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ml.chartshapes+xml"/>
  <Override PartName="/xl/charts/chart2.xml" ContentType="application/vnd.openxmlformats-officedocument.drawingml.chart+xml"/>
  <Override PartName="/xl/drawings/drawing3.xml" ContentType="application/vnd.openxmlformats-officedocument.drawingml.chartshapes+xml"/>
  <Override PartName="/xl/comments1.xml" ContentType="application/vnd.openxmlformats-officedocument.spreadsheetml.comments+xml"/>
  <Override PartName="/xl/drawings/drawing4.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drawings/drawing5.xml" ContentType="application/vnd.openxmlformats-officedocument.drawingml.chartshapes+xml"/>
  <Override PartName="/xl/charts/chart5.xml" ContentType="application/vnd.openxmlformats-officedocument.drawingml.chart+xml"/>
  <Override PartName="/xl/drawings/drawing6.xml" ContentType="application/vnd.openxmlformats-officedocument.drawing+xml"/>
  <Override PartName="/xl/charts/chart6.xml" ContentType="application/vnd.openxmlformats-officedocument.drawingml.chart+xml"/>
  <Override PartName="/xl/charts/chart7.xml" ContentType="application/vnd.openxmlformats-officedocument.drawingml.chart+xml"/>
  <Override PartName="/xl/drawings/drawing7.xml" ContentType="application/vnd.openxmlformats-officedocument.drawingml.chartshapes+xml"/>
  <Override PartName="/xl/charts/chart8.xml" ContentType="application/vnd.openxmlformats-officedocument.drawingml.chart+xml"/>
  <Override PartName="/xl/drawings/drawing8.xml" ContentType="application/vnd.openxmlformats-officedocument.drawing+xml"/>
  <Override PartName="/xl/ctrlProps/ctrlProp1.xml" ContentType="application/vnd.ms-excel.controlproperties+xml"/>
  <Override PartName="/xl/charts/chart9.xml" ContentType="application/vnd.openxmlformats-officedocument.drawingml.chart+xml"/>
  <Override PartName="/xl/drawings/drawing9.xml" ContentType="application/vnd.openxmlformats-officedocument.drawingml.chartshapes+xml"/>
  <Override PartName="/xl/drawings/drawing10.xml" ContentType="application/vnd.openxmlformats-officedocument.drawing+xml"/>
  <Override PartName="/xl/charts/chart10.xml" ContentType="application/vnd.openxmlformats-officedocument.drawingml.chart+xml"/>
  <Override PartName="/xl/drawings/drawing11.xml" ContentType="application/vnd.openxmlformats-officedocument.drawing+xml"/>
  <Override PartName="/xl/ctrlProps/ctrlProp2.xml" ContentType="application/vnd.ms-excel.controlproperties+xml"/>
  <Override PartName="/xl/drawings/drawing12.xml" ContentType="application/vnd.openxmlformats-officedocument.drawing+xml"/>
  <Override PartName="/xl/charts/chart11.xml" ContentType="application/vnd.openxmlformats-officedocument.drawingml.chart+xml"/>
  <Override PartName="/xl/drawings/drawing13.xml" ContentType="application/vnd.openxmlformats-officedocument.drawingml.chartshapes+xml"/>
  <Override PartName="/xl/charts/chart12.xml" ContentType="application/vnd.openxmlformats-officedocument.drawingml.chart+xml"/>
  <Override PartName="/xl/drawings/drawing14.xml" ContentType="application/vnd.openxmlformats-officedocument.drawingml.chartshapes+xml"/>
  <Override PartName="/xl/drawings/drawing15.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16.xml" ContentType="application/vnd.openxmlformats-officedocument.drawing+xml"/>
  <Override PartName="/xl/ctrlProps/ctrlProp11.xml" ContentType="application/vnd.ms-excel.controlproperties+xml"/>
  <Override PartName="/xl/drawings/drawing17.xml" ContentType="application/vnd.openxmlformats-officedocument.drawing+xml"/>
  <Override PartName="/xl/ctrlProps/ctrlProp1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workbookProtection workbookPassword="C9ED" lockStructure="1"/>
  <bookViews>
    <workbookView xWindow="240" yWindow="60" windowWidth="20115" windowHeight="8010" firstSheet="50" activeTab="63"/>
  </bookViews>
  <sheets>
    <sheet name="WL (25)" sheetId="1" state="hidden" r:id="rId1"/>
    <sheet name="WL (24)" sheetId="2" state="hidden" r:id="rId2"/>
    <sheet name="WL (23)" sheetId="3" state="hidden" r:id="rId3"/>
    <sheet name="WL (22)" sheetId="4" state="hidden" r:id="rId4"/>
    <sheet name="WL (21)" sheetId="5" state="hidden" r:id="rId5"/>
    <sheet name="WL (20)" sheetId="6" state="hidden" r:id="rId6"/>
    <sheet name="WL (19)" sheetId="7" state="hidden" r:id="rId7"/>
    <sheet name="WL (18)" sheetId="8" state="hidden" r:id="rId8"/>
    <sheet name="WL (17)" sheetId="9" state="hidden" r:id="rId9"/>
    <sheet name="WL (16)" sheetId="10" state="hidden" r:id="rId10"/>
    <sheet name="WL (15)" sheetId="11" state="hidden" r:id="rId11"/>
    <sheet name="WL (14)" sheetId="12" state="hidden" r:id="rId12"/>
    <sheet name="WL (13)" sheetId="13" state="hidden" r:id="rId13"/>
    <sheet name="WL (12)" sheetId="14" state="hidden" r:id="rId14"/>
    <sheet name="WL (11)" sheetId="15" state="hidden" r:id="rId15"/>
    <sheet name="WL (10)" sheetId="16" state="hidden" r:id="rId16"/>
    <sheet name="WL (9)" sheetId="17" state="hidden" r:id="rId17"/>
    <sheet name="WL (8)" sheetId="18" state="hidden" r:id="rId18"/>
    <sheet name="WL (7)" sheetId="19" state="hidden" r:id="rId19"/>
    <sheet name="WL (6)" sheetId="20" state="hidden" r:id="rId20"/>
    <sheet name="WL (5)" sheetId="21" state="hidden" r:id="rId21"/>
    <sheet name="WL (4)" sheetId="22" state="hidden" r:id="rId22"/>
    <sheet name="WL (3)" sheetId="23" state="hidden" r:id="rId23"/>
    <sheet name="WL (2)" sheetId="24" state="hidden" r:id="rId24"/>
    <sheet name="WL (1)" sheetId="25" state="hidden" r:id="rId25"/>
    <sheet name="Stn(25)" sheetId="26" state="hidden" r:id="rId26"/>
    <sheet name="Stn(24)" sheetId="27" state="hidden" r:id="rId27"/>
    <sheet name="Stn(23)" sheetId="28" state="hidden" r:id="rId28"/>
    <sheet name="Stn(22)" sheetId="29" state="hidden" r:id="rId29"/>
    <sheet name="Stn(21)" sheetId="30" state="hidden" r:id="rId30"/>
    <sheet name="Stn(20)" sheetId="31" state="hidden" r:id="rId31"/>
    <sheet name="Stn(19)" sheetId="32" state="hidden" r:id="rId32"/>
    <sheet name="Stn(18)" sheetId="33" state="hidden" r:id="rId33"/>
    <sheet name="Stn(17)" sheetId="34" state="hidden" r:id="rId34"/>
    <sheet name="Stn(16)" sheetId="35" state="hidden" r:id="rId35"/>
    <sheet name="Stn(15)" sheetId="36" state="hidden" r:id="rId36"/>
    <sheet name="Stn(14)" sheetId="37" state="hidden" r:id="rId37"/>
    <sheet name="Stn(13)" sheetId="38" state="hidden" r:id="rId38"/>
    <sheet name="Stn(12)" sheetId="39" state="hidden" r:id="rId39"/>
    <sheet name="Stn(11)" sheetId="40" state="hidden" r:id="rId40"/>
    <sheet name="Stn(10)" sheetId="41" state="hidden" r:id="rId41"/>
    <sheet name="Stn(9)" sheetId="42" state="hidden" r:id="rId42"/>
    <sheet name="Stn(8)" sheetId="43" state="hidden" r:id="rId43"/>
    <sheet name="Stn(7)" sheetId="44" state="hidden" r:id="rId44"/>
    <sheet name="Stn(6)" sheetId="45" state="hidden" r:id="rId45"/>
    <sheet name="Stn(5)" sheetId="46" state="hidden" r:id="rId46"/>
    <sheet name="Stn(4)" sheetId="47" state="hidden" r:id="rId47"/>
    <sheet name="Stn(3)" sheetId="48" state="hidden" r:id="rId48"/>
    <sheet name="Stn(2)" sheetId="49" state="hidden" r:id="rId49"/>
    <sheet name="Stn(1)" sheetId="50" state="hidden" r:id="rId50"/>
    <sheet name="Offset" sheetId="52" r:id="rId51"/>
    <sheet name="WL (x)" sheetId="53" state="hidden" r:id="rId52"/>
    <sheet name="Main" sheetId="51" r:id="rId53"/>
    <sheet name="Area" sheetId="54" r:id="rId54"/>
    <sheet name="Moment" sheetId="55" r:id="rId55"/>
    <sheet name="Hydros" sheetId="56" r:id="rId56"/>
    <sheet name="Bonj Calc" sheetId="58" r:id="rId57"/>
    <sheet name="View Bonjean" sheetId="59" state="hidden" r:id="rId58"/>
    <sheet name="Hydros Calc" sheetId="60" r:id="rId59"/>
    <sheet name="Tools" sheetId="61" state="hidden" r:id="rId60"/>
    <sheet name="CAD" sheetId="62" r:id="rId61"/>
    <sheet name="Maxs Tool" sheetId="66" state="hidden" r:id="rId62"/>
    <sheet name="Maxsurf" sheetId="65" r:id="rId63"/>
    <sheet name="Help" sheetId="63" r:id="rId64"/>
    <sheet name="CAD Tools" sheetId="64" state="hidden" r:id="rId65"/>
  </sheets>
  <definedNames>
    <definedName name="aa" localSheetId="24">OFFSET('WL (1)'!K1048548,ROUNDUP(Max_STN_count/2,0),,ROUNDDOWN(Max_STN_count/2,0),1)</definedName>
    <definedName name="aa" localSheetId="15">OFFSET('WL (10)'!K1048548,ROUNDUP(Max_STN_count/2,0),,ROUNDDOWN(Max_STN_count/2,0),1)</definedName>
    <definedName name="aa" localSheetId="14">OFFSET('WL (11)'!K1048548,ROUNDUP(Max_STN_count/2,0),,ROUNDDOWN(Max_STN_count/2,0),1)</definedName>
    <definedName name="aa" localSheetId="13">OFFSET('WL (12)'!K1048548,ROUNDUP(Max_STN_count/2,0),,ROUNDDOWN(Max_STN_count/2,0),1)</definedName>
    <definedName name="aa" localSheetId="12">OFFSET('WL (13)'!K1048548,ROUNDUP(Max_STN_count/2,0),,ROUNDDOWN(Max_STN_count/2,0),1)</definedName>
    <definedName name="aa" localSheetId="11">OFFSET('WL (14)'!K1048548,ROUNDUP(Max_STN_count/2,0),,ROUNDDOWN(Max_STN_count/2,0),1)</definedName>
    <definedName name="aa" localSheetId="10">OFFSET('WL (15)'!K1048548,ROUNDUP(Max_STN_count/2,0),,ROUNDDOWN(Max_STN_count/2,0),1)</definedName>
    <definedName name="aa" localSheetId="9">OFFSET('WL (16)'!K1048548,ROUNDUP(Max_STN_count/2,0),,ROUNDDOWN(Max_STN_count/2,0),1)</definedName>
    <definedName name="aa" localSheetId="8">OFFSET('WL (17)'!K1048548,ROUNDUP(Max_STN_count/2,0),,ROUNDDOWN(Max_STN_count/2,0),1)</definedName>
    <definedName name="aa" localSheetId="7">OFFSET('WL (18)'!K1048548,ROUNDUP(Max_STN_count/2,0),,ROUNDDOWN(Max_STN_count/2,0),1)</definedName>
    <definedName name="aa" localSheetId="6">OFFSET('WL (19)'!K1048548,ROUNDUP(Max_STN_count/2,0),,ROUNDDOWN(Max_STN_count/2,0),1)</definedName>
    <definedName name="aa" localSheetId="23">OFFSET('WL (2)'!K1048548,ROUNDUP(Max_STN_count/2,0),,ROUNDDOWN(Max_STN_count/2,0),1)</definedName>
    <definedName name="aa" localSheetId="5">OFFSET('WL (20)'!K1048548,ROUNDUP(Max_STN_count/2,0),,ROUNDDOWN(Max_STN_count/2,0),1)</definedName>
    <definedName name="aa" localSheetId="4">OFFSET('WL (21)'!K1048548,ROUNDUP(Max_STN_count/2,0),,ROUNDDOWN(Max_STN_count/2,0),1)</definedName>
    <definedName name="aa" localSheetId="3">OFFSET('WL (22)'!K1048548,ROUNDUP(Max_STN_count/2,0),,ROUNDDOWN(Max_STN_count/2,0),1)</definedName>
    <definedName name="aa" localSheetId="2">OFFSET('WL (23)'!K1048548,ROUNDUP(Max_STN_count/2,0),,ROUNDDOWN(Max_STN_count/2,0),1)</definedName>
    <definedName name="aa" localSheetId="1">OFFSET('WL (24)'!K1048548,ROUNDUP(Max_STN_count/2,0),,ROUNDDOWN(Max_STN_count/2,0),1)</definedName>
    <definedName name="aa" localSheetId="0">OFFSET('WL (25)'!K1048548,ROUNDUP(Max_STN_count/2,0),,ROUNDDOWN(Max_STN_count/2,0),1)</definedName>
    <definedName name="aa" localSheetId="22">OFFSET('WL (3)'!K1048548,ROUNDUP(Max_STN_count/2,0),,ROUNDDOWN(Max_STN_count/2,0),1)</definedName>
    <definedName name="aa" localSheetId="21">OFFSET('WL (4)'!K1048548,ROUNDUP(Max_STN_count/2,0),,ROUNDDOWN(Max_STN_count/2,0),1)</definedName>
    <definedName name="aa" localSheetId="20">OFFSET('WL (5)'!K1048548,ROUNDUP(Max_STN_count/2,0),,ROUNDDOWN(Max_STN_count/2,0),1)</definedName>
    <definedName name="aa" localSheetId="19">OFFSET('WL (6)'!K1048548,ROUNDUP(Max_STN_count/2,0),,ROUNDDOWN(Max_STN_count/2,0),1)</definedName>
    <definedName name="aa" localSheetId="18">OFFSET('WL (7)'!K1048548,ROUNDUP(Max_STN_count/2,0),,ROUNDDOWN(Max_STN_count/2,0),1)</definedName>
    <definedName name="aa" localSheetId="17">OFFSET('WL (8)'!K1048548,ROUNDUP(Max_STN_count/2,0),,ROUNDDOWN(Max_STN_count/2,0),1)</definedName>
    <definedName name="aa" localSheetId="16">OFFSET('WL (9)'!K1048548,ROUNDUP(Max_STN_count/2,0),,ROUNDDOWN(Max_STN_count/2,0),1)</definedName>
    <definedName name="aa" localSheetId="51">OFFSET('WL (x)'!K1048548,ROUNDUP(Max_STN_count/2,0),,ROUNDDOWN(Max_STN_count/2,0),1)</definedName>
    <definedName name="ABT">Main!$K$5</definedName>
    <definedName name="AMID">Main!$K$4</definedName>
    <definedName name="AREA_TABLE">Area!$O$2:$AN$27</definedName>
    <definedName name="AS_1" localSheetId="59">OFFSET(Tools!$B$69,1,0,1,Max_WL_count)</definedName>
    <definedName name="AS_10" localSheetId="59">OFFSET(Tools!$B$69,10,0,1,Max_WL_count)</definedName>
    <definedName name="AS_11" localSheetId="59">OFFSET(Tools!$B$69,11,0,1,Max_WL_count)</definedName>
    <definedName name="AS_12" localSheetId="59">OFFSET(Tools!$B$69,12,0,1,Max_WL_count)</definedName>
    <definedName name="AS_13" localSheetId="59">OFFSET(Tools!$B$69,13,0,1,Max_WL_count)</definedName>
    <definedName name="AS_14" localSheetId="59">OFFSET(Tools!$B$69,14,0,1,Max_WL_count)</definedName>
    <definedName name="AS_15" localSheetId="59">OFFSET(Tools!$B$69,15,0,1,Max_WL_count)</definedName>
    <definedName name="AS_16" localSheetId="59">OFFSET(Tools!$B$69,16,0,1,Max_WL_count)</definedName>
    <definedName name="AS_17" localSheetId="59">OFFSET(Tools!$B$69,17,0,1,Max_WL_count)</definedName>
    <definedName name="AS_18" localSheetId="59">OFFSET(Tools!$B$69,18,0,1,Max_WL_count)</definedName>
    <definedName name="AS_19" localSheetId="59">OFFSET(Tools!$B$69,19,0,1,Max_WL_count)</definedName>
    <definedName name="AS_2" localSheetId="59">OFFSET(Tools!$B$69,2,0,1,Max_WL_count)</definedName>
    <definedName name="AS_20" localSheetId="59">OFFSET(Tools!$B$69,20,0,1,Max_WL_count)</definedName>
    <definedName name="AS_21" localSheetId="59">OFFSET(Tools!$B$69,21,0,1,Max_WL_count)</definedName>
    <definedName name="AS_22" localSheetId="59">OFFSET(Tools!$B$69,22,0,1,Max_WL_count)</definedName>
    <definedName name="AS_23" localSheetId="59">OFFSET(Tools!$B$69,23,0,1,Max_WL_count)</definedName>
    <definedName name="AS_24" localSheetId="59">OFFSET(Tools!$B$69,24,0,1,Max_WL_count)</definedName>
    <definedName name="AS_25" localSheetId="59">OFFSET(Tools!$B$69,25,0,1,Max_WL_count)</definedName>
    <definedName name="AS_3" localSheetId="59">OFFSET(Tools!$B$69,3,0,1,Max_WL_count)</definedName>
    <definedName name="AS_4" localSheetId="59">OFFSET(Tools!$B$69,4,0,1,Max_WL_count)</definedName>
    <definedName name="AS_5" localSheetId="59">OFFSET(Tools!$B$69,5,0,1,Max_WL_count)</definedName>
    <definedName name="AS_6" localSheetId="59">OFFSET(Tools!$B$69,6,0,1,Max_WL_count)</definedName>
    <definedName name="AS_7" localSheetId="59">OFFSET(Tools!$B$69,7,0,1,Max_WL_count)</definedName>
    <definedName name="AS_8" localSheetId="59">OFFSET(Tools!$B$69,8,0,1,Max_WL_count)</definedName>
    <definedName name="AS_9" localSheetId="59">OFFSET(Tools!$B$69,9,0,1,Max_WL_count)</definedName>
    <definedName name="AW_1" localSheetId="59">OFFSET(Tools!$A$70,,1,Max_STN_count,1)</definedName>
    <definedName name="AW_10" localSheetId="59">OFFSET(Tools!$A$70,,10,Max_STN_count,1)</definedName>
    <definedName name="AW_11" localSheetId="59">OFFSET(Tools!$A$70,,11,Max_STN_count,1)</definedName>
    <definedName name="AW_12" localSheetId="59">OFFSET(Tools!$A$70,,12,Max_STN_count,1)</definedName>
    <definedName name="AW_13" localSheetId="59">OFFSET(Tools!$A$70,,13,Max_STN_count,1)</definedName>
    <definedName name="AW_14" localSheetId="59">OFFSET(Tools!$A$70,,14,Max_STN_count,1)</definedName>
    <definedName name="AW_15" localSheetId="59">OFFSET(Tools!$A$70,,15,Max_STN_count,1)</definedName>
    <definedName name="AW_16" localSheetId="59">OFFSET(Tools!$A$70,,16,Max_STN_count,1)</definedName>
    <definedName name="AW_17" localSheetId="59">OFFSET(Tools!$A$70,,17,Max_STN_count,1)</definedName>
    <definedName name="AW_18" localSheetId="59">OFFSET(Tools!$A$70,,18,Max_STN_count,1)</definedName>
    <definedName name="AW_19" localSheetId="59">OFFSET(Tools!$A$70,,19,Max_STN_count,1)</definedName>
    <definedName name="AW_2" localSheetId="59">OFFSET(Tools!$A$70,,2,Max_STN_count,1)</definedName>
    <definedName name="AW_20" localSheetId="59">OFFSET(Tools!$A$70,,20,Max_STN_count,1)</definedName>
    <definedName name="AW_21" localSheetId="59">OFFSET(Tools!$A$70,,21,Max_STN_count,1)</definedName>
    <definedName name="AW_22" localSheetId="59">OFFSET(Tools!$A$70,,22,Max_STN_count,1)</definedName>
    <definedName name="AW_23" localSheetId="59">OFFSET(Tools!$A$70,,23,Max_STN_count,1)</definedName>
    <definedName name="AW_24" localSheetId="59">OFFSET(Tools!$A$70,,24,Max_STN_count,1)</definedName>
    <definedName name="AW_25" localSheetId="59">OFFSET(Tools!$A$70,,25,Max_STN_count,1)</definedName>
    <definedName name="AW_3" localSheetId="59">OFFSET(Tools!$A$70,,3,Max_STN_count,1)</definedName>
    <definedName name="AW_4" localSheetId="59">OFFSET(Tools!$A$70,,4,Max_STN_count,1)</definedName>
    <definedName name="AW_5" localSheetId="59">OFFSET(Tools!$A$70,,5,Max_STN_count,1)</definedName>
    <definedName name="AW_6" localSheetId="59">OFFSET(Tools!$A$70,,6,Max_STN_count,1)</definedName>
    <definedName name="AW_7" localSheetId="59">OFFSET(Tools!$A$70,,7,Max_STN_count,1)</definedName>
    <definedName name="AW_8" localSheetId="59">OFFSET(Tools!$A$70,,8,Max_STN_count,1)</definedName>
    <definedName name="AW_9" localSheetId="59">OFFSET(Tools!$A$70,,9,Max_STN_count,1)</definedName>
    <definedName name="AWP" localSheetId="24">'WL (1)'!$S$11</definedName>
    <definedName name="AWP" localSheetId="15">'WL (10)'!$S$11</definedName>
    <definedName name="AWP" localSheetId="14">'WL (11)'!$S$11</definedName>
    <definedName name="AWP" localSheetId="13">'WL (12)'!$S$11</definedName>
    <definedName name="AWP" localSheetId="12">'WL (13)'!$S$11</definedName>
    <definedName name="AWP" localSheetId="11">'WL (14)'!$S$11</definedName>
    <definedName name="AWP" localSheetId="10">'WL (15)'!$S$11</definedName>
    <definedName name="AWP" localSheetId="9">'WL (16)'!$S$11</definedName>
    <definedName name="AWP" localSheetId="8">'WL (17)'!$S$11</definedName>
    <definedName name="AWP" localSheetId="7">'WL (18)'!$S$11</definedName>
    <definedName name="AWP" localSheetId="6">'WL (19)'!$S$11</definedName>
    <definedName name="AWP" localSheetId="23">'WL (2)'!$S$11</definedName>
    <definedName name="AWP" localSheetId="5">'WL (20)'!$S$11</definedName>
    <definedName name="AWP" localSheetId="4">'WL (21)'!$S$11</definedName>
    <definedName name="AWP" localSheetId="3">'WL (22)'!$S$11</definedName>
    <definedName name="AWP" localSheetId="2">'WL (23)'!$S$11</definedName>
    <definedName name="AWP" localSheetId="1">'WL (24)'!$S$11</definedName>
    <definedName name="AWP" localSheetId="0">'WL (25)'!$S$11</definedName>
    <definedName name="AWP" localSheetId="22">'WL (3)'!$S$11</definedName>
    <definedName name="AWP" localSheetId="21">'WL (4)'!$S$11</definedName>
    <definedName name="AWP" localSheetId="20">'WL (5)'!$S$11</definedName>
    <definedName name="AWP" localSheetId="19">'WL (6)'!$S$11</definedName>
    <definedName name="AWP" localSheetId="18">'WL (7)'!$S$11</definedName>
    <definedName name="AWP" localSheetId="17">'WL (8)'!$S$11</definedName>
    <definedName name="AWP" localSheetId="16">'WL (9)'!$S$11</definedName>
    <definedName name="AWP" localSheetId="51">'WL (x)'!$S$40</definedName>
    <definedName name="B" localSheetId="24">'WL (1)'!$S$5</definedName>
    <definedName name="B" localSheetId="15">'WL (10)'!$S$5</definedName>
    <definedName name="B" localSheetId="14">'WL (11)'!$S$5</definedName>
    <definedName name="B" localSheetId="13">'WL (12)'!$S$5</definedName>
    <definedName name="B" localSheetId="12">'WL (13)'!$S$5</definedName>
    <definedName name="B" localSheetId="11">'WL (14)'!$S$5</definedName>
    <definedName name="B" localSheetId="10">'WL (15)'!$S$5</definedName>
    <definedName name="B" localSheetId="9">'WL (16)'!$S$5</definedName>
    <definedName name="B" localSheetId="8">'WL (17)'!$S$5</definedName>
    <definedName name="B" localSheetId="7">'WL (18)'!$S$5</definedName>
    <definedName name="B" localSheetId="6">'WL (19)'!$S$5</definedName>
    <definedName name="B" localSheetId="23">'WL (2)'!$S$5</definedName>
    <definedName name="B" localSheetId="5">'WL (20)'!$S$5</definedName>
    <definedName name="B" localSheetId="4">'WL (21)'!$S$5</definedName>
    <definedName name="B" localSheetId="3">'WL (22)'!$S$5</definedName>
    <definedName name="B" localSheetId="2">'WL (23)'!$S$5</definedName>
    <definedName name="B" localSheetId="1">'WL (24)'!$S$5</definedName>
    <definedName name="B" localSheetId="0">'WL (25)'!$S$5</definedName>
    <definedName name="B" localSheetId="22">'WL (3)'!$S$5</definedName>
    <definedName name="B" localSheetId="21">'WL (4)'!$S$5</definedName>
    <definedName name="B" localSheetId="20">'WL (5)'!$S$5</definedName>
    <definedName name="B" localSheetId="19">'WL (6)'!$S$5</definedName>
    <definedName name="B" localSheetId="18">'WL (7)'!$S$5</definedName>
    <definedName name="B" localSheetId="17">'WL (8)'!$S$5</definedName>
    <definedName name="B" localSheetId="16">'WL (9)'!$S$5</definedName>
    <definedName name="B" localSheetId="51">'WL (x)'!$S$6</definedName>
    <definedName name="B_Area" localSheetId="59">Tools!$A$68:$Z$94</definedName>
    <definedName name="B_Area_Splines" localSheetId="59">Tools!$A$153:$Z$180</definedName>
    <definedName name="B_current" localSheetId="24">'WL (1)'!$S$7</definedName>
    <definedName name="B_current" localSheetId="15">'WL (10)'!$S$7</definedName>
    <definedName name="B_current" localSheetId="14">'WL (11)'!$S$7</definedName>
    <definedName name="B_current" localSheetId="13">'WL (12)'!$S$7</definedName>
    <definedName name="B_current" localSheetId="12">'WL (13)'!$S$7</definedName>
    <definedName name="B_current" localSheetId="11">'WL (14)'!$S$7</definedName>
    <definedName name="B_current" localSheetId="10">'WL (15)'!$S$7</definedName>
    <definedName name="B_current" localSheetId="9">'WL (16)'!$S$7</definedName>
    <definedName name="B_current" localSheetId="8">'WL (17)'!$S$7</definedName>
    <definedName name="B_current" localSheetId="7">'WL (18)'!$S$7</definedName>
    <definedName name="B_current" localSheetId="6">'WL (19)'!$S$7</definedName>
    <definedName name="B_current" localSheetId="23">'WL (2)'!$S$7</definedName>
    <definedName name="B_current" localSheetId="5">'WL (20)'!$S$7</definedName>
    <definedName name="B_current" localSheetId="4">'WL (21)'!$S$7</definedName>
    <definedName name="B_current" localSheetId="3">'WL (22)'!$S$7</definedName>
    <definedName name="B_current" localSheetId="2">'WL (23)'!$S$7</definedName>
    <definedName name="B_current" localSheetId="1">'WL (24)'!$S$7</definedName>
    <definedName name="B_current" localSheetId="0">'WL (25)'!$S$7</definedName>
    <definedName name="B_current" localSheetId="22">'WL (3)'!$S$7</definedName>
    <definedName name="B_current" localSheetId="21">'WL (4)'!$S$7</definedName>
    <definedName name="B_current" localSheetId="20">'WL (5)'!$S$7</definedName>
    <definedName name="B_current" localSheetId="19">'WL (6)'!$S$7</definedName>
    <definedName name="B_current" localSheetId="18">'WL (7)'!$S$7</definedName>
    <definedName name="B_current" localSheetId="17">'WL (8)'!$S$7</definedName>
    <definedName name="B_current" localSheetId="16">'WL (9)'!$S$7</definedName>
    <definedName name="B_current" localSheetId="51">'WL (x)'!$S$8</definedName>
    <definedName name="B_Moment" localSheetId="59">Tools!$AB$68:$BA$94</definedName>
    <definedName name="B_Moment_Splines" localSheetId="59">Tools!$AB$153:$BA$180</definedName>
    <definedName name="BA_Station_Scale_in_x" localSheetId="59">Tools!$G$154</definedName>
    <definedName name="BA_STN_List" localSheetId="59">OFFSET(Tools!$A$70,,,Max_STN_count,1)</definedName>
    <definedName name="BA_WL_List" localSheetId="59">OFFSET(Tools!$B$69,,,1,Max_WL_count)</definedName>
    <definedName name="BA_Y_scale_of_WL" localSheetId="59">Tools!$J$154</definedName>
    <definedName name="BAM_1" localSheetId="59">OFFSET(Tools!$CL$4,1,,1,Max_WL_count)</definedName>
    <definedName name="BAM_10" localSheetId="59">OFFSET(Tools!$CL$4,10,,1,Max_WL_count)</definedName>
    <definedName name="BAM_11" localSheetId="59">OFFSET(Tools!$CL$4,11,,1,Max_WL_count)</definedName>
    <definedName name="BAM_12" localSheetId="59">OFFSET(Tools!$CL$4,12,,1,Max_WL_count)</definedName>
    <definedName name="BAM_13" localSheetId="59">OFFSET(Tools!$CL$4,13,,1,Max_WL_count)</definedName>
    <definedName name="BAM_14" localSheetId="59">OFFSET(Tools!$CL$4,14,,1,Max_WL_count)</definedName>
    <definedName name="BAM_15" localSheetId="59">OFFSET(Tools!$CL$4,15,,1,Max_WL_count)</definedName>
    <definedName name="BAM_16" localSheetId="59">OFFSET(Tools!$CL$4,16,,1,Max_WL_count)</definedName>
    <definedName name="BAM_17" localSheetId="59">OFFSET(Tools!$CL$4,17,,1,Max_WL_count)</definedName>
    <definedName name="BAM_18" localSheetId="59">OFFSET(Tools!$CL$4,18,,1,Max_WL_count)</definedName>
    <definedName name="BAM_19" localSheetId="59">OFFSET(Tools!$CL$4,19,,1,Max_WL_count)</definedName>
    <definedName name="BAM_2" localSheetId="59">OFFSET(Tools!$CL$4,2,,1,Max_WL_count)</definedName>
    <definedName name="BAM_20" localSheetId="59">OFFSET(Tools!$CL$4,20,,1,Max_WL_count)</definedName>
    <definedName name="BAM_21" localSheetId="59">OFFSET(Tools!$CL$4,21,,1,Max_WL_count)</definedName>
    <definedName name="BAM_22" localSheetId="59">OFFSET(Tools!$CL$4,22,,1,Max_WL_count)</definedName>
    <definedName name="BAM_23" localSheetId="59">OFFSET(Tools!$CL$4,23,,1,Max_WL_count)</definedName>
    <definedName name="BAM_24" localSheetId="59">OFFSET(Tools!$CL$4,24,,1,Max_WL_count)</definedName>
    <definedName name="BAM_25" localSheetId="59">OFFSET(Tools!$CL$4,25,,1,Max_WL_count)</definedName>
    <definedName name="BAM_26" localSheetId="59">OFFSET(Tools!$CL$4,26,,1,Max_WL_count)</definedName>
    <definedName name="BAM_27" localSheetId="59">OFFSET(Tools!$CL$4,27,,1,Max_WL_count)</definedName>
    <definedName name="BAM_28" localSheetId="59">OFFSET(Tools!$CL$4,28,,1,Max_WL_count)</definedName>
    <definedName name="BAM_29" localSheetId="59">OFFSET(Tools!$CL$4,29,,1,Max_WL_count)</definedName>
    <definedName name="BAM_3" localSheetId="59">OFFSET(Tools!$CL$4,3,,1,Max_WL_count)</definedName>
    <definedName name="BAM_30" localSheetId="59">OFFSET(Tools!$CL$4,30,,1,Max_WL_count)</definedName>
    <definedName name="BAM_31" localSheetId="59">OFFSET(Tools!$CL$4,31,,1,Max_WL_count)</definedName>
    <definedName name="BAM_32" localSheetId="59">OFFSET(Tools!$CL$4,32,,1,Max_WL_count)</definedName>
    <definedName name="BAM_33" localSheetId="59">OFFSET(Tools!$CL$4,33,,1,Max_WL_count)</definedName>
    <definedName name="BAM_34" localSheetId="59">OFFSET(Tools!$CL$4,34,,1,Max_WL_count)</definedName>
    <definedName name="BAM_35" localSheetId="59">OFFSET(Tools!$CL$4,35,,1,Max_WL_count)</definedName>
    <definedName name="BAM_36" localSheetId="59">OFFSET(Tools!$CL$4,36,,1,Max_WL_count)</definedName>
    <definedName name="BAM_37" localSheetId="59">OFFSET(Tools!$CL$4,37,,1,Max_WL_count)</definedName>
    <definedName name="BAM_38" localSheetId="59">OFFSET(Tools!$CL$4,38,,1,Max_WL_count)</definedName>
    <definedName name="BAM_39" localSheetId="59">OFFSET(Tools!$CL$4,39,,1,Max_WL_count)</definedName>
    <definedName name="BAM_4" localSheetId="59">OFFSET(Tools!$CL$4,4,,1,Max_WL_count)</definedName>
    <definedName name="BAM_40" localSheetId="59">OFFSET(Tools!$CL$4,40,,1,Max_WL_count)</definedName>
    <definedName name="BAM_41" localSheetId="59">OFFSET(Tools!$CL$4,41,,1,Max_WL_count)</definedName>
    <definedName name="BAM_42" localSheetId="59">OFFSET(Tools!$CL$4,42,,1,Max_WL_count)</definedName>
    <definedName name="BAM_43" localSheetId="59">OFFSET(Tools!$CL$4,43,,1,Max_WL_count)</definedName>
    <definedName name="BAM_44" localSheetId="59">OFFSET(Tools!$CL$4,44,,1,Max_WL_count)</definedName>
    <definedName name="BAM_45" localSheetId="59">OFFSET(Tools!$CL$4,45,,1,Max_WL_count)</definedName>
    <definedName name="BAM_46" localSheetId="59">OFFSET(Tools!$CL$4,46,,1,Max_WL_count)</definedName>
    <definedName name="BAM_47" localSheetId="59">OFFSET(Tools!$CL$4,47,,1,Max_WL_count)</definedName>
    <definedName name="BAM_48" localSheetId="59">OFFSET(Tools!$CL$4,48,,1,Max_WL_count)</definedName>
    <definedName name="BAM_49" localSheetId="59">OFFSET(Tools!$CL$4,49,,1,Max_WL_count)</definedName>
    <definedName name="BAM_5" localSheetId="59">OFFSET(Tools!$CL$4,5,,1,Max_WL_count)</definedName>
    <definedName name="BAM_50" localSheetId="59">OFFSET(Tools!$CL$4,50,,1,Max_WL_count)</definedName>
    <definedName name="BAM_6" localSheetId="59">OFFSET(Tools!$CL$4,6,,1,Max_WL_count)</definedName>
    <definedName name="BAM_7" localSheetId="59">OFFSET(Tools!$CL$4,7,,1,Max_WL_count)</definedName>
    <definedName name="BAM_8" localSheetId="59">OFFSET(Tools!$CL$4,8,,1,Max_WL_count)</definedName>
    <definedName name="BAM_9" localSheetId="59">OFFSET(Tools!$CL$4,9,,1,Max_WL_count)</definedName>
    <definedName name="BAM_WL_List" localSheetId="59">OFFSET(Tools!$CL$4,,,1,Max_WL_count)</definedName>
    <definedName name="BML" localSheetId="24">'WL (1)'!$S$21</definedName>
    <definedName name="BML" localSheetId="15">'WL (10)'!$S$21</definedName>
    <definedName name="BML" localSheetId="14">'WL (11)'!$S$21</definedName>
    <definedName name="BML" localSheetId="13">'WL (12)'!$S$21</definedName>
    <definedName name="BML" localSheetId="12">'WL (13)'!$S$21</definedName>
    <definedName name="BML" localSheetId="11">'WL (14)'!$S$21</definedName>
    <definedName name="BML" localSheetId="10">'WL (15)'!$S$21</definedName>
    <definedName name="BML" localSheetId="9">'WL (16)'!$S$21</definedName>
    <definedName name="BML" localSheetId="8">'WL (17)'!$S$21</definedName>
    <definedName name="BML" localSheetId="7">'WL (18)'!$S$21</definedName>
    <definedName name="BML" localSheetId="6">'WL (19)'!$S$21</definedName>
    <definedName name="BML" localSheetId="23">'WL (2)'!$S$21</definedName>
    <definedName name="BML" localSheetId="5">'WL (20)'!$S$21</definedName>
    <definedName name="BML" localSheetId="4">'WL (21)'!$S$21</definedName>
    <definedName name="BML" localSheetId="3">'WL (22)'!$S$21</definedName>
    <definedName name="BML" localSheetId="2">'WL (23)'!$S$21</definedName>
    <definedName name="BML" localSheetId="1">'WL (24)'!$S$21</definedName>
    <definedName name="BML" localSheetId="0">'WL (25)'!$S$21</definedName>
    <definedName name="BML" localSheetId="22">'WL (3)'!$S$21</definedName>
    <definedName name="BML" localSheetId="21">'WL (4)'!$S$21</definedName>
    <definedName name="BML" localSheetId="20">'WL (5)'!$S$21</definedName>
    <definedName name="BML" localSheetId="19">'WL (6)'!$S$21</definedName>
    <definedName name="BML" localSheetId="18">'WL (7)'!$S$21</definedName>
    <definedName name="BML" localSheetId="17">'WL (8)'!$S$21</definedName>
    <definedName name="BML" localSheetId="16">'WL (9)'!$S$21</definedName>
    <definedName name="BML" localSheetId="51">'WL (x)'!$S$50</definedName>
    <definedName name="BMT" localSheetId="24">'WL (1)'!$S$22</definedName>
    <definedName name="BMT" localSheetId="15">'WL (10)'!$S$22</definedName>
    <definedName name="BMT" localSheetId="14">'WL (11)'!$S$22</definedName>
    <definedName name="BMT" localSheetId="13">'WL (12)'!$S$22</definedName>
    <definedName name="BMT" localSheetId="12">'WL (13)'!$S$22</definedName>
    <definedName name="BMT" localSheetId="11">'WL (14)'!$S$22</definedName>
    <definedName name="BMT" localSheetId="10">'WL (15)'!$S$22</definedName>
    <definedName name="BMT" localSheetId="9">'WL (16)'!$S$22</definedName>
    <definedName name="BMT" localSheetId="8">'WL (17)'!$S$22</definedName>
    <definedName name="BMT" localSheetId="7">'WL (18)'!$S$22</definedName>
    <definedName name="BMT" localSheetId="6">'WL (19)'!$S$22</definedName>
    <definedName name="BMT" localSheetId="23">'WL (2)'!$S$22</definedName>
    <definedName name="BMT" localSheetId="5">'WL (20)'!$S$22</definedName>
    <definedName name="BMT" localSheetId="4">'WL (21)'!$S$22</definedName>
    <definedName name="BMT" localSheetId="3">'WL (22)'!$S$22</definedName>
    <definedName name="BMT" localSheetId="2">'WL (23)'!$S$22</definedName>
    <definedName name="BMT" localSheetId="1">'WL (24)'!$S$22</definedName>
    <definedName name="BMT" localSheetId="0">'WL (25)'!$S$22</definedName>
    <definedName name="BMT" localSheetId="22">'WL (3)'!$S$22</definedName>
    <definedName name="BMT" localSheetId="21">'WL (4)'!$S$22</definedName>
    <definedName name="BMT" localSheetId="20">'WL (5)'!$S$22</definedName>
    <definedName name="BMT" localSheetId="19">'WL (6)'!$S$22</definedName>
    <definedName name="BMT" localSheetId="18">'WL (7)'!$S$22</definedName>
    <definedName name="BMT" localSheetId="17">'WL (8)'!$S$22</definedName>
    <definedName name="BMT" localSheetId="16">'WL (9)'!$S$22</definedName>
    <definedName name="BMT" localSheetId="51">'WL (x)'!$S$51</definedName>
    <definedName name="Bodyplan_Spline" localSheetId="59">Tools!$A$96:$BA$122</definedName>
    <definedName name="Bonjean_Area_Scale" localSheetId="59">Tools!$C$154</definedName>
    <definedName name="Bonjean_Moment_Scale" localSheetId="59">Tools!$AD$154</definedName>
    <definedName name="BP_1" localSheetId="59">OFFSET(Tools!$BE$98,,,1,IF(Max_STN_count&lt;1,1,Max_WL_count))</definedName>
    <definedName name="BP_10" localSheetId="59">OFFSET(Tools!$BE$107,,,1,IF(Max_STN_count&lt;10,1,Max_WL_count))</definedName>
    <definedName name="BP_11" localSheetId="59">OFFSET(Tools!$BE$108,,,1,IF(Max_STN_count&lt;11,1,Max_WL_count))</definedName>
    <definedName name="BP_12" localSheetId="59">OFFSET(Tools!$BE$109,,,1,IF(Max_STN_count&lt;12,1,Max_WL_count))</definedName>
    <definedName name="BP_13" localSheetId="59">OFFSET(Tools!$BE$110,,,1,IF(Max_STN_count&lt;13,1,Max_WL_count))</definedName>
    <definedName name="BP_14" localSheetId="59">OFFSET(Tools!$BE$111,,,1,IF(Max_STN_count&lt;14,1,Max_WL_count))</definedName>
    <definedName name="BP_15" localSheetId="59">OFFSET(Tools!$BE$112,,,1,IF(Max_STN_count&lt;15,1,Max_WL_count))</definedName>
    <definedName name="BP_16" localSheetId="59">OFFSET(Tools!$BE$113,,,1,IF(Max_STN_count&lt;16,1,Max_WL_count))</definedName>
    <definedName name="BP_17" localSheetId="59">OFFSET(Tools!$BE$114,,,1,IF(Max_STN_count&lt;17,1,Max_WL_count))</definedName>
    <definedName name="BP_18" localSheetId="59">OFFSET(Tools!$BE$115,,,1,IF(Max_STN_count&lt;18,1,Max_WL_count))</definedName>
    <definedName name="BP_19" localSheetId="59">OFFSET(Tools!$BE$116,,,1,IF(Max_STN_count&lt;19,1,Max_WL_count))</definedName>
    <definedName name="BP_2" localSheetId="59">OFFSET(Tools!$BE$99,,,1,IF(Max_STN_count&lt;2,1,Max_WL_count))</definedName>
    <definedName name="BP_20" localSheetId="59">OFFSET(Tools!$BE$117,,,1,IF(Max_STN_count&lt;20,1,Max_WL_count))</definedName>
    <definedName name="BP_21" localSheetId="59">OFFSET(Tools!$BE$118,,,1,IF(Max_STN_count&lt;21,1,Max_WL_count))</definedName>
    <definedName name="BP_22" localSheetId="59">OFFSET(Tools!$BE$119,,,1,IF(Max_STN_count&lt;22,1,Max_WL_count))</definedName>
    <definedName name="BP_23" localSheetId="59">OFFSET(Tools!$BE$120,,,1,IF(Max_STN_count&lt;23,1,Max_WL_count))</definedName>
    <definedName name="BP_24" localSheetId="59">OFFSET(Tools!$BE$121,,,1,IF(Max_STN_count&lt;24,1,Max_WL_count))</definedName>
    <definedName name="BP_25" localSheetId="59">OFFSET(Tools!$BE$122,,,1,IF(Max_STN_count&lt;25,1,Max_WL_count))</definedName>
    <definedName name="BP_3" localSheetId="59">OFFSET(Tools!$BE$100,,,1,IF(Max_STN_count&lt;3,1,Max_WL_count))</definedName>
    <definedName name="BP_4" localSheetId="59">OFFSET(Tools!$BE$101,,,1,IF(Max_STN_count&lt;4,1,Max_WL_count))</definedName>
    <definedName name="BP_5" localSheetId="59">OFFSET(Tools!$BE$102,,,1,IF(Max_STN_count&lt;5,1,Max_WL_count))</definedName>
    <definedName name="BP_6" localSheetId="59">OFFSET(Tools!$BE$103,,,1,IF(Max_STN_count&lt;6,1,Max_WL_count))</definedName>
    <definedName name="BP_7" localSheetId="59">OFFSET(Tools!$BE$104,,,1,IF(Max_STN_count&lt;7,1,Max_WL_count))</definedName>
    <definedName name="BP_8" localSheetId="59">OFFSET(Tools!$BE$105,,,1,IF(Max_STN_count&lt;8,1,Max_WL_count))</definedName>
    <definedName name="BP_9" localSheetId="59">OFFSET(Tools!$BE$106,,,1,IF(Max_STN_count&lt;9,1,Max_WL_count))</definedName>
    <definedName name="BP_Plan" localSheetId="59">Tools!$BC$97:$CC$122</definedName>
    <definedName name="BREADTH">Tools!$D$43</definedName>
    <definedName name="CB" localSheetId="24">'WL (1)'!$S$31</definedName>
    <definedName name="CB" localSheetId="15">'WL (10)'!$S$31</definedName>
    <definedName name="CB" localSheetId="14">'WL (11)'!$S$31</definedName>
    <definedName name="CB" localSheetId="13">'WL (12)'!$S$31</definedName>
    <definedName name="CB" localSheetId="12">'WL (13)'!$S$31</definedName>
    <definedName name="CB" localSheetId="11">'WL (14)'!$S$31</definedName>
    <definedName name="CB" localSheetId="10">'WL (15)'!$S$31</definedName>
    <definedName name="CB" localSheetId="9">'WL (16)'!$S$31</definedName>
    <definedName name="CB" localSheetId="8">'WL (17)'!$S$31</definedName>
    <definedName name="CB" localSheetId="7">'WL (18)'!$S$31</definedName>
    <definedName name="CB" localSheetId="6">'WL (19)'!$S$31</definedName>
    <definedName name="CB" localSheetId="23">'WL (2)'!$S$31</definedName>
    <definedName name="CB" localSheetId="5">'WL (20)'!$S$31</definedName>
    <definedName name="CB" localSheetId="4">'WL (21)'!$S$31</definedName>
    <definedName name="CB" localSheetId="3">'WL (22)'!$S$31</definedName>
    <definedName name="CB" localSheetId="2">'WL (23)'!$S$31</definedName>
    <definedName name="CB" localSheetId="1">'WL (24)'!$S$31</definedName>
    <definedName name="CB" localSheetId="0">'WL (25)'!$S$31</definedName>
    <definedName name="CB" localSheetId="22">'WL (3)'!$S$31</definedName>
    <definedName name="CB" localSheetId="21">'WL (4)'!$S$31</definedName>
    <definedName name="CB" localSheetId="20">'WL (5)'!$S$31</definedName>
    <definedName name="CB" localSheetId="19">'WL (6)'!$S$31</definedName>
    <definedName name="CB" localSheetId="18">'WL (7)'!$S$31</definedName>
    <definedName name="CB" localSheetId="17">'WL (8)'!$S$31</definedName>
    <definedName name="CB" localSheetId="16">'WL (9)'!$S$31</definedName>
    <definedName name="CB" localSheetId="51">'WL (x)'!$S$60</definedName>
    <definedName name="CB">Main!$K$12</definedName>
    <definedName name="CM" localSheetId="24">'WL (1)'!$S$32</definedName>
    <definedName name="CM" localSheetId="15">'WL (10)'!$S$32</definedName>
    <definedName name="CM" localSheetId="14">'WL (11)'!$S$32</definedName>
    <definedName name="CM" localSheetId="13">'WL (12)'!$S$32</definedName>
    <definedName name="CM" localSheetId="12">'WL (13)'!$S$32</definedName>
    <definedName name="CM" localSheetId="11">'WL (14)'!$S$32</definedName>
    <definedName name="CM" localSheetId="10">'WL (15)'!$S$32</definedName>
    <definedName name="CM" localSheetId="9">'WL (16)'!$S$32</definedName>
    <definedName name="CM" localSheetId="8">'WL (17)'!$S$32</definedName>
    <definedName name="CM" localSheetId="7">'WL (18)'!$S$32</definedName>
    <definedName name="CM" localSheetId="6">'WL (19)'!$S$32</definedName>
    <definedName name="CM" localSheetId="23">'WL (2)'!$S$32</definedName>
    <definedName name="CM" localSheetId="5">'WL (20)'!$S$32</definedName>
    <definedName name="CM" localSheetId="4">'WL (21)'!$S$32</definedName>
    <definedName name="CM" localSheetId="3">'WL (22)'!$S$32</definedName>
    <definedName name="CM" localSheetId="2">'WL (23)'!$S$32</definedName>
    <definedName name="CM" localSheetId="1">'WL (24)'!$S$32</definedName>
    <definedName name="CM" localSheetId="0">'WL (25)'!$S$32</definedName>
    <definedName name="CM" localSheetId="22">'WL (3)'!$S$32</definedName>
    <definedName name="CM" localSheetId="21">'WL (4)'!$S$32</definedName>
    <definedName name="CM" localSheetId="20">'WL (5)'!$S$32</definedName>
    <definedName name="CM" localSheetId="19">'WL (6)'!$S$32</definedName>
    <definedName name="CM" localSheetId="18">'WL (7)'!$S$32</definedName>
    <definedName name="CM" localSheetId="17">'WL (8)'!$S$32</definedName>
    <definedName name="CM" localSheetId="16">'WL (9)'!$S$32</definedName>
    <definedName name="CM" localSheetId="51">'WL (x)'!$S$61</definedName>
    <definedName name="CM">Main!$K$13</definedName>
    <definedName name="Count_STN" localSheetId="49">'Stn(1)'!$N$1</definedName>
    <definedName name="Count_STN" localSheetId="40">'Stn(10)'!$N$1</definedName>
    <definedName name="Count_STN" localSheetId="39">'Stn(11)'!$N$1</definedName>
    <definedName name="Count_STN" localSheetId="38">'Stn(12)'!$N$1</definedName>
    <definedName name="Count_STN" localSheetId="37">'Stn(13)'!$N$1</definedName>
    <definedName name="Count_STN" localSheetId="36">'Stn(14)'!$N$1</definedName>
    <definedName name="Count_STN" localSheetId="35">'Stn(15)'!$N$1</definedName>
    <definedName name="Count_STN" localSheetId="34">'Stn(16)'!$N$1</definedName>
    <definedName name="Count_STN" localSheetId="33">'Stn(17)'!$N$1</definedName>
    <definedName name="Count_STN" localSheetId="32">'Stn(18)'!$N$1</definedName>
    <definedName name="Count_STN" localSheetId="31">'Stn(19)'!$N$1</definedName>
    <definedName name="Count_STN" localSheetId="48">'Stn(2)'!$N$1</definedName>
    <definedName name="Count_STN" localSheetId="30">'Stn(20)'!$N$1</definedName>
    <definedName name="Count_STN" localSheetId="29">'Stn(21)'!$N$1</definedName>
    <definedName name="Count_STN" localSheetId="28">'Stn(22)'!$N$1</definedName>
    <definedName name="Count_STN" localSheetId="27">'Stn(23)'!$N$1</definedName>
    <definedName name="Count_STN" localSheetId="26">'Stn(24)'!$N$1</definedName>
    <definedName name="Count_STN" localSheetId="25">'Stn(25)'!$N$1</definedName>
    <definedName name="Count_STN" localSheetId="47">'Stn(3)'!$N$1</definedName>
    <definedName name="Count_STN" localSheetId="46">'Stn(4)'!$N$1</definedName>
    <definedName name="Count_STN" localSheetId="45">'Stn(5)'!$N$1</definedName>
    <definedName name="Count_STN" localSheetId="44">'Stn(6)'!$N$1</definedName>
    <definedName name="Count_STN" localSheetId="43">'Stn(7)'!$N$1</definedName>
    <definedName name="Count_STN" localSheetId="42">'Stn(8)'!$N$1</definedName>
    <definedName name="Count_STN" localSheetId="41">'Stn(9)'!$N$1</definedName>
    <definedName name="Count_STN" localSheetId="57">'View Bonjean'!#REF!</definedName>
    <definedName name="Count_WL" localSheetId="24">'WL (1)'!$F$1</definedName>
    <definedName name="Count_WL" localSheetId="15">'WL (10)'!$F$1</definedName>
    <definedName name="Count_WL" localSheetId="14">'WL (11)'!$F$1</definedName>
    <definedName name="Count_WL" localSheetId="13">'WL (12)'!$F$1</definedName>
    <definedName name="Count_WL" localSheetId="12">'WL (13)'!$F$1</definedName>
    <definedName name="Count_WL" localSheetId="11">'WL (14)'!$F$1</definedName>
    <definedName name="Count_WL" localSheetId="10">'WL (15)'!$F$1</definedName>
    <definedName name="Count_WL" localSheetId="9">'WL (16)'!$F$1</definedName>
    <definedName name="Count_WL" localSheetId="8">'WL (17)'!$F$1</definedName>
    <definedName name="Count_WL" localSheetId="7">'WL (18)'!$F$1</definedName>
    <definedName name="Count_WL" localSheetId="6">'WL (19)'!$F$1</definedName>
    <definedName name="Count_WL" localSheetId="23">'WL (2)'!$F$1</definedName>
    <definedName name="Count_WL" localSheetId="5">'WL (20)'!$F$1</definedName>
    <definedName name="Count_WL" localSheetId="4">'WL (21)'!$F$1</definedName>
    <definedName name="Count_WL" localSheetId="3">'WL (22)'!$F$1</definedName>
    <definedName name="Count_WL" localSheetId="2">'WL (23)'!$F$1</definedName>
    <definedName name="Count_WL" localSheetId="1">'WL (24)'!$F$1</definedName>
    <definedName name="Count_WL" localSheetId="0">'WL (25)'!$F$1</definedName>
    <definedName name="Count_WL" localSheetId="22">'WL (3)'!$F$1</definedName>
    <definedName name="Count_WL" localSheetId="21">'WL (4)'!$F$1</definedName>
    <definedName name="Count_WL" localSheetId="20">'WL (5)'!$F$1</definedName>
    <definedName name="Count_WL" localSheetId="19">'WL (6)'!$F$1</definedName>
    <definedName name="Count_WL" localSheetId="18">'WL (7)'!$F$1</definedName>
    <definedName name="Count_WL" localSheetId="17">'WL (8)'!$F$1</definedName>
    <definedName name="Count_WL" localSheetId="16">'WL (9)'!$F$1</definedName>
    <definedName name="Count_WL" localSheetId="51">'WL (x)'!$F$1</definedName>
    <definedName name="CP" localSheetId="24">'WL (1)'!$S$33</definedName>
    <definedName name="CP" localSheetId="15">'WL (10)'!$S$33</definedName>
    <definedName name="CP" localSheetId="14">'WL (11)'!$S$33</definedName>
    <definedName name="CP" localSheetId="13">'WL (12)'!$S$33</definedName>
    <definedName name="CP" localSheetId="12">'WL (13)'!$S$33</definedName>
    <definedName name="CP" localSheetId="11">'WL (14)'!$S$33</definedName>
    <definedName name="CP" localSheetId="10">'WL (15)'!$S$33</definedName>
    <definedName name="CP" localSheetId="9">'WL (16)'!$S$33</definedName>
    <definedName name="CP" localSheetId="8">'WL (17)'!$S$33</definedName>
    <definedName name="CP" localSheetId="7">'WL (18)'!$S$33</definedName>
    <definedName name="CP" localSheetId="6">'WL (19)'!$S$33</definedName>
    <definedName name="CP" localSheetId="23">'WL (2)'!$S$33</definedName>
    <definedName name="CP" localSheetId="5">'WL (20)'!$S$33</definedName>
    <definedName name="CP" localSheetId="4">'WL (21)'!$S$33</definedName>
    <definedName name="CP" localSheetId="3">'WL (22)'!$S$33</definedName>
    <definedName name="CP" localSheetId="2">'WL (23)'!$S$33</definedName>
    <definedName name="CP" localSheetId="1">'WL (24)'!$S$33</definedName>
    <definedName name="CP" localSheetId="0">'WL (25)'!$S$33</definedName>
    <definedName name="CP" localSheetId="22">'WL (3)'!$S$33</definedName>
    <definedName name="CP" localSheetId="21">'WL (4)'!$S$33</definedName>
    <definedName name="CP" localSheetId="20">'WL (5)'!$S$33</definedName>
    <definedName name="CP" localSheetId="19">'WL (6)'!$S$33</definedName>
    <definedName name="CP" localSheetId="18">'WL (7)'!$S$33</definedName>
    <definedName name="CP" localSheetId="17">'WL (8)'!$S$33</definedName>
    <definedName name="CP" localSheetId="16">'WL (9)'!$S$33</definedName>
    <definedName name="CP" localSheetId="51">'WL (x)'!$S$62</definedName>
    <definedName name="CP">Main!$K$14</definedName>
    <definedName name="CW" localSheetId="24">'WL (1)'!$S$30</definedName>
    <definedName name="CW" localSheetId="15">'WL (10)'!$S$30</definedName>
    <definedName name="CW" localSheetId="14">'WL (11)'!$S$30</definedName>
    <definedName name="CW" localSheetId="13">'WL (12)'!$S$30</definedName>
    <definedName name="CW" localSheetId="12">'WL (13)'!$S$30</definedName>
    <definedName name="CW" localSheetId="11">'WL (14)'!$S$30</definedName>
    <definedName name="CW" localSheetId="10">'WL (15)'!$S$30</definedName>
    <definedName name="CW" localSheetId="9">'WL (16)'!$S$30</definedName>
    <definedName name="CW" localSheetId="8">'WL (17)'!$S$30</definedName>
    <definedName name="CW" localSheetId="7">'WL (18)'!$S$30</definedName>
    <definedName name="CW" localSheetId="6">'WL (19)'!$S$30</definedName>
    <definedName name="CW" localSheetId="23">'WL (2)'!$S$30</definedName>
    <definedName name="CW" localSheetId="5">'WL (20)'!$S$30</definedName>
    <definedName name="CW" localSheetId="4">'WL (21)'!$S$30</definedName>
    <definedName name="CW" localSheetId="3">'WL (22)'!$S$30</definedName>
    <definedName name="CW" localSheetId="2">'WL (23)'!$S$30</definedName>
    <definedName name="CW" localSheetId="1">'WL (24)'!$S$30</definedName>
    <definedName name="CW" localSheetId="0">'WL (25)'!$S$30</definedName>
    <definedName name="CW" localSheetId="22">'WL (3)'!$S$30</definedName>
    <definedName name="CW" localSheetId="21">'WL (4)'!$S$30</definedName>
    <definedName name="CW" localSheetId="20">'WL (5)'!$S$30</definedName>
    <definedName name="CW" localSheetId="19">'WL (6)'!$S$30</definedName>
    <definedName name="CW" localSheetId="18">'WL (7)'!$S$30</definedName>
    <definedName name="CW" localSheetId="17">'WL (8)'!$S$30</definedName>
    <definedName name="CW" localSheetId="16">'WL (9)'!$S$30</definedName>
    <definedName name="CW" localSheetId="51">'WL (x)'!$S$59</definedName>
    <definedName name="DEPTH">Tools!$D$44</definedName>
    <definedName name="DRAFT">Tools!$D$45</definedName>
    <definedName name="g" localSheetId="59">Tools!$F$2</definedName>
    <definedName name="Grid_AutoCAD" localSheetId="59">Tools!$AR$34:$CD$63</definedName>
    <definedName name="h" localSheetId="59">Tools!$C$3</definedName>
    <definedName name="h" localSheetId="24">'WL (1)'!$S$3</definedName>
    <definedName name="h" localSheetId="15">'WL (10)'!$S$3</definedName>
    <definedName name="h" localSheetId="14">'WL (11)'!$S$3</definedName>
    <definedName name="h" localSheetId="13">'WL (12)'!$S$3</definedName>
    <definedName name="h" localSheetId="12">'WL (13)'!$S$3</definedName>
    <definedName name="h" localSheetId="11">'WL (14)'!$S$3</definedName>
    <definedName name="h" localSheetId="10">'WL (15)'!$S$3</definedName>
    <definedName name="h" localSheetId="9">'WL (16)'!$S$3</definedName>
    <definedName name="h" localSheetId="8">'WL (17)'!$S$3</definedName>
    <definedName name="h" localSheetId="7">'WL (18)'!$S$3</definedName>
    <definedName name="h" localSheetId="6">'WL (19)'!$S$3</definedName>
    <definedName name="h" localSheetId="23">'WL (2)'!$S$3</definedName>
    <definedName name="h" localSheetId="5">'WL (20)'!$S$3</definedName>
    <definedName name="h" localSheetId="4">'WL (21)'!$S$3</definedName>
    <definedName name="h" localSheetId="3">'WL (22)'!$S$3</definedName>
    <definedName name="h" localSheetId="2">'WL (23)'!$S$3</definedName>
    <definedName name="h" localSheetId="1">'WL (24)'!$S$3</definedName>
    <definedName name="h" localSheetId="0">'WL (25)'!$S$3</definedName>
    <definedName name="h" localSheetId="22">'WL (3)'!$S$3</definedName>
    <definedName name="h" localSheetId="21">'WL (4)'!$S$3</definedName>
    <definedName name="h" localSheetId="20">'WL (5)'!$S$3</definedName>
    <definedName name="h" localSheetId="19">'WL (6)'!$S$3</definedName>
    <definedName name="h" localSheetId="18">'WL (7)'!$S$3</definedName>
    <definedName name="h" localSheetId="17">'WL (8)'!$S$3</definedName>
    <definedName name="h" localSheetId="16">'WL (9)'!$S$3</definedName>
    <definedName name="h" localSheetId="51">'WL (x)'!$S$4</definedName>
    <definedName name="H_AWP" localSheetId="59">OFFSET(Tools!$E$211,,,1,Max_WL_count)</definedName>
    <definedName name="H_BML" localSheetId="59">OFFSET(Tools!$E$221,,1,1,Max_WL_count-1)</definedName>
    <definedName name="H_BMT" localSheetId="59">OFFSET(Tools!$E$222,,1,1,Max_WL_count-1)</definedName>
    <definedName name="H_CB" localSheetId="59">OFFSET(Tools!$E$231,,1,1,Max_WL_count-1)</definedName>
    <definedName name="H_CM" localSheetId="59">OFFSET(Tools!$E$232,,1,1,Max_WL_count-1)</definedName>
    <definedName name="H_CP" localSheetId="59">OFFSET(Tools!$E$233,,1,1,Max_WL_count-1)</definedName>
    <definedName name="H_CW" localSheetId="59">OFFSET(Tools!$E$230,,,1,Max_WL_count)</definedName>
    <definedName name="H_IF" localSheetId="59">OFFSET(Tools!$E$216,,,1,Max_WL_count)</definedName>
    <definedName name="H_IL" localSheetId="59">OFFSET(Tools!$E$214,,,1,Max_WL_count)</definedName>
    <definedName name="H_IT" localSheetId="59">OFFSET(Tools!$E$215,,,1,Max_WL_count)</definedName>
    <definedName name="H_KB" localSheetId="59">OFFSET(Tools!$E$223,,1,1,Max_WL_count-1)</definedName>
    <definedName name="H_KML" localSheetId="59">OFFSET(Tools!$E$225,,1,1,Max_WL_count-1)</definedName>
    <definedName name="H_KMT" localSheetId="59">OFFSET(Tools!$E$224,,1,1,Max_WL_count-1)</definedName>
    <definedName name="H_LCB" localSheetId="59">OFFSET(Tools!$E$227,,1,1,Max_WL_count-1)</definedName>
    <definedName name="H_LCF" localSheetId="59">OFFSET(Tools!$E$213,,,1,Max_WL_count)</definedName>
    <definedName name="H_MCT" localSheetId="59">OFFSET(Tools!$E$228,,1,1,Max_WL_count-1)</definedName>
    <definedName name="H_MDisp" localSheetId="59">OFFSET(Tools!$E$218,,,1,Max_WL_count)</definedName>
    <definedName name="H_ML" localSheetId="59">OFFSET(Tools!$E$220,,,1,Max_WL_count)</definedName>
    <definedName name="H_Mmid" localSheetId="59">OFFSET(Tools!$E$212,,,1,Max_WL_count)</definedName>
    <definedName name="H_MT" localSheetId="59">OFFSET(Tools!$E$219,,,1,Max_WL_count)</definedName>
    <definedName name="H_T" localSheetId="59">OFFSET(Tools!$E$229,,,1,Max_WL_count)</definedName>
    <definedName name="H_TPC" localSheetId="59">OFFSET(Tools!$E$226,,,1,Max_WL_count)</definedName>
    <definedName name="H_VDisp" localSheetId="59">OFFSET(Tools!$E$217,,,1,Max_WL_count)</definedName>
    <definedName name="H_WL_List" localSheetId="59">OFFSET(Tools!$E$210,,,1,Max_WL_count)</definedName>
    <definedName name="H_WL_List2" localSheetId="59">OFFSET(Tools!$E$210,,1,1,Max_WL_count-1)</definedName>
    <definedName name="Halfbreadth_Splines" localSheetId="59">Tools!$A$125:$BA$151</definedName>
    <definedName name="HB_1" localSheetId="59">OFFSET(Tools!$AE$3,0,0,Max_STN_count,1)</definedName>
    <definedName name="HB_10" localSheetId="59">OFFSET(Tools!$AE$3,0,9,Max_STN_count,1)</definedName>
    <definedName name="HB_11" localSheetId="59">OFFSET(Tools!$AE$3,0,10,Max_STN_count,1)</definedName>
    <definedName name="HB_12" localSheetId="59">OFFSET(Tools!$AE$3,0,11,Max_STN_count,1)</definedName>
    <definedName name="HB_13" localSheetId="59">OFFSET(Tools!$AE$3,0,12,Max_STN_count,1)</definedName>
    <definedName name="HB_14" localSheetId="59">OFFSET(Tools!$AE$3,0,13,Max_STN_count,1)</definedName>
    <definedName name="HB_15" localSheetId="59">OFFSET(Tools!$AE$3,0,14,Max_STN_count,1)</definedName>
    <definedName name="HB_16" localSheetId="59">OFFSET(Tools!$AE$3,0,15,Max_STN_count,1)</definedName>
    <definedName name="HB_17" localSheetId="59">OFFSET(Tools!$AE$3,0,16,Max_STN_count,1)</definedName>
    <definedName name="HB_18" localSheetId="59">OFFSET(Tools!$AE$3,0,17,Max_STN_count,1)</definedName>
    <definedName name="HB_19" localSheetId="59">OFFSET(Tools!$AE$3,0,18,Max_STN_count,1)</definedName>
    <definedName name="HB_2" localSheetId="59">OFFSET(Tools!$AE$3,0,1,Max_STN_count,1)</definedName>
    <definedName name="HB_20" localSheetId="59">OFFSET(Tools!$AE$3,0,19,Max_STN_count,1)</definedName>
    <definedName name="HB_21" localSheetId="59">OFFSET(Tools!$AE$3,0,20,Max_STN_count,1)</definedName>
    <definedName name="HB_22" localSheetId="59">OFFSET(Tools!$AE$3,0,21,Max_STN_count,1)</definedName>
    <definedName name="HB_23" localSheetId="59">OFFSET(Tools!$AE$3,0,22,Max_STN_count,1)</definedName>
    <definedName name="HB_24" localSheetId="59">OFFSET(Tools!$AE$3,0,23,Max_STN_count,1)</definedName>
    <definedName name="HB_25" localSheetId="59">OFFSET(Tools!$AE$3,0,24,Max_STN_count,1)</definedName>
    <definedName name="HB_3" localSheetId="59">OFFSET(Tools!$AE$3,0,2,Max_STN_count,1)</definedName>
    <definedName name="HB_4" localSheetId="59">OFFSET(Tools!$AE$3,0,3,Max_STN_count,1)</definedName>
    <definedName name="HB_5" localSheetId="59">OFFSET(Tools!$AE$3,0,4,Max_STN_count,1)</definedName>
    <definedName name="HB_6" localSheetId="59">OFFSET(Tools!$AE$3,0,5,Max_STN_count,1)</definedName>
    <definedName name="HB_7" localSheetId="59">OFFSET(Tools!$AE$3,0,6,Max_STN_count,1)</definedName>
    <definedName name="HB_8" localSheetId="59">OFFSET(Tools!$AE$3,0,7,Max_STN_count,1)</definedName>
    <definedName name="HB_9" localSheetId="59">OFFSET(Tools!$AE$3,0,8,Max_STN_count,1)</definedName>
    <definedName name="Hydros" localSheetId="59">Tools!$BC$68:$CB$92</definedName>
    <definedName name="Hydros_Table">Hydros!$A$2:$Z$25</definedName>
    <definedName name="IF" localSheetId="24">'WL (1)'!$S$16</definedName>
    <definedName name="IF" localSheetId="15">'WL (10)'!$S$16</definedName>
    <definedName name="IF" localSheetId="14">'WL (11)'!$S$16</definedName>
    <definedName name="IF" localSheetId="13">'WL (12)'!$S$16</definedName>
    <definedName name="IF" localSheetId="12">'WL (13)'!$S$16</definedName>
    <definedName name="IF" localSheetId="11">'WL (14)'!$S$16</definedName>
    <definedName name="IF" localSheetId="10">'WL (15)'!$S$16</definedName>
    <definedName name="IF" localSheetId="9">'WL (16)'!$S$16</definedName>
    <definedName name="IF" localSheetId="8">'WL (17)'!$S$16</definedName>
    <definedName name="IF" localSheetId="7">'WL (18)'!$S$16</definedName>
    <definedName name="IF" localSheetId="6">'WL (19)'!$S$16</definedName>
    <definedName name="IF" localSheetId="23">'WL (2)'!$S$16</definedName>
    <definedName name="IF" localSheetId="5">'WL (20)'!$S$16</definedName>
    <definedName name="IF" localSheetId="4">'WL (21)'!$S$16</definedName>
    <definedName name="IF" localSheetId="3">'WL (22)'!$S$16</definedName>
    <definedName name="IF" localSheetId="2">'WL (23)'!$S$16</definedName>
    <definedName name="IF" localSheetId="1">'WL (24)'!$S$16</definedName>
    <definedName name="IF" localSheetId="0">'WL (25)'!$S$16</definedName>
    <definedName name="IF" localSheetId="22">'WL (3)'!$S$16</definedName>
    <definedName name="IF" localSheetId="21">'WL (4)'!$S$16</definedName>
    <definedName name="IF" localSheetId="20">'WL (5)'!$S$16</definedName>
    <definedName name="IF" localSheetId="19">'WL (6)'!$S$16</definedName>
    <definedName name="IF" localSheetId="18">'WL (7)'!$S$16</definedName>
    <definedName name="IF" localSheetId="17">'WL (8)'!$S$16</definedName>
    <definedName name="IF" localSheetId="16">'WL (9)'!$S$16</definedName>
    <definedName name="IF" localSheetId="51">'WL (x)'!$S$45</definedName>
    <definedName name="IL" localSheetId="24">'WL (1)'!$S$14</definedName>
    <definedName name="IL" localSheetId="15">'WL (10)'!$S$14</definedName>
    <definedName name="IL" localSheetId="14">'WL (11)'!$S$14</definedName>
    <definedName name="IL" localSheetId="13">'WL (12)'!$S$14</definedName>
    <definedName name="IL" localSheetId="12">'WL (13)'!$S$14</definedName>
    <definedName name="IL" localSheetId="11">'WL (14)'!$S$14</definedName>
    <definedName name="IL" localSheetId="10">'WL (15)'!$S$14</definedName>
    <definedName name="IL" localSheetId="9">'WL (16)'!$S$14</definedName>
    <definedName name="IL" localSheetId="8">'WL (17)'!$S$14</definedName>
    <definedName name="IL" localSheetId="7">'WL (18)'!$S$14</definedName>
    <definedName name="IL" localSheetId="6">'WL (19)'!$S$14</definedName>
    <definedName name="IL" localSheetId="23">'WL (2)'!$S$14</definedName>
    <definedName name="IL" localSheetId="5">'WL (20)'!$S$14</definedName>
    <definedName name="IL" localSheetId="4">'WL (21)'!$S$14</definedName>
    <definedName name="IL" localSheetId="3">'WL (22)'!$S$14</definedName>
    <definedName name="IL" localSheetId="2">'WL (23)'!$S$14</definedName>
    <definedName name="IL" localSheetId="1">'WL (24)'!$S$14</definedName>
    <definedName name="IL" localSheetId="0">'WL (25)'!$S$14</definedName>
    <definedName name="IL" localSheetId="22">'WL (3)'!$S$14</definedName>
    <definedName name="IL" localSheetId="21">'WL (4)'!$S$14</definedName>
    <definedName name="IL" localSheetId="20">'WL (5)'!$S$14</definedName>
    <definedName name="IL" localSheetId="19">'WL (6)'!$S$14</definedName>
    <definedName name="IL" localSheetId="18">'WL (7)'!$S$14</definedName>
    <definedName name="IL" localSheetId="17">'WL (8)'!$S$14</definedName>
    <definedName name="IL" localSheetId="16">'WL (9)'!$S$14</definedName>
    <definedName name="IL" localSheetId="51">'WL (x)'!$S$43</definedName>
    <definedName name="IT" localSheetId="24">'WL (1)'!$S$15</definedName>
    <definedName name="IT" localSheetId="15">'WL (10)'!$S$15</definedName>
    <definedName name="IT" localSheetId="14">'WL (11)'!$S$15</definedName>
    <definedName name="IT" localSheetId="13">'WL (12)'!$S$15</definedName>
    <definedName name="IT" localSheetId="12">'WL (13)'!$S$15</definedName>
    <definedName name="IT" localSheetId="11">'WL (14)'!$S$15</definedName>
    <definedName name="IT" localSheetId="10">'WL (15)'!$S$15</definedName>
    <definedName name="IT" localSheetId="9">'WL (16)'!$S$15</definedName>
    <definedName name="IT" localSheetId="8">'WL (17)'!$S$15</definedName>
    <definedName name="IT" localSheetId="7">'WL (18)'!$S$15</definedName>
    <definedName name="IT" localSheetId="6">'WL (19)'!$S$15</definedName>
    <definedName name="IT" localSheetId="23">'WL (2)'!$S$15</definedName>
    <definedName name="IT" localSheetId="5">'WL (20)'!$S$15</definedName>
    <definedName name="IT" localSheetId="4">'WL (21)'!$S$15</definedName>
    <definedName name="IT" localSheetId="3">'WL (22)'!$S$15</definedName>
    <definedName name="IT" localSheetId="2">'WL (23)'!$S$15</definedName>
    <definedName name="IT" localSheetId="1">'WL (24)'!$S$15</definedName>
    <definedName name="IT" localSheetId="0">'WL (25)'!$S$15</definedName>
    <definedName name="IT" localSheetId="22">'WL (3)'!$S$15</definedName>
    <definedName name="IT" localSheetId="21">'WL (4)'!$S$15</definedName>
    <definedName name="IT" localSheetId="20">'WL (5)'!$S$15</definedName>
    <definedName name="IT" localSheetId="19">'WL (6)'!$S$15</definedName>
    <definedName name="IT" localSheetId="18">'WL (7)'!$S$15</definedName>
    <definedName name="IT" localSheetId="17">'WL (8)'!$S$15</definedName>
    <definedName name="IT" localSheetId="16">'WL (9)'!$S$15</definedName>
    <definedName name="IT" localSheetId="51">'WL (x)'!$S$44</definedName>
    <definedName name="KB" localSheetId="24">'WL (1)'!$S$23</definedName>
    <definedName name="KB" localSheetId="15">'WL (10)'!$S$23</definedName>
    <definedName name="KB" localSheetId="14">'WL (11)'!$S$23</definedName>
    <definedName name="KB" localSheetId="13">'WL (12)'!$S$23</definedName>
    <definedName name="KB" localSheetId="12">'WL (13)'!$S$23</definedName>
    <definedName name="KB" localSheetId="11">'WL (14)'!$S$23</definedName>
    <definedName name="KB" localSheetId="10">'WL (15)'!$S$23</definedName>
    <definedName name="KB" localSheetId="9">'WL (16)'!$S$23</definedName>
    <definedName name="KB" localSheetId="8">'WL (17)'!$S$23</definedName>
    <definedName name="KB" localSheetId="7">'WL (18)'!$S$23</definedName>
    <definedName name="KB" localSheetId="6">'WL (19)'!$S$23</definedName>
    <definedName name="KB" localSheetId="23">'WL (2)'!$S$23</definedName>
    <definedName name="KB" localSheetId="5">'WL (20)'!$S$23</definedName>
    <definedName name="KB" localSheetId="4">'WL (21)'!$S$23</definedName>
    <definedName name="KB" localSheetId="3">'WL (22)'!$S$23</definedName>
    <definedName name="KB" localSheetId="2">'WL (23)'!$S$23</definedName>
    <definedName name="KB" localSheetId="1">'WL (24)'!$S$23</definedName>
    <definedName name="KB" localSheetId="0">'WL (25)'!$S$23</definedName>
    <definedName name="KB" localSheetId="22">'WL (3)'!$S$23</definedName>
    <definedName name="KB" localSheetId="21">'WL (4)'!$S$23</definedName>
    <definedName name="KB" localSheetId="20">'WL (5)'!$S$23</definedName>
    <definedName name="KB" localSheetId="19">'WL (6)'!$S$23</definedName>
    <definedName name="KB" localSheetId="18">'WL (7)'!$S$23</definedName>
    <definedName name="KB" localSheetId="17">'WL (8)'!$S$23</definedName>
    <definedName name="KB" localSheetId="16">'WL (9)'!$S$23</definedName>
    <definedName name="KB" localSheetId="51">'WL (x)'!$S$52</definedName>
    <definedName name="KB">Main!$K$8</definedName>
    <definedName name="KML" localSheetId="24">'WL (1)'!$S$25</definedName>
    <definedName name="KML" localSheetId="15">'WL (10)'!$S$25</definedName>
    <definedName name="KML" localSheetId="14">'WL (11)'!$S$25</definedName>
    <definedName name="KML" localSheetId="13">'WL (12)'!$S$25</definedName>
    <definedName name="KML" localSheetId="12">'WL (13)'!$S$25</definedName>
    <definedName name="KML" localSheetId="11">'WL (14)'!$S$25</definedName>
    <definedName name="KML" localSheetId="10">'WL (15)'!$S$25</definedName>
    <definedName name="KML" localSheetId="9">'WL (16)'!$S$25</definedName>
    <definedName name="KML" localSheetId="8">'WL (17)'!$S$25</definedName>
    <definedName name="KML" localSheetId="7">'WL (18)'!$S$25</definedName>
    <definedName name="KML" localSheetId="6">'WL (19)'!$S$25</definedName>
    <definedName name="KML" localSheetId="23">'WL (2)'!$S$25</definedName>
    <definedName name="KML" localSheetId="5">'WL (20)'!$S$25</definedName>
    <definedName name="KML" localSheetId="4">'WL (21)'!$S$25</definedName>
    <definedName name="KML" localSheetId="3">'WL (22)'!$S$25</definedName>
    <definedName name="KML" localSheetId="2">'WL (23)'!$S$25</definedName>
    <definedName name="KML" localSheetId="1">'WL (24)'!$S$25</definedName>
    <definedName name="KML" localSheetId="0">'WL (25)'!$S$25</definedName>
    <definedName name="KML" localSheetId="22">'WL (3)'!$S$25</definedName>
    <definedName name="KML" localSheetId="21">'WL (4)'!$S$25</definedName>
    <definedName name="KML" localSheetId="20">'WL (5)'!$S$25</definedName>
    <definedName name="KML" localSheetId="19">'WL (6)'!$S$25</definedName>
    <definedName name="KML" localSheetId="18">'WL (7)'!$S$25</definedName>
    <definedName name="KML" localSheetId="17">'WL (8)'!$S$25</definedName>
    <definedName name="KML" localSheetId="16">'WL (9)'!$S$25</definedName>
    <definedName name="KML" localSheetId="51">'WL (x)'!$S$54</definedName>
    <definedName name="KMT" localSheetId="24">'WL (1)'!$S$24</definedName>
    <definedName name="KMT" localSheetId="15">'WL (10)'!$S$24</definedName>
    <definedName name="KMT" localSheetId="14">'WL (11)'!$S$24</definedName>
    <definedName name="KMT" localSheetId="13">'WL (12)'!$S$24</definedName>
    <definedName name="KMT" localSheetId="12">'WL (13)'!$S$24</definedName>
    <definedName name="KMT" localSheetId="11">'WL (14)'!$S$24</definedName>
    <definedName name="KMT" localSheetId="10">'WL (15)'!$S$24</definedName>
    <definedName name="KMT" localSheetId="9">'WL (16)'!$S$24</definedName>
    <definedName name="KMT" localSheetId="8">'WL (17)'!$S$24</definedName>
    <definedName name="KMT" localSheetId="7">'WL (18)'!$S$24</definedName>
    <definedName name="KMT" localSheetId="6">'WL (19)'!$S$24</definedName>
    <definedName name="KMT" localSheetId="23">'WL (2)'!$S$24</definedName>
    <definedName name="KMT" localSheetId="5">'WL (20)'!$S$24</definedName>
    <definedName name="KMT" localSheetId="4">'WL (21)'!$S$24</definedName>
    <definedName name="KMT" localSheetId="3">'WL (22)'!$S$24</definedName>
    <definedName name="KMT" localSheetId="2">'WL (23)'!$S$24</definedName>
    <definedName name="KMT" localSheetId="1">'WL (24)'!$S$24</definedName>
    <definedName name="KMT" localSheetId="0">'WL (25)'!$S$24</definedName>
    <definedName name="KMT" localSheetId="22">'WL (3)'!$S$24</definedName>
    <definedName name="KMT" localSheetId="21">'WL (4)'!$S$24</definedName>
    <definedName name="KMT" localSheetId="20">'WL (5)'!$S$24</definedName>
    <definedName name="KMT" localSheetId="19">'WL (6)'!$S$24</definedName>
    <definedName name="KMT" localSheetId="18">'WL (7)'!$S$24</definedName>
    <definedName name="KMT" localSheetId="17">'WL (8)'!$S$24</definedName>
    <definedName name="KMT" localSheetId="16">'WL (9)'!$S$24</definedName>
    <definedName name="KMT" localSheetId="51">'WL (x)'!$S$53</definedName>
    <definedName name="LBP">Tools!$D$42</definedName>
    <definedName name="LCB" localSheetId="24">'WL (1)'!$S$27</definedName>
    <definedName name="LCB" localSheetId="15">'WL (10)'!$S$27</definedName>
    <definedName name="LCB" localSheetId="14">'WL (11)'!$S$27</definedName>
    <definedName name="LCB" localSheetId="13">'WL (12)'!$S$27</definedName>
    <definedName name="LCB" localSheetId="12">'WL (13)'!$S$27</definedName>
    <definedName name="LCB" localSheetId="11">'WL (14)'!$S$27</definedName>
    <definedName name="LCB" localSheetId="10">'WL (15)'!$S$27</definedName>
    <definedName name="LCB" localSheetId="9">'WL (16)'!$S$27</definedName>
    <definedName name="LCB" localSheetId="8">'WL (17)'!$S$27</definedName>
    <definedName name="LCB" localSheetId="7">'WL (18)'!$S$27</definedName>
    <definedName name="LCB" localSheetId="6">'WL (19)'!$S$27</definedName>
    <definedName name="LCB" localSheetId="23">'WL (2)'!$S$27</definedName>
    <definedName name="LCB" localSheetId="5">'WL (20)'!$S$27</definedName>
    <definedName name="LCB" localSheetId="4">'WL (21)'!$S$27</definedName>
    <definedName name="LCB" localSheetId="3">'WL (22)'!$S$27</definedName>
    <definedName name="LCB" localSheetId="2">'WL (23)'!$S$27</definedName>
    <definedName name="LCB" localSheetId="1">'WL (24)'!$S$27</definedName>
    <definedName name="LCB" localSheetId="0">'WL (25)'!$S$27</definedName>
    <definedName name="LCB" localSheetId="22">'WL (3)'!$S$27</definedName>
    <definedName name="LCB" localSheetId="21">'WL (4)'!$S$27</definedName>
    <definedName name="LCB" localSheetId="20">'WL (5)'!$S$27</definedName>
    <definedName name="LCB" localSheetId="19">'WL (6)'!$S$27</definedName>
    <definedName name="LCB" localSheetId="18">'WL (7)'!$S$27</definedName>
    <definedName name="LCB" localSheetId="17">'WL (8)'!$S$27</definedName>
    <definedName name="LCB" localSheetId="16">'WL (9)'!$S$27</definedName>
    <definedName name="LCB" localSheetId="51">'WL (x)'!$S$56</definedName>
    <definedName name="LCB">Main!$K$10</definedName>
    <definedName name="LCF" localSheetId="24">'WL (1)'!$S$13</definedName>
    <definedName name="LCF" localSheetId="15">'WL (10)'!$S$13</definedName>
    <definedName name="LCF" localSheetId="14">'WL (11)'!$S$13</definedName>
    <definedName name="LCF" localSheetId="13">'WL (12)'!$S$13</definedName>
    <definedName name="LCF" localSheetId="12">'WL (13)'!$S$13</definedName>
    <definedName name="LCF" localSheetId="11">'WL (14)'!$S$13</definedName>
    <definedName name="LCF" localSheetId="10">'WL (15)'!$S$13</definedName>
    <definedName name="LCF" localSheetId="9">'WL (16)'!$S$13</definedName>
    <definedName name="LCF" localSheetId="8">'WL (17)'!$S$13</definedName>
    <definedName name="LCF" localSheetId="7">'WL (18)'!$S$13</definedName>
    <definedName name="LCF" localSheetId="6">'WL (19)'!$S$13</definedName>
    <definedName name="LCF" localSheetId="23">'WL (2)'!$S$13</definedName>
    <definedName name="LCF" localSheetId="5">'WL (20)'!$S$13</definedName>
    <definedName name="LCF" localSheetId="4">'WL (21)'!$S$13</definedName>
    <definedName name="LCF" localSheetId="3">'WL (22)'!$S$13</definedName>
    <definedName name="LCF" localSheetId="2">'WL (23)'!$S$13</definedName>
    <definedName name="LCF" localSheetId="1">'WL (24)'!$S$13</definedName>
    <definedName name="LCF" localSheetId="0">'WL (25)'!$S$13</definedName>
    <definedName name="LCF" localSheetId="22">'WL (3)'!$S$13</definedName>
    <definedName name="LCF" localSheetId="21">'WL (4)'!$S$13</definedName>
    <definedName name="LCF" localSheetId="20">'WL (5)'!$S$13</definedName>
    <definedName name="LCF" localSheetId="19">'WL (6)'!$S$13</definedName>
    <definedName name="LCF" localSheetId="18">'WL (7)'!$S$13</definedName>
    <definedName name="LCF" localSheetId="17">'WL (8)'!$S$13</definedName>
    <definedName name="LCF" localSheetId="16">'WL (9)'!$S$13</definedName>
    <definedName name="LCF" localSheetId="51">'WL (x)'!$S$42</definedName>
    <definedName name="Long_Div">Tools!$D$47</definedName>
    <definedName name="LWL" localSheetId="24">'WL (1)'!$BG$9</definedName>
    <definedName name="LWL" localSheetId="23">'WL (2)'!$BG$9</definedName>
    <definedName name="LWL" localSheetId="22">'WL (3)'!$BG$9</definedName>
    <definedName name="LWL" localSheetId="51">'WL (x)'!$BG$9</definedName>
    <definedName name="LΔ1" localSheetId="59">OFFSET(Tools!#REF!,,,IF(MOD(CP*100,5)=0,1,2),1)</definedName>
    <definedName name="LΔ2" localSheetId="59">OFFSET(Tools!#REF!,,,IF(MOD(CP*100,5)=0,0,IF(AND(MOD(CP*100,1)=0,#REF!=Tools!E1),0,IF(AND(MOD(CP*100,1)=0,#REF!=Tools!E1048576),2,2))),1)</definedName>
    <definedName name="M_Disp" localSheetId="24">'WL (1)'!$S$18</definedName>
    <definedName name="M_Disp" localSheetId="15">'WL (10)'!$S$18</definedName>
    <definedName name="M_Disp" localSheetId="14">'WL (11)'!$S$18</definedName>
    <definedName name="M_Disp" localSheetId="13">'WL (12)'!$S$18</definedName>
    <definedName name="M_Disp" localSheetId="12">'WL (13)'!$S$18</definedName>
    <definedName name="M_Disp" localSheetId="11">'WL (14)'!$S$18</definedName>
    <definedName name="M_Disp" localSheetId="10">'WL (15)'!$S$18</definedName>
    <definedName name="M_Disp" localSheetId="9">'WL (16)'!$S$18</definedName>
    <definedName name="M_Disp" localSheetId="8">'WL (17)'!$S$18</definedName>
    <definedName name="M_Disp" localSheetId="7">'WL (18)'!$S$18</definedName>
    <definedName name="M_Disp" localSheetId="6">'WL (19)'!$S$18</definedName>
    <definedName name="M_Disp" localSheetId="23">'WL (2)'!$S$18</definedName>
    <definedName name="M_Disp" localSheetId="5">'WL (20)'!$S$18</definedName>
    <definedName name="M_Disp" localSheetId="4">'WL (21)'!$S$18</definedName>
    <definedName name="M_Disp" localSheetId="3">'WL (22)'!$S$18</definedName>
    <definedName name="M_Disp" localSheetId="2">'WL (23)'!$S$18</definedName>
    <definedName name="M_Disp" localSheetId="1">'WL (24)'!$S$18</definedName>
    <definedName name="M_Disp" localSheetId="0">'WL (25)'!$S$18</definedName>
    <definedName name="M_Disp" localSheetId="22">'WL (3)'!$S$18</definedName>
    <definedName name="M_Disp" localSheetId="21">'WL (4)'!$S$18</definedName>
    <definedName name="M_Disp" localSheetId="20">'WL (5)'!$S$18</definedName>
    <definedName name="M_Disp" localSheetId="19">'WL (6)'!$S$18</definedName>
    <definedName name="M_Disp" localSheetId="18">'WL (7)'!$S$18</definedName>
    <definedName name="M_Disp" localSheetId="17">'WL (8)'!$S$18</definedName>
    <definedName name="M_Disp" localSheetId="16">'WL (9)'!$S$18</definedName>
    <definedName name="M_Disp" localSheetId="51">'WL (x)'!$S$47</definedName>
    <definedName name="M_Surf_MarkerTable" localSheetId="62">OFFSET(Maxsurf!$B$2,,,Maxsurf!$J$4,4)</definedName>
    <definedName name="MA_STN_List" localSheetId="59">OFFSET(Tools!$AB$70,,,Max_STN_count,1)</definedName>
    <definedName name="MA_WL_List" localSheetId="59">OFFSET(Tools!$AC$69,,,1,Max_WL_count)</definedName>
    <definedName name="Main_Particulars">Main!$C$2:$E$9</definedName>
    <definedName name="Mass_Displacement">Main!$K$7</definedName>
    <definedName name="Max_STN_count">Tools!$C$63</definedName>
    <definedName name="Max_WL_count">Tools!$C$62</definedName>
    <definedName name="MCT" localSheetId="24">'WL (1)'!$S$28</definedName>
    <definedName name="MCT" localSheetId="15">'WL (10)'!$S$28</definedName>
    <definedName name="MCT" localSheetId="14">'WL (11)'!$S$28</definedName>
    <definedName name="MCT" localSheetId="13">'WL (12)'!$S$28</definedName>
    <definedName name="MCT" localSheetId="12">'WL (13)'!$S$28</definedName>
    <definedName name="MCT" localSheetId="11">'WL (14)'!$S$28</definedName>
    <definedName name="MCT" localSheetId="10">'WL (15)'!$S$28</definedName>
    <definedName name="MCT" localSheetId="9">'WL (16)'!$S$28</definedName>
    <definedName name="MCT" localSheetId="8">'WL (17)'!$S$28</definedName>
    <definedName name="MCT" localSheetId="7">'WL (18)'!$S$28</definedName>
    <definedName name="MCT" localSheetId="6">'WL (19)'!$S$28</definedName>
    <definedName name="MCT" localSheetId="23">'WL (2)'!$S$28</definedName>
    <definedName name="MCT" localSheetId="5">'WL (20)'!$S$28</definedName>
    <definedName name="MCT" localSheetId="4">'WL (21)'!$S$28</definedName>
    <definedName name="MCT" localSheetId="3">'WL (22)'!$S$28</definedName>
    <definedName name="MCT" localSheetId="2">'WL (23)'!$S$28</definedName>
    <definedName name="MCT" localSheetId="1">'WL (24)'!$S$28</definedName>
    <definedName name="MCT" localSheetId="0">'WL (25)'!$S$28</definedName>
    <definedName name="MCT" localSheetId="22">'WL (3)'!$S$28</definedName>
    <definedName name="MCT" localSheetId="21">'WL (4)'!$S$28</definedName>
    <definedName name="MCT" localSheetId="20">'WL (5)'!$S$28</definedName>
    <definedName name="MCT" localSheetId="19">'WL (6)'!$S$28</definedName>
    <definedName name="MCT" localSheetId="18">'WL (7)'!$S$28</definedName>
    <definedName name="MCT" localSheetId="17">'WL (8)'!$S$28</definedName>
    <definedName name="MCT" localSheetId="16">'WL (9)'!$S$28</definedName>
    <definedName name="MCT" localSheetId="51">'WL (x)'!$S$57</definedName>
    <definedName name="MCT1cm">Main!$K$11</definedName>
    <definedName name="ML" localSheetId="24">'WL (1)'!$S$20</definedName>
    <definedName name="ML" localSheetId="15">'WL (10)'!$S$20</definedName>
    <definedName name="ML" localSheetId="14">'WL (11)'!$S$20</definedName>
    <definedName name="ML" localSheetId="13">'WL (12)'!$S$20</definedName>
    <definedName name="ML" localSheetId="12">'WL (13)'!$S$20</definedName>
    <definedName name="ML" localSheetId="11">'WL (14)'!$S$20</definedName>
    <definedName name="ML" localSheetId="10">'WL (15)'!$S$20</definedName>
    <definedName name="ML" localSheetId="9">'WL (16)'!$S$20</definedName>
    <definedName name="ML" localSheetId="8">'WL (17)'!$S$20</definedName>
    <definedName name="ML" localSheetId="7">'WL (18)'!$S$20</definedName>
    <definedName name="ML" localSheetId="6">'WL (19)'!$S$20</definedName>
    <definedName name="ML" localSheetId="23">'WL (2)'!$S$20</definedName>
    <definedName name="ML" localSheetId="5">'WL (20)'!$S$20</definedName>
    <definedName name="ML" localSheetId="4">'WL (21)'!$S$20</definedName>
    <definedName name="ML" localSheetId="3">'WL (22)'!$S$20</definedName>
    <definedName name="ML" localSheetId="2">'WL (23)'!$S$20</definedName>
    <definedName name="ML" localSheetId="1">'WL (24)'!$S$20</definedName>
    <definedName name="ML" localSheetId="0">'WL (25)'!$S$20</definedName>
    <definedName name="ML" localSheetId="22">'WL (3)'!$S$20</definedName>
    <definedName name="ML" localSheetId="21">'WL (4)'!$S$20</definedName>
    <definedName name="ML" localSheetId="20">'WL (5)'!$S$20</definedName>
    <definedName name="ML" localSheetId="19">'WL (6)'!$S$20</definedName>
    <definedName name="ML" localSheetId="18">'WL (7)'!$S$20</definedName>
    <definedName name="ML" localSheetId="17">'WL (8)'!$S$20</definedName>
    <definedName name="ML" localSheetId="16">'WL (9)'!$S$20</definedName>
    <definedName name="ML" localSheetId="51">'WL (x)'!$S$49</definedName>
    <definedName name="Mmid" localSheetId="24">'WL (1)'!$S$12</definedName>
    <definedName name="Mmid" localSheetId="15">'WL (10)'!$S$12</definedName>
    <definedName name="Mmid" localSheetId="14">'WL (11)'!$S$12</definedName>
    <definedName name="Mmid" localSheetId="13">'WL (12)'!$S$12</definedName>
    <definedName name="Mmid" localSheetId="12">'WL (13)'!$S$12</definedName>
    <definedName name="Mmid" localSheetId="11">'WL (14)'!$S$12</definedName>
    <definedName name="Mmid" localSheetId="10">'WL (15)'!$S$12</definedName>
    <definedName name="Mmid" localSheetId="9">'WL (16)'!$S$12</definedName>
    <definedName name="Mmid" localSheetId="8">'WL (17)'!$S$12</definedName>
    <definedName name="Mmid" localSheetId="7">'WL (18)'!$S$12</definedName>
    <definedName name="Mmid" localSheetId="6">'WL (19)'!$S$12</definedName>
    <definedName name="Mmid" localSheetId="23">'WL (2)'!$S$12</definedName>
    <definedName name="Mmid" localSheetId="5">'WL (20)'!$S$12</definedName>
    <definedName name="Mmid" localSheetId="4">'WL (21)'!$S$12</definedName>
    <definedName name="Mmid" localSheetId="3">'WL (22)'!$S$12</definedName>
    <definedName name="Mmid" localSheetId="2">'WL (23)'!$S$12</definedName>
    <definedName name="Mmid" localSheetId="1">'WL (24)'!$S$12</definedName>
    <definedName name="Mmid" localSheetId="0">'WL (25)'!$S$12</definedName>
    <definedName name="Mmid" localSheetId="22">'WL (3)'!$S$12</definedName>
    <definedName name="Mmid" localSheetId="21">'WL (4)'!$S$12</definedName>
    <definedName name="Mmid" localSheetId="20">'WL (5)'!$S$12</definedName>
    <definedName name="Mmid" localSheetId="19">'WL (6)'!$S$12</definedName>
    <definedName name="Mmid" localSheetId="18">'WL (7)'!$S$12</definedName>
    <definedName name="Mmid" localSheetId="17">'WL (8)'!$S$12</definedName>
    <definedName name="Mmid" localSheetId="16">'WL (9)'!$S$12</definedName>
    <definedName name="Mmid" localSheetId="51">'WL (x)'!$S$41</definedName>
    <definedName name="MOMENT_TABLE">Moment!$O$2:$AN$27</definedName>
    <definedName name="MS_1" localSheetId="59">OFFSET(Tools!$AC$69,1,0,1,Max_WL_count)</definedName>
    <definedName name="MS_10" localSheetId="59">OFFSET(Tools!$AC$69,10,0,1,Max_WL_count)</definedName>
    <definedName name="MS_11" localSheetId="59">OFFSET(Tools!$AC$69,11,0,1,Max_WL_count)</definedName>
    <definedName name="MS_12" localSheetId="59">OFFSET(Tools!$AC$69,12,0,1,Max_WL_count)</definedName>
    <definedName name="MS_13" localSheetId="59">OFFSET(Tools!$AC$69,13,0,1,Max_WL_count)</definedName>
    <definedName name="MS_14" localSheetId="59">OFFSET(Tools!$AC$69,14,0,1,Max_WL_count)</definedName>
    <definedName name="MS_15" localSheetId="59">OFFSET(Tools!$AC$69,15,0,1,Max_WL_count)</definedName>
    <definedName name="MS_16" localSheetId="59">OFFSET(Tools!$AC$69,16,0,1,Max_WL_count)</definedName>
    <definedName name="MS_17" localSheetId="59">OFFSET(Tools!$AC$69,17,0,1,Max_WL_count)</definedName>
    <definedName name="MS_18" localSheetId="59">OFFSET(Tools!$AC$69,18,0,1,Max_WL_count)</definedName>
    <definedName name="MS_19" localSheetId="59">OFFSET(Tools!$AC$69,19,0,1,Max_WL_count)</definedName>
    <definedName name="MS_2" localSheetId="59">OFFSET(Tools!$AC$69,2,0,1,Max_WL_count)</definedName>
    <definedName name="MS_20" localSheetId="59">OFFSET(Tools!$AC$69,20,0,1,Max_WL_count)</definedName>
    <definedName name="MS_21" localSheetId="59">OFFSET(Tools!$AC$69,21,0,1,Max_WL_count)</definedName>
    <definedName name="MS_22" localSheetId="59">OFFSET(Tools!$AC$69,22,0,1,Max_WL_count)</definedName>
    <definedName name="MS_23" localSheetId="59">OFFSET(Tools!$AC$69,23,0,1,Max_WL_count)</definedName>
    <definedName name="MS_24" localSheetId="59">OFFSET(Tools!$AC$69,24,0,1,Max_WL_count)</definedName>
    <definedName name="MS_25" localSheetId="59">OFFSET(Tools!$AC$69,25,0,1,Max_WL_count)</definedName>
    <definedName name="MS_3" localSheetId="59">OFFSET(Tools!$AC$69,3,0,1,Max_WL_count)</definedName>
    <definedName name="MS_4" localSheetId="59">OFFSET(Tools!$AC$69,4,0,1,Max_WL_count)</definedName>
    <definedName name="MS_5" localSheetId="59">OFFSET(Tools!$AC$69,5,0,1,Max_WL_count)</definedName>
    <definedName name="MS_6" localSheetId="59">OFFSET(Tools!$AC$69,6,0,1,Max_WL_count)</definedName>
    <definedName name="MS_7" localSheetId="59">OFFSET(Tools!$AC$69,7,0,1,Max_WL_count)</definedName>
    <definedName name="MS_8" localSheetId="59">OFFSET(Tools!$AC$69,8,0,1,Max_WL_count)</definedName>
    <definedName name="MS_9" localSheetId="59">OFFSET(Tools!$AC$69,9,0,1,Max_WL_count)</definedName>
    <definedName name="MT" localSheetId="24">'WL (1)'!$S$19</definedName>
    <definedName name="MT" localSheetId="15">'WL (10)'!$S$19</definedName>
    <definedName name="MT" localSheetId="14">'WL (11)'!$S$19</definedName>
    <definedName name="MT" localSheetId="13">'WL (12)'!$S$19</definedName>
    <definedName name="MT" localSheetId="12">'WL (13)'!$S$19</definedName>
    <definedName name="MT" localSheetId="11">'WL (14)'!$S$19</definedName>
    <definedName name="MT" localSheetId="10">'WL (15)'!$S$19</definedName>
    <definedName name="MT" localSheetId="9">'WL (16)'!$S$19</definedName>
    <definedName name="MT" localSheetId="8">'WL (17)'!$S$19</definedName>
    <definedName name="MT" localSheetId="7">'WL (18)'!$S$19</definedName>
    <definedName name="MT" localSheetId="6">'WL (19)'!$S$19</definedName>
    <definedName name="MT" localSheetId="23">'WL (2)'!$S$19</definedName>
    <definedName name="MT" localSheetId="5">'WL (20)'!$S$19</definedName>
    <definedName name="MT" localSheetId="4">'WL (21)'!$S$19</definedName>
    <definedName name="MT" localSheetId="3">'WL (22)'!$S$19</definedName>
    <definedName name="MT" localSheetId="2">'WL (23)'!$S$19</definedName>
    <definedName name="MT" localSheetId="1">'WL (24)'!$S$19</definedName>
    <definedName name="MT" localSheetId="0">'WL (25)'!$S$19</definedName>
    <definedName name="MT" localSheetId="22">'WL (3)'!$S$19</definedName>
    <definedName name="MT" localSheetId="21">'WL (4)'!$S$19</definedName>
    <definedName name="MT" localSheetId="20">'WL (5)'!$S$19</definedName>
    <definedName name="MT" localSheetId="19">'WL (6)'!$S$19</definedName>
    <definedName name="MT" localSheetId="18">'WL (7)'!$S$19</definedName>
    <definedName name="MT" localSheetId="17">'WL (8)'!$S$19</definedName>
    <definedName name="MT" localSheetId="16">'WL (9)'!$S$19</definedName>
    <definedName name="MT" localSheetId="51">'WL (x)'!$S$48</definedName>
    <definedName name="MW_1" localSheetId="59">OFFSET(Tools!$AB$70,,1,Max_STN_count,1)</definedName>
    <definedName name="MW_10" localSheetId="59">OFFSET(Tools!$AB$70,,10,Max_STN_count,1)</definedName>
    <definedName name="MW_11" localSheetId="59">OFFSET(Tools!$AB$70,,11,Max_STN_count,1)</definedName>
    <definedName name="MW_12" localSheetId="59">OFFSET(Tools!$AB$70,,12,Max_STN_count,1)</definedName>
    <definedName name="MW_13" localSheetId="59">OFFSET(Tools!$AB$70,,13,Max_STN_count,1)</definedName>
    <definedName name="MW_14" localSheetId="59">OFFSET(Tools!$AB$70,,14,Max_STN_count,1)</definedName>
    <definedName name="MW_15" localSheetId="59">OFFSET(Tools!$AB$70,,15,Max_STN_count,1)</definedName>
    <definedName name="MW_16" localSheetId="59">OFFSET(Tools!$AB$70,,16,Max_STN_count,1)</definedName>
    <definedName name="MW_17" localSheetId="59">OFFSET(Tools!$AB$70,,17,Max_STN_count,1)</definedName>
    <definedName name="MW_18" localSheetId="59">OFFSET(Tools!$AB$70,,18,Max_STN_count,1)</definedName>
    <definedName name="MW_19" localSheetId="59">OFFSET(Tools!$AB$70,,19,Max_STN_count,1)</definedName>
    <definedName name="MW_2" localSheetId="59">OFFSET(Tools!$AB$70,,2,Max_STN_count,1)</definedName>
    <definedName name="MW_20" localSheetId="59">OFFSET(Tools!$AB$70,,20,Max_STN_count,1)</definedName>
    <definedName name="MW_21" localSheetId="59">OFFSET(Tools!$AB$70,,21,Max_STN_count,1)</definedName>
    <definedName name="MW_22" localSheetId="59">OFFSET(Tools!$AB$70,,22,Max_STN_count,1)</definedName>
    <definedName name="MW_23" localSheetId="59">OFFSET(Tools!$AB$70,,23,Max_STN_count,1)</definedName>
    <definedName name="MW_24" localSheetId="59">OFFSET(Tools!$AB$70,,24,Max_STN_count,1)</definedName>
    <definedName name="MW_25" localSheetId="59">OFFSET(Tools!$AB$70,,25,Max_STN_count,1)</definedName>
    <definedName name="MW_3" localSheetId="59">OFFSET(Tools!$AB$70,,3,Max_STN_count,1)</definedName>
    <definedName name="MW_4" localSheetId="59">OFFSET(Tools!$AB$70,,4,Max_STN_count,1)</definedName>
    <definedName name="MW_5" localSheetId="59">OFFSET(Tools!$AB$70,,5,Max_STN_count,1)</definedName>
    <definedName name="MW_6" localSheetId="59">OFFSET(Tools!$AB$70,,6,Max_STN_count,1)</definedName>
    <definedName name="MW_7" localSheetId="59">OFFSET(Tools!$AB$70,,7,Max_STN_count,1)</definedName>
    <definedName name="MW_8" localSheetId="59">OFFSET(Tools!$AB$70,,8,Max_STN_count,1)</definedName>
    <definedName name="MW_9" localSheetId="59">OFFSET(Tools!$AB$70,,9,Max_STN_count,1)</definedName>
    <definedName name="No_of_BTKs" localSheetId="59">Tools!$P$38</definedName>
    <definedName name="OFFSET_A">Tools!$AD$2:$BC$28</definedName>
    <definedName name="RESULT_TABLE" localSheetId="49">'Stn(1)'!$AO$32:$AU$151</definedName>
    <definedName name="RESULT_TABLE" localSheetId="40">'Stn(10)'!$AO$32:$AU$151</definedName>
    <definedName name="RESULT_TABLE" localSheetId="39">'Stn(11)'!$AO$32:$AU$151</definedName>
    <definedName name="RESULT_TABLE" localSheetId="38">'Stn(12)'!$AO$32:$AU$151</definedName>
    <definedName name="RESULT_TABLE" localSheetId="37">'Stn(13)'!$AO$32:$AU$151</definedName>
    <definedName name="RESULT_TABLE" localSheetId="36">'Stn(14)'!$AO$32:$AU$151</definedName>
    <definedName name="RESULT_TABLE" localSheetId="35">'Stn(15)'!$AO$32:$AU$151</definedName>
    <definedName name="RESULT_TABLE" localSheetId="34">'Stn(16)'!$AO$32:$AU$151</definedName>
    <definedName name="RESULT_TABLE" localSheetId="33">'Stn(17)'!$AO$32:$AU$151</definedName>
    <definedName name="RESULT_TABLE" localSheetId="32">'Stn(18)'!$AO$32:$AU$151</definedName>
    <definedName name="RESULT_TABLE" localSheetId="31">'Stn(19)'!$AO$32:$AU$151</definedName>
    <definedName name="RESULT_TABLE" localSheetId="48">'Stn(2)'!$AO$32:$AU$151</definedName>
    <definedName name="RESULT_TABLE" localSheetId="30">'Stn(20)'!$AO$32:$AU$151</definedName>
    <definedName name="RESULT_TABLE" localSheetId="29">'Stn(21)'!$AO$32:$AU$151</definedName>
    <definedName name="RESULT_TABLE" localSheetId="28">'Stn(22)'!$AO$32:$AU$151</definedName>
    <definedName name="RESULT_TABLE" localSheetId="27">'Stn(23)'!$AO$32:$AU$151</definedName>
    <definedName name="RESULT_TABLE" localSheetId="26">'Stn(24)'!$AO$32:$AU$151</definedName>
    <definedName name="RESULT_TABLE" localSheetId="25">'Stn(25)'!$AO$32:$AU$151</definedName>
    <definedName name="RESULT_TABLE" localSheetId="47">'Stn(3)'!$AO$32:$AU$151</definedName>
    <definedName name="RESULT_TABLE" localSheetId="46">'Stn(4)'!$AO$32:$AU$151</definedName>
    <definedName name="RESULT_TABLE" localSheetId="45">'Stn(5)'!$AO$32:$AU$151</definedName>
    <definedName name="RESULT_TABLE" localSheetId="44">'Stn(6)'!$AO$32:$AU$151</definedName>
    <definedName name="RESULT_TABLE" localSheetId="43">'Stn(7)'!$AO$32:$AU$151</definedName>
    <definedName name="RESULT_TABLE" localSheetId="42">'Stn(8)'!$AO$32:$AU$151</definedName>
    <definedName name="RESULT_TABLE" localSheetId="41">'Stn(9)'!$AO$32:$AU$151</definedName>
    <definedName name="RESULT_TABLE" localSheetId="57">'View Bonjean'!$AQ$34:$AV$176</definedName>
    <definedName name="RFDEEP" localSheetId="59">OFFSET(Tools!#REF!,,,1,ROUNDDOWN(MAX(#REF!),0))</definedName>
    <definedName name="Rise" localSheetId="49">'Stn(1)'!$G$1</definedName>
    <definedName name="Rise" localSheetId="40">'Stn(10)'!$G$1</definedName>
    <definedName name="Rise" localSheetId="39">'Stn(11)'!$G$1</definedName>
    <definedName name="Rise" localSheetId="38">'Stn(12)'!$G$1</definedName>
    <definedName name="Rise" localSheetId="37">'Stn(13)'!$G$1</definedName>
    <definedName name="Rise" localSheetId="36">'Stn(14)'!$G$1</definedName>
    <definedName name="Rise" localSheetId="35">'Stn(15)'!$G$1</definedName>
    <definedName name="Rise" localSheetId="34">'Stn(16)'!$G$1</definedName>
    <definedName name="Rise" localSheetId="33">'Stn(17)'!$G$1</definedName>
    <definedName name="Rise" localSheetId="32">'Stn(18)'!$G$1</definedName>
    <definedName name="Rise" localSheetId="31">'Stn(19)'!$G$1</definedName>
    <definedName name="Rise" localSheetId="48">'Stn(2)'!$G$1</definedName>
    <definedName name="Rise" localSheetId="30">'Stn(20)'!$G$1</definedName>
    <definedName name="Rise" localSheetId="29">'Stn(21)'!$G$1</definedName>
    <definedName name="Rise" localSheetId="28">'Stn(22)'!$G$1</definedName>
    <definedName name="Rise" localSheetId="27">'Stn(23)'!$G$1</definedName>
    <definedName name="Rise" localSheetId="26">'Stn(24)'!$G$1</definedName>
    <definedName name="Rise" localSheetId="25">'Stn(25)'!$G$1</definedName>
    <definedName name="Rise" localSheetId="47">'Stn(3)'!$G$1</definedName>
    <definedName name="Rise" localSheetId="46">'Stn(4)'!$G$1</definedName>
    <definedName name="Rise" localSheetId="45">'Stn(5)'!$G$1</definedName>
    <definedName name="Rise" localSheetId="44">'Stn(6)'!$G$1</definedName>
    <definedName name="Rise" localSheetId="43">'Stn(7)'!$G$1</definedName>
    <definedName name="Rise" localSheetId="42">'Stn(8)'!$G$1</definedName>
    <definedName name="Rise" localSheetId="41">'Stn(9)'!$G$1</definedName>
    <definedName name="Rise" localSheetId="57">'View Bonjean'!$G$1</definedName>
    <definedName name="RISE_CALC">Tools!$BC$127:$BM$152</definedName>
    <definedName name="Rise_Results" localSheetId="49">'Stn(1)'!$K$4:$L$11</definedName>
    <definedName name="Rise_Results" localSheetId="40">'Stn(10)'!$K$4:$L$11</definedName>
    <definedName name="Rise_Results" localSheetId="39">'Stn(11)'!$K$4:$L$11</definedName>
    <definedName name="Rise_Results" localSheetId="38">'Stn(12)'!$K$4:$L$11</definedName>
    <definedName name="Rise_Results" localSheetId="37">'Stn(13)'!$K$4:$L$11</definedName>
    <definedName name="Rise_Results" localSheetId="36">'Stn(14)'!$K$4:$L$11</definedName>
    <definedName name="Rise_Results" localSheetId="35">'Stn(15)'!$K$4:$L$11</definedName>
    <definedName name="Rise_Results" localSheetId="34">'Stn(16)'!$K$4:$L$11</definedName>
    <definedName name="Rise_Results" localSheetId="33">'Stn(17)'!$K$4:$L$11</definedName>
    <definedName name="Rise_Results" localSheetId="32">'Stn(18)'!$K$4:$L$11</definedName>
    <definedName name="Rise_Results" localSheetId="31">'Stn(19)'!$K$4:$L$11</definedName>
    <definedName name="Rise_Results" localSheetId="48">'Stn(2)'!$K$4:$L$11</definedName>
    <definedName name="Rise_Results" localSheetId="30">'Stn(20)'!$K$4:$L$11</definedName>
    <definedName name="Rise_Results" localSheetId="29">'Stn(21)'!$K$4:$L$11</definedName>
    <definedName name="Rise_Results" localSheetId="28">'Stn(22)'!$K$4:$L$11</definedName>
    <definedName name="Rise_Results" localSheetId="27">'Stn(23)'!$K$4:$L$11</definedName>
    <definedName name="Rise_Results" localSheetId="26">'Stn(24)'!$K$4:$L$11</definedName>
    <definedName name="Rise_Results" localSheetId="25">'Stn(25)'!$K$4:$L$11</definedName>
    <definedName name="Rise_Results" localSheetId="47">'Stn(3)'!$K$4:$L$11</definedName>
    <definedName name="Rise_Results" localSheetId="46">'Stn(4)'!$K$4:$L$11</definedName>
    <definedName name="Rise_Results" localSheetId="45">'Stn(5)'!$K$4:$L$11</definedName>
    <definedName name="Rise_Results" localSheetId="44">'Stn(6)'!$K$4:$L$11</definedName>
    <definedName name="Rise_Results" localSheetId="43">'Stn(7)'!$K$4:$L$11</definedName>
    <definedName name="Rise_Results" localSheetId="42">'Stn(8)'!$K$4:$L$11</definedName>
    <definedName name="Rise_Results" localSheetId="41">'Stn(9)'!$K$4:$L$11</definedName>
    <definedName name="Rise_Results" localSheetId="57">'View Bonjean'!$O$4:$P$11</definedName>
    <definedName name="RisePerWLS" localSheetId="49">'Stn(1)'!$H$4</definedName>
    <definedName name="RisePerWLS" localSheetId="40">'Stn(10)'!$H$4</definedName>
    <definedName name="RisePerWLS" localSheetId="39">'Stn(11)'!$H$4</definedName>
    <definedName name="RisePerWLS" localSheetId="38">'Stn(12)'!$H$4</definedName>
    <definedName name="RisePerWLS" localSheetId="37">'Stn(13)'!$H$4</definedName>
    <definedName name="RisePerWLS" localSheetId="36">'Stn(14)'!$H$4</definedName>
    <definedName name="RisePerWLS" localSheetId="35">'Stn(15)'!$H$4</definedName>
    <definedName name="RisePerWLS" localSheetId="34">'Stn(16)'!$H$4</definedName>
    <definedName name="RisePerWLS" localSheetId="33">'Stn(17)'!$H$4</definedName>
    <definedName name="RisePerWLS" localSheetId="32">'Stn(18)'!$H$4</definedName>
    <definedName name="RisePerWLS" localSheetId="31">'Stn(19)'!$H$4</definedName>
    <definedName name="RisePerWLS" localSheetId="48">'Stn(2)'!$H$4</definedName>
    <definedName name="RisePerWLS" localSheetId="30">'Stn(20)'!$H$4</definedName>
    <definedName name="RisePerWLS" localSheetId="29">'Stn(21)'!$H$4</definedName>
    <definedName name="RisePerWLS" localSheetId="28">'Stn(22)'!$H$4</definedName>
    <definedName name="RisePerWLS" localSheetId="27">'Stn(23)'!$H$4</definedName>
    <definedName name="RisePerWLS" localSheetId="26">'Stn(24)'!$H$4</definedName>
    <definedName name="RisePerWLS" localSheetId="25">'Stn(25)'!$H$4</definedName>
    <definedName name="RisePerWLS" localSheetId="47">'Stn(3)'!$H$4</definedName>
    <definedName name="RisePerWLS" localSheetId="46">'Stn(4)'!$H$4</definedName>
    <definedName name="RisePerWLS" localSheetId="45">'Stn(5)'!$H$4</definedName>
    <definedName name="RisePerWLS" localSheetId="44">'Stn(6)'!$H$4</definedName>
    <definedName name="RisePerWLS" localSheetId="43">'Stn(7)'!$H$4</definedName>
    <definedName name="RisePerWLS" localSheetId="42">'Stn(8)'!$H$4</definedName>
    <definedName name="RisePerWLS" localSheetId="41">'Stn(9)'!$H$4</definedName>
    <definedName name="RisePerWLS" localSheetId="57">'View Bonjean'!$L$4</definedName>
    <definedName name="RTDEEP" localSheetId="59">OFFSET(Tools!#REF!,,,1,ROUNDDOWN(MAX(#REF!),0))</definedName>
    <definedName name="RTSHALLOW" localSheetId="59">IF(Tools!#REF!="Yes",OFFSET(Tools!#REF!,,,1,ROUNDDOWN(MAX(#REF!),0)),Tools!#REF!)</definedName>
    <definedName name="S">Main!$K$3</definedName>
    <definedName name="Station_No" localSheetId="49">'Stn(1)'!$C$1</definedName>
    <definedName name="Station_No" localSheetId="40">'Stn(10)'!$C$1</definedName>
    <definedName name="Station_No" localSheetId="39">'Stn(11)'!$C$1</definedName>
    <definedName name="Station_No" localSheetId="38">'Stn(12)'!$C$1</definedName>
    <definedName name="Station_No" localSheetId="37">'Stn(13)'!$C$1</definedName>
    <definedName name="Station_No" localSheetId="36">'Stn(14)'!$C$1</definedName>
    <definedName name="Station_No" localSheetId="35">'Stn(15)'!$C$1</definedName>
    <definedName name="Station_No" localSheetId="34">'Stn(16)'!$C$1</definedName>
    <definedName name="Station_No" localSheetId="33">'Stn(17)'!$C$1</definedName>
    <definedName name="Station_No" localSheetId="32">'Stn(18)'!$C$1</definedName>
    <definedName name="Station_No" localSheetId="31">'Stn(19)'!$C$1</definedName>
    <definedName name="Station_No" localSheetId="48">'Stn(2)'!$C$1</definedName>
    <definedName name="Station_No" localSheetId="30">'Stn(20)'!$C$1</definedName>
    <definedName name="Station_No" localSheetId="29">'Stn(21)'!$C$1</definedName>
    <definedName name="Station_No" localSheetId="28">'Stn(22)'!$C$1</definedName>
    <definedName name="Station_No" localSheetId="27">'Stn(23)'!$C$1</definedName>
    <definedName name="Station_No" localSheetId="26">'Stn(24)'!$C$1</definedName>
    <definedName name="Station_No" localSheetId="25">'Stn(25)'!$C$1</definedName>
    <definedName name="Station_No" localSheetId="47">'Stn(3)'!$C$1</definedName>
    <definedName name="Station_No" localSheetId="46">'Stn(4)'!$C$1</definedName>
    <definedName name="Station_No" localSheetId="45">'Stn(5)'!$C$1</definedName>
    <definedName name="Station_No" localSheetId="44">'Stn(6)'!$C$1</definedName>
    <definedName name="Station_No" localSheetId="43">'Stn(7)'!$C$1</definedName>
    <definedName name="Station_No" localSheetId="42">'Stn(8)'!$C$1</definedName>
    <definedName name="Station_No" localSheetId="41">'Stn(9)'!$C$1</definedName>
    <definedName name="Station_No" localSheetId="57">'View Bonjean'!$C$1</definedName>
    <definedName name="STN_GAP">Tools!$D$48</definedName>
    <definedName name="STN_List" localSheetId="59">OFFSET(Tools!$AD$3,,,Max_STN_count,1)</definedName>
    <definedName name="STN_TABLE" localSheetId="49">'Stn(1)'!$B$3:$E$28</definedName>
    <definedName name="STN_TABLE" localSheetId="40">'Stn(10)'!$B$3:$E$28</definedName>
    <definedName name="STN_TABLE" localSheetId="39">'Stn(11)'!$B$3:$E$28</definedName>
    <definedName name="STN_TABLE" localSheetId="38">'Stn(12)'!$B$3:$E$28</definedName>
    <definedName name="STN_TABLE" localSheetId="37">'Stn(13)'!$B$3:$E$28</definedName>
    <definedName name="STN_TABLE" localSheetId="36">'Stn(14)'!$B$3:$E$28</definedName>
    <definedName name="STN_TABLE" localSheetId="35">'Stn(15)'!$B$3:$E$28</definedName>
    <definedName name="STN_TABLE" localSheetId="34">'Stn(16)'!$B$3:$E$28</definedName>
    <definedName name="STN_TABLE" localSheetId="33">'Stn(17)'!$B$3:$E$28</definedName>
    <definedName name="STN_TABLE" localSheetId="32">'Stn(18)'!$B$3:$E$28</definedName>
    <definedName name="STN_TABLE" localSheetId="31">'Stn(19)'!$B$3:$E$28</definedName>
    <definedName name="STN_TABLE" localSheetId="48">'Stn(2)'!$B$3:$E$28</definedName>
    <definedName name="STN_TABLE" localSheetId="30">'Stn(20)'!$B$3:$E$28</definedName>
    <definedName name="STN_TABLE" localSheetId="29">'Stn(21)'!$B$3:$E$28</definedName>
    <definedName name="STN_TABLE" localSheetId="28">'Stn(22)'!$B$3:$E$28</definedName>
    <definedName name="STN_TABLE" localSheetId="27">'Stn(23)'!$B$3:$E$28</definedName>
    <definedName name="STN_TABLE" localSheetId="26">'Stn(24)'!$B$3:$E$28</definedName>
    <definedName name="STN_TABLE" localSheetId="25">'Stn(25)'!$B$3:$E$28</definedName>
    <definedName name="STN_TABLE" localSheetId="47">'Stn(3)'!$B$3:$E$28</definedName>
    <definedName name="STN_TABLE" localSheetId="46">'Stn(4)'!$B$3:$E$28</definedName>
    <definedName name="STN_TABLE" localSheetId="45">'Stn(5)'!$B$3:$E$28</definedName>
    <definedName name="STN_TABLE" localSheetId="44">'Stn(6)'!$B$3:$E$28</definedName>
    <definedName name="STN_TABLE" localSheetId="43">'Stn(7)'!$B$3:$E$28</definedName>
    <definedName name="STN_TABLE" localSheetId="42">'Stn(8)'!$B$3:$E$28</definedName>
    <definedName name="STN_TABLE" localSheetId="41">'Stn(9)'!$B$3:$E$28</definedName>
    <definedName name="STN_TABLE" localSheetId="57">'View Bonjean'!$B$3:$E$28</definedName>
    <definedName name="STN_TABLE_2" localSheetId="49">'Stn(1)'!$A$3:$E$28</definedName>
    <definedName name="STN_TABLE_2" localSheetId="40">'Stn(10)'!$A$3:$E$28</definedName>
    <definedName name="STN_TABLE_2" localSheetId="39">'Stn(11)'!$A$3:$E$28</definedName>
    <definedName name="STN_TABLE_2" localSheetId="38">'Stn(12)'!$A$3:$E$28</definedName>
    <definedName name="STN_TABLE_2" localSheetId="37">'Stn(13)'!$A$3:$E$28</definedName>
    <definedName name="STN_TABLE_2" localSheetId="36">'Stn(14)'!$A$3:$E$28</definedName>
    <definedName name="STN_TABLE_2" localSheetId="35">'Stn(15)'!$A$3:$E$28</definedName>
    <definedName name="STN_TABLE_2" localSheetId="34">'Stn(16)'!$A$3:$E$28</definedName>
    <definedName name="STN_TABLE_2" localSheetId="33">'Stn(17)'!$A$3:$E$28</definedName>
    <definedName name="STN_TABLE_2" localSheetId="32">'Stn(18)'!$A$3:$E$28</definedName>
    <definedName name="STN_TABLE_2" localSheetId="31">'Stn(19)'!$A$3:$E$28</definedName>
    <definedName name="STN_TABLE_2" localSheetId="48">'Stn(2)'!$A$3:$E$28</definedName>
    <definedName name="STN_TABLE_2" localSheetId="30">'Stn(20)'!$A$3:$E$28</definedName>
    <definedName name="STN_TABLE_2" localSheetId="29">'Stn(21)'!$A$3:$E$28</definedName>
    <definedName name="STN_TABLE_2" localSheetId="28">'Stn(22)'!$A$3:$E$28</definedName>
    <definedName name="STN_TABLE_2" localSheetId="27">'Stn(23)'!$A$3:$E$28</definedName>
    <definedName name="STN_TABLE_2" localSheetId="26">'Stn(24)'!$A$3:$E$28</definedName>
    <definedName name="STN_TABLE_2" localSheetId="25">'Stn(25)'!$A$3:$E$28</definedName>
    <definedName name="STN_TABLE_2" localSheetId="47">'Stn(3)'!$A$3:$E$28</definedName>
    <definedName name="STN_TABLE_2" localSheetId="46">'Stn(4)'!$A$3:$E$28</definedName>
    <definedName name="STN_TABLE_2" localSheetId="45">'Stn(5)'!$A$3:$E$28</definedName>
    <definedName name="STN_TABLE_2" localSheetId="44">'Stn(6)'!$A$3:$E$28</definedName>
    <definedName name="STN_TABLE_2" localSheetId="43">'Stn(7)'!$A$3:$E$28</definedName>
    <definedName name="STN_TABLE_2" localSheetId="42">'Stn(8)'!$A$3:$E$28</definedName>
    <definedName name="STN_TABLE_2" localSheetId="41">'Stn(9)'!$A$3:$E$28</definedName>
    <definedName name="STN_TABLE_2" localSheetId="57">'View Bonjean'!$A$3:$E$28</definedName>
    <definedName name="Stn_WL">Tools!$AD$2</definedName>
    <definedName name="T" localSheetId="24">'WL (1)'!$S$29</definedName>
    <definedName name="T" localSheetId="15">'WL (10)'!$S$29</definedName>
    <definedName name="T" localSheetId="14">'WL (11)'!$S$29</definedName>
    <definedName name="T" localSheetId="13">'WL (12)'!$S$29</definedName>
    <definedName name="T" localSheetId="12">'WL (13)'!$S$29</definedName>
    <definedName name="T" localSheetId="11">'WL (14)'!$S$29</definedName>
    <definedName name="T" localSheetId="10">'WL (15)'!$S$29</definedName>
    <definedName name="T" localSheetId="9">'WL (16)'!$S$29</definedName>
    <definedName name="T" localSheetId="8">'WL (17)'!$S$29</definedName>
    <definedName name="T" localSheetId="7">'WL (18)'!$S$29</definedName>
    <definedName name="T" localSheetId="6">'WL (19)'!$S$29</definedName>
    <definedName name="T" localSheetId="23">'WL (2)'!$S$29</definedName>
    <definedName name="T" localSheetId="5">'WL (20)'!$S$29</definedName>
    <definedName name="T" localSheetId="4">'WL (21)'!$S$29</definedName>
    <definedName name="T" localSheetId="3">'WL (22)'!$S$29</definedName>
    <definedName name="T" localSheetId="2">'WL (23)'!$S$29</definedName>
    <definedName name="T" localSheetId="1">'WL (24)'!$S$29</definedName>
    <definedName name="T" localSheetId="0">'WL (25)'!$S$29</definedName>
    <definedName name="T" localSheetId="22">'WL (3)'!$S$29</definedName>
    <definedName name="T" localSheetId="21">'WL (4)'!$S$29</definedName>
    <definedName name="T" localSheetId="20">'WL (5)'!$S$29</definedName>
    <definedName name="T" localSheetId="19">'WL (6)'!$S$29</definedName>
    <definedName name="T" localSheetId="18">'WL (7)'!$S$29</definedName>
    <definedName name="T" localSheetId="17">'WL (8)'!$S$29</definedName>
    <definedName name="T" localSheetId="16">'WL (9)'!$S$29</definedName>
    <definedName name="T" localSheetId="51">'WL (x)'!$S$58</definedName>
    <definedName name="TPC" localSheetId="24">'WL (1)'!$S$26</definedName>
    <definedName name="TPC" localSheetId="15">'WL (10)'!$S$26</definedName>
    <definedName name="TPC" localSheetId="14">'WL (11)'!$S$26</definedName>
    <definedName name="TPC" localSheetId="13">'WL (12)'!$S$26</definedName>
    <definedName name="TPC" localSheetId="12">'WL (13)'!$S$26</definedName>
    <definedName name="TPC" localSheetId="11">'WL (14)'!$S$26</definedName>
    <definedName name="TPC" localSheetId="10">'WL (15)'!$S$26</definedName>
    <definedName name="TPC" localSheetId="9">'WL (16)'!$S$26</definedName>
    <definedName name="TPC" localSheetId="8">'WL (17)'!$S$26</definedName>
    <definedName name="TPC" localSheetId="7">'WL (18)'!$S$26</definedName>
    <definedName name="TPC" localSheetId="6">'WL (19)'!$S$26</definedName>
    <definedName name="TPC" localSheetId="23">'WL (2)'!$S$26</definedName>
    <definedName name="TPC" localSheetId="5">'WL (20)'!$S$26</definedName>
    <definedName name="TPC" localSheetId="4">'WL (21)'!$S$26</definedName>
    <definedName name="TPC" localSheetId="3">'WL (22)'!$S$26</definedName>
    <definedName name="TPC" localSheetId="2">'WL (23)'!$S$26</definedName>
    <definedName name="TPC" localSheetId="1">'WL (24)'!$S$26</definedName>
    <definedName name="TPC" localSheetId="0">'WL (25)'!$S$26</definedName>
    <definedName name="TPC" localSheetId="22">'WL (3)'!$S$26</definedName>
    <definedName name="TPC" localSheetId="21">'WL (4)'!$S$26</definedName>
    <definedName name="TPC" localSheetId="20">'WL (5)'!$S$26</definedName>
    <definedName name="TPC" localSheetId="19">'WL (6)'!$S$26</definedName>
    <definedName name="TPC" localSheetId="18">'WL (7)'!$S$26</definedName>
    <definedName name="TPC" localSheetId="17">'WL (8)'!$S$26</definedName>
    <definedName name="TPC" localSheetId="16">'WL (9)'!$S$26</definedName>
    <definedName name="TPC" localSheetId="51">'WL (x)'!$S$55</definedName>
    <definedName name="TPC">Main!$K$9</definedName>
    <definedName name="V" localSheetId="59">Tools!$C$2</definedName>
    <definedName name="V_Disp" localSheetId="24">'WL (1)'!$S$17</definedName>
    <definedName name="V_Disp" localSheetId="15">'WL (10)'!$S$17</definedName>
    <definedName name="V_Disp" localSheetId="14">'WL (11)'!$S$17</definedName>
    <definedName name="V_Disp" localSheetId="13">'WL (12)'!$S$17</definedName>
    <definedName name="V_Disp" localSheetId="12">'WL (13)'!$S$17</definedName>
    <definedName name="V_Disp" localSheetId="11">'WL (14)'!$S$17</definedName>
    <definedName name="V_Disp" localSheetId="10">'WL (15)'!$S$17</definedName>
    <definedName name="V_Disp" localSheetId="9">'WL (16)'!$S$17</definedName>
    <definedName name="V_Disp" localSheetId="8">'WL (17)'!$S$17</definedName>
    <definedName name="V_Disp" localSheetId="7">'WL (18)'!$S$17</definedName>
    <definedName name="V_Disp" localSheetId="6">'WL (19)'!$S$17</definedName>
    <definedName name="V_Disp" localSheetId="23">'WL (2)'!$S$17</definedName>
    <definedName name="V_Disp" localSheetId="5">'WL (20)'!$S$17</definedName>
    <definedName name="V_Disp" localSheetId="4">'WL (21)'!$S$17</definedName>
    <definedName name="V_Disp" localSheetId="3">'WL (22)'!$S$17</definedName>
    <definedName name="V_Disp" localSheetId="2">'WL (23)'!$S$17</definedName>
    <definedName name="V_Disp" localSheetId="1">'WL (24)'!$S$17</definedName>
    <definedName name="V_Disp" localSheetId="0">'WL (25)'!$S$17</definedName>
    <definedName name="V_Disp" localSheetId="22">'WL (3)'!$S$17</definedName>
    <definedName name="V_Disp" localSheetId="21">'WL (4)'!$S$17</definedName>
    <definedName name="V_Disp" localSheetId="20">'WL (5)'!$S$17</definedName>
    <definedName name="V_Disp" localSheetId="19">'WL (6)'!$S$17</definedName>
    <definedName name="V_Disp" localSheetId="18">'WL (7)'!$S$17</definedName>
    <definedName name="V_Disp" localSheetId="17">'WL (8)'!$S$17</definedName>
    <definedName name="V_Disp" localSheetId="16">'WL (9)'!$S$17</definedName>
    <definedName name="V_Disp" localSheetId="51">'WL (x)'!$S$46</definedName>
    <definedName name="VH" localSheetId="59">OFFSET(Tools!#REF!,,,1,ROUNDDOWN(MAX(#REF!),0))</definedName>
    <definedName name="VKNOTS" localSheetId="59">OFFSET(Tools!#REF!,,,1,ROUNDDOWN(MAX(#REF!),0))</definedName>
    <definedName name="Volume_Displacement">Main!$K$6</definedName>
    <definedName name="WL_List" localSheetId="59">OFFSET(Tools!$BE$97,,,1,Max_WL_count)</definedName>
    <definedName name="WL_No" localSheetId="24">'WL (1)'!$B$1</definedName>
    <definedName name="WL_No" localSheetId="15">'WL (10)'!$B$1</definedName>
    <definedName name="WL_No" localSheetId="14">'WL (11)'!$B$1</definedName>
    <definedName name="WL_No" localSheetId="13">'WL (12)'!$B$1</definedName>
    <definedName name="WL_No" localSheetId="12">'WL (13)'!$B$1</definedName>
    <definedName name="WL_No" localSheetId="11">'WL (14)'!$B$1</definedName>
    <definedName name="WL_No" localSheetId="10">'WL (15)'!$B$1</definedName>
    <definedName name="WL_No" localSheetId="9">'WL (16)'!$B$1</definedName>
    <definedName name="WL_No" localSheetId="8">'WL (17)'!$B$1</definedName>
    <definedName name="WL_No" localSheetId="7">'WL (18)'!$B$1</definedName>
    <definedName name="WL_No" localSheetId="6">'WL (19)'!$B$1</definedName>
    <definedName name="WL_No" localSheetId="23">'WL (2)'!$B$1</definedName>
    <definedName name="WL_No" localSheetId="5">'WL (20)'!$B$1</definedName>
    <definedName name="WL_No" localSheetId="4">'WL (21)'!$B$1</definedName>
    <definedName name="WL_No" localSheetId="3">'WL (22)'!$B$1</definedName>
    <definedName name="WL_No" localSheetId="2">'WL (23)'!$B$1</definedName>
    <definedName name="WL_No" localSheetId="1">'WL (24)'!$B$1</definedName>
    <definedName name="WL_No" localSheetId="0">'WL (25)'!$B$1</definedName>
    <definedName name="WL_No" localSheetId="22">'WL (3)'!$B$1</definedName>
    <definedName name="WL_No" localSheetId="21">'WL (4)'!$B$1</definedName>
    <definedName name="WL_No" localSheetId="20">'WL (5)'!$B$1</definedName>
    <definedName name="WL_No" localSheetId="19">'WL (6)'!$B$1</definedName>
    <definedName name="WL_No" localSheetId="18">'WL (7)'!$B$1</definedName>
    <definedName name="WL_No" localSheetId="17">'WL (8)'!$B$1</definedName>
    <definedName name="WL_No" localSheetId="16">'WL (9)'!$B$1</definedName>
    <definedName name="WL_No" localSheetId="51">'WL (x)'!$B$1</definedName>
    <definedName name="WLS">Tools!$D$46</definedName>
    <definedName name="X_SHIFT_BP" localSheetId="59">Tools!$BI$36</definedName>
    <definedName name="Y_Shift_HB" localSheetId="59">Tools!$BA$35</definedName>
  </definedNames>
  <calcPr calcId="144525"/>
</workbook>
</file>

<file path=xl/calcChain.xml><?xml version="1.0" encoding="utf-8"?>
<calcChain xmlns="http://schemas.openxmlformats.org/spreadsheetml/2006/main">
  <c r="GQ126" i="61" l="1"/>
  <c r="Q58" i="61"/>
  <c r="GP150" i="61" l="1"/>
  <c r="GQ150" i="61" s="1"/>
  <c r="GP149" i="61"/>
  <c r="GQ149" i="61" s="1"/>
  <c r="GQ148" i="61"/>
  <c r="GP148" i="61"/>
  <c r="GQ147" i="61"/>
  <c r="GP147" i="61"/>
  <c r="GQ146" i="61"/>
  <c r="GP146" i="61"/>
  <c r="GQ145" i="61"/>
  <c r="GP145" i="61"/>
  <c r="GQ144" i="61"/>
  <c r="GP144" i="61"/>
  <c r="GQ143" i="61"/>
  <c r="GP143" i="61"/>
  <c r="GQ142" i="61"/>
  <c r="GP142" i="61"/>
  <c r="GQ141" i="61"/>
  <c r="GP141" i="61"/>
  <c r="GQ140" i="61"/>
  <c r="GP140" i="61"/>
  <c r="GQ139" i="61"/>
  <c r="GP139" i="61"/>
  <c r="GQ138" i="61"/>
  <c r="GP138" i="61"/>
  <c r="GQ137" i="61"/>
  <c r="GP137" i="61"/>
  <c r="GQ136" i="61"/>
  <c r="GP136" i="61"/>
  <c r="GQ135" i="61"/>
  <c r="GP135" i="61"/>
  <c r="GQ134" i="61"/>
  <c r="GP134" i="61"/>
  <c r="GQ133" i="61"/>
  <c r="GP133" i="61"/>
  <c r="GQ132" i="61"/>
  <c r="GP132" i="61"/>
  <c r="GQ131" i="61"/>
  <c r="GP131" i="61"/>
  <c r="GQ130" i="61"/>
  <c r="GP130" i="61"/>
  <c r="GQ129" i="61"/>
  <c r="GP129" i="61"/>
  <c r="GQ128" i="61"/>
  <c r="GP128" i="61"/>
  <c r="GQ127" i="61"/>
  <c r="GP127" i="61"/>
  <c r="GP126" i="61"/>
  <c r="DH122" i="61" l="1"/>
  <c r="DG122" i="61"/>
  <c r="DH121" i="61"/>
  <c r="DG121" i="61"/>
  <c r="DH120" i="61"/>
  <c r="DG120" i="61"/>
  <c r="DH119" i="61"/>
  <c r="DG119" i="61"/>
  <c r="DH118" i="61"/>
  <c r="DG118" i="61"/>
  <c r="DH117" i="61"/>
  <c r="DG117" i="61"/>
  <c r="DH116" i="61"/>
  <c r="DG116" i="61"/>
  <c r="DH115" i="61"/>
  <c r="DG115" i="61"/>
  <c r="DH114" i="61"/>
  <c r="DG114" i="61"/>
  <c r="DH113" i="61"/>
  <c r="DG113" i="61"/>
  <c r="DH112" i="61"/>
  <c r="DG112" i="61"/>
  <c r="DH111" i="61"/>
  <c r="DG111" i="61"/>
  <c r="DH110" i="61"/>
  <c r="DG110" i="61"/>
  <c r="DH109" i="61"/>
  <c r="DG109" i="61"/>
  <c r="DH108" i="61"/>
  <c r="DG108" i="61"/>
  <c r="DH107" i="61"/>
  <c r="DG107" i="61"/>
  <c r="DH106" i="61"/>
  <c r="DG106" i="61"/>
  <c r="DH105" i="61"/>
  <c r="DG105" i="61"/>
  <c r="DH104" i="61"/>
  <c r="DG104" i="61"/>
  <c r="DH103" i="61"/>
  <c r="DG103" i="61"/>
  <c r="DH102" i="61"/>
  <c r="DG102" i="61"/>
  <c r="DH101" i="61"/>
  <c r="DG101" i="61"/>
  <c r="DH100" i="61"/>
  <c r="DG100" i="61"/>
  <c r="DH99" i="61"/>
  <c r="DG99" i="61"/>
  <c r="DH98" i="61"/>
  <c r="DG98" i="61"/>
  <c r="DD98" i="61"/>
  <c r="CC122" i="61"/>
  <c r="CB122" i="61"/>
  <c r="CA122" i="61"/>
  <c r="BZ122" i="61"/>
  <c r="BY122" i="61"/>
  <c r="BX122" i="61"/>
  <c r="BW122" i="61"/>
  <c r="BV122" i="61"/>
  <c r="BU122" i="61"/>
  <c r="BT122" i="61"/>
  <c r="BS122" i="61"/>
  <c r="BR122" i="61"/>
  <c r="BQ122" i="61"/>
  <c r="BP122" i="61"/>
  <c r="BO122" i="61"/>
  <c r="BN122" i="61"/>
  <c r="BM122" i="61"/>
  <c r="BL122" i="61"/>
  <c r="BK122" i="61"/>
  <c r="BJ122" i="61"/>
  <c r="BI122" i="61"/>
  <c r="BH122" i="61"/>
  <c r="BG122" i="61"/>
  <c r="BF122" i="61"/>
  <c r="CC121" i="61"/>
  <c r="CB121" i="61"/>
  <c r="CA121" i="61"/>
  <c r="BZ121" i="61"/>
  <c r="BY121" i="61"/>
  <c r="BX121" i="61"/>
  <c r="BW121" i="61"/>
  <c r="BV121" i="61"/>
  <c r="BU121" i="61"/>
  <c r="BT121" i="61"/>
  <c r="BS121" i="61"/>
  <c r="BR121" i="61"/>
  <c r="BQ121" i="61"/>
  <c r="BP121" i="61"/>
  <c r="BO121" i="61"/>
  <c r="BN121" i="61"/>
  <c r="BM121" i="61"/>
  <c r="BL121" i="61"/>
  <c r="BK121" i="61"/>
  <c r="BJ121" i="61"/>
  <c r="BI121" i="61"/>
  <c r="BH121" i="61"/>
  <c r="BG121" i="61"/>
  <c r="BF121" i="61"/>
  <c r="CC120" i="61"/>
  <c r="CB120" i="61"/>
  <c r="CA120" i="61"/>
  <c r="BZ120" i="61"/>
  <c r="BY120" i="61"/>
  <c r="BX120" i="61"/>
  <c r="BW120" i="61"/>
  <c r="BV120" i="61"/>
  <c r="BU120" i="61"/>
  <c r="BT120" i="61"/>
  <c r="BS120" i="61"/>
  <c r="BR120" i="61"/>
  <c r="BQ120" i="61"/>
  <c r="BP120" i="61"/>
  <c r="BO120" i="61"/>
  <c r="BN120" i="61"/>
  <c r="BM120" i="61"/>
  <c r="BL120" i="61"/>
  <c r="BK120" i="61"/>
  <c r="BJ120" i="61"/>
  <c r="BI120" i="61"/>
  <c r="BH120" i="61"/>
  <c r="BG120" i="61"/>
  <c r="BF120" i="61"/>
  <c r="CC119" i="61"/>
  <c r="CB119" i="61"/>
  <c r="CA119" i="61"/>
  <c r="BZ119" i="61"/>
  <c r="BY119" i="61"/>
  <c r="BX119" i="61"/>
  <c r="BW119" i="61"/>
  <c r="BV119" i="61"/>
  <c r="BU119" i="61"/>
  <c r="BT119" i="61"/>
  <c r="BS119" i="61"/>
  <c r="BR119" i="61"/>
  <c r="BQ119" i="61"/>
  <c r="BP119" i="61"/>
  <c r="BO119" i="61"/>
  <c r="BN119" i="61"/>
  <c r="BM119" i="61"/>
  <c r="BL119" i="61"/>
  <c r="BK119" i="61"/>
  <c r="BJ119" i="61"/>
  <c r="BI119" i="61"/>
  <c r="BH119" i="61"/>
  <c r="BG119" i="61"/>
  <c r="BF119" i="61"/>
  <c r="CC118" i="61"/>
  <c r="CB118" i="61"/>
  <c r="CA118" i="61"/>
  <c r="BZ118" i="61"/>
  <c r="BY118" i="61"/>
  <c r="BX118" i="61"/>
  <c r="BW118" i="61"/>
  <c r="BV118" i="61"/>
  <c r="BU118" i="61"/>
  <c r="BT118" i="61"/>
  <c r="BS118" i="61"/>
  <c r="BR118" i="61"/>
  <c r="BQ118" i="61"/>
  <c r="BP118" i="61"/>
  <c r="BO118" i="61"/>
  <c r="BN118" i="61"/>
  <c r="BM118" i="61"/>
  <c r="BL118" i="61"/>
  <c r="BK118" i="61"/>
  <c r="BJ118" i="61"/>
  <c r="BI118" i="61"/>
  <c r="BH118" i="61"/>
  <c r="BG118" i="61"/>
  <c r="BF118" i="61"/>
  <c r="CC117" i="61"/>
  <c r="CB117" i="61"/>
  <c r="CA117" i="61"/>
  <c r="BZ117" i="61"/>
  <c r="BY117" i="61"/>
  <c r="BX117" i="61"/>
  <c r="BW117" i="61"/>
  <c r="BV117" i="61"/>
  <c r="BU117" i="61"/>
  <c r="BT117" i="61"/>
  <c r="BS117" i="61"/>
  <c r="BR117" i="61"/>
  <c r="BQ117" i="61"/>
  <c r="BP117" i="61"/>
  <c r="BO117" i="61"/>
  <c r="BN117" i="61"/>
  <c r="BM117" i="61"/>
  <c r="BL117" i="61"/>
  <c r="BK117" i="61"/>
  <c r="BJ117" i="61"/>
  <c r="BI117" i="61"/>
  <c r="BH117" i="61"/>
  <c r="BG117" i="61"/>
  <c r="BF117" i="61"/>
  <c r="CC116" i="61"/>
  <c r="CB116" i="61"/>
  <c r="CA116" i="61"/>
  <c r="BZ116" i="61"/>
  <c r="BY116" i="61"/>
  <c r="BX116" i="61"/>
  <c r="BW116" i="61"/>
  <c r="BV116" i="61"/>
  <c r="BU116" i="61"/>
  <c r="BT116" i="61"/>
  <c r="BS116" i="61"/>
  <c r="BR116" i="61"/>
  <c r="BQ116" i="61"/>
  <c r="BP116" i="61"/>
  <c r="BO116" i="61"/>
  <c r="BN116" i="61"/>
  <c r="BM116" i="61"/>
  <c r="BL116" i="61"/>
  <c r="BK116" i="61"/>
  <c r="BJ116" i="61"/>
  <c r="BI116" i="61"/>
  <c r="BH116" i="61"/>
  <c r="BG116" i="61"/>
  <c r="BF116" i="61"/>
  <c r="CC115" i="61"/>
  <c r="CB115" i="61"/>
  <c r="CA115" i="61"/>
  <c r="BZ115" i="61"/>
  <c r="BY115" i="61"/>
  <c r="BX115" i="61"/>
  <c r="BW115" i="61"/>
  <c r="BV115" i="61"/>
  <c r="BU115" i="61"/>
  <c r="BT115" i="61"/>
  <c r="BS115" i="61"/>
  <c r="BR115" i="61"/>
  <c r="BQ115" i="61"/>
  <c r="BP115" i="61"/>
  <c r="BO115" i="61"/>
  <c r="BN115" i="61"/>
  <c r="BM115" i="61"/>
  <c r="BL115" i="61"/>
  <c r="BK115" i="61"/>
  <c r="BJ115" i="61"/>
  <c r="BI115" i="61"/>
  <c r="BH115" i="61"/>
  <c r="BG115" i="61"/>
  <c r="BF115" i="61"/>
  <c r="CC114" i="61"/>
  <c r="CB114" i="61"/>
  <c r="CA114" i="61"/>
  <c r="BZ114" i="61"/>
  <c r="BY114" i="61"/>
  <c r="BX114" i="61"/>
  <c r="BW114" i="61"/>
  <c r="BV114" i="61"/>
  <c r="BU114" i="61"/>
  <c r="BT114" i="61"/>
  <c r="BS114" i="61"/>
  <c r="BR114" i="61"/>
  <c r="BQ114" i="61"/>
  <c r="BP114" i="61"/>
  <c r="BO114" i="61"/>
  <c r="BN114" i="61"/>
  <c r="BM114" i="61"/>
  <c r="BL114" i="61"/>
  <c r="BK114" i="61"/>
  <c r="BJ114" i="61"/>
  <c r="BI114" i="61"/>
  <c r="BH114" i="61"/>
  <c r="BG114" i="61"/>
  <c r="BF114" i="61"/>
  <c r="CC113" i="61"/>
  <c r="CB113" i="61"/>
  <c r="CA113" i="61"/>
  <c r="BZ113" i="61"/>
  <c r="BY113" i="61"/>
  <c r="BX113" i="61"/>
  <c r="BW113" i="61"/>
  <c r="BV113" i="61"/>
  <c r="BU113" i="61"/>
  <c r="BT113" i="61"/>
  <c r="BS113" i="61"/>
  <c r="BR113" i="61"/>
  <c r="BQ113" i="61"/>
  <c r="BP113" i="61"/>
  <c r="BO113" i="61"/>
  <c r="BN113" i="61"/>
  <c r="BM113" i="61"/>
  <c r="BL113" i="61"/>
  <c r="BK113" i="61"/>
  <c r="BJ113" i="61"/>
  <c r="BI113" i="61"/>
  <c r="BH113" i="61"/>
  <c r="BG113" i="61"/>
  <c r="BF113" i="61"/>
  <c r="CC112" i="61"/>
  <c r="CB112" i="61"/>
  <c r="CA112" i="61"/>
  <c r="BZ112" i="61"/>
  <c r="BY112" i="61"/>
  <c r="BX112" i="61"/>
  <c r="BW112" i="61"/>
  <c r="BV112" i="61"/>
  <c r="BU112" i="61"/>
  <c r="BT112" i="61"/>
  <c r="BS112" i="61"/>
  <c r="BR112" i="61"/>
  <c r="BQ112" i="61"/>
  <c r="BP112" i="61"/>
  <c r="BO112" i="61"/>
  <c r="BN112" i="61"/>
  <c r="BM112" i="61"/>
  <c r="BL112" i="61"/>
  <c r="BK112" i="61"/>
  <c r="BJ112" i="61"/>
  <c r="BI112" i="61"/>
  <c r="BH112" i="61"/>
  <c r="BG112" i="61"/>
  <c r="BF112" i="61"/>
  <c r="CC111" i="61"/>
  <c r="CB111" i="61"/>
  <c r="CA111" i="61"/>
  <c r="BZ111" i="61"/>
  <c r="BY111" i="61"/>
  <c r="BX111" i="61"/>
  <c r="BW111" i="61"/>
  <c r="BV111" i="61"/>
  <c r="BU111" i="61"/>
  <c r="BT111" i="61"/>
  <c r="BS111" i="61"/>
  <c r="BR111" i="61"/>
  <c r="BQ111" i="61"/>
  <c r="BP111" i="61"/>
  <c r="BO111" i="61"/>
  <c r="BN111" i="61"/>
  <c r="BM111" i="61"/>
  <c r="BL111" i="61"/>
  <c r="BK111" i="61"/>
  <c r="BJ111" i="61"/>
  <c r="BI111" i="61"/>
  <c r="BH111" i="61"/>
  <c r="BG111" i="61"/>
  <c r="BF111" i="61"/>
  <c r="CC110" i="61"/>
  <c r="CB110" i="61"/>
  <c r="CA110" i="61"/>
  <c r="BZ110" i="61"/>
  <c r="BY110" i="61"/>
  <c r="BX110" i="61"/>
  <c r="BW110" i="61"/>
  <c r="BV110" i="61"/>
  <c r="BU110" i="61"/>
  <c r="BT110" i="61"/>
  <c r="BS110" i="61"/>
  <c r="BR110" i="61"/>
  <c r="BQ110" i="61"/>
  <c r="BP110" i="61"/>
  <c r="BO110" i="61"/>
  <c r="BN110" i="61"/>
  <c r="BM110" i="61"/>
  <c r="BL110" i="61"/>
  <c r="BK110" i="61"/>
  <c r="BJ110" i="61"/>
  <c r="BI110" i="61"/>
  <c r="BH110" i="61"/>
  <c r="BG110" i="61"/>
  <c r="BF110" i="61"/>
  <c r="CC109" i="61"/>
  <c r="CB109" i="61"/>
  <c r="CA109" i="61"/>
  <c r="BZ109" i="61"/>
  <c r="BY109" i="61"/>
  <c r="BX109" i="61"/>
  <c r="BW109" i="61"/>
  <c r="BV109" i="61"/>
  <c r="BU109" i="61"/>
  <c r="BT109" i="61"/>
  <c r="BS109" i="61"/>
  <c r="BR109" i="61"/>
  <c r="BQ109" i="61"/>
  <c r="BP109" i="61"/>
  <c r="BO109" i="61"/>
  <c r="BN109" i="61"/>
  <c r="BM109" i="61"/>
  <c r="BL109" i="61"/>
  <c r="BK109" i="61"/>
  <c r="BJ109" i="61"/>
  <c r="BI109" i="61"/>
  <c r="BH109" i="61"/>
  <c r="BG109" i="61"/>
  <c r="BF109" i="61"/>
  <c r="CC108" i="61"/>
  <c r="CB108" i="61"/>
  <c r="CA108" i="61"/>
  <c r="BZ108" i="61"/>
  <c r="BY108" i="61"/>
  <c r="BX108" i="61"/>
  <c r="BW108" i="61"/>
  <c r="BV108" i="61"/>
  <c r="BU108" i="61"/>
  <c r="BT108" i="61"/>
  <c r="BS108" i="61"/>
  <c r="BR108" i="61"/>
  <c r="BQ108" i="61"/>
  <c r="BP108" i="61"/>
  <c r="BO108" i="61"/>
  <c r="BN108" i="61"/>
  <c r="BM108" i="61"/>
  <c r="BL108" i="61"/>
  <c r="BK108" i="61"/>
  <c r="BJ108" i="61"/>
  <c r="BI108" i="61"/>
  <c r="BH108" i="61"/>
  <c r="BG108" i="61"/>
  <c r="BF108" i="61"/>
  <c r="CC107" i="61"/>
  <c r="CB107" i="61"/>
  <c r="CA107" i="61"/>
  <c r="BZ107" i="61"/>
  <c r="BY107" i="61"/>
  <c r="BX107" i="61"/>
  <c r="BW107" i="61"/>
  <c r="BV107" i="61"/>
  <c r="BU107" i="61"/>
  <c r="BT107" i="61"/>
  <c r="BS107" i="61"/>
  <c r="BR107" i="61"/>
  <c r="BQ107" i="61"/>
  <c r="BP107" i="61"/>
  <c r="BO107" i="61"/>
  <c r="BN107" i="61"/>
  <c r="BM107" i="61"/>
  <c r="BL107" i="61"/>
  <c r="BK107" i="61"/>
  <c r="BJ107" i="61"/>
  <c r="BI107" i="61"/>
  <c r="BH107" i="61"/>
  <c r="BG107" i="61"/>
  <c r="BF107" i="61"/>
  <c r="CC106" i="61"/>
  <c r="CB106" i="61"/>
  <c r="CA106" i="61"/>
  <c r="BZ106" i="61"/>
  <c r="BY106" i="61"/>
  <c r="BX106" i="61"/>
  <c r="BW106" i="61"/>
  <c r="BV106" i="61"/>
  <c r="BU106" i="61"/>
  <c r="BT106" i="61"/>
  <c r="BS106" i="61"/>
  <c r="BR106" i="61"/>
  <c r="BQ106" i="61"/>
  <c r="BP106" i="61"/>
  <c r="BO106" i="61"/>
  <c r="BN106" i="61"/>
  <c r="BM106" i="61"/>
  <c r="BL106" i="61"/>
  <c r="BK106" i="61"/>
  <c r="BJ106" i="61"/>
  <c r="BI106" i="61"/>
  <c r="BH106" i="61"/>
  <c r="BG106" i="61"/>
  <c r="BF106" i="61"/>
  <c r="CC105" i="61"/>
  <c r="CB105" i="61"/>
  <c r="CA105" i="61"/>
  <c r="BZ105" i="61"/>
  <c r="BY105" i="61"/>
  <c r="BX105" i="61"/>
  <c r="BW105" i="61"/>
  <c r="BV105" i="61"/>
  <c r="BU105" i="61"/>
  <c r="BT105" i="61"/>
  <c r="BS105" i="61"/>
  <c r="BR105" i="61"/>
  <c r="BQ105" i="61"/>
  <c r="BP105" i="61"/>
  <c r="BO105" i="61"/>
  <c r="BN105" i="61"/>
  <c r="BM105" i="61"/>
  <c r="BL105" i="61"/>
  <c r="BK105" i="61"/>
  <c r="BJ105" i="61"/>
  <c r="BI105" i="61"/>
  <c r="BH105" i="61"/>
  <c r="BG105" i="61"/>
  <c r="BF105" i="61"/>
  <c r="CC104" i="61"/>
  <c r="CB104" i="61"/>
  <c r="CA104" i="61"/>
  <c r="BZ104" i="61"/>
  <c r="BY104" i="61"/>
  <c r="BX104" i="61"/>
  <c r="BW104" i="61"/>
  <c r="BV104" i="61"/>
  <c r="BU104" i="61"/>
  <c r="BT104" i="61"/>
  <c r="BS104" i="61"/>
  <c r="BR104" i="61"/>
  <c r="BQ104" i="61"/>
  <c r="BP104" i="61"/>
  <c r="BO104" i="61"/>
  <c r="BN104" i="61"/>
  <c r="BM104" i="61"/>
  <c r="BL104" i="61"/>
  <c r="BK104" i="61"/>
  <c r="BJ104" i="61"/>
  <c r="BI104" i="61"/>
  <c r="BH104" i="61"/>
  <c r="BG104" i="61"/>
  <c r="BF104" i="61"/>
  <c r="CC103" i="61"/>
  <c r="CB103" i="61"/>
  <c r="CA103" i="61"/>
  <c r="BZ103" i="61"/>
  <c r="BY103" i="61"/>
  <c r="BX103" i="61"/>
  <c r="BW103" i="61"/>
  <c r="BV103" i="61"/>
  <c r="BU103" i="61"/>
  <c r="BT103" i="61"/>
  <c r="BS103" i="61"/>
  <c r="BR103" i="61"/>
  <c r="BQ103" i="61"/>
  <c r="BP103" i="61"/>
  <c r="BO103" i="61"/>
  <c r="BN103" i="61"/>
  <c r="BM103" i="61"/>
  <c r="BL103" i="61"/>
  <c r="BK103" i="61"/>
  <c r="BJ103" i="61"/>
  <c r="BI103" i="61"/>
  <c r="BH103" i="61"/>
  <c r="BG103" i="61"/>
  <c r="BF103" i="61"/>
  <c r="CC102" i="61"/>
  <c r="CB102" i="61"/>
  <c r="CA102" i="61"/>
  <c r="BZ102" i="61"/>
  <c r="BY102" i="61"/>
  <c r="BX102" i="61"/>
  <c r="BW102" i="61"/>
  <c r="BV102" i="61"/>
  <c r="BU102" i="61"/>
  <c r="BT102" i="61"/>
  <c r="BS102" i="61"/>
  <c r="BR102" i="61"/>
  <c r="BQ102" i="61"/>
  <c r="BP102" i="61"/>
  <c r="BO102" i="61"/>
  <c r="BN102" i="61"/>
  <c r="BM102" i="61"/>
  <c r="BL102" i="61"/>
  <c r="BK102" i="61"/>
  <c r="BJ102" i="61"/>
  <c r="BI102" i="61"/>
  <c r="BH102" i="61"/>
  <c r="BG102" i="61"/>
  <c r="BF102" i="61"/>
  <c r="CC101" i="61"/>
  <c r="CB101" i="61"/>
  <c r="CA101" i="61"/>
  <c r="BZ101" i="61"/>
  <c r="BY101" i="61"/>
  <c r="BX101" i="61"/>
  <c r="BW101" i="61"/>
  <c r="BV101" i="61"/>
  <c r="BU101" i="61"/>
  <c r="BT101" i="61"/>
  <c r="BS101" i="61"/>
  <c r="BR101" i="61"/>
  <c r="BQ101" i="61"/>
  <c r="BP101" i="61"/>
  <c r="BO101" i="61"/>
  <c r="BN101" i="61"/>
  <c r="BM101" i="61"/>
  <c r="BL101" i="61"/>
  <c r="BK101" i="61"/>
  <c r="BJ101" i="61"/>
  <c r="BI101" i="61"/>
  <c r="BH101" i="61"/>
  <c r="BG101" i="61"/>
  <c r="BF101" i="61"/>
  <c r="CC100" i="61"/>
  <c r="CB100" i="61"/>
  <c r="CA100" i="61"/>
  <c r="BZ100" i="61"/>
  <c r="BY100" i="61"/>
  <c r="BX100" i="61"/>
  <c r="BW100" i="61"/>
  <c r="BV100" i="61"/>
  <c r="BU100" i="61"/>
  <c r="BT100" i="61"/>
  <c r="BS100" i="61"/>
  <c r="BR100" i="61"/>
  <c r="BQ100" i="61"/>
  <c r="BP100" i="61"/>
  <c r="BO100" i="61"/>
  <c r="BN100" i="61"/>
  <c r="BM100" i="61"/>
  <c r="BL100" i="61"/>
  <c r="BK100" i="61"/>
  <c r="BJ100" i="61"/>
  <c r="BI100" i="61"/>
  <c r="BH100" i="61"/>
  <c r="BG100" i="61"/>
  <c r="BF100" i="61"/>
  <c r="CC99" i="61"/>
  <c r="CB99" i="61"/>
  <c r="CA99" i="61"/>
  <c r="BZ99" i="61"/>
  <c r="BY99" i="61"/>
  <c r="BX99" i="61"/>
  <c r="BW99" i="61"/>
  <c r="BV99" i="61"/>
  <c r="BU99" i="61"/>
  <c r="BT99" i="61"/>
  <c r="BS99" i="61"/>
  <c r="BR99" i="61"/>
  <c r="BQ99" i="61"/>
  <c r="BP99" i="61"/>
  <c r="BO99" i="61"/>
  <c r="BN99" i="61"/>
  <c r="BM99" i="61"/>
  <c r="BL99" i="61"/>
  <c r="BK99" i="61"/>
  <c r="BJ99" i="61"/>
  <c r="BI99" i="61"/>
  <c r="BH99" i="61"/>
  <c r="BG99" i="61"/>
  <c r="BF99" i="61"/>
  <c r="BE122" i="61"/>
  <c r="BE121" i="61"/>
  <c r="BE120" i="61"/>
  <c r="BE119" i="61"/>
  <c r="BE118" i="61"/>
  <c r="BE117" i="61"/>
  <c r="BE116" i="61"/>
  <c r="BE115" i="61"/>
  <c r="BE114" i="61"/>
  <c r="BE113" i="61"/>
  <c r="BE112" i="61"/>
  <c r="BE111" i="61"/>
  <c r="BE110" i="61"/>
  <c r="BE109" i="61"/>
  <c r="BE108" i="61"/>
  <c r="BE107" i="61"/>
  <c r="BE106" i="61"/>
  <c r="BE105" i="61"/>
  <c r="BE104" i="61"/>
  <c r="BE103" i="61"/>
  <c r="BE102" i="61"/>
  <c r="BE101" i="61"/>
  <c r="BE100" i="61"/>
  <c r="BE99" i="61"/>
  <c r="BE98" i="61"/>
  <c r="BD97" i="61"/>
  <c r="BE97" i="61"/>
  <c r="BF97" i="61"/>
  <c r="BG97" i="61"/>
  <c r="BH97" i="61"/>
  <c r="BI97" i="61"/>
  <c r="BJ97" i="61"/>
  <c r="BK97" i="61"/>
  <c r="BL97" i="61"/>
  <c r="BM97" i="61"/>
  <c r="BN97" i="61"/>
  <c r="BO97" i="61"/>
  <c r="BP97" i="61"/>
  <c r="DV97" i="61" s="1"/>
  <c r="BQ97" i="61"/>
  <c r="BR97" i="61"/>
  <c r="DX97" i="61" s="1"/>
  <c r="BS97" i="61"/>
  <c r="BT97" i="61"/>
  <c r="DZ97" i="61" s="1"/>
  <c r="BU97" i="61"/>
  <c r="BV97" i="61"/>
  <c r="EB97" i="61" s="1"/>
  <c r="BW97" i="61"/>
  <c r="BX97" i="61"/>
  <c r="ED97" i="61" s="1"/>
  <c r="BY97" i="61"/>
  <c r="BZ97" i="61"/>
  <c r="EF97" i="61" s="1"/>
  <c r="CA97" i="61"/>
  <c r="CB97" i="61"/>
  <c r="EH97" i="61" s="1"/>
  <c r="CC97" i="61"/>
  <c r="DK97" i="61"/>
  <c r="DL97" i="61"/>
  <c r="DM97" i="61"/>
  <c r="DN97" i="61"/>
  <c r="DO97" i="61"/>
  <c r="DP97" i="61"/>
  <c r="DQ97" i="61"/>
  <c r="DR97" i="61"/>
  <c r="DS97" i="61"/>
  <c r="DT97" i="61"/>
  <c r="DU97" i="61"/>
  <c r="DW97" i="61"/>
  <c r="DY97" i="61"/>
  <c r="EA97" i="61"/>
  <c r="EC97" i="61"/>
  <c r="EE97" i="61"/>
  <c r="EG97" i="61"/>
  <c r="EI97" i="61"/>
  <c r="EL97" i="61"/>
  <c r="EM97" i="61"/>
  <c r="EN97" i="61"/>
  <c r="EO97" i="61"/>
  <c r="EP97" i="61"/>
  <c r="EQ97" i="61"/>
  <c r="ER97" i="61"/>
  <c r="ES97" i="61"/>
  <c r="ET97" i="61"/>
  <c r="EU97" i="61"/>
  <c r="EV97" i="61"/>
  <c r="EW97" i="61"/>
  <c r="EY97" i="61"/>
  <c r="FA97" i="61"/>
  <c r="FC97" i="61"/>
  <c r="FE97" i="61"/>
  <c r="FG97" i="61"/>
  <c r="FI97" i="61"/>
  <c r="FK97" i="61"/>
  <c r="BC98" i="61"/>
  <c r="BD98" i="61"/>
  <c r="CE98" i="61"/>
  <c r="CF98" i="61" s="1"/>
  <c r="DE98" i="61"/>
  <c r="DJ98" i="61"/>
  <c r="EL98" i="61"/>
  <c r="EM98" i="61"/>
  <c r="EN98" i="61"/>
  <c r="EO98" i="61"/>
  <c r="EP98" i="61"/>
  <c r="EQ98" i="61"/>
  <c r="ER98" i="61"/>
  <c r="ES98" i="61"/>
  <c r="ET98" i="61"/>
  <c r="EU98" i="61"/>
  <c r="EV98" i="61"/>
  <c r="EW98" i="61"/>
  <c r="EY98" i="61"/>
  <c r="FA98" i="61"/>
  <c r="FC98" i="61"/>
  <c r="FE98" i="61"/>
  <c r="FG98" i="61"/>
  <c r="FI98" i="61"/>
  <c r="FK98" i="61"/>
  <c r="BC99" i="61"/>
  <c r="BD99" i="61"/>
  <c r="CE99" i="61"/>
  <c r="CF99" i="61" s="1"/>
  <c r="DE99" i="61"/>
  <c r="DJ99" i="61"/>
  <c r="EL99" i="61"/>
  <c r="EM99" i="61"/>
  <c r="EN99" i="61"/>
  <c r="EO99" i="61"/>
  <c r="EP99" i="61"/>
  <c r="EQ99" i="61"/>
  <c r="ER99" i="61"/>
  <c r="ES99" i="61"/>
  <c r="ET99" i="61"/>
  <c r="EU99" i="61"/>
  <c r="EV99" i="61"/>
  <c r="EW99" i="61"/>
  <c r="EY99" i="61"/>
  <c r="FA99" i="61"/>
  <c r="FC99" i="61"/>
  <c r="FE99" i="61"/>
  <c r="FG99" i="61"/>
  <c r="FI99" i="61"/>
  <c r="FK99" i="61"/>
  <c r="BC100" i="61"/>
  <c r="BD100" i="61"/>
  <c r="CE100" i="61"/>
  <c r="CF100" i="61" s="1"/>
  <c r="CG100" i="61" s="1"/>
  <c r="CH100" i="61" s="1"/>
  <c r="CI100" i="61" s="1"/>
  <c r="CJ100" i="61" s="1"/>
  <c r="CK100" i="61" s="1"/>
  <c r="DE100" i="61"/>
  <c r="DJ100" i="61"/>
  <c r="EL100" i="61"/>
  <c r="EM100" i="61"/>
  <c r="EN100" i="61"/>
  <c r="EO100" i="61"/>
  <c r="EP100" i="61"/>
  <c r="EQ100" i="61"/>
  <c r="ER100" i="61"/>
  <c r="ES100" i="61"/>
  <c r="ET100" i="61"/>
  <c r="EU100" i="61"/>
  <c r="EV100" i="61"/>
  <c r="EW100" i="61"/>
  <c r="EY100" i="61"/>
  <c r="FA100" i="61"/>
  <c r="FC100" i="61"/>
  <c r="FE100" i="61"/>
  <c r="FG100" i="61"/>
  <c r="FI100" i="61"/>
  <c r="FK100" i="61"/>
  <c r="BC101" i="61"/>
  <c r="BD101" i="61"/>
  <c r="CE101" i="61"/>
  <c r="CF101" i="61" s="1"/>
  <c r="CG101" i="61" s="1"/>
  <c r="DE101" i="61"/>
  <c r="DJ101" i="61"/>
  <c r="EL101" i="61"/>
  <c r="EM101" i="61" s="1"/>
  <c r="EN101" i="61"/>
  <c r="EO101" i="61"/>
  <c r="EP101" i="61"/>
  <c r="EQ101" i="61"/>
  <c r="ER101" i="61"/>
  <c r="ES101" i="61"/>
  <c r="ET101" i="61"/>
  <c r="EU101" i="61"/>
  <c r="EV101" i="61"/>
  <c r="EW101" i="61"/>
  <c r="EX101" i="61"/>
  <c r="EY101" i="61"/>
  <c r="EZ101" i="61"/>
  <c r="FA101" i="61"/>
  <c r="FB101" i="61"/>
  <c r="FC101" i="61"/>
  <c r="FD101" i="61"/>
  <c r="FE101" i="61"/>
  <c r="FF101" i="61"/>
  <c r="FG101" i="61"/>
  <c r="FH101" i="61"/>
  <c r="FI101" i="61"/>
  <c r="FJ101" i="61"/>
  <c r="FK101" i="61"/>
  <c r="BC102" i="61"/>
  <c r="BD102" i="61"/>
  <c r="CE102" i="61"/>
  <c r="CF102" i="61" s="1"/>
  <c r="DE102" i="61"/>
  <c r="DJ102" i="61"/>
  <c r="EL102" i="61"/>
  <c r="EM102" i="61" s="1"/>
  <c r="EN102" i="61"/>
  <c r="EO102" i="61"/>
  <c r="EP102" i="61"/>
  <c r="EQ102" i="61"/>
  <c r="ER102" i="61"/>
  <c r="ES102" i="61"/>
  <c r="ET102" i="61"/>
  <c r="EU102" i="61"/>
  <c r="EV102" i="61"/>
  <c r="EW102" i="61"/>
  <c r="EX102" i="61"/>
  <c r="EY102" i="61"/>
  <c r="EZ102" i="61"/>
  <c r="FA102" i="61"/>
  <c r="FB102" i="61"/>
  <c r="FC102" i="61"/>
  <c r="FD102" i="61"/>
  <c r="FE102" i="61"/>
  <c r="FF102" i="61"/>
  <c r="FG102" i="61"/>
  <c r="FH102" i="61"/>
  <c r="FI102" i="61"/>
  <c r="FJ102" i="61"/>
  <c r="FK102" i="61"/>
  <c r="BC103" i="61"/>
  <c r="BD103" i="61"/>
  <c r="CE103" i="61"/>
  <c r="CF103" i="61"/>
  <c r="DE103" i="61"/>
  <c r="DJ103" i="61"/>
  <c r="EL103" i="61"/>
  <c r="EM103" i="61" s="1"/>
  <c r="EN103" i="61"/>
  <c r="EO103" i="61"/>
  <c r="EP103" i="61"/>
  <c r="EQ103" i="61"/>
  <c r="ER103" i="61"/>
  <c r="ES103" i="61"/>
  <c r="ET103" i="61"/>
  <c r="EU103" i="61"/>
  <c r="EV103" i="61"/>
  <c r="EW103" i="61"/>
  <c r="EX103" i="61"/>
  <c r="EY103" i="61"/>
  <c r="EZ103" i="61"/>
  <c r="FA103" i="61"/>
  <c r="FB103" i="61"/>
  <c r="FC103" i="61"/>
  <c r="FD103" i="61"/>
  <c r="FE103" i="61"/>
  <c r="FF103" i="61"/>
  <c r="FG103" i="61"/>
  <c r="FH103" i="61"/>
  <c r="FI103" i="61"/>
  <c r="FJ103" i="61"/>
  <c r="FK103" i="61"/>
  <c r="BC104" i="61"/>
  <c r="BD104" i="61"/>
  <c r="CE104" i="61"/>
  <c r="CF104" i="61"/>
  <c r="CG104" i="61" s="1"/>
  <c r="CH104" i="61"/>
  <c r="CI104" i="61" s="1"/>
  <c r="CJ104" i="61" s="1"/>
  <c r="CK104" i="61" s="1"/>
  <c r="CL104" i="61" s="1"/>
  <c r="CM104" i="61" s="1"/>
  <c r="CN104" i="61" s="1"/>
  <c r="CO104" i="61" s="1"/>
  <c r="CP104" i="61" s="1"/>
  <c r="CQ104" i="61" s="1"/>
  <c r="CR104" i="61" s="1"/>
  <c r="CS104" i="61" s="1"/>
  <c r="CT104" i="61" s="1"/>
  <c r="CU104" i="61" s="1"/>
  <c r="CV104" i="61" s="1"/>
  <c r="CW104" i="61" s="1"/>
  <c r="CX104" i="61" s="1"/>
  <c r="CY104" i="61" s="1"/>
  <c r="CZ104" i="61" s="1"/>
  <c r="DA104" i="61" s="1"/>
  <c r="DB104" i="61" s="1"/>
  <c r="DE104" i="61"/>
  <c r="DJ104" i="61"/>
  <c r="EL104" i="61"/>
  <c r="EM104" i="61" s="1"/>
  <c r="EN104" i="61"/>
  <c r="EO104" i="61"/>
  <c r="EP104" i="61"/>
  <c r="EQ104" i="61"/>
  <c r="ER104" i="61"/>
  <c r="ES104" i="61"/>
  <c r="ET104" i="61"/>
  <c r="EU104" i="61"/>
  <c r="EV104" i="61"/>
  <c r="EW104" i="61"/>
  <c r="EX104" i="61"/>
  <c r="EY104" i="61"/>
  <c r="EZ104" i="61"/>
  <c r="FA104" i="61"/>
  <c r="FB104" i="61"/>
  <c r="FC104" i="61"/>
  <c r="FD104" i="61"/>
  <c r="FE104" i="61"/>
  <c r="FF104" i="61"/>
  <c r="FG104" i="61"/>
  <c r="FH104" i="61"/>
  <c r="FI104" i="61"/>
  <c r="FJ104" i="61"/>
  <c r="FK104" i="61"/>
  <c r="BC105" i="61"/>
  <c r="BD105" i="61"/>
  <c r="CE105" i="61"/>
  <c r="CF105" i="61" s="1"/>
  <c r="DE105" i="61"/>
  <c r="DJ105" i="61"/>
  <c r="EL105" i="61"/>
  <c r="EM105" i="61" s="1"/>
  <c r="EN105" i="61"/>
  <c r="EO105" i="61"/>
  <c r="EP105" i="61"/>
  <c r="EQ105" i="61"/>
  <c r="ER105" i="61"/>
  <c r="ES105" i="61"/>
  <c r="ET105" i="61"/>
  <c r="EU105" i="61"/>
  <c r="EV105" i="61"/>
  <c r="EW105" i="61"/>
  <c r="EX105" i="61"/>
  <c r="EY105" i="61"/>
  <c r="EZ105" i="61"/>
  <c r="FA105" i="61"/>
  <c r="FB105" i="61"/>
  <c r="FC105" i="61"/>
  <c r="FD105" i="61"/>
  <c r="FE105" i="61"/>
  <c r="FF105" i="61"/>
  <c r="FG105" i="61"/>
  <c r="FH105" i="61"/>
  <c r="FI105" i="61"/>
  <c r="FJ105" i="61"/>
  <c r="FK105" i="61"/>
  <c r="BC106" i="61"/>
  <c r="BD106" i="61"/>
  <c r="CE106" i="61"/>
  <c r="CF106" i="61" s="1"/>
  <c r="DE106" i="61"/>
  <c r="DJ106" i="61"/>
  <c r="EL106" i="61"/>
  <c r="EM106" i="61"/>
  <c r="EN106" i="61"/>
  <c r="EO106" i="61"/>
  <c r="EP106" i="61"/>
  <c r="EQ106" i="61"/>
  <c r="ER106" i="61"/>
  <c r="ES106" i="61"/>
  <c r="ET106" i="61"/>
  <c r="EU106" i="61"/>
  <c r="EV106" i="61"/>
  <c r="EW106" i="61"/>
  <c r="EX106" i="61"/>
  <c r="EY106" i="61"/>
  <c r="EZ106" i="61"/>
  <c r="FA106" i="61"/>
  <c r="FB106" i="61"/>
  <c r="FC106" i="61"/>
  <c r="FD106" i="61"/>
  <c r="FE106" i="61"/>
  <c r="FF106" i="61"/>
  <c r="FG106" i="61"/>
  <c r="FH106" i="61"/>
  <c r="FI106" i="61"/>
  <c r="FJ106" i="61"/>
  <c r="FK106" i="61"/>
  <c r="BC107" i="61"/>
  <c r="BD107" i="61"/>
  <c r="CE107" i="61"/>
  <c r="CF107" i="61" s="1"/>
  <c r="DE107" i="61"/>
  <c r="DJ107" i="61"/>
  <c r="EL107" i="61"/>
  <c r="EM107" i="61" s="1"/>
  <c r="EN107" i="61"/>
  <c r="EO107" i="61"/>
  <c r="EP107" i="61"/>
  <c r="EQ107" i="61"/>
  <c r="ER107" i="61"/>
  <c r="ES107" i="61"/>
  <c r="ET107" i="61"/>
  <c r="EU107" i="61"/>
  <c r="EV107" i="61"/>
  <c r="EW107" i="61"/>
  <c r="EX107" i="61"/>
  <c r="EY107" i="61"/>
  <c r="EZ107" i="61"/>
  <c r="FA107" i="61"/>
  <c r="FB107" i="61"/>
  <c r="FC107" i="61"/>
  <c r="FD107" i="61"/>
  <c r="FE107" i="61"/>
  <c r="FF107" i="61"/>
  <c r="FG107" i="61"/>
  <c r="FH107" i="61"/>
  <c r="FI107" i="61"/>
  <c r="FJ107" i="61"/>
  <c r="FK107" i="61"/>
  <c r="BC108" i="61"/>
  <c r="BD108" i="61"/>
  <c r="CE108" i="61"/>
  <c r="CF108" i="61" s="1"/>
  <c r="CG108" i="61" s="1"/>
  <c r="CH108" i="61" s="1"/>
  <c r="CI108" i="61" s="1"/>
  <c r="CJ108" i="61" s="1"/>
  <c r="CK108" i="61" s="1"/>
  <c r="CL108" i="61" s="1"/>
  <c r="CM108" i="61" s="1"/>
  <c r="CN108" i="61" s="1"/>
  <c r="CO108" i="61" s="1"/>
  <c r="CP108" i="61" s="1"/>
  <c r="CQ108" i="61" s="1"/>
  <c r="CR108" i="61" s="1"/>
  <c r="CS108" i="61" s="1"/>
  <c r="CT108" i="61" s="1"/>
  <c r="CU108" i="61" s="1"/>
  <c r="CV108" i="61" s="1"/>
  <c r="CW108" i="61" s="1"/>
  <c r="CX108" i="61" s="1"/>
  <c r="CY108" i="61" s="1"/>
  <c r="CZ108" i="61" s="1"/>
  <c r="DA108" i="61" s="1"/>
  <c r="DB108" i="61" s="1"/>
  <c r="DE108" i="61"/>
  <c r="DJ108" i="61"/>
  <c r="EL108" i="61"/>
  <c r="EM108" i="61"/>
  <c r="EN108" i="61"/>
  <c r="EO108" i="61"/>
  <c r="EP108" i="61"/>
  <c r="EQ108" i="61"/>
  <c r="ER108" i="61"/>
  <c r="ES108" i="61"/>
  <c r="ET108" i="61"/>
  <c r="EU108" i="61"/>
  <c r="EV108" i="61"/>
  <c r="EW108" i="61"/>
  <c r="EX108" i="61"/>
  <c r="EY108" i="61"/>
  <c r="EZ108" i="61"/>
  <c r="FA108" i="61"/>
  <c r="FB108" i="61"/>
  <c r="FC108" i="61"/>
  <c r="FD108" i="61"/>
  <c r="FE108" i="61"/>
  <c r="FF108" i="61"/>
  <c r="FG108" i="61"/>
  <c r="FH108" i="61"/>
  <c r="FI108" i="61"/>
  <c r="FJ108" i="61"/>
  <c r="FK108" i="61"/>
  <c r="BC109" i="61"/>
  <c r="BD109" i="61"/>
  <c r="CE109" i="61"/>
  <c r="CF109" i="61"/>
  <c r="CG109" i="61"/>
  <c r="CH109" i="61" s="1"/>
  <c r="CI109" i="61" s="1"/>
  <c r="CJ109" i="61" s="1"/>
  <c r="CK109" i="61" s="1"/>
  <c r="CL109" i="61" s="1"/>
  <c r="CM109" i="61" s="1"/>
  <c r="CN109" i="61" s="1"/>
  <c r="CO109" i="61" s="1"/>
  <c r="CP109" i="61" s="1"/>
  <c r="CQ109" i="61" s="1"/>
  <c r="CR109" i="61" s="1"/>
  <c r="CS109" i="61" s="1"/>
  <c r="CT109" i="61" s="1"/>
  <c r="CU109" i="61" s="1"/>
  <c r="CV109" i="61" s="1"/>
  <c r="CW109" i="61" s="1"/>
  <c r="CX109" i="61" s="1"/>
  <c r="CY109" i="61" s="1"/>
  <c r="CZ109" i="61" s="1"/>
  <c r="DA109" i="61" s="1"/>
  <c r="DB109" i="61" s="1"/>
  <c r="DE109" i="61"/>
  <c r="DJ109" i="61"/>
  <c r="EL109" i="61"/>
  <c r="EM109" i="61" s="1"/>
  <c r="EN109" i="61"/>
  <c r="EO109" i="61"/>
  <c r="EP109" i="61"/>
  <c r="EQ109" i="61"/>
  <c r="ER109" i="61"/>
  <c r="ES109" i="61"/>
  <c r="ET109" i="61"/>
  <c r="EU109" i="61"/>
  <c r="EV109" i="61"/>
  <c r="EW109" i="61"/>
  <c r="EX109" i="61"/>
  <c r="EY109" i="61"/>
  <c r="EZ109" i="61"/>
  <c r="FA109" i="61"/>
  <c r="FB109" i="61"/>
  <c r="FC109" i="61"/>
  <c r="FD109" i="61"/>
  <c r="FE109" i="61"/>
  <c r="FF109" i="61"/>
  <c r="FG109" i="61"/>
  <c r="FH109" i="61"/>
  <c r="FI109" i="61"/>
  <c r="FJ109" i="61"/>
  <c r="FK109" i="61"/>
  <c r="BC110" i="61"/>
  <c r="BD110" i="61"/>
  <c r="CE110" i="61"/>
  <c r="CF110" i="61" s="1"/>
  <c r="DE110" i="61"/>
  <c r="DJ110" i="61"/>
  <c r="EL110" i="61"/>
  <c r="EM110" i="61" s="1"/>
  <c r="EN110" i="61"/>
  <c r="EO110" i="61"/>
  <c r="EP110" i="61"/>
  <c r="EQ110" i="61"/>
  <c r="ER110" i="61"/>
  <c r="ES110" i="61"/>
  <c r="ET110" i="61"/>
  <c r="EU110" i="61"/>
  <c r="EV110" i="61"/>
  <c r="EW110" i="61"/>
  <c r="EX110" i="61"/>
  <c r="EY110" i="61"/>
  <c r="EZ110" i="61"/>
  <c r="FA110" i="61"/>
  <c r="FB110" i="61"/>
  <c r="FC110" i="61"/>
  <c r="FD110" i="61"/>
  <c r="FE110" i="61"/>
  <c r="FF110" i="61"/>
  <c r="FG110" i="61"/>
  <c r="FH110" i="61"/>
  <c r="FI110" i="61"/>
  <c r="FJ110" i="61"/>
  <c r="FK110" i="61"/>
  <c r="BC111" i="61"/>
  <c r="BD111" i="61"/>
  <c r="CE111" i="61"/>
  <c r="CF111" i="61"/>
  <c r="CG111" i="61" s="1"/>
  <c r="CH111" i="61" s="1"/>
  <c r="CI111" i="61" s="1"/>
  <c r="CJ111" i="61" s="1"/>
  <c r="CK111" i="61" s="1"/>
  <c r="CL111" i="61" s="1"/>
  <c r="CM111" i="61" s="1"/>
  <c r="CN111" i="61" s="1"/>
  <c r="CO111" i="61" s="1"/>
  <c r="CP111" i="61" s="1"/>
  <c r="CQ111" i="61" s="1"/>
  <c r="CR111" i="61" s="1"/>
  <c r="CS111" i="61" s="1"/>
  <c r="CT111" i="61" s="1"/>
  <c r="CU111" i="61" s="1"/>
  <c r="CV111" i="61" s="1"/>
  <c r="CW111" i="61" s="1"/>
  <c r="CX111" i="61" s="1"/>
  <c r="CY111" i="61" s="1"/>
  <c r="CZ111" i="61" s="1"/>
  <c r="DA111" i="61" s="1"/>
  <c r="DB111" i="61" s="1"/>
  <c r="DE111" i="61"/>
  <c r="DJ111" i="61"/>
  <c r="EL111" i="61"/>
  <c r="EM111" i="61" s="1"/>
  <c r="EN111" i="61"/>
  <c r="EO111" i="61"/>
  <c r="EP111" i="61"/>
  <c r="EQ111" i="61"/>
  <c r="ER111" i="61"/>
  <c r="ES111" i="61"/>
  <c r="ET111" i="61"/>
  <c r="EU111" i="61"/>
  <c r="EV111" i="61"/>
  <c r="EW111" i="61"/>
  <c r="EX111" i="61"/>
  <c r="EY111" i="61"/>
  <c r="EZ111" i="61"/>
  <c r="FA111" i="61"/>
  <c r="FB111" i="61"/>
  <c r="FC111" i="61"/>
  <c r="FD111" i="61"/>
  <c r="FE111" i="61"/>
  <c r="FF111" i="61"/>
  <c r="FG111" i="61"/>
  <c r="FH111" i="61"/>
  <c r="FI111" i="61"/>
  <c r="FJ111" i="61"/>
  <c r="FK111" i="61"/>
  <c r="BC112" i="61"/>
  <c r="BD112" i="61"/>
  <c r="CE112" i="61"/>
  <c r="CF112" i="61" s="1"/>
  <c r="CG112" i="61" s="1"/>
  <c r="CH112" i="61"/>
  <c r="DE112" i="61"/>
  <c r="DJ112" i="61"/>
  <c r="EL112" i="61"/>
  <c r="EM112" i="61" s="1"/>
  <c r="EN112" i="61"/>
  <c r="EO112" i="61"/>
  <c r="EP112" i="61"/>
  <c r="EQ112" i="61"/>
  <c r="ER112" i="61"/>
  <c r="ES112" i="61"/>
  <c r="ET112" i="61"/>
  <c r="EU112" i="61"/>
  <c r="EV112" i="61"/>
  <c r="EW112" i="61"/>
  <c r="EX112" i="61"/>
  <c r="EY112" i="61"/>
  <c r="EZ112" i="61"/>
  <c r="FA112" i="61"/>
  <c r="FB112" i="61"/>
  <c r="FC112" i="61"/>
  <c r="FD112" i="61"/>
  <c r="FE112" i="61"/>
  <c r="FF112" i="61"/>
  <c r="FG112" i="61"/>
  <c r="FH112" i="61"/>
  <c r="FI112" i="61"/>
  <c r="FJ112" i="61"/>
  <c r="FK112" i="61"/>
  <c r="BC113" i="61"/>
  <c r="BD113" i="61"/>
  <c r="CE113" i="61"/>
  <c r="CF113" i="61"/>
  <c r="CG113" i="61" s="1"/>
  <c r="CH113" i="61" s="1"/>
  <c r="CI113" i="61" s="1"/>
  <c r="CJ113" i="61" s="1"/>
  <c r="CK113" i="61" s="1"/>
  <c r="CL113" i="61" s="1"/>
  <c r="CM113" i="61" s="1"/>
  <c r="CN113" i="61" s="1"/>
  <c r="CO113" i="61" s="1"/>
  <c r="CP113" i="61" s="1"/>
  <c r="CQ113" i="61" s="1"/>
  <c r="CR113" i="61" s="1"/>
  <c r="CS113" i="61" s="1"/>
  <c r="CT113" i="61" s="1"/>
  <c r="CU113" i="61" s="1"/>
  <c r="CV113" i="61" s="1"/>
  <c r="CW113" i="61" s="1"/>
  <c r="CX113" i="61" s="1"/>
  <c r="CY113" i="61" s="1"/>
  <c r="CZ113" i="61" s="1"/>
  <c r="DA113" i="61" s="1"/>
  <c r="DB113" i="61" s="1"/>
  <c r="DE113" i="61"/>
  <c r="EL113" i="61" s="1"/>
  <c r="EM113" i="61" s="1"/>
  <c r="DJ113" i="61"/>
  <c r="EN113" i="61"/>
  <c r="EO113" i="61"/>
  <c r="EP113" i="61"/>
  <c r="EQ113" i="61"/>
  <c r="ER113" i="61"/>
  <c r="ES113" i="61"/>
  <c r="ET113" i="61"/>
  <c r="EU113" i="61"/>
  <c r="EV113" i="61"/>
  <c r="EW113" i="61"/>
  <c r="EX113" i="61"/>
  <c r="EY113" i="61"/>
  <c r="EZ113" i="61"/>
  <c r="FA113" i="61"/>
  <c r="FB113" i="61"/>
  <c r="FC113" i="61"/>
  <c r="FD113" i="61"/>
  <c r="FE113" i="61"/>
  <c r="FF113" i="61"/>
  <c r="FG113" i="61"/>
  <c r="FH113" i="61"/>
  <c r="FI113" i="61"/>
  <c r="FJ113" i="61"/>
  <c r="FK113" i="61"/>
  <c r="BC114" i="61"/>
  <c r="BD114" i="61"/>
  <c r="CE114" i="61"/>
  <c r="CF114" i="61" s="1"/>
  <c r="DE114" i="61"/>
  <c r="DJ114" i="61"/>
  <c r="EL114" i="61"/>
  <c r="EM114" i="61" s="1"/>
  <c r="EN114" i="61"/>
  <c r="EO114" i="61"/>
  <c r="EP114" i="61"/>
  <c r="EQ114" i="61"/>
  <c r="ER114" i="61"/>
  <c r="ES114" i="61"/>
  <c r="ET114" i="61"/>
  <c r="EU114" i="61"/>
  <c r="EV114" i="61"/>
  <c r="EW114" i="61"/>
  <c r="EX114" i="61"/>
  <c r="EY114" i="61"/>
  <c r="EZ114" i="61"/>
  <c r="FA114" i="61"/>
  <c r="FB114" i="61"/>
  <c r="FC114" i="61"/>
  <c r="FD114" i="61"/>
  <c r="FE114" i="61"/>
  <c r="FF114" i="61"/>
  <c r="FG114" i="61"/>
  <c r="FH114" i="61"/>
  <c r="FI114" i="61"/>
  <c r="FJ114" i="61"/>
  <c r="FK114" i="61"/>
  <c r="BC115" i="61"/>
  <c r="BD115" i="61"/>
  <c r="CE115" i="61"/>
  <c r="CF115" i="61"/>
  <c r="CG115" i="61"/>
  <c r="CH115" i="61" s="1"/>
  <c r="DE115" i="61"/>
  <c r="DJ115" i="61"/>
  <c r="EL115" i="61"/>
  <c r="EM115" i="61"/>
  <c r="EN115" i="61"/>
  <c r="EO115" i="61"/>
  <c r="EP115" i="61"/>
  <c r="EQ115" i="61"/>
  <c r="ER115" i="61"/>
  <c r="ES115" i="61"/>
  <c r="ET115" i="61"/>
  <c r="EU115" i="61"/>
  <c r="EV115" i="61"/>
  <c r="EW115" i="61"/>
  <c r="EX115" i="61"/>
  <c r="EY115" i="61"/>
  <c r="EZ115" i="61"/>
  <c r="FA115" i="61"/>
  <c r="FB115" i="61"/>
  <c r="FC115" i="61"/>
  <c r="FD115" i="61"/>
  <c r="FE115" i="61"/>
  <c r="FF115" i="61"/>
  <c r="FG115" i="61"/>
  <c r="FH115" i="61"/>
  <c r="FI115" i="61"/>
  <c r="FJ115" i="61"/>
  <c r="FK115" i="61"/>
  <c r="BC116" i="61"/>
  <c r="BD116" i="61"/>
  <c r="CE116" i="61"/>
  <c r="CF116" i="61" s="1"/>
  <c r="DE116" i="61"/>
  <c r="DJ116" i="61"/>
  <c r="EL116" i="61"/>
  <c r="EM116" i="61"/>
  <c r="EN116" i="61"/>
  <c r="EO116" i="61"/>
  <c r="EP116" i="61"/>
  <c r="EQ116" i="61"/>
  <c r="ER116" i="61"/>
  <c r="ES116" i="61"/>
  <c r="ET116" i="61"/>
  <c r="EU116" i="61"/>
  <c r="EV116" i="61"/>
  <c r="EW116" i="61"/>
  <c r="EX116" i="61"/>
  <c r="EY116" i="61"/>
  <c r="EZ116" i="61"/>
  <c r="FA116" i="61"/>
  <c r="FB116" i="61"/>
  <c r="FC116" i="61"/>
  <c r="FD116" i="61"/>
  <c r="FE116" i="61"/>
  <c r="FF116" i="61"/>
  <c r="FG116" i="61"/>
  <c r="FH116" i="61"/>
  <c r="FI116" i="61"/>
  <c r="FJ116" i="61"/>
  <c r="FK116" i="61"/>
  <c r="BC117" i="61"/>
  <c r="BD117" i="61"/>
  <c r="CE117" i="61"/>
  <c r="CF117" i="61" s="1"/>
  <c r="DE117" i="61"/>
  <c r="DJ117" i="61"/>
  <c r="EL117" i="61"/>
  <c r="EM117" i="61"/>
  <c r="EN117" i="61"/>
  <c r="EO117" i="61"/>
  <c r="EP117" i="61"/>
  <c r="EQ117" i="61"/>
  <c r="ER117" i="61"/>
  <c r="ES117" i="61"/>
  <c r="ET117" i="61"/>
  <c r="EU117" i="61"/>
  <c r="EV117" i="61"/>
  <c r="EW117" i="61"/>
  <c r="EX117" i="61"/>
  <c r="EY117" i="61"/>
  <c r="EZ117" i="61"/>
  <c r="FA117" i="61"/>
  <c r="FB117" i="61"/>
  <c r="FC117" i="61"/>
  <c r="FD117" i="61"/>
  <c r="FE117" i="61"/>
  <c r="FF117" i="61"/>
  <c r="FG117" i="61"/>
  <c r="FH117" i="61"/>
  <c r="FI117" i="61"/>
  <c r="FJ117" i="61"/>
  <c r="FK117" i="61"/>
  <c r="BC118" i="61"/>
  <c r="BD118" i="61"/>
  <c r="CE118" i="61"/>
  <c r="CF118" i="61" s="1"/>
  <c r="DE118" i="61"/>
  <c r="DJ118" i="61"/>
  <c r="EL118" i="61"/>
  <c r="EM118" i="61"/>
  <c r="EN118" i="61"/>
  <c r="EO118" i="61"/>
  <c r="EP118" i="61"/>
  <c r="EQ118" i="61"/>
  <c r="ER118" i="61"/>
  <c r="ES118" i="61"/>
  <c r="ET118" i="61"/>
  <c r="EU118" i="61"/>
  <c r="EV118" i="61"/>
  <c r="EW118" i="61"/>
  <c r="EX118" i="61"/>
  <c r="EY118" i="61"/>
  <c r="EZ118" i="61"/>
  <c r="FA118" i="61"/>
  <c r="FB118" i="61"/>
  <c r="FC118" i="61"/>
  <c r="FD118" i="61"/>
  <c r="FE118" i="61"/>
  <c r="FF118" i="61"/>
  <c r="FG118" i="61"/>
  <c r="FH118" i="61"/>
  <c r="FI118" i="61"/>
  <c r="FJ118" i="61"/>
  <c r="FK118" i="61"/>
  <c r="BC119" i="61"/>
  <c r="BD119" i="61"/>
  <c r="CE119" i="61"/>
  <c r="CF119" i="61" s="1"/>
  <c r="DE119" i="61"/>
  <c r="DJ119" i="61"/>
  <c r="EL119" i="61"/>
  <c r="EM119" i="61"/>
  <c r="EN119" i="61"/>
  <c r="EO119" i="61"/>
  <c r="EP119" i="61"/>
  <c r="EQ119" i="61"/>
  <c r="ER119" i="61"/>
  <c r="ES119" i="61"/>
  <c r="ET119" i="61"/>
  <c r="EU119" i="61"/>
  <c r="EV119" i="61"/>
  <c r="EW119" i="61"/>
  <c r="EX119" i="61"/>
  <c r="EY119" i="61"/>
  <c r="EZ119" i="61"/>
  <c r="FA119" i="61"/>
  <c r="FB119" i="61"/>
  <c r="FC119" i="61"/>
  <c r="FD119" i="61"/>
  <c r="FE119" i="61"/>
  <c r="FF119" i="61"/>
  <c r="FG119" i="61"/>
  <c r="FH119" i="61"/>
  <c r="FI119" i="61"/>
  <c r="FJ119" i="61"/>
  <c r="FK119" i="61"/>
  <c r="BC120" i="61"/>
  <c r="BD120" i="61"/>
  <c r="CE120" i="61"/>
  <c r="CF120" i="61" s="1"/>
  <c r="CG120" i="61" s="1"/>
  <c r="DE120" i="61"/>
  <c r="DJ120" i="61"/>
  <c r="EL120" i="61"/>
  <c r="EM120" i="61"/>
  <c r="EN120" i="61"/>
  <c r="EO120" i="61"/>
  <c r="EP120" i="61"/>
  <c r="EQ120" i="61"/>
  <c r="ER120" i="61"/>
  <c r="ES120" i="61"/>
  <c r="ET120" i="61"/>
  <c r="EU120" i="61"/>
  <c r="EV120" i="61"/>
  <c r="EW120" i="61"/>
  <c r="EX120" i="61"/>
  <c r="EY120" i="61"/>
  <c r="EZ120" i="61"/>
  <c r="FA120" i="61"/>
  <c r="FB120" i="61"/>
  <c r="FC120" i="61"/>
  <c r="FD120" i="61"/>
  <c r="FE120" i="61"/>
  <c r="FF120" i="61"/>
  <c r="FG120" i="61"/>
  <c r="FH120" i="61"/>
  <c r="FI120" i="61"/>
  <c r="FJ120" i="61"/>
  <c r="FK120" i="61"/>
  <c r="BC121" i="61"/>
  <c r="BD121" i="61"/>
  <c r="CE121" i="61"/>
  <c r="CF121" i="61" s="1"/>
  <c r="DE121" i="61"/>
  <c r="DJ121" i="61"/>
  <c r="EL121" i="61"/>
  <c r="EM121" i="61"/>
  <c r="EN121" i="61"/>
  <c r="EO121" i="61"/>
  <c r="EP121" i="61"/>
  <c r="EQ121" i="61"/>
  <c r="ER121" i="61"/>
  <c r="ES121" i="61"/>
  <c r="ET121" i="61"/>
  <c r="EU121" i="61"/>
  <c r="EV121" i="61"/>
  <c r="EW121" i="61"/>
  <c r="EX121" i="61"/>
  <c r="EY121" i="61"/>
  <c r="EZ121" i="61"/>
  <c r="FA121" i="61"/>
  <c r="FB121" i="61"/>
  <c r="FC121" i="61"/>
  <c r="FD121" i="61"/>
  <c r="FE121" i="61"/>
  <c r="FF121" i="61"/>
  <c r="FG121" i="61"/>
  <c r="FH121" i="61"/>
  <c r="FI121" i="61"/>
  <c r="FJ121" i="61"/>
  <c r="FK121" i="61"/>
  <c r="BC122" i="61"/>
  <c r="BD122" i="61"/>
  <c r="CE122" i="61"/>
  <c r="CF122" i="61"/>
  <c r="DE122" i="61"/>
  <c r="DJ122" i="61"/>
  <c r="EL122" i="61"/>
  <c r="EM122" i="61" s="1"/>
  <c r="EN122" i="61"/>
  <c r="EO122" i="61"/>
  <c r="EP122" i="61"/>
  <c r="EQ122" i="61"/>
  <c r="ER122" i="61"/>
  <c r="ES122" i="61"/>
  <c r="ET122" i="61"/>
  <c r="EU122" i="61"/>
  <c r="EV122" i="61"/>
  <c r="EW122" i="61"/>
  <c r="EX122" i="61"/>
  <c r="EY122" i="61"/>
  <c r="EZ122" i="61"/>
  <c r="FA122" i="61"/>
  <c r="FB122" i="61"/>
  <c r="FC122" i="61"/>
  <c r="FD122" i="61"/>
  <c r="FE122" i="61"/>
  <c r="FF122" i="61"/>
  <c r="FG122" i="61"/>
  <c r="FH122" i="61"/>
  <c r="FI122" i="61"/>
  <c r="FJ122" i="61"/>
  <c r="FK122" i="61"/>
  <c r="CH120" i="61" l="1"/>
  <c r="CI120" i="61" s="1"/>
  <c r="CJ120" i="61" s="1"/>
  <c r="CK120" i="61" s="1"/>
  <c r="CL120" i="61" s="1"/>
  <c r="CM120" i="61" s="1"/>
  <c r="CN120" i="61" s="1"/>
  <c r="CO120" i="61" s="1"/>
  <c r="CP120" i="61" s="1"/>
  <c r="CQ120" i="61" s="1"/>
  <c r="CR120" i="61" s="1"/>
  <c r="CS120" i="61" s="1"/>
  <c r="CT120" i="61" s="1"/>
  <c r="CU120" i="61" s="1"/>
  <c r="CV120" i="61" s="1"/>
  <c r="CW120" i="61" s="1"/>
  <c r="CX120" i="61" s="1"/>
  <c r="CY120" i="61" s="1"/>
  <c r="CZ120" i="61" s="1"/>
  <c r="DA120" i="61" s="1"/>
  <c r="DB120" i="61" s="1"/>
  <c r="CG121" i="61"/>
  <c r="CH121" i="61" s="1"/>
  <c r="CI121" i="61" s="1"/>
  <c r="CJ121" i="61" s="1"/>
  <c r="CK121" i="61" s="1"/>
  <c r="CL121" i="61" s="1"/>
  <c r="CM121" i="61" s="1"/>
  <c r="CN121" i="61" s="1"/>
  <c r="CO121" i="61" s="1"/>
  <c r="CP121" i="61" s="1"/>
  <c r="CQ121" i="61" s="1"/>
  <c r="CR121" i="61" s="1"/>
  <c r="CS121" i="61" s="1"/>
  <c r="CT121" i="61" s="1"/>
  <c r="CU121" i="61" s="1"/>
  <c r="CV121" i="61" s="1"/>
  <c r="CW121" i="61" s="1"/>
  <c r="CX121" i="61" s="1"/>
  <c r="CY121" i="61" s="1"/>
  <c r="CZ121" i="61" s="1"/>
  <c r="DA121" i="61" s="1"/>
  <c r="DB121" i="61" s="1"/>
  <c r="CG122" i="61"/>
  <c r="CH122" i="61" s="1"/>
  <c r="CI122" i="61" s="1"/>
  <c r="CJ122" i="61" s="1"/>
  <c r="CK122" i="61" s="1"/>
  <c r="CL122" i="61" s="1"/>
  <c r="CM122" i="61" s="1"/>
  <c r="CN122" i="61" s="1"/>
  <c r="CO122" i="61" s="1"/>
  <c r="CP122" i="61" s="1"/>
  <c r="CQ122" i="61" s="1"/>
  <c r="CR122" i="61" s="1"/>
  <c r="CS122" i="61" s="1"/>
  <c r="CT122" i="61" s="1"/>
  <c r="CU122" i="61" s="1"/>
  <c r="CV122" i="61" s="1"/>
  <c r="CW122" i="61" s="1"/>
  <c r="CX122" i="61" s="1"/>
  <c r="CY122" i="61" s="1"/>
  <c r="CZ122" i="61" s="1"/>
  <c r="DA122" i="61" s="1"/>
  <c r="DB122" i="61" s="1"/>
  <c r="CG116" i="61"/>
  <c r="CH116" i="61" s="1"/>
  <c r="CI116" i="61" s="1"/>
  <c r="CJ116" i="61" s="1"/>
  <c r="CK116" i="61" s="1"/>
  <c r="CL116" i="61" s="1"/>
  <c r="CM116" i="61" s="1"/>
  <c r="CN116" i="61" s="1"/>
  <c r="CO116" i="61" s="1"/>
  <c r="CP116" i="61" s="1"/>
  <c r="CQ116" i="61" s="1"/>
  <c r="CR116" i="61" s="1"/>
  <c r="CS116" i="61" s="1"/>
  <c r="CT116" i="61" s="1"/>
  <c r="CU116" i="61" s="1"/>
  <c r="CV116" i="61" s="1"/>
  <c r="CW116" i="61" s="1"/>
  <c r="CX116" i="61" s="1"/>
  <c r="CY116" i="61" s="1"/>
  <c r="CZ116" i="61" s="1"/>
  <c r="DA116" i="61" s="1"/>
  <c r="DB116" i="61" s="1"/>
  <c r="CG117" i="61"/>
  <c r="CH117" i="61" s="1"/>
  <c r="CI117" i="61" s="1"/>
  <c r="CJ117" i="61" s="1"/>
  <c r="CK117" i="61" s="1"/>
  <c r="CL117" i="61" s="1"/>
  <c r="CM117" i="61" s="1"/>
  <c r="CN117" i="61" s="1"/>
  <c r="CO117" i="61" s="1"/>
  <c r="CP117" i="61" s="1"/>
  <c r="CQ117" i="61" s="1"/>
  <c r="CR117" i="61" s="1"/>
  <c r="CS117" i="61" s="1"/>
  <c r="CT117" i="61" s="1"/>
  <c r="CU117" i="61" s="1"/>
  <c r="CV117" i="61" s="1"/>
  <c r="CW117" i="61" s="1"/>
  <c r="CX117" i="61" s="1"/>
  <c r="CY117" i="61" s="1"/>
  <c r="CZ117" i="61" s="1"/>
  <c r="DA117" i="61" s="1"/>
  <c r="DB117" i="61" s="1"/>
  <c r="CG118" i="61"/>
  <c r="CH118" i="61" s="1"/>
  <c r="CI118" i="61" s="1"/>
  <c r="CJ118" i="61" s="1"/>
  <c r="CK118" i="61" s="1"/>
  <c r="CL118" i="61" s="1"/>
  <c r="CM118" i="61" s="1"/>
  <c r="CN118" i="61" s="1"/>
  <c r="CO118" i="61" s="1"/>
  <c r="CP118" i="61" s="1"/>
  <c r="CQ118" i="61" s="1"/>
  <c r="CR118" i="61" s="1"/>
  <c r="CS118" i="61" s="1"/>
  <c r="CT118" i="61" s="1"/>
  <c r="CU118" i="61" s="1"/>
  <c r="CV118" i="61" s="1"/>
  <c r="CW118" i="61" s="1"/>
  <c r="CX118" i="61" s="1"/>
  <c r="CY118" i="61" s="1"/>
  <c r="CZ118" i="61" s="1"/>
  <c r="DA118" i="61" s="1"/>
  <c r="DB118" i="61" s="1"/>
  <c r="CG119" i="61"/>
  <c r="CH119" i="61" s="1"/>
  <c r="CI119" i="61" s="1"/>
  <c r="CJ119" i="61" s="1"/>
  <c r="CK119" i="61" s="1"/>
  <c r="CL119" i="61" s="1"/>
  <c r="CM119" i="61" s="1"/>
  <c r="CN119" i="61" s="1"/>
  <c r="CO119" i="61" s="1"/>
  <c r="CP119" i="61" s="1"/>
  <c r="CQ119" i="61" s="1"/>
  <c r="CR119" i="61" s="1"/>
  <c r="CS119" i="61" s="1"/>
  <c r="CT119" i="61" s="1"/>
  <c r="CU119" i="61" s="1"/>
  <c r="CV119" i="61" s="1"/>
  <c r="CW119" i="61" s="1"/>
  <c r="CX119" i="61" s="1"/>
  <c r="CY119" i="61" s="1"/>
  <c r="CZ119" i="61" s="1"/>
  <c r="DA119" i="61" s="1"/>
  <c r="DB119" i="61" s="1"/>
  <c r="CI115" i="61"/>
  <c r="CJ115" i="61" s="1"/>
  <c r="CK115" i="61" s="1"/>
  <c r="CL115" i="61" s="1"/>
  <c r="CM115" i="61" s="1"/>
  <c r="CN115" i="61" s="1"/>
  <c r="CO115" i="61" s="1"/>
  <c r="CP115" i="61" s="1"/>
  <c r="CQ115" i="61" s="1"/>
  <c r="CR115" i="61" s="1"/>
  <c r="CS115" i="61" s="1"/>
  <c r="CT115" i="61" s="1"/>
  <c r="CU115" i="61" s="1"/>
  <c r="CV115" i="61" s="1"/>
  <c r="CW115" i="61" s="1"/>
  <c r="CX115" i="61" s="1"/>
  <c r="CY115" i="61" s="1"/>
  <c r="CZ115" i="61" s="1"/>
  <c r="DA115" i="61" s="1"/>
  <c r="DB115" i="61" s="1"/>
  <c r="CG114" i="61"/>
  <c r="CH114" i="61" s="1"/>
  <c r="CI114" i="61" s="1"/>
  <c r="CJ114" i="61" s="1"/>
  <c r="CK114" i="61" s="1"/>
  <c r="CL114" i="61" s="1"/>
  <c r="CM114" i="61" s="1"/>
  <c r="CN114" i="61" s="1"/>
  <c r="CO114" i="61" s="1"/>
  <c r="CP114" i="61" s="1"/>
  <c r="CQ114" i="61" s="1"/>
  <c r="CR114" i="61" s="1"/>
  <c r="CS114" i="61" s="1"/>
  <c r="CT114" i="61" s="1"/>
  <c r="CU114" i="61" s="1"/>
  <c r="CV114" i="61" s="1"/>
  <c r="CW114" i="61" s="1"/>
  <c r="CX114" i="61" s="1"/>
  <c r="CY114" i="61" s="1"/>
  <c r="CZ114" i="61" s="1"/>
  <c r="DA114" i="61" s="1"/>
  <c r="DB114" i="61" s="1"/>
  <c r="DD114" i="61"/>
  <c r="DF114" i="61" s="1"/>
  <c r="DD112" i="61"/>
  <c r="DF112" i="61" s="1"/>
  <c r="CI112" i="61"/>
  <c r="CJ112" i="61" s="1"/>
  <c r="CK112" i="61" s="1"/>
  <c r="CL112" i="61" s="1"/>
  <c r="CM112" i="61" s="1"/>
  <c r="CN112" i="61" s="1"/>
  <c r="CO112" i="61" s="1"/>
  <c r="CP112" i="61" s="1"/>
  <c r="CQ112" i="61" s="1"/>
  <c r="CR112" i="61" s="1"/>
  <c r="CS112" i="61" s="1"/>
  <c r="CT112" i="61" s="1"/>
  <c r="CU112" i="61" s="1"/>
  <c r="CV112" i="61" s="1"/>
  <c r="CW112" i="61" s="1"/>
  <c r="CX112" i="61" s="1"/>
  <c r="CY112" i="61" s="1"/>
  <c r="CZ112" i="61" s="1"/>
  <c r="DA112" i="61" s="1"/>
  <c r="DB112" i="61" s="1"/>
  <c r="DD109" i="61"/>
  <c r="DF109" i="61" s="1"/>
  <c r="CG110" i="61"/>
  <c r="CH110" i="61" s="1"/>
  <c r="CI110" i="61" s="1"/>
  <c r="CJ110" i="61" s="1"/>
  <c r="CK110" i="61" s="1"/>
  <c r="CL110" i="61" s="1"/>
  <c r="CM110" i="61" s="1"/>
  <c r="CN110" i="61" s="1"/>
  <c r="CO110" i="61" s="1"/>
  <c r="CP110" i="61" s="1"/>
  <c r="CQ110" i="61" s="1"/>
  <c r="CR110" i="61" s="1"/>
  <c r="CS110" i="61" s="1"/>
  <c r="CT110" i="61" s="1"/>
  <c r="CU110" i="61" s="1"/>
  <c r="CV110" i="61" s="1"/>
  <c r="CW110" i="61" s="1"/>
  <c r="CX110" i="61" s="1"/>
  <c r="CY110" i="61" s="1"/>
  <c r="CZ110" i="61" s="1"/>
  <c r="DA110" i="61" s="1"/>
  <c r="DB110" i="61" s="1"/>
  <c r="CG107" i="61"/>
  <c r="CH107" i="61" s="1"/>
  <c r="CI107" i="61" s="1"/>
  <c r="CJ107" i="61" s="1"/>
  <c r="CK107" i="61" s="1"/>
  <c r="CL107" i="61" s="1"/>
  <c r="CM107" i="61" s="1"/>
  <c r="CN107" i="61" s="1"/>
  <c r="CO107" i="61" s="1"/>
  <c r="CP107" i="61" s="1"/>
  <c r="CQ107" i="61" s="1"/>
  <c r="CR107" i="61" s="1"/>
  <c r="CS107" i="61" s="1"/>
  <c r="CT107" i="61" s="1"/>
  <c r="CU107" i="61" s="1"/>
  <c r="CV107" i="61" s="1"/>
  <c r="CW107" i="61" s="1"/>
  <c r="CX107" i="61" s="1"/>
  <c r="CY107" i="61" s="1"/>
  <c r="CZ107" i="61" s="1"/>
  <c r="DA107" i="61" s="1"/>
  <c r="DB107" i="61" s="1"/>
  <c r="DD113" i="61"/>
  <c r="DF113" i="61" s="1"/>
  <c r="DD111" i="61"/>
  <c r="DF111" i="61" s="1"/>
  <c r="DD108" i="61"/>
  <c r="DF108" i="61" s="1"/>
  <c r="CG106" i="61"/>
  <c r="CH106" i="61" s="1"/>
  <c r="CI106" i="61" s="1"/>
  <c r="CJ106" i="61" s="1"/>
  <c r="CK106" i="61" s="1"/>
  <c r="CL106" i="61" s="1"/>
  <c r="CM106" i="61" s="1"/>
  <c r="CN106" i="61" s="1"/>
  <c r="CO106" i="61" s="1"/>
  <c r="CP106" i="61" s="1"/>
  <c r="CQ106" i="61" s="1"/>
  <c r="CR106" i="61" s="1"/>
  <c r="CS106" i="61" s="1"/>
  <c r="CT106" i="61" s="1"/>
  <c r="CU106" i="61" s="1"/>
  <c r="CV106" i="61" s="1"/>
  <c r="CW106" i="61" s="1"/>
  <c r="CX106" i="61" s="1"/>
  <c r="CY106" i="61" s="1"/>
  <c r="CZ106" i="61" s="1"/>
  <c r="DA106" i="61" s="1"/>
  <c r="DB106" i="61" s="1"/>
  <c r="DD106" i="61"/>
  <c r="DF106" i="61" s="1"/>
  <c r="DD105" i="61"/>
  <c r="DF105" i="61" s="1"/>
  <c r="CG105" i="61"/>
  <c r="CH105" i="61" s="1"/>
  <c r="CI105" i="61" s="1"/>
  <c r="CJ105" i="61" s="1"/>
  <c r="CK105" i="61" s="1"/>
  <c r="CL105" i="61" s="1"/>
  <c r="CM105" i="61" s="1"/>
  <c r="CN105" i="61" s="1"/>
  <c r="CO105" i="61" s="1"/>
  <c r="CP105" i="61" s="1"/>
  <c r="CQ105" i="61" s="1"/>
  <c r="CR105" i="61" s="1"/>
  <c r="CS105" i="61" s="1"/>
  <c r="CT105" i="61" s="1"/>
  <c r="CU105" i="61" s="1"/>
  <c r="CV105" i="61" s="1"/>
  <c r="CW105" i="61" s="1"/>
  <c r="CX105" i="61" s="1"/>
  <c r="CY105" i="61" s="1"/>
  <c r="CZ105" i="61" s="1"/>
  <c r="DA105" i="61" s="1"/>
  <c r="DB105" i="61" s="1"/>
  <c r="CG102" i="61"/>
  <c r="CH102" i="61" s="1"/>
  <c r="CI102" i="61" s="1"/>
  <c r="CJ102" i="61" s="1"/>
  <c r="CK102" i="61" s="1"/>
  <c r="CL102" i="61" s="1"/>
  <c r="CM102" i="61" s="1"/>
  <c r="CN102" i="61" s="1"/>
  <c r="CO102" i="61" s="1"/>
  <c r="CP102" i="61" s="1"/>
  <c r="CQ102" i="61" s="1"/>
  <c r="CR102" i="61" s="1"/>
  <c r="CS102" i="61" s="1"/>
  <c r="CT102" i="61" s="1"/>
  <c r="CU102" i="61" s="1"/>
  <c r="CV102" i="61" s="1"/>
  <c r="CW102" i="61" s="1"/>
  <c r="CX102" i="61" s="1"/>
  <c r="CY102" i="61" s="1"/>
  <c r="CZ102" i="61" s="1"/>
  <c r="DA102" i="61" s="1"/>
  <c r="DB102" i="61" s="1"/>
  <c r="DD102" i="61"/>
  <c r="DF102" i="61" s="1"/>
  <c r="CH101" i="61"/>
  <c r="CI101" i="61" s="1"/>
  <c r="CJ101" i="61" s="1"/>
  <c r="CK101" i="61" s="1"/>
  <c r="CL101" i="61" s="1"/>
  <c r="CM101" i="61" s="1"/>
  <c r="CN101" i="61" s="1"/>
  <c r="CO101" i="61" s="1"/>
  <c r="CP101" i="61" s="1"/>
  <c r="CQ101" i="61" s="1"/>
  <c r="CR101" i="61" s="1"/>
  <c r="CS101" i="61" s="1"/>
  <c r="CT101" i="61" s="1"/>
  <c r="CU101" i="61" s="1"/>
  <c r="CV101" i="61" s="1"/>
  <c r="CW101" i="61" s="1"/>
  <c r="CX101" i="61" s="1"/>
  <c r="CY101" i="61" s="1"/>
  <c r="CZ101" i="61" s="1"/>
  <c r="DA101" i="61" s="1"/>
  <c r="DB101" i="61" s="1"/>
  <c r="CL100" i="61"/>
  <c r="CM100" i="61" s="1"/>
  <c r="CN100" i="61" s="1"/>
  <c r="CO100" i="61" s="1"/>
  <c r="CP100" i="61" s="1"/>
  <c r="CQ100" i="61" s="1"/>
  <c r="CR100" i="61" s="1"/>
  <c r="CS100" i="61" s="1"/>
  <c r="CT100" i="61" s="1"/>
  <c r="CU100" i="61" s="1"/>
  <c r="CV100" i="61" s="1"/>
  <c r="CW100" i="61" s="1"/>
  <c r="CX100" i="61" s="1"/>
  <c r="CY100" i="61" s="1"/>
  <c r="CZ100" i="61" s="1"/>
  <c r="DA100" i="61" s="1"/>
  <c r="DB100" i="61" s="1"/>
  <c r="DD104" i="61"/>
  <c r="DF104" i="61" s="1"/>
  <c r="CG103" i="61"/>
  <c r="CH103" i="61" s="1"/>
  <c r="CI103" i="61" s="1"/>
  <c r="CJ103" i="61" s="1"/>
  <c r="CK103" i="61" s="1"/>
  <c r="CL103" i="61" s="1"/>
  <c r="CM103" i="61" s="1"/>
  <c r="CN103" i="61" s="1"/>
  <c r="CO103" i="61" s="1"/>
  <c r="CP103" i="61" s="1"/>
  <c r="CQ103" i="61" s="1"/>
  <c r="CR103" i="61" s="1"/>
  <c r="CS103" i="61" s="1"/>
  <c r="CT103" i="61" s="1"/>
  <c r="CU103" i="61" s="1"/>
  <c r="CV103" i="61" s="1"/>
  <c r="CW103" i="61" s="1"/>
  <c r="CX103" i="61" s="1"/>
  <c r="CY103" i="61" s="1"/>
  <c r="CZ103" i="61" s="1"/>
  <c r="DA103" i="61" s="1"/>
  <c r="DB103" i="61" s="1"/>
  <c r="FH97" i="61"/>
  <c r="FH99" i="61"/>
  <c r="FH98" i="61"/>
  <c r="FH100" i="61"/>
  <c r="FD97" i="61"/>
  <c r="FD99" i="61"/>
  <c r="FD98" i="61"/>
  <c r="FD100" i="61"/>
  <c r="EZ97" i="61"/>
  <c r="EZ99" i="61"/>
  <c r="EZ98" i="61"/>
  <c r="EZ100" i="61"/>
  <c r="CG99" i="61"/>
  <c r="CH99" i="61" s="1"/>
  <c r="CI99" i="61" s="1"/>
  <c r="CJ99" i="61" s="1"/>
  <c r="CK99" i="61" s="1"/>
  <c r="CL99" i="61" s="1"/>
  <c r="CM99" i="61" s="1"/>
  <c r="CN99" i="61" s="1"/>
  <c r="CO99" i="61" s="1"/>
  <c r="CP99" i="61" s="1"/>
  <c r="CQ99" i="61" s="1"/>
  <c r="CR99" i="61" s="1"/>
  <c r="CS99" i="61" s="1"/>
  <c r="CT99" i="61" s="1"/>
  <c r="CU99" i="61" s="1"/>
  <c r="CV99" i="61" s="1"/>
  <c r="CW99" i="61" s="1"/>
  <c r="CX99" i="61" s="1"/>
  <c r="CY99" i="61" s="1"/>
  <c r="CZ99" i="61" s="1"/>
  <c r="DA99" i="61" s="1"/>
  <c r="DB99" i="61" s="1"/>
  <c r="CG98" i="61"/>
  <c r="CH98" i="61" s="1"/>
  <c r="CI98" i="61" s="1"/>
  <c r="CJ98" i="61" s="1"/>
  <c r="CK98" i="61" s="1"/>
  <c r="CL98" i="61" s="1"/>
  <c r="CM98" i="61" s="1"/>
  <c r="CN98" i="61" s="1"/>
  <c r="CO98" i="61" s="1"/>
  <c r="CP98" i="61" s="1"/>
  <c r="CQ98" i="61" s="1"/>
  <c r="CR98" i="61" s="1"/>
  <c r="CS98" i="61" s="1"/>
  <c r="CT98" i="61" s="1"/>
  <c r="CU98" i="61" s="1"/>
  <c r="CV98" i="61" s="1"/>
  <c r="CW98" i="61" s="1"/>
  <c r="CX98" i="61" s="1"/>
  <c r="CY98" i="61" s="1"/>
  <c r="CZ98" i="61" s="1"/>
  <c r="DA98" i="61" s="1"/>
  <c r="DB98" i="61" s="1"/>
  <c r="FJ98" i="61"/>
  <c r="FJ100" i="61"/>
  <c r="FJ97" i="61"/>
  <c r="FJ99" i="61"/>
  <c r="FF98" i="61"/>
  <c r="FF100" i="61"/>
  <c r="FF97" i="61"/>
  <c r="FF99" i="61"/>
  <c r="FB98" i="61"/>
  <c r="FB100" i="61"/>
  <c r="FB97" i="61"/>
  <c r="FB99" i="61"/>
  <c r="EX98" i="61"/>
  <c r="EX100" i="61"/>
  <c r="EX97" i="61"/>
  <c r="EX99" i="61"/>
  <c r="L3" i="60"/>
  <c r="N1" i="56" s="1"/>
  <c r="L50" i="61"/>
  <c r="L54" i="61"/>
  <c r="ET151" i="61"/>
  <c r="GI151" i="61" s="1"/>
  <c r="O30" i="64" s="1"/>
  <c r="O31" i="64"/>
  <c r="N31" i="64"/>
  <c r="GI152" i="61"/>
  <c r="O29" i="64"/>
  <c r="O28" i="64"/>
  <c r="O27" i="64"/>
  <c r="O26" i="64"/>
  <c r="O25" i="64"/>
  <c r="O24" i="64"/>
  <c r="O23" i="64"/>
  <c r="O22" i="64"/>
  <c r="O21" i="64"/>
  <c r="O20" i="64"/>
  <c r="O19" i="64"/>
  <c r="O18" i="64"/>
  <c r="O17" i="64"/>
  <c r="O16" i="64"/>
  <c r="O15" i="64"/>
  <c r="O14" i="64"/>
  <c r="O13" i="64"/>
  <c r="O12" i="64"/>
  <c r="O11" i="64"/>
  <c r="O10" i="64"/>
  <c r="O9" i="64"/>
  <c r="O8" i="64"/>
  <c r="O7" i="64"/>
  <c r="O6" i="64"/>
  <c r="O5" i="64"/>
  <c r="O4" i="64"/>
  <c r="N30" i="64"/>
  <c r="N4" i="64"/>
  <c r="GH151" i="61"/>
  <c r="DF98" i="61" l="1"/>
  <c r="DN104" i="61"/>
  <c r="DR104" i="61"/>
  <c r="DV104" i="61"/>
  <c r="DZ104" i="61"/>
  <c r="ED104" i="61"/>
  <c r="EH104" i="61"/>
  <c r="DL104" i="61"/>
  <c r="DP104" i="61"/>
  <c r="DT104" i="61"/>
  <c r="DX104" i="61"/>
  <c r="EB104" i="61"/>
  <c r="EF104" i="61"/>
  <c r="DM104" i="61"/>
  <c r="DQ104" i="61"/>
  <c r="DU104" i="61"/>
  <c r="DY104" i="61"/>
  <c r="EC104" i="61"/>
  <c r="EG104" i="61"/>
  <c r="DK104" i="61"/>
  <c r="EA104" i="61"/>
  <c r="DO104" i="61"/>
  <c r="EE104" i="61"/>
  <c r="DS104" i="61"/>
  <c r="EI104" i="61"/>
  <c r="DW104" i="61"/>
  <c r="DL108" i="61"/>
  <c r="DP108" i="61"/>
  <c r="DT108" i="61"/>
  <c r="DX108" i="61"/>
  <c r="EB108" i="61"/>
  <c r="EF108" i="61"/>
  <c r="DM108" i="61"/>
  <c r="DQ108" i="61"/>
  <c r="DU108" i="61"/>
  <c r="DY108" i="61"/>
  <c r="EC108" i="61"/>
  <c r="EG108" i="61"/>
  <c r="DR108" i="61"/>
  <c r="DZ108" i="61"/>
  <c r="EH108" i="61"/>
  <c r="DK108" i="61"/>
  <c r="DS108" i="61"/>
  <c r="EA108" i="61"/>
  <c r="EI108" i="61"/>
  <c r="DN108" i="61"/>
  <c r="DV108" i="61"/>
  <c r="ED108" i="61"/>
  <c r="DO108" i="61"/>
  <c r="DW108" i="61"/>
  <c r="EE108" i="61"/>
  <c r="DD115" i="61"/>
  <c r="DF115" i="61" s="1"/>
  <c r="DD118" i="61"/>
  <c r="DF118" i="61" s="1"/>
  <c r="DD116" i="61"/>
  <c r="DF116" i="61" s="1"/>
  <c r="DD99" i="61"/>
  <c r="DF99" i="61" s="1"/>
  <c r="DD100" i="61"/>
  <c r="DF100" i="61" s="1"/>
  <c r="DD103" i="61"/>
  <c r="DF103" i="61" s="1"/>
  <c r="DL105" i="61"/>
  <c r="DP105" i="61"/>
  <c r="DN105" i="61"/>
  <c r="DO105" i="61"/>
  <c r="DT105" i="61"/>
  <c r="DX105" i="61"/>
  <c r="EB105" i="61"/>
  <c r="EF105" i="61"/>
  <c r="DQ105" i="61"/>
  <c r="DU105" i="61"/>
  <c r="DY105" i="61"/>
  <c r="EC105" i="61"/>
  <c r="EG105" i="61"/>
  <c r="DK105" i="61"/>
  <c r="DR105" i="61"/>
  <c r="DV105" i="61"/>
  <c r="DZ105" i="61"/>
  <c r="ED105" i="61"/>
  <c r="EH105" i="61"/>
  <c r="DM105" i="61"/>
  <c r="DS105" i="61"/>
  <c r="DW105" i="61"/>
  <c r="EA105" i="61"/>
  <c r="EE105" i="61"/>
  <c r="EI105" i="61"/>
  <c r="DM111" i="61"/>
  <c r="DQ111" i="61"/>
  <c r="DU111" i="61"/>
  <c r="DY111" i="61"/>
  <c r="EC111" i="61"/>
  <c r="EG111" i="61"/>
  <c r="DN111" i="61"/>
  <c r="DR111" i="61"/>
  <c r="DV111" i="61"/>
  <c r="DZ111" i="61"/>
  <c r="ED111" i="61"/>
  <c r="EH111" i="61"/>
  <c r="DK111" i="61"/>
  <c r="DO111" i="61"/>
  <c r="DS111" i="61"/>
  <c r="DW111" i="61"/>
  <c r="EA111" i="61"/>
  <c r="EE111" i="61"/>
  <c r="EI111" i="61"/>
  <c r="DL111" i="61"/>
  <c r="DP111" i="61"/>
  <c r="DT111" i="61"/>
  <c r="DX111" i="61"/>
  <c r="EB111" i="61"/>
  <c r="EF111" i="61"/>
  <c r="DL112" i="61"/>
  <c r="DM112" i="61"/>
  <c r="DQ112" i="61"/>
  <c r="DU112" i="61"/>
  <c r="DY112" i="61"/>
  <c r="EC112" i="61"/>
  <c r="EG112" i="61"/>
  <c r="DN112" i="61"/>
  <c r="DR112" i="61"/>
  <c r="DV112" i="61"/>
  <c r="DZ112" i="61"/>
  <c r="ED112" i="61"/>
  <c r="EH112" i="61"/>
  <c r="DS112" i="61"/>
  <c r="EA112" i="61"/>
  <c r="EI112" i="61"/>
  <c r="DK112" i="61"/>
  <c r="DT112" i="61"/>
  <c r="EB112" i="61"/>
  <c r="DO112" i="61"/>
  <c r="DW112" i="61"/>
  <c r="EE112" i="61"/>
  <c r="DP112" i="61"/>
  <c r="DX112" i="61"/>
  <c r="EF112" i="61"/>
  <c r="DD120" i="61"/>
  <c r="DF120" i="61" s="1"/>
  <c r="DN102" i="61"/>
  <c r="DR102" i="61"/>
  <c r="DV102" i="61"/>
  <c r="DZ102" i="61"/>
  <c r="ED102" i="61"/>
  <c r="EH102" i="61"/>
  <c r="DK102" i="61"/>
  <c r="DO102" i="61"/>
  <c r="DS102" i="61"/>
  <c r="DW102" i="61"/>
  <c r="EA102" i="61"/>
  <c r="EE102" i="61"/>
  <c r="EI102" i="61"/>
  <c r="DL102" i="61"/>
  <c r="DP102" i="61"/>
  <c r="DT102" i="61"/>
  <c r="DX102" i="61"/>
  <c r="EB102" i="61"/>
  <c r="EF102" i="61"/>
  <c r="DM102" i="61"/>
  <c r="DQ102" i="61"/>
  <c r="DU102" i="61"/>
  <c r="DY102" i="61"/>
  <c r="EC102" i="61"/>
  <c r="EG102" i="61"/>
  <c r="DN106" i="61"/>
  <c r="DR106" i="61"/>
  <c r="DV106" i="61"/>
  <c r="DZ106" i="61"/>
  <c r="ED106" i="61"/>
  <c r="EH106" i="61"/>
  <c r="DK106" i="61"/>
  <c r="DL106" i="61"/>
  <c r="DP106" i="61"/>
  <c r="DT106" i="61"/>
  <c r="DX106" i="61"/>
  <c r="EB106" i="61"/>
  <c r="EF106" i="61"/>
  <c r="DM106" i="61"/>
  <c r="DQ106" i="61"/>
  <c r="DU106" i="61"/>
  <c r="DY106" i="61"/>
  <c r="EC106" i="61"/>
  <c r="EG106" i="61"/>
  <c r="DW106" i="61"/>
  <c r="EA106" i="61"/>
  <c r="DO106" i="61"/>
  <c r="EE106" i="61"/>
  <c r="DS106" i="61"/>
  <c r="EI106" i="61"/>
  <c r="DL113" i="61"/>
  <c r="DP113" i="61"/>
  <c r="DT113" i="61"/>
  <c r="DX113" i="61"/>
  <c r="EB113" i="61"/>
  <c r="EF113" i="61"/>
  <c r="DK113" i="61"/>
  <c r="DQ113" i="61"/>
  <c r="DV113" i="61"/>
  <c r="EA113" i="61"/>
  <c r="EG113" i="61"/>
  <c r="DM113" i="61"/>
  <c r="DR113" i="61"/>
  <c r="DW113" i="61"/>
  <c r="EC113" i="61"/>
  <c r="EH113" i="61"/>
  <c r="DN113" i="61"/>
  <c r="DS113" i="61"/>
  <c r="DY113" i="61"/>
  <c r="ED113" i="61"/>
  <c r="EI113" i="61"/>
  <c r="DO113" i="61"/>
  <c r="DU113" i="61"/>
  <c r="DZ113" i="61"/>
  <c r="EE113" i="61"/>
  <c r="DD110" i="61"/>
  <c r="DF110" i="61" s="1"/>
  <c r="DN114" i="61"/>
  <c r="DR114" i="61"/>
  <c r="DV114" i="61"/>
  <c r="DZ114" i="61"/>
  <c r="ED114" i="61"/>
  <c r="EH114" i="61"/>
  <c r="DL114" i="61"/>
  <c r="DQ114" i="61"/>
  <c r="DW114" i="61"/>
  <c r="EB114" i="61"/>
  <c r="EG114" i="61"/>
  <c r="DM114" i="61"/>
  <c r="DS114" i="61"/>
  <c r="DX114" i="61"/>
  <c r="EC114" i="61"/>
  <c r="EI114" i="61"/>
  <c r="DO114" i="61"/>
  <c r="DT114" i="61"/>
  <c r="DY114" i="61"/>
  <c r="EE114" i="61"/>
  <c r="DK114" i="61"/>
  <c r="DP114" i="61"/>
  <c r="DU114" i="61"/>
  <c r="EA114" i="61"/>
  <c r="EF114" i="61"/>
  <c r="DD101" i="61"/>
  <c r="DF101" i="61" s="1"/>
  <c r="DD107" i="61"/>
  <c r="DF107" i="61" s="1"/>
  <c r="DM109" i="61"/>
  <c r="DQ109" i="61"/>
  <c r="DU109" i="61"/>
  <c r="DY109" i="61"/>
  <c r="EC109" i="61"/>
  <c r="EG109" i="61"/>
  <c r="DN109" i="61"/>
  <c r="DR109" i="61"/>
  <c r="DV109" i="61"/>
  <c r="DZ109" i="61"/>
  <c r="ED109" i="61"/>
  <c r="EH109" i="61"/>
  <c r="DK109" i="61"/>
  <c r="DO109" i="61"/>
  <c r="DS109" i="61"/>
  <c r="DW109" i="61"/>
  <c r="EA109" i="61"/>
  <c r="EE109" i="61"/>
  <c r="EI109" i="61"/>
  <c r="DL109" i="61"/>
  <c r="DP109" i="61"/>
  <c r="DT109" i="61"/>
  <c r="DX109" i="61"/>
  <c r="EB109" i="61"/>
  <c r="EF109" i="61"/>
  <c r="DD119" i="61"/>
  <c r="DF119" i="61" s="1"/>
  <c r="DD117" i="61"/>
  <c r="DF117" i="61" s="1"/>
  <c r="DD121" i="61"/>
  <c r="DF121" i="61" s="1"/>
  <c r="DD122" i="61"/>
  <c r="DF122" i="61" s="1"/>
  <c r="F6" i="51"/>
  <c r="CC98" i="61" l="1"/>
  <c r="BY98" i="61"/>
  <c r="BU98" i="61"/>
  <c r="BQ98" i="61"/>
  <c r="BM98" i="61"/>
  <c r="DS98" i="61" s="1"/>
  <c r="BI98" i="61"/>
  <c r="CB98" i="61"/>
  <c r="EH98" i="61" s="1"/>
  <c r="BX98" i="61"/>
  <c r="BT98" i="61"/>
  <c r="DZ98" i="61" s="1"/>
  <c r="BP98" i="61"/>
  <c r="BL98" i="61"/>
  <c r="DR98" i="61" s="1"/>
  <c r="BH98" i="61"/>
  <c r="CA98" i="61"/>
  <c r="EG98" i="61" s="1"/>
  <c r="BW98" i="61"/>
  <c r="BS98" i="61"/>
  <c r="DY98" i="61" s="1"/>
  <c r="BO98" i="61"/>
  <c r="BK98" i="61"/>
  <c r="DQ98" i="61" s="1"/>
  <c r="BG98" i="61"/>
  <c r="BZ98" i="61"/>
  <c r="EF98" i="61" s="1"/>
  <c r="BV98" i="61"/>
  <c r="BR98" i="61"/>
  <c r="DX98" i="61" s="1"/>
  <c r="BN98" i="61"/>
  <c r="BJ98" i="61"/>
  <c r="DP98" i="61" s="1"/>
  <c r="BF98" i="61"/>
  <c r="DM122" i="61"/>
  <c r="DQ122" i="61"/>
  <c r="DU122" i="61"/>
  <c r="DW122" i="61"/>
  <c r="EE122" i="61"/>
  <c r="DN122" i="61"/>
  <c r="DS122" i="61"/>
  <c r="DX122" i="61"/>
  <c r="EB122" i="61"/>
  <c r="EF122" i="61"/>
  <c r="DL122" i="61"/>
  <c r="EI122" i="61"/>
  <c r="DO122" i="61"/>
  <c r="DT122" i="61"/>
  <c r="DY122" i="61"/>
  <c r="EC122" i="61"/>
  <c r="EG122" i="61"/>
  <c r="DK122" i="61"/>
  <c r="DP122" i="61"/>
  <c r="DV122" i="61"/>
  <c r="DZ122" i="61"/>
  <c r="ED122" i="61"/>
  <c r="EH122" i="61"/>
  <c r="DR122" i="61"/>
  <c r="EA122" i="61"/>
  <c r="DK110" i="61"/>
  <c r="DO110" i="61"/>
  <c r="DS110" i="61"/>
  <c r="DW110" i="61"/>
  <c r="EA110" i="61"/>
  <c r="EE110" i="61"/>
  <c r="EI110" i="61"/>
  <c r="DL110" i="61"/>
  <c r="DP110" i="61"/>
  <c r="DT110" i="61"/>
  <c r="DX110" i="61"/>
  <c r="EB110" i="61"/>
  <c r="EF110" i="61"/>
  <c r="DM110" i="61"/>
  <c r="DQ110" i="61"/>
  <c r="DU110" i="61"/>
  <c r="DY110" i="61"/>
  <c r="EC110" i="61"/>
  <c r="EG110" i="61"/>
  <c r="DN110" i="61"/>
  <c r="DR110" i="61"/>
  <c r="DV110" i="61"/>
  <c r="DZ110" i="61"/>
  <c r="ED110" i="61"/>
  <c r="EH110" i="61"/>
  <c r="DK121" i="61"/>
  <c r="DO121" i="61"/>
  <c r="DS121" i="61"/>
  <c r="DW121" i="61"/>
  <c r="EA121" i="61"/>
  <c r="EE121" i="61"/>
  <c r="EI121" i="61"/>
  <c r="DL121" i="61"/>
  <c r="EB121" i="61"/>
  <c r="DM121" i="61"/>
  <c r="DR121" i="61"/>
  <c r="DX121" i="61"/>
  <c r="EC121" i="61"/>
  <c r="EH121" i="61"/>
  <c r="DN121" i="61"/>
  <c r="DY121" i="61"/>
  <c r="ED121" i="61"/>
  <c r="DT121" i="61"/>
  <c r="DP121" i="61"/>
  <c r="DU121" i="61"/>
  <c r="DZ121" i="61"/>
  <c r="EF121" i="61"/>
  <c r="DQ121" i="61"/>
  <c r="DV121" i="61"/>
  <c r="EG121" i="61"/>
  <c r="DN107" i="61"/>
  <c r="DR107" i="61"/>
  <c r="DV107" i="61"/>
  <c r="DZ107" i="61"/>
  <c r="ED107" i="61"/>
  <c r="EH107" i="61"/>
  <c r="DK107" i="61"/>
  <c r="DO107" i="61"/>
  <c r="DS107" i="61"/>
  <c r="DW107" i="61"/>
  <c r="EA107" i="61"/>
  <c r="EE107" i="61"/>
  <c r="EI107" i="61"/>
  <c r="DP107" i="61"/>
  <c r="DX107" i="61"/>
  <c r="EF107" i="61"/>
  <c r="DQ107" i="61"/>
  <c r="DY107" i="61"/>
  <c r="EG107" i="61"/>
  <c r="DL107" i="61"/>
  <c r="DT107" i="61"/>
  <c r="EB107" i="61"/>
  <c r="DM107" i="61"/>
  <c r="DU107" i="61"/>
  <c r="EC107" i="61"/>
  <c r="DL100" i="61"/>
  <c r="DP100" i="61"/>
  <c r="DT100" i="61"/>
  <c r="DX100" i="61"/>
  <c r="EB100" i="61"/>
  <c r="EF100" i="61"/>
  <c r="DM100" i="61"/>
  <c r="DQ100" i="61"/>
  <c r="DU100" i="61"/>
  <c r="DY100" i="61"/>
  <c r="EC100" i="61"/>
  <c r="EG100" i="61"/>
  <c r="DN100" i="61"/>
  <c r="DR100" i="61"/>
  <c r="DV100" i="61"/>
  <c r="DZ100" i="61"/>
  <c r="ED100" i="61"/>
  <c r="EH100" i="61"/>
  <c r="DK100" i="61"/>
  <c r="DO100" i="61"/>
  <c r="DS100" i="61"/>
  <c r="DW100" i="61"/>
  <c r="EA100" i="61"/>
  <c r="EE100" i="61"/>
  <c r="EI100" i="61"/>
  <c r="DL115" i="61"/>
  <c r="DP115" i="61"/>
  <c r="DT115" i="61"/>
  <c r="DX115" i="61"/>
  <c r="EB115" i="61"/>
  <c r="EF115" i="61"/>
  <c r="DO115" i="61"/>
  <c r="DU115" i="61"/>
  <c r="DZ115" i="61"/>
  <c r="EE115" i="61"/>
  <c r="DK115" i="61"/>
  <c r="DQ115" i="61"/>
  <c r="DV115" i="61"/>
  <c r="EA115" i="61"/>
  <c r="EG115" i="61"/>
  <c r="DM115" i="61"/>
  <c r="DR115" i="61"/>
  <c r="DW115" i="61"/>
  <c r="EC115" i="61"/>
  <c r="EH115" i="61"/>
  <c r="DN115" i="61"/>
  <c r="DS115" i="61"/>
  <c r="DY115" i="61"/>
  <c r="ED115" i="61"/>
  <c r="EI115" i="61"/>
  <c r="DL117" i="61"/>
  <c r="DP117" i="61"/>
  <c r="DT117" i="61"/>
  <c r="DX117" i="61"/>
  <c r="EB117" i="61"/>
  <c r="EF117" i="61"/>
  <c r="DM117" i="61"/>
  <c r="DQ117" i="61"/>
  <c r="DU117" i="61"/>
  <c r="DY117" i="61"/>
  <c r="EC117" i="61"/>
  <c r="EG117" i="61"/>
  <c r="DN117" i="61"/>
  <c r="DR117" i="61"/>
  <c r="DV117" i="61"/>
  <c r="DZ117" i="61"/>
  <c r="ED117" i="61"/>
  <c r="EH117" i="61"/>
  <c r="DK117" i="61"/>
  <c r="DO117" i="61"/>
  <c r="DS117" i="61"/>
  <c r="DW117" i="61"/>
  <c r="EA117" i="61"/>
  <c r="EE117" i="61"/>
  <c r="EI117" i="61"/>
  <c r="DK101" i="61"/>
  <c r="DM101" i="61"/>
  <c r="DQ101" i="61"/>
  <c r="DU101" i="61"/>
  <c r="DY101" i="61"/>
  <c r="EC101" i="61"/>
  <c r="EG101" i="61"/>
  <c r="DL101" i="61"/>
  <c r="DR101" i="61"/>
  <c r="DW101" i="61"/>
  <c r="EB101" i="61"/>
  <c r="EH101" i="61"/>
  <c r="DN101" i="61"/>
  <c r="DS101" i="61"/>
  <c r="DX101" i="61"/>
  <c r="ED101" i="61"/>
  <c r="EI101" i="61"/>
  <c r="DO101" i="61"/>
  <c r="DT101" i="61"/>
  <c r="DZ101" i="61"/>
  <c r="EE101" i="61"/>
  <c r="DP101" i="61"/>
  <c r="DV101" i="61"/>
  <c r="EA101" i="61"/>
  <c r="EF101" i="61"/>
  <c r="DN99" i="61"/>
  <c r="DR99" i="61"/>
  <c r="DV99" i="61"/>
  <c r="DZ99" i="61"/>
  <c r="ED99" i="61"/>
  <c r="EH99" i="61"/>
  <c r="DK99" i="61"/>
  <c r="DO99" i="61"/>
  <c r="DS99" i="61"/>
  <c r="DW99" i="61"/>
  <c r="EA99" i="61"/>
  <c r="EE99" i="61"/>
  <c r="EI99" i="61"/>
  <c r="DL99" i="61"/>
  <c r="DP99" i="61"/>
  <c r="DT99" i="61"/>
  <c r="DX99" i="61"/>
  <c r="EB99" i="61"/>
  <c r="EF99" i="61"/>
  <c r="DM99" i="61"/>
  <c r="DQ99" i="61"/>
  <c r="DU99" i="61"/>
  <c r="DY99" i="61"/>
  <c r="EC99" i="61"/>
  <c r="EG99" i="61"/>
  <c r="DL119" i="61"/>
  <c r="DP119" i="61"/>
  <c r="DT119" i="61"/>
  <c r="DX119" i="61"/>
  <c r="EB119" i="61"/>
  <c r="EF119" i="61"/>
  <c r="DM119" i="61"/>
  <c r="DQ119" i="61"/>
  <c r="DU119" i="61"/>
  <c r="DY119" i="61"/>
  <c r="EC119" i="61"/>
  <c r="EG119" i="61"/>
  <c r="DN119" i="61"/>
  <c r="DR119" i="61"/>
  <c r="DV119" i="61"/>
  <c r="DZ119" i="61"/>
  <c r="ED119" i="61"/>
  <c r="EH119" i="61"/>
  <c r="DK119" i="61"/>
  <c r="DO119" i="61"/>
  <c r="DS119" i="61"/>
  <c r="DW119" i="61"/>
  <c r="EA119" i="61"/>
  <c r="EE119" i="61"/>
  <c r="EI119" i="61"/>
  <c r="DN116" i="61"/>
  <c r="DR116" i="61"/>
  <c r="DV116" i="61"/>
  <c r="DZ116" i="61"/>
  <c r="ED116" i="61"/>
  <c r="EH116" i="61"/>
  <c r="DK116" i="61"/>
  <c r="DO116" i="61"/>
  <c r="DS116" i="61"/>
  <c r="DW116" i="61"/>
  <c r="EA116" i="61"/>
  <c r="EE116" i="61"/>
  <c r="EI116" i="61"/>
  <c r="DL116" i="61"/>
  <c r="DP116" i="61"/>
  <c r="DT116" i="61"/>
  <c r="DX116" i="61"/>
  <c r="EB116" i="61"/>
  <c r="EF116" i="61"/>
  <c r="DM116" i="61"/>
  <c r="DQ116" i="61"/>
  <c r="DU116" i="61"/>
  <c r="DY116" i="61"/>
  <c r="EC116" i="61"/>
  <c r="EG116" i="61"/>
  <c r="DK120" i="61"/>
  <c r="DO120" i="61"/>
  <c r="DS120" i="61"/>
  <c r="DW120" i="61"/>
  <c r="EA120" i="61"/>
  <c r="EE120" i="61"/>
  <c r="EI120" i="61"/>
  <c r="DM120" i="61"/>
  <c r="DQ120" i="61"/>
  <c r="DU120" i="61"/>
  <c r="DY120" i="61"/>
  <c r="EC120" i="61"/>
  <c r="EG120" i="61"/>
  <c r="DL120" i="61"/>
  <c r="DT120" i="61"/>
  <c r="EB120" i="61"/>
  <c r="DN120" i="61"/>
  <c r="DV120" i="61"/>
  <c r="ED120" i="61"/>
  <c r="DP120" i="61"/>
  <c r="DX120" i="61"/>
  <c r="EF120" i="61"/>
  <c r="DR120" i="61"/>
  <c r="DZ120" i="61"/>
  <c r="EH120" i="61"/>
  <c r="DL103" i="61"/>
  <c r="DP103" i="61"/>
  <c r="DT103" i="61"/>
  <c r="DX103" i="61"/>
  <c r="EB103" i="61"/>
  <c r="EF103" i="61"/>
  <c r="DM103" i="61"/>
  <c r="DQ103" i="61"/>
  <c r="DU103" i="61"/>
  <c r="DY103" i="61"/>
  <c r="EC103" i="61"/>
  <c r="EG103" i="61"/>
  <c r="DN103" i="61"/>
  <c r="DR103" i="61"/>
  <c r="DV103" i="61"/>
  <c r="DZ103" i="61"/>
  <c r="ED103" i="61"/>
  <c r="EH103" i="61"/>
  <c r="DK103" i="61"/>
  <c r="DO103" i="61"/>
  <c r="DS103" i="61"/>
  <c r="DW103" i="61"/>
  <c r="EA103" i="61"/>
  <c r="EE103" i="61"/>
  <c r="EI103" i="61"/>
  <c r="DN118" i="61"/>
  <c r="DR118" i="61"/>
  <c r="DV118" i="61"/>
  <c r="DZ118" i="61"/>
  <c r="ED118" i="61"/>
  <c r="EH118" i="61"/>
  <c r="DK118" i="61"/>
  <c r="DO118" i="61"/>
  <c r="DS118" i="61"/>
  <c r="DW118" i="61"/>
  <c r="EA118" i="61"/>
  <c r="EE118" i="61"/>
  <c r="EI118" i="61"/>
  <c r="DL118" i="61"/>
  <c r="DP118" i="61"/>
  <c r="DT118" i="61"/>
  <c r="DX118" i="61"/>
  <c r="EB118" i="61"/>
  <c r="EF118" i="61"/>
  <c r="DM118" i="61"/>
  <c r="DQ118" i="61"/>
  <c r="DU118" i="61"/>
  <c r="DY118" i="61"/>
  <c r="EC118" i="61"/>
  <c r="EG118" i="61"/>
  <c r="DL98" i="61"/>
  <c r="DT98" i="61"/>
  <c r="EB98" i="61"/>
  <c r="DM98" i="61"/>
  <c r="DU98" i="61"/>
  <c r="EC98" i="61"/>
  <c r="DN98" i="61"/>
  <c r="DV98" i="61"/>
  <c r="ED98" i="61"/>
  <c r="DK98" i="61"/>
  <c r="DO98" i="61"/>
  <c r="DW98" i="61"/>
  <c r="EA98" i="61"/>
  <c r="EE98" i="61"/>
  <c r="EI98" i="61"/>
  <c r="L49" i="61"/>
  <c r="J154" i="61" l="1"/>
  <c r="G154" i="61"/>
  <c r="BD127" i="61"/>
  <c r="BC127" i="61"/>
  <c r="A97" i="61"/>
  <c r="CX75" i="61"/>
  <c r="A69" i="61"/>
  <c r="AB69" i="61" s="1"/>
  <c r="C63" i="61"/>
  <c r="C62" i="61"/>
  <c r="CY61" i="61"/>
  <c r="B48" i="61"/>
  <c r="B46" i="61"/>
  <c r="D46" i="61" s="1"/>
  <c r="BG2" i="25" s="1"/>
  <c r="B45" i="61"/>
  <c r="D45" i="61" s="1"/>
  <c r="S235" i="61" s="1"/>
  <c r="T235" i="61" s="1"/>
  <c r="B44" i="61"/>
  <c r="D44" i="61" s="1"/>
  <c r="CG75" i="61" s="1"/>
  <c r="B43" i="61"/>
  <c r="B42" i="61"/>
  <c r="D42" i="61" s="1"/>
  <c r="P38" i="61"/>
  <c r="CI37" i="61"/>
  <c r="CI34" i="61"/>
  <c r="CI31" i="61"/>
  <c r="B31" i="61"/>
  <c r="BC1" i="61"/>
  <c r="BC2" i="61" s="1"/>
  <c r="BB1" i="61"/>
  <c r="BA1" i="61"/>
  <c r="AZ1" i="61"/>
  <c r="AZ2" i="61" s="1"/>
  <c r="AY1" i="61"/>
  <c r="AY2" i="61" s="1"/>
  <c r="A1" i="61" a="1"/>
  <c r="Z27" i="61" s="1"/>
  <c r="R15" i="60" a="1"/>
  <c r="R21" i="60" s="1"/>
  <c r="A50" i="59"/>
  <c r="A47" i="59"/>
  <c r="O46" i="59"/>
  <c r="O45" i="59"/>
  <c r="A45" i="59"/>
  <c r="A46" i="59" s="1"/>
  <c r="O44" i="59"/>
  <c r="O50" i="59" s="1"/>
  <c r="A41" i="59"/>
  <c r="AC40" i="59"/>
  <c r="AC46" i="59" s="1"/>
  <c r="O40" i="59"/>
  <c r="O41" i="59" s="1"/>
  <c r="A40" i="59"/>
  <c r="O39" i="59"/>
  <c r="AC35" i="59"/>
  <c r="J28" i="59"/>
  <c r="J27" i="59"/>
  <c r="U26" i="59"/>
  <c r="P26" i="59"/>
  <c r="J26" i="59"/>
  <c r="U25" i="59"/>
  <c r="U24" i="59"/>
  <c r="U23" i="59"/>
  <c r="U22" i="59"/>
  <c r="R21" i="59"/>
  <c r="N21" i="59"/>
  <c r="U17" i="59"/>
  <c r="U16" i="59"/>
  <c r="J16" i="59"/>
  <c r="U15" i="59"/>
  <c r="J15" i="59"/>
  <c r="K22" i="59" s="1"/>
  <c r="U14" i="59"/>
  <c r="R14" i="59"/>
  <c r="P14" i="59"/>
  <c r="J14" i="59"/>
  <c r="K21" i="59" s="1"/>
  <c r="AJ13" i="59"/>
  <c r="AJ12" i="59"/>
  <c r="AJ11" i="59"/>
  <c r="AJ10" i="59"/>
  <c r="AJ9" i="59"/>
  <c r="AJ7" i="59"/>
  <c r="U7" i="59"/>
  <c r="AJ6" i="59"/>
  <c r="U6" i="59"/>
  <c r="AJ5" i="59"/>
  <c r="U5" i="59"/>
  <c r="AJ4" i="59"/>
  <c r="U4" i="59"/>
  <c r="AJ3" i="59"/>
  <c r="U3" i="59"/>
  <c r="C1" i="59"/>
  <c r="L14" i="51"/>
  <c r="L12" i="51"/>
  <c r="F7" i="51"/>
  <c r="F3" i="51"/>
  <c r="A46" i="50"/>
  <c r="A51" i="50" s="1"/>
  <c r="A42" i="50"/>
  <c r="A43" i="50" s="1"/>
  <c r="O41" i="50"/>
  <c r="AC39" i="50"/>
  <c r="O39" i="50"/>
  <c r="A39" i="50"/>
  <c r="AC38" i="50"/>
  <c r="AC43" i="50" s="1"/>
  <c r="O38" i="50"/>
  <c r="A38" i="50"/>
  <c r="O37" i="50"/>
  <c r="AC34" i="50"/>
  <c r="G28" i="50"/>
  <c r="G27" i="50"/>
  <c r="L26" i="50"/>
  <c r="G26" i="50"/>
  <c r="Q25" i="50"/>
  <c r="Q24" i="50"/>
  <c r="Q23" i="50"/>
  <c r="Q22" i="50"/>
  <c r="H22" i="50"/>
  <c r="Q21" i="50"/>
  <c r="L21" i="50"/>
  <c r="Q16" i="50"/>
  <c r="G16" i="50"/>
  <c r="Q15" i="50"/>
  <c r="G15" i="50"/>
  <c r="Q14" i="50"/>
  <c r="N14" i="50"/>
  <c r="L14" i="50"/>
  <c r="G14" i="50"/>
  <c r="H21" i="50" s="1"/>
  <c r="AE13" i="50"/>
  <c r="Q13" i="50"/>
  <c r="AE12" i="50"/>
  <c r="AE11" i="50"/>
  <c r="AE10" i="50"/>
  <c r="AE9" i="50"/>
  <c r="AE7" i="50"/>
  <c r="AE6" i="50"/>
  <c r="Q6" i="50"/>
  <c r="AE5" i="50"/>
  <c r="Q5" i="50"/>
  <c r="AE4" i="50"/>
  <c r="Q4" i="50"/>
  <c r="AE3" i="50"/>
  <c r="Q3" i="50"/>
  <c r="Q2" i="50"/>
  <c r="A46" i="49"/>
  <c r="A51" i="49" s="1"/>
  <c r="A42" i="49"/>
  <c r="A43" i="49" s="1"/>
  <c r="O41" i="49"/>
  <c r="O42" i="49" s="1"/>
  <c r="AC39" i="49"/>
  <c r="AC38" i="49"/>
  <c r="AC43" i="49" s="1"/>
  <c r="A38" i="49"/>
  <c r="A39" i="49" s="1"/>
  <c r="O37" i="49"/>
  <c r="O38" i="49" s="1"/>
  <c r="AC34" i="49"/>
  <c r="G28" i="49"/>
  <c r="G27" i="49"/>
  <c r="L26" i="49"/>
  <c r="G26" i="49"/>
  <c r="Q25" i="49"/>
  <c r="Q24" i="49"/>
  <c r="Q23" i="49"/>
  <c r="Q22" i="49"/>
  <c r="Q21" i="49"/>
  <c r="L21" i="49"/>
  <c r="Q16" i="49"/>
  <c r="G16" i="49"/>
  <c r="Q15" i="49"/>
  <c r="G15" i="49"/>
  <c r="H22" i="49" s="1"/>
  <c r="Q14" i="49"/>
  <c r="N14" i="49"/>
  <c r="L14" i="49"/>
  <c r="G14" i="49"/>
  <c r="H21" i="49" s="1"/>
  <c r="AE13" i="49"/>
  <c r="Q13" i="49"/>
  <c r="AE12" i="49"/>
  <c r="AE11" i="49"/>
  <c r="AE10" i="49"/>
  <c r="AE9" i="49"/>
  <c r="AE7" i="49"/>
  <c r="AE6" i="49"/>
  <c r="Q6" i="49"/>
  <c r="AE5" i="49"/>
  <c r="Q5" i="49"/>
  <c r="AE4" i="49"/>
  <c r="Q4" i="49"/>
  <c r="AE3" i="49"/>
  <c r="Q3" i="49"/>
  <c r="Q2" i="49"/>
  <c r="A46" i="48"/>
  <c r="O42" i="48"/>
  <c r="A42" i="48"/>
  <c r="O41" i="48"/>
  <c r="O46" i="48" s="1"/>
  <c r="AC38" i="48"/>
  <c r="AC43" i="48" s="1"/>
  <c r="A38" i="48"/>
  <c r="A39" i="48" s="1"/>
  <c r="O37" i="48"/>
  <c r="AC34" i="48"/>
  <c r="G28" i="48"/>
  <c r="G27" i="48"/>
  <c r="L26" i="48"/>
  <c r="G26" i="48"/>
  <c r="Q25" i="48"/>
  <c r="Q24" i="48"/>
  <c r="Q23" i="48"/>
  <c r="Q22" i="48"/>
  <c r="Q21" i="48"/>
  <c r="L21" i="48"/>
  <c r="Q16" i="48"/>
  <c r="G16" i="48"/>
  <c r="Q15" i="48"/>
  <c r="G15" i="48"/>
  <c r="H22" i="48" s="1"/>
  <c r="Q14" i="48"/>
  <c r="N14" i="48"/>
  <c r="L14" i="48"/>
  <c r="G14" i="48"/>
  <c r="H21" i="48" s="1"/>
  <c r="AE13" i="48"/>
  <c r="Q13" i="48"/>
  <c r="AE12" i="48"/>
  <c r="AE11" i="48"/>
  <c r="AE10" i="48"/>
  <c r="AE9" i="48"/>
  <c r="AE7" i="48"/>
  <c r="AE6" i="48"/>
  <c r="Q6" i="48"/>
  <c r="AE5" i="48"/>
  <c r="Q5" i="48"/>
  <c r="AE4" i="48"/>
  <c r="Q4" i="48"/>
  <c r="AE3" i="48"/>
  <c r="Q3" i="48"/>
  <c r="Q2" i="48"/>
  <c r="A46" i="47"/>
  <c r="A51" i="47" s="1"/>
  <c r="A42" i="47"/>
  <c r="A43" i="47" s="1"/>
  <c r="O41" i="47"/>
  <c r="O46" i="47" s="1"/>
  <c r="A39" i="47"/>
  <c r="AC38" i="47"/>
  <c r="AC39" i="47" s="1"/>
  <c r="O38" i="47"/>
  <c r="A38" i="47"/>
  <c r="O37" i="47"/>
  <c r="AC34" i="47"/>
  <c r="G28" i="47"/>
  <c r="G27" i="47"/>
  <c r="L26" i="47"/>
  <c r="G26" i="47"/>
  <c r="Q25" i="47"/>
  <c r="Q24" i="47"/>
  <c r="Q23" i="47"/>
  <c r="Q22" i="47"/>
  <c r="H22" i="47"/>
  <c r="Q21" i="47"/>
  <c r="L21" i="47"/>
  <c r="H21" i="47"/>
  <c r="Q16" i="47"/>
  <c r="G16" i="47"/>
  <c r="Q15" i="47"/>
  <c r="G15" i="47"/>
  <c r="Q14" i="47"/>
  <c r="N14" i="47"/>
  <c r="L14" i="47"/>
  <c r="G14" i="47"/>
  <c r="AE13" i="47"/>
  <c r="Q13" i="47"/>
  <c r="AE12" i="47"/>
  <c r="AE11" i="47"/>
  <c r="AE10" i="47"/>
  <c r="AE9" i="47"/>
  <c r="AE7" i="47"/>
  <c r="AE6" i="47"/>
  <c r="Q6" i="47"/>
  <c r="AE5" i="47"/>
  <c r="Q5" i="47"/>
  <c r="AE4" i="47"/>
  <c r="Q4" i="47"/>
  <c r="AE3" i="47"/>
  <c r="Q3" i="47"/>
  <c r="Q2" i="47"/>
  <c r="AC59" i="46"/>
  <c r="AC54" i="46"/>
  <c r="AC49" i="46"/>
  <c r="A46" i="46"/>
  <c r="A47" i="46" s="1"/>
  <c r="AC44" i="46"/>
  <c r="A42" i="46"/>
  <c r="O41" i="46"/>
  <c r="AC39" i="46"/>
  <c r="AC38" i="46"/>
  <c r="AC43" i="46" s="1"/>
  <c r="AC48" i="46" s="1"/>
  <c r="AC53" i="46" s="1"/>
  <c r="AC58" i="46" s="1"/>
  <c r="AC63" i="46" s="1"/>
  <c r="A38" i="46"/>
  <c r="O37" i="46"/>
  <c r="AC34" i="46"/>
  <c r="G28" i="46"/>
  <c r="G27" i="46"/>
  <c r="L26" i="46"/>
  <c r="G26" i="46"/>
  <c r="Q25" i="46"/>
  <c r="Q24" i="46"/>
  <c r="Q23" i="46"/>
  <c r="Q22" i="46"/>
  <c r="Q21" i="46"/>
  <c r="L21" i="46"/>
  <c r="Q16" i="46"/>
  <c r="G16" i="46"/>
  <c r="Q15" i="46"/>
  <c r="G15" i="46"/>
  <c r="H22" i="46" s="1"/>
  <c r="Q14" i="46"/>
  <c r="N14" i="46"/>
  <c r="L14" i="46"/>
  <c r="G14" i="46"/>
  <c r="H21" i="46" s="1"/>
  <c r="AE13" i="46"/>
  <c r="Q13" i="46"/>
  <c r="AE12" i="46"/>
  <c r="AE11" i="46"/>
  <c r="AE10" i="46"/>
  <c r="AE9" i="46"/>
  <c r="AE7" i="46"/>
  <c r="AE6" i="46"/>
  <c r="Q6" i="46"/>
  <c r="AE5" i="46"/>
  <c r="Q5" i="46"/>
  <c r="AE4" i="46"/>
  <c r="Q4" i="46"/>
  <c r="AE3" i="46"/>
  <c r="Q3" i="46"/>
  <c r="Q2" i="46"/>
  <c r="A46" i="45"/>
  <c r="O42" i="45"/>
  <c r="O43" i="45" s="1"/>
  <c r="A42" i="45"/>
  <c r="O41" i="45"/>
  <c r="AC39" i="45"/>
  <c r="AC38" i="45"/>
  <c r="AC43" i="45" s="1"/>
  <c r="A38" i="45"/>
  <c r="A39" i="45" s="1"/>
  <c r="O37" i="45"/>
  <c r="O38" i="45" s="1"/>
  <c r="AC34" i="45"/>
  <c r="G28" i="45"/>
  <c r="G27" i="45"/>
  <c r="L26" i="45"/>
  <c r="G26" i="45"/>
  <c r="Q25" i="45"/>
  <c r="Q24" i="45"/>
  <c r="Q23" i="45"/>
  <c r="Q22" i="45"/>
  <c r="Q21" i="45"/>
  <c r="L21" i="45"/>
  <c r="Q16" i="45"/>
  <c r="G16" i="45"/>
  <c r="Q15" i="45"/>
  <c r="G15" i="45"/>
  <c r="H22" i="45" s="1"/>
  <c r="Q14" i="45"/>
  <c r="N14" i="45"/>
  <c r="L14" i="45"/>
  <c r="G14" i="45"/>
  <c r="H21" i="45" s="1"/>
  <c r="AE13" i="45"/>
  <c r="Q13" i="45"/>
  <c r="AE12" i="45"/>
  <c r="AE11" i="45"/>
  <c r="AE10" i="45"/>
  <c r="AE9" i="45"/>
  <c r="AE7" i="45"/>
  <c r="AE6" i="45"/>
  <c r="Q6" i="45"/>
  <c r="AE5" i="45"/>
  <c r="Q5" i="45"/>
  <c r="AE4" i="45"/>
  <c r="Q4" i="45"/>
  <c r="AE3" i="45"/>
  <c r="Q3" i="45"/>
  <c r="Q2" i="45"/>
  <c r="A46" i="44"/>
  <c r="A51" i="44" s="1"/>
  <c r="A42" i="44"/>
  <c r="A43" i="44" s="1"/>
  <c r="O41" i="44"/>
  <c r="O42" i="44" s="1"/>
  <c r="A39" i="44"/>
  <c r="AC38" i="44"/>
  <c r="AC39" i="44" s="1"/>
  <c r="O38" i="44"/>
  <c r="A38" i="44"/>
  <c r="O37" i="44"/>
  <c r="AC34" i="44"/>
  <c r="G28" i="44"/>
  <c r="G27" i="44"/>
  <c r="L26" i="44"/>
  <c r="G26" i="44"/>
  <c r="Q25" i="44"/>
  <c r="Q24" i="44"/>
  <c r="Q23" i="44"/>
  <c r="Q22" i="44"/>
  <c r="H22" i="44"/>
  <c r="Q21" i="44"/>
  <c r="L21" i="44"/>
  <c r="H21" i="44"/>
  <c r="Q16" i="44"/>
  <c r="G16" i="44"/>
  <c r="Q15" i="44"/>
  <c r="G15" i="44"/>
  <c r="Q14" i="44"/>
  <c r="N14" i="44"/>
  <c r="L14" i="44"/>
  <c r="G14" i="44"/>
  <c r="AE13" i="44"/>
  <c r="Q13" i="44"/>
  <c r="AE12" i="44"/>
  <c r="AE11" i="44"/>
  <c r="AE10" i="44"/>
  <c r="AE9" i="44"/>
  <c r="AE7" i="44"/>
  <c r="AE6" i="44"/>
  <c r="Q6" i="44"/>
  <c r="AE5" i="44"/>
  <c r="Q5" i="44"/>
  <c r="AE4" i="44"/>
  <c r="Q4" i="44"/>
  <c r="AE3" i="44"/>
  <c r="Q3" i="44"/>
  <c r="Q2" i="44"/>
  <c r="AC49" i="43"/>
  <c r="A47" i="43"/>
  <c r="A46" i="43"/>
  <c r="AC44" i="43"/>
  <c r="A42" i="43"/>
  <c r="O41" i="43"/>
  <c r="AC39" i="43"/>
  <c r="AC38" i="43"/>
  <c r="AC43" i="43" s="1"/>
  <c r="AC48" i="43" s="1"/>
  <c r="AC53" i="43" s="1"/>
  <c r="AC58" i="43" s="1"/>
  <c r="AC63" i="43" s="1"/>
  <c r="AC68" i="43" s="1"/>
  <c r="AC73" i="43" s="1"/>
  <c r="AC78" i="43" s="1"/>
  <c r="AC83" i="43" s="1"/>
  <c r="AC88" i="43" s="1"/>
  <c r="AC93" i="43" s="1"/>
  <c r="AC98" i="43" s="1"/>
  <c r="AC103" i="43" s="1"/>
  <c r="AC108" i="43" s="1"/>
  <c r="AC113" i="43" s="1"/>
  <c r="AC118" i="43" s="1"/>
  <c r="AC123" i="43" s="1"/>
  <c r="A38" i="43"/>
  <c r="O37" i="43"/>
  <c r="AC34" i="43"/>
  <c r="G28" i="43"/>
  <c r="G27" i="43"/>
  <c r="L26" i="43"/>
  <c r="G26" i="43"/>
  <c r="Q25" i="43"/>
  <c r="Q24" i="43"/>
  <c r="Q23" i="43"/>
  <c r="Q22" i="43"/>
  <c r="Q21" i="43"/>
  <c r="L21" i="43"/>
  <c r="Q16" i="43"/>
  <c r="G16" i="43"/>
  <c r="Q15" i="43"/>
  <c r="G15" i="43"/>
  <c r="H22" i="43" s="1"/>
  <c r="Q14" i="43"/>
  <c r="N14" i="43"/>
  <c r="L14" i="43"/>
  <c r="G14" i="43"/>
  <c r="H21" i="43" s="1"/>
  <c r="AE13" i="43"/>
  <c r="Q13" i="43"/>
  <c r="AE12" i="43"/>
  <c r="AE11" i="43"/>
  <c r="AE10" i="43"/>
  <c r="AE9" i="43"/>
  <c r="AE7" i="43"/>
  <c r="AE6" i="43"/>
  <c r="Q6" i="43"/>
  <c r="AE5" i="43"/>
  <c r="Q5" i="43"/>
  <c r="AE4" i="43"/>
  <c r="Q4" i="43"/>
  <c r="AE3" i="43"/>
  <c r="Q3" i="43"/>
  <c r="Q2" i="43"/>
  <c r="A46" i="42"/>
  <c r="A51" i="42" s="1"/>
  <c r="O43" i="42"/>
  <c r="O42" i="42"/>
  <c r="A42" i="42"/>
  <c r="A43" i="42" s="1"/>
  <c r="O41" i="42"/>
  <c r="O46" i="42" s="1"/>
  <c r="A39" i="42"/>
  <c r="AC38" i="42"/>
  <c r="AC43" i="42" s="1"/>
  <c r="O38" i="42"/>
  <c r="A38" i="42"/>
  <c r="O37" i="42"/>
  <c r="AC34" i="42"/>
  <c r="G28" i="42"/>
  <c r="G27" i="42"/>
  <c r="L26" i="42"/>
  <c r="G26" i="42"/>
  <c r="Q25" i="42"/>
  <c r="Q24" i="42"/>
  <c r="Q23" i="42"/>
  <c r="Q22" i="42"/>
  <c r="Q21" i="42"/>
  <c r="L21" i="42"/>
  <c r="Q16" i="42"/>
  <c r="G16" i="42"/>
  <c r="Q15" i="42"/>
  <c r="G15" i="42"/>
  <c r="H22" i="42" s="1"/>
  <c r="Q14" i="42"/>
  <c r="N14" i="42"/>
  <c r="L14" i="42"/>
  <c r="G14" i="42"/>
  <c r="H21" i="42" s="1"/>
  <c r="AE13" i="42"/>
  <c r="Q13" i="42"/>
  <c r="AE12" i="42"/>
  <c r="AE11" i="42"/>
  <c r="AE10" i="42"/>
  <c r="AE9" i="42"/>
  <c r="AE7" i="42"/>
  <c r="AE6" i="42"/>
  <c r="Q6" i="42"/>
  <c r="AE5" i="42"/>
  <c r="Q5" i="42"/>
  <c r="AE4" i="42"/>
  <c r="Q4" i="42"/>
  <c r="AE3" i="42"/>
  <c r="Q3" i="42"/>
  <c r="Q2" i="42"/>
  <c r="A46" i="41"/>
  <c r="A51" i="41" s="1"/>
  <c r="A42" i="41"/>
  <c r="A43" i="41" s="1"/>
  <c r="O41" i="41"/>
  <c r="O46" i="41" s="1"/>
  <c r="A39" i="41"/>
  <c r="AC38" i="41"/>
  <c r="AC39" i="41" s="1"/>
  <c r="A38" i="41"/>
  <c r="O37" i="41"/>
  <c r="O38" i="41" s="1"/>
  <c r="AC34" i="41"/>
  <c r="G28" i="41"/>
  <c r="G27" i="41"/>
  <c r="L26" i="41"/>
  <c r="G26" i="41"/>
  <c r="Q25" i="41"/>
  <c r="Q24" i="41"/>
  <c r="Q23" i="41"/>
  <c r="Q22" i="41"/>
  <c r="H22" i="41"/>
  <c r="Q21" i="41"/>
  <c r="L21" i="41"/>
  <c r="Q16" i="41"/>
  <c r="G16" i="41"/>
  <c r="Q15" i="41"/>
  <c r="G15" i="41"/>
  <c r="Q14" i="41"/>
  <c r="N14" i="41"/>
  <c r="L14" i="41"/>
  <c r="G14" i="41"/>
  <c r="H21" i="41" s="1"/>
  <c r="AE13" i="41"/>
  <c r="Q13" i="41"/>
  <c r="AE12" i="41"/>
  <c r="AE11" i="41"/>
  <c r="AE10" i="41"/>
  <c r="AE9" i="41"/>
  <c r="AE7" i="41"/>
  <c r="AE6" i="41"/>
  <c r="Q6" i="41"/>
  <c r="AE5" i="41"/>
  <c r="Q5" i="41"/>
  <c r="AE4" i="41"/>
  <c r="Q4" i="41"/>
  <c r="AE3" i="41"/>
  <c r="Q3" i="41"/>
  <c r="Q2" i="41"/>
  <c r="A46" i="40"/>
  <c r="A51" i="40" s="1"/>
  <c r="AC44" i="40"/>
  <c r="A42" i="40"/>
  <c r="A43" i="40" s="1"/>
  <c r="O41" i="40"/>
  <c r="O40" i="40"/>
  <c r="AC39" i="40"/>
  <c r="O39" i="40"/>
  <c r="A39" i="40"/>
  <c r="AC38" i="40"/>
  <c r="AC43" i="40" s="1"/>
  <c r="AC48" i="40" s="1"/>
  <c r="AC53" i="40" s="1"/>
  <c r="O38" i="40"/>
  <c r="A38" i="40"/>
  <c r="O37" i="40"/>
  <c r="AC34" i="40"/>
  <c r="G28" i="40"/>
  <c r="G27" i="40"/>
  <c r="L26" i="40"/>
  <c r="G26" i="40"/>
  <c r="Q25" i="40"/>
  <c r="Q24" i="40"/>
  <c r="Q23" i="40"/>
  <c r="Q22" i="40"/>
  <c r="H22" i="40"/>
  <c r="Q21" i="40"/>
  <c r="L21" i="40"/>
  <c r="H21" i="40"/>
  <c r="Q16" i="40"/>
  <c r="G16" i="40"/>
  <c r="Q15" i="40"/>
  <c r="G15" i="40"/>
  <c r="Q14" i="40"/>
  <c r="N14" i="40"/>
  <c r="L14" i="40"/>
  <c r="G14" i="40"/>
  <c r="AE13" i="40"/>
  <c r="Q13" i="40"/>
  <c r="AE12" i="40"/>
  <c r="AE11" i="40"/>
  <c r="AE10" i="40"/>
  <c r="AE9" i="40"/>
  <c r="AE7" i="40"/>
  <c r="AE6" i="40"/>
  <c r="Q6" i="40"/>
  <c r="AE5" i="40"/>
  <c r="Q5" i="40"/>
  <c r="AE4" i="40"/>
  <c r="Q4" i="40"/>
  <c r="AE3" i="40"/>
  <c r="Q3" i="40"/>
  <c r="Q2" i="40"/>
  <c r="A46" i="39"/>
  <c r="O42" i="39"/>
  <c r="A42" i="39"/>
  <c r="O41" i="39"/>
  <c r="AC39" i="39"/>
  <c r="AC38" i="39"/>
  <c r="AC43" i="39" s="1"/>
  <c r="A38" i="39"/>
  <c r="A39" i="39" s="1"/>
  <c r="O37" i="39"/>
  <c r="AC34" i="39"/>
  <c r="G28" i="39"/>
  <c r="G27" i="39"/>
  <c r="L26" i="39"/>
  <c r="G26" i="39"/>
  <c r="Q25" i="39"/>
  <c r="Q24" i="39"/>
  <c r="Q23" i="39"/>
  <c r="Q22" i="39"/>
  <c r="Q21" i="39"/>
  <c r="L21" i="39"/>
  <c r="Q16" i="39"/>
  <c r="G16" i="39"/>
  <c r="Q15" i="39"/>
  <c r="G15" i="39"/>
  <c r="H22" i="39" s="1"/>
  <c r="Q14" i="39"/>
  <c r="N14" i="39"/>
  <c r="L14" i="39"/>
  <c r="G14" i="39"/>
  <c r="H21" i="39" s="1"/>
  <c r="AE13" i="39"/>
  <c r="Q13" i="39"/>
  <c r="AE12" i="39"/>
  <c r="AE11" i="39"/>
  <c r="AE10" i="39"/>
  <c r="AE9" i="39"/>
  <c r="AE7" i="39"/>
  <c r="AE6" i="39"/>
  <c r="Q6" i="39"/>
  <c r="AE5" i="39"/>
  <c r="Q5" i="39"/>
  <c r="AE4" i="39"/>
  <c r="Q4" i="39"/>
  <c r="AE3" i="39"/>
  <c r="Q3" i="39"/>
  <c r="Q2" i="39"/>
  <c r="A46" i="38"/>
  <c r="A51" i="38" s="1"/>
  <c r="O43" i="38"/>
  <c r="O44" i="38" s="1"/>
  <c r="O42" i="38"/>
  <c r="A42" i="38"/>
  <c r="A43" i="38" s="1"/>
  <c r="O41" i="38"/>
  <c r="O46" i="38" s="1"/>
  <c r="A39" i="38"/>
  <c r="AC38" i="38"/>
  <c r="AC39" i="38" s="1"/>
  <c r="O38" i="38"/>
  <c r="O39" i="38" s="1"/>
  <c r="A38" i="38"/>
  <c r="O37" i="38"/>
  <c r="AC34" i="38"/>
  <c r="G28" i="38"/>
  <c r="G27" i="38"/>
  <c r="L26" i="38"/>
  <c r="G26" i="38"/>
  <c r="Q25" i="38"/>
  <c r="Q24" i="38"/>
  <c r="Q23" i="38"/>
  <c r="Q22" i="38"/>
  <c r="H22" i="38"/>
  <c r="Q21" i="38"/>
  <c r="L21" i="38"/>
  <c r="H21" i="38"/>
  <c r="Q16" i="38"/>
  <c r="G16" i="38"/>
  <c r="Q15" i="38"/>
  <c r="G15" i="38"/>
  <c r="Q14" i="38"/>
  <c r="N14" i="38"/>
  <c r="L14" i="38"/>
  <c r="G14" i="38"/>
  <c r="AE13" i="38"/>
  <c r="Q13" i="38"/>
  <c r="AE12" i="38"/>
  <c r="AE11" i="38"/>
  <c r="AE10" i="38"/>
  <c r="AE9" i="38"/>
  <c r="AE7" i="38"/>
  <c r="AE6" i="38"/>
  <c r="Q6" i="38"/>
  <c r="AE5" i="38"/>
  <c r="Q5" i="38"/>
  <c r="AE4" i="38"/>
  <c r="Q4" i="38"/>
  <c r="AE3" i="38"/>
  <c r="Q3" i="38"/>
  <c r="Q2" i="38"/>
  <c r="A46" i="37"/>
  <c r="A42" i="37"/>
  <c r="O41" i="37"/>
  <c r="AC39" i="37"/>
  <c r="AC38" i="37"/>
  <c r="AC43" i="37" s="1"/>
  <c r="A38" i="37"/>
  <c r="A39" i="37" s="1"/>
  <c r="O37" i="37"/>
  <c r="O38" i="37" s="1"/>
  <c r="AC34" i="37"/>
  <c r="G28" i="37"/>
  <c r="G27" i="37"/>
  <c r="L26" i="37"/>
  <c r="G26" i="37"/>
  <c r="Q25" i="37"/>
  <c r="Q24" i="37"/>
  <c r="Q23" i="37"/>
  <c r="Q22" i="37"/>
  <c r="Q21" i="37"/>
  <c r="L21" i="37"/>
  <c r="Q16" i="37"/>
  <c r="G16" i="37"/>
  <c r="Q15" i="37"/>
  <c r="G15" i="37"/>
  <c r="H22" i="37" s="1"/>
  <c r="Q14" i="37"/>
  <c r="N14" i="37"/>
  <c r="L14" i="37"/>
  <c r="G14" i="37"/>
  <c r="H21" i="37" s="1"/>
  <c r="AE13" i="37"/>
  <c r="Q13" i="37"/>
  <c r="AE12" i="37"/>
  <c r="AE11" i="37"/>
  <c r="AE10" i="37"/>
  <c r="AE9" i="37"/>
  <c r="AE7" i="37"/>
  <c r="AE6" i="37"/>
  <c r="Q6" i="37"/>
  <c r="AE5" i="37"/>
  <c r="Q5" i="37"/>
  <c r="AE4" i="37"/>
  <c r="Q4" i="37"/>
  <c r="AE3" i="37"/>
  <c r="Q3" i="37"/>
  <c r="Q2" i="37"/>
  <c r="A46" i="36"/>
  <c r="O42" i="36"/>
  <c r="A42" i="36"/>
  <c r="O41" i="36"/>
  <c r="O46" i="36" s="1"/>
  <c r="AC38" i="36"/>
  <c r="AC43" i="36" s="1"/>
  <c r="A38" i="36"/>
  <c r="A39" i="36" s="1"/>
  <c r="O37" i="36"/>
  <c r="AC34" i="36"/>
  <c r="G28" i="36"/>
  <c r="G27" i="36"/>
  <c r="L26" i="36"/>
  <c r="G26" i="36"/>
  <c r="Q25" i="36"/>
  <c r="Q24" i="36"/>
  <c r="Q23" i="36"/>
  <c r="Q22" i="36"/>
  <c r="Q21" i="36"/>
  <c r="L21" i="36"/>
  <c r="Q16" i="36"/>
  <c r="G16" i="36"/>
  <c r="Q15" i="36"/>
  <c r="G15" i="36"/>
  <c r="H22" i="36" s="1"/>
  <c r="Q14" i="36"/>
  <c r="N14" i="36"/>
  <c r="L14" i="36"/>
  <c r="G14" i="36"/>
  <c r="H21" i="36" s="1"/>
  <c r="AE13" i="36"/>
  <c r="Q13" i="36"/>
  <c r="AE12" i="36"/>
  <c r="AE11" i="36"/>
  <c r="AE10" i="36"/>
  <c r="AE9" i="36"/>
  <c r="AE7" i="36"/>
  <c r="AE6" i="36"/>
  <c r="Q6" i="36"/>
  <c r="AE5" i="36"/>
  <c r="Q5" i="36"/>
  <c r="AE4" i="36"/>
  <c r="Q4" i="36"/>
  <c r="AE3" i="36"/>
  <c r="Q3" i="36"/>
  <c r="Q2" i="36"/>
  <c r="A46" i="35"/>
  <c r="A51" i="35" s="1"/>
  <c r="O42" i="35"/>
  <c r="O43" i="35" s="1"/>
  <c r="A42" i="35"/>
  <c r="A43" i="35" s="1"/>
  <c r="O41" i="35"/>
  <c r="O46" i="35" s="1"/>
  <c r="A39" i="35"/>
  <c r="AC38" i="35"/>
  <c r="AC39" i="35" s="1"/>
  <c r="A38" i="35"/>
  <c r="O37" i="35"/>
  <c r="O38" i="35" s="1"/>
  <c r="AC34" i="35"/>
  <c r="G28" i="35"/>
  <c r="G27" i="35"/>
  <c r="L26" i="35"/>
  <c r="G26" i="35"/>
  <c r="Q25" i="35"/>
  <c r="Q24" i="35"/>
  <c r="Q23" i="35"/>
  <c r="Q22" i="35"/>
  <c r="H22" i="35"/>
  <c r="Q21" i="35"/>
  <c r="L21" i="35"/>
  <c r="Q16" i="35"/>
  <c r="G16" i="35"/>
  <c r="Q15" i="35"/>
  <c r="G15" i="35"/>
  <c r="Q14" i="35"/>
  <c r="N14" i="35"/>
  <c r="L14" i="35"/>
  <c r="G14" i="35"/>
  <c r="H21" i="35" s="1"/>
  <c r="AE13" i="35"/>
  <c r="Q13" i="35"/>
  <c r="AE12" i="35"/>
  <c r="AE11" i="35"/>
  <c r="AE10" i="35"/>
  <c r="AE9" i="35"/>
  <c r="AE7" i="35"/>
  <c r="AE6" i="35"/>
  <c r="Q6" i="35"/>
  <c r="AE5" i="35"/>
  <c r="Q5" i="35"/>
  <c r="AE4" i="35"/>
  <c r="Q4" i="35"/>
  <c r="AE3" i="35"/>
  <c r="Q3" i="35"/>
  <c r="Q2" i="35"/>
  <c r="A46" i="34"/>
  <c r="A51" i="34" s="1"/>
  <c r="A42" i="34"/>
  <c r="A43" i="34" s="1"/>
  <c r="O41" i="34"/>
  <c r="AC39" i="34"/>
  <c r="O39" i="34"/>
  <c r="A39" i="34"/>
  <c r="AC38" i="34"/>
  <c r="AC43" i="34" s="1"/>
  <c r="O38" i="34"/>
  <c r="A38" i="34"/>
  <c r="O37" i="34"/>
  <c r="AC34" i="34"/>
  <c r="G28" i="34"/>
  <c r="G27" i="34"/>
  <c r="L26" i="34"/>
  <c r="G26" i="34"/>
  <c r="Q25" i="34"/>
  <c r="Q24" i="34"/>
  <c r="Q23" i="34"/>
  <c r="Q22" i="34"/>
  <c r="H22" i="34"/>
  <c r="Q21" i="34"/>
  <c r="L21" i="34"/>
  <c r="H21" i="34"/>
  <c r="Q16" i="34"/>
  <c r="G16" i="34"/>
  <c r="Q15" i="34"/>
  <c r="G15" i="34"/>
  <c r="Q14" i="34"/>
  <c r="N14" i="34"/>
  <c r="L14" i="34"/>
  <c r="G14" i="34"/>
  <c r="AE13" i="34"/>
  <c r="Q13" i="34"/>
  <c r="AE12" i="34"/>
  <c r="AE11" i="34"/>
  <c r="AE10" i="34"/>
  <c r="AE9" i="34"/>
  <c r="AE7" i="34"/>
  <c r="AE6" i="34"/>
  <c r="Q6" i="34"/>
  <c r="AE5" i="34"/>
  <c r="Q5" i="34"/>
  <c r="AE4" i="34"/>
  <c r="Q4" i="34"/>
  <c r="AE3" i="34"/>
  <c r="Q3" i="34"/>
  <c r="Q2" i="34"/>
  <c r="A46" i="33"/>
  <c r="A51" i="33" s="1"/>
  <c r="A42" i="33"/>
  <c r="A43" i="33" s="1"/>
  <c r="O41" i="33"/>
  <c r="O42" i="33" s="1"/>
  <c r="AC39" i="33"/>
  <c r="AC38" i="33"/>
  <c r="AC43" i="33" s="1"/>
  <c r="O38" i="33"/>
  <c r="A38" i="33"/>
  <c r="A39" i="33" s="1"/>
  <c r="O37" i="33"/>
  <c r="AC34" i="33"/>
  <c r="G28" i="33"/>
  <c r="G27" i="33"/>
  <c r="L26" i="33"/>
  <c r="G26" i="33"/>
  <c r="Q25" i="33"/>
  <c r="Q24" i="33"/>
  <c r="Q23" i="33"/>
  <c r="Q22" i="33"/>
  <c r="Q21" i="33"/>
  <c r="L21" i="33"/>
  <c r="H21" i="33"/>
  <c r="Q16" i="33"/>
  <c r="G16" i="33"/>
  <c r="Q15" i="33"/>
  <c r="G15" i="33"/>
  <c r="H22" i="33" s="1"/>
  <c r="Q14" i="33"/>
  <c r="N14" i="33"/>
  <c r="L14" i="33"/>
  <c r="G14" i="33"/>
  <c r="AE13" i="33"/>
  <c r="Q13" i="33"/>
  <c r="AE12" i="33"/>
  <c r="AE11" i="33"/>
  <c r="AE10" i="33"/>
  <c r="AE9" i="33"/>
  <c r="AE7" i="33"/>
  <c r="AE6" i="33"/>
  <c r="Q6" i="33"/>
  <c r="AE5" i="33"/>
  <c r="Q5" i="33"/>
  <c r="AE4" i="33"/>
  <c r="Q4" i="33"/>
  <c r="AE3" i="33"/>
  <c r="Q3" i="33"/>
  <c r="Q2" i="33"/>
  <c r="A47" i="32"/>
  <c r="A48" i="32" s="1"/>
  <c r="A46" i="32"/>
  <c r="A51" i="32" s="1"/>
  <c r="O42" i="32"/>
  <c r="A42" i="32"/>
  <c r="A43" i="32" s="1"/>
  <c r="O41" i="32"/>
  <c r="O46" i="32" s="1"/>
  <c r="O51" i="32" s="1"/>
  <c r="O56" i="32" s="1"/>
  <c r="O61" i="32" s="1"/>
  <c r="O66" i="32" s="1"/>
  <c r="AC38" i="32"/>
  <c r="AC43" i="32" s="1"/>
  <c r="O38" i="32"/>
  <c r="O39" i="32" s="1"/>
  <c r="O40" i="32" s="1"/>
  <c r="A38" i="32"/>
  <c r="A39" i="32" s="1"/>
  <c r="O37" i="32"/>
  <c r="AC34" i="32"/>
  <c r="G28" i="32"/>
  <c r="G27" i="32"/>
  <c r="L26" i="32"/>
  <c r="G26" i="32"/>
  <c r="Q25" i="32"/>
  <c r="Q24" i="32"/>
  <c r="Q23" i="32"/>
  <c r="Q22" i="32"/>
  <c r="Q21" i="32"/>
  <c r="L21" i="32"/>
  <c r="Q16" i="32"/>
  <c r="G16" i="32"/>
  <c r="Q15" i="32"/>
  <c r="G15" i="32"/>
  <c r="H22" i="32" s="1"/>
  <c r="Q14" i="32"/>
  <c r="N14" i="32"/>
  <c r="L14" i="32"/>
  <c r="G14" i="32"/>
  <c r="H21" i="32" s="1"/>
  <c r="AE13" i="32"/>
  <c r="Q13" i="32"/>
  <c r="AE12" i="32"/>
  <c r="AE11" i="32"/>
  <c r="AE10" i="32"/>
  <c r="AE9" i="32"/>
  <c r="AE7" i="32"/>
  <c r="AE6" i="32"/>
  <c r="Q6" i="32"/>
  <c r="AE5" i="32"/>
  <c r="Q5" i="32"/>
  <c r="AE4" i="32"/>
  <c r="Q4" i="32"/>
  <c r="AE3" i="32"/>
  <c r="Q3" i="32"/>
  <c r="Q2" i="32"/>
  <c r="A46" i="31"/>
  <c r="A51" i="31" s="1"/>
  <c r="A42" i="31"/>
  <c r="A43" i="31" s="1"/>
  <c r="O41" i="31"/>
  <c r="O42" i="31" s="1"/>
  <c r="AC39" i="31"/>
  <c r="AC38" i="31"/>
  <c r="AC43" i="31" s="1"/>
  <c r="O38" i="31"/>
  <c r="A38" i="31"/>
  <c r="A39" i="31" s="1"/>
  <c r="O37" i="31"/>
  <c r="AC34" i="31"/>
  <c r="G28" i="31"/>
  <c r="G27" i="31"/>
  <c r="L26" i="31"/>
  <c r="G26" i="31"/>
  <c r="Q25" i="31"/>
  <c r="Q24" i="31"/>
  <c r="Q23" i="31"/>
  <c r="Q22" i="31"/>
  <c r="Q21" i="31"/>
  <c r="L21" i="31"/>
  <c r="H21" i="31"/>
  <c r="Q16" i="31"/>
  <c r="G16" i="31"/>
  <c r="Q15" i="31"/>
  <c r="G15" i="31"/>
  <c r="H22" i="31" s="1"/>
  <c r="Q14" i="31"/>
  <c r="N14" i="31"/>
  <c r="L14" i="31"/>
  <c r="G14" i="31"/>
  <c r="AE13" i="31"/>
  <c r="Q13" i="31"/>
  <c r="AE12" i="31"/>
  <c r="AE11" i="31"/>
  <c r="AE10" i="31"/>
  <c r="AE9" i="31"/>
  <c r="AE7" i="31"/>
  <c r="AE6" i="31"/>
  <c r="Q6" i="31"/>
  <c r="AE5" i="31"/>
  <c r="Q5" i="31"/>
  <c r="AE4" i="31"/>
  <c r="Q4" i="31"/>
  <c r="AE3" i="31"/>
  <c r="Q3" i="31"/>
  <c r="Q2" i="31"/>
  <c r="A46" i="30"/>
  <c r="O42" i="30"/>
  <c r="A42" i="30"/>
  <c r="O41" i="30"/>
  <c r="O46" i="30" s="1"/>
  <c r="AC38" i="30"/>
  <c r="AC43" i="30" s="1"/>
  <c r="A38" i="30"/>
  <c r="A39" i="30" s="1"/>
  <c r="O37" i="30"/>
  <c r="AC34" i="30"/>
  <c r="G28" i="30"/>
  <c r="G27" i="30"/>
  <c r="L26" i="30"/>
  <c r="G26" i="30"/>
  <c r="Q25" i="30"/>
  <c r="Q24" i="30"/>
  <c r="Q23" i="30"/>
  <c r="Q22" i="30"/>
  <c r="Q21" i="30"/>
  <c r="L21" i="30"/>
  <c r="Q16" i="30"/>
  <c r="G16" i="30"/>
  <c r="Q15" i="30"/>
  <c r="G15" i="30"/>
  <c r="H22" i="30" s="1"/>
  <c r="Q14" i="30"/>
  <c r="N14" i="30"/>
  <c r="L14" i="30"/>
  <c r="G14" i="30"/>
  <c r="H21" i="30" s="1"/>
  <c r="AE13" i="30"/>
  <c r="Q13" i="30"/>
  <c r="AE12" i="30"/>
  <c r="AE11" i="30"/>
  <c r="AE10" i="30"/>
  <c r="AE9" i="30"/>
  <c r="AE7" i="30"/>
  <c r="AE6" i="30"/>
  <c r="Q6" i="30"/>
  <c r="AE5" i="30"/>
  <c r="Q5" i="30"/>
  <c r="AE4" i="30"/>
  <c r="Q4" i="30"/>
  <c r="AE3" i="30"/>
  <c r="Q3" i="30"/>
  <c r="Q2" i="30"/>
  <c r="A46" i="29"/>
  <c r="A51" i="29" s="1"/>
  <c r="O42" i="29"/>
  <c r="O43" i="29" s="1"/>
  <c r="A42" i="29"/>
  <c r="A43" i="29" s="1"/>
  <c r="O41" i="29"/>
  <c r="O46" i="29" s="1"/>
  <c r="A39" i="29"/>
  <c r="AC38" i="29"/>
  <c r="AC39" i="29" s="1"/>
  <c r="A38" i="29"/>
  <c r="O37" i="29"/>
  <c r="O38" i="29" s="1"/>
  <c r="AC34" i="29"/>
  <c r="G28" i="29"/>
  <c r="G27" i="29"/>
  <c r="L26" i="29"/>
  <c r="G26" i="29"/>
  <c r="Q25" i="29"/>
  <c r="Q24" i="29"/>
  <c r="Q23" i="29"/>
  <c r="Q22" i="29"/>
  <c r="H22" i="29"/>
  <c r="Q21" i="29"/>
  <c r="L21" i="29"/>
  <c r="Q16" i="29"/>
  <c r="G16" i="29"/>
  <c r="Q15" i="29"/>
  <c r="G15" i="29"/>
  <c r="Q14" i="29"/>
  <c r="N14" i="29"/>
  <c r="L14" i="29"/>
  <c r="G14" i="29"/>
  <c r="H21" i="29" s="1"/>
  <c r="AE13" i="29"/>
  <c r="Q13" i="29"/>
  <c r="AE12" i="29"/>
  <c r="AE11" i="29"/>
  <c r="AE10" i="29"/>
  <c r="AE9" i="29"/>
  <c r="AE7" i="29"/>
  <c r="AE6" i="29"/>
  <c r="Q6" i="29"/>
  <c r="AE5" i="29"/>
  <c r="Q5" i="29"/>
  <c r="AE4" i="29"/>
  <c r="Q4" i="29"/>
  <c r="AE3" i="29"/>
  <c r="Q3" i="29"/>
  <c r="Q2" i="29"/>
  <c r="A46" i="28"/>
  <c r="A51" i="28" s="1"/>
  <c r="A42" i="28"/>
  <c r="A43" i="28" s="1"/>
  <c r="O41" i="28"/>
  <c r="AC39" i="28"/>
  <c r="O39" i="28"/>
  <c r="A39" i="28"/>
  <c r="AC38" i="28"/>
  <c r="AC43" i="28" s="1"/>
  <c r="O38" i="28"/>
  <c r="A38" i="28"/>
  <c r="O37" i="28"/>
  <c r="AC34" i="28"/>
  <c r="G28" i="28"/>
  <c r="G27" i="28"/>
  <c r="L26" i="28"/>
  <c r="G26" i="28"/>
  <c r="Q25" i="28"/>
  <c r="Q24" i="28"/>
  <c r="Q23" i="28"/>
  <c r="Q22" i="28"/>
  <c r="H22" i="28"/>
  <c r="Q21" i="28"/>
  <c r="L21" i="28"/>
  <c r="H21" i="28"/>
  <c r="Q16" i="28"/>
  <c r="G16" i="28"/>
  <c r="Q15" i="28"/>
  <c r="G15" i="28"/>
  <c r="Q14" i="28"/>
  <c r="N14" i="28"/>
  <c r="L14" i="28"/>
  <c r="G14" i="28"/>
  <c r="AE13" i="28"/>
  <c r="Q13" i="28"/>
  <c r="AE12" i="28"/>
  <c r="AE11" i="28"/>
  <c r="AE10" i="28"/>
  <c r="AE9" i="28"/>
  <c r="AE7" i="28"/>
  <c r="AE6" i="28"/>
  <c r="Q6" i="28"/>
  <c r="AE5" i="28"/>
  <c r="Q5" i="28"/>
  <c r="AE4" i="28"/>
  <c r="Q4" i="28"/>
  <c r="AE3" i="28"/>
  <c r="Q3" i="28"/>
  <c r="Q2" i="28"/>
  <c r="A46" i="27"/>
  <c r="A51" i="27" s="1"/>
  <c r="A42" i="27"/>
  <c r="A43" i="27" s="1"/>
  <c r="O41" i="27"/>
  <c r="O42" i="27" s="1"/>
  <c r="AC39" i="27"/>
  <c r="AC38" i="27"/>
  <c r="AC43" i="27" s="1"/>
  <c r="O38" i="27"/>
  <c r="A38" i="27"/>
  <c r="A39" i="27" s="1"/>
  <c r="O37" i="27"/>
  <c r="AC34" i="27"/>
  <c r="G28" i="27"/>
  <c r="G27" i="27"/>
  <c r="L26" i="27"/>
  <c r="G26" i="27"/>
  <c r="Q25" i="27"/>
  <c r="Q24" i="27"/>
  <c r="Q23" i="27"/>
  <c r="Q22" i="27"/>
  <c r="Q21" i="27"/>
  <c r="L21" i="27"/>
  <c r="H21" i="27"/>
  <c r="Q16" i="27"/>
  <c r="G16" i="27"/>
  <c r="Q15" i="27"/>
  <c r="G15" i="27"/>
  <c r="H22" i="27" s="1"/>
  <c r="Q14" i="27"/>
  <c r="N14" i="27"/>
  <c r="L14" i="27"/>
  <c r="G14" i="27"/>
  <c r="AE13" i="27"/>
  <c r="Q13" i="27"/>
  <c r="AE12" i="27"/>
  <c r="AE11" i="27"/>
  <c r="AE10" i="27"/>
  <c r="AE9" i="27"/>
  <c r="AE7" i="27"/>
  <c r="AE6" i="27"/>
  <c r="Q6" i="27"/>
  <c r="AE5" i="27"/>
  <c r="Q5" i="27"/>
  <c r="AE4" i="27"/>
  <c r="Q4" i="27"/>
  <c r="AE3" i="27"/>
  <c r="Q3" i="27"/>
  <c r="Q2" i="27"/>
  <c r="A46" i="26"/>
  <c r="O42" i="26"/>
  <c r="A42" i="26"/>
  <c r="O41" i="26"/>
  <c r="O46" i="26" s="1"/>
  <c r="AC38" i="26"/>
  <c r="AC43" i="26" s="1"/>
  <c r="A38" i="26"/>
  <c r="O37" i="26"/>
  <c r="AC34" i="26"/>
  <c r="G28" i="26"/>
  <c r="G27" i="26"/>
  <c r="L26" i="26"/>
  <c r="G26" i="26"/>
  <c r="Q25" i="26"/>
  <c r="Q24" i="26"/>
  <c r="Q23" i="26"/>
  <c r="Q22" i="26"/>
  <c r="Q21" i="26"/>
  <c r="L21" i="26"/>
  <c r="Q16" i="26"/>
  <c r="G16" i="26"/>
  <c r="Q15" i="26"/>
  <c r="G15" i="26"/>
  <c r="H22" i="26" s="1"/>
  <c r="Q14" i="26"/>
  <c r="N14" i="26"/>
  <c r="L14" i="26"/>
  <c r="G14" i="26"/>
  <c r="H21" i="26" s="1"/>
  <c r="AE13" i="26"/>
  <c r="Q13" i="26"/>
  <c r="AE12" i="26"/>
  <c r="AE11" i="26"/>
  <c r="AE10" i="26"/>
  <c r="AE9" i="26"/>
  <c r="AE7" i="26"/>
  <c r="AE6" i="26"/>
  <c r="Q6" i="26"/>
  <c r="AE5" i="26"/>
  <c r="Q5" i="26"/>
  <c r="AE4" i="26"/>
  <c r="Q4" i="26"/>
  <c r="AE3" i="26"/>
  <c r="Q3" i="26"/>
  <c r="Q2" i="26"/>
  <c r="S4" i="25"/>
  <c r="S4" i="24"/>
  <c r="S4" i="23"/>
  <c r="BG6" i="22"/>
  <c r="BG4" i="22"/>
  <c r="BG4" i="21"/>
  <c r="BG4" i="20"/>
  <c r="BG4" i="19"/>
  <c r="S6" i="18"/>
  <c r="S2" i="18"/>
  <c r="S2" i="17"/>
  <c r="S2" i="16"/>
  <c r="S2" i="15"/>
  <c r="BG6" i="14"/>
  <c r="BG2" i="14"/>
  <c r="BG2" i="13"/>
  <c r="BG2" i="12"/>
  <c r="BG2" i="11"/>
  <c r="S6" i="10"/>
  <c r="S4" i="10"/>
  <c r="S4" i="9"/>
  <c r="S4" i="8"/>
  <c r="S4" i="7"/>
  <c r="BG6" i="6"/>
  <c r="BG4" i="6"/>
  <c r="BG4" i="5"/>
  <c r="BG4" i="4"/>
  <c r="BG4" i="3"/>
  <c r="S6" i="2"/>
  <c r="S2" i="2"/>
  <c r="S2" i="1"/>
  <c r="GD125" i="61" l="1"/>
  <c r="J4" i="65"/>
  <c r="O623" i="66"/>
  <c r="O619" i="66"/>
  <c r="O615" i="66"/>
  <c r="O611" i="66"/>
  <c r="O607" i="66"/>
  <c r="O603" i="66"/>
  <c r="O599" i="66"/>
  <c r="O595" i="66"/>
  <c r="O591" i="66"/>
  <c r="O587" i="66"/>
  <c r="O583" i="66"/>
  <c r="O579" i="66"/>
  <c r="O575" i="66"/>
  <c r="O571" i="66"/>
  <c r="O567" i="66"/>
  <c r="O563" i="66"/>
  <c r="O559" i="66"/>
  <c r="O555" i="66"/>
  <c r="O551" i="66"/>
  <c r="O547" i="66"/>
  <c r="O543" i="66"/>
  <c r="O539" i="66"/>
  <c r="O535" i="66"/>
  <c r="O531" i="66"/>
  <c r="O527" i="66"/>
  <c r="O523" i="66"/>
  <c r="O519" i="66"/>
  <c r="O515" i="66"/>
  <c r="O511" i="66"/>
  <c r="O507" i="66"/>
  <c r="O503" i="66"/>
  <c r="O499" i="66"/>
  <c r="O495" i="66"/>
  <c r="O491" i="66"/>
  <c r="O487" i="66"/>
  <c r="O483" i="66"/>
  <c r="O479" i="66"/>
  <c r="O475" i="66"/>
  <c r="O471" i="66"/>
  <c r="O467" i="66"/>
  <c r="O463" i="66"/>
  <c r="O459" i="66"/>
  <c r="O455" i="66"/>
  <c r="O451" i="66"/>
  <c r="O447" i="66"/>
  <c r="O443" i="66"/>
  <c r="O439" i="66"/>
  <c r="O435" i="66"/>
  <c r="O431" i="66"/>
  <c r="O427" i="66"/>
  <c r="O423" i="66"/>
  <c r="O419" i="66"/>
  <c r="O415" i="66"/>
  <c r="O411" i="66"/>
  <c r="O407" i="66"/>
  <c r="O403" i="66"/>
  <c r="O399" i="66"/>
  <c r="O395" i="66"/>
  <c r="O391" i="66"/>
  <c r="O387" i="66"/>
  <c r="O383" i="66"/>
  <c r="O379" i="66"/>
  <c r="O375" i="66"/>
  <c r="O371" i="66"/>
  <c r="O367" i="66"/>
  <c r="O363" i="66"/>
  <c r="O359" i="66"/>
  <c r="O355" i="66"/>
  <c r="O351" i="66"/>
  <c r="O347" i="66"/>
  <c r="O343" i="66"/>
  <c r="O339" i="66"/>
  <c r="O335" i="66"/>
  <c r="O331" i="66"/>
  <c r="O327" i="66"/>
  <c r="O323" i="66"/>
  <c r="O319" i="66"/>
  <c r="O315" i="66"/>
  <c r="O311" i="66"/>
  <c r="O307" i="66"/>
  <c r="O303" i="66"/>
  <c r="O299" i="66"/>
  <c r="O295" i="66"/>
  <c r="O291" i="66"/>
  <c r="O287" i="66"/>
  <c r="O283" i="66"/>
  <c r="O279" i="66"/>
  <c r="O275" i="66"/>
  <c r="O271" i="66"/>
  <c r="O267" i="66"/>
  <c r="O263" i="66"/>
  <c r="O259" i="66"/>
  <c r="O255" i="66"/>
  <c r="O251" i="66"/>
  <c r="O247" i="66"/>
  <c r="O243" i="66"/>
  <c r="O239" i="66"/>
  <c r="O235" i="66"/>
  <c r="O231" i="66"/>
  <c r="O227" i="66"/>
  <c r="O223" i="66"/>
  <c r="O219" i="66"/>
  <c r="O215" i="66"/>
  <c r="O211" i="66"/>
  <c r="O207" i="66"/>
  <c r="O203" i="66"/>
  <c r="O199" i="66"/>
  <c r="O195" i="66"/>
  <c r="O191" i="66"/>
  <c r="O187" i="66"/>
  <c r="O183" i="66"/>
  <c r="O179" i="66"/>
  <c r="O175" i="66"/>
  <c r="O171" i="66"/>
  <c r="O167" i="66"/>
  <c r="O163" i="66"/>
  <c r="O159" i="66"/>
  <c r="O155" i="66"/>
  <c r="O151" i="66"/>
  <c r="O147" i="66"/>
  <c r="O143" i="66"/>
  <c r="O139" i="66"/>
  <c r="O135" i="66"/>
  <c r="O131" i="66"/>
  <c r="O127" i="66"/>
  <c r="O123" i="66"/>
  <c r="O119" i="66"/>
  <c r="O115" i="66"/>
  <c r="O111" i="66"/>
  <c r="O107" i="66"/>
  <c r="O103" i="66"/>
  <c r="O99" i="66"/>
  <c r="O95" i="66"/>
  <c r="O91" i="66"/>
  <c r="O87" i="66"/>
  <c r="O83" i="66"/>
  <c r="O79" i="66"/>
  <c r="O75" i="66"/>
  <c r="O71" i="66"/>
  <c r="O67" i="66"/>
  <c r="O63" i="66"/>
  <c r="O59" i="66"/>
  <c r="O55" i="66"/>
  <c r="O51" i="66"/>
  <c r="O47" i="66"/>
  <c r="O43" i="66"/>
  <c r="O39" i="66"/>
  <c r="O35" i="66"/>
  <c r="O31" i="66"/>
  <c r="O27" i="66"/>
  <c r="O23" i="66"/>
  <c r="O19" i="66"/>
  <c r="O15" i="66"/>
  <c r="O11" i="66"/>
  <c r="O7" i="66"/>
  <c r="O3" i="66"/>
  <c r="N624" i="66"/>
  <c r="N620" i="66"/>
  <c r="N616" i="66"/>
  <c r="N612" i="66"/>
  <c r="N608" i="66"/>
  <c r="N604" i="66"/>
  <c r="N600" i="66"/>
  <c r="N596" i="66"/>
  <c r="N592" i="66"/>
  <c r="N588" i="66"/>
  <c r="N584" i="66"/>
  <c r="N580" i="66"/>
  <c r="N576" i="66"/>
  <c r="N572" i="66"/>
  <c r="N568" i="66"/>
  <c r="N564" i="66"/>
  <c r="N560" i="66"/>
  <c r="N556" i="66"/>
  <c r="N552" i="66"/>
  <c r="N548" i="66"/>
  <c r="N544" i="66"/>
  <c r="N540" i="66"/>
  <c r="N536" i="66"/>
  <c r="N532" i="66"/>
  <c r="N528" i="66"/>
  <c r="N524" i="66"/>
  <c r="N520" i="66"/>
  <c r="N516" i="66"/>
  <c r="N512" i="66"/>
  <c r="N508" i="66"/>
  <c r="N504" i="66"/>
  <c r="N500" i="66"/>
  <c r="N496" i="66"/>
  <c r="N492" i="66"/>
  <c r="N488" i="66"/>
  <c r="N484" i="66"/>
  <c r="N480" i="66"/>
  <c r="N476" i="66"/>
  <c r="N472" i="66"/>
  <c r="N468" i="66"/>
  <c r="N464" i="66"/>
  <c r="N460" i="66"/>
  <c r="N456" i="66"/>
  <c r="N452" i="66"/>
  <c r="N448" i="66"/>
  <c r="N444" i="66"/>
  <c r="N440" i="66"/>
  <c r="N436" i="66"/>
  <c r="N432" i="66"/>
  <c r="N428" i="66"/>
  <c r="N424" i="66"/>
  <c r="N420" i="66"/>
  <c r="N416" i="66"/>
  <c r="N412" i="66"/>
  <c r="N408" i="66"/>
  <c r="N404" i="66"/>
  <c r="N400" i="66"/>
  <c r="N396" i="66"/>
  <c r="N392" i="66"/>
  <c r="N388" i="66"/>
  <c r="N384" i="66"/>
  <c r="N380" i="66"/>
  <c r="N376" i="66"/>
  <c r="N372" i="66"/>
  <c r="N368" i="66"/>
  <c r="N364" i="66"/>
  <c r="N360" i="66"/>
  <c r="N356" i="66"/>
  <c r="N352" i="66"/>
  <c r="N348" i="66"/>
  <c r="N344" i="66"/>
  <c r="N340" i="66"/>
  <c r="N336" i="66"/>
  <c r="N332" i="66"/>
  <c r="N328" i="66"/>
  <c r="N324" i="66"/>
  <c r="N320" i="66"/>
  <c r="N316" i="66"/>
  <c r="N312" i="66"/>
  <c r="N308" i="66"/>
  <c r="N304" i="66"/>
  <c r="N300" i="66"/>
  <c r="N296" i="66"/>
  <c r="N292" i="66"/>
  <c r="N288" i="66"/>
  <c r="N284" i="66"/>
  <c r="N280" i="66"/>
  <c r="N276" i="66"/>
  <c r="N272" i="66"/>
  <c r="N268" i="66"/>
  <c r="N264" i="66"/>
  <c r="N260" i="66"/>
  <c r="N256" i="66"/>
  <c r="N252" i="66"/>
  <c r="N248" i="66"/>
  <c r="N244" i="66"/>
  <c r="N240" i="66"/>
  <c r="N236" i="66"/>
  <c r="N232" i="66"/>
  <c r="N228" i="66"/>
  <c r="N224" i="66"/>
  <c r="N220" i="66"/>
  <c r="N216" i="66"/>
  <c r="N212" i="66"/>
  <c r="N208" i="66"/>
  <c r="N204" i="66"/>
  <c r="N200" i="66"/>
  <c r="N196" i="66"/>
  <c r="N192" i="66"/>
  <c r="N188" i="66"/>
  <c r="N184" i="66"/>
  <c r="N180" i="66"/>
  <c r="N176" i="66"/>
  <c r="N172" i="66"/>
  <c r="N168" i="66"/>
  <c r="N164" i="66"/>
  <c r="N160" i="66"/>
  <c r="N156" i="66"/>
  <c r="N152" i="66"/>
  <c r="N148" i="66"/>
  <c r="N144" i="66"/>
  <c r="N140" i="66"/>
  <c r="N136" i="66"/>
  <c r="N132" i="66"/>
  <c r="N128" i="66"/>
  <c r="N124" i="66"/>
  <c r="N120" i="66"/>
  <c r="N116" i="66"/>
  <c r="N112" i="66"/>
  <c r="N108" i="66"/>
  <c r="N104" i="66"/>
  <c r="O626" i="66"/>
  <c r="O622" i="66"/>
  <c r="O618" i="66"/>
  <c r="O614" i="66"/>
  <c r="O610" i="66"/>
  <c r="O606" i="66"/>
  <c r="O602" i="66"/>
  <c r="O598" i="66"/>
  <c r="O594" i="66"/>
  <c r="O590" i="66"/>
  <c r="O586" i="66"/>
  <c r="O582" i="66"/>
  <c r="O578" i="66"/>
  <c r="O574" i="66"/>
  <c r="O570" i="66"/>
  <c r="O566" i="66"/>
  <c r="O562" i="66"/>
  <c r="O558" i="66"/>
  <c r="O554" i="66"/>
  <c r="O550" i="66"/>
  <c r="O546" i="66"/>
  <c r="O542" i="66"/>
  <c r="O538" i="66"/>
  <c r="O534" i="66"/>
  <c r="O530" i="66"/>
  <c r="O526" i="66"/>
  <c r="O522" i="66"/>
  <c r="O518" i="66"/>
  <c r="O514" i="66"/>
  <c r="O510" i="66"/>
  <c r="O506" i="66"/>
  <c r="O502" i="66"/>
  <c r="O498" i="66"/>
  <c r="O494" i="66"/>
  <c r="O490" i="66"/>
  <c r="O486" i="66"/>
  <c r="O482" i="66"/>
  <c r="O478" i="66"/>
  <c r="O474" i="66"/>
  <c r="O470" i="66"/>
  <c r="O466" i="66"/>
  <c r="O462" i="66"/>
  <c r="O458" i="66"/>
  <c r="O454" i="66"/>
  <c r="O450" i="66"/>
  <c r="O446" i="66"/>
  <c r="O442" i="66"/>
  <c r="O438" i="66"/>
  <c r="O434" i="66"/>
  <c r="O430" i="66"/>
  <c r="O426" i="66"/>
  <c r="O422" i="66"/>
  <c r="O418" i="66"/>
  <c r="O414" i="66"/>
  <c r="O410" i="66"/>
  <c r="O406" i="66"/>
  <c r="O402" i="66"/>
  <c r="O398" i="66"/>
  <c r="O394" i="66"/>
  <c r="O390" i="66"/>
  <c r="O386" i="66"/>
  <c r="O382" i="66"/>
  <c r="O378" i="66"/>
  <c r="O374" i="66"/>
  <c r="O370" i="66"/>
  <c r="O366" i="66"/>
  <c r="O362" i="66"/>
  <c r="O358" i="66"/>
  <c r="O354" i="66"/>
  <c r="O350" i="66"/>
  <c r="O346" i="66"/>
  <c r="O342" i="66"/>
  <c r="O338" i="66"/>
  <c r="O334" i="66"/>
  <c r="O330" i="66"/>
  <c r="O326" i="66"/>
  <c r="O322" i="66"/>
  <c r="O318" i="66"/>
  <c r="O314" i="66"/>
  <c r="O310" i="66"/>
  <c r="O306" i="66"/>
  <c r="O302" i="66"/>
  <c r="O298" i="66"/>
  <c r="O294" i="66"/>
  <c r="O290" i="66"/>
  <c r="O286" i="66"/>
  <c r="O282" i="66"/>
  <c r="O278" i="66"/>
  <c r="O274" i="66"/>
  <c r="O270" i="66"/>
  <c r="O266" i="66"/>
  <c r="O262" i="66"/>
  <c r="O258" i="66"/>
  <c r="O254" i="66"/>
  <c r="O250" i="66"/>
  <c r="O246" i="66"/>
  <c r="O242" i="66"/>
  <c r="O238" i="66"/>
  <c r="O234" i="66"/>
  <c r="O230" i="66"/>
  <c r="O226" i="66"/>
  <c r="O222" i="66"/>
  <c r="O218" i="66"/>
  <c r="O214" i="66"/>
  <c r="O210" i="66"/>
  <c r="O206" i="66"/>
  <c r="O202" i="66"/>
  <c r="O198" i="66"/>
  <c r="O194" i="66"/>
  <c r="O190" i="66"/>
  <c r="O186" i="66"/>
  <c r="O182" i="66"/>
  <c r="O178" i="66"/>
  <c r="O174" i="66"/>
  <c r="O170" i="66"/>
  <c r="O166" i="66"/>
  <c r="O162" i="66"/>
  <c r="O158" i="66"/>
  <c r="O154" i="66"/>
  <c r="O150" i="66"/>
  <c r="O146" i="66"/>
  <c r="O142" i="66"/>
  <c r="O138" i="66"/>
  <c r="O134" i="66"/>
  <c r="O130" i="66"/>
  <c r="O126" i="66"/>
  <c r="O122" i="66"/>
  <c r="O118" i="66"/>
  <c r="O114" i="66"/>
  <c r="O110" i="66"/>
  <c r="O106" i="66"/>
  <c r="O102" i="66"/>
  <c r="O98" i="66"/>
  <c r="O94" i="66"/>
  <c r="O90" i="66"/>
  <c r="O86" i="66"/>
  <c r="O82" i="66"/>
  <c r="O78" i="66"/>
  <c r="O74" i="66"/>
  <c r="O70" i="66"/>
  <c r="O66" i="66"/>
  <c r="O62" i="66"/>
  <c r="O58" i="66"/>
  <c r="O54" i="66"/>
  <c r="O50" i="66"/>
  <c r="O46" i="66"/>
  <c r="O42" i="66"/>
  <c r="O38" i="66"/>
  <c r="O34" i="66"/>
  <c r="O30" i="66"/>
  <c r="O26" i="66"/>
  <c r="O22" i="66"/>
  <c r="O18" i="66"/>
  <c r="O14" i="66"/>
  <c r="O10" i="66"/>
  <c r="O6" i="66"/>
  <c r="O2" i="66"/>
  <c r="N623" i="66"/>
  <c r="N619" i="66"/>
  <c r="N615" i="66"/>
  <c r="N611" i="66"/>
  <c r="N607" i="66"/>
  <c r="N603" i="66"/>
  <c r="N599" i="66"/>
  <c r="N595" i="66"/>
  <c r="N591" i="66"/>
  <c r="N587" i="66"/>
  <c r="N583" i="66"/>
  <c r="N579" i="66"/>
  <c r="N575" i="66"/>
  <c r="N571" i="66"/>
  <c r="N567" i="66"/>
  <c r="N563" i="66"/>
  <c r="N559" i="66"/>
  <c r="N555" i="66"/>
  <c r="N551" i="66"/>
  <c r="N547" i="66"/>
  <c r="N543" i="66"/>
  <c r="N539" i="66"/>
  <c r="N535" i="66"/>
  <c r="N531" i="66"/>
  <c r="N527" i="66"/>
  <c r="N523" i="66"/>
  <c r="N519" i="66"/>
  <c r="N515" i="66"/>
  <c r="N511" i="66"/>
  <c r="N507" i="66"/>
  <c r="N503" i="66"/>
  <c r="N499" i="66"/>
  <c r="N495" i="66"/>
  <c r="N491" i="66"/>
  <c r="N487" i="66"/>
  <c r="N483" i="66"/>
  <c r="N479" i="66"/>
  <c r="N475" i="66"/>
  <c r="N471" i="66"/>
  <c r="N467" i="66"/>
  <c r="N463" i="66"/>
  <c r="N459" i="66"/>
  <c r="N455" i="66"/>
  <c r="N451" i="66"/>
  <c r="N447" i="66"/>
  <c r="N443" i="66"/>
  <c r="N439" i="66"/>
  <c r="N435" i="66"/>
  <c r="N431" i="66"/>
  <c r="N427" i="66"/>
  <c r="N423" i="66"/>
  <c r="N419" i="66"/>
  <c r="N415" i="66"/>
  <c r="N411" i="66"/>
  <c r="N407" i="66"/>
  <c r="N403" i="66"/>
  <c r="N399" i="66"/>
  <c r="N395" i="66"/>
  <c r="N391" i="66"/>
  <c r="N387" i="66"/>
  <c r="N383" i="66"/>
  <c r="N379" i="66"/>
  <c r="N375" i="66"/>
  <c r="N371" i="66"/>
  <c r="N367" i="66"/>
  <c r="N363" i="66"/>
  <c r="N359" i="66"/>
  <c r="N355" i="66"/>
  <c r="N351" i="66"/>
  <c r="N347" i="66"/>
  <c r="N343" i="66"/>
  <c r="N339" i="66"/>
  <c r="N335" i="66"/>
  <c r="N331" i="66"/>
  <c r="N327" i="66"/>
  <c r="N323" i="66"/>
  <c r="N319" i="66"/>
  <c r="N315" i="66"/>
  <c r="N311" i="66"/>
  <c r="N307" i="66"/>
  <c r="N303" i="66"/>
  <c r="N299" i="66"/>
  <c r="N295" i="66"/>
  <c r="N291" i="66"/>
  <c r="N287" i="66"/>
  <c r="N283" i="66"/>
  <c r="N279" i="66"/>
  <c r="N275" i="66"/>
  <c r="N271" i="66"/>
  <c r="N267" i="66"/>
  <c r="N263" i="66"/>
  <c r="N259" i="66"/>
  <c r="N255" i="66"/>
  <c r="N251" i="66"/>
  <c r="N247" i="66"/>
  <c r="N243" i="66"/>
  <c r="N239" i="66"/>
  <c r="N235" i="66"/>
  <c r="N231" i="66"/>
  <c r="N227" i="66"/>
  <c r="N223" i="66"/>
  <c r="N219" i="66"/>
  <c r="O625" i="66"/>
  <c r="O621" i="66"/>
  <c r="O617" i="66"/>
  <c r="O613" i="66"/>
  <c r="O609" i="66"/>
  <c r="O605" i="66"/>
  <c r="O601" i="66"/>
  <c r="O597" i="66"/>
  <c r="O593" i="66"/>
  <c r="O589" i="66"/>
  <c r="O585" i="66"/>
  <c r="O581" i="66"/>
  <c r="O577" i="66"/>
  <c r="O573" i="66"/>
  <c r="O569" i="66"/>
  <c r="O565" i="66"/>
  <c r="O561" i="66"/>
  <c r="O557" i="66"/>
  <c r="O553" i="66"/>
  <c r="O549" i="66"/>
  <c r="O545" i="66"/>
  <c r="O541" i="66"/>
  <c r="O537" i="66"/>
  <c r="O533" i="66"/>
  <c r="O529" i="66"/>
  <c r="O525" i="66"/>
  <c r="O521" i="66"/>
  <c r="O517" i="66"/>
  <c r="O513" i="66"/>
  <c r="O509" i="66"/>
  <c r="O505" i="66"/>
  <c r="O501" i="66"/>
  <c r="O497" i="66"/>
  <c r="O493" i="66"/>
  <c r="O489" i="66"/>
  <c r="O485" i="66"/>
  <c r="O481" i="66"/>
  <c r="O477" i="66"/>
  <c r="O473" i="66"/>
  <c r="O469" i="66"/>
  <c r="O465" i="66"/>
  <c r="O461" i="66"/>
  <c r="O457" i="66"/>
  <c r="O453" i="66"/>
  <c r="O449" i="66"/>
  <c r="O445" i="66"/>
  <c r="O441" i="66"/>
  <c r="O437" i="66"/>
  <c r="O433" i="66"/>
  <c r="O429" i="66"/>
  <c r="O425" i="66"/>
  <c r="O421" i="66"/>
  <c r="O417" i="66"/>
  <c r="O413" i="66"/>
  <c r="O409" i="66"/>
  <c r="O405" i="66"/>
  <c r="O401" i="66"/>
  <c r="O397" i="66"/>
  <c r="O393" i="66"/>
  <c r="O389" i="66"/>
  <c r="O385" i="66"/>
  <c r="O381" i="66"/>
  <c r="O377" i="66"/>
  <c r="O373" i="66"/>
  <c r="O369" i="66"/>
  <c r="O365" i="66"/>
  <c r="O361" i="66"/>
  <c r="O357" i="66"/>
  <c r="O353" i="66"/>
  <c r="O349" i="66"/>
  <c r="O345" i="66"/>
  <c r="O341" i="66"/>
  <c r="O337" i="66"/>
  <c r="O333" i="66"/>
  <c r="O329" i="66"/>
  <c r="O325" i="66"/>
  <c r="O321" i="66"/>
  <c r="O317" i="66"/>
  <c r="O313" i="66"/>
  <c r="O309" i="66"/>
  <c r="O305" i="66"/>
  <c r="O301" i="66"/>
  <c r="O297" i="66"/>
  <c r="O293" i="66"/>
  <c r="O289" i="66"/>
  <c r="O285" i="66"/>
  <c r="O281" i="66"/>
  <c r="O277" i="66"/>
  <c r="O273" i="66"/>
  <c r="O269" i="66"/>
  <c r="O265" i="66"/>
  <c r="O261" i="66"/>
  <c r="O257" i="66"/>
  <c r="O253" i="66"/>
  <c r="O249" i="66"/>
  <c r="O245" i="66"/>
  <c r="O241" i="66"/>
  <c r="O237" i="66"/>
  <c r="O233" i="66"/>
  <c r="O229" i="66"/>
  <c r="O225" i="66"/>
  <c r="O221" i="66"/>
  <c r="O217" i="66"/>
  <c r="O213" i="66"/>
  <c r="O209" i="66"/>
  <c r="O205" i="66"/>
  <c r="O201" i="66"/>
  <c r="O197" i="66"/>
  <c r="O193" i="66"/>
  <c r="O189" i="66"/>
  <c r="O185" i="66"/>
  <c r="O181" i="66"/>
  <c r="O177" i="66"/>
  <c r="O173" i="66"/>
  <c r="O169" i="66"/>
  <c r="O165" i="66"/>
  <c r="O161" i="66"/>
  <c r="O157" i="66"/>
  <c r="O153" i="66"/>
  <c r="O149" i="66"/>
  <c r="O145" i="66"/>
  <c r="O141" i="66"/>
  <c r="O137" i="66"/>
  <c r="O133" i="66"/>
  <c r="O129" i="66"/>
  <c r="O125" i="66"/>
  <c r="O121" i="66"/>
  <c r="O117" i="66"/>
  <c r="O113" i="66"/>
  <c r="O109" i="66"/>
  <c r="O105" i="66"/>
  <c r="O101" i="66"/>
  <c r="O97" i="66"/>
  <c r="O93" i="66"/>
  <c r="O89" i="66"/>
  <c r="O85" i="66"/>
  <c r="O81" i="66"/>
  <c r="O77" i="66"/>
  <c r="O73" i="66"/>
  <c r="O69" i="66"/>
  <c r="O65" i="66"/>
  <c r="O61" i="66"/>
  <c r="O57" i="66"/>
  <c r="O53" i="66"/>
  <c r="O49" i="66"/>
  <c r="O45" i="66"/>
  <c r="O41" i="66"/>
  <c r="O37" i="66"/>
  <c r="O33" i="66"/>
  <c r="O29" i="66"/>
  <c r="O25" i="66"/>
  <c r="O21" i="66"/>
  <c r="O17" i="66"/>
  <c r="O13" i="66"/>
  <c r="O9" i="66"/>
  <c r="O5" i="66"/>
  <c r="N626" i="66"/>
  <c r="N622" i="66"/>
  <c r="N618" i="66"/>
  <c r="N614" i="66"/>
  <c r="N610" i="66"/>
  <c r="N606" i="66"/>
  <c r="N602" i="66"/>
  <c r="N598" i="66"/>
  <c r="N594" i="66"/>
  <c r="N590" i="66"/>
  <c r="N586" i="66"/>
  <c r="N582" i="66"/>
  <c r="N578" i="66"/>
  <c r="N574" i="66"/>
  <c r="N570" i="66"/>
  <c r="N566" i="66"/>
  <c r="N562" i="66"/>
  <c r="N558" i="66"/>
  <c r="N554" i="66"/>
  <c r="N550" i="66"/>
  <c r="N546" i="66"/>
  <c r="N542" i="66"/>
  <c r="N538" i="66"/>
  <c r="N534" i="66"/>
  <c r="N530" i="66"/>
  <c r="N526" i="66"/>
  <c r="N522" i="66"/>
  <c r="N518" i="66"/>
  <c r="N514" i="66"/>
  <c r="N510" i="66"/>
  <c r="N506" i="66"/>
  <c r="N502" i="66"/>
  <c r="N498" i="66"/>
  <c r="N494" i="66"/>
  <c r="N490" i="66"/>
  <c r="N486" i="66"/>
  <c r="N482" i="66"/>
  <c r="N478" i="66"/>
  <c r="N474" i="66"/>
  <c r="N470" i="66"/>
  <c r="N466" i="66"/>
  <c r="N462" i="66"/>
  <c r="N458" i="66"/>
  <c r="N454" i="66"/>
  <c r="N450" i="66"/>
  <c r="N446" i="66"/>
  <c r="N442" i="66"/>
  <c r="N438" i="66"/>
  <c r="N434" i="66"/>
  <c r="N430" i="66"/>
  <c r="N426" i="66"/>
  <c r="N422" i="66"/>
  <c r="N418" i="66"/>
  <c r="N414" i="66"/>
  <c r="N410" i="66"/>
  <c r="N406" i="66"/>
  <c r="N402" i="66"/>
  <c r="N398" i="66"/>
  <c r="N394" i="66"/>
  <c r="N390" i="66"/>
  <c r="N386" i="66"/>
  <c r="N382" i="66"/>
  <c r="N378" i="66"/>
  <c r="N374" i="66"/>
  <c r="N370" i="66"/>
  <c r="N366" i="66"/>
  <c r="N362" i="66"/>
  <c r="N358" i="66"/>
  <c r="N354" i="66"/>
  <c r="N350" i="66"/>
  <c r="N346" i="66"/>
  <c r="N342" i="66"/>
  <c r="N338" i="66"/>
  <c r="N334" i="66"/>
  <c r="N330" i="66"/>
  <c r="N326" i="66"/>
  <c r="N322" i="66"/>
  <c r="N318" i="66"/>
  <c r="N314" i="66"/>
  <c r="N310" i="66"/>
  <c r="N306" i="66"/>
  <c r="N302" i="66"/>
  <c r="N298" i="66"/>
  <c r="N294" i="66"/>
  <c r="N290" i="66"/>
  <c r="N286" i="66"/>
  <c r="N282" i="66"/>
  <c r="N278" i="66"/>
  <c r="N274" i="66"/>
  <c r="N270" i="66"/>
  <c r="N266" i="66"/>
  <c r="N262" i="66"/>
  <c r="N258" i="66"/>
  <c r="N254" i="66"/>
  <c r="N250" i="66"/>
  <c r="N246" i="66"/>
  <c r="N242" i="66"/>
  <c r="N238" i="66"/>
  <c r="N234" i="66"/>
  <c r="N230" i="66"/>
  <c r="N226" i="66"/>
  <c r="N222" i="66"/>
  <c r="N218" i="66"/>
  <c r="N214" i="66"/>
  <c r="N210" i="66"/>
  <c r="O624" i="66"/>
  <c r="O620" i="66"/>
  <c r="O616" i="66"/>
  <c r="O612" i="66"/>
  <c r="O608" i="66"/>
  <c r="O604" i="66"/>
  <c r="O600" i="66"/>
  <c r="O596" i="66"/>
  <c r="O592" i="66"/>
  <c r="O588" i="66"/>
  <c r="O584" i="66"/>
  <c r="O580" i="66"/>
  <c r="O576" i="66"/>
  <c r="O572" i="66"/>
  <c r="O568" i="66"/>
  <c r="O564" i="66"/>
  <c r="O560" i="66"/>
  <c r="O556" i="66"/>
  <c r="O552" i="66"/>
  <c r="O548" i="66"/>
  <c r="O544" i="66"/>
  <c r="O540" i="66"/>
  <c r="O536" i="66"/>
  <c r="O532" i="66"/>
  <c r="O528" i="66"/>
  <c r="O524" i="66"/>
  <c r="O520" i="66"/>
  <c r="O516" i="66"/>
  <c r="O512" i="66"/>
  <c r="O508" i="66"/>
  <c r="O504" i="66"/>
  <c r="O500" i="66"/>
  <c r="O496" i="66"/>
  <c r="O492" i="66"/>
  <c r="O488" i="66"/>
  <c r="O484" i="66"/>
  <c r="O480" i="66"/>
  <c r="O476" i="66"/>
  <c r="O472" i="66"/>
  <c r="O468" i="66"/>
  <c r="O464" i="66"/>
  <c r="O460" i="66"/>
  <c r="O456" i="66"/>
  <c r="O452" i="66"/>
  <c r="O448" i="66"/>
  <c r="O444" i="66"/>
  <c r="O440" i="66"/>
  <c r="O436" i="66"/>
  <c r="O432" i="66"/>
  <c r="O428" i="66"/>
  <c r="O424" i="66"/>
  <c r="O420" i="66"/>
  <c r="O416" i="66"/>
  <c r="O412" i="66"/>
  <c r="O408" i="66"/>
  <c r="O404" i="66"/>
  <c r="O400" i="66"/>
  <c r="O396" i="66"/>
  <c r="O392" i="66"/>
  <c r="O388" i="66"/>
  <c r="O384" i="66"/>
  <c r="O380" i="66"/>
  <c r="O376" i="66"/>
  <c r="O372" i="66"/>
  <c r="O368" i="66"/>
  <c r="O364" i="66"/>
  <c r="O360" i="66"/>
  <c r="O356" i="66"/>
  <c r="O352" i="66"/>
  <c r="O348" i="66"/>
  <c r="O344" i="66"/>
  <c r="O340" i="66"/>
  <c r="O336" i="66"/>
  <c r="O332" i="66"/>
  <c r="O328" i="66"/>
  <c r="O324" i="66"/>
  <c r="O320" i="66"/>
  <c r="O316" i="66"/>
  <c r="O312" i="66"/>
  <c r="O308" i="66"/>
  <c r="O304" i="66"/>
  <c r="O300" i="66"/>
  <c r="O296" i="66"/>
  <c r="O292" i="66"/>
  <c r="O288" i="66"/>
  <c r="O284" i="66"/>
  <c r="O280" i="66"/>
  <c r="O276" i="66"/>
  <c r="O272" i="66"/>
  <c r="O268" i="66"/>
  <c r="O264" i="66"/>
  <c r="O260" i="66"/>
  <c r="O256" i="66"/>
  <c r="O252" i="66"/>
  <c r="O248" i="66"/>
  <c r="O244" i="66"/>
  <c r="O240" i="66"/>
  <c r="O236" i="66"/>
  <c r="O232" i="66"/>
  <c r="O228" i="66"/>
  <c r="O224" i="66"/>
  <c r="O220" i="66"/>
  <c r="O216" i="66"/>
  <c r="O212" i="66"/>
  <c r="O208" i="66"/>
  <c r="O204" i="66"/>
  <c r="O200" i="66"/>
  <c r="O196" i="66"/>
  <c r="O192" i="66"/>
  <c r="O188" i="66"/>
  <c r="O184" i="66"/>
  <c r="O180" i="66"/>
  <c r="O176" i="66"/>
  <c r="O172" i="66"/>
  <c r="O168" i="66"/>
  <c r="O164" i="66"/>
  <c r="O160" i="66"/>
  <c r="O156" i="66"/>
  <c r="O152" i="66"/>
  <c r="O148" i="66"/>
  <c r="O144" i="66"/>
  <c r="O140" i="66"/>
  <c r="O136" i="66"/>
  <c r="O132" i="66"/>
  <c r="O128" i="66"/>
  <c r="O124" i="66"/>
  <c r="O120" i="66"/>
  <c r="O116" i="66"/>
  <c r="O112" i="66"/>
  <c r="O108" i="66"/>
  <c r="O104" i="66"/>
  <c r="O100" i="66"/>
  <c r="O96" i="66"/>
  <c r="O92" i="66"/>
  <c r="O88" i="66"/>
  <c r="O84" i="66"/>
  <c r="O80" i="66"/>
  <c r="O76" i="66"/>
  <c r="O72" i="66"/>
  <c r="O68" i="66"/>
  <c r="O64" i="66"/>
  <c r="O60" i="66"/>
  <c r="O56" i="66"/>
  <c r="O52" i="66"/>
  <c r="O48" i="66"/>
  <c r="O44" i="66"/>
  <c r="O40" i="66"/>
  <c r="O36" i="66"/>
  <c r="O32" i="66"/>
  <c r="O28" i="66"/>
  <c r="O24" i="66"/>
  <c r="O20" i="66"/>
  <c r="O16" i="66"/>
  <c r="O12" i="66"/>
  <c r="O8" i="66"/>
  <c r="O4" i="66"/>
  <c r="N625" i="66"/>
  <c r="N621" i="66"/>
  <c r="N617" i="66"/>
  <c r="N613" i="66"/>
  <c r="N609" i="66"/>
  <c r="N605" i="66"/>
  <c r="N601" i="66"/>
  <c r="N597" i="66"/>
  <c r="N593" i="66"/>
  <c r="N589" i="66"/>
  <c r="N585" i="66"/>
  <c r="N581" i="66"/>
  <c r="N577" i="66"/>
  <c r="N573" i="66"/>
  <c r="N569" i="66"/>
  <c r="N565" i="66"/>
  <c r="N561" i="66"/>
  <c r="N557" i="66"/>
  <c r="N553" i="66"/>
  <c r="N549" i="66"/>
  <c r="N545" i="66"/>
  <c r="N541" i="66"/>
  <c r="N537" i="66"/>
  <c r="N533" i="66"/>
  <c r="N529" i="66"/>
  <c r="N525" i="66"/>
  <c r="N521" i="66"/>
  <c r="N517" i="66"/>
  <c r="N513" i="66"/>
  <c r="N509" i="66"/>
  <c r="N505" i="66"/>
  <c r="N501" i="66"/>
  <c r="N497" i="66"/>
  <c r="N493" i="66"/>
  <c r="N489" i="66"/>
  <c r="N485" i="66"/>
  <c r="N481" i="66"/>
  <c r="N477" i="66"/>
  <c r="N473" i="66"/>
  <c r="N469" i="66"/>
  <c r="N465" i="66"/>
  <c r="N461" i="66"/>
  <c r="N457" i="66"/>
  <c r="N453" i="66"/>
  <c r="N449" i="66"/>
  <c r="N445" i="66"/>
  <c r="N441" i="66"/>
  <c r="N437" i="66"/>
  <c r="N433" i="66"/>
  <c r="N429" i="66"/>
  <c r="N425" i="66"/>
  <c r="N421" i="66"/>
  <c r="N417" i="66"/>
  <c r="N413" i="66"/>
  <c r="N409" i="66"/>
  <c r="N405" i="66"/>
  <c r="N401" i="66"/>
  <c r="N397" i="66"/>
  <c r="N393" i="66"/>
  <c r="N389" i="66"/>
  <c r="N385" i="66"/>
  <c r="N381" i="66"/>
  <c r="N377" i="66"/>
  <c r="N373" i="66"/>
  <c r="N369" i="66"/>
  <c r="N365" i="66"/>
  <c r="N361" i="66"/>
  <c r="N357" i="66"/>
  <c r="N353" i="66"/>
  <c r="N349" i="66"/>
  <c r="N345" i="66"/>
  <c r="N341" i="66"/>
  <c r="N337" i="66"/>
  <c r="N333" i="66"/>
  <c r="N329" i="66"/>
  <c r="N325" i="66"/>
  <c r="N321" i="66"/>
  <c r="N317" i="66"/>
  <c r="N313" i="66"/>
  <c r="N309" i="66"/>
  <c r="N305" i="66"/>
  <c r="N301" i="66"/>
  <c r="N297" i="66"/>
  <c r="N293" i="66"/>
  <c r="N289" i="66"/>
  <c r="N285" i="66"/>
  <c r="N281" i="66"/>
  <c r="N277" i="66"/>
  <c r="N273" i="66"/>
  <c r="N269" i="66"/>
  <c r="N265" i="66"/>
  <c r="N261" i="66"/>
  <c r="N257" i="66"/>
  <c r="N253" i="66"/>
  <c r="N249" i="66"/>
  <c r="N245" i="66"/>
  <c r="N241" i="66"/>
  <c r="N237" i="66"/>
  <c r="N233" i="66"/>
  <c r="N229" i="66"/>
  <c r="N225" i="66"/>
  <c r="N221" i="66"/>
  <c r="N217" i="66"/>
  <c r="N213" i="66"/>
  <c r="N209" i="66"/>
  <c r="N205" i="66"/>
  <c r="N201" i="66"/>
  <c r="N197" i="66"/>
  <c r="N193" i="66"/>
  <c r="N189" i="66"/>
  <c r="N185" i="66"/>
  <c r="N181" i="66"/>
  <c r="N177" i="66"/>
  <c r="N173" i="66"/>
  <c r="N169" i="66"/>
  <c r="N165" i="66"/>
  <c r="N161" i="66"/>
  <c r="N157" i="66"/>
  <c r="N153" i="66"/>
  <c r="N149" i="66"/>
  <c r="N145" i="66"/>
  <c r="N141" i="66"/>
  <c r="N137" i="66"/>
  <c r="N133" i="66"/>
  <c r="N129" i="66"/>
  <c r="N125" i="66"/>
  <c r="N121" i="66"/>
  <c r="N117" i="66"/>
  <c r="N113" i="66"/>
  <c r="N109" i="66"/>
  <c r="N105" i="66"/>
  <c r="N101" i="66"/>
  <c r="N97" i="66"/>
  <c r="N93" i="66"/>
  <c r="N89" i="66"/>
  <c r="N85" i="66"/>
  <c r="N81" i="66"/>
  <c r="N77" i="66"/>
  <c r="N73" i="66"/>
  <c r="N69" i="66"/>
  <c r="N65" i="66"/>
  <c r="N61" i="66"/>
  <c r="N57" i="66"/>
  <c r="N53" i="66"/>
  <c r="N49" i="66"/>
  <c r="N45" i="66"/>
  <c r="N41" i="66"/>
  <c r="N37" i="66"/>
  <c r="N33" i="66"/>
  <c r="N29" i="66"/>
  <c r="N25" i="66"/>
  <c r="N21" i="66"/>
  <c r="N17" i="66"/>
  <c r="N13" i="66"/>
  <c r="N9" i="66"/>
  <c r="N5" i="66"/>
  <c r="N215" i="66"/>
  <c r="N203" i="66"/>
  <c r="N195" i="66"/>
  <c r="N187" i="66"/>
  <c r="N179" i="66"/>
  <c r="N171" i="66"/>
  <c r="N163" i="66"/>
  <c r="N155" i="66"/>
  <c r="N147" i="66"/>
  <c r="N139" i="66"/>
  <c r="N131" i="66"/>
  <c r="N123" i="66"/>
  <c r="N115" i="66"/>
  <c r="N107" i="66"/>
  <c r="N100" i="66"/>
  <c r="N95" i="66"/>
  <c r="N90" i="66"/>
  <c r="N84" i="66"/>
  <c r="N79" i="66"/>
  <c r="N74" i="66"/>
  <c r="N68" i="66"/>
  <c r="N63" i="66"/>
  <c r="N58" i="66"/>
  <c r="N52" i="66"/>
  <c r="N47" i="66"/>
  <c r="N42" i="66"/>
  <c r="N36" i="66"/>
  <c r="N31" i="66"/>
  <c r="N26" i="66"/>
  <c r="N20" i="66"/>
  <c r="N15" i="66"/>
  <c r="N10" i="66"/>
  <c r="N4" i="66"/>
  <c r="D625" i="66"/>
  <c r="D623" i="66"/>
  <c r="D620" i="66"/>
  <c r="D613" i="66"/>
  <c r="D606" i="66"/>
  <c r="D599" i="66"/>
  <c r="D597" i="66"/>
  <c r="D595" i="66"/>
  <c r="D592" i="66"/>
  <c r="D590" i="66"/>
  <c r="D588" i="66"/>
  <c r="D586" i="66"/>
  <c r="D583" i="66"/>
  <c r="D581" i="66"/>
  <c r="D578" i="66"/>
  <c r="D575" i="66"/>
  <c r="D573" i="66"/>
  <c r="D570" i="66"/>
  <c r="D562" i="66"/>
  <c r="D560" i="66"/>
  <c r="D558" i="66"/>
  <c r="D556" i="66"/>
  <c r="D552" i="66"/>
  <c r="D547" i="66"/>
  <c r="D544" i="66"/>
  <c r="D542" i="66"/>
  <c r="D539" i="66"/>
  <c r="D537" i="66"/>
  <c r="D534" i="66"/>
  <c r="D532" i="66"/>
  <c r="D530" i="66"/>
  <c r="D528" i="66"/>
  <c r="D526" i="66"/>
  <c r="D524" i="66"/>
  <c r="D510" i="66"/>
  <c r="D502" i="66"/>
  <c r="N211" i="66"/>
  <c r="N202" i="66"/>
  <c r="N194" i="66"/>
  <c r="N186" i="66"/>
  <c r="N178" i="66"/>
  <c r="N170" i="66"/>
  <c r="N162" i="66"/>
  <c r="N154" i="66"/>
  <c r="N146" i="66"/>
  <c r="N138" i="66"/>
  <c r="N130" i="66"/>
  <c r="N122" i="66"/>
  <c r="N114" i="66"/>
  <c r="N106" i="66"/>
  <c r="N99" i="66"/>
  <c r="N94" i="66"/>
  <c r="N88" i="66"/>
  <c r="N83" i="66"/>
  <c r="N78" i="66"/>
  <c r="N72" i="66"/>
  <c r="N67" i="66"/>
  <c r="N62" i="66"/>
  <c r="N56" i="66"/>
  <c r="N51" i="66"/>
  <c r="N46" i="66"/>
  <c r="N40" i="66"/>
  <c r="N35" i="66"/>
  <c r="N30" i="66"/>
  <c r="N24" i="66"/>
  <c r="N19" i="66"/>
  <c r="N14" i="66"/>
  <c r="N8" i="66"/>
  <c r="N3" i="66"/>
  <c r="D621" i="66"/>
  <c r="D618" i="66"/>
  <c r="D616" i="66"/>
  <c r="D611" i="66"/>
  <c r="D609" i="66"/>
  <c r="D607" i="66"/>
  <c r="D604" i="66"/>
  <c r="D602" i="66"/>
  <c r="D593" i="66"/>
  <c r="D579" i="66"/>
  <c r="D571" i="66"/>
  <c r="D568" i="66"/>
  <c r="D566" i="66"/>
  <c r="D563" i="66"/>
  <c r="D553" i="66"/>
  <c r="D550" i="66"/>
  <c r="D548" i="66"/>
  <c r="D540" i="66"/>
  <c r="D535" i="66"/>
  <c r="D522" i="66"/>
  <c r="D520" i="66"/>
  <c r="D518" i="66"/>
  <c r="D516" i="66"/>
  <c r="D513" i="66"/>
  <c r="D511" i="66"/>
  <c r="D508" i="66"/>
  <c r="D505" i="66"/>
  <c r="D503" i="66"/>
  <c r="N207" i="66"/>
  <c r="N199" i="66"/>
  <c r="N191" i="66"/>
  <c r="N183" i="66"/>
  <c r="N175" i="66"/>
  <c r="N167" i="66"/>
  <c r="N159" i="66"/>
  <c r="N151" i="66"/>
  <c r="N143" i="66"/>
  <c r="N135" i="66"/>
  <c r="N127" i="66"/>
  <c r="N119" i="66"/>
  <c r="N111" i="66"/>
  <c r="N103" i="66"/>
  <c r="N98" i="66"/>
  <c r="N92" i="66"/>
  <c r="N87" i="66"/>
  <c r="N82" i="66"/>
  <c r="N76" i="66"/>
  <c r="N71" i="66"/>
  <c r="N66" i="66"/>
  <c r="N60" i="66"/>
  <c r="N55" i="66"/>
  <c r="N50" i="66"/>
  <c r="N44" i="66"/>
  <c r="N39" i="66"/>
  <c r="N34" i="66"/>
  <c r="N28" i="66"/>
  <c r="N23" i="66"/>
  <c r="N18" i="66"/>
  <c r="N12" i="66"/>
  <c r="N7" i="66"/>
  <c r="N2" i="66"/>
  <c r="D626" i="66"/>
  <c r="D624" i="66"/>
  <c r="D614" i="66"/>
  <c r="D612" i="66"/>
  <c r="D600" i="66"/>
  <c r="D598" i="66"/>
  <c r="D596" i="66"/>
  <c r="D594" i="66"/>
  <c r="D591" i="66"/>
  <c r="D589" i="66"/>
  <c r="D587" i="66"/>
  <c r="D584" i="66"/>
  <c r="D582" i="66"/>
  <c r="D580" i="66"/>
  <c r="D576" i="66"/>
  <c r="D574" i="66"/>
  <c r="D572" i="66"/>
  <c r="D564" i="66"/>
  <c r="D561" i="66"/>
  <c r="D559" i="66"/>
  <c r="D557" i="66"/>
  <c r="D554" i="66"/>
  <c r="D551" i="66"/>
  <c r="D545" i="66"/>
  <c r="D543" i="66"/>
  <c r="D541" i="66"/>
  <c r="D538" i="66"/>
  <c r="D536" i="66"/>
  <c r="D533" i="66"/>
  <c r="D531" i="66"/>
  <c r="D529" i="66"/>
  <c r="D527" i="66"/>
  <c r="D525" i="66"/>
  <c r="D514" i="66"/>
  <c r="D506" i="66"/>
  <c r="N206" i="66"/>
  <c r="N198" i="66"/>
  <c r="N190" i="66"/>
  <c r="N182" i="66"/>
  <c r="N174" i="66"/>
  <c r="N166" i="66"/>
  <c r="N158" i="66"/>
  <c r="N150" i="66"/>
  <c r="N142" i="66"/>
  <c r="N134" i="66"/>
  <c r="N126" i="66"/>
  <c r="N118" i="66"/>
  <c r="N110" i="66"/>
  <c r="N102" i="66"/>
  <c r="N96" i="66"/>
  <c r="N91" i="66"/>
  <c r="N86" i="66"/>
  <c r="N80" i="66"/>
  <c r="N75" i="66"/>
  <c r="N70" i="66"/>
  <c r="N64" i="66"/>
  <c r="N59" i="66"/>
  <c r="N54" i="66"/>
  <c r="N48" i="66"/>
  <c r="N43" i="66"/>
  <c r="N38" i="66"/>
  <c r="N32" i="66"/>
  <c r="N27" i="66"/>
  <c r="N22" i="66"/>
  <c r="N16" i="66"/>
  <c r="N11" i="66"/>
  <c r="N6" i="66"/>
  <c r="D622" i="66"/>
  <c r="D619" i="66"/>
  <c r="D617" i="66"/>
  <c r="D615" i="66"/>
  <c r="D610" i="66"/>
  <c r="D608" i="66"/>
  <c r="D605" i="66"/>
  <c r="D603" i="66"/>
  <c r="D601" i="66"/>
  <c r="D585" i="66"/>
  <c r="D577" i="66"/>
  <c r="D569" i="66"/>
  <c r="D567" i="66"/>
  <c r="D565" i="66"/>
  <c r="D555" i="66"/>
  <c r="D549" i="66"/>
  <c r="D546" i="66"/>
  <c r="D523" i="66"/>
  <c r="D521" i="66"/>
  <c r="D519" i="66"/>
  <c r="D517" i="66"/>
  <c r="D515" i="66"/>
  <c r="D512" i="66"/>
  <c r="D509" i="66"/>
  <c r="D507" i="66"/>
  <c r="D504" i="66"/>
  <c r="S4" i="22"/>
  <c r="BG2" i="1"/>
  <c r="BG2" i="2"/>
  <c r="S2" i="3"/>
  <c r="S2" i="4"/>
  <c r="S2" i="5"/>
  <c r="S2" i="6"/>
  <c r="BG4" i="7"/>
  <c r="BG4" i="8"/>
  <c r="BG4" i="9"/>
  <c r="BG4" i="10"/>
  <c r="S4" i="11"/>
  <c r="S4" i="12"/>
  <c r="S4" i="13"/>
  <c r="S4" i="14"/>
  <c r="BG2" i="15"/>
  <c r="BG2" i="16"/>
  <c r="BG2" i="17"/>
  <c r="BG2" i="18"/>
  <c r="S2" i="19"/>
  <c r="S2" i="20"/>
  <c r="S2" i="21"/>
  <c r="S2" i="22"/>
  <c r="BG4" i="23"/>
  <c r="BG4" i="24"/>
  <c r="BG4" i="25"/>
  <c r="S4" i="1"/>
  <c r="S4" i="2"/>
  <c r="BG2" i="3"/>
  <c r="BG2" i="4"/>
  <c r="BG2" i="5"/>
  <c r="BG2" i="6"/>
  <c r="S2" i="7"/>
  <c r="S2" i="8"/>
  <c r="S2" i="9"/>
  <c r="S2" i="10"/>
  <c r="BG4" i="11"/>
  <c r="BG4" i="12"/>
  <c r="BG4" i="13"/>
  <c r="BG4" i="14"/>
  <c r="S4" i="15"/>
  <c r="S4" i="16"/>
  <c r="S4" i="17"/>
  <c r="S4" i="18"/>
  <c r="BG2" i="19"/>
  <c r="BG2" i="20"/>
  <c r="BG2" i="21"/>
  <c r="BG2" i="22"/>
  <c r="S2" i="23"/>
  <c r="S2" i="24"/>
  <c r="S2" i="25"/>
  <c r="FX125" i="61"/>
  <c r="GB125" i="61"/>
  <c r="BG4" i="1"/>
  <c r="BG4" i="2"/>
  <c r="S4" i="3"/>
  <c r="S4" i="4"/>
  <c r="S4" i="5"/>
  <c r="S4" i="6"/>
  <c r="BG2" i="7"/>
  <c r="BG2" i="8"/>
  <c r="BG2" i="9"/>
  <c r="BG2" i="10"/>
  <c r="S2" i="11"/>
  <c r="S2" i="12"/>
  <c r="S2" i="13"/>
  <c r="S2" i="14"/>
  <c r="BG4" i="15"/>
  <c r="BG4" i="16"/>
  <c r="BG4" i="17"/>
  <c r="BG4" i="18"/>
  <c r="S4" i="19"/>
  <c r="S4" i="20"/>
  <c r="S4" i="21"/>
  <c r="BG2" i="23"/>
  <c r="BG2" i="24"/>
  <c r="FY125" i="61"/>
  <c r="BG6" i="2"/>
  <c r="BG6" i="10"/>
  <c r="BG6" i="18"/>
  <c r="S6" i="6"/>
  <c r="S6" i="14"/>
  <c r="S6" i="22"/>
  <c r="S6" i="4"/>
  <c r="S6" i="8"/>
  <c r="S6" i="12"/>
  <c r="S6" i="16"/>
  <c r="S6" i="20"/>
  <c r="S6" i="24"/>
  <c r="BG6" i="4"/>
  <c r="BG6" i="8"/>
  <c r="BG6" i="12"/>
  <c r="BG6" i="16"/>
  <c r="BG6" i="20"/>
  <c r="BG6" i="24"/>
  <c r="B34" i="61"/>
  <c r="A11" i="64"/>
  <c r="S6" i="7"/>
  <c r="S6" i="9"/>
  <c r="S6" i="11"/>
  <c r="S6" i="13"/>
  <c r="S6" i="15"/>
  <c r="S6" i="17"/>
  <c r="S6" i="19"/>
  <c r="S6" i="21"/>
  <c r="S6" i="23"/>
  <c r="S6" i="25"/>
  <c r="S6" i="1"/>
  <c r="S6" i="3"/>
  <c r="S6" i="5"/>
  <c r="BG6" i="1"/>
  <c r="BG6" i="3"/>
  <c r="BG6" i="5"/>
  <c r="BG6" i="7"/>
  <c r="BG6" i="9"/>
  <c r="BG6" i="11"/>
  <c r="BG6" i="13"/>
  <c r="BG6" i="15"/>
  <c r="BG6" i="17"/>
  <c r="BG6" i="19"/>
  <c r="BG6" i="21"/>
  <c r="BG6" i="23"/>
  <c r="BG6" i="25"/>
  <c r="CD72" i="61"/>
  <c r="CE69" i="61"/>
  <c r="R1" i="55"/>
  <c r="CI4" i="61"/>
  <c r="BG3" i="53"/>
  <c r="BG7" i="53"/>
  <c r="S3" i="53"/>
  <c r="S7" i="53"/>
  <c r="BG5" i="53"/>
  <c r="B32" i="61"/>
  <c r="B36" i="61"/>
  <c r="S5" i="53"/>
  <c r="B35" i="61"/>
  <c r="Z2" i="61"/>
  <c r="I5" i="61"/>
  <c r="S7" i="61"/>
  <c r="B10" i="61"/>
  <c r="E1" i="61"/>
  <c r="AH1" i="61" s="1"/>
  <c r="AH2" i="61" s="1"/>
  <c r="FG125" i="61" s="1"/>
  <c r="O3" i="61"/>
  <c r="Y5" i="61"/>
  <c r="H8" i="61"/>
  <c r="R10" i="61"/>
  <c r="U1" i="61"/>
  <c r="AX1" i="61" s="1"/>
  <c r="AX2" i="61" s="1"/>
  <c r="FW125" i="61" s="1"/>
  <c r="D4" i="61"/>
  <c r="N6" i="61"/>
  <c r="X8" i="61"/>
  <c r="J2" i="61"/>
  <c r="T4" i="61"/>
  <c r="C7" i="61"/>
  <c r="M9" i="61"/>
  <c r="G11" i="61"/>
  <c r="W11" i="61"/>
  <c r="L12" i="61"/>
  <c r="A13" i="61"/>
  <c r="AD14" i="61" s="1"/>
  <c r="Q13" i="61"/>
  <c r="F14" i="61"/>
  <c r="V14" i="61"/>
  <c r="K15" i="61"/>
  <c r="AA15" i="61"/>
  <c r="P16" i="61"/>
  <c r="E17" i="61"/>
  <c r="U17" i="61"/>
  <c r="J18" i="61"/>
  <c r="Z18" i="61"/>
  <c r="O19" i="61"/>
  <c r="D20" i="61"/>
  <c r="T20" i="61"/>
  <c r="I21" i="61"/>
  <c r="Y21" i="61"/>
  <c r="N22" i="61"/>
  <c r="C23" i="61"/>
  <c r="S23" i="61"/>
  <c r="H24" i="61"/>
  <c r="X24" i="61"/>
  <c r="M25" i="61"/>
  <c r="B26" i="61"/>
  <c r="R26" i="61"/>
  <c r="G27" i="61"/>
  <c r="W27" i="61"/>
  <c r="I1" i="61"/>
  <c r="AL1" i="61" s="1"/>
  <c r="AL2" i="61" s="1"/>
  <c r="FK125" i="61" s="1"/>
  <c r="Y1" i="61"/>
  <c r="N2" i="61"/>
  <c r="C3" i="61"/>
  <c r="S3" i="61"/>
  <c r="H4" i="61"/>
  <c r="X4" i="61"/>
  <c r="M5" i="61"/>
  <c r="B6" i="61"/>
  <c r="R6" i="61"/>
  <c r="G7" i="61"/>
  <c r="W7" i="61"/>
  <c r="L8" i="61"/>
  <c r="A9" i="61"/>
  <c r="AD10" i="61" s="1"/>
  <c r="DB69" i="61" s="1"/>
  <c r="Q9" i="61"/>
  <c r="F10" i="61"/>
  <c r="V10" i="61"/>
  <c r="K11" i="61"/>
  <c r="AA11" i="61"/>
  <c r="P12" i="61"/>
  <c r="E13" i="61"/>
  <c r="U13" i="61"/>
  <c r="J14" i="61"/>
  <c r="Z14" i="61"/>
  <c r="O15" i="61"/>
  <c r="D16" i="61"/>
  <c r="T16" i="61"/>
  <c r="I17" i="61"/>
  <c r="Y17" i="61"/>
  <c r="N18" i="61"/>
  <c r="C19" i="61"/>
  <c r="S19" i="61"/>
  <c r="H20" i="61"/>
  <c r="X20" i="61"/>
  <c r="M21" i="61"/>
  <c r="B22" i="61"/>
  <c r="R22" i="61"/>
  <c r="G23" i="61"/>
  <c r="W23" i="61"/>
  <c r="L24" i="61"/>
  <c r="A25" i="61"/>
  <c r="AD26" i="61" s="1"/>
  <c r="Q25" i="61"/>
  <c r="F26" i="61"/>
  <c r="V26" i="61"/>
  <c r="K27" i="61"/>
  <c r="AA27" i="61"/>
  <c r="M1" i="61"/>
  <c r="AP1" i="61" s="1"/>
  <c r="AP2" i="61" s="1"/>
  <c r="FO125" i="61" s="1"/>
  <c r="B2" i="61"/>
  <c r="R2" i="61"/>
  <c r="G3" i="61"/>
  <c r="W3" i="61"/>
  <c r="L4" i="61"/>
  <c r="A5" i="61"/>
  <c r="AD6" i="61" s="1"/>
  <c r="Q5" i="61"/>
  <c r="F6" i="61"/>
  <c r="V6" i="61"/>
  <c r="K7" i="61"/>
  <c r="AA7" i="61"/>
  <c r="P8" i="61"/>
  <c r="E9" i="61"/>
  <c r="U9" i="61"/>
  <c r="J10" i="61"/>
  <c r="Z10" i="61"/>
  <c r="O11" i="61"/>
  <c r="D12" i="61"/>
  <c r="T12" i="61"/>
  <c r="I13" i="61"/>
  <c r="Y13" i="61"/>
  <c r="N14" i="61"/>
  <c r="C15" i="61"/>
  <c r="S15" i="61"/>
  <c r="H16" i="61"/>
  <c r="X16" i="61"/>
  <c r="M17" i="61"/>
  <c r="B18" i="61"/>
  <c r="R18" i="61"/>
  <c r="G19" i="61"/>
  <c r="W19" i="61"/>
  <c r="L20" i="61"/>
  <c r="A21" i="61"/>
  <c r="AD22" i="61" s="1"/>
  <c r="Q21" i="61"/>
  <c r="F22" i="61"/>
  <c r="V22" i="61"/>
  <c r="K23" i="61"/>
  <c r="AA23" i="61"/>
  <c r="P24" i="61"/>
  <c r="E25" i="61"/>
  <c r="U25" i="61"/>
  <c r="J26" i="61"/>
  <c r="Z26" i="61"/>
  <c r="O27" i="61"/>
  <c r="A1" i="61"/>
  <c r="Q1" i="61"/>
  <c r="AT1" i="61" s="1"/>
  <c r="F2" i="61"/>
  <c r="V2" i="61"/>
  <c r="K3" i="61"/>
  <c r="AA3" i="61"/>
  <c r="P4" i="61"/>
  <c r="E5" i="61"/>
  <c r="U5" i="61"/>
  <c r="J6" i="61"/>
  <c r="Z6" i="61"/>
  <c r="O7" i="61"/>
  <c r="D8" i="61"/>
  <c r="T8" i="61"/>
  <c r="I9" i="61"/>
  <c r="Y9" i="61"/>
  <c r="N10" i="61"/>
  <c r="C11" i="61"/>
  <c r="S11" i="61"/>
  <c r="H12" i="61"/>
  <c r="X12" i="61"/>
  <c r="M13" i="61"/>
  <c r="B14" i="61"/>
  <c r="R14" i="61"/>
  <c r="G15" i="61"/>
  <c r="W15" i="61"/>
  <c r="L16" i="61"/>
  <c r="A17" i="61"/>
  <c r="AD18" i="61" s="1"/>
  <c r="Q17" i="61"/>
  <c r="F18" i="61"/>
  <c r="V18" i="61"/>
  <c r="K19" i="61"/>
  <c r="AA19" i="61"/>
  <c r="P20" i="61"/>
  <c r="E21" i="61"/>
  <c r="U21" i="61"/>
  <c r="J22" i="61"/>
  <c r="Z22" i="61"/>
  <c r="O23" i="61"/>
  <c r="D24" i="61"/>
  <c r="T24" i="61"/>
  <c r="I25" i="61"/>
  <c r="Y25" i="61"/>
  <c r="N26" i="61"/>
  <c r="C27" i="61"/>
  <c r="S27" i="61"/>
  <c r="R17" i="60"/>
  <c r="B28" i="49"/>
  <c r="B28" i="48"/>
  <c r="B28" i="46"/>
  <c r="B28" i="39"/>
  <c r="B28" i="38"/>
  <c r="B28" i="34"/>
  <c r="B28" i="47"/>
  <c r="B28" i="45"/>
  <c r="B28" i="40"/>
  <c r="B28" i="30"/>
  <c r="B28" i="27"/>
  <c r="B28" i="59"/>
  <c r="Z2" i="56"/>
  <c r="AE186" i="61" s="1"/>
  <c r="AC210" i="61" s="1"/>
  <c r="B28" i="44"/>
  <c r="B28" i="37"/>
  <c r="B28" i="36"/>
  <c r="B28" i="32"/>
  <c r="B28" i="29"/>
  <c r="B28" i="28"/>
  <c r="B28" i="50"/>
  <c r="B28" i="43"/>
  <c r="B28" i="42"/>
  <c r="B28" i="41"/>
  <c r="B28" i="35"/>
  <c r="B28" i="33"/>
  <c r="B28" i="31"/>
  <c r="B28" i="26"/>
  <c r="B1" i="1"/>
  <c r="I57" i="1" s="1"/>
  <c r="R18" i="60"/>
  <c r="B25" i="48"/>
  <c r="B25" i="45"/>
  <c r="B25" i="43"/>
  <c r="B25" i="35"/>
  <c r="B25" i="31"/>
  <c r="B25" i="50"/>
  <c r="B25" i="42"/>
  <c r="B25" i="40"/>
  <c r="B25" i="39"/>
  <c r="B25" i="37"/>
  <c r="B25" i="29"/>
  <c r="B25" i="26"/>
  <c r="B25" i="47"/>
  <c r="B25" i="46"/>
  <c r="B25" i="44"/>
  <c r="B25" i="41"/>
  <c r="B25" i="38"/>
  <c r="B25" i="36"/>
  <c r="B25" i="34"/>
  <c r="B25" i="33"/>
  <c r="B25" i="32"/>
  <c r="B25" i="28"/>
  <c r="B25" i="27"/>
  <c r="B25" i="59"/>
  <c r="W2" i="56"/>
  <c r="AB186" i="61" s="1"/>
  <c r="Z210" i="61" s="1"/>
  <c r="B25" i="49"/>
  <c r="B25" i="30"/>
  <c r="B1" i="4"/>
  <c r="I38" i="4" s="1"/>
  <c r="V2" i="56"/>
  <c r="AA186" i="61" s="1"/>
  <c r="Y210" i="61" s="1"/>
  <c r="B24" i="47"/>
  <c r="B24" i="46"/>
  <c r="B24" i="44"/>
  <c r="B24" i="41"/>
  <c r="B24" i="38"/>
  <c r="B24" i="36"/>
  <c r="B24" i="34"/>
  <c r="B24" i="33"/>
  <c r="B24" i="32"/>
  <c r="B24" i="28"/>
  <c r="B24" i="27"/>
  <c r="B1" i="5"/>
  <c r="BG15" i="5" s="1"/>
  <c r="B24" i="59"/>
  <c r="B24" i="49"/>
  <c r="B24" i="30"/>
  <c r="B24" i="48"/>
  <c r="B24" i="45"/>
  <c r="B24" i="43"/>
  <c r="B24" i="35"/>
  <c r="B24" i="31"/>
  <c r="B24" i="50"/>
  <c r="B24" i="42"/>
  <c r="B24" i="40"/>
  <c r="B24" i="39"/>
  <c r="B24" i="37"/>
  <c r="B24" i="29"/>
  <c r="B24" i="26"/>
  <c r="CK4" i="61"/>
  <c r="CG4" i="61" s="1"/>
  <c r="A39" i="26"/>
  <c r="AC48" i="26"/>
  <c r="AC44" i="26"/>
  <c r="O51" i="26"/>
  <c r="A51" i="26"/>
  <c r="AC44" i="27"/>
  <c r="AC48" i="27"/>
  <c r="A56" i="27"/>
  <c r="A52" i="27"/>
  <c r="AC44" i="28"/>
  <c r="AC48" i="28"/>
  <c r="O44" i="29"/>
  <c r="O43" i="31"/>
  <c r="AC44" i="32"/>
  <c r="AC48" i="32"/>
  <c r="A52" i="32"/>
  <c r="A56" i="32"/>
  <c r="A43" i="26"/>
  <c r="A47" i="26"/>
  <c r="A44" i="28"/>
  <c r="A56" i="29"/>
  <c r="A52" i="29"/>
  <c r="A44" i="31"/>
  <c r="A49" i="32"/>
  <c r="O38" i="26"/>
  <c r="O43" i="27"/>
  <c r="A56" i="28"/>
  <c r="A52" i="28"/>
  <c r="O39" i="29"/>
  <c r="O51" i="29"/>
  <c r="O47" i="29"/>
  <c r="AC48" i="30"/>
  <c r="AC44" i="30"/>
  <c r="AC44" i="31"/>
  <c r="AC48" i="31"/>
  <c r="A56" i="31"/>
  <c r="A52" i="31"/>
  <c r="A44" i="32"/>
  <c r="O43" i="26"/>
  <c r="O47" i="26"/>
  <c r="A44" i="27"/>
  <c r="A44" i="29"/>
  <c r="O47" i="30"/>
  <c r="O51" i="30"/>
  <c r="AC39" i="26"/>
  <c r="O42" i="28"/>
  <c r="A47" i="28"/>
  <c r="AC39" i="30"/>
  <c r="O43" i="32"/>
  <c r="AC44" i="33"/>
  <c r="AC48" i="33"/>
  <c r="A56" i="33"/>
  <c r="A52" i="33"/>
  <c r="AC44" i="34"/>
  <c r="AC48" i="34"/>
  <c r="A44" i="35"/>
  <c r="O47" i="36"/>
  <c r="O51" i="36"/>
  <c r="O39" i="27"/>
  <c r="O46" i="27"/>
  <c r="A47" i="29"/>
  <c r="O38" i="30"/>
  <c r="O43" i="30"/>
  <c r="O39" i="31"/>
  <c r="O46" i="31"/>
  <c r="O71" i="32"/>
  <c r="O47" i="32"/>
  <c r="O52" i="32"/>
  <c r="O57" i="32"/>
  <c r="A44" i="34"/>
  <c r="O44" i="35"/>
  <c r="O40" i="28"/>
  <c r="O46" i="28"/>
  <c r="AC43" i="29"/>
  <c r="A43" i="30"/>
  <c r="A47" i="30"/>
  <c r="A51" i="30"/>
  <c r="O62" i="32"/>
  <c r="O43" i="33"/>
  <c r="A56" i="34"/>
  <c r="A52" i="34"/>
  <c r="A56" i="35"/>
  <c r="A52" i="35"/>
  <c r="A47" i="27"/>
  <c r="A47" i="31"/>
  <c r="AC39" i="32"/>
  <c r="O67" i="32"/>
  <c r="A44" i="33"/>
  <c r="O39" i="35"/>
  <c r="O51" i="35"/>
  <c r="O47" i="35"/>
  <c r="AC48" i="36"/>
  <c r="AC44" i="36"/>
  <c r="O42" i="34"/>
  <c r="A47" i="34"/>
  <c r="AC39" i="36"/>
  <c r="AC44" i="37"/>
  <c r="AC48" i="37"/>
  <c r="AC48" i="39"/>
  <c r="AC44" i="39"/>
  <c r="O39" i="33"/>
  <c r="O46" i="33"/>
  <c r="A47" i="35"/>
  <c r="O38" i="36"/>
  <c r="O43" i="36"/>
  <c r="O45" i="38"/>
  <c r="O40" i="34"/>
  <c r="O46" i="34"/>
  <c r="AC43" i="35"/>
  <c r="A43" i="36"/>
  <c r="A47" i="36"/>
  <c r="A51" i="36"/>
  <c r="O39" i="37"/>
  <c r="O51" i="38"/>
  <c r="O47" i="38"/>
  <c r="A56" i="38"/>
  <c r="A52" i="38"/>
  <c r="A47" i="33"/>
  <c r="O40" i="38"/>
  <c r="A44" i="38"/>
  <c r="O42" i="37"/>
  <c r="A43" i="37"/>
  <c r="A47" i="37"/>
  <c r="A51" i="37"/>
  <c r="O46" i="39"/>
  <c r="O42" i="40"/>
  <c r="A44" i="42"/>
  <c r="A47" i="38"/>
  <c r="O38" i="39"/>
  <c r="O43" i="39"/>
  <c r="A44" i="40"/>
  <c r="A56" i="40"/>
  <c r="A52" i="40"/>
  <c r="AC49" i="40"/>
  <c r="O39" i="41"/>
  <c r="O51" i="41"/>
  <c r="O47" i="41"/>
  <c r="AC48" i="42"/>
  <c r="AC44" i="42"/>
  <c r="O46" i="37"/>
  <c r="AC43" i="38"/>
  <c r="A43" i="39"/>
  <c r="A47" i="39"/>
  <c r="A51" i="39"/>
  <c r="O46" i="40"/>
  <c r="A44" i="41"/>
  <c r="AC54" i="40"/>
  <c r="AC58" i="40"/>
  <c r="A56" i="41"/>
  <c r="A52" i="41"/>
  <c r="O47" i="42"/>
  <c r="O51" i="42"/>
  <c r="A56" i="42"/>
  <c r="A52" i="42"/>
  <c r="A47" i="40"/>
  <c r="O39" i="42"/>
  <c r="AC39" i="42"/>
  <c r="O44" i="42"/>
  <c r="A51" i="43"/>
  <c r="A56" i="44"/>
  <c r="A52" i="44"/>
  <c r="A48" i="46"/>
  <c r="O42" i="41"/>
  <c r="A47" i="41"/>
  <c r="O46" i="43"/>
  <c r="AC89" i="43"/>
  <c r="AC94" i="43"/>
  <c r="AC99" i="43"/>
  <c r="AC104" i="43"/>
  <c r="AC109" i="43"/>
  <c r="AC114" i="43"/>
  <c r="AC119" i="43"/>
  <c r="AC44" i="45"/>
  <c r="AC48" i="45"/>
  <c r="O44" i="45"/>
  <c r="AC43" i="41"/>
  <c r="A47" i="42"/>
  <c r="AC128" i="43"/>
  <c r="AC124" i="43"/>
  <c r="O42" i="43"/>
  <c r="A43" i="43"/>
  <c r="A48" i="43"/>
  <c r="O43" i="44"/>
  <c r="O38" i="43"/>
  <c r="A39" i="43"/>
  <c r="AC54" i="43"/>
  <c r="AC59" i="43"/>
  <c r="AC64" i="43"/>
  <c r="AC69" i="43"/>
  <c r="AC74" i="43"/>
  <c r="AC79" i="43"/>
  <c r="AC84" i="43"/>
  <c r="A44" i="44"/>
  <c r="O39" i="45"/>
  <c r="AC43" i="44"/>
  <c r="A43" i="45"/>
  <c r="A47" i="45"/>
  <c r="A51" i="45"/>
  <c r="O46" i="46"/>
  <c r="O51" i="47"/>
  <c r="O47" i="47"/>
  <c r="O39" i="44"/>
  <c r="O46" i="44"/>
  <c r="AC64" i="46"/>
  <c r="AC68" i="46"/>
  <c r="O42" i="46"/>
  <c r="A43" i="46"/>
  <c r="O39" i="47"/>
  <c r="O46" i="45"/>
  <c r="O38" i="46"/>
  <c r="A39" i="46"/>
  <c r="A44" i="47"/>
  <c r="A56" i="47"/>
  <c r="A52" i="47"/>
  <c r="A47" i="44"/>
  <c r="A51" i="46"/>
  <c r="O42" i="47"/>
  <c r="A47" i="47"/>
  <c r="O39" i="49"/>
  <c r="O43" i="49"/>
  <c r="AC43" i="47"/>
  <c r="AC48" i="48"/>
  <c r="AC44" i="48"/>
  <c r="A44" i="49"/>
  <c r="O47" i="48"/>
  <c r="O51" i="48"/>
  <c r="AC44" i="49"/>
  <c r="AC48" i="49"/>
  <c r="A56" i="49"/>
  <c r="A52" i="49"/>
  <c r="AC39" i="48"/>
  <c r="O38" i="48"/>
  <c r="O43" i="48"/>
  <c r="O46" i="49"/>
  <c r="AC44" i="50"/>
  <c r="AC48" i="50"/>
  <c r="A43" i="48"/>
  <c r="A47" i="48"/>
  <c r="A51" i="48"/>
  <c r="A44" i="50"/>
  <c r="A47" i="49"/>
  <c r="A56" i="50"/>
  <c r="A52" i="50"/>
  <c r="O42" i="50"/>
  <c r="A47" i="50"/>
  <c r="O40" i="50"/>
  <c r="O46" i="50"/>
  <c r="O42" i="59"/>
  <c r="AC52" i="59"/>
  <c r="AC47" i="59"/>
  <c r="O56" i="59"/>
  <c r="O51" i="59"/>
  <c r="A48" i="59"/>
  <c r="O47" i="59"/>
  <c r="AC41" i="59"/>
  <c r="A81" i="61"/>
  <c r="A56" i="59"/>
  <c r="R24" i="60"/>
  <c r="R20" i="60"/>
  <c r="R16" i="60"/>
  <c r="R23" i="60"/>
  <c r="R19" i="60"/>
  <c r="R15" i="60"/>
  <c r="R22" i="60"/>
  <c r="F32" i="61"/>
  <c r="G32" i="61"/>
  <c r="A77" i="61"/>
  <c r="A51" i="59"/>
  <c r="A89" i="61"/>
  <c r="DB81" i="61"/>
  <c r="CN85" i="61"/>
  <c r="CN77" i="61"/>
  <c r="CN65" i="61"/>
  <c r="CN81" i="61"/>
  <c r="CN69" i="61"/>
  <c r="AD1" i="61"/>
  <c r="BA2" i="61"/>
  <c r="FZ125" i="61" s="1"/>
  <c r="W69" i="61"/>
  <c r="DG4" i="61" s="1"/>
  <c r="BY69" i="61"/>
  <c r="H235" i="61"/>
  <c r="L235" i="61" s="1"/>
  <c r="O235" i="61" s="1"/>
  <c r="P235" i="61" s="1"/>
  <c r="O185" i="61"/>
  <c r="CD59" i="61"/>
  <c r="CD47" i="61"/>
  <c r="CD46" i="61"/>
  <c r="CD42" i="61"/>
  <c r="CD40" i="61"/>
  <c r="CD57" i="61"/>
  <c r="CD55" i="61"/>
  <c r="CD54" i="61"/>
  <c r="CD53" i="61"/>
  <c r="CD52" i="61"/>
  <c r="CD51" i="61"/>
  <c r="CD50" i="61"/>
  <c r="CD45" i="61"/>
  <c r="CD41" i="61"/>
  <c r="CH38" i="61"/>
  <c r="CI38" i="61" s="1"/>
  <c r="CH32" i="61"/>
  <c r="CI32" i="61" s="1"/>
  <c r="CD49" i="61"/>
  <c r="CD44" i="61"/>
  <c r="CX61" i="61"/>
  <c r="CZ61" i="61" s="1"/>
  <c r="CD58" i="61"/>
  <c r="CD56" i="61"/>
  <c r="CD48" i="61"/>
  <c r="CD43" i="61"/>
  <c r="CD39" i="61"/>
  <c r="B1" i="61"/>
  <c r="AE1" i="61" s="1"/>
  <c r="F1" i="61"/>
  <c r="AI1" i="61" s="1"/>
  <c r="J1" i="61"/>
  <c r="AM1" i="61" s="1"/>
  <c r="N1" i="61"/>
  <c r="R1" i="61"/>
  <c r="V1" i="61"/>
  <c r="CN82" i="61" s="1"/>
  <c r="Z1" i="61"/>
  <c r="CN86" i="61" s="1"/>
  <c r="C2" i="61"/>
  <c r="G2" i="61"/>
  <c r="K2" i="61"/>
  <c r="O2" i="61"/>
  <c r="S2" i="61"/>
  <c r="W2" i="61"/>
  <c r="AA2" i="61"/>
  <c r="D3" i="61"/>
  <c r="H3" i="61"/>
  <c r="L3" i="61"/>
  <c r="P3" i="61"/>
  <c r="T3" i="61"/>
  <c r="X3" i="61"/>
  <c r="A4" i="61"/>
  <c r="AD5" i="61" s="1"/>
  <c r="E4" i="61"/>
  <c r="I4" i="61"/>
  <c r="M4" i="61"/>
  <c r="Q4" i="61"/>
  <c r="U4" i="61"/>
  <c r="Y4" i="61"/>
  <c r="B5" i="61"/>
  <c r="F5" i="61"/>
  <c r="J5" i="61"/>
  <c r="N5" i="61"/>
  <c r="R5" i="61"/>
  <c r="V5" i="61"/>
  <c r="Z5" i="61"/>
  <c r="C6" i="61"/>
  <c r="G6" i="61"/>
  <c r="K6" i="61"/>
  <c r="O6" i="61"/>
  <c r="S6" i="61"/>
  <c r="W6" i="61"/>
  <c r="AA6" i="61"/>
  <c r="D7" i="61"/>
  <c r="H7" i="61"/>
  <c r="L7" i="61"/>
  <c r="P7" i="61"/>
  <c r="T7" i="61"/>
  <c r="X7" i="61"/>
  <c r="A8" i="61"/>
  <c r="AD9" i="61" s="1"/>
  <c r="E8" i="61"/>
  <c r="I8" i="61"/>
  <c r="M8" i="61"/>
  <c r="Q8" i="61"/>
  <c r="U8" i="61"/>
  <c r="Y8" i="61"/>
  <c r="B9" i="61"/>
  <c r="F9" i="61"/>
  <c r="J9" i="61"/>
  <c r="N9" i="61"/>
  <c r="R9" i="61"/>
  <c r="V9" i="61"/>
  <c r="Z9" i="61"/>
  <c r="C10" i="61"/>
  <c r="G10" i="61"/>
  <c r="K10" i="61"/>
  <c r="O10" i="61"/>
  <c r="S10" i="61"/>
  <c r="W10" i="61"/>
  <c r="AA10" i="61"/>
  <c r="D11" i="61"/>
  <c r="H11" i="61"/>
  <c r="L11" i="61"/>
  <c r="P11" i="61"/>
  <c r="T11" i="61"/>
  <c r="X11" i="61"/>
  <c r="A12" i="61"/>
  <c r="AD13" i="61" s="1"/>
  <c r="E12" i="61"/>
  <c r="I12" i="61"/>
  <c r="M12" i="61"/>
  <c r="Q12" i="61"/>
  <c r="U12" i="61"/>
  <c r="Y12" i="61"/>
  <c r="B13" i="61"/>
  <c r="F13" i="61"/>
  <c r="J13" i="61"/>
  <c r="N13" i="61"/>
  <c r="R13" i="61"/>
  <c r="V13" i="61"/>
  <c r="Z13" i="61"/>
  <c r="C14" i="61"/>
  <c r="G14" i="61"/>
  <c r="K14" i="61"/>
  <c r="O14" i="61"/>
  <c r="S14" i="61"/>
  <c r="W14" i="61"/>
  <c r="AA14" i="61"/>
  <c r="D15" i="61"/>
  <c r="H15" i="61"/>
  <c r="L15" i="61"/>
  <c r="P15" i="61"/>
  <c r="T15" i="61"/>
  <c r="X15" i="61"/>
  <c r="A16" i="61"/>
  <c r="AD17" i="61" s="1"/>
  <c r="E16" i="61"/>
  <c r="I16" i="61"/>
  <c r="M16" i="61"/>
  <c r="Q16" i="61"/>
  <c r="U16" i="61"/>
  <c r="Y16" i="61"/>
  <c r="B17" i="61"/>
  <c r="F17" i="61"/>
  <c r="J17" i="61"/>
  <c r="N17" i="61"/>
  <c r="R17" i="61"/>
  <c r="V17" i="61"/>
  <c r="Z17" i="61"/>
  <c r="C18" i="61"/>
  <c r="G18" i="61"/>
  <c r="K18" i="61"/>
  <c r="O18" i="61"/>
  <c r="S18" i="61"/>
  <c r="W18" i="61"/>
  <c r="AA18" i="61"/>
  <c r="D19" i="61"/>
  <c r="H19" i="61"/>
  <c r="L19" i="61"/>
  <c r="P19" i="61"/>
  <c r="T19" i="61"/>
  <c r="X19" i="61"/>
  <c r="A20" i="61"/>
  <c r="AD21" i="61" s="1"/>
  <c r="E20" i="61"/>
  <c r="I20" i="61"/>
  <c r="M20" i="61"/>
  <c r="Q20" i="61"/>
  <c r="U20" i="61"/>
  <c r="Y20" i="61"/>
  <c r="B21" i="61"/>
  <c r="F21" i="61"/>
  <c r="J21" i="61"/>
  <c r="N21" i="61"/>
  <c r="R21" i="61"/>
  <c r="V21" i="61"/>
  <c r="Z21" i="61"/>
  <c r="C22" i="61"/>
  <c r="G22" i="61"/>
  <c r="K22" i="61"/>
  <c r="O22" i="61"/>
  <c r="S22" i="61"/>
  <c r="W22" i="61"/>
  <c r="AA22" i="61"/>
  <c r="D23" i="61"/>
  <c r="H23" i="61"/>
  <c r="L23" i="61"/>
  <c r="P23" i="61"/>
  <c r="T23" i="61"/>
  <c r="X23" i="61"/>
  <c r="A24" i="61"/>
  <c r="AD25" i="61" s="1"/>
  <c r="E24" i="61"/>
  <c r="I24" i="61"/>
  <c r="M24" i="61"/>
  <c r="Q24" i="61"/>
  <c r="U24" i="61"/>
  <c r="Y24" i="61"/>
  <c r="B25" i="61"/>
  <c r="F25" i="61"/>
  <c r="J25" i="61"/>
  <c r="N25" i="61"/>
  <c r="R25" i="61"/>
  <c r="V25" i="61"/>
  <c r="Z25" i="61"/>
  <c r="C26" i="61"/>
  <c r="G26" i="61"/>
  <c r="K26" i="61"/>
  <c r="O26" i="61"/>
  <c r="S26" i="61"/>
  <c r="W26" i="61"/>
  <c r="AA26" i="61"/>
  <c r="D27" i="61"/>
  <c r="H27" i="61"/>
  <c r="L27" i="61"/>
  <c r="P27" i="61"/>
  <c r="T27" i="61"/>
  <c r="X27" i="61"/>
  <c r="M154" i="61"/>
  <c r="C1" i="61"/>
  <c r="AF1" i="61" s="1"/>
  <c r="G1" i="61"/>
  <c r="AJ1" i="61" s="1"/>
  <c r="K1" i="61"/>
  <c r="AN1" i="61" s="1"/>
  <c r="O1" i="61"/>
  <c r="S1" i="61"/>
  <c r="W1" i="61"/>
  <c r="CN83" i="61" s="1"/>
  <c r="AA1" i="61"/>
  <c r="D2" i="61"/>
  <c r="H2" i="61"/>
  <c r="L2" i="61"/>
  <c r="P2" i="61"/>
  <c r="T2" i="61"/>
  <c r="X2" i="61"/>
  <c r="A3" i="61"/>
  <c r="AD4" i="61" s="1"/>
  <c r="E3" i="61"/>
  <c r="I3" i="61"/>
  <c r="M3" i="61"/>
  <c r="Q3" i="61"/>
  <c r="U3" i="61"/>
  <c r="Y3" i="61"/>
  <c r="B4" i="61"/>
  <c r="F4" i="61"/>
  <c r="J4" i="61"/>
  <c r="N4" i="61"/>
  <c r="R4" i="61"/>
  <c r="V4" i="61"/>
  <c r="Z4" i="61"/>
  <c r="C5" i="61"/>
  <c r="G5" i="61"/>
  <c r="K5" i="61"/>
  <c r="O5" i="61"/>
  <c r="S5" i="61"/>
  <c r="W5" i="61"/>
  <c r="AA5" i="61"/>
  <c r="D6" i="61"/>
  <c r="H6" i="61"/>
  <c r="L6" i="61"/>
  <c r="P6" i="61"/>
  <c r="T6" i="61"/>
  <c r="X6" i="61"/>
  <c r="A7" i="61"/>
  <c r="AD8" i="61" s="1"/>
  <c r="E7" i="61"/>
  <c r="I7" i="61"/>
  <c r="M7" i="61"/>
  <c r="Q7" i="61"/>
  <c r="U7" i="61"/>
  <c r="Y7" i="61"/>
  <c r="B8" i="61"/>
  <c r="F8" i="61"/>
  <c r="J8" i="61"/>
  <c r="N8" i="61"/>
  <c r="R8" i="61"/>
  <c r="V8" i="61"/>
  <c r="Z8" i="61"/>
  <c r="C9" i="61"/>
  <c r="G9" i="61"/>
  <c r="K9" i="61"/>
  <c r="O9" i="61"/>
  <c r="S9" i="61"/>
  <c r="W9" i="61"/>
  <c r="AA9" i="61"/>
  <c r="D10" i="61"/>
  <c r="H10" i="61"/>
  <c r="L10" i="61"/>
  <c r="P10" i="61"/>
  <c r="T10" i="61"/>
  <c r="X10" i="61"/>
  <c r="A11" i="61"/>
  <c r="AD12" i="61" s="1"/>
  <c r="E11" i="61"/>
  <c r="I11" i="61"/>
  <c r="M11" i="61"/>
  <c r="Q11" i="61"/>
  <c r="U11" i="61"/>
  <c r="Y11" i="61"/>
  <c r="B12" i="61"/>
  <c r="F12" i="61"/>
  <c r="J12" i="61"/>
  <c r="N12" i="61"/>
  <c r="R12" i="61"/>
  <c r="V12" i="61"/>
  <c r="Z12" i="61"/>
  <c r="C13" i="61"/>
  <c r="G13" i="61"/>
  <c r="K13" i="61"/>
  <c r="O13" i="61"/>
  <c r="S13" i="61"/>
  <c r="W13" i="61"/>
  <c r="AA13" i="61"/>
  <c r="D14" i="61"/>
  <c r="H14" i="61"/>
  <c r="L14" i="61"/>
  <c r="P14" i="61"/>
  <c r="T14" i="61"/>
  <c r="X14" i="61"/>
  <c r="A15" i="61"/>
  <c r="AD16" i="61" s="1"/>
  <c r="E15" i="61"/>
  <c r="I15" i="61"/>
  <c r="M15" i="61"/>
  <c r="Q15" i="61"/>
  <c r="U15" i="61"/>
  <c r="Y15" i="61"/>
  <c r="B16" i="61"/>
  <c r="F16" i="61"/>
  <c r="J16" i="61"/>
  <c r="N16" i="61"/>
  <c r="R16" i="61"/>
  <c r="V16" i="61"/>
  <c r="Z16" i="61"/>
  <c r="C17" i="61"/>
  <c r="G17" i="61"/>
  <c r="K17" i="61"/>
  <c r="O17" i="61"/>
  <c r="S17" i="61"/>
  <c r="W17" i="61"/>
  <c r="AA17" i="61"/>
  <c r="D18" i="61"/>
  <c r="H18" i="61"/>
  <c r="L18" i="61"/>
  <c r="P18" i="61"/>
  <c r="T18" i="61"/>
  <c r="X18" i="61"/>
  <c r="A19" i="61"/>
  <c r="AD20" i="61" s="1"/>
  <c r="E19" i="61"/>
  <c r="I19" i="61"/>
  <c r="M19" i="61"/>
  <c r="Q19" i="61"/>
  <c r="U19" i="61"/>
  <c r="Y19" i="61"/>
  <c r="B20" i="61"/>
  <c r="F20" i="61"/>
  <c r="J20" i="61"/>
  <c r="N20" i="61"/>
  <c r="R20" i="61"/>
  <c r="V20" i="61"/>
  <c r="Z20" i="61"/>
  <c r="C21" i="61"/>
  <c r="G21" i="61"/>
  <c r="K21" i="61"/>
  <c r="O21" i="61"/>
  <c r="S21" i="61"/>
  <c r="W21" i="61"/>
  <c r="AA21" i="61"/>
  <c r="D22" i="61"/>
  <c r="H22" i="61"/>
  <c r="L22" i="61"/>
  <c r="P22" i="61"/>
  <c r="T22" i="61"/>
  <c r="X22" i="61"/>
  <c r="A23" i="61"/>
  <c r="AD24" i="61" s="1"/>
  <c r="E23" i="61"/>
  <c r="I23" i="61"/>
  <c r="M23" i="61"/>
  <c r="Q23" i="61"/>
  <c r="U23" i="61"/>
  <c r="Y23" i="61"/>
  <c r="B24" i="61"/>
  <c r="F24" i="61"/>
  <c r="J24" i="61"/>
  <c r="N24" i="61"/>
  <c r="R24" i="61"/>
  <c r="V24" i="61"/>
  <c r="Z24" i="61"/>
  <c r="C25" i="61"/>
  <c r="G25" i="61"/>
  <c r="K25" i="61"/>
  <c r="O25" i="61"/>
  <c r="S25" i="61"/>
  <c r="W25" i="61"/>
  <c r="AA25" i="61"/>
  <c r="D26" i="61"/>
  <c r="H26" i="61"/>
  <c r="L26" i="61"/>
  <c r="P26" i="61"/>
  <c r="T26" i="61"/>
  <c r="X26" i="61"/>
  <c r="A27" i="61"/>
  <c r="E27" i="61"/>
  <c r="I27" i="61"/>
  <c r="M27" i="61"/>
  <c r="Q27" i="61"/>
  <c r="U27" i="61"/>
  <c r="Y27" i="61"/>
  <c r="AT2" i="61"/>
  <c r="FS125" i="61" s="1"/>
  <c r="BB2" i="61"/>
  <c r="GA125" i="61" s="1"/>
  <c r="D1" i="61"/>
  <c r="AG1" i="61" s="1"/>
  <c r="H1" i="61"/>
  <c r="AK1" i="61" s="1"/>
  <c r="L1" i="61"/>
  <c r="AO1" i="61" s="1"/>
  <c r="P1" i="61"/>
  <c r="T1" i="61"/>
  <c r="X1" i="61"/>
  <c r="CN84" i="61" s="1"/>
  <c r="A2" i="61"/>
  <c r="E2" i="61"/>
  <c r="I2" i="61"/>
  <c r="M2" i="61"/>
  <c r="Q2" i="61"/>
  <c r="U2" i="61"/>
  <c r="Y2" i="61"/>
  <c r="B3" i="61"/>
  <c r="F3" i="61"/>
  <c r="J3" i="61"/>
  <c r="N3" i="61"/>
  <c r="R3" i="61"/>
  <c r="V3" i="61"/>
  <c r="Z3" i="61"/>
  <c r="C4" i="61"/>
  <c r="G4" i="61"/>
  <c r="K4" i="61"/>
  <c r="O4" i="61"/>
  <c r="S4" i="61"/>
  <c r="W4" i="61"/>
  <c r="AA4" i="61"/>
  <c r="D5" i="61"/>
  <c r="H5" i="61"/>
  <c r="L5" i="61"/>
  <c r="P5" i="61"/>
  <c r="T5" i="61"/>
  <c r="X5" i="61"/>
  <c r="A6" i="61"/>
  <c r="AD7" i="61" s="1"/>
  <c r="E6" i="61"/>
  <c r="I6" i="61"/>
  <c r="M6" i="61"/>
  <c r="Q6" i="61"/>
  <c r="U6" i="61"/>
  <c r="Y6" i="61"/>
  <c r="B7" i="61"/>
  <c r="F7" i="61"/>
  <c r="J7" i="61"/>
  <c r="N7" i="61"/>
  <c r="R7" i="61"/>
  <c r="V7" i="61"/>
  <c r="Z7" i="61"/>
  <c r="C8" i="61"/>
  <c r="G8" i="61"/>
  <c r="K8" i="61"/>
  <c r="O8" i="61"/>
  <c r="S8" i="61"/>
  <c r="W8" i="61"/>
  <c r="AA8" i="61"/>
  <c r="D9" i="61"/>
  <c r="H9" i="61"/>
  <c r="L9" i="61"/>
  <c r="P9" i="61"/>
  <c r="T9" i="61"/>
  <c r="X9" i="61"/>
  <c r="A10" i="61"/>
  <c r="AD11" i="61" s="1"/>
  <c r="E10" i="61"/>
  <c r="I10" i="61"/>
  <c r="M10" i="61"/>
  <c r="Q10" i="61"/>
  <c r="U10" i="61"/>
  <c r="Y10" i="61"/>
  <c r="B11" i="61"/>
  <c r="F11" i="61"/>
  <c r="J11" i="61"/>
  <c r="N11" i="61"/>
  <c r="R11" i="61"/>
  <c r="V11" i="61"/>
  <c r="Z11" i="61"/>
  <c r="C12" i="61"/>
  <c r="G12" i="61"/>
  <c r="K12" i="61"/>
  <c r="O12" i="61"/>
  <c r="S12" i="61"/>
  <c r="W12" i="61"/>
  <c r="AA12" i="61"/>
  <c r="D13" i="61"/>
  <c r="H13" i="61"/>
  <c r="L13" i="61"/>
  <c r="P13" i="61"/>
  <c r="T13" i="61"/>
  <c r="X13" i="61"/>
  <c r="A14" i="61"/>
  <c r="AD15" i="61" s="1"/>
  <c r="E14" i="61"/>
  <c r="I14" i="61"/>
  <c r="M14" i="61"/>
  <c r="Q14" i="61"/>
  <c r="U14" i="61"/>
  <c r="Y14" i="61"/>
  <c r="B15" i="61"/>
  <c r="F15" i="61"/>
  <c r="J15" i="61"/>
  <c r="N15" i="61"/>
  <c r="R15" i="61"/>
  <c r="V15" i="61"/>
  <c r="Z15" i="61"/>
  <c r="C16" i="61"/>
  <c r="G16" i="61"/>
  <c r="K16" i="61"/>
  <c r="O16" i="61"/>
  <c r="S16" i="61"/>
  <c r="W16" i="61"/>
  <c r="AA16" i="61"/>
  <c r="D17" i="61"/>
  <c r="H17" i="61"/>
  <c r="L17" i="61"/>
  <c r="P17" i="61"/>
  <c r="T17" i="61"/>
  <c r="X17" i="61"/>
  <c r="A18" i="61"/>
  <c r="AD19" i="61" s="1"/>
  <c r="E18" i="61"/>
  <c r="I18" i="61"/>
  <c r="M18" i="61"/>
  <c r="Q18" i="61"/>
  <c r="U18" i="61"/>
  <c r="Y18" i="61"/>
  <c r="B19" i="61"/>
  <c r="F19" i="61"/>
  <c r="J19" i="61"/>
  <c r="N19" i="61"/>
  <c r="R19" i="61"/>
  <c r="V19" i="61"/>
  <c r="Z19" i="61"/>
  <c r="C20" i="61"/>
  <c r="G20" i="61"/>
  <c r="K20" i="61"/>
  <c r="O20" i="61"/>
  <c r="S20" i="61"/>
  <c r="W20" i="61"/>
  <c r="AA20" i="61"/>
  <c r="D21" i="61"/>
  <c r="H21" i="61"/>
  <c r="L21" i="61"/>
  <c r="P21" i="61"/>
  <c r="T21" i="61"/>
  <c r="X21" i="61"/>
  <c r="A22" i="61"/>
  <c r="AD23" i="61" s="1"/>
  <c r="E22" i="61"/>
  <c r="I22" i="61"/>
  <c r="M22" i="61"/>
  <c r="Q22" i="61"/>
  <c r="U22" i="61"/>
  <c r="Y22" i="61"/>
  <c r="B23" i="61"/>
  <c r="F23" i="61"/>
  <c r="J23" i="61"/>
  <c r="N23" i="61"/>
  <c r="R23" i="61"/>
  <c r="V23" i="61"/>
  <c r="Z23" i="61"/>
  <c r="C24" i="61"/>
  <c r="G24" i="61"/>
  <c r="K24" i="61"/>
  <c r="O24" i="61"/>
  <c r="S24" i="61"/>
  <c r="W24" i="61"/>
  <c r="AA24" i="61"/>
  <c r="D25" i="61"/>
  <c r="H25" i="61"/>
  <c r="L25" i="61"/>
  <c r="P25" i="61"/>
  <c r="T25" i="61"/>
  <c r="X25" i="61"/>
  <c r="A26" i="61"/>
  <c r="AD27" i="61" s="1"/>
  <c r="E26" i="61"/>
  <c r="I26" i="61"/>
  <c r="M26" i="61"/>
  <c r="Q26" i="61"/>
  <c r="U26" i="61"/>
  <c r="Y26" i="61"/>
  <c r="B27" i="61"/>
  <c r="F27" i="61"/>
  <c r="J27" i="61"/>
  <c r="N27" i="61"/>
  <c r="R27" i="61"/>
  <c r="V27" i="61"/>
  <c r="BX69" i="61"/>
  <c r="V69" i="61"/>
  <c r="DF4" i="61" s="1"/>
  <c r="CB69" i="61"/>
  <c r="Z69" i="61"/>
  <c r="DJ4" i="61" s="1"/>
  <c r="CH35" i="61"/>
  <c r="CI35" i="61" s="1"/>
  <c r="CU83" i="61"/>
  <c r="CV83" i="61" s="1"/>
  <c r="CW83" i="61" s="1"/>
  <c r="CU85" i="61"/>
  <c r="CV85" i="61" s="1"/>
  <c r="CW85" i="61" s="1"/>
  <c r="CU81" i="61"/>
  <c r="CV81" i="61" s="1"/>
  <c r="CW81" i="61" s="1"/>
  <c r="CU70" i="61"/>
  <c r="CV70" i="61" s="1"/>
  <c r="CU66" i="61"/>
  <c r="CV66" i="61" s="1"/>
  <c r="CU82" i="61"/>
  <c r="CV82" i="61" s="1"/>
  <c r="CW82" i="61" s="1"/>
  <c r="CU67" i="61"/>
  <c r="CV67" i="61" s="1"/>
  <c r="CU63" i="61"/>
  <c r="CV63" i="61" s="1"/>
  <c r="CU62" i="61"/>
  <c r="CV62" i="61" s="1"/>
  <c r="CU71" i="61"/>
  <c r="CV71" i="61" s="1"/>
  <c r="CU69" i="61"/>
  <c r="CV69" i="61" s="1"/>
  <c r="CU68" i="61"/>
  <c r="CV68" i="61" s="1"/>
  <c r="CU64" i="61"/>
  <c r="CV64" i="61" s="1"/>
  <c r="CU84" i="61"/>
  <c r="CV84" i="61" s="1"/>
  <c r="CW84" i="61" s="1"/>
  <c r="CU80" i="61"/>
  <c r="CV80" i="61" s="1"/>
  <c r="CW80" i="61" s="1"/>
  <c r="CU79" i="61"/>
  <c r="CV79" i="61" s="1"/>
  <c r="CU78" i="61"/>
  <c r="CV78" i="61" s="1"/>
  <c r="CU77" i="61"/>
  <c r="CV77" i="61" s="1"/>
  <c r="CU76" i="61"/>
  <c r="CV76" i="61" s="1"/>
  <c r="CU65" i="61"/>
  <c r="CV65" i="61" s="1"/>
  <c r="A155" i="61"/>
  <c r="AB155" i="61"/>
  <c r="K4" i="64" l="1"/>
  <c r="GH125" i="61"/>
  <c r="BG13" i="1"/>
  <c r="I54" i="1"/>
  <c r="EG125" i="61"/>
  <c r="EN125" i="61"/>
  <c r="DY125" i="61"/>
  <c r="EO125" i="61"/>
  <c r="EK125" i="61"/>
  <c r="EC125" i="61"/>
  <c r="DU125" i="61"/>
  <c r="EM125" i="61"/>
  <c r="EP125" i="61"/>
  <c r="EL125" i="61"/>
  <c r="I53" i="1"/>
  <c r="BG18" i="1"/>
  <c r="I46" i="1"/>
  <c r="CN79" i="61"/>
  <c r="AV1" i="61"/>
  <c r="AV2" i="61" s="1"/>
  <c r="E507" i="66"/>
  <c r="B507" i="66"/>
  <c r="A507" i="66"/>
  <c r="B517" i="66"/>
  <c r="A517" i="66"/>
  <c r="E517" i="66"/>
  <c r="B546" i="66"/>
  <c r="A546" i="66"/>
  <c r="E546" i="66"/>
  <c r="E567" i="66"/>
  <c r="B567" i="66"/>
  <c r="A567" i="66"/>
  <c r="B601" i="66"/>
  <c r="A601" i="66"/>
  <c r="E601" i="66"/>
  <c r="B610" i="66"/>
  <c r="A610" i="66"/>
  <c r="E610" i="66"/>
  <c r="B622" i="66"/>
  <c r="E622" i="66"/>
  <c r="A622" i="66"/>
  <c r="B506" i="66"/>
  <c r="A506" i="66"/>
  <c r="E506" i="66"/>
  <c r="E529" i="66"/>
  <c r="B529" i="66"/>
  <c r="A529" i="66"/>
  <c r="B538" i="66"/>
  <c r="A538" i="66"/>
  <c r="E538" i="66"/>
  <c r="B551" i="66"/>
  <c r="E551" i="66"/>
  <c r="A551" i="66"/>
  <c r="B561" i="66"/>
  <c r="E561" i="66"/>
  <c r="A561" i="66"/>
  <c r="B576" i="66"/>
  <c r="E576" i="66"/>
  <c r="A576" i="66"/>
  <c r="E587" i="66"/>
  <c r="B587" i="66"/>
  <c r="A587" i="66"/>
  <c r="B596" i="66"/>
  <c r="E596" i="66"/>
  <c r="A596" i="66"/>
  <c r="B614" i="66"/>
  <c r="E614" i="66"/>
  <c r="A614" i="66"/>
  <c r="E503" i="66"/>
  <c r="A503" i="66"/>
  <c r="B503" i="66"/>
  <c r="E513" i="66"/>
  <c r="B513" i="66"/>
  <c r="A513" i="66"/>
  <c r="B522" i="66"/>
  <c r="A522" i="66"/>
  <c r="E522" i="66"/>
  <c r="E550" i="66"/>
  <c r="B550" i="66"/>
  <c r="A550" i="66"/>
  <c r="E568" i="66"/>
  <c r="B568" i="66"/>
  <c r="A568" i="66"/>
  <c r="B602" i="66"/>
  <c r="A602" i="66"/>
  <c r="E602" i="66"/>
  <c r="E611" i="66"/>
  <c r="B611" i="66"/>
  <c r="A611" i="66"/>
  <c r="B502" i="66"/>
  <c r="A502" i="66"/>
  <c r="E502" i="66"/>
  <c r="E528" i="66"/>
  <c r="B528" i="66"/>
  <c r="A528" i="66"/>
  <c r="B537" i="66"/>
  <c r="E537" i="66"/>
  <c r="A537" i="66"/>
  <c r="E547" i="66"/>
  <c r="B547" i="66"/>
  <c r="A547" i="66"/>
  <c r="E560" i="66"/>
  <c r="A560" i="66"/>
  <c r="B560" i="66"/>
  <c r="E575" i="66"/>
  <c r="B575" i="66"/>
  <c r="A575" i="66"/>
  <c r="B586" i="66"/>
  <c r="A586" i="66"/>
  <c r="E586" i="66"/>
  <c r="E595" i="66"/>
  <c r="B595" i="66"/>
  <c r="A595" i="66"/>
  <c r="B613" i="66"/>
  <c r="A613" i="66"/>
  <c r="E613" i="66"/>
  <c r="CN80" i="61"/>
  <c r="AW1" i="61"/>
  <c r="AW2" i="61" s="1"/>
  <c r="FV125" i="61" s="1"/>
  <c r="CN78" i="61"/>
  <c r="AU1" i="61"/>
  <c r="AU2" i="61" s="1"/>
  <c r="E509" i="66"/>
  <c r="B509" i="66"/>
  <c r="A509" i="66"/>
  <c r="B519" i="66"/>
  <c r="E519" i="66"/>
  <c r="A519" i="66"/>
  <c r="B549" i="66"/>
  <c r="E549" i="66"/>
  <c r="A549" i="66"/>
  <c r="B569" i="66"/>
  <c r="A569" i="66"/>
  <c r="E569" i="66"/>
  <c r="E603" i="66"/>
  <c r="B603" i="66"/>
  <c r="A603" i="66"/>
  <c r="E615" i="66"/>
  <c r="B615" i="66"/>
  <c r="A615" i="66"/>
  <c r="B514" i="66"/>
  <c r="A514" i="66"/>
  <c r="E514" i="66"/>
  <c r="B531" i="66"/>
  <c r="A531" i="66"/>
  <c r="E531" i="66"/>
  <c r="B541" i="66"/>
  <c r="E541" i="66"/>
  <c r="A541" i="66"/>
  <c r="B554" i="66"/>
  <c r="A554" i="66"/>
  <c r="E554" i="66"/>
  <c r="B564" i="66"/>
  <c r="A564" i="66"/>
  <c r="E564" i="66"/>
  <c r="E580" i="66"/>
  <c r="B580" i="66"/>
  <c r="A580" i="66"/>
  <c r="B589" i="66"/>
  <c r="E589" i="66"/>
  <c r="A589" i="66"/>
  <c r="B598" i="66"/>
  <c r="A598" i="66"/>
  <c r="E598" i="66"/>
  <c r="B624" i="66"/>
  <c r="E624" i="66"/>
  <c r="A624" i="66"/>
  <c r="E505" i="66"/>
  <c r="B505" i="66"/>
  <c r="A505" i="66"/>
  <c r="E516" i="66"/>
  <c r="B516" i="66"/>
  <c r="A516" i="66"/>
  <c r="B535" i="66"/>
  <c r="E535" i="66"/>
  <c r="A535" i="66"/>
  <c r="B553" i="66"/>
  <c r="A553" i="66"/>
  <c r="E553" i="66"/>
  <c r="E571" i="66"/>
  <c r="B571" i="66"/>
  <c r="A571" i="66"/>
  <c r="B604" i="66"/>
  <c r="A604" i="66"/>
  <c r="E604" i="66"/>
  <c r="B616" i="66"/>
  <c r="E616" i="66"/>
  <c r="A616" i="66"/>
  <c r="B510" i="66"/>
  <c r="A510" i="66"/>
  <c r="E510" i="66"/>
  <c r="B530" i="66"/>
  <c r="E530" i="66"/>
  <c r="A530" i="66"/>
  <c r="B539" i="66"/>
  <c r="E539" i="66"/>
  <c r="A539" i="66"/>
  <c r="B552" i="66"/>
  <c r="E552" i="66"/>
  <c r="A552" i="66"/>
  <c r="B562" i="66"/>
  <c r="E562" i="66"/>
  <c r="A562" i="66"/>
  <c r="B578" i="66"/>
  <c r="A578" i="66"/>
  <c r="E578" i="66"/>
  <c r="B588" i="66"/>
  <c r="A588" i="66"/>
  <c r="E588" i="66"/>
  <c r="B597" i="66"/>
  <c r="A597" i="66"/>
  <c r="E597" i="66"/>
  <c r="B620" i="66"/>
  <c r="A620" i="66"/>
  <c r="E620" i="66"/>
  <c r="B512" i="66"/>
  <c r="A512" i="66"/>
  <c r="E512" i="66"/>
  <c r="E521" i="66"/>
  <c r="A521" i="66"/>
  <c r="B521" i="66"/>
  <c r="E555" i="66"/>
  <c r="B555" i="66"/>
  <c r="A555" i="66"/>
  <c r="B577" i="66"/>
  <c r="A577" i="66"/>
  <c r="E577" i="66"/>
  <c r="B605" i="66"/>
  <c r="E605" i="66"/>
  <c r="A605" i="66"/>
  <c r="B617" i="66"/>
  <c r="A617" i="66"/>
  <c r="E617" i="66"/>
  <c r="B525" i="66"/>
  <c r="A525" i="66"/>
  <c r="E525" i="66"/>
  <c r="B533" i="66"/>
  <c r="A533" i="66"/>
  <c r="E533" i="66"/>
  <c r="E543" i="66"/>
  <c r="B543" i="66"/>
  <c r="A543" i="66"/>
  <c r="B557" i="66"/>
  <c r="A557" i="66"/>
  <c r="E557" i="66"/>
  <c r="E572" i="66"/>
  <c r="B572" i="66"/>
  <c r="A572" i="66"/>
  <c r="B582" i="66"/>
  <c r="E582" i="66"/>
  <c r="A582" i="66"/>
  <c r="E591" i="66"/>
  <c r="B591" i="66"/>
  <c r="A591" i="66"/>
  <c r="B600" i="66"/>
  <c r="E600" i="66"/>
  <c r="A600" i="66"/>
  <c r="E626" i="66"/>
  <c r="B626" i="66"/>
  <c r="A626" i="66"/>
  <c r="B508" i="66"/>
  <c r="E508" i="66"/>
  <c r="A508" i="66"/>
  <c r="B518" i="66"/>
  <c r="E518" i="66"/>
  <c r="A518" i="66"/>
  <c r="B540" i="66"/>
  <c r="E540" i="66"/>
  <c r="A540" i="66"/>
  <c r="E563" i="66"/>
  <c r="B563" i="66"/>
  <c r="A563" i="66"/>
  <c r="E579" i="66"/>
  <c r="B579" i="66"/>
  <c r="A579" i="66"/>
  <c r="E607" i="66"/>
  <c r="B607" i="66"/>
  <c r="A607" i="66"/>
  <c r="B618" i="66"/>
  <c r="E618" i="66"/>
  <c r="A618" i="66"/>
  <c r="E524" i="66"/>
  <c r="B524" i="66"/>
  <c r="A524" i="66"/>
  <c r="B532" i="66"/>
  <c r="E532" i="66"/>
  <c r="A532" i="66"/>
  <c r="B542" i="66"/>
  <c r="A542" i="66"/>
  <c r="E542" i="66"/>
  <c r="E556" i="66"/>
  <c r="B556" i="66"/>
  <c r="A556" i="66"/>
  <c r="B570" i="66"/>
  <c r="A570" i="66"/>
  <c r="E570" i="66"/>
  <c r="B581" i="66"/>
  <c r="A581" i="66"/>
  <c r="E581" i="66"/>
  <c r="B590" i="66"/>
  <c r="E590" i="66"/>
  <c r="A590" i="66"/>
  <c r="E599" i="66"/>
  <c r="B599" i="66"/>
  <c r="A599" i="66"/>
  <c r="E623" i="66"/>
  <c r="B623" i="66"/>
  <c r="A623" i="66"/>
  <c r="CN76" i="61"/>
  <c r="AS1" i="61"/>
  <c r="AS2" i="61" s="1"/>
  <c r="FR125" i="61" s="1"/>
  <c r="B504" i="66"/>
  <c r="A504" i="66"/>
  <c r="E504" i="66"/>
  <c r="B515" i="66"/>
  <c r="E515" i="66"/>
  <c r="A515" i="66"/>
  <c r="B523" i="66"/>
  <c r="E523" i="66"/>
  <c r="A523" i="66"/>
  <c r="B565" i="66"/>
  <c r="E565" i="66"/>
  <c r="A565" i="66"/>
  <c r="B585" i="66"/>
  <c r="A585" i="66"/>
  <c r="E585" i="66"/>
  <c r="B608" i="66"/>
  <c r="A608" i="66"/>
  <c r="E608" i="66"/>
  <c r="E619" i="66"/>
  <c r="B619" i="66"/>
  <c r="A619" i="66"/>
  <c r="B527" i="66"/>
  <c r="E527" i="66"/>
  <c r="A527" i="66"/>
  <c r="E536" i="66"/>
  <c r="B536" i="66"/>
  <c r="A536" i="66"/>
  <c r="E545" i="66"/>
  <c r="A545" i="66"/>
  <c r="B545" i="66"/>
  <c r="E559" i="66"/>
  <c r="B559" i="66"/>
  <c r="A559" i="66"/>
  <c r="B574" i="66"/>
  <c r="A574" i="66"/>
  <c r="E574" i="66"/>
  <c r="B584" i="66"/>
  <c r="E584" i="66"/>
  <c r="A584" i="66"/>
  <c r="B594" i="66"/>
  <c r="A594" i="66"/>
  <c r="E594" i="66"/>
  <c r="B612" i="66"/>
  <c r="A612" i="66"/>
  <c r="E612" i="66"/>
  <c r="E511" i="66"/>
  <c r="B511" i="66"/>
  <c r="A511" i="66"/>
  <c r="B520" i="66"/>
  <c r="A520" i="66"/>
  <c r="E520" i="66"/>
  <c r="E548" i="66"/>
  <c r="B548" i="66"/>
  <c r="A548" i="66"/>
  <c r="B566" i="66"/>
  <c r="A566" i="66"/>
  <c r="E566" i="66"/>
  <c r="B593" i="66"/>
  <c r="A593" i="66"/>
  <c r="E593" i="66"/>
  <c r="B609" i="66"/>
  <c r="A609" i="66"/>
  <c r="E609" i="66"/>
  <c r="B621" i="66"/>
  <c r="E621" i="66"/>
  <c r="A621" i="66"/>
  <c r="B526" i="66"/>
  <c r="A526" i="66"/>
  <c r="E526" i="66"/>
  <c r="B534" i="66"/>
  <c r="E534" i="66"/>
  <c r="A534" i="66"/>
  <c r="B544" i="66"/>
  <c r="E544" i="66"/>
  <c r="A544" i="66"/>
  <c r="B558" i="66"/>
  <c r="A558" i="66"/>
  <c r="E558" i="66"/>
  <c r="B573" i="66"/>
  <c r="A573" i="66"/>
  <c r="E573" i="66"/>
  <c r="E583" i="66"/>
  <c r="B583" i="66"/>
  <c r="A583" i="66"/>
  <c r="B592" i="66"/>
  <c r="E592" i="66"/>
  <c r="A592" i="66"/>
  <c r="B606" i="66"/>
  <c r="A606" i="66"/>
  <c r="E606" i="66"/>
  <c r="B625" i="66"/>
  <c r="A625" i="66"/>
  <c r="E625" i="66"/>
  <c r="BG30" i="1"/>
  <c r="S29" i="1" s="1"/>
  <c r="CB88" i="61" s="1"/>
  <c r="BG20" i="1"/>
  <c r="I52" i="1"/>
  <c r="BG27" i="1"/>
  <c r="I47" i="1"/>
  <c r="H27" i="62"/>
  <c r="Q23" i="52"/>
  <c r="H11" i="62"/>
  <c r="Q7" i="52"/>
  <c r="H20" i="62"/>
  <c r="Q16" i="52"/>
  <c r="H21" i="62"/>
  <c r="Q17" i="52"/>
  <c r="BC142" i="61" s="1"/>
  <c r="H10" i="62"/>
  <c r="Q6" i="52"/>
  <c r="H30" i="62"/>
  <c r="Q26" i="52"/>
  <c r="BC151" i="61" s="1"/>
  <c r="H19" i="62"/>
  <c r="Q15" i="52"/>
  <c r="H31" i="62"/>
  <c r="Q27" i="52"/>
  <c r="H15" i="62"/>
  <c r="Q11" i="52"/>
  <c r="H24" i="62"/>
  <c r="Q20" i="52"/>
  <c r="BC145" i="61" s="1"/>
  <c r="H8" i="62"/>
  <c r="Q4" i="52"/>
  <c r="H25" i="62"/>
  <c r="Q21" i="52"/>
  <c r="H9" i="62"/>
  <c r="Q5" i="52"/>
  <c r="H26" i="62"/>
  <c r="Q22" i="52"/>
  <c r="BC147" i="61" s="1"/>
  <c r="H28" i="62"/>
  <c r="Q24" i="52"/>
  <c r="H12" i="62"/>
  <c r="Q8" i="52"/>
  <c r="BC133" i="61" s="1"/>
  <c r="H29" i="62"/>
  <c r="Q25" i="52"/>
  <c r="H13" i="62"/>
  <c r="Q9" i="52"/>
  <c r="H22" i="62"/>
  <c r="Q18" i="52"/>
  <c r="H18" i="62"/>
  <c r="Q14" i="52"/>
  <c r="BC139" i="61" s="1"/>
  <c r="H23" i="62"/>
  <c r="Q19" i="52"/>
  <c r="H16" i="62"/>
  <c r="Q12" i="52"/>
  <c r="H17" i="62"/>
  <c r="Q13" i="52"/>
  <c r="H14" i="62"/>
  <c r="Q10" i="52"/>
  <c r="E4" i="51"/>
  <c r="I41" i="1"/>
  <c r="S17" i="1" s="1"/>
  <c r="CB76" i="61" s="1"/>
  <c r="BG21" i="1"/>
  <c r="I40" i="1"/>
  <c r="I50" i="1"/>
  <c r="I38" i="1"/>
  <c r="BG29" i="1"/>
  <c r="I41" i="4"/>
  <c r="I37" i="1"/>
  <c r="BG19" i="1"/>
  <c r="BG24" i="1"/>
  <c r="I44" i="1"/>
  <c r="BG31" i="1"/>
  <c r="S30" i="1" s="1"/>
  <c r="CB89" i="61" s="1"/>
  <c r="BG26" i="1"/>
  <c r="A85" i="61"/>
  <c r="CN73" i="61"/>
  <c r="DB73" i="61"/>
  <c r="DD73" i="61" s="1"/>
  <c r="DE73" i="61" s="1"/>
  <c r="DB65" i="61"/>
  <c r="A93" i="61"/>
  <c r="A73" i="61"/>
  <c r="DB85" i="61"/>
  <c r="DC85" i="61" s="1"/>
  <c r="BG28" i="5"/>
  <c r="I40" i="5"/>
  <c r="I42" i="5"/>
  <c r="I55" i="5"/>
  <c r="I39" i="5"/>
  <c r="BG20" i="5"/>
  <c r="BG34" i="4"/>
  <c r="BG21" i="4"/>
  <c r="BG28" i="4"/>
  <c r="I49" i="1"/>
  <c r="BG33" i="1"/>
  <c r="BG25" i="1"/>
  <c r="BG17" i="1"/>
  <c r="S16" i="1" s="1"/>
  <c r="CB75" i="61" s="1"/>
  <c r="I56" i="1"/>
  <c r="I35" i="1"/>
  <c r="I39" i="1"/>
  <c r="I48" i="1"/>
  <c r="BG16" i="1"/>
  <c r="I42" i="1"/>
  <c r="BG22" i="1"/>
  <c r="DB77" i="61"/>
  <c r="DD77" i="61" s="1"/>
  <c r="DE77" i="61" s="1"/>
  <c r="I45" i="1"/>
  <c r="BG32" i="1"/>
  <c r="BG23" i="1"/>
  <c r="BG15" i="1"/>
  <c r="I51" i="1"/>
  <c r="BG28" i="1"/>
  <c r="I55" i="1"/>
  <c r="BG34" i="1"/>
  <c r="I43" i="1"/>
  <c r="BG14" i="1"/>
  <c r="I36" i="1"/>
  <c r="S12" i="1" s="1"/>
  <c r="CB71" i="61" s="1"/>
  <c r="BG12" i="1"/>
  <c r="BG33" i="4"/>
  <c r="BG17" i="4"/>
  <c r="I52" i="4"/>
  <c r="I55" i="4"/>
  <c r="BG20" i="4"/>
  <c r="BG30" i="4"/>
  <c r="BG13" i="4"/>
  <c r="I44" i="4"/>
  <c r="I39" i="4"/>
  <c r="BG16" i="4"/>
  <c r="I49" i="4"/>
  <c r="BG25" i="4"/>
  <c r="BG31" i="4"/>
  <c r="I36" i="4"/>
  <c r="I47" i="4"/>
  <c r="BG24" i="4"/>
  <c r="I50" i="4"/>
  <c r="I42" i="4"/>
  <c r="F45" i="61"/>
  <c r="F5" i="51" s="1"/>
  <c r="I45" i="4"/>
  <c r="BG32" i="4"/>
  <c r="BG23" i="4"/>
  <c r="BG15" i="4"/>
  <c r="S14" i="4" s="1"/>
  <c r="BY73" i="61" s="1"/>
  <c r="I56" i="4"/>
  <c r="I40" i="4"/>
  <c r="I43" i="4"/>
  <c r="BG29" i="4"/>
  <c r="BG22" i="4"/>
  <c r="I46" i="4"/>
  <c r="I53" i="4"/>
  <c r="I37" i="4"/>
  <c r="BG27" i="4"/>
  <c r="BG19" i="4"/>
  <c r="I48" i="4"/>
  <c r="I51" i="4"/>
  <c r="S27" i="4" s="1"/>
  <c r="BY86" i="61" s="1"/>
  <c r="I35" i="4"/>
  <c r="BG26" i="4"/>
  <c r="BG18" i="4"/>
  <c r="I54" i="4"/>
  <c r="CN75" i="61"/>
  <c r="AR1" i="61"/>
  <c r="AR2" i="61" s="1"/>
  <c r="FQ125" i="61" s="1"/>
  <c r="CN74" i="61"/>
  <c r="AQ1" i="61"/>
  <c r="AQ2" i="61" s="1"/>
  <c r="FP125" i="61" s="1"/>
  <c r="I52" i="5"/>
  <c r="I36" i="5"/>
  <c r="I51" i="5"/>
  <c r="I35" i="5"/>
  <c r="BG26" i="5"/>
  <c r="I54" i="5"/>
  <c r="I38" i="5"/>
  <c r="S14" i="5" s="1"/>
  <c r="BX73" i="61" s="1"/>
  <c r="I48" i="5"/>
  <c r="I47" i="5"/>
  <c r="BG31" i="5"/>
  <c r="BG24" i="5"/>
  <c r="I50" i="5"/>
  <c r="BG34" i="5"/>
  <c r="I44" i="5"/>
  <c r="I43" i="5"/>
  <c r="BG29" i="5"/>
  <c r="BG22" i="5"/>
  <c r="I46" i="5"/>
  <c r="I49" i="5"/>
  <c r="BG33" i="5"/>
  <c r="BG21" i="5"/>
  <c r="I41" i="5"/>
  <c r="BG19" i="5"/>
  <c r="BG27" i="5"/>
  <c r="I53" i="5"/>
  <c r="BG30" i="5"/>
  <c r="BG17" i="5"/>
  <c r="I57" i="5"/>
  <c r="I37" i="5"/>
  <c r="BG25" i="5"/>
  <c r="BG13" i="5"/>
  <c r="AO19" i="53"/>
  <c r="A19" i="53"/>
  <c r="C1" i="35"/>
  <c r="BC143" i="61"/>
  <c r="AO19" i="25"/>
  <c r="AO19" i="24"/>
  <c r="AO19" i="23"/>
  <c r="AO19" i="22"/>
  <c r="AO19" i="21"/>
  <c r="AO19" i="20"/>
  <c r="AO19" i="19"/>
  <c r="AO19" i="18"/>
  <c r="AO19" i="17"/>
  <c r="AO19" i="16"/>
  <c r="AO19" i="15"/>
  <c r="AO19" i="14"/>
  <c r="AO19" i="13"/>
  <c r="AO19" i="12"/>
  <c r="AO19" i="11"/>
  <c r="AO19" i="10"/>
  <c r="AO19" i="9"/>
  <c r="AO19" i="8"/>
  <c r="AO19" i="7"/>
  <c r="AO19" i="6"/>
  <c r="AO19" i="5"/>
  <c r="AO19" i="4"/>
  <c r="AO19" i="3"/>
  <c r="AO19" i="2"/>
  <c r="AO19" i="1"/>
  <c r="A19" i="19"/>
  <c r="A19" i="17"/>
  <c r="A19" i="12"/>
  <c r="A19" i="9"/>
  <c r="A19" i="7"/>
  <c r="A19" i="6"/>
  <c r="A19" i="4"/>
  <c r="A19" i="2"/>
  <c r="A19" i="25"/>
  <c r="A19" i="23"/>
  <c r="A19" i="21"/>
  <c r="A19" i="15"/>
  <c r="A19" i="14"/>
  <c r="A19" i="5"/>
  <c r="A19" i="24"/>
  <c r="A19" i="22"/>
  <c r="A19" i="20"/>
  <c r="A19" i="18"/>
  <c r="A19" i="16"/>
  <c r="A19" i="13"/>
  <c r="A19" i="11"/>
  <c r="A19" i="10"/>
  <c r="A19" i="8"/>
  <c r="A19" i="3"/>
  <c r="A19" i="1"/>
  <c r="AO15" i="25"/>
  <c r="AO15" i="24"/>
  <c r="AO15" i="23"/>
  <c r="AO15" i="22"/>
  <c r="AO15" i="21"/>
  <c r="AO15" i="20"/>
  <c r="AO15" i="19"/>
  <c r="AO15" i="18"/>
  <c r="AO15" i="17"/>
  <c r="AO15" i="16"/>
  <c r="C1" i="39"/>
  <c r="AO15" i="53"/>
  <c r="A15" i="53"/>
  <c r="A15" i="24"/>
  <c r="A15" i="22"/>
  <c r="A15" i="20"/>
  <c r="A15" i="18"/>
  <c r="A15" i="16"/>
  <c r="A15" i="25"/>
  <c r="A15" i="23"/>
  <c r="A15" i="21"/>
  <c r="A15" i="19"/>
  <c r="A15" i="17"/>
  <c r="AO15" i="15"/>
  <c r="AO15" i="14"/>
  <c r="AO15" i="13"/>
  <c r="AO15" i="12"/>
  <c r="AO15" i="11"/>
  <c r="AO15" i="10"/>
  <c r="AO15" i="9"/>
  <c r="AO15" i="8"/>
  <c r="AO15" i="7"/>
  <c r="AO15" i="6"/>
  <c r="AO15" i="5"/>
  <c r="AO15" i="4"/>
  <c r="AO15" i="3"/>
  <c r="AO15" i="2"/>
  <c r="AO15" i="1"/>
  <c r="A15" i="15"/>
  <c r="A15" i="14"/>
  <c r="A15" i="13"/>
  <c r="A15" i="12"/>
  <c r="A15" i="11"/>
  <c r="A15" i="10"/>
  <c r="A15" i="9"/>
  <c r="A15" i="8"/>
  <c r="A15" i="7"/>
  <c r="A15" i="6"/>
  <c r="A15" i="5"/>
  <c r="A15" i="4"/>
  <c r="A15" i="3"/>
  <c r="A15" i="2"/>
  <c r="A15" i="1"/>
  <c r="AO11" i="53"/>
  <c r="C1" i="43"/>
  <c r="A11" i="53"/>
  <c r="BC135" i="61"/>
  <c r="AO11" i="25"/>
  <c r="AO11" i="24"/>
  <c r="AO11" i="23"/>
  <c r="AO11" i="22"/>
  <c r="AO11" i="21"/>
  <c r="AO11" i="20"/>
  <c r="AO11" i="19"/>
  <c r="AO11" i="18"/>
  <c r="AO11" i="17"/>
  <c r="AO11" i="16"/>
  <c r="AO11" i="15"/>
  <c r="AO11" i="14"/>
  <c r="AO11" i="13"/>
  <c r="AO11" i="12"/>
  <c r="AO11" i="11"/>
  <c r="AO11" i="10"/>
  <c r="AO11" i="9"/>
  <c r="AO11" i="8"/>
  <c r="AO11" i="7"/>
  <c r="AO11" i="6"/>
  <c r="AO11" i="5"/>
  <c r="AO11" i="4"/>
  <c r="AO11" i="3"/>
  <c r="AO11" i="2"/>
  <c r="A11" i="14"/>
  <c r="A11" i="13"/>
  <c r="A11" i="11"/>
  <c r="A11" i="3"/>
  <c r="A11" i="24"/>
  <c r="A11" i="22"/>
  <c r="A11" i="20"/>
  <c r="A11" i="18"/>
  <c r="A11" i="16"/>
  <c r="A11" i="10"/>
  <c r="A11" i="4"/>
  <c r="A11" i="8"/>
  <c r="A11" i="1"/>
  <c r="A11" i="25"/>
  <c r="A11" i="23"/>
  <c r="A11" i="21"/>
  <c r="A11" i="19"/>
  <c r="A11" i="17"/>
  <c r="AO11" i="1"/>
  <c r="A11" i="15"/>
  <c r="A11" i="12"/>
  <c r="A11" i="9"/>
  <c r="A11" i="7"/>
  <c r="A11" i="6"/>
  <c r="A11" i="5"/>
  <c r="A11" i="2"/>
  <c r="C1" i="47"/>
  <c r="AO7" i="25"/>
  <c r="AO7" i="24"/>
  <c r="AO7" i="23"/>
  <c r="AO7" i="22"/>
  <c r="AO7" i="21"/>
  <c r="AO7" i="20"/>
  <c r="AO7" i="19"/>
  <c r="AO7" i="18"/>
  <c r="AO7" i="17"/>
  <c r="A7" i="53"/>
  <c r="AO7" i="53"/>
  <c r="BC131" i="61"/>
  <c r="A7" i="25"/>
  <c r="A7" i="23"/>
  <c r="A7" i="21"/>
  <c r="A7" i="19"/>
  <c r="A7" i="17"/>
  <c r="A7" i="24"/>
  <c r="A7" i="22"/>
  <c r="A7" i="20"/>
  <c r="A7" i="18"/>
  <c r="AO7" i="16"/>
  <c r="AO7" i="15"/>
  <c r="AO7" i="14"/>
  <c r="AO7" i="13"/>
  <c r="AO7" i="12"/>
  <c r="AO7" i="11"/>
  <c r="AO7" i="10"/>
  <c r="AO7" i="9"/>
  <c r="AO7" i="8"/>
  <c r="AO7" i="7"/>
  <c r="AO7" i="6"/>
  <c r="AO7" i="5"/>
  <c r="AO7" i="4"/>
  <c r="AO7" i="3"/>
  <c r="AO7" i="2"/>
  <c r="AO7" i="1"/>
  <c r="A7" i="16"/>
  <c r="A7" i="15"/>
  <c r="A7" i="14"/>
  <c r="A7" i="13"/>
  <c r="A7" i="12"/>
  <c r="A7" i="11"/>
  <c r="A7" i="10"/>
  <c r="A7" i="9"/>
  <c r="A7" i="8"/>
  <c r="A7" i="7"/>
  <c r="A7" i="6"/>
  <c r="A7" i="5"/>
  <c r="A7" i="4"/>
  <c r="A7" i="3"/>
  <c r="A7" i="2"/>
  <c r="A7" i="1"/>
  <c r="AO27" i="53"/>
  <c r="A27" i="53"/>
  <c r="AO27" i="25"/>
  <c r="AO27" i="24"/>
  <c r="AO27" i="23"/>
  <c r="AO27" i="22"/>
  <c r="AO27" i="21"/>
  <c r="AO27" i="20"/>
  <c r="AO27" i="19"/>
  <c r="AO27" i="18"/>
  <c r="AO27" i="17"/>
  <c r="AO27" i="16"/>
  <c r="C1" i="27"/>
  <c r="AO27" i="15"/>
  <c r="AO27" i="14"/>
  <c r="AO27" i="13"/>
  <c r="AO27" i="12"/>
  <c r="AO27" i="11"/>
  <c r="AO27" i="10"/>
  <c r="AO27" i="9"/>
  <c r="AO27" i="8"/>
  <c r="AO27" i="7"/>
  <c r="AO27" i="6"/>
  <c r="AO27" i="5"/>
  <c r="AO27" i="4"/>
  <c r="AO27" i="3"/>
  <c r="AO27" i="2"/>
  <c r="A27" i="15"/>
  <c r="A27" i="10"/>
  <c r="A27" i="8"/>
  <c r="A27" i="5"/>
  <c r="A27" i="1"/>
  <c r="A27" i="24"/>
  <c r="A27" i="22"/>
  <c r="A27" i="20"/>
  <c r="A27" i="14"/>
  <c r="A27" i="7"/>
  <c r="A27" i="18"/>
  <c r="A27" i="16"/>
  <c r="A27" i="13"/>
  <c r="A27" i="12"/>
  <c r="A27" i="11"/>
  <c r="A27" i="9"/>
  <c r="A27" i="6"/>
  <c r="A27" i="4"/>
  <c r="A27" i="3"/>
  <c r="A27" i="2"/>
  <c r="A27" i="25"/>
  <c r="A27" i="23"/>
  <c r="A27" i="21"/>
  <c r="A27" i="19"/>
  <c r="A27" i="17"/>
  <c r="AO27" i="1"/>
  <c r="AO23" i="25"/>
  <c r="AO23" i="24"/>
  <c r="AO23" i="23"/>
  <c r="AO23" i="22"/>
  <c r="AO23" i="21"/>
  <c r="AO23" i="20"/>
  <c r="AO23" i="19"/>
  <c r="AO23" i="18"/>
  <c r="AO23" i="17"/>
  <c r="AO23" i="16"/>
  <c r="C1" i="31"/>
  <c r="AO23" i="53"/>
  <c r="A23" i="53"/>
  <c r="A23" i="25"/>
  <c r="A23" i="23"/>
  <c r="A23" i="21"/>
  <c r="A23" i="19"/>
  <c r="A23" i="17"/>
  <c r="A23" i="24"/>
  <c r="A23" i="22"/>
  <c r="A23" i="20"/>
  <c r="A23" i="18"/>
  <c r="A23" i="16"/>
  <c r="AO23" i="15"/>
  <c r="AO23" i="14"/>
  <c r="AO23" i="13"/>
  <c r="AO23" i="12"/>
  <c r="AO23" i="11"/>
  <c r="AO23" i="10"/>
  <c r="AO23" i="9"/>
  <c r="AO23" i="8"/>
  <c r="AO23" i="7"/>
  <c r="AO23" i="6"/>
  <c r="AO23" i="5"/>
  <c r="AO23" i="4"/>
  <c r="AO23" i="3"/>
  <c r="AO23" i="2"/>
  <c r="AO23" i="1"/>
  <c r="A23" i="15"/>
  <c r="A23" i="14"/>
  <c r="A23" i="13"/>
  <c r="A23" i="12"/>
  <c r="A23" i="11"/>
  <c r="A23" i="10"/>
  <c r="A23" i="9"/>
  <c r="A23" i="8"/>
  <c r="A23" i="7"/>
  <c r="A23" i="6"/>
  <c r="A23" i="5"/>
  <c r="A23" i="4"/>
  <c r="A23" i="3"/>
  <c r="A23" i="2"/>
  <c r="A23" i="1"/>
  <c r="S33" i="1"/>
  <c r="CB92" i="61" s="1"/>
  <c r="CC38" i="61"/>
  <c r="CG76" i="61" s="1"/>
  <c r="S22" i="1"/>
  <c r="CB81" i="61" s="1"/>
  <c r="I45" i="5"/>
  <c r="BG32" i="5"/>
  <c r="BG23" i="5"/>
  <c r="I57" i="4"/>
  <c r="BG14" i="4"/>
  <c r="BG12" i="4"/>
  <c r="S24" i="1"/>
  <c r="CB83" i="61" s="1"/>
  <c r="I56" i="5"/>
  <c r="BG18" i="5"/>
  <c r="BG14" i="5"/>
  <c r="BG16" i="5"/>
  <c r="BG12" i="5"/>
  <c r="V155" i="61"/>
  <c r="AW155" i="61"/>
  <c r="AW69" i="61"/>
  <c r="A94" i="61"/>
  <c r="DB86" i="61"/>
  <c r="A28" i="53"/>
  <c r="AO28" i="53"/>
  <c r="BC152" i="61"/>
  <c r="C1" i="26"/>
  <c r="A28" i="25"/>
  <c r="AO28" i="25"/>
  <c r="A28" i="24"/>
  <c r="AO28" i="21"/>
  <c r="A28" i="20"/>
  <c r="AO28" i="17"/>
  <c r="A28" i="16"/>
  <c r="AO28" i="13"/>
  <c r="A28" i="12"/>
  <c r="A28" i="23"/>
  <c r="AO28" i="20"/>
  <c r="A28" i="19"/>
  <c r="AO28" i="16"/>
  <c r="A28" i="15"/>
  <c r="AO28" i="12"/>
  <c r="A28" i="11"/>
  <c r="AO28" i="8"/>
  <c r="AO28" i="23"/>
  <c r="A28" i="22"/>
  <c r="AO28" i="19"/>
  <c r="A28" i="18"/>
  <c r="AO28" i="15"/>
  <c r="A28" i="14"/>
  <c r="AO28" i="11"/>
  <c r="A28" i="10"/>
  <c r="AO28" i="7"/>
  <c r="AO28" i="24"/>
  <c r="AO28" i="22"/>
  <c r="A28" i="21"/>
  <c r="AO28" i="18"/>
  <c r="A28" i="17"/>
  <c r="AO28" i="14"/>
  <c r="A28" i="13"/>
  <c r="AO28" i="10"/>
  <c r="A28" i="9"/>
  <c r="AO28" i="6"/>
  <c r="AO28" i="4"/>
  <c r="A28" i="3"/>
  <c r="AO28" i="3"/>
  <c r="A28" i="2"/>
  <c r="A28" i="6"/>
  <c r="A28" i="5"/>
  <c r="AO28" i="2"/>
  <c r="A28" i="1"/>
  <c r="AO28" i="9"/>
  <c r="A28" i="8"/>
  <c r="A28" i="7"/>
  <c r="AO28" i="5"/>
  <c r="A28" i="4"/>
  <c r="AO28" i="1"/>
  <c r="DB70" i="61"/>
  <c r="A78" i="61"/>
  <c r="AO12" i="53"/>
  <c r="BC136" i="61"/>
  <c r="A12" i="53"/>
  <c r="C1" i="42"/>
  <c r="A12" i="25"/>
  <c r="AO12" i="25"/>
  <c r="A12" i="24"/>
  <c r="AO12" i="21"/>
  <c r="A12" i="20"/>
  <c r="AO12" i="17"/>
  <c r="A12" i="16"/>
  <c r="AO12" i="13"/>
  <c r="A12" i="12"/>
  <c r="A12" i="23"/>
  <c r="AO12" i="20"/>
  <c r="A12" i="19"/>
  <c r="AO12" i="16"/>
  <c r="A12" i="15"/>
  <c r="AO12" i="12"/>
  <c r="A12" i="11"/>
  <c r="AO12" i="8"/>
  <c r="AO12" i="23"/>
  <c r="A12" i="22"/>
  <c r="AO12" i="19"/>
  <c r="A12" i="18"/>
  <c r="AO12" i="15"/>
  <c r="A12" i="14"/>
  <c r="AO12" i="11"/>
  <c r="A12" i="10"/>
  <c r="AO12" i="7"/>
  <c r="AO12" i="24"/>
  <c r="AO12" i="22"/>
  <c r="A12" i="21"/>
  <c r="AO12" i="18"/>
  <c r="A12" i="17"/>
  <c r="AO12" i="14"/>
  <c r="A12" i="13"/>
  <c r="AO12" i="10"/>
  <c r="A12" i="9"/>
  <c r="AO12" i="4"/>
  <c r="A12" i="3"/>
  <c r="A12" i="6"/>
  <c r="AO12" i="3"/>
  <c r="A12" i="2"/>
  <c r="AO12" i="6"/>
  <c r="A12" i="5"/>
  <c r="AO12" i="2"/>
  <c r="AO12" i="9"/>
  <c r="A12" i="8"/>
  <c r="A12" i="7"/>
  <c r="AO12" i="5"/>
  <c r="A12" i="4"/>
  <c r="AO12" i="1"/>
  <c r="A12" i="1"/>
  <c r="AG2" i="61"/>
  <c r="FF125" i="61" s="1"/>
  <c r="A87" i="61"/>
  <c r="DB79" i="61"/>
  <c r="A21" i="53"/>
  <c r="AO21" i="53"/>
  <c r="C1" i="33"/>
  <c r="A21" i="25"/>
  <c r="A21" i="24"/>
  <c r="AO21" i="23"/>
  <c r="A21" i="22"/>
  <c r="AO21" i="19"/>
  <c r="A21" i="18"/>
  <c r="AO21" i="15"/>
  <c r="A21" i="14"/>
  <c r="AO21" i="11"/>
  <c r="A21" i="10"/>
  <c r="AO21" i="24"/>
  <c r="AO21" i="22"/>
  <c r="A21" i="21"/>
  <c r="AO21" i="18"/>
  <c r="A21" i="17"/>
  <c r="AO21" i="14"/>
  <c r="A21" i="13"/>
  <c r="AO21" i="10"/>
  <c r="A21" i="9"/>
  <c r="AO21" i="25"/>
  <c r="AO21" i="21"/>
  <c r="A21" i="20"/>
  <c r="AO21" i="17"/>
  <c r="A21" i="16"/>
  <c r="AO21" i="13"/>
  <c r="A21" i="12"/>
  <c r="AO21" i="9"/>
  <c r="A21" i="8"/>
  <c r="A21" i="23"/>
  <c r="AO21" i="20"/>
  <c r="A21" i="19"/>
  <c r="AO21" i="16"/>
  <c r="A21" i="15"/>
  <c r="AO21" i="12"/>
  <c r="A21" i="11"/>
  <c r="AO21" i="8"/>
  <c r="A21" i="7"/>
  <c r="AO21" i="6"/>
  <c r="A21" i="5"/>
  <c r="AO21" i="2"/>
  <c r="A21" i="1"/>
  <c r="AO21" i="1"/>
  <c r="AO21" i="5"/>
  <c r="A21" i="4"/>
  <c r="AO21" i="7"/>
  <c r="AO21" i="4"/>
  <c r="A21" i="3"/>
  <c r="A21" i="6"/>
  <c r="AO21" i="3"/>
  <c r="A21" i="2"/>
  <c r="A71" i="61"/>
  <c r="DB63" i="61"/>
  <c r="A5" i="53"/>
  <c r="BC129" i="61"/>
  <c r="AO5" i="53"/>
  <c r="C1" i="49"/>
  <c r="AO5" i="25"/>
  <c r="A5" i="25"/>
  <c r="AO5" i="22"/>
  <c r="A5" i="21"/>
  <c r="AO5" i="18"/>
  <c r="A5" i="17"/>
  <c r="AO5" i="14"/>
  <c r="A5" i="13"/>
  <c r="AO5" i="10"/>
  <c r="A5" i="24"/>
  <c r="AO5" i="21"/>
  <c r="A5" i="20"/>
  <c r="AO5" i="17"/>
  <c r="A5" i="16"/>
  <c r="AO5" i="13"/>
  <c r="A5" i="12"/>
  <c r="AO5" i="9"/>
  <c r="AO5" i="24"/>
  <c r="A5" i="23"/>
  <c r="AO5" i="20"/>
  <c r="A5" i="19"/>
  <c r="AO5" i="16"/>
  <c r="A5" i="15"/>
  <c r="AO5" i="12"/>
  <c r="A5" i="11"/>
  <c r="AO5" i="8"/>
  <c r="AO5" i="23"/>
  <c r="A5" i="22"/>
  <c r="AO5" i="19"/>
  <c r="A5" i="18"/>
  <c r="AO5" i="15"/>
  <c r="A5" i="14"/>
  <c r="AO5" i="11"/>
  <c r="A5" i="10"/>
  <c r="AO5" i="7"/>
  <c r="AO5" i="5"/>
  <c r="A5" i="4"/>
  <c r="AO5" i="1"/>
  <c r="A5" i="7"/>
  <c r="AO5" i="4"/>
  <c r="A5" i="3"/>
  <c r="A5" i="8"/>
  <c r="A5" i="6"/>
  <c r="AO5" i="3"/>
  <c r="A5" i="2"/>
  <c r="A5" i="9"/>
  <c r="AO5" i="6"/>
  <c r="A5" i="5"/>
  <c r="AO5" i="2"/>
  <c r="A5" i="1"/>
  <c r="AJ2" i="61"/>
  <c r="FI125" i="61" s="1"/>
  <c r="A84" i="61"/>
  <c r="DB76" i="61"/>
  <c r="A18" i="53"/>
  <c r="AO18" i="53"/>
  <c r="C1" i="36"/>
  <c r="A18" i="25"/>
  <c r="AO18" i="25"/>
  <c r="A18" i="24"/>
  <c r="AO18" i="24"/>
  <c r="AO18" i="21"/>
  <c r="A18" i="20"/>
  <c r="AO18" i="17"/>
  <c r="A18" i="16"/>
  <c r="AO18" i="13"/>
  <c r="A18" i="12"/>
  <c r="A18" i="23"/>
  <c r="AO18" i="20"/>
  <c r="A18" i="19"/>
  <c r="AO18" i="16"/>
  <c r="A18" i="15"/>
  <c r="AO18" i="12"/>
  <c r="A18" i="11"/>
  <c r="AO18" i="8"/>
  <c r="AO18" i="23"/>
  <c r="A18" i="22"/>
  <c r="AO18" i="19"/>
  <c r="A18" i="18"/>
  <c r="AO18" i="15"/>
  <c r="A18" i="14"/>
  <c r="AO18" i="11"/>
  <c r="A18" i="10"/>
  <c r="AO18" i="7"/>
  <c r="AO18" i="22"/>
  <c r="A18" i="21"/>
  <c r="AO18" i="18"/>
  <c r="A18" i="17"/>
  <c r="AO18" i="14"/>
  <c r="A18" i="13"/>
  <c r="AO18" i="10"/>
  <c r="A18" i="9"/>
  <c r="AO18" i="6"/>
  <c r="AO18" i="9"/>
  <c r="A18" i="8"/>
  <c r="A18" i="7"/>
  <c r="AO18" i="4"/>
  <c r="A18" i="3"/>
  <c r="A18" i="6"/>
  <c r="AO18" i="3"/>
  <c r="A18" i="2"/>
  <c r="A18" i="1"/>
  <c r="A18" i="5"/>
  <c r="AO18" i="2"/>
  <c r="AO18" i="5"/>
  <c r="A18" i="4"/>
  <c r="AO18" i="1"/>
  <c r="AI2" i="61"/>
  <c r="FH125" i="61" s="1"/>
  <c r="T69" i="61"/>
  <c r="DD4" i="61" s="1"/>
  <c r="BV69" i="61"/>
  <c r="B22" i="59"/>
  <c r="T2" i="56"/>
  <c r="Y186" i="61" s="1"/>
  <c r="W210" i="61" s="1"/>
  <c r="B22" i="50"/>
  <c r="B22" i="48"/>
  <c r="B22" i="49"/>
  <c r="B22" i="47"/>
  <c r="B22" i="46"/>
  <c r="B22" i="43"/>
  <c r="AD119" i="43" s="1"/>
  <c r="B22" i="45"/>
  <c r="B22" i="44"/>
  <c r="B22" i="42"/>
  <c r="B22" i="41"/>
  <c r="B22" i="40"/>
  <c r="B22" i="39"/>
  <c r="B22" i="38"/>
  <c r="B22" i="37"/>
  <c r="B22" i="36"/>
  <c r="B22" i="35"/>
  <c r="B22" i="34"/>
  <c r="B22" i="33"/>
  <c r="B22" i="32"/>
  <c r="B22" i="30"/>
  <c r="B22" i="26"/>
  <c r="B22" i="29"/>
  <c r="B22" i="28"/>
  <c r="B22" i="31"/>
  <c r="B22" i="27"/>
  <c r="B1" i="7"/>
  <c r="DC77" i="61"/>
  <c r="CN71" i="61"/>
  <c r="CN72" i="61"/>
  <c r="A52" i="59"/>
  <c r="DD85" i="61"/>
  <c r="DE85" i="61" s="1"/>
  <c r="DD69" i="61"/>
  <c r="DE69" i="61" s="1"/>
  <c r="DC69" i="61"/>
  <c r="A167" i="61"/>
  <c r="AB167" i="61"/>
  <c r="AB81" i="61"/>
  <c r="CK41" i="61"/>
  <c r="CG16" i="61"/>
  <c r="CH16" i="61" s="1"/>
  <c r="CI16" i="61" s="1"/>
  <c r="CK16" i="61"/>
  <c r="A45" i="50"/>
  <c r="A48" i="48"/>
  <c r="A53" i="49"/>
  <c r="AC53" i="48"/>
  <c r="AC49" i="48"/>
  <c r="O44" i="49"/>
  <c r="O40" i="44"/>
  <c r="O48" i="47"/>
  <c r="A56" i="45"/>
  <c r="A52" i="45"/>
  <c r="A45" i="44"/>
  <c r="O39" i="43"/>
  <c r="A49" i="43"/>
  <c r="A48" i="42"/>
  <c r="AC49" i="45"/>
  <c r="AC53" i="45"/>
  <c r="O47" i="43"/>
  <c r="O51" i="43"/>
  <c r="A61" i="44"/>
  <c r="A57" i="44"/>
  <c r="A52" i="43"/>
  <c r="A56" i="43"/>
  <c r="O40" i="42"/>
  <c r="O52" i="42"/>
  <c r="O56" i="42"/>
  <c r="A53" i="41"/>
  <c r="A56" i="39"/>
  <c r="A52" i="39"/>
  <c r="O51" i="37"/>
  <c r="O47" i="37"/>
  <c r="O48" i="41"/>
  <c r="O43" i="40"/>
  <c r="A56" i="37"/>
  <c r="A52" i="37"/>
  <c r="A44" i="36"/>
  <c r="O47" i="33"/>
  <c r="O51" i="33"/>
  <c r="A53" i="35"/>
  <c r="O63" i="32"/>
  <c r="A56" i="30"/>
  <c r="A52" i="30"/>
  <c r="O51" i="28"/>
  <c r="O47" i="28"/>
  <c r="O53" i="32"/>
  <c r="O47" i="31"/>
  <c r="O51" i="31"/>
  <c r="A48" i="29"/>
  <c r="AC49" i="34"/>
  <c r="AC53" i="34"/>
  <c r="A45" i="29"/>
  <c r="A45" i="27"/>
  <c r="O44" i="26"/>
  <c r="O48" i="29"/>
  <c r="O39" i="26"/>
  <c r="A48" i="26"/>
  <c r="A57" i="32"/>
  <c r="A61" i="32"/>
  <c r="A61" i="27"/>
  <c r="A57" i="27"/>
  <c r="A52" i="26"/>
  <c r="A56" i="26"/>
  <c r="Z155" i="61"/>
  <c r="BA155" i="61"/>
  <c r="BA69" i="61"/>
  <c r="DB74" i="61"/>
  <c r="A82" i="61"/>
  <c r="A16" i="53"/>
  <c r="AO16" i="53"/>
  <c r="BC140" i="61"/>
  <c r="C1" i="38"/>
  <c r="A16" i="25"/>
  <c r="AO16" i="25"/>
  <c r="A16" i="24"/>
  <c r="AO16" i="21"/>
  <c r="A16" i="20"/>
  <c r="AO16" i="17"/>
  <c r="A16" i="16"/>
  <c r="AO16" i="13"/>
  <c r="A16" i="12"/>
  <c r="AO16" i="24"/>
  <c r="A16" i="23"/>
  <c r="AO16" i="20"/>
  <c r="A16" i="19"/>
  <c r="AO16" i="16"/>
  <c r="A16" i="15"/>
  <c r="AO16" i="12"/>
  <c r="A16" i="11"/>
  <c r="AO16" i="8"/>
  <c r="AO16" i="23"/>
  <c r="A16" i="22"/>
  <c r="AO16" i="19"/>
  <c r="A16" i="18"/>
  <c r="AO16" i="15"/>
  <c r="A16" i="14"/>
  <c r="AO16" i="11"/>
  <c r="A16" i="10"/>
  <c r="AO16" i="7"/>
  <c r="AO16" i="22"/>
  <c r="A16" i="21"/>
  <c r="AO16" i="18"/>
  <c r="A16" i="17"/>
  <c r="AO16" i="14"/>
  <c r="A16" i="13"/>
  <c r="AO16" i="10"/>
  <c r="A16" i="9"/>
  <c r="AO16" i="4"/>
  <c r="A16" i="3"/>
  <c r="A16" i="6"/>
  <c r="AO16" i="3"/>
  <c r="A16" i="2"/>
  <c r="A16" i="1"/>
  <c r="A16" i="7"/>
  <c r="AO16" i="6"/>
  <c r="A16" i="5"/>
  <c r="AO16" i="2"/>
  <c r="AO16" i="9"/>
  <c r="A16" i="8"/>
  <c r="AO16" i="5"/>
  <c r="A16" i="4"/>
  <c r="AO16" i="1"/>
  <c r="Y69" i="61"/>
  <c r="DI4" i="61" s="1"/>
  <c r="CA69" i="61"/>
  <c r="B27" i="59"/>
  <c r="Y2" i="56"/>
  <c r="AD186" i="61" s="1"/>
  <c r="AB210" i="61" s="1"/>
  <c r="B27" i="50"/>
  <c r="B27" i="49"/>
  <c r="B27" i="48"/>
  <c r="B27" i="47"/>
  <c r="B27" i="44"/>
  <c r="B27" i="46"/>
  <c r="B27" i="45"/>
  <c r="B27" i="43"/>
  <c r="B27" i="42"/>
  <c r="B27" i="41"/>
  <c r="B27" i="40"/>
  <c r="B27" i="39"/>
  <c r="B27" i="38"/>
  <c r="B27" i="37"/>
  <c r="B27" i="33"/>
  <c r="B27" i="36"/>
  <c r="B27" i="35"/>
  <c r="B27" i="34"/>
  <c r="B27" i="31"/>
  <c r="B27" i="27"/>
  <c r="B27" i="30"/>
  <c r="B27" i="32"/>
  <c r="B27" i="29"/>
  <c r="B27" i="28"/>
  <c r="B27" i="26"/>
  <c r="B1" i="2"/>
  <c r="A91" i="61"/>
  <c r="DB83" i="61"/>
  <c r="AO25" i="53"/>
  <c r="BC149" i="61"/>
  <c r="A25" i="53"/>
  <c r="A25" i="25"/>
  <c r="C1" i="29"/>
  <c r="AO25" i="23"/>
  <c r="A25" i="22"/>
  <c r="AO25" i="19"/>
  <c r="A25" i="18"/>
  <c r="AO25" i="15"/>
  <c r="A25" i="14"/>
  <c r="AO25" i="11"/>
  <c r="A25" i="10"/>
  <c r="AO25" i="22"/>
  <c r="A25" i="21"/>
  <c r="AO25" i="18"/>
  <c r="A25" i="17"/>
  <c r="AO25" i="14"/>
  <c r="A25" i="13"/>
  <c r="AO25" i="10"/>
  <c r="A25" i="9"/>
  <c r="A25" i="24"/>
  <c r="AO25" i="21"/>
  <c r="A25" i="20"/>
  <c r="AO25" i="17"/>
  <c r="A25" i="16"/>
  <c r="AO25" i="13"/>
  <c r="A25" i="12"/>
  <c r="AO25" i="9"/>
  <c r="A25" i="8"/>
  <c r="AO25" i="25"/>
  <c r="AO25" i="24"/>
  <c r="A25" i="23"/>
  <c r="AO25" i="20"/>
  <c r="A25" i="19"/>
  <c r="AO25" i="16"/>
  <c r="A25" i="15"/>
  <c r="AO25" i="12"/>
  <c r="A25" i="11"/>
  <c r="AO25" i="8"/>
  <c r="A25" i="7"/>
  <c r="A25" i="5"/>
  <c r="AO25" i="2"/>
  <c r="AO25" i="7"/>
  <c r="A25" i="6"/>
  <c r="AO25" i="5"/>
  <c r="A25" i="4"/>
  <c r="AO25" i="1"/>
  <c r="AO25" i="6"/>
  <c r="AO25" i="4"/>
  <c r="A25" i="3"/>
  <c r="AO25" i="3"/>
  <c r="A25" i="2"/>
  <c r="A25" i="1"/>
  <c r="A75" i="61"/>
  <c r="DB67" i="61"/>
  <c r="A9" i="53"/>
  <c r="AO9" i="53"/>
  <c r="C1" i="45"/>
  <c r="A9" i="25"/>
  <c r="AO9" i="24"/>
  <c r="AO9" i="23"/>
  <c r="A9" i="21"/>
  <c r="AO9" i="19"/>
  <c r="A9" i="17"/>
  <c r="AO9" i="15"/>
  <c r="A9" i="13"/>
  <c r="AO9" i="11"/>
  <c r="AO9" i="22"/>
  <c r="A9" i="20"/>
  <c r="AO9" i="18"/>
  <c r="A9" i="16"/>
  <c r="AO9" i="14"/>
  <c r="A9" i="12"/>
  <c r="AO9" i="10"/>
  <c r="A9" i="8"/>
  <c r="A9" i="24"/>
  <c r="A9" i="23"/>
  <c r="AO9" i="21"/>
  <c r="A9" i="19"/>
  <c r="AO9" i="17"/>
  <c r="A9" i="15"/>
  <c r="AO9" i="13"/>
  <c r="A9" i="11"/>
  <c r="AO9" i="9"/>
  <c r="A9" i="7"/>
  <c r="AO9" i="25"/>
  <c r="A9" i="22"/>
  <c r="AO9" i="20"/>
  <c r="A9" i="18"/>
  <c r="AO9" i="16"/>
  <c r="A9" i="14"/>
  <c r="AO9" i="12"/>
  <c r="A9" i="10"/>
  <c r="AO9" i="8"/>
  <c r="AO9" i="7"/>
  <c r="AO9" i="6"/>
  <c r="A9" i="4"/>
  <c r="AO9" i="2"/>
  <c r="AO9" i="1"/>
  <c r="A9" i="9"/>
  <c r="AO9" i="5"/>
  <c r="A9" i="3"/>
  <c r="A9" i="6"/>
  <c r="AO9" i="4"/>
  <c r="A9" i="2"/>
  <c r="A9" i="5"/>
  <c r="AO9" i="3"/>
  <c r="A9" i="1"/>
  <c r="AF2" i="61"/>
  <c r="FE125" i="61" s="1"/>
  <c r="A88" i="61"/>
  <c r="DB80" i="61"/>
  <c r="A22" i="53"/>
  <c r="AO22" i="53"/>
  <c r="BC146" i="61"/>
  <c r="C1" i="32"/>
  <c r="A22" i="25"/>
  <c r="AO22" i="25"/>
  <c r="A22" i="24"/>
  <c r="AO22" i="21"/>
  <c r="A22" i="20"/>
  <c r="AO22" i="17"/>
  <c r="A22" i="16"/>
  <c r="AO22" i="13"/>
  <c r="A22" i="12"/>
  <c r="A22" i="23"/>
  <c r="AO22" i="20"/>
  <c r="A22" i="19"/>
  <c r="AO22" i="16"/>
  <c r="A22" i="15"/>
  <c r="AO22" i="12"/>
  <c r="A22" i="11"/>
  <c r="AO22" i="8"/>
  <c r="AO22" i="24"/>
  <c r="AO22" i="23"/>
  <c r="A22" i="22"/>
  <c r="AO22" i="19"/>
  <c r="A22" i="18"/>
  <c r="AO22" i="15"/>
  <c r="A22" i="14"/>
  <c r="AO22" i="11"/>
  <c r="A22" i="10"/>
  <c r="AO22" i="7"/>
  <c r="AO22" i="22"/>
  <c r="A22" i="21"/>
  <c r="AO22" i="18"/>
  <c r="A22" i="17"/>
  <c r="AO22" i="14"/>
  <c r="A22" i="13"/>
  <c r="AO22" i="10"/>
  <c r="A22" i="9"/>
  <c r="AO22" i="6"/>
  <c r="AO22" i="9"/>
  <c r="A22" i="8"/>
  <c r="AO22" i="4"/>
  <c r="A22" i="3"/>
  <c r="A22" i="6"/>
  <c r="AO22" i="3"/>
  <c r="A22" i="2"/>
  <c r="A22" i="1"/>
  <c r="A22" i="5"/>
  <c r="AO22" i="2"/>
  <c r="A22" i="7"/>
  <c r="AO22" i="5"/>
  <c r="A22" i="4"/>
  <c r="AO22" i="1"/>
  <c r="A72" i="61"/>
  <c r="DB64" i="61"/>
  <c r="AO6" i="53"/>
  <c r="BC130" i="61"/>
  <c r="A6" i="53"/>
  <c r="C1" i="48"/>
  <c r="AO6" i="25"/>
  <c r="AO6" i="24"/>
  <c r="A6" i="23"/>
  <c r="AO6" i="20"/>
  <c r="A6" i="19"/>
  <c r="AO6" i="16"/>
  <c r="A6" i="15"/>
  <c r="AO6" i="12"/>
  <c r="A6" i="11"/>
  <c r="A6" i="25"/>
  <c r="AO6" i="23"/>
  <c r="A6" i="22"/>
  <c r="AO6" i="19"/>
  <c r="A6" i="18"/>
  <c r="AO6" i="15"/>
  <c r="A6" i="14"/>
  <c r="AO6" i="11"/>
  <c r="A6" i="10"/>
  <c r="A6" i="24"/>
  <c r="AO6" i="22"/>
  <c r="A6" i="21"/>
  <c r="AO6" i="18"/>
  <c r="A6" i="17"/>
  <c r="AO6" i="14"/>
  <c r="A6" i="13"/>
  <c r="AO6" i="10"/>
  <c r="A6" i="9"/>
  <c r="AO6" i="21"/>
  <c r="A6" i="20"/>
  <c r="AO6" i="17"/>
  <c r="A6" i="16"/>
  <c r="AO6" i="13"/>
  <c r="A6" i="12"/>
  <c r="AO6" i="9"/>
  <c r="A6" i="8"/>
  <c r="AO6" i="7"/>
  <c r="A6" i="6"/>
  <c r="AO6" i="3"/>
  <c r="A6" i="2"/>
  <c r="AO6" i="6"/>
  <c r="A6" i="5"/>
  <c r="AO6" i="2"/>
  <c r="A6" i="1"/>
  <c r="AO6" i="8"/>
  <c r="A6" i="7"/>
  <c r="AO6" i="5"/>
  <c r="A6" i="4"/>
  <c r="AO6" i="1"/>
  <c r="AO6" i="4"/>
  <c r="A6" i="3"/>
  <c r="AE2" i="61"/>
  <c r="FD125" i="61" s="1"/>
  <c r="AB171" i="61"/>
  <c r="A171" i="61"/>
  <c r="AB85" i="61"/>
  <c r="CK45" i="61"/>
  <c r="CK20" i="61"/>
  <c r="CG20" i="61"/>
  <c r="CH20" i="61" s="1"/>
  <c r="CI20" i="61" s="1"/>
  <c r="CN68" i="61"/>
  <c r="CN62" i="61"/>
  <c r="I69" i="61"/>
  <c r="CS4" i="61" s="1"/>
  <c r="BK69" i="61"/>
  <c r="B11" i="59"/>
  <c r="I2" i="56"/>
  <c r="N186" i="61" s="1"/>
  <c r="L210" i="61" s="1"/>
  <c r="B11" i="50"/>
  <c r="B11" i="49"/>
  <c r="B11" i="48"/>
  <c r="B11" i="47"/>
  <c r="B11" i="45"/>
  <c r="B11" i="44"/>
  <c r="B11" i="46"/>
  <c r="AD68" i="46" s="1"/>
  <c r="B11" i="41"/>
  <c r="B11" i="43"/>
  <c r="AD64" i="43" s="1"/>
  <c r="B11" i="42"/>
  <c r="B11" i="40"/>
  <c r="B11" i="38"/>
  <c r="B11" i="37"/>
  <c r="B11" i="39"/>
  <c r="B11" i="35"/>
  <c r="B11" i="34"/>
  <c r="B11" i="33"/>
  <c r="B11" i="36"/>
  <c r="B11" i="32"/>
  <c r="P67" i="32" s="1"/>
  <c r="B11" i="29"/>
  <c r="B11" i="28"/>
  <c r="B11" i="31"/>
  <c r="B11" i="27"/>
  <c r="B11" i="30"/>
  <c r="B11" i="26"/>
  <c r="B1" i="18"/>
  <c r="O52" i="59"/>
  <c r="AC58" i="59"/>
  <c r="AC53" i="59"/>
  <c r="O51" i="50"/>
  <c r="O47" i="50"/>
  <c r="A53" i="50"/>
  <c r="A44" i="48"/>
  <c r="O47" i="49"/>
  <c r="O51" i="49"/>
  <c r="A61" i="49"/>
  <c r="A57" i="49"/>
  <c r="O52" i="48"/>
  <c r="O56" i="48"/>
  <c r="A45" i="49"/>
  <c r="O40" i="49"/>
  <c r="A48" i="47"/>
  <c r="A53" i="47"/>
  <c r="A45" i="47"/>
  <c r="O40" i="47"/>
  <c r="AC69" i="46"/>
  <c r="AC73" i="46"/>
  <c r="O56" i="47"/>
  <c r="O52" i="47"/>
  <c r="A48" i="45"/>
  <c r="O44" i="44"/>
  <c r="AC44" i="41"/>
  <c r="AC48" i="41"/>
  <c r="A49" i="46"/>
  <c r="A53" i="42"/>
  <c r="A61" i="41"/>
  <c r="A57" i="41"/>
  <c r="O47" i="40"/>
  <c r="O51" i="40"/>
  <c r="A48" i="39"/>
  <c r="O56" i="41"/>
  <c r="O52" i="41"/>
  <c r="O44" i="39"/>
  <c r="A48" i="38"/>
  <c r="A48" i="37"/>
  <c r="A45" i="38"/>
  <c r="O40" i="37"/>
  <c r="AC44" i="35"/>
  <c r="AC48" i="35"/>
  <c r="O44" i="36"/>
  <c r="O40" i="33"/>
  <c r="AC53" i="39"/>
  <c r="AC49" i="39"/>
  <c r="O40" i="35"/>
  <c r="O68" i="32"/>
  <c r="A48" i="27"/>
  <c r="A61" i="35"/>
  <c r="A57" i="35"/>
  <c r="A53" i="34"/>
  <c r="O44" i="33"/>
  <c r="A48" i="30"/>
  <c r="O45" i="35"/>
  <c r="O48" i="32"/>
  <c r="O40" i="31"/>
  <c r="O47" i="27"/>
  <c r="O51" i="27"/>
  <c r="O48" i="36"/>
  <c r="A45" i="35"/>
  <c r="A53" i="33"/>
  <c r="O52" i="30"/>
  <c r="O56" i="30"/>
  <c r="A53" i="31"/>
  <c r="AC53" i="30"/>
  <c r="AC49" i="30"/>
  <c r="O56" i="29"/>
  <c r="O52" i="29"/>
  <c r="A53" i="28"/>
  <c r="O44" i="27"/>
  <c r="A53" i="29"/>
  <c r="A44" i="26"/>
  <c r="O45" i="29"/>
  <c r="AC49" i="27"/>
  <c r="AC53" i="27"/>
  <c r="A86" i="61"/>
  <c r="DB78" i="61"/>
  <c r="A20" i="53"/>
  <c r="AO20" i="53"/>
  <c r="BC144" i="61"/>
  <c r="C1" i="34"/>
  <c r="A20" i="25"/>
  <c r="AO20" i="25"/>
  <c r="A20" i="24"/>
  <c r="AO20" i="21"/>
  <c r="A20" i="20"/>
  <c r="AO20" i="17"/>
  <c r="A20" i="16"/>
  <c r="AO20" i="13"/>
  <c r="A20" i="12"/>
  <c r="A20" i="23"/>
  <c r="AO20" i="20"/>
  <c r="A20" i="19"/>
  <c r="AO20" i="16"/>
  <c r="A20" i="15"/>
  <c r="AO20" i="12"/>
  <c r="A20" i="11"/>
  <c r="AO20" i="8"/>
  <c r="AO20" i="23"/>
  <c r="A20" i="22"/>
  <c r="AO20" i="19"/>
  <c r="A20" i="18"/>
  <c r="AO20" i="15"/>
  <c r="A20" i="14"/>
  <c r="AO20" i="11"/>
  <c r="A20" i="10"/>
  <c r="AO20" i="7"/>
  <c r="AO20" i="24"/>
  <c r="AO20" i="22"/>
  <c r="A20" i="21"/>
  <c r="AO20" i="18"/>
  <c r="A20" i="17"/>
  <c r="AO20" i="14"/>
  <c r="A20" i="13"/>
  <c r="AO20" i="10"/>
  <c r="A20" i="9"/>
  <c r="AO20" i="6"/>
  <c r="AO20" i="4"/>
  <c r="A20" i="3"/>
  <c r="A20" i="1"/>
  <c r="A20" i="7"/>
  <c r="AO20" i="3"/>
  <c r="A20" i="2"/>
  <c r="A20" i="6"/>
  <c r="A20" i="5"/>
  <c r="AO20" i="2"/>
  <c r="AO20" i="9"/>
  <c r="A20" i="8"/>
  <c r="AO20" i="5"/>
  <c r="A20" i="4"/>
  <c r="AO20" i="1"/>
  <c r="D47" i="61"/>
  <c r="AD3" i="61"/>
  <c r="AO2" i="61"/>
  <c r="FN125" i="61" s="1"/>
  <c r="U69" i="61"/>
  <c r="DE4" i="61" s="1"/>
  <c r="BW69" i="61"/>
  <c r="B23" i="59"/>
  <c r="U2" i="56"/>
  <c r="Z186" i="61" s="1"/>
  <c r="X210" i="61" s="1"/>
  <c r="B23" i="50"/>
  <c r="B23" i="49"/>
  <c r="B23" i="48"/>
  <c r="B23" i="46"/>
  <c r="B23" i="45"/>
  <c r="B23" i="44"/>
  <c r="B23" i="47"/>
  <c r="B23" i="43"/>
  <c r="AD124" i="43" s="1"/>
  <c r="B23" i="40"/>
  <c r="B23" i="42"/>
  <c r="B23" i="41"/>
  <c r="B23" i="37"/>
  <c r="B23" i="39"/>
  <c r="B23" i="38"/>
  <c r="B23" i="34"/>
  <c r="B23" i="33"/>
  <c r="B23" i="36"/>
  <c r="B23" i="35"/>
  <c r="B23" i="32"/>
  <c r="B23" i="28"/>
  <c r="B23" i="31"/>
  <c r="B23" i="27"/>
  <c r="B23" i="30"/>
  <c r="B23" i="26"/>
  <c r="B23" i="29"/>
  <c r="B1" i="6"/>
  <c r="DB71" i="61"/>
  <c r="A79" i="61"/>
  <c r="A13" i="53"/>
  <c r="AO13" i="53"/>
  <c r="BC137" i="61"/>
  <c r="C1" i="41"/>
  <c r="A13" i="25"/>
  <c r="AO13" i="25"/>
  <c r="A13" i="24"/>
  <c r="AO13" i="23"/>
  <c r="A13" i="22"/>
  <c r="AO13" i="19"/>
  <c r="A13" i="18"/>
  <c r="AO13" i="15"/>
  <c r="A13" i="14"/>
  <c r="AO13" i="11"/>
  <c r="A13" i="10"/>
  <c r="AO13" i="24"/>
  <c r="AO13" i="22"/>
  <c r="A13" i="21"/>
  <c r="AO13" i="18"/>
  <c r="A13" i="17"/>
  <c r="AO13" i="14"/>
  <c r="A13" i="13"/>
  <c r="AO13" i="10"/>
  <c r="A13" i="9"/>
  <c r="AO13" i="21"/>
  <c r="A13" i="20"/>
  <c r="AO13" i="17"/>
  <c r="A13" i="16"/>
  <c r="AO13" i="13"/>
  <c r="A13" i="12"/>
  <c r="AO13" i="9"/>
  <c r="A13" i="8"/>
  <c r="A13" i="23"/>
  <c r="AO13" i="20"/>
  <c r="A13" i="19"/>
  <c r="AO13" i="16"/>
  <c r="A13" i="15"/>
  <c r="AO13" i="12"/>
  <c r="A13" i="11"/>
  <c r="AO13" i="8"/>
  <c r="A13" i="7"/>
  <c r="AO13" i="7"/>
  <c r="AO13" i="6"/>
  <c r="A13" i="5"/>
  <c r="AO13" i="2"/>
  <c r="AO13" i="5"/>
  <c r="A13" i="4"/>
  <c r="AO13" i="4"/>
  <c r="A13" i="3"/>
  <c r="A13" i="6"/>
  <c r="AO13" i="3"/>
  <c r="A13" i="2"/>
  <c r="A13" i="1"/>
  <c r="AO13" i="1"/>
  <c r="A92" i="61"/>
  <c r="DB84" i="61"/>
  <c r="A26" i="53"/>
  <c r="AO26" i="53"/>
  <c r="BC150" i="61"/>
  <c r="C1" i="28"/>
  <c r="A26" i="25"/>
  <c r="AO26" i="25"/>
  <c r="A26" i="24"/>
  <c r="AO26" i="24"/>
  <c r="AO26" i="21"/>
  <c r="A26" i="20"/>
  <c r="AO26" i="17"/>
  <c r="A26" i="16"/>
  <c r="AO26" i="13"/>
  <c r="A26" i="12"/>
  <c r="A26" i="23"/>
  <c r="AO26" i="20"/>
  <c r="A26" i="19"/>
  <c r="AO26" i="16"/>
  <c r="A26" i="15"/>
  <c r="AO26" i="12"/>
  <c r="A26" i="11"/>
  <c r="AO26" i="8"/>
  <c r="AO26" i="23"/>
  <c r="A26" i="22"/>
  <c r="AO26" i="19"/>
  <c r="A26" i="18"/>
  <c r="AO26" i="15"/>
  <c r="A26" i="14"/>
  <c r="AO26" i="11"/>
  <c r="A26" i="10"/>
  <c r="AO26" i="7"/>
  <c r="AO26" i="22"/>
  <c r="A26" i="21"/>
  <c r="AO26" i="18"/>
  <c r="A26" i="17"/>
  <c r="AO26" i="14"/>
  <c r="A26" i="13"/>
  <c r="AO26" i="10"/>
  <c r="A26" i="9"/>
  <c r="AO26" i="6"/>
  <c r="AO26" i="9"/>
  <c r="A26" i="8"/>
  <c r="AO26" i="4"/>
  <c r="A26" i="3"/>
  <c r="AO26" i="3"/>
  <c r="A26" i="2"/>
  <c r="A26" i="1"/>
  <c r="A26" i="7"/>
  <c r="A26" i="5"/>
  <c r="AO26" i="2"/>
  <c r="A26" i="6"/>
  <c r="AO26" i="5"/>
  <c r="A26" i="4"/>
  <c r="AO26" i="1"/>
  <c r="DB68" i="61"/>
  <c r="A76" i="61"/>
  <c r="BC134" i="61"/>
  <c r="A10" i="53"/>
  <c r="AO10" i="53"/>
  <c r="C1" i="44"/>
  <c r="A10" i="25"/>
  <c r="AO10" i="25"/>
  <c r="AO10" i="23"/>
  <c r="A10" i="21"/>
  <c r="AO10" i="19"/>
  <c r="A10" i="17"/>
  <c r="AO10" i="15"/>
  <c r="A10" i="13"/>
  <c r="AO10" i="11"/>
  <c r="A10" i="24"/>
  <c r="AO10" i="22"/>
  <c r="A10" i="20"/>
  <c r="AO10" i="18"/>
  <c r="A10" i="16"/>
  <c r="AO10" i="14"/>
  <c r="A10" i="12"/>
  <c r="AO10" i="10"/>
  <c r="A10" i="8"/>
  <c r="A10" i="23"/>
  <c r="AO10" i="21"/>
  <c r="A10" i="19"/>
  <c r="AO10" i="17"/>
  <c r="A10" i="15"/>
  <c r="AO10" i="13"/>
  <c r="A10" i="11"/>
  <c r="AO10" i="9"/>
  <c r="A10" i="7"/>
  <c r="AO10" i="24"/>
  <c r="A10" i="22"/>
  <c r="AO10" i="20"/>
  <c r="A10" i="18"/>
  <c r="AO10" i="16"/>
  <c r="A10" i="14"/>
  <c r="AO10" i="12"/>
  <c r="A10" i="10"/>
  <c r="AO10" i="8"/>
  <c r="AO10" i="6"/>
  <c r="A10" i="4"/>
  <c r="AO10" i="2"/>
  <c r="AO10" i="5"/>
  <c r="A10" i="3"/>
  <c r="AO10" i="1"/>
  <c r="A10" i="9"/>
  <c r="AO10" i="7"/>
  <c r="A10" i="6"/>
  <c r="AO10" i="4"/>
  <c r="A10" i="2"/>
  <c r="A10" i="5"/>
  <c r="AO10" i="3"/>
  <c r="A10" i="1"/>
  <c r="F31" i="61"/>
  <c r="G31" i="61"/>
  <c r="G34" i="61" s="1"/>
  <c r="AX155" i="61"/>
  <c r="W155" i="61"/>
  <c r="AX69" i="61"/>
  <c r="X69" i="61"/>
  <c r="DH4" i="61" s="1"/>
  <c r="BZ69" i="61"/>
  <c r="B26" i="59"/>
  <c r="X2" i="56"/>
  <c r="AC186" i="61" s="1"/>
  <c r="AA210" i="61" s="1"/>
  <c r="B26" i="50"/>
  <c r="B26" i="49"/>
  <c r="B26" i="48"/>
  <c r="B26" i="47"/>
  <c r="B26" i="46"/>
  <c r="B26" i="45"/>
  <c r="B26" i="44"/>
  <c r="B26" i="43"/>
  <c r="B26" i="41"/>
  <c r="B26" i="42"/>
  <c r="B26" i="38"/>
  <c r="B26" i="37"/>
  <c r="B26" i="40"/>
  <c r="B26" i="39"/>
  <c r="B26" i="35"/>
  <c r="B26" i="34"/>
  <c r="B26" i="33"/>
  <c r="B26" i="36"/>
  <c r="B26" i="32"/>
  <c r="B26" i="29"/>
  <c r="B26" i="28"/>
  <c r="B26" i="31"/>
  <c r="B26" i="27"/>
  <c r="B26" i="30"/>
  <c r="B26" i="26"/>
  <c r="B1" i="3"/>
  <c r="P69" i="61"/>
  <c r="CZ4" i="61" s="1"/>
  <c r="BR69" i="61"/>
  <c r="B18" i="59"/>
  <c r="P2" i="56"/>
  <c r="U186" i="61" s="1"/>
  <c r="S210" i="61" s="1"/>
  <c r="B18" i="50"/>
  <c r="B18" i="49"/>
  <c r="B18" i="48"/>
  <c r="B18" i="47"/>
  <c r="B18" i="46"/>
  <c r="B18" i="45"/>
  <c r="B18" i="44"/>
  <c r="B18" i="41"/>
  <c r="B18" i="43"/>
  <c r="AD99" i="43" s="1"/>
  <c r="B18" i="42"/>
  <c r="B18" i="38"/>
  <c r="B18" i="40"/>
  <c r="B18" i="37"/>
  <c r="B18" i="39"/>
  <c r="B18" i="35"/>
  <c r="B18" i="34"/>
  <c r="B18" i="33"/>
  <c r="B18" i="36"/>
  <c r="B18" i="32"/>
  <c r="B18" i="29"/>
  <c r="B18" i="28"/>
  <c r="B18" i="31"/>
  <c r="B18" i="27"/>
  <c r="B18" i="30"/>
  <c r="B18" i="26"/>
  <c r="B1" i="11"/>
  <c r="CN64" i="61"/>
  <c r="CN63" i="61"/>
  <c r="CN66" i="61"/>
  <c r="DC81" i="61"/>
  <c r="DD81" i="61"/>
  <c r="DE81" i="61" s="1"/>
  <c r="DC65" i="61"/>
  <c r="DD65" i="61"/>
  <c r="DE65" i="61" s="1"/>
  <c r="M69" i="61"/>
  <c r="CW4" i="61" s="1"/>
  <c r="BO69" i="61"/>
  <c r="B15" i="59"/>
  <c r="M2" i="56"/>
  <c r="R186" i="61" s="1"/>
  <c r="P210" i="61" s="1"/>
  <c r="B15" i="50"/>
  <c r="B15" i="49"/>
  <c r="B15" i="48"/>
  <c r="B15" i="47"/>
  <c r="B15" i="44"/>
  <c r="B15" i="46"/>
  <c r="B15" i="45"/>
  <c r="B15" i="42"/>
  <c r="B15" i="43"/>
  <c r="AD84" i="43" s="1"/>
  <c r="B15" i="41"/>
  <c r="B15" i="40"/>
  <c r="B15" i="39"/>
  <c r="B15" i="38"/>
  <c r="B15" i="37"/>
  <c r="B15" i="33"/>
  <c r="B15" i="36"/>
  <c r="B15" i="35"/>
  <c r="B15" i="34"/>
  <c r="B15" i="31"/>
  <c r="B15" i="27"/>
  <c r="B15" i="30"/>
  <c r="B15" i="29"/>
  <c r="B15" i="32"/>
  <c r="B15" i="28"/>
  <c r="B15" i="26"/>
  <c r="B1" i="14"/>
  <c r="A57" i="59"/>
  <c r="A62" i="59"/>
  <c r="O48" i="59"/>
  <c r="O62" i="59"/>
  <c r="O57" i="59"/>
  <c r="A48" i="50"/>
  <c r="A61" i="50"/>
  <c r="A57" i="50"/>
  <c r="O44" i="48"/>
  <c r="AC49" i="49"/>
  <c r="AC53" i="49"/>
  <c r="AC44" i="47"/>
  <c r="AC48" i="47"/>
  <c r="O43" i="47"/>
  <c r="A48" i="44"/>
  <c r="A61" i="47"/>
  <c r="A57" i="47"/>
  <c r="O51" i="45"/>
  <c r="O47" i="45"/>
  <c r="A44" i="46"/>
  <c r="A44" i="45"/>
  <c r="O40" i="45"/>
  <c r="A44" i="43"/>
  <c r="A48" i="41"/>
  <c r="O45" i="42"/>
  <c r="A48" i="40"/>
  <c r="A61" i="42"/>
  <c r="A57" i="42"/>
  <c r="O48" i="42"/>
  <c r="AC59" i="40"/>
  <c r="AC63" i="40"/>
  <c r="A45" i="41"/>
  <c r="A44" i="39"/>
  <c r="A53" i="40"/>
  <c r="O39" i="39"/>
  <c r="A44" i="37"/>
  <c r="A53" i="38"/>
  <c r="O48" i="38"/>
  <c r="A56" i="36"/>
  <c r="A52" i="36"/>
  <c r="O51" i="34"/>
  <c r="O47" i="34"/>
  <c r="O39" i="36"/>
  <c r="A48" i="34"/>
  <c r="O48" i="35"/>
  <c r="A45" i="33"/>
  <c r="A48" i="31"/>
  <c r="A61" i="34"/>
  <c r="A57" i="34"/>
  <c r="A44" i="30"/>
  <c r="A45" i="34"/>
  <c r="O76" i="32"/>
  <c r="O72" i="32"/>
  <c r="O44" i="30"/>
  <c r="O40" i="27"/>
  <c r="A61" i="33"/>
  <c r="A57" i="33"/>
  <c r="A48" i="28"/>
  <c r="A45" i="32"/>
  <c r="A61" i="31"/>
  <c r="A57" i="31"/>
  <c r="A61" i="28"/>
  <c r="A57" i="28"/>
  <c r="A50" i="32"/>
  <c r="A61" i="29"/>
  <c r="A57" i="29"/>
  <c r="A53" i="32"/>
  <c r="O44" i="31"/>
  <c r="AC49" i="28"/>
  <c r="AC53" i="28"/>
  <c r="O56" i="26"/>
  <c r="O52" i="26"/>
  <c r="AC53" i="26"/>
  <c r="AC49" i="26"/>
  <c r="A90" i="61"/>
  <c r="DB82" i="61"/>
  <c r="A24" i="53"/>
  <c r="BC148" i="61"/>
  <c r="AO24" i="53"/>
  <c r="C1" i="30"/>
  <c r="A24" i="25"/>
  <c r="AO24" i="25"/>
  <c r="A24" i="24"/>
  <c r="AO24" i="21"/>
  <c r="A24" i="20"/>
  <c r="AO24" i="17"/>
  <c r="A24" i="16"/>
  <c r="AO24" i="13"/>
  <c r="A24" i="12"/>
  <c r="AO24" i="24"/>
  <c r="A24" i="23"/>
  <c r="AO24" i="20"/>
  <c r="A24" i="19"/>
  <c r="AO24" i="16"/>
  <c r="A24" i="15"/>
  <c r="AO24" i="12"/>
  <c r="A24" i="11"/>
  <c r="AO24" i="8"/>
  <c r="AO24" i="23"/>
  <c r="A24" i="22"/>
  <c r="AO24" i="19"/>
  <c r="A24" i="18"/>
  <c r="AO24" i="15"/>
  <c r="A24" i="14"/>
  <c r="AO24" i="11"/>
  <c r="A24" i="10"/>
  <c r="AO24" i="7"/>
  <c r="AO24" i="22"/>
  <c r="A24" i="21"/>
  <c r="AO24" i="18"/>
  <c r="A24" i="17"/>
  <c r="AO24" i="14"/>
  <c r="A24" i="13"/>
  <c r="AO24" i="10"/>
  <c r="A24" i="9"/>
  <c r="AO24" i="6"/>
  <c r="A24" i="7"/>
  <c r="A24" i="6"/>
  <c r="AO24" i="4"/>
  <c r="A24" i="3"/>
  <c r="AO24" i="3"/>
  <c r="A24" i="2"/>
  <c r="A24" i="5"/>
  <c r="AO24" i="2"/>
  <c r="AO24" i="9"/>
  <c r="A24" i="8"/>
  <c r="AO24" i="5"/>
  <c r="A24" i="4"/>
  <c r="AO24" i="1"/>
  <c r="A24" i="1"/>
  <c r="A74" i="61"/>
  <c r="DB66" i="61"/>
  <c r="BC132" i="61"/>
  <c r="A8" i="53"/>
  <c r="AO8" i="53"/>
  <c r="C1" i="46"/>
  <c r="AO8" i="25"/>
  <c r="A8" i="23"/>
  <c r="AO8" i="21"/>
  <c r="A8" i="19"/>
  <c r="AO8" i="17"/>
  <c r="A8" i="15"/>
  <c r="AO8" i="13"/>
  <c r="A8" i="11"/>
  <c r="A8" i="24"/>
  <c r="A8" i="22"/>
  <c r="AO8" i="20"/>
  <c r="A8" i="18"/>
  <c r="AO8" i="16"/>
  <c r="A8" i="14"/>
  <c r="AO8" i="12"/>
  <c r="A8" i="10"/>
  <c r="AO8" i="8"/>
  <c r="A8" i="25"/>
  <c r="AO8" i="24"/>
  <c r="AO8" i="23"/>
  <c r="A8" i="21"/>
  <c r="AO8" i="19"/>
  <c r="A8" i="17"/>
  <c r="AO8" i="15"/>
  <c r="A8" i="13"/>
  <c r="AO8" i="11"/>
  <c r="A8" i="9"/>
  <c r="AO8" i="7"/>
  <c r="AO8" i="22"/>
  <c r="A8" i="20"/>
  <c r="AO8" i="18"/>
  <c r="A8" i="16"/>
  <c r="AO8" i="14"/>
  <c r="A8" i="12"/>
  <c r="AO8" i="10"/>
  <c r="A8" i="8"/>
  <c r="A8" i="6"/>
  <c r="AO8" i="4"/>
  <c r="A8" i="2"/>
  <c r="AO8" i="9"/>
  <c r="A8" i="5"/>
  <c r="AO8" i="3"/>
  <c r="A8" i="7"/>
  <c r="AO8" i="6"/>
  <c r="A8" i="4"/>
  <c r="AO8" i="2"/>
  <c r="AO8" i="5"/>
  <c r="A8" i="3"/>
  <c r="AO8" i="1"/>
  <c r="A8" i="1"/>
  <c r="AK2" i="61"/>
  <c r="FJ125" i="61" s="1"/>
  <c r="Q69" i="61"/>
  <c r="DA4" i="61" s="1"/>
  <c r="BS69" i="61"/>
  <c r="B19" i="59"/>
  <c r="Q2" i="56"/>
  <c r="V186" i="61" s="1"/>
  <c r="T210" i="61" s="1"/>
  <c r="B19" i="50"/>
  <c r="B19" i="49"/>
  <c r="B19" i="48"/>
  <c r="B19" i="47"/>
  <c r="B19" i="44"/>
  <c r="B19" i="46"/>
  <c r="B19" i="45"/>
  <c r="B19" i="43"/>
  <c r="B19" i="42"/>
  <c r="B19" i="41"/>
  <c r="B19" i="40"/>
  <c r="B19" i="39"/>
  <c r="B19" i="38"/>
  <c r="B19" i="37"/>
  <c r="B19" i="33"/>
  <c r="B19" i="36"/>
  <c r="B19" i="35"/>
  <c r="B19" i="34"/>
  <c r="B19" i="31"/>
  <c r="B19" i="27"/>
  <c r="B19" i="30"/>
  <c r="B19" i="29"/>
  <c r="B19" i="32"/>
  <c r="B19" i="28"/>
  <c r="B19" i="26"/>
  <c r="B1" i="10"/>
  <c r="A83" i="61"/>
  <c r="DB75" i="61"/>
  <c r="AO17" i="53"/>
  <c r="BC141" i="61"/>
  <c r="A17" i="53"/>
  <c r="C1" i="37"/>
  <c r="A17" i="25"/>
  <c r="AO17" i="23"/>
  <c r="A17" i="22"/>
  <c r="AO17" i="19"/>
  <c r="A17" i="18"/>
  <c r="AO17" i="15"/>
  <c r="A17" i="14"/>
  <c r="AO17" i="11"/>
  <c r="A17" i="10"/>
  <c r="AO17" i="25"/>
  <c r="AO17" i="22"/>
  <c r="A17" i="21"/>
  <c r="AO17" i="18"/>
  <c r="A17" i="17"/>
  <c r="AO17" i="14"/>
  <c r="A17" i="13"/>
  <c r="AO17" i="10"/>
  <c r="A17" i="9"/>
  <c r="A17" i="24"/>
  <c r="AO17" i="21"/>
  <c r="A17" i="20"/>
  <c r="AO17" i="17"/>
  <c r="A17" i="16"/>
  <c r="AO17" i="13"/>
  <c r="A17" i="12"/>
  <c r="AO17" i="9"/>
  <c r="A17" i="8"/>
  <c r="AO17" i="24"/>
  <c r="A17" i="23"/>
  <c r="AO17" i="20"/>
  <c r="A17" i="19"/>
  <c r="AO17" i="16"/>
  <c r="A17" i="15"/>
  <c r="AO17" i="12"/>
  <c r="A17" i="11"/>
  <c r="AO17" i="8"/>
  <c r="A17" i="7"/>
  <c r="AO17" i="6"/>
  <c r="A17" i="5"/>
  <c r="AO17" i="2"/>
  <c r="AO17" i="5"/>
  <c r="A17" i="4"/>
  <c r="AO17" i="4"/>
  <c r="A17" i="3"/>
  <c r="AO17" i="7"/>
  <c r="A17" i="6"/>
  <c r="AO17" i="3"/>
  <c r="A17" i="2"/>
  <c r="A17" i="1"/>
  <c r="AO17" i="1"/>
  <c r="AN2" i="61"/>
  <c r="FM125" i="61" s="1"/>
  <c r="DB72" i="61"/>
  <c r="A80" i="61"/>
  <c r="A14" i="53"/>
  <c r="BC138" i="61"/>
  <c r="AO14" i="53"/>
  <c r="C1" i="40"/>
  <c r="A14" i="25"/>
  <c r="AO14" i="25"/>
  <c r="A14" i="24"/>
  <c r="AO14" i="21"/>
  <c r="A14" i="20"/>
  <c r="AO14" i="17"/>
  <c r="A14" i="16"/>
  <c r="AO14" i="13"/>
  <c r="A14" i="12"/>
  <c r="A14" i="23"/>
  <c r="AO14" i="20"/>
  <c r="A14" i="19"/>
  <c r="AO14" i="16"/>
  <c r="A14" i="15"/>
  <c r="AO14" i="12"/>
  <c r="A14" i="11"/>
  <c r="AO14" i="8"/>
  <c r="AO14" i="24"/>
  <c r="AO14" i="23"/>
  <c r="A14" i="22"/>
  <c r="AO14" i="19"/>
  <c r="A14" i="18"/>
  <c r="AO14" i="15"/>
  <c r="A14" i="14"/>
  <c r="AO14" i="11"/>
  <c r="A14" i="10"/>
  <c r="AO14" i="7"/>
  <c r="AO14" i="22"/>
  <c r="A14" i="21"/>
  <c r="AO14" i="18"/>
  <c r="A14" i="17"/>
  <c r="AO14" i="14"/>
  <c r="A14" i="13"/>
  <c r="AO14" i="10"/>
  <c r="A14" i="9"/>
  <c r="AO14" i="9"/>
  <c r="A14" i="8"/>
  <c r="AO14" i="4"/>
  <c r="A14" i="3"/>
  <c r="A14" i="7"/>
  <c r="A14" i="6"/>
  <c r="AO14" i="3"/>
  <c r="A14" i="2"/>
  <c r="AO14" i="6"/>
  <c r="A14" i="5"/>
  <c r="AO14" i="2"/>
  <c r="A14" i="1"/>
  <c r="AO14" i="5"/>
  <c r="A14" i="4"/>
  <c r="AO14" i="1"/>
  <c r="AM2" i="61"/>
  <c r="FL125" i="61" s="1"/>
  <c r="CN67" i="61"/>
  <c r="CN70" i="61"/>
  <c r="AB175" i="61"/>
  <c r="A175" i="61"/>
  <c r="AB89" i="61"/>
  <c r="CK24" i="61"/>
  <c r="CK49" i="61"/>
  <c r="CG24" i="61"/>
  <c r="CH24" i="61" s="1"/>
  <c r="CI24" i="61" s="1"/>
  <c r="AB159" i="61"/>
  <c r="A159" i="61"/>
  <c r="AB73" i="61"/>
  <c r="CK33" i="61"/>
  <c r="CG8" i="61"/>
  <c r="CH8" i="61" s="1"/>
  <c r="CI8" i="61" s="1"/>
  <c r="CK8" i="61"/>
  <c r="AB179" i="61"/>
  <c r="A179" i="61"/>
  <c r="AB93" i="61"/>
  <c r="CK53" i="61"/>
  <c r="CG28" i="61"/>
  <c r="CH28" i="61" s="1"/>
  <c r="CI28" i="61" s="1"/>
  <c r="CK28" i="61"/>
  <c r="AB163" i="61"/>
  <c r="A163" i="61"/>
  <c r="AB77" i="61"/>
  <c r="CK37" i="61"/>
  <c r="CG12" i="61"/>
  <c r="CH12" i="61" s="1"/>
  <c r="CI12" i="61" s="1"/>
  <c r="CK12" i="61"/>
  <c r="DC73" i="61"/>
  <c r="E69" i="61"/>
  <c r="CO4" i="61" s="1"/>
  <c r="BG69" i="61"/>
  <c r="E2" i="56"/>
  <c r="J186" i="61" s="1"/>
  <c r="H210" i="61" s="1"/>
  <c r="B7" i="59"/>
  <c r="AD47" i="59" s="1"/>
  <c r="B7" i="50"/>
  <c r="AD48" i="50" s="1"/>
  <c r="B7" i="49"/>
  <c r="B7" i="48"/>
  <c r="AD48" i="48" s="1"/>
  <c r="B7" i="47"/>
  <c r="P47" i="47" s="1"/>
  <c r="B7" i="45"/>
  <c r="B7" i="46"/>
  <c r="B7" i="44"/>
  <c r="B7" i="41"/>
  <c r="P47" i="41" s="1"/>
  <c r="B7" i="43"/>
  <c r="B7" i="42"/>
  <c r="AD44" i="42" s="1"/>
  <c r="B7" i="38"/>
  <c r="P47" i="38" s="1"/>
  <c r="B7" i="37"/>
  <c r="AD48" i="37" s="1"/>
  <c r="B7" i="40"/>
  <c r="B7" i="39"/>
  <c r="B7" i="35"/>
  <c r="P47" i="35" s="1"/>
  <c r="B7" i="34"/>
  <c r="B7" i="33"/>
  <c r="P39" i="33" s="1"/>
  <c r="B7" i="36"/>
  <c r="P47" i="36" s="1"/>
  <c r="B7" i="32"/>
  <c r="P47" i="32" s="1"/>
  <c r="B7" i="29"/>
  <c r="P47" i="29" s="1"/>
  <c r="B7" i="28"/>
  <c r="B7" i="31"/>
  <c r="P43" i="31" s="1"/>
  <c r="Q43" i="31" s="1"/>
  <c r="B7" i="27"/>
  <c r="P39" i="27" s="1"/>
  <c r="B7" i="30"/>
  <c r="P51" i="30" s="1"/>
  <c r="B7" i="26"/>
  <c r="P51" i="26" s="1"/>
  <c r="B1" i="22"/>
  <c r="O43" i="50"/>
  <c r="A48" i="49"/>
  <c r="A56" i="48"/>
  <c r="A52" i="48"/>
  <c r="AC49" i="50"/>
  <c r="AC53" i="50"/>
  <c r="O39" i="48"/>
  <c r="O48" i="48"/>
  <c r="A56" i="46"/>
  <c r="A52" i="46"/>
  <c r="O39" i="46"/>
  <c r="O43" i="46"/>
  <c r="O47" i="44"/>
  <c r="O51" i="44"/>
  <c r="O47" i="46"/>
  <c r="O51" i="46"/>
  <c r="AC44" i="44"/>
  <c r="AC48" i="44"/>
  <c r="O43" i="43"/>
  <c r="AC133" i="43"/>
  <c r="AC129" i="43"/>
  <c r="AD129" i="43" s="1"/>
  <c r="O45" i="45"/>
  <c r="O43" i="41"/>
  <c r="A53" i="44"/>
  <c r="AC44" i="38"/>
  <c r="AC48" i="38"/>
  <c r="AC53" i="42"/>
  <c r="AC49" i="42"/>
  <c r="O40" i="41"/>
  <c r="A61" i="40"/>
  <c r="A57" i="40"/>
  <c r="A45" i="40"/>
  <c r="A45" i="42"/>
  <c r="O47" i="39"/>
  <c r="O51" i="39"/>
  <c r="O43" i="37"/>
  <c r="A48" i="33"/>
  <c r="A61" i="38"/>
  <c r="A57" i="38"/>
  <c r="O56" i="38"/>
  <c r="O52" i="38"/>
  <c r="A48" i="36"/>
  <c r="A48" i="35"/>
  <c r="AC49" i="37"/>
  <c r="AC53" i="37"/>
  <c r="O43" i="34"/>
  <c r="AC53" i="36"/>
  <c r="AC49" i="36"/>
  <c r="O56" i="35"/>
  <c r="O52" i="35"/>
  <c r="AC44" i="29"/>
  <c r="AC48" i="29"/>
  <c r="O58" i="32"/>
  <c r="O39" i="30"/>
  <c r="O52" i="36"/>
  <c r="O56" i="36"/>
  <c r="AC49" i="33"/>
  <c r="AC53" i="33"/>
  <c r="O44" i="32"/>
  <c r="O43" i="28"/>
  <c r="O48" i="30"/>
  <c r="O48" i="26"/>
  <c r="AC49" i="31"/>
  <c r="AC53" i="31"/>
  <c r="O40" i="29"/>
  <c r="A45" i="31"/>
  <c r="A45" i="28"/>
  <c r="AC49" i="32"/>
  <c r="AC53" i="32"/>
  <c r="A53" i="27"/>
  <c r="S18" i="5" l="1"/>
  <c r="BX77" i="61" s="1"/>
  <c r="S21" i="5"/>
  <c r="BX80" i="61" s="1"/>
  <c r="S33" i="5"/>
  <c r="BX92" i="61" s="1"/>
  <c r="DW125" i="61"/>
  <c r="ED125" i="61"/>
  <c r="DZ125" i="61"/>
  <c r="DS125" i="61"/>
  <c r="EJ125" i="61"/>
  <c r="DR125" i="61"/>
  <c r="DT125" i="61"/>
  <c r="EE125" i="61"/>
  <c r="EA125" i="61"/>
  <c r="DX125" i="61"/>
  <c r="EB125" i="61"/>
  <c r="DV125" i="61"/>
  <c r="EF125" i="61"/>
  <c r="S19" i="1"/>
  <c r="CB78" i="61" s="1"/>
  <c r="S33" i="4"/>
  <c r="BY92" i="61" s="1"/>
  <c r="S20" i="4"/>
  <c r="BY79" i="61" s="1"/>
  <c r="S32" i="5"/>
  <c r="BX91" i="61" s="1"/>
  <c r="S19" i="5"/>
  <c r="BX78" i="61" s="1"/>
  <c r="S15" i="4"/>
  <c r="BY74" i="61" s="1"/>
  <c r="S25" i="5"/>
  <c r="BX84" i="61" s="1"/>
  <c r="S27" i="5"/>
  <c r="BX86" i="61" s="1"/>
  <c r="S18" i="1"/>
  <c r="CB77" i="61" s="1"/>
  <c r="S20" i="5"/>
  <c r="BX79" i="61" s="1"/>
  <c r="S25" i="1"/>
  <c r="CB84" i="61" s="1"/>
  <c r="S23" i="4"/>
  <c r="BY82" i="61" s="1"/>
  <c r="S19" i="4"/>
  <c r="BY78" i="61" s="1"/>
  <c r="S12" i="4"/>
  <c r="BY71" i="61" s="1"/>
  <c r="S32" i="4"/>
  <c r="BY91" i="61" s="1"/>
  <c r="S29" i="5"/>
  <c r="BX88" i="61" s="1"/>
  <c r="S29" i="4"/>
  <c r="BY88" i="61" s="1"/>
  <c r="S26" i="1"/>
  <c r="CB85" i="61" s="1"/>
  <c r="S11" i="5"/>
  <c r="BX70" i="61" s="1"/>
  <c r="S11" i="4"/>
  <c r="BY70" i="61" s="1"/>
  <c r="S15" i="1"/>
  <c r="CB74" i="61" s="1"/>
  <c r="S15" i="5"/>
  <c r="BX74" i="61" s="1"/>
  <c r="S20" i="1"/>
  <c r="CB79" i="61" s="1"/>
  <c r="S17" i="4"/>
  <c r="BY76" i="61" s="1"/>
  <c r="S11" i="1"/>
  <c r="CB70" i="61" s="1"/>
  <c r="S17" i="5"/>
  <c r="BX76" i="61" s="1"/>
  <c r="S12" i="5"/>
  <c r="BX71" i="61" s="1"/>
  <c r="S14" i="1"/>
  <c r="CB73" i="61" s="1"/>
  <c r="FT125" i="61"/>
  <c r="B20" i="37"/>
  <c r="B20" i="27"/>
  <c r="B20" i="42"/>
  <c r="B20" i="50"/>
  <c r="B20" i="44"/>
  <c r="B20" i="33"/>
  <c r="R2" i="56"/>
  <c r="W186" i="61" s="1"/>
  <c r="U210" i="61" s="1"/>
  <c r="R69" i="61"/>
  <c r="B20" i="36"/>
  <c r="B20" i="59"/>
  <c r="B20" i="40"/>
  <c r="B20" i="49"/>
  <c r="B20" i="41"/>
  <c r="B20" i="31"/>
  <c r="B20" i="45"/>
  <c r="B20" i="34"/>
  <c r="B20" i="47"/>
  <c r="B20" i="29"/>
  <c r="B20" i="48"/>
  <c r="B20" i="39"/>
  <c r="B20" i="28"/>
  <c r="B20" i="30"/>
  <c r="B20" i="38"/>
  <c r="B20" i="32"/>
  <c r="B20" i="43"/>
  <c r="B20" i="26"/>
  <c r="B20" i="46"/>
  <c r="B20" i="35"/>
  <c r="B1" i="9"/>
  <c r="BT69" i="61"/>
  <c r="B21" i="42"/>
  <c r="B21" i="31"/>
  <c r="B21" i="46"/>
  <c r="B21" i="59"/>
  <c r="B21" i="33"/>
  <c r="B21" i="47"/>
  <c r="B21" i="38"/>
  <c r="BU69" i="61"/>
  <c r="B21" i="39"/>
  <c r="B21" i="26"/>
  <c r="B21" i="36"/>
  <c r="B21" i="49"/>
  <c r="B21" i="30"/>
  <c r="B21" i="45"/>
  <c r="B21" i="34"/>
  <c r="FU125" i="61"/>
  <c r="B21" i="37"/>
  <c r="S2" i="56"/>
  <c r="X186" i="61" s="1"/>
  <c r="V210" i="61" s="1"/>
  <c r="B21" i="32"/>
  <c r="B21" i="41"/>
  <c r="B21" i="27"/>
  <c r="B21" i="44"/>
  <c r="B21" i="28"/>
  <c r="B21" i="35"/>
  <c r="B21" i="50"/>
  <c r="B21" i="29"/>
  <c r="B21" i="40"/>
  <c r="B21" i="48"/>
  <c r="B21" i="43"/>
  <c r="B1" i="8"/>
  <c r="S69" i="61"/>
  <c r="S27" i="1"/>
  <c r="CB86" i="61" s="1"/>
  <c r="S21" i="1"/>
  <c r="CB80" i="61" s="1"/>
  <c r="S18" i="4"/>
  <c r="BY77" i="61" s="1"/>
  <c r="S28" i="1"/>
  <c r="CB87" i="61" s="1"/>
  <c r="S30" i="5"/>
  <c r="BX89" i="61" s="1"/>
  <c r="S32" i="1"/>
  <c r="CB91" i="61" s="1"/>
  <c r="S23" i="5"/>
  <c r="BX82" i="61" s="1"/>
  <c r="S28" i="5"/>
  <c r="BX87" i="61" s="1"/>
  <c r="S24" i="4"/>
  <c r="BY83" i="61" s="1"/>
  <c r="S16" i="4"/>
  <c r="BY75" i="61" s="1"/>
  <c r="S26" i="4"/>
  <c r="BY85" i="61" s="1"/>
  <c r="S25" i="4"/>
  <c r="BY84" i="61" s="1"/>
  <c r="S31" i="4"/>
  <c r="BY90" i="61" s="1"/>
  <c r="S16" i="5"/>
  <c r="BX75" i="61" s="1"/>
  <c r="S13" i="1"/>
  <c r="CB72" i="61" s="1"/>
  <c r="S23" i="1"/>
  <c r="CB82" i="61" s="1"/>
  <c r="S26" i="5"/>
  <c r="BX85" i="61" s="1"/>
  <c r="S24" i="5"/>
  <c r="BX83" i="61" s="1"/>
  <c r="S30" i="4"/>
  <c r="BY89" i="61" s="1"/>
  <c r="S22" i="4"/>
  <c r="BY81" i="61" s="1"/>
  <c r="S21" i="4"/>
  <c r="BY80" i="61" s="1"/>
  <c r="S28" i="4"/>
  <c r="BY87" i="61" s="1"/>
  <c r="H7" i="62"/>
  <c r="Q3" i="52"/>
  <c r="S31" i="5"/>
  <c r="BX90" i="61" s="1"/>
  <c r="S31" i="1"/>
  <c r="CB90" i="61" s="1"/>
  <c r="S13" i="4"/>
  <c r="BY72" i="61" s="1"/>
  <c r="S22" i="5"/>
  <c r="BX81" i="61" s="1"/>
  <c r="B33" i="61"/>
  <c r="F4" i="51"/>
  <c r="D43" i="61"/>
  <c r="B17" i="41"/>
  <c r="B17" i="27"/>
  <c r="B17" i="45"/>
  <c r="B17" i="34"/>
  <c r="B17" i="39"/>
  <c r="B17" i="26"/>
  <c r="B17" i="36"/>
  <c r="O69" i="61"/>
  <c r="CY4" i="61" s="1"/>
  <c r="B17" i="40"/>
  <c r="B17" i="59"/>
  <c r="B17" i="44"/>
  <c r="B17" i="28"/>
  <c r="B17" i="37"/>
  <c r="O2" i="56"/>
  <c r="T186" i="61" s="1"/>
  <c r="R210" i="61" s="1"/>
  <c r="B17" i="32"/>
  <c r="BQ69" i="61"/>
  <c r="B17" i="33"/>
  <c r="B17" i="48"/>
  <c r="B17" i="43"/>
  <c r="B1" i="12"/>
  <c r="B17" i="35"/>
  <c r="B17" i="50"/>
  <c r="B17" i="29"/>
  <c r="B17" i="49"/>
  <c r="B17" i="30"/>
  <c r="B17" i="47"/>
  <c r="B17" i="38"/>
  <c r="B17" i="42"/>
  <c r="B17" i="31"/>
  <c r="B17" i="46"/>
  <c r="N2" i="56"/>
  <c r="S186" i="61" s="1"/>
  <c r="Q210" i="61" s="1"/>
  <c r="B16" i="44"/>
  <c r="B16" i="28"/>
  <c r="B16" i="37"/>
  <c r="B16" i="50"/>
  <c r="B16" i="29"/>
  <c r="B16" i="33"/>
  <c r="B16" i="48"/>
  <c r="B16" i="43"/>
  <c r="B1" i="13"/>
  <c r="B16" i="35"/>
  <c r="B16" i="46"/>
  <c r="B16" i="49"/>
  <c r="B16" i="30"/>
  <c r="BP69" i="61"/>
  <c r="B16" i="47"/>
  <c r="B16" i="38"/>
  <c r="B16" i="42"/>
  <c r="B16" i="31"/>
  <c r="B16" i="36"/>
  <c r="B16" i="41"/>
  <c r="B16" i="27"/>
  <c r="N69" i="61"/>
  <c r="CX4" i="61" s="1"/>
  <c r="B16" i="59"/>
  <c r="B16" i="45"/>
  <c r="B16" i="34"/>
  <c r="B16" i="39"/>
  <c r="B16" i="26"/>
  <c r="B16" i="32"/>
  <c r="B16" i="40"/>
  <c r="S13" i="5"/>
  <c r="BX72" i="61" s="1"/>
  <c r="AD48" i="31"/>
  <c r="AJ50" i="31" s="1"/>
  <c r="AD128" i="43"/>
  <c r="AI127" i="43" s="1"/>
  <c r="P39" i="41"/>
  <c r="B45" i="31"/>
  <c r="C44" i="31" s="1"/>
  <c r="P43" i="32"/>
  <c r="Q43" i="32" s="1"/>
  <c r="AA44" i="32" s="1"/>
  <c r="AO44" i="32" s="1"/>
  <c r="P51" i="36"/>
  <c r="AD48" i="36"/>
  <c r="AJ49" i="36" s="1"/>
  <c r="AD48" i="32"/>
  <c r="AJ49" i="32" s="1"/>
  <c r="AD44" i="27"/>
  <c r="AL44" i="27" s="1"/>
  <c r="P71" i="32"/>
  <c r="P51" i="35"/>
  <c r="P51" i="38"/>
  <c r="P39" i="29"/>
  <c r="AD44" i="38"/>
  <c r="P47" i="30"/>
  <c r="AD44" i="29"/>
  <c r="AH45" i="29" s="1"/>
  <c r="P47" i="48"/>
  <c r="AD44" i="48"/>
  <c r="AH45" i="48" s="1"/>
  <c r="AD48" i="33"/>
  <c r="AJ49" i="33" s="1"/>
  <c r="AD44" i="44"/>
  <c r="AH44" i="44" s="1"/>
  <c r="AD48" i="27"/>
  <c r="AJ50" i="27" s="1"/>
  <c r="P39" i="35"/>
  <c r="B45" i="32"/>
  <c r="C44" i="32" s="1"/>
  <c r="B45" i="38"/>
  <c r="C44" i="38" s="1"/>
  <c r="P51" i="41"/>
  <c r="AD52" i="59"/>
  <c r="AL54" i="59" s="1"/>
  <c r="P51" i="59"/>
  <c r="P43" i="48"/>
  <c r="Q43" i="48" s="1"/>
  <c r="AA44" i="48" s="1"/>
  <c r="AO44" i="48" s="1"/>
  <c r="AD48" i="30"/>
  <c r="AJ49" i="30" s="1"/>
  <c r="B45" i="41"/>
  <c r="AD44" i="32"/>
  <c r="AH44" i="32" s="1"/>
  <c r="AD44" i="35"/>
  <c r="AL45" i="35" s="1"/>
  <c r="AJ49" i="48"/>
  <c r="AJ50" i="48"/>
  <c r="AJ50" i="50"/>
  <c r="AJ49" i="50"/>
  <c r="AN48" i="59"/>
  <c r="AJ48" i="59"/>
  <c r="AN47" i="59"/>
  <c r="AJ47" i="59"/>
  <c r="AJ70" i="46"/>
  <c r="AJ69" i="46"/>
  <c r="O49" i="30"/>
  <c r="O53" i="36"/>
  <c r="O44" i="34"/>
  <c r="P43" i="34"/>
  <c r="Q43" i="34" s="1"/>
  <c r="O61" i="38"/>
  <c r="O57" i="38"/>
  <c r="O44" i="37"/>
  <c r="P43" i="37"/>
  <c r="Q43" i="37" s="1"/>
  <c r="B57" i="40"/>
  <c r="A58" i="40"/>
  <c r="AC54" i="50"/>
  <c r="AC58" i="50"/>
  <c r="P39" i="28"/>
  <c r="P43" i="45"/>
  <c r="Q43" i="45" s="1"/>
  <c r="C14" i="1"/>
  <c r="C15" i="1"/>
  <c r="E14" i="1"/>
  <c r="C14" i="9"/>
  <c r="E14" i="9"/>
  <c r="C15" i="9"/>
  <c r="W15" i="15"/>
  <c r="AS14" i="15"/>
  <c r="W14" i="15"/>
  <c r="Z14" i="15"/>
  <c r="AS14" i="20"/>
  <c r="W14" i="20"/>
  <c r="Z14" i="20"/>
  <c r="W15" i="20"/>
  <c r="AS14" i="53"/>
  <c r="W15" i="53"/>
  <c r="Z14" i="53"/>
  <c r="W14" i="53"/>
  <c r="AS17" i="2"/>
  <c r="W17" i="2"/>
  <c r="Z17" i="2"/>
  <c r="AS8" i="1"/>
  <c r="W8" i="1"/>
  <c r="Z8" i="1"/>
  <c r="E8" i="6"/>
  <c r="C8" i="6"/>
  <c r="AS8" i="8"/>
  <c r="W8" i="8"/>
  <c r="Z8" i="8"/>
  <c r="E24" i="3"/>
  <c r="C24" i="3"/>
  <c r="AC54" i="31"/>
  <c r="AC58" i="31"/>
  <c r="P47" i="26"/>
  <c r="AC54" i="33"/>
  <c r="AC58" i="33"/>
  <c r="O59" i="32"/>
  <c r="O61" i="35"/>
  <c r="O57" i="35"/>
  <c r="AJ50" i="37"/>
  <c r="AJ49" i="37"/>
  <c r="O53" i="38"/>
  <c r="P47" i="39"/>
  <c r="O48" i="39"/>
  <c r="AC58" i="42"/>
  <c r="AC54" i="42"/>
  <c r="AL130" i="43"/>
  <c r="AH130" i="43"/>
  <c r="AL129" i="43"/>
  <c r="AH129" i="43"/>
  <c r="AD64" i="46"/>
  <c r="P39" i="46"/>
  <c r="O40" i="46"/>
  <c r="A53" i="48"/>
  <c r="A49" i="49"/>
  <c r="I53" i="22"/>
  <c r="BG30" i="22"/>
  <c r="P43" i="42"/>
  <c r="Q43" i="42" s="1"/>
  <c r="AD48" i="46"/>
  <c r="AD44" i="46"/>
  <c r="BL69" i="61"/>
  <c r="J69" i="61"/>
  <c r="CT4" i="61" s="1"/>
  <c r="J2" i="56"/>
  <c r="O186" i="61" s="1"/>
  <c r="M210" i="61" s="1"/>
  <c r="B12" i="59"/>
  <c r="B12" i="50"/>
  <c r="B12" i="49"/>
  <c r="B12" i="48"/>
  <c r="B12" i="46"/>
  <c r="AD69" i="46" s="1"/>
  <c r="B12" i="45"/>
  <c r="B12" i="47"/>
  <c r="B12" i="44"/>
  <c r="B12" i="43"/>
  <c r="B12" i="40"/>
  <c r="B12" i="42"/>
  <c r="B12" i="41"/>
  <c r="B12" i="37"/>
  <c r="B12" i="39"/>
  <c r="B12" i="38"/>
  <c r="B12" i="34"/>
  <c r="B12" i="33"/>
  <c r="B12" i="36"/>
  <c r="B12" i="35"/>
  <c r="B12" i="28"/>
  <c r="B12" i="31"/>
  <c r="B12" i="27"/>
  <c r="B12" i="32"/>
  <c r="P76" i="32" s="1"/>
  <c r="B12" i="30"/>
  <c r="B12" i="26"/>
  <c r="B12" i="29"/>
  <c r="B1" i="17"/>
  <c r="Z14" i="5"/>
  <c r="W15" i="5"/>
  <c r="AS14" i="5"/>
  <c r="W14" i="5"/>
  <c r="W15" i="6"/>
  <c r="AS14" i="6"/>
  <c r="W14" i="6"/>
  <c r="Z14" i="6"/>
  <c r="C14" i="7"/>
  <c r="C15" i="7"/>
  <c r="E14" i="7"/>
  <c r="Z14" i="9"/>
  <c r="W15" i="9"/>
  <c r="W14" i="9"/>
  <c r="AS14" i="9"/>
  <c r="Z14" i="14"/>
  <c r="W15" i="14"/>
  <c r="AS14" i="14"/>
  <c r="W14" i="14"/>
  <c r="Z14" i="22"/>
  <c r="W15" i="22"/>
  <c r="AS14" i="22"/>
  <c r="W14" i="22"/>
  <c r="C14" i="14"/>
  <c r="E14" i="14"/>
  <c r="C15" i="14"/>
  <c r="C14" i="22"/>
  <c r="E14" i="22"/>
  <c r="C15" i="22"/>
  <c r="C15" i="11"/>
  <c r="E14" i="11"/>
  <c r="C14" i="11"/>
  <c r="C15" i="19"/>
  <c r="E14" i="19"/>
  <c r="C14" i="19"/>
  <c r="AS14" i="13"/>
  <c r="W14" i="13"/>
  <c r="Z14" i="13"/>
  <c r="W15" i="13"/>
  <c r="AS14" i="21"/>
  <c r="W14" i="21"/>
  <c r="Z14" i="21"/>
  <c r="W15" i="21"/>
  <c r="E17" i="1"/>
  <c r="C17" i="1"/>
  <c r="AS17" i="7"/>
  <c r="Z17" i="7"/>
  <c r="W17" i="7"/>
  <c r="AS17" i="5"/>
  <c r="W17" i="5"/>
  <c r="Z17" i="5"/>
  <c r="E17" i="7"/>
  <c r="C17" i="7"/>
  <c r="C17" i="15"/>
  <c r="E17" i="15"/>
  <c r="C17" i="23"/>
  <c r="E17" i="23"/>
  <c r="C17" i="12"/>
  <c r="E17" i="12"/>
  <c r="C17" i="20"/>
  <c r="E17" i="20"/>
  <c r="AS17" i="10"/>
  <c r="W17" i="10"/>
  <c r="Z17" i="10"/>
  <c r="AS17" i="18"/>
  <c r="W17" i="18"/>
  <c r="Z17" i="18"/>
  <c r="E17" i="10"/>
  <c r="C17" i="10"/>
  <c r="E17" i="18"/>
  <c r="C17" i="18"/>
  <c r="E17" i="25"/>
  <c r="C17" i="25"/>
  <c r="Z17" i="53"/>
  <c r="W17" i="53"/>
  <c r="AS17" i="53"/>
  <c r="AD108" i="43"/>
  <c r="Q155" i="61"/>
  <c r="AR155" i="61"/>
  <c r="AR69" i="61"/>
  <c r="E8" i="1"/>
  <c r="C8" i="1"/>
  <c r="AS8" i="2"/>
  <c r="W8" i="2"/>
  <c r="Z8" i="2"/>
  <c r="AS8" i="3"/>
  <c r="W8" i="3"/>
  <c r="Z8" i="3"/>
  <c r="AS8" i="4"/>
  <c r="W8" i="4"/>
  <c r="Z8" i="4"/>
  <c r="C8" i="12"/>
  <c r="E8" i="12"/>
  <c r="C8" i="20"/>
  <c r="E8" i="20"/>
  <c r="AS8" i="11"/>
  <c r="W8" i="11"/>
  <c r="Z8" i="11"/>
  <c r="AS8" i="19"/>
  <c r="W8" i="19"/>
  <c r="Z8" i="19"/>
  <c r="C8" i="25"/>
  <c r="E8" i="25"/>
  <c r="E8" i="14"/>
  <c r="C8" i="14"/>
  <c r="E8" i="22"/>
  <c r="C8" i="22"/>
  <c r="E8" i="15"/>
  <c r="C8" i="15"/>
  <c r="E8" i="23"/>
  <c r="C8" i="23"/>
  <c r="C8" i="53"/>
  <c r="E8" i="53"/>
  <c r="AB160" i="61"/>
  <c r="A160" i="61"/>
  <c r="AB74" i="61"/>
  <c r="CK34" i="61"/>
  <c r="CG9" i="61"/>
  <c r="CH9" i="61" s="1"/>
  <c r="CI9" i="61" s="1"/>
  <c r="CK9" i="61"/>
  <c r="Z24" i="1"/>
  <c r="AS24" i="1"/>
  <c r="W24" i="1"/>
  <c r="Z24" i="9"/>
  <c r="AS24" i="9"/>
  <c r="W24" i="9"/>
  <c r="AS24" i="3"/>
  <c r="W24" i="3"/>
  <c r="Z24" i="3"/>
  <c r="C24" i="7"/>
  <c r="E24" i="7"/>
  <c r="C24" i="13"/>
  <c r="E24" i="13"/>
  <c r="C24" i="21"/>
  <c r="E24" i="21"/>
  <c r="AS24" i="11"/>
  <c r="W24" i="11"/>
  <c r="Z24" i="11"/>
  <c r="AS24" i="19"/>
  <c r="W24" i="19"/>
  <c r="Z24" i="19"/>
  <c r="E24" i="11"/>
  <c r="C24" i="11"/>
  <c r="E24" i="19"/>
  <c r="C24" i="19"/>
  <c r="E24" i="12"/>
  <c r="C24" i="12"/>
  <c r="E24" i="20"/>
  <c r="C24" i="20"/>
  <c r="C24" i="25"/>
  <c r="E24" i="25"/>
  <c r="E24" i="53"/>
  <c r="C24" i="53"/>
  <c r="O45" i="31"/>
  <c r="B57" i="29"/>
  <c r="A58" i="29"/>
  <c r="A58" i="33"/>
  <c r="B57" i="33"/>
  <c r="O81" i="32"/>
  <c r="O77" i="32"/>
  <c r="B45" i="33"/>
  <c r="A49" i="34"/>
  <c r="A53" i="36"/>
  <c r="A45" i="37"/>
  <c r="B45" i="37" s="1"/>
  <c r="B61" i="42"/>
  <c r="A66" i="42"/>
  <c r="A62" i="42"/>
  <c r="AL100" i="43"/>
  <c r="AH100" i="43"/>
  <c r="AL99" i="43"/>
  <c r="AH99" i="43"/>
  <c r="O48" i="45"/>
  <c r="P47" i="45"/>
  <c r="B61" i="47"/>
  <c r="A66" i="47"/>
  <c r="A62" i="47"/>
  <c r="O44" i="47"/>
  <c r="P43" i="47"/>
  <c r="Q43" i="47" s="1"/>
  <c r="AD44" i="47"/>
  <c r="O45" i="48"/>
  <c r="P56" i="59"/>
  <c r="A58" i="59"/>
  <c r="M155" i="61"/>
  <c r="AN155" i="61"/>
  <c r="AN69" i="61"/>
  <c r="Z10" i="3"/>
  <c r="W11" i="3"/>
  <c r="AS10" i="3"/>
  <c r="W10" i="3"/>
  <c r="C10" i="6"/>
  <c r="E10" i="6"/>
  <c r="C11" i="6"/>
  <c r="E10" i="3"/>
  <c r="C10" i="3"/>
  <c r="C11" i="3"/>
  <c r="AS10" i="6"/>
  <c r="W10" i="6"/>
  <c r="Z10" i="6"/>
  <c r="W11" i="6"/>
  <c r="C11" i="14"/>
  <c r="C10" i="14"/>
  <c r="E10" i="14"/>
  <c r="C11" i="22"/>
  <c r="C10" i="22"/>
  <c r="E10" i="22"/>
  <c r="C11" i="11"/>
  <c r="C10" i="11"/>
  <c r="E10" i="11"/>
  <c r="C11" i="19"/>
  <c r="C10" i="19"/>
  <c r="E10" i="19"/>
  <c r="W11" i="10"/>
  <c r="AS10" i="10"/>
  <c r="W10" i="10"/>
  <c r="Z10" i="10"/>
  <c r="W11" i="18"/>
  <c r="AS10" i="18"/>
  <c r="W10" i="18"/>
  <c r="Z10" i="18"/>
  <c r="AS10" i="11"/>
  <c r="W10" i="11"/>
  <c r="Z10" i="11"/>
  <c r="W11" i="11"/>
  <c r="AS10" i="19"/>
  <c r="W10" i="19"/>
  <c r="Z10" i="19"/>
  <c r="W11" i="19"/>
  <c r="E10" i="25"/>
  <c r="C11" i="25"/>
  <c r="C10" i="25"/>
  <c r="Z26" i="5"/>
  <c r="W27" i="5"/>
  <c r="AS26" i="5"/>
  <c r="W26" i="5"/>
  <c r="C26" i="7"/>
  <c r="E26" i="7"/>
  <c r="C27" i="7"/>
  <c r="E26" i="3"/>
  <c r="C26" i="3"/>
  <c r="C27" i="3"/>
  <c r="AS26" i="6"/>
  <c r="W26" i="6"/>
  <c r="W27" i="6"/>
  <c r="Z26" i="6"/>
  <c r="Z26" i="14"/>
  <c r="W27" i="14"/>
  <c r="AS26" i="14"/>
  <c r="W26" i="14"/>
  <c r="Z26" i="22"/>
  <c r="W27" i="22"/>
  <c r="AS26" i="22"/>
  <c r="W26" i="22"/>
  <c r="C26" i="14"/>
  <c r="E26" i="14"/>
  <c r="C27" i="14"/>
  <c r="C26" i="22"/>
  <c r="E26" i="22"/>
  <c r="C27" i="22"/>
  <c r="AS26" i="12"/>
  <c r="W26" i="12"/>
  <c r="Z26" i="12"/>
  <c r="W27" i="12"/>
  <c r="AS26" i="20"/>
  <c r="W26" i="20"/>
  <c r="Z26" i="20"/>
  <c r="W27" i="20"/>
  <c r="C27" i="16"/>
  <c r="E26" i="16"/>
  <c r="C26" i="16"/>
  <c r="W26" i="24"/>
  <c r="AS26" i="24"/>
  <c r="W27" i="24"/>
  <c r="Z26" i="24"/>
  <c r="Z13" i="3"/>
  <c r="AS13" i="3"/>
  <c r="W13" i="3"/>
  <c r="E13" i="4"/>
  <c r="C13" i="4"/>
  <c r="AS13" i="6"/>
  <c r="W13" i="6"/>
  <c r="Z13" i="6"/>
  <c r="C13" i="11"/>
  <c r="E13" i="11"/>
  <c r="C13" i="19"/>
  <c r="E13" i="19"/>
  <c r="AS13" i="9"/>
  <c r="W13" i="9"/>
  <c r="Z13" i="9"/>
  <c r="AS13" i="17"/>
  <c r="W13" i="17"/>
  <c r="Z13" i="17"/>
  <c r="AS13" i="10"/>
  <c r="W13" i="10"/>
  <c r="Z13" i="10"/>
  <c r="AS13" i="18"/>
  <c r="W13" i="18"/>
  <c r="Z13" i="18"/>
  <c r="E13" i="10"/>
  <c r="C13" i="10"/>
  <c r="E13" i="18"/>
  <c r="C13" i="18"/>
  <c r="C13" i="24"/>
  <c r="E13" i="24"/>
  <c r="A165" i="61"/>
  <c r="AB165" i="61"/>
  <c r="AB79" i="61"/>
  <c r="CK39" i="61"/>
  <c r="CK14" i="61"/>
  <c r="CG14" i="61"/>
  <c r="CH14" i="61" s="1"/>
  <c r="CI14" i="61" s="1"/>
  <c r="I53" i="6"/>
  <c r="BG30" i="6"/>
  <c r="L69" i="61"/>
  <c r="CV4" i="61" s="1"/>
  <c r="BN69" i="61"/>
  <c r="B14" i="59"/>
  <c r="L2" i="56"/>
  <c r="Q186" i="61" s="1"/>
  <c r="O210" i="61" s="1"/>
  <c r="B14" i="50"/>
  <c r="B14" i="49"/>
  <c r="B14" i="48"/>
  <c r="B14" i="47"/>
  <c r="B14" i="44"/>
  <c r="B14" i="46"/>
  <c r="B14" i="45"/>
  <c r="B14" i="43"/>
  <c r="B14" i="42"/>
  <c r="B14" i="41"/>
  <c r="B14" i="40"/>
  <c r="B14" i="39"/>
  <c r="B14" i="38"/>
  <c r="B14" i="37"/>
  <c r="B14" i="33"/>
  <c r="B14" i="36"/>
  <c r="B14" i="35"/>
  <c r="B14" i="34"/>
  <c r="B14" i="31"/>
  <c r="B14" i="27"/>
  <c r="B14" i="30"/>
  <c r="B14" i="29"/>
  <c r="B14" i="32"/>
  <c r="B14" i="28"/>
  <c r="B14" i="26"/>
  <c r="B1" i="15"/>
  <c r="AS20" i="1"/>
  <c r="W20" i="1"/>
  <c r="Z20" i="1"/>
  <c r="Z20" i="9"/>
  <c r="AS20" i="9"/>
  <c r="W20" i="9"/>
  <c r="E20" i="2"/>
  <c r="C20" i="2"/>
  <c r="E20" i="3"/>
  <c r="C20" i="3"/>
  <c r="Z20" i="10"/>
  <c r="AS20" i="10"/>
  <c r="W20" i="10"/>
  <c r="Z20" i="18"/>
  <c r="AS20" i="18"/>
  <c r="W20" i="18"/>
  <c r="AS20" i="7"/>
  <c r="W20" i="7"/>
  <c r="Z20" i="7"/>
  <c r="AS20" i="15"/>
  <c r="W20" i="15"/>
  <c r="Z20" i="15"/>
  <c r="AS20" i="23"/>
  <c r="W20" i="23"/>
  <c r="Z20" i="23"/>
  <c r="E20" i="15"/>
  <c r="C20" i="15"/>
  <c r="E20" i="23"/>
  <c r="C20" i="23"/>
  <c r="AS20" i="17"/>
  <c r="W20" i="17"/>
  <c r="Z20" i="17"/>
  <c r="Z20" i="25"/>
  <c r="AS20" i="25"/>
  <c r="W20" i="25"/>
  <c r="W20" i="53"/>
  <c r="AS20" i="53"/>
  <c r="Z20" i="53"/>
  <c r="AB172" i="61"/>
  <c r="A172" i="61"/>
  <c r="AB86" i="61"/>
  <c r="CG21" i="61"/>
  <c r="CH21" i="61" s="1"/>
  <c r="CI21" i="61" s="1"/>
  <c r="CK21" i="61"/>
  <c r="CK46" i="61"/>
  <c r="AC54" i="27"/>
  <c r="AC58" i="27"/>
  <c r="A54" i="29"/>
  <c r="B53" i="29"/>
  <c r="A54" i="28"/>
  <c r="B53" i="28"/>
  <c r="O61" i="29"/>
  <c r="O57" i="29"/>
  <c r="AD44" i="31"/>
  <c r="O49" i="36"/>
  <c r="O48" i="27"/>
  <c r="P47" i="27"/>
  <c r="A49" i="30"/>
  <c r="A54" i="34"/>
  <c r="B53" i="34"/>
  <c r="AD48" i="39"/>
  <c r="A49" i="38"/>
  <c r="A49" i="39"/>
  <c r="A54" i="42"/>
  <c r="B53" i="42"/>
  <c r="AD104" i="43"/>
  <c r="AL64" i="43"/>
  <c r="AH65" i="43"/>
  <c r="AH64" i="43"/>
  <c r="AL65" i="43"/>
  <c r="P51" i="47"/>
  <c r="P39" i="49"/>
  <c r="P51" i="48"/>
  <c r="A66" i="49"/>
  <c r="A62" i="49"/>
  <c r="B61" i="49"/>
  <c r="O48" i="49"/>
  <c r="P47" i="49"/>
  <c r="A54" i="50"/>
  <c r="B53" i="50"/>
  <c r="O53" i="59"/>
  <c r="I155" i="61"/>
  <c r="AJ155" i="61"/>
  <c r="AJ69" i="61"/>
  <c r="C6" i="3"/>
  <c r="E6" i="3"/>
  <c r="C7" i="3"/>
  <c r="W7" i="5"/>
  <c r="AS6" i="5"/>
  <c r="W6" i="5"/>
  <c r="Z6" i="5"/>
  <c r="AS6" i="2"/>
  <c r="W6" i="2"/>
  <c r="Z6" i="2"/>
  <c r="W7" i="2"/>
  <c r="AS6" i="3"/>
  <c r="W6" i="3"/>
  <c r="Z6" i="3"/>
  <c r="W7" i="3"/>
  <c r="W7" i="9"/>
  <c r="AS6" i="9"/>
  <c r="W6" i="9"/>
  <c r="Z6" i="9"/>
  <c r="Z6" i="17"/>
  <c r="W7" i="17"/>
  <c r="AS6" i="17"/>
  <c r="W6" i="17"/>
  <c r="W7" i="10"/>
  <c r="AS6" i="10"/>
  <c r="W6" i="10"/>
  <c r="Z6" i="10"/>
  <c r="W7" i="18"/>
  <c r="AS6" i="18"/>
  <c r="W6" i="18"/>
  <c r="Z6" i="18"/>
  <c r="C7" i="10"/>
  <c r="E6" i="10"/>
  <c r="C6" i="10"/>
  <c r="C7" i="18"/>
  <c r="E6" i="18"/>
  <c r="C6" i="18"/>
  <c r="C6" i="25"/>
  <c r="E6" i="25"/>
  <c r="C7" i="25"/>
  <c r="AS6" i="16"/>
  <c r="W6" i="16"/>
  <c r="Z6" i="16"/>
  <c r="W7" i="16"/>
  <c r="AS6" i="24"/>
  <c r="W6" i="24"/>
  <c r="W7" i="24"/>
  <c r="Z6" i="24"/>
  <c r="AB158" i="61"/>
  <c r="A158" i="61"/>
  <c r="AB72" i="61"/>
  <c r="CK32" i="61"/>
  <c r="CK7" i="61"/>
  <c r="CG7" i="61"/>
  <c r="CH7" i="61" s="1"/>
  <c r="CI7" i="61" s="1"/>
  <c r="C22" i="4"/>
  <c r="E22" i="4"/>
  <c r="C23" i="4"/>
  <c r="C22" i="5"/>
  <c r="C23" i="5"/>
  <c r="E22" i="5"/>
  <c r="C23" i="6"/>
  <c r="E22" i="6"/>
  <c r="C22" i="6"/>
  <c r="Z22" i="9"/>
  <c r="W23" i="9"/>
  <c r="W22" i="9"/>
  <c r="AS22" i="9"/>
  <c r="C22" i="13"/>
  <c r="E22" i="13"/>
  <c r="C23" i="13"/>
  <c r="C22" i="21"/>
  <c r="E22" i="21"/>
  <c r="C23" i="21"/>
  <c r="W23" i="11"/>
  <c r="AS22" i="11"/>
  <c r="W22" i="11"/>
  <c r="Z22" i="11"/>
  <c r="W23" i="19"/>
  <c r="AS22" i="19"/>
  <c r="W22" i="19"/>
  <c r="Z22" i="19"/>
  <c r="AS22" i="8"/>
  <c r="W22" i="8"/>
  <c r="Z22" i="8"/>
  <c r="W23" i="8"/>
  <c r="AS22" i="16"/>
  <c r="W22" i="16"/>
  <c r="Z22" i="16"/>
  <c r="W23" i="16"/>
  <c r="C23" i="12"/>
  <c r="E22" i="12"/>
  <c r="C22" i="12"/>
  <c r="C23" i="20"/>
  <c r="E22" i="20"/>
  <c r="C22" i="20"/>
  <c r="C22" i="25"/>
  <c r="C23" i="25"/>
  <c r="E22" i="25"/>
  <c r="E22" i="53"/>
  <c r="C22" i="53"/>
  <c r="C23" i="53"/>
  <c r="A174" i="61"/>
  <c r="AB174" i="61"/>
  <c r="AB88" i="61"/>
  <c r="CK48" i="61"/>
  <c r="CG23" i="61"/>
  <c r="CH23" i="61" s="1"/>
  <c r="CI23" i="61" s="1"/>
  <c r="CK23" i="61"/>
  <c r="C69" i="61"/>
  <c r="CM4" i="61" s="1"/>
  <c r="BE69" i="61"/>
  <c r="C2" i="56"/>
  <c r="H186" i="61" s="1"/>
  <c r="F210" i="61" s="1"/>
  <c r="B5" i="59"/>
  <c r="B5" i="50"/>
  <c r="B5" i="49"/>
  <c r="B5" i="48"/>
  <c r="B5" i="46"/>
  <c r="B5" i="45"/>
  <c r="B5" i="47"/>
  <c r="B5" i="44"/>
  <c r="B5" i="43"/>
  <c r="B5" i="42"/>
  <c r="B5" i="41"/>
  <c r="B5" i="40"/>
  <c r="B5" i="37"/>
  <c r="B5" i="39"/>
  <c r="B5" i="38"/>
  <c r="B5" i="34"/>
  <c r="B5" i="33"/>
  <c r="B5" i="36"/>
  <c r="B5" i="35"/>
  <c r="B5" i="32"/>
  <c r="B5" i="28"/>
  <c r="B5" i="31"/>
  <c r="B5" i="27"/>
  <c r="B5" i="30"/>
  <c r="B5" i="26"/>
  <c r="B5" i="29"/>
  <c r="B1" i="24"/>
  <c r="C9" i="5"/>
  <c r="E9" i="5"/>
  <c r="E9" i="3"/>
  <c r="C9" i="3"/>
  <c r="AS9" i="2"/>
  <c r="W9" i="2"/>
  <c r="Z9" i="2"/>
  <c r="AS9" i="8"/>
  <c r="W9" i="8"/>
  <c r="Z9" i="8"/>
  <c r="Z9" i="16"/>
  <c r="AS9" i="16"/>
  <c r="W9" i="16"/>
  <c r="Z9" i="25"/>
  <c r="AS9" i="25"/>
  <c r="W9" i="25"/>
  <c r="AS9" i="13"/>
  <c r="W9" i="13"/>
  <c r="Z9" i="13"/>
  <c r="AS9" i="21"/>
  <c r="W9" i="21"/>
  <c r="Z9" i="21"/>
  <c r="AS9" i="10"/>
  <c r="W9" i="10"/>
  <c r="Z9" i="10"/>
  <c r="AS9" i="18"/>
  <c r="W9" i="18"/>
  <c r="Z9" i="18"/>
  <c r="E9" i="13"/>
  <c r="C9" i="13"/>
  <c r="E9" i="21"/>
  <c r="C9" i="21"/>
  <c r="C25" i="3"/>
  <c r="E25" i="3"/>
  <c r="E25" i="4"/>
  <c r="C25" i="4"/>
  <c r="AS25" i="2"/>
  <c r="W25" i="2"/>
  <c r="Z25" i="2"/>
  <c r="C25" i="11"/>
  <c r="E25" i="11"/>
  <c r="C25" i="19"/>
  <c r="E25" i="19"/>
  <c r="Z25" i="25"/>
  <c r="AS25" i="25"/>
  <c r="W25" i="25"/>
  <c r="AS25" i="13"/>
  <c r="W25" i="13"/>
  <c r="Z25" i="13"/>
  <c r="AS25" i="21"/>
  <c r="W25" i="21"/>
  <c r="Z25" i="21"/>
  <c r="E25" i="13"/>
  <c r="C25" i="13"/>
  <c r="E25" i="21"/>
  <c r="C25" i="21"/>
  <c r="E25" i="14"/>
  <c r="C25" i="14"/>
  <c r="E25" i="22"/>
  <c r="C25" i="22"/>
  <c r="C25" i="53"/>
  <c r="E25" i="53"/>
  <c r="DD83" i="61"/>
  <c r="DE83" i="61" s="1"/>
  <c r="DC83" i="61"/>
  <c r="I55" i="2"/>
  <c r="I51" i="2"/>
  <c r="I47" i="2"/>
  <c r="I43" i="2"/>
  <c r="I39" i="2"/>
  <c r="I35" i="2"/>
  <c r="BG31" i="2"/>
  <c r="BG29" i="2"/>
  <c r="BG28" i="2"/>
  <c r="BG26" i="2"/>
  <c r="BG24" i="2"/>
  <c r="BG22" i="2"/>
  <c r="BG20" i="2"/>
  <c r="BG18" i="2"/>
  <c r="BG16" i="2"/>
  <c r="BG14" i="2"/>
  <c r="BG12" i="2"/>
  <c r="I54" i="2"/>
  <c r="I50" i="2"/>
  <c r="I46" i="2"/>
  <c r="I42" i="2"/>
  <c r="I38" i="2"/>
  <c r="BG34" i="2"/>
  <c r="I57" i="2"/>
  <c r="I53" i="2"/>
  <c r="I49" i="2"/>
  <c r="S25" i="2" s="1"/>
  <c r="CA84" i="61" s="1"/>
  <c r="I45" i="2"/>
  <c r="I41" i="2"/>
  <c r="I37" i="2"/>
  <c r="BG33" i="2"/>
  <c r="BG32" i="2"/>
  <c r="BG30" i="2"/>
  <c r="BG27" i="2"/>
  <c r="BG25" i="2"/>
  <c r="BG23" i="2"/>
  <c r="BG21" i="2"/>
  <c r="BG19" i="2"/>
  <c r="BG17" i="2"/>
  <c r="BG15" i="2"/>
  <c r="BG13" i="2"/>
  <c r="I56" i="2"/>
  <c r="I52" i="2"/>
  <c r="I48" i="2"/>
  <c r="I44" i="2"/>
  <c r="S20" i="2" s="1"/>
  <c r="CA79" i="61" s="1"/>
  <c r="I40" i="2"/>
  <c r="I36" i="2"/>
  <c r="Y16" i="1"/>
  <c r="AA16" i="1" s="1"/>
  <c r="AG16" i="1" s="1"/>
  <c r="AS16" i="1"/>
  <c r="W16" i="1"/>
  <c r="Z16" i="1"/>
  <c r="Z16" i="9"/>
  <c r="Y16" i="9"/>
  <c r="AA16" i="9" s="1"/>
  <c r="AG16" i="9" s="1"/>
  <c r="AS16" i="9"/>
  <c r="W16" i="9"/>
  <c r="C16" i="7"/>
  <c r="E16" i="7"/>
  <c r="E16" i="6"/>
  <c r="C16" i="6"/>
  <c r="Z16" i="10"/>
  <c r="Y16" i="10"/>
  <c r="AA16" i="10" s="1"/>
  <c r="AG16" i="10" s="1"/>
  <c r="AS16" i="10"/>
  <c r="W16" i="10"/>
  <c r="Z16" i="18"/>
  <c r="Y16" i="18"/>
  <c r="AA16" i="18" s="1"/>
  <c r="AG16" i="18" s="1"/>
  <c r="AS16" i="18"/>
  <c r="W16" i="18"/>
  <c r="C16" i="10"/>
  <c r="E16" i="10"/>
  <c r="C16" i="18"/>
  <c r="E16" i="18"/>
  <c r="AS16" i="8"/>
  <c r="W16" i="8"/>
  <c r="Z16" i="8"/>
  <c r="Y16" i="8"/>
  <c r="AS16" i="16"/>
  <c r="W16" i="16"/>
  <c r="Z16" i="16"/>
  <c r="Y16" i="16"/>
  <c r="Y16" i="24"/>
  <c r="AA16" i="24" s="1"/>
  <c r="AG16" i="24" s="1"/>
  <c r="W16" i="24"/>
  <c r="AS16" i="24"/>
  <c r="Z16" i="24"/>
  <c r="AS16" i="17"/>
  <c r="W16" i="17"/>
  <c r="Z16" i="17"/>
  <c r="Y16" i="17"/>
  <c r="Z16" i="25"/>
  <c r="AS16" i="25"/>
  <c r="W16" i="25"/>
  <c r="Y16" i="25"/>
  <c r="AA16" i="25" s="1"/>
  <c r="AG16" i="25" s="1"/>
  <c r="Z16" i="53"/>
  <c r="Y16" i="53"/>
  <c r="AA16" i="53" s="1"/>
  <c r="AG16" i="53" s="1"/>
  <c r="W16" i="53"/>
  <c r="AS16" i="53"/>
  <c r="DD74" i="61"/>
  <c r="DE74" i="61" s="1"/>
  <c r="DC74" i="61"/>
  <c r="AD44" i="28"/>
  <c r="A49" i="26"/>
  <c r="O49" i="29"/>
  <c r="O45" i="26"/>
  <c r="B45" i="29"/>
  <c r="A49" i="29"/>
  <c r="O48" i="31"/>
  <c r="P47" i="31"/>
  <c r="P51" i="28"/>
  <c r="O56" i="28"/>
  <c r="O52" i="28"/>
  <c r="O48" i="33"/>
  <c r="P47" i="33"/>
  <c r="A61" i="37"/>
  <c r="A57" i="37"/>
  <c r="O49" i="41"/>
  <c r="P51" i="42"/>
  <c r="A57" i="43"/>
  <c r="A61" i="43"/>
  <c r="A58" i="44"/>
  <c r="B57" i="44"/>
  <c r="A49" i="42"/>
  <c r="B45" i="44"/>
  <c r="O49" i="47"/>
  <c r="O45" i="49"/>
  <c r="AC58" i="48"/>
  <c r="AC54" i="48"/>
  <c r="A49" i="48"/>
  <c r="W19" i="2"/>
  <c r="AS18" i="2"/>
  <c r="W18" i="2"/>
  <c r="Z18" i="2"/>
  <c r="AS18" i="3"/>
  <c r="W18" i="3"/>
  <c r="Z18" i="3"/>
  <c r="W19" i="3"/>
  <c r="C18" i="7"/>
  <c r="E18" i="7"/>
  <c r="C19" i="7"/>
  <c r="C18" i="9"/>
  <c r="E18" i="9"/>
  <c r="C19" i="9"/>
  <c r="C18" i="17"/>
  <c r="E18" i="17"/>
  <c r="C19" i="17"/>
  <c r="AS18" i="7"/>
  <c r="W18" i="7"/>
  <c r="Z18" i="7"/>
  <c r="W19" i="7"/>
  <c r="W19" i="15"/>
  <c r="AS18" i="15"/>
  <c r="W18" i="15"/>
  <c r="Z18" i="15"/>
  <c r="W19" i="23"/>
  <c r="AS18" i="23"/>
  <c r="W18" i="23"/>
  <c r="Z18" i="23"/>
  <c r="C19" i="15"/>
  <c r="E18" i="15"/>
  <c r="C18" i="15"/>
  <c r="C19" i="23"/>
  <c r="E18" i="23"/>
  <c r="C18" i="23"/>
  <c r="AS18" i="17"/>
  <c r="W18" i="17"/>
  <c r="Z18" i="17"/>
  <c r="W19" i="17"/>
  <c r="E18" i="24"/>
  <c r="C18" i="24"/>
  <c r="C19" i="24"/>
  <c r="DD76" i="61"/>
  <c r="DE76" i="61" s="1"/>
  <c r="DC76" i="61"/>
  <c r="G69" i="61"/>
  <c r="CQ4" i="61" s="1"/>
  <c r="BI69" i="61"/>
  <c r="G2" i="56"/>
  <c r="L186" i="61" s="1"/>
  <c r="J210" i="61" s="1"/>
  <c r="B9" i="59"/>
  <c r="P48" i="59" s="1"/>
  <c r="B9" i="50"/>
  <c r="B9" i="48"/>
  <c r="B9" i="49"/>
  <c r="B9" i="47"/>
  <c r="B9" i="46"/>
  <c r="B9" i="43"/>
  <c r="B9" i="45"/>
  <c r="P45" i="45" s="1"/>
  <c r="B9" i="44"/>
  <c r="B9" i="42"/>
  <c r="P45" i="42" s="1"/>
  <c r="B9" i="41"/>
  <c r="B9" i="40"/>
  <c r="B9" i="39"/>
  <c r="B9" i="38"/>
  <c r="B9" i="37"/>
  <c r="B9" i="36"/>
  <c r="B9" i="35"/>
  <c r="P45" i="35" s="1"/>
  <c r="B9" i="34"/>
  <c r="B9" i="33"/>
  <c r="B9" i="32"/>
  <c r="P53" i="32" s="1"/>
  <c r="Q53" i="32" s="1"/>
  <c r="B9" i="30"/>
  <c r="B9" i="26"/>
  <c r="B9" i="29"/>
  <c r="B9" i="28"/>
  <c r="B9" i="31"/>
  <c r="B9" i="27"/>
  <c r="B1" i="20"/>
  <c r="E5" i="5"/>
  <c r="AS5" i="3"/>
  <c r="AS5" i="4"/>
  <c r="AS5" i="5"/>
  <c r="E5" i="14"/>
  <c r="E5" i="22"/>
  <c r="AS5" i="12"/>
  <c r="AS5" i="20"/>
  <c r="E5" i="12"/>
  <c r="E5" i="20"/>
  <c r="E5" i="13"/>
  <c r="E5" i="21"/>
  <c r="C21" i="3"/>
  <c r="E21" i="3"/>
  <c r="AS21" i="5"/>
  <c r="W21" i="5"/>
  <c r="Z21" i="5"/>
  <c r="E21" i="5"/>
  <c r="C21" i="5"/>
  <c r="C21" i="11"/>
  <c r="E21" i="11"/>
  <c r="C21" i="19"/>
  <c r="E21" i="19"/>
  <c r="AS21" i="9"/>
  <c r="W21" i="9"/>
  <c r="Z21" i="9"/>
  <c r="AS21" i="17"/>
  <c r="W21" i="17"/>
  <c r="Z21" i="17"/>
  <c r="E21" i="9"/>
  <c r="C21" i="9"/>
  <c r="E21" i="17"/>
  <c r="C21" i="17"/>
  <c r="Z21" i="24"/>
  <c r="W21" i="24"/>
  <c r="AS21" i="24"/>
  <c r="AS21" i="15"/>
  <c r="W21" i="15"/>
  <c r="Z21" i="15"/>
  <c r="AS21" i="23"/>
  <c r="W21" i="23"/>
  <c r="Z21" i="23"/>
  <c r="Z21" i="53"/>
  <c r="W21" i="53"/>
  <c r="AS21" i="53"/>
  <c r="DD79" i="61"/>
  <c r="DE79" i="61" s="1"/>
  <c r="DC79" i="61"/>
  <c r="D69" i="61"/>
  <c r="CN4" i="61" s="1"/>
  <c r="BF69" i="61"/>
  <c r="B6" i="59"/>
  <c r="B57" i="59" s="1"/>
  <c r="D2" i="56"/>
  <c r="I186" i="61" s="1"/>
  <c r="G210" i="61" s="1"/>
  <c r="B6" i="50"/>
  <c r="B48" i="50" s="1"/>
  <c r="B6" i="48"/>
  <c r="B56" i="48" s="1"/>
  <c r="B6" i="49"/>
  <c r="B48" i="49" s="1"/>
  <c r="B6" i="47"/>
  <c r="B6" i="46"/>
  <c r="B56" i="46" s="1"/>
  <c r="B6" i="43"/>
  <c r="B52" i="43" s="1"/>
  <c r="B6" i="45"/>
  <c r="B52" i="45" s="1"/>
  <c r="B6" i="44"/>
  <c r="B48" i="44" s="1"/>
  <c r="B6" i="42"/>
  <c r="B6" i="41"/>
  <c r="B48" i="41" s="1"/>
  <c r="B6" i="39"/>
  <c r="B52" i="39" s="1"/>
  <c r="B6" i="40"/>
  <c r="B48" i="40" s="1"/>
  <c r="B6" i="38"/>
  <c r="B6" i="37"/>
  <c r="B44" i="37" s="1"/>
  <c r="B6" i="36"/>
  <c r="B52" i="36" s="1"/>
  <c r="B6" i="35"/>
  <c r="B48" i="35" s="1"/>
  <c r="B6" i="34"/>
  <c r="B6" i="33"/>
  <c r="B48" i="33" s="1"/>
  <c r="B6" i="32"/>
  <c r="B6" i="30"/>
  <c r="B44" i="30" s="1"/>
  <c r="B6" i="26"/>
  <c r="B56" i="26" s="1"/>
  <c r="B6" i="29"/>
  <c r="B48" i="29" s="1"/>
  <c r="B6" i="28"/>
  <c r="B48" i="28" s="1"/>
  <c r="B6" i="31"/>
  <c r="B48" i="31" s="1"/>
  <c r="B6" i="27"/>
  <c r="B48" i="27" s="1"/>
  <c r="B1" i="23"/>
  <c r="C12" i="4"/>
  <c r="E12" i="4"/>
  <c r="Z12" i="9"/>
  <c r="AS12" i="9"/>
  <c r="W12" i="9"/>
  <c r="E12" i="2"/>
  <c r="C12" i="2"/>
  <c r="AS12" i="4"/>
  <c r="W12" i="4"/>
  <c r="Z12" i="4"/>
  <c r="Z12" i="14"/>
  <c r="AS12" i="14"/>
  <c r="W12" i="14"/>
  <c r="Z12" i="22"/>
  <c r="AS12" i="22"/>
  <c r="W12" i="22"/>
  <c r="AS12" i="11"/>
  <c r="W12" i="11"/>
  <c r="Z12" i="11"/>
  <c r="AS12" i="19"/>
  <c r="W12" i="19"/>
  <c r="Z12" i="19"/>
  <c r="E12" i="11"/>
  <c r="C12" i="11"/>
  <c r="E12" i="19"/>
  <c r="C12" i="19"/>
  <c r="AS12" i="13"/>
  <c r="W12" i="13"/>
  <c r="Z12" i="13"/>
  <c r="AS12" i="21"/>
  <c r="W12" i="21"/>
  <c r="Z12" i="21"/>
  <c r="C28" i="7"/>
  <c r="E28" i="7"/>
  <c r="AC28" i="2"/>
  <c r="AS28" i="2"/>
  <c r="W28" i="2"/>
  <c r="Z28" i="2"/>
  <c r="AS28" i="3"/>
  <c r="W28" i="3"/>
  <c r="Z28" i="3"/>
  <c r="AC28" i="3"/>
  <c r="C28" i="9"/>
  <c r="E28" i="9"/>
  <c r="C28" i="17"/>
  <c r="E28" i="17"/>
  <c r="AS28" i="24"/>
  <c r="Z28" i="24"/>
  <c r="AC28" i="24"/>
  <c r="AC27" i="24" s="1"/>
  <c r="AC26" i="24" s="1"/>
  <c r="AC25" i="24" s="1"/>
  <c r="AC24" i="24" s="1"/>
  <c r="AC23" i="24" s="1"/>
  <c r="AC22" i="24" s="1"/>
  <c r="AC21" i="24" s="1"/>
  <c r="AC20" i="24" s="1"/>
  <c r="AC19" i="24" s="1"/>
  <c r="AC18" i="24" s="1"/>
  <c r="AC17" i="24" s="1"/>
  <c r="W28" i="24"/>
  <c r="C28" i="14"/>
  <c r="E28" i="14"/>
  <c r="C28" i="22"/>
  <c r="E28" i="22"/>
  <c r="AS28" i="12"/>
  <c r="W28" i="12"/>
  <c r="Z28" i="12"/>
  <c r="AC28" i="12"/>
  <c r="AS28" i="20"/>
  <c r="W28" i="20"/>
  <c r="Z28" i="20"/>
  <c r="AC28" i="20"/>
  <c r="E28" i="16"/>
  <c r="C28" i="16"/>
  <c r="E28" i="24"/>
  <c r="C28" i="24"/>
  <c r="DC86" i="61"/>
  <c r="DD86" i="61"/>
  <c r="DE86" i="61" s="1"/>
  <c r="AC138" i="43"/>
  <c r="AC134" i="43"/>
  <c r="AD134" i="43" s="1"/>
  <c r="AD133" i="43"/>
  <c r="O52" i="44"/>
  <c r="P51" i="44"/>
  <c r="O56" i="44"/>
  <c r="AD48" i="40"/>
  <c r="AD44" i="40"/>
  <c r="P39" i="40"/>
  <c r="C15" i="2"/>
  <c r="E14" i="2"/>
  <c r="C14" i="2"/>
  <c r="C14" i="17"/>
  <c r="E14" i="17"/>
  <c r="C15" i="17"/>
  <c r="AS14" i="12"/>
  <c r="W14" i="12"/>
  <c r="Z14" i="12"/>
  <c r="W15" i="12"/>
  <c r="E14" i="24"/>
  <c r="C14" i="24"/>
  <c r="C15" i="24"/>
  <c r="C17" i="3"/>
  <c r="E17" i="3"/>
  <c r="Z17" i="16"/>
  <c r="AS17" i="16"/>
  <c r="W17" i="16"/>
  <c r="AS17" i="13"/>
  <c r="W17" i="13"/>
  <c r="Z17" i="13"/>
  <c r="AS17" i="21"/>
  <c r="W17" i="21"/>
  <c r="Z17" i="21"/>
  <c r="E17" i="21"/>
  <c r="C17" i="21"/>
  <c r="AS17" i="19"/>
  <c r="W17" i="19"/>
  <c r="Z17" i="19"/>
  <c r="C8" i="4"/>
  <c r="E8" i="4"/>
  <c r="Z8" i="22"/>
  <c r="AS8" i="22"/>
  <c r="W8" i="22"/>
  <c r="C8" i="21"/>
  <c r="E8" i="21"/>
  <c r="E8" i="24"/>
  <c r="C8" i="24"/>
  <c r="Z8" i="25"/>
  <c r="AS8" i="25"/>
  <c r="W8" i="25"/>
  <c r="C24" i="4"/>
  <c r="E24" i="4"/>
  <c r="Z24" i="14"/>
  <c r="AS24" i="14"/>
  <c r="W24" i="14"/>
  <c r="C24" i="14"/>
  <c r="E24" i="14"/>
  <c r="AS24" i="20"/>
  <c r="W24" i="20"/>
  <c r="Z24" i="20"/>
  <c r="AS24" i="13"/>
  <c r="W24" i="13"/>
  <c r="Z24" i="13"/>
  <c r="AS24" i="21"/>
  <c r="W24" i="21"/>
  <c r="Z24" i="21"/>
  <c r="AA45" i="31"/>
  <c r="AO45" i="31" s="1"/>
  <c r="W45" i="31"/>
  <c r="AA44" i="31"/>
  <c r="AO44" i="31" s="1"/>
  <c r="W44" i="31"/>
  <c r="A49" i="28"/>
  <c r="A45" i="30"/>
  <c r="B45" i="30" s="1"/>
  <c r="O49" i="35"/>
  <c r="P39" i="39"/>
  <c r="O40" i="39"/>
  <c r="P51" i="45"/>
  <c r="O56" i="45"/>
  <c r="O52" i="45"/>
  <c r="AC54" i="49"/>
  <c r="AC58" i="49"/>
  <c r="A49" i="50"/>
  <c r="I54" i="3"/>
  <c r="I50" i="3"/>
  <c r="I46" i="3"/>
  <c r="I42" i="3"/>
  <c r="I38" i="3"/>
  <c r="BG34" i="3"/>
  <c r="I57" i="3"/>
  <c r="I53" i="3"/>
  <c r="I49" i="3"/>
  <c r="I45" i="3"/>
  <c r="I41" i="3"/>
  <c r="I37" i="3"/>
  <c r="BG33" i="3"/>
  <c r="BG32" i="3"/>
  <c r="BG30" i="3"/>
  <c r="BG27" i="3"/>
  <c r="BG25" i="3"/>
  <c r="BG23" i="3"/>
  <c r="BG21" i="3"/>
  <c r="BG19" i="3"/>
  <c r="BG17" i="3"/>
  <c r="BG15" i="3"/>
  <c r="BG13" i="3"/>
  <c r="I56" i="3"/>
  <c r="I52" i="3"/>
  <c r="I48" i="3"/>
  <c r="I44" i="3"/>
  <c r="S20" i="3" s="1"/>
  <c r="BZ79" i="61" s="1"/>
  <c r="I40" i="3"/>
  <c r="I36" i="3"/>
  <c r="I55" i="3"/>
  <c r="S31" i="3" s="1"/>
  <c r="BZ90" i="61" s="1"/>
  <c r="I51" i="3"/>
  <c r="I47" i="3"/>
  <c r="I43" i="3"/>
  <c r="I39" i="3"/>
  <c r="I35" i="3"/>
  <c r="BG31" i="3"/>
  <c r="BG29" i="3"/>
  <c r="BG28" i="3"/>
  <c r="BG26" i="3"/>
  <c r="BG24" i="3"/>
  <c r="BG22" i="3"/>
  <c r="BG20" i="3"/>
  <c r="BG18" i="3"/>
  <c r="BG16" i="3"/>
  <c r="BG14" i="3"/>
  <c r="BG12" i="3"/>
  <c r="Z13" i="12"/>
  <c r="AS13" i="12"/>
  <c r="W13" i="12"/>
  <c r="E13" i="21"/>
  <c r="C13" i="21"/>
  <c r="DD71" i="61"/>
  <c r="DE71" i="61" s="1"/>
  <c r="DC71" i="61"/>
  <c r="C20" i="21"/>
  <c r="E20" i="21"/>
  <c r="E20" i="12"/>
  <c r="C20" i="12"/>
  <c r="O45" i="36"/>
  <c r="AC49" i="41"/>
  <c r="AD48" i="41"/>
  <c r="AC53" i="41"/>
  <c r="AD44" i="50"/>
  <c r="C7" i="19"/>
  <c r="E6" i="19"/>
  <c r="C6" i="19"/>
  <c r="C23" i="1"/>
  <c r="E22" i="1"/>
  <c r="C22" i="1"/>
  <c r="Z22" i="14"/>
  <c r="W23" i="14"/>
  <c r="AS22" i="14"/>
  <c r="W22" i="14"/>
  <c r="C22" i="22"/>
  <c r="E22" i="22"/>
  <c r="C23" i="22"/>
  <c r="C23" i="19"/>
  <c r="E22" i="19"/>
  <c r="C22" i="19"/>
  <c r="AS22" i="13"/>
  <c r="W22" i="13"/>
  <c r="Z22" i="13"/>
  <c r="W23" i="13"/>
  <c r="AS22" i="21"/>
  <c r="W22" i="21"/>
  <c r="Z22" i="21"/>
  <c r="W23" i="21"/>
  <c r="C9" i="2"/>
  <c r="E9" i="2"/>
  <c r="AS9" i="5"/>
  <c r="W9" i="5"/>
  <c r="Z9" i="5"/>
  <c r="E9" i="4"/>
  <c r="C9" i="4"/>
  <c r="C9" i="10"/>
  <c r="E9" i="10"/>
  <c r="C9" i="18"/>
  <c r="E9" i="18"/>
  <c r="E9" i="7"/>
  <c r="C9" i="7"/>
  <c r="C9" i="15"/>
  <c r="E9" i="15"/>
  <c r="C9" i="23"/>
  <c r="E9" i="23"/>
  <c r="E9" i="12"/>
  <c r="C9" i="12"/>
  <c r="E9" i="20"/>
  <c r="C9" i="20"/>
  <c r="AS9" i="15"/>
  <c r="W9" i="15"/>
  <c r="Z9" i="15"/>
  <c r="AS9" i="23"/>
  <c r="W9" i="23"/>
  <c r="Z9" i="23"/>
  <c r="DD67" i="61"/>
  <c r="DE67" i="61" s="1"/>
  <c r="DC67" i="61"/>
  <c r="E25" i="1"/>
  <c r="C25" i="1"/>
  <c r="AS25" i="4"/>
  <c r="W25" i="4"/>
  <c r="Z25" i="4"/>
  <c r="AS25" i="5"/>
  <c r="W25" i="5"/>
  <c r="Z25" i="5"/>
  <c r="E25" i="5"/>
  <c r="C25" i="5"/>
  <c r="Z25" i="12"/>
  <c r="AS25" i="12"/>
  <c r="W25" i="12"/>
  <c r="Z25" i="20"/>
  <c r="AS25" i="20"/>
  <c r="W25" i="20"/>
  <c r="E25" i="8"/>
  <c r="C25" i="8"/>
  <c r="C25" i="16"/>
  <c r="E25" i="16"/>
  <c r="C25" i="24"/>
  <c r="E25" i="24"/>
  <c r="AS25" i="14"/>
  <c r="W25" i="14"/>
  <c r="Z25" i="14"/>
  <c r="AS25" i="22"/>
  <c r="W25" i="22"/>
  <c r="Z25" i="22"/>
  <c r="AS25" i="15"/>
  <c r="W25" i="15"/>
  <c r="Z25" i="15"/>
  <c r="AS25" i="23"/>
  <c r="W25" i="23"/>
  <c r="Z25" i="23"/>
  <c r="AB177" i="61"/>
  <c r="A177" i="61"/>
  <c r="AB91" i="61"/>
  <c r="CK51" i="61"/>
  <c r="CG26" i="61"/>
  <c r="CH26" i="61" s="1"/>
  <c r="CI26" i="61" s="1"/>
  <c r="CK26" i="61"/>
  <c r="C16" i="4"/>
  <c r="E16" i="4"/>
  <c r="Y16" i="2"/>
  <c r="AA16" i="2" s="1"/>
  <c r="AG16" i="2" s="1"/>
  <c r="AS16" i="2"/>
  <c r="W16" i="2"/>
  <c r="Z16" i="2"/>
  <c r="E16" i="1"/>
  <c r="C16" i="1"/>
  <c r="E16" i="3"/>
  <c r="C16" i="3"/>
  <c r="C16" i="13"/>
  <c r="E16" i="13"/>
  <c r="C16" i="21"/>
  <c r="E16" i="21"/>
  <c r="Y16" i="11"/>
  <c r="AA16" i="11" s="1"/>
  <c r="AG16" i="11" s="1"/>
  <c r="AS16" i="11"/>
  <c r="W16" i="11"/>
  <c r="Z16" i="11"/>
  <c r="Y16" i="19"/>
  <c r="AA16" i="19" s="1"/>
  <c r="AG16" i="19" s="1"/>
  <c r="AS16" i="19"/>
  <c r="W16" i="19"/>
  <c r="Z16" i="19"/>
  <c r="E16" i="11"/>
  <c r="C16" i="11"/>
  <c r="E16" i="19"/>
  <c r="C16" i="19"/>
  <c r="E16" i="12"/>
  <c r="C16" i="12"/>
  <c r="E16" i="20"/>
  <c r="C16" i="20"/>
  <c r="C16" i="25"/>
  <c r="E16" i="25"/>
  <c r="E16" i="53"/>
  <c r="C16" i="53"/>
  <c r="B61" i="32"/>
  <c r="A62" i="32"/>
  <c r="A66" i="32"/>
  <c r="AC54" i="34"/>
  <c r="AC58" i="34"/>
  <c r="O54" i="32"/>
  <c r="O64" i="32"/>
  <c r="P63" i="32"/>
  <c r="Q63" i="32" s="1"/>
  <c r="AD44" i="39"/>
  <c r="A53" i="39"/>
  <c r="A54" i="41"/>
  <c r="B53" i="41"/>
  <c r="O53" i="42"/>
  <c r="A53" i="43"/>
  <c r="A66" i="44"/>
  <c r="A62" i="44"/>
  <c r="B61" i="44"/>
  <c r="AC54" i="45"/>
  <c r="AC58" i="45"/>
  <c r="P39" i="43"/>
  <c r="O40" i="43"/>
  <c r="A53" i="45"/>
  <c r="P43" i="49"/>
  <c r="Q43" i="49" s="1"/>
  <c r="AD44" i="49"/>
  <c r="I53" i="7"/>
  <c r="BG30" i="7"/>
  <c r="AD123" i="43"/>
  <c r="AI122" i="43" s="1"/>
  <c r="Z18" i="1"/>
  <c r="AS18" i="1"/>
  <c r="W18" i="1"/>
  <c r="W19" i="1"/>
  <c r="C18" i="5"/>
  <c r="C19" i="5"/>
  <c r="E18" i="5"/>
  <c r="E18" i="6"/>
  <c r="C18" i="6"/>
  <c r="C19" i="6"/>
  <c r="C18" i="8"/>
  <c r="C19" i="8"/>
  <c r="E18" i="8"/>
  <c r="Z18" i="10"/>
  <c r="W19" i="10"/>
  <c r="AS18" i="10"/>
  <c r="W18" i="10"/>
  <c r="Z18" i="18"/>
  <c r="W19" i="18"/>
  <c r="AS18" i="18"/>
  <c r="W18" i="18"/>
  <c r="C18" i="10"/>
  <c r="E18" i="10"/>
  <c r="C19" i="10"/>
  <c r="C18" i="18"/>
  <c r="E18" i="18"/>
  <c r="C19" i="18"/>
  <c r="AS18" i="8"/>
  <c r="W18" i="8"/>
  <c r="Z18" i="8"/>
  <c r="W19" i="8"/>
  <c r="AS18" i="16"/>
  <c r="W18" i="16"/>
  <c r="Z18" i="16"/>
  <c r="W19" i="16"/>
  <c r="C19" i="12"/>
  <c r="E18" i="12"/>
  <c r="C18" i="12"/>
  <c r="C19" i="20"/>
  <c r="E18" i="20"/>
  <c r="C18" i="20"/>
  <c r="Z18" i="25"/>
  <c r="AS18" i="25"/>
  <c r="W18" i="25"/>
  <c r="W19" i="25"/>
  <c r="W18" i="53"/>
  <c r="AS18" i="53"/>
  <c r="W19" i="53"/>
  <c r="Z18" i="53"/>
  <c r="AB170" i="61"/>
  <c r="A170" i="61"/>
  <c r="AB84" i="61"/>
  <c r="CK44" i="61"/>
  <c r="CG19" i="61"/>
  <c r="CH19" i="61" s="1"/>
  <c r="CI19" i="61" s="1"/>
  <c r="CK19" i="61"/>
  <c r="AS5" i="6"/>
  <c r="E5" i="6"/>
  <c r="E5" i="7"/>
  <c r="AS5" i="7"/>
  <c r="AS5" i="15"/>
  <c r="AS5" i="23"/>
  <c r="E5" i="15"/>
  <c r="E5" i="23"/>
  <c r="AS5" i="13"/>
  <c r="AS5" i="21"/>
  <c r="AS5" i="14"/>
  <c r="AS5" i="22"/>
  <c r="AS5" i="53"/>
  <c r="DD63" i="61"/>
  <c r="DE63" i="61" s="1"/>
  <c r="DC63" i="61"/>
  <c r="C21" i="2"/>
  <c r="E21" i="2"/>
  <c r="AS21" i="4"/>
  <c r="W21" i="4"/>
  <c r="Z21" i="4"/>
  <c r="Z21" i="1"/>
  <c r="AS21" i="1"/>
  <c r="W21" i="1"/>
  <c r="W21" i="6"/>
  <c r="AS21" i="6"/>
  <c r="Z21" i="6"/>
  <c r="Z21" i="12"/>
  <c r="AS21" i="12"/>
  <c r="W21" i="12"/>
  <c r="Z21" i="20"/>
  <c r="AS21" i="20"/>
  <c r="W21" i="20"/>
  <c r="C21" i="12"/>
  <c r="E21" i="12"/>
  <c r="C21" i="20"/>
  <c r="E21" i="20"/>
  <c r="AS21" i="10"/>
  <c r="W21" i="10"/>
  <c r="Z21" i="10"/>
  <c r="AS21" i="18"/>
  <c r="W21" i="18"/>
  <c r="Z21" i="18"/>
  <c r="E21" i="10"/>
  <c r="C21" i="10"/>
  <c r="E21" i="18"/>
  <c r="C21" i="18"/>
  <c r="C21" i="24"/>
  <c r="E21" i="24"/>
  <c r="C21" i="53"/>
  <c r="E21" i="53"/>
  <c r="A173" i="61"/>
  <c r="AB173" i="61"/>
  <c r="AB87" i="61"/>
  <c r="CG22" i="61"/>
  <c r="CH22" i="61" s="1"/>
  <c r="CI22" i="61" s="1"/>
  <c r="CK22" i="61"/>
  <c r="CK47" i="61"/>
  <c r="Z12" i="5"/>
  <c r="AS12" i="5"/>
  <c r="W12" i="5"/>
  <c r="AS12" i="2"/>
  <c r="W12" i="2"/>
  <c r="Z12" i="2"/>
  <c r="AS12" i="3"/>
  <c r="W12" i="3"/>
  <c r="Z12" i="3"/>
  <c r="C12" i="9"/>
  <c r="E12" i="9"/>
  <c r="C12" i="17"/>
  <c r="E12" i="17"/>
  <c r="AS12" i="24"/>
  <c r="Z12" i="24"/>
  <c r="W12" i="24"/>
  <c r="C12" i="14"/>
  <c r="E12" i="14"/>
  <c r="C12" i="22"/>
  <c r="E12" i="22"/>
  <c r="AS12" i="12"/>
  <c r="W12" i="12"/>
  <c r="Z12" i="12"/>
  <c r="AS12" i="20"/>
  <c r="W12" i="20"/>
  <c r="Z12" i="20"/>
  <c r="E12" i="16"/>
  <c r="C12" i="16"/>
  <c r="E12" i="24"/>
  <c r="C12" i="24"/>
  <c r="C12" i="53"/>
  <c r="E12" i="53"/>
  <c r="A164" i="61"/>
  <c r="AB164" i="61"/>
  <c r="AB78" i="61"/>
  <c r="CK38" i="61"/>
  <c r="CK13" i="61"/>
  <c r="CG13" i="61"/>
  <c r="CH13" i="61" s="1"/>
  <c r="CI13" i="61" s="1"/>
  <c r="AC28" i="1"/>
  <c r="AS28" i="1"/>
  <c r="W28" i="1"/>
  <c r="Z28" i="1"/>
  <c r="C28" i="8"/>
  <c r="E28" i="8"/>
  <c r="C28" i="5"/>
  <c r="E28" i="5"/>
  <c r="E28" i="3"/>
  <c r="C28" i="3"/>
  <c r="Z28" i="10"/>
  <c r="AC28" i="10"/>
  <c r="AS28" i="10"/>
  <c r="W28" i="10"/>
  <c r="Z28" i="18"/>
  <c r="AC28" i="18"/>
  <c r="AS28" i="18"/>
  <c r="W28" i="18"/>
  <c r="AS28" i="7"/>
  <c r="W28" i="7"/>
  <c r="Z28" i="7"/>
  <c r="AC28" i="7"/>
  <c r="AC27" i="7" s="1"/>
  <c r="AC26" i="7" s="1"/>
  <c r="AC25" i="7" s="1"/>
  <c r="AC24" i="7" s="1"/>
  <c r="AC23" i="7" s="1"/>
  <c r="AC22" i="7" s="1"/>
  <c r="AC21" i="7" s="1"/>
  <c r="AC20" i="7" s="1"/>
  <c r="AC19" i="7" s="1"/>
  <c r="AC18" i="7" s="1"/>
  <c r="AC17" i="7" s="1"/>
  <c r="AC28" i="15"/>
  <c r="AC27" i="15" s="1"/>
  <c r="AC26" i="15" s="1"/>
  <c r="AC25" i="15" s="1"/>
  <c r="AC24" i="15" s="1"/>
  <c r="AC23" i="15" s="1"/>
  <c r="AC22" i="15" s="1"/>
  <c r="AC21" i="15" s="1"/>
  <c r="AC20" i="15" s="1"/>
  <c r="AC19" i="15" s="1"/>
  <c r="AC18" i="15" s="1"/>
  <c r="AC17" i="15" s="1"/>
  <c r="AS28" i="15"/>
  <c r="W28" i="15"/>
  <c r="Z28" i="15"/>
  <c r="AC28" i="23"/>
  <c r="AS28" i="23"/>
  <c r="W28" i="23"/>
  <c r="Z28" i="23"/>
  <c r="E28" i="15"/>
  <c r="C28" i="15"/>
  <c r="E28" i="23"/>
  <c r="C28" i="23"/>
  <c r="AS28" i="17"/>
  <c r="W28" i="17"/>
  <c r="Z28" i="17"/>
  <c r="AC28" i="17"/>
  <c r="AC27" i="17" s="1"/>
  <c r="AC26" i="17" s="1"/>
  <c r="AC25" i="17" s="1"/>
  <c r="AC24" i="17" s="1"/>
  <c r="AC23" i="17" s="1"/>
  <c r="AC22" i="17" s="1"/>
  <c r="AC21" i="17" s="1"/>
  <c r="AC20" i="17" s="1"/>
  <c r="AC19" i="17" s="1"/>
  <c r="AC18" i="17" s="1"/>
  <c r="AC17" i="17" s="1"/>
  <c r="Z28" i="25"/>
  <c r="AS28" i="25"/>
  <c r="W28" i="25"/>
  <c r="AC28" i="25"/>
  <c r="AC28" i="53"/>
  <c r="AC27" i="53" s="1"/>
  <c r="AC26" i="53" s="1"/>
  <c r="AC25" i="53" s="1"/>
  <c r="AC24" i="53" s="1"/>
  <c r="AC23" i="53" s="1"/>
  <c r="AC22" i="53" s="1"/>
  <c r="AC21" i="53" s="1"/>
  <c r="AC20" i="53" s="1"/>
  <c r="AC19" i="53" s="1"/>
  <c r="AC18" i="53" s="1"/>
  <c r="AC17" i="53" s="1"/>
  <c r="W28" i="53"/>
  <c r="AS28" i="53"/>
  <c r="Z28" i="53"/>
  <c r="AB180" i="61"/>
  <c r="A180" i="61"/>
  <c r="AB94" i="61"/>
  <c r="CK54" i="61"/>
  <c r="CG29" i="61"/>
  <c r="CH29" i="61" s="1"/>
  <c r="CI29" i="61" s="1"/>
  <c r="CK29" i="61"/>
  <c r="O44" i="28"/>
  <c r="P43" i="28"/>
  <c r="Q43" i="28" s="1"/>
  <c r="A49" i="36"/>
  <c r="AL45" i="44"/>
  <c r="O49" i="48"/>
  <c r="AD48" i="43"/>
  <c r="AD44" i="43"/>
  <c r="E14" i="3"/>
  <c r="C14" i="3"/>
  <c r="C15" i="3"/>
  <c r="W15" i="23"/>
  <c r="AS14" i="23"/>
  <c r="W14" i="23"/>
  <c r="Z14" i="23"/>
  <c r="K69" i="61"/>
  <c r="CU4" i="61" s="1"/>
  <c r="BM69" i="61"/>
  <c r="K2" i="56"/>
  <c r="P186" i="61" s="1"/>
  <c r="N210" i="61" s="1"/>
  <c r="B13" i="59"/>
  <c r="B13" i="50"/>
  <c r="B13" i="49"/>
  <c r="B13" i="48"/>
  <c r="B13" i="46"/>
  <c r="B13" i="45"/>
  <c r="B13" i="44"/>
  <c r="B13" i="43"/>
  <c r="B13" i="47"/>
  <c r="B13" i="40"/>
  <c r="B13" i="42"/>
  <c r="B13" i="41"/>
  <c r="B13" i="37"/>
  <c r="B13" i="39"/>
  <c r="B13" i="38"/>
  <c r="B13" i="34"/>
  <c r="B13" i="33"/>
  <c r="B13" i="36"/>
  <c r="B13" i="35"/>
  <c r="B13" i="32"/>
  <c r="B13" i="28"/>
  <c r="B13" i="31"/>
  <c r="B13" i="27"/>
  <c r="B13" i="30"/>
  <c r="B13" i="26"/>
  <c r="B13" i="29"/>
  <c r="B1" i="16"/>
  <c r="AS17" i="8"/>
  <c r="W17" i="8"/>
  <c r="Z17" i="8"/>
  <c r="E8" i="5"/>
  <c r="C8" i="5"/>
  <c r="C8" i="13"/>
  <c r="E8" i="13"/>
  <c r="AS8" i="16"/>
  <c r="W8" i="16"/>
  <c r="Z8" i="16"/>
  <c r="AS8" i="17"/>
  <c r="W8" i="17"/>
  <c r="Z8" i="17"/>
  <c r="AS24" i="6"/>
  <c r="W24" i="6"/>
  <c r="Z24" i="6"/>
  <c r="C24" i="22"/>
  <c r="E24" i="22"/>
  <c r="AC54" i="28"/>
  <c r="AC58" i="28"/>
  <c r="B61" i="29"/>
  <c r="A66" i="29"/>
  <c r="A62" i="29"/>
  <c r="A58" i="31"/>
  <c r="B57" i="31"/>
  <c r="A66" i="33"/>
  <c r="A62" i="33"/>
  <c r="B61" i="33"/>
  <c r="O45" i="30"/>
  <c r="O48" i="34"/>
  <c r="P47" i="34"/>
  <c r="A54" i="38"/>
  <c r="B53" i="38"/>
  <c r="AL45" i="42"/>
  <c r="AH45" i="42"/>
  <c r="AL44" i="42"/>
  <c r="AH44" i="42"/>
  <c r="O49" i="42"/>
  <c r="I53" i="11"/>
  <c r="BG30" i="11"/>
  <c r="C11" i="5"/>
  <c r="C10" i="5"/>
  <c r="E10" i="5"/>
  <c r="W11" i="5"/>
  <c r="AS10" i="5"/>
  <c r="W10" i="5"/>
  <c r="Z10" i="5"/>
  <c r="Z10" i="16"/>
  <c r="W11" i="16"/>
  <c r="AS10" i="16"/>
  <c r="W10" i="16"/>
  <c r="W11" i="21"/>
  <c r="AS10" i="21"/>
  <c r="W10" i="21"/>
  <c r="Z10" i="21"/>
  <c r="E26" i="6"/>
  <c r="C26" i="6"/>
  <c r="C27" i="6"/>
  <c r="AS26" i="4"/>
  <c r="W26" i="4"/>
  <c r="Z26" i="4"/>
  <c r="W27" i="4"/>
  <c r="C26" i="17"/>
  <c r="E26" i="17"/>
  <c r="C27" i="17"/>
  <c r="W27" i="15"/>
  <c r="AS26" i="15"/>
  <c r="W26" i="15"/>
  <c r="Z26" i="15"/>
  <c r="C27" i="15"/>
  <c r="E26" i="15"/>
  <c r="C26" i="15"/>
  <c r="AS26" i="17"/>
  <c r="W26" i="17"/>
  <c r="Z26" i="17"/>
  <c r="W27" i="17"/>
  <c r="DD84" i="61"/>
  <c r="DE84" i="61" s="1"/>
  <c r="DC84" i="61"/>
  <c r="C13" i="6"/>
  <c r="E13" i="6"/>
  <c r="W13" i="7"/>
  <c r="AS13" i="7"/>
  <c r="Z13" i="7"/>
  <c r="C13" i="12"/>
  <c r="E13" i="12"/>
  <c r="E13" i="13"/>
  <c r="C13" i="13"/>
  <c r="AS13" i="19"/>
  <c r="W13" i="19"/>
  <c r="Z13" i="19"/>
  <c r="Z13" i="25"/>
  <c r="W13" i="25"/>
  <c r="AS13" i="25"/>
  <c r="AS20" i="2"/>
  <c r="W20" i="2"/>
  <c r="Z20" i="2"/>
  <c r="AS20" i="4"/>
  <c r="W20" i="4"/>
  <c r="Z20" i="4"/>
  <c r="C20" i="10"/>
  <c r="E20" i="10"/>
  <c r="AS20" i="8"/>
  <c r="W20" i="8"/>
  <c r="Z20" i="8"/>
  <c r="E20" i="20"/>
  <c r="C20" i="20"/>
  <c r="E20" i="53"/>
  <c r="C20" i="53"/>
  <c r="O53" i="30"/>
  <c r="A54" i="33"/>
  <c r="B53" i="33"/>
  <c r="B57" i="41"/>
  <c r="A58" i="41"/>
  <c r="AL85" i="43"/>
  <c r="AL84" i="43"/>
  <c r="AH85" i="43"/>
  <c r="AH84" i="43"/>
  <c r="O53" i="47"/>
  <c r="AL53" i="59"/>
  <c r="C7" i="7"/>
  <c r="C6" i="7"/>
  <c r="E6" i="7"/>
  <c r="E6" i="6"/>
  <c r="C6" i="6"/>
  <c r="C7" i="6"/>
  <c r="C6" i="20"/>
  <c r="E6" i="20"/>
  <c r="C7" i="20"/>
  <c r="C6" i="21"/>
  <c r="E6" i="21"/>
  <c r="C7" i="21"/>
  <c r="AS6" i="19"/>
  <c r="W6" i="19"/>
  <c r="Z6" i="19"/>
  <c r="W7" i="19"/>
  <c r="W7" i="25"/>
  <c r="AS6" i="25"/>
  <c r="W6" i="25"/>
  <c r="Z6" i="25"/>
  <c r="E22" i="3"/>
  <c r="C22" i="3"/>
  <c r="C23" i="3"/>
  <c r="C22" i="14"/>
  <c r="E22" i="14"/>
  <c r="C23" i="14"/>
  <c r="A54" i="27"/>
  <c r="B53" i="27"/>
  <c r="W45" i="32"/>
  <c r="P39" i="30"/>
  <c r="O40" i="30"/>
  <c r="AC49" i="29"/>
  <c r="AD48" i="29"/>
  <c r="AC53" i="29"/>
  <c r="A49" i="35"/>
  <c r="B57" i="38"/>
  <c r="A58" i="38"/>
  <c r="A49" i="33"/>
  <c r="O52" i="39"/>
  <c r="P51" i="39"/>
  <c r="O56" i="39"/>
  <c r="B45" i="42"/>
  <c r="B61" i="40"/>
  <c r="A66" i="40"/>
  <c r="A62" i="40"/>
  <c r="AD48" i="42"/>
  <c r="A54" i="44"/>
  <c r="B53" i="44"/>
  <c r="P43" i="43"/>
  <c r="Q43" i="43" s="1"/>
  <c r="O44" i="43"/>
  <c r="P51" i="46"/>
  <c r="O52" i="46"/>
  <c r="O56" i="46"/>
  <c r="P43" i="46"/>
  <c r="Q43" i="46" s="1"/>
  <c r="O44" i="46"/>
  <c r="A61" i="46"/>
  <c r="A57" i="46"/>
  <c r="O44" i="50"/>
  <c r="P43" i="50"/>
  <c r="Q43" i="50" s="1"/>
  <c r="P43" i="29"/>
  <c r="Q43" i="29" s="1"/>
  <c r="P39" i="34"/>
  <c r="P41" i="59"/>
  <c r="P46" i="59"/>
  <c r="Q46" i="59" s="1"/>
  <c r="E155" i="61"/>
  <c r="AF155" i="61"/>
  <c r="AF69" i="61"/>
  <c r="Z14" i="1"/>
  <c r="AS14" i="1"/>
  <c r="W14" i="1"/>
  <c r="W15" i="1"/>
  <c r="W15" i="2"/>
  <c r="AS14" i="2"/>
  <c r="W14" i="2"/>
  <c r="Z14" i="2"/>
  <c r="AS14" i="3"/>
  <c r="W14" i="3"/>
  <c r="Z14" i="3"/>
  <c r="W15" i="3"/>
  <c r="AS14" i="4"/>
  <c r="W14" i="4"/>
  <c r="Z14" i="4"/>
  <c r="W15" i="4"/>
  <c r="Z14" i="10"/>
  <c r="W15" i="10"/>
  <c r="AS14" i="10"/>
  <c r="W14" i="10"/>
  <c r="Z14" i="18"/>
  <c r="W15" i="18"/>
  <c r="AS14" i="18"/>
  <c r="W14" i="18"/>
  <c r="C14" i="10"/>
  <c r="E14" i="10"/>
  <c r="C15" i="10"/>
  <c r="C14" i="18"/>
  <c r="E14" i="18"/>
  <c r="C15" i="18"/>
  <c r="W15" i="24"/>
  <c r="Z14" i="24"/>
  <c r="W14" i="24"/>
  <c r="AS14" i="24"/>
  <c r="C15" i="15"/>
  <c r="E14" i="15"/>
  <c r="C14" i="15"/>
  <c r="C15" i="23"/>
  <c r="E14" i="23"/>
  <c r="C14" i="23"/>
  <c r="AS14" i="17"/>
  <c r="W14" i="17"/>
  <c r="Z14" i="17"/>
  <c r="W15" i="17"/>
  <c r="Z14" i="25"/>
  <c r="AS14" i="25"/>
  <c r="W14" i="25"/>
  <c r="W15" i="25"/>
  <c r="DD72" i="61"/>
  <c r="DE72" i="61" s="1"/>
  <c r="DC72" i="61"/>
  <c r="Z17" i="3"/>
  <c r="AS17" i="3"/>
  <c r="W17" i="3"/>
  <c r="AS17" i="4"/>
  <c r="W17" i="4"/>
  <c r="Z17" i="4"/>
  <c r="E17" i="5"/>
  <c r="C17" i="5"/>
  <c r="C17" i="11"/>
  <c r="E17" i="11"/>
  <c r="C17" i="19"/>
  <c r="E17" i="19"/>
  <c r="E17" i="8"/>
  <c r="C17" i="8"/>
  <c r="C17" i="16"/>
  <c r="E17" i="16"/>
  <c r="C17" i="24"/>
  <c r="E17" i="24"/>
  <c r="AS17" i="14"/>
  <c r="W17" i="14"/>
  <c r="Z17" i="14"/>
  <c r="AS17" i="22"/>
  <c r="W17" i="22"/>
  <c r="Z17" i="22"/>
  <c r="E17" i="14"/>
  <c r="C17" i="14"/>
  <c r="E17" i="22"/>
  <c r="C17" i="22"/>
  <c r="C17" i="53"/>
  <c r="E17" i="53"/>
  <c r="DD75" i="61"/>
  <c r="DE75" i="61" s="1"/>
  <c r="DC75" i="61"/>
  <c r="I53" i="10"/>
  <c r="BG30" i="10"/>
  <c r="H69" i="61"/>
  <c r="CR4" i="61" s="1"/>
  <c r="BJ69" i="61"/>
  <c r="B10" i="59"/>
  <c r="H2" i="56"/>
  <c r="M186" i="61" s="1"/>
  <c r="K210" i="61" s="1"/>
  <c r="B10" i="50"/>
  <c r="B10" i="49"/>
  <c r="B10" i="48"/>
  <c r="B10" i="46"/>
  <c r="B10" i="45"/>
  <c r="B10" i="44"/>
  <c r="B10" i="47"/>
  <c r="B10" i="43"/>
  <c r="B10" i="40"/>
  <c r="AD63" i="40" s="1"/>
  <c r="B10" i="42"/>
  <c r="B10" i="41"/>
  <c r="B10" i="37"/>
  <c r="B10" i="39"/>
  <c r="B10" i="38"/>
  <c r="B10" i="34"/>
  <c r="B10" i="33"/>
  <c r="B10" i="36"/>
  <c r="B10" i="35"/>
  <c r="B10" i="32"/>
  <c r="P58" i="32" s="1"/>
  <c r="Q58" i="32" s="1"/>
  <c r="B10" i="28"/>
  <c r="B10" i="31"/>
  <c r="B10" i="27"/>
  <c r="B10" i="30"/>
  <c r="B10" i="26"/>
  <c r="B10" i="29"/>
  <c r="B1" i="19"/>
  <c r="C8" i="3"/>
  <c r="E8" i="3"/>
  <c r="AS8" i="6"/>
  <c r="W8" i="6"/>
  <c r="Z8" i="6"/>
  <c r="Z8" i="9"/>
  <c r="AS8" i="9"/>
  <c r="W8" i="9"/>
  <c r="C8" i="8"/>
  <c r="E8" i="8"/>
  <c r="C8" i="16"/>
  <c r="E8" i="16"/>
  <c r="AS8" i="7"/>
  <c r="W8" i="7"/>
  <c r="Z8" i="7"/>
  <c r="AS8" i="15"/>
  <c r="W8" i="15"/>
  <c r="Z8" i="15"/>
  <c r="AS8" i="23"/>
  <c r="W8" i="23"/>
  <c r="Z8" i="23"/>
  <c r="E8" i="10"/>
  <c r="C8" i="10"/>
  <c r="E8" i="18"/>
  <c r="C8" i="18"/>
  <c r="E8" i="11"/>
  <c r="C8" i="11"/>
  <c r="E8" i="19"/>
  <c r="C8" i="19"/>
  <c r="Z24" i="5"/>
  <c r="AS24" i="5"/>
  <c r="W24" i="5"/>
  <c r="C24" i="5"/>
  <c r="E24" i="5"/>
  <c r="AS24" i="4"/>
  <c r="W24" i="4"/>
  <c r="Z24" i="4"/>
  <c r="C24" i="9"/>
  <c r="E24" i="9"/>
  <c r="C24" i="17"/>
  <c r="E24" i="17"/>
  <c r="AS24" i="7"/>
  <c r="W24" i="7"/>
  <c r="Z24" i="7"/>
  <c r="AS24" i="15"/>
  <c r="W24" i="15"/>
  <c r="Z24" i="15"/>
  <c r="AS24" i="23"/>
  <c r="W24" i="23"/>
  <c r="Z24" i="23"/>
  <c r="E24" i="15"/>
  <c r="C24" i="15"/>
  <c r="E24" i="23"/>
  <c r="C24" i="23"/>
  <c r="E24" i="16"/>
  <c r="C24" i="16"/>
  <c r="E24" i="24"/>
  <c r="C24" i="24"/>
  <c r="Z24" i="53"/>
  <c r="W24" i="53"/>
  <c r="AS24" i="53"/>
  <c r="DD82" i="61"/>
  <c r="DE82" i="61" s="1"/>
  <c r="DC82" i="61"/>
  <c r="O53" i="26"/>
  <c r="AD48" i="28"/>
  <c r="B61" i="28"/>
  <c r="A66" i="28"/>
  <c r="A62" i="28"/>
  <c r="A66" i="31"/>
  <c r="A62" i="31"/>
  <c r="B61" i="31"/>
  <c r="AD44" i="34"/>
  <c r="P43" i="30"/>
  <c r="Q43" i="30" s="1"/>
  <c r="B57" i="34"/>
  <c r="A58" i="34"/>
  <c r="A49" i="31"/>
  <c r="P39" i="36"/>
  <c r="O40" i="36"/>
  <c r="P51" i="34"/>
  <c r="O56" i="34"/>
  <c r="O52" i="34"/>
  <c r="AC64" i="40"/>
  <c r="AD64" i="40" s="1"/>
  <c r="AC68" i="40"/>
  <c r="P47" i="42"/>
  <c r="A49" i="40"/>
  <c r="A49" i="41"/>
  <c r="AD44" i="45"/>
  <c r="AC49" i="47"/>
  <c r="AD48" i="47"/>
  <c r="AC53" i="47"/>
  <c r="AD48" i="49"/>
  <c r="B57" i="50"/>
  <c r="A58" i="50"/>
  <c r="O68" i="59"/>
  <c r="O63" i="59"/>
  <c r="I53" i="14"/>
  <c r="BG30" i="14"/>
  <c r="AD103" i="43"/>
  <c r="C10" i="2"/>
  <c r="E10" i="2"/>
  <c r="C11" i="2"/>
  <c r="C10" i="9"/>
  <c r="E10" i="9"/>
  <c r="C11" i="9"/>
  <c r="AS10" i="2"/>
  <c r="W10" i="2"/>
  <c r="Z10" i="2"/>
  <c r="W11" i="2"/>
  <c r="C11" i="10"/>
  <c r="C10" i="10"/>
  <c r="E10" i="10"/>
  <c r="C11" i="18"/>
  <c r="C10" i="18"/>
  <c r="E10" i="18"/>
  <c r="E10" i="7"/>
  <c r="C10" i="7"/>
  <c r="C11" i="7"/>
  <c r="C11" i="15"/>
  <c r="C10" i="15"/>
  <c r="E10" i="15"/>
  <c r="C11" i="23"/>
  <c r="C10" i="23"/>
  <c r="E10" i="23"/>
  <c r="W11" i="14"/>
  <c r="AS10" i="14"/>
  <c r="W10" i="14"/>
  <c r="Z10" i="14"/>
  <c r="W11" i="22"/>
  <c r="AS10" i="22"/>
  <c r="W10" i="22"/>
  <c r="Z10" i="22"/>
  <c r="AS10" i="15"/>
  <c r="W10" i="15"/>
  <c r="Z10" i="15"/>
  <c r="W11" i="15"/>
  <c r="AS10" i="23"/>
  <c r="W10" i="23"/>
  <c r="Z10" i="23"/>
  <c r="W11" i="23"/>
  <c r="W11" i="53"/>
  <c r="AS10" i="53"/>
  <c r="Z10" i="53"/>
  <c r="W10" i="53"/>
  <c r="AB162" i="61"/>
  <c r="A162" i="61"/>
  <c r="AB76" i="61"/>
  <c r="CK36" i="61"/>
  <c r="CK11" i="61"/>
  <c r="CG11" i="61"/>
  <c r="CH11" i="61" s="1"/>
  <c r="CI11" i="61" s="1"/>
  <c r="W27" i="1"/>
  <c r="AS26" i="1"/>
  <c r="W26" i="1"/>
  <c r="Z26" i="1"/>
  <c r="W27" i="2"/>
  <c r="AS26" i="2"/>
  <c r="W26" i="2"/>
  <c r="Z26" i="2"/>
  <c r="C27" i="2"/>
  <c r="E26" i="2"/>
  <c r="C26" i="2"/>
  <c r="C26" i="8"/>
  <c r="C27" i="8"/>
  <c r="E26" i="8"/>
  <c r="Z26" i="10"/>
  <c r="W27" i="10"/>
  <c r="AS26" i="10"/>
  <c r="W26" i="10"/>
  <c r="Z26" i="18"/>
  <c r="W27" i="18"/>
  <c r="AS26" i="18"/>
  <c r="W26" i="18"/>
  <c r="C26" i="10"/>
  <c r="E26" i="10"/>
  <c r="C27" i="10"/>
  <c r="C26" i="18"/>
  <c r="E26" i="18"/>
  <c r="C27" i="18"/>
  <c r="AS26" i="8"/>
  <c r="W26" i="8"/>
  <c r="Z26" i="8"/>
  <c r="W27" i="8"/>
  <c r="AS26" i="16"/>
  <c r="W26" i="16"/>
  <c r="Z26" i="16"/>
  <c r="W27" i="16"/>
  <c r="C27" i="12"/>
  <c r="E26" i="12"/>
  <c r="C26" i="12"/>
  <c r="C27" i="20"/>
  <c r="E26" i="20"/>
  <c r="C26" i="20"/>
  <c r="Z26" i="25"/>
  <c r="AS26" i="25"/>
  <c r="W26" i="25"/>
  <c r="W27" i="25"/>
  <c r="W26" i="53"/>
  <c r="AS26" i="53"/>
  <c r="W27" i="53"/>
  <c r="Z26" i="53"/>
  <c r="AB178" i="61"/>
  <c r="A178" i="61"/>
  <c r="AB92" i="61"/>
  <c r="CK52" i="61"/>
  <c r="CG27" i="61"/>
  <c r="CH27" i="61" s="1"/>
  <c r="CI27" i="61" s="1"/>
  <c r="CK27" i="61"/>
  <c r="E13" i="1"/>
  <c r="C13" i="1"/>
  <c r="C13" i="3"/>
  <c r="E13" i="3"/>
  <c r="AS13" i="2"/>
  <c r="W13" i="2"/>
  <c r="Z13" i="2"/>
  <c r="E13" i="7"/>
  <c r="C13" i="7"/>
  <c r="C13" i="15"/>
  <c r="E13" i="15"/>
  <c r="C13" i="23"/>
  <c r="E13" i="23"/>
  <c r="AS13" i="13"/>
  <c r="W13" i="13"/>
  <c r="Z13" i="13"/>
  <c r="AS13" i="21"/>
  <c r="W13" i="21"/>
  <c r="Z13" i="21"/>
  <c r="AS13" i="14"/>
  <c r="W13" i="14"/>
  <c r="Z13" i="14"/>
  <c r="AS13" i="22"/>
  <c r="W13" i="22"/>
  <c r="Z13" i="22"/>
  <c r="E13" i="14"/>
  <c r="C13" i="14"/>
  <c r="E13" i="22"/>
  <c r="C13" i="22"/>
  <c r="E13" i="25"/>
  <c r="C13" i="25"/>
  <c r="C13" i="53"/>
  <c r="E13" i="53"/>
  <c r="U155" i="61"/>
  <c r="AV155" i="61"/>
  <c r="AV69" i="61"/>
  <c r="CP125" i="61" a="1"/>
  <c r="A70" i="61"/>
  <c r="DB62" i="61"/>
  <c r="AO4" i="53"/>
  <c r="BD134" i="61"/>
  <c r="C1" i="50"/>
  <c r="A4" i="53"/>
  <c r="AO4" i="24"/>
  <c r="W5" i="24" s="1"/>
  <c r="A4" i="23"/>
  <c r="C5" i="23" s="1"/>
  <c r="AO4" i="20"/>
  <c r="Z5" i="20" s="1"/>
  <c r="A4" i="19"/>
  <c r="C5" i="19" s="1"/>
  <c r="AO4" i="16"/>
  <c r="W5" i="16" s="1"/>
  <c r="A4" i="15"/>
  <c r="C5" i="15" s="1"/>
  <c r="AO4" i="12"/>
  <c r="Z5" i="12" s="1"/>
  <c r="A4" i="11"/>
  <c r="C5" i="11" s="1"/>
  <c r="AO4" i="25"/>
  <c r="W5" i="25" s="1"/>
  <c r="A4" i="25"/>
  <c r="C5" i="25" s="1"/>
  <c r="AO4" i="23"/>
  <c r="A4" i="22"/>
  <c r="AO4" i="19"/>
  <c r="Z5" i="19" s="1"/>
  <c r="A4" i="18"/>
  <c r="C5" i="18" s="1"/>
  <c r="AO4" i="15"/>
  <c r="A4" i="14"/>
  <c r="C5" i="14" s="1"/>
  <c r="AO4" i="11"/>
  <c r="Z5" i="11" s="1"/>
  <c r="A4" i="10"/>
  <c r="C5" i="10" s="1"/>
  <c r="AO4" i="22"/>
  <c r="Z5" i="22" s="1"/>
  <c r="A4" i="21"/>
  <c r="AO4" i="18"/>
  <c r="Z5" i="18" s="1"/>
  <c r="A4" i="17"/>
  <c r="C5" i="17" s="1"/>
  <c r="AO4" i="14"/>
  <c r="Z5" i="14" s="1"/>
  <c r="A4" i="13"/>
  <c r="AO4" i="10"/>
  <c r="W5" i="10" s="1"/>
  <c r="A4" i="9"/>
  <c r="C5" i="9" s="1"/>
  <c r="A4" i="24"/>
  <c r="C5" i="24" s="1"/>
  <c r="AO4" i="21"/>
  <c r="A4" i="20"/>
  <c r="C5" i="20" s="1"/>
  <c r="AO4" i="17"/>
  <c r="A4" i="16"/>
  <c r="C5" i="16" s="1"/>
  <c r="AO4" i="13"/>
  <c r="A4" i="12"/>
  <c r="AO4" i="9"/>
  <c r="A4" i="8"/>
  <c r="C5" i="8" s="1"/>
  <c r="A4" i="7"/>
  <c r="C5" i="7" s="1"/>
  <c r="A4" i="6"/>
  <c r="AO4" i="3"/>
  <c r="A4" i="2"/>
  <c r="A4" i="1"/>
  <c r="C5" i="1" s="1"/>
  <c r="AO4" i="1"/>
  <c r="W5" i="1" s="1"/>
  <c r="AO4" i="7"/>
  <c r="Z5" i="7" s="1"/>
  <c r="AO4" i="6"/>
  <c r="A4" i="5"/>
  <c r="C5" i="5" s="1"/>
  <c r="AO4" i="2"/>
  <c r="Z5" i="2" s="1"/>
  <c r="AO4" i="8"/>
  <c r="Z5" i="8" s="1"/>
  <c r="AO4" i="5"/>
  <c r="Z5" i="5" s="1"/>
  <c r="A4" i="4"/>
  <c r="C5" i="4" s="1"/>
  <c r="AO4" i="4"/>
  <c r="Z5" i="4" s="1"/>
  <c r="A4" i="3"/>
  <c r="Z20" i="5"/>
  <c r="AS20" i="5"/>
  <c r="W20" i="5"/>
  <c r="C20" i="5"/>
  <c r="E20" i="5"/>
  <c r="C20" i="7"/>
  <c r="E20" i="7"/>
  <c r="AS20" i="6"/>
  <c r="W20" i="6"/>
  <c r="Z20" i="6"/>
  <c r="Z20" i="14"/>
  <c r="AS20" i="14"/>
  <c r="W20" i="14"/>
  <c r="Z20" i="22"/>
  <c r="AS20" i="22"/>
  <c r="W20" i="22"/>
  <c r="AS20" i="11"/>
  <c r="W20" i="11"/>
  <c r="Z20" i="11"/>
  <c r="AS20" i="19"/>
  <c r="W20" i="19"/>
  <c r="Z20" i="19"/>
  <c r="E20" i="11"/>
  <c r="C20" i="11"/>
  <c r="E20" i="19"/>
  <c r="C20" i="19"/>
  <c r="AS20" i="13"/>
  <c r="W20" i="13"/>
  <c r="Z20" i="13"/>
  <c r="AS20" i="21"/>
  <c r="W20" i="21"/>
  <c r="Z20" i="21"/>
  <c r="O45" i="27"/>
  <c r="P51" i="29"/>
  <c r="A54" i="31"/>
  <c r="B53" i="31"/>
  <c r="O52" i="27"/>
  <c r="P51" i="27"/>
  <c r="O56" i="27"/>
  <c r="P39" i="31"/>
  <c r="O45" i="33"/>
  <c r="B57" i="35"/>
  <c r="A58" i="35"/>
  <c r="A49" i="27"/>
  <c r="AC58" i="39"/>
  <c r="AC54" i="39"/>
  <c r="P43" i="36"/>
  <c r="Q43" i="36" s="1"/>
  <c r="A49" i="37"/>
  <c r="O45" i="39"/>
  <c r="P45" i="39" s="1"/>
  <c r="O53" i="41"/>
  <c r="P51" i="40"/>
  <c r="O56" i="40"/>
  <c r="O52" i="40"/>
  <c r="B61" i="41"/>
  <c r="A66" i="41"/>
  <c r="A62" i="41"/>
  <c r="O45" i="44"/>
  <c r="P45" i="44" s="1"/>
  <c r="A49" i="45"/>
  <c r="O61" i="47"/>
  <c r="O57" i="47"/>
  <c r="P39" i="47"/>
  <c r="B45" i="47"/>
  <c r="B45" i="49"/>
  <c r="O52" i="49"/>
  <c r="P51" i="49"/>
  <c r="O56" i="49"/>
  <c r="O48" i="50"/>
  <c r="P47" i="50"/>
  <c r="I53" i="18"/>
  <c r="BG30" i="18"/>
  <c r="BD69" i="61"/>
  <c r="B69" i="61"/>
  <c r="CL4" i="61" s="1"/>
  <c r="AP39" i="61" a="1"/>
  <c r="AE3" i="61"/>
  <c r="GI126" i="61" s="1"/>
  <c r="B2" i="56"/>
  <c r="G186" i="61" s="1"/>
  <c r="E210" i="61" s="1"/>
  <c r="B4" i="59"/>
  <c r="B4" i="50"/>
  <c r="F1" i="53"/>
  <c r="B4" i="49"/>
  <c r="B4" i="48"/>
  <c r="B4" i="46"/>
  <c r="B4" i="45"/>
  <c r="B4" i="47"/>
  <c r="B4" i="44"/>
  <c r="B4" i="43"/>
  <c r="B4" i="42"/>
  <c r="B4" i="41"/>
  <c r="B4" i="40"/>
  <c r="B4" i="37"/>
  <c r="B4" i="39"/>
  <c r="B4" i="38"/>
  <c r="B4" i="34"/>
  <c r="B4" i="33"/>
  <c r="B4" i="36"/>
  <c r="B4" i="35"/>
  <c r="B4" i="28"/>
  <c r="B4" i="31"/>
  <c r="B4" i="27"/>
  <c r="B4" i="32"/>
  <c r="B4" i="30"/>
  <c r="B4" i="26"/>
  <c r="B4" i="29"/>
  <c r="B1" i="25"/>
  <c r="W7" i="1"/>
  <c r="AS6" i="1"/>
  <c r="W6" i="1"/>
  <c r="Z6" i="1"/>
  <c r="W7" i="8"/>
  <c r="AS6" i="8"/>
  <c r="Z6" i="8"/>
  <c r="W6" i="8"/>
  <c r="AS6" i="6"/>
  <c r="W6" i="6"/>
  <c r="Z6" i="6"/>
  <c r="W7" i="6"/>
  <c r="W7" i="7"/>
  <c r="Z6" i="7"/>
  <c r="AS6" i="7"/>
  <c r="W6" i="7"/>
  <c r="Z6" i="13"/>
  <c r="W7" i="13"/>
  <c r="AS6" i="13"/>
  <c r="W6" i="13"/>
  <c r="Z6" i="21"/>
  <c r="W7" i="21"/>
  <c r="AS6" i="21"/>
  <c r="W6" i="21"/>
  <c r="W7" i="14"/>
  <c r="AS6" i="14"/>
  <c r="W6" i="14"/>
  <c r="Z6" i="14"/>
  <c r="W7" i="22"/>
  <c r="AS6" i="22"/>
  <c r="W6" i="22"/>
  <c r="Z6" i="22"/>
  <c r="C7" i="14"/>
  <c r="E6" i="14"/>
  <c r="C6" i="14"/>
  <c r="C7" i="22"/>
  <c r="E6" i="22"/>
  <c r="C6" i="22"/>
  <c r="AS6" i="12"/>
  <c r="W6" i="12"/>
  <c r="Z6" i="12"/>
  <c r="W7" i="12"/>
  <c r="AS6" i="20"/>
  <c r="W6" i="20"/>
  <c r="Z6" i="20"/>
  <c r="W7" i="20"/>
  <c r="C22" i="7"/>
  <c r="E22" i="7"/>
  <c r="C23" i="7"/>
  <c r="C23" i="2"/>
  <c r="E22" i="2"/>
  <c r="C22" i="2"/>
  <c r="AS22" i="4"/>
  <c r="W22" i="4"/>
  <c r="Z22" i="4"/>
  <c r="W23" i="4"/>
  <c r="C22" i="9"/>
  <c r="E22" i="9"/>
  <c r="C23" i="9"/>
  <c r="C22" i="17"/>
  <c r="E22" i="17"/>
  <c r="C23" i="17"/>
  <c r="AS22" i="7"/>
  <c r="W22" i="7"/>
  <c r="Z22" i="7"/>
  <c r="W23" i="7"/>
  <c r="W23" i="15"/>
  <c r="AS22" i="15"/>
  <c r="W22" i="15"/>
  <c r="Z22" i="15"/>
  <c r="W23" i="23"/>
  <c r="AS22" i="23"/>
  <c r="W22" i="23"/>
  <c r="Z22" i="23"/>
  <c r="AS22" i="12"/>
  <c r="W22" i="12"/>
  <c r="Z22" i="12"/>
  <c r="W23" i="12"/>
  <c r="AS22" i="20"/>
  <c r="W22" i="20"/>
  <c r="Z22" i="20"/>
  <c r="W23" i="20"/>
  <c r="C23" i="16"/>
  <c r="E22" i="16"/>
  <c r="C22" i="16"/>
  <c r="E22" i="24"/>
  <c r="C22" i="24"/>
  <c r="C23" i="24"/>
  <c r="DD80" i="61"/>
  <c r="DE80" i="61" s="1"/>
  <c r="DC80" i="61"/>
  <c r="C9" i="1"/>
  <c r="E9" i="1"/>
  <c r="AS9" i="4"/>
  <c r="W9" i="4"/>
  <c r="Z9" i="4"/>
  <c r="C9" i="9"/>
  <c r="E9" i="9"/>
  <c r="AS9" i="6"/>
  <c r="W9" i="6"/>
  <c r="Z9" i="6"/>
  <c r="Z9" i="12"/>
  <c r="AS9" i="12"/>
  <c r="W9" i="12"/>
  <c r="Z9" i="20"/>
  <c r="AS9" i="20"/>
  <c r="W9" i="20"/>
  <c r="AS9" i="9"/>
  <c r="W9" i="9"/>
  <c r="Z9" i="9"/>
  <c r="AS9" i="17"/>
  <c r="W9" i="17"/>
  <c r="Z9" i="17"/>
  <c r="C9" i="24"/>
  <c r="E9" i="24"/>
  <c r="AS9" i="14"/>
  <c r="W9" i="14"/>
  <c r="Z9" i="14"/>
  <c r="AS9" i="22"/>
  <c r="W9" i="22"/>
  <c r="Z9" i="22"/>
  <c r="E9" i="17"/>
  <c r="C9" i="17"/>
  <c r="Z9" i="24"/>
  <c r="W9" i="24"/>
  <c r="AS9" i="24"/>
  <c r="W9" i="53"/>
  <c r="AS9" i="53"/>
  <c r="Z9" i="53"/>
  <c r="AB161" i="61"/>
  <c r="A161" i="61"/>
  <c r="AB75" i="61"/>
  <c r="CK35" i="61"/>
  <c r="CK10" i="61"/>
  <c r="CG10" i="61"/>
  <c r="CH10" i="61" s="1"/>
  <c r="CI10" i="61" s="1"/>
  <c r="C25" i="2"/>
  <c r="E25" i="2"/>
  <c r="Z25" i="6"/>
  <c r="W25" i="6"/>
  <c r="AS25" i="6"/>
  <c r="C25" i="6"/>
  <c r="E25" i="6"/>
  <c r="E25" i="7"/>
  <c r="C25" i="7"/>
  <c r="C25" i="15"/>
  <c r="E25" i="15"/>
  <c r="C25" i="23"/>
  <c r="E25" i="23"/>
  <c r="AS25" i="9"/>
  <c r="W25" i="9"/>
  <c r="Z25" i="9"/>
  <c r="AS25" i="17"/>
  <c r="W25" i="17"/>
  <c r="Z25" i="17"/>
  <c r="E25" i="9"/>
  <c r="C25" i="9"/>
  <c r="E25" i="17"/>
  <c r="C25" i="17"/>
  <c r="E25" i="10"/>
  <c r="C25" i="10"/>
  <c r="E25" i="18"/>
  <c r="C25" i="18"/>
  <c r="Z25" i="53"/>
  <c r="W25" i="53"/>
  <c r="AS25" i="53"/>
  <c r="Y155" i="61"/>
  <c r="AZ155" i="61"/>
  <c r="AZ69" i="61"/>
  <c r="Z16" i="5"/>
  <c r="Y16" i="5"/>
  <c r="AS16" i="5"/>
  <c r="W16" i="5"/>
  <c r="C16" i="5"/>
  <c r="E16" i="5"/>
  <c r="E16" i="2"/>
  <c r="C16" i="2"/>
  <c r="AS16" i="4"/>
  <c r="W16" i="4"/>
  <c r="Z16" i="4"/>
  <c r="Y16" i="4"/>
  <c r="AA16" i="4" s="1"/>
  <c r="AG16" i="4" s="1"/>
  <c r="Z16" i="14"/>
  <c r="Y16" i="14"/>
  <c r="AA16" i="14" s="1"/>
  <c r="AG16" i="14" s="1"/>
  <c r="AS16" i="14"/>
  <c r="W16" i="14"/>
  <c r="Z16" i="22"/>
  <c r="Y16" i="22"/>
  <c r="AA16" i="22" s="1"/>
  <c r="AG16" i="22" s="1"/>
  <c r="AS16" i="22"/>
  <c r="W16" i="22"/>
  <c r="C16" i="14"/>
  <c r="E16" i="14"/>
  <c r="C16" i="22"/>
  <c r="E16" i="22"/>
  <c r="AS16" i="12"/>
  <c r="W16" i="12"/>
  <c r="Z16" i="12"/>
  <c r="Y16" i="12"/>
  <c r="AS16" i="20"/>
  <c r="W16" i="20"/>
  <c r="Z16" i="20"/>
  <c r="Y16" i="20"/>
  <c r="AS16" i="13"/>
  <c r="W16" i="13"/>
  <c r="Z16" i="13"/>
  <c r="Y16" i="13"/>
  <c r="AS16" i="21"/>
  <c r="W16" i="21"/>
  <c r="Z16" i="21"/>
  <c r="Y16" i="21"/>
  <c r="A57" i="26"/>
  <c r="A61" i="26"/>
  <c r="A58" i="27"/>
  <c r="B57" i="27"/>
  <c r="AD44" i="30"/>
  <c r="B45" i="27"/>
  <c r="AD48" i="34"/>
  <c r="O52" i="31"/>
  <c r="P51" i="31"/>
  <c r="O56" i="31"/>
  <c r="A53" i="30"/>
  <c r="O52" i="33"/>
  <c r="P51" i="33"/>
  <c r="O56" i="33"/>
  <c r="A45" i="36"/>
  <c r="B45" i="36" s="1"/>
  <c r="O48" i="37"/>
  <c r="P47" i="37"/>
  <c r="A61" i="39"/>
  <c r="A57" i="39"/>
  <c r="P51" i="43"/>
  <c r="O52" i="43"/>
  <c r="O56" i="43"/>
  <c r="AD48" i="45"/>
  <c r="A61" i="45"/>
  <c r="A57" i="45"/>
  <c r="C18" i="4"/>
  <c r="E18" i="4"/>
  <c r="C19" i="4"/>
  <c r="C18" i="1"/>
  <c r="C19" i="1"/>
  <c r="E18" i="1"/>
  <c r="E18" i="3"/>
  <c r="C18" i="3"/>
  <c r="C19" i="3"/>
  <c r="Z18" i="9"/>
  <c r="W19" i="9"/>
  <c r="W18" i="9"/>
  <c r="AS18" i="9"/>
  <c r="C18" i="13"/>
  <c r="E18" i="13"/>
  <c r="C19" i="13"/>
  <c r="C18" i="21"/>
  <c r="E18" i="21"/>
  <c r="C19" i="21"/>
  <c r="W19" i="11"/>
  <c r="AS18" i="11"/>
  <c r="W18" i="11"/>
  <c r="Z18" i="11"/>
  <c r="W19" i="19"/>
  <c r="AS18" i="19"/>
  <c r="W18" i="19"/>
  <c r="Z18" i="19"/>
  <c r="C19" i="11"/>
  <c r="E18" i="11"/>
  <c r="C18" i="11"/>
  <c r="C19" i="19"/>
  <c r="E18" i="19"/>
  <c r="C18" i="19"/>
  <c r="AS18" i="13"/>
  <c r="W18" i="13"/>
  <c r="Z18" i="13"/>
  <c r="W19" i="13"/>
  <c r="AS18" i="21"/>
  <c r="W18" i="21"/>
  <c r="Z18" i="21"/>
  <c r="W19" i="21"/>
  <c r="C18" i="25"/>
  <c r="C19" i="25"/>
  <c r="E18" i="25"/>
  <c r="E18" i="53"/>
  <c r="C18" i="53"/>
  <c r="C19" i="53"/>
  <c r="E5" i="1"/>
  <c r="E5" i="9"/>
  <c r="E5" i="8"/>
  <c r="AS5" i="1"/>
  <c r="E5" i="10"/>
  <c r="E5" i="18"/>
  <c r="AS5" i="8"/>
  <c r="AS5" i="16"/>
  <c r="AS5" i="24"/>
  <c r="E5" i="16"/>
  <c r="E5" i="24"/>
  <c r="E5" i="17"/>
  <c r="E5" i="25"/>
  <c r="AB157" i="61"/>
  <c r="A157" i="61"/>
  <c r="AB71" i="61"/>
  <c r="CK31" i="61"/>
  <c r="CG6" i="61"/>
  <c r="CH6" i="61" s="1"/>
  <c r="CI6" i="61" s="1"/>
  <c r="CK6" i="61"/>
  <c r="Z21" i="3"/>
  <c r="AS21" i="3"/>
  <c r="W21" i="3"/>
  <c r="AS21" i="7"/>
  <c r="Z21" i="7"/>
  <c r="W21" i="7"/>
  <c r="E21" i="1"/>
  <c r="C21" i="1"/>
  <c r="E21" i="7"/>
  <c r="C21" i="7"/>
  <c r="C21" i="15"/>
  <c r="E21" i="15"/>
  <c r="C21" i="23"/>
  <c r="E21" i="23"/>
  <c r="AS21" i="13"/>
  <c r="W21" i="13"/>
  <c r="Z21" i="13"/>
  <c r="AS21" i="21"/>
  <c r="W21" i="21"/>
  <c r="Z21" i="21"/>
  <c r="E21" i="13"/>
  <c r="C21" i="13"/>
  <c r="E21" i="21"/>
  <c r="C21" i="21"/>
  <c r="AS21" i="11"/>
  <c r="W21" i="11"/>
  <c r="Z21" i="11"/>
  <c r="AS21" i="19"/>
  <c r="W21" i="19"/>
  <c r="Z21" i="19"/>
  <c r="E21" i="25"/>
  <c r="C21" i="25"/>
  <c r="C12" i="1"/>
  <c r="E12" i="1"/>
  <c r="C12" i="7"/>
  <c r="E12" i="7"/>
  <c r="C12" i="5"/>
  <c r="E12" i="5"/>
  <c r="E12" i="6"/>
  <c r="C12" i="6"/>
  <c r="Z12" i="10"/>
  <c r="AS12" i="10"/>
  <c r="W12" i="10"/>
  <c r="Z12" i="18"/>
  <c r="AS12" i="18"/>
  <c r="W12" i="18"/>
  <c r="AS12" i="7"/>
  <c r="W12" i="7"/>
  <c r="Z12" i="7"/>
  <c r="AS12" i="15"/>
  <c r="W12" i="15"/>
  <c r="Z12" i="15"/>
  <c r="AS12" i="23"/>
  <c r="W12" i="23"/>
  <c r="Z12" i="23"/>
  <c r="E12" i="15"/>
  <c r="C12" i="15"/>
  <c r="E12" i="23"/>
  <c r="C12" i="23"/>
  <c r="AS12" i="17"/>
  <c r="W12" i="17"/>
  <c r="Z12" i="17"/>
  <c r="Z12" i="25"/>
  <c r="AS12" i="25"/>
  <c r="W12" i="25"/>
  <c r="DD70" i="61"/>
  <c r="DE70" i="61" s="1"/>
  <c r="DC70" i="61"/>
  <c r="C28" i="4"/>
  <c r="E28" i="4"/>
  <c r="Z28" i="9"/>
  <c r="AC28" i="9"/>
  <c r="AC27" i="9" s="1"/>
  <c r="AC26" i="9" s="1"/>
  <c r="AC25" i="9" s="1"/>
  <c r="AC24" i="9" s="1"/>
  <c r="AC23" i="9" s="1"/>
  <c r="AC22" i="9" s="1"/>
  <c r="AC21" i="9" s="1"/>
  <c r="AC20" i="9" s="1"/>
  <c r="AC19" i="9" s="1"/>
  <c r="AC18" i="9" s="1"/>
  <c r="AC17" i="9" s="1"/>
  <c r="AS28" i="9"/>
  <c r="W28" i="9"/>
  <c r="C28" i="6"/>
  <c r="E28" i="6"/>
  <c r="AS28" i="4"/>
  <c r="W28" i="4"/>
  <c r="Z28" i="4"/>
  <c r="AC28" i="4"/>
  <c r="AC27" i="4" s="1"/>
  <c r="AC26" i="4" s="1"/>
  <c r="AC25" i="4" s="1"/>
  <c r="AC24" i="4" s="1"/>
  <c r="AC23" i="4" s="1"/>
  <c r="AC22" i="4" s="1"/>
  <c r="AC21" i="4" s="1"/>
  <c r="AC20" i="4" s="1"/>
  <c r="AC19" i="4" s="1"/>
  <c r="AC18" i="4" s="1"/>
  <c r="AC17" i="4" s="1"/>
  <c r="C28" i="13"/>
  <c r="E28" i="13"/>
  <c r="C28" i="21"/>
  <c r="E28" i="21"/>
  <c r="C28" i="10"/>
  <c r="E28" i="10"/>
  <c r="C28" i="18"/>
  <c r="E28" i="18"/>
  <c r="AS28" i="8"/>
  <c r="W28" i="8"/>
  <c r="Z28" i="8"/>
  <c r="AC28" i="8"/>
  <c r="AC27" i="8" s="1"/>
  <c r="AC26" i="8" s="1"/>
  <c r="AC25" i="8" s="1"/>
  <c r="AC24" i="8" s="1"/>
  <c r="AC23" i="8" s="1"/>
  <c r="AC22" i="8" s="1"/>
  <c r="AC21" i="8" s="1"/>
  <c r="AC20" i="8" s="1"/>
  <c r="AC19" i="8" s="1"/>
  <c r="AC18" i="8" s="1"/>
  <c r="AC17" i="8" s="1"/>
  <c r="AS28" i="16"/>
  <c r="W28" i="16"/>
  <c r="Z28" i="16"/>
  <c r="AC28" i="16"/>
  <c r="AC27" i="16" s="1"/>
  <c r="AC26" i="16" s="1"/>
  <c r="AC25" i="16" s="1"/>
  <c r="AC24" i="16" s="1"/>
  <c r="AC23" i="16" s="1"/>
  <c r="AC22" i="16" s="1"/>
  <c r="AC21" i="16" s="1"/>
  <c r="AC20" i="16" s="1"/>
  <c r="AC19" i="16" s="1"/>
  <c r="AC18" i="16" s="1"/>
  <c r="AC17" i="16" s="1"/>
  <c r="E28" i="12"/>
  <c r="C28" i="12"/>
  <c r="E28" i="20"/>
  <c r="C28" i="20"/>
  <c r="C28" i="25"/>
  <c r="E28" i="25"/>
  <c r="E28" i="53"/>
  <c r="C28" i="53"/>
  <c r="AC49" i="38"/>
  <c r="AD48" i="38"/>
  <c r="AC53" i="38"/>
  <c r="A53" i="46"/>
  <c r="A61" i="48"/>
  <c r="A57" i="48"/>
  <c r="P39" i="50"/>
  <c r="AS14" i="7"/>
  <c r="W14" i="7"/>
  <c r="Z14" i="7"/>
  <c r="W15" i="7"/>
  <c r="C15" i="16"/>
  <c r="E14" i="16"/>
  <c r="C14" i="16"/>
  <c r="A166" i="61"/>
  <c r="AB166" i="61"/>
  <c r="AB80" i="61"/>
  <c r="CK40" i="61"/>
  <c r="CK15" i="61"/>
  <c r="CG15" i="61"/>
  <c r="CH15" i="61" s="1"/>
  <c r="CI15" i="61" s="1"/>
  <c r="C17" i="2"/>
  <c r="E17" i="2"/>
  <c r="Z17" i="24"/>
  <c r="AS17" i="24"/>
  <c r="W17" i="24"/>
  <c r="E17" i="13"/>
  <c r="C17" i="13"/>
  <c r="AS17" i="11"/>
  <c r="W17" i="11"/>
  <c r="Z17" i="11"/>
  <c r="Z8" i="14"/>
  <c r="AS8" i="14"/>
  <c r="W8" i="14"/>
  <c r="AS24" i="2"/>
  <c r="W24" i="2"/>
  <c r="Z24" i="2"/>
  <c r="Z24" i="22"/>
  <c r="AS24" i="22"/>
  <c r="W24" i="22"/>
  <c r="AS24" i="12"/>
  <c r="W24" i="12"/>
  <c r="Z24" i="12"/>
  <c r="AC58" i="26"/>
  <c r="AC54" i="26"/>
  <c r="B57" i="28"/>
  <c r="A58" i="28"/>
  <c r="A61" i="36"/>
  <c r="A57" i="36"/>
  <c r="C44" i="41"/>
  <c r="AL120" i="43"/>
  <c r="AH120" i="43"/>
  <c r="AL119" i="43"/>
  <c r="AH119" i="43"/>
  <c r="A45" i="43"/>
  <c r="B45" i="43" s="1"/>
  <c r="A45" i="45"/>
  <c r="B45" i="45" s="1"/>
  <c r="W45" i="48"/>
  <c r="O58" i="59"/>
  <c r="W11" i="7"/>
  <c r="AS10" i="7"/>
  <c r="Z10" i="7"/>
  <c r="W10" i="7"/>
  <c r="W11" i="8"/>
  <c r="AS10" i="8"/>
  <c r="W10" i="8"/>
  <c r="Z10" i="8"/>
  <c r="Z10" i="24"/>
  <c r="AS10" i="24"/>
  <c r="W11" i="24"/>
  <c r="W10" i="24"/>
  <c r="W11" i="13"/>
  <c r="AS10" i="13"/>
  <c r="W10" i="13"/>
  <c r="Z10" i="13"/>
  <c r="E10" i="12"/>
  <c r="C10" i="12"/>
  <c r="C11" i="12"/>
  <c r="E10" i="20"/>
  <c r="C10" i="20"/>
  <c r="C11" i="20"/>
  <c r="E10" i="13"/>
  <c r="C10" i="13"/>
  <c r="C11" i="13"/>
  <c r="E10" i="21"/>
  <c r="C10" i="21"/>
  <c r="C11" i="21"/>
  <c r="C26" i="1"/>
  <c r="C27" i="1"/>
  <c r="E26" i="1"/>
  <c r="C26" i="9"/>
  <c r="E26" i="9"/>
  <c r="C27" i="9"/>
  <c r="AS26" i="7"/>
  <c r="W26" i="7"/>
  <c r="Z26" i="7"/>
  <c r="W27" i="7"/>
  <c r="W27" i="23"/>
  <c r="AS26" i="23"/>
  <c r="W26" i="23"/>
  <c r="Z26" i="23"/>
  <c r="C27" i="23"/>
  <c r="E26" i="23"/>
  <c r="C26" i="23"/>
  <c r="E26" i="24"/>
  <c r="C26" i="24"/>
  <c r="C27" i="24"/>
  <c r="AS13" i="1"/>
  <c r="W13" i="1"/>
  <c r="Z13" i="1"/>
  <c r="AS13" i="5"/>
  <c r="W13" i="5"/>
  <c r="Z13" i="5"/>
  <c r="Z13" i="20"/>
  <c r="AS13" i="20"/>
  <c r="W13" i="20"/>
  <c r="C13" i="20"/>
  <c r="E13" i="20"/>
  <c r="AS13" i="11"/>
  <c r="W13" i="11"/>
  <c r="Z13" i="11"/>
  <c r="Z13" i="53"/>
  <c r="W13" i="53"/>
  <c r="AS13" i="53"/>
  <c r="C20" i="4"/>
  <c r="E20" i="4"/>
  <c r="AS20" i="3"/>
  <c r="W20" i="3"/>
  <c r="Z20" i="3"/>
  <c r="C20" i="13"/>
  <c r="E20" i="13"/>
  <c r="C20" i="18"/>
  <c r="E20" i="18"/>
  <c r="AS20" i="16"/>
  <c r="W20" i="16"/>
  <c r="Z20" i="16"/>
  <c r="C20" i="25"/>
  <c r="E20" i="25"/>
  <c r="AL44" i="32"/>
  <c r="AL45" i="32"/>
  <c r="AH44" i="35"/>
  <c r="A49" i="47"/>
  <c r="B48" i="47"/>
  <c r="O53" i="48"/>
  <c r="Z6" i="4"/>
  <c r="W7" i="4"/>
  <c r="AS6" i="4"/>
  <c r="W6" i="4"/>
  <c r="C7" i="5"/>
  <c r="E6" i="5"/>
  <c r="C6" i="5"/>
  <c r="C6" i="12"/>
  <c r="E6" i="12"/>
  <c r="C7" i="12"/>
  <c r="C6" i="13"/>
  <c r="E6" i="13"/>
  <c r="C7" i="13"/>
  <c r="AS6" i="11"/>
  <c r="W6" i="11"/>
  <c r="Z6" i="11"/>
  <c r="W7" i="11"/>
  <c r="C7" i="11"/>
  <c r="E6" i="11"/>
  <c r="C6" i="11"/>
  <c r="Z6" i="53"/>
  <c r="W7" i="53"/>
  <c r="W6" i="53"/>
  <c r="AS6" i="53"/>
  <c r="Z22" i="5"/>
  <c r="W23" i="5"/>
  <c r="AS22" i="5"/>
  <c r="W22" i="5"/>
  <c r="AS22" i="6"/>
  <c r="W22" i="6"/>
  <c r="W23" i="6"/>
  <c r="Z22" i="6"/>
  <c r="Z22" i="22"/>
  <c r="W23" i="22"/>
  <c r="AS22" i="22"/>
  <c r="W22" i="22"/>
  <c r="C23" i="11"/>
  <c r="E22" i="11"/>
  <c r="C22" i="11"/>
  <c r="AC54" i="32"/>
  <c r="AD54" i="32" s="1"/>
  <c r="AC58" i="32"/>
  <c r="B45" i="28"/>
  <c r="O49" i="26"/>
  <c r="O45" i="32"/>
  <c r="P45" i="32" s="1"/>
  <c r="O57" i="36"/>
  <c r="O61" i="36"/>
  <c r="O53" i="35"/>
  <c r="AC58" i="36"/>
  <c r="AC54" i="36"/>
  <c r="AC54" i="37"/>
  <c r="AC58" i="37"/>
  <c r="B61" i="38"/>
  <c r="A66" i="38"/>
  <c r="A62" i="38"/>
  <c r="B45" i="40"/>
  <c r="AL44" i="38"/>
  <c r="AH44" i="38"/>
  <c r="AL45" i="38"/>
  <c r="AH45" i="38"/>
  <c r="O44" i="41"/>
  <c r="P43" i="41"/>
  <c r="Q43" i="41" s="1"/>
  <c r="AJ129" i="43"/>
  <c r="AJ130" i="43"/>
  <c r="AC49" i="44"/>
  <c r="AD48" i="44"/>
  <c r="AC53" i="44"/>
  <c r="O48" i="46"/>
  <c r="P47" i="46"/>
  <c r="O48" i="44"/>
  <c r="P47" i="44"/>
  <c r="P39" i="48"/>
  <c r="O40" i="48"/>
  <c r="P51" i="32"/>
  <c r="P39" i="32"/>
  <c r="P43" i="35"/>
  <c r="Q43" i="35" s="1"/>
  <c r="P39" i="38"/>
  <c r="P43" i="38"/>
  <c r="Q43" i="38" s="1"/>
  <c r="C14" i="4"/>
  <c r="E14" i="4"/>
  <c r="C15" i="4"/>
  <c r="C14" i="5"/>
  <c r="C15" i="5"/>
  <c r="E14" i="5"/>
  <c r="C15" i="6"/>
  <c r="E14" i="6"/>
  <c r="C14" i="6"/>
  <c r="C14" i="8"/>
  <c r="C15" i="8"/>
  <c r="E14" i="8"/>
  <c r="C14" i="13"/>
  <c r="E14" i="13"/>
  <c r="C15" i="13"/>
  <c r="C14" i="21"/>
  <c r="E14" i="21"/>
  <c r="C15" i="21"/>
  <c r="W15" i="11"/>
  <c r="AS14" i="11"/>
  <c r="W14" i="11"/>
  <c r="Z14" i="11"/>
  <c r="W15" i="19"/>
  <c r="AS14" i="19"/>
  <c r="W14" i="19"/>
  <c r="Z14" i="19"/>
  <c r="AS14" i="8"/>
  <c r="W14" i="8"/>
  <c r="Z14" i="8"/>
  <c r="W15" i="8"/>
  <c r="AS14" i="16"/>
  <c r="W14" i="16"/>
  <c r="Z14" i="16"/>
  <c r="W15" i="16"/>
  <c r="C15" i="12"/>
  <c r="E14" i="12"/>
  <c r="C14" i="12"/>
  <c r="C15" i="20"/>
  <c r="E14" i="20"/>
  <c r="C14" i="20"/>
  <c r="C14" i="25"/>
  <c r="C15" i="25"/>
  <c r="E14" i="25"/>
  <c r="E14" i="53"/>
  <c r="C14" i="53"/>
  <c r="C15" i="53"/>
  <c r="AS17" i="1"/>
  <c r="Z17" i="1"/>
  <c r="W17" i="1"/>
  <c r="C17" i="6"/>
  <c r="E17" i="6"/>
  <c r="E17" i="4"/>
  <c r="C17" i="4"/>
  <c r="AS17" i="6"/>
  <c r="W17" i="6"/>
  <c r="Z17" i="6"/>
  <c r="Z17" i="12"/>
  <c r="AS17" i="12"/>
  <c r="W17" i="12"/>
  <c r="Z17" i="20"/>
  <c r="AS17" i="20"/>
  <c r="W17" i="20"/>
  <c r="AS17" i="9"/>
  <c r="W17" i="9"/>
  <c r="Z17" i="9"/>
  <c r="AS17" i="17"/>
  <c r="W17" i="17"/>
  <c r="Z17" i="17"/>
  <c r="E17" i="9"/>
  <c r="C17" i="9"/>
  <c r="E17" i="17"/>
  <c r="C17" i="17"/>
  <c r="Z17" i="25"/>
  <c r="AS17" i="25"/>
  <c r="W17" i="25"/>
  <c r="AS17" i="15"/>
  <c r="W17" i="15"/>
  <c r="Z17" i="15"/>
  <c r="AS17" i="23"/>
  <c r="W17" i="23"/>
  <c r="Z17" i="23"/>
  <c r="AB169" i="61"/>
  <c r="A169" i="61"/>
  <c r="AB83" i="61"/>
  <c r="CK43" i="61"/>
  <c r="CK18" i="61"/>
  <c r="CG18" i="61"/>
  <c r="CH18" i="61" s="1"/>
  <c r="CI18" i="61" s="1"/>
  <c r="Z8" i="5"/>
  <c r="AS8" i="5"/>
  <c r="W8" i="5"/>
  <c r="C8" i="7"/>
  <c r="E8" i="7"/>
  <c r="E8" i="2"/>
  <c r="C8" i="2"/>
  <c r="Z8" i="10"/>
  <c r="AS8" i="10"/>
  <c r="W8" i="10"/>
  <c r="Z8" i="18"/>
  <c r="AS8" i="18"/>
  <c r="W8" i="18"/>
  <c r="E8" i="9"/>
  <c r="C8" i="9"/>
  <c r="C8" i="17"/>
  <c r="E8" i="17"/>
  <c r="Z8" i="24"/>
  <c r="W8" i="24"/>
  <c r="AS8" i="24"/>
  <c r="AS8" i="12"/>
  <c r="W8" i="12"/>
  <c r="Z8" i="12"/>
  <c r="AS8" i="20"/>
  <c r="W8" i="20"/>
  <c r="Z8" i="20"/>
  <c r="AS8" i="13"/>
  <c r="W8" i="13"/>
  <c r="Z8" i="13"/>
  <c r="AS8" i="21"/>
  <c r="W8" i="21"/>
  <c r="Z8" i="21"/>
  <c r="Z8" i="53"/>
  <c r="AS8" i="53"/>
  <c r="W8" i="53"/>
  <c r="DD66" i="61"/>
  <c r="DE66" i="61" s="1"/>
  <c r="DC66" i="61"/>
  <c r="C24" i="1"/>
  <c r="E24" i="1"/>
  <c r="C24" i="8"/>
  <c r="E24" i="8"/>
  <c r="E24" i="2"/>
  <c r="C24" i="2"/>
  <c r="E24" i="6"/>
  <c r="C24" i="6"/>
  <c r="Z24" i="10"/>
  <c r="AS24" i="10"/>
  <c r="W24" i="10"/>
  <c r="Z24" i="18"/>
  <c r="AS24" i="18"/>
  <c r="W24" i="18"/>
  <c r="C24" i="10"/>
  <c r="E24" i="10"/>
  <c r="C24" i="18"/>
  <c r="E24" i="18"/>
  <c r="AS24" i="8"/>
  <c r="W24" i="8"/>
  <c r="Z24" i="8"/>
  <c r="AS24" i="16"/>
  <c r="W24" i="16"/>
  <c r="Z24" i="16"/>
  <c r="W24" i="24"/>
  <c r="AS24" i="24"/>
  <c r="Z24" i="24"/>
  <c r="AS24" i="17"/>
  <c r="W24" i="17"/>
  <c r="Z24" i="17"/>
  <c r="Z24" i="25"/>
  <c r="AS24" i="25"/>
  <c r="W24" i="25"/>
  <c r="AB176" i="61"/>
  <c r="A176" i="61"/>
  <c r="AB90" i="61"/>
  <c r="CK50" i="61"/>
  <c r="CG25" i="61"/>
  <c r="CH25" i="61" s="1"/>
  <c r="CI25" i="61" s="1"/>
  <c r="CK25" i="61"/>
  <c r="AD48" i="26"/>
  <c r="O61" i="26"/>
  <c r="O57" i="26"/>
  <c r="A54" i="32"/>
  <c r="B53" i="32"/>
  <c r="B49" i="32"/>
  <c r="P72" i="32"/>
  <c r="O73" i="32"/>
  <c r="B45" i="34"/>
  <c r="B61" i="34"/>
  <c r="A66" i="34"/>
  <c r="A62" i="34"/>
  <c r="AD44" i="36"/>
  <c r="O49" i="38"/>
  <c r="A54" i="40"/>
  <c r="B53" i="40"/>
  <c r="A45" i="39"/>
  <c r="B45" i="39" s="1"/>
  <c r="B44" i="39"/>
  <c r="B57" i="42"/>
  <c r="A58" i="42"/>
  <c r="AL125" i="43"/>
  <c r="AH125" i="43"/>
  <c r="AL124" i="43"/>
  <c r="AH124" i="43"/>
  <c r="P39" i="45"/>
  <c r="A45" i="46"/>
  <c r="B45" i="46" s="1"/>
  <c r="B44" i="46"/>
  <c r="B57" i="47"/>
  <c r="A58" i="47"/>
  <c r="A49" i="44"/>
  <c r="B61" i="50"/>
  <c r="A66" i="50"/>
  <c r="A62" i="50"/>
  <c r="B48" i="59"/>
  <c r="A68" i="59"/>
  <c r="A63" i="59"/>
  <c r="AD88" i="43"/>
  <c r="AQ155" i="61"/>
  <c r="P155" i="61"/>
  <c r="AQ69" i="61"/>
  <c r="AY155" i="61"/>
  <c r="X155" i="61"/>
  <c r="AY69" i="61"/>
  <c r="C10" i="1"/>
  <c r="C11" i="1"/>
  <c r="E10" i="1"/>
  <c r="W11" i="4"/>
  <c r="AS10" i="4"/>
  <c r="W10" i="4"/>
  <c r="Z10" i="4"/>
  <c r="AS10" i="1"/>
  <c r="Z10" i="1"/>
  <c r="W10" i="1"/>
  <c r="W11" i="1"/>
  <c r="E10" i="4"/>
  <c r="C11" i="4"/>
  <c r="C10" i="4"/>
  <c r="Z10" i="12"/>
  <c r="W11" i="12"/>
  <c r="AS10" i="12"/>
  <c r="W10" i="12"/>
  <c r="Z10" i="20"/>
  <c r="W11" i="20"/>
  <c r="AS10" i="20"/>
  <c r="W10" i="20"/>
  <c r="W11" i="9"/>
  <c r="AS10" i="9"/>
  <c r="W10" i="9"/>
  <c r="Z10" i="9"/>
  <c r="W11" i="17"/>
  <c r="AS10" i="17"/>
  <c r="W10" i="17"/>
  <c r="Z10" i="17"/>
  <c r="E10" i="8"/>
  <c r="C10" i="8"/>
  <c r="C11" i="8"/>
  <c r="E10" i="16"/>
  <c r="C10" i="16"/>
  <c r="C11" i="16"/>
  <c r="C10" i="24"/>
  <c r="E10" i="24"/>
  <c r="C11" i="24"/>
  <c r="E10" i="17"/>
  <c r="C10" i="17"/>
  <c r="C11" i="17"/>
  <c r="W11" i="25"/>
  <c r="Z10" i="25"/>
  <c r="W10" i="25"/>
  <c r="AS10" i="25"/>
  <c r="C10" i="53"/>
  <c r="E10" i="53"/>
  <c r="C11" i="53"/>
  <c r="DD68" i="61"/>
  <c r="DE68" i="61" s="1"/>
  <c r="DC68" i="61"/>
  <c r="C26" i="4"/>
  <c r="E26" i="4"/>
  <c r="C27" i="4"/>
  <c r="C26" i="5"/>
  <c r="C27" i="5"/>
  <c r="E26" i="5"/>
  <c r="AS26" i="3"/>
  <c r="W26" i="3"/>
  <c r="Z26" i="3"/>
  <c r="W27" i="3"/>
  <c r="Z26" i="9"/>
  <c r="W27" i="9"/>
  <c r="W26" i="9"/>
  <c r="AS26" i="9"/>
  <c r="C26" i="13"/>
  <c r="E26" i="13"/>
  <c r="C27" i="13"/>
  <c r="C26" i="21"/>
  <c r="E26" i="21"/>
  <c r="C27" i="21"/>
  <c r="W27" i="11"/>
  <c r="AS26" i="11"/>
  <c r="W26" i="11"/>
  <c r="Z26" i="11"/>
  <c r="W27" i="19"/>
  <c r="AS26" i="19"/>
  <c r="W26" i="19"/>
  <c r="Z26" i="19"/>
  <c r="C27" i="11"/>
  <c r="E26" i="11"/>
  <c r="C26" i="11"/>
  <c r="C27" i="19"/>
  <c r="E26" i="19"/>
  <c r="C26" i="19"/>
  <c r="AS26" i="13"/>
  <c r="W26" i="13"/>
  <c r="Z26" i="13"/>
  <c r="W27" i="13"/>
  <c r="AS26" i="21"/>
  <c r="W26" i="21"/>
  <c r="Z26" i="21"/>
  <c r="W27" i="21"/>
  <c r="C26" i="25"/>
  <c r="C27" i="25"/>
  <c r="E26" i="25"/>
  <c r="E26" i="53"/>
  <c r="C26" i="53"/>
  <c r="C27" i="53"/>
  <c r="C13" i="2"/>
  <c r="E13" i="2"/>
  <c r="AS13" i="4"/>
  <c r="W13" i="4"/>
  <c r="Z13" i="4"/>
  <c r="E13" i="5"/>
  <c r="C13" i="5"/>
  <c r="AS13" i="8"/>
  <c r="W13" i="8"/>
  <c r="Z13" i="8"/>
  <c r="Z13" i="16"/>
  <c r="AS13" i="16"/>
  <c r="W13" i="16"/>
  <c r="E13" i="8"/>
  <c r="C13" i="8"/>
  <c r="C13" i="16"/>
  <c r="E13" i="16"/>
  <c r="E13" i="9"/>
  <c r="C13" i="9"/>
  <c r="E13" i="17"/>
  <c r="C13" i="17"/>
  <c r="Z13" i="24"/>
  <c r="W13" i="24"/>
  <c r="AS13" i="24"/>
  <c r="AS13" i="15"/>
  <c r="W13" i="15"/>
  <c r="Z13" i="15"/>
  <c r="AS13" i="23"/>
  <c r="W13" i="23"/>
  <c r="Z13" i="23"/>
  <c r="AS23" i="53"/>
  <c r="AS15" i="53"/>
  <c r="AS7" i="53"/>
  <c r="E27" i="53"/>
  <c r="E19" i="53"/>
  <c r="Z11" i="53"/>
  <c r="Z7" i="53"/>
  <c r="AS19" i="25"/>
  <c r="E23" i="24"/>
  <c r="E15" i="24"/>
  <c r="E7" i="24"/>
  <c r="Z11" i="23"/>
  <c r="Z7" i="23"/>
  <c r="Z27" i="20"/>
  <c r="Z23" i="20"/>
  <c r="Z19" i="20"/>
  <c r="Z15" i="20"/>
  <c r="Z11" i="19"/>
  <c r="Z7" i="19"/>
  <c r="Z27" i="16"/>
  <c r="Z23" i="16"/>
  <c r="Z19" i="16"/>
  <c r="Z15" i="16"/>
  <c r="Z11" i="15"/>
  <c r="Z7" i="15"/>
  <c r="Z27" i="12"/>
  <c r="Z23" i="12"/>
  <c r="Z19" i="12"/>
  <c r="Z15" i="12"/>
  <c r="Z11" i="11"/>
  <c r="Z7" i="11"/>
  <c r="AC27" i="20"/>
  <c r="AC26" i="20" s="1"/>
  <c r="AC25" i="20" s="1"/>
  <c r="AC24" i="20" s="1"/>
  <c r="AC23" i="20" s="1"/>
  <c r="AC22" i="20" s="1"/>
  <c r="AC21" i="20" s="1"/>
  <c r="AC20" i="20" s="1"/>
  <c r="AC19" i="20" s="1"/>
  <c r="AC18" i="20" s="1"/>
  <c r="AC17" i="20" s="1"/>
  <c r="AC27" i="12"/>
  <c r="AC26" i="12" s="1"/>
  <c r="AC25" i="12" s="1"/>
  <c r="AC24" i="12" s="1"/>
  <c r="AC23" i="12" s="1"/>
  <c r="AC22" i="12" s="1"/>
  <c r="AC21" i="12" s="1"/>
  <c r="AC20" i="12" s="1"/>
  <c r="AC19" i="12" s="1"/>
  <c r="AC18" i="12" s="1"/>
  <c r="AC17" i="12" s="1"/>
  <c r="Z7" i="25"/>
  <c r="E27" i="24"/>
  <c r="E19" i="24"/>
  <c r="AS11" i="24"/>
  <c r="AS15" i="25"/>
  <c r="Z11" i="25"/>
  <c r="AS27" i="24"/>
  <c r="AS19" i="24"/>
  <c r="Z11" i="24"/>
  <c r="E7" i="8"/>
  <c r="AS27" i="7"/>
  <c r="AS23" i="6"/>
  <c r="Z11" i="6"/>
  <c r="Z7" i="6"/>
  <c r="Z27" i="3"/>
  <c r="Z23" i="3"/>
  <c r="Z19" i="3"/>
  <c r="Z15" i="3"/>
  <c r="Z11" i="2"/>
  <c r="Z7" i="2"/>
  <c r="Z19" i="1"/>
  <c r="Z15" i="1"/>
  <c r="Z27" i="7"/>
  <c r="AS23" i="7"/>
  <c r="Z11" i="7"/>
  <c r="Z7" i="7"/>
  <c r="E27" i="6"/>
  <c r="Z23" i="6"/>
  <c r="E19" i="6"/>
  <c r="Z15" i="6"/>
  <c r="Z11" i="5"/>
  <c r="Z7" i="5"/>
  <c r="AC27" i="3"/>
  <c r="AC26" i="3" s="1"/>
  <c r="AC25" i="3" s="1"/>
  <c r="AC24" i="3" s="1"/>
  <c r="AC23" i="3" s="1"/>
  <c r="AC22" i="3" s="1"/>
  <c r="AC21" i="3" s="1"/>
  <c r="AC20" i="3" s="1"/>
  <c r="AC19" i="3" s="1"/>
  <c r="AC18" i="3" s="1"/>
  <c r="AC17" i="3" s="1"/>
  <c r="Z27" i="2"/>
  <c r="Z23" i="2"/>
  <c r="Z19" i="2"/>
  <c r="Z15" i="2"/>
  <c r="Z11" i="1"/>
  <c r="E11" i="9"/>
  <c r="Z23" i="7"/>
  <c r="Z19" i="5"/>
  <c r="Z15" i="5"/>
  <c r="Z11" i="4"/>
  <c r="Z7" i="4"/>
  <c r="AC27" i="2"/>
  <c r="AC26" i="2" s="1"/>
  <c r="AC25" i="2" s="1"/>
  <c r="AC24" i="2" s="1"/>
  <c r="AC23" i="2" s="1"/>
  <c r="AC22" i="2" s="1"/>
  <c r="AC21" i="2" s="1"/>
  <c r="AC20" i="2" s="1"/>
  <c r="AC19" i="2" s="1"/>
  <c r="AC18" i="2" s="1"/>
  <c r="AC17" i="2" s="1"/>
  <c r="Z27" i="1"/>
  <c r="Z27" i="8"/>
  <c r="Z23" i="8"/>
  <c r="Z19" i="8"/>
  <c r="Z15" i="8"/>
  <c r="Z7" i="1"/>
  <c r="Z23" i="1"/>
  <c r="E15" i="2"/>
  <c r="E7" i="5"/>
  <c r="E23" i="6"/>
  <c r="AS27" i="3"/>
  <c r="E11" i="1"/>
  <c r="AS7" i="6"/>
  <c r="E19" i="2"/>
  <c r="E11" i="5"/>
  <c r="AS19" i="7"/>
  <c r="AS7" i="1"/>
  <c r="E27" i="1"/>
  <c r="E7" i="7"/>
  <c r="Z19" i="7"/>
  <c r="AS23" i="8"/>
  <c r="AS11" i="9"/>
  <c r="E11" i="11"/>
  <c r="AS15" i="12"/>
  <c r="E23" i="13"/>
  <c r="E7" i="15"/>
  <c r="E15" i="16"/>
  <c r="E23" i="17"/>
  <c r="E7" i="19"/>
  <c r="E15" i="20"/>
  <c r="E23" i="21"/>
  <c r="E7" i="23"/>
  <c r="E11" i="2"/>
  <c r="E19" i="3"/>
  <c r="AS27" i="4"/>
  <c r="AS27" i="6"/>
  <c r="E27" i="7"/>
  <c r="AS11" i="10"/>
  <c r="AS19" i="11"/>
  <c r="E27" i="12"/>
  <c r="AS7" i="14"/>
  <c r="AS15" i="15"/>
  <c r="AS23" i="16"/>
  <c r="AS7" i="18"/>
  <c r="AS15" i="19"/>
  <c r="AS23" i="20"/>
  <c r="AS7" i="22"/>
  <c r="AS15" i="23"/>
  <c r="AS7" i="4"/>
  <c r="E23" i="4"/>
  <c r="AS15" i="5"/>
  <c r="AS23" i="5"/>
  <c r="AS7" i="9"/>
  <c r="E7" i="11"/>
  <c r="AS19" i="12"/>
  <c r="E27" i="13"/>
  <c r="E11" i="15"/>
  <c r="E19" i="16"/>
  <c r="E27" i="17"/>
  <c r="E11" i="19"/>
  <c r="E19" i="20"/>
  <c r="E27" i="21"/>
  <c r="E11" i="23"/>
  <c r="AS19" i="1"/>
  <c r="Z15" i="7"/>
  <c r="E23" i="8"/>
  <c r="AS7" i="10"/>
  <c r="AS15" i="11"/>
  <c r="E23" i="12"/>
  <c r="AS11" i="14"/>
  <c r="AS19" i="15"/>
  <c r="AS27" i="16"/>
  <c r="AS11" i="18"/>
  <c r="AS19" i="19"/>
  <c r="AS27" i="20"/>
  <c r="AS11" i="22"/>
  <c r="AS19" i="23"/>
  <c r="Z7" i="8"/>
  <c r="Z11" i="8"/>
  <c r="Z15" i="9"/>
  <c r="Z19" i="9"/>
  <c r="Z23" i="9"/>
  <c r="Z27" i="9"/>
  <c r="E7" i="25"/>
  <c r="Z11" i="9"/>
  <c r="Z15" i="10"/>
  <c r="Z19" i="10"/>
  <c r="Z23" i="10"/>
  <c r="Z27" i="10"/>
  <c r="Z7" i="13"/>
  <c r="Z11" i="13"/>
  <c r="Z7" i="24"/>
  <c r="E23" i="25"/>
  <c r="Z19" i="11"/>
  <c r="Z15" i="15"/>
  <c r="Z15" i="19"/>
  <c r="AS23" i="22"/>
  <c r="Z23" i="23"/>
  <c r="AS7" i="24"/>
  <c r="Z23" i="53"/>
  <c r="AS27" i="53"/>
  <c r="D48" i="61"/>
  <c r="AS11" i="6"/>
  <c r="E23" i="2"/>
  <c r="E23" i="5"/>
  <c r="AS11" i="1"/>
  <c r="AS7" i="2"/>
  <c r="AS15" i="3"/>
  <c r="AS15" i="6"/>
  <c r="E27" i="2"/>
  <c r="E15" i="5"/>
  <c r="AS19" i="2"/>
  <c r="AS11" i="5"/>
  <c r="E15" i="1"/>
  <c r="E23" i="1"/>
  <c r="E11" i="7"/>
  <c r="AS11" i="8"/>
  <c r="AS27" i="8"/>
  <c r="AS15" i="9"/>
  <c r="AS23" i="9"/>
  <c r="E11" i="10"/>
  <c r="E19" i="11"/>
  <c r="AS23" i="12"/>
  <c r="E7" i="14"/>
  <c r="E15" i="15"/>
  <c r="E23" i="16"/>
  <c r="E7" i="18"/>
  <c r="E15" i="19"/>
  <c r="E23" i="20"/>
  <c r="E7" i="22"/>
  <c r="E15" i="23"/>
  <c r="AS7" i="3"/>
  <c r="E23" i="3"/>
  <c r="AS23" i="4"/>
  <c r="Z27" i="5"/>
  <c r="AS7" i="7"/>
  <c r="AS7" i="8"/>
  <c r="AS19" i="10"/>
  <c r="AS27" i="11"/>
  <c r="AS7" i="13"/>
  <c r="AS15" i="14"/>
  <c r="AS23" i="15"/>
  <c r="AS7" i="17"/>
  <c r="AS15" i="18"/>
  <c r="AS23" i="19"/>
  <c r="AS15" i="22"/>
  <c r="AS23" i="23"/>
  <c r="AS23" i="1"/>
  <c r="AS11" i="4"/>
  <c r="E27" i="4"/>
  <c r="AS19" i="5"/>
  <c r="E7" i="10"/>
  <c r="E15" i="11"/>
  <c r="AS27" i="12"/>
  <c r="E11" i="14"/>
  <c r="E19" i="15"/>
  <c r="E27" i="16"/>
  <c r="E11" i="18"/>
  <c r="E19" i="19"/>
  <c r="E27" i="20"/>
  <c r="E11" i="22"/>
  <c r="E19" i="23"/>
  <c r="E11" i="8"/>
  <c r="E27" i="8"/>
  <c r="E15" i="9"/>
  <c r="E23" i="9"/>
  <c r="AS15" i="10"/>
  <c r="AS23" i="11"/>
  <c r="AS11" i="13"/>
  <c r="AS19" i="14"/>
  <c r="AS27" i="15"/>
  <c r="AS11" i="17"/>
  <c r="AS19" i="18"/>
  <c r="AS27" i="19"/>
  <c r="AS11" i="21"/>
  <c r="AS27" i="23"/>
  <c r="AC27" i="18"/>
  <c r="AC26" i="18" s="1"/>
  <c r="AC25" i="18" s="1"/>
  <c r="AC24" i="18" s="1"/>
  <c r="AC23" i="18" s="1"/>
  <c r="AC22" i="18" s="1"/>
  <c r="AC21" i="18" s="1"/>
  <c r="AC20" i="18" s="1"/>
  <c r="AC19" i="18" s="1"/>
  <c r="AC18" i="18" s="1"/>
  <c r="AC17" i="18" s="1"/>
  <c r="Z7" i="20"/>
  <c r="Z11" i="20"/>
  <c r="Z15" i="21"/>
  <c r="Z19" i="21"/>
  <c r="Z23" i="21"/>
  <c r="Z27" i="21"/>
  <c r="AS11" i="25"/>
  <c r="Z27" i="25"/>
  <c r="Z7" i="9"/>
  <c r="Z15" i="14"/>
  <c r="Z19" i="14"/>
  <c r="Z23" i="14"/>
  <c r="Z27" i="14"/>
  <c r="Z7" i="21"/>
  <c r="Z11" i="21"/>
  <c r="Z15" i="22"/>
  <c r="Z19" i="22"/>
  <c r="Z23" i="22"/>
  <c r="Z27" i="22"/>
  <c r="Z19" i="24"/>
  <c r="Z15" i="11"/>
  <c r="Z11" i="14"/>
  <c r="Z27" i="15"/>
  <c r="Z11" i="18"/>
  <c r="Z27" i="19"/>
  <c r="AS7" i="21"/>
  <c r="AS27" i="22"/>
  <c r="Z19" i="23"/>
  <c r="AS23" i="24"/>
  <c r="Z19" i="25"/>
  <c r="AS23" i="25"/>
  <c r="Z23" i="24"/>
  <c r="E11" i="53"/>
  <c r="E23" i="53"/>
  <c r="AS11" i="2"/>
  <c r="E19" i="1"/>
  <c r="AS15" i="2"/>
  <c r="AS23" i="3"/>
  <c r="AS7" i="5"/>
  <c r="E19" i="5"/>
  <c r="AS19" i="3"/>
  <c r="AC27" i="1"/>
  <c r="AC26" i="1" s="1"/>
  <c r="AC25" i="1" s="1"/>
  <c r="AC24" i="1" s="1"/>
  <c r="AC23" i="1" s="1"/>
  <c r="AC22" i="1" s="1"/>
  <c r="AC21" i="1" s="1"/>
  <c r="AC20" i="1" s="1"/>
  <c r="AC19" i="1" s="1"/>
  <c r="AC18" i="1" s="1"/>
  <c r="AC17" i="1" s="1"/>
  <c r="E23" i="7"/>
  <c r="AS15" i="8"/>
  <c r="E19" i="10"/>
  <c r="E27" i="11"/>
  <c r="E7" i="13"/>
  <c r="E15" i="14"/>
  <c r="E23" i="15"/>
  <c r="E7" i="17"/>
  <c r="E15" i="18"/>
  <c r="E23" i="19"/>
  <c r="E7" i="21"/>
  <c r="E15" i="22"/>
  <c r="E23" i="23"/>
  <c r="AS11" i="3"/>
  <c r="E27" i="3"/>
  <c r="AS19" i="4"/>
  <c r="Z23" i="5"/>
  <c r="E7" i="6"/>
  <c r="AS19" i="6"/>
  <c r="AS11" i="7"/>
  <c r="AS27" i="10"/>
  <c r="E11" i="12"/>
  <c r="AS15" i="13"/>
  <c r="AS23" i="14"/>
  <c r="AS7" i="16"/>
  <c r="AS15" i="17"/>
  <c r="AS23" i="18"/>
  <c r="AS7" i="20"/>
  <c r="AS15" i="21"/>
  <c r="AS27" i="1"/>
  <c r="E7" i="3"/>
  <c r="E15" i="4"/>
  <c r="E15" i="10"/>
  <c r="E23" i="11"/>
  <c r="E11" i="13"/>
  <c r="E19" i="14"/>
  <c r="E27" i="15"/>
  <c r="E11" i="17"/>
  <c r="E19" i="18"/>
  <c r="E27" i="19"/>
  <c r="E11" i="21"/>
  <c r="E19" i="22"/>
  <c r="E27" i="23"/>
  <c r="E19" i="7"/>
  <c r="E15" i="8"/>
  <c r="AS23" i="10"/>
  <c r="E7" i="12"/>
  <c r="AS19" i="13"/>
  <c r="AS27" i="14"/>
  <c r="AS11" i="16"/>
  <c r="AS19" i="17"/>
  <c r="AS27" i="18"/>
  <c r="AS11" i="20"/>
  <c r="AS19" i="21"/>
  <c r="AC27" i="10"/>
  <c r="AC26" i="10" s="1"/>
  <c r="AC25" i="10" s="1"/>
  <c r="AC24" i="10" s="1"/>
  <c r="AC23" i="10" s="1"/>
  <c r="AC22" i="10" s="1"/>
  <c r="AC21" i="10" s="1"/>
  <c r="AC20" i="10" s="1"/>
  <c r="AC19" i="10" s="1"/>
  <c r="AC18" i="10" s="1"/>
  <c r="AC17" i="10" s="1"/>
  <c r="Z7" i="12"/>
  <c r="Z11" i="12"/>
  <c r="E27" i="25"/>
  <c r="AC27" i="25"/>
  <c r="AC26" i="25" s="1"/>
  <c r="AC25" i="25" s="1"/>
  <c r="AC24" i="25" s="1"/>
  <c r="AC23" i="25" s="1"/>
  <c r="AC22" i="25" s="1"/>
  <c r="AC21" i="25" s="1"/>
  <c r="AC20" i="25" s="1"/>
  <c r="AC19" i="25" s="1"/>
  <c r="AC18" i="25" s="1"/>
  <c r="AC17" i="25" s="1"/>
  <c r="Z27" i="24"/>
  <c r="Z11" i="10"/>
  <c r="Z27" i="11"/>
  <c r="Z7" i="14"/>
  <c r="Z23" i="15"/>
  <c r="Z7" i="18"/>
  <c r="Z23" i="19"/>
  <c r="Z11" i="22"/>
  <c r="Z15" i="23"/>
  <c r="AS15" i="24"/>
  <c r="E19" i="25"/>
  <c r="Z15" i="24"/>
  <c r="E11" i="25"/>
  <c r="Z15" i="25"/>
  <c r="Z27" i="53"/>
  <c r="AS11" i="53"/>
  <c r="Z15" i="53"/>
  <c r="AS19" i="53"/>
  <c r="AS27" i="2"/>
  <c r="E15" i="6"/>
  <c r="AS23" i="2"/>
  <c r="E7" i="4"/>
  <c r="E27" i="5"/>
  <c r="E7" i="1"/>
  <c r="E11" i="4"/>
  <c r="AS15" i="1"/>
  <c r="Z7" i="3"/>
  <c r="Z11" i="3"/>
  <c r="Z15" i="4"/>
  <c r="Z19" i="4"/>
  <c r="Z23" i="4"/>
  <c r="Z27" i="4"/>
  <c r="Z19" i="6"/>
  <c r="Z27" i="6"/>
  <c r="AS15" i="7"/>
  <c r="AS19" i="8"/>
  <c r="AS19" i="9"/>
  <c r="AS27" i="9"/>
  <c r="E27" i="10"/>
  <c r="AS7" i="12"/>
  <c r="E15" i="13"/>
  <c r="E23" i="14"/>
  <c r="E7" i="16"/>
  <c r="E15" i="17"/>
  <c r="E23" i="18"/>
  <c r="E7" i="20"/>
  <c r="E15" i="21"/>
  <c r="E23" i="22"/>
  <c r="E7" i="2"/>
  <c r="E15" i="3"/>
  <c r="AS15" i="4"/>
  <c r="E11" i="6"/>
  <c r="AS11" i="11"/>
  <c r="E19" i="12"/>
  <c r="AS23" i="13"/>
  <c r="AS7" i="15"/>
  <c r="AS15" i="16"/>
  <c r="AS23" i="17"/>
  <c r="AS7" i="19"/>
  <c r="AS15" i="20"/>
  <c r="AS23" i="21"/>
  <c r="AS7" i="23"/>
  <c r="E11" i="3"/>
  <c r="E19" i="4"/>
  <c r="AS27" i="5"/>
  <c r="E15" i="7"/>
  <c r="E23" i="10"/>
  <c r="AS11" i="12"/>
  <c r="E19" i="13"/>
  <c r="E27" i="14"/>
  <c r="E11" i="16"/>
  <c r="E19" i="17"/>
  <c r="E27" i="18"/>
  <c r="E11" i="20"/>
  <c r="E19" i="21"/>
  <c r="E27" i="22"/>
  <c r="E11" i="24"/>
  <c r="E19" i="8"/>
  <c r="E7" i="9"/>
  <c r="E19" i="9"/>
  <c r="E27" i="9"/>
  <c r="AS7" i="11"/>
  <c r="E15" i="12"/>
  <c r="AS27" i="13"/>
  <c r="AS11" i="15"/>
  <c r="AS19" i="16"/>
  <c r="AS27" i="17"/>
  <c r="AS11" i="19"/>
  <c r="AS19" i="20"/>
  <c r="AS27" i="21"/>
  <c r="AS11" i="23"/>
  <c r="Z15" i="13"/>
  <c r="Z19" i="13"/>
  <c r="Z23" i="13"/>
  <c r="Z27" i="13"/>
  <c r="Z7" i="16"/>
  <c r="Z11" i="16"/>
  <c r="Z15" i="17"/>
  <c r="Z19" i="17"/>
  <c r="Z23" i="17"/>
  <c r="Z27" i="17"/>
  <c r="Z7" i="17"/>
  <c r="Z11" i="17"/>
  <c r="Z15" i="18"/>
  <c r="Z19" i="18"/>
  <c r="Z23" i="18"/>
  <c r="Z27" i="18"/>
  <c r="AC27" i="23"/>
  <c r="AC26" i="23" s="1"/>
  <c r="AC25" i="23" s="1"/>
  <c r="AC24" i="23" s="1"/>
  <c r="AC23" i="23" s="1"/>
  <c r="AC22" i="23" s="1"/>
  <c r="AC21" i="23" s="1"/>
  <c r="AC20" i="23" s="1"/>
  <c r="AC19" i="23" s="1"/>
  <c r="AC18" i="23" s="1"/>
  <c r="AC17" i="23" s="1"/>
  <c r="AS7" i="25"/>
  <c r="Z23" i="25"/>
  <c r="AS27" i="25"/>
  <c r="Z7" i="10"/>
  <c r="Z23" i="11"/>
  <c r="Z19" i="15"/>
  <c r="Z19" i="19"/>
  <c r="Z7" i="22"/>
  <c r="AS19" i="22"/>
  <c r="Z27" i="23"/>
  <c r="E15" i="25"/>
  <c r="Z19" i="53"/>
  <c r="E7" i="53"/>
  <c r="E15" i="53"/>
  <c r="C20" i="8"/>
  <c r="E20" i="8"/>
  <c r="C20" i="6"/>
  <c r="E20" i="6"/>
  <c r="E20" i="1"/>
  <c r="C20" i="1"/>
  <c r="C20" i="9"/>
  <c r="E20" i="9"/>
  <c r="C20" i="17"/>
  <c r="E20" i="17"/>
  <c r="AS20" i="24"/>
  <c r="Z20" i="24"/>
  <c r="W20" i="24"/>
  <c r="C20" i="14"/>
  <c r="E20" i="14"/>
  <c r="C20" i="22"/>
  <c r="E20" i="22"/>
  <c r="AS20" i="12"/>
  <c r="W20" i="12"/>
  <c r="Z20" i="12"/>
  <c r="AS20" i="20"/>
  <c r="W20" i="20"/>
  <c r="Z20" i="20"/>
  <c r="E20" i="16"/>
  <c r="C20" i="16"/>
  <c r="E20" i="24"/>
  <c r="C20" i="24"/>
  <c r="BD144" i="61"/>
  <c r="DD78" i="61"/>
  <c r="DE78" i="61" s="1"/>
  <c r="DC78" i="61"/>
  <c r="AD44" i="26"/>
  <c r="A45" i="26"/>
  <c r="B45" i="26" s="1"/>
  <c r="B44" i="26"/>
  <c r="P43" i="27"/>
  <c r="Q43" i="27" s="1"/>
  <c r="O53" i="29"/>
  <c r="AC58" i="30"/>
  <c r="AC54" i="30"/>
  <c r="AD54" i="30" s="1"/>
  <c r="O57" i="30"/>
  <c r="O61" i="30"/>
  <c r="AD44" i="33"/>
  <c r="B45" i="35"/>
  <c r="O49" i="32"/>
  <c r="P43" i="33"/>
  <c r="Q43" i="33" s="1"/>
  <c r="B61" i="35"/>
  <c r="A66" i="35"/>
  <c r="A62" i="35"/>
  <c r="O69" i="32"/>
  <c r="P68" i="32"/>
  <c r="Q68" i="32" s="1"/>
  <c r="AD44" i="37"/>
  <c r="AC49" i="35"/>
  <c r="AD48" i="35"/>
  <c r="AC53" i="35"/>
  <c r="P39" i="37"/>
  <c r="P43" i="39"/>
  <c r="Q43" i="39" s="1"/>
  <c r="O61" i="41"/>
  <c r="O57" i="41"/>
  <c r="O48" i="40"/>
  <c r="P47" i="40"/>
  <c r="A50" i="46"/>
  <c r="B49" i="46"/>
  <c r="AD44" i="41"/>
  <c r="P43" i="44"/>
  <c r="Q43" i="44" s="1"/>
  <c r="AC74" i="46"/>
  <c r="AD73" i="46"/>
  <c r="AC78" i="46"/>
  <c r="A54" i="47"/>
  <c r="B53" i="47"/>
  <c r="O57" i="48"/>
  <c r="O61" i="48"/>
  <c r="A58" i="49"/>
  <c r="B57" i="49"/>
  <c r="A45" i="48"/>
  <c r="B45" i="48" s="1"/>
  <c r="P51" i="50"/>
  <c r="O56" i="50"/>
  <c r="O52" i="50"/>
  <c r="AC64" i="59"/>
  <c r="AC59" i="59"/>
  <c r="AD68" i="43"/>
  <c r="C6" i="4"/>
  <c r="C7" i="4"/>
  <c r="E6" i="4"/>
  <c r="C7" i="1"/>
  <c r="E6" i="1"/>
  <c r="C6" i="1"/>
  <c r="E6" i="2"/>
  <c r="C6" i="2"/>
  <c r="C7" i="2"/>
  <c r="E6" i="8"/>
  <c r="C6" i="8"/>
  <c r="C7" i="8"/>
  <c r="C6" i="16"/>
  <c r="E6" i="16"/>
  <c r="C7" i="16"/>
  <c r="E6" i="9"/>
  <c r="C6" i="9"/>
  <c r="C7" i="9"/>
  <c r="C6" i="17"/>
  <c r="E6" i="17"/>
  <c r="C7" i="17"/>
  <c r="C6" i="24"/>
  <c r="C7" i="24"/>
  <c r="E6" i="24"/>
  <c r="AS6" i="15"/>
  <c r="W6" i="15"/>
  <c r="Z6" i="15"/>
  <c r="W7" i="15"/>
  <c r="AS6" i="23"/>
  <c r="W6" i="23"/>
  <c r="Z6" i="23"/>
  <c r="W7" i="23"/>
  <c r="C7" i="15"/>
  <c r="E6" i="15"/>
  <c r="C6" i="15"/>
  <c r="C7" i="23"/>
  <c r="E6" i="23"/>
  <c r="C6" i="23"/>
  <c r="C6" i="53"/>
  <c r="C7" i="53"/>
  <c r="E6" i="53"/>
  <c r="DD64" i="61"/>
  <c r="DE64" i="61" s="1"/>
  <c r="DC64" i="61"/>
  <c r="W23" i="1"/>
  <c r="AS22" i="1"/>
  <c r="W22" i="1"/>
  <c r="Z22" i="1"/>
  <c r="W23" i="2"/>
  <c r="AS22" i="2"/>
  <c r="W22" i="2"/>
  <c r="Z22" i="2"/>
  <c r="AS22" i="3"/>
  <c r="W22" i="3"/>
  <c r="Z22" i="3"/>
  <c r="W23" i="3"/>
  <c r="C22" i="8"/>
  <c r="C23" i="8"/>
  <c r="E22" i="8"/>
  <c r="Z22" i="10"/>
  <c r="W23" i="10"/>
  <c r="AS22" i="10"/>
  <c r="W22" i="10"/>
  <c r="Z22" i="18"/>
  <c r="W23" i="18"/>
  <c r="AS22" i="18"/>
  <c r="W22" i="18"/>
  <c r="C22" i="10"/>
  <c r="E22" i="10"/>
  <c r="C23" i="10"/>
  <c r="C22" i="18"/>
  <c r="E22" i="18"/>
  <c r="C23" i="18"/>
  <c r="W23" i="24"/>
  <c r="Z22" i="24"/>
  <c r="W22" i="24"/>
  <c r="AS22" i="24"/>
  <c r="C23" i="15"/>
  <c r="E22" i="15"/>
  <c r="C22" i="15"/>
  <c r="C23" i="23"/>
  <c r="E22" i="23"/>
  <c r="C22" i="23"/>
  <c r="AS22" i="17"/>
  <c r="W22" i="17"/>
  <c r="Z22" i="17"/>
  <c r="W23" i="17"/>
  <c r="Z22" i="25"/>
  <c r="AS22" i="25"/>
  <c r="W22" i="25"/>
  <c r="W23" i="25"/>
  <c r="AS22" i="53"/>
  <c r="W23" i="53"/>
  <c r="Z22" i="53"/>
  <c r="W22" i="53"/>
  <c r="Z9" i="3"/>
  <c r="AS9" i="3"/>
  <c r="W9" i="3"/>
  <c r="C9" i="6"/>
  <c r="E9" i="6"/>
  <c r="Z9" i="1"/>
  <c r="AS9" i="1"/>
  <c r="W9" i="1"/>
  <c r="W9" i="7"/>
  <c r="AS9" i="7"/>
  <c r="Z9" i="7"/>
  <c r="C9" i="14"/>
  <c r="E9" i="14"/>
  <c r="C9" i="22"/>
  <c r="E9" i="22"/>
  <c r="C9" i="11"/>
  <c r="E9" i="11"/>
  <c r="C9" i="19"/>
  <c r="E9" i="19"/>
  <c r="E9" i="8"/>
  <c r="C9" i="8"/>
  <c r="E9" i="16"/>
  <c r="C9" i="16"/>
  <c r="AS9" i="11"/>
  <c r="W9" i="11"/>
  <c r="Z9" i="11"/>
  <c r="AS9" i="19"/>
  <c r="W9" i="19"/>
  <c r="Z9" i="19"/>
  <c r="E9" i="25"/>
  <c r="C9" i="25"/>
  <c r="E9" i="53"/>
  <c r="C9" i="53"/>
  <c r="Z25" i="3"/>
  <c r="AS25" i="3"/>
  <c r="W25" i="3"/>
  <c r="Z25" i="1"/>
  <c r="AS25" i="1"/>
  <c r="W25" i="1"/>
  <c r="Z25" i="7"/>
  <c r="W25" i="7"/>
  <c r="AS25" i="7"/>
  <c r="AS25" i="8"/>
  <c r="W25" i="8"/>
  <c r="Z25" i="8"/>
  <c r="Z25" i="16"/>
  <c r="AS25" i="16"/>
  <c r="W25" i="16"/>
  <c r="Z25" i="24"/>
  <c r="AS25" i="24"/>
  <c r="W25" i="24"/>
  <c r="C25" i="12"/>
  <c r="E25" i="12"/>
  <c r="C25" i="20"/>
  <c r="E25" i="20"/>
  <c r="AS25" i="10"/>
  <c r="W25" i="10"/>
  <c r="Z25" i="10"/>
  <c r="AS25" i="18"/>
  <c r="W25" i="18"/>
  <c r="Z25" i="18"/>
  <c r="AS25" i="11"/>
  <c r="W25" i="11"/>
  <c r="Z25" i="11"/>
  <c r="AS25" i="19"/>
  <c r="W25" i="19"/>
  <c r="Z25" i="19"/>
  <c r="E25" i="25"/>
  <c r="C25" i="25"/>
  <c r="C16" i="8"/>
  <c r="E16" i="8"/>
  <c r="Y16" i="6"/>
  <c r="AA16" i="6" s="1"/>
  <c r="AG16" i="6" s="1"/>
  <c r="AS16" i="6"/>
  <c r="W16" i="6"/>
  <c r="Z16" i="6"/>
  <c r="AS16" i="3"/>
  <c r="W16" i="3"/>
  <c r="Z16" i="3"/>
  <c r="Y16" i="3"/>
  <c r="AA16" i="3" s="1"/>
  <c r="AG16" i="3" s="1"/>
  <c r="C16" i="9"/>
  <c r="E16" i="9"/>
  <c r="C16" i="17"/>
  <c r="E16" i="17"/>
  <c r="AS16" i="7"/>
  <c r="W16" i="7"/>
  <c r="Z16" i="7"/>
  <c r="Y16" i="7"/>
  <c r="AA16" i="7" s="1"/>
  <c r="AG16" i="7" s="1"/>
  <c r="Y16" i="15"/>
  <c r="AA16" i="15" s="1"/>
  <c r="AG16" i="15" s="1"/>
  <c r="AS16" i="15"/>
  <c r="W16" i="15"/>
  <c r="Z16" i="15"/>
  <c r="Y16" i="23"/>
  <c r="AA16" i="23" s="1"/>
  <c r="AG16" i="23" s="1"/>
  <c r="AS16" i="23"/>
  <c r="W16" i="23"/>
  <c r="Z16" i="23"/>
  <c r="E16" i="15"/>
  <c r="C16" i="15"/>
  <c r="E16" i="23"/>
  <c r="C16" i="23"/>
  <c r="E16" i="16"/>
  <c r="C16" i="16"/>
  <c r="E16" i="24"/>
  <c r="C16" i="24"/>
  <c r="BD140" i="61"/>
  <c r="AB168" i="61"/>
  <c r="A168" i="61"/>
  <c r="AB82" i="61"/>
  <c r="CK42" i="61"/>
  <c r="CK17" i="61"/>
  <c r="CG17" i="61"/>
  <c r="CH17" i="61" s="1"/>
  <c r="CI17" i="61" s="1"/>
  <c r="B52" i="26"/>
  <c r="A53" i="26"/>
  <c r="A66" i="27"/>
  <c r="A62" i="27"/>
  <c r="B61" i="27"/>
  <c r="A58" i="32"/>
  <c r="B57" i="32"/>
  <c r="P39" i="26"/>
  <c r="O40" i="26"/>
  <c r="P43" i="26"/>
  <c r="Q43" i="26" s="1"/>
  <c r="O48" i="28"/>
  <c r="P47" i="28"/>
  <c r="A61" i="30"/>
  <c r="A57" i="30"/>
  <c r="A54" i="35"/>
  <c r="B53" i="35"/>
  <c r="A53" i="37"/>
  <c r="P43" i="40"/>
  <c r="Q43" i="40" s="1"/>
  <c r="O44" i="40"/>
  <c r="P51" i="37"/>
  <c r="O56" i="37"/>
  <c r="O52" i="37"/>
  <c r="O57" i="42"/>
  <c r="O61" i="42"/>
  <c r="P39" i="42"/>
  <c r="P47" i="43"/>
  <c r="O48" i="43"/>
  <c r="A50" i="43"/>
  <c r="B49" i="43"/>
  <c r="P39" i="44"/>
  <c r="A54" i="49"/>
  <c r="B53" i="49"/>
  <c r="B45" i="50"/>
  <c r="A53" i="59"/>
  <c r="AU155" i="61"/>
  <c r="T155" i="61"/>
  <c r="AU69" i="61"/>
  <c r="BH69" i="61"/>
  <c r="F69" i="61"/>
  <c r="CP4" i="61" s="1"/>
  <c r="F2" i="56"/>
  <c r="K186" i="61" s="1"/>
  <c r="I210" i="61" s="1"/>
  <c r="B8" i="59"/>
  <c r="AD58" i="59" s="1"/>
  <c r="B8" i="50"/>
  <c r="AD49" i="50" s="1"/>
  <c r="B8" i="49"/>
  <c r="AD53" i="49" s="1"/>
  <c r="B8" i="48"/>
  <c r="P44" i="48" s="1"/>
  <c r="B8" i="47"/>
  <c r="P40" i="47" s="1"/>
  <c r="B8" i="46"/>
  <c r="B8" i="45"/>
  <c r="AD53" i="45" s="1"/>
  <c r="B8" i="44"/>
  <c r="P44" i="44" s="1"/>
  <c r="B8" i="41"/>
  <c r="P56" i="41" s="1"/>
  <c r="B8" i="43"/>
  <c r="B8" i="42"/>
  <c r="P52" i="42" s="1"/>
  <c r="B8" i="38"/>
  <c r="P48" i="38" s="1"/>
  <c r="Q48" i="38" s="1"/>
  <c r="B8" i="37"/>
  <c r="B8" i="40"/>
  <c r="B8" i="39"/>
  <c r="P44" i="39" s="1"/>
  <c r="B8" i="35"/>
  <c r="P48" i="35" s="1"/>
  <c r="Q48" i="35" s="1"/>
  <c r="B8" i="34"/>
  <c r="AD49" i="34" s="1"/>
  <c r="B8" i="33"/>
  <c r="P44" i="33" s="1"/>
  <c r="B8" i="36"/>
  <c r="P48" i="36" s="1"/>
  <c r="Q48" i="36" s="1"/>
  <c r="B8" i="32"/>
  <c r="B50" i="32" s="1"/>
  <c r="B8" i="29"/>
  <c r="P56" i="29" s="1"/>
  <c r="B8" i="28"/>
  <c r="B8" i="31"/>
  <c r="P40" i="31" s="1"/>
  <c r="B8" i="27"/>
  <c r="AD53" i="27" s="1"/>
  <c r="B8" i="30"/>
  <c r="P52" i="30" s="1"/>
  <c r="B8" i="26"/>
  <c r="B1" i="21"/>
  <c r="Z18" i="5"/>
  <c r="W19" i="5"/>
  <c r="AS18" i="5"/>
  <c r="W18" i="5"/>
  <c r="C19" i="2"/>
  <c r="E18" i="2"/>
  <c r="C18" i="2"/>
  <c r="AS18" i="4"/>
  <c r="W18" i="4"/>
  <c r="Z18" i="4"/>
  <c r="W19" i="4"/>
  <c r="AS18" i="6"/>
  <c r="W18" i="6"/>
  <c r="W19" i="6"/>
  <c r="Z18" i="6"/>
  <c r="Z18" i="14"/>
  <c r="W19" i="14"/>
  <c r="AS18" i="14"/>
  <c r="W18" i="14"/>
  <c r="Z18" i="22"/>
  <c r="W19" i="22"/>
  <c r="AS18" i="22"/>
  <c r="W18" i="22"/>
  <c r="C18" i="14"/>
  <c r="E18" i="14"/>
  <c r="C19" i="14"/>
  <c r="C18" i="22"/>
  <c r="E18" i="22"/>
  <c r="C19" i="22"/>
  <c r="AS18" i="12"/>
  <c r="W18" i="12"/>
  <c r="Z18" i="12"/>
  <c r="W19" i="12"/>
  <c r="AS18" i="20"/>
  <c r="W18" i="20"/>
  <c r="Z18" i="20"/>
  <c r="W19" i="20"/>
  <c r="C19" i="16"/>
  <c r="E18" i="16"/>
  <c r="C18" i="16"/>
  <c r="W18" i="24"/>
  <c r="AS18" i="24"/>
  <c r="W19" i="24"/>
  <c r="Z18" i="24"/>
  <c r="AS5" i="2"/>
  <c r="W5" i="2"/>
  <c r="C5" i="2"/>
  <c r="E5" i="2"/>
  <c r="E5" i="3"/>
  <c r="C5" i="3"/>
  <c r="E5" i="4"/>
  <c r="AS5" i="11"/>
  <c r="W5" i="11"/>
  <c r="AS5" i="19"/>
  <c r="E5" i="11"/>
  <c r="E5" i="19"/>
  <c r="AS5" i="9"/>
  <c r="W5" i="9"/>
  <c r="Z5" i="9"/>
  <c r="AS5" i="17"/>
  <c r="W5" i="17"/>
  <c r="Z5" i="17"/>
  <c r="AS5" i="10"/>
  <c r="AS5" i="18"/>
  <c r="W5" i="18"/>
  <c r="AS5" i="25"/>
  <c r="Z5" i="25"/>
  <c r="E5" i="53"/>
  <c r="C5" i="53"/>
  <c r="E21" i="6"/>
  <c r="C21" i="6"/>
  <c r="E21" i="4"/>
  <c r="C21" i="4"/>
  <c r="AS21" i="2"/>
  <c r="W21" i="2"/>
  <c r="Z21" i="2"/>
  <c r="AS21" i="8"/>
  <c r="W21" i="8"/>
  <c r="Z21" i="8"/>
  <c r="Z21" i="16"/>
  <c r="AS21" i="16"/>
  <c r="W21" i="16"/>
  <c r="E21" i="8"/>
  <c r="C21" i="8"/>
  <c r="C21" i="16"/>
  <c r="E21" i="16"/>
  <c r="Z21" i="25"/>
  <c r="AS21" i="25"/>
  <c r="W21" i="25"/>
  <c r="AS21" i="14"/>
  <c r="W21" i="14"/>
  <c r="Z21" i="14"/>
  <c r="AS21" i="22"/>
  <c r="W21" i="22"/>
  <c r="Z21" i="22"/>
  <c r="E21" i="14"/>
  <c r="C21" i="14"/>
  <c r="E21" i="22"/>
  <c r="C21" i="22"/>
  <c r="Z12" i="1"/>
  <c r="AS12" i="1"/>
  <c r="W12" i="1"/>
  <c r="C12" i="8"/>
  <c r="E12" i="8"/>
  <c r="AS12" i="6"/>
  <c r="W12" i="6"/>
  <c r="Z12" i="6"/>
  <c r="E12" i="3"/>
  <c r="C12" i="3"/>
  <c r="C12" i="13"/>
  <c r="E12" i="13"/>
  <c r="C12" i="21"/>
  <c r="E12" i="21"/>
  <c r="C12" i="10"/>
  <c r="E12" i="10"/>
  <c r="C12" i="18"/>
  <c r="E12" i="18"/>
  <c r="AS12" i="8"/>
  <c r="W12" i="8"/>
  <c r="Z12" i="8"/>
  <c r="AS12" i="16"/>
  <c r="W12" i="16"/>
  <c r="Z12" i="16"/>
  <c r="E12" i="12"/>
  <c r="C12" i="12"/>
  <c r="E12" i="20"/>
  <c r="C12" i="20"/>
  <c r="C12" i="25"/>
  <c r="E12" i="25"/>
  <c r="AS12" i="53"/>
  <c r="W12" i="53"/>
  <c r="Z12" i="53"/>
  <c r="Z28" i="5"/>
  <c r="AC28" i="5"/>
  <c r="AC27" i="5" s="1"/>
  <c r="AC26" i="5" s="1"/>
  <c r="AC25" i="5" s="1"/>
  <c r="AC24" i="5" s="1"/>
  <c r="AC23" i="5" s="1"/>
  <c r="AC22" i="5" s="1"/>
  <c r="AC21" i="5" s="1"/>
  <c r="AC20" i="5" s="1"/>
  <c r="AC19" i="5" s="1"/>
  <c r="AC18" i="5" s="1"/>
  <c r="AC17" i="5" s="1"/>
  <c r="AS28" i="5"/>
  <c r="W28" i="5"/>
  <c r="C28" i="1"/>
  <c r="E28" i="1"/>
  <c r="E28" i="2"/>
  <c r="C28" i="2"/>
  <c r="AS28" i="6"/>
  <c r="W28" i="6"/>
  <c r="Z28" i="6"/>
  <c r="AC28" i="6"/>
  <c r="AC27" i="6" s="1"/>
  <c r="AC26" i="6" s="1"/>
  <c r="AC25" i="6" s="1"/>
  <c r="AC24" i="6" s="1"/>
  <c r="AC23" i="6" s="1"/>
  <c r="AC22" i="6" s="1"/>
  <c r="AC21" i="6" s="1"/>
  <c r="AC20" i="6" s="1"/>
  <c r="AC19" i="6" s="1"/>
  <c r="AC18" i="6" s="1"/>
  <c r="AC17" i="6" s="1"/>
  <c r="Z28" i="14"/>
  <c r="AC28" i="14"/>
  <c r="AC27" i="14" s="1"/>
  <c r="AC26" i="14" s="1"/>
  <c r="AC25" i="14" s="1"/>
  <c r="AC24" i="14" s="1"/>
  <c r="AC23" i="14" s="1"/>
  <c r="AC22" i="14" s="1"/>
  <c r="AC21" i="14" s="1"/>
  <c r="AC20" i="14" s="1"/>
  <c r="AC19" i="14" s="1"/>
  <c r="AC18" i="14" s="1"/>
  <c r="AC17" i="14" s="1"/>
  <c r="AS28" i="14"/>
  <c r="W28" i="14"/>
  <c r="Z28" i="22"/>
  <c r="AC28" i="22"/>
  <c r="AC27" i="22" s="1"/>
  <c r="AC26" i="22" s="1"/>
  <c r="AC25" i="22" s="1"/>
  <c r="AC24" i="22" s="1"/>
  <c r="AC23" i="22" s="1"/>
  <c r="AC22" i="22" s="1"/>
  <c r="AC21" i="22" s="1"/>
  <c r="AC20" i="22" s="1"/>
  <c r="AC19" i="22" s="1"/>
  <c r="AC18" i="22" s="1"/>
  <c r="AC17" i="22" s="1"/>
  <c r="AS28" i="22"/>
  <c r="W28" i="22"/>
  <c r="AC28" i="11"/>
  <c r="AC27" i="11" s="1"/>
  <c r="AC26" i="11" s="1"/>
  <c r="AC25" i="11" s="1"/>
  <c r="AC24" i="11" s="1"/>
  <c r="AC23" i="11" s="1"/>
  <c r="AC22" i="11" s="1"/>
  <c r="AC21" i="11" s="1"/>
  <c r="AC20" i="11" s="1"/>
  <c r="AC19" i="11" s="1"/>
  <c r="AC18" i="11" s="1"/>
  <c r="AC17" i="11" s="1"/>
  <c r="AS28" i="11"/>
  <c r="W28" i="11"/>
  <c r="Z28" i="11"/>
  <c r="AC28" i="19"/>
  <c r="AC27" i="19" s="1"/>
  <c r="AC26" i="19" s="1"/>
  <c r="AC25" i="19" s="1"/>
  <c r="AC24" i="19" s="1"/>
  <c r="AC23" i="19" s="1"/>
  <c r="AC22" i="19" s="1"/>
  <c r="AC21" i="19" s="1"/>
  <c r="AC20" i="19" s="1"/>
  <c r="AC19" i="19" s="1"/>
  <c r="AC18" i="19" s="1"/>
  <c r="AC17" i="19" s="1"/>
  <c r="AS28" i="19"/>
  <c r="W28" i="19"/>
  <c r="Z28" i="19"/>
  <c r="E28" i="11"/>
  <c r="C28" i="11"/>
  <c r="E28" i="19"/>
  <c r="C28" i="19"/>
  <c r="AS28" i="13"/>
  <c r="W28" i="13"/>
  <c r="Z28" i="13"/>
  <c r="AC28" i="13"/>
  <c r="AC27" i="13" s="1"/>
  <c r="AC26" i="13" s="1"/>
  <c r="AC25" i="13" s="1"/>
  <c r="AC24" i="13" s="1"/>
  <c r="AC23" i="13" s="1"/>
  <c r="AC22" i="13" s="1"/>
  <c r="AC21" i="13" s="1"/>
  <c r="AC20" i="13" s="1"/>
  <c r="AC19" i="13" s="1"/>
  <c r="AC18" i="13" s="1"/>
  <c r="AC17" i="13" s="1"/>
  <c r="AS28" i="21"/>
  <c r="W28" i="21"/>
  <c r="Z28" i="21"/>
  <c r="AC28" i="21"/>
  <c r="AC27" i="21" s="1"/>
  <c r="AC26" i="21" s="1"/>
  <c r="AC25" i="21" s="1"/>
  <c r="AC24" i="21" s="1"/>
  <c r="AC23" i="21" s="1"/>
  <c r="AC22" i="21" s="1"/>
  <c r="AC21" i="21" s="1"/>
  <c r="AC20" i="21" s="1"/>
  <c r="AC19" i="21" s="1"/>
  <c r="AC18" i="21" s="1"/>
  <c r="AC17" i="21" s="1"/>
  <c r="D2" i="66" l="1"/>
  <c r="A2" i="66" s="1"/>
  <c r="ES125" i="61"/>
  <c r="GE125" i="61"/>
  <c r="FB150" i="61"/>
  <c r="FB146" i="61"/>
  <c r="FB142" i="61"/>
  <c r="FB138" i="61"/>
  <c r="FB134" i="61"/>
  <c r="FB130" i="61"/>
  <c r="FB126" i="61"/>
  <c r="FB148" i="61"/>
  <c r="FB144" i="61"/>
  <c r="FB140" i="61"/>
  <c r="FB136" i="61"/>
  <c r="FB132" i="61"/>
  <c r="FB128" i="61"/>
  <c r="FB147" i="61"/>
  <c r="FB139" i="61"/>
  <c r="FB131" i="61"/>
  <c r="FB145" i="61"/>
  <c r="FB137" i="61"/>
  <c r="FB129" i="61"/>
  <c r="FB143" i="61"/>
  <c r="FB135" i="61"/>
  <c r="FB127" i="61"/>
  <c r="FB149" i="61"/>
  <c r="FB141" i="61"/>
  <c r="FB133" i="61"/>
  <c r="DP126" i="61"/>
  <c r="EH125" i="61"/>
  <c r="DP147" i="61"/>
  <c r="DP150" i="61"/>
  <c r="DP146" i="61"/>
  <c r="DP142" i="61"/>
  <c r="DP138" i="61"/>
  <c r="DP134" i="61"/>
  <c r="DP130" i="61"/>
  <c r="DP145" i="61"/>
  <c r="DP141" i="61"/>
  <c r="DP137" i="61"/>
  <c r="DP133" i="61"/>
  <c r="DP149" i="61"/>
  <c r="DP129" i="61"/>
  <c r="DP148" i="61"/>
  <c r="DP144" i="61"/>
  <c r="DP140" i="61"/>
  <c r="DP136" i="61"/>
  <c r="DP132" i="61"/>
  <c r="DP128" i="61"/>
  <c r="DP143" i="61"/>
  <c r="DP139" i="61"/>
  <c r="DP135" i="61"/>
  <c r="DP131" i="61"/>
  <c r="DP127" i="61"/>
  <c r="EI125" i="61"/>
  <c r="S29" i="7"/>
  <c r="BV88" i="61" s="1"/>
  <c r="S29" i="6"/>
  <c r="BW88" i="61" s="1"/>
  <c r="S12" i="2"/>
  <c r="CA71" i="61" s="1"/>
  <c r="S28" i="2"/>
  <c r="CA87" i="61" s="1"/>
  <c r="S11" i="2"/>
  <c r="CA70" i="61" s="1"/>
  <c r="S19" i="2"/>
  <c r="CA78" i="61" s="1"/>
  <c r="S17" i="2"/>
  <c r="CA76" i="61" s="1"/>
  <c r="S11" i="3"/>
  <c r="BZ70" i="61" s="1"/>
  <c r="B2" i="66"/>
  <c r="C619" i="66"/>
  <c r="C608" i="66"/>
  <c r="C585" i="66"/>
  <c r="C565" i="66"/>
  <c r="C523" i="66"/>
  <c r="C515" i="66"/>
  <c r="C504" i="66"/>
  <c r="C494" i="66"/>
  <c r="C482" i="66"/>
  <c r="C471" i="66"/>
  <c r="C462" i="66"/>
  <c r="C450" i="66"/>
  <c r="C439" i="66"/>
  <c r="C430" i="66"/>
  <c r="C418" i="66"/>
  <c r="C407" i="66"/>
  <c r="C398" i="66"/>
  <c r="C386" i="66"/>
  <c r="C375" i="66"/>
  <c r="C366" i="66"/>
  <c r="C351" i="66"/>
  <c r="C343" i="66"/>
  <c r="C334" i="66"/>
  <c r="C326" i="66"/>
  <c r="C303" i="66"/>
  <c r="C291" i="66"/>
  <c r="C281" i="66"/>
  <c r="C261" i="66"/>
  <c r="C248" i="66"/>
  <c r="C239" i="66"/>
  <c r="C625" i="66"/>
  <c r="C606" i="66"/>
  <c r="C592" i="66"/>
  <c r="C583" i="66"/>
  <c r="C573" i="66"/>
  <c r="C558" i="66"/>
  <c r="C544" i="66"/>
  <c r="C534" i="66"/>
  <c r="C526" i="66"/>
  <c r="C492" i="66"/>
  <c r="C460" i="66"/>
  <c r="C428" i="66"/>
  <c r="C396" i="66"/>
  <c r="C362" i="66"/>
  <c r="C319" i="66"/>
  <c r="C310" i="66"/>
  <c r="C294" i="66"/>
  <c r="C271" i="66"/>
  <c r="C262" i="66"/>
  <c r="C251" i="66"/>
  <c r="C621" i="66"/>
  <c r="C609" i="66"/>
  <c r="C593" i="66"/>
  <c r="C566" i="66"/>
  <c r="C548" i="66"/>
  <c r="C520" i="66"/>
  <c r="C511" i="66"/>
  <c r="C500" i="66"/>
  <c r="C488" i="66"/>
  <c r="C479" i="66"/>
  <c r="C467" i="66"/>
  <c r="C456" i="66"/>
  <c r="C447" i="66"/>
  <c r="C435" i="66"/>
  <c r="C424" i="66"/>
  <c r="C415" i="66"/>
  <c r="C403" i="66"/>
  <c r="C392" i="66"/>
  <c r="C383" i="66"/>
  <c r="C371" i="66"/>
  <c r="C363" i="66"/>
  <c r="C350" i="66"/>
  <c r="C342" i="66"/>
  <c r="C333" i="66"/>
  <c r="C325" i="66"/>
  <c r="C290" i="66"/>
  <c r="C275" i="66"/>
  <c r="C257" i="66"/>
  <c r="C245" i="66"/>
  <c r="C232" i="66"/>
  <c r="C222" i="66"/>
  <c r="C190" i="66"/>
  <c r="C182" i="66"/>
  <c r="C124" i="66"/>
  <c r="C612" i="66"/>
  <c r="C594" i="66"/>
  <c r="C584" i="66"/>
  <c r="C574" i="66"/>
  <c r="C559" i="66"/>
  <c r="C545" i="66"/>
  <c r="C536" i="66"/>
  <c r="C527" i="66"/>
  <c r="C498" i="66"/>
  <c r="C470" i="66"/>
  <c r="C438" i="66"/>
  <c r="C406" i="66"/>
  <c r="C374" i="66"/>
  <c r="C321" i="66"/>
  <c r="C314" i="66"/>
  <c r="C307" i="66"/>
  <c r="C297" i="66"/>
  <c r="C273" i="66"/>
  <c r="C263" i="66"/>
  <c r="C233" i="66"/>
  <c r="C218" i="66"/>
  <c r="C210" i="66"/>
  <c r="C201" i="66"/>
  <c r="C178" i="66"/>
  <c r="C167" i="66"/>
  <c r="C159" i="66"/>
  <c r="C148" i="66"/>
  <c r="C137" i="66"/>
  <c r="C129" i="66"/>
  <c r="C118" i="66"/>
  <c r="C110" i="66"/>
  <c r="C99" i="66"/>
  <c r="C88" i="66"/>
  <c r="C211" i="66"/>
  <c r="C175" i="66"/>
  <c r="C153" i="66"/>
  <c r="C136" i="66"/>
  <c r="C113" i="66"/>
  <c r="C81" i="66"/>
  <c r="C25" i="66"/>
  <c r="C224" i="66"/>
  <c r="C184" i="66"/>
  <c r="C115" i="66"/>
  <c r="C89" i="66"/>
  <c r="C209" i="66"/>
  <c r="C181" i="66"/>
  <c r="C164" i="66"/>
  <c r="C143" i="66"/>
  <c r="C122" i="66"/>
  <c r="C104" i="66"/>
  <c r="C82" i="66"/>
  <c r="C71" i="66"/>
  <c r="C63" i="66"/>
  <c r="C52" i="66"/>
  <c r="C41" i="66"/>
  <c r="C33" i="66"/>
  <c r="C22" i="66"/>
  <c r="C14" i="66"/>
  <c r="C3" i="66"/>
  <c r="C79" i="66"/>
  <c r="C51" i="66"/>
  <c r="C30" i="66"/>
  <c r="C59" i="66"/>
  <c r="C193" i="66"/>
  <c r="C139" i="66"/>
  <c r="C107" i="66"/>
  <c r="C75" i="66"/>
  <c r="C42" i="66"/>
  <c r="C77" i="66"/>
  <c r="C55" i="66"/>
  <c r="C32" i="66"/>
  <c r="C8" i="66"/>
  <c r="K12" i="66"/>
  <c r="K76" i="66"/>
  <c r="K2" i="66"/>
  <c r="K66" i="66"/>
  <c r="K143" i="66"/>
  <c r="K207" i="66"/>
  <c r="K271" i="66"/>
  <c r="K335" i="66"/>
  <c r="K399" i="66"/>
  <c r="K463" i="66"/>
  <c r="K527" i="66"/>
  <c r="K591" i="66"/>
  <c r="K115" i="66"/>
  <c r="K236" i="66"/>
  <c r="K300" i="66"/>
  <c r="K364" i="66"/>
  <c r="K428" i="66"/>
  <c r="K492" i="66"/>
  <c r="K556" i="66"/>
  <c r="K620" i="66"/>
  <c r="K184" i="66"/>
  <c r="K69" i="66"/>
  <c r="K133" i="66"/>
  <c r="K197" i="66"/>
  <c r="K273" i="66"/>
  <c r="K337" i="66"/>
  <c r="K401" i="66"/>
  <c r="K457" i="66"/>
  <c r="K513" i="66"/>
  <c r="K569" i="66"/>
  <c r="K75" i="66"/>
  <c r="K194" i="66"/>
  <c r="K266" i="66"/>
  <c r="K322" i="66"/>
  <c r="K386" i="66"/>
  <c r="K446" i="66"/>
  <c r="K506" i="66"/>
  <c r="K562" i="66"/>
  <c r="K626" i="66"/>
  <c r="K200" i="66"/>
  <c r="K64" i="66"/>
  <c r="K128" i="66"/>
  <c r="K54" i="66"/>
  <c r="K3" i="66"/>
  <c r="K179" i="66"/>
  <c r="K243" i="66"/>
  <c r="K307" i="66"/>
  <c r="K371" i="66"/>
  <c r="K435" i="66"/>
  <c r="K499" i="66"/>
  <c r="K563" i="66"/>
  <c r="K19" i="66"/>
  <c r="K190" i="66"/>
  <c r="K272" i="66"/>
  <c r="K336" i="66"/>
  <c r="K400" i="66"/>
  <c r="K464" i="66"/>
  <c r="K528" i="66"/>
  <c r="K592" i="66"/>
  <c r="K122" i="66"/>
  <c r="K25" i="66"/>
  <c r="K73" i="66"/>
  <c r="K137" i="66"/>
  <c r="K201" i="66"/>
  <c r="K261" i="66"/>
  <c r="K325" i="66"/>
  <c r="K389" i="66"/>
  <c r="K449" i="66"/>
  <c r="K517" i="66"/>
  <c r="K581" i="66"/>
  <c r="K91" i="66"/>
  <c r="K198" i="66"/>
  <c r="K270" i="66"/>
  <c r="K342" i="66"/>
  <c r="K406" i="66"/>
  <c r="K478" i="66"/>
  <c r="K538" i="66"/>
  <c r="K598" i="66"/>
  <c r="K140" i="66"/>
  <c r="K20" i="66"/>
  <c r="K84" i="66"/>
  <c r="K10" i="66"/>
  <c r="K74" i="66"/>
  <c r="K135" i="66"/>
  <c r="K199" i="66"/>
  <c r="K263" i="66"/>
  <c r="K327" i="66"/>
  <c r="K391" i="66"/>
  <c r="K455" i="66"/>
  <c r="K519" i="66"/>
  <c r="K583" i="66"/>
  <c r="K99" i="66"/>
  <c r="K228" i="66"/>
  <c r="K292" i="66"/>
  <c r="K356" i="66"/>
  <c r="K420" i="66"/>
  <c r="K484" i="66"/>
  <c r="K548" i="66"/>
  <c r="K612" i="66"/>
  <c r="K168" i="66"/>
  <c r="K41" i="66"/>
  <c r="K89" i="66"/>
  <c r="K157" i="66"/>
  <c r="K221" i="66"/>
  <c r="K281" i="66"/>
  <c r="K345" i="66"/>
  <c r="K409" i="66"/>
  <c r="K477" i="66"/>
  <c r="K553" i="66"/>
  <c r="K617" i="66"/>
  <c r="K170" i="66"/>
  <c r="K234" i="66"/>
  <c r="K294" i="66"/>
  <c r="K362" i="66"/>
  <c r="K422" i="66"/>
  <c r="K482" i="66"/>
  <c r="K554" i="66"/>
  <c r="K618" i="66"/>
  <c r="K180" i="66"/>
  <c r="K56" i="66"/>
  <c r="K120" i="66"/>
  <c r="K62" i="66"/>
  <c r="K139" i="66"/>
  <c r="K203" i="66"/>
  <c r="K267" i="66"/>
  <c r="K331" i="66"/>
  <c r="K395" i="66"/>
  <c r="K459" i="66"/>
  <c r="K523" i="66"/>
  <c r="K587" i="66"/>
  <c r="K110" i="66"/>
  <c r="K232" i="66"/>
  <c r="K296" i="66"/>
  <c r="K360" i="66"/>
  <c r="K424" i="66"/>
  <c r="K488" i="66"/>
  <c r="K552" i="66"/>
  <c r="K616" i="66"/>
  <c r="K176" i="66"/>
  <c r="K81" i="66"/>
  <c r="K145" i="66"/>
  <c r="K209" i="66"/>
  <c r="K269" i="66"/>
  <c r="K333" i="66"/>
  <c r="K397" i="66"/>
  <c r="K465" i="66"/>
  <c r="K533" i="66"/>
  <c r="K597" i="66"/>
  <c r="K146" i="66"/>
  <c r="K238" i="66"/>
  <c r="K286" i="66"/>
  <c r="K350" i="66"/>
  <c r="K414" i="66"/>
  <c r="K486" i="66"/>
  <c r="K558" i="66"/>
  <c r="K622" i="66"/>
  <c r="K188" i="66"/>
  <c r="C617" i="66"/>
  <c r="C605" i="66"/>
  <c r="C577" i="66"/>
  <c r="C555" i="66"/>
  <c r="C521" i="66"/>
  <c r="C512" i="66"/>
  <c r="C501" i="66"/>
  <c r="C489" i="66"/>
  <c r="C480" i="66"/>
  <c r="C468" i="66"/>
  <c r="C457" i="66"/>
  <c r="C448" i="66"/>
  <c r="C436" i="66"/>
  <c r="C425" i="66"/>
  <c r="C416" i="66"/>
  <c r="C404" i="66"/>
  <c r="C393" i="66"/>
  <c r="C384" i="66"/>
  <c r="C372" i="66"/>
  <c r="C364" i="66"/>
  <c r="C349" i="66"/>
  <c r="C340" i="66"/>
  <c r="C332" i="66"/>
  <c r="C324" i="66"/>
  <c r="C301" i="66"/>
  <c r="C289" i="66"/>
  <c r="C279" i="66"/>
  <c r="C258" i="66"/>
  <c r="C246" i="66"/>
  <c r="C236" i="66"/>
  <c r="C623" i="66"/>
  <c r="C599" i="66"/>
  <c r="C590" i="66"/>
  <c r="C581" i="66"/>
  <c r="C570" i="66"/>
  <c r="C556" i="66"/>
  <c r="C542" i="66"/>
  <c r="C532" i="66"/>
  <c r="C524" i="66"/>
  <c r="C490" i="66"/>
  <c r="C458" i="66"/>
  <c r="C426" i="66"/>
  <c r="C394" i="66"/>
  <c r="C360" i="66"/>
  <c r="C317" i="66"/>
  <c r="C306" i="66"/>
  <c r="C287" i="66"/>
  <c r="C269" i="66"/>
  <c r="C256" i="66"/>
  <c r="C237" i="66"/>
  <c r="C618" i="66"/>
  <c r="C607" i="66"/>
  <c r="C579" i="66"/>
  <c r="C563" i="66"/>
  <c r="C540" i="66"/>
  <c r="C518" i="66"/>
  <c r="C508" i="66"/>
  <c r="C497" i="66"/>
  <c r="C485" i="66"/>
  <c r="C477" i="66"/>
  <c r="C465" i="66"/>
  <c r="C453" i="66"/>
  <c r="C445" i="66"/>
  <c r="C433" i="66"/>
  <c r="C421" i="66"/>
  <c r="C413" i="66"/>
  <c r="C401" i="66"/>
  <c r="C389" i="66"/>
  <c r="C381" i="66"/>
  <c r="C369" i="66"/>
  <c r="C356" i="66"/>
  <c r="C348" i="66"/>
  <c r="C339" i="66"/>
  <c r="C331" i="66"/>
  <c r="C323" i="66"/>
  <c r="C282" i="66"/>
  <c r="C272" i="66"/>
  <c r="C254" i="66"/>
  <c r="C242" i="66"/>
  <c r="C229" i="66"/>
  <c r="C196" i="66"/>
  <c r="C188" i="66"/>
  <c r="C156" i="66"/>
  <c r="C626" i="66"/>
  <c r="C600" i="66"/>
  <c r="C591" i="66"/>
  <c r="C582" i="66"/>
  <c r="C572" i="66"/>
  <c r="C557" i="66"/>
  <c r="C543" i="66"/>
  <c r="C533" i="66"/>
  <c r="C525" i="66"/>
  <c r="C491" i="66"/>
  <c r="C459" i="66"/>
  <c r="C427" i="66"/>
  <c r="C395" i="66"/>
  <c r="C361" i="66"/>
  <c r="C320" i="66"/>
  <c r="C311" i="66"/>
  <c r="C305" i="66"/>
  <c r="C295" i="66"/>
  <c r="C270" i="66"/>
  <c r="C260" i="66"/>
  <c r="C230" i="66"/>
  <c r="C216" i="66"/>
  <c r="C207" i="66"/>
  <c r="C199" i="66"/>
  <c r="C176" i="66"/>
  <c r="C165" i="66"/>
  <c r="C157" i="66"/>
  <c r="C146" i="66"/>
  <c r="C135" i="66"/>
  <c r="C127" i="66"/>
  <c r="C116" i="66"/>
  <c r="C105" i="66"/>
  <c r="C97" i="66"/>
  <c r="C226" i="66"/>
  <c r="C204" i="66"/>
  <c r="C166" i="66"/>
  <c r="C149" i="66"/>
  <c r="C132" i="66"/>
  <c r="C108" i="66"/>
  <c r="C64" i="66"/>
  <c r="C15" i="66"/>
  <c r="C195" i="66"/>
  <c r="C171" i="66"/>
  <c r="C102" i="66"/>
  <c r="C60" i="66"/>
  <c r="C206" i="66"/>
  <c r="C177" i="66"/>
  <c r="C160" i="66"/>
  <c r="C134" i="66"/>
  <c r="C117" i="66"/>
  <c r="C96" i="66"/>
  <c r="C80" i="66"/>
  <c r="C69" i="66"/>
  <c r="C61" i="66"/>
  <c r="C50" i="66"/>
  <c r="C39" i="66"/>
  <c r="C31" i="66"/>
  <c r="C20" i="66"/>
  <c r="C9" i="66"/>
  <c r="C12" i="66"/>
  <c r="C70" i="66"/>
  <c r="C47" i="66"/>
  <c r="C23" i="66"/>
  <c r="C26" i="66"/>
  <c r="C189" i="66"/>
  <c r="C123" i="66"/>
  <c r="C98" i="66"/>
  <c r="C74" i="66"/>
  <c r="C11" i="66"/>
  <c r="C72" i="66"/>
  <c r="C53" i="66"/>
  <c r="C21" i="66"/>
  <c r="C2" i="66"/>
  <c r="K28" i="66"/>
  <c r="K92" i="66"/>
  <c r="K18" i="66"/>
  <c r="K82" i="66"/>
  <c r="K159" i="66"/>
  <c r="K223" i="66"/>
  <c r="K287" i="66"/>
  <c r="K351" i="66"/>
  <c r="K415" i="66"/>
  <c r="K479" i="66"/>
  <c r="K543" i="66"/>
  <c r="K607" i="66"/>
  <c r="K150" i="66"/>
  <c r="K252" i="66"/>
  <c r="K316" i="66"/>
  <c r="K380" i="66"/>
  <c r="K444" i="66"/>
  <c r="K508" i="66"/>
  <c r="K572" i="66"/>
  <c r="K47" i="66"/>
  <c r="K5" i="66"/>
  <c r="K93" i="66"/>
  <c r="K149" i="66"/>
  <c r="K213" i="66"/>
  <c r="K289" i="66"/>
  <c r="K353" i="66"/>
  <c r="K413" i="66"/>
  <c r="K469" i="66"/>
  <c r="K525" i="66"/>
  <c r="K589" i="66"/>
  <c r="K123" i="66"/>
  <c r="K218" i="66"/>
  <c r="K278" i="66"/>
  <c r="K338" i="66"/>
  <c r="K402" i="66"/>
  <c r="K458" i="66"/>
  <c r="K518" i="66"/>
  <c r="K578" i="66"/>
  <c r="K71" i="66"/>
  <c r="K16" i="66"/>
  <c r="K80" i="66"/>
  <c r="K6" i="66"/>
  <c r="K70" i="66"/>
  <c r="K131" i="66"/>
  <c r="K195" i="66"/>
  <c r="K259" i="66"/>
  <c r="K323" i="66"/>
  <c r="K387" i="66"/>
  <c r="K451" i="66"/>
  <c r="K515" i="66"/>
  <c r="K579" i="66"/>
  <c r="K83" i="66"/>
  <c r="K224" i="66"/>
  <c r="K288" i="66"/>
  <c r="K352" i="66"/>
  <c r="K416" i="66"/>
  <c r="K480" i="66"/>
  <c r="K544" i="66"/>
  <c r="K608" i="66"/>
  <c r="K160" i="66"/>
  <c r="K37" i="66"/>
  <c r="K85" i="66"/>
  <c r="K153" i="66"/>
  <c r="K217" i="66"/>
  <c r="K277" i="66"/>
  <c r="K341" i="66"/>
  <c r="K405" i="66"/>
  <c r="K473" i="66"/>
  <c r="K529" i="66"/>
  <c r="K593" i="66"/>
  <c r="K130" i="66"/>
  <c r="K210" i="66"/>
  <c r="K290" i="66"/>
  <c r="K358" i="66"/>
  <c r="K438" i="66"/>
  <c r="K494" i="66"/>
  <c r="K550" i="66"/>
  <c r="K614" i="66"/>
  <c r="K172" i="66"/>
  <c r="K36" i="66"/>
  <c r="K100" i="66"/>
  <c r="K26" i="66"/>
  <c r="K90" i="66"/>
  <c r="K151" i="66"/>
  <c r="K215" i="66"/>
  <c r="K279" i="66"/>
  <c r="K343" i="66"/>
  <c r="K407" i="66"/>
  <c r="K471" i="66"/>
  <c r="K535" i="66"/>
  <c r="K599" i="66"/>
  <c r="K134" i="66"/>
  <c r="K244" i="66"/>
  <c r="K308" i="66"/>
  <c r="K372" i="66"/>
  <c r="K436" i="66"/>
  <c r="K500" i="66"/>
  <c r="K564" i="66"/>
  <c r="K15" i="66"/>
  <c r="K208" i="66"/>
  <c r="K53" i="66"/>
  <c r="K109" i="66"/>
  <c r="K173" i="66"/>
  <c r="K237" i="66"/>
  <c r="K297" i="66"/>
  <c r="K361" i="66"/>
  <c r="K429" i="66"/>
  <c r="K493" i="66"/>
  <c r="K573" i="66"/>
  <c r="K43" i="66"/>
  <c r="K212" i="66"/>
  <c r="K246" i="66"/>
  <c r="K314" i="66"/>
  <c r="K378" i="66"/>
  <c r="K430" i="66"/>
  <c r="K498" i="66"/>
  <c r="K570" i="66"/>
  <c r="K39" i="66"/>
  <c r="K8" i="66"/>
  <c r="K72" i="66"/>
  <c r="K14" i="66"/>
  <c r="K78" i="66"/>
  <c r="K155" i="66"/>
  <c r="K219" i="66"/>
  <c r="K283" i="66"/>
  <c r="K347" i="66"/>
  <c r="K411" i="66"/>
  <c r="K475" i="66"/>
  <c r="K539" i="66"/>
  <c r="K603" i="66"/>
  <c r="K142" i="66"/>
  <c r="K248" i="66"/>
  <c r="K312" i="66"/>
  <c r="K376" i="66"/>
  <c r="K440" i="66"/>
  <c r="K504" i="66"/>
  <c r="K568" i="66"/>
  <c r="K31" i="66"/>
  <c r="K17" i="66"/>
  <c r="K101" i="66"/>
  <c r="K161" i="66"/>
  <c r="K225" i="66"/>
  <c r="K285" i="66"/>
  <c r="K349" i="66"/>
  <c r="K421" i="66"/>
  <c r="K481" i="66"/>
  <c r="K545" i="66"/>
  <c r="K609" i="66"/>
  <c r="K178" i="66"/>
  <c r="K250" i="66"/>
  <c r="K306" i="66"/>
  <c r="K366" i="66"/>
  <c r="K434" i="66"/>
  <c r="K502" i="66"/>
  <c r="K574" i="66"/>
  <c r="K55" i="66"/>
  <c r="C615" i="66"/>
  <c r="C603" i="66"/>
  <c r="C569" i="66"/>
  <c r="C549" i="66"/>
  <c r="C519" i="66"/>
  <c r="C509" i="66"/>
  <c r="C499" i="66"/>
  <c r="C487" i="66"/>
  <c r="C478" i="66"/>
  <c r="C466" i="66"/>
  <c r="C455" i="66"/>
  <c r="C446" i="66"/>
  <c r="C434" i="66"/>
  <c r="C423" i="66"/>
  <c r="C414" i="66"/>
  <c r="C402" i="66"/>
  <c r="C391" i="66"/>
  <c r="C382" i="66"/>
  <c r="C370" i="66"/>
  <c r="C355" i="66"/>
  <c r="C347" i="66"/>
  <c r="C338" i="66"/>
  <c r="C330" i="66"/>
  <c r="C322" i="66"/>
  <c r="C293" i="66"/>
  <c r="C284" i="66"/>
  <c r="C276" i="66"/>
  <c r="C255" i="66"/>
  <c r="C244" i="66"/>
  <c r="C223" i="66"/>
  <c r="C620" i="66"/>
  <c r="C597" i="66"/>
  <c r="C588" i="66"/>
  <c r="C578" i="66"/>
  <c r="C562" i="66"/>
  <c r="C552" i="66"/>
  <c r="C539" i="66"/>
  <c r="C530" i="66"/>
  <c r="C510" i="66"/>
  <c r="C476" i="66"/>
  <c r="C444" i="66"/>
  <c r="C412" i="66"/>
  <c r="C380" i="66"/>
  <c r="C358" i="66"/>
  <c r="C315" i="66"/>
  <c r="C298" i="66"/>
  <c r="C285" i="66"/>
  <c r="C267" i="66"/>
  <c r="C253" i="66"/>
  <c r="C234" i="66"/>
  <c r="C616" i="66"/>
  <c r="C604" i="66"/>
  <c r="C571" i="66"/>
  <c r="C553" i="66"/>
  <c r="C535" i="66"/>
  <c r="C516" i="66"/>
  <c r="C505" i="66"/>
  <c r="C495" i="66"/>
  <c r="C483" i="66"/>
  <c r="C472" i="66"/>
  <c r="C463" i="66"/>
  <c r="C451" i="66"/>
  <c r="C440" i="66"/>
  <c r="C431" i="66"/>
  <c r="C419" i="66"/>
  <c r="C408" i="66"/>
  <c r="C399" i="66"/>
  <c r="C387" i="66"/>
  <c r="C376" i="66"/>
  <c r="C367" i="66"/>
  <c r="C354" i="66"/>
  <c r="C346" i="66"/>
  <c r="C337" i="66"/>
  <c r="C329" i="66"/>
  <c r="C304" i="66"/>
  <c r="C280" i="66"/>
  <c r="C265" i="66"/>
  <c r="C249" i="66"/>
  <c r="C240" i="66"/>
  <c r="C228" i="66"/>
  <c r="C194" i="66"/>
  <c r="C185" i="66"/>
  <c r="C155" i="66"/>
  <c r="C624" i="66"/>
  <c r="C598" i="66"/>
  <c r="C589" i="66"/>
  <c r="C580" i="66"/>
  <c r="C564" i="66"/>
  <c r="C554" i="66"/>
  <c r="C541" i="66"/>
  <c r="C531" i="66"/>
  <c r="C514" i="66"/>
  <c r="C486" i="66"/>
  <c r="C454" i="66"/>
  <c r="C422" i="66"/>
  <c r="C390" i="66"/>
  <c r="C359" i="66"/>
  <c r="C318" i="66"/>
  <c r="C309" i="66"/>
  <c r="C300" i="66"/>
  <c r="C288" i="66"/>
  <c r="C268" i="66"/>
  <c r="C243" i="66"/>
  <c r="C225" i="66"/>
  <c r="C214" i="66"/>
  <c r="C205" i="66"/>
  <c r="C186" i="66"/>
  <c r="C174" i="66"/>
  <c r="C163" i="66"/>
  <c r="C152" i="66"/>
  <c r="C144" i="66"/>
  <c r="C133" i="66"/>
  <c r="C125" i="66"/>
  <c r="C114" i="66"/>
  <c r="C103" i="66"/>
  <c r="C95" i="66"/>
  <c r="C219" i="66"/>
  <c r="C200" i="66"/>
  <c r="C162" i="66"/>
  <c r="C145" i="66"/>
  <c r="C128" i="66"/>
  <c r="C100" i="66"/>
  <c r="C45" i="66"/>
  <c r="C6" i="66"/>
  <c r="C191" i="66"/>
  <c r="C140" i="66"/>
  <c r="C94" i="66"/>
  <c r="C217" i="66"/>
  <c r="C202" i="66"/>
  <c r="C173" i="66"/>
  <c r="C151" i="66"/>
  <c r="C130" i="66"/>
  <c r="C109" i="66"/>
  <c r="C86" i="66"/>
  <c r="C78" i="66"/>
  <c r="C67" i="66"/>
  <c r="C56" i="66"/>
  <c r="C48" i="66"/>
  <c r="C37" i="66"/>
  <c r="C29" i="66"/>
  <c r="C18" i="66"/>
  <c r="C7" i="66"/>
  <c r="C91" i="66"/>
  <c r="C66" i="66"/>
  <c r="C40" i="66"/>
  <c r="C19" i="66"/>
  <c r="C208" i="66"/>
  <c r="C172" i="66"/>
  <c r="C119" i="66"/>
  <c r="C90" i="66"/>
  <c r="C44" i="66"/>
  <c r="C10" i="66"/>
  <c r="C68" i="66"/>
  <c r="C49" i="66"/>
  <c r="C17" i="66"/>
  <c r="C58" i="66"/>
  <c r="K44" i="66"/>
  <c r="K108" i="66"/>
  <c r="K34" i="66"/>
  <c r="K98" i="66"/>
  <c r="K175" i="66"/>
  <c r="K239" i="66"/>
  <c r="K303" i="66"/>
  <c r="K367" i="66"/>
  <c r="K431" i="66"/>
  <c r="K495" i="66"/>
  <c r="K559" i="66"/>
  <c r="K623" i="66"/>
  <c r="K182" i="66"/>
  <c r="K268" i="66"/>
  <c r="K332" i="66"/>
  <c r="K396" i="66"/>
  <c r="K460" i="66"/>
  <c r="K524" i="66"/>
  <c r="K588" i="66"/>
  <c r="K111" i="66"/>
  <c r="K21" i="66"/>
  <c r="K105" i="66"/>
  <c r="K165" i="66"/>
  <c r="K229" i="66"/>
  <c r="K305" i="66"/>
  <c r="K369" i="66"/>
  <c r="K425" i="66"/>
  <c r="K485" i="66"/>
  <c r="K537" i="66"/>
  <c r="K601" i="66"/>
  <c r="K154" i="66"/>
  <c r="K230" i="66"/>
  <c r="K298" i="66"/>
  <c r="K354" i="66"/>
  <c r="K418" i="66"/>
  <c r="K474" i="66"/>
  <c r="K534" i="66"/>
  <c r="K594" i="66"/>
  <c r="K119" i="66"/>
  <c r="K32" i="66"/>
  <c r="K96" i="66"/>
  <c r="K22" i="66"/>
  <c r="K86" i="66"/>
  <c r="K147" i="66"/>
  <c r="K211" i="66"/>
  <c r="K275" i="66"/>
  <c r="K339" i="66"/>
  <c r="K403" i="66"/>
  <c r="K467" i="66"/>
  <c r="K531" i="66"/>
  <c r="K595" i="66"/>
  <c r="K126" i="66"/>
  <c r="K240" i="66"/>
  <c r="K304" i="66"/>
  <c r="K368" i="66"/>
  <c r="K432" i="66"/>
  <c r="K496" i="66"/>
  <c r="K560" i="66"/>
  <c r="K624" i="66"/>
  <c r="K192" i="66"/>
  <c r="K49" i="66"/>
  <c r="K97" i="66"/>
  <c r="K169" i="66"/>
  <c r="K233" i="66"/>
  <c r="K293" i="66"/>
  <c r="K357" i="66"/>
  <c r="K417" i="66"/>
  <c r="K489" i="66"/>
  <c r="K549" i="66"/>
  <c r="K613" i="66"/>
  <c r="K162" i="66"/>
  <c r="K222" i="66"/>
  <c r="K302" i="66"/>
  <c r="K374" i="66"/>
  <c r="K450" i="66"/>
  <c r="K510" i="66"/>
  <c r="K566" i="66"/>
  <c r="K23" i="66"/>
  <c r="K625" i="66"/>
  <c r="K52" i="66"/>
  <c r="K116" i="66"/>
  <c r="K42" i="66"/>
  <c r="K106" i="66"/>
  <c r="K167" i="66"/>
  <c r="K231" i="66"/>
  <c r="K295" i="66"/>
  <c r="K359" i="66"/>
  <c r="K423" i="66"/>
  <c r="K487" i="66"/>
  <c r="K551" i="66"/>
  <c r="K615" i="66"/>
  <c r="K166" i="66"/>
  <c r="K260" i="66"/>
  <c r="K324" i="66"/>
  <c r="K388" i="66"/>
  <c r="K452" i="66"/>
  <c r="K516" i="66"/>
  <c r="K580" i="66"/>
  <c r="K79" i="66"/>
  <c r="K13" i="66"/>
  <c r="K65" i="66"/>
  <c r="K125" i="66"/>
  <c r="K189" i="66"/>
  <c r="K249" i="66"/>
  <c r="K313" i="66"/>
  <c r="K377" i="66"/>
  <c r="K441" i="66"/>
  <c r="K521" i="66"/>
  <c r="K585" i="66"/>
  <c r="K107" i="66"/>
  <c r="K202" i="66"/>
  <c r="K258" i="66"/>
  <c r="K330" i="66"/>
  <c r="K394" i="66"/>
  <c r="K442" i="66"/>
  <c r="K526" i="66"/>
  <c r="K586" i="66"/>
  <c r="K103" i="66"/>
  <c r="K24" i="66"/>
  <c r="K88" i="66"/>
  <c r="K30" i="66"/>
  <c r="K94" i="66"/>
  <c r="K171" i="66"/>
  <c r="K235" i="66"/>
  <c r="K299" i="66"/>
  <c r="K363" i="66"/>
  <c r="K427" i="66"/>
  <c r="K491" i="66"/>
  <c r="K555" i="66"/>
  <c r="K619" i="66"/>
  <c r="K174" i="66"/>
  <c r="K264" i="66"/>
  <c r="K328" i="66"/>
  <c r="K392" i="66"/>
  <c r="K456" i="66"/>
  <c r="K520" i="66"/>
  <c r="K584" i="66"/>
  <c r="K95" i="66"/>
  <c r="K33" i="66"/>
  <c r="K113" i="66"/>
  <c r="K177" i="66"/>
  <c r="K241" i="66"/>
  <c r="K301" i="66"/>
  <c r="K365" i="66"/>
  <c r="K433" i="66"/>
  <c r="K497" i="66"/>
  <c r="K565" i="66"/>
  <c r="K59" i="66"/>
  <c r="K206" i="66"/>
  <c r="K262" i="66"/>
  <c r="K318" i="66"/>
  <c r="K382" i="66"/>
  <c r="K454" i="66"/>
  <c r="K514" i="66"/>
  <c r="K590" i="66"/>
  <c r="K114" i="66"/>
  <c r="C622" i="66"/>
  <c r="C610" i="66"/>
  <c r="C601" i="66"/>
  <c r="C567" i="66"/>
  <c r="C546" i="66"/>
  <c r="C517" i="66"/>
  <c r="C507" i="66"/>
  <c r="C496" i="66"/>
  <c r="C484" i="66"/>
  <c r="C473" i="66"/>
  <c r="C464" i="66"/>
  <c r="C452" i="66"/>
  <c r="C441" i="66"/>
  <c r="C432" i="66"/>
  <c r="C420" i="66"/>
  <c r="C409" i="66"/>
  <c r="C400" i="66"/>
  <c r="C388" i="66"/>
  <c r="C377" i="66"/>
  <c r="C368" i="66"/>
  <c r="C353" i="66"/>
  <c r="C345" i="66"/>
  <c r="C336" i="66"/>
  <c r="C328" i="66"/>
  <c r="C312" i="66"/>
  <c r="C292" i="66"/>
  <c r="C283" i="66"/>
  <c r="C274" i="66"/>
  <c r="C250" i="66"/>
  <c r="C241" i="66"/>
  <c r="C221" i="66"/>
  <c r="C613" i="66"/>
  <c r="C595" i="66"/>
  <c r="C586" i="66"/>
  <c r="C575" i="66"/>
  <c r="C560" i="66"/>
  <c r="C547" i="66"/>
  <c r="C537" i="66"/>
  <c r="C528" i="66"/>
  <c r="C502" i="66"/>
  <c r="C474" i="66"/>
  <c r="C442" i="66"/>
  <c r="C410" i="66"/>
  <c r="C378" i="66"/>
  <c r="C341" i="66"/>
  <c r="C313" i="66"/>
  <c r="C296" i="66"/>
  <c r="C277" i="66"/>
  <c r="C264" i="66"/>
  <c r="C252" i="66"/>
  <c r="C231" i="66"/>
  <c r="C611" i="66"/>
  <c r="C602" i="66"/>
  <c r="C568" i="66"/>
  <c r="C550" i="66"/>
  <c r="C522" i="66"/>
  <c r="C513" i="66"/>
  <c r="C503" i="66"/>
  <c r="C493" i="66"/>
  <c r="C481" i="66"/>
  <c r="C469" i="66"/>
  <c r="C461" i="66"/>
  <c r="C449" i="66"/>
  <c r="C437" i="66"/>
  <c r="C429" i="66"/>
  <c r="C417" i="66"/>
  <c r="C405" i="66"/>
  <c r="C397" i="66"/>
  <c r="C385" i="66"/>
  <c r="C373" i="66"/>
  <c r="C365" i="66"/>
  <c r="C352" i="66"/>
  <c r="C344" i="66"/>
  <c r="C335" i="66"/>
  <c r="C327" i="66"/>
  <c r="C302" i="66"/>
  <c r="C278" i="66"/>
  <c r="C259" i="66"/>
  <c r="C247" i="66"/>
  <c r="C238" i="66"/>
  <c r="C227" i="66"/>
  <c r="C192" i="66"/>
  <c r="C183" i="66"/>
  <c r="C154" i="66"/>
  <c r="C614" i="66"/>
  <c r="C596" i="66"/>
  <c r="C587" i="66"/>
  <c r="C576" i="66"/>
  <c r="C561" i="66"/>
  <c r="C551" i="66"/>
  <c r="C538" i="66"/>
  <c r="C529" i="66"/>
  <c r="C506" i="66"/>
  <c r="C475" i="66"/>
  <c r="C443" i="66"/>
  <c r="C411" i="66"/>
  <c r="C379" i="66"/>
  <c r="C357" i="66"/>
  <c r="C316" i="66"/>
  <c r="C308" i="66"/>
  <c r="C299" i="66"/>
  <c r="C286" i="66"/>
  <c r="C266" i="66"/>
  <c r="C235" i="66"/>
  <c r="C220" i="66"/>
  <c r="C212" i="66"/>
  <c r="C203" i="66"/>
  <c r="C180" i="66"/>
  <c r="C169" i="66"/>
  <c r="C161" i="66"/>
  <c r="C150" i="66"/>
  <c r="C142" i="66"/>
  <c r="C131" i="66"/>
  <c r="C120" i="66"/>
  <c r="C112" i="66"/>
  <c r="C101" i="66"/>
  <c r="C93" i="66"/>
  <c r="C215" i="66"/>
  <c r="C179" i="66"/>
  <c r="C158" i="66"/>
  <c r="C141" i="66"/>
  <c r="C121" i="66"/>
  <c r="C87" i="66"/>
  <c r="C34" i="66"/>
  <c r="C28" i="66"/>
  <c r="C187" i="66"/>
  <c r="C138" i="66"/>
  <c r="C92" i="66"/>
  <c r="C213" i="66"/>
  <c r="C198" i="66"/>
  <c r="C168" i="66"/>
  <c r="C147" i="66"/>
  <c r="C126" i="66"/>
  <c r="C106" i="66"/>
  <c r="C84" i="66"/>
  <c r="C73" i="66"/>
  <c r="C65" i="66"/>
  <c r="C54" i="66"/>
  <c r="C46" i="66"/>
  <c r="C35" i="66"/>
  <c r="C24" i="66"/>
  <c r="C16" i="66"/>
  <c r="C5" i="66"/>
  <c r="C85" i="66"/>
  <c r="C57" i="66"/>
  <c r="C36" i="66"/>
  <c r="C4" i="66"/>
  <c r="C197" i="66"/>
  <c r="C170" i="66"/>
  <c r="C111" i="66"/>
  <c r="C76" i="66"/>
  <c r="C43" i="66"/>
  <c r="C83" i="66"/>
  <c r="C62" i="66"/>
  <c r="C38" i="66"/>
  <c r="C13" i="66"/>
  <c r="C27" i="66"/>
  <c r="K60" i="66"/>
  <c r="K124" i="66"/>
  <c r="K50" i="66"/>
  <c r="K127" i="66"/>
  <c r="K191" i="66"/>
  <c r="K255" i="66"/>
  <c r="K319" i="66"/>
  <c r="K383" i="66"/>
  <c r="K447" i="66"/>
  <c r="K511" i="66"/>
  <c r="K575" i="66"/>
  <c r="K67" i="66"/>
  <c r="K220" i="66"/>
  <c r="K284" i="66"/>
  <c r="K348" i="66"/>
  <c r="K412" i="66"/>
  <c r="K476" i="66"/>
  <c r="K540" i="66"/>
  <c r="K604" i="66"/>
  <c r="K152" i="66"/>
  <c r="K45" i="66"/>
  <c r="K117" i="66"/>
  <c r="K181" i="66"/>
  <c r="K257" i="66"/>
  <c r="K321" i="66"/>
  <c r="K385" i="66"/>
  <c r="K445" i="66"/>
  <c r="K501" i="66"/>
  <c r="K557" i="66"/>
  <c r="K621" i="66"/>
  <c r="K186" i="66"/>
  <c r="K254" i="66"/>
  <c r="K310" i="66"/>
  <c r="K370" i="66"/>
  <c r="K426" i="66"/>
  <c r="K490" i="66"/>
  <c r="K546" i="66"/>
  <c r="K610" i="66"/>
  <c r="K164" i="66"/>
  <c r="K48" i="66"/>
  <c r="K112" i="66"/>
  <c r="K38" i="66"/>
  <c r="K102" i="66"/>
  <c r="K163" i="66"/>
  <c r="K227" i="66"/>
  <c r="K291" i="66"/>
  <c r="K355" i="66"/>
  <c r="K419" i="66"/>
  <c r="K483" i="66"/>
  <c r="K547" i="66"/>
  <c r="K611" i="66"/>
  <c r="K158" i="66"/>
  <c r="K256" i="66"/>
  <c r="K320" i="66"/>
  <c r="K384" i="66"/>
  <c r="K448" i="66"/>
  <c r="K512" i="66"/>
  <c r="K576" i="66"/>
  <c r="K63" i="66"/>
  <c r="K9" i="66"/>
  <c r="K61" i="66"/>
  <c r="K121" i="66"/>
  <c r="K185" i="66"/>
  <c r="K245" i="66"/>
  <c r="K309" i="66"/>
  <c r="K373" i="66"/>
  <c r="K437" i="66"/>
  <c r="K505" i="66"/>
  <c r="K561" i="66"/>
  <c r="K27" i="66"/>
  <c r="K196" i="66"/>
  <c r="K242" i="66"/>
  <c r="K326" i="66"/>
  <c r="K390" i="66"/>
  <c r="K462" i="66"/>
  <c r="K522" i="66"/>
  <c r="K582" i="66"/>
  <c r="K87" i="66"/>
  <c r="K4" i="66"/>
  <c r="K68" i="66"/>
  <c r="K132" i="66"/>
  <c r="K58" i="66"/>
  <c r="K7" i="66"/>
  <c r="K183" i="66"/>
  <c r="K247" i="66"/>
  <c r="K311" i="66"/>
  <c r="K375" i="66"/>
  <c r="K439" i="66"/>
  <c r="K503" i="66"/>
  <c r="K567" i="66"/>
  <c r="K35" i="66"/>
  <c r="K204" i="66"/>
  <c r="K276" i="66"/>
  <c r="K340" i="66"/>
  <c r="K404" i="66"/>
  <c r="K468" i="66"/>
  <c r="K532" i="66"/>
  <c r="K596" i="66"/>
  <c r="K136" i="66"/>
  <c r="K29" i="66"/>
  <c r="K77" i="66"/>
  <c r="K141" i="66"/>
  <c r="K205" i="66"/>
  <c r="K265" i="66"/>
  <c r="K329" i="66"/>
  <c r="K393" i="66"/>
  <c r="K461" i="66"/>
  <c r="K541" i="66"/>
  <c r="K605" i="66"/>
  <c r="K138" i="66"/>
  <c r="K214" i="66"/>
  <c r="K282" i="66"/>
  <c r="K346" i="66"/>
  <c r="K410" i="66"/>
  <c r="K466" i="66"/>
  <c r="K542" i="66"/>
  <c r="K602" i="66"/>
  <c r="K148" i="66"/>
  <c r="K40" i="66"/>
  <c r="K104" i="66"/>
  <c r="K46" i="66"/>
  <c r="K11" i="66"/>
  <c r="K187" i="66"/>
  <c r="K251" i="66"/>
  <c r="K315" i="66"/>
  <c r="K379" i="66"/>
  <c r="K443" i="66"/>
  <c r="K507" i="66"/>
  <c r="K571" i="66"/>
  <c r="K51" i="66"/>
  <c r="K216" i="66"/>
  <c r="K280" i="66"/>
  <c r="K344" i="66"/>
  <c r="K408" i="66"/>
  <c r="K472" i="66"/>
  <c r="K536" i="66"/>
  <c r="K600" i="66"/>
  <c r="K144" i="66"/>
  <c r="K57" i="66"/>
  <c r="K129" i="66"/>
  <c r="K193" i="66"/>
  <c r="K253" i="66"/>
  <c r="K317" i="66"/>
  <c r="K381" i="66"/>
  <c r="K453" i="66"/>
  <c r="K509" i="66"/>
  <c r="K577" i="66"/>
  <c r="K118" i="66"/>
  <c r="K226" i="66"/>
  <c r="K274" i="66"/>
  <c r="K334" i="66"/>
  <c r="K398" i="66"/>
  <c r="K470" i="66"/>
  <c r="K530" i="66"/>
  <c r="K606" i="66"/>
  <c r="K156" i="66"/>
  <c r="DC4" i="61"/>
  <c r="AT69" i="61"/>
  <c r="AT155" i="61"/>
  <c r="S155" i="61"/>
  <c r="S29" i="14"/>
  <c r="BO88" i="61" s="1"/>
  <c r="W44" i="32"/>
  <c r="AJ49" i="27"/>
  <c r="S15" i="3"/>
  <c r="BZ74" i="61" s="1"/>
  <c r="S14" i="2"/>
  <c r="CA73" i="61" s="1"/>
  <c r="S30" i="2"/>
  <c r="CA89" i="61" s="1"/>
  <c r="S29" i="22"/>
  <c r="BG88" i="61" s="1"/>
  <c r="I53" i="8"/>
  <c r="BG30" i="8"/>
  <c r="S17" i="3"/>
  <c r="BZ76" i="61" s="1"/>
  <c r="W5" i="19"/>
  <c r="B44" i="48"/>
  <c r="Z5" i="10"/>
  <c r="B52" i="37"/>
  <c r="S29" i="18"/>
  <c r="BK88" i="61" s="1"/>
  <c r="S29" i="10"/>
  <c r="BS88" i="61" s="1"/>
  <c r="S19" i="3"/>
  <c r="BZ78" i="61" s="1"/>
  <c r="S12" i="3"/>
  <c r="BZ71" i="61" s="1"/>
  <c r="S14" i="3"/>
  <c r="BZ73" i="61" s="1"/>
  <c r="S13" i="2"/>
  <c r="CA72" i="61" s="1"/>
  <c r="S29" i="2"/>
  <c r="CA88" i="61" s="1"/>
  <c r="S15" i="2"/>
  <c r="CA74" i="61" s="1"/>
  <c r="AD118" i="43"/>
  <c r="AD114" i="43"/>
  <c r="BG30" i="9"/>
  <c r="I53" i="9"/>
  <c r="AD113" i="43"/>
  <c r="AD109" i="43"/>
  <c r="AD54" i="36"/>
  <c r="S29" i="11"/>
  <c r="BR88" i="61" s="1"/>
  <c r="S29" i="3"/>
  <c r="BZ88" i="61" s="1"/>
  <c r="S33" i="2"/>
  <c r="CA92" i="61" s="1"/>
  <c r="DB4" i="61"/>
  <c r="AS69" i="61"/>
  <c r="R155" i="61"/>
  <c r="AS155" i="61"/>
  <c r="S16" i="3"/>
  <c r="BZ75" i="61" s="1"/>
  <c r="S32" i="3"/>
  <c r="BZ91" i="61" s="1"/>
  <c r="S24" i="3"/>
  <c r="BZ83" i="61" s="1"/>
  <c r="P45" i="36"/>
  <c r="CP125" i="61"/>
  <c r="CW125" i="61"/>
  <c r="DE125" i="61"/>
  <c r="DM125" i="61"/>
  <c r="CS125" i="61"/>
  <c r="DA125" i="61"/>
  <c r="DI125" i="61"/>
  <c r="CV125" i="61"/>
  <c r="DL125" i="61"/>
  <c r="CZ125" i="61"/>
  <c r="DD125" i="61"/>
  <c r="CR125" i="61"/>
  <c r="DH125" i="61"/>
  <c r="DB125" i="61"/>
  <c r="DC125" i="61"/>
  <c r="DN125" i="61"/>
  <c r="CX125" i="61"/>
  <c r="DK125" i="61"/>
  <c r="CU125" i="61"/>
  <c r="DF125" i="61"/>
  <c r="CQ125" i="61"/>
  <c r="CY125" i="61"/>
  <c r="DJ125" i="61"/>
  <c r="CT125" i="61"/>
  <c r="DG125" i="61"/>
  <c r="Z5" i="24"/>
  <c r="AE4" i="61"/>
  <c r="BD141" i="61"/>
  <c r="A12" i="64"/>
  <c r="AH45" i="32"/>
  <c r="AJ50" i="33"/>
  <c r="B48" i="45"/>
  <c r="AD54" i="37"/>
  <c r="AH54" i="37" s="1"/>
  <c r="AL44" i="35"/>
  <c r="AA45" i="48"/>
  <c r="AO45" i="48" s="1"/>
  <c r="B52" i="30"/>
  <c r="B56" i="30"/>
  <c r="AD74" i="46"/>
  <c r="AH45" i="35"/>
  <c r="W44" i="48"/>
  <c r="AL44" i="44"/>
  <c r="B62" i="59"/>
  <c r="B56" i="45"/>
  <c r="P45" i="27"/>
  <c r="AD54" i="39"/>
  <c r="AH55" i="39" s="1"/>
  <c r="B44" i="43"/>
  <c r="BD148" i="61"/>
  <c r="BD145" i="61"/>
  <c r="AJ49" i="31"/>
  <c r="B48" i="36"/>
  <c r="BD129" i="61"/>
  <c r="S6" i="53"/>
  <c r="BG5" i="22"/>
  <c r="BG5" i="18"/>
  <c r="BG5" i="14"/>
  <c r="BG5" i="10"/>
  <c r="BG5" i="6"/>
  <c r="BG5" i="2"/>
  <c r="S5" i="23"/>
  <c r="S5" i="19"/>
  <c r="S5" i="15"/>
  <c r="S5" i="11"/>
  <c r="S5" i="7"/>
  <c r="S5" i="3"/>
  <c r="CQ61" i="61"/>
  <c r="DE61" i="61"/>
  <c r="BG5" i="25"/>
  <c r="BG5" i="21"/>
  <c r="BG5" i="17"/>
  <c r="BG5" i="13"/>
  <c r="BG5" i="9"/>
  <c r="BG5" i="5"/>
  <c r="BG5" i="1"/>
  <c r="S5" i="22"/>
  <c r="S5" i="18"/>
  <c r="S5" i="14"/>
  <c r="S5" i="10"/>
  <c r="S5" i="6"/>
  <c r="S5" i="2"/>
  <c r="BA35" i="61"/>
  <c r="BD63" i="61" s="1"/>
  <c r="CY71" i="61"/>
  <c r="CZ71" i="61" s="1"/>
  <c r="CY69" i="61"/>
  <c r="CZ69" i="61" s="1"/>
  <c r="BG5" i="24"/>
  <c r="BG5" i="20"/>
  <c r="BG5" i="16"/>
  <c r="BG5" i="12"/>
  <c r="BG5" i="8"/>
  <c r="BG5" i="4"/>
  <c r="S5" i="25"/>
  <c r="S5" i="21"/>
  <c r="S5" i="17"/>
  <c r="S5" i="13"/>
  <c r="S5" i="9"/>
  <c r="S5" i="5"/>
  <c r="S5" i="1"/>
  <c r="BG6" i="53"/>
  <c r="BG5" i="23"/>
  <c r="BG5" i="19"/>
  <c r="BG5" i="15"/>
  <c r="BG5" i="11"/>
  <c r="BG5" i="7"/>
  <c r="BG5" i="3"/>
  <c r="S5" i="24"/>
  <c r="S5" i="20"/>
  <c r="S5" i="16"/>
  <c r="S5" i="12"/>
  <c r="S5" i="8"/>
  <c r="S5" i="4"/>
  <c r="BI36" i="61"/>
  <c r="A13" i="64" s="1"/>
  <c r="CW62" i="61"/>
  <c r="CX62" i="61" s="1"/>
  <c r="CW78" i="61"/>
  <c r="CX78" i="61" s="1"/>
  <c r="CY68" i="61"/>
  <c r="CZ68" i="61" s="1"/>
  <c r="CW66" i="61"/>
  <c r="CX66" i="61" s="1"/>
  <c r="CR61" i="61"/>
  <c r="CW69" i="61"/>
  <c r="CX69" i="61" s="1"/>
  <c r="CW65" i="61"/>
  <c r="CX65" i="61" s="1"/>
  <c r="CW68" i="61"/>
  <c r="CX68" i="61" s="1"/>
  <c r="CW71" i="61"/>
  <c r="CX71" i="61" s="1"/>
  <c r="CW77" i="61"/>
  <c r="CX77" i="61" s="1"/>
  <c r="CY63" i="61"/>
  <c r="CZ63" i="61" s="1"/>
  <c r="CW79" i="61"/>
  <c r="CX79" i="61" s="1"/>
  <c r="CW63" i="61"/>
  <c r="CX63" i="61" s="1"/>
  <c r="CY65" i="61"/>
  <c r="CZ65" i="61" s="1"/>
  <c r="CW76" i="61"/>
  <c r="CX76" i="61" s="1"/>
  <c r="CY70" i="61"/>
  <c r="CZ70" i="61" s="1"/>
  <c r="CW67" i="61"/>
  <c r="CX67" i="61" s="1"/>
  <c r="CY62" i="61"/>
  <c r="CZ62" i="61" s="1"/>
  <c r="CW64" i="61"/>
  <c r="CX64" i="61" s="1"/>
  <c r="CW70" i="61"/>
  <c r="CX70" i="61" s="1"/>
  <c r="CY67" i="61"/>
  <c r="CZ67" i="61" s="1"/>
  <c r="CY66" i="61"/>
  <c r="CZ66" i="61" s="1"/>
  <c r="CY64" i="61"/>
  <c r="CZ64" i="61" s="1"/>
  <c r="W5" i="8"/>
  <c r="BD146" i="61"/>
  <c r="C37" i="61"/>
  <c r="B14" i="51" s="1"/>
  <c r="C38" i="61"/>
  <c r="B15" i="51" s="1"/>
  <c r="AA45" i="32"/>
  <c r="AO45" i="32" s="1"/>
  <c r="AD59" i="59"/>
  <c r="P45" i="30"/>
  <c r="AH45" i="44"/>
  <c r="B48" i="37"/>
  <c r="P45" i="33"/>
  <c r="AL45" i="48"/>
  <c r="AJ50" i="32"/>
  <c r="AL45" i="29"/>
  <c r="AL44" i="29"/>
  <c r="AH45" i="27"/>
  <c r="BG30" i="12"/>
  <c r="I53" i="12"/>
  <c r="AP155" i="61"/>
  <c r="O155" i="61"/>
  <c r="AP69" i="61"/>
  <c r="N155" i="61"/>
  <c r="AO155" i="61"/>
  <c r="AO69" i="61"/>
  <c r="AD98" i="43"/>
  <c r="AD94" i="43"/>
  <c r="I53" i="13"/>
  <c r="BG30" i="13"/>
  <c r="AD93" i="43"/>
  <c r="AD89" i="43"/>
  <c r="AI87" i="43" s="1"/>
  <c r="B52" i="46"/>
  <c r="AH44" i="48"/>
  <c r="AL45" i="27"/>
  <c r="AL44" i="48"/>
  <c r="AH44" i="27"/>
  <c r="B52" i="59"/>
  <c r="B44" i="45"/>
  <c r="B56" i="36"/>
  <c r="B44" i="36"/>
  <c r="AJ50" i="30"/>
  <c r="B56" i="39"/>
  <c r="AD54" i="26"/>
  <c r="AL55" i="26" s="1"/>
  <c r="AD54" i="34"/>
  <c r="AH44" i="29"/>
  <c r="AJ50" i="36"/>
  <c r="BD132" i="61"/>
  <c r="BD136" i="61"/>
  <c r="Z5" i="16"/>
  <c r="Z5" i="1"/>
  <c r="AD54" i="49"/>
  <c r="AH55" i="49" s="1"/>
  <c r="AD54" i="28"/>
  <c r="AH54" i="28" s="1"/>
  <c r="AD54" i="45"/>
  <c r="S21" i="2"/>
  <c r="CA80" i="61" s="1"/>
  <c r="P56" i="42"/>
  <c r="AD54" i="48"/>
  <c r="S33" i="3"/>
  <c r="BZ92" i="61" s="1"/>
  <c r="S16" i="2"/>
  <c r="CA75" i="61" s="1"/>
  <c r="S32" i="2"/>
  <c r="CA91" i="61" s="1"/>
  <c r="S21" i="3"/>
  <c r="BZ80" i="61" s="1"/>
  <c r="S26" i="3"/>
  <c r="BZ85" i="61" s="1"/>
  <c r="S22" i="2"/>
  <c r="CA81" i="61" s="1"/>
  <c r="S28" i="3"/>
  <c r="BZ87" i="61" s="1"/>
  <c r="S25" i="3"/>
  <c r="BZ84" i="61" s="1"/>
  <c r="S30" i="3"/>
  <c r="BZ89" i="61" s="1"/>
  <c r="S24" i="2"/>
  <c r="CA83" i="61" s="1"/>
  <c r="S26" i="2"/>
  <c r="CA85" i="61" s="1"/>
  <c r="S23" i="2"/>
  <c r="CA82" i="61" s="1"/>
  <c r="S23" i="3"/>
  <c r="BZ82" i="61" s="1"/>
  <c r="S13" i="3"/>
  <c r="BZ72" i="61" s="1"/>
  <c r="S18" i="3"/>
  <c r="BZ77" i="61" s="1"/>
  <c r="S27" i="2"/>
  <c r="CA86" i="61" s="1"/>
  <c r="S27" i="3"/>
  <c r="BZ86" i="61" s="1"/>
  <c r="S22" i="3"/>
  <c r="BZ81" i="61" s="1"/>
  <c r="S18" i="2"/>
  <c r="CA77" i="61" s="1"/>
  <c r="S31" i="2"/>
  <c r="CA90" i="61" s="1"/>
  <c r="AI47" i="50"/>
  <c r="AL49" i="50"/>
  <c r="AH49" i="50"/>
  <c r="AL50" i="50"/>
  <c r="AH50" i="50"/>
  <c r="AJ54" i="27"/>
  <c r="AJ55" i="27"/>
  <c r="C49" i="32"/>
  <c r="AA50" i="35"/>
  <c r="AO50" i="35" s="1"/>
  <c r="W50" i="35"/>
  <c r="AA49" i="35"/>
  <c r="AO49" i="35" s="1"/>
  <c r="W49" i="35"/>
  <c r="AA50" i="38"/>
  <c r="AO50" i="38" s="1"/>
  <c r="W50" i="38"/>
  <c r="AA49" i="38"/>
  <c r="AO49" i="38" s="1"/>
  <c r="W49" i="38"/>
  <c r="W60" i="32"/>
  <c r="AA59" i="32"/>
  <c r="AO59" i="32" s="1"/>
  <c r="AA60" i="32"/>
  <c r="AO60" i="32" s="1"/>
  <c r="W59" i="32"/>
  <c r="AA50" i="36"/>
  <c r="AO50" i="36" s="1"/>
  <c r="W50" i="36"/>
  <c r="AA49" i="36"/>
  <c r="AO49" i="36" s="1"/>
  <c r="W49" i="36"/>
  <c r="AJ55" i="45"/>
  <c r="AJ54" i="45"/>
  <c r="AJ54" i="49"/>
  <c r="AJ55" i="49"/>
  <c r="BE134" i="61"/>
  <c r="P40" i="28"/>
  <c r="AD53" i="40"/>
  <c r="P40" i="40"/>
  <c r="AD49" i="40"/>
  <c r="AD53" i="46"/>
  <c r="AD49" i="46"/>
  <c r="F155" i="61"/>
  <c r="AG155" i="61"/>
  <c r="AG69" i="61"/>
  <c r="A55" i="49"/>
  <c r="B55" i="49" s="1"/>
  <c r="B54" i="49"/>
  <c r="O53" i="37"/>
  <c r="P52" i="37"/>
  <c r="A55" i="35"/>
  <c r="B55" i="35" s="1"/>
  <c r="B54" i="35"/>
  <c r="AL60" i="59"/>
  <c r="AL59" i="59"/>
  <c r="O62" i="48"/>
  <c r="P61" i="48"/>
  <c r="O66" i="48"/>
  <c r="AJ75" i="46"/>
  <c r="AJ74" i="46"/>
  <c r="P40" i="33"/>
  <c r="B62" i="35"/>
  <c r="A63" i="35"/>
  <c r="P48" i="32"/>
  <c r="Q48" i="32" s="1"/>
  <c r="O62" i="30"/>
  <c r="P61" i="30"/>
  <c r="O66" i="30"/>
  <c r="AL55" i="30"/>
  <c r="AH55" i="30"/>
  <c r="AL54" i="30"/>
  <c r="AH54" i="30"/>
  <c r="AA45" i="27"/>
  <c r="AO45" i="27" s="1"/>
  <c r="W45" i="27"/>
  <c r="AA44" i="27"/>
  <c r="AO44" i="27" s="1"/>
  <c r="W44" i="27"/>
  <c r="BT63" i="61"/>
  <c r="AS63" i="61"/>
  <c r="BT62" i="61"/>
  <c r="AS62" i="61"/>
  <c r="AR61" i="61"/>
  <c r="AR60" i="61"/>
  <c r="BU59" i="61"/>
  <c r="AR63" i="61"/>
  <c r="AR62" i="61"/>
  <c r="AS59" i="61"/>
  <c r="BT57" i="61"/>
  <c r="AS57" i="61"/>
  <c r="BT55" i="61"/>
  <c r="AS55" i="61"/>
  <c r="BT54" i="61"/>
  <c r="AS54" i="61"/>
  <c r="BT53" i="61"/>
  <c r="AS53" i="61"/>
  <c r="BT52" i="61"/>
  <c r="AS52" i="61"/>
  <c r="BT51" i="61"/>
  <c r="AS51" i="61"/>
  <c r="BT50" i="61"/>
  <c r="AS50" i="61"/>
  <c r="BU49" i="61"/>
  <c r="AR47" i="61"/>
  <c r="AR46" i="61"/>
  <c r="BT45" i="61"/>
  <c r="AS45" i="61"/>
  <c r="BU44" i="61"/>
  <c r="AR42" i="61"/>
  <c r="BT41" i="61"/>
  <c r="AS41" i="61"/>
  <c r="AR40" i="61"/>
  <c r="BU62" i="61"/>
  <c r="BU61" i="61"/>
  <c r="AS61" i="61"/>
  <c r="BT59" i="61"/>
  <c r="AR59" i="61"/>
  <c r="BU58" i="61"/>
  <c r="AR57" i="61"/>
  <c r="BU56" i="61"/>
  <c r="AR55" i="61"/>
  <c r="AR54" i="61"/>
  <c r="AR53" i="61"/>
  <c r="AR52" i="61"/>
  <c r="AR51" i="61"/>
  <c r="AR50" i="61"/>
  <c r="BT49" i="61"/>
  <c r="AS49" i="61"/>
  <c r="BU48" i="61"/>
  <c r="AR45" i="61"/>
  <c r="BT44" i="61"/>
  <c r="AS44" i="61"/>
  <c r="BU43" i="61"/>
  <c r="AR41" i="61"/>
  <c r="BU39" i="61"/>
  <c r="BT61" i="61"/>
  <c r="BU60" i="61"/>
  <c r="AS60" i="61"/>
  <c r="BT58" i="61"/>
  <c r="AS58" i="61"/>
  <c r="BT56" i="61"/>
  <c r="AS56" i="61"/>
  <c r="AR49" i="61"/>
  <c r="BT48" i="61"/>
  <c r="AS48" i="61"/>
  <c r="BU47" i="61"/>
  <c r="BU46" i="61"/>
  <c r="AR44" i="61"/>
  <c r="BT43" i="61"/>
  <c r="AS43" i="61"/>
  <c r="BU42" i="61"/>
  <c r="BU40" i="61"/>
  <c r="BT39" i="61"/>
  <c r="AS39" i="61"/>
  <c r="BU63" i="61"/>
  <c r="BT60" i="61"/>
  <c r="AR58" i="61"/>
  <c r="BU57" i="61"/>
  <c r="AR56" i="61"/>
  <c r="BU55" i="61"/>
  <c r="BU54" i="61"/>
  <c r="BU53" i="61"/>
  <c r="BU52" i="61"/>
  <c r="BU51" i="61"/>
  <c r="BU50" i="61"/>
  <c r="AR48" i="61"/>
  <c r="BT47" i="61"/>
  <c r="AS47" i="61"/>
  <c r="BT46" i="61"/>
  <c r="AS46" i="61"/>
  <c r="BU45" i="61"/>
  <c r="AR43" i="61"/>
  <c r="BT42" i="61"/>
  <c r="AS42" i="61"/>
  <c r="BU41" i="61"/>
  <c r="BT40" i="61"/>
  <c r="AS40" i="61"/>
  <c r="AR39" i="61"/>
  <c r="S4" i="53"/>
  <c r="BG4" i="53"/>
  <c r="K2" i="51"/>
  <c r="S3" i="25"/>
  <c r="BG3" i="24"/>
  <c r="S3" i="21"/>
  <c r="BG3" i="20"/>
  <c r="S3" i="17"/>
  <c r="BG3" i="16"/>
  <c r="S3" i="13"/>
  <c r="BG3" i="12"/>
  <c r="S3" i="24"/>
  <c r="BG3" i="23"/>
  <c r="S3" i="20"/>
  <c r="BG3" i="19"/>
  <c r="S3" i="16"/>
  <c r="BG3" i="15"/>
  <c r="S3" i="12"/>
  <c r="BG3" i="11"/>
  <c r="BG3" i="25"/>
  <c r="S3" i="23"/>
  <c r="BG3" i="22"/>
  <c r="S3" i="19"/>
  <c r="BG3" i="18"/>
  <c r="S3" i="15"/>
  <c r="BG3" i="14"/>
  <c r="S3" i="11"/>
  <c r="BG3" i="10"/>
  <c r="S3" i="22"/>
  <c r="BG3" i="21"/>
  <c r="S3" i="18"/>
  <c r="BG3" i="17"/>
  <c r="S3" i="14"/>
  <c r="BG3" i="13"/>
  <c r="S3" i="10"/>
  <c r="BG3" i="9"/>
  <c r="S3" i="9"/>
  <c r="S3" i="4"/>
  <c r="BG3" i="3"/>
  <c r="BG3" i="7"/>
  <c r="BG3" i="6"/>
  <c r="S3" i="3"/>
  <c r="BG3" i="2"/>
  <c r="BG3" i="8"/>
  <c r="S3" i="7"/>
  <c r="S3" i="6"/>
  <c r="BG3" i="5"/>
  <c r="S3" i="2"/>
  <c r="S3" i="8"/>
  <c r="S3" i="5"/>
  <c r="BG3" i="4"/>
  <c r="S3" i="1"/>
  <c r="BG3" i="1"/>
  <c r="A69" i="59"/>
  <c r="A74" i="59"/>
  <c r="B68" i="59"/>
  <c r="A59" i="47"/>
  <c r="B58" i="47"/>
  <c r="A55" i="40"/>
  <c r="B55" i="40" s="1"/>
  <c r="B54" i="40"/>
  <c r="B62" i="34"/>
  <c r="A63" i="34"/>
  <c r="O74" i="32"/>
  <c r="P73" i="32"/>
  <c r="Q73" i="32" s="1"/>
  <c r="P61" i="26"/>
  <c r="O66" i="26"/>
  <c r="O62" i="26"/>
  <c r="AC1" i="25"/>
  <c r="P48" i="44"/>
  <c r="Q48" i="44" s="1"/>
  <c r="O49" i="44"/>
  <c r="AJ49" i="44"/>
  <c r="AJ50" i="44"/>
  <c r="B66" i="38"/>
  <c r="A71" i="38"/>
  <c r="A67" i="38"/>
  <c r="O54" i="35"/>
  <c r="P53" i="35"/>
  <c r="Q53" i="35" s="1"/>
  <c r="P57" i="36"/>
  <c r="O58" i="36"/>
  <c r="P49" i="26"/>
  <c r="O50" i="26"/>
  <c r="P50" i="26" s="1"/>
  <c r="AD53" i="32"/>
  <c r="AI52" i="32" s="1"/>
  <c r="P53" i="48"/>
  <c r="Q53" i="48" s="1"/>
  <c r="O54" i="48"/>
  <c r="B57" i="36"/>
  <c r="A58" i="36"/>
  <c r="B61" i="48"/>
  <c r="A66" i="48"/>
  <c r="A62" i="48"/>
  <c r="AC54" i="38"/>
  <c r="AD54" i="38" s="1"/>
  <c r="AD53" i="38"/>
  <c r="AC58" i="38"/>
  <c r="P40" i="44"/>
  <c r="AJ50" i="45"/>
  <c r="AJ49" i="45"/>
  <c r="P40" i="42"/>
  <c r="O57" i="33"/>
  <c r="P56" i="33"/>
  <c r="O61" i="33"/>
  <c r="AJ50" i="34"/>
  <c r="AJ49" i="34"/>
  <c r="A59" i="27"/>
  <c r="B58" i="27"/>
  <c r="B37" i="30"/>
  <c r="C37" i="30" s="1"/>
  <c r="Q32" i="30"/>
  <c r="P36" i="30"/>
  <c r="AK60" i="30"/>
  <c r="AD33" i="30"/>
  <c r="B46" i="30"/>
  <c r="B42" i="30"/>
  <c r="AK60" i="28"/>
  <c r="AD33" i="28"/>
  <c r="B46" i="28"/>
  <c r="B42" i="28"/>
  <c r="B37" i="28"/>
  <c r="C37" i="28" s="1"/>
  <c r="Q32" i="28"/>
  <c r="P36" i="28"/>
  <c r="AK60" i="34"/>
  <c r="AD33" i="34"/>
  <c r="B46" i="34"/>
  <c r="B42" i="34"/>
  <c r="B37" i="34"/>
  <c r="C37" i="34" s="1"/>
  <c r="Q32" i="34"/>
  <c r="P36" i="34"/>
  <c r="AK60" i="40"/>
  <c r="AD33" i="40"/>
  <c r="B46" i="40"/>
  <c r="B42" i="40"/>
  <c r="B37" i="40"/>
  <c r="C37" i="40" s="1"/>
  <c r="Q32" i="40"/>
  <c r="P36" i="40"/>
  <c r="P36" i="44"/>
  <c r="AK60" i="44"/>
  <c r="AD33" i="44"/>
  <c r="B46" i="44"/>
  <c r="B42" i="44"/>
  <c r="B37" i="44"/>
  <c r="C37" i="44" s="1"/>
  <c r="Q32" i="44"/>
  <c r="B37" i="48"/>
  <c r="C37" i="48" s="1"/>
  <c r="Q32" i="48"/>
  <c r="P36" i="48"/>
  <c r="AK60" i="48"/>
  <c r="AD33" i="48"/>
  <c r="B42" i="48"/>
  <c r="B46" i="48"/>
  <c r="B39" i="59"/>
  <c r="C39" i="59" s="1"/>
  <c r="P38" i="59"/>
  <c r="AD34" i="59"/>
  <c r="Q33" i="59"/>
  <c r="B45" i="59"/>
  <c r="B50" i="59"/>
  <c r="B155" i="61"/>
  <c r="AC155" i="61"/>
  <c r="AC69" i="61"/>
  <c r="CH4" i="61"/>
  <c r="O49" i="50"/>
  <c r="P48" i="50"/>
  <c r="Q48" i="50" s="1"/>
  <c r="C44" i="49"/>
  <c r="P57" i="47"/>
  <c r="O58" i="47"/>
  <c r="O54" i="41"/>
  <c r="P53" i="41"/>
  <c r="Q53" i="41" s="1"/>
  <c r="AD53" i="39"/>
  <c r="O57" i="27"/>
  <c r="P56" i="27"/>
  <c r="O61" i="27"/>
  <c r="A55" i="31"/>
  <c r="B55" i="31" s="1"/>
  <c r="B54" i="31"/>
  <c r="C4" i="3"/>
  <c r="E4" i="3"/>
  <c r="AS4" i="6"/>
  <c r="W4" i="6"/>
  <c r="Z4" i="6"/>
  <c r="AC4" i="6"/>
  <c r="AC5" i="6" s="1"/>
  <c r="AC6" i="6" s="1"/>
  <c r="AC7" i="6" s="1"/>
  <c r="AC8" i="6" s="1"/>
  <c r="AC9" i="6" s="1"/>
  <c r="AC10" i="6" s="1"/>
  <c r="AC11" i="6" s="1"/>
  <c r="AC12" i="6" s="1"/>
  <c r="AC13" i="6" s="1"/>
  <c r="AC14" i="6" s="1"/>
  <c r="AC15" i="6" s="1"/>
  <c r="AC16" i="6" s="1"/>
  <c r="C4" i="2"/>
  <c r="E4" i="2"/>
  <c r="Z4" i="13"/>
  <c r="AC4" i="13"/>
  <c r="AC5" i="13" s="1"/>
  <c r="AC6" i="13" s="1"/>
  <c r="AC7" i="13" s="1"/>
  <c r="AC8" i="13" s="1"/>
  <c r="AC9" i="13" s="1"/>
  <c r="AC10" i="13" s="1"/>
  <c r="AC11" i="13" s="1"/>
  <c r="AC12" i="13" s="1"/>
  <c r="AC13" i="13" s="1"/>
  <c r="AC14" i="13" s="1"/>
  <c r="AC15" i="13" s="1"/>
  <c r="AC16" i="13" s="1"/>
  <c r="AS4" i="13"/>
  <c r="W4" i="13"/>
  <c r="Z4" i="21"/>
  <c r="AC4" i="21"/>
  <c r="AC5" i="21" s="1"/>
  <c r="AC6" i="21" s="1"/>
  <c r="AC7" i="21" s="1"/>
  <c r="AC8" i="21" s="1"/>
  <c r="AC9" i="21" s="1"/>
  <c r="AC10" i="21" s="1"/>
  <c r="AC11" i="21" s="1"/>
  <c r="AC12" i="21" s="1"/>
  <c r="AC13" i="21" s="1"/>
  <c r="AC14" i="21" s="1"/>
  <c r="AC15" i="21" s="1"/>
  <c r="AC16" i="21" s="1"/>
  <c r="AS4" i="21"/>
  <c r="W4" i="21"/>
  <c r="E4" i="9"/>
  <c r="C4" i="9"/>
  <c r="C4" i="17"/>
  <c r="E4" i="17"/>
  <c r="AS4" i="15"/>
  <c r="W4" i="15"/>
  <c r="Z4" i="15"/>
  <c r="AC4" i="15"/>
  <c r="AC5" i="15" s="1"/>
  <c r="AC6" i="15" s="1"/>
  <c r="AC7" i="15" s="1"/>
  <c r="AC8" i="15" s="1"/>
  <c r="AC9" i="15" s="1"/>
  <c r="AC10" i="15" s="1"/>
  <c r="AC11" i="15" s="1"/>
  <c r="AC12" i="15" s="1"/>
  <c r="AC13" i="15" s="1"/>
  <c r="AC14" i="15" s="1"/>
  <c r="AC15" i="15" s="1"/>
  <c r="AC16" i="15" s="1"/>
  <c r="AS4" i="23"/>
  <c r="W4" i="23"/>
  <c r="Z4" i="23"/>
  <c r="AC4" i="23"/>
  <c r="AC5" i="23" s="1"/>
  <c r="AC6" i="23" s="1"/>
  <c r="AC7" i="23" s="1"/>
  <c r="AC8" i="23" s="1"/>
  <c r="AC9" i="23" s="1"/>
  <c r="AC10" i="23" s="1"/>
  <c r="AC11" i="23" s="1"/>
  <c r="AC12" i="23" s="1"/>
  <c r="AC13" i="23" s="1"/>
  <c r="AC14" i="23" s="1"/>
  <c r="AC15" i="23" s="1"/>
  <c r="AC16" i="23" s="1"/>
  <c r="AC4" i="25"/>
  <c r="AC5" i="25" s="1"/>
  <c r="AC6" i="25" s="1"/>
  <c r="AC7" i="25" s="1"/>
  <c r="AC8" i="25" s="1"/>
  <c r="AC9" i="25" s="1"/>
  <c r="AC10" i="25" s="1"/>
  <c r="AC11" i="25" s="1"/>
  <c r="AC12" i="25" s="1"/>
  <c r="AC13" i="25" s="1"/>
  <c r="AC14" i="25" s="1"/>
  <c r="AC15" i="25" s="1"/>
  <c r="AC16" i="25" s="1"/>
  <c r="Z4" i="25"/>
  <c r="W1" i="25" s="1"/>
  <c r="AP4" i="25"/>
  <c r="W4" i="25"/>
  <c r="AS4" i="25"/>
  <c r="AS4" i="16"/>
  <c r="W4" i="16"/>
  <c r="Z4" i="16"/>
  <c r="AC4" i="16"/>
  <c r="AC5" i="16" s="1"/>
  <c r="AC6" i="16" s="1"/>
  <c r="AC7" i="16" s="1"/>
  <c r="AC8" i="16" s="1"/>
  <c r="AC9" i="16" s="1"/>
  <c r="AC10" i="16" s="1"/>
  <c r="AC11" i="16" s="1"/>
  <c r="AC12" i="16" s="1"/>
  <c r="AC13" i="16" s="1"/>
  <c r="AC14" i="16" s="1"/>
  <c r="AC15" i="16" s="1"/>
  <c r="AC16" i="16" s="1"/>
  <c r="AS4" i="53"/>
  <c r="W4" i="53"/>
  <c r="Z4" i="53"/>
  <c r="AC4" i="53"/>
  <c r="AC5" i="53" s="1"/>
  <c r="AC6" i="53" s="1"/>
  <c r="AC7" i="53" s="1"/>
  <c r="AC8" i="53" s="1"/>
  <c r="AC9" i="53" s="1"/>
  <c r="AC10" i="53" s="1"/>
  <c r="AC11" i="53" s="1"/>
  <c r="AC12" i="53" s="1"/>
  <c r="AC13" i="53" s="1"/>
  <c r="AC14" i="53" s="1"/>
  <c r="AC15" i="53" s="1"/>
  <c r="AC16" i="53" s="1"/>
  <c r="DD62" i="61"/>
  <c r="DE62" i="61" s="1"/>
  <c r="DC62" i="61"/>
  <c r="O64" i="59"/>
  <c r="P63" i="59"/>
  <c r="AD49" i="47"/>
  <c r="A50" i="41"/>
  <c r="B50" i="41" s="1"/>
  <c r="B49" i="41"/>
  <c r="AC69" i="40"/>
  <c r="AD69" i="40" s="1"/>
  <c r="AD68" i="40"/>
  <c r="AC73" i="40"/>
  <c r="P56" i="34"/>
  <c r="O61" i="34"/>
  <c r="O57" i="34"/>
  <c r="AA45" i="30"/>
  <c r="AO45" i="30" s="1"/>
  <c r="W45" i="30"/>
  <c r="AA44" i="30"/>
  <c r="AO44" i="30" s="1"/>
  <c r="W44" i="30"/>
  <c r="A71" i="31"/>
  <c r="A67" i="31"/>
  <c r="B66" i="31"/>
  <c r="AJ50" i="28"/>
  <c r="AJ49" i="28"/>
  <c r="I53" i="19"/>
  <c r="BG30" i="19"/>
  <c r="P44" i="50"/>
  <c r="O45" i="50"/>
  <c r="P45" i="50" s="1"/>
  <c r="P44" i="46"/>
  <c r="O45" i="46"/>
  <c r="P45" i="46" s="1"/>
  <c r="A55" i="44"/>
  <c r="B55" i="44" s="1"/>
  <c r="B54" i="44"/>
  <c r="P52" i="39"/>
  <c r="O53" i="39"/>
  <c r="AC54" i="29"/>
  <c r="AD54" i="29" s="1"/>
  <c r="AD53" i="29"/>
  <c r="AC58" i="29"/>
  <c r="O54" i="47"/>
  <c r="P53" i="47"/>
  <c r="Q53" i="47" s="1"/>
  <c r="A59" i="41"/>
  <c r="B58" i="41"/>
  <c r="AD49" i="39"/>
  <c r="P48" i="42"/>
  <c r="Q48" i="42" s="1"/>
  <c r="A55" i="38"/>
  <c r="B55" i="38" s="1"/>
  <c r="B54" i="38"/>
  <c r="AD78" i="43"/>
  <c r="AD74" i="43"/>
  <c r="AL44" i="43"/>
  <c r="AH45" i="43"/>
  <c r="AH44" i="43"/>
  <c r="AL45" i="43"/>
  <c r="A50" i="36"/>
  <c r="B50" i="36" s="1"/>
  <c r="B49" i="36"/>
  <c r="M44" i="31"/>
  <c r="I44" i="31"/>
  <c r="M45" i="31"/>
  <c r="I45" i="31"/>
  <c r="G44" i="31"/>
  <c r="Z5" i="53"/>
  <c r="W5" i="6"/>
  <c r="AA45" i="49"/>
  <c r="AO45" i="49" s="1"/>
  <c r="W45" i="49"/>
  <c r="AA44" i="49"/>
  <c r="AO44" i="49" s="1"/>
  <c r="W44" i="49"/>
  <c r="A55" i="41"/>
  <c r="B55" i="41" s="1"/>
  <c r="B54" i="41"/>
  <c r="W65" i="32"/>
  <c r="AA64" i="32"/>
  <c r="AO64" i="32" s="1"/>
  <c r="W64" i="32"/>
  <c r="AA65" i="32"/>
  <c r="AO65" i="32" s="1"/>
  <c r="AC59" i="34"/>
  <c r="AD59" i="34" s="1"/>
  <c r="AD58" i="34"/>
  <c r="AC63" i="34"/>
  <c r="B62" i="32"/>
  <c r="A63" i="32"/>
  <c r="AJ50" i="41"/>
  <c r="AJ49" i="41"/>
  <c r="A50" i="50"/>
  <c r="B50" i="50" s="1"/>
  <c r="B49" i="50"/>
  <c r="O53" i="45"/>
  <c r="P52" i="45"/>
  <c r="P40" i="39"/>
  <c r="AC1" i="19"/>
  <c r="AC1" i="16"/>
  <c r="AL45" i="40"/>
  <c r="AH45" i="40"/>
  <c r="AL44" i="40"/>
  <c r="AH44" i="40"/>
  <c r="O57" i="44"/>
  <c r="P56" i="44"/>
  <c r="O61" i="44"/>
  <c r="AL135" i="43"/>
  <c r="AH135" i="43"/>
  <c r="AI132" i="43"/>
  <c r="AL134" i="43"/>
  <c r="AH134" i="43"/>
  <c r="AD39" i="27"/>
  <c r="Q34" i="27"/>
  <c r="AD43" i="27"/>
  <c r="B39" i="27"/>
  <c r="C39" i="27" s="1"/>
  <c r="P38" i="27"/>
  <c r="P42" i="27"/>
  <c r="P46" i="27"/>
  <c r="B44" i="27"/>
  <c r="B56" i="27"/>
  <c r="B52" i="27"/>
  <c r="Q34" i="26"/>
  <c r="P46" i="26"/>
  <c r="P42" i="26"/>
  <c r="AD43" i="26"/>
  <c r="AI42" i="26" s="1"/>
  <c r="AD39" i="26"/>
  <c r="P38" i="26"/>
  <c r="Q38" i="26" s="1"/>
  <c r="B39" i="26"/>
  <c r="C39" i="26" s="1"/>
  <c r="B39" i="34"/>
  <c r="C39" i="34" s="1"/>
  <c r="Q34" i="34"/>
  <c r="AD43" i="34"/>
  <c r="AI42" i="34" s="1"/>
  <c r="P38" i="34"/>
  <c r="Q38" i="34" s="1"/>
  <c r="AD39" i="34"/>
  <c r="P46" i="34"/>
  <c r="B44" i="34"/>
  <c r="B52" i="34"/>
  <c r="B56" i="34"/>
  <c r="P42" i="34"/>
  <c r="Q34" i="38"/>
  <c r="P42" i="38"/>
  <c r="AD39" i="38"/>
  <c r="B39" i="38"/>
  <c r="C39" i="38" s="1"/>
  <c r="P38" i="38"/>
  <c r="Q38" i="38" s="1"/>
  <c r="P46" i="38"/>
  <c r="B52" i="38"/>
  <c r="AD43" i="38"/>
  <c r="B44" i="38"/>
  <c r="B56" i="38"/>
  <c r="P42" i="42"/>
  <c r="Q34" i="42"/>
  <c r="B39" i="42"/>
  <c r="C39" i="42" s="1"/>
  <c r="AD43" i="42"/>
  <c r="P46" i="42"/>
  <c r="P38" i="42"/>
  <c r="Q38" i="42" s="1"/>
  <c r="B52" i="42"/>
  <c r="B44" i="42"/>
  <c r="B56" i="42"/>
  <c r="AD39" i="42"/>
  <c r="Q34" i="46"/>
  <c r="AD43" i="46"/>
  <c r="AI42" i="46" s="1"/>
  <c r="AD39" i="46"/>
  <c r="P38" i="46"/>
  <c r="Q38" i="46" s="1"/>
  <c r="B48" i="46"/>
  <c r="B39" i="46"/>
  <c r="C39" i="46" s="1"/>
  <c r="P46" i="46"/>
  <c r="P42" i="46"/>
  <c r="B39" i="50"/>
  <c r="C39" i="50" s="1"/>
  <c r="Q34" i="50"/>
  <c r="P38" i="50"/>
  <c r="Q38" i="50" s="1"/>
  <c r="AD39" i="50"/>
  <c r="AD43" i="50"/>
  <c r="AI42" i="50" s="1"/>
  <c r="B52" i="50"/>
  <c r="B44" i="50"/>
  <c r="P42" i="50"/>
  <c r="P46" i="50"/>
  <c r="B56" i="50"/>
  <c r="P45" i="38"/>
  <c r="AD58" i="46"/>
  <c r="AD54" i="46"/>
  <c r="A50" i="48"/>
  <c r="B50" i="48" s="1"/>
  <c r="B49" i="48"/>
  <c r="P44" i="49"/>
  <c r="C44" i="44"/>
  <c r="A59" i="44"/>
  <c r="B58" i="44"/>
  <c r="B61" i="37"/>
  <c r="A66" i="37"/>
  <c r="A62" i="37"/>
  <c r="O53" i="28"/>
  <c r="P52" i="28"/>
  <c r="P48" i="31"/>
  <c r="Q48" i="31" s="1"/>
  <c r="O49" i="31"/>
  <c r="P45" i="26"/>
  <c r="B48" i="26"/>
  <c r="B38" i="29"/>
  <c r="C38" i="29" s="1"/>
  <c r="P37" i="29"/>
  <c r="AD34" i="29"/>
  <c r="Q33" i="29"/>
  <c r="B51" i="29"/>
  <c r="B43" i="29"/>
  <c r="AD38" i="29"/>
  <c r="P41" i="29"/>
  <c r="B47" i="29"/>
  <c r="P41" i="31"/>
  <c r="Q33" i="31"/>
  <c r="AD38" i="31"/>
  <c r="B43" i="31"/>
  <c r="AD34" i="31"/>
  <c r="P37" i="31"/>
  <c r="B38" i="31"/>
  <c r="C38" i="31" s="1"/>
  <c r="B51" i="31"/>
  <c r="B47" i="31"/>
  <c r="P41" i="36"/>
  <c r="Q33" i="36"/>
  <c r="AD34" i="36"/>
  <c r="B38" i="36"/>
  <c r="C38" i="36" s="1"/>
  <c r="P37" i="36"/>
  <c r="AD38" i="36"/>
  <c r="B51" i="36"/>
  <c r="B47" i="36"/>
  <c r="B43" i="36"/>
  <c r="Q33" i="39"/>
  <c r="AD38" i="39"/>
  <c r="AD34" i="39"/>
  <c r="P37" i="39"/>
  <c r="P41" i="39"/>
  <c r="B38" i="39"/>
  <c r="C38" i="39" s="1"/>
  <c r="B51" i="39"/>
  <c r="B43" i="39"/>
  <c r="B47" i="39"/>
  <c r="B38" i="42"/>
  <c r="C38" i="42" s="1"/>
  <c r="P37" i="42"/>
  <c r="AD34" i="42"/>
  <c r="P41" i="42"/>
  <c r="Q33" i="42"/>
  <c r="B51" i="42"/>
  <c r="B43" i="42"/>
  <c r="AD38" i="42"/>
  <c r="B47" i="42"/>
  <c r="Q33" i="45"/>
  <c r="AD38" i="45"/>
  <c r="P37" i="45"/>
  <c r="AD34" i="45"/>
  <c r="B38" i="45"/>
  <c r="C38" i="45" s="1"/>
  <c r="P41" i="45"/>
  <c r="B51" i="45"/>
  <c r="B47" i="45"/>
  <c r="B43" i="45"/>
  <c r="Q33" i="50"/>
  <c r="AD38" i="50"/>
  <c r="B38" i="50"/>
  <c r="C38" i="50" s="1"/>
  <c r="P37" i="50"/>
  <c r="AD34" i="50"/>
  <c r="B43" i="50"/>
  <c r="B51" i="50"/>
  <c r="P41" i="50"/>
  <c r="B47" i="50"/>
  <c r="A55" i="50"/>
  <c r="B55" i="50" s="1"/>
  <c r="B54" i="50"/>
  <c r="A63" i="49"/>
  <c r="B62" i="49"/>
  <c r="B48" i="38"/>
  <c r="A55" i="34"/>
  <c r="B55" i="34" s="1"/>
  <c r="B54" i="34"/>
  <c r="P48" i="27"/>
  <c r="Q48" i="27" s="1"/>
  <c r="O49" i="27"/>
  <c r="A55" i="28"/>
  <c r="B55" i="28" s="1"/>
  <c r="B54" i="28"/>
  <c r="AC59" i="27"/>
  <c r="AD59" i="27" s="1"/>
  <c r="AD58" i="27"/>
  <c r="AC63" i="27"/>
  <c r="AL44" i="47"/>
  <c r="AH44" i="47"/>
  <c r="AL45" i="47"/>
  <c r="AH45" i="47"/>
  <c r="B66" i="47"/>
  <c r="A71" i="47"/>
  <c r="A67" i="47"/>
  <c r="A54" i="36"/>
  <c r="B53" i="36"/>
  <c r="C44" i="33"/>
  <c r="M45" i="32"/>
  <c r="I45" i="32"/>
  <c r="G44" i="32"/>
  <c r="I44" i="32"/>
  <c r="M44" i="32"/>
  <c r="I53" i="17"/>
  <c r="BG30" i="17"/>
  <c r="AL64" i="46"/>
  <c r="AH64" i="46"/>
  <c r="AH65" i="46"/>
  <c r="AL65" i="46"/>
  <c r="AD54" i="42"/>
  <c r="P48" i="39"/>
  <c r="Q48" i="39" s="1"/>
  <c r="O49" i="39"/>
  <c r="AC59" i="33"/>
  <c r="AD59" i="33" s="1"/>
  <c r="AD58" i="33"/>
  <c r="AC63" i="33"/>
  <c r="AC59" i="31"/>
  <c r="AD59" i="31" s="1"/>
  <c r="AD58" i="31"/>
  <c r="AC63" i="31"/>
  <c r="AA45" i="45"/>
  <c r="AO45" i="45" s="1"/>
  <c r="W45" i="45"/>
  <c r="AA44" i="45"/>
  <c r="AO44" i="45" s="1"/>
  <c r="W44" i="45"/>
  <c r="AD54" i="50"/>
  <c r="AA45" i="37"/>
  <c r="AO45" i="37" s="1"/>
  <c r="W45" i="37"/>
  <c r="AA44" i="37"/>
  <c r="AO44" i="37" s="1"/>
  <c r="W44" i="37"/>
  <c r="O66" i="38"/>
  <c r="O62" i="38"/>
  <c r="P61" i="38"/>
  <c r="P53" i="36"/>
  <c r="Q53" i="36" s="1"/>
  <c r="O54" i="36"/>
  <c r="AD53" i="43"/>
  <c r="AD49" i="43"/>
  <c r="P40" i="50"/>
  <c r="B50" i="43"/>
  <c r="AA45" i="40"/>
  <c r="AO45" i="40" s="1"/>
  <c r="W45" i="40"/>
  <c r="AA44" i="40"/>
  <c r="AO44" i="40" s="1"/>
  <c r="W44" i="40"/>
  <c r="P40" i="26"/>
  <c r="P44" i="29"/>
  <c r="P40" i="34"/>
  <c r="P42" i="59"/>
  <c r="P47" i="59"/>
  <c r="AD49" i="48"/>
  <c r="AD49" i="45"/>
  <c r="O62" i="42"/>
  <c r="P61" i="42"/>
  <c r="O66" i="42"/>
  <c r="P56" i="37"/>
  <c r="O61" i="37"/>
  <c r="O57" i="37"/>
  <c r="A54" i="37"/>
  <c r="B53" i="37"/>
  <c r="B57" i="30"/>
  <c r="A58" i="30"/>
  <c r="O49" i="28"/>
  <c r="P48" i="28"/>
  <c r="Q48" i="28" s="1"/>
  <c r="A63" i="27"/>
  <c r="B62" i="27"/>
  <c r="O53" i="50"/>
  <c r="P52" i="50"/>
  <c r="C44" i="48"/>
  <c r="P56" i="48"/>
  <c r="A55" i="47"/>
  <c r="B55" i="47" s="1"/>
  <c r="B54" i="47"/>
  <c r="AI72" i="46"/>
  <c r="AL74" i="46"/>
  <c r="AH74" i="46"/>
  <c r="AH75" i="46"/>
  <c r="AL75" i="46"/>
  <c r="B50" i="46"/>
  <c r="P57" i="41"/>
  <c r="O58" i="41"/>
  <c r="AC54" i="35"/>
  <c r="AD54" i="35" s="1"/>
  <c r="AD53" i="35"/>
  <c r="AC58" i="35"/>
  <c r="AL44" i="37"/>
  <c r="AH44" i="37"/>
  <c r="AL45" i="37"/>
  <c r="AH45" i="37"/>
  <c r="B66" i="35"/>
  <c r="A71" i="35"/>
  <c r="A67" i="35"/>
  <c r="O50" i="32"/>
  <c r="P50" i="32" s="1"/>
  <c r="P49" i="32"/>
  <c r="P56" i="30"/>
  <c r="AC63" i="30"/>
  <c r="AC59" i="30"/>
  <c r="AD59" i="30" s="1"/>
  <c r="AD58" i="30"/>
  <c r="C47" i="59"/>
  <c r="AD49" i="49"/>
  <c r="B66" i="34"/>
  <c r="A71" i="34"/>
  <c r="A67" i="34"/>
  <c r="A55" i="32"/>
  <c r="B55" i="32" s="1"/>
  <c r="B54" i="32"/>
  <c r="P56" i="26"/>
  <c r="BL148" i="61"/>
  <c r="BJ148" i="61"/>
  <c r="BF148" i="61"/>
  <c r="AC1" i="23"/>
  <c r="AC1" i="15"/>
  <c r="AC1" i="17"/>
  <c r="P40" i="48"/>
  <c r="AD49" i="44"/>
  <c r="AA45" i="41"/>
  <c r="AO45" i="41" s="1"/>
  <c r="W45" i="41"/>
  <c r="AA44" i="41"/>
  <c r="AO44" i="41" s="1"/>
  <c r="W44" i="41"/>
  <c r="AD49" i="42"/>
  <c r="AD53" i="36"/>
  <c r="P52" i="35"/>
  <c r="P44" i="32"/>
  <c r="P40" i="29"/>
  <c r="AL54" i="32"/>
  <c r="AH54" i="32"/>
  <c r="AH55" i="32"/>
  <c r="AL55" i="32"/>
  <c r="P52" i="48"/>
  <c r="O59" i="59"/>
  <c r="P58" i="59"/>
  <c r="Q58" i="59" s="1"/>
  <c r="C44" i="45"/>
  <c r="B61" i="36"/>
  <c r="A66" i="36"/>
  <c r="A62" i="36"/>
  <c r="AD53" i="26"/>
  <c r="AC1" i="11"/>
  <c r="AC1" i="24"/>
  <c r="AJ50" i="38"/>
  <c r="AJ49" i="38"/>
  <c r="AD49" i="32"/>
  <c r="BI145" i="61"/>
  <c r="BF145" i="61"/>
  <c r="B57" i="45"/>
  <c r="A58" i="45"/>
  <c r="P56" i="43"/>
  <c r="O57" i="43"/>
  <c r="O61" i="43"/>
  <c r="B57" i="39"/>
  <c r="A58" i="39"/>
  <c r="O49" i="37"/>
  <c r="P48" i="37"/>
  <c r="Q48" i="37" s="1"/>
  <c r="O57" i="31"/>
  <c r="P56" i="31"/>
  <c r="O61" i="31"/>
  <c r="C44" i="27"/>
  <c r="B61" i="26"/>
  <c r="A62" i="26"/>
  <c r="A66" i="26"/>
  <c r="I53" i="25"/>
  <c r="BG30" i="25"/>
  <c r="AK60" i="32"/>
  <c r="B37" i="32"/>
  <c r="C37" i="32" s="1"/>
  <c r="B46" i="32"/>
  <c r="P36" i="32"/>
  <c r="Q32" i="32"/>
  <c r="AD33" i="32"/>
  <c r="B42" i="32"/>
  <c r="B46" i="35"/>
  <c r="B42" i="35"/>
  <c r="B37" i="35"/>
  <c r="C37" i="35" s="1"/>
  <c r="Q32" i="35"/>
  <c r="P36" i="35"/>
  <c r="AK60" i="35"/>
  <c r="AD33" i="35"/>
  <c r="B46" i="38"/>
  <c r="B42" i="38"/>
  <c r="B37" i="38"/>
  <c r="C37" i="38" s="1"/>
  <c r="Q32" i="38"/>
  <c r="P36" i="38"/>
  <c r="AK60" i="38"/>
  <c r="AD33" i="38"/>
  <c r="B46" i="41"/>
  <c r="B42" i="41"/>
  <c r="B37" i="41"/>
  <c r="C37" i="41" s="1"/>
  <c r="Q32" i="41"/>
  <c r="P36" i="41"/>
  <c r="AK60" i="41"/>
  <c r="AD33" i="41"/>
  <c r="AK60" i="47"/>
  <c r="B46" i="47"/>
  <c r="B42" i="47"/>
  <c r="B37" i="47"/>
  <c r="C37" i="47" s="1"/>
  <c r="Q32" i="47"/>
  <c r="P36" i="47"/>
  <c r="AD33" i="47"/>
  <c r="P36" i="49"/>
  <c r="AK60" i="49"/>
  <c r="AD33" i="49"/>
  <c r="B37" i="49"/>
  <c r="C37" i="49" s="1"/>
  <c r="Q32" i="49"/>
  <c r="B42" i="49"/>
  <c r="B46" i="49"/>
  <c r="O57" i="49"/>
  <c r="P56" i="49"/>
  <c r="O61" i="49"/>
  <c r="C44" i="47"/>
  <c r="P61" i="47"/>
  <c r="O66" i="47"/>
  <c r="O62" i="47"/>
  <c r="O53" i="40"/>
  <c r="P52" i="40"/>
  <c r="P52" i="41"/>
  <c r="A50" i="37"/>
  <c r="B50" i="37" s="1"/>
  <c r="B49" i="37"/>
  <c r="A50" i="27"/>
  <c r="B50" i="27" s="1"/>
  <c r="B49" i="27"/>
  <c r="AD49" i="30"/>
  <c r="AD49" i="27"/>
  <c r="Z4" i="4"/>
  <c r="W1" i="4" s="1"/>
  <c r="AC4" i="4"/>
  <c r="AC5" i="4" s="1"/>
  <c r="AC6" i="4" s="1"/>
  <c r="AC7" i="4" s="1"/>
  <c r="AC8" i="4" s="1"/>
  <c r="AC9" i="4" s="1"/>
  <c r="AC10" i="4" s="1"/>
  <c r="AC11" i="4" s="1"/>
  <c r="AC12" i="4" s="1"/>
  <c r="AC13" i="4" s="1"/>
  <c r="AC14" i="4" s="1"/>
  <c r="AC15" i="4" s="1"/>
  <c r="AC16" i="4" s="1"/>
  <c r="AS4" i="4"/>
  <c r="W4" i="4"/>
  <c r="C4" i="4"/>
  <c r="E4" i="4"/>
  <c r="AS4" i="3"/>
  <c r="W4" i="3"/>
  <c r="Z4" i="3"/>
  <c r="AC4" i="3"/>
  <c r="AC5" i="3" s="1"/>
  <c r="AC6" i="3" s="1"/>
  <c r="AC7" i="3" s="1"/>
  <c r="AC8" i="3" s="1"/>
  <c r="AC9" i="3" s="1"/>
  <c r="AC10" i="3" s="1"/>
  <c r="AC11" i="3" s="1"/>
  <c r="AC12" i="3" s="1"/>
  <c r="AC13" i="3" s="1"/>
  <c r="AC14" i="3" s="1"/>
  <c r="AC15" i="3" s="1"/>
  <c r="AC16" i="3" s="1"/>
  <c r="E4" i="8"/>
  <c r="C4" i="8"/>
  <c r="C4" i="16"/>
  <c r="E4" i="16"/>
  <c r="C4" i="24"/>
  <c r="E4" i="24"/>
  <c r="AC4" i="10"/>
  <c r="AC5" i="10" s="1"/>
  <c r="AC6" i="10" s="1"/>
  <c r="AC7" i="10" s="1"/>
  <c r="AC8" i="10" s="1"/>
  <c r="AC9" i="10" s="1"/>
  <c r="AC10" i="10" s="1"/>
  <c r="AC11" i="10" s="1"/>
  <c r="AC12" i="10" s="1"/>
  <c r="AC13" i="10" s="1"/>
  <c r="AC14" i="10" s="1"/>
  <c r="AC15" i="10" s="1"/>
  <c r="AC16" i="10" s="1"/>
  <c r="AS4" i="10"/>
  <c r="W4" i="10"/>
  <c r="Z4" i="10"/>
  <c r="W1" i="10" s="1"/>
  <c r="AC4" i="18"/>
  <c r="AC5" i="18" s="1"/>
  <c r="AC6" i="18" s="1"/>
  <c r="AC7" i="18" s="1"/>
  <c r="AC8" i="18" s="1"/>
  <c r="AC9" i="18" s="1"/>
  <c r="AC10" i="18" s="1"/>
  <c r="AC11" i="18" s="1"/>
  <c r="AC12" i="18" s="1"/>
  <c r="AC13" i="18" s="1"/>
  <c r="AC14" i="18" s="1"/>
  <c r="AC15" i="18" s="1"/>
  <c r="AC16" i="18" s="1"/>
  <c r="AS4" i="18"/>
  <c r="W4" i="18"/>
  <c r="Z4" i="18"/>
  <c r="W1" i="18" s="1"/>
  <c r="E4" i="10"/>
  <c r="C4" i="10"/>
  <c r="E4" i="18"/>
  <c r="C4" i="18"/>
  <c r="E4" i="11"/>
  <c r="C4" i="11"/>
  <c r="E4" i="19"/>
  <c r="C4" i="19"/>
  <c r="E4" i="23"/>
  <c r="C4" i="23"/>
  <c r="C4" i="53"/>
  <c r="E4" i="53"/>
  <c r="A156" i="61"/>
  <c r="AB156" i="61"/>
  <c r="AB70" i="61"/>
  <c r="CK30" i="61"/>
  <c r="CK5" i="61"/>
  <c r="CG5" i="61"/>
  <c r="CH5" i="61" s="1"/>
  <c r="CI5" i="61" s="1"/>
  <c r="O69" i="59"/>
  <c r="P68" i="59"/>
  <c r="O74" i="59"/>
  <c r="AJ49" i="49"/>
  <c r="AJ50" i="49"/>
  <c r="P40" i="45"/>
  <c r="AJ65" i="40"/>
  <c r="AJ64" i="40"/>
  <c r="A50" i="31"/>
  <c r="B50" i="31" s="1"/>
  <c r="B49" i="31"/>
  <c r="AL44" i="34"/>
  <c r="AH44" i="34"/>
  <c r="AL45" i="34"/>
  <c r="AH45" i="34"/>
  <c r="B62" i="28"/>
  <c r="A63" i="28"/>
  <c r="O54" i="26"/>
  <c r="P53" i="26"/>
  <c r="Q53" i="26" s="1"/>
  <c r="AC1" i="22"/>
  <c r="AC1" i="14"/>
  <c r="AC1" i="4"/>
  <c r="AA48" i="59"/>
  <c r="AQ48" i="59" s="1"/>
  <c r="AA47" i="59"/>
  <c r="AQ47" i="59" s="1"/>
  <c r="B57" i="46"/>
  <c r="A58" i="46"/>
  <c r="AA45" i="46"/>
  <c r="AO45" i="46" s="1"/>
  <c r="W44" i="46"/>
  <c r="W45" i="46"/>
  <c r="AA44" i="46"/>
  <c r="AO44" i="46" s="1"/>
  <c r="P44" i="43"/>
  <c r="O45" i="43"/>
  <c r="P45" i="43" s="1"/>
  <c r="AJ49" i="42"/>
  <c r="AJ50" i="42"/>
  <c r="C44" i="42"/>
  <c r="AJ50" i="29"/>
  <c r="AJ49" i="29"/>
  <c r="AD49" i="33"/>
  <c r="P52" i="47"/>
  <c r="A59" i="31"/>
  <c r="B58" i="31"/>
  <c r="AC59" i="28"/>
  <c r="AD59" i="28" s="1"/>
  <c r="AD58" i="28"/>
  <c r="AC63" i="28"/>
  <c r="AC1" i="8"/>
  <c r="I53" i="16"/>
  <c r="BG30" i="16"/>
  <c r="AJ50" i="43"/>
  <c r="AJ49" i="43"/>
  <c r="AA45" i="28"/>
  <c r="AO45" i="28" s="1"/>
  <c r="W45" i="28"/>
  <c r="AA44" i="28"/>
  <c r="AO44" i="28" s="1"/>
  <c r="W44" i="28"/>
  <c r="W5" i="22"/>
  <c r="W5" i="14"/>
  <c r="W5" i="21"/>
  <c r="W5" i="13"/>
  <c r="Z5" i="6"/>
  <c r="AJ124" i="43"/>
  <c r="AJ125" i="43"/>
  <c r="A54" i="45"/>
  <c r="B53" i="45"/>
  <c r="AC59" i="45"/>
  <c r="AD59" i="45" s="1"/>
  <c r="AD58" i="45"/>
  <c r="AC63" i="45"/>
  <c r="A63" i="44"/>
  <c r="B62" i="44"/>
  <c r="P53" i="42"/>
  <c r="Q53" i="42" s="1"/>
  <c r="O54" i="42"/>
  <c r="A54" i="39"/>
  <c r="B53" i="39"/>
  <c r="P64" i="32"/>
  <c r="O65" i="32"/>
  <c r="P65" i="32" s="1"/>
  <c r="AD53" i="34"/>
  <c r="AI52" i="34" s="1"/>
  <c r="BD149" i="61"/>
  <c r="BD133" i="61"/>
  <c r="AL44" i="50"/>
  <c r="AH44" i="50"/>
  <c r="AL45" i="50"/>
  <c r="AH45" i="50"/>
  <c r="AD49" i="41"/>
  <c r="AC59" i="49"/>
  <c r="AD59" i="49" s="1"/>
  <c r="AD58" i="49"/>
  <c r="AC63" i="49"/>
  <c r="P56" i="45"/>
  <c r="O61" i="45"/>
  <c r="O57" i="45"/>
  <c r="C44" i="30"/>
  <c r="AC143" i="43"/>
  <c r="AC139" i="43"/>
  <c r="AD139" i="43" s="1"/>
  <c r="AD138" i="43"/>
  <c r="AD39" i="31"/>
  <c r="Q34" i="31"/>
  <c r="B39" i="31"/>
  <c r="C39" i="31" s="1"/>
  <c r="P42" i="31"/>
  <c r="P38" i="31"/>
  <c r="Q38" i="31" s="1"/>
  <c r="AD43" i="31"/>
  <c r="AI42" i="31" s="1"/>
  <c r="P46" i="31"/>
  <c r="B52" i="31"/>
  <c r="B56" i="31"/>
  <c r="B44" i="31"/>
  <c r="Q34" i="30"/>
  <c r="B39" i="30"/>
  <c r="C39" i="30" s="1"/>
  <c r="AD43" i="30"/>
  <c r="AI42" i="30" s="1"/>
  <c r="P42" i="30"/>
  <c r="P46" i="30"/>
  <c r="P38" i="30"/>
  <c r="Q38" i="30" s="1"/>
  <c r="AD39" i="30"/>
  <c r="Q34" i="35"/>
  <c r="P42" i="35"/>
  <c r="B39" i="35"/>
  <c r="C39" i="35" s="1"/>
  <c r="AD39" i="35"/>
  <c r="P46" i="35"/>
  <c r="P38" i="35"/>
  <c r="B44" i="35"/>
  <c r="B52" i="35"/>
  <c r="AD43" i="35"/>
  <c r="B56" i="35"/>
  <c r="B39" i="40"/>
  <c r="C39" i="40" s="1"/>
  <c r="Q34" i="40"/>
  <c r="AD39" i="40"/>
  <c r="P38" i="40"/>
  <c r="Q38" i="40" s="1"/>
  <c r="AD43" i="40"/>
  <c r="AI42" i="40" s="1"/>
  <c r="B56" i="40"/>
  <c r="P42" i="40"/>
  <c r="P46" i="40"/>
  <c r="B52" i="40"/>
  <c r="B44" i="40"/>
  <c r="Q34" i="44"/>
  <c r="AD39" i="44"/>
  <c r="P38" i="44"/>
  <c r="Q38" i="44" s="1"/>
  <c r="B39" i="44"/>
  <c r="C39" i="44" s="1"/>
  <c r="P42" i="44"/>
  <c r="Q44" i="44" s="1"/>
  <c r="B44" i="44"/>
  <c r="B56" i="44"/>
  <c r="P46" i="44"/>
  <c r="AD43" i="44"/>
  <c r="B52" i="44"/>
  <c r="Q34" i="47"/>
  <c r="AD39" i="47"/>
  <c r="B39" i="47"/>
  <c r="C39" i="47" s="1"/>
  <c r="P46" i="47"/>
  <c r="P38" i="47"/>
  <c r="Q38" i="47" s="1"/>
  <c r="AD43" i="47"/>
  <c r="B44" i="47"/>
  <c r="P42" i="47"/>
  <c r="B52" i="47"/>
  <c r="B56" i="47"/>
  <c r="AE155" i="61"/>
  <c r="D155" i="61"/>
  <c r="AE69" i="61"/>
  <c r="C4" i="49"/>
  <c r="W5" i="3"/>
  <c r="AH155" i="61"/>
  <c r="G155" i="61"/>
  <c r="AH69" i="61"/>
  <c r="BD142" i="61"/>
  <c r="AD53" i="48"/>
  <c r="P45" i="49"/>
  <c r="B48" i="42"/>
  <c r="B61" i="43"/>
  <c r="A62" i="43"/>
  <c r="A66" i="43"/>
  <c r="P48" i="41"/>
  <c r="Q48" i="41" s="1"/>
  <c r="B56" i="37"/>
  <c r="P56" i="28"/>
  <c r="O61" i="28"/>
  <c r="O57" i="28"/>
  <c r="P44" i="26"/>
  <c r="A50" i="26"/>
  <c r="B50" i="26" s="1"/>
  <c r="B49" i="26"/>
  <c r="P41" i="26"/>
  <c r="Q33" i="26"/>
  <c r="B38" i="26"/>
  <c r="C38" i="26" s="1"/>
  <c r="AD34" i="26"/>
  <c r="P37" i="26"/>
  <c r="AD38" i="26"/>
  <c r="B43" i="26"/>
  <c r="B47" i="26"/>
  <c r="B51" i="26"/>
  <c r="Q33" i="28"/>
  <c r="AD38" i="28"/>
  <c r="B38" i="28"/>
  <c r="C38" i="28" s="1"/>
  <c r="P37" i="28"/>
  <c r="AD34" i="28"/>
  <c r="B51" i="28"/>
  <c r="B43" i="28"/>
  <c r="P41" i="28"/>
  <c r="B47" i="28"/>
  <c r="P41" i="33"/>
  <c r="Q33" i="33"/>
  <c r="AD38" i="33"/>
  <c r="B38" i="33"/>
  <c r="C38" i="33" s="1"/>
  <c r="AD34" i="33"/>
  <c r="B43" i="33"/>
  <c r="B51" i="33"/>
  <c r="P37" i="33"/>
  <c r="B47" i="33"/>
  <c r="Q33" i="37"/>
  <c r="AD38" i="37"/>
  <c r="P41" i="37"/>
  <c r="AD34" i="37"/>
  <c r="P37" i="37"/>
  <c r="B38" i="37"/>
  <c r="C38" i="37" s="1"/>
  <c r="B47" i="37"/>
  <c r="B43" i="37"/>
  <c r="B51" i="37"/>
  <c r="Q33" i="43"/>
  <c r="AD38" i="43"/>
  <c r="AD34" i="43"/>
  <c r="B38" i="43"/>
  <c r="C38" i="43" s="1"/>
  <c r="P41" i="43"/>
  <c r="B47" i="43"/>
  <c r="P37" i="43"/>
  <c r="B51" i="43"/>
  <c r="B43" i="43"/>
  <c r="Q33" i="46"/>
  <c r="AD38" i="46"/>
  <c r="B47" i="46"/>
  <c r="AD34" i="46"/>
  <c r="P37" i="46"/>
  <c r="P41" i="46"/>
  <c r="B38" i="46"/>
  <c r="C38" i="46" s="1"/>
  <c r="B51" i="46"/>
  <c r="B43" i="46"/>
  <c r="B40" i="59"/>
  <c r="C40" i="59" s="1"/>
  <c r="P39" i="59"/>
  <c r="Q34" i="59"/>
  <c r="P44" i="59"/>
  <c r="AD40" i="59"/>
  <c r="B46" i="59"/>
  <c r="AD35" i="59"/>
  <c r="B56" i="59"/>
  <c r="B51" i="59"/>
  <c r="AD155" i="61"/>
  <c r="C155" i="61"/>
  <c r="AD69" i="61"/>
  <c r="BD130" i="61"/>
  <c r="P52" i="59"/>
  <c r="Q52" i="59" s="1"/>
  <c r="A71" i="49"/>
  <c r="A67" i="49"/>
  <c r="B66" i="49"/>
  <c r="A55" i="42"/>
  <c r="B55" i="42" s="1"/>
  <c r="B54" i="42"/>
  <c r="A50" i="38"/>
  <c r="B50" i="38" s="1"/>
  <c r="B49" i="38"/>
  <c r="B48" i="30"/>
  <c r="O50" i="36"/>
  <c r="P50" i="36" s="1"/>
  <c r="P49" i="36"/>
  <c r="P57" i="29"/>
  <c r="O58" i="29"/>
  <c r="I53" i="15"/>
  <c r="BG30" i="15"/>
  <c r="BD137" i="61"/>
  <c r="AA45" i="47"/>
  <c r="AO45" i="47" s="1"/>
  <c r="W45" i="47"/>
  <c r="AA44" i="47"/>
  <c r="AO44" i="47" s="1"/>
  <c r="W44" i="47"/>
  <c r="AD59" i="40"/>
  <c r="P77" i="32"/>
  <c r="O78" i="32"/>
  <c r="P44" i="31"/>
  <c r="J155" i="61"/>
  <c r="AK155" i="61"/>
  <c r="AK69" i="61"/>
  <c r="AL45" i="46"/>
  <c r="AL44" i="46"/>
  <c r="AH45" i="46"/>
  <c r="AH44" i="46"/>
  <c r="AA45" i="42"/>
  <c r="AO45" i="42" s="1"/>
  <c r="W45" i="42"/>
  <c r="AA44" i="42"/>
  <c r="AO44" i="42" s="1"/>
  <c r="W44" i="42"/>
  <c r="A50" i="49"/>
  <c r="B50" i="49" s="1"/>
  <c r="B49" i="49"/>
  <c r="AC63" i="42"/>
  <c r="AC59" i="42"/>
  <c r="AD59" i="42" s="1"/>
  <c r="AD58" i="42"/>
  <c r="P56" i="35"/>
  <c r="AD53" i="33"/>
  <c r="AD53" i="31"/>
  <c r="P44" i="37"/>
  <c r="O45" i="37"/>
  <c r="P45" i="37" s="1"/>
  <c r="AA45" i="34"/>
  <c r="AO45" i="34" s="1"/>
  <c r="W45" i="34"/>
  <c r="AA44" i="34"/>
  <c r="AO44" i="34" s="1"/>
  <c r="W44" i="34"/>
  <c r="P52" i="36"/>
  <c r="P44" i="38"/>
  <c r="P40" i="38"/>
  <c r="P48" i="43"/>
  <c r="Q48" i="43" s="1"/>
  <c r="O49" i="43"/>
  <c r="AI47" i="34"/>
  <c r="AL49" i="34"/>
  <c r="AH49" i="34"/>
  <c r="AL50" i="34"/>
  <c r="AH50" i="34"/>
  <c r="A71" i="27"/>
  <c r="A67" i="27"/>
  <c r="B66" i="27"/>
  <c r="AN59" i="59"/>
  <c r="AJ59" i="59"/>
  <c r="AN60" i="59"/>
  <c r="AJ60" i="59"/>
  <c r="AK57" i="59"/>
  <c r="P56" i="50"/>
  <c r="O61" i="50"/>
  <c r="O57" i="50"/>
  <c r="P57" i="48"/>
  <c r="O58" i="48"/>
  <c r="AA45" i="44"/>
  <c r="AO45" i="44" s="1"/>
  <c r="W45" i="44"/>
  <c r="AA44" i="44"/>
  <c r="AO44" i="44" s="1"/>
  <c r="W44" i="44"/>
  <c r="O66" i="41"/>
  <c r="O62" i="41"/>
  <c r="P61" i="41"/>
  <c r="AJ50" i="35"/>
  <c r="AJ49" i="35"/>
  <c r="W70" i="32"/>
  <c r="AA69" i="32"/>
  <c r="AO69" i="32" s="1"/>
  <c r="W69" i="32"/>
  <c r="AA70" i="32"/>
  <c r="AO70" i="32" s="1"/>
  <c r="C44" i="35"/>
  <c r="P57" i="30"/>
  <c r="O58" i="30"/>
  <c r="O54" i="29"/>
  <c r="P53" i="29"/>
  <c r="Q53" i="29" s="1"/>
  <c r="C44" i="26"/>
  <c r="BL144" i="61"/>
  <c r="BH144" i="61"/>
  <c r="BK144" i="61"/>
  <c r="BG144" i="61"/>
  <c r="BJ144" i="61"/>
  <c r="BF144" i="61"/>
  <c r="BI144" i="61"/>
  <c r="BE144" i="61"/>
  <c r="B63" i="59"/>
  <c r="A64" i="59"/>
  <c r="B62" i="50"/>
  <c r="A63" i="50"/>
  <c r="C44" i="39"/>
  <c r="O50" i="38"/>
  <c r="P50" i="38" s="1"/>
  <c r="P49" i="38"/>
  <c r="P40" i="27"/>
  <c r="AD49" i="28"/>
  <c r="AJ50" i="26"/>
  <c r="AJ49" i="26"/>
  <c r="BL141" i="61"/>
  <c r="BH141" i="61"/>
  <c r="BK141" i="61"/>
  <c r="BG141" i="61"/>
  <c r="BJ141" i="61"/>
  <c r="BF141" i="61"/>
  <c r="BI141" i="61"/>
  <c r="BE141" i="61"/>
  <c r="AC1" i="20"/>
  <c r="AC1" i="12"/>
  <c r="AC1" i="1"/>
  <c r="P48" i="46"/>
  <c r="Q48" i="46" s="1"/>
  <c r="O49" i="46"/>
  <c r="O45" i="41"/>
  <c r="P45" i="41" s="1"/>
  <c r="P44" i="41"/>
  <c r="C44" i="40"/>
  <c r="AC59" i="37"/>
  <c r="AD59" i="37" s="1"/>
  <c r="AD58" i="37"/>
  <c r="AC63" i="37"/>
  <c r="AL55" i="36"/>
  <c r="AH55" i="36"/>
  <c r="AL54" i="36"/>
  <c r="AH54" i="36"/>
  <c r="O66" i="36"/>
  <c r="O62" i="36"/>
  <c r="P61" i="36"/>
  <c r="C44" i="28"/>
  <c r="P57" i="59"/>
  <c r="M45" i="41"/>
  <c r="I45" i="41"/>
  <c r="G44" i="41"/>
  <c r="M44" i="41"/>
  <c r="I44" i="41"/>
  <c r="A54" i="46"/>
  <c r="B53" i="46"/>
  <c r="AD49" i="38"/>
  <c r="BE136" i="61"/>
  <c r="B61" i="45"/>
  <c r="A66" i="45"/>
  <c r="A62" i="45"/>
  <c r="P52" i="43"/>
  <c r="O53" i="43"/>
  <c r="B61" i="39"/>
  <c r="A66" i="39"/>
  <c r="A62" i="39"/>
  <c r="O53" i="33"/>
  <c r="P52" i="33"/>
  <c r="AL45" i="30"/>
  <c r="AH45" i="30"/>
  <c r="AL44" i="30"/>
  <c r="AH44" i="30"/>
  <c r="B57" i="26"/>
  <c r="A58" i="26"/>
  <c r="AA16" i="5"/>
  <c r="AG16" i="5" s="1"/>
  <c r="B46" i="29"/>
  <c r="B42" i="29"/>
  <c r="B37" i="29"/>
  <c r="C37" i="29" s="1"/>
  <c r="Q32" i="29"/>
  <c r="P36" i="29"/>
  <c r="AK60" i="29"/>
  <c r="AD33" i="29"/>
  <c r="P36" i="27"/>
  <c r="AK60" i="27"/>
  <c r="AD33" i="27"/>
  <c r="B37" i="27"/>
  <c r="C37" i="27" s="1"/>
  <c r="Q32" i="27"/>
  <c r="B42" i="27"/>
  <c r="B46" i="27"/>
  <c r="B37" i="36"/>
  <c r="C37" i="36" s="1"/>
  <c r="Q32" i="36"/>
  <c r="P36" i="36"/>
  <c r="AK60" i="36"/>
  <c r="AD33" i="36"/>
  <c r="B42" i="36"/>
  <c r="B46" i="36"/>
  <c r="B37" i="39"/>
  <c r="C37" i="39" s="1"/>
  <c r="Q32" i="39"/>
  <c r="P36" i="39"/>
  <c r="AK60" i="39"/>
  <c r="AD33" i="39"/>
  <c r="B42" i="39"/>
  <c r="B46" i="39"/>
  <c r="B46" i="42"/>
  <c r="B42" i="42"/>
  <c r="B37" i="42"/>
  <c r="C37" i="42" s="1"/>
  <c r="Q32" i="42"/>
  <c r="P36" i="42"/>
  <c r="AK60" i="42"/>
  <c r="AD33" i="42"/>
  <c r="AK60" i="45"/>
  <c r="AD33" i="45"/>
  <c r="B37" i="45"/>
  <c r="C37" i="45" s="1"/>
  <c r="Q32" i="45"/>
  <c r="P36" i="45"/>
  <c r="B42" i="45"/>
  <c r="B46" i="45"/>
  <c r="B1" i="53"/>
  <c r="AD53" i="59"/>
  <c r="B62" i="41"/>
  <c r="A63" i="41"/>
  <c r="P56" i="40"/>
  <c r="O61" i="40"/>
  <c r="O57" i="40"/>
  <c r="P40" i="37"/>
  <c r="AC63" i="39"/>
  <c r="AC59" i="39"/>
  <c r="AD59" i="39" s="1"/>
  <c r="AD58" i="39"/>
  <c r="A59" i="35"/>
  <c r="B58" i="35"/>
  <c r="O53" i="27"/>
  <c r="P52" i="27"/>
  <c r="AC4" i="5"/>
  <c r="AC5" i="5" s="1"/>
  <c r="AC6" i="5" s="1"/>
  <c r="AC7" i="5" s="1"/>
  <c r="AC8" i="5" s="1"/>
  <c r="AC9" i="5" s="1"/>
  <c r="AC10" i="5" s="1"/>
  <c r="AC11" i="5" s="1"/>
  <c r="AC12" i="5" s="1"/>
  <c r="AC13" i="5" s="1"/>
  <c r="AC14" i="5" s="1"/>
  <c r="AC15" i="5" s="1"/>
  <c r="AC16" i="5" s="1"/>
  <c r="AS4" i="5"/>
  <c r="W4" i="5"/>
  <c r="Z4" i="5"/>
  <c r="W1" i="5" s="1"/>
  <c r="AS4" i="2"/>
  <c r="W4" i="2"/>
  <c r="Z4" i="2"/>
  <c r="W1" i="2" s="1"/>
  <c r="AC4" i="2"/>
  <c r="AC5" i="2" s="1"/>
  <c r="AC6" i="2" s="1"/>
  <c r="AC7" i="2" s="1"/>
  <c r="AC8" i="2" s="1"/>
  <c r="AC9" i="2" s="1"/>
  <c r="AC10" i="2" s="1"/>
  <c r="AC11" i="2" s="1"/>
  <c r="AC12" i="2" s="1"/>
  <c r="AC13" i="2" s="1"/>
  <c r="AC14" i="2" s="1"/>
  <c r="AC15" i="2" s="1"/>
  <c r="AC16" i="2" s="1"/>
  <c r="AS4" i="1"/>
  <c r="Z4" i="1"/>
  <c r="W1" i="1" s="1"/>
  <c r="AC4" i="1"/>
  <c r="AC5" i="1" s="1"/>
  <c r="AC6" i="1" s="1"/>
  <c r="AC7" i="1" s="1"/>
  <c r="AC8" i="1" s="1"/>
  <c r="AC9" i="1" s="1"/>
  <c r="AC10" i="1" s="1"/>
  <c r="AC11" i="1" s="1"/>
  <c r="AC12" i="1" s="1"/>
  <c r="AC13" i="1" s="1"/>
  <c r="AC14" i="1" s="1"/>
  <c r="AC15" i="1" s="1"/>
  <c r="AC16" i="1" s="1"/>
  <c r="W4" i="1"/>
  <c r="E4" i="6"/>
  <c r="C4" i="6"/>
  <c r="AC4" i="9"/>
  <c r="AC5" i="9" s="1"/>
  <c r="AC6" i="9" s="1"/>
  <c r="AC7" i="9" s="1"/>
  <c r="AC8" i="9" s="1"/>
  <c r="AC9" i="9" s="1"/>
  <c r="AC10" i="9" s="1"/>
  <c r="AC11" i="9" s="1"/>
  <c r="AC12" i="9" s="1"/>
  <c r="AC13" i="9" s="1"/>
  <c r="AC14" i="9" s="1"/>
  <c r="AC15" i="9" s="1"/>
  <c r="AC16" i="9" s="1"/>
  <c r="AS4" i="9"/>
  <c r="W4" i="9"/>
  <c r="Z4" i="9"/>
  <c r="W1" i="9" s="1"/>
  <c r="Z4" i="17"/>
  <c r="W1" i="17" s="1"/>
  <c r="AC4" i="17"/>
  <c r="AC5" i="17" s="1"/>
  <c r="AC6" i="17" s="1"/>
  <c r="AC7" i="17" s="1"/>
  <c r="AC8" i="17" s="1"/>
  <c r="AC9" i="17" s="1"/>
  <c r="AC10" i="17" s="1"/>
  <c r="AC11" i="17" s="1"/>
  <c r="AC12" i="17" s="1"/>
  <c r="AC13" i="17" s="1"/>
  <c r="AC14" i="17" s="1"/>
  <c r="AC15" i="17" s="1"/>
  <c r="AC16" i="17" s="1"/>
  <c r="AS4" i="17"/>
  <c r="W4" i="17"/>
  <c r="C4" i="13"/>
  <c r="E4" i="13"/>
  <c r="C4" i="21"/>
  <c r="E4" i="21"/>
  <c r="AS4" i="11"/>
  <c r="W4" i="11"/>
  <c r="Z4" i="11"/>
  <c r="W1" i="11" s="1"/>
  <c r="AC4" i="11"/>
  <c r="AC5" i="11" s="1"/>
  <c r="AC6" i="11" s="1"/>
  <c r="AC7" i="11" s="1"/>
  <c r="AC8" i="11" s="1"/>
  <c r="AC9" i="11" s="1"/>
  <c r="AC10" i="11" s="1"/>
  <c r="AC11" i="11" s="1"/>
  <c r="AC12" i="11" s="1"/>
  <c r="AC13" i="11" s="1"/>
  <c r="AC14" i="11" s="1"/>
  <c r="AC15" i="11" s="1"/>
  <c r="AC16" i="11" s="1"/>
  <c r="AS4" i="19"/>
  <c r="W4" i="19"/>
  <c r="Z4" i="19"/>
  <c r="W1" i="19" s="1"/>
  <c r="AC4" i="19"/>
  <c r="AC5" i="19" s="1"/>
  <c r="AC6" i="19" s="1"/>
  <c r="AC7" i="19" s="1"/>
  <c r="AC8" i="19" s="1"/>
  <c r="AC9" i="19" s="1"/>
  <c r="AC10" i="19" s="1"/>
  <c r="AC11" i="19" s="1"/>
  <c r="AC12" i="19" s="1"/>
  <c r="AC13" i="19" s="1"/>
  <c r="AC14" i="19" s="1"/>
  <c r="AC15" i="19" s="1"/>
  <c r="AC16" i="19" s="1"/>
  <c r="AS4" i="12"/>
  <c r="W4" i="12"/>
  <c r="Z4" i="12"/>
  <c r="W1" i="12" s="1"/>
  <c r="AC4" i="12"/>
  <c r="AC5" i="12" s="1"/>
  <c r="AC6" i="12" s="1"/>
  <c r="AC7" i="12" s="1"/>
  <c r="AC8" i="12" s="1"/>
  <c r="AC9" i="12" s="1"/>
  <c r="AC10" i="12" s="1"/>
  <c r="AC11" i="12" s="1"/>
  <c r="AC12" i="12" s="1"/>
  <c r="AC13" i="12" s="1"/>
  <c r="AC14" i="12" s="1"/>
  <c r="AC15" i="12" s="1"/>
  <c r="AC16" i="12" s="1"/>
  <c r="AS4" i="20"/>
  <c r="W4" i="20"/>
  <c r="Z4" i="20"/>
  <c r="W1" i="20" s="1"/>
  <c r="AC4" i="20"/>
  <c r="AC5" i="20" s="1"/>
  <c r="AC6" i="20" s="1"/>
  <c r="AC7" i="20" s="1"/>
  <c r="AC8" i="20" s="1"/>
  <c r="AC9" i="20" s="1"/>
  <c r="AC10" i="20" s="1"/>
  <c r="AC11" i="20" s="1"/>
  <c r="AC12" i="20" s="1"/>
  <c r="AC13" i="20" s="1"/>
  <c r="AC14" i="20" s="1"/>
  <c r="AC15" i="20" s="1"/>
  <c r="AC16" i="20" s="1"/>
  <c r="AS4" i="24"/>
  <c r="W4" i="24"/>
  <c r="Z4" i="24"/>
  <c r="W1" i="24" s="1"/>
  <c r="AC4" i="24"/>
  <c r="AC5" i="24" s="1"/>
  <c r="AC6" i="24" s="1"/>
  <c r="AC7" i="24" s="1"/>
  <c r="AC8" i="24" s="1"/>
  <c r="AC9" i="24" s="1"/>
  <c r="AC10" i="24" s="1"/>
  <c r="AC11" i="24" s="1"/>
  <c r="AC12" i="24" s="1"/>
  <c r="AC13" i="24" s="1"/>
  <c r="AC14" i="24" s="1"/>
  <c r="AC15" i="24" s="1"/>
  <c r="AC16" i="24" s="1"/>
  <c r="C4" i="50"/>
  <c r="P62" i="59"/>
  <c r="AC54" i="47"/>
  <c r="AD54" i="47" s="1"/>
  <c r="AD53" i="47"/>
  <c r="AC58" i="47"/>
  <c r="AL44" i="45"/>
  <c r="AH44" i="45"/>
  <c r="AL45" i="45"/>
  <c r="AH45" i="45"/>
  <c r="B49" i="40"/>
  <c r="A50" i="40"/>
  <c r="B50" i="40" s="1"/>
  <c r="AI62" i="40"/>
  <c r="AL64" i="40"/>
  <c r="AH64" i="40"/>
  <c r="AL65" i="40"/>
  <c r="AH65" i="40"/>
  <c r="P40" i="36"/>
  <c r="A59" i="34"/>
  <c r="B58" i="34"/>
  <c r="B66" i="28"/>
  <c r="A71" i="28"/>
  <c r="A67" i="28"/>
  <c r="P52" i="26"/>
  <c r="AD63" i="43"/>
  <c r="AD59" i="43"/>
  <c r="AD63" i="46"/>
  <c r="AD59" i="46"/>
  <c r="AI155" i="61"/>
  <c r="H155" i="61"/>
  <c r="AI69" i="61"/>
  <c r="AC1" i="3"/>
  <c r="AA45" i="29"/>
  <c r="AO45" i="29" s="1"/>
  <c r="W45" i="29"/>
  <c r="AA44" i="29"/>
  <c r="AO44" i="29" s="1"/>
  <c r="W44" i="29"/>
  <c r="B61" i="46"/>
  <c r="A62" i="46"/>
  <c r="A66" i="46"/>
  <c r="P56" i="46"/>
  <c r="O61" i="46"/>
  <c r="O57" i="46"/>
  <c r="W45" i="43"/>
  <c r="AA44" i="43"/>
  <c r="AO44" i="43" s="1"/>
  <c r="AA45" i="43"/>
  <c r="AO45" i="43" s="1"/>
  <c r="W44" i="43"/>
  <c r="B62" i="40"/>
  <c r="A63" i="40"/>
  <c r="O57" i="39"/>
  <c r="P56" i="39"/>
  <c r="O61" i="39"/>
  <c r="A50" i="33"/>
  <c r="B50" i="33" s="1"/>
  <c r="B49" i="33"/>
  <c r="A50" i="35"/>
  <c r="B50" i="35" s="1"/>
  <c r="B49" i="35"/>
  <c r="AD49" i="29"/>
  <c r="M45" i="38"/>
  <c r="I45" i="38"/>
  <c r="G44" i="38"/>
  <c r="M44" i="38"/>
  <c r="I44" i="38"/>
  <c r="A55" i="33"/>
  <c r="B55" i="33" s="1"/>
  <c r="B54" i="33"/>
  <c r="O49" i="34"/>
  <c r="P48" i="34"/>
  <c r="Q48" i="34" s="1"/>
  <c r="A63" i="33"/>
  <c r="B62" i="33"/>
  <c r="B62" i="29"/>
  <c r="A63" i="29"/>
  <c r="AD53" i="28"/>
  <c r="O50" i="48"/>
  <c r="P50" i="48" s="1"/>
  <c r="P49" i="48"/>
  <c r="P40" i="41"/>
  <c r="P44" i="28"/>
  <c r="O45" i="28"/>
  <c r="P45" i="28" s="1"/>
  <c r="Z5" i="21"/>
  <c r="Z5" i="13"/>
  <c r="W5" i="23"/>
  <c r="W5" i="15"/>
  <c r="A71" i="44"/>
  <c r="A67" i="44"/>
  <c r="B66" i="44"/>
  <c r="W54" i="32"/>
  <c r="W55" i="32"/>
  <c r="AA54" i="32"/>
  <c r="AO54" i="32" s="1"/>
  <c r="AA55" i="32"/>
  <c r="AO55" i="32" s="1"/>
  <c r="AL54" i="34"/>
  <c r="AH54" i="34"/>
  <c r="AL55" i="34"/>
  <c r="AH55" i="34"/>
  <c r="AI67" i="46"/>
  <c r="AL69" i="46"/>
  <c r="AH69" i="46"/>
  <c r="AH70" i="46"/>
  <c r="AL70" i="46"/>
  <c r="P44" i="36"/>
  <c r="BD150" i="61"/>
  <c r="AJ49" i="40"/>
  <c r="AJ50" i="40"/>
  <c r="O53" i="44"/>
  <c r="P52" i="44"/>
  <c r="BD152" i="61"/>
  <c r="B39" i="28"/>
  <c r="C39" i="28" s="1"/>
  <c r="Q34" i="28"/>
  <c r="AD43" i="28"/>
  <c r="AI42" i="28" s="1"/>
  <c r="P38" i="28"/>
  <c r="Q38" i="28" s="1"/>
  <c r="AD39" i="28"/>
  <c r="B56" i="28"/>
  <c r="B44" i="28"/>
  <c r="P46" i="28"/>
  <c r="B52" i="28"/>
  <c r="P42" i="28"/>
  <c r="Q34" i="32"/>
  <c r="B39" i="32"/>
  <c r="C39" i="32" s="1"/>
  <c r="P46" i="32"/>
  <c r="P42" i="32"/>
  <c r="B48" i="32"/>
  <c r="AD43" i="32"/>
  <c r="P38" i="32"/>
  <c r="Q38" i="32" s="1"/>
  <c r="B44" i="32"/>
  <c r="B56" i="32"/>
  <c r="B52" i="32"/>
  <c r="AD39" i="32"/>
  <c r="Q34" i="36"/>
  <c r="B39" i="36"/>
  <c r="C39" i="36" s="1"/>
  <c r="P42" i="36"/>
  <c r="AD43" i="36"/>
  <c r="AI42" i="36" s="1"/>
  <c r="P46" i="36"/>
  <c r="P38" i="36"/>
  <c r="Q38" i="36" s="1"/>
  <c r="AD39" i="36"/>
  <c r="Q34" i="39"/>
  <c r="AD43" i="39"/>
  <c r="AI42" i="39" s="1"/>
  <c r="P42" i="39"/>
  <c r="Q44" i="39" s="1"/>
  <c r="AD39" i="39"/>
  <c r="B39" i="39"/>
  <c r="C39" i="39" s="1"/>
  <c r="P46" i="39"/>
  <c r="P38" i="39"/>
  <c r="Q38" i="39" s="1"/>
  <c r="Q34" i="45"/>
  <c r="AD43" i="45"/>
  <c r="AI42" i="45" s="1"/>
  <c r="P38" i="45"/>
  <c r="Q38" i="45" s="1"/>
  <c r="B39" i="45"/>
  <c r="C39" i="45" s="1"/>
  <c r="AD39" i="45"/>
  <c r="P42" i="45"/>
  <c r="P46" i="45"/>
  <c r="Q34" i="49"/>
  <c r="P42" i="49"/>
  <c r="AD43" i="49"/>
  <c r="AI42" i="49" s="1"/>
  <c r="P38" i="49"/>
  <c r="Q38" i="49" s="1"/>
  <c r="B39" i="49"/>
  <c r="C39" i="49" s="1"/>
  <c r="AD39" i="49"/>
  <c r="P46" i="49"/>
  <c r="B52" i="49"/>
  <c r="B56" i="49"/>
  <c r="B44" i="49"/>
  <c r="Q35" i="59"/>
  <c r="B41" i="59"/>
  <c r="C41" i="59" s="1"/>
  <c r="AD46" i="59"/>
  <c r="B47" i="59"/>
  <c r="P45" i="59"/>
  <c r="P40" i="59"/>
  <c r="Q40" i="59" s="1"/>
  <c r="P50" i="59"/>
  <c r="AD41" i="59"/>
  <c r="C5" i="21"/>
  <c r="Z5" i="3"/>
  <c r="P61" i="32"/>
  <c r="P57" i="32"/>
  <c r="AD58" i="40"/>
  <c r="AD54" i="40"/>
  <c r="AL55" i="48"/>
  <c r="AH55" i="48"/>
  <c r="AL54" i="48"/>
  <c r="AH54" i="48"/>
  <c r="P48" i="47"/>
  <c r="Q48" i="47" s="1"/>
  <c r="A50" i="42"/>
  <c r="B50" i="42" s="1"/>
  <c r="B49" i="42"/>
  <c r="B57" i="43"/>
  <c r="A58" i="43"/>
  <c r="O50" i="41"/>
  <c r="P50" i="41" s="1"/>
  <c r="P49" i="41"/>
  <c r="A50" i="29"/>
  <c r="B50" i="29" s="1"/>
  <c r="B49" i="29"/>
  <c r="P48" i="29"/>
  <c r="Q48" i="29" s="1"/>
  <c r="AL44" i="28"/>
  <c r="AH44" i="28"/>
  <c r="AL45" i="28"/>
  <c r="AH45" i="28"/>
  <c r="P41" i="30"/>
  <c r="Q33" i="30"/>
  <c r="P37" i="30"/>
  <c r="AD38" i="30"/>
  <c r="B38" i="30"/>
  <c r="C38" i="30" s="1"/>
  <c r="AD34" i="30"/>
  <c r="B47" i="30"/>
  <c r="B51" i="30"/>
  <c r="B43" i="30"/>
  <c r="P41" i="32"/>
  <c r="Q33" i="32"/>
  <c r="P37" i="32"/>
  <c r="AD34" i="32"/>
  <c r="B47" i="32"/>
  <c r="AD38" i="32"/>
  <c r="B51" i="32"/>
  <c r="B43" i="32"/>
  <c r="B38" i="32"/>
  <c r="C38" i="32" s="1"/>
  <c r="Q33" i="34"/>
  <c r="AD38" i="34"/>
  <c r="B38" i="34"/>
  <c r="C38" i="34" s="1"/>
  <c r="P37" i="34"/>
  <c r="AD34" i="34"/>
  <c r="P41" i="34"/>
  <c r="B51" i="34"/>
  <c r="B43" i="34"/>
  <c r="B47" i="34"/>
  <c r="Q33" i="40"/>
  <c r="B38" i="40"/>
  <c r="C38" i="40" s="1"/>
  <c r="P37" i="40"/>
  <c r="AD34" i="40"/>
  <c r="AD38" i="40"/>
  <c r="B43" i="40"/>
  <c r="P41" i="40"/>
  <c r="B51" i="40"/>
  <c r="B47" i="40"/>
  <c r="P41" i="44"/>
  <c r="Q33" i="44"/>
  <c r="B38" i="44"/>
  <c r="C38" i="44" s="1"/>
  <c r="P37" i="44"/>
  <c r="AD34" i="44"/>
  <c r="B43" i="44"/>
  <c r="B51" i="44"/>
  <c r="AD38" i="44"/>
  <c r="B47" i="44"/>
  <c r="P41" i="48"/>
  <c r="Q33" i="48"/>
  <c r="AD38" i="48"/>
  <c r="AD34" i="48"/>
  <c r="P37" i="48"/>
  <c r="B38" i="48"/>
  <c r="C38" i="48" s="1"/>
  <c r="B43" i="48"/>
  <c r="B51" i="48"/>
  <c r="B47" i="48"/>
  <c r="P53" i="59"/>
  <c r="O54" i="59"/>
  <c r="P54" i="59" s="1"/>
  <c r="P48" i="49"/>
  <c r="Q48" i="49" s="1"/>
  <c r="O49" i="49"/>
  <c r="B48" i="39"/>
  <c r="AJ49" i="39"/>
  <c r="AJ50" i="39"/>
  <c r="A50" i="30"/>
  <c r="B50" i="30" s="1"/>
  <c r="B49" i="30"/>
  <c r="O66" i="29"/>
  <c r="O62" i="29"/>
  <c r="P61" i="29"/>
  <c r="A55" i="29"/>
  <c r="B55" i="29" s="1"/>
  <c r="B54" i="29"/>
  <c r="AD54" i="27"/>
  <c r="O45" i="47"/>
  <c r="P45" i="47" s="1"/>
  <c r="P44" i="47"/>
  <c r="B62" i="42"/>
  <c r="A63" i="42"/>
  <c r="B48" i="34"/>
  <c r="P81" i="32"/>
  <c r="O86" i="32"/>
  <c r="O82" i="32"/>
  <c r="P45" i="31"/>
  <c r="AJ109" i="43"/>
  <c r="AJ110" i="43"/>
  <c r="AI107" i="43"/>
  <c r="AC1" i="53"/>
  <c r="AC1" i="18"/>
  <c r="AC1" i="10"/>
  <c r="AC1" i="7"/>
  <c r="AD73" i="43"/>
  <c r="AD69" i="43"/>
  <c r="AJ50" i="46"/>
  <c r="AJ49" i="46"/>
  <c r="A54" i="48"/>
  <c r="B53" i="48"/>
  <c r="P40" i="46"/>
  <c r="O54" i="38"/>
  <c r="P53" i="38"/>
  <c r="Q53" i="38" s="1"/>
  <c r="P57" i="35"/>
  <c r="O58" i="35"/>
  <c r="AD54" i="33"/>
  <c r="AD54" i="31"/>
  <c r="AC1" i="2"/>
  <c r="AC59" i="50"/>
  <c r="AD59" i="50" s="1"/>
  <c r="AD58" i="50"/>
  <c r="AC63" i="50"/>
  <c r="A59" i="40"/>
  <c r="B58" i="40"/>
  <c r="P56" i="38"/>
  <c r="P44" i="34"/>
  <c r="O45" i="34"/>
  <c r="P45" i="34" s="1"/>
  <c r="O50" i="30"/>
  <c r="P50" i="30" s="1"/>
  <c r="P49" i="30"/>
  <c r="P40" i="32"/>
  <c r="P56" i="32"/>
  <c r="P52" i="32"/>
  <c r="P44" i="35"/>
  <c r="C44" i="50"/>
  <c r="B61" i="30"/>
  <c r="A66" i="30"/>
  <c r="A62" i="30"/>
  <c r="I53" i="21"/>
  <c r="BG30" i="21"/>
  <c r="P44" i="42"/>
  <c r="P44" i="45"/>
  <c r="A54" i="59"/>
  <c r="B54" i="59" s="1"/>
  <c r="B53" i="59"/>
  <c r="P57" i="42"/>
  <c r="O58" i="42"/>
  <c r="P44" i="40"/>
  <c r="O45" i="40"/>
  <c r="P45" i="40" s="1"/>
  <c r="W45" i="26"/>
  <c r="AA44" i="26"/>
  <c r="AO44" i="26" s="1"/>
  <c r="W44" i="26"/>
  <c r="AA45" i="26"/>
  <c r="AO45" i="26" s="1"/>
  <c r="A59" i="32"/>
  <c r="B58" i="32"/>
  <c r="A54" i="26"/>
  <c r="B53" i="26"/>
  <c r="BL140" i="61"/>
  <c r="BH140" i="61"/>
  <c r="BK140" i="61"/>
  <c r="BG140" i="61"/>
  <c r="BI140" i="61"/>
  <c r="BF140" i="61"/>
  <c r="BE140" i="61"/>
  <c r="BJ140" i="61"/>
  <c r="AJ70" i="43"/>
  <c r="AJ69" i="43"/>
  <c r="AD64" i="59"/>
  <c r="AC70" i="59"/>
  <c r="AC65" i="59"/>
  <c r="AD65" i="59" s="1"/>
  <c r="A59" i="49"/>
  <c r="B58" i="49"/>
  <c r="P40" i="49"/>
  <c r="AC79" i="46"/>
  <c r="AD79" i="46" s="1"/>
  <c r="AD78" i="46"/>
  <c r="AC83" i="46"/>
  <c r="AL44" i="41"/>
  <c r="AH44" i="41"/>
  <c r="AL45" i="41"/>
  <c r="AH45" i="41"/>
  <c r="P48" i="40"/>
  <c r="Q48" i="40" s="1"/>
  <c r="O49" i="40"/>
  <c r="AA45" i="39"/>
  <c r="AO45" i="39" s="1"/>
  <c r="W45" i="39"/>
  <c r="AA44" i="39"/>
  <c r="AO44" i="39" s="1"/>
  <c r="W44" i="39"/>
  <c r="AD49" i="35"/>
  <c r="P69" i="32"/>
  <c r="O70" i="32"/>
  <c r="P70" i="32" s="1"/>
  <c r="AA45" i="33"/>
  <c r="AO45" i="33" s="1"/>
  <c r="W45" i="33"/>
  <c r="AA44" i="33"/>
  <c r="AO44" i="33" s="1"/>
  <c r="W44" i="33"/>
  <c r="AL45" i="33"/>
  <c r="AH45" i="33"/>
  <c r="AL44" i="33"/>
  <c r="AH44" i="33"/>
  <c r="AD53" i="30"/>
  <c r="AI52" i="30" s="1"/>
  <c r="P52" i="29"/>
  <c r="AL44" i="26"/>
  <c r="AH44" i="26"/>
  <c r="AL45" i="26"/>
  <c r="AH45" i="26"/>
  <c r="AJ89" i="43"/>
  <c r="AJ90" i="43"/>
  <c r="B66" i="50"/>
  <c r="A71" i="50"/>
  <c r="A67" i="50"/>
  <c r="A50" i="44"/>
  <c r="B50" i="44" s="1"/>
  <c r="B49" i="44"/>
  <c r="C44" i="46"/>
  <c r="A59" i="42"/>
  <c r="B58" i="42"/>
  <c r="AL45" i="36"/>
  <c r="AH45" i="36"/>
  <c r="AL44" i="36"/>
  <c r="AH44" i="36"/>
  <c r="C44" i="34"/>
  <c r="P57" i="26"/>
  <c r="O58" i="26"/>
  <c r="AC1" i="9"/>
  <c r="AC1" i="6"/>
  <c r="AA45" i="38"/>
  <c r="AO45" i="38" s="1"/>
  <c r="W45" i="38"/>
  <c r="AA44" i="38"/>
  <c r="AO44" i="38" s="1"/>
  <c r="W44" i="38"/>
  <c r="AA45" i="35"/>
  <c r="AO45" i="35" s="1"/>
  <c r="W45" i="35"/>
  <c r="AA44" i="35"/>
  <c r="AO44" i="35" s="1"/>
  <c r="W44" i="35"/>
  <c r="AC54" i="44"/>
  <c r="AD54" i="44" s="1"/>
  <c r="AD53" i="44"/>
  <c r="AC58" i="44"/>
  <c r="B62" i="38"/>
  <c r="A63" i="38"/>
  <c r="AD53" i="37"/>
  <c r="AC63" i="36"/>
  <c r="AC59" i="36"/>
  <c r="AD59" i="36" s="1"/>
  <c r="AD58" i="36"/>
  <c r="P56" i="36"/>
  <c r="P48" i="26"/>
  <c r="Q48" i="26" s="1"/>
  <c r="AC63" i="32"/>
  <c r="AC59" i="32"/>
  <c r="AD59" i="32" s="1"/>
  <c r="AD58" i="32"/>
  <c r="A50" i="47"/>
  <c r="B50" i="47" s="1"/>
  <c r="B49" i="47"/>
  <c r="C44" i="43"/>
  <c r="A59" i="28"/>
  <c r="B58" i="28"/>
  <c r="AC63" i="26"/>
  <c r="AC59" i="26"/>
  <c r="AD59" i="26" s="1"/>
  <c r="AD58" i="26"/>
  <c r="B57" i="48"/>
  <c r="A58" i="48"/>
  <c r="AD49" i="37"/>
  <c r="BE129" i="61"/>
  <c r="C44" i="36"/>
  <c r="A54" i="30"/>
  <c r="B53" i="30"/>
  <c r="O53" i="31"/>
  <c r="P52" i="31"/>
  <c r="AA16" i="21"/>
  <c r="AG16" i="21" s="1"/>
  <c r="AA16" i="13"/>
  <c r="AG16" i="13" s="1"/>
  <c r="AA16" i="20"/>
  <c r="AG16" i="20" s="1"/>
  <c r="AA16" i="12"/>
  <c r="AG16" i="12" s="1"/>
  <c r="BI146" i="61"/>
  <c r="BE146" i="61"/>
  <c r="BK146" i="61"/>
  <c r="BG146" i="61"/>
  <c r="BJ146" i="61"/>
  <c r="BH146" i="61"/>
  <c r="BF146" i="61"/>
  <c r="BL146" i="61"/>
  <c r="B37" i="26"/>
  <c r="C37" i="26" s="1"/>
  <c r="Q32" i="26"/>
  <c r="AK60" i="26"/>
  <c r="AD33" i="26"/>
  <c r="P36" i="26"/>
  <c r="B42" i="26"/>
  <c r="B46" i="26"/>
  <c r="P36" i="31"/>
  <c r="AK60" i="31"/>
  <c r="AD33" i="31"/>
  <c r="B37" i="31"/>
  <c r="C37" i="31" s="1"/>
  <c r="Q32" i="31"/>
  <c r="B46" i="31"/>
  <c r="B42" i="31"/>
  <c r="P36" i="33"/>
  <c r="AK60" i="33"/>
  <c r="AD33" i="33"/>
  <c r="B37" i="33"/>
  <c r="C37" i="33" s="1"/>
  <c r="Q32" i="33"/>
  <c r="B42" i="33"/>
  <c r="B46" i="33"/>
  <c r="AK60" i="37"/>
  <c r="AD33" i="37"/>
  <c r="B37" i="37"/>
  <c r="C37" i="37" s="1"/>
  <c r="Q32" i="37"/>
  <c r="P36" i="37"/>
  <c r="B42" i="37"/>
  <c r="B46" i="37"/>
  <c r="B37" i="43"/>
  <c r="C37" i="43" s="1"/>
  <c r="Q32" i="43"/>
  <c r="AK60" i="43"/>
  <c r="AD33" i="43"/>
  <c r="P36" i="43"/>
  <c r="B46" i="43"/>
  <c r="B42" i="43"/>
  <c r="AK60" i="46"/>
  <c r="AD33" i="46"/>
  <c r="B37" i="46"/>
  <c r="C37" i="46" s="1"/>
  <c r="Q32" i="46"/>
  <c r="P36" i="46"/>
  <c r="B42" i="46"/>
  <c r="B46" i="46"/>
  <c r="AK60" i="50"/>
  <c r="AD33" i="50"/>
  <c r="B46" i="50"/>
  <c r="B42" i="50"/>
  <c r="B37" i="50"/>
  <c r="C37" i="50" s="1"/>
  <c r="Q32" i="50"/>
  <c r="P36" i="50"/>
  <c r="AP63" i="61"/>
  <c r="AP59" i="61"/>
  <c r="AP55" i="61"/>
  <c r="AP51" i="61"/>
  <c r="AP47" i="61"/>
  <c r="AP43" i="61"/>
  <c r="AP39" i="61"/>
  <c r="AP62" i="61"/>
  <c r="AP58" i="61"/>
  <c r="AP54" i="61"/>
  <c r="AP50" i="61"/>
  <c r="AP46" i="61"/>
  <c r="AP42" i="61"/>
  <c r="AP61" i="61"/>
  <c r="AP57" i="61"/>
  <c r="AP53" i="61"/>
  <c r="AP49" i="61"/>
  <c r="AP45" i="61"/>
  <c r="AP41" i="61"/>
  <c r="AP60" i="61"/>
  <c r="AP56" i="61"/>
  <c r="AP52" i="61"/>
  <c r="AP48" i="61"/>
  <c r="AP44" i="61"/>
  <c r="AP40" i="61"/>
  <c r="O53" i="49"/>
  <c r="P52" i="49"/>
  <c r="P56" i="47"/>
  <c r="A50" i="45"/>
  <c r="B50" i="45" s="1"/>
  <c r="B49" i="45"/>
  <c r="B66" i="41"/>
  <c r="A71" i="41"/>
  <c r="A67" i="41"/>
  <c r="AA45" i="36"/>
  <c r="AO45" i="36" s="1"/>
  <c r="W45" i="36"/>
  <c r="AA44" i="36"/>
  <c r="AO44" i="36" s="1"/>
  <c r="W44" i="36"/>
  <c r="P40" i="35"/>
  <c r="P44" i="27"/>
  <c r="AC4" i="8"/>
  <c r="AC5" i="8" s="1"/>
  <c r="AC6" i="8" s="1"/>
  <c r="AC7" i="8" s="1"/>
  <c r="AC8" i="8" s="1"/>
  <c r="AC9" i="8" s="1"/>
  <c r="AC10" i="8" s="1"/>
  <c r="AC11" i="8" s="1"/>
  <c r="AC12" i="8" s="1"/>
  <c r="AC13" i="8" s="1"/>
  <c r="AC14" i="8" s="1"/>
  <c r="AC15" i="8" s="1"/>
  <c r="AC16" i="8" s="1"/>
  <c r="AS4" i="8"/>
  <c r="Z4" i="8"/>
  <c r="W1" i="8" s="1"/>
  <c r="W4" i="8"/>
  <c r="E4" i="5"/>
  <c r="C4" i="5"/>
  <c r="AC4" i="7"/>
  <c r="AC5" i="7" s="1"/>
  <c r="AC6" i="7" s="1"/>
  <c r="AC7" i="7" s="1"/>
  <c r="AC8" i="7" s="1"/>
  <c r="AC9" i="7" s="1"/>
  <c r="AC10" i="7" s="1"/>
  <c r="AC11" i="7" s="1"/>
  <c r="AC12" i="7" s="1"/>
  <c r="AC13" i="7" s="1"/>
  <c r="AC14" i="7" s="1"/>
  <c r="AC15" i="7" s="1"/>
  <c r="AC16" i="7" s="1"/>
  <c r="W4" i="7"/>
  <c r="AS4" i="7"/>
  <c r="Z4" i="7"/>
  <c r="W1" i="7" s="1"/>
  <c r="C4" i="1"/>
  <c r="E4" i="1"/>
  <c r="E4" i="7"/>
  <c r="C4" i="7"/>
  <c r="C4" i="12"/>
  <c r="E4" i="12"/>
  <c r="C4" i="20"/>
  <c r="E4" i="20"/>
  <c r="AC4" i="14"/>
  <c r="AC5" i="14" s="1"/>
  <c r="AC6" i="14" s="1"/>
  <c r="AC7" i="14" s="1"/>
  <c r="AC8" i="14" s="1"/>
  <c r="AC9" i="14" s="1"/>
  <c r="AC10" i="14" s="1"/>
  <c r="AC11" i="14" s="1"/>
  <c r="AC12" i="14" s="1"/>
  <c r="AC13" i="14" s="1"/>
  <c r="AC14" i="14" s="1"/>
  <c r="AC15" i="14" s="1"/>
  <c r="AC16" i="14" s="1"/>
  <c r="AS4" i="14"/>
  <c r="W4" i="14"/>
  <c r="Z4" i="14"/>
  <c r="W1" i="14" s="1"/>
  <c r="AC4" i="22"/>
  <c r="AC5" i="22" s="1"/>
  <c r="AC6" i="22" s="1"/>
  <c r="AC7" i="22" s="1"/>
  <c r="AC8" i="22" s="1"/>
  <c r="AC9" i="22" s="1"/>
  <c r="AC10" i="22" s="1"/>
  <c r="AC11" i="22" s="1"/>
  <c r="AC12" i="22" s="1"/>
  <c r="AC13" i="22" s="1"/>
  <c r="AC14" i="22" s="1"/>
  <c r="AC15" i="22" s="1"/>
  <c r="AC16" i="22" s="1"/>
  <c r="AS4" i="22"/>
  <c r="W4" i="22"/>
  <c r="Z4" i="22"/>
  <c r="W1" i="22" s="1"/>
  <c r="E4" i="14"/>
  <c r="C4" i="14"/>
  <c r="E4" i="22"/>
  <c r="C4" i="22"/>
  <c r="B4" i="25"/>
  <c r="C4" i="25"/>
  <c r="E4" i="25"/>
  <c r="E4" i="15"/>
  <c r="C4" i="15"/>
  <c r="BC128" i="61"/>
  <c r="BD128" i="61" s="1"/>
  <c r="BD143" i="61"/>
  <c r="BD139" i="61"/>
  <c r="BD131" i="61"/>
  <c r="BD147" i="61"/>
  <c r="BD135" i="61"/>
  <c r="BD151" i="61"/>
  <c r="AJ104" i="43"/>
  <c r="AJ105" i="43"/>
  <c r="A59" i="50"/>
  <c r="B58" i="50"/>
  <c r="AJ50" i="47"/>
  <c r="AJ49" i="47"/>
  <c r="O53" i="34"/>
  <c r="P52" i="34"/>
  <c r="A63" i="31"/>
  <c r="B62" i="31"/>
  <c r="P66" i="32"/>
  <c r="P62" i="32"/>
  <c r="BD138" i="61"/>
  <c r="AA45" i="50"/>
  <c r="AO45" i="50" s="1"/>
  <c r="W45" i="50"/>
  <c r="AA44" i="50"/>
  <c r="AO44" i="50" s="1"/>
  <c r="W44" i="50"/>
  <c r="O53" i="46"/>
  <c r="P52" i="46"/>
  <c r="B66" i="40"/>
  <c r="A71" i="40"/>
  <c r="A67" i="40"/>
  <c r="A59" i="38"/>
  <c r="B58" i="38"/>
  <c r="AD49" i="36"/>
  <c r="P40" i="30"/>
  <c r="AD49" i="31"/>
  <c r="A55" i="27"/>
  <c r="B55" i="27" s="1"/>
  <c r="B54" i="27"/>
  <c r="P53" i="30"/>
  <c r="Q53" i="30" s="1"/>
  <c r="O54" i="30"/>
  <c r="O50" i="42"/>
  <c r="P50" i="42" s="1"/>
  <c r="P49" i="42"/>
  <c r="P44" i="30"/>
  <c r="A71" i="33"/>
  <c r="A67" i="33"/>
  <c r="B66" i="33"/>
  <c r="B66" i="29"/>
  <c r="A71" i="29"/>
  <c r="A67" i="29"/>
  <c r="AL54" i="28"/>
  <c r="AL155" i="61"/>
  <c r="K155" i="61"/>
  <c r="AL69" i="61"/>
  <c r="P48" i="48"/>
  <c r="Q48" i="48" s="1"/>
  <c r="W5" i="53"/>
  <c r="Z5" i="23"/>
  <c r="Z5" i="15"/>
  <c r="W5" i="7"/>
  <c r="C5" i="6"/>
  <c r="AL45" i="49"/>
  <c r="AH45" i="49"/>
  <c r="AL44" i="49"/>
  <c r="AH44" i="49"/>
  <c r="P40" i="43"/>
  <c r="AI52" i="45"/>
  <c r="AL54" i="45"/>
  <c r="AH54" i="45"/>
  <c r="AL55" i="45"/>
  <c r="AH55" i="45"/>
  <c r="A54" i="43"/>
  <c r="B53" i="43"/>
  <c r="AL45" i="39"/>
  <c r="AH45" i="39"/>
  <c r="AL44" i="39"/>
  <c r="AH44" i="39"/>
  <c r="O55" i="32"/>
  <c r="P55" i="32" s="1"/>
  <c r="P54" i="32"/>
  <c r="B66" i="32"/>
  <c r="A67" i="32"/>
  <c r="A71" i="32"/>
  <c r="AC54" i="41"/>
  <c r="AD54" i="41" s="1"/>
  <c r="AD53" i="41"/>
  <c r="AC58" i="41"/>
  <c r="AL55" i="49"/>
  <c r="AI52" i="49"/>
  <c r="AL54" i="49"/>
  <c r="AH54" i="49"/>
  <c r="O50" i="35"/>
  <c r="P50" i="35" s="1"/>
  <c r="P49" i="35"/>
  <c r="A50" i="28"/>
  <c r="B50" i="28" s="1"/>
  <c r="B49" i="28"/>
  <c r="AC1" i="21"/>
  <c r="AC1" i="13"/>
  <c r="AJ134" i="43"/>
  <c r="AJ135" i="43"/>
  <c r="I53" i="23"/>
  <c r="BG30" i="23"/>
  <c r="Q34" i="29"/>
  <c r="P42" i="29"/>
  <c r="P46" i="29"/>
  <c r="AD39" i="29"/>
  <c r="P38" i="29"/>
  <c r="B39" i="29"/>
  <c r="C39" i="29" s="1"/>
  <c r="B44" i="29"/>
  <c r="AD43" i="29"/>
  <c r="B56" i="29"/>
  <c r="B52" i="29"/>
  <c r="AD39" i="33"/>
  <c r="Q34" i="33"/>
  <c r="P38" i="33"/>
  <c r="B39" i="33"/>
  <c r="C39" i="33" s="1"/>
  <c r="AD43" i="33"/>
  <c r="AI42" i="33" s="1"/>
  <c r="P42" i="33"/>
  <c r="Q44" i="33" s="1"/>
  <c r="P46" i="33"/>
  <c r="B44" i="33"/>
  <c r="B56" i="33"/>
  <c r="B52" i="33"/>
  <c r="Q34" i="37"/>
  <c r="AD39" i="37"/>
  <c r="AD43" i="37"/>
  <c r="P38" i="37"/>
  <c r="Q38" i="37" s="1"/>
  <c r="B39" i="37"/>
  <c r="C39" i="37" s="1"/>
  <c r="P46" i="37"/>
  <c r="P42" i="37"/>
  <c r="Q34" i="41"/>
  <c r="B39" i="41"/>
  <c r="C39" i="41" s="1"/>
  <c r="P46" i="41"/>
  <c r="AD39" i="41"/>
  <c r="P38" i="41"/>
  <c r="B56" i="41"/>
  <c r="B52" i="41"/>
  <c r="AD43" i="41"/>
  <c r="AI42" i="41" s="1"/>
  <c r="B44" i="41"/>
  <c r="P42" i="41"/>
  <c r="AD43" i="43"/>
  <c r="AI42" i="43" s="1"/>
  <c r="Q34" i="43"/>
  <c r="AD39" i="43"/>
  <c r="P42" i="43"/>
  <c r="B48" i="43"/>
  <c r="P38" i="43"/>
  <c r="Q38" i="43" s="1"/>
  <c r="P46" i="43"/>
  <c r="B39" i="43"/>
  <c r="C39" i="43" s="1"/>
  <c r="Q34" i="48"/>
  <c r="B39" i="48"/>
  <c r="C39" i="48" s="1"/>
  <c r="P42" i="48"/>
  <c r="Q44" i="48" s="1"/>
  <c r="AD43" i="48"/>
  <c r="P46" i="48"/>
  <c r="AD39" i="48"/>
  <c r="P38" i="48"/>
  <c r="Q38" i="48" s="1"/>
  <c r="C5" i="13"/>
  <c r="C5" i="12"/>
  <c r="W5" i="20"/>
  <c r="W5" i="12"/>
  <c r="C5" i="22"/>
  <c r="W5" i="5"/>
  <c r="W5" i="4"/>
  <c r="I53" i="20"/>
  <c r="BG30" i="20"/>
  <c r="AD58" i="43"/>
  <c r="AD54" i="43"/>
  <c r="B48" i="48"/>
  <c r="AC63" i="48"/>
  <c r="AC59" i="48"/>
  <c r="AD59" i="48" s="1"/>
  <c r="AD58" i="48"/>
  <c r="O50" i="47"/>
  <c r="P50" i="47" s="1"/>
  <c r="P49" i="47"/>
  <c r="B56" i="43"/>
  <c r="B57" i="37"/>
  <c r="A58" i="37"/>
  <c r="P48" i="33"/>
  <c r="Q48" i="33" s="1"/>
  <c r="O49" i="33"/>
  <c r="C44" i="29"/>
  <c r="O50" i="29"/>
  <c r="P50" i="29" s="1"/>
  <c r="P49" i="29"/>
  <c r="AA16" i="17"/>
  <c r="AG16" i="17" s="1"/>
  <c r="AA16" i="16"/>
  <c r="AG16" i="16" s="1"/>
  <c r="AA16" i="8"/>
  <c r="AG16" i="8" s="1"/>
  <c r="I53" i="24"/>
  <c r="BG30" i="24"/>
  <c r="P41" i="27"/>
  <c r="Q33" i="27"/>
  <c r="AD38" i="27"/>
  <c r="B43" i="27"/>
  <c r="B38" i="27"/>
  <c r="C38" i="27" s="1"/>
  <c r="B51" i="27"/>
  <c r="P37" i="27"/>
  <c r="AD34" i="27"/>
  <c r="B47" i="27"/>
  <c r="B38" i="35"/>
  <c r="C38" i="35" s="1"/>
  <c r="P37" i="35"/>
  <c r="AD34" i="35"/>
  <c r="Q33" i="35"/>
  <c r="P41" i="35"/>
  <c r="AD38" i="35"/>
  <c r="B51" i="35"/>
  <c r="B43" i="35"/>
  <c r="B47" i="35"/>
  <c r="B38" i="38"/>
  <c r="C38" i="38" s="1"/>
  <c r="P37" i="38"/>
  <c r="AD34" i="38"/>
  <c r="P41" i="38"/>
  <c r="Q33" i="38"/>
  <c r="AD38" i="38"/>
  <c r="B51" i="38"/>
  <c r="B43" i="38"/>
  <c r="B47" i="38"/>
  <c r="B38" i="41"/>
  <c r="C38" i="41" s="1"/>
  <c r="P37" i="41"/>
  <c r="AD34" i="41"/>
  <c r="Q33" i="41"/>
  <c r="B51" i="41"/>
  <c r="P41" i="41"/>
  <c r="B43" i="41"/>
  <c r="AD38" i="41"/>
  <c r="B47" i="41"/>
  <c r="B38" i="47"/>
  <c r="C38" i="47" s="1"/>
  <c r="P37" i="47"/>
  <c r="Q37" i="47" s="1"/>
  <c r="AD34" i="47"/>
  <c r="Q33" i="47"/>
  <c r="P41" i="47"/>
  <c r="B51" i="47"/>
  <c r="AD38" i="47"/>
  <c r="B43" i="47"/>
  <c r="B47" i="47"/>
  <c r="Q33" i="49"/>
  <c r="AD38" i="49"/>
  <c r="B51" i="49"/>
  <c r="P41" i="49"/>
  <c r="AD34" i="49"/>
  <c r="P37" i="49"/>
  <c r="B43" i="49"/>
  <c r="B38" i="49"/>
  <c r="C38" i="49" s="1"/>
  <c r="B47" i="49"/>
  <c r="AF3" i="61"/>
  <c r="D3" i="66" s="1"/>
  <c r="AL105" i="43"/>
  <c r="AH105" i="43"/>
  <c r="AI102" i="43"/>
  <c r="AL104" i="43"/>
  <c r="AH104" i="43"/>
  <c r="A50" i="39"/>
  <c r="B50" i="39" s="1"/>
  <c r="B49" i="39"/>
  <c r="AL45" i="31"/>
  <c r="AH45" i="31"/>
  <c r="AL44" i="31"/>
  <c r="AH44" i="31"/>
  <c r="P45" i="29"/>
  <c r="AD83" i="43"/>
  <c r="AD79" i="43"/>
  <c r="AM155" i="61"/>
  <c r="L155" i="61"/>
  <c r="AM69" i="61"/>
  <c r="B58" i="59"/>
  <c r="A59" i="59"/>
  <c r="P45" i="48"/>
  <c r="B62" i="47"/>
  <c r="A63" i="47"/>
  <c r="O49" i="45"/>
  <c r="P48" i="45"/>
  <c r="Q48" i="45" s="1"/>
  <c r="B66" i="42"/>
  <c r="A71" i="42"/>
  <c r="A67" i="42"/>
  <c r="C44" i="37"/>
  <c r="A50" i="34"/>
  <c r="B50" i="34" s="1"/>
  <c r="B49" i="34"/>
  <c r="A59" i="33"/>
  <c r="B58" i="33"/>
  <c r="A59" i="29"/>
  <c r="B58" i="29"/>
  <c r="AD49" i="26"/>
  <c r="AC1" i="5"/>
  <c r="B52" i="48"/>
  <c r="AD53" i="42"/>
  <c r="P52" i="38"/>
  <c r="O66" i="35"/>
  <c r="O62" i="35"/>
  <c r="P61" i="35"/>
  <c r="P59" i="32"/>
  <c r="O60" i="32"/>
  <c r="P60" i="32" s="1"/>
  <c r="AD53" i="50"/>
  <c r="P57" i="38"/>
  <c r="O58" i="38"/>
  <c r="P48" i="30"/>
  <c r="Q48" i="30" s="1"/>
  <c r="L4" i="64" l="1"/>
  <c r="GI125" i="61"/>
  <c r="H4" i="64"/>
  <c r="C43" i="34"/>
  <c r="AH54" i="26"/>
  <c r="AL54" i="26"/>
  <c r="AL55" i="39"/>
  <c r="FC132" i="61"/>
  <c r="FC138" i="61"/>
  <c r="FC142" i="61"/>
  <c r="DQ132" i="61"/>
  <c r="DQ138" i="61"/>
  <c r="DQ142" i="61"/>
  <c r="BH148" i="61"/>
  <c r="AI52" i="36"/>
  <c r="BJ145" i="61"/>
  <c r="S29" i="15"/>
  <c r="BN88" i="61" s="1"/>
  <c r="S29" i="21"/>
  <c r="BH88" i="61" s="1"/>
  <c r="S29" i="25"/>
  <c r="BD88" i="61" s="1"/>
  <c r="S29" i="20"/>
  <c r="BI88" i="61" s="1"/>
  <c r="S29" i="12"/>
  <c r="BQ88" i="61" s="1"/>
  <c r="S29" i="24"/>
  <c r="BE88" i="61" s="1"/>
  <c r="S29" i="17"/>
  <c r="BL88" i="61" s="1"/>
  <c r="S29" i="13"/>
  <c r="BP88" i="61" s="1"/>
  <c r="S29" i="16"/>
  <c r="BM88" i="61" s="1"/>
  <c r="S29" i="19"/>
  <c r="BJ88" i="61" s="1"/>
  <c r="AJ114" i="43"/>
  <c r="AJ115" i="43"/>
  <c r="S29" i="9"/>
  <c r="BT88" i="61" s="1"/>
  <c r="AJ119" i="43"/>
  <c r="AJ120" i="43"/>
  <c r="AI117" i="43"/>
  <c r="S29" i="8"/>
  <c r="BU88" i="61" s="1"/>
  <c r="C606" i="65"/>
  <c r="L606" i="66"/>
  <c r="C334" i="65"/>
  <c r="C577" i="65"/>
  <c r="L577" i="66"/>
  <c r="C317" i="65"/>
  <c r="C57" i="65"/>
  <c r="C472" i="65"/>
  <c r="C216" i="65"/>
  <c r="C443" i="65"/>
  <c r="L443" i="66"/>
  <c r="C187" i="65"/>
  <c r="C40" i="65"/>
  <c r="C466" i="65"/>
  <c r="C214" i="65"/>
  <c r="C461" i="65"/>
  <c r="C205" i="65"/>
  <c r="C136" i="65"/>
  <c r="C404" i="65"/>
  <c r="C35" i="65"/>
  <c r="C375" i="65"/>
  <c r="C7" i="65"/>
  <c r="C4" i="65"/>
  <c r="L4" i="66"/>
  <c r="C462" i="65"/>
  <c r="C196" i="65"/>
  <c r="C437" i="65"/>
  <c r="C185" i="65"/>
  <c r="C63" i="65"/>
  <c r="C384" i="65"/>
  <c r="C611" i="65"/>
  <c r="L611" i="66"/>
  <c r="C355" i="65"/>
  <c r="C102" i="65"/>
  <c r="C164" i="65"/>
  <c r="C426" i="65"/>
  <c r="C186" i="65"/>
  <c r="C445" i="65"/>
  <c r="C181" i="65"/>
  <c r="C604" i="65"/>
  <c r="L604" i="66"/>
  <c r="C348" i="65"/>
  <c r="C575" i="65"/>
  <c r="L575" i="66"/>
  <c r="C319" i="65"/>
  <c r="C50" i="65"/>
  <c r="C114" i="65"/>
  <c r="C382" i="65"/>
  <c r="C59" i="65"/>
  <c r="C365" i="65"/>
  <c r="C113" i="65"/>
  <c r="C520" i="65"/>
  <c r="C264" i="65"/>
  <c r="C491" i="65"/>
  <c r="C235" i="65"/>
  <c r="C88" i="65"/>
  <c r="C526" i="65"/>
  <c r="C258" i="65"/>
  <c r="C521" i="65"/>
  <c r="C249" i="65"/>
  <c r="C13" i="65"/>
  <c r="C452" i="65"/>
  <c r="C166" i="65"/>
  <c r="C423" i="65"/>
  <c r="C167" i="65"/>
  <c r="C52" i="65"/>
  <c r="C510" i="65"/>
  <c r="C222" i="65"/>
  <c r="C489" i="65"/>
  <c r="C233" i="65"/>
  <c r="C192" i="65"/>
  <c r="C432" i="65"/>
  <c r="C126" i="65"/>
  <c r="C403" i="65"/>
  <c r="C147" i="65"/>
  <c r="C32" i="65"/>
  <c r="C474" i="65"/>
  <c r="C230" i="65"/>
  <c r="C485" i="65"/>
  <c r="L485" i="66"/>
  <c r="C229" i="65"/>
  <c r="C111" i="65"/>
  <c r="C396" i="65"/>
  <c r="C623" i="65"/>
  <c r="L623" i="66"/>
  <c r="C367" i="65"/>
  <c r="C98" i="65"/>
  <c r="C55" i="65"/>
  <c r="C366" i="65"/>
  <c r="C609" i="65"/>
  <c r="L609" i="66"/>
  <c r="C349" i="65"/>
  <c r="C101" i="65"/>
  <c r="C504" i="65"/>
  <c r="C248" i="65"/>
  <c r="C475" i="65"/>
  <c r="C219" i="65"/>
  <c r="C72" i="65"/>
  <c r="C498" i="65"/>
  <c r="C246" i="65"/>
  <c r="C493" i="65"/>
  <c r="C237" i="65"/>
  <c r="C208" i="65"/>
  <c r="C436" i="65"/>
  <c r="C134" i="65"/>
  <c r="C407" i="65"/>
  <c r="C151" i="65"/>
  <c r="C36" i="65"/>
  <c r="C494" i="65"/>
  <c r="C210" i="65"/>
  <c r="C473" i="65"/>
  <c r="C217" i="65"/>
  <c r="C160" i="65"/>
  <c r="C416" i="65"/>
  <c r="C83" i="65"/>
  <c r="C387" i="65"/>
  <c r="C131" i="65"/>
  <c r="C16" i="65"/>
  <c r="C458" i="65"/>
  <c r="C218" i="65"/>
  <c r="C469" i="65"/>
  <c r="C213" i="65"/>
  <c r="C47" i="65"/>
  <c r="C380" i="65"/>
  <c r="L380" i="66"/>
  <c r="C607" i="65"/>
  <c r="L607" i="66"/>
  <c r="C351" i="65"/>
  <c r="C82" i="65"/>
  <c r="C188" i="65"/>
  <c r="C414" i="65"/>
  <c r="C146" i="65"/>
  <c r="C397" i="65"/>
  <c r="C145" i="65"/>
  <c r="C552" i="65"/>
  <c r="L552" i="66"/>
  <c r="C296" i="65"/>
  <c r="C523" i="65"/>
  <c r="C267" i="65"/>
  <c r="C120" i="65"/>
  <c r="C554" i="65"/>
  <c r="L554" i="66"/>
  <c r="C294" i="65"/>
  <c r="C553" i="65"/>
  <c r="L553" i="66"/>
  <c r="C281" i="65"/>
  <c r="C41" i="65"/>
  <c r="C484" i="65"/>
  <c r="C228" i="65"/>
  <c r="C455" i="65"/>
  <c r="C199" i="65"/>
  <c r="C84" i="65"/>
  <c r="C538" i="65"/>
  <c r="L538" i="66"/>
  <c r="C270" i="65"/>
  <c r="C517" i="65"/>
  <c r="C261" i="65"/>
  <c r="C25" i="65"/>
  <c r="C464" i="65"/>
  <c r="L464" i="66"/>
  <c r="C190" i="65"/>
  <c r="C435" i="65"/>
  <c r="C179" i="65"/>
  <c r="C64" i="65"/>
  <c r="C506" i="65"/>
  <c r="L506" i="66"/>
  <c r="C266" i="65"/>
  <c r="C513" i="65"/>
  <c r="C273" i="65"/>
  <c r="C184" i="65"/>
  <c r="C428" i="65"/>
  <c r="C115" i="65"/>
  <c r="C399" i="65"/>
  <c r="C143" i="65"/>
  <c r="C12" i="65"/>
  <c r="S29" i="23"/>
  <c r="BF88" i="61" s="1"/>
  <c r="B3" i="66"/>
  <c r="A3" i="66"/>
  <c r="C530" i="65"/>
  <c r="L530" i="66"/>
  <c r="C274" i="65"/>
  <c r="C509" i="65"/>
  <c r="C253" i="65"/>
  <c r="C144" i="65"/>
  <c r="C408" i="65"/>
  <c r="C51" i="65"/>
  <c r="C379" i="65"/>
  <c r="C11" i="65"/>
  <c r="C148" i="65"/>
  <c r="C410" i="65"/>
  <c r="C138" i="65"/>
  <c r="C393" i="65"/>
  <c r="C141" i="65"/>
  <c r="C596" i="65"/>
  <c r="L596" i="66"/>
  <c r="C340" i="65"/>
  <c r="C567" i="65"/>
  <c r="L567" i="66"/>
  <c r="C311" i="65"/>
  <c r="C58" i="65"/>
  <c r="C87" i="65"/>
  <c r="C390" i="65"/>
  <c r="C27" i="65"/>
  <c r="C373" i="65"/>
  <c r="C121" i="65"/>
  <c r="C576" i="65"/>
  <c r="L576" i="66"/>
  <c r="C320" i="65"/>
  <c r="C547" i="65"/>
  <c r="L547" i="66"/>
  <c r="C291" i="65"/>
  <c r="C38" i="65"/>
  <c r="C610" i="65"/>
  <c r="L610" i="66"/>
  <c r="C370" i="65"/>
  <c r="C621" i="65"/>
  <c r="L621" i="66"/>
  <c r="C385" i="65"/>
  <c r="C117" i="65"/>
  <c r="C540" i="65"/>
  <c r="L540" i="66"/>
  <c r="C284" i="65"/>
  <c r="C511" i="65"/>
  <c r="C255" i="65"/>
  <c r="C124" i="65"/>
  <c r="C590" i="65"/>
  <c r="L590" i="66"/>
  <c r="C318" i="65"/>
  <c r="C565" i="65"/>
  <c r="L565" i="66"/>
  <c r="C301" i="65"/>
  <c r="C33" i="65"/>
  <c r="C456" i="65"/>
  <c r="C174" i="65"/>
  <c r="C427" i="65"/>
  <c r="C171" i="65"/>
  <c r="C24" i="65"/>
  <c r="C442" i="65"/>
  <c r="C202" i="65"/>
  <c r="C441" i="65"/>
  <c r="C189" i="65"/>
  <c r="C79" i="65"/>
  <c r="C388" i="65"/>
  <c r="C615" i="65"/>
  <c r="L615" i="66"/>
  <c r="C359" i="65"/>
  <c r="C106" i="65"/>
  <c r="C625" i="65"/>
  <c r="L625" i="66"/>
  <c r="C450" i="65"/>
  <c r="C162" i="65"/>
  <c r="C417" i="65"/>
  <c r="C169" i="65"/>
  <c r="C624" i="65"/>
  <c r="L624" i="66"/>
  <c r="C368" i="65"/>
  <c r="C595" i="65"/>
  <c r="L595" i="66"/>
  <c r="C339" i="65"/>
  <c r="C86" i="65"/>
  <c r="C119" i="65"/>
  <c r="C418" i="65"/>
  <c r="C154" i="65"/>
  <c r="C425" i="65"/>
  <c r="C165" i="65"/>
  <c r="C588" i="65"/>
  <c r="L588" i="66"/>
  <c r="C332" i="65"/>
  <c r="C559" i="65"/>
  <c r="L559" i="66"/>
  <c r="C303" i="65"/>
  <c r="C34" i="65"/>
  <c r="C574" i="65"/>
  <c r="L574" i="66"/>
  <c r="C306" i="65"/>
  <c r="C545" i="65"/>
  <c r="L545" i="66"/>
  <c r="C285" i="65"/>
  <c r="C17" i="65"/>
  <c r="C440" i="65"/>
  <c r="C142" i="65"/>
  <c r="C411" i="65"/>
  <c r="C155" i="65"/>
  <c r="C8" i="65"/>
  <c r="C430" i="65"/>
  <c r="C212" i="65"/>
  <c r="C429" i="65"/>
  <c r="C173" i="65"/>
  <c r="C15" i="65"/>
  <c r="C372" i="65"/>
  <c r="C599" i="65"/>
  <c r="L599" i="66"/>
  <c r="C343" i="65"/>
  <c r="C90" i="65"/>
  <c r="C172" i="65"/>
  <c r="C438" i="65"/>
  <c r="C130" i="65"/>
  <c r="C405" i="65"/>
  <c r="C153" i="65"/>
  <c r="C608" i="65"/>
  <c r="L608" i="66"/>
  <c r="C352" i="65"/>
  <c r="C579" i="65"/>
  <c r="L579" i="66"/>
  <c r="C323" i="65"/>
  <c r="C70" i="65"/>
  <c r="C71" i="65"/>
  <c r="C402" i="65"/>
  <c r="C123" i="65"/>
  <c r="C413" i="65"/>
  <c r="C149" i="65"/>
  <c r="C572" i="65"/>
  <c r="L572" i="66"/>
  <c r="C316" i="65"/>
  <c r="C543" i="65"/>
  <c r="L543" i="66"/>
  <c r="C287" i="65"/>
  <c r="C18" i="65"/>
  <c r="C622" i="65"/>
  <c r="L622" i="66"/>
  <c r="C350" i="65"/>
  <c r="C597" i="65"/>
  <c r="L597" i="66"/>
  <c r="C333" i="65"/>
  <c r="C81" i="65"/>
  <c r="C488" i="65"/>
  <c r="C232" i="65"/>
  <c r="C459" i="65"/>
  <c r="C203" i="65"/>
  <c r="C56" i="65"/>
  <c r="C482" i="65"/>
  <c r="C234" i="65"/>
  <c r="C477" i="65"/>
  <c r="C221" i="65"/>
  <c r="C168" i="65"/>
  <c r="C420" i="65"/>
  <c r="C99" i="65"/>
  <c r="C391" i="65"/>
  <c r="C135" i="65"/>
  <c r="C20" i="65"/>
  <c r="C478" i="65"/>
  <c r="C198" i="65"/>
  <c r="C449" i="65"/>
  <c r="C201" i="65"/>
  <c r="C122" i="65"/>
  <c r="C400" i="65"/>
  <c r="C19" i="65"/>
  <c r="C371" i="65"/>
  <c r="C3" i="65"/>
  <c r="L3" i="66"/>
  <c r="C200" i="65"/>
  <c r="C446" i="65"/>
  <c r="C194" i="65"/>
  <c r="C457" i="65"/>
  <c r="C197" i="65"/>
  <c r="C620" i="65"/>
  <c r="L620" i="66"/>
  <c r="C364" i="65"/>
  <c r="C591" i="65"/>
  <c r="L591" i="66"/>
  <c r="C335" i="65"/>
  <c r="C66" i="65"/>
  <c r="C470" i="65"/>
  <c r="C226" i="65"/>
  <c r="C453" i="65"/>
  <c r="C193" i="65"/>
  <c r="C600" i="65"/>
  <c r="L600" i="66"/>
  <c r="C344" i="65"/>
  <c r="C571" i="65"/>
  <c r="L571" i="66"/>
  <c r="C315" i="65"/>
  <c r="C46" i="65"/>
  <c r="C602" i="65"/>
  <c r="L602" i="66"/>
  <c r="C346" i="65"/>
  <c r="C605" i="65"/>
  <c r="L605" i="66"/>
  <c r="C329" i="65"/>
  <c r="C77" i="65"/>
  <c r="C532" i="65"/>
  <c r="L532" i="66"/>
  <c r="C276" i="65"/>
  <c r="C503" i="65"/>
  <c r="C247" i="65"/>
  <c r="C132" i="65"/>
  <c r="C582" i="65"/>
  <c r="L582" i="66"/>
  <c r="C326" i="65"/>
  <c r="C561" i="65"/>
  <c r="L561" i="66"/>
  <c r="C309" i="65"/>
  <c r="C61" i="65"/>
  <c r="C512" i="65"/>
  <c r="C256" i="65"/>
  <c r="C483" i="65"/>
  <c r="C227" i="65"/>
  <c r="C112" i="65"/>
  <c r="C546" i="65"/>
  <c r="L546" i="66"/>
  <c r="C310" i="65"/>
  <c r="C557" i="65"/>
  <c r="L557" i="66"/>
  <c r="C321" i="65"/>
  <c r="C45" i="65"/>
  <c r="C476" i="65"/>
  <c r="C220" i="65"/>
  <c r="C447" i="65"/>
  <c r="C191" i="65"/>
  <c r="C60" i="65"/>
  <c r="C514" i="65"/>
  <c r="C262" i="65"/>
  <c r="C497" i="65"/>
  <c r="C241" i="65"/>
  <c r="C95" i="65"/>
  <c r="C392" i="65"/>
  <c r="C619" i="65"/>
  <c r="L619" i="66"/>
  <c r="C363" i="65"/>
  <c r="C94" i="65"/>
  <c r="C103" i="65"/>
  <c r="C394" i="65"/>
  <c r="C107" i="65"/>
  <c r="C377" i="65"/>
  <c r="C125" i="65"/>
  <c r="C580" i="65"/>
  <c r="L580" i="66"/>
  <c r="C324" i="65"/>
  <c r="C551" i="65"/>
  <c r="L551" i="66"/>
  <c r="C295" i="65"/>
  <c r="C42" i="65"/>
  <c r="C23" i="65"/>
  <c r="C374" i="65"/>
  <c r="C613" i="65"/>
  <c r="L613" i="66"/>
  <c r="C357" i="65"/>
  <c r="C97" i="65"/>
  <c r="C560" i="65"/>
  <c r="L560" i="66"/>
  <c r="C304" i="65"/>
  <c r="C531" i="65"/>
  <c r="L531" i="66"/>
  <c r="C275" i="65"/>
  <c r="C22" i="65"/>
  <c r="C594" i="65"/>
  <c r="L594" i="66"/>
  <c r="C354" i="65"/>
  <c r="C601" i="65"/>
  <c r="L601" i="66"/>
  <c r="C369" i="65"/>
  <c r="C105" i="65"/>
  <c r="C524" i="65"/>
  <c r="C268" i="65"/>
  <c r="C495" i="65"/>
  <c r="C239" i="65"/>
  <c r="C108" i="65"/>
  <c r="C502" i="65"/>
  <c r="C250" i="65"/>
  <c r="C481" i="65"/>
  <c r="C225" i="65"/>
  <c r="C31" i="65"/>
  <c r="C376" i="65"/>
  <c r="C603" i="65"/>
  <c r="L603" i="66"/>
  <c r="C347" i="65"/>
  <c r="C78" i="65"/>
  <c r="C39" i="65"/>
  <c r="C378" i="65"/>
  <c r="C43" i="65"/>
  <c r="C361" i="65"/>
  <c r="C109" i="65"/>
  <c r="C564" i="65"/>
  <c r="L564" i="66"/>
  <c r="C308" i="65"/>
  <c r="C535" i="65"/>
  <c r="L535" i="66"/>
  <c r="C279" i="65"/>
  <c r="C26" i="65"/>
  <c r="C614" i="65"/>
  <c r="L614" i="66"/>
  <c r="C358" i="65"/>
  <c r="C593" i="65"/>
  <c r="L593" i="66"/>
  <c r="C341" i="65"/>
  <c r="C85" i="65"/>
  <c r="C544" i="65"/>
  <c r="L544" i="66"/>
  <c r="C288" i="65"/>
  <c r="C515" i="65"/>
  <c r="C259" i="65"/>
  <c r="C6" i="65"/>
  <c r="C578" i="65"/>
  <c r="L578" i="66"/>
  <c r="C338" i="65"/>
  <c r="C589" i="65"/>
  <c r="L589" i="66"/>
  <c r="C353" i="65"/>
  <c r="C93" i="65"/>
  <c r="C508" i="65"/>
  <c r="C252" i="65"/>
  <c r="C479" i="65"/>
  <c r="C223" i="65"/>
  <c r="C92" i="65"/>
  <c r="C558" i="65"/>
  <c r="L558" i="66"/>
  <c r="C286" i="65"/>
  <c r="C533" i="65"/>
  <c r="L533" i="66"/>
  <c r="C269" i="65"/>
  <c r="C176" i="65"/>
  <c r="C424" i="65"/>
  <c r="C110" i="65"/>
  <c r="C395" i="65"/>
  <c r="C139" i="65"/>
  <c r="C180" i="65"/>
  <c r="C422" i="65"/>
  <c r="L422" i="66"/>
  <c r="C170" i="65"/>
  <c r="C409" i="65"/>
  <c r="C157" i="65"/>
  <c r="C612" i="65"/>
  <c r="L612" i="66"/>
  <c r="C356" i="65"/>
  <c r="C583" i="65"/>
  <c r="L583" i="66"/>
  <c r="C327" i="65"/>
  <c r="C74" i="65"/>
  <c r="C140" i="65"/>
  <c r="C406" i="65"/>
  <c r="C91" i="65"/>
  <c r="C389" i="65"/>
  <c r="C137" i="65"/>
  <c r="C592" i="65"/>
  <c r="L592" i="66"/>
  <c r="C336" i="65"/>
  <c r="C563" i="65"/>
  <c r="L563" i="66"/>
  <c r="C307" i="65"/>
  <c r="C54" i="65"/>
  <c r="C626" i="65"/>
  <c r="L626" i="66"/>
  <c r="C386" i="65"/>
  <c r="C75" i="65"/>
  <c r="C401" i="65"/>
  <c r="L401" i="66"/>
  <c r="C133" i="65"/>
  <c r="C556" i="65"/>
  <c r="L556" i="66"/>
  <c r="C300" i="65"/>
  <c r="C527" i="65"/>
  <c r="L527" i="66"/>
  <c r="C271" i="65"/>
  <c r="C2" i="65"/>
  <c r="L2" i="66"/>
  <c r="AH110" i="43"/>
  <c r="AL110" i="43"/>
  <c r="AH109" i="43"/>
  <c r="AL109" i="43"/>
  <c r="AI112" i="43"/>
  <c r="AL114" i="43"/>
  <c r="AL115" i="43"/>
  <c r="AH114" i="43"/>
  <c r="AH115" i="43"/>
  <c r="C156" i="65"/>
  <c r="C398" i="65"/>
  <c r="C118" i="65"/>
  <c r="C381" i="65"/>
  <c r="C129" i="65"/>
  <c r="C536" i="65"/>
  <c r="L536" i="66"/>
  <c r="C280" i="65"/>
  <c r="C507" i="65"/>
  <c r="C251" i="65"/>
  <c r="C104" i="65"/>
  <c r="C542" i="65"/>
  <c r="L542" i="66"/>
  <c r="C282" i="65"/>
  <c r="C541" i="65"/>
  <c r="L541" i="66"/>
  <c r="C265" i="65"/>
  <c r="C29" i="65"/>
  <c r="C468" i="65"/>
  <c r="C204" i="65"/>
  <c r="C439" i="65"/>
  <c r="C183" i="65"/>
  <c r="C68" i="65"/>
  <c r="C522" i="65"/>
  <c r="C242" i="65"/>
  <c r="C505" i="65"/>
  <c r="C245" i="65"/>
  <c r="C9" i="65"/>
  <c r="C448" i="65"/>
  <c r="C158" i="65"/>
  <c r="C419" i="65"/>
  <c r="C163" i="65"/>
  <c r="C48" i="65"/>
  <c r="C490" i="65"/>
  <c r="C254" i="65"/>
  <c r="C501" i="65"/>
  <c r="C257" i="65"/>
  <c r="C152" i="65"/>
  <c r="C412" i="65"/>
  <c r="C67" i="65"/>
  <c r="C383" i="65"/>
  <c r="C127" i="65"/>
  <c r="C454" i="65"/>
  <c r="C206" i="65"/>
  <c r="C433" i="65"/>
  <c r="C177" i="65"/>
  <c r="C584" i="65"/>
  <c r="L584" i="66"/>
  <c r="C328" i="65"/>
  <c r="C555" i="65"/>
  <c r="L555" i="66"/>
  <c r="C299" i="65"/>
  <c r="C30" i="65"/>
  <c r="C586" i="65"/>
  <c r="L586" i="66"/>
  <c r="C330" i="65"/>
  <c r="C585" i="65"/>
  <c r="L585" i="66"/>
  <c r="C313" i="65"/>
  <c r="C65" i="65"/>
  <c r="C516" i="65"/>
  <c r="C260" i="65"/>
  <c r="C487" i="65"/>
  <c r="C231" i="65"/>
  <c r="C116" i="65"/>
  <c r="C566" i="65"/>
  <c r="L566" i="66"/>
  <c r="C302" i="65"/>
  <c r="C549" i="65"/>
  <c r="L549" i="66"/>
  <c r="C293" i="65"/>
  <c r="C49" i="65"/>
  <c r="C496" i="65"/>
  <c r="C240" i="65"/>
  <c r="C467" i="65"/>
  <c r="C211" i="65"/>
  <c r="C96" i="65"/>
  <c r="C534" i="65"/>
  <c r="L534" i="66"/>
  <c r="C298" i="65"/>
  <c r="C537" i="65"/>
  <c r="L537" i="66"/>
  <c r="C305" i="65"/>
  <c r="C21" i="65"/>
  <c r="C460" i="65"/>
  <c r="C182" i="65"/>
  <c r="C431" i="65"/>
  <c r="C175" i="65"/>
  <c r="C44" i="65"/>
  <c r="C434" i="65"/>
  <c r="C178" i="65"/>
  <c r="C421" i="65"/>
  <c r="C161" i="65"/>
  <c r="C568" i="65"/>
  <c r="L568" i="66"/>
  <c r="C312" i="65"/>
  <c r="C539" i="65"/>
  <c r="L539" i="66"/>
  <c r="C283" i="65"/>
  <c r="C14" i="65"/>
  <c r="C570" i="65"/>
  <c r="L570" i="66"/>
  <c r="C314" i="65"/>
  <c r="C573" i="65"/>
  <c r="L573" i="66"/>
  <c r="C297" i="65"/>
  <c r="C53" i="65"/>
  <c r="C500" i="65"/>
  <c r="C244" i="65"/>
  <c r="C471" i="65"/>
  <c r="C215" i="65"/>
  <c r="C100" i="65"/>
  <c r="C550" i="65"/>
  <c r="L550" i="66"/>
  <c r="C290" i="65"/>
  <c r="C529" i="65"/>
  <c r="L529" i="66"/>
  <c r="C277" i="65"/>
  <c r="C37" i="65"/>
  <c r="C480" i="65"/>
  <c r="C224" i="65"/>
  <c r="C451" i="65"/>
  <c r="C195" i="65"/>
  <c r="C80" i="65"/>
  <c r="C518" i="65"/>
  <c r="C278" i="65"/>
  <c r="C525" i="65"/>
  <c r="C289" i="65"/>
  <c r="C5" i="65"/>
  <c r="C444" i="65"/>
  <c r="C150" i="65"/>
  <c r="C415" i="65"/>
  <c r="C159" i="65"/>
  <c r="C28" i="65"/>
  <c r="C486" i="65"/>
  <c r="C238" i="65"/>
  <c r="C465" i="65"/>
  <c r="C209" i="65"/>
  <c r="C616" i="65"/>
  <c r="L616" i="66"/>
  <c r="C360" i="65"/>
  <c r="C587" i="65"/>
  <c r="L587" i="66"/>
  <c r="C331" i="65"/>
  <c r="C62" i="65"/>
  <c r="C618" i="65"/>
  <c r="L618" i="66"/>
  <c r="C362" i="65"/>
  <c r="C617" i="65"/>
  <c r="L617" i="66"/>
  <c r="C345" i="65"/>
  <c r="C89" i="65"/>
  <c r="C548" i="65"/>
  <c r="L548" i="66"/>
  <c r="C292" i="65"/>
  <c r="C519" i="65"/>
  <c r="C263" i="65"/>
  <c r="C10" i="65"/>
  <c r="C598" i="65"/>
  <c r="L598" i="66"/>
  <c r="C342" i="65"/>
  <c r="C581" i="65"/>
  <c r="L581" i="66"/>
  <c r="C325" i="65"/>
  <c r="C73" i="65"/>
  <c r="C528" i="65"/>
  <c r="L528" i="66"/>
  <c r="C272" i="65"/>
  <c r="C499" i="65"/>
  <c r="C243" i="65"/>
  <c r="C128" i="65"/>
  <c r="C562" i="65"/>
  <c r="L562" i="66"/>
  <c r="C322" i="65"/>
  <c r="C569" i="65"/>
  <c r="L569" i="66"/>
  <c r="C337" i="65"/>
  <c r="C69" i="65"/>
  <c r="C492" i="65"/>
  <c r="C236" i="65"/>
  <c r="C463" i="65"/>
  <c r="C207" i="65"/>
  <c r="C76" i="65"/>
  <c r="BE132" i="61"/>
  <c r="AP5" i="25"/>
  <c r="AV5" i="25" s="1"/>
  <c r="B5" i="25"/>
  <c r="BD62" i="61"/>
  <c r="BE58" i="61"/>
  <c r="BD53" i="61"/>
  <c r="BE45" i="61"/>
  <c r="DQ149" i="61"/>
  <c r="DQ131" i="61"/>
  <c r="DQ130" i="61"/>
  <c r="DQ144" i="61"/>
  <c r="DQ141" i="61"/>
  <c r="DQ150" i="61"/>
  <c r="DQ135" i="61"/>
  <c r="DQ128" i="61"/>
  <c r="DQ147" i="61"/>
  <c r="DQ145" i="61"/>
  <c r="FC126" i="61"/>
  <c r="DQ148" i="61"/>
  <c r="DQ140" i="61"/>
  <c r="DQ143" i="61"/>
  <c r="DQ136" i="61"/>
  <c r="DQ129" i="61"/>
  <c r="DQ134" i="61"/>
  <c r="DQ127" i="61"/>
  <c r="DQ146" i="61"/>
  <c r="AI52" i="48"/>
  <c r="BG145" i="61"/>
  <c r="H6" i="33" s="1"/>
  <c r="BG148" i="61"/>
  <c r="H6" i="30" s="1"/>
  <c r="BE148" i="61"/>
  <c r="CK148" i="61" s="1"/>
  <c r="AT39" i="61"/>
  <c r="C43" i="36"/>
  <c r="G43" i="36" s="1"/>
  <c r="BL145" i="61"/>
  <c r="H11" i="33" s="1"/>
  <c r="BK145" i="61"/>
  <c r="H10" i="33" s="1"/>
  <c r="AF13" i="33" s="1"/>
  <c r="BK148" i="61"/>
  <c r="H10" i="30" s="1"/>
  <c r="AF13" i="30" s="1"/>
  <c r="BI148" i="61"/>
  <c r="H8" i="30" s="1"/>
  <c r="BE53" i="61"/>
  <c r="AT56" i="61"/>
  <c r="BE42" i="61"/>
  <c r="BE51" i="61"/>
  <c r="BD61" i="61"/>
  <c r="BD39" i="61"/>
  <c r="BD49" i="61"/>
  <c r="BE56" i="61"/>
  <c r="BD52" i="61"/>
  <c r="BD60" i="61"/>
  <c r="BD40" i="61"/>
  <c r="BE62" i="61"/>
  <c r="BE47" i="61"/>
  <c r="BE43" i="61"/>
  <c r="BD45" i="61"/>
  <c r="BE49" i="61"/>
  <c r="C43" i="26"/>
  <c r="C42" i="26" s="1"/>
  <c r="BD46" i="61"/>
  <c r="BE55" i="61"/>
  <c r="BD59" i="61"/>
  <c r="BE39" i="61"/>
  <c r="BE44" i="61"/>
  <c r="AT63" i="61"/>
  <c r="AT58" i="61"/>
  <c r="BD57" i="61"/>
  <c r="AH54" i="39"/>
  <c r="C43" i="30"/>
  <c r="C42" i="30" s="1"/>
  <c r="AH55" i="26"/>
  <c r="Q39" i="46"/>
  <c r="AL54" i="39"/>
  <c r="AI52" i="26"/>
  <c r="W1" i="16"/>
  <c r="BD42" i="61"/>
  <c r="BE50" i="61"/>
  <c r="BE52" i="61"/>
  <c r="BE54" i="61"/>
  <c r="BE60" i="61"/>
  <c r="BE40" i="61"/>
  <c r="BE46" i="61"/>
  <c r="BD58" i="61"/>
  <c r="BE48" i="61"/>
  <c r="BD41" i="61"/>
  <c r="BD51" i="61"/>
  <c r="BD55" i="61"/>
  <c r="BH145" i="61"/>
  <c r="H7" i="33" s="1"/>
  <c r="BE145" i="61"/>
  <c r="AI52" i="39"/>
  <c r="AL54" i="37"/>
  <c r="BE41" i="61"/>
  <c r="BD47" i="61"/>
  <c r="BE57" i="61"/>
  <c r="BD43" i="61"/>
  <c r="BD48" i="61"/>
  <c r="BD56" i="61"/>
  <c r="BE61" i="61"/>
  <c r="BD44" i="61"/>
  <c r="BE63" i="61"/>
  <c r="BD50" i="61"/>
  <c r="BD54" i="61"/>
  <c r="BE59" i="61"/>
  <c r="C43" i="50"/>
  <c r="Q39" i="34"/>
  <c r="C43" i="35"/>
  <c r="G43" i="35" s="1"/>
  <c r="AE5" i="61"/>
  <c r="A4" i="64"/>
  <c r="AH55" i="28"/>
  <c r="C43" i="48"/>
  <c r="G43" i="48" s="1"/>
  <c r="AH55" i="37"/>
  <c r="AL55" i="28"/>
  <c r="AL55" i="37"/>
  <c r="AI52" i="28"/>
  <c r="BP59" i="61"/>
  <c r="BL62" i="61"/>
  <c r="BL58" i="61"/>
  <c r="BQ48" i="61"/>
  <c r="BP44" i="61"/>
  <c r="BM40" i="61"/>
  <c r="BP60" i="61"/>
  <c r="BP56" i="61"/>
  <c r="BM52" i="61"/>
  <c r="BQ47" i="61"/>
  <c r="BM45" i="61"/>
  <c r="BM41" i="61"/>
  <c r="BN37" i="61"/>
  <c r="BL59" i="61"/>
  <c r="BL55" i="61"/>
  <c r="BL53" i="61"/>
  <c r="BL51" i="61"/>
  <c r="BP47" i="61"/>
  <c r="BR47" i="61" s="1"/>
  <c r="BM44" i="61"/>
  <c r="BP40" i="61"/>
  <c r="BL60" i="61"/>
  <c r="BM56" i="61"/>
  <c r="BP52" i="61"/>
  <c r="BL49" i="61"/>
  <c r="BL44" i="61"/>
  <c r="BM63" i="61"/>
  <c r="BP61" i="61"/>
  <c r="BQ56" i="61"/>
  <c r="BL48" i="61"/>
  <c r="BQ43" i="61"/>
  <c r="BQ39" i="61"/>
  <c r="BM59" i="61"/>
  <c r="BM55" i="61"/>
  <c r="BM51" i="61"/>
  <c r="BL47" i="61"/>
  <c r="BP43" i="61"/>
  <c r="BQ40" i="61"/>
  <c r="BL63" i="61"/>
  <c r="BN63" i="61" s="1"/>
  <c r="BQ57" i="61"/>
  <c r="BQ54" i="61"/>
  <c r="BQ52" i="61"/>
  <c r="BQ50" i="61"/>
  <c r="BP46" i="61"/>
  <c r="BP42" i="61"/>
  <c r="BM37" i="61"/>
  <c r="BO37" i="61" s="1"/>
  <c r="P36" i="61" s="1"/>
  <c r="A10" i="64" s="1"/>
  <c r="BQ59" i="61"/>
  <c r="BP55" i="61"/>
  <c r="BP51" i="61"/>
  <c r="BM48" i="61"/>
  <c r="BM43" i="61"/>
  <c r="BM61" i="61"/>
  <c r="BM62" i="61"/>
  <c r="BQ60" i="61"/>
  <c r="BL56" i="61"/>
  <c r="BM47" i="61"/>
  <c r="BL43" i="61"/>
  <c r="BL39" i="61"/>
  <c r="BP58" i="61"/>
  <c r="BM54" i="61"/>
  <c r="BM50" i="61"/>
  <c r="BQ46" i="61"/>
  <c r="BQ42" i="61"/>
  <c r="BL40" i="61"/>
  <c r="BQ62" i="61"/>
  <c r="BL57" i="61"/>
  <c r="BL54" i="61"/>
  <c r="BL52" i="61"/>
  <c r="BL50" i="61"/>
  <c r="BN50" i="61" s="1"/>
  <c r="BQ45" i="61"/>
  <c r="BQ41" i="61"/>
  <c r="BP62" i="61"/>
  <c r="BM58" i="61"/>
  <c r="BP54" i="61"/>
  <c r="BP50" i="61"/>
  <c r="BR50" i="61" s="1"/>
  <c r="BP45" i="61"/>
  <c r="BP41" i="61"/>
  <c r="BM60" i="61"/>
  <c r="BQ63" i="61"/>
  <c r="BQ58" i="61"/>
  <c r="BP49" i="61"/>
  <c r="BM46" i="61"/>
  <c r="BM42" i="61"/>
  <c r="BP63" i="61"/>
  <c r="BM57" i="61"/>
  <c r="BM53" i="61"/>
  <c r="BP48" i="61"/>
  <c r="BL46" i="61"/>
  <c r="BL42" i="61"/>
  <c r="BP39" i="61"/>
  <c r="BL61" i="61"/>
  <c r="BQ55" i="61"/>
  <c r="BQ53" i="61"/>
  <c r="BQ51" i="61"/>
  <c r="BM49" i="61"/>
  <c r="BL45" i="61"/>
  <c r="BN45" i="61" s="1"/>
  <c r="BL41" i="61"/>
  <c r="BQ61" i="61"/>
  <c r="BP57" i="61"/>
  <c r="BP53" i="61"/>
  <c r="BQ49" i="61"/>
  <c r="BQ44" i="61"/>
  <c r="BM39" i="61"/>
  <c r="BA62" i="61"/>
  <c r="BA47" i="61"/>
  <c r="BA43" i="61"/>
  <c r="BA41" i="61"/>
  <c r="BA37" i="61"/>
  <c r="BA42" i="61"/>
  <c r="BA50" i="61"/>
  <c r="BE37" i="61"/>
  <c r="AZ44" i="61"/>
  <c r="AZ58" i="61"/>
  <c r="AZ39" i="61"/>
  <c r="AZ42" i="61"/>
  <c r="AZ63" i="61"/>
  <c r="AZ53" i="61"/>
  <c r="AZ45" i="61"/>
  <c r="BA51" i="61"/>
  <c r="BA52" i="61"/>
  <c r="BA57" i="61"/>
  <c r="BA45" i="61"/>
  <c r="BA48" i="61"/>
  <c r="BA54" i="61"/>
  <c r="BA56" i="61"/>
  <c r="AZ37" i="61"/>
  <c r="AZ56" i="61"/>
  <c r="AZ60" i="61"/>
  <c r="AZ40" i="61"/>
  <c r="AZ57" i="61"/>
  <c r="AZ52" i="61"/>
  <c r="AZ41" i="61"/>
  <c r="BA59" i="61"/>
  <c r="BA38" i="61"/>
  <c r="BA49" i="61"/>
  <c r="BA40" i="61"/>
  <c r="BA60" i="61"/>
  <c r="BA53" i="61"/>
  <c r="BA61" i="61"/>
  <c r="BD37" i="61"/>
  <c r="AZ59" i="61"/>
  <c r="BB59" i="61" s="1"/>
  <c r="AZ62" i="61"/>
  <c r="AZ48" i="61"/>
  <c r="BB48" i="61" s="1"/>
  <c r="AZ47" i="61"/>
  <c r="AZ38" i="61"/>
  <c r="AZ55" i="61"/>
  <c r="AZ51" i="61"/>
  <c r="BB51" i="61" s="1"/>
  <c r="BD36" i="61"/>
  <c r="BA55" i="61"/>
  <c r="BA39" i="61"/>
  <c r="BA58" i="61"/>
  <c r="BA63" i="61"/>
  <c r="BA44" i="61"/>
  <c r="BA46" i="61"/>
  <c r="AZ49" i="61"/>
  <c r="BB49" i="61" s="1"/>
  <c r="AZ61" i="61"/>
  <c r="AZ43" i="61"/>
  <c r="AZ46" i="61"/>
  <c r="BB46" i="61" s="1"/>
  <c r="BE36" i="61"/>
  <c r="AZ54" i="61"/>
  <c r="BB54" i="61" s="1"/>
  <c r="AZ50" i="61"/>
  <c r="Q37" i="44"/>
  <c r="Y39" i="44" s="1"/>
  <c r="C43" i="39"/>
  <c r="G43" i="39" s="1"/>
  <c r="C43" i="37"/>
  <c r="C42" i="37" s="1"/>
  <c r="C46" i="59"/>
  <c r="G46" i="59" s="1"/>
  <c r="C43" i="42"/>
  <c r="G43" i="42" s="1"/>
  <c r="C43" i="33"/>
  <c r="C42" i="33" s="1"/>
  <c r="C43" i="27"/>
  <c r="C42" i="27" s="1"/>
  <c r="C43" i="46"/>
  <c r="C42" i="46" s="1"/>
  <c r="C43" i="29"/>
  <c r="G43" i="29" s="1"/>
  <c r="Q39" i="31"/>
  <c r="Q37" i="31"/>
  <c r="C43" i="28"/>
  <c r="C42" i="28" s="1"/>
  <c r="BV40" i="61"/>
  <c r="AL90" i="43"/>
  <c r="AH90" i="43"/>
  <c r="AL89" i="43"/>
  <c r="AH89" i="43"/>
  <c r="AI92" i="43"/>
  <c r="AL94" i="43"/>
  <c r="AL95" i="43"/>
  <c r="AH94" i="43"/>
  <c r="AH95" i="43"/>
  <c r="AJ94" i="43"/>
  <c r="AJ95" i="43"/>
  <c r="AJ100" i="43"/>
  <c r="AJ99" i="43"/>
  <c r="AI97" i="43"/>
  <c r="Q37" i="46"/>
  <c r="Y39" i="46" s="1"/>
  <c r="Q37" i="26"/>
  <c r="Y39" i="26" s="1"/>
  <c r="AT53" i="61"/>
  <c r="AT59" i="61"/>
  <c r="Q39" i="49"/>
  <c r="Q37" i="50"/>
  <c r="Y39" i="50" s="1"/>
  <c r="C43" i="43"/>
  <c r="C42" i="43" s="1"/>
  <c r="BV42" i="61"/>
  <c r="Q39" i="50"/>
  <c r="BV47" i="61"/>
  <c r="AT55" i="61"/>
  <c r="Q37" i="34"/>
  <c r="Y40" i="34" s="1"/>
  <c r="Q39" i="36"/>
  <c r="BV48" i="61"/>
  <c r="BV46" i="61"/>
  <c r="AT45" i="61"/>
  <c r="BV49" i="61"/>
  <c r="AT57" i="61"/>
  <c r="BV59" i="61"/>
  <c r="BV58" i="61"/>
  <c r="AT41" i="61"/>
  <c r="BV43" i="61"/>
  <c r="BV61" i="61"/>
  <c r="AT51" i="61"/>
  <c r="BV60" i="61"/>
  <c r="AT50" i="61"/>
  <c r="AT54" i="61"/>
  <c r="BV56" i="61"/>
  <c r="BV44" i="61"/>
  <c r="Q39" i="28"/>
  <c r="Q37" i="28"/>
  <c r="Y39" i="28" s="1"/>
  <c r="Q39" i="40"/>
  <c r="C43" i="45"/>
  <c r="C42" i="45" s="1"/>
  <c r="Q37" i="40"/>
  <c r="Y39" i="40" s="1"/>
  <c r="AT43" i="61"/>
  <c r="AT48" i="61"/>
  <c r="BV39" i="61"/>
  <c r="AT44" i="61"/>
  <c r="AT49" i="61"/>
  <c r="AT52" i="61"/>
  <c r="BF48" i="61"/>
  <c r="AT62" i="61"/>
  <c r="Q37" i="49"/>
  <c r="Y39" i="49" s="1"/>
  <c r="C48" i="32"/>
  <c r="C47" i="32" s="1"/>
  <c r="C43" i="40"/>
  <c r="C42" i="40" s="1"/>
  <c r="C43" i="49"/>
  <c r="G43" i="49" s="1"/>
  <c r="C43" i="47"/>
  <c r="C42" i="47" s="1"/>
  <c r="Q39" i="59"/>
  <c r="W42" i="59" s="1"/>
  <c r="C43" i="44"/>
  <c r="C42" i="44" s="1"/>
  <c r="Y39" i="47"/>
  <c r="Y40" i="47"/>
  <c r="AA50" i="30"/>
  <c r="AO50" i="30" s="1"/>
  <c r="W50" i="30"/>
  <c r="AA49" i="30"/>
  <c r="AO49" i="30" s="1"/>
  <c r="W49" i="30"/>
  <c r="B71" i="42"/>
  <c r="A76" i="42"/>
  <c r="A72" i="42"/>
  <c r="G38" i="49"/>
  <c r="AA34" i="38"/>
  <c r="AO34" i="38" s="1"/>
  <c r="W34" i="38"/>
  <c r="AA35" i="38"/>
  <c r="AO35" i="38" s="1"/>
  <c r="W35" i="38"/>
  <c r="AI52" i="43"/>
  <c r="AL54" i="43"/>
  <c r="AH55" i="43"/>
  <c r="AH54" i="43"/>
  <c r="AL55" i="43"/>
  <c r="X32" i="43"/>
  <c r="AA50" i="48"/>
  <c r="AO50" i="48" s="1"/>
  <c r="W50" i="48"/>
  <c r="AA49" i="48"/>
  <c r="AO49" i="48" s="1"/>
  <c r="W49" i="48"/>
  <c r="Q44" i="30"/>
  <c r="Q42" i="30"/>
  <c r="G1" i="43"/>
  <c r="G1" i="39"/>
  <c r="G1" i="35"/>
  <c r="G1" i="59"/>
  <c r="G1" i="31"/>
  <c r="G1" i="47"/>
  <c r="G1" i="27"/>
  <c r="H5" i="37"/>
  <c r="H11" i="37"/>
  <c r="H9" i="30"/>
  <c r="G1" i="44"/>
  <c r="H7" i="32"/>
  <c r="H5" i="32"/>
  <c r="H8" i="34"/>
  <c r="H9" i="34"/>
  <c r="G1" i="29"/>
  <c r="H8" i="38"/>
  <c r="H9" i="38"/>
  <c r="H10" i="38"/>
  <c r="AF13" i="38" s="1"/>
  <c r="G1" i="40"/>
  <c r="G1" i="45"/>
  <c r="H10" i="37"/>
  <c r="AF13" i="37" s="1"/>
  <c r="G1" i="30"/>
  <c r="H11" i="32"/>
  <c r="H10" i="32"/>
  <c r="AF13" i="32" s="1"/>
  <c r="H7" i="34"/>
  <c r="H6" i="34"/>
  <c r="G1" i="34"/>
  <c r="H7" i="38"/>
  <c r="H6" i="38"/>
  <c r="G1" i="38"/>
  <c r="G1" i="33"/>
  <c r="H8" i="33"/>
  <c r="H9" i="33"/>
  <c r="H8" i="37"/>
  <c r="H9" i="37"/>
  <c r="H7" i="30"/>
  <c r="H9" i="32"/>
  <c r="G1" i="32"/>
  <c r="H5" i="34"/>
  <c r="H11" i="34"/>
  <c r="H11" i="38"/>
  <c r="G1" i="26"/>
  <c r="G1" i="28"/>
  <c r="G1" i="49"/>
  <c r="G1" i="42"/>
  <c r="H7" i="37"/>
  <c r="H6" i="37"/>
  <c r="G1" i="37"/>
  <c r="H5" i="30"/>
  <c r="H11" i="30"/>
  <c r="H8" i="32"/>
  <c r="H6" i="32"/>
  <c r="G1" i="46"/>
  <c r="H10" i="34"/>
  <c r="AF13" i="34" s="1"/>
  <c r="G1" i="48"/>
  <c r="H5" i="38"/>
  <c r="G1" i="41"/>
  <c r="G1" i="36"/>
  <c r="H5" i="33"/>
  <c r="Q57" i="32"/>
  <c r="Q59" i="32"/>
  <c r="B67" i="42"/>
  <c r="A68" i="42"/>
  <c r="AA50" i="45"/>
  <c r="AO50" i="45" s="1"/>
  <c r="W50" i="45"/>
  <c r="AA49" i="45"/>
  <c r="AO49" i="45" s="1"/>
  <c r="W49" i="45"/>
  <c r="AL34" i="49"/>
  <c r="AH34" i="49"/>
  <c r="AI32" i="49"/>
  <c r="AL35" i="49"/>
  <c r="AH35" i="49"/>
  <c r="AA34" i="47"/>
  <c r="AO34" i="47" s="1"/>
  <c r="W34" i="47"/>
  <c r="AA35" i="47"/>
  <c r="AO35" i="47" s="1"/>
  <c r="W35" i="47"/>
  <c r="G38" i="47"/>
  <c r="AJ40" i="38"/>
  <c r="AJ39" i="38"/>
  <c r="AI32" i="38"/>
  <c r="AL35" i="38"/>
  <c r="AH35" i="38"/>
  <c r="AL34" i="38"/>
  <c r="AH34" i="38"/>
  <c r="AL34" i="27"/>
  <c r="AH34" i="27"/>
  <c r="AI32" i="27"/>
  <c r="AL35" i="27"/>
  <c r="AH35" i="27"/>
  <c r="AA34" i="27"/>
  <c r="AO34" i="27" s="1"/>
  <c r="W34" i="27"/>
  <c r="AA35" i="27"/>
  <c r="AO35" i="27" s="1"/>
  <c r="W35" i="27"/>
  <c r="Q47" i="29"/>
  <c r="Q49" i="29"/>
  <c r="O50" i="33"/>
  <c r="P50" i="33" s="1"/>
  <c r="P49" i="33"/>
  <c r="AL60" i="48"/>
  <c r="AH60" i="48"/>
  <c r="AI57" i="48"/>
  <c r="AL59" i="48"/>
  <c r="AH59" i="48"/>
  <c r="X32" i="48"/>
  <c r="AI37" i="43"/>
  <c r="AH40" i="43"/>
  <c r="AH39" i="43"/>
  <c r="AL40" i="43"/>
  <c r="AL39" i="43"/>
  <c r="X32" i="41"/>
  <c r="AA40" i="37"/>
  <c r="AO40" i="37" s="1"/>
  <c r="W40" i="37"/>
  <c r="AA39" i="37"/>
  <c r="AO39" i="37" s="1"/>
  <c r="W39" i="37"/>
  <c r="X32" i="37"/>
  <c r="M40" i="33"/>
  <c r="I40" i="33"/>
  <c r="M39" i="33"/>
  <c r="I39" i="33"/>
  <c r="G39" i="33"/>
  <c r="AI37" i="33"/>
  <c r="AL40" i="33"/>
  <c r="AH40" i="33"/>
  <c r="AL39" i="33"/>
  <c r="AH39" i="33"/>
  <c r="AJ45" i="29"/>
  <c r="AJ44" i="29"/>
  <c r="AI42" i="29"/>
  <c r="AL40" i="29"/>
  <c r="AH40" i="29"/>
  <c r="AL39" i="29"/>
  <c r="AH39" i="29"/>
  <c r="AI37" i="29"/>
  <c r="AJ55" i="41"/>
  <c r="AJ54" i="41"/>
  <c r="B71" i="29"/>
  <c r="A76" i="29"/>
  <c r="A72" i="29"/>
  <c r="A76" i="33"/>
  <c r="A72" i="33"/>
  <c r="B71" i="33"/>
  <c r="A60" i="38"/>
  <c r="B60" i="38" s="1"/>
  <c r="B59" i="38"/>
  <c r="Q37" i="36"/>
  <c r="BE135" i="61"/>
  <c r="BL143" i="61"/>
  <c r="H11" i="35" s="1"/>
  <c r="BH143" i="61"/>
  <c r="H7" i="35" s="1"/>
  <c r="BK143" i="61"/>
  <c r="H10" i="35" s="1"/>
  <c r="AF13" i="35" s="1"/>
  <c r="BG143" i="61"/>
  <c r="H6" i="35" s="1"/>
  <c r="BJ143" i="61"/>
  <c r="H9" i="35" s="1"/>
  <c r="BF143" i="61"/>
  <c r="H5" i="35" s="1"/>
  <c r="BI143" i="61"/>
  <c r="H8" i="35" s="1"/>
  <c r="BE143" i="61"/>
  <c r="D4" i="25"/>
  <c r="H4" i="25"/>
  <c r="I4" i="25" s="1"/>
  <c r="B71" i="41"/>
  <c r="A76" i="41"/>
  <c r="A72" i="41"/>
  <c r="CC44" i="61"/>
  <c r="AW44" i="61"/>
  <c r="BX44" i="61"/>
  <c r="AV44" i="61"/>
  <c r="BY44" i="61"/>
  <c r="BH44" i="61"/>
  <c r="BI44" i="61"/>
  <c r="CC60" i="61"/>
  <c r="BY60" i="61"/>
  <c r="BX60" i="61"/>
  <c r="AV60" i="61"/>
  <c r="AW60" i="61"/>
  <c r="BI60" i="61"/>
  <c r="BH60" i="61"/>
  <c r="CC53" i="61"/>
  <c r="AV53" i="61"/>
  <c r="BY53" i="61"/>
  <c r="AW53" i="61"/>
  <c r="BX53" i="61"/>
  <c r="BH53" i="61"/>
  <c r="BI53" i="61"/>
  <c r="CC46" i="61"/>
  <c r="AV46" i="61"/>
  <c r="AW46" i="61"/>
  <c r="BY46" i="61"/>
  <c r="BX46" i="61"/>
  <c r="BI46" i="61"/>
  <c r="BH46" i="61"/>
  <c r="CC62" i="61"/>
  <c r="BX62" i="61"/>
  <c r="BY62" i="61"/>
  <c r="AW62" i="61"/>
  <c r="AV62" i="61"/>
  <c r="BI62" i="61"/>
  <c r="BH62" i="61"/>
  <c r="CC51" i="61"/>
  <c r="AV51" i="61"/>
  <c r="BY51" i="61"/>
  <c r="AW51" i="61"/>
  <c r="BX51" i="61"/>
  <c r="BH51" i="61"/>
  <c r="BI51" i="61"/>
  <c r="AJ35" i="46"/>
  <c r="AK34" i="46"/>
  <c r="AJ34" i="46"/>
  <c r="AK35" i="46"/>
  <c r="G37" i="43"/>
  <c r="L40" i="43"/>
  <c r="L39" i="43"/>
  <c r="K40" i="43"/>
  <c r="K39" i="43"/>
  <c r="Y35" i="37"/>
  <c r="Z34" i="37"/>
  <c r="Z35" i="37"/>
  <c r="Y34" i="37"/>
  <c r="AK35" i="33"/>
  <c r="AJ35" i="33"/>
  <c r="AK34" i="33"/>
  <c r="AJ34" i="33"/>
  <c r="G37" i="26"/>
  <c r="L40" i="26"/>
  <c r="L39" i="26"/>
  <c r="K40" i="26"/>
  <c r="K39" i="26"/>
  <c r="A55" i="30"/>
  <c r="B55" i="30" s="1"/>
  <c r="B54" i="30"/>
  <c r="AC68" i="26"/>
  <c r="AC64" i="26"/>
  <c r="AD64" i="26" s="1"/>
  <c r="AD63" i="26"/>
  <c r="C48" i="47"/>
  <c r="C49" i="47"/>
  <c r="W50" i="26"/>
  <c r="AA49" i="26"/>
  <c r="AO49" i="26" s="1"/>
  <c r="W49" i="26"/>
  <c r="AA50" i="26"/>
  <c r="AO50" i="26" s="1"/>
  <c r="AC68" i="36"/>
  <c r="AC64" i="36"/>
  <c r="AD64" i="36" s="1"/>
  <c r="AD63" i="36"/>
  <c r="C49" i="44"/>
  <c r="C48" i="44"/>
  <c r="Q67" i="32"/>
  <c r="Q69" i="32"/>
  <c r="AA50" i="40"/>
  <c r="AO50" i="40" s="1"/>
  <c r="W50" i="40"/>
  <c r="AA49" i="40"/>
  <c r="AO49" i="40" s="1"/>
  <c r="W49" i="40"/>
  <c r="AJ80" i="46"/>
  <c r="AJ79" i="46"/>
  <c r="A60" i="49"/>
  <c r="B60" i="49" s="1"/>
  <c r="B59" i="49"/>
  <c r="A55" i="26"/>
  <c r="B55" i="26" s="1"/>
  <c r="B54" i="26"/>
  <c r="Q42" i="45"/>
  <c r="Q44" i="45"/>
  <c r="B66" i="30"/>
  <c r="A71" i="30"/>
  <c r="A67" i="30"/>
  <c r="Q42" i="35"/>
  <c r="Q44" i="35"/>
  <c r="A60" i="40"/>
  <c r="B60" i="40" s="1"/>
  <c r="B59" i="40"/>
  <c r="O59" i="35"/>
  <c r="P58" i="35"/>
  <c r="Q58" i="35" s="1"/>
  <c r="AI67" i="43"/>
  <c r="AL69" i="43"/>
  <c r="AH70" i="43"/>
  <c r="AH69" i="43"/>
  <c r="AL70" i="43"/>
  <c r="P86" i="32"/>
  <c r="O91" i="32"/>
  <c r="O87" i="32"/>
  <c r="AL55" i="27"/>
  <c r="AH55" i="27"/>
  <c r="AI52" i="27"/>
  <c r="AL54" i="27"/>
  <c r="AH54" i="27"/>
  <c r="P62" i="29"/>
  <c r="O63" i="29"/>
  <c r="G38" i="48"/>
  <c r="AJ40" i="40"/>
  <c r="AJ39" i="40"/>
  <c r="G38" i="40"/>
  <c r="AA34" i="34"/>
  <c r="AO34" i="34" s="1"/>
  <c r="W34" i="34"/>
  <c r="AA35" i="34"/>
  <c r="AO35" i="34" s="1"/>
  <c r="W35" i="34"/>
  <c r="AJ40" i="32"/>
  <c r="AJ39" i="32"/>
  <c r="G38" i="30"/>
  <c r="AA35" i="30"/>
  <c r="AO35" i="30" s="1"/>
  <c r="W35" i="30"/>
  <c r="AA34" i="30"/>
  <c r="AO34" i="30" s="1"/>
  <c r="W34" i="30"/>
  <c r="C48" i="29"/>
  <c r="C49" i="29"/>
  <c r="AK39" i="59"/>
  <c r="AN42" i="59"/>
  <c r="AJ42" i="59"/>
  <c r="AN41" i="59"/>
  <c r="AJ41" i="59"/>
  <c r="AA39" i="49"/>
  <c r="AO39" i="49" s="1"/>
  <c r="W39" i="49"/>
  <c r="AA40" i="49"/>
  <c r="AO40" i="49" s="1"/>
  <c r="W40" i="49"/>
  <c r="AI37" i="45"/>
  <c r="AL40" i="45"/>
  <c r="AH40" i="45"/>
  <c r="AL39" i="45"/>
  <c r="AH39" i="45"/>
  <c r="AJ44" i="39"/>
  <c r="AJ45" i="39"/>
  <c r="AI37" i="36"/>
  <c r="AL40" i="36"/>
  <c r="AH40" i="36"/>
  <c r="AL39" i="36"/>
  <c r="AH39" i="36"/>
  <c r="C43" i="32"/>
  <c r="AA40" i="28"/>
  <c r="AO40" i="28" s="1"/>
  <c r="W40" i="28"/>
  <c r="AA39" i="28"/>
  <c r="AO39" i="28" s="1"/>
  <c r="W39" i="28"/>
  <c r="G39" i="28"/>
  <c r="M40" i="28"/>
  <c r="I40" i="28"/>
  <c r="M39" i="28"/>
  <c r="I39" i="28"/>
  <c r="P53" i="44"/>
  <c r="Q53" i="44" s="1"/>
  <c r="O54" i="44"/>
  <c r="BK150" i="61"/>
  <c r="H10" i="28" s="1"/>
  <c r="AF13" i="28" s="1"/>
  <c r="BG150" i="61"/>
  <c r="H6" i="28" s="1"/>
  <c r="BJ150" i="61"/>
  <c r="H9" i="28" s="1"/>
  <c r="BI150" i="61"/>
  <c r="H8" i="28" s="1"/>
  <c r="BE150" i="61"/>
  <c r="BF150" i="61"/>
  <c r="H5" i="28" s="1"/>
  <c r="BL150" i="61"/>
  <c r="H11" i="28" s="1"/>
  <c r="BH150" i="61"/>
  <c r="H7" i="28" s="1"/>
  <c r="A68" i="44"/>
  <c r="B67" i="44"/>
  <c r="A64" i="29"/>
  <c r="B63" i="29"/>
  <c r="AA50" i="34"/>
  <c r="AO50" i="34" s="1"/>
  <c r="W50" i="34"/>
  <c r="AA49" i="34"/>
  <c r="AO49" i="34" s="1"/>
  <c r="W49" i="34"/>
  <c r="C48" i="35"/>
  <c r="C49" i="35"/>
  <c r="B66" i="46"/>
  <c r="A67" i="46"/>
  <c r="A71" i="46"/>
  <c r="Q41" i="59"/>
  <c r="AL54" i="47"/>
  <c r="AH54" i="47"/>
  <c r="AL55" i="47"/>
  <c r="AH55" i="47"/>
  <c r="AI52" i="47"/>
  <c r="P53" i="27"/>
  <c r="Q53" i="27" s="1"/>
  <c r="O54" i="27"/>
  <c r="AL60" i="39"/>
  <c r="AH60" i="39"/>
  <c r="AI57" i="39"/>
  <c r="AL59" i="39"/>
  <c r="AH59" i="39"/>
  <c r="P61" i="40"/>
  <c r="O66" i="40"/>
  <c r="O62" i="40"/>
  <c r="Q39" i="47"/>
  <c r="L40" i="45"/>
  <c r="L39" i="45"/>
  <c r="K40" i="45"/>
  <c r="K39" i="45"/>
  <c r="G37" i="45"/>
  <c r="AK35" i="39"/>
  <c r="AJ35" i="39"/>
  <c r="AK34" i="39"/>
  <c r="AJ34" i="39"/>
  <c r="G37" i="39"/>
  <c r="L40" i="39"/>
  <c r="L39" i="39"/>
  <c r="K40" i="39"/>
  <c r="K39" i="39"/>
  <c r="AK35" i="27"/>
  <c r="AJ35" i="27"/>
  <c r="AK34" i="27"/>
  <c r="AJ34" i="27"/>
  <c r="B66" i="39"/>
  <c r="A71" i="39"/>
  <c r="A67" i="39"/>
  <c r="B62" i="45"/>
  <c r="A63" i="45"/>
  <c r="BQ136" i="61"/>
  <c r="BU136" i="61"/>
  <c r="CJ136" i="61"/>
  <c r="CC136" i="61"/>
  <c r="CI136" i="61"/>
  <c r="CF136" i="61"/>
  <c r="CK136" i="61"/>
  <c r="CG136" i="61"/>
  <c r="BZ136" i="61"/>
  <c r="CD136" i="61"/>
  <c r="CA136" i="61"/>
  <c r="BY136" i="61"/>
  <c r="CB136" i="61"/>
  <c r="CH136" i="61"/>
  <c r="CL136" i="61"/>
  <c r="CE136" i="61"/>
  <c r="BS136" i="61"/>
  <c r="BR136" i="61"/>
  <c r="BT136" i="61"/>
  <c r="BX136" i="61"/>
  <c r="BW136" i="61"/>
  <c r="BP136" i="61"/>
  <c r="BO136" i="61"/>
  <c r="BN136" i="61"/>
  <c r="BV136" i="61"/>
  <c r="AL49" i="38"/>
  <c r="AH49" i="38"/>
  <c r="AL50" i="38"/>
  <c r="AH50" i="38"/>
  <c r="AI47" i="38"/>
  <c r="M45" i="28"/>
  <c r="I45" i="28"/>
  <c r="G44" i="28"/>
  <c r="M44" i="28"/>
  <c r="I44" i="28"/>
  <c r="AI57" i="37"/>
  <c r="AL59" i="37"/>
  <c r="AH59" i="37"/>
  <c r="AL60" i="37"/>
  <c r="AH60" i="37"/>
  <c r="Q37" i="48"/>
  <c r="M44" i="39"/>
  <c r="I44" i="39"/>
  <c r="M45" i="39"/>
  <c r="I45" i="39"/>
  <c r="G44" i="39"/>
  <c r="O55" i="29"/>
  <c r="P55" i="29" s="1"/>
  <c r="P54" i="29"/>
  <c r="P62" i="41"/>
  <c r="O63" i="41"/>
  <c r="Q39" i="44"/>
  <c r="AJ54" i="31"/>
  <c r="AJ55" i="31"/>
  <c r="AL60" i="42"/>
  <c r="AH60" i="42"/>
  <c r="AI57" i="42"/>
  <c r="AL59" i="42"/>
  <c r="AH59" i="42"/>
  <c r="O79" i="32"/>
  <c r="P78" i="32"/>
  <c r="Q78" i="32" s="1"/>
  <c r="A68" i="49"/>
  <c r="B67" i="49"/>
  <c r="AN36" i="59"/>
  <c r="L35" i="59"/>
  <c r="AN35" i="59"/>
  <c r="L34" i="59"/>
  <c r="AK33" i="59"/>
  <c r="G38" i="46"/>
  <c r="AA35" i="46"/>
  <c r="AO35" i="46" s="1"/>
  <c r="W35" i="46"/>
  <c r="AA34" i="46"/>
  <c r="AO34" i="46" s="1"/>
  <c r="W34" i="46"/>
  <c r="G38" i="33"/>
  <c r="AA34" i="33"/>
  <c r="AO34" i="33" s="1"/>
  <c r="W34" i="33"/>
  <c r="AA35" i="33"/>
  <c r="AO35" i="33" s="1"/>
  <c r="W35" i="33"/>
  <c r="AA34" i="28"/>
  <c r="AO34" i="28" s="1"/>
  <c r="W34" i="28"/>
  <c r="AA35" i="28"/>
  <c r="AO35" i="28" s="1"/>
  <c r="W35" i="28"/>
  <c r="AJ40" i="26"/>
  <c r="AJ39" i="26"/>
  <c r="O58" i="28"/>
  <c r="P57" i="28"/>
  <c r="AA50" i="41"/>
  <c r="AO50" i="41" s="1"/>
  <c r="W50" i="41"/>
  <c r="AA49" i="41"/>
  <c r="AO49" i="41" s="1"/>
  <c r="W49" i="41"/>
  <c r="AJ45" i="47"/>
  <c r="AJ44" i="47"/>
  <c r="AI37" i="44"/>
  <c r="AL40" i="44"/>
  <c r="AH40" i="44"/>
  <c r="AL39" i="44"/>
  <c r="AH39" i="44"/>
  <c r="Q38" i="35"/>
  <c r="Q37" i="35"/>
  <c r="Q39" i="35"/>
  <c r="AI37" i="30"/>
  <c r="AL40" i="30"/>
  <c r="AH40" i="30"/>
  <c r="AL39" i="30"/>
  <c r="AH39" i="30"/>
  <c r="AJ44" i="30"/>
  <c r="AJ45" i="30"/>
  <c r="M40" i="31"/>
  <c r="I40" i="31"/>
  <c r="M39" i="31"/>
  <c r="I39" i="31"/>
  <c r="G39" i="31"/>
  <c r="AC148" i="43"/>
  <c r="AC144" i="43"/>
  <c r="AD144" i="43" s="1"/>
  <c r="AD143" i="43"/>
  <c r="Q39" i="39"/>
  <c r="AC64" i="49"/>
  <c r="AD64" i="49" s="1"/>
  <c r="AD63" i="49"/>
  <c r="AC68" i="49"/>
  <c r="AI57" i="45"/>
  <c r="AL59" i="45"/>
  <c r="AH59" i="45"/>
  <c r="AL60" i="45"/>
  <c r="AH60" i="45"/>
  <c r="AJ60" i="28"/>
  <c r="AJ59" i="28"/>
  <c r="AL50" i="33"/>
  <c r="AH50" i="33"/>
  <c r="AI47" i="33"/>
  <c r="AL49" i="33"/>
  <c r="AH49" i="33"/>
  <c r="A59" i="46"/>
  <c r="B58" i="46"/>
  <c r="W55" i="26"/>
  <c r="AA54" i="26"/>
  <c r="AO54" i="26" s="1"/>
  <c r="W54" i="26"/>
  <c r="AA55" i="26"/>
  <c r="AO55" i="26" s="1"/>
  <c r="AL50" i="30"/>
  <c r="AH50" i="30"/>
  <c r="AI47" i="30"/>
  <c r="AL49" i="30"/>
  <c r="AH49" i="30"/>
  <c r="Z35" i="49"/>
  <c r="Y34" i="49"/>
  <c r="Y35" i="49"/>
  <c r="R32" i="49"/>
  <c r="Z34" i="49"/>
  <c r="K40" i="47"/>
  <c r="K39" i="47"/>
  <c r="G37" i="47"/>
  <c r="L40" i="47"/>
  <c r="L39" i="47"/>
  <c r="AJ34" i="41"/>
  <c r="AK35" i="41"/>
  <c r="AJ35" i="41"/>
  <c r="AK34" i="41"/>
  <c r="K40" i="41"/>
  <c r="K39" i="41"/>
  <c r="G37" i="41"/>
  <c r="L40" i="41"/>
  <c r="L39" i="41"/>
  <c r="O58" i="31"/>
  <c r="P57" i="31"/>
  <c r="A59" i="45"/>
  <c r="B58" i="45"/>
  <c r="AA59" i="59"/>
  <c r="AQ59" i="59" s="1"/>
  <c r="AA60" i="59"/>
  <c r="AQ60" i="59" s="1"/>
  <c r="Q42" i="32"/>
  <c r="Q44" i="32"/>
  <c r="B71" i="34"/>
  <c r="A76" i="34"/>
  <c r="A72" i="34"/>
  <c r="AL60" i="30"/>
  <c r="AH60" i="30"/>
  <c r="AI57" i="30"/>
  <c r="AL59" i="30"/>
  <c r="AH59" i="30"/>
  <c r="AL54" i="35"/>
  <c r="AH54" i="35"/>
  <c r="AL55" i="35"/>
  <c r="AH55" i="35"/>
  <c r="AI52" i="35"/>
  <c r="O54" i="50"/>
  <c r="P53" i="50"/>
  <c r="Q53" i="50" s="1"/>
  <c r="A64" i="27"/>
  <c r="B63" i="27"/>
  <c r="P49" i="28"/>
  <c r="O50" i="28"/>
  <c r="P50" i="28" s="1"/>
  <c r="A55" i="37"/>
  <c r="B55" i="37" s="1"/>
  <c r="B54" i="37"/>
  <c r="O67" i="42"/>
  <c r="P66" i="42"/>
  <c r="O71" i="42"/>
  <c r="AL50" i="48"/>
  <c r="AH50" i="48"/>
  <c r="AI47" i="48"/>
  <c r="AL49" i="48"/>
  <c r="AH49" i="48"/>
  <c r="O55" i="36"/>
  <c r="P55" i="36" s="1"/>
  <c r="P54" i="36"/>
  <c r="P62" i="38"/>
  <c r="O63" i="38"/>
  <c r="AL60" i="31"/>
  <c r="AH60" i="31"/>
  <c r="AI57" i="31"/>
  <c r="AL59" i="31"/>
  <c r="AH59" i="31"/>
  <c r="B67" i="47"/>
  <c r="A68" i="47"/>
  <c r="AL60" i="27"/>
  <c r="AH60" i="27"/>
  <c r="AI57" i="27"/>
  <c r="AL59" i="27"/>
  <c r="AH59" i="27"/>
  <c r="AA50" i="27"/>
  <c r="AO50" i="27" s="1"/>
  <c r="W50" i="27"/>
  <c r="AA49" i="27"/>
  <c r="AO49" i="27" s="1"/>
  <c r="W49" i="27"/>
  <c r="G38" i="50"/>
  <c r="G38" i="45"/>
  <c r="AJ40" i="42"/>
  <c r="AJ39" i="42"/>
  <c r="AA35" i="42"/>
  <c r="AO35" i="42" s="1"/>
  <c r="W35" i="42"/>
  <c r="AA34" i="42"/>
  <c r="AO34" i="42" s="1"/>
  <c r="W34" i="42"/>
  <c r="AL35" i="39"/>
  <c r="AH35" i="39"/>
  <c r="AL34" i="39"/>
  <c r="AH34" i="39"/>
  <c r="AI32" i="39"/>
  <c r="AJ40" i="36"/>
  <c r="AJ39" i="36"/>
  <c r="AL34" i="31"/>
  <c r="AH34" i="31"/>
  <c r="AI32" i="31"/>
  <c r="AL35" i="31"/>
  <c r="AH35" i="31"/>
  <c r="AJ40" i="31"/>
  <c r="AJ39" i="31"/>
  <c r="AA34" i="29"/>
  <c r="AO34" i="29" s="1"/>
  <c r="W34" i="29"/>
  <c r="AA35" i="29"/>
  <c r="AO35" i="29" s="1"/>
  <c r="W35" i="29"/>
  <c r="G38" i="29"/>
  <c r="O54" i="28"/>
  <c r="P53" i="28"/>
  <c r="Q53" i="28" s="1"/>
  <c r="Q44" i="49"/>
  <c r="Q42" i="49"/>
  <c r="AJ45" i="50"/>
  <c r="AJ44" i="50"/>
  <c r="X32" i="50"/>
  <c r="AI37" i="46"/>
  <c r="AH40" i="46"/>
  <c r="AH39" i="46"/>
  <c r="AL40" i="46"/>
  <c r="AL39" i="46"/>
  <c r="M40" i="42"/>
  <c r="I40" i="42"/>
  <c r="M39" i="42"/>
  <c r="I39" i="42"/>
  <c r="G39" i="42"/>
  <c r="AL40" i="38"/>
  <c r="AH40" i="38"/>
  <c r="AL39" i="38"/>
  <c r="AH39" i="38"/>
  <c r="AI37" i="38"/>
  <c r="X32" i="38"/>
  <c r="AJ45" i="34"/>
  <c r="AJ44" i="34"/>
  <c r="AJ45" i="26"/>
  <c r="AJ44" i="26"/>
  <c r="X32" i="26"/>
  <c r="M40" i="27"/>
  <c r="I40" i="27"/>
  <c r="M39" i="27"/>
  <c r="I39" i="27"/>
  <c r="G39" i="27"/>
  <c r="AI37" i="27"/>
  <c r="AL40" i="27"/>
  <c r="AH40" i="27"/>
  <c r="AL39" i="27"/>
  <c r="AH39" i="27"/>
  <c r="O62" i="44"/>
  <c r="P61" i="44"/>
  <c r="O66" i="44"/>
  <c r="AJ60" i="34"/>
  <c r="AJ59" i="34"/>
  <c r="C53" i="41"/>
  <c r="C54" i="41"/>
  <c r="C49" i="36"/>
  <c r="C48" i="36"/>
  <c r="Q37" i="30"/>
  <c r="AL54" i="29"/>
  <c r="AH54" i="29"/>
  <c r="AL55" i="29"/>
  <c r="AH55" i="29"/>
  <c r="AI52" i="29"/>
  <c r="C54" i="44"/>
  <c r="C53" i="44"/>
  <c r="Q42" i="50"/>
  <c r="Q44" i="50"/>
  <c r="O58" i="34"/>
  <c r="P57" i="34"/>
  <c r="AJ70" i="40"/>
  <c r="AJ69" i="40"/>
  <c r="AL49" i="47"/>
  <c r="AH49" i="47"/>
  <c r="AL50" i="47"/>
  <c r="AH50" i="47"/>
  <c r="AI47" i="47"/>
  <c r="AV4" i="25"/>
  <c r="W1" i="6"/>
  <c r="C54" i="31"/>
  <c r="C53" i="31"/>
  <c r="AJ54" i="39"/>
  <c r="AJ55" i="39"/>
  <c r="P49" i="50"/>
  <c r="O50" i="50"/>
  <c r="P50" i="50" s="1"/>
  <c r="G35" i="59"/>
  <c r="J35" i="59"/>
  <c r="G34" i="59"/>
  <c r="I34" i="59"/>
  <c r="I35" i="59"/>
  <c r="J34" i="59"/>
  <c r="L40" i="44"/>
  <c r="L39" i="44"/>
  <c r="K40" i="44"/>
  <c r="K39" i="44"/>
  <c r="G37" i="44"/>
  <c r="L40" i="40"/>
  <c r="L39" i="40"/>
  <c r="G37" i="40"/>
  <c r="K40" i="40"/>
  <c r="K39" i="40"/>
  <c r="Z34" i="30"/>
  <c r="Z35" i="30"/>
  <c r="Y34" i="30"/>
  <c r="Y35" i="30"/>
  <c r="AJ55" i="38"/>
  <c r="AJ54" i="38"/>
  <c r="AA55" i="48"/>
  <c r="AO55" i="48" s="1"/>
  <c r="W55" i="48"/>
  <c r="AA54" i="48"/>
  <c r="AO54" i="48" s="1"/>
  <c r="W54" i="48"/>
  <c r="P58" i="36"/>
  <c r="Q58" i="36" s="1"/>
  <c r="O59" i="36"/>
  <c r="Q39" i="38"/>
  <c r="W75" i="32"/>
  <c r="AA74" i="32"/>
  <c r="AO74" i="32" s="1"/>
  <c r="W74" i="32"/>
  <c r="AA75" i="32"/>
  <c r="AO75" i="32" s="1"/>
  <c r="Q37" i="45"/>
  <c r="B74" i="59"/>
  <c r="A75" i="59"/>
  <c r="A80" i="59"/>
  <c r="BF41" i="61"/>
  <c r="AT46" i="61"/>
  <c r="BV52" i="61"/>
  <c r="BV57" i="61"/>
  <c r="AT61" i="61"/>
  <c r="P62" i="30"/>
  <c r="O63" i="30"/>
  <c r="O67" i="48"/>
  <c r="P66" i="48"/>
  <c r="O71" i="48"/>
  <c r="O54" i="37"/>
  <c r="P53" i="37"/>
  <c r="Q53" i="37" s="1"/>
  <c r="C54" i="49"/>
  <c r="C53" i="49"/>
  <c r="Q42" i="39"/>
  <c r="Q42" i="48"/>
  <c r="AJ55" i="50"/>
  <c r="AJ54" i="50"/>
  <c r="A60" i="29"/>
  <c r="B60" i="29" s="1"/>
  <c r="B59" i="29"/>
  <c r="A60" i="59"/>
  <c r="B60" i="59" s="1"/>
  <c r="B59" i="59"/>
  <c r="AI77" i="43"/>
  <c r="AL79" i="43"/>
  <c r="AH80" i="43"/>
  <c r="AH79" i="43"/>
  <c r="AL80" i="43"/>
  <c r="AJ40" i="49"/>
  <c r="AJ39" i="49"/>
  <c r="AI32" i="41"/>
  <c r="AL35" i="41"/>
  <c r="AH35" i="41"/>
  <c r="AL34" i="41"/>
  <c r="AH34" i="41"/>
  <c r="G38" i="35"/>
  <c r="AJ45" i="37"/>
  <c r="AJ44" i="37"/>
  <c r="Q38" i="33"/>
  <c r="Q39" i="33"/>
  <c r="Q37" i="33"/>
  <c r="Q52" i="32"/>
  <c r="Q54" i="32"/>
  <c r="Y35" i="50"/>
  <c r="R32" i="50"/>
  <c r="Z34" i="50"/>
  <c r="Z35" i="50"/>
  <c r="Y34" i="50"/>
  <c r="L40" i="37"/>
  <c r="L39" i="37"/>
  <c r="K40" i="37"/>
  <c r="K39" i="37"/>
  <c r="G37" i="37"/>
  <c r="Z35" i="31"/>
  <c r="Y34" i="31"/>
  <c r="Y35" i="31"/>
  <c r="Z34" i="31"/>
  <c r="M45" i="43"/>
  <c r="I44" i="43"/>
  <c r="I45" i="43"/>
  <c r="G44" i="43"/>
  <c r="M44" i="43"/>
  <c r="AJ60" i="32"/>
  <c r="AJ59" i="32"/>
  <c r="AJ55" i="37"/>
  <c r="AJ54" i="37"/>
  <c r="AC59" i="44"/>
  <c r="AD59" i="44" s="1"/>
  <c r="AD58" i="44"/>
  <c r="AC63" i="44"/>
  <c r="C42" i="34"/>
  <c r="G43" i="34"/>
  <c r="B67" i="50"/>
  <c r="A68" i="50"/>
  <c r="AL49" i="35"/>
  <c r="AH49" i="35"/>
  <c r="AL50" i="35"/>
  <c r="AH50" i="35"/>
  <c r="AI47" i="35"/>
  <c r="AI77" i="46"/>
  <c r="AL79" i="46"/>
  <c r="AH79" i="46"/>
  <c r="AH80" i="46"/>
  <c r="AL80" i="46"/>
  <c r="AN66" i="59"/>
  <c r="AJ66" i="59"/>
  <c r="AK63" i="59"/>
  <c r="AN65" i="59"/>
  <c r="AJ65" i="59"/>
  <c r="Q44" i="40"/>
  <c r="Q42" i="40"/>
  <c r="C53" i="59"/>
  <c r="C52" i="59"/>
  <c r="Q42" i="34"/>
  <c r="Q44" i="34"/>
  <c r="AC64" i="50"/>
  <c r="AD64" i="50" s="1"/>
  <c r="AD63" i="50"/>
  <c r="AC68" i="50"/>
  <c r="AJ75" i="43"/>
  <c r="AJ74" i="43"/>
  <c r="O71" i="29"/>
  <c r="O67" i="29"/>
  <c r="P66" i="29"/>
  <c r="Q53" i="59"/>
  <c r="Q51" i="59"/>
  <c r="AA35" i="48"/>
  <c r="AO35" i="48" s="1"/>
  <c r="W35" i="48"/>
  <c r="AA34" i="48"/>
  <c r="AO34" i="48" s="1"/>
  <c r="W34" i="48"/>
  <c r="AJ40" i="44"/>
  <c r="AJ39" i="44"/>
  <c r="AL34" i="44"/>
  <c r="AH34" i="44"/>
  <c r="AI32" i="44"/>
  <c r="AL35" i="44"/>
  <c r="AH35" i="44"/>
  <c r="AA34" i="44"/>
  <c r="AO34" i="44" s="1"/>
  <c r="W34" i="44"/>
  <c r="AA35" i="44"/>
  <c r="AO35" i="44" s="1"/>
  <c r="W35" i="44"/>
  <c r="AA35" i="40"/>
  <c r="AO35" i="40" s="1"/>
  <c r="W35" i="40"/>
  <c r="AA34" i="40"/>
  <c r="AO34" i="40" s="1"/>
  <c r="W34" i="40"/>
  <c r="G38" i="34"/>
  <c r="G38" i="32"/>
  <c r="AA34" i="32"/>
  <c r="AO34" i="32" s="1"/>
  <c r="W34" i="32"/>
  <c r="W35" i="32"/>
  <c r="AA35" i="32"/>
  <c r="AO35" i="32" s="1"/>
  <c r="AJ40" i="30"/>
  <c r="AJ39" i="30"/>
  <c r="Q47" i="41"/>
  <c r="Q49" i="41"/>
  <c r="AL48" i="59"/>
  <c r="AL47" i="59"/>
  <c r="AK45" i="59"/>
  <c r="X33" i="59"/>
  <c r="AJ44" i="49"/>
  <c r="AJ45" i="49"/>
  <c r="G39" i="45"/>
  <c r="M40" i="45"/>
  <c r="I40" i="45"/>
  <c r="M39" i="45"/>
  <c r="I39" i="45"/>
  <c r="X32" i="45"/>
  <c r="M40" i="39"/>
  <c r="I40" i="39"/>
  <c r="M39" i="39"/>
  <c r="I39" i="39"/>
  <c r="G39" i="39"/>
  <c r="X32" i="39"/>
  <c r="AA39" i="36"/>
  <c r="AO39" i="36" s="1"/>
  <c r="W39" i="36"/>
  <c r="AA40" i="36"/>
  <c r="AO40" i="36" s="1"/>
  <c r="W40" i="36"/>
  <c r="M40" i="36"/>
  <c r="I40" i="36"/>
  <c r="M39" i="36"/>
  <c r="I39" i="36"/>
  <c r="G39" i="36"/>
  <c r="AL40" i="32"/>
  <c r="AH40" i="32"/>
  <c r="AL39" i="32"/>
  <c r="AH39" i="32"/>
  <c r="AI37" i="32"/>
  <c r="AA40" i="32"/>
  <c r="AO40" i="32" s="1"/>
  <c r="W40" i="32"/>
  <c r="AA39" i="32"/>
  <c r="AO39" i="32" s="1"/>
  <c r="W39" i="32"/>
  <c r="X32" i="32"/>
  <c r="AJ45" i="28"/>
  <c r="AJ44" i="28"/>
  <c r="Q44" i="36"/>
  <c r="Q42" i="36"/>
  <c r="A76" i="44"/>
  <c r="A72" i="44"/>
  <c r="B71" i="44"/>
  <c r="Q42" i="28"/>
  <c r="Q44" i="28"/>
  <c r="P49" i="34"/>
  <c r="O50" i="34"/>
  <c r="P50" i="34" s="1"/>
  <c r="P57" i="39"/>
  <c r="O58" i="39"/>
  <c r="O58" i="46"/>
  <c r="P57" i="46"/>
  <c r="B62" i="46"/>
  <c r="A63" i="46"/>
  <c r="AI57" i="46"/>
  <c r="AH60" i="46"/>
  <c r="AL59" i="46"/>
  <c r="AL60" i="46"/>
  <c r="AH59" i="46"/>
  <c r="AI57" i="43"/>
  <c r="AL59" i="43"/>
  <c r="AH60" i="43"/>
  <c r="AH59" i="43"/>
  <c r="AL60" i="43"/>
  <c r="C5" i="50"/>
  <c r="R33" i="50" s="1"/>
  <c r="AC68" i="39"/>
  <c r="AC64" i="39"/>
  <c r="AD64" i="39" s="1"/>
  <c r="AD63" i="39"/>
  <c r="S31" i="53"/>
  <c r="BG31" i="53"/>
  <c r="AJ35" i="45"/>
  <c r="AK34" i="45"/>
  <c r="AJ34" i="45"/>
  <c r="AK35" i="45"/>
  <c r="A59" i="26"/>
  <c r="B58" i="26"/>
  <c r="B66" i="45"/>
  <c r="A71" i="45"/>
  <c r="A67" i="45"/>
  <c r="Q39" i="48"/>
  <c r="BY141" i="61"/>
  <c r="CF141" i="61"/>
  <c r="CC141" i="61"/>
  <c r="CG141" i="61"/>
  <c r="BZ141" i="61"/>
  <c r="CI141" i="61"/>
  <c r="BU141" i="61"/>
  <c r="CD141" i="61"/>
  <c r="BQ141" i="61"/>
  <c r="CB141" i="61"/>
  <c r="CJ141" i="61"/>
  <c r="CK141" i="61"/>
  <c r="CH141" i="61"/>
  <c r="CL141" i="61"/>
  <c r="CA141" i="61"/>
  <c r="CE141" i="61"/>
  <c r="BR141" i="61"/>
  <c r="BO141" i="61"/>
  <c r="BP141" i="61"/>
  <c r="BS141" i="61"/>
  <c r="BN141" i="61"/>
  <c r="BX141" i="61"/>
  <c r="BV141" i="61"/>
  <c r="BT141" i="61"/>
  <c r="BW141" i="61"/>
  <c r="Q47" i="38"/>
  <c r="Q49" i="38"/>
  <c r="A64" i="50"/>
  <c r="B63" i="50"/>
  <c r="BQ144" i="61"/>
  <c r="CB144" i="61"/>
  <c r="CJ144" i="61"/>
  <c r="CK144" i="61"/>
  <c r="CA144" i="61"/>
  <c r="CE144" i="61"/>
  <c r="CD144" i="61"/>
  <c r="BY144" i="61"/>
  <c r="CF144" i="61"/>
  <c r="CC144" i="61"/>
  <c r="CG144" i="61"/>
  <c r="CI144" i="61"/>
  <c r="BU144" i="61"/>
  <c r="BZ144" i="61"/>
  <c r="CH144" i="61"/>
  <c r="CL144" i="61"/>
  <c r="BT144" i="61"/>
  <c r="BW144" i="61"/>
  <c r="BX144" i="61"/>
  <c r="BO144" i="61"/>
  <c r="BP144" i="61"/>
  <c r="BS144" i="61"/>
  <c r="BR144" i="61"/>
  <c r="BN144" i="61"/>
  <c r="BV144" i="61"/>
  <c r="P58" i="30"/>
  <c r="Q58" i="30" s="1"/>
  <c r="O59" i="30"/>
  <c r="O71" i="41"/>
  <c r="O67" i="41"/>
  <c r="P66" i="41"/>
  <c r="O58" i="50"/>
  <c r="P57" i="50"/>
  <c r="A68" i="27"/>
  <c r="B67" i="27"/>
  <c r="P49" i="43"/>
  <c r="O50" i="43"/>
  <c r="P50" i="43" s="1"/>
  <c r="AJ54" i="33"/>
  <c r="AJ55" i="33"/>
  <c r="AC68" i="42"/>
  <c r="AC64" i="42"/>
  <c r="AD64" i="42" s="1"/>
  <c r="AD63" i="42"/>
  <c r="BE137" i="61"/>
  <c r="O59" i="29"/>
  <c r="P58" i="29"/>
  <c r="Q58" i="29" s="1"/>
  <c r="C54" i="42"/>
  <c r="C53" i="42"/>
  <c r="A76" i="49"/>
  <c r="A72" i="49"/>
  <c r="B71" i="49"/>
  <c r="AL42" i="59"/>
  <c r="AL41" i="59"/>
  <c r="G40" i="59"/>
  <c r="AJ40" i="43"/>
  <c r="AJ39" i="43"/>
  <c r="AI32" i="37"/>
  <c r="AL35" i="37"/>
  <c r="AH35" i="37"/>
  <c r="AL34" i="37"/>
  <c r="AH34" i="37"/>
  <c r="AJ40" i="37"/>
  <c r="AJ39" i="37"/>
  <c r="G38" i="28"/>
  <c r="AA35" i="26"/>
  <c r="AO35" i="26" s="1"/>
  <c r="W35" i="26"/>
  <c r="AA34" i="26"/>
  <c r="AO34" i="26" s="1"/>
  <c r="W34" i="26"/>
  <c r="P61" i="28"/>
  <c r="O66" i="28"/>
  <c r="O62" i="28"/>
  <c r="B66" i="43"/>
  <c r="A67" i="43"/>
  <c r="A71" i="43"/>
  <c r="AA40" i="47"/>
  <c r="AO40" i="47" s="1"/>
  <c r="W40" i="47"/>
  <c r="AA39" i="47"/>
  <c r="AO39" i="47" s="1"/>
  <c r="W39" i="47"/>
  <c r="AL40" i="47"/>
  <c r="AH40" i="47"/>
  <c r="AL39" i="47"/>
  <c r="AH39" i="47"/>
  <c r="AI37" i="47"/>
  <c r="AJ44" i="44"/>
  <c r="AJ45" i="44"/>
  <c r="AI42" i="44"/>
  <c r="X32" i="44"/>
  <c r="AJ44" i="40"/>
  <c r="AJ45" i="40"/>
  <c r="X32" i="40"/>
  <c r="AJ45" i="35"/>
  <c r="AJ44" i="35"/>
  <c r="AI42" i="35"/>
  <c r="AA39" i="30"/>
  <c r="AO39" i="30" s="1"/>
  <c r="W39" i="30"/>
  <c r="AA40" i="30"/>
  <c r="AO40" i="30" s="1"/>
  <c r="W40" i="30"/>
  <c r="M40" i="30"/>
  <c r="I40" i="30"/>
  <c r="M39" i="30"/>
  <c r="I39" i="30"/>
  <c r="G39" i="30"/>
  <c r="C43" i="31"/>
  <c r="AJ44" i="31"/>
  <c r="AJ45" i="31"/>
  <c r="X32" i="31"/>
  <c r="O58" i="45"/>
  <c r="P57" i="45"/>
  <c r="AJ59" i="49"/>
  <c r="AJ60" i="49"/>
  <c r="AJ55" i="34"/>
  <c r="AJ54" i="34"/>
  <c r="A55" i="39"/>
  <c r="B55" i="39" s="1"/>
  <c r="B54" i="39"/>
  <c r="A64" i="44"/>
  <c r="B63" i="44"/>
  <c r="AI57" i="28"/>
  <c r="AL59" i="28"/>
  <c r="AH59" i="28"/>
  <c r="AL60" i="28"/>
  <c r="AH60" i="28"/>
  <c r="P54" i="26"/>
  <c r="O55" i="26"/>
  <c r="P55" i="26" s="1"/>
  <c r="O70" i="59"/>
  <c r="P69" i="59"/>
  <c r="B4" i="24"/>
  <c r="W1" i="3"/>
  <c r="O54" i="40"/>
  <c r="P53" i="40"/>
  <c r="Q53" i="40" s="1"/>
  <c r="M45" i="47"/>
  <c r="I45" i="47"/>
  <c r="G44" i="47"/>
  <c r="M44" i="47"/>
  <c r="I44" i="47"/>
  <c r="O58" i="49"/>
  <c r="P57" i="49"/>
  <c r="L40" i="49"/>
  <c r="L39" i="49"/>
  <c r="D37" i="49"/>
  <c r="K40" i="49"/>
  <c r="K39" i="49"/>
  <c r="G37" i="49"/>
  <c r="AJ34" i="47"/>
  <c r="AK35" i="47"/>
  <c r="AJ35" i="47"/>
  <c r="AK34" i="47"/>
  <c r="Z34" i="35"/>
  <c r="Z35" i="35"/>
  <c r="Y34" i="35"/>
  <c r="Y35" i="35"/>
  <c r="B66" i="26"/>
  <c r="A67" i="26"/>
  <c r="A71" i="26"/>
  <c r="M44" i="27"/>
  <c r="I44" i="27"/>
  <c r="M45" i="27"/>
  <c r="I45" i="27"/>
  <c r="G44" i="27"/>
  <c r="AA50" i="37"/>
  <c r="AO50" i="37" s="1"/>
  <c r="W50" i="37"/>
  <c r="AA49" i="37"/>
  <c r="AO49" i="37" s="1"/>
  <c r="W49" i="37"/>
  <c r="P61" i="43"/>
  <c r="O62" i="43"/>
  <c r="O66" i="43"/>
  <c r="AL49" i="32"/>
  <c r="AH49" i="32"/>
  <c r="AH50" i="32"/>
  <c r="AL50" i="32"/>
  <c r="AI47" i="32"/>
  <c r="AJ55" i="26"/>
  <c r="AJ54" i="26"/>
  <c r="P59" i="59"/>
  <c r="O60" i="59"/>
  <c r="P60" i="59" s="1"/>
  <c r="AL50" i="44"/>
  <c r="AH50" i="44"/>
  <c r="AI47" i="44"/>
  <c r="AL49" i="44"/>
  <c r="AH49" i="44"/>
  <c r="CB148" i="61"/>
  <c r="BQ148" i="61"/>
  <c r="CL148" i="61"/>
  <c r="CC148" i="61"/>
  <c r="BN148" i="61"/>
  <c r="BP148" i="61"/>
  <c r="BW148" i="61"/>
  <c r="AC68" i="30"/>
  <c r="AC64" i="30"/>
  <c r="AD64" i="30" s="1"/>
  <c r="AD63" i="30"/>
  <c r="B67" i="35"/>
  <c r="A68" i="35"/>
  <c r="AI42" i="37"/>
  <c r="O59" i="41"/>
  <c r="P58" i="41"/>
  <c r="Q58" i="41" s="1"/>
  <c r="Q39" i="26"/>
  <c r="A59" i="30"/>
  <c r="B58" i="30"/>
  <c r="O58" i="37"/>
  <c r="P57" i="37"/>
  <c r="Q47" i="59"/>
  <c r="Q45" i="59"/>
  <c r="AA55" i="36"/>
  <c r="AO55" i="36" s="1"/>
  <c r="W55" i="36"/>
  <c r="AA54" i="36"/>
  <c r="AO54" i="36" s="1"/>
  <c r="W54" i="36"/>
  <c r="O71" i="38"/>
  <c r="O67" i="38"/>
  <c r="P66" i="38"/>
  <c r="AC64" i="33"/>
  <c r="AD64" i="33" s="1"/>
  <c r="AD63" i="33"/>
  <c r="AC68" i="33"/>
  <c r="O50" i="39"/>
  <c r="P50" i="39" s="1"/>
  <c r="P49" i="39"/>
  <c r="M44" i="33"/>
  <c r="I44" i="33"/>
  <c r="M45" i="33"/>
  <c r="I45" i="33"/>
  <c r="G44" i="33"/>
  <c r="B71" i="47"/>
  <c r="A76" i="47"/>
  <c r="A72" i="47"/>
  <c r="A64" i="49"/>
  <c r="B63" i="49"/>
  <c r="AI32" i="45"/>
  <c r="AL35" i="45"/>
  <c r="AH35" i="45"/>
  <c r="AL34" i="45"/>
  <c r="AH34" i="45"/>
  <c r="AJ40" i="45"/>
  <c r="AJ39" i="45"/>
  <c r="G38" i="42"/>
  <c r="G38" i="39"/>
  <c r="AA35" i="36"/>
  <c r="AO35" i="36" s="1"/>
  <c r="W35" i="36"/>
  <c r="AA34" i="36"/>
  <c r="AO34" i="36" s="1"/>
  <c r="W34" i="36"/>
  <c r="AA34" i="31"/>
  <c r="AO34" i="31" s="1"/>
  <c r="W34" i="31"/>
  <c r="AA35" i="31"/>
  <c r="AO35" i="31" s="1"/>
  <c r="W35" i="31"/>
  <c r="AJ40" i="29"/>
  <c r="AJ39" i="29"/>
  <c r="O50" i="31"/>
  <c r="P50" i="31" s="1"/>
  <c r="P49" i="31"/>
  <c r="B62" i="37"/>
  <c r="A63" i="37"/>
  <c r="A60" i="44"/>
  <c r="B60" i="44" s="1"/>
  <c r="B59" i="44"/>
  <c r="AI52" i="46"/>
  <c r="AL55" i="46"/>
  <c r="AL54" i="46"/>
  <c r="AH55" i="46"/>
  <c r="AH54" i="46"/>
  <c r="AI37" i="50"/>
  <c r="AL40" i="50"/>
  <c r="AH40" i="50"/>
  <c r="AL39" i="50"/>
  <c r="AH39" i="50"/>
  <c r="G39" i="50"/>
  <c r="M40" i="50"/>
  <c r="I40" i="50"/>
  <c r="M39" i="50"/>
  <c r="I39" i="50"/>
  <c r="M40" i="46"/>
  <c r="I39" i="46"/>
  <c r="G39" i="46"/>
  <c r="I40" i="46"/>
  <c r="M39" i="46"/>
  <c r="AI37" i="42"/>
  <c r="AL40" i="42"/>
  <c r="AH40" i="42"/>
  <c r="AL39" i="42"/>
  <c r="AH39" i="42"/>
  <c r="AA39" i="42"/>
  <c r="AO39" i="42" s="1"/>
  <c r="W39" i="42"/>
  <c r="AA40" i="42"/>
  <c r="AO40" i="42" s="1"/>
  <c r="W40" i="42"/>
  <c r="X32" i="42"/>
  <c r="G39" i="26"/>
  <c r="I39" i="26"/>
  <c r="M40" i="26"/>
  <c r="I40" i="26"/>
  <c r="M39" i="26"/>
  <c r="AJ44" i="27"/>
  <c r="AJ45" i="27"/>
  <c r="AI42" i="27"/>
  <c r="C49" i="50"/>
  <c r="C48" i="50"/>
  <c r="A64" i="32"/>
  <c r="B63" i="32"/>
  <c r="AI57" i="34"/>
  <c r="AL59" i="34"/>
  <c r="AH59" i="34"/>
  <c r="AL60" i="34"/>
  <c r="AH60" i="34"/>
  <c r="Q37" i="43"/>
  <c r="AI72" i="43"/>
  <c r="AL74" i="43"/>
  <c r="AH75" i="43"/>
  <c r="AH74" i="43"/>
  <c r="AL75" i="43"/>
  <c r="A60" i="41"/>
  <c r="B60" i="41" s="1"/>
  <c r="B59" i="41"/>
  <c r="Q39" i="30"/>
  <c r="P53" i="39"/>
  <c r="Q53" i="39" s="1"/>
  <c r="O54" i="39"/>
  <c r="A68" i="31"/>
  <c r="B67" i="31"/>
  <c r="P61" i="34"/>
  <c r="O66" i="34"/>
  <c r="O62" i="34"/>
  <c r="AI67" i="40"/>
  <c r="AL69" i="40"/>
  <c r="AH69" i="40"/>
  <c r="AL70" i="40"/>
  <c r="AH70" i="40"/>
  <c r="W1" i="23"/>
  <c r="W1" i="15"/>
  <c r="O62" i="27"/>
  <c r="P61" i="27"/>
  <c r="O66" i="27"/>
  <c r="AA55" i="41"/>
  <c r="AO55" i="41" s="1"/>
  <c r="W55" i="41"/>
  <c r="AA54" i="41"/>
  <c r="AO54" i="41" s="1"/>
  <c r="W54" i="41"/>
  <c r="O35" i="59"/>
  <c r="O34" i="59"/>
  <c r="N34" i="59"/>
  <c r="N35" i="59"/>
  <c r="Z34" i="48"/>
  <c r="Z35" i="48"/>
  <c r="Y34" i="48"/>
  <c r="Y35" i="48"/>
  <c r="Y35" i="28"/>
  <c r="Z34" i="28"/>
  <c r="Z35" i="28"/>
  <c r="Y34" i="28"/>
  <c r="AJ35" i="28"/>
  <c r="AK34" i="28"/>
  <c r="AJ34" i="28"/>
  <c r="AK35" i="28"/>
  <c r="AK35" i="30"/>
  <c r="AJ35" i="30"/>
  <c r="AK34" i="30"/>
  <c r="AJ34" i="30"/>
  <c r="G37" i="30"/>
  <c r="L40" i="30"/>
  <c r="L39" i="30"/>
  <c r="K40" i="30"/>
  <c r="K39" i="30"/>
  <c r="A60" i="27"/>
  <c r="B60" i="27" s="1"/>
  <c r="B59" i="27"/>
  <c r="O58" i="33"/>
  <c r="P57" i="33"/>
  <c r="AL54" i="38"/>
  <c r="AH54" i="38"/>
  <c r="AL55" i="38"/>
  <c r="AH55" i="38"/>
  <c r="AI52" i="38"/>
  <c r="A59" i="36"/>
  <c r="B58" i="36"/>
  <c r="AJ55" i="32"/>
  <c r="AJ54" i="32"/>
  <c r="AI52" i="37"/>
  <c r="Q37" i="38"/>
  <c r="P62" i="26"/>
  <c r="O63" i="26"/>
  <c r="P74" i="32"/>
  <c r="O75" i="32"/>
  <c r="P75" i="32" s="1"/>
  <c r="C54" i="40"/>
  <c r="C53" i="40"/>
  <c r="A70" i="59"/>
  <c r="B69" i="59"/>
  <c r="BV41" i="61"/>
  <c r="AT47" i="61"/>
  <c r="BF50" i="61"/>
  <c r="BV51" i="61"/>
  <c r="BV55" i="61"/>
  <c r="BF63" i="61"/>
  <c r="W49" i="32"/>
  <c r="W50" i="32"/>
  <c r="AA49" i="32"/>
  <c r="AO49" i="32" s="1"/>
  <c r="AA50" i="32"/>
  <c r="AO50" i="32" s="1"/>
  <c r="Q39" i="37"/>
  <c r="Q37" i="42"/>
  <c r="AI47" i="46"/>
  <c r="AL50" i="46"/>
  <c r="AL49" i="46"/>
  <c r="AH50" i="46"/>
  <c r="AH49" i="46"/>
  <c r="AI47" i="40"/>
  <c r="AL50" i="40"/>
  <c r="AH50" i="40"/>
  <c r="AL49" i="40"/>
  <c r="AH49" i="40"/>
  <c r="Q42" i="33"/>
  <c r="C49" i="34"/>
  <c r="C48" i="34"/>
  <c r="AA50" i="33"/>
  <c r="AO50" i="33" s="1"/>
  <c r="W50" i="33"/>
  <c r="AA49" i="33"/>
  <c r="AO49" i="33" s="1"/>
  <c r="W49" i="33"/>
  <c r="W40" i="43"/>
  <c r="W39" i="43"/>
  <c r="AA40" i="43"/>
  <c r="AO40" i="43" s="1"/>
  <c r="AA39" i="43"/>
  <c r="AO39" i="43" s="1"/>
  <c r="G39" i="41"/>
  <c r="M40" i="41"/>
  <c r="I40" i="41"/>
  <c r="M39" i="41"/>
  <c r="I39" i="41"/>
  <c r="X32" i="29"/>
  <c r="B67" i="40"/>
  <c r="A68" i="40"/>
  <c r="BI147" i="61"/>
  <c r="BE147" i="61"/>
  <c r="BL147" i="61"/>
  <c r="BH147" i="61"/>
  <c r="BK147" i="61"/>
  <c r="BG147" i="61"/>
  <c r="BJ147" i="61"/>
  <c r="BF147" i="61"/>
  <c r="H5" i="31" s="1"/>
  <c r="CC48" i="61"/>
  <c r="BX48" i="61"/>
  <c r="AW48" i="61"/>
  <c r="AV48" i="61"/>
  <c r="BY48" i="61"/>
  <c r="BH48" i="61"/>
  <c r="BI48" i="61"/>
  <c r="CC57" i="61"/>
  <c r="AW57" i="61"/>
  <c r="BX57" i="61"/>
  <c r="BY57" i="61"/>
  <c r="AV57" i="61"/>
  <c r="BI57" i="61"/>
  <c r="BH57" i="61"/>
  <c r="CC39" i="61"/>
  <c r="AW39" i="61"/>
  <c r="BY39" i="61"/>
  <c r="AV39" i="61"/>
  <c r="BX39" i="61"/>
  <c r="BH39" i="61"/>
  <c r="BI39" i="61"/>
  <c r="AJ35" i="50"/>
  <c r="AK34" i="50"/>
  <c r="AJ34" i="50"/>
  <c r="AK35" i="50"/>
  <c r="AE33" i="50"/>
  <c r="AJ35" i="43"/>
  <c r="AK34" i="43"/>
  <c r="AK35" i="43"/>
  <c r="AJ34" i="43"/>
  <c r="C42" i="36"/>
  <c r="P62" i="35"/>
  <c r="O63" i="35"/>
  <c r="AJ54" i="42"/>
  <c r="AJ55" i="42"/>
  <c r="G43" i="37"/>
  <c r="A64" i="47"/>
  <c r="B63" i="47"/>
  <c r="AJ85" i="43"/>
  <c r="AJ84" i="43"/>
  <c r="AI82" i="43"/>
  <c r="AA34" i="49"/>
  <c r="AO34" i="49" s="1"/>
  <c r="W34" i="49"/>
  <c r="AA35" i="49"/>
  <c r="AO35" i="49" s="1"/>
  <c r="W35" i="49"/>
  <c r="AI32" i="47"/>
  <c r="AL35" i="47"/>
  <c r="AH35" i="47"/>
  <c r="AL34" i="47"/>
  <c r="AH34" i="47"/>
  <c r="G38" i="38"/>
  <c r="M45" i="29"/>
  <c r="I45" i="29"/>
  <c r="G44" i="29"/>
  <c r="M44" i="29"/>
  <c r="I44" i="29"/>
  <c r="A59" i="37"/>
  <c r="B58" i="37"/>
  <c r="AJ60" i="43"/>
  <c r="AJ59" i="43"/>
  <c r="AA39" i="48"/>
  <c r="AO39" i="48" s="1"/>
  <c r="W39" i="48"/>
  <c r="AA40" i="48"/>
  <c r="AO40" i="48" s="1"/>
  <c r="W40" i="48"/>
  <c r="C43" i="41"/>
  <c r="Q38" i="41"/>
  <c r="Q37" i="41"/>
  <c r="Q39" i="41"/>
  <c r="AI37" i="37"/>
  <c r="AL40" i="37"/>
  <c r="AH40" i="37"/>
  <c r="AL39" i="37"/>
  <c r="AH39" i="37"/>
  <c r="X32" i="33"/>
  <c r="G39" i="29"/>
  <c r="M40" i="29"/>
  <c r="I40" i="29"/>
  <c r="M39" i="29"/>
  <c r="I39" i="29"/>
  <c r="C49" i="28"/>
  <c r="C48" i="28"/>
  <c r="B71" i="32"/>
  <c r="A72" i="32"/>
  <c r="A76" i="32"/>
  <c r="A55" i="43"/>
  <c r="B55" i="43" s="1"/>
  <c r="B54" i="43"/>
  <c r="Q49" i="42"/>
  <c r="Q47" i="42"/>
  <c r="O55" i="30"/>
  <c r="P55" i="30" s="1"/>
  <c r="P54" i="30"/>
  <c r="C54" i="27"/>
  <c r="C53" i="27"/>
  <c r="AL50" i="36"/>
  <c r="AH50" i="36"/>
  <c r="AI47" i="36"/>
  <c r="AL49" i="36"/>
  <c r="AH49" i="36"/>
  <c r="B71" i="40"/>
  <c r="A76" i="40"/>
  <c r="A72" i="40"/>
  <c r="A60" i="50"/>
  <c r="B60" i="50" s="1"/>
  <c r="B59" i="50"/>
  <c r="BE131" i="61"/>
  <c r="Q44" i="27"/>
  <c r="Q42" i="27"/>
  <c r="P53" i="49"/>
  <c r="Q53" i="49" s="1"/>
  <c r="O54" i="49"/>
  <c r="CC52" i="61"/>
  <c r="BY52" i="61"/>
  <c r="AW52" i="61"/>
  <c r="BX52" i="61"/>
  <c r="AV52" i="61"/>
  <c r="BH52" i="61"/>
  <c r="BI52" i="61"/>
  <c r="CC45" i="61"/>
  <c r="BX45" i="61"/>
  <c r="AW45" i="61"/>
  <c r="BY45" i="61"/>
  <c r="AV45" i="61"/>
  <c r="BI45" i="61"/>
  <c r="BH45" i="61"/>
  <c r="CC61" i="61"/>
  <c r="BY61" i="61"/>
  <c r="BX61" i="61"/>
  <c r="AW61" i="61"/>
  <c r="AV61" i="61"/>
  <c r="BH61" i="61"/>
  <c r="BI61" i="61"/>
  <c r="CC54" i="61"/>
  <c r="AV54" i="61"/>
  <c r="BY54" i="61"/>
  <c r="AW54" i="61"/>
  <c r="BX54" i="61"/>
  <c r="BI54" i="61"/>
  <c r="BH54" i="61"/>
  <c r="CC43" i="61"/>
  <c r="AV43" i="61"/>
  <c r="BY43" i="61"/>
  <c r="AW43" i="61"/>
  <c r="BX43" i="61"/>
  <c r="BI43" i="61"/>
  <c r="BH43" i="61"/>
  <c r="CC59" i="61"/>
  <c r="AV59" i="61"/>
  <c r="BY59" i="61"/>
  <c r="AW59" i="61"/>
  <c r="BX59" i="61"/>
  <c r="BH59" i="61"/>
  <c r="BI59" i="61"/>
  <c r="L40" i="50"/>
  <c r="L39" i="50"/>
  <c r="D37" i="50"/>
  <c r="K40" i="50"/>
  <c r="K39" i="50"/>
  <c r="G37" i="50"/>
  <c r="Y35" i="46"/>
  <c r="Z34" i="46"/>
  <c r="Z35" i="46"/>
  <c r="Y34" i="46"/>
  <c r="AJ35" i="37"/>
  <c r="AK34" i="37"/>
  <c r="AJ34" i="37"/>
  <c r="AK35" i="37"/>
  <c r="Z35" i="33"/>
  <c r="Y34" i="33"/>
  <c r="Y35" i="33"/>
  <c r="Z34" i="33"/>
  <c r="L40" i="31"/>
  <c r="L39" i="31"/>
  <c r="K40" i="31"/>
  <c r="K39" i="31"/>
  <c r="G37" i="31"/>
  <c r="P53" i="31"/>
  <c r="Q53" i="31" s="1"/>
  <c r="O54" i="31"/>
  <c r="M44" i="36"/>
  <c r="I44" i="36"/>
  <c r="M45" i="36"/>
  <c r="I45" i="36"/>
  <c r="G44" i="36"/>
  <c r="CB129" i="61"/>
  <c r="CJ129" i="61"/>
  <c r="CK129" i="61"/>
  <c r="CL129" i="61"/>
  <c r="BQ129" i="61"/>
  <c r="CH129" i="61"/>
  <c r="BY129" i="61"/>
  <c r="CD129" i="61"/>
  <c r="CE129" i="61"/>
  <c r="CI129" i="61"/>
  <c r="BU129" i="61"/>
  <c r="CF129" i="61"/>
  <c r="CC129" i="61"/>
  <c r="CG129" i="61"/>
  <c r="BZ129" i="61"/>
  <c r="CA129" i="61"/>
  <c r="BO129" i="61"/>
  <c r="BT129" i="61"/>
  <c r="BR129" i="61"/>
  <c r="BN129" i="61"/>
  <c r="BP129" i="61"/>
  <c r="BS129" i="61"/>
  <c r="BX129" i="61"/>
  <c r="BW129" i="61"/>
  <c r="BV129" i="61"/>
  <c r="AI47" i="37"/>
  <c r="AL49" i="37"/>
  <c r="AH49" i="37"/>
  <c r="AL50" i="37"/>
  <c r="AH50" i="37"/>
  <c r="AJ60" i="26"/>
  <c r="AJ59" i="26"/>
  <c r="A60" i="28"/>
  <c r="B60" i="28" s="1"/>
  <c r="B59" i="28"/>
  <c r="AL59" i="32"/>
  <c r="AH59" i="32"/>
  <c r="AH60" i="32"/>
  <c r="AI57" i="32"/>
  <c r="AL60" i="32"/>
  <c r="AJ59" i="36"/>
  <c r="AJ60" i="36"/>
  <c r="A64" i="38"/>
  <c r="B63" i="38"/>
  <c r="AJ54" i="44"/>
  <c r="AJ55" i="44"/>
  <c r="M45" i="34"/>
  <c r="I45" i="34"/>
  <c r="G44" i="34"/>
  <c r="M44" i="34"/>
  <c r="I44" i="34"/>
  <c r="A60" i="42"/>
  <c r="B60" i="42" s="1"/>
  <c r="B59" i="42"/>
  <c r="M44" i="46"/>
  <c r="M45" i="46"/>
  <c r="I44" i="46"/>
  <c r="I45" i="46"/>
  <c r="G44" i="46"/>
  <c r="B71" i="50"/>
  <c r="A76" i="50"/>
  <c r="A72" i="50"/>
  <c r="AC76" i="59"/>
  <c r="AC71" i="59"/>
  <c r="AD71" i="59" s="1"/>
  <c r="AD70" i="59"/>
  <c r="A60" i="32"/>
  <c r="B60" i="32" s="1"/>
  <c r="B59" i="32"/>
  <c r="P58" i="42"/>
  <c r="Q58" i="42" s="1"/>
  <c r="O59" i="42"/>
  <c r="C42" i="50"/>
  <c r="G43" i="50"/>
  <c r="Q49" i="30"/>
  <c r="Q47" i="30"/>
  <c r="AJ60" i="50"/>
  <c r="AJ59" i="50"/>
  <c r="AL55" i="31"/>
  <c r="AH55" i="31"/>
  <c r="AI52" i="31"/>
  <c r="AL54" i="31"/>
  <c r="AH54" i="31"/>
  <c r="AA55" i="38"/>
  <c r="AO55" i="38" s="1"/>
  <c r="W55" i="38"/>
  <c r="AA54" i="38"/>
  <c r="AO54" i="38" s="1"/>
  <c r="W54" i="38"/>
  <c r="A55" i="48"/>
  <c r="B55" i="48" s="1"/>
  <c r="B54" i="48"/>
  <c r="C53" i="29"/>
  <c r="C54" i="29"/>
  <c r="O50" i="49"/>
  <c r="P50" i="49" s="1"/>
  <c r="P49" i="49"/>
  <c r="AL35" i="48"/>
  <c r="AH35" i="48"/>
  <c r="AL34" i="48"/>
  <c r="AH34" i="48"/>
  <c r="AI32" i="48"/>
  <c r="AL35" i="40"/>
  <c r="AH35" i="40"/>
  <c r="AL34" i="40"/>
  <c r="AH34" i="40"/>
  <c r="AI32" i="40"/>
  <c r="AI32" i="32"/>
  <c r="AH35" i="32"/>
  <c r="AH34" i="32"/>
  <c r="AL35" i="32"/>
  <c r="AL34" i="32"/>
  <c r="AA50" i="29"/>
  <c r="AO50" i="29" s="1"/>
  <c r="W50" i="29"/>
  <c r="AA49" i="29"/>
  <c r="AO49" i="29" s="1"/>
  <c r="W49" i="29"/>
  <c r="C49" i="42"/>
  <c r="C48" i="42"/>
  <c r="AI52" i="40"/>
  <c r="AL54" i="40"/>
  <c r="AH54" i="40"/>
  <c r="AL55" i="40"/>
  <c r="AH55" i="40"/>
  <c r="AA42" i="59"/>
  <c r="AQ42" i="59" s="1"/>
  <c r="AA41" i="59"/>
  <c r="AQ41" i="59" s="1"/>
  <c r="M42" i="59"/>
  <c r="G41" i="59"/>
  <c r="M41" i="59"/>
  <c r="AI37" i="49"/>
  <c r="AL40" i="49"/>
  <c r="AH40" i="49"/>
  <c r="AL39" i="49"/>
  <c r="AH39" i="49"/>
  <c r="AA40" i="45"/>
  <c r="AO40" i="45" s="1"/>
  <c r="W40" i="45"/>
  <c r="AA39" i="45"/>
  <c r="AO39" i="45" s="1"/>
  <c r="W39" i="45"/>
  <c r="AI37" i="39"/>
  <c r="AL40" i="39"/>
  <c r="AH40" i="39"/>
  <c r="AL39" i="39"/>
  <c r="AH39" i="39"/>
  <c r="X32" i="36"/>
  <c r="AJ45" i="32"/>
  <c r="AJ44" i="32"/>
  <c r="AI42" i="32"/>
  <c r="G39" i="32"/>
  <c r="I39" i="32"/>
  <c r="I40" i="32"/>
  <c r="M39" i="32"/>
  <c r="M40" i="32"/>
  <c r="BJ152" i="61"/>
  <c r="H9" i="26" s="1"/>
  <c r="BF152" i="61"/>
  <c r="H5" i="26" s="1"/>
  <c r="BI152" i="61"/>
  <c r="H8" i="26" s="1"/>
  <c r="BE152" i="61"/>
  <c r="BL152" i="61"/>
  <c r="H11" i="26" s="1"/>
  <c r="BH152" i="61"/>
  <c r="H7" i="26" s="1"/>
  <c r="BG152" i="61"/>
  <c r="H6" i="26" s="1"/>
  <c r="BK152" i="61"/>
  <c r="H10" i="26" s="1"/>
  <c r="AF13" i="26" s="1"/>
  <c r="AL49" i="29"/>
  <c r="AH49" i="29"/>
  <c r="AL50" i="29"/>
  <c r="AH50" i="29"/>
  <c r="AI47" i="29"/>
  <c r="C49" i="33"/>
  <c r="C48" i="33"/>
  <c r="A64" i="40"/>
  <c r="B63" i="40"/>
  <c r="P61" i="46"/>
  <c r="O66" i="46"/>
  <c r="O62" i="46"/>
  <c r="AJ65" i="46"/>
  <c r="AJ64" i="46"/>
  <c r="AJ65" i="43"/>
  <c r="AJ64" i="43"/>
  <c r="AI62" i="43"/>
  <c r="B67" i="28"/>
  <c r="A68" i="28"/>
  <c r="A60" i="34"/>
  <c r="B60" i="34" s="1"/>
  <c r="B59" i="34"/>
  <c r="C49" i="40"/>
  <c r="C48" i="40"/>
  <c r="AC59" i="47"/>
  <c r="AD59" i="47" s="1"/>
  <c r="AD58" i="47"/>
  <c r="AC63" i="47"/>
  <c r="A60" i="35"/>
  <c r="B60" i="35" s="1"/>
  <c r="B59" i="35"/>
  <c r="A64" i="41"/>
  <c r="B63" i="41"/>
  <c r="AN53" i="59"/>
  <c r="AJ53" i="59"/>
  <c r="AN54" i="59"/>
  <c r="AJ54" i="59"/>
  <c r="AK51" i="59"/>
  <c r="Z34" i="42"/>
  <c r="Z35" i="42"/>
  <c r="Y34" i="42"/>
  <c r="Y35" i="42"/>
  <c r="Z34" i="36"/>
  <c r="Z35" i="36"/>
  <c r="Y34" i="36"/>
  <c r="Y35" i="36"/>
  <c r="Z35" i="27"/>
  <c r="Y34" i="27"/>
  <c r="Y35" i="27"/>
  <c r="Z34" i="27"/>
  <c r="Z34" i="29"/>
  <c r="Z35" i="29"/>
  <c r="Y34" i="29"/>
  <c r="Y35" i="29"/>
  <c r="P53" i="33"/>
  <c r="Q53" i="33" s="1"/>
  <c r="O54" i="33"/>
  <c r="P53" i="43"/>
  <c r="Q53" i="43" s="1"/>
  <c r="O54" i="43"/>
  <c r="A55" i="46"/>
  <c r="B55" i="46" s="1"/>
  <c r="B54" i="46"/>
  <c r="P62" i="36"/>
  <c r="O63" i="36"/>
  <c r="AC64" i="37"/>
  <c r="AD64" i="37" s="1"/>
  <c r="AD63" i="37"/>
  <c r="AC68" i="37"/>
  <c r="M44" i="40"/>
  <c r="I44" i="40"/>
  <c r="G44" i="40"/>
  <c r="M45" i="40"/>
  <c r="I45" i="40"/>
  <c r="P49" i="46"/>
  <c r="O50" i="46"/>
  <c r="P50" i="46" s="1"/>
  <c r="Q39" i="32"/>
  <c r="M45" i="26"/>
  <c r="I45" i="26"/>
  <c r="G44" i="26"/>
  <c r="I44" i="26"/>
  <c r="M44" i="26"/>
  <c r="P61" i="50"/>
  <c r="O66" i="50"/>
  <c r="O62" i="50"/>
  <c r="A76" i="27"/>
  <c r="A72" i="27"/>
  <c r="B71" i="27"/>
  <c r="W50" i="43"/>
  <c r="AA49" i="43"/>
  <c r="AO49" i="43" s="1"/>
  <c r="AA50" i="43"/>
  <c r="AO50" i="43" s="1"/>
  <c r="W49" i="43"/>
  <c r="Q42" i="38"/>
  <c r="Q44" i="38"/>
  <c r="Q42" i="37"/>
  <c r="Q44" i="37"/>
  <c r="AI57" i="40"/>
  <c r="AL59" i="40"/>
  <c r="AH59" i="40"/>
  <c r="AL60" i="40"/>
  <c r="AH60" i="40"/>
  <c r="AA54" i="59"/>
  <c r="AQ54" i="59" s="1"/>
  <c r="AA53" i="59"/>
  <c r="AQ53" i="59" s="1"/>
  <c r="AJ40" i="46"/>
  <c r="AJ39" i="46"/>
  <c r="G38" i="43"/>
  <c r="AA35" i="43"/>
  <c r="AO35" i="43" s="1"/>
  <c r="W35" i="43"/>
  <c r="W34" i="43"/>
  <c r="AA34" i="43"/>
  <c r="AO34" i="43" s="1"/>
  <c r="AA34" i="37"/>
  <c r="AO34" i="37" s="1"/>
  <c r="W34" i="37"/>
  <c r="AA35" i="37"/>
  <c r="AO35" i="37" s="1"/>
  <c r="W35" i="37"/>
  <c r="AL35" i="26"/>
  <c r="AH35" i="26"/>
  <c r="AI32" i="26"/>
  <c r="AL34" i="26"/>
  <c r="AH34" i="26"/>
  <c r="C49" i="26"/>
  <c r="C48" i="26"/>
  <c r="B62" i="43"/>
  <c r="A63" i="43"/>
  <c r="AJ54" i="48"/>
  <c r="AJ55" i="48"/>
  <c r="M40" i="44"/>
  <c r="I40" i="44"/>
  <c r="M39" i="44"/>
  <c r="I39" i="44"/>
  <c r="G39" i="44"/>
  <c r="AA39" i="40"/>
  <c r="AO39" i="40" s="1"/>
  <c r="W39" i="40"/>
  <c r="W40" i="40"/>
  <c r="AA40" i="40"/>
  <c r="AO40" i="40" s="1"/>
  <c r="M40" i="40"/>
  <c r="I40" i="40"/>
  <c r="M39" i="40"/>
  <c r="I39" i="40"/>
  <c r="G39" i="40"/>
  <c r="AL40" i="35"/>
  <c r="AH40" i="35"/>
  <c r="AL39" i="35"/>
  <c r="AH39" i="35"/>
  <c r="AI37" i="35"/>
  <c r="X32" i="30"/>
  <c r="AA39" i="31"/>
  <c r="AO39" i="31" s="1"/>
  <c r="W39" i="31"/>
  <c r="AA40" i="31"/>
  <c r="AO40" i="31" s="1"/>
  <c r="W40" i="31"/>
  <c r="AJ139" i="43"/>
  <c r="AJ140" i="43"/>
  <c r="M44" i="30"/>
  <c r="I44" i="30"/>
  <c r="M45" i="30"/>
  <c r="I45" i="30"/>
  <c r="G44" i="30"/>
  <c r="P61" i="45"/>
  <c r="O66" i="45"/>
  <c r="O62" i="45"/>
  <c r="AL60" i="49"/>
  <c r="AH60" i="49"/>
  <c r="AI57" i="49"/>
  <c r="AL59" i="49"/>
  <c r="AH59" i="49"/>
  <c r="BE133" i="61"/>
  <c r="O55" i="42"/>
  <c r="P55" i="42" s="1"/>
  <c r="P54" i="42"/>
  <c r="AC64" i="45"/>
  <c r="AD64" i="45" s="1"/>
  <c r="AD63" i="45"/>
  <c r="AC68" i="45"/>
  <c r="A55" i="45"/>
  <c r="B55" i="45" s="1"/>
  <c r="B54" i="45"/>
  <c r="Q42" i="43"/>
  <c r="Q44" i="43"/>
  <c r="A64" i="28"/>
  <c r="B63" i="28"/>
  <c r="C49" i="27"/>
  <c r="C48" i="27"/>
  <c r="C49" i="37"/>
  <c r="C48" i="37"/>
  <c r="O63" i="47"/>
  <c r="P62" i="47"/>
  <c r="AK35" i="49"/>
  <c r="AE33" i="49"/>
  <c r="AJ35" i="49"/>
  <c r="AK34" i="49"/>
  <c r="AJ34" i="49"/>
  <c r="Z34" i="38"/>
  <c r="Z35" i="38"/>
  <c r="Y34" i="38"/>
  <c r="Y35" i="38"/>
  <c r="AJ34" i="35"/>
  <c r="AK35" i="35"/>
  <c r="AJ35" i="35"/>
  <c r="AK34" i="35"/>
  <c r="K40" i="35"/>
  <c r="K39" i="35"/>
  <c r="G37" i="35"/>
  <c r="L40" i="35"/>
  <c r="L39" i="35"/>
  <c r="AJ34" i="32"/>
  <c r="AK35" i="32"/>
  <c r="AK34" i="32"/>
  <c r="AJ35" i="32"/>
  <c r="K40" i="32"/>
  <c r="K39" i="32"/>
  <c r="L39" i="32"/>
  <c r="G37" i="32"/>
  <c r="L40" i="32"/>
  <c r="B62" i="26"/>
  <c r="A63" i="26"/>
  <c r="O62" i="31"/>
  <c r="P61" i="31"/>
  <c r="O66" i="31"/>
  <c r="P49" i="37"/>
  <c r="O50" i="37"/>
  <c r="P50" i="37" s="1"/>
  <c r="P57" i="43"/>
  <c r="O58" i="43"/>
  <c r="B62" i="36"/>
  <c r="A63" i="36"/>
  <c r="M45" i="45"/>
  <c r="I45" i="45"/>
  <c r="G44" i="45"/>
  <c r="M44" i="45"/>
  <c r="I44" i="45"/>
  <c r="AJ54" i="36"/>
  <c r="AJ55" i="36"/>
  <c r="C53" i="32"/>
  <c r="C54" i="32"/>
  <c r="AL50" i="49"/>
  <c r="AH50" i="49"/>
  <c r="AI47" i="49"/>
  <c r="AL49" i="49"/>
  <c r="AH49" i="49"/>
  <c r="B71" i="35"/>
  <c r="A76" i="35"/>
  <c r="A72" i="35"/>
  <c r="AC59" i="35"/>
  <c r="AD59" i="35" s="1"/>
  <c r="AD58" i="35"/>
  <c r="AC63" i="35"/>
  <c r="M44" i="48"/>
  <c r="I44" i="48"/>
  <c r="M45" i="48"/>
  <c r="I45" i="48"/>
  <c r="G44" i="48"/>
  <c r="P61" i="37"/>
  <c r="O66" i="37"/>
  <c r="O62" i="37"/>
  <c r="P62" i="42"/>
  <c r="O63" i="42"/>
  <c r="Q42" i="29"/>
  <c r="Q44" i="29"/>
  <c r="C49" i="43"/>
  <c r="C48" i="43"/>
  <c r="AI47" i="43"/>
  <c r="AL49" i="43"/>
  <c r="AH50" i="43"/>
  <c r="AH49" i="43"/>
  <c r="AL50" i="43"/>
  <c r="AC64" i="31"/>
  <c r="AD64" i="31" s="1"/>
  <c r="AD63" i="31"/>
  <c r="AC68" i="31"/>
  <c r="AJ59" i="33"/>
  <c r="AJ60" i="33"/>
  <c r="AA50" i="39"/>
  <c r="AO50" i="39" s="1"/>
  <c r="W50" i="39"/>
  <c r="AA49" i="39"/>
  <c r="AO49" i="39" s="1"/>
  <c r="W49" i="39"/>
  <c r="AI62" i="46"/>
  <c r="AC64" i="27"/>
  <c r="AD64" i="27" s="1"/>
  <c r="AD63" i="27"/>
  <c r="AC68" i="27"/>
  <c r="C54" i="28"/>
  <c r="C53" i="28"/>
  <c r="C54" i="34"/>
  <c r="C53" i="34"/>
  <c r="AI32" i="50"/>
  <c r="AL35" i="50"/>
  <c r="AH35" i="50"/>
  <c r="AL34" i="50"/>
  <c r="AH34" i="50"/>
  <c r="AJ40" i="50"/>
  <c r="AJ39" i="50"/>
  <c r="AA34" i="45"/>
  <c r="AO34" i="45" s="1"/>
  <c r="W34" i="45"/>
  <c r="AA35" i="45"/>
  <c r="AO35" i="45" s="1"/>
  <c r="W35" i="45"/>
  <c r="AJ40" i="39"/>
  <c r="AJ39" i="39"/>
  <c r="G38" i="36"/>
  <c r="G38" i="31"/>
  <c r="AI32" i="29"/>
  <c r="AL35" i="29"/>
  <c r="AH35" i="29"/>
  <c r="AL34" i="29"/>
  <c r="AH34" i="29"/>
  <c r="AA50" i="31"/>
  <c r="AO50" i="31" s="1"/>
  <c r="W50" i="31"/>
  <c r="AA49" i="31"/>
  <c r="AO49" i="31" s="1"/>
  <c r="W49" i="31"/>
  <c r="B66" i="37"/>
  <c r="A71" i="37"/>
  <c r="A67" i="37"/>
  <c r="C49" i="48"/>
  <c r="C48" i="48"/>
  <c r="AA40" i="50"/>
  <c r="AO40" i="50" s="1"/>
  <c r="W40" i="50"/>
  <c r="AA39" i="50"/>
  <c r="AO39" i="50" s="1"/>
  <c r="W39" i="50"/>
  <c r="AJ45" i="46"/>
  <c r="AJ44" i="46"/>
  <c r="C43" i="38"/>
  <c r="AA40" i="38"/>
  <c r="AO40" i="38" s="1"/>
  <c r="W40" i="38"/>
  <c r="AA39" i="38"/>
  <c r="AO39" i="38" s="1"/>
  <c r="W39" i="38"/>
  <c r="AI37" i="34"/>
  <c r="AL40" i="34"/>
  <c r="AH40" i="34"/>
  <c r="AL39" i="34"/>
  <c r="AH39" i="34"/>
  <c r="X32" i="34"/>
  <c r="AA40" i="26"/>
  <c r="AO40" i="26" s="1"/>
  <c r="W40" i="26"/>
  <c r="AA39" i="26"/>
  <c r="AO39" i="26" s="1"/>
  <c r="W39" i="26"/>
  <c r="X32" i="27"/>
  <c r="O58" i="44"/>
  <c r="P57" i="44"/>
  <c r="Q39" i="43"/>
  <c r="AJ80" i="43"/>
  <c r="AJ79" i="43"/>
  <c r="C53" i="38"/>
  <c r="C54" i="38"/>
  <c r="AA55" i="47"/>
  <c r="AO55" i="47" s="1"/>
  <c r="W55" i="47"/>
  <c r="AA54" i="47"/>
  <c r="AO54" i="47" s="1"/>
  <c r="W54" i="47"/>
  <c r="AC59" i="29"/>
  <c r="AD59" i="29" s="1"/>
  <c r="AD58" i="29"/>
  <c r="AC63" i="29"/>
  <c r="Q42" i="46"/>
  <c r="Q44" i="46"/>
  <c r="A76" i="31"/>
  <c r="A72" i="31"/>
  <c r="B71" i="31"/>
  <c r="O65" i="59"/>
  <c r="P64" i="59"/>
  <c r="Q64" i="59" s="1"/>
  <c r="W1" i="53"/>
  <c r="W1" i="21"/>
  <c r="W1" i="13"/>
  <c r="O55" i="41"/>
  <c r="P55" i="41" s="1"/>
  <c r="P54" i="41"/>
  <c r="M44" i="49"/>
  <c r="I44" i="49"/>
  <c r="M45" i="49"/>
  <c r="I45" i="49"/>
  <c r="G44" i="49"/>
  <c r="AK35" i="48"/>
  <c r="AJ35" i="48"/>
  <c r="AK34" i="48"/>
  <c r="AJ34" i="48"/>
  <c r="G37" i="48"/>
  <c r="L40" i="48"/>
  <c r="L39" i="48"/>
  <c r="K40" i="48"/>
  <c r="K39" i="48"/>
  <c r="Y35" i="34"/>
  <c r="Z34" i="34"/>
  <c r="Z35" i="34"/>
  <c r="Y34" i="34"/>
  <c r="AJ35" i="34"/>
  <c r="AK34" i="34"/>
  <c r="AJ34" i="34"/>
  <c r="AK35" i="34"/>
  <c r="L40" i="28"/>
  <c r="L39" i="28"/>
  <c r="K40" i="28"/>
  <c r="K39" i="28"/>
  <c r="G37" i="28"/>
  <c r="B62" i="48"/>
  <c r="A63" i="48"/>
  <c r="AA55" i="35"/>
  <c r="AO55" i="35" s="1"/>
  <c r="W55" i="35"/>
  <c r="AA54" i="35"/>
  <c r="AO54" i="35" s="1"/>
  <c r="W54" i="35"/>
  <c r="B67" i="38"/>
  <c r="A68" i="38"/>
  <c r="O50" i="44"/>
  <c r="P50" i="44" s="1"/>
  <c r="P49" i="44"/>
  <c r="P66" i="26"/>
  <c r="O71" i="26"/>
  <c r="O67" i="26"/>
  <c r="A64" i="34"/>
  <c r="B63" i="34"/>
  <c r="A60" i="47"/>
  <c r="B60" i="47" s="1"/>
  <c r="B59" i="47"/>
  <c r="AT40" i="61"/>
  <c r="AT42" i="61"/>
  <c r="BV50" i="61"/>
  <c r="BF53" i="61"/>
  <c r="BV54" i="61"/>
  <c r="BF60" i="61"/>
  <c r="BF62" i="61"/>
  <c r="BV63" i="61"/>
  <c r="O67" i="30"/>
  <c r="P66" i="30"/>
  <c r="O71" i="30"/>
  <c r="A64" i="35"/>
  <c r="B63" i="35"/>
  <c r="Q37" i="37"/>
  <c r="P62" i="48"/>
  <c r="O63" i="48"/>
  <c r="C53" i="35"/>
  <c r="C54" i="35"/>
  <c r="Q39" i="42"/>
  <c r="Q42" i="44"/>
  <c r="M50" i="32"/>
  <c r="I50" i="32"/>
  <c r="G49" i="32"/>
  <c r="I49" i="32"/>
  <c r="M49" i="32"/>
  <c r="P49" i="45"/>
  <c r="O50" i="45"/>
  <c r="P50" i="45" s="1"/>
  <c r="C49" i="39"/>
  <c r="C48" i="39"/>
  <c r="AJ40" i="47"/>
  <c r="AJ39" i="47"/>
  <c r="AA34" i="35"/>
  <c r="AO34" i="35" s="1"/>
  <c r="W34" i="35"/>
  <c r="AA35" i="35"/>
  <c r="AO35" i="35" s="1"/>
  <c r="W35" i="35"/>
  <c r="Q47" i="47"/>
  <c r="Q49" i="47"/>
  <c r="AC68" i="48"/>
  <c r="AC64" i="48"/>
  <c r="AD64" i="48" s="1"/>
  <c r="AD63" i="48"/>
  <c r="AJ44" i="48"/>
  <c r="AJ45" i="48"/>
  <c r="AI42" i="48"/>
  <c r="AL54" i="41"/>
  <c r="AH54" i="41"/>
  <c r="AL55" i="41"/>
  <c r="AH55" i="41"/>
  <c r="AI52" i="41"/>
  <c r="P53" i="46"/>
  <c r="Q53" i="46" s="1"/>
  <c r="O54" i="46"/>
  <c r="CC41" i="61"/>
  <c r="AW41" i="61"/>
  <c r="AV41" i="61"/>
  <c r="BY41" i="61"/>
  <c r="BX41" i="61"/>
  <c r="BH41" i="61"/>
  <c r="BI41" i="61"/>
  <c r="CC50" i="61"/>
  <c r="AV50" i="61"/>
  <c r="BY50" i="61"/>
  <c r="AW50" i="61"/>
  <c r="BX50" i="61"/>
  <c r="BI50" i="61"/>
  <c r="BH50" i="61"/>
  <c r="CC55" i="61"/>
  <c r="AV55" i="61"/>
  <c r="BY55" i="61"/>
  <c r="AW55" i="61"/>
  <c r="BX55" i="61"/>
  <c r="BH55" i="61"/>
  <c r="BI55" i="61"/>
  <c r="AJ35" i="26"/>
  <c r="AK34" i="26"/>
  <c r="AJ34" i="26"/>
  <c r="AK35" i="26"/>
  <c r="O59" i="38"/>
  <c r="P58" i="38"/>
  <c r="Q58" i="38" s="1"/>
  <c r="O71" i="35"/>
  <c r="O67" i="35"/>
  <c r="P66" i="35"/>
  <c r="AI47" i="26"/>
  <c r="AL49" i="26"/>
  <c r="AH49" i="26"/>
  <c r="AL50" i="26"/>
  <c r="AH50" i="26"/>
  <c r="A60" i="33"/>
  <c r="B60" i="33" s="1"/>
  <c r="B59" i="33"/>
  <c r="M45" i="37"/>
  <c r="I45" i="37"/>
  <c r="G44" i="37"/>
  <c r="M44" i="37"/>
  <c r="I44" i="37"/>
  <c r="AF4" i="61"/>
  <c r="AG3" i="61"/>
  <c r="D4" i="66" s="1"/>
  <c r="AJ40" i="41"/>
  <c r="AJ39" i="41"/>
  <c r="AA34" i="41"/>
  <c r="AO34" i="41" s="1"/>
  <c r="W34" i="41"/>
  <c r="AA35" i="41"/>
  <c r="AO35" i="41" s="1"/>
  <c r="W35" i="41"/>
  <c r="G38" i="41"/>
  <c r="AJ40" i="35"/>
  <c r="AJ39" i="35"/>
  <c r="AI32" i="35"/>
  <c r="AL35" i="35"/>
  <c r="AH35" i="35"/>
  <c r="AL34" i="35"/>
  <c r="AH34" i="35"/>
  <c r="G38" i="27"/>
  <c r="AJ40" i="27"/>
  <c r="AJ39" i="27"/>
  <c r="AJ59" i="48"/>
  <c r="AJ60" i="48"/>
  <c r="AI37" i="48"/>
  <c r="AL40" i="48"/>
  <c r="AH40" i="48"/>
  <c r="AL39" i="48"/>
  <c r="AH39" i="48"/>
  <c r="M40" i="48"/>
  <c r="I40" i="48"/>
  <c r="M39" i="48"/>
  <c r="I39" i="48"/>
  <c r="G39" i="48"/>
  <c r="G39" i="43"/>
  <c r="I40" i="43"/>
  <c r="M39" i="43"/>
  <c r="M40" i="43"/>
  <c r="I39" i="43"/>
  <c r="AJ45" i="43"/>
  <c r="AJ44" i="43"/>
  <c r="AJ45" i="41"/>
  <c r="AJ44" i="41"/>
  <c r="AL40" i="41"/>
  <c r="AH40" i="41"/>
  <c r="AL39" i="41"/>
  <c r="AH39" i="41"/>
  <c r="AI37" i="41"/>
  <c r="G39" i="37"/>
  <c r="M40" i="37"/>
  <c r="I40" i="37"/>
  <c r="M39" i="37"/>
  <c r="I39" i="37"/>
  <c r="AJ44" i="33"/>
  <c r="AJ45" i="33"/>
  <c r="Q38" i="29"/>
  <c r="Q37" i="29"/>
  <c r="Q39" i="29"/>
  <c r="Q47" i="35"/>
  <c r="Q49" i="35"/>
  <c r="AC59" i="41"/>
  <c r="AD59" i="41" s="1"/>
  <c r="AD58" i="41"/>
  <c r="AC63" i="41"/>
  <c r="B67" i="32"/>
  <c r="A68" i="32"/>
  <c r="B67" i="29"/>
  <c r="A68" i="29"/>
  <c r="A68" i="33"/>
  <c r="B67" i="33"/>
  <c r="AA55" i="30"/>
  <c r="AO55" i="30" s="1"/>
  <c r="W55" i="30"/>
  <c r="AA54" i="30"/>
  <c r="AO54" i="30" s="1"/>
  <c r="W54" i="30"/>
  <c r="AL50" i="31"/>
  <c r="AH50" i="31"/>
  <c r="AI47" i="31"/>
  <c r="AL49" i="31"/>
  <c r="AH49" i="31"/>
  <c r="BJ138" i="61"/>
  <c r="H9" i="40" s="1"/>
  <c r="BF138" i="61"/>
  <c r="H5" i="40" s="1"/>
  <c r="BI138" i="61"/>
  <c r="H8" i="40" s="1"/>
  <c r="BE138" i="61"/>
  <c r="BL138" i="61"/>
  <c r="H11" i="40" s="1"/>
  <c r="BK138" i="61"/>
  <c r="H10" i="40" s="1"/>
  <c r="AF13" i="40" s="1"/>
  <c r="BH138" i="61"/>
  <c r="H7" i="40" s="1"/>
  <c r="BG138" i="61"/>
  <c r="H6" i="40" s="1"/>
  <c r="A64" i="31"/>
  <c r="B63" i="31"/>
  <c r="O54" i="34"/>
  <c r="P53" i="34"/>
  <c r="Q53" i="34" s="1"/>
  <c r="BE151" i="61"/>
  <c r="BL139" i="61"/>
  <c r="H11" i="39" s="1"/>
  <c r="BH139" i="61"/>
  <c r="H7" i="39" s="1"/>
  <c r="BI139" i="61"/>
  <c r="H8" i="39" s="1"/>
  <c r="BG139" i="61"/>
  <c r="H6" i="39" s="1"/>
  <c r="BK139" i="61"/>
  <c r="H10" i="39" s="1"/>
  <c r="AF13" i="39" s="1"/>
  <c r="BJ139" i="61"/>
  <c r="H9" i="39" s="1"/>
  <c r="BF139" i="61"/>
  <c r="H5" i="39" s="1"/>
  <c r="BE139" i="61"/>
  <c r="Y40" i="31"/>
  <c r="Y39" i="31"/>
  <c r="B67" i="41"/>
  <c r="A68" i="41"/>
  <c r="C49" i="45"/>
  <c r="C48" i="45"/>
  <c r="CC40" i="61"/>
  <c r="AV40" i="61"/>
  <c r="BX40" i="61"/>
  <c r="AW40" i="61"/>
  <c r="BY40" i="61"/>
  <c r="BH40" i="61"/>
  <c r="BI40" i="61"/>
  <c r="CC56" i="61"/>
  <c r="AV56" i="61"/>
  <c r="BY56" i="61"/>
  <c r="BX56" i="61"/>
  <c r="AW56" i="61"/>
  <c r="BI56" i="61"/>
  <c r="BH56" i="61"/>
  <c r="CC49" i="61"/>
  <c r="AW49" i="61"/>
  <c r="BX49" i="61"/>
  <c r="BY49" i="61"/>
  <c r="AV49" i="61"/>
  <c r="BH49" i="61"/>
  <c r="BI49" i="61"/>
  <c r="CC42" i="61"/>
  <c r="AW42" i="61"/>
  <c r="BX42" i="61"/>
  <c r="BY42" i="61"/>
  <c r="AV42" i="61"/>
  <c r="BI42" i="61"/>
  <c r="BH42" i="61"/>
  <c r="CC58" i="61"/>
  <c r="BY58" i="61"/>
  <c r="BX58" i="61"/>
  <c r="AW58" i="61"/>
  <c r="AV58" i="61"/>
  <c r="BI58" i="61"/>
  <c r="BH58" i="61"/>
  <c r="CC47" i="61"/>
  <c r="AW47" i="61"/>
  <c r="BY47" i="61"/>
  <c r="BX47" i="61"/>
  <c r="AV47" i="61"/>
  <c r="BH47" i="61"/>
  <c r="BI47" i="61"/>
  <c r="CC63" i="61"/>
  <c r="BY63" i="61"/>
  <c r="AW63" i="61"/>
  <c r="AV63" i="61"/>
  <c r="BX63" i="61"/>
  <c r="BI63" i="61"/>
  <c r="BH63" i="61"/>
  <c r="L40" i="46"/>
  <c r="L39" i="46"/>
  <c r="G37" i="46"/>
  <c r="K40" i="46"/>
  <c r="K39" i="46"/>
  <c r="Z34" i="43"/>
  <c r="Y35" i="43"/>
  <c r="Z35" i="43"/>
  <c r="Y34" i="43"/>
  <c r="L40" i="33"/>
  <c r="L39" i="33"/>
  <c r="K40" i="33"/>
  <c r="K39" i="33"/>
  <c r="G37" i="33"/>
  <c r="AK35" i="31"/>
  <c r="AJ35" i="31"/>
  <c r="AK34" i="31"/>
  <c r="AJ34" i="31"/>
  <c r="Z34" i="26"/>
  <c r="Y35" i="26"/>
  <c r="Y34" i="26"/>
  <c r="Z35" i="26"/>
  <c r="BY146" i="61"/>
  <c r="CF146" i="61"/>
  <c r="CG146" i="61"/>
  <c r="CL146" i="61"/>
  <c r="BU146" i="61"/>
  <c r="CC146" i="61"/>
  <c r="BZ146" i="61"/>
  <c r="CA146" i="61"/>
  <c r="BQ146" i="61"/>
  <c r="CB146" i="61"/>
  <c r="CJ146" i="61"/>
  <c r="CK146" i="61"/>
  <c r="CE146" i="61"/>
  <c r="CD146" i="61"/>
  <c r="CH146" i="61"/>
  <c r="CI146" i="61"/>
  <c r="BP146" i="61"/>
  <c r="BR146" i="61"/>
  <c r="BX146" i="61"/>
  <c r="BN146" i="61"/>
  <c r="BT146" i="61"/>
  <c r="BW146" i="61"/>
  <c r="BS146" i="61"/>
  <c r="BO146" i="61"/>
  <c r="BV146" i="61"/>
  <c r="A59" i="48"/>
  <c r="B58" i="48"/>
  <c r="AI57" i="26"/>
  <c r="AL59" i="26"/>
  <c r="AH59" i="26"/>
  <c r="AL60" i="26"/>
  <c r="AH60" i="26"/>
  <c r="AC68" i="32"/>
  <c r="AC64" i="32"/>
  <c r="AD64" i="32" s="1"/>
  <c r="AD63" i="32"/>
  <c r="AL60" i="36"/>
  <c r="AH60" i="36"/>
  <c r="AI57" i="36"/>
  <c r="AL59" i="36"/>
  <c r="AH59" i="36"/>
  <c r="AL55" i="44"/>
  <c r="AH55" i="44"/>
  <c r="AI52" i="44"/>
  <c r="AL54" i="44"/>
  <c r="AH54" i="44"/>
  <c r="O59" i="26"/>
  <c r="P58" i="26"/>
  <c r="Q58" i="26" s="1"/>
  <c r="AJ54" i="30"/>
  <c r="AJ55" i="30"/>
  <c r="P49" i="40"/>
  <c r="O50" i="40"/>
  <c r="P50" i="40" s="1"/>
  <c r="AC84" i="46"/>
  <c r="AD84" i="46" s="1"/>
  <c r="AD83" i="46"/>
  <c r="AC88" i="46"/>
  <c r="AL65" i="59"/>
  <c r="AL66" i="59"/>
  <c r="BQ140" i="61"/>
  <c r="CB140" i="61"/>
  <c r="CJ140" i="61"/>
  <c r="CK140" i="61"/>
  <c r="CD140" i="61"/>
  <c r="CH140" i="61"/>
  <c r="CI140" i="61"/>
  <c r="BZ140" i="61"/>
  <c r="BY140" i="61"/>
  <c r="CF140" i="61"/>
  <c r="CC140" i="61"/>
  <c r="CG140" i="61"/>
  <c r="CL140" i="61"/>
  <c r="CA140" i="61"/>
  <c r="CE140" i="61"/>
  <c r="BU140" i="61"/>
  <c r="BS140" i="61"/>
  <c r="BO140" i="61"/>
  <c r="BN140" i="61"/>
  <c r="BT140" i="61"/>
  <c r="BR140" i="61"/>
  <c r="BW140" i="61"/>
  <c r="BV140" i="61"/>
  <c r="BX140" i="61"/>
  <c r="BP140" i="61"/>
  <c r="Q44" i="42"/>
  <c r="Q42" i="42"/>
  <c r="B62" i="30"/>
  <c r="A63" i="30"/>
  <c r="M45" i="50"/>
  <c r="I45" i="50"/>
  <c r="G44" i="50"/>
  <c r="M44" i="50"/>
  <c r="I44" i="50"/>
  <c r="AI57" i="50"/>
  <c r="AL59" i="50"/>
  <c r="AH59" i="50"/>
  <c r="AL60" i="50"/>
  <c r="AH60" i="50"/>
  <c r="AL55" i="33"/>
  <c r="AH55" i="33"/>
  <c r="AI52" i="33"/>
  <c r="AL54" i="33"/>
  <c r="AH54" i="33"/>
  <c r="O55" i="38"/>
  <c r="P55" i="38" s="1"/>
  <c r="P54" i="38"/>
  <c r="P82" i="32"/>
  <c r="O83" i="32"/>
  <c r="A64" i="42"/>
  <c r="B63" i="42"/>
  <c r="Q42" i="47"/>
  <c r="Q44" i="47"/>
  <c r="C49" i="30"/>
  <c r="C48" i="30"/>
  <c r="AA50" i="49"/>
  <c r="AO50" i="49" s="1"/>
  <c r="W50" i="49"/>
  <c r="AA49" i="49"/>
  <c r="AO49" i="49" s="1"/>
  <c r="W49" i="49"/>
  <c r="AJ40" i="48"/>
  <c r="AJ39" i="48"/>
  <c r="G38" i="44"/>
  <c r="AI32" i="34"/>
  <c r="AL35" i="34"/>
  <c r="AH35" i="34"/>
  <c r="AL34" i="34"/>
  <c r="AH34" i="34"/>
  <c r="AJ40" i="34"/>
  <c r="AJ39" i="34"/>
  <c r="AL35" i="30"/>
  <c r="AH35" i="30"/>
  <c r="AL34" i="30"/>
  <c r="AH34" i="30"/>
  <c r="AI32" i="30"/>
  <c r="A59" i="43"/>
  <c r="B58" i="43"/>
  <c r="AA50" i="47"/>
  <c r="AO50" i="47" s="1"/>
  <c r="W50" i="47"/>
  <c r="AA49" i="47"/>
  <c r="AO49" i="47" s="1"/>
  <c r="W49" i="47"/>
  <c r="AJ60" i="40"/>
  <c r="AJ59" i="40"/>
  <c r="M40" i="49"/>
  <c r="I40" i="49"/>
  <c r="M39" i="49"/>
  <c r="I39" i="49"/>
  <c r="G39" i="49"/>
  <c r="X32" i="49"/>
  <c r="AJ45" i="45"/>
  <c r="AJ44" i="45"/>
  <c r="AA39" i="39"/>
  <c r="AO39" i="39" s="1"/>
  <c r="W39" i="39"/>
  <c r="AA40" i="39"/>
  <c r="AO40" i="39" s="1"/>
  <c r="W40" i="39"/>
  <c r="AJ44" i="36"/>
  <c r="AJ45" i="36"/>
  <c r="AI37" i="28"/>
  <c r="AL40" i="28"/>
  <c r="AH40" i="28"/>
  <c r="AL39" i="28"/>
  <c r="AH39" i="28"/>
  <c r="X32" i="28"/>
  <c r="Q49" i="48"/>
  <c r="Q47" i="48"/>
  <c r="AJ55" i="28"/>
  <c r="AJ54" i="28"/>
  <c r="A64" i="33"/>
  <c r="B63" i="33"/>
  <c r="C54" i="33"/>
  <c r="C53" i="33"/>
  <c r="O62" i="39"/>
  <c r="P61" i="39"/>
  <c r="O66" i="39"/>
  <c r="B71" i="28"/>
  <c r="A76" i="28"/>
  <c r="A72" i="28"/>
  <c r="AJ55" i="47"/>
  <c r="AJ54" i="47"/>
  <c r="G1" i="50"/>
  <c r="AP4" i="24"/>
  <c r="AJ59" i="39"/>
  <c r="AJ60" i="39"/>
  <c r="O58" i="40"/>
  <c r="P57" i="40"/>
  <c r="Y35" i="45"/>
  <c r="Z34" i="45"/>
  <c r="Z35" i="45"/>
  <c r="Y34" i="45"/>
  <c r="AK35" i="42"/>
  <c r="AJ35" i="42"/>
  <c r="AK34" i="42"/>
  <c r="AJ34" i="42"/>
  <c r="G37" i="42"/>
  <c r="L40" i="42"/>
  <c r="L39" i="42"/>
  <c r="K40" i="42"/>
  <c r="K39" i="42"/>
  <c r="Z34" i="39"/>
  <c r="Z35" i="39"/>
  <c r="Y34" i="39"/>
  <c r="Y35" i="39"/>
  <c r="AK35" i="36"/>
  <c r="AJ35" i="36"/>
  <c r="AK34" i="36"/>
  <c r="AJ34" i="36"/>
  <c r="G37" i="36"/>
  <c r="L40" i="36"/>
  <c r="L39" i="36"/>
  <c r="K40" i="36"/>
  <c r="K39" i="36"/>
  <c r="L40" i="27"/>
  <c r="L39" i="27"/>
  <c r="K40" i="27"/>
  <c r="K39" i="27"/>
  <c r="G37" i="27"/>
  <c r="AJ34" i="29"/>
  <c r="AK35" i="29"/>
  <c r="AJ35" i="29"/>
  <c r="AK34" i="29"/>
  <c r="K40" i="29"/>
  <c r="K39" i="29"/>
  <c r="G37" i="29"/>
  <c r="L40" i="29"/>
  <c r="L39" i="29"/>
  <c r="B62" i="39"/>
  <c r="A63" i="39"/>
  <c r="O71" i="36"/>
  <c r="O67" i="36"/>
  <c r="P66" i="36"/>
  <c r="AJ60" i="37"/>
  <c r="AJ59" i="37"/>
  <c r="Q42" i="41"/>
  <c r="Q44" i="41"/>
  <c r="AA50" i="46"/>
  <c r="AO50" i="46" s="1"/>
  <c r="W49" i="46"/>
  <c r="W50" i="46"/>
  <c r="AA49" i="46"/>
  <c r="AO49" i="46" s="1"/>
  <c r="Q37" i="32"/>
  <c r="AI47" i="28"/>
  <c r="AL49" i="28"/>
  <c r="AH49" i="28"/>
  <c r="AL50" i="28"/>
  <c r="AH50" i="28"/>
  <c r="A65" i="59"/>
  <c r="B64" i="59"/>
  <c r="AA55" i="29"/>
  <c r="AO55" i="29" s="1"/>
  <c r="W55" i="29"/>
  <c r="AA54" i="29"/>
  <c r="AO54" i="29" s="1"/>
  <c r="W54" i="29"/>
  <c r="M45" i="35"/>
  <c r="I45" i="35"/>
  <c r="G44" i="35"/>
  <c r="M44" i="35"/>
  <c r="I44" i="35"/>
  <c r="P58" i="48"/>
  <c r="Q58" i="48" s="1"/>
  <c r="O59" i="48"/>
  <c r="AJ59" i="42"/>
  <c r="AJ60" i="42"/>
  <c r="C49" i="49"/>
  <c r="C48" i="49"/>
  <c r="Q44" i="31"/>
  <c r="Q42" i="31"/>
  <c r="Q49" i="36"/>
  <c r="Q47" i="36"/>
  <c r="C48" i="38"/>
  <c r="C49" i="38"/>
  <c r="BE130" i="61"/>
  <c r="AA36" i="59"/>
  <c r="AQ36" i="59" s="1"/>
  <c r="AA35" i="59"/>
  <c r="AQ35" i="59" s="1"/>
  <c r="AL35" i="46"/>
  <c r="AH35" i="46"/>
  <c r="AI32" i="46"/>
  <c r="AH34" i="46"/>
  <c r="AL34" i="46"/>
  <c r="AL35" i="43"/>
  <c r="AH35" i="43"/>
  <c r="AH34" i="43"/>
  <c r="AL34" i="43"/>
  <c r="AI32" i="43"/>
  <c r="G38" i="37"/>
  <c r="AL34" i="33"/>
  <c r="AH34" i="33"/>
  <c r="AI32" i="33"/>
  <c r="AL35" i="33"/>
  <c r="AH35" i="33"/>
  <c r="AJ40" i="33"/>
  <c r="AJ39" i="33"/>
  <c r="AI32" i="28"/>
  <c r="AL35" i="28"/>
  <c r="AH35" i="28"/>
  <c r="AL34" i="28"/>
  <c r="AH34" i="28"/>
  <c r="AJ40" i="28"/>
  <c r="AJ39" i="28"/>
  <c r="G38" i="26"/>
  <c r="Q42" i="26"/>
  <c r="Q44" i="26"/>
  <c r="BL142" i="61"/>
  <c r="H11" i="36" s="1"/>
  <c r="BH142" i="61"/>
  <c r="H7" i="36" s="1"/>
  <c r="BK142" i="61"/>
  <c r="H10" i="36" s="1"/>
  <c r="AF13" i="36" s="1"/>
  <c r="BG142" i="61"/>
  <c r="H6" i="36" s="1"/>
  <c r="BJ142" i="61"/>
  <c r="H9" i="36" s="1"/>
  <c r="BF142" i="61"/>
  <c r="H5" i="36" s="1"/>
  <c r="BI142" i="61"/>
  <c r="H8" i="36" s="1"/>
  <c r="BE142" i="61"/>
  <c r="G39" i="47"/>
  <c r="M40" i="47"/>
  <c r="I40" i="47"/>
  <c r="M39" i="47"/>
  <c r="I39" i="47"/>
  <c r="X32" i="47"/>
  <c r="AA39" i="44"/>
  <c r="AO39" i="44" s="1"/>
  <c r="W39" i="44"/>
  <c r="AA40" i="44"/>
  <c r="AO40" i="44" s="1"/>
  <c r="W40" i="44"/>
  <c r="AI37" i="40"/>
  <c r="AL40" i="40"/>
  <c r="AL39" i="40"/>
  <c r="AH40" i="40"/>
  <c r="AH39" i="40"/>
  <c r="G39" i="35"/>
  <c r="M40" i="35"/>
  <c r="I40" i="35"/>
  <c r="M39" i="35"/>
  <c r="I39" i="35"/>
  <c r="X32" i="35"/>
  <c r="AI37" i="31"/>
  <c r="AL40" i="31"/>
  <c r="AH40" i="31"/>
  <c r="AL39" i="31"/>
  <c r="AH39" i="31"/>
  <c r="AL140" i="43"/>
  <c r="AH140" i="43"/>
  <c r="AI137" i="43"/>
  <c r="AL139" i="43"/>
  <c r="AH139" i="43"/>
  <c r="Q37" i="39"/>
  <c r="AL49" i="41"/>
  <c r="AH49" i="41"/>
  <c r="AL50" i="41"/>
  <c r="AH50" i="41"/>
  <c r="AI47" i="41"/>
  <c r="BK149" i="61"/>
  <c r="H10" i="29" s="1"/>
  <c r="AF13" i="29" s="1"/>
  <c r="BG149" i="61"/>
  <c r="H6" i="29" s="1"/>
  <c r="BH149" i="61"/>
  <c r="H7" i="29" s="1"/>
  <c r="BL149" i="61"/>
  <c r="H11" i="29" s="1"/>
  <c r="BF149" i="61"/>
  <c r="H5" i="29" s="1"/>
  <c r="BJ149" i="61"/>
  <c r="H9" i="29" s="1"/>
  <c r="BE149" i="61"/>
  <c r="BI149" i="61"/>
  <c r="H8" i="29" s="1"/>
  <c r="Q62" i="32"/>
  <c r="Q64" i="32"/>
  <c r="AA55" i="42"/>
  <c r="AO55" i="42" s="1"/>
  <c r="W55" i="42"/>
  <c r="AA54" i="42"/>
  <c r="AO54" i="42" s="1"/>
  <c r="W54" i="42"/>
  <c r="AJ60" i="45"/>
  <c r="AJ59" i="45"/>
  <c r="AC64" i="28"/>
  <c r="AD64" i="28" s="1"/>
  <c r="AD63" i="28"/>
  <c r="AC68" i="28"/>
  <c r="A60" i="31"/>
  <c r="B60" i="31" s="1"/>
  <c r="B59" i="31"/>
  <c r="M44" i="42"/>
  <c r="I44" i="42"/>
  <c r="M45" i="42"/>
  <c r="I45" i="42"/>
  <c r="G44" i="42"/>
  <c r="C49" i="31"/>
  <c r="C48" i="31"/>
  <c r="O80" i="59"/>
  <c r="O75" i="59"/>
  <c r="P74" i="59"/>
  <c r="AL50" i="27"/>
  <c r="AH50" i="27"/>
  <c r="AI47" i="27"/>
  <c r="AL49" i="27"/>
  <c r="AH49" i="27"/>
  <c r="P66" i="47"/>
  <c r="O71" i="47"/>
  <c r="O67" i="47"/>
  <c r="O62" i="49"/>
  <c r="P61" i="49"/>
  <c r="O66" i="49"/>
  <c r="Z34" i="47"/>
  <c r="Z35" i="47"/>
  <c r="Y34" i="47"/>
  <c r="Y35" i="47"/>
  <c r="Z34" i="41"/>
  <c r="Z35" i="41"/>
  <c r="Y34" i="41"/>
  <c r="Y35" i="41"/>
  <c r="AJ34" i="38"/>
  <c r="AK35" i="38"/>
  <c r="AJ35" i="38"/>
  <c r="AK34" i="38"/>
  <c r="K40" i="38"/>
  <c r="K39" i="38"/>
  <c r="G37" i="38"/>
  <c r="L40" i="38"/>
  <c r="L39" i="38"/>
  <c r="Y34" i="32"/>
  <c r="Z35" i="32"/>
  <c r="Y35" i="32"/>
  <c r="Z34" i="32"/>
  <c r="A59" i="39"/>
  <c r="B58" i="39"/>
  <c r="CC145" i="61"/>
  <c r="CD145" i="61"/>
  <c r="CH145" i="61"/>
  <c r="CI145" i="61"/>
  <c r="BU145" i="61"/>
  <c r="BY145" i="61"/>
  <c r="CF145" i="61"/>
  <c r="CG145" i="61"/>
  <c r="CL145" i="61"/>
  <c r="CK145" i="61"/>
  <c r="BZ145" i="61"/>
  <c r="CA145" i="61"/>
  <c r="BQ145" i="61"/>
  <c r="CB145" i="61"/>
  <c r="CJ145" i="61"/>
  <c r="CE145" i="61"/>
  <c r="BS145" i="61"/>
  <c r="BO145" i="61"/>
  <c r="BV145" i="61"/>
  <c r="BP145" i="61"/>
  <c r="BR145" i="61"/>
  <c r="BX145" i="61"/>
  <c r="BN145" i="61"/>
  <c r="BT145" i="61"/>
  <c r="BW145" i="61"/>
  <c r="B66" i="36"/>
  <c r="A71" i="36"/>
  <c r="A67" i="36"/>
  <c r="AL50" i="42"/>
  <c r="AH50" i="42"/>
  <c r="AI47" i="42"/>
  <c r="AL49" i="42"/>
  <c r="AH49" i="42"/>
  <c r="B67" i="34"/>
  <c r="A68" i="34"/>
  <c r="G47" i="59"/>
  <c r="M47" i="59"/>
  <c r="M48" i="59"/>
  <c r="AJ59" i="30"/>
  <c r="AJ60" i="30"/>
  <c r="Q47" i="32"/>
  <c r="Q49" i="32"/>
  <c r="AJ55" i="35"/>
  <c r="AJ54" i="35"/>
  <c r="C49" i="46"/>
  <c r="C48" i="46"/>
  <c r="C53" i="47"/>
  <c r="C54" i="47"/>
  <c r="AA50" i="28"/>
  <c r="AO50" i="28" s="1"/>
  <c r="W50" i="28"/>
  <c r="AA49" i="28"/>
  <c r="AO49" i="28" s="1"/>
  <c r="W49" i="28"/>
  <c r="AI47" i="45"/>
  <c r="AL49" i="45"/>
  <c r="AH49" i="45"/>
  <c r="AL50" i="45"/>
  <c r="AH50" i="45"/>
  <c r="AJ55" i="43"/>
  <c r="AJ54" i="43"/>
  <c r="AI52" i="50"/>
  <c r="AL54" i="50"/>
  <c r="AH54" i="50"/>
  <c r="AL55" i="50"/>
  <c r="AH55" i="50"/>
  <c r="AJ59" i="31"/>
  <c r="AJ60" i="31"/>
  <c r="AL60" i="33"/>
  <c r="AH60" i="33"/>
  <c r="AI57" i="33"/>
  <c r="AL59" i="33"/>
  <c r="AH59" i="33"/>
  <c r="AL55" i="42"/>
  <c r="AH55" i="42"/>
  <c r="AI52" i="42"/>
  <c r="AL54" i="42"/>
  <c r="AH54" i="42"/>
  <c r="A55" i="36"/>
  <c r="B55" i="36" s="1"/>
  <c r="B54" i="36"/>
  <c r="AI42" i="47"/>
  <c r="AJ59" i="27"/>
  <c r="AJ60" i="27"/>
  <c r="O50" i="27"/>
  <c r="P50" i="27" s="1"/>
  <c r="P49" i="27"/>
  <c r="C54" i="50"/>
  <c r="C53" i="50"/>
  <c r="AA34" i="50"/>
  <c r="AO34" i="50" s="1"/>
  <c r="W34" i="50"/>
  <c r="AA35" i="50"/>
  <c r="AO35" i="50" s="1"/>
  <c r="W35" i="50"/>
  <c r="AL35" i="42"/>
  <c r="AH35" i="42"/>
  <c r="AL34" i="42"/>
  <c r="AH34" i="42"/>
  <c r="AI32" i="42"/>
  <c r="AA35" i="39"/>
  <c r="AO35" i="39" s="1"/>
  <c r="W35" i="39"/>
  <c r="AA34" i="39"/>
  <c r="AO34" i="39" s="1"/>
  <c r="W34" i="39"/>
  <c r="AL35" i="36"/>
  <c r="AH35" i="36"/>
  <c r="AL34" i="36"/>
  <c r="AH34" i="36"/>
  <c r="AI32" i="36"/>
  <c r="M44" i="44"/>
  <c r="I44" i="44"/>
  <c r="M45" i="44"/>
  <c r="I45" i="44"/>
  <c r="G44" i="44"/>
  <c r="AJ60" i="46"/>
  <c r="AJ59" i="46"/>
  <c r="AA39" i="46"/>
  <c r="AO39" i="46" s="1"/>
  <c r="W40" i="46"/>
  <c r="W39" i="46"/>
  <c r="AA40" i="46"/>
  <c r="AO40" i="46" s="1"/>
  <c r="X32" i="46"/>
  <c r="AJ44" i="42"/>
  <c r="AJ45" i="42"/>
  <c r="AI42" i="42"/>
  <c r="AJ45" i="38"/>
  <c r="AJ44" i="38"/>
  <c r="AI42" i="38"/>
  <c r="G39" i="38"/>
  <c r="M40" i="38"/>
  <c r="I40" i="38"/>
  <c r="M39" i="38"/>
  <c r="I39" i="38"/>
  <c r="AA40" i="34"/>
  <c r="AO40" i="34" s="1"/>
  <c r="W40" i="34"/>
  <c r="AA39" i="34"/>
  <c r="AO39" i="34" s="1"/>
  <c r="W39" i="34"/>
  <c r="G39" i="34"/>
  <c r="M40" i="34"/>
  <c r="I40" i="34"/>
  <c r="M39" i="34"/>
  <c r="I39" i="34"/>
  <c r="AI37" i="26"/>
  <c r="AL40" i="26"/>
  <c r="AH40" i="26"/>
  <c r="AL39" i="26"/>
  <c r="AH39" i="26"/>
  <c r="Q38" i="27"/>
  <c r="Q39" i="27"/>
  <c r="Q37" i="27"/>
  <c r="O54" i="45"/>
  <c r="P53" i="45"/>
  <c r="Q53" i="45" s="1"/>
  <c r="AC64" i="34"/>
  <c r="AD64" i="34" s="1"/>
  <c r="AD63" i="34"/>
  <c r="AC68" i="34"/>
  <c r="AA50" i="42"/>
  <c r="AO50" i="42" s="1"/>
  <c r="W50" i="42"/>
  <c r="AA49" i="42"/>
  <c r="AO49" i="42" s="1"/>
  <c r="W49" i="42"/>
  <c r="AL50" i="39"/>
  <c r="AH50" i="39"/>
  <c r="AI47" i="39"/>
  <c r="AL49" i="39"/>
  <c r="AH49" i="39"/>
  <c r="O55" i="47"/>
  <c r="P55" i="47" s="1"/>
  <c r="P54" i="47"/>
  <c r="AJ55" i="29"/>
  <c r="AJ54" i="29"/>
  <c r="AC74" i="40"/>
  <c r="AD74" i="40" s="1"/>
  <c r="AD73" i="40"/>
  <c r="AC78" i="40"/>
  <c r="C48" i="41"/>
  <c r="C49" i="41"/>
  <c r="O58" i="27"/>
  <c r="P57" i="27"/>
  <c r="O59" i="47"/>
  <c r="P58" i="47"/>
  <c r="Q58" i="47" s="1"/>
  <c r="AA50" i="50"/>
  <c r="AO50" i="50" s="1"/>
  <c r="W50" i="50"/>
  <c r="AA49" i="50"/>
  <c r="AO49" i="50" s="1"/>
  <c r="W49" i="50"/>
  <c r="G39" i="59"/>
  <c r="B35" i="59"/>
  <c r="E35" i="59"/>
  <c r="B34" i="59"/>
  <c r="E34" i="59"/>
  <c r="D34" i="59"/>
  <c r="D35" i="59"/>
  <c r="Z35" i="44"/>
  <c r="Y34" i="44"/>
  <c r="Y35" i="44"/>
  <c r="Z34" i="44"/>
  <c r="AK35" i="44"/>
  <c r="AJ35" i="44"/>
  <c r="AK34" i="44"/>
  <c r="AJ34" i="44"/>
  <c r="Y35" i="40"/>
  <c r="Z34" i="40"/>
  <c r="Z35" i="40"/>
  <c r="Y34" i="40"/>
  <c r="AJ35" i="40"/>
  <c r="AK34" i="40"/>
  <c r="AK35" i="40"/>
  <c r="AJ34" i="40"/>
  <c r="L40" i="34"/>
  <c r="L39" i="34"/>
  <c r="K40" i="34"/>
  <c r="K39" i="34"/>
  <c r="G37" i="34"/>
  <c r="O62" i="33"/>
  <c r="P61" i="33"/>
  <c r="O66" i="33"/>
  <c r="AC59" i="38"/>
  <c r="AD59" i="38" s="1"/>
  <c r="AD58" i="38"/>
  <c r="AC63" i="38"/>
  <c r="B66" i="48"/>
  <c r="A71" i="48"/>
  <c r="A67" i="48"/>
  <c r="BU132" i="61"/>
  <c r="CJ132" i="61"/>
  <c r="CC132" i="61"/>
  <c r="CG132" i="61"/>
  <c r="CA132" i="61"/>
  <c r="CE132" i="61"/>
  <c r="CI132" i="61"/>
  <c r="CF132" i="61"/>
  <c r="CK132" i="61"/>
  <c r="CL132" i="61"/>
  <c r="BQ132" i="61"/>
  <c r="BZ132" i="61"/>
  <c r="CD132" i="61"/>
  <c r="CH132" i="61"/>
  <c r="BY132" i="61"/>
  <c r="CB132" i="61"/>
  <c r="BP132" i="61"/>
  <c r="BS132" i="61"/>
  <c r="BT132" i="61"/>
  <c r="BN132" i="61"/>
  <c r="BX132" i="61"/>
  <c r="BW132" i="61"/>
  <c r="BV132" i="61"/>
  <c r="BR132" i="61"/>
  <c r="BO132" i="61"/>
  <c r="O55" i="48"/>
  <c r="P55" i="48" s="1"/>
  <c r="P54" i="48"/>
  <c r="Q47" i="26"/>
  <c r="Q49" i="26"/>
  <c r="O55" i="35"/>
  <c r="P55" i="35" s="1"/>
  <c r="P54" i="35"/>
  <c r="B71" i="38"/>
  <c r="A76" i="38"/>
  <c r="A72" i="38"/>
  <c r="AA50" i="44"/>
  <c r="AO50" i="44" s="1"/>
  <c r="W50" i="44"/>
  <c r="AA49" i="44"/>
  <c r="AO49" i="44" s="1"/>
  <c r="W49" i="44"/>
  <c r="Q39" i="45"/>
  <c r="BV45" i="61"/>
  <c r="BF52" i="61"/>
  <c r="BV53" i="61"/>
  <c r="BF57" i="61"/>
  <c r="AT60" i="61"/>
  <c r="BV62" i="61"/>
  <c r="AJ55" i="46"/>
  <c r="AJ54" i="46"/>
  <c r="AJ55" i="40"/>
  <c r="AJ54" i="40"/>
  <c r="BY134" i="61"/>
  <c r="BZ134" i="61"/>
  <c r="CD134" i="61"/>
  <c r="CA134" i="61"/>
  <c r="BQ134" i="61"/>
  <c r="CB134" i="61"/>
  <c r="CH134" i="61"/>
  <c r="CL134" i="61"/>
  <c r="CE134" i="61"/>
  <c r="BU134" i="61"/>
  <c r="CF134" i="61"/>
  <c r="CJ134" i="61"/>
  <c r="CC134" i="61"/>
  <c r="CI134" i="61"/>
  <c r="CG134" i="61"/>
  <c r="CK134" i="61"/>
  <c r="BW134" i="61"/>
  <c r="BV134" i="61"/>
  <c r="BX134" i="61"/>
  <c r="BP134" i="61"/>
  <c r="BS134" i="61"/>
  <c r="BR134" i="61"/>
  <c r="BT134" i="61"/>
  <c r="BO134" i="61"/>
  <c r="BN134" i="61"/>
  <c r="DQ139" i="61" l="1"/>
  <c r="DQ133" i="61"/>
  <c r="DQ137" i="61"/>
  <c r="Y41" i="59"/>
  <c r="BF58" i="61"/>
  <c r="FC145" i="61"/>
  <c r="FC127" i="61"/>
  <c r="FC141" i="61"/>
  <c r="FC150" i="61"/>
  <c r="FC133" i="61"/>
  <c r="FC149" i="61"/>
  <c r="FC129" i="61"/>
  <c r="FC134" i="61"/>
  <c r="FC135" i="61"/>
  <c r="FC144" i="61"/>
  <c r="FC140" i="61"/>
  <c r="FC147" i="61"/>
  <c r="FC136" i="61"/>
  <c r="FC137" i="61"/>
  <c r="FC146" i="61"/>
  <c r="FC128" i="61"/>
  <c r="FC143" i="61"/>
  <c r="FC139" i="61"/>
  <c r="FC148" i="61"/>
  <c r="FC130" i="61"/>
  <c r="FC131" i="61"/>
  <c r="G43" i="40"/>
  <c r="X37" i="46"/>
  <c r="DQ126" i="61"/>
  <c r="BF39" i="61"/>
  <c r="BT148" i="61"/>
  <c r="CI148" i="61"/>
  <c r="CJ148" i="61"/>
  <c r="BS148" i="61"/>
  <c r="CG148" i="61"/>
  <c r="CD148" i="61"/>
  <c r="BF44" i="61"/>
  <c r="BF55" i="61"/>
  <c r="C42" i="29"/>
  <c r="BF54" i="61"/>
  <c r="BF59" i="61"/>
  <c r="BF51" i="61"/>
  <c r="BF45" i="61"/>
  <c r="BF43" i="61"/>
  <c r="Y4" i="25"/>
  <c r="AA4" i="25" s="1"/>
  <c r="AG4" i="25" s="1"/>
  <c r="BF61" i="61"/>
  <c r="D2" i="65"/>
  <c r="M2" i="66"/>
  <c r="E2" i="65" s="1"/>
  <c r="I2" i="66"/>
  <c r="J2" i="66"/>
  <c r="B2" i="65" s="1"/>
  <c r="D527" i="65"/>
  <c r="A527" i="65" s="1"/>
  <c r="M527" i="66"/>
  <c r="E527" i="65" s="1"/>
  <c r="J527" i="66"/>
  <c r="B527" i="65" s="1"/>
  <c r="I527" i="66"/>
  <c r="D556" i="65"/>
  <c r="A556" i="65" s="1"/>
  <c r="M556" i="66"/>
  <c r="E556" i="65" s="1"/>
  <c r="J556" i="66"/>
  <c r="B556" i="65" s="1"/>
  <c r="I556" i="66"/>
  <c r="D401" i="65"/>
  <c r="A401" i="65" s="1"/>
  <c r="M401" i="66"/>
  <c r="E401" i="65" s="1"/>
  <c r="J401" i="66"/>
  <c r="B401" i="65" s="1"/>
  <c r="I401" i="66"/>
  <c r="D563" i="65"/>
  <c r="A563" i="65" s="1"/>
  <c r="M563" i="66"/>
  <c r="E563" i="65" s="1"/>
  <c r="J563" i="66"/>
  <c r="B563" i="65" s="1"/>
  <c r="I563" i="66"/>
  <c r="D592" i="65"/>
  <c r="A592" i="65" s="1"/>
  <c r="M592" i="66"/>
  <c r="E592" i="65" s="1"/>
  <c r="I592" i="66"/>
  <c r="J592" i="66"/>
  <c r="B592" i="65" s="1"/>
  <c r="D583" i="65"/>
  <c r="A583" i="65" s="1"/>
  <c r="M583" i="66"/>
  <c r="E583" i="65" s="1"/>
  <c r="J583" i="66"/>
  <c r="B583" i="65" s="1"/>
  <c r="I583" i="66"/>
  <c r="D612" i="65"/>
  <c r="A612" i="65" s="1"/>
  <c r="M612" i="66"/>
  <c r="E612" i="65" s="1"/>
  <c r="I612" i="66"/>
  <c r="J612" i="66"/>
  <c r="B612" i="65" s="1"/>
  <c r="D422" i="65"/>
  <c r="A422" i="65" s="1"/>
  <c r="M422" i="66"/>
  <c r="E422" i="65" s="1"/>
  <c r="J422" i="66"/>
  <c r="B422" i="65" s="1"/>
  <c r="I422" i="66"/>
  <c r="D533" i="65"/>
  <c r="A533" i="65" s="1"/>
  <c r="M533" i="66"/>
  <c r="E533" i="65" s="1"/>
  <c r="J533" i="66"/>
  <c r="B533" i="65" s="1"/>
  <c r="I533" i="66"/>
  <c r="D558" i="65"/>
  <c r="A558" i="65" s="1"/>
  <c r="M558" i="66"/>
  <c r="E558" i="65" s="1"/>
  <c r="I558" i="66"/>
  <c r="J558" i="66"/>
  <c r="B558" i="65" s="1"/>
  <c r="D589" i="65"/>
  <c r="A589" i="65" s="1"/>
  <c r="M589" i="66"/>
  <c r="E589" i="65" s="1"/>
  <c r="J589" i="66"/>
  <c r="B589" i="65" s="1"/>
  <c r="I589" i="66"/>
  <c r="D578" i="65"/>
  <c r="A578" i="65" s="1"/>
  <c r="M578" i="66"/>
  <c r="E578" i="65" s="1"/>
  <c r="J578" i="66"/>
  <c r="B578" i="65" s="1"/>
  <c r="I578" i="66"/>
  <c r="D593" i="65"/>
  <c r="A593" i="65" s="1"/>
  <c r="M593" i="66"/>
  <c r="E593" i="65" s="1"/>
  <c r="J593" i="66"/>
  <c r="B593" i="65" s="1"/>
  <c r="I593" i="66"/>
  <c r="D614" i="65"/>
  <c r="A614" i="65" s="1"/>
  <c r="M614" i="66"/>
  <c r="E614" i="65" s="1"/>
  <c r="J614" i="66"/>
  <c r="B614" i="65" s="1"/>
  <c r="I614" i="66"/>
  <c r="D531" i="65"/>
  <c r="A531" i="65" s="1"/>
  <c r="M531" i="66"/>
  <c r="E531" i="65" s="1"/>
  <c r="J531" i="66"/>
  <c r="B531" i="65" s="1"/>
  <c r="I531" i="66"/>
  <c r="D560" i="65"/>
  <c r="A560" i="65" s="1"/>
  <c r="M560" i="66"/>
  <c r="E560" i="65" s="1"/>
  <c r="J560" i="66"/>
  <c r="B560" i="65" s="1"/>
  <c r="I560" i="66"/>
  <c r="D551" i="65"/>
  <c r="A551" i="65" s="1"/>
  <c r="M551" i="66"/>
  <c r="E551" i="65" s="1"/>
  <c r="J551" i="66"/>
  <c r="B551" i="65" s="1"/>
  <c r="I551" i="66"/>
  <c r="D580" i="65"/>
  <c r="A580" i="65" s="1"/>
  <c r="M580" i="66"/>
  <c r="E580" i="65" s="1"/>
  <c r="I580" i="66"/>
  <c r="J580" i="66"/>
  <c r="B580" i="65" s="1"/>
  <c r="D619" i="65"/>
  <c r="A619" i="65" s="1"/>
  <c r="M619" i="66"/>
  <c r="E619" i="65" s="1"/>
  <c r="J619" i="66"/>
  <c r="B619" i="65" s="1"/>
  <c r="I619" i="66"/>
  <c r="D557" i="65"/>
  <c r="A557" i="65" s="1"/>
  <c r="M557" i="66"/>
  <c r="E557" i="65" s="1"/>
  <c r="J557" i="66"/>
  <c r="B557" i="65" s="1"/>
  <c r="I557" i="66"/>
  <c r="D546" i="65"/>
  <c r="A546" i="65" s="1"/>
  <c r="M546" i="66"/>
  <c r="E546" i="65" s="1"/>
  <c r="I546" i="66"/>
  <c r="J546" i="66"/>
  <c r="B546" i="65" s="1"/>
  <c r="D561" i="65"/>
  <c r="A561" i="65" s="1"/>
  <c r="M561" i="66"/>
  <c r="E561" i="65" s="1"/>
  <c r="J561" i="66"/>
  <c r="B561" i="65" s="1"/>
  <c r="I561" i="66"/>
  <c r="D582" i="65"/>
  <c r="A582" i="65" s="1"/>
  <c r="M582" i="66"/>
  <c r="E582" i="65" s="1"/>
  <c r="I582" i="66"/>
  <c r="J582" i="66"/>
  <c r="B582" i="65" s="1"/>
  <c r="D605" i="65"/>
  <c r="A605" i="65" s="1"/>
  <c r="M605" i="66"/>
  <c r="E605" i="65" s="1"/>
  <c r="J605" i="66"/>
  <c r="B605" i="65" s="1"/>
  <c r="I605" i="66"/>
  <c r="D602" i="65"/>
  <c r="A602" i="65" s="1"/>
  <c r="M602" i="66"/>
  <c r="E602" i="65" s="1"/>
  <c r="I602" i="66"/>
  <c r="J602" i="66"/>
  <c r="B602" i="65" s="1"/>
  <c r="D591" i="65"/>
  <c r="A591" i="65" s="1"/>
  <c r="M591" i="66"/>
  <c r="E591" i="65" s="1"/>
  <c r="J591" i="66"/>
  <c r="B591" i="65" s="1"/>
  <c r="I591" i="66"/>
  <c r="D620" i="65"/>
  <c r="A620" i="65" s="1"/>
  <c r="M620" i="66"/>
  <c r="E620" i="65" s="1"/>
  <c r="J620" i="66"/>
  <c r="B620" i="65" s="1"/>
  <c r="I620" i="66"/>
  <c r="D3" i="65"/>
  <c r="I3" i="66"/>
  <c r="J3" i="66"/>
  <c r="B3" i="65" s="1"/>
  <c r="D597" i="65"/>
  <c r="A597" i="65" s="1"/>
  <c r="M597" i="66"/>
  <c r="E597" i="65" s="1"/>
  <c r="J597" i="66"/>
  <c r="B597" i="65" s="1"/>
  <c r="I597" i="66"/>
  <c r="D622" i="65"/>
  <c r="A622" i="65" s="1"/>
  <c r="M622" i="66"/>
  <c r="E622" i="65" s="1"/>
  <c r="J622" i="66"/>
  <c r="B622" i="65" s="1"/>
  <c r="I622" i="66"/>
  <c r="D559" i="65"/>
  <c r="A559" i="65" s="1"/>
  <c r="M559" i="66"/>
  <c r="E559" i="65" s="1"/>
  <c r="J559" i="66"/>
  <c r="B559" i="65" s="1"/>
  <c r="I559" i="66"/>
  <c r="D588" i="65"/>
  <c r="A588" i="65" s="1"/>
  <c r="M588" i="66"/>
  <c r="E588" i="65" s="1"/>
  <c r="J588" i="66"/>
  <c r="B588" i="65" s="1"/>
  <c r="I588" i="66"/>
  <c r="D595" i="65"/>
  <c r="A595" i="65" s="1"/>
  <c r="M595" i="66"/>
  <c r="E595" i="65" s="1"/>
  <c r="J595" i="66"/>
  <c r="B595" i="65" s="1"/>
  <c r="I595" i="66"/>
  <c r="D624" i="65"/>
  <c r="A624" i="65" s="1"/>
  <c r="M624" i="66"/>
  <c r="E624" i="65" s="1"/>
  <c r="I624" i="66"/>
  <c r="J624" i="66"/>
  <c r="B624" i="65" s="1"/>
  <c r="D615" i="65"/>
  <c r="A615" i="65" s="1"/>
  <c r="M615" i="66"/>
  <c r="E615" i="65" s="1"/>
  <c r="J615" i="66"/>
  <c r="B615" i="65" s="1"/>
  <c r="I615" i="66"/>
  <c r="D565" i="65"/>
  <c r="A565" i="65" s="1"/>
  <c r="M565" i="66"/>
  <c r="E565" i="65" s="1"/>
  <c r="J565" i="66"/>
  <c r="B565" i="65" s="1"/>
  <c r="I565" i="66"/>
  <c r="D590" i="65"/>
  <c r="A590" i="65" s="1"/>
  <c r="M590" i="66"/>
  <c r="E590" i="65" s="1"/>
  <c r="J590" i="66"/>
  <c r="B590" i="65" s="1"/>
  <c r="I590" i="66"/>
  <c r="D621" i="65"/>
  <c r="A621" i="65" s="1"/>
  <c r="M621" i="66"/>
  <c r="E621" i="65" s="1"/>
  <c r="J621" i="66"/>
  <c r="B621" i="65" s="1"/>
  <c r="I621" i="66"/>
  <c r="D610" i="65"/>
  <c r="A610" i="65" s="1"/>
  <c r="M610" i="66"/>
  <c r="E610" i="65" s="1"/>
  <c r="I610" i="66"/>
  <c r="J610" i="66"/>
  <c r="B610" i="65" s="1"/>
  <c r="D506" i="65"/>
  <c r="A506" i="65" s="1"/>
  <c r="M506" i="66"/>
  <c r="E506" i="65" s="1"/>
  <c r="I506" i="66"/>
  <c r="J506" i="66"/>
  <c r="B506" i="65" s="1"/>
  <c r="D538" i="65"/>
  <c r="A538" i="65" s="1"/>
  <c r="M538" i="66"/>
  <c r="E538" i="65" s="1"/>
  <c r="J538" i="66"/>
  <c r="B538" i="65" s="1"/>
  <c r="I538" i="66"/>
  <c r="D553" i="65"/>
  <c r="A553" i="65" s="1"/>
  <c r="M553" i="66"/>
  <c r="E553" i="65" s="1"/>
  <c r="J553" i="66"/>
  <c r="B553" i="65" s="1"/>
  <c r="I553" i="66"/>
  <c r="D554" i="65"/>
  <c r="A554" i="65" s="1"/>
  <c r="M554" i="66"/>
  <c r="E554" i="65" s="1"/>
  <c r="I554" i="66"/>
  <c r="J554" i="66"/>
  <c r="B554" i="65" s="1"/>
  <c r="D380" i="65"/>
  <c r="A380" i="65" s="1"/>
  <c r="M380" i="66"/>
  <c r="E380" i="65" s="1"/>
  <c r="J380" i="66"/>
  <c r="B380" i="65" s="1"/>
  <c r="I380" i="66"/>
  <c r="D623" i="65"/>
  <c r="A623" i="65" s="1"/>
  <c r="M623" i="66"/>
  <c r="E623" i="65" s="1"/>
  <c r="J623" i="66"/>
  <c r="B623" i="65" s="1"/>
  <c r="I623" i="66"/>
  <c r="D485" i="65"/>
  <c r="A485" i="65" s="1"/>
  <c r="M485" i="66"/>
  <c r="E485" i="65" s="1"/>
  <c r="I485" i="66"/>
  <c r="J485" i="66"/>
  <c r="B485" i="65" s="1"/>
  <c r="D4" i="65"/>
  <c r="I4" i="66"/>
  <c r="J4" i="66"/>
  <c r="B4" i="65" s="1"/>
  <c r="D443" i="65"/>
  <c r="A443" i="65" s="1"/>
  <c r="M443" i="66"/>
  <c r="E443" i="65" s="1"/>
  <c r="J443" i="66"/>
  <c r="B443" i="65" s="1"/>
  <c r="I443" i="66"/>
  <c r="D528" i="65"/>
  <c r="A528" i="65" s="1"/>
  <c r="M528" i="66"/>
  <c r="E528" i="65" s="1"/>
  <c r="I528" i="66"/>
  <c r="J528" i="66"/>
  <c r="B528" i="65" s="1"/>
  <c r="D548" i="65"/>
  <c r="A548" i="65" s="1"/>
  <c r="M548" i="66"/>
  <c r="E548" i="65" s="1"/>
  <c r="I548" i="66"/>
  <c r="J548" i="66"/>
  <c r="B548" i="65" s="1"/>
  <c r="D587" i="65"/>
  <c r="A587" i="65" s="1"/>
  <c r="M587" i="66"/>
  <c r="E587" i="65" s="1"/>
  <c r="J587" i="66"/>
  <c r="B587" i="65" s="1"/>
  <c r="I587" i="66"/>
  <c r="D616" i="65"/>
  <c r="A616" i="65" s="1"/>
  <c r="M616" i="66"/>
  <c r="E616" i="65" s="1"/>
  <c r="I616" i="66"/>
  <c r="J616" i="66"/>
  <c r="B616" i="65" s="1"/>
  <c r="L5" i="66"/>
  <c r="D529" i="65"/>
  <c r="A529" i="65" s="1"/>
  <c r="M529" i="66"/>
  <c r="E529" i="65" s="1"/>
  <c r="J529" i="66"/>
  <c r="B529" i="65" s="1"/>
  <c r="I529" i="66"/>
  <c r="D550" i="65"/>
  <c r="A550" i="65" s="1"/>
  <c r="M550" i="66"/>
  <c r="E550" i="65" s="1"/>
  <c r="I550" i="66"/>
  <c r="J550" i="66"/>
  <c r="B550" i="65" s="1"/>
  <c r="D573" i="65"/>
  <c r="A573" i="65" s="1"/>
  <c r="M573" i="66"/>
  <c r="E573" i="65" s="1"/>
  <c r="J573" i="66"/>
  <c r="B573" i="65" s="1"/>
  <c r="I573" i="66"/>
  <c r="D570" i="65"/>
  <c r="A570" i="65" s="1"/>
  <c r="M570" i="66"/>
  <c r="E570" i="65" s="1"/>
  <c r="I570" i="66"/>
  <c r="J570" i="66"/>
  <c r="B570" i="65" s="1"/>
  <c r="D555" i="65"/>
  <c r="A555" i="65" s="1"/>
  <c r="M555" i="66"/>
  <c r="E555" i="65" s="1"/>
  <c r="J555" i="66"/>
  <c r="B555" i="65" s="1"/>
  <c r="I555" i="66"/>
  <c r="D584" i="65"/>
  <c r="A584" i="65" s="1"/>
  <c r="M584" i="66"/>
  <c r="E584" i="65" s="1"/>
  <c r="J584" i="66"/>
  <c r="B584" i="65" s="1"/>
  <c r="I584" i="66"/>
  <c r="D536" i="65"/>
  <c r="A536" i="65" s="1"/>
  <c r="M536" i="66"/>
  <c r="E536" i="65" s="1"/>
  <c r="I536" i="66"/>
  <c r="J536" i="66"/>
  <c r="B536" i="65" s="1"/>
  <c r="B4" i="66"/>
  <c r="A4" i="66"/>
  <c r="C42" i="42"/>
  <c r="S58" i="53"/>
  <c r="G43" i="46"/>
  <c r="BN52" i="61"/>
  <c r="D626" i="65"/>
  <c r="A626" i="65" s="1"/>
  <c r="M626" i="66"/>
  <c r="E626" i="65" s="1"/>
  <c r="I626" i="66"/>
  <c r="J626" i="66"/>
  <c r="B626" i="65" s="1"/>
  <c r="D544" i="65"/>
  <c r="A544" i="65" s="1"/>
  <c r="M544" i="66"/>
  <c r="E544" i="65" s="1"/>
  <c r="I544" i="66"/>
  <c r="J544" i="66"/>
  <c r="B544" i="65" s="1"/>
  <c r="D535" i="65"/>
  <c r="A535" i="65" s="1"/>
  <c r="M535" i="66"/>
  <c r="E535" i="65" s="1"/>
  <c r="J535" i="66"/>
  <c r="B535" i="65" s="1"/>
  <c r="I535" i="66"/>
  <c r="D564" i="65"/>
  <c r="A564" i="65" s="1"/>
  <c r="M564" i="66"/>
  <c r="E564" i="65" s="1"/>
  <c r="I564" i="66"/>
  <c r="J564" i="66"/>
  <c r="B564" i="65" s="1"/>
  <c r="D603" i="65"/>
  <c r="A603" i="65" s="1"/>
  <c r="M603" i="66"/>
  <c r="E603" i="65" s="1"/>
  <c r="J603" i="66"/>
  <c r="B603" i="65" s="1"/>
  <c r="I603" i="66"/>
  <c r="D601" i="65"/>
  <c r="A601" i="65" s="1"/>
  <c r="M601" i="66"/>
  <c r="E601" i="65" s="1"/>
  <c r="J601" i="66"/>
  <c r="B601" i="65" s="1"/>
  <c r="I601" i="66"/>
  <c r="D594" i="65"/>
  <c r="A594" i="65" s="1"/>
  <c r="M594" i="66"/>
  <c r="E594" i="65" s="1"/>
  <c r="J594" i="66"/>
  <c r="B594" i="65" s="1"/>
  <c r="I594" i="66"/>
  <c r="D613" i="65"/>
  <c r="A613" i="65" s="1"/>
  <c r="M613" i="66"/>
  <c r="E613" i="65" s="1"/>
  <c r="J613" i="66"/>
  <c r="B613" i="65" s="1"/>
  <c r="I613" i="66"/>
  <c r="D532" i="65"/>
  <c r="A532" i="65" s="1"/>
  <c r="M532" i="66"/>
  <c r="E532" i="65" s="1"/>
  <c r="I532" i="66"/>
  <c r="J532" i="66"/>
  <c r="B532" i="65" s="1"/>
  <c r="D571" i="65"/>
  <c r="A571" i="65" s="1"/>
  <c r="M571" i="66"/>
  <c r="E571" i="65" s="1"/>
  <c r="J571" i="66"/>
  <c r="B571" i="65" s="1"/>
  <c r="I571" i="66"/>
  <c r="D600" i="65"/>
  <c r="A600" i="65" s="1"/>
  <c r="M600" i="66"/>
  <c r="E600" i="65" s="1"/>
  <c r="J600" i="66"/>
  <c r="B600" i="65" s="1"/>
  <c r="I600" i="66"/>
  <c r="D543" i="65"/>
  <c r="A543" i="65" s="1"/>
  <c r="M543" i="66"/>
  <c r="E543" i="65" s="1"/>
  <c r="J543" i="66"/>
  <c r="B543" i="65" s="1"/>
  <c r="I543" i="66"/>
  <c r="D572" i="65"/>
  <c r="A572" i="65" s="1"/>
  <c r="M572" i="66"/>
  <c r="E572" i="65" s="1"/>
  <c r="J572" i="66"/>
  <c r="B572" i="65" s="1"/>
  <c r="I572" i="66"/>
  <c r="D579" i="65"/>
  <c r="A579" i="65" s="1"/>
  <c r="M579" i="66"/>
  <c r="E579" i="65" s="1"/>
  <c r="J579" i="66"/>
  <c r="B579" i="65" s="1"/>
  <c r="I579" i="66"/>
  <c r="D608" i="65"/>
  <c r="A608" i="65" s="1"/>
  <c r="M608" i="66"/>
  <c r="E608" i="65" s="1"/>
  <c r="J608" i="66"/>
  <c r="B608" i="65" s="1"/>
  <c r="I608" i="66"/>
  <c r="D599" i="65"/>
  <c r="A599" i="65" s="1"/>
  <c r="M599" i="66"/>
  <c r="E599" i="65" s="1"/>
  <c r="J599" i="66"/>
  <c r="B599" i="65" s="1"/>
  <c r="I599" i="66"/>
  <c r="D545" i="65"/>
  <c r="A545" i="65" s="1"/>
  <c r="M545" i="66"/>
  <c r="E545" i="65" s="1"/>
  <c r="J545" i="66"/>
  <c r="B545" i="65" s="1"/>
  <c r="I545" i="66"/>
  <c r="D574" i="65"/>
  <c r="A574" i="65" s="1"/>
  <c r="M574" i="66"/>
  <c r="E574" i="65" s="1"/>
  <c r="I574" i="66"/>
  <c r="J574" i="66"/>
  <c r="B574" i="65" s="1"/>
  <c r="D625" i="65"/>
  <c r="A625" i="65" s="1"/>
  <c r="M625" i="66"/>
  <c r="E625" i="65" s="1"/>
  <c r="J625" i="66"/>
  <c r="B625" i="65" s="1"/>
  <c r="I625" i="66"/>
  <c r="D540" i="65"/>
  <c r="A540" i="65" s="1"/>
  <c r="M540" i="66"/>
  <c r="E540" i="65" s="1"/>
  <c r="I540" i="66"/>
  <c r="J540" i="66"/>
  <c r="B540" i="65" s="1"/>
  <c r="D547" i="65"/>
  <c r="A547" i="65" s="1"/>
  <c r="M547" i="66"/>
  <c r="E547" i="65" s="1"/>
  <c r="J547" i="66"/>
  <c r="B547" i="65" s="1"/>
  <c r="I547" i="66"/>
  <c r="D576" i="65"/>
  <c r="A576" i="65" s="1"/>
  <c r="M576" i="66"/>
  <c r="E576" i="65" s="1"/>
  <c r="J576" i="66"/>
  <c r="B576" i="65" s="1"/>
  <c r="I576" i="66"/>
  <c r="D567" i="65"/>
  <c r="A567" i="65" s="1"/>
  <c r="M567" i="66"/>
  <c r="E567" i="65" s="1"/>
  <c r="J567" i="66"/>
  <c r="B567" i="65" s="1"/>
  <c r="I567" i="66"/>
  <c r="D596" i="65"/>
  <c r="A596" i="65" s="1"/>
  <c r="M596" i="66"/>
  <c r="E596" i="65" s="1"/>
  <c r="I596" i="66"/>
  <c r="J596" i="66"/>
  <c r="B596" i="65" s="1"/>
  <c r="D530" i="65"/>
  <c r="A530" i="65" s="1"/>
  <c r="M530" i="66"/>
  <c r="E530" i="65" s="1"/>
  <c r="J530" i="66"/>
  <c r="B530" i="65" s="1"/>
  <c r="I530" i="66"/>
  <c r="D464" i="65"/>
  <c r="A464" i="65" s="1"/>
  <c r="M464" i="66"/>
  <c r="E464" i="65" s="1"/>
  <c r="I464" i="66"/>
  <c r="J464" i="66"/>
  <c r="B464" i="65" s="1"/>
  <c r="D552" i="65"/>
  <c r="A552" i="65" s="1"/>
  <c r="M552" i="66"/>
  <c r="E552" i="65" s="1"/>
  <c r="I552" i="66"/>
  <c r="J552" i="66"/>
  <c r="B552" i="65" s="1"/>
  <c r="D607" i="65"/>
  <c r="A607" i="65" s="1"/>
  <c r="M607" i="66"/>
  <c r="E607" i="65" s="1"/>
  <c r="J607" i="66"/>
  <c r="B607" i="65" s="1"/>
  <c r="I607" i="66"/>
  <c r="D609" i="65"/>
  <c r="A609" i="65" s="1"/>
  <c r="M609" i="66"/>
  <c r="E609" i="65" s="1"/>
  <c r="J609" i="66"/>
  <c r="B609" i="65" s="1"/>
  <c r="I609" i="66"/>
  <c r="D575" i="65"/>
  <c r="A575" i="65" s="1"/>
  <c r="M575" i="66"/>
  <c r="E575" i="65" s="1"/>
  <c r="J575" i="66"/>
  <c r="B575" i="65" s="1"/>
  <c r="I575" i="66"/>
  <c r="D604" i="65"/>
  <c r="A604" i="65" s="1"/>
  <c r="M604" i="66"/>
  <c r="E604" i="65" s="1"/>
  <c r="I604" i="66"/>
  <c r="J604" i="66"/>
  <c r="B604" i="65" s="1"/>
  <c r="D611" i="65"/>
  <c r="A611" i="65" s="1"/>
  <c r="M611" i="66"/>
  <c r="E611" i="65" s="1"/>
  <c r="J611" i="66"/>
  <c r="B611" i="65" s="1"/>
  <c r="I611" i="66"/>
  <c r="D577" i="65"/>
  <c r="A577" i="65" s="1"/>
  <c r="M577" i="66"/>
  <c r="E577" i="65" s="1"/>
  <c r="J577" i="66"/>
  <c r="B577" i="65" s="1"/>
  <c r="I577" i="66"/>
  <c r="D606" i="65"/>
  <c r="A606" i="65" s="1"/>
  <c r="M606" i="66"/>
  <c r="E606" i="65" s="1"/>
  <c r="I606" i="66"/>
  <c r="J606" i="66"/>
  <c r="B606" i="65" s="1"/>
  <c r="D569" i="65"/>
  <c r="A569" i="65" s="1"/>
  <c r="M569" i="66"/>
  <c r="E569" i="65" s="1"/>
  <c r="J569" i="66"/>
  <c r="B569" i="65" s="1"/>
  <c r="I569" i="66"/>
  <c r="D562" i="65"/>
  <c r="A562" i="65" s="1"/>
  <c r="M562" i="66"/>
  <c r="E562" i="65" s="1"/>
  <c r="I562" i="66"/>
  <c r="J562" i="66"/>
  <c r="B562" i="65" s="1"/>
  <c r="D581" i="65"/>
  <c r="A581" i="65" s="1"/>
  <c r="M581" i="66"/>
  <c r="E581" i="65" s="1"/>
  <c r="J581" i="66"/>
  <c r="B581" i="65" s="1"/>
  <c r="I581" i="66"/>
  <c r="D598" i="65"/>
  <c r="A598" i="65" s="1"/>
  <c r="M598" i="66"/>
  <c r="E598" i="65" s="1"/>
  <c r="I598" i="66"/>
  <c r="J598" i="66"/>
  <c r="B598" i="65" s="1"/>
  <c r="D617" i="65"/>
  <c r="A617" i="65" s="1"/>
  <c r="M617" i="66"/>
  <c r="E617" i="65" s="1"/>
  <c r="J617" i="66"/>
  <c r="B617" i="65" s="1"/>
  <c r="I617" i="66"/>
  <c r="D618" i="65"/>
  <c r="A618" i="65" s="1"/>
  <c r="M618" i="66"/>
  <c r="E618" i="65" s="1"/>
  <c r="J618" i="66"/>
  <c r="B618" i="65" s="1"/>
  <c r="I618" i="66"/>
  <c r="D539" i="65"/>
  <c r="A539" i="65" s="1"/>
  <c r="M539" i="66"/>
  <c r="E539" i="65" s="1"/>
  <c r="J539" i="66"/>
  <c r="B539" i="65" s="1"/>
  <c r="I539" i="66"/>
  <c r="D568" i="65"/>
  <c r="A568" i="65" s="1"/>
  <c r="M568" i="66"/>
  <c r="E568" i="65" s="1"/>
  <c r="I568" i="66"/>
  <c r="J568" i="66"/>
  <c r="B568" i="65" s="1"/>
  <c r="D537" i="65"/>
  <c r="A537" i="65" s="1"/>
  <c r="M537" i="66"/>
  <c r="E537" i="65" s="1"/>
  <c r="J537" i="66"/>
  <c r="B537" i="65" s="1"/>
  <c r="I537" i="66"/>
  <c r="D534" i="65"/>
  <c r="A534" i="65" s="1"/>
  <c r="M534" i="66"/>
  <c r="E534" i="65" s="1"/>
  <c r="I534" i="66"/>
  <c r="J534" i="66"/>
  <c r="B534" i="65" s="1"/>
  <c r="D549" i="65"/>
  <c r="A549" i="65" s="1"/>
  <c r="M549" i="66"/>
  <c r="E549" i="65" s="1"/>
  <c r="J549" i="66"/>
  <c r="B549" i="65" s="1"/>
  <c r="I549" i="66"/>
  <c r="D566" i="65"/>
  <c r="A566" i="65" s="1"/>
  <c r="M566" i="66"/>
  <c r="E566" i="65" s="1"/>
  <c r="I566" i="66"/>
  <c r="J566" i="66"/>
  <c r="B566" i="65" s="1"/>
  <c r="D585" i="65"/>
  <c r="A585" i="65" s="1"/>
  <c r="M585" i="66"/>
  <c r="E585" i="65" s="1"/>
  <c r="J585" i="66"/>
  <c r="B585" i="65" s="1"/>
  <c r="I585" i="66"/>
  <c r="D586" i="65"/>
  <c r="A586" i="65" s="1"/>
  <c r="M586" i="66"/>
  <c r="E586" i="65" s="1"/>
  <c r="I586" i="66"/>
  <c r="J586" i="66"/>
  <c r="B586" i="65" s="1"/>
  <c r="D541" i="65"/>
  <c r="A541" i="65" s="1"/>
  <c r="M541" i="66"/>
  <c r="E541" i="65" s="1"/>
  <c r="J541" i="66"/>
  <c r="B541" i="65" s="1"/>
  <c r="I541" i="66"/>
  <c r="D542" i="65"/>
  <c r="A542" i="65" s="1"/>
  <c r="M542" i="66"/>
  <c r="E542" i="65" s="1"/>
  <c r="I542" i="66"/>
  <c r="J542" i="66"/>
  <c r="B542" i="65" s="1"/>
  <c r="BO148" i="61"/>
  <c r="BX148" i="61"/>
  <c r="CA148" i="61"/>
  <c r="BY148" i="61"/>
  <c r="CF148" i="61"/>
  <c r="CE148" i="61"/>
  <c r="G43" i="26"/>
  <c r="Y40" i="28"/>
  <c r="BR148" i="61"/>
  <c r="BV148" i="61"/>
  <c r="BZ148" i="61"/>
  <c r="BU148" i="61"/>
  <c r="CH148" i="61"/>
  <c r="X37" i="28"/>
  <c r="X37" i="49"/>
  <c r="BF47" i="61"/>
  <c r="BF46" i="61"/>
  <c r="H5" i="25"/>
  <c r="I5" i="25" s="1"/>
  <c r="D5" i="25"/>
  <c r="F5" i="25" s="1"/>
  <c r="G5" i="25" s="1"/>
  <c r="A3" i="65"/>
  <c r="BJ136" i="61"/>
  <c r="H9" i="42" s="1"/>
  <c r="AF12" i="42" s="1"/>
  <c r="BL136" i="61"/>
  <c r="H11" i="42" s="1"/>
  <c r="BF136" i="61"/>
  <c r="H5" i="42" s="1"/>
  <c r="H15" i="42" s="1"/>
  <c r="BK136" i="61"/>
  <c r="H10" i="42" s="1"/>
  <c r="AF13" i="42" s="1"/>
  <c r="BI136" i="61"/>
  <c r="H8" i="42" s="1"/>
  <c r="K11" i="42" s="1"/>
  <c r="BH136" i="61"/>
  <c r="H7" i="42" s="1"/>
  <c r="BG136" i="61"/>
  <c r="H6" i="42" s="1"/>
  <c r="BF134" i="61"/>
  <c r="H5" i="44" s="1"/>
  <c r="K5" i="44" s="1"/>
  <c r="BK134" i="61"/>
  <c r="H10" i="44" s="1"/>
  <c r="AF13" i="44" s="1"/>
  <c r="BI134" i="61"/>
  <c r="H8" i="44" s="1"/>
  <c r="BH134" i="61"/>
  <c r="H7" i="44" s="1"/>
  <c r="BG134" i="61"/>
  <c r="H6" i="44" s="1"/>
  <c r="H28" i="44" s="1"/>
  <c r="BJ134" i="61"/>
  <c r="H9" i="44" s="1"/>
  <c r="R25" i="44" s="1"/>
  <c r="BL134" i="61"/>
  <c r="H11" i="44" s="1"/>
  <c r="BH132" i="61"/>
  <c r="H7" i="46" s="1"/>
  <c r="BK132" i="61"/>
  <c r="H10" i="46" s="1"/>
  <c r="AF13" i="46" s="1"/>
  <c r="BJ132" i="61"/>
  <c r="H9" i="46" s="1"/>
  <c r="R25" i="46" s="1"/>
  <c r="BG132" i="61"/>
  <c r="H6" i="46" s="1"/>
  <c r="BI132" i="61"/>
  <c r="H8" i="46" s="1"/>
  <c r="R24" i="46" s="1"/>
  <c r="BL132" i="61"/>
  <c r="H11" i="46" s="1"/>
  <c r="BF132" i="61"/>
  <c r="H5" i="46" s="1"/>
  <c r="H15" i="46" s="1"/>
  <c r="BF49" i="61"/>
  <c r="BF42" i="61"/>
  <c r="CP154" i="61" a="1"/>
  <c r="Y42" i="59"/>
  <c r="C42" i="35"/>
  <c r="BF56" i="61"/>
  <c r="C42" i="48"/>
  <c r="K45" i="48" s="1"/>
  <c r="G43" i="30"/>
  <c r="BH129" i="61"/>
  <c r="H7" i="49" s="1"/>
  <c r="R16" i="49" s="1"/>
  <c r="BJ129" i="61"/>
  <c r="H9" i="49" s="1"/>
  <c r="BI129" i="61"/>
  <c r="H8" i="49" s="1"/>
  <c r="AF11" i="49" s="1"/>
  <c r="BG129" i="61"/>
  <c r="H6" i="49" s="1"/>
  <c r="H28" i="49" s="1"/>
  <c r="BF129" i="61"/>
  <c r="H5" i="49" s="1"/>
  <c r="K4" i="49" s="1"/>
  <c r="BL129" i="61"/>
  <c r="H11" i="49" s="1"/>
  <c r="BK129" i="61"/>
  <c r="H10" i="49" s="1"/>
  <c r="AF13" i="49" s="1"/>
  <c r="BF40" i="61"/>
  <c r="Y39" i="34"/>
  <c r="AE6" i="61"/>
  <c r="C4" i="48"/>
  <c r="B6" i="25"/>
  <c r="AP6" i="25"/>
  <c r="G43" i="43"/>
  <c r="BR39" i="61"/>
  <c r="BN44" i="61"/>
  <c r="G43" i="27"/>
  <c r="X37" i="40"/>
  <c r="G43" i="33"/>
  <c r="X37" i="50"/>
  <c r="BB50" i="61"/>
  <c r="BB43" i="61"/>
  <c r="BN43" i="61"/>
  <c r="BR43" i="61"/>
  <c r="Y40" i="50"/>
  <c r="BN40" i="61"/>
  <c r="X37" i="34"/>
  <c r="R37" i="50"/>
  <c r="V37" i="50" s="1"/>
  <c r="BR54" i="61"/>
  <c r="BB47" i="61"/>
  <c r="C45" i="59"/>
  <c r="K47" i="59" s="1"/>
  <c r="Y40" i="26"/>
  <c r="C42" i="39"/>
  <c r="X37" i="36"/>
  <c r="Y40" i="46"/>
  <c r="Y40" i="44"/>
  <c r="G43" i="28"/>
  <c r="BF37" i="61"/>
  <c r="O36" i="61" s="1"/>
  <c r="B9" i="64" s="1"/>
  <c r="BN42" i="61"/>
  <c r="BR41" i="61"/>
  <c r="BN56" i="61"/>
  <c r="BB61" i="61"/>
  <c r="BB41" i="61"/>
  <c r="BR63" i="61"/>
  <c r="BB55" i="61"/>
  <c r="BB57" i="61"/>
  <c r="BR57" i="61"/>
  <c r="BN61" i="61"/>
  <c r="BR48" i="61"/>
  <c r="BB62" i="61"/>
  <c r="BB37" i="61"/>
  <c r="L36" i="61" s="1"/>
  <c r="A8" i="64" s="1"/>
  <c r="BN41" i="61"/>
  <c r="BR53" i="61"/>
  <c r="BR62" i="61"/>
  <c r="BB42" i="61"/>
  <c r="BF36" i="61"/>
  <c r="N36" i="61" s="1"/>
  <c r="A9" i="64" s="1"/>
  <c r="BB60" i="61"/>
  <c r="BN46" i="61"/>
  <c r="BR45" i="61"/>
  <c r="BB56" i="61"/>
  <c r="BB63" i="61"/>
  <c r="BB44" i="61"/>
  <c r="BR55" i="61"/>
  <c r="BR46" i="61"/>
  <c r="BN47" i="61"/>
  <c r="BR61" i="61"/>
  <c r="BN49" i="61"/>
  <c r="BR40" i="61"/>
  <c r="BN53" i="61"/>
  <c r="BR56" i="61"/>
  <c r="BB52" i="61"/>
  <c r="BN54" i="61"/>
  <c r="BR58" i="61"/>
  <c r="BR52" i="61"/>
  <c r="BN55" i="61"/>
  <c r="BR60" i="61"/>
  <c r="BN58" i="61"/>
  <c r="BB45" i="61"/>
  <c r="BB39" i="61"/>
  <c r="BN57" i="61"/>
  <c r="BN39" i="61"/>
  <c r="BN48" i="61"/>
  <c r="BN59" i="61"/>
  <c r="BN62" i="61"/>
  <c r="BB38" i="61"/>
  <c r="M36" i="61" s="1"/>
  <c r="B8" i="64" s="1"/>
  <c r="BB40" i="61"/>
  <c r="BB53" i="61"/>
  <c r="BB58" i="61"/>
  <c r="BR49" i="61"/>
  <c r="BR51" i="61"/>
  <c r="BR42" i="61"/>
  <c r="BN60" i="61"/>
  <c r="BN51" i="61"/>
  <c r="BR44" i="61"/>
  <c r="BR59" i="61"/>
  <c r="C42" i="49"/>
  <c r="K45" i="49" s="1"/>
  <c r="X37" i="31"/>
  <c r="AE38" i="50"/>
  <c r="W41" i="59"/>
  <c r="Y40" i="49"/>
  <c r="Y40" i="40"/>
  <c r="AE34" i="50"/>
  <c r="AG34" i="50" s="1"/>
  <c r="L35" i="61"/>
  <c r="B4" i="64" s="1"/>
  <c r="G48" i="32"/>
  <c r="G43" i="44"/>
  <c r="G43" i="45"/>
  <c r="AX51" i="61"/>
  <c r="AX48" i="61"/>
  <c r="BJ46" i="61"/>
  <c r="BJ50" i="61"/>
  <c r="BJ53" i="61"/>
  <c r="AX47" i="61"/>
  <c r="BZ63" i="61"/>
  <c r="E16" i="64" s="1"/>
  <c r="AX49" i="61"/>
  <c r="BZ40" i="61"/>
  <c r="F4" i="64" s="1"/>
  <c r="BJ41" i="61"/>
  <c r="AX43" i="61"/>
  <c r="BZ54" i="61"/>
  <c r="F11" i="64" s="1"/>
  <c r="BJ52" i="61"/>
  <c r="AX39" i="61"/>
  <c r="BZ57" i="61"/>
  <c r="E13" i="64" s="1"/>
  <c r="BJ48" i="61"/>
  <c r="G43" i="47"/>
  <c r="AX63" i="61"/>
  <c r="BJ56" i="61"/>
  <c r="AX40" i="61"/>
  <c r="AX50" i="61"/>
  <c r="BZ41" i="61"/>
  <c r="E5" i="64" s="1"/>
  <c r="AX59" i="61"/>
  <c r="BZ43" i="61"/>
  <c r="E6" i="64" s="1"/>
  <c r="BZ61" i="61"/>
  <c r="E15" i="64" s="1"/>
  <c r="BZ45" i="61"/>
  <c r="E7" i="64" s="1"/>
  <c r="AX52" i="61"/>
  <c r="BZ51" i="61"/>
  <c r="E10" i="64" s="1"/>
  <c r="AX44" i="61"/>
  <c r="BJ63" i="61"/>
  <c r="AX58" i="61"/>
  <c r="CM144" i="61"/>
  <c r="BJ62" i="61"/>
  <c r="BJ51" i="61"/>
  <c r="AX42" i="61"/>
  <c r="BJ40" i="61"/>
  <c r="BJ59" i="61"/>
  <c r="AX53" i="61"/>
  <c r="AF12" i="36"/>
  <c r="R25" i="36"/>
  <c r="K9" i="29"/>
  <c r="AF6" i="29"/>
  <c r="R23" i="29"/>
  <c r="R16" i="29"/>
  <c r="AF10" i="29"/>
  <c r="AI14" i="29" s="1"/>
  <c r="K8" i="29"/>
  <c r="R5" i="29"/>
  <c r="R15" i="36"/>
  <c r="AF5" i="36"/>
  <c r="R4" i="36"/>
  <c r="R22" i="36"/>
  <c r="U26" i="36" s="1"/>
  <c r="H28" i="36"/>
  <c r="H16" i="36"/>
  <c r="K7" i="36"/>
  <c r="AF9" i="36"/>
  <c r="K6" i="36"/>
  <c r="H27" i="39"/>
  <c r="H15" i="39"/>
  <c r="AF4" i="39"/>
  <c r="R21" i="39"/>
  <c r="K5" i="39"/>
  <c r="R14" i="39"/>
  <c r="K4" i="39"/>
  <c r="R3" i="39"/>
  <c r="U8" i="39" s="1"/>
  <c r="AF7" i="39"/>
  <c r="R6" i="39"/>
  <c r="K10" i="39"/>
  <c r="K11" i="39"/>
  <c r="R24" i="39"/>
  <c r="AF11" i="39"/>
  <c r="R16" i="40"/>
  <c r="AF10" i="40"/>
  <c r="AI14" i="40" s="1"/>
  <c r="R23" i="40"/>
  <c r="K9" i="40"/>
  <c r="AF6" i="40"/>
  <c r="R5" i="40"/>
  <c r="K8" i="40"/>
  <c r="K11" i="40"/>
  <c r="AF7" i="40"/>
  <c r="K10" i="40"/>
  <c r="R24" i="40"/>
  <c r="AF11" i="40"/>
  <c r="R6" i="40"/>
  <c r="R21" i="31"/>
  <c r="K5" i="31"/>
  <c r="R14" i="31"/>
  <c r="K4" i="31"/>
  <c r="R3" i="31"/>
  <c r="U8" i="31" s="1"/>
  <c r="H27" i="31"/>
  <c r="H15" i="31"/>
  <c r="AF4" i="31"/>
  <c r="R14" i="28"/>
  <c r="K4" i="28"/>
  <c r="R3" i="28"/>
  <c r="U8" i="28" s="1"/>
  <c r="H27" i="28"/>
  <c r="H15" i="28"/>
  <c r="AF4" i="28"/>
  <c r="R21" i="28"/>
  <c r="K5" i="28"/>
  <c r="H28" i="28"/>
  <c r="H16" i="28"/>
  <c r="K7" i="28"/>
  <c r="AF9" i="28"/>
  <c r="K6" i="28"/>
  <c r="R15" i="28"/>
  <c r="AF5" i="28"/>
  <c r="R4" i="28"/>
  <c r="R22" i="28"/>
  <c r="U26" i="28" s="1"/>
  <c r="K4" i="35"/>
  <c r="R3" i="35"/>
  <c r="U8" i="35" s="1"/>
  <c r="H27" i="35"/>
  <c r="H15" i="35"/>
  <c r="AF4" i="35"/>
  <c r="R21" i="35"/>
  <c r="K5" i="35"/>
  <c r="R14" i="35"/>
  <c r="K9" i="35"/>
  <c r="AF6" i="35"/>
  <c r="R23" i="35"/>
  <c r="R16" i="35"/>
  <c r="AF10" i="35"/>
  <c r="AI14" i="35" s="1"/>
  <c r="K8" i="35"/>
  <c r="R5" i="35"/>
  <c r="R25" i="29"/>
  <c r="AF12" i="29"/>
  <c r="R15" i="26"/>
  <c r="AF5" i="26"/>
  <c r="R4" i="26"/>
  <c r="H28" i="26"/>
  <c r="H16" i="26"/>
  <c r="K7" i="26"/>
  <c r="AF9" i="26"/>
  <c r="K6" i="26"/>
  <c r="R22" i="26"/>
  <c r="U26" i="26" s="1"/>
  <c r="AF7" i="26"/>
  <c r="R6" i="26"/>
  <c r="K11" i="26"/>
  <c r="R24" i="26"/>
  <c r="AF11" i="26"/>
  <c r="K10" i="26"/>
  <c r="R25" i="35"/>
  <c r="AF12" i="35"/>
  <c r="AF9" i="29"/>
  <c r="K6" i="29"/>
  <c r="R15" i="29"/>
  <c r="AF5" i="29"/>
  <c r="R4" i="29"/>
  <c r="R22" i="29"/>
  <c r="U26" i="29" s="1"/>
  <c r="H28" i="29"/>
  <c r="H16" i="29"/>
  <c r="K7" i="29"/>
  <c r="AF7" i="36"/>
  <c r="R6" i="36"/>
  <c r="K10" i="36"/>
  <c r="K11" i="36"/>
  <c r="R24" i="36"/>
  <c r="AF11" i="36"/>
  <c r="AF12" i="39"/>
  <c r="R25" i="39"/>
  <c r="AF6" i="39"/>
  <c r="R23" i="39"/>
  <c r="R16" i="39"/>
  <c r="AF10" i="39"/>
  <c r="AI14" i="39" s="1"/>
  <c r="K8" i="39"/>
  <c r="R5" i="39"/>
  <c r="K9" i="39"/>
  <c r="R14" i="40"/>
  <c r="H27" i="40"/>
  <c r="H15" i="40"/>
  <c r="R21" i="40"/>
  <c r="K5" i="40"/>
  <c r="AF4" i="40"/>
  <c r="K4" i="40"/>
  <c r="R3" i="40"/>
  <c r="U8" i="40" s="1"/>
  <c r="K4" i="29"/>
  <c r="R3" i="29"/>
  <c r="U8" i="29" s="1"/>
  <c r="H27" i="29"/>
  <c r="H15" i="29"/>
  <c r="AF4" i="29"/>
  <c r="R21" i="29"/>
  <c r="K5" i="29"/>
  <c r="R14" i="29"/>
  <c r="H27" i="36"/>
  <c r="H15" i="36"/>
  <c r="AF4" i="36"/>
  <c r="R21" i="36"/>
  <c r="K5" i="36"/>
  <c r="R14" i="36"/>
  <c r="K4" i="36"/>
  <c r="R3" i="36"/>
  <c r="U8" i="36" s="1"/>
  <c r="AF6" i="36"/>
  <c r="R23" i="36"/>
  <c r="R16" i="36"/>
  <c r="AF10" i="36"/>
  <c r="AI14" i="36" s="1"/>
  <c r="K8" i="36"/>
  <c r="R5" i="36"/>
  <c r="K9" i="36"/>
  <c r="AF12" i="40"/>
  <c r="R25" i="40"/>
  <c r="AF6" i="26"/>
  <c r="R16" i="26"/>
  <c r="AF10" i="26"/>
  <c r="AI14" i="26" s="1"/>
  <c r="K8" i="26"/>
  <c r="R5" i="26"/>
  <c r="K9" i="26"/>
  <c r="R23" i="26"/>
  <c r="H27" i="26"/>
  <c r="H15" i="26"/>
  <c r="AF4" i="26"/>
  <c r="R14" i="26"/>
  <c r="K4" i="26"/>
  <c r="R3" i="26"/>
  <c r="U8" i="26" s="1"/>
  <c r="K5" i="26"/>
  <c r="R21" i="26"/>
  <c r="R16" i="28"/>
  <c r="AF10" i="28"/>
  <c r="AI14" i="28" s="1"/>
  <c r="K8" i="28"/>
  <c r="R5" i="28"/>
  <c r="K9" i="28"/>
  <c r="AF6" i="28"/>
  <c r="R23" i="28"/>
  <c r="K11" i="28"/>
  <c r="R24" i="28"/>
  <c r="AF11" i="28"/>
  <c r="AF7" i="28"/>
  <c r="R6" i="28"/>
  <c r="K10" i="28"/>
  <c r="AF9" i="35"/>
  <c r="K6" i="35"/>
  <c r="R15" i="35"/>
  <c r="AF5" i="35"/>
  <c r="R4" i="35"/>
  <c r="R22" i="35"/>
  <c r="U26" i="35" s="1"/>
  <c r="H28" i="35"/>
  <c r="H16" i="35"/>
  <c r="K7" i="35"/>
  <c r="R24" i="29"/>
  <c r="AF11" i="29"/>
  <c r="AF7" i="29"/>
  <c r="R6" i="29"/>
  <c r="K10" i="29"/>
  <c r="K11" i="29"/>
  <c r="R15" i="39"/>
  <c r="AF5" i="39"/>
  <c r="R4" i="39"/>
  <c r="R22" i="39"/>
  <c r="U26" i="39" s="1"/>
  <c r="H28" i="39"/>
  <c r="H16" i="39"/>
  <c r="K7" i="39"/>
  <c r="AF9" i="39"/>
  <c r="K6" i="39"/>
  <c r="H28" i="40"/>
  <c r="H16" i="40"/>
  <c r="R15" i="40"/>
  <c r="R22" i="40"/>
  <c r="U26" i="40" s="1"/>
  <c r="AF9" i="40"/>
  <c r="K6" i="40"/>
  <c r="AF5" i="40"/>
  <c r="K7" i="40"/>
  <c r="R4" i="40"/>
  <c r="R25" i="26"/>
  <c r="AF12" i="26"/>
  <c r="R25" i="28"/>
  <c r="AF12" i="28"/>
  <c r="R24" i="35"/>
  <c r="AF11" i="35"/>
  <c r="AF7" i="35"/>
  <c r="R6" i="35"/>
  <c r="K10" i="35"/>
  <c r="K11" i="35"/>
  <c r="CM134" i="61"/>
  <c r="Q52" i="35"/>
  <c r="Q54" i="35"/>
  <c r="Q54" i="48"/>
  <c r="Q52" i="48"/>
  <c r="B71" i="48"/>
  <c r="A76" i="48"/>
  <c r="A72" i="48"/>
  <c r="AL59" i="38"/>
  <c r="AH59" i="38"/>
  <c r="AL60" i="38"/>
  <c r="AH60" i="38"/>
  <c r="AI57" i="38"/>
  <c r="AA60" i="47"/>
  <c r="AO60" i="47" s="1"/>
  <c r="W60" i="47"/>
  <c r="AA59" i="47"/>
  <c r="AO59" i="47" s="1"/>
  <c r="W59" i="47"/>
  <c r="M50" i="41"/>
  <c r="I50" i="41"/>
  <c r="G49" i="41"/>
  <c r="M49" i="41"/>
  <c r="I49" i="41"/>
  <c r="AI72" i="40"/>
  <c r="AL74" i="40"/>
  <c r="AH74" i="40"/>
  <c r="AL75" i="40"/>
  <c r="AH75" i="40"/>
  <c r="Y40" i="27"/>
  <c r="Y39" i="27"/>
  <c r="V33" i="50"/>
  <c r="T33" i="50"/>
  <c r="M49" i="46"/>
  <c r="M50" i="46"/>
  <c r="I49" i="46"/>
  <c r="I50" i="46"/>
  <c r="G49" i="46"/>
  <c r="A69" i="34"/>
  <c r="B68" i="34"/>
  <c r="A76" i="36"/>
  <c r="A72" i="36"/>
  <c r="B71" i="36"/>
  <c r="O67" i="49"/>
  <c r="P66" i="49"/>
  <c r="O71" i="49"/>
  <c r="P71" i="47"/>
  <c r="O76" i="47"/>
  <c r="O72" i="47"/>
  <c r="M49" i="31"/>
  <c r="I49" i="31"/>
  <c r="M50" i="31"/>
  <c r="I50" i="31"/>
  <c r="G49" i="31"/>
  <c r="AC69" i="28"/>
  <c r="AD69" i="28" s="1"/>
  <c r="AD68" i="28"/>
  <c r="AC73" i="28"/>
  <c r="X62" i="32"/>
  <c r="Y40" i="39"/>
  <c r="Y39" i="39"/>
  <c r="BY142" i="61"/>
  <c r="CF142" i="61"/>
  <c r="CC142" i="61"/>
  <c r="CG142" i="61"/>
  <c r="BZ142" i="61"/>
  <c r="CD142" i="61"/>
  <c r="CL142" i="61"/>
  <c r="CI142" i="61"/>
  <c r="BU142" i="61"/>
  <c r="BQ142" i="61"/>
  <c r="CB142" i="61"/>
  <c r="CJ142" i="61"/>
  <c r="CK142" i="61"/>
  <c r="CH142" i="61"/>
  <c r="CA142" i="61"/>
  <c r="CE142" i="61"/>
  <c r="BP142" i="61"/>
  <c r="BS142" i="61"/>
  <c r="BR142" i="61"/>
  <c r="BN142" i="61"/>
  <c r="BX142" i="61"/>
  <c r="BT142" i="61"/>
  <c r="BO142" i="61"/>
  <c r="BV142" i="61"/>
  <c r="BW142" i="61"/>
  <c r="X42" i="26"/>
  <c r="C47" i="38"/>
  <c r="G48" i="38"/>
  <c r="X42" i="31"/>
  <c r="O60" i="48"/>
  <c r="P60" i="48" s="1"/>
  <c r="P59" i="48"/>
  <c r="P67" i="36"/>
  <c r="O68" i="36"/>
  <c r="H4" i="50"/>
  <c r="K3" i="50"/>
  <c r="B72" i="28"/>
  <c r="A73" i="28"/>
  <c r="X47" i="48"/>
  <c r="M49" i="30"/>
  <c r="I49" i="30"/>
  <c r="M50" i="30"/>
  <c r="I50" i="30"/>
  <c r="G49" i="30"/>
  <c r="A65" i="42"/>
  <c r="B65" i="42" s="1"/>
  <c r="B64" i="42"/>
  <c r="X42" i="42"/>
  <c r="CM140" i="61"/>
  <c r="AC89" i="46"/>
  <c r="AD89" i="46" s="1"/>
  <c r="AD88" i="46"/>
  <c r="AC93" i="46"/>
  <c r="Q49" i="40"/>
  <c r="Q47" i="40"/>
  <c r="AC73" i="32"/>
  <c r="AC69" i="32"/>
  <c r="AD69" i="32" s="1"/>
  <c r="AD68" i="32"/>
  <c r="A60" i="48"/>
  <c r="B60" i="48" s="1"/>
  <c r="B59" i="48"/>
  <c r="BJ47" i="61"/>
  <c r="BZ49" i="61"/>
  <c r="E9" i="64" s="1"/>
  <c r="AX56" i="61"/>
  <c r="P54" i="34"/>
  <c r="O55" i="34"/>
  <c r="P55" i="34" s="1"/>
  <c r="AJ60" i="41"/>
  <c r="AJ59" i="41"/>
  <c r="X47" i="35"/>
  <c r="Y39" i="29"/>
  <c r="Y40" i="29"/>
  <c r="AF5" i="61"/>
  <c r="C5" i="49"/>
  <c r="B5" i="24"/>
  <c r="AP5" i="24"/>
  <c r="Y4" i="24" s="1"/>
  <c r="C59" i="33"/>
  <c r="C58" i="33"/>
  <c r="AA60" i="38"/>
  <c r="AO60" i="38" s="1"/>
  <c r="W60" i="38"/>
  <c r="AA59" i="38"/>
  <c r="AO59" i="38" s="1"/>
  <c r="W59" i="38"/>
  <c r="BJ55" i="61"/>
  <c r="AX55" i="61"/>
  <c r="BZ50" i="61"/>
  <c r="F9" i="64" s="1"/>
  <c r="AA55" i="46"/>
  <c r="AO55" i="46" s="1"/>
  <c r="W54" i="46"/>
  <c r="W55" i="46"/>
  <c r="AA54" i="46"/>
  <c r="AO54" i="46" s="1"/>
  <c r="X47" i="47"/>
  <c r="G48" i="39"/>
  <c r="C47" i="39"/>
  <c r="Y45" i="44"/>
  <c r="Y44" i="44"/>
  <c r="C52" i="35"/>
  <c r="G53" i="35"/>
  <c r="P67" i="30"/>
  <c r="O68" i="30"/>
  <c r="C58" i="47"/>
  <c r="C59" i="47"/>
  <c r="P71" i="26"/>
  <c r="O76" i="26"/>
  <c r="O72" i="26"/>
  <c r="A64" i="48"/>
  <c r="B63" i="48"/>
  <c r="O66" i="59"/>
  <c r="P66" i="59" s="1"/>
  <c r="P65" i="59"/>
  <c r="X42" i="46"/>
  <c r="AL59" i="29"/>
  <c r="AH59" i="29"/>
  <c r="AL60" i="29"/>
  <c r="AH60" i="29"/>
  <c r="AI57" i="29"/>
  <c r="B71" i="37"/>
  <c r="A76" i="37"/>
  <c r="A72" i="37"/>
  <c r="M55" i="28"/>
  <c r="I55" i="28"/>
  <c r="G54" i="28"/>
  <c r="M54" i="28"/>
  <c r="I54" i="28"/>
  <c r="X42" i="29"/>
  <c r="O63" i="37"/>
  <c r="P62" i="37"/>
  <c r="B72" i="35"/>
  <c r="A73" i="35"/>
  <c r="Q47" i="37"/>
  <c r="Q49" i="37"/>
  <c r="A64" i="26"/>
  <c r="B63" i="26"/>
  <c r="AG33" i="49"/>
  <c r="C47" i="37"/>
  <c r="G48" i="37"/>
  <c r="X42" i="43"/>
  <c r="C54" i="45"/>
  <c r="C53" i="45"/>
  <c r="Q54" i="42"/>
  <c r="Q52" i="42"/>
  <c r="CF133" i="61"/>
  <c r="CK133" i="61"/>
  <c r="CH133" i="61"/>
  <c r="CL133" i="61"/>
  <c r="BQ133" i="61"/>
  <c r="CD133" i="61"/>
  <c r="BY133" i="61"/>
  <c r="CB133" i="61"/>
  <c r="BU133" i="61"/>
  <c r="CJ133" i="61"/>
  <c r="CC133" i="61"/>
  <c r="CG133" i="61"/>
  <c r="BZ133" i="61"/>
  <c r="CA133" i="61"/>
  <c r="CE133" i="61"/>
  <c r="CI133" i="61"/>
  <c r="BX133" i="61"/>
  <c r="BW133" i="61"/>
  <c r="BV133" i="61"/>
  <c r="BO133" i="61"/>
  <c r="BN133" i="61"/>
  <c r="BP133" i="61"/>
  <c r="BS133" i="61"/>
  <c r="BR133" i="61"/>
  <c r="BT133" i="61"/>
  <c r="O63" i="45"/>
  <c r="P62" i="45"/>
  <c r="M50" i="26"/>
  <c r="I50" i="26"/>
  <c r="G49" i="26"/>
  <c r="I49" i="26"/>
  <c r="M49" i="26"/>
  <c r="Y45" i="38"/>
  <c r="Y44" i="38"/>
  <c r="A81" i="27"/>
  <c r="A77" i="27"/>
  <c r="B76" i="27"/>
  <c r="X37" i="32"/>
  <c r="O55" i="33"/>
  <c r="P55" i="33" s="1"/>
  <c r="P54" i="33"/>
  <c r="AJ60" i="47"/>
  <c r="AJ59" i="47"/>
  <c r="O63" i="46"/>
  <c r="P62" i="46"/>
  <c r="M49" i="42"/>
  <c r="I49" i="42"/>
  <c r="M50" i="42"/>
  <c r="I50" i="42"/>
  <c r="G49" i="42"/>
  <c r="M55" i="29"/>
  <c r="I55" i="29"/>
  <c r="G54" i="29"/>
  <c r="M54" i="29"/>
  <c r="I54" i="29"/>
  <c r="AA60" i="42"/>
  <c r="AO60" i="42" s="1"/>
  <c r="W60" i="42"/>
  <c r="AA59" i="42"/>
  <c r="AO59" i="42" s="1"/>
  <c r="W59" i="42"/>
  <c r="AL71" i="59"/>
  <c r="AL72" i="59"/>
  <c r="O55" i="31"/>
  <c r="P55" i="31" s="1"/>
  <c r="P54" i="31"/>
  <c r="F37" i="50"/>
  <c r="Y45" i="27"/>
  <c r="Y44" i="27"/>
  <c r="BY131" i="61"/>
  <c r="CB131" i="61"/>
  <c r="BZ131" i="61"/>
  <c r="BU131" i="61"/>
  <c r="CJ131" i="61"/>
  <c r="CC131" i="61"/>
  <c r="CG131" i="61"/>
  <c r="CH131" i="61"/>
  <c r="CA131" i="61"/>
  <c r="CE131" i="61"/>
  <c r="CI131" i="61"/>
  <c r="CF131" i="61"/>
  <c r="CK131" i="61"/>
  <c r="CL131" i="61"/>
  <c r="BQ131" i="61"/>
  <c r="CD131" i="61"/>
  <c r="BX131" i="61"/>
  <c r="BV131" i="61"/>
  <c r="BP131" i="61"/>
  <c r="BS131" i="61"/>
  <c r="BR131" i="61"/>
  <c r="BT131" i="61"/>
  <c r="BO131" i="61"/>
  <c r="BN131" i="61"/>
  <c r="BW131" i="61"/>
  <c r="B72" i="40"/>
  <c r="A73" i="40"/>
  <c r="B72" i="32"/>
  <c r="A73" i="32"/>
  <c r="X37" i="41"/>
  <c r="BJ39" i="61"/>
  <c r="AX57" i="61"/>
  <c r="A69" i="40"/>
  <c r="B68" i="40"/>
  <c r="C47" i="34"/>
  <c r="G48" i="34"/>
  <c r="G53" i="40"/>
  <c r="C52" i="40"/>
  <c r="O64" i="26"/>
  <c r="P63" i="26"/>
  <c r="Q63" i="26" s="1"/>
  <c r="C59" i="27"/>
  <c r="C58" i="27"/>
  <c r="X37" i="30"/>
  <c r="M50" i="50"/>
  <c r="I50" i="50"/>
  <c r="G49" i="50"/>
  <c r="M49" i="50"/>
  <c r="I49" i="50"/>
  <c r="C59" i="44"/>
  <c r="C58" i="44"/>
  <c r="O76" i="38"/>
  <c r="O72" i="38"/>
  <c r="P71" i="38"/>
  <c r="X45" i="59"/>
  <c r="A60" i="30"/>
  <c r="B60" i="30" s="1"/>
  <c r="B59" i="30"/>
  <c r="AA60" i="41"/>
  <c r="AO60" i="41" s="1"/>
  <c r="W60" i="41"/>
  <c r="AA59" i="41"/>
  <c r="AO59" i="41" s="1"/>
  <c r="W59" i="41"/>
  <c r="B71" i="26"/>
  <c r="A76" i="26"/>
  <c r="A72" i="26"/>
  <c r="F37" i="49"/>
  <c r="P58" i="49"/>
  <c r="Q58" i="49" s="1"/>
  <c r="O59" i="49"/>
  <c r="P54" i="40"/>
  <c r="O55" i="40"/>
  <c r="P55" i="40" s="1"/>
  <c r="A65" i="44"/>
  <c r="B65" i="44" s="1"/>
  <c r="B64" i="44"/>
  <c r="B67" i="43"/>
  <c r="A68" i="43"/>
  <c r="A73" i="49"/>
  <c r="B72" i="49"/>
  <c r="AA60" i="29"/>
  <c r="AO60" i="29" s="1"/>
  <c r="W60" i="29"/>
  <c r="AA59" i="29"/>
  <c r="AO59" i="29" s="1"/>
  <c r="W59" i="29"/>
  <c r="AJ64" i="42"/>
  <c r="AJ65" i="42"/>
  <c r="A69" i="27"/>
  <c r="B68" i="27"/>
  <c r="P67" i="41"/>
  <c r="O68" i="41"/>
  <c r="AA60" i="30"/>
  <c r="AO60" i="30" s="1"/>
  <c r="W60" i="30"/>
  <c r="AA59" i="30"/>
  <c r="AO59" i="30" s="1"/>
  <c r="W59" i="30"/>
  <c r="X47" i="38"/>
  <c r="G42" i="40"/>
  <c r="K45" i="40"/>
  <c r="K44" i="40"/>
  <c r="AL65" i="39"/>
  <c r="AH65" i="39"/>
  <c r="AI62" i="39"/>
  <c r="AL64" i="39"/>
  <c r="AH64" i="39"/>
  <c r="P58" i="39"/>
  <c r="Q58" i="39" s="1"/>
  <c r="O59" i="39"/>
  <c r="X42" i="28"/>
  <c r="A81" i="44"/>
  <c r="A77" i="44"/>
  <c r="B76" i="44"/>
  <c r="X42" i="36"/>
  <c r="Y50" i="41"/>
  <c r="Y49" i="41"/>
  <c r="X51" i="59"/>
  <c r="X42" i="34"/>
  <c r="M54" i="59"/>
  <c r="G53" i="59"/>
  <c r="M53" i="59"/>
  <c r="G42" i="46"/>
  <c r="K44" i="46"/>
  <c r="K45" i="46"/>
  <c r="Y40" i="33"/>
  <c r="Y39" i="33"/>
  <c r="C58" i="29"/>
  <c r="C59" i="29"/>
  <c r="AA55" i="37"/>
  <c r="AO55" i="37" s="1"/>
  <c r="W55" i="37"/>
  <c r="AA54" i="37"/>
  <c r="AO54" i="37" s="1"/>
  <c r="W54" i="37"/>
  <c r="P67" i="48"/>
  <c r="O68" i="48"/>
  <c r="B80" i="59"/>
  <c r="A81" i="59"/>
  <c r="A86" i="59"/>
  <c r="C52" i="44"/>
  <c r="G53" i="44"/>
  <c r="Y40" i="30"/>
  <c r="Y39" i="30"/>
  <c r="C52" i="41"/>
  <c r="G53" i="41"/>
  <c r="O63" i="44"/>
  <c r="P62" i="44"/>
  <c r="AA55" i="28"/>
  <c r="AO55" i="28" s="1"/>
  <c r="W55" i="28"/>
  <c r="AA54" i="28"/>
  <c r="AO54" i="28" s="1"/>
  <c r="W54" i="28"/>
  <c r="D38" i="50"/>
  <c r="F38" i="50" s="1"/>
  <c r="H38" i="50" s="1"/>
  <c r="A69" i="47"/>
  <c r="B68" i="47"/>
  <c r="O64" i="38"/>
  <c r="P63" i="38"/>
  <c r="Q63" i="38" s="1"/>
  <c r="P67" i="42"/>
  <c r="O68" i="42"/>
  <c r="Q47" i="28"/>
  <c r="Q49" i="28"/>
  <c r="P54" i="50"/>
  <c r="O55" i="50"/>
  <c r="P55" i="50" s="1"/>
  <c r="X42" i="32"/>
  <c r="V32" i="49"/>
  <c r="T32" i="49"/>
  <c r="AJ64" i="49"/>
  <c r="AJ65" i="49"/>
  <c r="AL145" i="43"/>
  <c r="AH145" i="43"/>
  <c r="AI142" i="43"/>
  <c r="AL144" i="43"/>
  <c r="AH144" i="43"/>
  <c r="Y39" i="35"/>
  <c r="Y40" i="35"/>
  <c r="X37" i="44"/>
  <c r="Q52" i="29"/>
  <c r="Q54" i="29"/>
  <c r="B67" i="39"/>
  <c r="A68" i="39"/>
  <c r="AA55" i="27"/>
  <c r="AO55" i="27" s="1"/>
  <c r="W55" i="27"/>
  <c r="AA54" i="27"/>
  <c r="AO54" i="27" s="1"/>
  <c r="W54" i="27"/>
  <c r="B71" i="46"/>
  <c r="A72" i="46"/>
  <c r="A76" i="46"/>
  <c r="C47" i="35"/>
  <c r="G48" i="35"/>
  <c r="M50" i="29"/>
  <c r="I50" i="29"/>
  <c r="G49" i="29"/>
  <c r="M49" i="29"/>
  <c r="I49" i="29"/>
  <c r="O64" i="29"/>
  <c r="P63" i="29"/>
  <c r="Q63" i="29" s="1"/>
  <c r="P87" i="32"/>
  <c r="O88" i="32"/>
  <c r="O60" i="35"/>
  <c r="P60" i="35" s="1"/>
  <c r="P59" i="35"/>
  <c r="Y45" i="35"/>
  <c r="Y44" i="35"/>
  <c r="X42" i="45"/>
  <c r="AI62" i="26"/>
  <c r="AL64" i="26"/>
  <c r="AH64" i="26"/>
  <c r="AL65" i="26"/>
  <c r="AH65" i="26"/>
  <c r="AX46" i="61"/>
  <c r="BZ53" i="61"/>
  <c r="E11" i="64" s="1"/>
  <c r="AX60" i="61"/>
  <c r="BZ44" i="61"/>
  <c r="F6" i="64" s="1"/>
  <c r="B76" i="41"/>
  <c r="A81" i="41"/>
  <c r="A77" i="41"/>
  <c r="A73" i="33"/>
  <c r="B72" i="33"/>
  <c r="Y50" i="29"/>
  <c r="Y49" i="29"/>
  <c r="A69" i="42"/>
  <c r="B68" i="42"/>
  <c r="R21" i="33"/>
  <c r="K5" i="33"/>
  <c r="R14" i="33"/>
  <c r="K4" i="33"/>
  <c r="R3" i="33"/>
  <c r="U8" i="33" s="1"/>
  <c r="H27" i="33"/>
  <c r="H15" i="33"/>
  <c r="AF4" i="33"/>
  <c r="AF9" i="32"/>
  <c r="K6" i="32"/>
  <c r="H28" i="32"/>
  <c r="R22" i="32"/>
  <c r="U26" i="32" s="1"/>
  <c r="H16" i="32"/>
  <c r="R15" i="32"/>
  <c r="K7" i="32"/>
  <c r="AF5" i="32"/>
  <c r="R4" i="32"/>
  <c r="H27" i="30"/>
  <c r="H15" i="30"/>
  <c r="AF4" i="30"/>
  <c r="R21" i="30"/>
  <c r="K5" i="30"/>
  <c r="R14" i="30"/>
  <c r="K4" i="30"/>
  <c r="R3" i="30"/>
  <c r="U8" i="30" s="1"/>
  <c r="H4" i="26"/>
  <c r="K3" i="26"/>
  <c r="R23" i="33"/>
  <c r="R16" i="33"/>
  <c r="AF10" i="33"/>
  <c r="AI14" i="33" s="1"/>
  <c r="K8" i="33"/>
  <c r="R5" i="33"/>
  <c r="K9" i="33"/>
  <c r="AF6" i="33"/>
  <c r="K11" i="46"/>
  <c r="R6" i="46"/>
  <c r="AF11" i="46"/>
  <c r="K11" i="37"/>
  <c r="R24" i="37"/>
  <c r="AF11" i="37"/>
  <c r="AF7" i="37"/>
  <c r="R6" i="37"/>
  <c r="K10" i="37"/>
  <c r="H28" i="34"/>
  <c r="H16" i="34"/>
  <c r="K7" i="34"/>
  <c r="AF9" i="34"/>
  <c r="K6" i="34"/>
  <c r="R15" i="34"/>
  <c r="AF5" i="34"/>
  <c r="R4" i="34"/>
  <c r="R22" i="34"/>
  <c r="U26" i="34" s="1"/>
  <c r="AF7" i="30"/>
  <c r="R6" i="30"/>
  <c r="K10" i="30"/>
  <c r="K11" i="30"/>
  <c r="R24" i="30"/>
  <c r="AF11" i="30"/>
  <c r="H4" i="45"/>
  <c r="K3" i="45"/>
  <c r="R25" i="38"/>
  <c r="AF12" i="38"/>
  <c r="AF12" i="30"/>
  <c r="R25" i="30"/>
  <c r="H10" i="31"/>
  <c r="AF13" i="31" s="1"/>
  <c r="H6" i="31"/>
  <c r="H11" i="31"/>
  <c r="L4" i="59"/>
  <c r="O3" i="59"/>
  <c r="H8" i="31"/>
  <c r="BE128" i="61"/>
  <c r="X42" i="30"/>
  <c r="B72" i="42"/>
  <c r="A73" i="42"/>
  <c r="K45" i="33"/>
  <c r="K44" i="33"/>
  <c r="G42" i="33"/>
  <c r="K44" i="47"/>
  <c r="G42" i="47"/>
  <c r="K45" i="47"/>
  <c r="K44" i="29"/>
  <c r="G42" i="29"/>
  <c r="K45" i="29"/>
  <c r="X47" i="26"/>
  <c r="AC64" i="38"/>
  <c r="AD64" i="38" s="1"/>
  <c r="AD63" i="38"/>
  <c r="AC68" i="38"/>
  <c r="B72" i="38"/>
  <c r="A73" i="38"/>
  <c r="O67" i="33"/>
  <c r="P66" i="33"/>
  <c r="O71" i="33"/>
  <c r="O60" i="47"/>
  <c r="P60" i="47" s="1"/>
  <c r="P59" i="47"/>
  <c r="C47" i="41"/>
  <c r="G48" i="41"/>
  <c r="AC69" i="34"/>
  <c r="AD69" i="34" s="1"/>
  <c r="AD68" i="34"/>
  <c r="AC73" i="34"/>
  <c r="X37" i="27"/>
  <c r="C52" i="50"/>
  <c r="G53" i="50"/>
  <c r="M55" i="47"/>
  <c r="I55" i="47"/>
  <c r="G54" i="47"/>
  <c r="M54" i="47"/>
  <c r="I54" i="47"/>
  <c r="CM145" i="61"/>
  <c r="A60" i="39"/>
  <c r="B60" i="39" s="1"/>
  <c r="B59" i="39"/>
  <c r="P75" i="59"/>
  <c r="O76" i="59"/>
  <c r="AJ65" i="28"/>
  <c r="AJ64" i="28"/>
  <c r="Y65" i="32"/>
  <c r="Y64" i="32"/>
  <c r="Y45" i="26"/>
  <c r="Y44" i="26"/>
  <c r="BQ130" i="61"/>
  <c r="CH130" i="61"/>
  <c r="CE130" i="61"/>
  <c r="BY130" i="61"/>
  <c r="CB130" i="61"/>
  <c r="CD130" i="61"/>
  <c r="CA130" i="61"/>
  <c r="CI130" i="61"/>
  <c r="BU130" i="61"/>
  <c r="CJ130" i="61"/>
  <c r="CC130" i="61"/>
  <c r="CG130" i="61"/>
  <c r="BZ130" i="61"/>
  <c r="CF130" i="61"/>
  <c r="CK130" i="61"/>
  <c r="CL130" i="61"/>
  <c r="BR130" i="61"/>
  <c r="BN130" i="61"/>
  <c r="BS130" i="61"/>
  <c r="BO130" i="61"/>
  <c r="BW130" i="61"/>
  <c r="BX130" i="61"/>
  <c r="BP130" i="61"/>
  <c r="BT130" i="61"/>
  <c r="BV130" i="61"/>
  <c r="Y50" i="36"/>
  <c r="Y49" i="36"/>
  <c r="C47" i="49"/>
  <c r="G48" i="49"/>
  <c r="AA60" i="48"/>
  <c r="AO60" i="48" s="1"/>
  <c r="W60" i="48"/>
  <c r="AA59" i="48"/>
  <c r="AO59" i="48" s="1"/>
  <c r="W59" i="48"/>
  <c r="X42" i="41"/>
  <c r="O72" i="36"/>
  <c r="O76" i="36"/>
  <c r="P71" i="36"/>
  <c r="A64" i="39"/>
  <c r="B63" i="39"/>
  <c r="O59" i="40"/>
  <c r="P58" i="40"/>
  <c r="Q58" i="40" s="1"/>
  <c r="AV4" i="24"/>
  <c r="B76" i="28"/>
  <c r="A81" i="28"/>
  <c r="A77" i="28"/>
  <c r="P62" i="39"/>
  <c r="O63" i="39"/>
  <c r="A65" i="33"/>
  <c r="B65" i="33" s="1"/>
  <c r="B64" i="33"/>
  <c r="A60" i="43"/>
  <c r="B60" i="43" s="1"/>
  <c r="B59" i="43"/>
  <c r="X42" i="47"/>
  <c r="O84" i="32"/>
  <c r="P83" i="32"/>
  <c r="Q83" i="32" s="1"/>
  <c r="Q52" i="38"/>
  <c r="Q54" i="38"/>
  <c r="A64" i="30"/>
  <c r="B63" i="30"/>
  <c r="AJ85" i="46"/>
  <c r="AJ84" i="46"/>
  <c r="CM146" i="61"/>
  <c r="BJ42" i="61"/>
  <c r="BZ42" i="61"/>
  <c r="F5" i="64" s="1"/>
  <c r="BJ49" i="61"/>
  <c r="C47" i="45"/>
  <c r="G48" i="45"/>
  <c r="BQ151" i="61"/>
  <c r="CB151" i="61"/>
  <c r="CJ151" i="61"/>
  <c r="CL151" i="61"/>
  <c r="BU151" i="61"/>
  <c r="CC151" i="61"/>
  <c r="BZ151" i="61"/>
  <c r="CA151" i="61"/>
  <c r="BY151" i="61"/>
  <c r="CF151" i="61"/>
  <c r="CG151" i="61"/>
  <c r="CD151" i="61"/>
  <c r="CE151" i="61"/>
  <c r="CK151" i="61"/>
  <c r="CH151" i="61"/>
  <c r="CI151" i="61"/>
  <c r="BR151" i="61"/>
  <c r="BT151" i="61"/>
  <c r="BN151" i="61"/>
  <c r="BP151" i="61"/>
  <c r="BW151" i="61"/>
  <c r="BS151" i="61"/>
  <c r="BO151" i="61"/>
  <c r="BX151" i="61"/>
  <c r="BV151" i="61"/>
  <c r="A69" i="32"/>
  <c r="B68" i="32"/>
  <c r="AL59" i="41"/>
  <c r="AH59" i="41"/>
  <c r="AL60" i="41"/>
  <c r="AH60" i="41"/>
  <c r="AI57" i="41"/>
  <c r="Y50" i="35"/>
  <c r="Y49" i="35"/>
  <c r="AA40" i="29"/>
  <c r="AO40" i="29" s="1"/>
  <c r="W40" i="29"/>
  <c r="AA39" i="29"/>
  <c r="AO39" i="29" s="1"/>
  <c r="W39" i="29"/>
  <c r="P67" i="35"/>
  <c r="O68" i="35"/>
  <c r="O60" i="38"/>
  <c r="P60" i="38" s="1"/>
  <c r="P59" i="38"/>
  <c r="BZ55" i="61"/>
  <c r="E12" i="64" s="1"/>
  <c r="AX41" i="61"/>
  <c r="AJ64" i="48"/>
  <c r="AJ65" i="48"/>
  <c r="Y50" i="47"/>
  <c r="Y49" i="47"/>
  <c r="M49" i="39"/>
  <c r="I49" i="39"/>
  <c r="M50" i="39"/>
  <c r="I50" i="39"/>
  <c r="G49" i="39"/>
  <c r="P63" i="48"/>
  <c r="Q63" i="48" s="1"/>
  <c r="O64" i="48"/>
  <c r="A65" i="35"/>
  <c r="B65" i="35" s="1"/>
  <c r="B64" i="35"/>
  <c r="A69" i="38"/>
  <c r="B68" i="38"/>
  <c r="Y45" i="46"/>
  <c r="Y44" i="46"/>
  <c r="X37" i="43"/>
  <c r="P58" i="44"/>
  <c r="Q58" i="44" s="1"/>
  <c r="O59" i="44"/>
  <c r="G48" i="48"/>
  <c r="C47" i="48"/>
  <c r="C52" i="34"/>
  <c r="G53" i="34"/>
  <c r="AC69" i="27"/>
  <c r="AD69" i="27" s="1"/>
  <c r="AD68" i="27"/>
  <c r="AC73" i="27"/>
  <c r="AC69" i="31"/>
  <c r="AD69" i="31" s="1"/>
  <c r="AD68" i="31"/>
  <c r="AC73" i="31"/>
  <c r="Y45" i="29"/>
  <c r="Y44" i="29"/>
  <c r="P66" i="37"/>
  <c r="O71" i="37"/>
  <c r="O67" i="37"/>
  <c r="AC64" i="35"/>
  <c r="AD64" i="35" s="1"/>
  <c r="AD63" i="35"/>
  <c r="AC68" i="35"/>
  <c r="B76" i="35"/>
  <c r="A81" i="35"/>
  <c r="A77" i="35"/>
  <c r="P58" i="43"/>
  <c r="Q58" i="43" s="1"/>
  <c r="O59" i="43"/>
  <c r="O67" i="31"/>
  <c r="P66" i="31"/>
  <c r="O71" i="31"/>
  <c r="M50" i="37"/>
  <c r="I50" i="37"/>
  <c r="G49" i="37"/>
  <c r="M49" i="37"/>
  <c r="I49" i="37"/>
  <c r="Y45" i="43"/>
  <c r="Y44" i="43"/>
  <c r="AC69" i="45"/>
  <c r="AD69" i="45" s="1"/>
  <c r="AD68" i="45"/>
  <c r="AC73" i="45"/>
  <c r="P66" i="45"/>
  <c r="O71" i="45"/>
  <c r="O67" i="45"/>
  <c r="A64" i="43"/>
  <c r="B63" i="43"/>
  <c r="X42" i="37"/>
  <c r="O63" i="50"/>
  <c r="P62" i="50"/>
  <c r="AC69" i="37"/>
  <c r="AD69" i="37" s="1"/>
  <c r="AD68" i="37"/>
  <c r="AC73" i="37"/>
  <c r="C54" i="46"/>
  <c r="C53" i="46"/>
  <c r="AA55" i="33"/>
  <c r="AO55" i="33" s="1"/>
  <c r="W55" i="33"/>
  <c r="AA54" i="33"/>
  <c r="AO54" i="33" s="1"/>
  <c r="W54" i="33"/>
  <c r="C58" i="35"/>
  <c r="C59" i="35"/>
  <c r="AL59" i="47"/>
  <c r="AH59" i="47"/>
  <c r="AL60" i="47"/>
  <c r="AH60" i="47"/>
  <c r="AI57" i="47"/>
  <c r="C59" i="34"/>
  <c r="C58" i="34"/>
  <c r="P66" i="46"/>
  <c r="O71" i="46"/>
  <c r="O67" i="46"/>
  <c r="A65" i="40"/>
  <c r="B65" i="40" s="1"/>
  <c r="B64" i="40"/>
  <c r="BY152" i="61"/>
  <c r="CC152" i="61"/>
  <c r="BZ152" i="61"/>
  <c r="CA152" i="61"/>
  <c r="BU152" i="61"/>
  <c r="CF152" i="61"/>
  <c r="CG152" i="61"/>
  <c r="CD152" i="61"/>
  <c r="CE152" i="61"/>
  <c r="CK152" i="61"/>
  <c r="CH152" i="61"/>
  <c r="CI152" i="61"/>
  <c r="BQ152" i="61"/>
  <c r="CB152" i="61"/>
  <c r="CJ152" i="61"/>
  <c r="CL152" i="61"/>
  <c r="BN152" i="61"/>
  <c r="BV152" i="61"/>
  <c r="BP152" i="61"/>
  <c r="BW152" i="61"/>
  <c r="BS152" i="61"/>
  <c r="BO152" i="61"/>
  <c r="BX152" i="61"/>
  <c r="BR152" i="61"/>
  <c r="BT152" i="61"/>
  <c r="C52" i="29"/>
  <c r="G53" i="29"/>
  <c r="D42" i="50"/>
  <c r="K44" i="50"/>
  <c r="G42" i="50"/>
  <c r="K45" i="50"/>
  <c r="AN72" i="59"/>
  <c r="AJ72" i="59"/>
  <c r="AK69" i="59"/>
  <c r="AN71" i="59"/>
  <c r="AJ71" i="59"/>
  <c r="B72" i="50"/>
  <c r="A73" i="50"/>
  <c r="AA55" i="31"/>
  <c r="AO55" i="31" s="1"/>
  <c r="W55" i="31"/>
  <c r="AA54" i="31"/>
  <c r="AO54" i="31" s="1"/>
  <c r="W54" i="31"/>
  <c r="BZ59" i="61"/>
  <c r="E14" i="64" s="1"/>
  <c r="BJ54" i="61"/>
  <c r="BJ61" i="61"/>
  <c r="AX45" i="61"/>
  <c r="BZ52" i="61"/>
  <c r="F10" i="64" s="1"/>
  <c r="O55" i="49"/>
  <c r="P55" i="49" s="1"/>
  <c r="P54" i="49"/>
  <c r="X42" i="27"/>
  <c r="B76" i="40"/>
  <c r="A81" i="40"/>
  <c r="A77" i="40"/>
  <c r="C52" i="27"/>
  <c r="G53" i="27"/>
  <c r="Y50" i="42"/>
  <c r="Y49" i="42"/>
  <c r="Y39" i="41"/>
  <c r="Y40" i="41"/>
  <c r="K44" i="37"/>
  <c r="G42" i="37"/>
  <c r="K45" i="37"/>
  <c r="BZ39" i="61"/>
  <c r="E4" i="64" s="1"/>
  <c r="CB38" i="61"/>
  <c r="CI75" i="61" s="1"/>
  <c r="M50" i="34"/>
  <c r="I50" i="34"/>
  <c r="G49" i="34"/>
  <c r="M49" i="34"/>
  <c r="I49" i="34"/>
  <c r="Y40" i="42"/>
  <c r="Y39" i="42"/>
  <c r="M55" i="40"/>
  <c r="I55" i="40"/>
  <c r="G54" i="40"/>
  <c r="M54" i="40"/>
  <c r="I54" i="40"/>
  <c r="O67" i="27"/>
  <c r="P66" i="27"/>
  <c r="O71" i="27"/>
  <c r="O63" i="34"/>
  <c r="P62" i="34"/>
  <c r="A64" i="37"/>
  <c r="B63" i="37"/>
  <c r="A65" i="49"/>
  <c r="B65" i="49" s="1"/>
  <c r="B64" i="49"/>
  <c r="AC69" i="33"/>
  <c r="AD69" i="33" s="1"/>
  <c r="AD68" i="33"/>
  <c r="AC73" i="33"/>
  <c r="X37" i="26"/>
  <c r="O60" i="41"/>
  <c r="P60" i="41" s="1"/>
  <c r="P59" i="41"/>
  <c r="AJ64" i="30"/>
  <c r="AJ65" i="30"/>
  <c r="B67" i="26"/>
  <c r="A68" i="26"/>
  <c r="H4" i="24"/>
  <c r="I4" i="24" s="1"/>
  <c r="D4" i="24"/>
  <c r="A81" i="49"/>
  <c r="A77" i="49"/>
  <c r="B76" i="49"/>
  <c r="O60" i="29"/>
  <c r="P60" i="29" s="1"/>
  <c r="P59" i="29"/>
  <c r="AL65" i="42"/>
  <c r="AH65" i="42"/>
  <c r="AI62" i="42"/>
  <c r="AL64" i="42"/>
  <c r="AH64" i="42"/>
  <c r="O76" i="41"/>
  <c r="O72" i="41"/>
  <c r="P71" i="41"/>
  <c r="Y50" i="38"/>
  <c r="Y49" i="38"/>
  <c r="B67" i="45"/>
  <c r="A68" i="45"/>
  <c r="AC73" i="39"/>
  <c r="AC69" i="39"/>
  <c r="AD69" i="39" s="1"/>
  <c r="AD68" i="39"/>
  <c r="Y45" i="28"/>
  <c r="Y44" i="28"/>
  <c r="AC69" i="50"/>
  <c r="AD69" i="50" s="1"/>
  <c r="AD68" i="50"/>
  <c r="AC73" i="50"/>
  <c r="Y45" i="34"/>
  <c r="Y44" i="34"/>
  <c r="Y44" i="40"/>
  <c r="Y45" i="40"/>
  <c r="AC64" i="44"/>
  <c r="AD64" i="44" s="1"/>
  <c r="AD63" i="44"/>
  <c r="AC68" i="44"/>
  <c r="X37" i="33"/>
  <c r="Y45" i="39"/>
  <c r="Y44" i="39"/>
  <c r="P54" i="37"/>
  <c r="O55" i="37"/>
  <c r="P55" i="37" s="1"/>
  <c r="P63" i="30"/>
  <c r="Q63" i="30" s="1"/>
  <c r="O64" i="30"/>
  <c r="B75" i="59"/>
  <c r="A76" i="59"/>
  <c r="X37" i="38"/>
  <c r="C52" i="31"/>
  <c r="G53" i="31"/>
  <c r="O59" i="34"/>
  <c r="P58" i="34"/>
  <c r="Q58" i="34" s="1"/>
  <c r="M54" i="44"/>
  <c r="I54" i="44"/>
  <c r="M55" i="44"/>
  <c r="I55" i="44"/>
  <c r="G54" i="44"/>
  <c r="G48" i="36"/>
  <c r="C47" i="36"/>
  <c r="P54" i="28"/>
  <c r="O55" i="28"/>
  <c r="P55" i="28" s="1"/>
  <c r="B72" i="34"/>
  <c r="A73" i="34"/>
  <c r="Y45" i="32"/>
  <c r="Y44" i="32"/>
  <c r="P58" i="31"/>
  <c r="Q58" i="31" s="1"/>
  <c r="O59" i="31"/>
  <c r="A60" i="46"/>
  <c r="B60" i="46" s="1"/>
  <c r="B59" i="46"/>
  <c r="AL65" i="49"/>
  <c r="AH65" i="49"/>
  <c r="AI62" i="49"/>
  <c r="AL64" i="49"/>
  <c r="AH64" i="49"/>
  <c r="AC149" i="43"/>
  <c r="AD149" i="43" s="1"/>
  <c r="AD148" i="43"/>
  <c r="AA40" i="35"/>
  <c r="AO40" i="35" s="1"/>
  <c r="W40" i="35"/>
  <c r="AA39" i="35"/>
  <c r="AO39" i="35" s="1"/>
  <c r="W39" i="35"/>
  <c r="W80" i="32"/>
  <c r="AA79" i="32"/>
  <c r="AO79" i="32" s="1"/>
  <c r="W79" i="32"/>
  <c r="AA80" i="32"/>
  <c r="AO80" i="32" s="1"/>
  <c r="Y40" i="48"/>
  <c r="Y39" i="48"/>
  <c r="B71" i="39"/>
  <c r="A76" i="39"/>
  <c r="A72" i="39"/>
  <c r="X37" i="47"/>
  <c r="B67" i="46"/>
  <c r="A68" i="46"/>
  <c r="A69" i="44"/>
  <c r="B68" i="44"/>
  <c r="BQ150" i="61"/>
  <c r="CH150" i="61"/>
  <c r="CI150" i="61"/>
  <c r="BY150" i="61"/>
  <c r="CB150" i="61"/>
  <c r="CJ150" i="61"/>
  <c r="CC150" i="61"/>
  <c r="CL150" i="61"/>
  <c r="BU150" i="61"/>
  <c r="CG150" i="61"/>
  <c r="BZ150" i="61"/>
  <c r="CA150" i="61"/>
  <c r="CF150" i="61"/>
  <c r="CK150" i="61"/>
  <c r="CD150" i="61"/>
  <c r="CE150" i="61"/>
  <c r="BS150" i="61"/>
  <c r="BO150" i="61"/>
  <c r="BX150" i="61"/>
  <c r="BV150" i="61"/>
  <c r="BR150" i="61"/>
  <c r="BT150" i="61"/>
  <c r="BN150" i="61"/>
  <c r="BP150" i="61"/>
  <c r="BW150" i="61"/>
  <c r="C47" i="29"/>
  <c r="G48" i="29"/>
  <c r="P91" i="32"/>
  <c r="O96" i="32"/>
  <c r="O92" i="32"/>
  <c r="B67" i="30"/>
  <c r="A68" i="30"/>
  <c r="Y45" i="45"/>
  <c r="Y44" i="45"/>
  <c r="C59" i="49"/>
  <c r="C58" i="49"/>
  <c r="X67" i="32"/>
  <c r="AJ65" i="36"/>
  <c r="AJ64" i="36"/>
  <c r="M50" i="47"/>
  <c r="I50" i="47"/>
  <c r="G49" i="47"/>
  <c r="M49" i="47"/>
  <c r="I49" i="47"/>
  <c r="AC73" i="26"/>
  <c r="AC69" i="26"/>
  <c r="AD69" i="26" s="1"/>
  <c r="AD68" i="26"/>
  <c r="BZ62" i="61"/>
  <c r="F15" i="64" s="1"/>
  <c r="BZ46" i="61"/>
  <c r="F7" i="64" s="1"/>
  <c r="BJ60" i="61"/>
  <c r="BZ60" i="61"/>
  <c r="F14" i="64" s="1"/>
  <c r="BJ44" i="61"/>
  <c r="A81" i="33"/>
  <c r="A77" i="33"/>
  <c r="B76" i="33"/>
  <c r="Q49" i="33"/>
  <c r="Q47" i="33"/>
  <c r="H4" i="36"/>
  <c r="K3" i="36"/>
  <c r="R24" i="32"/>
  <c r="AF11" i="32"/>
  <c r="K10" i="32"/>
  <c r="AF7" i="32"/>
  <c r="R6" i="32"/>
  <c r="K11" i="32"/>
  <c r="H4" i="37"/>
  <c r="K3" i="37"/>
  <c r="H4" i="42"/>
  <c r="K3" i="42"/>
  <c r="K3" i="49"/>
  <c r="H4" i="49"/>
  <c r="AF12" i="46"/>
  <c r="AF12" i="33"/>
  <c r="R25" i="33"/>
  <c r="H4" i="38"/>
  <c r="K3" i="38"/>
  <c r="R16" i="34"/>
  <c r="AF10" i="34"/>
  <c r="AI14" i="34" s="1"/>
  <c r="K8" i="34"/>
  <c r="R5" i="34"/>
  <c r="K9" i="34"/>
  <c r="AF6" i="34"/>
  <c r="R23" i="34"/>
  <c r="H4" i="30"/>
  <c r="K3" i="30"/>
  <c r="H27" i="42"/>
  <c r="AF4" i="42"/>
  <c r="R21" i="42"/>
  <c r="K5" i="42"/>
  <c r="K4" i="42"/>
  <c r="R3" i="42"/>
  <c r="U8" i="42" s="1"/>
  <c r="K3" i="40"/>
  <c r="H4" i="40"/>
  <c r="R24" i="38"/>
  <c r="AF11" i="38"/>
  <c r="AF7" i="38"/>
  <c r="R6" i="38"/>
  <c r="K10" i="38"/>
  <c r="K11" i="38"/>
  <c r="H27" i="46"/>
  <c r="R21" i="46"/>
  <c r="K10" i="44"/>
  <c r="K11" i="44"/>
  <c r="R24" i="44"/>
  <c r="AF11" i="44"/>
  <c r="AF7" i="44"/>
  <c r="R6" i="44"/>
  <c r="K8" i="49"/>
  <c r="H4" i="47"/>
  <c r="K3" i="47"/>
  <c r="H9" i="31"/>
  <c r="H4" i="43"/>
  <c r="K3" i="43"/>
  <c r="B76" i="42"/>
  <c r="A81" i="42"/>
  <c r="A77" i="42"/>
  <c r="G42" i="42"/>
  <c r="K45" i="42"/>
  <c r="K44" i="42"/>
  <c r="K44" i="28"/>
  <c r="G42" i="28"/>
  <c r="K45" i="28"/>
  <c r="G42" i="30"/>
  <c r="K45" i="30"/>
  <c r="K44" i="30"/>
  <c r="X42" i="44"/>
  <c r="B76" i="38"/>
  <c r="A81" i="38"/>
  <c r="A77" i="38"/>
  <c r="AC79" i="40"/>
  <c r="AD79" i="40" s="1"/>
  <c r="AD78" i="40"/>
  <c r="AC83" i="40"/>
  <c r="AJ65" i="34"/>
  <c r="AJ64" i="34"/>
  <c r="AA55" i="45"/>
  <c r="AO55" i="45" s="1"/>
  <c r="W55" i="45"/>
  <c r="AA54" i="45"/>
  <c r="AO54" i="45" s="1"/>
  <c r="W54" i="45"/>
  <c r="AA39" i="27"/>
  <c r="AO39" i="27" s="1"/>
  <c r="W39" i="27"/>
  <c r="AA40" i="27"/>
  <c r="AO40" i="27" s="1"/>
  <c r="W40" i="27"/>
  <c r="M55" i="50"/>
  <c r="I55" i="50"/>
  <c r="G54" i="50"/>
  <c r="M54" i="50"/>
  <c r="I54" i="50"/>
  <c r="C52" i="47"/>
  <c r="G53" i="47"/>
  <c r="X47" i="32"/>
  <c r="O63" i="49"/>
  <c r="P62" i="49"/>
  <c r="O86" i="59"/>
  <c r="O81" i="59"/>
  <c r="P80" i="59"/>
  <c r="AI62" i="28"/>
  <c r="AL64" i="28"/>
  <c r="AH64" i="28"/>
  <c r="AL65" i="28"/>
  <c r="AH65" i="28"/>
  <c r="X47" i="36"/>
  <c r="M49" i="49"/>
  <c r="I49" i="49"/>
  <c r="M50" i="49"/>
  <c r="I50" i="49"/>
  <c r="G49" i="49"/>
  <c r="Y45" i="41"/>
  <c r="Y44" i="41"/>
  <c r="C52" i="33"/>
  <c r="G53" i="33"/>
  <c r="Y45" i="47"/>
  <c r="Y44" i="47"/>
  <c r="AI82" i="46"/>
  <c r="AL84" i="46"/>
  <c r="AH84" i="46"/>
  <c r="AH85" i="46"/>
  <c r="AL85" i="46"/>
  <c r="W60" i="26"/>
  <c r="AA59" i="26"/>
  <c r="AO59" i="26" s="1"/>
  <c r="W59" i="26"/>
  <c r="AA60" i="26"/>
  <c r="AO60" i="26" s="1"/>
  <c r="AJ65" i="32"/>
  <c r="AJ64" i="32"/>
  <c r="BZ47" i="61"/>
  <c r="E8" i="64" s="1"/>
  <c r="BJ58" i="61"/>
  <c r="BZ58" i="61"/>
  <c r="F13" i="64" s="1"/>
  <c r="BZ56" i="61"/>
  <c r="F12" i="64" s="1"/>
  <c r="M50" i="45"/>
  <c r="I50" i="45"/>
  <c r="G49" i="45"/>
  <c r="M49" i="45"/>
  <c r="I49" i="45"/>
  <c r="A65" i="31"/>
  <c r="B65" i="31" s="1"/>
  <c r="B64" i="31"/>
  <c r="A69" i="33"/>
  <c r="B68" i="33"/>
  <c r="O76" i="35"/>
  <c r="O72" i="35"/>
  <c r="P71" i="35"/>
  <c r="AL65" i="48"/>
  <c r="AH65" i="48"/>
  <c r="AI62" i="48"/>
  <c r="AL64" i="48"/>
  <c r="AH64" i="48"/>
  <c r="X37" i="42"/>
  <c r="O72" i="30"/>
  <c r="P71" i="30"/>
  <c r="O76" i="30"/>
  <c r="A65" i="34"/>
  <c r="B65" i="34" s="1"/>
  <c r="B64" i="34"/>
  <c r="A73" i="31"/>
  <c r="B72" i="31"/>
  <c r="AC64" i="29"/>
  <c r="AD64" i="29" s="1"/>
  <c r="AD63" i="29"/>
  <c r="AC68" i="29"/>
  <c r="M55" i="38"/>
  <c r="I55" i="38"/>
  <c r="G54" i="38"/>
  <c r="M54" i="38"/>
  <c r="I54" i="38"/>
  <c r="C42" i="38"/>
  <c r="G43" i="38"/>
  <c r="M49" i="48"/>
  <c r="I49" i="48"/>
  <c r="M50" i="48"/>
  <c r="I50" i="48"/>
  <c r="G49" i="48"/>
  <c r="AG38" i="50"/>
  <c r="M55" i="34"/>
  <c r="I55" i="34"/>
  <c r="G54" i="34"/>
  <c r="M54" i="34"/>
  <c r="I54" i="34"/>
  <c r="AJ64" i="27"/>
  <c r="AJ65" i="27"/>
  <c r="AJ64" i="31"/>
  <c r="AJ65" i="31"/>
  <c r="G48" i="43"/>
  <c r="C47" i="43"/>
  <c r="P63" i="42"/>
  <c r="Q63" i="42" s="1"/>
  <c r="O64" i="42"/>
  <c r="AJ60" i="35"/>
  <c r="AJ59" i="35"/>
  <c r="M55" i="32"/>
  <c r="I55" i="32"/>
  <c r="G54" i="32"/>
  <c r="I54" i="32"/>
  <c r="M54" i="32"/>
  <c r="C47" i="27"/>
  <c r="G48" i="27"/>
  <c r="A65" i="28"/>
  <c r="B65" i="28" s="1"/>
  <c r="B64" i="28"/>
  <c r="AJ65" i="45"/>
  <c r="AJ64" i="45"/>
  <c r="Y45" i="37"/>
  <c r="Y44" i="37"/>
  <c r="P66" i="50"/>
  <c r="O71" i="50"/>
  <c r="O67" i="50"/>
  <c r="Q47" i="46"/>
  <c r="Q49" i="46"/>
  <c r="AJ65" i="37"/>
  <c r="AJ64" i="37"/>
  <c r="P63" i="36"/>
  <c r="Q63" i="36" s="1"/>
  <c r="O64" i="36"/>
  <c r="P54" i="43"/>
  <c r="O55" i="43"/>
  <c r="P55" i="43" s="1"/>
  <c r="G48" i="40"/>
  <c r="C47" i="40"/>
  <c r="A69" i="28"/>
  <c r="B68" i="28"/>
  <c r="C47" i="33"/>
  <c r="G48" i="33"/>
  <c r="Q49" i="49"/>
  <c r="Q47" i="49"/>
  <c r="C54" i="48"/>
  <c r="C53" i="48"/>
  <c r="Y50" i="30"/>
  <c r="Y49" i="30"/>
  <c r="C58" i="32"/>
  <c r="C59" i="32"/>
  <c r="AC82" i="59"/>
  <c r="AC77" i="59"/>
  <c r="AD77" i="59" s="1"/>
  <c r="AD76" i="59"/>
  <c r="B76" i="50"/>
  <c r="A81" i="50"/>
  <c r="A77" i="50"/>
  <c r="A65" i="38"/>
  <c r="B65" i="38" s="1"/>
  <c r="B64" i="38"/>
  <c r="C59" i="28"/>
  <c r="C58" i="28"/>
  <c r="CM129" i="61"/>
  <c r="BJ43" i="61"/>
  <c r="AX54" i="61"/>
  <c r="AX61" i="61"/>
  <c r="AA55" i="49"/>
  <c r="AO55" i="49" s="1"/>
  <c r="W55" i="49"/>
  <c r="AA54" i="49"/>
  <c r="AO54" i="49" s="1"/>
  <c r="W54" i="49"/>
  <c r="M54" i="27"/>
  <c r="I54" i="27"/>
  <c r="M55" i="27"/>
  <c r="I55" i="27"/>
  <c r="G54" i="27"/>
  <c r="X47" i="42"/>
  <c r="C54" i="43"/>
  <c r="C53" i="43"/>
  <c r="C47" i="28"/>
  <c r="G48" i="28"/>
  <c r="AA40" i="41"/>
  <c r="AO40" i="41" s="1"/>
  <c r="W40" i="41"/>
  <c r="AA39" i="41"/>
  <c r="AO39" i="41" s="1"/>
  <c r="W39" i="41"/>
  <c r="A60" i="37"/>
  <c r="B60" i="37" s="1"/>
  <c r="B59" i="37"/>
  <c r="O64" i="35"/>
  <c r="P63" i="35"/>
  <c r="Q63" i="35" s="1"/>
  <c r="G42" i="36"/>
  <c r="K45" i="36"/>
  <c r="K44" i="36"/>
  <c r="AE35" i="50"/>
  <c r="AI34" i="50" s="1"/>
  <c r="AG33" i="50"/>
  <c r="BJ57" i="61"/>
  <c r="BZ48" i="61"/>
  <c r="F8" i="64" s="1"/>
  <c r="BU147" i="61"/>
  <c r="BY147" i="61"/>
  <c r="CC147" i="61"/>
  <c r="CG147" i="61"/>
  <c r="BZ147" i="61"/>
  <c r="CA147" i="61"/>
  <c r="CB147" i="61"/>
  <c r="CJ147" i="61"/>
  <c r="CK147" i="61"/>
  <c r="CI147" i="61"/>
  <c r="BQ147" i="61"/>
  <c r="CD147" i="61"/>
  <c r="CH147" i="61"/>
  <c r="CF147" i="61"/>
  <c r="CL147" i="61"/>
  <c r="CE147" i="61"/>
  <c r="BS147" i="61"/>
  <c r="BO147" i="61"/>
  <c r="BN147" i="61"/>
  <c r="BT147" i="61"/>
  <c r="BW147" i="61"/>
  <c r="BV147" i="61"/>
  <c r="BP147" i="61"/>
  <c r="BR147" i="61"/>
  <c r="BX147" i="61"/>
  <c r="Y45" i="33"/>
  <c r="Y44" i="33"/>
  <c r="X37" i="37"/>
  <c r="Y39" i="38"/>
  <c r="Y40" i="38"/>
  <c r="A60" i="36"/>
  <c r="B60" i="36" s="1"/>
  <c r="B59" i="36"/>
  <c r="P58" i="33"/>
  <c r="Q58" i="33" s="1"/>
  <c r="O59" i="33"/>
  <c r="P66" i="34"/>
  <c r="O71" i="34"/>
  <c r="O67" i="34"/>
  <c r="A69" i="31"/>
  <c r="B68" i="31"/>
  <c r="O55" i="39"/>
  <c r="P55" i="39" s="1"/>
  <c r="P54" i="39"/>
  <c r="C58" i="41"/>
  <c r="C59" i="41"/>
  <c r="Y39" i="43"/>
  <c r="Y40" i="43"/>
  <c r="A65" i="32"/>
  <c r="B65" i="32" s="1"/>
  <c r="B64" i="32"/>
  <c r="B72" i="47"/>
  <c r="A73" i="47"/>
  <c r="AJ64" i="33"/>
  <c r="AJ65" i="33"/>
  <c r="O59" i="37"/>
  <c r="P58" i="37"/>
  <c r="Q58" i="37" s="1"/>
  <c r="AL65" i="30"/>
  <c r="AH65" i="30"/>
  <c r="AI62" i="30"/>
  <c r="AL64" i="30"/>
  <c r="AH64" i="30"/>
  <c r="Q59" i="59"/>
  <c r="Q57" i="59"/>
  <c r="P66" i="43"/>
  <c r="O67" i="43"/>
  <c r="O71" i="43"/>
  <c r="O71" i="59"/>
  <c r="P70" i="59"/>
  <c r="Q70" i="59" s="1"/>
  <c r="Q52" i="26"/>
  <c r="Q54" i="26"/>
  <c r="C54" i="39"/>
  <c r="C53" i="39"/>
  <c r="O63" i="28"/>
  <c r="P62" i="28"/>
  <c r="G53" i="42"/>
  <c r="C52" i="42"/>
  <c r="BY137" i="61"/>
  <c r="CG137" i="61"/>
  <c r="CK137" i="61"/>
  <c r="BZ137" i="61"/>
  <c r="CD137" i="61"/>
  <c r="CA137" i="61"/>
  <c r="BQ137" i="61"/>
  <c r="CB137" i="61"/>
  <c r="CF137" i="61"/>
  <c r="CH137" i="61"/>
  <c r="CL137" i="61"/>
  <c r="CE137" i="61"/>
  <c r="BU137" i="61"/>
  <c r="CJ137" i="61"/>
  <c r="CC137" i="61"/>
  <c r="CI137" i="61"/>
  <c r="BO137" i="61"/>
  <c r="BN137" i="61"/>
  <c r="BX137" i="61"/>
  <c r="BW137" i="61"/>
  <c r="BV137" i="61"/>
  <c r="BP137" i="61"/>
  <c r="BS137" i="61"/>
  <c r="BR137" i="61"/>
  <c r="BT137" i="61"/>
  <c r="AC73" i="42"/>
  <c r="AC69" i="42"/>
  <c r="AD69" i="42" s="1"/>
  <c r="AD68" i="42"/>
  <c r="Q47" i="43"/>
  <c r="Q49" i="43"/>
  <c r="O59" i="50"/>
  <c r="P58" i="50"/>
  <c r="Q58" i="50" s="1"/>
  <c r="CM141" i="61"/>
  <c r="B71" i="45"/>
  <c r="A76" i="45"/>
  <c r="A72" i="45"/>
  <c r="P58" i="46"/>
  <c r="Q58" i="46" s="1"/>
  <c r="O59" i="46"/>
  <c r="P67" i="29"/>
  <c r="O68" i="29"/>
  <c r="AJ65" i="50"/>
  <c r="AJ64" i="50"/>
  <c r="X42" i="40"/>
  <c r="A69" i="50"/>
  <c r="B68" i="50"/>
  <c r="K44" i="34"/>
  <c r="G42" i="34"/>
  <c r="K45" i="34"/>
  <c r="AJ59" i="44"/>
  <c r="AJ60" i="44"/>
  <c r="X52" i="32"/>
  <c r="AA39" i="33"/>
  <c r="AO39" i="33" s="1"/>
  <c r="W39" i="33"/>
  <c r="AA40" i="33"/>
  <c r="AO40" i="33" s="1"/>
  <c r="W40" i="33"/>
  <c r="C58" i="59"/>
  <c r="C59" i="59"/>
  <c r="Y45" i="48"/>
  <c r="Y44" i="48"/>
  <c r="C52" i="49"/>
  <c r="G53" i="49"/>
  <c r="O72" i="48"/>
  <c r="P71" i="48"/>
  <c r="O76" i="48"/>
  <c r="O60" i="36"/>
  <c r="P60" i="36" s="1"/>
  <c r="P59" i="36"/>
  <c r="M54" i="31"/>
  <c r="I54" i="31"/>
  <c r="M55" i="31"/>
  <c r="I55" i="31"/>
  <c r="G54" i="31"/>
  <c r="X42" i="50"/>
  <c r="M49" i="36"/>
  <c r="I49" i="36"/>
  <c r="M50" i="36"/>
  <c r="I50" i="36"/>
  <c r="G49" i="36"/>
  <c r="O67" i="44"/>
  <c r="P66" i="44"/>
  <c r="O71" i="44"/>
  <c r="Y45" i="49"/>
  <c r="Y44" i="49"/>
  <c r="Q54" i="36"/>
  <c r="Q52" i="36"/>
  <c r="O72" i="42"/>
  <c r="P71" i="42"/>
  <c r="O76" i="42"/>
  <c r="C54" i="37"/>
  <c r="C53" i="37"/>
  <c r="A65" i="27"/>
  <c r="B65" i="27" s="1"/>
  <c r="B64" i="27"/>
  <c r="B76" i="34"/>
  <c r="A81" i="34"/>
  <c r="A77" i="34"/>
  <c r="X37" i="39"/>
  <c r="P79" i="32"/>
  <c r="O80" i="32"/>
  <c r="P80" i="32" s="1"/>
  <c r="O64" i="41"/>
  <c r="P63" i="41"/>
  <c r="Q63" i="41" s="1"/>
  <c r="CM136" i="61"/>
  <c r="A64" i="45"/>
  <c r="B63" i="45"/>
  <c r="O63" i="40"/>
  <c r="P62" i="40"/>
  <c r="X39" i="59"/>
  <c r="O55" i="44"/>
  <c r="P55" i="44" s="1"/>
  <c r="P54" i="44"/>
  <c r="C59" i="40"/>
  <c r="C58" i="40"/>
  <c r="B71" i="30"/>
  <c r="A76" i="30"/>
  <c r="A72" i="30"/>
  <c r="Y70" i="32"/>
  <c r="Y69" i="32"/>
  <c r="C47" i="44"/>
  <c r="G48" i="44"/>
  <c r="AH64" i="36"/>
  <c r="AL64" i="36"/>
  <c r="AH65" i="36"/>
  <c r="AI62" i="36"/>
  <c r="AL65" i="36"/>
  <c r="C47" i="47"/>
  <c r="G48" i="47"/>
  <c r="AX62" i="61"/>
  <c r="F4" i="25"/>
  <c r="C58" i="38"/>
  <c r="C59" i="38"/>
  <c r="B72" i="29"/>
  <c r="A73" i="29"/>
  <c r="X57" i="32"/>
  <c r="K4" i="38"/>
  <c r="R3" i="38"/>
  <c r="U8" i="38" s="1"/>
  <c r="H27" i="38"/>
  <c r="H15" i="38"/>
  <c r="AF4" i="38"/>
  <c r="R21" i="38"/>
  <c r="K5" i="38"/>
  <c r="R14" i="38"/>
  <c r="H4" i="46"/>
  <c r="K3" i="46"/>
  <c r="H28" i="37"/>
  <c r="H16" i="37"/>
  <c r="K7" i="37"/>
  <c r="AF9" i="37"/>
  <c r="K6" i="37"/>
  <c r="R15" i="37"/>
  <c r="AF5" i="37"/>
  <c r="R4" i="37"/>
  <c r="R22" i="37"/>
  <c r="U26" i="37" s="1"/>
  <c r="R15" i="42"/>
  <c r="AF5" i="42"/>
  <c r="R4" i="42"/>
  <c r="R22" i="42"/>
  <c r="U26" i="42" s="1"/>
  <c r="H28" i="42"/>
  <c r="H16" i="42"/>
  <c r="K7" i="42"/>
  <c r="AF9" i="42"/>
  <c r="K6" i="42"/>
  <c r="H4" i="32"/>
  <c r="K3" i="32"/>
  <c r="AF6" i="30"/>
  <c r="R23" i="30"/>
  <c r="R16" i="30"/>
  <c r="AF10" i="30"/>
  <c r="AI14" i="30" s="1"/>
  <c r="K8" i="30"/>
  <c r="R5" i="30"/>
  <c r="K9" i="30"/>
  <c r="K10" i="33"/>
  <c r="K11" i="33"/>
  <c r="R24" i="33"/>
  <c r="AF11" i="33"/>
  <c r="AF7" i="33"/>
  <c r="R6" i="33"/>
  <c r="AF9" i="38"/>
  <c r="K6" i="38"/>
  <c r="R15" i="38"/>
  <c r="AF5" i="38"/>
  <c r="R4" i="38"/>
  <c r="R22" i="38"/>
  <c r="U26" i="38" s="1"/>
  <c r="H28" i="38"/>
  <c r="H16" i="38"/>
  <c r="K7" i="38"/>
  <c r="R16" i="46"/>
  <c r="AF10" i="46"/>
  <c r="AI14" i="46" s="1"/>
  <c r="K8" i="46"/>
  <c r="R5" i="46"/>
  <c r="AF6" i="46"/>
  <c r="R23" i="46"/>
  <c r="K9" i="46"/>
  <c r="H16" i="44"/>
  <c r="R15" i="30"/>
  <c r="AF5" i="30"/>
  <c r="R4" i="30"/>
  <c r="R22" i="30"/>
  <c r="U26" i="30" s="1"/>
  <c r="H28" i="30"/>
  <c r="H16" i="30"/>
  <c r="K7" i="30"/>
  <c r="AF9" i="30"/>
  <c r="K6" i="30"/>
  <c r="H4" i="29"/>
  <c r="K3" i="29"/>
  <c r="R25" i="34"/>
  <c r="AF12" i="34"/>
  <c r="K4" i="32"/>
  <c r="R3" i="32"/>
  <c r="U8" i="32" s="1"/>
  <c r="R21" i="32"/>
  <c r="K5" i="32"/>
  <c r="AF4" i="32"/>
  <c r="H27" i="32"/>
  <c r="R14" i="32"/>
  <c r="H15" i="32"/>
  <c r="K3" i="44"/>
  <c r="H4" i="44"/>
  <c r="R14" i="37"/>
  <c r="H27" i="37"/>
  <c r="H15" i="37"/>
  <c r="AF4" i="37"/>
  <c r="R21" i="37"/>
  <c r="K5" i="37"/>
  <c r="K4" i="37"/>
  <c r="R3" i="37"/>
  <c r="U8" i="37" s="1"/>
  <c r="H7" i="31"/>
  <c r="H4" i="35"/>
  <c r="K3" i="35"/>
  <c r="K45" i="44"/>
  <c r="K44" i="44"/>
  <c r="G42" i="44"/>
  <c r="G42" i="26"/>
  <c r="K44" i="26"/>
  <c r="K45" i="26"/>
  <c r="X42" i="33"/>
  <c r="G42" i="43"/>
  <c r="K44" i="43"/>
  <c r="K45" i="43"/>
  <c r="K49" i="32"/>
  <c r="K50" i="32"/>
  <c r="G47" i="32"/>
  <c r="K45" i="27"/>
  <c r="K44" i="27"/>
  <c r="G42" i="27"/>
  <c r="K44" i="45"/>
  <c r="G42" i="45"/>
  <c r="K45" i="45"/>
  <c r="X37" i="45"/>
  <c r="Y50" i="26"/>
  <c r="Y49" i="26"/>
  <c r="CM132" i="61"/>
  <c r="B67" i="48"/>
  <c r="A68" i="48"/>
  <c r="AJ60" i="38"/>
  <c r="AJ59" i="38"/>
  <c r="O63" i="33"/>
  <c r="P62" i="33"/>
  <c r="P58" i="27"/>
  <c r="Q58" i="27" s="1"/>
  <c r="O59" i="27"/>
  <c r="AJ75" i="40"/>
  <c r="AJ74" i="40"/>
  <c r="Q52" i="47"/>
  <c r="Q54" i="47"/>
  <c r="AI62" i="34"/>
  <c r="AL64" i="34"/>
  <c r="AH64" i="34"/>
  <c r="AL65" i="34"/>
  <c r="AH65" i="34"/>
  <c r="P54" i="45"/>
  <c r="O55" i="45"/>
  <c r="P55" i="45" s="1"/>
  <c r="Q49" i="27"/>
  <c r="Q47" i="27"/>
  <c r="C54" i="36"/>
  <c r="C53" i="36"/>
  <c r="G48" i="46"/>
  <c r="C47" i="46"/>
  <c r="Y50" i="32"/>
  <c r="Y49" i="32"/>
  <c r="B67" i="36"/>
  <c r="A68" i="36"/>
  <c r="O68" i="47"/>
  <c r="P67" i="47"/>
  <c r="C47" i="31"/>
  <c r="G48" i="31"/>
  <c r="C59" i="31"/>
  <c r="C58" i="31"/>
  <c r="CF149" i="61"/>
  <c r="CD149" i="61"/>
  <c r="BY149" i="61"/>
  <c r="CG149" i="61"/>
  <c r="CH149" i="61"/>
  <c r="CE149" i="61"/>
  <c r="CI149" i="61"/>
  <c r="BU149" i="61"/>
  <c r="CB149" i="61"/>
  <c r="CJ149" i="61"/>
  <c r="CC149" i="61"/>
  <c r="CK149" i="61"/>
  <c r="CL149" i="61"/>
  <c r="BQ149" i="61"/>
  <c r="BZ149" i="61"/>
  <c r="CA149" i="61"/>
  <c r="BP149" i="61"/>
  <c r="BW149" i="61"/>
  <c r="BS149" i="61"/>
  <c r="BO149" i="61"/>
  <c r="BX149" i="61"/>
  <c r="BV149" i="61"/>
  <c r="BR149" i="61"/>
  <c r="BT149" i="61"/>
  <c r="BN149" i="61"/>
  <c r="M50" i="38"/>
  <c r="I50" i="38"/>
  <c r="G49" i="38"/>
  <c r="M49" i="38"/>
  <c r="I49" i="38"/>
  <c r="Y45" i="31"/>
  <c r="Y44" i="31"/>
  <c r="A66" i="59"/>
  <c r="B66" i="59" s="1"/>
  <c r="B65" i="59"/>
  <c r="Y39" i="32"/>
  <c r="Y40" i="32"/>
  <c r="O67" i="39"/>
  <c r="P66" i="39"/>
  <c r="O71" i="39"/>
  <c r="M54" i="33"/>
  <c r="I54" i="33"/>
  <c r="M55" i="33"/>
  <c r="I55" i="33"/>
  <c r="G54" i="33"/>
  <c r="Y50" i="48"/>
  <c r="Y49" i="48"/>
  <c r="G48" i="30"/>
  <c r="C47" i="30"/>
  <c r="Y45" i="42"/>
  <c r="Y44" i="42"/>
  <c r="P59" i="26"/>
  <c r="O60" i="26"/>
  <c r="P60" i="26" s="1"/>
  <c r="AL64" i="32"/>
  <c r="AH64" i="32"/>
  <c r="AL65" i="32"/>
  <c r="AH65" i="32"/>
  <c r="AI62" i="32"/>
  <c r="A69" i="41"/>
  <c r="B68" i="41"/>
  <c r="BU139" i="61"/>
  <c r="CA139" i="61"/>
  <c r="CE139" i="61"/>
  <c r="BQ139" i="61"/>
  <c r="CJ139" i="61"/>
  <c r="CK139" i="61"/>
  <c r="BZ139" i="61"/>
  <c r="BY139" i="61"/>
  <c r="CB139" i="61"/>
  <c r="CF139" i="61"/>
  <c r="CC139" i="61"/>
  <c r="CG139" i="61"/>
  <c r="CD139" i="61"/>
  <c r="CH139" i="61"/>
  <c r="CL139" i="61"/>
  <c r="CI139" i="61"/>
  <c r="BT139" i="61"/>
  <c r="BN139" i="61"/>
  <c r="BO139" i="61"/>
  <c r="BV139" i="61"/>
  <c r="BP139" i="61"/>
  <c r="BS139" i="61"/>
  <c r="BR139" i="61"/>
  <c r="BX139" i="61"/>
  <c r="BW139" i="61"/>
  <c r="AA55" i="34"/>
  <c r="AO55" i="34" s="1"/>
  <c r="W55" i="34"/>
  <c r="AA54" i="34"/>
  <c r="AO54" i="34" s="1"/>
  <c r="W54" i="34"/>
  <c r="CF138" i="61"/>
  <c r="BZ138" i="61"/>
  <c r="CD138" i="61"/>
  <c r="CA138" i="61"/>
  <c r="CB138" i="61"/>
  <c r="CG138" i="61"/>
  <c r="CH138" i="61"/>
  <c r="CL138" i="61"/>
  <c r="CE138" i="61"/>
  <c r="BU138" i="61"/>
  <c r="BY138" i="61"/>
  <c r="CJ138" i="61"/>
  <c r="CC138" i="61"/>
  <c r="CI138" i="61"/>
  <c r="BQ138" i="61"/>
  <c r="CK138" i="61"/>
  <c r="BP138" i="61"/>
  <c r="BX138" i="61"/>
  <c r="BW138" i="61"/>
  <c r="BV138" i="61"/>
  <c r="BS138" i="61"/>
  <c r="BR138" i="61"/>
  <c r="BO138" i="61"/>
  <c r="BN138" i="61"/>
  <c r="BT138" i="61"/>
  <c r="A69" i="29"/>
  <c r="B68" i="29"/>
  <c r="AC64" i="41"/>
  <c r="AD64" i="41" s="1"/>
  <c r="AD63" i="41"/>
  <c r="AC68" i="41"/>
  <c r="X37" i="29"/>
  <c r="AG4" i="61"/>
  <c r="AH3" i="61"/>
  <c r="B4" i="23"/>
  <c r="C6" i="50"/>
  <c r="R42" i="50" s="1"/>
  <c r="AP4" i="23"/>
  <c r="P54" i="46"/>
  <c r="O55" i="46"/>
  <c r="P55" i="46" s="1"/>
  <c r="AC73" i="48"/>
  <c r="AC69" i="48"/>
  <c r="AD69" i="48" s="1"/>
  <c r="AD68" i="48"/>
  <c r="Q47" i="45"/>
  <c r="Q49" i="45"/>
  <c r="M55" i="35"/>
  <c r="I55" i="35"/>
  <c r="G54" i="35"/>
  <c r="M54" i="35"/>
  <c r="I54" i="35"/>
  <c r="Y39" i="37"/>
  <c r="Y40" i="37"/>
  <c r="P67" i="26"/>
  <c r="O68" i="26"/>
  <c r="Q49" i="44"/>
  <c r="Q47" i="44"/>
  <c r="Q52" i="41"/>
  <c r="Q54" i="41"/>
  <c r="AA66" i="59"/>
  <c r="AQ66" i="59" s="1"/>
  <c r="AA65" i="59"/>
  <c r="AQ65" i="59" s="1"/>
  <c r="A81" i="31"/>
  <c r="A77" i="31"/>
  <c r="B76" i="31"/>
  <c r="AJ60" i="29"/>
  <c r="AJ59" i="29"/>
  <c r="C52" i="38"/>
  <c r="G53" i="38"/>
  <c r="B67" i="37"/>
  <c r="A68" i="37"/>
  <c r="C52" i="28"/>
  <c r="G53" i="28"/>
  <c r="AL65" i="27"/>
  <c r="AH65" i="27"/>
  <c r="AI62" i="27"/>
  <c r="AL64" i="27"/>
  <c r="AH64" i="27"/>
  <c r="AL65" i="31"/>
  <c r="AH65" i="31"/>
  <c r="AI62" i="31"/>
  <c r="AL64" i="31"/>
  <c r="AH64" i="31"/>
  <c r="M50" i="43"/>
  <c r="I49" i="43"/>
  <c r="I50" i="43"/>
  <c r="G49" i="43"/>
  <c r="M49" i="43"/>
  <c r="AL59" i="35"/>
  <c r="AH59" i="35"/>
  <c r="AL60" i="35"/>
  <c r="AH60" i="35"/>
  <c r="AI57" i="35"/>
  <c r="C52" i="32"/>
  <c r="G53" i="32"/>
  <c r="A64" i="36"/>
  <c r="B63" i="36"/>
  <c r="O63" i="31"/>
  <c r="P62" i="31"/>
  <c r="O64" i="47"/>
  <c r="P63" i="47"/>
  <c r="Q63" i="47" s="1"/>
  <c r="M49" i="27"/>
  <c r="I49" i="27"/>
  <c r="M50" i="27"/>
  <c r="I50" i="27"/>
  <c r="G49" i="27"/>
  <c r="AI62" i="45"/>
  <c r="AL64" i="45"/>
  <c r="AH64" i="45"/>
  <c r="AL65" i="45"/>
  <c r="AH65" i="45"/>
  <c r="G48" i="26"/>
  <c r="C47" i="26"/>
  <c r="X42" i="38"/>
  <c r="A73" i="27"/>
  <c r="B72" i="27"/>
  <c r="AI62" i="37"/>
  <c r="AL64" i="37"/>
  <c r="AH64" i="37"/>
  <c r="AL65" i="37"/>
  <c r="AH65" i="37"/>
  <c r="W55" i="43"/>
  <c r="AA54" i="43"/>
  <c r="AO54" i="43" s="1"/>
  <c r="AA55" i="43"/>
  <c r="AO55" i="43" s="1"/>
  <c r="W54" i="43"/>
  <c r="A65" i="41"/>
  <c r="B65" i="41" s="1"/>
  <c r="B64" i="41"/>
  <c r="AC64" i="47"/>
  <c r="AD64" i="47" s="1"/>
  <c r="AD63" i="47"/>
  <c r="AC68" i="47"/>
  <c r="M49" i="40"/>
  <c r="I49" i="40"/>
  <c r="M50" i="40"/>
  <c r="I50" i="40"/>
  <c r="G49" i="40"/>
  <c r="M49" i="33"/>
  <c r="I49" i="33"/>
  <c r="M50" i="33"/>
  <c r="I50" i="33"/>
  <c r="G49" i="33"/>
  <c r="G48" i="42"/>
  <c r="C47" i="42"/>
  <c r="X47" i="30"/>
  <c r="O60" i="42"/>
  <c r="P60" i="42" s="1"/>
  <c r="P59" i="42"/>
  <c r="C59" i="42"/>
  <c r="C58" i="42"/>
  <c r="BJ45" i="61"/>
  <c r="C59" i="50"/>
  <c r="C58" i="50"/>
  <c r="Q54" i="30"/>
  <c r="Q52" i="30"/>
  <c r="B76" i="32"/>
  <c r="A77" i="32"/>
  <c r="A81" i="32"/>
  <c r="M50" i="28"/>
  <c r="I50" i="28"/>
  <c r="G49" i="28"/>
  <c r="M49" i="28"/>
  <c r="I49" i="28"/>
  <c r="C42" i="41"/>
  <c r="G43" i="41"/>
  <c r="A65" i="47"/>
  <c r="B65" i="47" s="1"/>
  <c r="B64" i="47"/>
  <c r="A71" i="59"/>
  <c r="B70" i="59"/>
  <c r="Q72" i="32"/>
  <c r="Q74" i="32"/>
  <c r="O63" i="27"/>
  <c r="P62" i="27"/>
  <c r="AA55" i="39"/>
  <c r="AO55" i="39" s="1"/>
  <c r="W55" i="39"/>
  <c r="AA54" i="39"/>
  <c r="AO54" i="39" s="1"/>
  <c r="W54" i="39"/>
  <c r="C47" i="50"/>
  <c r="G48" i="50"/>
  <c r="Q49" i="31"/>
  <c r="Q47" i="31"/>
  <c r="A81" i="47"/>
  <c r="B76" i="47"/>
  <c r="A77" i="47"/>
  <c r="Q49" i="39"/>
  <c r="Q47" i="39"/>
  <c r="AL65" i="33"/>
  <c r="AH65" i="33"/>
  <c r="AI62" i="33"/>
  <c r="AL64" i="33"/>
  <c r="AH64" i="33"/>
  <c r="P67" i="38"/>
  <c r="O68" i="38"/>
  <c r="Y47" i="59"/>
  <c r="W48" i="59"/>
  <c r="W47" i="59"/>
  <c r="Y48" i="59"/>
  <c r="A69" i="35"/>
  <c r="B68" i="35"/>
  <c r="AC73" i="30"/>
  <c r="AC69" i="30"/>
  <c r="AD69" i="30" s="1"/>
  <c r="AD68" i="30"/>
  <c r="P62" i="43"/>
  <c r="O63" i="43"/>
  <c r="AA55" i="40"/>
  <c r="AO55" i="40" s="1"/>
  <c r="W55" i="40"/>
  <c r="AA54" i="40"/>
  <c r="AO54" i="40" s="1"/>
  <c r="W54" i="40"/>
  <c r="O59" i="45"/>
  <c r="P58" i="45"/>
  <c r="Q58" i="45" s="1"/>
  <c r="C42" i="31"/>
  <c r="G43" i="31"/>
  <c r="B71" i="43"/>
  <c r="A72" i="43"/>
  <c r="A76" i="43"/>
  <c r="P66" i="28"/>
  <c r="O71" i="28"/>
  <c r="O67" i="28"/>
  <c r="M54" i="42"/>
  <c r="I54" i="42"/>
  <c r="M55" i="42"/>
  <c r="I55" i="42"/>
  <c r="G54" i="42"/>
  <c r="O60" i="30"/>
  <c r="P60" i="30" s="1"/>
  <c r="P59" i="30"/>
  <c r="A65" i="50"/>
  <c r="B65" i="50" s="1"/>
  <c r="B64" i="50"/>
  <c r="X37" i="48"/>
  <c r="A60" i="26"/>
  <c r="B60" i="26" s="1"/>
  <c r="B59" i="26"/>
  <c r="AJ64" i="39"/>
  <c r="AJ65" i="39"/>
  <c r="A64" i="46"/>
  <c r="B63" i="46"/>
  <c r="Q47" i="34"/>
  <c r="Q49" i="34"/>
  <c r="A73" i="44"/>
  <c r="B72" i="44"/>
  <c r="Y45" i="36"/>
  <c r="Y44" i="36"/>
  <c r="X47" i="41"/>
  <c r="Y54" i="59"/>
  <c r="Y53" i="59"/>
  <c r="W54" i="59"/>
  <c r="W53" i="59"/>
  <c r="O76" i="29"/>
  <c r="O72" i="29"/>
  <c r="P71" i="29"/>
  <c r="AI62" i="50"/>
  <c r="AL64" i="50"/>
  <c r="AH64" i="50"/>
  <c r="AL65" i="50"/>
  <c r="AH65" i="50"/>
  <c r="G52" i="59"/>
  <c r="C51" i="59"/>
  <c r="AL60" i="44"/>
  <c r="AH60" i="44"/>
  <c r="AI57" i="44"/>
  <c r="AL59" i="44"/>
  <c r="AH59" i="44"/>
  <c r="T32" i="50"/>
  <c r="V32" i="50"/>
  <c r="Y55" i="32"/>
  <c r="Y54" i="32"/>
  <c r="M54" i="49"/>
  <c r="I54" i="49"/>
  <c r="M55" i="49"/>
  <c r="I55" i="49"/>
  <c r="G54" i="49"/>
  <c r="Y39" i="45"/>
  <c r="Y40" i="45"/>
  <c r="AA60" i="36"/>
  <c r="AO60" i="36" s="1"/>
  <c r="W60" i="36"/>
  <c r="AA59" i="36"/>
  <c r="AO59" i="36" s="1"/>
  <c r="W59" i="36"/>
  <c r="Q47" i="50"/>
  <c r="Q49" i="50"/>
  <c r="Y45" i="50"/>
  <c r="Y44" i="50"/>
  <c r="M55" i="41"/>
  <c r="I55" i="41"/>
  <c r="G54" i="41"/>
  <c r="M54" i="41"/>
  <c r="I54" i="41"/>
  <c r="X42" i="49"/>
  <c r="AA55" i="50"/>
  <c r="AO55" i="50" s="1"/>
  <c r="W55" i="50"/>
  <c r="AA54" i="50"/>
  <c r="AO54" i="50" s="1"/>
  <c r="W54" i="50"/>
  <c r="A60" i="45"/>
  <c r="B60" i="45" s="1"/>
  <c r="B59" i="45"/>
  <c r="AC69" i="49"/>
  <c r="AD69" i="49" s="1"/>
  <c r="AD68" i="49"/>
  <c r="AC73" i="49"/>
  <c r="AJ144" i="43"/>
  <c r="AJ145" i="43"/>
  <c r="X37" i="35"/>
  <c r="O59" i="28"/>
  <c r="P58" i="28"/>
  <c r="Q58" i="28" s="1"/>
  <c r="A69" i="49"/>
  <c r="B68" i="49"/>
  <c r="P66" i="40"/>
  <c r="O71" i="40"/>
  <c r="O67" i="40"/>
  <c r="O55" i="27"/>
  <c r="P55" i="27" s="1"/>
  <c r="P54" i="27"/>
  <c r="M50" i="35"/>
  <c r="I50" i="35"/>
  <c r="G49" i="35"/>
  <c r="M49" i="35"/>
  <c r="I49" i="35"/>
  <c r="A65" i="29"/>
  <c r="B65" i="29" s="1"/>
  <c r="B64" i="29"/>
  <c r="AA55" i="44"/>
  <c r="AO55" i="44" s="1"/>
  <c r="W55" i="44"/>
  <c r="AA54" i="44"/>
  <c r="AO54" i="44" s="1"/>
  <c r="W54" i="44"/>
  <c r="C42" i="32"/>
  <c r="G43" i="32"/>
  <c r="AA60" i="35"/>
  <c r="AO60" i="35" s="1"/>
  <c r="W60" i="35"/>
  <c r="AA59" i="35"/>
  <c r="AO59" i="35" s="1"/>
  <c r="W59" i="35"/>
  <c r="X42" i="35"/>
  <c r="C54" i="26"/>
  <c r="C53" i="26"/>
  <c r="M49" i="44"/>
  <c r="I49" i="44"/>
  <c r="M50" i="44"/>
  <c r="I50" i="44"/>
  <c r="G49" i="44"/>
  <c r="AC73" i="36"/>
  <c r="AD68" i="36"/>
  <c r="AC69" i="36"/>
  <c r="AD69" i="36" s="1"/>
  <c r="AJ65" i="26"/>
  <c r="AJ64" i="26"/>
  <c r="C54" i="30"/>
  <c r="C53" i="30"/>
  <c r="B72" i="41"/>
  <c r="A73" i="41"/>
  <c r="BU143" i="61"/>
  <c r="BQ143" i="61"/>
  <c r="CB143" i="61"/>
  <c r="CJ143" i="61"/>
  <c r="CK143" i="61"/>
  <c r="BZ143" i="61"/>
  <c r="CD143" i="61"/>
  <c r="CA143" i="61"/>
  <c r="CE143" i="61"/>
  <c r="CH143" i="61"/>
  <c r="CL143" i="61"/>
  <c r="BY143" i="61"/>
  <c r="CF143" i="61"/>
  <c r="CC143" i="61"/>
  <c r="CG143" i="61"/>
  <c r="CI143" i="61"/>
  <c r="BN143" i="61"/>
  <c r="BT143" i="61"/>
  <c r="BW143" i="61"/>
  <c r="BO143" i="61"/>
  <c r="BP143" i="61"/>
  <c r="BS143" i="61"/>
  <c r="BR143" i="61"/>
  <c r="BX143" i="61"/>
  <c r="BV143" i="61"/>
  <c r="CB135" i="61"/>
  <c r="CH135" i="61"/>
  <c r="CL135" i="61"/>
  <c r="CE135" i="61"/>
  <c r="BU135" i="61"/>
  <c r="BY135" i="61"/>
  <c r="CF135" i="61"/>
  <c r="CJ135" i="61"/>
  <c r="CC135" i="61"/>
  <c r="CG135" i="61"/>
  <c r="CI135" i="61"/>
  <c r="CK135" i="61"/>
  <c r="BQ135" i="61"/>
  <c r="BZ135" i="61"/>
  <c r="CD135" i="61"/>
  <c r="CA135" i="61"/>
  <c r="BN135" i="61"/>
  <c r="BP135" i="61"/>
  <c r="BS135" i="61"/>
  <c r="BR135" i="61"/>
  <c r="BX135" i="61"/>
  <c r="BT135" i="61"/>
  <c r="BO135" i="61"/>
  <c r="BW135" i="61"/>
  <c r="BV135" i="61"/>
  <c r="Y40" i="36"/>
  <c r="Y39" i="36"/>
  <c r="B76" i="29"/>
  <c r="A81" i="29"/>
  <c r="A77" i="29"/>
  <c r="X47" i="29"/>
  <c r="Y60" i="32"/>
  <c r="Y59" i="32"/>
  <c r="H4" i="41"/>
  <c r="K3" i="41"/>
  <c r="H4" i="48"/>
  <c r="K3" i="48"/>
  <c r="H28" i="46"/>
  <c r="H16" i="46"/>
  <c r="K7" i="46"/>
  <c r="R15" i="46"/>
  <c r="AF5" i="46"/>
  <c r="R4" i="46"/>
  <c r="R22" i="46"/>
  <c r="U26" i="46" s="1"/>
  <c r="K6" i="46"/>
  <c r="AF9" i="46"/>
  <c r="R16" i="37"/>
  <c r="AF10" i="37"/>
  <c r="AI14" i="37" s="1"/>
  <c r="K8" i="37"/>
  <c r="R5" i="37"/>
  <c r="K9" i="37"/>
  <c r="AF6" i="37"/>
  <c r="R23" i="37"/>
  <c r="AF12" i="49"/>
  <c r="R25" i="49"/>
  <c r="H4" i="28"/>
  <c r="K3" i="28"/>
  <c r="R22" i="33"/>
  <c r="U26" i="33" s="1"/>
  <c r="H28" i="33"/>
  <c r="H16" i="33"/>
  <c r="K7" i="33"/>
  <c r="AF9" i="33"/>
  <c r="K6" i="33"/>
  <c r="R15" i="33"/>
  <c r="AF5" i="33"/>
  <c r="R4" i="33"/>
  <c r="R14" i="34"/>
  <c r="K4" i="34"/>
  <c r="R3" i="34"/>
  <c r="U8" i="34" s="1"/>
  <c r="H27" i="34"/>
  <c r="H15" i="34"/>
  <c r="AF4" i="34"/>
  <c r="R21" i="34"/>
  <c r="K5" i="34"/>
  <c r="R25" i="32"/>
  <c r="AF12" i="32"/>
  <c r="R25" i="37"/>
  <c r="AF12" i="37"/>
  <c r="K3" i="33"/>
  <c r="H4" i="33"/>
  <c r="K9" i="38"/>
  <c r="AF6" i="38"/>
  <c r="R23" i="38"/>
  <c r="R16" i="38"/>
  <c r="AF10" i="38"/>
  <c r="AI14" i="38" s="1"/>
  <c r="K8" i="38"/>
  <c r="R5" i="38"/>
  <c r="H4" i="34"/>
  <c r="K3" i="34"/>
  <c r="R23" i="44"/>
  <c r="R16" i="44"/>
  <c r="AF10" i="44"/>
  <c r="AI14" i="44" s="1"/>
  <c r="K8" i="44"/>
  <c r="R5" i="44"/>
  <c r="K9" i="44"/>
  <c r="AF6" i="44"/>
  <c r="K5" i="49"/>
  <c r="H27" i="49"/>
  <c r="K11" i="34"/>
  <c r="R24" i="34"/>
  <c r="AF11" i="34"/>
  <c r="AF7" i="34"/>
  <c r="R6" i="34"/>
  <c r="K10" i="34"/>
  <c r="K9" i="32"/>
  <c r="K8" i="32"/>
  <c r="R23" i="32"/>
  <c r="R16" i="32"/>
  <c r="R5" i="32"/>
  <c r="AF10" i="32"/>
  <c r="AI14" i="32" s="1"/>
  <c r="AF6" i="32"/>
  <c r="AF6" i="42"/>
  <c r="R23" i="42"/>
  <c r="R16" i="42"/>
  <c r="AF10" i="42"/>
  <c r="AI14" i="42" s="1"/>
  <c r="K8" i="42"/>
  <c r="R5" i="42"/>
  <c r="K9" i="42"/>
  <c r="K3" i="27"/>
  <c r="H4" i="27"/>
  <c r="K3" i="31"/>
  <c r="H4" i="31"/>
  <c r="H4" i="39"/>
  <c r="K3" i="39"/>
  <c r="Y45" i="30"/>
  <c r="Y44" i="30"/>
  <c r="X42" i="48"/>
  <c r="G42" i="39"/>
  <c r="K45" i="39"/>
  <c r="K44" i="39"/>
  <c r="K44" i="35"/>
  <c r="G42" i="35"/>
  <c r="K45" i="35"/>
  <c r="X42" i="39"/>
  <c r="R4" i="49" l="1"/>
  <c r="K10" i="42"/>
  <c r="R22" i="49"/>
  <c r="U26" i="49" s="1"/>
  <c r="H15" i="44"/>
  <c r="R4" i="44"/>
  <c r="R22" i="44"/>
  <c r="U26" i="44" s="1"/>
  <c r="R3" i="44"/>
  <c r="U8" i="44" s="1"/>
  <c r="AA10" i="44" s="1"/>
  <c r="K44" i="48"/>
  <c r="R15" i="44"/>
  <c r="R14" i="44"/>
  <c r="G42" i="48"/>
  <c r="AF9" i="44"/>
  <c r="R21" i="44"/>
  <c r="K10" i="46"/>
  <c r="AF7" i="46"/>
  <c r="AG3" i="46" s="1"/>
  <c r="R14" i="42"/>
  <c r="AF9" i="49"/>
  <c r="AF12" i="44"/>
  <c r="R25" i="42"/>
  <c r="K5" i="46"/>
  <c r="R14" i="46"/>
  <c r="AF5" i="49"/>
  <c r="K7" i="49"/>
  <c r="AF11" i="42"/>
  <c r="R6" i="42"/>
  <c r="CM148" i="61"/>
  <c r="R3" i="46"/>
  <c r="U8" i="46" s="1"/>
  <c r="AA9" i="46" s="1"/>
  <c r="AF4" i="46"/>
  <c r="R15" i="49"/>
  <c r="H16" i="49"/>
  <c r="R24" i="42"/>
  <c r="AF7" i="42"/>
  <c r="K4" i="46"/>
  <c r="K6" i="49"/>
  <c r="K10" i="49"/>
  <c r="AF5" i="44"/>
  <c r="K7" i="44"/>
  <c r="AF4" i="44"/>
  <c r="K4" i="44"/>
  <c r="K6" i="44"/>
  <c r="H27" i="44"/>
  <c r="AF7" i="49"/>
  <c r="T37" i="50"/>
  <c r="D5" i="66"/>
  <c r="L6" i="66"/>
  <c r="D5" i="65"/>
  <c r="J5" i="66"/>
  <c r="B5" i="65" s="1"/>
  <c r="I5" i="66"/>
  <c r="BI137" i="61"/>
  <c r="H8" i="41" s="1"/>
  <c r="BH137" i="61"/>
  <c r="H7" i="41" s="1"/>
  <c r="BG137" i="61"/>
  <c r="H6" i="41" s="1"/>
  <c r="BJ137" i="61"/>
  <c r="H9" i="41" s="1"/>
  <c r="BL137" i="61"/>
  <c r="H11" i="41" s="1"/>
  <c r="BF137" i="61"/>
  <c r="H5" i="41" s="1"/>
  <c r="BK137" i="61"/>
  <c r="H10" i="41" s="1"/>
  <c r="AF13" i="41" s="1"/>
  <c r="O35" i="61"/>
  <c r="A6" i="64" s="1"/>
  <c r="R24" i="49"/>
  <c r="R6" i="49"/>
  <c r="K11" i="49"/>
  <c r="A4" i="65"/>
  <c r="AG8" i="28"/>
  <c r="BG135" i="61"/>
  <c r="H6" i="43" s="1"/>
  <c r="BJ135" i="61"/>
  <c r="H9" i="43" s="1"/>
  <c r="BL135" i="61"/>
  <c r="H11" i="43" s="1"/>
  <c r="BF135" i="61"/>
  <c r="H5" i="43" s="1"/>
  <c r="BK135" i="61"/>
  <c r="H10" i="43" s="1"/>
  <c r="AF13" i="43" s="1"/>
  <c r="BI135" i="61"/>
  <c r="H8" i="43" s="1"/>
  <c r="BH135" i="61"/>
  <c r="H7" i="43" s="1"/>
  <c r="BL133" i="61"/>
  <c r="BF133" i="61"/>
  <c r="BH133" i="61"/>
  <c r="BK133" i="61"/>
  <c r="BJ133" i="61"/>
  <c r="BG133" i="61"/>
  <c r="BI133" i="61"/>
  <c r="BH131" i="61"/>
  <c r="H7" i="47" s="1"/>
  <c r="BK131" i="61"/>
  <c r="H10" i="47" s="1"/>
  <c r="AF13" i="47" s="1"/>
  <c r="BJ131" i="61"/>
  <c r="H9" i="47" s="1"/>
  <c r="BG131" i="61"/>
  <c r="H6" i="47" s="1"/>
  <c r="BI131" i="61"/>
  <c r="H8" i="47" s="1"/>
  <c r="BL131" i="61"/>
  <c r="H11" i="47" s="1"/>
  <c r="BF131" i="61"/>
  <c r="H5" i="47" s="1"/>
  <c r="H15" i="49"/>
  <c r="R14" i="49"/>
  <c r="S14" i="49" s="1"/>
  <c r="R5" i="49"/>
  <c r="R23" i="49"/>
  <c r="R3" i="49"/>
  <c r="U8" i="49" s="1"/>
  <c r="R21" i="49"/>
  <c r="G45" i="59"/>
  <c r="AF6" i="49"/>
  <c r="AF10" i="49"/>
  <c r="AI14" i="49" s="1"/>
  <c r="BL130" i="61"/>
  <c r="H11" i="48" s="1"/>
  <c r="BG130" i="61"/>
  <c r="H6" i="48" s="1"/>
  <c r="BH130" i="61"/>
  <c r="H7" i="48" s="1"/>
  <c r="BF130" i="61"/>
  <c r="H5" i="48" s="1"/>
  <c r="BI130" i="61"/>
  <c r="H8" i="48" s="1"/>
  <c r="BK130" i="61"/>
  <c r="H10" i="48" s="1"/>
  <c r="AF13" i="48" s="1"/>
  <c r="BJ130" i="61"/>
  <c r="H9" i="48" s="1"/>
  <c r="AF4" i="49"/>
  <c r="I48" i="59"/>
  <c r="K9" i="49"/>
  <c r="CP154" i="61"/>
  <c r="DL154" i="61"/>
  <c r="X96" i="61" s="1"/>
  <c r="CV154" i="61"/>
  <c r="DE154" i="61"/>
  <c r="Q96" i="61" s="1"/>
  <c r="DK154" i="61"/>
  <c r="W96" i="61" s="1"/>
  <c r="CU154" i="61"/>
  <c r="DF154" i="61"/>
  <c r="R96" i="61" s="1"/>
  <c r="DH154" i="61"/>
  <c r="T96" i="61" s="1"/>
  <c r="CR154" i="61"/>
  <c r="DA154" i="61"/>
  <c r="M96" i="61" s="1"/>
  <c r="DG154" i="61"/>
  <c r="S96" i="61" s="1"/>
  <c r="CQ154" i="61"/>
  <c r="DB154" i="61"/>
  <c r="N96" i="61" s="1"/>
  <c r="DD154" i="61"/>
  <c r="P96" i="61" s="1"/>
  <c r="DM154" i="61"/>
  <c r="CW154" i="61"/>
  <c r="DC154" i="61"/>
  <c r="O96" i="61" s="1"/>
  <c r="DN154" i="61"/>
  <c r="Z96" i="61" s="1"/>
  <c r="CX154" i="61"/>
  <c r="CS154" i="61"/>
  <c r="DJ154" i="61"/>
  <c r="V96" i="61" s="1"/>
  <c r="CZ154" i="61"/>
  <c r="L96" i="61" s="1"/>
  <c r="DI154" i="61"/>
  <c r="U96" i="61" s="1"/>
  <c r="CY154" i="61"/>
  <c r="CT154" i="61"/>
  <c r="BG151" i="61"/>
  <c r="H6" i="27" s="1"/>
  <c r="BL151" i="61"/>
  <c r="H11" i="27" s="1"/>
  <c r="BJ151" i="61"/>
  <c r="H9" i="27" s="1"/>
  <c r="BF151" i="61"/>
  <c r="H5" i="27" s="1"/>
  <c r="BH151" i="61"/>
  <c r="H7" i="27" s="1"/>
  <c r="BK151" i="61"/>
  <c r="H10" i="27" s="1"/>
  <c r="AF13" i="27" s="1"/>
  <c r="BI151" i="61"/>
  <c r="H8" i="27" s="1"/>
  <c r="I47" i="59"/>
  <c r="AG8" i="49"/>
  <c r="AG35" i="50"/>
  <c r="AI35" i="50" s="1"/>
  <c r="AM35" i="50" s="1"/>
  <c r="AS35" i="50" s="1"/>
  <c r="K48" i="59"/>
  <c r="R32" i="48"/>
  <c r="D37" i="48"/>
  <c r="F37" i="48" s="1"/>
  <c r="AE33" i="48"/>
  <c r="AG33" i="48" s="1"/>
  <c r="AV6" i="25"/>
  <c r="Y5" i="25"/>
  <c r="AE7" i="61"/>
  <c r="C4" i="47"/>
  <c r="AP7" i="25"/>
  <c r="B7" i="25"/>
  <c r="H6" i="25"/>
  <c r="I6" i="25" s="1"/>
  <c r="D6" i="25"/>
  <c r="AP55" i="35"/>
  <c r="AP40" i="36"/>
  <c r="AP49" i="29"/>
  <c r="G42" i="49"/>
  <c r="K44" i="49"/>
  <c r="D42" i="49"/>
  <c r="F42" i="49" s="1"/>
  <c r="AP59" i="35"/>
  <c r="R35" i="61"/>
  <c r="B7" i="64" s="1"/>
  <c r="N35" i="61"/>
  <c r="B5" i="64" s="1"/>
  <c r="Q35" i="61"/>
  <c r="A7" i="64" s="1"/>
  <c r="AP35" i="26"/>
  <c r="AP54" i="36"/>
  <c r="AP54" i="29"/>
  <c r="AP50" i="40"/>
  <c r="AP34" i="35"/>
  <c r="AP39" i="28"/>
  <c r="AP50" i="28"/>
  <c r="AP49" i="26"/>
  <c r="AP55" i="26"/>
  <c r="AP39" i="36"/>
  <c r="AP55" i="36"/>
  <c r="AP54" i="26"/>
  <c r="AP40" i="39"/>
  <c r="AP34" i="26"/>
  <c r="AP54" i="40"/>
  <c r="AP40" i="28"/>
  <c r="AP59" i="26"/>
  <c r="AP60" i="26"/>
  <c r="AP39" i="40"/>
  <c r="AP60" i="35"/>
  <c r="AP34" i="36"/>
  <c r="AP35" i="29"/>
  <c r="AP35" i="28"/>
  <c r="AP34" i="39"/>
  <c r="AP55" i="40"/>
  <c r="AP34" i="40"/>
  <c r="AP35" i="36"/>
  <c r="S2" i="42"/>
  <c r="AA5" i="42" s="1"/>
  <c r="AP60" i="36"/>
  <c r="AP54" i="39"/>
  <c r="AP59" i="36"/>
  <c r="AP55" i="39"/>
  <c r="AP49" i="40"/>
  <c r="S2" i="44"/>
  <c r="AA4" i="44" s="1"/>
  <c r="S20" i="34"/>
  <c r="AA23" i="34" s="1"/>
  <c r="S2" i="38"/>
  <c r="AA4" i="38" s="1"/>
  <c r="AG8" i="40"/>
  <c r="AP59" i="29"/>
  <c r="AP49" i="30"/>
  <c r="AP55" i="29"/>
  <c r="AP40" i="29"/>
  <c r="S20" i="29"/>
  <c r="AB22" i="29" s="1"/>
  <c r="CM138" i="61"/>
  <c r="AP60" i="29"/>
  <c r="S20" i="35"/>
  <c r="AA22" i="35" s="1"/>
  <c r="AP40" i="40"/>
  <c r="AP50" i="39"/>
  <c r="AP49" i="33"/>
  <c r="AP39" i="29"/>
  <c r="AP50" i="29"/>
  <c r="AP34" i="30"/>
  <c r="AP40" i="38"/>
  <c r="AP35" i="35"/>
  <c r="AP50" i="26"/>
  <c r="AP34" i="28"/>
  <c r="AP50" i="33"/>
  <c r="AP34" i="37"/>
  <c r="AP74" i="32"/>
  <c r="AG8" i="34"/>
  <c r="AP10" i="34" s="1"/>
  <c r="AP39" i="30"/>
  <c r="M35" i="61"/>
  <c r="A5" i="64" s="1"/>
  <c r="AP40" i="42"/>
  <c r="CM150" i="61"/>
  <c r="AP39" i="26"/>
  <c r="AP49" i="28"/>
  <c r="AP35" i="39"/>
  <c r="AP40" i="26"/>
  <c r="AP54" i="35"/>
  <c r="S2" i="36"/>
  <c r="AP35" i="34"/>
  <c r="AP35" i="33"/>
  <c r="CM139" i="61"/>
  <c r="AP39" i="35"/>
  <c r="AP34" i="29"/>
  <c r="AP55" i="28"/>
  <c r="AG8" i="39"/>
  <c r="AP35" i="38"/>
  <c r="AG8" i="37"/>
  <c r="AP10" i="37" s="1"/>
  <c r="S2" i="37"/>
  <c r="AA4" i="37" s="1"/>
  <c r="CM149" i="61"/>
  <c r="AP50" i="37"/>
  <c r="AP34" i="32"/>
  <c r="AP49" i="39"/>
  <c r="AP40" i="35"/>
  <c r="AP35" i="40"/>
  <c r="AP39" i="39"/>
  <c r="AP54" i="28"/>
  <c r="AG8" i="26"/>
  <c r="AO10" i="26" s="1"/>
  <c r="S20" i="36"/>
  <c r="AA23" i="36" s="1"/>
  <c r="AM34" i="50"/>
  <c r="AS34" i="50" s="1"/>
  <c r="R13" i="31"/>
  <c r="AF3" i="31"/>
  <c r="H26" i="31"/>
  <c r="I26" i="31" s="1"/>
  <c r="M26" i="31" s="1"/>
  <c r="N26" i="31" s="1"/>
  <c r="N29" i="31" s="1"/>
  <c r="R2" i="31"/>
  <c r="H14" i="31"/>
  <c r="AO15" i="32"/>
  <c r="AJ14" i="32"/>
  <c r="AP15" i="32"/>
  <c r="AP16" i="32"/>
  <c r="AO16" i="32"/>
  <c r="AG5" i="34"/>
  <c r="AG3" i="34"/>
  <c r="AO16" i="44"/>
  <c r="AO15" i="44"/>
  <c r="S15" i="38"/>
  <c r="S13" i="38"/>
  <c r="S14" i="38"/>
  <c r="AG8" i="32"/>
  <c r="AP15" i="37"/>
  <c r="AO15" i="37"/>
  <c r="AJ14" i="37"/>
  <c r="AP16" i="37"/>
  <c r="AO16" i="37"/>
  <c r="H14" i="48"/>
  <c r="R13" i="48"/>
  <c r="AF3" i="48"/>
  <c r="H26" i="48"/>
  <c r="I26" i="48" s="1"/>
  <c r="M26" i="48" s="1"/>
  <c r="N26" i="48" s="1"/>
  <c r="R2" i="48"/>
  <c r="M55" i="26"/>
  <c r="I55" i="26"/>
  <c r="G54" i="26"/>
  <c r="I54" i="26"/>
  <c r="M54" i="26"/>
  <c r="K44" i="32"/>
  <c r="K45" i="32"/>
  <c r="G42" i="32"/>
  <c r="C63" i="29"/>
  <c r="C64" i="29"/>
  <c r="AP35" i="42"/>
  <c r="R47" i="50"/>
  <c r="Y50" i="50"/>
  <c r="Y49" i="50"/>
  <c r="I54" i="59"/>
  <c r="G51" i="59"/>
  <c r="K53" i="59"/>
  <c r="K54" i="59"/>
  <c r="I53" i="59"/>
  <c r="A74" i="44"/>
  <c r="B73" i="44"/>
  <c r="A65" i="46"/>
  <c r="B65" i="46" s="1"/>
  <c r="B64" i="46"/>
  <c r="P71" i="28"/>
  <c r="O76" i="28"/>
  <c r="O72" i="28"/>
  <c r="P63" i="43"/>
  <c r="Q63" i="43" s="1"/>
  <c r="O64" i="43"/>
  <c r="AC78" i="30"/>
  <c r="AC74" i="30"/>
  <c r="AD74" i="30" s="1"/>
  <c r="AD73" i="30"/>
  <c r="X47" i="39"/>
  <c r="P63" i="27"/>
  <c r="Q63" i="27" s="1"/>
  <c r="O64" i="27"/>
  <c r="Y55" i="30"/>
  <c r="Y54" i="30"/>
  <c r="A78" i="31"/>
  <c r="B77" i="31"/>
  <c r="M54" i="36"/>
  <c r="I54" i="36"/>
  <c r="M55" i="36"/>
  <c r="I55" i="36"/>
  <c r="G54" i="36"/>
  <c r="AF4" i="25"/>
  <c r="R2" i="35"/>
  <c r="H14" i="35"/>
  <c r="I16" i="35" s="1"/>
  <c r="J16" i="35" s="1"/>
  <c r="R13" i="35"/>
  <c r="AF3" i="35"/>
  <c r="AG4" i="35" s="1"/>
  <c r="H26" i="35"/>
  <c r="I26" i="35" s="1"/>
  <c r="M26" i="35" s="1"/>
  <c r="N26" i="35" s="1"/>
  <c r="N29" i="35" s="1"/>
  <c r="I22" i="32"/>
  <c r="I15" i="32"/>
  <c r="S15" i="46"/>
  <c r="AA27" i="38"/>
  <c r="V26" i="38"/>
  <c r="AB28" i="38"/>
  <c r="AA28" i="38"/>
  <c r="AB27" i="38"/>
  <c r="AG9" i="33"/>
  <c r="AI15" i="33"/>
  <c r="AA28" i="42"/>
  <c r="AA27" i="42"/>
  <c r="AA28" i="37"/>
  <c r="AB27" i="37"/>
  <c r="AA27" i="37"/>
  <c r="V26" i="37"/>
  <c r="AB28" i="37"/>
  <c r="A74" i="29"/>
  <c r="B73" i="29"/>
  <c r="G4" i="25"/>
  <c r="C57" i="40"/>
  <c r="G58" i="40"/>
  <c r="AP34" i="34"/>
  <c r="M55" i="37"/>
  <c r="I55" i="37"/>
  <c r="G54" i="37"/>
  <c r="M54" i="37"/>
  <c r="I54" i="37"/>
  <c r="O72" i="44"/>
  <c r="P71" i="44"/>
  <c r="O76" i="44"/>
  <c r="Q59" i="36"/>
  <c r="Q57" i="36"/>
  <c r="O77" i="48"/>
  <c r="P76" i="48"/>
  <c r="O81" i="48"/>
  <c r="K55" i="49"/>
  <c r="K54" i="49"/>
  <c r="G52" i="49"/>
  <c r="C57" i="59"/>
  <c r="G58" i="59"/>
  <c r="B76" i="45"/>
  <c r="A81" i="45"/>
  <c r="A77" i="45"/>
  <c r="P59" i="50"/>
  <c r="O60" i="50"/>
  <c r="P60" i="50" s="1"/>
  <c r="AL70" i="42"/>
  <c r="AH70" i="42"/>
  <c r="AI67" i="42"/>
  <c r="AL69" i="42"/>
  <c r="AH69" i="42"/>
  <c r="G53" i="39"/>
  <c r="C52" i="39"/>
  <c r="AA72" i="59"/>
  <c r="AQ72" i="59" s="1"/>
  <c r="AA71" i="59"/>
  <c r="AQ71" i="59" s="1"/>
  <c r="AP49" i="37"/>
  <c r="W59" i="59"/>
  <c r="Y60" i="59"/>
  <c r="Y59" i="59"/>
  <c r="W60" i="59"/>
  <c r="P71" i="34"/>
  <c r="O76" i="34"/>
  <c r="O72" i="34"/>
  <c r="O60" i="33"/>
  <c r="P60" i="33" s="1"/>
  <c r="P59" i="33"/>
  <c r="M55" i="43"/>
  <c r="I54" i="43"/>
  <c r="I55" i="43"/>
  <c r="G54" i="43"/>
  <c r="M54" i="43"/>
  <c r="M60" i="32"/>
  <c r="I60" i="32"/>
  <c r="G59" i="32"/>
  <c r="I59" i="32"/>
  <c r="M59" i="32"/>
  <c r="Y50" i="49"/>
  <c r="Y49" i="49"/>
  <c r="W65" i="36"/>
  <c r="AA65" i="36"/>
  <c r="AO65" i="36" s="1"/>
  <c r="AP65" i="36" s="1"/>
  <c r="AA64" i="36"/>
  <c r="AO64" i="36" s="1"/>
  <c r="W64" i="36"/>
  <c r="O68" i="50"/>
  <c r="P67" i="50"/>
  <c r="AC69" i="29"/>
  <c r="AD69" i="29" s="1"/>
  <c r="AD68" i="29"/>
  <c r="AC73" i="29"/>
  <c r="A74" i="31"/>
  <c r="B73" i="31"/>
  <c r="C64" i="34"/>
  <c r="C63" i="34"/>
  <c r="P72" i="30"/>
  <c r="O73" i="30"/>
  <c r="AP54" i="30"/>
  <c r="P63" i="49"/>
  <c r="Q63" i="49" s="1"/>
  <c r="O64" i="49"/>
  <c r="AJ80" i="40"/>
  <c r="AJ79" i="40"/>
  <c r="AP34" i="38"/>
  <c r="H14" i="43"/>
  <c r="H26" i="43"/>
  <c r="I26" i="43" s="1"/>
  <c r="M26" i="43" s="1"/>
  <c r="N26" i="43" s="1"/>
  <c r="R13" i="43"/>
  <c r="AF3" i="43"/>
  <c r="R2" i="43"/>
  <c r="AO16" i="49"/>
  <c r="AO15" i="49"/>
  <c r="AG5" i="44"/>
  <c r="AG5" i="38"/>
  <c r="AG3" i="38"/>
  <c r="AP15" i="34"/>
  <c r="AO15" i="34"/>
  <c r="AJ14" i="34"/>
  <c r="AP16" i="34"/>
  <c r="AO16" i="34"/>
  <c r="R13" i="49"/>
  <c r="AF3" i="49"/>
  <c r="H26" i="49"/>
  <c r="I26" i="49" s="1"/>
  <c r="M26" i="49" s="1"/>
  <c r="N26" i="49" s="1"/>
  <c r="R2" i="49"/>
  <c r="S2" i="49" s="1"/>
  <c r="H14" i="49"/>
  <c r="I16" i="49" s="1"/>
  <c r="J16" i="49" s="1"/>
  <c r="AG5" i="32"/>
  <c r="AG3" i="32"/>
  <c r="X47" i="33"/>
  <c r="P96" i="32"/>
  <c r="O101" i="32"/>
  <c r="O97" i="32"/>
  <c r="K49" i="29"/>
  <c r="G47" i="29"/>
  <c r="K50" i="29"/>
  <c r="A70" i="44"/>
  <c r="B70" i="44" s="1"/>
  <c r="B69" i="44"/>
  <c r="B72" i="39"/>
  <c r="A73" i="39"/>
  <c r="AP80" i="32"/>
  <c r="AP34" i="33"/>
  <c r="AL150" i="43"/>
  <c r="AH150" i="43"/>
  <c r="AI147" i="43"/>
  <c r="AL149" i="43"/>
  <c r="AH149" i="43"/>
  <c r="C59" i="46"/>
  <c r="C58" i="46"/>
  <c r="A74" i="34"/>
  <c r="B73" i="34"/>
  <c r="K55" i="31"/>
  <c r="K54" i="31"/>
  <c r="G52" i="31"/>
  <c r="B76" i="59"/>
  <c r="A77" i="59"/>
  <c r="AJ64" i="44"/>
  <c r="AJ65" i="44"/>
  <c r="AC74" i="50"/>
  <c r="AD74" i="50" s="1"/>
  <c r="AD73" i="50"/>
  <c r="AC78" i="50"/>
  <c r="A69" i="45"/>
  <c r="B68" i="45"/>
  <c r="P72" i="41"/>
  <c r="O73" i="41"/>
  <c r="Q57" i="29"/>
  <c r="Q59" i="29"/>
  <c r="A82" i="49"/>
  <c r="A86" i="49"/>
  <c r="B81" i="49"/>
  <c r="Q57" i="41"/>
  <c r="Q59" i="41"/>
  <c r="O64" i="34"/>
  <c r="P63" i="34"/>
  <c r="Q63" i="34" s="1"/>
  <c r="O68" i="27"/>
  <c r="P67" i="27"/>
  <c r="C64" i="40"/>
  <c r="C63" i="40"/>
  <c r="C57" i="34"/>
  <c r="G58" i="34"/>
  <c r="M60" i="35"/>
  <c r="I60" i="35"/>
  <c r="G59" i="35"/>
  <c r="M59" i="35"/>
  <c r="I59" i="35"/>
  <c r="AP54" i="33"/>
  <c r="M54" i="46"/>
  <c r="M55" i="46"/>
  <c r="I54" i="46"/>
  <c r="I55" i="46"/>
  <c r="G54" i="46"/>
  <c r="P59" i="43"/>
  <c r="O60" i="43"/>
  <c r="P60" i="43" s="1"/>
  <c r="O68" i="37"/>
  <c r="P67" i="37"/>
  <c r="AL70" i="31"/>
  <c r="AH70" i="31"/>
  <c r="AI67" i="31"/>
  <c r="AL69" i="31"/>
  <c r="AH69" i="31"/>
  <c r="C63" i="35"/>
  <c r="C64" i="35"/>
  <c r="CM151" i="61"/>
  <c r="K49" i="45"/>
  <c r="G47" i="45"/>
  <c r="K50" i="45"/>
  <c r="P84" i="32"/>
  <c r="O85" i="32"/>
  <c r="P85" i="32" s="1"/>
  <c r="B77" i="28"/>
  <c r="A78" i="28"/>
  <c r="P59" i="40"/>
  <c r="O60" i="40"/>
  <c r="P60" i="40" s="1"/>
  <c r="A65" i="39"/>
  <c r="B65" i="39" s="1"/>
  <c r="B64" i="39"/>
  <c r="CM130" i="61"/>
  <c r="O77" i="59"/>
  <c r="P76" i="59"/>
  <c r="Q76" i="59" s="1"/>
  <c r="AC74" i="34"/>
  <c r="AD74" i="34" s="1"/>
  <c r="AD73" i="34"/>
  <c r="AC78" i="34"/>
  <c r="AL64" i="38"/>
  <c r="AH64" i="38"/>
  <c r="AL65" i="38"/>
  <c r="AH65" i="38"/>
  <c r="AI62" i="38"/>
  <c r="K10" i="31"/>
  <c r="K11" i="31"/>
  <c r="R24" i="31"/>
  <c r="AF11" i="31"/>
  <c r="AF7" i="31"/>
  <c r="R6" i="31"/>
  <c r="R22" i="31"/>
  <c r="U26" i="31" s="1"/>
  <c r="H28" i="31"/>
  <c r="H16" i="31"/>
  <c r="K7" i="31"/>
  <c r="AF9" i="31"/>
  <c r="K6" i="31"/>
  <c r="R15" i="31"/>
  <c r="AF5" i="31"/>
  <c r="R4" i="31"/>
  <c r="AG8" i="38"/>
  <c r="AI15" i="30"/>
  <c r="AG9" i="30"/>
  <c r="S14" i="33"/>
  <c r="S15" i="33"/>
  <c r="S13" i="33"/>
  <c r="AA9" i="30"/>
  <c r="AB10" i="30"/>
  <c r="AA10" i="30"/>
  <c r="AB9" i="30"/>
  <c r="V8" i="30"/>
  <c r="U9" i="32"/>
  <c r="S3" i="32"/>
  <c r="AB10" i="33"/>
  <c r="AA10" i="33"/>
  <c r="AB9" i="33"/>
  <c r="V8" i="33"/>
  <c r="AA9" i="33"/>
  <c r="AP40" i="37"/>
  <c r="A74" i="33"/>
  <c r="B73" i="33"/>
  <c r="B81" i="41"/>
  <c r="A86" i="41"/>
  <c r="A82" i="41"/>
  <c r="Q57" i="35"/>
  <c r="Q59" i="35"/>
  <c r="B72" i="46"/>
  <c r="A73" i="46"/>
  <c r="P68" i="42"/>
  <c r="Q68" i="42" s="1"/>
  <c r="O69" i="42"/>
  <c r="AP34" i="42"/>
  <c r="K54" i="41"/>
  <c r="G52" i="41"/>
  <c r="K55" i="41"/>
  <c r="B81" i="59"/>
  <c r="A82" i="59"/>
  <c r="AP55" i="37"/>
  <c r="M60" i="29"/>
  <c r="I60" i="29"/>
  <c r="G59" i="29"/>
  <c r="M59" i="29"/>
  <c r="I59" i="29"/>
  <c r="A86" i="44"/>
  <c r="A82" i="44"/>
  <c r="B81" i="44"/>
  <c r="AA60" i="39"/>
  <c r="AO60" i="39" s="1"/>
  <c r="AP60" i="39" s="1"/>
  <c r="W60" i="39"/>
  <c r="AA59" i="39"/>
  <c r="AO59" i="39" s="1"/>
  <c r="AP59" i="39" s="1"/>
  <c r="W59" i="39"/>
  <c r="AP59" i="30"/>
  <c r="Q54" i="40"/>
  <c r="Q52" i="40"/>
  <c r="H37" i="49"/>
  <c r="M59" i="44"/>
  <c r="I59" i="44"/>
  <c r="M60" i="44"/>
  <c r="I60" i="44"/>
  <c r="G59" i="44"/>
  <c r="M59" i="27"/>
  <c r="I59" i="27"/>
  <c r="M60" i="27"/>
  <c r="I60" i="27"/>
  <c r="G59" i="27"/>
  <c r="A74" i="32"/>
  <c r="B73" i="32"/>
  <c r="AP54" i="38"/>
  <c r="CM133" i="61"/>
  <c r="M55" i="45"/>
  <c r="I55" i="45"/>
  <c r="G54" i="45"/>
  <c r="M54" i="45"/>
  <c r="I54" i="45"/>
  <c r="K49" i="37"/>
  <c r="G47" i="37"/>
  <c r="K50" i="37"/>
  <c r="A74" i="35"/>
  <c r="B73" i="35"/>
  <c r="A65" i="48"/>
  <c r="B65" i="48" s="1"/>
  <c r="B64" i="48"/>
  <c r="AP59" i="38"/>
  <c r="C57" i="33"/>
  <c r="G58" i="33"/>
  <c r="D38" i="49"/>
  <c r="AE34" i="49"/>
  <c r="R33" i="49"/>
  <c r="AE38" i="49"/>
  <c r="R37" i="49"/>
  <c r="AI67" i="32"/>
  <c r="AL69" i="32"/>
  <c r="AH69" i="32"/>
  <c r="AL70" i="32"/>
  <c r="AH70" i="32"/>
  <c r="Y50" i="40"/>
  <c r="Y49" i="40"/>
  <c r="AI87" i="46"/>
  <c r="AL89" i="46"/>
  <c r="AH89" i="46"/>
  <c r="AH90" i="46"/>
  <c r="AL90" i="46"/>
  <c r="AP50" i="46"/>
  <c r="AI67" i="28"/>
  <c r="AL69" i="28"/>
  <c r="AH69" i="28"/>
  <c r="AL70" i="28"/>
  <c r="AH70" i="28"/>
  <c r="O72" i="49"/>
  <c r="P71" i="49"/>
  <c r="O76" i="49"/>
  <c r="A73" i="36"/>
  <c r="B72" i="36"/>
  <c r="AP40" i="46"/>
  <c r="B76" i="48"/>
  <c r="A81" i="48"/>
  <c r="A77" i="48"/>
  <c r="X52" i="35"/>
  <c r="AG5" i="35"/>
  <c r="AG3" i="35"/>
  <c r="U9" i="39"/>
  <c r="S3" i="39"/>
  <c r="AI15" i="29"/>
  <c r="AG9" i="29"/>
  <c r="AA27" i="35"/>
  <c r="V26" i="35"/>
  <c r="AB28" i="35"/>
  <c r="AA28" i="35"/>
  <c r="AB27" i="35"/>
  <c r="AG5" i="28"/>
  <c r="AG3" i="28"/>
  <c r="U27" i="28"/>
  <c r="S21" i="28"/>
  <c r="U27" i="26"/>
  <c r="S21" i="26"/>
  <c r="AP16" i="26"/>
  <c r="AP15" i="26"/>
  <c r="AO15" i="26"/>
  <c r="AJ14" i="26"/>
  <c r="AO16" i="26"/>
  <c r="AP16" i="36"/>
  <c r="AO16" i="36"/>
  <c r="AP15" i="36"/>
  <c r="AO15" i="36"/>
  <c r="AJ14" i="36"/>
  <c r="AA9" i="36"/>
  <c r="AB10" i="36"/>
  <c r="AA10" i="36"/>
  <c r="AB9" i="36"/>
  <c r="V8" i="36"/>
  <c r="I22" i="29"/>
  <c r="I15" i="29"/>
  <c r="S2" i="39"/>
  <c r="U27" i="39"/>
  <c r="S21" i="39"/>
  <c r="AI15" i="36"/>
  <c r="AG9" i="36"/>
  <c r="S3" i="26"/>
  <c r="U9" i="26"/>
  <c r="AA10" i="35"/>
  <c r="AB9" i="35"/>
  <c r="V8" i="35"/>
  <c r="AA9" i="35"/>
  <c r="AB10" i="35"/>
  <c r="AB10" i="28"/>
  <c r="AA10" i="28"/>
  <c r="AB9" i="28"/>
  <c r="V8" i="28"/>
  <c r="AA9" i="28"/>
  <c r="AG5" i="40"/>
  <c r="AG3" i="40"/>
  <c r="S13" i="40"/>
  <c r="S14" i="40"/>
  <c r="S15" i="40"/>
  <c r="S20" i="39"/>
  <c r="AG3" i="39"/>
  <c r="AG5" i="39"/>
  <c r="AB28" i="36"/>
  <c r="AA28" i="36"/>
  <c r="AB27" i="36"/>
  <c r="AA27" i="36"/>
  <c r="V26" i="36"/>
  <c r="S2" i="29"/>
  <c r="U27" i="29"/>
  <c r="S21" i="29"/>
  <c r="S13" i="42"/>
  <c r="S14" i="42"/>
  <c r="S15" i="42"/>
  <c r="H26" i="34"/>
  <c r="I26" i="34" s="1"/>
  <c r="M26" i="34" s="1"/>
  <c r="N26" i="34" s="1"/>
  <c r="N29" i="34" s="1"/>
  <c r="R2" i="34"/>
  <c r="H14" i="34"/>
  <c r="I16" i="34" s="1"/>
  <c r="J16" i="34" s="1"/>
  <c r="R13" i="34"/>
  <c r="AF3" i="34"/>
  <c r="AG4" i="34" s="1"/>
  <c r="R13" i="33"/>
  <c r="AF3" i="33"/>
  <c r="AG4" i="33" s="1"/>
  <c r="H26" i="33"/>
  <c r="I26" i="33" s="1"/>
  <c r="M26" i="33" s="1"/>
  <c r="N26" i="33" s="1"/>
  <c r="N29" i="33" s="1"/>
  <c r="R2" i="33"/>
  <c r="H14" i="33"/>
  <c r="AP45" i="34"/>
  <c r="AP44" i="34"/>
  <c r="H26" i="28"/>
  <c r="I26" i="28" s="1"/>
  <c r="M26" i="28" s="1"/>
  <c r="N26" i="28" s="1"/>
  <c r="N29" i="28" s="1"/>
  <c r="R2" i="28"/>
  <c r="H14" i="28"/>
  <c r="I16" i="28" s="1"/>
  <c r="J16" i="28" s="1"/>
  <c r="R13" i="28"/>
  <c r="AF3" i="28"/>
  <c r="AG4" i="28" s="1"/>
  <c r="AA28" i="46"/>
  <c r="AA27" i="46"/>
  <c r="B77" i="29"/>
  <c r="A78" i="29"/>
  <c r="CM135" i="61"/>
  <c r="AJ69" i="49"/>
  <c r="AJ70" i="49"/>
  <c r="P59" i="45"/>
  <c r="O60" i="45"/>
  <c r="P60" i="45" s="1"/>
  <c r="X72" i="32"/>
  <c r="K44" i="41"/>
  <c r="G42" i="41"/>
  <c r="K45" i="41"/>
  <c r="M59" i="42"/>
  <c r="I59" i="42"/>
  <c r="M60" i="42"/>
  <c r="I60" i="42"/>
  <c r="G59" i="42"/>
  <c r="AC69" i="47"/>
  <c r="AD69" i="47" s="1"/>
  <c r="AD68" i="47"/>
  <c r="AC73" i="47"/>
  <c r="C63" i="41"/>
  <c r="C64" i="41"/>
  <c r="P63" i="31"/>
  <c r="Q63" i="31" s="1"/>
  <c r="O64" i="31"/>
  <c r="O69" i="26"/>
  <c r="P68" i="26"/>
  <c r="Q68" i="26" s="1"/>
  <c r="AL70" i="48"/>
  <c r="AH70" i="48"/>
  <c r="AI67" i="48"/>
  <c r="AL69" i="48"/>
  <c r="AH69" i="48"/>
  <c r="H4" i="23"/>
  <c r="I4" i="23" s="1"/>
  <c r="D4" i="23"/>
  <c r="AL64" i="41"/>
  <c r="AH64" i="41"/>
  <c r="AL65" i="41"/>
  <c r="AH65" i="41"/>
  <c r="AI62" i="41"/>
  <c r="P67" i="39"/>
  <c r="O68" i="39"/>
  <c r="A69" i="36"/>
  <c r="B68" i="36"/>
  <c r="U27" i="42"/>
  <c r="S21" i="42"/>
  <c r="S2" i="32"/>
  <c r="AG9" i="34"/>
  <c r="AI15" i="34"/>
  <c r="I22" i="49"/>
  <c r="I15" i="49"/>
  <c r="S14" i="44"/>
  <c r="S15" i="44"/>
  <c r="S13" i="44"/>
  <c r="U27" i="38"/>
  <c r="S21" i="38"/>
  <c r="I22" i="34"/>
  <c r="I15" i="34"/>
  <c r="S15" i="37"/>
  <c r="S13" i="37"/>
  <c r="S14" i="37"/>
  <c r="S3" i="46"/>
  <c r="U9" i="46"/>
  <c r="B81" i="29"/>
  <c r="A86" i="29"/>
  <c r="A82" i="29"/>
  <c r="CM143" i="61"/>
  <c r="AL70" i="36"/>
  <c r="AH69" i="36"/>
  <c r="AL69" i="36"/>
  <c r="AH70" i="36"/>
  <c r="AI67" i="36"/>
  <c r="AL70" i="49"/>
  <c r="AH70" i="49"/>
  <c r="AI67" i="49"/>
  <c r="AL69" i="49"/>
  <c r="AH69" i="49"/>
  <c r="C59" i="45"/>
  <c r="C58" i="45"/>
  <c r="X47" i="34"/>
  <c r="C59" i="26"/>
  <c r="C58" i="26"/>
  <c r="C64" i="50"/>
  <c r="C63" i="50"/>
  <c r="K45" i="31"/>
  <c r="K44" i="31"/>
  <c r="G42" i="31"/>
  <c r="B77" i="47"/>
  <c r="A78" i="47"/>
  <c r="Y75" i="32"/>
  <c r="Y74" i="32"/>
  <c r="AP50" i="32"/>
  <c r="C64" i="47"/>
  <c r="C63" i="47"/>
  <c r="B81" i="32"/>
  <c r="A82" i="32"/>
  <c r="A86" i="32"/>
  <c r="X52" i="30"/>
  <c r="Q59" i="42"/>
  <c r="Q57" i="42"/>
  <c r="G47" i="42"/>
  <c r="K50" i="42"/>
  <c r="K49" i="42"/>
  <c r="AJ65" i="47"/>
  <c r="AJ64" i="47"/>
  <c r="AA65" i="47"/>
  <c r="AO65" i="47" s="1"/>
  <c r="W65" i="47"/>
  <c r="AA64" i="47"/>
  <c r="AO64" i="47" s="1"/>
  <c r="W64" i="47"/>
  <c r="K54" i="32"/>
  <c r="K55" i="32"/>
  <c r="G52" i="32"/>
  <c r="K54" i="28"/>
  <c r="G52" i="28"/>
  <c r="K55" i="28"/>
  <c r="A86" i="31"/>
  <c r="A82" i="31"/>
  <c r="B81" i="31"/>
  <c r="X47" i="45"/>
  <c r="AC78" i="48"/>
  <c r="AC74" i="48"/>
  <c r="AD74" i="48" s="1"/>
  <c r="AD73" i="48"/>
  <c r="Q52" i="46"/>
  <c r="Q54" i="46"/>
  <c r="AH4" i="61"/>
  <c r="AI3" i="61"/>
  <c r="C7" i="50"/>
  <c r="AP4" i="22"/>
  <c r="B4" i="22"/>
  <c r="AP54" i="34"/>
  <c r="Q57" i="26"/>
  <c r="Q59" i="26"/>
  <c r="O69" i="47"/>
  <c r="P68" i="47"/>
  <c r="Q68" i="47" s="1"/>
  <c r="G47" i="46"/>
  <c r="K49" i="46"/>
  <c r="K50" i="46"/>
  <c r="Y50" i="27"/>
  <c r="Y49" i="27"/>
  <c r="AP40" i="34"/>
  <c r="X52" i="47"/>
  <c r="P63" i="33"/>
  <c r="Q63" i="33" s="1"/>
  <c r="O64" i="33"/>
  <c r="R23" i="31"/>
  <c r="R16" i="31"/>
  <c r="AF10" i="31"/>
  <c r="AI14" i="31" s="1"/>
  <c r="K8" i="31"/>
  <c r="R5" i="31"/>
  <c r="K9" i="31"/>
  <c r="AF6" i="31"/>
  <c r="AB28" i="30"/>
  <c r="AA28" i="30"/>
  <c r="AB27" i="30"/>
  <c r="AA27" i="30"/>
  <c r="V26" i="30"/>
  <c r="U9" i="44"/>
  <c r="S3" i="44"/>
  <c r="AA28" i="44"/>
  <c r="AA27" i="44"/>
  <c r="U9" i="38"/>
  <c r="S3" i="38"/>
  <c r="S20" i="33"/>
  <c r="AG8" i="42"/>
  <c r="AP16" i="30"/>
  <c r="AO16" i="30"/>
  <c r="AP15" i="30"/>
  <c r="AO15" i="30"/>
  <c r="AJ14" i="30"/>
  <c r="U9" i="42"/>
  <c r="S3" i="42"/>
  <c r="S4" i="42" s="1"/>
  <c r="S3" i="37"/>
  <c r="U9" i="37"/>
  <c r="AA10" i="38"/>
  <c r="AB9" i="38"/>
  <c r="V8" i="38"/>
  <c r="AA9" i="38"/>
  <c r="AB10" i="38"/>
  <c r="K49" i="47"/>
  <c r="G47" i="47"/>
  <c r="K50" i="47"/>
  <c r="B72" i="30"/>
  <c r="A73" i="30"/>
  <c r="M60" i="40"/>
  <c r="I60" i="40"/>
  <c r="G59" i="40"/>
  <c r="M59" i="40"/>
  <c r="I59" i="40"/>
  <c r="AP35" i="30"/>
  <c r="Q54" i="44"/>
  <c r="Q52" i="44"/>
  <c r="AA65" i="41"/>
  <c r="AO65" i="41" s="1"/>
  <c r="W65" i="41"/>
  <c r="AA64" i="41"/>
  <c r="AO64" i="41" s="1"/>
  <c r="W64" i="41"/>
  <c r="O77" i="42"/>
  <c r="P76" i="42"/>
  <c r="O81" i="42"/>
  <c r="AP39" i="33"/>
  <c r="A70" i="50"/>
  <c r="B70" i="50" s="1"/>
  <c r="B69" i="50"/>
  <c r="O69" i="29"/>
  <c r="P68" i="29"/>
  <c r="Q68" i="29" s="1"/>
  <c r="P59" i="46"/>
  <c r="O60" i="46"/>
  <c r="P60" i="46" s="1"/>
  <c r="X47" i="43"/>
  <c r="AC78" i="42"/>
  <c r="AC74" i="42"/>
  <c r="AD74" i="42" s="1"/>
  <c r="AD73" i="42"/>
  <c r="CM137" i="61"/>
  <c r="M54" i="39"/>
  <c r="I54" i="39"/>
  <c r="M55" i="39"/>
  <c r="I55" i="39"/>
  <c r="G54" i="39"/>
  <c r="O72" i="59"/>
  <c r="P72" i="59" s="1"/>
  <c r="P71" i="59"/>
  <c r="P71" i="43"/>
  <c r="O72" i="43"/>
  <c r="O76" i="43"/>
  <c r="X57" i="59"/>
  <c r="A74" i="47"/>
  <c r="B73" i="47"/>
  <c r="M60" i="41"/>
  <c r="I60" i="41"/>
  <c r="G59" i="41"/>
  <c r="M59" i="41"/>
  <c r="I59" i="41"/>
  <c r="AA60" i="33"/>
  <c r="AO60" i="33" s="1"/>
  <c r="AP60" i="33" s="1"/>
  <c r="W60" i="33"/>
  <c r="AA59" i="33"/>
  <c r="AO59" i="33" s="1"/>
  <c r="AP59" i="33" s="1"/>
  <c r="W59" i="33"/>
  <c r="CM147" i="61"/>
  <c r="AA65" i="35"/>
  <c r="AO65" i="35" s="1"/>
  <c r="AP65" i="35" s="1"/>
  <c r="W65" i="35"/>
  <c r="AA64" i="35"/>
  <c r="AO64" i="35" s="1"/>
  <c r="AP64" i="35" s="1"/>
  <c r="W64" i="35"/>
  <c r="C59" i="37"/>
  <c r="C58" i="37"/>
  <c r="K49" i="28"/>
  <c r="G47" i="28"/>
  <c r="K50" i="28"/>
  <c r="AP55" i="49"/>
  <c r="C63" i="38"/>
  <c r="C64" i="38"/>
  <c r="AL78" i="59"/>
  <c r="AL77" i="59"/>
  <c r="C57" i="32"/>
  <c r="G58" i="32"/>
  <c r="AP55" i="38"/>
  <c r="X47" i="49"/>
  <c r="A70" i="28"/>
  <c r="B70" i="28" s="1"/>
  <c r="B69" i="28"/>
  <c r="P71" i="50"/>
  <c r="O76" i="50"/>
  <c r="O72" i="50"/>
  <c r="C64" i="28"/>
  <c r="C63" i="28"/>
  <c r="O65" i="42"/>
  <c r="P65" i="42" s="1"/>
  <c r="P64" i="42"/>
  <c r="K44" i="38"/>
  <c r="G42" i="38"/>
  <c r="K45" i="38"/>
  <c r="AJ65" i="29"/>
  <c r="AJ64" i="29"/>
  <c r="P81" i="59"/>
  <c r="O82" i="59"/>
  <c r="K54" i="47"/>
  <c r="G52" i="47"/>
  <c r="K55" i="47"/>
  <c r="AI77" i="40"/>
  <c r="AL79" i="40"/>
  <c r="AH79" i="40"/>
  <c r="AL80" i="40"/>
  <c r="AH80" i="40"/>
  <c r="AF12" i="31"/>
  <c r="R25" i="31"/>
  <c r="S15" i="49"/>
  <c r="AG9" i="44"/>
  <c r="AI15" i="44"/>
  <c r="AI15" i="38"/>
  <c r="AG9" i="38"/>
  <c r="AA9" i="42"/>
  <c r="AA10" i="42"/>
  <c r="S15" i="34"/>
  <c r="S13" i="34"/>
  <c r="S14" i="34"/>
  <c r="AG8" i="33"/>
  <c r="H26" i="37"/>
  <c r="I26" i="37" s="1"/>
  <c r="M26" i="37" s="1"/>
  <c r="N26" i="37" s="1"/>
  <c r="N29" i="37" s="1"/>
  <c r="H14" i="37"/>
  <c r="I16" i="37" s="1"/>
  <c r="J16" i="37" s="1"/>
  <c r="R13" i="37"/>
  <c r="AF3" i="37"/>
  <c r="AG4" i="37" s="1"/>
  <c r="R2" i="37"/>
  <c r="H14" i="36"/>
  <c r="I16" i="36" s="1"/>
  <c r="J16" i="36" s="1"/>
  <c r="R13" i="36"/>
  <c r="AF3" i="36"/>
  <c r="AG4" i="36" s="1"/>
  <c r="H26" i="36"/>
  <c r="I26" i="36" s="1"/>
  <c r="M26" i="36" s="1"/>
  <c r="N26" i="36" s="1"/>
  <c r="N29" i="36" s="1"/>
  <c r="R2" i="36"/>
  <c r="T2" i="36" s="1"/>
  <c r="A78" i="33"/>
  <c r="B77" i="33"/>
  <c r="AJ70" i="26"/>
  <c r="AJ69" i="26"/>
  <c r="A69" i="30"/>
  <c r="B68" i="30"/>
  <c r="A69" i="46"/>
  <c r="B68" i="46"/>
  <c r="B76" i="39"/>
  <c r="A81" i="39"/>
  <c r="A77" i="39"/>
  <c r="AP35" i="46"/>
  <c r="O60" i="31"/>
  <c r="P60" i="31" s="1"/>
  <c r="P59" i="31"/>
  <c r="G47" i="36"/>
  <c r="K50" i="36"/>
  <c r="K49" i="36"/>
  <c r="Q52" i="37"/>
  <c r="Q54" i="37"/>
  <c r="AL65" i="44"/>
  <c r="AH65" i="44"/>
  <c r="AI62" i="44"/>
  <c r="AL64" i="44"/>
  <c r="AH64" i="44"/>
  <c r="AJ70" i="50"/>
  <c r="AJ69" i="50"/>
  <c r="AP39" i="32"/>
  <c r="AJ69" i="39"/>
  <c r="AJ70" i="39"/>
  <c r="O81" i="41"/>
  <c r="O77" i="41"/>
  <c r="P76" i="41"/>
  <c r="F4" i="24"/>
  <c r="AC74" i="33"/>
  <c r="AD74" i="33" s="1"/>
  <c r="AD73" i="33"/>
  <c r="AC78" i="33"/>
  <c r="C64" i="49"/>
  <c r="C63" i="49"/>
  <c r="A74" i="50"/>
  <c r="B73" i="50"/>
  <c r="F42" i="50"/>
  <c r="K54" i="29"/>
  <c r="G52" i="29"/>
  <c r="K55" i="29"/>
  <c r="O68" i="46"/>
  <c r="P67" i="46"/>
  <c r="M60" i="34"/>
  <c r="I60" i="34"/>
  <c r="G59" i="34"/>
  <c r="M59" i="34"/>
  <c r="I59" i="34"/>
  <c r="C57" i="35"/>
  <c r="G58" i="35"/>
  <c r="AC74" i="37"/>
  <c r="AD74" i="37" s="1"/>
  <c r="AD73" i="37"/>
  <c r="AC78" i="37"/>
  <c r="O64" i="50"/>
  <c r="P63" i="50"/>
  <c r="Q63" i="50" s="1"/>
  <c r="A65" i="43"/>
  <c r="B65" i="43" s="1"/>
  <c r="B64" i="43"/>
  <c r="AC74" i="45"/>
  <c r="AD74" i="45" s="1"/>
  <c r="AD73" i="45"/>
  <c r="AC78" i="45"/>
  <c r="O72" i="31"/>
  <c r="P71" i="31"/>
  <c r="O76" i="31"/>
  <c r="W60" i="43"/>
  <c r="AA59" i="43"/>
  <c r="AO59" i="43" s="1"/>
  <c r="AA60" i="43"/>
  <c r="AO60" i="43" s="1"/>
  <c r="W59" i="43"/>
  <c r="AC69" i="35"/>
  <c r="AD69" i="35" s="1"/>
  <c r="AD68" i="35"/>
  <c r="AC73" i="35"/>
  <c r="P71" i="37"/>
  <c r="O76" i="37"/>
  <c r="O72" i="37"/>
  <c r="AC74" i="27"/>
  <c r="AD74" i="27" s="1"/>
  <c r="AD73" i="27"/>
  <c r="AC78" i="27"/>
  <c r="K54" i="34"/>
  <c r="G52" i="34"/>
  <c r="K55" i="34"/>
  <c r="G47" i="48"/>
  <c r="K50" i="48"/>
  <c r="K49" i="48"/>
  <c r="O60" i="44"/>
  <c r="P60" i="44" s="1"/>
  <c r="P59" i="44"/>
  <c r="A70" i="38"/>
  <c r="B70" i="38" s="1"/>
  <c r="B69" i="38"/>
  <c r="O65" i="48"/>
  <c r="P65" i="48" s="1"/>
  <c r="P64" i="48"/>
  <c r="O69" i="35"/>
  <c r="P68" i="35"/>
  <c r="Q68" i="35" s="1"/>
  <c r="A70" i="32"/>
  <c r="B70" i="32" s="1"/>
  <c r="B69" i="32"/>
  <c r="X52" i="38"/>
  <c r="C64" i="33"/>
  <c r="C63" i="33"/>
  <c r="B81" i="28"/>
  <c r="A86" i="28"/>
  <c r="A82" i="28"/>
  <c r="AJ70" i="34"/>
  <c r="AJ69" i="34"/>
  <c r="O68" i="33"/>
  <c r="P67" i="33"/>
  <c r="AP50" i="30"/>
  <c r="AG8" i="30"/>
  <c r="S20" i="30"/>
  <c r="AG3" i="30"/>
  <c r="AG5" i="30"/>
  <c r="AG3" i="37"/>
  <c r="AG5" i="37"/>
  <c r="S2" i="33"/>
  <c r="U27" i="33"/>
  <c r="S21" i="33"/>
  <c r="AG5" i="49"/>
  <c r="AG3" i="49"/>
  <c r="AP45" i="30"/>
  <c r="AP44" i="30"/>
  <c r="AA27" i="32"/>
  <c r="V26" i="32"/>
  <c r="AB27" i="32"/>
  <c r="AB28" i="32"/>
  <c r="AA28" i="32"/>
  <c r="AP44" i="33"/>
  <c r="AP45" i="33"/>
  <c r="X52" i="29"/>
  <c r="Q52" i="50"/>
  <c r="Q54" i="50"/>
  <c r="P63" i="44"/>
  <c r="Q63" i="44" s="1"/>
  <c r="O64" i="44"/>
  <c r="C57" i="29"/>
  <c r="G58" i="29"/>
  <c r="AP40" i="30"/>
  <c r="C64" i="44"/>
  <c r="C63" i="44"/>
  <c r="O60" i="49"/>
  <c r="P60" i="49" s="1"/>
  <c r="P59" i="49"/>
  <c r="B72" i="26"/>
  <c r="A73" i="26"/>
  <c r="W65" i="26"/>
  <c r="AA64" i="26"/>
  <c r="AO64" i="26" s="1"/>
  <c r="W64" i="26"/>
  <c r="AA65" i="26"/>
  <c r="AO65" i="26" s="1"/>
  <c r="AP65" i="26" s="1"/>
  <c r="P35" i="61"/>
  <c r="B6" i="64" s="1"/>
  <c r="CM131" i="61"/>
  <c r="O64" i="46"/>
  <c r="P63" i="46"/>
  <c r="Q63" i="46" s="1"/>
  <c r="Q54" i="33"/>
  <c r="Q52" i="33"/>
  <c r="O64" i="45"/>
  <c r="P63" i="45"/>
  <c r="Q63" i="45" s="1"/>
  <c r="Y55" i="42"/>
  <c r="Y54" i="42"/>
  <c r="A65" i="26"/>
  <c r="B65" i="26" s="1"/>
  <c r="B64" i="26"/>
  <c r="M60" i="47"/>
  <c r="I60" i="47"/>
  <c r="G59" i="47"/>
  <c r="M59" i="47"/>
  <c r="I59" i="47"/>
  <c r="G47" i="39"/>
  <c r="K50" i="39"/>
  <c r="K49" i="39"/>
  <c r="M59" i="33"/>
  <c r="I59" i="33"/>
  <c r="M60" i="33"/>
  <c r="I60" i="33"/>
  <c r="G59" i="33"/>
  <c r="AF6" i="61"/>
  <c r="C5" i="48"/>
  <c r="B6" i="24"/>
  <c r="AP6" i="24"/>
  <c r="Y5" i="24" s="1"/>
  <c r="X4" i="24" s="1"/>
  <c r="Q52" i="34"/>
  <c r="Q54" i="34"/>
  <c r="AC78" i="32"/>
  <c r="AC74" i="32"/>
  <c r="AD74" i="32" s="1"/>
  <c r="AD73" i="32"/>
  <c r="X47" i="40"/>
  <c r="C64" i="42"/>
  <c r="C63" i="42"/>
  <c r="H26" i="50"/>
  <c r="I26" i="50" s="1"/>
  <c r="M26" i="50" s="1"/>
  <c r="N26" i="50" s="1"/>
  <c r="R2" i="50"/>
  <c r="H14" i="50"/>
  <c r="R13" i="50"/>
  <c r="AF3" i="50"/>
  <c r="K49" i="38"/>
  <c r="G47" i="38"/>
  <c r="K50" i="38"/>
  <c r="O73" i="47"/>
  <c r="P72" i="47"/>
  <c r="A81" i="36"/>
  <c r="A77" i="36"/>
  <c r="B76" i="36"/>
  <c r="Y55" i="35"/>
  <c r="Y54" i="35"/>
  <c r="AI15" i="35"/>
  <c r="AG9" i="35"/>
  <c r="U9" i="40"/>
  <c r="S3" i="40"/>
  <c r="U9" i="35"/>
  <c r="S3" i="35"/>
  <c r="AG9" i="28"/>
  <c r="AG10" i="28" s="1"/>
  <c r="AI15" i="28"/>
  <c r="AP15" i="28"/>
  <c r="AO15" i="28"/>
  <c r="AJ14" i="28"/>
  <c r="AP16" i="28"/>
  <c r="AO16" i="28"/>
  <c r="S13" i="26"/>
  <c r="S15" i="26"/>
  <c r="S14" i="26"/>
  <c r="S13" i="36"/>
  <c r="S14" i="36"/>
  <c r="S15" i="36"/>
  <c r="AP45" i="36"/>
  <c r="AP44" i="36"/>
  <c r="AP50" i="36"/>
  <c r="AP49" i="36"/>
  <c r="AG3" i="36"/>
  <c r="AG5" i="36"/>
  <c r="AA27" i="29"/>
  <c r="V26" i="29"/>
  <c r="AB28" i="29"/>
  <c r="AA28" i="29"/>
  <c r="AB27" i="29"/>
  <c r="AG8" i="35"/>
  <c r="AI15" i="26"/>
  <c r="AG9" i="26"/>
  <c r="AG3" i="26"/>
  <c r="AG5" i="26"/>
  <c r="AG8" i="29"/>
  <c r="AO15" i="35"/>
  <c r="AJ14" i="35"/>
  <c r="AP16" i="35"/>
  <c r="AO16" i="35"/>
  <c r="AP15" i="35"/>
  <c r="AP49" i="35"/>
  <c r="AP50" i="35"/>
  <c r="AP45" i="35"/>
  <c r="AP44" i="35"/>
  <c r="AP44" i="28"/>
  <c r="AP45" i="28"/>
  <c r="AB10" i="31"/>
  <c r="AA10" i="31"/>
  <c r="AB9" i="31"/>
  <c r="V8" i="31"/>
  <c r="AA9" i="31"/>
  <c r="AG9" i="40"/>
  <c r="AI15" i="40"/>
  <c r="AA9" i="39"/>
  <c r="AB10" i="39"/>
  <c r="AA10" i="39"/>
  <c r="AB9" i="39"/>
  <c r="V8" i="39"/>
  <c r="U9" i="36"/>
  <c r="S3" i="36"/>
  <c r="S4" i="36" s="1"/>
  <c r="R13" i="27"/>
  <c r="AF3" i="27"/>
  <c r="H26" i="27"/>
  <c r="I26" i="27" s="1"/>
  <c r="M26" i="27" s="1"/>
  <c r="N26" i="27" s="1"/>
  <c r="R2" i="27"/>
  <c r="H14" i="27"/>
  <c r="AB23" i="34"/>
  <c r="AB28" i="33"/>
  <c r="AA28" i="33"/>
  <c r="AB27" i="33"/>
  <c r="AA27" i="33"/>
  <c r="V26" i="33"/>
  <c r="AB4" i="37"/>
  <c r="R2" i="41"/>
  <c r="H14" i="41"/>
  <c r="R13" i="41"/>
  <c r="AF3" i="41"/>
  <c r="H26" i="41"/>
  <c r="I26" i="41" s="1"/>
  <c r="M26" i="41" s="1"/>
  <c r="N26" i="41" s="1"/>
  <c r="A74" i="41"/>
  <c r="B73" i="41"/>
  <c r="Q54" i="27"/>
  <c r="Q52" i="27"/>
  <c r="AA60" i="28"/>
  <c r="AO60" i="28" s="1"/>
  <c r="AP60" i="28" s="1"/>
  <c r="W60" i="28"/>
  <c r="AA59" i="28"/>
  <c r="AO59" i="28" s="1"/>
  <c r="W59" i="28"/>
  <c r="AJ69" i="30"/>
  <c r="AJ70" i="30"/>
  <c r="A70" i="35"/>
  <c r="B70" i="35" s="1"/>
  <c r="B69" i="35"/>
  <c r="Y50" i="31"/>
  <c r="Y49" i="31"/>
  <c r="B77" i="32"/>
  <c r="A78" i="32"/>
  <c r="AI62" i="47"/>
  <c r="AL64" i="47"/>
  <c r="AH64" i="47"/>
  <c r="AL65" i="47"/>
  <c r="AH65" i="47"/>
  <c r="K54" i="38"/>
  <c r="G52" i="38"/>
  <c r="K55" i="38"/>
  <c r="Y50" i="44"/>
  <c r="Y49" i="44"/>
  <c r="Y50" i="45"/>
  <c r="Y49" i="45"/>
  <c r="AG5" i="61"/>
  <c r="AP5" i="23"/>
  <c r="Y4" i="23" s="1"/>
  <c r="C6" i="49"/>
  <c r="R47" i="49" s="1"/>
  <c r="B5" i="23"/>
  <c r="A70" i="29"/>
  <c r="B70" i="29" s="1"/>
  <c r="B69" i="29"/>
  <c r="O72" i="39"/>
  <c r="P71" i="39"/>
  <c r="O76" i="39"/>
  <c r="C57" i="31"/>
  <c r="G58" i="31"/>
  <c r="X47" i="27"/>
  <c r="Y55" i="47"/>
  <c r="Y54" i="47"/>
  <c r="O60" i="27"/>
  <c r="P60" i="27" s="1"/>
  <c r="P59" i="27"/>
  <c r="A69" i="48"/>
  <c r="B68" i="48"/>
  <c r="AB10" i="37"/>
  <c r="AA10" i="37"/>
  <c r="AB9" i="37"/>
  <c r="V8" i="37"/>
  <c r="AA9" i="37"/>
  <c r="R13" i="44"/>
  <c r="AF3" i="44"/>
  <c r="AG4" i="44" s="1"/>
  <c r="H26" i="44"/>
  <c r="I26" i="44" s="1"/>
  <c r="M26" i="44" s="1"/>
  <c r="N26" i="44" s="1"/>
  <c r="R2" i="44"/>
  <c r="H14" i="44"/>
  <c r="I16" i="44" s="1"/>
  <c r="J16" i="44" s="1"/>
  <c r="AA10" i="32"/>
  <c r="AB9" i="32"/>
  <c r="V8" i="32"/>
  <c r="AB10" i="32"/>
  <c r="AA9" i="32"/>
  <c r="U9" i="30"/>
  <c r="S3" i="30"/>
  <c r="S13" i="30"/>
  <c r="S14" i="30"/>
  <c r="S15" i="30"/>
  <c r="R2" i="32"/>
  <c r="R13" i="32"/>
  <c r="H26" i="32"/>
  <c r="I26" i="32" s="1"/>
  <c r="M26" i="32" s="1"/>
  <c r="N26" i="32" s="1"/>
  <c r="N29" i="32" s="1"/>
  <c r="H14" i="32"/>
  <c r="AF3" i="32"/>
  <c r="AG4" i="32" s="1"/>
  <c r="H26" i="46"/>
  <c r="I26" i="46" s="1"/>
  <c r="M26" i="46" s="1"/>
  <c r="N26" i="46" s="1"/>
  <c r="H14" i="46"/>
  <c r="I16" i="46" s="1"/>
  <c r="J16" i="46" s="1"/>
  <c r="R2" i="46"/>
  <c r="R13" i="46"/>
  <c r="S13" i="46" s="1"/>
  <c r="AF3" i="46"/>
  <c r="AP49" i="38"/>
  <c r="AP44" i="38"/>
  <c r="AP50" i="38"/>
  <c r="AP45" i="38"/>
  <c r="M60" i="38"/>
  <c r="I60" i="38"/>
  <c r="G59" i="38"/>
  <c r="M59" i="38"/>
  <c r="I59" i="38"/>
  <c r="K50" i="44"/>
  <c r="K49" i="44"/>
  <c r="G47" i="44"/>
  <c r="B76" i="30"/>
  <c r="A81" i="30"/>
  <c r="A77" i="30"/>
  <c r="O65" i="41"/>
  <c r="P65" i="41" s="1"/>
  <c r="P64" i="41"/>
  <c r="Q77" i="32"/>
  <c r="Q79" i="32"/>
  <c r="B77" i="34"/>
  <c r="A78" i="34"/>
  <c r="C64" i="27"/>
  <c r="C63" i="27"/>
  <c r="Y55" i="36"/>
  <c r="Y54" i="36"/>
  <c r="O68" i="44"/>
  <c r="P67" i="44"/>
  <c r="P72" i="48"/>
  <c r="O73" i="48"/>
  <c r="W59" i="46"/>
  <c r="AA60" i="46"/>
  <c r="AO60" i="46" s="1"/>
  <c r="AP60" i="46" s="1"/>
  <c r="W60" i="46"/>
  <c r="AA59" i="46"/>
  <c r="AO59" i="46" s="1"/>
  <c r="Y50" i="43"/>
  <c r="Y49" i="43"/>
  <c r="X52" i="26"/>
  <c r="P67" i="43"/>
  <c r="O68" i="43"/>
  <c r="AA60" i="37"/>
  <c r="AO60" i="37" s="1"/>
  <c r="AP60" i="37" s="1"/>
  <c r="W60" i="37"/>
  <c r="AA59" i="37"/>
  <c r="AO59" i="37" s="1"/>
  <c r="W59" i="37"/>
  <c r="C57" i="41"/>
  <c r="G58" i="41"/>
  <c r="A70" i="31"/>
  <c r="B70" i="31" s="1"/>
  <c r="B69" i="31"/>
  <c r="O65" i="35"/>
  <c r="P65" i="35" s="1"/>
  <c r="P64" i="35"/>
  <c r="C57" i="28"/>
  <c r="G58" i="28"/>
  <c r="B77" i="50"/>
  <c r="A78" i="50"/>
  <c r="AN77" i="59"/>
  <c r="AJ77" i="59"/>
  <c r="AN78" i="59"/>
  <c r="AJ78" i="59"/>
  <c r="AK75" i="59"/>
  <c r="G53" i="48"/>
  <c r="C52" i="48"/>
  <c r="K50" i="33"/>
  <c r="K49" i="33"/>
  <c r="G47" i="33"/>
  <c r="G47" i="40"/>
  <c r="K50" i="40"/>
  <c r="K49" i="40"/>
  <c r="Q52" i="43"/>
  <c r="Q54" i="43"/>
  <c r="X47" i="46"/>
  <c r="AA65" i="42"/>
  <c r="AO65" i="42" s="1"/>
  <c r="W65" i="42"/>
  <c r="AA64" i="42"/>
  <c r="AO64" i="42" s="1"/>
  <c r="W64" i="42"/>
  <c r="AP39" i="38"/>
  <c r="AL64" i="29"/>
  <c r="AH64" i="29"/>
  <c r="AL65" i="29"/>
  <c r="AH65" i="29"/>
  <c r="AI62" i="29"/>
  <c r="O77" i="30"/>
  <c r="P76" i="30"/>
  <c r="O81" i="30"/>
  <c r="P72" i="35"/>
  <c r="O73" i="35"/>
  <c r="C64" i="31"/>
  <c r="C63" i="31"/>
  <c r="P86" i="59"/>
  <c r="O92" i="59"/>
  <c r="O87" i="59"/>
  <c r="B77" i="38"/>
  <c r="A78" i="38"/>
  <c r="B77" i="42"/>
  <c r="A78" i="42"/>
  <c r="U27" i="49"/>
  <c r="S21" i="49"/>
  <c r="S20" i="44"/>
  <c r="AP45" i="46"/>
  <c r="AP44" i="46"/>
  <c r="I15" i="46"/>
  <c r="I22" i="46"/>
  <c r="S20" i="38"/>
  <c r="AP45" i="42"/>
  <c r="AP44" i="42"/>
  <c r="H14" i="30"/>
  <c r="I16" i="30" s="1"/>
  <c r="J16" i="30" s="1"/>
  <c r="R13" i="30"/>
  <c r="AF3" i="30"/>
  <c r="AG4" i="30" s="1"/>
  <c r="H26" i="30"/>
  <c r="I26" i="30" s="1"/>
  <c r="M26" i="30" s="1"/>
  <c r="N26" i="30" s="1"/>
  <c r="N29" i="30" s="1"/>
  <c r="R2" i="30"/>
  <c r="S2" i="34"/>
  <c r="AI15" i="32"/>
  <c r="AG9" i="32"/>
  <c r="A86" i="33"/>
  <c r="A82" i="33"/>
  <c r="B81" i="33"/>
  <c r="AI67" i="26"/>
  <c r="AL69" i="26"/>
  <c r="AH69" i="26"/>
  <c r="AL70" i="26"/>
  <c r="AH70" i="26"/>
  <c r="C57" i="49"/>
  <c r="G58" i="49"/>
  <c r="AP79" i="32"/>
  <c r="AA60" i="31"/>
  <c r="AO60" i="31" s="1"/>
  <c r="W60" i="31"/>
  <c r="AA59" i="31"/>
  <c r="AO59" i="31" s="1"/>
  <c r="W59" i="31"/>
  <c r="Q52" i="28"/>
  <c r="Q54" i="28"/>
  <c r="AA60" i="34"/>
  <c r="AO60" i="34" s="1"/>
  <c r="AP60" i="34" s="1"/>
  <c r="W60" i="34"/>
  <c r="AA59" i="34"/>
  <c r="AO59" i="34" s="1"/>
  <c r="W59" i="34"/>
  <c r="O65" i="30"/>
  <c r="P65" i="30" s="1"/>
  <c r="P64" i="30"/>
  <c r="AI67" i="50"/>
  <c r="AL69" i="50"/>
  <c r="AH69" i="50"/>
  <c r="AL70" i="50"/>
  <c r="AH70" i="50"/>
  <c r="AL70" i="39"/>
  <c r="AH70" i="39"/>
  <c r="AI67" i="39"/>
  <c r="AL69" i="39"/>
  <c r="AH69" i="39"/>
  <c r="AJ69" i="33"/>
  <c r="AJ70" i="33"/>
  <c r="O72" i="27"/>
  <c r="P71" i="27"/>
  <c r="O76" i="27"/>
  <c r="K55" i="27"/>
  <c r="K54" i="27"/>
  <c r="G52" i="27"/>
  <c r="B77" i="40"/>
  <c r="A78" i="40"/>
  <c r="CM152" i="61"/>
  <c r="P71" i="46"/>
  <c r="O76" i="46"/>
  <c r="O72" i="46"/>
  <c r="AP55" i="33"/>
  <c r="AJ70" i="37"/>
  <c r="AJ69" i="37"/>
  <c r="O68" i="45"/>
  <c r="P67" i="45"/>
  <c r="AJ70" i="45"/>
  <c r="AJ69" i="45"/>
  <c r="B77" i="35"/>
  <c r="A78" i="35"/>
  <c r="AJ65" i="35"/>
  <c r="AJ64" i="35"/>
  <c r="AC74" i="31"/>
  <c r="AD74" i="31" s="1"/>
  <c r="AD73" i="31"/>
  <c r="AC78" i="31"/>
  <c r="AJ69" i="27"/>
  <c r="AJ70" i="27"/>
  <c r="AA60" i="44"/>
  <c r="AO60" i="44" s="1"/>
  <c r="W60" i="44"/>
  <c r="AA59" i="44"/>
  <c r="AO59" i="44" s="1"/>
  <c r="W59" i="44"/>
  <c r="AA65" i="48"/>
  <c r="AO65" i="48" s="1"/>
  <c r="W65" i="48"/>
  <c r="AA64" i="48"/>
  <c r="AO64" i="48" s="1"/>
  <c r="W64" i="48"/>
  <c r="A65" i="30"/>
  <c r="B65" i="30" s="1"/>
  <c r="B64" i="30"/>
  <c r="Y55" i="38"/>
  <c r="Y54" i="38"/>
  <c r="C59" i="43"/>
  <c r="C58" i="43"/>
  <c r="P63" i="39"/>
  <c r="Q63" i="39" s="1"/>
  <c r="O64" i="39"/>
  <c r="O77" i="36"/>
  <c r="O81" i="36"/>
  <c r="P76" i="36"/>
  <c r="K50" i="49"/>
  <c r="K49" i="49"/>
  <c r="G47" i="49"/>
  <c r="AI67" i="34"/>
  <c r="AL69" i="34"/>
  <c r="AH69" i="34"/>
  <c r="AL70" i="34"/>
  <c r="AH70" i="34"/>
  <c r="K49" i="41"/>
  <c r="G47" i="41"/>
  <c r="K50" i="41"/>
  <c r="A74" i="38"/>
  <c r="B73" i="38"/>
  <c r="AC69" i="38"/>
  <c r="AD69" i="38" s="1"/>
  <c r="AD68" i="38"/>
  <c r="AC73" i="38"/>
  <c r="A74" i="42"/>
  <c r="B73" i="42"/>
  <c r="BU128" i="61"/>
  <c r="CF128" i="61"/>
  <c r="CC128" i="61"/>
  <c r="CG128" i="61"/>
  <c r="BZ128" i="61"/>
  <c r="CK128" i="61"/>
  <c r="CL128" i="61"/>
  <c r="CE128" i="61"/>
  <c r="BQ128" i="61"/>
  <c r="CB128" i="61"/>
  <c r="CH128" i="61"/>
  <c r="CA128" i="61"/>
  <c r="CI128" i="61"/>
  <c r="BY128" i="61"/>
  <c r="CJ128" i="61"/>
  <c r="CD128" i="61"/>
  <c r="BP128" i="61"/>
  <c r="BW128" i="61"/>
  <c r="BV128" i="61"/>
  <c r="BN128" i="61"/>
  <c r="BS128" i="61"/>
  <c r="BR128" i="61"/>
  <c r="BO128" i="61"/>
  <c r="BX128" i="61"/>
  <c r="BT128" i="61"/>
  <c r="K14" i="59"/>
  <c r="K26" i="59"/>
  <c r="L26" i="59" s="1"/>
  <c r="V14" i="59"/>
  <c r="AK3" i="59"/>
  <c r="V3" i="59"/>
  <c r="I27" i="49"/>
  <c r="AA28" i="34"/>
  <c r="AB27" i="34"/>
  <c r="AA27" i="34"/>
  <c r="V26" i="34"/>
  <c r="AB28" i="34"/>
  <c r="AG9" i="37"/>
  <c r="AI15" i="37"/>
  <c r="AG9" i="46"/>
  <c r="AI15" i="46"/>
  <c r="AG9" i="49"/>
  <c r="AG10" i="49" s="1"/>
  <c r="AI15" i="49"/>
  <c r="AI15" i="42"/>
  <c r="AG9" i="42"/>
  <c r="I22" i="30"/>
  <c r="I15" i="30"/>
  <c r="I22" i="33"/>
  <c r="I15" i="33"/>
  <c r="A70" i="42"/>
  <c r="B70" i="42" s="1"/>
  <c r="B69" i="42"/>
  <c r="O89" i="32"/>
  <c r="P88" i="32"/>
  <c r="Q88" i="32" s="1"/>
  <c r="AA65" i="29"/>
  <c r="AO65" i="29" s="1"/>
  <c r="AP65" i="29" s="1"/>
  <c r="W65" i="29"/>
  <c r="AA64" i="29"/>
  <c r="AO64" i="29" s="1"/>
  <c r="AP64" i="29" s="1"/>
  <c r="W64" i="29"/>
  <c r="K49" i="35"/>
  <c r="G47" i="35"/>
  <c r="K50" i="35"/>
  <c r="Y55" i="29"/>
  <c r="Y54" i="29"/>
  <c r="X47" i="28"/>
  <c r="AA65" i="38"/>
  <c r="AO65" i="38" s="1"/>
  <c r="AP65" i="38" s="1"/>
  <c r="W65" i="38"/>
  <c r="AA64" i="38"/>
  <c r="AO64" i="38" s="1"/>
  <c r="W64" i="38"/>
  <c r="AP75" i="32"/>
  <c r="AP54" i="37"/>
  <c r="AP60" i="30"/>
  <c r="A70" i="27"/>
  <c r="B70" i="27" s="1"/>
  <c r="B69" i="27"/>
  <c r="A74" i="49"/>
  <c r="B73" i="49"/>
  <c r="AA60" i="49"/>
  <c r="AO60" i="49" s="1"/>
  <c r="W60" i="49"/>
  <c r="AA59" i="49"/>
  <c r="AO59" i="49" s="1"/>
  <c r="W59" i="49"/>
  <c r="B76" i="26"/>
  <c r="A81" i="26"/>
  <c r="A77" i="26"/>
  <c r="C59" i="30"/>
  <c r="C58" i="30"/>
  <c r="P72" i="38"/>
  <c r="O73" i="38"/>
  <c r="P64" i="26"/>
  <c r="O65" i="26"/>
  <c r="P65" i="26" s="1"/>
  <c r="A74" i="40"/>
  <c r="B73" i="40"/>
  <c r="H37" i="50"/>
  <c r="Q54" i="31"/>
  <c r="Q52" i="31"/>
  <c r="A78" i="27"/>
  <c r="B77" i="27"/>
  <c r="X52" i="42"/>
  <c r="X47" i="37"/>
  <c r="B72" i="37"/>
  <c r="A73" i="37"/>
  <c r="Q65" i="59"/>
  <c r="Q63" i="59"/>
  <c r="H37" i="48"/>
  <c r="P72" i="26"/>
  <c r="O73" i="26"/>
  <c r="C57" i="47"/>
  <c r="G58" i="47"/>
  <c r="AP60" i="38"/>
  <c r="AV5" i="24"/>
  <c r="C59" i="48"/>
  <c r="C58" i="48"/>
  <c r="AC94" i="46"/>
  <c r="AD94" i="46" s="1"/>
  <c r="AD93" i="46"/>
  <c r="AC98" i="46"/>
  <c r="A74" i="28"/>
  <c r="B73" i="28"/>
  <c r="O69" i="36"/>
  <c r="P68" i="36"/>
  <c r="Q68" i="36" s="1"/>
  <c r="AC74" i="28"/>
  <c r="AD74" i="28" s="1"/>
  <c r="AD73" i="28"/>
  <c r="AC78" i="28"/>
  <c r="P76" i="47"/>
  <c r="O81" i="47"/>
  <c r="O77" i="47"/>
  <c r="O68" i="49"/>
  <c r="P67" i="49"/>
  <c r="Y55" i="48"/>
  <c r="Y54" i="48"/>
  <c r="AP50" i="44"/>
  <c r="AB22" i="35"/>
  <c r="AA28" i="40"/>
  <c r="AB27" i="40"/>
  <c r="AB28" i="40"/>
  <c r="AA27" i="40"/>
  <c r="V26" i="40"/>
  <c r="S20" i="28"/>
  <c r="S15" i="28"/>
  <c r="S13" i="28"/>
  <c r="S14" i="28"/>
  <c r="AA9" i="26"/>
  <c r="AB10" i="26"/>
  <c r="AA10" i="26"/>
  <c r="AB9" i="26"/>
  <c r="V8" i="26"/>
  <c r="I22" i="26"/>
  <c r="I15" i="26"/>
  <c r="S2" i="26"/>
  <c r="AB5" i="36"/>
  <c r="AB4" i="36"/>
  <c r="AA5" i="36"/>
  <c r="AA4" i="36"/>
  <c r="U27" i="36"/>
  <c r="S21" i="36"/>
  <c r="I22" i="36"/>
  <c r="I15" i="36"/>
  <c r="AA10" i="29"/>
  <c r="AB9" i="29"/>
  <c r="V8" i="29"/>
  <c r="AA9" i="29"/>
  <c r="AB10" i="29"/>
  <c r="AB10" i="40"/>
  <c r="AA9" i="40"/>
  <c r="AA10" i="40"/>
  <c r="AB9" i="40"/>
  <c r="V8" i="40"/>
  <c r="AP16" i="39"/>
  <c r="AO16" i="39"/>
  <c r="AP15" i="39"/>
  <c r="AO15" i="39"/>
  <c r="AJ14" i="39"/>
  <c r="U9" i="29"/>
  <c r="S3" i="29"/>
  <c r="S20" i="26"/>
  <c r="AA28" i="26"/>
  <c r="AB27" i="26"/>
  <c r="AA27" i="26"/>
  <c r="V26" i="26"/>
  <c r="AB28" i="26"/>
  <c r="S15" i="35"/>
  <c r="S13" i="35"/>
  <c r="S14" i="35"/>
  <c r="I22" i="35"/>
  <c r="I15" i="35"/>
  <c r="AA28" i="28"/>
  <c r="AB27" i="28"/>
  <c r="AA27" i="28"/>
  <c r="V26" i="28"/>
  <c r="AB28" i="28"/>
  <c r="I22" i="28"/>
  <c r="I15" i="28"/>
  <c r="S20" i="40"/>
  <c r="U27" i="40"/>
  <c r="S21" i="40"/>
  <c r="AP45" i="39"/>
  <c r="AP44" i="39"/>
  <c r="AO15" i="29"/>
  <c r="AJ14" i="29"/>
  <c r="AP16" i="29"/>
  <c r="AO16" i="29"/>
  <c r="AP15" i="29"/>
  <c r="S15" i="32"/>
  <c r="S14" i="32"/>
  <c r="S13" i="32"/>
  <c r="U27" i="44"/>
  <c r="S21" i="44"/>
  <c r="U9" i="33"/>
  <c r="S3" i="33"/>
  <c r="AO11" i="49"/>
  <c r="AO10" i="49"/>
  <c r="G53" i="30"/>
  <c r="C52" i="30"/>
  <c r="AJ70" i="36"/>
  <c r="AJ69" i="36"/>
  <c r="O68" i="40"/>
  <c r="P67" i="40"/>
  <c r="A70" i="49"/>
  <c r="B70" i="49" s="1"/>
  <c r="B69" i="49"/>
  <c r="P72" i="29"/>
  <c r="O73" i="29"/>
  <c r="Y50" i="34"/>
  <c r="Y49" i="34"/>
  <c r="Q59" i="30"/>
  <c r="Q57" i="30"/>
  <c r="B76" i="43"/>
  <c r="A77" i="43"/>
  <c r="A81" i="43"/>
  <c r="C57" i="50"/>
  <c r="G58" i="50"/>
  <c r="G47" i="26"/>
  <c r="K49" i="26"/>
  <c r="K50" i="26"/>
  <c r="P64" i="47"/>
  <c r="O65" i="47"/>
  <c r="P65" i="47" s="1"/>
  <c r="A65" i="36"/>
  <c r="B65" i="36" s="1"/>
  <c r="B64" i="36"/>
  <c r="A69" i="37"/>
  <c r="B68" i="37"/>
  <c r="X52" i="41"/>
  <c r="AV4" i="23"/>
  <c r="AC69" i="41"/>
  <c r="AD69" i="41" s="1"/>
  <c r="AD68" i="41"/>
  <c r="AC73" i="41"/>
  <c r="K50" i="31"/>
  <c r="K49" i="31"/>
  <c r="G47" i="31"/>
  <c r="H14" i="39"/>
  <c r="R13" i="39"/>
  <c r="AF3" i="39"/>
  <c r="AG4" i="39" s="1"/>
  <c r="H26" i="39"/>
  <c r="I26" i="39" s="1"/>
  <c r="M26" i="39" s="1"/>
  <c r="N26" i="39" s="1"/>
  <c r="N29" i="39" s="1"/>
  <c r="R2" i="39"/>
  <c r="AO16" i="42"/>
  <c r="AO15" i="42"/>
  <c r="U27" i="32"/>
  <c r="S21" i="32"/>
  <c r="AA10" i="49"/>
  <c r="AA9" i="49"/>
  <c r="AO15" i="38"/>
  <c r="AJ14" i="38"/>
  <c r="AP16" i="38"/>
  <c r="AO16" i="38"/>
  <c r="AP15" i="38"/>
  <c r="AB10" i="34"/>
  <c r="AA10" i="34"/>
  <c r="AB9" i="34"/>
  <c r="V8" i="34"/>
  <c r="AA9" i="34"/>
  <c r="U27" i="37"/>
  <c r="S21" i="37"/>
  <c r="M54" i="30"/>
  <c r="I54" i="30"/>
  <c r="M55" i="30"/>
  <c r="I55" i="30"/>
  <c r="G54" i="30"/>
  <c r="AC74" i="36"/>
  <c r="AD74" i="36" s="1"/>
  <c r="AD73" i="36"/>
  <c r="AC78" i="36"/>
  <c r="G53" i="26"/>
  <c r="C52" i="26"/>
  <c r="P71" i="40"/>
  <c r="O76" i="40"/>
  <c r="O72" i="40"/>
  <c r="P59" i="28"/>
  <c r="O60" i="28"/>
  <c r="P60" i="28" s="1"/>
  <c r="AC74" i="49"/>
  <c r="AD74" i="49" s="1"/>
  <c r="AD73" i="49"/>
  <c r="AC78" i="49"/>
  <c r="V42" i="50"/>
  <c r="T42" i="50"/>
  <c r="X47" i="50"/>
  <c r="O81" i="29"/>
  <c r="O77" i="29"/>
  <c r="P76" i="29"/>
  <c r="O68" i="28"/>
  <c r="P67" i="28"/>
  <c r="B72" i="43"/>
  <c r="A73" i="43"/>
  <c r="AA60" i="45"/>
  <c r="AO60" i="45" s="1"/>
  <c r="W60" i="45"/>
  <c r="AA59" i="45"/>
  <c r="AO59" i="45" s="1"/>
  <c r="W59" i="45"/>
  <c r="AL70" i="30"/>
  <c r="AH70" i="30"/>
  <c r="AI67" i="30"/>
  <c r="AL69" i="30"/>
  <c r="AH69" i="30"/>
  <c r="O69" i="38"/>
  <c r="P68" i="38"/>
  <c r="Q68" i="38" s="1"/>
  <c r="Y50" i="39"/>
  <c r="Y49" i="39"/>
  <c r="B81" i="47"/>
  <c r="A86" i="47"/>
  <c r="A82" i="47"/>
  <c r="X47" i="31"/>
  <c r="D47" i="50"/>
  <c r="K49" i="50"/>
  <c r="G47" i="50"/>
  <c r="K50" i="50"/>
  <c r="B71" i="59"/>
  <c r="A72" i="59"/>
  <c r="B72" i="59" s="1"/>
  <c r="M60" i="50"/>
  <c r="I60" i="50"/>
  <c r="G59" i="50"/>
  <c r="M59" i="50"/>
  <c r="I59" i="50"/>
  <c r="G58" i="42"/>
  <c r="C57" i="42"/>
  <c r="A74" i="27"/>
  <c r="B73" i="27"/>
  <c r="Y55" i="41"/>
  <c r="Y54" i="41"/>
  <c r="X47" i="44"/>
  <c r="AJ69" i="48"/>
  <c r="AJ70" i="48"/>
  <c r="AE39" i="50"/>
  <c r="D43" i="50"/>
  <c r="F43" i="50" s="1"/>
  <c r="H43" i="50" s="1"/>
  <c r="R38" i="50"/>
  <c r="D39" i="50"/>
  <c r="F39" i="50" s="1"/>
  <c r="H39" i="50" s="1"/>
  <c r="AE43" i="50"/>
  <c r="R34" i="50"/>
  <c r="AJ65" i="41"/>
  <c r="AJ64" i="41"/>
  <c r="AP55" i="34"/>
  <c r="A70" i="41"/>
  <c r="B70" i="41" s="1"/>
  <c r="B69" i="41"/>
  <c r="G47" i="30"/>
  <c r="K50" i="30"/>
  <c r="K49" i="30"/>
  <c r="C64" i="59"/>
  <c r="C65" i="59"/>
  <c r="M59" i="31"/>
  <c r="I59" i="31"/>
  <c r="M60" i="31"/>
  <c r="I60" i="31"/>
  <c r="G59" i="31"/>
  <c r="G53" i="36"/>
  <c r="C52" i="36"/>
  <c r="Q52" i="45"/>
  <c r="Q54" i="45"/>
  <c r="AA60" i="27"/>
  <c r="AO60" i="27" s="1"/>
  <c r="W60" i="27"/>
  <c r="AA59" i="27"/>
  <c r="AO59" i="27" s="1"/>
  <c r="W59" i="27"/>
  <c r="AP44" i="37"/>
  <c r="AP45" i="37"/>
  <c r="I22" i="37"/>
  <c r="I15" i="37"/>
  <c r="AP45" i="32"/>
  <c r="AP44" i="32"/>
  <c r="AP60" i="32"/>
  <c r="AP70" i="32"/>
  <c r="AP65" i="32"/>
  <c r="AP69" i="32"/>
  <c r="AP64" i="32"/>
  <c r="AP55" i="32"/>
  <c r="AP54" i="32"/>
  <c r="AP59" i="32"/>
  <c r="R2" i="29"/>
  <c r="H14" i="29"/>
  <c r="I16" i="29" s="1"/>
  <c r="J16" i="29" s="1"/>
  <c r="R13" i="29"/>
  <c r="AF3" i="29"/>
  <c r="AG4" i="29" s="1"/>
  <c r="H26" i="29"/>
  <c r="I26" i="29" s="1"/>
  <c r="M26" i="29" s="1"/>
  <c r="N26" i="29" s="1"/>
  <c r="N29" i="29" s="1"/>
  <c r="U27" i="46"/>
  <c r="S21" i="46"/>
  <c r="AO15" i="46"/>
  <c r="AO16" i="46"/>
  <c r="AG5" i="33"/>
  <c r="AG3" i="33"/>
  <c r="S2" i="30"/>
  <c r="U27" i="30"/>
  <c r="S21" i="30"/>
  <c r="I22" i="38"/>
  <c r="I15" i="38"/>
  <c r="C57" i="38"/>
  <c r="G58" i="38"/>
  <c r="AP49" i="34"/>
  <c r="O64" i="40"/>
  <c r="P63" i="40"/>
  <c r="Q63" i="40" s="1"/>
  <c r="A65" i="45"/>
  <c r="B65" i="45" s="1"/>
  <c r="B64" i="45"/>
  <c r="B81" i="34"/>
  <c r="A86" i="34"/>
  <c r="A82" i="34"/>
  <c r="C52" i="37"/>
  <c r="G53" i="37"/>
  <c r="P72" i="42"/>
  <c r="O73" i="42"/>
  <c r="X52" i="36"/>
  <c r="M59" i="59"/>
  <c r="M60" i="59"/>
  <c r="G59" i="59"/>
  <c r="AP40" i="33"/>
  <c r="B72" i="45"/>
  <c r="A73" i="45"/>
  <c r="AA60" i="50"/>
  <c r="AO60" i="50" s="1"/>
  <c r="W60" i="50"/>
  <c r="AA59" i="50"/>
  <c r="AO59" i="50" s="1"/>
  <c r="W59" i="50"/>
  <c r="AJ69" i="42"/>
  <c r="AJ70" i="42"/>
  <c r="G52" i="42"/>
  <c r="K55" i="42"/>
  <c r="K54" i="42"/>
  <c r="O64" i="28"/>
  <c r="P63" i="28"/>
  <c r="Q63" i="28" s="1"/>
  <c r="Y55" i="26"/>
  <c r="Y54" i="26"/>
  <c r="P59" i="37"/>
  <c r="O60" i="37"/>
  <c r="P60" i="37" s="1"/>
  <c r="C63" i="32"/>
  <c r="C64" i="32"/>
  <c r="Q54" i="39"/>
  <c r="Q52" i="39"/>
  <c r="O68" i="34"/>
  <c r="P67" i="34"/>
  <c r="C59" i="36"/>
  <c r="C58" i="36"/>
  <c r="G53" i="43"/>
  <c r="C52" i="43"/>
  <c r="M60" i="28"/>
  <c r="I60" i="28"/>
  <c r="G59" i="28"/>
  <c r="M59" i="28"/>
  <c r="I59" i="28"/>
  <c r="B81" i="50"/>
  <c r="A86" i="50"/>
  <c r="A82" i="50"/>
  <c r="AD82" i="59"/>
  <c r="AC88" i="59"/>
  <c r="AC83" i="59"/>
  <c r="AD83" i="59" s="1"/>
  <c r="M54" i="48"/>
  <c r="I54" i="48"/>
  <c r="M55" i="48"/>
  <c r="I55" i="48"/>
  <c r="G54" i="48"/>
  <c r="P64" i="36"/>
  <c r="O65" i="36"/>
  <c r="P65" i="36" s="1"/>
  <c r="Y50" i="46"/>
  <c r="Y49" i="46"/>
  <c r="K50" i="27"/>
  <c r="K49" i="27"/>
  <c r="G47" i="27"/>
  <c r="G47" i="43"/>
  <c r="K49" i="43"/>
  <c r="K50" i="43"/>
  <c r="O81" i="35"/>
  <c r="O77" i="35"/>
  <c r="P76" i="35"/>
  <c r="A70" i="33"/>
  <c r="B70" i="33" s="1"/>
  <c r="B69" i="33"/>
  <c r="K55" i="33"/>
  <c r="K54" i="33"/>
  <c r="G52" i="33"/>
  <c r="AC84" i="40"/>
  <c r="AD84" i="40" s="1"/>
  <c r="AD83" i="40"/>
  <c r="AC88" i="40"/>
  <c r="B81" i="38"/>
  <c r="A86" i="38"/>
  <c r="A82" i="38"/>
  <c r="B81" i="42"/>
  <c r="A86" i="42"/>
  <c r="A82" i="42"/>
  <c r="R2" i="47"/>
  <c r="H14" i="47"/>
  <c r="R13" i="47"/>
  <c r="AF3" i="47"/>
  <c r="H26" i="47"/>
  <c r="I26" i="47" s="1"/>
  <c r="M26" i="47" s="1"/>
  <c r="N26" i="47" s="1"/>
  <c r="H26" i="40"/>
  <c r="I26" i="40" s="1"/>
  <c r="M26" i="40" s="1"/>
  <c r="N26" i="40" s="1"/>
  <c r="N29" i="40" s="1"/>
  <c r="H14" i="40"/>
  <c r="R13" i="40"/>
  <c r="AF3" i="40"/>
  <c r="AG4" i="40" s="1"/>
  <c r="R2" i="40"/>
  <c r="I22" i="42"/>
  <c r="I15" i="42"/>
  <c r="U27" i="34"/>
  <c r="S21" i="34"/>
  <c r="R2" i="38"/>
  <c r="T2" i="38" s="1"/>
  <c r="H14" i="38"/>
  <c r="R13" i="38"/>
  <c r="AF3" i="38"/>
  <c r="AG4" i="38" s="1"/>
  <c r="H26" i="38"/>
  <c r="I26" i="38" s="1"/>
  <c r="M26" i="38" s="1"/>
  <c r="N26" i="38" s="1"/>
  <c r="N29" i="38" s="1"/>
  <c r="I22" i="44"/>
  <c r="I15" i="44"/>
  <c r="AG8" i="46"/>
  <c r="H14" i="42"/>
  <c r="I16" i="42" s="1"/>
  <c r="J16" i="42" s="1"/>
  <c r="R13" i="42"/>
  <c r="AF3" i="42"/>
  <c r="AG4" i="42" s="1"/>
  <c r="H26" i="42"/>
  <c r="I26" i="42" s="1"/>
  <c r="M26" i="42" s="1"/>
  <c r="N26" i="42" s="1"/>
  <c r="R2" i="42"/>
  <c r="S20" i="32"/>
  <c r="Y50" i="33"/>
  <c r="Y49" i="33"/>
  <c r="AP39" i="37"/>
  <c r="AC78" i="26"/>
  <c r="AC74" i="26"/>
  <c r="AD74" i="26" s="1"/>
  <c r="AD73" i="26"/>
  <c r="M59" i="49"/>
  <c r="I59" i="49"/>
  <c r="M60" i="49"/>
  <c r="I60" i="49"/>
  <c r="G59" i="49"/>
  <c r="P92" i="32"/>
  <c r="O93" i="32"/>
  <c r="AJ149" i="43"/>
  <c r="AJ150" i="43"/>
  <c r="P59" i="34"/>
  <c r="O60" i="34"/>
  <c r="P60" i="34" s="1"/>
  <c r="AA65" i="30"/>
  <c r="AO65" i="30" s="1"/>
  <c r="AP65" i="30" s="1"/>
  <c r="W65" i="30"/>
  <c r="AA64" i="30"/>
  <c r="AO64" i="30" s="1"/>
  <c r="W64" i="30"/>
  <c r="AC69" i="44"/>
  <c r="AD69" i="44" s="1"/>
  <c r="AD68" i="44"/>
  <c r="AC73" i="44"/>
  <c r="AP35" i="32"/>
  <c r="AC78" i="39"/>
  <c r="AC74" i="39"/>
  <c r="AD74" i="39" s="1"/>
  <c r="AD73" i="39"/>
  <c r="A78" i="49"/>
  <c r="B77" i="49"/>
  <c r="A69" i="26"/>
  <c r="B68" i="26"/>
  <c r="AL70" i="33"/>
  <c r="AH70" i="33"/>
  <c r="AI67" i="33"/>
  <c r="AL69" i="33"/>
  <c r="AH69" i="33"/>
  <c r="A65" i="37"/>
  <c r="B65" i="37" s="1"/>
  <c r="B64" i="37"/>
  <c r="B81" i="40"/>
  <c r="A86" i="40"/>
  <c r="A82" i="40"/>
  <c r="Q54" i="49"/>
  <c r="Q52" i="49"/>
  <c r="G53" i="46"/>
  <c r="C52" i="46"/>
  <c r="AI67" i="37"/>
  <c r="AL69" i="37"/>
  <c r="AH69" i="37"/>
  <c r="AL70" i="37"/>
  <c r="AH70" i="37"/>
  <c r="AP35" i="37"/>
  <c r="P71" i="45"/>
  <c r="O76" i="45"/>
  <c r="O72" i="45"/>
  <c r="AI67" i="45"/>
  <c r="AL69" i="45"/>
  <c r="AH69" i="45"/>
  <c r="AL70" i="45"/>
  <c r="AH70" i="45"/>
  <c r="O68" i="31"/>
  <c r="P67" i="31"/>
  <c r="B81" i="35"/>
  <c r="A86" i="35"/>
  <c r="A82" i="35"/>
  <c r="AL64" i="35"/>
  <c r="AH64" i="35"/>
  <c r="AL65" i="35"/>
  <c r="AH65" i="35"/>
  <c r="AI62" i="35"/>
  <c r="AJ69" i="31"/>
  <c r="AJ70" i="31"/>
  <c r="AL70" i="27"/>
  <c r="AH70" i="27"/>
  <c r="AI67" i="27"/>
  <c r="AL69" i="27"/>
  <c r="AH69" i="27"/>
  <c r="Q57" i="38"/>
  <c r="Q59" i="38"/>
  <c r="W85" i="32"/>
  <c r="AA84" i="32"/>
  <c r="AO84" i="32" s="1"/>
  <c r="AP84" i="32" s="1"/>
  <c r="W84" i="32"/>
  <c r="AA85" i="32"/>
  <c r="AO85" i="32" s="1"/>
  <c r="AP85" i="32" s="1"/>
  <c r="AA4" i="24"/>
  <c r="AA60" i="40"/>
  <c r="AO60" i="40" s="1"/>
  <c r="AP60" i="40" s="1"/>
  <c r="W60" i="40"/>
  <c r="AA59" i="40"/>
  <c r="AO59" i="40" s="1"/>
  <c r="W59" i="40"/>
  <c r="P72" i="36"/>
  <c r="O73" i="36"/>
  <c r="C59" i="39"/>
  <c r="C58" i="39"/>
  <c r="D52" i="50"/>
  <c r="K54" i="50"/>
  <c r="G52" i="50"/>
  <c r="K55" i="50"/>
  <c r="Q57" i="47"/>
  <c r="Q59" i="47"/>
  <c r="O72" i="33"/>
  <c r="P71" i="33"/>
  <c r="O76" i="33"/>
  <c r="AJ65" i="38"/>
  <c r="AJ64" i="38"/>
  <c r="U9" i="49"/>
  <c r="S3" i="49"/>
  <c r="AA28" i="49"/>
  <c r="AA27" i="49"/>
  <c r="AG8" i="44"/>
  <c r="H26" i="45"/>
  <c r="I26" i="45" s="1"/>
  <c r="M26" i="45" s="1"/>
  <c r="N26" i="45" s="1"/>
  <c r="R2" i="45"/>
  <c r="H14" i="45"/>
  <c r="R13" i="45"/>
  <c r="AF3" i="45"/>
  <c r="S3" i="34"/>
  <c r="U9" i="34"/>
  <c r="S20" i="37"/>
  <c r="S20" i="46"/>
  <c r="AO16" i="33"/>
  <c r="AP15" i="33"/>
  <c r="AO15" i="33"/>
  <c r="AJ14" i="33"/>
  <c r="AP16" i="33"/>
  <c r="H14" i="26"/>
  <c r="H26" i="26"/>
  <c r="I26" i="26" s="1"/>
  <c r="M26" i="26" s="1"/>
  <c r="N26" i="26" s="1"/>
  <c r="N29" i="26" s="1"/>
  <c r="R2" i="26"/>
  <c r="R13" i="26"/>
  <c r="AF3" i="26"/>
  <c r="AG4" i="26" s="1"/>
  <c r="S20" i="49"/>
  <c r="S20" i="42"/>
  <c r="AG3" i="42"/>
  <c r="AG5" i="42"/>
  <c r="B77" i="41"/>
  <c r="A78" i="41"/>
  <c r="O65" i="29"/>
  <c r="P65" i="29" s="1"/>
  <c r="P64" i="29"/>
  <c r="AP50" i="34"/>
  <c r="B76" i="46"/>
  <c r="A77" i="46"/>
  <c r="A81" i="46"/>
  <c r="A69" i="39"/>
  <c r="B68" i="39"/>
  <c r="Y50" i="28"/>
  <c r="Y49" i="28"/>
  <c r="O65" i="38"/>
  <c r="P65" i="38" s="1"/>
  <c r="P64" i="38"/>
  <c r="A70" i="47"/>
  <c r="B70" i="47" s="1"/>
  <c r="B69" i="47"/>
  <c r="K55" i="44"/>
  <c r="K54" i="44"/>
  <c r="G52" i="44"/>
  <c r="A92" i="59"/>
  <c r="B86" i="59"/>
  <c r="A87" i="59"/>
  <c r="P68" i="48"/>
  <c r="Q68" i="48" s="1"/>
  <c r="O69" i="48"/>
  <c r="AP40" i="32"/>
  <c r="A78" i="44"/>
  <c r="B77" i="44"/>
  <c r="O60" i="39"/>
  <c r="P60" i="39" s="1"/>
  <c r="P59" i="39"/>
  <c r="O69" i="41"/>
  <c r="P68" i="41"/>
  <c r="Q68" i="41" s="1"/>
  <c r="A69" i="43"/>
  <c r="B68" i="43"/>
  <c r="O81" i="38"/>
  <c r="O77" i="38"/>
  <c r="P76" i="38"/>
  <c r="C57" i="44"/>
  <c r="G58" i="44"/>
  <c r="AP39" i="42"/>
  <c r="C57" i="27"/>
  <c r="G58" i="27"/>
  <c r="K54" i="40"/>
  <c r="G52" i="40"/>
  <c r="K55" i="40"/>
  <c r="AP49" i="32"/>
  <c r="K49" i="34"/>
  <c r="G47" i="34"/>
  <c r="K50" i="34"/>
  <c r="A70" i="40"/>
  <c r="B70" i="40" s="1"/>
  <c r="B69" i="40"/>
  <c r="A86" i="27"/>
  <c r="A82" i="27"/>
  <c r="B81" i="27"/>
  <c r="C52" i="45"/>
  <c r="G53" i="45"/>
  <c r="Y50" i="37"/>
  <c r="Y49" i="37"/>
  <c r="O64" i="37"/>
  <c r="P63" i="37"/>
  <c r="Q63" i="37" s="1"/>
  <c r="B76" i="37"/>
  <c r="A81" i="37"/>
  <c r="A77" i="37"/>
  <c r="O77" i="26"/>
  <c r="P76" i="26"/>
  <c r="O81" i="26"/>
  <c r="P68" i="30"/>
  <c r="Q68" i="30" s="1"/>
  <c r="O69" i="30"/>
  <c r="K54" i="35"/>
  <c r="G52" i="35"/>
  <c r="K55" i="35"/>
  <c r="AP54" i="46"/>
  <c r="AP55" i="46"/>
  <c r="H5" i="24"/>
  <c r="I5" i="24" s="1"/>
  <c r="D5" i="24"/>
  <c r="F5" i="24" s="1"/>
  <c r="G5" i="24" s="1"/>
  <c r="AP55" i="30"/>
  <c r="AJ70" i="32"/>
  <c r="AJ69" i="32"/>
  <c r="AJ90" i="46"/>
  <c r="AJ89" i="46"/>
  <c r="Q59" i="48"/>
  <c r="Q57" i="48"/>
  <c r="CM142" i="61"/>
  <c r="AJ70" i="28"/>
  <c r="AJ69" i="28"/>
  <c r="A70" i="34"/>
  <c r="B70" i="34" s="1"/>
  <c r="B69" i="34"/>
  <c r="AP39" i="46"/>
  <c r="AP39" i="34"/>
  <c r="B72" i="48"/>
  <c r="A73" i="48"/>
  <c r="X52" i="48"/>
  <c r="AO11" i="28"/>
  <c r="AP10" i="28"/>
  <c r="AO10" i="28"/>
  <c r="AH8" i="28"/>
  <c r="AP11" i="28"/>
  <c r="AP10" i="26"/>
  <c r="AB28" i="39"/>
  <c r="AA28" i="39"/>
  <c r="AB27" i="39"/>
  <c r="AA27" i="39"/>
  <c r="V26" i="39"/>
  <c r="AG5" i="29"/>
  <c r="AG3" i="29"/>
  <c r="I28" i="35"/>
  <c r="S2" i="28"/>
  <c r="AP44" i="26"/>
  <c r="AP45" i="26"/>
  <c r="AO11" i="40"/>
  <c r="AP10" i="40"/>
  <c r="AH8" i="40"/>
  <c r="AP11" i="40"/>
  <c r="AG10" i="40"/>
  <c r="AO10" i="40"/>
  <c r="AP44" i="29"/>
  <c r="AP45" i="29"/>
  <c r="AP45" i="40"/>
  <c r="AP44" i="40"/>
  <c r="I22" i="40"/>
  <c r="I15" i="40"/>
  <c r="S13" i="39"/>
  <c r="S14" i="39"/>
  <c r="S15" i="39"/>
  <c r="AH8" i="39"/>
  <c r="AP11" i="39"/>
  <c r="AO11" i="39"/>
  <c r="AP10" i="39"/>
  <c r="AO10" i="39"/>
  <c r="S2" i="35"/>
  <c r="U27" i="35"/>
  <c r="S21" i="35"/>
  <c r="S3" i="28"/>
  <c r="U9" i="28"/>
  <c r="I22" i="31"/>
  <c r="I15" i="31"/>
  <c r="S2" i="40"/>
  <c r="AP15" i="40"/>
  <c r="AP16" i="40"/>
  <c r="AO16" i="40"/>
  <c r="AO15" i="40"/>
  <c r="AJ14" i="40"/>
  <c r="AI15" i="39"/>
  <c r="AG9" i="39"/>
  <c r="AG10" i="39" s="1"/>
  <c r="I22" i="39"/>
  <c r="I15" i="39"/>
  <c r="S15" i="29"/>
  <c r="S13" i="29"/>
  <c r="S14" i="29"/>
  <c r="AG8" i="36"/>
  <c r="AP54" i="44" l="1"/>
  <c r="AP60" i="49"/>
  <c r="AP45" i="44"/>
  <c r="AP11" i="37"/>
  <c r="AA10" i="46"/>
  <c r="AO11" i="37"/>
  <c r="AB23" i="29"/>
  <c r="S2" i="46"/>
  <c r="AP34" i="49"/>
  <c r="AP54" i="49"/>
  <c r="AP44" i="44"/>
  <c r="AP50" i="49"/>
  <c r="AG5" i="46"/>
  <c r="AM6" i="46" s="1"/>
  <c r="AP39" i="49"/>
  <c r="AP49" i="44"/>
  <c r="AP40" i="49"/>
  <c r="AP55" i="44"/>
  <c r="AA9" i="44"/>
  <c r="AP40" i="44"/>
  <c r="AG4" i="46"/>
  <c r="T20" i="29"/>
  <c r="AP39" i="44"/>
  <c r="AP49" i="46"/>
  <c r="AP34" i="44"/>
  <c r="AP34" i="46"/>
  <c r="AP35" i="44"/>
  <c r="AA5" i="25"/>
  <c r="AG5" i="25" s="1"/>
  <c r="X4" i="25"/>
  <c r="D6" i="66"/>
  <c r="L7" i="66"/>
  <c r="D6" i="65"/>
  <c r="I6" i="66"/>
  <c r="J6" i="66"/>
  <c r="B6" i="65" s="1"/>
  <c r="B5" i="66"/>
  <c r="A5" i="66"/>
  <c r="R25" i="41"/>
  <c r="AF12" i="41"/>
  <c r="R15" i="41"/>
  <c r="H28" i="41"/>
  <c r="AF5" i="41"/>
  <c r="H16" i="41"/>
  <c r="AF9" i="41"/>
  <c r="R4" i="41"/>
  <c r="K7" i="41"/>
  <c r="K6" i="41"/>
  <c r="R22" i="41"/>
  <c r="U26" i="41" s="1"/>
  <c r="H27" i="41"/>
  <c r="K5" i="41"/>
  <c r="H15" i="41"/>
  <c r="I16" i="41" s="1"/>
  <c r="J16" i="41" s="1"/>
  <c r="R14" i="41"/>
  <c r="K4" i="41"/>
  <c r="AF4" i="41"/>
  <c r="R3" i="41"/>
  <c r="U8" i="41" s="1"/>
  <c r="R21" i="41"/>
  <c r="R16" i="41"/>
  <c r="K9" i="41"/>
  <c r="AF10" i="41"/>
  <c r="AI14" i="41" s="1"/>
  <c r="AF6" i="41"/>
  <c r="K8" i="41"/>
  <c r="R23" i="41"/>
  <c r="R5" i="41"/>
  <c r="R24" i="41"/>
  <c r="K10" i="41"/>
  <c r="AF11" i="41"/>
  <c r="K11" i="41"/>
  <c r="AF7" i="41"/>
  <c r="R6" i="41"/>
  <c r="AP35" i="49"/>
  <c r="T20" i="36"/>
  <c r="AP49" i="49"/>
  <c r="AP44" i="49"/>
  <c r="AP45" i="49"/>
  <c r="A5" i="65"/>
  <c r="K8" i="43"/>
  <c r="AF6" i="43"/>
  <c r="R5" i="43"/>
  <c r="R16" i="43"/>
  <c r="R23" i="43"/>
  <c r="AF10" i="43"/>
  <c r="AI14" i="43" s="1"/>
  <c r="K9" i="43"/>
  <c r="AF7" i="43"/>
  <c r="AF11" i="43"/>
  <c r="R6" i="43"/>
  <c r="K10" i="43"/>
  <c r="K11" i="43"/>
  <c r="R24" i="43"/>
  <c r="AF12" i="43"/>
  <c r="R25" i="43"/>
  <c r="R4" i="43"/>
  <c r="R22" i="43"/>
  <c r="U26" i="43" s="1"/>
  <c r="H28" i="43"/>
  <c r="K6" i="43"/>
  <c r="R15" i="43"/>
  <c r="H16" i="43"/>
  <c r="AF9" i="43"/>
  <c r="AF5" i="43"/>
  <c r="K7" i="43"/>
  <c r="R14" i="43"/>
  <c r="R3" i="43"/>
  <c r="U8" i="43" s="1"/>
  <c r="H27" i="43"/>
  <c r="K5" i="43"/>
  <c r="H15" i="43"/>
  <c r="R21" i="43"/>
  <c r="AF4" i="43"/>
  <c r="K4" i="43"/>
  <c r="AG3" i="44"/>
  <c r="S13" i="49"/>
  <c r="I16" i="31"/>
  <c r="J16" i="31" s="1"/>
  <c r="H10" i="45"/>
  <c r="AF13" i="45" s="1"/>
  <c r="L10" i="59"/>
  <c r="AK13" i="59" s="1"/>
  <c r="H8" i="45"/>
  <c r="L8" i="59"/>
  <c r="H7" i="45"/>
  <c r="L7" i="59"/>
  <c r="H6" i="45"/>
  <c r="L6" i="59"/>
  <c r="H5" i="45"/>
  <c r="L5" i="59"/>
  <c r="H9" i="45"/>
  <c r="L9" i="59"/>
  <c r="H11" i="45"/>
  <c r="L11" i="59"/>
  <c r="S14" i="46"/>
  <c r="K6" i="47"/>
  <c r="R22" i="47"/>
  <c r="U26" i="47" s="1"/>
  <c r="R15" i="47"/>
  <c r="H16" i="47"/>
  <c r="AF5" i="47"/>
  <c r="H28" i="47"/>
  <c r="AF9" i="47"/>
  <c r="R4" i="47"/>
  <c r="K7" i="47"/>
  <c r="K4" i="47"/>
  <c r="AF4" i="47"/>
  <c r="R3" i="47"/>
  <c r="U8" i="47" s="1"/>
  <c r="R21" i="47"/>
  <c r="H27" i="47"/>
  <c r="K5" i="47"/>
  <c r="H15" i="47"/>
  <c r="R14" i="47"/>
  <c r="R25" i="47"/>
  <c r="AF12" i="47"/>
  <c r="I16" i="47"/>
  <c r="J16" i="47" s="1"/>
  <c r="L16" i="47" s="1"/>
  <c r="R6" i="47"/>
  <c r="R24" i="47"/>
  <c r="K10" i="47"/>
  <c r="AF11" i="47"/>
  <c r="K11" i="47"/>
  <c r="AF7" i="47"/>
  <c r="AF10" i="47"/>
  <c r="AI14" i="47" s="1"/>
  <c r="K9" i="47"/>
  <c r="R16" i="47"/>
  <c r="AF6" i="47"/>
  <c r="R5" i="47"/>
  <c r="R23" i="47"/>
  <c r="K8" i="47"/>
  <c r="AG4" i="49"/>
  <c r="R25" i="48"/>
  <c r="AF12" i="48"/>
  <c r="AF10" i="48"/>
  <c r="AI14" i="48" s="1"/>
  <c r="R23" i="48"/>
  <c r="AF6" i="48"/>
  <c r="K8" i="48"/>
  <c r="R5" i="48"/>
  <c r="R16" i="48"/>
  <c r="K9" i="48"/>
  <c r="AF5" i="48"/>
  <c r="H16" i="48"/>
  <c r="R22" i="48"/>
  <c r="U26" i="48" s="1"/>
  <c r="AF9" i="48"/>
  <c r="R4" i="48"/>
  <c r="K7" i="48"/>
  <c r="R15" i="48"/>
  <c r="H28" i="48"/>
  <c r="K6" i="48"/>
  <c r="R6" i="48"/>
  <c r="AF11" i="48"/>
  <c r="K10" i="48"/>
  <c r="K11" i="48"/>
  <c r="AF7" i="48"/>
  <c r="R24" i="48"/>
  <c r="R21" i="48"/>
  <c r="R3" i="48"/>
  <c r="U8" i="48" s="1"/>
  <c r="H15" i="48"/>
  <c r="H27" i="48"/>
  <c r="K5" i="48"/>
  <c r="AF4" i="48"/>
  <c r="K4" i="48"/>
  <c r="R14" i="48"/>
  <c r="AA5" i="44"/>
  <c r="S4" i="44"/>
  <c r="AA4" i="42"/>
  <c r="AF5" i="25"/>
  <c r="K4" i="27"/>
  <c r="AF4" i="27"/>
  <c r="R21" i="27"/>
  <c r="R3" i="27"/>
  <c r="U8" i="27" s="1"/>
  <c r="K5" i="27"/>
  <c r="H27" i="27"/>
  <c r="R14" i="27"/>
  <c r="H15" i="27"/>
  <c r="R24" i="27"/>
  <c r="AF11" i="27"/>
  <c r="K10" i="27"/>
  <c r="AF7" i="27"/>
  <c r="K11" i="27"/>
  <c r="R6" i="27"/>
  <c r="AF12" i="27"/>
  <c r="R25" i="27"/>
  <c r="R16" i="27"/>
  <c r="K9" i="27"/>
  <c r="AF10" i="27"/>
  <c r="AI14" i="27" s="1"/>
  <c r="AF6" i="27"/>
  <c r="K8" i="27"/>
  <c r="R23" i="27"/>
  <c r="R5" i="27"/>
  <c r="K7" i="27"/>
  <c r="AF5" i="27"/>
  <c r="R22" i="27"/>
  <c r="U26" i="27" s="1"/>
  <c r="AF9" i="27"/>
  <c r="R4" i="27"/>
  <c r="H28" i="27"/>
  <c r="K6" i="27"/>
  <c r="H16" i="27"/>
  <c r="R15" i="27"/>
  <c r="AA5" i="37"/>
  <c r="AB5" i="37"/>
  <c r="AA22" i="29"/>
  <c r="T2" i="37"/>
  <c r="AA23" i="29"/>
  <c r="AG10" i="37"/>
  <c r="AH10" i="37" s="1"/>
  <c r="S22" i="29"/>
  <c r="AO11" i="34"/>
  <c r="AA5" i="38"/>
  <c r="I27" i="35"/>
  <c r="AA22" i="36"/>
  <c r="AB4" i="38"/>
  <c r="S22" i="36"/>
  <c r="Z20" i="36" s="1"/>
  <c r="AB22" i="36"/>
  <c r="AB5" i="38"/>
  <c r="AB23" i="36"/>
  <c r="F6" i="25"/>
  <c r="AV7" i="25"/>
  <c r="Y6" i="25"/>
  <c r="AA6" i="25" s="1"/>
  <c r="D37" i="47"/>
  <c r="F37" i="47" s="1"/>
  <c r="H37" i="47" s="1"/>
  <c r="AE33" i="47"/>
  <c r="AG33" i="47" s="1"/>
  <c r="R32" i="47"/>
  <c r="V32" i="48"/>
  <c r="T32" i="48"/>
  <c r="H7" i="25"/>
  <c r="I7" i="25" s="1"/>
  <c r="D7" i="25"/>
  <c r="F7" i="25" s="1"/>
  <c r="G7" i="25" s="1"/>
  <c r="AE8" i="61"/>
  <c r="AP8" i="25"/>
  <c r="C4" i="46"/>
  <c r="B8" i="25"/>
  <c r="I28" i="34"/>
  <c r="I28" i="49"/>
  <c r="AH8" i="37"/>
  <c r="I28" i="28"/>
  <c r="O28" i="28" s="1"/>
  <c r="I27" i="34"/>
  <c r="AO10" i="37"/>
  <c r="I27" i="28"/>
  <c r="S2" i="31"/>
  <c r="AP11" i="34"/>
  <c r="AP44" i="31"/>
  <c r="AP11" i="26"/>
  <c r="AO11" i="26"/>
  <c r="T20" i="34"/>
  <c r="X20" i="34" s="1"/>
  <c r="X23" i="34" s="1"/>
  <c r="AG10" i="26"/>
  <c r="AH10" i="26" s="1"/>
  <c r="AH8" i="26"/>
  <c r="AL8" i="26" s="1"/>
  <c r="AL11" i="26" s="1"/>
  <c r="AB22" i="34"/>
  <c r="AA22" i="34"/>
  <c r="D47" i="49"/>
  <c r="F47" i="49" s="1"/>
  <c r="I27" i="36"/>
  <c r="M27" i="36" s="1"/>
  <c r="I27" i="46"/>
  <c r="M27" i="46" s="1"/>
  <c r="S4" i="37"/>
  <c r="T4" i="37" s="1"/>
  <c r="AP60" i="31"/>
  <c r="AP45" i="31"/>
  <c r="D52" i="49"/>
  <c r="AP55" i="31"/>
  <c r="AP59" i="31"/>
  <c r="I28" i="36"/>
  <c r="M28" i="36" s="1"/>
  <c r="I28" i="46"/>
  <c r="S22" i="35"/>
  <c r="T22" i="35" s="1"/>
  <c r="AA23" i="35"/>
  <c r="T20" i="35"/>
  <c r="X20" i="35" s="1"/>
  <c r="X23" i="35" s="1"/>
  <c r="AB23" i="35"/>
  <c r="I27" i="33"/>
  <c r="J27" i="33" s="1"/>
  <c r="I28" i="33"/>
  <c r="O27" i="33" s="1"/>
  <c r="I28" i="32"/>
  <c r="O27" i="32" s="1"/>
  <c r="I27" i="32"/>
  <c r="AH8" i="34"/>
  <c r="AL8" i="34" s="1"/>
  <c r="AL11" i="34" s="1"/>
  <c r="AO10" i="34"/>
  <c r="AG8" i="31"/>
  <c r="I28" i="26"/>
  <c r="O27" i="26" s="1"/>
  <c r="J37" i="50"/>
  <c r="I28" i="39"/>
  <c r="O27" i="39" s="1"/>
  <c r="I28" i="41"/>
  <c r="M28" i="41" s="1"/>
  <c r="I27" i="41"/>
  <c r="M27" i="41" s="1"/>
  <c r="I27" i="42"/>
  <c r="AK4" i="39"/>
  <c r="AH4" i="39"/>
  <c r="AJ4" i="39" s="1"/>
  <c r="AK4" i="30"/>
  <c r="AH4" i="30"/>
  <c r="AJ4" i="30" s="1"/>
  <c r="N16" i="42"/>
  <c r="L16" i="42"/>
  <c r="X2" i="38"/>
  <c r="X5" i="38" s="1"/>
  <c r="V2" i="38"/>
  <c r="V5" i="38" s="1"/>
  <c r="AK4" i="26"/>
  <c r="AH4" i="26"/>
  <c r="AJ4" i="26" s="1"/>
  <c r="N16" i="46"/>
  <c r="L16" i="46"/>
  <c r="AK4" i="44"/>
  <c r="AK4" i="38"/>
  <c r="AH4" i="38"/>
  <c r="AJ4" i="38" s="1"/>
  <c r="AK4" i="40"/>
  <c r="AH4" i="40"/>
  <c r="AJ4" i="40" s="1"/>
  <c r="AK4" i="46"/>
  <c r="Z2" i="42"/>
  <c r="AK4" i="32"/>
  <c r="AH4" i="32"/>
  <c r="AJ4" i="32" s="1"/>
  <c r="AH4" i="28"/>
  <c r="AJ4" i="28" s="1"/>
  <c r="AK4" i="28"/>
  <c r="AH4" i="34"/>
  <c r="AJ4" i="34" s="1"/>
  <c r="AK4" i="34"/>
  <c r="T14" i="29"/>
  <c r="V14" i="29" s="1"/>
  <c r="W14" i="29"/>
  <c r="AQ15" i="39"/>
  <c r="AM15" i="39"/>
  <c r="AN13" i="39"/>
  <c r="AQ16" i="39"/>
  <c r="AM16" i="39"/>
  <c r="AJ15" i="39"/>
  <c r="AL15" i="39" s="1"/>
  <c r="J22" i="31"/>
  <c r="M23" i="31"/>
  <c r="M22" i="31"/>
  <c r="AC9" i="28"/>
  <c r="Y9" i="28"/>
  <c r="Z7" i="28"/>
  <c r="V9" i="28"/>
  <c r="X9" i="28" s="1"/>
  <c r="AC10" i="28"/>
  <c r="Y10" i="28"/>
  <c r="AH10" i="39"/>
  <c r="AN8" i="39"/>
  <c r="V28" i="39"/>
  <c r="X26" i="39"/>
  <c r="X28" i="39" s="1"/>
  <c r="AL8" i="28"/>
  <c r="AL11" i="28" s="1"/>
  <c r="AJ8" i="28"/>
  <c r="AJ11" i="28" s="1"/>
  <c r="AA65" i="37"/>
  <c r="AO65" i="37" s="1"/>
  <c r="AP65" i="37" s="1"/>
  <c r="W65" i="37"/>
  <c r="AA64" i="37"/>
  <c r="AO64" i="37" s="1"/>
  <c r="AP64" i="37" s="1"/>
  <c r="W64" i="37"/>
  <c r="K54" i="45"/>
  <c r="G52" i="45"/>
  <c r="K55" i="45"/>
  <c r="A93" i="59"/>
  <c r="A98" i="59"/>
  <c r="B92" i="59"/>
  <c r="AA22" i="49"/>
  <c r="AA23" i="49"/>
  <c r="S22" i="49"/>
  <c r="AG10" i="44"/>
  <c r="AO11" i="44"/>
  <c r="AO10" i="44"/>
  <c r="O73" i="45"/>
  <c r="P72" i="45"/>
  <c r="AC74" i="44"/>
  <c r="AD74" i="44" s="1"/>
  <c r="AD73" i="44"/>
  <c r="AC78" i="44"/>
  <c r="M19" i="44"/>
  <c r="O16" i="44"/>
  <c r="M18" i="44"/>
  <c r="O15" i="44"/>
  <c r="O86" i="35"/>
  <c r="O82" i="35"/>
  <c r="P81" i="35"/>
  <c r="M65" i="32"/>
  <c r="I65" i="32"/>
  <c r="G64" i="32"/>
  <c r="I64" i="32"/>
  <c r="M64" i="32"/>
  <c r="Q57" i="37"/>
  <c r="Q59" i="37"/>
  <c r="P64" i="28"/>
  <c r="O65" i="28"/>
  <c r="P65" i="28" s="1"/>
  <c r="AB15" i="29"/>
  <c r="T13" i="29"/>
  <c r="AB16" i="29"/>
  <c r="AA15" i="29"/>
  <c r="AA16" i="29"/>
  <c r="W13" i="29"/>
  <c r="M19" i="39"/>
  <c r="O16" i="39"/>
  <c r="J15" i="39"/>
  <c r="M18" i="39"/>
  <c r="O15" i="39"/>
  <c r="AL14" i="40"/>
  <c r="AL16" i="40" s="1"/>
  <c r="AJ16" i="40"/>
  <c r="W6" i="28"/>
  <c r="AC5" i="28"/>
  <c r="Y5" i="28"/>
  <c r="AC4" i="28"/>
  <c r="Y4" i="28"/>
  <c r="W7" i="28"/>
  <c r="T3" i="28"/>
  <c r="I27" i="26"/>
  <c r="AB16" i="39"/>
  <c r="AA15" i="39"/>
  <c r="AA16" i="39"/>
  <c r="W13" i="39"/>
  <c r="AB15" i="39"/>
  <c r="T13" i="39"/>
  <c r="O28" i="35"/>
  <c r="J28" i="35"/>
  <c r="L28" i="35" s="1"/>
  <c r="M28" i="35"/>
  <c r="O27" i="35"/>
  <c r="AK5" i="29"/>
  <c r="AQ6" i="29"/>
  <c r="AM6" i="29"/>
  <c r="AQ5" i="29"/>
  <c r="AM5" i="29"/>
  <c r="AH5" i="29"/>
  <c r="AJ5" i="29" s="1"/>
  <c r="C69" i="34"/>
  <c r="C68" i="34"/>
  <c r="X57" i="48"/>
  <c r="O82" i="26"/>
  <c r="P81" i="26"/>
  <c r="O86" i="26"/>
  <c r="B77" i="37"/>
  <c r="A78" i="37"/>
  <c r="P64" i="37"/>
  <c r="O65" i="37"/>
  <c r="P65" i="37" s="1"/>
  <c r="O70" i="41"/>
  <c r="P70" i="41" s="1"/>
  <c r="P69" i="41"/>
  <c r="A79" i="44"/>
  <c r="B78" i="44"/>
  <c r="AA70" i="48"/>
  <c r="AO70" i="48" s="1"/>
  <c r="W70" i="48"/>
  <c r="AA69" i="48"/>
  <c r="AO69" i="48" s="1"/>
  <c r="W69" i="48"/>
  <c r="Q62" i="38"/>
  <c r="Q64" i="38"/>
  <c r="B77" i="46"/>
  <c r="A78" i="46"/>
  <c r="A79" i="41"/>
  <c r="B78" i="41"/>
  <c r="AK5" i="42"/>
  <c r="AQ6" i="42"/>
  <c r="AM6" i="42"/>
  <c r="AQ5" i="42"/>
  <c r="AM5" i="42"/>
  <c r="I14" i="26"/>
  <c r="I21" i="26"/>
  <c r="N21" i="26" s="1"/>
  <c r="AC9" i="34"/>
  <c r="Y9" i="34"/>
  <c r="Z7" i="34"/>
  <c r="V9" i="34"/>
  <c r="X9" i="34" s="1"/>
  <c r="AC10" i="34"/>
  <c r="Y10" i="34"/>
  <c r="I14" i="45"/>
  <c r="I21" i="45"/>
  <c r="O77" i="33"/>
  <c r="P76" i="33"/>
  <c r="O81" i="33"/>
  <c r="Y60" i="47"/>
  <c r="Y59" i="47"/>
  <c r="F52" i="50"/>
  <c r="M59" i="39"/>
  <c r="I59" i="39"/>
  <c r="M60" i="39"/>
  <c r="I60" i="39"/>
  <c r="G59" i="39"/>
  <c r="P73" i="36"/>
  <c r="Q73" i="36" s="1"/>
  <c r="O74" i="36"/>
  <c r="X57" i="38"/>
  <c r="P76" i="45"/>
  <c r="O81" i="45"/>
  <c r="O77" i="45"/>
  <c r="G52" i="46"/>
  <c r="K54" i="46"/>
  <c r="K55" i="46"/>
  <c r="Y55" i="49"/>
  <c r="Y54" i="49"/>
  <c r="AC83" i="39"/>
  <c r="AC79" i="39"/>
  <c r="AD79" i="39" s="1"/>
  <c r="AD78" i="39"/>
  <c r="AJ69" i="44"/>
  <c r="AJ70" i="44"/>
  <c r="AP64" i="30"/>
  <c r="AJ74" i="26"/>
  <c r="AJ75" i="26"/>
  <c r="AB23" i="32"/>
  <c r="AA23" i="32"/>
  <c r="AB22" i="32"/>
  <c r="T20" i="32"/>
  <c r="AA22" i="32"/>
  <c r="S22" i="32"/>
  <c r="M23" i="44"/>
  <c r="M22" i="44"/>
  <c r="I14" i="38"/>
  <c r="I21" i="38"/>
  <c r="N21" i="38" s="1"/>
  <c r="M19" i="42"/>
  <c r="O16" i="42"/>
  <c r="M18" i="42"/>
  <c r="O15" i="42"/>
  <c r="B82" i="42"/>
  <c r="A83" i="42"/>
  <c r="AC89" i="40"/>
  <c r="AD89" i="40" s="1"/>
  <c r="AD88" i="40"/>
  <c r="AC93" i="40"/>
  <c r="C69" i="33"/>
  <c r="C68" i="33"/>
  <c r="B82" i="50"/>
  <c r="A83" i="50"/>
  <c r="G58" i="36"/>
  <c r="C57" i="36"/>
  <c r="O69" i="34"/>
  <c r="P68" i="34"/>
  <c r="Q68" i="34" s="1"/>
  <c r="G63" i="32"/>
  <c r="C62" i="32"/>
  <c r="A74" i="45"/>
  <c r="B73" i="45"/>
  <c r="B86" i="34"/>
  <c r="A91" i="34"/>
  <c r="A87" i="34"/>
  <c r="C64" i="45"/>
  <c r="C63" i="45"/>
  <c r="P64" i="40"/>
  <c r="O65" i="40"/>
  <c r="P65" i="40" s="1"/>
  <c r="M18" i="38"/>
  <c r="O15" i="38"/>
  <c r="M19" i="38"/>
  <c r="O16" i="38"/>
  <c r="J15" i="38"/>
  <c r="I28" i="42"/>
  <c r="AK3" i="33"/>
  <c r="AP6" i="33"/>
  <c r="AO6" i="33"/>
  <c r="AP5" i="33"/>
  <c r="AH3" i="33"/>
  <c r="AO5" i="33"/>
  <c r="I27" i="38"/>
  <c r="N16" i="44"/>
  <c r="L16" i="44"/>
  <c r="C63" i="59"/>
  <c r="G64" i="59"/>
  <c r="O70" i="38"/>
  <c r="P70" i="38" s="1"/>
  <c r="P69" i="38"/>
  <c r="P77" i="29"/>
  <c r="O78" i="29"/>
  <c r="AC79" i="49"/>
  <c r="AD79" i="49" s="1"/>
  <c r="AD78" i="49"/>
  <c r="AC83" i="49"/>
  <c r="Q57" i="28"/>
  <c r="Q59" i="28"/>
  <c r="G52" i="26"/>
  <c r="K54" i="26"/>
  <c r="K55" i="26"/>
  <c r="AJ74" i="36"/>
  <c r="AJ75" i="36"/>
  <c r="W25" i="37"/>
  <c r="W24" i="37"/>
  <c r="AC23" i="37"/>
  <c r="Y23" i="37"/>
  <c r="T21" i="37"/>
  <c r="AC22" i="37"/>
  <c r="Y22" i="37"/>
  <c r="I21" i="39"/>
  <c r="N21" i="39" s="1"/>
  <c r="I14" i="39"/>
  <c r="AC74" i="41"/>
  <c r="AD74" i="41" s="1"/>
  <c r="AD73" i="41"/>
  <c r="AC78" i="41"/>
  <c r="C64" i="36"/>
  <c r="C63" i="36"/>
  <c r="AC10" i="33"/>
  <c r="Y10" i="33"/>
  <c r="AC9" i="33"/>
  <c r="Y9" i="33"/>
  <c r="Z7" i="33"/>
  <c r="V9" i="33"/>
  <c r="X9" i="33" s="1"/>
  <c r="AA22" i="40"/>
  <c r="T20" i="40"/>
  <c r="AA23" i="40"/>
  <c r="S22" i="40"/>
  <c r="AB22" i="40"/>
  <c r="AB23" i="40"/>
  <c r="M23" i="35"/>
  <c r="M22" i="35"/>
  <c r="J22" i="35"/>
  <c r="I16" i="26"/>
  <c r="J16" i="26" s="1"/>
  <c r="AC28" i="36"/>
  <c r="Y28" i="36"/>
  <c r="Z25" i="36"/>
  <c r="AC27" i="36"/>
  <c r="Y27" i="36"/>
  <c r="V27" i="36"/>
  <c r="X27" i="36" s="1"/>
  <c r="J15" i="26"/>
  <c r="M18" i="26"/>
  <c r="O15" i="26"/>
  <c r="O16" i="26"/>
  <c r="M19" i="26"/>
  <c r="AA22" i="28"/>
  <c r="T20" i="28"/>
  <c r="AB23" i="28"/>
  <c r="AA23" i="28"/>
  <c r="S22" i="28"/>
  <c r="AB22" i="28"/>
  <c r="P81" i="47"/>
  <c r="O82" i="47"/>
  <c r="O86" i="47"/>
  <c r="AI72" i="28"/>
  <c r="AL74" i="28"/>
  <c r="AH74" i="28"/>
  <c r="AL75" i="28"/>
  <c r="AH75" i="28"/>
  <c r="AA70" i="36"/>
  <c r="AO70" i="36" s="1"/>
  <c r="AP70" i="36" s="1"/>
  <c r="AA69" i="36"/>
  <c r="AO69" i="36" s="1"/>
  <c r="W70" i="36"/>
  <c r="W69" i="36"/>
  <c r="AI92" i="46"/>
  <c r="AL94" i="46"/>
  <c r="AH94" i="46"/>
  <c r="AH95" i="46"/>
  <c r="AL95" i="46"/>
  <c r="Y55" i="31"/>
  <c r="Y54" i="31"/>
  <c r="M59" i="30"/>
  <c r="I59" i="30"/>
  <c r="M60" i="30"/>
  <c r="I60" i="30"/>
  <c r="G59" i="30"/>
  <c r="C69" i="27"/>
  <c r="C68" i="27"/>
  <c r="AP64" i="38"/>
  <c r="W90" i="32"/>
  <c r="AA89" i="32"/>
  <c r="AO89" i="32" s="1"/>
  <c r="W89" i="32"/>
  <c r="AA90" i="32"/>
  <c r="AO90" i="32" s="1"/>
  <c r="AP90" i="32" s="1"/>
  <c r="M19" i="33"/>
  <c r="O16" i="33"/>
  <c r="J15" i="33"/>
  <c r="M18" i="33"/>
  <c r="O15" i="33"/>
  <c r="M19" i="30"/>
  <c r="O16" i="30"/>
  <c r="J15" i="30"/>
  <c r="M18" i="30"/>
  <c r="O15" i="30"/>
  <c r="AQ15" i="49"/>
  <c r="AM15" i="49"/>
  <c r="AN13" i="49"/>
  <c r="AQ16" i="49"/>
  <c r="AM16" i="49"/>
  <c r="AN13" i="37"/>
  <c r="AQ16" i="37"/>
  <c r="AM16" i="37"/>
  <c r="AJ15" i="37"/>
  <c r="AL15" i="37" s="1"/>
  <c r="AQ15" i="37"/>
  <c r="AM15" i="37"/>
  <c r="A75" i="42"/>
  <c r="B75" i="42" s="1"/>
  <c r="B74" i="42"/>
  <c r="AJ70" i="38"/>
  <c r="AJ69" i="38"/>
  <c r="AA65" i="39"/>
  <c r="AO65" i="39" s="1"/>
  <c r="AP65" i="39" s="1"/>
  <c r="W65" i="39"/>
  <c r="AA64" i="39"/>
  <c r="AO64" i="39" s="1"/>
  <c r="W64" i="39"/>
  <c r="AC79" i="31"/>
  <c r="AD79" i="31" s="1"/>
  <c r="AD78" i="31"/>
  <c r="AC83" i="31"/>
  <c r="A79" i="35"/>
  <c r="B78" i="35"/>
  <c r="O73" i="46"/>
  <c r="P72" i="46"/>
  <c r="O73" i="27"/>
  <c r="P72" i="27"/>
  <c r="AP59" i="34"/>
  <c r="X52" i="28"/>
  <c r="A83" i="33"/>
  <c r="B82" i="33"/>
  <c r="AQ16" i="32"/>
  <c r="AM16" i="32"/>
  <c r="AJ15" i="32"/>
  <c r="AL15" i="32" s="1"/>
  <c r="AN13" i="32"/>
  <c r="AM15" i="32"/>
  <c r="AQ15" i="32"/>
  <c r="I21" i="30"/>
  <c r="N21" i="30" s="1"/>
  <c r="I14" i="30"/>
  <c r="M23" i="46"/>
  <c r="M22" i="46"/>
  <c r="AA22" i="44"/>
  <c r="AA23" i="44"/>
  <c r="S22" i="44"/>
  <c r="O93" i="59"/>
  <c r="P92" i="59"/>
  <c r="O98" i="59"/>
  <c r="M64" i="31"/>
  <c r="I64" i="31"/>
  <c r="M65" i="31"/>
  <c r="I65" i="31"/>
  <c r="G64" i="31"/>
  <c r="Y55" i="43"/>
  <c r="Y54" i="43"/>
  <c r="G52" i="48"/>
  <c r="K55" i="48"/>
  <c r="K54" i="48"/>
  <c r="K59" i="28"/>
  <c r="G57" i="28"/>
  <c r="K60" i="28"/>
  <c r="K59" i="41"/>
  <c r="G57" i="41"/>
  <c r="K60" i="41"/>
  <c r="C62" i="27"/>
  <c r="G63" i="27"/>
  <c r="X77" i="32"/>
  <c r="B77" i="30"/>
  <c r="A78" i="30"/>
  <c r="AB16" i="30"/>
  <c r="AA15" i="30"/>
  <c r="AA16" i="30"/>
  <c r="W13" i="30"/>
  <c r="AB15" i="30"/>
  <c r="T13" i="30"/>
  <c r="A70" i="48"/>
  <c r="B70" i="48" s="1"/>
  <c r="B69" i="48"/>
  <c r="Q59" i="27"/>
  <c r="Q57" i="27"/>
  <c r="AE39" i="49"/>
  <c r="AG39" i="49" s="1"/>
  <c r="D43" i="49"/>
  <c r="D39" i="49"/>
  <c r="F39" i="49" s="1"/>
  <c r="H39" i="49" s="1"/>
  <c r="R38" i="49"/>
  <c r="AE43" i="49"/>
  <c r="R34" i="49"/>
  <c r="R42" i="49"/>
  <c r="I21" i="27"/>
  <c r="I14" i="27"/>
  <c r="W7" i="36"/>
  <c r="T3" i="36"/>
  <c r="W6" i="36"/>
  <c r="AC5" i="36"/>
  <c r="Y5" i="36"/>
  <c r="AC4" i="36"/>
  <c r="Y4" i="36"/>
  <c r="AK13" i="40"/>
  <c r="AK12" i="40"/>
  <c r="AQ11" i="40"/>
  <c r="AM11" i="40"/>
  <c r="AQ10" i="40"/>
  <c r="AM10" i="40"/>
  <c r="AH9" i="40"/>
  <c r="X8" i="31"/>
  <c r="X10" i="31" s="1"/>
  <c r="V10" i="31"/>
  <c r="AN13" i="26"/>
  <c r="AQ16" i="26"/>
  <c r="AM16" i="26"/>
  <c r="AJ15" i="26"/>
  <c r="AL15" i="26" s="1"/>
  <c r="AQ15" i="26"/>
  <c r="AM15" i="26"/>
  <c r="W15" i="36"/>
  <c r="AC15" i="36"/>
  <c r="Y15" i="36"/>
  <c r="T15" i="36"/>
  <c r="V15" i="36" s="1"/>
  <c r="AC16" i="36"/>
  <c r="Y16" i="36"/>
  <c r="W15" i="26"/>
  <c r="AC15" i="26"/>
  <c r="Y15" i="26"/>
  <c r="T15" i="26"/>
  <c r="V15" i="26" s="1"/>
  <c r="AC16" i="26"/>
  <c r="Y16" i="26"/>
  <c r="AN13" i="28"/>
  <c r="AQ16" i="28"/>
  <c r="AM16" i="28"/>
  <c r="AJ15" i="28"/>
  <c r="AL15" i="28" s="1"/>
  <c r="AQ15" i="28"/>
  <c r="AM15" i="28"/>
  <c r="I27" i="40"/>
  <c r="A86" i="36"/>
  <c r="A82" i="36"/>
  <c r="B81" i="36"/>
  <c r="X52" i="34"/>
  <c r="AF7" i="61"/>
  <c r="C5" i="47"/>
  <c r="AP7" i="24"/>
  <c r="Y6" i="24" s="1"/>
  <c r="B7" i="24"/>
  <c r="AA65" i="45"/>
  <c r="AO65" i="45" s="1"/>
  <c r="W65" i="45"/>
  <c r="AA64" i="45"/>
  <c r="AO64" i="45" s="1"/>
  <c r="W64" i="45"/>
  <c r="Y55" i="33"/>
  <c r="Y54" i="33"/>
  <c r="Q59" i="49"/>
  <c r="Q57" i="49"/>
  <c r="Y55" i="50"/>
  <c r="Y54" i="50"/>
  <c r="AQ6" i="49"/>
  <c r="AM6" i="49"/>
  <c r="AQ5" i="49"/>
  <c r="AM5" i="49"/>
  <c r="AK5" i="49"/>
  <c r="AH4" i="37"/>
  <c r="AJ4" i="37" s="1"/>
  <c r="AK4" i="37"/>
  <c r="AK5" i="30"/>
  <c r="AQ6" i="30"/>
  <c r="AM6" i="30"/>
  <c r="AQ5" i="30"/>
  <c r="AM5" i="30"/>
  <c r="AH5" i="30"/>
  <c r="AJ5" i="30" s="1"/>
  <c r="N16" i="49"/>
  <c r="L16" i="49"/>
  <c r="B86" i="28"/>
  <c r="A91" i="28"/>
  <c r="A87" i="28"/>
  <c r="Q64" i="48"/>
  <c r="Q62" i="48"/>
  <c r="Q59" i="44"/>
  <c r="Q57" i="44"/>
  <c r="AJ74" i="27"/>
  <c r="AJ75" i="27"/>
  <c r="AC79" i="45"/>
  <c r="AD79" i="45" s="1"/>
  <c r="AD78" i="45"/>
  <c r="AC83" i="45"/>
  <c r="C64" i="43"/>
  <c r="C63" i="43"/>
  <c r="AJ75" i="37"/>
  <c r="AJ74" i="37"/>
  <c r="K59" i="35"/>
  <c r="G57" i="35"/>
  <c r="K60" i="35"/>
  <c r="O69" i="46"/>
  <c r="P68" i="46"/>
  <c r="Q68" i="46" s="1"/>
  <c r="H42" i="50"/>
  <c r="M64" i="49"/>
  <c r="I64" i="49"/>
  <c r="M65" i="49"/>
  <c r="I65" i="49"/>
  <c r="G64" i="49"/>
  <c r="G4" i="24"/>
  <c r="O86" i="41"/>
  <c r="O82" i="41"/>
  <c r="P81" i="41"/>
  <c r="Y55" i="37"/>
  <c r="Y54" i="37"/>
  <c r="Q59" i="31"/>
  <c r="Q57" i="31"/>
  <c r="B77" i="39"/>
  <c r="A78" i="39"/>
  <c r="AC15" i="34"/>
  <c r="Y15" i="34"/>
  <c r="T15" i="34"/>
  <c r="V15" i="34" s="1"/>
  <c r="AC16" i="34"/>
  <c r="Y16" i="34"/>
  <c r="W15" i="34"/>
  <c r="AC15" i="49"/>
  <c r="Y15" i="49"/>
  <c r="AC16" i="49"/>
  <c r="Y16" i="49"/>
  <c r="W15" i="49"/>
  <c r="C62" i="28"/>
  <c r="G63" i="28"/>
  <c r="C62" i="38"/>
  <c r="G63" i="38"/>
  <c r="A75" i="47"/>
  <c r="B75" i="47" s="1"/>
  <c r="B74" i="47"/>
  <c r="P72" i="43"/>
  <c r="O73" i="43"/>
  <c r="AL75" i="42"/>
  <c r="AH75" i="42"/>
  <c r="AI72" i="42"/>
  <c r="AL74" i="42"/>
  <c r="AH74" i="42"/>
  <c r="AA70" i="29"/>
  <c r="AO70" i="29" s="1"/>
  <c r="AP70" i="29" s="1"/>
  <c r="W70" i="29"/>
  <c r="AA69" i="29"/>
  <c r="AO69" i="29" s="1"/>
  <c r="W69" i="29"/>
  <c r="X52" i="44"/>
  <c r="AC10" i="42"/>
  <c r="Y10" i="42"/>
  <c r="AC9" i="42"/>
  <c r="Y9" i="42"/>
  <c r="Z7" i="42"/>
  <c r="W6" i="38"/>
  <c r="AC5" i="38"/>
  <c r="Y5" i="38"/>
  <c r="AC4" i="38"/>
  <c r="Y4" i="38"/>
  <c r="W7" i="38"/>
  <c r="T3" i="38"/>
  <c r="W6" i="44"/>
  <c r="AC5" i="44"/>
  <c r="Y5" i="44"/>
  <c r="AC4" i="44"/>
  <c r="Y4" i="44"/>
  <c r="W7" i="44"/>
  <c r="S14" i="31"/>
  <c r="S15" i="31"/>
  <c r="S13" i="31"/>
  <c r="AA65" i="33"/>
  <c r="AO65" i="33" s="1"/>
  <c r="AP65" i="33" s="1"/>
  <c r="W65" i="33"/>
  <c r="AA64" i="33"/>
  <c r="AO64" i="33" s="1"/>
  <c r="W64" i="33"/>
  <c r="AA70" i="47"/>
  <c r="AO70" i="47" s="1"/>
  <c r="W70" i="47"/>
  <c r="AA69" i="47"/>
  <c r="AO69" i="47" s="1"/>
  <c r="W69" i="47"/>
  <c r="AI4" i="61"/>
  <c r="AJ3" i="61"/>
  <c r="B4" i="21"/>
  <c r="AP4" i="21"/>
  <c r="C8" i="50"/>
  <c r="D53" i="50" s="1"/>
  <c r="F53" i="50" s="1"/>
  <c r="H53" i="50" s="1"/>
  <c r="AJ74" i="48"/>
  <c r="AJ75" i="48"/>
  <c r="A91" i="31"/>
  <c r="A87" i="31"/>
  <c r="B86" i="31"/>
  <c r="B82" i="32"/>
  <c r="A83" i="32"/>
  <c r="M60" i="26"/>
  <c r="I60" i="26"/>
  <c r="G59" i="26"/>
  <c r="I59" i="26"/>
  <c r="M59" i="26"/>
  <c r="C57" i="45"/>
  <c r="G58" i="45"/>
  <c r="B82" i="29"/>
  <c r="A83" i="29"/>
  <c r="W14" i="37"/>
  <c r="T14" i="37"/>
  <c r="V14" i="37" s="1"/>
  <c r="V27" i="38"/>
  <c r="X27" i="38" s="1"/>
  <c r="AC28" i="38"/>
  <c r="Y28" i="38"/>
  <c r="Z25" i="38"/>
  <c r="AC27" i="38"/>
  <c r="Y27" i="38"/>
  <c r="AC15" i="44"/>
  <c r="Y15" i="44"/>
  <c r="AC16" i="44"/>
  <c r="Y16" i="44"/>
  <c r="W15" i="44"/>
  <c r="AN13" i="34"/>
  <c r="AQ16" i="34"/>
  <c r="AM16" i="34"/>
  <c r="AJ15" i="34"/>
  <c r="AL15" i="34" s="1"/>
  <c r="AQ15" i="34"/>
  <c r="AM15" i="34"/>
  <c r="AC28" i="42"/>
  <c r="Y28" i="42"/>
  <c r="Z25" i="42"/>
  <c r="AC27" i="42"/>
  <c r="Y27" i="42"/>
  <c r="W70" i="26"/>
  <c r="AA69" i="26"/>
  <c r="AO69" i="26" s="1"/>
  <c r="AP69" i="26" s="1"/>
  <c r="W69" i="26"/>
  <c r="AA70" i="26"/>
  <c r="AO70" i="26" s="1"/>
  <c r="AP70" i="26" s="1"/>
  <c r="M65" i="41"/>
  <c r="I65" i="41"/>
  <c r="G64" i="41"/>
  <c r="M64" i="41"/>
  <c r="I64" i="41"/>
  <c r="AI67" i="47"/>
  <c r="AL69" i="47"/>
  <c r="AH69" i="47"/>
  <c r="AL70" i="47"/>
  <c r="AH70" i="47"/>
  <c r="A79" i="29"/>
  <c r="B78" i="29"/>
  <c r="W15" i="42"/>
  <c r="AC15" i="42"/>
  <c r="Y15" i="42"/>
  <c r="AC16" i="42"/>
  <c r="Y16" i="42"/>
  <c r="S4" i="29"/>
  <c r="AB5" i="29"/>
  <c r="AB4" i="29"/>
  <c r="AA5" i="29"/>
  <c r="AA4" i="29"/>
  <c r="T2" i="29"/>
  <c r="AO5" i="39"/>
  <c r="AK3" i="39"/>
  <c r="AP6" i="39"/>
  <c r="AO6" i="39"/>
  <c r="AP5" i="39"/>
  <c r="AH3" i="39"/>
  <c r="AB16" i="40"/>
  <c r="AA15" i="40"/>
  <c r="AA16" i="40"/>
  <c r="W13" i="40"/>
  <c r="T13" i="40"/>
  <c r="AB15" i="40"/>
  <c r="X8" i="28"/>
  <c r="X10" i="28" s="1"/>
  <c r="V10" i="28"/>
  <c r="W7" i="26"/>
  <c r="W6" i="26"/>
  <c r="AC5" i="26"/>
  <c r="Y5" i="26"/>
  <c r="AC4" i="26"/>
  <c r="Y4" i="26"/>
  <c r="T3" i="26"/>
  <c r="I28" i="29"/>
  <c r="AC22" i="39"/>
  <c r="Y22" i="39"/>
  <c r="W25" i="39"/>
  <c r="W24" i="39"/>
  <c r="AC23" i="39"/>
  <c r="Y23" i="39"/>
  <c r="T21" i="39"/>
  <c r="AJ16" i="36"/>
  <c r="AL14" i="36"/>
  <c r="AL16" i="36" s="1"/>
  <c r="AC28" i="26"/>
  <c r="Y28" i="26"/>
  <c r="Z25" i="26"/>
  <c r="V27" i="26"/>
  <c r="X27" i="26" s="1"/>
  <c r="AC27" i="26"/>
  <c r="Y27" i="26"/>
  <c r="V27" i="28"/>
  <c r="X27" i="28" s="1"/>
  <c r="AC28" i="28"/>
  <c r="Y28" i="28"/>
  <c r="Z25" i="28"/>
  <c r="AC27" i="28"/>
  <c r="Y27" i="28"/>
  <c r="AO6" i="35"/>
  <c r="AP5" i="35"/>
  <c r="AH3" i="35"/>
  <c r="AO5" i="35"/>
  <c r="AK3" i="35"/>
  <c r="AP6" i="35"/>
  <c r="A74" i="36"/>
  <c r="B73" i="36"/>
  <c r="AG38" i="49"/>
  <c r="A75" i="35"/>
  <c r="B75" i="35" s="1"/>
  <c r="B74" i="35"/>
  <c r="X52" i="40"/>
  <c r="B82" i="59"/>
  <c r="A83" i="59"/>
  <c r="O70" i="42"/>
  <c r="P70" i="42" s="1"/>
  <c r="P69" i="42"/>
  <c r="X57" i="35"/>
  <c r="B86" i="41"/>
  <c r="A91" i="41"/>
  <c r="A87" i="41"/>
  <c r="W6" i="32"/>
  <c r="AC5" i="32"/>
  <c r="Y5" i="32"/>
  <c r="AC4" i="32"/>
  <c r="Y4" i="32"/>
  <c r="T3" i="32"/>
  <c r="W7" i="32"/>
  <c r="AC15" i="33"/>
  <c r="Y15" i="33"/>
  <c r="T15" i="33"/>
  <c r="V15" i="33" s="1"/>
  <c r="AC16" i="33"/>
  <c r="Y16" i="33"/>
  <c r="W15" i="33"/>
  <c r="AO10" i="38"/>
  <c r="AH8" i="38"/>
  <c r="AP11" i="38"/>
  <c r="AG10" i="38"/>
  <c r="AO11" i="38"/>
  <c r="AP10" i="38"/>
  <c r="AP40" i="31"/>
  <c r="AP39" i="31"/>
  <c r="AP49" i="31"/>
  <c r="AP34" i="31"/>
  <c r="AP50" i="31"/>
  <c r="AP35" i="31"/>
  <c r="I28" i="31"/>
  <c r="I27" i="31"/>
  <c r="AG9" i="31"/>
  <c r="AI15" i="31"/>
  <c r="AC79" i="34"/>
  <c r="AD79" i="34" s="1"/>
  <c r="AD78" i="34"/>
  <c r="AC83" i="34"/>
  <c r="P77" i="59"/>
  <c r="O78" i="59"/>
  <c r="P78" i="59" s="1"/>
  <c r="B86" i="49"/>
  <c r="A91" i="49"/>
  <c r="A87" i="49"/>
  <c r="AI72" i="50"/>
  <c r="AL74" i="50"/>
  <c r="AH74" i="50"/>
  <c r="AL75" i="50"/>
  <c r="AH75" i="50"/>
  <c r="A78" i="59"/>
  <c r="B78" i="59" s="1"/>
  <c r="B77" i="59"/>
  <c r="P97" i="32"/>
  <c r="O98" i="32"/>
  <c r="AO6" i="38"/>
  <c r="AP5" i="38"/>
  <c r="AH3" i="38"/>
  <c r="AO5" i="38"/>
  <c r="AK3" i="38"/>
  <c r="AP6" i="38"/>
  <c r="AA65" i="49"/>
  <c r="AO65" i="49" s="1"/>
  <c r="AP65" i="49" s="1"/>
  <c r="W65" i="49"/>
  <c r="AA64" i="49"/>
  <c r="AO64" i="49" s="1"/>
  <c r="AP64" i="49" s="1"/>
  <c r="W64" i="49"/>
  <c r="C62" i="34"/>
  <c r="G63" i="34"/>
  <c r="AC74" i="29"/>
  <c r="AD74" i="29" s="1"/>
  <c r="AD73" i="29"/>
  <c r="AC78" i="29"/>
  <c r="AP64" i="36"/>
  <c r="Q59" i="33"/>
  <c r="Q57" i="33"/>
  <c r="P76" i="34"/>
  <c r="O81" i="34"/>
  <c r="O77" i="34"/>
  <c r="B81" i="45"/>
  <c r="A86" i="45"/>
  <c r="A82" i="45"/>
  <c r="Y60" i="36"/>
  <c r="Y59" i="36"/>
  <c r="O77" i="44"/>
  <c r="P76" i="44"/>
  <c r="O81" i="44"/>
  <c r="K59" i="40"/>
  <c r="G57" i="40"/>
  <c r="K60" i="40"/>
  <c r="I28" i="37"/>
  <c r="AQ15" i="33"/>
  <c r="AM15" i="33"/>
  <c r="AN13" i="33"/>
  <c r="AQ16" i="33"/>
  <c r="AM16" i="33"/>
  <c r="AJ15" i="33"/>
  <c r="AL15" i="33" s="1"/>
  <c r="AC15" i="46"/>
  <c r="Y15" i="46"/>
  <c r="W15" i="46"/>
  <c r="AC16" i="46"/>
  <c r="Y16" i="46"/>
  <c r="I27" i="30"/>
  <c r="M18" i="32"/>
  <c r="O15" i="32"/>
  <c r="M19" i="32"/>
  <c r="O16" i="32"/>
  <c r="J15" i="32"/>
  <c r="AC83" i="30"/>
  <c r="AC79" i="30"/>
  <c r="AD79" i="30" s="1"/>
  <c r="AD78" i="30"/>
  <c r="P76" i="28"/>
  <c r="O81" i="28"/>
  <c r="O77" i="28"/>
  <c r="C62" i="29"/>
  <c r="G63" i="29"/>
  <c r="I21" i="48"/>
  <c r="I14" i="48"/>
  <c r="T14" i="38"/>
  <c r="V14" i="38" s="1"/>
  <c r="W14" i="38"/>
  <c r="AQ5" i="34"/>
  <c r="AM5" i="34"/>
  <c r="AH5" i="34"/>
  <c r="AJ5" i="34" s="1"/>
  <c r="AK5" i="34"/>
  <c r="AQ6" i="34"/>
  <c r="AM6" i="34"/>
  <c r="AL14" i="32"/>
  <c r="AL16" i="32" s="1"/>
  <c r="AJ16" i="32"/>
  <c r="J28" i="36"/>
  <c r="L28" i="36" s="1"/>
  <c r="L16" i="29"/>
  <c r="N16" i="29"/>
  <c r="AH10" i="40"/>
  <c r="AN8" i="40"/>
  <c r="AK4" i="29"/>
  <c r="AH4" i="29"/>
  <c r="AJ4" i="29" s="1"/>
  <c r="Y60" i="48"/>
  <c r="Y59" i="48"/>
  <c r="AA70" i="30"/>
  <c r="AO70" i="30" s="1"/>
  <c r="AP70" i="30" s="1"/>
  <c r="W70" i="30"/>
  <c r="AA69" i="30"/>
  <c r="AO69" i="30" s="1"/>
  <c r="AP69" i="30" s="1"/>
  <c r="W69" i="30"/>
  <c r="O70" i="48"/>
  <c r="P70" i="48" s="1"/>
  <c r="P69" i="48"/>
  <c r="C69" i="47"/>
  <c r="C68" i="47"/>
  <c r="B81" i="46"/>
  <c r="A82" i="46"/>
  <c r="A86" i="46"/>
  <c r="Q62" i="29"/>
  <c r="Q64" i="29"/>
  <c r="X57" i="47"/>
  <c r="AP59" i="40"/>
  <c r="B86" i="35"/>
  <c r="A91" i="35"/>
  <c r="A87" i="35"/>
  <c r="B86" i="40"/>
  <c r="A91" i="40"/>
  <c r="A87" i="40"/>
  <c r="V27" i="34"/>
  <c r="X27" i="34" s="1"/>
  <c r="AC28" i="34"/>
  <c r="Y28" i="34"/>
  <c r="Z25" i="34"/>
  <c r="AC27" i="34"/>
  <c r="Y27" i="34"/>
  <c r="AL84" i="59"/>
  <c r="AL83" i="59"/>
  <c r="AC16" i="29"/>
  <c r="Y16" i="29"/>
  <c r="W15" i="29"/>
  <c r="AC15" i="29"/>
  <c r="Y15" i="29"/>
  <c r="T15" i="29"/>
  <c r="V15" i="29" s="1"/>
  <c r="M23" i="39"/>
  <c r="M22" i="39"/>
  <c r="J22" i="39"/>
  <c r="T21" i="35"/>
  <c r="AC22" i="35"/>
  <c r="Y22" i="35"/>
  <c r="W25" i="35"/>
  <c r="W24" i="35"/>
  <c r="AC23" i="35"/>
  <c r="Y23" i="35"/>
  <c r="AH10" i="28"/>
  <c r="AN8" i="28"/>
  <c r="B81" i="37"/>
  <c r="A86" i="37"/>
  <c r="A82" i="37"/>
  <c r="A83" i="27"/>
  <c r="B82" i="27"/>
  <c r="K60" i="27"/>
  <c r="K59" i="27"/>
  <c r="G57" i="27"/>
  <c r="P77" i="38"/>
  <c r="O78" i="38"/>
  <c r="A70" i="43"/>
  <c r="B70" i="43" s="1"/>
  <c r="B69" i="43"/>
  <c r="Q59" i="39"/>
  <c r="Q57" i="39"/>
  <c r="B87" i="59"/>
  <c r="A88" i="59"/>
  <c r="AO5" i="42"/>
  <c r="AK3" i="42"/>
  <c r="AO6" i="42"/>
  <c r="W6" i="34"/>
  <c r="AC5" i="34"/>
  <c r="Y5" i="34"/>
  <c r="AC4" i="34"/>
  <c r="Y4" i="34"/>
  <c r="W7" i="34"/>
  <c r="T3" i="34"/>
  <c r="W6" i="49"/>
  <c r="AC5" i="49"/>
  <c r="Y5" i="49"/>
  <c r="AC4" i="49"/>
  <c r="Y4" i="49"/>
  <c r="W7" i="49"/>
  <c r="Y60" i="38"/>
  <c r="Y59" i="38"/>
  <c r="X52" i="49"/>
  <c r="A79" i="49"/>
  <c r="B78" i="49"/>
  <c r="AL70" i="44"/>
  <c r="AH70" i="44"/>
  <c r="AI67" i="44"/>
  <c r="AL69" i="44"/>
  <c r="AH69" i="44"/>
  <c r="AL75" i="26"/>
  <c r="AH75" i="26"/>
  <c r="AI72" i="26"/>
  <c r="AL74" i="26"/>
  <c r="AH74" i="26"/>
  <c r="I21" i="42"/>
  <c r="N21" i="42" s="1"/>
  <c r="I14" i="42"/>
  <c r="M23" i="42"/>
  <c r="M22" i="42"/>
  <c r="I21" i="40"/>
  <c r="N21" i="40" s="1"/>
  <c r="I14" i="40"/>
  <c r="B86" i="42"/>
  <c r="A91" i="42"/>
  <c r="A87" i="42"/>
  <c r="B82" i="38"/>
  <c r="A83" i="38"/>
  <c r="AJ85" i="40"/>
  <c r="AJ84" i="40"/>
  <c r="Q64" i="36"/>
  <c r="Q62" i="36"/>
  <c r="AN83" i="59"/>
  <c r="AJ83" i="59"/>
  <c r="AN84" i="59"/>
  <c r="AJ84" i="59"/>
  <c r="AK81" i="59"/>
  <c r="B86" i="50"/>
  <c r="A91" i="50"/>
  <c r="A87" i="50"/>
  <c r="M59" i="36"/>
  <c r="I59" i="36"/>
  <c r="M60" i="36"/>
  <c r="I60" i="36"/>
  <c r="G59" i="36"/>
  <c r="Y55" i="39"/>
  <c r="Y54" i="39"/>
  <c r="K54" i="37"/>
  <c r="G52" i="37"/>
  <c r="K55" i="37"/>
  <c r="M23" i="38"/>
  <c r="M22" i="38"/>
  <c r="J22" i="38"/>
  <c r="AC22" i="30"/>
  <c r="Y22" i="30"/>
  <c r="W25" i="30"/>
  <c r="W24" i="30"/>
  <c r="AC23" i="30"/>
  <c r="Y23" i="30"/>
  <c r="T21" i="30"/>
  <c r="AH4" i="33"/>
  <c r="AJ4" i="33" s="1"/>
  <c r="AK4" i="33"/>
  <c r="N16" i="30"/>
  <c r="L16" i="30"/>
  <c r="I14" i="29"/>
  <c r="I21" i="29"/>
  <c r="N21" i="29" s="1"/>
  <c r="J15" i="37"/>
  <c r="M18" i="37"/>
  <c r="O15" i="37"/>
  <c r="M19" i="37"/>
  <c r="O16" i="37"/>
  <c r="X52" i="45"/>
  <c r="T38" i="50"/>
  <c r="V38" i="50"/>
  <c r="C70" i="59"/>
  <c r="C71" i="59"/>
  <c r="B82" i="47"/>
  <c r="A83" i="47"/>
  <c r="O69" i="28"/>
  <c r="P68" i="28"/>
  <c r="Q68" i="28" s="1"/>
  <c r="O86" i="29"/>
  <c r="O82" i="29"/>
  <c r="P81" i="29"/>
  <c r="AJ74" i="49"/>
  <c r="AJ75" i="49"/>
  <c r="O73" i="40"/>
  <c r="P72" i="40"/>
  <c r="AL75" i="36"/>
  <c r="AH75" i="36"/>
  <c r="AL74" i="36"/>
  <c r="AH74" i="36"/>
  <c r="AI72" i="36"/>
  <c r="V27" i="37"/>
  <c r="X27" i="37" s="1"/>
  <c r="AC28" i="37"/>
  <c r="Y28" i="37"/>
  <c r="Z25" i="37"/>
  <c r="AC27" i="37"/>
  <c r="Y27" i="37"/>
  <c r="T21" i="32"/>
  <c r="W25" i="32"/>
  <c r="AC23" i="32"/>
  <c r="Y22" i="32"/>
  <c r="AC22" i="32"/>
  <c r="W24" i="32"/>
  <c r="Y23" i="32"/>
  <c r="AJ70" i="41"/>
  <c r="AJ69" i="41"/>
  <c r="Y60" i="30"/>
  <c r="Y59" i="30"/>
  <c r="O69" i="40"/>
  <c r="P68" i="40"/>
  <c r="Q68" i="40" s="1"/>
  <c r="AN8" i="49"/>
  <c r="W25" i="44"/>
  <c r="W24" i="44"/>
  <c r="AC23" i="44"/>
  <c r="Y23" i="44"/>
  <c r="AC22" i="44"/>
  <c r="Y22" i="44"/>
  <c r="Z2" i="44"/>
  <c r="AB15" i="32"/>
  <c r="T13" i="32"/>
  <c r="AB16" i="32"/>
  <c r="AA16" i="32"/>
  <c r="W13" i="32"/>
  <c r="AA15" i="32"/>
  <c r="N16" i="36"/>
  <c r="L16" i="36"/>
  <c r="J27" i="28"/>
  <c r="M27" i="28"/>
  <c r="T14" i="35"/>
  <c r="V14" i="35" s="1"/>
  <c r="W14" i="35"/>
  <c r="W6" i="29"/>
  <c r="AC5" i="29"/>
  <c r="Y5" i="29"/>
  <c r="AC4" i="29"/>
  <c r="Y4" i="29"/>
  <c r="W7" i="29"/>
  <c r="T3" i="29"/>
  <c r="M19" i="36"/>
  <c r="O16" i="36"/>
  <c r="J15" i="36"/>
  <c r="M18" i="36"/>
  <c r="O15" i="36"/>
  <c r="T4" i="36"/>
  <c r="Z2" i="36"/>
  <c r="M23" i="26"/>
  <c r="M22" i="26"/>
  <c r="J22" i="26"/>
  <c r="W14" i="28"/>
  <c r="T14" i="28"/>
  <c r="V14" i="28" s="1"/>
  <c r="L16" i="35"/>
  <c r="N16" i="35"/>
  <c r="V20" i="35"/>
  <c r="V23" i="35" s="1"/>
  <c r="O70" i="36"/>
  <c r="P70" i="36" s="1"/>
  <c r="P69" i="36"/>
  <c r="G58" i="48"/>
  <c r="C57" i="48"/>
  <c r="AA5" i="24"/>
  <c r="AG5" i="24" s="1"/>
  <c r="K59" i="47"/>
  <c r="G57" i="47"/>
  <c r="K60" i="47"/>
  <c r="X52" i="31"/>
  <c r="A75" i="40"/>
  <c r="B75" i="40" s="1"/>
  <c r="B74" i="40"/>
  <c r="O74" i="38"/>
  <c r="P73" i="38"/>
  <c r="Q73" i="38" s="1"/>
  <c r="B77" i="26"/>
  <c r="A78" i="26"/>
  <c r="P89" i="32"/>
  <c r="O90" i="32"/>
  <c r="P90" i="32" s="1"/>
  <c r="J22" i="33"/>
  <c r="M23" i="33"/>
  <c r="M22" i="33"/>
  <c r="M23" i="30"/>
  <c r="M22" i="30"/>
  <c r="J22" i="30"/>
  <c r="AQ10" i="49"/>
  <c r="AM10" i="49"/>
  <c r="AK13" i="49"/>
  <c r="AK12" i="49"/>
  <c r="AQ11" i="49"/>
  <c r="AM11" i="49"/>
  <c r="AK13" i="37"/>
  <c r="AK12" i="37"/>
  <c r="AQ11" i="37"/>
  <c r="AM11" i="37"/>
  <c r="AQ10" i="37"/>
  <c r="AM10" i="37"/>
  <c r="AH9" i="37"/>
  <c r="V28" i="34"/>
  <c r="X26" i="34"/>
  <c r="X28" i="34" s="1"/>
  <c r="J27" i="49"/>
  <c r="M27" i="49"/>
  <c r="CM128" i="61"/>
  <c r="BI128" i="61"/>
  <c r="H8" i="50" s="1"/>
  <c r="BK128" i="61"/>
  <c r="H10" i="50" s="1"/>
  <c r="AF13" i="50" s="1"/>
  <c r="BJ128" i="61"/>
  <c r="H9" i="50" s="1"/>
  <c r="BL128" i="61"/>
  <c r="H11" i="50" s="1"/>
  <c r="BG128" i="61"/>
  <c r="H6" i="50" s="1"/>
  <c r="BH128" i="61"/>
  <c r="H7" i="50" s="1"/>
  <c r="BF128" i="61"/>
  <c r="H5" i="50" s="1"/>
  <c r="AL69" i="38"/>
  <c r="AH69" i="38"/>
  <c r="AL70" i="38"/>
  <c r="AH70" i="38"/>
  <c r="AI67" i="38"/>
  <c r="G58" i="43"/>
  <c r="C57" i="43"/>
  <c r="AJ74" i="31"/>
  <c r="AJ75" i="31"/>
  <c r="P76" i="46"/>
  <c r="O81" i="46"/>
  <c r="O77" i="46"/>
  <c r="Q64" i="30"/>
  <c r="Q62" i="30"/>
  <c r="Y55" i="28"/>
  <c r="Y54" i="28"/>
  <c r="A91" i="33"/>
  <c r="A87" i="33"/>
  <c r="B86" i="33"/>
  <c r="O16" i="46"/>
  <c r="M18" i="46"/>
  <c r="O15" i="46"/>
  <c r="M19" i="46"/>
  <c r="W25" i="49"/>
  <c r="W24" i="49"/>
  <c r="AC23" i="49"/>
  <c r="Y23" i="49"/>
  <c r="AC22" i="49"/>
  <c r="Y22" i="49"/>
  <c r="A79" i="42"/>
  <c r="B78" i="42"/>
  <c r="O74" i="35"/>
  <c r="P73" i="35"/>
  <c r="Q73" i="35" s="1"/>
  <c r="O82" i="30"/>
  <c r="P81" i="30"/>
  <c r="O86" i="30"/>
  <c r="A79" i="50"/>
  <c r="B78" i="50"/>
  <c r="Q62" i="35"/>
  <c r="Q64" i="35"/>
  <c r="C69" i="31"/>
  <c r="C68" i="31"/>
  <c r="M64" i="27"/>
  <c r="I64" i="27"/>
  <c r="M65" i="27"/>
  <c r="I65" i="27"/>
  <c r="G64" i="27"/>
  <c r="Y80" i="32"/>
  <c r="Y79" i="32"/>
  <c r="B81" i="30"/>
  <c r="A86" i="30"/>
  <c r="A82" i="30"/>
  <c r="I16" i="38"/>
  <c r="J16" i="38" s="1"/>
  <c r="I21" i="44"/>
  <c r="N21" i="44" s="1"/>
  <c r="I14" i="44"/>
  <c r="O77" i="39"/>
  <c r="P76" i="39"/>
  <c r="O81" i="39"/>
  <c r="C68" i="29"/>
  <c r="C69" i="29"/>
  <c r="AV5" i="23"/>
  <c r="A79" i="32"/>
  <c r="B78" i="32"/>
  <c r="V9" i="36"/>
  <c r="X9" i="36" s="1"/>
  <c r="AC10" i="36"/>
  <c r="Y10" i="36"/>
  <c r="AC9" i="36"/>
  <c r="Y9" i="36"/>
  <c r="Z7" i="36"/>
  <c r="AK5" i="26"/>
  <c r="AQ5" i="26"/>
  <c r="AM5" i="26"/>
  <c r="AH5" i="26"/>
  <c r="AJ5" i="26" s="1"/>
  <c r="AQ6" i="26"/>
  <c r="AM6" i="26"/>
  <c r="O28" i="41"/>
  <c r="J28" i="41"/>
  <c r="L28" i="41" s="1"/>
  <c r="O27" i="41"/>
  <c r="AK4" i="36"/>
  <c r="AH4" i="36"/>
  <c r="AJ4" i="36" s="1"/>
  <c r="X20" i="36"/>
  <c r="X23" i="36" s="1"/>
  <c r="V20" i="36"/>
  <c r="V23" i="36" s="1"/>
  <c r="T14" i="36"/>
  <c r="V14" i="36" s="1"/>
  <c r="W14" i="36"/>
  <c r="AB16" i="26"/>
  <c r="AA15" i="26"/>
  <c r="AB15" i="26"/>
  <c r="T13" i="26"/>
  <c r="W13" i="26"/>
  <c r="AA16" i="26"/>
  <c r="AL14" i="28"/>
  <c r="AL16" i="28" s="1"/>
  <c r="AJ16" i="28"/>
  <c r="AK13" i="28"/>
  <c r="AK12" i="28"/>
  <c r="AQ11" i="28"/>
  <c r="AM11" i="28"/>
  <c r="AQ10" i="28"/>
  <c r="AM10" i="28"/>
  <c r="AH9" i="28"/>
  <c r="T22" i="29"/>
  <c r="Z20" i="29"/>
  <c r="I28" i="40"/>
  <c r="AK13" i="35"/>
  <c r="AK12" i="35"/>
  <c r="AQ11" i="35"/>
  <c r="AM11" i="35"/>
  <c r="AQ10" i="35"/>
  <c r="AM10" i="35"/>
  <c r="AH9" i="35"/>
  <c r="G63" i="42"/>
  <c r="C62" i="42"/>
  <c r="AJ75" i="32"/>
  <c r="AJ74" i="32"/>
  <c r="Y55" i="34"/>
  <c r="Y54" i="34"/>
  <c r="AV6" i="24"/>
  <c r="P64" i="45"/>
  <c r="O65" i="45"/>
  <c r="P65" i="45" s="1"/>
  <c r="X52" i="33"/>
  <c r="AP64" i="26"/>
  <c r="W25" i="33"/>
  <c r="W24" i="33"/>
  <c r="AC23" i="33"/>
  <c r="Y23" i="33"/>
  <c r="T21" i="33"/>
  <c r="AC22" i="33"/>
  <c r="Y22" i="33"/>
  <c r="AQ5" i="46"/>
  <c r="AM5" i="46"/>
  <c r="AK5" i="46"/>
  <c r="AQ6" i="46"/>
  <c r="AP6" i="37"/>
  <c r="AO6" i="37"/>
  <c r="AP5" i="37"/>
  <c r="AO5" i="37"/>
  <c r="AK3" i="37"/>
  <c r="AH3" i="37"/>
  <c r="AO5" i="30"/>
  <c r="AK3" i="30"/>
  <c r="AP6" i="30"/>
  <c r="AO6" i="30"/>
  <c r="AP5" i="30"/>
  <c r="AH3" i="30"/>
  <c r="AL75" i="27"/>
  <c r="AH75" i="27"/>
  <c r="AI72" i="27"/>
  <c r="AL74" i="27"/>
  <c r="AH74" i="27"/>
  <c r="AC74" i="35"/>
  <c r="AD74" i="35" s="1"/>
  <c r="AD73" i="35"/>
  <c r="AC78" i="35"/>
  <c r="O77" i="31"/>
  <c r="P76" i="31"/>
  <c r="O81" i="31"/>
  <c r="AJ75" i="45"/>
  <c r="AJ74" i="45"/>
  <c r="AA65" i="50"/>
  <c r="AO65" i="50" s="1"/>
  <c r="W65" i="50"/>
  <c r="AA64" i="50"/>
  <c r="AO64" i="50" s="1"/>
  <c r="W64" i="50"/>
  <c r="AI72" i="37"/>
  <c r="AL74" i="37"/>
  <c r="AH74" i="37"/>
  <c r="AL75" i="37"/>
  <c r="AH75" i="37"/>
  <c r="A75" i="50"/>
  <c r="B75" i="50" s="1"/>
  <c r="B74" i="50"/>
  <c r="AC79" i="33"/>
  <c r="AD79" i="33" s="1"/>
  <c r="AD78" i="33"/>
  <c r="AC83" i="33"/>
  <c r="B81" i="39"/>
  <c r="A86" i="39"/>
  <c r="A82" i="39"/>
  <c r="A70" i="30"/>
  <c r="B70" i="30" s="1"/>
  <c r="B69" i="30"/>
  <c r="A79" i="33"/>
  <c r="B78" i="33"/>
  <c r="AP11" i="33"/>
  <c r="AG10" i="33"/>
  <c r="AO11" i="33"/>
  <c r="AP10" i="33"/>
  <c r="AO10" i="33"/>
  <c r="AH8" i="33"/>
  <c r="AQ15" i="44"/>
  <c r="AM15" i="44"/>
  <c r="AN13" i="44"/>
  <c r="AQ16" i="44"/>
  <c r="AM16" i="44"/>
  <c r="W14" i="49"/>
  <c r="O83" i="59"/>
  <c r="P82" i="59"/>
  <c r="Q82" i="59" s="1"/>
  <c r="M65" i="28"/>
  <c r="I65" i="28"/>
  <c r="G64" i="28"/>
  <c r="M64" i="28"/>
  <c r="I64" i="28"/>
  <c r="K59" i="32"/>
  <c r="G57" i="32"/>
  <c r="K60" i="32"/>
  <c r="AC83" i="42"/>
  <c r="AC79" i="42"/>
  <c r="AD79" i="42" s="1"/>
  <c r="AD78" i="42"/>
  <c r="Q57" i="46"/>
  <c r="Q59" i="46"/>
  <c r="O70" i="29"/>
  <c r="P70" i="29" s="1"/>
  <c r="P69" i="29"/>
  <c r="P77" i="42"/>
  <c r="O78" i="42"/>
  <c r="AC9" i="37"/>
  <c r="Y9" i="37"/>
  <c r="Z7" i="37"/>
  <c r="V9" i="37"/>
  <c r="X9" i="37" s="1"/>
  <c r="AC10" i="37"/>
  <c r="Y10" i="37"/>
  <c r="AJ16" i="30"/>
  <c r="AL14" i="30"/>
  <c r="AL16" i="30" s="1"/>
  <c r="V9" i="38"/>
  <c r="X9" i="38" s="1"/>
  <c r="AC10" i="38"/>
  <c r="Y10" i="38"/>
  <c r="AC9" i="38"/>
  <c r="Y9" i="38"/>
  <c r="Z7" i="38"/>
  <c r="AC10" i="44"/>
  <c r="Y10" i="44"/>
  <c r="AC9" i="44"/>
  <c r="Y9" i="44"/>
  <c r="Z7" i="44"/>
  <c r="AA5" i="31"/>
  <c r="AA4" i="31"/>
  <c r="T2" i="31"/>
  <c r="AB5" i="31"/>
  <c r="AB4" i="31"/>
  <c r="U27" i="31"/>
  <c r="S21" i="31"/>
  <c r="P69" i="47"/>
  <c r="O70" i="47"/>
  <c r="P70" i="47" s="1"/>
  <c r="H4" i="22"/>
  <c r="I4" i="22" s="1"/>
  <c r="D4" i="22"/>
  <c r="AH5" i="61"/>
  <c r="C7" i="49"/>
  <c r="AP5" i="22"/>
  <c r="Y4" i="22" s="1"/>
  <c r="B5" i="22"/>
  <c r="AL75" i="48"/>
  <c r="AH75" i="48"/>
  <c r="AI72" i="48"/>
  <c r="AL74" i="48"/>
  <c r="AH74" i="48"/>
  <c r="C62" i="50"/>
  <c r="G63" i="50"/>
  <c r="M60" i="45"/>
  <c r="I60" i="45"/>
  <c r="G59" i="45"/>
  <c r="M59" i="45"/>
  <c r="I59" i="45"/>
  <c r="B86" i="29"/>
  <c r="A91" i="29"/>
  <c r="A87" i="29"/>
  <c r="AB15" i="37"/>
  <c r="T13" i="37"/>
  <c r="AB16" i="37"/>
  <c r="AA15" i="37"/>
  <c r="AA16" i="37"/>
  <c r="W13" i="37"/>
  <c r="J15" i="34"/>
  <c r="M18" i="34"/>
  <c r="O15" i="34"/>
  <c r="M19" i="34"/>
  <c r="O16" i="34"/>
  <c r="W14" i="44"/>
  <c r="AK13" i="34"/>
  <c r="AK12" i="34"/>
  <c r="AQ11" i="34"/>
  <c r="AM11" i="34"/>
  <c r="AQ10" i="34"/>
  <c r="AM10" i="34"/>
  <c r="AH9" i="34"/>
  <c r="B69" i="36"/>
  <c r="A70" i="36"/>
  <c r="B70" i="36" s="1"/>
  <c r="P69" i="26"/>
  <c r="O70" i="26"/>
  <c r="P70" i="26" s="1"/>
  <c r="O65" i="31"/>
  <c r="P65" i="31" s="1"/>
  <c r="P64" i="31"/>
  <c r="C62" i="41"/>
  <c r="G63" i="41"/>
  <c r="I14" i="28"/>
  <c r="I21" i="28"/>
  <c r="N21" i="28" s="1"/>
  <c r="I14" i="34"/>
  <c r="I21" i="34"/>
  <c r="N21" i="34" s="1"/>
  <c r="W14" i="42"/>
  <c r="V28" i="36"/>
  <c r="X26" i="36"/>
  <c r="X28" i="36" s="1"/>
  <c r="AA23" i="39"/>
  <c r="S22" i="39"/>
  <c r="AB22" i="39"/>
  <c r="AA22" i="39"/>
  <c r="T20" i="39"/>
  <c r="AB23" i="39"/>
  <c r="AK3" i="40"/>
  <c r="AO5" i="40"/>
  <c r="AH3" i="40"/>
  <c r="AP6" i="40"/>
  <c r="AO6" i="40"/>
  <c r="AP5" i="40"/>
  <c r="I27" i="29"/>
  <c r="AC28" i="39"/>
  <c r="Y28" i="39"/>
  <c r="Z25" i="39"/>
  <c r="AC27" i="39"/>
  <c r="Y27" i="39"/>
  <c r="V27" i="39"/>
  <c r="X27" i="39" s="1"/>
  <c r="M18" i="29"/>
  <c r="O15" i="29"/>
  <c r="M19" i="29"/>
  <c r="O16" i="29"/>
  <c r="J15" i="29"/>
  <c r="AP6" i="28"/>
  <c r="AO6" i="28"/>
  <c r="AP5" i="28"/>
  <c r="AH3" i="28"/>
  <c r="AO5" i="28"/>
  <c r="AK3" i="28"/>
  <c r="W7" i="39"/>
  <c r="T3" i="39"/>
  <c r="W6" i="39"/>
  <c r="AC5" i="39"/>
  <c r="Y5" i="39"/>
  <c r="AC4" i="39"/>
  <c r="Y4" i="39"/>
  <c r="AK4" i="35"/>
  <c r="AH4" i="35"/>
  <c r="AJ4" i="35" s="1"/>
  <c r="O77" i="49"/>
  <c r="P76" i="49"/>
  <c r="O81" i="49"/>
  <c r="V33" i="49"/>
  <c r="T33" i="49"/>
  <c r="K60" i="33"/>
  <c r="K59" i="33"/>
  <c r="G57" i="33"/>
  <c r="A83" i="44"/>
  <c r="B82" i="44"/>
  <c r="AA70" i="42"/>
  <c r="AO70" i="42" s="1"/>
  <c r="AP70" i="42" s="1"/>
  <c r="W70" i="42"/>
  <c r="AA69" i="42"/>
  <c r="AO69" i="42" s="1"/>
  <c r="AP69" i="42" s="1"/>
  <c r="W69" i="42"/>
  <c r="Y60" i="35"/>
  <c r="Y59" i="35"/>
  <c r="Y10" i="32"/>
  <c r="Y9" i="32"/>
  <c r="AC10" i="32"/>
  <c r="AC9" i="32"/>
  <c r="V9" i="32"/>
  <c r="X9" i="32" s="1"/>
  <c r="Z7" i="32"/>
  <c r="W14" i="33"/>
  <c r="T14" i="33"/>
  <c r="V14" i="33" s="1"/>
  <c r="U9" i="31"/>
  <c r="S3" i="31"/>
  <c r="S4" i="31" s="1"/>
  <c r="AB28" i="31"/>
  <c r="AA28" i="31"/>
  <c r="AB27" i="31"/>
  <c r="AA27" i="31"/>
  <c r="V26" i="31"/>
  <c r="S20" i="31"/>
  <c r="AJ75" i="34"/>
  <c r="AJ74" i="34"/>
  <c r="Q57" i="40"/>
  <c r="Q59" i="40"/>
  <c r="Q82" i="32"/>
  <c r="Q84" i="32"/>
  <c r="O69" i="37"/>
  <c r="P68" i="37"/>
  <c r="Q68" i="37" s="1"/>
  <c r="C62" i="40"/>
  <c r="G63" i="40"/>
  <c r="P68" i="27"/>
  <c r="Q68" i="27" s="1"/>
  <c r="O69" i="27"/>
  <c r="X57" i="41"/>
  <c r="A83" i="49"/>
  <c r="B82" i="49"/>
  <c r="A70" i="45"/>
  <c r="B70" i="45" s="1"/>
  <c r="B69" i="45"/>
  <c r="A75" i="34"/>
  <c r="B75" i="34" s="1"/>
  <c r="B74" i="34"/>
  <c r="C69" i="44"/>
  <c r="C68" i="44"/>
  <c r="P101" i="32"/>
  <c r="O106" i="32"/>
  <c r="O102" i="32"/>
  <c r="AH5" i="32"/>
  <c r="AJ5" i="32" s="1"/>
  <c r="AM6" i="32"/>
  <c r="AM5" i="32"/>
  <c r="AQ6" i="32"/>
  <c r="AQ5" i="32"/>
  <c r="AK5" i="32"/>
  <c r="AL14" i="34"/>
  <c r="AL16" i="34" s="1"/>
  <c r="AJ16" i="34"/>
  <c r="AQ6" i="44"/>
  <c r="AM6" i="44"/>
  <c r="AQ5" i="44"/>
  <c r="AM5" i="44"/>
  <c r="AK5" i="44"/>
  <c r="M65" i="34"/>
  <c r="I65" i="34"/>
  <c r="G64" i="34"/>
  <c r="M64" i="34"/>
  <c r="I64" i="34"/>
  <c r="AJ70" i="29"/>
  <c r="AJ69" i="29"/>
  <c r="O69" i="50"/>
  <c r="P68" i="50"/>
  <c r="Q68" i="50" s="1"/>
  <c r="O82" i="48"/>
  <c r="P81" i="48"/>
  <c r="O86" i="48"/>
  <c r="X57" i="36"/>
  <c r="I27" i="37"/>
  <c r="AQ10" i="33"/>
  <c r="AM10" i="33"/>
  <c r="AH9" i="33"/>
  <c r="AK13" i="33"/>
  <c r="AK12" i="33"/>
  <c r="AQ11" i="33"/>
  <c r="AM11" i="33"/>
  <c r="V28" i="38"/>
  <c r="X26" i="38"/>
  <c r="X28" i="38" s="1"/>
  <c r="AA15" i="46"/>
  <c r="AA16" i="46"/>
  <c r="W13" i="46"/>
  <c r="I28" i="30"/>
  <c r="J22" i="32"/>
  <c r="M22" i="32"/>
  <c r="M23" i="32"/>
  <c r="I14" i="35"/>
  <c r="I21" i="35"/>
  <c r="N21" i="35" s="1"/>
  <c r="P64" i="43"/>
  <c r="O65" i="43"/>
  <c r="P65" i="43" s="1"/>
  <c r="A75" i="44"/>
  <c r="B75" i="44" s="1"/>
  <c r="B74" i="44"/>
  <c r="AB15" i="38"/>
  <c r="T13" i="38"/>
  <c r="AB16" i="38"/>
  <c r="AA15" i="38"/>
  <c r="AA16" i="38"/>
  <c r="W13" i="38"/>
  <c r="S4" i="35"/>
  <c r="AB5" i="35"/>
  <c r="AB4" i="35"/>
  <c r="AA5" i="35"/>
  <c r="AA4" i="35"/>
  <c r="T2" i="35"/>
  <c r="T14" i="39"/>
  <c r="V14" i="39" s="1"/>
  <c r="W14" i="39"/>
  <c r="S4" i="28"/>
  <c r="AB5" i="28"/>
  <c r="AB4" i="28"/>
  <c r="AA5" i="28"/>
  <c r="AA4" i="28"/>
  <c r="T2" i="28"/>
  <c r="AA70" i="41"/>
  <c r="AO70" i="41" s="1"/>
  <c r="AP70" i="41" s="1"/>
  <c r="W70" i="41"/>
  <c r="AA69" i="41"/>
  <c r="AO69" i="41" s="1"/>
  <c r="W69" i="41"/>
  <c r="AK4" i="42"/>
  <c r="AA22" i="37"/>
  <c r="T20" i="37"/>
  <c r="AB23" i="37"/>
  <c r="AA23" i="37"/>
  <c r="S22" i="37"/>
  <c r="AB22" i="37"/>
  <c r="G58" i="39"/>
  <c r="C57" i="39"/>
  <c r="AG4" i="24"/>
  <c r="AL75" i="39"/>
  <c r="AH75" i="39"/>
  <c r="AI72" i="39"/>
  <c r="AL74" i="39"/>
  <c r="AH74" i="39"/>
  <c r="AH8" i="36"/>
  <c r="AP11" i="36"/>
  <c r="AG10" i="36"/>
  <c r="AO11" i="36"/>
  <c r="AP10" i="36"/>
  <c r="AO10" i="36"/>
  <c r="AA5" i="40"/>
  <c r="AA4" i="40"/>
  <c r="T2" i="40"/>
  <c r="AB4" i="40"/>
  <c r="AB5" i="40"/>
  <c r="S4" i="40"/>
  <c r="AL8" i="39"/>
  <c r="AL11" i="39" s="1"/>
  <c r="AJ8" i="39"/>
  <c r="AJ11" i="39" s="1"/>
  <c r="J15" i="40"/>
  <c r="M19" i="40"/>
  <c r="O16" i="40"/>
  <c r="M18" i="40"/>
  <c r="O15" i="40"/>
  <c r="AJ8" i="40"/>
  <c r="AJ11" i="40" s="1"/>
  <c r="AL8" i="40"/>
  <c r="AL11" i="40" s="1"/>
  <c r="M27" i="35"/>
  <c r="J27" i="35"/>
  <c r="AJ8" i="26"/>
  <c r="AJ11" i="26" s="1"/>
  <c r="AK13" i="39"/>
  <c r="AK12" i="39"/>
  <c r="AQ11" i="39"/>
  <c r="AM11" i="39"/>
  <c r="AQ10" i="39"/>
  <c r="AM10" i="39"/>
  <c r="AH9" i="39"/>
  <c r="M19" i="31"/>
  <c r="O16" i="31"/>
  <c r="J15" i="31"/>
  <c r="M18" i="31"/>
  <c r="O15" i="31"/>
  <c r="V27" i="35"/>
  <c r="X27" i="35" s="1"/>
  <c r="AC28" i="35"/>
  <c r="Y28" i="35"/>
  <c r="Z25" i="35"/>
  <c r="AC27" i="35"/>
  <c r="Y27" i="35"/>
  <c r="W15" i="39"/>
  <c r="AC15" i="39"/>
  <c r="Y15" i="39"/>
  <c r="T15" i="39"/>
  <c r="V15" i="39" s="1"/>
  <c r="AC16" i="39"/>
  <c r="Y16" i="39"/>
  <c r="J22" i="40"/>
  <c r="M23" i="40"/>
  <c r="M22" i="40"/>
  <c r="AO6" i="29"/>
  <c r="AP5" i="29"/>
  <c r="AH3" i="29"/>
  <c r="AO5" i="29"/>
  <c r="AK3" i="29"/>
  <c r="AP6" i="29"/>
  <c r="A74" i="48"/>
  <c r="B73" i="48"/>
  <c r="O70" i="30"/>
  <c r="P70" i="30" s="1"/>
  <c r="P69" i="30"/>
  <c r="P77" i="26"/>
  <c r="O78" i="26"/>
  <c r="A91" i="27"/>
  <c r="A87" i="27"/>
  <c r="B86" i="27"/>
  <c r="C69" i="40"/>
  <c r="C68" i="40"/>
  <c r="K60" i="44"/>
  <c r="K59" i="44"/>
  <c r="G57" i="44"/>
  <c r="O86" i="38"/>
  <c r="O82" i="38"/>
  <c r="P81" i="38"/>
  <c r="A70" i="39"/>
  <c r="B70" i="39" s="1"/>
  <c r="B69" i="39"/>
  <c r="AA23" i="42"/>
  <c r="S22" i="42"/>
  <c r="AA22" i="42"/>
  <c r="AJ16" i="33"/>
  <c r="AL14" i="33"/>
  <c r="AL16" i="33" s="1"/>
  <c r="AA22" i="46"/>
  <c r="AA23" i="46"/>
  <c r="S22" i="46"/>
  <c r="AC10" i="49"/>
  <c r="Y10" i="49"/>
  <c r="AC9" i="49"/>
  <c r="Y9" i="49"/>
  <c r="Z7" i="49"/>
  <c r="O73" i="33"/>
  <c r="P72" i="33"/>
  <c r="B82" i="35"/>
  <c r="A83" i="35"/>
  <c r="P68" i="31"/>
  <c r="Q68" i="31" s="1"/>
  <c r="O69" i="31"/>
  <c r="B82" i="40"/>
  <c r="A83" i="40"/>
  <c r="C64" i="37"/>
  <c r="C63" i="37"/>
  <c r="A70" i="26"/>
  <c r="B70" i="26" s="1"/>
  <c r="B69" i="26"/>
  <c r="AJ74" i="39"/>
  <c r="AJ75" i="39"/>
  <c r="Q57" i="34"/>
  <c r="Q59" i="34"/>
  <c r="O94" i="32"/>
  <c r="P93" i="32"/>
  <c r="Q93" i="32" s="1"/>
  <c r="AC83" i="26"/>
  <c r="AC79" i="26"/>
  <c r="AD79" i="26" s="1"/>
  <c r="AD78" i="26"/>
  <c r="AO11" i="46"/>
  <c r="AG10" i="46"/>
  <c r="AO10" i="46"/>
  <c r="W25" i="34"/>
  <c r="W24" i="34"/>
  <c r="AC23" i="34"/>
  <c r="Y23" i="34"/>
  <c r="T21" i="34"/>
  <c r="AC22" i="34"/>
  <c r="Y22" i="34"/>
  <c r="I14" i="47"/>
  <c r="I21" i="47"/>
  <c r="B86" i="38"/>
  <c r="A91" i="38"/>
  <c r="A87" i="38"/>
  <c r="AI82" i="40"/>
  <c r="AL84" i="40"/>
  <c r="AH84" i="40"/>
  <c r="AL85" i="40"/>
  <c r="AH85" i="40"/>
  <c r="P77" i="35"/>
  <c r="O78" i="35"/>
  <c r="AD88" i="59"/>
  <c r="AC94" i="59"/>
  <c r="AC89" i="59"/>
  <c r="AD89" i="59" s="1"/>
  <c r="G52" i="43"/>
  <c r="K54" i="43"/>
  <c r="K55" i="43"/>
  <c r="X52" i="39"/>
  <c r="AA65" i="28"/>
  <c r="AO65" i="28" s="1"/>
  <c r="AP65" i="28" s="1"/>
  <c r="W65" i="28"/>
  <c r="AA64" i="28"/>
  <c r="AO64" i="28" s="1"/>
  <c r="AP64" i="28" s="1"/>
  <c r="W64" i="28"/>
  <c r="P73" i="42"/>
  <c r="Q73" i="42" s="1"/>
  <c r="O74" i="42"/>
  <c r="K59" i="38"/>
  <c r="G57" i="38"/>
  <c r="K60" i="38"/>
  <c r="N16" i="37"/>
  <c r="L16" i="37"/>
  <c r="AC28" i="30"/>
  <c r="Y28" i="30"/>
  <c r="Z25" i="30"/>
  <c r="AC27" i="30"/>
  <c r="Y27" i="30"/>
  <c r="V27" i="30"/>
  <c r="X27" i="30" s="1"/>
  <c r="AQ6" i="33"/>
  <c r="AM6" i="33"/>
  <c r="AQ5" i="33"/>
  <c r="AM5" i="33"/>
  <c r="AH5" i="33"/>
  <c r="AJ5" i="33" s="1"/>
  <c r="AK5" i="33"/>
  <c r="W25" i="46"/>
  <c r="W24" i="46"/>
  <c r="AC23" i="46"/>
  <c r="Y23" i="46"/>
  <c r="AC22" i="46"/>
  <c r="Y22" i="46"/>
  <c r="J22" i="37"/>
  <c r="M23" i="37"/>
  <c r="M22" i="37"/>
  <c r="AP59" i="27"/>
  <c r="Y55" i="45"/>
  <c r="Y54" i="45"/>
  <c r="C68" i="41"/>
  <c r="C69" i="41"/>
  <c r="V34" i="50"/>
  <c r="V35" i="50" s="1"/>
  <c r="X35" i="50" s="1"/>
  <c r="AB35" i="50" s="1"/>
  <c r="T34" i="50"/>
  <c r="T35" i="50" s="1"/>
  <c r="X34" i="50" s="1"/>
  <c r="AB34" i="50" s="1"/>
  <c r="G57" i="42"/>
  <c r="K60" i="42"/>
  <c r="K59" i="42"/>
  <c r="F47" i="50"/>
  <c r="B86" i="47"/>
  <c r="A91" i="47"/>
  <c r="A87" i="47"/>
  <c r="A74" i="43"/>
  <c r="B73" i="43"/>
  <c r="AL75" i="49"/>
  <c r="AH75" i="49"/>
  <c r="AI72" i="49"/>
  <c r="AL74" i="49"/>
  <c r="AH74" i="49"/>
  <c r="P76" i="40"/>
  <c r="O81" i="40"/>
  <c r="O77" i="40"/>
  <c r="AJ16" i="38"/>
  <c r="AL14" i="38"/>
  <c r="AL16" i="38" s="1"/>
  <c r="V27" i="32"/>
  <c r="X27" i="32" s="1"/>
  <c r="Y28" i="32"/>
  <c r="AC28" i="32"/>
  <c r="Y27" i="32"/>
  <c r="Z25" i="32"/>
  <c r="AC27" i="32"/>
  <c r="AL69" i="41"/>
  <c r="AH69" i="41"/>
  <c r="AL70" i="41"/>
  <c r="AH70" i="41"/>
  <c r="AI67" i="41"/>
  <c r="A70" i="37"/>
  <c r="B70" i="37" s="1"/>
  <c r="B69" i="37"/>
  <c r="Q62" i="47"/>
  <c r="Q64" i="47"/>
  <c r="B81" i="43"/>
  <c r="A86" i="43"/>
  <c r="A82" i="43"/>
  <c r="X57" i="30"/>
  <c r="G52" i="30"/>
  <c r="K55" i="30"/>
  <c r="K54" i="30"/>
  <c r="AC27" i="44"/>
  <c r="Y27" i="44"/>
  <c r="AC28" i="44"/>
  <c r="Y28" i="44"/>
  <c r="Z25" i="44"/>
  <c r="T14" i="32"/>
  <c r="V14" i="32" s="1"/>
  <c r="W14" i="32"/>
  <c r="W25" i="40"/>
  <c r="W24" i="40"/>
  <c r="AC23" i="40"/>
  <c r="Y23" i="40"/>
  <c r="AC22" i="40"/>
  <c r="Y22" i="40"/>
  <c r="T21" i="40"/>
  <c r="J15" i="28"/>
  <c r="M18" i="28"/>
  <c r="O15" i="28"/>
  <c r="M19" i="28"/>
  <c r="O16" i="28"/>
  <c r="AB15" i="35"/>
  <c r="T13" i="35"/>
  <c r="AB16" i="35"/>
  <c r="AA15" i="35"/>
  <c r="AA16" i="35"/>
  <c r="W13" i="35"/>
  <c r="V28" i="26"/>
  <c r="X26" i="26"/>
  <c r="X28" i="26" s="1"/>
  <c r="AA23" i="26"/>
  <c r="S22" i="26"/>
  <c r="AA22" i="26"/>
  <c r="T20" i="26"/>
  <c r="AB23" i="26"/>
  <c r="AB22" i="26"/>
  <c r="V9" i="29"/>
  <c r="X9" i="29" s="1"/>
  <c r="AC10" i="29"/>
  <c r="Y10" i="29"/>
  <c r="AC9" i="29"/>
  <c r="Y9" i="29"/>
  <c r="Z7" i="29"/>
  <c r="V10" i="29"/>
  <c r="X8" i="29"/>
  <c r="X10" i="29" s="1"/>
  <c r="M23" i="36"/>
  <c r="M22" i="36"/>
  <c r="J22" i="36"/>
  <c r="V2" i="36"/>
  <c r="V5" i="36" s="1"/>
  <c r="X2" i="36"/>
  <c r="X5" i="36" s="1"/>
  <c r="X8" i="26"/>
  <c r="X10" i="26" s="1"/>
  <c r="V10" i="26"/>
  <c r="AB15" i="28"/>
  <c r="T13" i="28"/>
  <c r="AB16" i="28"/>
  <c r="AA15" i="28"/>
  <c r="AA16" i="28"/>
  <c r="W13" i="28"/>
  <c r="I27" i="39"/>
  <c r="V28" i="40"/>
  <c r="X26" i="40"/>
  <c r="X28" i="40" s="1"/>
  <c r="P68" i="49"/>
  <c r="Q68" i="49" s="1"/>
  <c r="O69" i="49"/>
  <c r="AC79" i="28"/>
  <c r="AD79" i="28" s="1"/>
  <c r="AD78" i="28"/>
  <c r="AC83" i="28"/>
  <c r="AC99" i="46"/>
  <c r="AD99" i="46" s="1"/>
  <c r="AD98" i="46"/>
  <c r="AC103" i="46"/>
  <c r="M59" i="48"/>
  <c r="I59" i="48"/>
  <c r="M60" i="48"/>
  <c r="I60" i="48"/>
  <c r="G59" i="48"/>
  <c r="O74" i="26"/>
  <c r="P73" i="26"/>
  <c r="Q73" i="26" s="1"/>
  <c r="W66" i="59"/>
  <c r="W65" i="59"/>
  <c r="Y66" i="59"/>
  <c r="Y65" i="59"/>
  <c r="A74" i="37"/>
  <c r="B73" i="37"/>
  <c r="H40" i="50"/>
  <c r="J40" i="50" s="1"/>
  <c r="N40" i="50" s="1"/>
  <c r="AQ40" i="50" s="1"/>
  <c r="B81" i="26"/>
  <c r="A86" i="26"/>
  <c r="A82" i="26"/>
  <c r="AP59" i="49"/>
  <c r="A75" i="49"/>
  <c r="B75" i="49" s="1"/>
  <c r="B74" i="49"/>
  <c r="M28" i="32"/>
  <c r="J28" i="32"/>
  <c r="L28" i="32" s="1"/>
  <c r="O28" i="32"/>
  <c r="AK13" i="42"/>
  <c r="AK12" i="42"/>
  <c r="AQ11" i="42"/>
  <c r="AM11" i="42"/>
  <c r="AQ10" i="42"/>
  <c r="AM10" i="42"/>
  <c r="AN13" i="46"/>
  <c r="AQ16" i="46"/>
  <c r="AM15" i="46"/>
  <c r="AM16" i="46"/>
  <c r="AQ15" i="46"/>
  <c r="M28" i="34"/>
  <c r="O27" i="34"/>
  <c r="O28" i="34"/>
  <c r="J28" i="34"/>
  <c r="L28" i="34" s="1"/>
  <c r="M28" i="49"/>
  <c r="O27" i="49"/>
  <c r="O28" i="49"/>
  <c r="J28" i="49"/>
  <c r="L28" i="49" s="1"/>
  <c r="M26" i="59"/>
  <c r="Q26" i="59"/>
  <c r="R26" i="59" s="1"/>
  <c r="O82" i="36"/>
  <c r="O86" i="36"/>
  <c r="P81" i="36"/>
  <c r="M60" i="43"/>
  <c r="I59" i="43"/>
  <c r="I60" i="43"/>
  <c r="G59" i="43"/>
  <c r="M59" i="43"/>
  <c r="AL75" i="31"/>
  <c r="AH75" i="31"/>
  <c r="AI72" i="31"/>
  <c r="AL74" i="31"/>
  <c r="AH74" i="31"/>
  <c r="O69" i="45"/>
  <c r="P68" i="45"/>
  <c r="Q68" i="45" s="1"/>
  <c r="O77" i="27"/>
  <c r="P76" i="27"/>
  <c r="O81" i="27"/>
  <c r="AC27" i="49"/>
  <c r="Y27" i="49"/>
  <c r="AC28" i="49"/>
  <c r="Y28" i="49"/>
  <c r="Z25" i="49"/>
  <c r="AP59" i="37"/>
  <c r="P68" i="43"/>
  <c r="Q68" i="43" s="1"/>
  <c r="O69" i="43"/>
  <c r="P73" i="48"/>
  <c r="Q73" i="48" s="1"/>
  <c r="O74" i="48"/>
  <c r="P68" i="44"/>
  <c r="Q68" i="44" s="1"/>
  <c r="O69" i="44"/>
  <c r="A79" i="34"/>
  <c r="B78" i="34"/>
  <c r="Q62" i="41"/>
  <c r="Q64" i="41"/>
  <c r="I21" i="46"/>
  <c r="N21" i="46" s="1"/>
  <c r="I14" i="46"/>
  <c r="I14" i="32"/>
  <c r="I21" i="32"/>
  <c r="N21" i="32" s="1"/>
  <c r="W15" i="30"/>
  <c r="AC15" i="30"/>
  <c r="Y15" i="30"/>
  <c r="T15" i="30"/>
  <c r="V15" i="30" s="1"/>
  <c r="AC16" i="30"/>
  <c r="Y16" i="30"/>
  <c r="W7" i="30"/>
  <c r="T3" i="30"/>
  <c r="W6" i="30"/>
  <c r="AC5" i="30"/>
  <c r="Y5" i="30"/>
  <c r="AC4" i="30"/>
  <c r="Y4" i="30"/>
  <c r="V10" i="32"/>
  <c r="X8" i="32"/>
  <c r="X10" i="32" s="1"/>
  <c r="AG6" i="61"/>
  <c r="C6" i="48"/>
  <c r="R47" i="48" s="1"/>
  <c r="B6" i="23"/>
  <c r="AP6" i="23"/>
  <c r="AP59" i="28"/>
  <c r="Y55" i="27"/>
  <c r="Y54" i="27"/>
  <c r="V2" i="37"/>
  <c r="V5" i="37" s="1"/>
  <c r="X2" i="37"/>
  <c r="X5" i="37" s="1"/>
  <c r="AL8" i="37"/>
  <c r="AL11" i="37" s="1"/>
  <c r="AJ8" i="37"/>
  <c r="AJ11" i="37" s="1"/>
  <c r="V20" i="34"/>
  <c r="V23" i="34" s="1"/>
  <c r="X8" i="39"/>
  <c r="X10" i="39" s="1"/>
  <c r="V10" i="39"/>
  <c r="AO5" i="26"/>
  <c r="AP6" i="26"/>
  <c r="AO6" i="26"/>
  <c r="AP5" i="26"/>
  <c r="AH3" i="26"/>
  <c r="AK3" i="26"/>
  <c r="J27" i="41"/>
  <c r="AK5" i="36"/>
  <c r="AQ6" i="36"/>
  <c r="AM6" i="36"/>
  <c r="AQ5" i="36"/>
  <c r="AM5" i="36"/>
  <c r="AH5" i="36"/>
  <c r="AJ5" i="36" s="1"/>
  <c r="I27" i="27"/>
  <c r="AB16" i="36"/>
  <c r="AA15" i="36"/>
  <c r="AA16" i="36"/>
  <c r="W13" i="36"/>
  <c r="AB15" i="36"/>
  <c r="T13" i="36"/>
  <c r="W6" i="35"/>
  <c r="AC5" i="35"/>
  <c r="Y5" i="35"/>
  <c r="AC4" i="35"/>
  <c r="Y4" i="35"/>
  <c r="W7" i="35"/>
  <c r="T3" i="35"/>
  <c r="X20" i="29"/>
  <c r="X23" i="29" s="1"/>
  <c r="V20" i="29"/>
  <c r="V23" i="29" s="1"/>
  <c r="I16" i="39"/>
  <c r="J16" i="39" s="1"/>
  <c r="T3" i="40"/>
  <c r="Y5" i="40"/>
  <c r="AC4" i="40"/>
  <c r="W6" i="40"/>
  <c r="AC5" i="40"/>
  <c r="W7" i="40"/>
  <c r="Y4" i="40"/>
  <c r="AQ16" i="35"/>
  <c r="AM16" i="35"/>
  <c r="AJ15" i="35"/>
  <c r="AL15" i="35" s="1"/>
  <c r="AQ15" i="35"/>
  <c r="AM15" i="35"/>
  <c r="AN13" i="35"/>
  <c r="O74" i="47"/>
  <c r="P73" i="47"/>
  <c r="Q73" i="47" s="1"/>
  <c r="M64" i="42"/>
  <c r="I64" i="42"/>
  <c r="M65" i="42"/>
  <c r="I65" i="42"/>
  <c r="G64" i="42"/>
  <c r="AI72" i="32"/>
  <c r="AL74" i="32"/>
  <c r="AH74" i="32"/>
  <c r="AL75" i="32"/>
  <c r="AH75" i="32"/>
  <c r="H6" i="24"/>
  <c r="I6" i="24" s="1"/>
  <c r="D6" i="24"/>
  <c r="F6" i="24" s="1"/>
  <c r="G6" i="24" s="1"/>
  <c r="AA65" i="46"/>
  <c r="AO65" i="46" s="1"/>
  <c r="W65" i="46"/>
  <c r="AA64" i="46"/>
  <c r="AO64" i="46" s="1"/>
  <c r="W64" i="46"/>
  <c r="A74" i="26"/>
  <c r="B73" i="26"/>
  <c r="C62" i="44"/>
  <c r="G63" i="44"/>
  <c r="O65" i="44"/>
  <c r="P65" i="44" s="1"/>
  <c r="P64" i="44"/>
  <c r="V28" i="32"/>
  <c r="X26" i="32"/>
  <c r="X28" i="32" s="1"/>
  <c r="AK3" i="49"/>
  <c r="AO6" i="49"/>
  <c r="AO5" i="49"/>
  <c r="AC27" i="33"/>
  <c r="Y27" i="33"/>
  <c r="V27" i="33"/>
  <c r="X27" i="33" s="1"/>
  <c r="AC28" i="33"/>
  <c r="Y28" i="33"/>
  <c r="Z25" i="33"/>
  <c r="AO5" i="46"/>
  <c r="AO6" i="46"/>
  <c r="AK3" i="46"/>
  <c r="N16" i="34"/>
  <c r="L16" i="34"/>
  <c r="AA23" i="30"/>
  <c r="S22" i="30"/>
  <c r="AB22" i="30"/>
  <c r="AA22" i="30"/>
  <c r="T20" i="30"/>
  <c r="AB23" i="30"/>
  <c r="P68" i="33"/>
  <c r="Q68" i="33" s="1"/>
  <c r="O69" i="33"/>
  <c r="C62" i="33"/>
  <c r="G63" i="33"/>
  <c r="C69" i="32"/>
  <c r="C68" i="32"/>
  <c r="AA70" i="35"/>
  <c r="AO70" i="35" s="1"/>
  <c r="AP70" i="35" s="1"/>
  <c r="W70" i="35"/>
  <c r="AA69" i="35"/>
  <c r="AO69" i="35" s="1"/>
  <c r="W69" i="35"/>
  <c r="O73" i="37"/>
  <c r="P72" i="37"/>
  <c r="AJ70" i="35"/>
  <c r="AJ69" i="35"/>
  <c r="AI72" i="45"/>
  <c r="AL74" i="45"/>
  <c r="AH74" i="45"/>
  <c r="AL75" i="45"/>
  <c r="AH75" i="45"/>
  <c r="P64" i="50"/>
  <c r="O65" i="50"/>
  <c r="P65" i="50" s="1"/>
  <c r="AJ74" i="33"/>
  <c r="AJ75" i="33"/>
  <c r="A70" i="46"/>
  <c r="B70" i="46" s="1"/>
  <c r="B69" i="46"/>
  <c r="I21" i="36"/>
  <c r="N21" i="36" s="1"/>
  <c r="I14" i="36"/>
  <c r="I14" i="37"/>
  <c r="I21" i="37"/>
  <c r="N21" i="37" s="1"/>
  <c r="W14" i="34"/>
  <c r="T14" i="34"/>
  <c r="V14" i="34" s="1"/>
  <c r="AK13" i="38"/>
  <c r="AK12" i="38"/>
  <c r="AQ11" i="38"/>
  <c r="AM11" i="38"/>
  <c r="AQ10" i="38"/>
  <c r="AM10" i="38"/>
  <c r="AH9" i="38"/>
  <c r="AQ10" i="44"/>
  <c r="AM10" i="44"/>
  <c r="AK13" i="44"/>
  <c r="AK12" i="44"/>
  <c r="AQ11" i="44"/>
  <c r="AM11" i="44"/>
  <c r="Q64" i="42"/>
  <c r="Q62" i="42"/>
  <c r="O73" i="50"/>
  <c r="P72" i="50"/>
  <c r="C57" i="37"/>
  <c r="G58" i="37"/>
  <c r="Q71" i="59"/>
  <c r="Q69" i="59"/>
  <c r="A74" i="30"/>
  <c r="B73" i="30"/>
  <c r="V10" i="38"/>
  <c r="X8" i="38"/>
  <c r="X10" i="38" s="1"/>
  <c r="W6" i="37"/>
  <c r="W7" i="37"/>
  <c r="T3" i="37"/>
  <c r="Y5" i="37"/>
  <c r="AC4" i="37"/>
  <c r="AC5" i="37"/>
  <c r="Y4" i="37"/>
  <c r="AG10" i="42"/>
  <c r="AO11" i="42"/>
  <c r="AO10" i="42"/>
  <c r="S4" i="46"/>
  <c r="AA5" i="46"/>
  <c r="AA4" i="46"/>
  <c r="V28" i="30"/>
  <c r="X26" i="30"/>
  <c r="X28" i="30" s="1"/>
  <c r="X57" i="26"/>
  <c r="AV4" i="22"/>
  <c r="X52" i="46"/>
  <c r="AC83" i="48"/>
  <c r="AC79" i="48"/>
  <c r="AD79" i="48" s="1"/>
  <c r="AD78" i="48"/>
  <c r="Y60" i="42"/>
  <c r="Y59" i="42"/>
  <c r="C62" i="47"/>
  <c r="G63" i="47"/>
  <c r="M65" i="50"/>
  <c r="I65" i="50"/>
  <c r="G64" i="50"/>
  <c r="M64" i="50"/>
  <c r="I64" i="50"/>
  <c r="AC9" i="46"/>
  <c r="Y9" i="46"/>
  <c r="Z7" i="46"/>
  <c r="Y10" i="46"/>
  <c r="AC10" i="46"/>
  <c r="AC15" i="37"/>
  <c r="Y15" i="37"/>
  <c r="T15" i="37"/>
  <c r="V15" i="37" s="1"/>
  <c r="AC16" i="37"/>
  <c r="Y16" i="37"/>
  <c r="W15" i="37"/>
  <c r="J22" i="34"/>
  <c r="M23" i="34"/>
  <c r="M22" i="34"/>
  <c r="S4" i="38"/>
  <c r="M19" i="49"/>
  <c r="O16" i="49"/>
  <c r="M18" i="49"/>
  <c r="O15" i="49"/>
  <c r="S4" i="32"/>
  <c r="AB5" i="32"/>
  <c r="AA4" i="32"/>
  <c r="T2" i="32"/>
  <c r="AA5" i="32"/>
  <c r="AB4" i="32"/>
  <c r="P68" i="39"/>
  <c r="Q68" i="39" s="1"/>
  <c r="O69" i="39"/>
  <c r="AA65" i="31"/>
  <c r="AO65" i="31" s="1"/>
  <c r="AP65" i="31" s="1"/>
  <c r="W65" i="31"/>
  <c r="AA64" i="31"/>
  <c r="AO64" i="31" s="1"/>
  <c r="W64" i="31"/>
  <c r="AC74" i="47"/>
  <c r="AD74" i="47" s="1"/>
  <c r="AD73" i="47"/>
  <c r="AC78" i="47"/>
  <c r="Q57" i="45"/>
  <c r="Q59" i="45"/>
  <c r="I21" i="33"/>
  <c r="N21" i="33" s="1"/>
  <c r="I14" i="33"/>
  <c r="AA15" i="42"/>
  <c r="AA16" i="42"/>
  <c r="W13" i="42"/>
  <c r="T21" i="29"/>
  <c r="AC22" i="29"/>
  <c r="Y22" i="29"/>
  <c r="W25" i="29"/>
  <c r="W24" i="29"/>
  <c r="AC23" i="29"/>
  <c r="Y23" i="29"/>
  <c r="AC15" i="40"/>
  <c r="Y15" i="40"/>
  <c r="T15" i="40"/>
  <c r="V15" i="40" s="1"/>
  <c r="W15" i="40"/>
  <c r="AC16" i="40"/>
  <c r="Y16" i="40"/>
  <c r="AQ6" i="40"/>
  <c r="AM6" i="40"/>
  <c r="AH5" i="40"/>
  <c r="AJ5" i="40" s="1"/>
  <c r="AM5" i="40"/>
  <c r="AQ5" i="40"/>
  <c r="AK5" i="40"/>
  <c r="V10" i="35"/>
  <c r="X8" i="35"/>
  <c r="X10" i="35" s="1"/>
  <c r="AK13" i="36"/>
  <c r="AK12" i="36"/>
  <c r="AQ11" i="36"/>
  <c r="AM11" i="36"/>
  <c r="AQ10" i="36"/>
  <c r="AM10" i="36"/>
  <c r="AH9" i="36"/>
  <c r="AB5" i="39"/>
  <c r="AB4" i="39"/>
  <c r="AA5" i="39"/>
  <c r="AA4" i="39"/>
  <c r="T2" i="39"/>
  <c r="S4" i="39"/>
  <c r="M23" i="29"/>
  <c r="M22" i="29"/>
  <c r="J22" i="29"/>
  <c r="AK13" i="29"/>
  <c r="AK12" i="29"/>
  <c r="AQ11" i="29"/>
  <c r="AM11" i="29"/>
  <c r="AQ10" i="29"/>
  <c r="AM10" i="29"/>
  <c r="AH9" i="29"/>
  <c r="V9" i="39"/>
  <c r="X9" i="39" s="1"/>
  <c r="AC10" i="39"/>
  <c r="Y10" i="39"/>
  <c r="AC9" i="39"/>
  <c r="Y9" i="39"/>
  <c r="Z7" i="39"/>
  <c r="AK5" i="35"/>
  <c r="AQ6" i="35"/>
  <c r="AM6" i="35"/>
  <c r="AQ5" i="35"/>
  <c r="AM5" i="35"/>
  <c r="AH5" i="35"/>
  <c r="AJ5" i="35" s="1"/>
  <c r="B77" i="48"/>
  <c r="A78" i="48"/>
  <c r="AG34" i="49"/>
  <c r="AG35" i="49" s="1"/>
  <c r="AE35" i="49"/>
  <c r="AI34" i="49" s="1"/>
  <c r="AM34" i="49" s="1"/>
  <c r="AS34" i="49" s="1"/>
  <c r="C64" i="48"/>
  <c r="C63" i="48"/>
  <c r="A91" i="44"/>
  <c r="A87" i="44"/>
  <c r="B86" i="44"/>
  <c r="A74" i="46"/>
  <c r="B73" i="46"/>
  <c r="X8" i="30"/>
  <c r="X10" i="30" s="1"/>
  <c r="V10" i="30"/>
  <c r="AK13" i="30"/>
  <c r="AK12" i="30"/>
  <c r="AQ11" i="30"/>
  <c r="AM11" i="30"/>
  <c r="AQ10" i="30"/>
  <c r="AM10" i="30"/>
  <c r="AH9" i="30"/>
  <c r="AI72" i="34"/>
  <c r="AL74" i="34"/>
  <c r="AH74" i="34"/>
  <c r="AL75" i="34"/>
  <c r="AH75" i="34"/>
  <c r="C64" i="39"/>
  <c r="C63" i="39"/>
  <c r="A79" i="28"/>
  <c r="B78" i="28"/>
  <c r="M65" i="35"/>
  <c r="I65" i="35"/>
  <c r="G64" i="35"/>
  <c r="M64" i="35"/>
  <c r="I64" i="35"/>
  <c r="M65" i="40"/>
  <c r="I65" i="40"/>
  <c r="G64" i="40"/>
  <c r="M64" i="40"/>
  <c r="I64" i="40"/>
  <c r="AA65" i="34"/>
  <c r="AO65" i="34" s="1"/>
  <c r="AP65" i="34" s="1"/>
  <c r="W65" i="34"/>
  <c r="AA64" i="34"/>
  <c r="AO64" i="34" s="1"/>
  <c r="W64" i="34"/>
  <c r="Y60" i="41"/>
  <c r="Y59" i="41"/>
  <c r="X57" i="29"/>
  <c r="O74" i="41"/>
  <c r="P73" i="41"/>
  <c r="Q73" i="41" s="1"/>
  <c r="AC79" i="50"/>
  <c r="AD79" i="50" s="1"/>
  <c r="AD78" i="50"/>
  <c r="AC83" i="50"/>
  <c r="G58" i="46"/>
  <c r="C57" i="46"/>
  <c r="A74" i="39"/>
  <c r="B73" i="39"/>
  <c r="I21" i="49"/>
  <c r="N21" i="49" s="1"/>
  <c r="I14" i="49"/>
  <c r="AK5" i="38"/>
  <c r="AQ6" i="38"/>
  <c r="AM6" i="38"/>
  <c r="AQ5" i="38"/>
  <c r="AM5" i="38"/>
  <c r="AH5" i="38"/>
  <c r="AJ5" i="38" s="1"/>
  <c r="H42" i="49"/>
  <c r="P73" i="30"/>
  <c r="Q73" i="30" s="1"/>
  <c r="O74" i="30"/>
  <c r="AL69" i="29"/>
  <c r="AH69" i="29"/>
  <c r="AL70" i="29"/>
  <c r="AH70" i="29"/>
  <c r="AI67" i="29"/>
  <c r="T47" i="49"/>
  <c r="V47" i="49"/>
  <c r="Q57" i="50"/>
  <c r="Q59" i="50"/>
  <c r="I59" i="59"/>
  <c r="I60" i="59"/>
  <c r="G57" i="59"/>
  <c r="K59" i="59"/>
  <c r="K60" i="59"/>
  <c r="F52" i="49"/>
  <c r="O73" i="44"/>
  <c r="P72" i="44"/>
  <c r="I27" i="44"/>
  <c r="AG10" i="34"/>
  <c r="AG6" i="25"/>
  <c r="O65" i="27"/>
  <c r="P65" i="27" s="1"/>
  <c r="P64" i="27"/>
  <c r="AJ74" i="30"/>
  <c r="AJ75" i="30"/>
  <c r="W65" i="43"/>
  <c r="AA64" i="43"/>
  <c r="AO64" i="43" s="1"/>
  <c r="AA65" i="43"/>
  <c r="AO65" i="43" s="1"/>
  <c r="W64" i="43"/>
  <c r="I16" i="33"/>
  <c r="J16" i="33" s="1"/>
  <c r="AC16" i="38"/>
  <c r="Y16" i="38"/>
  <c r="W15" i="38"/>
  <c r="AC15" i="38"/>
  <c r="Y15" i="38"/>
  <c r="T15" i="38"/>
  <c r="V15" i="38" s="1"/>
  <c r="AP6" i="34"/>
  <c r="AO6" i="34"/>
  <c r="AP5" i="34"/>
  <c r="AH3" i="34"/>
  <c r="AO5" i="34"/>
  <c r="AK3" i="34"/>
  <c r="I21" i="31"/>
  <c r="N21" i="31" s="1"/>
  <c r="I14" i="31"/>
  <c r="M28" i="26"/>
  <c r="B82" i="34"/>
  <c r="A83" i="34"/>
  <c r="AA65" i="40"/>
  <c r="AO65" i="40" s="1"/>
  <c r="AP65" i="40" s="1"/>
  <c r="W65" i="40"/>
  <c r="AA64" i="40"/>
  <c r="AO64" i="40" s="1"/>
  <c r="AP64" i="40" s="1"/>
  <c r="W64" i="40"/>
  <c r="M27" i="42"/>
  <c r="J27" i="42"/>
  <c r="AB5" i="30"/>
  <c r="AB4" i="30"/>
  <c r="AA5" i="30"/>
  <c r="AA4" i="30"/>
  <c r="T2" i="30"/>
  <c r="S4" i="30"/>
  <c r="I28" i="38"/>
  <c r="AC28" i="46"/>
  <c r="Y28" i="46"/>
  <c r="Z25" i="46"/>
  <c r="Y27" i="46"/>
  <c r="AC27" i="46"/>
  <c r="G52" i="36"/>
  <c r="K55" i="36"/>
  <c r="K54" i="36"/>
  <c r="M65" i="59"/>
  <c r="M66" i="59"/>
  <c r="G65" i="59"/>
  <c r="AG43" i="50"/>
  <c r="AG39" i="50"/>
  <c r="AG40" i="50" s="1"/>
  <c r="AE40" i="50"/>
  <c r="AI39" i="50" s="1"/>
  <c r="A75" i="27"/>
  <c r="B75" i="27" s="1"/>
  <c r="B74" i="27"/>
  <c r="AA70" i="38"/>
  <c r="AO70" i="38" s="1"/>
  <c r="AP70" i="38" s="1"/>
  <c r="W70" i="38"/>
  <c r="AA69" i="38"/>
  <c r="AO69" i="38" s="1"/>
  <c r="AP69" i="38" s="1"/>
  <c r="W69" i="38"/>
  <c r="AC79" i="36"/>
  <c r="AD79" i="36" s="1"/>
  <c r="AD78" i="36"/>
  <c r="AC83" i="36"/>
  <c r="X8" i="34"/>
  <c r="X10" i="34" s="1"/>
  <c r="V10" i="34"/>
  <c r="AA4" i="23"/>
  <c r="K59" i="50"/>
  <c r="G57" i="50"/>
  <c r="K60" i="50"/>
  <c r="B77" i="43"/>
  <c r="A78" i="43"/>
  <c r="O74" i="29"/>
  <c r="P73" i="29"/>
  <c r="Q73" i="29" s="1"/>
  <c r="C69" i="49"/>
  <c r="C68" i="49"/>
  <c r="M28" i="46"/>
  <c r="O27" i="46"/>
  <c r="O28" i="46"/>
  <c r="J28" i="46"/>
  <c r="L28" i="46" s="1"/>
  <c r="T3" i="33"/>
  <c r="W6" i="33"/>
  <c r="AC5" i="33"/>
  <c r="Y5" i="33"/>
  <c r="AC4" i="33"/>
  <c r="Y4" i="33"/>
  <c r="W7" i="33"/>
  <c r="AC16" i="32"/>
  <c r="Y16" i="32"/>
  <c r="T15" i="32"/>
  <c r="V15" i="32" s="1"/>
  <c r="Y15" i="32"/>
  <c r="AC15" i="32"/>
  <c r="W15" i="32"/>
  <c r="AJ16" i="29"/>
  <c r="AL14" i="29"/>
  <c r="AL16" i="29" s="1"/>
  <c r="AC28" i="40"/>
  <c r="Y28" i="40"/>
  <c r="Z25" i="40"/>
  <c r="AC27" i="40"/>
  <c r="Y27" i="40"/>
  <c r="V27" i="40"/>
  <c r="X27" i="40" s="1"/>
  <c r="J22" i="28"/>
  <c r="M23" i="28"/>
  <c r="M22" i="28"/>
  <c r="V28" i="28"/>
  <c r="X26" i="28"/>
  <c r="X28" i="28" s="1"/>
  <c r="M18" i="35"/>
  <c r="O15" i="35"/>
  <c r="M19" i="35"/>
  <c r="O16" i="35"/>
  <c r="J15" i="35"/>
  <c r="AC16" i="35"/>
  <c r="Y16" i="35"/>
  <c r="W15" i="35"/>
  <c r="AC15" i="35"/>
  <c r="Y15" i="35"/>
  <c r="T15" i="35"/>
  <c r="V15" i="35" s="1"/>
  <c r="AJ16" i="39"/>
  <c r="AL14" i="39"/>
  <c r="AL16" i="39" s="1"/>
  <c r="V10" i="40"/>
  <c r="X8" i="40"/>
  <c r="X10" i="40" s="1"/>
  <c r="AC22" i="36"/>
  <c r="Y22" i="36"/>
  <c r="W25" i="36"/>
  <c r="W24" i="36"/>
  <c r="AC23" i="36"/>
  <c r="Y23" i="36"/>
  <c r="T21" i="36"/>
  <c r="AB5" i="26"/>
  <c r="AB4" i="26"/>
  <c r="S4" i="26"/>
  <c r="AA4" i="26"/>
  <c r="AA5" i="26"/>
  <c r="T2" i="26"/>
  <c r="AC15" i="28"/>
  <c r="Y15" i="28"/>
  <c r="T15" i="28"/>
  <c r="V15" i="28" s="1"/>
  <c r="AC16" i="28"/>
  <c r="Y16" i="28"/>
  <c r="W15" i="28"/>
  <c r="M28" i="39"/>
  <c r="O78" i="47"/>
  <c r="P77" i="47"/>
  <c r="AJ75" i="28"/>
  <c r="AJ74" i="28"/>
  <c r="A75" i="28"/>
  <c r="B75" i="28" s="1"/>
  <c r="B74" i="28"/>
  <c r="AJ95" i="46"/>
  <c r="AJ94" i="46"/>
  <c r="X63" i="59"/>
  <c r="A79" i="27"/>
  <c r="B78" i="27"/>
  <c r="F40" i="50"/>
  <c r="J39" i="50" s="1"/>
  <c r="N39" i="50" s="1"/>
  <c r="AQ39" i="50" s="1"/>
  <c r="Q62" i="26"/>
  <c r="Q64" i="26"/>
  <c r="G58" i="30"/>
  <c r="C57" i="30"/>
  <c r="C69" i="42"/>
  <c r="C68" i="42"/>
  <c r="J27" i="32"/>
  <c r="M27" i="32"/>
  <c r="AQ15" i="42"/>
  <c r="AM15" i="42"/>
  <c r="AN13" i="42"/>
  <c r="AQ16" i="42"/>
  <c r="AM16" i="42"/>
  <c r="AK13" i="46"/>
  <c r="AK12" i="46"/>
  <c r="AQ11" i="46"/>
  <c r="AM11" i="46"/>
  <c r="AQ10" i="46"/>
  <c r="AM10" i="46"/>
  <c r="J27" i="34"/>
  <c r="M27" i="34"/>
  <c r="L21" i="59"/>
  <c r="M21" i="59" s="1"/>
  <c r="L14" i="59"/>
  <c r="M14" i="59" s="1"/>
  <c r="AC74" i="38"/>
  <c r="AD74" i="38" s="1"/>
  <c r="AD73" i="38"/>
  <c r="AC78" i="38"/>
  <c r="A75" i="38"/>
  <c r="B75" i="38" s="1"/>
  <c r="B74" i="38"/>
  <c r="P77" i="36"/>
  <c r="O78" i="36"/>
  <c r="O65" i="39"/>
  <c r="P65" i="39" s="1"/>
  <c r="P64" i="39"/>
  <c r="C64" i="30"/>
  <c r="C63" i="30"/>
  <c r="A79" i="40"/>
  <c r="B78" i="40"/>
  <c r="K60" i="49"/>
  <c r="K59" i="49"/>
  <c r="G57" i="49"/>
  <c r="AQ10" i="32"/>
  <c r="AK13" i="32"/>
  <c r="AK12" i="32"/>
  <c r="AM11" i="32"/>
  <c r="AH9" i="32"/>
  <c r="AQ11" i="32"/>
  <c r="AM10" i="32"/>
  <c r="S4" i="34"/>
  <c r="AB5" i="34"/>
  <c r="AB4" i="34"/>
  <c r="AA5" i="34"/>
  <c r="AA4" i="34"/>
  <c r="T2" i="34"/>
  <c r="AB23" i="38"/>
  <c r="AA23" i="38"/>
  <c r="S22" i="38"/>
  <c r="AB22" i="38"/>
  <c r="AA22" i="38"/>
  <c r="T20" i="38"/>
  <c r="AA5" i="49"/>
  <c r="AA4" i="49"/>
  <c r="S4" i="49"/>
  <c r="A79" i="38"/>
  <c r="B78" i="38"/>
  <c r="O88" i="59"/>
  <c r="P87" i="59"/>
  <c r="C62" i="31"/>
  <c r="G63" i="31"/>
  <c r="P77" i="30"/>
  <c r="O78" i="30"/>
  <c r="X52" i="43"/>
  <c r="AP59" i="46"/>
  <c r="T14" i="30"/>
  <c r="V14" i="30" s="1"/>
  <c r="W14" i="30"/>
  <c r="V9" i="30"/>
  <c r="X9" i="30" s="1"/>
  <c r="AC10" i="30"/>
  <c r="Y10" i="30"/>
  <c r="AC9" i="30"/>
  <c r="Y9" i="30"/>
  <c r="Z7" i="30"/>
  <c r="X8" i="37"/>
  <c r="X10" i="37" s="1"/>
  <c r="V10" i="37"/>
  <c r="K60" i="31"/>
  <c r="K59" i="31"/>
  <c r="G57" i="31"/>
  <c r="P72" i="39"/>
  <c r="O73" i="39"/>
  <c r="H5" i="23"/>
  <c r="I5" i="23" s="1"/>
  <c r="D5" i="23"/>
  <c r="F5" i="23" s="1"/>
  <c r="G5" i="23" s="1"/>
  <c r="C68" i="35"/>
  <c r="C69" i="35"/>
  <c r="X52" i="27"/>
  <c r="A75" i="41"/>
  <c r="B75" i="41" s="1"/>
  <c r="B74" i="41"/>
  <c r="I14" i="41"/>
  <c r="I21" i="41"/>
  <c r="V28" i="33"/>
  <c r="X26" i="33"/>
  <c r="X28" i="33" s="1"/>
  <c r="S22" i="34"/>
  <c r="AN13" i="40"/>
  <c r="AQ15" i="40"/>
  <c r="AM15" i="40"/>
  <c r="AQ16" i="40"/>
  <c r="AM16" i="40"/>
  <c r="AJ15" i="40"/>
  <c r="AL15" i="40" s="1"/>
  <c r="N16" i="28"/>
  <c r="L16" i="28"/>
  <c r="AJ16" i="35"/>
  <c r="AL14" i="35"/>
  <c r="AL16" i="35" s="1"/>
  <c r="AO10" i="29"/>
  <c r="AH8" i="29"/>
  <c r="AP11" i="29"/>
  <c r="AG10" i="29"/>
  <c r="AO11" i="29"/>
  <c r="AP10" i="29"/>
  <c r="AK13" i="26"/>
  <c r="AK12" i="26"/>
  <c r="AQ11" i="26"/>
  <c r="AM11" i="26"/>
  <c r="AQ10" i="26"/>
  <c r="AH9" i="26"/>
  <c r="AM10" i="26"/>
  <c r="AO10" i="35"/>
  <c r="AH8" i="35"/>
  <c r="AP11" i="35"/>
  <c r="AG10" i="35"/>
  <c r="AO11" i="35"/>
  <c r="AP10" i="35"/>
  <c r="V28" i="29"/>
  <c r="X26" i="29"/>
  <c r="X28" i="29" s="1"/>
  <c r="AO5" i="36"/>
  <c r="AK3" i="36"/>
  <c r="AP6" i="36"/>
  <c r="AO6" i="36"/>
  <c r="AP5" i="36"/>
  <c r="AH3" i="36"/>
  <c r="I28" i="27"/>
  <c r="T14" i="26"/>
  <c r="V14" i="26" s="1"/>
  <c r="W14" i="26"/>
  <c r="V9" i="35"/>
  <c r="X9" i="35" s="1"/>
  <c r="AC10" i="35"/>
  <c r="Y10" i="35"/>
  <c r="AC9" i="35"/>
  <c r="Y9" i="35"/>
  <c r="Z7" i="35"/>
  <c r="AC9" i="40"/>
  <c r="Y9" i="40"/>
  <c r="V9" i="40"/>
  <c r="X9" i="40" s="1"/>
  <c r="AC10" i="40"/>
  <c r="Y10" i="40"/>
  <c r="Z7" i="40"/>
  <c r="A78" i="36"/>
  <c r="B77" i="36"/>
  <c r="I14" i="50"/>
  <c r="I21" i="50"/>
  <c r="AC83" i="32"/>
  <c r="AC79" i="32"/>
  <c r="AD79" i="32" s="1"/>
  <c r="AD78" i="32"/>
  <c r="AE34" i="48"/>
  <c r="D38" i="48"/>
  <c r="AE38" i="48"/>
  <c r="R33" i="48"/>
  <c r="D42" i="48"/>
  <c r="R37" i="48"/>
  <c r="C64" i="26"/>
  <c r="C63" i="26"/>
  <c r="P64" i="46"/>
  <c r="O65" i="46"/>
  <c r="P65" i="46" s="1"/>
  <c r="M64" i="44"/>
  <c r="I64" i="44"/>
  <c r="M65" i="44"/>
  <c r="I65" i="44"/>
  <c r="G64" i="44"/>
  <c r="K59" i="29"/>
  <c r="G57" i="29"/>
  <c r="K60" i="29"/>
  <c r="AA65" i="44"/>
  <c r="AO65" i="44" s="1"/>
  <c r="W65" i="44"/>
  <c r="AA64" i="44"/>
  <c r="AO64" i="44" s="1"/>
  <c r="W64" i="44"/>
  <c r="X52" i="50"/>
  <c r="AK4" i="49"/>
  <c r="AA5" i="33"/>
  <c r="AA4" i="33"/>
  <c r="T2" i="33"/>
  <c r="S4" i="33"/>
  <c r="AB5" i="33"/>
  <c r="AB4" i="33"/>
  <c r="AQ5" i="37"/>
  <c r="AM5" i="37"/>
  <c r="AH5" i="37"/>
  <c r="AJ5" i="37" s="1"/>
  <c r="AK5" i="37"/>
  <c r="AQ6" i="37"/>
  <c r="AM6" i="37"/>
  <c r="AH8" i="30"/>
  <c r="AP11" i="30"/>
  <c r="AG10" i="30"/>
  <c r="AO11" i="30"/>
  <c r="AP10" i="30"/>
  <c r="AO10" i="30"/>
  <c r="B82" i="28"/>
  <c r="A83" i="28"/>
  <c r="M64" i="33"/>
  <c r="I64" i="33"/>
  <c r="M65" i="33"/>
  <c r="I65" i="33"/>
  <c r="G64" i="33"/>
  <c r="O70" i="35"/>
  <c r="P70" i="35" s="1"/>
  <c r="P69" i="35"/>
  <c r="C68" i="38"/>
  <c r="C69" i="38"/>
  <c r="AC79" i="27"/>
  <c r="AD79" i="27" s="1"/>
  <c r="AD78" i="27"/>
  <c r="AC83" i="27"/>
  <c r="P76" i="37"/>
  <c r="O81" i="37"/>
  <c r="O77" i="37"/>
  <c r="AL69" i="35"/>
  <c r="AH69" i="35"/>
  <c r="AL70" i="35"/>
  <c r="AH70" i="35"/>
  <c r="AI67" i="35"/>
  <c r="O73" i="31"/>
  <c r="P72" i="31"/>
  <c r="AC79" i="37"/>
  <c r="AD79" i="37" s="1"/>
  <c r="AD78" i="37"/>
  <c r="AC83" i="37"/>
  <c r="C62" i="49"/>
  <c r="G63" i="49"/>
  <c r="AL75" i="33"/>
  <c r="AH75" i="33"/>
  <c r="AI72" i="33"/>
  <c r="AL74" i="33"/>
  <c r="AH74" i="33"/>
  <c r="P77" i="41"/>
  <c r="O78" i="41"/>
  <c r="X52" i="37"/>
  <c r="AB15" i="34"/>
  <c r="T13" i="34"/>
  <c r="AB16" i="34"/>
  <c r="AA15" i="34"/>
  <c r="AA16" i="34"/>
  <c r="W13" i="34"/>
  <c r="AQ16" i="38"/>
  <c r="AM16" i="38"/>
  <c r="AJ15" i="38"/>
  <c r="AL15" i="38" s="1"/>
  <c r="AQ15" i="38"/>
  <c r="AM15" i="38"/>
  <c r="AN13" i="38"/>
  <c r="AA16" i="49"/>
  <c r="W13" i="49"/>
  <c r="AA15" i="49"/>
  <c r="AP11" i="31"/>
  <c r="AG10" i="31"/>
  <c r="AO11" i="31"/>
  <c r="AP10" i="31"/>
  <c r="AO10" i="31"/>
  <c r="AH8" i="31"/>
  <c r="P76" i="50"/>
  <c r="O81" i="50"/>
  <c r="O77" i="50"/>
  <c r="C69" i="28"/>
  <c r="C68" i="28"/>
  <c r="M65" i="38"/>
  <c r="I65" i="38"/>
  <c r="G64" i="38"/>
  <c r="M64" i="38"/>
  <c r="I64" i="38"/>
  <c r="M60" i="37"/>
  <c r="I60" i="37"/>
  <c r="G59" i="37"/>
  <c r="M59" i="37"/>
  <c r="I59" i="37"/>
  <c r="P76" i="43"/>
  <c r="O77" i="43"/>
  <c r="O81" i="43"/>
  <c r="AJ74" i="42"/>
  <c r="AJ75" i="42"/>
  <c r="C69" i="50"/>
  <c r="C68" i="50"/>
  <c r="O82" i="42"/>
  <c r="P81" i="42"/>
  <c r="O86" i="42"/>
  <c r="Y55" i="44"/>
  <c r="Y54" i="44"/>
  <c r="W7" i="42"/>
  <c r="W6" i="42"/>
  <c r="AC5" i="42"/>
  <c r="Y5" i="42"/>
  <c r="AC4" i="42"/>
  <c r="Y4" i="42"/>
  <c r="AB22" i="33"/>
  <c r="AA22" i="33"/>
  <c r="T20" i="33"/>
  <c r="AB23" i="33"/>
  <c r="AA23" i="33"/>
  <c r="S22" i="33"/>
  <c r="AO16" i="31"/>
  <c r="AP15" i="31"/>
  <c r="AO15" i="31"/>
  <c r="AJ14" i="31"/>
  <c r="AP16" i="31"/>
  <c r="O65" i="33"/>
  <c r="P65" i="33" s="1"/>
  <c r="P64" i="33"/>
  <c r="Y60" i="26"/>
  <c r="Y59" i="26"/>
  <c r="R43" i="50"/>
  <c r="AE48" i="50"/>
  <c r="AE44" i="50"/>
  <c r="AG44" i="50" s="1"/>
  <c r="D44" i="50"/>
  <c r="F44" i="50" s="1"/>
  <c r="H44" i="50" s="1"/>
  <c r="R39" i="50"/>
  <c r="D48" i="50"/>
  <c r="F48" i="50" s="1"/>
  <c r="H48" i="50" s="1"/>
  <c r="Y55" i="46"/>
  <c r="Y54" i="46"/>
  <c r="A83" i="31"/>
  <c r="B82" i="31"/>
  <c r="X57" i="42"/>
  <c r="B86" i="32"/>
  <c r="A87" i="32"/>
  <c r="A91" i="32"/>
  <c r="M65" i="47"/>
  <c r="I65" i="47"/>
  <c r="G64" i="47"/>
  <c r="M64" i="47"/>
  <c r="I64" i="47"/>
  <c r="A79" i="47"/>
  <c r="B78" i="47"/>
  <c r="G58" i="26"/>
  <c r="C57" i="26"/>
  <c r="W7" i="46"/>
  <c r="W6" i="46"/>
  <c r="AC5" i="46"/>
  <c r="AC4" i="46"/>
  <c r="Y5" i="46"/>
  <c r="Y4" i="46"/>
  <c r="T21" i="38"/>
  <c r="AC22" i="38"/>
  <c r="Y22" i="38"/>
  <c r="W25" i="38"/>
  <c r="W24" i="38"/>
  <c r="AC23" i="38"/>
  <c r="Y23" i="38"/>
  <c r="AA16" i="44"/>
  <c r="W13" i="44"/>
  <c r="AA15" i="44"/>
  <c r="M23" i="49"/>
  <c r="M22" i="49"/>
  <c r="AC22" i="42"/>
  <c r="Y22" i="42"/>
  <c r="W25" i="42"/>
  <c r="W24" i="42"/>
  <c r="AC23" i="42"/>
  <c r="Y23" i="42"/>
  <c r="F4" i="23"/>
  <c r="AJ70" i="47"/>
  <c r="AJ69" i="47"/>
  <c r="V27" i="29"/>
  <c r="X27" i="29" s="1"/>
  <c r="AC28" i="29"/>
  <c r="Y28" i="29"/>
  <c r="Z25" i="29"/>
  <c r="AC27" i="29"/>
  <c r="Y27" i="29"/>
  <c r="AK5" i="39"/>
  <c r="AQ6" i="39"/>
  <c r="AM6" i="39"/>
  <c r="AQ5" i="39"/>
  <c r="AM5" i="39"/>
  <c r="AH5" i="39"/>
  <c r="AJ5" i="39" s="1"/>
  <c r="W14" i="40"/>
  <c r="T14" i="40"/>
  <c r="V14" i="40" s="1"/>
  <c r="V9" i="26"/>
  <c r="X9" i="26" s="1"/>
  <c r="AC9" i="26"/>
  <c r="Y9" i="26"/>
  <c r="Z7" i="26"/>
  <c r="AC10" i="26"/>
  <c r="Y10" i="26"/>
  <c r="AQ15" i="36"/>
  <c r="AM15" i="36"/>
  <c r="AN13" i="36"/>
  <c r="AQ16" i="36"/>
  <c r="AM16" i="36"/>
  <c r="AJ15" i="36"/>
  <c r="AL15" i="36" s="1"/>
  <c r="I16" i="27"/>
  <c r="J16" i="27" s="1"/>
  <c r="X8" i="36"/>
  <c r="X10" i="36" s="1"/>
  <c r="V10" i="36"/>
  <c r="AL14" i="26"/>
  <c r="AL16" i="26" s="1"/>
  <c r="AJ16" i="26"/>
  <c r="AC22" i="26"/>
  <c r="Y22" i="26"/>
  <c r="W25" i="26"/>
  <c r="W24" i="26"/>
  <c r="AC23" i="26"/>
  <c r="Y23" i="26"/>
  <c r="T21" i="26"/>
  <c r="W25" i="28"/>
  <c r="W24" i="28"/>
  <c r="AC23" i="28"/>
  <c r="Y23" i="28"/>
  <c r="T21" i="28"/>
  <c r="AC22" i="28"/>
  <c r="Y22" i="28"/>
  <c r="AQ5" i="28"/>
  <c r="AM5" i="28"/>
  <c r="AH5" i="28"/>
  <c r="AJ5" i="28" s="1"/>
  <c r="AK5" i="28"/>
  <c r="AQ6" i="28"/>
  <c r="AM6" i="28"/>
  <c r="V28" i="35"/>
  <c r="X26" i="35"/>
  <c r="X28" i="35" s="1"/>
  <c r="AQ16" i="29"/>
  <c r="AM16" i="29"/>
  <c r="AJ15" i="29"/>
  <c r="AL15" i="29" s="1"/>
  <c r="AQ15" i="29"/>
  <c r="AM15" i="29"/>
  <c r="AN13" i="29"/>
  <c r="I16" i="40"/>
  <c r="J16" i="40" s="1"/>
  <c r="B81" i="48"/>
  <c r="A86" i="48"/>
  <c r="A82" i="48"/>
  <c r="O73" i="49"/>
  <c r="P72" i="49"/>
  <c r="T37" i="49"/>
  <c r="V37" i="49"/>
  <c r="F38" i="49"/>
  <c r="J37" i="49"/>
  <c r="A75" i="32"/>
  <c r="B75" i="32" s="1"/>
  <c r="B74" i="32"/>
  <c r="Y55" i="40"/>
  <c r="Y54" i="40"/>
  <c r="B82" i="41"/>
  <c r="A83" i="41"/>
  <c r="A75" i="33"/>
  <c r="B75" i="33" s="1"/>
  <c r="B74" i="33"/>
  <c r="X8" i="33"/>
  <c r="X10" i="33" s="1"/>
  <c r="V10" i="33"/>
  <c r="I16" i="32"/>
  <c r="J16" i="32" s="1"/>
  <c r="AA16" i="33"/>
  <c r="W13" i="33"/>
  <c r="AB15" i="33"/>
  <c r="T13" i="33"/>
  <c r="AB16" i="33"/>
  <c r="AA15" i="33"/>
  <c r="AQ15" i="30"/>
  <c r="AM15" i="30"/>
  <c r="AN13" i="30"/>
  <c r="AQ16" i="30"/>
  <c r="AM16" i="30"/>
  <c r="AJ15" i="30"/>
  <c r="AL15" i="30" s="1"/>
  <c r="N16" i="31"/>
  <c r="L16" i="31"/>
  <c r="AG5" i="31"/>
  <c r="AG4" i="31"/>
  <c r="AG3" i="31"/>
  <c r="AA78" i="59"/>
  <c r="AQ78" i="59" s="1"/>
  <c r="AA77" i="59"/>
  <c r="AQ77" i="59" s="1"/>
  <c r="C62" i="35"/>
  <c r="G63" i="35"/>
  <c r="Q57" i="43"/>
  <c r="Q59" i="43"/>
  <c r="K59" i="34"/>
  <c r="G57" i="34"/>
  <c r="K60" i="34"/>
  <c r="AP54" i="31"/>
  <c r="P64" i="34"/>
  <c r="O65" i="34"/>
  <c r="P65" i="34" s="1"/>
  <c r="Y60" i="29"/>
  <c r="Y59" i="29"/>
  <c r="AJ75" i="50"/>
  <c r="AJ74" i="50"/>
  <c r="M59" i="46"/>
  <c r="M60" i="46"/>
  <c r="I59" i="46"/>
  <c r="I60" i="46"/>
  <c r="G59" i="46"/>
  <c r="AO6" i="32"/>
  <c r="AP5" i="32"/>
  <c r="AH3" i="32"/>
  <c r="AK3" i="32"/>
  <c r="AP6" i="32"/>
  <c r="AO5" i="32"/>
  <c r="AK3" i="44"/>
  <c r="AO6" i="44"/>
  <c r="AO5" i="44"/>
  <c r="I21" i="43"/>
  <c r="I14" i="43"/>
  <c r="O65" i="49"/>
  <c r="P65" i="49" s="1"/>
  <c r="P64" i="49"/>
  <c r="A75" i="31"/>
  <c r="B75" i="31" s="1"/>
  <c r="B74" i="31"/>
  <c r="O73" i="34"/>
  <c r="P72" i="34"/>
  <c r="G52" i="39"/>
  <c r="K55" i="39"/>
  <c r="K54" i="39"/>
  <c r="B77" i="45"/>
  <c r="A78" i="45"/>
  <c r="P77" i="48"/>
  <c r="O78" i="48"/>
  <c r="A75" i="29"/>
  <c r="B75" i="29" s="1"/>
  <c r="B74" i="29"/>
  <c r="V28" i="37"/>
  <c r="X26" i="37"/>
  <c r="X28" i="37" s="1"/>
  <c r="W14" i="46"/>
  <c r="I28" i="44"/>
  <c r="A79" i="31"/>
  <c r="B78" i="31"/>
  <c r="AA65" i="27"/>
  <c r="AO65" i="27" s="1"/>
  <c r="W65" i="27"/>
  <c r="AA64" i="27"/>
  <c r="AO64" i="27" s="1"/>
  <c r="W64" i="27"/>
  <c r="AL75" i="30"/>
  <c r="AH75" i="30"/>
  <c r="AI72" i="30"/>
  <c r="AL74" i="30"/>
  <c r="AH74" i="30"/>
  <c r="O73" i="28"/>
  <c r="P72" i="28"/>
  <c r="C64" i="46"/>
  <c r="C63" i="46"/>
  <c r="V47" i="50"/>
  <c r="T47" i="50"/>
  <c r="M65" i="29"/>
  <c r="I65" i="29"/>
  <c r="G64" i="29"/>
  <c r="M64" i="29"/>
  <c r="I64" i="29"/>
  <c r="AL14" i="37"/>
  <c r="AL16" i="37" s="1"/>
  <c r="AJ16" i="37"/>
  <c r="AO10" i="32"/>
  <c r="AP11" i="32"/>
  <c r="AO11" i="32"/>
  <c r="AP10" i="32"/>
  <c r="AG10" i="32"/>
  <c r="AH8" i="32"/>
  <c r="I27" i="47" l="1"/>
  <c r="I28" i="47"/>
  <c r="M28" i="33"/>
  <c r="D7" i="66"/>
  <c r="L8" i="66"/>
  <c r="D7" i="65"/>
  <c r="I7" i="66"/>
  <c r="J7" i="66"/>
  <c r="B7" i="65" s="1"/>
  <c r="B6" i="66"/>
  <c r="A6" i="66"/>
  <c r="S20" i="41"/>
  <c r="X5" i="25"/>
  <c r="AP65" i="41"/>
  <c r="L16" i="41"/>
  <c r="N16" i="41"/>
  <c r="AG5" i="41"/>
  <c r="AG3" i="41"/>
  <c r="U27" i="41"/>
  <c r="S21" i="41"/>
  <c r="AG4" i="41"/>
  <c r="S15" i="41"/>
  <c r="S13" i="41"/>
  <c r="S14" i="41"/>
  <c r="AP40" i="41"/>
  <c r="AP34" i="41"/>
  <c r="AP39" i="41"/>
  <c r="AP35" i="41"/>
  <c r="U9" i="41"/>
  <c r="S3" i="41"/>
  <c r="AG8" i="41"/>
  <c r="AG9" i="41"/>
  <c r="AI15" i="41"/>
  <c r="AA27" i="41"/>
  <c r="AA28" i="41"/>
  <c r="S2" i="41"/>
  <c r="AO16" i="41"/>
  <c r="AO15" i="41"/>
  <c r="AA10" i="41"/>
  <c r="AA9" i="41"/>
  <c r="I22" i="41"/>
  <c r="N21" i="41" s="1"/>
  <c r="I15" i="41"/>
  <c r="AP64" i="41"/>
  <c r="I28" i="43"/>
  <c r="J28" i="43" s="1"/>
  <c r="L28" i="43" s="1"/>
  <c r="T22" i="36"/>
  <c r="X22" i="36" s="1"/>
  <c r="A6" i="65"/>
  <c r="N16" i="47"/>
  <c r="I27" i="43"/>
  <c r="S20" i="43"/>
  <c r="AA28" i="43"/>
  <c r="AA27" i="43"/>
  <c r="S2" i="43"/>
  <c r="AA10" i="43"/>
  <c r="AA9" i="43"/>
  <c r="S3" i="43"/>
  <c r="U9" i="43"/>
  <c r="AG8" i="43"/>
  <c r="AO16" i="43"/>
  <c r="AO15" i="43"/>
  <c r="I22" i="43"/>
  <c r="N21" i="43" s="1"/>
  <c r="I15" i="43"/>
  <c r="AI15" i="43"/>
  <c r="AG9" i="43"/>
  <c r="U27" i="43"/>
  <c r="S21" i="43"/>
  <c r="AP49" i="43"/>
  <c r="AP50" i="43"/>
  <c r="AP40" i="43"/>
  <c r="AP35" i="43"/>
  <c r="AP44" i="43"/>
  <c r="AP39" i="43"/>
  <c r="AP34" i="43"/>
  <c r="AP45" i="43"/>
  <c r="I16" i="43"/>
  <c r="J16" i="43" s="1"/>
  <c r="AG3" i="43"/>
  <c r="AG5" i="43"/>
  <c r="S13" i="43"/>
  <c r="S14" i="43"/>
  <c r="S15" i="43"/>
  <c r="AG4" i="43"/>
  <c r="AK12" i="59"/>
  <c r="V26" i="59"/>
  <c r="K15" i="59"/>
  <c r="V15" i="59"/>
  <c r="V4" i="59"/>
  <c r="Z10" i="59" s="1"/>
  <c r="O5" i="59"/>
  <c r="AK4" i="59"/>
  <c r="O4" i="59"/>
  <c r="K27" i="59"/>
  <c r="V22" i="59"/>
  <c r="AF7" i="45"/>
  <c r="K11" i="45"/>
  <c r="R6" i="45"/>
  <c r="R24" i="45"/>
  <c r="K10" i="45"/>
  <c r="AF11" i="45"/>
  <c r="R25" i="45"/>
  <c r="AF12" i="45"/>
  <c r="H27" i="45"/>
  <c r="K5" i="45"/>
  <c r="R14" i="45"/>
  <c r="H15" i="45"/>
  <c r="K4" i="45"/>
  <c r="AF4" i="45"/>
  <c r="R3" i="45"/>
  <c r="U8" i="45" s="1"/>
  <c r="R21" i="45"/>
  <c r="AK6" i="59"/>
  <c r="V24" i="59"/>
  <c r="O9" i="59"/>
  <c r="O8" i="59"/>
  <c r="V6" i="59"/>
  <c r="AK10" i="59"/>
  <c r="AO15" i="59" s="1"/>
  <c r="V17" i="59"/>
  <c r="V23" i="59"/>
  <c r="Z28" i="59" s="1"/>
  <c r="O7" i="59"/>
  <c r="O6" i="59"/>
  <c r="K16" i="59"/>
  <c r="V5" i="59"/>
  <c r="V16" i="59"/>
  <c r="AK5" i="59"/>
  <c r="AK9" i="59"/>
  <c r="K28" i="59"/>
  <c r="R5" i="45"/>
  <c r="R16" i="45"/>
  <c r="K9" i="45"/>
  <c r="AF10" i="45"/>
  <c r="AI14" i="45" s="1"/>
  <c r="AF6" i="45"/>
  <c r="K8" i="45"/>
  <c r="R23" i="45"/>
  <c r="H16" i="45"/>
  <c r="I16" i="45" s="1"/>
  <c r="J16" i="45" s="1"/>
  <c r="R15" i="45"/>
  <c r="K7" i="45"/>
  <c r="AF5" i="45"/>
  <c r="AF9" i="45"/>
  <c r="R4" i="45"/>
  <c r="H28" i="45"/>
  <c r="K6" i="45"/>
  <c r="R22" i="45"/>
  <c r="U26" i="45" s="1"/>
  <c r="AK11" i="59"/>
  <c r="V7" i="59"/>
  <c r="O11" i="59"/>
  <c r="O10" i="59"/>
  <c r="V25" i="59"/>
  <c r="AK7" i="59"/>
  <c r="AG4" i="47"/>
  <c r="AK4" i="47" s="1"/>
  <c r="S13" i="47"/>
  <c r="S15" i="47"/>
  <c r="S14" i="47"/>
  <c r="S21" i="47"/>
  <c r="U27" i="47"/>
  <c r="AG9" i="47"/>
  <c r="AI15" i="47"/>
  <c r="I15" i="47"/>
  <c r="I22" i="47"/>
  <c r="N21" i="47" s="1"/>
  <c r="AA9" i="47"/>
  <c r="AA10" i="47"/>
  <c r="AA27" i="47"/>
  <c r="AA28" i="47"/>
  <c r="S2" i="47"/>
  <c r="AO16" i="47"/>
  <c r="AO15" i="47"/>
  <c r="AG8" i="47"/>
  <c r="AG3" i="47"/>
  <c r="AG5" i="47"/>
  <c r="S20" i="47"/>
  <c r="AP39" i="47"/>
  <c r="AP59" i="47"/>
  <c r="AP44" i="47"/>
  <c r="AP35" i="47"/>
  <c r="AP40" i="47"/>
  <c r="AP50" i="47"/>
  <c r="AP34" i="47"/>
  <c r="AP60" i="47"/>
  <c r="AP55" i="47"/>
  <c r="AP54" i="47"/>
  <c r="AP49" i="47"/>
  <c r="AP45" i="47"/>
  <c r="U9" i="47"/>
  <c r="S3" i="47"/>
  <c r="AG8" i="48"/>
  <c r="AP49" i="48"/>
  <c r="AP54" i="48"/>
  <c r="AP55" i="48"/>
  <c r="AP50" i="48"/>
  <c r="AP34" i="48"/>
  <c r="AP35" i="48"/>
  <c r="AP39" i="48"/>
  <c r="AP44" i="48"/>
  <c r="AP40" i="48"/>
  <c r="AP59" i="48"/>
  <c r="AP60" i="48"/>
  <c r="AP45" i="48"/>
  <c r="I15" i="48"/>
  <c r="I22" i="48"/>
  <c r="S20" i="48"/>
  <c r="AI15" i="48"/>
  <c r="AG9" i="48"/>
  <c r="I28" i="48"/>
  <c r="I27" i="48"/>
  <c r="AA9" i="48"/>
  <c r="AA10" i="48"/>
  <c r="AG5" i="48"/>
  <c r="AG3" i="48"/>
  <c r="AA27" i="48"/>
  <c r="AA28" i="48"/>
  <c r="S14" i="48"/>
  <c r="S15" i="48"/>
  <c r="S13" i="48"/>
  <c r="U27" i="48"/>
  <c r="S21" i="48"/>
  <c r="I16" i="48"/>
  <c r="J16" i="48" s="1"/>
  <c r="S2" i="48"/>
  <c r="AO16" i="48"/>
  <c r="AO15" i="48"/>
  <c r="AG4" i="48"/>
  <c r="S3" i="48"/>
  <c r="U9" i="48"/>
  <c r="AP60" i="27"/>
  <c r="S2" i="27"/>
  <c r="S14" i="27"/>
  <c r="S15" i="27"/>
  <c r="S13" i="27"/>
  <c r="AG8" i="27"/>
  <c r="S3" i="27"/>
  <c r="U9" i="27"/>
  <c r="AG9" i="27"/>
  <c r="AI15" i="27"/>
  <c r="AO15" i="27"/>
  <c r="AO16" i="27"/>
  <c r="S20" i="27"/>
  <c r="AP39" i="27"/>
  <c r="AP40" i="27"/>
  <c r="AP34" i="27"/>
  <c r="AP35" i="27"/>
  <c r="AP50" i="27"/>
  <c r="AP55" i="27"/>
  <c r="AP49" i="27"/>
  <c r="AP45" i="27"/>
  <c r="AP54" i="27"/>
  <c r="AP44" i="27"/>
  <c r="AA27" i="27"/>
  <c r="AA28" i="27"/>
  <c r="U27" i="27"/>
  <c r="S21" i="27"/>
  <c r="AG5" i="27"/>
  <c r="AG3" i="27"/>
  <c r="I22" i="27"/>
  <c r="I15" i="27"/>
  <c r="AA9" i="27"/>
  <c r="AA10" i="27"/>
  <c r="AG4" i="27"/>
  <c r="O27" i="28"/>
  <c r="AN8" i="37"/>
  <c r="J28" i="33"/>
  <c r="L28" i="33" s="1"/>
  <c r="N28" i="33" s="1"/>
  <c r="O27" i="43"/>
  <c r="G6" i="25"/>
  <c r="H8" i="25"/>
  <c r="I8" i="25" s="1"/>
  <c r="D8" i="25"/>
  <c r="F8" i="25" s="1"/>
  <c r="G8" i="25" s="1"/>
  <c r="AE9" i="61"/>
  <c r="B9" i="25"/>
  <c r="C4" i="45"/>
  <c r="AP9" i="25"/>
  <c r="D37" i="46"/>
  <c r="F37" i="46" s="1"/>
  <c r="H37" i="46" s="1"/>
  <c r="AE33" i="46"/>
  <c r="AG33" i="46" s="1"/>
  <c r="R32" i="46"/>
  <c r="V32" i="47"/>
  <c r="T32" i="47"/>
  <c r="AV8" i="25"/>
  <c r="Y7" i="25"/>
  <c r="M28" i="28"/>
  <c r="M28" i="43"/>
  <c r="N28" i="43" s="1"/>
  <c r="J28" i="28"/>
  <c r="L28" i="28" s="1"/>
  <c r="J27" i="46"/>
  <c r="L27" i="46" s="1"/>
  <c r="Z2" i="37"/>
  <c r="Z4" i="37" s="1"/>
  <c r="AD4" i="37" s="1"/>
  <c r="AN8" i="26"/>
  <c r="O28" i="33"/>
  <c r="D57" i="50"/>
  <c r="M27" i="33"/>
  <c r="J28" i="39"/>
  <c r="L28" i="39" s="1"/>
  <c r="J28" i="26"/>
  <c r="L28" i="26" s="1"/>
  <c r="N28" i="26" s="1"/>
  <c r="O28" i="36"/>
  <c r="AJ8" i="34"/>
  <c r="AJ11" i="34" s="1"/>
  <c r="O28" i="39"/>
  <c r="O28" i="26"/>
  <c r="J27" i="36"/>
  <c r="P26" i="36" s="1"/>
  <c r="O27" i="36"/>
  <c r="AG40" i="49"/>
  <c r="AE40" i="49"/>
  <c r="AI39" i="49" s="1"/>
  <c r="D52" i="48"/>
  <c r="F52" i="48" s="1"/>
  <c r="Z20" i="35"/>
  <c r="Z22" i="35" s="1"/>
  <c r="AD22" i="35" s="1"/>
  <c r="V47" i="48"/>
  <c r="T47" i="48"/>
  <c r="X14" i="26"/>
  <c r="X15" i="38"/>
  <c r="X15" i="33"/>
  <c r="X14" i="29"/>
  <c r="AL5" i="28"/>
  <c r="X15" i="40"/>
  <c r="X15" i="28"/>
  <c r="AL5" i="38"/>
  <c r="AL4" i="30"/>
  <c r="AL4" i="34"/>
  <c r="AL4" i="28"/>
  <c r="N28" i="49"/>
  <c r="N28" i="34"/>
  <c r="X15" i="29"/>
  <c r="AL5" i="34"/>
  <c r="X14" i="37"/>
  <c r="AL4" i="37"/>
  <c r="AL4" i="40"/>
  <c r="AI35" i="49"/>
  <c r="AM35" i="49" s="1"/>
  <c r="AS35" i="49" s="1"/>
  <c r="AL5" i="40"/>
  <c r="X15" i="30"/>
  <c r="X14" i="32"/>
  <c r="X14" i="39"/>
  <c r="AL5" i="32"/>
  <c r="AL4" i="35"/>
  <c r="AL5" i="29"/>
  <c r="N28" i="35"/>
  <c r="AL5" i="35"/>
  <c r="AL4" i="26"/>
  <c r="X14" i="28"/>
  <c r="N28" i="36"/>
  <c r="AH4" i="31"/>
  <c r="AJ4" i="31" s="1"/>
  <c r="AK4" i="31"/>
  <c r="L16" i="32"/>
  <c r="N16" i="32"/>
  <c r="A79" i="45"/>
  <c r="B78" i="45"/>
  <c r="C74" i="31"/>
  <c r="C73" i="31"/>
  <c r="K64" i="35"/>
  <c r="G62" i="35"/>
  <c r="K65" i="35"/>
  <c r="AQ6" i="31"/>
  <c r="AM6" i="31"/>
  <c r="AQ5" i="31"/>
  <c r="AM5" i="31"/>
  <c r="AH5" i="31"/>
  <c r="AJ5" i="31" s="1"/>
  <c r="AK5" i="31"/>
  <c r="A84" i="41"/>
  <c r="B83" i="41"/>
  <c r="H38" i="49"/>
  <c r="H40" i="49" s="1"/>
  <c r="J40" i="49" s="1"/>
  <c r="N40" i="49" s="1"/>
  <c r="AQ40" i="49" s="1"/>
  <c r="F40" i="49"/>
  <c r="J39" i="49" s="1"/>
  <c r="N39" i="49" s="1"/>
  <c r="AQ39" i="49" s="1"/>
  <c r="AN15" i="29"/>
  <c r="AR15" i="29" s="1"/>
  <c r="V21" i="28"/>
  <c r="X21" i="28"/>
  <c r="V21" i="26"/>
  <c r="X21" i="26"/>
  <c r="Z9" i="26"/>
  <c r="AD9" i="26" s="1"/>
  <c r="X14" i="40"/>
  <c r="L27" i="33"/>
  <c r="G57" i="26"/>
  <c r="K59" i="26"/>
  <c r="K60" i="26"/>
  <c r="B79" i="47"/>
  <c r="A80" i="47"/>
  <c r="B80" i="47" s="1"/>
  <c r="B87" i="32"/>
  <c r="A88" i="32"/>
  <c r="AJ16" i="31"/>
  <c r="AL14" i="31"/>
  <c r="AL16" i="31" s="1"/>
  <c r="P82" i="42"/>
  <c r="O83" i="42"/>
  <c r="P81" i="50"/>
  <c r="O86" i="50"/>
  <c r="O82" i="50"/>
  <c r="O78" i="37"/>
  <c r="P77" i="37"/>
  <c r="AJ79" i="27"/>
  <c r="AJ80" i="27"/>
  <c r="M70" i="38"/>
  <c r="I70" i="38"/>
  <c r="G69" i="38"/>
  <c r="M69" i="38"/>
  <c r="I69" i="38"/>
  <c r="AH10" i="30"/>
  <c r="AN8" i="30"/>
  <c r="X2" i="33"/>
  <c r="X5" i="33" s="1"/>
  <c r="V2" i="33"/>
  <c r="V5" i="33" s="1"/>
  <c r="M65" i="26"/>
  <c r="I65" i="26"/>
  <c r="G64" i="26"/>
  <c r="I64" i="26"/>
  <c r="M64" i="26"/>
  <c r="AG38" i="48"/>
  <c r="AI77" i="32"/>
  <c r="AL79" i="32"/>
  <c r="AH79" i="32"/>
  <c r="AL80" i="32"/>
  <c r="AH80" i="32"/>
  <c r="Z9" i="40"/>
  <c r="AD9" i="40" s="1"/>
  <c r="AH10" i="35"/>
  <c r="AN8" i="35"/>
  <c r="AN15" i="40"/>
  <c r="AR15" i="40" s="1"/>
  <c r="M70" i="35"/>
  <c r="I70" i="35"/>
  <c r="G69" i="35"/>
  <c r="M69" i="35"/>
  <c r="I69" i="35"/>
  <c r="X14" i="30"/>
  <c r="O89" i="59"/>
  <c r="P88" i="59"/>
  <c r="Q88" i="59" s="1"/>
  <c r="X2" i="34"/>
  <c r="X5" i="34" s="1"/>
  <c r="V2" i="34"/>
  <c r="V5" i="34" s="1"/>
  <c r="AL9" i="32"/>
  <c r="AJ9" i="32"/>
  <c r="A80" i="40"/>
  <c r="B80" i="40" s="1"/>
  <c r="B79" i="40"/>
  <c r="G63" i="30"/>
  <c r="C62" i="30"/>
  <c r="P78" i="36"/>
  <c r="Q78" i="36" s="1"/>
  <c r="O79" i="36"/>
  <c r="AL74" i="38"/>
  <c r="AH74" i="38"/>
  <c r="AL75" i="38"/>
  <c r="AH75" i="38"/>
  <c r="AI72" i="38"/>
  <c r="M69" i="42"/>
  <c r="I69" i="42"/>
  <c r="M70" i="42"/>
  <c r="I70" i="42"/>
  <c r="G69" i="42"/>
  <c r="O79" i="47"/>
  <c r="P78" i="47"/>
  <c r="Q78" i="47" s="1"/>
  <c r="V2" i="26"/>
  <c r="V5" i="26" s="1"/>
  <c r="X2" i="26"/>
  <c r="X5" i="26" s="1"/>
  <c r="X15" i="35"/>
  <c r="J23" i="28"/>
  <c r="N22" i="28" s="1"/>
  <c r="L22" i="28"/>
  <c r="L23" i="28" s="1"/>
  <c r="N28" i="46"/>
  <c r="C67" i="49"/>
  <c r="G68" i="49"/>
  <c r="A79" i="43"/>
  <c r="B78" i="43"/>
  <c r="AG4" i="23"/>
  <c r="AL80" i="36"/>
  <c r="AH80" i="36"/>
  <c r="AL79" i="36"/>
  <c r="AH79" i="36"/>
  <c r="AI77" i="36"/>
  <c r="L27" i="42"/>
  <c r="AF6" i="25"/>
  <c r="H52" i="49"/>
  <c r="O75" i="30"/>
  <c r="P75" i="30" s="1"/>
  <c r="P74" i="30"/>
  <c r="G57" i="46"/>
  <c r="K59" i="46"/>
  <c r="K60" i="46"/>
  <c r="AJ80" i="50"/>
  <c r="AJ79" i="50"/>
  <c r="AA75" i="41"/>
  <c r="AO75" i="41" s="1"/>
  <c r="AP75" i="41" s="1"/>
  <c r="W75" i="41"/>
  <c r="AA74" i="41"/>
  <c r="AO74" i="41" s="1"/>
  <c r="W74" i="41"/>
  <c r="M64" i="39"/>
  <c r="I64" i="39"/>
  <c r="M65" i="39"/>
  <c r="I65" i="39"/>
  <c r="G64" i="39"/>
  <c r="A88" i="44"/>
  <c r="B87" i="44"/>
  <c r="L22" i="29"/>
  <c r="L23" i="29" s="1"/>
  <c r="J23" i="29"/>
  <c r="N22" i="29" s="1"/>
  <c r="T4" i="39"/>
  <c r="Z2" i="39"/>
  <c r="X21" i="29"/>
  <c r="V21" i="29"/>
  <c r="Y60" i="45"/>
  <c r="Y59" i="45"/>
  <c r="AJ75" i="47"/>
  <c r="AJ74" i="47"/>
  <c r="AP64" i="31"/>
  <c r="AA70" i="39"/>
  <c r="AO70" i="39" s="1"/>
  <c r="AP70" i="39" s="1"/>
  <c r="W70" i="39"/>
  <c r="AA69" i="39"/>
  <c r="AO69" i="39" s="1"/>
  <c r="W69" i="39"/>
  <c r="T4" i="38"/>
  <c r="Z2" i="38"/>
  <c r="J23" i="34"/>
  <c r="N22" i="34" s="1"/>
  <c r="L22" i="34"/>
  <c r="L23" i="34" s="1"/>
  <c r="X15" i="37"/>
  <c r="AL80" i="48"/>
  <c r="AH80" i="48"/>
  <c r="AI77" i="48"/>
  <c r="AL79" i="48"/>
  <c r="AH79" i="48"/>
  <c r="AA4" i="22"/>
  <c r="V3" i="37"/>
  <c r="X3" i="37"/>
  <c r="Y65" i="42"/>
  <c r="Y64" i="42"/>
  <c r="X14" i="34"/>
  <c r="K65" i="33"/>
  <c r="K64" i="33"/>
  <c r="G62" i="33"/>
  <c r="T22" i="30"/>
  <c r="Z20" i="30"/>
  <c r="AN15" i="35"/>
  <c r="AR15" i="35" s="1"/>
  <c r="V3" i="40"/>
  <c r="X3" i="40"/>
  <c r="X3" i="35"/>
  <c r="V3" i="35"/>
  <c r="L27" i="41"/>
  <c r="P26" i="41"/>
  <c r="AV6" i="23"/>
  <c r="X62" i="41"/>
  <c r="O70" i="44"/>
  <c r="P70" i="44" s="1"/>
  <c r="P69" i="44"/>
  <c r="AA70" i="45"/>
  <c r="AO70" i="45" s="1"/>
  <c r="W70" i="45"/>
  <c r="AA69" i="45"/>
  <c r="AO69" i="45" s="1"/>
  <c r="W69" i="45"/>
  <c r="P82" i="36"/>
  <c r="O83" i="36"/>
  <c r="A75" i="37"/>
  <c r="B75" i="37" s="1"/>
  <c r="B74" i="37"/>
  <c r="AA75" i="26"/>
  <c r="AO75" i="26" s="1"/>
  <c r="AP75" i="26" s="1"/>
  <c r="W75" i="26"/>
  <c r="AA74" i="26"/>
  <c r="AO74" i="26" s="1"/>
  <c r="W74" i="26"/>
  <c r="AC84" i="28"/>
  <c r="AD84" i="28" s="1"/>
  <c r="AD83" i="28"/>
  <c r="AC88" i="28"/>
  <c r="AA70" i="49"/>
  <c r="AO70" i="49" s="1"/>
  <c r="W70" i="49"/>
  <c r="AA69" i="49"/>
  <c r="AO69" i="49" s="1"/>
  <c r="W69" i="49"/>
  <c r="B86" i="43"/>
  <c r="A91" i="43"/>
  <c r="A87" i="43"/>
  <c r="O78" i="40"/>
  <c r="P77" i="40"/>
  <c r="A75" i="43"/>
  <c r="B75" i="43" s="1"/>
  <c r="B74" i="43"/>
  <c r="B87" i="47"/>
  <c r="A88" i="47"/>
  <c r="C67" i="41"/>
  <c r="G68" i="41"/>
  <c r="AL5" i="33"/>
  <c r="Z27" i="30"/>
  <c r="AD27" i="30" s="1"/>
  <c r="AA75" i="42"/>
  <c r="AO75" i="42" s="1"/>
  <c r="AP75" i="42" s="1"/>
  <c r="W75" i="42"/>
  <c r="AA74" i="42"/>
  <c r="AO74" i="42" s="1"/>
  <c r="W74" i="42"/>
  <c r="AL89" i="59"/>
  <c r="AL90" i="59"/>
  <c r="V21" i="34"/>
  <c r="X21" i="34"/>
  <c r="AJ79" i="26"/>
  <c r="AJ80" i="26"/>
  <c r="Y60" i="34"/>
  <c r="Y59" i="34"/>
  <c r="C69" i="26"/>
  <c r="C68" i="26"/>
  <c r="O70" i="31"/>
  <c r="P70" i="31" s="1"/>
  <c r="P69" i="31"/>
  <c r="O91" i="38"/>
  <c r="O87" i="38"/>
  <c r="P86" i="38"/>
  <c r="P78" i="26"/>
  <c r="Q78" i="26" s="1"/>
  <c r="O79" i="26"/>
  <c r="Z27" i="35"/>
  <c r="AD27" i="35" s="1"/>
  <c r="AJ9" i="39"/>
  <c r="AL9" i="39"/>
  <c r="Z2" i="40"/>
  <c r="T4" i="40"/>
  <c r="G57" i="39"/>
  <c r="K60" i="39"/>
  <c r="K59" i="39"/>
  <c r="T22" i="37"/>
  <c r="Z20" i="37"/>
  <c r="X2" i="28"/>
  <c r="X5" i="28" s="1"/>
  <c r="V2" i="28"/>
  <c r="V5" i="28" s="1"/>
  <c r="X2" i="35"/>
  <c r="X5" i="35" s="1"/>
  <c r="V2" i="35"/>
  <c r="V5" i="35" s="1"/>
  <c r="C74" i="44"/>
  <c r="C73" i="44"/>
  <c r="J23" i="32"/>
  <c r="N22" i="32" s="1"/>
  <c r="L22" i="32"/>
  <c r="L23" i="32" s="1"/>
  <c r="AA70" i="50"/>
  <c r="AO70" i="50" s="1"/>
  <c r="W70" i="50"/>
  <c r="AA69" i="50"/>
  <c r="AO69" i="50" s="1"/>
  <c r="W69" i="50"/>
  <c r="C69" i="45"/>
  <c r="C68" i="45"/>
  <c r="K64" i="40"/>
  <c r="G62" i="40"/>
  <c r="K65" i="40"/>
  <c r="Y60" i="40"/>
  <c r="Y59" i="40"/>
  <c r="T3" i="31"/>
  <c r="W6" i="31"/>
  <c r="AC5" i="31"/>
  <c r="Y5" i="31"/>
  <c r="AC4" i="31"/>
  <c r="Y4" i="31"/>
  <c r="W7" i="31"/>
  <c r="Z9" i="32"/>
  <c r="AD9" i="32" s="1"/>
  <c r="AJ3" i="28"/>
  <c r="AN3" i="28"/>
  <c r="C69" i="36"/>
  <c r="C68" i="36"/>
  <c r="V13" i="37"/>
  <c r="Z13" i="37"/>
  <c r="K64" i="50"/>
  <c r="G62" i="50"/>
  <c r="K65" i="50"/>
  <c r="R43" i="49"/>
  <c r="AE44" i="49"/>
  <c r="AG44" i="49" s="1"/>
  <c r="AE48" i="49"/>
  <c r="D44" i="49"/>
  <c r="F44" i="49" s="1"/>
  <c r="H44" i="49" s="1"/>
  <c r="D48" i="49"/>
  <c r="AJ79" i="42"/>
  <c r="AJ80" i="42"/>
  <c r="AC84" i="33"/>
  <c r="AD84" i="33" s="1"/>
  <c r="AD83" i="33"/>
  <c r="AC88" i="33"/>
  <c r="C74" i="50"/>
  <c r="C73" i="50"/>
  <c r="O78" i="31"/>
  <c r="P77" i="31"/>
  <c r="AL74" i="35"/>
  <c r="AH74" i="35"/>
  <c r="AL75" i="35"/>
  <c r="AH75" i="35"/>
  <c r="AI72" i="35"/>
  <c r="AJ3" i="37"/>
  <c r="AN3" i="37"/>
  <c r="Q62" i="45"/>
  <c r="Q64" i="45"/>
  <c r="AL9" i="35"/>
  <c r="AJ9" i="35"/>
  <c r="X14" i="36"/>
  <c r="AL4" i="36"/>
  <c r="N28" i="41"/>
  <c r="AL5" i="26"/>
  <c r="Y5" i="23"/>
  <c r="C67" i="29"/>
  <c r="G68" i="29"/>
  <c r="M69" i="31"/>
  <c r="I69" i="31"/>
  <c r="M70" i="31"/>
  <c r="I70" i="31"/>
  <c r="G69" i="31"/>
  <c r="A80" i="50"/>
  <c r="B80" i="50" s="1"/>
  <c r="B79" i="50"/>
  <c r="P82" i="30"/>
  <c r="O83" i="30"/>
  <c r="A80" i="42"/>
  <c r="B80" i="42" s="1"/>
  <c r="B79" i="42"/>
  <c r="A88" i="33"/>
  <c r="B87" i="33"/>
  <c r="P81" i="46"/>
  <c r="O86" i="46"/>
  <c r="O82" i="46"/>
  <c r="R14" i="50"/>
  <c r="K4" i="50"/>
  <c r="R3" i="50"/>
  <c r="U8" i="50" s="1"/>
  <c r="H27" i="50"/>
  <c r="H15" i="50"/>
  <c r="AF4" i="50"/>
  <c r="R21" i="50"/>
  <c r="K5" i="50"/>
  <c r="R25" i="50"/>
  <c r="AF12" i="50"/>
  <c r="AL9" i="37"/>
  <c r="AJ9" i="37"/>
  <c r="O75" i="38"/>
  <c r="P75" i="38" s="1"/>
  <c r="P74" i="38"/>
  <c r="X3" i="29"/>
  <c r="V3" i="29"/>
  <c r="X14" i="35"/>
  <c r="P69" i="40"/>
  <c r="O70" i="40"/>
  <c r="P70" i="40" s="1"/>
  <c r="AA70" i="28"/>
  <c r="AO70" i="28" s="1"/>
  <c r="AP70" i="28" s="1"/>
  <c r="W70" i="28"/>
  <c r="AA69" i="28"/>
  <c r="AO69" i="28" s="1"/>
  <c r="W69" i="28"/>
  <c r="X62" i="36"/>
  <c r="A84" i="38"/>
  <c r="B83" i="38"/>
  <c r="AL10" i="26"/>
  <c r="AJ10" i="26"/>
  <c r="M27" i="47"/>
  <c r="J27" i="47"/>
  <c r="B82" i="46"/>
  <c r="A83" i="46"/>
  <c r="Q69" i="48"/>
  <c r="Q67" i="48"/>
  <c r="AL4" i="29"/>
  <c r="O78" i="28"/>
  <c r="P77" i="28"/>
  <c r="AL80" i="30"/>
  <c r="AH80" i="30"/>
  <c r="AI77" i="30"/>
  <c r="AL79" i="30"/>
  <c r="AH79" i="30"/>
  <c r="N15" i="32"/>
  <c r="N17" i="32" s="1"/>
  <c r="P14" i="32"/>
  <c r="L15" i="32"/>
  <c r="L17" i="32" s="1"/>
  <c r="M28" i="37"/>
  <c r="O27" i="37"/>
  <c r="O28" i="37"/>
  <c r="J28" i="37"/>
  <c r="L28" i="37" s="1"/>
  <c r="O78" i="44"/>
  <c r="P77" i="44"/>
  <c r="B86" i="45"/>
  <c r="A91" i="45"/>
  <c r="A87" i="45"/>
  <c r="P81" i="34"/>
  <c r="O86" i="34"/>
  <c r="O82" i="34"/>
  <c r="AC79" i="29"/>
  <c r="AD79" i="29" s="1"/>
  <c r="AD78" i="29"/>
  <c r="AC83" i="29"/>
  <c r="K64" i="34"/>
  <c r="G62" i="34"/>
  <c r="K65" i="34"/>
  <c r="Q77" i="59"/>
  <c r="Q75" i="59"/>
  <c r="J27" i="31"/>
  <c r="M27" i="31"/>
  <c r="AJ8" i="38"/>
  <c r="AJ11" i="38" s="1"/>
  <c r="AL8" i="38"/>
  <c r="AL11" i="38" s="1"/>
  <c r="B87" i="41"/>
  <c r="A88" i="41"/>
  <c r="A84" i="59"/>
  <c r="B84" i="59" s="1"/>
  <c r="B83" i="59"/>
  <c r="Z27" i="26"/>
  <c r="AD27" i="26" s="1"/>
  <c r="AJ3" i="39"/>
  <c r="AN3" i="39"/>
  <c r="A84" i="32"/>
  <c r="B83" i="32"/>
  <c r="A96" i="31"/>
  <c r="A92" i="31"/>
  <c r="B91" i="31"/>
  <c r="AJ4" i="61"/>
  <c r="AK3" i="61"/>
  <c r="AP4" i="20"/>
  <c r="B4" i="20"/>
  <c r="C9" i="50"/>
  <c r="R57" i="50" s="1"/>
  <c r="W14" i="31"/>
  <c r="T14" i="31"/>
  <c r="V14" i="31" s="1"/>
  <c r="X3" i="38"/>
  <c r="V3" i="38"/>
  <c r="P73" i="43"/>
  <c r="Q73" i="43" s="1"/>
  <c r="O74" i="43"/>
  <c r="K64" i="38"/>
  <c r="G62" i="38"/>
  <c r="K65" i="38"/>
  <c r="K64" i="28"/>
  <c r="G62" i="28"/>
  <c r="K65" i="28"/>
  <c r="X15" i="34"/>
  <c r="P82" i="41"/>
  <c r="O83" i="41"/>
  <c r="AA70" i="46"/>
  <c r="AO70" i="46" s="1"/>
  <c r="W70" i="46"/>
  <c r="AA69" i="46"/>
  <c r="AO69" i="46" s="1"/>
  <c r="W69" i="46"/>
  <c r="AJ80" i="45"/>
  <c r="AJ79" i="45"/>
  <c r="Y65" i="48"/>
  <c r="Y64" i="48"/>
  <c r="B91" i="28"/>
  <c r="A96" i="28"/>
  <c r="A92" i="28"/>
  <c r="AL5" i="30"/>
  <c r="AF8" i="61"/>
  <c r="B8" i="24"/>
  <c r="C5" i="46"/>
  <c r="AP8" i="24"/>
  <c r="Y7" i="24" s="1"/>
  <c r="AN15" i="28"/>
  <c r="AR15" i="28" s="1"/>
  <c r="X15" i="36"/>
  <c r="AG43" i="49"/>
  <c r="X57" i="27"/>
  <c r="O104" i="59"/>
  <c r="O99" i="59"/>
  <c r="P98" i="59"/>
  <c r="Z20" i="44"/>
  <c r="P73" i="27"/>
  <c r="Q73" i="27" s="1"/>
  <c r="O74" i="27"/>
  <c r="AC84" i="31"/>
  <c r="AD84" i="31" s="1"/>
  <c r="AD83" i="31"/>
  <c r="AC88" i="31"/>
  <c r="AP64" i="39"/>
  <c r="AN15" i="37"/>
  <c r="AR15" i="37" s="1"/>
  <c r="O83" i="47"/>
  <c r="P82" i="47"/>
  <c r="N15" i="26"/>
  <c r="N17" i="26" s="1"/>
  <c r="P14" i="26"/>
  <c r="L15" i="26"/>
  <c r="L17" i="26" s="1"/>
  <c r="N16" i="26"/>
  <c r="L16" i="26"/>
  <c r="Z20" i="40"/>
  <c r="T22" i="40"/>
  <c r="I65" i="36"/>
  <c r="M65" i="36"/>
  <c r="M64" i="36"/>
  <c r="I64" i="36"/>
  <c r="G64" i="36"/>
  <c r="AJ75" i="41"/>
  <c r="AJ74" i="41"/>
  <c r="AC88" i="49"/>
  <c r="AC84" i="49"/>
  <c r="AD84" i="49" s="1"/>
  <c r="AD83" i="49"/>
  <c r="Q67" i="38"/>
  <c r="Q69" i="38"/>
  <c r="K66" i="59"/>
  <c r="I65" i="59"/>
  <c r="I66" i="59"/>
  <c r="G63" i="59"/>
  <c r="K65" i="59"/>
  <c r="AJ3" i="33"/>
  <c r="AN3" i="33"/>
  <c r="M65" i="45"/>
  <c r="I65" i="45"/>
  <c r="G64" i="45"/>
  <c r="M64" i="45"/>
  <c r="I64" i="45"/>
  <c r="AA70" i="34"/>
  <c r="AO70" i="34" s="1"/>
  <c r="AP70" i="34" s="1"/>
  <c r="W70" i="34"/>
  <c r="AA69" i="34"/>
  <c r="AO69" i="34" s="1"/>
  <c r="W69" i="34"/>
  <c r="M69" i="33"/>
  <c r="I69" i="33"/>
  <c r="M70" i="33"/>
  <c r="I70" i="33"/>
  <c r="G69" i="33"/>
  <c r="AC94" i="40"/>
  <c r="AD94" i="40" s="1"/>
  <c r="AD93" i="40"/>
  <c r="AC98" i="40"/>
  <c r="T22" i="32"/>
  <c r="Z20" i="32"/>
  <c r="AL80" i="39"/>
  <c r="AH80" i="39"/>
  <c r="AI77" i="39"/>
  <c r="AL79" i="39"/>
  <c r="AH79" i="39"/>
  <c r="O82" i="33"/>
  <c r="P81" i="33"/>
  <c r="O86" i="33"/>
  <c r="Y65" i="38"/>
  <c r="Y64" i="38"/>
  <c r="Q67" i="41"/>
  <c r="Q69" i="41"/>
  <c r="O87" i="26"/>
  <c r="P86" i="26"/>
  <c r="O91" i="26"/>
  <c r="M70" i="34"/>
  <c r="I70" i="34"/>
  <c r="G69" i="34"/>
  <c r="M69" i="34"/>
  <c r="I69" i="34"/>
  <c r="N15" i="39"/>
  <c r="N17" i="39" s="1"/>
  <c r="P14" i="39"/>
  <c r="L15" i="39"/>
  <c r="L17" i="39" s="1"/>
  <c r="Q62" i="28"/>
  <c r="Q64" i="28"/>
  <c r="AJ74" i="44"/>
  <c r="AJ75" i="44"/>
  <c r="AN10" i="39"/>
  <c r="AR10" i="39" s="1"/>
  <c r="AL4" i="32"/>
  <c r="AL10" i="37"/>
  <c r="AJ10" i="37"/>
  <c r="X22" i="35"/>
  <c r="V22" i="35"/>
  <c r="AL4" i="39"/>
  <c r="Y60" i="43"/>
  <c r="Y59" i="43"/>
  <c r="C73" i="29"/>
  <c r="C74" i="29"/>
  <c r="Q62" i="34"/>
  <c r="Q64" i="34"/>
  <c r="B82" i="48"/>
  <c r="A83" i="48"/>
  <c r="N16" i="27"/>
  <c r="L16" i="27"/>
  <c r="AN15" i="36"/>
  <c r="AR15" i="36" s="1"/>
  <c r="G4" i="23"/>
  <c r="Q64" i="33"/>
  <c r="Q62" i="33"/>
  <c r="V20" i="33"/>
  <c r="V23" i="33" s="1"/>
  <c r="X20" i="33"/>
  <c r="X23" i="33" s="1"/>
  <c r="C67" i="50"/>
  <c r="G68" i="50"/>
  <c r="P81" i="43"/>
  <c r="O86" i="43"/>
  <c r="O82" i="43"/>
  <c r="C67" i="28"/>
  <c r="G68" i="28"/>
  <c r="V13" i="34"/>
  <c r="Z13" i="34"/>
  <c r="AC84" i="37"/>
  <c r="AD84" i="37" s="1"/>
  <c r="AD83" i="37"/>
  <c r="AC88" i="37"/>
  <c r="P73" i="31"/>
  <c r="Q73" i="31" s="1"/>
  <c r="O74" i="31"/>
  <c r="P81" i="37"/>
  <c r="O86" i="37"/>
  <c r="O82" i="37"/>
  <c r="AL80" i="27"/>
  <c r="AH80" i="27"/>
  <c r="AI77" i="27"/>
  <c r="AL79" i="27"/>
  <c r="AH79" i="27"/>
  <c r="C67" i="38"/>
  <c r="G68" i="38"/>
  <c r="V37" i="48"/>
  <c r="T37" i="48"/>
  <c r="F38" i="48"/>
  <c r="AC88" i="32"/>
  <c r="AC84" i="32"/>
  <c r="AD84" i="32" s="1"/>
  <c r="AD83" i="32"/>
  <c r="M28" i="27"/>
  <c r="O27" i="27"/>
  <c r="O28" i="27"/>
  <c r="J28" i="27"/>
  <c r="L28" i="27" s="1"/>
  <c r="AJ9" i="26"/>
  <c r="AL9" i="26"/>
  <c r="AH10" i="29"/>
  <c r="AN8" i="29"/>
  <c r="C73" i="41"/>
  <c r="C74" i="41"/>
  <c r="C67" i="35"/>
  <c r="G68" i="35"/>
  <c r="P73" i="39"/>
  <c r="Q73" i="39" s="1"/>
  <c r="O74" i="39"/>
  <c r="Z9" i="30"/>
  <c r="AD9" i="30" s="1"/>
  <c r="K65" i="31"/>
  <c r="K64" i="31"/>
  <c r="G62" i="31"/>
  <c r="Z2" i="49"/>
  <c r="T22" i="38"/>
  <c r="Z20" i="38"/>
  <c r="T4" i="34"/>
  <c r="Z2" i="34"/>
  <c r="M64" i="30"/>
  <c r="I64" i="30"/>
  <c r="M65" i="30"/>
  <c r="I65" i="30"/>
  <c r="G64" i="30"/>
  <c r="C73" i="38"/>
  <c r="C74" i="38"/>
  <c r="C74" i="28"/>
  <c r="C73" i="28"/>
  <c r="N28" i="39"/>
  <c r="X21" i="36"/>
  <c r="V21" i="36"/>
  <c r="Z27" i="40"/>
  <c r="AD27" i="40" s="1"/>
  <c r="M69" i="49"/>
  <c r="I69" i="49"/>
  <c r="M70" i="49"/>
  <c r="I70" i="49"/>
  <c r="G69" i="49"/>
  <c r="AI40" i="50"/>
  <c r="O28" i="38"/>
  <c r="J28" i="38"/>
  <c r="L28" i="38" s="1"/>
  <c r="M28" i="38"/>
  <c r="O27" i="38"/>
  <c r="N16" i="33"/>
  <c r="L16" i="33"/>
  <c r="Q64" i="27"/>
  <c r="Q62" i="27"/>
  <c r="AH10" i="34"/>
  <c r="AN8" i="34"/>
  <c r="X57" i="50"/>
  <c r="AA75" i="30"/>
  <c r="AO75" i="30" s="1"/>
  <c r="AP75" i="30" s="1"/>
  <c r="W75" i="30"/>
  <c r="AA74" i="30"/>
  <c r="AO74" i="30" s="1"/>
  <c r="AP74" i="30" s="1"/>
  <c r="W74" i="30"/>
  <c r="AI77" i="50"/>
  <c r="AL79" i="50"/>
  <c r="AH79" i="50"/>
  <c r="AL80" i="50"/>
  <c r="AH80" i="50"/>
  <c r="O75" i="41"/>
  <c r="P75" i="41" s="1"/>
  <c r="P74" i="41"/>
  <c r="A96" i="44"/>
  <c r="A92" i="44"/>
  <c r="B91" i="44"/>
  <c r="AL9" i="29"/>
  <c r="AJ9" i="29"/>
  <c r="V2" i="39"/>
  <c r="V5" i="39" s="1"/>
  <c r="X2" i="39"/>
  <c r="X5" i="39" s="1"/>
  <c r="AI72" i="47"/>
  <c r="AL74" i="47"/>
  <c r="AH74" i="47"/>
  <c r="AL75" i="47"/>
  <c r="AH75" i="47"/>
  <c r="AC88" i="48"/>
  <c r="AC84" i="48"/>
  <c r="AD84" i="48" s="1"/>
  <c r="AD83" i="48"/>
  <c r="AN8" i="42"/>
  <c r="A75" i="30"/>
  <c r="B75" i="30" s="1"/>
  <c r="B74" i="30"/>
  <c r="Y71" i="59"/>
  <c r="W72" i="59"/>
  <c r="W71" i="59"/>
  <c r="Y72" i="59"/>
  <c r="X62" i="42"/>
  <c r="AL9" i="38"/>
  <c r="AJ9" i="38"/>
  <c r="O74" i="37"/>
  <c r="P73" i="37"/>
  <c r="Q73" i="37" s="1"/>
  <c r="AP69" i="35"/>
  <c r="G68" i="32"/>
  <c r="C67" i="32"/>
  <c r="X20" i="30"/>
  <c r="X23" i="30" s="1"/>
  <c r="V20" i="30"/>
  <c r="V23" i="30" s="1"/>
  <c r="AA75" i="47"/>
  <c r="AO75" i="47" s="1"/>
  <c r="W75" i="47"/>
  <c r="AA74" i="47"/>
  <c r="AO74" i="47" s="1"/>
  <c r="W74" i="47"/>
  <c r="N16" i="39"/>
  <c r="L16" i="39"/>
  <c r="J27" i="27"/>
  <c r="M27" i="27"/>
  <c r="H6" i="23"/>
  <c r="I6" i="23" s="1"/>
  <c r="D6" i="23"/>
  <c r="Y65" i="41"/>
  <c r="Y64" i="41"/>
  <c r="AA70" i="44"/>
  <c r="AO70" i="44" s="1"/>
  <c r="W70" i="44"/>
  <c r="AA69" i="44"/>
  <c r="AO69" i="44" s="1"/>
  <c r="W69" i="44"/>
  <c r="P69" i="43"/>
  <c r="O70" i="43"/>
  <c r="P70" i="43" s="1"/>
  <c r="O82" i="27"/>
  <c r="P81" i="27"/>
  <c r="O86" i="27"/>
  <c r="P69" i="45"/>
  <c r="O70" i="45"/>
  <c r="P70" i="45" s="1"/>
  <c r="C74" i="49"/>
  <c r="C73" i="49"/>
  <c r="B82" i="26"/>
  <c r="A83" i="26"/>
  <c r="O75" i="26"/>
  <c r="P75" i="26" s="1"/>
  <c r="P74" i="26"/>
  <c r="AC104" i="46"/>
  <c r="AD104" i="46" s="1"/>
  <c r="AD103" i="46"/>
  <c r="AC108" i="46"/>
  <c r="AJ80" i="28"/>
  <c r="AJ79" i="28"/>
  <c r="V13" i="28"/>
  <c r="Z13" i="28"/>
  <c r="Z9" i="29"/>
  <c r="AD9" i="29" s="1"/>
  <c r="X20" i="26"/>
  <c r="X23" i="26" s="1"/>
  <c r="V20" i="26"/>
  <c r="V23" i="26" s="1"/>
  <c r="N15" i="28"/>
  <c r="N17" i="28" s="1"/>
  <c r="P14" i="28"/>
  <c r="L15" i="28"/>
  <c r="L17" i="28" s="1"/>
  <c r="C69" i="37"/>
  <c r="C68" i="37"/>
  <c r="Z27" i="32"/>
  <c r="AD27" i="32" s="1"/>
  <c r="P81" i="40"/>
  <c r="O86" i="40"/>
  <c r="O82" i="40"/>
  <c r="B91" i="47"/>
  <c r="A96" i="47"/>
  <c r="A92" i="47"/>
  <c r="AR35" i="50"/>
  <c r="AR34" i="50"/>
  <c r="O79" i="35"/>
  <c r="P78" i="35"/>
  <c r="Q78" i="35" s="1"/>
  <c r="B87" i="38"/>
  <c r="A88" i="38"/>
  <c r="AL80" i="26"/>
  <c r="AH80" i="26"/>
  <c r="AI77" i="26"/>
  <c r="AL79" i="26"/>
  <c r="AH79" i="26"/>
  <c r="W95" i="32"/>
  <c r="AA94" i="32"/>
  <c r="AO94" i="32" s="1"/>
  <c r="AP94" i="32" s="1"/>
  <c r="W94" i="32"/>
  <c r="AA95" i="32"/>
  <c r="AO95" i="32" s="1"/>
  <c r="AP95" i="32" s="1"/>
  <c r="C62" i="37"/>
  <c r="G63" i="37"/>
  <c r="AA70" i="31"/>
  <c r="AO70" i="31" s="1"/>
  <c r="AP70" i="31" s="1"/>
  <c r="W70" i="31"/>
  <c r="AA69" i="31"/>
  <c r="AO69" i="31" s="1"/>
  <c r="W69" i="31"/>
  <c r="Z20" i="42"/>
  <c r="C69" i="39"/>
  <c r="C68" i="39"/>
  <c r="C67" i="40"/>
  <c r="G68" i="40"/>
  <c r="AN3" i="29"/>
  <c r="AJ3" i="29"/>
  <c r="AH10" i="36"/>
  <c r="AN8" i="36"/>
  <c r="T4" i="28"/>
  <c r="Z2" i="28"/>
  <c r="T4" i="35"/>
  <c r="Z2" i="35"/>
  <c r="Z13" i="38"/>
  <c r="V13" i="38"/>
  <c r="O87" i="48"/>
  <c r="P86" i="48"/>
  <c r="O91" i="48"/>
  <c r="P69" i="50"/>
  <c r="O70" i="50"/>
  <c r="P70" i="50" s="1"/>
  <c r="C67" i="44"/>
  <c r="G68" i="44"/>
  <c r="O70" i="27"/>
  <c r="P70" i="27" s="1"/>
  <c r="P69" i="27"/>
  <c r="X82" i="32"/>
  <c r="AC10" i="31"/>
  <c r="Y10" i="31"/>
  <c r="AC9" i="31"/>
  <c r="Y9" i="31"/>
  <c r="Z7" i="31"/>
  <c r="V9" i="31"/>
  <c r="X9" i="31" s="1"/>
  <c r="A84" i="44"/>
  <c r="B83" i="44"/>
  <c r="O78" i="49"/>
  <c r="P77" i="49"/>
  <c r="K64" i="41"/>
  <c r="G62" i="41"/>
  <c r="K65" i="41"/>
  <c r="Q67" i="26"/>
  <c r="Q69" i="26"/>
  <c r="AH6" i="61"/>
  <c r="C7" i="48"/>
  <c r="AP6" i="22"/>
  <c r="Y5" i="22" s="1"/>
  <c r="X4" i="22" s="1"/>
  <c r="B6" i="22"/>
  <c r="W25" i="31"/>
  <c r="W24" i="31"/>
  <c r="AC23" i="31"/>
  <c r="Y23" i="31"/>
  <c r="T21" i="31"/>
  <c r="AC22" i="31"/>
  <c r="Y22" i="31"/>
  <c r="T4" i="31"/>
  <c r="Z2" i="31"/>
  <c r="AL80" i="42"/>
  <c r="AH80" i="42"/>
  <c r="AI77" i="42"/>
  <c r="AL79" i="42"/>
  <c r="AH79" i="42"/>
  <c r="C69" i="30"/>
  <c r="C68" i="30"/>
  <c r="AJ79" i="33"/>
  <c r="AJ80" i="33"/>
  <c r="J42" i="50"/>
  <c r="X4" i="37"/>
  <c r="V4" i="37"/>
  <c r="O82" i="39"/>
  <c r="P81" i="39"/>
  <c r="O86" i="39"/>
  <c r="B82" i="30"/>
  <c r="A83" i="30"/>
  <c r="X62" i="35"/>
  <c r="AA75" i="35"/>
  <c r="AO75" i="35" s="1"/>
  <c r="AP75" i="35" s="1"/>
  <c r="W75" i="35"/>
  <c r="AA74" i="35"/>
  <c r="AO74" i="35" s="1"/>
  <c r="W74" i="35"/>
  <c r="A96" i="33"/>
  <c r="A92" i="33"/>
  <c r="B91" i="33"/>
  <c r="Y65" i="30"/>
  <c r="Y64" i="30"/>
  <c r="G57" i="43"/>
  <c r="K59" i="43"/>
  <c r="K60" i="43"/>
  <c r="H47" i="49"/>
  <c r="R16" i="50"/>
  <c r="AF10" i="50"/>
  <c r="AI14" i="50" s="1"/>
  <c r="K8" i="50"/>
  <c r="R5" i="50"/>
  <c r="K9" i="50"/>
  <c r="AF6" i="50"/>
  <c r="R23" i="50"/>
  <c r="L27" i="49"/>
  <c r="P26" i="49"/>
  <c r="L22" i="33"/>
  <c r="L23" i="33" s="1"/>
  <c r="J23" i="33"/>
  <c r="N22" i="33" s="1"/>
  <c r="A79" i="26"/>
  <c r="B78" i="26"/>
  <c r="X21" i="32"/>
  <c r="V21" i="32"/>
  <c r="O74" i="40"/>
  <c r="P73" i="40"/>
  <c r="Q73" i="40" s="1"/>
  <c r="P69" i="28"/>
  <c r="O70" i="28"/>
  <c r="P70" i="28" s="1"/>
  <c r="C69" i="43"/>
  <c r="C68" i="43"/>
  <c r="A84" i="27"/>
  <c r="B83" i="27"/>
  <c r="AN10" i="28"/>
  <c r="AR10" i="28" s="1"/>
  <c r="B87" i="40"/>
  <c r="A88" i="40"/>
  <c r="B87" i="35"/>
  <c r="A88" i="35"/>
  <c r="X62" i="29"/>
  <c r="P81" i="28"/>
  <c r="O86" i="28"/>
  <c r="O82" i="28"/>
  <c r="AC88" i="30"/>
  <c r="AC84" i="30"/>
  <c r="AD84" i="30" s="1"/>
  <c r="AD83" i="30"/>
  <c r="AN15" i="33"/>
  <c r="AR15" i="33" s="1"/>
  <c r="AJ75" i="29"/>
  <c r="AJ74" i="29"/>
  <c r="O99" i="32"/>
  <c r="P98" i="32"/>
  <c r="Q98" i="32" s="1"/>
  <c r="C77" i="59"/>
  <c r="C76" i="59"/>
  <c r="AC84" i="34"/>
  <c r="AD84" i="34" s="1"/>
  <c r="AD83" i="34"/>
  <c r="AC88" i="34"/>
  <c r="M28" i="31"/>
  <c r="O27" i="31"/>
  <c r="O28" i="31"/>
  <c r="J28" i="31"/>
  <c r="L28" i="31" s="1"/>
  <c r="X3" i="32"/>
  <c r="V3" i="32"/>
  <c r="B91" i="41"/>
  <c r="A96" i="41"/>
  <c r="A92" i="41"/>
  <c r="Q69" i="42"/>
  <c r="Q67" i="42"/>
  <c r="AN3" i="35"/>
  <c r="AJ3" i="35"/>
  <c r="Z27" i="28"/>
  <c r="AD27" i="28" s="1"/>
  <c r="A84" i="29"/>
  <c r="B83" i="29"/>
  <c r="AE49" i="50"/>
  <c r="AG49" i="50" s="1"/>
  <c r="R48" i="50"/>
  <c r="AE53" i="50"/>
  <c r="R44" i="50"/>
  <c r="D49" i="50"/>
  <c r="F49" i="50" s="1"/>
  <c r="H49" i="50" s="1"/>
  <c r="AI5" i="61"/>
  <c r="AP5" i="21"/>
  <c r="Y4" i="21" s="1"/>
  <c r="B5" i="21"/>
  <c r="C8" i="49"/>
  <c r="AP69" i="29"/>
  <c r="Y60" i="31"/>
  <c r="Y59" i="31"/>
  <c r="O91" i="41"/>
  <c r="O87" i="41"/>
  <c r="P86" i="41"/>
  <c r="P69" i="46"/>
  <c r="O70" i="46"/>
  <c r="P70" i="46" s="1"/>
  <c r="G63" i="43"/>
  <c r="C62" i="43"/>
  <c r="AI77" i="45"/>
  <c r="AL79" i="45"/>
  <c r="AH79" i="45"/>
  <c r="AL80" i="45"/>
  <c r="AH80" i="45"/>
  <c r="X62" i="48"/>
  <c r="R52" i="50"/>
  <c r="Y60" i="49"/>
  <c r="Y59" i="49"/>
  <c r="D7" i="24"/>
  <c r="F7" i="24" s="1"/>
  <c r="G7" i="24" s="1"/>
  <c r="H7" i="24"/>
  <c r="I7" i="24" s="1"/>
  <c r="J27" i="40"/>
  <c r="M27" i="40"/>
  <c r="AJ9" i="40"/>
  <c r="AL9" i="40"/>
  <c r="V3" i="36"/>
  <c r="X3" i="36"/>
  <c r="V38" i="49"/>
  <c r="T38" i="49"/>
  <c r="O74" i="46"/>
  <c r="P73" i="46"/>
  <c r="Q73" i="46" s="1"/>
  <c r="AJ79" i="31"/>
  <c r="AJ80" i="31"/>
  <c r="N15" i="30"/>
  <c r="N17" i="30" s="1"/>
  <c r="P14" i="30"/>
  <c r="L15" i="30"/>
  <c r="L17" i="30" s="1"/>
  <c r="L22" i="35"/>
  <c r="L23" i="35" s="1"/>
  <c r="J23" i="35"/>
  <c r="N22" i="35" s="1"/>
  <c r="AL74" i="41"/>
  <c r="AH74" i="41"/>
  <c r="AL75" i="41"/>
  <c r="AH75" i="41"/>
  <c r="AI72" i="41"/>
  <c r="AJ79" i="49"/>
  <c r="AJ80" i="49"/>
  <c r="O79" i="29"/>
  <c r="P78" i="29"/>
  <c r="Q78" i="29" s="1"/>
  <c r="O28" i="42"/>
  <c r="J28" i="42"/>
  <c r="L28" i="42" s="1"/>
  <c r="M28" i="42"/>
  <c r="O27" i="42"/>
  <c r="B87" i="34"/>
  <c r="A88" i="34"/>
  <c r="P69" i="34"/>
  <c r="O70" i="34"/>
  <c r="P70" i="34" s="1"/>
  <c r="A84" i="50"/>
  <c r="B83" i="50"/>
  <c r="AJ90" i="40"/>
  <c r="AJ89" i="40"/>
  <c r="AC88" i="39"/>
  <c r="AC84" i="39"/>
  <c r="AD84" i="39" s="1"/>
  <c r="AD83" i="39"/>
  <c r="O78" i="45"/>
  <c r="P77" i="45"/>
  <c r="O75" i="36"/>
  <c r="P75" i="36" s="1"/>
  <c r="P74" i="36"/>
  <c r="H52" i="50"/>
  <c r="Q62" i="37"/>
  <c r="Q64" i="37"/>
  <c r="V13" i="39"/>
  <c r="Z13" i="39"/>
  <c r="X57" i="37"/>
  <c r="AL75" i="44"/>
  <c r="AH75" i="44"/>
  <c r="AI72" i="44"/>
  <c r="AL74" i="44"/>
  <c r="AH74" i="44"/>
  <c r="O74" i="45"/>
  <c r="P73" i="45"/>
  <c r="Q73" i="45" s="1"/>
  <c r="AN8" i="44"/>
  <c r="AL10" i="39"/>
  <c r="AJ10" i="39"/>
  <c r="Z9" i="28"/>
  <c r="AD9" i="28" s="1"/>
  <c r="Z22" i="36"/>
  <c r="AD22" i="36" s="1"/>
  <c r="A80" i="31"/>
  <c r="B80" i="31" s="1"/>
  <c r="B79" i="31"/>
  <c r="Q64" i="49"/>
  <c r="Q62" i="49"/>
  <c r="AH10" i="32"/>
  <c r="AN8" i="32"/>
  <c r="M65" i="46"/>
  <c r="I65" i="46"/>
  <c r="G64" i="46"/>
  <c r="M64" i="46"/>
  <c r="I64" i="46"/>
  <c r="M28" i="44"/>
  <c r="O27" i="44"/>
  <c r="O28" i="44"/>
  <c r="J28" i="44"/>
  <c r="L28" i="44" s="1"/>
  <c r="AN3" i="32"/>
  <c r="AJ3" i="32"/>
  <c r="O74" i="28"/>
  <c r="P73" i="28"/>
  <c r="Q73" i="28" s="1"/>
  <c r="P78" i="48"/>
  <c r="Q78" i="48" s="1"/>
  <c r="O79" i="48"/>
  <c r="O74" i="34"/>
  <c r="P73" i="34"/>
  <c r="Q73" i="34" s="1"/>
  <c r="X57" i="43"/>
  <c r="AK3" i="31"/>
  <c r="AP6" i="31"/>
  <c r="AO6" i="31"/>
  <c r="AP5" i="31"/>
  <c r="AH3" i="31"/>
  <c r="AO5" i="31"/>
  <c r="AN15" i="30"/>
  <c r="AR15" i="30" s="1"/>
  <c r="C74" i="32"/>
  <c r="C73" i="32"/>
  <c r="P73" i="49"/>
  <c r="Q73" i="49" s="1"/>
  <c r="O74" i="49"/>
  <c r="B86" i="48"/>
  <c r="A91" i="48"/>
  <c r="A87" i="48"/>
  <c r="AL5" i="39"/>
  <c r="Z27" i="29"/>
  <c r="AD27" i="29" s="1"/>
  <c r="X21" i="38"/>
  <c r="V21" i="38"/>
  <c r="A84" i="31"/>
  <c r="B83" i="31"/>
  <c r="AG48" i="50"/>
  <c r="T22" i="33"/>
  <c r="Z20" i="33"/>
  <c r="O87" i="42"/>
  <c r="P86" i="42"/>
  <c r="O91" i="42"/>
  <c r="M70" i="50"/>
  <c r="I70" i="50"/>
  <c r="G69" i="50"/>
  <c r="M69" i="50"/>
  <c r="I69" i="50"/>
  <c r="P77" i="43"/>
  <c r="O78" i="43"/>
  <c r="M70" i="28"/>
  <c r="I70" i="28"/>
  <c r="G69" i="28"/>
  <c r="M69" i="28"/>
  <c r="I69" i="28"/>
  <c r="O79" i="41"/>
  <c r="P78" i="41"/>
  <c r="Q78" i="41" s="1"/>
  <c r="AJ80" i="37"/>
  <c r="AJ79" i="37"/>
  <c r="Q67" i="35"/>
  <c r="Q69" i="35"/>
  <c r="A84" i="28"/>
  <c r="B83" i="28"/>
  <c r="AL8" i="30"/>
  <c r="AL11" i="30" s="1"/>
  <c r="AJ8" i="30"/>
  <c r="AJ11" i="30" s="1"/>
  <c r="AL5" i="37"/>
  <c r="Q62" i="46"/>
  <c r="Q64" i="46"/>
  <c r="F42" i="48"/>
  <c r="AG34" i="48"/>
  <c r="AG35" i="48" s="1"/>
  <c r="AE35" i="48"/>
  <c r="AI34" i="48" s="1"/>
  <c r="AM34" i="48" s="1"/>
  <c r="AS34" i="48" s="1"/>
  <c r="Z9" i="35"/>
  <c r="AD9" i="35" s="1"/>
  <c r="AJ3" i="36"/>
  <c r="AN3" i="36"/>
  <c r="AJ8" i="35"/>
  <c r="AJ11" i="35" s="1"/>
  <c r="AL8" i="35"/>
  <c r="AL11" i="35" s="1"/>
  <c r="P78" i="30"/>
  <c r="Q78" i="30" s="1"/>
  <c r="O79" i="30"/>
  <c r="A80" i="38"/>
  <c r="B80" i="38" s="1"/>
  <c r="B79" i="38"/>
  <c r="X20" i="38"/>
  <c r="X23" i="38" s="1"/>
  <c r="V20" i="38"/>
  <c r="V23" i="38" s="1"/>
  <c r="Q64" i="39"/>
  <c r="Q62" i="39"/>
  <c r="AC79" i="38"/>
  <c r="AD79" i="38" s="1"/>
  <c r="AD78" i="38"/>
  <c r="AC83" i="38"/>
  <c r="L27" i="32"/>
  <c r="P26" i="32"/>
  <c r="X62" i="26"/>
  <c r="A80" i="27"/>
  <c r="B80" i="27" s="1"/>
  <c r="B79" i="27"/>
  <c r="N15" i="35"/>
  <c r="N17" i="35" s="1"/>
  <c r="P14" i="35"/>
  <c r="L15" i="35"/>
  <c r="L17" i="35" s="1"/>
  <c r="X15" i="32"/>
  <c r="AA75" i="29"/>
  <c r="AO75" i="29" s="1"/>
  <c r="AP75" i="29" s="1"/>
  <c r="W75" i="29"/>
  <c r="AA74" i="29"/>
  <c r="AO74" i="29" s="1"/>
  <c r="W74" i="29"/>
  <c r="F57" i="50"/>
  <c r="AC84" i="36"/>
  <c r="AD84" i="36" s="1"/>
  <c r="AD83" i="36"/>
  <c r="AC88" i="36"/>
  <c r="AG45" i="50"/>
  <c r="T4" i="30"/>
  <c r="Z2" i="30"/>
  <c r="J27" i="44"/>
  <c r="M27" i="44"/>
  <c r="P73" i="44"/>
  <c r="Q73" i="44" s="1"/>
  <c r="O74" i="44"/>
  <c r="Y60" i="50"/>
  <c r="Y59" i="50"/>
  <c r="AP64" i="34"/>
  <c r="A80" i="28"/>
  <c r="B80" i="28" s="1"/>
  <c r="B79" i="28"/>
  <c r="A75" i="46"/>
  <c r="B75" i="46" s="1"/>
  <c r="B74" i="46"/>
  <c r="G63" i="48"/>
  <c r="C62" i="48"/>
  <c r="A79" i="48"/>
  <c r="B78" i="48"/>
  <c r="AJ9" i="36"/>
  <c r="AL9" i="36"/>
  <c r="T4" i="32"/>
  <c r="Z2" i="32"/>
  <c r="K64" i="47"/>
  <c r="G62" i="47"/>
  <c r="K65" i="47"/>
  <c r="X69" i="59"/>
  <c r="M70" i="32"/>
  <c r="I70" i="32"/>
  <c r="G69" i="32"/>
  <c r="I69" i="32"/>
  <c r="M69" i="32"/>
  <c r="O70" i="33"/>
  <c r="P70" i="33" s="1"/>
  <c r="P69" i="33"/>
  <c r="Z27" i="33"/>
  <c r="AD27" i="33" s="1"/>
  <c r="Q64" i="44"/>
  <c r="Q62" i="44"/>
  <c r="A75" i="26"/>
  <c r="B75" i="26" s="1"/>
  <c r="B74" i="26"/>
  <c r="P74" i="47"/>
  <c r="O75" i="47"/>
  <c r="P75" i="47" s="1"/>
  <c r="V13" i="36"/>
  <c r="Z13" i="36"/>
  <c r="AL5" i="36"/>
  <c r="AE39" i="48"/>
  <c r="AG39" i="48" s="1"/>
  <c r="R34" i="48"/>
  <c r="AE43" i="48"/>
  <c r="D43" i="48"/>
  <c r="F43" i="48" s="1"/>
  <c r="H43" i="48" s="1"/>
  <c r="R38" i="48"/>
  <c r="D39" i="48"/>
  <c r="F39" i="48" s="1"/>
  <c r="H39" i="48" s="1"/>
  <c r="R42" i="48"/>
  <c r="D47" i="48"/>
  <c r="O75" i="48"/>
  <c r="P75" i="48" s="1"/>
  <c r="P74" i="48"/>
  <c r="W70" i="43"/>
  <c r="AA69" i="43"/>
  <c r="AO69" i="43" s="1"/>
  <c r="AA70" i="43"/>
  <c r="AO70" i="43" s="1"/>
  <c r="W69" i="43"/>
  <c r="N28" i="32"/>
  <c r="B86" i="26"/>
  <c r="A91" i="26"/>
  <c r="A87" i="26"/>
  <c r="AJ100" i="46"/>
  <c r="AJ99" i="46"/>
  <c r="AI77" i="28"/>
  <c r="AL79" i="28"/>
  <c r="AH79" i="28"/>
  <c r="AL80" i="28"/>
  <c r="AH80" i="28"/>
  <c r="M27" i="39"/>
  <c r="J27" i="39"/>
  <c r="L22" i="36"/>
  <c r="L23" i="36" s="1"/>
  <c r="J23" i="36"/>
  <c r="N22" i="36" s="1"/>
  <c r="X62" i="47"/>
  <c r="AN90" i="59"/>
  <c r="AJ90" i="59"/>
  <c r="AK87" i="59"/>
  <c r="AN89" i="59"/>
  <c r="AJ89" i="59"/>
  <c r="B91" i="38"/>
  <c r="A96" i="38"/>
  <c r="A92" i="38"/>
  <c r="AC88" i="26"/>
  <c r="AC84" i="26"/>
  <c r="AD84" i="26" s="1"/>
  <c r="AD83" i="26"/>
  <c r="P94" i="32"/>
  <c r="O95" i="32"/>
  <c r="P95" i="32" s="1"/>
  <c r="M65" i="37"/>
  <c r="I65" i="37"/>
  <c r="G64" i="37"/>
  <c r="M64" i="37"/>
  <c r="I64" i="37"/>
  <c r="A84" i="35"/>
  <c r="B83" i="35"/>
  <c r="P73" i="33"/>
  <c r="Q73" i="33" s="1"/>
  <c r="O74" i="33"/>
  <c r="M70" i="40"/>
  <c r="I70" i="40"/>
  <c r="G69" i="40"/>
  <c r="M69" i="40"/>
  <c r="I69" i="40"/>
  <c r="A88" i="27"/>
  <c r="B87" i="27"/>
  <c r="Q69" i="30"/>
  <c r="Q67" i="30"/>
  <c r="A75" i="48"/>
  <c r="B75" i="48" s="1"/>
  <c r="B74" i="48"/>
  <c r="X15" i="39"/>
  <c r="L15" i="31"/>
  <c r="L17" i="31" s="1"/>
  <c r="N15" i="31"/>
  <c r="N17" i="31" s="1"/>
  <c r="P14" i="31"/>
  <c r="L27" i="35"/>
  <c r="P26" i="35"/>
  <c r="N15" i="40"/>
  <c r="N17" i="40" s="1"/>
  <c r="P14" i="40"/>
  <c r="L15" i="40"/>
  <c r="L17" i="40" s="1"/>
  <c r="AF4" i="24"/>
  <c r="AF5" i="24" s="1"/>
  <c r="AP69" i="41"/>
  <c r="Q62" i="43"/>
  <c r="Q64" i="43"/>
  <c r="O28" i="30"/>
  <c r="J28" i="30"/>
  <c r="L28" i="30" s="1"/>
  <c r="M28" i="30"/>
  <c r="O27" i="30"/>
  <c r="J27" i="37"/>
  <c r="M27" i="37"/>
  <c r="P102" i="32"/>
  <c r="O103" i="32"/>
  <c r="M69" i="44"/>
  <c r="I69" i="44"/>
  <c r="M70" i="44"/>
  <c r="I70" i="44"/>
  <c r="G69" i="44"/>
  <c r="A84" i="49"/>
  <c r="B83" i="49"/>
  <c r="AA70" i="27"/>
  <c r="AO70" i="27" s="1"/>
  <c r="W70" i="27"/>
  <c r="AA69" i="27"/>
  <c r="AO69" i="27" s="1"/>
  <c r="W69" i="27"/>
  <c r="AA70" i="37"/>
  <c r="AO70" i="37" s="1"/>
  <c r="AP70" i="37" s="1"/>
  <c r="W70" i="37"/>
  <c r="AA69" i="37"/>
  <c r="AO69" i="37" s="1"/>
  <c r="W69" i="37"/>
  <c r="Y85" i="32"/>
  <c r="Y84" i="32"/>
  <c r="AB22" i="31"/>
  <c r="AA22" i="31"/>
  <c r="T20" i="31"/>
  <c r="AB23" i="31"/>
  <c r="AA23" i="31"/>
  <c r="S22" i="31"/>
  <c r="X14" i="33"/>
  <c r="V3" i="39"/>
  <c r="X3" i="39"/>
  <c r="M27" i="29"/>
  <c r="J27" i="29"/>
  <c r="T22" i="39"/>
  <c r="Z20" i="39"/>
  <c r="Q64" i="31"/>
  <c r="Q62" i="31"/>
  <c r="AL9" i="34"/>
  <c r="AJ9" i="34"/>
  <c r="B87" i="29"/>
  <c r="A88" i="29"/>
  <c r="H5" i="22"/>
  <c r="I5" i="22" s="1"/>
  <c r="D5" i="22"/>
  <c r="F5" i="22" s="1"/>
  <c r="G5" i="22" s="1"/>
  <c r="F4" i="22"/>
  <c r="AC27" i="31"/>
  <c r="Y27" i="31"/>
  <c r="V27" i="31"/>
  <c r="X27" i="31" s="1"/>
  <c r="AC28" i="31"/>
  <c r="Y28" i="31"/>
  <c r="Z25" i="31"/>
  <c r="X2" i="31"/>
  <c r="X5" i="31" s="1"/>
  <c r="V2" i="31"/>
  <c r="V5" i="31" s="1"/>
  <c r="Z9" i="37"/>
  <c r="AD9" i="37" s="1"/>
  <c r="Q67" i="29"/>
  <c r="Q69" i="29"/>
  <c r="X57" i="46"/>
  <c r="AC88" i="42"/>
  <c r="AC84" i="42"/>
  <c r="AD84" i="42" s="1"/>
  <c r="AD83" i="42"/>
  <c r="AA83" i="59"/>
  <c r="AQ83" i="59" s="1"/>
  <c r="AA84" i="59"/>
  <c r="AQ84" i="59" s="1"/>
  <c r="AL8" i="33"/>
  <c r="AL11" i="33" s="1"/>
  <c r="AJ8" i="33"/>
  <c r="AJ11" i="33" s="1"/>
  <c r="AN8" i="33"/>
  <c r="AH10" i="33"/>
  <c r="B82" i="39"/>
  <c r="A83" i="39"/>
  <c r="AL80" i="33"/>
  <c r="AH80" i="33"/>
  <c r="AI77" i="33"/>
  <c r="AL79" i="33"/>
  <c r="AH79" i="33"/>
  <c r="O82" i="31"/>
  <c r="P81" i="31"/>
  <c r="O86" i="31"/>
  <c r="AC79" i="35"/>
  <c r="AD79" i="35" s="1"/>
  <c r="AD78" i="35"/>
  <c r="AC83" i="35"/>
  <c r="AJ3" i="30"/>
  <c r="AN3" i="30"/>
  <c r="X21" i="33"/>
  <c r="V21" i="33"/>
  <c r="AA6" i="24"/>
  <c r="Z22" i="29"/>
  <c r="AD22" i="29" s="1"/>
  <c r="AL9" i="28"/>
  <c r="AJ9" i="28"/>
  <c r="B86" i="30"/>
  <c r="A91" i="30"/>
  <c r="A87" i="30"/>
  <c r="Y65" i="35"/>
  <c r="Y64" i="35"/>
  <c r="O87" i="30"/>
  <c r="P86" i="30"/>
  <c r="O91" i="30"/>
  <c r="O75" i="35"/>
  <c r="P75" i="35" s="1"/>
  <c r="P74" i="35"/>
  <c r="X62" i="30"/>
  <c r="H28" i="50"/>
  <c r="H16" i="50"/>
  <c r="K7" i="50"/>
  <c r="AF9" i="50"/>
  <c r="K6" i="50"/>
  <c r="R15" i="50"/>
  <c r="AF5" i="50"/>
  <c r="R4" i="50"/>
  <c r="R22" i="50"/>
  <c r="U26" i="50" s="1"/>
  <c r="K11" i="50"/>
  <c r="R24" i="50"/>
  <c r="AF11" i="50"/>
  <c r="AF7" i="50"/>
  <c r="R6" i="50"/>
  <c r="K10" i="50"/>
  <c r="C74" i="40"/>
  <c r="C73" i="40"/>
  <c r="X5" i="24"/>
  <c r="Q69" i="36"/>
  <c r="Q67" i="36"/>
  <c r="J23" i="26"/>
  <c r="N22" i="26" s="1"/>
  <c r="L22" i="26"/>
  <c r="L23" i="26" s="1"/>
  <c r="Z4" i="36"/>
  <c r="AD4" i="36" s="1"/>
  <c r="N15" i="36"/>
  <c r="N17" i="36" s="1"/>
  <c r="P14" i="36"/>
  <c r="L15" i="36"/>
  <c r="L17" i="36" s="1"/>
  <c r="L27" i="28"/>
  <c r="Z13" i="32"/>
  <c r="V13" i="32"/>
  <c r="Z27" i="37"/>
  <c r="AD27" i="37" s="1"/>
  <c r="P82" i="29"/>
  <c r="O83" i="29"/>
  <c r="A84" i="47"/>
  <c r="B83" i="47"/>
  <c r="G71" i="59"/>
  <c r="M71" i="59"/>
  <c r="M72" i="59"/>
  <c r="N15" i="37"/>
  <c r="N17" i="37" s="1"/>
  <c r="P14" i="37"/>
  <c r="L15" i="37"/>
  <c r="L17" i="37" s="1"/>
  <c r="AL4" i="33"/>
  <c r="L22" i="38"/>
  <c r="L23" i="38" s="1"/>
  <c r="J23" i="38"/>
  <c r="N22" i="38" s="1"/>
  <c r="B87" i="50"/>
  <c r="A88" i="50"/>
  <c r="B87" i="42"/>
  <c r="A88" i="42"/>
  <c r="A80" i="49"/>
  <c r="B80" i="49" s="1"/>
  <c r="B79" i="49"/>
  <c r="X3" i="34"/>
  <c r="V3" i="34"/>
  <c r="Y60" i="39"/>
  <c r="Y59" i="39"/>
  <c r="O79" i="38"/>
  <c r="P78" i="38"/>
  <c r="Q78" i="38" s="1"/>
  <c r="B82" i="37"/>
  <c r="A83" i="37"/>
  <c r="AL10" i="28"/>
  <c r="AJ10" i="28"/>
  <c r="L22" i="39"/>
  <c r="L23" i="39" s="1"/>
  <c r="J23" i="39"/>
  <c r="N22" i="39" s="1"/>
  <c r="Z27" i="34"/>
  <c r="AD27" i="34" s="1"/>
  <c r="B91" i="40"/>
  <c r="A96" i="40"/>
  <c r="A92" i="40"/>
  <c r="B91" i="35"/>
  <c r="A96" i="35"/>
  <c r="A92" i="35"/>
  <c r="Y65" i="29"/>
  <c r="Y64" i="29"/>
  <c r="C67" i="47"/>
  <c r="G68" i="47"/>
  <c r="AN10" i="40"/>
  <c r="AR10" i="40" s="1"/>
  <c r="X14" i="38"/>
  <c r="O82" i="44"/>
  <c r="P81" i="44"/>
  <c r="O86" i="44"/>
  <c r="Y60" i="33"/>
  <c r="Y59" i="33"/>
  <c r="AL74" i="29"/>
  <c r="AH74" i="29"/>
  <c r="AL75" i="29"/>
  <c r="AH75" i="29"/>
  <c r="AI72" i="29"/>
  <c r="AN3" i="38"/>
  <c r="AJ3" i="38"/>
  <c r="B87" i="49"/>
  <c r="A88" i="49"/>
  <c r="AJ80" i="34"/>
  <c r="AJ79" i="34"/>
  <c r="AQ15" i="31"/>
  <c r="AM15" i="31"/>
  <c r="AN13" i="31"/>
  <c r="AQ16" i="31"/>
  <c r="AM16" i="31"/>
  <c r="AJ15" i="31"/>
  <c r="AL15" i="31" s="1"/>
  <c r="AH10" i="38"/>
  <c r="AN8" i="38"/>
  <c r="C73" i="35"/>
  <c r="C74" i="35"/>
  <c r="A75" i="36"/>
  <c r="B75" i="36" s="1"/>
  <c r="B74" i="36"/>
  <c r="O28" i="29"/>
  <c r="J28" i="29"/>
  <c r="L28" i="29" s="1"/>
  <c r="M28" i="29"/>
  <c r="O27" i="29"/>
  <c r="X2" i="29"/>
  <c r="X5" i="29" s="1"/>
  <c r="V2" i="29"/>
  <c r="V5" i="29" s="1"/>
  <c r="A80" i="29"/>
  <c r="B80" i="29" s="1"/>
  <c r="B79" i="29"/>
  <c r="AN15" i="34"/>
  <c r="AR15" i="34" s="1"/>
  <c r="AV4" i="21"/>
  <c r="AA16" i="31"/>
  <c r="W13" i="31"/>
  <c r="AB15" i="31"/>
  <c r="T13" i="31"/>
  <c r="AB16" i="31"/>
  <c r="AA15" i="31"/>
  <c r="X57" i="31"/>
  <c r="F45" i="50"/>
  <c r="M65" i="43"/>
  <c r="I64" i="43"/>
  <c r="I65" i="43"/>
  <c r="G64" i="43"/>
  <c r="M64" i="43"/>
  <c r="Y60" i="44"/>
  <c r="Y59" i="44"/>
  <c r="X57" i="49"/>
  <c r="AV7" i="24"/>
  <c r="A83" i="36"/>
  <c r="B82" i="36"/>
  <c r="X15" i="26"/>
  <c r="AN15" i="26"/>
  <c r="AR15" i="26" s="1"/>
  <c r="T42" i="49"/>
  <c r="V42" i="49"/>
  <c r="C69" i="48"/>
  <c r="C68" i="48"/>
  <c r="A79" i="30"/>
  <c r="B78" i="30"/>
  <c r="O94" i="59"/>
  <c r="P93" i="59"/>
  <c r="AN15" i="32"/>
  <c r="AR15" i="32" s="1"/>
  <c r="AL80" i="31"/>
  <c r="AH80" i="31"/>
  <c r="AI77" i="31"/>
  <c r="AL79" i="31"/>
  <c r="AH79" i="31"/>
  <c r="C74" i="42"/>
  <c r="C73" i="42"/>
  <c r="L15" i="33"/>
  <c r="L17" i="33" s="1"/>
  <c r="N15" i="33"/>
  <c r="N17" i="33" s="1"/>
  <c r="P14" i="33"/>
  <c r="C67" i="27"/>
  <c r="G68" i="27"/>
  <c r="X20" i="28"/>
  <c r="X23" i="28" s="1"/>
  <c r="V20" i="28"/>
  <c r="V23" i="28" s="1"/>
  <c r="X20" i="40"/>
  <c r="X23" i="40" s="1"/>
  <c r="V20" i="40"/>
  <c r="V23" i="40" s="1"/>
  <c r="Z9" i="33"/>
  <c r="AD9" i="33" s="1"/>
  <c r="V21" i="37"/>
  <c r="X21" i="37"/>
  <c r="X57" i="28"/>
  <c r="AL80" i="49"/>
  <c r="AH80" i="49"/>
  <c r="AI77" i="49"/>
  <c r="AL79" i="49"/>
  <c r="AH79" i="49"/>
  <c r="M27" i="38"/>
  <c r="J27" i="38"/>
  <c r="N15" i="38"/>
  <c r="N17" i="38" s="1"/>
  <c r="P14" i="38"/>
  <c r="L15" i="38"/>
  <c r="L17" i="38" s="1"/>
  <c r="Q62" i="40"/>
  <c r="Q64" i="40"/>
  <c r="B91" i="34"/>
  <c r="A96" i="34"/>
  <c r="A92" i="34"/>
  <c r="G62" i="32"/>
  <c r="K64" i="32"/>
  <c r="K65" i="32"/>
  <c r="G57" i="36"/>
  <c r="K60" i="36"/>
  <c r="K59" i="36"/>
  <c r="AI87" i="40"/>
  <c r="AL89" i="40"/>
  <c r="AH89" i="40"/>
  <c r="AL90" i="40"/>
  <c r="AH90" i="40"/>
  <c r="X20" i="32"/>
  <c r="X23" i="32" s="1"/>
  <c r="V20" i="32"/>
  <c r="V23" i="32" s="1"/>
  <c r="P81" i="45"/>
  <c r="O86" i="45"/>
  <c r="O82" i="45"/>
  <c r="AA75" i="36"/>
  <c r="AO75" i="36" s="1"/>
  <c r="AP75" i="36" s="1"/>
  <c r="W75" i="36"/>
  <c r="AA74" i="36"/>
  <c r="AO74" i="36" s="1"/>
  <c r="W74" i="36"/>
  <c r="O78" i="33"/>
  <c r="P77" i="33"/>
  <c r="Z9" i="34"/>
  <c r="AD9" i="34" s="1"/>
  <c r="A80" i="41"/>
  <c r="B80" i="41" s="1"/>
  <c r="B79" i="41"/>
  <c r="A79" i="37"/>
  <c r="B78" i="37"/>
  <c r="P82" i="26"/>
  <c r="O83" i="26"/>
  <c r="X3" i="28"/>
  <c r="V3" i="28"/>
  <c r="Y60" i="37"/>
  <c r="Y59" i="37"/>
  <c r="P82" i="35"/>
  <c r="O83" i="35"/>
  <c r="B98" i="59"/>
  <c r="A99" i="59"/>
  <c r="A104" i="59"/>
  <c r="V22" i="36"/>
  <c r="AL4" i="38"/>
  <c r="AJ8" i="32"/>
  <c r="AJ11" i="32" s="1"/>
  <c r="AL8" i="32"/>
  <c r="AL11" i="32" s="1"/>
  <c r="C62" i="46"/>
  <c r="G63" i="46"/>
  <c r="V13" i="33"/>
  <c r="Z13" i="33"/>
  <c r="C74" i="33"/>
  <c r="C73" i="33"/>
  <c r="N16" i="40"/>
  <c r="L16" i="40"/>
  <c r="N16" i="45"/>
  <c r="L16" i="45"/>
  <c r="B91" i="32"/>
  <c r="A92" i="32"/>
  <c r="A96" i="32"/>
  <c r="V39" i="50"/>
  <c r="V40" i="50" s="1"/>
  <c r="T39" i="50"/>
  <c r="T40" i="50" s="1"/>
  <c r="X39" i="50" s="1"/>
  <c r="T43" i="50"/>
  <c r="V43" i="50"/>
  <c r="O78" i="50"/>
  <c r="P77" i="50"/>
  <c r="AL8" i="31"/>
  <c r="AL11" i="31" s="1"/>
  <c r="AJ8" i="31"/>
  <c r="AJ11" i="31" s="1"/>
  <c r="AN8" i="31"/>
  <c r="AH10" i="31"/>
  <c r="AN15" i="38"/>
  <c r="AR15" i="38" s="1"/>
  <c r="K65" i="49"/>
  <c r="K64" i="49"/>
  <c r="G62" i="49"/>
  <c r="AI77" i="37"/>
  <c r="AL79" i="37"/>
  <c r="AH79" i="37"/>
  <c r="AL80" i="37"/>
  <c r="AH80" i="37"/>
  <c r="AC84" i="27"/>
  <c r="AD84" i="27" s="1"/>
  <c r="AD83" i="27"/>
  <c r="AC88" i="27"/>
  <c r="T4" i="33"/>
  <c r="Z2" i="33"/>
  <c r="G63" i="26"/>
  <c r="C62" i="26"/>
  <c r="T33" i="48"/>
  <c r="V33" i="48"/>
  <c r="AJ80" i="32"/>
  <c r="AJ79" i="32"/>
  <c r="A79" i="36"/>
  <c r="B78" i="36"/>
  <c r="AJ8" i="29"/>
  <c r="AJ11" i="29" s="1"/>
  <c r="AL8" i="29"/>
  <c r="AL11" i="29" s="1"/>
  <c r="T22" i="34"/>
  <c r="Z20" i="34"/>
  <c r="AJ75" i="38"/>
  <c r="AJ74" i="38"/>
  <c r="L27" i="34"/>
  <c r="P26" i="34"/>
  <c r="G68" i="42"/>
  <c r="C67" i="42"/>
  <c r="G57" i="30"/>
  <c r="K60" i="30"/>
  <c r="K59" i="30"/>
  <c r="Y65" i="26"/>
  <c r="Y64" i="26"/>
  <c r="T4" i="26"/>
  <c r="Z2" i="26"/>
  <c r="X3" i="33"/>
  <c r="V3" i="33"/>
  <c r="O75" i="29"/>
  <c r="P75" i="29" s="1"/>
  <c r="P74" i="29"/>
  <c r="AJ79" i="36"/>
  <c r="AJ80" i="36"/>
  <c r="C74" i="27"/>
  <c r="C73" i="27"/>
  <c r="AE45" i="50"/>
  <c r="AI44" i="50" s="1"/>
  <c r="V2" i="30"/>
  <c r="V5" i="30" s="1"/>
  <c r="X2" i="30"/>
  <c r="X5" i="30" s="1"/>
  <c r="A84" i="34"/>
  <c r="B83" i="34"/>
  <c r="AJ3" i="34"/>
  <c r="AN3" i="34"/>
  <c r="A75" i="39"/>
  <c r="B75" i="39" s="1"/>
  <c r="B74" i="39"/>
  <c r="AC84" i="50"/>
  <c r="AD84" i="50" s="1"/>
  <c r="AD83" i="50"/>
  <c r="AC88" i="50"/>
  <c r="G63" i="39"/>
  <c r="C62" i="39"/>
  <c r="AJ9" i="30"/>
  <c r="AL9" i="30"/>
  <c r="M64" i="48"/>
  <c r="I64" i="48"/>
  <c r="M65" i="48"/>
  <c r="I65" i="48"/>
  <c r="G64" i="48"/>
  <c r="Z9" i="39"/>
  <c r="AD9" i="39" s="1"/>
  <c r="X57" i="45"/>
  <c r="AC83" i="47"/>
  <c r="AD78" i="47"/>
  <c r="AC79" i="47"/>
  <c r="AD79" i="47" s="1"/>
  <c r="O70" i="39"/>
  <c r="P70" i="39" s="1"/>
  <c r="P69" i="39"/>
  <c r="X2" i="32"/>
  <c r="X5" i="32" s="1"/>
  <c r="V2" i="32"/>
  <c r="V5" i="32" s="1"/>
  <c r="AJ79" i="48"/>
  <c r="AJ80" i="48"/>
  <c r="Z2" i="46"/>
  <c r="K59" i="37"/>
  <c r="G57" i="37"/>
  <c r="K60" i="37"/>
  <c r="O74" i="50"/>
  <c r="P73" i="50"/>
  <c r="Q73" i="50" s="1"/>
  <c r="C69" i="46"/>
  <c r="C68" i="46"/>
  <c r="Q62" i="50"/>
  <c r="Q64" i="50"/>
  <c r="AA70" i="33"/>
  <c r="AO70" i="33" s="1"/>
  <c r="AP70" i="33" s="1"/>
  <c r="W70" i="33"/>
  <c r="AA69" i="33"/>
  <c r="AO69" i="33" s="1"/>
  <c r="W69" i="33"/>
  <c r="K65" i="44"/>
  <c r="K64" i="44"/>
  <c r="G62" i="44"/>
  <c r="AJ3" i="26"/>
  <c r="AN3" i="26"/>
  <c r="AG7" i="61"/>
  <c r="AP7" i="23"/>
  <c r="C6" i="47"/>
  <c r="B7" i="23"/>
  <c r="V3" i="30"/>
  <c r="X3" i="30"/>
  <c r="A80" i="34"/>
  <c r="B80" i="34" s="1"/>
  <c r="B79" i="34"/>
  <c r="AA75" i="48"/>
  <c r="AO75" i="48" s="1"/>
  <c r="W75" i="48"/>
  <c r="AA74" i="48"/>
  <c r="AO74" i="48" s="1"/>
  <c r="W74" i="48"/>
  <c r="O78" i="27"/>
  <c r="P77" i="27"/>
  <c r="O87" i="36"/>
  <c r="O91" i="36"/>
  <c r="P86" i="36"/>
  <c r="AI97" i="46"/>
  <c r="AL99" i="46"/>
  <c r="AH99" i="46"/>
  <c r="AH100" i="46"/>
  <c r="AL100" i="46"/>
  <c r="O70" i="49"/>
  <c r="P70" i="49" s="1"/>
  <c r="P69" i="49"/>
  <c r="T22" i="26"/>
  <c r="Z20" i="26"/>
  <c r="Z13" i="35"/>
  <c r="V13" i="35"/>
  <c r="V21" i="40"/>
  <c r="X21" i="40"/>
  <c r="B82" i="43"/>
  <c r="A83" i="43"/>
  <c r="Y65" i="47"/>
  <c r="Y64" i="47"/>
  <c r="H47" i="50"/>
  <c r="M70" i="41"/>
  <c r="I70" i="41"/>
  <c r="G69" i="41"/>
  <c r="M69" i="41"/>
  <c r="I69" i="41"/>
  <c r="J23" i="37"/>
  <c r="N22" i="37" s="1"/>
  <c r="L22" i="37"/>
  <c r="L23" i="37" s="1"/>
  <c r="O75" i="42"/>
  <c r="P75" i="42" s="1"/>
  <c r="P74" i="42"/>
  <c r="AC100" i="59"/>
  <c r="AC95" i="59"/>
  <c r="AD95" i="59" s="1"/>
  <c r="AD94" i="59"/>
  <c r="AN8" i="46"/>
  <c r="X57" i="34"/>
  <c r="A84" i="40"/>
  <c r="B83" i="40"/>
  <c r="Z20" i="46"/>
  <c r="P82" i="38"/>
  <c r="O83" i="38"/>
  <c r="A96" i="27"/>
  <c r="A92" i="27"/>
  <c r="B91" i="27"/>
  <c r="J23" i="40"/>
  <c r="N22" i="40" s="1"/>
  <c r="L22" i="40"/>
  <c r="L23" i="40" s="1"/>
  <c r="L27" i="36"/>
  <c r="X2" i="40"/>
  <c r="X5" i="40" s="1"/>
  <c r="V2" i="40"/>
  <c r="V5" i="40" s="1"/>
  <c r="AL8" i="36"/>
  <c r="AL11" i="36" s="1"/>
  <c r="AJ8" i="36"/>
  <c r="AJ11" i="36" s="1"/>
  <c r="X20" i="37"/>
  <c r="X23" i="37" s="1"/>
  <c r="V20" i="37"/>
  <c r="V23" i="37" s="1"/>
  <c r="AL9" i="33"/>
  <c r="AJ9" i="33"/>
  <c r="P82" i="48"/>
  <c r="O83" i="48"/>
  <c r="P106" i="32"/>
  <c r="O111" i="32"/>
  <c r="O107" i="32"/>
  <c r="C74" i="34"/>
  <c r="C73" i="34"/>
  <c r="P69" i="37"/>
  <c r="O70" i="37"/>
  <c r="P70" i="37" s="1"/>
  <c r="X57" i="40"/>
  <c r="V28" i="31"/>
  <c r="X26" i="31"/>
  <c r="X28" i="31" s="1"/>
  <c r="O82" i="49"/>
  <c r="O86" i="49"/>
  <c r="P81" i="49"/>
  <c r="N15" i="29"/>
  <c r="N17" i="29" s="1"/>
  <c r="P14" i="29"/>
  <c r="L15" i="29"/>
  <c r="L17" i="29" s="1"/>
  <c r="Z27" i="39"/>
  <c r="AD27" i="39" s="1"/>
  <c r="AN3" i="40"/>
  <c r="AJ3" i="40"/>
  <c r="X20" i="39"/>
  <c r="X23" i="39" s="1"/>
  <c r="V20" i="39"/>
  <c r="V23" i="39" s="1"/>
  <c r="N15" i="34"/>
  <c r="N17" i="34" s="1"/>
  <c r="P14" i="34"/>
  <c r="L15" i="34"/>
  <c r="L17" i="34" s="1"/>
  <c r="B91" i="29"/>
  <c r="A96" i="29"/>
  <c r="A92" i="29"/>
  <c r="AV5" i="22"/>
  <c r="Q67" i="47"/>
  <c r="Q69" i="47"/>
  <c r="Z9" i="38"/>
  <c r="AD9" i="38" s="1"/>
  <c r="P78" i="42"/>
  <c r="Q78" i="42" s="1"/>
  <c r="O79" i="42"/>
  <c r="Y60" i="46"/>
  <c r="Y59" i="46"/>
  <c r="P83" i="59"/>
  <c r="O84" i="59"/>
  <c r="P84" i="59" s="1"/>
  <c r="A80" i="33"/>
  <c r="B80" i="33" s="1"/>
  <c r="B79" i="33"/>
  <c r="B86" i="39"/>
  <c r="A91" i="39"/>
  <c r="A87" i="39"/>
  <c r="AJ75" i="35"/>
  <c r="AJ74" i="35"/>
  <c r="G62" i="42"/>
  <c r="K65" i="42"/>
  <c r="K64" i="42"/>
  <c r="M28" i="40"/>
  <c r="O27" i="40"/>
  <c r="O28" i="40"/>
  <c r="J28" i="40"/>
  <c r="L28" i="40" s="1"/>
  <c r="X22" i="29"/>
  <c r="V22" i="29"/>
  <c r="V13" i="26"/>
  <c r="Z13" i="26"/>
  <c r="Z9" i="36"/>
  <c r="AD9" i="36" s="1"/>
  <c r="A80" i="32"/>
  <c r="B80" i="32" s="1"/>
  <c r="B79" i="32"/>
  <c r="M70" i="29"/>
  <c r="I70" i="29"/>
  <c r="G69" i="29"/>
  <c r="M69" i="29"/>
  <c r="I69" i="29"/>
  <c r="P77" i="39"/>
  <c r="O78" i="39"/>
  <c r="L16" i="38"/>
  <c r="N16" i="38"/>
  <c r="C67" i="31"/>
  <c r="G68" i="31"/>
  <c r="O78" i="46"/>
  <c r="P77" i="46"/>
  <c r="L22" i="30"/>
  <c r="L23" i="30" s="1"/>
  <c r="J23" i="30"/>
  <c r="N22" i="30" s="1"/>
  <c r="Q87" i="32"/>
  <c r="Q89" i="32"/>
  <c r="AA75" i="38"/>
  <c r="AO75" i="38" s="1"/>
  <c r="AP75" i="38" s="1"/>
  <c r="W75" i="38"/>
  <c r="AA74" i="38"/>
  <c r="AO74" i="38" s="1"/>
  <c r="AP74" i="38" s="1"/>
  <c r="W74" i="38"/>
  <c r="G57" i="48"/>
  <c r="K60" i="48"/>
  <c r="K59" i="48"/>
  <c r="X4" i="36"/>
  <c r="V4" i="36"/>
  <c r="AA70" i="40"/>
  <c r="AO70" i="40" s="1"/>
  <c r="AP70" i="40" s="1"/>
  <c r="W70" i="40"/>
  <c r="AA69" i="40"/>
  <c r="AO69" i="40" s="1"/>
  <c r="W69" i="40"/>
  <c r="O91" i="29"/>
  <c r="O87" i="29"/>
  <c r="P86" i="29"/>
  <c r="C69" i="59"/>
  <c r="G70" i="59"/>
  <c r="X21" i="30"/>
  <c r="V21" i="30"/>
  <c r="B91" i="50"/>
  <c r="A96" i="50"/>
  <c r="A92" i="50"/>
  <c r="Y65" i="36"/>
  <c r="Y64" i="36"/>
  <c r="B91" i="42"/>
  <c r="A96" i="42"/>
  <c r="A92" i="42"/>
  <c r="A89" i="59"/>
  <c r="B88" i="59"/>
  <c r="X57" i="39"/>
  <c r="B86" i="37"/>
  <c r="A91" i="37"/>
  <c r="A87" i="37"/>
  <c r="AN10" i="26"/>
  <c r="AR10" i="26" s="1"/>
  <c r="X21" i="35"/>
  <c r="V21" i="35"/>
  <c r="B86" i="46"/>
  <c r="A87" i="46"/>
  <c r="A91" i="46"/>
  <c r="M70" i="47"/>
  <c r="I70" i="47"/>
  <c r="G69" i="47"/>
  <c r="M69" i="47"/>
  <c r="I69" i="47"/>
  <c r="AL10" i="40"/>
  <c r="AJ10" i="40"/>
  <c r="K64" i="29"/>
  <c r="G62" i="29"/>
  <c r="K65" i="29"/>
  <c r="AJ79" i="30"/>
  <c r="AJ80" i="30"/>
  <c r="M27" i="30"/>
  <c r="J27" i="30"/>
  <c r="B82" i="45"/>
  <c r="A83" i="45"/>
  <c r="O78" i="34"/>
  <c r="P77" i="34"/>
  <c r="X57" i="33"/>
  <c r="B91" i="49"/>
  <c r="A96" i="49"/>
  <c r="A92" i="49"/>
  <c r="AI77" i="34"/>
  <c r="AL79" i="34"/>
  <c r="AH79" i="34"/>
  <c r="AL80" i="34"/>
  <c r="AH80" i="34"/>
  <c r="AQ10" i="31"/>
  <c r="AM10" i="31"/>
  <c r="AH9" i="31"/>
  <c r="AK13" i="31"/>
  <c r="AK12" i="31"/>
  <c r="AQ11" i="31"/>
  <c r="AM11" i="31"/>
  <c r="X21" i="39"/>
  <c r="V21" i="39"/>
  <c r="V3" i="26"/>
  <c r="X3" i="26"/>
  <c r="V13" i="40"/>
  <c r="Z13" i="40"/>
  <c r="T4" i="29"/>
  <c r="Z2" i="29"/>
  <c r="Z27" i="38"/>
  <c r="AD27" i="38" s="1"/>
  <c r="K59" i="45"/>
  <c r="G57" i="45"/>
  <c r="K60" i="45"/>
  <c r="A88" i="31"/>
  <c r="B87" i="31"/>
  <c r="H4" i="21"/>
  <c r="I4" i="21" s="1"/>
  <c r="D4" i="21"/>
  <c r="AP64" i="33"/>
  <c r="AC15" i="31"/>
  <c r="Y15" i="31"/>
  <c r="T15" i="31"/>
  <c r="V15" i="31" s="1"/>
  <c r="AC16" i="31"/>
  <c r="Y16" i="31"/>
  <c r="W15" i="31"/>
  <c r="C74" i="47"/>
  <c r="C73" i="47"/>
  <c r="A79" i="39"/>
  <c r="B78" i="39"/>
  <c r="H45" i="50"/>
  <c r="AC84" i="45"/>
  <c r="AD84" i="45" s="1"/>
  <c r="AD83" i="45"/>
  <c r="AC88" i="45"/>
  <c r="X57" i="44"/>
  <c r="B87" i="28"/>
  <c r="A88" i="28"/>
  <c r="R33" i="47"/>
  <c r="AE38" i="47"/>
  <c r="AE34" i="47"/>
  <c r="D38" i="47"/>
  <c r="R37" i="47"/>
  <c r="D42" i="47"/>
  <c r="A91" i="36"/>
  <c r="A87" i="36"/>
  <c r="B86" i="36"/>
  <c r="T34" i="49"/>
  <c r="T35" i="49" s="1"/>
  <c r="X34" i="49" s="1"/>
  <c r="AB34" i="49" s="1"/>
  <c r="V34" i="49"/>
  <c r="V35" i="49" s="1"/>
  <c r="X35" i="49" s="1"/>
  <c r="AB35" i="49" s="1"/>
  <c r="F43" i="49"/>
  <c r="Y60" i="27"/>
  <c r="Y59" i="27"/>
  <c r="V13" i="30"/>
  <c r="Z13" i="30"/>
  <c r="K65" i="27"/>
  <c r="K64" i="27"/>
  <c r="G62" i="27"/>
  <c r="A84" i="33"/>
  <c r="B83" i="33"/>
  <c r="A80" i="35"/>
  <c r="B80" i="35" s="1"/>
  <c r="B79" i="35"/>
  <c r="AP89" i="32"/>
  <c r="M69" i="27"/>
  <c r="I69" i="27"/>
  <c r="M70" i="27"/>
  <c r="I70" i="27"/>
  <c r="G69" i="27"/>
  <c r="AP69" i="36"/>
  <c r="P86" i="47"/>
  <c r="O87" i="47"/>
  <c r="O91" i="47"/>
  <c r="T22" i="28"/>
  <c r="Z20" i="28"/>
  <c r="Z27" i="36"/>
  <c r="AD27" i="36" s="1"/>
  <c r="G63" i="36"/>
  <c r="C62" i="36"/>
  <c r="AC79" i="41"/>
  <c r="AD79" i="41" s="1"/>
  <c r="AD78" i="41"/>
  <c r="AC83" i="41"/>
  <c r="Y60" i="28"/>
  <c r="Y59" i="28"/>
  <c r="C62" i="45"/>
  <c r="G63" i="45"/>
  <c r="A75" i="45"/>
  <c r="B75" i="45" s="1"/>
  <c r="B74" i="45"/>
  <c r="C67" i="33"/>
  <c r="G68" i="33"/>
  <c r="A84" i="42"/>
  <c r="B83" i="42"/>
  <c r="AJ79" i="39"/>
  <c r="AJ80" i="39"/>
  <c r="A79" i="46"/>
  <c r="B78" i="46"/>
  <c r="X62" i="38"/>
  <c r="A80" i="44"/>
  <c r="B80" i="44" s="1"/>
  <c r="B79" i="44"/>
  <c r="C67" i="34"/>
  <c r="G68" i="34"/>
  <c r="M27" i="26"/>
  <c r="J27" i="26"/>
  <c r="O28" i="47"/>
  <c r="J28" i="47"/>
  <c r="L28" i="47" s="1"/>
  <c r="O27" i="47"/>
  <c r="M28" i="47"/>
  <c r="Z13" i="29"/>
  <c r="V13" i="29"/>
  <c r="O91" i="35"/>
  <c r="O87" i="35"/>
  <c r="P86" i="35"/>
  <c r="AC79" i="44"/>
  <c r="AD79" i="44" s="1"/>
  <c r="AD78" i="44"/>
  <c r="AC83" i="44"/>
  <c r="Z20" i="49"/>
  <c r="A94" i="59"/>
  <c r="B93" i="59"/>
  <c r="L22" i="31"/>
  <c r="L23" i="31" s="1"/>
  <c r="J23" i="31"/>
  <c r="N22" i="31" s="1"/>
  <c r="AN15" i="39"/>
  <c r="AR15" i="39" s="1"/>
  <c r="AN10" i="37"/>
  <c r="AR10" i="37" s="1"/>
  <c r="N23" i="34" l="1"/>
  <c r="P26" i="28"/>
  <c r="J42" i="49"/>
  <c r="O28" i="43"/>
  <c r="AA23" i="41"/>
  <c r="AA22" i="41"/>
  <c r="D8" i="65"/>
  <c r="I8" i="66"/>
  <c r="J8" i="66"/>
  <c r="B8" i="65" s="1"/>
  <c r="D8" i="66"/>
  <c r="L9" i="66"/>
  <c r="AA7" i="25"/>
  <c r="AG7" i="25" s="1"/>
  <c r="AF7" i="25" s="1"/>
  <c r="X6" i="25"/>
  <c r="B7" i="66"/>
  <c r="A7" i="66"/>
  <c r="AQ16" i="41"/>
  <c r="AM15" i="41"/>
  <c r="AM16" i="41"/>
  <c r="AN13" i="41"/>
  <c r="AQ15" i="41"/>
  <c r="AC9" i="41"/>
  <c r="Y9" i="41"/>
  <c r="AC10" i="41"/>
  <c r="Z7" i="41"/>
  <c r="Y10" i="41"/>
  <c r="AK4" i="41"/>
  <c r="AK5" i="41"/>
  <c r="AM5" i="41"/>
  <c r="AQ6" i="41"/>
  <c r="AM6" i="41"/>
  <c r="AQ5" i="41"/>
  <c r="AM11" i="41"/>
  <c r="AK13" i="41"/>
  <c r="AQ10" i="41"/>
  <c r="AK12" i="41"/>
  <c r="AM10" i="41"/>
  <c r="AQ11" i="41"/>
  <c r="T14" i="41"/>
  <c r="V14" i="41" s="1"/>
  <c r="W14" i="41"/>
  <c r="W25" i="41"/>
  <c r="W24" i="41"/>
  <c r="AC22" i="41"/>
  <c r="AC23" i="41"/>
  <c r="S22" i="41"/>
  <c r="Y22" i="41"/>
  <c r="Y23" i="41"/>
  <c r="O15" i="41"/>
  <c r="M19" i="41"/>
  <c r="O16" i="41"/>
  <c r="M18" i="41"/>
  <c r="AA5" i="41"/>
  <c r="S4" i="41"/>
  <c r="AA4" i="41"/>
  <c r="AB5" i="41"/>
  <c r="T2" i="41"/>
  <c r="AB4" i="41"/>
  <c r="AG10" i="41"/>
  <c r="AO10" i="41"/>
  <c r="AO11" i="41"/>
  <c r="AB15" i="41"/>
  <c r="AA16" i="41"/>
  <c r="T13" i="41"/>
  <c r="W13" i="41"/>
  <c r="AB16" i="41"/>
  <c r="AA15" i="41"/>
  <c r="AC28" i="41"/>
  <c r="Y27" i="41"/>
  <c r="Y28" i="41"/>
  <c r="Z25" i="41"/>
  <c r="AC27" i="41"/>
  <c r="M22" i="41"/>
  <c r="M23" i="41"/>
  <c r="AC5" i="41"/>
  <c r="W7" i="41"/>
  <c r="Y5" i="41"/>
  <c r="AC4" i="41"/>
  <c r="W6" i="41"/>
  <c r="Y4" i="41"/>
  <c r="AC16" i="41"/>
  <c r="Y15" i="41"/>
  <c r="Y16" i="41"/>
  <c r="W15" i="41"/>
  <c r="AC15" i="41"/>
  <c r="AO5" i="41"/>
  <c r="AO6" i="41"/>
  <c r="AK3" i="41"/>
  <c r="L27" i="59"/>
  <c r="P26" i="46"/>
  <c r="A7" i="65"/>
  <c r="AA23" i="43"/>
  <c r="AA22" i="43"/>
  <c r="J27" i="43"/>
  <c r="M27" i="43"/>
  <c r="L16" i="59"/>
  <c r="W14" i="43"/>
  <c r="S22" i="43"/>
  <c r="AC22" i="43"/>
  <c r="AC23" i="43"/>
  <c r="Y22" i="43"/>
  <c r="Y23" i="43"/>
  <c r="W25" i="43"/>
  <c r="W24" i="43"/>
  <c r="O16" i="43"/>
  <c r="M18" i="43"/>
  <c r="O15" i="43"/>
  <c r="M19" i="43"/>
  <c r="AO10" i="43"/>
  <c r="AO11" i="43"/>
  <c r="AG10" i="43"/>
  <c r="AA15" i="43"/>
  <c r="AA16" i="43"/>
  <c r="W13" i="43"/>
  <c r="N16" i="43"/>
  <c r="L16" i="43"/>
  <c r="AC28" i="43"/>
  <c r="Y28" i="43"/>
  <c r="AC27" i="43"/>
  <c r="Z25" i="43"/>
  <c r="Y27" i="43"/>
  <c r="M23" i="43"/>
  <c r="M22" i="43"/>
  <c r="Z7" i="43"/>
  <c r="AC10" i="43"/>
  <c r="AC9" i="43"/>
  <c r="Y10" i="43"/>
  <c r="Y9" i="43"/>
  <c r="AA4" i="43"/>
  <c r="S4" i="43"/>
  <c r="AA5" i="43"/>
  <c r="AK4" i="43"/>
  <c r="AK5" i="43"/>
  <c r="AM6" i="43"/>
  <c r="AQ5" i="43"/>
  <c r="AQ6" i="43"/>
  <c r="AM5" i="43"/>
  <c r="AK13" i="43"/>
  <c r="AM10" i="43"/>
  <c r="AK12" i="43"/>
  <c r="AQ11" i="43"/>
  <c r="AQ10" i="43"/>
  <c r="AM11" i="43"/>
  <c r="W7" i="43"/>
  <c r="W6" i="43"/>
  <c r="Y5" i="43"/>
  <c r="AC5" i="43"/>
  <c r="Y4" i="43"/>
  <c r="AC4" i="43"/>
  <c r="Y15" i="43"/>
  <c r="W15" i="43"/>
  <c r="Y16" i="43"/>
  <c r="AC15" i="43"/>
  <c r="AC16" i="43"/>
  <c r="AO5" i="43"/>
  <c r="AO6" i="43"/>
  <c r="AK3" i="43"/>
  <c r="AN13" i="43"/>
  <c r="AQ15" i="43"/>
  <c r="AM15" i="43"/>
  <c r="AQ16" i="43"/>
  <c r="AM16" i="43"/>
  <c r="S2" i="45"/>
  <c r="AA4" i="45" s="1"/>
  <c r="AO16" i="45"/>
  <c r="AO15" i="45"/>
  <c r="Z11" i="59"/>
  <c r="AD12" i="59" s="1"/>
  <c r="W4" i="59"/>
  <c r="AF29" i="59"/>
  <c r="AF30" i="59"/>
  <c r="W3" i="59"/>
  <c r="AP35" i="45"/>
  <c r="AP34" i="45"/>
  <c r="AG5" i="45"/>
  <c r="AG3" i="45"/>
  <c r="AG4" i="45"/>
  <c r="L22" i="59"/>
  <c r="L15" i="59"/>
  <c r="AL3" i="59"/>
  <c r="AL5" i="59"/>
  <c r="AL4" i="59"/>
  <c r="I27" i="45"/>
  <c r="I28" i="45"/>
  <c r="S21" i="45"/>
  <c r="U27" i="45"/>
  <c r="I22" i="45"/>
  <c r="I15" i="45"/>
  <c r="AG8" i="45"/>
  <c r="S20" i="45"/>
  <c r="AL9" i="59"/>
  <c r="AO16" i="59"/>
  <c r="AS16" i="59" s="1"/>
  <c r="S3" i="45"/>
  <c r="S4" i="45" s="1"/>
  <c r="U9" i="45"/>
  <c r="S14" i="45"/>
  <c r="S15" i="45"/>
  <c r="S13" i="45"/>
  <c r="W16" i="59"/>
  <c r="W15" i="59"/>
  <c r="AA9" i="45"/>
  <c r="AA10" i="45"/>
  <c r="L28" i="59"/>
  <c r="AF12" i="59"/>
  <c r="AF11" i="59"/>
  <c r="AL8" i="59"/>
  <c r="AA28" i="45"/>
  <c r="AA27" i="45"/>
  <c r="AU17" i="59"/>
  <c r="AU16" i="59"/>
  <c r="W21" i="59"/>
  <c r="Z29" i="59"/>
  <c r="W22" i="59"/>
  <c r="AG9" i="45"/>
  <c r="AI15" i="45"/>
  <c r="AR35" i="59"/>
  <c r="AR36" i="59"/>
  <c r="W14" i="59"/>
  <c r="AC9" i="47"/>
  <c r="Y9" i="47"/>
  <c r="AC10" i="47"/>
  <c r="Z7" i="47"/>
  <c r="Y10" i="47"/>
  <c r="AG10" i="47"/>
  <c r="AO10" i="47"/>
  <c r="AO11" i="47"/>
  <c r="AQ15" i="47"/>
  <c r="AQ16" i="47"/>
  <c r="AM15" i="47"/>
  <c r="AM16" i="47"/>
  <c r="AN13" i="47"/>
  <c r="AA23" i="47"/>
  <c r="AA22" i="47"/>
  <c r="S22" i="47"/>
  <c r="AK13" i="47"/>
  <c r="AQ10" i="47"/>
  <c r="AK12" i="47"/>
  <c r="AM10" i="47"/>
  <c r="AQ11" i="47"/>
  <c r="AM11" i="47"/>
  <c r="W14" i="47"/>
  <c r="AM6" i="47"/>
  <c r="AQ5" i="47"/>
  <c r="AK5" i="47"/>
  <c r="AM5" i="47"/>
  <c r="AQ6" i="47"/>
  <c r="S4" i="47"/>
  <c r="AA4" i="47"/>
  <c r="AA5" i="47"/>
  <c r="M23" i="47"/>
  <c r="M22" i="47"/>
  <c r="AC27" i="47"/>
  <c r="AC28" i="47"/>
  <c r="Y27" i="47"/>
  <c r="Y28" i="47"/>
  <c r="Z25" i="47"/>
  <c r="Y15" i="47"/>
  <c r="AC16" i="47"/>
  <c r="Y16" i="47"/>
  <c r="AC15" i="47"/>
  <c r="W15" i="47"/>
  <c r="AC4" i="47"/>
  <c r="W6" i="47"/>
  <c r="Y4" i="47"/>
  <c r="AC5" i="47"/>
  <c r="W7" i="47"/>
  <c r="Y5" i="47"/>
  <c r="AO5" i="47"/>
  <c r="AO6" i="47"/>
  <c r="AK3" i="47"/>
  <c r="O15" i="47"/>
  <c r="M19" i="47"/>
  <c r="O16" i="47"/>
  <c r="M18" i="47"/>
  <c r="AC22" i="47"/>
  <c r="AC23" i="47"/>
  <c r="Y22" i="47"/>
  <c r="Y23" i="47"/>
  <c r="W25" i="47"/>
  <c r="W24" i="47"/>
  <c r="W13" i="47"/>
  <c r="AA15" i="47"/>
  <c r="AA16" i="47"/>
  <c r="P26" i="33"/>
  <c r="P28" i="33" s="1"/>
  <c r="AO11" i="48"/>
  <c r="AO10" i="48"/>
  <c r="N16" i="48"/>
  <c r="L16" i="48"/>
  <c r="AA15" i="48"/>
  <c r="AA16" i="48"/>
  <c r="W13" i="48"/>
  <c r="AK3" i="48"/>
  <c r="AO6" i="48"/>
  <c r="AO5" i="48"/>
  <c r="J27" i="48"/>
  <c r="M27" i="48"/>
  <c r="AA22" i="48"/>
  <c r="AA23" i="48"/>
  <c r="S22" i="48"/>
  <c r="AK4" i="48"/>
  <c r="Y15" i="48"/>
  <c r="W15" i="48"/>
  <c r="AC16" i="48"/>
  <c r="AC15" i="48"/>
  <c r="Y16" i="48"/>
  <c r="AM6" i="48"/>
  <c r="AQ5" i="48"/>
  <c r="AK5" i="48"/>
  <c r="AM5" i="48"/>
  <c r="AQ6" i="48"/>
  <c r="O27" i="48"/>
  <c r="O28" i="48"/>
  <c r="J28" i="48"/>
  <c r="L28" i="48" s="1"/>
  <c r="M28" i="48"/>
  <c r="M23" i="48"/>
  <c r="M22" i="48"/>
  <c r="AC9" i="48"/>
  <c r="Y9" i="48"/>
  <c r="AC10" i="48"/>
  <c r="Z7" i="48"/>
  <c r="Y10" i="48"/>
  <c r="AC22" i="48"/>
  <c r="AC23" i="48"/>
  <c r="Y22" i="48"/>
  <c r="Y23" i="48"/>
  <c r="W25" i="48"/>
  <c r="W24" i="48"/>
  <c r="W14" i="48"/>
  <c r="AQ11" i="48"/>
  <c r="AM11" i="48"/>
  <c r="AG10" i="48"/>
  <c r="AK13" i="48"/>
  <c r="AQ10" i="48"/>
  <c r="AK12" i="48"/>
  <c r="AM10" i="48"/>
  <c r="M18" i="48"/>
  <c r="M19" i="48"/>
  <c r="O15" i="48"/>
  <c r="O16" i="48"/>
  <c r="AC5" i="48"/>
  <c r="W7" i="48"/>
  <c r="Y5" i="48"/>
  <c r="AC4" i="48"/>
  <c r="W6" i="48"/>
  <c r="Y4" i="48"/>
  <c r="AA4" i="48"/>
  <c r="S4" i="48"/>
  <c r="AA5" i="48"/>
  <c r="AC27" i="48"/>
  <c r="AC28" i="48"/>
  <c r="Y27" i="48"/>
  <c r="Y28" i="48"/>
  <c r="Z25" i="48"/>
  <c r="AQ15" i="48"/>
  <c r="AM16" i="48"/>
  <c r="AM15" i="48"/>
  <c r="AN13" i="48"/>
  <c r="AQ16" i="48"/>
  <c r="N21" i="48"/>
  <c r="AA5" i="27"/>
  <c r="AA4" i="27"/>
  <c r="N23" i="28"/>
  <c r="AQ5" i="27"/>
  <c r="AM5" i="27"/>
  <c r="AQ6" i="27"/>
  <c r="AM6" i="27"/>
  <c r="AK5" i="27"/>
  <c r="AM15" i="27"/>
  <c r="AN13" i="27"/>
  <c r="AQ16" i="27"/>
  <c r="AQ15" i="27"/>
  <c r="AM16" i="27"/>
  <c r="AO11" i="27"/>
  <c r="AO10" i="27"/>
  <c r="AG10" i="27"/>
  <c r="N28" i="28"/>
  <c r="O16" i="27"/>
  <c r="M18" i="27"/>
  <c r="M19" i="27"/>
  <c r="O15" i="27"/>
  <c r="S22" i="27"/>
  <c r="AC23" i="27"/>
  <c r="Y22" i="27"/>
  <c r="Y23" i="27"/>
  <c r="W25" i="27"/>
  <c r="W24" i="27"/>
  <c r="AC22" i="27"/>
  <c r="AK13" i="27"/>
  <c r="AQ10" i="27"/>
  <c r="AK12" i="27"/>
  <c r="AM10" i="27"/>
  <c r="AQ11" i="27"/>
  <c r="AM11" i="27"/>
  <c r="AA16" i="27"/>
  <c r="W13" i="27"/>
  <c r="AA15" i="27"/>
  <c r="M22" i="27"/>
  <c r="N21" i="27"/>
  <c r="M23" i="27"/>
  <c r="Y27" i="27"/>
  <c r="Z25" i="27"/>
  <c r="AC28" i="27"/>
  <c r="AC27" i="27"/>
  <c r="Y28" i="27"/>
  <c r="AA23" i="27"/>
  <c r="AA22" i="27"/>
  <c r="Y10" i="27"/>
  <c r="AC9" i="27"/>
  <c r="Y9" i="27"/>
  <c r="AC10" i="27"/>
  <c r="Z7" i="27"/>
  <c r="AC16" i="27"/>
  <c r="AC15" i="27"/>
  <c r="Y16" i="27"/>
  <c r="Y15" i="27"/>
  <c r="W15" i="27"/>
  <c r="AK4" i="27"/>
  <c r="AO5" i="27"/>
  <c r="AO6" i="27"/>
  <c r="AK3" i="27"/>
  <c r="Y5" i="27"/>
  <c r="AC4" i="27"/>
  <c r="W6" i="27"/>
  <c r="Y4" i="27"/>
  <c r="S4" i="27"/>
  <c r="AC5" i="27"/>
  <c r="W7" i="27"/>
  <c r="W14" i="27"/>
  <c r="D9" i="25"/>
  <c r="H9" i="25"/>
  <c r="I9" i="25" s="1"/>
  <c r="V32" i="46"/>
  <c r="T32" i="46"/>
  <c r="AV9" i="25"/>
  <c r="Y8" i="25"/>
  <c r="AE10" i="61"/>
  <c r="AP10" i="25"/>
  <c r="B10" i="25"/>
  <c r="C4" i="44"/>
  <c r="D37" i="45"/>
  <c r="F37" i="45" s="1"/>
  <c r="H37" i="45" s="1"/>
  <c r="AE33" i="45"/>
  <c r="AG33" i="45" s="1"/>
  <c r="R32" i="45"/>
  <c r="H50" i="50"/>
  <c r="AI40" i="49"/>
  <c r="F50" i="50"/>
  <c r="AG50" i="50"/>
  <c r="AG45" i="49"/>
  <c r="R47" i="47"/>
  <c r="D52" i="47"/>
  <c r="F52" i="47" s="1"/>
  <c r="R39" i="49"/>
  <c r="V39" i="49" s="1"/>
  <c r="V40" i="49" s="1"/>
  <c r="D53" i="49"/>
  <c r="F53" i="49" s="1"/>
  <c r="D62" i="50"/>
  <c r="F62" i="50" s="1"/>
  <c r="R49" i="50"/>
  <c r="AE50" i="50"/>
  <c r="AI49" i="50" s="1"/>
  <c r="N23" i="29"/>
  <c r="I16" i="50"/>
  <c r="J16" i="50" s="1"/>
  <c r="N16" i="50" s="1"/>
  <c r="AE45" i="49"/>
  <c r="AI44" i="49" s="1"/>
  <c r="AN16" i="38"/>
  <c r="AR16" i="38" s="1"/>
  <c r="Z28" i="30"/>
  <c r="AD28" i="30" s="1"/>
  <c r="AN16" i="33"/>
  <c r="AR16" i="33" s="1"/>
  <c r="N23" i="40"/>
  <c r="AN11" i="28"/>
  <c r="AR11" i="28" s="1"/>
  <c r="AL13" i="28" s="1"/>
  <c r="Z28" i="36"/>
  <c r="AD28" i="36" s="1"/>
  <c r="Z10" i="30"/>
  <c r="AD10" i="30" s="1"/>
  <c r="N28" i="27"/>
  <c r="N23" i="32"/>
  <c r="AN16" i="28"/>
  <c r="AR16" i="28" s="1"/>
  <c r="N28" i="37"/>
  <c r="Z10" i="39"/>
  <c r="AD10" i="39" s="1"/>
  <c r="Z28" i="29"/>
  <c r="AD28" i="29" s="1"/>
  <c r="N23" i="31"/>
  <c r="Z23" i="35"/>
  <c r="AD23" i="35" s="1"/>
  <c r="X25" i="35" s="1"/>
  <c r="Z10" i="36"/>
  <c r="AD10" i="36" s="1"/>
  <c r="Z28" i="39"/>
  <c r="AD28" i="39" s="1"/>
  <c r="AN16" i="34"/>
  <c r="AR16" i="34" s="1"/>
  <c r="Z28" i="37"/>
  <c r="AD28" i="37" s="1"/>
  <c r="N23" i="26"/>
  <c r="Z28" i="32"/>
  <c r="AD28" i="32" s="1"/>
  <c r="Z28" i="35"/>
  <c r="AD28" i="35" s="1"/>
  <c r="N28" i="38"/>
  <c r="X40" i="50"/>
  <c r="Z10" i="34"/>
  <c r="AD10" i="34" s="1"/>
  <c r="Z10" i="28"/>
  <c r="AD10" i="28" s="1"/>
  <c r="N28" i="42"/>
  <c r="N23" i="35"/>
  <c r="J37" i="48"/>
  <c r="X14" i="31"/>
  <c r="Z10" i="32"/>
  <c r="AD10" i="32" s="1"/>
  <c r="AN16" i="29"/>
  <c r="AR16" i="29" s="1"/>
  <c r="AN11" i="37"/>
  <c r="AR11" i="37" s="1"/>
  <c r="AL13" i="37" s="1"/>
  <c r="N23" i="30"/>
  <c r="AN16" i="32"/>
  <c r="AR16" i="32" s="1"/>
  <c r="N28" i="29"/>
  <c r="N23" i="39"/>
  <c r="S20" i="50"/>
  <c r="AA22" i="50" s="1"/>
  <c r="Z10" i="37"/>
  <c r="AD10" i="37" s="1"/>
  <c r="N28" i="30"/>
  <c r="N28" i="44"/>
  <c r="N28" i="31"/>
  <c r="N23" i="37"/>
  <c r="N23" i="33"/>
  <c r="AR34" i="49"/>
  <c r="AT34" i="49" s="1"/>
  <c r="D5" i="49" s="1"/>
  <c r="AR35" i="49"/>
  <c r="AT35" i="49" s="1"/>
  <c r="E5" i="49" s="1"/>
  <c r="N23" i="38"/>
  <c r="N23" i="36"/>
  <c r="P87" i="35"/>
  <c r="O88" i="35"/>
  <c r="AL79" i="41"/>
  <c r="AH79" i="41"/>
  <c r="AL80" i="41"/>
  <c r="AH80" i="41"/>
  <c r="AI77" i="41"/>
  <c r="A96" i="36"/>
  <c r="A92" i="36"/>
  <c r="B91" i="36"/>
  <c r="AG34" i="47"/>
  <c r="AG35" i="47" s="1"/>
  <c r="AE35" i="47"/>
  <c r="AI34" i="47" s="1"/>
  <c r="AM34" i="47" s="1"/>
  <c r="AS34" i="47" s="1"/>
  <c r="A89" i="28"/>
  <c r="B88" i="28"/>
  <c r="AC89" i="45"/>
  <c r="AD89" i="45" s="1"/>
  <c r="AD88" i="45"/>
  <c r="AC93" i="45"/>
  <c r="M75" i="47"/>
  <c r="I75" i="47"/>
  <c r="G74" i="47"/>
  <c r="M74" i="47"/>
  <c r="I74" i="47"/>
  <c r="Z4" i="29"/>
  <c r="AD4" i="29" s="1"/>
  <c r="AL9" i="31"/>
  <c r="AJ9" i="31"/>
  <c r="A84" i="45"/>
  <c r="B83" i="45"/>
  <c r="AN11" i="26"/>
  <c r="AR11" i="26" s="1"/>
  <c r="AL13" i="26" s="1"/>
  <c r="A90" i="59"/>
  <c r="B90" i="59" s="1"/>
  <c r="B89" i="59"/>
  <c r="B96" i="42"/>
  <c r="A101" i="42"/>
  <c r="A97" i="42"/>
  <c r="B96" i="50"/>
  <c r="A101" i="50"/>
  <c r="A97" i="50"/>
  <c r="AP69" i="40"/>
  <c r="Y70" i="47"/>
  <c r="Y69" i="47"/>
  <c r="P15" i="29"/>
  <c r="Q67" i="37"/>
  <c r="Q69" i="37"/>
  <c r="P111" i="32"/>
  <c r="O116" i="32"/>
  <c r="O112" i="32"/>
  <c r="AL95" i="59"/>
  <c r="AL96" i="59"/>
  <c r="Q74" i="42"/>
  <c r="Q72" i="42"/>
  <c r="X13" i="35"/>
  <c r="X16" i="35" s="1"/>
  <c r="V16" i="35"/>
  <c r="Z15" i="35" s="1"/>
  <c r="AD15" i="35" s="1"/>
  <c r="AV7" i="23"/>
  <c r="M70" i="46"/>
  <c r="I70" i="46"/>
  <c r="G69" i="46"/>
  <c r="M69" i="46"/>
  <c r="I69" i="46"/>
  <c r="AJ80" i="47"/>
  <c r="AJ79" i="47"/>
  <c r="AC89" i="50"/>
  <c r="AD89" i="50" s="1"/>
  <c r="AD88" i="50"/>
  <c r="AC93" i="50"/>
  <c r="C74" i="39"/>
  <c r="C73" i="39"/>
  <c r="V22" i="34"/>
  <c r="X22" i="34"/>
  <c r="Z4" i="33"/>
  <c r="AD4" i="33" s="1"/>
  <c r="AL85" i="27"/>
  <c r="AH85" i="27"/>
  <c r="AI82" i="27"/>
  <c r="AL84" i="27"/>
  <c r="AH84" i="27"/>
  <c r="B96" i="32"/>
  <c r="A97" i="32"/>
  <c r="A101" i="32"/>
  <c r="M74" i="33"/>
  <c r="I74" i="33"/>
  <c r="M75" i="33"/>
  <c r="I75" i="33"/>
  <c r="G74" i="33"/>
  <c r="K64" i="46"/>
  <c r="G62" i="46"/>
  <c r="K65" i="46"/>
  <c r="B104" i="59"/>
  <c r="A105" i="59"/>
  <c r="A110" i="59"/>
  <c r="A80" i="37"/>
  <c r="B80" i="37" s="1"/>
  <c r="B79" i="37"/>
  <c r="O83" i="45"/>
  <c r="P82" i="45"/>
  <c r="P15" i="38"/>
  <c r="Z10" i="33"/>
  <c r="AD10" i="33" s="1"/>
  <c r="G73" i="42"/>
  <c r="C72" i="42"/>
  <c r="AN16" i="26"/>
  <c r="AR16" i="26" s="1"/>
  <c r="C72" i="35"/>
  <c r="G73" i="35"/>
  <c r="AJ10" i="38"/>
  <c r="AL10" i="38"/>
  <c r="AJ6" i="38"/>
  <c r="AL3" i="38"/>
  <c r="AL6" i="38" s="1"/>
  <c r="AN6" i="38" s="1"/>
  <c r="AR6" i="38" s="1"/>
  <c r="AN11" i="40"/>
  <c r="AR11" i="40" s="1"/>
  <c r="AL13" i="40" s="1"/>
  <c r="K69" i="47"/>
  <c r="G67" i="47"/>
  <c r="K70" i="47"/>
  <c r="B92" i="35"/>
  <c r="A93" i="35"/>
  <c r="B96" i="40"/>
  <c r="A101" i="40"/>
  <c r="A97" i="40"/>
  <c r="O80" i="38"/>
  <c r="P80" i="38" s="1"/>
  <c r="P79" i="38"/>
  <c r="A89" i="42"/>
  <c r="B88" i="42"/>
  <c r="P28" i="28"/>
  <c r="Y70" i="36"/>
  <c r="Y69" i="36"/>
  <c r="M75" i="40"/>
  <c r="I75" i="40"/>
  <c r="G74" i="40"/>
  <c r="M74" i="40"/>
  <c r="I74" i="40"/>
  <c r="AG9" i="50"/>
  <c r="AI15" i="50"/>
  <c r="S3" i="50"/>
  <c r="U9" i="50"/>
  <c r="Q72" i="35"/>
  <c r="Q74" i="35"/>
  <c r="P87" i="30"/>
  <c r="O88" i="30"/>
  <c r="Z23" i="29"/>
  <c r="AD23" i="29" s="1"/>
  <c r="X24" i="29" s="1"/>
  <c r="AJ80" i="35"/>
  <c r="AJ79" i="35"/>
  <c r="O83" i="31"/>
  <c r="P82" i="31"/>
  <c r="AJ84" i="42"/>
  <c r="AJ85" i="42"/>
  <c r="G4" i="22"/>
  <c r="V20" i="31"/>
  <c r="V23" i="31" s="1"/>
  <c r="X20" i="31"/>
  <c r="X23" i="31" s="1"/>
  <c r="L27" i="37"/>
  <c r="P26" i="37"/>
  <c r="N27" i="35"/>
  <c r="L29" i="35"/>
  <c r="P27" i="35" s="1"/>
  <c r="X67" i="30"/>
  <c r="AA75" i="33"/>
  <c r="AO75" i="33" s="1"/>
  <c r="AP75" i="33" s="1"/>
  <c r="W75" i="33"/>
  <c r="AA74" i="33"/>
  <c r="AO74" i="33" s="1"/>
  <c r="W74" i="33"/>
  <c r="AL85" i="26"/>
  <c r="AH85" i="26"/>
  <c r="AI82" i="26"/>
  <c r="AL84" i="26"/>
  <c r="AH84" i="26"/>
  <c r="B91" i="26"/>
  <c r="A96" i="26"/>
  <c r="A92" i="26"/>
  <c r="V38" i="48"/>
  <c r="T38" i="48"/>
  <c r="X62" i="44"/>
  <c r="Z4" i="32"/>
  <c r="AD4" i="32" s="1"/>
  <c r="A80" i="48"/>
  <c r="B80" i="48" s="1"/>
  <c r="B79" i="48"/>
  <c r="AI45" i="50"/>
  <c r="H57" i="50"/>
  <c r="C79" i="27"/>
  <c r="C78" i="27"/>
  <c r="N27" i="32"/>
  <c r="L29" i="32"/>
  <c r="P27" i="32" s="1"/>
  <c r="Y65" i="39"/>
  <c r="Y64" i="39"/>
  <c r="C78" i="38"/>
  <c r="C79" i="38"/>
  <c r="H42" i="48"/>
  <c r="X67" i="35"/>
  <c r="O80" i="41"/>
  <c r="P80" i="41" s="1"/>
  <c r="P79" i="41"/>
  <c r="Z22" i="33"/>
  <c r="AD22" i="33" s="1"/>
  <c r="G73" i="32"/>
  <c r="C72" i="32"/>
  <c r="AA80" i="48"/>
  <c r="AO80" i="48" s="1"/>
  <c r="W80" i="48"/>
  <c r="AA79" i="48"/>
  <c r="AO79" i="48" s="1"/>
  <c r="W79" i="48"/>
  <c r="X62" i="49"/>
  <c r="C79" i="31"/>
  <c r="C78" i="31"/>
  <c r="P74" i="45"/>
  <c r="O75" i="45"/>
  <c r="P75" i="45" s="1"/>
  <c r="AL85" i="39"/>
  <c r="AH85" i="39"/>
  <c r="AI82" i="39"/>
  <c r="AL84" i="39"/>
  <c r="AH84" i="39"/>
  <c r="O80" i="29"/>
  <c r="P80" i="29" s="1"/>
  <c r="P79" i="29"/>
  <c r="P87" i="41"/>
  <c r="O88" i="41"/>
  <c r="H5" i="21"/>
  <c r="I5" i="21" s="1"/>
  <c r="D5" i="21"/>
  <c r="F5" i="21" s="1"/>
  <c r="G5" i="21" s="1"/>
  <c r="V44" i="50"/>
  <c r="V45" i="50" s="1"/>
  <c r="T44" i="50"/>
  <c r="T45" i="50" s="1"/>
  <c r="X44" i="50" s="1"/>
  <c r="B96" i="41"/>
  <c r="A101" i="41"/>
  <c r="A97" i="41"/>
  <c r="G76" i="59"/>
  <c r="C75" i="59"/>
  <c r="AJ84" i="30"/>
  <c r="AJ85" i="30"/>
  <c r="P86" i="28"/>
  <c r="O91" i="28"/>
  <c r="O87" i="28"/>
  <c r="M70" i="43"/>
  <c r="I69" i="43"/>
  <c r="I70" i="43"/>
  <c r="G69" i="43"/>
  <c r="M69" i="43"/>
  <c r="Q67" i="28"/>
  <c r="Q69" i="28"/>
  <c r="A80" i="26"/>
  <c r="B80" i="26" s="1"/>
  <c r="B79" i="26"/>
  <c r="L29" i="49"/>
  <c r="P27" i="49" s="1"/>
  <c r="N27" i="49"/>
  <c r="N29" i="49" s="1"/>
  <c r="P28" i="49" s="1"/>
  <c r="S2" i="50"/>
  <c r="G68" i="30"/>
  <c r="C67" i="30"/>
  <c r="AV6" i="22"/>
  <c r="A85" i="44"/>
  <c r="B85" i="44" s="1"/>
  <c r="B84" i="44"/>
  <c r="O92" i="48"/>
  <c r="P91" i="48"/>
  <c r="O96" i="48"/>
  <c r="X13" i="38"/>
  <c r="X16" i="38" s="1"/>
  <c r="Z16" i="38" s="1"/>
  <c r="AD16" i="38" s="1"/>
  <c r="V16" i="38"/>
  <c r="Z15" i="38" s="1"/>
  <c r="AD15" i="38" s="1"/>
  <c r="Z4" i="28"/>
  <c r="AD4" i="28" s="1"/>
  <c r="M69" i="39"/>
  <c r="I69" i="39"/>
  <c r="M70" i="39"/>
  <c r="I70" i="39"/>
  <c r="G69" i="39"/>
  <c r="A89" i="38"/>
  <c r="B88" i="38"/>
  <c r="B92" i="47"/>
  <c r="A93" i="47"/>
  <c r="X13" i="28"/>
  <c r="X16" i="28" s="1"/>
  <c r="Z16" i="28" s="1"/>
  <c r="AD16" i="28" s="1"/>
  <c r="V16" i="28"/>
  <c r="Z15" i="28" s="1"/>
  <c r="AD15" i="28" s="1"/>
  <c r="AC109" i="46"/>
  <c r="AD109" i="46" s="1"/>
  <c r="AD108" i="46"/>
  <c r="AC113" i="46"/>
  <c r="Q67" i="45"/>
  <c r="Q69" i="45"/>
  <c r="L27" i="27"/>
  <c r="P26" i="27"/>
  <c r="G67" i="32"/>
  <c r="K69" i="32"/>
  <c r="K70" i="32"/>
  <c r="AA75" i="37"/>
  <c r="AO75" i="37" s="1"/>
  <c r="AP75" i="37" s="1"/>
  <c r="W75" i="37"/>
  <c r="AA74" i="37"/>
  <c r="AO74" i="37" s="1"/>
  <c r="AP74" i="37" s="1"/>
  <c r="W74" i="37"/>
  <c r="C74" i="30"/>
  <c r="C73" i="30"/>
  <c r="AJ84" i="48"/>
  <c r="AJ85" i="48"/>
  <c r="X62" i="27"/>
  <c r="C72" i="38"/>
  <c r="G73" i="38"/>
  <c r="Z4" i="34"/>
  <c r="AD4" i="34" s="1"/>
  <c r="C72" i="41"/>
  <c r="G73" i="41"/>
  <c r="AC93" i="32"/>
  <c r="AC89" i="32"/>
  <c r="AD89" i="32" s="1"/>
  <c r="AD88" i="32"/>
  <c r="AJ85" i="37"/>
  <c r="AJ84" i="37"/>
  <c r="O87" i="43"/>
  <c r="P86" i="43"/>
  <c r="O91" i="43"/>
  <c r="X62" i="34"/>
  <c r="X62" i="28"/>
  <c r="P87" i="26"/>
  <c r="O88" i="26"/>
  <c r="O87" i="33"/>
  <c r="P86" i="33"/>
  <c r="O91" i="33"/>
  <c r="AC99" i="40"/>
  <c r="AD99" i="40" s="1"/>
  <c r="AD98" i="40"/>
  <c r="AC103" i="40"/>
  <c r="Y70" i="38"/>
  <c r="Y69" i="38"/>
  <c r="L29" i="46"/>
  <c r="P27" i="46" s="1"/>
  <c r="N27" i="46"/>
  <c r="N29" i="46" s="1"/>
  <c r="O75" i="27"/>
  <c r="P75" i="27" s="1"/>
  <c r="P74" i="27"/>
  <c r="AF9" i="61"/>
  <c r="AP9" i="24"/>
  <c r="Y8" i="24" s="1"/>
  <c r="X7" i="24" s="1"/>
  <c r="B9" i="24"/>
  <c r="C5" i="45"/>
  <c r="B96" i="28"/>
  <c r="A101" i="28"/>
  <c r="A97" i="28"/>
  <c r="H4" i="20"/>
  <c r="I4" i="20" s="1"/>
  <c r="D4" i="20"/>
  <c r="A85" i="32"/>
  <c r="B85" i="32" s="1"/>
  <c r="B84" i="32"/>
  <c r="C82" i="59"/>
  <c r="C83" i="59"/>
  <c r="AC84" i="29"/>
  <c r="AD84" i="29" s="1"/>
  <c r="AD83" i="29"/>
  <c r="AC88" i="29"/>
  <c r="P86" i="34"/>
  <c r="O91" i="34"/>
  <c r="O87" i="34"/>
  <c r="P15" i="32"/>
  <c r="P16" i="32" s="1"/>
  <c r="Y70" i="48"/>
  <c r="Y69" i="48"/>
  <c r="AA10" i="50"/>
  <c r="AA9" i="50"/>
  <c r="P86" i="46"/>
  <c r="O91" i="46"/>
  <c r="O87" i="46"/>
  <c r="A89" i="33"/>
  <c r="B88" i="33"/>
  <c r="X62" i="45"/>
  <c r="AJ6" i="37"/>
  <c r="AN5" i="37" s="1"/>
  <c r="AR5" i="37" s="1"/>
  <c r="AL3" i="37"/>
  <c r="AL6" i="37" s="1"/>
  <c r="P78" i="31"/>
  <c r="Q78" i="31" s="1"/>
  <c r="O79" i="31"/>
  <c r="AJ84" i="33"/>
  <c r="AJ85" i="33"/>
  <c r="F48" i="49"/>
  <c r="AJ6" i="28"/>
  <c r="AN5" i="28" s="1"/>
  <c r="AR5" i="28" s="1"/>
  <c r="AL3" i="28"/>
  <c r="AL6" i="28" s="1"/>
  <c r="AN6" i="28" s="1"/>
  <c r="AR6" i="28" s="1"/>
  <c r="M74" i="44"/>
  <c r="I74" i="44"/>
  <c r="M75" i="44"/>
  <c r="I75" i="44"/>
  <c r="G74" i="44"/>
  <c r="Z22" i="37"/>
  <c r="AD22" i="37" s="1"/>
  <c r="V4" i="40"/>
  <c r="X4" i="40"/>
  <c r="M70" i="26"/>
  <c r="I70" i="26"/>
  <c r="G69" i="26"/>
  <c r="I69" i="26"/>
  <c r="M69" i="26"/>
  <c r="O79" i="40"/>
  <c r="P78" i="40"/>
  <c r="Q78" i="40" s="1"/>
  <c r="AJ85" i="28"/>
  <c r="AJ84" i="28"/>
  <c r="AP74" i="26"/>
  <c r="C74" i="37"/>
  <c r="C73" i="37"/>
  <c r="P83" i="36"/>
  <c r="Q83" i="36" s="1"/>
  <c r="O84" i="36"/>
  <c r="AN16" i="35"/>
  <c r="AR16" i="35" s="1"/>
  <c r="Z4" i="39"/>
  <c r="AD4" i="39" s="1"/>
  <c r="A89" i="44"/>
  <c r="B88" i="44"/>
  <c r="P79" i="47"/>
  <c r="O80" i="47"/>
  <c r="P80" i="47" s="1"/>
  <c r="G62" i="30"/>
  <c r="K65" i="30"/>
  <c r="K64" i="30"/>
  <c r="C79" i="40"/>
  <c r="C78" i="40"/>
  <c r="AJ10" i="35"/>
  <c r="AL10" i="35"/>
  <c r="AE40" i="48"/>
  <c r="AI39" i="48" s="1"/>
  <c r="AL10" i="30"/>
  <c r="AJ10" i="30"/>
  <c r="Z10" i="26"/>
  <c r="AD10" i="26" s="1"/>
  <c r="AL5" i="31"/>
  <c r="A80" i="45"/>
  <c r="B80" i="45" s="1"/>
  <c r="B79" i="45"/>
  <c r="AL4" i="31"/>
  <c r="AJ79" i="44"/>
  <c r="AJ80" i="44"/>
  <c r="F42" i="47"/>
  <c r="AJ85" i="45"/>
  <c r="AJ84" i="45"/>
  <c r="B92" i="29"/>
  <c r="A93" i="29"/>
  <c r="AJ6" i="40"/>
  <c r="AN5" i="40" s="1"/>
  <c r="AR5" i="40" s="1"/>
  <c r="AL3" i="40"/>
  <c r="AL6" i="40" s="1"/>
  <c r="AN6" i="40" s="1"/>
  <c r="AR6" i="40" s="1"/>
  <c r="AN96" i="59"/>
  <c r="AJ96" i="59"/>
  <c r="AK93" i="59"/>
  <c r="AN95" i="59"/>
  <c r="AJ95" i="59"/>
  <c r="Q69" i="49"/>
  <c r="Q67" i="49"/>
  <c r="AG8" i="61"/>
  <c r="AP8" i="23"/>
  <c r="C6" i="46"/>
  <c r="B8" i="23"/>
  <c r="X62" i="50"/>
  <c r="A80" i="36"/>
  <c r="B80" i="36" s="1"/>
  <c r="B79" i="36"/>
  <c r="B92" i="32"/>
  <c r="A93" i="32"/>
  <c r="B99" i="59"/>
  <c r="A100" i="59"/>
  <c r="P83" i="26"/>
  <c r="Q83" i="26" s="1"/>
  <c r="O84" i="26"/>
  <c r="P15" i="33"/>
  <c r="P16" i="33" s="1"/>
  <c r="M74" i="42"/>
  <c r="I74" i="42"/>
  <c r="M75" i="42"/>
  <c r="I75" i="42"/>
  <c r="G74" i="42"/>
  <c r="AA7" i="24"/>
  <c r="AG7" i="24" s="1"/>
  <c r="AA4" i="21"/>
  <c r="B96" i="35"/>
  <c r="A101" i="35"/>
  <c r="A97" i="35"/>
  <c r="AP69" i="37"/>
  <c r="L27" i="39"/>
  <c r="P26" i="39"/>
  <c r="F47" i="48"/>
  <c r="Q72" i="47"/>
  <c r="Q74" i="47"/>
  <c r="G62" i="48"/>
  <c r="K65" i="48"/>
  <c r="K64" i="48"/>
  <c r="L27" i="44"/>
  <c r="P26" i="44"/>
  <c r="AC89" i="36"/>
  <c r="AD89" i="36" s="1"/>
  <c r="AD88" i="36"/>
  <c r="AC93" i="36"/>
  <c r="P15" i="35"/>
  <c r="P16" i="35" s="1"/>
  <c r="AC84" i="38"/>
  <c r="AD84" i="38" s="1"/>
  <c r="AD83" i="38"/>
  <c r="AC88" i="38"/>
  <c r="X62" i="39"/>
  <c r="O80" i="30"/>
  <c r="P80" i="30" s="1"/>
  <c r="P79" i="30"/>
  <c r="X62" i="46"/>
  <c r="Y70" i="35"/>
  <c r="Y69" i="35"/>
  <c r="P78" i="43"/>
  <c r="Q78" i="43" s="1"/>
  <c r="O79" i="43"/>
  <c r="O92" i="42"/>
  <c r="P91" i="42"/>
  <c r="O96" i="42"/>
  <c r="X22" i="33"/>
  <c r="V22" i="33"/>
  <c r="A85" i="31"/>
  <c r="B85" i="31" s="1"/>
  <c r="B84" i="31"/>
  <c r="O75" i="49"/>
  <c r="P75" i="49" s="1"/>
  <c r="P74" i="49"/>
  <c r="M75" i="32"/>
  <c r="I75" i="32"/>
  <c r="G74" i="32"/>
  <c r="I74" i="32"/>
  <c r="M74" i="32"/>
  <c r="AJ3" i="31"/>
  <c r="AN3" i="31"/>
  <c r="AA75" i="34"/>
  <c r="AO75" i="34" s="1"/>
  <c r="AP75" i="34" s="1"/>
  <c r="W75" i="34"/>
  <c r="AA74" i="34"/>
  <c r="AO74" i="34" s="1"/>
  <c r="W74" i="34"/>
  <c r="AJ6" i="32"/>
  <c r="AN5" i="32" s="1"/>
  <c r="AR5" i="32" s="1"/>
  <c r="AL3" i="32"/>
  <c r="AL6" i="32" s="1"/>
  <c r="AN6" i="32" s="1"/>
  <c r="AR6" i="32" s="1"/>
  <c r="AN10" i="32"/>
  <c r="AR10" i="32" s="1"/>
  <c r="AC93" i="39"/>
  <c r="AC89" i="39"/>
  <c r="AD89" i="39" s="1"/>
  <c r="AD88" i="39"/>
  <c r="A85" i="50"/>
  <c r="B85" i="50" s="1"/>
  <c r="B84" i="50"/>
  <c r="A89" i="34"/>
  <c r="B88" i="34"/>
  <c r="AA75" i="46"/>
  <c r="AO75" i="46" s="1"/>
  <c r="W75" i="46"/>
  <c r="AA74" i="46"/>
  <c r="AO74" i="46" s="1"/>
  <c r="W74" i="46"/>
  <c r="L27" i="40"/>
  <c r="P26" i="40"/>
  <c r="V52" i="50"/>
  <c r="T52" i="50"/>
  <c r="O96" i="41"/>
  <c r="O92" i="41"/>
  <c r="P91" i="41"/>
  <c r="AV5" i="21"/>
  <c r="AG53" i="50"/>
  <c r="A85" i="29"/>
  <c r="B85" i="29" s="1"/>
  <c r="B84" i="29"/>
  <c r="Y70" i="42"/>
  <c r="Y69" i="42"/>
  <c r="AC89" i="34"/>
  <c r="AD89" i="34" s="1"/>
  <c r="AD88" i="34"/>
  <c r="AC93" i="34"/>
  <c r="M78" i="59"/>
  <c r="G77" i="59"/>
  <c r="M77" i="59"/>
  <c r="AL85" i="30"/>
  <c r="AH85" i="30"/>
  <c r="AI82" i="30"/>
  <c r="AL84" i="30"/>
  <c r="AH84" i="30"/>
  <c r="A89" i="35"/>
  <c r="B88" i="35"/>
  <c r="AA75" i="40"/>
  <c r="AO75" i="40" s="1"/>
  <c r="AP75" i="40" s="1"/>
  <c r="W75" i="40"/>
  <c r="AA74" i="40"/>
  <c r="AO74" i="40" s="1"/>
  <c r="W74" i="40"/>
  <c r="U27" i="50"/>
  <c r="S21" i="50"/>
  <c r="AP74" i="35"/>
  <c r="O87" i="39"/>
  <c r="P86" i="39"/>
  <c r="O91" i="39"/>
  <c r="J45" i="50"/>
  <c r="J44" i="50"/>
  <c r="M69" i="30"/>
  <c r="I69" i="30"/>
  <c r="M70" i="30"/>
  <c r="I70" i="30"/>
  <c r="G69" i="30"/>
  <c r="Z4" i="31"/>
  <c r="AD4" i="31" s="1"/>
  <c r="X21" i="31"/>
  <c r="V21" i="31"/>
  <c r="R43" i="48"/>
  <c r="AE44" i="48"/>
  <c r="AG44" i="48" s="1"/>
  <c r="AE48" i="48"/>
  <c r="D44" i="48"/>
  <c r="F44" i="48" s="1"/>
  <c r="H44" i="48" s="1"/>
  <c r="D48" i="48"/>
  <c r="F48" i="48" s="1"/>
  <c r="H48" i="48" s="1"/>
  <c r="X67" i="26"/>
  <c r="P78" i="49"/>
  <c r="Q78" i="49" s="1"/>
  <c r="O79" i="49"/>
  <c r="X4" i="28"/>
  <c r="V4" i="28"/>
  <c r="K69" i="40"/>
  <c r="G67" i="40"/>
  <c r="K70" i="40"/>
  <c r="B96" i="47"/>
  <c r="A101" i="47"/>
  <c r="A97" i="47"/>
  <c r="O83" i="40"/>
  <c r="P82" i="40"/>
  <c r="P15" i="28"/>
  <c r="P16" i="28" s="1"/>
  <c r="AJ105" i="46"/>
  <c r="AJ104" i="46"/>
  <c r="C72" i="49"/>
  <c r="G73" i="49"/>
  <c r="O87" i="27"/>
  <c r="P86" i="27"/>
  <c r="O91" i="27"/>
  <c r="F6" i="23"/>
  <c r="P74" i="37"/>
  <c r="O75" i="37"/>
  <c r="P75" i="37" s="1"/>
  <c r="AL85" i="48"/>
  <c r="AH85" i="48"/>
  <c r="AI82" i="48"/>
  <c r="AL84" i="48"/>
  <c r="AH84" i="48"/>
  <c r="A93" i="44"/>
  <c r="B92" i="44"/>
  <c r="AN10" i="34"/>
  <c r="AR10" i="34" s="1"/>
  <c r="X4" i="34"/>
  <c r="V4" i="34"/>
  <c r="AN10" i="29"/>
  <c r="AR10" i="29" s="1"/>
  <c r="O75" i="31"/>
  <c r="P75" i="31" s="1"/>
  <c r="P74" i="31"/>
  <c r="AI82" i="37"/>
  <c r="AL84" i="37"/>
  <c r="AH84" i="37"/>
  <c r="AL85" i="37"/>
  <c r="AH85" i="37"/>
  <c r="K69" i="28"/>
  <c r="G67" i="28"/>
  <c r="K70" i="28"/>
  <c r="Y65" i="33"/>
  <c r="Y64" i="33"/>
  <c r="A84" i="48"/>
  <c r="B83" i="48"/>
  <c r="Y65" i="34"/>
  <c r="Y64" i="34"/>
  <c r="Y65" i="28"/>
  <c r="Y64" i="28"/>
  <c r="X67" i="41"/>
  <c r="AJ95" i="40"/>
  <c r="AJ94" i="40"/>
  <c r="AJ84" i="49"/>
  <c r="AJ85" i="49"/>
  <c r="V22" i="40"/>
  <c r="X22" i="40"/>
  <c r="P15" i="26"/>
  <c r="P16" i="26" s="1"/>
  <c r="AC89" i="31"/>
  <c r="AD89" i="31" s="1"/>
  <c r="AD88" i="31"/>
  <c r="AC93" i="31"/>
  <c r="AA75" i="27"/>
  <c r="AO75" i="27" s="1"/>
  <c r="W75" i="27"/>
  <c r="AA74" i="27"/>
  <c r="AO74" i="27" s="1"/>
  <c r="W74" i="27"/>
  <c r="P99" i="59"/>
  <c r="O100" i="59"/>
  <c r="AV8" i="24"/>
  <c r="O84" i="41"/>
  <c r="P83" i="41"/>
  <c r="Q83" i="41" s="1"/>
  <c r="P74" i="43"/>
  <c r="O75" i="43"/>
  <c r="P75" i="43" s="1"/>
  <c r="AV4" i="20"/>
  <c r="A93" i="31"/>
  <c r="B92" i="31"/>
  <c r="AL3" i="39"/>
  <c r="AL6" i="39" s="1"/>
  <c r="AN6" i="39" s="1"/>
  <c r="AR6" i="39" s="1"/>
  <c r="AJ6" i="39"/>
  <c r="AN5" i="39" s="1"/>
  <c r="AR5" i="39" s="1"/>
  <c r="L27" i="31"/>
  <c r="P26" i="31"/>
  <c r="AJ80" i="29"/>
  <c r="AJ79" i="29"/>
  <c r="O79" i="28"/>
  <c r="P78" i="28"/>
  <c r="Q78" i="28" s="1"/>
  <c r="X67" i="48"/>
  <c r="AP69" i="28"/>
  <c r="AG8" i="50"/>
  <c r="AP34" i="50"/>
  <c r="AT34" i="50" s="1"/>
  <c r="D5" i="50" s="1"/>
  <c r="AP35" i="50"/>
  <c r="AT35" i="50" s="1"/>
  <c r="E5" i="50" s="1"/>
  <c r="C79" i="42"/>
  <c r="C78" i="42"/>
  <c r="C79" i="50"/>
  <c r="C78" i="50"/>
  <c r="Z5" i="37"/>
  <c r="AD5" i="37" s="1"/>
  <c r="X6" i="37" s="1"/>
  <c r="Y65" i="45"/>
  <c r="Y64" i="45"/>
  <c r="C72" i="50"/>
  <c r="G73" i="50"/>
  <c r="AL85" i="33"/>
  <c r="AH85" i="33"/>
  <c r="AI82" i="33"/>
  <c r="AL84" i="33"/>
  <c r="AH84" i="33"/>
  <c r="V43" i="49"/>
  <c r="T43" i="49"/>
  <c r="X13" i="37"/>
  <c r="X16" i="37" s="1"/>
  <c r="Z16" i="37" s="1"/>
  <c r="AD16" i="37" s="1"/>
  <c r="V16" i="37"/>
  <c r="Z15" i="37" s="1"/>
  <c r="AD15" i="37" s="1"/>
  <c r="V22" i="37"/>
  <c r="X22" i="37"/>
  <c r="Z4" i="40"/>
  <c r="AD4" i="40" s="1"/>
  <c r="P87" i="38"/>
  <c r="O88" i="38"/>
  <c r="Q69" i="31"/>
  <c r="Q67" i="31"/>
  <c r="AP74" i="42"/>
  <c r="K69" i="41"/>
  <c r="G67" i="41"/>
  <c r="K70" i="41"/>
  <c r="B87" i="43"/>
  <c r="A88" i="43"/>
  <c r="AI82" i="28"/>
  <c r="AL84" i="28"/>
  <c r="AH84" i="28"/>
  <c r="AL85" i="28"/>
  <c r="AH85" i="28"/>
  <c r="Q69" i="44"/>
  <c r="Q67" i="44"/>
  <c r="N27" i="41"/>
  <c r="N29" i="41" s="1"/>
  <c r="P28" i="41" s="1"/>
  <c r="L29" i="41"/>
  <c r="P27" i="41" s="1"/>
  <c r="X4" i="39"/>
  <c r="V4" i="39"/>
  <c r="AP74" i="41"/>
  <c r="P26" i="42"/>
  <c r="A80" i="43"/>
  <c r="B80" i="43" s="1"/>
  <c r="B79" i="43"/>
  <c r="AA90" i="59"/>
  <c r="AQ90" i="59" s="1"/>
  <c r="AR90" i="59" s="1"/>
  <c r="AA89" i="59"/>
  <c r="AQ89" i="59" s="1"/>
  <c r="AR89" i="59" s="1"/>
  <c r="O79" i="37"/>
  <c r="P78" i="37"/>
  <c r="Q78" i="37" s="1"/>
  <c r="P83" i="42"/>
  <c r="Q83" i="42" s="1"/>
  <c r="O84" i="42"/>
  <c r="C79" i="47"/>
  <c r="C78" i="47"/>
  <c r="C72" i="31"/>
  <c r="G73" i="31"/>
  <c r="AC84" i="44"/>
  <c r="AD84" i="44" s="1"/>
  <c r="AD83" i="44"/>
  <c r="AC88" i="44"/>
  <c r="P26" i="26"/>
  <c r="L27" i="26"/>
  <c r="K70" i="33"/>
  <c r="K69" i="33"/>
  <c r="G67" i="33"/>
  <c r="O96" i="35"/>
  <c r="O92" i="35"/>
  <c r="P91" i="35"/>
  <c r="G62" i="36"/>
  <c r="K65" i="36"/>
  <c r="K64" i="36"/>
  <c r="P91" i="47"/>
  <c r="O92" i="47"/>
  <c r="O96" i="47"/>
  <c r="AG38" i="47"/>
  <c r="B92" i="49"/>
  <c r="A93" i="49"/>
  <c r="B91" i="46"/>
  <c r="A92" i="46"/>
  <c r="A96" i="46"/>
  <c r="P87" i="29"/>
  <c r="O88" i="29"/>
  <c r="C79" i="33"/>
  <c r="C78" i="33"/>
  <c r="P28" i="36"/>
  <c r="AP69" i="33"/>
  <c r="V4" i="33"/>
  <c r="X4" i="33"/>
  <c r="O84" i="35"/>
  <c r="P83" i="35"/>
  <c r="Q83" i="35" s="1"/>
  <c r="AP74" i="36"/>
  <c r="P86" i="45"/>
  <c r="O91" i="45"/>
  <c r="O87" i="45"/>
  <c r="A84" i="37"/>
  <c r="B83" i="37"/>
  <c r="P15" i="37"/>
  <c r="P16" i="37" s="1"/>
  <c r="N27" i="28"/>
  <c r="L29" i="28"/>
  <c r="P27" i="28" s="1"/>
  <c r="AL79" i="35"/>
  <c r="AH79" i="35"/>
  <c r="AL80" i="35"/>
  <c r="AH80" i="35"/>
  <c r="AI77" i="35"/>
  <c r="AL85" i="42"/>
  <c r="AH85" i="42"/>
  <c r="AI82" i="42"/>
  <c r="AL84" i="42"/>
  <c r="AH84" i="42"/>
  <c r="T22" i="31"/>
  <c r="Z20" i="31"/>
  <c r="P15" i="40"/>
  <c r="P16" i="40" s="1"/>
  <c r="AC93" i="26"/>
  <c r="AC89" i="26"/>
  <c r="AD89" i="26" s="1"/>
  <c r="AD88" i="26"/>
  <c r="X4" i="32"/>
  <c r="V4" i="32"/>
  <c r="AL80" i="44"/>
  <c r="AH80" i="44"/>
  <c r="AI77" i="44"/>
  <c r="AL79" i="44"/>
  <c r="AH79" i="44"/>
  <c r="X13" i="29"/>
  <c r="X16" i="29" s="1"/>
  <c r="Z16" i="29" s="1"/>
  <c r="AD16" i="29" s="1"/>
  <c r="V16" i="29"/>
  <c r="Z15" i="29" s="1"/>
  <c r="AD15" i="29" s="1"/>
  <c r="N28" i="47"/>
  <c r="A85" i="42"/>
  <c r="B85" i="42" s="1"/>
  <c r="B84" i="42"/>
  <c r="K64" i="45"/>
  <c r="G62" i="45"/>
  <c r="K65" i="45"/>
  <c r="AC84" i="41"/>
  <c r="AD84" i="41" s="1"/>
  <c r="AD83" i="41"/>
  <c r="AC88" i="41"/>
  <c r="Z22" i="28"/>
  <c r="AD22" i="28" s="1"/>
  <c r="O88" i="47"/>
  <c r="P87" i="47"/>
  <c r="A85" i="33"/>
  <c r="B85" i="33" s="1"/>
  <c r="B84" i="33"/>
  <c r="H52" i="48"/>
  <c r="X13" i="30"/>
  <c r="X16" i="30" s="1"/>
  <c r="Z16" i="30" s="1"/>
  <c r="AD16" i="30" s="1"/>
  <c r="V16" i="30"/>
  <c r="Z15" i="30" s="1"/>
  <c r="AD15" i="30" s="1"/>
  <c r="V37" i="47"/>
  <c r="T37" i="47"/>
  <c r="V33" i="47"/>
  <c r="T33" i="47"/>
  <c r="AI82" i="45"/>
  <c r="AL84" i="45"/>
  <c r="AH84" i="45"/>
  <c r="AL85" i="45"/>
  <c r="AH85" i="45"/>
  <c r="A80" i="39"/>
  <c r="B80" i="39" s="1"/>
  <c r="B79" i="39"/>
  <c r="F4" i="21"/>
  <c r="A89" i="31"/>
  <c r="B88" i="31"/>
  <c r="Z28" i="38"/>
  <c r="AD28" i="38" s="1"/>
  <c r="A101" i="49"/>
  <c r="B96" i="49"/>
  <c r="A97" i="49"/>
  <c r="L27" i="30"/>
  <c r="P26" i="30"/>
  <c r="B87" i="46"/>
  <c r="A88" i="46"/>
  <c r="B87" i="37"/>
  <c r="A88" i="37"/>
  <c r="K71" i="59"/>
  <c r="K72" i="59"/>
  <c r="I71" i="59"/>
  <c r="I72" i="59"/>
  <c r="G69" i="59"/>
  <c r="O96" i="29"/>
  <c r="O92" i="29"/>
  <c r="P91" i="29"/>
  <c r="Y90" i="32"/>
  <c r="Y89" i="32"/>
  <c r="K70" i="31"/>
  <c r="K69" i="31"/>
  <c r="G67" i="31"/>
  <c r="P78" i="39"/>
  <c r="Q78" i="39" s="1"/>
  <c r="O79" i="39"/>
  <c r="N28" i="40"/>
  <c r="B91" i="39"/>
  <c r="A96" i="39"/>
  <c r="A92" i="39"/>
  <c r="O80" i="42"/>
  <c r="P80" i="42" s="1"/>
  <c r="P79" i="42"/>
  <c r="Z10" i="38"/>
  <c r="AD10" i="38" s="1"/>
  <c r="AA5" i="22"/>
  <c r="AG5" i="22" s="1"/>
  <c r="B96" i="29"/>
  <c r="A101" i="29"/>
  <c r="A97" i="29"/>
  <c r="O83" i="49"/>
  <c r="P82" i="49"/>
  <c r="M75" i="34"/>
  <c r="I75" i="34"/>
  <c r="G74" i="34"/>
  <c r="M74" i="34"/>
  <c r="I74" i="34"/>
  <c r="P83" i="48"/>
  <c r="Q83" i="48" s="1"/>
  <c r="O84" i="48"/>
  <c r="L29" i="36"/>
  <c r="P27" i="36" s="1"/>
  <c r="N27" i="36"/>
  <c r="A93" i="27"/>
  <c r="B92" i="27"/>
  <c r="O84" i="38"/>
  <c r="P83" i="38"/>
  <c r="Q83" i="38" s="1"/>
  <c r="AC106" i="59"/>
  <c r="AC101" i="59"/>
  <c r="AD101" i="59" s="1"/>
  <c r="AD100" i="59"/>
  <c r="A84" i="43"/>
  <c r="B83" i="43"/>
  <c r="Z22" i="26"/>
  <c r="AD22" i="26" s="1"/>
  <c r="O92" i="36"/>
  <c r="O96" i="36"/>
  <c r="P91" i="36"/>
  <c r="P78" i="27"/>
  <c r="Q78" i="27" s="1"/>
  <c r="O79" i="27"/>
  <c r="C79" i="34"/>
  <c r="C78" i="34"/>
  <c r="H7" i="23"/>
  <c r="I7" i="23" s="1"/>
  <c r="D7" i="23"/>
  <c r="F7" i="23" s="1"/>
  <c r="G7" i="23" s="1"/>
  <c r="Y65" i="50"/>
  <c r="Y64" i="50"/>
  <c r="P74" i="50"/>
  <c r="O75" i="50"/>
  <c r="P75" i="50" s="1"/>
  <c r="G62" i="39"/>
  <c r="K65" i="39"/>
  <c r="K64" i="39"/>
  <c r="AI82" i="50"/>
  <c r="AL84" i="50"/>
  <c r="AH84" i="50"/>
  <c r="AL85" i="50"/>
  <c r="AH85" i="50"/>
  <c r="C72" i="27"/>
  <c r="G73" i="27"/>
  <c r="Q72" i="29"/>
  <c r="Q74" i="29"/>
  <c r="Z4" i="26"/>
  <c r="AD4" i="26" s="1"/>
  <c r="P28" i="34"/>
  <c r="AC89" i="27"/>
  <c r="AD89" i="27" s="1"/>
  <c r="AD88" i="27"/>
  <c r="AC93" i="27"/>
  <c r="AN10" i="31"/>
  <c r="AR10" i="31" s="1"/>
  <c r="O79" i="50"/>
  <c r="P78" i="50"/>
  <c r="Q78" i="50" s="1"/>
  <c r="V16" i="33"/>
  <c r="Z15" i="33" s="1"/>
  <c r="AD15" i="33" s="1"/>
  <c r="X13" i="33"/>
  <c r="X16" i="33" s="1"/>
  <c r="Z16" i="33" s="1"/>
  <c r="AD16" i="33" s="1"/>
  <c r="C78" i="41"/>
  <c r="C79" i="41"/>
  <c r="P78" i="33"/>
  <c r="Q78" i="33" s="1"/>
  <c r="O79" i="33"/>
  <c r="B92" i="34"/>
  <c r="A93" i="34"/>
  <c r="Y65" i="40"/>
  <c r="Y64" i="40"/>
  <c r="L27" i="38"/>
  <c r="P26" i="38"/>
  <c r="K70" i="27"/>
  <c r="K69" i="27"/>
  <c r="G67" i="27"/>
  <c r="G68" i="48"/>
  <c r="C67" i="48"/>
  <c r="A84" i="36"/>
  <c r="B83" i="36"/>
  <c r="C73" i="36"/>
  <c r="C74" i="36"/>
  <c r="AN15" i="31"/>
  <c r="AR15" i="31" s="1"/>
  <c r="A89" i="49"/>
  <c r="B88" i="49"/>
  <c r="Z28" i="34"/>
  <c r="AD28" i="34" s="1"/>
  <c r="A89" i="50"/>
  <c r="B88" i="50"/>
  <c r="O84" i="29"/>
  <c r="P83" i="29"/>
  <c r="Q83" i="29" s="1"/>
  <c r="V16" i="32"/>
  <c r="Z15" i="32" s="1"/>
  <c r="AD15" i="32" s="1"/>
  <c r="X13" i="32"/>
  <c r="X16" i="32" s="1"/>
  <c r="Z16" i="32" s="1"/>
  <c r="AD16" i="32" s="1"/>
  <c r="Z5" i="36"/>
  <c r="AD5" i="36" s="1"/>
  <c r="X7" i="36" s="1"/>
  <c r="L16" i="50"/>
  <c r="O92" i="30"/>
  <c r="P91" i="30"/>
  <c r="O96" i="30"/>
  <c r="B87" i="30"/>
  <c r="A88" i="30"/>
  <c r="AG6" i="24"/>
  <c r="AL3" i="30"/>
  <c r="AL6" i="30" s="1"/>
  <c r="AN6" i="30" s="1"/>
  <c r="AR6" i="30" s="1"/>
  <c r="AJ6" i="30"/>
  <c r="AN5" i="30" s="1"/>
  <c r="AR5" i="30" s="1"/>
  <c r="O87" i="31"/>
  <c r="P86" i="31"/>
  <c r="O91" i="31"/>
  <c r="AN10" i="33"/>
  <c r="AR10" i="33" s="1"/>
  <c r="AC93" i="42"/>
  <c r="AC89" i="42"/>
  <c r="AD89" i="42" s="1"/>
  <c r="AD88" i="42"/>
  <c r="Y70" i="29"/>
  <c r="Y69" i="29"/>
  <c r="Z27" i="31"/>
  <c r="AD27" i="31" s="1"/>
  <c r="A89" i="29"/>
  <c r="B88" i="29"/>
  <c r="Y65" i="31"/>
  <c r="Y64" i="31"/>
  <c r="X22" i="39"/>
  <c r="V22" i="39"/>
  <c r="X62" i="43"/>
  <c r="C74" i="48"/>
  <c r="C73" i="48"/>
  <c r="A89" i="27"/>
  <c r="B88" i="27"/>
  <c r="A85" i="35"/>
  <c r="B85" i="35" s="1"/>
  <c r="B84" i="35"/>
  <c r="Q92" i="32"/>
  <c r="Q94" i="32"/>
  <c r="B92" i="38"/>
  <c r="A93" i="38"/>
  <c r="V42" i="48"/>
  <c r="T42" i="48"/>
  <c r="AG43" i="48"/>
  <c r="C74" i="26"/>
  <c r="C73" i="26"/>
  <c r="Z28" i="33"/>
  <c r="AD28" i="33" s="1"/>
  <c r="C74" i="46"/>
  <c r="C73" i="46"/>
  <c r="C79" i="28"/>
  <c r="C78" i="28"/>
  <c r="O75" i="44"/>
  <c r="P75" i="44" s="1"/>
  <c r="P74" i="44"/>
  <c r="Z4" i="30"/>
  <c r="AD4" i="30" s="1"/>
  <c r="AJ84" i="36"/>
  <c r="AJ85" i="36"/>
  <c r="AJ80" i="38"/>
  <c r="AJ79" i="38"/>
  <c r="AA80" i="30"/>
  <c r="AO80" i="30" s="1"/>
  <c r="AP80" i="30" s="1"/>
  <c r="W80" i="30"/>
  <c r="AA79" i="30"/>
  <c r="AO79" i="30" s="1"/>
  <c r="W79" i="30"/>
  <c r="AL3" i="36"/>
  <c r="AL6" i="36" s="1"/>
  <c r="AN6" i="36" s="1"/>
  <c r="AR6" i="36" s="1"/>
  <c r="AJ6" i="36"/>
  <c r="AN5" i="36" s="1"/>
  <c r="AR5" i="36" s="1"/>
  <c r="Z10" i="35"/>
  <c r="AD10" i="35" s="1"/>
  <c r="AI35" i="48"/>
  <c r="AM35" i="48" s="1"/>
  <c r="AS35" i="48" s="1"/>
  <c r="Y65" i="46"/>
  <c r="Y64" i="46"/>
  <c r="B87" i="48"/>
  <c r="A88" i="48"/>
  <c r="AA75" i="49"/>
  <c r="AO75" i="49" s="1"/>
  <c r="W75" i="49"/>
  <c r="AA74" i="49"/>
  <c r="AO74" i="49" s="1"/>
  <c r="W74" i="49"/>
  <c r="AN16" i="30"/>
  <c r="AR16" i="30" s="1"/>
  <c r="P74" i="34"/>
  <c r="O75" i="34"/>
  <c r="P75" i="34" s="1"/>
  <c r="AA75" i="28"/>
  <c r="AO75" i="28" s="1"/>
  <c r="AP75" i="28" s="1"/>
  <c r="W75" i="28"/>
  <c r="AA74" i="28"/>
  <c r="AO74" i="28" s="1"/>
  <c r="AP74" i="28" s="1"/>
  <c r="W74" i="28"/>
  <c r="AJ10" i="32"/>
  <c r="AL10" i="32"/>
  <c r="Z23" i="36"/>
  <c r="AD23" i="36" s="1"/>
  <c r="X25" i="36" s="1"/>
  <c r="X62" i="37"/>
  <c r="O79" i="45"/>
  <c r="P78" i="45"/>
  <c r="Q78" i="45" s="1"/>
  <c r="P15" i="30"/>
  <c r="P16" i="30" s="1"/>
  <c r="P74" i="46"/>
  <c r="O75" i="46"/>
  <c r="P75" i="46" s="1"/>
  <c r="G62" i="43"/>
  <c r="K64" i="43"/>
  <c r="K65" i="43"/>
  <c r="Q67" i="46"/>
  <c r="Q69" i="46"/>
  <c r="AI6" i="61"/>
  <c r="B6" i="21"/>
  <c r="AP6" i="21"/>
  <c r="Y5" i="21" s="1"/>
  <c r="C8" i="48"/>
  <c r="T48" i="50"/>
  <c r="V48" i="50"/>
  <c r="Z28" i="28"/>
  <c r="AD28" i="28" s="1"/>
  <c r="X67" i="42"/>
  <c r="AJ85" i="34"/>
  <c r="AJ84" i="34"/>
  <c r="W100" i="32"/>
  <c r="AA99" i="32"/>
  <c r="AO99" i="32" s="1"/>
  <c r="AP99" i="32" s="1"/>
  <c r="W99" i="32"/>
  <c r="AA100" i="32"/>
  <c r="AO100" i="32" s="1"/>
  <c r="AP100" i="32" s="1"/>
  <c r="AC93" i="30"/>
  <c r="AC89" i="30"/>
  <c r="AD89" i="30" s="1"/>
  <c r="AD88" i="30"/>
  <c r="A85" i="27"/>
  <c r="B85" i="27" s="1"/>
  <c r="B84" i="27"/>
  <c r="P74" i="40"/>
  <c r="O75" i="40"/>
  <c r="P75" i="40" s="1"/>
  <c r="AO15" i="50"/>
  <c r="AO16" i="50"/>
  <c r="A93" i="33"/>
  <c r="B92" i="33"/>
  <c r="V4" i="31"/>
  <c r="X4" i="31"/>
  <c r="AH7" i="61"/>
  <c r="B7" i="22"/>
  <c r="AP7" i="22"/>
  <c r="Y6" i="22" s="1"/>
  <c r="C7" i="47"/>
  <c r="Y70" i="26"/>
  <c r="Y69" i="26"/>
  <c r="Q69" i="27"/>
  <c r="Q67" i="27"/>
  <c r="P87" i="48"/>
  <c r="O88" i="48"/>
  <c r="Z4" i="35"/>
  <c r="AD4" i="35" s="1"/>
  <c r="AN10" i="36"/>
  <c r="AR10" i="36" s="1"/>
  <c r="AJ6" i="29"/>
  <c r="AN5" i="29" s="1"/>
  <c r="AR5" i="29" s="1"/>
  <c r="AL3" i="29"/>
  <c r="AL6" i="29" s="1"/>
  <c r="AN6" i="29" s="1"/>
  <c r="AR6" i="29" s="1"/>
  <c r="AA80" i="35"/>
  <c r="AO80" i="35" s="1"/>
  <c r="AP80" i="35" s="1"/>
  <c r="W80" i="35"/>
  <c r="AA79" i="35"/>
  <c r="AO79" i="35" s="1"/>
  <c r="AP79" i="35" s="1"/>
  <c r="W79" i="35"/>
  <c r="P86" i="40"/>
  <c r="O91" i="40"/>
  <c r="O87" i="40"/>
  <c r="C67" i="37"/>
  <c r="G68" i="37"/>
  <c r="Z10" i="29"/>
  <c r="AD10" i="29" s="1"/>
  <c r="AI102" i="46"/>
  <c r="AL104" i="46"/>
  <c r="AH104" i="46"/>
  <c r="AH105" i="46"/>
  <c r="AL105" i="46"/>
  <c r="M74" i="49"/>
  <c r="I74" i="49"/>
  <c r="M75" i="49"/>
  <c r="I75" i="49"/>
  <c r="G74" i="49"/>
  <c r="Q67" i="43"/>
  <c r="Q69" i="43"/>
  <c r="AC93" i="48"/>
  <c r="AC89" i="48"/>
  <c r="AD89" i="48" s="1"/>
  <c r="AD88" i="48"/>
  <c r="A101" i="44"/>
  <c r="A97" i="44"/>
  <c r="B96" i="44"/>
  <c r="AL10" i="34"/>
  <c r="AJ10" i="34"/>
  <c r="C72" i="28"/>
  <c r="G73" i="28"/>
  <c r="Z22" i="38"/>
  <c r="AD22" i="38" s="1"/>
  <c r="O75" i="39"/>
  <c r="P75" i="39" s="1"/>
  <c r="P74" i="39"/>
  <c r="K69" i="35"/>
  <c r="G67" i="35"/>
  <c r="K70" i="35"/>
  <c r="AJ10" i="29"/>
  <c r="AL10" i="29"/>
  <c r="AJ85" i="32"/>
  <c r="AJ84" i="32"/>
  <c r="H38" i="48"/>
  <c r="H40" i="48" s="1"/>
  <c r="F40" i="48"/>
  <c r="O83" i="37"/>
  <c r="P82" i="37"/>
  <c r="AA75" i="31"/>
  <c r="AO75" i="31" s="1"/>
  <c r="AP75" i="31" s="1"/>
  <c r="W75" i="31"/>
  <c r="AA74" i="31"/>
  <c r="AO74" i="31" s="1"/>
  <c r="W74" i="31"/>
  <c r="X62" i="33"/>
  <c r="M75" i="29"/>
  <c r="I75" i="29"/>
  <c r="G74" i="29"/>
  <c r="M74" i="29"/>
  <c r="I74" i="29"/>
  <c r="O92" i="26"/>
  <c r="P91" i="26"/>
  <c r="O96" i="26"/>
  <c r="Y70" i="41"/>
  <c r="Y69" i="41"/>
  <c r="O83" i="33"/>
  <c r="P82" i="33"/>
  <c r="Z22" i="32"/>
  <c r="AD22" i="32" s="1"/>
  <c r="AI92" i="40"/>
  <c r="AL94" i="40"/>
  <c r="AH94" i="40"/>
  <c r="AL95" i="40"/>
  <c r="AH95" i="40"/>
  <c r="AP69" i="34"/>
  <c r="AJ6" i="33"/>
  <c r="AN5" i="33" s="1"/>
  <c r="AR5" i="33" s="1"/>
  <c r="AL3" i="33"/>
  <c r="AL6" i="33" s="1"/>
  <c r="AN6" i="33" s="1"/>
  <c r="AR6" i="33" s="1"/>
  <c r="AL85" i="49"/>
  <c r="AI82" i="49"/>
  <c r="AL84" i="49"/>
  <c r="AH84" i="49"/>
  <c r="AH85" i="49"/>
  <c r="Z22" i="40"/>
  <c r="AD22" i="40" s="1"/>
  <c r="AN16" i="37"/>
  <c r="AR16" i="37" s="1"/>
  <c r="AJ84" i="31"/>
  <c r="AJ85" i="31"/>
  <c r="O110" i="59"/>
  <c r="O105" i="59"/>
  <c r="P104" i="59"/>
  <c r="D38" i="46"/>
  <c r="AE38" i="46"/>
  <c r="AE34" i="46"/>
  <c r="R37" i="46"/>
  <c r="R33" i="46"/>
  <c r="D42" i="46"/>
  <c r="W75" i="43"/>
  <c r="AA74" i="43"/>
  <c r="AO74" i="43" s="1"/>
  <c r="AP74" i="43" s="1"/>
  <c r="AA75" i="43"/>
  <c r="AO75" i="43" s="1"/>
  <c r="AP75" i="43" s="1"/>
  <c r="W74" i="43"/>
  <c r="AK4" i="61"/>
  <c r="AL3" i="61"/>
  <c r="B4" i="53"/>
  <c r="AP4" i="19"/>
  <c r="AP4" i="53"/>
  <c r="C10" i="50"/>
  <c r="D67" i="50" s="1"/>
  <c r="B4" i="19"/>
  <c r="A101" i="31"/>
  <c r="A97" i="31"/>
  <c r="B96" i="31"/>
  <c r="Z28" i="26"/>
  <c r="AD28" i="26" s="1"/>
  <c r="Y78" i="59"/>
  <c r="Y77" i="59"/>
  <c r="W78" i="59"/>
  <c r="W77" i="59"/>
  <c r="AL79" i="29"/>
  <c r="AH79" i="29"/>
  <c r="AL80" i="29"/>
  <c r="AH80" i="29"/>
  <c r="AI77" i="29"/>
  <c r="B87" i="45"/>
  <c r="A88" i="45"/>
  <c r="P78" i="44"/>
  <c r="Q78" i="44" s="1"/>
  <c r="O79" i="44"/>
  <c r="A84" i="46"/>
  <c r="B83" i="46"/>
  <c r="L27" i="47"/>
  <c r="P26" i="47"/>
  <c r="Q67" i="40"/>
  <c r="Q69" i="40"/>
  <c r="I22" i="50"/>
  <c r="I15" i="50"/>
  <c r="P83" i="30"/>
  <c r="Q83" i="30" s="1"/>
  <c r="O84" i="30"/>
  <c r="K69" i="29"/>
  <c r="G67" i="29"/>
  <c r="K70" i="29"/>
  <c r="M75" i="50"/>
  <c r="I75" i="50"/>
  <c r="G74" i="50"/>
  <c r="M74" i="50"/>
  <c r="I74" i="50"/>
  <c r="G68" i="36"/>
  <c r="C67" i="36"/>
  <c r="C67" i="45"/>
  <c r="G68" i="45"/>
  <c r="O80" i="26"/>
  <c r="P80" i="26" s="1"/>
  <c r="P79" i="26"/>
  <c r="O96" i="38"/>
  <c r="O92" i="38"/>
  <c r="P91" i="38"/>
  <c r="J47" i="50"/>
  <c r="C74" i="43"/>
  <c r="C73" i="43"/>
  <c r="B91" i="43"/>
  <c r="A96" i="43"/>
  <c r="A92" i="43"/>
  <c r="Y6" i="23"/>
  <c r="X5" i="23" s="1"/>
  <c r="Z22" i="30"/>
  <c r="AD22" i="30" s="1"/>
  <c r="Z4" i="38"/>
  <c r="AD4" i="38" s="1"/>
  <c r="AP69" i="39"/>
  <c r="Q74" i="30"/>
  <c r="Q72" i="30"/>
  <c r="N27" i="42"/>
  <c r="N29" i="42" s="1"/>
  <c r="L29" i="42"/>
  <c r="AF4" i="23"/>
  <c r="O80" i="36"/>
  <c r="P80" i="36" s="1"/>
  <c r="P79" i="36"/>
  <c r="O90" i="59"/>
  <c r="P90" i="59" s="1"/>
  <c r="P89" i="59"/>
  <c r="AN16" i="40"/>
  <c r="AR16" i="40" s="1"/>
  <c r="Z10" i="40"/>
  <c r="AD10" i="40" s="1"/>
  <c r="O83" i="50"/>
  <c r="P82" i="50"/>
  <c r="L29" i="33"/>
  <c r="N27" i="33"/>
  <c r="A85" i="41"/>
  <c r="B85" i="41" s="1"/>
  <c r="B84" i="41"/>
  <c r="M74" i="31"/>
  <c r="I74" i="31"/>
  <c r="M75" i="31"/>
  <c r="I75" i="31"/>
  <c r="G74" i="31"/>
  <c r="C79" i="44"/>
  <c r="C78" i="44"/>
  <c r="A95" i="59"/>
  <c r="B94" i="59"/>
  <c r="K69" i="34"/>
  <c r="G67" i="34"/>
  <c r="K70" i="34"/>
  <c r="A80" i="46"/>
  <c r="B80" i="46" s="1"/>
  <c r="B79" i="46"/>
  <c r="H43" i="49"/>
  <c r="H45" i="49" s="1"/>
  <c r="J45" i="49" s="1"/>
  <c r="F45" i="49"/>
  <c r="J44" i="49" s="1"/>
  <c r="X4" i="29"/>
  <c r="V4" i="29"/>
  <c r="X87" i="32"/>
  <c r="O79" i="46"/>
  <c r="P78" i="46"/>
  <c r="Q78" i="46" s="1"/>
  <c r="B87" i="39"/>
  <c r="A88" i="39"/>
  <c r="P15" i="34"/>
  <c r="P16" i="34" s="1"/>
  <c r="P86" i="49"/>
  <c r="O91" i="49"/>
  <c r="O87" i="49"/>
  <c r="C72" i="34"/>
  <c r="G73" i="34"/>
  <c r="Z16" i="35"/>
  <c r="AD16" i="35" s="1"/>
  <c r="AA75" i="50"/>
  <c r="AO75" i="50" s="1"/>
  <c r="W75" i="50"/>
  <c r="AA74" i="50"/>
  <c r="AO74" i="50" s="1"/>
  <c r="W74" i="50"/>
  <c r="Q69" i="39"/>
  <c r="Q67" i="39"/>
  <c r="AC88" i="47"/>
  <c r="AC84" i="47"/>
  <c r="AD84" i="47" s="1"/>
  <c r="AD83" i="47"/>
  <c r="AJ85" i="50"/>
  <c r="AJ84" i="50"/>
  <c r="A85" i="34"/>
  <c r="B85" i="34" s="1"/>
  <c r="B84" i="34"/>
  <c r="G62" i="26"/>
  <c r="K64" i="26"/>
  <c r="K65" i="26"/>
  <c r="AL10" i="31"/>
  <c r="AJ10" i="31"/>
  <c r="X62" i="40"/>
  <c r="A80" i="30"/>
  <c r="B80" i="30" s="1"/>
  <c r="B79" i="30"/>
  <c r="V13" i="31"/>
  <c r="Z13" i="31"/>
  <c r="AN5" i="38"/>
  <c r="AR5" i="38" s="1"/>
  <c r="O83" i="44"/>
  <c r="P82" i="44"/>
  <c r="B84" i="47"/>
  <c r="A85" i="47"/>
  <c r="B85" i="47" s="1"/>
  <c r="X67" i="36"/>
  <c r="AL10" i="33"/>
  <c r="AJ10" i="33"/>
  <c r="X67" i="29"/>
  <c r="Z22" i="39"/>
  <c r="AD22" i="39" s="1"/>
  <c r="AL12" i="37"/>
  <c r="AN16" i="39"/>
  <c r="AR16" i="39" s="1"/>
  <c r="C74" i="45"/>
  <c r="C73" i="45"/>
  <c r="AJ80" i="41"/>
  <c r="AJ79" i="41"/>
  <c r="V22" i="28"/>
  <c r="X22" i="28"/>
  <c r="C78" i="35"/>
  <c r="C79" i="35"/>
  <c r="A88" i="36"/>
  <c r="B87" i="36"/>
  <c r="F38" i="47"/>
  <c r="C72" i="47"/>
  <c r="G73" i="47"/>
  <c r="X15" i="31"/>
  <c r="X13" i="40"/>
  <c r="X16" i="40" s="1"/>
  <c r="Z16" i="40" s="1"/>
  <c r="AD16" i="40" s="1"/>
  <c r="V16" i="40"/>
  <c r="Z15" i="40" s="1"/>
  <c r="AD15" i="40" s="1"/>
  <c r="O79" i="34"/>
  <c r="P78" i="34"/>
  <c r="Q78" i="34" s="1"/>
  <c r="B91" i="37"/>
  <c r="A96" i="37"/>
  <c r="A92" i="37"/>
  <c r="B92" i="42"/>
  <c r="A93" i="42"/>
  <c r="B92" i="50"/>
  <c r="A93" i="50"/>
  <c r="C79" i="32"/>
  <c r="C78" i="32"/>
  <c r="X13" i="26"/>
  <c r="X16" i="26" s="1"/>
  <c r="Z16" i="26" s="1"/>
  <c r="AD16" i="26" s="1"/>
  <c r="V16" i="26"/>
  <c r="Z15" i="26" s="1"/>
  <c r="AD15" i="26" s="1"/>
  <c r="Q83" i="59"/>
  <c r="Q81" i="59"/>
  <c r="AA80" i="42"/>
  <c r="AO80" i="42" s="1"/>
  <c r="AP80" i="42" s="1"/>
  <c r="W80" i="42"/>
  <c r="AA79" i="42"/>
  <c r="AO79" i="42" s="1"/>
  <c r="AP79" i="42" s="1"/>
  <c r="W79" i="42"/>
  <c r="X67" i="47"/>
  <c r="P107" i="32"/>
  <c r="O108" i="32"/>
  <c r="A101" i="27"/>
  <c r="A97" i="27"/>
  <c r="B96" i="27"/>
  <c r="A85" i="40"/>
  <c r="B85" i="40" s="1"/>
  <c r="B84" i="40"/>
  <c r="V22" i="26"/>
  <c r="X22" i="26"/>
  <c r="P87" i="36"/>
  <c r="O88" i="36"/>
  <c r="D43" i="47"/>
  <c r="F43" i="47" s="1"/>
  <c r="H43" i="47" s="1"/>
  <c r="D39" i="47"/>
  <c r="F39" i="47" s="1"/>
  <c r="H39" i="47" s="1"/>
  <c r="AE39" i="47"/>
  <c r="AG39" i="47" s="1"/>
  <c r="AE43" i="47"/>
  <c r="R38" i="47"/>
  <c r="R34" i="47"/>
  <c r="R42" i="47"/>
  <c r="D47" i="47"/>
  <c r="AL3" i="26"/>
  <c r="AL6" i="26" s="1"/>
  <c r="AN6" i="26" s="1"/>
  <c r="AR6" i="26" s="1"/>
  <c r="AJ6" i="26"/>
  <c r="AN5" i="26" s="1"/>
  <c r="AR5" i="26" s="1"/>
  <c r="C67" i="46"/>
  <c r="G68" i="46"/>
  <c r="AL79" i="47"/>
  <c r="AI77" i="47"/>
  <c r="AH80" i="47"/>
  <c r="AL80" i="47"/>
  <c r="AH79" i="47"/>
  <c r="AJ6" i="34"/>
  <c r="AN5" i="34" s="1"/>
  <c r="AR5" i="34" s="1"/>
  <c r="AL3" i="34"/>
  <c r="AL6" i="34" s="1"/>
  <c r="AN6" i="34" s="1"/>
  <c r="AR6" i="34" s="1"/>
  <c r="M74" i="27"/>
  <c r="I74" i="27"/>
  <c r="M75" i="27"/>
  <c r="I75" i="27"/>
  <c r="G74" i="27"/>
  <c r="X4" i="26"/>
  <c r="V4" i="26"/>
  <c r="G67" i="42"/>
  <c r="K70" i="42"/>
  <c r="K69" i="42"/>
  <c r="N27" i="34"/>
  <c r="L29" i="34"/>
  <c r="P27" i="34" s="1"/>
  <c r="Z22" i="34"/>
  <c r="AD22" i="34" s="1"/>
  <c r="AJ84" i="27"/>
  <c r="AJ85" i="27"/>
  <c r="C72" i="33"/>
  <c r="G73" i="33"/>
  <c r="B96" i="34"/>
  <c r="A101" i="34"/>
  <c r="A97" i="34"/>
  <c r="O95" i="59"/>
  <c r="P94" i="59"/>
  <c r="Q94" i="59" s="1"/>
  <c r="M69" i="48"/>
  <c r="I69" i="48"/>
  <c r="M70" i="48"/>
  <c r="I70" i="48"/>
  <c r="G69" i="48"/>
  <c r="C78" i="29"/>
  <c r="C79" i="29"/>
  <c r="M75" i="35"/>
  <c r="I75" i="35"/>
  <c r="G74" i="35"/>
  <c r="M74" i="35"/>
  <c r="I74" i="35"/>
  <c r="AN10" i="38"/>
  <c r="AR10" i="38" s="1"/>
  <c r="O87" i="44"/>
  <c r="P86" i="44"/>
  <c r="O91" i="44"/>
  <c r="B92" i="40"/>
  <c r="A93" i="40"/>
  <c r="AA80" i="38"/>
  <c r="AO80" i="38" s="1"/>
  <c r="AP80" i="38" s="1"/>
  <c r="W80" i="38"/>
  <c r="AA79" i="38"/>
  <c r="AO79" i="38" s="1"/>
  <c r="W79" i="38"/>
  <c r="C79" i="49"/>
  <c r="C78" i="49"/>
  <c r="P15" i="36"/>
  <c r="P16" i="36" s="1"/>
  <c r="C72" i="40"/>
  <c r="G73" i="40"/>
  <c r="AG5" i="50"/>
  <c r="AG4" i="50"/>
  <c r="AG3" i="50"/>
  <c r="AA28" i="50"/>
  <c r="AA27" i="50"/>
  <c r="I27" i="50"/>
  <c r="I28" i="50"/>
  <c r="B91" i="30"/>
  <c r="A96" i="30"/>
  <c r="A92" i="30"/>
  <c r="X6" i="24"/>
  <c r="AC84" i="35"/>
  <c r="AD84" i="35" s="1"/>
  <c r="AD83" i="35"/>
  <c r="AC88" i="35"/>
  <c r="A84" i="39"/>
  <c r="B83" i="39"/>
  <c r="X62" i="31"/>
  <c r="L27" i="29"/>
  <c r="P26" i="29"/>
  <c r="A85" i="49"/>
  <c r="B85" i="49" s="1"/>
  <c r="B84" i="49"/>
  <c r="O104" i="32"/>
  <c r="P103" i="32"/>
  <c r="Q103" i="32" s="1"/>
  <c r="Y65" i="43"/>
  <c r="Y64" i="43"/>
  <c r="P28" i="35"/>
  <c r="P15" i="31"/>
  <c r="P16" i="31" s="1"/>
  <c r="Y70" i="30"/>
  <c r="Y69" i="30"/>
  <c r="O75" i="33"/>
  <c r="P75" i="33" s="1"/>
  <c r="P74" i="33"/>
  <c r="AJ84" i="26"/>
  <c r="AJ85" i="26"/>
  <c r="B96" i="38"/>
  <c r="A101" i="38"/>
  <c r="A97" i="38"/>
  <c r="B87" i="26"/>
  <c r="A88" i="26"/>
  <c r="Q74" i="48"/>
  <c r="Q72" i="48"/>
  <c r="V34" i="48"/>
  <c r="V35" i="48" s="1"/>
  <c r="X35" i="48" s="1"/>
  <c r="AB35" i="48" s="1"/>
  <c r="T34" i="48"/>
  <c r="T35" i="48" s="1"/>
  <c r="X34" i="48" s="1"/>
  <c r="AB34" i="48" s="1"/>
  <c r="X13" i="36"/>
  <c r="X16" i="36" s="1"/>
  <c r="Z16" i="36" s="1"/>
  <c r="AD16" i="36" s="1"/>
  <c r="V16" i="36"/>
  <c r="Z15" i="36" s="1"/>
  <c r="AD15" i="36" s="1"/>
  <c r="Y65" i="44"/>
  <c r="Y64" i="44"/>
  <c r="Q69" i="33"/>
  <c r="Q67" i="33"/>
  <c r="V57" i="50"/>
  <c r="T57" i="50"/>
  <c r="AA75" i="44"/>
  <c r="AO75" i="44" s="1"/>
  <c r="W75" i="44"/>
  <c r="AA74" i="44"/>
  <c r="AO74" i="44" s="1"/>
  <c r="W74" i="44"/>
  <c r="X4" i="30"/>
  <c r="V4" i="30"/>
  <c r="AL85" i="36"/>
  <c r="AH85" i="36"/>
  <c r="AL84" i="36"/>
  <c r="AH84" i="36"/>
  <c r="AI82" i="36"/>
  <c r="AP74" i="29"/>
  <c r="P28" i="32"/>
  <c r="AL79" i="38"/>
  <c r="AH79" i="38"/>
  <c r="AL80" i="38"/>
  <c r="AH80" i="38"/>
  <c r="AI77" i="38"/>
  <c r="A85" i="28"/>
  <c r="B85" i="28" s="1"/>
  <c r="B84" i="28"/>
  <c r="AA80" i="41"/>
  <c r="AO80" i="41" s="1"/>
  <c r="AP80" i="41" s="1"/>
  <c r="W80" i="41"/>
  <c r="AA79" i="41"/>
  <c r="AO79" i="41" s="1"/>
  <c r="W79" i="41"/>
  <c r="P87" i="42"/>
  <c r="O88" i="42"/>
  <c r="B91" i="48"/>
  <c r="A96" i="48"/>
  <c r="A92" i="48"/>
  <c r="O80" i="48"/>
  <c r="P80" i="48" s="1"/>
  <c r="P79" i="48"/>
  <c r="P74" i="28"/>
  <c r="O75" i="28"/>
  <c r="P75" i="28" s="1"/>
  <c r="Y65" i="49"/>
  <c r="Y64" i="49"/>
  <c r="AA75" i="45"/>
  <c r="AO75" i="45" s="1"/>
  <c r="W75" i="45"/>
  <c r="AA74" i="45"/>
  <c r="AO74" i="45" s="1"/>
  <c r="W74" i="45"/>
  <c r="X13" i="39"/>
  <c r="X16" i="39" s="1"/>
  <c r="Z16" i="39" s="1"/>
  <c r="AD16" i="39" s="1"/>
  <c r="V16" i="39"/>
  <c r="Z15" i="39" s="1"/>
  <c r="AD15" i="39" s="1"/>
  <c r="Y65" i="37"/>
  <c r="Y64" i="37"/>
  <c r="Q74" i="36"/>
  <c r="Q72" i="36"/>
  <c r="AJ84" i="39"/>
  <c r="AJ85" i="39"/>
  <c r="Q67" i="34"/>
  <c r="Q69" i="34"/>
  <c r="AA80" i="29"/>
  <c r="AO80" i="29" s="1"/>
  <c r="AP80" i="29" s="1"/>
  <c r="W80" i="29"/>
  <c r="AA79" i="29"/>
  <c r="AO79" i="29" s="1"/>
  <c r="AP79" i="29" s="1"/>
  <c r="W79" i="29"/>
  <c r="AE53" i="49"/>
  <c r="AE49" i="49"/>
  <c r="AG49" i="49" s="1"/>
  <c r="R48" i="49"/>
  <c r="R44" i="49"/>
  <c r="D49" i="49"/>
  <c r="F49" i="49" s="1"/>
  <c r="H49" i="49" s="1"/>
  <c r="R52" i="49"/>
  <c r="D57" i="49"/>
  <c r="AJ6" i="35"/>
  <c r="AN5" i="35" s="1"/>
  <c r="AR5" i="35" s="1"/>
  <c r="AL3" i="35"/>
  <c r="AL6" i="35" s="1"/>
  <c r="AN6" i="35" s="1"/>
  <c r="AR6" i="35" s="1"/>
  <c r="B92" i="41"/>
  <c r="A93" i="41"/>
  <c r="AI82" i="34"/>
  <c r="AL84" i="34"/>
  <c r="AH84" i="34"/>
  <c r="AL85" i="34"/>
  <c r="AH85" i="34"/>
  <c r="P99" i="32"/>
  <c r="O100" i="32"/>
  <c r="P100" i="32" s="1"/>
  <c r="O83" i="28"/>
  <c r="P82" i="28"/>
  <c r="A89" i="40"/>
  <c r="B88" i="40"/>
  <c r="G68" i="43"/>
  <c r="C67" i="43"/>
  <c r="S15" i="50"/>
  <c r="S13" i="50"/>
  <c r="S14" i="50"/>
  <c r="A101" i="33"/>
  <c r="A97" i="33"/>
  <c r="B96" i="33"/>
  <c r="A84" i="30"/>
  <c r="B83" i="30"/>
  <c r="P82" i="39"/>
  <c r="O83" i="39"/>
  <c r="H6" i="22"/>
  <c r="I6" i="22" s="1"/>
  <c r="D6" i="22"/>
  <c r="Z9" i="31"/>
  <c r="AD9" i="31" s="1"/>
  <c r="K70" i="44"/>
  <c r="K69" i="44"/>
  <c r="G67" i="44"/>
  <c r="Q67" i="50"/>
  <c r="Q69" i="50"/>
  <c r="X4" i="35"/>
  <c r="V4" i="35"/>
  <c r="AL10" i="36"/>
  <c r="AJ10" i="36"/>
  <c r="G68" i="39"/>
  <c r="C67" i="39"/>
  <c r="AP69" i="31"/>
  <c r="K64" i="37"/>
  <c r="G62" i="37"/>
  <c r="K65" i="37"/>
  <c r="O80" i="35"/>
  <c r="P80" i="35" s="1"/>
  <c r="P79" i="35"/>
  <c r="M70" i="37"/>
  <c r="I70" i="37"/>
  <c r="G69" i="37"/>
  <c r="M69" i="37"/>
  <c r="I69" i="37"/>
  <c r="Q74" i="26"/>
  <c r="Q72" i="26"/>
  <c r="A84" i="26"/>
  <c r="B83" i="26"/>
  <c r="O83" i="27"/>
  <c r="P82" i="27"/>
  <c r="Q72" i="41"/>
  <c r="Q74" i="41"/>
  <c r="Y65" i="27"/>
  <c r="Y64" i="27"/>
  <c r="Z28" i="40"/>
  <c r="AD28" i="40" s="1"/>
  <c r="M75" i="28"/>
  <c r="I75" i="28"/>
  <c r="G74" i="28"/>
  <c r="M74" i="28"/>
  <c r="I74" i="28"/>
  <c r="M75" i="38"/>
  <c r="I75" i="38"/>
  <c r="G74" i="38"/>
  <c r="M74" i="38"/>
  <c r="I74" i="38"/>
  <c r="X22" i="38"/>
  <c r="V22" i="38"/>
  <c r="AA75" i="39"/>
  <c r="AO75" i="39" s="1"/>
  <c r="AP75" i="39" s="1"/>
  <c r="W75" i="39"/>
  <c r="AA74" i="39"/>
  <c r="AO74" i="39" s="1"/>
  <c r="W74" i="39"/>
  <c r="M75" i="41"/>
  <c r="I75" i="41"/>
  <c r="G74" i="41"/>
  <c r="M74" i="41"/>
  <c r="I74" i="41"/>
  <c r="AI82" i="32"/>
  <c r="AL84" i="32"/>
  <c r="AH84" i="32"/>
  <c r="AL85" i="32"/>
  <c r="AH85" i="32"/>
  <c r="K69" i="38"/>
  <c r="G67" i="38"/>
  <c r="K70" i="38"/>
  <c r="P86" i="37"/>
  <c r="O91" i="37"/>
  <c r="O87" i="37"/>
  <c r="AC89" i="37"/>
  <c r="AD89" i="37" s="1"/>
  <c r="AD88" i="37"/>
  <c r="AC93" i="37"/>
  <c r="X13" i="34"/>
  <c r="X16" i="34" s="1"/>
  <c r="Z16" i="34" s="1"/>
  <c r="AD16" i="34" s="1"/>
  <c r="V16" i="34"/>
  <c r="Z15" i="34" s="1"/>
  <c r="AD15" i="34" s="1"/>
  <c r="P82" i="43"/>
  <c r="O83" i="43"/>
  <c r="K69" i="50"/>
  <c r="G67" i="50"/>
  <c r="K70" i="50"/>
  <c r="AN16" i="36"/>
  <c r="AR16" i="36" s="1"/>
  <c r="C72" i="29"/>
  <c r="G73" i="29"/>
  <c r="AN11" i="39"/>
  <c r="AR11" i="39" s="1"/>
  <c r="AL13" i="39" s="1"/>
  <c r="P15" i="39"/>
  <c r="P16" i="39" s="1"/>
  <c r="X22" i="32"/>
  <c r="V22" i="32"/>
  <c r="X67" i="38"/>
  <c r="AC93" i="49"/>
  <c r="AC89" i="49"/>
  <c r="AD89" i="49" s="1"/>
  <c r="AD88" i="49"/>
  <c r="P28" i="46"/>
  <c r="P83" i="47"/>
  <c r="Q83" i="47" s="1"/>
  <c r="O84" i="47"/>
  <c r="AL85" i="31"/>
  <c r="AH85" i="31"/>
  <c r="AI82" i="31"/>
  <c r="AL84" i="31"/>
  <c r="AH84" i="31"/>
  <c r="H8" i="24"/>
  <c r="I8" i="24" s="1"/>
  <c r="D8" i="24"/>
  <c r="B92" i="28"/>
  <c r="A93" i="28"/>
  <c r="AE58" i="50"/>
  <c r="AE54" i="50"/>
  <c r="AG54" i="50" s="1"/>
  <c r="R53" i="50"/>
  <c r="D54" i="50"/>
  <c r="D58" i="50"/>
  <c r="AJ5" i="61"/>
  <c r="B5" i="20"/>
  <c r="C9" i="49"/>
  <c r="R49" i="49" s="1"/>
  <c r="AP5" i="20"/>
  <c r="A89" i="41"/>
  <c r="B88" i="41"/>
  <c r="X75" i="59"/>
  <c r="O83" i="34"/>
  <c r="P82" i="34"/>
  <c r="B91" i="45"/>
  <c r="A96" i="45"/>
  <c r="A92" i="45"/>
  <c r="A85" i="38"/>
  <c r="B85" i="38" s="1"/>
  <c r="B84" i="38"/>
  <c r="Q72" i="38"/>
  <c r="Q74" i="38"/>
  <c r="O83" i="46"/>
  <c r="P82" i="46"/>
  <c r="AA5" i="23"/>
  <c r="X4" i="23"/>
  <c r="AN6" i="37"/>
  <c r="AR6" i="37" s="1"/>
  <c r="AC89" i="33"/>
  <c r="AD89" i="33" s="1"/>
  <c r="AD88" i="33"/>
  <c r="AC93" i="33"/>
  <c r="AG48" i="49"/>
  <c r="M70" i="36"/>
  <c r="I70" i="36"/>
  <c r="I69" i="36"/>
  <c r="M69" i="36"/>
  <c r="G69" i="36"/>
  <c r="X3" i="31"/>
  <c r="V3" i="31"/>
  <c r="M70" i="45"/>
  <c r="I70" i="45"/>
  <c r="G69" i="45"/>
  <c r="M69" i="45"/>
  <c r="I69" i="45"/>
  <c r="C72" i="44"/>
  <c r="G73" i="44"/>
  <c r="AA80" i="26"/>
  <c r="AO80" i="26" s="1"/>
  <c r="AP80" i="26" s="1"/>
  <c r="W80" i="26"/>
  <c r="AA79" i="26"/>
  <c r="AO79" i="26" s="1"/>
  <c r="AP79" i="26" s="1"/>
  <c r="W79" i="26"/>
  <c r="G68" i="26"/>
  <c r="C67" i="26"/>
  <c r="A89" i="47"/>
  <c r="B88" i="47"/>
  <c r="AC89" i="28"/>
  <c r="AD89" i="28" s="1"/>
  <c r="AD88" i="28"/>
  <c r="AC93" i="28"/>
  <c r="X22" i="30"/>
  <c r="V22" i="30"/>
  <c r="AG4" i="22"/>
  <c r="X4" i="38"/>
  <c r="V4" i="38"/>
  <c r="K70" i="49"/>
  <c r="K69" i="49"/>
  <c r="G67" i="49"/>
  <c r="W80" i="47"/>
  <c r="AA79" i="47"/>
  <c r="AO79" i="47" s="1"/>
  <c r="AA80" i="47"/>
  <c r="AO80" i="47" s="1"/>
  <c r="W79" i="47"/>
  <c r="AA80" i="36"/>
  <c r="AO80" i="36" s="1"/>
  <c r="AP80" i="36" s="1"/>
  <c r="W80" i="36"/>
  <c r="AA79" i="36"/>
  <c r="AO79" i="36" s="1"/>
  <c r="W79" i="36"/>
  <c r="AN10" i="35"/>
  <c r="AR10" i="35" s="1"/>
  <c r="AG40" i="48"/>
  <c r="AN10" i="30"/>
  <c r="AR10" i="30" s="1"/>
  <c r="P86" i="50"/>
  <c r="O91" i="50"/>
  <c r="O87" i="50"/>
  <c r="A89" i="32"/>
  <c r="B88" i="32"/>
  <c r="AL12" i="28" l="1"/>
  <c r="P27" i="33"/>
  <c r="AA8" i="25"/>
  <c r="AG8" i="25" s="1"/>
  <c r="X7" i="25"/>
  <c r="D9" i="65"/>
  <c r="J9" i="66"/>
  <c r="B9" i="65" s="1"/>
  <c r="I9" i="66"/>
  <c r="D9" i="66"/>
  <c r="L10" i="66"/>
  <c r="B8" i="66"/>
  <c r="A8" i="66"/>
  <c r="X14" i="41"/>
  <c r="X2" i="41"/>
  <c r="V2" i="41"/>
  <c r="Z20" i="41"/>
  <c r="V13" i="41"/>
  <c r="AN8" i="41"/>
  <c r="T4" i="41"/>
  <c r="Z2" i="41"/>
  <c r="X25" i="29"/>
  <c r="L9" i="29" s="1"/>
  <c r="M27" i="59"/>
  <c r="Q27" i="59"/>
  <c r="N27" i="59"/>
  <c r="P27" i="59" s="1"/>
  <c r="AD11" i="59"/>
  <c r="AA5" i="45"/>
  <c r="A8" i="65"/>
  <c r="P26" i="43"/>
  <c r="L27" i="43"/>
  <c r="Z20" i="43"/>
  <c r="Z2" i="43"/>
  <c r="AN8" i="43"/>
  <c r="N16" i="59"/>
  <c r="M16" i="59"/>
  <c r="N28" i="48"/>
  <c r="AD30" i="59"/>
  <c r="AH29" i="59"/>
  <c r="AE27" i="59"/>
  <c r="AH30" i="59"/>
  <c r="AC16" i="45"/>
  <c r="AC15" i="45"/>
  <c r="Y16" i="45"/>
  <c r="Y15" i="45"/>
  <c r="W15" i="45"/>
  <c r="AS17" i="59"/>
  <c r="AT14" i="59"/>
  <c r="AW17" i="59"/>
  <c r="AW16" i="59"/>
  <c r="AA23" i="45"/>
  <c r="AA22" i="45"/>
  <c r="S22" i="45"/>
  <c r="Y28" i="45"/>
  <c r="Z25" i="45"/>
  <c r="AC27" i="45"/>
  <c r="AC28" i="45"/>
  <c r="Y27" i="45"/>
  <c r="AQ4" i="59"/>
  <c r="AN4" i="59"/>
  <c r="AP4" i="59" s="1"/>
  <c r="AM4" i="59"/>
  <c r="M15" i="59"/>
  <c r="Q19" i="59"/>
  <c r="S16" i="59"/>
  <c r="Q18" i="59"/>
  <c r="S15" i="59"/>
  <c r="AK5" i="45"/>
  <c r="AQ5" i="45"/>
  <c r="AQ6" i="45"/>
  <c r="AM5" i="45"/>
  <c r="AM6" i="45"/>
  <c r="AB7" i="59"/>
  <c r="AH6" i="59"/>
  <c r="AH5" i="59"/>
  <c r="X4" i="59"/>
  <c r="AB8" i="59"/>
  <c r="AN13" i="45"/>
  <c r="AQ15" i="45"/>
  <c r="AQ16" i="45"/>
  <c r="AM15" i="45"/>
  <c r="AM16" i="45"/>
  <c r="AD24" i="59"/>
  <c r="AF24" i="59"/>
  <c r="X21" i="59"/>
  <c r="W23" i="59"/>
  <c r="AF23" i="59"/>
  <c r="AD23" i="59"/>
  <c r="Z2" i="45"/>
  <c r="AB15" i="59"/>
  <c r="X15" i="59"/>
  <c r="W14" i="45"/>
  <c r="AM9" i="59"/>
  <c r="AQ13" i="59"/>
  <c r="AQ12" i="59"/>
  <c r="AW10" i="59"/>
  <c r="AW11" i="59"/>
  <c r="AO10" i="45"/>
  <c r="AO11" i="45"/>
  <c r="AG10" i="45"/>
  <c r="Y23" i="45"/>
  <c r="W25" i="45"/>
  <c r="W24" i="45"/>
  <c r="AC22" i="45"/>
  <c r="AC23" i="45"/>
  <c r="Y22" i="45"/>
  <c r="AW6" i="59"/>
  <c r="AM5" i="59"/>
  <c r="AW5" i="59"/>
  <c r="AQ5" i="59"/>
  <c r="S22" i="59"/>
  <c r="M22" i="59"/>
  <c r="S23" i="59"/>
  <c r="T20" i="59"/>
  <c r="X3" i="59"/>
  <c r="AD6" i="59"/>
  <c r="AF5" i="59"/>
  <c r="AF6" i="59"/>
  <c r="W5" i="59"/>
  <c r="AD5" i="59"/>
  <c r="AH11" i="59"/>
  <c r="AH12" i="59"/>
  <c r="AE9" i="59"/>
  <c r="AD16" i="59"/>
  <c r="AF16" i="59"/>
  <c r="X14" i="59"/>
  <c r="AF17" i="59"/>
  <c r="AD17" i="59"/>
  <c r="AB14" i="59"/>
  <c r="AM11" i="45"/>
  <c r="AK13" i="45"/>
  <c r="AQ10" i="45"/>
  <c r="AK12" i="45"/>
  <c r="AM10" i="45"/>
  <c r="AQ11" i="45"/>
  <c r="X16" i="59"/>
  <c r="AB16" i="59"/>
  <c r="AH16" i="59"/>
  <c r="AH17" i="59"/>
  <c r="Z7" i="45"/>
  <c r="AC9" i="45"/>
  <c r="AC10" i="45"/>
  <c r="Y9" i="45"/>
  <c r="Y10" i="45"/>
  <c r="O16" i="45"/>
  <c r="M18" i="45"/>
  <c r="O15" i="45"/>
  <c r="M19" i="45"/>
  <c r="O27" i="45"/>
  <c r="O28" i="45"/>
  <c r="J28" i="45"/>
  <c r="L28" i="45" s="1"/>
  <c r="M28" i="45"/>
  <c r="AM3" i="59"/>
  <c r="AV5" i="59"/>
  <c r="AU6" i="59"/>
  <c r="AQ3" i="59"/>
  <c r="AN3" i="59"/>
  <c r="AS5" i="59"/>
  <c r="AV6" i="59"/>
  <c r="AS6" i="59"/>
  <c r="AU5" i="59"/>
  <c r="AK4" i="45"/>
  <c r="AD29" i="59"/>
  <c r="AB25" i="59"/>
  <c r="AB26" i="59"/>
  <c r="X22" i="59"/>
  <c r="AH24" i="59"/>
  <c r="AH23" i="59"/>
  <c r="AL10" i="59"/>
  <c r="AU11" i="59"/>
  <c r="AM8" i="59"/>
  <c r="AS10" i="59"/>
  <c r="AS11" i="59"/>
  <c r="AN8" i="59"/>
  <c r="AU10" i="59"/>
  <c r="S27" i="59"/>
  <c r="S28" i="59"/>
  <c r="Q28" i="59"/>
  <c r="M28" i="59"/>
  <c r="N28" i="59"/>
  <c r="W13" i="45"/>
  <c r="AA15" i="45"/>
  <c r="AA16" i="45"/>
  <c r="AC5" i="45"/>
  <c r="W7" i="45"/>
  <c r="Y5" i="45"/>
  <c r="AC4" i="45"/>
  <c r="W6" i="45"/>
  <c r="Y4" i="45"/>
  <c r="M22" i="45"/>
  <c r="N21" i="45"/>
  <c r="M23" i="45"/>
  <c r="J27" i="45"/>
  <c r="M27" i="45"/>
  <c r="AO6" i="45"/>
  <c r="AK3" i="45"/>
  <c r="AO5" i="45"/>
  <c r="Z2" i="47"/>
  <c r="Z20" i="47"/>
  <c r="AN8" i="47"/>
  <c r="S22" i="50"/>
  <c r="Z20" i="50" s="1"/>
  <c r="AA23" i="50"/>
  <c r="J39" i="48"/>
  <c r="N39" i="48" s="1"/>
  <c r="AQ39" i="48" s="1"/>
  <c r="Z2" i="48"/>
  <c r="Z20" i="48"/>
  <c r="L27" i="48"/>
  <c r="P26" i="48"/>
  <c r="AN8" i="48"/>
  <c r="Z20" i="27"/>
  <c r="AN8" i="27"/>
  <c r="Z2" i="27"/>
  <c r="AL12" i="40"/>
  <c r="J40" i="48"/>
  <c r="N40" i="48" s="1"/>
  <c r="AQ40" i="48" s="1"/>
  <c r="H10" i="25"/>
  <c r="I10" i="25" s="1"/>
  <c r="D10" i="25"/>
  <c r="F10" i="25" s="1"/>
  <c r="G10" i="25" s="1"/>
  <c r="AV10" i="25"/>
  <c r="Y9" i="25"/>
  <c r="F9" i="25"/>
  <c r="T32" i="45"/>
  <c r="V32" i="45"/>
  <c r="D37" i="44"/>
  <c r="F37" i="44" s="1"/>
  <c r="H37" i="44" s="1"/>
  <c r="AE33" i="44"/>
  <c r="AG33" i="44" s="1"/>
  <c r="R32" i="44"/>
  <c r="AE11" i="61"/>
  <c r="C4" i="43"/>
  <c r="B11" i="25"/>
  <c r="AP11" i="25"/>
  <c r="X24" i="35"/>
  <c r="L8" i="35" s="1"/>
  <c r="AI50" i="50"/>
  <c r="AG45" i="48"/>
  <c r="T39" i="49"/>
  <c r="T40" i="49" s="1"/>
  <c r="X39" i="49" s="1"/>
  <c r="X40" i="49" s="1"/>
  <c r="AI40" i="48"/>
  <c r="L8" i="29"/>
  <c r="J42" i="48"/>
  <c r="AI45" i="49"/>
  <c r="L10" i="37"/>
  <c r="AE50" i="49"/>
  <c r="AI49" i="49" s="1"/>
  <c r="L9" i="35"/>
  <c r="H53" i="49"/>
  <c r="V49" i="49"/>
  <c r="T49" i="49"/>
  <c r="R39" i="48"/>
  <c r="V39" i="48" s="1"/>
  <c r="V40" i="48" s="1"/>
  <c r="D53" i="48"/>
  <c r="F53" i="48" s="1"/>
  <c r="R47" i="46"/>
  <c r="D52" i="46"/>
  <c r="F52" i="46" s="1"/>
  <c r="V49" i="50"/>
  <c r="V50" i="50" s="1"/>
  <c r="T49" i="50"/>
  <c r="T50" i="50" s="1"/>
  <c r="X49" i="50" s="1"/>
  <c r="H52" i="47"/>
  <c r="T47" i="47"/>
  <c r="V47" i="47"/>
  <c r="AL12" i="26"/>
  <c r="L10" i="26" s="1"/>
  <c r="L11" i="37"/>
  <c r="AG50" i="49"/>
  <c r="L11" i="28"/>
  <c r="L10" i="28"/>
  <c r="Z5" i="29"/>
  <c r="AD5" i="29" s="1"/>
  <c r="X7" i="29" s="1"/>
  <c r="AI35" i="47"/>
  <c r="AM35" i="47" s="1"/>
  <c r="AS35" i="47" s="1"/>
  <c r="L9" i="36"/>
  <c r="L11" i="26"/>
  <c r="AE45" i="48"/>
  <c r="AI44" i="48" s="1"/>
  <c r="Z5" i="38"/>
  <c r="AD5" i="38" s="1"/>
  <c r="X7" i="38" s="1"/>
  <c r="Z23" i="37"/>
  <c r="AD23" i="37" s="1"/>
  <c r="X25" i="37" s="1"/>
  <c r="L9" i="37" s="1"/>
  <c r="J37" i="47"/>
  <c r="Z23" i="33"/>
  <c r="AD23" i="33" s="1"/>
  <c r="X25" i="33" s="1"/>
  <c r="L9" i="33" s="1"/>
  <c r="AN11" i="31"/>
  <c r="AR11" i="31" s="1"/>
  <c r="AL12" i="31" s="1"/>
  <c r="X45" i="50"/>
  <c r="Z5" i="33"/>
  <c r="AD5" i="33" s="1"/>
  <c r="X6" i="33" s="1"/>
  <c r="L6" i="33" s="1"/>
  <c r="Z23" i="30"/>
  <c r="AD23" i="30" s="1"/>
  <c r="X24" i="30" s="1"/>
  <c r="L8" i="30" s="1"/>
  <c r="Z5" i="35"/>
  <c r="AD5" i="35" s="1"/>
  <c r="X7" i="35" s="1"/>
  <c r="L7" i="35" s="1"/>
  <c r="Z5" i="30"/>
  <c r="AD5" i="30" s="1"/>
  <c r="X6" i="30" s="1"/>
  <c r="AN11" i="33"/>
  <c r="AR11" i="33" s="1"/>
  <c r="AL13" i="33" s="1"/>
  <c r="L11" i="33" s="1"/>
  <c r="AN11" i="34"/>
  <c r="AR11" i="34" s="1"/>
  <c r="AL13" i="34" s="1"/>
  <c r="L11" i="34" s="1"/>
  <c r="Z5" i="31"/>
  <c r="AD5" i="31" s="1"/>
  <c r="X6" i="31" s="1"/>
  <c r="Z5" i="39"/>
  <c r="AD5" i="39" s="1"/>
  <c r="X6" i="39" s="1"/>
  <c r="Z10" i="31"/>
  <c r="AD10" i="31" s="1"/>
  <c r="Z23" i="40"/>
  <c r="AD23" i="40" s="1"/>
  <c r="X25" i="40" s="1"/>
  <c r="L9" i="40" s="1"/>
  <c r="Z23" i="38"/>
  <c r="AD23" i="38" s="1"/>
  <c r="X25" i="38" s="1"/>
  <c r="L9" i="38" s="1"/>
  <c r="Z23" i="26"/>
  <c r="AD23" i="26" s="1"/>
  <c r="X25" i="26" s="1"/>
  <c r="L9" i="26" s="1"/>
  <c r="Y7" i="23"/>
  <c r="AA7" i="23" s="1"/>
  <c r="AG7" i="23" s="1"/>
  <c r="Z5" i="32"/>
  <c r="AD5" i="32" s="1"/>
  <c r="X6" i="32" s="1"/>
  <c r="L6" i="32" s="1"/>
  <c r="L11" i="39"/>
  <c r="AA6" i="22"/>
  <c r="X5" i="22"/>
  <c r="AR35" i="48"/>
  <c r="AT35" i="48" s="1"/>
  <c r="E5" i="48" s="1"/>
  <c r="AR34" i="48"/>
  <c r="AT34" i="48" s="1"/>
  <c r="D5" i="48" s="1"/>
  <c r="AA5" i="21"/>
  <c r="AG5" i="21" s="1"/>
  <c r="X4" i="21"/>
  <c r="AJ90" i="28"/>
  <c r="AJ89" i="28"/>
  <c r="AL90" i="33"/>
  <c r="AH90" i="33"/>
  <c r="AI87" i="33"/>
  <c r="AL89" i="33"/>
  <c r="AH89" i="33"/>
  <c r="B92" i="45"/>
  <c r="A93" i="45"/>
  <c r="H5" i="20"/>
  <c r="I5" i="20" s="1"/>
  <c r="D5" i="20"/>
  <c r="F5" i="20" s="1"/>
  <c r="G5" i="20" s="1"/>
  <c r="A94" i="28"/>
  <c r="B93" i="28"/>
  <c r="AN11" i="30"/>
  <c r="AR11" i="30" s="1"/>
  <c r="AL12" i="30" s="1"/>
  <c r="L10" i="30" s="1"/>
  <c r="AN11" i="35"/>
  <c r="AR11" i="35" s="1"/>
  <c r="AL12" i="35" s="1"/>
  <c r="L10" i="35" s="1"/>
  <c r="AF4" i="22"/>
  <c r="AF5" i="22" s="1"/>
  <c r="AI87" i="28"/>
  <c r="AL89" i="28"/>
  <c r="AH89" i="28"/>
  <c r="AL90" i="28"/>
  <c r="AH90" i="28"/>
  <c r="K75" i="44"/>
  <c r="K74" i="44"/>
  <c r="G72" i="44"/>
  <c r="O84" i="46"/>
  <c r="P83" i="46"/>
  <c r="Q83" i="46" s="1"/>
  <c r="B96" i="45"/>
  <c r="A101" i="45"/>
  <c r="A97" i="45"/>
  <c r="AJ6" i="61"/>
  <c r="L47" i="66" s="1"/>
  <c r="AP6" i="20"/>
  <c r="C9" i="48"/>
  <c r="R49" i="48" s="1"/>
  <c r="B6" i="20"/>
  <c r="N19" i="39"/>
  <c r="L5" i="39" s="1"/>
  <c r="N18" i="39"/>
  <c r="L4" i="39" s="1"/>
  <c r="P83" i="43"/>
  <c r="Q83" i="43" s="1"/>
  <c r="O84" i="43"/>
  <c r="AC94" i="37"/>
  <c r="AD94" i="37" s="1"/>
  <c r="AD93" i="37"/>
  <c r="AC98" i="37"/>
  <c r="P91" i="37"/>
  <c r="O96" i="37"/>
  <c r="O92" i="37"/>
  <c r="X72" i="41"/>
  <c r="A85" i="26"/>
  <c r="B85" i="26" s="1"/>
  <c r="B84" i="26"/>
  <c r="A85" i="30"/>
  <c r="B85" i="30" s="1"/>
  <c r="B84" i="30"/>
  <c r="A106" i="33"/>
  <c r="A102" i="33"/>
  <c r="B101" i="33"/>
  <c r="G67" i="43"/>
  <c r="K69" i="43"/>
  <c r="K70" i="43"/>
  <c r="A94" i="41"/>
  <c r="B93" i="41"/>
  <c r="F57" i="49"/>
  <c r="V48" i="49"/>
  <c r="T48" i="49"/>
  <c r="X67" i="34"/>
  <c r="X72" i="36"/>
  <c r="B92" i="48"/>
  <c r="A93" i="48"/>
  <c r="P88" i="42"/>
  <c r="Q88" i="42" s="1"/>
  <c r="O89" i="42"/>
  <c r="C84" i="28"/>
  <c r="C83" i="28"/>
  <c r="Y70" i="33"/>
  <c r="Y69" i="33"/>
  <c r="X72" i="48"/>
  <c r="P28" i="29"/>
  <c r="A85" i="39"/>
  <c r="B85" i="39" s="1"/>
  <c r="B84" i="39"/>
  <c r="AJ85" i="35"/>
  <c r="AJ84" i="35"/>
  <c r="B96" i="30"/>
  <c r="A101" i="30"/>
  <c r="A97" i="30"/>
  <c r="K74" i="40"/>
  <c r="G72" i="40"/>
  <c r="K75" i="40"/>
  <c r="O88" i="44"/>
  <c r="P87" i="44"/>
  <c r="C77" i="29"/>
  <c r="G78" i="29"/>
  <c r="B101" i="34"/>
  <c r="A106" i="34"/>
  <c r="A102" i="34"/>
  <c r="K75" i="33"/>
  <c r="K74" i="33"/>
  <c r="G72" i="33"/>
  <c r="F47" i="47"/>
  <c r="AG43" i="47"/>
  <c r="P88" i="36"/>
  <c r="Q88" i="36" s="1"/>
  <c r="O89" i="36"/>
  <c r="O109" i="32"/>
  <c r="P108" i="32"/>
  <c r="Q108" i="32" s="1"/>
  <c r="X81" i="59"/>
  <c r="A94" i="50"/>
  <c r="B93" i="50"/>
  <c r="B92" i="37"/>
  <c r="A93" i="37"/>
  <c r="H38" i="47"/>
  <c r="H40" i="47" s="1"/>
  <c r="F40" i="47"/>
  <c r="C77" i="35"/>
  <c r="G78" i="35"/>
  <c r="M75" i="45"/>
  <c r="I75" i="45"/>
  <c r="G74" i="45"/>
  <c r="M74" i="45"/>
  <c r="I74" i="45"/>
  <c r="Z23" i="39"/>
  <c r="AD23" i="39" s="1"/>
  <c r="X25" i="39" s="1"/>
  <c r="L9" i="39" s="1"/>
  <c r="C79" i="30"/>
  <c r="C78" i="30"/>
  <c r="C84" i="34"/>
  <c r="C83" i="34"/>
  <c r="AC93" i="47"/>
  <c r="AC89" i="47"/>
  <c r="AD89" i="47" s="1"/>
  <c r="AD88" i="47"/>
  <c r="Q79" i="36"/>
  <c r="Q77" i="36"/>
  <c r="Q79" i="26"/>
  <c r="Q77" i="26"/>
  <c r="A89" i="45"/>
  <c r="B88" i="45"/>
  <c r="H4" i="19"/>
  <c r="I4" i="19" s="1"/>
  <c r="D4" i="19"/>
  <c r="H4" i="53"/>
  <c r="I4" i="53" s="1"/>
  <c r="D4" i="53"/>
  <c r="F42" i="46"/>
  <c r="AG38" i="46"/>
  <c r="P110" i="59"/>
  <c r="O116" i="59"/>
  <c r="O111" i="59"/>
  <c r="Z23" i="32"/>
  <c r="AD23" i="32" s="1"/>
  <c r="X25" i="32" s="1"/>
  <c r="L9" i="32" s="1"/>
  <c r="P83" i="33"/>
  <c r="Q83" i="33" s="1"/>
  <c r="O84" i="33"/>
  <c r="P92" i="26"/>
  <c r="O93" i="26"/>
  <c r="K69" i="37"/>
  <c r="G67" i="37"/>
  <c r="K70" i="37"/>
  <c r="AN11" i="36"/>
  <c r="AR11" i="36" s="1"/>
  <c r="AL13" i="36" s="1"/>
  <c r="L11" i="36" s="1"/>
  <c r="Y70" i="27"/>
  <c r="Y69" i="27"/>
  <c r="H7" i="22"/>
  <c r="I7" i="22" s="1"/>
  <c r="D7" i="22"/>
  <c r="F7" i="22" s="1"/>
  <c r="G7" i="22" s="1"/>
  <c r="Q72" i="40"/>
  <c r="Q74" i="40"/>
  <c r="C84" i="27"/>
  <c r="C83" i="27"/>
  <c r="AJ89" i="30"/>
  <c r="AJ90" i="30"/>
  <c r="AI7" i="61"/>
  <c r="AP7" i="21"/>
  <c r="Y6" i="21" s="1"/>
  <c r="C8" i="47"/>
  <c r="D53" i="47" s="1"/>
  <c r="F53" i="47" s="1"/>
  <c r="H53" i="47" s="1"/>
  <c r="B7" i="21"/>
  <c r="Y70" i="46"/>
  <c r="Y69" i="46"/>
  <c r="Q72" i="34"/>
  <c r="Q74" i="34"/>
  <c r="AP79" i="30"/>
  <c r="C77" i="28"/>
  <c r="G78" i="28"/>
  <c r="R94" i="32"/>
  <c r="X92" i="32"/>
  <c r="A90" i="29"/>
  <c r="B90" i="29" s="1"/>
  <c r="B89" i="29"/>
  <c r="O88" i="31"/>
  <c r="P87" i="31"/>
  <c r="AF6" i="24"/>
  <c r="AF7" i="24" s="1"/>
  <c r="A90" i="49"/>
  <c r="B90" i="49" s="1"/>
  <c r="B89" i="49"/>
  <c r="C72" i="36"/>
  <c r="G73" i="36"/>
  <c r="A85" i="36"/>
  <c r="B85" i="36" s="1"/>
  <c r="B84" i="36"/>
  <c r="P28" i="38"/>
  <c r="C77" i="41"/>
  <c r="G78" i="41"/>
  <c r="AC94" i="27"/>
  <c r="AD94" i="27" s="1"/>
  <c r="AD93" i="27"/>
  <c r="AC98" i="27"/>
  <c r="Y75" i="29"/>
  <c r="Y74" i="29"/>
  <c r="O80" i="27"/>
  <c r="P80" i="27" s="1"/>
  <c r="P79" i="27"/>
  <c r="P92" i="36"/>
  <c r="O93" i="36"/>
  <c r="A85" i="43"/>
  <c r="B85" i="43" s="1"/>
  <c r="B84" i="43"/>
  <c r="AD106" i="59"/>
  <c r="AC112" i="59"/>
  <c r="AC107" i="59"/>
  <c r="AD107" i="59" s="1"/>
  <c r="O85" i="38"/>
  <c r="P85" i="38" s="1"/>
  <c r="P84" i="38"/>
  <c r="L10" i="40"/>
  <c r="A89" i="37"/>
  <c r="B88" i="37"/>
  <c r="Z23" i="28"/>
  <c r="AD23" i="28" s="1"/>
  <c r="X25" i="28" s="1"/>
  <c r="L9" i="28" s="1"/>
  <c r="AL84" i="41"/>
  <c r="AH84" i="41"/>
  <c r="AL85" i="41"/>
  <c r="AH85" i="41"/>
  <c r="AI82" i="41"/>
  <c r="C84" i="42"/>
  <c r="C83" i="42"/>
  <c r="AC98" i="26"/>
  <c r="AC94" i="26"/>
  <c r="AD94" i="26" s="1"/>
  <c r="AD93" i="26"/>
  <c r="A85" i="37"/>
  <c r="B85" i="37" s="1"/>
  <c r="B84" i="37"/>
  <c r="O88" i="45"/>
  <c r="P87" i="45"/>
  <c r="L7" i="36"/>
  <c r="C77" i="33"/>
  <c r="G78" i="33"/>
  <c r="O89" i="29"/>
  <c r="P88" i="29"/>
  <c r="Q88" i="29" s="1"/>
  <c r="AE40" i="47"/>
  <c r="AI39" i="47" s="1"/>
  <c r="O93" i="47"/>
  <c r="P92" i="47"/>
  <c r="P28" i="26"/>
  <c r="AA85" i="42"/>
  <c r="AO85" i="42" s="1"/>
  <c r="AP85" i="42" s="1"/>
  <c r="W85" i="42"/>
  <c r="AA84" i="42"/>
  <c r="AO84" i="42" s="1"/>
  <c r="AP84" i="42" s="1"/>
  <c r="W84" i="42"/>
  <c r="P27" i="42"/>
  <c r="P28" i="42"/>
  <c r="X67" i="44"/>
  <c r="A89" i="43"/>
  <c r="B88" i="43"/>
  <c r="O89" i="38"/>
  <c r="P88" i="38"/>
  <c r="Q88" i="38" s="1"/>
  <c r="G78" i="42"/>
  <c r="C77" i="42"/>
  <c r="Z39" i="50"/>
  <c r="AB39" i="50" s="1"/>
  <c r="AK39" i="50"/>
  <c r="AM39" i="50" s="1"/>
  <c r="AS39" i="50" s="1"/>
  <c r="L44" i="50"/>
  <c r="N44" i="50" s="1"/>
  <c r="AQ44" i="50" s="1"/>
  <c r="P79" i="28"/>
  <c r="O80" i="28"/>
  <c r="P80" i="28" s="1"/>
  <c r="AA85" i="41"/>
  <c r="AO85" i="41" s="1"/>
  <c r="AP85" i="41" s="1"/>
  <c r="W85" i="41"/>
  <c r="AA84" i="41"/>
  <c r="AO84" i="41" s="1"/>
  <c r="AP84" i="41" s="1"/>
  <c r="W84" i="41"/>
  <c r="AC94" i="31"/>
  <c r="AD94" i="31" s="1"/>
  <c r="AD93" i="31"/>
  <c r="AC98" i="31"/>
  <c r="Q72" i="37"/>
  <c r="Q74" i="37"/>
  <c r="G6" i="23"/>
  <c r="O88" i="27"/>
  <c r="P87" i="27"/>
  <c r="O84" i="40"/>
  <c r="P83" i="40"/>
  <c r="Q83" i="40" s="1"/>
  <c r="O80" i="49"/>
  <c r="P80" i="49" s="1"/>
  <c r="P79" i="49"/>
  <c r="P87" i="39"/>
  <c r="O88" i="39"/>
  <c r="AC28" i="50"/>
  <c r="Y28" i="50"/>
  <c r="Z25" i="50"/>
  <c r="AC27" i="50"/>
  <c r="Y27" i="50"/>
  <c r="AI87" i="34"/>
  <c r="AL89" i="34"/>
  <c r="AH89" i="34"/>
  <c r="AL90" i="34"/>
  <c r="AH90" i="34"/>
  <c r="P92" i="41"/>
  <c r="O93" i="41"/>
  <c r="AC98" i="39"/>
  <c r="AC94" i="39"/>
  <c r="AD94" i="39" s="1"/>
  <c r="AD93" i="39"/>
  <c r="AN11" i="32"/>
  <c r="AR11" i="32" s="1"/>
  <c r="AL13" i="32" s="1"/>
  <c r="L11" i="32" s="1"/>
  <c r="AP74" i="34"/>
  <c r="Q74" i="49"/>
  <c r="Q72" i="49"/>
  <c r="P92" i="42"/>
  <c r="O93" i="42"/>
  <c r="Q79" i="30"/>
  <c r="Q77" i="30"/>
  <c r="AC89" i="38"/>
  <c r="AD89" i="38" s="1"/>
  <c r="AD88" i="38"/>
  <c r="AC93" i="38"/>
  <c r="AL90" i="36"/>
  <c r="AH90" i="36"/>
  <c r="AL89" i="36"/>
  <c r="AH89" i="36"/>
  <c r="AI87" i="36"/>
  <c r="X6" i="36"/>
  <c r="L6" i="36" s="1"/>
  <c r="N18" i="33"/>
  <c r="L4" i="33" s="1"/>
  <c r="N19" i="33"/>
  <c r="L5" i="33" s="1"/>
  <c r="C78" i="36"/>
  <c r="C79" i="36"/>
  <c r="AG9" i="61"/>
  <c r="B9" i="23"/>
  <c r="C6" i="45"/>
  <c r="AP9" i="23"/>
  <c r="M80" i="40"/>
  <c r="I80" i="40"/>
  <c r="G79" i="40"/>
  <c r="M79" i="40"/>
  <c r="I79" i="40"/>
  <c r="M75" i="37"/>
  <c r="I75" i="37"/>
  <c r="G74" i="37"/>
  <c r="M74" i="37"/>
  <c r="I74" i="37"/>
  <c r="AA80" i="40"/>
  <c r="AO80" i="40" s="1"/>
  <c r="AP80" i="40" s="1"/>
  <c r="W80" i="40"/>
  <c r="AA79" i="40"/>
  <c r="AO79" i="40" s="1"/>
  <c r="AP79" i="40" s="1"/>
  <c r="W79" i="40"/>
  <c r="H48" i="49"/>
  <c r="H50" i="49" s="1"/>
  <c r="F50" i="49"/>
  <c r="X7" i="37"/>
  <c r="O88" i="46"/>
  <c r="P87" i="46"/>
  <c r="O88" i="34"/>
  <c r="P87" i="34"/>
  <c r="AJ85" i="29"/>
  <c r="AJ84" i="29"/>
  <c r="B101" i="28"/>
  <c r="A106" i="28"/>
  <c r="A102" i="28"/>
  <c r="AE38" i="45"/>
  <c r="D38" i="45"/>
  <c r="AE34" i="45"/>
  <c r="R33" i="45"/>
  <c r="D42" i="45"/>
  <c r="R37" i="45"/>
  <c r="AJ100" i="40"/>
  <c r="AJ99" i="40"/>
  <c r="AL12" i="39"/>
  <c r="L10" i="39" s="1"/>
  <c r="AC98" i="32"/>
  <c r="AC94" i="32"/>
  <c r="AD94" i="32" s="1"/>
  <c r="AD93" i="32"/>
  <c r="Z5" i="34"/>
  <c r="AD5" i="34" s="1"/>
  <c r="X6" i="34" s="1"/>
  <c r="L6" i="34" s="1"/>
  <c r="Y70" i="45"/>
  <c r="Y69" i="45"/>
  <c r="Z5" i="28"/>
  <c r="AD5" i="28" s="1"/>
  <c r="X7" i="28" s="1"/>
  <c r="L7" i="28" s="1"/>
  <c r="O88" i="28"/>
  <c r="P87" i="28"/>
  <c r="I78" i="59"/>
  <c r="G75" i="59"/>
  <c r="K77" i="59"/>
  <c r="K78" i="59"/>
  <c r="I77" i="59"/>
  <c r="B101" i="41"/>
  <c r="A106" i="41"/>
  <c r="A102" i="41"/>
  <c r="Q77" i="29"/>
  <c r="Q79" i="29"/>
  <c r="F45" i="48"/>
  <c r="X72" i="35"/>
  <c r="AN13" i="50"/>
  <c r="AQ16" i="50"/>
  <c r="AM16" i="50"/>
  <c r="AQ15" i="50"/>
  <c r="AM15" i="50"/>
  <c r="A90" i="42"/>
  <c r="B90" i="42" s="1"/>
  <c r="B89" i="42"/>
  <c r="B101" i="40"/>
  <c r="A106" i="40"/>
  <c r="A102" i="40"/>
  <c r="K74" i="35"/>
  <c r="G72" i="35"/>
  <c r="K75" i="35"/>
  <c r="O84" i="45"/>
  <c r="P83" i="45"/>
  <c r="Q83" i="45" s="1"/>
  <c r="B105" i="59"/>
  <c r="A106" i="59"/>
  <c r="AC94" i="50"/>
  <c r="AD94" i="50" s="1"/>
  <c r="AD93" i="50"/>
  <c r="AC98" i="50"/>
  <c r="P112" i="32"/>
  <c r="O113" i="32"/>
  <c r="Y70" i="37"/>
  <c r="Y69" i="37"/>
  <c r="B97" i="42"/>
  <c r="A98" i="42"/>
  <c r="C88" i="59"/>
  <c r="C89" i="59"/>
  <c r="Z39" i="49"/>
  <c r="AB39" i="49" s="1"/>
  <c r="AK39" i="49"/>
  <c r="AM39" i="49" s="1"/>
  <c r="AS39" i="49" s="1"/>
  <c r="L44" i="49"/>
  <c r="N44" i="49" s="1"/>
  <c r="AQ44" i="49" s="1"/>
  <c r="O88" i="50"/>
  <c r="P87" i="50"/>
  <c r="AC94" i="33"/>
  <c r="AD94" i="33" s="1"/>
  <c r="AD93" i="33"/>
  <c r="AC98" i="33"/>
  <c r="AG5" i="23"/>
  <c r="F58" i="50"/>
  <c r="P84" i="47"/>
  <c r="O85" i="47"/>
  <c r="P85" i="47" s="1"/>
  <c r="Y75" i="41"/>
  <c r="Y74" i="41"/>
  <c r="Y75" i="26"/>
  <c r="Y74" i="26"/>
  <c r="G67" i="39"/>
  <c r="K70" i="39"/>
  <c r="K69" i="39"/>
  <c r="X67" i="50"/>
  <c r="F6" i="22"/>
  <c r="P83" i="39"/>
  <c r="Q83" i="39" s="1"/>
  <c r="O84" i="39"/>
  <c r="W14" i="50"/>
  <c r="Q97" i="32"/>
  <c r="Q99" i="32"/>
  <c r="T52" i="49"/>
  <c r="V52" i="49"/>
  <c r="Y70" i="34"/>
  <c r="Y69" i="34"/>
  <c r="Q72" i="28"/>
  <c r="Q74" i="28"/>
  <c r="B96" i="48"/>
  <c r="A101" i="48"/>
  <c r="A97" i="48"/>
  <c r="X67" i="33"/>
  <c r="C84" i="49"/>
  <c r="C83" i="49"/>
  <c r="N27" i="29"/>
  <c r="L29" i="29"/>
  <c r="P27" i="29" s="1"/>
  <c r="AL84" i="35"/>
  <c r="AH84" i="35"/>
  <c r="AL85" i="35"/>
  <c r="AH85" i="35"/>
  <c r="AI82" i="35"/>
  <c r="AO6" i="50"/>
  <c r="AO5" i="50"/>
  <c r="AK3" i="50"/>
  <c r="AP79" i="38"/>
  <c r="AA96" i="59"/>
  <c r="AQ96" i="59" s="1"/>
  <c r="AR96" i="59" s="1"/>
  <c r="AA95" i="59"/>
  <c r="AQ95" i="59" s="1"/>
  <c r="V42" i="47"/>
  <c r="T42" i="47"/>
  <c r="A98" i="27"/>
  <c r="B97" i="27"/>
  <c r="G78" i="32"/>
  <c r="C77" i="32"/>
  <c r="B96" i="37"/>
  <c r="A101" i="37"/>
  <c r="A97" i="37"/>
  <c r="AA80" i="34"/>
  <c r="AO80" i="34" s="1"/>
  <c r="AP80" i="34" s="1"/>
  <c r="W80" i="34"/>
  <c r="AA79" i="34"/>
  <c r="AO79" i="34" s="1"/>
  <c r="W79" i="34"/>
  <c r="C84" i="47"/>
  <c r="C83" i="47"/>
  <c r="Y70" i="39"/>
  <c r="Y69" i="39"/>
  <c r="P87" i="49"/>
  <c r="O88" i="49"/>
  <c r="N18" i="34"/>
  <c r="L4" i="34" s="1"/>
  <c r="N19" i="34"/>
  <c r="L5" i="34" s="1"/>
  <c r="C79" i="46"/>
  <c r="C78" i="46"/>
  <c r="B95" i="59"/>
  <c r="A96" i="59"/>
  <c r="B96" i="59" s="1"/>
  <c r="C83" i="41"/>
  <c r="C84" i="41"/>
  <c r="O84" i="50"/>
  <c r="P83" i="50"/>
  <c r="Q83" i="50" s="1"/>
  <c r="Y75" i="30"/>
  <c r="Y74" i="30"/>
  <c r="G73" i="43"/>
  <c r="C72" i="43"/>
  <c r="K69" i="45"/>
  <c r="G67" i="45"/>
  <c r="K70" i="45"/>
  <c r="X67" i="40"/>
  <c r="A85" i="46"/>
  <c r="B85" i="46" s="1"/>
  <c r="B84" i="46"/>
  <c r="A98" i="31"/>
  <c r="B97" i="31"/>
  <c r="AE59" i="50"/>
  <c r="AG59" i="50" s="1"/>
  <c r="AE63" i="50"/>
  <c r="D59" i="50"/>
  <c r="F59" i="50" s="1"/>
  <c r="H59" i="50" s="1"/>
  <c r="R58" i="50"/>
  <c r="D63" i="50"/>
  <c r="R54" i="50"/>
  <c r="AL4" i="61"/>
  <c r="L23" i="66" s="1"/>
  <c r="AM3" i="61"/>
  <c r="C11" i="50"/>
  <c r="D68" i="50" s="1"/>
  <c r="F68" i="50" s="1"/>
  <c r="H68" i="50" s="1"/>
  <c r="B4" i="18"/>
  <c r="AP4" i="18"/>
  <c r="T33" i="46"/>
  <c r="V33" i="46"/>
  <c r="F38" i="46"/>
  <c r="X24" i="32"/>
  <c r="L8" i="32" s="1"/>
  <c r="Q74" i="39"/>
  <c r="Q72" i="39"/>
  <c r="A98" i="44"/>
  <c r="B97" i="44"/>
  <c r="AJ89" i="48"/>
  <c r="AJ90" i="48"/>
  <c r="X67" i="43"/>
  <c r="AF8" i="25"/>
  <c r="X67" i="27"/>
  <c r="AH8" i="61"/>
  <c r="AP8" i="22"/>
  <c r="Y7" i="22" s="1"/>
  <c r="X6" i="22" s="1"/>
  <c r="B8" i="22"/>
  <c r="C7" i="46"/>
  <c r="AL90" i="30"/>
  <c r="AH90" i="30"/>
  <c r="AI87" i="30"/>
  <c r="AL89" i="30"/>
  <c r="AH89" i="30"/>
  <c r="AE49" i="48"/>
  <c r="AG49" i="48" s="1"/>
  <c r="R48" i="48"/>
  <c r="AE53" i="48"/>
  <c r="R44" i="48"/>
  <c r="D49" i="48"/>
  <c r="F49" i="48" s="1"/>
  <c r="H49" i="48" s="1"/>
  <c r="R52" i="48"/>
  <c r="D57" i="48"/>
  <c r="AA80" i="45"/>
  <c r="AO80" i="45" s="1"/>
  <c r="AP80" i="45" s="1"/>
  <c r="W80" i="45"/>
  <c r="AA79" i="45"/>
  <c r="AO79" i="45" s="1"/>
  <c r="W79" i="45"/>
  <c r="A89" i="48"/>
  <c r="B88" i="48"/>
  <c r="M80" i="28"/>
  <c r="I80" i="28"/>
  <c r="G79" i="28"/>
  <c r="M79" i="28"/>
  <c r="I79" i="28"/>
  <c r="G73" i="26"/>
  <c r="C72" i="26"/>
  <c r="Z95" i="32"/>
  <c r="Z94" i="32"/>
  <c r="R92" i="32"/>
  <c r="Y95" i="32"/>
  <c r="Y94" i="32"/>
  <c r="A90" i="27"/>
  <c r="B90" i="27" s="1"/>
  <c r="B89" i="27"/>
  <c r="AJ89" i="42"/>
  <c r="AJ90" i="42"/>
  <c r="A89" i="30"/>
  <c r="B88" i="30"/>
  <c r="P92" i="30"/>
  <c r="O93" i="30"/>
  <c r="A90" i="50"/>
  <c r="B90" i="50" s="1"/>
  <c r="B89" i="50"/>
  <c r="N27" i="38"/>
  <c r="L29" i="38"/>
  <c r="P27" i="38" s="1"/>
  <c r="O80" i="33"/>
  <c r="P80" i="33" s="1"/>
  <c r="P79" i="33"/>
  <c r="AJ89" i="27"/>
  <c r="AJ90" i="27"/>
  <c r="C77" i="34"/>
  <c r="G78" i="34"/>
  <c r="AA80" i="27"/>
  <c r="AO80" i="27" s="1"/>
  <c r="W80" i="27"/>
  <c r="AA79" i="27"/>
  <c r="AO79" i="27" s="1"/>
  <c r="W79" i="27"/>
  <c r="O85" i="48"/>
  <c r="P85" i="48" s="1"/>
  <c r="P84" i="48"/>
  <c r="B97" i="29"/>
  <c r="A98" i="29"/>
  <c r="B92" i="39"/>
  <c r="A93" i="39"/>
  <c r="O80" i="39"/>
  <c r="P80" i="39" s="1"/>
  <c r="P79" i="39"/>
  <c r="P28" i="30"/>
  <c r="A106" i="49"/>
  <c r="A102" i="49"/>
  <c r="B101" i="49"/>
  <c r="C79" i="39"/>
  <c r="C78" i="39"/>
  <c r="C84" i="33"/>
  <c r="C83" i="33"/>
  <c r="Z22" i="31"/>
  <c r="AD22" i="31" s="1"/>
  <c r="P91" i="45"/>
  <c r="O96" i="45"/>
  <c r="O92" i="45"/>
  <c r="M79" i="33"/>
  <c r="I79" i="33"/>
  <c r="M80" i="33"/>
  <c r="I80" i="33"/>
  <c r="G79" i="33"/>
  <c r="A94" i="49"/>
  <c r="B93" i="49"/>
  <c r="P92" i="35"/>
  <c r="O93" i="35"/>
  <c r="AC89" i="44"/>
  <c r="AD89" i="44" s="1"/>
  <c r="AD88" i="44"/>
  <c r="AC93" i="44"/>
  <c r="K75" i="31"/>
  <c r="K74" i="31"/>
  <c r="G72" i="31"/>
  <c r="C77" i="47"/>
  <c r="G78" i="47"/>
  <c r="AA80" i="37"/>
  <c r="AO80" i="37" s="1"/>
  <c r="AP80" i="37" s="1"/>
  <c r="W80" i="37"/>
  <c r="AA79" i="37"/>
  <c r="AO79" i="37" s="1"/>
  <c r="W79" i="37"/>
  <c r="M79" i="42"/>
  <c r="I79" i="42"/>
  <c r="M80" i="42"/>
  <c r="I80" i="42"/>
  <c r="G79" i="42"/>
  <c r="A94" i="31"/>
  <c r="B93" i="31"/>
  <c r="O85" i="41"/>
  <c r="P85" i="41" s="1"/>
  <c r="P84" i="41"/>
  <c r="O101" i="59"/>
  <c r="P100" i="59"/>
  <c r="Q100" i="59" s="1"/>
  <c r="AJ89" i="31"/>
  <c r="AJ90" i="31"/>
  <c r="Q74" i="31"/>
  <c r="Q72" i="31"/>
  <c r="B97" i="47"/>
  <c r="A98" i="47"/>
  <c r="AA80" i="49"/>
  <c r="AO80" i="49" s="1"/>
  <c r="W80" i="49"/>
  <c r="AA79" i="49"/>
  <c r="AO79" i="49" s="1"/>
  <c r="W79" i="49"/>
  <c r="V43" i="48"/>
  <c r="T43" i="48"/>
  <c r="C83" i="29"/>
  <c r="C84" i="29"/>
  <c r="O101" i="41"/>
  <c r="O97" i="41"/>
  <c r="P96" i="41"/>
  <c r="C84" i="50"/>
  <c r="C83" i="50"/>
  <c r="X24" i="36"/>
  <c r="L8" i="36" s="1"/>
  <c r="AJ6" i="31"/>
  <c r="AN5" i="31" s="1"/>
  <c r="AR5" i="31" s="1"/>
  <c r="AL3" i="31"/>
  <c r="AL6" i="31" s="1"/>
  <c r="AN6" i="31" s="1"/>
  <c r="AR6" i="31" s="1"/>
  <c r="P79" i="43"/>
  <c r="O80" i="43"/>
  <c r="P80" i="43" s="1"/>
  <c r="AJ85" i="38"/>
  <c r="AJ84" i="38"/>
  <c r="H47" i="48"/>
  <c r="P29" i="59"/>
  <c r="R27" i="59"/>
  <c r="R29" i="59" s="1"/>
  <c r="B97" i="35"/>
  <c r="A98" i="35"/>
  <c r="AG4" i="21"/>
  <c r="O85" i="26"/>
  <c r="P85" i="26" s="1"/>
  <c r="P84" i="26"/>
  <c r="A94" i="32"/>
  <c r="B93" i="32"/>
  <c r="H8" i="23"/>
  <c r="I8" i="23" s="1"/>
  <c r="D8" i="23"/>
  <c r="F8" i="23" s="1"/>
  <c r="G8" i="23" s="1"/>
  <c r="Y70" i="49"/>
  <c r="Y69" i="49"/>
  <c r="A94" i="29"/>
  <c r="B93" i="29"/>
  <c r="C79" i="45"/>
  <c r="C78" i="45"/>
  <c r="A90" i="44"/>
  <c r="B90" i="44" s="1"/>
  <c r="B89" i="44"/>
  <c r="O85" i="36"/>
  <c r="P85" i="36" s="1"/>
  <c r="P84" i="36"/>
  <c r="P79" i="40"/>
  <c r="O80" i="40"/>
  <c r="P80" i="40" s="1"/>
  <c r="P91" i="46"/>
  <c r="O96" i="46"/>
  <c r="O92" i="46"/>
  <c r="P91" i="34"/>
  <c r="O96" i="34"/>
  <c r="O92" i="34"/>
  <c r="AL84" i="29"/>
  <c r="AH84" i="29"/>
  <c r="AL85" i="29"/>
  <c r="AH85" i="29"/>
  <c r="AI82" i="29"/>
  <c r="F4" i="20"/>
  <c r="D9" i="24"/>
  <c r="F9" i="24" s="1"/>
  <c r="G9" i="24" s="1"/>
  <c r="H9" i="24"/>
  <c r="I9" i="24" s="1"/>
  <c r="AI97" i="40"/>
  <c r="AL99" i="40"/>
  <c r="AH99" i="40"/>
  <c r="AL100" i="40"/>
  <c r="AH100" i="40"/>
  <c r="O88" i="33"/>
  <c r="P87" i="33"/>
  <c r="O92" i="43"/>
  <c r="P91" i="43"/>
  <c r="O96" i="43"/>
  <c r="AC114" i="46"/>
  <c r="AD114" i="46" s="1"/>
  <c r="AD113" i="46"/>
  <c r="AC118" i="46"/>
  <c r="O97" i="48"/>
  <c r="P96" i="48"/>
  <c r="O101" i="48"/>
  <c r="G67" i="30"/>
  <c r="K70" i="30"/>
  <c r="K69" i="30"/>
  <c r="S4" i="50"/>
  <c r="AA5" i="50"/>
  <c r="AA4" i="50"/>
  <c r="C79" i="26"/>
  <c r="C78" i="26"/>
  <c r="P91" i="28"/>
  <c r="O96" i="28"/>
  <c r="O92" i="28"/>
  <c r="G72" i="32"/>
  <c r="K74" i="32"/>
  <c r="K75" i="32"/>
  <c r="M80" i="38"/>
  <c r="I80" i="38"/>
  <c r="G79" i="38"/>
  <c r="M79" i="38"/>
  <c r="I79" i="38"/>
  <c r="B92" i="26"/>
  <c r="A93" i="26"/>
  <c r="AP74" i="33"/>
  <c r="P28" i="37"/>
  <c r="P83" i="31"/>
  <c r="Q83" i="31" s="1"/>
  <c r="O84" i="31"/>
  <c r="Y75" i="35"/>
  <c r="Y74" i="35"/>
  <c r="AK13" i="50"/>
  <c r="AK12" i="50"/>
  <c r="AQ11" i="50"/>
  <c r="AM11" i="50"/>
  <c r="AQ10" i="50"/>
  <c r="AM10" i="50"/>
  <c r="Q77" i="38"/>
  <c r="Q79" i="38"/>
  <c r="G72" i="42"/>
  <c r="K75" i="42"/>
  <c r="K74" i="42"/>
  <c r="AJ90" i="50"/>
  <c r="AJ89" i="50"/>
  <c r="Y75" i="42"/>
  <c r="Y74" i="42"/>
  <c r="P116" i="32"/>
  <c r="O121" i="32"/>
  <c r="O117" i="32"/>
  <c r="B97" i="50"/>
  <c r="A98" i="50"/>
  <c r="B101" i="42"/>
  <c r="A106" i="42"/>
  <c r="A102" i="42"/>
  <c r="AC94" i="45"/>
  <c r="AD94" i="45" s="1"/>
  <c r="AD93" i="45"/>
  <c r="AC98" i="45"/>
  <c r="A90" i="28"/>
  <c r="B90" i="28" s="1"/>
  <c r="B89" i="28"/>
  <c r="A93" i="36"/>
  <c r="B92" i="36"/>
  <c r="O89" i="35"/>
  <c r="P88" i="35"/>
  <c r="Q88" i="35" s="1"/>
  <c r="H62" i="50"/>
  <c r="X72" i="38"/>
  <c r="C83" i="38"/>
  <c r="C84" i="38"/>
  <c r="AV5" i="20"/>
  <c r="AG58" i="50"/>
  <c r="AJ90" i="49"/>
  <c r="AJ89" i="49"/>
  <c r="AJ90" i="37"/>
  <c r="AJ89" i="37"/>
  <c r="P91" i="50"/>
  <c r="O96" i="50"/>
  <c r="O92" i="50"/>
  <c r="AC94" i="28"/>
  <c r="AD94" i="28" s="1"/>
  <c r="AD93" i="28"/>
  <c r="AC98" i="28"/>
  <c r="B89" i="47"/>
  <c r="A90" i="47"/>
  <c r="B90" i="47" s="1"/>
  <c r="G67" i="26"/>
  <c r="K69" i="26"/>
  <c r="K70" i="26"/>
  <c r="AJ89" i="33"/>
  <c r="AJ90" i="33"/>
  <c r="Y75" i="38"/>
  <c r="Y74" i="38"/>
  <c r="AE54" i="49"/>
  <c r="AG54" i="49" s="1"/>
  <c r="AE58" i="49"/>
  <c r="D54" i="49"/>
  <c r="R53" i="49"/>
  <c r="D58" i="49"/>
  <c r="F58" i="49" s="1"/>
  <c r="H58" i="49" s="1"/>
  <c r="D62" i="49"/>
  <c r="R57" i="49"/>
  <c r="F54" i="50"/>
  <c r="J52" i="50"/>
  <c r="F8" i="24"/>
  <c r="W85" i="47"/>
  <c r="AA84" i="47"/>
  <c r="AO84" i="47" s="1"/>
  <c r="AP84" i="47" s="1"/>
  <c r="AA85" i="47"/>
  <c r="AO85" i="47" s="1"/>
  <c r="AP85" i="47" s="1"/>
  <c r="W84" i="47"/>
  <c r="AL90" i="49"/>
  <c r="AI87" i="49"/>
  <c r="AH89" i="49"/>
  <c r="AL89" i="49"/>
  <c r="AH90" i="49"/>
  <c r="F67" i="50"/>
  <c r="AI87" i="37"/>
  <c r="AL89" i="37"/>
  <c r="AH89" i="37"/>
  <c r="AL90" i="37"/>
  <c r="AH90" i="37"/>
  <c r="P83" i="27"/>
  <c r="Q83" i="27" s="1"/>
  <c r="O84" i="27"/>
  <c r="X72" i="26"/>
  <c r="Q77" i="35"/>
  <c r="Q79" i="35"/>
  <c r="Y70" i="50"/>
  <c r="Y69" i="50"/>
  <c r="AA15" i="50"/>
  <c r="AA16" i="50"/>
  <c r="W13" i="50"/>
  <c r="A90" i="40"/>
  <c r="B90" i="40" s="1"/>
  <c r="B89" i="40"/>
  <c r="AG53" i="49"/>
  <c r="Q79" i="48"/>
  <c r="Q77" i="48"/>
  <c r="A89" i="26"/>
  <c r="B88" i="26"/>
  <c r="B97" i="38"/>
  <c r="A98" i="38"/>
  <c r="Q74" i="33"/>
  <c r="Q72" i="33"/>
  <c r="N18" i="31"/>
  <c r="L4" i="31" s="1"/>
  <c r="N19" i="31"/>
  <c r="L5" i="31" s="1"/>
  <c r="W105" i="32"/>
  <c r="AA104" i="32"/>
  <c r="AO104" i="32" s="1"/>
  <c r="AP104" i="32" s="1"/>
  <c r="W104" i="32"/>
  <c r="AA105" i="32"/>
  <c r="AO105" i="32" s="1"/>
  <c r="AP105" i="32" s="1"/>
  <c r="M28" i="50"/>
  <c r="O27" i="50"/>
  <c r="O28" i="50"/>
  <c r="J28" i="50"/>
  <c r="L28" i="50" s="1"/>
  <c r="AK4" i="50"/>
  <c r="N19" i="36"/>
  <c r="L5" i="36" s="1"/>
  <c r="N18" i="36"/>
  <c r="L4" i="36" s="1"/>
  <c r="C77" i="49"/>
  <c r="G78" i="49"/>
  <c r="O92" i="44"/>
  <c r="P91" i="44"/>
  <c r="O96" i="44"/>
  <c r="AN11" i="38"/>
  <c r="AR11" i="38" s="1"/>
  <c r="AL12" i="38" s="1"/>
  <c r="L10" i="38" s="1"/>
  <c r="O96" i="59"/>
  <c r="P96" i="59" s="1"/>
  <c r="P95" i="59"/>
  <c r="Z23" i="34"/>
  <c r="AD23" i="34" s="1"/>
  <c r="X25" i="34" s="1"/>
  <c r="L9" i="34" s="1"/>
  <c r="V34" i="47"/>
  <c r="V35" i="47" s="1"/>
  <c r="X35" i="47" s="1"/>
  <c r="AB35" i="47" s="1"/>
  <c r="T34" i="47"/>
  <c r="T35" i="47" s="1"/>
  <c r="X34" i="47" s="1"/>
  <c r="AB34" i="47" s="1"/>
  <c r="A106" i="27"/>
  <c r="A102" i="27"/>
  <c r="B101" i="27"/>
  <c r="M80" i="32"/>
  <c r="I80" i="32"/>
  <c r="G79" i="32"/>
  <c r="I79" i="32"/>
  <c r="M79" i="32"/>
  <c r="A94" i="42"/>
  <c r="B93" i="42"/>
  <c r="P79" i="34"/>
  <c r="O80" i="34"/>
  <c r="P80" i="34" s="1"/>
  <c r="A89" i="36"/>
  <c r="B88" i="36"/>
  <c r="P83" i="44"/>
  <c r="Q83" i="44" s="1"/>
  <c r="O84" i="44"/>
  <c r="V16" i="31"/>
  <c r="Z15" i="31" s="1"/>
  <c r="AD15" i="31" s="1"/>
  <c r="X13" i="31"/>
  <c r="X16" i="31" s="1"/>
  <c r="Z16" i="31" s="1"/>
  <c r="AD16" i="31" s="1"/>
  <c r="AJ85" i="47"/>
  <c r="AJ84" i="47"/>
  <c r="X67" i="39"/>
  <c r="P91" i="49"/>
  <c r="O96" i="49"/>
  <c r="O92" i="49"/>
  <c r="A89" i="39"/>
  <c r="B88" i="39"/>
  <c r="AA80" i="46"/>
  <c r="AO80" i="46" s="1"/>
  <c r="W80" i="46"/>
  <c r="AA79" i="46"/>
  <c r="AO79" i="46" s="1"/>
  <c r="W79" i="46"/>
  <c r="C77" i="44"/>
  <c r="G78" i="44"/>
  <c r="Q89" i="59"/>
  <c r="Q87" i="59"/>
  <c r="X72" i="30"/>
  <c r="AA6" i="23"/>
  <c r="AG6" i="23" s="1"/>
  <c r="B92" i="43"/>
  <c r="A93" i="43"/>
  <c r="M75" i="43"/>
  <c r="I74" i="43"/>
  <c r="I75" i="43"/>
  <c r="G74" i="43"/>
  <c r="M74" i="43"/>
  <c r="P92" i="38"/>
  <c r="O93" i="38"/>
  <c r="O85" i="30"/>
  <c r="P85" i="30" s="1"/>
  <c r="P84" i="30"/>
  <c r="M18" i="50"/>
  <c r="O15" i="50"/>
  <c r="M19" i="50"/>
  <c r="O16" i="50"/>
  <c r="Y70" i="40"/>
  <c r="Y69" i="40"/>
  <c r="N27" i="47"/>
  <c r="N29" i="47" s="1"/>
  <c r="P28" i="47" s="1"/>
  <c r="L29" i="47"/>
  <c r="P27" i="47" s="1"/>
  <c r="O80" i="44"/>
  <c r="P80" i="44" s="1"/>
  <c r="P79" i="44"/>
  <c r="A106" i="31"/>
  <c r="A102" i="31"/>
  <c r="B101" i="31"/>
  <c r="AV4" i="53"/>
  <c r="AK5" i="61"/>
  <c r="C10" i="49"/>
  <c r="D67" i="49" s="1"/>
  <c r="F67" i="49" s="1"/>
  <c r="B5" i="19"/>
  <c r="B5" i="53"/>
  <c r="AP5" i="19"/>
  <c r="Y4" i="19" s="1"/>
  <c r="AP5" i="53"/>
  <c r="Y4" i="53" s="1"/>
  <c r="V37" i="46"/>
  <c r="T37" i="46"/>
  <c r="O97" i="26"/>
  <c r="P96" i="26"/>
  <c r="O101" i="26"/>
  <c r="K74" i="28"/>
  <c r="G72" i="28"/>
  <c r="K75" i="28"/>
  <c r="A106" i="44"/>
  <c r="A102" i="44"/>
  <c r="B101" i="44"/>
  <c r="AL90" i="48"/>
  <c r="AH90" i="48"/>
  <c r="AI87" i="48"/>
  <c r="AL89" i="48"/>
  <c r="AH89" i="48"/>
  <c r="Y70" i="43"/>
  <c r="Y69" i="43"/>
  <c r="O88" i="40"/>
  <c r="P87" i="40"/>
  <c r="P88" i="48"/>
  <c r="Q88" i="48" s="1"/>
  <c r="O89" i="48"/>
  <c r="R43" i="47"/>
  <c r="AE48" i="47"/>
  <c r="AE44" i="47"/>
  <c r="AG44" i="47" s="1"/>
  <c r="D44" i="47"/>
  <c r="F44" i="47" s="1"/>
  <c r="H44" i="47" s="1"/>
  <c r="D48" i="47"/>
  <c r="F48" i="47" s="1"/>
  <c r="H48" i="47" s="1"/>
  <c r="R39" i="47"/>
  <c r="AC98" i="30"/>
  <c r="AC94" i="30"/>
  <c r="AD94" i="30" s="1"/>
  <c r="AD93" i="30"/>
  <c r="AV6" i="21"/>
  <c r="Q72" i="46"/>
  <c r="Q74" i="46"/>
  <c r="P79" i="45"/>
  <c r="O80" i="45"/>
  <c r="P80" i="45" s="1"/>
  <c r="Q74" i="44"/>
  <c r="Q72" i="44"/>
  <c r="C72" i="46"/>
  <c r="G73" i="46"/>
  <c r="M74" i="26"/>
  <c r="I74" i="26"/>
  <c r="M75" i="26"/>
  <c r="I75" i="26"/>
  <c r="G74" i="26"/>
  <c r="A94" i="38"/>
  <c r="B93" i="38"/>
  <c r="G73" i="48"/>
  <c r="C72" i="48"/>
  <c r="Z28" i="31"/>
  <c r="AD28" i="31" s="1"/>
  <c r="AL90" i="42"/>
  <c r="AH90" i="42"/>
  <c r="AI87" i="42"/>
  <c r="AL89" i="42"/>
  <c r="AH89" i="42"/>
  <c r="O92" i="31"/>
  <c r="P91" i="31"/>
  <c r="O96" i="31"/>
  <c r="AA85" i="29"/>
  <c r="AO85" i="29" s="1"/>
  <c r="AP85" i="29" s="1"/>
  <c r="W85" i="29"/>
  <c r="AA84" i="29"/>
  <c r="AO84" i="29" s="1"/>
  <c r="W84" i="29"/>
  <c r="AN16" i="31"/>
  <c r="AR16" i="31" s="1"/>
  <c r="AA80" i="33"/>
  <c r="AO80" i="33" s="1"/>
  <c r="AP80" i="33" s="1"/>
  <c r="W80" i="33"/>
  <c r="AA79" i="33"/>
  <c r="AO79" i="33" s="1"/>
  <c r="W79" i="33"/>
  <c r="AA80" i="50"/>
  <c r="AO80" i="50" s="1"/>
  <c r="W80" i="50"/>
  <c r="AA79" i="50"/>
  <c r="AO79" i="50" s="1"/>
  <c r="W79" i="50"/>
  <c r="AL90" i="27"/>
  <c r="AH90" i="27"/>
  <c r="AI87" i="27"/>
  <c r="AL89" i="27"/>
  <c r="AH89" i="27"/>
  <c r="Z5" i="26"/>
  <c r="AD5" i="26" s="1"/>
  <c r="X7" i="26" s="1"/>
  <c r="K75" i="27"/>
  <c r="K74" i="27"/>
  <c r="G72" i="27"/>
  <c r="R62" i="50"/>
  <c r="M80" i="34"/>
  <c r="I80" i="34"/>
  <c r="G79" i="34"/>
  <c r="M79" i="34"/>
  <c r="I79" i="34"/>
  <c r="AL102" i="59"/>
  <c r="AL101" i="59"/>
  <c r="A94" i="27"/>
  <c r="B93" i="27"/>
  <c r="AA85" i="48"/>
  <c r="AO85" i="48" s="1"/>
  <c r="AP85" i="48" s="1"/>
  <c r="W85" i="48"/>
  <c r="AA84" i="48"/>
  <c r="AO84" i="48" s="1"/>
  <c r="W84" i="48"/>
  <c r="P83" i="49"/>
  <c r="Q83" i="49" s="1"/>
  <c r="O84" i="49"/>
  <c r="B101" i="29"/>
  <c r="A106" i="29"/>
  <c r="A102" i="29"/>
  <c r="B96" i="39"/>
  <c r="A97" i="39"/>
  <c r="A101" i="39"/>
  <c r="AA80" i="39"/>
  <c r="AO80" i="39" s="1"/>
  <c r="AP80" i="39" s="1"/>
  <c r="W80" i="39"/>
  <c r="AA79" i="39"/>
  <c r="AO79" i="39" s="1"/>
  <c r="AP79" i="39" s="1"/>
  <c r="W79" i="39"/>
  <c r="P92" i="29"/>
  <c r="O93" i="29"/>
  <c r="N27" i="30"/>
  <c r="L29" i="30"/>
  <c r="P27" i="30" s="1"/>
  <c r="A90" i="31"/>
  <c r="B90" i="31" s="1"/>
  <c r="B89" i="31"/>
  <c r="AC89" i="41"/>
  <c r="AD89" i="41" s="1"/>
  <c r="AD88" i="41"/>
  <c r="AC93" i="41"/>
  <c r="AJ89" i="26"/>
  <c r="AJ90" i="26"/>
  <c r="N18" i="40"/>
  <c r="L4" i="40" s="1"/>
  <c r="N19" i="40"/>
  <c r="L5" i="40" s="1"/>
  <c r="X22" i="31"/>
  <c r="V22" i="31"/>
  <c r="N18" i="37"/>
  <c r="L4" i="37" s="1"/>
  <c r="N19" i="37"/>
  <c r="L5" i="37" s="1"/>
  <c r="AA85" i="35"/>
  <c r="AO85" i="35" s="1"/>
  <c r="AP85" i="35" s="1"/>
  <c r="W85" i="35"/>
  <c r="AA84" i="35"/>
  <c r="AO84" i="35" s="1"/>
  <c r="W84" i="35"/>
  <c r="B96" i="46"/>
  <c r="A97" i="46"/>
  <c r="A101" i="46"/>
  <c r="O101" i="35"/>
  <c r="O97" i="35"/>
  <c r="P96" i="35"/>
  <c r="AJ84" i="44"/>
  <c r="AJ85" i="44"/>
  <c r="M80" i="47"/>
  <c r="G79" i="47"/>
  <c r="I80" i="47"/>
  <c r="M79" i="47"/>
  <c r="I79" i="47"/>
  <c r="P79" i="37"/>
  <c r="O80" i="37"/>
  <c r="P80" i="37" s="1"/>
  <c r="Y70" i="31"/>
  <c r="Y69" i="31"/>
  <c r="Z5" i="40"/>
  <c r="AD5" i="40" s="1"/>
  <c r="X6" i="40" s="1"/>
  <c r="K74" i="50"/>
  <c r="G72" i="50"/>
  <c r="K75" i="50"/>
  <c r="C77" i="50"/>
  <c r="G78" i="50"/>
  <c r="Z40" i="50"/>
  <c r="AB40" i="50" s="1"/>
  <c r="AK40" i="50"/>
  <c r="AM40" i="50" s="1"/>
  <c r="AS40" i="50" s="1"/>
  <c r="L45" i="50"/>
  <c r="N45" i="50" s="1"/>
  <c r="AQ45" i="50" s="1"/>
  <c r="AO11" i="50"/>
  <c r="AO10" i="50"/>
  <c r="AG10" i="50"/>
  <c r="P28" i="31"/>
  <c r="Y4" i="20"/>
  <c r="AA8" i="24"/>
  <c r="AL90" i="31"/>
  <c r="AH90" i="31"/>
  <c r="AI87" i="31"/>
  <c r="AL89" i="31"/>
  <c r="AH89" i="31"/>
  <c r="N19" i="26"/>
  <c r="L5" i="26" s="1"/>
  <c r="N18" i="26"/>
  <c r="L4" i="26" s="1"/>
  <c r="AN11" i="29"/>
  <c r="AR11" i="29" s="1"/>
  <c r="AL12" i="29" s="1"/>
  <c r="L10" i="29" s="1"/>
  <c r="O92" i="27"/>
  <c r="P91" i="27"/>
  <c r="O96" i="27"/>
  <c r="K75" i="49"/>
  <c r="K74" i="49"/>
  <c r="G72" i="49"/>
  <c r="N18" i="28"/>
  <c r="L4" i="28" s="1"/>
  <c r="N19" i="28"/>
  <c r="L5" i="28" s="1"/>
  <c r="B101" i="47"/>
  <c r="A106" i="47"/>
  <c r="A102" i="47"/>
  <c r="O92" i="39"/>
  <c r="P91" i="39"/>
  <c r="O96" i="39"/>
  <c r="AP74" i="40"/>
  <c r="AC94" i="34"/>
  <c r="AD94" i="34" s="1"/>
  <c r="AD93" i="34"/>
  <c r="AC98" i="34"/>
  <c r="AG55" i="50"/>
  <c r="P28" i="40"/>
  <c r="AJ89" i="39"/>
  <c r="AJ90" i="39"/>
  <c r="O97" i="42"/>
  <c r="P96" i="42"/>
  <c r="O101" i="42"/>
  <c r="W80" i="43"/>
  <c r="AA79" i="43"/>
  <c r="AO79" i="43" s="1"/>
  <c r="AA80" i="43"/>
  <c r="AO80" i="43" s="1"/>
  <c r="AP80" i="43" s="1"/>
  <c r="W79" i="43"/>
  <c r="AL84" i="38"/>
  <c r="AH84" i="38"/>
  <c r="AL85" i="38"/>
  <c r="AH85" i="38"/>
  <c r="AI82" i="38"/>
  <c r="AC94" i="36"/>
  <c r="AD94" i="36" s="1"/>
  <c r="AD93" i="36"/>
  <c r="AC98" i="36"/>
  <c r="N27" i="44"/>
  <c r="N29" i="44" s="1"/>
  <c r="P28" i="44" s="1"/>
  <c r="L29" i="44"/>
  <c r="P27" i="44" s="1"/>
  <c r="X72" i="47"/>
  <c r="P28" i="39"/>
  <c r="B101" i="35"/>
  <c r="A106" i="35"/>
  <c r="A102" i="35"/>
  <c r="AA85" i="26"/>
  <c r="AO85" i="26" s="1"/>
  <c r="AP85" i="26" s="1"/>
  <c r="W85" i="26"/>
  <c r="AA84" i="26"/>
  <c r="AO84" i="26" s="1"/>
  <c r="AP84" i="26" s="1"/>
  <c r="W84" i="26"/>
  <c r="AE39" i="46"/>
  <c r="AG39" i="46" s="1"/>
  <c r="D39" i="46"/>
  <c r="F39" i="46" s="1"/>
  <c r="H39" i="46" s="1"/>
  <c r="R38" i="46"/>
  <c r="R34" i="46"/>
  <c r="D43" i="46"/>
  <c r="F43" i="46" s="1"/>
  <c r="H43" i="46" s="1"/>
  <c r="AE43" i="46"/>
  <c r="R42" i="46"/>
  <c r="D47" i="46"/>
  <c r="X67" i="49"/>
  <c r="H42" i="47"/>
  <c r="Q77" i="47"/>
  <c r="Q79" i="47"/>
  <c r="AA85" i="36"/>
  <c r="AO85" i="36" s="1"/>
  <c r="AP85" i="36" s="1"/>
  <c r="W85" i="36"/>
  <c r="AA84" i="36"/>
  <c r="AO84" i="36" s="1"/>
  <c r="AP84" i="36" s="1"/>
  <c r="W84" i="36"/>
  <c r="O80" i="31"/>
  <c r="P80" i="31" s="1"/>
  <c r="P79" i="31"/>
  <c r="N18" i="32"/>
  <c r="L4" i="32" s="1"/>
  <c r="N19" i="32"/>
  <c r="L5" i="32" s="1"/>
  <c r="M83" i="59"/>
  <c r="M84" i="59"/>
  <c r="G83" i="59"/>
  <c r="AV9" i="24"/>
  <c r="Q74" i="27"/>
  <c r="Q72" i="27"/>
  <c r="P88" i="26"/>
  <c r="Q88" i="26" s="1"/>
  <c r="O89" i="26"/>
  <c r="AJ90" i="32"/>
  <c r="AJ89" i="32"/>
  <c r="G73" i="30"/>
  <c r="C72" i="30"/>
  <c r="L29" i="27"/>
  <c r="P27" i="27" s="1"/>
  <c r="N27" i="27"/>
  <c r="N29" i="27" s="1"/>
  <c r="P28" i="27" s="1"/>
  <c r="AJ110" i="46"/>
  <c r="AJ109" i="46"/>
  <c r="A94" i="47"/>
  <c r="B93" i="47"/>
  <c r="A90" i="38"/>
  <c r="B90" i="38" s="1"/>
  <c r="B89" i="38"/>
  <c r="X67" i="28"/>
  <c r="C77" i="31"/>
  <c r="G78" i="31"/>
  <c r="Q77" i="41"/>
  <c r="Q79" i="41"/>
  <c r="C77" i="38"/>
  <c r="G78" i="38"/>
  <c r="C77" i="27"/>
  <c r="G78" i="27"/>
  <c r="C79" i="48"/>
  <c r="C78" i="48"/>
  <c r="B96" i="26"/>
  <c r="A101" i="26"/>
  <c r="A97" i="26"/>
  <c r="N27" i="37"/>
  <c r="L29" i="37"/>
  <c r="P27" i="37" s="1"/>
  <c r="L6" i="37" s="1"/>
  <c r="P88" i="30"/>
  <c r="Q88" i="30" s="1"/>
  <c r="O89" i="30"/>
  <c r="AC9" i="50"/>
  <c r="Y9" i="50"/>
  <c r="Z7" i="50"/>
  <c r="AC10" i="50"/>
  <c r="Y10" i="50"/>
  <c r="A94" i="35"/>
  <c r="B93" i="35"/>
  <c r="P16" i="38"/>
  <c r="N19" i="38" s="1"/>
  <c r="L5" i="38" s="1"/>
  <c r="C79" i="37"/>
  <c r="C78" i="37"/>
  <c r="B101" i="32"/>
  <c r="A102" i="32"/>
  <c r="A106" i="32"/>
  <c r="G73" i="39"/>
  <c r="C72" i="39"/>
  <c r="AI87" i="50"/>
  <c r="AL89" i="50"/>
  <c r="AH89" i="50"/>
  <c r="AL90" i="50"/>
  <c r="AH90" i="50"/>
  <c r="X72" i="42"/>
  <c r="P16" i="29"/>
  <c r="N18" i="29" s="1"/>
  <c r="L4" i="29" s="1"/>
  <c r="B101" i="50"/>
  <c r="A106" i="50"/>
  <c r="A102" i="50"/>
  <c r="AJ90" i="45"/>
  <c r="AJ89" i="45"/>
  <c r="A101" i="36"/>
  <c r="A97" i="36"/>
  <c r="B96" i="36"/>
  <c r="A90" i="32"/>
  <c r="B90" i="32" s="1"/>
  <c r="B89" i="32"/>
  <c r="AP79" i="36"/>
  <c r="O84" i="34"/>
  <c r="P83" i="34"/>
  <c r="Q83" i="34" s="1"/>
  <c r="A90" i="41"/>
  <c r="B90" i="41" s="1"/>
  <c r="B89" i="41"/>
  <c r="T53" i="50"/>
  <c r="V53" i="50"/>
  <c r="AC98" i="49"/>
  <c r="AC94" i="49"/>
  <c r="AD94" i="49" s="1"/>
  <c r="AD93" i="49"/>
  <c r="K74" i="29"/>
  <c r="G72" i="29"/>
  <c r="K75" i="29"/>
  <c r="O88" i="37"/>
  <c r="P87" i="37"/>
  <c r="AP74" i="39"/>
  <c r="A98" i="33"/>
  <c r="B97" i="33"/>
  <c r="AC15" i="50"/>
  <c r="Y15" i="50"/>
  <c r="AC16" i="50"/>
  <c r="Y16" i="50"/>
  <c r="W15" i="50"/>
  <c r="O84" i="28"/>
  <c r="P83" i="28"/>
  <c r="Q83" i="28" s="1"/>
  <c r="V44" i="49"/>
  <c r="V45" i="49" s="1"/>
  <c r="T44" i="49"/>
  <c r="T45" i="49" s="1"/>
  <c r="X44" i="49" s="1"/>
  <c r="Y75" i="36"/>
  <c r="Y74" i="36"/>
  <c r="AP79" i="41"/>
  <c r="Y75" i="48"/>
  <c r="Y74" i="48"/>
  <c r="B101" i="38"/>
  <c r="A106" i="38"/>
  <c r="A102" i="38"/>
  <c r="P104" i="32"/>
  <c r="O105" i="32"/>
  <c r="P105" i="32" s="1"/>
  <c r="AC89" i="35"/>
  <c r="AD89" i="35" s="1"/>
  <c r="AD88" i="35"/>
  <c r="AC93" i="35"/>
  <c r="B92" i="30"/>
  <c r="A93" i="30"/>
  <c r="J27" i="50"/>
  <c r="M27" i="50"/>
  <c r="AQ5" i="50"/>
  <c r="AM5" i="50"/>
  <c r="AK5" i="50"/>
  <c r="AQ6" i="50"/>
  <c r="AM6" i="50"/>
  <c r="M79" i="49"/>
  <c r="I79" i="49"/>
  <c r="M80" i="49"/>
  <c r="I80" i="49"/>
  <c r="G79" i="49"/>
  <c r="A94" i="40"/>
  <c r="B93" i="40"/>
  <c r="M80" i="29"/>
  <c r="I80" i="29"/>
  <c r="G79" i="29"/>
  <c r="M79" i="29"/>
  <c r="I79" i="29"/>
  <c r="B97" i="34"/>
  <c r="A98" i="34"/>
  <c r="K69" i="46"/>
  <c r="G67" i="46"/>
  <c r="K70" i="46"/>
  <c r="V38" i="47"/>
  <c r="T38" i="47"/>
  <c r="C84" i="40"/>
  <c r="C83" i="40"/>
  <c r="W83" i="59"/>
  <c r="Y84" i="59"/>
  <c r="Y83" i="59"/>
  <c r="W84" i="59"/>
  <c r="K74" i="47"/>
  <c r="G72" i="47"/>
  <c r="K75" i="47"/>
  <c r="M80" i="35"/>
  <c r="I80" i="35"/>
  <c r="G79" i="35"/>
  <c r="M79" i="35"/>
  <c r="I79" i="35"/>
  <c r="C72" i="45"/>
  <c r="G73" i="45"/>
  <c r="AI82" i="47"/>
  <c r="AL84" i="47"/>
  <c r="AH85" i="47"/>
  <c r="AL85" i="47"/>
  <c r="AH84" i="47"/>
  <c r="K74" i="34"/>
  <c r="G72" i="34"/>
  <c r="K75" i="34"/>
  <c r="P79" i="46"/>
  <c r="O80" i="46"/>
  <c r="P80" i="46" s="1"/>
  <c r="M79" i="44"/>
  <c r="I79" i="44"/>
  <c r="M80" i="44"/>
  <c r="I80" i="44"/>
  <c r="G79" i="44"/>
  <c r="B96" i="43"/>
  <c r="A101" i="43"/>
  <c r="A97" i="43"/>
  <c r="J50" i="50"/>
  <c r="J49" i="50"/>
  <c r="O101" i="38"/>
  <c r="O97" i="38"/>
  <c r="P96" i="38"/>
  <c r="G67" i="36"/>
  <c r="K70" i="36"/>
  <c r="K69" i="36"/>
  <c r="AA85" i="30"/>
  <c r="AO85" i="30" s="1"/>
  <c r="AP85" i="30" s="1"/>
  <c r="W85" i="30"/>
  <c r="AA84" i="30"/>
  <c r="AO84" i="30" s="1"/>
  <c r="AP84" i="30" s="1"/>
  <c r="W84" i="30"/>
  <c r="N21" i="50"/>
  <c r="M23" i="50"/>
  <c r="M22" i="50"/>
  <c r="AA80" i="44"/>
  <c r="AO80" i="44" s="1"/>
  <c r="AP80" i="44" s="1"/>
  <c r="W80" i="44"/>
  <c r="AA79" i="44"/>
  <c r="AO79" i="44" s="1"/>
  <c r="AP79" i="44" s="1"/>
  <c r="W79" i="44"/>
  <c r="AV4" i="19"/>
  <c r="AG34" i="46"/>
  <c r="AG35" i="46" s="1"/>
  <c r="AE35" i="46"/>
  <c r="AI34" i="46" s="1"/>
  <c r="AM34" i="46" s="1"/>
  <c r="AS34" i="46" s="1"/>
  <c r="P105" i="59"/>
  <c r="O106" i="59"/>
  <c r="AP74" i="31"/>
  <c r="O84" i="37"/>
  <c r="P83" i="37"/>
  <c r="Q83" i="37" s="1"/>
  <c r="AC98" i="48"/>
  <c r="AC94" i="48"/>
  <c r="AD94" i="48" s="1"/>
  <c r="AD93" i="48"/>
  <c r="P91" i="40"/>
  <c r="O96" i="40"/>
  <c r="O92" i="40"/>
  <c r="AV7" i="22"/>
  <c r="A94" i="33"/>
  <c r="B93" i="33"/>
  <c r="H6" i="21"/>
  <c r="I6" i="21" s="1"/>
  <c r="D6" i="21"/>
  <c r="X67" i="46"/>
  <c r="N19" i="30"/>
  <c r="L5" i="30" s="1"/>
  <c r="N18" i="30"/>
  <c r="L4" i="30" s="1"/>
  <c r="M75" i="46"/>
  <c r="I75" i="46"/>
  <c r="G74" i="46"/>
  <c r="M74" i="46"/>
  <c r="I74" i="46"/>
  <c r="C83" i="35"/>
  <c r="C84" i="35"/>
  <c r="M74" i="48"/>
  <c r="I74" i="48"/>
  <c r="M75" i="48"/>
  <c r="I75" i="48"/>
  <c r="G74" i="48"/>
  <c r="AC98" i="42"/>
  <c r="AC94" i="42"/>
  <c r="AD94" i="42" s="1"/>
  <c r="AD93" i="42"/>
  <c r="O97" i="30"/>
  <c r="P96" i="30"/>
  <c r="O101" i="30"/>
  <c r="O85" i="29"/>
  <c r="P85" i="29" s="1"/>
  <c r="P84" i="29"/>
  <c r="M74" i="36"/>
  <c r="I74" i="36"/>
  <c r="M75" i="36"/>
  <c r="I75" i="36"/>
  <c r="G74" i="36"/>
  <c r="G67" i="48"/>
  <c r="K70" i="48"/>
  <c r="K69" i="48"/>
  <c r="A94" i="34"/>
  <c r="B93" i="34"/>
  <c r="M80" i="41"/>
  <c r="I80" i="41"/>
  <c r="G79" i="41"/>
  <c r="M79" i="41"/>
  <c r="I79" i="41"/>
  <c r="P79" i="50"/>
  <c r="O80" i="50"/>
  <c r="P80" i="50" s="1"/>
  <c r="X72" i="29"/>
  <c r="Q72" i="50"/>
  <c r="Q74" i="50"/>
  <c r="O97" i="36"/>
  <c r="O101" i="36"/>
  <c r="P96" i="36"/>
  <c r="AN101" i="59"/>
  <c r="AJ101" i="59"/>
  <c r="AN102" i="59"/>
  <c r="AJ102" i="59"/>
  <c r="AK99" i="59"/>
  <c r="AA85" i="38"/>
  <c r="AO85" i="38" s="1"/>
  <c r="AP85" i="38" s="1"/>
  <c r="W85" i="38"/>
  <c r="AA84" i="38"/>
  <c r="AO84" i="38" s="1"/>
  <c r="W84" i="38"/>
  <c r="L11" i="40"/>
  <c r="Q79" i="42"/>
  <c r="Q77" i="42"/>
  <c r="O101" i="29"/>
  <c r="O97" i="29"/>
  <c r="P96" i="29"/>
  <c r="A89" i="46"/>
  <c r="B88" i="46"/>
  <c r="B97" i="49"/>
  <c r="A98" i="49"/>
  <c r="G4" i="21"/>
  <c r="P88" i="47"/>
  <c r="Q88" i="47" s="1"/>
  <c r="O89" i="47"/>
  <c r="AJ85" i="41"/>
  <c r="AJ84" i="41"/>
  <c r="AL90" i="26"/>
  <c r="AH90" i="26"/>
  <c r="AI87" i="26"/>
  <c r="AL89" i="26"/>
  <c r="AH89" i="26"/>
  <c r="O85" i="35"/>
  <c r="P85" i="35" s="1"/>
  <c r="P84" i="35"/>
  <c r="B92" i="46"/>
  <c r="A93" i="46"/>
  <c r="AG40" i="47"/>
  <c r="AI40" i="47" s="1"/>
  <c r="P96" i="47"/>
  <c r="O97" i="47"/>
  <c r="O101" i="47"/>
  <c r="L29" i="26"/>
  <c r="P27" i="26" s="1"/>
  <c r="N27" i="26"/>
  <c r="AL85" i="44"/>
  <c r="AH85" i="44"/>
  <c r="AI82" i="44"/>
  <c r="AL84" i="44"/>
  <c r="AH84" i="44"/>
  <c r="O85" i="42"/>
  <c r="P85" i="42" s="1"/>
  <c r="P84" i="42"/>
  <c r="C79" i="43"/>
  <c r="C78" i="43"/>
  <c r="Y70" i="44"/>
  <c r="Y69" i="44"/>
  <c r="X67" i="31"/>
  <c r="M80" i="50"/>
  <c r="I80" i="50"/>
  <c r="G79" i="50"/>
  <c r="M79" i="50"/>
  <c r="I79" i="50"/>
  <c r="AA80" i="28"/>
  <c r="AO80" i="28" s="1"/>
  <c r="AP80" i="28" s="1"/>
  <c r="W80" i="28"/>
  <c r="AA79" i="28"/>
  <c r="AO79" i="28" s="1"/>
  <c r="AP79" i="28" s="1"/>
  <c r="W79" i="28"/>
  <c r="L29" i="31"/>
  <c r="P27" i="31" s="1"/>
  <c r="N27" i="31"/>
  <c r="Q72" i="43"/>
  <c r="Q74" i="43"/>
  <c r="A85" i="48"/>
  <c r="B85" i="48" s="1"/>
  <c r="B84" i="48"/>
  <c r="A94" i="44"/>
  <c r="B93" i="44"/>
  <c r="AG48" i="48"/>
  <c r="W25" i="50"/>
  <c r="W24" i="50"/>
  <c r="AC23" i="50"/>
  <c r="Y23" i="50"/>
  <c r="AC22" i="50"/>
  <c r="Y22" i="50"/>
  <c r="A90" i="35"/>
  <c r="B90" i="35" s="1"/>
  <c r="B89" i="35"/>
  <c r="AJ90" i="34"/>
  <c r="AJ89" i="34"/>
  <c r="AE55" i="50"/>
  <c r="AI54" i="50" s="1"/>
  <c r="N27" i="40"/>
  <c r="L29" i="40"/>
  <c r="P27" i="40" s="1"/>
  <c r="A90" i="34"/>
  <c r="B90" i="34" s="1"/>
  <c r="B89" i="34"/>
  <c r="AL90" i="39"/>
  <c r="AH90" i="39"/>
  <c r="AI87" i="39"/>
  <c r="AL89" i="39"/>
  <c r="AH89" i="39"/>
  <c r="C84" i="31"/>
  <c r="C83" i="31"/>
  <c r="N19" i="35"/>
  <c r="L5" i="35" s="1"/>
  <c r="N18" i="35"/>
  <c r="L4" i="35" s="1"/>
  <c r="AJ89" i="36"/>
  <c r="AJ90" i="36"/>
  <c r="Y75" i="47"/>
  <c r="Y74" i="47"/>
  <c r="N27" i="39"/>
  <c r="L29" i="39"/>
  <c r="P27" i="39" s="1"/>
  <c r="B100" i="59"/>
  <c r="A101" i="59"/>
  <c r="AV8" i="23"/>
  <c r="C77" i="40"/>
  <c r="G78" i="40"/>
  <c r="C72" i="37"/>
  <c r="G73" i="37"/>
  <c r="J47" i="49"/>
  <c r="AA80" i="31"/>
  <c r="AO80" i="31" s="1"/>
  <c r="AP80" i="31" s="1"/>
  <c r="W80" i="31"/>
  <c r="AA79" i="31"/>
  <c r="AO79" i="31" s="1"/>
  <c r="W79" i="31"/>
  <c r="A90" i="33"/>
  <c r="B90" i="33" s="1"/>
  <c r="B89" i="33"/>
  <c r="AC89" i="29"/>
  <c r="AD89" i="29" s="1"/>
  <c r="AD88" i="29"/>
  <c r="AC93" i="29"/>
  <c r="C81" i="59"/>
  <c r="G82" i="59"/>
  <c r="C84" i="32"/>
  <c r="C83" i="32"/>
  <c r="B97" i="28"/>
  <c r="A98" i="28"/>
  <c r="AF10" i="61"/>
  <c r="B10" i="24"/>
  <c r="C5" i="44"/>
  <c r="AP10" i="24"/>
  <c r="Y9" i="24" s="1"/>
  <c r="AC104" i="40"/>
  <c r="AD104" i="40" s="1"/>
  <c r="AD103" i="40"/>
  <c r="AC108" i="40"/>
  <c r="O92" i="33"/>
  <c r="P91" i="33"/>
  <c r="O96" i="33"/>
  <c r="P87" i="43"/>
  <c r="O88" i="43"/>
  <c r="AI87" i="32"/>
  <c r="AL89" i="32"/>
  <c r="AH89" i="32"/>
  <c r="AL90" i="32"/>
  <c r="AH90" i="32"/>
  <c r="K74" i="41"/>
  <c r="G72" i="41"/>
  <c r="K75" i="41"/>
  <c r="K74" i="38"/>
  <c r="G72" i="38"/>
  <c r="K75" i="38"/>
  <c r="M74" i="30"/>
  <c r="I74" i="30"/>
  <c r="M75" i="30"/>
  <c r="I75" i="30"/>
  <c r="G74" i="30"/>
  <c r="X67" i="45"/>
  <c r="AI107" i="46"/>
  <c r="AL109" i="46"/>
  <c r="AH109" i="46"/>
  <c r="AH110" i="46"/>
  <c r="AL110" i="46"/>
  <c r="P92" i="48"/>
  <c r="O93" i="48"/>
  <c r="C84" i="44"/>
  <c r="C83" i="44"/>
  <c r="Y70" i="28"/>
  <c r="Y69" i="28"/>
  <c r="B97" i="41"/>
  <c r="A98" i="41"/>
  <c r="O89" i="41"/>
  <c r="P88" i="41"/>
  <c r="Q88" i="41" s="1"/>
  <c r="Q72" i="45"/>
  <c r="Q74" i="45"/>
  <c r="M79" i="31"/>
  <c r="I79" i="31"/>
  <c r="M80" i="31"/>
  <c r="I80" i="31"/>
  <c r="G79" i="31"/>
  <c r="H45" i="48"/>
  <c r="M79" i="27"/>
  <c r="I79" i="27"/>
  <c r="M80" i="27"/>
  <c r="I80" i="27"/>
  <c r="G79" i="27"/>
  <c r="W6" i="50"/>
  <c r="AC5" i="50"/>
  <c r="Y5" i="50"/>
  <c r="AC4" i="50"/>
  <c r="Y4" i="50"/>
  <c r="W7" i="50"/>
  <c r="B97" i="40"/>
  <c r="A98" i="40"/>
  <c r="A116" i="59"/>
  <c r="B110" i="59"/>
  <c r="A111" i="59"/>
  <c r="B97" i="32"/>
  <c r="A98" i="32"/>
  <c r="M74" i="39"/>
  <c r="I74" i="39"/>
  <c r="M75" i="39"/>
  <c r="I75" i="39"/>
  <c r="G74" i="39"/>
  <c r="X67" i="37"/>
  <c r="A85" i="45"/>
  <c r="B85" i="45" s="1"/>
  <c r="B84" i="45"/>
  <c r="AI87" i="45"/>
  <c r="AL89" i="45"/>
  <c r="AH89" i="45"/>
  <c r="AL90" i="45"/>
  <c r="AH90" i="45"/>
  <c r="Z40" i="49"/>
  <c r="AK40" i="49"/>
  <c r="AM40" i="49" s="1"/>
  <c r="AS40" i="49" s="1"/>
  <c r="L45" i="49"/>
  <c r="N45" i="49" s="1"/>
  <c r="AQ45" i="49" s="1"/>
  <c r="L107" i="66" l="1"/>
  <c r="D72" i="50"/>
  <c r="R67" i="50"/>
  <c r="X25" i="30"/>
  <c r="L9" i="30" s="1"/>
  <c r="I23" i="66"/>
  <c r="D23" i="65"/>
  <c r="J23" i="66"/>
  <c r="B23" i="65" s="1"/>
  <c r="D47" i="65"/>
  <c r="A47" i="65" s="1"/>
  <c r="J47" i="66"/>
  <c r="B47" i="65" s="1"/>
  <c r="I47" i="66"/>
  <c r="D107" i="65"/>
  <c r="I107" i="66"/>
  <c r="J107" i="66"/>
  <c r="B107" i="65" s="1"/>
  <c r="D62" i="66"/>
  <c r="L67" i="66"/>
  <c r="B9" i="66"/>
  <c r="A9" i="66"/>
  <c r="D10" i="66"/>
  <c r="L11" i="66"/>
  <c r="D86" i="66"/>
  <c r="AA9" i="25"/>
  <c r="AG9" i="25" s="1"/>
  <c r="AF9" i="25" s="1"/>
  <c r="X8" i="25"/>
  <c r="D10" i="65"/>
  <c r="I10" i="66"/>
  <c r="J10" i="66"/>
  <c r="B10" i="65" s="1"/>
  <c r="X4" i="41"/>
  <c r="V4" i="41"/>
  <c r="V16" i="41"/>
  <c r="X13" i="41"/>
  <c r="X16" i="41" s="1"/>
  <c r="J39" i="47"/>
  <c r="N39" i="47" s="1"/>
  <c r="AQ39" i="47" s="1"/>
  <c r="T50" i="49"/>
  <c r="X49" i="49" s="1"/>
  <c r="A9" i="65"/>
  <c r="N27" i="43"/>
  <c r="N29" i="43" s="1"/>
  <c r="P28" i="43" s="1"/>
  <c r="L29" i="43"/>
  <c r="P27" i="43" s="1"/>
  <c r="P16" i="59"/>
  <c r="R16" i="59"/>
  <c r="N28" i="45"/>
  <c r="L27" i="45"/>
  <c r="P26" i="45"/>
  <c r="AR8" i="59"/>
  <c r="AP8" i="59"/>
  <c r="Z20" i="45"/>
  <c r="P28" i="59"/>
  <c r="R28" i="59" s="1"/>
  <c r="T25" i="59"/>
  <c r="T28" i="59" s="1"/>
  <c r="AE3" i="59"/>
  <c r="X5" i="59"/>
  <c r="AN8" i="45"/>
  <c r="AE21" i="59"/>
  <c r="X23" i="59"/>
  <c r="AR4" i="59"/>
  <c r="AT8" i="59"/>
  <c r="AN10" i="59"/>
  <c r="AM10" i="59"/>
  <c r="AP3" i="59"/>
  <c r="N27" i="48"/>
  <c r="N29" i="48" s="1"/>
  <c r="P28" i="48" s="1"/>
  <c r="L29" i="48"/>
  <c r="P27" i="48" s="1"/>
  <c r="AL12" i="32"/>
  <c r="L10" i="32" s="1"/>
  <c r="X24" i="26"/>
  <c r="L8" i="26" s="1"/>
  <c r="X6" i="28"/>
  <c r="L6" i="28" s="1"/>
  <c r="X24" i="39"/>
  <c r="L8" i="39" s="1"/>
  <c r="X24" i="37"/>
  <c r="L8" i="37" s="1"/>
  <c r="T39" i="48"/>
  <c r="T40" i="48" s="1"/>
  <c r="X39" i="48" s="1"/>
  <c r="X40" i="48" s="1"/>
  <c r="AV11" i="25"/>
  <c r="Y10" i="25"/>
  <c r="AE12" i="61"/>
  <c r="B12" i="25"/>
  <c r="AP12" i="25"/>
  <c r="C4" i="42"/>
  <c r="H11" i="25"/>
  <c r="I11" i="25" s="1"/>
  <c r="D11" i="25"/>
  <c r="F11" i="25" s="1"/>
  <c r="G11" i="25" s="1"/>
  <c r="V32" i="44"/>
  <c r="T32" i="44"/>
  <c r="AE33" i="43"/>
  <c r="AG33" i="43" s="1"/>
  <c r="R32" i="43"/>
  <c r="D37" i="43"/>
  <c r="F37" i="43" s="1"/>
  <c r="H37" i="43" s="1"/>
  <c r="G9" i="25"/>
  <c r="X24" i="33"/>
  <c r="L8" i="33" s="1"/>
  <c r="AL13" i="31"/>
  <c r="L11" i="31" s="1"/>
  <c r="AI45" i="48"/>
  <c r="J40" i="47"/>
  <c r="N40" i="47" s="1"/>
  <c r="AQ40" i="47" s="1"/>
  <c r="J44" i="48"/>
  <c r="J45" i="48"/>
  <c r="X7" i="33"/>
  <c r="L7" i="33" s="1"/>
  <c r="X24" i="40"/>
  <c r="L8" i="40" s="1"/>
  <c r="X7" i="34"/>
  <c r="L7" i="34" s="1"/>
  <c r="X6" i="35"/>
  <c r="L6" i="35" s="1"/>
  <c r="X7" i="32"/>
  <c r="L7" i="32" s="1"/>
  <c r="AL13" i="30"/>
  <c r="L11" i="30" s="1"/>
  <c r="X7" i="30"/>
  <c r="L7" i="30" s="1"/>
  <c r="AI50" i="49"/>
  <c r="F45" i="47"/>
  <c r="L10" i="31"/>
  <c r="X6" i="29"/>
  <c r="AL12" i="33"/>
  <c r="L10" i="33" s="1"/>
  <c r="X7" i="40"/>
  <c r="L7" i="40" s="1"/>
  <c r="AE55" i="49"/>
  <c r="AI54" i="49" s="1"/>
  <c r="L6" i="29"/>
  <c r="X50" i="50"/>
  <c r="V47" i="46"/>
  <c r="T47" i="46"/>
  <c r="X7" i="31"/>
  <c r="L7" i="31" s="1"/>
  <c r="V50" i="49"/>
  <c r="H53" i="48"/>
  <c r="L6" i="31"/>
  <c r="R47" i="45"/>
  <c r="D52" i="45"/>
  <c r="F52" i="45" s="1"/>
  <c r="T49" i="48"/>
  <c r="V49" i="48"/>
  <c r="H52" i="46"/>
  <c r="L6" i="30"/>
  <c r="X7" i="39"/>
  <c r="X6" i="23"/>
  <c r="AG60" i="50"/>
  <c r="X24" i="38"/>
  <c r="L8" i="38" s="1"/>
  <c r="X6" i="38"/>
  <c r="L6" i="38" s="1"/>
  <c r="Y8" i="23"/>
  <c r="X7" i="23" s="1"/>
  <c r="L6" i="39"/>
  <c r="AE50" i="48"/>
  <c r="AI49" i="48" s="1"/>
  <c r="H45" i="47"/>
  <c r="AE60" i="50"/>
  <c r="AI59" i="50" s="1"/>
  <c r="L7" i="37"/>
  <c r="X24" i="28"/>
  <c r="L8" i="28" s="1"/>
  <c r="AL12" i="36"/>
  <c r="L10" i="36" s="1"/>
  <c r="AG50" i="48"/>
  <c r="AL12" i="34"/>
  <c r="L10" i="34" s="1"/>
  <c r="F50" i="48"/>
  <c r="L7" i="38"/>
  <c r="L6" i="40"/>
  <c r="H54" i="50"/>
  <c r="H55" i="50" s="1"/>
  <c r="J55" i="50" s="1"/>
  <c r="F55" i="50"/>
  <c r="J54" i="50" s="1"/>
  <c r="N28" i="50"/>
  <c r="X45" i="49"/>
  <c r="AI35" i="46"/>
  <c r="AM35" i="46" s="1"/>
  <c r="AS35" i="46" s="1"/>
  <c r="AG55" i="49"/>
  <c r="N19" i="29"/>
  <c r="L5" i="29" s="1"/>
  <c r="AA9" i="24"/>
  <c r="AG9" i="24" s="1"/>
  <c r="X8" i="24"/>
  <c r="AR35" i="47"/>
  <c r="AT35" i="47" s="1"/>
  <c r="E5" i="47" s="1"/>
  <c r="AR34" i="47"/>
  <c r="AT34" i="47" s="1"/>
  <c r="D5" i="47" s="1"/>
  <c r="C84" i="45"/>
  <c r="C83" i="45"/>
  <c r="B111" i="59"/>
  <c r="A112" i="59"/>
  <c r="A99" i="41"/>
  <c r="B98" i="41"/>
  <c r="O93" i="33"/>
  <c r="P92" i="33"/>
  <c r="A102" i="59"/>
  <c r="B102" i="59" s="1"/>
  <c r="B101" i="59"/>
  <c r="C89" i="34"/>
  <c r="C88" i="34"/>
  <c r="P96" i="40"/>
  <c r="O101" i="40"/>
  <c r="O97" i="40"/>
  <c r="G78" i="48"/>
  <c r="C77" i="48"/>
  <c r="Y75" i="45"/>
  <c r="Y74" i="45"/>
  <c r="AP79" i="31"/>
  <c r="C82" i="31"/>
  <c r="G83" i="31"/>
  <c r="C84" i="48"/>
  <c r="C83" i="48"/>
  <c r="G78" i="43"/>
  <c r="C77" i="43"/>
  <c r="O98" i="47"/>
  <c r="P97" i="47"/>
  <c r="P89" i="47"/>
  <c r="O90" i="47"/>
  <c r="P90" i="47" s="1"/>
  <c r="P97" i="29"/>
  <c r="O98" i="29"/>
  <c r="X72" i="50"/>
  <c r="AJ94" i="42"/>
  <c r="AJ95" i="42"/>
  <c r="AA85" i="37"/>
  <c r="AO85" i="37" s="1"/>
  <c r="AP85" i="37" s="1"/>
  <c r="W85" i="37"/>
  <c r="AA84" i="37"/>
  <c r="AO84" i="37" s="1"/>
  <c r="AP84" i="37" s="1"/>
  <c r="W84" i="37"/>
  <c r="AA4" i="19"/>
  <c r="Q77" i="46"/>
  <c r="Q79" i="46"/>
  <c r="C82" i="40"/>
  <c r="G83" i="40"/>
  <c r="X24" i="34"/>
  <c r="L8" i="34" s="1"/>
  <c r="A95" i="40"/>
  <c r="B95" i="40" s="1"/>
  <c r="B94" i="40"/>
  <c r="A94" i="30"/>
  <c r="B93" i="30"/>
  <c r="AL89" i="35"/>
  <c r="AH89" i="35"/>
  <c r="AL90" i="35"/>
  <c r="AH90" i="35"/>
  <c r="AI87" i="35"/>
  <c r="Q102" i="32"/>
  <c r="Q104" i="32"/>
  <c r="AA85" i="28"/>
  <c r="AO85" i="28" s="1"/>
  <c r="AP85" i="28" s="1"/>
  <c r="W85" i="28"/>
  <c r="AA84" i="28"/>
  <c r="AO84" i="28" s="1"/>
  <c r="AP84" i="28" s="1"/>
  <c r="W84" i="28"/>
  <c r="AL95" i="49"/>
  <c r="AI92" i="49"/>
  <c r="AH94" i="49"/>
  <c r="AL94" i="49"/>
  <c r="AH95" i="49"/>
  <c r="P84" i="34"/>
  <c r="O85" i="34"/>
  <c r="P85" i="34" s="1"/>
  <c r="A98" i="36"/>
  <c r="B97" i="36"/>
  <c r="B106" i="50"/>
  <c r="A111" i="50"/>
  <c r="A107" i="50"/>
  <c r="M79" i="48"/>
  <c r="I79" i="48"/>
  <c r="M80" i="48"/>
  <c r="I80" i="48"/>
  <c r="G79" i="48"/>
  <c r="X77" i="41"/>
  <c r="K80" i="31"/>
  <c r="K79" i="31"/>
  <c r="G77" i="31"/>
  <c r="B94" i="47"/>
  <c r="A95" i="47"/>
  <c r="B95" i="47" s="1"/>
  <c r="G72" i="30"/>
  <c r="K75" i="30"/>
  <c r="K74" i="30"/>
  <c r="X72" i="27"/>
  <c r="Q79" i="31"/>
  <c r="Q77" i="31"/>
  <c r="Y79" i="47"/>
  <c r="Y80" i="47"/>
  <c r="B106" i="35"/>
  <c r="A111" i="35"/>
  <c r="A107" i="35"/>
  <c r="AC99" i="36"/>
  <c r="AD99" i="36" s="1"/>
  <c r="AD98" i="36"/>
  <c r="AC103" i="36"/>
  <c r="O102" i="42"/>
  <c r="P101" i="42"/>
  <c r="O106" i="42"/>
  <c r="AI55" i="50"/>
  <c r="AJ95" i="34"/>
  <c r="AJ94" i="34"/>
  <c r="O97" i="27"/>
  <c r="P96" i="27"/>
  <c r="O101" i="27"/>
  <c r="B101" i="46"/>
  <c r="A102" i="46"/>
  <c r="A106" i="46"/>
  <c r="AP84" i="35"/>
  <c r="AC94" i="41"/>
  <c r="AD94" i="41" s="1"/>
  <c r="AD93" i="41"/>
  <c r="AC98" i="41"/>
  <c r="O94" i="29"/>
  <c r="P93" i="29"/>
  <c r="Q93" i="29" s="1"/>
  <c r="B102" i="29"/>
  <c r="A103" i="29"/>
  <c r="AA84" i="49"/>
  <c r="AO84" i="49" s="1"/>
  <c r="W84" i="49"/>
  <c r="W85" i="49"/>
  <c r="AA85" i="49"/>
  <c r="AO85" i="49" s="1"/>
  <c r="K74" i="46"/>
  <c r="G72" i="46"/>
  <c r="K75" i="46"/>
  <c r="X72" i="46"/>
  <c r="AL95" i="30"/>
  <c r="AH95" i="30"/>
  <c r="AI92" i="30"/>
  <c r="AL94" i="30"/>
  <c r="AH94" i="30"/>
  <c r="T39" i="47"/>
  <c r="T40" i="47" s="1"/>
  <c r="X39" i="47" s="1"/>
  <c r="V39" i="47"/>
  <c r="V40" i="47" s="1"/>
  <c r="AG48" i="47"/>
  <c r="O90" i="48"/>
  <c r="P90" i="48" s="1"/>
  <c r="P89" i="48"/>
  <c r="A111" i="44"/>
  <c r="A107" i="44"/>
  <c r="B106" i="44"/>
  <c r="H5" i="19"/>
  <c r="I5" i="19" s="1"/>
  <c r="D5" i="19"/>
  <c r="F5" i="19" s="1"/>
  <c r="G5" i="19" s="1"/>
  <c r="O94" i="38"/>
  <c r="P93" i="38"/>
  <c r="Q93" i="38" s="1"/>
  <c r="A94" i="43"/>
  <c r="B93" i="43"/>
  <c r="K80" i="44"/>
  <c r="K79" i="44"/>
  <c r="G77" i="44"/>
  <c r="O101" i="49"/>
  <c r="P96" i="49"/>
  <c r="O97" i="49"/>
  <c r="A90" i="36"/>
  <c r="B90" i="36" s="1"/>
  <c r="B89" i="36"/>
  <c r="A95" i="42"/>
  <c r="B95" i="42" s="1"/>
  <c r="B94" i="42"/>
  <c r="A111" i="27"/>
  <c r="A107" i="27"/>
  <c r="B106" i="27"/>
  <c r="O97" i="44"/>
  <c r="P96" i="44"/>
  <c r="O101" i="44"/>
  <c r="K80" i="49"/>
  <c r="K79" i="49"/>
  <c r="G77" i="49"/>
  <c r="X72" i="33"/>
  <c r="A90" i="26"/>
  <c r="B90" i="26" s="1"/>
  <c r="B89" i="26"/>
  <c r="T57" i="49"/>
  <c r="V57" i="49"/>
  <c r="F54" i="49"/>
  <c r="J52" i="49"/>
  <c r="AC99" i="28"/>
  <c r="AD99" i="28" s="1"/>
  <c r="AD98" i="28"/>
  <c r="AC103" i="28"/>
  <c r="O93" i="50"/>
  <c r="P92" i="50"/>
  <c r="AA90" i="35"/>
  <c r="AO90" i="35" s="1"/>
  <c r="AP90" i="35" s="1"/>
  <c r="W90" i="35"/>
  <c r="AA89" i="35"/>
  <c r="AO89" i="35" s="1"/>
  <c r="AP89" i="35" s="1"/>
  <c r="W89" i="35"/>
  <c r="AI92" i="45"/>
  <c r="AL94" i="45"/>
  <c r="AH94" i="45"/>
  <c r="AL95" i="45"/>
  <c r="AH95" i="45"/>
  <c r="A99" i="50"/>
  <c r="B98" i="50"/>
  <c r="P117" i="32"/>
  <c r="O118" i="32"/>
  <c r="X77" i="38"/>
  <c r="Z2" i="50"/>
  <c r="AI112" i="46"/>
  <c r="AL114" i="46"/>
  <c r="AH114" i="46"/>
  <c r="AH115" i="46"/>
  <c r="AL115" i="46"/>
  <c r="P96" i="34"/>
  <c r="O101" i="34"/>
  <c r="O97" i="34"/>
  <c r="O93" i="46"/>
  <c r="P92" i="46"/>
  <c r="Q84" i="36"/>
  <c r="Q82" i="36"/>
  <c r="C89" i="44"/>
  <c r="C88" i="44"/>
  <c r="Q84" i="26"/>
  <c r="Q82" i="26"/>
  <c r="A99" i="35"/>
  <c r="B98" i="35"/>
  <c r="H50" i="48"/>
  <c r="Q77" i="43"/>
  <c r="Q79" i="43"/>
  <c r="C82" i="50"/>
  <c r="G83" i="50"/>
  <c r="M85" i="29"/>
  <c r="I85" i="29"/>
  <c r="G84" i="29"/>
  <c r="M84" i="29"/>
  <c r="I84" i="29"/>
  <c r="A99" i="47"/>
  <c r="B98" i="47"/>
  <c r="AL13" i="29"/>
  <c r="L11" i="29" s="1"/>
  <c r="AP79" i="37"/>
  <c r="O94" i="35"/>
  <c r="P93" i="35"/>
  <c r="Q93" i="35" s="1"/>
  <c r="O93" i="45"/>
  <c r="P92" i="45"/>
  <c r="Z23" i="31"/>
  <c r="AD23" i="31" s="1"/>
  <c r="X25" i="31" s="1"/>
  <c r="L9" i="31" s="1"/>
  <c r="M84" i="33"/>
  <c r="I84" i="33"/>
  <c r="M85" i="33"/>
  <c r="I85" i="33"/>
  <c r="G84" i="33"/>
  <c r="X6" i="26"/>
  <c r="L6" i="26" s="1"/>
  <c r="C89" i="27"/>
  <c r="C88" i="27"/>
  <c r="V44" i="48"/>
  <c r="V45" i="48" s="1"/>
  <c r="T44" i="48"/>
  <c r="T45" i="48" s="1"/>
  <c r="X44" i="48" s="1"/>
  <c r="AV8" i="22"/>
  <c r="H38" i="46"/>
  <c r="H40" i="46" s="1"/>
  <c r="F40" i="46"/>
  <c r="AM4" i="61"/>
  <c r="AN3" i="61"/>
  <c r="C12" i="50"/>
  <c r="D77" i="50" s="1"/>
  <c r="B4" i="17"/>
  <c r="AP4" i="17"/>
  <c r="T58" i="50"/>
  <c r="V58" i="50"/>
  <c r="G72" i="43"/>
  <c r="K74" i="43"/>
  <c r="K75" i="43"/>
  <c r="AA85" i="50"/>
  <c r="AO85" i="50" s="1"/>
  <c r="W85" i="50"/>
  <c r="AA84" i="50"/>
  <c r="AO84" i="50" s="1"/>
  <c r="W84" i="50"/>
  <c r="C94" i="59"/>
  <c r="C95" i="59"/>
  <c r="O89" i="49"/>
  <c r="P88" i="49"/>
  <c r="Q88" i="49" s="1"/>
  <c r="M85" i="47"/>
  <c r="I84" i="47"/>
  <c r="M84" i="47"/>
  <c r="G84" i="47"/>
  <c r="I85" i="47"/>
  <c r="AP79" i="34"/>
  <c r="B97" i="37"/>
  <c r="A98" i="37"/>
  <c r="AL13" i="38"/>
  <c r="L11" i="38" s="1"/>
  <c r="M84" i="49"/>
  <c r="I84" i="49"/>
  <c r="I85" i="49"/>
  <c r="M85" i="49"/>
  <c r="G84" i="49"/>
  <c r="B101" i="48"/>
  <c r="A106" i="48"/>
  <c r="A102" i="48"/>
  <c r="X97" i="32"/>
  <c r="G6" i="22"/>
  <c r="Q84" i="47"/>
  <c r="Q82" i="47"/>
  <c r="AJ94" i="33"/>
  <c r="AJ95" i="33"/>
  <c r="O89" i="50"/>
  <c r="P88" i="50"/>
  <c r="Q88" i="50" s="1"/>
  <c r="M89" i="59"/>
  <c r="M90" i="59"/>
  <c r="G89" i="59"/>
  <c r="AC99" i="50"/>
  <c r="AD99" i="50" s="1"/>
  <c r="AD98" i="50"/>
  <c r="AC103" i="50"/>
  <c r="P84" i="45"/>
  <c r="O85" i="45"/>
  <c r="P85" i="45" s="1"/>
  <c r="B106" i="40"/>
  <c r="A111" i="40"/>
  <c r="A107" i="40"/>
  <c r="B106" i="41"/>
  <c r="A111" i="41"/>
  <c r="A107" i="41"/>
  <c r="AC103" i="32"/>
  <c r="AC99" i="32"/>
  <c r="AD99" i="32" s="1"/>
  <c r="AD98" i="32"/>
  <c r="AG34" i="45"/>
  <c r="AG35" i="45" s="1"/>
  <c r="AE35" i="45"/>
  <c r="AI34" i="45" s="1"/>
  <c r="AM34" i="45" s="1"/>
  <c r="AS34" i="45" s="1"/>
  <c r="B106" i="28"/>
  <c r="A111" i="28"/>
  <c r="A107" i="28"/>
  <c r="D43" i="45"/>
  <c r="F43" i="45" s="1"/>
  <c r="H43" i="45" s="1"/>
  <c r="AE39" i="45"/>
  <c r="AG39" i="45" s="1"/>
  <c r="R34" i="45"/>
  <c r="R38" i="45"/>
  <c r="AE43" i="45"/>
  <c r="D39" i="45"/>
  <c r="F39" i="45" s="1"/>
  <c r="H39" i="45" s="1"/>
  <c r="R42" i="45"/>
  <c r="D47" i="45"/>
  <c r="C77" i="36"/>
  <c r="G78" i="36"/>
  <c r="Y80" i="30"/>
  <c r="Y79" i="30"/>
  <c r="Y75" i="49"/>
  <c r="Y74" i="49"/>
  <c r="AJ94" i="39"/>
  <c r="AJ95" i="39"/>
  <c r="O94" i="41"/>
  <c r="P93" i="41"/>
  <c r="Q93" i="41" s="1"/>
  <c r="P88" i="39"/>
  <c r="Q88" i="39" s="1"/>
  <c r="O89" i="39"/>
  <c r="X72" i="37"/>
  <c r="AL95" i="31"/>
  <c r="AH95" i="31"/>
  <c r="AI92" i="31"/>
  <c r="AL94" i="31"/>
  <c r="AH94" i="31"/>
  <c r="AR40" i="50"/>
  <c r="AR39" i="50"/>
  <c r="O90" i="29"/>
  <c r="P90" i="29" s="1"/>
  <c r="P89" i="29"/>
  <c r="C84" i="37"/>
  <c r="C83" i="37"/>
  <c r="AC103" i="26"/>
  <c r="AC99" i="26"/>
  <c r="AD99" i="26" s="1"/>
  <c r="AD98" i="26"/>
  <c r="AD112" i="59"/>
  <c r="AC118" i="59"/>
  <c r="AC113" i="59"/>
  <c r="AD113" i="59" s="1"/>
  <c r="P93" i="36"/>
  <c r="Q93" i="36" s="1"/>
  <c r="O94" i="36"/>
  <c r="AC99" i="27"/>
  <c r="AD99" i="27" s="1"/>
  <c r="AD98" i="27"/>
  <c r="AC103" i="27"/>
  <c r="K79" i="41"/>
  <c r="G77" i="41"/>
  <c r="K80" i="41"/>
  <c r="K75" i="36"/>
  <c r="K74" i="36"/>
  <c r="G72" i="36"/>
  <c r="H7" i="21"/>
  <c r="I7" i="21" s="1"/>
  <c r="D7" i="21"/>
  <c r="F7" i="21" s="1"/>
  <c r="G7" i="21" s="1"/>
  <c r="Y75" i="40"/>
  <c r="Y74" i="40"/>
  <c r="X77" i="36"/>
  <c r="AC98" i="47"/>
  <c r="AC94" i="47"/>
  <c r="AD94" i="47" s="1"/>
  <c r="AD93" i="47"/>
  <c r="M79" i="30"/>
  <c r="I79" i="30"/>
  <c r="M80" i="30"/>
  <c r="I80" i="30"/>
  <c r="G79" i="30"/>
  <c r="A95" i="50"/>
  <c r="B95" i="50" s="1"/>
  <c r="B94" i="50"/>
  <c r="O90" i="36"/>
  <c r="P90" i="36" s="1"/>
  <c r="P89" i="36"/>
  <c r="P88" i="44"/>
  <c r="Q88" i="44" s="1"/>
  <c r="O89" i="44"/>
  <c r="B97" i="30"/>
  <c r="A98" i="30"/>
  <c r="C82" i="28"/>
  <c r="G83" i="28"/>
  <c r="A94" i="48"/>
  <c r="B93" i="48"/>
  <c r="A95" i="41"/>
  <c r="B95" i="41" s="1"/>
  <c r="B94" i="41"/>
  <c r="C84" i="30"/>
  <c r="C83" i="30"/>
  <c r="C84" i="26"/>
  <c r="C83" i="26"/>
  <c r="P96" i="37"/>
  <c r="O101" i="37"/>
  <c r="O97" i="37"/>
  <c r="AI92" i="37"/>
  <c r="AL94" i="37"/>
  <c r="AH94" i="37"/>
  <c r="AL95" i="37"/>
  <c r="AH95" i="37"/>
  <c r="AJ7" i="61"/>
  <c r="B7" i="20"/>
  <c r="C9" i="47"/>
  <c r="R49" i="47" s="1"/>
  <c r="AP7" i="20"/>
  <c r="B101" i="45"/>
  <c r="A106" i="45"/>
  <c r="A102" i="45"/>
  <c r="H67" i="49"/>
  <c r="AL13" i="35"/>
  <c r="L11" i="35" s="1"/>
  <c r="M85" i="32"/>
  <c r="I85" i="32"/>
  <c r="G84" i="32"/>
  <c r="I84" i="32"/>
  <c r="M84" i="32"/>
  <c r="J50" i="49"/>
  <c r="J49" i="49"/>
  <c r="K79" i="40"/>
  <c r="G77" i="40"/>
  <c r="K80" i="40"/>
  <c r="X77" i="42"/>
  <c r="Q82" i="29"/>
  <c r="Q84" i="29"/>
  <c r="AC103" i="48"/>
  <c r="AC99" i="48"/>
  <c r="AD99" i="48" s="1"/>
  <c r="AD98" i="48"/>
  <c r="AA85" i="34"/>
  <c r="AO85" i="34" s="1"/>
  <c r="AP85" i="34" s="1"/>
  <c r="W85" i="34"/>
  <c r="AA84" i="34"/>
  <c r="AO84" i="34" s="1"/>
  <c r="AP84" i="34" s="1"/>
  <c r="W84" i="34"/>
  <c r="K79" i="38"/>
  <c r="G77" i="38"/>
  <c r="K80" i="38"/>
  <c r="AC109" i="40"/>
  <c r="AD109" i="40" s="1"/>
  <c r="AD108" i="40"/>
  <c r="AC113" i="40"/>
  <c r="A99" i="28"/>
  <c r="B98" i="28"/>
  <c r="A99" i="32"/>
  <c r="B98" i="32"/>
  <c r="A117" i="59"/>
  <c r="A122" i="59"/>
  <c r="B116" i="59"/>
  <c r="AA90" i="41"/>
  <c r="AO90" i="41" s="1"/>
  <c r="AP90" i="41" s="1"/>
  <c r="W90" i="41"/>
  <c r="AA89" i="41"/>
  <c r="AO89" i="41" s="1"/>
  <c r="W89" i="41"/>
  <c r="M84" i="44"/>
  <c r="I84" i="44"/>
  <c r="M85" i="44"/>
  <c r="I85" i="44"/>
  <c r="G84" i="44"/>
  <c r="P88" i="43"/>
  <c r="Q88" i="43" s="1"/>
  <c r="O89" i="43"/>
  <c r="O97" i="33"/>
  <c r="P96" i="33"/>
  <c r="O101" i="33"/>
  <c r="AJ105" i="40"/>
  <c r="AJ104" i="40"/>
  <c r="AE38" i="44"/>
  <c r="AE34" i="44"/>
  <c r="R33" i="44"/>
  <c r="R37" i="44"/>
  <c r="D38" i="44"/>
  <c r="D42" i="44"/>
  <c r="AL89" i="29"/>
  <c r="AH89" i="29"/>
  <c r="AL90" i="29"/>
  <c r="AH90" i="29"/>
  <c r="AI87" i="29"/>
  <c r="M84" i="31"/>
  <c r="I84" i="31"/>
  <c r="M85" i="31"/>
  <c r="I85" i="31"/>
  <c r="G84" i="31"/>
  <c r="X72" i="43"/>
  <c r="M80" i="43"/>
  <c r="I79" i="43"/>
  <c r="I80" i="43"/>
  <c r="G79" i="43"/>
  <c r="M79" i="43"/>
  <c r="Q82" i="35"/>
  <c r="Q84" i="35"/>
  <c r="W90" i="47"/>
  <c r="AA89" i="47"/>
  <c r="AO89" i="47" s="1"/>
  <c r="AA90" i="47"/>
  <c r="AO90" i="47" s="1"/>
  <c r="AP90" i="47" s="1"/>
  <c r="W89" i="47"/>
  <c r="O106" i="29"/>
  <c r="O102" i="29"/>
  <c r="P101" i="29"/>
  <c r="O102" i="36"/>
  <c r="O106" i="36"/>
  <c r="P101" i="36"/>
  <c r="Y75" i="50"/>
  <c r="Y74" i="50"/>
  <c r="A95" i="34"/>
  <c r="B95" i="34" s="1"/>
  <c r="B94" i="34"/>
  <c r="O102" i="30"/>
  <c r="P101" i="30"/>
  <c r="O106" i="30"/>
  <c r="AL95" i="42"/>
  <c r="AH95" i="42"/>
  <c r="AI92" i="42"/>
  <c r="AL94" i="42"/>
  <c r="AH94" i="42"/>
  <c r="M85" i="35"/>
  <c r="I85" i="35"/>
  <c r="G84" i="35"/>
  <c r="M84" i="35"/>
  <c r="I84" i="35"/>
  <c r="F6" i="21"/>
  <c r="A95" i="33"/>
  <c r="B95" i="33" s="1"/>
  <c r="B94" i="33"/>
  <c r="AJ94" i="48"/>
  <c r="AJ95" i="48"/>
  <c r="P84" i="37"/>
  <c r="O85" i="37"/>
  <c r="P85" i="37" s="1"/>
  <c r="P97" i="38"/>
  <c r="O98" i="38"/>
  <c r="B97" i="43"/>
  <c r="A98" i="43"/>
  <c r="M85" i="40"/>
  <c r="I85" i="40"/>
  <c r="G84" i="40"/>
  <c r="M84" i="40"/>
  <c r="I84" i="40"/>
  <c r="P84" i="28"/>
  <c r="O85" i="28"/>
  <c r="P85" i="28" s="1"/>
  <c r="A99" i="33"/>
  <c r="B98" i="33"/>
  <c r="AC99" i="49"/>
  <c r="AD99" i="49" s="1"/>
  <c r="AC103" i="49"/>
  <c r="AD98" i="49"/>
  <c r="C89" i="32"/>
  <c r="C88" i="32"/>
  <c r="A106" i="36"/>
  <c r="A102" i="36"/>
  <c r="B101" i="36"/>
  <c r="C77" i="37"/>
  <c r="G78" i="37"/>
  <c r="A95" i="35"/>
  <c r="B95" i="35" s="1"/>
  <c r="B94" i="35"/>
  <c r="O90" i="30"/>
  <c r="P90" i="30" s="1"/>
  <c r="P89" i="30"/>
  <c r="B97" i="26"/>
  <c r="A98" i="26"/>
  <c r="Y80" i="41"/>
  <c r="Y79" i="41"/>
  <c r="O90" i="26"/>
  <c r="P90" i="26" s="1"/>
  <c r="P89" i="26"/>
  <c r="F47" i="46"/>
  <c r="V34" i="46"/>
  <c r="V35" i="46" s="1"/>
  <c r="X35" i="46" s="1"/>
  <c r="AB35" i="46" s="1"/>
  <c r="T34" i="46"/>
  <c r="T35" i="46" s="1"/>
  <c r="X34" i="46" s="1"/>
  <c r="AB34" i="46" s="1"/>
  <c r="AJ94" i="36"/>
  <c r="AJ95" i="36"/>
  <c r="AP79" i="43"/>
  <c r="AI92" i="34"/>
  <c r="AL94" i="34"/>
  <c r="AH94" i="34"/>
  <c r="AL95" i="34"/>
  <c r="AH95" i="34"/>
  <c r="P92" i="39"/>
  <c r="O93" i="39"/>
  <c r="B102" i="47"/>
  <c r="A103" i="47"/>
  <c r="AG8" i="24"/>
  <c r="F72" i="50"/>
  <c r="B97" i="46"/>
  <c r="A98" i="46"/>
  <c r="AJ90" i="41"/>
  <c r="AJ89" i="41"/>
  <c r="C89" i="31"/>
  <c r="C88" i="31"/>
  <c r="B101" i="39"/>
  <c r="A106" i="39"/>
  <c r="A102" i="39"/>
  <c r="B106" i="29"/>
  <c r="A111" i="29"/>
  <c r="A107" i="29"/>
  <c r="AP79" i="33"/>
  <c r="O93" i="31"/>
  <c r="P92" i="31"/>
  <c r="Y75" i="46"/>
  <c r="Y74" i="46"/>
  <c r="AC103" i="30"/>
  <c r="AC99" i="30"/>
  <c r="AD99" i="30" s="1"/>
  <c r="AD98" i="30"/>
  <c r="V43" i="47"/>
  <c r="T43" i="47"/>
  <c r="AA90" i="48"/>
  <c r="AO90" i="48" s="1"/>
  <c r="AP90" i="48" s="1"/>
  <c r="W90" i="48"/>
  <c r="AA89" i="48"/>
  <c r="AO89" i="48" s="1"/>
  <c r="AP89" i="48" s="1"/>
  <c r="W89" i="48"/>
  <c r="O89" i="40"/>
  <c r="P88" i="40"/>
  <c r="Q88" i="40" s="1"/>
  <c r="P97" i="26"/>
  <c r="O98" i="26"/>
  <c r="AV5" i="53"/>
  <c r="AE59" i="49"/>
  <c r="AG59" i="49" s="1"/>
  <c r="AE63" i="49"/>
  <c r="D59" i="49"/>
  <c r="F59" i="49" s="1"/>
  <c r="H59" i="49" s="1"/>
  <c r="R58" i="49"/>
  <c r="R54" i="49"/>
  <c r="D63" i="49"/>
  <c r="F63" i="49" s="1"/>
  <c r="H63" i="49" s="1"/>
  <c r="R62" i="49"/>
  <c r="A103" i="31"/>
  <c r="B102" i="31"/>
  <c r="Q84" i="30"/>
  <c r="Q82" i="30"/>
  <c r="W90" i="59"/>
  <c r="W89" i="59"/>
  <c r="Y90" i="59"/>
  <c r="Y89" i="59"/>
  <c r="O85" i="44"/>
  <c r="P85" i="44" s="1"/>
  <c r="P84" i="44"/>
  <c r="Q95" i="59"/>
  <c r="Q93" i="59"/>
  <c r="A99" i="38"/>
  <c r="B98" i="38"/>
  <c r="Y80" i="48"/>
  <c r="Y79" i="48"/>
  <c r="C89" i="40"/>
  <c r="C88" i="40"/>
  <c r="V67" i="50"/>
  <c r="T67" i="50"/>
  <c r="X77" i="35"/>
  <c r="O85" i="27"/>
  <c r="P85" i="27" s="1"/>
  <c r="P84" i="27"/>
  <c r="H67" i="50"/>
  <c r="G8" i="24"/>
  <c r="F62" i="49"/>
  <c r="AG58" i="49"/>
  <c r="AJ95" i="28"/>
  <c r="AJ94" i="28"/>
  <c r="P96" i="50"/>
  <c r="O101" i="50"/>
  <c r="O97" i="50"/>
  <c r="O90" i="35"/>
  <c r="P90" i="35" s="1"/>
  <c r="P89" i="35"/>
  <c r="C89" i="28"/>
  <c r="C88" i="28"/>
  <c r="B102" i="42"/>
  <c r="A103" i="42"/>
  <c r="P121" i="32"/>
  <c r="O126" i="32"/>
  <c r="O122" i="32"/>
  <c r="N18" i="38"/>
  <c r="L4" i="38" s="1"/>
  <c r="Y80" i="38"/>
  <c r="Y79" i="38"/>
  <c r="G78" i="26"/>
  <c r="C77" i="26"/>
  <c r="P97" i="48"/>
  <c r="O98" i="48"/>
  <c r="O97" i="43"/>
  <c r="P96" i="43"/>
  <c r="O101" i="43"/>
  <c r="P96" i="46"/>
  <c r="O101" i="46"/>
  <c r="O97" i="46"/>
  <c r="C77" i="45"/>
  <c r="G78" i="45"/>
  <c r="A95" i="29"/>
  <c r="B95" i="29" s="1"/>
  <c r="B94" i="29"/>
  <c r="M85" i="50"/>
  <c r="I85" i="50"/>
  <c r="G84" i="50"/>
  <c r="M84" i="50"/>
  <c r="I84" i="50"/>
  <c r="P97" i="41"/>
  <c r="O98" i="41"/>
  <c r="C82" i="29"/>
  <c r="G83" i="29"/>
  <c r="Y75" i="31"/>
  <c r="Y74" i="31"/>
  <c r="AA102" i="59"/>
  <c r="AQ102" i="59" s="1"/>
  <c r="AR102" i="59" s="1"/>
  <c r="AA101" i="59"/>
  <c r="AQ101" i="59" s="1"/>
  <c r="AR101" i="59" s="1"/>
  <c r="K79" i="47"/>
  <c r="K80" i="47"/>
  <c r="G77" i="47"/>
  <c r="AC94" i="44"/>
  <c r="AD94" i="44" s="1"/>
  <c r="AD93" i="44"/>
  <c r="AC98" i="44"/>
  <c r="P96" i="45"/>
  <c r="O101" i="45"/>
  <c r="O97" i="45"/>
  <c r="A103" i="49"/>
  <c r="B102" i="49"/>
  <c r="A94" i="39"/>
  <c r="B93" i="39"/>
  <c r="Q84" i="48"/>
  <c r="Q82" i="48"/>
  <c r="K79" i="34"/>
  <c r="G77" i="34"/>
  <c r="K80" i="34"/>
  <c r="C89" i="50"/>
  <c r="C88" i="50"/>
  <c r="A90" i="30"/>
  <c r="B90" i="30" s="1"/>
  <c r="B89" i="30"/>
  <c r="A90" i="48"/>
  <c r="B90" i="48" s="1"/>
  <c r="B89" i="48"/>
  <c r="AP79" i="45"/>
  <c r="F57" i="48"/>
  <c r="AG53" i="48"/>
  <c r="AH9" i="61"/>
  <c r="B9" i="22"/>
  <c r="C7" i="45"/>
  <c r="AP9" i="22"/>
  <c r="Y75" i="39"/>
  <c r="Y74" i="39"/>
  <c r="AV4" i="18"/>
  <c r="AL5" i="61"/>
  <c r="AP5" i="18"/>
  <c r="C11" i="49"/>
  <c r="B5" i="18"/>
  <c r="A99" i="31"/>
  <c r="B98" i="31"/>
  <c r="P84" i="50"/>
  <c r="O85" i="50"/>
  <c r="P85" i="50" s="1"/>
  <c r="B101" i="37"/>
  <c r="A106" i="37"/>
  <c r="A102" i="37"/>
  <c r="A99" i="27"/>
  <c r="B98" i="27"/>
  <c r="AR95" i="59"/>
  <c r="Y100" i="32"/>
  <c r="Y99" i="32"/>
  <c r="O85" i="39"/>
  <c r="P85" i="39" s="1"/>
  <c r="P84" i="39"/>
  <c r="J57" i="50"/>
  <c r="AL95" i="33"/>
  <c r="AH95" i="33"/>
  <c r="AI92" i="33"/>
  <c r="AL94" i="33"/>
  <c r="AH94" i="33"/>
  <c r="C87" i="59"/>
  <c r="G88" i="59"/>
  <c r="AJ95" i="50"/>
  <c r="AJ94" i="50"/>
  <c r="B106" i="59"/>
  <c r="A107" i="59"/>
  <c r="X77" i="29"/>
  <c r="V37" i="45"/>
  <c r="T37" i="45"/>
  <c r="F38" i="45"/>
  <c r="O89" i="34"/>
  <c r="P88" i="34"/>
  <c r="Q88" i="34" s="1"/>
  <c r="H9" i="23"/>
  <c r="I9" i="23" s="1"/>
  <c r="D9" i="23"/>
  <c r="AC94" i="38"/>
  <c r="AD94" i="38" s="1"/>
  <c r="AD93" i="38"/>
  <c r="AC98" i="38"/>
  <c r="X77" i="30"/>
  <c r="X72" i="49"/>
  <c r="AL95" i="39"/>
  <c r="AH95" i="39"/>
  <c r="AI92" i="39"/>
  <c r="AL94" i="39"/>
  <c r="AH94" i="39"/>
  <c r="Q79" i="49"/>
  <c r="Q77" i="49"/>
  <c r="P88" i="27"/>
  <c r="Q88" i="27" s="1"/>
  <c r="O89" i="27"/>
  <c r="Y75" i="37"/>
  <c r="Y74" i="37"/>
  <c r="Q77" i="28"/>
  <c r="Q79" i="28"/>
  <c r="L7" i="26"/>
  <c r="P93" i="47"/>
  <c r="Q93" i="47" s="1"/>
  <c r="O94" i="47"/>
  <c r="A90" i="37"/>
  <c r="B90" i="37" s="1"/>
  <c r="B89" i="37"/>
  <c r="Q82" i="38"/>
  <c r="Q84" i="38"/>
  <c r="AL108" i="59"/>
  <c r="AL107" i="59"/>
  <c r="AJ94" i="27"/>
  <c r="AJ95" i="27"/>
  <c r="C83" i="36"/>
  <c r="C84" i="36"/>
  <c r="C88" i="29"/>
  <c r="C89" i="29"/>
  <c r="X72" i="34"/>
  <c r="R48" i="47"/>
  <c r="AE49" i="47"/>
  <c r="AG49" i="47" s="1"/>
  <c r="AE53" i="47"/>
  <c r="R44" i="47"/>
  <c r="D49" i="47"/>
  <c r="F49" i="47" s="1"/>
  <c r="H49" i="47" s="1"/>
  <c r="R52" i="47"/>
  <c r="D57" i="47"/>
  <c r="C82" i="27"/>
  <c r="G83" i="27"/>
  <c r="O85" i="33"/>
  <c r="P85" i="33" s="1"/>
  <c r="P84" i="33"/>
  <c r="AE40" i="46"/>
  <c r="AI39" i="46" s="1"/>
  <c r="F4" i="19"/>
  <c r="A90" i="45"/>
  <c r="B90" i="45" s="1"/>
  <c r="B89" i="45"/>
  <c r="Y80" i="26"/>
  <c r="Y79" i="26"/>
  <c r="C82" i="34"/>
  <c r="G83" i="34"/>
  <c r="A94" i="37"/>
  <c r="B93" i="37"/>
  <c r="AA90" i="36"/>
  <c r="AO90" i="36" s="1"/>
  <c r="AP90" i="36" s="1"/>
  <c r="W90" i="36"/>
  <c r="AA89" i="36"/>
  <c r="AO89" i="36" s="1"/>
  <c r="W89" i="36"/>
  <c r="H47" i="47"/>
  <c r="B102" i="34"/>
  <c r="A103" i="34"/>
  <c r="B101" i="30"/>
  <c r="A106" i="30"/>
  <c r="A102" i="30"/>
  <c r="C84" i="39"/>
  <c r="C83" i="39"/>
  <c r="M85" i="28"/>
  <c r="I85" i="28"/>
  <c r="G84" i="28"/>
  <c r="M84" i="28"/>
  <c r="I84" i="28"/>
  <c r="A103" i="33"/>
  <c r="B102" i="33"/>
  <c r="P84" i="43"/>
  <c r="O85" i="43"/>
  <c r="P85" i="43" s="1"/>
  <c r="H6" i="20"/>
  <c r="I6" i="20" s="1"/>
  <c r="D6" i="20"/>
  <c r="AK39" i="48"/>
  <c r="AM39" i="48" s="1"/>
  <c r="AS39" i="48" s="1"/>
  <c r="Z39" i="48"/>
  <c r="L44" i="48"/>
  <c r="C89" i="33"/>
  <c r="C88" i="33"/>
  <c r="A99" i="49"/>
  <c r="B98" i="49"/>
  <c r="Q77" i="50"/>
  <c r="Q79" i="50"/>
  <c r="P97" i="30"/>
  <c r="O98" i="30"/>
  <c r="K74" i="45"/>
  <c r="G72" i="45"/>
  <c r="K75" i="45"/>
  <c r="A99" i="34"/>
  <c r="B98" i="34"/>
  <c r="AJ90" i="35"/>
  <c r="AJ89" i="35"/>
  <c r="B102" i="50"/>
  <c r="A103" i="50"/>
  <c r="G72" i="39"/>
  <c r="K75" i="39"/>
  <c r="K74" i="39"/>
  <c r="K80" i="27"/>
  <c r="K79" i="27"/>
  <c r="G77" i="27"/>
  <c r="Y75" i="27"/>
  <c r="Y74" i="27"/>
  <c r="X77" i="47"/>
  <c r="AG43" i="46"/>
  <c r="B102" i="35"/>
  <c r="A103" i="35"/>
  <c r="C82" i="44"/>
  <c r="G83" i="44"/>
  <c r="AV10" i="24"/>
  <c r="AJ90" i="29"/>
  <c r="AJ89" i="29"/>
  <c r="K74" i="37"/>
  <c r="G72" i="37"/>
  <c r="K75" i="37"/>
  <c r="A99" i="40"/>
  <c r="B98" i="40"/>
  <c r="O90" i="41"/>
  <c r="P90" i="41" s="1"/>
  <c r="P89" i="41"/>
  <c r="P93" i="48"/>
  <c r="Q93" i="48" s="1"/>
  <c r="O94" i="48"/>
  <c r="AI102" i="40"/>
  <c r="AL104" i="40"/>
  <c r="AH104" i="40"/>
  <c r="AL105" i="40"/>
  <c r="AH105" i="40"/>
  <c r="H10" i="24"/>
  <c r="I10" i="24" s="1"/>
  <c r="D10" i="24"/>
  <c r="G83" i="32"/>
  <c r="C82" i="32"/>
  <c r="I83" i="59"/>
  <c r="I84" i="59"/>
  <c r="G81" i="59"/>
  <c r="K83" i="59"/>
  <c r="K84" i="59"/>
  <c r="C88" i="35"/>
  <c r="C89" i="35"/>
  <c r="A95" i="44"/>
  <c r="B95" i="44" s="1"/>
  <c r="B94" i="44"/>
  <c r="Y75" i="43"/>
  <c r="Y74" i="43"/>
  <c r="Q84" i="42"/>
  <c r="Q82" i="42"/>
  <c r="A90" i="46"/>
  <c r="B90" i="46" s="1"/>
  <c r="B89" i="46"/>
  <c r="Y80" i="42"/>
  <c r="Y79" i="42"/>
  <c r="AP84" i="38"/>
  <c r="P97" i="36"/>
  <c r="O98" i="36"/>
  <c r="AC103" i="42"/>
  <c r="AC99" i="42"/>
  <c r="AD99" i="42" s="1"/>
  <c r="AD98" i="42"/>
  <c r="C82" i="35"/>
  <c r="G83" i="35"/>
  <c r="AA7" i="22"/>
  <c r="AG7" i="22" s="1"/>
  <c r="O93" i="40"/>
  <c r="P92" i="40"/>
  <c r="AL95" i="48"/>
  <c r="AH95" i="48"/>
  <c r="AI92" i="48"/>
  <c r="AL94" i="48"/>
  <c r="AH94" i="48"/>
  <c r="O107" i="59"/>
  <c r="P106" i="59"/>
  <c r="Q106" i="59" s="1"/>
  <c r="O106" i="38"/>
  <c r="O102" i="38"/>
  <c r="P101" i="38"/>
  <c r="B101" i="43"/>
  <c r="A106" i="43"/>
  <c r="A102" i="43"/>
  <c r="AC94" i="35"/>
  <c r="AD94" i="35" s="1"/>
  <c r="AD93" i="35"/>
  <c r="AC98" i="35"/>
  <c r="B102" i="38"/>
  <c r="A103" i="38"/>
  <c r="O89" i="37"/>
  <c r="P88" i="37"/>
  <c r="Q88" i="37" s="1"/>
  <c r="C88" i="41"/>
  <c r="C89" i="41"/>
  <c r="B106" i="32"/>
  <c r="A107" i="32"/>
  <c r="A111" i="32"/>
  <c r="M80" i="37"/>
  <c r="I80" i="37"/>
  <c r="G79" i="37"/>
  <c r="M79" i="37"/>
  <c r="I79" i="37"/>
  <c r="AA90" i="30"/>
  <c r="AO90" i="30" s="1"/>
  <c r="AP90" i="30" s="1"/>
  <c r="W90" i="30"/>
  <c r="AA89" i="30"/>
  <c r="AO89" i="30" s="1"/>
  <c r="AP89" i="30" s="1"/>
  <c r="W89" i="30"/>
  <c r="B101" i="26"/>
  <c r="A106" i="26"/>
  <c r="A102" i="26"/>
  <c r="C88" i="38"/>
  <c r="C89" i="38"/>
  <c r="AA90" i="26"/>
  <c r="AO90" i="26" s="1"/>
  <c r="AP90" i="26" s="1"/>
  <c r="W90" i="26"/>
  <c r="AA89" i="26"/>
  <c r="AO89" i="26" s="1"/>
  <c r="W89" i="26"/>
  <c r="V42" i="46"/>
  <c r="T42" i="46"/>
  <c r="T38" i="46"/>
  <c r="V38" i="46"/>
  <c r="L7" i="39"/>
  <c r="AL95" i="36"/>
  <c r="AH95" i="36"/>
  <c r="AL94" i="36"/>
  <c r="AH94" i="36"/>
  <c r="AI92" i="36"/>
  <c r="P97" i="42"/>
  <c r="O98" i="42"/>
  <c r="B106" i="47"/>
  <c r="A111" i="47"/>
  <c r="A107" i="47"/>
  <c r="O93" i="27"/>
  <c r="P92" i="27"/>
  <c r="AN8" i="50"/>
  <c r="P97" i="35"/>
  <c r="O98" i="35"/>
  <c r="AL89" i="41"/>
  <c r="AH89" i="41"/>
  <c r="AL90" i="41"/>
  <c r="AH90" i="41"/>
  <c r="AI87" i="41"/>
  <c r="B97" i="39"/>
  <c r="A98" i="39"/>
  <c r="Y75" i="44"/>
  <c r="Y74" i="44"/>
  <c r="AA6" i="21"/>
  <c r="AV5" i="19"/>
  <c r="AK6" i="61"/>
  <c r="C10" i="48"/>
  <c r="D67" i="48" s="1"/>
  <c r="F67" i="48" s="1"/>
  <c r="AP6" i="19"/>
  <c r="Y5" i="19" s="1"/>
  <c r="B6" i="19"/>
  <c r="B6" i="53"/>
  <c r="AP6" i="53"/>
  <c r="A111" i="31"/>
  <c r="A107" i="31"/>
  <c r="B106" i="31"/>
  <c r="X87" i="59"/>
  <c r="A90" i="39"/>
  <c r="B90" i="39" s="1"/>
  <c r="B89" i="39"/>
  <c r="AA85" i="44"/>
  <c r="AO85" i="44" s="1"/>
  <c r="AP85" i="44" s="1"/>
  <c r="W85" i="44"/>
  <c r="AA84" i="44"/>
  <c r="AO84" i="44" s="1"/>
  <c r="AP84" i="44" s="1"/>
  <c r="W84" i="44"/>
  <c r="Q77" i="34"/>
  <c r="Q79" i="34"/>
  <c r="O93" i="44"/>
  <c r="P92" i="44"/>
  <c r="X77" i="48"/>
  <c r="Y80" i="35"/>
  <c r="Y79" i="35"/>
  <c r="AA85" i="27"/>
  <c r="AO85" i="27" s="1"/>
  <c r="W85" i="27"/>
  <c r="AA84" i="27"/>
  <c r="AO84" i="27" s="1"/>
  <c r="W84" i="27"/>
  <c r="C89" i="47"/>
  <c r="C88" i="47"/>
  <c r="AI92" i="28"/>
  <c r="AL94" i="28"/>
  <c r="AH94" i="28"/>
  <c r="AL95" i="28"/>
  <c r="AH95" i="28"/>
  <c r="M85" i="38"/>
  <c r="I85" i="38"/>
  <c r="G84" i="38"/>
  <c r="M84" i="38"/>
  <c r="I84" i="38"/>
  <c r="AC99" i="45"/>
  <c r="AD99" i="45" s="1"/>
  <c r="AD98" i="45"/>
  <c r="AC103" i="45"/>
  <c r="B106" i="42"/>
  <c r="A111" i="42"/>
  <c r="A107" i="42"/>
  <c r="O85" i="31"/>
  <c r="P85" i="31" s="1"/>
  <c r="P84" i="31"/>
  <c r="O93" i="28"/>
  <c r="P92" i="28"/>
  <c r="M79" i="26"/>
  <c r="I79" i="26"/>
  <c r="M80" i="26"/>
  <c r="I80" i="26"/>
  <c r="G79" i="26"/>
  <c r="AC119" i="46"/>
  <c r="AD119" i="46" s="1"/>
  <c r="AD118" i="46"/>
  <c r="AC123" i="46"/>
  <c r="Q77" i="40"/>
  <c r="Q79" i="40"/>
  <c r="M80" i="45"/>
  <c r="I80" i="45"/>
  <c r="G79" i="45"/>
  <c r="M79" i="45"/>
  <c r="I79" i="45"/>
  <c r="AF4" i="21"/>
  <c r="AF5" i="21" s="1"/>
  <c r="O106" i="41"/>
  <c r="O102" i="41"/>
  <c r="P101" i="41"/>
  <c r="X72" i="31"/>
  <c r="P101" i="59"/>
  <c r="O102" i="59"/>
  <c r="P102" i="59" s="1"/>
  <c r="A95" i="31"/>
  <c r="B95" i="31" s="1"/>
  <c r="B94" i="31"/>
  <c r="AJ89" i="44"/>
  <c r="AJ90" i="44"/>
  <c r="G78" i="39"/>
  <c r="C77" i="39"/>
  <c r="A111" i="49"/>
  <c r="A107" i="49"/>
  <c r="B106" i="49"/>
  <c r="Q79" i="33"/>
  <c r="Q77" i="33"/>
  <c r="P93" i="30"/>
  <c r="Q93" i="30" s="1"/>
  <c r="O94" i="30"/>
  <c r="V52" i="48"/>
  <c r="T52" i="48"/>
  <c r="V48" i="48"/>
  <c r="T48" i="48"/>
  <c r="T50" i="48" s="1"/>
  <c r="X49" i="48" s="1"/>
  <c r="AE48" i="46"/>
  <c r="R43" i="46"/>
  <c r="AE44" i="46"/>
  <c r="AG44" i="46" s="1"/>
  <c r="D44" i="46"/>
  <c r="F44" i="46" s="1"/>
  <c r="H44" i="46" s="1"/>
  <c r="D48" i="46"/>
  <c r="F48" i="46" s="1"/>
  <c r="H48" i="46" s="1"/>
  <c r="X72" i="39"/>
  <c r="H4" i="18"/>
  <c r="I4" i="18" s="1"/>
  <c r="D4" i="18"/>
  <c r="V54" i="50"/>
  <c r="V55" i="50" s="1"/>
  <c r="T54" i="50"/>
  <c r="T55" i="50" s="1"/>
  <c r="X54" i="50" s="1"/>
  <c r="AG63" i="50"/>
  <c r="M85" i="41"/>
  <c r="I85" i="41"/>
  <c r="G84" i="41"/>
  <c r="M84" i="41"/>
  <c r="I84" i="41"/>
  <c r="C77" i="46"/>
  <c r="G78" i="46"/>
  <c r="X72" i="28"/>
  <c r="AA85" i="39"/>
  <c r="AO85" i="39" s="1"/>
  <c r="AP85" i="39" s="1"/>
  <c r="W85" i="39"/>
  <c r="AA84" i="39"/>
  <c r="AO84" i="39" s="1"/>
  <c r="W84" i="39"/>
  <c r="H58" i="50"/>
  <c r="H60" i="50" s="1"/>
  <c r="F60" i="50"/>
  <c r="AF5" i="23"/>
  <c r="AF6" i="23" s="1"/>
  <c r="AF7" i="23" s="1"/>
  <c r="A99" i="42"/>
  <c r="B98" i="42"/>
  <c r="AI92" i="50"/>
  <c r="AL94" i="50"/>
  <c r="AH94" i="50"/>
  <c r="AL95" i="50"/>
  <c r="AH95" i="50"/>
  <c r="Y80" i="29"/>
  <c r="Y79" i="29"/>
  <c r="AJ95" i="32"/>
  <c r="AJ94" i="32"/>
  <c r="F42" i="45"/>
  <c r="AG38" i="45"/>
  <c r="AG10" i="61"/>
  <c r="C6" i="44"/>
  <c r="B10" i="23"/>
  <c r="AP10" i="23"/>
  <c r="J47" i="48"/>
  <c r="AJ90" i="38"/>
  <c r="AJ89" i="38"/>
  <c r="P93" i="42"/>
  <c r="Q93" i="42" s="1"/>
  <c r="O94" i="42"/>
  <c r="AC103" i="39"/>
  <c r="AC99" i="39"/>
  <c r="AD99" i="39" s="1"/>
  <c r="AD98" i="39"/>
  <c r="AA85" i="40"/>
  <c r="AO85" i="40" s="1"/>
  <c r="AP85" i="40" s="1"/>
  <c r="W85" i="40"/>
  <c r="AA84" i="40"/>
  <c r="AO84" i="40" s="1"/>
  <c r="AP84" i="40" s="1"/>
  <c r="W84" i="40"/>
  <c r="AC99" i="31"/>
  <c r="AD99" i="31" s="1"/>
  <c r="AD98" i="31"/>
  <c r="AC103" i="31"/>
  <c r="AA90" i="38"/>
  <c r="AO90" i="38" s="1"/>
  <c r="AP90" i="38" s="1"/>
  <c r="W90" i="38"/>
  <c r="AA89" i="38"/>
  <c r="AO89" i="38" s="1"/>
  <c r="AP89" i="38" s="1"/>
  <c r="W89" i="38"/>
  <c r="K80" i="33"/>
  <c r="K79" i="33"/>
  <c r="G77" i="33"/>
  <c r="O89" i="45"/>
  <c r="P88" i="45"/>
  <c r="Q88" i="45" s="1"/>
  <c r="AJ94" i="26"/>
  <c r="AJ95" i="26"/>
  <c r="G83" i="42"/>
  <c r="C82" i="42"/>
  <c r="Q79" i="27"/>
  <c r="Q77" i="27"/>
  <c r="AL95" i="27"/>
  <c r="AH95" i="27"/>
  <c r="AI92" i="27"/>
  <c r="AL94" i="27"/>
  <c r="AH94" i="27"/>
  <c r="C89" i="49"/>
  <c r="C88" i="49"/>
  <c r="K79" i="28"/>
  <c r="G77" i="28"/>
  <c r="K80" i="28"/>
  <c r="Y75" i="34"/>
  <c r="Y74" i="34"/>
  <c r="AV7" i="21"/>
  <c r="M84" i="27"/>
  <c r="I84" i="27"/>
  <c r="M85" i="27"/>
  <c r="I85" i="27"/>
  <c r="G84" i="27"/>
  <c r="AA85" i="33"/>
  <c r="AO85" i="33" s="1"/>
  <c r="AP85" i="33" s="1"/>
  <c r="W85" i="33"/>
  <c r="AA84" i="33"/>
  <c r="AO84" i="33" s="1"/>
  <c r="AP84" i="33" s="1"/>
  <c r="W84" i="33"/>
  <c r="O112" i="59"/>
  <c r="P111" i="59"/>
  <c r="AG40" i="46"/>
  <c r="F4" i="53"/>
  <c r="X77" i="26"/>
  <c r="AJ90" i="47"/>
  <c r="AJ89" i="47"/>
  <c r="M85" i="34"/>
  <c r="I85" i="34"/>
  <c r="G84" i="34"/>
  <c r="M84" i="34"/>
  <c r="I84" i="34"/>
  <c r="K79" i="35"/>
  <c r="G77" i="35"/>
  <c r="K80" i="35"/>
  <c r="W110" i="32"/>
  <c r="AA109" i="32"/>
  <c r="AO109" i="32" s="1"/>
  <c r="AP109" i="32" s="1"/>
  <c r="W109" i="32"/>
  <c r="AA110" i="32"/>
  <c r="AO110" i="32" s="1"/>
  <c r="AP110" i="32" s="1"/>
  <c r="AG45" i="47"/>
  <c r="B106" i="34"/>
  <c r="A111" i="34"/>
  <c r="A107" i="34"/>
  <c r="K79" i="29"/>
  <c r="G77" i="29"/>
  <c r="K80" i="29"/>
  <c r="O90" i="42"/>
  <c r="P90" i="42" s="1"/>
  <c r="P89" i="42"/>
  <c r="H57" i="49"/>
  <c r="A111" i="33"/>
  <c r="A107" i="33"/>
  <c r="B106" i="33"/>
  <c r="AC99" i="37"/>
  <c r="AD99" i="37" s="1"/>
  <c r="AD98" i="37"/>
  <c r="AC103" i="37"/>
  <c r="W85" i="43"/>
  <c r="AA84" i="43"/>
  <c r="AO84" i="43" s="1"/>
  <c r="AP84" i="43" s="1"/>
  <c r="AA85" i="43"/>
  <c r="AO85" i="43" s="1"/>
  <c r="AP85" i="43" s="1"/>
  <c r="W84" i="43"/>
  <c r="AE54" i="48"/>
  <c r="AG54" i="48" s="1"/>
  <c r="R53" i="48"/>
  <c r="AE58" i="48"/>
  <c r="D54" i="48"/>
  <c r="R57" i="48"/>
  <c r="D58" i="48"/>
  <c r="F58" i="48" s="1"/>
  <c r="H58" i="48" s="1"/>
  <c r="D62" i="48"/>
  <c r="AA85" i="46"/>
  <c r="AO85" i="46" s="1"/>
  <c r="AP85" i="46" s="1"/>
  <c r="W85" i="46"/>
  <c r="AA84" i="46"/>
  <c r="AO84" i="46" s="1"/>
  <c r="AP84" i="46" s="1"/>
  <c r="W84" i="46"/>
  <c r="A94" i="45"/>
  <c r="B93" i="45"/>
  <c r="X5" i="21"/>
  <c r="AK40" i="48"/>
  <c r="AM40" i="48" s="1"/>
  <c r="AS40" i="48" s="1"/>
  <c r="Z40" i="48"/>
  <c r="L45" i="48"/>
  <c r="AB40" i="49"/>
  <c r="AR40" i="49" s="1"/>
  <c r="AT40" i="49" s="1"/>
  <c r="E6" i="49" s="1"/>
  <c r="X72" i="45"/>
  <c r="AF11" i="61"/>
  <c r="L108" i="66" s="1"/>
  <c r="AP11" i="24"/>
  <c r="C5" i="43"/>
  <c r="B11" i="24"/>
  <c r="AC94" i="29"/>
  <c r="AD94" i="29" s="1"/>
  <c r="AD93" i="29"/>
  <c r="AC98" i="29"/>
  <c r="P101" i="47"/>
  <c r="O102" i="47"/>
  <c r="O106" i="47"/>
  <c r="A94" i="46"/>
  <c r="B93" i="46"/>
  <c r="L27" i="50"/>
  <c r="P26" i="50"/>
  <c r="B106" i="38"/>
  <c r="A111" i="38"/>
  <c r="A107" i="38"/>
  <c r="AJ95" i="49"/>
  <c r="AJ94" i="49"/>
  <c r="B102" i="32"/>
  <c r="A103" i="32"/>
  <c r="AC99" i="34"/>
  <c r="AD99" i="34" s="1"/>
  <c r="AD98" i="34"/>
  <c r="AC103" i="34"/>
  <c r="O101" i="39"/>
  <c r="O97" i="39"/>
  <c r="P96" i="39"/>
  <c r="AA4" i="20"/>
  <c r="K79" i="50"/>
  <c r="G77" i="50"/>
  <c r="K80" i="50"/>
  <c r="Q77" i="37"/>
  <c r="Q79" i="37"/>
  <c r="O106" i="35"/>
  <c r="O102" i="35"/>
  <c r="P101" i="35"/>
  <c r="O85" i="49"/>
  <c r="P85" i="49" s="1"/>
  <c r="P84" i="49"/>
  <c r="AP84" i="48"/>
  <c r="A95" i="27"/>
  <c r="B95" i="27" s="1"/>
  <c r="B94" i="27"/>
  <c r="V62" i="50"/>
  <c r="T62" i="50"/>
  <c r="AP84" i="29"/>
  <c r="O97" i="31"/>
  <c r="P96" i="31"/>
  <c r="O101" i="31"/>
  <c r="G72" i="48"/>
  <c r="K75" i="48"/>
  <c r="K74" i="48"/>
  <c r="A95" i="38"/>
  <c r="B95" i="38" s="1"/>
  <c r="B94" i="38"/>
  <c r="X72" i="44"/>
  <c r="Q77" i="45"/>
  <c r="Q79" i="45"/>
  <c r="AJ94" i="30"/>
  <c r="AJ95" i="30"/>
  <c r="A103" i="44"/>
  <c r="B102" i="44"/>
  <c r="O102" i="26"/>
  <c r="P101" i="26"/>
  <c r="O106" i="26"/>
  <c r="H5" i="53"/>
  <c r="I5" i="53" s="1"/>
  <c r="D5" i="53"/>
  <c r="F5" i="53" s="1"/>
  <c r="G5" i="53" s="1"/>
  <c r="AA4" i="53"/>
  <c r="Q79" i="44"/>
  <c r="Q77" i="44"/>
  <c r="P92" i="49"/>
  <c r="O93" i="49"/>
  <c r="A103" i="27"/>
  <c r="B102" i="27"/>
  <c r="Y75" i="33"/>
  <c r="Y74" i="33"/>
  <c r="V53" i="49"/>
  <c r="T53" i="49"/>
  <c r="Y5" i="20"/>
  <c r="C82" i="38"/>
  <c r="G83" i="38"/>
  <c r="A94" i="36"/>
  <c r="B93" i="36"/>
  <c r="AJ95" i="45"/>
  <c r="AJ94" i="45"/>
  <c r="AA85" i="31"/>
  <c r="AO85" i="31" s="1"/>
  <c r="AP85" i="31" s="1"/>
  <c r="W85" i="31"/>
  <c r="AA84" i="31"/>
  <c r="AO84" i="31" s="1"/>
  <c r="AP84" i="31" s="1"/>
  <c r="W84" i="31"/>
  <c r="A94" i="26"/>
  <c r="B93" i="26"/>
  <c r="P96" i="28"/>
  <c r="O101" i="28"/>
  <c r="O97" i="28"/>
  <c r="O102" i="48"/>
  <c r="P101" i="48"/>
  <c r="O106" i="48"/>
  <c r="AJ115" i="46"/>
  <c r="AJ114" i="46"/>
  <c r="P92" i="43"/>
  <c r="O93" i="43"/>
  <c r="P88" i="33"/>
  <c r="Q88" i="33" s="1"/>
  <c r="O89" i="33"/>
  <c r="G4" i="20"/>
  <c r="O93" i="34"/>
  <c r="P92" i="34"/>
  <c r="J42" i="47"/>
  <c r="A95" i="32"/>
  <c r="B95" i="32" s="1"/>
  <c r="B94" i="32"/>
  <c r="Q82" i="41"/>
  <c r="Q84" i="41"/>
  <c r="AL90" i="44"/>
  <c r="AH90" i="44"/>
  <c r="AI87" i="44"/>
  <c r="AL89" i="44"/>
  <c r="AH89" i="44"/>
  <c r="A95" i="49"/>
  <c r="B95" i="49" s="1"/>
  <c r="B94" i="49"/>
  <c r="C82" i="33"/>
  <c r="G83" i="33"/>
  <c r="M79" i="39"/>
  <c r="I79" i="39"/>
  <c r="M80" i="39"/>
  <c r="I80" i="39"/>
  <c r="G79" i="39"/>
  <c r="Q79" i="39"/>
  <c r="Q77" i="39"/>
  <c r="A99" i="29"/>
  <c r="B98" i="29"/>
  <c r="V92" i="32"/>
  <c r="V95" i="32" s="1"/>
  <c r="T92" i="32"/>
  <c r="T95" i="32" s="1"/>
  <c r="X94" i="32" s="1"/>
  <c r="AB94" i="32" s="1"/>
  <c r="G72" i="26"/>
  <c r="K75" i="26"/>
  <c r="K74" i="26"/>
  <c r="H8" i="22"/>
  <c r="I8" i="22" s="1"/>
  <c r="D8" i="22"/>
  <c r="A99" i="44"/>
  <c r="B98" i="44"/>
  <c r="J37" i="46"/>
  <c r="AE64" i="50"/>
  <c r="AG64" i="50" s="1"/>
  <c r="AE68" i="50"/>
  <c r="D64" i="50"/>
  <c r="F64" i="50" s="1"/>
  <c r="H64" i="50" s="1"/>
  <c r="R63" i="50"/>
  <c r="R59" i="50"/>
  <c r="F63" i="50"/>
  <c r="C84" i="46"/>
  <c r="C83" i="46"/>
  <c r="C82" i="41"/>
  <c r="G83" i="41"/>
  <c r="M80" i="46"/>
  <c r="I80" i="46"/>
  <c r="G79" i="46"/>
  <c r="M79" i="46"/>
  <c r="I79" i="46"/>
  <c r="C82" i="47"/>
  <c r="G83" i="47"/>
  <c r="G77" i="32"/>
  <c r="K79" i="32"/>
  <c r="K80" i="32"/>
  <c r="C82" i="49"/>
  <c r="G83" i="49"/>
  <c r="B97" i="48"/>
  <c r="A98" i="48"/>
  <c r="Y75" i="28"/>
  <c r="Y74" i="28"/>
  <c r="AC99" i="33"/>
  <c r="AD99" i="33" s="1"/>
  <c r="AD98" i="33"/>
  <c r="AC103" i="33"/>
  <c r="O114" i="32"/>
  <c r="P113" i="32"/>
  <c r="Q113" i="32" s="1"/>
  <c r="AA85" i="45"/>
  <c r="AO85" i="45" s="1"/>
  <c r="AP85" i="45" s="1"/>
  <c r="W85" i="45"/>
  <c r="AA84" i="45"/>
  <c r="AO84" i="45" s="1"/>
  <c r="W84" i="45"/>
  <c r="B102" i="40"/>
  <c r="A103" i="40"/>
  <c r="C89" i="42"/>
  <c r="C88" i="42"/>
  <c r="B102" i="41"/>
  <c r="A103" i="41"/>
  <c r="O89" i="28"/>
  <c r="P88" i="28"/>
  <c r="Q88" i="28" s="1"/>
  <c r="AI92" i="32"/>
  <c r="AL94" i="32"/>
  <c r="AH94" i="32"/>
  <c r="AL95" i="32"/>
  <c r="AH95" i="32"/>
  <c r="V33" i="45"/>
  <c r="T33" i="45"/>
  <c r="B102" i="28"/>
  <c r="A103" i="28"/>
  <c r="O89" i="46"/>
  <c r="P88" i="46"/>
  <c r="Q88" i="46" s="1"/>
  <c r="AV9" i="23"/>
  <c r="Y9" i="23"/>
  <c r="M79" i="36"/>
  <c r="I79" i="36"/>
  <c r="M80" i="36"/>
  <c r="I80" i="36"/>
  <c r="G79" i="36"/>
  <c r="AL89" i="38"/>
  <c r="AH89" i="38"/>
  <c r="AL90" i="38"/>
  <c r="AH90" i="38"/>
  <c r="AI87" i="38"/>
  <c r="P84" i="40"/>
  <c r="O85" i="40"/>
  <c r="P85" i="40" s="1"/>
  <c r="AJ94" i="31"/>
  <c r="AJ95" i="31"/>
  <c r="G77" i="42"/>
  <c r="K80" i="42"/>
  <c r="K79" i="42"/>
  <c r="O90" i="38"/>
  <c r="P90" i="38" s="1"/>
  <c r="P89" i="38"/>
  <c r="B89" i="43"/>
  <c r="A90" i="43"/>
  <c r="B90" i="43" s="1"/>
  <c r="AA90" i="29"/>
  <c r="AO90" i="29" s="1"/>
  <c r="AP90" i="29" s="1"/>
  <c r="W90" i="29"/>
  <c r="AA89" i="29"/>
  <c r="AO89" i="29" s="1"/>
  <c r="AP89" i="29" s="1"/>
  <c r="W89" i="29"/>
  <c r="AL95" i="26"/>
  <c r="AH95" i="26"/>
  <c r="AI92" i="26"/>
  <c r="AL94" i="26"/>
  <c r="AH94" i="26"/>
  <c r="M84" i="42"/>
  <c r="I84" i="42"/>
  <c r="M85" i="42"/>
  <c r="I85" i="42"/>
  <c r="G84" i="42"/>
  <c r="AN107" i="59"/>
  <c r="AJ107" i="59"/>
  <c r="AN108" i="59"/>
  <c r="AJ108" i="59"/>
  <c r="AK105" i="59"/>
  <c r="C84" i="43"/>
  <c r="C83" i="43"/>
  <c r="P88" i="31"/>
  <c r="Q88" i="31" s="1"/>
  <c r="O89" i="31"/>
  <c r="V94" i="32"/>
  <c r="T94" i="32"/>
  <c r="AI8" i="61"/>
  <c r="B8" i="21"/>
  <c r="C8" i="46"/>
  <c r="AP8" i="21"/>
  <c r="Y7" i="21" s="1"/>
  <c r="X72" i="40"/>
  <c r="P93" i="26"/>
  <c r="Q93" i="26" s="1"/>
  <c r="O94" i="26"/>
  <c r="O117" i="59"/>
  <c r="P116" i="59"/>
  <c r="O122" i="59"/>
  <c r="H42" i="46"/>
  <c r="Y80" i="36"/>
  <c r="Y79" i="36"/>
  <c r="AI87" i="47"/>
  <c r="AL89" i="47"/>
  <c r="AH90" i="47"/>
  <c r="AL90" i="47"/>
  <c r="AH89" i="47"/>
  <c r="G78" i="30"/>
  <c r="C77" i="30"/>
  <c r="P109" i="32"/>
  <c r="O110" i="32"/>
  <c r="P110" i="32" s="1"/>
  <c r="AE45" i="47"/>
  <c r="AI44" i="47" s="1"/>
  <c r="L7" i="29"/>
  <c r="AA90" i="42"/>
  <c r="AO90" i="42" s="1"/>
  <c r="AP90" i="42" s="1"/>
  <c r="W90" i="42"/>
  <c r="AA89" i="42"/>
  <c r="AO89" i="42" s="1"/>
  <c r="W89" i="42"/>
  <c r="O93" i="37"/>
  <c r="P92" i="37"/>
  <c r="AJ95" i="37"/>
  <c r="AJ94" i="37"/>
  <c r="AV6" i="20"/>
  <c r="B97" i="45"/>
  <c r="A98" i="45"/>
  <c r="P84" i="46"/>
  <c r="O85" i="46"/>
  <c r="P85" i="46" s="1"/>
  <c r="A95" i="28"/>
  <c r="B95" i="28" s="1"/>
  <c r="B94" i="28"/>
  <c r="AG6" i="22"/>
  <c r="D73" i="50" l="1"/>
  <c r="F73" i="50" s="1"/>
  <c r="H73" i="50" s="1"/>
  <c r="I108" i="66"/>
  <c r="J108" i="66"/>
  <c r="B108" i="65" s="1"/>
  <c r="D108" i="65"/>
  <c r="D22" i="66"/>
  <c r="L24" i="66"/>
  <c r="D44" i="66"/>
  <c r="L48" i="66"/>
  <c r="V50" i="48"/>
  <c r="X50" i="48" s="1"/>
  <c r="AA8" i="23"/>
  <c r="AG8" i="23" s="1"/>
  <c r="AF8" i="23" s="1"/>
  <c r="X50" i="49"/>
  <c r="N44" i="48"/>
  <c r="AQ44" i="48" s="1"/>
  <c r="B62" i="66"/>
  <c r="A62" i="66"/>
  <c r="D63" i="66"/>
  <c r="L68" i="66"/>
  <c r="J67" i="66"/>
  <c r="B67" i="65" s="1"/>
  <c r="D67" i="65"/>
  <c r="I67" i="66"/>
  <c r="D87" i="66"/>
  <c r="T2" i="50"/>
  <c r="T13" i="50"/>
  <c r="V13" i="50" s="1"/>
  <c r="B10" i="66"/>
  <c r="A10" i="66"/>
  <c r="D11" i="66"/>
  <c r="L12" i="66"/>
  <c r="D30" i="66"/>
  <c r="L32" i="66"/>
  <c r="B86" i="66"/>
  <c r="A86" i="66"/>
  <c r="D11" i="65"/>
  <c r="I11" i="66"/>
  <c r="J11" i="66"/>
  <c r="B11" i="65" s="1"/>
  <c r="AB39" i="48"/>
  <c r="A23" i="65"/>
  <c r="A10" i="65"/>
  <c r="N45" i="48"/>
  <c r="AQ45" i="48" s="1"/>
  <c r="T27" i="59"/>
  <c r="AR3" i="59"/>
  <c r="AR10" i="59"/>
  <c r="AP10" i="59"/>
  <c r="N27" i="45"/>
  <c r="N29" i="45" s="1"/>
  <c r="P28" i="45" s="1"/>
  <c r="L29" i="45"/>
  <c r="P27" i="45" s="1"/>
  <c r="T32" i="43"/>
  <c r="V32" i="43"/>
  <c r="AV12" i="25"/>
  <c r="Y11" i="25"/>
  <c r="X9" i="25"/>
  <c r="AA10" i="25"/>
  <c r="AG10" i="25" s="1"/>
  <c r="H12" i="25"/>
  <c r="I12" i="25" s="1"/>
  <c r="D12" i="25"/>
  <c r="F12" i="25" s="1"/>
  <c r="R32" i="42"/>
  <c r="D37" i="42"/>
  <c r="F37" i="42" s="1"/>
  <c r="H37" i="42" s="1"/>
  <c r="AE33" i="42"/>
  <c r="AG33" i="42" s="1"/>
  <c r="AE13" i="61"/>
  <c r="C4" i="41"/>
  <c r="AP13" i="25"/>
  <c r="B13" i="25"/>
  <c r="AI55" i="49"/>
  <c r="AB40" i="48"/>
  <c r="AI50" i="48"/>
  <c r="AI60" i="50"/>
  <c r="AM60" i="50" s="1"/>
  <c r="AS60" i="50" s="1"/>
  <c r="H45" i="46"/>
  <c r="R72" i="50"/>
  <c r="V72" i="50" s="1"/>
  <c r="F60" i="49"/>
  <c r="AI40" i="46"/>
  <c r="R39" i="46"/>
  <c r="V39" i="46" s="1"/>
  <c r="V40" i="46" s="1"/>
  <c r="D53" i="46"/>
  <c r="F53" i="46" s="1"/>
  <c r="T49" i="47"/>
  <c r="V49" i="47"/>
  <c r="T47" i="45"/>
  <c r="V47" i="45"/>
  <c r="D52" i="44"/>
  <c r="F52" i="44" s="1"/>
  <c r="R47" i="44"/>
  <c r="D68" i="49"/>
  <c r="F68" i="49" s="1"/>
  <c r="R67" i="49"/>
  <c r="D72" i="49"/>
  <c r="F72" i="49" s="1"/>
  <c r="H72" i="49" s="1"/>
  <c r="H54" i="49"/>
  <c r="H55" i="49" s="1"/>
  <c r="J55" i="49" s="1"/>
  <c r="F55" i="49"/>
  <c r="L55" i="49"/>
  <c r="Z50" i="49"/>
  <c r="AB50" i="49" s="1"/>
  <c r="H52" i="45"/>
  <c r="Y6" i="20"/>
  <c r="AA6" i="20" s="1"/>
  <c r="AG6" i="20" s="1"/>
  <c r="AG40" i="45"/>
  <c r="X24" i="31"/>
  <c r="L8" i="31" s="1"/>
  <c r="F45" i="46"/>
  <c r="AG60" i="49"/>
  <c r="L50" i="49"/>
  <c r="N50" i="49" s="1"/>
  <c r="AQ50" i="49" s="1"/>
  <c r="AK45" i="49"/>
  <c r="AM45" i="49" s="1"/>
  <c r="AS45" i="49" s="1"/>
  <c r="Z45" i="49"/>
  <c r="AB45" i="49" s="1"/>
  <c r="J62" i="50"/>
  <c r="AI35" i="45"/>
  <c r="AM35" i="45" s="1"/>
  <c r="AS35" i="45" s="1"/>
  <c r="AE40" i="45"/>
  <c r="AI39" i="45" s="1"/>
  <c r="J37" i="45"/>
  <c r="AE60" i="49"/>
  <c r="AI59" i="49" s="1"/>
  <c r="X40" i="47"/>
  <c r="F50" i="47"/>
  <c r="H60" i="49"/>
  <c r="J57" i="49"/>
  <c r="H50" i="47"/>
  <c r="X45" i="48"/>
  <c r="AA7" i="21"/>
  <c r="AG7" i="21" s="1"/>
  <c r="X6" i="21"/>
  <c r="X95" i="32"/>
  <c r="AB95" i="32" s="1"/>
  <c r="AR95" i="32" s="1"/>
  <c r="X55" i="50"/>
  <c r="AP89" i="42"/>
  <c r="AE49" i="46"/>
  <c r="AG49" i="46" s="1"/>
  <c r="R48" i="46"/>
  <c r="AE53" i="46"/>
  <c r="R44" i="46"/>
  <c r="D49" i="46"/>
  <c r="F49" i="46" s="1"/>
  <c r="H49" i="46" s="1"/>
  <c r="R52" i="46"/>
  <c r="D57" i="46"/>
  <c r="AA90" i="31"/>
  <c r="AO90" i="31" s="1"/>
  <c r="AP90" i="31" s="1"/>
  <c r="W90" i="31"/>
  <c r="AA89" i="31"/>
  <c r="AO89" i="31" s="1"/>
  <c r="AP89" i="31" s="1"/>
  <c r="W89" i="31"/>
  <c r="AA90" i="46"/>
  <c r="AO90" i="46" s="1"/>
  <c r="AP90" i="46" s="1"/>
  <c r="W90" i="46"/>
  <c r="AA89" i="46"/>
  <c r="AO89" i="46" s="1"/>
  <c r="AP89" i="46" s="1"/>
  <c r="W89" i="46"/>
  <c r="AA90" i="28"/>
  <c r="AO90" i="28" s="1"/>
  <c r="AP90" i="28" s="1"/>
  <c r="W90" i="28"/>
  <c r="AA89" i="28"/>
  <c r="AO89" i="28" s="1"/>
  <c r="AP89" i="28" s="1"/>
  <c r="W89" i="28"/>
  <c r="A104" i="41"/>
  <c r="B103" i="41"/>
  <c r="G88" i="42"/>
  <c r="C87" i="42"/>
  <c r="AJ99" i="33"/>
  <c r="AJ100" i="33"/>
  <c r="AG68" i="50"/>
  <c r="A100" i="44"/>
  <c r="B100" i="44" s="1"/>
  <c r="B99" i="44"/>
  <c r="A100" i="29"/>
  <c r="B100" i="29" s="1"/>
  <c r="B99" i="29"/>
  <c r="C94" i="49"/>
  <c r="C93" i="49"/>
  <c r="Y85" i="41"/>
  <c r="Y84" i="41"/>
  <c r="O94" i="34"/>
  <c r="P93" i="34"/>
  <c r="Q93" i="34" s="1"/>
  <c r="AA90" i="33"/>
  <c r="AO90" i="33" s="1"/>
  <c r="AP90" i="33" s="1"/>
  <c r="W90" i="33"/>
  <c r="AA89" i="33"/>
  <c r="AO89" i="33" s="1"/>
  <c r="AP89" i="33" s="1"/>
  <c r="W89" i="33"/>
  <c r="A95" i="36"/>
  <c r="B95" i="36" s="1"/>
  <c r="B94" i="36"/>
  <c r="K84" i="38"/>
  <c r="G82" i="38"/>
  <c r="K85" i="38"/>
  <c r="O94" i="49"/>
  <c r="P93" i="49"/>
  <c r="Q93" i="49" s="1"/>
  <c r="O107" i="26"/>
  <c r="P106" i="26"/>
  <c r="O111" i="26"/>
  <c r="A104" i="44"/>
  <c r="B103" i="44"/>
  <c r="O98" i="31"/>
  <c r="P97" i="31"/>
  <c r="Q84" i="49"/>
  <c r="Q82" i="49"/>
  <c r="Y80" i="37"/>
  <c r="Y79" i="37"/>
  <c r="P97" i="39"/>
  <c r="O98" i="39"/>
  <c r="AI97" i="34"/>
  <c r="AL99" i="34"/>
  <c r="AH99" i="34"/>
  <c r="AL100" i="34"/>
  <c r="AH100" i="34"/>
  <c r="O103" i="47"/>
  <c r="P102" i="47"/>
  <c r="AJ95" i="29"/>
  <c r="AJ94" i="29"/>
  <c r="AE34" i="43"/>
  <c r="AE38" i="43"/>
  <c r="D38" i="43"/>
  <c r="R33" i="43"/>
  <c r="D42" i="43"/>
  <c r="R37" i="43"/>
  <c r="F62" i="48"/>
  <c r="AG58" i="48"/>
  <c r="AC104" i="37"/>
  <c r="AD104" i="37" s="1"/>
  <c r="AD103" i="37"/>
  <c r="AC108" i="37"/>
  <c r="P89" i="45"/>
  <c r="O90" i="45"/>
  <c r="P90" i="45" s="1"/>
  <c r="AL100" i="31"/>
  <c r="AH100" i="31"/>
  <c r="AI97" i="31"/>
  <c r="AL99" i="31"/>
  <c r="AH99" i="31"/>
  <c r="AL100" i="39"/>
  <c r="AH99" i="39"/>
  <c r="AL99" i="39"/>
  <c r="AI97" i="39"/>
  <c r="AH100" i="39"/>
  <c r="AA95" i="42"/>
  <c r="AO95" i="42" s="1"/>
  <c r="AP95" i="42" s="1"/>
  <c r="W95" i="42"/>
  <c r="AA94" i="42"/>
  <c r="AO94" i="42" s="1"/>
  <c r="AP94" i="42" s="1"/>
  <c r="W94" i="42"/>
  <c r="AV10" i="23"/>
  <c r="H42" i="45"/>
  <c r="AE65" i="50"/>
  <c r="AI64" i="50" s="1"/>
  <c r="AA95" i="30"/>
  <c r="AO95" i="30" s="1"/>
  <c r="AP95" i="30" s="1"/>
  <c r="W95" i="30"/>
  <c r="AA94" i="30"/>
  <c r="AO94" i="30" s="1"/>
  <c r="AP94" i="30" s="1"/>
  <c r="W94" i="30"/>
  <c r="Q101" i="59"/>
  <c r="Q99" i="59"/>
  <c r="P102" i="41"/>
  <c r="O103" i="41"/>
  <c r="X77" i="40"/>
  <c r="AI117" i="46"/>
  <c r="AL119" i="46"/>
  <c r="AH119" i="46"/>
  <c r="AH120" i="46"/>
  <c r="AL120" i="46"/>
  <c r="AC104" i="45"/>
  <c r="AD104" i="45" s="1"/>
  <c r="AD103" i="45"/>
  <c r="AC108" i="45"/>
  <c r="C87" i="47"/>
  <c r="G88" i="47"/>
  <c r="X77" i="34"/>
  <c r="H6" i="19"/>
  <c r="I6" i="19" s="1"/>
  <c r="D6" i="19"/>
  <c r="AA5" i="19"/>
  <c r="AG5" i="19" s="1"/>
  <c r="B111" i="47"/>
  <c r="A116" i="47"/>
  <c r="A112" i="47"/>
  <c r="P98" i="42"/>
  <c r="Q98" i="42" s="1"/>
  <c r="O99" i="42"/>
  <c r="AA90" i="37"/>
  <c r="AO90" i="37" s="1"/>
  <c r="AP90" i="37" s="1"/>
  <c r="W90" i="37"/>
  <c r="AA89" i="37"/>
  <c r="AO89" i="37" s="1"/>
  <c r="W89" i="37"/>
  <c r="A104" i="38"/>
  <c r="B103" i="38"/>
  <c r="AL94" i="35"/>
  <c r="AH94" i="35"/>
  <c r="AL95" i="35"/>
  <c r="AH95" i="35"/>
  <c r="AI92" i="35"/>
  <c r="AJ99" i="42"/>
  <c r="AJ100" i="42"/>
  <c r="P98" i="36"/>
  <c r="Q98" i="36" s="1"/>
  <c r="O99" i="36"/>
  <c r="C89" i="46"/>
  <c r="C88" i="46"/>
  <c r="M90" i="35"/>
  <c r="I90" i="35"/>
  <c r="G89" i="35"/>
  <c r="M89" i="35"/>
  <c r="I89" i="35"/>
  <c r="AA95" i="48"/>
  <c r="AO95" i="48" s="1"/>
  <c r="AP95" i="48" s="1"/>
  <c r="W95" i="48"/>
  <c r="AA94" i="48"/>
  <c r="AO94" i="48" s="1"/>
  <c r="AP94" i="48" s="1"/>
  <c r="W94" i="48"/>
  <c r="A100" i="40"/>
  <c r="B100" i="40" s="1"/>
  <c r="B99" i="40"/>
  <c r="AG45" i="46"/>
  <c r="A104" i="50"/>
  <c r="B103" i="50"/>
  <c r="A100" i="34"/>
  <c r="B100" i="34" s="1"/>
  <c r="B99" i="34"/>
  <c r="Q82" i="43"/>
  <c r="Q84" i="43"/>
  <c r="G83" i="39"/>
  <c r="C82" i="39"/>
  <c r="K85" i="27"/>
  <c r="K84" i="27"/>
  <c r="G82" i="27"/>
  <c r="V48" i="47"/>
  <c r="T48" i="47"/>
  <c r="C82" i="36"/>
  <c r="G83" i="36"/>
  <c r="Y85" i="38"/>
  <c r="Y84" i="38"/>
  <c r="W95" i="47"/>
  <c r="AA94" i="47"/>
  <c r="AO94" i="47" s="1"/>
  <c r="AP94" i="47" s="1"/>
  <c r="AA95" i="47"/>
  <c r="AO95" i="47" s="1"/>
  <c r="AP95" i="47" s="1"/>
  <c r="W94" i="47"/>
  <c r="Y80" i="49"/>
  <c r="Y79" i="49"/>
  <c r="F9" i="23"/>
  <c r="P89" i="34"/>
  <c r="O90" i="34"/>
  <c r="P90" i="34" s="1"/>
  <c r="A100" i="27"/>
  <c r="B100" i="27" s="1"/>
  <c r="B99" i="27"/>
  <c r="A100" i="31"/>
  <c r="B100" i="31" s="1"/>
  <c r="B99" i="31"/>
  <c r="AV5" i="18"/>
  <c r="AV9" i="22"/>
  <c r="C87" i="50"/>
  <c r="G88" i="50"/>
  <c r="A95" i="39"/>
  <c r="B95" i="39" s="1"/>
  <c r="B94" i="39"/>
  <c r="P101" i="45"/>
  <c r="O106" i="45"/>
  <c r="O102" i="45"/>
  <c r="AL95" i="44"/>
  <c r="AH95" i="44"/>
  <c r="AI92" i="44"/>
  <c r="AL94" i="44"/>
  <c r="AH94" i="44"/>
  <c r="P101" i="46"/>
  <c r="O106" i="46"/>
  <c r="O102" i="46"/>
  <c r="P97" i="43"/>
  <c r="O98" i="43"/>
  <c r="O98" i="50"/>
  <c r="P97" i="50"/>
  <c r="Q84" i="27"/>
  <c r="Q82" i="27"/>
  <c r="Y95" i="59"/>
  <c r="W96" i="59"/>
  <c r="W95" i="59"/>
  <c r="Y96" i="59"/>
  <c r="AG63" i="49"/>
  <c r="AA90" i="40"/>
  <c r="AO90" i="40" s="1"/>
  <c r="AP90" i="40" s="1"/>
  <c r="W90" i="40"/>
  <c r="AA89" i="40"/>
  <c r="AO89" i="40" s="1"/>
  <c r="AP89" i="40" s="1"/>
  <c r="W89" i="40"/>
  <c r="B102" i="39"/>
  <c r="A103" i="39"/>
  <c r="M89" i="31"/>
  <c r="I89" i="31"/>
  <c r="M90" i="31"/>
  <c r="I90" i="31"/>
  <c r="G89" i="31"/>
  <c r="P93" i="39"/>
  <c r="Q93" i="39" s="1"/>
  <c r="O94" i="39"/>
  <c r="H47" i="46"/>
  <c r="K79" i="37"/>
  <c r="G77" i="37"/>
  <c r="K80" i="37"/>
  <c r="A111" i="36"/>
  <c r="A107" i="36"/>
  <c r="B106" i="36"/>
  <c r="AC104" i="49"/>
  <c r="AD104" i="49" s="1"/>
  <c r="AD103" i="49"/>
  <c r="AC108" i="49"/>
  <c r="C94" i="33"/>
  <c r="C93" i="33"/>
  <c r="T37" i="44"/>
  <c r="V37" i="44"/>
  <c r="O90" i="43"/>
  <c r="P90" i="43" s="1"/>
  <c r="P89" i="43"/>
  <c r="B122" i="59"/>
  <c r="A123" i="59"/>
  <c r="A128" i="59"/>
  <c r="AI107" i="40"/>
  <c r="AL109" i="40"/>
  <c r="AH109" i="40"/>
  <c r="AL110" i="40"/>
  <c r="AH110" i="40"/>
  <c r="AL100" i="48"/>
  <c r="AH100" i="48"/>
  <c r="AI97" i="48"/>
  <c r="AL99" i="48"/>
  <c r="AH99" i="48"/>
  <c r="B106" i="45"/>
  <c r="A111" i="45"/>
  <c r="A107" i="45"/>
  <c r="R53" i="47"/>
  <c r="AE54" i="47"/>
  <c r="AG54" i="47" s="1"/>
  <c r="D54" i="47"/>
  <c r="AE58" i="47"/>
  <c r="D58" i="47"/>
  <c r="F58" i="47" s="1"/>
  <c r="H58" i="47" s="1"/>
  <c r="R57" i="47"/>
  <c r="D62" i="47"/>
  <c r="G83" i="26"/>
  <c r="C82" i="26"/>
  <c r="AA90" i="44"/>
  <c r="AO90" i="44" s="1"/>
  <c r="AP90" i="44" s="1"/>
  <c r="W90" i="44"/>
  <c r="AA89" i="44"/>
  <c r="AO89" i="44" s="1"/>
  <c r="AP89" i="44" s="1"/>
  <c r="W89" i="44"/>
  <c r="AJ95" i="47"/>
  <c r="AJ94" i="47"/>
  <c r="O95" i="36"/>
  <c r="P95" i="36" s="1"/>
  <c r="P94" i="36"/>
  <c r="AL113" i="59"/>
  <c r="AL114" i="59"/>
  <c r="AL100" i="26"/>
  <c r="AH100" i="26"/>
  <c r="AI97" i="26"/>
  <c r="AL99" i="26"/>
  <c r="AH99" i="26"/>
  <c r="Q87" i="29"/>
  <c r="Q89" i="29"/>
  <c r="O90" i="39"/>
  <c r="P90" i="39" s="1"/>
  <c r="P89" i="39"/>
  <c r="AA95" i="41"/>
  <c r="AO95" i="41" s="1"/>
  <c r="AP95" i="41" s="1"/>
  <c r="W95" i="41"/>
  <c r="AA94" i="41"/>
  <c r="AO94" i="41" s="1"/>
  <c r="AP94" i="41" s="1"/>
  <c r="W94" i="41"/>
  <c r="K80" i="36"/>
  <c r="K79" i="36"/>
  <c r="G77" i="36"/>
  <c r="AG43" i="45"/>
  <c r="B111" i="28"/>
  <c r="A116" i="28"/>
  <c r="A112" i="28"/>
  <c r="AJ100" i="32"/>
  <c r="AJ99" i="32"/>
  <c r="B111" i="41"/>
  <c r="A116" i="41"/>
  <c r="A112" i="41"/>
  <c r="AJ100" i="50"/>
  <c r="AJ99" i="50"/>
  <c r="AA90" i="50"/>
  <c r="AO90" i="50" s="1"/>
  <c r="W90" i="50"/>
  <c r="AA89" i="50"/>
  <c r="AO89" i="50" s="1"/>
  <c r="W89" i="50"/>
  <c r="X82" i="47"/>
  <c r="O90" i="49"/>
  <c r="P90" i="49" s="1"/>
  <c r="P89" i="49"/>
  <c r="AN4" i="61"/>
  <c r="AO3" i="61"/>
  <c r="B4" i="16"/>
  <c r="AP4" i="16"/>
  <c r="C13" i="50"/>
  <c r="Y8" i="22"/>
  <c r="O94" i="45"/>
  <c r="P93" i="45"/>
  <c r="Q93" i="45" s="1"/>
  <c r="K84" i="50"/>
  <c r="G82" i="50"/>
  <c r="K85" i="50"/>
  <c r="X82" i="26"/>
  <c r="Y85" i="36"/>
  <c r="Y84" i="36"/>
  <c r="P101" i="34"/>
  <c r="O106" i="34"/>
  <c r="O102" i="34"/>
  <c r="AJ100" i="28"/>
  <c r="AJ99" i="28"/>
  <c r="O102" i="44"/>
  <c r="P101" i="44"/>
  <c r="O106" i="44"/>
  <c r="A108" i="27"/>
  <c r="B107" i="27"/>
  <c r="P97" i="49"/>
  <c r="O98" i="49"/>
  <c r="O95" i="38"/>
  <c r="P95" i="38" s="1"/>
  <c r="P94" i="38"/>
  <c r="A116" i="44"/>
  <c r="A112" i="44"/>
  <c r="B111" i="44"/>
  <c r="AC99" i="41"/>
  <c r="AD99" i="41" s="1"/>
  <c r="AD98" i="41"/>
  <c r="AC103" i="41"/>
  <c r="O102" i="27"/>
  <c r="P101" i="27"/>
  <c r="O106" i="27"/>
  <c r="P102" i="42"/>
  <c r="O103" i="42"/>
  <c r="AL100" i="36"/>
  <c r="AH100" i="36"/>
  <c r="AL99" i="36"/>
  <c r="AH99" i="36"/>
  <c r="AI97" i="36"/>
  <c r="B111" i="50"/>
  <c r="A116" i="50"/>
  <c r="A112" i="50"/>
  <c r="X102" i="32"/>
  <c r="K84" i="40"/>
  <c r="G82" i="40"/>
  <c r="K85" i="40"/>
  <c r="X77" i="46"/>
  <c r="Q89" i="47"/>
  <c r="Q87" i="47"/>
  <c r="G83" i="48"/>
  <c r="C82" i="48"/>
  <c r="C101" i="59"/>
  <c r="C100" i="59"/>
  <c r="A100" i="41"/>
  <c r="B100" i="41" s="1"/>
  <c r="B99" i="41"/>
  <c r="M85" i="45"/>
  <c r="I85" i="45"/>
  <c r="G84" i="45"/>
  <c r="M84" i="45"/>
  <c r="I84" i="45"/>
  <c r="Z40" i="47"/>
  <c r="AK40" i="47"/>
  <c r="AM40" i="47" s="1"/>
  <c r="AS40" i="47" s="1"/>
  <c r="L45" i="47"/>
  <c r="O118" i="59"/>
  <c r="P117" i="59"/>
  <c r="H8" i="21"/>
  <c r="I8" i="21" s="1"/>
  <c r="D8" i="21"/>
  <c r="G83" i="43"/>
  <c r="C82" i="43"/>
  <c r="C89" i="43"/>
  <c r="C88" i="43"/>
  <c r="AA9" i="23"/>
  <c r="AG9" i="23" s="1"/>
  <c r="P89" i="46"/>
  <c r="O90" i="46"/>
  <c r="P90" i="46" s="1"/>
  <c r="P89" i="28"/>
  <c r="O90" i="28"/>
  <c r="P90" i="28" s="1"/>
  <c r="M89" i="42"/>
  <c r="I89" i="42"/>
  <c r="M90" i="42"/>
  <c r="I90" i="42"/>
  <c r="G89" i="42"/>
  <c r="AP84" i="45"/>
  <c r="W115" i="32"/>
  <c r="AA114" i="32"/>
  <c r="AO114" i="32" s="1"/>
  <c r="AP114" i="32" s="1"/>
  <c r="W114" i="32"/>
  <c r="AA115" i="32"/>
  <c r="AO115" i="32" s="1"/>
  <c r="AP115" i="32" s="1"/>
  <c r="AL100" i="33"/>
  <c r="AH100" i="33"/>
  <c r="AI97" i="33"/>
  <c r="AL99" i="33"/>
  <c r="AH99" i="33"/>
  <c r="K85" i="47"/>
  <c r="K84" i="47"/>
  <c r="G82" i="47"/>
  <c r="H63" i="50"/>
  <c r="H65" i="50" s="1"/>
  <c r="F65" i="50"/>
  <c r="J64" i="50" s="1"/>
  <c r="V59" i="50"/>
  <c r="V60" i="50" s="1"/>
  <c r="T59" i="50"/>
  <c r="T60" i="50" s="1"/>
  <c r="X59" i="50" s="1"/>
  <c r="Y80" i="39"/>
  <c r="Y79" i="39"/>
  <c r="C94" i="32"/>
  <c r="C93" i="32"/>
  <c r="P93" i="43"/>
  <c r="Q93" i="43" s="1"/>
  <c r="O94" i="43"/>
  <c r="O107" i="48"/>
  <c r="P106" i="48"/>
  <c r="O111" i="48"/>
  <c r="X5" i="20"/>
  <c r="AA5" i="20"/>
  <c r="AG5" i="20" s="1"/>
  <c r="Y80" i="44"/>
  <c r="Y79" i="44"/>
  <c r="P102" i="35"/>
  <c r="O103" i="35"/>
  <c r="AG4" i="20"/>
  <c r="P101" i="39"/>
  <c r="O106" i="39"/>
  <c r="O102" i="39"/>
  <c r="A104" i="32"/>
  <c r="B103" i="32"/>
  <c r="B107" i="38"/>
  <c r="A108" i="38"/>
  <c r="N27" i="50"/>
  <c r="N29" i="50" s="1"/>
  <c r="P28" i="50" s="1"/>
  <c r="L29" i="50"/>
  <c r="P27" i="50" s="1"/>
  <c r="AL94" i="29"/>
  <c r="AH94" i="29"/>
  <c r="AL95" i="29"/>
  <c r="AH95" i="29"/>
  <c r="AI92" i="29"/>
  <c r="AV11" i="24"/>
  <c r="V53" i="48"/>
  <c r="T53" i="48"/>
  <c r="AJ100" i="37"/>
  <c r="AJ99" i="37"/>
  <c r="AI45" i="47"/>
  <c r="G4" i="53"/>
  <c r="O113" i="59"/>
  <c r="P112" i="59"/>
  <c r="Q112" i="59" s="1"/>
  <c r="G88" i="49"/>
  <c r="C87" i="49"/>
  <c r="Y80" i="27"/>
  <c r="Y79" i="27"/>
  <c r="AC108" i="39"/>
  <c r="AC104" i="39"/>
  <c r="AD104" i="39" s="1"/>
  <c r="AD103" i="39"/>
  <c r="H10" i="23"/>
  <c r="I10" i="23" s="1"/>
  <c r="D10" i="23"/>
  <c r="F10" i="23" s="1"/>
  <c r="G10" i="23" s="1"/>
  <c r="T43" i="46"/>
  <c r="V43" i="46"/>
  <c r="A108" i="49"/>
  <c r="B107" i="49"/>
  <c r="O111" i="41"/>
  <c r="O107" i="41"/>
  <c r="P106" i="41"/>
  <c r="Y80" i="40"/>
  <c r="Y79" i="40"/>
  <c r="Q84" i="31"/>
  <c r="Q82" i="31"/>
  <c r="B107" i="42"/>
  <c r="A108" i="42"/>
  <c r="AJ100" i="45"/>
  <c r="AJ99" i="45"/>
  <c r="M90" i="47"/>
  <c r="I89" i="47"/>
  <c r="M89" i="47"/>
  <c r="G89" i="47"/>
  <c r="I90" i="47"/>
  <c r="X13" i="50"/>
  <c r="Y80" i="34"/>
  <c r="Y79" i="34"/>
  <c r="AV6" i="19"/>
  <c r="O99" i="35"/>
  <c r="P98" i="35"/>
  <c r="Q98" i="35" s="1"/>
  <c r="M90" i="38"/>
  <c r="I90" i="38"/>
  <c r="G89" i="38"/>
  <c r="M89" i="38"/>
  <c r="I89" i="38"/>
  <c r="B102" i="26"/>
  <c r="A103" i="26"/>
  <c r="B111" i="32"/>
  <c r="A112" i="32"/>
  <c r="A116" i="32"/>
  <c r="P89" i="37"/>
  <c r="O90" i="37"/>
  <c r="P90" i="37" s="1"/>
  <c r="AL100" i="42"/>
  <c r="AH100" i="42"/>
  <c r="AI97" i="42"/>
  <c r="AL99" i="42"/>
  <c r="AH99" i="42"/>
  <c r="C87" i="35"/>
  <c r="G88" i="35"/>
  <c r="X8" i="23"/>
  <c r="Q87" i="41"/>
  <c r="Q89" i="41"/>
  <c r="A104" i="35"/>
  <c r="B103" i="35"/>
  <c r="A100" i="49"/>
  <c r="B100" i="49" s="1"/>
  <c r="B99" i="49"/>
  <c r="C87" i="33"/>
  <c r="G88" i="33"/>
  <c r="F6" i="20"/>
  <c r="M84" i="39"/>
  <c r="I84" i="39"/>
  <c r="M85" i="39"/>
  <c r="I85" i="39"/>
  <c r="G84" i="39"/>
  <c r="A104" i="34"/>
  <c r="B103" i="34"/>
  <c r="K84" i="34"/>
  <c r="G82" i="34"/>
  <c r="K85" i="34"/>
  <c r="C89" i="45"/>
  <c r="C88" i="45"/>
  <c r="Q84" i="33"/>
  <c r="Q82" i="33"/>
  <c r="T44" i="47"/>
  <c r="T45" i="47" s="1"/>
  <c r="X44" i="47" s="1"/>
  <c r="V44" i="47"/>
  <c r="V45" i="47" s="1"/>
  <c r="M90" i="29"/>
  <c r="I90" i="29"/>
  <c r="G89" i="29"/>
  <c r="M89" i="29"/>
  <c r="I89" i="29"/>
  <c r="X77" i="49"/>
  <c r="AC99" i="38"/>
  <c r="AD99" i="38" s="1"/>
  <c r="AD98" i="38"/>
  <c r="AC103" i="38"/>
  <c r="A108" i="59"/>
  <c r="B108" i="59" s="1"/>
  <c r="B107" i="59"/>
  <c r="K90" i="59"/>
  <c r="I89" i="59"/>
  <c r="I90" i="59"/>
  <c r="G87" i="59"/>
  <c r="K89" i="59"/>
  <c r="B102" i="37"/>
  <c r="A103" i="37"/>
  <c r="AL6" i="61"/>
  <c r="AP6" i="18"/>
  <c r="B6" i="18"/>
  <c r="C11" i="48"/>
  <c r="T13" i="48" s="1"/>
  <c r="V13" i="48" s="1"/>
  <c r="AE48" i="45"/>
  <c r="R43" i="45"/>
  <c r="AE44" i="45"/>
  <c r="AG44" i="45" s="1"/>
  <c r="D44" i="45"/>
  <c r="D48" i="45"/>
  <c r="F48" i="45" s="1"/>
  <c r="H48" i="45" s="1"/>
  <c r="H57" i="48"/>
  <c r="C89" i="48"/>
  <c r="C88" i="48"/>
  <c r="M90" i="50"/>
  <c r="I90" i="50"/>
  <c r="G89" i="50"/>
  <c r="M89" i="50"/>
  <c r="I89" i="50"/>
  <c r="Y85" i="48"/>
  <c r="Y84" i="48"/>
  <c r="K84" i="29"/>
  <c r="G82" i="29"/>
  <c r="K85" i="29"/>
  <c r="K79" i="45"/>
  <c r="G77" i="45"/>
  <c r="K80" i="45"/>
  <c r="G77" i="26"/>
  <c r="K80" i="26"/>
  <c r="K79" i="26"/>
  <c r="C87" i="28"/>
  <c r="G88" i="28"/>
  <c r="P101" i="50"/>
  <c r="O106" i="50"/>
  <c r="O102" i="50"/>
  <c r="X93" i="59"/>
  <c r="Y85" i="30"/>
  <c r="Y84" i="30"/>
  <c r="V54" i="49"/>
  <c r="V55" i="49" s="1"/>
  <c r="T54" i="49"/>
  <c r="T55" i="49" s="1"/>
  <c r="X54" i="49" s="1"/>
  <c r="P89" i="40"/>
  <c r="O90" i="40"/>
  <c r="P90" i="40" s="1"/>
  <c r="AJ99" i="30"/>
  <c r="AJ100" i="30"/>
  <c r="B107" i="29"/>
  <c r="A108" i="29"/>
  <c r="B106" i="39"/>
  <c r="A111" i="39"/>
  <c r="A107" i="39"/>
  <c r="AF8" i="24"/>
  <c r="AF9" i="24" s="1"/>
  <c r="A99" i="26"/>
  <c r="B98" i="26"/>
  <c r="G88" i="32"/>
  <c r="C87" i="32"/>
  <c r="AL100" i="49"/>
  <c r="AH100" i="49"/>
  <c r="AL99" i="49"/>
  <c r="AH99" i="49"/>
  <c r="AI97" i="49"/>
  <c r="Q82" i="28"/>
  <c r="Q84" i="28"/>
  <c r="A99" i="43"/>
  <c r="B98" i="43"/>
  <c r="Q82" i="37"/>
  <c r="Q84" i="37"/>
  <c r="P102" i="30"/>
  <c r="O103" i="30"/>
  <c r="H67" i="48"/>
  <c r="P102" i="29"/>
  <c r="O103" i="29"/>
  <c r="X82" i="35"/>
  <c r="V33" i="44"/>
  <c r="T33" i="44"/>
  <c r="O102" i="33"/>
  <c r="P101" i="33"/>
  <c r="O106" i="33"/>
  <c r="AA90" i="43"/>
  <c r="AO90" i="43" s="1"/>
  <c r="AP90" i="43" s="1"/>
  <c r="W90" i="43"/>
  <c r="AA89" i="43"/>
  <c r="AO89" i="43" s="1"/>
  <c r="AP89" i="43" s="1"/>
  <c r="W89" i="43"/>
  <c r="A118" i="59"/>
  <c r="B117" i="59"/>
  <c r="A100" i="28"/>
  <c r="B100" i="28" s="1"/>
  <c r="B99" i="28"/>
  <c r="AC108" i="48"/>
  <c r="AC104" i="48"/>
  <c r="AD104" i="48" s="1"/>
  <c r="AD103" i="48"/>
  <c r="H7" i="20"/>
  <c r="I7" i="20" s="1"/>
  <c r="D7" i="20"/>
  <c r="F7" i="20" s="1"/>
  <c r="G7" i="20" s="1"/>
  <c r="O98" i="37"/>
  <c r="P97" i="37"/>
  <c r="M84" i="26"/>
  <c r="I84" i="26"/>
  <c r="M85" i="26"/>
  <c r="I85" i="26"/>
  <c r="G84" i="26"/>
  <c r="C93" i="41"/>
  <c r="C94" i="41"/>
  <c r="A95" i="48"/>
  <c r="B95" i="48" s="1"/>
  <c r="B94" i="48"/>
  <c r="A99" i="30"/>
  <c r="B98" i="30"/>
  <c r="J47" i="47"/>
  <c r="C94" i="50"/>
  <c r="C93" i="50"/>
  <c r="AI92" i="47"/>
  <c r="AL94" i="47"/>
  <c r="AH95" i="47"/>
  <c r="AL95" i="47"/>
  <c r="AH94" i="47"/>
  <c r="J42" i="46"/>
  <c r="AC104" i="27"/>
  <c r="AD104" i="27" s="1"/>
  <c r="AD103" i="27"/>
  <c r="AC108" i="27"/>
  <c r="AA95" i="36"/>
  <c r="AO95" i="36" s="1"/>
  <c r="AP95" i="36" s="1"/>
  <c r="W95" i="36"/>
  <c r="AA94" i="36"/>
  <c r="AO94" i="36" s="1"/>
  <c r="AP94" i="36" s="1"/>
  <c r="W94" i="36"/>
  <c r="AC108" i="26"/>
  <c r="AC104" i="26"/>
  <c r="AD104" i="26" s="1"/>
  <c r="AD103" i="26"/>
  <c r="AA90" i="39"/>
  <c r="AO90" i="39" s="1"/>
  <c r="AP90" i="39" s="1"/>
  <c r="W90" i="39"/>
  <c r="AA89" i="39"/>
  <c r="AO89" i="39" s="1"/>
  <c r="AP89" i="39" s="1"/>
  <c r="W89" i="39"/>
  <c r="O95" i="41"/>
  <c r="P95" i="41" s="1"/>
  <c r="P94" i="41"/>
  <c r="F47" i="45"/>
  <c r="T38" i="45"/>
  <c r="V38" i="45"/>
  <c r="AI97" i="32"/>
  <c r="AL99" i="32"/>
  <c r="AH99" i="32"/>
  <c r="AL100" i="32"/>
  <c r="AH100" i="32"/>
  <c r="AI97" i="50"/>
  <c r="AL99" i="50"/>
  <c r="AH99" i="50"/>
  <c r="AL100" i="50"/>
  <c r="AH100" i="50"/>
  <c r="P89" i="50"/>
  <c r="O90" i="50"/>
  <c r="P90" i="50" s="1"/>
  <c r="B102" i="48"/>
  <c r="A103" i="48"/>
  <c r="G95" i="59"/>
  <c r="M95" i="59"/>
  <c r="M96" i="59"/>
  <c r="AV4" i="17"/>
  <c r="AM5" i="61"/>
  <c r="AP5" i="17"/>
  <c r="Y4" i="17" s="1"/>
  <c r="B5" i="17"/>
  <c r="C12" i="49"/>
  <c r="C87" i="27"/>
  <c r="G88" i="27"/>
  <c r="X82" i="36"/>
  <c r="O119" i="32"/>
  <c r="P118" i="32"/>
  <c r="Q118" i="32" s="1"/>
  <c r="A100" i="50"/>
  <c r="B100" i="50" s="1"/>
  <c r="B99" i="50"/>
  <c r="AI97" i="28"/>
  <c r="AL99" i="28"/>
  <c r="AH99" i="28"/>
  <c r="AL100" i="28"/>
  <c r="AH100" i="28"/>
  <c r="A116" i="27"/>
  <c r="A112" i="27"/>
  <c r="B111" i="27"/>
  <c r="C88" i="36"/>
  <c r="C89" i="36"/>
  <c r="AG50" i="47"/>
  <c r="AJ95" i="41"/>
  <c r="AJ94" i="41"/>
  <c r="B107" i="35"/>
  <c r="A108" i="35"/>
  <c r="Y80" i="31"/>
  <c r="Y79" i="31"/>
  <c r="Q82" i="34"/>
  <c r="Q84" i="34"/>
  <c r="Y105" i="32"/>
  <c r="Y104" i="32"/>
  <c r="A95" i="30"/>
  <c r="B95" i="30" s="1"/>
  <c r="B94" i="30"/>
  <c r="Y80" i="46"/>
  <c r="Y79" i="46"/>
  <c r="O99" i="29"/>
  <c r="P98" i="29"/>
  <c r="Q98" i="29" s="1"/>
  <c r="M84" i="48"/>
  <c r="I84" i="48"/>
  <c r="M85" i="48"/>
  <c r="I85" i="48"/>
  <c r="G84" i="48"/>
  <c r="C87" i="34"/>
  <c r="G88" i="34"/>
  <c r="A113" i="59"/>
  <c r="B112" i="59"/>
  <c r="Q82" i="46"/>
  <c r="Q84" i="46"/>
  <c r="O94" i="37"/>
  <c r="P93" i="37"/>
  <c r="Q93" i="37" s="1"/>
  <c r="A99" i="45"/>
  <c r="B98" i="45"/>
  <c r="Q107" i="32"/>
  <c r="Q109" i="32"/>
  <c r="O95" i="26"/>
  <c r="P95" i="26" s="1"/>
  <c r="P94" i="26"/>
  <c r="AI9" i="61"/>
  <c r="B9" i="21"/>
  <c r="C8" i="45"/>
  <c r="AP9" i="21"/>
  <c r="Y8" i="21" s="1"/>
  <c r="M85" i="43"/>
  <c r="I84" i="43"/>
  <c r="I85" i="43"/>
  <c r="G84" i="43"/>
  <c r="M84" i="43"/>
  <c r="A104" i="28"/>
  <c r="B103" i="28"/>
  <c r="A104" i="40"/>
  <c r="B103" i="40"/>
  <c r="P114" i="32"/>
  <c r="O115" i="32"/>
  <c r="P115" i="32" s="1"/>
  <c r="A99" i="48"/>
  <c r="B98" i="48"/>
  <c r="K84" i="49"/>
  <c r="K85" i="49"/>
  <c r="G82" i="49"/>
  <c r="C82" i="46"/>
  <c r="G83" i="46"/>
  <c r="T63" i="50"/>
  <c r="V63" i="50"/>
  <c r="J40" i="46"/>
  <c r="N40" i="46" s="1"/>
  <c r="AQ40" i="46" s="1"/>
  <c r="J39" i="46"/>
  <c r="N39" i="46" s="1"/>
  <c r="AQ39" i="46" s="1"/>
  <c r="X77" i="39"/>
  <c r="K85" i="33"/>
  <c r="K84" i="33"/>
  <c r="G82" i="33"/>
  <c r="J44" i="47"/>
  <c r="J45" i="47"/>
  <c r="O98" i="28"/>
  <c r="P97" i="28"/>
  <c r="A95" i="26"/>
  <c r="B95" i="26" s="1"/>
  <c r="B94" i="26"/>
  <c r="X77" i="44"/>
  <c r="P102" i="26"/>
  <c r="O103" i="26"/>
  <c r="X77" i="45"/>
  <c r="O102" i="31"/>
  <c r="P101" i="31"/>
  <c r="O106" i="31"/>
  <c r="C94" i="27"/>
  <c r="C93" i="27"/>
  <c r="O111" i="35"/>
  <c r="O107" i="35"/>
  <c r="P106" i="35"/>
  <c r="X4" i="20"/>
  <c r="AC104" i="34"/>
  <c r="AD104" i="34" s="1"/>
  <c r="AD103" i="34"/>
  <c r="AC108" i="34"/>
  <c r="B111" i="38"/>
  <c r="A116" i="38"/>
  <c r="A112" i="38"/>
  <c r="A95" i="46"/>
  <c r="B95" i="46" s="1"/>
  <c r="B94" i="46"/>
  <c r="AF12" i="61"/>
  <c r="B12" i="24"/>
  <c r="C5" i="42"/>
  <c r="AP12" i="24"/>
  <c r="A95" i="45"/>
  <c r="B95" i="45" s="1"/>
  <c r="B94" i="45"/>
  <c r="V57" i="48"/>
  <c r="T57" i="48"/>
  <c r="AI97" i="37"/>
  <c r="AL99" i="37"/>
  <c r="AH99" i="37"/>
  <c r="AL100" i="37"/>
  <c r="AH100" i="37"/>
  <c r="A108" i="33"/>
  <c r="B107" i="33"/>
  <c r="Q89" i="42"/>
  <c r="Q87" i="42"/>
  <c r="B107" i="34"/>
  <c r="A108" i="34"/>
  <c r="I90" i="49"/>
  <c r="I89" i="49"/>
  <c r="M90" i="49"/>
  <c r="M89" i="49"/>
  <c r="G89" i="49"/>
  <c r="X77" i="27"/>
  <c r="AC104" i="31"/>
  <c r="AD104" i="31" s="1"/>
  <c r="AD103" i="31"/>
  <c r="AC108" i="31"/>
  <c r="J49" i="48"/>
  <c r="J50" i="48"/>
  <c r="D43" i="44"/>
  <c r="F43" i="44" s="1"/>
  <c r="H43" i="44" s="1"/>
  <c r="AE39" i="44"/>
  <c r="AG39" i="44" s="1"/>
  <c r="D39" i="44"/>
  <c r="F39" i="44" s="1"/>
  <c r="H39" i="44" s="1"/>
  <c r="R38" i="44"/>
  <c r="AE43" i="44"/>
  <c r="R34" i="44"/>
  <c r="R42" i="44"/>
  <c r="D47" i="44"/>
  <c r="AR35" i="46"/>
  <c r="AT35" i="46" s="1"/>
  <c r="E5" i="46" s="1"/>
  <c r="AR34" i="46"/>
  <c r="AT34" i="46" s="1"/>
  <c r="D5" i="46" s="1"/>
  <c r="AG48" i="46"/>
  <c r="AG50" i="46" s="1"/>
  <c r="Y80" i="33"/>
  <c r="Y79" i="33"/>
  <c r="A116" i="49"/>
  <c r="A112" i="49"/>
  <c r="B111" i="49"/>
  <c r="C94" i="31"/>
  <c r="C93" i="31"/>
  <c r="AR40" i="48"/>
  <c r="AT40" i="48" s="1"/>
  <c r="E6" i="48" s="1"/>
  <c r="AC124" i="46"/>
  <c r="AD124" i="46" s="1"/>
  <c r="AD123" i="46"/>
  <c r="AC128" i="46"/>
  <c r="O94" i="28"/>
  <c r="P93" i="28"/>
  <c r="Q93" i="28" s="1"/>
  <c r="B111" i="42"/>
  <c r="A116" i="42"/>
  <c r="A112" i="42"/>
  <c r="AI97" i="45"/>
  <c r="AL99" i="45"/>
  <c r="AH99" i="45"/>
  <c r="AL100" i="45"/>
  <c r="AH100" i="45"/>
  <c r="C89" i="39"/>
  <c r="C88" i="39"/>
  <c r="A108" i="31"/>
  <c r="B107" i="31"/>
  <c r="AV6" i="53"/>
  <c r="AE59" i="48"/>
  <c r="AG59" i="48" s="1"/>
  <c r="AE63" i="48"/>
  <c r="R58" i="48"/>
  <c r="R54" i="48"/>
  <c r="D59" i="48"/>
  <c r="F59" i="48" s="1"/>
  <c r="H59" i="48" s="1"/>
  <c r="D63" i="48"/>
  <c r="F63" i="48" s="1"/>
  <c r="H63" i="48" s="1"/>
  <c r="R62" i="48"/>
  <c r="AG6" i="21"/>
  <c r="P93" i="27"/>
  <c r="Q93" i="27" s="1"/>
  <c r="O94" i="27"/>
  <c r="AP89" i="26"/>
  <c r="C87" i="38"/>
  <c r="G88" i="38"/>
  <c r="B106" i="26"/>
  <c r="A111" i="26"/>
  <c r="A107" i="26"/>
  <c r="B107" i="32"/>
  <c r="A108" i="32"/>
  <c r="M90" i="41"/>
  <c r="I90" i="41"/>
  <c r="G89" i="41"/>
  <c r="M89" i="41"/>
  <c r="I89" i="41"/>
  <c r="AC99" i="35"/>
  <c r="AD99" i="35" s="1"/>
  <c r="AD98" i="35"/>
  <c r="AC103" i="35"/>
  <c r="B102" i="43"/>
  <c r="A103" i="43"/>
  <c r="P102" i="38"/>
  <c r="O103" i="38"/>
  <c r="AA107" i="59"/>
  <c r="AQ107" i="59" s="1"/>
  <c r="AR107" i="59" s="1"/>
  <c r="AA108" i="59"/>
  <c r="AQ108" i="59" s="1"/>
  <c r="AR108" i="59" s="1"/>
  <c r="AC108" i="42"/>
  <c r="AC104" i="42"/>
  <c r="AD104" i="42" s="1"/>
  <c r="AD103" i="42"/>
  <c r="Y85" i="42"/>
  <c r="Y84" i="42"/>
  <c r="P98" i="30"/>
  <c r="Q98" i="30" s="1"/>
  <c r="O99" i="30"/>
  <c r="X77" i="50"/>
  <c r="M89" i="33"/>
  <c r="I89" i="33"/>
  <c r="M90" i="33"/>
  <c r="I90" i="33"/>
  <c r="G89" i="33"/>
  <c r="A104" i="33"/>
  <c r="B103" i="33"/>
  <c r="B102" i="30"/>
  <c r="A103" i="30"/>
  <c r="G4" i="19"/>
  <c r="F57" i="47"/>
  <c r="AG53" i="47"/>
  <c r="C87" i="29"/>
  <c r="G88" i="29"/>
  <c r="C89" i="37"/>
  <c r="C88" i="37"/>
  <c r="X77" i="28"/>
  <c r="O90" i="27"/>
  <c r="P90" i="27" s="1"/>
  <c r="P89" i="27"/>
  <c r="AJ95" i="38"/>
  <c r="AJ94" i="38"/>
  <c r="H38" i="45"/>
  <c r="H40" i="45" s="1"/>
  <c r="F40" i="45"/>
  <c r="J60" i="50"/>
  <c r="J59" i="50"/>
  <c r="B106" i="37"/>
  <c r="A111" i="37"/>
  <c r="A107" i="37"/>
  <c r="Q82" i="50"/>
  <c r="Q84" i="50"/>
  <c r="H5" i="18"/>
  <c r="I5" i="18" s="1"/>
  <c r="D5" i="18"/>
  <c r="F5" i="18" s="1"/>
  <c r="G5" i="18" s="1"/>
  <c r="Y4" i="18"/>
  <c r="H9" i="22"/>
  <c r="I9" i="22" s="1"/>
  <c r="D9" i="22"/>
  <c r="F9" i="22" s="1"/>
  <c r="G9" i="22" s="1"/>
  <c r="AE55" i="48"/>
  <c r="AI54" i="48" s="1"/>
  <c r="X82" i="48"/>
  <c r="A104" i="49"/>
  <c r="B103" i="49"/>
  <c r="AC99" i="44"/>
  <c r="AD99" i="44" s="1"/>
  <c r="AD98" i="44"/>
  <c r="AC103" i="44"/>
  <c r="O99" i="41"/>
  <c r="P98" i="41"/>
  <c r="Q98" i="41" s="1"/>
  <c r="O102" i="43"/>
  <c r="P101" i="43"/>
  <c r="O106" i="43"/>
  <c r="P122" i="32"/>
  <c r="O123" i="32"/>
  <c r="M90" i="28"/>
  <c r="I90" i="28"/>
  <c r="G89" i="28"/>
  <c r="M89" i="28"/>
  <c r="I89" i="28"/>
  <c r="C87" i="40"/>
  <c r="G88" i="40"/>
  <c r="Q84" i="44"/>
  <c r="Q82" i="44"/>
  <c r="X82" i="30"/>
  <c r="A104" i="31"/>
  <c r="B103" i="31"/>
  <c r="V58" i="49"/>
  <c r="T58" i="49"/>
  <c r="Y5" i="53"/>
  <c r="P98" i="26"/>
  <c r="Q98" i="26" s="1"/>
  <c r="O99" i="26"/>
  <c r="AL100" i="30"/>
  <c r="AH100" i="30"/>
  <c r="AI97" i="30"/>
  <c r="AL99" i="30"/>
  <c r="AH99" i="30"/>
  <c r="P93" i="31"/>
  <c r="Q93" i="31" s="1"/>
  <c r="O94" i="31"/>
  <c r="B111" i="29"/>
  <c r="A116" i="29"/>
  <c r="A112" i="29"/>
  <c r="A99" i="46"/>
  <c r="B98" i="46"/>
  <c r="H72" i="50"/>
  <c r="A104" i="47"/>
  <c r="B103" i="47"/>
  <c r="C93" i="35"/>
  <c r="C94" i="35"/>
  <c r="M90" i="32"/>
  <c r="I90" i="32"/>
  <c r="G89" i="32"/>
  <c r="I89" i="32"/>
  <c r="M89" i="32"/>
  <c r="G6" i="21"/>
  <c r="O107" i="36"/>
  <c r="O111" i="36"/>
  <c r="P106" i="36"/>
  <c r="O111" i="29"/>
  <c r="O107" i="29"/>
  <c r="P106" i="29"/>
  <c r="Y85" i="35"/>
  <c r="Y84" i="35"/>
  <c r="F42" i="44"/>
  <c r="AG34" i="44"/>
  <c r="AG35" i="44" s="1"/>
  <c r="AE35" i="44"/>
  <c r="AI34" i="44" s="1"/>
  <c r="AM34" i="44" s="1"/>
  <c r="AS34" i="44" s="1"/>
  <c r="AC114" i="40"/>
  <c r="AD114" i="40" s="1"/>
  <c r="AD113" i="40"/>
  <c r="AC118" i="40"/>
  <c r="X82" i="29"/>
  <c r="AJ8" i="61"/>
  <c r="C9" i="46"/>
  <c r="R49" i="46" s="1"/>
  <c r="B8" i="20"/>
  <c r="AP8" i="20"/>
  <c r="P101" i="37"/>
  <c r="O106" i="37"/>
  <c r="O102" i="37"/>
  <c r="G83" i="30"/>
  <c r="C82" i="30"/>
  <c r="Q89" i="36"/>
  <c r="Q87" i="36"/>
  <c r="AC103" i="47"/>
  <c r="AC99" i="47"/>
  <c r="AD99" i="47" s="1"/>
  <c r="AD98" i="47"/>
  <c r="AJ99" i="27"/>
  <c r="AJ100" i="27"/>
  <c r="AN114" i="59"/>
  <c r="AJ114" i="59"/>
  <c r="AK111" i="59"/>
  <c r="AN113" i="59"/>
  <c r="AJ113" i="59"/>
  <c r="C82" i="37"/>
  <c r="G83" i="37"/>
  <c r="V42" i="45"/>
  <c r="T42" i="45"/>
  <c r="V34" i="45"/>
  <c r="V35" i="45" s="1"/>
  <c r="X35" i="45" s="1"/>
  <c r="AB35" i="45" s="1"/>
  <c r="T34" i="45"/>
  <c r="T35" i="45" s="1"/>
  <c r="X34" i="45" s="1"/>
  <c r="AB34" i="45" s="1"/>
  <c r="AC108" i="32"/>
  <c r="AC104" i="32"/>
  <c r="AD104" i="32" s="1"/>
  <c r="AD103" i="32"/>
  <c r="B107" i="40"/>
  <c r="A108" i="40"/>
  <c r="Q82" i="45"/>
  <c r="Q84" i="45"/>
  <c r="B106" i="48"/>
  <c r="A111" i="48"/>
  <c r="A107" i="48"/>
  <c r="C93" i="59"/>
  <c r="G94" i="59"/>
  <c r="H4" i="17"/>
  <c r="I4" i="17" s="1"/>
  <c r="D4" i="17"/>
  <c r="M89" i="27"/>
  <c r="I89" i="27"/>
  <c r="M90" i="27"/>
  <c r="I90" i="27"/>
  <c r="G89" i="27"/>
  <c r="AA95" i="35"/>
  <c r="AO95" i="35" s="1"/>
  <c r="AP95" i="35" s="1"/>
  <c r="W95" i="35"/>
  <c r="AA94" i="35"/>
  <c r="AO94" i="35" s="1"/>
  <c r="AP94" i="35" s="1"/>
  <c r="W94" i="35"/>
  <c r="X77" i="43"/>
  <c r="A100" i="35"/>
  <c r="B100" i="35" s="1"/>
  <c r="B99" i="35"/>
  <c r="C87" i="44"/>
  <c r="G88" i="44"/>
  <c r="O94" i="46"/>
  <c r="P93" i="46"/>
  <c r="Q93" i="46" s="1"/>
  <c r="O94" i="50"/>
  <c r="P93" i="50"/>
  <c r="Q93" i="50" s="1"/>
  <c r="J54" i="49"/>
  <c r="C89" i="26"/>
  <c r="C88" i="26"/>
  <c r="O98" i="44"/>
  <c r="P97" i="44"/>
  <c r="O102" i="49"/>
  <c r="O106" i="49"/>
  <c r="P101" i="49"/>
  <c r="B94" i="43"/>
  <c r="A95" i="43"/>
  <c r="B95" i="43" s="1"/>
  <c r="AE50" i="47"/>
  <c r="AI49" i="47" s="1"/>
  <c r="AA95" i="29"/>
  <c r="AO95" i="29" s="1"/>
  <c r="AP95" i="29" s="1"/>
  <c r="W95" i="29"/>
  <c r="AA94" i="29"/>
  <c r="AO94" i="29" s="1"/>
  <c r="AP94" i="29" s="1"/>
  <c r="W94" i="29"/>
  <c r="AL94" i="41"/>
  <c r="AH94" i="41"/>
  <c r="AL95" i="41"/>
  <c r="AH95" i="41"/>
  <c r="AI92" i="41"/>
  <c r="B106" i="46"/>
  <c r="A107" i="46"/>
  <c r="A111" i="46"/>
  <c r="O98" i="27"/>
  <c r="P97" i="27"/>
  <c r="O107" i="42"/>
  <c r="P106" i="42"/>
  <c r="O111" i="42"/>
  <c r="AC104" i="36"/>
  <c r="AD104" i="36" s="1"/>
  <c r="AD103" i="36"/>
  <c r="AC108" i="36"/>
  <c r="B111" i="35"/>
  <c r="A116" i="35"/>
  <c r="A112" i="35"/>
  <c r="X77" i="31"/>
  <c r="AG4" i="19"/>
  <c r="P98" i="47"/>
  <c r="Q98" i="47" s="1"/>
  <c r="O99" i="47"/>
  <c r="G77" i="48"/>
  <c r="K80" i="48"/>
  <c r="K79" i="48"/>
  <c r="O98" i="40"/>
  <c r="P97" i="40"/>
  <c r="M90" i="34"/>
  <c r="I90" i="34"/>
  <c r="G89" i="34"/>
  <c r="M89" i="34"/>
  <c r="I89" i="34"/>
  <c r="P93" i="33"/>
  <c r="Q93" i="33" s="1"/>
  <c r="O94" i="33"/>
  <c r="AR39" i="49"/>
  <c r="AT39" i="49" s="1"/>
  <c r="D6" i="49" s="1"/>
  <c r="AF6" i="22"/>
  <c r="AF7" i="22" s="1"/>
  <c r="C94" i="28"/>
  <c r="C93" i="28"/>
  <c r="G77" i="30"/>
  <c r="K80" i="30"/>
  <c r="K79" i="30"/>
  <c r="O128" i="59"/>
  <c r="O123" i="59"/>
  <c r="P122" i="59"/>
  <c r="AA95" i="26"/>
  <c r="AO95" i="26" s="1"/>
  <c r="AP95" i="26" s="1"/>
  <c r="W95" i="26"/>
  <c r="AA94" i="26"/>
  <c r="AO94" i="26" s="1"/>
  <c r="AP94" i="26" s="1"/>
  <c r="W94" i="26"/>
  <c r="AV8" i="21"/>
  <c r="O90" i="31"/>
  <c r="P90" i="31" s="1"/>
  <c r="P89" i="31"/>
  <c r="Q87" i="38"/>
  <c r="Q89" i="38"/>
  <c r="Q82" i="40"/>
  <c r="Q84" i="40"/>
  <c r="AC104" i="33"/>
  <c r="AD104" i="33" s="1"/>
  <c r="AD103" i="33"/>
  <c r="AC108" i="33"/>
  <c r="K84" i="41"/>
  <c r="G82" i="41"/>
  <c r="K85" i="41"/>
  <c r="M85" i="46"/>
  <c r="I85" i="46"/>
  <c r="G84" i="46"/>
  <c r="M84" i="46"/>
  <c r="I84" i="46"/>
  <c r="F8" i="22"/>
  <c r="X82" i="41"/>
  <c r="O90" i="33"/>
  <c r="P90" i="33" s="1"/>
  <c r="P89" i="33"/>
  <c r="P102" i="48"/>
  <c r="O103" i="48"/>
  <c r="P101" i="28"/>
  <c r="O106" i="28"/>
  <c r="O102" i="28"/>
  <c r="A104" i="27"/>
  <c r="B103" i="27"/>
  <c r="AG4" i="53"/>
  <c r="Y80" i="45"/>
  <c r="Y79" i="45"/>
  <c r="C93" i="38"/>
  <c r="C94" i="38"/>
  <c r="X77" i="37"/>
  <c r="F77" i="50"/>
  <c r="AJ100" i="34"/>
  <c r="AJ99" i="34"/>
  <c r="P106" i="47"/>
  <c r="O107" i="47"/>
  <c r="O111" i="47"/>
  <c r="AC99" i="29"/>
  <c r="AD99" i="29" s="1"/>
  <c r="AD98" i="29"/>
  <c r="AC103" i="29"/>
  <c r="D11" i="24"/>
  <c r="F11" i="24" s="1"/>
  <c r="G11" i="24" s="1"/>
  <c r="H11" i="24"/>
  <c r="I11" i="24" s="1"/>
  <c r="F54" i="48"/>
  <c r="J52" i="48"/>
  <c r="A116" i="33"/>
  <c r="A112" i="33"/>
  <c r="B111" i="33"/>
  <c r="B111" i="34"/>
  <c r="A116" i="34"/>
  <c r="A112" i="34"/>
  <c r="G82" i="42"/>
  <c r="K85" i="42"/>
  <c r="K84" i="42"/>
  <c r="AA90" i="45"/>
  <c r="AO90" i="45" s="1"/>
  <c r="AP90" i="45" s="1"/>
  <c r="W90" i="45"/>
  <c r="AA89" i="45"/>
  <c r="AO89" i="45" s="1"/>
  <c r="AP89" i="45" s="1"/>
  <c r="W89" i="45"/>
  <c r="AJ99" i="31"/>
  <c r="AJ100" i="31"/>
  <c r="AJ100" i="39"/>
  <c r="AJ99" i="39"/>
  <c r="O95" i="42"/>
  <c r="P95" i="42" s="1"/>
  <c r="P94" i="42"/>
  <c r="AG11" i="61"/>
  <c r="L109" i="66" s="1"/>
  <c r="AP11" i="23"/>
  <c r="Y10" i="23" s="1"/>
  <c r="C6" i="43"/>
  <c r="B11" i="23"/>
  <c r="A100" i="42"/>
  <c r="B100" i="42" s="1"/>
  <c r="B99" i="42"/>
  <c r="AP84" i="39"/>
  <c r="K79" i="46"/>
  <c r="G77" i="46"/>
  <c r="K80" i="46"/>
  <c r="AG65" i="50"/>
  <c r="F4" i="18"/>
  <c r="O95" i="30"/>
  <c r="P95" i="30" s="1"/>
  <c r="P94" i="30"/>
  <c r="X77" i="33"/>
  <c r="G77" i="39"/>
  <c r="K80" i="39"/>
  <c r="K79" i="39"/>
  <c r="AJ120" i="46"/>
  <c r="AJ119" i="46"/>
  <c r="P93" i="44"/>
  <c r="Q93" i="44" s="1"/>
  <c r="O94" i="44"/>
  <c r="A116" i="31"/>
  <c r="A112" i="31"/>
  <c r="B111" i="31"/>
  <c r="H6" i="53"/>
  <c r="I6" i="53" s="1"/>
  <c r="D6" i="53"/>
  <c r="F6" i="53" s="1"/>
  <c r="G6" i="53" s="1"/>
  <c r="AK7" i="61"/>
  <c r="B7" i="19"/>
  <c r="C10" i="47"/>
  <c r="D67" i="47" s="1"/>
  <c r="F67" i="47" s="1"/>
  <c r="AP7" i="19"/>
  <c r="AP7" i="53"/>
  <c r="B7" i="53"/>
  <c r="A99" i="39"/>
  <c r="B98" i="39"/>
  <c r="B107" i="47"/>
  <c r="A108" i="47"/>
  <c r="C87" i="41"/>
  <c r="G88" i="41"/>
  <c r="AJ95" i="35"/>
  <c r="AJ94" i="35"/>
  <c r="B106" i="43"/>
  <c r="A111" i="43"/>
  <c r="A107" i="43"/>
  <c r="O111" i="38"/>
  <c r="O107" i="38"/>
  <c r="P106" i="38"/>
  <c r="P107" i="59"/>
  <c r="O108" i="59"/>
  <c r="P108" i="59" s="1"/>
  <c r="O94" i="40"/>
  <c r="P93" i="40"/>
  <c r="Q93" i="40" s="1"/>
  <c r="K84" i="35"/>
  <c r="G82" i="35"/>
  <c r="K85" i="35"/>
  <c r="X82" i="42"/>
  <c r="C94" i="44"/>
  <c r="C93" i="44"/>
  <c r="G82" i="32"/>
  <c r="K84" i="32"/>
  <c r="K85" i="32"/>
  <c r="F10" i="24"/>
  <c r="O95" i="48"/>
  <c r="P95" i="48" s="1"/>
  <c r="P94" i="48"/>
  <c r="Y10" i="24"/>
  <c r="K85" i="44"/>
  <c r="K84" i="44"/>
  <c r="G82" i="44"/>
  <c r="AE45" i="46"/>
  <c r="AI44" i="46" s="1"/>
  <c r="Y80" i="50"/>
  <c r="Y79" i="50"/>
  <c r="AF10" i="25"/>
  <c r="B106" i="30"/>
  <c r="A111" i="30"/>
  <c r="A107" i="30"/>
  <c r="AP89" i="36"/>
  <c r="A95" i="37"/>
  <c r="B95" i="37" s="1"/>
  <c r="B94" i="37"/>
  <c r="V52" i="47"/>
  <c r="T52" i="47"/>
  <c r="M84" i="36"/>
  <c r="I84" i="36"/>
  <c r="M85" i="36"/>
  <c r="I85" i="36"/>
  <c r="G84" i="36"/>
  <c r="X82" i="38"/>
  <c r="P94" i="47"/>
  <c r="O95" i="47"/>
  <c r="P95" i="47" s="1"/>
  <c r="Y80" i="28"/>
  <c r="Y79" i="28"/>
  <c r="AA90" i="27"/>
  <c r="AO90" i="27" s="1"/>
  <c r="AP90" i="27" s="1"/>
  <c r="W90" i="27"/>
  <c r="AA89" i="27"/>
  <c r="AO89" i="27" s="1"/>
  <c r="AP89" i="27" s="1"/>
  <c r="W89" i="27"/>
  <c r="AL94" i="38"/>
  <c r="AH94" i="38"/>
  <c r="AL95" i="38"/>
  <c r="AH95" i="38"/>
  <c r="AI92" i="38"/>
  <c r="AA90" i="34"/>
  <c r="AO90" i="34" s="1"/>
  <c r="AP90" i="34" s="1"/>
  <c r="W90" i="34"/>
  <c r="AA89" i="34"/>
  <c r="AO89" i="34" s="1"/>
  <c r="AP89" i="34" s="1"/>
  <c r="W89" i="34"/>
  <c r="Q84" i="39"/>
  <c r="Q82" i="39"/>
  <c r="AE64" i="49"/>
  <c r="AG64" i="49" s="1"/>
  <c r="AE68" i="49"/>
  <c r="D64" i="49"/>
  <c r="R63" i="49"/>
  <c r="R59" i="49"/>
  <c r="AH10" i="61"/>
  <c r="B10" i="22"/>
  <c r="C7" i="44"/>
  <c r="AP10" i="22"/>
  <c r="Y9" i="22" s="1"/>
  <c r="AG55" i="48"/>
  <c r="C89" i="30"/>
  <c r="C88" i="30"/>
  <c r="O98" i="45"/>
  <c r="P97" i="45"/>
  <c r="AJ94" i="44"/>
  <c r="AJ95" i="44"/>
  <c r="C93" i="29"/>
  <c r="C94" i="29"/>
  <c r="O98" i="46"/>
  <c r="P97" i="46"/>
  <c r="P98" i="48"/>
  <c r="Q98" i="48" s="1"/>
  <c r="O99" i="48"/>
  <c r="P126" i="32"/>
  <c r="O131" i="32"/>
  <c r="O127" i="32"/>
  <c r="A104" i="42"/>
  <c r="B103" i="42"/>
  <c r="Q87" i="35"/>
  <c r="Q89" i="35"/>
  <c r="H62" i="49"/>
  <c r="M90" i="40"/>
  <c r="I90" i="40"/>
  <c r="G89" i="40"/>
  <c r="M89" i="40"/>
  <c r="I89" i="40"/>
  <c r="A100" i="38"/>
  <c r="B100" i="38" s="1"/>
  <c r="B99" i="38"/>
  <c r="T62" i="49"/>
  <c r="V62" i="49"/>
  <c r="AC108" i="30"/>
  <c r="AC104" i="30"/>
  <c r="AD104" i="30" s="1"/>
  <c r="AD103" i="30"/>
  <c r="C87" i="31"/>
  <c r="G88" i="31"/>
  <c r="Q89" i="26"/>
  <c r="Q87" i="26"/>
  <c r="Q89" i="30"/>
  <c r="Q87" i="30"/>
  <c r="A103" i="36"/>
  <c r="B102" i="36"/>
  <c r="AJ99" i="49"/>
  <c r="AJ100" i="49"/>
  <c r="A100" i="33"/>
  <c r="B100" i="33" s="1"/>
  <c r="B99" i="33"/>
  <c r="O99" i="38"/>
  <c r="P98" i="38"/>
  <c r="Q98" i="38" s="1"/>
  <c r="O107" i="30"/>
  <c r="P106" i="30"/>
  <c r="O111" i="30"/>
  <c r="C94" i="34"/>
  <c r="C93" i="34"/>
  <c r="P102" i="36"/>
  <c r="O103" i="36"/>
  <c r="AP89" i="47"/>
  <c r="F38" i="44"/>
  <c r="AG38" i="44"/>
  <c r="O98" i="33"/>
  <c r="P97" i="33"/>
  <c r="AP89" i="41"/>
  <c r="A100" i="32"/>
  <c r="B100" i="32" s="1"/>
  <c r="B99" i="32"/>
  <c r="AJ110" i="40"/>
  <c r="AJ109" i="40"/>
  <c r="AJ99" i="48"/>
  <c r="AJ100" i="48"/>
  <c r="Y85" i="29"/>
  <c r="Y84" i="29"/>
  <c r="B102" i="45"/>
  <c r="A103" i="45"/>
  <c r="AV7" i="20"/>
  <c r="M84" i="30"/>
  <c r="I84" i="30"/>
  <c r="M85" i="30"/>
  <c r="I85" i="30"/>
  <c r="G84" i="30"/>
  <c r="K84" i="28"/>
  <c r="G82" i="28"/>
  <c r="K85" i="28"/>
  <c r="O90" i="44"/>
  <c r="P90" i="44" s="1"/>
  <c r="P89" i="44"/>
  <c r="AL100" i="27"/>
  <c r="AH100" i="27"/>
  <c r="AI97" i="27"/>
  <c r="AL99" i="27"/>
  <c r="AH99" i="27"/>
  <c r="AC124" i="59"/>
  <c r="AC119" i="59"/>
  <c r="AD119" i="59" s="1"/>
  <c r="AD118" i="59"/>
  <c r="AJ99" i="26"/>
  <c r="AJ100" i="26"/>
  <c r="M85" i="37"/>
  <c r="I85" i="37"/>
  <c r="G84" i="37"/>
  <c r="M84" i="37"/>
  <c r="I84" i="37"/>
  <c r="B107" i="28"/>
  <c r="A108" i="28"/>
  <c r="B107" i="41"/>
  <c r="A108" i="41"/>
  <c r="B111" i="40"/>
  <c r="A116" i="40"/>
  <c r="A112" i="40"/>
  <c r="AC104" i="50"/>
  <c r="AD104" i="50" s="1"/>
  <c r="AD103" i="50"/>
  <c r="AC108" i="50"/>
  <c r="Y84" i="47"/>
  <c r="Y85" i="47"/>
  <c r="A99" i="37"/>
  <c r="B98" i="37"/>
  <c r="W89" i="49"/>
  <c r="W90" i="49"/>
  <c r="AA89" i="49"/>
  <c r="AO89" i="49" s="1"/>
  <c r="AP89" i="49" s="1"/>
  <c r="AA90" i="49"/>
  <c r="AO90" i="49" s="1"/>
  <c r="AP90" i="49" s="1"/>
  <c r="AE69" i="50"/>
  <c r="AG69" i="50" s="1"/>
  <c r="AE73" i="50"/>
  <c r="D69" i="50"/>
  <c r="R68" i="50"/>
  <c r="O95" i="35"/>
  <c r="P95" i="35" s="1"/>
  <c r="P94" i="35"/>
  <c r="B99" i="47"/>
  <c r="A100" i="47"/>
  <c r="B100" i="47" s="1"/>
  <c r="Y80" i="43"/>
  <c r="Y79" i="43"/>
  <c r="Y85" i="26"/>
  <c r="Y84" i="26"/>
  <c r="M89" i="44"/>
  <c r="I89" i="44"/>
  <c r="M90" i="44"/>
  <c r="I90" i="44"/>
  <c r="G89" i="44"/>
  <c r="O98" i="34"/>
  <c r="P97" i="34"/>
  <c r="AC104" i="28"/>
  <c r="AD104" i="28" s="1"/>
  <c r="AD103" i="28"/>
  <c r="AC108" i="28"/>
  <c r="C94" i="42"/>
  <c r="C93" i="42"/>
  <c r="AA95" i="38"/>
  <c r="AO95" i="38" s="1"/>
  <c r="AP95" i="38" s="1"/>
  <c r="W95" i="38"/>
  <c r="AA94" i="38"/>
  <c r="AO94" i="38" s="1"/>
  <c r="AP94" i="38" s="1"/>
  <c r="W94" i="38"/>
  <c r="A108" i="44"/>
  <c r="B107" i="44"/>
  <c r="Q89" i="48"/>
  <c r="Q87" i="48"/>
  <c r="A104" i="29"/>
  <c r="B103" i="29"/>
  <c r="O95" i="29"/>
  <c r="P95" i="29" s="1"/>
  <c r="P94" i="29"/>
  <c r="B102" i="46"/>
  <c r="A103" i="46"/>
  <c r="AJ99" i="36"/>
  <c r="AJ100" i="36"/>
  <c r="C94" i="47"/>
  <c r="C93" i="47"/>
  <c r="B107" i="50"/>
  <c r="A108" i="50"/>
  <c r="A99" i="36"/>
  <c r="B98" i="36"/>
  <c r="C94" i="40"/>
  <c r="C93" i="40"/>
  <c r="X4" i="19"/>
  <c r="G77" i="43"/>
  <c r="K79" i="43"/>
  <c r="K80" i="43"/>
  <c r="K85" i="31"/>
  <c r="K84" i="31"/>
  <c r="G82" i="31"/>
  <c r="P101" i="40"/>
  <c r="O106" i="40"/>
  <c r="O102" i="40"/>
  <c r="C82" i="45"/>
  <c r="G83" i="45"/>
  <c r="AK39" i="47"/>
  <c r="AM39" i="47" s="1"/>
  <c r="AS39" i="47" s="1"/>
  <c r="Z39" i="47"/>
  <c r="AB39" i="47" s="1"/>
  <c r="L44" i="47"/>
  <c r="A22" i="66" l="1"/>
  <c r="B22" i="66"/>
  <c r="D109" i="65"/>
  <c r="I109" i="66"/>
  <c r="J109" i="66"/>
  <c r="B109" i="65" s="1"/>
  <c r="D45" i="66"/>
  <c r="L49" i="66"/>
  <c r="D23" i="66"/>
  <c r="L25" i="66"/>
  <c r="D48" i="65"/>
  <c r="A48" i="65" s="1"/>
  <c r="I48" i="66"/>
  <c r="J48" i="66"/>
  <c r="B48" i="65" s="1"/>
  <c r="A44" i="66"/>
  <c r="B44" i="66"/>
  <c r="I24" i="66"/>
  <c r="J24" i="66"/>
  <c r="B24" i="65" s="1"/>
  <c r="D24" i="65"/>
  <c r="A24" i="65" s="1"/>
  <c r="B63" i="66"/>
  <c r="A63" i="66"/>
  <c r="T50" i="47"/>
  <c r="X49" i="47" s="1"/>
  <c r="D64" i="66"/>
  <c r="L69" i="66"/>
  <c r="AR39" i="48"/>
  <c r="AT39" i="48" s="1"/>
  <c r="D6" i="48" s="1"/>
  <c r="AK44" i="48" s="1"/>
  <c r="AM44" i="48" s="1"/>
  <c r="AS44" i="48" s="1"/>
  <c r="J68" i="66"/>
  <c r="B68" i="65" s="1"/>
  <c r="D68" i="65"/>
  <c r="I68" i="66"/>
  <c r="D50" i="66"/>
  <c r="B30" i="66"/>
  <c r="A30" i="66"/>
  <c r="D88" i="66"/>
  <c r="L93" i="66"/>
  <c r="T2" i="49"/>
  <c r="T13" i="49"/>
  <c r="V13" i="49" s="1"/>
  <c r="C4" i="59"/>
  <c r="V2" i="50"/>
  <c r="X2" i="50"/>
  <c r="D12" i="66"/>
  <c r="L13" i="66"/>
  <c r="D12" i="65"/>
  <c r="I12" i="66"/>
  <c r="J12" i="66"/>
  <c r="B12" i="65" s="1"/>
  <c r="X13" i="48"/>
  <c r="T14" i="50"/>
  <c r="V14" i="50" s="1"/>
  <c r="X14" i="50" s="1"/>
  <c r="T20" i="50"/>
  <c r="AH3" i="50"/>
  <c r="AJ3" i="50" s="1"/>
  <c r="D31" i="66"/>
  <c r="L33" i="66"/>
  <c r="D32" i="65"/>
  <c r="A32" i="65" s="1"/>
  <c r="I32" i="66"/>
  <c r="J32" i="66"/>
  <c r="B32" i="65" s="1"/>
  <c r="B11" i="66"/>
  <c r="A11" i="66"/>
  <c r="B87" i="66"/>
  <c r="A87" i="66"/>
  <c r="V8" i="48"/>
  <c r="J22" i="48"/>
  <c r="J15" i="48"/>
  <c r="T2" i="48"/>
  <c r="A11" i="65"/>
  <c r="R72" i="49"/>
  <c r="T72" i="49" s="1"/>
  <c r="V8" i="49"/>
  <c r="J15" i="49"/>
  <c r="J22" i="49"/>
  <c r="AG55" i="47"/>
  <c r="AE55" i="47"/>
  <c r="AI54" i="47" s="1"/>
  <c r="V50" i="47"/>
  <c r="AE33" i="41"/>
  <c r="AG33" i="41" s="1"/>
  <c r="D37" i="41"/>
  <c r="F37" i="41" s="1"/>
  <c r="H37" i="41" s="1"/>
  <c r="R32" i="41"/>
  <c r="G12" i="25"/>
  <c r="V32" i="42"/>
  <c r="T32" i="42"/>
  <c r="X10" i="25"/>
  <c r="AA11" i="25"/>
  <c r="AG11" i="25" s="1"/>
  <c r="AF11" i="25" s="1"/>
  <c r="H13" i="25"/>
  <c r="I13" i="25" s="1"/>
  <c r="D13" i="25"/>
  <c r="F13" i="25" s="1"/>
  <c r="G13" i="25" s="1"/>
  <c r="AE14" i="61"/>
  <c r="AP14" i="25"/>
  <c r="C4" i="40"/>
  <c r="B14" i="25"/>
  <c r="AV13" i="25"/>
  <c r="Y12" i="25"/>
  <c r="AA12" i="25" s="1"/>
  <c r="AG12" i="25" s="1"/>
  <c r="AI65" i="50"/>
  <c r="T39" i="46"/>
  <c r="T40" i="46" s="1"/>
  <c r="X39" i="46" s="1"/>
  <c r="X40" i="46" s="1"/>
  <c r="AB40" i="47"/>
  <c r="AR39" i="47" s="1"/>
  <c r="AT39" i="47" s="1"/>
  <c r="D6" i="47" s="1"/>
  <c r="T72" i="50"/>
  <c r="N55" i="49"/>
  <c r="AQ55" i="49" s="1"/>
  <c r="J60" i="49"/>
  <c r="AI60" i="49"/>
  <c r="AM60" i="49" s="1"/>
  <c r="AS60" i="49" s="1"/>
  <c r="J47" i="46"/>
  <c r="J65" i="50"/>
  <c r="J59" i="49"/>
  <c r="Y7" i="20"/>
  <c r="AA7" i="20" s="1"/>
  <c r="AG7" i="20" s="1"/>
  <c r="H50" i="46"/>
  <c r="AE50" i="46"/>
  <c r="AI49" i="46" s="1"/>
  <c r="AI50" i="46" s="1"/>
  <c r="F50" i="46"/>
  <c r="J39" i="45"/>
  <c r="N39" i="45" s="1"/>
  <c r="AQ39" i="45" s="1"/>
  <c r="J40" i="45"/>
  <c r="N40" i="45" s="1"/>
  <c r="AQ40" i="45" s="1"/>
  <c r="AI40" i="45"/>
  <c r="R77" i="50"/>
  <c r="T77" i="50" s="1"/>
  <c r="D82" i="50"/>
  <c r="F82" i="50" s="1"/>
  <c r="D73" i="49"/>
  <c r="F73" i="49" s="1"/>
  <c r="AG40" i="44"/>
  <c r="AE40" i="44"/>
  <c r="AI39" i="44" s="1"/>
  <c r="H67" i="47"/>
  <c r="T49" i="46"/>
  <c r="V49" i="46"/>
  <c r="D77" i="49"/>
  <c r="F77" i="49" s="1"/>
  <c r="H52" i="44"/>
  <c r="D68" i="48"/>
  <c r="F68" i="48" s="1"/>
  <c r="R67" i="48"/>
  <c r="D72" i="48"/>
  <c r="F72" i="48" s="1"/>
  <c r="H53" i="46"/>
  <c r="Z49" i="48"/>
  <c r="AB49" i="48" s="1"/>
  <c r="L54" i="48"/>
  <c r="R39" i="45"/>
  <c r="D53" i="45"/>
  <c r="F53" i="45" s="1"/>
  <c r="T67" i="49"/>
  <c r="V67" i="49"/>
  <c r="R47" i="43"/>
  <c r="D52" i="43"/>
  <c r="F52" i="43" s="1"/>
  <c r="H54" i="48"/>
  <c r="H55" i="48" s="1"/>
  <c r="J55" i="48" s="1"/>
  <c r="F55" i="48"/>
  <c r="J54" i="48" s="1"/>
  <c r="N54" i="48" s="1"/>
  <c r="AQ54" i="48" s="1"/>
  <c r="Z49" i="49"/>
  <c r="AB49" i="49" s="1"/>
  <c r="AR50" i="49" s="1"/>
  <c r="L54" i="49"/>
  <c r="N54" i="49" s="1"/>
  <c r="AQ54" i="49" s="1"/>
  <c r="Z50" i="48"/>
  <c r="AB50" i="48" s="1"/>
  <c r="AR50" i="48" s="1"/>
  <c r="L55" i="48"/>
  <c r="H68" i="49"/>
  <c r="T47" i="44"/>
  <c r="V47" i="44"/>
  <c r="N45" i="47"/>
  <c r="AQ45" i="47" s="1"/>
  <c r="AI55" i="48"/>
  <c r="J37" i="44"/>
  <c r="Z44" i="48"/>
  <c r="AB44" i="48" s="1"/>
  <c r="AK44" i="49"/>
  <c r="AM44" i="49" s="1"/>
  <c r="AS44" i="49" s="1"/>
  <c r="Z44" i="49"/>
  <c r="AB44" i="49" s="1"/>
  <c r="L49" i="49"/>
  <c r="N49" i="49" s="1"/>
  <c r="AQ49" i="49" s="1"/>
  <c r="AK45" i="48"/>
  <c r="AM45" i="48" s="1"/>
  <c r="AS45" i="48" s="1"/>
  <c r="Z45" i="48"/>
  <c r="AB45" i="48" s="1"/>
  <c r="L50" i="48"/>
  <c r="N50" i="48" s="1"/>
  <c r="AQ50" i="48" s="1"/>
  <c r="X55" i="49"/>
  <c r="Y5" i="18"/>
  <c r="AA5" i="18" s="1"/>
  <c r="AG5" i="18" s="1"/>
  <c r="AE45" i="45"/>
  <c r="AI44" i="45" s="1"/>
  <c r="H60" i="48"/>
  <c r="AI35" i="44"/>
  <c r="AM35" i="44" s="1"/>
  <c r="AS35" i="44" s="1"/>
  <c r="AA10" i="23"/>
  <c r="X9" i="23"/>
  <c r="AA9" i="22"/>
  <c r="AG9" i="22" s="1"/>
  <c r="AR35" i="45"/>
  <c r="AT35" i="45" s="1"/>
  <c r="E5" i="45" s="1"/>
  <c r="AR34" i="45"/>
  <c r="AT34" i="45" s="1"/>
  <c r="D5" i="45" s="1"/>
  <c r="P106" i="40"/>
  <c r="O111" i="40"/>
  <c r="O107" i="40"/>
  <c r="A100" i="36"/>
  <c r="B100" i="36" s="1"/>
  <c r="B99" i="36"/>
  <c r="A109" i="44"/>
  <c r="B108" i="44"/>
  <c r="A109" i="41"/>
  <c r="B108" i="41"/>
  <c r="Q89" i="44"/>
  <c r="Q87" i="44"/>
  <c r="O116" i="38"/>
  <c r="O112" i="38"/>
  <c r="P111" i="38"/>
  <c r="A121" i="33"/>
  <c r="A117" i="33"/>
  <c r="B116" i="33"/>
  <c r="P111" i="47"/>
  <c r="O112" i="47"/>
  <c r="O116" i="47"/>
  <c r="H77" i="50"/>
  <c r="X82" i="40"/>
  <c r="M95" i="28"/>
  <c r="I95" i="28"/>
  <c r="G94" i="28"/>
  <c r="M94" i="28"/>
  <c r="I94" i="28"/>
  <c r="O99" i="40"/>
  <c r="P98" i="40"/>
  <c r="Q98" i="40" s="1"/>
  <c r="O112" i="42"/>
  <c r="P111" i="42"/>
  <c r="O116" i="42"/>
  <c r="P98" i="27"/>
  <c r="Q98" i="27" s="1"/>
  <c r="O99" i="27"/>
  <c r="A121" i="42"/>
  <c r="B116" i="42"/>
  <c r="A117" i="42"/>
  <c r="AI122" i="46"/>
  <c r="AL124" i="46"/>
  <c r="AH124" i="46"/>
  <c r="AH125" i="46"/>
  <c r="AL125" i="46"/>
  <c r="A113" i="49"/>
  <c r="B112" i="49"/>
  <c r="AG43" i="44"/>
  <c r="AJ104" i="31"/>
  <c r="AJ105" i="31"/>
  <c r="A109" i="34"/>
  <c r="B108" i="34"/>
  <c r="C94" i="45"/>
  <c r="C93" i="45"/>
  <c r="D12" i="24"/>
  <c r="F12" i="24" s="1"/>
  <c r="G12" i="24" s="1"/>
  <c r="H12" i="24"/>
  <c r="I12" i="24" s="1"/>
  <c r="B112" i="38"/>
  <c r="A113" i="38"/>
  <c r="AJ105" i="34"/>
  <c r="AJ104" i="34"/>
  <c r="P107" i="35"/>
  <c r="O108" i="35"/>
  <c r="O107" i="31"/>
  <c r="P106" i="31"/>
  <c r="O111" i="31"/>
  <c r="H9" i="21"/>
  <c r="I9" i="21" s="1"/>
  <c r="D9" i="21"/>
  <c r="F9" i="21" s="1"/>
  <c r="G9" i="21" s="1"/>
  <c r="X107" i="32"/>
  <c r="X82" i="46"/>
  <c r="O100" i="29"/>
  <c r="P100" i="29" s="1"/>
  <c r="P99" i="29"/>
  <c r="C99" i="50"/>
  <c r="C98" i="50"/>
  <c r="AE69" i="49"/>
  <c r="AG69" i="49" s="1"/>
  <c r="AE73" i="49"/>
  <c r="R68" i="49"/>
  <c r="D69" i="49"/>
  <c r="AA4" i="17"/>
  <c r="A104" i="48"/>
  <c r="B103" i="48"/>
  <c r="AJ104" i="26"/>
  <c r="AJ105" i="26"/>
  <c r="AC109" i="27"/>
  <c r="AD109" i="27" s="1"/>
  <c r="AD108" i="27"/>
  <c r="AC113" i="27"/>
  <c r="J49" i="47"/>
  <c r="J50" i="47"/>
  <c r="C94" i="48"/>
  <c r="C93" i="48"/>
  <c r="AC113" i="48"/>
  <c r="AC109" i="48"/>
  <c r="AD109" i="48" s="1"/>
  <c r="AD108" i="48"/>
  <c r="O107" i="33"/>
  <c r="P106" i="33"/>
  <c r="O111" i="33"/>
  <c r="Y85" i="28"/>
  <c r="Y84" i="28"/>
  <c r="B107" i="39"/>
  <c r="A108" i="39"/>
  <c r="F44" i="45"/>
  <c r="J42" i="45"/>
  <c r="AE64" i="48"/>
  <c r="AG64" i="48" s="1"/>
  <c r="AE68" i="48"/>
  <c r="R63" i="48"/>
  <c r="R59" i="48"/>
  <c r="D64" i="48"/>
  <c r="F64" i="48" s="1"/>
  <c r="H64" i="48" s="1"/>
  <c r="A104" i="37"/>
  <c r="B103" i="37"/>
  <c r="AJ100" i="38"/>
  <c r="AJ99" i="38"/>
  <c r="M90" i="45"/>
  <c r="I90" i="45"/>
  <c r="G89" i="45"/>
  <c r="M89" i="45"/>
  <c r="I89" i="45"/>
  <c r="C99" i="49"/>
  <c r="C98" i="49"/>
  <c r="A105" i="35"/>
  <c r="B105" i="35" s="1"/>
  <c r="B104" i="35"/>
  <c r="X87" i="41"/>
  <c r="A109" i="49"/>
  <c r="B108" i="49"/>
  <c r="AL105" i="39"/>
  <c r="AI102" i="39"/>
  <c r="AH104" i="39"/>
  <c r="AL104" i="39"/>
  <c r="AH105" i="39"/>
  <c r="P107" i="48"/>
  <c r="O108" i="48"/>
  <c r="G93" i="32"/>
  <c r="D93" i="32"/>
  <c r="F93" i="32" s="1"/>
  <c r="C92" i="32"/>
  <c r="Q87" i="46"/>
  <c r="Q89" i="46"/>
  <c r="M89" i="43"/>
  <c r="I89" i="43"/>
  <c r="M90" i="43"/>
  <c r="I90" i="43"/>
  <c r="G89" i="43"/>
  <c r="O119" i="59"/>
  <c r="P118" i="59"/>
  <c r="Q118" i="59" s="1"/>
  <c r="Y89" i="47"/>
  <c r="Y90" i="47"/>
  <c r="B116" i="50"/>
  <c r="A121" i="50"/>
  <c r="A117" i="50"/>
  <c r="P103" i="42"/>
  <c r="Q103" i="42" s="1"/>
  <c r="O104" i="42"/>
  <c r="O103" i="27"/>
  <c r="P102" i="27"/>
  <c r="Q92" i="38"/>
  <c r="Q94" i="38"/>
  <c r="O103" i="44"/>
  <c r="P102" i="44"/>
  <c r="X8" i="22"/>
  <c r="AA8" i="22"/>
  <c r="X7" i="22"/>
  <c r="H4" i="16"/>
  <c r="I4" i="16" s="1"/>
  <c r="D4" i="16"/>
  <c r="Q87" i="49"/>
  <c r="Q89" i="49"/>
  <c r="B112" i="41"/>
  <c r="A113" i="41"/>
  <c r="B112" i="28"/>
  <c r="A113" i="28"/>
  <c r="Q89" i="39"/>
  <c r="Q87" i="39"/>
  <c r="V53" i="47"/>
  <c r="T53" i="47"/>
  <c r="B128" i="59"/>
  <c r="A129" i="59"/>
  <c r="A134" i="59"/>
  <c r="M94" i="33"/>
  <c r="I94" i="33"/>
  <c r="M95" i="33"/>
  <c r="I95" i="33"/>
  <c r="G94" i="33"/>
  <c r="Y85" i="27"/>
  <c r="Y84" i="27"/>
  <c r="O99" i="50"/>
  <c r="P98" i="50"/>
  <c r="Q98" i="50" s="1"/>
  <c r="P106" i="45"/>
  <c r="O111" i="45"/>
  <c r="O107" i="45"/>
  <c r="J57" i="48"/>
  <c r="Q87" i="34"/>
  <c r="Q89" i="34"/>
  <c r="AI45" i="46"/>
  <c r="M90" i="46"/>
  <c r="I90" i="46"/>
  <c r="G89" i="46"/>
  <c r="M89" i="46"/>
  <c r="I89" i="46"/>
  <c r="AA100" i="36"/>
  <c r="AO100" i="36" s="1"/>
  <c r="AP100" i="36" s="1"/>
  <c r="W100" i="36"/>
  <c r="AA99" i="36"/>
  <c r="AO99" i="36" s="1"/>
  <c r="AP99" i="36" s="1"/>
  <c r="W99" i="36"/>
  <c r="B112" i="47"/>
  <c r="A113" i="47"/>
  <c r="AJ105" i="45"/>
  <c r="AJ104" i="45"/>
  <c r="Y102" i="59"/>
  <c r="Y101" i="59"/>
  <c r="W102" i="59"/>
  <c r="W101" i="59"/>
  <c r="AJ105" i="37"/>
  <c r="AJ104" i="37"/>
  <c r="AG60" i="48"/>
  <c r="T33" i="43"/>
  <c r="V33" i="43"/>
  <c r="P107" i="26"/>
  <c r="O108" i="26"/>
  <c r="G93" i="49"/>
  <c r="D93" i="49"/>
  <c r="F93" i="49" s="1"/>
  <c r="C92" i="49"/>
  <c r="AE70" i="50"/>
  <c r="AI69" i="50" s="1"/>
  <c r="F57" i="46"/>
  <c r="AG53" i="46"/>
  <c r="D93" i="34"/>
  <c r="F93" i="34" s="1"/>
  <c r="C92" i="34"/>
  <c r="G93" i="34"/>
  <c r="P107" i="30"/>
  <c r="O108" i="30"/>
  <c r="O100" i="38"/>
  <c r="P100" i="38" s="1"/>
  <c r="P99" i="38"/>
  <c r="AJ104" i="30"/>
  <c r="AJ105" i="30"/>
  <c r="M95" i="29"/>
  <c r="I95" i="29"/>
  <c r="G94" i="29"/>
  <c r="M94" i="29"/>
  <c r="I94" i="29"/>
  <c r="V59" i="49"/>
  <c r="V60" i="49" s="1"/>
  <c r="T59" i="49"/>
  <c r="T60" i="49" s="1"/>
  <c r="X59" i="49" s="1"/>
  <c r="Q94" i="47"/>
  <c r="Q92" i="47"/>
  <c r="AV7" i="53"/>
  <c r="H11" i="23"/>
  <c r="I11" i="23" s="1"/>
  <c r="D11" i="23"/>
  <c r="F11" i="23" s="1"/>
  <c r="G11" i="23" s="1"/>
  <c r="B116" i="34"/>
  <c r="A121" i="34"/>
  <c r="A117" i="34"/>
  <c r="A105" i="27"/>
  <c r="B105" i="27" s="1"/>
  <c r="B104" i="27"/>
  <c r="AJ104" i="33"/>
  <c r="AJ105" i="33"/>
  <c r="AA95" i="33"/>
  <c r="AO95" i="33" s="1"/>
  <c r="AP95" i="33" s="1"/>
  <c r="W95" i="33"/>
  <c r="AA94" i="33"/>
  <c r="AO94" i="33" s="1"/>
  <c r="AP94" i="33" s="1"/>
  <c r="W94" i="33"/>
  <c r="C98" i="35"/>
  <c r="C99" i="35"/>
  <c r="X82" i="45"/>
  <c r="AC108" i="47"/>
  <c r="AC104" i="47"/>
  <c r="AD104" i="47" s="1"/>
  <c r="AD103" i="47"/>
  <c r="AE54" i="46"/>
  <c r="AG54" i="46" s="1"/>
  <c r="AE58" i="46"/>
  <c r="R53" i="46"/>
  <c r="D54" i="46"/>
  <c r="D58" i="46"/>
  <c r="F58" i="46" s="1"/>
  <c r="H58" i="46" s="1"/>
  <c r="R57" i="46"/>
  <c r="D62" i="46"/>
  <c r="M95" i="35"/>
  <c r="I95" i="35"/>
  <c r="G94" i="35"/>
  <c r="M94" i="35"/>
  <c r="I94" i="35"/>
  <c r="AA5" i="53"/>
  <c r="X4" i="53"/>
  <c r="A105" i="31"/>
  <c r="B105" i="31" s="1"/>
  <c r="B104" i="31"/>
  <c r="AL105" i="42"/>
  <c r="AH105" i="42"/>
  <c r="AI102" i="42"/>
  <c r="AL104" i="42"/>
  <c r="AH104" i="42"/>
  <c r="O95" i="27"/>
  <c r="P95" i="27" s="1"/>
  <c r="P94" i="27"/>
  <c r="K84" i="45"/>
  <c r="G82" i="45"/>
  <c r="K85" i="45"/>
  <c r="D93" i="40"/>
  <c r="F93" i="40" s="1"/>
  <c r="C92" i="40"/>
  <c r="G93" i="40"/>
  <c r="A109" i="50"/>
  <c r="B108" i="50"/>
  <c r="D93" i="47"/>
  <c r="F93" i="47" s="1"/>
  <c r="C92" i="47"/>
  <c r="G93" i="47"/>
  <c r="A105" i="29"/>
  <c r="B105" i="29" s="1"/>
  <c r="B104" i="29"/>
  <c r="Y90" i="48"/>
  <c r="Y89" i="48"/>
  <c r="AJ105" i="28"/>
  <c r="AJ104" i="28"/>
  <c r="O99" i="34"/>
  <c r="P98" i="34"/>
  <c r="Q98" i="34" s="1"/>
  <c r="AG73" i="50"/>
  <c r="B112" i="40"/>
  <c r="A113" i="40"/>
  <c r="AL119" i="59"/>
  <c r="AL120" i="59"/>
  <c r="A104" i="45"/>
  <c r="B103" i="45"/>
  <c r="C99" i="32"/>
  <c r="C98" i="32"/>
  <c r="P98" i="33"/>
  <c r="Q98" i="33" s="1"/>
  <c r="O99" i="33"/>
  <c r="H38" i="44"/>
  <c r="H40" i="44" s="1"/>
  <c r="F40" i="44"/>
  <c r="M95" i="34"/>
  <c r="I95" i="34"/>
  <c r="G94" i="34"/>
  <c r="M94" i="34"/>
  <c r="I94" i="34"/>
  <c r="A104" i="36"/>
  <c r="B103" i="36"/>
  <c r="X87" i="26"/>
  <c r="AL105" i="30"/>
  <c r="AH105" i="30"/>
  <c r="AI102" i="30"/>
  <c r="AL104" i="30"/>
  <c r="AH104" i="30"/>
  <c r="X87" i="35"/>
  <c r="P127" i="32"/>
  <c r="O128" i="32"/>
  <c r="AA100" i="48"/>
  <c r="AO100" i="48" s="1"/>
  <c r="AP100" i="48" s="1"/>
  <c r="W100" i="48"/>
  <c r="AA99" i="48"/>
  <c r="AO99" i="48" s="1"/>
  <c r="AP99" i="48" s="1"/>
  <c r="W99" i="48"/>
  <c r="C92" i="29"/>
  <c r="G93" i="29"/>
  <c r="D93" i="29"/>
  <c r="F93" i="29" s="1"/>
  <c r="O99" i="45"/>
  <c r="P98" i="45"/>
  <c r="Q98" i="45" s="1"/>
  <c r="H10" i="22"/>
  <c r="I10" i="22" s="1"/>
  <c r="D10" i="22"/>
  <c r="F10" i="22" s="1"/>
  <c r="G10" i="22" s="1"/>
  <c r="V63" i="49"/>
  <c r="T63" i="49"/>
  <c r="AA10" i="24"/>
  <c r="X9" i="24"/>
  <c r="G10" i="24"/>
  <c r="M94" i="44"/>
  <c r="I94" i="44"/>
  <c r="M95" i="44"/>
  <c r="I95" i="44"/>
  <c r="G94" i="44"/>
  <c r="Q107" i="59"/>
  <c r="Q105" i="59"/>
  <c r="B107" i="43"/>
  <c r="A108" i="43"/>
  <c r="A100" i="39"/>
  <c r="B100" i="39" s="1"/>
  <c r="B99" i="39"/>
  <c r="AV7" i="19"/>
  <c r="A121" i="31"/>
  <c r="A117" i="31"/>
  <c r="B116" i="31"/>
  <c r="Q94" i="30"/>
  <c r="Q92" i="30"/>
  <c r="D43" i="43"/>
  <c r="F43" i="43" s="1"/>
  <c r="H43" i="43" s="1"/>
  <c r="D39" i="43"/>
  <c r="F39" i="43" s="1"/>
  <c r="H39" i="43" s="1"/>
  <c r="R38" i="43"/>
  <c r="AE43" i="43"/>
  <c r="R34" i="43"/>
  <c r="AE39" i="43"/>
  <c r="AG39" i="43" s="1"/>
  <c r="R42" i="43"/>
  <c r="D47" i="43"/>
  <c r="AC104" i="29"/>
  <c r="AD104" i="29" s="1"/>
  <c r="AD103" i="29"/>
  <c r="AC108" i="29"/>
  <c r="O108" i="47"/>
  <c r="P107" i="47"/>
  <c r="AF4" i="53"/>
  <c r="P103" i="48"/>
  <c r="Q103" i="48" s="1"/>
  <c r="O104" i="48"/>
  <c r="AL105" i="33"/>
  <c r="AH105" i="33"/>
  <c r="AI102" i="33"/>
  <c r="AL104" i="33"/>
  <c r="AH104" i="33"/>
  <c r="Y85" i="40"/>
  <c r="Y84" i="40"/>
  <c r="P123" i="59"/>
  <c r="O124" i="59"/>
  <c r="AF4" i="19"/>
  <c r="AF5" i="19" s="1"/>
  <c r="AC109" i="36"/>
  <c r="AD109" i="36" s="1"/>
  <c r="AD108" i="36"/>
  <c r="AC113" i="36"/>
  <c r="B111" i="46"/>
  <c r="A112" i="46"/>
  <c r="A116" i="46"/>
  <c r="P98" i="44"/>
  <c r="Q98" i="44" s="1"/>
  <c r="O99" i="44"/>
  <c r="K90" i="44"/>
  <c r="K89" i="44"/>
  <c r="G87" i="44"/>
  <c r="K95" i="59"/>
  <c r="K96" i="59"/>
  <c r="I95" i="59"/>
  <c r="I96" i="59"/>
  <c r="G93" i="59"/>
  <c r="B111" i="48"/>
  <c r="A116" i="48"/>
  <c r="A112" i="48"/>
  <c r="Y85" i="45"/>
  <c r="Y84" i="45"/>
  <c r="AJ105" i="32"/>
  <c r="AJ104" i="32"/>
  <c r="K84" i="37"/>
  <c r="G82" i="37"/>
  <c r="K85" i="37"/>
  <c r="Y90" i="36"/>
  <c r="Y89" i="36"/>
  <c r="AJ9" i="61"/>
  <c r="B9" i="20"/>
  <c r="C9" i="45"/>
  <c r="R49" i="45" s="1"/>
  <c r="AP9" i="20"/>
  <c r="AC119" i="40"/>
  <c r="AD119" i="40" s="1"/>
  <c r="AD118" i="40"/>
  <c r="AC123" i="40"/>
  <c r="H42" i="44"/>
  <c r="P107" i="29"/>
  <c r="O108" i="29"/>
  <c r="P107" i="36"/>
  <c r="O108" i="36"/>
  <c r="C92" i="35"/>
  <c r="G93" i="35"/>
  <c r="D93" i="35"/>
  <c r="F93" i="35" s="1"/>
  <c r="B112" i="29"/>
  <c r="A113" i="29"/>
  <c r="O95" i="31"/>
  <c r="P95" i="31" s="1"/>
  <c r="P94" i="31"/>
  <c r="X82" i="44"/>
  <c r="O124" i="32"/>
  <c r="P123" i="32"/>
  <c r="Q123" i="32" s="1"/>
  <c r="P102" i="43"/>
  <c r="O103" i="43"/>
  <c r="AJ99" i="44"/>
  <c r="AJ100" i="44"/>
  <c r="B111" i="37"/>
  <c r="A116" i="37"/>
  <c r="A112" i="37"/>
  <c r="Q89" i="27"/>
  <c r="Q87" i="27"/>
  <c r="C87" i="37"/>
  <c r="G88" i="37"/>
  <c r="K89" i="29"/>
  <c r="G87" i="29"/>
  <c r="K90" i="29"/>
  <c r="O100" i="30"/>
  <c r="P100" i="30" s="1"/>
  <c r="P99" i="30"/>
  <c r="AC113" i="42"/>
  <c r="AC109" i="42"/>
  <c r="AD109" i="42" s="1"/>
  <c r="AD108" i="42"/>
  <c r="A104" i="43"/>
  <c r="B103" i="43"/>
  <c r="AL99" i="35"/>
  <c r="AH99" i="35"/>
  <c r="AL100" i="35"/>
  <c r="AH100" i="35"/>
  <c r="AI97" i="35"/>
  <c r="AA95" i="27"/>
  <c r="AO95" i="27" s="1"/>
  <c r="W95" i="27"/>
  <c r="AA94" i="27"/>
  <c r="AO94" i="27" s="1"/>
  <c r="W94" i="27"/>
  <c r="AF6" i="21"/>
  <c r="AF7" i="21" s="1"/>
  <c r="D93" i="31"/>
  <c r="F93" i="31" s="1"/>
  <c r="C92" i="31"/>
  <c r="G93" i="31"/>
  <c r="A121" i="49"/>
  <c r="A117" i="49"/>
  <c r="B116" i="49"/>
  <c r="F47" i="44"/>
  <c r="V38" i="44"/>
  <c r="T38" i="44"/>
  <c r="AL105" i="31"/>
  <c r="AH105" i="31"/>
  <c r="AI102" i="31"/>
  <c r="AL104" i="31"/>
  <c r="AH104" i="31"/>
  <c r="A109" i="33"/>
  <c r="B108" i="33"/>
  <c r="AF13" i="61"/>
  <c r="AP13" i="24"/>
  <c r="B13" i="24"/>
  <c r="C5" i="41"/>
  <c r="B116" i="38"/>
  <c r="A121" i="38"/>
  <c r="A117" i="38"/>
  <c r="AI102" i="34"/>
  <c r="AL104" i="34"/>
  <c r="AH104" i="34"/>
  <c r="AL105" i="34"/>
  <c r="AH105" i="34"/>
  <c r="O116" i="35"/>
  <c r="O112" i="35"/>
  <c r="P111" i="35"/>
  <c r="P103" i="26"/>
  <c r="Q103" i="26" s="1"/>
  <c r="O104" i="26"/>
  <c r="C94" i="26"/>
  <c r="C93" i="26"/>
  <c r="N44" i="47"/>
  <c r="AQ44" i="47" s="1"/>
  <c r="K84" i="46"/>
  <c r="G82" i="46"/>
  <c r="K85" i="46"/>
  <c r="AL3" i="50"/>
  <c r="A100" i="48"/>
  <c r="B100" i="48" s="1"/>
  <c r="B99" i="48"/>
  <c r="A105" i="40"/>
  <c r="B105" i="40" s="1"/>
  <c r="B104" i="40"/>
  <c r="AI10" i="61"/>
  <c r="AP10" i="21"/>
  <c r="Y9" i="21" s="1"/>
  <c r="C8" i="44"/>
  <c r="D53" i="44" s="1"/>
  <c r="F53" i="44" s="1"/>
  <c r="H53" i="44" s="1"/>
  <c r="B10" i="21"/>
  <c r="Y110" i="32"/>
  <c r="Y109" i="32"/>
  <c r="Y85" i="46"/>
  <c r="Y84" i="46"/>
  <c r="A114" i="59"/>
  <c r="B114" i="59" s="1"/>
  <c r="B113" i="59"/>
  <c r="X82" i="34"/>
  <c r="AI50" i="47"/>
  <c r="A113" i="27"/>
  <c r="B112" i="27"/>
  <c r="W120" i="32"/>
  <c r="AA119" i="32"/>
  <c r="AO119" i="32" s="1"/>
  <c r="AP119" i="32" s="1"/>
  <c r="W119" i="32"/>
  <c r="AA120" i="32"/>
  <c r="AO120" i="32" s="1"/>
  <c r="AP120" i="32" s="1"/>
  <c r="K90" i="27"/>
  <c r="K89" i="27"/>
  <c r="G87" i="27"/>
  <c r="H5" i="17"/>
  <c r="I5" i="17" s="1"/>
  <c r="D5" i="17"/>
  <c r="F5" i="17" s="1"/>
  <c r="G5" i="17" s="1"/>
  <c r="Q92" i="41"/>
  <c r="Q94" i="41"/>
  <c r="AL105" i="26"/>
  <c r="AH105" i="26"/>
  <c r="AI102" i="26"/>
  <c r="AL104" i="26"/>
  <c r="AH104" i="26"/>
  <c r="AJ104" i="27"/>
  <c r="AJ105" i="27"/>
  <c r="M95" i="41"/>
  <c r="I95" i="41"/>
  <c r="G94" i="41"/>
  <c r="M94" i="41"/>
  <c r="I94" i="41"/>
  <c r="A119" i="59"/>
  <c r="B118" i="59"/>
  <c r="X82" i="37"/>
  <c r="B111" i="39"/>
  <c r="A116" i="39"/>
  <c r="A112" i="39"/>
  <c r="F60" i="48"/>
  <c r="H6" i="18"/>
  <c r="I6" i="18" s="1"/>
  <c r="D6" i="18"/>
  <c r="AL99" i="38"/>
  <c r="AH99" i="38"/>
  <c r="AL100" i="38"/>
  <c r="AH100" i="38"/>
  <c r="AI97" i="38"/>
  <c r="Y85" i="33"/>
  <c r="Y84" i="33"/>
  <c r="K90" i="33"/>
  <c r="K89" i="33"/>
  <c r="G87" i="33"/>
  <c r="Y90" i="41"/>
  <c r="Y89" i="41"/>
  <c r="K89" i="35"/>
  <c r="G87" i="35"/>
  <c r="K90" i="35"/>
  <c r="Q87" i="37"/>
  <c r="Q89" i="37"/>
  <c r="A104" i="26"/>
  <c r="B103" i="26"/>
  <c r="Y6" i="19"/>
  <c r="Y85" i="31"/>
  <c r="Y84" i="31"/>
  <c r="P107" i="41"/>
  <c r="O108" i="41"/>
  <c r="AC113" i="39"/>
  <c r="AC109" i="39"/>
  <c r="AD109" i="39" s="1"/>
  <c r="AD108" i="39"/>
  <c r="A105" i="32"/>
  <c r="B105" i="32" s="1"/>
  <c r="B104" i="32"/>
  <c r="AF4" i="20"/>
  <c r="AF5" i="20" s="1"/>
  <c r="AF6" i="20" s="1"/>
  <c r="O95" i="43"/>
  <c r="P95" i="43" s="1"/>
  <c r="P94" i="43"/>
  <c r="M95" i="32"/>
  <c r="I95" i="32"/>
  <c r="G94" i="32"/>
  <c r="I94" i="32"/>
  <c r="M94" i="32"/>
  <c r="Q87" i="28"/>
  <c r="Q89" i="28"/>
  <c r="AF9" i="23"/>
  <c r="C98" i="41"/>
  <c r="C99" i="41"/>
  <c r="G82" i="48"/>
  <c r="K85" i="48"/>
  <c r="K84" i="48"/>
  <c r="X87" i="47"/>
  <c r="AC104" i="41"/>
  <c r="AD104" i="41" s="1"/>
  <c r="AD103" i="41"/>
  <c r="AC108" i="41"/>
  <c r="A109" i="27"/>
  <c r="B108" i="27"/>
  <c r="O103" i="34"/>
  <c r="P102" i="34"/>
  <c r="AO4" i="61"/>
  <c r="AP3" i="61"/>
  <c r="AP4" i="15"/>
  <c r="C14" i="50"/>
  <c r="T4" i="50" s="1"/>
  <c r="X4" i="50" s="1"/>
  <c r="B4" i="15"/>
  <c r="B116" i="41"/>
  <c r="A121" i="41"/>
  <c r="A117" i="41"/>
  <c r="B116" i="28"/>
  <c r="A121" i="28"/>
  <c r="A117" i="28"/>
  <c r="G82" i="26"/>
  <c r="K85" i="26"/>
  <c r="K84" i="26"/>
  <c r="AG58" i="47"/>
  <c r="B107" i="45"/>
  <c r="A108" i="45"/>
  <c r="B123" i="59"/>
  <c r="A124" i="59"/>
  <c r="AC109" i="49"/>
  <c r="AD109" i="49" s="1"/>
  <c r="AD108" i="49"/>
  <c r="AC113" i="49"/>
  <c r="A108" i="36"/>
  <c r="B107" i="36"/>
  <c r="O95" i="39"/>
  <c r="P95" i="39" s="1"/>
  <c r="P94" i="39"/>
  <c r="A104" i="39"/>
  <c r="B103" i="39"/>
  <c r="X82" i="27"/>
  <c r="O103" i="46"/>
  <c r="P102" i="46"/>
  <c r="C99" i="31"/>
  <c r="C98" i="31"/>
  <c r="K85" i="36"/>
  <c r="K84" i="36"/>
  <c r="G82" i="36"/>
  <c r="C99" i="34"/>
  <c r="C98" i="34"/>
  <c r="A105" i="38"/>
  <c r="B105" i="38" s="1"/>
  <c r="B104" i="38"/>
  <c r="B116" i="47"/>
  <c r="A121" i="47"/>
  <c r="A117" i="47"/>
  <c r="K90" i="47"/>
  <c r="K89" i="47"/>
  <c r="G87" i="47"/>
  <c r="AI102" i="45"/>
  <c r="AL104" i="45"/>
  <c r="AH104" i="45"/>
  <c r="AL105" i="45"/>
  <c r="AH105" i="45"/>
  <c r="X99" i="59"/>
  <c r="AI102" i="37"/>
  <c r="AL104" i="37"/>
  <c r="AH104" i="37"/>
  <c r="AL105" i="37"/>
  <c r="AH105" i="37"/>
  <c r="F38" i="43"/>
  <c r="A105" i="44"/>
  <c r="B105" i="44" s="1"/>
  <c r="B104" i="44"/>
  <c r="W94" i="49"/>
  <c r="W95" i="49"/>
  <c r="AA94" i="49"/>
  <c r="AO94" i="49" s="1"/>
  <c r="AP94" i="49" s="1"/>
  <c r="AA95" i="49"/>
  <c r="AO95" i="49" s="1"/>
  <c r="AP95" i="49" s="1"/>
  <c r="AA95" i="34"/>
  <c r="AO95" i="34" s="1"/>
  <c r="AP95" i="34" s="1"/>
  <c r="W95" i="34"/>
  <c r="AA94" i="34"/>
  <c r="AO94" i="34" s="1"/>
  <c r="AP94" i="34" s="1"/>
  <c r="W94" i="34"/>
  <c r="I95" i="49"/>
  <c r="I94" i="49"/>
  <c r="M95" i="49"/>
  <c r="M94" i="49"/>
  <c r="G94" i="49"/>
  <c r="V52" i="46"/>
  <c r="T52" i="46"/>
  <c r="T48" i="46"/>
  <c r="V48" i="46"/>
  <c r="A104" i="46"/>
  <c r="B103" i="46"/>
  <c r="Y90" i="26"/>
  <c r="Y89" i="26"/>
  <c r="C98" i="38"/>
  <c r="C99" i="38"/>
  <c r="A105" i="42"/>
  <c r="B105" i="42" s="1"/>
  <c r="B104" i="42"/>
  <c r="O100" i="48"/>
  <c r="P100" i="48" s="1"/>
  <c r="P99" i="48"/>
  <c r="AE48" i="44"/>
  <c r="R43" i="44"/>
  <c r="AE44" i="44"/>
  <c r="AG44" i="44" s="1"/>
  <c r="D44" i="44"/>
  <c r="R39" i="44"/>
  <c r="D48" i="44"/>
  <c r="F48" i="44" s="1"/>
  <c r="H48" i="44" s="1"/>
  <c r="X82" i="39"/>
  <c r="B111" i="30"/>
  <c r="A116" i="30"/>
  <c r="A112" i="30"/>
  <c r="D93" i="44"/>
  <c r="F93" i="44" s="1"/>
  <c r="C92" i="44"/>
  <c r="G93" i="44"/>
  <c r="A109" i="47"/>
  <c r="B108" i="47"/>
  <c r="AK8" i="61"/>
  <c r="AP8" i="19"/>
  <c r="B8" i="19"/>
  <c r="AP8" i="53"/>
  <c r="C10" i="46"/>
  <c r="D67" i="46" s="1"/>
  <c r="F67" i="46" s="1"/>
  <c r="B8" i="53"/>
  <c r="A113" i="31"/>
  <c r="B112" i="31"/>
  <c r="Q94" i="42"/>
  <c r="Q92" i="42"/>
  <c r="AA8" i="21"/>
  <c r="W100" i="47"/>
  <c r="AA99" i="47"/>
  <c r="AO99" i="47" s="1"/>
  <c r="AP99" i="47" s="1"/>
  <c r="AA100" i="47"/>
  <c r="AO100" i="47" s="1"/>
  <c r="AP100" i="47" s="1"/>
  <c r="W99" i="47"/>
  <c r="B107" i="48"/>
  <c r="A108" i="48"/>
  <c r="O112" i="36"/>
  <c r="O116" i="36"/>
  <c r="P111" i="36"/>
  <c r="B104" i="47"/>
  <c r="A105" i="47"/>
  <c r="B105" i="47" s="1"/>
  <c r="A100" i="46"/>
  <c r="B100" i="46" s="1"/>
  <c r="B99" i="46"/>
  <c r="Y85" i="44"/>
  <c r="Y84" i="44"/>
  <c r="AC104" i="44"/>
  <c r="AD104" i="44" s="1"/>
  <c r="AD103" i="44"/>
  <c r="AC108" i="44"/>
  <c r="A105" i="49"/>
  <c r="B105" i="49" s="1"/>
  <c r="B104" i="49"/>
  <c r="B107" i="37"/>
  <c r="A108" i="37"/>
  <c r="AJ100" i="35"/>
  <c r="AJ99" i="35"/>
  <c r="A109" i="32"/>
  <c r="B108" i="32"/>
  <c r="B111" i="26"/>
  <c r="A116" i="26"/>
  <c r="A112" i="26"/>
  <c r="K89" i="38"/>
  <c r="G87" i="38"/>
  <c r="K90" i="38"/>
  <c r="AG63" i="48"/>
  <c r="M95" i="40"/>
  <c r="I95" i="40"/>
  <c r="G94" i="40"/>
  <c r="M94" i="40"/>
  <c r="I94" i="40"/>
  <c r="M95" i="47"/>
  <c r="I94" i="47"/>
  <c r="M94" i="47"/>
  <c r="G94" i="47"/>
  <c r="I95" i="47"/>
  <c r="Q92" i="29"/>
  <c r="Q94" i="29"/>
  <c r="X87" i="48"/>
  <c r="G93" i="42"/>
  <c r="D93" i="42"/>
  <c r="F93" i="42" s="1"/>
  <c r="C92" i="42"/>
  <c r="AI102" i="28"/>
  <c r="AL104" i="28"/>
  <c r="AH104" i="28"/>
  <c r="AL105" i="28"/>
  <c r="AH105" i="28"/>
  <c r="C99" i="47"/>
  <c r="C98" i="47"/>
  <c r="A100" i="37"/>
  <c r="B100" i="37" s="1"/>
  <c r="B99" i="37"/>
  <c r="AC109" i="50"/>
  <c r="AD109" i="50" s="1"/>
  <c r="AD108" i="50"/>
  <c r="AC113" i="50"/>
  <c r="B116" i="40"/>
  <c r="A121" i="40"/>
  <c r="A117" i="40"/>
  <c r="A109" i="28"/>
  <c r="B108" i="28"/>
  <c r="AN120" i="59"/>
  <c r="AJ120" i="59"/>
  <c r="AK117" i="59"/>
  <c r="AN119" i="59"/>
  <c r="AJ119" i="59"/>
  <c r="P103" i="36"/>
  <c r="Q103" i="36" s="1"/>
  <c r="O104" i="36"/>
  <c r="O112" i="30"/>
  <c r="P111" i="30"/>
  <c r="O116" i="30"/>
  <c r="C99" i="33"/>
  <c r="C98" i="33"/>
  <c r="Y90" i="30"/>
  <c r="Y89" i="30"/>
  <c r="K90" i="31"/>
  <c r="K89" i="31"/>
  <c r="G87" i="31"/>
  <c r="AC113" i="30"/>
  <c r="AC109" i="30"/>
  <c r="AD109" i="30" s="1"/>
  <c r="AD108" i="30"/>
  <c r="Y90" i="35"/>
  <c r="Y89" i="35"/>
  <c r="P131" i="32"/>
  <c r="O136" i="32"/>
  <c r="O132" i="32"/>
  <c r="G88" i="30"/>
  <c r="C87" i="30"/>
  <c r="AH11" i="61"/>
  <c r="L110" i="66" s="1"/>
  <c r="J110" i="66" s="1"/>
  <c r="B110" i="65" s="1"/>
  <c r="AP11" i="22"/>
  <c r="Y10" i="22" s="1"/>
  <c r="B11" i="22"/>
  <c r="C7" i="43"/>
  <c r="F64" i="49"/>
  <c r="J62" i="49"/>
  <c r="C94" i="37"/>
  <c r="C93" i="37"/>
  <c r="Q94" i="48"/>
  <c r="Q92" i="48"/>
  <c r="AA95" i="40"/>
  <c r="AO95" i="40" s="1"/>
  <c r="AP95" i="40" s="1"/>
  <c r="W95" i="40"/>
  <c r="AA94" i="40"/>
  <c r="AO94" i="40" s="1"/>
  <c r="AP94" i="40" s="1"/>
  <c r="W94" i="40"/>
  <c r="B111" i="43"/>
  <c r="A116" i="43"/>
  <c r="A112" i="43"/>
  <c r="R58" i="47"/>
  <c r="AE59" i="47"/>
  <c r="AG59" i="47" s="1"/>
  <c r="D59" i="47"/>
  <c r="AE63" i="47"/>
  <c r="R54" i="47"/>
  <c r="D63" i="47"/>
  <c r="F63" i="47" s="1"/>
  <c r="H63" i="47" s="1"/>
  <c r="R62" i="47"/>
  <c r="O95" i="44"/>
  <c r="P95" i="44" s="1"/>
  <c r="P94" i="44"/>
  <c r="AV11" i="23"/>
  <c r="AJ100" i="29"/>
  <c r="AJ99" i="29"/>
  <c r="M95" i="38"/>
  <c r="I95" i="38"/>
  <c r="G94" i="38"/>
  <c r="M94" i="38"/>
  <c r="I94" i="38"/>
  <c r="O103" i="28"/>
  <c r="P102" i="28"/>
  <c r="G8" i="22"/>
  <c r="X87" i="38"/>
  <c r="Q89" i="31"/>
  <c r="Q87" i="31"/>
  <c r="O134" i="59"/>
  <c r="O129" i="59"/>
  <c r="P128" i="59"/>
  <c r="B112" i="35"/>
  <c r="A113" i="35"/>
  <c r="AJ104" i="36"/>
  <c r="AJ105" i="36"/>
  <c r="P107" i="42"/>
  <c r="O108" i="42"/>
  <c r="B107" i="46"/>
  <c r="A108" i="46"/>
  <c r="O107" i="49"/>
  <c r="O111" i="49"/>
  <c r="P106" i="49"/>
  <c r="G88" i="26"/>
  <c r="C87" i="26"/>
  <c r="AA95" i="50"/>
  <c r="AO95" i="50" s="1"/>
  <c r="W95" i="50"/>
  <c r="AA94" i="50"/>
  <c r="AO94" i="50" s="1"/>
  <c r="W94" i="50"/>
  <c r="AA95" i="46"/>
  <c r="AO95" i="46" s="1"/>
  <c r="AP95" i="46" s="1"/>
  <c r="W95" i="46"/>
  <c r="AA94" i="46"/>
  <c r="AO94" i="46" s="1"/>
  <c r="AP94" i="46" s="1"/>
  <c r="W94" i="46"/>
  <c r="X60" i="50"/>
  <c r="A109" i="40"/>
  <c r="B108" i="40"/>
  <c r="AI102" i="32"/>
  <c r="AL104" i="32"/>
  <c r="AH104" i="32"/>
  <c r="AL105" i="32"/>
  <c r="AH105" i="32"/>
  <c r="AJ100" i="47"/>
  <c r="AJ99" i="47"/>
  <c r="X87" i="36"/>
  <c r="O103" i="37"/>
  <c r="P102" i="37"/>
  <c r="AV8" i="20"/>
  <c r="AJ115" i="40"/>
  <c r="AJ114" i="40"/>
  <c r="O116" i="29"/>
  <c r="O112" i="29"/>
  <c r="P111" i="29"/>
  <c r="B116" i="29"/>
  <c r="A121" i="29"/>
  <c r="A117" i="29"/>
  <c r="AA95" i="31"/>
  <c r="AO95" i="31" s="1"/>
  <c r="AP95" i="31" s="1"/>
  <c r="W95" i="31"/>
  <c r="AA94" i="31"/>
  <c r="AO94" i="31" s="1"/>
  <c r="AP94" i="31" s="1"/>
  <c r="W94" i="31"/>
  <c r="O100" i="26"/>
  <c r="P100" i="26" s="1"/>
  <c r="P99" i="26"/>
  <c r="AA100" i="41"/>
  <c r="AO100" i="41" s="1"/>
  <c r="AP100" i="41" s="1"/>
  <c r="W100" i="41"/>
  <c r="AA99" i="41"/>
  <c r="AO99" i="41" s="1"/>
  <c r="AP99" i="41" s="1"/>
  <c r="W99" i="41"/>
  <c r="AL100" i="44"/>
  <c r="AH100" i="44"/>
  <c r="AI97" i="44"/>
  <c r="AL99" i="44"/>
  <c r="AH99" i="44"/>
  <c r="X82" i="50"/>
  <c r="M90" i="37"/>
  <c r="I90" i="37"/>
  <c r="G89" i="37"/>
  <c r="M89" i="37"/>
  <c r="I89" i="37"/>
  <c r="A105" i="33"/>
  <c r="B105" i="33" s="1"/>
  <c r="B104" i="33"/>
  <c r="AA100" i="30"/>
  <c r="AO100" i="30" s="1"/>
  <c r="AP100" i="30" s="1"/>
  <c r="W100" i="30"/>
  <c r="AA99" i="30"/>
  <c r="AO99" i="30" s="1"/>
  <c r="AP99" i="30" s="1"/>
  <c r="W99" i="30"/>
  <c r="V54" i="48"/>
  <c r="V55" i="48" s="1"/>
  <c r="T54" i="48"/>
  <c r="T55" i="48" s="1"/>
  <c r="X54" i="48" s="1"/>
  <c r="G88" i="39"/>
  <c r="C87" i="39"/>
  <c r="AA95" i="28"/>
  <c r="AO95" i="28" s="1"/>
  <c r="AP95" i="28" s="1"/>
  <c r="W95" i="28"/>
  <c r="AA94" i="28"/>
  <c r="AO94" i="28" s="1"/>
  <c r="AP94" i="28" s="1"/>
  <c r="W94" i="28"/>
  <c r="AC129" i="46"/>
  <c r="AD129" i="46" s="1"/>
  <c r="AD128" i="46"/>
  <c r="AC133" i="46"/>
  <c r="M94" i="31"/>
  <c r="I94" i="31"/>
  <c r="M95" i="31"/>
  <c r="I95" i="31"/>
  <c r="G94" i="31"/>
  <c r="Z39" i="46"/>
  <c r="AB39" i="46" s="1"/>
  <c r="AK39" i="46"/>
  <c r="AM39" i="46" s="1"/>
  <c r="AS39" i="46" s="1"/>
  <c r="L44" i="46"/>
  <c r="T42" i="44"/>
  <c r="V42" i="44"/>
  <c r="Y90" i="42"/>
  <c r="Y89" i="42"/>
  <c r="AV12" i="24"/>
  <c r="D93" i="27"/>
  <c r="F93" i="27" s="1"/>
  <c r="C92" i="27"/>
  <c r="G93" i="27"/>
  <c r="O103" i="31"/>
  <c r="P102" i="31"/>
  <c r="AV9" i="21"/>
  <c r="Q94" i="26"/>
  <c r="Q92" i="26"/>
  <c r="AA95" i="37"/>
  <c r="AO95" i="37" s="1"/>
  <c r="AP95" i="37" s="1"/>
  <c r="W95" i="37"/>
  <c r="AA94" i="37"/>
  <c r="AO94" i="37" s="1"/>
  <c r="AP94" i="37" s="1"/>
  <c r="W94" i="37"/>
  <c r="Y85" i="34"/>
  <c r="Y84" i="34"/>
  <c r="A109" i="35"/>
  <c r="B108" i="35"/>
  <c r="M89" i="36"/>
  <c r="I89" i="36"/>
  <c r="M90" i="36"/>
  <c r="I90" i="36"/>
  <c r="G89" i="36"/>
  <c r="A121" i="27"/>
  <c r="A117" i="27"/>
  <c r="B116" i="27"/>
  <c r="P119" i="32"/>
  <c r="O120" i="32"/>
  <c r="P120" i="32" s="1"/>
  <c r="AV5" i="17"/>
  <c r="H47" i="45"/>
  <c r="AC113" i="26"/>
  <c r="AC109" i="26"/>
  <c r="AD109" i="26" s="1"/>
  <c r="AD108" i="26"/>
  <c r="AL105" i="27"/>
  <c r="AH105" i="27"/>
  <c r="AI102" i="27"/>
  <c r="AL104" i="27"/>
  <c r="AH104" i="27"/>
  <c r="D93" i="50"/>
  <c r="F93" i="50" s="1"/>
  <c r="C92" i="50"/>
  <c r="G93" i="50"/>
  <c r="A100" i="30"/>
  <c r="B100" i="30" s="1"/>
  <c r="B99" i="30"/>
  <c r="C92" i="41"/>
  <c r="G93" i="41"/>
  <c r="D93" i="41"/>
  <c r="F93" i="41" s="1"/>
  <c r="O99" i="37"/>
  <c r="P98" i="37"/>
  <c r="Q98" i="37" s="1"/>
  <c r="AJ104" i="48"/>
  <c r="AJ105" i="48"/>
  <c r="O103" i="33"/>
  <c r="P102" i="33"/>
  <c r="Y85" i="37"/>
  <c r="Y84" i="37"/>
  <c r="B99" i="43"/>
  <c r="A100" i="43"/>
  <c r="B100" i="43" s="1"/>
  <c r="O103" i="50"/>
  <c r="P102" i="50"/>
  <c r="K89" i="28"/>
  <c r="G87" i="28"/>
  <c r="K90" i="28"/>
  <c r="G88" i="48"/>
  <c r="C87" i="48"/>
  <c r="T43" i="45"/>
  <c r="V43" i="45"/>
  <c r="AV6" i="18"/>
  <c r="C106" i="59"/>
  <c r="C107" i="59"/>
  <c r="X45" i="47"/>
  <c r="X82" i="33"/>
  <c r="B116" i="32"/>
  <c r="A117" i="32"/>
  <c r="A121" i="32"/>
  <c r="AA100" i="35"/>
  <c r="AO100" i="35" s="1"/>
  <c r="AP100" i="35" s="1"/>
  <c r="W100" i="35"/>
  <c r="AA99" i="35"/>
  <c r="AO99" i="35" s="1"/>
  <c r="AP99" i="35" s="1"/>
  <c r="W99" i="35"/>
  <c r="X82" i="31"/>
  <c r="O116" i="41"/>
  <c r="O112" i="41"/>
  <c r="P111" i="41"/>
  <c r="G87" i="49"/>
  <c r="K89" i="49"/>
  <c r="K90" i="49"/>
  <c r="AA114" i="59"/>
  <c r="AQ114" i="59" s="1"/>
  <c r="AR114" i="59" s="1"/>
  <c r="AA113" i="59"/>
  <c r="AQ113" i="59" s="1"/>
  <c r="AR113" i="59" s="1"/>
  <c r="A109" i="38"/>
  <c r="B108" i="38"/>
  <c r="P102" i="39"/>
  <c r="O103" i="39"/>
  <c r="H72" i="48"/>
  <c r="O112" i="48"/>
  <c r="P111" i="48"/>
  <c r="O116" i="48"/>
  <c r="AA95" i="43"/>
  <c r="AO95" i="43" s="1"/>
  <c r="AP95" i="43" s="1"/>
  <c r="W95" i="43"/>
  <c r="AA94" i="43"/>
  <c r="AO94" i="43" s="1"/>
  <c r="AP94" i="43" s="1"/>
  <c r="W94" i="43"/>
  <c r="G100" i="59"/>
  <c r="C99" i="59"/>
  <c r="O107" i="27"/>
  <c r="P106" i="27"/>
  <c r="O111" i="27"/>
  <c r="AJ100" i="41"/>
  <c r="AJ99" i="41"/>
  <c r="A113" i="44"/>
  <c r="B112" i="44"/>
  <c r="O99" i="49"/>
  <c r="P98" i="49"/>
  <c r="Q98" i="49" s="1"/>
  <c r="O107" i="44"/>
  <c r="P106" i="44"/>
  <c r="O111" i="44"/>
  <c r="P106" i="34"/>
  <c r="O111" i="34"/>
  <c r="O107" i="34"/>
  <c r="AA95" i="45"/>
  <c r="AO95" i="45" s="1"/>
  <c r="AP95" i="45" s="1"/>
  <c r="W95" i="45"/>
  <c r="AA94" i="45"/>
  <c r="AO94" i="45" s="1"/>
  <c r="AP94" i="45" s="1"/>
  <c r="W94" i="45"/>
  <c r="AE74" i="50"/>
  <c r="AG74" i="50" s="1"/>
  <c r="AE78" i="50"/>
  <c r="R73" i="50"/>
  <c r="R64" i="50"/>
  <c r="D74" i="50"/>
  <c r="AH4" i="50"/>
  <c r="D78" i="50"/>
  <c r="AN5" i="61"/>
  <c r="B5" i="16"/>
  <c r="C13" i="49"/>
  <c r="T14" i="49" s="1"/>
  <c r="V14" i="49" s="1"/>
  <c r="X14" i="49" s="1"/>
  <c r="AP5" i="16"/>
  <c r="Y4" i="16" s="1"/>
  <c r="X87" i="29"/>
  <c r="F62" i="47"/>
  <c r="F54" i="47"/>
  <c r="J52" i="47"/>
  <c r="A116" i="45"/>
  <c r="B111" i="45"/>
  <c r="A112" i="45"/>
  <c r="AJ104" i="49"/>
  <c r="AJ105" i="49"/>
  <c r="A116" i="36"/>
  <c r="A112" i="36"/>
  <c r="B111" i="36"/>
  <c r="AA95" i="39"/>
  <c r="AO95" i="39" s="1"/>
  <c r="AP95" i="39" s="1"/>
  <c r="W95" i="39"/>
  <c r="AA94" i="39"/>
  <c r="AO94" i="39" s="1"/>
  <c r="AP94" i="39" s="1"/>
  <c r="W94" i="39"/>
  <c r="AE65" i="49"/>
  <c r="AI64" i="49" s="1"/>
  <c r="P106" i="46"/>
  <c r="O111" i="46"/>
  <c r="O107" i="46"/>
  <c r="K89" i="50"/>
  <c r="G87" i="50"/>
  <c r="K90" i="50"/>
  <c r="G9" i="23"/>
  <c r="X82" i="43"/>
  <c r="C99" i="40"/>
  <c r="C98" i="40"/>
  <c r="O100" i="42"/>
  <c r="P100" i="42" s="1"/>
  <c r="P99" i="42"/>
  <c r="O104" i="41"/>
  <c r="P103" i="41"/>
  <c r="Q103" i="41" s="1"/>
  <c r="H62" i="48"/>
  <c r="V37" i="43"/>
  <c r="T37" i="43"/>
  <c r="AG38" i="43"/>
  <c r="P103" i="47"/>
  <c r="Q103" i="47" s="1"/>
  <c r="O104" i="47"/>
  <c r="Y85" i="49"/>
  <c r="Y84" i="49"/>
  <c r="O112" i="26"/>
  <c r="P111" i="26"/>
  <c r="O116" i="26"/>
  <c r="O95" i="49"/>
  <c r="P95" i="49" s="1"/>
  <c r="P94" i="49"/>
  <c r="C93" i="36"/>
  <c r="C94" i="36"/>
  <c r="P94" i="34"/>
  <c r="O95" i="34"/>
  <c r="P95" i="34" s="1"/>
  <c r="C99" i="44"/>
  <c r="C98" i="44"/>
  <c r="G87" i="42"/>
  <c r="K90" i="42"/>
  <c r="K89" i="42"/>
  <c r="A105" i="41"/>
  <c r="B105" i="41" s="1"/>
  <c r="B104" i="41"/>
  <c r="AR94" i="32"/>
  <c r="AC109" i="28"/>
  <c r="AD109" i="28" s="1"/>
  <c r="AD108" i="28"/>
  <c r="AC113" i="28"/>
  <c r="Q92" i="35"/>
  <c r="Q94" i="35"/>
  <c r="F69" i="50"/>
  <c r="J67" i="50"/>
  <c r="AI102" i="50"/>
  <c r="AL104" i="50"/>
  <c r="AH104" i="50"/>
  <c r="AL105" i="50"/>
  <c r="AH105" i="50"/>
  <c r="O103" i="40"/>
  <c r="P102" i="40"/>
  <c r="M94" i="42"/>
  <c r="I94" i="42"/>
  <c r="M95" i="42"/>
  <c r="I95" i="42"/>
  <c r="G94" i="42"/>
  <c r="T68" i="50"/>
  <c r="V68" i="50"/>
  <c r="AJ105" i="50"/>
  <c r="AJ104" i="50"/>
  <c r="AC130" i="59"/>
  <c r="AC125" i="59"/>
  <c r="AD125" i="59" s="1"/>
  <c r="AD124" i="59"/>
  <c r="AA100" i="38"/>
  <c r="AO100" i="38" s="1"/>
  <c r="AP100" i="38" s="1"/>
  <c r="W100" i="38"/>
  <c r="AA99" i="38"/>
  <c r="AO99" i="38" s="1"/>
  <c r="AP99" i="38" s="1"/>
  <c r="W99" i="38"/>
  <c r="X87" i="30"/>
  <c r="O99" i="46"/>
  <c r="P98" i="46"/>
  <c r="Q98" i="46" s="1"/>
  <c r="M89" i="30"/>
  <c r="I89" i="30"/>
  <c r="M90" i="30"/>
  <c r="I90" i="30"/>
  <c r="G89" i="30"/>
  <c r="AV10" i="22"/>
  <c r="AG68" i="49"/>
  <c r="Y85" i="39"/>
  <c r="Y84" i="39"/>
  <c r="B107" i="30"/>
  <c r="A108" i="30"/>
  <c r="V77" i="50"/>
  <c r="P94" i="40"/>
  <c r="O95" i="40"/>
  <c r="P95" i="40" s="1"/>
  <c r="P107" i="38"/>
  <c r="O108" i="38"/>
  <c r="K89" i="41"/>
  <c r="G87" i="41"/>
  <c r="K90" i="41"/>
  <c r="D7" i="53"/>
  <c r="H7" i="53"/>
  <c r="I7" i="53" s="1"/>
  <c r="H7" i="19"/>
  <c r="I7" i="19" s="1"/>
  <c r="D7" i="19"/>
  <c r="F7" i="19" s="1"/>
  <c r="G7" i="19" s="1"/>
  <c r="AA95" i="44"/>
  <c r="AO95" i="44" s="1"/>
  <c r="AP95" i="44" s="1"/>
  <c r="W95" i="44"/>
  <c r="AA94" i="44"/>
  <c r="AO94" i="44" s="1"/>
  <c r="AP94" i="44" s="1"/>
  <c r="W94" i="44"/>
  <c r="G4" i="18"/>
  <c r="C99" i="42"/>
  <c r="C98" i="42"/>
  <c r="AG12" i="61"/>
  <c r="C6" i="42"/>
  <c r="B12" i="23"/>
  <c r="AP12" i="23"/>
  <c r="B112" i="34"/>
  <c r="A113" i="34"/>
  <c r="A113" i="33"/>
  <c r="B112" i="33"/>
  <c r="AL99" i="29"/>
  <c r="AH99" i="29"/>
  <c r="AL100" i="29"/>
  <c r="AH100" i="29"/>
  <c r="AI97" i="29"/>
  <c r="C92" i="38"/>
  <c r="G93" i="38"/>
  <c r="D93" i="38"/>
  <c r="F93" i="38" s="1"/>
  <c r="P106" i="28"/>
  <c r="O111" i="28"/>
  <c r="O107" i="28"/>
  <c r="Q89" i="33"/>
  <c r="Q87" i="33"/>
  <c r="AC109" i="33"/>
  <c r="AD109" i="33" s="1"/>
  <c r="AD108" i="33"/>
  <c r="AC113" i="33"/>
  <c r="Y90" i="38"/>
  <c r="Y89" i="38"/>
  <c r="D93" i="28"/>
  <c r="F93" i="28" s="1"/>
  <c r="C92" i="28"/>
  <c r="G93" i="28"/>
  <c r="O95" i="33"/>
  <c r="P95" i="33" s="1"/>
  <c r="P94" i="33"/>
  <c r="P99" i="47"/>
  <c r="O100" i="47"/>
  <c r="P100" i="47" s="1"/>
  <c r="B116" i="35"/>
  <c r="A121" i="35"/>
  <c r="A117" i="35"/>
  <c r="AL105" i="36"/>
  <c r="AH105" i="36"/>
  <c r="AL104" i="36"/>
  <c r="AH104" i="36"/>
  <c r="AI102" i="36"/>
  <c r="C94" i="43"/>
  <c r="C93" i="43"/>
  <c r="P102" i="49"/>
  <c r="O103" i="49"/>
  <c r="M89" i="26"/>
  <c r="I89" i="26"/>
  <c r="M90" i="26"/>
  <c r="I90" i="26"/>
  <c r="G89" i="26"/>
  <c r="P94" i="50"/>
  <c r="O95" i="50"/>
  <c r="P95" i="50" s="1"/>
  <c r="P94" i="46"/>
  <c r="O95" i="46"/>
  <c r="P95" i="46" s="1"/>
  <c r="F4" i="17"/>
  <c r="AC113" i="32"/>
  <c r="AC109" i="32"/>
  <c r="AD109" i="32" s="1"/>
  <c r="AD108" i="32"/>
  <c r="AI97" i="47"/>
  <c r="AL99" i="47"/>
  <c r="AH100" i="47"/>
  <c r="AL100" i="47"/>
  <c r="AH99" i="47"/>
  <c r="G82" i="30"/>
  <c r="K85" i="30"/>
  <c r="K84" i="30"/>
  <c r="P106" i="37"/>
  <c r="O111" i="37"/>
  <c r="O107" i="37"/>
  <c r="H8" i="20"/>
  <c r="I8" i="20" s="1"/>
  <c r="D8" i="20"/>
  <c r="F8" i="20" s="1"/>
  <c r="G8" i="20" s="1"/>
  <c r="AI112" i="40"/>
  <c r="AL114" i="40"/>
  <c r="AH114" i="40"/>
  <c r="AL115" i="40"/>
  <c r="AH115" i="40"/>
  <c r="AA100" i="26"/>
  <c r="AO100" i="26" s="1"/>
  <c r="AP100" i="26" s="1"/>
  <c r="W100" i="26"/>
  <c r="AA99" i="26"/>
  <c r="AO99" i="26" s="1"/>
  <c r="AP99" i="26" s="1"/>
  <c r="W99" i="26"/>
  <c r="K89" i="40"/>
  <c r="G87" i="40"/>
  <c r="K90" i="40"/>
  <c r="O107" i="43"/>
  <c r="P106" i="43"/>
  <c r="O111" i="43"/>
  <c r="O100" i="41"/>
  <c r="P100" i="41" s="1"/>
  <c r="P99" i="41"/>
  <c r="AA4" i="18"/>
  <c r="Y85" i="50"/>
  <c r="Y84" i="50"/>
  <c r="H57" i="47"/>
  <c r="A104" i="30"/>
  <c r="B103" i="30"/>
  <c r="AJ104" i="42"/>
  <c r="AJ105" i="42"/>
  <c r="O104" i="38"/>
  <c r="P103" i="38"/>
  <c r="Q103" i="38" s="1"/>
  <c r="AC104" i="35"/>
  <c r="AD104" i="35" s="1"/>
  <c r="AD103" i="35"/>
  <c r="AC108" i="35"/>
  <c r="B107" i="26"/>
  <c r="A108" i="26"/>
  <c r="V62" i="48"/>
  <c r="T62" i="48"/>
  <c r="V58" i="48"/>
  <c r="T58" i="48"/>
  <c r="Y6" i="53"/>
  <c r="X5" i="53" s="1"/>
  <c r="A109" i="31"/>
  <c r="B108" i="31"/>
  <c r="M89" i="39"/>
  <c r="I89" i="39"/>
  <c r="M90" i="39"/>
  <c r="I90" i="39"/>
  <c r="G89" i="39"/>
  <c r="B112" i="42"/>
  <c r="A113" i="42"/>
  <c r="P94" i="28"/>
  <c r="O95" i="28"/>
  <c r="P95" i="28" s="1"/>
  <c r="AJ125" i="46"/>
  <c r="AJ124" i="46"/>
  <c r="AK40" i="46"/>
  <c r="AM40" i="46" s="1"/>
  <c r="AS40" i="46" s="1"/>
  <c r="Z40" i="46"/>
  <c r="L45" i="46"/>
  <c r="T34" i="44"/>
  <c r="T35" i="44" s="1"/>
  <c r="X34" i="44" s="1"/>
  <c r="AB34" i="44" s="1"/>
  <c r="V34" i="44"/>
  <c r="V35" i="44" s="1"/>
  <c r="X35" i="44" s="1"/>
  <c r="AB35" i="44" s="1"/>
  <c r="AC109" i="31"/>
  <c r="AD109" i="31" s="1"/>
  <c r="AD108" i="31"/>
  <c r="AC113" i="31"/>
  <c r="X87" i="42"/>
  <c r="AE34" i="42"/>
  <c r="R33" i="42"/>
  <c r="D38" i="42"/>
  <c r="AE38" i="42"/>
  <c r="D42" i="42"/>
  <c r="R37" i="42"/>
  <c r="C94" i="46"/>
  <c r="C93" i="46"/>
  <c r="AC109" i="34"/>
  <c r="AD109" i="34" s="1"/>
  <c r="AD108" i="34"/>
  <c r="AC113" i="34"/>
  <c r="M94" i="27"/>
  <c r="I94" i="27"/>
  <c r="M95" i="27"/>
  <c r="I95" i="27"/>
  <c r="G94" i="27"/>
  <c r="O99" i="28"/>
  <c r="P98" i="28"/>
  <c r="Q98" i="28" s="1"/>
  <c r="Q112" i="32"/>
  <c r="Q114" i="32"/>
  <c r="A105" i="28"/>
  <c r="B105" i="28" s="1"/>
  <c r="B104" i="28"/>
  <c r="AE53" i="45"/>
  <c r="R48" i="45"/>
  <c r="AE49" i="45"/>
  <c r="AG49" i="45" s="1"/>
  <c r="D49" i="45"/>
  <c r="R44" i="45"/>
  <c r="R52" i="45"/>
  <c r="D57" i="45"/>
  <c r="A100" i="45"/>
  <c r="B100" i="45" s="1"/>
  <c r="B99" i="45"/>
  <c r="P94" i="37"/>
  <c r="O95" i="37"/>
  <c r="P95" i="37" s="1"/>
  <c r="K89" i="34"/>
  <c r="G87" i="34"/>
  <c r="K90" i="34"/>
  <c r="AA100" i="29"/>
  <c r="AO100" i="29" s="1"/>
  <c r="AP100" i="29" s="1"/>
  <c r="W100" i="29"/>
  <c r="AA99" i="29"/>
  <c r="AO99" i="29" s="1"/>
  <c r="AP99" i="29" s="1"/>
  <c r="W99" i="29"/>
  <c r="C94" i="30"/>
  <c r="C93" i="30"/>
  <c r="C87" i="36"/>
  <c r="G88" i="36"/>
  <c r="AM6" i="61"/>
  <c r="AP6" i="17"/>
  <c r="C12" i="48"/>
  <c r="B6" i="17"/>
  <c r="Q87" i="50"/>
  <c r="Q89" i="50"/>
  <c r="J45" i="46"/>
  <c r="J44" i="46"/>
  <c r="M95" i="50"/>
  <c r="I95" i="50"/>
  <c r="G94" i="50"/>
  <c r="M94" i="50"/>
  <c r="I94" i="50"/>
  <c r="AL105" i="48"/>
  <c r="AH105" i="48"/>
  <c r="AI102" i="48"/>
  <c r="AL104" i="48"/>
  <c r="AH104" i="48"/>
  <c r="C99" i="28"/>
  <c r="C98" i="28"/>
  <c r="O104" i="29"/>
  <c r="P103" i="29"/>
  <c r="Q103" i="29" s="1"/>
  <c r="P103" i="30"/>
  <c r="Q103" i="30" s="1"/>
  <c r="O104" i="30"/>
  <c r="X82" i="28"/>
  <c r="G87" i="32"/>
  <c r="K89" i="32"/>
  <c r="K90" i="32"/>
  <c r="A100" i="26"/>
  <c r="B100" i="26" s="1"/>
  <c r="B99" i="26"/>
  <c r="A109" i="29"/>
  <c r="B108" i="29"/>
  <c r="Q87" i="40"/>
  <c r="Q89" i="40"/>
  <c r="P106" i="50"/>
  <c r="O111" i="50"/>
  <c r="O107" i="50"/>
  <c r="M89" i="48"/>
  <c r="I89" i="48"/>
  <c r="M90" i="48"/>
  <c r="I90" i="48"/>
  <c r="G89" i="48"/>
  <c r="V39" i="45"/>
  <c r="V40" i="45" s="1"/>
  <c r="T39" i="45"/>
  <c r="T40" i="45" s="1"/>
  <c r="X39" i="45" s="1"/>
  <c r="AG48" i="45"/>
  <c r="AL7" i="61"/>
  <c r="B7" i="18"/>
  <c r="AP7" i="18"/>
  <c r="C11" i="47"/>
  <c r="T13" i="47" s="1"/>
  <c r="V13" i="47" s="1"/>
  <c r="AC104" i="38"/>
  <c r="AD104" i="38" s="1"/>
  <c r="AD103" i="38"/>
  <c r="AC108" i="38"/>
  <c r="C87" i="45"/>
  <c r="G88" i="45"/>
  <c r="A105" i="34"/>
  <c r="B105" i="34" s="1"/>
  <c r="B104" i="34"/>
  <c r="G6" i="20"/>
  <c r="B112" i="32"/>
  <c r="A113" i="32"/>
  <c r="O100" i="35"/>
  <c r="P100" i="35" s="1"/>
  <c r="P99" i="35"/>
  <c r="A109" i="42"/>
  <c r="B108" i="42"/>
  <c r="AJ105" i="39"/>
  <c r="AJ104" i="39"/>
  <c r="O114" i="59"/>
  <c r="P114" i="59" s="1"/>
  <c r="P113" i="59"/>
  <c r="Y11" i="24"/>
  <c r="P106" i="39"/>
  <c r="O111" i="39"/>
  <c r="O107" i="39"/>
  <c r="O104" i="35"/>
  <c r="P103" i="35"/>
  <c r="Q103" i="35" s="1"/>
  <c r="G88" i="43"/>
  <c r="C87" i="43"/>
  <c r="G82" i="43"/>
  <c r="K84" i="43"/>
  <c r="K85" i="43"/>
  <c r="F8" i="21"/>
  <c r="M102" i="59"/>
  <c r="G101" i="59"/>
  <c r="M101" i="59"/>
  <c r="B112" i="50"/>
  <c r="A113" i="50"/>
  <c r="AL99" i="41"/>
  <c r="AH99" i="41"/>
  <c r="AL100" i="41"/>
  <c r="AH100" i="41"/>
  <c r="AI97" i="41"/>
  <c r="A121" i="44"/>
  <c r="A117" i="44"/>
  <c r="B116" i="44"/>
  <c r="P94" i="45"/>
  <c r="O95" i="45"/>
  <c r="P95" i="45" s="1"/>
  <c r="AV4" i="16"/>
  <c r="AG45" i="45"/>
  <c r="Y90" i="29"/>
  <c r="Y89" i="29"/>
  <c r="Q94" i="36"/>
  <c r="Q92" i="36"/>
  <c r="V57" i="47"/>
  <c r="T57" i="47"/>
  <c r="Q89" i="43"/>
  <c r="Q87" i="43"/>
  <c r="D93" i="33"/>
  <c r="F93" i="33" s="1"/>
  <c r="C92" i="33"/>
  <c r="G93" i="33"/>
  <c r="AL105" i="49"/>
  <c r="AH105" i="49"/>
  <c r="AL104" i="49"/>
  <c r="AH104" i="49"/>
  <c r="AI102" i="49"/>
  <c r="AG65" i="49"/>
  <c r="P98" i="43"/>
  <c r="Q98" i="43" s="1"/>
  <c r="O99" i="43"/>
  <c r="O103" i="45"/>
  <c r="P102" i="45"/>
  <c r="C94" i="39"/>
  <c r="C93" i="39"/>
  <c r="C99" i="27"/>
  <c r="C98" i="27"/>
  <c r="G82" i="39"/>
  <c r="K85" i="39"/>
  <c r="K84" i="39"/>
  <c r="Y85" i="43"/>
  <c r="Y84" i="43"/>
  <c r="A105" i="50"/>
  <c r="B105" i="50" s="1"/>
  <c r="B104" i="50"/>
  <c r="C87" i="46"/>
  <c r="G88" i="46"/>
  <c r="O100" i="36"/>
  <c r="P100" i="36" s="1"/>
  <c r="P99" i="36"/>
  <c r="AP89" i="37"/>
  <c r="AA100" i="42"/>
  <c r="AO100" i="42" s="1"/>
  <c r="AP100" i="42" s="1"/>
  <c r="W100" i="42"/>
  <c r="AA99" i="42"/>
  <c r="AO99" i="42" s="1"/>
  <c r="AP99" i="42" s="1"/>
  <c r="W99" i="42"/>
  <c r="F6" i="19"/>
  <c r="AC109" i="45"/>
  <c r="AD109" i="45" s="1"/>
  <c r="AD108" i="45"/>
  <c r="AC113" i="45"/>
  <c r="Q87" i="45"/>
  <c r="Q89" i="45"/>
  <c r="AC109" i="37"/>
  <c r="AD109" i="37" s="1"/>
  <c r="AD108" i="37"/>
  <c r="AC113" i="37"/>
  <c r="AE60" i="48"/>
  <c r="AI59" i="48" s="1"/>
  <c r="F42" i="43"/>
  <c r="AG34" i="43"/>
  <c r="AG35" i="43" s="1"/>
  <c r="AE35" i="43"/>
  <c r="AI34" i="43" s="1"/>
  <c r="AM34" i="43" s="1"/>
  <c r="AS34" i="43" s="1"/>
  <c r="P98" i="39"/>
  <c r="Q98" i="39" s="1"/>
  <c r="O99" i="39"/>
  <c r="X82" i="49"/>
  <c r="P98" i="31"/>
  <c r="Q98" i="31" s="1"/>
  <c r="O99" i="31"/>
  <c r="C98" i="29"/>
  <c r="C99" i="29"/>
  <c r="AG70" i="50"/>
  <c r="V44" i="46"/>
  <c r="V45" i="46" s="1"/>
  <c r="T44" i="46"/>
  <c r="T45" i="46" s="1"/>
  <c r="X44" i="46" s="1"/>
  <c r="H77" i="49"/>
  <c r="X7" i="21"/>
  <c r="T50" i="46" l="1"/>
  <c r="X49" i="46" s="1"/>
  <c r="X6" i="20"/>
  <c r="AG70" i="49"/>
  <c r="L49" i="48"/>
  <c r="N49" i="48" s="1"/>
  <c r="AQ49" i="48" s="1"/>
  <c r="X50" i="47"/>
  <c r="D24" i="66"/>
  <c r="L26" i="66"/>
  <c r="D110" i="65"/>
  <c r="B23" i="66"/>
  <c r="A23" i="66"/>
  <c r="D46" i="66"/>
  <c r="L50" i="66"/>
  <c r="I110" i="66"/>
  <c r="D49" i="65"/>
  <c r="A49" i="65" s="1"/>
  <c r="J49" i="66"/>
  <c r="B49" i="65" s="1"/>
  <c r="I49" i="66"/>
  <c r="A45" i="66"/>
  <c r="B45" i="66"/>
  <c r="J25" i="66"/>
  <c r="B25" i="65" s="1"/>
  <c r="I25" i="66"/>
  <c r="D25" i="65"/>
  <c r="D65" i="66"/>
  <c r="L70" i="66"/>
  <c r="D26" i="66"/>
  <c r="L28" i="66"/>
  <c r="I69" i="66"/>
  <c r="J69" i="66"/>
  <c r="B69" i="65" s="1"/>
  <c r="D69" i="65"/>
  <c r="B64" i="66"/>
  <c r="A64" i="66"/>
  <c r="T20" i="48"/>
  <c r="T14" i="48"/>
  <c r="V14" i="48" s="1"/>
  <c r="D13" i="66"/>
  <c r="L14" i="66"/>
  <c r="T20" i="49"/>
  <c r="V20" i="49" s="1"/>
  <c r="D33" i="65"/>
  <c r="A33" i="65" s="1"/>
  <c r="J33" i="66"/>
  <c r="B33" i="65" s="1"/>
  <c r="I33" i="66"/>
  <c r="B12" i="66"/>
  <c r="A12" i="66"/>
  <c r="D93" i="65"/>
  <c r="I93" i="66"/>
  <c r="J93" i="66"/>
  <c r="B93" i="65" s="1"/>
  <c r="D89" i="66"/>
  <c r="L94" i="66"/>
  <c r="D32" i="66"/>
  <c r="L34" i="66"/>
  <c r="V4" i="50"/>
  <c r="AH3" i="48"/>
  <c r="AJ3" i="48" s="1"/>
  <c r="A31" i="66"/>
  <c r="B31" i="66"/>
  <c r="A88" i="66"/>
  <c r="B88" i="66"/>
  <c r="X13" i="47"/>
  <c r="D51" i="66"/>
  <c r="L54" i="66"/>
  <c r="AH3" i="49"/>
  <c r="X11" i="25"/>
  <c r="X13" i="49"/>
  <c r="X20" i="50"/>
  <c r="V20" i="50"/>
  <c r="D13" i="65"/>
  <c r="I13" i="66"/>
  <c r="J13" i="66"/>
  <c r="B13" i="65" s="1"/>
  <c r="AG34" i="59"/>
  <c r="D39" i="59"/>
  <c r="F39" i="59" s="1"/>
  <c r="H39" i="59" s="1"/>
  <c r="R33" i="59"/>
  <c r="X2" i="49"/>
  <c r="V2" i="49"/>
  <c r="B50" i="66"/>
  <c r="A50" i="66"/>
  <c r="J23" i="48"/>
  <c r="N22" i="48" s="1"/>
  <c r="L22" i="48"/>
  <c r="L23" i="48" s="1"/>
  <c r="X8" i="48"/>
  <c r="V8" i="47"/>
  <c r="T2" i="47"/>
  <c r="J22" i="47"/>
  <c r="J15" i="47"/>
  <c r="X2" i="48"/>
  <c r="V2" i="48"/>
  <c r="D77" i="48"/>
  <c r="V26" i="48"/>
  <c r="T3" i="48"/>
  <c r="V9" i="48"/>
  <c r="X9" i="48" s="1"/>
  <c r="A12" i="65"/>
  <c r="A25" i="65"/>
  <c r="L15" i="48"/>
  <c r="L17" i="48" s="1"/>
  <c r="N15" i="48"/>
  <c r="N17" i="48" s="1"/>
  <c r="P14" i="48"/>
  <c r="V72" i="49"/>
  <c r="AR40" i="47"/>
  <c r="AT40" i="47" s="1"/>
  <c r="E6" i="47" s="1"/>
  <c r="L55" i="47" s="1"/>
  <c r="D87" i="50"/>
  <c r="AH8" i="50"/>
  <c r="AJ3" i="49"/>
  <c r="N15" i="49"/>
  <c r="N17" i="49" s="1"/>
  <c r="P14" i="49"/>
  <c r="L15" i="49"/>
  <c r="L17" i="49" s="1"/>
  <c r="V26" i="49"/>
  <c r="T3" i="49"/>
  <c r="V9" i="49"/>
  <c r="X9" i="49" s="1"/>
  <c r="X8" i="49"/>
  <c r="V10" i="49"/>
  <c r="Z9" i="49" s="1"/>
  <c r="J23" i="49"/>
  <c r="N22" i="49" s="1"/>
  <c r="L22" i="49"/>
  <c r="L23" i="49" s="1"/>
  <c r="AI55" i="47"/>
  <c r="AF12" i="25"/>
  <c r="R32" i="40"/>
  <c r="AE33" i="40"/>
  <c r="AG33" i="40" s="1"/>
  <c r="D37" i="40"/>
  <c r="F37" i="40" s="1"/>
  <c r="H37" i="40" s="1"/>
  <c r="AV14" i="25"/>
  <c r="Y13" i="25"/>
  <c r="V32" i="41"/>
  <c r="T32" i="41"/>
  <c r="H14" i="25"/>
  <c r="I14" i="25" s="1"/>
  <c r="D14" i="25"/>
  <c r="F14" i="25" s="1"/>
  <c r="AE15" i="61"/>
  <c r="AP15" i="25"/>
  <c r="C4" i="39"/>
  <c r="B15" i="25"/>
  <c r="J50" i="46"/>
  <c r="V50" i="46"/>
  <c r="X50" i="46" s="1"/>
  <c r="Y8" i="20"/>
  <c r="X7" i="20" s="1"/>
  <c r="AI40" i="44"/>
  <c r="R69" i="50"/>
  <c r="J49" i="46"/>
  <c r="R82" i="50"/>
  <c r="AE70" i="49"/>
  <c r="AI69" i="49" s="1"/>
  <c r="AI70" i="49" s="1"/>
  <c r="J37" i="43"/>
  <c r="J39" i="44"/>
  <c r="N39" i="44" s="1"/>
  <c r="AQ39" i="44" s="1"/>
  <c r="J40" i="44"/>
  <c r="N40" i="44" s="1"/>
  <c r="AQ40" i="44" s="1"/>
  <c r="N55" i="48"/>
  <c r="AQ55" i="48" s="1"/>
  <c r="D68" i="47"/>
  <c r="F68" i="47" s="1"/>
  <c r="R67" i="47"/>
  <c r="H54" i="47"/>
  <c r="H55" i="47" s="1"/>
  <c r="J55" i="47" s="1"/>
  <c r="F55" i="47"/>
  <c r="J54" i="47" s="1"/>
  <c r="D83" i="50"/>
  <c r="F83" i="50" s="1"/>
  <c r="H83" i="50" s="1"/>
  <c r="R72" i="48"/>
  <c r="V72" i="48" s="1"/>
  <c r="H53" i="45"/>
  <c r="V67" i="48"/>
  <c r="T67" i="48"/>
  <c r="D73" i="48"/>
  <c r="H68" i="48"/>
  <c r="H67" i="46"/>
  <c r="Z49" i="47"/>
  <c r="AB49" i="47" s="1"/>
  <c r="L54" i="47"/>
  <c r="H52" i="43"/>
  <c r="R47" i="42"/>
  <c r="D52" i="42"/>
  <c r="F52" i="42" s="1"/>
  <c r="R77" i="49"/>
  <c r="D82" i="49"/>
  <c r="F82" i="49" s="1"/>
  <c r="H82" i="49" s="1"/>
  <c r="D72" i="47"/>
  <c r="F72" i="47" s="1"/>
  <c r="V49" i="45"/>
  <c r="T49" i="45"/>
  <c r="T47" i="43"/>
  <c r="V47" i="43"/>
  <c r="AR49" i="48"/>
  <c r="AR49" i="49"/>
  <c r="AB40" i="46"/>
  <c r="AR39" i="46" s="1"/>
  <c r="AT39" i="46" s="1"/>
  <c r="D6" i="46" s="1"/>
  <c r="X4" i="18"/>
  <c r="AI65" i="49"/>
  <c r="N44" i="46"/>
  <c r="AQ44" i="46" s="1"/>
  <c r="AK44" i="47"/>
  <c r="AM44" i="47" s="1"/>
  <c r="AS44" i="47" s="1"/>
  <c r="Z44" i="47"/>
  <c r="AB44" i="47" s="1"/>
  <c r="L49" i="47"/>
  <c r="N49" i="47" s="1"/>
  <c r="AQ49" i="47" s="1"/>
  <c r="AR45" i="48"/>
  <c r="AT45" i="48" s="1"/>
  <c r="E7" i="48" s="1"/>
  <c r="AK50" i="48" s="1"/>
  <c r="AM50" i="48" s="1"/>
  <c r="AS50" i="48" s="1"/>
  <c r="AT50" i="48" s="1"/>
  <c r="E8" i="48" s="1"/>
  <c r="AR44" i="48"/>
  <c r="AT44" i="48" s="1"/>
  <c r="D7" i="48" s="1"/>
  <c r="AK49" i="48" s="1"/>
  <c r="AM49" i="48" s="1"/>
  <c r="AS49" i="48" s="1"/>
  <c r="Z45" i="47"/>
  <c r="AB45" i="47" s="1"/>
  <c r="AR44" i="49"/>
  <c r="AT44" i="49" s="1"/>
  <c r="D7" i="49" s="1"/>
  <c r="AK49" i="49" s="1"/>
  <c r="AM49" i="49" s="1"/>
  <c r="AS49" i="49" s="1"/>
  <c r="AR45" i="49"/>
  <c r="AT45" i="49" s="1"/>
  <c r="E7" i="49" s="1"/>
  <c r="AK50" i="49" s="1"/>
  <c r="AM50" i="49" s="1"/>
  <c r="AS50" i="49" s="1"/>
  <c r="AT50" i="49" s="1"/>
  <c r="E8" i="49" s="1"/>
  <c r="H69" i="50"/>
  <c r="H70" i="50" s="1"/>
  <c r="J70" i="50" s="1"/>
  <c r="F70" i="50"/>
  <c r="J69" i="50" s="1"/>
  <c r="AE40" i="43"/>
  <c r="AI39" i="43" s="1"/>
  <c r="F65" i="48"/>
  <c r="AE65" i="48"/>
  <c r="AI64" i="48" s="1"/>
  <c r="J62" i="48"/>
  <c r="AG65" i="48"/>
  <c r="AG40" i="43"/>
  <c r="H65" i="48"/>
  <c r="X60" i="49"/>
  <c r="AI70" i="50"/>
  <c r="AI45" i="45"/>
  <c r="H93" i="35"/>
  <c r="AG50" i="45"/>
  <c r="H93" i="50"/>
  <c r="AE50" i="45"/>
  <c r="AI49" i="45" s="1"/>
  <c r="H93" i="41"/>
  <c r="H93" i="31"/>
  <c r="H93" i="33"/>
  <c r="H93" i="42"/>
  <c r="H93" i="29"/>
  <c r="X40" i="45"/>
  <c r="H93" i="27"/>
  <c r="H93" i="47"/>
  <c r="H42" i="43"/>
  <c r="M94" i="39"/>
  <c r="I94" i="39"/>
  <c r="M95" i="39"/>
  <c r="I95" i="39"/>
  <c r="G94" i="39"/>
  <c r="AA11" i="24"/>
  <c r="AG11" i="24" s="1"/>
  <c r="C104" i="34"/>
  <c r="C103" i="34"/>
  <c r="K89" i="45"/>
  <c r="G87" i="45"/>
  <c r="K90" i="45"/>
  <c r="AV6" i="17"/>
  <c r="Q92" i="37"/>
  <c r="Q94" i="37"/>
  <c r="AG34" i="42"/>
  <c r="AG35" i="42" s="1"/>
  <c r="AE35" i="42"/>
  <c r="AI34" i="42" s="1"/>
  <c r="AM34" i="42" s="1"/>
  <c r="AS34" i="42" s="1"/>
  <c r="AL110" i="33"/>
  <c r="AH110" i="33"/>
  <c r="AI107" i="33"/>
  <c r="AL109" i="33"/>
  <c r="AH109" i="33"/>
  <c r="M99" i="42"/>
  <c r="I99" i="42"/>
  <c r="M100" i="42"/>
  <c r="I100" i="42"/>
  <c r="G99" i="42"/>
  <c r="F7" i="53"/>
  <c r="C103" i="41"/>
  <c r="C104" i="41"/>
  <c r="O112" i="27"/>
  <c r="P111" i="27"/>
  <c r="O116" i="27"/>
  <c r="O100" i="31"/>
  <c r="P100" i="31" s="1"/>
  <c r="P99" i="31"/>
  <c r="X87" i="45"/>
  <c r="AA100" i="43"/>
  <c r="AO100" i="43" s="1"/>
  <c r="AP100" i="43" s="1"/>
  <c r="W100" i="43"/>
  <c r="AA99" i="43"/>
  <c r="AO99" i="43" s="1"/>
  <c r="AP99" i="43" s="1"/>
  <c r="W99" i="43"/>
  <c r="Q92" i="45"/>
  <c r="Q94" i="45"/>
  <c r="A118" i="44"/>
  <c r="B117" i="44"/>
  <c r="G8" i="21"/>
  <c r="P111" i="39"/>
  <c r="O116" i="39"/>
  <c r="O112" i="39"/>
  <c r="AA100" i="31"/>
  <c r="AO100" i="31" s="1"/>
  <c r="AP100" i="31" s="1"/>
  <c r="W100" i="31"/>
  <c r="AA99" i="31"/>
  <c r="AO99" i="31" s="1"/>
  <c r="AP99" i="31" s="1"/>
  <c r="W99" i="31"/>
  <c r="AI35" i="43"/>
  <c r="AM35" i="43" s="1"/>
  <c r="AS35" i="43" s="1"/>
  <c r="AC114" i="37"/>
  <c r="AD114" i="37" s="1"/>
  <c r="AD113" i="37"/>
  <c r="AC118" i="37"/>
  <c r="Y90" i="45"/>
  <c r="Y89" i="45"/>
  <c r="AC114" i="45"/>
  <c r="AD114" i="45" s="1"/>
  <c r="AD113" i="45"/>
  <c r="AC118" i="45"/>
  <c r="C97" i="27"/>
  <c r="G98" i="27"/>
  <c r="G93" i="39"/>
  <c r="D93" i="39"/>
  <c r="F93" i="39" s="1"/>
  <c r="C92" i="39"/>
  <c r="X87" i="43"/>
  <c r="H82" i="50"/>
  <c r="A126" i="44"/>
  <c r="A122" i="44"/>
  <c r="B121" i="44"/>
  <c r="AA105" i="35"/>
  <c r="AO105" i="35" s="1"/>
  <c r="AP105" i="35" s="1"/>
  <c r="W105" i="35"/>
  <c r="AA104" i="35"/>
  <c r="AO104" i="35" s="1"/>
  <c r="AP104" i="35" s="1"/>
  <c r="W104" i="35"/>
  <c r="AJ105" i="38"/>
  <c r="AJ104" i="38"/>
  <c r="AV7" i="18"/>
  <c r="O105" i="30"/>
  <c r="P105" i="30" s="1"/>
  <c r="P104" i="30"/>
  <c r="AR34" i="44"/>
  <c r="AT34" i="44" s="1"/>
  <c r="D5" i="44" s="1"/>
  <c r="AR35" i="44"/>
  <c r="AT35" i="44" s="1"/>
  <c r="E5" i="44" s="1"/>
  <c r="Y90" i="50"/>
  <c r="Y89" i="50"/>
  <c r="AE69" i="48"/>
  <c r="AG69" i="48" s="1"/>
  <c r="R68" i="48"/>
  <c r="AE73" i="48"/>
  <c r="D69" i="48"/>
  <c r="F57" i="45"/>
  <c r="C104" i="28"/>
  <c r="C103" i="28"/>
  <c r="P99" i="28"/>
  <c r="O100" i="28"/>
  <c r="P100" i="28" s="1"/>
  <c r="AJ110" i="34"/>
  <c r="AJ109" i="34"/>
  <c r="V37" i="42"/>
  <c r="T37" i="42"/>
  <c r="T33" i="42"/>
  <c r="V33" i="42"/>
  <c r="AC114" i="31"/>
  <c r="AD114" i="31" s="1"/>
  <c r="AD113" i="31"/>
  <c r="AC118" i="31"/>
  <c r="A114" i="42"/>
  <c r="B113" i="42"/>
  <c r="AA105" i="38"/>
  <c r="AO105" i="38" s="1"/>
  <c r="AP105" i="38" s="1"/>
  <c r="W105" i="38"/>
  <c r="AA104" i="38"/>
  <c r="AO104" i="38" s="1"/>
  <c r="AP104" i="38" s="1"/>
  <c r="W104" i="38"/>
  <c r="O108" i="37"/>
  <c r="P107" i="37"/>
  <c r="AJ110" i="32"/>
  <c r="AJ109" i="32"/>
  <c r="Q92" i="50"/>
  <c r="Q94" i="50"/>
  <c r="B121" i="35"/>
  <c r="A126" i="35"/>
  <c r="A122" i="35"/>
  <c r="Q94" i="33"/>
  <c r="Q92" i="33"/>
  <c r="H93" i="28"/>
  <c r="AJ109" i="33"/>
  <c r="AJ110" i="33"/>
  <c r="P111" i="28"/>
  <c r="O116" i="28"/>
  <c r="O112" i="28"/>
  <c r="K94" i="38"/>
  <c r="L95" i="38"/>
  <c r="G92" i="38"/>
  <c r="K95" i="38"/>
  <c r="L94" i="38"/>
  <c r="D92" i="38"/>
  <c r="AV12" i="23"/>
  <c r="G98" i="42"/>
  <c r="C97" i="42"/>
  <c r="O109" i="38"/>
  <c r="P108" i="38"/>
  <c r="Q108" i="38" s="1"/>
  <c r="AA10" i="22"/>
  <c r="AG10" i="22" s="1"/>
  <c r="AD130" i="59"/>
  <c r="AC136" i="59"/>
  <c r="AC131" i="59"/>
  <c r="AD131" i="59" s="1"/>
  <c r="X92" i="35"/>
  <c r="R94" i="35"/>
  <c r="AI107" i="28"/>
  <c r="AL109" i="28"/>
  <c r="AH109" i="28"/>
  <c r="AL110" i="28"/>
  <c r="AH110" i="28"/>
  <c r="C97" i="44"/>
  <c r="G98" i="44"/>
  <c r="W105" i="47"/>
  <c r="AA104" i="47"/>
  <c r="AO104" i="47" s="1"/>
  <c r="AP104" i="47" s="1"/>
  <c r="AA105" i="47"/>
  <c r="AO105" i="47" s="1"/>
  <c r="AP105" i="47" s="1"/>
  <c r="W104" i="47"/>
  <c r="O105" i="41"/>
  <c r="P105" i="41" s="1"/>
  <c r="P104" i="41"/>
  <c r="M100" i="40"/>
  <c r="I100" i="40"/>
  <c r="G99" i="40"/>
  <c r="M99" i="40"/>
  <c r="I99" i="40"/>
  <c r="A121" i="36"/>
  <c r="A117" i="36"/>
  <c r="B116" i="36"/>
  <c r="AV5" i="16"/>
  <c r="F78" i="50"/>
  <c r="T73" i="50"/>
  <c r="V73" i="50"/>
  <c r="AA100" i="49"/>
  <c r="AO100" i="49" s="1"/>
  <c r="AP100" i="49" s="1"/>
  <c r="W100" i="49"/>
  <c r="AA99" i="49"/>
  <c r="AO99" i="49" s="1"/>
  <c r="AP99" i="49" s="1"/>
  <c r="W99" i="49"/>
  <c r="O117" i="48"/>
  <c r="P116" i="48"/>
  <c r="O121" i="48"/>
  <c r="O104" i="39"/>
  <c r="P103" i="39"/>
  <c r="Q103" i="39" s="1"/>
  <c r="P112" i="41"/>
  <c r="O113" i="41"/>
  <c r="G87" i="48"/>
  <c r="K90" i="48"/>
  <c r="K89" i="48"/>
  <c r="A126" i="27"/>
  <c r="A122" i="27"/>
  <c r="B121" i="27"/>
  <c r="A110" i="35"/>
  <c r="B110" i="35" s="1"/>
  <c r="B109" i="35"/>
  <c r="R94" i="26"/>
  <c r="X92" i="26"/>
  <c r="K95" i="27"/>
  <c r="L94" i="27"/>
  <c r="D92" i="27"/>
  <c r="K94" i="27"/>
  <c r="L95" i="27"/>
  <c r="G92" i="27"/>
  <c r="X55" i="48"/>
  <c r="B117" i="29"/>
  <c r="A118" i="29"/>
  <c r="O104" i="37"/>
  <c r="P103" i="37"/>
  <c r="Q103" i="37" s="1"/>
  <c r="G87" i="26"/>
  <c r="K90" i="26"/>
  <c r="K89" i="26"/>
  <c r="O112" i="49"/>
  <c r="O116" i="49"/>
  <c r="P111" i="49"/>
  <c r="A109" i="46"/>
  <c r="B108" i="46"/>
  <c r="Y90" i="31"/>
  <c r="Y89" i="31"/>
  <c r="T54" i="47"/>
  <c r="T55" i="47" s="1"/>
  <c r="X54" i="47" s="1"/>
  <c r="V54" i="47"/>
  <c r="V55" i="47" s="1"/>
  <c r="V58" i="47"/>
  <c r="T58" i="47"/>
  <c r="B116" i="43"/>
  <c r="A121" i="43"/>
  <c r="A117" i="43"/>
  <c r="AE44" i="43"/>
  <c r="AG44" i="43" s="1"/>
  <c r="AE48" i="43"/>
  <c r="R43" i="43"/>
  <c r="D44" i="43"/>
  <c r="D48" i="43"/>
  <c r="F48" i="43" s="1"/>
  <c r="H48" i="43" s="1"/>
  <c r="G87" i="30"/>
  <c r="K90" i="30"/>
  <c r="K89" i="30"/>
  <c r="P136" i="32"/>
  <c r="O141" i="32"/>
  <c r="O137" i="32"/>
  <c r="AJ109" i="30"/>
  <c r="AJ110" i="30"/>
  <c r="O117" i="30"/>
  <c r="P116" i="30"/>
  <c r="O121" i="30"/>
  <c r="AA105" i="36"/>
  <c r="AO105" i="36" s="1"/>
  <c r="AP105" i="36" s="1"/>
  <c r="W105" i="36"/>
  <c r="AA104" i="36"/>
  <c r="AO104" i="36" s="1"/>
  <c r="AP104" i="36" s="1"/>
  <c r="W104" i="36"/>
  <c r="B117" i="40"/>
  <c r="A118" i="40"/>
  <c r="AJ110" i="50"/>
  <c r="AJ109" i="50"/>
  <c r="L95" i="42"/>
  <c r="G92" i="42"/>
  <c r="K95" i="42"/>
  <c r="L94" i="42"/>
  <c r="D92" i="42"/>
  <c r="K94" i="42"/>
  <c r="C103" i="49"/>
  <c r="C104" i="49"/>
  <c r="Z95" i="42"/>
  <c r="Z94" i="42"/>
  <c r="R92" i="42"/>
  <c r="Y95" i="42"/>
  <c r="Y94" i="42"/>
  <c r="A114" i="31"/>
  <c r="B113" i="31"/>
  <c r="AV8" i="53"/>
  <c r="H93" i="44"/>
  <c r="F44" i="44"/>
  <c r="J42" i="44"/>
  <c r="Q99" i="48"/>
  <c r="Q97" i="48"/>
  <c r="M100" i="38"/>
  <c r="I100" i="38"/>
  <c r="G99" i="38"/>
  <c r="M99" i="38"/>
  <c r="I99" i="38"/>
  <c r="H38" i="43"/>
  <c r="H40" i="43" s="1"/>
  <c r="J40" i="43" s="1"/>
  <c r="N40" i="43" s="1"/>
  <c r="AQ40" i="43" s="1"/>
  <c r="F40" i="43"/>
  <c r="B117" i="47"/>
  <c r="A118" i="47"/>
  <c r="C97" i="31"/>
  <c r="G98" i="31"/>
  <c r="AJ109" i="49"/>
  <c r="AJ110" i="49"/>
  <c r="AE60" i="47"/>
  <c r="AI59" i="47" s="1"/>
  <c r="B121" i="28"/>
  <c r="A126" i="28"/>
  <c r="A122" i="28"/>
  <c r="AP4" i="61"/>
  <c r="AQ3" i="61"/>
  <c r="C15" i="50"/>
  <c r="R87" i="50" s="1"/>
  <c r="B4" i="14"/>
  <c r="AP4" i="14"/>
  <c r="AC109" i="41"/>
  <c r="AD109" i="41" s="1"/>
  <c r="AD108" i="41"/>
  <c r="AC113" i="41"/>
  <c r="C97" i="41"/>
  <c r="G98" i="41"/>
  <c r="Y90" i="28"/>
  <c r="Y89" i="28"/>
  <c r="AC118" i="39"/>
  <c r="AC114" i="39"/>
  <c r="AD114" i="39" s="1"/>
  <c r="AD113" i="39"/>
  <c r="A105" i="26"/>
  <c r="B105" i="26" s="1"/>
  <c r="B104" i="26"/>
  <c r="F6" i="18"/>
  <c r="Y95" i="41"/>
  <c r="Y94" i="41"/>
  <c r="Z95" i="41"/>
  <c r="Z94" i="41"/>
  <c r="R92" i="41"/>
  <c r="C112" i="59"/>
  <c r="C113" i="59"/>
  <c r="H10" i="21"/>
  <c r="I10" i="21" s="1"/>
  <c r="D10" i="21"/>
  <c r="M94" i="26"/>
  <c r="I94" i="26"/>
  <c r="M95" i="26"/>
  <c r="I95" i="26"/>
  <c r="G94" i="26"/>
  <c r="P112" i="35"/>
  <c r="O113" i="35"/>
  <c r="B117" i="38"/>
  <c r="A118" i="38"/>
  <c r="AE34" i="41"/>
  <c r="D38" i="41"/>
  <c r="AE38" i="41"/>
  <c r="R33" i="41"/>
  <c r="R37" i="41"/>
  <c r="D42" i="41"/>
  <c r="A118" i="49"/>
  <c r="B117" i="49"/>
  <c r="B104" i="43"/>
  <c r="A105" i="43"/>
  <c r="B105" i="43" s="1"/>
  <c r="Q99" i="30"/>
  <c r="Q97" i="30"/>
  <c r="Y90" i="27"/>
  <c r="Y89" i="27"/>
  <c r="B116" i="37"/>
  <c r="A121" i="37"/>
  <c r="A117" i="37"/>
  <c r="P124" i="32"/>
  <c r="O125" i="32"/>
  <c r="P125" i="32" s="1"/>
  <c r="AE54" i="45"/>
  <c r="AG54" i="45" s="1"/>
  <c r="AE58" i="45"/>
  <c r="R53" i="45"/>
  <c r="D54" i="45"/>
  <c r="D58" i="45"/>
  <c r="F58" i="45" s="1"/>
  <c r="H58" i="45" s="1"/>
  <c r="R57" i="45"/>
  <c r="D62" i="45"/>
  <c r="B116" i="48"/>
  <c r="A121" i="48"/>
  <c r="A117" i="48"/>
  <c r="AA100" i="44"/>
  <c r="AO100" i="44" s="1"/>
  <c r="AP100" i="44" s="1"/>
  <c r="W100" i="44"/>
  <c r="AA99" i="44"/>
  <c r="AO99" i="44" s="1"/>
  <c r="AP99" i="44" s="1"/>
  <c r="W99" i="44"/>
  <c r="O105" i="48"/>
  <c r="P105" i="48" s="1"/>
  <c r="P104" i="48"/>
  <c r="P108" i="47"/>
  <c r="Q108" i="47" s="1"/>
  <c r="O109" i="47"/>
  <c r="R94" i="30"/>
  <c r="X92" i="30"/>
  <c r="Y7" i="19"/>
  <c r="X6" i="19" s="1"/>
  <c r="C99" i="39"/>
  <c r="C98" i="39"/>
  <c r="Z108" i="59"/>
  <c r="W107" i="59"/>
  <c r="Y108" i="59"/>
  <c r="Z107" i="59"/>
  <c r="Y107" i="59"/>
  <c r="W108" i="59"/>
  <c r="R105" i="59"/>
  <c r="X10" i="24"/>
  <c r="P99" i="45"/>
  <c r="O100" i="45"/>
  <c r="P100" i="45" s="1"/>
  <c r="A105" i="36"/>
  <c r="B105" i="36" s="1"/>
  <c r="B104" i="36"/>
  <c r="G98" i="32"/>
  <c r="C97" i="32"/>
  <c r="AG75" i="50"/>
  <c r="A110" i="50"/>
  <c r="B110" i="50" s="1"/>
  <c r="B109" i="50"/>
  <c r="AG5" i="53"/>
  <c r="F62" i="46"/>
  <c r="T53" i="46"/>
  <c r="V53" i="46"/>
  <c r="AI102" i="47"/>
  <c r="AL104" i="47"/>
  <c r="AH105" i="47"/>
  <c r="AL105" i="47"/>
  <c r="AH104" i="47"/>
  <c r="B117" i="34"/>
  <c r="A118" i="34"/>
  <c r="Z95" i="47"/>
  <c r="Z94" i="47"/>
  <c r="R92" i="47"/>
  <c r="Y94" i="47"/>
  <c r="Y95" i="47"/>
  <c r="Q97" i="38"/>
  <c r="Q99" i="38"/>
  <c r="AG55" i="46"/>
  <c r="H93" i="49"/>
  <c r="A114" i="47"/>
  <c r="B113" i="47"/>
  <c r="Y90" i="34"/>
  <c r="Y89" i="34"/>
  <c r="Y90" i="39"/>
  <c r="Y89" i="39"/>
  <c r="A114" i="28"/>
  <c r="B113" i="28"/>
  <c r="AG8" i="22"/>
  <c r="X92" i="38"/>
  <c r="R94" i="38"/>
  <c r="O105" i="42"/>
  <c r="P105" i="42" s="1"/>
  <c r="P104" i="42"/>
  <c r="Y90" i="46"/>
  <c r="Y89" i="46"/>
  <c r="H93" i="32"/>
  <c r="A110" i="49"/>
  <c r="B110" i="49" s="1"/>
  <c r="B109" i="49"/>
  <c r="M99" i="49"/>
  <c r="I99" i="49"/>
  <c r="M100" i="49"/>
  <c r="I100" i="49"/>
  <c r="G99" i="49"/>
  <c r="AC118" i="48"/>
  <c r="AC114" i="48"/>
  <c r="AD114" i="48" s="1"/>
  <c r="AD113" i="48"/>
  <c r="A105" i="48"/>
  <c r="B105" i="48" s="1"/>
  <c r="B104" i="48"/>
  <c r="V68" i="49"/>
  <c r="T68" i="49"/>
  <c r="M100" i="50"/>
  <c r="I100" i="50"/>
  <c r="G99" i="50"/>
  <c r="M99" i="50"/>
  <c r="I99" i="50"/>
  <c r="O109" i="35"/>
  <c r="P108" i="35"/>
  <c r="Q108" i="35" s="1"/>
  <c r="M95" i="45"/>
  <c r="I95" i="45"/>
  <c r="G94" i="45"/>
  <c r="M94" i="45"/>
  <c r="I94" i="45"/>
  <c r="AG45" i="44"/>
  <c r="O113" i="47"/>
  <c r="P112" i="47"/>
  <c r="A126" i="33"/>
  <c r="A122" i="33"/>
  <c r="B121" i="33"/>
  <c r="O121" i="38"/>
  <c r="O117" i="38"/>
  <c r="P116" i="38"/>
  <c r="Y90" i="44"/>
  <c r="Y89" i="44"/>
  <c r="C98" i="36"/>
  <c r="C99" i="36"/>
  <c r="AK39" i="45"/>
  <c r="AM39" i="45" s="1"/>
  <c r="AS39" i="45" s="1"/>
  <c r="Z39" i="45"/>
  <c r="AB39" i="45" s="1"/>
  <c r="L44" i="45"/>
  <c r="M100" i="29"/>
  <c r="I100" i="29"/>
  <c r="G99" i="29"/>
  <c r="M99" i="29"/>
  <c r="I99" i="29"/>
  <c r="O100" i="39"/>
  <c r="P100" i="39" s="1"/>
  <c r="P99" i="39"/>
  <c r="AJ110" i="45"/>
  <c r="AJ109" i="45"/>
  <c r="C104" i="50"/>
  <c r="C103" i="50"/>
  <c r="K90" i="36"/>
  <c r="K89" i="36"/>
  <c r="G87" i="36"/>
  <c r="X112" i="32"/>
  <c r="AJ109" i="31"/>
  <c r="AJ110" i="31"/>
  <c r="A110" i="31"/>
  <c r="B110" i="31" s="1"/>
  <c r="B109" i="31"/>
  <c r="G93" i="43"/>
  <c r="D93" i="43"/>
  <c r="F93" i="43" s="1"/>
  <c r="C92" i="43"/>
  <c r="O117" i="26"/>
  <c r="P116" i="26"/>
  <c r="O121" i="26"/>
  <c r="O108" i="46"/>
  <c r="P107" i="46"/>
  <c r="O112" i="44"/>
  <c r="P111" i="44"/>
  <c r="O116" i="44"/>
  <c r="O100" i="49"/>
  <c r="P100" i="49" s="1"/>
  <c r="P99" i="49"/>
  <c r="O121" i="41"/>
  <c r="O117" i="41"/>
  <c r="P116" i="41"/>
  <c r="M107" i="59"/>
  <c r="M108" i="59"/>
  <c r="G107" i="59"/>
  <c r="C99" i="43"/>
  <c r="C98" i="43"/>
  <c r="AA100" i="37"/>
  <c r="AO100" i="37" s="1"/>
  <c r="AP100" i="37" s="1"/>
  <c r="W100" i="37"/>
  <c r="AA99" i="37"/>
  <c r="AO99" i="37" s="1"/>
  <c r="AP99" i="37" s="1"/>
  <c r="W99" i="37"/>
  <c r="K94" i="41"/>
  <c r="L95" i="41"/>
  <c r="G92" i="41"/>
  <c r="K95" i="41"/>
  <c r="L94" i="41"/>
  <c r="D92" i="41"/>
  <c r="L94" i="50"/>
  <c r="D92" i="50"/>
  <c r="K94" i="50"/>
  <c r="L95" i="50"/>
  <c r="G92" i="50"/>
  <c r="K95" i="50"/>
  <c r="AJ109" i="26"/>
  <c r="AJ110" i="26"/>
  <c r="Q117" i="32"/>
  <c r="Q119" i="32"/>
  <c r="AA9" i="21"/>
  <c r="AG9" i="21" s="1"/>
  <c r="AC134" i="46"/>
  <c r="AD134" i="46" s="1"/>
  <c r="AD133" i="46"/>
  <c r="AC138" i="46"/>
  <c r="C104" i="33"/>
  <c r="C103" i="33"/>
  <c r="Q99" i="26"/>
  <c r="Q97" i="26"/>
  <c r="B121" i="29"/>
  <c r="A126" i="29"/>
  <c r="A122" i="29"/>
  <c r="P107" i="49"/>
  <c r="O108" i="49"/>
  <c r="A114" i="35"/>
  <c r="B113" i="35"/>
  <c r="P129" i="59"/>
  <c r="O130" i="59"/>
  <c r="X87" i="31"/>
  <c r="O104" i="28"/>
  <c r="P103" i="28"/>
  <c r="Q103" i="28" s="1"/>
  <c r="AG63" i="47"/>
  <c r="Z95" i="48"/>
  <c r="Z94" i="48"/>
  <c r="R92" i="48"/>
  <c r="Y95" i="48"/>
  <c r="Y94" i="48"/>
  <c r="H11" i="22"/>
  <c r="I11" i="22" s="1"/>
  <c r="D11" i="22"/>
  <c r="AL110" i="30"/>
  <c r="AH110" i="30"/>
  <c r="AI107" i="30"/>
  <c r="AL109" i="30"/>
  <c r="AH109" i="30"/>
  <c r="B121" i="40"/>
  <c r="A126" i="40"/>
  <c r="A122" i="40"/>
  <c r="AI107" i="50"/>
  <c r="AL109" i="50"/>
  <c r="AH109" i="50"/>
  <c r="AL110" i="50"/>
  <c r="AH110" i="50"/>
  <c r="A109" i="37"/>
  <c r="B108" i="37"/>
  <c r="AC109" i="44"/>
  <c r="AD109" i="44" s="1"/>
  <c r="AD108" i="44"/>
  <c r="AC113" i="44"/>
  <c r="R94" i="42"/>
  <c r="X92" i="42"/>
  <c r="H8" i="19"/>
  <c r="I8" i="19" s="1"/>
  <c r="D8" i="19"/>
  <c r="B109" i="47"/>
  <c r="A110" i="47"/>
  <c r="B110" i="47" s="1"/>
  <c r="B112" i="30"/>
  <c r="A113" i="30"/>
  <c r="C97" i="38"/>
  <c r="G98" i="38"/>
  <c r="B121" i="47"/>
  <c r="A126" i="47"/>
  <c r="A122" i="47"/>
  <c r="C103" i="38"/>
  <c r="C104" i="38"/>
  <c r="C97" i="34"/>
  <c r="G98" i="34"/>
  <c r="M99" i="31"/>
  <c r="I99" i="31"/>
  <c r="M100" i="31"/>
  <c r="I100" i="31"/>
  <c r="G99" i="31"/>
  <c r="AL110" i="49"/>
  <c r="AH110" i="49"/>
  <c r="AL109" i="49"/>
  <c r="AH109" i="49"/>
  <c r="AI107" i="49"/>
  <c r="A109" i="45"/>
  <c r="B108" i="45"/>
  <c r="H4" i="15"/>
  <c r="I4" i="15" s="1"/>
  <c r="D4" i="15"/>
  <c r="AO5" i="61"/>
  <c r="AP5" i="15"/>
  <c r="Y4" i="15" s="1"/>
  <c r="B5" i="15"/>
  <c r="C14" i="49"/>
  <c r="T4" i="49" s="1"/>
  <c r="AJ105" i="41"/>
  <c r="AJ104" i="41"/>
  <c r="Q94" i="43"/>
  <c r="Q92" i="43"/>
  <c r="C104" i="32"/>
  <c r="C103" i="32"/>
  <c r="O109" i="41"/>
  <c r="P108" i="41"/>
  <c r="Q108" i="41" s="1"/>
  <c r="X87" i="37"/>
  <c r="B112" i="39"/>
  <c r="A113" i="39"/>
  <c r="B119" i="59"/>
  <c r="A120" i="59"/>
  <c r="B120" i="59" s="1"/>
  <c r="A114" i="27"/>
  <c r="B113" i="27"/>
  <c r="AE53" i="44"/>
  <c r="AE49" i="44"/>
  <c r="AG49" i="44" s="1"/>
  <c r="R44" i="44"/>
  <c r="R48" i="44"/>
  <c r="D49" i="44"/>
  <c r="F49" i="44" s="1"/>
  <c r="H49" i="44" s="1"/>
  <c r="R52" i="44"/>
  <c r="D57" i="44"/>
  <c r="C104" i="40"/>
  <c r="C103" i="40"/>
  <c r="O105" i="26"/>
  <c r="P105" i="26" s="1"/>
  <c r="P104" i="26"/>
  <c r="O121" i="35"/>
  <c r="O117" i="35"/>
  <c r="P116" i="35"/>
  <c r="B121" i="38"/>
  <c r="A126" i="38"/>
  <c r="A122" i="38"/>
  <c r="D13" i="24"/>
  <c r="F13" i="24" s="1"/>
  <c r="H13" i="24"/>
  <c r="I13" i="24" s="1"/>
  <c r="H47" i="44"/>
  <c r="A126" i="49"/>
  <c r="A122" i="49"/>
  <c r="B121" i="49"/>
  <c r="AJ109" i="42"/>
  <c r="AJ110" i="42"/>
  <c r="X87" i="27"/>
  <c r="P103" i="43"/>
  <c r="Q103" i="43" s="1"/>
  <c r="O104" i="43"/>
  <c r="A114" i="29"/>
  <c r="B113" i="29"/>
  <c r="K94" i="35"/>
  <c r="L95" i="35"/>
  <c r="G92" i="35"/>
  <c r="K95" i="35"/>
  <c r="L94" i="35"/>
  <c r="D92" i="35"/>
  <c r="O109" i="29"/>
  <c r="P108" i="29"/>
  <c r="Q108" i="29" s="1"/>
  <c r="AC124" i="40"/>
  <c r="AD124" i="40" s="1"/>
  <c r="AD123" i="40"/>
  <c r="AC128" i="40"/>
  <c r="H9" i="20"/>
  <c r="I9" i="20" s="1"/>
  <c r="D9" i="20"/>
  <c r="F9" i="20" s="1"/>
  <c r="AC114" i="36"/>
  <c r="AD114" i="36" s="1"/>
  <c r="AD113" i="36"/>
  <c r="AC118" i="36"/>
  <c r="AA105" i="48"/>
  <c r="AO105" i="48" s="1"/>
  <c r="AP105" i="48" s="1"/>
  <c r="W105" i="48"/>
  <c r="AA104" i="48"/>
  <c r="AO104" i="48" s="1"/>
  <c r="AP104" i="48" s="1"/>
  <c r="W104" i="48"/>
  <c r="AC109" i="29"/>
  <c r="AD109" i="29" s="1"/>
  <c r="AD108" i="29"/>
  <c r="AC113" i="29"/>
  <c r="V34" i="43"/>
  <c r="V35" i="43" s="1"/>
  <c r="X35" i="43" s="1"/>
  <c r="AB35" i="43" s="1"/>
  <c r="T34" i="43"/>
  <c r="T35" i="43" s="1"/>
  <c r="X34" i="43" s="1"/>
  <c r="AB34" i="43" s="1"/>
  <c r="X105" i="59"/>
  <c r="R107" i="59"/>
  <c r="O129" i="32"/>
  <c r="P128" i="32"/>
  <c r="Q128" i="32" s="1"/>
  <c r="M100" i="32"/>
  <c r="I100" i="32"/>
  <c r="G99" i="32"/>
  <c r="I99" i="32"/>
  <c r="M99" i="32"/>
  <c r="A114" i="40"/>
  <c r="B113" i="40"/>
  <c r="AE75" i="50"/>
  <c r="AI74" i="50" s="1"/>
  <c r="L94" i="47"/>
  <c r="D92" i="47"/>
  <c r="L95" i="47"/>
  <c r="K95" i="47"/>
  <c r="K94" i="47"/>
  <c r="G92" i="47"/>
  <c r="V57" i="46"/>
  <c r="T57" i="46"/>
  <c r="AG58" i="46"/>
  <c r="AC113" i="47"/>
  <c r="AC109" i="47"/>
  <c r="AD109" i="47" s="1"/>
  <c r="AD108" i="47"/>
  <c r="M100" i="35"/>
  <c r="I100" i="35"/>
  <c r="G99" i="35"/>
  <c r="M99" i="35"/>
  <c r="I99" i="35"/>
  <c r="B121" i="34"/>
  <c r="A126" i="34"/>
  <c r="A122" i="34"/>
  <c r="Y7" i="53"/>
  <c r="X6" i="53" s="1"/>
  <c r="R94" i="47"/>
  <c r="X92" i="47"/>
  <c r="L94" i="34"/>
  <c r="D92" i="34"/>
  <c r="K94" i="34"/>
  <c r="L95" i="34"/>
  <c r="G92" i="34"/>
  <c r="K95" i="34"/>
  <c r="H57" i="46"/>
  <c r="J59" i="48"/>
  <c r="J60" i="48"/>
  <c r="AA100" i="50"/>
  <c r="AO100" i="50" s="1"/>
  <c r="W100" i="50"/>
  <c r="AA99" i="50"/>
  <c r="AO99" i="50" s="1"/>
  <c r="W99" i="50"/>
  <c r="X87" i="39"/>
  <c r="F4" i="16"/>
  <c r="Y95" i="38"/>
  <c r="Y94" i="38"/>
  <c r="Z95" i="38"/>
  <c r="Z94" i="38"/>
  <c r="R92" i="38"/>
  <c r="AA105" i="42"/>
  <c r="AO105" i="42" s="1"/>
  <c r="AP105" i="42" s="1"/>
  <c r="W105" i="42"/>
  <c r="AA104" i="42"/>
  <c r="AO104" i="42" s="1"/>
  <c r="AP104" i="42" s="1"/>
  <c r="W104" i="42"/>
  <c r="A105" i="37"/>
  <c r="B105" i="37" s="1"/>
  <c r="B104" i="37"/>
  <c r="V59" i="48"/>
  <c r="V60" i="48" s="1"/>
  <c r="T59" i="48"/>
  <c r="T60" i="48" s="1"/>
  <c r="X59" i="48" s="1"/>
  <c r="A109" i="39"/>
  <c r="B108" i="39"/>
  <c r="O108" i="33"/>
  <c r="P107" i="33"/>
  <c r="G93" i="48"/>
  <c r="D93" i="48"/>
  <c r="F93" i="48" s="1"/>
  <c r="C92" i="48"/>
  <c r="AC114" i="27"/>
  <c r="AD114" i="27" s="1"/>
  <c r="AD113" i="27"/>
  <c r="AC118" i="27"/>
  <c r="AG4" i="17"/>
  <c r="AG73" i="49"/>
  <c r="O112" i="31"/>
  <c r="P111" i="31"/>
  <c r="O116" i="31"/>
  <c r="B117" i="42"/>
  <c r="A118" i="42"/>
  <c r="O100" i="27"/>
  <c r="P100" i="27" s="1"/>
  <c r="P99" i="27"/>
  <c r="P112" i="42"/>
  <c r="O113" i="42"/>
  <c r="X87" i="44"/>
  <c r="O108" i="40"/>
  <c r="P107" i="40"/>
  <c r="AK40" i="45"/>
  <c r="AM40" i="45" s="1"/>
  <c r="AS40" i="45" s="1"/>
  <c r="Z40" i="45"/>
  <c r="L45" i="45"/>
  <c r="AJ110" i="37"/>
  <c r="AJ109" i="37"/>
  <c r="K89" i="46"/>
  <c r="G87" i="46"/>
  <c r="K90" i="46"/>
  <c r="M99" i="27"/>
  <c r="I99" i="27"/>
  <c r="M100" i="27"/>
  <c r="I100" i="27"/>
  <c r="G99" i="27"/>
  <c r="K95" i="33"/>
  <c r="L94" i="33"/>
  <c r="D92" i="33"/>
  <c r="K94" i="33"/>
  <c r="L95" i="33"/>
  <c r="G92" i="33"/>
  <c r="AL104" i="38"/>
  <c r="AH104" i="38"/>
  <c r="AL105" i="38"/>
  <c r="AH105" i="38"/>
  <c r="AI102" i="38"/>
  <c r="O108" i="50"/>
  <c r="P107" i="50"/>
  <c r="A110" i="29"/>
  <c r="B110" i="29" s="1"/>
  <c r="B109" i="29"/>
  <c r="V52" i="45"/>
  <c r="T52" i="45"/>
  <c r="AI107" i="34"/>
  <c r="AL109" i="34"/>
  <c r="AH109" i="34"/>
  <c r="AL110" i="34"/>
  <c r="AH110" i="34"/>
  <c r="AC109" i="35"/>
  <c r="AD109" i="35" s="1"/>
  <c r="AD108" i="35"/>
  <c r="AC113" i="35"/>
  <c r="P107" i="43"/>
  <c r="O108" i="43"/>
  <c r="H12" i="23"/>
  <c r="I12" i="23" s="1"/>
  <c r="D12" i="23"/>
  <c r="F12" i="23" s="1"/>
  <c r="A109" i="30"/>
  <c r="B108" i="30"/>
  <c r="AA100" i="46"/>
  <c r="AO100" i="46" s="1"/>
  <c r="AP100" i="46" s="1"/>
  <c r="W100" i="46"/>
  <c r="AA99" i="46"/>
  <c r="AO99" i="46" s="1"/>
  <c r="AP99" i="46" s="1"/>
  <c r="W99" i="46"/>
  <c r="Y95" i="35"/>
  <c r="Y94" i="35"/>
  <c r="Z95" i="35"/>
  <c r="Z94" i="35"/>
  <c r="R92" i="35"/>
  <c r="M94" i="36"/>
  <c r="I94" i="36"/>
  <c r="M95" i="36"/>
  <c r="I95" i="36"/>
  <c r="G94" i="36"/>
  <c r="B112" i="45"/>
  <c r="A113" i="45"/>
  <c r="AE74" i="49"/>
  <c r="AG74" i="49" s="1"/>
  <c r="AE78" i="49"/>
  <c r="D74" i="49"/>
  <c r="R64" i="49"/>
  <c r="R73" i="49"/>
  <c r="D78" i="49"/>
  <c r="F74" i="50"/>
  <c r="J72" i="50"/>
  <c r="B121" i="32"/>
  <c r="A122" i="32"/>
  <c r="A126" i="32"/>
  <c r="X45" i="46"/>
  <c r="C97" i="29"/>
  <c r="G98" i="29"/>
  <c r="W100" i="39"/>
  <c r="AA99" i="39"/>
  <c r="AO99" i="39" s="1"/>
  <c r="AP99" i="39" s="1"/>
  <c r="W99" i="39"/>
  <c r="AA100" i="39"/>
  <c r="AO100" i="39" s="1"/>
  <c r="AP100" i="39" s="1"/>
  <c r="AI107" i="37"/>
  <c r="AL109" i="37"/>
  <c r="AH109" i="37"/>
  <c r="AL110" i="37"/>
  <c r="AH110" i="37"/>
  <c r="AI107" i="45"/>
  <c r="AL109" i="45"/>
  <c r="AH109" i="45"/>
  <c r="AL110" i="45"/>
  <c r="AH110" i="45"/>
  <c r="G6" i="19"/>
  <c r="Q99" i="36"/>
  <c r="Q97" i="36"/>
  <c r="O100" i="43"/>
  <c r="P100" i="43" s="1"/>
  <c r="P99" i="43"/>
  <c r="X92" i="36"/>
  <c r="R94" i="36"/>
  <c r="AA4" i="16"/>
  <c r="G87" i="43"/>
  <c r="K90" i="43"/>
  <c r="K89" i="43"/>
  <c r="P107" i="39"/>
  <c r="O108" i="39"/>
  <c r="Q113" i="59"/>
  <c r="Q111" i="59"/>
  <c r="AL8" i="61"/>
  <c r="C11" i="46"/>
  <c r="T13" i="46" s="1"/>
  <c r="V13" i="46" s="1"/>
  <c r="B8" i="18"/>
  <c r="AP8" i="18"/>
  <c r="P111" i="50"/>
  <c r="O116" i="50"/>
  <c r="O112" i="50"/>
  <c r="X87" i="40"/>
  <c r="AA105" i="29"/>
  <c r="AO105" i="29" s="1"/>
  <c r="AP105" i="29" s="1"/>
  <c r="W105" i="29"/>
  <c r="AA104" i="29"/>
  <c r="AO104" i="29" s="1"/>
  <c r="AP104" i="29" s="1"/>
  <c r="W104" i="29"/>
  <c r="C97" i="28"/>
  <c r="G98" i="28"/>
  <c r="N45" i="46"/>
  <c r="AQ45" i="46" s="1"/>
  <c r="AM7" i="61"/>
  <c r="AP7" i="17"/>
  <c r="B7" i="17"/>
  <c r="C12" i="47"/>
  <c r="AH3" i="47" s="1"/>
  <c r="G93" i="30"/>
  <c r="D93" i="30"/>
  <c r="F93" i="30" s="1"/>
  <c r="C92" i="30"/>
  <c r="V44" i="45"/>
  <c r="V45" i="45" s="1"/>
  <c r="T44" i="45"/>
  <c r="T45" i="45" s="1"/>
  <c r="X44" i="45" s="1"/>
  <c r="AG53" i="45"/>
  <c r="Y115" i="32"/>
  <c r="Y114" i="32"/>
  <c r="D93" i="46"/>
  <c r="F93" i="46" s="1"/>
  <c r="C92" i="46"/>
  <c r="G93" i="46"/>
  <c r="AG38" i="42"/>
  <c r="AL110" i="31"/>
  <c r="AH110" i="31"/>
  <c r="AI107" i="31"/>
  <c r="AL109" i="31"/>
  <c r="AH109" i="31"/>
  <c r="AA6" i="53"/>
  <c r="AG6" i="53" s="1"/>
  <c r="AJ105" i="35"/>
  <c r="AJ104" i="35"/>
  <c r="AG4" i="18"/>
  <c r="AC118" i="32"/>
  <c r="AC114" i="32"/>
  <c r="AD114" i="32" s="1"/>
  <c r="AD113" i="32"/>
  <c r="Q92" i="46"/>
  <c r="Q94" i="46"/>
  <c r="M94" i="43"/>
  <c r="I94" i="43"/>
  <c r="M95" i="43"/>
  <c r="I95" i="43"/>
  <c r="G94" i="43"/>
  <c r="X87" i="33"/>
  <c r="H93" i="38"/>
  <c r="A114" i="33"/>
  <c r="B113" i="33"/>
  <c r="D43" i="42"/>
  <c r="F43" i="42" s="1"/>
  <c r="H43" i="42" s="1"/>
  <c r="AE39" i="42"/>
  <c r="AG39" i="42" s="1"/>
  <c r="R34" i="42"/>
  <c r="AE43" i="42"/>
  <c r="D39" i="42"/>
  <c r="F39" i="42" s="1"/>
  <c r="H39" i="42" s="1"/>
  <c r="R38" i="42"/>
  <c r="R42" i="42"/>
  <c r="D47" i="42"/>
  <c r="P99" i="46"/>
  <c r="O100" i="46"/>
  <c r="P100" i="46" s="1"/>
  <c r="AL126" i="59"/>
  <c r="AL125" i="59"/>
  <c r="AC114" i="28"/>
  <c r="AD114" i="28" s="1"/>
  <c r="AD113" i="28"/>
  <c r="AC118" i="28"/>
  <c r="C92" i="36"/>
  <c r="G93" i="36"/>
  <c r="D93" i="36"/>
  <c r="F93" i="36" s="1"/>
  <c r="P111" i="46"/>
  <c r="O116" i="46"/>
  <c r="O112" i="46"/>
  <c r="H62" i="47"/>
  <c r="H5" i="16"/>
  <c r="I5" i="16" s="1"/>
  <c r="D5" i="16"/>
  <c r="F5" i="16" s="1"/>
  <c r="G5" i="16" s="1"/>
  <c r="O108" i="34"/>
  <c r="P107" i="34"/>
  <c r="P112" i="48"/>
  <c r="O113" i="48"/>
  <c r="B117" i="32"/>
  <c r="A118" i="32"/>
  <c r="C105" i="59"/>
  <c r="G106" i="59"/>
  <c r="D106" i="59"/>
  <c r="F106" i="59" s="1"/>
  <c r="O104" i="50"/>
  <c r="P103" i="50"/>
  <c r="Q103" i="50" s="1"/>
  <c r="P99" i="37"/>
  <c r="O100" i="37"/>
  <c r="P100" i="37" s="1"/>
  <c r="AL110" i="26"/>
  <c r="AH110" i="26"/>
  <c r="AI107" i="26"/>
  <c r="AL109" i="26"/>
  <c r="AH109" i="26"/>
  <c r="Y5" i="17"/>
  <c r="P103" i="31"/>
  <c r="Q103" i="31" s="1"/>
  <c r="O104" i="31"/>
  <c r="Y12" i="24"/>
  <c r="AJ130" i="46"/>
  <c r="AJ129" i="46"/>
  <c r="P112" i="29"/>
  <c r="O113" i="29"/>
  <c r="P108" i="42"/>
  <c r="Q108" i="42" s="1"/>
  <c r="O109" i="42"/>
  <c r="P134" i="59"/>
  <c r="O140" i="59"/>
  <c r="O135" i="59"/>
  <c r="Q94" i="44"/>
  <c r="Q92" i="44"/>
  <c r="V62" i="47"/>
  <c r="T62" i="47"/>
  <c r="F59" i="47"/>
  <c r="J57" i="47"/>
  <c r="R94" i="48"/>
  <c r="X92" i="48"/>
  <c r="D93" i="37"/>
  <c r="F93" i="37" s="1"/>
  <c r="C92" i="37"/>
  <c r="G93" i="37"/>
  <c r="H64" i="49"/>
  <c r="H65" i="49" s="1"/>
  <c r="J65" i="49" s="1"/>
  <c r="F65" i="49"/>
  <c r="J64" i="49" s="1"/>
  <c r="AV11" i="22"/>
  <c r="AC118" i="30"/>
  <c r="AC114" i="30"/>
  <c r="AD114" i="30" s="1"/>
  <c r="AD113" i="30"/>
  <c r="C97" i="33"/>
  <c r="G98" i="33"/>
  <c r="P112" i="30"/>
  <c r="O113" i="30"/>
  <c r="AF7" i="20"/>
  <c r="C97" i="47"/>
  <c r="G98" i="47"/>
  <c r="X92" i="29"/>
  <c r="R94" i="29"/>
  <c r="B112" i="26"/>
  <c r="A113" i="26"/>
  <c r="A110" i="32"/>
  <c r="B110" i="32" s="1"/>
  <c r="B109" i="32"/>
  <c r="AJ104" i="44"/>
  <c r="AJ105" i="44"/>
  <c r="C99" i="46"/>
  <c r="C98" i="46"/>
  <c r="O117" i="36"/>
  <c r="O121" i="36"/>
  <c r="P116" i="36"/>
  <c r="A109" i="48"/>
  <c r="B108" i="48"/>
  <c r="AG8" i="21"/>
  <c r="D8" i="53"/>
  <c r="F8" i="53" s="1"/>
  <c r="G8" i="53" s="1"/>
  <c r="H8" i="53"/>
  <c r="I8" i="53" s="1"/>
  <c r="AV8" i="19"/>
  <c r="B116" i="30"/>
  <c r="A121" i="30"/>
  <c r="A117" i="30"/>
  <c r="V43" i="44"/>
  <c r="T43" i="44"/>
  <c r="A105" i="46"/>
  <c r="B105" i="46" s="1"/>
  <c r="B104" i="46"/>
  <c r="C104" i="44"/>
  <c r="C103" i="44"/>
  <c r="M100" i="34"/>
  <c r="I100" i="34"/>
  <c r="G99" i="34"/>
  <c r="M99" i="34"/>
  <c r="I99" i="34"/>
  <c r="A105" i="39"/>
  <c r="B105" i="39" s="1"/>
  <c r="B104" i="39"/>
  <c r="A109" i="36"/>
  <c r="B108" i="36"/>
  <c r="B117" i="41"/>
  <c r="A118" i="41"/>
  <c r="AE79" i="50"/>
  <c r="AG79" i="50" s="1"/>
  <c r="AE83" i="50"/>
  <c r="R78" i="50"/>
  <c r="D79" i="50"/>
  <c r="F79" i="50" s="1"/>
  <c r="H79" i="50" s="1"/>
  <c r="T22" i="50"/>
  <c r="R74" i="50"/>
  <c r="AL104" i="41"/>
  <c r="AH104" i="41"/>
  <c r="AL105" i="41"/>
  <c r="AH105" i="41"/>
  <c r="AI102" i="41"/>
  <c r="AJ110" i="39"/>
  <c r="AJ109" i="39"/>
  <c r="AA6" i="19"/>
  <c r="X5" i="19"/>
  <c r="Y90" i="37"/>
  <c r="Y89" i="37"/>
  <c r="B116" i="39"/>
  <c r="A121" i="39"/>
  <c r="A117" i="39"/>
  <c r="AV10" i="21"/>
  <c r="AA105" i="26"/>
  <c r="AO105" i="26" s="1"/>
  <c r="AP105" i="26" s="1"/>
  <c r="W105" i="26"/>
  <c r="AA104" i="26"/>
  <c r="AO104" i="26" s="1"/>
  <c r="AP104" i="26" s="1"/>
  <c r="W104" i="26"/>
  <c r="AV13" i="24"/>
  <c r="A110" i="33"/>
  <c r="B110" i="33" s="1"/>
  <c r="B109" i="33"/>
  <c r="AL110" i="42"/>
  <c r="AH110" i="42"/>
  <c r="AI107" i="42"/>
  <c r="AL109" i="42"/>
  <c r="AH109" i="42"/>
  <c r="K89" i="37"/>
  <c r="G87" i="37"/>
  <c r="K90" i="37"/>
  <c r="AJ120" i="40"/>
  <c r="AJ119" i="40"/>
  <c r="AJ10" i="61"/>
  <c r="AP10" i="20"/>
  <c r="Y9" i="20" s="1"/>
  <c r="B10" i="20"/>
  <c r="C9" i="44"/>
  <c r="R49" i="44" s="1"/>
  <c r="B116" i="46"/>
  <c r="A117" i="46"/>
  <c r="A121" i="46"/>
  <c r="AJ109" i="36"/>
  <c r="AJ110" i="36"/>
  <c r="AJ105" i="29"/>
  <c r="AJ104" i="29"/>
  <c r="F47" i="43"/>
  <c r="AG43" i="43"/>
  <c r="A118" i="31"/>
  <c r="B117" i="31"/>
  <c r="A109" i="43"/>
  <c r="B108" i="43"/>
  <c r="O100" i="33"/>
  <c r="P100" i="33" s="1"/>
  <c r="P99" i="33"/>
  <c r="AA100" i="34"/>
  <c r="AO100" i="34" s="1"/>
  <c r="AP100" i="34" s="1"/>
  <c r="W100" i="34"/>
  <c r="AA99" i="34"/>
  <c r="AO99" i="34" s="1"/>
  <c r="AP99" i="34" s="1"/>
  <c r="W99" i="34"/>
  <c r="L94" i="40"/>
  <c r="D92" i="40"/>
  <c r="K94" i="40"/>
  <c r="L95" i="40"/>
  <c r="G92" i="40"/>
  <c r="K95" i="40"/>
  <c r="Q94" i="27"/>
  <c r="Q92" i="27"/>
  <c r="C104" i="31"/>
  <c r="C103" i="31"/>
  <c r="C97" i="35"/>
  <c r="G98" i="35"/>
  <c r="P108" i="30"/>
  <c r="Q108" i="30" s="1"/>
  <c r="O109" i="30"/>
  <c r="H93" i="34"/>
  <c r="O108" i="45"/>
  <c r="P107" i="45"/>
  <c r="P99" i="50"/>
  <c r="O100" i="50"/>
  <c r="P100" i="50" s="1"/>
  <c r="A140" i="59"/>
  <c r="B134" i="59"/>
  <c r="A135" i="59"/>
  <c r="A114" i="41"/>
  <c r="B113" i="41"/>
  <c r="X87" i="49"/>
  <c r="B117" i="50"/>
  <c r="A118" i="50"/>
  <c r="AA120" i="59"/>
  <c r="AQ120" i="59" s="1"/>
  <c r="AR120" i="59" s="1"/>
  <c r="AA119" i="59"/>
  <c r="AQ119" i="59" s="1"/>
  <c r="AR119" i="59" s="1"/>
  <c r="P108" i="48"/>
  <c r="Q108" i="48" s="1"/>
  <c r="O109" i="48"/>
  <c r="C103" i="35"/>
  <c r="C104" i="35"/>
  <c r="V63" i="48"/>
  <c r="T63" i="48"/>
  <c r="H44" i="45"/>
  <c r="H45" i="45" s="1"/>
  <c r="J45" i="45" s="1"/>
  <c r="F45" i="45"/>
  <c r="J44" i="45" s="1"/>
  <c r="AJ109" i="48"/>
  <c r="AJ110" i="48"/>
  <c r="M94" i="48"/>
  <c r="I94" i="48"/>
  <c r="M95" i="48"/>
  <c r="I95" i="48"/>
  <c r="G94" i="48"/>
  <c r="AJ109" i="27"/>
  <c r="AJ110" i="27"/>
  <c r="A114" i="49"/>
  <c r="B113" i="49"/>
  <c r="AA100" i="27"/>
  <c r="AO100" i="27" s="1"/>
  <c r="AP100" i="27" s="1"/>
  <c r="W100" i="27"/>
  <c r="AA99" i="27"/>
  <c r="AO99" i="27" s="1"/>
  <c r="AP99" i="27" s="1"/>
  <c r="W99" i="27"/>
  <c r="AA100" i="40"/>
  <c r="AO100" i="40" s="1"/>
  <c r="AP100" i="40" s="1"/>
  <c r="W100" i="40"/>
  <c r="AA99" i="40"/>
  <c r="AO99" i="40" s="1"/>
  <c r="AP99" i="40" s="1"/>
  <c r="W99" i="40"/>
  <c r="A110" i="44"/>
  <c r="B110" i="44" s="1"/>
  <c r="B109" i="44"/>
  <c r="P111" i="40"/>
  <c r="O116" i="40"/>
  <c r="O112" i="40"/>
  <c r="AG10" i="23"/>
  <c r="Y95" i="36"/>
  <c r="Y94" i="36"/>
  <c r="Z95" i="36"/>
  <c r="R92" i="36"/>
  <c r="Z94" i="36"/>
  <c r="O105" i="35"/>
  <c r="P105" i="35" s="1"/>
  <c r="P104" i="35"/>
  <c r="Q97" i="35"/>
  <c r="Q99" i="35"/>
  <c r="H7" i="18"/>
  <c r="I7" i="18" s="1"/>
  <c r="D7" i="18"/>
  <c r="F7" i="18" s="1"/>
  <c r="G7" i="18" s="1"/>
  <c r="AA105" i="30"/>
  <c r="AO105" i="30" s="1"/>
  <c r="AP105" i="30" s="1"/>
  <c r="W105" i="30"/>
  <c r="AA104" i="30"/>
  <c r="AO104" i="30" s="1"/>
  <c r="AP104" i="30" s="1"/>
  <c r="W104" i="30"/>
  <c r="T48" i="45"/>
  <c r="V48" i="45"/>
  <c r="V50" i="45" s="1"/>
  <c r="F42" i="42"/>
  <c r="O105" i="38"/>
  <c r="P105" i="38" s="1"/>
  <c r="P104" i="38"/>
  <c r="Q97" i="41"/>
  <c r="Q99" i="41"/>
  <c r="P111" i="37"/>
  <c r="O116" i="37"/>
  <c r="O112" i="37"/>
  <c r="AI107" i="32"/>
  <c r="AL109" i="32"/>
  <c r="AH109" i="32"/>
  <c r="AL110" i="32"/>
  <c r="AH110" i="32"/>
  <c r="Y90" i="33"/>
  <c r="Y89" i="33"/>
  <c r="M99" i="44"/>
  <c r="I99" i="44"/>
  <c r="M100" i="44"/>
  <c r="I100" i="44"/>
  <c r="G99" i="44"/>
  <c r="AG78" i="50"/>
  <c r="O104" i="45"/>
  <c r="P103" i="45"/>
  <c r="Q103" i="45" s="1"/>
  <c r="Y90" i="43"/>
  <c r="Y89" i="43"/>
  <c r="A114" i="50"/>
  <c r="B113" i="50"/>
  <c r="A110" i="42"/>
  <c r="B110" i="42" s="1"/>
  <c r="B109" i="42"/>
  <c r="A114" i="32"/>
  <c r="B113" i="32"/>
  <c r="AC109" i="38"/>
  <c r="AD109" i="38" s="1"/>
  <c r="AD108" i="38"/>
  <c r="AC113" i="38"/>
  <c r="R63" i="47"/>
  <c r="AE64" i="47"/>
  <c r="AG64" i="47" s="1"/>
  <c r="R59" i="47"/>
  <c r="AE68" i="47"/>
  <c r="D64" i="47"/>
  <c r="Y90" i="40"/>
  <c r="Y89" i="40"/>
  <c r="C99" i="26"/>
  <c r="C98" i="26"/>
  <c r="O105" i="29"/>
  <c r="P105" i="29" s="1"/>
  <c r="P104" i="29"/>
  <c r="M100" i="28"/>
  <c r="I100" i="28"/>
  <c r="G99" i="28"/>
  <c r="M99" i="28"/>
  <c r="I99" i="28"/>
  <c r="X87" i="50"/>
  <c r="H6" i="17"/>
  <c r="I6" i="17" s="1"/>
  <c r="D6" i="17"/>
  <c r="M94" i="30"/>
  <c r="I94" i="30"/>
  <c r="M95" i="30"/>
  <c r="I95" i="30"/>
  <c r="G94" i="30"/>
  <c r="C99" i="45"/>
  <c r="C98" i="45"/>
  <c r="F49" i="45"/>
  <c r="J47" i="45"/>
  <c r="AA100" i="28"/>
  <c r="AO100" i="28" s="1"/>
  <c r="AP100" i="28" s="1"/>
  <c r="W100" i="28"/>
  <c r="AA99" i="28"/>
  <c r="AO99" i="28" s="1"/>
  <c r="AP99" i="28" s="1"/>
  <c r="W99" i="28"/>
  <c r="AC114" i="34"/>
  <c r="AD114" i="34" s="1"/>
  <c r="AD113" i="34"/>
  <c r="AC118" i="34"/>
  <c r="M95" i="46"/>
  <c r="I95" i="46"/>
  <c r="G94" i="46"/>
  <c r="M94" i="46"/>
  <c r="I94" i="46"/>
  <c r="F38" i="42"/>
  <c r="Q92" i="28"/>
  <c r="Q94" i="28"/>
  <c r="A109" i="26"/>
  <c r="B108" i="26"/>
  <c r="AL104" i="35"/>
  <c r="AH104" i="35"/>
  <c r="AL105" i="35"/>
  <c r="AH105" i="35"/>
  <c r="AI102" i="35"/>
  <c r="A105" i="30"/>
  <c r="B105" i="30" s="1"/>
  <c r="B104" i="30"/>
  <c r="V82" i="50"/>
  <c r="T82" i="50"/>
  <c r="O112" i="43"/>
  <c r="P111" i="43"/>
  <c r="O116" i="43"/>
  <c r="G4" i="17"/>
  <c r="P103" i="49"/>
  <c r="Q103" i="49" s="1"/>
  <c r="O104" i="49"/>
  <c r="B117" i="35"/>
  <c r="A118" i="35"/>
  <c r="Q99" i="47"/>
  <c r="Q97" i="47"/>
  <c r="L94" i="28"/>
  <c r="D92" i="28"/>
  <c r="K94" i="28"/>
  <c r="L95" i="28"/>
  <c r="G92" i="28"/>
  <c r="K95" i="28"/>
  <c r="AC114" i="33"/>
  <c r="AD114" i="33" s="1"/>
  <c r="AD113" i="33"/>
  <c r="AC118" i="33"/>
  <c r="O108" i="28"/>
  <c r="P107" i="28"/>
  <c r="A114" i="34"/>
  <c r="B113" i="34"/>
  <c r="AG13" i="61"/>
  <c r="C6" i="41"/>
  <c r="B13" i="23"/>
  <c r="AP13" i="23"/>
  <c r="Q92" i="40"/>
  <c r="Q94" i="40"/>
  <c r="H73" i="49"/>
  <c r="AN125" i="59"/>
  <c r="AJ125" i="59"/>
  <c r="AN126" i="59"/>
  <c r="AJ126" i="59"/>
  <c r="AK123" i="59"/>
  <c r="O104" i="40"/>
  <c r="P103" i="40"/>
  <c r="Q103" i="40" s="1"/>
  <c r="AJ110" i="28"/>
  <c r="AJ109" i="28"/>
  <c r="Q92" i="34"/>
  <c r="Q94" i="34"/>
  <c r="Q92" i="49"/>
  <c r="Q94" i="49"/>
  <c r="P112" i="26"/>
  <c r="O113" i="26"/>
  <c r="P104" i="47"/>
  <c r="O105" i="47"/>
  <c r="P105" i="47" s="1"/>
  <c r="AA105" i="41"/>
  <c r="AO105" i="41" s="1"/>
  <c r="AP105" i="41" s="1"/>
  <c r="W105" i="41"/>
  <c r="AA104" i="41"/>
  <c r="AO104" i="41" s="1"/>
  <c r="AP104" i="41" s="1"/>
  <c r="W104" i="41"/>
  <c r="Q99" i="42"/>
  <c r="Q97" i="42"/>
  <c r="C97" i="40"/>
  <c r="G98" i="40"/>
  <c r="F87" i="50"/>
  <c r="A113" i="36"/>
  <c r="B112" i="36"/>
  <c r="A121" i="45"/>
  <c r="A117" i="45"/>
  <c r="B116" i="45"/>
  <c r="AN6" i="61"/>
  <c r="B6" i="16"/>
  <c r="AP6" i="16"/>
  <c r="Y5" i="16" s="1"/>
  <c r="C13" i="48"/>
  <c r="AH4" i="48" s="1"/>
  <c r="AJ4" i="48" s="1"/>
  <c r="AL4" i="48" s="1"/>
  <c r="AJ4" i="50"/>
  <c r="V64" i="50"/>
  <c r="V65" i="50" s="1"/>
  <c r="T64" i="50"/>
  <c r="T65" i="50" s="1"/>
  <c r="X64" i="50" s="1"/>
  <c r="P111" i="34"/>
  <c r="O116" i="34"/>
  <c r="O112" i="34"/>
  <c r="O108" i="44"/>
  <c r="P107" i="44"/>
  <c r="A114" i="44"/>
  <c r="B113" i="44"/>
  <c r="O108" i="27"/>
  <c r="P107" i="27"/>
  <c r="I102" i="59"/>
  <c r="G99" i="59"/>
  <c r="K101" i="59"/>
  <c r="K102" i="59"/>
  <c r="I101" i="59"/>
  <c r="A110" i="38"/>
  <c r="B110" i="38" s="1"/>
  <c r="B109" i="38"/>
  <c r="Y6" i="18"/>
  <c r="P103" i="33"/>
  <c r="Q103" i="33" s="1"/>
  <c r="O104" i="33"/>
  <c r="C99" i="30"/>
  <c r="C98" i="30"/>
  <c r="AC118" i="26"/>
  <c r="AC114" i="26"/>
  <c r="AD114" i="26" s="1"/>
  <c r="AD113" i="26"/>
  <c r="A118" i="27"/>
  <c r="B117" i="27"/>
  <c r="Z95" i="26"/>
  <c r="Z94" i="26"/>
  <c r="R92" i="26"/>
  <c r="Y95" i="26"/>
  <c r="Y94" i="26"/>
  <c r="AI127" i="46"/>
  <c r="AL129" i="46"/>
  <c r="AH129" i="46"/>
  <c r="AH130" i="46"/>
  <c r="AL130" i="46"/>
  <c r="G87" i="39"/>
  <c r="K90" i="39"/>
  <c r="K89" i="39"/>
  <c r="O121" i="29"/>
  <c r="O117" i="29"/>
  <c r="P116" i="29"/>
  <c r="A110" i="40"/>
  <c r="B110" i="40" s="1"/>
  <c r="B109" i="40"/>
  <c r="F77" i="48"/>
  <c r="Y11" i="23"/>
  <c r="B112" i="43"/>
  <c r="A113" i="43"/>
  <c r="M95" i="37"/>
  <c r="I95" i="37"/>
  <c r="G94" i="37"/>
  <c r="M94" i="37"/>
  <c r="I94" i="37"/>
  <c r="AH12" i="61"/>
  <c r="C7" i="42"/>
  <c r="B12" i="22"/>
  <c r="AP12" i="22"/>
  <c r="Y11" i="22" s="1"/>
  <c r="P132" i="32"/>
  <c r="O133" i="32"/>
  <c r="M99" i="33"/>
  <c r="I99" i="33"/>
  <c r="M100" i="33"/>
  <c r="I100" i="33"/>
  <c r="G99" i="33"/>
  <c r="O105" i="36"/>
  <c r="P105" i="36" s="1"/>
  <c r="P104" i="36"/>
  <c r="A110" i="28"/>
  <c r="B110" i="28" s="1"/>
  <c r="B109" i="28"/>
  <c r="AC114" i="50"/>
  <c r="AD114" i="50" s="1"/>
  <c r="AD113" i="50"/>
  <c r="AC118" i="50"/>
  <c r="C99" i="37"/>
  <c r="C98" i="37"/>
  <c r="M100" i="47"/>
  <c r="I99" i="47"/>
  <c r="M99" i="47"/>
  <c r="G99" i="47"/>
  <c r="I100" i="47"/>
  <c r="Y95" i="29"/>
  <c r="Y94" i="29"/>
  <c r="Z95" i="29"/>
  <c r="Z94" i="29"/>
  <c r="R92" i="29"/>
  <c r="B116" i="26"/>
  <c r="A121" i="26"/>
  <c r="A117" i="26"/>
  <c r="AL105" i="44"/>
  <c r="AH105" i="44"/>
  <c r="AI102" i="44"/>
  <c r="AL104" i="44"/>
  <c r="AH104" i="44"/>
  <c r="C104" i="47"/>
  <c r="C103" i="47"/>
  <c r="P112" i="36"/>
  <c r="O113" i="36"/>
  <c r="X8" i="21"/>
  <c r="AE59" i="46"/>
  <c r="AG59" i="46" s="1"/>
  <c r="AE63" i="46"/>
  <c r="R58" i="46"/>
  <c r="R54" i="46"/>
  <c r="D59" i="46"/>
  <c r="F59" i="46" s="1"/>
  <c r="H59" i="46" s="1"/>
  <c r="D63" i="46"/>
  <c r="F63" i="46" s="1"/>
  <c r="H63" i="46" s="1"/>
  <c r="R62" i="46"/>
  <c r="AK9" i="61"/>
  <c r="AP9" i="53"/>
  <c r="B9" i="19"/>
  <c r="C10" i="45"/>
  <c r="AP9" i="19"/>
  <c r="B9" i="53"/>
  <c r="K95" i="44"/>
  <c r="L94" i="44"/>
  <c r="D92" i="44"/>
  <c r="K94" i="44"/>
  <c r="L95" i="44"/>
  <c r="G92" i="44"/>
  <c r="V39" i="44"/>
  <c r="V40" i="44" s="1"/>
  <c r="T39" i="44"/>
  <c r="T40" i="44" s="1"/>
  <c r="X39" i="44" s="1"/>
  <c r="AG48" i="44"/>
  <c r="C104" i="42"/>
  <c r="C103" i="42"/>
  <c r="O104" i="46"/>
  <c r="P103" i="46"/>
  <c r="Q103" i="46" s="1"/>
  <c r="Q94" i="39"/>
  <c r="Q92" i="39"/>
  <c r="AC114" i="49"/>
  <c r="AD114" i="49" s="1"/>
  <c r="AD113" i="49"/>
  <c r="AC118" i="49"/>
  <c r="B124" i="59"/>
  <c r="A125" i="59"/>
  <c r="AG60" i="47"/>
  <c r="B117" i="28"/>
  <c r="A118" i="28"/>
  <c r="B121" i="41"/>
  <c r="A126" i="41"/>
  <c r="A122" i="41"/>
  <c r="AV4" i="15"/>
  <c r="O104" i="34"/>
  <c r="P103" i="34"/>
  <c r="Q103" i="34" s="1"/>
  <c r="A110" i="27"/>
  <c r="B110" i="27" s="1"/>
  <c r="B109" i="27"/>
  <c r="M100" i="41"/>
  <c r="I100" i="41"/>
  <c r="G99" i="41"/>
  <c r="M99" i="41"/>
  <c r="I99" i="41"/>
  <c r="X87" i="28"/>
  <c r="AL110" i="39"/>
  <c r="AI107" i="39"/>
  <c r="AH109" i="39"/>
  <c r="AL109" i="39"/>
  <c r="AH110" i="39"/>
  <c r="X92" i="41"/>
  <c r="R94" i="41"/>
  <c r="AI11" i="61"/>
  <c r="B11" i="21"/>
  <c r="AP11" i="21"/>
  <c r="Y10" i="21" s="1"/>
  <c r="C8" i="43"/>
  <c r="C99" i="48"/>
  <c r="C98" i="48"/>
  <c r="G93" i="26"/>
  <c r="D93" i="26"/>
  <c r="F93" i="26" s="1"/>
  <c r="C92" i="26"/>
  <c r="AF14" i="61"/>
  <c r="B14" i="24"/>
  <c r="AP14" i="24"/>
  <c r="C5" i="40"/>
  <c r="K95" i="31"/>
  <c r="L94" i="31"/>
  <c r="D92" i="31"/>
  <c r="K94" i="31"/>
  <c r="L95" i="31"/>
  <c r="G92" i="31"/>
  <c r="AC118" i="42"/>
  <c r="AC114" i="42"/>
  <c r="AD114" i="42" s="1"/>
  <c r="AD113" i="42"/>
  <c r="B112" i="37"/>
  <c r="A113" i="37"/>
  <c r="W125" i="32"/>
  <c r="AA124" i="32"/>
  <c r="AO124" i="32" s="1"/>
  <c r="AP124" i="32" s="1"/>
  <c r="W124" i="32"/>
  <c r="AA125" i="32"/>
  <c r="AO125" i="32" s="1"/>
  <c r="AP125" i="32" s="1"/>
  <c r="Q94" i="31"/>
  <c r="Q92" i="31"/>
  <c r="P108" i="36"/>
  <c r="Q108" i="36" s="1"/>
  <c r="O109" i="36"/>
  <c r="AI117" i="40"/>
  <c r="AL119" i="40"/>
  <c r="AH119" i="40"/>
  <c r="AL120" i="40"/>
  <c r="AH120" i="40"/>
  <c r="AV9" i="20"/>
  <c r="B112" i="48"/>
  <c r="A113" i="48"/>
  <c r="O100" i="44"/>
  <c r="P100" i="44" s="1"/>
  <c r="P99" i="44"/>
  <c r="B112" i="46"/>
  <c r="A113" i="46"/>
  <c r="AL110" i="36"/>
  <c r="AH110" i="36"/>
  <c r="AL109" i="36"/>
  <c r="AH109" i="36"/>
  <c r="AI107" i="36"/>
  <c r="O125" i="59"/>
  <c r="P124" i="59"/>
  <c r="Q124" i="59" s="1"/>
  <c r="AL104" i="29"/>
  <c r="AH104" i="29"/>
  <c r="AL105" i="29"/>
  <c r="AH105" i="29"/>
  <c r="AI102" i="29"/>
  <c r="V42" i="43"/>
  <c r="T42" i="43"/>
  <c r="T38" i="43"/>
  <c r="V38" i="43"/>
  <c r="Z95" i="30"/>
  <c r="Z94" i="30"/>
  <c r="R92" i="30"/>
  <c r="Y95" i="30"/>
  <c r="Y94" i="30"/>
  <c r="A126" i="31"/>
  <c r="A122" i="31"/>
  <c r="B121" i="31"/>
  <c r="AG10" i="24"/>
  <c r="AA100" i="45"/>
  <c r="AO100" i="45" s="1"/>
  <c r="AP100" i="45" s="1"/>
  <c r="W100" i="45"/>
  <c r="AA99" i="45"/>
  <c r="AO99" i="45" s="1"/>
  <c r="AP99" i="45" s="1"/>
  <c r="W99" i="45"/>
  <c r="K94" i="29"/>
  <c r="L95" i="29"/>
  <c r="G92" i="29"/>
  <c r="K95" i="29"/>
  <c r="L94" i="29"/>
  <c r="D92" i="29"/>
  <c r="AA100" i="33"/>
  <c r="AO100" i="33" s="1"/>
  <c r="AP100" i="33" s="1"/>
  <c r="W100" i="33"/>
  <c r="AA99" i="33"/>
  <c r="AO99" i="33" s="1"/>
  <c r="AP99" i="33" s="1"/>
  <c r="W99" i="33"/>
  <c r="A105" i="45"/>
  <c r="B105" i="45" s="1"/>
  <c r="B104" i="45"/>
  <c r="P99" i="34"/>
  <c r="O100" i="34"/>
  <c r="P100" i="34" s="1"/>
  <c r="C103" i="29"/>
  <c r="C104" i="29"/>
  <c r="H93" i="40"/>
  <c r="F54" i="46"/>
  <c r="J52" i="46"/>
  <c r="AJ105" i="47"/>
  <c r="AJ104" i="47"/>
  <c r="C104" i="27"/>
  <c r="C103" i="27"/>
  <c r="AE55" i="46"/>
  <c r="AI54" i="46" s="1"/>
  <c r="L95" i="49"/>
  <c r="G92" i="49"/>
  <c r="K94" i="49"/>
  <c r="D92" i="49"/>
  <c r="K95" i="49"/>
  <c r="L94" i="49"/>
  <c r="P108" i="26"/>
  <c r="Q108" i="26" s="1"/>
  <c r="O109" i="26"/>
  <c r="AI60" i="48"/>
  <c r="AM60" i="48" s="1"/>
  <c r="AS60" i="48" s="1"/>
  <c r="X87" i="34"/>
  <c r="O116" i="45"/>
  <c r="P111" i="45"/>
  <c r="O112" i="45"/>
  <c r="B129" i="59"/>
  <c r="A130" i="59"/>
  <c r="Y90" i="49"/>
  <c r="Y89" i="49"/>
  <c r="P103" i="44"/>
  <c r="Q103" i="44" s="1"/>
  <c r="O104" i="44"/>
  <c r="P103" i="27"/>
  <c r="Q103" i="27" s="1"/>
  <c r="O104" i="27"/>
  <c r="B121" i="50"/>
  <c r="A126" i="50"/>
  <c r="A122" i="50"/>
  <c r="O120" i="59"/>
  <c r="P120" i="59" s="1"/>
  <c r="P119" i="59"/>
  <c r="X87" i="46"/>
  <c r="L95" i="32"/>
  <c r="G92" i="32"/>
  <c r="L94" i="32"/>
  <c r="D92" i="32"/>
  <c r="K94" i="32"/>
  <c r="K95" i="32"/>
  <c r="G98" i="49"/>
  <c r="C97" i="49"/>
  <c r="F73" i="48"/>
  <c r="AG68" i="48"/>
  <c r="AE70" i="48"/>
  <c r="AI69" i="48" s="1"/>
  <c r="O112" i="33"/>
  <c r="P111" i="33"/>
  <c r="O116" i="33"/>
  <c r="AL110" i="48"/>
  <c r="AH110" i="48"/>
  <c r="AI107" i="48"/>
  <c r="AL109" i="48"/>
  <c r="AH109" i="48"/>
  <c r="AL110" i="27"/>
  <c r="AH110" i="27"/>
  <c r="AI107" i="27"/>
  <c r="AL109" i="27"/>
  <c r="AH109" i="27"/>
  <c r="F69" i="49"/>
  <c r="J67" i="49"/>
  <c r="C97" i="50"/>
  <c r="G98" i="50"/>
  <c r="Q97" i="29"/>
  <c r="Q99" i="29"/>
  <c r="O108" i="31"/>
  <c r="P107" i="31"/>
  <c r="A114" i="38"/>
  <c r="B113" i="38"/>
  <c r="D93" i="45"/>
  <c r="F93" i="45" s="1"/>
  <c r="C92" i="45"/>
  <c r="G93" i="45"/>
  <c r="A110" i="34"/>
  <c r="B110" i="34" s="1"/>
  <c r="B109" i="34"/>
  <c r="AE45" i="44"/>
  <c r="AI44" i="44" s="1"/>
  <c r="A126" i="42"/>
  <c r="A122" i="42"/>
  <c r="B121" i="42"/>
  <c r="O121" i="42"/>
  <c r="O117" i="42"/>
  <c r="P116" i="42"/>
  <c r="P99" i="40"/>
  <c r="O100" i="40"/>
  <c r="P100" i="40" s="1"/>
  <c r="P116" i="47"/>
  <c r="O117" i="47"/>
  <c r="O121" i="47"/>
  <c r="A118" i="33"/>
  <c r="B117" i="33"/>
  <c r="P112" i="38"/>
  <c r="O113" i="38"/>
  <c r="A110" i="41"/>
  <c r="B110" i="41" s="1"/>
  <c r="B109" i="41"/>
  <c r="X9" i="22"/>
  <c r="Y8" i="19" l="1"/>
  <c r="J39" i="43"/>
  <c r="N39" i="43" s="1"/>
  <c r="AQ39" i="43" s="1"/>
  <c r="X20" i="49"/>
  <c r="L50" i="47"/>
  <c r="N50" i="47" s="1"/>
  <c r="AQ50" i="47" s="1"/>
  <c r="D102" i="66"/>
  <c r="L111" i="66"/>
  <c r="D47" i="66"/>
  <c r="L51" i="66"/>
  <c r="D25" i="66"/>
  <c r="L27" i="66"/>
  <c r="D50" i="65"/>
  <c r="A50" i="65" s="1"/>
  <c r="I50" i="66"/>
  <c r="J50" i="66"/>
  <c r="B50" i="65" s="1"/>
  <c r="B46" i="66"/>
  <c r="A46" i="66"/>
  <c r="D26" i="65"/>
  <c r="A26" i="65" s="1"/>
  <c r="I26" i="66"/>
  <c r="J26" i="66"/>
  <c r="B26" i="65" s="1"/>
  <c r="A24" i="66"/>
  <c r="B24" i="66"/>
  <c r="A65" i="66"/>
  <c r="B65" i="66"/>
  <c r="D66" i="66"/>
  <c r="L71" i="66"/>
  <c r="D28" i="65"/>
  <c r="I28" i="66"/>
  <c r="J28" i="66"/>
  <c r="B28" i="65" s="1"/>
  <c r="B26" i="66"/>
  <c r="A26" i="66"/>
  <c r="D27" i="66"/>
  <c r="L29" i="66"/>
  <c r="I70" i="66"/>
  <c r="J70" i="66"/>
  <c r="B70" i="65" s="1"/>
  <c r="D70" i="65"/>
  <c r="D52" i="66"/>
  <c r="L55" i="66"/>
  <c r="AH8" i="48"/>
  <c r="AJ8" i="48" s="1"/>
  <c r="D54" i="65"/>
  <c r="I54" i="66"/>
  <c r="J54" i="66"/>
  <c r="B54" i="65" s="1"/>
  <c r="V4" i="49"/>
  <c r="X4" i="49"/>
  <c r="AE34" i="59"/>
  <c r="AI34" i="59"/>
  <c r="B51" i="66"/>
  <c r="A51" i="66"/>
  <c r="D90" i="66"/>
  <c r="L95" i="66"/>
  <c r="X13" i="46"/>
  <c r="D14" i="66"/>
  <c r="L15" i="66"/>
  <c r="D34" i="65"/>
  <c r="A34" i="65" s="1"/>
  <c r="I34" i="66"/>
  <c r="J34" i="66"/>
  <c r="B34" i="65" s="1"/>
  <c r="D94" i="65"/>
  <c r="I94" i="66"/>
  <c r="J94" i="66"/>
  <c r="B94" i="65" s="1"/>
  <c r="D14" i="65"/>
  <c r="I14" i="66"/>
  <c r="J14" i="66"/>
  <c r="B14" i="65" s="1"/>
  <c r="X14" i="48"/>
  <c r="T20" i="47"/>
  <c r="T14" i="47"/>
  <c r="V14" i="47" s="1"/>
  <c r="D33" i="66"/>
  <c r="L35" i="66"/>
  <c r="T33" i="59"/>
  <c r="V33" i="59"/>
  <c r="B32" i="66"/>
  <c r="A32" i="66"/>
  <c r="B89" i="66"/>
  <c r="A89" i="66"/>
  <c r="B13" i="66"/>
  <c r="A13" i="66"/>
  <c r="X20" i="48"/>
  <c r="V20" i="48"/>
  <c r="N23" i="48"/>
  <c r="AA8" i="20"/>
  <c r="AR40" i="46"/>
  <c r="AT40" i="46" s="1"/>
  <c r="E6" i="46" s="1"/>
  <c r="Z50" i="46" s="1"/>
  <c r="AB50" i="46" s="1"/>
  <c r="AJ14" i="48"/>
  <c r="T21" i="48"/>
  <c r="V27" i="48"/>
  <c r="X27" i="48" s="1"/>
  <c r="T15" i="48"/>
  <c r="V3" i="48"/>
  <c r="X3" i="48"/>
  <c r="P14" i="47"/>
  <c r="L15" i="47"/>
  <c r="L17" i="47" s="1"/>
  <c r="N15" i="47"/>
  <c r="N17" i="47" s="1"/>
  <c r="X8" i="47"/>
  <c r="AL3" i="48"/>
  <c r="D72" i="46"/>
  <c r="F72" i="46" s="1"/>
  <c r="V8" i="46"/>
  <c r="J22" i="46"/>
  <c r="J15" i="46"/>
  <c r="T2" i="46"/>
  <c r="AJ3" i="47"/>
  <c r="V10" i="48"/>
  <c r="Z9" i="48" s="1"/>
  <c r="D67" i="45"/>
  <c r="F67" i="45" s="1"/>
  <c r="H67" i="45" s="1"/>
  <c r="V8" i="45"/>
  <c r="T2" i="45"/>
  <c r="T13" i="45"/>
  <c r="J22" i="45"/>
  <c r="J15" i="45"/>
  <c r="D77" i="47"/>
  <c r="F77" i="47" s="1"/>
  <c r="V26" i="47"/>
  <c r="V9" i="47"/>
  <c r="X9" i="47" s="1"/>
  <c r="T3" i="47"/>
  <c r="A13" i="65"/>
  <c r="X26" i="48"/>
  <c r="L22" i="47"/>
  <c r="L23" i="47" s="1"/>
  <c r="J23" i="47"/>
  <c r="N22" i="47" s="1"/>
  <c r="X10" i="48"/>
  <c r="P15" i="48"/>
  <c r="AL8" i="48"/>
  <c r="X2" i="47"/>
  <c r="V2" i="47"/>
  <c r="Z50" i="47"/>
  <c r="AB50" i="47" s="1"/>
  <c r="AR50" i="47" s="1"/>
  <c r="P15" i="49"/>
  <c r="N23" i="49"/>
  <c r="AK45" i="47"/>
  <c r="AM45" i="47" s="1"/>
  <c r="AS45" i="47" s="1"/>
  <c r="R69" i="49"/>
  <c r="T69" i="49" s="1"/>
  <c r="T70" i="49" s="1"/>
  <c r="X69" i="49" s="1"/>
  <c r="AH8" i="49"/>
  <c r="AJ14" i="49"/>
  <c r="T15" i="49"/>
  <c r="T21" i="49"/>
  <c r="V27" i="49"/>
  <c r="X27" i="49" s="1"/>
  <c r="AH4" i="49"/>
  <c r="X26" i="49"/>
  <c r="AL3" i="49"/>
  <c r="P16" i="49"/>
  <c r="N19" i="49" s="1"/>
  <c r="AL8" i="50"/>
  <c r="AJ8" i="50"/>
  <c r="X10" i="49"/>
  <c r="Z10" i="49" s="1"/>
  <c r="X3" i="49"/>
  <c r="X5" i="49" s="1"/>
  <c r="V3" i="49"/>
  <c r="V5" i="49" s="1"/>
  <c r="Z4" i="49" s="1"/>
  <c r="H15" i="25"/>
  <c r="I15" i="25" s="1"/>
  <c r="D15" i="25"/>
  <c r="F15" i="25" s="1"/>
  <c r="G15" i="25" s="1"/>
  <c r="AE16" i="61"/>
  <c r="C4" i="38"/>
  <c r="AP16" i="25"/>
  <c r="B16" i="25"/>
  <c r="D37" i="39"/>
  <c r="F37" i="39" s="1"/>
  <c r="H37" i="39" s="1"/>
  <c r="R32" i="39"/>
  <c r="AE33" i="39"/>
  <c r="AG33" i="39" s="1"/>
  <c r="G14" i="25"/>
  <c r="X12" i="25"/>
  <c r="AA13" i="25"/>
  <c r="AG13" i="25" s="1"/>
  <c r="AF13" i="25" s="1"/>
  <c r="V32" i="40"/>
  <c r="T32" i="40"/>
  <c r="AV15" i="25"/>
  <c r="Y14" i="25"/>
  <c r="T50" i="45"/>
  <c r="X49" i="45" s="1"/>
  <c r="T72" i="48"/>
  <c r="AT49" i="48"/>
  <c r="D8" i="48" s="1"/>
  <c r="AK54" i="48" s="1"/>
  <c r="AM54" i="48" s="1"/>
  <c r="AS54" i="48" s="1"/>
  <c r="L60" i="48"/>
  <c r="N60" i="48" s="1"/>
  <c r="AQ60" i="48" s="1"/>
  <c r="AK55" i="48"/>
  <c r="AM55" i="48" s="1"/>
  <c r="AS55" i="48" s="1"/>
  <c r="Z55" i="48"/>
  <c r="AB55" i="48" s="1"/>
  <c r="L59" i="48"/>
  <c r="N59" i="48" s="1"/>
  <c r="AQ59" i="48" s="1"/>
  <c r="V69" i="50"/>
  <c r="V70" i="50" s="1"/>
  <c r="T69" i="50"/>
  <c r="T70" i="50" s="1"/>
  <c r="X69" i="50" s="1"/>
  <c r="AG45" i="43"/>
  <c r="AG70" i="48"/>
  <c r="Y8" i="53"/>
  <c r="X7" i="53" s="1"/>
  <c r="R72" i="47"/>
  <c r="V72" i="47" s="1"/>
  <c r="N55" i="47"/>
  <c r="AQ55" i="47" s="1"/>
  <c r="D73" i="47"/>
  <c r="F73" i="47" s="1"/>
  <c r="H73" i="47" s="1"/>
  <c r="AE50" i="44"/>
  <c r="AI49" i="44" s="1"/>
  <c r="J37" i="42"/>
  <c r="AG50" i="44"/>
  <c r="N54" i="47"/>
  <c r="AQ54" i="47" s="1"/>
  <c r="AI50" i="45"/>
  <c r="X50" i="45"/>
  <c r="AT49" i="49"/>
  <c r="D8" i="49" s="1"/>
  <c r="AK54" i="49" s="1"/>
  <c r="AM54" i="49" s="1"/>
  <c r="AS54" i="49" s="1"/>
  <c r="Z55" i="49"/>
  <c r="AB55" i="49" s="1"/>
  <c r="L60" i="49"/>
  <c r="N60" i="49" s="1"/>
  <c r="AQ60" i="49" s="1"/>
  <c r="AK55" i="49"/>
  <c r="AM55" i="49" s="1"/>
  <c r="AS55" i="49" s="1"/>
  <c r="Z54" i="49"/>
  <c r="AB54" i="49" s="1"/>
  <c r="H69" i="49"/>
  <c r="H70" i="49" s="1"/>
  <c r="J70" i="49" s="1"/>
  <c r="F70" i="49"/>
  <c r="J69" i="49" s="1"/>
  <c r="R47" i="41"/>
  <c r="D52" i="41"/>
  <c r="F52" i="41" s="1"/>
  <c r="D68" i="46"/>
  <c r="F68" i="46" s="1"/>
  <c r="R67" i="46"/>
  <c r="R77" i="48"/>
  <c r="D82" i="48"/>
  <c r="F82" i="48" s="1"/>
  <c r="H82" i="48" s="1"/>
  <c r="H52" i="42"/>
  <c r="V67" i="47"/>
  <c r="T67" i="47"/>
  <c r="H54" i="46"/>
  <c r="H55" i="46" s="1"/>
  <c r="J55" i="46" s="1"/>
  <c r="F55" i="46"/>
  <c r="J54" i="46" s="1"/>
  <c r="R39" i="43"/>
  <c r="T39" i="43" s="1"/>
  <c r="T40" i="43" s="1"/>
  <c r="X39" i="43" s="1"/>
  <c r="D53" i="43"/>
  <c r="F53" i="43" s="1"/>
  <c r="D83" i="49"/>
  <c r="F83" i="49" s="1"/>
  <c r="D87" i="49"/>
  <c r="F87" i="49" s="1"/>
  <c r="H87" i="49" s="1"/>
  <c r="R82" i="49"/>
  <c r="R79" i="50"/>
  <c r="D88" i="50"/>
  <c r="F88" i="50" s="1"/>
  <c r="H88" i="50" s="1"/>
  <c r="T77" i="49"/>
  <c r="V77" i="49"/>
  <c r="V47" i="42"/>
  <c r="T47" i="42"/>
  <c r="H68" i="47"/>
  <c r="V49" i="44"/>
  <c r="T49" i="44"/>
  <c r="Z49" i="46"/>
  <c r="AB49" i="46" s="1"/>
  <c r="L54" i="46"/>
  <c r="J64" i="48"/>
  <c r="N44" i="45"/>
  <c r="AQ44" i="45" s="1"/>
  <c r="J65" i="48"/>
  <c r="AE55" i="45"/>
  <c r="AI54" i="45" s="1"/>
  <c r="AG80" i="50"/>
  <c r="AG55" i="45"/>
  <c r="AI60" i="47"/>
  <c r="AM60" i="47" s="1"/>
  <c r="AS60" i="47" s="1"/>
  <c r="AE80" i="50"/>
  <c r="AI79" i="50" s="1"/>
  <c r="AB40" i="45"/>
  <c r="AR39" i="45" s="1"/>
  <c r="N45" i="45"/>
  <c r="AQ45" i="45" s="1"/>
  <c r="H93" i="39"/>
  <c r="AI40" i="43"/>
  <c r="AR44" i="47"/>
  <c r="AT44" i="47" s="1"/>
  <c r="D7" i="47" s="1"/>
  <c r="AK49" i="47" s="1"/>
  <c r="AM49" i="47" s="1"/>
  <c r="AS49" i="47" s="1"/>
  <c r="AR45" i="47"/>
  <c r="L49" i="46"/>
  <c r="N49" i="46" s="1"/>
  <c r="AQ49" i="46" s="1"/>
  <c r="AK44" i="46"/>
  <c r="AM44" i="46" s="1"/>
  <c r="AS44" i="46" s="1"/>
  <c r="Z44" i="46"/>
  <c r="AB44" i="46" s="1"/>
  <c r="L50" i="46"/>
  <c r="N50" i="46" s="1"/>
  <c r="AQ50" i="46" s="1"/>
  <c r="AI65" i="48"/>
  <c r="H50" i="44"/>
  <c r="AI35" i="42"/>
  <c r="AM35" i="42" s="1"/>
  <c r="AS35" i="42" s="1"/>
  <c r="X65" i="50"/>
  <c r="AE45" i="43"/>
  <c r="AI44" i="43" s="1"/>
  <c r="H93" i="37"/>
  <c r="H93" i="46"/>
  <c r="H93" i="43"/>
  <c r="H93" i="30"/>
  <c r="Y7" i="18"/>
  <c r="AA7" i="18" s="1"/>
  <c r="AG7" i="18" s="1"/>
  <c r="H93" i="36"/>
  <c r="X40" i="44"/>
  <c r="AA8" i="19"/>
  <c r="AG8" i="19" s="1"/>
  <c r="AA5" i="16"/>
  <c r="AG5" i="16" s="1"/>
  <c r="X4" i="16"/>
  <c r="X60" i="48"/>
  <c r="AA10" i="21"/>
  <c r="X9" i="21"/>
  <c r="AA11" i="22"/>
  <c r="X10" i="22"/>
  <c r="R37" i="40"/>
  <c r="R33" i="40"/>
  <c r="AE38" i="40"/>
  <c r="D38" i="40"/>
  <c r="AE34" i="40"/>
  <c r="D42" i="40"/>
  <c r="P104" i="34"/>
  <c r="O105" i="34"/>
  <c r="P105" i="34" s="1"/>
  <c r="A119" i="28"/>
  <c r="B118" i="28"/>
  <c r="Z95" i="39"/>
  <c r="Z94" i="39"/>
  <c r="R92" i="39"/>
  <c r="Y95" i="39"/>
  <c r="Y94" i="39"/>
  <c r="D9" i="53"/>
  <c r="F9" i="53" s="1"/>
  <c r="G9" i="53" s="1"/>
  <c r="H9" i="53"/>
  <c r="I9" i="53" s="1"/>
  <c r="M100" i="37"/>
  <c r="I100" i="37"/>
  <c r="G99" i="37"/>
  <c r="M99" i="37"/>
  <c r="I99" i="37"/>
  <c r="H93" i="45"/>
  <c r="P108" i="31"/>
  <c r="Q108" i="31" s="1"/>
  <c r="O109" i="31"/>
  <c r="C108" i="41"/>
  <c r="C109" i="41"/>
  <c r="A119" i="33"/>
  <c r="B118" i="33"/>
  <c r="A123" i="42"/>
  <c r="B122" i="42"/>
  <c r="C109" i="34"/>
  <c r="C108" i="34"/>
  <c r="O117" i="33"/>
  <c r="P116" i="33"/>
  <c r="O121" i="33"/>
  <c r="B126" i="50"/>
  <c r="A131" i="50"/>
  <c r="A127" i="50"/>
  <c r="O105" i="44"/>
  <c r="P105" i="44" s="1"/>
  <c r="P104" i="44"/>
  <c r="M104" i="27"/>
  <c r="I104" i="27"/>
  <c r="M105" i="27"/>
  <c r="I105" i="27"/>
  <c r="G104" i="27"/>
  <c r="C104" i="45"/>
  <c r="C103" i="45"/>
  <c r="F92" i="29"/>
  <c r="AF10" i="24"/>
  <c r="AF11" i="24" s="1"/>
  <c r="P125" i="59"/>
  <c r="O126" i="59"/>
  <c r="P126" i="59" s="1"/>
  <c r="X92" i="31"/>
  <c r="R94" i="31"/>
  <c r="A114" i="37"/>
  <c r="B113" i="37"/>
  <c r="F92" i="31"/>
  <c r="H14" i="24"/>
  <c r="I14" i="24" s="1"/>
  <c r="D14" i="24"/>
  <c r="F14" i="24" s="1"/>
  <c r="G14" i="24" s="1"/>
  <c r="L95" i="26"/>
  <c r="G92" i="26"/>
  <c r="K95" i="26"/>
  <c r="L94" i="26"/>
  <c r="D92" i="26"/>
  <c r="K94" i="26"/>
  <c r="M99" i="48"/>
  <c r="I99" i="48"/>
  <c r="M100" i="48"/>
  <c r="I100" i="48"/>
  <c r="G99" i="48"/>
  <c r="H11" i="21"/>
  <c r="I11" i="21" s="1"/>
  <c r="D11" i="21"/>
  <c r="F11" i="21" s="1"/>
  <c r="G11" i="21" s="1"/>
  <c r="C109" i="27"/>
  <c r="C108" i="27"/>
  <c r="B126" i="41"/>
  <c r="A131" i="41"/>
  <c r="A127" i="41"/>
  <c r="AJ114" i="49"/>
  <c r="AJ115" i="49"/>
  <c r="AA105" i="46"/>
  <c r="AO105" i="46" s="1"/>
  <c r="AP105" i="46" s="1"/>
  <c r="W105" i="46"/>
  <c r="AA104" i="46"/>
  <c r="AO104" i="46" s="1"/>
  <c r="AP104" i="46" s="1"/>
  <c r="W104" i="46"/>
  <c r="AE59" i="45"/>
  <c r="AG59" i="45" s="1"/>
  <c r="AE63" i="45"/>
  <c r="R58" i="45"/>
  <c r="D59" i="45"/>
  <c r="F59" i="45" s="1"/>
  <c r="H59" i="45" s="1"/>
  <c r="R54" i="45"/>
  <c r="D63" i="45"/>
  <c r="F63" i="45" s="1"/>
  <c r="H63" i="45" s="1"/>
  <c r="R62" i="45"/>
  <c r="V54" i="46"/>
  <c r="V55" i="46" s="1"/>
  <c r="T54" i="46"/>
  <c r="T55" i="46" s="1"/>
  <c r="X54" i="46" s="1"/>
  <c r="C102" i="47"/>
  <c r="G103" i="47"/>
  <c r="B117" i="26"/>
  <c r="A118" i="26"/>
  <c r="V92" i="29"/>
  <c r="V95" i="29" s="1"/>
  <c r="T92" i="29"/>
  <c r="T95" i="29" s="1"/>
  <c r="X94" i="29" s="1"/>
  <c r="AB94" i="29" s="1"/>
  <c r="AJ115" i="50"/>
  <c r="AJ114" i="50"/>
  <c r="Q104" i="36"/>
  <c r="Q102" i="36"/>
  <c r="AH13" i="61"/>
  <c r="C7" i="41"/>
  <c r="AP13" i="22"/>
  <c r="Y12" i="22" s="1"/>
  <c r="B13" i="22"/>
  <c r="AA11" i="23"/>
  <c r="AG11" i="23" s="1"/>
  <c r="X10" i="23"/>
  <c r="H77" i="48"/>
  <c r="O126" i="29"/>
  <c r="O122" i="29"/>
  <c r="P121" i="29"/>
  <c r="V92" i="26"/>
  <c r="V95" i="26" s="1"/>
  <c r="T92" i="26"/>
  <c r="T95" i="26" s="1"/>
  <c r="X94" i="26" s="1"/>
  <c r="AB94" i="26" s="1"/>
  <c r="AJ114" i="26"/>
  <c r="AJ115" i="26"/>
  <c r="M99" i="30"/>
  <c r="I99" i="30"/>
  <c r="M100" i="30"/>
  <c r="I100" i="30"/>
  <c r="G99" i="30"/>
  <c r="C108" i="38"/>
  <c r="C109" i="38"/>
  <c r="O113" i="34"/>
  <c r="P112" i="34"/>
  <c r="AE74" i="48"/>
  <c r="AG74" i="48" s="1"/>
  <c r="R64" i="48"/>
  <c r="AE78" i="48"/>
  <c r="R73" i="48"/>
  <c r="D74" i="48"/>
  <c r="D78" i="48"/>
  <c r="A114" i="36"/>
  <c r="B113" i="36"/>
  <c r="X97" i="42"/>
  <c r="Q104" i="47"/>
  <c r="Q102" i="47"/>
  <c r="Y95" i="49"/>
  <c r="Z94" i="49"/>
  <c r="Z95" i="49"/>
  <c r="Y94" i="49"/>
  <c r="R92" i="49"/>
  <c r="X92" i="40"/>
  <c r="R94" i="40"/>
  <c r="AV13" i="23"/>
  <c r="AC119" i="33"/>
  <c r="AD119" i="33" s="1"/>
  <c r="AD118" i="33"/>
  <c r="AC123" i="33"/>
  <c r="O117" i="43"/>
  <c r="P116" i="43"/>
  <c r="O121" i="43"/>
  <c r="Z95" i="28"/>
  <c r="Z94" i="28"/>
  <c r="R92" i="28"/>
  <c r="Y95" i="28"/>
  <c r="Y94" i="28"/>
  <c r="C97" i="45"/>
  <c r="G98" i="45"/>
  <c r="Q102" i="29"/>
  <c r="Q104" i="29"/>
  <c r="G98" i="26"/>
  <c r="C97" i="26"/>
  <c r="AG68" i="47"/>
  <c r="AC114" i="38"/>
  <c r="AD114" i="38" s="1"/>
  <c r="AD113" i="38"/>
  <c r="AC118" i="38"/>
  <c r="X97" i="41"/>
  <c r="Q102" i="35"/>
  <c r="Q104" i="35"/>
  <c r="A115" i="49"/>
  <c r="B115" i="49" s="1"/>
  <c r="B114" i="49"/>
  <c r="O110" i="48"/>
  <c r="P110" i="48" s="1"/>
  <c r="P109" i="48"/>
  <c r="B135" i="59"/>
  <c r="A136" i="59"/>
  <c r="Q97" i="50"/>
  <c r="Q99" i="50"/>
  <c r="AA110" i="30"/>
  <c r="AO110" i="30" s="1"/>
  <c r="AP110" i="30" s="1"/>
  <c r="W110" i="30"/>
  <c r="AA109" i="30"/>
  <c r="AO109" i="30" s="1"/>
  <c r="AP109" i="30" s="1"/>
  <c r="W109" i="30"/>
  <c r="B109" i="43"/>
  <c r="A110" i="43"/>
  <c r="B110" i="43" s="1"/>
  <c r="AJ11" i="61"/>
  <c r="C9" i="43"/>
  <c r="AP11" i="20"/>
  <c r="Y10" i="20" s="1"/>
  <c r="B11" i="20"/>
  <c r="AG6" i="19"/>
  <c r="AG83" i="50"/>
  <c r="P117" i="36"/>
  <c r="O118" i="36"/>
  <c r="A114" i="26"/>
  <c r="B113" i="26"/>
  <c r="P113" i="30"/>
  <c r="Q113" i="30" s="1"/>
  <c r="O114" i="30"/>
  <c r="AL115" i="30"/>
  <c r="AH115" i="30"/>
  <c r="AI112" i="30"/>
  <c r="AL114" i="30"/>
  <c r="AH114" i="30"/>
  <c r="AA12" i="24"/>
  <c r="AA105" i="50"/>
  <c r="AO105" i="50" s="1"/>
  <c r="W105" i="50"/>
  <c r="AA104" i="50"/>
  <c r="AO104" i="50" s="1"/>
  <c r="W104" i="50"/>
  <c r="I107" i="59"/>
  <c r="I108" i="59"/>
  <c r="L107" i="59"/>
  <c r="G105" i="59"/>
  <c r="L108" i="59"/>
  <c r="K107" i="59"/>
  <c r="K108" i="59"/>
  <c r="D105" i="59"/>
  <c r="O109" i="34"/>
  <c r="P108" i="34"/>
  <c r="Q108" i="34" s="1"/>
  <c r="AI112" i="28"/>
  <c r="AL114" i="28"/>
  <c r="AH114" i="28"/>
  <c r="AL115" i="28"/>
  <c r="AH115" i="28"/>
  <c r="Q97" i="46"/>
  <c r="Q99" i="46"/>
  <c r="A115" i="33"/>
  <c r="B115" i="33" s="1"/>
  <c r="B114" i="33"/>
  <c r="X92" i="46"/>
  <c r="R94" i="46"/>
  <c r="AC123" i="32"/>
  <c r="AC119" i="32"/>
  <c r="AD119" i="32" s="1"/>
  <c r="AD118" i="32"/>
  <c r="L95" i="30"/>
  <c r="G92" i="30"/>
  <c r="K95" i="30"/>
  <c r="L94" i="30"/>
  <c r="D92" i="30"/>
  <c r="K94" i="30"/>
  <c r="AE69" i="47"/>
  <c r="AG69" i="47" s="1"/>
  <c r="R68" i="47"/>
  <c r="AE73" i="47"/>
  <c r="D69" i="47"/>
  <c r="K99" i="28"/>
  <c r="G97" i="28"/>
  <c r="K100" i="28"/>
  <c r="AL9" i="61"/>
  <c r="AP9" i="18"/>
  <c r="C11" i="45"/>
  <c r="AH3" i="45" s="1"/>
  <c r="AJ3" i="45" s="1"/>
  <c r="AL3" i="45" s="1"/>
  <c r="B9" i="18"/>
  <c r="W114" i="59"/>
  <c r="W113" i="59"/>
  <c r="Y114" i="59"/>
  <c r="Y113" i="59"/>
  <c r="AG4" i="16"/>
  <c r="B126" i="32"/>
  <c r="A127" i="32"/>
  <c r="A131" i="32"/>
  <c r="V73" i="49"/>
  <c r="T73" i="49"/>
  <c r="V92" i="35"/>
  <c r="V95" i="35" s="1"/>
  <c r="T92" i="35"/>
  <c r="T95" i="35" s="1"/>
  <c r="X94" i="35" s="1"/>
  <c r="AB94" i="35" s="1"/>
  <c r="G12" i="23"/>
  <c r="P108" i="43"/>
  <c r="Q108" i="43" s="1"/>
  <c r="O109" i="43"/>
  <c r="AL109" i="35"/>
  <c r="AH109" i="35"/>
  <c r="AL110" i="35"/>
  <c r="AH110" i="35"/>
  <c r="AI107" i="35"/>
  <c r="P113" i="42"/>
  <c r="Q113" i="42" s="1"/>
  <c r="O114" i="42"/>
  <c r="B118" i="42"/>
  <c r="A119" i="42"/>
  <c r="O113" i="31"/>
  <c r="P112" i="31"/>
  <c r="AG75" i="49"/>
  <c r="AC119" i="27"/>
  <c r="AD119" i="27" s="1"/>
  <c r="AD118" i="27"/>
  <c r="AC123" i="27"/>
  <c r="H93" i="48"/>
  <c r="G4" i="16"/>
  <c r="AA7" i="53"/>
  <c r="AG7" i="53" s="1"/>
  <c r="AC118" i="47"/>
  <c r="AC114" i="47"/>
  <c r="AD114" i="47" s="1"/>
  <c r="AD113" i="47"/>
  <c r="V107" i="59"/>
  <c r="T107" i="59"/>
  <c r="AJ114" i="36"/>
  <c r="AJ115" i="36"/>
  <c r="AC129" i="40"/>
  <c r="AD129" i="40" s="1"/>
  <c r="AD128" i="40"/>
  <c r="AC133" i="40"/>
  <c r="O110" i="29"/>
  <c r="P110" i="29" s="1"/>
  <c r="P109" i="29"/>
  <c r="A115" i="29"/>
  <c r="B115" i="29" s="1"/>
  <c r="B114" i="29"/>
  <c r="AA105" i="43"/>
  <c r="AO105" i="43" s="1"/>
  <c r="AP105" i="43" s="1"/>
  <c r="W105" i="43"/>
  <c r="AA104" i="43"/>
  <c r="AO104" i="43" s="1"/>
  <c r="AP104" i="43" s="1"/>
  <c r="W104" i="43"/>
  <c r="A123" i="49"/>
  <c r="B122" i="49"/>
  <c r="Q104" i="26"/>
  <c r="Q102" i="26"/>
  <c r="F57" i="44"/>
  <c r="V44" i="44"/>
  <c r="V45" i="44" s="1"/>
  <c r="T44" i="44"/>
  <c r="T45" i="44" s="1"/>
  <c r="X44" i="44" s="1"/>
  <c r="C118" i="59"/>
  <c r="C119" i="59"/>
  <c r="AA110" i="41"/>
  <c r="AO110" i="41" s="1"/>
  <c r="AP110" i="41" s="1"/>
  <c r="W110" i="41"/>
  <c r="AA109" i="41"/>
  <c r="AO109" i="41" s="1"/>
  <c r="AP109" i="41" s="1"/>
  <c r="W109" i="41"/>
  <c r="Z95" i="43"/>
  <c r="Z94" i="43"/>
  <c r="R92" i="43"/>
  <c r="Y95" i="43"/>
  <c r="Y94" i="43"/>
  <c r="AV5" i="15"/>
  <c r="M105" i="38"/>
  <c r="I105" i="38"/>
  <c r="G104" i="38"/>
  <c r="M104" i="38"/>
  <c r="I104" i="38"/>
  <c r="V94" i="42"/>
  <c r="T94" i="42"/>
  <c r="AE65" i="47"/>
  <c r="AI64" i="47" s="1"/>
  <c r="AA105" i="28"/>
  <c r="AO105" i="28" s="1"/>
  <c r="AP105" i="28" s="1"/>
  <c r="W105" i="28"/>
  <c r="AA104" i="28"/>
  <c r="AO104" i="28" s="1"/>
  <c r="AP104" i="28" s="1"/>
  <c r="W104" i="28"/>
  <c r="A115" i="35"/>
  <c r="B115" i="35" s="1"/>
  <c r="B114" i="35"/>
  <c r="B126" i="29"/>
  <c r="A131" i="29"/>
  <c r="A127" i="29"/>
  <c r="X97" i="26"/>
  <c r="C102" i="33"/>
  <c r="G103" i="33"/>
  <c r="AC139" i="46"/>
  <c r="AD139" i="46" s="1"/>
  <c r="AD138" i="46"/>
  <c r="AC143" i="46"/>
  <c r="R119" i="32"/>
  <c r="X117" i="32"/>
  <c r="F92" i="41"/>
  <c r="O122" i="26"/>
  <c r="P121" i="26"/>
  <c r="O126" i="26"/>
  <c r="L95" i="43"/>
  <c r="G92" i="43"/>
  <c r="K95" i="43"/>
  <c r="L94" i="43"/>
  <c r="D92" i="43"/>
  <c r="K94" i="43"/>
  <c r="Q99" i="39"/>
  <c r="Q97" i="39"/>
  <c r="P113" i="47"/>
  <c r="Q113" i="47" s="1"/>
  <c r="O114" i="47"/>
  <c r="AL115" i="48"/>
  <c r="AH115" i="48"/>
  <c r="AI112" i="48"/>
  <c r="AL114" i="48"/>
  <c r="AH114" i="48"/>
  <c r="A115" i="28"/>
  <c r="B115" i="28" s="1"/>
  <c r="B114" i="28"/>
  <c r="AI55" i="46"/>
  <c r="H62" i="46"/>
  <c r="C109" i="50"/>
  <c r="C108" i="50"/>
  <c r="G98" i="39"/>
  <c r="C97" i="39"/>
  <c r="V94" i="30"/>
  <c r="T94" i="30"/>
  <c r="Q104" i="48"/>
  <c r="Q102" i="48"/>
  <c r="F62" i="45"/>
  <c r="T53" i="45"/>
  <c r="V53" i="45"/>
  <c r="B121" i="37"/>
  <c r="A126" i="37"/>
  <c r="A122" i="37"/>
  <c r="X97" i="30"/>
  <c r="A119" i="49"/>
  <c r="B118" i="49"/>
  <c r="V33" i="41"/>
  <c r="T33" i="41"/>
  <c r="A119" i="38"/>
  <c r="B118" i="38"/>
  <c r="F10" i="21"/>
  <c r="M113" i="59"/>
  <c r="M114" i="59"/>
  <c r="G113" i="59"/>
  <c r="V92" i="41"/>
  <c r="V95" i="41" s="1"/>
  <c r="T92" i="41"/>
  <c r="T95" i="41" s="1"/>
  <c r="X94" i="41" s="1"/>
  <c r="AB94" i="41" s="1"/>
  <c r="G6" i="18"/>
  <c r="AL115" i="39"/>
  <c r="AI112" i="39"/>
  <c r="AH114" i="39"/>
  <c r="AL114" i="39"/>
  <c r="AH115" i="39"/>
  <c r="AC114" i="41"/>
  <c r="AD114" i="41" s="1"/>
  <c r="AD113" i="41"/>
  <c r="AC118" i="41"/>
  <c r="AV4" i="14"/>
  <c r="AP5" i="61"/>
  <c r="B5" i="14"/>
  <c r="C15" i="49"/>
  <c r="R87" i="49" s="1"/>
  <c r="V87" i="49" s="1"/>
  <c r="AP5" i="14"/>
  <c r="H44" i="44"/>
  <c r="H45" i="44" s="1"/>
  <c r="F45" i="44"/>
  <c r="J44" i="44" s="1"/>
  <c r="A115" i="31"/>
  <c r="B115" i="31" s="1"/>
  <c r="B114" i="31"/>
  <c r="C102" i="49"/>
  <c r="G103" i="49"/>
  <c r="P117" i="30"/>
  <c r="O118" i="30"/>
  <c r="V39" i="43"/>
  <c r="V40" i="43" s="1"/>
  <c r="B117" i="43"/>
  <c r="A118" i="43"/>
  <c r="P112" i="49"/>
  <c r="O113" i="49"/>
  <c r="AA105" i="37"/>
  <c r="AO105" i="37" s="1"/>
  <c r="AP105" i="37" s="1"/>
  <c r="W105" i="37"/>
  <c r="AA104" i="37"/>
  <c r="AO104" i="37" s="1"/>
  <c r="AP104" i="37" s="1"/>
  <c r="W104" i="37"/>
  <c r="A119" i="29"/>
  <c r="B118" i="29"/>
  <c r="O122" i="48"/>
  <c r="P121" i="48"/>
  <c r="O126" i="48"/>
  <c r="A118" i="36"/>
  <c r="B117" i="36"/>
  <c r="Q102" i="41"/>
  <c r="Q104" i="41"/>
  <c r="AD136" i="59"/>
  <c r="AC142" i="59"/>
  <c r="AC137" i="59"/>
  <c r="AD137" i="59" s="1"/>
  <c r="G97" i="42"/>
  <c r="K100" i="42"/>
  <c r="K99" i="42"/>
  <c r="O113" i="28"/>
  <c r="P112" i="28"/>
  <c r="B126" i="35"/>
  <c r="A131" i="35"/>
  <c r="A127" i="35"/>
  <c r="O109" i="37"/>
  <c r="P108" i="37"/>
  <c r="Q108" i="37" s="1"/>
  <c r="A115" i="42"/>
  <c r="B115" i="42" s="1"/>
  <c r="B114" i="42"/>
  <c r="Q97" i="28"/>
  <c r="Q99" i="28"/>
  <c r="Q104" i="30"/>
  <c r="Q102" i="30"/>
  <c r="A123" i="44"/>
  <c r="B122" i="44"/>
  <c r="AC119" i="45"/>
  <c r="AD119" i="45" s="1"/>
  <c r="AD118" i="45"/>
  <c r="AC123" i="45"/>
  <c r="AC119" i="37"/>
  <c r="AD119" i="37" s="1"/>
  <c r="AD118" i="37"/>
  <c r="AC123" i="37"/>
  <c r="A119" i="44"/>
  <c r="B118" i="44"/>
  <c r="Q99" i="31"/>
  <c r="Q97" i="31"/>
  <c r="C102" i="41"/>
  <c r="G103" i="41"/>
  <c r="G7" i="53"/>
  <c r="Z95" i="37"/>
  <c r="Z94" i="37"/>
  <c r="R92" i="37"/>
  <c r="Y95" i="37"/>
  <c r="Y94" i="37"/>
  <c r="C102" i="34"/>
  <c r="G103" i="34"/>
  <c r="O126" i="42"/>
  <c r="O122" i="42"/>
  <c r="P121" i="42"/>
  <c r="K100" i="49"/>
  <c r="K99" i="49"/>
  <c r="G97" i="49"/>
  <c r="O105" i="27"/>
  <c r="P105" i="27" s="1"/>
  <c r="P104" i="27"/>
  <c r="O110" i="26"/>
  <c r="P110" i="26" s="1"/>
  <c r="P109" i="26"/>
  <c r="C102" i="29"/>
  <c r="G103" i="29"/>
  <c r="A123" i="31"/>
  <c r="B122" i="31"/>
  <c r="V92" i="30"/>
  <c r="V95" i="30" s="1"/>
  <c r="T92" i="30"/>
  <c r="T95" i="30" s="1"/>
  <c r="X94" i="30" s="1"/>
  <c r="AB94" i="30" s="1"/>
  <c r="AL115" i="42"/>
  <c r="AH115" i="42"/>
  <c r="AI112" i="42"/>
  <c r="AL114" i="42"/>
  <c r="AH114" i="42"/>
  <c r="O114" i="38"/>
  <c r="P113" i="38"/>
  <c r="Q113" i="38" s="1"/>
  <c r="P121" i="47"/>
  <c r="O122" i="47"/>
  <c r="O126" i="47"/>
  <c r="P117" i="42"/>
  <c r="O118" i="42"/>
  <c r="A131" i="42"/>
  <c r="A127" i="42"/>
  <c r="B126" i="42"/>
  <c r="A115" i="38"/>
  <c r="B115" i="38" s="1"/>
  <c r="B114" i="38"/>
  <c r="D97" i="50"/>
  <c r="K99" i="50"/>
  <c r="G97" i="50"/>
  <c r="K100" i="50"/>
  <c r="H73" i="48"/>
  <c r="F92" i="32"/>
  <c r="AA105" i="44"/>
  <c r="AO105" i="44" s="1"/>
  <c r="AP105" i="44" s="1"/>
  <c r="W105" i="44"/>
  <c r="AA104" i="44"/>
  <c r="AO104" i="44" s="1"/>
  <c r="AP104" i="44" s="1"/>
  <c r="W104" i="44"/>
  <c r="O113" i="45"/>
  <c r="P112" i="45"/>
  <c r="M105" i="29"/>
  <c r="I105" i="29"/>
  <c r="G104" i="29"/>
  <c r="M104" i="29"/>
  <c r="I104" i="29"/>
  <c r="Q99" i="44"/>
  <c r="Q97" i="44"/>
  <c r="A114" i="48"/>
  <c r="B113" i="48"/>
  <c r="O110" i="36"/>
  <c r="P110" i="36" s="1"/>
  <c r="P109" i="36"/>
  <c r="AJ114" i="42"/>
  <c r="AJ115" i="42"/>
  <c r="AF15" i="61"/>
  <c r="AP15" i="24"/>
  <c r="B15" i="24"/>
  <c r="C5" i="39"/>
  <c r="H93" i="26"/>
  <c r="AI12" i="61"/>
  <c r="B12" i="21"/>
  <c r="AP12" i="21"/>
  <c r="Y11" i="21" s="1"/>
  <c r="C8" i="42"/>
  <c r="T94" i="41"/>
  <c r="V94" i="41"/>
  <c r="AA105" i="34"/>
  <c r="AO105" i="34" s="1"/>
  <c r="AP105" i="34" s="1"/>
  <c r="W105" i="34"/>
  <c r="AA104" i="34"/>
  <c r="AO104" i="34" s="1"/>
  <c r="AP104" i="34" s="1"/>
  <c r="W104" i="34"/>
  <c r="A126" i="59"/>
  <c r="B126" i="59" s="1"/>
  <c r="B125" i="59"/>
  <c r="AL115" i="49"/>
  <c r="AH115" i="49"/>
  <c r="AL114" i="49"/>
  <c r="AH114" i="49"/>
  <c r="AI112" i="49"/>
  <c r="P104" i="46"/>
  <c r="O105" i="46"/>
  <c r="P105" i="46" s="1"/>
  <c r="G103" i="42"/>
  <c r="C102" i="42"/>
  <c r="H9" i="19"/>
  <c r="I9" i="19" s="1"/>
  <c r="D9" i="19"/>
  <c r="F9" i="19" s="1"/>
  <c r="G9" i="19" s="1"/>
  <c r="V62" i="46"/>
  <c r="T62" i="46"/>
  <c r="T58" i="46"/>
  <c r="V58" i="46"/>
  <c r="M105" i="47"/>
  <c r="I104" i="47"/>
  <c r="M104" i="47"/>
  <c r="G104" i="47"/>
  <c r="I105" i="47"/>
  <c r="B121" i="26"/>
  <c r="A126" i="26"/>
  <c r="A122" i="26"/>
  <c r="C97" i="37"/>
  <c r="G98" i="37"/>
  <c r="AI112" i="50"/>
  <c r="AL114" i="50"/>
  <c r="AH114" i="50"/>
  <c r="AL115" i="50"/>
  <c r="AH115" i="50"/>
  <c r="AV12" i="22"/>
  <c r="C109" i="40"/>
  <c r="C108" i="40"/>
  <c r="AL115" i="26"/>
  <c r="AH115" i="26"/>
  <c r="AI112" i="26"/>
  <c r="AL114" i="26"/>
  <c r="AH114" i="26"/>
  <c r="O105" i="33"/>
  <c r="P105" i="33" s="1"/>
  <c r="P104" i="33"/>
  <c r="A115" i="44"/>
  <c r="B115" i="44" s="1"/>
  <c r="B114" i="44"/>
  <c r="P116" i="34"/>
  <c r="O121" i="34"/>
  <c r="O117" i="34"/>
  <c r="AV6" i="16"/>
  <c r="B117" i="45"/>
  <c r="A118" i="45"/>
  <c r="K99" i="40"/>
  <c r="G97" i="40"/>
  <c r="K100" i="40"/>
  <c r="P113" i="26"/>
  <c r="Q113" i="26" s="1"/>
  <c r="O114" i="26"/>
  <c r="X92" i="34"/>
  <c r="R94" i="34"/>
  <c r="Z95" i="40"/>
  <c r="Z94" i="40"/>
  <c r="R92" i="40"/>
  <c r="Y95" i="40"/>
  <c r="Y94" i="40"/>
  <c r="H13" i="23"/>
  <c r="I13" i="23" s="1"/>
  <c r="D13" i="23"/>
  <c r="F13" i="23" s="1"/>
  <c r="G13" i="23" s="1"/>
  <c r="A115" i="34"/>
  <c r="B115" i="34" s="1"/>
  <c r="B114" i="34"/>
  <c r="O109" i="28"/>
  <c r="P108" i="28"/>
  <c r="Q108" i="28" s="1"/>
  <c r="AJ114" i="33"/>
  <c r="AJ115" i="33"/>
  <c r="Y99" i="47"/>
  <c r="Y100" i="47"/>
  <c r="O105" i="49"/>
  <c r="P105" i="49" s="1"/>
  <c r="P104" i="49"/>
  <c r="AC119" i="34"/>
  <c r="AD119" i="34" s="1"/>
  <c r="AD118" i="34"/>
  <c r="AC123" i="34"/>
  <c r="M100" i="45"/>
  <c r="I100" i="45"/>
  <c r="G99" i="45"/>
  <c r="M99" i="45"/>
  <c r="I99" i="45"/>
  <c r="M99" i="26"/>
  <c r="I99" i="26"/>
  <c r="M100" i="26"/>
  <c r="I100" i="26"/>
  <c r="G99" i="26"/>
  <c r="T59" i="47"/>
  <c r="T60" i="47" s="1"/>
  <c r="X59" i="47" s="1"/>
  <c r="V59" i="47"/>
  <c r="V60" i="47" s="1"/>
  <c r="AJ110" i="38"/>
  <c r="AJ109" i="38"/>
  <c r="A115" i="32"/>
  <c r="B115" i="32" s="1"/>
  <c r="B114" i="32"/>
  <c r="A115" i="50"/>
  <c r="B115" i="50" s="1"/>
  <c r="B114" i="50"/>
  <c r="AA105" i="45"/>
  <c r="AO105" i="45" s="1"/>
  <c r="AP105" i="45" s="1"/>
  <c r="W105" i="45"/>
  <c r="AA104" i="45"/>
  <c r="AO104" i="45" s="1"/>
  <c r="AP104" i="45" s="1"/>
  <c r="W104" i="45"/>
  <c r="O113" i="37"/>
  <c r="P112" i="37"/>
  <c r="Y100" i="41"/>
  <c r="Y99" i="41"/>
  <c r="H42" i="42"/>
  <c r="T92" i="36"/>
  <c r="T95" i="36" s="1"/>
  <c r="X94" i="36" s="1"/>
  <c r="AB94" i="36" s="1"/>
  <c r="V92" i="36"/>
  <c r="V95" i="36" s="1"/>
  <c r="O113" i="40"/>
  <c r="P112" i="40"/>
  <c r="C109" i="44"/>
  <c r="C108" i="44"/>
  <c r="AA110" i="48"/>
  <c r="AO110" i="48" s="1"/>
  <c r="AP110" i="48" s="1"/>
  <c r="W110" i="48"/>
  <c r="AA109" i="48"/>
  <c r="AO109" i="48" s="1"/>
  <c r="AP109" i="48" s="1"/>
  <c r="W109" i="48"/>
  <c r="A119" i="50"/>
  <c r="B118" i="50"/>
  <c r="AR35" i="43"/>
  <c r="AT35" i="43" s="1"/>
  <c r="E5" i="43" s="1"/>
  <c r="AR34" i="43"/>
  <c r="AT34" i="43" s="1"/>
  <c r="D5" i="43" s="1"/>
  <c r="C102" i="31"/>
  <c r="G103" i="31"/>
  <c r="Z95" i="27"/>
  <c r="Z94" i="27"/>
  <c r="R92" i="27"/>
  <c r="Y95" i="27"/>
  <c r="Y94" i="27"/>
  <c r="AE54" i="44"/>
  <c r="AG54" i="44" s="1"/>
  <c r="D54" i="44"/>
  <c r="R53" i="44"/>
  <c r="AE58" i="44"/>
  <c r="D58" i="44"/>
  <c r="F58" i="44" s="1"/>
  <c r="H58" i="44" s="1"/>
  <c r="R57" i="44"/>
  <c r="D62" i="44"/>
  <c r="B117" i="39"/>
  <c r="A118" i="39"/>
  <c r="V74" i="50"/>
  <c r="V75" i="50" s="1"/>
  <c r="T74" i="50"/>
  <c r="T75" i="50" s="1"/>
  <c r="X74" i="50" s="1"/>
  <c r="C104" i="39"/>
  <c r="C103" i="39"/>
  <c r="A110" i="48"/>
  <c r="B110" i="48" s="1"/>
  <c r="B109" i="48"/>
  <c r="C97" i="46"/>
  <c r="G98" i="46"/>
  <c r="AC123" i="30"/>
  <c r="AC119" i="30"/>
  <c r="AD119" i="30" s="1"/>
  <c r="AD118" i="30"/>
  <c r="V94" i="48"/>
  <c r="T94" i="48"/>
  <c r="O110" i="42"/>
  <c r="P110" i="42" s="1"/>
  <c r="P109" i="42"/>
  <c r="O114" i="29"/>
  <c r="P113" i="29"/>
  <c r="Q113" i="29" s="1"/>
  <c r="O105" i="31"/>
  <c r="P105" i="31" s="1"/>
  <c r="P104" i="31"/>
  <c r="P104" i="50"/>
  <c r="O105" i="50"/>
  <c r="P105" i="50" s="1"/>
  <c r="A119" i="32"/>
  <c r="B118" i="32"/>
  <c r="P113" i="48"/>
  <c r="Q113" i="48" s="1"/>
  <c r="O114" i="48"/>
  <c r="K95" i="36"/>
  <c r="K94" i="36"/>
  <c r="L95" i="36"/>
  <c r="G92" i="36"/>
  <c r="L94" i="36"/>
  <c r="D92" i="36"/>
  <c r="F47" i="42"/>
  <c r="AG43" i="42"/>
  <c r="Z95" i="46"/>
  <c r="Z94" i="46"/>
  <c r="R92" i="46"/>
  <c r="Y95" i="46"/>
  <c r="Y94" i="46"/>
  <c r="L94" i="46"/>
  <c r="D92" i="46"/>
  <c r="K94" i="46"/>
  <c r="L95" i="46"/>
  <c r="G92" i="46"/>
  <c r="K95" i="46"/>
  <c r="H7" i="17"/>
  <c r="I7" i="17" s="1"/>
  <c r="D7" i="17"/>
  <c r="F7" i="17" s="1"/>
  <c r="G7" i="17" s="1"/>
  <c r="O113" i="50"/>
  <c r="P112" i="50"/>
  <c r="AV8" i="18"/>
  <c r="X111" i="59"/>
  <c r="K99" i="29"/>
  <c r="G97" i="29"/>
  <c r="K100" i="29"/>
  <c r="B122" i="32"/>
  <c r="A123" i="32"/>
  <c r="V64" i="49"/>
  <c r="V65" i="49" s="1"/>
  <c r="T64" i="49"/>
  <c r="T65" i="49" s="1"/>
  <c r="X64" i="49" s="1"/>
  <c r="A114" i="45"/>
  <c r="B113" i="45"/>
  <c r="C108" i="29"/>
  <c r="C109" i="29"/>
  <c r="F92" i="33"/>
  <c r="O109" i="40"/>
  <c r="P108" i="40"/>
  <c r="Q108" i="40" s="1"/>
  <c r="AF4" i="17"/>
  <c r="AJ114" i="27"/>
  <c r="AJ115" i="27"/>
  <c r="A110" i="39"/>
  <c r="B110" i="39" s="1"/>
  <c r="B109" i="39"/>
  <c r="H60" i="46"/>
  <c r="V94" i="47"/>
  <c r="T94" i="47"/>
  <c r="B122" i="34"/>
  <c r="A123" i="34"/>
  <c r="AG60" i="46"/>
  <c r="F92" i="47"/>
  <c r="A115" i="40"/>
  <c r="B115" i="40" s="1"/>
  <c r="B114" i="40"/>
  <c r="W130" i="32"/>
  <c r="AA129" i="32"/>
  <c r="AO129" i="32" s="1"/>
  <c r="AP129" i="32" s="1"/>
  <c r="W129" i="32"/>
  <c r="AA130" i="32"/>
  <c r="AO130" i="32" s="1"/>
  <c r="AP130" i="32" s="1"/>
  <c r="AC114" i="29"/>
  <c r="AD114" i="29" s="1"/>
  <c r="AD113" i="29"/>
  <c r="AC118" i="29"/>
  <c r="AL115" i="36"/>
  <c r="AH115" i="36"/>
  <c r="AL114" i="36"/>
  <c r="AH114" i="36"/>
  <c r="AI112" i="36"/>
  <c r="AJ125" i="40"/>
  <c r="AJ124" i="40"/>
  <c r="F92" i="35"/>
  <c r="A131" i="49"/>
  <c r="A127" i="49"/>
  <c r="B126" i="49"/>
  <c r="G13" i="24"/>
  <c r="T52" i="44"/>
  <c r="V52" i="44"/>
  <c r="O110" i="41"/>
  <c r="P110" i="41" s="1"/>
  <c r="P109" i="41"/>
  <c r="R94" i="43"/>
  <c r="X92" i="43"/>
  <c r="AO6" i="61"/>
  <c r="B6" i="15"/>
  <c r="C14" i="48"/>
  <c r="T22" i="48" s="1"/>
  <c r="AP6" i="15"/>
  <c r="C102" i="38"/>
  <c r="G103" i="38"/>
  <c r="A114" i="30"/>
  <c r="B113" i="30"/>
  <c r="F8" i="19"/>
  <c r="AC114" i="44"/>
  <c r="AD114" i="44" s="1"/>
  <c r="AD113" i="44"/>
  <c r="AC118" i="44"/>
  <c r="A110" i="37"/>
  <c r="B110" i="37" s="1"/>
  <c r="B109" i="37"/>
  <c r="B122" i="40"/>
  <c r="A123" i="40"/>
  <c r="H72" i="47"/>
  <c r="P104" i="28"/>
  <c r="O105" i="28"/>
  <c r="P105" i="28" s="1"/>
  <c r="O131" i="59"/>
  <c r="P130" i="59"/>
  <c r="Q130" i="59" s="1"/>
  <c r="P108" i="49"/>
  <c r="Q108" i="49" s="1"/>
  <c r="O109" i="49"/>
  <c r="M104" i="33"/>
  <c r="I104" i="33"/>
  <c r="M105" i="33"/>
  <c r="I105" i="33"/>
  <c r="G104" i="33"/>
  <c r="AJ135" i="46"/>
  <c r="AJ134" i="46"/>
  <c r="Z120" i="32"/>
  <c r="Z119" i="32"/>
  <c r="R117" i="32"/>
  <c r="Y120" i="32"/>
  <c r="Y119" i="32"/>
  <c r="G98" i="43"/>
  <c r="C97" i="43"/>
  <c r="Q99" i="49"/>
  <c r="Q97" i="49"/>
  <c r="O113" i="44"/>
  <c r="P112" i="44"/>
  <c r="C109" i="31"/>
  <c r="C108" i="31"/>
  <c r="C102" i="50"/>
  <c r="G103" i="50"/>
  <c r="A123" i="33"/>
  <c r="B122" i="33"/>
  <c r="AC123" i="48"/>
  <c r="AC119" i="48"/>
  <c r="AD119" i="48" s="1"/>
  <c r="AD118" i="48"/>
  <c r="Q104" i="42"/>
  <c r="Q102" i="42"/>
  <c r="A119" i="34"/>
  <c r="B118" i="34"/>
  <c r="AI75" i="50"/>
  <c r="V105" i="59"/>
  <c r="V108" i="59" s="1"/>
  <c r="T105" i="59"/>
  <c r="T108" i="59" s="1"/>
  <c r="X107" i="59" s="1"/>
  <c r="AB107" i="59" s="1"/>
  <c r="I100" i="39"/>
  <c r="M99" i="39"/>
  <c r="I99" i="39"/>
  <c r="M100" i="39"/>
  <c r="G99" i="39"/>
  <c r="B117" i="48"/>
  <c r="A118" i="48"/>
  <c r="V57" i="45"/>
  <c r="T57" i="45"/>
  <c r="AG58" i="45"/>
  <c r="C104" i="43"/>
  <c r="C103" i="43"/>
  <c r="J47" i="44"/>
  <c r="AG38" i="41"/>
  <c r="C111" i="59"/>
  <c r="G112" i="59"/>
  <c r="AC123" i="39"/>
  <c r="AC119" i="39"/>
  <c r="AD119" i="39" s="1"/>
  <c r="AD118" i="39"/>
  <c r="K99" i="41"/>
  <c r="G97" i="41"/>
  <c r="K100" i="41"/>
  <c r="AJ110" i="41"/>
  <c r="AJ109" i="41"/>
  <c r="H4" i="14"/>
  <c r="I4" i="14" s="1"/>
  <c r="D4" i="14"/>
  <c r="B122" i="28"/>
  <c r="A123" i="28"/>
  <c r="K100" i="31"/>
  <c r="K99" i="31"/>
  <c r="G97" i="31"/>
  <c r="Y100" i="48"/>
  <c r="Y99" i="48"/>
  <c r="A119" i="40"/>
  <c r="B118" i="40"/>
  <c r="F44" i="43"/>
  <c r="J42" i="43"/>
  <c r="B121" i="43"/>
  <c r="A126" i="43"/>
  <c r="A122" i="43"/>
  <c r="X55" i="47"/>
  <c r="A110" i="46"/>
  <c r="B110" i="46" s="1"/>
  <c r="B109" i="46"/>
  <c r="P104" i="37"/>
  <c r="O105" i="37"/>
  <c r="P105" i="37" s="1"/>
  <c r="F92" i="27"/>
  <c r="V94" i="26"/>
  <c r="T94" i="26"/>
  <c r="A123" i="27"/>
  <c r="B122" i="27"/>
  <c r="A126" i="36"/>
  <c r="A122" i="36"/>
  <c r="B121" i="36"/>
  <c r="K100" i="44"/>
  <c r="K99" i="44"/>
  <c r="G97" i="44"/>
  <c r="T94" i="35"/>
  <c r="V94" i="35"/>
  <c r="AL132" i="59"/>
  <c r="AL131" i="59"/>
  <c r="AA110" i="38"/>
  <c r="AO110" i="38" s="1"/>
  <c r="AP110" i="38" s="1"/>
  <c r="W110" i="38"/>
  <c r="AA109" i="38"/>
  <c r="AO109" i="38" s="1"/>
  <c r="AP109" i="38" s="1"/>
  <c r="W109" i="38"/>
  <c r="P116" i="28"/>
  <c r="O121" i="28"/>
  <c r="O117" i="28"/>
  <c r="Z95" i="33"/>
  <c r="Z94" i="33"/>
  <c r="R92" i="33"/>
  <c r="Y95" i="33"/>
  <c r="Y94" i="33"/>
  <c r="AC119" i="31"/>
  <c r="AD119" i="31" s="1"/>
  <c r="AD118" i="31"/>
  <c r="AC123" i="31"/>
  <c r="C102" i="28"/>
  <c r="G103" i="28"/>
  <c r="F69" i="48"/>
  <c r="J67" i="48"/>
  <c r="A131" i="44"/>
  <c r="A127" i="44"/>
  <c r="B126" i="44"/>
  <c r="L95" i="39"/>
  <c r="G92" i="39"/>
  <c r="K95" i="39"/>
  <c r="L94" i="39"/>
  <c r="D92" i="39"/>
  <c r="K94" i="39"/>
  <c r="K100" i="27"/>
  <c r="K99" i="27"/>
  <c r="G97" i="27"/>
  <c r="AJ115" i="45"/>
  <c r="AJ114" i="45"/>
  <c r="AJ115" i="37"/>
  <c r="AJ114" i="37"/>
  <c r="X92" i="45"/>
  <c r="R94" i="45"/>
  <c r="O113" i="27"/>
  <c r="P112" i="27"/>
  <c r="M105" i="34"/>
  <c r="I105" i="34"/>
  <c r="G104" i="34"/>
  <c r="M104" i="34"/>
  <c r="I104" i="34"/>
  <c r="H12" i="22"/>
  <c r="I12" i="22" s="1"/>
  <c r="D12" i="22"/>
  <c r="F12" i="22" s="1"/>
  <c r="G12" i="22" s="1"/>
  <c r="A114" i="43"/>
  <c r="B113" i="43"/>
  <c r="AC123" i="26"/>
  <c r="AC119" i="26"/>
  <c r="AD119" i="26" s="1"/>
  <c r="AD118" i="26"/>
  <c r="AA105" i="33"/>
  <c r="AO105" i="33" s="1"/>
  <c r="AP105" i="33" s="1"/>
  <c r="W105" i="33"/>
  <c r="AA104" i="33"/>
  <c r="AO104" i="33" s="1"/>
  <c r="AP104" i="33" s="1"/>
  <c r="W104" i="33"/>
  <c r="AL4" i="50"/>
  <c r="H6" i="16"/>
  <c r="I6" i="16" s="1"/>
  <c r="D6" i="16"/>
  <c r="F6" i="16" s="1"/>
  <c r="G6" i="16" s="1"/>
  <c r="A126" i="45"/>
  <c r="A122" i="45"/>
  <c r="B121" i="45"/>
  <c r="H87" i="50"/>
  <c r="Z95" i="34"/>
  <c r="Z94" i="34"/>
  <c r="R92" i="34"/>
  <c r="Y95" i="34"/>
  <c r="Y94" i="34"/>
  <c r="AA105" i="40"/>
  <c r="AO105" i="40" s="1"/>
  <c r="AP105" i="40" s="1"/>
  <c r="W105" i="40"/>
  <c r="AA104" i="40"/>
  <c r="AO104" i="40" s="1"/>
  <c r="AP104" i="40" s="1"/>
  <c r="W104" i="40"/>
  <c r="AE43" i="41"/>
  <c r="AE39" i="41"/>
  <c r="AG39" i="41" s="1"/>
  <c r="R34" i="41"/>
  <c r="D39" i="41"/>
  <c r="F39" i="41" s="1"/>
  <c r="H39" i="41" s="1"/>
  <c r="R42" i="41"/>
  <c r="D43" i="41"/>
  <c r="F43" i="41" s="1"/>
  <c r="H43" i="41" s="1"/>
  <c r="R38" i="41"/>
  <c r="D47" i="41"/>
  <c r="AL115" i="33"/>
  <c r="AH115" i="33"/>
  <c r="AI112" i="33"/>
  <c r="AL114" i="33"/>
  <c r="AH114" i="33"/>
  <c r="X97" i="47"/>
  <c r="AA105" i="49"/>
  <c r="AO105" i="49" s="1"/>
  <c r="AP105" i="49" s="1"/>
  <c r="W105" i="49"/>
  <c r="AA104" i="49"/>
  <c r="AO104" i="49" s="1"/>
  <c r="AP104" i="49" s="1"/>
  <c r="W104" i="49"/>
  <c r="P112" i="43"/>
  <c r="O113" i="43"/>
  <c r="C104" i="30"/>
  <c r="C103" i="30"/>
  <c r="A110" i="26"/>
  <c r="B110" i="26" s="1"/>
  <c r="B109" i="26"/>
  <c r="H38" i="42"/>
  <c r="H40" i="42" s="1"/>
  <c r="F40" i="42"/>
  <c r="AJ115" i="34"/>
  <c r="AJ114" i="34"/>
  <c r="F6" i="17"/>
  <c r="AL109" i="38"/>
  <c r="AH109" i="38"/>
  <c r="AL110" i="38"/>
  <c r="AH110" i="38"/>
  <c r="AI107" i="38"/>
  <c r="P104" i="45"/>
  <c r="O105" i="45"/>
  <c r="P105" i="45" s="1"/>
  <c r="P116" i="37"/>
  <c r="O121" i="37"/>
  <c r="O117" i="37"/>
  <c r="Q102" i="38"/>
  <c r="Q104" i="38"/>
  <c r="X97" i="35"/>
  <c r="AF10" i="23"/>
  <c r="P116" i="40"/>
  <c r="O121" i="40"/>
  <c r="O117" i="40"/>
  <c r="M105" i="35"/>
  <c r="I105" i="35"/>
  <c r="G104" i="35"/>
  <c r="M104" i="35"/>
  <c r="I104" i="35"/>
  <c r="A141" i="59"/>
  <c r="A146" i="59"/>
  <c r="B140" i="59"/>
  <c r="O109" i="45"/>
  <c r="P108" i="45"/>
  <c r="Q108" i="45" s="1"/>
  <c r="K99" i="35"/>
  <c r="G97" i="35"/>
  <c r="K100" i="35"/>
  <c r="M104" i="31"/>
  <c r="I104" i="31"/>
  <c r="M105" i="31"/>
  <c r="I105" i="31"/>
  <c r="G104" i="31"/>
  <c r="X92" i="27"/>
  <c r="R94" i="27"/>
  <c r="Q99" i="33"/>
  <c r="Q97" i="33"/>
  <c r="H47" i="43"/>
  <c r="B121" i="46"/>
  <c r="A122" i="46"/>
  <c r="A126" i="46"/>
  <c r="H10" i="20"/>
  <c r="I10" i="20" s="1"/>
  <c r="D10" i="20"/>
  <c r="C109" i="33"/>
  <c r="C108" i="33"/>
  <c r="B121" i="39"/>
  <c r="A126" i="39"/>
  <c r="A122" i="39"/>
  <c r="T78" i="50"/>
  <c r="V78" i="50"/>
  <c r="A119" i="41"/>
  <c r="B118" i="41"/>
  <c r="C102" i="44"/>
  <c r="G103" i="44"/>
  <c r="B117" i="30"/>
  <c r="A118" i="30"/>
  <c r="M100" i="46"/>
  <c r="I100" i="46"/>
  <c r="G99" i="46"/>
  <c r="M99" i="46"/>
  <c r="I99" i="46"/>
  <c r="K100" i="47"/>
  <c r="K99" i="47"/>
  <c r="G97" i="47"/>
  <c r="L94" i="37"/>
  <c r="D92" i="37"/>
  <c r="K94" i="37"/>
  <c r="L95" i="37"/>
  <c r="G92" i="37"/>
  <c r="K95" i="37"/>
  <c r="Z95" i="44"/>
  <c r="Z94" i="44"/>
  <c r="R92" i="44"/>
  <c r="Y95" i="44"/>
  <c r="Y94" i="44"/>
  <c r="O136" i="59"/>
  <c r="P135" i="59"/>
  <c r="AA110" i="42"/>
  <c r="AO110" i="42" s="1"/>
  <c r="AP110" i="42" s="1"/>
  <c r="W110" i="42"/>
  <c r="AA109" i="42"/>
  <c r="AO109" i="42" s="1"/>
  <c r="AP109" i="42" s="1"/>
  <c r="W109" i="42"/>
  <c r="AA105" i="31"/>
  <c r="AO105" i="31" s="1"/>
  <c r="AP105" i="31" s="1"/>
  <c r="W105" i="31"/>
  <c r="AA104" i="31"/>
  <c r="AO104" i="31" s="1"/>
  <c r="AP104" i="31" s="1"/>
  <c r="W104" i="31"/>
  <c r="H106" i="59"/>
  <c r="O113" i="46"/>
  <c r="P112" i="46"/>
  <c r="AC119" i="28"/>
  <c r="AD119" i="28" s="1"/>
  <c r="AD118" i="28"/>
  <c r="AC123" i="28"/>
  <c r="V42" i="42"/>
  <c r="T42" i="42"/>
  <c r="V34" i="42"/>
  <c r="V35" i="42" s="1"/>
  <c r="X35" i="42" s="1"/>
  <c r="AB35" i="42" s="1"/>
  <c r="T34" i="42"/>
  <c r="T35" i="42" s="1"/>
  <c r="X34" i="42" s="1"/>
  <c r="AB34" i="42" s="1"/>
  <c r="AJ115" i="32"/>
  <c r="AJ114" i="32"/>
  <c r="AF4" i="18"/>
  <c r="AF5" i="18" s="1"/>
  <c r="AG40" i="42"/>
  <c r="AV7" i="17"/>
  <c r="P116" i="50"/>
  <c r="O121" i="50"/>
  <c r="O117" i="50"/>
  <c r="H8" i="18"/>
  <c r="I8" i="18" s="1"/>
  <c r="D8" i="18"/>
  <c r="F8" i="18" s="1"/>
  <c r="G8" i="18" s="1"/>
  <c r="O109" i="39"/>
  <c r="P108" i="39"/>
  <c r="Q108" i="39" s="1"/>
  <c r="T94" i="36"/>
  <c r="V94" i="36"/>
  <c r="Q99" i="43"/>
  <c r="Q97" i="43"/>
  <c r="Y100" i="36"/>
  <c r="Y99" i="36"/>
  <c r="H74" i="50"/>
  <c r="H75" i="50" s="1"/>
  <c r="J75" i="50" s="1"/>
  <c r="F75" i="50"/>
  <c r="J74" i="50" s="1"/>
  <c r="F74" i="49"/>
  <c r="J72" i="49"/>
  <c r="AC114" i="35"/>
  <c r="AD114" i="35" s="1"/>
  <c r="AD113" i="35"/>
  <c r="AC118" i="35"/>
  <c r="Q99" i="27"/>
  <c r="Q97" i="27"/>
  <c r="O117" i="31"/>
  <c r="P116" i="31"/>
  <c r="O121" i="31"/>
  <c r="AL115" i="27"/>
  <c r="AH115" i="27"/>
  <c r="AI112" i="27"/>
  <c r="AL114" i="27"/>
  <c r="AH114" i="27"/>
  <c r="F60" i="46"/>
  <c r="F92" i="34"/>
  <c r="B126" i="34"/>
  <c r="A131" i="34"/>
  <c r="A127" i="34"/>
  <c r="AJ110" i="47"/>
  <c r="AJ109" i="47"/>
  <c r="AE60" i="46"/>
  <c r="AI59" i="46" s="1"/>
  <c r="P129" i="32"/>
  <c r="O130" i="32"/>
  <c r="P130" i="32" s="1"/>
  <c r="AJ110" i="29"/>
  <c r="AJ109" i="29"/>
  <c r="G9" i="20"/>
  <c r="AI122" i="40"/>
  <c r="AL124" i="40"/>
  <c r="AH124" i="40"/>
  <c r="AL125" i="40"/>
  <c r="AH125" i="40"/>
  <c r="B122" i="38"/>
  <c r="A123" i="38"/>
  <c r="P117" i="35"/>
  <c r="O118" i="35"/>
  <c r="C102" i="40"/>
  <c r="G103" i="40"/>
  <c r="AG53" i="44"/>
  <c r="A115" i="27"/>
  <c r="B115" i="27" s="1"/>
  <c r="B114" i="27"/>
  <c r="A114" i="39"/>
  <c r="B113" i="39"/>
  <c r="G103" i="32"/>
  <c r="C102" i="32"/>
  <c r="AE79" i="49"/>
  <c r="AG79" i="49" s="1"/>
  <c r="AE83" i="49"/>
  <c r="D79" i="49"/>
  <c r="F79" i="49" s="1"/>
  <c r="H79" i="49" s="1"/>
  <c r="R78" i="49"/>
  <c r="R74" i="49"/>
  <c r="F4" i="15"/>
  <c r="A110" i="45"/>
  <c r="B110" i="45" s="1"/>
  <c r="B109" i="45"/>
  <c r="K99" i="34"/>
  <c r="G97" i="34"/>
  <c r="K100" i="34"/>
  <c r="B122" i="47"/>
  <c r="A123" i="47"/>
  <c r="K99" i="38"/>
  <c r="G97" i="38"/>
  <c r="K100" i="38"/>
  <c r="AJ109" i="44"/>
  <c r="AJ110" i="44"/>
  <c r="B126" i="40"/>
  <c r="A131" i="40"/>
  <c r="A127" i="40"/>
  <c r="AI132" i="46"/>
  <c r="AL134" i="46"/>
  <c r="AH134" i="46"/>
  <c r="AH135" i="46"/>
  <c r="AL135" i="46"/>
  <c r="F92" i="50"/>
  <c r="M99" i="43"/>
  <c r="I99" i="43"/>
  <c r="M100" i="43"/>
  <c r="I100" i="43"/>
  <c r="G99" i="43"/>
  <c r="P117" i="41"/>
  <c r="O118" i="41"/>
  <c r="P117" i="26"/>
  <c r="O118" i="26"/>
  <c r="M105" i="50"/>
  <c r="I105" i="50"/>
  <c r="G104" i="50"/>
  <c r="M104" i="50"/>
  <c r="I104" i="50"/>
  <c r="M99" i="36"/>
  <c r="I99" i="36"/>
  <c r="M100" i="36"/>
  <c r="I100" i="36"/>
  <c r="G99" i="36"/>
  <c r="P117" i="38"/>
  <c r="O118" i="38"/>
  <c r="A131" i="33"/>
  <c r="A127" i="33"/>
  <c r="B126" i="33"/>
  <c r="AA110" i="35"/>
  <c r="AO110" i="35" s="1"/>
  <c r="AP110" i="35" s="1"/>
  <c r="W110" i="35"/>
  <c r="AA109" i="35"/>
  <c r="AO109" i="35" s="1"/>
  <c r="AP109" i="35" s="1"/>
  <c r="W109" i="35"/>
  <c r="C108" i="49"/>
  <c r="C109" i="49"/>
  <c r="AF8" i="22"/>
  <c r="AF9" i="22" s="1"/>
  <c r="AF10" i="22" s="1"/>
  <c r="B114" i="47"/>
  <c r="A115" i="47"/>
  <c r="B115" i="47" s="1"/>
  <c r="X97" i="38"/>
  <c r="V92" i="47"/>
  <c r="V95" i="47" s="1"/>
  <c r="T92" i="47"/>
  <c r="T95" i="47" s="1"/>
  <c r="X94" i="47" s="1"/>
  <c r="AB94" i="47" s="1"/>
  <c r="G97" i="32"/>
  <c r="K99" i="32"/>
  <c r="K100" i="32"/>
  <c r="C103" i="36"/>
  <c r="C104" i="36"/>
  <c r="X7" i="19"/>
  <c r="AA7" i="19"/>
  <c r="AG7" i="19" s="1"/>
  <c r="P109" i="47"/>
  <c r="O110" i="47"/>
  <c r="P110" i="47" s="1"/>
  <c r="B121" i="48"/>
  <c r="A126" i="48"/>
  <c r="A122" i="48"/>
  <c r="Q122" i="32"/>
  <c r="Q124" i="32"/>
  <c r="F42" i="41"/>
  <c r="F38" i="41"/>
  <c r="O114" i="35"/>
  <c r="P113" i="35"/>
  <c r="Q113" i="35" s="1"/>
  <c r="C104" i="26"/>
  <c r="C103" i="26"/>
  <c r="AL109" i="41"/>
  <c r="AH109" i="41"/>
  <c r="AL110" i="41"/>
  <c r="AH110" i="41"/>
  <c r="AI107" i="41"/>
  <c r="AE84" i="50"/>
  <c r="AG84" i="50" s="1"/>
  <c r="AE88" i="50"/>
  <c r="R83" i="50"/>
  <c r="D84" i="50"/>
  <c r="B126" i="28"/>
  <c r="A131" i="28"/>
  <c r="A127" i="28"/>
  <c r="X97" i="48"/>
  <c r="F92" i="42"/>
  <c r="O122" i="30"/>
  <c r="P121" i="30"/>
  <c r="O126" i="30"/>
  <c r="P137" i="32"/>
  <c r="O138" i="32"/>
  <c r="T43" i="43"/>
  <c r="V43" i="43"/>
  <c r="AG8" i="20"/>
  <c r="A131" i="27"/>
  <c r="A127" i="27"/>
  <c r="B126" i="27"/>
  <c r="W104" i="39"/>
  <c r="W105" i="39"/>
  <c r="AA104" i="39"/>
  <c r="AO104" i="39" s="1"/>
  <c r="AP104" i="39" s="1"/>
  <c r="AA105" i="39"/>
  <c r="AO105" i="39" s="1"/>
  <c r="AP105" i="39" s="1"/>
  <c r="P117" i="48"/>
  <c r="O118" i="48"/>
  <c r="J77" i="50"/>
  <c r="O110" i="38"/>
  <c r="P110" i="38" s="1"/>
  <c r="P109" i="38"/>
  <c r="F92" i="38"/>
  <c r="X92" i="33"/>
  <c r="R94" i="33"/>
  <c r="X92" i="50"/>
  <c r="R94" i="50"/>
  <c r="AJ114" i="31"/>
  <c r="AJ115" i="31"/>
  <c r="M105" i="28"/>
  <c r="I105" i="28"/>
  <c r="G104" i="28"/>
  <c r="M104" i="28"/>
  <c r="I104" i="28"/>
  <c r="AG73" i="48"/>
  <c r="Z40" i="44"/>
  <c r="AK40" i="44"/>
  <c r="AM40" i="44" s="1"/>
  <c r="AS40" i="44" s="1"/>
  <c r="L45" i="44"/>
  <c r="AL114" i="45"/>
  <c r="AH114" i="45"/>
  <c r="AI112" i="45"/>
  <c r="AH115" i="45"/>
  <c r="AL115" i="45"/>
  <c r="AI112" i="37"/>
  <c r="AL114" i="37"/>
  <c r="AH114" i="37"/>
  <c r="AL115" i="37"/>
  <c r="AH115" i="37"/>
  <c r="P112" i="39"/>
  <c r="O113" i="39"/>
  <c r="Z95" i="45"/>
  <c r="Z94" i="45"/>
  <c r="R92" i="45"/>
  <c r="Y95" i="45"/>
  <c r="Y94" i="45"/>
  <c r="Y6" i="17"/>
  <c r="X5" i="17" s="1"/>
  <c r="O118" i="47"/>
  <c r="P117" i="47"/>
  <c r="L94" i="45"/>
  <c r="D92" i="45"/>
  <c r="K94" i="45"/>
  <c r="L95" i="45"/>
  <c r="G92" i="45"/>
  <c r="K95" i="45"/>
  <c r="X97" i="29"/>
  <c r="O113" i="33"/>
  <c r="P112" i="33"/>
  <c r="F92" i="49"/>
  <c r="Q97" i="34"/>
  <c r="Q99" i="34"/>
  <c r="AA110" i="36"/>
  <c r="AO110" i="36" s="1"/>
  <c r="AP110" i="36" s="1"/>
  <c r="W110" i="36"/>
  <c r="AA109" i="36"/>
  <c r="AO109" i="36" s="1"/>
  <c r="AP109" i="36" s="1"/>
  <c r="W109" i="36"/>
  <c r="AE53" i="43"/>
  <c r="R48" i="43"/>
  <c r="AE49" i="43"/>
  <c r="AG49" i="43" s="1"/>
  <c r="R44" i="43"/>
  <c r="D49" i="43"/>
  <c r="R52" i="43"/>
  <c r="D57" i="43"/>
  <c r="M104" i="42"/>
  <c r="I104" i="42"/>
  <c r="M105" i="42"/>
  <c r="I105" i="42"/>
  <c r="G104" i="42"/>
  <c r="F92" i="44"/>
  <c r="AV9" i="53"/>
  <c r="AG63" i="46"/>
  <c r="P113" i="36"/>
  <c r="Q113" i="36" s="1"/>
  <c r="O114" i="36"/>
  <c r="O134" i="32"/>
  <c r="P133" i="32"/>
  <c r="Q133" i="32" s="1"/>
  <c r="Q97" i="40"/>
  <c r="Q99" i="40"/>
  <c r="Y100" i="29"/>
  <c r="Y99" i="29"/>
  <c r="AI70" i="48"/>
  <c r="Q119" i="59"/>
  <c r="Q117" i="59"/>
  <c r="B122" i="50"/>
  <c r="A123" i="50"/>
  <c r="AA105" i="27"/>
  <c r="AO105" i="27" s="1"/>
  <c r="AP105" i="27" s="1"/>
  <c r="W105" i="27"/>
  <c r="AA104" i="27"/>
  <c r="AO104" i="27" s="1"/>
  <c r="AP104" i="27" s="1"/>
  <c r="W104" i="27"/>
  <c r="B130" i="59"/>
  <c r="A131" i="59"/>
  <c r="O121" i="45"/>
  <c r="P116" i="45"/>
  <c r="O117" i="45"/>
  <c r="AA110" i="26"/>
  <c r="AO110" i="26" s="1"/>
  <c r="AP110" i="26" s="1"/>
  <c r="W110" i="26"/>
  <c r="AA109" i="26"/>
  <c r="AO109" i="26" s="1"/>
  <c r="AP109" i="26" s="1"/>
  <c r="W109" i="26"/>
  <c r="C102" i="27"/>
  <c r="G103" i="27"/>
  <c r="A131" i="31"/>
  <c r="A127" i="31"/>
  <c r="B126" i="31"/>
  <c r="AA126" i="59"/>
  <c r="AQ126" i="59" s="1"/>
  <c r="AR126" i="59" s="1"/>
  <c r="AA125" i="59"/>
  <c r="AQ125" i="59" s="1"/>
  <c r="AR125" i="59" s="1"/>
  <c r="A114" i="46"/>
  <c r="B113" i="46"/>
  <c r="AA9" i="20"/>
  <c r="AG9" i="20" s="1"/>
  <c r="Z95" i="31"/>
  <c r="Z94" i="31"/>
  <c r="R92" i="31"/>
  <c r="Y95" i="31"/>
  <c r="Y94" i="31"/>
  <c r="AC119" i="42"/>
  <c r="AD119" i="42" s="1"/>
  <c r="AD118" i="42"/>
  <c r="AC123" i="42"/>
  <c r="AV14" i="24"/>
  <c r="G98" i="48"/>
  <c r="C97" i="48"/>
  <c r="AV11" i="21"/>
  <c r="AA4" i="15"/>
  <c r="B122" i="41"/>
  <c r="A123" i="41"/>
  <c r="AC119" i="49"/>
  <c r="AD119" i="49" s="1"/>
  <c r="AD118" i="49"/>
  <c r="AC123" i="49"/>
  <c r="R94" i="39"/>
  <c r="X92" i="39"/>
  <c r="AV9" i="19"/>
  <c r="AK10" i="61"/>
  <c r="B10" i="19"/>
  <c r="AP10" i="19"/>
  <c r="Y9" i="19" s="1"/>
  <c r="C10" i="44"/>
  <c r="B10" i="53"/>
  <c r="AP10" i="53"/>
  <c r="AC119" i="50"/>
  <c r="AD119" i="50" s="1"/>
  <c r="AD118" i="50"/>
  <c r="AC123" i="50"/>
  <c r="C109" i="28"/>
  <c r="C108" i="28"/>
  <c r="AE48" i="42"/>
  <c r="AE44" i="42"/>
  <c r="AG44" i="42" s="1"/>
  <c r="R43" i="42"/>
  <c r="D44" i="42"/>
  <c r="R39" i="42"/>
  <c r="D48" i="42"/>
  <c r="F48" i="42" s="1"/>
  <c r="H48" i="42" s="1"/>
  <c r="P117" i="29"/>
  <c r="O118" i="29"/>
  <c r="A119" i="27"/>
  <c r="B118" i="27"/>
  <c r="G98" i="30"/>
  <c r="C97" i="30"/>
  <c r="AA6" i="18"/>
  <c r="X5" i="18"/>
  <c r="P108" i="27"/>
  <c r="Q108" i="27" s="1"/>
  <c r="O109" i="27"/>
  <c r="P108" i="44"/>
  <c r="Q108" i="44" s="1"/>
  <c r="O109" i="44"/>
  <c r="AN7" i="61"/>
  <c r="AP7" i="16"/>
  <c r="B7" i="16"/>
  <c r="C13" i="47"/>
  <c r="AH8" i="47" s="1"/>
  <c r="Y100" i="42"/>
  <c r="Y99" i="42"/>
  <c r="R94" i="49"/>
  <c r="X92" i="49"/>
  <c r="P104" i="40"/>
  <c r="O105" i="40"/>
  <c r="P105" i="40" s="1"/>
  <c r="AG14" i="61"/>
  <c r="C6" i="40"/>
  <c r="B14" i="23"/>
  <c r="AP14" i="23"/>
  <c r="F92" i="28"/>
  <c r="A119" i="35"/>
  <c r="B118" i="35"/>
  <c r="X92" i="28"/>
  <c r="R94" i="28"/>
  <c r="AI112" i="34"/>
  <c r="AL114" i="34"/>
  <c r="AH114" i="34"/>
  <c r="AL115" i="34"/>
  <c r="AH115" i="34"/>
  <c r="H49" i="45"/>
  <c r="H50" i="45" s="1"/>
  <c r="J50" i="45" s="1"/>
  <c r="F50" i="45"/>
  <c r="J49" i="45" s="1"/>
  <c r="F64" i="47"/>
  <c r="J62" i="47"/>
  <c r="T63" i="47"/>
  <c r="V63" i="47"/>
  <c r="C109" i="42"/>
  <c r="C108" i="42"/>
  <c r="Y100" i="35"/>
  <c r="Y99" i="35"/>
  <c r="C102" i="35"/>
  <c r="G103" i="35"/>
  <c r="A115" i="41"/>
  <c r="B115" i="41" s="1"/>
  <c r="B114" i="41"/>
  <c r="J57" i="46"/>
  <c r="O110" i="30"/>
  <c r="P110" i="30" s="1"/>
  <c r="P109" i="30"/>
  <c r="F92" i="40"/>
  <c r="A119" i="31"/>
  <c r="B118" i="31"/>
  <c r="B117" i="46"/>
  <c r="A118" i="46"/>
  <c r="AV10" i="20"/>
  <c r="Y13" i="24"/>
  <c r="V22" i="50"/>
  <c r="X22" i="50"/>
  <c r="A110" i="36"/>
  <c r="B110" i="36" s="1"/>
  <c r="B109" i="36"/>
  <c r="M104" i="44"/>
  <c r="I104" i="44"/>
  <c r="M105" i="44"/>
  <c r="I105" i="44"/>
  <c r="G104" i="44"/>
  <c r="C104" i="46"/>
  <c r="C103" i="46"/>
  <c r="B121" i="30"/>
  <c r="A126" i="30"/>
  <c r="A122" i="30"/>
  <c r="AF8" i="21"/>
  <c r="AF9" i="21" s="1"/>
  <c r="O122" i="36"/>
  <c r="O126" i="36"/>
  <c r="P121" i="36"/>
  <c r="C109" i="32"/>
  <c r="C108" i="32"/>
  <c r="T94" i="29"/>
  <c r="V94" i="29"/>
  <c r="K100" i="33"/>
  <c r="K99" i="33"/>
  <c r="G97" i="33"/>
  <c r="AJ114" i="30"/>
  <c r="AJ115" i="30"/>
  <c r="H59" i="47"/>
  <c r="H60" i="47" s="1"/>
  <c r="J60" i="47" s="1"/>
  <c r="F60" i="47"/>
  <c r="J59" i="47" s="1"/>
  <c r="X92" i="44"/>
  <c r="R94" i="44"/>
  <c r="O141" i="59"/>
  <c r="P140" i="59"/>
  <c r="O146" i="59"/>
  <c r="AA5" i="17"/>
  <c r="X4" i="17"/>
  <c r="Q97" i="37"/>
  <c r="Q99" i="37"/>
  <c r="P116" i="46"/>
  <c r="O121" i="46"/>
  <c r="O117" i="46"/>
  <c r="AJ115" i="28"/>
  <c r="AJ114" i="28"/>
  <c r="V38" i="42"/>
  <c r="T38" i="42"/>
  <c r="AI112" i="32"/>
  <c r="AL114" i="32"/>
  <c r="AH114" i="32"/>
  <c r="AL115" i="32"/>
  <c r="AH115" i="32"/>
  <c r="AE40" i="42"/>
  <c r="AI39" i="42" s="1"/>
  <c r="X45" i="45"/>
  <c r="AM8" i="61"/>
  <c r="L86" i="66" s="1"/>
  <c r="AP8" i="17"/>
  <c r="C12" i="46"/>
  <c r="AH3" i="46" s="1"/>
  <c r="B8" i="17"/>
  <c r="AE64" i="46"/>
  <c r="AG64" i="46" s="1"/>
  <c r="AE68" i="46"/>
  <c r="R63" i="46"/>
  <c r="D64" i="46"/>
  <c r="F64" i="46" s="1"/>
  <c r="H64" i="46" s="1"/>
  <c r="R59" i="46"/>
  <c r="X97" i="36"/>
  <c r="F78" i="49"/>
  <c r="AG78" i="49"/>
  <c r="A110" i="30"/>
  <c r="B110" i="30" s="1"/>
  <c r="B109" i="30"/>
  <c r="AJ110" i="35"/>
  <c r="AJ109" i="35"/>
  <c r="O109" i="50"/>
  <c r="P108" i="50"/>
  <c r="Q108" i="50" s="1"/>
  <c r="AE75" i="49"/>
  <c r="AI74" i="49" s="1"/>
  <c r="L95" i="48"/>
  <c r="G92" i="48"/>
  <c r="K95" i="48"/>
  <c r="L94" i="48"/>
  <c r="D92" i="48"/>
  <c r="K94" i="48"/>
  <c r="P108" i="33"/>
  <c r="Q108" i="33" s="1"/>
  <c r="O109" i="33"/>
  <c r="C104" i="37"/>
  <c r="C103" i="37"/>
  <c r="V92" i="38"/>
  <c r="V95" i="38" s="1"/>
  <c r="T92" i="38"/>
  <c r="T95" i="38" s="1"/>
  <c r="X94" i="38" s="1"/>
  <c r="AB94" i="38" s="1"/>
  <c r="AI107" i="47"/>
  <c r="AL109" i="47"/>
  <c r="AH110" i="47"/>
  <c r="AL110" i="47"/>
  <c r="AH109" i="47"/>
  <c r="AL109" i="29"/>
  <c r="AH109" i="29"/>
  <c r="AL110" i="29"/>
  <c r="AH110" i="29"/>
  <c r="AI107" i="29"/>
  <c r="AC119" i="36"/>
  <c r="AD119" i="36" s="1"/>
  <c r="AD118" i="36"/>
  <c r="AC123" i="36"/>
  <c r="AA110" i="29"/>
  <c r="AO110" i="29" s="1"/>
  <c r="AP110" i="29" s="1"/>
  <c r="W110" i="29"/>
  <c r="AA109" i="29"/>
  <c r="AO109" i="29" s="1"/>
  <c r="AP109" i="29" s="1"/>
  <c r="W109" i="29"/>
  <c r="O105" i="43"/>
  <c r="P105" i="43" s="1"/>
  <c r="P104" i="43"/>
  <c r="F50" i="44"/>
  <c r="B126" i="38"/>
  <c r="A131" i="38"/>
  <c r="A127" i="38"/>
  <c r="O126" i="35"/>
  <c r="O122" i="35"/>
  <c r="P121" i="35"/>
  <c r="M105" i="40"/>
  <c r="I105" i="40"/>
  <c r="G104" i="40"/>
  <c r="M104" i="40"/>
  <c r="I104" i="40"/>
  <c r="V48" i="44"/>
  <c r="V50" i="44" s="1"/>
  <c r="T48" i="44"/>
  <c r="T50" i="44" s="1"/>
  <c r="X49" i="44" s="1"/>
  <c r="M105" i="32"/>
  <c r="I105" i="32"/>
  <c r="G104" i="32"/>
  <c r="I104" i="32"/>
  <c r="M104" i="32"/>
  <c r="H5" i="15"/>
  <c r="I5" i="15" s="1"/>
  <c r="D5" i="15"/>
  <c r="F5" i="15" s="1"/>
  <c r="G5" i="15" s="1"/>
  <c r="A131" i="47"/>
  <c r="B126" i="47"/>
  <c r="A127" i="47"/>
  <c r="C109" i="47"/>
  <c r="C108" i="47"/>
  <c r="AL110" i="44"/>
  <c r="AH110" i="44"/>
  <c r="AI107" i="44"/>
  <c r="AL109" i="44"/>
  <c r="AH109" i="44"/>
  <c r="F11" i="22"/>
  <c r="V92" i="48"/>
  <c r="V95" i="48" s="1"/>
  <c r="T92" i="48"/>
  <c r="T95" i="48" s="1"/>
  <c r="X94" i="48" s="1"/>
  <c r="AB94" i="48" s="1"/>
  <c r="AG65" i="47"/>
  <c r="B122" i="29"/>
  <c r="A123" i="29"/>
  <c r="Y100" i="26"/>
  <c r="Y99" i="26"/>
  <c r="O126" i="41"/>
  <c r="O122" i="41"/>
  <c r="P121" i="41"/>
  <c r="O117" i="44"/>
  <c r="P116" i="44"/>
  <c r="O121" i="44"/>
  <c r="O109" i="46"/>
  <c r="P108" i="46"/>
  <c r="Q108" i="46" s="1"/>
  <c r="C97" i="36"/>
  <c r="G98" i="36"/>
  <c r="O126" i="38"/>
  <c r="O122" i="38"/>
  <c r="P121" i="38"/>
  <c r="AI45" i="44"/>
  <c r="O110" i="35"/>
  <c r="P110" i="35" s="1"/>
  <c r="P109" i="35"/>
  <c r="C104" i="48"/>
  <c r="C103" i="48"/>
  <c r="AJ114" i="48"/>
  <c r="AJ115" i="48"/>
  <c r="T94" i="38"/>
  <c r="V94" i="38"/>
  <c r="Y100" i="38"/>
  <c r="Y99" i="38"/>
  <c r="AF5" i="53"/>
  <c r="AF6" i="53" s="1"/>
  <c r="Q97" i="45"/>
  <c r="Q99" i="45"/>
  <c r="W110" i="47"/>
  <c r="AA109" i="47"/>
  <c r="AO109" i="47" s="1"/>
  <c r="AP109" i="47" s="1"/>
  <c r="AA110" i="47"/>
  <c r="AO110" i="47" s="1"/>
  <c r="AP110" i="47" s="1"/>
  <c r="W109" i="47"/>
  <c r="F54" i="45"/>
  <c r="J52" i="45"/>
  <c r="B117" i="37"/>
  <c r="A118" i="37"/>
  <c r="Y100" i="30"/>
  <c r="Y99" i="30"/>
  <c r="V37" i="41"/>
  <c r="T37" i="41"/>
  <c r="AG34" i="41"/>
  <c r="AG35" i="41" s="1"/>
  <c r="AE35" i="41"/>
  <c r="AI34" i="41" s="1"/>
  <c r="AM34" i="41" s="1"/>
  <c r="AS34" i="41" s="1"/>
  <c r="AJ115" i="39"/>
  <c r="AJ114" i="39"/>
  <c r="AQ4" i="61"/>
  <c r="AR3" i="61"/>
  <c r="C16" i="50"/>
  <c r="D98" i="50" s="1"/>
  <c r="F98" i="50" s="1"/>
  <c r="H98" i="50" s="1"/>
  <c r="AP4" i="13"/>
  <c r="B4" i="13"/>
  <c r="A119" i="47"/>
  <c r="B118" i="47"/>
  <c r="J45" i="44"/>
  <c r="V92" i="42"/>
  <c r="V95" i="42" s="1"/>
  <c r="T92" i="42"/>
  <c r="T95" i="42" s="1"/>
  <c r="X94" i="42" s="1"/>
  <c r="AB94" i="42" s="1"/>
  <c r="M104" i="49"/>
  <c r="I104" i="49"/>
  <c r="M105" i="49"/>
  <c r="I105" i="49"/>
  <c r="G104" i="49"/>
  <c r="P141" i="32"/>
  <c r="O146" i="32"/>
  <c r="O142" i="32"/>
  <c r="AG48" i="43"/>
  <c r="O117" i="49"/>
  <c r="O121" i="49"/>
  <c r="P116" i="49"/>
  <c r="X8" i="20"/>
  <c r="C108" i="35"/>
  <c r="C109" i="35"/>
  <c r="O114" i="41"/>
  <c r="P113" i="41"/>
  <c r="Q113" i="41" s="1"/>
  <c r="O105" i="39"/>
  <c r="P105" i="39" s="1"/>
  <c r="P104" i="39"/>
  <c r="H78" i="50"/>
  <c r="H80" i="50" s="1"/>
  <c r="F80" i="50"/>
  <c r="AN131" i="59"/>
  <c r="AJ131" i="59"/>
  <c r="AN132" i="59"/>
  <c r="AJ132" i="59"/>
  <c r="AK129" i="59"/>
  <c r="Y12" i="23"/>
  <c r="X11" i="23" s="1"/>
  <c r="B122" i="35"/>
  <c r="A123" i="35"/>
  <c r="Z95" i="50"/>
  <c r="Z94" i="50"/>
  <c r="R92" i="50"/>
  <c r="Y95" i="50"/>
  <c r="Y94" i="50"/>
  <c r="AL115" i="31"/>
  <c r="AH115" i="31"/>
  <c r="AI112" i="31"/>
  <c r="AL114" i="31"/>
  <c r="AH114" i="31"/>
  <c r="H57" i="45"/>
  <c r="V68" i="48"/>
  <c r="T68" i="48"/>
  <c r="V87" i="50"/>
  <c r="T87" i="50"/>
  <c r="Z39" i="44"/>
  <c r="AB39" i="44" s="1"/>
  <c r="AK39" i="44"/>
  <c r="AM39" i="44" s="1"/>
  <c r="AS39" i="44" s="1"/>
  <c r="L44" i="44"/>
  <c r="P116" i="39"/>
  <c r="O121" i="39"/>
  <c r="O117" i="39"/>
  <c r="O117" i="27"/>
  <c r="P116" i="27"/>
  <c r="O121" i="27"/>
  <c r="M105" i="41"/>
  <c r="I105" i="41"/>
  <c r="G104" i="41"/>
  <c r="M104" i="41"/>
  <c r="I104" i="41"/>
  <c r="X92" i="37"/>
  <c r="R94" i="37"/>
  <c r="X11" i="24"/>
  <c r="V69" i="49" l="1"/>
  <c r="V70" i="49" s="1"/>
  <c r="L44" i="66"/>
  <c r="T72" i="47"/>
  <c r="AR49" i="47"/>
  <c r="T87" i="49"/>
  <c r="I51" i="66"/>
  <c r="D51" i="65"/>
  <c r="A51" i="65" s="1"/>
  <c r="J51" i="66"/>
  <c r="B51" i="65" s="1"/>
  <c r="D48" i="66"/>
  <c r="L52" i="66"/>
  <c r="A47" i="66"/>
  <c r="B47" i="66"/>
  <c r="D27" i="65"/>
  <c r="A27" i="65" s="1"/>
  <c r="J27" i="66"/>
  <c r="B27" i="65" s="1"/>
  <c r="I27" i="66"/>
  <c r="I111" i="66"/>
  <c r="D111" i="65"/>
  <c r="J111" i="66"/>
  <c r="B111" i="65" s="1"/>
  <c r="D103" i="66"/>
  <c r="L112" i="66"/>
  <c r="A25" i="66"/>
  <c r="B25" i="66"/>
  <c r="B102" i="66"/>
  <c r="A102" i="66"/>
  <c r="AA8" i="53"/>
  <c r="AG8" i="53" s="1"/>
  <c r="Z45" i="46"/>
  <c r="AB45" i="46" s="1"/>
  <c r="AK45" i="46"/>
  <c r="AM45" i="46" s="1"/>
  <c r="AS45" i="46" s="1"/>
  <c r="L55" i="46"/>
  <c r="N55" i="46" s="1"/>
  <c r="AQ55" i="46" s="1"/>
  <c r="J77" i="49"/>
  <c r="D97" i="49"/>
  <c r="AR40" i="45"/>
  <c r="D71" i="65"/>
  <c r="J71" i="66"/>
  <c r="B71" i="65" s="1"/>
  <c r="I71" i="66"/>
  <c r="J44" i="66"/>
  <c r="B44" i="65" s="1"/>
  <c r="D44" i="65"/>
  <c r="A44" i="65" s="1"/>
  <c r="I44" i="66"/>
  <c r="A66" i="66"/>
  <c r="B66" i="66"/>
  <c r="I29" i="66"/>
  <c r="D29" i="65"/>
  <c r="J29" i="66"/>
  <c r="B29" i="65" s="1"/>
  <c r="L30" i="66"/>
  <c r="D28" i="66"/>
  <c r="I86" i="66"/>
  <c r="J86" i="66"/>
  <c r="B86" i="65" s="1"/>
  <c r="D86" i="65"/>
  <c r="A86" i="65" s="1"/>
  <c r="D67" i="66"/>
  <c r="L72" i="66"/>
  <c r="B27" i="66"/>
  <c r="A27" i="66"/>
  <c r="V8" i="41"/>
  <c r="J15" i="41"/>
  <c r="J22" i="41"/>
  <c r="AH4" i="47"/>
  <c r="AJ4" i="47" s="1"/>
  <c r="AL4" i="47" s="1"/>
  <c r="B33" i="66"/>
  <c r="A33" i="66"/>
  <c r="X20" i="47"/>
  <c r="V20" i="47"/>
  <c r="D15" i="65"/>
  <c r="J15" i="66"/>
  <c r="B15" i="65" s="1"/>
  <c r="I15" i="66"/>
  <c r="D95" i="65"/>
  <c r="J95" i="66"/>
  <c r="B95" i="65" s="1"/>
  <c r="I95" i="66"/>
  <c r="D55" i="65"/>
  <c r="J55" i="66"/>
  <c r="B55" i="65" s="1"/>
  <c r="I55" i="66"/>
  <c r="D15" i="66"/>
  <c r="L16" i="66"/>
  <c r="D53" i="66"/>
  <c r="L56" i="66"/>
  <c r="B14" i="66"/>
  <c r="A14" i="66"/>
  <c r="B90" i="66"/>
  <c r="A90" i="66"/>
  <c r="B52" i="66"/>
  <c r="A52" i="66"/>
  <c r="D34" i="66"/>
  <c r="L36" i="66"/>
  <c r="T14" i="46"/>
  <c r="V14" i="46" s="1"/>
  <c r="T20" i="46"/>
  <c r="D91" i="66"/>
  <c r="L96" i="66"/>
  <c r="V22" i="48"/>
  <c r="X22" i="48"/>
  <c r="AA14" i="25"/>
  <c r="AG14" i="25" s="1"/>
  <c r="AF14" i="25" s="1"/>
  <c r="X13" i="25"/>
  <c r="D35" i="65"/>
  <c r="A35" i="65" s="1"/>
  <c r="J35" i="66"/>
  <c r="B35" i="65" s="1"/>
  <c r="I35" i="66"/>
  <c r="X14" i="47"/>
  <c r="AT45" i="47"/>
  <c r="E7" i="47" s="1"/>
  <c r="AK50" i="47" s="1"/>
  <c r="AM50" i="47" s="1"/>
  <c r="AS50" i="47" s="1"/>
  <c r="V28" i="48"/>
  <c r="Z27" i="48" s="1"/>
  <c r="X28" i="48"/>
  <c r="P15" i="47"/>
  <c r="P16" i="47" s="1"/>
  <c r="N18" i="47" s="1"/>
  <c r="L4" i="47" s="1"/>
  <c r="AP64" i="47" s="1"/>
  <c r="Z10" i="48"/>
  <c r="D73" i="46"/>
  <c r="F73" i="46" s="1"/>
  <c r="H73" i="46" s="1"/>
  <c r="V26" i="46"/>
  <c r="V9" i="46"/>
  <c r="X9" i="46" s="1"/>
  <c r="T3" i="46"/>
  <c r="D67" i="44"/>
  <c r="F67" i="44" s="1"/>
  <c r="H67" i="44" s="1"/>
  <c r="V8" i="44"/>
  <c r="T2" i="44"/>
  <c r="J15" i="44"/>
  <c r="T13" i="44"/>
  <c r="J22" i="44"/>
  <c r="D53" i="42"/>
  <c r="F53" i="42" s="1"/>
  <c r="H53" i="42" s="1"/>
  <c r="V8" i="42"/>
  <c r="J15" i="42"/>
  <c r="J22" i="42"/>
  <c r="T2" i="42"/>
  <c r="T13" i="42"/>
  <c r="V26" i="45"/>
  <c r="T20" i="45"/>
  <c r="T14" i="45"/>
  <c r="V14" i="45" s="1"/>
  <c r="X14" i="45" s="1"/>
  <c r="T3" i="45"/>
  <c r="V9" i="45"/>
  <c r="X9" i="45" s="1"/>
  <c r="N23" i="47"/>
  <c r="V2" i="45"/>
  <c r="X2" i="45"/>
  <c r="AL3" i="47"/>
  <c r="N15" i="46"/>
  <c r="N17" i="46" s="1"/>
  <c r="P14" i="46"/>
  <c r="L15" i="46"/>
  <c r="L17" i="46" s="1"/>
  <c r="V21" i="48"/>
  <c r="V23" i="48" s="1"/>
  <c r="Z22" i="48" s="1"/>
  <c r="X21" i="48"/>
  <c r="X23" i="48" s="1"/>
  <c r="R69" i="48"/>
  <c r="V69" i="48" s="1"/>
  <c r="V70" i="48" s="1"/>
  <c r="AH5" i="48"/>
  <c r="AH9" i="48"/>
  <c r="AJ15" i="48"/>
  <c r="AL15" i="48" s="1"/>
  <c r="T4" i="48"/>
  <c r="A14" i="65"/>
  <c r="AJ8" i="47"/>
  <c r="AL8" i="47"/>
  <c r="X26" i="47"/>
  <c r="L15" i="45"/>
  <c r="L17" i="45" s="1"/>
  <c r="N15" i="45"/>
  <c r="N17" i="45" s="1"/>
  <c r="P14" i="45"/>
  <c r="X8" i="45"/>
  <c r="V10" i="45"/>
  <c r="Z9" i="45" s="1"/>
  <c r="J23" i="46"/>
  <c r="N22" i="46" s="1"/>
  <c r="L22" i="46"/>
  <c r="L23" i="46" s="1"/>
  <c r="V10" i="47"/>
  <c r="Z9" i="47" s="1"/>
  <c r="AL14" i="48"/>
  <c r="AJ14" i="47"/>
  <c r="V27" i="47"/>
  <c r="X27" i="47" s="1"/>
  <c r="T15" i="47"/>
  <c r="T21" i="47"/>
  <c r="R49" i="43"/>
  <c r="V49" i="43" s="1"/>
  <c r="V8" i="43"/>
  <c r="T2" i="43"/>
  <c r="J15" i="43"/>
  <c r="T13" i="43"/>
  <c r="J22" i="43"/>
  <c r="V3" i="47"/>
  <c r="X3" i="47"/>
  <c r="J23" i="45"/>
  <c r="N22" i="45" s="1"/>
  <c r="L22" i="45"/>
  <c r="L23" i="45" s="1"/>
  <c r="V2" i="46"/>
  <c r="X2" i="46"/>
  <c r="X8" i="46"/>
  <c r="V10" i="46"/>
  <c r="Z9" i="46" s="1"/>
  <c r="X10" i="47"/>
  <c r="V15" i="48"/>
  <c r="Z13" i="48"/>
  <c r="P16" i="48"/>
  <c r="N19" i="48" s="1"/>
  <c r="L5" i="48" s="1"/>
  <c r="AP65" i="48" s="1"/>
  <c r="V13" i="45"/>
  <c r="AJ3" i="46"/>
  <c r="L5" i="49"/>
  <c r="AP70" i="49" s="1"/>
  <c r="AG75" i="48"/>
  <c r="N18" i="49"/>
  <c r="L4" i="49" s="1"/>
  <c r="AP69" i="49" s="1"/>
  <c r="Z5" i="49"/>
  <c r="V28" i="49"/>
  <c r="Z27" i="49" s="1"/>
  <c r="X28" i="49"/>
  <c r="V15" i="49"/>
  <c r="Z13" i="49"/>
  <c r="R84" i="50"/>
  <c r="T84" i="50" s="1"/>
  <c r="AH10" i="50"/>
  <c r="AH5" i="49"/>
  <c r="AJ5" i="49" s="1"/>
  <c r="AL5" i="49" s="1"/>
  <c r="AH9" i="49"/>
  <c r="AJ15" i="49"/>
  <c r="AL15" i="49" s="1"/>
  <c r="T22" i="49"/>
  <c r="AJ4" i="49"/>
  <c r="AL14" i="49"/>
  <c r="AL8" i="49"/>
  <c r="AJ8" i="49"/>
  <c r="X21" i="49"/>
  <c r="V21" i="49"/>
  <c r="AB40" i="44"/>
  <c r="AR40" i="44" s="1"/>
  <c r="AT40" i="44" s="1"/>
  <c r="E6" i="44" s="1"/>
  <c r="H60" i="45"/>
  <c r="AV16" i="25"/>
  <c r="Y15" i="25"/>
  <c r="X14" i="25" s="1"/>
  <c r="T32" i="39"/>
  <c r="V32" i="39"/>
  <c r="R32" i="38"/>
  <c r="AE33" i="38"/>
  <c r="AG33" i="38" s="1"/>
  <c r="D37" i="38"/>
  <c r="F37" i="38" s="1"/>
  <c r="H37" i="38" s="1"/>
  <c r="D16" i="25"/>
  <c r="F16" i="25" s="1"/>
  <c r="G16" i="25" s="1"/>
  <c r="H16" i="25"/>
  <c r="I16" i="25" s="1"/>
  <c r="AE17" i="61"/>
  <c r="AP17" i="25"/>
  <c r="C4" i="37"/>
  <c r="B17" i="25"/>
  <c r="AI55" i="45"/>
  <c r="AI45" i="43"/>
  <c r="AT49" i="47"/>
  <c r="D8" i="47" s="1"/>
  <c r="AK54" i="47" s="1"/>
  <c r="AM54" i="47" s="1"/>
  <c r="AS54" i="47" s="1"/>
  <c r="AT50" i="47"/>
  <c r="E8" i="47" s="1"/>
  <c r="AK55" i="47" s="1"/>
  <c r="AM55" i="47" s="1"/>
  <c r="AS55" i="47" s="1"/>
  <c r="AR55" i="49"/>
  <c r="Z54" i="48"/>
  <c r="AB54" i="48" s="1"/>
  <c r="AR54" i="48" s="1"/>
  <c r="AT54" i="48" s="1"/>
  <c r="D9" i="48" s="1"/>
  <c r="X70" i="50"/>
  <c r="J39" i="42"/>
  <c r="N39" i="42" s="1"/>
  <c r="AQ39" i="42" s="1"/>
  <c r="J40" i="42"/>
  <c r="N40" i="42" s="1"/>
  <c r="AQ40" i="42" s="1"/>
  <c r="AE60" i="45"/>
  <c r="AI59" i="45" s="1"/>
  <c r="N54" i="46"/>
  <c r="AQ54" i="46" s="1"/>
  <c r="AG60" i="45"/>
  <c r="AI50" i="44"/>
  <c r="X6" i="18"/>
  <c r="AR54" i="49"/>
  <c r="AT54" i="49" s="1"/>
  <c r="D9" i="49" s="1"/>
  <c r="AK59" i="49" s="1"/>
  <c r="AM59" i="49" s="1"/>
  <c r="AS59" i="49" s="1"/>
  <c r="AT55" i="49"/>
  <c r="E9" i="49" s="1"/>
  <c r="Z60" i="49" s="1"/>
  <c r="AB60" i="49" s="1"/>
  <c r="AI80" i="50"/>
  <c r="X70" i="49"/>
  <c r="D77" i="46"/>
  <c r="F77" i="46" s="1"/>
  <c r="R72" i="46"/>
  <c r="L59" i="49"/>
  <c r="N59" i="49" s="1"/>
  <c r="AQ59" i="49" s="1"/>
  <c r="R79" i="49"/>
  <c r="D88" i="49"/>
  <c r="F88" i="49" s="1"/>
  <c r="H53" i="43"/>
  <c r="V77" i="48"/>
  <c r="T77" i="48"/>
  <c r="V67" i="46"/>
  <c r="T67" i="46"/>
  <c r="H52" i="41"/>
  <c r="H54" i="45"/>
  <c r="H55" i="45" s="1"/>
  <c r="J55" i="45" s="1"/>
  <c r="F55" i="45"/>
  <c r="D83" i="48"/>
  <c r="F83" i="48" s="1"/>
  <c r="R82" i="48"/>
  <c r="D87" i="48"/>
  <c r="F87" i="48" s="1"/>
  <c r="H87" i="48" s="1"/>
  <c r="D68" i="45"/>
  <c r="F68" i="45" s="1"/>
  <c r="R67" i="45"/>
  <c r="AR50" i="46"/>
  <c r="AR49" i="46"/>
  <c r="H83" i="49"/>
  <c r="H68" i="46"/>
  <c r="V47" i="41"/>
  <c r="T47" i="41"/>
  <c r="H69" i="48"/>
  <c r="H70" i="48" s="1"/>
  <c r="J70" i="48" s="1"/>
  <c r="F70" i="48"/>
  <c r="J69" i="48" s="1"/>
  <c r="D72" i="45"/>
  <c r="F72" i="45" s="1"/>
  <c r="T79" i="50"/>
  <c r="T80" i="50" s="1"/>
  <c r="X79" i="50" s="1"/>
  <c r="V79" i="50"/>
  <c r="V80" i="50" s="1"/>
  <c r="X50" i="44"/>
  <c r="D52" i="40"/>
  <c r="F52" i="40" s="1"/>
  <c r="R47" i="40"/>
  <c r="R77" i="47"/>
  <c r="D82" i="47"/>
  <c r="F82" i="47" s="1"/>
  <c r="V82" i="49"/>
  <c r="T82" i="49"/>
  <c r="AG55" i="44"/>
  <c r="AE55" i="44"/>
  <c r="AI54" i="44" s="1"/>
  <c r="AE75" i="48"/>
  <c r="AI74" i="48" s="1"/>
  <c r="N45" i="44"/>
  <c r="AQ45" i="44" s="1"/>
  <c r="F60" i="45"/>
  <c r="AI65" i="47"/>
  <c r="AE80" i="49"/>
  <c r="AI79" i="49" s="1"/>
  <c r="AG80" i="49"/>
  <c r="J37" i="41"/>
  <c r="AR44" i="46"/>
  <c r="AT44" i="46" s="1"/>
  <c r="D7" i="46" s="1"/>
  <c r="AK49" i="46" s="1"/>
  <c r="AM49" i="46" s="1"/>
  <c r="AS49" i="46" s="1"/>
  <c r="AR45" i="46"/>
  <c r="AT45" i="46" s="1"/>
  <c r="E7" i="46" s="1"/>
  <c r="AK50" i="46" s="1"/>
  <c r="AM50" i="46" s="1"/>
  <c r="AS50" i="46" s="1"/>
  <c r="J57" i="45"/>
  <c r="Y8" i="18"/>
  <c r="X7" i="18" s="1"/>
  <c r="J15" i="50"/>
  <c r="J22" i="50"/>
  <c r="V8" i="50"/>
  <c r="V26" i="50"/>
  <c r="V9" i="50"/>
  <c r="X9" i="50" s="1"/>
  <c r="T3" i="50"/>
  <c r="V27" i="50"/>
  <c r="X27" i="50" s="1"/>
  <c r="AJ14" i="50"/>
  <c r="T15" i="50"/>
  <c r="T21" i="50"/>
  <c r="AJ15" i="50"/>
  <c r="AL15" i="50" s="1"/>
  <c r="AH9" i="50"/>
  <c r="AH5" i="50"/>
  <c r="AE50" i="43"/>
  <c r="AI49" i="43" s="1"/>
  <c r="AG50" i="43"/>
  <c r="X108" i="59"/>
  <c r="AB108" i="59" s="1"/>
  <c r="X95" i="26"/>
  <c r="AB95" i="26" s="1"/>
  <c r="AR95" i="26" s="1"/>
  <c r="X55" i="46"/>
  <c r="X95" i="42"/>
  <c r="AB95" i="42" s="1"/>
  <c r="AR95" i="42" s="1"/>
  <c r="AI35" i="41"/>
  <c r="AM35" i="41" s="1"/>
  <c r="AS35" i="41" s="1"/>
  <c r="AG65" i="46"/>
  <c r="X75" i="50"/>
  <c r="N44" i="44"/>
  <c r="AQ44" i="44" s="1"/>
  <c r="X95" i="35"/>
  <c r="AB95" i="35" s="1"/>
  <c r="AR94" i="35" s="1"/>
  <c r="X95" i="48"/>
  <c r="AB95" i="48" s="1"/>
  <c r="AR95" i="48" s="1"/>
  <c r="X95" i="47"/>
  <c r="AB95" i="47" s="1"/>
  <c r="AR94" i="47" s="1"/>
  <c r="X40" i="43"/>
  <c r="X60" i="47"/>
  <c r="X45" i="44"/>
  <c r="X95" i="38"/>
  <c r="AB95" i="38" s="1"/>
  <c r="AR95" i="38" s="1"/>
  <c r="C107" i="35"/>
  <c r="G108" i="35"/>
  <c r="O147" i="32"/>
  <c r="P146" i="32"/>
  <c r="AR4" i="61"/>
  <c r="AS3" i="61"/>
  <c r="AP4" i="12"/>
  <c r="C17" i="50"/>
  <c r="AE94" i="50" s="1"/>
  <c r="AG94" i="50" s="1"/>
  <c r="B4" i="12"/>
  <c r="O122" i="44"/>
  <c r="P121" i="44"/>
  <c r="O126" i="44"/>
  <c r="P122" i="41"/>
  <c r="O123" i="41"/>
  <c r="A124" i="29"/>
  <c r="B123" i="29"/>
  <c r="T63" i="46"/>
  <c r="V63" i="46"/>
  <c r="G108" i="32"/>
  <c r="C107" i="32"/>
  <c r="AA10" i="20"/>
  <c r="Q102" i="40"/>
  <c r="Q104" i="40"/>
  <c r="O119" i="29"/>
  <c r="P118" i="29"/>
  <c r="Q118" i="29" s="1"/>
  <c r="AA9" i="19"/>
  <c r="AG9" i="19" s="1"/>
  <c r="AA11" i="21"/>
  <c r="AG11" i="21" s="1"/>
  <c r="P121" i="39"/>
  <c r="O126" i="39"/>
  <c r="O122" i="39"/>
  <c r="AR35" i="42"/>
  <c r="AT35" i="42" s="1"/>
  <c r="E5" i="42" s="1"/>
  <c r="AR34" i="42"/>
  <c r="AT34" i="42" s="1"/>
  <c r="D5" i="42" s="1"/>
  <c r="O131" i="41"/>
  <c r="O127" i="41"/>
  <c r="P126" i="41"/>
  <c r="M110" i="47"/>
  <c r="I109" i="47"/>
  <c r="M109" i="47"/>
  <c r="G109" i="47"/>
  <c r="I110" i="47"/>
  <c r="B131" i="38"/>
  <c r="A136" i="38"/>
  <c r="A132" i="38"/>
  <c r="AL120" i="36"/>
  <c r="AH120" i="36"/>
  <c r="AL119" i="36"/>
  <c r="AH119" i="36"/>
  <c r="AI117" i="36"/>
  <c r="F92" i="48"/>
  <c r="AG68" i="46"/>
  <c r="AV8" i="17"/>
  <c r="AG5" i="17"/>
  <c r="M110" i="32"/>
  <c r="I110" i="32"/>
  <c r="G109" i="32"/>
  <c r="I109" i="32"/>
  <c r="M109" i="32"/>
  <c r="Q109" i="30"/>
  <c r="Q107" i="30"/>
  <c r="C113" i="41"/>
  <c r="C114" i="41"/>
  <c r="K104" i="35"/>
  <c r="G102" i="35"/>
  <c r="K105" i="35"/>
  <c r="G108" i="42"/>
  <c r="C107" i="42"/>
  <c r="AG15" i="61"/>
  <c r="C6" i="39"/>
  <c r="AP15" i="23"/>
  <c r="B15" i="23"/>
  <c r="R73" i="47"/>
  <c r="AE74" i="47"/>
  <c r="AG74" i="47" s="1"/>
  <c r="R64" i="47"/>
  <c r="D74" i="47"/>
  <c r="AE78" i="47"/>
  <c r="D78" i="47"/>
  <c r="AA110" i="27"/>
  <c r="AO110" i="27" s="1"/>
  <c r="AP110" i="27" s="1"/>
  <c r="W110" i="27"/>
  <c r="AA109" i="27"/>
  <c r="AO109" i="27" s="1"/>
  <c r="AP109" i="27" s="1"/>
  <c r="W109" i="27"/>
  <c r="AG6" i="18"/>
  <c r="V43" i="42"/>
  <c r="T43" i="42"/>
  <c r="M110" i="28"/>
  <c r="I110" i="28"/>
  <c r="G109" i="28"/>
  <c r="M109" i="28"/>
  <c r="I109" i="28"/>
  <c r="AV10" i="19"/>
  <c r="AL120" i="49"/>
  <c r="AH120" i="49"/>
  <c r="AL119" i="49"/>
  <c r="AH119" i="49"/>
  <c r="AI117" i="49"/>
  <c r="AC124" i="42"/>
  <c r="AD124" i="42" s="1"/>
  <c r="AD123" i="42"/>
  <c r="AC128" i="42"/>
  <c r="X9" i="20"/>
  <c r="A128" i="31"/>
  <c r="B127" i="31"/>
  <c r="O118" i="45"/>
  <c r="P117" i="45"/>
  <c r="Y119" i="59"/>
  <c r="W120" i="59"/>
  <c r="W119" i="59"/>
  <c r="Y120" i="59"/>
  <c r="W135" i="32"/>
  <c r="AA134" i="32"/>
  <c r="AO134" i="32" s="1"/>
  <c r="AP134" i="32" s="1"/>
  <c r="W134" i="32"/>
  <c r="AA135" i="32"/>
  <c r="AO135" i="32" s="1"/>
  <c r="AP135" i="32" s="1"/>
  <c r="V52" i="43"/>
  <c r="T52" i="43"/>
  <c r="T48" i="43"/>
  <c r="V48" i="43"/>
  <c r="Y100" i="34"/>
  <c r="Y99" i="34"/>
  <c r="F92" i="45"/>
  <c r="AA6" i="17"/>
  <c r="AG6" i="17" s="1"/>
  <c r="P118" i="48"/>
  <c r="Q118" i="48" s="1"/>
  <c r="O119" i="48"/>
  <c r="A128" i="27"/>
  <c r="B127" i="27"/>
  <c r="B131" i="28"/>
  <c r="A136" i="28"/>
  <c r="A132" i="28"/>
  <c r="AG88" i="50"/>
  <c r="G103" i="26"/>
  <c r="C102" i="26"/>
  <c r="AA115" i="35"/>
  <c r="AO115" i="35" s="1"/>
  <c r="AP115" i="35" s="1"/>
  <c r="W115" i="35"/>
  <c r="AA114" i="35"/>
  <c r="AO114" i="35" s="1"/>
  <c r="AP114" i="35" s="1"/>
  <c r="W114" i="35"/>
  <c r="B122" i="48"/>
  <c r="A123" i="48"/>
  <c r="M104" i="36"/>
  <c r="I104" i="36"/>
  <c r="M105" i="36"/>
  <c r="I105" i="36"/>
  <c r="G104" i="36"/>
  <c r="B131" i="40"/>
  <c r="A136" i="40"/>
  <c r="A132" i="40"/>
  <c r="G4" i="15"/>
  <c r="G102" i="32"/>
  <c r="K104" i="32"/>
  <c r="K105" i="32"/>
  <c r="C114" i="27"/>
  <c r="C113" i="27"/>
  <c r="K104" i="40"/>
  <c r="G102" i="40"/>
  <c r="K105" i="40"/>
  <c r="A124" i="38"/>
  <c r="B123" i="38"/>
  <c r="W109" i="39"/>
  <c r="W110" i="39"/>
  <c r="AA109" i="39"/>
  <c r="AO109" i="39" s="1"/>
  <c r="AP109" i="39" s="1"/>
  <c r="AA110" i="39"/>
  <c r="AO110" i="39" s="1"/>
  <c r="AP110" i="39" s="1"/>
  <c r="O118" i="50"/>
  <c r="P117" i="50"/>
  <c r="AJ120" i="28"/>
  <c r="AJ119" i="28"/>
  <c r="B122" i="39"/>
  <c r="A123" i="39"/>
  <c r="C107" i="33"/>
  <c r="G108" i="33"/>
  <c r="P109" i="45"/>
  <c r="O110" i="45"/>
  <c r="P110" i="45" s="1"/>
  <c r="O118" i="40"/>
  <c r="P117" i="40"/>
  <c r="O118" i="37"/>
  <c r="P117" i="37"/>
  <c r="M104" i="30"/>
  <c r="I104" i="30"/>
  <c r="M105" i="30"/>
  <c r="I105" i="30"/>
  <c r="G104" i="30"/>
  <c r="F47" i="41"/>
  <c r="B114" i="43"/>
  <c r="A115" i="43"/>
  <c r="B115" i="43" s="1"/>
  <c r="AL120" i="31"/>
  <c r="AH120" i="31"/>
  <c r="AI117" i="31"/>
  <c r="AL119" i="31"/>
  <c r="AH119" i="31"/>
  <c r="T92" i="33"/>
  <c r="T95" i="33" s="1"/>
  <c r="X94" i="33" s="1"/>
  <c r="AB94" i="33" s="1"/>
  <c r="V92" i="33"/>
  <c r="V95" i="33" s="1"/>
  <c r="P121" i="28"/>
  <c r="O126" i="28"/>
  <c r="O122" i="28"/>
  <c r="A123" i="36"/>
  <c r="B122" i="36"/>
  <c r="A120" i="40"/>
  <c r="B120" i="40" s="1"/>
  <c r="B119" i="40"/>
  <c r="A124" i="28"/>
  <c r="B123" i="28"/>
  <c r="AJ120" i="39"/>
  <c r="AJ119" i="39"/>
  <c r="K114" i="59"/>
  <c r="I113" i="59"/>
  <c r="I114" i="59"/>
  <c r="G111" i="59"/>
  <c r="K113" i="59"/>
  <c r="J50" i="44"/>
  <c r="J49" i="44"/>
  <c r="J62" i="46"/>
  <c r="A120" i="34"/>
  <c r="B120" i="34" s="1"/>
  <c r="B119" i="34"/>
  <c r="AL120" i="48"/>
  <c r="AH120" i="48"/>
  <c r="AI117" i="48"/>
  <c r="AL119" i="48"/>
  <c r="AH119" i="48"/>
  <c r="P113" i="44"/>
  <c r="Q113" i="44" s="1"/>
  <c r="O114" i="44"/>
  <c r="P131" i="59"/>
  <c r="O132" i="59"/>
  <c r="P132" i="59" s="1"/>
  <c r="C109" i="37"/>
  <c r="C108" i="37"/>
  <c r="AO7" i="61"/>
  <c r="L65" i="66" s="1"/>
  <c r="AP7" i="15"/>
  <c r="B7" i="15"/>
  <c r="C14" i="47"/>
  <c r="T22" i="47" s="1"/>
  <c r="AJ115" i="29"/>
  <c r="AJ114" i="29"/>
  <c r="AA110" i="40"/>
  <c r="AO110" i="40" s="1"/>
  <c r="AP110" i="40" s="1"/>
  <c r="W110" i="40"/>
  <c r="AA109" i="40"/>
  <c r="AO109" i="40" s="1"/>
  <c r="AP109" i="40" s="1"/>
  <c r="W109" i="40"/>
  <c r="M110" i="29"/>
  <c r="I110" i="29"/>
  <c r="G109" i="29"/>
  <c r="M109" i="29"/>
  <c r="I109" i="29"/>
  <c r="A120" i="32"/>
  <c r="B120" i="32" s="1"/>
  <c r="B119" i="32"/>
  <c r="AL120" i="30"/>
  <c r="AH120" i="30"/>
  <c r="AI117" i="30"/>
  <c r="AL119" i="30"/>
  <c r="AH119" i="30"/>
  <c r="I105" i="39"/>
  <c r="I104" i="39"/>
  <c r="M105" i="39"/>
  <c r="M104" i="39"/>
  <c r="G104" i="39"/>
  <c r="AK39" i="43"/>
  <c r="AM39" i="43" s="1"/>
  <c r="AS39" i="43" s="1"/>
  <c r="Z39" i="43"/>
  <c r="AB39" i="43" s="1"/>
  <c r="L44" i="43"/>
  <c r="C107" i="44"/>
  <c r="G108" i="44"/>
  <c r="C114" i="32"/>
  <c r="C113" i="32"/>
  <c r="AI117" i="34"/>
  <c r="AL119" i="34"/>
  <c r="AH119" i="34"/>
  <c r="AL120" i="34"/>
  <c r="AH120" i="34"/>
  <c r="P109" i="28"/>
  <c r="O110" i="28"/>
  <c r="P110" i="28" s="1"/>
  <c r="O115" i="26"/>
  <c r="P115" i="26" s="1"/>
  <c r="P114" i="26"/>
  <c r="A119" i="45"/>
  <c r="B118" i="45"/>
  <c r="O118" i="34"/>
  <c r="P117" i="34"/>
  <c r="C114" i="44"/>
  <c r="C113" i="44"/>
  <c r="M110" i="40"/>
  <c r="I110" i="40"/>
  <c r="G109" i="40"/>
  <c r="M109" i="40"/>
  <c r="I109" i="40"/>
  <c r="B126" i="26"/>
  <c r="A131" i="26"/>
  <c r="A127" i="26"/>
  <c r="G102" i="42"/>
  <c r="K105" i="42"/>
  <c r="K104" i="42"/>
  <c r="Q102" i="46"/>
  <c r="Q104" i="46"/>
  <c r="C125" i="59"/>
  <c r="C124" i="59"/>
  <c r="R48" i="42"/>
  <c r="AE53" i="42"/>
  <c r="AE49" i="42"/>
  <c r="AG49" i="42" s="1"/>
  <c r="R44" i="42"/>
  <c r="D49" i="42"/>
  <c r="F49" i="42" s="1"/>
  <c r="H49" i="42" s="1"/>
  <c r="R52" i="42"/>
  <c r="D57" i="42"/>
  <c r="AV15" i="24"/>
  <c r="Q109" i="36"/>
  <c r="Q107" i="36"/>
  <c r="A115" i="48"/>
  <c r="B115" i="48" s="1"/>
  <c r="B114" i="48"/>
  <c r="F97" i="50"/>
  <c r="AA115" i="38"/>
  <c r="AO115" i="38" s="1"/>
  <c r="AP115" i="38" s="1"/>
  <c r="W115" i="38"/>
  <c r="AA114" i="38"/>
  <c r="AO114" i="38" s="1"/>
  <c r="AP114" i="38" s="1"/>
  <c r="W114" i="38"/>
  <c r="F97" i="49"/>
  <c r="O131" i="42"/>
  <c r="O127" i="42"/>
  <c r="P126" i="42"/>
  <c r="AC124" i="37"/>
  <c r="AD124" i="37" s="1"/>
  <c r="AD123" i="37"/>
  <c r="AC128" i="37"/>
  <c r="AJ120" i="45"/>
  <c r="AJ119" i="45"/>
  <c r="B127" i="35"/>
  <c r="A128" i="35"/>
  <c r="O114" i="28"/>
  <c r="P113" i="28"/>
  <c r="Q113" i="28" s="1"/>
  <c r="AC148" i="59"/>
  <c r="AC143" i="59"/>
  <c r="AD143" i="59" s="1"/>
  <c r="AD142" i="59"/>
  <c r="X102" i="41"/>
  <c r="P122" i="48"/>
  <c r="O123" i="48"/>
  <c r="P113" i="49"/>
  <c r="Q113" i="49" s="1"/>
  <c r="O114" i="49"/>
  <c r="C114" i="31"/>
  <c r="C113" i="31"/>
  <c r="AP6" i="61"/>
  <c r="B6" i="14"/>
  <c r="C15" i="48"/>
  <c r="D97" i="48" s="1"/>
  <c r="AP6" i="14"/>
  <c r="B122" i="37"/>
  <c r="A123" i="37"/>
  <c r="Y105" i="48"/>
  <c r="Y104" i="48"/>
  <c r="G97" i="39"/>
  <c r="K100" i="39"/>
  <c r="K99" i="39"/>
  <c r="M110" i="50"/>
  <c r="I110" i="50"/>
  <c r="G109" i="50"/>
  <c r="M109" i="50"/>
  <c r="I109" i="50"/>
  <c r="P114" i="47"/>
  <c r="O115" i="47"/>
  <c r="P115" i="47" s="1"/>
  <c r="F92" i="43"/>
  <c r="AC144" i="46"/>
  <c r="AD144" i="46" s="1"/>
  <c r="AD143" i="46"/>
  <c r="AC148" i="46"/>
  <c r="K105" i="33"/>
  <c r="K104" i="33"/>
  <c r="G102" i="33"/>
  <c r="B127" i="29"/>
  <c r="A128" i="29"/>
  <c r="V92" i="43"/>
  <c r="V95" i="43" s="1"/>
  <c r="T92" i="43"/>
  <c r="T95" i="43" s="1"/>
  <c r="X94" i="43" s="1"/>
  <c r="AB94" i="43" s="1"/>
  <c r="G119" i="59"/>
  <c r="M119" i="59"/>
  <c r="M120" i="59"/>
  <c r="C113" i="29"/>
  <c r="C114" i="29"/>
  <c r="AJ130" i="40"/>
  <c r="AJ129" i="40"/>
  <c r="AF7" i="53"/>
  <c r="AI75" i="49"/>
  <c r="AA110" i="43"/>
  <c r="AO110" i="43" s="1"/>
  <c r="AP110" i="43" s="1"/>
  <c r="W110" i="43"/>
  <c r="AA109" i="43"/>
  <c r="AO109" i="43" s="1"/>
  <c r="AP109" i="43" s="1"/>
  <c r="W109" i="43"/>
  <c r="AE64" i="45"/>
  <c r="AG64" i="45" s="1"/>
  <c r="AE68" i="45"/>
  <c r="R63" i="45"/>
  <c r="D64" i="45"/>
  <c r="R59" i="45"/>
  <c r="AC128" i="32"/>
  <c r="AC124" i="32"/>
  <c r="AD124" i="32" s="1"/>
  <c r="AD123" i="32"/>
  <c r="C114" i="33"/>
  <c r="C113" i="33"/>
  <c r="P109" i="34"/>
  <c r="O110" i="34"/>
  <c r="P110" i="34" s="1"/>
  <c r="P118" i="36"/>
  <c r="Q118" i="36" s="1"/>
  <c r="O119" i="36"/>
  <c r="AV11" i="20"/>
  <c r="C109" i="43"/>
  <c r="C108" i="43"/>
  <c r="Q109" i="48"/>
  <c r="Q107" i="48"/>
  <c r="C113" i="49"/>
  <c r="C114" i="49"/>
  <c r="Y105" i="35"/>
  <c r="Y104" i="35"/>
  <c r="AG70" i="47"/>
  <c r="AC124" i="33"/>
  <c r="AD124" i="33" s="1"/>
  <c r="AD123" i="33"/>
  <c r="AC128" i="33"/>
  <c r="V92" i="49"/>
  <c r="V95" i="49" s="1"/>
  <c r="T92" i="49"/>
  <c r="T95" i="49" s="1"/>
  <c r="X94" i="49" s="1"/>
  <c r="AB94" i="49" s="1"/>
  <c r="F78" i="48"/>
  <c r="V64" i="48"/>
  <c r="V65" i="48" s="1"/>
  <c r="T64" i="48"/>
  <c r="T65" i="48" s="1"/>
  <c r="X64" i="48" s="1"/>
  <c r="O114" i="34"/>
  <c r="P113" i="34"/>
  <c r="Q113" i="34" s="1"/>
  <c r="O131" i="29"/>
  <c r="O127" i="29"/>
  <c r="P126" i="29"/>
  <c r="AF11" i="23"/>
  <c r="AV13" i="22"/>
  <c r="X102" i="36"/>
  <c r="A119" i="26"/>
  <c r="B118" i="26"/>
  <c r="V62" i="45"/>
  <c r="T62" i="45"/>
  <c r="T58" i="45"/>
  <c r="V58" i="45"/>
  <c r="C102" i="45"/>
  <c r="G103" i="45"/>
  <c r="B131" i="50"/>
  <c r="A136" i="50"/>
  <c r="A132" i="50"/>
  <c r="O118" i="33"/>
  <c r="P117" i="33"/>
  <c r="A124" i="42"/>
  <c r="B123" i="42"/>
  <c r="A120" i="33"/>
  <c r="B120" i="33" s="1"/>
  <c r="B119" i="33"/>
  <c r="F42" i="40"/>
  <c r="T33" i="40"/>
  <c r="V33" i="40"/>
  <c r="AG11" i="22"/>
  <c r="P117" i="39"/>
  <c r="O118" i="39"/>
  <c r="G103" i="48"/>
  <c r="C102" i="48"/>
  <c r="C107" i="47"/>
  <c r="G108" i="47"/>
  <c r="Q104" i="43"/>
  <c r="Q102" i="43"/>
  <c r="AJ119" i="36"/>
  <c r="AJ120" i="36"/>
  <c r="V72" i="46"/>
  <c r="T72" i="46"/>
  <c r="O152" i="59"/>
  <c r="O147" i="59"/>
  <c r="P146" i="59"/>
  <c r="C107" i="28"/>
  <c r="G108" i="28"/>
  <c r="AE59" i="44"/>
  <c r="AG59" i="44" s="1"/>
  <c r="AE63" i="44"/>
  <c r="D59" i="44"/>
  <c r="F59" i="44" s="1"/>
  <c r="H59" i="44" s="1"/>
  <c r="R58" i="44"/>
  <c r="R54" i="44"/>
  <c r="D63" i="44"/>
  <c r="F63" i="44" s="1"/>
  <c r="H63" i="44" s="1"/>
  <c r="R62" i="44"/>
  <c r="O118" i="27"/>
  <c r="P117" i="27"/>
  <c r="AA115" i="41"/>
  <c r="AO115" i="41" s="1"/>
  <c r="AP115" i="41" s="1"/>
  <c r="W115" i="41"/>
  <c r="AA114" i="41"/>
  <c r="AO114" i="41" s="1"/>
  <c r="AP114" i="41" s="1"/>
  <c r="W114" i="41"/>
  <c r="H4" i="13"/>
  <c r="I4" i="13" s="1"/>
  <c r="D4" i="13"/>
  <c r="J54" i="45"/>
  <c r="X95" i="30"/>
  <c r="AB95" i="30" s="1"/>
  <c r="AR95" i="30" s="1"/>
  <c r="M104" i="48"/>
  <c r="I104" i="48"/>
  <c r="M105" i="48"/>
  <c r="I105" i="48"/>
  <c r="G104" i="48"/>
  <c r="AA110" i="46"/>
  <c r="AO110" i="46" s="1"/>
  <c r="AP110" i="46" s="1"/>
  <c r="W110" i="46"/>
  <c r="AA109" i="46"/>
  <c r="AO109" i="46" s="1"/>
  <c r="AP109" i="46" s="1"/>
  <c r="W109" i="46"/>
  <c r="G11" i="22"/>
  <c r="M105" i="37"/>
  <c r="I105" i="37"/>
  <c r="G104" i="37"/>
  <c r="M104" i="37"/>
  <c r="I104" i="37"/>
  <c r="V94" i="37"/>
  <c r="T94" i="37"/>
  <c r="A124" i="35"/>
  <c r="B123" i="35"/>
  <c r="O115" i="41"/>
  <c r="P115" i="41" s="1"/>
  <c r="P114" i="41"/>
  <c r="AV4" i="13"/>
  <c r="X97" i="45"/>
  <c r="Q107" i="35"/>
  <c r="Q109" i="35"/>
  <c r="P122" i="38"/>
  <c r="O123" i="38"/>
  <c r="K100" i="36"/>
  <c r="K99" i="36"/>
  <c r="G97" i="36"/>
  <c r="P109" i="46"/>
  <c r="O110" i="46"/>
  <c r="P110" i="46" s="1"/>
  <c r="O118" i="44"/>
  <c r="P117" i="44"/>
  <c r="B127" i="47"/>
  <c r="A128" i="47"/>
  <c r="P122" i="35"/>
  <c r="O123" i="35"/>
  <c r="O110" i="33"/>
  <c r="P110" i="33" s="1"/>
  <c r="P109" i="33"/>
  <c r="AA110" i="50"/>
  <c r="AO110" i="50" s="1"/>
  <c r="W110" i="50"/>
  <c r="AA109" i="50"/>
  <c r="AO109" i="50" s="1"/>
  <c r="W109" i="50"/>
  <c r="X95" i="36"/>
  <c r="AB95" i="36" s="1"/>
  <c r="AR95" i="36" s="1"/>
  <c r="V59" i="46"/>
  <c r="V60" i="46" s="1"/>
  <c r="T59" i="46"/>
  <c r="T60" i="46" s="1"/>
  <c r="X59" i="46" s="1"/>
  <c r="AM9" i="61"/>
  <c r="AP9" i="17"/>
  <c r="C12" i="45"/>
  <c r="B9" i="17"/>
  <c r="O118" i="46"/>
  <c r="P117" i="46"/>
  <c r="X97" i="37"/>
  <c r="O142" i="59"/>
  <c r="P141" i="59"/>
  <c r="C102" i="46"/>
  <c r="G103" i="46"/>
  <c r="AA13" i="24"/>
  <c r="AG13" i="24" s="1"/>
  <c r="A120" i="31"/>
  <c r="B120" i="31" s="1"/>
  <c r="B119" i="31"/>
  <c r="M109" i="42"/>
  <c r="I109" i="42"/>
  <c r="M110" i="42"/>
  <c r="I110" i="42"/>
  <c r="G109" i="42"/>
  <c r="H64" i="47"/>
  <c r="H65" i="47" s="1"/>
  <c r="J65" i="47" s="1"/>
  <c r="F65" i="47"/>
  <c r="J64" i="47" s="1"/>
  <c r="A120" i="35"/>
  <c r="B120" i="35" s="1"/>
  <c r="B119" i="35"/>
  <c r="AV14" i="23"/>
  <c r="V94" i="49"/>
  <c r="T94" i="49"/>
  <c r="H7" i="16"/>
  <c r="I7" i="16" s="1"/>
  <c r="D7" i="16"/>
  <c r="F7" i="16" s="1"/>
  <c r="G7" i="16" s="1"/>
  <c r="O110" i="44"/>
  <c r="P110" i="44" s="1"/>
  <c r="P109" i="44"/>
  <c r="AC124" i="50"/>
  <c r="AD124" i="50" s="1"/>
  <c r="AD123" i="50"/>
  <c r="AC128" i="50"/>
  <c r="AV10" i="53"/>
  <c r="H10" i="19"/>
  <c r="I10" i="19" s="1"/>
  <c r="D10" i="19"/>
  <c r="V94" i="39"/>
  <c r="T94" i="39"/>
  <c r="A124" i="41"/>
  <c r="B123" i="41"/>
  <c r="Y14" i="24"/>
  <c r="AJ120" i="42"/>
  <c r="AJ119" i="42"/>
  <c r="A136" i="31"/>
  <c r="A132" i="31"/>
  <c r="B131" i="31"/>
  <c r="K105" i="27"/>
  <c r="K104" i="27"/>
  <c r="G102" i="27"/>
  <c r="X117" i="59"/>
  <c r="P134" i="32"/>
  <c r="O135" i="32"/>
  <c r="P135" i="32" s="1"/>
  <c r="AE65" i="46"/>
  <c r="AI64" i="46" s="1"/>
  <c r="F49" i="43"/>
  <c r="J47" i="43"/>
  <c r="AG53" i="43"/>
  <c r="P113" i="33"/>
  <c r="Q113" i="33" s="1"/>
  <c r="O114" i="33"/>
  <c r="V94" i="50"/>
  <c r="T94" i="50"/>
  <c r="A136" i="27"/>
  <c r="A132" i="27"/>
  <c r="B131" i="27"/>
  <c r="O127" i="30"/>
  <c r="P126" i="30"/>
  <c r="O131" i="30"/>
  <c r="F95" i="42"/>
  <c r="H92" i="42"/>
  <c r="H95" i="42" s="1"/>
  <c r="M104" i="26"/>
  <c r="I104" i="26"/>
  <c r="M105" i="26"/>
  <c r="I105" i="26"/>
  <c r="G104" i="26"/>
  <c r="O115" i="35"/>
  <c r="P115" i="35" s="1"/>
  <c r="P114" i="35"/>
  <c r="H42" i="41"/>
  <c r="B126" i="48"/>
  <c r="A131" i="48"/>
  <c r="A127" i="48"/>
  <c r="Q109" i="47"/>
  <c r="Q107" i="47"/>
  <c r="C102" i="36"/>
  <c r="G103" i="36"/>
  <c r="C114" i="47"/>
  <c r="C113" i="47"/>
  <c r="A128" i="33"/>
  <c r="B127" i="33"/>
  <c r="AG83" i="49"/>
  <c r="H92" i="34"/>
  <c r="H95" i="34" s="1"/>
  <c r="F95" i="34"/>
  <c r="O118" i="31"/>
  <c r="P117" i="31"/>
  <c r="AC119" i="35"/>
  <c r="AD119" i="35" s="1"/>
  <c r="AD118" i="35"/>
  <c r="AC123" i="35"/>
  <c r="O110" i="39"/>
  <c r="P110" i="39" s="1"/>
  <c r="P109" i="39"/>
  <c r="P121" i="50"/>
  <c r="O126" i="50"/>
  <c r="O122" i="50"/>
  <c r="AI117" i="28"/>
  <c r="AL119" i="28"/>
  <c r="AH119" i="28"/>
  <c r="AL120" i="28"/>
  <c r="AH120" i="28"/>
  <c r="T92" i="44"/>
  <c r="T95" i="44" s="1"/>
  <c r="X94" i="44" s="1"/>
  <c r="V92" i="44"/>
  <c r="V95" i="44" s="1"/>
  <c r="A120" i="41"/>
  <c r="B120" i="41" s="1"/>
  <c r="B119" i="41"/>
  <c r="B126" i="39"/>
  <c r="A131" i="39"/>
  <c r="A127" i="39"/>
  <c r="M109" i="33"/>
  <c r="I109" i="33"/>
  <c r="M110" i="33"/>
  <c r="I110" i="33"/>
  <c r="G109" i="33"/>
  <c r="F10" i="20"/>
  <c r="B126" i="46"/>
  <c r="A127" i="46"/>
  <c r="A131" i="46"/>
  <c r="V94" i="27"/>
  <c r="T94" i="27"/>
  <c r="P121" i="40"/>
  <c r="O126" i="40"/>
  <c r="O122" i="40"/>
  <c r="P121" i="37"/>
  <c r="O126" i="37"/>
  <c r="O122" i="37"/>
  <c r="Q102" i="45"/>
  <c r="Q104" i="45"/>
  <c r="P113" i="43"/>
  <c r="Q113" i="43" s="1"/>
  <c r="O114" i="43"/>
  <c r="V38" i="41"/>
  <c r="T38" i="41"/>
  <c r="V34" i="41"/>
  <c r="V35" i="41" s="1"/>
  <c r="X35" i="41" s="1"/>
  <c r="AB35" i="41" s="1"/>
  <c r="T34" i="41"/>
  <c r="T35" i="41" s="1"/>
  <c r="X34" i="41" s="1"/>
  <c r="AB34" i="41" s="1"/>
  <c r="AJ119" i="26"/>
  <c r="AJ120" i="26"/>
  <c r="P113" i="27"/>
  <c r="Q113" i="27" s="1"/>
  <c r="O114" i="27"/>
  <c r="A128" i="44"/>
  <c r="B127" i="44"/>
  <c r="A131" i="36"/>
  <c r="A127" i="36"/>
  <c r="B126" i="36"/>
  <c r="A124" i="27"/>
  <c r="B123" i="27"/>
  <c r="F95" i="27"/>
  <c r="H92" i="27"/>
  <c r="H95" i="27" s="1"/>
  <c r="C109" i="46"/>
  <c r="C108" i="46"/>
  <c r="B122" i="43"/>
  <c r="A123" i="43"/>
  <c r="H44" i="43"/>
  <c r="H45" i="43" s="1"/>
  <c r="J45" i="43" s="1"/>
  <c r="F45" i="43"/>
  <c r="J44" i="43" s="1"/>
  <c r="AL120" i="39"/>
  <c r="AI117" i="39"/>
  <c r="AH119" i="39"/>
  <c r="AL119" i="39"/>
  <c r="AH120" i="39"/>
  <c r="G103" i="43"/>
  <c r="C102" i="43"/>
  <c r="Y105" i="42"/>
  <c r="Y104" i="42"/>
  <c r="AC128" i="48"/>
  <c r="AC124" i="48"/>
  <c r="AD124" i="48" s="1"/>
  <c r="AD123" i="48"/>
  <c r="D102" i="50"/>
  <c r="K104" i="50"/>
  <c r="G102" i="50"/>
  <c r="K105" i="50"/>
  <c r="C107" i="31"/>
  <c r="G108" i="31"/>
  <c r="Y100" i="49"/>
  <c r="Y99" i="49"/>
  <c r="V117" i="32"/>
  <c r="V120" i="32" s="1"/>
  <c r="T117" i="32"/>
  <c r="T120" i="32" s="1"/>
  <c r="X119" i="32" s="1"/>
  <c r="AB119" i="32" s="1"/>
  <c r="O110" i="49"/>
  <c r="P110" i="49" s="1"/>
  <c r="P109" i="49"/>
  <c r="A124" i="40"/>
  <c r="B123" i="40"/>
  <c r="AC119" i="44"/>
  <c r="AD119" i="44" s="1"/>
  <c r="AD118" i="44"/>
  <c r="AC123" i="44"/>
  <c r="G8" i="19"/>
  <c r="AV6" i="15"/>
  <c r="AL114" i="29"/>
  <c r="AH114" i="29"/>
  <c r="AL115" i="29"/>
  <c r="AH115" i="29"/>
  <c r="AI112" i="29"/>
  <c r="AI60" i="46"/>
  <c r="AM60" i="46" s="1"/>
  <c r="AS60" i="46" s="1"/>
  <c r="C109" i="39"/>
  <c r="C108" i="39"/>
  <c r="P109" i="40"/>
  <c r="O110" i="40"/>
  <c r="P110" i="40" s="1"/>
  <c r="C107" i="29"/>
  <c r="G108" i="29"/>
  <c r="A115" i="45"/>
  <c r="B115" i="45" s="1"/>
  <c r="B114" i="45"/>
  <c r="H47" i="42"/>
  <c r="O115" i="48"/>
  <c r="P115" i="48" s="1"/>
  <c r="P114" i="48"/>
  <c r="AA115" i="29"/>
  <c r="AO115" i="29" s="1"/>
  <c r="AP115" i="29" s="1"/>
  <c r="W115" i="29"/>
  <c r="AA114" i="29"/>
  <c r="AO114" i="29" s="1"/>
  <c r="AP114" i="29" s="1"/>
  <c r="W114" i="29"/>
  <c r="AC128" i="30"/>
  <c r="AC124" i="30"/>
  <c r="AD124" i="30" s="1"/>
  <c r="AD123" i="30"/>
  <c r="AG58" i="44"/>
  <c r="AK40" i="43"/>
  <c r="AM40" i="43" s="1"/>
  <c r="AS40" i="43" s="1"/>
  <c r="L45" i="43"/>
  <c r="Z40" i="43"/>
  <c r="A120" i="50"/>
  <c r="B120" i="50" s="1"/>
  <c r="B119" i="50"/>
  <c r="M109" i="44"/>
  <c r="I109" i="44"/>
  <c r="M110" i="44"/>
  <c r="I110" i="44"/>
  <c r="G109" i="44"/>
  <c r="AA115" i="26"/>
  <c r="AO115" i="26" s="1"/>
  <c r="AP115" i="26" s="1"/>
  <c r="W115" i="26"/>
  <c r="AA114" i="26"/>
  <c r="AO114" i="26" s="1"/>
  <c r="AP114" i="26" s="1"/>
  <c r="W114" i="26"/>
  <c r="P121" i="34"/>
  <c r="O126" i="34"/>
  <c r="O122" i="34"/>
  <c r="Q104" i="33"/>
  <c r="Q102" i="33"/>
  <c r="K99" i="37"/>
  <c r="G97" i="37"/>
  <c r="K100" i="37"/>
  <c r="AV12" i="21"/>
  <c r="AF16" i="61"/>
  <c r="AP16" i="24"/>
  <c r="B16" i="24"/>
  <c r="C5" i="38"/>
  <c r="Y100" i="44"/>
  <c r="Y99" i="44"/>
  <c r="O114" i="45"/>
  <c r="P113" i="45"/>
  <c r="Q113" i="45" s="1"/>
  <c r="H92" i="32"/>
  <c r="H95" i="32" s="1"/>
  <c r="F95" i="32"/>
  <c r="A128" i="42"/>
  <c r="B127" i="42"/>
  <c r="O131" i="47"/>
  <c r="P126" i="47"/>
  <c r="O127" i="47"/>
  <c r="O115" i="38"/>
  <c r="P115" i="38" s="1"/>
  <c r="P114" i="38"/>
  <c r="X95" i="41"/>
  <c r="AB95" i="41" s="1"/>
  <c r="AR95" i="41" s="1"/>
  <c r="Q104" i="27"/>
  <c r="Q102" i="27"/>
  <c r="K104" i="34"/>
  <c r="G102" i="34"/>
  <c r="K105" i="34"/>
  <c r="K104" i="41"/>
  <c r="G102" i="41"/>
  <c r="K105" i="41"/>
  <c r="AJ120" i="37"/>
  <c r="AJ119" i="37"/>
  <c r="AL119" i="45"/>
  <c r="AH119" i="45"/>
  <c r="AH120" i="45"/>
  <c r="AL120" i="45"/>
  <c r="AI117" i="45"/>
  <c r="A124" i="44"/>
  <c r="B123" i="44"/>
  <c r="X97" i="28"/>
  <c r="C114" i="42"/>
  <c r="C113" i="42"/>
  <c r="B131" i="35"/>
  <c r="A136" i="35"/>
  <c r="A132" i="35"/>
  <c r="AL137" i="59"/>
  <c r="AL138" i="59"/>
  <c r="Y105" i="41"/>
  <c r="Y104" i="41"/>
  <c r="AV5" i="14"/>
  <c r="Y4" i="14"/>
  <c r="AC119" i="41"/>
  <c r="AD119" i="41" s="1"/>
  <c r="AD118" i="41"/>
  <c r="AC123" i="41"/>
  <c r="G10" i="21"/>
  <c r="B126" i="37"/>
  <c r="A131" i="37"/>
  <c r="A127" i="37"/>
  <c r="H62" i="45"/>
  <c r="X102" i="48"/>
  <c r="F65" i="46"/>
  <c r="W115" i="47"/>
  <c r="AA114" i="47"/>
  <c r="AO114" i="47" s="1"/>
  <c r="AP114" i="47" s="1"/>
  <c r="AA115" i="47"/>
  <c r="AO115" i="47" s="1"/>
  <c r="AP115" i="47" s="1"/>
  <c r="W114" i="47"/>
  <c r="O127" i="26"/>
  <c r="P126" i="26"/>
  <c r="O131" i="26"/>
  <c r="H92" i="41"/>
  <c r="H95" i="41" s="1"/>
  <c r="F95" i="41"/>
  <c r="AJ140" i="46"/>
  <c r="AJ139" i="46"/>
  <c r="B131" i="29"/>
  <c r="A136" i="29"/>
  <c r="A132" i="29"/>
  <c r="C117" i="59"/>
  <c r="G118" i="59"/>
  <c r="H57" i="44"/>
  <c r="A124" i="49"/>
  <c r="B123" i="49"/>
  <c r="Q107" i="29"/>
  <c r="Q109" i="29"/>
  <c r="AI127" i="40"/>
  <c r="AL129" i="40"/>
  <c r="AH129" i="40"/>
  <c r="AL130" i="40"/>
  <c r="AH130" i="40"/>
  <c r="AJ115" i="47"/>
  <c r="AJ114" i="47"/>
  <c r="AC124" i="27"/>
  <c r="AD124" i="27" s="1"/>
  <c r="AD123" i="27"/>
  <c r="AC128" i="27"/>
  <c r="O115" i="42"/>
  <c r="P115" i="42" s="1"/>
  <c r="P114" i="42"/>
  <c r="AF4" i="16"/>
  <c r="AF5" i="16" s="1"/>
  <c r="AV9" i="18"/>
  <c r="F69" i="47"/>
  <c r="J67" i="47"/>
  <c r="V94" i="46"/>
  <c r="T94" i="46"/>
  <c r="X97" i="46"/>
  <c r="F105" i="59"/>
  <c r="X95" i="29"/>
  <c r="AB95" i="29" s="1"/>
  <c r="AR94" i="29" s="1"/>
  <c r="AF6" i="19"/>
  <c r="AF7" i="19" s="1"/>
  <c r="AE54" i="43"/>
  <c r="AG54" i="43" s="1"/>
  <c r="AE58" i="43"/>
  <c r="R53" i="43"/>
  <c r="D54" i="43"/>
  <c r="D58" i="43"/>
  <c r="F58" i="43" s="1"/>
  <c r="H58" i="43" s="1"/>
  <c r="R57" i="43"/>
  <c r="D62" i="43"/>
  <c r="X97" i="50"/>
  <c r="AC119" i="38"/>
  <c r="AD119" i="38" s="1"/>
  <c r="AD118" i="38"/>
  <c r="AC123" i="38"/>
  <c r="AE70" i="47"/>
  <c r="AI69" i="47" s="1"/>
  <c r="X102" i="29"/>
  <c r="O122" i="43"/>
  <c r="P121" i="43"/>
  <c r="O126" i="43"/>
  <c r="AJ119" i="33"/>
  <c r="AJ120" i="33"/>
  <c r="Y104" i="47"/>
  <c r="Y105" i="47"/>
  <c r="F74" i="48"/>
  <c r="J72" i="48"/>
  <c r="M110" i="38"/>
  <c r="I110" i="38"/>
  <c r="G109" i="38"/>
  <c r="M109" i="38"/>
  <c r="I109" i="38"/>
  <c r="AE48" i="41"/>
  <c r="D44" i="41"/>
  <c r="AE44" i="41"/>
  <c r="AG44" i="41" s="1"/>
  <c r="R43" i="41"/>
  <c r="D48" i="41"/>
  <c r="F48" i="41" s="1"/>
  <c r="H48" i="41" s="1"/>
  <c r="K105" i="47"/>
  <c r="K104" i="47"/>
  <c r="G102" i="47"/>
  <c r="H72" i="46"/>
  <c r="AG63" i="45"/>
  <c r="C107" i="27"/>
  <c r="G108" i="27"/>
  <c r="F92" i="26"/>
  <c r="F95" i="31"/>
  <c r="H92" i="31"/>
  <c r="H95" i="31" s="1"/>
  <c r="A115" i="37"/>
  <c r="B115" i="37" s="1"/>
  <c r="B114" i="37"/>
  <c r="M105" i="45"/>
  <c r="I105" i="45"/>
  <c r="G104" i="45"/>
  <c r="M104" i="45"/>
  <c r="I104" i="45"/>
  <c r="Q104" i="44"/>
  <c r="Q102" i="44"/>
  <c r="C107" i="34"/>
  <c r="G108" i="34"/>
  <c r="M110" i="41"/>
  <c r="I110" i="41"/>
  <c r="G109" i="41"/>
  <c r="M109" i="41"/>
  <c r="I109" i="41"/>
  <c r="O110" i="31"/>
  <c r="P110" i="31" s="1"/>
  <c r="P109" i="31"/>
  <c r="Q102" i="34"/>
  <c r="Q104" i="34"/>
  <c r="AG34" i="40"/>
  <c r="AG35" i="40" s="1"/>
  <c r="AE35" i="40"/>
  <c r="AI34" i="40" s="1"/>
  <c r="AM34" i="40" s="1"/>
  <c r="AS34" i="40" s="1"/>
  <c r="V37" i="40"/>
  <c r="T37" i="40"/>
  <c r="AA12" i="23"/>
  <c r="AG12" i="23" s="1"/>
  <c r="P117" i="49"/>
  <c r="O118" i="49"/>
  <c r="A136" i="47"/>
  <c r="A132" i="47"/>
  <c r="B131" i="47"/>
  <c r="B127" i="38"/>
  <c r="A128" i="38"/>
  <c r="C102" i="37"/>
  <c r="G103" i="37"/>
  <c r="AE69" i="46"/>
  <c r="AG69" i="46" s="1"/>
  <c r="AE73" i="46"/>
  <c r="R68" i="46"/>
  <c r="D69" i="46"/>
  <c r="P122" i="36"/>
  <c r="O123" i="36"/>
  <c r="B126" i="30"/>
  <c r="A131" i="30"/>
  <c r="A127" i="30"/>
  <c r="V94" i="28"/>
  <c r="T94" i="28"/>
  <c r="D43" i="40"/>
  <c r="F43" i="40" s="1"/>
  <c r="H43" i="40" s="1"/>
  <c r="AE43" i="40"/>
  <c r="R34" i="40"/>
  <c r="R38" i="40"/>
  <c r="AE39" i="40"/>
  <c r="AG39" i="40" s="1"/>
  <c r="D39" i="40"/>
  <c r="F39" i="40" s="1"/>
  <c r="H39" i="40" s="1"/>
  <c r="R42" i="40"/>
  <c r="D47" i="40"/>
  <c r="AN8" i="61"/>
  <c r="L87" i="66" s="1"/>
  <c r="B8" i="16"/>
  <c r="C13" i="46"/>
  <c r="AH4" i="46" s="1"/>
  <c r="AJ4" i="46" s="1"/>
  <c r="AL4" i="46" s="1"/>
  <c r="AP8" i="16"/>
  <c r="O110" i="27"/>
  <c r="P110" i="27" s="1"/>
  <c r="P109" i="27"/>
  <c r="F44" i="42"/>
  <c r="J42" i="42"/>
  <c r="AI117" i="50"/>
  <c r="AL119" i="50"/>
  <c r="AH119" i="50"/>
  <c r="AL120" i="50"/>
  <c r="AH120" i="50"/>
  <c r="AJ119" i="49"/>
  <c r="AJ120" i="49"/>
  <c r="AG4" i="15"/>
  <c r="AQ5" i="61"/>
  <c r="C16" i="49"/>
  <c r="AP5" i="13"/>
  <c r="B5" i="13"/>
  <c r="O122" i="27"/>
  <c r="P121" i="27"/>
  <c r="O126" i="27"/>
  <c r="V92" i="50"/>
  <c r="V95" i="50" s="1"/>
  <c r="T92" i="50"/>
  <c r="T95" i="50" s="1"/>
  <c r="X94" i="50" s="1"/>
  <c r="Q102" i="39"/>
  <c r="Q104" i="39"/>
  <c r="M110" i="35"/>
  <c r="I110" i="35"/>
  <c r="G109" i="35"/>
  <c r="M109" i="35"/>
  <c r="I109" i="35"/>
  <c r="O122" i="49"/>
  <c r="O126" i="49"/>
  <c r="P121" i="49"/>
  <c r="P142" i="32"/>
  <c r="O143" i="32"/>
  <c r="B119" i="47"/>
  <c r="A120" i="47"/>
  <c r="B120" i="47" s="1"/>
  <c r="AE89" i="50"/>
  <c r="AG89" i="50" s="1"/>
  <c r="AE93" i="50"/>
  <c r="R88" i="50"/>
  <c r="D89" i="50"/>
  <c r="A119" i="37"/>
  <c r="B118" i="37"/>
  <c r="Y100" i="45"/>
  <c r="Y99" i="45"/>
  <c r="O131" i="38"/>
  <c r="O127" i="38"/>
  <c r="P126" i="38"/>
  <c r="O131" i="35"/>
  <c r="O127" i="35"/>
  <c r="P126" i="35"/>
  <c r="AC124" i="36"/>
  <c r="AD124" i="36" s="1"/>
  <c r="AD123" i="36"/>
  <c r="AC128" i="36"/>
  <c r="AA110" i="33"/>
  <c r="AO110" i="33" s="1"/>
  <c r="AP110" i="33" s="1"/>
  <c r="W110" i="33"/>
  <c r="AA109" i="33"/>
  <c r="AO109" i="33" s="1"/>
  <c r="AP109" i="33" s="1"/>
  <c r="W109" i="33"/>
  <c r="P109" i="50"/>
  <c r="O110" i="50"/>
  <c r="P110" i="50" s="1"/>
  <c r="C109" i="30"/>
  <c r="C108" i="30"/>
  <c r="H78" i="49"/>
  <c r="H80" i="49" s="1"/>
  <c r="F80" i="49"/>
  <c r="H8" i="17"/>
  <c r="I8" i="17" s="1"/>
  <c r="D8" i="17"/>
  <c r="P121" i="46"/>
  <c r="O126" i="46"/>
  <c r="O122" i="46"/>
  <c r="Y100" i="37"/>
  <c r="Y99" i="37"/>
  <c r="V94" i="44"/>
  <c r="T94" i="44"/>
  <c r="O127" i="36"/>
  <c r="O131" i="36"/>
  <c r="P126" i="36"/>
  <c r="B122" i="30"/>
  <c r="A123" i="30"/>
  <c r="M105" i="46"/>
  <c r="I105" i="46"/>
  <c r="G104" i="46"/>
  <c r="M104" i="46"/>
  <c r="I104" i="46"/>
  <c r="C108" i="36"/>
  <c r="C109" i="36"/>
  <c r="A119" i="46"/>
  <c r="B118" i="46"/>
  <c r="H92" i="40"/>
  <c r="H95" i="40" s="1"/>
  <c r="F95" i="40"/>
  <c r="J60" i="46"/>
  <c r="J59" i="46"/>
  <c r="H92" i="28"/>
  <c r="H95" i="28" s="1"/>
  <c r="F95" i="28"/>
  <c r="H14" i="23"/>
  <c r="I14" i="23" s="1"/>
  <c r="D14" i="23"/>
  <c r="F14" i="23" s="1"/>
  <c r="G14" i="23" s="1"/>
  <c r="AV7" i="16"/>
  <c r="AA110" i="44"/>
  <c r="AO110" i="44" s="1"/>
  <c r="AP110" i="44" s="1"/>
  <c r="W110" i="44"/>
  <c r="AA109" i="44"/>
  <c r="AO109" i="44" s="1"/>
  <c r="AP109" i="44" s="1"/>
  <c r="W109" i="44"/>
  <c r="G97" i="30"/>
  <c r="K100" i="30"/>
  <c r="K99" i="30"/>
  <c r="A120" i="27"/>
  <c r="B120" i="27" s="1"/>
  <c r="B119" i="27"/>
  <c r="V39" i="42"/>
  <c r="V40" i="42" s="1"/>
  <c r="T39" i="42"/>
  <c r="T40" i="42" s="1"/>
  <c r="X39" i="42" s="1"/>
  <c r="AG48" i="42"/>
  <c r="AJ120" i="50"/>
  <c r="AJ119" i="50"/>
  <c r="H10" i="53"/>
  <c r="I10" i="53" s="1"/>
  <c r="D10" i="53"/>
  <c r="AK11" i="61"/>
  <c r="AP11" i="19"/>
  <c r="C10" i="43"/>
  <c r="B11" i="19"/>
  <c r="AP11" i="53"/>
  <c r="B11" i="53"/>
  <c r="AC124" i="49"/>
  <c r="AD124" i="49" s="1"/>
  <c r="AD123" i="49"/>
  <c r="AC128" i="49"/>
  <c r="G97" i="48"/>
  <c r="K100" i="48"/>
  <c r="K99" i="48"/>
  <c r="AL119" i="42"/>
  <c r="AH119" i="42"/>
  <c r="AL120" i="42"/>
  <c r="AH120" i="42"/>
  <c r="AI117" i="42"/>
  <c r="T92" i="31"/>
  <c r="T95" i="31" s="1"/>
  <c r="X94" i="31" s="1"/>
  <c r="AB94" i="31" s="1"/>
  <c r="V92" i="31"/>
  <c r="V95" i="31" s="1"/>
  <c r="A115" i="46"/>
  <c r="B115" i="46" s="1"/>
  <c r="B114" i="46"/>
  <c r="O126" i="45"/>
  <c r="P121" i="45"/>
  <c r="O122" i="45"/>
  <c r="A124" i="50"/>
  <c r="B123" i="50"/>
  <c r="X97" i="40"/>
  <c r="O115" i="36"/>
  <c r="P115" i="36" s="1"/>
  <c r="P114" i="36"/>
  <c r="V44" i="43"/>
  <c r="V45" i="43" s="1"/>
  <c r="T44" i="43"/>
  <c r="T45" i="43" s="1"/>
  <c r="X44" i="43" s="1"/>
  <c r="V92" i="45"/>
  <c r="V95" i="45" s="1"/>
  <c r="T92" i="45"/>
  <c r="T95" i="45" s="1"/>
  <c r="X94" i="45" s="1"/>
  <c r="O114" i="39"/>
  <c r="P113" i="39"/>
  <c r="Q113" i="39" s="1"/>
  <c r="H92" i="38"/>
  <c r="H95" i="38" s="1"/>
  <c r="F95" i="38"/>
  <c r="J80" i="50"/>
  <c r="J79" i="50"/>
  <c r="F84" i="50"/>
  <c r="J82" i="50"/>
  <c r="R124" i="32"/>
  <c r="X122" i="32"/>
  <c r="M109" i="49"/>
  <c r="I109" i="49"/>
  <c r="M110" i="49"/>
  <c r="I110" i="49"/>
  <c r="G109" i="49"/>
  <c r="A136" i="33"/>
  <c r="A132" i="33"/>
  <c r="B131" i="33"/>
  <c r="O119" i="41"/>
  <c r="P118" i="41"/>
  <c r="Q118" i="41" s="1"/>
  <c r="H92" i="50"/>
  <c r="H95" i="50" s="1"/>
  <c r="F95" i="50"/>
  <c r="A124" i="47"/>
  <c r="B123" i="47"/>
  <c r="V74" i="49"/>
  <c r="V75" i="49" s="1"/>
  <c r="T74" i="49"/>
  <c r="T75" i="49" s="1"/>
  <c r="X74" i="49" s="1"/>
  <c r="A115" i="39"/>
  <c r="B115" i="39" s="1"/>
  <c r="B114" i="39"/>
  <c r="O119" i="35"/>
  <c r="P118" i="35"/>
  <c r="Q118" i="35" s="1"/>
  <c r="B127" i="34"/>
  <c r="A128" i="34"/>
  <c r="Y100" i="27"/>
  <c r="Y99" i="27"/>
  <c r="AJ115" i="35"/>
  <c r="AJ114" i="35"/>
  <c r="H74" i="49"/>
  <c r="H75" i="49" s="1"/>
  <c r="J75" i="49" s="1"/>
  <c r="F75" i="49"/>
  <c r="J74" i="49" s="1"/>
  <c r="Y100" i="43"/>
  <c r="Y99" i="43"/>
  <c r="AI40" i="42"/>
  <c r="O137" i="59"/>
  <c r="P136" i="59"/>
  <c r="Q136" i="59" s="1"/>
  <c r="F92" i="37"/>
  <c r="K105" i="44"/>
  <c r="K104" i="44"/>
  <c r="G102" i="44"/>
  <c r="B122" i="46"/>
  <c r="A123" i="46"/>
  <c r="Y100" i="33"/>
  <c r="Y99" i="33"/>
  <c r="B146" i="59"/>
  <c r="A147" i="59"/>
  <c r="A152" i="59"/>
  <c r="X102" i="38"/>
  <c r="C109" i="26"/>
  <c r="C108" i="26"/>
  <c r="B122" i="45"/>
  <c r="A123" i="45"/>
  <c r="AL120" i="26"/>
  <c r="AH120" i="26"/>
  <c r="AI117" i="26"/>
  <c r="AL119" i="26"/>
  <c r="AH119" i="26"/>
  <c r="V94" i="45"/>
  <c r="T94" i="45"/>
  <c r="A136" i="44"/>
  <c r="A132" i="44"/>
  <c r="B131" i="44"/>
  <c r="AC124" i="31"/>
  <c r="AD124" i="31" s="1"/>
  <c r="AD123" i="31"/>
  <c r="AC128" i="31"/>
  <c r="B126" i="43"/>
  <c r="A131" i="43"/>
  <c r="A127" i="43"/>
  <c r="F4" i="14"/>
  <c r="AC128" i="39"/>
  <c r="AC124" i="39"/>
  <c r="AD124" i="39" s="1"/>
  <c r="AD123" i="39"/>
  <c r="AG40" i="41"/>
  <c r="M104" i="43"/>
  <c r="I104" i="43"/>
  <c r="M105" i="43"/>
  <c r="I105" i="43"/>
  <c r="G104" i="43"/>
  <c r="X102" i="42"/>
  <c r="M109" i="31"/>
  <c r="I109" i="31"/>
  <c r="M110" i="31"/>
  <c r="I110" i="31"/>
  <c r="G109" i="31"/>
  <c r="X97" i="49"/>
  <c r="AA110" i="49"/>
  <c r="AO110" i="49" s="1"/>
  <c r="AP110" i="49" s="1"/>
  <c r="W110" i="49"/>
  <c r="AA109" i="49"/>
  <c r="AO109" i="49" s="1"/>
  <c r="AP109" i="49" s="1"/>
  <c r="W109" i="49"/>
  <c r="Q102" i="28"/>
  <c r="Q104" i="28"/>
  <c r="AJ114" i="44"/>
  <c r="AJ115" i="44"/>
  <c r="AE79" i="48"/>
  <c r="AG79" i="48" s="1"/>
  <c r="AE83" i="48"/>
  <c r="R78" i="48"/>
  <c r="R74" i="48"/>
  <c r="D79" i="48"/>
  <c r="F79" i="48" s="1"/>
  <c r="H79" i="48" s="1"/>
  <c r="V94" i="43"/>
  <c r="T94" i="43"/>
  <c r="A128" i="49"/>
  <c r="B127" i="49"/>
  <c r="AT107" i="59"/>
  <c r="AT108" i="59"/>
  <c r="C114" i="40"/>
  <c r="C113" i="40"/>
  <c r="A124" i="34"/>
  <c r="B123" i="34"/>
  <c r="A124" i="32"/>
  <c r="B123" i="32"/>
  <c r="AA8" i="18"/>
  <c r="AG8" i="18" s="1"/>
  <c r="O114" i="50"/>
  <c r="P113" i="50"/>
  <c r="Q113" i="50" s="1"/>
  <c r="AE45" i="42"/>
  <c r="AI44" i="42" s="1"/>
  <c r="F92" i="36"/>
  <c r="AA115" i="48"/>
  <c r="AO115" i="48" s="1"/>
  <c r="AP115" i="48" s="1"/>
  <c r="W115" i="48"/>
  <c r="AA114" i="48"/>
  <c r="AO114" i="48" s="1"/>
  <c r="AP114" i="48" s="1"/>
  <c r="W114" i="48"/>
  <c r="Q102" i="50"/>
  <c r="Q104" i="50"/>
  <c r="O115" i="29"/>
  <c r="P115" i="29" s="1"/>
  <c r="P114" i="29"/>
  <c r="Q109" i="42"/>
  <c r="Q107" i="42"/>
  <c r="C109" i="48"/>
  <c r="C108" i="48"/>
  <c r="F62" i="44"/>
  <c r="V53" i="44"/>
  <c r="T53" i="44"/>
  <c r="T92" i="27"/>
  <c r="T95" i="27" s="1"/>
  <c r="X94" i="27" s="1"/>
  <c r="V92" i="27"/>
  <c r="V95" i="27" s="1"/>
  <c r="K105" i="31"/>
  <c r="K104" i="31"/>
  <c r="G102" i="31"/>
  <c r="C114" i="50"/>
  <c r="C113" i="50"/>
  <c r="AC124" i="34"/>
  <c r="AD124" i="34" s="1"/>
  <c r="AD123" i="34"/>
  <c r="AC128" i="34"/>
  <c r="C114" i="34"/>
  <c r="C113" i="34"/>
  <c r="V94" i="34"/>
  <c r="T94" i="34"/>
  <c r="H12" i="21"/>
  <c r="I12" i="21" s="1"/>
  <c r="D12" i="21"/>
  <c r="D38" i="39"/>
  <c r="R33" i="39"/>
  <c r="AE34" i="39"/>
  <c r="AE38" i="39"/>
  <c r="D42" i="39"/>
  <c r="R37" i="39"/>
  <c r="X97" i="44"/>
  <c r="A136" i="42"/>
  <c r="A132" i="42"/>
  <c r="B131" i="42"/>
  <c r="O123" i="47"/>
  <c r="P122" i="47"/>
  <c r="K104" i="29"/>
  <c r="G102" i="29"/>
  <c r="K105" i="29"/>
  <c r="V92" i="37"/>
  <c r="V95" i="37" s="1"/>
  <c r="T92" i="37"/>
  <c r="T95" i="37" s="1"/>
  <c r="X94" i="37" s="1"/>
  <c r="AB94" i="37" s="1"/>
  <c r="Y100" i="31"/>
  <c r="Y99" i="31"/>
  <c r="A120" i="44"/>
  <c r="B120" i="44" s="1"/>
  <c r="B119" i="44"/>
  <c r="AI117" i="37"/>
  <c r="AL119" i="37"/>
  <c r="AH119" i="37"/>
  <c r="AL120" i="37"/>
  <c r="AH120" i="37"/>
  <c r="Y105" i="30"/>
  <c r="Y104" i="30"/>
  <c r="Y100" i="28"/>
  <c r="Y99" i="28"/>
  <c r="AA110" i="37"/>
  <c r="AO110" i="37" s="1"/>
  <c r="AP110" i="37" s="1"/>
  <c r="W110" i="37"/>
  <c r="AA109" i="37"/>
  <c r="AO109" i="37" s="1"/>
  <c r="AP109" i="37" s="1"/>
  <c r="W109" i="37"/>
  <c r="O127" i="48"/>
  <c r="P126" i="48"/>
  <c r="O131" i="48"/>
  <c r="A120" i="29"/>
  <c r="B120" i="29" s="1"/>
  <c r="B119" i="29"/>
  <c r="A119" i="43"/>
  <c r="B118" i="43"/>
  <c r="P118" i="30"/>
  <c r="Q118" i="30" s="1"/>
  <c r="O119" i="30"/>
  <c r="K105" i="49"/>
  <c r="K104" i="49"/>
  <c r="G102" i="49"/>
  <c r="D102" i="49"/>
  <c r="AE84" i="49"/>
  <c r="AG84" i="49" s="1"/>
  <c r="AE88" i="49"/>
  <c r="D84" i="49"/>
  <c r="R83" i="49"/>
  <c r="AJ115" i="41"/>
  <c r="AJ114" i="41"/>
  <c r="H65" i="46"/>
  <c r="Y100" i="39"/>
  <c r="Y99" i="39"/>
  <c r="AI137" i="46"/>
  <c r="AL139" i="46"/>
  <c r="AH139" i="46"/>
  <c r="AH140" i="46"/>
  <c r="AL140" i="46"/>
  <c r="Y105" i="26"/>
  <c r="Y104" i="26"/>
  <c r="AI112" i="47"/>
  <c r="AL114" i="47"/>
  <c r="AH115" i="47"/>
  <c r="AL115" i="47"/>
  <c r="AH114" i="47"/>
  <c r="AJ119" i="27"/>
  <c r="AJ120" i="27"/>
  <c r="P113" i="31"/>
  <c r="Q113" i="31" s="1"/>
  <c r="O114" i="31"/>
  <c r="AA115" i="42"/>
  <c r="AO115" i="42" s="1"/>
  <c r="AP115" i="42" s="1"/>
  <c r="W115" i="42"/>
  <c r="AA114" i="42"/>
  <c r="AO114" i="42" s="1"/>
  <c r="AP114" i="42" s="1"/>
  <c r="W114" i="42"/>
  <c r="B131" i="32"/>
  <c r="A132" i="32"/>
  <c r="A136" i="32"/>
  <c r="AL10" i="61"/>
  <c r="AP10" i="18"/>
  <c r="C11" i="44"/>
  <c r="AH3" i="44" s="1"/>
  <c r="AJ3" i="44" s="1"/>
  <c r="B10" i="18"/>
  <c r="AG73" i="47"/>
  <c r="F92" i="30"/>
  <c r="AJ120" i="32"/>
  <c r="AJ119" i="32"/>
  <c r="Y100" i="46"/>
  <c r="Y99" i="46"/>
  <c r="AG12" i="24"/>
  <c r="O115" i="30"/>
  <c r="P115" i="30" s="1"/>
  <c r="P114" i="30"/>
  <c r="AG85" i="50"/>
  <c r="AJ12" i="61"/>
  <c r="AP12" i="20"/>
  <c r="C9" i="42"/>
  <c r="B12" i="20"/>
  <c r="R97" i="50"/>
  <c r="Y100" i="50"/>
  <c r="Y99" i="50"/>
  <c r="AJ115" i="38"/>
  <c r="AJ114" i="38"/>
  <c r="H77" i="47"/>
  <c r="G97" i="26"/>
  <c r="K100" i="26"/>
  <c r="K99" i="26"/>
  <c r="Y105" i="29"/>
  <c r="Y104" i="29"/>
  <c r="K99" i="45"/>
  <c r="G97" i="45"/>
  <c r="K100" i="45"/>
  <c r="V92" i="28"/>
  <c r="V95" i="28" s="1"/>
  <c r="T92" i="28"/>
  <c r="T95" i="28" s="1"/>
  <c r="X94" i="28" s="1"/>
  <c r="AB94" i="28" s="1"/>
  <c r="AL120" i="33"/>
  <c r="AH120" i="33"/>
  <c r="AI117" i="33"/>
  <c r="AL119" i="33"/>
  <c r="AH119" i="33"/>
  <c r="V94" i="40"/>
  <c r="T94" i="40"/>
  <c r="X102" i="47"/>
  <c r="V73" i="48"/>
  <c r="T73" i="48"/>
  <c r="C107" i="38"/>
  <c r="G108" i="38"/>
  <c r="AH14" i="61"/>
  <c r="L171" i="66" s="1"/>
  <c r="AP14" i="22"/>
  <c r="B14" i="22"/>
  <c r="C7" i="40"/>
  <c r="V54" i="45"/>
  <c r="V55" i="45" s="1"/>
  <c r="T54" i="45"/>
  <c r="T55" i="45" s="1"/>
  <c r="X54" i="45" s="1"/>
  <c r="B127" i="41"/>
  <c r="A128" i="41"/>
  <c r="M109" i="27"/>
  <c r="I109" i="27"/>
  <c r="M110" i="27"/>
  <c r="I110" i="27"/>
  <c r="G109" i="27"/>
  <c r="V94" i="31"/>
  <c r="T94" i="31"/>
  <c r="O122" i="33"/>
  <c r="P121" i="33"/>
  <c r="O126" i="33"/>
  <c r="M110" i="34"/>
  <c r="I110" i="34"/>
  <c r="G109" i="34"/>
  <c r="M109" i="34"/>
  <c r="I109" i="34"/>
  <c r="C107" i="41"/>
  <c r="G108" i="41"/>
  <c r="AA110" i="31"/>
  <c r="AO110" i="31" s="1"/>
  <c r="AP110" i="31" s="1"/>
  <c r="W110" i="31"/>
  <c r="AA109" i="31"/>
  <c r="AO109" i="31" s="1"/>
  <c r="AP109" i="31" s="1"/>
  <c r="W109" i="31"/>
  <c r="F38" i="40"/>
  <c r="AG10" i="21"/>
  <c r="AF8" i="19"/>
  <c r="A132" i="59"/>
  <c r="B132" i="59" s="1"/>
  <c r="B131" i="59"/>
  <c r="Y100" i="40"/>
  <c r="Y99" i="40"/>
  <c r="AA115" i="36"/>
  <c r="AO115" i="36" s="1"/>
  <c r="AP115" i="36" s="1"/>
  <c r="W115" i="36"/>
  <c r="AA114" i="36"/>
  <c r="AO114" i="36" s="1"/>
  <c r="AP114" i="36" s="1"/>
  <c r="W114" i="36"/>
  <c r="Y9" i="53"/>
  <c r="F95" i="44"/>
  <c r="H92" i="44"/>
  <c r="H95" i="44" s="1"/>
  <c r="F57" i="43"/>
  <c r="X97" i="34"/>
  <c r="F95" i="49"/>
  <c r="H92" i="49"/>
  <c r="H95" i="49" s="1"/>
  <c r="P118" i="47"/>
  <c r="Q118" i="47" s="1"/>
  <c r="O119" i="47"/>
  <c r="V94" i="33"/>
  <c r="T94" i="33"/>
  <c r="Q107" i="38"/>
  <c r="Q109" i="38"/>
  <c r="AF8" i="20"/>
  <c r="AF9" i="20" s="1"/>
  <c r="O139" i="32"/>
  <c r="P138" i="32"/>
  <c r="Q138" i="32" s="1"/>
  <c r="P122" i="30"/>
  <c r="O123" i="30"/>
  <c r="B127" i="28"/>
  <c r="A128" i="28"/>
  <c r="T83" i="50"/>
  <c r="V83" i="50"/>
  <c r="H38" i="41"/>
  <c r="H40" i="41" s="1"/>
  <c r="F40" i="41"/>
  <c r="J39" i="41" s="1"/>
  <c r="N39" i="41" s="1"/>
  <c r="AQ39" i="41" s="1"/>
  <c r="Z125" i="32"/>
  <c r="Z124" i="32"/>
  <c r="R122" i="32"/>
  <c r="Y125" i="32"/>
  <c r="Y124" i="32"/>
  <c r="C107" i="49"/>
  <c r="G108" i="49"/>
  <c r="O119" i="38"/>
  <c r="P118" i="38"/>
  <c r="Q118" i="38" s="1"/>
  <c r="P118" i="26"/>
  <c r="Q118" i="26" s="1"/>
  <c r="O119" i="26"/>
  <c r="B127" i="40"/>
  <c r="A128" i="40"/>
  <c r="C109" i="45"/>
  <c r="C108" i="45"/>
  <c r="V78" i="49"/>
  <c r="T78" i="49"/>
  <c r="Q127" i="32"/>
  <c r="Q129" i="32"/>
  <c r="B131" i="34"/>
  <c r="A136" i="34"/>
  <c r="A132" i="34"/>
  <c r="O122" i="31"/>
  <c r="P121" i="31"/>
  <c r="O126" i="31"/>
  <c r="X97" i="27"/>
  <c r="AL114" i="35"/>
  <c r="AH114" i="35"/>
  <c r="AL115" i="35"/>
  <c r="AH115" i="35"/>
  <c r="AI112" i="35"/>
  <c r="X97" i="43"/>
  <c r="Y7" i="17"/>
  <c r="AC124" i="28"/>
  <c r="AD124" i="28" s="1"/>
  <c r="AD123" i="28"/>
  <c r="AC128" i="28"/>
  <c r="O114" i="46"/>
  <c r="P113" i="46"/>
  <c r="Q113" i="46" s="1"/>
  <c r="A119" i="30"/>
  <c r="B118" i="30"/>
  <c r="X97" i="33"/>
  <c r="AA110" i="45"/>
  <c r="AO110" i="45" s="1"/>
  <c r="AP110" i="45" s="1"/>
  <c r="W110" i="45"/>
  <c r="AA109" i="45"/>
  <c r="AO109" i="45" s="1"/>
  <c r="AP109" i="45" s="1"/>
  <c r="W109" i="45"/>
  <c r="A142" i="59"/>
  <c r="B141" i="59"/>
  <c r="Y105" i="38"/>
  <c r="Y104" i="38"/>
  <c r="G6" i="17"/>
  <c r="G103" i="30"/>
  <c r="C102" i="30"/>
  <c r="V42" i="41"/>
  <c r="T42" i="41"/>
  <c r="AG43" i="41"/>
  <c r="V92" i="34"/>
  <c r="V95" i="34" s="1"/>
  <c r="T92" i="34"/>
  <c r="T95" i="34" s="1"/>
  <c r="X94" i="34" s="1"/>
  <c r="AB94" i="34" s="1"/>
  <c r="A131" i="45"/>
  <c r="A127" i="45"/>
  <c r="B126" i="45"/>
  <c r="AC128" i="26"/>
  <c r="AC124" i="26"/>
  <c r="AD124" i="26" s="1"/>
  <c r="AD123" i="26"/>
  <c r="F92" i="39"/>
  <c r="K104" i="28"/>
  <c r="G102" i="28"/>
  <c r="K105" i="28"/>
  <c r="AJ119" i="31"/>
  <c r="AJ120" i="31"/>
  <c r="O118" i="28"/>
  <c r="P117" i="28"/>
  <c r="Q102" i="37"/>
  <c r="Q104" i="37"/>
  <c r="AE40" i="41"/>
  <c r="AI39" i="41" s="1"/>
  <c r="A119" i="48"/>
  <c r="B118" i="48"/>
  <c r="AJ119" i="48"/>
  <c r="AJ120" i="48"/>
  <c r="A124" i="33"/>
  <c r="B123" i="33"/>
  <c r="G97" i="43"/>
  <c r="K100" i="43"/>
  <c r="K99" i="43"/>
  <c r="AA131" i="59"/>
  <c r="AQ131" i="59" s="1"/>
  <c r="AR131" i="59" s="1"/>
  <c r="AA132" i="59"/>
  <c r="AQ132" i="59" s="1"/>
  <c r="AR132" i="59" s="1"/>
  <c r="AL115" i="44"/>
  <c r="AH115" i="44"/>
  <c r="AI112" i="44"/>
  <c r="AL114" i="44"/>
  <c r="AH114" i="44"/>
  <c r="A115" i="30"/>
  <c r="B115" i="30" s="1"/>
  <c r="B114" i="30"/>
  <c r="K104" i="38"/>
  <c r="G102" i="38"/>
  <c r="K105" i="38"/>
  <c r="H6" i="15"/>
  <c r="I6" i="15" s="1"/>
  <c r="D6" i="15"/>
  <c r="F6" i="15" s="1"/>
  <c r="G6" i="15" s="1"/>
  <c r="Q107" i="41"/>
  <c r="Q109" i="41"/>
  <c r="A136" i="49"/>
  <c r="A132" i="49"/>
  <c r="B131" i="49"/>
  <c r="H92" i="35"/>
  <c r="H95" i="35" s="1"/>
  <c r="F95" i="35"/>
  <c r="AC119" i="29"/>
  <c r="AD119" i="29" s="1"/>
  <c r="AD118" i="29"/>
  <c r="AC123" i="29"/>
  <c r="F95" i="47"/>
  <c r="H92" i="47"/>
  <c r="H95" i="47" s="1"/>
  <c r="F95" i="33"/>
  <c r="H92" i="33"/>
  <c r="H95" i="33" s="1"/>
  <c r="X65" i="49"/>
  <c r="F92" i="46"/>
  <c r="V92" i="46"/>
  <c r="V95" i="46" s="1"/>
  <c r="T92" i="46"/>
  <c r="T95" i="46" s="1"/>
  <c r="X94" i="46" s="1"/>
  <c r="AB94" i="46" s="1"/>
  <c r="AG45" i="42"/>
  <c r="Q104" i="31"/>
  <c r="Q102" i="31"/>
  <c r="AJ119" i="30"/>
  <c r="AJ120" i="30"/>
  <c r="K99" i="46"/>
  <c r="G97" i="46"/>
  <c r="K100" i="46"/>
  <c r="G103" i="39"/>
  <c r="C102" i="39"/>
  <c r="A119" i="39"/>
  <c r="B118" i="39"/>
  <c r="T57" i="44"/>
  <c r="V57" i="44"/>
  <c r="F54" i="44"/>
  <c r="J52" i="44"/>
  <c r="O114" i="40"/>
  <c r="P113" i="40"/>
  <c r="Q113" i="40" s="1"/>
  <c r="O114" i="37"/>
  <c r="P113" i="37"/>
  <c r="Q113" i="37" s="1"/>
  <c r="AJ120" i="34"/>
  <c r="AJ119" i="34"/>
  <c r="Q104" i="49"/>
  <c r="Q102" i="49"/>
  <c r="AA110" i="28"/>
  <c r="AO110" i="28" s="1"/>
  <c r="AP110" i="28" s="1"/>
  <c r="W110" i="28"/>
  <c r="AA109" i="28"/>
  <c r="AO109" i="28" s="1"/>
  <c r="AP109" i="28" s="1"/>
  <c r="W109" i="28"/>
  <c r="V92" i="40"/>
  <c r="V95" i="40" s="1"/>
  <c r="T92" i="40"/>
  <c r="T95" i="40" s="1"/>
  <c r="X94" i="40" s="1"/>
  <c r="AB94" i="40" s="1"/>
  <c r="Y6" i="16"/>
  <c r="C107" i="40"/>
  <c r="G108" i="40"/>
  <c r="AA12" i="22"/>
  <c r="AG12" i="22" s="1"/>
  <c r="B122" i="26"/>
  <c r="A123" i="26"/>
  <c r="AI13" i="61"/>
  <c r="D146" i="66" s="1"/>
  <c r="B13" i="21"/>
  <c r="AP13" i="21"/>
  <c r="C8" i="41"/>
  <c r="D15" i="24"/>
  <c r="F15" i="24" s="1"/>
  <c r="G15" i="24" s="1"/>
  <c r="H15" i="24"/>
  <c r="I15" i="24" s="1"/>
  <c r="C113" i="38"/>
  <c r="C114" i="38"/>
  <c r="O119" i="42"/>
  <c r="P118" i="42"/>
  <c r="Q118" i="42" s="1"/>
  <c r="A124" i="31"/>
  <c r="B123" i="31"/>
  <c r="Q109" i="26"/>
  <c r="Q107" i="26"/>
  <c r="P122" i="42"/>
  <c r="O123" i="42"/>
  <c r="X97" i="31"/>
  <c r="AC124" i="45"/>
  <c r="AD124" i="45" s="1"/>
  <c r="AD123" i="45"/>
  <c r="AC128" i="45"/>
  <c r="X102" i="30"/>
  <c r="P109" i="37"/>
  <c r="O110" i="37"/>
  <c r="P110" i="37" s="1"/>
  <c r="AN138" i="59"/>
  <c r="AJ138" i="59"/>
  <c r="AK135" i="59"/>
  <c r="AN137" i="59"/>
  <c r="AJ137" i="59"/>
  <c r="A119" i="36"/>
  <c r="B118" i="36"/>
  <c r="H5" i="14"/>
  <c r="I5" i="14" s="1"/>
  <c r="D5" i="14"/>
  <c r="F5" i="14" s="1"/>
  <c r="G5" i="14" s="1"/>
  <c r="AL114" i="41"/>
  <c r="AH114" i="41"/>
  <c r="AL115" i="41"/>
  <c r="AH115" i="41"/>
  <c r="AI112" i="41"/>
  <c r="A120" i="38"/>
  <c r="B120" i="38" s="1"/>
  <c r="B119" i="38"/>
  <c r="A120" i="49"/>
  <c r="B120" i="49" s="1"/>
  <c r="B119" i="49"/>
  <c r="C107" i="50"/>
  <c r="G108" i="50"/>
  <c r="C114" i="28"/>
  <c r="C113" i="28"/>
  <c r="X97" i="39"/>
  <c r="P122" i="26"/>
  <c r="O123" i="26"/>
  <c r="V119" i="32"/>
  <c r="T119" i="32"/>
  <c r="C113" i="35"/>
  <c r="C114" i="35"/>
  <c r="Y5" i="15"/>
  <c r="X102" i="26"/>
  <c r="AC134" i="40"/>
  <c r="AD134" i="40" s="1"/>
  <c r="AD133" i="40"/>
  <c r="AC138" i="40"/>
  <c r="AC123" i="47"/>
  <c r="AC119" i="47"/>
  <c r="AD119" i="47" s="1"/>
  <c r="AD118" i="47"/>
  <c r="AL120" i="27"/>
  <c r="AH120" i="27"/>
  <c r="AI117" i="27"/>
  <c r="AL119" i="27"/>
  <c r="AH119" i="27"/>
  <c r="A120" i="42"/>
  <c r="B120" i="42" s="1"/>
  <c r="B119" i="42"/>
  <c r="O110" i="43"/>
  <c r="P110" i="43" s="1"/>
  <c r="P109" i="43"/>
  <c r="B127" i="32"/>
  <c r="A128" i="32"/>
  <c r="H9" i="18"/>
  <c r="I9" i="18" s="1"/>
  <c r="D9" i="18"/>
  <c r="T68" i="47"/>
  <c r="V68" i="47"/>
  <c r="AI117" i="32"/>
  <c r="AL119" i="32"/>
  <c r="AH119" i="32"/>
  <c r="AL120" i="32"/>
  <c r="AH120" i="32"/>
  <c r="AA110" i="34"/>
  <c r="AO110" i="34" s="1"/>
  <c r="AP110" i="34" s="1"/>
  <c r="W110" i="34"/>
  <c r="AA109" i="34"/>
  <c r="AO109" i="34" s="1"/>
  <c r="AP109" i="34" s="1"/>
  <c r="W109" i="34"/>
  <c r="X12" i="24"/>
  <c r="AA115" i="30"/>
  <c r="AO115" i="30" s="1"/>
  <c r="AP115" i="30" s="1"/>
  <c r="W115" i="30"/>
  <c r="AA114" i="30"/>
  <c r="AO114" i="30" s="1"/>
  <c r="AP114" i="30" s="1"/>
  <c r="W114" i="30"/>
  <c r="A115" i="26"/>
  <c r="B115" i="26" s="1"/>
  <c r="B114" i="26"/>
  <c r="AE85" i="50"/>
  <c r="AI84" i="50" s="1"/>
  <c r="H11" i="20"/>
  <c r="I11" i="20" s="1"/>
  <c r="D11" i="20"/>
  <c r="F11" i="20" s="1"/>
  <c r="G11" i="20" s="1"/>
  <c r="A137" i="59"/>
  <c r="B136" i="59"/>
  <c r="X102" i="35"/>
  <c r="AL114" i="38"/>
  <c r="AH114" i="38"/>
  <c r="AL115" i="38"/>
  <c r="AH115" i="38"/>
  <c r="AI112" i="38"/>
  <c r="P117" i="43"/>
  <c r="O118" i="43"/>
  <c r="Y13" i="23"/>
  <c r="X12" i="23" s="1"/>
  <c r="A115" i="36"/>
  <c r="B115" i="36" s="1"/>
  <c r="B114" i="36"/>
  <c r="AG78" i="48"/>
  <c r="P122" i="29"/>
  <c r="O123" i="29"/>
  <c r="H13" i="22"/>
  <c r="I13" i="22" s="1"/>
  <c r="D13" i="22"/>
  <c r="F13" i="22" s="1"/>
  <c r="G13" i="22" s="1"/>
  <c r="Y105" i="36"/>
  <c r="Y104" i="36"/>
  <c r="B131" i="41"/>
  <c r="A136" i="41"/>
  <c r="A132" i="41"/>
  <c r="Q125" i="59"/>
  <c r="Q123" i="59"/>
  <c r="H92" i="29"/>
  <c r="H95" i="29" s="1"/>
  <c r="F95" i="29"/>
  <c r="B127" i="50"/>
  <c r="A128" i="50"/>
  <c r="V92" i="39"/>
  <c r="V95" i="39" s="1"/>
  <c r="T92" i="39"/>
  <c r="T95" i="39" s="1"/>
  <c r="X94" i="39" s="1"/>
  <c r="AB94" i="39" s="1"/>
  <c r="A120" i="28"/>
  <c r="B120" i="28" s="1"/>
  <c r="B119" i="28"/>
  <c r="AG38" i="40"/>
  <c r="X11" i="22"/>
  <c r="X10" i="21"/>
  <c r="X8" i="19"/>
  <c r="AG75" i="47" l="1"/>
  <c r="J79" i="49"/>
  <c r="T69" i="48"/>
  <c r="T70" i="48" s="1"/>
  <c r="X69" i="48" s="1"/>
  <c r="X70" i="48" s="1"/>
  <c r="AE75" i="47"/>
  <c r="AI74" i="47" s="1"/>
  <c r="J80" i="49"/>
  <c r="T49" i="43"/>
  <c r="AF8" i="53"/>
  <c r="D112" i="65"/>
  <c r="I112" i="66"/>
  <c r="J112" i="66"/>
  <c r="B112" i="65" s="1"/>
  <c r="D52" i="65"/>
  <c r="A52" i="65" s="1"/>
  <c r="I52" i="66"/>
  <c r="J52" i="66"/>
  <c r="B52" i="65" s="1"/>
  <c r="B103" i="66"/>
  <c r="A103" i="66"/>
  <c r="B48" i="66"/>
  <c r="A48" i="66"/>
  <c r="D104" i="66"/>
  <c r="L113" i="66"/>
  <c r="D49" i="66"/>
  <c r="L53" i="66"/>
  <c r="I65" i="66"/>
  <c r="D65" i="65"/>
  <c r="A65" i="65" s="1"/>
  <c r="J65" i="66"/>
  <c r="B65" i="65" s="1"/>
  <c r="B146" i="66"/>
  <c r="A146" i="66"/>
  <c r="D42" i="66"/>
  <c r="L45" i="66"/>
  <c r="J87" i="66"/>
  <c r="B87" i="65" s="1"/>
  <c r="I87" i="66"/>
  <c r="D87" i="65"/>
  <c r="A87" i="65" s="1"/>
  <c r="D29" i="66"/>
  <c r="L31" i="66"/>
  <c r="I72" i="66"/>
  <c r="J72" i="66"/>
  <c r="B72" i="65" s="1"/>
  <c r="D72" i="65"/>
  <c r="A72" i="65" s="1"/>
  <c r="I171" i="66"/>
  <c r="D171" i="65"/>
  <c r="A171" i="65" s="1"/>
  <c r="J171" i="66"/>
  <c r="B171" i="65" s="1"/>
  <c r="B67" i="66"/>
  <c r="A67" i="66"/>
  <c r="D68" i="66"/>
  <c r="L73" i="66"/>
  <c r="B28" i="66"/>
  <c r="A28" i="66"/>
  <c r="Z28" i="48"/>
  <c r="J30" i="66"/>
  <c r="B30" i="65" s="1"/>
  <c r="D30" i="65"/>
  <c r="A30" i="65" s="1"/>
  <c r="I30" i="66"/>
  <c r="Z23" i="48"/>
  <c r="AH10" i="49"/>
  <c r="AL10" i="49" s="1"/>
  <c r="D98" i="49"/>
  <c r="F98" i="49" s="1"/>
  <c r="H98" i="49" s="1"/>
  <c r="L137" i="66"/>
  <c r="D36" i="65"/>
  <c r="A36" i="65" s="1"/>
  <c r="I36" i="66"/>
  <c r="J36" i="66"/>
  <c r="B36" i="65" s="1"/>
  <c r="B53" i="66"/>
  <c r="A53" i="66"/>
  <c r="B15" i="66"/>
  <c r="A15" i="66"/>
  <c r="V26" i="41"/>
  <c r="T20" i="41"/>
  <c r="V9" i="41"/>
  <c r="X9" i="41" s="1"/>
  <c r="T3" i="41"/>
  <c r="AH3" i="41"/>
  <c r="L197" i="66"/>
  <c r="AL3" i="44"/>
  <c r="D54" i="66"/>
  <c r="L57" i="66"/>
  <c r="AH10" i="48"/>
  <c r="AL10" i="48" s="1"/>
  <c r="R87" i="48"/>
  <c r="D92" i="66"/>
  <c r="L97" i="66"/>
  <c r="AH8" i="46"/>
  <c r="AJ8" i="46" s="1"/>
  <c r="B34" i="66"/>
  <c r="A34" i="66"/>
  <c r="L22" i="41"/>
  <c r="L23" i="41" s="1"/>
  <c r="J23" i="41"/>
  <c r="N22" i="41" s="1"/>
  <c r="AH8" i="45"/>
  <c r="AH4" i="45"/>
  <c r="AJ4" i="45" s="1"/>
  <c r="AL4" i="45" s="1"/>
  <c r="X22" i="47"/>
  <c r="V22" i="47"/>
  <c r="D16" i="66"/>
  <c r="L17" i="66"/>
  <c r="X15" i="49"/>
  <c r="X16" i="49" s="1"/>
  <c r="Z16" i="49" s="1"/>
  <c r="V16" i="49"/>
  <c r="Z15" i="49" s="1"/>
  <c r="X15" i="48"/>
  <c r="X16" i="48" s="1"/>
  <c r="Z16" i="48" s="1"/>
  <c r="V16" i="48"/>
  <c r="Z15" i="48" s="1"/>
  <c r="D96" i="65"/>
  <c r="I96" i="66"/>
  <c r="J96" i="66"/>
  <c r="B96" i="65" s="1"/>
  <c r="X20" i="46"/>
  <c r="V20" i="46"/>
  <c r="P14" i="41"/>
  <c r="L15" i="41"/>
  <c r="L17" i="41" s="1"/>
  <c r="N15" i="41"/>
  <c r="N17" i="41" s="1"/>
  <c r="R97" i="49"/>
  <c r="V97" i="49" s="1"/>
  <c r="L77" i="66"/>
  <c r="D35" i="66"/>
  <c r="L37" i="66"/>
  <c r="B91" i="66"/>
  <c r="A91" i="66"/>
  <c r="X14" i="46"/>
  <c r="D56" i="65"/>
  <c r="I56" i="66"/>
  <c r="J56" i="66"/>
  <c r="B56" i="65" s="1"/>
  <c r="D16" i="65"/>
  <c r="A16" i="65" s="1"/>
  <c r="I16" i="66"/>
  <c r="J16" i="66"/>
  <c r="B16" i="65" s="1"/>
  <c r="V10" i="41"/>
  <c r="Z9" i="41" s="1"/>
  <c r="X8" i="41"/>
  <c r="X10" i="41" s="1"/>
  <c r="J60" i="45"/>
  <c r="H60" i="44"/>
  <c r="N44" i="43"/>
  <c r="AQ44" i="43" s="1"/>
  <c r="F60" i="44"/>
  <c r="Z10" i="47"/>
  <c r="X10" i="46"/>
  <c r="Z10" i="46" s="1"/>
  <c r="AR39" i="44"/>
  <c r="AT39" i="44" s="1"/>
  <c r="D6" i="44" s="1"/>
  <c r="AK44" i="44" s="1"/>
  <c r="AM44" i="44" s="1"/>
  <c r="AS44" i="44" s="1"/>
  <c r="AI75" i="48"/>
  <c r="N19" i="47"/>
  <c r="L5" i="47" s="1"/>
  <c r="AP65" i="47" s="1"/>
  <c r="X10" i="45"/>
  <c r="Z10" i="45" s="1"/>
  <c r="Z54" i="47"/>
  <c r="AB54" i="47" s="1"/>
  <c r="P15" i="46"/>
  <c r="P16" i="46" s="1"/>
  <c r="N18" i="46" s="1"/>
  <c r="L4" i="46" s="1"/>
  <c r="AP64" i="46" s="1"/>
  <c r="AJ16" i="48"/>
  <c r="AN15" i="48" s="1"/>
  <c r="AL16" i="48"/>
  <c r="X13" i="45"/>
  <c r="A54" i="65"/>
  <c r="V13" i="43"/>
  <c r="V15" i="47"/>
  <c r="Z13" i="47"/>
  <c r="AJ5" i="48"/>
  <c r="AN3" i="48"/>
  <c r="X3" i="45"/>
  <c r="V3" i="45"/>
  <c r="L22" i="42"/>
  <c r="L23" i="42" s="1"/>
  <c r="J23" i="42"/>
  <c r="N22" i="42" s="1"/>
  <c r="J23" i="44"/>
  <c r="N22" i="44" s="1"/>
  <c r="L22" i="44"/>
  <c r="L23" i="44" s="1"/>
  <c r="X8" i="44"/>
  <c r="V3" i="46"/>
  <c r="X3" i="46"/>
  <c r="X26" i="46"/>
  <c r="V26" i="44"/>
  <c r="T3" i="44"/>
  <c r="T20" i="44"/>
  <c r="T14" i="44"/>
  <c r="V14" i="44" s="1"/>
  <c r="X14" i="44" s="1"/>
  <c r="V9" i="44"/>
  <c r="X9" i="44" s="1"/>
  <c r="AL3" i="46"/>
  <c r="N23" i="45"/>
  <c r="N15" i="43"/>
  <c r="N17" i="43" s="1"/>
  <c r="P14" i="43"/>
  <c r="L15" i="43"/>
  <c r="L17" i="43" s="1"/>
  <c r="A93" i="65"/>
  <c r="X4" i="48"/>
  <c r="X5" i="48" s="1"/>
  <c r="V4" i="48"/>
  <c r="V5" i="48" s="1"/>
  <c r="Z4" i="48" s="1"/>
  <c r="N15" i="42"/>
  <c r="N17" i="42" s="1"/>
  <c r="P14" i="42"/>
  <c r="L15" i="42"/>
  <c r="L17" i="42" s="1"/>
  <c r="V13" i="44"/>
  <c r="A15" i="65"/>
  <c r="V2" i="43"/>
  <c r="X2" i="43"/>
  <c r="AL14" i="47"/>
  <c r="N23" i="46"/>
  <c r="V28" i="47"/>
  <c r="Z27" i="47" s="1"/>
  <c r="A67" i="65"/>
  <c r="X20" i="45"/>
  <c r="V20" i="45"/>
  <c r="V13" i="42"/>
  <c r="X8" i="42"/>
  <c r="L15" i="44"/>
  <c r="L17" i="44" s="1"/>
  <c r="N15" i="44"/>
  <c r="N17" i="44" s="1"/>
  <c r="P14" i="44"/>
  <c r="A28" i="65"/>
  <c r="R49" i="42"/>
  <c r="T49" i="42" s="1"/>
  <c r="V26" i="42"/>
  <c r="AH3" i="42"/>
  <c r="T20" i="42"/>
  <c r="T3" i="42"/>
  <c r="T14" i="42"/>
  <c r="V14" i="42" s="1"/>
  <c r="X14" i="42" s="1"/>
  <c r="V9" i="42"/>
  <c r="X9" i="42" s="1"/>
  <c r="D67" i="43"/>
  <c r="F67" i="43" s="1"/>
  <c r="H67" i="43" s="1"/>
  <c r="V26" i="43"/>
  <c r="V9" i="43"/>
  <c r="X9" i="43" s="1"/>
  <c r="T14" i="43"/>
  <c r="V14" i="43" s="1"/>
  <c r="X14" i="43" s="1"/>
  <c r="AH3" i="43"/>
  <c r="T20" i="43"/>
  <c r="T3" i="43"/>
  <c r="AJ14" i="46"/>
  <c r="T21" i="46"/>
  <c r="T15" i="46"/>
  <c r="V27" i="46"/>
  <c r="X27" i="46" s="1"/>
  <c r="D73" i="45"/>
  <c r="F73" i="45" s="1"/>
  <c r="H73" i="45" s="1"/>
  <c r="AJ14" i="45"/>
  <c r="T4" i="45"/>
  <c r="T15" i="45"/>
  <c r="V27" i="45"/>
  <c r="X27" i="45" s="1"/>
  <c r="T21" i="45"/>
  <c r="R69" i="47"/>
  <c r="T69" i="47" s="1"/>
  <c r="T70" i="47" s="1"/>
  <c r="X69" i="47" s="1"/>
  <c r="AH5" i="47"/>
  <c r="AJ15" i="47"/>
  <c r="AL15" i="47" s="1"/>
  <c r="AH9" i="47"/>
  <c r="T4" i="47"/>
  <c r="J23" i="43"/>
  <c r="N22" i="43" s="1"/>
  <c r="L22" i="43"/>
  <c r="L23" i="43" s="1"/>
  <c r="X8" i="43"/>
  <c r="V21" i="47"/>
  <c r="V23" i="47" s="1"/>
  <c r="Z22" i="47" s="1"/>
  <c r="X21" i="47"/>
  <c r="X23" i="47" s="1"/>
  <c r="P15" i="45"/>
  <c r="P16" i="45" s="1"/>
  <c r="N19" i="45" s="1"/>
  <c r="X28" i="47"/>
  <c r="AJ9" i="48"/>
  <c r="AL9" i="48"/>
  <c r="N18" i="48"/>
  <c r="L4" i="48" s="1"/>
  <c r="AP64" i="48" s="1"/>
  <c r="X26" i="45"/>
  <c r="V2" i="42"/>
  <c r="X2" i="42"/>
  <c r="X2" i="44"/>
  <c r="V2" i="44"/>
  <c r="AN3" i="49"/>
  <c r="AI60" i="45"/>
  <c r="AM60" i="45" s="1"/>
  <c r="AS60" i="45" s="1"/>
  <c r="V84" i="50"/>
  <c r="V85" i="50" s="1"/>
  <c r="T85" i="50"/>
  <c r="X84" i="50" s="1"/>
  <c r="J40" i="41"/>
  <c r="N40" i="41" s="1"/>
  <c r="AQ40" i="41" s="1"/>
  <c r="T50" i="43"/>
  <c r="X49" i="43" s="1"/>
  <c r="AJ16" i="49"/>
  <c r="AN15" i="49" s="1"/>
  <c r="Y6" i="15"/>
  <c r="X5" i="15" s="1"/>
  <c r="AG40" i="40"/>
  <c r="AE40" i="40"/>
  <c r="AI39" i="40" s="1"/>
  <c r="AL16" i="49"/>
  <c r="Z28" i="49"/>
  <c r="AL4" i="49"/>
  <c r="AL6" i="49" s="1"/>
  <c r="AJ6" i="49"/>
  <c r="AL9" i="49"/>
  <c r="AJ9" i="49"/>
  <c r="V22" i="49"/>
  <c r="V23" i="49" s="1"/>
  <c r="Z22" i="49" s="1"/>
  <c r="X22" i="49"/>
  <c r="X23" i="49" s="1"/>
  <c r="AL10" i="50"/>
  <c r="AJ10" i="50"/>
  <c r="L59" i="47"/>
  <c r="N59" i="47" s="1"/>
  <c r="AQ59" i="47" s="1"/>
  <c r="AV17" i="25"/>
  <c r="D17" i="25"/>
  <c r="F17" i="25" s="1"/>
  <c r="G17" i="25" s="1"/>
  <c r="H17" i="25"/>
  <c r="I17" i="25" s="1"/>
  <c r="AE18" i="61"/>
  <c r="C4" i="36"/>
  <c r="B18" i="25"/>
  <c r="AP18" i="25"/>
  <c r="D37" i="37"/>
  <c r="F37" i="37" s="1"/>
  <c r="H37" i="37" s="1"/>
  <c r="AE33" i="37"/>
  <c r="AG33" i="37" s="1"/>
  <c r="R32" i="37"/>
  <c r="V32" i="38"/>
  <c r="T32" i="38"/>
  <c r="X15" i="25"/>
  <c r="AA15" i="25"/>
  <c r="Z55" i="47"/>
  <c r="AB55" i="47" s="1"/>
  <c r="L60" i="47"/>
  <c r="N60" i="47" s="1"/>
  <c r="AQ60" i="47" s="1"/>
  <c r="AT50" i="46"/>
  <c r="E8" i="46" s="1"/>
  <c r="AK55" i="46" s="1"/>
  <c r="AM55" i="46" s="1"/>
  <c r="AS55" i="46" s="1"/>
  <c r="AR55" i="48"/>
  <c r="AT55" i="48" s="1"/>
  <c r="E9" i="48" s="1"/>
  <c r="L64" i="48"/>
  <c r="N64" i="48" s="1"/>
  <c r="AQ64" i="48" s="1"/>
  <c r="AK59" i="48"/>
  <c r="AM59" i="48" s="1"/>
  <c r="AS59" i="48" s="1"/>
  <c r="Z59" i="48"/>
  <c r="AB59" i="48" s="1"/>
  <c r="AT49" i="46"/>
  <c r="D8" i="46" s="1"/>
  <c r="AK54" i="46" s="1"/>
  <c r="AM54" i="46" s="1"/>
  <c r="AS54" i="46" s="1"/>
  <c r="AR94" i="26"/>
  <c r="AR95" i="35"/>
  <c r="D94" i="50"/>
  <c r="F94" i="50" s="1"/>
  <c r="H94" i="50" s="1"/>
  <c r="AE98" i="50"/>
  <c r="AG98" i="50" s="1"/>
  <c r="H50" i="42"/>
  <c r="R93" i="50"/>
  <c r="V93" i="50" s="1"/>
  <c r="F50" i="42"/>
  <c r="AI80" i="49"/>
  <c r="AE80" i="48"/>
  <c r="AI79" i="48" s="1"/>
  <c r="AI55" i="44"/>
  <c r="J59" i="45"/>
  <c r="L65" i="49"/>
  <c r="N65" i="49" s="1"/>
  <c r="AQ65" i="49" s="1"/>
  <c r="V50" i="43"/>
  <c r="X80" i="50"/>
  <c r="L64" i="49"/>
  <c r="N64" i="49" s="1"/>
  <c r="AQ64" i="49" s="1"/>
  <c r="Z59" i="49"/>
  <c r="AB59" i="49" s="1"/>
  <c r="R39" i="41"/>
  <c r="V39" i="41" s="1"/>
  <c r="V40" i="41" s="1"/>
  <c r="D53" i="41"/>
  <c r="F53" i="41" s="1"/>
  <c r="H54" i="44"/>
  <c r="H55" i="44" s="1"/>
  <c r="F55" i="44"/>
  <c r="H82" i="47"/>
  <c r="H52" i="40"/>
  <c r="H68" i="45"/>
  <c r="T79" i="49"/>
  <c r="T80" i="49" s="1"/>
  <c r="X79" i="49" s="1"/>
  <c r="V79" i="49"/>
  <c r="V80" i="49" s="1"/>
  <c r="D68" i="44"/>
  <c r="F68" i="44" s="1"/>
  <c r="R67" i="44"/>
  <c r="R84" i="49"/>
  <c r="D77" i="45"/>
  <c r="R79" i="48"/>
  <c r="D88" i="48"/>
  <c r="F88" i="48" s="1"/>
  <c r="R47" i="39"/>
  <c r="D52" i="39"/>
  <c r="F52" i="39" s="1"/>
  <c r="V77" i="47"/>
  <c r="T77" i="47"/>
  <c r="R77" i="46"/>
  <c r="D82" i="46"/>
  <c r="F82" i="46" s="1"/>
  <c r="H69" i="47"/>
  <c r="H70" i="47" s="1"/>
  <c r="F70" i="47"/>
  <c r="J69" i="47" s="1"/>
  <c r="D72" i="44"/>
  <c r="F72" i="44" s="1"/>
  <c r="R72" i="45"/>
  <c r="T72" i="45" s="1"/>
  <c r="Z49" i="44"/>
  <c r="AB49" i="44" s="1"/>
  <c r="L54" i="44"/>
  <c r="T82" i="48"/>
  <c r="V82" i="48"/>
  <c r="D83" i="47"/>
  <c r="F83" i="47" s="1"/>
  <c r="H83" i="47" s="1"/>
  <c r="R82" i="47"/>
  <c r="D87" i="47"/>
  <c r="F87" i="47" s="1"/>
  <c r="L55" i="44"/>
  <c r="Z50" i="44"/>
  <c r="AB50" i="44" s="1"/>
  <c r="V47" i="40"/>
  <c r="T47" i="40"/>
  <c r="V67" i="45"/>
  <c r="T67" i="45"/>
  <c r="H83" i="48"/>
  <c r="H88" i="49"/>
  <c r="AE50" i="42"/>
  <c r="AI49" i="42" s="1"/>
  <c r="AG80" i="48"/>
  <c r="AG50" i="42"/>
  <c r="AI45" i="42"/>
  <c r="AE60" i="44"/>
  <c r="AI59" i="44" s="1"/>
  <c r="AG65" i="45"/>
  <c r="AG60" i="44"/>
  <c r="J37" i="40"/>
  <c r="AE65" i="45"/>
  <c r="AI64" i="45" s="1"/>
  <c r="AI50" i="43"/>
  <c r="Y15" i="24"/>
  <c r="X15" i="24" s="1"/>
  <c r="Z44" i="44"/>
  <c r="AB44" i="44" s="1"/>
  <c r="AK45" i="44"/>
  <c r="AM45" i="44" s="1"/>
  <c r="AS45" i="44" s="1"/>
  <c r="Z45" i="44"/>
  <c r="AB45" i="44" s="1"/>
  <c r="L50" i="44"/>
  <c r="N50" i="44" s="1"/>
  <c r="AQ50" i="44" s="1"/>
  <c r="H84" i="50"/>
  <c r="H85" i="50" s="1"/>
  <c r="J85" i="50" s="1"/>
  <c r="F85" i="50"/>
  <c r="J84" i="50" s="1"/>
  <c r="X8" i="50"/>
  <c r="X10" i="50" s="1"/>
  <c r="V10" i="50"/>
  <c r="Z9" i="50" s="1"/>
  <c r="V21" i="50"/>
  <c r="V23" i="50" s="1"/>
  <c r="Z22" i="50" s="1"/>
  <c r="X21" i="50"/>
  <c r="X23" i="50" s="1"/>
  <c r="X3" i="50"/>
  <c r="X5" i="50" s="1"/>
  <c r="V3" i="50"/>
  <c r="V5" i="50" s="1"/>
  <c r="Z4" i="50" s="1"/>
  <c r="J23" i="50"/>
  <c r="N22" i="50" s="1"/>
  <c r="L22" i="50"/>
  <c r="L23" i="50" s="1"/>
  <c r="AJ5" i="50"/>
  <c r="AN3" i="50"/>
  <c r="V15" i="50"/>
  <c r="Z13" i="50"/>
  <c r="P14" i="50"/>
  <c r="L15" i="50"/>
  <c r="L17" i="50" s="1"/>
  <c r="N15" i="50"/>
  <c r="N17" i="50" s="1"/>
  <c r="AL9" i="50"/>
  <c r="AJ9" i="50"/>
  <c r="AL14" i="50"/>
  <c r="AL16" i="50" s="1"/>
  <c r="AJ16" i="50"/>
  <c r="AN15" i="50" s="1"/>
  <c r="X26" i="50"/>
  <c r="X28" i="50" s="1"/>
  <c r="V28" i="50"/>
  <c r="Z27" i="50" s="1"/>
  <c r="X95" i="43"/>
  <c r="AB95" i="43" s="1"/>
  <c r="AR95" i="43" s="1"/>
  <c r="AR95" i="47"/>
  <c r="X45" i="43"/>
  <c r="X60" i="46"/>
  <c r="X75" i="49"/>
  <c r="X95" i="34"/>
  <c r="AB95" i="34" s="1"/>
  <c r="AR94" i="34" s="1"/>
  <c r="N45" i="43"/>
  <c r="AQ45" i="43" s="1"/>
  <c r="AB94" i="50"/>
  <c r="X95" i="50"/>
  <c r="AB95" i="50" s="1"/>
  <c r="X95" i="28"/>
  <c r="AB95" i="28" s="1"/>
  <c r="AR94" i="28" s="1"/>
  <c r="X95" i="49"/>
  <c r="AB95" i="49" s="1"/>
  <c r="AR94" i="49" s="1"/>
  <c r="J57" i="44"/>
  <c r="X95" i="33"/>
  <c r="AB95" i="33" s="1"/>
  <c r="AR95" i="33" s="1"/>
  <c r="AR94" i="48"/>
  <c r="AR94" i="42"/>
  <c r="X95" i="31"/>
  <c r="AB95" i="31" s="1"/>
  <c r="AR94" i="31" s="1"/>
  <c r="AG85" i="49"/>
  <c r="Y7" i="16"/>
  <c r="AA7" i="16" s="1"/>
  <c r="AG7" i="16" s="1"/>
  <c r="AE55" i="43"/>
  <c r="AI54" i="43" s="1"/>
  <c r="Y8" i="17"/>
  <c r="AA8" i="17" s="1"/>
  <c r="AG8" i="17" s="1"/>
  <c r="AB94" i="27"/>
  <c r="X95" i="27"/>
  <c r="AB95" i="27" s="1"/>
  <c r="AR35" i="41"/>
  <c r="AT35" i="41" s="1"/>
  <c r="E5" i="41" s="1"/>
  <c r="AR34" i="41"/>
  <c r="AT34" i="41" s="1"/>
  <c r="D5" i="41" s="1"/>
  <c r="X95" i="37"/>
  <c r="AB95" i="37" s="1"/>
  <c r="AR94" i="37" s="1"/>
  <c r="X40" i="42"/>
  <c r="AB94" i="45"/>
  <c r="X95" i="45"/>
  <c r="AB95" i="45" s="1"/>
  <c r="X95" i="39"/>
  <c r="AB95" i="39" s="1"/>
  <c r="AR95" i="39" s="1"/>
  <c r="X95" i="46"/>
  <c r="AB95" i="46" s="1"/>
  <c r="AR95" i="46" s="1"/>
  <c r="AB94" i="44"/>
  <c r="X95" i="44"/>
  <c r="AB95" i="44" s="1"/>
  <c r="A129" i="32"/>
  <c r="B128" i="32"/>
  <c r="AJ120" i="47"/>
  <c r="AJ119" i="47"/>
  <c r="AJ135" i="40"/>
  <c r="AJ134" i="40"/>
  <c r="AA5" i="15"/>
  <c r="X4" i="15"/>
  <c r="C112" i="35"/>
  <c r="G113" i="35"/>
  <c r="A120" i="36"/>
  <c r="B120" i="36" s="1"/>
  <c r="B119" i="36"/>
  <c r="Q107" i="37"/>
  <c r="Q109" i="37"/>
  <c r="AJ125" i="45"/>
  <c r="AJ124" i="45"/>
  <c r="X107" i="26"/>
  <c r="O120" i="42"/>
  <c r="P120" i="42" s="1"/>
  <c r="P119" i="42"/>
  <c r="AV13" i="21"/>
  <c r="K109" i="40"/>
  <c r="G107" i="40"/>
  <c r="K110" i="40"/>
  <c r="A120" i="39"/>
  <c r="B120" i="39" s="1"/>
  <c r="B119" i="39"/>
  <c r="A141" i="49"/>
  <c r="A137" i="49"/>
  <c r="B136" i="49"/>
  <c r="C114" i="30"/>
  <c r="C113" i="30"/>
  <c r="A120" i="48"/>
  <c r="B120" i="48" s="1"/>
  <c r="B119" i="48"/>
  <c r="X102" i="37"/>
  <c r="O119" i="28"/>
  <c r="P118" i="28"/>
  <c r="Q118" i="28" s="1"/>
  <c r="AC133" i="26"/>
  <c r="AC129" i="26"/>
  <c r="AD129" i="26" s="1"/>
  <c r="AD128" i="26"/>
  <c r="AE45" i="41"/>
  <c r="AI44" i="41" s="1"/>
  <c r="G102" i="30"/>
  <c r="K105" i="30"/>
  <c r="K104" i="30"/>
  <c r="A120" i="30"/>
  <c r="B120" i="30" s="1"/>
  <c r="B119" i="30"/>
  <c r="P114" i="46"/>
  <c r="O115" i="46"/>
  <c r="P115" i="46" s="1"/>
  <c r="AA7" i="17"/>
  <c r="AG7" i="17" s="1"/>
  <c r="B132" i="34"/>
  <c r="A133" i="34"/>
  <c r="Z130" i="32"/>
  <c r="Z129" i="32"/>
  <c r="R127" i="32"/>
  <c r="Y130" i="32"/>
  <c r="Y129" i="32"/>
  <c r="AA120" i="26"/>
  <c r="AO120" i="26" s="1"/>
  <c r="AP120" i="26" s="1"/>
  <c r="W120" i="26"/>
  <c r="AA119" i="26"/>
  <c r="AO119" i="26" s="1"/>
  <c r="AP119" i="26" s="1"/>
  <c r="W119" i="26"/>
  <c r="C130" i="59"/>
  <c r="C131" i="59"/>
  <c r="X55" i="45"/>
  <c r="AE44" i="40"/>
  <c r="AG44" i="40" s="1"/>
  <c r="R43" i="40"/>
  <c r="AE48" i="40"/>
  <c r="D44" i="40"/>
  <c r="F44" i="40" s="1"/>
  <c r="H44" i="40" s="1"/>
  <c r="D48" i="40"/>
  <c r="F48" i="40" s="1"/>
  <c r="H48" i="40" s="1"/>
  <c r="H12" i="20"/>
  <c r="I12" i="20" s="1"/>
  <c r="D12" i="20"/>
  <c r="F12" i="20" s="1"/>
  <c r="G12" i="20" s="1"/>
  <c r="AI85" i="50"/>
  <c r="AF12" i="24"/>
  <c r="F95" i="30"/>
  <c r="H92" i="30"/>
  <c r="H95" i="30" s="1"/>
  <c r="H10" i="18"/>
  <c r="I10" i="18" s="1"/>
  <c r="D10" i="18"/>
  <c r="F10" i="18" s="1"/>
  <c r="G10" i="18" s="1"/>
  <c r="B136" i="32"/>
  <c r="A137" i="32"/>
  <c r="A141" i="32"/>
  <c r="O115" i="31"/>
  <c r="P115" i="31" s="1"/>
  <c r="P114" i="31"/>
  <c r="V83" i="49"/>
  <c r="T83" i="49"/>
  <c r="C118" i="29"/>
  <c r="C119" i="29"/>
  <c r="V37" i="39"/>
  <c r="T37" i="39"/>
  <c r="T33" i="39"/>
  <c r="V33" i="39"/>
  <c r="C112" i="34"/>
  <c r="G113" i="34"/>
  <c r="AI122" i="34"/>
  <c r="AL124" i="34"/>
  <c r="AH124" i="34"/>
  <c r="AL125" i="34"/>
  <c r="AH125" i="34"/>
  <c r="G108" i="48"/>
  <c r="C107" i="48"/>
  <c r="Q112" i="29"/>
  <c r="Q114" i="29"/>
  <c r="AA115" i="50"/>
  <c r="AO115" i="50" s="1"/>
  <c r="W115" i="50"/>
  <c r="AA114" i="50"/>
  <c r="AO114" i="50" s="1"/>
  <c r="W114" i="50"/>
  <c r="A129" i="49"/>
  <c r="B128" i="49"/>
  <c r="AJ125" i="39"/>
  <c r="AJ124" i="39"/>
  <c r="B131" i="43"/>
  <c r="A136" i="43"/>
  <c r="A132" i="43"/>
  <c r="AL125" i="31"/>
  <c r="AH125" i="31"/>
  <c r="AI122" i="31"/>
  <c r="AL124" i="31"/>
  <c r="AH124" i="31"/>
  <c r="M109" i="26"/>
  <c r="I109" i="26"/>
  <c r="M110" i="26"/>
  <c r="I110" i="26"/>
  <c r="G109" i="26"/>
  <c r="B147" i="59"/>
  <c r="A148" i="59"/>
  <c r="AA138" i="59"/>
  <c r="AQ138" i="59" s="1"/>
  <c r="AR138" i="59" s="1"/>
  <c r="AA137" i="59"/>
  <c r="AQ137" i="59" s="1"/>
  <c r="AR137" i="59" s="1"/>
  <c r="A129" i="34"/>
  <c r="B128" i="34"/>
  <c r="AA120" i="35"/>
  <c r="AO120" i="35" s="1"/>
  <c r="AP120" i="35" s="1"/>
  <c r="W120" i="35"/>
  <c r="AA119" i="35"/>
  <c r="AO119" i="35" s="1"/>
  <c r="AP119" i="35" s="1"/>
  <c r="W119" i="35"/>
  <c r="C114" i="39"/>
  <c r="C113" i="39"/>
  <c r="B124" i="47"/>
  <c r="A125" i="47"/>
  <c r="B125" i="47" s="1"/>
  <c r="O120" i="41"/>
  <c r="P120" i="41" s="1"/>
  <c r="P119" i="41"/>
  <c r="O115" i="39"/>
  <c r="P115" i="39" s="1"/>
  <c r="P114" i="39"/>
  <c r="Q114" i="36"/>
  <c r="Q112" i="36"/>
  <c r="C114" i="46"/>
  <c r="C113" i="46"/>
  <c r="AC129" i="49"/>
  <c r="AD129" i="49" s="1"/>
  <c r="AD128" i="49"/>
  <c r="AC133" i="49"/>
  <c r="D11" i="53"/>
  <c r="F11" i="53" s="1"/>
  <c r="G11" i="53" s="1"/>
  <c r="H11" i="53"/>
  <c r="I11" i="53" s="1"/>
  <c r="AV11" i="19"/>
  <c r="M109" i="36"/>
  <c r="I109" i="36"/>
  <c r="M110" i="36"/>
  <c r="I110" i="36"/>
  <c r="G109" i="36"/>
  <c r="A124" i="30"/>
  <c r="B123" i="30"/>
  <c r="P127" i="36"/>
  <c r="O128" i="36"/>
  <c r="F8" i="17"/>
  <c r="G108" i="30"/>
  <c r="C107" i="30"/>
  <c r="T88" i="50"/>
  <c r="V88" i="50"/>
  <c r="O127" i="27"/>
  <c r="P126" i="27"/>
  <c r="O131" i="27"/>
  <c r="AV5" i="13"/>
  <c r="AN9" i="61"/>
  <c r="C13" i="45"/>
  <c r="AP9" i="16"/>
  <c r="B9" i="16"/>
  <c r="B131" i="30"/>
  <c r="A136" i="30"/>
  <c r="A132" i="30"/>
  <c r="T68" i="46"/>
  <c r="V68" i="46"/>
  <c r="A129" i="38"/>
  <c r="B128" i="38"/>
  <c r="A141" i="47"/>
  <c r="A137" i="47"/>
  <c r="B136" i="47"/>
  <c r="AI35" i="40"/>
  <c r="AM35" i="40" s="1"/>
  <c r="AS35" i="40" s="1"/>
  <c r="K109" i="34"/>
  <c r="G107" i="34"/>
  <c r="K110" i="34"/>
  <c r="V43" i="41"/>
  <c r="T43" i="41"/>
  <c r="AJ120" i="38"/>
  <c r="AJ119" i="38"/>
  <c r="F62" i="43"/>
  <c r="T53" i="43"/>
  <c r="V53" i="43"/>
  <c r="H105" i="59"/>
  <c r="H108" i="59" s="1"/>
  <c r="F108" i="59"/>
  <c r="AJ124" i="27"/>
  <c r="AJ125" i="27"/>
  <c r="AL119" i="41"/>
  <c r="AH119" i="41"/>
  <c r="AL120" i="41"/>
  <c r="AH120" i="41"/>
  <c r="AI117" i="41"/>
  <c r="B136" i="35"/>
  <c r="A141" i="35"/>
  <c r="A137" i="35"/>
  <c r="X102" i="27"/>
  <c r="O128" i="47"/>
  <c r="P127" i="47"/>
  <c r="A129" i="42"/>
  <c r="B128" i="42"/>
  <c r="O115" i="45"/>
  <c r="P115" i="45" s="1"/>
  <c r="P114" i="45"/>
  <c r="D16" i="24"/>
  <c r="F16" i="24" s="1"/>
  <c r="G16" i="24" s="1"/>
  <c r="H16" i="24"/>
  <c r="I16" i="24" s="1"/>
  <c r="Y105" i="33"/>
  <c r="Y104" i="33"/>
  <c r="C114" i="45"/>
  <c r="C113" i="45"/>
  <c r="AJ119" i="44"/>
  <c r="AJ120" i="44"/>
  <c r="Q109" i="49"/>
  <c r="Q107" i="49"/>
  <c r="T97" i="49"/>
  <c r="F102" i="50"/>
  <c r="AC133" i="48"/>
  <c r="AC129" i="48"/>
  <c r="AD129" i="48" s="1"/>
  <c r="AD128" i="48"/>
  <c r="G102" i="43"/>
  <c r="K105" i="43"/>
  <c r="K104" i="43"/>
  <c r="A128" i="36"/>
  <c r="B127" i="36"/>
  <c r="A129" i="44"/>
  <c r="B128" i="44"/>
  <c r="AA115" i="43"/>
  <c r="AO115" i="43" s="1"/>
  <c r="AP115" i="43" s="1"/>
  <c r="W115" i="43"/>
  <c r="AA114" i="43"/>
  <c r="AO114" i="43" s="1"/>
  <c r="AP114" i="43" s="1"/>
  <c r="W114" i="43"/>
  <c r="P126" i="37"/>
  <c r="O131" i="37"/>
  <c r="O127" i="37"/>
  <c r="O123" i="40"/>
  <c r="P122" i="40"/>
  <c r="B131" i="46"/>
  <c r="A132" i="46"/>
  <c r="A136" i="46"/>
  <c r="G10" i="20"/>
  <c r="B131" i="39"/>
  <c r="A136" i="39"/>
  <c r="A132" i="39"/>
  <c r="AE85" i="49"/>
  <c r="AI84" i="49" s="1"/>
  <c r="C112" i="47"/>
  <c r="G113" i="47"/>
  <c r="K105" i="36"/>
  <c r="K104" i="36"/>
  <c r="G102" i="36"/>
  <c r="B131" i="48"/>
  <c r="A136" i="48"/>
  <c r="A132" i="48"/>
  <c r="Q112" i="35"/>
  <c r="Q114" i="35"/>
  <c r="O132" i="30"/>
  <c r="P131" i="30"/>
  <c r="O136" i="30"/>
  <c r="AA115" i="33"/>
  <c r="AO115" i="33" s="1"/>
  <c r="AP115" i="33" s="1"/>
  <c r="W115" i="33"/>
  <c r="AA114" i="33"/>
  <c r="AO114" i="33" s="1"/>
  <c r="AP114" i="33" s="1"/>
  <c r="W114" i="33"/>
  <c r="H49" i="43"/>
  <c r="H50" i="43" s="1"/>
  <c r="J50" i="43" s="1"/>
  <c r="F50" i="43"/>
  <c r="A133" i="31"/>
  <c r="B132" i="31"/>
  <c r="AA14" i="24"/>
  <c r="AG14" i="24" s="1"/>
  <c r="AC129" i="50"/>
  <c r="AD129" i="50" s="1"/>
  <c r="AD128" i="50"/>
  <c r="AC133" i="50"/>
  <c r="X13" i="24"/>
  <c r="AM10" i="61"/>
  <c r="C12" i="44"/>
  <c r="B10" i="17"/>
  <c r="AP10" i="17"/>
  <c r="O124" i="35"/>
  <c r="P123" i="35"/>
  <c r="Q123" i="35" s="1"/>
  <c r="P118" i="44"/>
  <c r="Q118" i="44" s="1"/>
  <c r="O119" i="44"/>
  <c r="Y110" i="35"/>
  <c r="Y109" i="35"/>
  <c r="P118" i="27"/>
  <c r="Q118" i="27" s="1"/>
  <c r="O119" i="27"/>
  <c r="V54" i="44"/>
  <c r="V55" i="44" s="1"/>
  <c r="T54" i="44"/>
  <c r="T55" i="44" s="1"/>
  <c r="X54" i="44" s="1"/>
  <c r="O119" i="39"/>
  <c r="P118" i="39"/>
  <c r="Q118" i="39" s="1"/>
  <c r="AF11" i="22"/>
  <c r="AF12" i="22" s="1"/>
  <c r="A125" i="42"/>
  <c r="B125" i="42" s="1"/>
  <c r="B124" i="42"/>
  <c r="B136" i="50"/>
  <c r="A141" i="50"/>
  <c r="A137" i="50"/>
  <c r="P114" i="34"/>
  <c r="O115" i="34"/>
  <c r="P115" i="34" s="1"/>
  <c r="H78" i="48"/>
  <c r="H80" i="48" s="1"/>
  <c r="F80" i="48"/>
  <c r="AI70" i="47"/>
  <c r="M114" i="49"/>
  <c r="I114" i="49"/>
  <c r="M115" i="49"/>
  <c r="I115" i="49"/>
  <c r="G114" i="49"/>
  <c r="AR95" i="29"/>
  <c r="AJ125" i="32"/>
  <c r="AJ124" i="32"/>
  <c r="T63" i="45"/>
  <c r="V63" i="45"/>
  <c r="M115" i="29"/>
  <c r="I115" i="29"/>
  <c r="G114" i="29"/>
  <c r="M114" i="29"/>
  <c r="I114" i="29"/>
  <c r="AJ145" i="46"/>
  <c r="AJ144" i="46"/>
  <c r="AV6" i="14"/>
  <c r="C112" i="31"/>
  <c r="G113" i="31"/>
  <c r="AA115" i="28"/>
  <c r="AO115" i="28" s="1"/>
  <c r="AP115" i="28" s="1"/>
  <c r="W115" i="28"/>
  <c r="AA114" i="28"/>
  <c r="AO114" i="28" s="1"/>
  <c r="AP114" i="28" s="1"/>
  <c r="W114" i="28"/>
  <c r="AJ125" i="37"/>
  <c r="AJ124" i="37"/>
  <c r="O136" i="42"/>
  <c r="O132" i="42"/>
  <c r="P131" i="42"/>
  <c r="H97" i="50"/>
  <c r="V52" i="42"/>
  <c r="T52" i="42"/>
  <c r="AG53" i="42"/>
  <c r="X102" i="46"/>
  <c r="B127" i="26"/>
  <c r="A128" i="26"/>
  <c r="O119" i="34"/>
  <c r="P118" i="34"/>
  <c r="Q118" i="34" s="1"/>
  <c r="AO8" i="61"/>
  <c r="D72" i="66" s="1"/>
  <c r="A72" i="66" s="1"/>
  <c r="C14" i="46"/>
  <c r="T22" i="46" s="1"/>
  <c r="B8" i="15"/>
  <c r="AP8" i="15"/>
  <c r="A125" i="28"/>
  <c r="B125" i="28" s="1"/>
  <c r="B124" i="28"/>
  <c r="P126" i="28"/>
  <c r="O131" i="28"/>
  <c r="O127" i="28"/>
  <c r="C114" i="43"/>
  <c r="C113" i="43"/>
  <c r="H47" i="41"/>
  <c r="Q107" i="45"/>
  <c r="Q109" i="45"/>
  <c r="A124" i="39"/>
  <c r="B123" i="39"/>
  <c r="A124" i="48"/>
  <c r="B123" i="48"/>
  <c r="B132" i="28"/>
  <c r="A133" i="28"/>
  <c r="A129" i="27"/>
  <c r="B128" i="27"/>
  <c r="H92" i="45"/>
  <c r="H95" i="45" s="1"/>
  <c r="F95" i="45"/>
  <c r="AI65" i="46"/>
  <c r="A129" i="31"/>
  <c r="B128" i="31"/>
  <c r="AJ125" i="42"/>
  <c r="AJ124" i="42"/>
  <c r="F78" i="47"/>
  <c r="AV15" i="23"/>
  <c r="M115" i="41"/>
  <c r="I115" i="41"/>
  <c r="G114" i="41"/>
  <c r="M114" i="41"/>
  <c r="I114" i="41"/>
  <c r="AG70" i="46"/>
  <c r="AK39" i="42"/>
  <c r="AM39" i="42" s="1"/>
  <c r="AS39" i="42" s="1"/>
  <c r="L44" i="42"/>
  <c r="Z39" i="42"/>
  <c r="AB39" i="42" s="1"/>
  <c r="Y105" i="40"/>
  <c r="Y104" i="40"/>
  <c r="A125" i="29"/>
  <c r="B125" i="29" s="1"/>
  <c r="B124" i="29"/>
  <c r="AV4" i="12"/>
  <c r="P147" i="32"/>
  <c r="O148" i="32"/>
  <c r="AR94" i="38"/>
  <c r="A129" i="50"/>
  <c r="B128" i="50"/>
  <c r="P118" i="43"/>
  <c r="Q118" i="43" s="1"/>
  <c r="O119" i="43"/>
  <c r="Y126" i="59"/>
  <c r="Y125" i="59"/>
  <c r="W126" i="59"/>
  <c r="W125" i="59"/>
  <c r="AI117" i="47"/>
  <c r="AL119" i="47"/>
  <c r="AH120" i="47"/>
  <c r="AL120" i="47"/>
  <c r="AH119" i="47"/>
  <c r="C118" i="49"/>
  <c r="C119" i="49"/>
  <c r="AL124" i="45"/>
  <c r="AH124" i="45"/>
  <c r="AH125" i="45"/>
  <c r="AL125" i="45"/>
  <c r="AI122" i="45"/>
  <c r="G102" i="39"/>
  <c r="K104" i="39"/>
  <c r="K105" i="39"/>
  <c r="A125" i="33"/>
  <c r="B125" i="33" s="1"/>
  <c r="B124" i="33"/>
  <c r="F95" i="39"/>
  <c r="H92" i="39"/>
  <c r="H95" i="39" s="1"/>
  <c r="C107" i="45"/>
  <c r="G108" i="45"/>
  <c r="K110" i="49"/>
  <c r="K109" i="49"/>
  <c r="G107" i="49"/>
  <c r="A129" i="28"/>
  <c r="B128" i="28"/>
  <c r="O127" i="33"/>
  <c r="P126" i="33"/>
  <c r="O131" i="33"/>
  <c r="AA115" i="31"/>
  <c r="AO115" i="31" s="1"/>
  <c r="AP115" i="31" s="1"/>
  <c r="W115" i="31"/>
  <c r="AA114" i="31"/>
  <c r="AO114" i="31" s="1"/>
  <c r="AP114" i="31" s="1"/>
  <c r="W114" i="31"/>
  <c r="F84" i="49"/>
  <c r="J82" i="49"/>
  <c r="A133" i="42"/>
  <c r="B132" i="42"/>
  <c r="F38" i="39"/>
  <c r="M115" i="34"/>
  <c r="I115" i="34"/>
  <c r="G114" i="34"/>
  <c r="M114" i="34"/>
  <c r="I114" i="34"/>
  <c r="A125" i="32"/>
  <c r="B125" i="32" s="1"/>
  <c r="B124" i="32"/>
  <c r="A124" i="46"/>
  <c r="B123" i="46"/>
  <c r="O138" i="59"/>
  <c r="P138" i="59" s="1"/>
  <c r="P137" i="59"/>
  <c r="O120" i="35"/>
  <c r="P120" i="35" s="1"/>
  <c r="P119" i="35"/>
  <c r="O131" i="45"/>
  <c r="P126" i="45"/>
  <c r="O127" i="45"/>
  <c r="AV11" i="53"/>
  <c r="AC129" i="36"/>
  <c r="AD129" i="36" s="1"/>
  <c r="AD128" i="36"/>
  <c r="AC133" i="36"/>
  <c r="P127" i="38"/>
  <c r="O128" i="38"/>
  <c r="T93" i="50"/>
  <c r="AE89" i="49"/>
  <c r="AG89" i="49" s="1"/>
  <c r="AE93" i="49"/>
  <c r="R88" i="49"/>
  <c r="D89" i="49"/>
  <c r="AV8" i="16"/>
  <c r="AF12" i="23"/>
  <c r="AL119" i="38"/>
  <c r="AH119" i="38"/>
  <c r="AL120" i="38"/>
  <c r="AH120" i="38"/>
  <c r="AI117" i="38"/>
  <c r="AG58" i="43"/>
  <c r="Q114" i="42"/>
  <c r="Q112" i="42"/>
  <c r="A125" i="49"/>
  <c r="B125" i="49" s="1"/>
  <c r="B124" i="49"/>
  <c r="B132" i="29"/>
  <c r="A133" i="29"/>
  <c r="AA4" i="14"/>
  <c r="AV16" i="24"/>
  <c r="O115" i="27"/>
  <c r="P115" i="27" s="1"/>
  <c r="P114" i="27"/>
  <c r="X102" i="45"/>
  <c r="P118" i="31"/>
  <c r="Q118" i="31" s="1"/>
  <c r="O119" i="31"/>
  <c r="M115" i="47"/>
  <c r="I114" i="47"/>
  <c r="M114" i="47"/>
  <c r="G114" i="47"/>
  <c r="I115" i="47"/>
  <c r="A141" i="31"/>
  <c r="A137" i="31"/>
  <c r="B136" i="31"/>
  <c r="Y10" i="53"/>
  <c r="X9" i="53" s="1"/>
  <c r="AJ125" i="50"/>
  <c r="AJ124" i="50"/>
  <c r="Y14" i="23"/>
  <c r="C118" i="35"/>
  <c r="C119" i="35"/>
  <c r="C119" i="31"/>
  <c r="C118" i="31"/>
  <c r="O143" i="59"/>
  <c r="P142" i="59"/>
  <c r="Q142" i="59" s="1"/>
  <c r="O119" i="46"/>
  <c r="P118" i="46"/>
  <c r="Q118" i="46" s="1"/>
  <c r="H9" i="17"/>
  <c r="I9" i="17" s="1"/>
  <c r="D9" i="17"/>
  <c r="F9" i="17" s="1"/>
  <c r="G9" i="17" s="1"/>
  <c r="O124" i="38"/>
  <c r="P123" i="38"/>
  <c r="Q123" i="38" s="1"/>
  <c r="V58" i="44"/>
  <c r="T58" i="44"/>
  <c r="P147" i="59"/>
  <c r="O148" i="59"/>
  <c r="K110" i="47"/>
  <c r="K109" i="47"/>
  <c r="G107" i="47"/>
  <c r="P127" i="29"/>
  <c r="O128" i="29"/>
  <c r="AC129" i="33"/>
  <c r="AD129" i="33" s="1"/>
  <c r="AD128" i="33"/>
  <c r="AC133" i="33"/>
  <c r="C112" i="49"/>
  <c r="G113" i="49"/>
  <c r="G108" i="43"/>
  <c r="C107" i="43"/>
  <c r="O120" i="36"/>
  <c r="P120" i="36" s="1"/>
  <c r="P119" i="36"/>
  <c r="AI122" i="32"/>
  <c r="AL124" i="32"/>
  <c r="AH124" i="32"/>
  <c r="AL125" i="32"/>
  <c r="AH125" i="32"/>
  <c r="AG68" i="45"/>
  <c r="C112" i="29"/>
  <c r="G113" i="29"/>
  <c r="AI142" i="46"/>
  <c r="AL144" i="46"/>
  <c r="AH144" i="46"/>
  <c r="AH145" i="46"/>
  <c r="AL145" i="46"/>
  <c r="Q114" i="47"/>
  <c r="Q112" i="47"/>
  <c r="A124" i="37"/>
  <c r="B123" i="37"/>
  <c r="AE84" i="48"/>
  <c r="AG84" i="48" s="1"/>
  <c r="AE88" i="48"/>
  <c r="R83" i="48"/>
  <c r="D84" i="48"/>
  <c r="M114" i="31"/>
  <c r="I114" i="31"/>
  <c r="M115" i="31"/>
  <c r="I115" i="31"/>
  <c r="G114" i="31"/>
  <c r="P123" i="48"/>
  <c r="Q123" i="48" s="1"/>
  <c r="O124" i="48"/>
  <c r="AL143" i="59"/>
  <c r="AL144" i="59"/>
  <c r="P114" i="28"/>
  <c r="O115" i="28"/>
  <c r="P115" i="28" s="1"/>
  <c r="AI122" i="37"/>
  <c r="AL124" i="37"/>
  <c r="AH124" i="37"/>
  <c r="AL125" i="37"/>
  <c r="AH125" i="37"/>
  <c r="AR94" i="41"/>
  <c r="C114" i="48"/>
  <c r="C113" i="48"/>
  <c r="V48" i="42"/>
  <c r="T48" i="42"/>
  <c r="Y105" i="46"/>
  <c r="Y104" i="46"/>
  <c r="B131" i="26"/>
  <c r="A136" i="26"/>
  <c r="A132" i="26"/>
  <c r="C112" i="44"/>
  <c r="G113" i="44"/>
  <c r="K110" i="44"/>
  <c r="K109" i="44"/>
  <c r="G107" i="44"/>
  <c r="AE79" i="47"/>
  <c r="AG79" i="47" s="1"/>
  <c r="R78" i="47"/>
  <c r="AE83" i="47"/>
  <c r="D79" i="47"/>
  <c r="F79" i="47" s="1"/>
  <c r="H79" i="47" s="1"/>
  <c r="R74" i="47"/>
  <c r="C107" i="37"/>
  <c r="G108" i="37"/>
  <c r="Q131" i="59"/>
  <c r="Q129" i="59"/>
  <c r="C119" i="34"/>
  <c r="C118" i="34"/>
  <c r="B136" i="28"/>
  <c r="A141" i="28"/>
  <c r="A137" i="28"/>
  <c r="O120" i="48"/>
  <c r="P120" i="48" s="1"/>
  <c r="P119" i="48"/>
  <c r="AL124" i="42"/>
  <c r="AH124" i="42"/>
  <c r="AL125" i="42"/>
  <c r="AH125" i="42"/>
  <c r="AI122" i="42"/>
  <c r="AG78" i="47"/>
  <c r="T73" i="47"/>
  <c r="V73" i="47"/>
  <c r="AE43" i="39"/>
  <c r="R34" i="39"/>
  <c r="D39" i="39"/>
  <c r="F39" i="39" s="1"/>
  <c r="H39" i="39" s="1"/>
  <c r="R38" i="39"/>
  <c r="D43" i="39"/>
  <c r="F43" i="39" s="1"/>
  <c r="H43" i="39" s="1"/>
  <c r="AE39" i="39"/>
  <c r="AG39" i="39" s="1"/>
  <c r="R42" i="39"/>
  <c r="D47" i="39"/>
  <c r="C112" i="41"/>
  <c r="G113" i="41"/>
  <c r="AE70" i="46"/>
  <c r="AI69" i="46" s="1"/>
  <c r="B132" i="38"/>
  <c r="A133" i="38"/>
  <c r="P127" i="41"/>
  <c r="O128" i="41"/>
  <c r="AK40" i="42"/>
  <c r="AM40" i="42" s="1"/>
  <c r="AS40" i="42" s="1"/>
  <c r="Z40" i="42"/>
  <c r="L45" i="42"/>
  <c r="AA120" i="29"/>
  <c r="AO120" i="29" s="1"/>
  <c r="AP120" i="29" s="1"/>
  <c r="W120" i="29"/>
  <c r="AA119" i="29"/>
  <c r="AO119" i="29" s="1"/>
  <c r="AP119" i="29" s="1"/>
  <c r="W119" i="29"/>
  <c r="AG10" i="20"/>
  <c r="O124" i="41"/>
  <c r="P123" i="41"/>
  <c r="Q123" i="41" s="1"/>
  <c r="O123" i="44"/>
  <c r="P122" i="44"/>
  <c r="AS4" i="61"/>
  <c r="AT3" i="61"/>
  <c r="AP4" i="11"/>
  <c r="B4" i="11"/>
  <c r="C18" i="50"/>
  <c r="D107" i="50" s="1"/>
  <c r="C113" i="36"/>
  <c r="C114" i="36"/>
  <c r="C114" i="26"/>
  <c r="C113" i="26"/>
  <c r="B132" i="41"/>
  <c r="A133" i="41"/>
  <c r="C119" i="42"/>
  <c r="C118" i="42"/>
  <c r="AI132" i="40"/>
  <c r="AL134" i="40"/>
  <c r="AH134" i="40"/>
  <c r="AL135" i="40"/>
  <c r="AH135" i="40"/>
  <c r="O124" i="42"/>
  <c r="P123" i="42"/>
  <c r="Q123" i="42" s="1"/>
  <c r="M115" i="38"/>
  <c r="I115" i="38"/>
  <c r="G114" i="38"/>
  <c r="M114" i="38"/>
  <c r="I114" i="38"/>
  <c r="H13" i="21"/>
  <c r="I13" i="21" s="1"/>
  <c r="D13" i="21"/>
  <c r="F13" i="21" s="1"/>
  <c r="G13" i="21" s="1"/>
  <c r="A124" i="26"/>
  <c r="B123" i="26"/>
  <c r="AA115" i="40"/>
  <c r="AO115" i="40" s="1"/>
  <c r="AP115" i="40" s="1"/>
  <c r="W115" i="40"/>
  <c r="AA114" i="40"/>
  <c r="AO114" i="40" s="1"/>
  <c r="AP114" i="40" s="1"/>
  <c r="W114" i="40"/>
  <c r="X107" i="41"/>
  <c r="AC129" i="28"/>
  <c r="AD129" i="28" s="1"/>
  <c r="AD128" i="28"/>
  <c r="AC133" i="28"/>
  <c r="O123" i="31"/>
  <c r="P122" i="31"/>
  <c r="A129" i="40"/>
  <c r="B128" i="40"/>
  <c r="W140" i="32"/>
  <c r="AA139" i="32"/>
  <c r="AO139" i="32" s="1"/>
  <c r="AP139" i="32" s="1"/>
  <c r="W139" i="32"/>
  <c r="AA140" i="32"/>
  <c r="AO140" i="32" s="1"/>
  <c r="AP140" i="32" s="1"/>
  <c r="X107" i="38"/>
  <c r="A129" i="41"/>
  <c r="B128" i="41"/>
  <c r="R53" i="42"/>
  <c r="AE54" i="42"/>
  <c r="AG54" i="42" s="1"/>
  <c r="AE58" i="42"/>
  <c r="D54" i="42"/>
  <c r="D58" i="42"/>
  <c r="F58" i="42" s="1"/>
  <c r="H58" i="42" s="1"/>
  <c r="R57" i="42"/>
  <c r="D62" i="42"/>
  <c r="F102" i="49"/>
  <c r="A120" i="43"/>
  <c r="B120" i="43" s="1"/>
  <c r="B119" i="43"/>
  <c r="P127" i="48"/>
  <c r="O128" i="48"/>
  <c r="C112" i="50"/>
  <c r="G113" i="50"/>
  <c r="P114" i="50"/>
  <c r="O115" i="50"/>
  <c r="P115" i="50" s="1"/>
  <c r="A125" i="34"/>
  <c r="B125" i="34" s="1"/>
  <c r="B124" i="34"/>
  <c r="V74" i="48"/>
  <c r="V75" i="48" s="1"/>
  <c r="T74" i="48"/>
  <c r="T75" i="48" s="1"/>
  <c r="X74" i="48" s="1"/>
  <c r="G4" i="14"/>
  <c r="AJ124" i="49"/>
  <c r="AJ125" i="49"/>
  <c r="M109" i="30"/>
  <c r="I109" i="30"/>
  <c r="M110" i="30"/>
  <c r="I110" i="30"/>
  <c r="G109" i="30"/>
  <c r="C119" i="47"/>
  <c r="C118" i="47"/>
  <c r="H44" i="42"/>
  <c r="H45" i="42" s="1"/>
  <c r="J45" i="42" s="1"/>
  <c r="F45" i="42"/>
  <c r="J44" i="42" s="1"/>
  <c r="F47" i="40"/>
  <c r="T38" i="40"/>
  <c r="V38" i="40"/>
  <c r="AG73" i="46"/>
  <c r="X102" i="34"/>
  <c r="K110" i="27"/>
  <c r="K109" i="27"/>
  <c r="G107" i="27"/>
  <c r="V57" i="43"/>
  <c r="T57" i="43"/>
  <c r="AL125" i="27"/>
  <c r="AH125" i="27"/>
  <c r="AI122" i="27"/>
  <c r="AL124" i="27"/>
  <c r="AH124" i="27"/>
  <c r="K119" i="59"/>
  <c r="K120" i="59"/>
  <c r="I119" i="59"/>
  <c r="I120" i="59"/>
  <c r="G117" i="59"/>
  <c r="P127" i="26"/>
  <c r="O128" i="26"/>
  <c r="B127" i="37"/>
  <c r="A128" i="37"/>
  <c r="X102" i="33"/>
  <c r="AJ124" i="30"/>
  <c r="AJ125" i="30"/>
  <c r="Q114" i="48"/>
  <c r="Q112" i="48"/>
  <c r="Q107" i="40"/>
  <c r="Q109" i="40"/>
  <c r="AL120" i="44"/>
  <c r="AH120" i="44"/>
  <c r="AI117" i="44"/>
  <c r="AL119" i="44"/>
  <c r="AH119" i="44"/>
  <c r="C107" i="46"/>
  <c r="G108" i="46"/>
  <c r="A136" i="36"/>
  <c r="A132" i="36"/>
  <c r="B131" i="36"/>
  <c r="P126" i="40"/>
  <c r="O131" i="40"/>
  <c r="O127" i="40"/>
  <c r="B127" i="46"/>
  <c r="A128" i="46"/>
  <c r="Q107" i="39"/>
  <c r="Q109" i="39"/>
  <c r="AC124" i="35"/>
  <c r="AD124" i="35" s="1"/>
  <c r="AD123" i="35"/>
  <c r="AC128" i="35"/>
  <c r="Y109" i="47"/>
  <c r="Y110" i="47"/>
  <c r="X123" i="59"/>
  <c r="B136" i="41"/>
  <c r="A141" i="41"/>
  <c r="A137" i="41"/>
  <c r="X95" i="40"/>
  <c r="AB95" i="40" s="1"/>
  <c r="AR94" i="40" s="1"/>
  <c r="F9" i="18"/>
  <c r="Q109" i="43"/>
  <c r="Q107" i="43"/>
  <c r="AC128" i="47"/>
  <c r="AC124" i="47"/>
  <c r="AD124" i="47" s="1"/>
  <c r="AD123" i="47"/>
  <c r="P123" i="26"/>
  <c r="Q123" i="26" s="1"/>
  <c r="O124" i="26"/>
  <c r="C112" i="28"/>
  <c r="G113" i="28"/>
  <c r="K109" i="50"/>
  <c r="G107" i="50"/>
  <c r="K110" i="50"/>
  <c r="A125" i="31"/>
  <c r="B125" i="31" s="1"/>
  <c r="B124" i="31"/>
  <c r="C112" i="38"/>
  <c r="G113" i="38"/>
  <c r="AI14" i="61"/>
  <c r="L172" i="66" s="1"/>
  <c r="AP14" i="21"/>
  <c r="C8" i="40"/>
  <c r="B14" i="21"/>
  <c r="AA6" i="16"/>
  <c r="X5" i="16"/>
  <c r="Y105" i="49"/>
  <c r="Y104" i="49"/>
  <c r="AA115" i="37"/>
  <c r="AO115" i="37" s="1"/>
  <c r="AP115" i="37" s="1"/>
  <c r="W115" i="37"/>
  <c r="AA114" i="37"/>
  <c r="AO114" i="37" s="1"/>
  <c r="AP114" i="37" s="1"/>
  <c r="W114" i="37"/>
  <c r="P114" i="40"/>
  <c r="O115" i="40"/>
  <c r="P115" i="40" s="1"/>
  <c r="X102" i="31"/>
  <c r="H92" i="46"/>
  <c r="H95" i="46" s="1"/>
  <c r="F95" i="46"/>
  <c r="AJ120" i="29"/>
  <c r="AJ119" i="29"/>
  <c r="Y110" i="41"/>
  <c r="Y109" i="41"/>
  <c r="AJ124" i="26"/>
  <c r="AJ125" i="26"/>
  <c r="B127" i="45"/>
  <c r="A128" i="45"/>
  <c r="AJ125" i="28"/>
  <c r="AJ124" i="28"/>
  <c r="M110" i="45"/>
  <c r="I110" i="45"/>
  <c r="G109" i="45"/>
  <c r="M109" i="45"/>
  <c r="I109" i="45"/>
  <c r="O120" i="38"/>
  <c r="P120" i="38" s="1"/>
  <c r="P119" i="38"/>
  <c r="V122" i="32"/>
  <c r="V125" i="32" s="1"/>
  <c r="T122" i="32"/>
  <c r="T125" i="32" s="1"/>
  <c r="X124" i="32" s="1"/>
  <c r="AB124" i="32" s="1"/>
  <c r="P139" i="32"/>
  <c r="O140" i="32"/>
  <c r="P140" i="32" s="1"/>
  <c r="Y110" i="38"/>
  <c r="Y109" i="38"/>
  <c r="P119" i="47"/>
  <c r="O120" i="47"/>
  <c r="P120" i="47" s="1"/>
  <c r="AF10" i="21"/>
  <c r="AF11" i="21" s="1"/>
  <c r="H38" i="40"/>
  <c r="H40" i="40" s="1"/>
  <c r="J40" i="40" s="1"/>
  <c r="N40" i="40" s="1"/>
  <c r="AQ40" i="40" s="1"/>
  <c r="F40" i="40"/>
  <c r="J39" i="40" s="1"/>
  <c r="N39" i="40" s="1"/>
  <c r="AQ39" i="40" s="1"/>
  <c r="K109" i="41"/>
  <c r="G107" i="41"/>
  <c r="K110" i="41"/>
  <c r="AV14" i="22"/>
  <c r="K109" i="38"/>
  <c r="G107" i="38"/>
  <c r="K110" i="38"/>
  <c r="AV12" i="20"/>
  <c r="AV10" i="18"/>
  <c r="X120" i="32"/>
  <c r="AB120" i="32" s="1"/>
  <c r="AR119" i="32" s="1"/>
  <c r="AG88" i="49"/>
  <c r="O120" i="30"/>
  <c r="P120" i="30" s="1"/>
  <c r="P119" i="30"/>
  <c r="C119" i="44"/>
  <c r="C118" i="44"/>
  <c r="A141" i="42"/>
  <c r="A137" i="42"/>
  <c r="B136" i="42"/>
  <c r="AG38" i="39"/>
  <c r="F12" i="21"/>
  <c r="AC129" i="34"/>
  <c r="AD129" i="34" s="1"/>
  <c r="AD128" i="34"/>
  <c r="AC133" i="34"/>
  <c r="M115" i="50"/>
  <c r="I115" i="50"/>
  <c r="G114" i="50"/>
  <c r="M114" i="50"/>
  <c r="I114" i="50"/>
  <c r="Y110" i="42"/>
  <c r="Y109" i="42"/>
  <c r="X102" i="50"/>
  <c r="F95" i="36"/>
  <c r="H92" i="36"/>
  <c r="H95" i="36" s="1"/>
  <c r="C112" i="40"/>
  <c r="G113" i="40"/>
  <c r="V78" i="48"/>
  <c r="T78" i="48"/>
  <c r="X102" i="28"/>
  <c r="AC133" i="39"/>
  <c r="AC129" i="39"/>
  <c r="AD129" i="39" s="1"/>
  <c r="AD128" i="39"/>
  <c r="AC129" i="31"/>
  <c r="AD129" i="31" s="1"/>
  <c r="AD128" i="31"/>
  <c r="AC133" i="31"/>
  <c r="A133" i="44"/>
  <c r="B132" i="44"/>
  <c r="H92" i="37"/>
  <c r="H95" i="37" s="1"/>
  <c r="F95" i="37"/>
  <c r="A133" i="33"/>
  <c r="B132" i="33"/>
  <c r="V124" i="32"/>
  <c r="T124" i="32"/>
  <c r="A125" i="50"/>
  <c r="B125" i="50" s="1"/>
  <c r="B124" i="50"/>
  <c r="AL125" i="49"/>
  <c r="AH125" i="49"/>
  <c r="AL124" i="49"/>
  <c r="AH124" i="49"/>
  <c r="AI122" i="49"/>
  <c r="H11" i="19"/>
  <c r="I11" i="19" s="1"/>
  <c r="D11" i="19"/>
  <c r="F11" i="19" s="1"/>
  <c r="G11" i="19" s="1"/>
  <c r="F10" i="53"/>
  <c r="C119" i="27"/>
  <c r="C118" i="27"/>
  <c r="O123" i="46"/>
  <c r="P122" i="46"/>
  <c r="H77" i="46"/>
  <c r="AJ124" i="36"/>
  <c r="AJ125" i="36"/>
  <c r="P127" i="35"/>
  <c r="O128" i="35"/>
  <c r="O136" i="38"/>
  <c r="O132" i="38"/>
  <c r="P131" i="38"/>
  <c r="O127" i="49"/>
  <c r="O131" i="49"/>
  <c r="P126" i="49"/>
  <c r="X102" i="39"/>
  <c r="O123" i="27"/>
  <c r="P122" i="27"/>
  <c r="AQ6" i="61"/>
  <c r="C16" i="48"/>
  <c r="B6" i="13"/>
  <c r="AP6" i="13"/>
  <c r="Q109" i="27"/>
  <c r="Q107" i="27"/>
  <c r="AE74" i="46"/>
  <c r="AG74" i="46" s="1"/>
  <c r="AE78" i="46"/>
  <c r="R64" i="46"/>
  <c r="R73" i="46"/>
  <c r="D74" i="46"/>
  <c r="D78" i="46"/>
  <c r="V42" i="40"/>
  <c r="T42" i="40"/>
  <c r="V34" i="40"/>
  <c r="V35" i="40" s="1"/>
  <c r="X35" i="40" s="1"/>
  <c r="AB35" i="40" s="1"/>
  <c r="T34" i="40"/>
  <c r="T35" i="40" s="1"/>
  <c r="X34" i="40" s="1"/>
  <c r="AB34" i="40" s="1"/>
  <c r="P123" i="36"/>
  <c r="Q123" i="36" s="1"/>
  <c r="O124" i="36"/>
  <c r="K104" i="37"/>
  <c r="G102" i="37"/>
  <c r="K105" i="37"/>
  <c r="Y105" i="34"/>
  <c r="Y104" i="34"/>
  <c r="Y105" i="44"/>
  <c r="Y104" i="44"/>
  <c r="F44" i="41"/>
  <c r="J42" i="41"/>
  <c r="J70" i="47"/>
  <c r="Y9" i="18"/>
  <c r="X107" i="29"/>
  <c r="B136" i="29"/>
  <c r="A141" i="29"/>
  <c r="A137" i="29"/>
  <c r="B131" i="37"/>
  <c r="A136" i="37"/>
  <c r="A132" i="37"/>
  <c r="AC124" i="41"/>
  <c r="AD124" i="41" s="1"/>
  <c r="AD123" i="41"/>
  <c r="AC128" i="41"/>
  <c r="Y5" i="14"/>
  <c r="X4" i="14" s="1"/>
  <c r="G113" i="42"/>
  <c r="C112" i="42"/>
  <c r="Q112" i="38"/>
  <c r="Q114" i="38"/>
  <c r="O136" i="47"/>
  <c r="O132" i="47"/>
  <c r="P131" i="47"/>
  <c r="AF17" i="61"/>
  <c r="AP17" i="24"/>
  <c r="C5" i="37"/>
  <c r="B17" i="24"/>
  <c r="O123" i="34"/>
  <c r="P122" i="34"/>
  <c r="C119" i="50"/>
  <c r="C118" i="50"/>
  <c r="AL125" i="30"/>
  <c r="AH125" i="30"/>
  <c r="AI122" i="30"/>
  <c r="AL124" i="30"/>
  <c r="AH124" i="30"/>
  <c r="G108" i="39"/>
  <c r="C107" i="39"/>
  <c r="K110" i="31"/>
  <c r="K109" i="31"/>
  <c r="G107" i="31"/>
  <c r="AJ124" i="48"/>
  <c r="AJ125" i="48"/>
  <c r="M110" i="46"/>
  <c r="I110" i="46"/>
  <c r="G109" i="46"/>
  <c r="M109" i="46"/>
  <c r="I109" i="46"/>
  <c r="A125" i="27"/>
  <c r="B125" i="27" s="1"/>
  <c r="B124" i="27"/>
  <c r="AA115" i="27"/>
  <c r="AO115" i="27" s="1"/>
  <c r="AP115" i="27" s="1"/>
  <c r="W115" i="27"/>
  <c r="AA114" i="27"/>
  <c r="AO114" i="27" s="1"/>
  <c r="AP114" i="27" s="1"/>
  <c r="W114" i="27"/>
  <c r="Y105" i="45"/>
  <c r="Y104" i="45"/>
  <c r="O123" i="50"/>
  <c r="P122" i="50"/>
  <c r="AJ120" i="35"/>
  <c r="AJ119" i="35"/>
  <c r="X107" i="47"/>
  <c r="P127" i="30"/>
  <c r="O128" i="30"/>
  <c r="A133" i="27"/>
  <c r="B132" i="27"/>
  <c r="AG55" i="43"/>
  <c r="Q132" i="32"/>
  <c r="Q134" i="32"/>
  <c r="AI122" i="50"/>
  <c r="AL124" i="50"/>
  <c r="AH124" i="50"/>
  <c r="AL125" i="50"/>
  <c r="AH125" i="50"/>
  <c r="K104" i="46"/>
  <c r="G102" i="46"/>
  <c r="K105" i="46"/>
  <c r="AE69" i="45"/>
  <c r="AG69" i="45" s="1"/>
  <c r="AE73" i="45"/>
  <c r="R68" i="45"/>
  <c r="D69" i="45"/>
  <c r="Q107" i="46"/>
  <c r="Q109" i="46"/>
  <c r="Y4" i="13"/>
  <c r="A125" i="35"/>
  <c r="B125" i="35" s="1"/>
  <c r="B124" i="35"/>
  <c r="F4" i="13"/>
  <c r="T62" i="44"/>
  <c r="V62" i="44"/>
  <c r="K109" i="28"/>
  <c r="G107" i="28"/>
  <c r="K110" i="28"/>
  <c r="O158" i="59"/>
  <c r="O153" i="59"/>
  <c r="P152" i="59"/>
  <c r="Y105" i="43"/>
  <c r="Y104" i="43"/>
  <c r="C119" i="33"/>
  <c r="C118" i="33"/>
  <c r="P118" i="33"/>
  <c r="Q118" i="33" s="1"/>
  <c r="O119" i="33"/>
  <c r="O136" i="29"/>
  <c r="O132" i="29"/>
  <c r="P131" i="29"/>
  <c r="X65" i="48"/>
  <c r="AJ124" i="33"/>
  <c r="AJ125" i="33"/>
  <c r="Y110" i="48"/>
  <c r="Y109" i="48"/>
  <c r="M109" i="43"/>
  <c r="I109" i="43"/>
  <c r="M110" i="43"/>
  <c r="I110" i="43"/>
  <c r="G109" i="43"/>
  <c r="AA120" i="36"/>
  <c r="AO120" i="36" s="1"/>
  <c r="AP120" i="36" s="1"/>
  <c r="W120" i="36"/>
  <c r="AA119" i="36"/>
  <c r="AO119" i="36" s="1"/>
  <c r="AP119" i="36" s="1"/>
  <c r="W119" i="36"/>
  <c r="C112" i="33"/>
  <c r="G113" i="33"/>
  <c r="AC133" i="32"/>
  <c r="AC129" i="32"/>
  <c r="AD129" i="32" s="1"/>
  <c r="AD128" i="32"/>
  <c r="V59" i="45"/>
  <c r="V60" i="45" s="1"/>
  <c r="T59" i="45"/>
  <c r="T60" i="45" s="1"/>
  <c r="X59" i="45" s="1"/>
  <c r="H6" i="14"/>
  <c r="I6" i="14" s="1"/>
  <c r="D6" i="14"/>
  <c r="F6" i="14" s="1"/>
  <c r="G6" i="14" s="1"/>
  <c r="O115" i="49"/>
  <c r="P115" i="49" s="1"/>
  <c r="P114" i="49"/>
  <c r="AN144" i="59"/>
  <c r="AJ144" i="59"/>
  <c r="AK141" i="59"/>
  <c r="AN143" i="59"/>
  <c r="AJ143" i="59"/>
  <c r="A129" i="35"/>
  <c r="B128" i="35"/>
  <c r="H97" i="49"/>
  <c r="Y110" i="36"/>
  <c r="Y109" i="36"/>
  <c r="V44" i="42"/>
  <c r="V45" i="42" s="1"/>
  <c r="T44" i="42"/>
  <c r="T45" i="42" s="1"/>
  <c r="X44" i="42" s="1"/>
  <c r="G124" i="59"/>
  <c r="C123" i="59"/>
  <c r="M114" i="44"/>
  <c r="I114" i="44"/>
  <c r="M115" i="44"/>
  <c r="I115" i="44"/>
  <c r="G114" i="44"/>
  <c r="A120" i="45"/>
  <c r="B120" i="45" s="1"/>
  <c r="B119" i="45"/>
  <c r="Q107" i="28"/>
  <c r="Q109" i="28"/>
  <c r="G113" i="32"/>
  <c r="C112" i="32"/>
  <c r="C119" i="32"/>
  <c r="C118" i="32"/>
  <c r="H7" i="15"/>
  <c r="I7" i="15" s="1"/>
  <c r="D7" i="15"/>
  <c r="F7" i="15" s="1"/>
  <c r="G7" i="15" s="1"/>
  <c r="M110" i="37"/>
  <c r="I110" i="37"/>
  <c r="G109" i="37"/>
  <c r="M109" i="37"/>
  <c r="I109" i="37"/>
  <c r="O115" i="44"/>
  <c r="P115" i="44" s="1"/>
  <c r="P114" i="44"/>
  <c r="J65" i="46"/>
  <c r="J64" i="46"/>
  <c r="C119" i="40"/>
  <c r="C118" i="40"/>
  <c r="A124" i="36"/>
  <c r="B123" i="36"/>
  <c r="O119" i="37"/>
  <c r="P118" i="37"/>
  <c r="Q118" i="37" s="1"/>
  <c r="O119" i="40"/>
  <c r="P118" i="40"/>
  <c r="Q118" i="40" s="1"/>
  <c r="K110" i="33"/>
  <c r="K109" i="33"/>
  <c r="G107" i="33"/>
  <c r="C112" i="27"/>
  <c r="G113" i="27"/>
  <c r="B132" i="40"/>
  <c r="A133" i="40"/>
  <c r="AG90" i="50"/>
  <c r="AA120" i="48"/>
  <c r="AO120" i="48" s="1"/>
  <c r="AP120" i="48" s="1"/>
  <c r="W120" i="48"/>
  <c r="AA119" i="48"/>
  <c r="AO119" i="48" s="1"/>
  <c r="AP119" i="48" s="1"/>
  <c r="W119" i="48"/>
  <c r="O119" i="45"/>
  <c r="P118" i="45"/>
  <c r="Q118" i="45" s="1"/>
  <c r="Y10" i="19"/>
  <c r="AF6" i="18"/>
  <c r="AF7" i="18" s="1"/>
  <c r="AF8" i="18" s="1"/>
  <c r="F74" i="47"/>
  <c r="J72" i="47"/>
  <c r="AG16" i="61"/>
  <c r="C6" i="38"/>
  <c r="B16" i="23"/>
  <c r="AP16" i="23"/>
  <c r="Y110" i="30"/>
  <c r="Y109" i="30"/>
  <c r="AR94" i="36"/>
  <c r="F95" i="48"/>
  <c r="H92" i="48"/>
  <c r="H95" i="48" s="1"/>
  <c r="B136" i="38"/>
  <c r="A141" i="38"/>
  <c r="A137" i="38"/>
  <c r="O136" i="41"/>
  <c r="O132" i="41"/>
  <c r="P131" i="41"/>
  <c r="P122" i="39"/>
  <c r="O123" i="39"/>
  <c r="O120" i="29"/>
  <c r="P120" i="29" s="1"/>
  <c r="P119" i="29"/>
  <c r="AR94" i="30"/>
  <c r="H4" i="12"/>
  <c r="I4" i="12" s="1"/>
  <c r="D4" i="12"/>
  <c r="AR5" i="61"/>
  <c r="C17" i="49"/>
  <c r="AE94" i="49" s="1"/>
  <c r="AG94" i="49" s="1"/>
  <c r="B5" i="12"/>
  <c r="AP5" i="12"/>
  <c r="AB40" i="43"/>
  <c r="AR40" i="43" s="1"/>
  <c r="AT40" i="43" s="1"/>
  <c r="E6" i="43" s="1"/>
  <c r="C119" i="28"/>
  <c r="C118" i="28"/>
  <c r="H72" i="45"/>
  <c r="Y105" i="31"/>
  <c r="Y104" i="31"/>
  <c r="AC124" i="29"/>
  <c r="AD124" i="29" s="1"/>
  <c r="AD123" i="29"/>
  <c r="AC128" i="29"/>
  <c r="Y105" i="37"/>
  <c r="Y104" i="37"/>
  <c r="B136" i="34"/>
  <c r="A141" i="34"/>
  <c r="A137" i="34"/>
  <c r="AA120" i="38"/>
  <c r="AO120" i="38" s="1"/>
  <c r="AP120" i="38" s="1"/>
  <c r="W120" i="38"/>
  <c r="AA119" i="38"/>
  <c r="AO119" i="38" s="1"/>
  <c r="AP119" i="38" s="1"/>
  <c r="W119" i="38"/>
  <c r="H14" i="22"/>
  <c r="I14" i="22" s="1"/>
  <c r="D14" i="22"/>
  <c r="F14" i="22" s="1"/>
  <c r="G14" i="22" s="1"/>
  <c r="Q114" i="30"/>
  <c r="Q112" i="30"/>
  <c r="AE64" i="44"/>
  <c r="AG64" i="44" s="1"/>
  <c r="D64" i="44"/>
  <c r="AE68" i="44"/>
  <c r="R63" i="44"/>
  <c r="R59" i="44"/>
  <c r="D77" i="44"/>
  <c r="B132" i="32"/>
  <c r="A133" i="32"/>
  <c r="F42" i="39"/>
  <c r="M109" i="48"/>
  <c r="I109" i="48"/>
  <c r="M110" i="48"/>
  <c r="I110" i="48"/>
  <c r="G109" i="48"/>
  <c r="AL125" i="39"/>
  <c r="AI122" i="39"/>
  <c r="AH124" i="39"/>
  <c r="AL124" i="39"/>
  <c r="AH125" i="39"/>
  <c r="A124" i="45"/>
  <c r="B123" i="45"/>
  <c r="AK12" i="61"/>
  <c r="C10" i="42"/>
  <c r="B12" i="19"/>
  <c r="AP12" i="19"/>
  <c r="AP12" i="53"/>
  <c r="B12" i="53"/>
  <c r="C107" i="36"/>
  <c r="G108" i="36"/>
  <c r="A120" i="37"/>
  <c r="B120" i="37" s="1"/>
  <c r="B119" i="37"/>
  <c r="O127" i="43"/>
  <c r="P126" i="43"/>
  <c r="O131" i="43"/>
  <c r="O124" i="29"/>
  <c r="P123" i="29"/>
  <c r="Q123" i="29" s="1"/>
  <c r="X13" i="23"/>
  <c r="AA13" i="23"/>
  <c r="AG13" i="23" s="1"/>
  <c r="A138" i="59"/>
  <c r="B138" i="59" s="1"/>
  <c r="B137" i="59"/>
  <c r="AC139" i="40"/>
  <c r="AD139" i="40" s="1"/>
  <c r="AD138" i="40"/>
  <c r="AC143" i="40"/>
  <c r="M115" i="35"/>
  <c r="I115" i="35"/>
  <c r="G114" i="35"/>
  <c r="M114" i="35"/>
  <c r="I114" i="35"/>
  <c r="M115" i="28"/>
  <c r="I115" i="28"/>
  <c r="G114" i="28"/>
  <c r="M114" i="28"/>
  <c r="I114" i="28"/>
  <c r="C118" i="38"/>
  <c r="C119" i="38"/>
  <c r="AC129" i="45"/>
  <c r="AD129" i="45" s="1"/>
  <c r="AD128" i="45"/>
  <c r="AC133" i="45"/>
  <c r="Y110" i="26"/>
  <c r="Y109" i="26"/>
  <c r="AA120" i="42"/>
  <c r="AO120" i="42" s="1"/>
  <c r="AP120" i="42" s="1"/>
  <c r="W120" i="42"/>
  <c r="W119" i="42"/>
  <c r="AA119" i="42"/>
  <c r="AO119" i="42" s="1"/>
  <c r="AP119" i="42" s="1"/>
  <c r="AE49" i="41"/>
  <c r="AG49" i="41" s="1"/>
  <c r="R48" i="41"/>
  <c r="AE53" i="41"/>
  <c r="D49" i="41"/>
  <c r="F49" i="41" s="1"/>
  <c r="H49" i="41" s="1"/>
  <c r="R44" i="41"/>
  <c r="R52" i="41"/>
  <c r="D57" i="41"/>
  <c r="X102" i="49"/>
  <c r="P114" i="37"/>
  <c r="O115" i="37"/>
  <c r="P115" i="37" s="1"/>
  <c r="J55" i="44"/>
  <c r="J54" i="44"/>
  <c r="AL119" i="29"/>
  <c r="AH119" i="29"/>
  <c r="AL120" i="29"/>
  <c r="AH120" i="29"/>
  <c r="AI117" i="29"/>
  <c r="A133" i="49"/>
  <c r="B132" i="49"/>
  <c r="AL125" i="26"/>
  <c r="AH125" i="26"/>
  <c r="AI122" i="26"/>
  <c r="AL124" i="26"/>
  <c r="AH124" i="26"/>
  <c r="A136" i="45"/>
  <c r="A132" i="45"/>
  <c r="B131" i="45"/>
  <c r="AG45" i="41"/>
  <c r="A143" i="59"/>
  <c r="B142" i="59"/>
  <c r="AA115" i="46"/>
  <c r="AO115" i="46" s="1"/>
  <c r="AP115" i="46" s="1"/>
  <c r="W115" i="46"/>
  <c r="AA114" i="46"/>
  <c r="AO114" i="46" s="1"/>
  <c r="AP114" i="46" s="1"/>
  <c r="W114" i="46"/>
  <c r="AI122" i="28"/>
  <c r="AL124" i="28"/>
  <c r="AH124" i="28"/>
  <c r="AL125" i="28"/>
  <c r="AH125" i="28"/>
  <c r="O127" i="31"/>
  <c r="P126" i="31"/>
  <c r="O131" i="31"/>
  <c r="R129" i="32"/>
  <c r="X127" i="32"/>
  <c r="O120" i="26"/>
  <c r="P120" i="26" s="1"/>
  <c r="P119" i="26"/>
  <c r="P123" i="30"/>
  <c r="Q123" i="30" s="1"/>
  <c r="O124" i="30"/>
  <c r="W120" i="47"/>
  <c r="AA119" i="47"/>
  <c r="AO119" i="47" s="1"/>
  <c r="AP119" i="47" s="1"/>
  <c r="AA120" i="47"/>
  <c r="AO120" i="47" s="1"/>
  <c r="AP120" i="47" s="1"/>
  <c r="W119" i="47"/>
  <c r="H57" i="43"/>
  <c r="AA9" i="53"/>
  <c r="X8" i="53"/>
  <c r="O123" i="33"/>
  <c r="P122" i="33"/>
  <c r="AH15" i="61"/>
  <c r="AP15" i="22"/>
  <c r="B15" i="22"/>
  <c r="C7" i="39"/>
  <c r="V97" i="50"/>
  <c r="T97" i="50"/>
  <c r="AJ13" i="61"/>
  <c r="D147" i="66" s="1"/>
  <c r="C9" i="41"/>
  <c r="AP13" i="20"/>
  <c r="B13" i="20"/>
  <c r="AL11" i="61"/>
  <c r="B11" i="18"/>
  <c r="C11" i="43"/>
  <c r="D72" i="43" s="1"/>
  <c r="AP11" i="18"/>
  <c r="AA120" i="30"/>
  <c r="AO120" i="30" s="1"/>
  <c r="AP120" i="30" s="1"/>
  <c r="W120" i="30"/>
  <c r="AA119" i="30"/>
  <c r="AO119" i="30" s="1"/>
  <c r="AP119" i="30" s="1"/>
  <c r="W119" i="30"/>
  <c r="O132" i="48"/>
  <c r="P131" i="48"/>
  <c r="O136" i="48"/>
  <c r="P123" i="47"/>
  <c r="Q123" i="47" s="1"/>
  <c r="O124" i="47"/>
  <c r="AG34" i="39"/>
  <c r="AG35" i="39" s="1"/>
  <c r="AE35" i="39"/>
  <c r="AI34" i="39" s="1"/>
  <c r="AM34" i="39" s="1"/>
  <c r="AS34" i="39" s="1"/>
  <c r="AJ125" i="34"/>
  <c r="AJ124" i="34"/>
  <c r="H62" i="44"/>
  <c r="X107" i="42"/>
  <c r="R102" i="50"/>
  <c r="Y105" i="50"/>
  <c r="Y104" i="50"/>
  <c r="M115" i="40"/>
  <c r="I115" i="40"/>
  <c r="G114" i="40"/>
  <c r="M114" i="40"/>
  <c r="I114" i="40"/>
  <c r="AG83" i="48"/>
  <c r="Y105" i="28"/>
  <c r="Y104" i="28"/>
  <c r="AI40" i="41"/>
  <c r="B127" i="43"/>
  <c r="A128" i="43"/>
  <c r="AJ124" i="31"/>
  <c r="AJ125" i="31"/>
  <c r="A141" i="44"/>
  <c r="A137" i="44"/>
  <c r="B136" i="44"/>
  <c r="G108" i="26"/>
  <c r="C107" i="26"/>
  <c r="B152" i="59"/>
  <c r="A153" i="59"/>
  <c r="A158" i="59"/>
  <c r="AA120" i="41"/>
  <c r="AO120" i="41" s="1"/>
  <c r="AP120" i="41" s="1"/>
  <c r="W120" i="41"/>
  <c r="AA119" i="41"/>
  <c r="AO119" i="41" s="1"/>
  <c r="AP119" i="41" s="1"/>
  <c r="W119" i="41"/>
  <c r="A141" i="33"/>
  <c r="A137" i="33"/>
  <c r="B136" i="33"/>
  <c r="W114" i="39"/>
  <c r="W115" i="39"/>
  <c r="AA114" i="39"/>
  <c r="AO114" i="39" s="1"/>
  <c r="AP114" i="39" s="1"/>
  <c r="AA115" i="39"/>
  <c r="AO115" i="39" s="1"/>
  <c r="AP115" i="39" s="1"/>
  <c r="O123" i="45"/>
  <c r="P122" i="45"/>
  <c r="F97" i="48"/>
  <c r="AE63" i="43"/>
  <c r="AE59" i="43"/>
  <c r="AG59" i="43" s="1"/>
  <c r="R58" i="43"/>
  <c r="D59" i="43"/>
  <c r="R54" i="43"/>
  <c r="D63" i="43"/>
  <c r="F63" i="43" s="1"/>
  <c r="H63" i="43" s="1"/>
  <c r="R62" i="43"/>
  <c r="A120" i="46"/>
  <c r="B120" i="46" s="1"/>
  <c r="B119" i="46"/>
  <c r="O132" i="36"/>
  <c r="O136" i="36"/>
  <c r="P131" i="36"/>
  <c r="P126" i="46"/>
  <c r="O131" i="46"/>
  <c r="O127" i="46"/>
  <c r="Q107" i="50"/>
  <c r="Q109" i="50"/>
  <c r="AL125" i="36"/>
  <c r="AH125" i="36"/>
  <c r="AL124" i="36"/>
  <c r="AH124" i="36"/>
  <c r="AI122" i="36"/>
  <c r="O136" i="35"/>
  <c r="O132" i="35"/>
  <c r="P131" i="35"/>
  <c r="F89" i="50"/>
  <c r="J87" i="50"/>
  <c r="AE95" i="50"/>
  <c r="AI94" i="50" s="1"/>
  <c r="AG93" i="50"/>
  <c r="AG95" i="50" s="1"/>
  <c r="O144" i="32"/>
  <c r="P143" i="32"/>
  <c r="Q143" i="32" s="1"/>
  <c r="P122" i="49"/>
  <c r="O123" i="49"/>
  <c r="Y105" i="39"/>
  <c r="Y104" i="39"/>
  <c r="H5" i="13"/>
  <c r="I5" i="13" s="1"/>
  <c r="D5" i="13"/>
  <c r="F5" i="13" s="1"/>
  <c r="G5" i="13" s="1"/>
  <c r="AF4" i="15"/>
  <c r="H8" i="16"/>
  <c r="I8" i="16" s="1"/>
  <c r="D8" i="16"/>
  <c r="AG43" i="40"/>
  <c r="B127" i="30"/>
  <c r="A128" i="30"/>
  <c r="F69" i="46"/>
  <c r="J67" i="46"/>
  <c r="A133" i="47"/>
  <c r="B132" i="47"/>
  <c r="P118" i="49"/>
  <c r="Q118" i="49" s="1"/>
  <c r="O119" i="49"/>
  <c r="Q109" i="31"/>
  <c r="Q107" i="31"/>
  <c r="X102" i="44"/>
  <c r="C114" i="37"/>
  <c r="C113" i="37"/>
  <c r="F95" i="26"/>
  <c r="H92" i="26"/>
  <c r="H95" i="26" s="1"/>
  <c r="T39" i="41"/>
  <c r="T40" i="41" s="1"/>
  <c r="X39" i="41" s="1"/>
  <c r="AG48" i="41"/>
  <c r="H74" i="48"/>
  <c r="H75" i="48" s="1"/>
  <c r="J75" i="48" s="1"/>
  <c r="F75" i="48"/>
  <c r="J74" i="48" s="1"/>
  <c r="P122" i="43"/>
  <c r="O123" i="43"/>
  <c r="AC124" i="38"/>
  <c r="AD124" i="38" s="1"/>
  <c r="AD123" i="38"/>
  <c r="AC128" i="38"/>
  <c r="F54" i="43"/>
  <c r="J52" i="43"/>
  <c r="AC129" i="27"/>
  <c r="AD129" i="27" s="1"/>
  <c r="AD128" i="27"/>
  <c r="AC133" i="27"/>
  <c r="Y110" i="29"/>
  <c r="Y109" i="29"/>
  <c r="O132" i="26"/>
  <c r="P131" i="26"/>
  <c r="O136" i="26"/>
  <c r="AJ120" i="41"/>
  <c r="AJ119" i="41"/>
  <c r="B132" i="35"/>
  <c r="A133" i="35"/>
  <c r="M114" i="42"/>
  <c r="I114" i="42"/>
  <c r="M115" i="42"/>
  <c r="I115" i="42"/>
  <c r="G114" i="42"/>
  <c r="A125" i="44"/>
  <c r="B125" i="44" s="1"/>
  <c r="B124" i="44"/>
  <c r="Y105" i="27"/>
  <c r="Y104" i="27"/>
  <c r="AA115" i="45"/>
  <c r="AO115" i="45" s="1"/>
  <c r="AP115" i="45" s="1"/>
  <c r="W114" i="45"/>
  <c r="W115" i="45"/>
  <c r="AA114" i="45"/>
  <c r="AO114" i="45" s="1"/>
  <c r="AP114" i="45" s="1"/>
  <c r="AE34" i="38"/>
  <c r="D38" i="38"/>
  <c r="R33" i="38"/>
  <c r="AE38" i="38"/>
  <c r="R37" i="38"/>
  <c r="D42" i="38"/>
  <c r="Y12" i="21"/>
  <c r="P126" i="34"/>
  <c r="O131" i="34"/>
  <c r="O127" i="34"/>
  <c r="AC133" i="30"/>
  <c r="AC129" i="30"/>
  <c r="AD129" i="30" s="1"/>
  <c r="AD128" i="30"/>
  <c r="K109" i="29"/>
  <c r="G107" i="29"/>
  <c r="K110" i="29"/>
  <c r="I110" i="39"/>
  <c r="I109" i="39"/>
  <c r="M110" i="39"/>
  <c r="M109" i="39"/>
  <c r="G109" i="39"/>
  <c r="AC124" i="44"/>
  <c r="AD124" i="44" s="1"/>
  <c r="AD123" i="44"/>
  <c r="AC128" i="44"/>
  <c r="A125" i="40"/>
  <c r="B125" i="40" s="1"/>
  <c r="B124" i="40"/>
  <c r="AL125" i="48"/>
  <c r="AH125" i="48"/>
  <c r="AI122" i="48"/>
  <c r="AL124" i="48"/>
  <c r="AH124" i="48"/>
  <c r="A124" i="43"/>
  <c r="B123" i="43"/>
  <c r="O115" i="43"/>
  <c r="P115" i="43" s="1"/>
  <c r="P114" i="43"/>
  <c r="O123" i="37"/>
  <c r="P122" i="37"/>
  <c r="B127" i="39"/>
  <c r="A128" i="39"/>
  <c r="C118" i="41"/>
  <c r="C119" i="41"/>
  <c r="P126" i="50"/>
  <c r="O131" i="50"/>
  <c r="O127" i="50"/>
  <c r="AL119" i="35"/>
  <c r="AH119" i="35"/>
  <c r="AL120" i="35"/>
  <c r="AH120" i="35"/>
  <c r="AI117" i="35"/>
  <c r="A129" i="33"/>
  <c r="B128" i="33"/>
  <c r="B127" i="48"/>
  <c r="A128" i="48"/>
  <c r="A141" i="27"/>
  <c r="A137" i="27"/>
  <c r="B136" i="27"/>
  <c r="O115" i="33"/>
  <c r="P115" i="33" s="1"/>
  <c r="P114" i="33"/>
  <c r="J49" i="43"/>
  <c r="A125" i="41"/>
  <c r="B125" i="41" s="1"/>
  <c r="B124" i="41"/>
  <c r="F10" i="19"/>
  <c r="Q109" i="44"/>
  <c r="Q107" i="44"/>
  <c r="AF13" i="24"/>
  <c r="AV9" i="17"/>
  <c r="Q109" i="33"/>
  <c r="Q107" i="33"/>
  <c r="A129" i="47"/>
  <c r="B128" i="47"/>
  <c r="X107" i="35"/>
  <c r="Q112" i="41"/>
  <c r="Q114" i="41"/>
  <c r="AG63" i="44"/>
  <c r="X102" i="43"/>
  <c r="G102" i="48"/>
  <c r="K105" i="48"/>
  <c r="D102" i="48"/>
  <c r="K104" i="48"/>
  <c r="H42" i="40"/>
  <c r="B132" i="50"/>
  <c r="A133" i="50"/>
  <c r="K104" i="45"/>
  <c r="G102" i="45"/>
  <c r="K105" i="45"/>
  <c r="A120" i="26"/>
  <c r="B120" i="26" s="1"/>
  <c r="B119" i="26"/>
  <c r="Y13" i="22"/>
  <c r="AA115" i="34"/>
  <c r="AO115" i="34" s="1"/>
  <c r="AP115" i="34" s="1"/>
  <c r="W115" i="34"/>
  <c r="AA114" i="34"/>
  <c r="AO114" i="34" s="1"/>
  <c r="AP114" i="34" s="1"/>
  <c r="W114" i="34"/>
  <c r="J77" i="48"/>
  <c r="AL125" i="33"/>
  <c r="AH125" i="33"/>
  <c r="AI122" i="33"/>
  <c r="AL124" i="33"/>
  <c r="AH124" i="33"/>
  <c r="X107" i="48"/>
  <c r="Y11" i="20"/>
  <c r="Q107" i="34"/>
  <c r="Q109" i="34"/>
  <c r="M114" i="33"/>
  <c r="I114" i="33"/>
  <c r="M115" i="33"/>
  <c r="I115" i="33"/>
  <c r="G114" i="33"/>
  <c r="F77" i="45"/>
  <c r="F64" i="45"/>
  <c r="J62" i="45"/>
  <c r="J60" i="44"/>
  <c r="A129" i="29"/>
  <c r="B128" i="29"/>
  <c r="AC149" i="46"/>
  <c r="AD149" i="46" s="1"/>
  <c r="AD148" i="46"/>
  <c r="F95" i="43"/>
  <c r="H92" i="43"/>
  <c r="H95" i="43" s="1"/>
  <c r="AP7" i="61"/>
  <c r="C15" i="47"/>
  <c r="B7" i="14"/>
  <c r="AP7" i="14"/>
  <c r="AA115" i="49"/>
  <c r="AO115" i="49" s="1"/>
  <c r="AP115" i="49" s="1"/>
  <c r="W115" i="49"/>
  <c r="AA114" i="49"/>
  <c r="AO114" i="49" s="1"/>
  <c r="AP114" i="49" s="1"/>
  <c r="W114" i="49"/>
  <c r="AC154" i="59"/>
  <c r="AC149" i="59"/>
  <c r="AD149" i="59" s="1"/>
  <c r="AD148" i="59"/>
  <c r="AC129" i="37"/>
  <c r="AD129" i="37" s="1"/>
  <c r="AD128" i="37"/>
  <c r="AC133" i="37"/>
  <c r="P127" i="42"/>
  <c r="O128" i="42"/>
  <c r="X107" i="36"/>
  <c r="F57" i="42"/>
  <c r="M126" i="59"/>
  <c r="G125" i="59"/>
  <c r="M125" i="59"/>
  <c r="Q114" i="26"/>
  <c r="Q112" i="26"/>
  <c r="M115" i="32"/>
  <c r="I115" i="32"/>
  <c r="G114" i="32"/>
  <c r="I114" i="32"/>
  <c r="M114" i="32"/>
  <c r="J47" i="42"/>
  <c r="AV7" i="15"/>
  <c r="Y7" i="15"/>
  <c r="AA115" i="44"/>
  <c r="AO115" i="44" s="1"/>
  <c r="AP115" i="44" s="1"/>
  <c r="W115" i="44"/>
  <c r="AA114" i="44"/>
  <c r="AO114" i="44" s="1"/>
  <c r="AP114" i="44" s="1"/>
  <c r="W114" i="44"/>
  <c r="O123" i="28"/>
  <c r="P122" i="28"/>
  <c r="O119" i="50"/>
  <c r="P118" i="50"/>
  <c r="Q118" i="50" s="1"/>
  <c r="A125" i="38"/>
  <c r="B125" i="38" s="1"/>
  <c r="B124" i="38"/>
  <c r="M114" i="27"/>
  <c r="I114" i="27"/>
  <c r="M115" i="27"/>
  <c r="I115" i="27"/>
  <c r="G114" i="27"/>
  <c r="B136" i="40"/>
  <c r="A141" i="40"/>
  <c r="A137" i="40"/>
  <c r="G102" i="26"/>
  <c r="K105" i="26"/>
  <c r="K104" i="26"/>
  <c r="AE90" i="50"/>
  <c r="AI89" i="50" s="1"/>
  <c r="X6" i="17"/>
  <c r="AC129" i="42"/>
  <c r="AD129" i="42" s="1"/>
  <c r="AD128" i="42"/>
  <c r="AC133" i="42"/>
  <c r="V64" i="47"/>
  <c r="V65" i="47" s="1"/>
  <c r="T64" i="47"/>
  <c r="T65" i="47" s="1"/>
  <c r="X64" i="47" s="1"/>
  <c r="H15" i="23"/>
  <c r="I15" i="23" s="1"/>
  <c r="D15" i="23"/>
  <c r="F15" i="23" s="1"/>
  <c r="G15" i="23" s="1"/>
  <c r="G107" i="42"/>
  <c r="K110" i="42"/>
  <c r="K109" i="42"/>
  <c r="X107" i="30"/>
  <c r="AF5" i="17"/>
  <c r="AF6" i="17" s="1"/>
  <c r="P126" i="39"/>
  <c r="O131" i="39"/>
  <c r="O127" i="39"/>
  <c r="AF9" i="19"/>
  <c r="X102" i="40"/>
  <c r="G107" i="32"/>
  <c r="K109" i="32"/>
  <c r="K110" i="32"/>
  <c r="O127" i="44"/>
  <c r="P126" i="44"/>
  <c r="O131" i="44"/>
  <c r="K109" i="35"/>
  <c r="G107" i="35"/>
  <c r="K110" i="35"/>
  <c r="AI80" i="48" l="1"/>
  <c r="V72" i="45"/>
  <c r="L49" i="44"/>
  <c r="N49" i="44" s="1"/>
  <c r="AQ49" i="44" s="1"/>
  <c r="AR55" i="47"/>
  <c r="AT55" i="47" s="1"/>
  <c r="E9" i="47" s="1"/>
  <c r="Z60" i="47" s="1"/>
  <c r="AB60" i="47" s="1"/>
  <c r="AJ10" i="49"/>
  <c r="AI75" i="47"/>
  <c r="J59" i="44"/>
  <c r="L66" i="66"/>
  <c r="I66" i="66" s="1"/>
  <c r="AA6" i="15"/>
  <c r="AG6" i="15" s="1"/>
  <c r="V49" i="42"/>
  <c r="V50" i="42" s="1"/>
  <c r="J92" i="50"/>
  <c r="L60" i="46"/>
  <c r="N60" i="46" s="1"/>
  <c r="AQ60" i="46" s="1"/>
  <c r="V69" i="47"/>
  <c r="V70" i="47" s="1"/>
  <c r="AL8" i="46"/>
  <c r="B72" i="66"/>
  <c r="D53" i="65"/>
  <c r="A53" i="65" s="1"/>
  <c r="I53" i="66"/>
  <c r="J53" i="66"/>
  <c r="B53" i="65" s="1"/>
  <c r="A49" i="66"/>
  <c r="B49" i="66"/>
  <c r="I113" i="66"/>
  <c r="D113" i="65"/>
  <c r="J113" i="66"/>
  <c r="B113" i="65" s="1"/>
  <c r="D105" i="66"/>
  <c r="L114" i="66"/>
  <c r="A104" i="66"/>
  <c r="B104" i="66"/>
  <c r="AJ10" i="48"/>
  <c r="Y6" i="14"/>
  <c r="L5" i="45"/>
  <c r="J172" i="66"/>
  <c r="B172" i="65" s="1"/>
  <c r="I172" i="66"/>
  <c r="D172" i="65"/>
  <c r="B68" i="66"/>
  <c r="A68" i="66"/>
  <c r="D43" i="66"/>
  <c r="L46" i="66"/>
  <c r="I31" i="66"/>
  <c r="D31" i="65"/>
  <c r="A31" i="65" s="1"/>
  <c r="J31" i="66"/>
  <c r="B31" i="65" s="1"/>
  <c r="B147" i="66"/>
  <c r="A147" i="66"/>
  <c r="D82" i="66"/>
  <c r="L88" i="66"/>
  <c r="B29" i="66"/>
  <c r="A29" i="66"/>
  <c r="J45" i="66"/>
  <c r="B45" i="65" s="1"/>
  <c r="D45" i="65"/>
  <c r="A45" i="65" s="1"/>
  <c r="I45" i="66"/>
  <c r="D69" i="66"/>
  <c r="L74" i="66"/>
  <c r="P15" i="44"/>
  <c r="D73" i="65"/>
  <c r="A73" i="65" s="1"/>
  <c r="I73" i="66"/>
  <c r="J73" i="66"/>
  <c r="B73" i="65" s="1"/>
  <c r="B42" i="66"/>
  <c r="A42" i="66"/>
  <c r="Z23" i="47"/>
  <c r="D93" i="66"/>
  <c r="L98" i="66"/>
  <c r="L198" i="66"/>
  <c r="D55" i="66"/>
  <c r="L58" i="66"/>
  <c r="D74" i="66"/>
  <c r="L78" i="66"/>
  <c r="L158" i="66"/>
  <c r="L138" i="66"/>
  <c r="Z10" i="41"/>
  <c r="D37" i="65"/>
  <c r="A37" i="65" s="1"/>
  <c r="I37" i="66"/>
  <c r="J37" i="66"/>
  <c r="B37" i="65" s="1"/>
  <c r="N23" i="41"/>
  <c r="V87" i="48"/>
  <c r="T87" i="48"/>
  <c r="D57" i="65"/>
  <c r="I57" i="66"/>
  <c r="J57" i="66"/>
  <c r="B57" i="65" s="1"/>
  <c r="AJ3" i="41"/>
  <c r="X26" i="41"/>
  <c r="D137" i="65"/>
  <c r="J137" i="66"/>
  <c r="B137" i="65" s="1"/>
  <c r="I137" i="66"/>
  <c r="D17" i="66"/>
  <c r="L18" i="66"/>
  <c r="V22" i="46"/>
  <c r="X22" i="46"/>
  <c r="X15" i="47"/>
  <c r="X16" i="47" s="1"/>
  <c r="Z16" i="47" s="1"/>
  <c r="V16" i="47"/>
  <c r="Z15" i="47" s="1"/>
  <c r="B35" i="66"/>
  <c r="A35" i="66"/>
  <c r="P15" i="41"/>
  <c r="P16" i="41" s="1"/>
  <c r="N19" i="41" s="1"/>
  <c r="D17" i="65"/>
  <c r="A17" i="65" s="1"/>
  <c r="J17" i="66"/>
  <c r="B17" i="65" s="1"/>
  <c r="I17" i="66"/>
  <c r="B54" i="66"/>
  <c r="A54" i="66"/>
  <c r="V3" i="41"/>
  <c r="V5" i="41" s="1"/>
  <c r="Z4" i="41" s="1"/>
  <c r="AD4" i="41" s="1"/>
  <c r="X3" i="41"/>
  <c r="X5" i="41" s="1"/>
  <c r="R49" i="41"/>
  <c r="T49" i="41" s="1"/>
  <c r="AJ14" i="41"/>
  <c r="AH4" i="41"/>
  <c r="AJ4" i="41" s="1"/>
  <c r="AL4" i="41" s="1"/>
  <c r="T21" i="41"/>
  <c r="V27" i="41"/>
  <c r="X27" i="41" s="1"/>
  <c r="AH8" i="41"/>
  <c r="T15" i="41"/>
  <c r="R89" i="50"/>
  <c r="D103" i="50"/>
  <c r="F103" i="50" s="1"/>
  <c r="H103" i="50" s="1"/>
  <c r="D36" i="66"/>
  <c r="L38" i="66"/>
  <c r="D77" i="65"/>
  <c r="A77" i="65" s="1"/>
  <c r="I77" i="66"/>
  <c r="J77" i="66"/>
  <c r="B77" i="65" s="1"/>
  <c r="B16" i="66"/>
  <c r="A16" i="66"/>
  <c r="D97" i="65"/>
  <c r="I97" i="66"/>
  <c r="J97" i="66"/>
  <c r="B97" i="65" s="1"/>
  <c r="D197" i="65"/>
  <c r="J197" i="66"/>
  <c r="B197" i="65" s="1"/>
  <c r="I197" i="66"/>
  <c r="AH10" i="47"/>
  <c r="AL10" i="47" s="1"/>
  <c r="R87" i="47"/>
  <c r="D97" i="47"/>
  <c r="F97" i="47" s="1"/>
  <c r="R97" i="48"/>
  <c r="D98" i="48"/>
  <c r="F98" i="48" s="1"/>
  <c r="H98" i="48" s="1"/>
  <c r="AH4" i="44"/>
  <c r="AJ4" i="44" s="1"/>
  <c r="AH8" i="44"/>
  <c r="AJ8" i="45"/>
  <c r="AL8" i="45"/>
  <c r="B92" i="66"/>
  <c r="A92" i="66"/>
  <c r="V20" i="41"/>
  <c r="X20" i="41"/>
  <c r="AL11" i="50"/>
  <c r="AP60" i="45"/>
  <c r="AP40" i="45"/>
  <c r="AT40" i="45" s="1"/>
  <c r="E6" i="45" s="1"/>
  <c r="Z28" i="47"/>
  <c r="N23" i="44"/>
  <c r="AN16" i="48"/>
  <c r="X28" i="45"/>
  <c r="V10" i="43"/>
  <c r="Z9" i="43" s="1"/>
  <c r="X10" i="43"/>
  <c r="N19" i="46"/>
  <c r="L5" i="46" s="1"/>
  <c r="AP65" i="46" s="1"/>
  <c r="X4" i="47"/>
  <c r="X5" i="47" s="1"/>
  <c r="V4" i="47"/>
  <c r="V5" i="47" s="1"/>
  <c r="Z4" i="47" s="1"/>
  <c r="V4" i="45"/>
  <c r="V5" i="45" s="1"/>
  <c r="Z4" i="45" s="1"/>
  <c r="X4" i="45"/>
  <c r="X5" i="45" s="1"/>
  <c r="V15" i="46"/>
  <c r="Z13" i="46"/>
  <c r="X20" i="43"/>
  <c r="V20" i="43"/>
  <c r="X26" i="43"/>
  <c r="AJ3" i="42"/>
  <c r="X10" i="42"/>
  <c r="AL16" i="47"/>
  <c r="A172" i="65"/>
  <c r="AJ11" i="48"/>
  <c r="AN10" i="48" s="1"/>
  <c r="AJ10" i="47"/>
  <c r="D67" i="42"/>
  <c r="F67" i="42" s="1"/>
  <c r="H67" i="42" s="1"/>
  <c r="AJ14" i="42"/>
  <c r="T4" i="42"/>
  <c r="V27" i="42"/>
  <c r="X27" i="42" s="1"/>
  <c r="T15" i="42"/>
  <c r="V15" i="42" s="1"/>
  <c r="X15" i="42" s="1"/>
  <c r="AH4" i="42"/>
  <c r="AJ4" i="42" s="1"/>
  <c r="AL4" i="42" s="1"/>
  <c r="AH8" i="42"/>
  <c r="T21" i="42"/>
  <c r="R72" i="44"/>
  <c r="T72" i="44" s="1"/>
  <c r="AJ14" i="44"/>
  <c r="T4" i="44"/>
  <c r="T21" i="44"/>
  <c r="V27" i="44"/>
  <c r="X27" i="44" s="1"/>
  <c r="T15" i="44"/>
  <c r="AJ15" i="45"/>
  <c r="AL15" i="45" s="1"/>
  <c r="AH9" i="45"/>
  <c r="AH5" i="45"/>
  <c r="N18" i="45"/>
  <c r="L4" i="45" s="1"/>
  <c r="N23" i="43"/>
  <c r="AJ9" i="47"/>
  <c r="AL9" i="47"/>
  <c r="X21" i="45"/>
  <c r="V21" i="45"/>
  <c r="AL14" i="45"/>
  <c r="V21" i="46"/>
  <c r="V23" i="46" s="1"/>
  <c r="Z22" i="46" s="1"/>
  <c r="X21" i="46"/>
  <c r="X23" i="46" s="1"/>
  <c r="AJ3" i="43"/>
  <c r="V28" i="42"/>
  <c r="Z27" i="42" s="1"/>
  <c r="X26" i="42"/>
  <c r="P16" i="44"/>
  <c r="N18" i="44" s="1"/>
  <c r="L4" i="44" s="1"/>
  <c r="AP59" i="44" s="1"/>
  <c r="V10" i="42"/>
  <c r="Z9" i="42" s="1"/>
  <c r="AL11" i="48"/>
  <c r="P15" i="42"/>
  <c r="P16" i="42" s="1"/>
  <c r="N19" i="42" s="1"/>
  <c r="Z5" i="48"/>
  <c r="A94" i="65"/>
  <c r="V20" i="44"/>
  <c r="X20" i="44"/>
  <c r="X13" i="43"/>
  <c r="AL14" i="46"/>
  <c r="A107" i="65"/>
  <c r="V3" i="42"/>
  <c r="X3" i="42"/>
  <c r="A68" i="65"/>
  <c r="X13" i="44"/>
  <c r="P15" i="43"/>
  <c r="X3" i="44"/>
  <c r="V3" i="44"/>
  <c r="V28" i="46"/>
  <c r="Z27" i="46" s="1"/>
  <c r="V10" i="44"/>
  <c r="Z9" i="44" s="1"/>
  <c r="AL5" i="48"/>
  <c r="AL6" i="48" s="1"/>
  <c r="AN6" i="48" s="1"/>
  <c r="AJ6" i="48"/>
  <c r="AN5" i="48" s="1"/>
  <c r="A55" i="65"/>
  <c r="AJ14" i="43"/>
  <c r="T21" i="43"/>
  <c r="AH8" i="43"/>
  <c r="V27" i="43"/>
  <c r="X27" i="43" s="1"/>
  <c r="AH4" i="43"/>
  <c r="AJ4" i="43" s="1"/>
  <c r="AL4" i="43" s="1"/>
  <c r="T15" i="43"/>
  <c r="V15" i="43" s="1"/>
  <c r="X15" i="43" s="1"/>
  <c r="T4" i="43"/>
  <c r="R69" i="46"/>
  <c r="T69" i="46" s="1"/>
  <c r="T70" i="46" s="1"/>
  <c r="X69" i="46" s="1"/>
  <c r="AH9" i="46"/>
  <c r="AJ15" i="46"/>
  <c r="AL15" i="46" s="1"/>
  <c r="AH5" i="46"/>
  <c r="T4" i="46"/>
  <c r="V28" i="45"/>
  <c r="Z27" i="45" s="1"/>
  <c r="Z28" i="45" s="1"/>
  <c r="AJ5" i="47"/>
  <c r="AN3" i="47"/>
  <c r="V15" i="45"/>
  <c r="Z13" i="45"/>
  <c r="V3" i="43"/>
  <c r="X3" i="43"/>
  <c r="X20" i="42"/>
  <c r="V20" i="42"/>
  <c r="X13" i="42"/>
  <c r="AJ16" i="47"/>
  <c r="AN15" i="47" s="1"/>
  <c r="A29" i="65"/>
  <c r="X26" i="44"/>
  <c r="X28" i="46"/>
  <c r="X10" i="44"/>
  <c r="N23" i="42"/>
  <c r="AI50" i="42"/>
  <c r="AG45" i="40"/>
  <c r="AI40" i="40"/>
  <c r="AE45" i="40"/>
  <c r="AI44" i="40" s="1"/>
  <c r="AJ11" i="50"/>
  <c r="AN10" i="50" s="1"/>
  <c r="X85" i="50"/>
  <c r="X50" i="43"/>
  <c r="AN6" i="49"/>
  <c r="AN5" i="49"/>
  <c r="N55" i="44"/>
  <c r="AQ55" i="44" s="1"/>
  <c r="AN16" i="49"/>
  <c r="Z23" i="49"/>
  <c r="AL11" i="49"/>
  <c r="AJ11" i="49"/>
  <c r="AN10" i="49" s="1"/>
  <c r="AR54" i="47"/>
  <c r="AT54" i="47" s="1"/>
  <c r="D9" i="47" s="1"/>
  <c r="Z59" i="47" s="1"/>
  <c r="AB59" i="47" s="1"/>
  <c r="AG85" i="48"/>
  <c r="Y9" i="17"/>
  <c r="AA9" i="17" s="1"/>
  <c r="AI45" i="41"/>
  <c r="T50" i="42"/>
  <c r="X49" i="42" s="1"/>
  <c r="R32" i="36"/>
  <c r="D37" i="36"/>
  <c r="F37" i="36" s="1"/>
  <c r="H37" i="36" s="1"/>
  <c r="AE33" i="36"/>
  <c r="AG33" i="36" s="1"/>
  <c r="AV18" i="25"/>
  <c r="AE19" i="61"/>
  <c r="C4" i="35"/>
  <c r="AP19" i="25"/>
  <c r="B19" i="25"/>
  <c r="X1" i="25"/>
  <c r="Y1" i="25" s="1"/>
  <c r="AB16" i="25" s="1"/>
  <c r="AJ16" i="25" s="1"/>
  <c r="AG15" i="25"/>
  <c r="T32" i="37"/>
  <c r="V32" i="37"/>
  <c r="D18" i="25"/>
  <c r="F18" i="25" s="1"/>
  <c r="G18" i="25" s="1"/>
  <c r="H18" i="25"/>
  <c r="I18" i="25" s="1"/>
  <c r="Z55" i="46"/>
  <c r="AB55" i="46" s="1"/>
  <c r="Z60" i="48"/>
  <c r="AB60" i="48" s="1"/>
  <c r="L65" i="48"/>
  <c r="N65" i="48" s="1"/>
  <c r="AQ65" i="48" s="1"/>
  <c r="Z54" i="46"/>
  <c r="AB54" i="46" s="1"/>
  <c r="L59" i="46"/>
  <c r="N59" i="46" s="1"/>
  <c r="AQ59" i="46" s="1"/>
  <c r="AI65" i="45"/>
  <c r="AR94" i="43"/>
  <c r="L65" i="47"/>
  <c r="N65" i="47" s="1"/>
  <c r="AQ65" i="47" s="1"/>
  <c r="AR95" i="31"/>
  <c r="AE90" i="49"/>
  <c r="AI89" i="49" s="1"/>
  <c r="N54" i="44"/>
  <c r="AQ54" i="44" s="1"/>
  <c r="D73" i="44"/>
  <c r="F73" i="44" s="1"/>
  <c r="H73" i="44" s="1"/>
  <c r="AE40" i="39"/>
  <c r="AI39" i="39" s="1"/>
  <c r="Y8" i="16"/>
  <c r="Y11" i="53"/>
  <c r="AA11" i="53" s="1"/>
  <c r="AG11" i="53" s="1"/>
  <c r="AG90" i="49"/>
  <c r="X6" i="16"/>
  <c r="X14" i="24"/>
  <c r="X7" i="17"/>
  <c r="AR50" i="44"/>
  <c r="AR95" i="49"/>
  <c r="AR60" i="49"/>
  <c r="AT60" i="49" s="1"/>
  <c r="E10" i="49" s="1"/>
  <c r="AR59" i="49"/>
  <c r="AT59" i="49" s="1"/>
  <c r="D10" i="49" s="1"/>
  <c r="X70" i="47"/>
  <c r="X80" i="49"/>
  <c r="R84" i="48"/>
  <c r="AE103" i="50"/>
  <c r="D99" i="50"/>
  <c r="AE99" i="50"/>
  <c r="R98" i="50"/>
  <c r="D94" i="49"/>
  <c r="R77" i="45"/>
  <c r="D82" i="45"/>
  <c r="F82" i="45" s="1"/>
  <c r="V47" i="39"/>
  <c r="T47" i="39"/>
  <c r="T67" i="44"/>
  <c r="V67" i="44"/>
  <c r="R79" i="47"/>
  <c r="D88" i="47"/>
  <c r="F88" i="47" s="1"/>
  <c r="H88" i="47" s="1"/>
  <c r="H89" i="50"/>
  <c r="H90" i="50" s="1"/>
  <c r="F90" i="50"/>
  <c r="R93" i="49"/>
  <c r="V93" i="49" s="1"/>
  <c r="AE98" i="49"/>
  <c r="AG98" i="49" s="1"/>
  <c r="H84" i="49"/>
  <c r="H85" i="49" s="1"/>
  <c r="F85" i="49"/>
  <c r="H87" i="47"/>
  <c r="H82" i="46"/>
  <c r="V84" i="49"/>
  <c r="V85" i="49" s="1"/>
  <c r="T84" i="49"/>
  <c r="T85" i="49" s="1"/>
  <c r="X84" i="49" s="1"/>
  <c r="H68" i="44"/>
  <c r="H54" i="43"/>
  <c r="H55" i="43" s="1"/>
  <c r="J55" i="43" s="1"/>
  <c r="F55" i="43"/>
  <c r="D68" i="43"/>
  <c r="F68" i="43" s="1"/>
  <c r="R67" i="43"/>
  <c r="Z50" i="43"/>
  <c r="AB50" i="43" s="1"/>
  <c r="L55" i="43"/>
  <c r="R47" i="38"/>
  <c r="D52" i="38"/>
  <c r="F52" i="38" s="1"/>
  <c r="R39" i="40"/>
  <c r="D53" i="40"/>
  <c r="F53" i="40" s="1"/>
  <c r="T82" i="47"/>
  <c r="V82" i="47"/>
  <c r="T77" i="46"/>
  <c r="V77" i="46"/>
  <c r="H88" i="48"/>
  <c r="H69" i="46"/>
  <c r="H70" i="46" s="1"/>
  <c r="F70" i="46"/>
  <c r="D83" i="46"/>
  <c r="F83" i="46" s="1"/>
  <c r="H83" i="46" s="1"/>
  <c r="R82" i="46"/>
  <c r="D87" i="46"/>
  <c r="F87" i="46" s="1"/>
  <c r="X15" i="50"/>
  <c r="X16" i="50" s="1"/>
  <c r="Z16" i="50" s="1"/>
  <c r="V16" i="50"/>
  <c r="Z15" i="50" s="1"/>
  <c r="AR49" i="44"/>
  <c r="V69" i="46"/>
  <c r="V70" i="46" s="1"/>
  <c r="H52" i="39"/>
  <c r="T79" i="48"/>
  <c r="T80" i="48" s="1"/>
  <c r="X79" i="48" s="1"/>
  <c r="V79" i="48"/>
  <c r="V80" i="48" s="1"/>
  <c r="H53" i="41"/>
  <c r="AA15" i="24"/>
  <c r="AI60" i="44"/>
  <c r="AM60" i="44" s="1"/>
  <c r="AS60" i="44" s="1"/>
  <c r="AR94" i="50"/>
  <c r="AR95" i="50"/>
  <c r="AG50" i="41"/>
  <c r="AE50" i="41"/>
  <c r="AI49" i="41" s="1"/>
  <c r="AG40" i="39"/>
  <c r="AR44" i="44"/>
  <c r="AT44" i="44" s="1"/>
  <c r="D7" i="44" s="1"/>
  <c r="AK49" i="44" s="1"/>
  <c r="AM49" i="44" s="1"/>
  <c r="AS49" i="44" s="1"/>
  <c r="AT49" i="44" s="1"/>
  <c r="D8" i="44" s="1"/>
  <c r="AR45" i="44"/>
  <c r="AT45" i="44" s="1"/>
  <c r="E7" i="44" s="1"/>
  <c r="AK50" i="44" s="1"/>
  <c r="AM50" i="44" s="1"/>
  <c r="AS50" i="44" s="1"/>
  <c r="AT50" i="44" s="1"/>
  <c r="E8" i="44" s="1"/>
  <c r="Z23" i="50"/>
  <c r="AR94" i="33"/>
  <c r="P15" i="50"/>
  <c r="P16" i="50" s="1"/>
  <c r="N18" i="50" s="1"/>
  <c r="L4" i="50" s="1"/>
  <c r="Z5" i="50"/>
  <c r="AK45" i="43"/>
  <c r="AM45" i="43" s="1"/>
  <c r="AS45" i="43" s="1"/>
  <c r="Z45" i="43"/>
  <c r="AB45" i="43" s="1"/>
  <c r="L50" i="43"/>
  <c r="N50" i="43" s="1"/>
  <c r="AQ50" i="43" s="1"/>
  <c r="N23" i="50"/>
  <c r="AL5" i="50"/>
  <c r="AL6" i="50" s="1"/>
  <c r="AN6" i="50" s="1"/>
  <c r="AJ6" i="50"/>
  <c r="AN5" i="50" s="1"/>
  <c r="Z28" i="50"/>
  <c r="Z10" i="50"/>
  <c r="AN16" i="50"/>
  <c r="AE65" i="44"/>
  <c r="AI64" i="44" s="1"/>
  <c r="J47" i="41"/>
  <c r="AG65" i="44"/>
  <c r="AI85" i="49"/>
  <c r="AR95" i="34"/>
  <c r="AI55" i="43"/>
  <c r="AR95" i="28"/>
  <c r="H45" i="40"/>
  <c r="N44" i="42"/>
  <c r="AQ44" i="42" s="1"/>
  <c r="AE80" i="47"/>
  <c r="AI79" i="47" s="1"/>
  <c r="F45" i="40"/>
  <c r="AE85" i="48"/>
  <c r="AI84" i="48" s="1"/>
  <c r="N45" i="42"/>
  <c r="AQ45" i="42" s="1"/>
  <c r="J42" i="40"/>
  <c r="X55" i="44"/>
  <c r="X45" i="42"/>
  <c r="AR94" i="39"/>
  <c r="Y12" i="20"/>
  <c r="AA12" i="20" s="1"/>
  <c r="AG12" i="20" s="1"/>
  <c r="AI95" i="50"/>
  <c r="X75" i="48"/>
  <c r="X125" i="32"/>
  <c r="AB125" i="32" s="1"/>
  <c r="AR125" i="32" s="1"/>
  <c r="AA6" i="14"/>
  <c r="AG6" i="14" s="1"/>
  <c r="AD154" i="59"/>
  <c r="AC160" i="59"/>
  <c r="AC155" i="59"/>
  <c r="AD155" i="59" s="1"/>
  <c r="Y110" i="34"/>
  <c r="Y109" i="34"/>
  <c r="O132" i="44"/>
  <c r="P131" i="44"/>
  <c r="O136" i="44"/>
  <c r="X65" i="47"/>
  <c r="AL129" i="42"/>
  <c r="AH129" i="42"/>
  <c r="AL130" i="42"/>
  <c r="AH130" i="42"/>
  <c r="AI127" i="42"/>
  <c r="B137" i="40"/>
  <c r="A138" i="40"/>
  <c r="AA120" i="50"/>
  <c r="AO120" i="50" s="1"/>
  <c r="W120" i="50"/>
  <c r="AA119" i="50"/>
  <c r="AO119" i="50" s="1"/>
  <c r="W119" i="50"/>
  <c r="AA7" i="15"/>
  <c r="AG7" i="15" s="1"/>
  <c r="AC134" i="37"/>
  <c r="AD134" i="37" s="1"/>
  <c r="AD133" i="37"/>
  <c r="AC138" i="37"/>
  <c r="AN149" i="59"/>
  <c r="AJ149" i="59"/>
  <c r="AN150" i="59"/>
  <c r="AJ150" i="59"/>
  <c r="AK147" i="59"/>
  <c r="R83" i="47"/>
  <c r="AE84" i="47"/>
  <c r="AG84" i="47" s="1"/>
  <c r="D84" i="47"/>
  <c r="AE88" i="47"/>
  <c r="AJ150" i="46"/>
  <c r="AJ149" i="46"/>
  <c r="H77" i="45"/>
  <c r="X107" i="34"/>
  <c r="A130" i="47"/>
  <c r="B130" i="47" s="1"/>
  <c r="B129" i="47"/>
  <c r="G10" i="19"/>
  <c r="A138" i="27"/>
  <c r="B137" i="27"/>
  <c r="A129" i="39"/>
  <c r="B128" i="39"/>
  <c r="Q114" i="43"/>
  <c r="Q112" i="43"/>
  <c r="C124" i="40"/>
  <c r="C123" i="40"/>
  <c r="AC138" i="30"/>
  <c r="AC134" i="30"/>
  <c r="AD134" i="30" s="1"/>
  <c r="AD133" i="30"/>
  <c r="AG38" i="38"/>
  <c r="AL124" i="38"/>
  <c r="AH124" i="38"/>
  <c r="AL125" i="38"/>
  <c r="AH125" i="38"/>
  <c r="AI122" i="38"/>
  <c r="C112" i="37"/>
  <c r="G113" i="37"/>
  <c r="Y110" i="31"/>
  <c r="Y109" i="31"/>
  <c r="P144" i="32"/>
  <c r="O145" i="32"/>
  <c r="P145" i="32" s="1"/>
  <c r="P132" i="35"/>
  <c r="O133" i="35"/>
  <c r="X107" i="50"/>
  <c r="P131" i="46"/>
  <c r="O136" i="46"/>
  <c r="O132" i="46"/>
  <c r="C119" i="46"/>
  <c r="C118" i="46"/>
  <c r="V62" i="43"/>
  <c r="T62" i="43"/>
  <c r="T58" i="43"/>
  <c r="V58" i="43"/>
  <c r="H97" i="48"/>
  <c r="A129" i="43"/>
  <c r="B128" i="43"/>
  <c r="V102" i="50"/>
  <c r="T102" i="50"/>
  <c r="AI35" i="39"/>
  <c r="AM35" i="39" s="1"/>
  <c r="AS35" i="39" s="1"/>
  <c r="W125" i="47"/>
  <c r="AA124" i="47"/>
  <c r="AO124" i="47" s="1"/>
  <c r="AP124" i="47" s="1"/>
  <c r="AA125" i="47"/>
  <c r="AO125" i="47" s="1"/>
  <c r="AP125" i="47" s="1"/>
  <c r="W124" i="47"/>
  <c r="P132" i="48"/>
  <c r="O133" i="48"/>
  <c r="AL12" i="61"/>
  <c r="C11" i="42"/>
  <c r="AP12" i="18"/>
  <c r="B12" i="18"/>
  <c r="AE54" i="41"/>
  <c r="AG54" i="41" s="1"/>
  <c r="R53" i="41"/>
  <c r="AE58" i="41"/>
  <c r="D54" i="41"/>
  <c r="D58" i="41"/>
  <c r="F58" i="41" s="1"/>
  <c r="H58" i="41" s="1"/>
  <c r="R57" i="41"/>
  <c r="D62" i="41"/>
  <c r="AV15" i="22"/>
  <c r="AA125" i="30"/>
  <c r="AO125" i="30" s="1"/>
  <c r="AP125" i="30" s="1"/>
  <c r="W125" i="30"/>
  <c r="AA124" i="30"/>
  <c r="AO124" i="30" s="1"/>
  <c r="AP124" i="30" s="1"/>
  <c r="W124" i="30"/>
  <c r="V129" i="32"/>
  <c r="T129" i="32"/>
  <c r="F57" i="41"/>
  <c r="AG53" i="41"/>
  <c r="AJ130" i="45"/>
  <c r="AJ129" i="45"/>
  <c r="M120" i="38"/>
  <c r="I120" i="38"/>
  <c r="G119" i="38"/>
  <c r="M119" i="38"/>
  <c r="I119" i="38"/>
  <c r="O132" i="43"/>
  <c r="P131" i="43"/>
  <c r="O136" i="43"/>
  <c r="H12" i="19"/>
  <c r="I12" i="19" s="1"/>
  <c r="D12" i="19"/>
  <c r="A125" i="45"/>
  <c r="B125" i="45" s="1"/>
  <c r="B124" i="45"/>
  <c r="V63" i="44"/>
  <c r="T63" i="44"/>
  <c r="Y115" i="30"/>
  <c r="Y114" i="30"/>
  <c r="B141" i="34"/>
  <c r="A146" i="34"/>
  <c r="A142" i="34"/>
  <c r="AV5" i="12"/>
  <c r="Q117" i="29"/>
  <c r="Q119" i="29"/>
  <c r="B141" i="38"/>
  <c r="A146" i="38"/>
  <c r="A142" i="38"/>
  <c r="R34" i="38"/>
  <c r="R38" i="38"/>
  <c r="AE43" i="38"/>
  <c r="AE39" i="38"/>
  <c r="AG39" i="38" s="1"/>
  <c r="D39" i="38"/>
  <c r="F39" i="38" s="1"/>
  <c r="H39" i="38" s="1"/>
  <c r="D43" i="38"/>
  <c r="F43" i="38" s="1"/>
  <c r="H43" i="38" s="1"/>
  <c r="R42" i="38"/>
  <c r="D47" i="38"/>
  <c r="AA120" i="45"/>
  <c r="AO120" i="45" s="1"/>
  <c r="AP120" i="45" s="1"/>
  <c r="W119" i="45"/>
  <c r="W120" i="45"/>
  <c r="AA119" i="45"/>
  <c r="AO119" i="45" s="1"/>
  <c r="AP119" i="45" s="1"/>
  <c r="AI90" i="50"/>
  <c r="P119" i="40"/>
  <c r="O120" i="40"/>
  <c r="P120" i="40" s="1"/>
  <c r="C117" i="40"/>
  <c r="G118" i="40"/>
  <c r="Q114" i="44"/>
  <c r="Q112" i="44"/>
  <c r="M120" i="32"/>
  <c r="I120" i="32"/>
  <c r="G119" i="32"/>
  <c r="I119" i="32"/>
  <c r="M119" i="32"/>
  <c r="X107" i="28"/>
  <c r="Q114" i="49"/>
  <c r="Q112" i="49"/>
  <c r="AC138" i="32"/>
  <c r="AC134" i="32"/>
  <c r="AD134" i="32" s="1"/>
  <c r="AD133" i="32"/>
  <c r="P132" i="29"/>
  <c r="O133" i="29"/>
  <c r="O120" i="33"/>
  <c r="P120" i="33" s="1"/>
  <c r="P119" i="33"/>
  <c r="AR35" i="40"/>
  <c r="AT35" i="40" s="1"/>
  <c r="E5" i="40" s="1"/>
  <c r="AR34" i="40"/>
  <c r="AT34" i="40" s="1"/>
  <c r="D5" i="40" s="1"/>
  <c r="P158" i="59"/>
  <c r="O164" i="59"/>
  <c r="O159" i="59"/>
  <c r="C123" i="35"/>
  <c r="C124" i="35"/>
  <c r="Y110" i="46"/>
  <c r="Y109" i="46"/>
  <c r="T68" i="45"/>
  <c r="V68" i="45"/>
  <c r="R134" i="32"/>
  <c r="X132" i="32"/>
  <c r="A134" i="27"/>
  <c r="B133" i="27"/>
  <c r="M120" i="50"/>
  <c r="I120" i="50"/>
  <c r="G119" i="50"/>
  <c r="M119" i="50"/>
  <c r="I119" i="50"/>
  <c r="R33" i="37"/>
  <c r="D38" i="37"/>
  <c r="AE34" i="37"/>
  <c r="AE38" i="37"/>
  <c r="D42" i="37"/>
  <c r="R37" i="37"/>
  <c r="O133" i="47"/>
  <c r="P132" i="47"/>
  <c r="G112" i="42"/>
  <c r="K115" i="42"/>
  <c r="K114" i="42"/>
  <c r="AC129" i="41"/>
  <c r="AD129" i="41" s="1"/>
  <c r="AD128" i="41"/>
  <c r="AC133" i="41"/>
  <c r="B136" i="37"/>
  <c r="A141" i="37"/>
  <c r="A137" i="37"/>
  <c r="B137" i="29"/>
  <c r="A138" i="29"/>
  <c r="F74" i="46"/>
  <c r="J72" i="46"/>
  <c r="AV6" i="13"/>
  <c r="O129" i="35"/>
  <c r="P128" i="35"/>
  <c r="Q128" i="35" s="1"/>
  <c r="C124" i="50"/>
  <c r="C123" i="50"/>
  <c r="AL130" i="31"/>
  <c r="AH130" i="31"/>
  <c r="AI127" i="31"/>
  <c r="AL129" i="31"/>
  <c r="AH129" i="31"/>
  <c r="AC138" i="39"/>
  <c r="AC134" i="39"/>
  <c r="AD134" i="39" s="1"/>
  <c r="AD133" i="39"/>
  <c r="AC134" i="34"/>
  <c r="AD134" i="34" s="1"/>
  <c r="AD133" i="34"/>
  <c r="AC138" i="34"/>
  <c r="G12" i="21"/>
  <c r="C117" i="44"/>
  <c r="G118" i="44"/>
  <c r="Q137" i="32"/>
  <c r="Q139" i="32"/>
  <c r="AV14" i="21"/>
  <c r="K114" i="38"/>
  <c r="G112" i="38"/>
  <c r="K115" i="38"/>
  <c r="O125" i="26"/>
  <c r="P125" i="26" s="1"/>
  <c r="P124" i="26"/>
  <c r="AJ125" i="47"/>
  <c r="AJ124" i="47"/>
  <c r="X107" i="43"/>
  <c r="B141" i="41"/>
  <c r="A146" i="41"/>
  <c r="A142" i="41"/>
  <c r="AJ125" i="35"/>
  <c r="AJ124" i="35"/>
  <c r="A129" i="46"/>
  <c r="B128" i="46"/>
  <c r="Y110" i="40"/>
  <c r="Y109" i="40"/>
  <c r="AG75" i="46"/>
  <c r="H47" i="40"/>
  <c r="C119" i="43"/>
  <c r="C118" i="43"/>
  <c r="AR120" i="32"/>
  <c r="V53" i="42"/>
  <c r="T53" i="42"/>
  <c r="A130" i="41"/>
  <c r="B130" i="41" s="1"/>
  <c r="B129" i="41"/>
  <c r="AC134" i="28"/>
  <c r="AD134" i="28" s="1"/>
  <c r="AD133" i="28"/>
  <c r="AC138" i="28"/>
  <c r="A134" i="41"/>
  <c r="B133" i="41"/>
  <c r="AV4" i="11"/>
  <c r="P123" i="44"/>
  <c r="Q123" i="44" s="1"/>
  <c r="O124" i="44"/>
  <c r="A134" i="38"/>
  <c r="B133" i="38"/>
  <c r="V34" i="39"/>
  <c r="T34" i="39"/>
  <c r="T35" i="39" s="1"/>
  <c r="X34" i="39" s="1"/>
  <c r="AB34" i="39" s="1"/>
  <c r="AG80" i="47"/>
  <c r="B141" i="28"/>
  <c r="A146" i="28"/>
  <c r="A142" i="28"/>
  <c r="M120" i="34"/>
  <c r="I120" i="34"/>
  <c r="G119" i="34"/>
  <c r="M119" i="34"/>
  <c r="I119" i="34"/>
  <c r="K109" i="37"/>
  <c r="G107" i="37"/>
  <c r="K110" i="37"/>
  <c r="AG83" i="47"/>
  <c r="B132" i="26"/>
  <c r="A133" i="26"/>
  <c r="Q112" i="28"/>
  <c r="Q114" i="28"/>
  <c r="AG88" i="48"/>
  <c r="Y114" i="47"/>
  <c r="Y115" i="47"/>
  <c r="AE70" i="45"/>
  <c r="AI69" i="45" s="1"/>
  <c r="AC134" i="33"/>
  <c r="AD134" i="33" s="1"/>
  <c r="AD133" i="33"/>
  <c r="AC138" i="33"/>
  <c r="O125" i="38"/>
  <c r="P125" i="38" s="1"/>
  <c r="P124" i="38"/>
  <c r="O144" i="59"/>
  <c r="P144" i="59" s="1"/>
  <c r="P143" i="59"/>
  <c r="C117" i="35"/>
  <c r="G118" i="35"/>
  <c r="O120" i="31"/>
  <c r="P120" i="31" s="1"/>
  <c r="P119" i="31"/>
  <c r="Q114" i="27"/>
  <c r="Q112" i="27"/>
  <c r="AE60" i="43"/>
  <c r="AI59" i="43" s="1"/>
  <c r="AC134" i="36"/>
  <c r="AD134" i="36" s="1"/>
  <c r="AD133" i="36"/>
  <c r="AC138" i="36"/>
  <c r="O128" i="45"/>
  <c r="P127" i="45"/>
  <c r="A125" i="46"/>
  <c r="B125" i="46" s="1"/>
  <c r="B124" i="46"/>
  <c r="C124" i="32"/>
  <c r="C123" i="32"/>
  <c r="H38" i="39"/>
  <c r="H40" i="39" s="1"/>
  <c r="F40" i="39"/>
  <c r="A130" i="28"/>
  <c r="B130" i="28" s="1"/>
  <c r="B129" i="28"/>
  <c r="K109" i="45"/>
  <c r="G107" i="45"/>
  <c r="K110" i="45"/>
  <c r="C123" i="29"/>
  <c r="C124" i="29"/>
  <c r="AI70" i="46"/>
  <c r="A125" i="39"/>
  <c r="B125" i="39" s="1"/>
  <c r="B124" i="39"/>
  <c r="H50" i="41"/>
  <c r="P131" i="28"/>
  <c r="O136" i="28"/>
  <c r="O132" i="28"/>
  <c r="AV8" i="15"/>
  <c r="AG55" i="42"/>
  <c r="O141" i="42"/>
  <c r="O137" i="42"/>
  <c r="P136" i="42"/>
  <c r="Q112" i="34"/>
  <c r="Q114" i="34"/>
  <c r="B137" i="50"/>
  <c r="A138" i="50"/>
  <c r="C123" i="42"/>
  <c r="C124" i="42"/>
  <c r="O120" i="39"/>
  <c r="P120" i="39" s="1"/>
  <c r="P119" i="39"/>
  <c r="AA120" i="44"/>
  <c r="AO120" i="44" s="1"/>
  <c r="AP120" i="44" s="1"/>
  <c r="W120" i="44"/>
  <c r="AA119" i="44"/>
  <c r="AO119" i="44" s="1"/>
  <c r="AP119" i="44" s="1"/>
  <c r="W119" i="44"/>
  <c r="AV10" i="17"/>
  <c r="AF14" i="24"/>
  <c r="P132" i="30"/>
  <c r="O133" i="30"/>
  <c r="B136" i="48"/>
  <c r="A141" i="48"/>
  <c r="A137" i="48"/>
  <c r="B132" i="39"/>
  <c r="A133" i="39"/>
  <c r="O128" i="37"/>
  <c r="P127" i="37"/>
  <c r="AC138" i="48"/>
  <c r="AC134" i="48"/>
  <c r="AD134" i="48" s="1"/>
  <c r="AD133" i="48"/>
  <c r="C112" i="45"/>
  <c r="G113" i="45"/>
  <c r="P128" i="47"/>
  <c r="Q128" i="47" s="1"/>
  <c r="O129" i="47"/>
  <c r="B141" i="35"/>
  <c r="A146" i="35"/>
  <c r="A142" i="35"/>
  <c r="A146" i="47"/>
  <c r="A142" i="47"/>
  <c r="B141" i="47"/>
  <c r="AN10" i="61"/>
  <c r="AP10" i="16"/>
  <c r="C13" i="44"/>
  <c r="B10" i="16"/>
  <c r="O128" i="27"/>
  <c r="P127" i="27"/>
  <c r="AC134" i="49"/>
  <c r="AD134" i="49" s="1"/>
  <c r="AD133" i="49"/>
  <c r="AC138" i="49"/>
  <c r="X112" i="36"/>
  <c r="I115" i="39"/>
  <c r="I114" i="39"/>
  <c r="M115" i="39"/>
  <c r="M114" i="39"/>
  <c r="G114" i="39"/>
  <c r="B136" i="43"/>
  <c r="A141" i="43"/>
  <c r="A137" i="43"/>
  <c r="A130" i="49"/>
  <c r="B130" i="49" s="1"/>
  <c r="B129" i="49"/>
  <c r="Y115" i="29"/>
  <c r="Y114" i="29"/>
  <c r="V127" i="32"/>
  <c r="V130" i="32" s="1"/>
  <c r="T127" i="32"/>
  <c r="T130" i="32" s="1"/>
  <c r="X129" i="32" s="1"/>
  <c r="AB129" i="32" s="1"/>
  <c r="Q112" i="46"/>
  <c r="Q114" i="46"/>
  <c r="AL130" i="26"/>
  <c r="AH130" i="26"/>
  <c r="AI127" i="26"/>
  <c r="AL129" i="26"/>
  <c r="AH129" i="26"/>
  <c r="G113" i="30"/>
  <c r="C112" i="30"/>
  <c r="A138" i="49"/>
  <c r="B137" i="49"/>
  <c r="C119" i="39"/>
  <c r="C118" i="39"/>
  <c r="Y13" i="21"/>
  <c r="X12" i="21" s="1"/>
  <c r="X107" i="37"/>
  <c r="AG5" i="15"/>
  <c r="AR39" i="43"/>
  <c r="AT39" i="43" s="1"/>
  <c r="D6" i="43" s="1"/>
  <c r="AR94" i="44"/>
  <c r="AR95" i="44"/>
  <c r="AR94" i="46"/>
  <c r="AB40" i="42"/>
  <c r="AR40" i="42" s="1"/>
  <c r="AT40" i="42" s="1"/>
  <c r="E6" i="42" s="1"/>
  <c r="P119" i="50"/>
  <c r="O120" i="50"/>
  <c r="P120" i="50" s="1"/>
  <c r="J79" i="48"/>
  <c r="J80" i="48"/>
  <c r="Y110" i="33"/>
  <c r="Y109" i="33"/>
  <c r="Q114" i="33"/>
  <c r="Q112" i="33"/>
  <c r="AC129" i="44"/>
  <c r="AD129" i="44" s="1"/>
  <c r="AD128" i="44"/>
  <c r="AC133" i="44"/>
  <c r="AA12" i="21"/>
  <c r="X11" i="21"/>
  <c r="V33" i="38"/>
  <c r="T33" i="38"/>
  <c r="O137" i="26"/>
  <c r="P136" i="26"/>
  <c r="O141" i="26"/>
  <c r="AC134" i="27"/>
  <c r="AD134" i="27" s="1"/>
  <c r="AD133" i="27"/>
  <c r="AC138" i="27"/>
  <c r="P123" i="43"/>
  <c r="Q123" i="43" s="1"/>
  <c r="O124" i="43"/>
  <c r="M115" i="37"/>
  <c r="I115" i="37"/>
  <c r="G114" i="37"/>
  <c r="M114" i="37"/>
  <c r="I114" i="37"/>
  <c r="X107" i="31"/>
  <c r="A134" i="47"/>
  <c r="B133" i="47"/>
  <c r="A129" i="30"/>
  <c r="B128" i="30"/>
  <c r="F8" i="16"/>
  <c r="P123" i="49"/>
  <c r="Q123" i="49" s="1"/>
  <c r="O124" i="49"/>
  <c r="O141" i="35"/>
  <c r="O137" i="35"/>
  <c r="P136" i="35"/>
  <c r="Y110" i="50"/>
  <c r="Y109" i="50"/>
  <c r="O137" i="36"/>
  <c r="O141" i="36"/>
  <c r="P136" i="36"/>
  <c r="A138" i="33"/>
  <c r="B137" i="33"/>
  <c r="G107" i="26"/>
  <c r="K110" i="26"/>
  <c r="K109" i="26"/>
  <c r="A138" i="44"/>
  <c r="B137" i="44"/>
  <c r="AV11" i="18"/>
  <c r="AJ14" i="61"/>
  <c r="L173" i="66" s="1"/>
  <c r="B14" i="20"/>
  <c r="C9" i="40"/>
  <c r="R49" i="40" s="1"/>
  <c r="AP14" i="20"/>
  <c r="Y13" i="20" s="1"/>
  <c r="AH16" i="61"/>
  <c r="B16" i="22"/>
  <c r="C7" i="38"/>
  <c r="AP16" i="22"/>
  <c r="P123" i="33"/>
  <c r="Q123" i="33" s="1"/>
  <c r="O124" i="33"/>
  <c r="Q119" i="26"/>
  <c r="Q117" i="26"/>
  <c r="O132" i="31"/>
  <c r="P131" i="31"/>
  <c r="O136" i="31"/>
  <c r="V52" i="41"/>
  <c r="T52" i="41"/>
  <c r="V48" i="41"/>
  <c r="T48" i="41"/>
  <c r="AL129" i="45"/>
  <c r="AH129" i="45"/>
  <c r="AH130" i="45"/>
  <c r="AL130" i="45"/>
  <c r="AI127" i="45"/>
  <c r="C117" i="38"/>
  <c r="G118" i="38"/>
  <c r="AC144" i="40"/>
  <c r="AD144" i="40" s="1"/>
  <c r="AD143" i="40"/>
  <c r="AC148" i="40"/>
  <c r="AA125" i="29"/>
  <c r="AO125" i="29" s="1"/>
  <c r="AP125" i="29" s="1"/>
  <c r="W125" i="29"/>
  <c r="AA124" i="29"/>
  <c r="AO124" i="29" s="1"/>
  <c r="AP124" i="29" s="1"/>
  <c r="W124" i="29"/>
  <c r="D12" i="53"/>
  <c r="F12" i="53" s="1"/>
  <c r="G12" i="53" s="1"/>
  <c r="H12" i="53"/>
  <c r="I12" i="53" s="1"/>
  <c r="AE59" i="42"/>
  <c r="AG59" i="42" s="1"/>
  <c r="R58" i="42"/>
  <c r="AE63" i="42"/>
  <c r="R54" i="42"/>
  <c r="D59" i="42"/>
  <c r="D63" i="42"/>
  <c r="F63" i="42" s="1"/>
  <c r="H63" i="42" s="1"/>
  <c r="R62" i="42"/>
  <c r="F77" i="44"/>
  <c r="AG68" i="44"/>
  <c r="X112" i="30"/>
  <c r="AC129" i="29"/>
  <c r="AD129" i="29" s="1"/>
  <c r="AD128" i="29"/>
  <c r="AC133" i="29"/>
  <c r="C117" i="28"/>
  <c r="G118" i="28"/>
  <c r="H5" i="12"/>
  <c r="I5" i="12" s="1"/>
  <c r="D5" i="12"/>
  <c r="F5" i="12" s="1"/>
  <c r="G5" i="12" s="1"/>
  <c r="F4" i="12"/>
  <c r="P132" i="41"/>
  <c r="O133" i="41"/>
  <c r="AG17" i="61"/>
  <c r="B17" i="23"/>
  <c r="C6" i="37"/>
  <c r="AP17" i="23"/>
  <c r="AA10" i="19"/>
  <c r="X9" i="19"/>
  <c r="O120" i="45"/>
  <c r="P120" i="45" s="1"/>
  <c r="P119" i="45"/>
  <c r="A134" i="40"/>
  <c r="B133" i="40"/>
  <c r="AA120" i="37"/>
  <c r="AO120" i="37" s="1"/>
  <c r="AP120" i="37" s="1"/>
  <c r="W120" i="37"/>
  <c r="AA119" i="37"/>
  <c r="AO119" i="37" s="1"/>
  <c r="AP119" i="37" s="1"/>
  <c r="W119" i="37"/>
  <c r="M120" i="40"/>
  <c r="I120" i="40"/>
  <c r="G119" i="40"/>
  <c r="M119" i="40"/>
  <c r="I119" i="40"/>
  <c r="G112" i="32"/>
  <c r="K114" i="32"/>
  <c r="K115" i="32"/>
  <c r="Y110" i="28"/>
  <c r="Y109" i="28"/>
  <c r="A130" i="35"/>
  <c r="B130" i="35" s="1"/>
  <c r="B129" i="35"/>
  <c r="X60" i="45"/>
  <c r="O141" i="29"/>
  <c r="O137" i="29"/>
  <c r="P136" i="29"/>
  <c r="AA120" i="33"/>
  <c r="AO120" i="33" s="1"/>
  <c r="AP120" i="33" s="1"/>
  <c r="W120" i="33"/>
  <c r="AA119" i="33"/>
  <c r="AO119" i="33" s="1"/>
  <c r="AP119" i="33" s="1"/>
  <c r="W119" i="33"/>
  <c r="G4" i="13"/>
  <c r="AG73" i="45"/>
  <c r="Z135" i="32"/>
  <c r="Z134" i="32"/>
  <c r="R132" i="32"/>
  <c r="Y135" i="32"/>
  <c r="Y134" i="32"/>
  <c r="P128" i="30"/>
  <c r="Q128" i="30" s="1"/>
  <c r="O129" i="30"/>
  <c r="O124" i="50"/>
  <c r="P123" i="50"/>
  <c r="Q123" i="50" s="1"/>
  <c r="AV17" i="24"/>
  <c r="O141" i="47"/>
  <c r="O137" i="47"/>
  <c r="P136" i="47"/>
  <c r="AJ125" i="41"/>
  <c r="AJ124" i="41"/>
  <c r="B141" i="29"/>
  <c r="A146" i="29"/>
  <c r="A142" i="29"/>
  <c r="AA9" i="18"/>
  <c r="X8" i="18"/>
  <c r="O125" i="36"/>
  <c r="P125" i="36" s="1"/>
  <c r="P124" i="36"/>
  <c r="T73" i="46"/>
  <c r="V73" i="46"/>
  <c r="Y110" i="27"/>
  <c r="Y109" i="27"/>
  <c r="H6" i="13"/>
  <c r="I6" i="13" s="1"/>
  <c r="D6" i="13"/>
  <c r="F6" i="13" s="1"/>
  <c r="G6" i="13" s="1"/>
  <c r="P123" i="27"/>
  <c r="Q123" i="27" s="1"/>
  <c r="O124" i="27"/>
  <c r="O132" i="49"/>
  <c r="P131" i="49"/>
  <c r="O136" i="49"/>
  <c r="A134" i="44"/>
  <c r="B133" i="44"/>
  <c r="AJ130" i="34"/>
  <c r="AJ129" i="34"/>
  <c r="M119" i="44"/>
  <c r="I119" i="44"/>
  <c r="M120" i="44"/>
  <c r="I120" i="44"/>
  <c r="G119" i="44"/>
  <c r="Y10" i="18"/>
  <c r="Y14" i="22"/>
  <c r="X13" i="22" s="1"/>
  <c r="Q119" i="47"/>
  <c r="Q117" i="47"/>
  <c r="AI15" i="61"/>
  <c r="B15" i="21"/>
  <c r="AP15" i="21"/>
  <c r="C8" i="39"/>
  <c r="D53" i="39" s="1"/>
  <c r="F53" i="39" s="1"/>
  <c r="H53" i="39" s="1"/>
  <c r="AA125" i="26"/>
  <c r="AO125" i="26" s="1"/>
  <c r="AP125" i="26" s="1"/>
  <c r="W125" i="26"/>
  <c r="AA124" i="26"/>
  <c r="AO124" i="26" s="1"/>
  <c r="AP124" i="26" s="1"/>
  <c r="W124" i="26"/>
  <c r="AI122" i="47"/>
  <c r="AL124" i="47"/>
  <c r="AH125" i="47"/>
  <c r="AL125" i="47"/>
  <c r="AH124" i="47"/>
  <c r="AL124" i="35"/>
  <c r="AH124" i="35"/>
  <c r="AL125" i="35"/>
  <c r="AH125" i="35"/>
  <c r="AI122" i="35"/>
  <c r="K109" i="46"/>
  <c r="G107" i="46"/>
  <c r="K110" i="46"/>
  <c r="Y115" i="48"/>
  <c r="Y114" i="48"/>
  <c r="A129" i="37"/>
  <c r="B128" i="37"/>
  <c r="P128" i="26"/>
  <c r="Q128" i="26" s="1"/>
  <c r="O129" i="26"/>
  <c r="AE75" i="46"/>
  <c r="AI74" i="46" s="1"/>
  <c r="C117" i="47"/>
  <c r="G118" i="47"/>
  <c r="Q112" i="50"/>
  <c r="Q114" i="50"/>
  <c r="P128" i="48"/>
  <c r="Q128" i="48" s="1"/>
  <c r="O129" i="48"/>
  <c r="F54" i="42"/>
  <c r="J52" i="42"/>
  <c r="A130" i="40"/>
  <c r="B130" i="40" s="1"/>
  <c r="B129" i="40"/>
  <c r="AJ130" i="28"/>
  <c r="AJ129" i="28"/>
  <c r="A125" i="26"/>
  <c r="B125" i="26" s="1"/>
  <c r="B124" i="26"/>
  <c r="AT4" i="61"/>
  <c r="AU3" i="61"/>
  <c r="B4" i="10"/>
  <c r="AP4" i="10"/>
  <c r="C19" i="50"/>
  <c r="AA125" i="41"/>
  <c r="AO125" i="41" s="1"/>
  <c r="AP125" i="41" s="1"/>
  <c r="W125" i="41"/>
  <c r="AA124" i="41"/>
  <c r="AO124" i="41" s="1"/>
  <c r="AP124" i="41" s="1"/>
  <c r="W124" i="41"/>
  <c r="K114" i="41"/>
  <c r="G112" i="41"/>
  <c r="K115" i="41"/>
  <c r="AG43" i="39"/>
  <c r="Q119" i="48"/>
  <c r="Q117" i="48"/>
  <c r="W131" i="59"/>
  <c r="Y132" i="59"/>
  <c r="Y131" i="59"/>
  <c r="W132" i="59"/>
  <c r="T78" i="47"/>
  <c r="V78" i="47"/>
  <c r="B136" i="26"/>
  <c r="A141" i="26"/>
  <c r="A137" i="26"/>
  <c r="X112" i="47"/>
  <c r="AJ129" i="33"/>
  <c r="AJ130" i="33"/>
  <c r="O129" i="29"/>
  <c r="P128" i="29"/>
  <c r="Q128" i="29" s="1"/>
  <c r="O149" i="59"/>
  <c r="P148" i="59"/>
  <c r="Q148" i="59" s="1"/>
  <c r="AA120" i="46"/>
  <c r="AO120" i="46" s="1"/>
  <c r="AP120" i="46" s="1"/>
  <c r="W120" i="46"/>
  <c r="AA119" i="46"/>
  <c r="AO119" i="46" s="1"/>
  <c r="AP119" i="46" s="1"/>
  <c r="W119" i="46"/>
  <c r="C117" i="31"/>
  <c r="G118" i="31"/>
  <c r="AA14" i="23"/>
  <c r="AG14" i="23" s="1"/>
  <c r="A138" i="31"/>
  <c r="B137" i="31"/>
  <c r="AA120" i="31"/>
  <c r="AO120" i="31" s="1"/>
  <c r="AP120" i="31" s="1"/>
  <c r="W120" i="31"/>
  <c r="AA119" i="31"/>
  <c r="AO119" i="31" s="1"/>
  <c r="AP119" i="31" s="1"/>
  <c r="W119" i="31"/>
  <c r="C123" i="49"/>
  <c r="C124" i="49"/>
  <c r="AG60" i="43"/>
  <c r="AE95" i="49"/>
  <c r="AI94" i="49" s="1"/>
  <c r="AG93" i="49"/>
  <c r="AG95" i="49" s="1"/>
  <c r="AJ129" i="36"/>
  <c r="AJ130" i="36"/>
  <c r="Q137" i="59"/>
  <c r="Q135" i="59"/>
  <c r="O128" i="33"/>
  <c r="P127" i="33"/>
  <c r="A130" i="50"/>
  <c r="B130" i="50" s="1"/>
  <c r="B129" i="50"/>
  <c r="P148" i="32"/>
  <c r="Q148" i="32" s="1"/>
  <c r="O149" i="32"/>
  <c r="X107" i="45"/>
  <c r="G113" i="43"/>
  <c r="C112" i="43"/>
  <c r="H8" i="15"/>
  <c r="I8" i="15" s="1"/>
  <c r="D8" i="15"/>
  <c r="F8" i="15" s="1"/>
  <c r="AA120" i="34"/>
  <c r="AO120" i="34" s="1"/>
  <c r="AP120" i="34" s="1"/>
  <c r="W120" i="34"/>
  <c r="AA119" i="34"/>
  <c r="AO119" i="34" s="1"/>
  <c r="AP119" i="34" s="1"/>
  <c r="W119" i="34"/>
  <c r="K115" i="31"/>
  <c r="K114" i="31"/>
  <c r="G112" i="31"/>
  <c r="B141" i="50"/>
  <c r="A146" i="50"/>
  <c r="A142" i="50"/>
  <c r="O120" i="27"/>
  <c r="P120" i="27" s="1"/>
  <c r="P119" i="27"/>
  <c r="AA125" i="35"/>
  <c r="AO125" i="35" s="1"/>
  <c r="AP125" i="35" s="1"/>
  <c r="W125" i="35"/>
  <c r="AA124" i="35"/>
  <c r="AO124" i="35" s="1"/>
  <c r="AP124" i="35" s="1"/>
  <c r="W124" i="35"/>
  <c r="H10" i="17"/>
  <c r="I10" i="17" s="1"/>
  <c r="D10" i="17"/>
  <c r="F10" i="17" s="1"/>
  <c r="G10" i="17" s="1"/>
  <c r="AC134" i="50"/>
  <c r="AD134" i="50" s="1"/>
  <c r="AD133" i="50"/>
  <c r="AC138" i="50"/>
  <c r="X112" i="35"/>
  <c r="K115" i="47"/>
  <c r="K114" i="47"/>
  <c r="G112" i="47"/>
  <c r="B136" i="39"/>
  <c r="A141" i="39"/>
  <c r="A137" i="39"/>
  <c r="B136" i="46"/>
  <c r="A137" i="46"/>
  <c r="A141" i="46"/>
  <c r="P131" i="37"/>
  <c r="O136" i="37"/>
  <c r="O132" i="37"/>
  <c r="A130" i="44"/>
  <c r="B130" i="44" s="1"/>
  <c r="B129" i="44"/>
  <c r="H102" i="50"/>
  <c r="Y110" i="49"/>
  <c r="Y109" i="49"/>
  <c r="M115" i="45"/>
  <c r="I115" i="45"/>
  <c r="M114" i="45"/>
  <c r="G114" i="45"/>
  <c r="I114" i="45"/>
  <c r="B132" i="30"/>
  <c r="A133" i="30"/>
  <c r="H9" i="16"/>
  <c r="I9" i="16" s="1"/>
  <c r="D9" i="16"/>
  <c r="F9" i="16" s="1"/>
  <c r="G9" i="16" s="1"/>
  <c r="AJ129" i="49"/>
  <c r="AJ130" i="49"/>
  <c r="C112" i="46"/>
  <c r="G113" i="46"/>
  <c r="C124" i="47"/>
  <c r="C123" i="47"/>
  <c r="G107" i="48"/>
  <c r="K110" i="48"/>
  <c r="K109" i="48"/>
  <c r="M120" i="29"/>
  <c r="I120" i="29"/>
  <c r="G119" i="29"/>
  <c r="M119" i="29"/>
  <c r="I119" i="29"/>
  <c r="B141" i="32"/>
  <c r="A146" i="32"/>
  <c r="A142" i="32"/>
  <c r="AG48" i="40"/>
  <c r="AF7" i="17"/>
  <c r="AC138" i="26"/>
  <c r="AC134" i="26"/>
  <c r="AD134" i="26" s="1"/>
  <c r="AD133" i="26"/>
  <c r="M114" i="30"/>
  <c r="I114" i="30"/>
  <c r="M115" i="30"/>
  <c r="I115" i="30"/>
  <c r="G114" i="30"/>
  <c r="A146" i="49"/>
  <c r="A142" i="49"/>
  <c r="B141" i="49"/>
  <c r="Y110" i="37"/>
  <c r="Y109" i="37"/>
  <c r="AK39" i="41"/>
  <c r="AM39" i="41" s="1"/>
  <c r="AS39" i="41" s="1"/>
  <c r="Z39" i="41"/>
  <c r="AB39" i="41" s="1"/>
  <c r="L44" i="41"/>
  <c r="AR94" i="27"/>
  <c r="AR95" i="27"/>
  <c r="AJ130" i="37"/>
  <c r="AJ129" i="37"/>
  <c r="AP8" i="61"/>
  <c r="C15" i="46"/>
  <c r="B8" i="14"/>
  <c r="AP8" i="14"/>
  <c r="C119" i="26"/>
  <c r="C118" i="26"/>
  <c r="A134" i="50"/>
  <c r="B133" i="50"/>
  <c r="A146" i="27"/>
  <c r="A142" i="27"/>
  <c r="B141" i="27"/>
  <c r="O128" i="50"/>
  <c r="P127" i="50"/>
  <c r="O128" i="44"/>
  <c r="P127" i="44"/>
  <c r="P131" i="39"/>
  <c r="O136" i="39"/>
  <c r="O132" i="39"/>
  <c r="AC134" i="42"/>
  <c r="AD134" i="42" s="1"/>
  <c r="AD133" i="42"/>
  <c r="AC138" i="42"/>
  <c r="O124" i="28"/>
  <c r="P123" i="28"/>
  <c r="Q123" i="28" s="1"/>
  <c r="Y115" i="26"/>
  <c r="Y114" i="26"/>
  <c r="O129" i="42"/>
  <c r="P128" i="42"/>
  <c r="Q128" i="42" s="1"/>
  <c r="AI127" i="37"/>
  <c r="AL129" i="37"/>
  <c r="AH129" i="37"/>
  <c r="AL130" i="37"/>
  <c r="AH130" i="37"/>
  <c r="AV7" i="14"/>
  <c r="X11" i="20"/>
  <c r="AA11" i="20"/>
  <c r="X10" i="20"/>
  <c r="X112" i="41"/>
  <c r="X107" i="33"/>
  <c r="X107" i="44"/>
  <c r="C123" i="41"/>
  <c r="C124" i="41"/>
  <c r="A130" i="33"/>
  <c r="B130" i="33" s="1"/>
  <c r="B129" i="33"/>
  <c r="P131" i="50"/>
  <c r="O136" i="50"/>
  <c r="O132" i="50"/>
  <c r="M120" i="41"/>
  <c r="I120" i="41"/>
  <c r="G119" i="41"/>
  <c r="M119" i="41"/>
  <c r="I119" i="41"/>
  <c r="AJ124" i="44"/>
  <c r="AJ125" i="44"/>
  <c r="AJ129" i="30"/>
  <c r="AJ130" i="30"/>
  <c r="O128" i="34"/>
  <c r="P127" i="34"/>
  <c r="F42" i="38"/>
  <c r="F38" i="38"/>
  <c r="A134" i="35"/>
  <c r="B133" i="35"/>
  <c r="AJ129" i="27"/>
  <c r="AJ130" i="27"/>
  <c r="J54" i="43"/>
  <c r="AC129" i="38"/>
  <c r="AD129" i="38" s="1"/>
  <c r="AD128" i="38"/>
  <c r="AC133" i="38"/>
  <c r="O120" i="49"/>
  <c r="P120" i="49" s="1"/>
  <c r="P119" i="49"/>
  <c r="P132" i="36"/>
  <c r="O133" i="36"/>
  <c r="V54" i="43"/>
  <c r="V55" i="43" s="1"/>
  <c r="T54" i="43"/>
  <c r="T55" i="43" s="1"/>
  <c r="X54" i="43" s="1"/>
  <c r="AG63" i="43"/>
  <c r="O124" i="45"/>
  <c r="P123" i="45"/>
  <c r="Q123" i="45" s="1"/>
  <c r="A146" i="33"/>
  <c r="A142" i="33"/>
  <c r="B141" i="33"/>
  <c r="A164" i="59"/>
  <c r="B158" i="59"/>
  <c r="A159" i="59"/>
  <c r="A146" i="44"/>
  <c r="A142" i="44"/>
  <c r="B141" i="44"/>
  <c r="O137" i="48"/>
  <c r="P136" i="48"/>
  <c r="O141" i="48"/>
  <c r="AE64" i="43"/>
  <c r="AG64" i="43" s="1"/>
  <c r="AE68" i="43"/>
  <c r="R63" i="43"/>
  <c r="R59" i="43"/>
  <c r="D64" i="43"/>
  <c r="F64" i="43" s="1"/>
  <c r="H64" i="43" s="1"/>
  <c r="H13" i="20"/>
  <c r="I13" i="20" s="1"/>
  <c r="D13" i="20"/>
  <c r="F13" i="20" s="1"/>
  <c r="R43" i="39"/>
  <c r="AE44" i="39"/>
  <c r="AG44" i="39" s="1"/>
  <c r="AE48" i="39"/>
  <c r="D44" i="39"/>
  <c r="R39" i="39"/>
  <c r="D48" i="39"/>
  <c r="F48" i="39" s="1"/>
  <c r="H48" i="39" s="1"/>
  <c r="AG9" i="53"/>
  <c r="B132" i="45"/>
  <c r="A133" i="45"/>
  <c r="A134" i="49"/>
  <c r="B133" i="49"/>
  <c r="T44" i="41"/>
  <c r="T45" i="41" s="1"/>
  <c r="X44" i="41" s="1"/>
  <c r="V44" i="41"/>
  <c r="V45" i="41" s="1"/>
  <c r="AJ140" i="40"/>
  <c r="AJ139" i="40"/>
  <c r="C136" i="59"/>
  <c r="C137" i="59"/>
  <c r="O125" i="29"/>
  <c r="P125" i="29" s="1"/>
  <c r="P124" i="29"/>
  <c r="P127" i="43"/>
  <c r="O128" i="43"/>
  <c r="C119" i="37"/>
  <c r="C118" i="37"/>
  <c r="AV12" i="53"/>
  <c r="AK13" i="61"/>
  <c r="C10" i="41"/>
  <c r="B13" i="19"/>
  <c r="AP13" i="19"/>
  <c r="AP13" i="53"/>
  <c r="B13" i="53"/>
  <c r="H42" i="39"/>
  <c r="A134" i="32"/>
  <c r="B133" i="32"/>
  <c r="F64" i="44"/>
  <c r="J62" i="44"/>
  <c r="AJ125" i="29"/>
  <c r="AJ124" i="29"/>
  <c r="M120" i="28"/>
  <c r="I120" i="28"/>
  <c r="G119" i="28"/>
  <c r="M119" i="28"/>
  <c r="I119" i="28"/>
  <c r="O124" i="39"/>
  <c r="P123" i="39"/>
  <c r="Q123" i="39" s="1"/>
  <c r="O141" i="41"/>
  <c r="O137" i="41"/>
  <c r="P136" i="41"/>
  <c r="AV16" i="23"/>
  <c r="P119" i="37"/>
  <c r="O120" i="37"/>
  <c r="P120" i="37" s="1"/>
  <c r="I126" i="59"/>
  <c r="G123" i="59"/>
  <c r="K125" i="59"/>
  <c r="K126" i="59"/>
  <c r="I125" i="59"/>
  <c r="AJ130" i="32"/>
  <c r="AJ129" i="32"/>
  <c r="K115" i="33"/>
  <c r="K114" i="33"/>
  <c r="G112" i="33"/>
  <c r="C117" i="33"/>
  <c r="G118" i="33"/>
  <c r="AA4" i="13"/>
  <c r="G107" i="39"/>
  <c r="K109" i="39"/>
  <c r="K110" i="39"/>
  <c r="AF18" i="61"/>
  <c r="B18" i="24"/>
  <c r="AP18" i="24"/>
  <c r="C5" i="36"/>
  <c r="X112" i="38"/>
  <c r="AL124" i="41"/>
  <c r="AH124" i="41"/>
  <c r="AL125" i="41"/>
  <c r="AH125" i="41"/>
  <c r="AI122" i="41"/>
  <c r="AA125" i="36"/>
  <c r="AO125" i="36" s="1"/>
  <c r="AP125" i="36" s="1"/>
  <c r="W125" i="36"/>
  <c r="AA124" i="36"/>
  <c r="AO124" i="36" s="1"/>
  <c r="AP124" i="36" s="1"/>
  <c r="W124" i="36"/>
  <c r="V64" i="46"/>
  <c r="V65" i="46" s="1"/>
  <c r="T64" i="46"/>
  <c r="T65" i="46" s="1"/>
  <c r="X64" i="46" s="1"/>
  <c r="X107" i="27"/>
  <c r="AE89" i="48"/>
  <c r="AG89" i="48" s="1"/>
  <c r="AE93" i="48"/>
  <c r="R88" i="48"/>
  <c r="D89" i="48"/>
  <c r="P127" i="49"/>
  <c r="O128" i="49"/>
  <c r="P132" i="38"/>
  <c r="O133" i="38"/>
  <c r="C117" i="27"/>
  <c r="G118" i="27"/>
  <c r="G10" i="53"/>
  <c r="AC134" i="31"/>
  <c r="AD134" i="31" s="1"/>
  <c r="AD133" i="31"/>
  <c r="AC138" i="31"/>
  <c r="AJ130" i="39"/>
  <c r="AJ129" i="39"/>
  <c r="AI127" i="34"/>
  <c r="AL129" i="34"/>
  <c r="AH129" i="34"/>
  <c r="AL130" i="34"/>
  <c r="AH130" i="34"/>
  <c r="A138" i="42"/>
  <c r="B137" i="42"/>
  <c r="Q119" i="30"/>
  <c r="Q117" i="30"/>
  <c r="Q112" i="40"/>
  <c r="Q114" i="40"/>
  <c r="H14" i="21"/>
  <c r="I14" i="21" s="1"/>
  <c r="D14" i="21"/>
  <c r="F14" i="21" s="1"/>
  <c r="G14" i="21" s="1"/>
  <c r="C124" i="31"/>
  <c r="C123" i="31"/>
  <c r="K114" i="28"/>
  <c r="G112" i="28"/>
  <c r="K115" i="28"/>
  <c r="AC133" i="47"/>
  <c r="AC129" i="47"/>
  <c r="AD129" i="47" s="1"/>
  <c r="AD128" i="47"/>
  <c r="G9" i="18"/>
  <c r="X107" i="39"/>
  <c r="O128" i="40"/>
  <c r="P127" i="40"/>
  <c r="A133" i="36"/>
  <c r="B132" i="36"/>
  <c r="X6" i="15"/>
  <c r="X112" i="48"/>
  <c r="M120" i="47"/>
  <c r="I119" i="47"/>
  <c r="M119" i="47"/>
  <c r="G119" i="47"/>
  <c r="I120" i="47"/>
  <c r="H102" i="49"/>
  <c r="F62" i="42"/>
  <c r="AG58" i="42"/>
  <c r="AI127" i="28"/>
  <c r="AL129" i="28"/>
  <c r="AH129" i="28"/>
  <c r="AL130" i="28"/>
  <c r="AH130" i="28"/>
  <c r="AA125" i="42"/>
  <c r="AO125" i="42" s="1"/>
  <c r="AP125" i="42" s="1"/>
  <c r="W125" i="42"/>
  <c r="AA124" i="42"/>
  <c r="AO124" i="42" s="1"/>
  <c r="AP124" i="42" s="1"/>
  <c r="W124" i="42"/>
  <c r="G118" i="42"/>
  <c r="C117" i="42"/>
  <c r="G113" i="26"/>
  <c r="C112" i="26"/>
  <c r="M114" i="36"/>
  <c r="I114" i="36"/>
  <c r="M115" i="36"/>
  <c r="I115" i="36"/>
  <c r="G114" i="36"/>
  <c r="AS5" i="61"/>
  <c r="B5" i="11"/>
  <c r="C18" i="49"/>
  <c r="AP5" i="11"/>
  <c r="O125" i="41"/>
  <c r="P125" i="41" s="1"/>
  <c r="P124" i="41"/>
  <c r="AF10" i="20"/>
  <c r="O129" i="41"/>
  <c r="P128" i="41"/>
  <c r="Q128" i="41" s="1"/>
  <c r="F47" i="39"/>
  <c r="V38" i="39"/>
  <c r="T38" i="39"/>
  <c r="X129" i="59"/>
  <c r="V74" i="47"/>
  <c r="V75" i="47" s="1"/>
  <c r="T74" i="47"/>
  <c r="T75" i="47" s="1"/>
  <c r="X74" i="47" s="1"/>
  <c r="K115" i="44"/>
  <c r="K114" i="44"/>
  <c r="G112" i="44"/>
  <c r="G113" i="48"/>
  <c r="C112" i="48"/>
  <c r="O125" i="48"/>
  <c r="P125" i="48" s="1"/>
  <c r="P124" i="48"/>
  <c r="F84" i="48"/>
  <c r="J82" i="48"/>
  <c r="K114" i="29"/>
  <c r="G112" i="29"/>
  <c r="K115" i="29"/>
  <c r="G107" i="43"/>
  <c r="K110" i="43"/>
  <c r="K109" i="43"/>
  <c r="AL130" i="33"/>
  <c r="AH130" i="33"/>
  <c r="AI127" i="33"/>
  <c r="AL129" i="33"/>
  <c r="AH129" i="33"/>
  <c r="H72" i="44"/>
  <c r="P119" i="46"/>
  <c r="O120" i="46"/>
  <c r="P120" i="46" s="1"/>
  <c r="M119" i="31"/>
  <c r="I119" i="31"/>
  <c r="M120" i="31"/>
  <c r="I120" i="31"/>
  <c r="G119" i="31"/>
  <c r="A146" i="31"/>
  <c r="A142" i="31"/>
  <c r="B141" i="31"/>
  <c r="A134" i="29"/>
  <c r="B133" i="29"/>
  <c r="Y115" i="42"/>
  <c r="Y114" i="42"/>
  <c r="AA8" i="16"/>
  <c r="AG8" i="16" s="1"/>
  <c r="F89" i="49"/>
  <c r="J87" i="49"/>
  <c r="O129" i="38"/>
  <c r="P128" i="38"/>
  <c r="Q128" i="38" s="1"/>
  <c r="AL130" i="36"/>
  <c r="AH130" i="36"/>
  <c r="AL129" i="36"/>
  <c r="AH129" i="36"/>
  <c r="AI127" i="36"/>
  <c r="O136" i="45"/>
  <c r="P131" i="45"/>
  <c r="O132" i="45"/>
  <c r="A134" i="42"/>
  <c r="B133" i="42"/>
  <c r="C124" i="33"/>
  <c r="C123" i="33"/>
  <c r="M119" i="49"/>
  <c r="I119" i="49"/>
  <c r="M120" i="49"/>
  <c r="I120" i="49"/>
  <c r="G119" i="49"/>
  <c r="AR95" i="40"/>
  <c r="O120" i="43"/>
  <c r="P120" i="43" s="1"/>
  <c r="P119" i="43"/>
  <c r="J77" i="47"/>
  <c r="A130" i="27"/>
  <c r="B130" i="27" s="1"/>
  <c r="B129" i="27"/>
  <c r="Y110" i="45"/>
  <c r="Y109" i="45"/>
  <c r="M114" i="43"/>
  <c r="I114" i="43"/>
  <c r="M115" i="43"/>
  <c r="I115" i="43"/>
  <c r="G114" i="43"/>
  <c r="AE79" i="46"/>
  <c r="AG79" i="46" s="1"/>
  <c r="AE83" i="46"/>
  <c r="R78" i="46"/>
  <c r="D79" i="46"/>
  <c r="F79" i="46" s="1"/>
  <c r="H79" i="46" s="1"/>
  <c r="R74" i="46"/>
  <c r="P119" i="34"/>
  <c r="O120" i="34"/>
  <c r="P120" i="34" s="1"/>
  <c r="AA120" i="27"/>
  <c r="AO120" i="27" s="1"/>
  <c r="AP120" i="27" s="1"/>
  <c r="W120" i="27"/>
  <c r="AA119" i="27"/>
  <c r="AO119" i="27" s="1"/>
  <c r="AP119" i="27" s="1"/>
  <c r="W119" i="27"/>
  <c r="O125" i="35"/>
  <c r="P125" i="35" s="1"/>
  <c r="P124" i="35"/>
  <c r="AE69" i="44"/>
  <c r="AG69" i="44" s="1"/>
  <c r="R68" i="44"/>
  <c r="AE73" i="44"/>
  <c r="D69" i="44"/>
  <c r="AJ130" i="50"/>
  <c r="AJ129" i="50"/>
  <c r="O137" i="30"/>
  <c r="P136" i="30"/>
  <c r="O141" i="30"/>
  <c r="Y115" i="35"/>
  <c r="Y114" i="35"/>
  <c r="B132" i="46"/>
  <c r="A133" i="46"/>
  <c r="AJ129" i="48"/>
  <c r="AJ130" i="48"/>
  <c r="X107" i="49"/>
  <c r="A130" i="42"/>
  <c r="B130" i="42" s="1"/>
  <c r="B129" i="42"/>
  <c r="A130" i="38"/>
  <c r="B130" i="38" s="1"/>
  <c r="B129" i="38"/>
  <c r="B136" i="30"/>
  <c r="A141" i="30"/>
  <c r="A137" i="30"/>
  <c r="AV9" i="16"/>
  <c r="O132" i="27"/>
  <c r="P131" i="27"/>
  <c r="O136" i="27"/>
  <c r="G107" i="30"/>
  <c r="K110" i="30"/>
  <c r="K109" i="30"/>
  <c r="G8" i="17"/>
  <c r="A125" i="30"/>
  <c r="B125" i="30" s="1"/>
  <c r="B124" i="30"/>
  <c r="AL130" i="49"/>
  <c r="AH130" i="49"/>
  <c r="AL129" i="49"/>
  <c r="AH129" i="49"/>
  <c r="AI127" i="49"/>
  <c r="M115" i="46"/>
  <c r="I115" i="46"/>
  <c r="G114" i="46"/>
  <c r="M114" i="46"/>
  <c r="I114" i="46"/>
  <c r="Q112" i="39"/>
  <c r="Q114" i="39"/>
  <c r="C117" i="29"/>
  <c r="G118" i="29"/>
  <c r="B137" i="32"/>
  <c r="A138" i="32"/>
  <c r="T43" i="40"/>
  <c r="V43" i="40"/>
  <c r="M131" i="59"/>
  <c r="M132" i="59"/>
  <c r="G131" i="59"/>
  <c r="C119" i="30"/>
  <c r="C118" i="30"/>
  <c r="AA120" i="28"/>
  <c r="AO120" i="28" s="1"/>
  <c r="AP120" i="28" s="1"/>
  <c r="W120" i="28"/>
  <c r="AA119" i="28"/>
  <c r="AO119" i="28" s="1"/>
  <c r="AP119" i="28" s="1"/>
  <c r="W119" i="28"/>
  <c r="K114" i="35"/>
  <c r="G112" i="35"/>
  <c r="K115" i="35"/>
  <c r="AR94" i="45"/>
  <c r="AR95" i="45"/>
  <c r="AK40" i="41"/>
  <c r="AM40" i="41" s="1"/>
  <c r="AS40" i="41" s="1"/>
  <c r="Z40" i="41"/>
  <c r="L45" i="41"/>
  <c r="AR95" i="37"/>
  <c r="P127" i="39"/>
  <c r="O128" i="39"/>
  <c r="B141" i="40"/>
  <c r="A146" i="40"/>
  <c r="A142" i="40"/>
  <c r="AI147" i="46"/>
  <c r="AL149" i="46"/>
  <c r="AH149" i="46"/>
  <c r="AH150" i="46"/>
  <c r="AL150" i="46"/>
  <c r="Y110" i="44"/>
  <c r="Y109" i="44"/>
  <c r="AJ130" i="42"/>
  <c r="AJ129" i="42"/>
  <c r="C123" i="38"/>
  <c r="C124" i="38"/>
  <c r="J49" i="42"/>
  <c r="J50" i="42"/>
  <c r="X112" i="26"/>
  <c r="H57" i="42"/>
  <c r="AL150" i="59"/>
  <c r="AL149" i="59"/>
  <c r="H7" i="14"/>
  <c r="I7" i="14" s="1"/>
  <c r="D7" i="14"/>
  <c r="F7" i="14" s="1"/>
  <c r="G7" i="14" s="1"/>
  <c r="A130" i="29"/>
  <c r="B130" i="29" s="1"/>
  <c r="B129" i="29"/>
  <c r="H64" i="45"/>
  <c r="H65" i="45" s="1"/>
  <c r="J65" i="45" s="1"/>
  <c r="F65" i="45"/>
  <c r="J64" i="45" s="1"/>
  <c r="AA13" i="22"/>
  <c r="AG13" i="22" s="1"/>
  <c r="X12" i="22"/>
  <c r="F102" i="48"/>
  <c r="Y115" i="41"/>
  <c r="Y114" i="41"/>
  <c r="A129" i="48"/>
  <c r="B128" i="48"/>
  <c r="C117" i="41"/>
  <c r="G118" i="41"/>
  <c r="O124" i="37"/>
  <c r="P123" i="37"/>
  <c r="Q123" i="37" s="1"/>
  <c r="A125" i="43"/>
  <c r="B125" i="43" s="1"/>
  <c r="B124" i="43"/>
  <c r="AL125" i="44"/>
  <c r="AH125" i="44"/>
  <c r="AI122" i="44"/>
  <c r="AL124" i="44"/>
  <c r="AH124" i="44"/>
  <c r="AL130" i="30"/>
  <c r="AH130" i="30"/>
  <c r="AI127" i="30"/>
  <c r="AL129" i="30"/>
  <c r="AH129" i="30"/>
  <c r="P131" i="34"/>
  <c r="O136" i="34"/>
  <c r="O132" i="34"/>
  <c r="V37" i="38"/>
  <c r="T37" i="38"/>
  <c r="AG34" i="38"/>
  <c r="AG35" i="38" s="1"/>
  <c r="AE35" i="38"/>
  <c r="AI34" i="38" s="1"/>
  <c r="AM34" i="38" s="1"/>
  <c r="AS34" i="38" s="1"/>
  <c r="C124" i="44"/>
  <c r="C123" i="44"/>
  <c r="P132" i="26"/>
  <c r="O133" i="26"/>
  <c r="AL130" i="27"/>
  <c r="AH130" i="27"/>
  <c r="AI127" i="27"/>
  <c r="AL129" i="27"/>
  <c r="AH129" i="27"/>
  <c r="AJ125" i="38"/>
  <c r="AJ124" i="38"/>
  <c r="X40" i="41"/>
  <c r="AA120" i="49"/>
  <c r="AO120" i="49" s="1"/>
  <c r="AP120" i="49" s="1"/>
  <c r="W120" i="49"/>
  <c r="AA119" i="49"/>
  <c r="AO119" i="49" s="1"/>
  <c r="AP119" i="49" s="1"/>
  <c r="W119" i="49"/>
  <c r="J70" i="46"/>
  <c r="J69" i="46"/>
  <c r="W145" i="32"/>
  <c r="AA144" i="32"/>
  <c r="AO144" i="32" s="1"/>
  <c r="AP144" i="32" s="1"/>
  <c r="W144" i="32"/>
  <c r="AA145" i="32"/>
  <c r="AO145" i="32" s="1"/>
  <c r="AP145" i="32" s="1"/>
  <c r="J90" i="50"/>
  <c r="J89" i="50"/>
  <c r="O128" i="46"/>
  <c r="P127" i="46"/>
  <c r="F72" i="43"/>
  <c r="F59" i="43"/>
  <c r="J57" i="43"/>
  <c r="B153" i="59"/>
  <c r="A154" i="59"/>
  <c r="P124" i="47"/>
  <c r="O125" i="47"/>
  <c r="P125" i="47" s="1"/>
  <c r="H11" i="18"/>
  <c r="I11" i="18" s="1"/>
  <c r="D11" i="18"/>
  <c r="AV13" i="20"/>
  <c r="H15" i="22"/>
  <c r="I15" i="22" s="1"/>
  <c r="D15" i="22"/>
  <c r="F15" i="22" s="1"/>
  <c r="G15" i="22" s="1"/>
  <c r="O125" i="30"/>
  <c r="P125" i="30" s="1"/>
  <c r="P124" i="30"/>
  <c r="O128" i="31"/>
  <c r="P127" i="31"/>
  <c r="B143" i="59"/>
  <c r="A144" i="59"/>
  <c r="B144" i="59" s="1"/>
  <c r="A141" i="45"/>
  <c r="A137" i="45"/>
  <c r="B136" i="45"/>
  <c r="Q112" i="37"/>
  <c r="Q114" i="37"/>
  <c r="AC134" i="45"/>
  <c r="AD134" i="45" s="1"/>
  <c r="AD133" i="45"/>
  <c r="AC138" i="45"/>
  <c r="AI137" i="40"/>
  <c r="AL139" i="40"/>
  <c r="AH139" i="40"/>
  <c r="AL140" i="40"/>
  <c r="AH140" i="40"/>
  <c r="AF13" i="23"/>
  <c r="K110" i="36"/>
  <c r="K109" i="36"/>
  <c r="G107" i="36"/>
  <c r="AV12" i="19"/>
  <c r="V59" i="44"/>
  <c r="V60" i="44" s="1"/>
  <c r="T59" i="44"/>
  <c r="T60" i="44" s="1"/>
  <c r="X59" i="44" s="1"/>
  <c r="B137" i="34"/>
  <c r="A138" i="34"/>
  <c r="AL124" i="29"/>
  <c r="AH124" i="29"/>
  <c r="AL125" i="29"/>
  <c r="AH125" i="29"/>
  <c r="AI122" i="29"/>
  <c r="AR6" i="61"/>
  <c r="B6" i="12"/>
  <c r="AP6" i="12"/>
  <c r="C17" i="48"/>
  <c r="AE94" i="48" s="1"/>
  <c r="AG94" i="48" s="1"/>
  <c r="B137" i="38"/>
  <c r="A138" i="38"/>
  <c r="H16" i="23"/>
  <c r="I16" i="23" s="1"/>
  <c r="D16" i="23"/>
  <c r="F16" i="23" s="1"/>
  <c r="G16" i="23" s="1"/>
  <c r="H74" i="47"/>
  <c r="H75" i="47" s="1"/>
  <c r="J75" i="47" s="1"/>
  <c r="F75" i="47"/>
  <c r="J74" i="47" s="1"/>
  <c r="K115" i="27"/>
  <c r="K114" i="27"/>
  <c r="G112" i="27"/>
  <c r="AA120" i="40"/>
  <c r="AO120" i="40" s="1"/>
  <c r="AP120" i="40" s="1"/>
  <c r="W120" i="40"/>
  <c r="AA119" i="40"/>
  <c r="AO119" i="40" s="1"/>
  <c r="AP119" i="40" s="1"/>
  <c r="W119" i="40"/>
  <c r="A125" i="36"/>
  <c r="B125" i="36" s="1"/>
  <c r="B124" i="36"/>
  <c r="G118" i="32"/>
  <c r="C117" i="32"/>
  <c r="C118" i="45"/>
  <c r="C119" i="45"/>
  <c r="AI127" i="32"/>
  <c r="AL129" i="32"/>
  <c r="AH129" i="32"/>
  <c r="AL130" i="32"/>
  <c r="AH130" i="32"/>
  <c r="M119" i="33"/>
  <c r="I119" i="33"/>
  <c r="M120" i="33"/>
  <c r="I120" i="33"/>
  <c r="G119" i="33"/>
  <c r="P153" i="59"/>
  <c r="O154" i="59"/>
  <c r="X107" i="46"/>
  <c r="F69" i="45"/>
  <c r="J67" i="45"/>
  <c r="C124" i="27"/>
  <c r="C123" i="27"/>
  <c r="C117" i="50"/>
  <c r="G118" i="50"/>
  <c r="O124" i="34"/>
  <c r="P123" i="34"/>
  <c r="Q123" i="34" s="1"/>
  <c r="D17" i="24"/>
  <c r="F17" i="24" s="1"/>
  <c r="G17" i="24" s="1"/>
  <c r="H17" i="24"/>
  <c r="I17" i="24" s="1"/>
  <c r="Y115" i="38"/>
  <c r="Y114" i="38"/>
  <c r="X5" i="14"/>
  <c r="AA5" i="14"/>
  <c r="AG5" i="14" s="1"/>
  <c r="B132" i="37"/>
  <c r="A133" i="37"/>
  <c r="H44" i="41"/>
  <c r="H45" i="41" s="1"/>
  <c r="J45" i="41" s="1"/>
  <c r="F45" i="41"/>
  <c r="J44" i="41" s="1"/>
  <c r="F78" i="46"/>
  <c r="AG78" i="46"/>
  <c r="AQ7" i="61"/>
  <c r="C16" i="47"/>
  <c r="B7" i="13"/>
  <c r="AP7" i="13"/>
  <c r="O141" i="38"/>
  <c r="O137" i="38"/>
  <c r="P136" i="38"/>
  <c r="O124" i="46"/>
  <c r="P123" i="46"/>
  <c r="Q123" i="46" s="1"/>
  <c r="M119" i="27"/>
  <c r="I119" i="27"/>
  <c r="M120" i="27"/>
  <c r="I120" i="27"/>
  <c r="G119" i="27"/>
  <c r="A134" i="33"/>
  <c r="B133" i="33"/>
  <c r="AJ129" i="31"/>
  <c r="AJ130" i="31"/>
  <c r="AL130" i="39"/>
  <c r="AI127" i="39"/>
  <c r="AH129" i="39"/>
  <c r="AL129" i="39"/>
  <c r="AH130" i="39"/>
  <c r="K114" i="40"/>
  <c r="G112" i="40"/>
  <c r="K115" i="40"/>
  <c r="A146" i="42"/>
  <c r="A142" i="42"/>
  <c r="B141" i="42"/>
  <c r="Q117" i="38"/>
  <c r="Q119" i="38"/>
  <c r="A129" i="45"/>
  <c r="B128" i="45"/>
  <c r="AG6" i="16"/>
  <c r="R48" i="40"/>
  <c r="AE49" i="40"/>
  <c r="AG49" i="40" s="1"/>
  <c r="AE53" i="40"/>
  <c r="R44" i="40"/>
  <c r="D49" i="40"/>
  <c r="D57" i="40"/>
  <c r="R52" i="40"/>
  <c r="F107" i="50"/>
  <c r="Y110" i="43"/>
  <c r="Y109" i="43"/>
  <c r="B137" i="41"/>
  <c r="A138" i="41"/>
  <c r="AC129" i="35"/>
  <c r="AD129" i="35" s="1"/>
  <c r="AD128" i="35"/>
  <c r="AC133" i="35"/>
  <c r="Y110" i="39"/>
  <c r="Y109" i="39"/>
  <c r="P131" i="40"/>
  <c r="O136" i="40"/>
  <c r="O132" i="40"/>
  <c r="A141" i="36"/>
  <c r="A137" i="36"/>
  <c r="B136" i="36"/>
  <c r="X107" i="40"/>
  <c r="C124" i="34"/>
  <c r="C123" i="34"/>
  <c r="D112" i="50"/>
  <c r="K114" i="50"/>
  <c r="G112" i="50"/>
  <c r="K115" i="50"/>
  <c r="V57" i="42"/>
  <c r="T57" i="42"/>
  <c r="P123" i="31"/>
  <c r="Q123" i="31" s="1"/>
  <c r="O124" i="31"/>
  <c r="O125" i="42"/>
  <c r="P125" i="42" s="1"/>
  <c r="P124" i="42"/>
  <c r="M120" i="42"/>
  <c r="I120" i="42"/>
  <c r="G119" i="42"/>
  <c r="I119" i="42"/>
  <c r="M119" i="42"/>
  <c r="M114" i="26"/>
  <c r="I114" i="26"/>
  <c r="M115" i="26"/>
  <c r="I115" i="26"/>
  <c r="G114" i="26"/>
  <c r="C112" i="36"/>
  <c r="G113" i="36"/>
  <c r="H4" i="11"/>
  <c r="I4" i="11" s="1"/>
  <c r="D4" i="11"/>
  <c r="V42" i="39"/>
  <c r="T42" i="39"/>
  <c r="B137" i="28"/>
  <c r="A138" i="28"/>
  <c r="C117" i="34"/>
  <c r="G118" i="34"/>
  <c r="M114" i="48"/>
  <c r="I114" i="48"/>
  <c r="M115" i="48"/>
  <c r="I115" i="48"/>
  <c r="G114" i="48"/>
  <c r="AA125" i="48"/>
  <c r="AO125" i="48" s="1"/>
  <c r="AP125" i="48" s="1"/>
  <c r="W125" i="48"/>
  <c r="AA124" i="48"/>
  <c r="AO124" i="48" s="1"/>
  <c r="AP124" i="48" s="1"/>
  <c r="W124" i="48"/>
  <c r="V83" i="48"/>
  <c r="T83" i="48"/>
  <c r="A125" i="37"/>
  <c r="B125" i="37" s="1"/>
  <c r="B124" i="37"/>
  <c r="AG70" i="45"/>
  <c r="AI70" i="45" s="1"/>
  <c r="Q119" i="36"/>
  <c r="Q117" i="36"/>
  <c r="K115" i="49"/>
  <c r="K114" i="49"/>
  <c r="G112" i="49"/>
  <c r="AA125" i="38"/>
  <c r="AO125" i="38" s="1"/>
  <c r="AP125" i="38" s="1"/>
  <c r="W125" i="38"/>
  <c r="AA124" i="38"/>
  <c r="AO124" i="38" s="1"/>
  <c r="AP124" i="38" s="1"/>
  <c r="W124" i="38"/>
  <c r="AA144" i="59"/>
  <c r="AQ144" i="59" s="1"/>
  <c r="AR144" i="59" s="1"/>
  <c r="AA143" i="59"/>
  <c r="AQ143" i="59" s="1"/>
  <c r="AR143" i="59" s="1"/>
  <c r="M120" i="35"/>
  <c r="I120" i="35"/>
  <c r="G119" i="35"/>
  <c r="M119" i="35"/>
  <c r="I119" i="35"/>
  <c r="AA10" i="53"/>
  <c r="AG10" i="53" s="1"/>
  <c r="AG4" i="14"/>
  <c r="X112" i="42"/>
  <c r="F94" i="49"/>
  <c r="H94" i="49" s="1"/>
  <c r="J92" i="49"/>
  <c r="V88" i="49"/>
  <c r="T88" i="49"/>
  <c r="Q117" i="35"/>
  <c r="Q119" i="35"/>
  <c r="J37" i="39"/>
  <c r="J85" i="49"/>
  <c r="J84" i="49"/>
  <c r="O132" i="33"/>
  <c r="P131" i="33"/>
  <c r="O136" i="33"/>
  <c r="C117" i="49"/>
  <c r="G118" i="49"/>
  <c r="AA120" i="43"/>
  <c r="AO120" i="43" s="1"/>
  <c r="AP120" i="43" s="1"/>
  <c r="W120" i="43"/>
  <c r="AA119" i="43"/>
  <c r="AO119" i="43" s="1"/>
  <c r="AP119" i="43" s="1"/>
  <c r="W119" i="43"/>
  <c r="Y4" i="12"/>
  <c r="Y15" i="23"/>
  <c r="H78" i="47"/>
  <c r="H80" i="47" s="1"/>
  <c r="F80" i="47"/>
  <c r="A130" i="31"/>
  <c r="B130" i="31" s="1"/>
  <c r="B129" i="31"/>
  <c r="A134" i="28"/>
  <c r="B133" i="28"/>
  <c r="A125" i="48"/>
  <c r="B125" i="48" s="1"/>
  <c r="B124" i="48"/>
  <c r="F50" i="41"/>
  <c r="J49" i="41" s="1"/>
  <c r="O128" i="28"/>
  <c r="P127" i="28"/>
  <c r="C124" i="28"/>
  <c r="C123" i="28"/>
  <c r="AO9" i="61"/>
  <c r="B9" i="15"/>
  <c r="C14" i="45"/>
  <c r="AH10" i="45" s="1"/>
  <c r="AP9" i="15"/>
  <c r="A129" i="26"/>
  <c r="B128" i="26"/>
  <c r="AE55" i="42"/>
  <c r="AI54" i="42" s="1"/>
  <c r="P132" i="42"/>
  <c r="O133" i="42"/>
  <c r="W119" i="39"/>
  <c r="W120" i="39"/>
  <c r="AA119" i="39"/>
  <c r="AO119" i="39" s="1"/>
  <c r="AP119" i="39" s="1"/>
  <c r="AA120" i="39"/>
  <c r="AO120" i="39" s="1"/>
  <c r="AP120" i="39" s="1"/>
  <c r="O120" i="44"/>
  <c r="P120" i="44" s="1"/>
  <c r="P119" i="44"/>
  <c r="AM11" i="61"/>
  <c r="C12" i="43"/>
  <c r="B11" i="17"/>
  <c r="AP11" i="17"/>
  <c r="AI127" i="50"/>
  <c r="AL129" i="50"/>
  <c r="AH129" i="50"/>
  <c r="AL130" i="50"/>
  <c r="AH130" i="50"/>
  <c r="A134" i="31"/>
  <c r="B133" i="31"/>
  <c r="B132" i="48"/>
  <c r="A133" i="48"/>
  <c r="O124" i="40"/>
  <c r="P123" i="40"/>
  <c r="Q123" i="40" s="1"/>
  <c r="A129" i="36"/>
  <c r="B128" i="36"/>
  <c r="AL130" i="48"/>
  <c r="AH130" i="48"/>
  <c r="AI127" i="48"/>
  <c r="AL129" i="48"/>
  <c r="AH129" i="48"/>
  <c r="Q114" i="45"/>
  <c r="Q112" i="45"/>
  <c r="B137" i="35"/>
  <c r="A138" i="35"/>
  <c r="H62" i="43"/>
  <c r="A138" i="47"/>
  <c r="B137" i="47"/>
  <c r="AE74" i="45"/>
  <c r="AG74" i="45" s="1"/>
  <c r="AE78" i="45"/>
  <c r="R64" i="45"/>
  <c r="R73" i="45"/>
  <c r="D74" i="45"/>
  <c r="D78" i="45"/>
  <c r="Y5" i="13"/>
  <c r="J95" i="50"/>
  <c r="N95" i="50" s="1"/>
  <c r="AQ95" i="50" s="1"/>
  <c r="J94" i="50"/>
  <c r="N94" i="50" s="1"/>
  <c r="AQ94" i="50" s="1"/>
  <c r="P128" i="36"/>
  <c r="Q128" i="36" s="1"/>
  <c r="O129" i="36"/>
  <c r="Y11" i="19"/>
  <c r="Y115" i="36"/>
  <c r="Y114" i="36"/>
  <c r="Q117" i="41"/>
  <c r="Q119" i="41"/>
  <c r="G113" i="39"/>
  <c r="C112" i="39"/>
  <c r="A130" i="34"/>
  <c r="B130" i="34" s="1"/>
  <c r="B129" i="34"/>
  <c r="B148" i="59"/>
  <c r="A149" i="59"/>
  <c r="B132" i="43"/>
  <c r="A133" i="43"/>
  <c r="X112" i="29"/>
  <c r="K114" i="34"/>
  <c r="G112" i="34"/>
  <c r="K115" i="34"/>
  <c r="V35" i="39"/>
  <c r="X35" i="39" s="1"/>
  <c r="AB35" i="39" s="1"/>
  <c r="Q114" i="31"/>
  <c r="Q112" i="31"/>
  <c r="V39" i="40"/>
  <c r="V40" i="40" s="1"/>
  <c r="T39" i="40"/>
  <c r="T40" i="40" s="1"/>
  <c r="X39" i="40" s="1"/>
  <c r="C129" i="59"/>
  <c r="G130" i="59"/>
  <c r="A134" i="34"/>
  <c r="B133" i="34"/>
  <c r="AJ129" i="26"/>
  <c r="AJ130" i="26"/>
  <c r="P119" i="28"/>
  <c r="O120" i="28"/>
  <c r="P120" i="28" s="1"/>
  <c r="C119" i="48"/>
  <c r="C118" i="48"/>
  <c r="Q119" i="42"/>
  <c r="Q117" i="42"/>
  <c r="C118" i="36"/>
  <c r="C119" i="36"/>
  <c r="A130" i="32"/>
  <c r="B130" i="32" s="1"/>
  <c r="B129" i="32"/>
  <c r="AF8" i="17"/>
  <c r="AG15" i="24"/>
  <c r="X1" i="24"/>
  <c r="X7" i="16"/>
  <c r="AI85" i="48" l="1"/>
  <c r="D66" i="65"/>
  <c r="A66" i="65" s="1"/>
  <c r="V49" i="41"/>
  <c r="V50" i="41" s="1"/>
  <c r="AN11" i="50"/>
  <c r="J66" i="66"/>
  <c r="B66" i="65" s="1"/>
  <c r="J44" i="40"/>
  <c r="D73" i="66"/>
  <c r="B73" i="66" s="1"/>
  <c r="Y7" i="14"/>
  <c r="AP59" i="50"/>
  <c r="AP39" i="50"/>
  <c r="AT39" i="50" s="1"/>
  <c r="D6" i="50" s="1"/>
  <c r="V72" i="44"/>
  <c r="AI45" i="40"/>
  <c r="Z10" i="43"/>
  <c r="T93" i="49"/>
  <c r="X8" i="17"/>
  <c r="A105" i="66"/>
  <c r="B105" i="66"/>
  <c r="D148" i="66"/>
  <c r="B148" i="66" s="1"/>
  <c r="D128" i="66"/>
  <c r="D106" i="66"/>
  <c r="L115" i="66"/>
  <c r="I114" i="66"/>
  <c r="D114" i="65"/>
  <c r="A114" i="65" s="1"/>
  <c r="J114" i="66"/>
  <c r="B114" i="65" s="1"/>
  <c r="AN11" i="48"/>
  <c r="Y9" i="16"/>
  <c r="X8" i="16" s="1"/>
  <c r="T50" i="41"/>
  <c r="X49" i="41" s="1"/>
  <c r="L5" i="41"/>
  <c r="AP45" i="41" s="1"/>
  <c r="Z23" i="46"/>
  <c r="J173" i="66"/>
  <c r="B173" i="65" s="1"/>
  <c r="I173" i="66"/>
  <c r="D173" i="65"/>
  <c r="A173" i="65" s="1"/>
  <c r="D74" i="65"/>
  <c r="A74" i="65" s="1"/>
  <c r="I74" i="66"/>
  <c r="J74" i="66"/>
  <c r="B74" i="65" s="1"/>
  <c r="D88" i="65"/>
  <c r="A88" i="65" s="1"/>
  <c r="I88" i="66"/>
  <c r="J88" i="66"/>
  <c r="B88" i="65" s="1"/>
  <c r="J46" i="66"/>
  <c r="B46" i="65" s="1"/>
  <c r="D46" i="65"/>
  <c r="A46" i="65" s="1"/>
  <c r="I46" i="66"/>
  <c r="D70" i="66"/>
  <c r="L75" i="66"/>
  <c r="D83" i="66"/>
  <c r="L89" i="66"/>
  <c r="B69" i="66"/>
  <c r="A69" i="66"/>
  <c r="A82" i="66"/>
  <c r="B82" i="66"/>
  <c r="B43" i="66"/>
  <c r="A43" i="66"/>
  <c r="D122" i="66"/>
  <c r="AL10" i="45"/>
  <c r="AJ10" i="45"/>
  <c r="R84" i="47"/>
  <c r="V84" i="47" s="1"/>
  <c r="D98" i="47"/>
  <c r="F98" i="47" s="1"/>
  <c r="H98" i="47" s="1"/>
  <c r="R97" i="47"/>
  <c r="D102" i="47"/>
  <c r="F102" i="47" s="1"/>
  <c r="D56" i="66"/>
  <c r="L59" i="66"/>
  <c r="D67" i="41"/>
  <c r="F67" i="41" s="1"/>
  <c r="H67" i="41" s="1"/>
  <c r="AJ15" i="41"/>
  <c r="AL15" i="41" s="1"/>
  <c r="AH5" i="41"/>
  <c r="AJ5" i="41" s="1"/>
  <c r="AL5" i="41" s="1"/>
  <c r="AH9" i="41"/>
  <c r="T22" i="41"/>
  <c r="D18" i="66"/>
  <c r="L19" i="66"/>
  <c r="AL8" i="44"/>
  <c r="AJ8" i="44"/>
  <c r="V97" i="48"/>
  <c r="T97" i="48"/>
  <c r="H97" i="47"/>
  <c r="AJ8" i="41"/>
  <c r="AL8" i="41"/>
  <c r="AL14" i="41"/>
  <c r="AL16" i="41" s="1"/>
  <c r="AJ16" i="41"/>
  <c r="AN15" i="41" s="1"/>
  <c r="B17" i="66"/>
  <c r="A17" i="66"/>
  <c r="X28" i="41"/>
  <c r="B74" i="66"/>
  <c r="A74" i="66"/>
  <c r="B55" i="66"/>
  <c r="A55" i="66"/>
  <c r="D98" i="65"/>
  <c r="I98" i="66"/>
  <c r="J98" i="66"/>
  <c r="B98" i="65" s="1"/>
  <c r="AH10" i="46"/>
  <c r="AL10" i="46" s="1"/>
  <c r="R87" i="46"/>
  <c r="D97" i="46"/>
  <c r="F97" i="46" s="1"/>
  <c r="D108" i="50"/>
  <c r="F108" i="50" s="1"/>
  <c r="H108" i="50" s="1"/>
  <c r="R99" i="50"/>
  <c r="D37" i="66"/>
  <c r="L39" i="66"/>
  <c r="L159" i="66"/>
  <c r="AE108" i="50"/>
  <c r="AG108" i="50" s="1"/>
  <c r="AL4" i="44"/>
  <c r="V87" i="47"/>
  <c r="T87" i="47"/>
  <c r="D38" i="65"/>
  <c r="A38" i="65" s="1"/>
  <c r="I38" i="66"/>
  <c r="J38" i="66"/>
  <c r="B38" i="65" s="1"/>
  <c r="T89" i="50"/>
  <c r="T90" i="50" s="1"/>
  <c r="X89" i="50" s="1"/>
  <c r="V89" i="50"/>
  <c r="V90" i="50" s="1"/>
  <c r="AJ6" i="41"/>
  <c r="AL3" i="41"/>
  <c r="AL6" i="41" s="1"/>
  <c r="D158" i="65"/>
  <c r="A158" i="65" s="1"/>
  <c r="J158" i="66"/>
  <c r="B158" i="65" s="1"/>
  <c r="I158" i="66"/>
  <c r="D198" i="65"/>
  <c r="A198" i="65" s="1"/>
  <c r="I198" i="66"/>
  <c r="J198" i="66"/>
  <c r="B198" i="65" s="1"/>
  <c r="B93" i="66"/>
  <c r="A93" i="66"/>
  <c r="D94" i="66"/>
  <c r="L99" i="66"/>
  <c r="L139" i="66"/>
  <c r="D75" i="66"/>
  <c r="L79" i="66"/>
  <c r="R89" i="49"/>
  <c r="D103" i="49"/>
  <c r="F103" i="49" s="1"/>
  <c r="D107" i="49"/>
  <c r="F107" i="49" s="1"/>
  <c r="R102" i="49"/>
  <c r="AE104" i="50"/>
  <c r="AG104" i="50" s="1"/>
  <c r="D104" i="50"/>
  <c r="J102" i="50" s="1"/>
  <c r="X15" i="46"/>
  <c r="X16" i="46" s="1"/>
  <c r="Z16" i="46" s="1"/>
  <c r="V16" i="46"/>
  <c r="Z15" i="46" s="1"/>
  <c r="B36" i="66"/>
  <c r="A36" i="66"/>
  <c r="V21" i="41"/>
  <c r="X21" i="41"/>
  <c r="N18" i="41"/>
  <c r="L4" i="41" s="1"/>
  <c r="AP44" i="41" s="1"/>
  <c r="D170" i="66"/>
  <c r="R107" i="50"/>
  <c r="V107" i="50" s="1"/>
  <c r="L199" i="66"/>
  <c r="R103" i="50"/>
  <c r="V15" i="41"/>
  <c r="X15" i="41" s="1"/>
  <c r="Z13" i="41"/>
  <c r="Z5" i="41"/>
  <c r="AD5" i="41" s="1"/>
  <c r="X6" i="41" s="1"/>
  <c r="D18" i="65"/>
  <c r="A18" i="65" s="1"/>
  <c r="I18" i="66"/>
  <c r="J18" i="66"/>
  <c r="B18" i="65" s="1"/>
  <c r="V28" i="41"/>
  <c r="Z27" i="41" s="1"/>
  <c r="D138" i="65"/>
  <c r="I138" i="66"/>
  <c r="J138" i="66"/>
  <c r="B138" i="65" s="1"/>
  <c r="D78" i="65"/>
  <c r="A78" i="65" s="1"/>
  <c r="I78" i="66"/>
  <c r="J78" i="66"/>
  <c r="B78" i="65" s="1"/>
  <c r="D58" i="65"/>
  <c r="A58" i="65" s="1"/>
  <c r="I58" i="66"/>
  <c r="J58" i="66"/>
  <c r="B58" i="65" s="1"/>
  <c r="AP59" i="45"/>
  <c r="AP39" i="45"/>
  <c r="AT39" i="45" s="1"/>
  <c r="D6" i="45" s="1"/>
  <c r="L55" i="45"/>
  <c r="N55" i="45" s="1"/>
  <c r="AQ55" i="45" s="1"/>
  <c r="L50" i="45"/>
  <c r="N50" i="45" s="1"/>
  <c r="AQ50" i="45" s="1"/>
  <c r="AK45" i="45"/>
  <c r="AM45" i="45" s="1"/>
  <c r="AS45" i="45" s="1"/>
  <c r="Z50" i="45"/>
  <c r="AB50" i="45" s="1"/>
  <c r="Z45" i="45"/>
  <c r="AB45" i="45" s="1"/>
  <c r="V16" i="42"/>
  <c r="AI40" i="39"/>
  <c r="X50" i="42"/>
  <c r="AL16" i="45"/>
  <c r="Z13" i="42"/>
  <c r="Z15" i="42" s="1"/>
  <c r="V28" i="44"/>
  <c r="Z27" i="44" s="1"/>
  <c r="X28" i="44"/>
  <c r="X16" i="42"/>
  <c r="AJ16" i="45"/>
  <c r="AN15" i="45" s="1"/>
  <c r="Z10" i="44"/>
  <c r="Z5" i="47"/>
  <c r="D77" i="43"/>
  <c r="AJ15" i="43"/>
  <c r="AL15" i="43" s="1"/>
  <c r="AH5" i="43"/>
  <c r="AJ5" i="43" s="1"/>
  <c r="AL5" i="43" s="1"/>
  <c r="AH9" i="43"/>
  <c r="T22" i="43"/>
  <c r="D72" i="42"/>
  <c r="AH9" i="42"/>
  <c r="AJ15" i="42"/>
  <c r="AL15" i="42" s="1"/>
  <c r="AH5" i="42"/>
  <c r="AJ5" i="42" s="1"/>
  <c r="AL5" i="42" s="1"/>
  <c r="T22" i="42"/>
  <c r="V21" i="43"/>
  <c r="X21" i="43"/>
  <c r="Z13" i="43"/>
  <c r="P16" i="43"/>
  <c r="N18" i="43" s="1"/>
  <c r="L4" i="43" s="1"/>
  <c r="AP54" i="43" s="1"/>
  <c r="AJ16" i="46"/>
  <c r="AN15" i="46" s="1"/>
  <c r="A108" i="65"/>
  <c r="V16" i="43"/>
  <c r="N19" i="44"/>
  <c r="L5" i="44" s="1"/>
  <c r="AP60" i="44" s="1"/>
  <c r="V15" i="44"/>
  <c r="Z13" i="44"/>
  <c r="AL14" i="44"/>
  <c r="AL14" i="42"/>
  <c r="AJ16" i="42"/>
  <c r="AN15" i="42" s="1"/>
  <c r="AL11" i="47"/>
  <c r="AL3" i="42"/>
  <c r="AJ6" i="42"/>
  <c r="AH5" i="44"/>
  <c r="AJ15" i="44"/>
  <c r="AL15" i="44" s="1"/>
  <c r="AH9" i="44"/>
  <c r="Z28" i="46"/>
  <c r="X15" i="45"/>
  <c r="X16" i="45" s="1"/>
  <c r="Z16" i="45" s="1"/>
  <c r="V16" i="45"/>
  <c r="Z15" i="45" s="1"/>
  <c r="AL9" i="46"/>
  <c r="AJ9" i="46"/>
  <c r="AL14" i="43"/>
  <c r="AL16" i="46"/>
  <c r="AN16" i="46" s="1"/>
  <c r="X16" i="43"/>
  <c r="AL3" i="43"/>
  <c r="AL6" i="43" s="1"/>
  <c r="AJ6" i="43"/>
  <c r="AJ5" i="45"/>
  <c r="AN3" i="45"/>
  <c r="AJ11" i="47"/>
  <c r="AN10" i="47" s="1"/>
  <c r="AN16" i="47"/>
  <c r="V28" i="43"/>
  <c r="Z27" i="43" s="1"/>
  <c r="R69" i="45"/>
  <c r="V69" i="45" s="1"/>
  <c r="V70" i="45" s="1"/>
  <c r="T22" i="45"/>
  <c r="X4" i="46"/>
  <c r="X5" i="46" s="1"/>
  <c r="V4" i="46"/>
  <c r="V5" i="46" s="1"/>
  <c r="Z4" i="46" s="1"/>
  <c r="A95" i="65"/>
  <c r="A56" i="65"/>
  <c r="A69" i="65"/>
  <c r="L5" i="42"/>
  <c r="AP50" i="42" s="1"/>
  <c r="AJ9" i="45"/>
  <c r="AJ11" i="45" s="1"/>
  <c r="AN10" i="45" s="1"/>
  <c r="AL9" i="45"/>
  <c r="AL11" i="45" s="1"/>
  <c r="X21" i="44"/>
  <c r="V21" i="44"/>
  <c r="X21" i="42"/>
  <c r="V21" i="42"/>
  <c r="Z10" i="42"/>
  <c r="X28" i="43"/>
  <c r="AL5" i="47"/>
  <c r="AL6" i="47" s="1"/>
  <c r="AN6" i="47" s="1"/>
  <c r="AJ6" i="47"/>
  <c r="AN5" i="47" s="1"/>
  <c r="AJ5" i="46"/>
  <c r="AN3" i="46"/>
  <c r="X4" i="43"/>
  <c r="X5" i="43" s="1"/>
  <c r="V4" i="43"/>
  <c r="V5" i="43" s="1"/>
  <c r="Z4" i="43" s="1"/>
  <c r="AL8" i="43"/>
  <c r="AJ8" i="43"/>
  <c r="N18" i="42"/>
  <c r="L4" i="42" s="1"/>
  <c r="AP49" i="42" s="1"/>
  <c r="X28" i="42"/>
  <c r="Z28" i="42" s="1"/>
  <c r="V4" i="44"/>
  <c r="V5" i="44" s="1"/>
  <c r="Z4" i="44" s="1"/>
  <c r="X4" i="44"/>
  <c r="X5" i="44" s="1"/>
  <c r="AL8" i="42"/>
  <c r="AJ8" i="42"/>
  <c r="V4" i="42"/>
  <c r="V5" i="42" s="1"/>
  <c r="Z4" i="42" s="1"/>
  <c r="X4" i="42"/>
  <c r="X5" i="42" s="1"/>
  <c r="Z5" i="45"/>
  <c r="N55" i="43"/>
  <c r="AQ55" i="43" s="1"/>
  <c r="AR60" i="47"/>
  <c r="AT60" i="47" s="1"/>
  <c r="E10" i="47" s="1"/>
  <c r="L70" i="47" s="1"/>
  <c r="N70" i="47" s="1"/>
  <c r="AQ70" i="47" s="1"/>
  <c r="AR59" i="47"/>
  <c r="AN11" i="49"/>
  <c r="AI60" i="43"/>
  <c r="AM60" i="43" s="1"/>
  <c r="AS60" i="43" s="1"/>
  <c r="AD10" i="25"/>
  <c r="AD5" i="25"/>
  <c r="AB5" i="25" s="1"/>
  <c r="AI5" i="25" s="1"/>
  <c r="AD6" i="25"/>
  <c r="AB6" i="25" s="1"/>
  <c r="AJ6" i="25" s="1"/>
  <c r="AI16" i="25"/>
  <c r="AB11" i="25"/>
  <c r="AJ11" i="25" s="1"/>
  <c r="AD15" i="25"/>
  <c r="AD4" i="25"/>
  <c r="AB4" i="25" s="1"/>
  <c r="AJ4" i="25" s="1"/>
  <c r="AD8" i="25"/>
  <c r="AB8" i="25" s="1"/>
  <c r="AJ8" i="25" s="1"/>
  <c r="AD11" i="25"/>
  <c r="AD9" i="25"/>
  <c r="AD12" i="25"/>
  <c r="AD16" i="25"/>
  <c r="AD7" i="25"/>
  <c r="AB7" i="25" s="1"/>
  <c r="AJ7" i="25" s="1"/>
  <c r="AD13" i="25"/>
  <c r="AD14" i="25"/>
  <c r="AK59" i="47"/>
  <c r="AM59" i="47" s="1"/>
  <c r="AS59" i="47" s="1"/>
  <c r="AT59" i="47" s="1"/>
  <c r="D10" i="47" s="1"/>
  <c r="L64" i="47"/>
  <c r="N64" i="47" s="1"/>
  <c r="AQ64" i="47" s="1"/>
  <c r="AB10" i="25"/>
  <c r="AB15" i="25"/>
  <c r="AI15" i="25" s="1"/>
  <c r="AB12" i="25"/>
  <c r="AB13" i="25"/>
  <c r="AI13" i="25" s="1"/>
  <c r="AB14" i="25"/>
  <c r="AJ14" i="25" s="1"/>
  <c r="AB9" i="25"/>
  <c r="D19" i="25"/>
  <c r="F19" i="25" s="1"/>
  <c r="G19" i="25" s="1"/>
  <c r="H19" i="25"/>
  <c r="I19" i="25" s="1"/>
  <c r="AE20" i="61"/>
  <c r="AP20" i="25"/>
  <c r="B20" i="25"/>
  <c r="C4" i="34"/>
  <c r="AF15" i="25"/>
  <c r="AF16" i="25" s="1"/>
  <c r="AI1" i="25"/>
  <c r="AV19" i="25"/>
  <c r="R32" i="35"/>
  <c r="AE33" i="35"/>
  <c r="AG33" i="35" s="1"/>
  <c r="D37" i="35"/>
  <c r="F37" i="35" s="1"/>
  <c r="H37" i="35" s="1"/>
  <c r="V32" i="36"/>
  <c r="T32" i="36"/>
  <c r="J37" i="38"/>
  <c r="AR55" i="46"/>
  <c r="AT55" i="46" s="1"/>
  <c r="E9" i="46" s="1"/>
  <c r="AR60" i="48"/>
  <c r="AT60" i="48" s="1"/>
  <c r="E10" i="48" s="1"/>
  <c r="AR59" i="48"/>
  <c r="AT59" i="48" s="1"/>
  <c r="D10" i="48" s="1"/>
  <c r="AR54" i="46"/>
  <c r="AT54" i="46" s="1"/>
  <c r="D9" i="46" s="1"/>
  <c r="X10" i="53"/>
  <c r="Y12" i="53"/>
  <c r="X11" i="53" s="1"/>
  <c r="AI90" i="49"/>
  <c r="Y12" i="19"/>
  <c r="AA12" i="19" s="1"/>
  <c r="AG12" i="19" s="1"/>
  <c r="F65" i="43"/>
  <c r="H65" i="43"/>
  <c r="X80" i="48"/>
  <c r="L69" i="49"/>
  <c r="N69" i="49" s="1"/>
  <c r="AQ69" i="49" s="1"/>
  <c r="AK64" i="49"/>
  <c r="AM64" i="49" s="1"/>
  <c r="AS64" i="49" s="1"/>
  <c r="Z64" i="49"/>
  <c r="AB64" i="49" s="1"/>
  <c r="L70" i="49"/>
  <c r="N70" i="49" s="1"/>
  <c r="AQ70" i="49" s="1"/>
  <c r="Z65" i="49"/>
  <c r="AB65" i="49" s="1"/>
  <c r="AK65" i="49"/>
  <c r="AM65" i="49" s="1"/>
  <c r="AS65" i="49" s="1"/>
  <c r="X70" i="46"/>
  <c r="X85" i="49"/>
  <c r="H84" i="48"/>
  <c r="H85" i="48" s="1"/>
  <c r="F85" i="48"/>
  <c r="R72" i="43"/>
  <c r="H54" i="42"/>
  <c r="H55" i="42" s="1"/>
  <c r="F55" i="42"/>
  <c r="J54" i="42" s="1"/>
  <c r="H87" i="46"/>
  <c r="H52" i="38"/>
  <c r="T98" i="50"/>
  <c r="V98" i="50"/>
  <c r="AE105" i="50"/>
  <c r="AI104" i="50" s="1"/>
  <c r="AG103" i="50"/>
  <c r="AG105" i="50" s="1"/>
  <c r="T84" i="48"/>
  <c r="T85" i="48" s="1"/>
  <c r="X84" i="48" s="1"/>
  <c r="V84" i="48"/>
  <c r="V85" i="48" s="1"/>
  <c r="R93" i="48"/>
  <c r="D73" i="43"/>
  <c r="F73" i="43" s="1"/>
  <c r="H73" i="43" s="1"/>
  <c r="R79" i="46"/>
  <c r="D88" i="46"/>
  <c r="F88" i="46" s="1"/>
  <c r="H88" i="46" s="1"/>
  <c r="Z50" i="42"/>
  <c r="L55" i="42"/>
  <c r="R77" i="44"/>
  <c r="D82" i="44"/>
  <c r="F82" i="44" s="1"/>
  <c r="V82" i="46"/>
  <c r="T82" i="46"/>
  <c r="T47" i="38"/>
  <c r="V47" i="38"/>
  <c r="D83" i="45"/>
  <c r="F83" i="45" s="1"/>
  <c r="H83" i="45" s="1"/>
  <c r="R82" i="45"/>
  <c r="D87" i="45"/>
  <c r="F87" i="45" s="1"/>
  <c r="H69" i="45"/>
  <c r="H70" i="45" s="1"/>
  <c r="J70" i="45" s="1"/>
  <c r="F70" i="45"/>
  <c r="J69" i="45" s="1"/>
  <c r="H89" i="49"/>
  <c r="H90" i="49" s="1"/>
  <c r="J90" i="49" s="1"/>
  <c r="F90" i="49"/>
  <c r="J89" i="49" s="1"/>
  <c r="R47" i="37"/>
  <c r="D52" i="37"/>
  <c r="F52" i="37" s="1"/>
  <c r="V49" i="40"/>
  <c r="T49" i="40"/>
  <c r="Z49" i="43"/>
  <c r="AB49" i="43" s="1"/>
  <c r="L54" i="43"/>
  <c r="N54" i="43" s="1"/>
  <c r="AQ54" i="43" s="1"/>
  <c r="D68" i="42"/>
  <c r="F68" i="42" s="1"/>
  <c r="R67" i="42"/>
  <c r="H53" i="40"/>
  <c r="V67" i="43"/>
  <c r="T67" i="43"/>
  <c r="V79" i="47"/>
  <c r="V80" i="47" s="1"/>
  <c r="T79" i="47"/>
  <c r="T80" i="47" s="1"/>
  <c r="X79" i="47" s="1"/>
  <c r="H82" i="45"/>
  <c r="AG99" i="50"/>
  <c r="AG100" i="50" s="1"/>
  <c r="AE100" i="50"/>
  <c r="AI99" i="50" s="1"/>
  <c r="V103" i="50"/>
  <c r="T103" i="50"/>
  <c r="AE103" i="49"/>
  <c r="AE99" i="49"/>
  <c r="D99" i="49"/>
  <c r="R98" i="49"/>
  <c r="D94" i="48"/>
  <c r="AE98" i="48"/>
  <c r="AG98" i="48" s="1"/>
  <c r="H68" i="43"/>
  <c r="V77" i="45"/>
  <c r="T77" i="45"/>
  <c r="F99" i="50"/>
  <c r="J97" i="50"/>
  <c r="AI50" i="41"/>
  <c r="N44" i="41"/>
  <c r="AQ44" i="41" s="1"/>
  <c r="AE60" i="42"/>
  <c r="AI59" i="42" s="1"/>
  <c r="AG60" i="42"/>
  <c r="AE80" i="46"/>
  <c r="AI79" i="46" s="1"/>
  <c r="J77" i="46"/>
  <c r="Y11" i="18"/>
  <c r="X10" i="18" s="1"/>
  <c r="AE85" i="47"/>
  <c r="AI84" i="47" s="1"/>
  <c r="AI80" i="47"/>
  <c r="J50" i="41"/>
  <c r="AG85" i="47"/>
  <c r="AB40" i="41"/>
  <c r="AR40" i="41" s="1"/>
  <c r="AT40" i="41" s="1"/>
  <c r="E6" i="41" s="1"/>
  <c r="AI65" i="44"/>
  <c r="AK55" i="44"/>
  <c r="AM55" i="44" s="1"/>
  <c r="AS55" i="44" s="1"/>
  <c r="L60" i="44"/>
  <c r="N60" i="44" s="1"/>
  <c r="AQ60" i="44" s="1"/>
  <c r="Z55" i="44"/>
  <c r="AB55" i="44" s="1"/>
  <c r="Z54" i="44"/>
  <c r="AB54" i="44" s="1"/>
  <c r="L59" i="44"/>
  <c r="N59" i="44" s="1"/>
  <c r="AQ59" i="44" s="1"/>
  <c r="AK54" i="44"/>
  <c r="AM54" i="44" s="1"/>
  <c r="AS54" i="44" s="1"/>
  <c r="Z44" i="43"/>
  <c r="AB44" i="43" s="1"/>
  <c r="L49" i="43"/>
  <c r="N49" i="43" s="1"/>
  <c r="AQ49" i="43" s="1"/>
  <c r="AK44" i="43"/>
  <c r="AM44" i="43" s="1"/>
  <c r="AS44" i="43" s="1"/>
  <c r="AK65" i="47"/>
  <c r="AM65" i="47" s="1"/>
  <c r="AS65" i="47" s="1"/>
  <c r="AK45" i="42"/>
  <c r="AM45" i="42" s="1"/>
  <c r="AS45" i="42" s="1"/>
  <c r="Z45" i="42"/>
  <c r="AB45" i="42" s="1"/>
  <c r="L50" i="42"/>
  <c r="N50" i="42" s="1"/>
  <c r="AQ50" i="42" s="1"/>
  <c r="AR124" i="32"/>
  <c r="N19" i="50"/>
  <c r="L5" i="50" s="1"/>
  <c r="J45" i="40"/>
  <c r="AG55" i="41"/>
  <c r="X65" i="46"/>
  <c r="AG80" i="46"/>
  <c r="N45" i="41"/>
  <c r="AQ45" i="41" s="1"/>
  <c r="AI35" i="38"/>
  <c r="AM35" i="38" s="1"/>
  <c r="AS35" i="38" s="1"/>
  <c r="X130" i="32"/>
  <c r="AB130" i="32" s="1"/>
  <c r="AR130" i="32" s="1"/>
  <c r="AE65" i="43"/>
  <c r="AI64" i="43" s="1"/>
  <c r="X9" i="18"/>
  <c r="AE55" i="41"/>
  <c r="AI54" i="41" s="1"/>
  <c r="X45" i="41"/>
  <c r="AG65" i="43"/>
  <c r="Y120" i="42"/>
  <c r="Y119" i="42"/>
  <c r="R117" i="42"/>
  <c r="Z120" i="42"/>
  <c r="Z119" i="42"/>
  <c r="A135" i="34"/>
  <c r="B135" i="34" s="1"/>
  <c r="B134" i="34"/>
  <c r="C129" i="32"/>
  <c r="C128" i="32"/>
  <c r="Q117" i="28"/>
  <c r="Q119" i="28"/>
  <c r="X117" i="41"/>
  <c r="R119" i="41"/>
  <c r="O130" i="36"/>
  <c r="P130" i="36" s="1"/>
  <c r="P129" i="36"/>
  <c r="V64" i="45"/>
  <c r="V65" i="45" s="1"/>
  <c r="T64" i="45"/>
  <c r="T65" i="45" s="1"/>
  <c r="X64" i="45" s="1"/>
  <c r="A139" i="47"/>
  <c r="B138" i="47"/>
  <c r="H11" i="17"/>
  <c r="I11" i="17" s="1"/>
  <c r="D11" i="17"/>
  <c r="F11" i="17" s="1"/>
  <c r="O133" i="33"/>
  <c r="P132" i="33"/>
  <c r="J40" i="39"/>
  <c r="N40" i="39" s="1"/>
  <c r="AQ40" i="39" s="1"/>
  <c r="J39" i="39"/>
  <c r="N39" i="39" s="1"/>
  <c r="AQ39" i="39" s="1"/>
  <c r="K119" i="34"/>
  <c r="G117" i="34"/>
  <c r="K120" i="34"/>
  <c r="Q122" i="42"/>
  <c r="Q124" i="42"/>
  <c r="O125" i="31"/>
  <c r="P125" i="31" s="1"/>
  <c r="P124" i="31"/>
  <c r="M125" i="34"/>
  <c r="I125" i="34"/>
  <c r="G124" i="34"/>
  <c r="M124" i="34"/>
  <c r="I124" i="34"/>
  <c r="P136" i="40"/>
  <c r="O141" i="40"/>
  <c r="O137" i="40"/>
  <c r="AJ130" i="35"/>
  <c r="AJ129" i="35"/>
  <c r="AF15" i="24"/>
  <c r="AF16" i="24" s="1"/>
  <c r="AI1" i="24"/>
  <c r="M119" i="36"/>
  <c r="I119" i="36"/>
  <c r="M120" i="36"/>
  <c r="I120" i="36"/>
  <c r="G119" i="36"/>
  <c r="G118" i="48"/>
  <c r="C117" i="48"/>
  <c r="X40" i="40"/>
  <c r="A134" i="43"/>
  <c r="B133" i="43"/>
  <c r="A150" i="59"/>
  <c r="B150" i="59" s="1"/>
  <c r="B149" i="59"/>
  <c r="G112" i="39"/>
  <c r="K114" i="39"/>
  <c r="K115" i="39"/>
  <c r="Y120" i="41"/>
  <c r="Y119" i="41"/>
  <c r="Z120" i="41"/>
  <c r="Z119" i="41"/>
  <c r="R117" i="41"/>
  <c r="AA130" i="36"/>
  <c r="AO130" i="36" s="1"/>
  <c r="AP130" i="36" s="1"/>
  <c r="W130" i="36"/>
  <c r="AA129" i="36"/>
  <c r="AO129" i="36" s="1"/>
  <c r="AP129" i="36" s="1"/>
  <c r="W129" i="36"/>
  <c r="F78" i="45"/>
  <c r="AG78" i="45"/>
  <c r="Y115" i="45"/>
  <c r="Y114" i="45"/>
  <c r="P124" i="40"/>
  <c r="O125" i="40"/>
  <c r="P125" i="40" s="1"/>
  <c r="AE69" i="43"/>
  <c r="AG69" i="43" s="1"/>
  <c r="AE73" i="43"/>
  <c r="R68" i="43"/>
  <c r="D69" i="43"/>
  <c r="O134" i="42"/>
  <c r="P133" i="42"/>
  <c r="Q133" i="42" s="1"/>
  <c r="A130" i="26"/>
  <c r="B130" i="26" s="1"/>
  <c r="B129" i="26"/>
  <c r="AV9" i="15"/>
  <c r="D123" i="28"/>
  <c r="F123" i="28" s="1"/>
  <c r="C122" i="28"/>
  <c r="G123" i="28"/>
  <c r="A135" i="28"/>
  <c r="B135" i="28" s="1"/>
  <c r="B134" i="28"/>
  <c r="AA4" i="12"/>
  <c r="K120" i="49"/>
  <c r="K119" i="49"/>
  <c r="G117" i="49"/>
  <c r="X117" i="35"/>
  <c r="R119" i="35"/>
  <c r="J94" i="49"/>
  <c r="N94" i="49" s="1"/>
  <c r="AQ94" i="49" s="1"/>
  <c r="J95" i="49"/>
  <c r="N95" i="49" s="1"/>
  <c r="AQ95" i="49" s="1"/>
  <c r="AF4" i="14"/>
  <c r="AF5" i="14" s="1"/>
  <c r="AF6" i="14" s="1"/>
  <c r="Y120" i="36"/>
  <c r="Y119" i="36"/>
  <c r="Z120" i="36"/>
  <c r="R117" i="36"/>
  <c r="Z119" i="36"/>
  <c r="AA125" i="31"/>
  <c r="AO125" i="31" s="1"/>
  <c r="AP125" i="31" s="1"/>
  <c r="W125" i="31"/>
  <c r="AA124" i="31"/>
  <c r="AO124" i="31" s="1"/>
  <c r="AP124" i="31" s="1"/>
  <c r="W124" i="31"/>
  <c r="F112" i="50"/>
  <c r="A138" i="36"/>
  <c r="B137" i="36"/>
  <c r="AL129" i="35"/>
  <c r="AH129" i="35"/>
  <c r="AL130" i="35"/>
  <c r="AH130" i="35"/>
  <c r="AI127" i="35"/>
  <c r="V52" i="40"/>
  <c r="T52" i="40"/>
  <c r="AG53" i="40"/>
  <c r="AF6" i="16"/>
  <c r="AF7" i="16" s="1"/>
  <c r="Y120" i="38"/>
  <c r="Y119" i="38"/>
  <c r="Z120" i="38"/>
  <c r="Z119" i="38"/>
  <c r="R117" i="38"/>
  <c r="A143" i="42"/>
  <c r="B142" i="42"/>
  <c r="AE89" i="47"/>
  <c r="AG89" i="47" s="1"/>
  <c r="R88" i="47"/>
  <c r="AE93" i="47"/>
  <c r="D89" i="47"/>
  <c r="M120" i="45"/>
  <c r="I120" i="45"/>
  <c r="G119" i="45"/>
  <c r="M119" i="45"/>
  <c r="I119" i="45"/>
  <c r="A139" i="38"/>
  <c r="B138" i="38"/>
  <c r="AV6" i="12"/>
  <c r="X60" i="44"/>
  <c r="AL134" i="45"/>
  <c r="AH134" i="45"/>
  <c r="AH135" i="45"/>
  <c r="AL135" i="45"/>
  <c r="AI132" i="45"/>
  <c r="A146" i="45"/>
  <c r="A142" i="45"/>
  <c r="B141" i="45"/>
  <c r="AR129" i="32"/>
  <c r="B154" i="59"/>
  <c r="A155" i="59"/>
  <c r="P133" i="26"/>
  <c r="Q133" i="26" s="1"/>
  <c r="O134" i="26"/>
  <c r="O133" i="34"/>
  <c r="P132" i="34"/>
  <c r="P124" i="37"/>
  <c r="O125" i="37"/>
  <c r="P125" i="37" s="1"/>
  <c r="B142" i="40"/>
  <c r="A143" i="40"/>
  <c r="O137" i="27"/>
  <c r="P136" i="27"/>
  <c r="O141" i="27"/>
  <c r="O142" i="30"/>
  <c r="P141" i="30"/>
  <c r="O146" i="30"/>
  <c r="F69" i="44"/>
  <c r="J67" i="44"/>
  <c r="Q122" i="35"/>
  <c r="Q124" i="35"/>
  <c r="Q117" i="34"/>
  <c r="Q119" i="34"/>
  <c r="AG83" i="46"/>
  <c r="D123" i="33"/>
  <c r="F123" i="33" s="1"/>
  <c r="C122" i="33"/>
  <c r="G123" i="33"/>
  <c r="O133" i="45"/>
  <c r="P132" i="45"/>
  <c r="AF8" i="16"/>
  <c r="A147" i="31"/>
  <c r="B146" i="31"/>
  <c r="Q117" i="46"/>
  <c r="Q119" i="46"/>
  <c r="AV5" i="11"/>
  <c r="AC134" i="47"/>
  <c r="AD134" i="47" s="1"/>
  <c r="AD133" i="47"/>
  <c r="AC138" i="47"/>
  <c r="Z120" i="30"/>
  <c r="Z119" i="30"/>
  <c r="R117" i="30"/>
  <c r="Y120" i="30"/>
  <c r="Y119" i="30"/>
  <c r="AJ134" i="31"/>
  <c r="AJ135" i="31"/>
  <c r="AG93" i="48"/>
  <c r="AG95" i="48" s="1"/>
  <c r="AE95" i="48"/>
  <c r="AI94" i="48" s="1"/>
  <c r="D18" i="24"/>
  <c r="F18" i="24" s="1"/>
  <c r="G18" i="24" s="1"/>
  <c r="H18" i="24"/>
  <c r="I18" i="24" s="1"/>
  <c r="AG4" i="13"/>
  <c r="K120" i="33"/>
  <c r="K119" i="33"/>
  <c r="G117" i="33"/>
  <c r="P137" i="41"/>
  <c r="O138" i="41"/>
  <c r="A135" i="32"/>
  <c r="B135" i="32" s="1"/>
  <c r="B134" i="32"/>
  <c r="H13" i="19"/>
  <c r="I13" i="19" s="1"/>
  <c r="D13" i="19"/>
  <c r="F13" i="19" s="1"/>
  <c r="G13" i="19" s="1"/>
  <c r="P128" i="43"/>
  <c r="Q128" i="43" s="1"/>
  <c r="O129" i="43"/>
  <c r="M137" i="59"/>
  <c r="M138" i="59"/>
  <c r="G137" i="59"/>
  <c r="AF9" i="53"/>
  <c r="AF10" i="53" s="1"/>
  <c r="AF11" i="53" s="1"/>
  <c r="AG48" i="39"/>
  <c r="A147" i="44"/>
  <c r="B146" i="44"/>
  <c r="A165" i="59"/>
  <c r="A170" i="59"/>
  <c r="B164" i="59"/>
  <c r="A147" i="33"/>
  <c r="B146" i="33"/>
  <c r="O125" i="45"/>
  <c r="P125" i="45" s="1"/>
  <c r="P124" i="45"/>
  <c r="X55" i="43"/>
  <c r="Q119" i="49"/>
  <c r="Q117" i="49"/>
  <c r="A135" i="35"/>
  <c r="B135" i="35" s="1"/>
  <c r="B134" i="35"/>
  <c r="H38" i="38"/>
  <c r="H40" i="38" s="1"/>
  <c r="F40" i="38"/>
  <c r="O129" i="34"/>
  <c r="P128" i="34"/>
  <c r="Q128" i="34" s="1"/>
  <c r="P136" i="50"/>
  <c r="O141" i="50"/>
  <c r="O137" i="50"/>
  <c r="M125" i="41"/>
  <c r="I125" i="41"/>
  <c r="G124" i="41"/>
  <c r="M124" i="41"/>
  <c r="I124" i="41"/>
  <c r="AG11" i="20"/>
  <c r="AA7" i="14"/>
  <c r="AL134" i="42"/>
  <c r="AH134" i="42"/>
  <c r="AL135" i="42"/>
  <c r="AH135" i="42"/>
  <c r="AI132" i="42"/>
  <c r="P128" i="44"/>
  <c r="Q128" i="44" s="1"/>
  <c r="O129" i="44"/>
  <c r="O129" i="50"/>
  <c r="P128" i="50"/>
  <c r="Q128" i="50" s="1"/>
  <c r="M119" i="26"/>
  <c r="I119" i="26"/>
  <c r="M120" i="26"/>
  <c r="I120" i="26"/>
  <c r="G119" i="26"/>
  <c r="AV8" i="14"/>
  <c r="A147" i="49"/>
  <c r="B146" i="49"/>
  <c r="B142" i="32"/>
  <c r="A143" i="32"/>
  <c r="K114" i="46"/>
  <c r="G112" i="46"/>
  <c r="K115" i="46"/>
  <c r="A134" i="30"/>
  <c r="B133" i="30"/>
  <c r="C129" i="44"/>
  <c r="C128" i="44"/>
  <c r="B137" i="39"/>
  <c r="A138" i="39"/>
  <c r="AI132" i="50"/>
  <c r="AL134" i="50"/>
  <c r="AH134" i="50"/>
  <c r="AL135" i="50"/>
  <c r="AH135" i="50"/>
  <c r="Q119" i="27"/>
  <c r="Q117" i="27"/>
  <c r="B142" i="50"/>
  <c r="A143" i="50"/>
  <c r="O150" i="32"/>
  <c r="P150" i="32" s="1"/>
  <c r="P149" i="32"/>
  <c r="P128" i="33"/>
  <c r="Q128" i="33" s="1"/>
  <c r="O129" i="33"/>
  <c r="C122" i="49"/>
  <c r="G123" i="49"/>
  <c r="D123" i="49"/>
  <c r="F123" i="49" s="1"/>
  <c r="O130" i="29"/>
  <c r="P130" i="29" s="1"/>
  <c r="P129" i="29"/>
  <c r="B141" i="26"/>
  <c r="A146" i="26"/>
  <c r="A142" i="26"/>
  <c r="Z120" i="48"/>
  <c r="Z119" i="48"/>
  <c r="R117" i="48"/>
  <c r="Y120" i="48"/>
  <c r="Y119" i="48"/>
  <c r="AV4" i="10"/>
  <c r="C129" i="40"/>
  <c r="C128" i="40"/>
  <c r="J55" i="42"/>
  <c r="O130" i="48"/>
  <c r="P130" i="48" s="1"/>
  <c r="P129" i="48"/>
  <c r="O130" i="26"/>
  <c r="P130" i="26" s="1"/>
  <c r="P129" i="26"/>
  <c r="AV15" i="21"/>
  <c r="AA10" i="18"/>
  <c r="AG10" i="18" s="1"/>
  <c r="A135" i="44"/>
  <c r="B135" i="44" s="1"/>
  <c r="B134" i="44"/>
  <c r="O137" i="49"/>
  <c r="P136" i="49"/>
  <c r="O141" i="49"/>
  <c r="AA125" i="27"/>
  <c r="AO125" i="27" s="1"/>
  <c r="AP125" i="27" s="1"/>
  <c r="W125" i="27"/>
  <c r="AA124" i="27"/>
  <c r="AO124" i="27" s="1"/>
  <c r="AP124" i="27" s="1"/>
  <c r="W124" i="27"/>
  <c r="B142" i="29"/>
  <c r="A143" i="29"/>
  <c r="AA130" i="30"/>
  <c r="AO130" i="30" s="1"/>
  <c r="AP130" i="30" s="1"/>
  <c r="W130" i="30"/>
  <c r="AA129" i="30"/>
  <c r="AO129" i="30" s="1"/>
  <c r="AP129" i="30" s="1"/>
  <c r="W129" i="30"/>
  <c r="AG75" i="45"/>
  <c r="P137" i="29"/>
  <c r="O138" i="29"/>
  <c r="Q117" i="45"/>
  <c r="Q119" i="45"/>
  <c r="X10" i="19"/>
  <c r="H17" i="23"/>
  <c r="I17" i="23" s="1"/>
  <c r="D17" i="23"/>
  <c r="F17" i="23" s="1"/>
  <c r="G17" i="23" s="1"/>
  <c r="G4" i="12"/>
  <c r="AJ130" i="29"/>
  <c r="AJ129" i="29"/>
  <c r="H77" i="44"/>
  <c r="V62" i="42"/>
  <c r="T62" i="42"/>
  <c r="AG63" i="42"/>
  <c r="AJ145" i="40"/>
  <c r="AJ144" i="40"/>
  <c r="K119" i="38"/>
  <c r="G117" i="38"/>
  <c r="K120" i="38"/>
  <c r="AH17" i="61"/>
  <c r="AP17" i="22"/>
  <c r="B17" i="22"/>
  <c r="C7" i="37"/>
  <c r="H14" i="20"/>
  <c r="I14" i="20" s="1"/>
  <c r="D14" i="20"/>
  <c r="F14" i="20" s="1"/>
  <c r="G14" i="20" s="1"/>
  <c r="A139" i="44"/>
  <c r="B138" i="44"/>
  <c r="G8" i="16"/>
  <c r="A135" i="47"/>
  <c r="B135" i="47" s="1"/>
  <c r="B134" i="47"/>
  <c r="AC139" i="27"/>
  <c r="AD139" i="27" s="1"/>
  <c r="AD138" i="27"/>
  <c r="AC143" i="27"/>
  <c r="AJ129" i="44"/>
  <c r="AJ130" i="44"/>
  <c r="AA13" i="21"/>
  <c r="AG13" i="21" s="1"/>
  <c r="A139" i="49"/>
  <c r="B138" i="49"/>
  <c r="X112" i="46"/>
  <c r="B137" i="43"/>
  <c r="A138" i="43"/>
  <c r="AC139" i="49"/>
  <c r="AD139" i="49" s="1"/>
  <c r="AD138" i="49"/>
  <c r="AC143" i="49"/>
  <c r="P128" i="27"/>
  <c r="Q128" i="27" s="1"/>
  <c r="O129" i="27"/>
  <c r="AV10" i="16"/>
  <c r="B146" i="47"/>
  <c r="A147" i="47"/>
  <c r="B142" i="35"/>
  <c r="A143" i="35"/>
  <c r="AA129" i="47"/>
  <c r="AO129" i="47" s="1"/>
  <c r="AP129" i="47" s="1"/>
  <c r="W130" i="47"/>
  <c r="AA130" i="47"/>
  <c r="AO130" i="47" s="1"/>
  <c r="AP130" i="47" s="1"/>
  <c r="W129" i="47"/>
  <c r="AJ134" i="48"/>
  <c r="AJ135" i="48"/>
  <c r="O129" i="37"/>
  <c r="P128" i="37"/>
  <c r="Q128" i="37" s="1"/>
  <c r="B141" i="48"/>
  <c r="A146" i="48"/>
  <c r="A142" i="48"/>
  <c r="M125" i="42"/>
  <c r="I125" i="42"/>
  <c r="G124" i="42"/>
  <c r="M124" i="42"/>
  <c r="I124" i="42"/>
  <c r="AI55" i="42"/>
  <c r="P136" i="28"/>
  <c r="O141" i="28"/>
  <c r="O137" i="28"/>
  <c r="C124" i="39"/>
  <c r="C123" i="39"/>
  <c r="C124" i="46"/>
  <c r="C123" i="46"/>
  <c r="AJ134" i="36"/>
  <c r="AJ135" i="36"/>
  <c r="Y115" i="27"/>
  <c r="Y114" i="27"/>
  <c r="AC139" i="33"/>
  <c r="AD139" i="33" s="1"/>
  <c r="AD138" i="33"/>
  <c r="AC143" i="33"/>
  <c r="X112" i="28"/>
  <c r="A134" i="26"/>
  <c r="B133" i="26"/>
  <c r="B142" i="28"/>
  <c r="A143" i="28"/>
  <c r="Y4" i="11"/>
  <c r="AJ135" i="28"/>
  <c r="AJ134" i="28"/>
  <c r="M119" i="43"/>
  <c r="I119" i="43"/>
  <c r="M120" i="43"/>
  <c r="I120" i="43"/>
  <c r="G119" i="43"/>
  <c r="Q124" i="26"/>
  <c r="Q122" i="26"/>
  <c r="Y14" i="21"/>
  <c r="R139" i="32"/>
  <c r="X137" i="32"/>
  <c r="AI132" i="34"/>
  <c r="AL134" i="34"/>
  <c r="AH134" i="34"/>
  <c r="AL135" i="34"/>
  <c r="AH135" i="34"/>
  <c r="AJ135" i="39"/>
  <c r="AJ134" i="39"/>
  <c r="AA130" i="35"/>
  <c r="AO130" i="35" s="1"/>
  <c r="AP130" i="35" s="1"/>
  <c r="W130" i="35"/>
  <c r="AA129" i="35"/>
  <c r="AO129" i="35" s="1"/>
  <c r="AP129" i="35" s="1"/>
  <c r="W129" i="35"/>
  <c r="B141" i="37"/>
  <c r="A146" i="37"/>
  <c r="A142" i="37"/>
  <c r="AL129" i="41"/>
  <c r="AH129" i="41"/>
  <c r="AL130" i="41"/>
  <c r="AH130" i="41"/>
  <c r="AI127" i="41"/>
  <c r="O134" i="47"/>
  <c r="P133" i="47"/>
  <c r="Q133" i="47" s="1"/>
  <c r="AG34" i="37"/>
  <c r="AG35" i="37" s="1"/>
  <c r="AE35" i="37"/>
  <c r="AI34" i="37" s="1"/>
  <c r="AM34" i="37" s="1"/>
  <c r="AS34" i="37" s="1"/>
  <c r="A135" i="27"/>
  <c r="B135" i="27" s="1"/>
  <c r="B134" i="27"/>
  <c r="M125" i="35"/>
  <c r="I125" i="35"/>
  <c r="G124" i="35"/>
  <c r="M124" i="35"/>
  <c r="I124" i="35"/>
  <c r="O165" i="59"/>
  <c r="P164" i="59"/>
  <c r="O170" i="59"/>
  <c r="Q119" i="33"/>
  <c r="Q117" i="33"/>
  <c r="Q117" i="40"/>
  <c r="Q119" i="40"/>
  <c r="V42" i="38"/>
  <c r="T42" i="38"/>
  <c r="AG43" i="38"/>
  <c r="B146" i="38"/>
  <c r="A147" i="38"/>
  <c r="Y5" i="12"/>
  <c r="B142" i="34"/>
  <c r="A143" i="34"/>
  <c r="V57" i="41"/>
  <c r="T57" i="41"/>
  <c r="V53" i="41"/>
  <c r="T53" i="41"/>
  <c r="AV12" i="18"/>
  <c r="M120" i="46"/>
  <c r="I120" i="46"/>
  <c r="G119" i="46"/>
  <c r="M119" i="46"/>
  <c r="I119" i="46"/>
  <c r="K114" i="37"/>
  <c r="G112" i="37"/>
  <c r="K115" i="37"/>
  <c r="AJ134" i="30"/>
  <c r="AJ135" i="30"/>
  <c r="M125" i="40"/>
  <c r="I125" i="40"/>
  <c r="G124" i="40"/>
  <c r="M124" i="40"/>
  <c r="I124" i="40"/>
  <c r="A130" i="39"/>
  <c r="B130" i="39" s="1"/>
  <c r="B129" i="39"/>
  <c r="C129" i="47"/>
  <c r="C128" i="47"/>
  <c r="AG88" i="47"/>
  <c r="AL156" i="59"/>
  <c r="AL155" i="59"/>
  <c r="Y1" i="24"/>
  <c r="AB10" i="24" s="1"/>
  <c r="R119" i="42"/>
  <c r="X117" i="42"/>
  <c r="C129" i="34"/>
  <c r="C128" i="34"/>
  <c r="AA5" i="13"/>
  <c r="AG5" i="13" s="1"/>
  <c r="AA125" i="40"/>
  <c r="AO125" i="40" s="1"/>
  <c r="AP125" i="40" s="1"/>
  <c r="W125" i="40"/>
  <c r="AA124" i="40"/>
  <c r="AO124" i="40" s="1"/>
  <c r="AP124" i="40" s="1"/>
  <c r="W124" i="40"/>
  <c r="AO10" i="61"/>
  <c r="B10" i="15"/>
  <c r="AP10" i="15"/>
  <c r="C14" i="44"/>
  <c r="AH10" i="44" s="1"/>
  <c r="O129" i="28"/>
  <c r="P128" i="28"/>
  <c r="Q128" i="28" s="1"/>
  <c r="C117" i="36"/>
  <c r="G118" i="36"/>
  <c r="M119" i="48"/>
  <c r="I119" i="48"/>
  <c r="M120" i="48"/>
  <c r="I120" i="48"/>
  <c r="G119" i="48"/>
  <c r="Y115" i="31"/>
  <c r="Y114" i="31"/>
  <c r="F74" i="45"/>
  <c r="J72" i="45"/>
  <c r="X112" i="45"/>
  <c r="A130" i="36"/>
  <c r="B130" i="36" s="1"/>
  <c r="B129" i="36"/>
  <c r="AM12" i="61"/>
  <c r="L128" i="66" s="1"/>
  <c r="AP12" i="17"/>
  <c r="C12" i="42"/>
  <c r="R72" i="42" s="1"/>
  <c r="B12" i="17"/>
  <c r="AE79" i="45"/>
  <c r="AG79" i="45" s="1"/>
  <c r="AE83" i="45"/>
  <c r="R78" i="45"/>
  <c r="R74" i="45"/>
  <c r="D79" i="45"/>
  <c r="F79" i="45" s="1"/>
  <c r="H79" i="45" s="1"/>
  <c r="M125" i="28"/>
  <c r="I125" i="28"/>
  <c r="G124" i="28"/>
  <c r="M124" i="28"/>
  <c r="I124" i="28"/>
  <c r="AA15" i="23"/>
  <c r="X15" i="23"/>
  <c r="O137" i="33"/>
  <c r="P136" i="33"/>
  <c r="O141" i="33"/>
  <c r="Y120" i="35"/>
  <c r="Y119" i="35"/>
  <c r="Z120" i="35"/>
  <c r="Z119" i="35"/>
  <c r="R117" i="35"/>
  <c r="X117" i="36"/>
  <c r="R119" i="36"/>
  <c r="A139" i="28"/>
  <c r="B138" i="28"/>
  <c r="F4" i="11"/>
  <c r="A146" i="36"/>
  <c r="A142" i="36"/>
  <c r="B141" i="36"/>
  <c r="A139" i="41"/>
  <c r="B138" i="41"/>
  <c r="F57" i="40"/>
  <c r="A147" i="42"/>
  <c r="B146" i="42"/>
  <c r="P137" i="38"/>
  <c r="O138" i="38"/>
  <c r="AQ8" i="61"/>
  <c r="B8" i="13"/>
  <c r="C16" i="46"/>
  <c r="AP8" i="13"/>
  <c r="H78" i="46"/>
  <c r="H80" i="46" s="1"/>
  <c r="F80" i="46"/>
  <c r="K119" i="50"/>
  <c r="G117" i="50"/>
  <c r="K120" i="50"/>
  <c r="D123" i="27"/>
  <c r="F123" i="27" s="1"/>
  <c r="C122" i="27"/>
  <c r="G123" i="27"/>
  <c r="C117" i="45"/>
  <c r="G118" i="45"/>
  <c r="H6" i="12"/>
  <c r="I6" i="12" s="1"/>
  <c r="D6" i="12"/>
  <c r="F6" i="12" s="1"/>
  <c r="G6" i="12" s="1"/>
  <c r="A139" i="34"/>
  <c r="B138" i="34"/>
  <c r="C142" i="59"/>
  <c r="C143" i="59"/>
  <c r="P136" i="34"/>
  <c r="O141" i="34"/>
  <c r="O137" i="34"/>
  <c r="H102" i="48"/>
  <c r="AF13" i="22"/>
  <c r="C128" i="29"/>
  <c r="C129" i="29"/>
  <c r="B146" i="40"/>
  <c r="A147" i="40"/>
  <c r="AG73" i="44"/>
  <c r="V74" i="46"/>
  <c r="V75" i="46" s="1"/>
  <c r="T74" i="46"/>
  <c r="T75" i="46" s="1"/>
  <c r="X74" i="46" s="1"/>
  <c r="Q119" i="43"/>
  <c r="Q117" i="43"/>
  <c r="M124" i="33"/>
  <c r="I124" i="33"/>
  <c r="M125" i="33"/>
  <c r="I125" i="33"/>
  <c r="G124" i="33"/>
  <c r="Q124" i="48"/>
  <c r="Q122" i="48"/>
  <c r="AA130" i="41"/>
  <c r="AO130" i="41" s="1"/>
  <c r="AP130" i="41" s="1"/>
  <c r="W130" i="41"/>
  <c r="AA129" i="41"/>
  <c r="AO129" i="41" s="1"/>
  <c r="AP129" i="41" s="1"/>
  <c r="W129" i="41"/>
  <c r="Q122" i="41"/>
  <c r="Q124" i="41"/>
  <c r="K119" i="42"/>
  <c r="K120" i="42"/>
  <c r="G117" i="42"/>
  <c r="O129" i="40"/>
  <c r="P128" i="40"/>
  <c r="Q128" i="40" s="1"/>
  <c r="D123" i="31"/>
  <c r="F123" i="31" s="1"/>
  <c r="C122" i="31"/>
  <c r="G123" i="31"/>
  <c r="R119" i="30"/>
  <c r="X117" i="30"/>
  <c r="AL135" i="31"/>
  <c r="AH135" i="31"/>
  <c r="AI132" i="31"/>
  <c r="AL134" i="31"/>
  <c r="AH134" i="31"/>
  <c r="O134" i="38"/>
  <c r="P133" i="38"/>
  <c r="Q133" i="38" s="1"/>
  <c r="F89" i="48"/>
  <c r="J87" i="48"/>
  <c r="V93" i="48"/>
  <c r="T93" i="48"/>
  <c r="AF19" i="61"/>
  <c r="AP19" i="24"/>
  <c r="C5" i="35"/>
  <c r="B19" i="24"/>
  <c r="X4" i="13"/>
  <c r="O146" i="41"/>
  <c r="O142" i="41"/>
  <c r="P141" i="41"/>
  <c r="H13" i="53"/>
  <c r="I13" i="53" s="1"/>
  <c r="D13" i="53"/>
  <c r="F13" i="53" s="1"/>
  <c r="AE59" i="41"/>
  <c r="AG59" i="41" s="1"/>
  <c r="R58" i="41"/>
  <c r="R54" i="41"/>
  <c r="D59" i="41"/>
  <c r="AE63" i="41"/>
  <c r="D63" i="41"/>
  <c r="F63" i="41" s="1"/>
  <c r="H63" i="41" s="1"/>
  <c r="R62" i="41"/>
  <c r="C135" i="59"/>
  <c r="G136" i="59"/>
  <c r="A134" i="45"/>
  <c r="B133" i="45"/>
  <c r="F77" i="43"/>
  <c r="V59" i="43"/>
  <c r="V60" i="43" s="1"/>
  <c r="T59" i="43"/>
  <c r="T60" i="43" s="1"/>
  <c r="X59" i="43" s="1"/>
  <c r="O142" i="48"/>
  <c r="P141" i="48"/>
  <c r="O146" i="48"/>
  <c r="P133" i="36"/>
  <c r="Q133" i="36" s="1"/>
  <c r="O134" i="36"/>
  <c r="AC134" i="38"/>
  <c r="AD134" i="38" s="1"/>
  <c r="AD133" i="38"/>
  <c r="AC138" i="38"/>
  <c r="C122" i="41"/>
  <c r="G123" i="41"/>
  <c r="D123" i="41"/>
  <c r="F123" i="41" s="1"/>
  <c r="H8" i="14"/>
  <c r="I8" i="14" s="1"/>
  <c r="D8" i="14"/>
  <c r="F8" i="14" s="1"/>
  <c r="AJ134" i="26"/>
  <c r="AJ135" i="26"/>
  <c r="AE50" i="40"/>
  <c r="AI49" i="40" s="1"/>
  <c r="B146" i="32"/>
  <c r="A147" i="32"/>
  <c r="D123" i="47"/>
  <c r="F123" i="47" s="1"/>
  <c r="C122" i="47"/>
  <c r="G123" i="47"/>
  <c r="B141" i="46"/>
  <c r="A142" i="46"/>
  <c r="A146" i="46"/>
  <c r="B141" i="39"/>
  <c r="A146" i="39"/>
  <c r="A142" i="39"/>
  <c r="B146" i="50"/>
  <c r="A147" i="50"/>
  <c r="G112" i="43"/>
  <c r="K115" i="43"/>
  <c r="K114" i="43"/>
  <c r="AA150" i="32"/>
  <c r="AO150" i="32" s="1"/>
  <c r="AP150" i="32" s="1"/>
  <c r="W150" i="32"/>
  <c r="AA149" i="32"/>
  <c r="AO149" i="32" s="1"/>
  <c r="AP149" i="32" s="1"/>
  <c r="W149" i="32"/>
  <c r="W138" i="59"/>
  <c r="R135" i="59"/>
  <c r="Z138" i="59"/>
  <c r="W137" i="59"/>
  <c r="Y138" i="59"/>
  <c r="Z137" i="59"/>
  <c r="Y137" i="59"/>
  <c r="K120" i="31"/>
  <c r="K119" i="31"/>
  <c r="G117" i="31"/>
  <c r="AA150" i="59"/>
  <c r="AQ150" i="59" s="1"/>
  <c r="AR150" i="59" s="1"/>
  <c r="AA149" i="59"/>
  <c r="AQ149" i="59" s="1"/>
  <c r="AR149" i="59" s="1"/>
  <c r="R119" i="48"/>
  <c r="X117" i="48"/>
  <c r="AE45" i="39"/>
  <c r="AI44" i="39" s="1"/>
  <c r="H4" i="10"/>
  <c r="I4" i="10" s="1"/>
  <c r="D4" i="10"/>
  <c r="AA130" i="48"/>
  <c r="AO130" i="48" s="1"/>
  <c r="AP130" i="48" s="1"/>
  <c r="W130" i="48"/>
  <c r="AA129" i="48"/>
  <c r="AO129" i="48" s="1"/>
  <c r="AP129" i="48" s="1"/>
  <c r="W129" i="48"/>
  <c r="K120" i="47"/>
  <c r="K119" i="47"/>
  <c r="G117" i="47"/>
  <c r="AA130" i="26"/>
  <c r="AO130" i="26" s="1"/>
  <c r="AP130" i="26" s="1"/>
  <c r="W130" i="26"/>
  <c r="AA129" i="26"/>
  <c r="AO129" i="26" s="1"/>
  <c r="AP129" i="26" s="1"/>
  <c r="W129" i="26"/>
  <c r="H15" i="21"/>
  <c r="I15" i="21" s="1"/>
  <c r="D15" i="21"/>
  <c r="F15" i="21" s="1"/>
  <c r="G15" i="21" s="1"/>
  <c r="Z120" i="47"/>
  <c r="Z119" i="47"/>
  <c r="R117" i="47"/>
  <c r="Y119" i="47"/>
  <c r="Y120" i="47"/>
  <c r="B146" i="29"/>
  <c r="A147" i="29"/>
  <c r="O138" i="47"/>
  <c r="P137" i="47"/>
  <c r="AA125" i="50"/>
  <c r="AO125" i="50" s="1"/>
  <c r="W125" i="50"/>
  <c r="AA124" i="50"/>
  <c r="AO124" i="50" s="1"/>
  <c r="W124" i="50"/>
  <c r="AE75" i="45"/>
  <c r="AI74" i="45" s="1"/>
  <c r="O146" i="29"/>
  <c r="O142" i="29"/>
  <c r="P141" i="29"/>
  <c r="AG18" i="61"/>
  <c r="D184" i="66" s="1"/>
  <c r="C6" i="36"/>
  <c r="AP18" i="23"/>
  <c r="B18" i="23"/>
  <c r="K119" i="28"/>
  <c r="G117" i="28"/>
  <c r="K120" i="28"/>
  <c r="AL129" i="29"/>
  <c r="AH129" i="29"/>
  <c r="AL130" i="29"/>
  <c r="AH130" i="29"/>
  <c r="AI127" i="29"/>
  <c r="AE70" i="44"/>
  <c r="AI69" i="44" s="1"/>
  <c r="V58" i="42"/>
  <c r="T58" i="42"/>
  <c r="AI142" i="40"/>
  <c r="AL144" i="40"/>
  <c r="AH144" i="40"/>
  <c r="AL145" i="40"/>
  <c r="AH145" i="40"/>
  <c r="O133" i="31"/>
  <c r="P132" i="31"/>
  <c r="AV16" i="22"/>
  <c r="AJ15" i="61"/>
  <c r="C9" i="39"/>
  <c r="R49" i="39" s="1"/>
  <c r="B15" i="20"/>
  <c r="AP15" i="20"/>
  <c r="Y14" i="20" s="1"/>
  <c r="O142" i="36"/>
  <c r="O146" i="36"/>
  <c r="P141" i="36"/>
  <c r="P137" i="35"/>
  <c r="O138" i="35"/>
  <c r="O125" i="49"/>
  <c r="P125" i="49" s="1"/>
  <c r="P124" i="49"/>
  <c r="AJ134" i="27"/>
  <c r="AJ135" i="27"/>
  <c r="P137" i="26"/>
  <c r="O138" i="26"/>
  <c r="AG12" i="21"/>
  <c r="AL130" i="44"/>
  <c r="AH130" i="44"/>
  <c r="AI127" i="44"/>
  <c r="AL129" i="44"/>
  <c r="AH129" i="44"/>
  <c r="AF5" i="15"/>
  <c r="AF6" i="15" s="1"/>
  <c r="AF7" i="15" s="1"/>
  <c r="G118" i="39"/>
  <c r="C117" i="39"/>
  <c r="G112" i="30"/>
  <c r="K115" i="30"/>
  <c r="K114" i="30"/>
  <c r="Y115" i="46"/>
  <c r="Y114" i="46"/>
  <c r="B141" i="43"/>
  <c r="A146" i="43"/>
  <c r="A142" i="43"/>
  <c r="AJ134" i="49"/>
  <c r="AJ135" i="49"/>
  <c r="AN11" i="61"/>
  <c r="B11" i="16"/>
  <c r="C13" i="43"/>
  <c r="AP11" i="16"/>
  <c r="B146" i="35"/>
  <c r="A147" i="35"/>
  <c r="AL135" i="48"/>
  <c r="AH135" i="48"/>
  <c r="AI132" i="48"/>
  <c r="AL134" i="48"/>
  <c r="AH134" i="48"/>
  <c r="A134" i="39"/>
  <c r="B133" i="39"/>
  <c r="C122" i="42"/>
  <c r="G123" i="42"/>
  <c r="D123" i="42"/>
  <c r="F123" i="42" s="1"/>
  <c r="X112" i="34"/>
  <c r="M125" i="29"/>
  <c r="I125" i="29"/>
  <c r="G124" i="29"/>
  <c r="M124" i="29"/>
  <c r="I124" i="29"/>
  <c r="G123" i="32"/>
  <c r="D123" i="32"/>
  <c r="F123" i="32" s="1"/>
  <c r="C122" i="32"/>
  <c r="AL135" i="36"/>
  <c r="AH135" i="36"/>
  <c r="AL134" i="36"/>
  <c r="AH134" i="36"/>
  <c r="AI132" i="36"/>
  <c r="X112" i="27"/>
  <c r="Q122" i="38"/>
  <c r="Q124" i="38"/>
  <c r="AJ134" i="33"/>
  <c r="AJ135" i="33"/>
  <c r="Y115" i="28"/>
  <c r="Y114" i="28"/>
  <c r="B146" i="28"/>
  <c r="A147" i="28"/>
  <c r="A135" i="41"/>
  <c r="B135" i="41" s="1"/>
  <c r="B134" i="41"/>
  <c r="AI132" i="28"/>
  <c r="AL134" i="28"/>
  <c r="AH134" i="28"/>
  <c r="AL135" i="28"/>
  <c r="AH135" i="28"/>
  <c r="AI75" i="46"/>
  <c r="Z140" i="32"/>
  <c r="Z139" i="32"/>
  <c r="R137" i="32"/>
  <c r="Y140" i="32"/>
  <c r="Y139" i="32"/>
  <c r="AL135" i="39"/>
  <c r="AI132" i="39"/>
  <c r="AH134" i="39"/>
  <c r="AL134" i="39"/>
  <c r="AH135" i="39"/>
  <c r="D123" i="50"/>
  <c r="F123" i="50" s="1"/>
  <c r="C122" i="50"/>
  <c r="G123" i="50"/>
  <c r="O130" i="35"/>
  <c r="P130" i="35" s="1"/>
  <c r="P129" i="35"/>
  <c r="A139" i="29"/>
  <c r="B138" i="29"/>
  <c r="V37" i="37"/>
  <c r="T37" i="37"/>
  <c r="F38" i="37"/>
  <c r="C122" i="35"/>
  <c r="G123" i="35"/>
  <c r="D123" i="35"/>
  <c r="F123" i="35" s="1"/>
  <c r="AJ135" i="32"/>
  <c r="AJ134" i="32"/>
  <c r="K119" i="40"/>
  <c r="G117" i="40"/>
  <c r="K120" i="40"/>
  <c r="V38" i="38"/>
  <c r="T38" i="38"/>
  <c r="B146" i="34"/>
  <c r="A147" i="34"/>
  <c r="C123" i="45"/>
  <c r="C124" i="45"/>
  <c r="O137" i="43"/>
  <c r="P136" i="43"/>
  <c r="O141" i="43"/>
  <c r="AE64" i="42"/>
  <c r="AG64" i="42" s="1"/>
  <c r="R63" i="42"/>
  <c r="AE68" i="42"/>
  <c r="R59" i="42"/>
  <c r="D64" i="42"/>
  <c r="O133" i="46"/>
  <c r="P132" i="46"/>
  <c r="Q142" i="32"/>
  <c r="Q144" i="32"/>
  <c r="AL135" i="30"/>
  <c r="AH135" i="30"/>
  <c r="AI132" i="30"/>
  <c r="AL134" i="30"/>
  <c r="AH134" i="30"/>
  <c r="Y115" i="43"/>
  <c r="Y114" i="43"/>
  <c r="AG9" i="17"/>
  <c r="F84" i="47"/>
  <c r="J82" i="47"/>
  <c r="AC139" i="37"/>
  <c r="AD139" i="37" s="1"/>
  <c r="AD138" i="37"/>
  <c r="AC143" i="37"/>
  <c r="A139" i="40"/>
  <c r="B138" i="40"/>
  <c r="O137" i="44"/>
  <c r="P136" i="44"/>
  <c r="O141" i="44"/>
  <c r="AR39" i="42"/>
  <c r="AT39" i="42" s="1"/>
  <c r="D6" i="42" s="1"/>
  <c r="X6" i="14"/>
  <c r="I131" i="59"/>
  <c r="I132" i="59"/>
  <c r="G129" i="59"/>
  <c r="K131" i="59"/>
  <c r="K132" i="59"/>
  <c r="X112" i="31"/>
  <c r="AA11" i="19"/>
  <c r="AG11" i="19" s="1"/>
  <c r="T73" i="45"/>
  <c r="V73" i="45"/>
  <c r="A139" i="35"/>
  <c r="B138" i="35"/>
  <c r="A134" i="48"/>
  <c r="B133" i="48"/>
  <c r="A135" i="31"/>
  <c r="B135" i="31" s="1"/>
  <c r="B134" i="31"/>
  <c r="AV11" i="17"/>
  <c r="Q119" i="44"/>
  <c r="Q117" i="44"/>
  <c r="H9" i="15"/>
  <c r="I9" i="15" s="1"/>
  <c r="D9" i="15"/>
  <c r="C124" i="48"/>
  <c r="C123" i="48"/>
  <c r="C129" i="31"/>
  <c r="C128" i="31"/>
  <c r="C124" i="37"/>
  <c r="C123" i="37"/>
  <c r="K115" i="36"/>
  <c r="K114" i="36"/>
  <c r="G112" i="36"/>
  <c r="D123" i="34"/>
  <c r="F123" i="34" s="1"/>
  <c r="C122" i="34"/>
  <c r="G123" i="34"/>
  <c r="O133" i="40"/>
  <c r="P132" i="40"/>
  <c r="AC134" i="35"/>
  <c r="AD134" i="35" s="1"/>
  <c r="AD133" i="35"/>
  <c r="AC138" i="35"/>
  <c r="H107" i="50"/>
  <c r="F49" i="40"/>
  <c r="J47" i="40"/>
  <c r="T48" i="40"/>
  <c r="V48" i="40"/>
  <c r="V50" i="40" s="1"/>
  <c r="A130" i="45"/>
  <c r="B130" i="45" s="1"/>
  <c r="B129" i="45"/>
  <c r="AA125" i="46"/>
  <c r="AO125" i="46" s="1"/>
  <c r="AP125" i="46" s="1"/>
  <c r="W125" i="46"/>
  <c r="AA124" i="46"/>
  <c r="AO124" i="46" s="1"/>
  <c r="AP124" i="46" s="1"/>
  <c r="W124" i="46"/>
  <c r="O146" i="38"/>
  <c r="O142" i="38"/>
  <c r="P141" i="38"/>
  <c r="AV7" i="13"/>
  <c r="AA125" i="34"/>
  <c r="AO125" i="34" s="1"/>
  <c r="AP125" i="34" s="1"/>
  <c r="W125" i="34"/>
  <c r="AA124" i="34"/>
  <c r="AO124" i="34" s="1"/>
  <c r="AP124" i="34" s="1"/>
  <c r="W124" i="34"/>
  <c r="M124" i="27"/>
  <c r="I124" i="27"/>
  <c r="M125" i="27"/>
  <c r="I125" i="27"/>
  <c r="G124" i="27"/>
  <c r="G117" i="32"/>
  <c r="K119" i="32"/>
  <c r="K120" i="32"/>
  <c r="AR7" i="61"/>
  <c r="B7" i="12"/>
  <c r="C17" i="47"/>
  <c r="D94" i="47" s="1"/>
  <c r="AP7" i="12"/>
  <c r="AC139" i="45"/>
  <c r="AD139" i="45" s="1"/>
  <c r="AD138" i="45"/>
  <c r="AC143" i="45"/>
  <c r="X112" i="37"/>
  <c r="Q124" i="30"/>
  <c r="Q122" i="30"/>
  <c r="AA13" i="20"/>
  <c r="AG13" i="20" s="1"/>
  <c r="F11" i="18"/>
  <c r="Q124" i="47"/>
  <c r="Q122" i="47"/>
  <c r="H59" i="43"/>
  <c r="H60" i="43" s="1"/>
  <c r="J60" i="43" s="1"/>
  <c r="F60" i="43"/>
  <c r="J59" i="43" s="1"/>
  <c r="O129" i="46"/>
  <c r="P128" i="46"/>
  <c r="Q128" i="46" s="1"/>
  <c r="D123" i="44"/>
  <c r="F123" i="44" s="1"/>
  <c r="C122" i="44"/>
  <c r="G123" i="44"/>
  <c r="C124" i="43"/>
  <c r="C123" i="43"/>
  <c r="M125" i="38"/>
  <c r="I125" i="38"/>
  <c r="G124" i="38"/>
  <c r="M124" i="38"/>
  <c r="I124" i="38"/>
  <c r="G118" i="30"/>
  <c r="C117" i="30"/>
  <c r="A139" i="32"/>
  <c r="B138" i="32"/>
  <c r="K119" i="29"/>
  <c r="G117" i="29"/>
  <c r="K120" i="29"/>
  <c r="X112" i="39"/>
  <c r="O133" i="27"/>
  <c r="P132" i="27"/>
  <c r="B137" i="30"/>
  <c r="A138" i="30"/>
  <c r="C128" i="38"/>
  <c r="C129" i="38"/>
  <c r="P137" i="30"/>
  <c r="O138" i="30"/>
  <c r="V68" i="44"/>
  <c r="T68" i="44"/>
  <c r="C129" i="27"/>
  <c r="C128" i="27"/>
  <c r="O141" i="45"/>
  <c r="P136" i="45"/>
  <c r="O137" i="45"/>
  <c r="AA130" i="38"/>
  <c r="AO130" i="38" s="1"/>
  <c r="AP130" i="38" s="1"/>
  <c r="W130" i="38"/>
  <c r="AA129" i="38"/>
  <c r="AO129" i="38" s="1"/>
  <c r="AP129" i="38" s="1"/>
  <c r="W129" i="38"/>
  <c r="A135" i="29"/>
  <c r="B135" i="29" s="1"/>
  <c r="B134" i="29"/>
  <c r="O130" i="41"/>
  <c r="P130" i="41" s="1"/>
  <c r="P129" i="41"/>
  <c r="H5" i="11"/>
  <c r="I5" i="11" s="1"/>
  <c r="D5" i="11"/>
  <c r="F5" i="11" s="1"/>
  <c r="G5" i="11" s="1"/>
  <c r="G112" i="26"/>
  <c r="K115" i="26"/>
  <c r="K114" i="26"/>
  <c r="AJ130" i="47"/>
  <c r="AJ129" i="47"/>
  <c r="M124" i="31"/>
  <c r="I124" i="31"/>
  <c r="M125" i="31"/>
  <c r="I125" i="31"/>
  <c r="G124" i="31"/>
  <c r="X112" i="40"/>
  <c r="V88" i="48"/>
  <c r="T88" i="48"/>
  <c r="D38" i="36"/>
  <c r="AE38" i="36"/>
  <c r="R33" i="36"/>
  <c r="AE34" i="36"/>
  <c r="D42" i="36"/>
  <c r="R37" i="36"/>
  <c r="Q117" i="37"/>
  <c r="Q119" i="37"/>
  <c r="W124" i="39"/>
  <c r="W125" i="39"/>
  <c r="AA124" i="39"/>
  <c r="AO124" i="39" s="1"/>
  <c r="AP124" i="39" s="1"/>
  <c r="AA125" i="39"/>
  <c r="AO125" i="39" s="1"/>
  <c r="AP125" i="39" s="1"/>
  <c r="H64" i="44"/>
  <c r="H65" i="44" s="1"/>
  <c r="J65" i="44" s="1"/>
  <c r="F65" i="44"/>
  <c r="J64" i="44" s="1"/>
  <c r="AV13" i="53"/>
  <c r="AK14" i="61"/>
  <c r="L152" i="66" s="1"/>
  <c r="B14" i="19"/>
  <c r="C10" i="40"/>
  <c r="D67" i="40" s="1"/>
  <c r="F67" i="40" s="1"/>
  <c r="AP14" i="19"/>
  <c r="Y13" i="19" s="1"/>
  <c r="B14" i="53"/>
  <c r="AP14" i="53"/>
  <c r="Y13" i="53" s="1"/>
  <c r="C117" i="37"/>
  <c r="G118" i="37"/>
  <c r="Q122" i="29"/>
  <c r="Q124" i="29"/>
  <c r="A135" i="49"/>
  <c r="B135" i="49" s="1"/>
  <c r="B134" i="49"/>
  <c r="V39" i="39"/>
  <c r="V40" i="39" s="1"/>
  <c r="T39" i="39"/>
  <c r="T40" i="39" s="1"/>
  <c r="X39" i="39" s="1"/>
  <c r="V43" i="39"/>
  <c r="T43" i="39"/>
  <c r="V72" i="43"/>
  <c r="T72" i="43"/>
  <c r="T63" i="43"/>
  <c r="V63" i="43"/>
  <c r="B159" i="59"/>
  <c r="A160" i="59"/>
  <c r="AJ130" i="38"/>
  <c r="AJ129" i="38"/>
  <c r="H42" i="38"/>
  <c r="AA130" i="42"/>
  <c r="AO130" i="42" s="1"/>
  <c r="AP130" i="42" s="1"/>
  <c r="W130" i="42"/>
  <c r="AA129" i="42"/>
  <c r="AO129" i="42" s="1"/>
  <c r="AP129" i="42" s="1"/>
  <c r="W129" i="42"/>
  <c r="AA125" i="28"/>
  <c r="AO125" i="28" s="1"/>
  <c r="AP125" i="28" s="1"/>
  <c r="W125" i="28"/>
  <c r="AA124" i="28"/>
  <c r="AO124" i="28" s="1"/>
  <c r="AP124" i="28" s="1"/>
  <c r="W124" i="28"/>
  <c r="AC139" i="42"/>
  <c r="AD139" i="42" s="1"/>
  <c r="AD138" i="42"/>
  <c r="AC143" i="42"/>
  <c r="P132" i="39"/>
  <c r="O133" i="39"/>
  <c r="A143" i="27"/>
  <c r="B142" i="27"/>
  <c r="A135" i="50"/>
  <c r="B135" i="50" s="1"/>
  <c r="B134" i="50"/>
  <c r="AE84" i="46"/>
  <c r="AG84" i="46" s="1"/>
  <c r="AE88" i="46"/>
  <c r="R83" i="46"/>
  <c r="D84" i="46"/>
  <c r="AL135" i="26"/>
  <c r="AH135" i="26"/>
  <c r="AI132" i="26"/>
  <c r="AL134" i="26"/>
  <c r="AH134" i="26"/>
  <c r="AG50" i="40"/>
  <c r="M125" i="47"/>
  <c r="I124" i="47"/>
  <c r="M124" i="47"/>
  <c r="G124" i="47"/>
  <c r="I125" i="47"/>
  <c r="O133" i="37"/>
  <c r="P132" i="37"/>
  <c r="B137" i="46"/>
  <c r="A138" i="46"/>
  <c r="AC139" i="50"/>
  <c r="AD139" i="50" s="1"/>
  <c r="AD138" i="50"/>
  <c r="AC143" i="50"/>
  <c r="R137" i="59"/>
  <c r="X135" i="59"/>
  <c r="AI95" i="49"/>
  <c r="AF14" i="23"/>
  <c r="P149" i="59"/>
  <c r="O150" i="59"/>
  <c r="P150" i="59" s="1"/>
  <c r="AG45" i="39"/>
  <c r="AU4" i="61"/>
  <c r="AV3" i="61"/>
  <c r="B4" i="9"/>
  <c r="AP4" i="9"/>
  <c r="C20" i="50"/>
  <c r="X112" i="50"/>
  <c r="AI16" i="61"/>
  <c r="AP16" i="21"/>
  <c r="C8" i="38"/>
  <c r="D53" i="38" s="1"/>
  <c r="F53" i="38" s="1"/>
  <c r="H53" i="38" s="1"/>
  <c r="B16" i="21"/>
  <c r="R119" i="47"/>
  <c r="X117" i="47"/>
  <c r="O133" i="49"/>
  <c r="P132" i="49"/>
  <c r="AG9" i="18"/>
  <c r="O146" i="47"/>
  <c r="O142" i="47"/>
  <c r="P141" i="47"/>
  <c r="P124" i="50"/>
  <c r="O125" i="50"/>
  <c r="P125" i="50" s="1"/>
  <c r="C128" i="35"/>
  <c r="C129" i="35"/>
  <c r="A135" i="40"/>
  <c r="B135" i="40" s="1"/>
  <c r="B134" i="40"/>
  <c r="AV17" i="23"/>
  <c r="O134" i="41"/>
  <c r="P133" i="41"/>
  <c r="Q133" i="41" s="1"/>
  <c r="AG70" i="44"/>
  <c r="F59" i="42"/>
  <c r="J57" i="42"/>
  <c r="Z120" i="26"/>
  <c r="Z119" i="26"/>
  <c r="R117" i="26"/>
  <c r="Y120" i="26"/>
  <c r="Y119" i="26"/>
  <c r="O125" i="33"/>
  <c r="P125" i="33" s="1"/>
  <c r="P124" i="33"/>
  <c r="AE44" i="38"/>
  <c r="AG44" i="38" s="1"/>
  <c r="AE48" i="38"/>
  <c r="R43" i="38"/>
  <c r="D44" i="38"/>
  <c r="D48" i="38"/>
  <c r="F48" i="38" s="1"/>
  <c r="H48" i="38" s="1"/>
  <c r="R39" i="38"/>
  <c r="AV14" i="20"/>
  <c r="AA11" i="18"/>
  <c r="AG11" i="18" s="1"/>
  <c r="A139" i="33"/>
  <c r="B138" i="33"/>
  <c r="P137" i="36"/>
  <c r="O138" i="36"/>
  <c r="O146" i="35"/>
  <c r="O142" i="35"/>
  <c r="P141" i="35"/>
  <c r="AA125" i="49"/>
  <c r="AO125" i="49" s="1"/>
  <c r="AP125" i="49" s="1"/>
  <c r="W125" i="49"/>
  <c r="AA124" i="49"/>
  <c r="AO124" i="49" s="1"/>
  <c r="AP124" i="49" s="1"/>
  <c r="W124" i="49"/>
  <c r="A130" i="30"/>
  <c r="B130" i="30" s="1"/>
  <c r="B129" i="30"/>
  <c r="O125" i="43"/>
  <c r="P125" i="43" s="1"/>
  <c r="P124" i="43"/>
  <c r="AL135" i="27"/>
  <c r="AH135" i="27"/>
  <c r="AI132" i="27"/>
  <c r="AL134" i="27"/>
  <c r="AH134" i="27"/>
  <c r="Y115" i="33"/>
  <c r="Y114" i="33"/>
  <c r="I120" i="39"/>
  <c r="I119" i="39"/>
  <c r="M120" i="39"/>
  <c r="M119" i="39"/>
  <c r="G119" i="39"/>
  <c r="AR35" i="39"/>
  <c r="AT35" i="39" s="1"/>
  <c r="E5" i="39" s="1"/>
  <c r="AR34" i="39"/>
  <c r="AT34" i="39" s="1"/>
  <c r="D5" i="39" s="1"/>
  <c r="AL135" i="49"/>
  <c r="AH135" i="49"/>
  <c r="AI132" i="49"/>
  <c r="AL134" i="49"/>
  <c r="AH134" i="49"/>
  <c r="H10" i="16"/>
  <c r="I10" i="16" s="1"/>
  <c r="D10" i="16"/>
  <c r="F10" i="16" s="1"/>
  <c r="G10" i="16" s="1"/>
  <c r="K114" i="45"/>
  <c r="K115" i="45"/>
  <c r="G112" i="45"/>
  <c r="AC143" i="48"/>
  <c r="AC139" i="48"/>
  <c r="AD139" i="48" s="1"/>
  <c r="AD138" i="48"/>
  <c r="P133" i="30"/>
  <c r="Q133" i="30" s="1"/>
  <c r="O134" i="30"/>
  <c r="Y10" i="17"/>
  <c r="Q117" i="39"/>
  <c r="Q119" i="39"/>
  <c r="A139" i="50"/>
  <c r="B138" i="50"/>
  <c r="Y115" i="34"/>
  <c r="Y114" i="34"/>
  <c r="P137" i="42"/>
  <c r="O138" i="42"/>
  <c r="Y8" i="15"/>
  <c r="C122" i="29"/>
  <c r="G123" i="29"/>
  <c r="D123" i="29"/>
  <c r="F123" i="29" s="1"/>
  <c r="C129" i="28"/>
  <c r="C128" i="28"/>
  <c r="M125" i="32"/>
  <c r="I125" i="32"/>
  <c r="G124" i="32"/>
  <c r="I124" i="32"/>
  <c r="M124" i="32"/>
  <c r="O129" i="45"/>
  <c r="P128" i="45"/>
  <c r="Q128" i="45" s="1"/>
  <c r="Q119" i="31"/>
  <c r="Q117" i="31"/>
  <c r="K119" i="35"/>
  <c r="G117" i="35"/>
  <c r="K120" i="35"/>
  <c r="AL135" i="33"/>
  <c r="AH135" i="33"/>
  <c r="AI132" i="33"/>
  <c r="AL134" i="33"/>
  <c r="AH134" i="33"/>
  <c r="AE90" i="48"/>
  <c r="AI89" i="48" s="1"/>
  <c r="O125" i="44"/>
  <c r="P125" i="44" s="1"/>
  <c r="P124" i="44"/>
  <c r="B142" i="41"/>
  <c r="A143" i="41"/>
  <c r="K120" i="44"/>
  <c r="K119" i="44"/>
  <c r="G117" i="44"/>
  <c r="AC139" i="34"/>
  <c r="AD139" i="34" s="1"/>
  <c r="AD138" i="34"/>
  <c r="AC143" i="34"/>
  <c r="AC143" i="39"/>
  <c r="AC139" i="39"/>
  <c r="AD139" i="39" s="1"/>
  <c r="AD138" i="39"/>
  <c r="M125" i="50"/>
  <c r="I125" i="50"/>
  <c r="G124" i="50"/>
  <c r="M124" i="50"/>
  <c r="I124" i="50"/>
  <c r="Y6" i="13"/>
  <c r="X5" i="13" s="1"/>
  <c r="H74" i="46"/>
  <c r="H75" i="46" s="1"/>
  <c r="J75" i="46" s="1"/>
  <c r="F75" i="46"/>
  <c r="J74" i="46" s="1"/>
  <c r="AC134" i="41"/>
  <c r="AD134" i="41" s="1"/>
  <c r="AD133" i="41"/>
  <c r="AC138" i="41"/>
  <c r="F42" i="37"/>
  <c r="V33" i="37"/>
  <c r="T33" i="37"/>
  <c r="V134" i="32"/>
  <c r="T134" i="32"/>
  <c r="AK39" i="40"/>
  <c r="AM39" i="40" s="1"/>
  <c r="AS39" i="40" s="1"/>
  <c r="Z39" i="40"/>
  <c r="AB39" i="40" s="1"/>
  <c r="L44" i="40"/>
  <c r="N44" i="40" s="1"/>
  <c r="AQ44" i="40" s="1"/>
  <c r="O134" i="29"/>
  <c r="P133" i="29"/>
  <c r="Q133" i="29" s="1"/>
  <c r="AI132" i="32"/>
  <c r="AL134" i="32"/>
  <c r="AH134" i="32"/>
  <c r="AL135" i="32"/>
  <c r="AH135" i="32"/>
  <c r="Y115" i="49"/>
  <c r="Y114" i="49"/>
  <c r="Y115" i="44"/>
  <c r="Y114" i="44"/>
  <c r="V34" i="38"/>
  <c r="V35" i="38" s="1"/>
  <c r="X35" i="38" s="1"/>
  <c r="AB35" i="38" s="1"/>
  <c r="T34" i="38"/>
  <c r="T35" i="38" s="1"/>
  <c r="X34" i="38" s="1"/>
  <c r="AB34" i="38" s="1"/>
  <c r="X117" i="29"/>
  <c r="R119" i="29"/>
  <c r="F12" i="19"/>
  <c r="H57" i="41"/>
  <c r="Y15" i="22"/>
  <c r="X14" i="22" s="1"/>
  <c r="F54" i="41"/>
  <c r="J52" i="41"/>
  <c r="AL13" i="61"/>
  <c r="AP13" i="18"/>
  <c r="B13" i="18"/>
  <c r="C11" i="41"/>
  <c r="AH10" i="41" s="1"/>
  <c r="A130" i="43"/>
  <c r="B130" i="43" s="1"/>
  <c r="B129" i="43"/>
  <c r="P136" i="46"/>
  <c r="O141" i="46"/>
  <c r="O137" i="46"/>
  <c r="O134" i="35"/>
  <c r="P133" i="35"/>
  <c r="Q133" i="35" s="1"/>
  <c r="AG40" i="38"/>
  <c r="AC143" i="30"/>
  <c r="AC139" i="30"/>
  <c r="AD139" i="30" s="1"/>
  <c r="AD138" i="30"/>
  <c r="X112" i="43"/>
  <c r="A139" i="27"/>
  <c r="B138" i="27"/>
  <c r="AJ135" i="37"/>
  <c r="AJ134" i="37"/>
  <c r="AN155" i="59"/>
  <c r="AJ155" i="59"/>
  <c r="AN156" i="59"/>
  <c r="AJ156" i="59"/>
  <c r="AK153" i="59"/>
  <c r="V44" i="40"/>
  <c r="V45" i="40" s="1"/>
  <c r="T44" i="40"/>
  <c r="T45" i="40" s="1"/>
  <c r="X44" i="40" s="1"/>
  <c r="X117" i="38"/>
  <c r="R119" i="38"/>
  <c r="A135" i="33"/>
  <c r="B135" i="33" s="1"/>
  <c r="B134" i="33"/>
  <c r="P124" i="46"/>
  <c r="O125" i="46"/>
  <c r="P125" i="46" s="1"/>
  <c r="H7" i="13"/>
  <c r="I7" i="13" s="1"/>
  <c r="D7" i="13"/>
  <c r="A134" i="37"/>
  <c r="B133" i="37"/>
  <c r="P124" i="34"/>
  <c r="O125" i="34"/>
  <c r="P125" i="34" s="1"/>
  <c r="O155" i="59"/>
  <c r="P154" i="59"/>
  <c r="Q154" i="59" s="1"/>
  <c r="C123" i="36"/>
  <c r="C124" i="36"/>
  <c r="AJ135" i="45"/>
  <c r="AJ134" i="45"/>
  <c r="Y115" i="37"/>
  <c r="Y114" i="37"/>
  <c r="B137" i="45"/>
  <c r="A138" i="45"/>
  <c r="P128" i="31"/>
  <c r="Q128" i="31" s="1"/>
  <c r="O129" i="31"/>
  <c r="H72" i="43"/>
  <c r="M124" i="44"/>
  <c r="I124" i="44"/>
  <c r="M125" i="44"/>
  <c r="I125" i="44"/>
  <c r="G124" i="44"/>
  <c r="AA125" i="37"/>
  <c r="AO125" i="37" s="1"/>
  <c r="AP125" i="37" s="1"/>
  <c r="W125" i="37"/>
  <c r="AA124" i="37"/>
  <c r="AO124" i="37" s="1"/>
  <c r="AP124" i="37" s="1"/>
  <c r="W124" i="37"/>
  <c r="K119" i="41"/>
  <c r="G117" i="41"/>
  <c r="K120" i="41"/>
  <c r="A130" i="48"/>
  <c r="B130" i="48" s="1"/>
  <c r="B129" i="48"/>
  <c r="C122" i="38"/>
  <c r="G123" i="38"/>
  <c r="D123" i="38"/>
  <c r="F123" i="38" s="1"/>
  <c r="O129" i="39"/>
  <c r="P128" i="39"/>
  <c r="Q128" i="39" s="1"/>
  <c r="M119" i="30"/>
  <c r="I119" i="30"/>
  <c r="M120" i="30"/>
  <c r="I120" i="30"/>
  <c r="G119" i="30"/>
  <c r="Y115" i="39"/>
  <c r="Y114" i="39"/>
  <c r="C124" i="30"/>
  <c r="C123" i="30"/>
  <c r="AA9" i="16"/>
  <c r="B141" i="30"/>
  <c r="A146" i="30"/>
  <c r="A142" i="30"/>
  <c r="C128" i="42"/>
  <c r="C129" i="42"/>
  <c r="A134" i="46"/>
  <c r="B133" i="46"/>
  <c r="T78" i="46"/>
  <c r="V78" i="46"/>
  <c r="J80" i="47"/>
  <c r="J79" i="47"/>
  <c r="H107" i="49"/>
  <c r="A135" i="42"/>
  <c r="B135" i="42" s="1"/>
  <c r="B134" i="42"/>
  <c r="O130" i="38"/>
  <c r="P130" i="38" s="1"/>
  <c r="P129" i="38"/>
  <c r="A143" i="31"/>
  <c r="B142" i="31"/>
  <c r="J84" i="48"/>
  <c r="J85" i="48"/>
  <c r="G112" i="48"/>
  <c r="K115" i="48"/>
  <c r="K114" i="48"/>
  <c r="X75" i="47"/>
  <c r="H47" i="39"/>
  <c r="AS6" i="61"/>
  <c r="AP6" i="11"/>
  <c r="C18" i="48"/>
  <c r="B6" i="11"/>
  <c r="H62" i="42"/>
  <c r="A134" i="36"/>
  <c r="B133" i="36"/>
  <c r="AL130" i="47"/>
  <c r="AH130" i="47"/>
  <c r="AI127" i="47"/>
  <c r="AL129" i="47"/>
  <c r="AH129" i="47"/>
  <c r="Y115" i="40"/>
  <c r="Y114" i="40"/>
  <c r="A139" i="42"/>
  <c r="B138" i="42"/>
  <c r="AC139" i="31"/>
  <c r="AD139" i="31" s="1"/>
  <c r="AD138" i="31"/>
  <c r="AC143" i="31"/>
  <c r="K120" i="27"/>
  <c r="K119" i="27"/>
  <c r="G117" i="27"/>
  <c r="P128" i="49"/>
  <c r="Q128" i="49" s="1"/>
  <c r="O129" i="49"/>
  <c r="F94" i="48"/>
  <c r="H94" i="48" s="1"/>
  <c r="J92" i="48"/>
  <c r="AV18" i="24"/>
  <c r="O125" i="39"/>
  <c r="P125" i="39" s="1"/>
  <c r="P124" i="39"/>
  <c r="AV13" i="19"/>
  <c r="AA12" i="53"/>
  <c r="AG12" i="53" s="1"/>
  <c r="M120" i="37"/>
  <c r="I120" i="37"/>
  <c r="G119" i="37"/>
  <c r="M119" i="37"/>
  <c r="I119" i="37"/>
  <c r="F44" i="39"/>
  <c r="J42" i="39"/>
  <c r="G13" i="20"/>
  <c r="AG68" i="43"/>
  <c r="AG70" i="43" s="1"/>
  <c r="P137" i="48"/>
  <c r="O138" i="48"/>
  <c r="A143" i="44"/>
  <c r="B142" i="44"/>
  <c r="A143" i="33"/>
  <c r="B142" i="33"/>
  <c r="AA125" i="45"/>
  <c r="AO125" i="45" s="1"/>
  <c r="AP125" i="45" s="1"/>
  <c r="W124" i="45"/>
  <c r="W125" i="45"/>
  <c r="AA124" i="45"/>
  <c r="AO124" i="45" s="1"/>
  <c r="AP124" i="45" s="1"/>
  <c r="AL129" i="38"/>
  <c r="AH129" i="38"/>
  <c r="AL130" i="38"/>
  <c r="AH130" i="38"/>
  <c r="AI127" i="38"/>
  <c r="O133" i="50"/>
  <c r="P132" i="50"/>
  <c r="C129" i="33"/>
  <c r="C128" i="33"/>
  <c r="O130" i="42"/>
  <c r="P130" i="42" s="1"/>
  <c r="P129" i="42"/>
  <c r="P124" i="28"/>
  <c r="O125" i="28"/>
  <c r="P125" i="28" s="1"/>
  <c r="AJ135" i="42"/>
  <c r="AJ134" i="42"/>
  <c r="P136" i="39"/>
  <c r="O141" i="39"/>
  <c r="O137" i="39"/>
  <c r="A147" i="27"/>
  <c r="B146" i="27"/>
  <c r="G118" i="26"/>
  <c r="C117" i="26"/>
  <c r="AP9" i="61"/>
  <c r="C15" i="45"/>
  <c r="AP9" i="14"/>
  <c r="Y8" i="14" s="1"/>
  <c r="B9" i="14"/>
  <c r="A143" i="49"/>
  <c r="B142" i="49"/>
  <c r="AC143" i="26"/>
  <c r="AC139" i="26"/>
  <c r="AD139" i="26" s="1"/>
  <c r="AD138" i="26"/>
  <c r="P136" i="37"/>
  <c r="O141" i="37"/>
  <c r="O137" i="37"/>
  <c r="AJ135" i="50"/>
  <c r="AJ134" i="50"/>
  <c r="G8" i="15"/>
  <c r="C129" i="50"/>
  <c r="C128" i="50"/>
  <c r="M124" i="49"/>
  <c r="I124" i="49"/>
  <c r="M125" i="49"/>
  <c r="I125" i="49"/>
  <c r="G124" i="49"/>
  <c r="A139" i="31"/>
  <c r="B138" i="31"/>
  <c r="X14" i="23"/>
  <c r="AA130" i="29"/>
  <c r="AO130" i="29" s="1"/>
  <c r="AP130" i="29" s="1"/>
  <c r="W130" i="29"/>
  <c r="AA129" i="29"/>
  <c r="AO129" i="29" s="1"/>
  <c r="AP129" i="29" s="1"/>
  <c r="W129" i="29"/>
  <c r="B137" i="26"/>
  <c r="A138" i="26"/>
  <c r="AT5" i="61"/>
  <c r="AP5" i="10"/>
  <c r="B5" i="10"/>
  <c r="C19" i="49"/>
  <c r="C124" i="26"/>
  <c r="C123" i="26"/>
  <c r="R112" i="50"/>
  <c r="Y115" i="50"/>
  <c r="Y114" i="50"/>
  <c r="A130" i="37"/>
  <c r="B130" i="37" s="1"/>
  <c r="B129" i="37"/>
  <c r="AE53" i="39"/>
  <c r="R44" i="39"/>
  <c r="R48" i="39"/>
  <c r="AE49" i="39"/>
  <c r="AG49" i="39" s="1"/>
  <c r="D49" i="39"/>
  <c r="R52" i="39"/>
  <c r="D57" i="39"/>
  <c r="AA14" i="22"/>
  <c r="AG14" i="22" s="1"/>
  <c r="O125" i="27"/>
  <c r="P125" i="27" s="1"/>
  <c r="P124" i="27"/>
  <c r="Q124" i="36"/>
  <c r="Q122" i="36"/>
  <c r="O130" i="30"/>
  <c r="P130" i="30" s="1"/>
  <c r="P129" i="30"/>
  <c r="V132" i="32"/>
  <c r="V135" i="32" s="1"/>
  <c r="T132" i="32"/>
  <c r="T135" i="32" s="1"/>
  <c r="X134" i="32" s="1"/>
  <c r="AB134" i="32" s="1"/>
  <c r="AG10" i="19"/>
  <c r="R34" i="37"/>
  <c r="D39" i="37"/>
  <c r="F39" i="37" s="1"/>
  <c r="H39" i="37" s="1"/>
  <c r="R38" i="37"/>
  <c r="AE43" i="37"/>
  <c r="D43" i="37"/>
  <c r="F43" i="37" s="1"/>
  <c r="H43" i="37" s="1"/>
  <c r="AE39" i="37"/>
  <c r="AG39" i="37" s="1"/>
  <c r="R42" i="37"/>
  <c r="D47" i="37"/>
  <c r="AC134" i="29"/>
  <c r="AD134" i="29" s="1"/>
  <c r="AD133" i="29"/>
  <c r="AC138" i="29"/>
  <c r="F72" i="42"/>
  <c r="V54" i="42"/>
  <c r="V55" i="42" s="1"/>
  <c r="T54" i="42"/>
  <c r="T55" i="42" s="1"/>
  <c r="X54" i="42" s="1"/>
  <c r="AC149" i="40"/>
  <c r="AD149" i="40" s="1"/>
  <c r="AD148" i="40"/>
  <c r="O137" i="31"/>
  <c r="P136" i="31"/>
  <c r="O141" i="31"/>
  <c r="R119" i="26"/>
  <c r="X117" i="26"/>
  <c r="AA125" i="33"/>
  <c r="AO125" i="33" s="1"/>
  <c r="AP125" i="33" s="1"/>
  <c r="W125" i="33"/>
  <c r="AA124" i="33"/>
  <c r="AO124" i="33" s="1"/>
  <c r="AP124" i="33" s="1"/>
  <c r="W124" i="33"/>
  <c r="H16" i="22"/>
  <c r="I16" i="22" s="1"/>
  <c r="D16" i="22"/>
  <c r="F16" i="22" s="1"/>
  <c r="G16" i="22" s="1"/>
  <c r="AE54" i="40"/>
  <c r="AG54" i="40" s="1"/>
  <c r="AE58" i="40"/>
  <c r="D54" i="40"/>
  <c r="R53" i="40"/>
  <c r="D58" i="40"/>
  <c r="F58" i="40" s="1"/>
  <c r="H58" i="40" s="1"/>
  <c r="D62" i="40"/>
  <c r="R57" i="40"/>
  <c r="AA125" i="43"/>
  <c r="AO125" i="43" s="1"/>
  <c r="AP125" i="43" s="1"/>
  <c r="W125" i="43"/>
  <c r="AA124" i="43"/>
  <c r="AO124" i="43" s="1"/>
  <c r="AP124" i="43" s="1"/>
  <c r="W124" i="43"/>
  <c r="O142" i="26"/>
  <c r="P141" i="26"/>
  <c r="O146" i="26"/>
  <c r="AC134" i="44"/>
  <c r="AD134" i="44" s="1"/>
  <c r="AD133" i="44"/>
  <c r="AC138" i="44"/>
  <c r="X112" i="33"/>
  <c r="Q117" i="50"/>
  <c r="Q119" i="50"/>
  <c r="C129" i="49"/>
  <c r="C128" i="49"/>
  <c r="AE74" i="44"/>
  <c r="AG74" i="44" s="1"/>
  <c r="AE78" i="44"/>
  <c r="R73" i="44"/>
  <c r="D74" i="44"/>
  <c r="R64" i="44"/>
  <c r="D78" i="44"/>
  <c r="A143" i="47"/>
  <c r="B142" i="47"/>
  <c r="J62" i="43"/>
  <c r="P129" i="47"/>
  <c r="O130" i="47"/>
  <c r="P130" i="47" s="1"/>
  <c r="B137" i="48"/>
  <c r="A138" i="48"/>
  <c r="O146" i="42"/>
  <c r="O142" i="42"/>
  <c r="P141" i="42"/>
  <c r="O133" i="28"/>
  <c r="P132" i="28"/>
  <c r="AC139" i="36"/>
  <c r="AD139" i="36" s="1"/>
  <c r="AD138" i="36"/>
  <c r="AC143" i="36"/>
  <c r="Q143" i="59"/>
  <c r="Q141" i="59"/>
  <c r="AG90" i="48"/>
  <c r="AI85" i="47"/>
  <c r="A135" i="38"/>
  <c r="B135" i="38" s="1"/>
  <c r="B134" i="38"/>
  <c r="AA125" i="44"/>
  <c r="AO125" i="44" s="1"/>
  <c r="AP125" i="44" s="1"/>
  <c r="W125" i="44"/>
  <c r="AA124" i="44"/>
  <c r="AO124" i="44" s="1"/>
  <c r="AP124" i="44" s="1"/>
  <c r="W124" i="44"/>
  <c r="AC139" i="28"/>
  <c r="AD139" i="28" s="1"/>
  <c r="AD138" i="28"/>
  <c r="AC143" i="28"/>
  <c r="C128" i="41"/>
  <c r="C129" i="41"/>
  <c r="G118" i="43"/>
  <c r="C117" i="43"/>
  <c r="A130" i="46"/>
  <c r="B130" i="46" s="1"/>
  <c r="B129" i="46"/>
  <c r="B146" i="41"/>
  <c r="A147" i="41"/>
  <c r="AJ135" i="34"/>
  <c r="AJ134" i="34"/>
  <c r="B137" i="37"/>
  <c r="A138" i="37"/>
  <c r="AJ130" i="41"/>
  <c r="AJ129" i="41"/>
  <c r="AG38" i="37"/>
  <c r="O160" i="59"/>
  <c r="P159" i="59"/>
  <c r="Z40" i="40"/>
  <c r="AK40" i="40"/>
  <c r="AM40" i="40" s="1"/>
  <c r="AS40" i="40" s="1"/>
  <c r="L45" i="40"/>
  <c r="AC143" i="32"/>
  <c r="AC139" i="32"/>
  <c r="AD139" i="32" s="1"/>
  <c r="AD138" i="32"/>
  <c r="X112" i="49"/>
  <c r="X112" i="44"/>
  <c r="F47" i="38"/>
  <c r="B142" i="38"/>
  <c r="A143" i="38"/>
  <c r="Y120" i="29"/>
  <c r="Y119" i="29"/>
  <c r="Z120" i="29"/>
  <c r="Z119" i="29"/>
  <c r="R117" i="29"/>
  <c r="P132" i="43"/>
  <c r="O133" i="43"/>
  <c r="F62" i="41"/>
  <c r="AG58" i="41"/>
  <c r="H12" i="18"/>
  <c r="I12" i="18" s="1"/>
  <c r="D12" i="18"/>
  <c r="F12" i="18" s="1"/>
  <c r="G12" i="18" s="1"/>
  <c r="P133" i="48"/>
  <c r="Q133" i="48" s="1"/>
  <c r="O134" i="48"/>
  <c r="C117" i="46"/>
  <c r="G118" i="46"/>
  <c r="AE40" i="38"/>
  <c r="AI39" i="38" s="1"/>
  <c r="D123" i="40"/>
  <c r="F123" i="40" s="1"/>
  <c r="C122" i="40"/>
  <c r="G123" i="40"/>
  <c r="T83" i="47"/>
  <c r="V83" i="47"/>
  <c r="AI132" i="37"/>
  <c r="AL134" i="37"/>
  <c r="AH134" i="37"/>
  <c r="AL135" i="37"/>
  <c r="AH135" i="37"/>
  <c r="O133" i="44"/>
  <c r="P132" i="44"/>
  <c r="AD160" i="59"/>
  <c r="AC166" i="59"/>
  <c r="AC161" i="59"/>
  <c r="AD161" i="59" s="1"/>
  <c r="X12" i="20"/>
  <c r="V85" i="47" l="1"/>
  <c r="F104" i="50"/>
  <c r="T84" i="47"/>
  <c r="T85" i="47" s="1"/>
  <c r="X84" i="47" s="1"/>
  <c r="X85" i="47" s="1"/>
  <c r="X50" i="41"/>
  <c r="Z49" i="50"/>
  <c r="AB49" i="50" s="1"/>
  <c r="L54" i="50"/>
  <c r="N54" i="50" s="1"/>
  <c r="AQ54" i="50" s="1"/>
  <c r="A148" i="66"/>
  <c r="AN3" i="41"/>
  <c r="AN6" i="41" s="1"/>
  <c r="A73" i="66"/>
  <c r="L92" i="66"/>
  <c r="J92" i="66" s="1"/>
  <c r="B92" i="65" s="1"/>
  <c r="AI4" i="25"/>
  <c r="AB50" i="42"/>
  <c r="T107" i="50"/>
  <c r="J39" i="38"/>
  <c r="N39" i="38" s="1"/>
  <c r="AQ39" i="38" s="1"/>
  <c r="AP60" i="50"/>
  <c r="AP40" i="50"/>
  <c r="AT40" i="50" s="1"/>
  <c r="E6" i="50" s="1"/>
  <c r="Z44" i="50"/>
  <c r="AB44" i="50" s="1"/>
  <c r="L49" i="50"/>
  <c r="N49" i="50" s="1"/>
  <c r="AQ49" i="50" s="1"/>
  <c r="AK44" i="50"/>
  <c r="AM44" i="50" s="1"/>
  <c r="AS44" i="50" s="1"/>
  <c r="D149" i="66"/>
  <c r="A149" i="66" s="1"/>
  <c r="D129" i="66"/>
  <c r="A184" i="66"/>
  <c r="B184" i="66"/>
  <c r="J115" i="66"/>
  <c r="B115" i="65" s="1"/>
  <c r="D115" i="65"/>
  <c r="A115" i="65" s="1"/>
  <c r="I115" i="66"/>
  <c r="I92" i="66"/>
  <c r="D152" i="65"/>
  <c r="J152" i="66"/>
  <c r="B152" i="65" s="1"/>
  <c r="I152" i="66"/>
  <c r="D107" i="66"/>
  <c r="L116" i="66"/>
  <c r="B106" i="66"/>
  <c r="A106" i="66"/>
  <c r="I128" i="66"/>
  <c r="J128" i="66"/>
  <c r="B128" i="65" s="1"/>
  <c r="D128" i="65"/>
  <c r="A128" i="65" s="1"/>
  <c r="A128" i="66"/>
  <c r="B128" i="66"/>
  <c r="L212" i="66"/>
  <c r="Z28" i="44"/>
  <c r="AN3" i="42"/>
  <c r="AN3" i="43"/>
  <c r="AN6" i="43" s="1"/>
  <c r="AJ10" i="46"/>
  <c r="AJ11" i="46" s="1"/>
  <c r="AN10" i="46" s="1"/>
  <c r="AJ5" i="25"/>
  <c r="AN16" i="45"/>
  <c r="D71" i="66"/>
  <c r="L76" i="66"/>
  <c r="D110" i="66"/>
  <c r="A70" i="66"/>
  <c r="B70" i="66"/>
  <c r="B149" i="66"/>
  <c r="D84" i="66"/>
  <c r="L90" i="66"/>
  <c r="J89" i="66"/>
  <c r="B89" i="65" s="1"/>
  <c r="D89" i="65"/>
  <c r="A89" i="65" s="1"/>
  <c r="I89" i="66"/>
  <c r="B83" i="66"/>
  <c r="A83" i="66"/>
  <c r="D162" i="66"/>
  <c r="L174" i="66"/>
  <c r="D123" i="66"/>
  <c r="L132" i="66"/>
  <c r="A122" i="66"/>
  <c r="B122" i="66"/>
  <c r="I75" i="66"/>
  <c r="D75" i="65"/>
  <c r="A75" i="65" s="1"/>
  <c r="J75" i="66"/>
  <c r="B75" i="65" s="1"/>
  <c r="D57" i="66"/>
  <c r="L60" i="66"/>
  <c r="R104" i="50"/>
  <c r="D113" i="50"/>
  <c r="AE109" i="50"/>
  <c r="D109" i="50"/>
  <c r="AE113" i="50"/>
  <c r="R108" i="50"/>
  <c r="D38" i="66"/>
  <c r="L40" i="66"/>
  <c r="D117" i="50"/>
  <c r="L160" i="66"/>
  <c r="B170" i="66"/>
  <c r="A170" i="66"/>
  <c r="V89" i="49"/>
  <c r="V90" i="49" s="1"/>
  <c r="T89" i="49"/>
  <c r="T90" i="49" s="1"/>
  <c r="X89" i="49" s="1"/>
  <c r="D139" i="65"/>
  <c r="J139" i="66"/>
  <c r="B139" i="65" s="1"/>
  <c r="I139" i="66"/>
  <c r="D39" i="65"/>
  <c r="A39" i="65" s="1"/>
  <c r="J39" i="66"/>
  <c r="B39" i="65" s="1"/>
  <c r="I39" i="66"/>
  <c r="Z28" i="41"/>
  <c r="X7" i="41"/>
  <c r="D19" i="65"/>
  <c r="A19" i="65" s="1"/>
  <c r="J19" i="66"/>
  <c r="B19" i="65" s="1"/>
  <c r="I19" i="66"/>
  <c r="AJ9" i="41"/>
  <c r="AL9" i="41"/>
  <c r="D59" i="65"/>
  <c r="A59" i="65" s="1"/>
  <c r="J59" i="66"/>
  <c r="B59" i="65" s="1"/>
  <c r="I59" i="66"/>
  <c r="V97" i="47"/>
  <c r="T97" i="47"/>
  <c r="D108" i="49"/>
  <c r="F108" i="49" s="1"/>
  <c r="R99" i="49"/>
  <c r="R107" i="49"/>
  <c r="D112" i="49"/>
  <c r="F112" i="49" s="1"/>
  <c r="R89" i="48"/>
  <c r="R102" i="48"/>
  <c r="D103" i="48"/>
  <c r="F103" i="48" s="1"/>
  <c r="D107" i="48"/>
  <c r="F107" i="48" s="1"/>
  <c r="D95" i="66"/>
  <c r="L100" i="66"/>
  <c r="D98" i="46"/>
  <c r="F98" i="46" s="1"/>
  <c r="H98" i="46" s="1"/>
  <c r="R97" i="46"/>
  <c r="D102" i="46"/>
  <c r="F102" i="46" s="1"/>
  <c r="AJ10" i="44"/>
  <c r="AL10" i="44"/>
  <c r="D104" i="49"/>
  <c r="F104" i="49" s="1"/>
  <c r="H104" i="49" s="1"/>
  <c r="R103" i="49"/>
  <c r="D199" i="65"/>
  <c r="A199" i="65" s="1"/>
  <c r="J199" i="66"/>
  <c r="B199" i="65" s="1"/>
  <c r="I199" i="66"/>
  <c r="T102" i="49"/>
  <c r="V102" i="49"/>
  <c r="B37" i="66"/>
  <c r="A37" i="66"/>
  <c r="B18" i="66"/>
  <c r="A18" i="66"/>
  <c r="A56" i="66"/>
  <c r="B56" i="66"/>
  <c r="R87" i="45"/>
  <c r="D97" i="45"/>
  <c r="F97" i="45" s="1"/>
  <c r="L200" i="66"/>
  <c r="H104" i="50"/>
  <c r="H105" i="50" s="1"/>
  <c r="F105" i="50"/>
  <c r="J104" i="50" s="1"/>
  <c r="Z16" i="41"/>
  <c r="AD16" i="41" s="1"/>
  <c r="Z15" i="41"/>
  <c r="AD15" i="41" s="1"/>
  <c r="D79" i="65"/>
  <c r="A79" i="65" s="1"/>
  <c r="J79" i="66"/>
  <c r="B79" i="65" s="1"/>
  <c r="I79" i="66"/>
  <c r="D99" i="65"/>
  <c r="J99" i="66"/>
  <c r="B99" i="65" s="1"/>
  <c r="I99" i="66"/>
  <c r="X90" i="50"/>
  <c r="D159" i="65"/>
  <c r="A159" i="65" s="1"/>
  <c r="I159" i="66"/>
  <c r="J159" i="66"/>
  <c r="B159" i="65" s="1"/>
  <c r="H97" i="46"/>
  <c r="L140" i="66"/>
  <c r="D76" i="66"/>
  <c r="L80" i="66"/>
  <c r="AJ10" i="41"/>
  <c r="AL10" i="41"/>
  <c r="AL11" i="41" s="1"/>
  <c r="D19" i="66"/>
  <c r="L20" i="66"/>
  <c r="D171" i="66"/>
  <c r="D114" i="66"/>
  <c r="H99" i="50"/>
  <c r="H100" i="50" s="1"/>
  <c r="J100" i="50" s="1"/>
  <c r="F100" i="50"/>
  <c r="J99" i="50" s="1"/>
  <c r="AE104" i="49"/>
  <c r="AG104" i="49" s="1"/>
  <c r="AE108" i="49"/>
  <c r="H103" i="49"/>
  <c r="B75" i="66"/>
  <c r="A75" i="66"/>
  <c r="B94" i="66"/>
  <c r="A94" i="66"/>
  <c r="T99" i="50"/>
  <c r="T100" i="50" s="1"/>
  <c r="X99" i="50" s="1"/>
  <c r="V99" i="50"/>
  <c r="V100" i="50" s="1"/>
  <c r="V87" i="46"/>
  <c r="T87" i="46"/>
  <c r="AN16" i="41"/>
  <c r="V22" i="41"/>
  <c r="V23" i="41" s="1"/>
  <c r="Z22" i="41" s="1"/>
  <c r="X22" i="41"/>
  <c r="X23" i="41" s="1"/>
  <c r="H102" i="47"/>
  <c r="Z16" i="43"/>
  <c r="AN11" i="45"/>
  <c r="AL5" i="45"/>
  <c r="AL6" i="45" s="1"/>
  <c r="AN6" i="45" s="1"/>
  <c r="AJ6" i="45"/>
  <c r="AN5" i="45" s="1"/>
  <c r="Z49" i="45"/>
  <c r="AB49" i="45" s="1"/>
  <c r="L49" i="45"/>
  <c r="N49" i="45" s="1"/>
  <c r="AQ49" i="45" s="1"/>
  <c r="L54" i="45"/>
  <c r="N54" i="45" s="1"/>
  <c r="AQ54" i="45" s="1"/>
  <c r="AK44" i="45"/>
  <c r="AM44" i="45" s="1"/>
  <c r="AS44" i="45" s="1"/>
  <c r="Z44" i="45"/>
  <c r="AB44" i="45" s="1"/>
  <c r="T69" i="45"/>
  <c r="T70" i="45" s="1"/>
  <c r="X69" i="45" s="1"/>
  <c r="X70" i="45" s="1"/>
  <c r="AJ16" i="43"/>
  <c r="AN15" i="43" s="1"/>
  <c r="AL16" i="42"/>
  <c r="AN16" i="42" s="1"/>
  <c r="Z28" i="43"/>
  <c r="AL16" i="43"/>
  <c r="Z65" i="47"/>
  <c r="AB65" i="47" s="1"/>
  <c r="AL11" i="46"/>
  <c r="Z5" i="43"/>
  <c r="N19" i="43"/>
  <c r="L5" i="43" s="1"/>
  <c r="AP55" i="43" s="1"/>
  <c r="Z16" i="42"/>
  <c r="Z5" i="44"/>
  <c r="D77" i="42"/>
  <c r="AH10" i="42"/>
  <c r="AJ5" i="44"/>
  <c r="AN3" i="44"/>
  <c r="AN5" i="42"/>
  <c r="AJ16" i="44"/>
  <c r="AN15" i="44" s="1"/>
  <c r="A96" i="65"/>
  <c r="R69" i="44"/>
  <c r="V69" i="44" s="1"/>
  <c r="V70" i="44" s="1"/>
  <c r="T22" i="44"/>
  <c r="AL5" i="46"/>
  <c r="AL6" i="46" s="1"/>
  <c r="AN6" i="46" s="1"/>
  <c r="AJ6" i="46"/>
  <c r="AN5" i="46" s="1"/>
  <c r="A109" i="65"/>
  <c r="A70" i="65"/>
  <c r="AL6" i="42"/>
  <c r="AL16" i="44"/>
  <c r="Z15" i="43"/>
  <c r="X22" i="45"/>
  <c r="X23" i="45" s="1"/>
  <c r="V22" i="45"/>
  <c r="V23" i="45" s="1"/>
  <c r="Z22" i="45" s="1"/>
  <c r="AJ9" i="44"/>
  <c r="AJ11" i="44" s="1"/>
  <c r="AN10" i="44" s="1"/>
  <c r="AL9" i="44"/>
  <c r="AL11" i="44" s="1"/>
  <c r="AN11" i="47"/>
  <c r="AJ9" i="42"/>
  <c r="AL9" i="42"/>
  <c r="A57" i="65"/>
  <c r="X22" i="43"/>
  <c r="X23" i="43" s="1"/>
  <c r="V22" i="43"/>
  <c r="V23" i="43" s="1"/>
  <c r="Z22" i="43" s="1"/>
  <c r="Z5" i="42"/>
  <c r="Z5" i="46"/>
  <c r="X15" i="44"/>
  <c r="X16" i="44" s="1"/>
  <c r="Z16" i="44" s="1"/>
  <c r="V16" i="44"/>
  <c r="Z15" i="44" s="1"/>
  <c r="V22" i="42"/>
  <c r="V23" i="42" s="1"/>
  <c r="Z22" i="42" s="1"/>
  <c r="X22" i="42"/>
  <c r="X23" i="42" s="1"/>
  <c r="AL9" i="43"/>
  <c r="AJ9" i="43"/>
  <c r="AI11" i="25"/>
  <c r="AI7" i="25"/>
  <c r="J40" i="38"/>
  <c r="N40" i="38" s="1"/>
  <c r="AQ40" i="38" s="1"/>
  <c r="AE90" i="47"/>
  <c r="AI89" i="47" s="1"/>
  <c r="AI80" i="46"/>
  <c r="AI6" i="25"/>
  <c r="AI8" i="25"/>
  <c r="L69" i="47"/>
  <c r="N69" i="47" s="1"/>
  <c r="AQ69" i="47" s="1"/>
  <c r="AK64" i="47"/>
  <c r="AM64" i="47" s="1"/>
  <c r="AS64" i="47" s="1"/>
  <c r="Z64" i="47"/>
  <c r="AB64" i="47" s="1"/>
  <c r="AI14" i="25"/>
  <c r="AJ10" i="25"/>
  <c r="AI10" i="25"/>
  <c r="AJ15" i="25"/>
  <c r="AJ13" i="25"/>
  <c r="AI12" i="25"/>
  <c r="AJ12" i="25"/>
  <c r="AJ9" i="25"/>
  <c r="AI9" i="25"/>
  <c r="Y11" i="17"/>
  <c r="T50" i="40"/>
  <c r="X49" i="40" s="1"/>
  <c r="X50" i="40" s="1"/>
  <c r="V32" i="35"/>
  <c r="T32" i="35"/>
  <c r="AV20" i="25"/>
  <c r="N45" i="40"/>
  <c r="AQ45" i="40" s="1"/>
  <c r="R32" i="34"/>
  <c r="AE33" i="34"/>
  <c r="AG33" i="34" s="1"/>
  <c r="D37" i="34"/>
  <c r="F37" i="34" s="1"/>
  <c r="H37" i="34" s="1"/>
  <c r="AE21" i="61"/>
  <c r="C4" i="33"/>
  <c r="AP21" i="25"/>
  <c r="B21" i="25"/>
  <c r="H20" i="25"/>
  <c r="I20" i="25" s="1"/>
  <c r="D20" i="25"/>
  <c r="F20" i="25" s="1"/>
  <c r="G20" i="25" s="1"/>
  <c r="Z60" i="46"/>
  <c r="AB60" i="46" s="1"/>
  <c r="L65" i="46"/>
  <c r="N65" i="46" s="1"/>
  <c r="AQ65" i="46" s="1"/>
  <c r="L69" i="48"/>
  <c r="N69" i="48" s="1"/>
  <c r="AQ69" i="48" s="1"/>
  <c r="AK64" i="48"/>
  <c r="AM64" i="48" s="1"/>
  <c r="AS64" i="48" s="1"/>
  <c r="Z64" i="48"/>
  <c r="AB64" i="48" s="1"/>
  <c r="L70" i="48"/>
  <c r="N70" i="48" s="1"/>
  <c r="AQ70" i="48" s="1"/>
  <c r="Z65" i="48"/>
  <c r="AB65" i="48" s="1"/>
  <c r="AK65" i="48"/>
  <c r="AM65" i="48" s="1"/>
  <c r="AS65" i="48" s="1"/>
  <c r="AK59" i="46"/>
  <c r="AM59" i="46" s="1"/>
  <c r="AS59" i="46" s="1"/>
  <c r="Z59" i="46"/>
  <c r="AB59" i="46" s="1"/>
  <c r="L64" i="46"/>
  <c r="N64" i="46" s="1"/>
  <c r="AQ64" i="46" s="1"/>
  <c r="J79" i="46"/>
  <c r="AE70" i="43"/>
  <c r="AI69" i="43" s="1"/>
  <c r="AI70" i="43" s="1"/>
  <c r="X11" i="19"/>
  <c r="J80" i="46"/>
  <c r="N55" i="42"/>
  <c r="AQ55" i="42" s="1"/>
  <c r="AR39" i="41"/>
  <c r="AT39" i="41" s="1"/>
  <c r="D6" i="41" s="1"/>
  <c r="L54" i="41" s="1"/>
  <c r="AG60" i="41"/>
  <c r="AE60" i="41"/>
  <c r="AI59" i="41" s="1"/>
  <c r="AI60" i="42"/>
  <c r="AM60" i="42" s="1"/>
  <c r="AS60" i="42" s="1"/>
  <c r="AI65" i="43"/>
  <c r="AI55" i="41"/>
  <c r="AI70" i="44"/>
  <c r="D73" i="42"/>
  <c r="F73" i="42" s="1"/>
  <c r="H73" i="42" s="1"/>
  <c r="AG90" i="47"/>
  <c r="AI90" i="48"/>
  <c r="AR64" i="49"/>
  <c r="AT64" i="49" s="1"/>
  <c r="D11" i="49" s="1"/>
  <c r="AR65" i="49"/>
  <c r="AT65" i="49" s="1"/>
  <c r="E11" i="49" s="1"/>
  <c r="X80" i="47"/>
  <c r="R79" i="45"/>
  <c r="D88" i="45"/>
  <c r="F88" i="45" s="1"/>
  <c r="H88" i="45" s="1"/>
  <c r="Z49" i="42"/>
  <c r="AB49" i="42" s="1"/>
  <c r="L54" i="42"/>
  <c r="N54" i="42" s="1"/>
  <c r="AQ54" i="42" s="1"/>
  <c r="R47" i="36"/>
  <c r="D52" i="36"/>
  <c r="F52" i="36" s="1"/>
  <c r="AE98" i="47"/>
  <c r="AG98" i="47" s="1"/>
  <c r="R93" i="47"/>
  <c r="T93" i="47" s="1"/>
  <c r="T103" i="49"/>
  <c r="V103" i="49"/>
  <c r="AI100" i="50"/>
  <c r="H68" i="42"/>
  <c r="V47" i="37"/>
  <c r="T47" i="37"/>
  <c r="H87" i="45"/>
  <c r="T77" i="44"/>
  <c r="V77" i="44"/>
  <c r="D68" i="41"/>
  <c r="F68" i="41" s="1"/>
  <c r="R67" i="41"/>
  <c r="R77" i="43"/>
  <c r="D82" i="43"/>
  <c r="F82" i="43" s="1"/>
  <c r="V49" i="39"/>
  <c r="T49" i="39"/>
  <c r="R84" i="46"/>
  <c r="AE94" i="47"/>
  <c r="AG94" i="47" s="1"/>
  <c r="V98" i="49"/>
  <c r="T98" i="49"/>
  <c r="F99" i="49"/>
  <c r="J97" i="49"/>
  <c r="T82" i="45"/>
  <c r="V82" i="45"/>
  <c r="V79" i="46"/>
  <c r="V80" i="46" s="1"/>
  <c r="T79" i="46"/>
  <c r="T80" i="46" s="1"/>
  <c r="X79" i="46" s="1"/>
  <c r="X85" i="48"/>
  <c r="H54" i="41"/>
  <c r="H55" i="41" s="1"/>
  <c r="J55" i="41" s="1"/>
  <c r="F55" i="41"/>
  <c r="J54" i="41" s="1"/>
  <c r="H84" i="47"/>
  <c r="H85" i="47" s="1"/>
  <c r="J85" i="47" s="1"/>
  <c r="F85" i="47"/>
  <c r="J84" i="47" s="1"/>
  <c r="D83" i="44"/>
  <c r="F83" i="44" s="1"/>
  <c r="H83" i="44" s="1"/>
  <c r="R82" i="44"/>
  <c r="D87" i="44"/>
  <c r="F87" i="44" s="1"/>
  <c r="H69" i="44"/>
  <c r="H70" i="44" s="1"/>
  <c r="J70" i="44" s="1"/>
  <c r="F70" i="44"/>
  <c r="J69" i="44" s="1"/>
  <c r="AG108" i="49"/>
  <c r="AI105" i="50"/>
  <c r="J105" i="50"/>
  <c r="R98" i="48"/>
  <c r="D99" i="48"/>
  <c r="AE99" i="48"/>
  <c r="AE103" i="48"/>
  <c r="H67" i="40"/>
  <c r="D72" i="41"/>
  <c r="F72" i="41" s="1"/>
  <c r="H89" i="48"/>
  <c r="H90" i="48" s="1"/>
  <c r="J90" i="48" s="1"/>
  <c r="F90" i="48"/>
  <c r="J89" i="48" s="1"/>
  <c r="Z50" i="41"/>
  <c r="AB50" i="41" s="1"/>
  <c r="L55" i="41"/>
  <c r="AG99" i="49"/>
  <c r="AG100" i="49" s="1"/>
  <c r="AE100" i="49"/>
  <c r="AI99" i="49" s="1"/>
  <c r="AG103" i="49"/>
  <c r="AG105" i="49" s="1"/>
  <c r="V67" i="42"/>
  <c r="T67" i="42"/>
  <c r="AR50" i="43"/>
  <c r="AR49" i="43"/>
  <c r="H52" i="37"/>
  <c r="H82" i="44"/>
  <c r="AR55" i="44"/>
  <c r="AT55" i="44" s="1"/>
  <c r="E9" i="44" s="1"/>
  <c r="Z60" i="44" s="1"/>
  <c r="AB60" i="44" s="1"/>
  <c r="AR54" i="44"/>
  <c r="AT54" i="44" s="1"/>
  <c r="D9" i="44" s="1"/>
  <c r="L64" i="44" s="1"/>
  <c r="N64" i="44" s="1"/>
  <c r="AQ64" i="44" s="1"/>
  <c r="AI45" i="39"/>
  <c r="AI50" i="40"/>
  <c r="AE40" i="37"/>
  <c r="AI39" i="37" s="1"/>
  <c r="AR45" i="43"/>
  <c r="AT45" i="43" s="1"/>
  <c r="E7" i="43" s="1"/>
  <c r="AK50" i="43" s="1"/>
  <c r="AM50" i="43" s="1"/>
  <c r="AS50" i="43" s="1"/>
  <c r="AR44" i="43"/>
  <c r="AT44" i="43" s="1"/>
  <c r="D7" i="43" s="1"/>
  <c r="AK49" i="43" s="1"/>
  <c r="AM49" i="43" s="1"/>
  <c r="AS49" i="43" s="1"/>
  <c r="Z44" i="42"/>
  <c r="AB44" i="42" s="1"/>
  <c r="L49" i="42"/>
  <c r="N49" i="42" s="1"/>
  <c r="AQ49" i="42" s="1"/>
  <c r="AK44" i="42"/>
  <c r="AM44" i="42" s="1"/>
  <c r="AS44" i="42" s="1"/>
  <c r="AK45" i="41"/>
  <c r="AM45" i="41" s="1"/>
  <c r="AS45" i="41" s="1"/>
  <c r="Z45" i="41"/>
  <c r="AB45" i="41" s="1"/>
  <c r="L50" i="41"/>
  <c r="N50" i="41" s="1"/>
  <c r="AQ50" i="41" s="1"/>
  <c r="H123" i="42"/>
  <c r="AG40" i="37"/>
  <c r="H123" i="38"/>
  <c r="X45" i="40"/>
  <c r="H123" i="50"/>
  <c r="X135" i="32"/>
  <c r="AB135" i="32" s="1"/>
  <c r="AR135" i="32" s="1"/>
  <c r="H123" i="44"/>
  <c r="H123" i="40"/>
  <c r="X65" i="45"/>
  <c r="H123" i="29"/>
  <c r="H123" i="35"/>
  <c r="X75" i="46"/>
  <c r="H123" i="27"/>
  <c r="H123" i="49"/>
  <c r="AR35" i="38"/>
  <c r="AT35" i="38" s="1"/>
  <c r="E5" i="38" s="1"/>
  <c r="AR34" i="38"/>
  <c r="AT34" i="38" s="1"/>
  <c r="D5" i="38" s="1"/>
  <c r="AA11" i="17"/>
  <c r="AG11" i="17" s="1"/>
  <c r="AA13" i="53"/>
  <c r="AG13" i="53" s="1"/>
  <c r="X12" i="53"/>
  <c r="AI10" i="24"/>
  <c r="AJ10" i="24"/>
  <c r="AA8" i="14"/>
  <c r="AG8" i="14" s="1"/>
  <c r="X7" i="14"/>
  <c r="O135" i="48"/>
  <c r="P135" i="48" s="1"/>
  <c r="P134" i="48"/>
  <c r="V117" i="29"/>
  <c r="V120" i="29" s="1"/>
  <c r="T117" i="29"/>
  <c r="T120" i="29" s="1"/>
  <c r="X119" i="29" s="1"/>
  <c r="AB119" i="29" s="1"/>
  <c r="H47" i="38"/>
  <c r="AI137" i="32"/>
  <c r="AL139" i="32"/>
  <c r="AH139" i="32"/>
  <c r="AL140" i="32"/>
  <c r="AH140" i="32"/>
  <c r="M130" i="41"/>
  <c r="I130" i="41"/>
  <c r="G129" i="41"/>
  <c r="M129" i="41"/>
  <c r="I129" i="41"/>
  <c r="AI137" i="28"/>
  <c r="AL139" i="28"/>
  <c r="AH139" i="28"/>
  <c r="AL140" i="28"/>
  <c r="AH140" i="28"/>
  <c r="AL140" i="36"/>
  <c r="AH140" i="36"/>
  <c r="AL139" i="36"/>
  <c r="AH139" i="36"/>
  <c r="AI137" i="36"/>
  <c r="O134" i="28"/>
  <c r="P133" i="28"/>
  <c r="Q133" i="28" s="1"/>
  <c r="P142" i="42"/>
  <c r="O143" i="42"/>
  <c r="F74" i="44"/>
  <c r="J72" i="44"/>
  <c r="AL135" i="44"/>
  <c r="AH135" i="44"/>
  <c r="AI132" i="44"/>
  <c r="AL134" i="44"/>
  <c r="AH134" i="44"/>
  <c r="P142" i="26"/>
  <c r="O143" i="26"/>
  <c r="F62" i="40"/>
  <c r="AG58" i="40"/>
  <c r="AI147" i="40"/>
  <c r="AL149" i="40"/>
  <c r="AH149" i="40"/>
  <c r="AL150" i="40"/>
  <c r="AH150" i="40"/>
  <c r="AC139" i="29"/>
  <c r="AD139" i="29" s="1"/>
  <c r="AD138" i="29"/>
  <c r="AC143" i="29"/>
  <c r="V42" i="37"/>
  <c r="T42" i="37"/>
  <c r="T38" i="37"/>
  <c r="V38" i="37"/>
  <c r="AF10" i="19"/>
  <c r="AF11" i="19" s="1"/>
  <c r="AF12" i="19" s="1"/>
  <c r="Q129" i="30"/>
  <c r="Q127" i="30"/>
  <c r="X122" i="36"/>
  <c r="R124" i="36"/>
  <c r="C129" i="37"/>
  <c r="C128" i="37"/>
  <c r="V112" i="50"/>
  <c r="T112" i="50"/>
  <c r="M124" i="26"/>
  <c r="I124" i="26"/>
  <c r="M125" i="26"/>
  <c r="I125" i="26"/>
  <c r="G124" i="26"/>
  <c r="AV5" i="10"/>
  <c r="A139" i="26"/>
  <c r="B138" i="26"/>
  <c r="D128" i="50"/>
  <c r="F128" i="50" s="1"/>
  <c r="C127" i="50"/>
  <c r="G128" i="50"/>
  <c r="AC148" i="26"/>
  <c r="AC144" i="26"/>
  <c r="AD144" i="26" s="1"/>
  <c r="AD143" i="26"/>
  <c r="AE84" i="45"/>
  <c r="AG84" i="45" s="1"/>
  <c r="AE88" i="45"/>
  <c r="R83" i="45"/>
  <c r="D84" i="45"/>
  <c r="P141" i="39"/>
  <c r="O146" i="39"/>
  <c r="O142" i="39"/>
  <c r="M129" i="33"/>
  <c r="I129" i="33"/>
  <c r="M130" i="33"/>
  <c r="I130" i="33"/>
  <c r="G129" i="33"/>
  <c r="A144" i="33"/>
  <c r="B143" i="33"/>
  <c r="AA13" i="19"/>
  <c r="AA130" i="49"/>
  <c r="AO130" i="49" s="1"/>
  <c r="AP130" i="49" s="1"/>
  <c r="W130" i="49"/>
  <c r="AA129" i="49"/>
  <c r="AO129" i="49" s="1"/>
  <c r="AP129" i="49" s="1"/>
  <c r="W129" i="49"/>
  <c r="AJ139" i="31"/>
  <c r="AJ140" i="31"/>
  <c r="A135" i="36"/>
  <c r="B135" i="36" s="1"/>
  <c r="B134" i="36"/>
  <c r="AV6" i="11"/>
  <c r="C133" i="42"/>
  <c r="C134" i="42"/>
  <c r="A135" i="46"/>
  <c r="B135" i="46" s="1"/>
  <c r="B134" i="46"/>
  <c r="B146" i="30"/>
  <c r="A147" i="30"/>
  <c r="K124" i="38"/>
  <c r="L125" i="38"/>
  <c r="G122" i="38"/>
  <c r="K125" i="38"/>
  <c r="L124" i="38"/>
  <c r="D122" i="38"/>
  <c r="AA130" i="31"/>
  <c r="AO130" i="31" s="1"/>
  <c r="AP130" i="31" s="1"/>
  <c r="W130" i="31"/>
  <c r="AA129" i="31"/>
  <c r="AO129" i="31" s="1"/>
  <c r="AP129" i="31" s="1"/>
  <c r="W129" i="31"/>
  <c r="C134" i="33"/>
  <c r="C133" i="33"/>
  <c r="A140" i="27"/>
  <c r="B140" i="27" s="1"/>
  <c r="B139" i="27"/>
  <c r="AL140" i="30"/>
  <c r="AH140" i="30"/>
  <c r="AI137" i="30"/>
  <c r="AL139" i="30"/>
  <c r="AH139" i="30"/>
  <c r="P141" i="46"/>
  <c r="O146" i="46"/>
  <c r="O142" i="46"/>
  <c r="C129" i="43"/>
  <c r="C128" i="43"/>
  <c r="H13" i="18"/>
  <c r="I13" i="18" s="1"/>
  <c r="D13" i="18"/>
  <c r="F13" i="18" s="1"/>
  <c r="G13" i="18" s="1"/>
  <c r="G12" i="19"/>
  <c r="AA135" i="29"/>
  <c r="AO135" i="29" s="1"/>
  <c r="AP135" i="29" s="1"/>
  <c r="W135" i="29"/>
  <c r="AA134" i="29"/>
  <c r="AO134" i="29" s="1"/>
  <c r="AP134" i="29" s="1"/>
  <c r="W134" i="29"/>
  <c r="AL134" i="41"/>
  <c r="AH134" i="41"/>
  <c r="AL135" i="41"/>
  <c r="AH135" i="41"/>
  <c r="AI132" i="41"/>
  <c r="AC148" i="39"/>
  <c r="AC144" i="39"/>
  <c r="AD144" i="39" s="1"/>
  <c r="AD143" i="39"/>
  <c r="A144" i="41"/>
  <c r="B143" i="41"/>
  <c r="Q124" i="44"/>
  <c r="Q122" i="44"/>
  <c r="AA130" i="45"/>
  <c r="AO130" i="45" s="1"/>
  <c r="AP130" i="45" s="1"/>
  <c r="W129" i="45"/>
  <c r="W130" i="45"/>
  <c r="AA129" i="45"/>
  <c r="AO129" i="45" s="1"/>
  <c r="AP129" i="45" s="1"/>
  <c r="D128" i="28"/>
  <c r="F128" i="28" s="1"/>
  <c r="C127" i="28"/>
  <c r="G128" i="28"/>
  <c r="K124" i="29"/>
  <c r="L125" i="29"/>
  <c r="G122" i="29"/>
  <c r="K125" i="29"/>
  <c r="L124" i="29"/>
  <c r="D122" i="29"/>
  <c r="O139" i="42"/>
  <c r="P138" i="42"/>
  <c r="Q138" i="42" s="1"/>
  <c r="A140" i="50"/>
  <c r="B140" i="50" s="1"/>
  <c r="B139" i="50"/>
  <c r="O135" i="30"/>
  <c r="P135" i="30" s="1"/>
  <c r="P134" i="30"/>
  <c r="AC148" i="48"/>
  <c r="AC144" i="48"/>
  <c r="AD144" i="48" s="1"/>
  <c r="AD143" i="48"/>
  <c r="F44" i="38"/>
  <c r="J42" i="38"/>
  <c r="Q124" i="33"/>
  <c r="Q122" i="33"/>
  <c r="V117" i="26"/>
  <c r="V120" i="26" s="1"/>
  <c r="T117" i="26"/>
  <c r="T120" i="26" s="1"/>
  <c r="X119" i="26" s="1"/>
  <c r="AB119" i="26" s="1"/>
  <c r="H59" i="42"/>
  <c r="H60" i="42" s="1"/>
  <c r="J60" i="42" s="1"/>
  <c r="F60" i="42"/>
  <c r="J59" i="42" s="1"/>
  <c r="C134" i="40"/>
  <c r="C133" i="40"/>
  <c r="C127" i="35"/>
  <c r="G128" i="35"/>
  <c r="D128" i="35"/>
  <c r="F128" i="35" s="1"/>
  <c r="O143" i="47"/>
  <c r="P142" i="47"/>
  <c r="H16" i="21"/>
  <c r="I16" i="21" s="1"/>
  <c r="D16" i="21"/>
  <c r="F16" i="21" s="1"/>
  <c r="G16" i="21" s="1"/>
  <c r="AU5" i="61"/>
  <c r="C20" i="49"/>
  <c r="AP5" i="9"/>
  <c r="Y4" i="9" s="1"/>
  <c r="B5" i="9"/>
  <c r="Q149" i="59"/>
  <c r="Q147" i="59"/>
  <c r="AJ140" i="50"/>
  <c r="AJ139" i="50"/>
  <c r="A139" i="46"/>
  <c r="B138" i="46"/>
  <c r="T83" i="46"/>
  <c r="V83" i="46"/>
  <c r="C134" i="50"/>
  <c r="C133" i="50"/>
  <c r="AJ140" i="42"/>
  <c r="AJ139" i="42"/>
  <c r="C134" i="49"/>
  <c r="C133" i="49"/>
  <c r="K119" i="37"/>
  <c r="G117" i="37"/>
  <c r="K120" i="37"/>
  <c r="D14" i="53"/>
  <c r="F14" i="53" s="1"/>
  <c r="G14" i="53" s="1"/>
  <c r="H14" i="53"/>
  <c r="I14" i="53" s="1"/>
  <c r="AK15" i="61"/>
  <c r="B15" i="19"/>
  <c r="C10" i="39"/>
  <c r="D67" i="39" s="1"/>
  <c r="F67" i="39" s="1"/>
  <c r="AP15" i="19"/>
  <c r="Y14" i="19" s="1"/>
  <c r="X13" i="19" s="1"/>
  <c r="AP15" i="53"/>
  <c r="Y14" i="53" s="1"/>
  <c r="X13" i="53" s="1"/>
  <c r="B15" i="53"/>
  <c r="X117" i="37"/>
  <c r="R119" i="37"/>
  <c r="F42" i="36"/>
  <c r="F38" i="36"/>
  <c r="C133" i="29"/>
  <c r="C134" i="29"/>
  <c r="O146" i="45"/>
  <c r="P141" i="45"/>
  <c r="O142" i="45"/>
  <c r="M129" i="27"/>
  <c r="I129" i="27"/>
  <c r="M130" i="27"/>
  <c r="I130" i="27"/>
  <c r="G129" i="27"/>
  <c r="C127" i="38"/>
  <c r="G128" i="38"/>
  <c r="D128" i="38"/>
  <c r="F128" i="38" s="1"/>
  <c r="P133" i="27"/>
  <c r="Q133" i="27" s="1"/>
  <c r="O134" i="27"/>
  <c r="A140" i="32"/>
  <c r="B140" i="32" s="1"/>
  <c r="B139" i="32"/>
  <c r="G123" i="43"/>
  <c r="D123" i="43"/>
  <c r="F123" i="43" s="1"/>
  <c r="C122" i="43"/>
  <c r="Z125" i="30"/>
  <c r="Z124" i="30"/>
  <c r="R122" i="30"/>
  <c r="Y125" i="30"/>
  <c r="Y124" i="30"/>
  <c r="AC144" i="45"/>
  <c r="AD144" i="45" s="1"/>
  <c r="AD143" i="45"/>
  <c r="AC148" i="45"/>
  <c r="AV7" i="12"/>
  <c r="AC139" i="35"/>
  <c r="AD139" i="35" s="1"/>
  <c r="AD138" i="35"/>
  <c r="AC143" i="35"/>
  <c r="O134" i="40"/>
  <c r="P133" i="40"/>
  <c r="Q133" i="40" s="1"/>
  <c r="L124" i="34"/>
  <c r="D122" i="34"/>
  <c r="K124" i="34"/>
  <c r="L125" i="34"/>
  <c r="G122" i="34"/>
  <c r="K125" i="34"/>
  <c r="M124" i="48"/>
  <c r="I124" i="48"/>
  <c r="M125" i="48"/>
  <c r="I125" i="48"/>
  <c r="G124" i="48"/>
  <c r="X117" i="44"/>
  <c r="R119" i="44"/>
  <c r="AJ140" i="37"/>
  <c r="AJ139" i="37"/>
  <c r="F77" i="42"/>
  <c r="V59" i="42"/>
  <c r="V60" i="42" s="1"/>
  <c r="T59" i="42"/>
  <c r="T60" i="42" s="1"/>
  <c r="X59" i="42" s="1"/>
  <c r="O142" i="43"/>
  <c r="P141" i="43"/>
  <c r="O146" i="43"/>
  <c r="C122" i="45"/>
  <c r="G123" i="45"/>
  <c r="D123" i="45"/>
  <c r="F123" i="45" s="1"/>
  <c r="H38" i="37"/>
  <c r="H40" i="37" s="1"/>
  <c r="F40" i="37"/>
  <c r="A140" i="29"/>
  <c r="B140" i="29" s="1"/>
  <c r="B139" i="29"/>
  <c r="V137" i="32"/>
  <c r="V140" i="32" s="1"/>
  <c r="T137" i="32"/>
  <c r="T140" i="32" s="1"/>
  <c r="X139" i="32" s="1"/>
  <c r="AB139" i="32" s="1"/>
  <c r="L125" i="32"/>
  <c r="G122" i="32"/>
  <c r="L124" i="32"/>
  <c r="D122" i="32"/>
  <c r="K124" i="32"/>
  <c r="K125" i="32"/>
  <c r="K124" i="42"/>
  <c r="K125" i="42"/>
  <c r="L125" i="42"/>
  <c r="G122" i="42"/>
  <c r="L124" i="42"/>
  <c r="D122" i="42"/>
  <c r="AN12" i="61"/>
  <c r="L129" i="66" s="1"/>
  <c r="C13" i="42"/>
  <c r="AP12" i="16"/>
  <c r="B12" i="16"/>
  <c r="G117" i="39"/>
  <c r="K119" i="39"/>
  <c r="K120" i="39"/>
  <c r="P138" i="26"/>
  <c r="Q138" i="26" s="1"/>
  <c r="O139" i="26"/>
  <c r="O147" i="36"/>
  <c r="P146" i="36"/>
  <c r="H15" i="20"/>
  <c r="I15" i="20" s="1"/>
  <c r="D15" i="20"/>
  <c r="F15" i="20" s="1"/>
  <c r="G15" i="20" s="1"/>
  <c r="AG19" i="61"/>
  <c r="B19" i="23"/>
  <c r="AP19" i="23"/>
  <c r="C6" i="35"/>
  <c r="B147" i="29"/>
  <c r="A148" i="29"/>
  <c r="V117" i="47"/>
  <c r="V120" i="47" s="1"/>
  <c r="T117" i="47"/>
  <c r="T120" i="47" s="1"/>
  <c r="X119" i="47" s="1"/>
  <c r="AB119" i="47" s="1"/>
  <c r="F4" i="10"/>
  <c r="B146" i="39"/>
  <c r="A147" i="39"/>
  <c r="H123" i="47"/>
  <c r="AJ135" i="38"/>
  <c r="AJ134" i="38"/>
  <c r="AG63" i="41"/>
  <c r="O147" i="41"/>
  <c r="P146" i="41"/>
  <c r="AV19" i="24"/>
  <c r="O135" i="38"/>
  <c r="P135" i="38" s="1"/>
  <c r="P134" i="38"/>
  <c r="H123" i="31"/>
  <c r="R124" i="48"/>
  <c r="X122" i="48"/>
  <c r="AG75" i="44"/>
  <c r="B147" i="40"/>
  <c r="A148" i="40"/>
  <c r="M130" i="29"/>
  <c r="I130" i="29"/>
  <c r="G129" i="29"/>
  <c r="M129" i="29"/>
  <c r="I129" i="29"/>
  <c r="D142" i="59"/>
  <c r="F142" i="59" s="1"/>
  <c r="C141" i="59"/>
  <c r="G142" i="59"/>
  <c r="A140" i="34"/>
  <c r="B140" i="34" s="1"/>
  <c r="B139" i="34"/>
  <c r="H8" i="13"/>
  <c r="I8" i="13" s="1"/>
  <c r="D8" i="13"/>
  <c r="F8" i="13" s="1"/>
  <c r="G8" i="13" s="1"/>
  <c r="A147" i="36"/>
  <c r="B146" i="36"/>
  <c r="V117" i="35"/>
  <c r="V120" i="35" s="1"/>
  <c r="T117" i="35"/>
  <c r="T120" i="35" s="1"/>
  <c r="X119" i="35" s="1"/>
  <c r="AB119" i="35" s="1"/>
  <c r="O138" i="33"/>
  <c r="P137" i="33"/>
  <c r="AG15" i="23"/>
  <c r="X1" i="23"/>
  <c r="V74" i="45"/>
  <c r="V75" i="45" s="1"/>
  <c r="T74" i="45"/>
  <c r="AV12" i="17"/>
  <c r="AA130" i="28"/>
  <c r="AO130" i="28" s="1"/>
  <c r="AP130" i="28" s="1"/>
  <c r="W130" i="28"/>
  <c r="AA129" i="28"/>
  <c r="AO129" i="28" s="1"/>
  <c r="AP129" i="28" s="1"/>
  <c r="W129" i="28"/>
  <c r="AV10" i="15"/>
  <c r="AB15" i="24"/>
  <c r="AB16" i="24"/>
  <c r="AB11" i="24"/>
  <c r="M130" i="47"/>
  <c r="I130" i="47"/>
  <c r="I129" i="47"/>
  <c r="M129" i="47"/>
  <c r="G129" i="47"/>
  <c r="AA5" i="12"/>
  <c r="AG5" i="12" s="1"/>
  <c r="AE45" i="38"/>
  <c r="AI44" i="38" s="1"/>
  <c r="Z120" i="40"/>
  <c r="Z119" i="40"/>
  <c r="R117" i="40"/>
  <c r="Y120" i="40"/>
  <c r="Y119" i="40"/>
  <c r="X117" i="33"/>
  <c r="R119" i="33"/>
  <c r="AA135" i="47"/>
  <c r="AO135" i="47" s="1"/>
  <c r="AP135" i="47" s="1"/>
  <c r="W135" i="47"/>
  <c r="AA134" i="47"/>
  <c r="AO134" i="47" s="1"/>
  <c r="AP134" i="47" s="1"/>
  <c r="W134" i="47"/>
  <c r="B142" i="37"/>
  <c r="A143" i="37"/>
  <c r="AA14" i="21"/>
  <c r="AG14" i="21" s="1"/>
  <c r="M125" i="46"/>
  <c r="I125" i="46"/>
  <c r="G124" i="46"/>
  <c r="M124" i="46"/>
  <c r="I124" i="46"/>
  <c r="O138" i="28"/>
  <c r="P137" i="28"/>
  <c r="B146" i="48"/>
  <c r="A147" i="48"/>
  <c r="B147" i="47"/>
  <c r="A148" i="47"/>
  <c r="AC144" i="49"/>
  <c r="AD144" i="49" s="1"/>
  <c r="AD143" i="49"/>
  <c r="AC148" i="49"/>
  <c r="A140" i="49"/>
  <c r="B140" i="49" s="1"/>
  <c r="B139" i="49"/>
  <c r="AL140" i="27"/>
  <c r="AH140" i="27"/>
  <c r="AI137" i="27"/>
  <c r="AL139" i="27"/>
  <c r="AH139" i="27"/>
  <c r="H17" i="22"/>
  <c r="I17" i="22" s="1"/>
  <c r="D17" i="22"/>
  <c r="F17" i="22" s="1"/>
  <c r="G17" i="22" s="1"/>
  <c r="AE65" i="42"/>
  <c r="AI64" i="42" s="1"/>
  <c r="O139" i="29"/>
  <c r="P138" i="29"/>
  <c r="Q138" i="29" s="1"/>
  <c r="M130" i="40"/>
  <c r="I130" i="40"/>
  <c r="G129" i="40"/>
  <c r="M129" i="40"/>
  <c r="I129" i="40"/>
  <c r="V117" i="48"/>
  <c r="V120" i="48" s="1"/>
  <c r="T117" i="48"/>
  <c r="T120" i="48" s="1"/>
  <c r="X119" i="48" s="1"/>
  <c r="AB119" i="48" s="1"/>
  <c r="B146" i="26"/>
  <c r="A147" i="26"/>
  <c r="Q127" i="29"/>
  <c r="Q129" i="29"/>
  <c r="O130" i="33"/>
  <c r="P130" i="33" s="1"/>
  <c r="P129" i="33"/>
  <c r="X117" i="27"/>
  <c r="R119" i="27"/>
  <c r="A139" i="39"/>
  <c r="B138" i="39"/>
  <c r="A148" i="49"/>
  <c r="B147" i="49"/>
  <c r="O130" i="44"/>
  <c r="P130" i="44" s="1"/>
  <c r="P129" i="44"/>
  <c r="Y120" i="49"/>
  <c r="Y119" i="49"/>
  <c r="Z120" i="49"/>
  <c r="R117" i="49"/>
  <c r="Z119" i="49"/>
  <c r="B170" i="59"/>
  <c r="A171" i="59"/>
  <c r="AE50" i="39"/>
  <c r="AI49" i="39" s="1"/>
  <c r="O139" i="41"/>
  <c r="P138" i="41"/>
  <c r="Q138" i="41" s="1"/>
  <c r="AI95" i="48"/>
  <c r="AL134" i="47"/>
  <c r="AH134" i="47"/>
  <c r="AL135" i="47"/>
  <c r="AH135" i="47"/>
  <c r="AI132" i="47"/>
  <c r="K125" i="33"/>
  <c r="L124" i="33"/>
  <c r="D122" i="33"/>
  <c r="K124" i="33"/>
  <c r="L125" i="33"/>
  <c r="G122" i="33"/>
  <c r="AE85" i="46"/>
  <c r="AI84" i="46" s="1"/>
  <c r="O134" i="34"/>
  <c r="P133" i="34"/>
  <c r="Q133" i="34" s="1"/>
  <c r="Y6" i="12"/>
  <c r="A140" i="38"/>
  <c r="B140" i="38" s="1"/>
  <c r="B139" i="38"/>
  <c r="F94" i="47"/>
  <c r="H94" i="47" s="1"/>
  <c r="J92" i="47"/>
  <c r="AG93" i="47"/>
  <c r="AE55" i="40"/>
  <c r="AI54" i="40" s="1"/>
  <c r="X4" i="12"/>
  <c r="L124" i="28"/>
  <c r="D122" i="28"/>
  <c r="K124" i="28"/>
  <c r="L125" i="28"/>
  <c r="G122" i="28"/>
  <c r="K125" i="28"/>
  <c r="AA135" i="42"/>
  <c r="AO135" i="42" s="1"/>
  <c r="AP135" i="42" s="1"/>
  <c r="W135" i="42"/>
  <c r="AA134" i="42"/>
  <c r="AO134" i="42" s="1"/>
  <c r="AP134" i="42" s="1"/>
  <c r="W134" i="42"/>
  <c r="F69" i="43"/>
  <c r="J67" i="43"/>
  <c r="H78" i="45"/>
  <c r="H80" i="45" s="1"/>
  <c r="F80" i="45"/>
  <c r="A135" i="43"/>
  <c r="B135" i="43" s="1"/>
  <c r="B134" i="43"/>
  <c r="Q129" i="36"/>
  <c r="Q127" i="36"/>
  <c r="G128" i="32"/>
  <c r="D128" i="32"/>
  <c r="F128" i="32" s="1"/>
  <c r="C127" i="32"/>
  <c r="AN162" i="59"/>
  <c r="AJ162" i="59"/>
  <c r="AK159" i="59"/>
  <c r="AN161" i="59"/>
  <c r="AJ161" i="59"/>
  <c r="L124" i="40"/>
  <c r="D122" i="40"/>
  <c r="K124" i="40"/>
  <c r="L125" i="40"/>
  <c r="G122" i="40"/>
  <c r="K125" i="40"/>
  <c r="K119" i="46"/>
  <c r="G117" i="46"/>
  <c r="K120" i="46"/>
  <c r="AA135" i="48"/>
  <c r="AO135" i="48" s="1"/>
  <c r="AP135" i="48" s="1"/>
  <c r="W135" i="48"/>
  <c r="AA134" i="48"/>
  <c r="AO134" i="48" s="1"/>
  <c r="AP134" i="48" s="1"/>
  <c r="W134" i="48"/>
  <c r="P133" i="43"/>
  <c r="Q133" i="43" s="1"/>
  <c r="O134" i="43"/>
  <c r="A144" i="38"/>
  <c r="B143" i="38"/>
  <c r="AC148" i="32"/>
  <c r="AC144" i="32"/>
  <c r="AD144" i="32" s="1"/>
  <c r="AD143" i="32"/>
  <c r="C129" i="46"/>
  <c r="C128" i="46"/>
  <c r="G117" i="43"/>
  <c r="K120" i="43"/>
  <c r="K119" i="43"/>
  <c r="C127" i="41"/>
  <c r="G128" i="41"/>
  <c r="D128" i="41"/>
  <c r="F128" i="41" s="1"/>
  <c r="O147" i="42"/>
  <c r="P146" i="42"/>
  <c r="A144" i="47"/>
  <c r="B143" i="47"/>
  <c r="V73" i="44"/>
  <c r="T73" i="44"/>
  <c r="O138" i="31"/>
  <c r="P137" i="31"/>
  <c r="H72" i="42"/>
  <c r="AJ135" i="29"/>
  <c r="AJ134" i="29"/>
  <c r="Q124" i="27"/>
  <c r="Q122" i="27"/>
  <c r="F57" i="39"/>
  <c r="V48" i="39"/>
  <c r="V50" i="39" s="1"/>
  <c r="T48" i="39"/>
  <c r="AT6" i="61"/>
  <c r="AP6" i="10"/>
  <c r="C19" i="48"/>
  <c r="AE104" i="48" s="1"/>
  <c r="AG104" i="48" s="1"/>
  <c r="B6" i="10"/>
  <c r="M130" i="50"/>
  <c r="I130" i="50"/>
  <c r="G129" i="50"/>
  <c r="M129" i="50"/>
  <c r="I129" i="50"/>
  <c r="O138" i="37"/>
  <c r="P137" i="37"/>
  <c r="AP10" i="61"/>
  <c r="AP10" i="14"/>
  <c r="Y9" i="14" s="1"/>
  <c r="C15" i="44"/>
  <c r="B10" i="14"/>
  <c r="J94" i="48"/>
  <c r="N94" i="48" s="1"/>
  <c r="AQ94" i="48" s="1"/>
  <c r="J95" i="48"/>
  <c r="N95" i="48" s="1"/>
  <c r="AQ95" i="48" s="1"/>
  <c r="AL140" i="31"/>
  <c r="AH140" i="31"/>
  <c r="AI137" i="31"/>
  <c r="AL139" i="31"/>
  <c r="AH139" i="31"/>
  <c r="AS7" i="61"/>
  <c r="C18" i="47"/>
  <c r="B7" i="11"/>
  <c r="AP7" i="11"/>
  <c r="Q127" i="38"/>
  <c r="Q129" i="38"/>
  <c r="M130" i="42"/>
  <c r="I130" i="42"/>
  <c r="G129" i="42"/>
  <c r="M129" i="42"/>
  <c r="I129" i="42"/>
  <c r="A139" i="45"/>
  <c r="B138" i="45"/>
  <c r="Q122" i="34"/>
  <c r="Q124" i="34"/>
  <c r="A135" i="37"/>
  <c r="B135" i="37" s="1"/>
  <c r="B134" i="37"/>
  <c r="T119" i="38"/>
  <c r="V119" i="38"/>
  <c r="AC148" i="30"/>
  <c r="AC144" i="30"/>
  <c r="AD144" i="30" s="1"/>
  <c r="AD143" i="30"/>
  <c r="AA135" i="35"/>
  <c r="AO135" i="35" s="1"/>
  <c r="AP135" i="35" s="1"/>
  <c r="W135" i="35"/>
  <c r="AA134" i="35"/>
  <c r="AO134" i="35" s="1"/>
  <c r="AP134" i="35" s="1"/>
  <c r="W134" i="35"/>
  <c r="AV13" i="18"/>
  <c r="X15" i="22"/>
  <c r="AA15" i="22"/>
  <c r="O135" i="29"/>
  <c r="P135" i="29" s="1"/>
  <c r="P134" i="29"/>
  <c r="AC144" i="34"/>
  <c r="AD144" i="34" s="1"/>
  <c r="AD143" i="34"/>
  <c r="AC148" i="34"/>
  <c r="Z120" i="31"/>
  <c r="Z119" i="31"/>
  <c r="R117" i="31"/>
  <c r="Y120" i="31"/>
  <c r="Y119" i="31"/>
  <c r="O130" i="45"/>
  <c r="P130" i="45" s="1"/>
  <c r="P129" i="45"/>
  <c r="M130" i="28"/>
  <c r="I130" i="28"/>
  <c r="G129" i="28"/>
  <c r="M129" i="28"/>
  <c r="I129" i="28"/>
  <c r="AA8" i="15"/>
  <c r="X7" i="15"/>
  <c r="R119" i="39"/>
  <c r="X117" i="39"/>
  <c r="AA135" i="30"/>
  <c r="AO135" i="30" s="1"/>
  <c r="AP135" i="30" s="1"/>
  <c r="W135" i="30"/>
  <c r="AA134" i="30"/>
  <c r="AO134" i="30" s="1"/>
  <c r="AP134" i="30" s="1"/>
  <c r="W134" i="30"/>
  <c r="AK39" i="39"/>
  <c r="AM39" i="39" s="1"/>
  <c r="AS39" i="39" s="1"/>
  <c r="L44" i="39"/>
  <c r="Z39" i="39"/>
  <c r="AB39" i="39" s="1"/>
  <c r="Q124" i="43"/>
  <c r="Q122" i="43"/>
  <c r="P142" i="35"/>
  <c r="O143" i="35"/>
  <c r="V43" i="38"/>
  <c r="T43" i="38"/>
  <c r="O147" i="47"/>
  <c r="P146" i="47"/>
  <c r="R48" i="38"/>
  <c r="AE53" i="38"/>
  <c r="AE49" i="38"/>
  <c r="AG49" i="38" s="1"/>
  <c r="D49" i="38"/>
  <c r="R44" i="38"/>
  <c r="R52" i="38"/>
  <c r="D57" i="38"/>
  <c r="AV4" i="9"/>
  <c r="AI137" i="50"/>
  <c r="AL139" i="50"/>
  <c r="AH139" i="50"/>
  <c r="AL140" i="50"/>
  <c r="AH140" i="50"/>
  <c r="AG88" i="46"/>
  <c r="O134" i="39"/>
  <c r="P133" i="39"/>
  <c r="Q133" i="39" s="1"/>
  <c r="AL139" i="42"/>
  <c r="AH139" i="42"/>
  <c r="AL140" i="42"/>
  <c r="AH140" i="42"/>
  <c r="AI137" i="42"/>
  <c r="A161" i="59"/>
  <c r="B160" i="59"/>
  <c r="X122" i="29"/>
  <c r="R124" i="29"/>
  <c r="AV14" i="19"/>
  <c r="Z120" i="37"/>
  <c r="Z119" i="37"/>
  <c r="R117" i="37"/>
  <c r="Y120" i="37"/>
  <c r="Y119" i="37"/>
  <c r="AG34" i="36"/>
  <c r="AG35" i="36" s="1"/>
  <c r="AE35" i="36"/>
  <c r="AI34" i="36" s="1"/>
  <c r="AM34" i="36" s="1"/>
  <c r="AS34" i="36" s="1"/>
  <c r="Q127" i="41"/>
  <c r="Q129" i="41"/>
  <c r="P138" i="30"/>
  <c r="Q138" i="30" s="1"/>
  <c r="O139" i="30"/>
  <c r="A139" i="30"/>
  <c r="B138" i="30"/>
  <c r="G117" i="30"/>
  <c r="K120" i="30"/>
  <c r="K119" i="30"/>
  <c r="M124" i="43"/>
  <c r="I124" i="43"/>
  <c r="M125" i="43"/>
  <c r="I125" i="43"/>
  <c r="G124" i="43"/>
  <c r="G11" i="18"/>
  <c r="R124" i="30"/>
  <c r="X122" i="30"/>
  <c r="AJ140" i="45"/>
  <c r="AJ139" i="45"/>
  <c r="Y7" i="13"/>
  <c r="X6" i="13" s="1"/>
  <c r="P142" i="38"/>
  <c r="O143" i="38"/>
  <c r="C128" i="45"/>
  <c r="C129" i="45"/>
  <c r="H49" i="40"/>
  <c r="H50" i="40" s="1"/>
  <c r="J50" i="40" s="1"/>
  <c r="F50" i="40"/>
  <c r="J49" i="40" s="1"/>
  <c r="AJ135" i="35"/>
  <c r="AJ134" i="35"/>
  <c r="H123" i="34"/>
  <c r="D128" i="31"/>
  <c r="F128" i="31" s="1"/>
  <c r="C127" i="31"/>
  <c r="G128" i="31"/>
  <c r="F9" i="15"/>
  <c r="C134" i="31"/>
  <c r="C133" i="31"/>
  <c r="A140" i="35"/>
  <c r="B140" i="35" s="1"/>
  <c r="B139" i="35"/>
  <c r="O142" i="44"/>
  <c r="P141" i="44"/>
  <c r="O146" i="44"/>
  <c r="A140" i="40"/>
  <c r="B140" i="40" s="1"/>
  <c r="B139" i="40"/>
  <c r="AI137" i="37"/>
  <c r="AL139" i="37"/>
  <c r="AH139" i="37"/>
  <c r="AL140" i="37"/>
  <c r="AH140" i="37"/>
  <c r="R144" i="32"/>
  <c r="X142" i="32"/>
  <c r="V72" i="42"/>
  <c r="T72" i="42"/>
  <c r="AG68" i="42"/>
  <c r="H123" i="32"/>
  <c r="AV11" i="16"/>
  <c r="Q124" i="49"/>
  <c r="Q122" i="49"/>
  <c r="P142" i="36"/>
  <c r="O143" i="36"/>
  <c r="AE54" i="39"/>
  <c r="AG54" i="39" s="1"/>
  <c r="AE58" i="39"/>
  <c r="R53" i="39"/>
  <c r="D54" i="39"/>
  <c r="D58" i="39"/>
  <c r="F58" i="39" s="1"/>
  <c r="H58" i="39" s="1"/>
  <c r="R57" i="39"/>
  <c r="D62" i="39"/>
  <c r="H18" i="23"/>
  <c r="I18" i="23" s="1"/>
  <c r="D18" i="23"/>
  <c r="F18" i="23" s="1"/>
  <c r="G18" i="23" s="1"/>
  <c r="P142" i="29"/>
  <c r="O143" i="29"/>
  <c r="V119" i="48"/>
  <c r="T119" i="48"/>
  <c r="G8" i="14"/>
  <c r="K124" i="41"/>
  <c r="L125" i="41"/>
  <c r="G122" i="41"/>
  <c r="K125" i="41"/>
  <c r="L124" i="41"/>
  <c r="D122" i="41"/>
  <c r="AL134" i="38"/>
  <c r="AH134" i="38"/>
  <c r="AL135" i="38"/>
  <c r="AH135" i="38"/>
  <c r="AI132" i="38"/>
  <c r="O147" i="48"/>
  <c r="P146" i="48"/>
  <c r="X60" i="43"/>
  <c r="A135" i="45"/>
  <c r="B135" i="45" s="1"/>
  <c r="B134" i="45"/>
  <c r="F59" i="41"/>
  <c r="J57" i="41"/>
  <c r="G13" i="53"/>
  <c r="AF20" i="61"/>
  <c r="B20" i="24"/>
  <c r="AP20" i="24"/>
  <c r="C5" i="34"/>
  <c r="V119" i="30"/>
  <c r="T119" i="30"/>
  <c r="AA130" i="40"/>
  <c r="AO130" i="40" s="1"/>
  <c r="AP130" i="40" s="1"/>
  <c r="W130" i="40"/>
  <c r="AA129" i="40"/>
  <c r="AO129" i="40" s="1"/>
  <c r="AP129" i="40" s="1"/>
  <c r="W129" i="40"/>
  <c r="Z120" i="43"/>
  <c r="Z119" i="43"/>
  <c r="R117" i="43"/>
  <c r="Y120" i="43"/>
  <c r="Y119" i="43"/>
  <c r="C127" i="29"/>
  <c r="G128" i="29"/>
  <c r="D128" i="29"/>
  <c r="F128" i="29" s="1"/>
  <c r="K119" i="45"/>
  <c r="K120" i="45"/>
  <c r="G117" i="45"/>
  <c r="K125" i="27"/>
  <c r="L124" i="27"/>
  <c r="D122" i="27"/>
  <c r="K124" i="27"/>
  <c r="L125" i="27"/>
  <c r="G122" i="27"/>
  <c r="AQ9" i="61"/>
  <c r="C16" i="45"/>
  <c r="AP9" i="13"/>
  <c r="B9" i="13"/>
  <c r="A148" i="42"/>
  <c r="B147" i="42"/>
  <c r="G4" i="11"/>
  <c r="A140" i="28"/>
  <c r="B140" i="28" s="1"/>
  <c r="B139" i="28"/>
  <c r="T119" i="36"/>
  <c r="V119" i="36"/>
  <c r="T78" i="45"/>
  <c r="V78" i="45"/>
  <c r="AM13" i="61"/>
  <c r="B13" i="17"/>
  <c r="AP13" i="17"/>
  <c r="C12" i="41"/>
  <c r="D73" i="41" s="1"/>
  <c r="F73" i="41" s="1"/>
  <c r="H73" i="41" s="1"/>
  <c r="P129" i="28"/>
  <c r="O130" i="28"/>
  <c r="P130" i="28" s="1"/>
  <c r="H10" i="15"/>
  <c r="I10" i="15" s="1"/>
  <c r="D10" i="15"/>
  <c r="F10" i="15" s="1"/>
  <c r="G10" i="15" s="1"/>
  <c r="T119" i="42"/>
  <c r="V119" i="42"/>
  <c r="AB13" i="24"/>
  <c r="B147" i="38"/>
  <c r="A148" i="38"/>
  <c r="O171" i="59"/>
  <c r="P170" i="59"/>
  <c r="O135" i="47"/>
  <c r="P135" i="47" s="1"/>
  <c r="P134" i="47"/>
  <c r="B146" i="37"/>
  <c r="A147" i="37"/>
  <c r="Z125" i="26"/>
  <c r="Z124" i="26"/>
  <c r="R122" i="26"/>
  <c r="Y125" i="26"/>
  <c r="Y124" i="26"/>
  <c r="A144" i="28"/>
  <c r="B143" i="28"/>
  <c r="AC144" i="33"/>
  <c r="AD144" i="33" s="1"/>
  <c r="AD143" i="33"/>
  <c r="AC148" i="33"/>
  <c r="P141" i="28"/>
  <c r="O146" i="28"/>
  <c r="O142" i="28"/>
  <c r="AJ139" i="49"/>
  <c r="AJ140" i="49"/>
  <c r="AV17" i="22"/>
  <c r="AG65" i="42"/>
  <c r="AI75" i="45"/>
  <c r="O138" i="49"/>
  <c r="P137" i="49"/>
  <c r="Q129" i="26"/>
  <c r="Q127" i="26"/>
  <c r="Y4" i="10"/>
  <c r="K125" i="49"/>
  <c r="K124" i="49"/>
  <c r="L125" i="49"/>
  <c r="G122" i="49"/>
  <c r="D122" i="49"/>
  <c r="L124" i="49"/>
  <c r="AA130" i="33"/>
  <c r="AO130" i="33" s="1"/>
  <c r="AP130" i="33" s="1"/>
  <c r="W130" i="33"/>
  <c r="AA129" i="33"/>
  <c r="AO129" i="33" s="1"/>
  <c r="AP129" i="33" s="1"/>
  <c r="W129" i="33"/>
  <c r="A144" i="50"/>
  <c r="B143" i="50"/>
  <c r="A135" i="30"/>
  <c r="B135" i="30" s="1"/>
  <c r="B134" i="30"/>
  <c r="A144" i="32"/>
  <c r="B143" i="32"/>
  <c r="AA130" i="44"/>
  <c r="AO130" i="44" s="1"/>
  <c r="AP130" i="44" s="1"/>
  <c r="W130" i="44"/>
  <c r="AA129" i="44"/>
  <c r="AO129" i="44" s="1"/>
  <c r="AP129" i="44" s="1"/>
  <c r="W129" i="44"/>
  <c r="AG7" i="14"/>
  <c r="AA130" i="34"/>
  <c r="AO130" i="34" s="1"/>
  <c r="AP130" i="34" s="1"/>
  <c r="W130" i="34"/>
  <c r="AA129" i="34"/>
  <c r="AO129" i="34" s="1"/>
  <c r="AP129" i="34" s="1"/>
  <c r="W129" i="34"/>
  <c r="X117" i="49"/>
  <c r="R119" i="49"/>
  <c r="A166" i="59"/>
  <c r="B165" i="59"/>
  <c r="AG50" i="39"/>
  <c r="O130" i="43"/>
  <c r="P130" i="43" s="1"/>
  <c r="P129" i="43"/>
  <c r="AF4" i="13"/>
  <c r="AF5" i="13" s="1"/>
  <c r="V117" i="30"/>
  <c r="V120" i="30" s="1"/>
  <c r="T117" i="30"/>
  <c r="T120" i="30" s="1"/>
  <c r="X119" i="30" s="1"/>
  <c r="AB119" i="30" s="1"/>
  <c r="A148" i="31"/>
  <c r="B147" i="31"/>
  <c r="H123" i="33"/>
  <c r="X122" i="35"/>
  <c r="R124" i="35"/>
  <c r="O147" i="30"/>
  <c r="P146" i="30"/>
  <c r="O138" i="27"/>
  <c r="P137" i="27"/>
  <c r="O135" i="26"/>
  <c r="P135" i="26" s="1"/>
  <c r="P134" i="26"/>
  <c r="B142" i="45"/>
  <c r="A143" i="45"/>
  <c r="V117" i="38"/>
  <c r="V120" i="38" s="1"/>
  <c r="T117" i="38"/>
  <c r="T120" i="38" s="1"/>
  <c r="X119" i="38" s="1"/>
  <c r="AB119" i="38" s="1"/>
  <c r="H123" i="28"/>
  <c r="O135" i="42"/>
  <c r="P135" i="42" s="1"/>
  <c r="P134" i="42"/>
  <c r="T68" i="43"/>
  <c r="V68" i="43"/>
  <c r="AG80" i="45"/>
  <c r="G117" i="48"/>
  <c r="K120" i="48"/>
  <c r="K119" i="48"/>
  <c r="O138" i="40"/>
  <c r="P137" i="40"/>
  <c r="X122" i="42"/>
  <c r="R124" i="42"/>
  <c r="H112" i="49"/>
  <c r="A140" i="47"/>
  <c r="B140" i="47" s="1"/>
  <c r="B139" i="47"/>
  <c r="M130" i="32"/>
  <c r="I130" i="32"/>
  <c r="G129" i="32"/>
  <c r="I129" i="32"/>
  <c r="M129" i="32"/>
  <c r="AC172" i="59"/>
  <c r="AC167" i="59"/>
  <c r="AD167" i="59" s="1"/>
  <c r="AD166" i="59"/>
  <c r="B147" i="41"/>
  <c r="A148" i="41"/>
  <c r="AC144" i="28"/>
  <c r="AD144" i="28" s="1"/>
  <c r="AD143" i="28"/>
  <c r="AC148" i="28"/>
  <c r="C133" i="38"/>
  <c r="C134" i="38"/>
  <c r="Y143" i="59"/>
  <c r="W144" i="59"/>
  <c r="R141" i="59"/>
  <c r="Z144" i="59"/>
  <c r="W143" i="59"/>
  <c r="Y144" i="59"/>
  <c r="Z143" i="59"/>
  <c r="AC144" i="36"/>
  <c r="AD144" i="36" s="1"/>
  <c r="AD143" i="36"/>
  <c r="AC148" i="36"/>
  <c r="Q129" i="47"/>
  <c r="Q127" i="47"/>
  <c r="F78" i="44"/>
  <c r="AG78" i="44"/>
  <c r="C127" i="49"/>
  <c r="G128" i="49"/>
  <c r="D128" i="49"/>
  <c r="F128" i="49" s="1"/>
  <c r="X117" i="50"/>
  <c r="R119" i="50"/>
  <c r="AC139" i="44"/>
  <c r="AD139" i="44" s="1"/>
  <c r="AD138" i="44"/>
  <c r="AC143" i="44"/>
  <c r="O147" i="26"/>
  <c r="P146" i="26"/>
  <c r="T53" i="40"/>
  <c r="V53" i="40"/>
  <c r="V119" i="26"/>
  <c r="T119" i="26"/>
  <c r="AL134" i="29"/>
  <c r="AH134" i="29"/>
  <c r="AL135" i="29"/>
  <c r="AH135" i="29"/>
  <c r="AI132" i="29"/>
  <c r="V34" i="37"/>
  <c r="V35" i="37" s="1"/>
  <c r="X35" i="37" s="1"/>
  <c r="AB35" i="37" s="1"/>
  <c r="T34" i="37"/>
  <c r="T35" i="37" s="1"/>
  <c r="X34" i="37" s="1"/>
  <c r="AB34" i="37" s="1"/>
  <c r="V52" i="39"/>
  <c r="T52" i="39"/>
  <c r="V44" i="39"/>
  <c r="V45" i="39" s="1"/>
  <c r="T44" i="39"/>
  <c r="T45" i="39" s="1"/>
  <c r="X44" i="39" s="1"/>
  <c r="P141" i="37"/>
  <c r="O146" i="37"/>
  <c r="O142" i="37"/>
  <c r="AJ139" i="26"/>
  <c r="AJ140" i="26"/>
  <c r="A144" i="49"/>
  <c r="B143" i="49"/>
  <c r="H9" i="14"/>
  <c r="I9" i="14" s="1"/>
  <c r="D9" i="14"/>
  <c r="G117" i="26"/>
  <c r="K120" i="26"/>
  <c r="K119" i="26"/>
  <c r="A148" i="27"/>
  <c r="B147" i="27"/>
  <c r="Q122" i="28"/>
  <c r="Q124" i="28"/>
  <c r="O134" i="50"/>
  <c r="P133" i="50"/>
  <c r="Q133" i="50" s="1"/>
  <c r="A144" i="44"/>
  <c r="B143" i="44"/>
  <c r="H44" i="39"/>
  <c r="H45" i="39" s="1"/>
  <c r="J45" i="39" s="1"/>
  <c r="F45" i="39"/>
  <c r="J44" i="39" s="1"/>
  <c r="AF12" i="53"/>
  <c r="H6" i="11"/>
  <c r="I6" i="11" s="1"/>
  <c r="D6" i="11"/>
  <c r="F6" i="11" s="1"/>
  <c r="G6" i="11" s="1"/>
  <c r="A144" i="31"/>
  <c r="B143" i="31"/>
  <c r="C127" i="42"/>
  <c r="G128" i="42"/>
  <c r="D128" i="42"/>
  <c r="F128" i="42" s="1"/>
  <c r="AG9" i="16"/>
  <c r="G123" i="30"/>
  <c r="D123" i="30"/>
  <c r="F123" i="30" s="1"/>
  <c r="C122" i="30"/>
  <c r="W129" i="39"/>
  <c r="W130" i="39"/>
  <c r="AA129" i="39"/>
  <c r="AO129" i="39" s="1"/>
  <c r="AP129" i="39" s="1"/>
  <c r="AA130" i="39"/>
  <c r="AO130" i="39" s="1"/>
  <c r="AP130" i="39" s="1"/>
  <c r="C129" i="48"/>
  <c r="C128" i="48"/>
  <c r="M124" i="36"/>
  <c r="I124" i="36"/>
  <c r="M125" i="36"/>
  <c r="I125" i="36"/>
  <c r="G124" i="36"/>
  <c r="AA155" i="59"/>
  <c r="AQ155" i="59" s="1"/>
  <c r="AR155" i="59" s="1"/>
  <c r="AA156" i="59"/>
  <c r="AQ156" i="59" s="1"/>
  <c r="AR156" i="59" s="1"/>
  <c r="Q122" i="46"/>
  <c r="Q124" i="46"/>
  <c r="AI40" i="38"/>
  <c r="O135" i="35"/>
  <c r="P135" i="35" s="1"/>
  <c r="P134" i="35"/>
  <c r="AL14" i="61"/>
  <c r="L153" i="66" s="1"/>
  <c r="B14" i="18"/>
  <c r="C11" i="40"/>
  <c r="D72" i="40" s="1"/>
  <c r="AP14" i="18"/>
  <c r="H42" i="37"/>
  <c r="AC139" i="41"/>
  <c r="AD139" i="41" s="1"/>
  <c r="AD138" i="41"/>
  <c r="AC143" i="41"/>
  <c r="AJ140" i="39"/>
  <c r="AJ139" i="39"/>
  <c r="AJ140" i="34"/>
  <c r="AJ139" i="34"/>
  <c r="X117" i="31"/>
  <c r="R119" i="31"/>
  <c r="Y120" i="39"/>
  <c r="Z119" i="39"/>
  <c r="Z120" i="39"/>
  <c r="Y119" i="39"/>
  <c r="R117" i="39"/>
  <c r="AJ139" i="48"/>
  <c r="AJ140" i="48"/>
  <c r="AK40" i="39"/>
  <c r="AM40" i="39" s="1"/>
  <c r="AS40" i="39" s="1"/>
  <c r="Z40" i="39"/>
  <c r="L45" i="39"/>
  <c r="C129" i="30"/>
  <c r="C128" i="30"/>
  <c r="O147" i="35"/>
  <c r="P146" i="35"/>
  <c r="A140" i="33"/>
  <c r="B140" i="33" s="1"/>
  <c r="B139" i="33"/>
  <c r="T39" i="38"/>
  <c r="T40" i="38" s="1"/>
  <c r="X39" i="38" s="1"/>
  <c r="V39" i="38"/>
  <c r="V40" i="38" s="1"/>
  <c r="AG48" i="38"/>
  <c r="AA135" i="41"/>
  <c r="AO135" i="41" s="1"/>
  <c r="AP135" i="41" s="1"/>
  <c r="W135" i="41"/>
  <c r="AA134" i="41"/>
  <c r="AO134" i="41" s="1"/>
  <c r="AP134" i="41" s="1"/>
  <c r="W134" i="41"/>
  <c r="Q122" i="50"/>
  <c r="Q124" i="50"/>
  <c r="P133" i="49"/>
  <c r="Q133" i="49" s="1"/>
  <c r="O134" i="49"/>
  <c r="V119" i="47"/>
  <c r="T119" i="47"/>
  <c r="AV16" i="21"/>
  <c r="H4" i="9"/>
  <c r="I4" i="9" s="1"/>
  <c r="D4" i="9"/>
  <c r="V137" i="59"/>
  <c r="T137" i="59"/>
  <c r="A144" i="27"/>
  <c r="B143" i="27"/>
  <c r="X40" i="39"/>
  <c r="Y125" i="29"/>
  <c r="Y124" i="29"/>
  <c r="Z125" i="29"/>
  <c r="Z124" i="29"/>
  <c r="R122" i="29"/>
  <c r="AE63" i="40"/>
  <c r="AE59" i="40"/>
  <c r="AG59" i="40" s="1"/>
  <c r="R58" i="40"/>
  <c r="D59" i="40"/>
  <c r="F59" i="40" s="1"/>
  <c r="H59" i="40" s="1"/>
  <c r="R54" i="40"/>
  <c r="D63" i="40"/>
  <c r="F63" i="40" s="1"/>
  <c r="H63" i="40" s="1"/>
  <c r="R62" i="40"/>
  <c r="T33" i="36"/>
  <c r="V33" i="36"/>
  <c r="O138" i="45"/>
  <c r="P137" i="45"/>
  <c r="K125" i="44"/>
  <c r="L124" i="44"/>
  <c r="D122" i="44"/>
  <c r="K124" i="44"/>
  <c r="L125" i="44"/>
  <c r="G122" i="44"/>
  <c r="AA130" i="46"/>
  <c r="AO130" i="46" s="1"/>
  <c r="AP130" i="46" s="1"/>
  <c r="W130" i="46"/>
  <c r="AA129" i="46"/>
  <c r="AO129" i="46" s="1"/>
  <c r="AP129" i="46" s="1"/>
  <c r="W129" i="46"/>
  <c r="Z125" i="47"/>
  <c r="Z124" i="47"/>
  <c r="R122" i="47"/>
  <c r="Y124" i="47"/>
  <c r="Y125" i="47"/>
  <c r="AL139" i="45"/>
  <c r="AH139" i="45"/>
  <c r="AH140" i="45"/>
  <c r="AL140" i="45"/>
  <c r="AI137" i="45"/>
  <c r="H7" i="12"/>
  <c r="I7" i="12" s="1"/>
  <c r="D7" i="12"/>
  <c r="O147" i="38"/>
  <c r="P146" i="38"/>
  <c r="AL134" i="35"/>
  <c r="AH134" i="35"/>
  <c r="AL135" i="35"/>
  <c r="AH135" i="35"/>
  <c r="AI132" i="35"/>
  <c r="D123" i="37"/>
  <c r="F123" i="37" s="1"/>
  <c r="C122" i="37"/>
  <c r="G123" i="37"/>
  <c r="M129" i="31"/>
  <c r="I129" i="31"/>
  <c r="M130" i="31"/>
  <c r="I130" i="31"/>
  <c r="G129" i="31"/>
  <c r="Z145" i="32"/>
  <c r="Z144" i="32"/>
  <c r="R142" i="32"/>
  <c r="Y145" i="32"/>
  <c r="Y144" i="32"/>
  <c r="O134" i="46"/>
  <c r="P133" i="46"/>
  <c r="Q133" i="46" s="1"/>
  <c r="V63" i="42"/>
  <c r="T63" i="42"/>
  <c r="P137" i="43"/>
  <c r="O138" i="43"/>
  <c r="K124" i="35"/>
  <c r="L125" i="35"/>
  <c r="G122" i="35"/>
  <c r="K125" i="35"/>
  <c r="L124" i="35"/>
  <c r="D122" i="35"/>
  <c r="L124" i="50"/>
  <c r="D122" i="50"/>
  <c r="K124" i="50"/>
  <c r="L125" i="50"/>
  <c r="G122" i="50"/>
  <c r="K125" i="50"/>
  <c r="C133" i="41"/>
  <c r="C134" i="41"/>
  <c r="B147" i="28"/>
  <c r="A148" i="28"/>
  <c r="X122" i="38"/>
  <c r="R124" i="38"/>
  <c r="B147" i="35"/>
  <c r="A148" i="35"/>
  <c r="AE74" i="43"/>
  <c r="AG74" i="43" s="1"/>
  <c r="AE78" i="43"/>
  <c r="R64" i="43"/>
  <c r="R73" i="43"/>
  <c r="D74" i="43"/>
  <c r="D78" i="43"/>
  <c r="B142" i="43"/>
  <c r="A143" i="43"/>
  <c r="AJ16" i="61"/>
  <c r="AP16" i="20"/>
  <c r="Y15" i="20" s="1"/>
  <c r="B16" i="20"/>
  <c r="C9" i="38"/>
  <c r="R49" i="38" s="1"/>
  <c r="P133" i="31"/>
  <c r="Q133" i="31" s="1"/>
  <c r="O134" i="31"/>
  <c r="AV18" i="23"/>
  <c r="O147" i="29"/>
  <c r="P146" i="29"/>
  <c r="B146" i="46"/>
  <c r="A147" i="46"/>
  <c r="H107" i="48"/>
  <c r="O135" i="36"/>
  <c r="P135" i="36" s="1"/>
  <c r="P134" i="36"/>
  <c r="H77" i="43"/>
  <c r="V62" i="41"/>
  <c r="T62" i="41"/>
  <c r="T54" i="41"/>
  <c r="T55" i="41" s="1"/>
  <c r="X54" i="41" s="1"/>
  <c r="V54" i="41"/>
  <c r="V55" i="41" s="1"/>
  <c r="H19" i="24"/>
  <c r="I19" i="24" s="1"/>
  <c r="D19" i="24"/>
  <c r="F19" i="24" s="1"/>
  <c r="G19" i="24" s="1"/>
  <c r="P129" i="40"/>
  <c r="O130" i="40"/>
  <c r="P130" i="40" s="1"/>
  <c r="X122" i="41"/>
  <c r="R124" i="41"/>
  <c r="R119" i="43"/>
  <c r="X117" i="43"/>
  <c r="O138" i="34"/>
  <c r="P137" i="34"/>
  <c r="AV8" i="13"/>
  <c r="O139" i="38"/>
  <c r="P138" i="38"/>
  <c r="Q138" i="38" s="1"/>
  <c r="H57" i="40"/>
  <c r="O142" i="33"/>
  <c r="P141" i="33"/>
  <c r="O146" i="33"/>
  <c r="AG83" i="45"/>
  <c r="H12" i="17"/>
  <c r="I12" i="17" s="1"/>
  <c r="D12" i="17"/>
  <c r="F12" i="17" s="1"/>
  <c r="G12" i="17" s="1"/>
  <c r="AO11" i="61"/>
  <c r="AP11" i="15"/>
  <c r="B11" i="15"/>
  <c r="C14" i="43"/>
  <c r="D128" i="34"/>
  <c r="F128" i="34" s="1"/>
  <c r="C127" i="34"/>
  <c r="G128" i="34"/>
  <c r="AD6" i="24"/>
  <c r="AB6" i="24" s="1"/>
  <c r="AD12" i="24"/>
  <c r="AD9" i="24"/>
  <c r="AD5" i="24"/>
  <c r="AB5" i="24" s="1"/>
  <c r="AD11" i="24"/>
  <c r="AD7" i="24"/>
  <c r="AB7" i="24" s="1"/>
  <c r="AD10" i="24"/>
  <c r="AD13" i="24"/>
  <c r="AD15" i="24"/>
  <c r="AD16" i="24"/>
  <c r="AD14" i="24"/>
  <c r="AD8" i="24"/>
  <c r="AB8" i="24" s="1"/>
  <c r="AD4" i="24"/>
  <c r="AB4" i="24" s="1"/>
  <c r="AB14" i="24"/>
  <c r="C129" i="39"/>
  <c r="C128" i="39"/>
  <c r="A144" i="34"/>
  <c r="B143" i="34"/>
  <c r="R124" i="26"/>
  <c r="X122" i="26"/>
  <c r="AA4" i="11"/>
  <c r="A135" i="26"/>
  <c r="B135" i="26" s="1"/>
  <c r="B134" i="26"/>
  <c r="AJ139" i="33"/>
  <c r="AJ140" i="33"/>
  <c r="G123" i="39"/>
  <c r="D123" i="39"/>
  <c r="F123" i="39" s="1"/>
  <c r="C122" i="39"/>
  <c r="AA130" i="37"/>
  <c r="AO130" i="37" s="1"/>
  <c r="AP130" i="37" s="1"/>
  <c r="W130" i="37"/>
  <c r="AA129" i="37"/>
  <c r="AO129" i="37" s="1"/>
  <c r="AP129" i="37" s="1"/>
  <c r="W129" i="37"/>
  <c r="A144" i="35"/>
  <c r="B143" i="35"/>
  <c r="O130" i="27"/>
  <c r="P130" i="27" s="1"/>
  <c r="P129" i="27"/>
  <c r="AL140" i="49"/>
  <c r="AH140" i="49"/>
  <c r="AI137" i="49"/>
  <c r="AL139" i="49"/>
  <c r="AH139" i="49"/>
  <c r="X13" i="21"/>
  <c r="AC144" i="27"/>
  <c r="AD144" i="27" s="1"/>
  <c r="AD143" i="27"/>
  <c r="AC148" i="27"/>
  <c r="C133" i="47"/>
  <c r="C134" i="47"/>
  <c r="A140" i="44"/>
  <c r="B140" i="44" s="1"/>
  <c r="B139" i="44"/>
  <c r="AH18" i="61"/>
  <c r="D185" i="66" s="1"/>
  <c r="B18" i="22"/>
  <c r="C7" i="36"/>
  <c r="AP18" i="22"/>
  <c r="X117" i="45"/>
  <c r="R119" i="45"/>
  <c r="Y15" i="21"/>
  <c r="Q149" i="32"/>
  <c r="Q147" i="32"/>
  <c r="D128" i="44"/>
  <c r="F128" i="44" s="1"/>
  <c r="C127" i="44"/>
  <c r="G128" i="44"/>
  <c r="AA130" i="50"/>
  <c r="AO130" i="50" s="1"/>
  <c r="W130" i="50"/>
  <c r="AA129" i="50"/>
  <c r="AO129" i="50" s="1"/>
  <c r="W129" i="50"/>
  <c r="O138" i="50"/>
  <c r="P137" i="50"/>
  <c r="P129" i="34"/>
  <c r="O130" i="34"/>
  <c r="P130" i="34" s="1"/>
  <c r="C133" i="35"/>
  <c r="C134" i="35"/>
  <c r="A148" i="33"/>
  <c r="B147" i="33"/>
  <c r="AA130" i="43"/>
  <c r="AO130" i="43" s="1"/>
  <c r="AP130" i="43" s="1"/>
  <c r="W130" i="43"/>
  <c r="AA129" i="43"/>
  <c r="AO129" i="43" s="1"/>
  <c r="AP129" i="43" s="1"/>
  <c r="W129" i="43"/>
  <c r="AC139" i="47"/>
  <c r="AD139" i="47" s="1"/>
  <c r="AD138" i="47"/>
  <c r="AC143" i="47"/>
  <c r="Y5" i="11"/>
  <c r="X117" i="46"/>
  <c r="R119" i="46"/>
  <c r="O134" i="45"/>
  <c r="P133" i="45"/>
  <c r="Q133" i="45" s="1"/>
  <c r="X117" i="34"/>
  <c r="R119" i="34"/>
  <c r="Y125" i="35"/>
  <c r="Y124" i="35"/>
  <c r="Z125" i="35"/>
  <c r="Z124" i="35"/>
  <c r="R122" i="35"/>
  <c r="A144" i="40"/>
  <c r="B143" i="40"/>
  <c r="Q122" i="37"/>
  <c r="Q124" i="37"/>
  <c r="AA135" i="26"/>
  <c r="AO135" i="26" s="1"/>
  <c r="AP135" i="26" s="1"/>
  <c r="W135" i="26"/>
  <c r="AA134" i="26"/>
  <c r="AO134" i="26" s="1"/>
  <c r="AP134" i="26" s="1"/>
  <c r="W134" i="26"/>
  <c r="A147" i="45"/>
  <c r="B146" i="45"/>
  <c r="A144" i="42"/>
  <c r="B143" i="42"/>
  <c r="A139" i="36"/>
  <c r="B138" i="36"/>
  <c r="C134" i="28"/>
  <c r="C133" i="28"/>
  <c r="Y9" i="15"/>
  <c r="AG73" i="43"/>
  <c r="AE80" i="45"/>
  <c r="AI79" i="45" s="1"/>
  <c r="V117" i="41"/>
  <c r="V120" i="41" s="1"/>
  <c r="T117" i="41"/>
  <c r="T120" i="41" s="1"/>
  <c r="X119" i="41" s="1"/>
  <c r="AB119" i="41" s="1"/>
  <c r="C149" i="59"/>
  <c r="C148" i="59"/>
  <c r="P141" i="40"/>
  <c r="O146" i="40"/>
  <c r="O142" i="40"/>
  <c r="Y125" i="42"/>
  <c r="Y124" i="42"/>
  <c r="Z124" i="42"/>
  <c r="Z125" i="42"/>
  <c r="R122" i="42"/>
  <c r="G11" i="17"/>
  <c r="T119" i="41"/>
  <c r="V119" i="41"/>
  <c r="X117" i="28"/>
  <c r="R119" i="28"/>
  <c r="V117" i="42"/>
  <c r="V120" i="42" s="1"/>
  <c r="T117" i="42"/>
  <c r="T120" i="42" s="1"/>
  <c r="X119" i="42" s="1"/>
  <c r="AB119" i="42" s="1"/>
  <c r="X12" i="19"/>
  <c r="AL161" i="59"/>
  <c r="AL162" i="59"/>
  <c r="P133" i="44"/>
  <c r="Q133" i="44" s="1"/>
  <c r="O134" i="44"/>
  <c r="H62" i="41"/>
  <c r="AJ140" i="32"/>
  <c r="AJ139" i="32"/>
  <c r="O161" i="59"/>
  <c r="P160" i="59"/>
  <c r="Q160" i="59" s="1"/>
  <c r="A139" i="37"/>
  <c r="B138" i="37"/>
  <c r="AJ140" i="28"/>
  <c r="AJ139" i="28"/>
  <c r="R143" i="59"/>
  <c r="X141" i="59"/>
  <c r="AJ139" i="36"/>
  <c r="AJ140" i="36"/>
  <c r="A139" i="48"/>
  <c r="B138" i="48"/>
  <c r="J64" i="43"/>
  <c r="J65" i="43"/>
  <c r="V64" i="44"/>
  <c r="V65" i="44" s="1"/>
  <c r="T64" i="44"/>
  <c r="T65" i="44" s="1"/>
  <c r="X64" i="44" s="1"/>
  <c r="M129" i="49"/>
  <c r="I129" i="49"/>
  <c r="M130" i="49"/>
  <c r="I130" i="49"/>
  <c r="G129" i="49"/>
  <c r="Z120" i="50"/>
  <c r="Z119" i="50"/>
  <c r="R117" i="50"/>
  <c r="Y120" i="50"/>
  <c r="Y119" i="50"/>
  <c r="AJ134" i="44"/>
  <c r="AJ135" i="44"/>
  <c r="V57" i="40"/>
  <c r="T57" i="40"/>
  <c r="F54" i="40"/>
  <c r="J52" i="40"/>
  <c r="O142" i="31"/>
  <c r="P141" i="31"/>
  <c r="O146" i="31"/>
  <c r="AJ150" i="40"/>
  <c r="AJ149" i="40"/>
  <c r="X55" i="42"/>
  <c r="F47" i="37"/>
  <c r="AG43" i="37"/>
  <c r="Y125" i="36"/>
  <c r="Y124" i="36"/>
  <c r="Z125" i="36"/>
  <c r="R122" i="36"/>
  <c r="Z124" i="36"/>
  <c r="AF14" i="22"/>
  <c r="F49" i="39"/>
  <c r="J47" i="39"/>
  <c r="AG53" i="39"/>
  <c r="G123" i="26"/>
  <c r="D123" i="26"/>
  <c r="F123" i="26" s="1"/>
  <c r="C122" i="26"/>
  <c r="H5" i="10"/>
  <c r="I5" i="10" s="1"/>
  <c r="D5" i="10"/>
  <c r="F5" i="10" s="1"/>
  <c r="G5" i="10" s="1"/>
  <c r="A140" i="31"/>
  <c r="B140" i="31" s="1"/>
  <c r="B139" i="31"/>
  <c r="AL140" i="26"/>
  <c r="AH140" i="26"/>
  <c r="AI137" i="26"/>
  <c r="AL139" i="26"/>
  <c r="AH139" i="26"/>
  <c r="AV9" i="14"/>
  <c r="P137" i="39"/>
  <c r="O138" i="39"/>
  <c r="Q127" i="42"/>
  <c r="Q129" i="42"/>
  <c r="D128" i="33"/>
  <c r="F128" i="33" s="1"/>
  <c r="C127" i="33"/>
  <c r="G128" i="33"/>
  <c r="P138" i="48"/>
  <c r="Q138" i="48" s="1"/>
  <c r="O139" i="48"/>
  <c r="Q122" i="39"/>
  <c r="Q124" i="39"/>
  <c r="O130" i="49"/>
  <c r="P130" i="49" s="1"/>
  <c r="P129" i="49"/>
  <c r="AC144" i="31"/>
  <c r="AD144" i="31" s="1"/>
  <c r="AD143" i="31"/>
  <c r="AC148" i="31"/>
  <c r="A140" i="42"/>
  <c r="B140" i="42" s="1"/>
  <c r="B139" i="42"/>
  <c r="B142" i="30"/>
  <c r="A143" i="30"/>
  <c r="M124" i="30"/>
  <c r="I124" i="30"/>
  <c r="M125" i="30"/>
  <c r="I125" i="30"/>
  <c r="G124" i="30"/>
  <c r="O130" i="39"/>
  <c r="P130" i="39" s="1"/>
  <c r="P129" i="39"/>
  <c r="O130" i="31"/>
  <c r="P130" i="31" s="1"/>
  <c r="P129" i="31"/>
  <c r="C122" i="36"/>
  <c r="G123" i="36"/>
  <c r="D123" i="36"/>
  <c r="F123" i="36" s="1"/>
  <c r="P155" i="59"/>
  <c r="O156" i="59"/>
  <c r="P156" i="59" s="1"/>
  <c r="F7" i="13"/>
  <c r="AJ139" i="30"/>
  <c r="AJ140" i="30"/>
  <c r="O138" i="46"/>
  <c r="P137" i="46"/>
  <c r="AE64" i="41"/>
  <c r="AG64" i="41" s="1"/>
  <c r="R63" i="41"/>
  <c r="R59" i="41"/>
  <c r="D64" i="41"/>
  <c r="AE68" i="41"/>
  <c r="T119" i="29"/>
  <c r="V119" i="29"/>
  <c r="AJ135" i="41"/>
  <c r="AJ134" i="41"/>
  <c r="AA6" i="13"/>
  <c r="AG6" i="13" s="1"/>
  <c r="AL140" i="39"/>
  <c r="AI137" i="39"/>
  <c r="AH139" i="39"/>
  <c r="AL139" i="39"/>
  <c r="AH140" i="39"/>
  <c r="AI137" i="34"/>
  <c r="AL139" i="34"/>
  <c r="AH139" i="34"/>
  <c r="AL140" i="34"/>
  <c r="AH140" i="34"/>
  <c r="X10" i="17"/>
  <c r="AA10" i="17"/>
  <c r="X9" i="17"/>
  <c r="AL140" i="48"/>
  <c r="AH140" i="48"/>
  <c r="AI137" i="48"/>
  <c r="AL139" i="48"/>
  <c r="AH139" i="48"/>
  <c r="P138" i="36"/>
  <c r="Q138" i="36" s="1"/>
  <c r="O139" i="36"/>
  <c r="AA14" i="20"/>
  <c r="AG14" i="20" s="1"/>
  <c r="O135" i="41"/>
  <c r="P135" i="41" s="1"/>
  <c r="P134" i="41"/>
  <c r="M130" i="35"/>
  <c r="I130" i="35"/>
  <c r="G129" i="35"/>
  <c r="M129" i="35"/>
  <c r="I129" i="35"/>
  <c r="AF9" i="18"/>
  <c r="AF10" i="18" s="1"/>
  <c r="AF11" i="18" s="1"/>
  <c r="AI17" i="61"/>
  <c r="AP17" i="21"/>
  <c r="B17" i="21"/>
  <c r="C8" i="37"/>
  <c r="D53" i="37" s="1"/>
  <c r="F53" i="37" s="1"/>
  <c r="H53" i="37" s="1"/>
  <c r="AV4" i="61"/>
  <c r="AW3" i="61"/>
  <c r="B4" i="8"/>
  <c r="C21" i="50"/>
  <c r="AP4" i="8"/>
  <c r="AC144" i="50"/>
  <c r="AD144" i="50" s="1"/>
  <c r="AD143" i="50"/>
  <c r="AC148" i="50"/>
  <c r="O134" i="37"/>
  <c r="P133" i="37"/>
  <c r="Q133" i="37" s="1"/>
  <c r="F84" i="46"/>
  <c r="J82" i="46"/>
  <c r="AC144" i="42"/>
  <c r="AD144" i="42" s="1"/>
  <c r="AD143" i="42"/>
  <c r="AC148" i="42"/>
  <c r="AV14" i="53"/>
  <c r="H14" i="19"/>
  <c r="I14" i="19" s="1"/>
  <c r="D14" i="19"/>
  <c r="F14" i="19" s="1"/>
  <c r="G14" i="19" s="1"/>
  <c r="V37" i="36"/>
  <c r="T37" i="36"/>
  <c r="AG38" i="36"/>
  <c r="D128" i="27"/>
  <c r="F128" i="27" s="1"/>
  <c r="C127" i="27"/>
  <c r="G128" i="27"/>
  <c r="M130" i="38"/>
  <c r="I130" i="38"/>
  <c r="G129" i="38"/>
  <c r="M129" i="38"/>
  <c r="I129" i="38"/>
  <c r="P129" i="46"/>
  <c r="O130" i="46"/>
  <c r="P130" i="46" s="1"/>
  <c r="R124" i="47"/>
  <c r="X122" i="47"/>
  <c r="X13" i="20"/>
  <c r="AR8" i="61"/>
  <c r="B8" i="12"/>
  <c r="C17" i="46"/>
  <c r="AE98" i="46" s="1"/>
  <c r="AP8" i="12"/>
  <c r="M125" i="37"/>
  <c r="I125" i="37"/>
  <c r="G124" i="37"/>
  <c r="M124" i="37"/>
  <c r="I124" i="37"/>
  <c r="G123" i="48"/>
  <c r="D123" i="48"/>
  <c r="F123" i="48" s="1"/>
  <c r="C122" i="48"/>
  <c r="Z120" i="44"/>
  <c r="Z119" i="44"/>
  <c r="R117" i="44"/>
  <c r="Y120" i="44"/>
  <c r="Y119" i="44"/>
  <c r="A135" i="48"/>
  <c r="B135" i="48" s="1"/>
  <c r="B134" i="48"/>
  <c r="T75" i="45"/>
  <c r="X74" i="45" s="1"/>
  <c r="O138" i="44"/>
  <c r="P137" i="44"/>
  <c r="AC144" i="37"/>
  <c r="AD144" i="37" s="1"/>
  <c r="AD143" i="37"/>
  <c r="AC148" i="37"/>
  <c r="AF9" i="17"/>
  <c r="F64" i="42"/>
  <c r="J62" i="42"/>
  <c r="M125" i="45"/>
  <c r="I125" i="45"/>
  <c r="G124" i="45"/>
  <c r="M124" i="45"/>
  <c r="I124" i="45"/>
  <c r="B147" i="34"/>
  <c r="A148" i="34"/>
  <c r="J37" i="37"/>
  <c r="Q127" i="35"/>
  <c r="Q129" i="35"/>
  <c r="Y125" i="38"/>
  <c r="Y124" i="38"/>
  <c r="Z125" i="38"/>
  <c r="Z124" i="38"/>
  <c r="R122" i="38"/>
  <c r="A135" i="39"/>
  <c r="B135" i="39" s="1"/>
  <c r="B134" i="39"/>
  <c r="H11" i="16"/>
  <c r="I11" i="16" s="1"/>
  <c r="D11" i="16"/>
  <c r="F11" i="16" s="1"/>
  <c r="G11" i="16" s="1"/>
  <c r="B146" i="43"/>
  <c r="A147" i="43"/>
  <c r="AF12" i="21"/>
  <c r="AF13" i="21" s="1"/>
  <c r="O139" i="35"/>
  <c r="P138" i="35"/>
  <c r="Q138" i="35" s="1"/>
  <c r="AV15" i="20"/>
  <c r="D43" i="36"/>
  <c r="F43" i="36" s="1"/>
  <c r="H43" i="36" s="1"/>
  <c r="AE39" i="36"/>
  <c r="AG39" i="36" s="1"/>
  <c r="R38" i="36"/>
  <c r="R34" i="36"/>
  <c r="AE43" i="36"/>
  <c r="D39" i="36"/>
  <c r="F39" i="36" s="1"/>
  <c r="H39" i="36" s="1"/>
  <c r="R42" i="36"/>
  <c r="D47" i="36"/>
  <c r="O139" i="47"/>
  <c r="P138" i="47"/>
  <c r="Q138" i="47" s="1"/>
  <c r="V135" i="59"/>
  <c r="V138" i="59" s="1"/>
  <c r="T135" i="59"/>
  <c r="T138" i="59" s="1"/>
  <c r="X137" i="59" s="1"/>
  <c r="AB137" i="59" s="1"/>
  <c r="B147" i="50"/>
  <c r="A148" i="50"/>
  <c r="B142" i="39"/>
  <c r="A143" i="39"/>
  <c r="B142" i="46"/>
  <c r="A143" i="46"/>
  <c r="L124" i="47"/>
  <c r="D122" i="47"/>
  <c r="L125" i="47"/>
  <c r="K125" i="47"/>
  <c r="K124" i="47"/>
  <c r="G122" i="47"/>
  <c r="B147" i="32"/>
  <c r="A148" i="32"/>
  <c r="H123" i="41"/>
  <c r="AC139" i="38"/>
  <c r="AD139" i="38" s="1"/>
  <c r="AD138" i="38"/>
  <c r="AC143" i="38"/>
  <c r="AA135" i="36"/>
  <c r="AO135" i="36" s="1"/>
  <c r="AP135" i="36" s="1"/>
  <c r="W135" i="36"/>
  <c r="AA134" i="36"/>
  <c r="AO134" i="36" s="1"/>
  <c r="AP134" i="36" s="1"/>
  <c r="W134" i="36"/>
  <c r="P142" i="48"/>
  <c r="O143" i="48"/>
  <c r="K138" i="59"/>
  <c r="I137" i="59"/>
  <c r="I138" i="59"/>
  <c r="G135" i="59"/>
  <c r="K137" i="59"/>
  <c r="V58" i="41"/>
  <c r="T58" i="41"/>
  <c r="P142" i="41"/>
  <c r="O143" i="41"/>
  <c r="R33" i="35"/>
  <c r="AE38" i="35"/>
  <c r="AE34" i="35"/>
  <c r="D38" i="35"/>
  <c r="D42" i="35"/>
  <c r="R37" i="35"/>
  <c r="AA135" i="38"/>
  <c r="AO135" i="38" s="1"/>
  <c r="AP135" i="38" s="1"/>
  <c r="W135" i="38"/>
  <c r="AA134" i="38"/>
  <c r="AO134" i="38" s="1"/>
  <c r="AP134" i="38" s="1"/>
  <c r="W134" i="38"/>
  <c r="K125" i="31"/>
  <c r="L124" i="31"/>
  <c r="D122" i="31"/>
  <c r="K124" i="31"/>
  <c r="L125" i="31"/>
  <c r="G122" i="31"/>
  <c r="Y125" i="41"/>
  <c r="Y124" i="41"/>
  <c r="Z125" i="41"/>
  <c r="Z124" i="41"/>
  <c r="R122" i="41"/>
  <c r="Z125" i="48"/>
  <c r="Z124" i="48"/>
  <c r="R122" i="48"/>
  <c r="Y125" i="48"/>
  <c r="Y124" i="48"/>
  <c r="AE75" i="44"/>
  <c r="AI74" i="44" s="1"/>
  <c r="P141" i="34"/>
  <c r="O146" i="34"/>
  <c r="O142" i="34"/>
  <c r="G143" i="59"/>
  <c r="M143" i="59"/>
  <c r="M144" i="59"/>
  <c r="F117" i="50"/>
  <c r="AE89" i="46"/>
  <c r="AG89" i="46" s="1"/>
  <c r="AE93" i="46"/>
  <c r="R88" i="46"/>
  <c r="D89" i="46"/>
  <c r="A140" i="41"/>
  <c r="B140" i="41" s="1"/>
  <c r="B139" i="41"/>
  <c r="A143" i="36"/>
  <c r="B142" i="36"/>
  <c r="AE69" i="42"/>
  <c r="AG69" i="42" s="1"/>
  <c r="R68" i="42"/>
  <c r="AE73" i="42"/>
  <c r="D69" i="42"/>
  <c r="C128" i="36"/>
  <c r="C129" i="36"/>
  <c r="H74" i="45"/>
  <c r="H75" i="45" s="1"/>
  <c r="J75" i="45" s="1"/>
  <c r="F75" i="45"/>
  <c r="J74" i="45" s="1"/>
  <c r="K120" i="36"/>
  <c r="K119" i="36"/>
  <c r="G117" i="36"/>
  <c r="AE79" i="44"/>
  <c r="AG79" i="44" s="1"/>
  <c r="AE83" i="44"/>
  <c r="D79" i="44"/>
  <c r="F79" i="44" s="1"/>
  <c r="H79" i="44" s="1"/>
  <c r="R78" i="44"/>
  <c r="R74" i="44"/>
  <c r="M130" i="34"/>
  <c r="I130" i="34"/>
  <c r="G129" i="34"/>
  <c r="M129" i="34"/>
  <c r="I129" i="34"/>
  <c r="AB9" i="24"/>
  <c r="AB12" i="24"/>
  <c r="D128" i="47"/>
  <c r="F128" i="47" s="1"/>
  <c r="C127" i="47"/>
  <c r="G128" i="47"/>
  <c r="Y12" i="18"/>
  <c r="AG45" i="38"/>
  <c r="X117" i="40"/>
  <c r="R119" i="40"/>
  <c r="Z120" i="33"/>
  <c r="Z119" i="33"/>
  <c r="R117" i="33"/>
  <c r="Y120" i="33"/>
  <c r="Y119" i="33"/>
  <c r="O166" i="59"/>
  <c r="P165" i="59"/>
  <c r="C134" i="27"/>
  <c r="C133" i="27"/>
  <c r="AI35" i="37"/>
  <c r="AM35" i="37" s="1"/>
  <c r="AS35" i="37" s="1"/>
  <c r="V139" i="32"/>
  <c r="T139" i="32"/>
  <c r="AL140" i="33"/>
  <c r="AH140" i="33"/>
  <c r="AI137" i="33"/>
  <c r="AL139" i="33"/>
  <c r="AH139" i="33"/>
  <c r="D123" i="46"/>
  <c r="F123" i="46" s="1"/>
  <c r="C122" i="46"/>
  <c r="G123" i="46"/>
  <c r="I125" i="39"/>
  <c r="I124" i="39"/>
  <c r="M125" i="39"/>
  <c r="M124" i="39"/>
  <c r="G124" i="39"/>
  <c r="B142" i="48"/>
  <c r="A143" i="48"/>
  <c r="P129" i="37"/>
  <c r="O130" i="37"/>
  <c r="P130" i="37" s="1"/>
  <c r="Y10" i="16"/>
  <c r="AA130" i="27"/>
  <c r="AO130" i="27" s="1"/>
  <c r="AP130" i="27" s="1"/>
  <c r="W130" i="27"/>
  <c r="AA129" i="27"/>
  <c r="AO129" i="27" s="1"/>
  <c r="AP129" i="27" s="1"/>
  <c r="W129" i="27"/>
  <c r="A139" i="43"/>
  <c r="B138" i="43"/>
  <c r="AJ139" i="27"/>
  <c r="AJ140" i="27"/>
  <c r="R43" i="37"/>
  <c r="AE44" i="37"/>
  <c r="AG44" i="37" s="1"/>
  <c r="AE48" i="37"/>
  <c r="D44" i="37"/>
  <c r="F44" i="37" s="1"/>
  <c r="H44" i="37" s="1"/>
  <c r="R39" i="37"/>
  <c r="D48" i="37"/>
  <c r="F48" i="37" s="1"/>
  <c r="H48" i="37" s="1"/>
  <c r="Y120" i="45"/>
  <c r="Y119" i="45"/>
  <c r="Z119" i="45"/>
  <c r="Z120" i="45"/>
  <c r="R117" i="45"/>
  <c r="A144" i="29"/>
  <c r="B143" i="29"/>
  <c r="O142" i="49"/>
  <c r="P141" i="49"/>
  <c r="O146" i="49"/>
  <c r="C134" i="44"/>
  <c r="C133" i="44"/>
  <c r="Q129" i="48"/>
  <c r="Q127" i="48"/>
  <c r="D128" i="40"/>
  <c r="F128" i="40" s="1"/>
  <c r="C127" i="40"/>
  <c r="G128" i="40"/>
  <c r="B142" i="26"/>
  <c r="A143" i="26"/>
  <c r="Z120" i="27"/>
  <c r="Z119" i="27"/>
  <c r="R117" i="27"/>
  <c r="Y120" i="27"/>
  <c r="Y119" i="27"/>
  <c r="M129" i="44"/>
  <c r="I129" i="44"/>
  <c r="M130" i="44"/>
  <c r="I130" i="44"/>
  <c r="G129" i="44"/>
  <c r="P129" i="50"/>
  <c r="O130" i="50"/>
  <c r="P130" i="50" s="1"/>
  <c r="AF11" i="20"/>
  <c r="AF12" i="20" s="1"/>
  <c r="AF13" i="20" s="1"/>
  <c r="P141" i="50"/>
  <c r="O146" i="50"/>
  <c r="O142" i="50"/>
  <c r="Q122" i="45"/>
  <c r="Q124" i="45"/>
  <c r="A148" i="44"/>
  <c r="B147" i="44"/>
  <c r="C134" i="32"/>
  <c r="C133" i="32"/>
  <c r="AJ135" i="47"/>
  <c r="AJ134" i="47"/>
  <c r="Z120" i="46"/>
  <c r="Z119" i="46"/>
  <c r="R117" i="46"/>
  <c r="Y120" i="46"/>
  <c r="Y119" i="46"/>
  <c r="AG85" i="46"/>
  <c r="Z120" i="34"/>
  <c r="Z119" i="34"/>
  <c r="R117" i="34"/>
  <c r="Y120" i="34"/>
  <c r="Y119" i="34"/>
  <c r="P142" i="30"/>
  <c r="O143" i="30"/>
  <c r="O142" i="27"/>
  <c r="P141" i="27"/>
  <c r="O146" i="27"/>
  <c r="A156" i="59"/>
  <c r="B156" i="59" s="1"/>
  <c r="B155" i="59"/>
  <c r="F89" i="47"/>
  <c r="J87" i="47"/>
  <c r="T88" i="47"/>
  <c r="V88" i="47"/>
  <c r="AG55" i="40"/>
  <c r="H112" i="50"/>
  <c r="T117" i="36"/>
  <c r="T120" i="36" s="1"/>
  <c r="X119" i="36" s="1"/>
  <c r="AB119" i="36" s="1"/>
  <c r="V117" i="36"/>
  <c r="V120" i="36" s="1"/>
  <c r="T119" i="35"/>
  <c r="V119" i="35"/>
  <c r="AG4" i="12"/>
  <c r="C129" i="26"/>
  <c r="C128" i="26"/>
  <c r="AK59" i="44"/>
  <c r="AM59" i="44" s="1"/>
  <c r="AS59" i="44" s="1"/>
  <c r="Q122" i="40"/>
  <c r="Q124" i="40"/>
  <c r="J77" i="45"/>
  <c r="AB40" i="40"/>
  <c r="AR40" i="40" s="1"/>
  <c r="AT40" i="40" s="1"/>
  <c r="E6" i="40" s="1"/>
  <c r="Q124" i="31"/>
  <c r="Q122" i="31"/>
  <c r="P133" i="33"/>
  <c r="Q133" i="33" s="1"/>
  <c r="O134" i="33"/>
  <c r="Z120" i="28"/>
  <c r="Z119" i="28"/>
  <c r="R117" i="28"/>
  <c r="Y120" i="28"/>
  <c r="Y119" i="28"/>
  <c r="C134" i="34"/>
  <c r="C133" i="34"/>
  <c r="AN11" i="46" l="1"/>
  <c r="AR50" i="42"/>
  <c r="AT50" i="42" s="1"/>
  <c r="E8" i="42" s="1"/>
  <c r="L55" i="50"/>
  <c r="N55" i="50" s="1"/>
  <c r="AQ55" i="50" s="1"/>
  <c r="Z50" i="50"/>
  <c r="AB50" i="50" s="1"/>
  <c r="AR50" i="50" s="1"/>
  <c r="AN5" i="43"/>
  <c r="D92" i="65"/>
  <c r="A92" i="65" s="1"/>
  <c r="AN5" i="41"/>
  <c r="AN6" i="42"/>
  <c r="L50" i="50"/>
  <c r="N50" i="50" s="1"/>
  <c r="AQ50" i="50" s="1"/>
  <c r="AK45" i="50"/>
  <c r="AM45" i="50" s="1"/>
  <c r="AS45" i="50" s="1"/>
  <c r="Z45" i="50"/>
  <c r="AB45" i="50" s="1"/>
  <c r="AR44" i="50" s="1"/>
  <c r="Z59" i="44"/>
  <c r="AB59" i="44" s="1"/>
  <c r="D150" i="66"/>
  <c r="B150" i="66" s="1"/>
  <c r="D130" i="66"/>
  <c r="L213" i="66"/>
  <c r="J116" i="66"/>
  <c r="B116" i="65" s="1"/>
  <c r="D116" i="65"/>
  <c r="A116" i="65" s="1"/>
  <c r="I116" i="66"/>
  <c r="J129" i="66"/>
  <c r="B129" i="65" s="1"/>
  <c r="I129" i="66"/>
  <c r="D129" i="65"/>
  <c r="A129" i="65" s="1"/>
  <c r="B107" i="66"/>
  <c r="A107" i="66"/>
  <c r="I153" i="66"/>
  <c r="D153" i="65"/>
  <c r="J153" i="66"/>
  <c r="B153" i="65" s="1"/>
  <c r="J212" i="66"/>
  <c r="B212" i="65" s="1"/>
  <c r="I212" i="66"/>
  <c r="D212" i="65"/>
  <c r="A212" i="65" s="1"/>
  <c r="A129" i="66"/>
  <c r="B129" i="66"/>
  <c r="B185" i="66"/>
  <c r="A185" i="66"/>
  <c r="D108" i="66"/>
  <c r="L117" i="66"/>
  <c r="AE105" i="49"/>
  <c r="AI104" i="49" s="1"/>
  <c r="T69" i="44"/>
  <c r="T70" i="44" s="1"/>
  <c r="X69" i="44" s="1"/>
  <c r="AN11" i="44"/>
  <c r="X100" i="50"/>
  <c r="D163" i="66"/>
  <c r="L175" i="66"/>
  <c r="A162" i="66"/>
  <c r="B162" i="66"/>
  <c r="D124" i="66"/>
  <c r="L133" i="66"/>
  <c r="J102" i="49"/>
  <c r="AJ11" i="41"/>
  <c r="AN10" i="41" s="1"/>
  <c r="AN11" i="41" s="1"/>
  <c r="X90" i="49"/>
  <c r="I132" i="66"/>
  <c r="J132" i="66"/>
  <c r="B132" i="65" s="1"/>
  <c r="D132" i="65"/>
  <c r="A132" i="65" s="1"/>
  <c r="J90" i="66"/>
  <c r="B90" i="65" s="1"/>
  <c r="D90" i="65"/>
  <c r="A90" i="65" s="1"/>
  <c r="I90" i="66"/>
  <c r="B110" i="66"/>
  <c r="A110" i="66"/>
  <c r="D85" i="66"/>
  <c r="L91" i="66"/>
  <c r="AN16" i="44"/>
  <c r="B123" i="66"/>
  <c r="A123" i="66"/>
  <c r="B84" i="66"/>
  <c r="A84" i="66"/>
  <c r="J76" i="66"/>
  <c r="B76" i="65" s="1"/>
  <c r="D76" i="65"/>
  <c r="A76" i="65" s="1"/>
  <c r="I76" i="66"/>
  <c r="D111" i="66"/>
  <c r="L119" i="66"/>
  <c r="AR64" i="47"/>
  <c r="AT64" i="47" s="1"/>
  <c r="D11" i="47" s="1"/>
  <c r="AB15" i="47" s="1"/>
  <c r="AD15" i="47" s="1"/>
  <c r="I174" i="66"/>
  <c r="D174" i="65"/>
  <c r="A174" i="65" s="1"/>
  <c r="J174" i="66"/>
  <c r="B174" i="65" s="1"/>
  <c r="B71" i="66"/>
  <c r="A71" i="66"/>
  <c r="D115" i="66"/>
  <c r="D20" i="66"/>
  <c r="L21" i="66"/>
  <c r="D172" i="66"/>
  <c r="D134" i="66"/>
  <c r="L141" i="66"/>
  <c r="D104" i="48"/>
  <c r="F104" i="48" s="1"/>
  <c r="H104" i="48" s="1"/>
  <c r="H99" i="49"/>
  <c r="H100" i="49" s="1"/>
  <c r="J100" i="49" s="1"/>
  <c r="F100" i="49"/>
  <c r="B114" i="66"/>
  <c r="A114" i="66"/>
  <c r="B171" i="66"/>
  <c r="A171" i="66"/>
  <c r="D200" i="65"/>
  <c r="A200" i="65" s="1"/>
  <c r="J200" i="66"/>
  <c r="B200" i="65" s="1"/>
  <c r="I200" i="66"/>
  <c r="B95" i="66"/>
  <c r="A95" i="66"/>
  <c r="H103" i="48"/>
  <c r="AG109" i="50"/>
  <c r="AG110" i="50" s="1"/>
  <c r="AE110" i="50"/>
  <c r="AI109" i="50" s="1"/>
  <c r="D60" i="65"/>
  <c r="A60" i="65" s="1"/>
  <c r="I60" i="66"/>
  <c r="J60" i="66"/>
  <c r="B60" i="65" s="1"/>
  <c r="D39" i="66"/>
  <c r="L41" i="66"/>
  <c r="R89" i="47"/>
  <c r="D103" i="47"/>
  <c r="F103" i="47" s="1"/>
  <c r="R102" i="47"/>
  <c r="D107" i="47"/>
  <c r="F107" i="47" s="1"/>
  <c r="L161" i="66"/>
  <c r="R99" i="48"/>
  <c r="D108" i="48"/>
  <c r="F108" i="48" s="1"/>
  <c r="R107" i="48"/>
  <c r="D112" i="48"/>
  <c r="F112" i="48" s="1"/>
  <c r="D362" i="66"/>
  <c r="L381" i="66"/>
  <c r="AL5" i="44"/>
  <c r="AL6" i="44" s="1"/>
  <c r="AN6" i="44" s="1"/>
  <c r="AJ6" i="44"/>
  <c r="AN5" i="44" s="1"/>
  <c r="Z23" i="41"/>
  <c r="F105" i="49"/>
  <c r="D20" i="65"/>
  <c r="A20" i="65" s="1"/>
  <c r="I20" i="66"/>
  <c r="J20" i="66"/>
  <c r="B20" i="65" s="1"/>
  <c r="D140" i="65"/>
  <c r="J140" i="66"/>
  <c r="B140" i="65" s="1"/>
  <c r="I140" i="66"/>
  <c r="V102" i="48"/>
  <c r="T102" i="48"/>
  <c r="V107" i="49"/>
  <c r="T107" i="49"/>
  <c r="D160" i="65"/>
  <c r="A160" i="65" s="1"/>
  <c r="J160" i="66"/>
  <c r="B160" i="65" s="1"/>
  <c r="I160" i="66"/>
  <c r="T108" i="50"/>
  <c r="V108" i="50"/>
  <c r="F113" i="50"/>
  <c r="B57" i="66"/>
  <c r="A57" i="66"/>
  <c r="R109" i="50"/>
  <c r="D114" i="50"/>
  <c r="F114" i="50" s="1"/>
  <c r="H114" i="50" s="1"/>
  <c r="AE118" i="50"/>
  <c r="D118" i="50"/>
  <c r="AE114" i="50"/>
  <c r="AG114" i="50" s="1"/>
  <c r="R113" i="50"/>
  <c r="D96" i="66"/>
  <c r="L101" i="66"/>
  <c r="L201" i="66"/>
  <c r="D113" i="49"/>
  <c r="R104" i="49"/>
  <c r="AE113" i="49"/>
  <c r="AE109" i="49"/>
  <c r="R112" i="49"/>
  <c r="R108" i="49"/>
  <c r="D109" i="49"/>
  <c r="D117" i="49"/>
  <c r="AE108" i="48"/>
  <c r="AG108" i="48" s="1"/>
  <c r="H105" i="49"/>
  <c r="B19" i="66"/>
  <c r="A19" i="66"/>
  <c r="D80" i="65"/>
  <c r="A80" i="65" s="1"/>
  <c r="I80" i="66"/>
  <c r="J80" i="66"/>
  <c r="B80" i="65" s="1"/>
  <c r="H97" i="45"/>
  <c r="H102" i="46"/>
  <c r="T89" i="48"/>
  <c r="T90" i="48" s="1"/>
  <c r="X89" i="48" s="1"/>
  <c r="V89" i="48"/>
  <c r="V90" i="48" s="1"/>
  <c r="V99" i="49"/>
  <c r="V100" i="49" s="1"/>
  <c r="T99" i="49"/>
  <c r="T100" i="49" s="1"/>
  <c r="X99" i="49" s="1"/>
  <c r="D40" i="65"/>
  <c r="A40" i="65" s="1"/>
  <c r="I40" i="66"/>
  <c r="J40" i="66"/>
  <c r="B40" i="65" s="1"/>
  <c r="AG113" i="50"/>
  <c r="V104" i="50"/>
  <c r="V105" i="50" s="1"/>
  <c r="T104" i="50"/>
  <c r="T105" i="50" s="1"/>
  <c r="X104" i="50" s="1"/>
  <c r="D98" i="45"/>
  <c r="F98" i="45" s="1"/>
  <c r="H98" i="45" s="1"/>
  <c r="R97" i="45"/>
  <c r="D102" i="45"/>
  <c r="F102" i="45" s="1"/>
  <c r="R87" i="44"/>
  <c r="D97" i="44"/>
  <c r="F97" i="44" s="1"/>
  <c r="D77" i="66"/>
  <c r="L81" i="66"/>
  <c r="D58" i="66"/>
  <c r="L61" i="66"/>
  <c r="R103" i="48"/>
  <c r="T103" i="48" s="1"/>
  <c r="A76" i="66"/>
  <c r="B76" i="66"/>
  <c r="T87" i="45"/>
  <c r="V87" i="45"/>
  <c r="T97" i="46"/>
  <c r="V97" i="46"/>
  <c r="D100" i="65"/>
  <c r="A100" i="65" s="1"/>
  <c r="J100" i="66"/>
  <c r="B100" i="65" s="1"/>
  <c r="I100" i="66"/>
  <c r="H108" i="49"/>
  <c r="B38" i="66"/>
  <c r="A38" i="66"/>
  <c r="F109" i="50"/>
  <c r="J107" i="50"/>
  <c r="AR45" i="45"/>
  <c r="AR44" i="45"/>
  <c r="AR49" i="45"/>
  <c r="AR50" i="45"/>
  <c r="AN16" i="43"/>
  <c r="Z23" i="42"/>
  <c r="AR65" i="47"/>
  <c r="AT65" i="47" s="1"/>
  <c r="E11" i="47" s="1"/>
  <c r="L75" i="47" s="1"/>
  <c r="N75" i="47" s="1"/>
  <c r="AQ75" i="47" s="1"/>
  <c r="L49" i="41"/>
  <c r="N49" i="41" s="1"/>
  <c r="AQ49" i="41" s="1"/>
  <c r="AI55" i="40"/>
  <c r="AK44" i="41"/>
  <c r="AM44" i="41" s="1"/>
  <c r="AS44" i="41" s="1"/>
  <c r="Z44" i="41"/>
  <c r="AB44" i="41" s="1"/>
  <c r="AR45" i="41" s="1"/>
  <c r="AT45" i="41" s="1"/>
  <c r="E7" i="41" s="1"/>
  <c r="Z49" i="41"/>
  <c r="AB49" i="41" s="1"/>
  <c r="AR49" i="41" s="1"/>
  <c r="Z23" i="43"/>
  <c r="R69" i="43"/>
  <c r="V69" i="43" s="1"/>
  <c r="V70" i="43" s="1"/>
  <c r="AH10" i="43"/>
  <c r="A71" i="65"/>
  <c r="A110" i="65"/>
  <c r="A97" i="65"/>
  <c r="Z23" i="45"/>
  <c r="X22" i="44"/>
  <c r="X23" i="44" s="1"/>
  <c r="V22" i="44"/>
  <c r="V23" i="44" s="1"/>
  <c r="Z22" i="44" s="1"/>
  <c r="AJ10" i="42"/>
  <c r="AJ11" i="42" s="1"/>
  <c r="AN10" i="42" s="1"/>
  <c r="AL10" i="42"/>
  <c r="AL11" i="42" s="1"/>
  <c r="AB10" i="42"/>
  <c r="AD10" i="42" s="1"/>
  <c r="AB16" i="42"/>
  <c r="AD16" i="42" s="1"/>
  <c r="AB5" i="42"/>
  <c r="AD5" i="42" s="1"/>
  <c r="AB9" i="47"/>
  <c r="AD9" i="47" s="1"/>
  <c r="AB4" i="47"/>
  <c r="AD4" i="47" s="1"/>
  <c r="AB10" i="47"/>
  <c r="AD10" i="47" s="1"/>
  <c r="AI90" i="47"/>
  <c r="T32" i="34"/>
  <c r="V32" i="34"/>
  <c r="H21" i="25"/>
  <c r="I21" i="25" s="1"/>
  <c r="D21" i="25"/>
  <c r="F21" i="25" s="1"/>
  <c r="G21" i="25" s="1"/>
  <c r="AE22" i="61"/>
  <c r="AP22" i="25"/>
  <c r="B22" i="25"/>
  <c r="C4" i="32"/>
  <c r="AV21" i="25"/>
  <c r="AE33" i="33"/>
  <c r="AG33" i="33" s="1"/>
  <c r="R32" i="33"/>
  <c r="D37" i="33"/>
  <c r="F37" i="33" s="1"/>
  <c r="H37" i="33" s="1"/>
  <c r="V93" i="47"/>
  <c r="AI45" i="38"/>
  <c r="AR65" i="48"/>
  <c r="AT65" i="48" s="1"/>
  <c r="E11" i="48" s="1"/>
  <c r="AR64" i="48"/>
  <c r="AT64" i="48" s="1"/>
  <c r="D11" i="48" s="1"/>
  <c r="AR59" i="46"/>
  <c r="AT59" i="46" s="1"/>
  <c r="D10" i="46" s="1"/>
  <c r="AR60" i="46"/>
  <c r="AT60" i="46" s="1"/>
  <c r="E10" i="46" s="1"/>
  <c r="AT49" i="43"/>
  <c r="D8" i="43" s="1"/>
  <c r="Z54" i="43" s="1"/>
  <c r="AB54" i="43" s="1"/>
  <c r="AK55" i="42"/>
  <c r="AM55" i="42" s="1"/>
  <c r="AS55" i="42" s="1"/>
  <c r="Z55" i="42"/>
  <c r="L60" i="42"/>
  <c r="AK54" i="43"/>
  <c r="AM54" i="43" s="1"/>
  <c r="AS54" i="43" s="1"/>
  <c r="AT50" i="43"/>
  <c r="E8" i="43" s="1"/>
  <c r="AB55" i="42"/>
  <c r="N60" i="42"/>
  <c r="AQ60" i="42" s="1"/>
  <c r="AI60" i="41"/>
  <c r="AM60" i="41" s="1"/>
  <c r="AS60" i="41" s="1"/>
  <c r="AI85" i="46"/>
  <c r="AG85" i="45"/>
  <c r="N54" i="41"/>
  <c r="AQ54" i="41" s="1"/>
  <c r="AE85" i="45"/>
  <c r="AI84" i="45" s="1"/>
  <c r="AE55" i="39"/>
  <c r="AI54" i="39" s="1"/>
  <c r="AG55" i="39"/>
  <c r="T50" i="39"/>
  <c r="X49" i="39" s="1"/>
  <c r="X50" i="39" s="1"/>
  <c r="L65" i="44"/>
  <c r="N65" i="44" s="1"/>
  <c r="AQ65" i="44" s="1"/>
  <c r="AE95" i="47"/>
  <c r="AI94" i="47" s="1"/>
  <c r="Y11" i="16"/>
  <c r="AA11" i="16" s="1"/>
  <c r="AG11" i="16" s="1"/>
  <c r="AG95" i="47"/>
  <c r="AI40" i="37"/>
  <c r="AI105" i="49"/>
  <c r="R93" i="46"/>
  <c r="V93" i="46" s="1"/>
  <c r="AE94" i="46"/>
  <c r="AG94" i="46" s="1"/>
  <c r="N55" i="41"/>
  <c r="AQ55" i="41" s="1"/>
  <c r="D77" i="41"/>
  <c r="F77" i="41" s="1"/>
  <c r="R72" i="41"/>
  <c r="V72" i="41" s="1"/>
  <c r="D94" i="46"/>
  <c r="X80" i="46"/>
  <c r="Z70" i="49"/>
  <c r="AB70" i="49" s="1"/>
  <c r="L75" i="49"/>
  <c r="N75" i="49" s="1"/>
  <c r="AQ75" i="49" s="1"/>
  <c r="AK70" i="49"/>
  <c r="AM70" i="49" s="1"/>
  <c r="AS70" i="49" s="1"/>
  <c r="Z69" i="49"/>
  <c r="AB69" i="49" s="1"/>
  <c r="L74" i="49"/>
  <c r="N74" i="49" s="1"/>
  <c r="AQ74" i="49" s="1"/>
  <c r="AK69" i="49"/>
  <c r="AM69" i="49" s="1"/>
  <c r="AS69" i="49" s="1"/>
  <c r="X70" i="44"/>
  <c r="T49" i="38"/>
  <c r="V49" i="38"/>
  <c r="AI100" i="49"/>
  <c r="F99" i="48"/>
  <c r="J97" i="48"/>
  <c r="V98" i="48"/>
  <c r="T98" i="48"/>
  <c r="H52" i="36"/>
  <c r="H89" i="47"/>
  <c r="H90" i="47" s="1"/>
  <c r="J90" i="47" s="1"/>
  <c r="F90" i="47"/>
  <c r="J89" i="47" s="1"/>
  <c r="AE103" i="47"/>
  <c r="AE99" i="47"/>
  <c r="R98" i="47"/>
  <c r="D99" i="47"/>
  <c r="Z69" i="47"/>
  <c r="AB69" i="47" s="1"/>
  <c r="L74" i="47"/>
  <c r="N74" i="47" s="1"/>
  <c r="AQ74" i="47" s="1"/>
  <c r="AG103" i="48"/>
  <c r="AG105" i="48" s="1"/>
  <c r="AE105" i="48"/>
  <c r="AI104" i="48" s="1"/>
  <c r="V103" i="48"/>
  <c r="H87" i="44"/>
  <c r="T84" i="46"/>
  <c r="T85" i="46" s="1"/>
  <c r="X84" i="46" s="1"/>
  <c r="V84" i="46"/>
  <c r="V85" i="46" s="1"/>
  <c r="H82" i="43"/>
  <c r="V67" i="41"/>
  <c r="T67" i="41"/>
  <c r="V47" i="36"/>
  <c r="T47" i="36"/>
  <c r="AR49" i="42"/>
  <c r="AT49" i="42" s="1"/>
  <c r="D8" i="42" s="1"/>
  <c r="H84" i="46"/>
  <c r="H85" i="46" s="1"/>
  <c r="J85" i="46" s="1"/>
  <c r="F85" i="46"/>
  <c r="J84" i="46" s="1"/>
  <c r="D68" i="40"/>
  <c r="F68" i="40" s="1"/>
  <c r="R67" i="40"/>
  <c r="R79" i="44"/>
  <c r="D88" i="44"/>
  <c r="F88" i="44" s="1"/>
  <c r="H88" i="44" s="1"/>
  <c r="R77" i="42"/>
  <c r="D82" i="42"/>
  <c r="F82" i="42" s="1"/>
  <c r="H67" i="39"/>
  <c r="AG99" i="48"/>
  <c r="AG100" i="48" s="1"/>
  <c r="AE100" i="48"/>
  <c r="AI99" i="48" s="1"/>
  <c r="V82" i="44"/>
  <c r="T82" i="44"/>
  <c r="T77" i="43"/>
  <c r="V77" i="43"/>
  <c r="H68" i="41"/>
  <c r="Z50" i="40"/>
  <c r="AB50" i="40" s="1"/>
  <c r="L55" i="40"/>
  <c r="H54" i="40"/>
  <c r="H55" i="40" s="1"/>
  <c r="F55" i="40"/>
  <c r="D83" i="43"/>
  <c r="F83" i="43" s="1"/>
  <c r="H83" i="43" s="1"/>
  <c r="R82" i="43"/>
  <c r="D87" i="43"/>
  <c r="F87" i="43" s="1"/>
  <c r="R84" i="45"/>
  <c r="H69" i="43"/>
  <c r="H70" i="43" s="1"/>
  <c r="F70" i="43"/>
  <c r="R47" i="35"/>
  <c r="D52" i="35"/>
  <c r="F52" i="35" s="1"/>
  <c r="J99" i="49"/>
  <c r="T79" i="45"/>
  <c r="T80" i="45" s="1"/>
  <c r="X79" i="45" s="1"/>
  <c r="V79" i="45"/>
  <c r="V80" i="45" s="1"/>
  <c r="Y8" i="13"/>
  <c r="AI65" i="42"/>
  <c r="AI50" i="39"/>
  <c r="AE75" i="43"/>
  <c r="AI74" i="43" s="1"/>
  <c r="X138" i="59"/>
  <c r="AB138" i="59" s="1"/>
  <c r="AT137" i="59" s="1"/>
  <c r="H60" i="40"/>
  <c r="AR134" i="32"/>
  <c r="AR44" i="42"/>
  <c r="AT44" i="42" s="1"/>
  <c r="D7" i="42" s="1"/>
  <c r="AK49" i="42" s="1"/>
  <c r="AM49" i="42" s="1"/>
  <c r="AS49" i="42" s="1"/>
  <c r="AR45" i="42"/>
  <c r="AT45" i="42" s="1"/>
  <c r="E7" i="42" s="1"/>
  <c r="AK50" i="42" s="1"/>
  <c r="AM50" i="42" s="1"/>
  <c r="AS50" i="42" s="1"/>
  <c r="AK69" i="47"/>
  <c r="AM69" i="47" s="1"/>
  <c r="AS69" i="47" s="1"/>
  <c r="AK45" i="40"/>
  <c r="AM45" i="40" s="1"/>
  <c r="AS45" i="40" s="1"/>
  <c r="Z45" i="40"/>
  <c r="AB45" i="40" s="1"/>
  <c r="L50" i="40"/>
  <c r="N50" i="40" s="1"/>
  <c r="AQ50" i="40" s="1"/>
  <c r="AT50" i="40" s="1"/>
  <c r="E8" i="40" s="1"/>
  <c r="J57" i="40"/>
  <c r="F60" i="40"/>
  <c r="AE50" i="38"/>
  <c r="AI49" i="38" s="1"/>
  <c r="X120" i="47"/>
  <c r="AB120" i="47" s="1"/>
  <c r="AR119" i="47" s="1"/>
  <c r="AG75" i="43"/>
  <c r="X55" i="41"/>
  <c r="N44" i="39"/>
  <c r="AQ44" i="39" s="1"/>
  <c r="X120" i="41"/>
  <c r="AB120" i="41" s="1"/>
  <c r="H123" i="48"/>
  <c r="AG50" i="38"/>
  <c r="X45" i="39"/>
  <c r="X120" i="30"/>
  <c r="AB120" i="30" s="1"/>
  <c r="AR120" i="30" s="1"/>
  <c r="H128" i="27"/>
  <c r="H128" i="33"/>
  <c r="H123" i="37"/>
  <c r="H128" i="32"/>
  <c r="H123" i="45"/>
  <c r="X120" i="36"/>
  <c r="AB120" i="36" s="1"/>
  <c r="AR120" i="36" s="1"/>
  <c r="AI35" i="36"/>
  <c r="AM35" i="36" s="1"/>
  <c r="AS35" i="36" s="1"/>
  <c r="X60" i="42"/>
  <c r="X120" i="29"/>
  <c r="AB120" i="29" s="1"/>
  <c r="X120" i="42"/>
  <c r="AB120" i="42" s="1"/>
  <c r="AR119" i="42" s="1"/>
  <c r="H142" i="59"/>
  <c r="H123" i="36"/>
  <c r="H123" i="26"/>
  <c r="H123" i="39"/>
  <c r="H128" i="34"/>
  <c r="N45" i="39"/>
  <c r="AQ45" i="39" s="1"/>
  <c r="H128" i="28"/>
  <c r="AR35" i="37"/>
  <c r="AT35" i="37" s="1"/>
  <c r="E5" i="37" s="1"/>
  <c r="AR34" i="37"/>
  <c r="AT34" i="37" s="1"/>
  <c r="D5" i="37" s="1"/>
  <c r="AI7" i="24"/>
  <c r="AJ7" i="24"/>
  <c r="AJ8" i="24"/>
  <c r="AI8" i="24"/>
  <c r="X120" i="48"/>
  <c r="AB120" i="48" s="1"/>
  <c r="AR120" i="48" s="1"/>
  <c r="X122" i="31"/>
  <c r="R124" i="31"/>
  <c r="M135" i="32"/>
  <c r="I135" i="32"/>
  <c r="G134" i="32"/>
  <c r="I134" i="32"/>
  <c r="M134" i="32"/>
  <c r="R129" i="48"/>
  <c r="X127" i="48"/>
  <c r="T117" i="45"/>
  <c r="T120" i="45" s="1"/>
  <c r="X119" i="45" s="1"/>
  <c r="AB119" i="45" s="1"/>
  <c r="V117" i="45"/>
  <c r="V120" i="45" s="1"/>
  <c r="A144" i="48"/>
  <c r="B143" i="48"/>
  <c r="D133" i="27"/>
  <c r="F133" i="27" s="1"/>
  <c r="C132" i="27"/>
  <c r="G133" i="27"/>
  <c r="AA12" i="18"/>
  <c r="AG12" i="18" s="1"/>
  <c r="X11" i="18"/>
  <c r="AJ4" i="24"/>
  <c r="AI4" i="24"/>
  <c r="V78" i="44"/>
  <c r="T78" i="44"/>
  <c r="M129" i="36"/>
  <c r="I129" i="36"/>
  <c r="M130" i="36"/>
  <c r="I130" i="36"/>
  <c r="G129" i="36"/>
  <c r="V68" i="42"/>
  <c r="T68" i="42"/>
  <c r="O143" i="34"/>
  <c r="P142" i="34"/>
  <c r="F38" i="35"/>
  <c r="O144" i="41"/>
  <c r="P143" i="41"/>
  <c r="Q143" i="41" s="1"/>
  <c r="P143" i="48"/>
  <c r="Q143" i="48" s="1"/>
  <c r="O144" i="48"/>
  <c r="AJ140" i="38"/>
  <c r="AJ139" i="38"/>
  <c r="AA140" i="47"/>
  <c r="AO140" i="47" s="1"/>
  <c r="AP140" i="47" s="1"/>
  <c r="W140" i="47"/>
  <c r="AA139" i="47"/>
  <c r="AO139" i="47" s="1"/>
  <c r="AP139" i="47" s="1"/>
  <c r="W139" i="47"/>
  <c r="F47" i="36"/>
  <c r="V34" i="36"/>
  <c r="V35" i="36" s="1"/>
  <c r="X35" i="36" s="1"/>
  <c r="AB35" i="36" s="1"/>
  <c r="T34" i="36"/>
  <c r="B147" i="43"/>
  <c r="A148" i="43"/>
  <c r="V122" i="38"/>
  <c r="V125" i="38" s="1"/>
  <c r="T122" i="38"/>
  <c r="T125" i="38" s="1"/>
  <c r="X124" i="38" s="1"/>
  <c r="AB124" i="38" s="1"/>
  <c r="A149" i="34"/>
  <c r="B148" i="34"/>
  <c r="AJ145" i="37"/>
  <c r="AJ144" i="37"/>
  <c r="C134" i="48"/>
  <c r="C133" i="48"/>
  <c r="T117" i="44"/>
  <c r="T120" i="44" s="1"/>
  <c r="V117" i="44"/>
  <c r="V120" i="44" s="1"/>
  <c r="AV8" i="12"/>
  <c r="V124" i="47"/>
  <c r="T124" i="47"/>
  <c r="AL144" i="42"/>
  <c r="AH144" i="42"/>
  <c r="AL145" i="42"/>
  <c r="AH145" i="42"/>
  <c r="AI142" i="42"/>
  <c r="P134" i="37"/>
  <c r="O135" i="37"/>
  <c r="P135" i="37" s="1"/>
  <c r="AW4" i="61"/>
  <c r="AX3" i="61"/>
  <c r="EX126" i="61" s="1"/>
  <c r="C22" i="50"/>
  <c r="AP4" i="7"/>
  <c r="B4" i="7"/>
  <c r="H17" i="21"/>
  <c r="I17" i="21" s="1"/>
  <c r="D17" i="21"/>
  <c r="F17" i="21" s="1"/>
  <c r="G17" i="21" s="1"/>
  <c r="O140" i="36"/>
  <c r="P140" i="36" s="1"/>
  <c r="P139" i="36"/>
  <c r="AG68" i="41"/>
  <c r="AJ144" i="31"/>
  <c r="AJ145" i="31"/>
  <c r="Y125" i="39"/>
  <c r="Z124" i="39"/>
  <c r="Z125" i="39"/>
  <c r="Y124" i="39"/>
  <c r="R122" i="39"/>
  <c r="K130" i="33"/>
  <c r="L129" i="33"/>
  <c r="D127" i="33"/>
  <c r="K129" i="33"/>
  <c r="L130" i="33"/>
  <c r="G127" i="33"/>
  <c r="O139" i="39"/>
  <c r="P138" i="39"/>
  <c r="Q138" i="39" s="1"/>
  <c r="AA9" i="14"/>
  <c r="O147" i="31"/>
  <c r="P146" i="31"/>
  <c r="T143" i="59"/>
  <c r="V143" i="59"/>
  <c r="AA162" i="59"/>
  <c r="AQ162" i="59" s="1"/>
  <c r="AR162" i="59" s="1"/>
  <c r="AA161" i="59"/>
  <c r="AQ161" i="59" s="1"/>
  <c r="AR161" i="59" s="1"/>
  <c r="O135" i="44"/>
  <c r="P135" i="44" s="1"/>
  <c r="P134" i="44"/>
  <c r="AA9" i="15"/>
  <c r="AG9" i="15" s="1"/>
  <c r="Z125" i="37"/>
  <c r="Z124" i="37"/>
  <c r="R122" i="37"/>
  <c r="Y125" i="37"/>
  <c r="Y124" i="37"/>
  <c r="V119" i="34"/>
  <c r="T119" i="34"/>
  <c r="O135" i="45"/>
  <c r="P135" i="45" s="1"/>
  <c r="P134" i="45"/>
  <c r="AA5" i="11"/>
  <c r="AG5" i="11" s="1"/>
  <c r="K130" i="44"/>
  <c r="L129" i="44"/>
  <c r="D127" i="44"/>
  <c r="K129" i="44"/>
  <c r="L130" i="44"/>
  <c r="G127" i="44"/>
  <c r="H18" i="22"/>
  <c r="I18" i="22" s="1"/>
  <c r="D18" i="22"/>
  <c r="F18" i="22" s="1"/>
  <c r="G18" i="22" s="1"/>
  <c r="M135" i="47"/>
  <c r="I135" i="47"/>
  <c r="G134" i="47"/>
  <c r="M134" i="47"/>
  <c r="I134" i="47"/>
  <c r="AL145" i="27"/>
  <c r="AH145" i="27"/>
  <c r="AI142" i="27"/>
  <c r="AL144" i="27"/>
  <c r="AH144" i="27"/>
  <c r="Q129" i="27"/>
  <c r="Q127" i="27"/>
  <c r="C134" i="26"/>
  <c r="C133" i="26"/>
  <c r="V124" i="26"/>
  <c r="T124" i="26"/>
  <c r="A145" i="34"/>
  <c r="B145" i="34" s="1"/>
  <c r="B144" i="34"/>
  <c r="I130" i="39"/>
  <c r="I129" i="39"/>
  <c r="M130" i="39"/>
  <c r="M129" i="39"/>
  <c r="G129" i="39"/>
  <c r="AV11" i="15"/>
  <c r="O147" i="33"/>
  <c r="P146" i="33"/>
  <c r="AA140" i="38"/>
  <c r="AO140" i="38" s="1"/>
  <c r="AP140" i="38" s="1"/>
  <c r="W140" i="38"/>
  <c r="AA139" i="38"/>
  <c r="AO139" i="38" s="1"/>
  <c r="AP139" i="38" s="1"/>
  <c r="W139" i="38"/>
  <c r="Q134" i="36"/>
  <c r="Q132" i="36"/>
  <c r="B147" i="46"/>
  <c r="A148" i="46"/>
  <c r="O135" i="31"/>
  <c r="P135" i="31" s="1"/>
  <c r="P134" i="31"/>
  <c r="H16" i="20"/>
  <c r="I16" i="20" s="1"/>
  <c r="D16" i="20"/>
  <c r="F16" i="20" s="1"/>
  <c r="G16" i="20" s="1"/>
  <c r="F74" i="43"/>
  <c r="J72" i="43"/>
  <c r="T124" i="38"/>
  <c r="V124" i="38"/>
  <c r="A149" i="28"/>
  <c r="B148" i="28"/>
  <c r="P134" i="46"/>
  <c r="O135" i="46"/>
  <c r="P135" i="46" s="1"/>
  <c r="F122" i="44"/>
  <c r="O139" i="45"/>
  <c r="P138" i="45"/>
  <c r="Q138" i="45" s="1"/>
  <c r="V54" i="40"/>
  <c r="V55" i="40" s="1"/>
  <c r="T54" i="40"/>
  <c r="T55" i="40" s="1"/>
  <c r="X54" i="40" s="1"/>
  <c r="AG63" i="40"/>
  <c r="F4" i="9"/>
  <c r="X122" i="50"/>
  <c r="R124" i="50"/>
  <c r="F45" i="37"/>
  <c r="AL15" i="61"/>
  <c r="C11" i="39"/>
  <c r="D72" i="39" s="1"/>
  <c r="AP15" i="18"/>
  <c r="B15" i="18"/>
  <c r="M129" i="48"/>
  <c r="I129" i="48"/>
  <c r="M130" i="48"/>
  <c r="I130" i="48"/>
  <c r="G129" i="48"/>
  <c r="P134" i="50"/>
  <c r="O135" i="50"/>
  <c r="P135" i="50" s="1"/>
  <c r="A149" i="27"/>
  <c r="B148" i="27"/>
  <c r="O143" i="37"/>
  <c r="P142" i="37"/>
  <c r="AL140" i="44"/>
  <c r="AH140" i="44"/>
  <c r="AI137" i="44"/>
  <c r="AL139" i="44"/>
  <c r="AH139" i="44"/>
  <c r="J77" i="44"/>
  <c r="AL145" i="36"/>
  <c r="AH145" i="36"/>
  <c r="AL144" i="36"/>
  <c r="AH144" i="36"/>
  <c r="AI142" i="36"/>
  <c r="AC149" i="28"/>
  <c r="AD149" i="28" s="1"/>
  <c r="AD148" i="28"/>
  <c r="AN168" i="59"/>
  <c r="AJ168" i="59"/>
  <c r="AK165" i="59"/>
  <c r="AN167" i="59"/>
  <c r="AJ167" i="59"/>
  <c r="O139" i="40"/>
  <c r="P138" i="40"/>
  <c r="Q138" i="40" s="1"/>
  <c r="AI80" i="45"/>
  <c r="P138" i="27"/>
  <c r="Q138" i="27" s="1"/>
  <c r="O139" i="27"/>
  <c r="A149" i="31"/>
  <c r="B148" i="31"/>
  <c r="F122" i="49"/>
  <c r="R129" i="26"/>
  <c r="X127" i="26"/>
  <c r="O143" i="28"/>
  <c r="P142" i="28"/>
  <c r="AJ144" i="33"/>
  <c r="AJ145" i="33"/>
  <c r="A149" i="38"/>
  <c r="B148" i="38"/>
  <c r="AE69" i="41"/>
  <c r="AG69" i="41" s="1"/>
  <c r="R68" i="41"/>
  <c r="D69" i="41"/>
  <c r="AE73" i="41"/>
  <c r="AV9" i="13"/>
  <c r="V117" i="43"/>
  <c r="V120" i="43" s="1"/>
  <c r="T117" i="43"/>
  <c r="T120" i="43" s="1"/>
  <c r="X119" i="43" s="1"/>
  <c r="AB119" i="43" s="1"/>
  <c r="R37" i="34"/>
  <c r="R33" i="34"/>
  <c r="AE34" i="34"/>
  <c r="D38" i="34"/>
  <c r="AE38" i="34"/>
  <c r="D42" i="34"/>
  <c r="F54" i="39"/>
  <c r="J52" i="39"/>
  <c r="P143" i="36"/>
  <c r="Q143" i="36" s="1"/>
  <c r="O144" i="36"/>
  <c r="D133" i="31"/>
  <c r="F133" i="31" s="1"/>
  <c r="C132" i="31"/>
  <c r="G133" i="31"/>
  <c r="C127" i="45"/>
  <c r="G128" i="45"/>
  <c r="D128" i="45"/>
  <c r="F128" i="45" s="1"/>
  <c r="O140" i="30"/>
  <c r="P140" i="30" s="1"/>
  <c r="P139" i="30"/>
  <c r="AE90" i="46"/>
  <c r="AI89" i="46" s="1"/>
  <c r="F49" i="38"/>
  <c r="J47" i="38"/>
  <c r="AJ145" i="34"/>
  <c r="AJ144" i="34"/>
  <c r="AG15" i="22"/>
  <c r="X1" i="22"/>
  <c r="AJ144" i="30"/>
  <c r="AJ145" i="30"/>
  <c r="C134" i="37"/>
  <c r="C133" i="37"/>
  <c r="AV7" i="11"/>
  <c r="AE84" i="44"/>
  <c r="AG84" i="44" s="1"/>
  <c r="D84" i="44"/>
  <c r="R83" i="44"/>
  <c r="AE88" i="44"/>
  <c r="O139" i="37"/>
  <c r="P138" i="37"/>
  <c r="Q138" i="37" s="1"/>
  <c r="H57" i="39"/>
  <c r="P147" i="42"/>
  <c r="O148" i="42"/>
  <c r="D128" i="46"/>
  <c r="F128" i="46" s="1"/>
  <c r="C127" i="46"/>
  <c r="G128" i="46"/>
  <c r="AL145" i="32"/>
  <c r="AI142" i="32"/>
  <c r="AL144" i="32"/>
  <c r="AH144" i="32"/>
  <c r="AH145" i="32"/>
  <c r="O135" i="43"/>
  <c r="P135" i="43" s="1"/>
  <c r="P134" i="43"/>
  <c r="J95" i="47"/>
  <c r="N95" i="47" s="1"/>
  <c r="AQ95" i="47" s="1"/>
  <c r="J94" i="47"/>
  <c r="N94" i="47" s="1"/>
  <c r="AQ94" i="47" s="1"/>
  <c r="P134" i="34"/>
  <c r="O135" i="34"/>
  <c r="P135" i="34" s="1"/>
  <c r="B171" i="59"/>
  <c r="A172" i="59"/>
  <c r="A140" i="39"/>
  <c r="B140" i="39" s="1"/>
  <c r="B139" i="39"/>
  <c r="Y130" i="29"/>
  <c r="Y129" i="29"/>
  <c r="Z130" i="29"/>
  <c r="Z129" i="29"/>
  <c r="R127" i="29"/>
  <c r="AL145" i="49"/>
  <c r="AH145" i="49"/>
  <c r="AI142" i="49"/>
  <c r="AL144" i="49"/>
  <c r="AH144" i="49"/>
  <c r="AJ16" i="24"/>
  <c r="AI16" i="24"/>
  <c r="Y1" i="23"/>
  <c r="AB12" i="23" s="1"/>
  <c r="C139" i="34"/>
  <c r="C138" i="34"/>
  <c r="AI75" i="44"/>
  <c r="P147" i="41"/>
  <c r="O148" i="41"/>
  <c r="A149" i="29"/>
  <c r="B148" i="29"/>
  <c r="AG20" i="61"/>
  <c r="AP20" i="23"/>
  <c r="C6" i="34"/>
  <c r="B20" i="23"/>
  <c r="AV12" i="16"/>
  <c r="O147" i="43"/>
  <c r="P146" i="43"/>
  <c r="AA135" i="40"/>
  <c r="AO135" i="40" s="1"/>
  <c r="AP135" i="40" s="1"/>
  <c r="W135" i="40"/>
  <c r="AA134" i="40"/>
  <c r="AO134" i="40" s="1"/>
  <c r="AP134" i="40" s="1"/>
  <c r="W134" i="40"/>
  <c r="AL139" i="35"/>
  <c r="AH139" i="35"/>
  <c r="AL140" i="35"/>
  <c r="AH140" i="35"/>
  <c r="AI137" i="35"/>
  <c r="AL144" i="45"/>
  <c r="AH144" i="45"/>
  <c r="AH145" i="45"/>
  <c r="AL145" i="45"/>
  <c r="AI142" i="45"/>
  <c r="O143" i="45"/>
  <c r="P142" i="45"/>
  <c r="M135" i="29"/>
  <c r="I135" i="29"/>
  <c r="G134" i="29"/>
  <c r="M134" i="29"/>
  <c r="I134" i="29"/>
  <c r="H38" i="36"/>
  <c r="H40" i="36" s="1"/>
  <c r="F40" i="36"/>
  <c r="AV15" i="19"/>
  <c r="D133" i="49"/>
  <c r="F133" i="49" s="1"/>
  <c r="C132" i="49"/>
  <c r="G133" i="49"/>
  <c r="D133" i="50"/>
  <c r="F133" i="50" s="1"/>
  <c r="C132" i="50"/>
  <c r="G133" i="50"/>
  <c r="Y150" i="59"/>
  <c r="Z149" i="59"/>
  <c r="Y149" i="59"/>
  <c r="W150" i="59"/>
  <c r="R147" i="59"/>
  <c r="Z150" i="59"/>
  <c r="W149" i="59"/>
  <c r="AV5" i="9"/>
  <c r="Z125" i="33"/>
  <c r="Z124" i="33"/>
  <c r="R122" i="33"/>
  <c r="Y125" i="33"/>
  <c r="Y124" i="33"/>
  <c r="AJ144" i="48"/>
  <c r="AJ145" i="48"/>
  <c r="F122" i="29"/>
  <c r="X122" i="44"/>
  <c r="R124" i="44"/>
  <c r="P146" i="46"/>
  <c r="O147" i="46"/>
  <c r="Y6" i="11"/>
  <c r="X5" i="11" s="1"/>
  <c r="P142" i="39"/>
  <c r="O143" i="39"/>
  <c r="T83" i="45"/>
  <c r="V83" i="45"/>
  <c r="AL145" i="26"/>
  <c r="AH145" i="26"/>
  <c r="AI142" i="26"/>
  <c r="AL144" i="26"/>
  <c r="AH144" i="26"/>
  <c r="A140" i="26"/>
  <c r="B140" i="26" s="1"/>
  <c r="B139" i="26"/>
  <c r="D128" i="37"/>
  <c r="F128" i="37" s="1"/>
  <c r="C127" i="37"/>
  <c r="G128" i="37"/>
  <c r="Z130" i="30"/>
  <c r="Z129" i="30"/>
  <c r="R127" i="30"/>
  <c r="Y130" i="30"/>
  <c r="Y129" i="30"/>
  <c r="AJ140" i="29"/>
  <c r="AJ139" i="29"/>
  <c r="H74" i="44"/>
  <c r="H75" i="44" s="1"/>
  <c r="J75" i="44" s="1"/>
  <c r="F75" i="44"/>
  <c r="J74" i="44" s="1"/>
  <c r="P134" i="28"/>
  <c r="O135" i="28"/>
  <c r="P135" i="28" s="1"/>
  <c r="AF13" i="53"/>
  <c r="AR39" i="40"/>
  <c r="AT39" i="40" s="1"/>
  <c r="D6" i="40" s="1"/>
  <c r="D133" i="34"/>
  <c r="F133" i="34" s="1"/>
  <c r="C132" i="34"/>
  <c r="G133" i="34"/>
  <c r="O143" i="27"/>
  <c r="P142" i="27"/>
  <c r="X122" i="45"/>
  <c r="R124" i="45"/>
  <c r="M135" i="34"/>
  <c r="I135" i="34"/>
  <c r="G134" i="34"/>
  <c r="M134" i="34"/>
  <c r="I134" i="34"/>
  <c r="O135" i="33"/>
  <c r="P135" i="33" s="1"/>
  <c r="P134" i="33"/>
  <c r="AR59" i="44"/>
  <c r="AT59" i="44" s="1"/>
  <c r="D10" i="44" s="1"/>
  <c r="AR60" i="44"/>
  <c r="AT60" i="44" s="1"/>
  <c r="E10" i="44" s="1"/>
  <c r="M129" i="26"/>
  <c r="I129" i="26"/>
  <c r="M130" i="26"/>
  <c r="I130" i="26"/>
  <c r="G129" i="26"/>
  <c r="C154" i="59"/>
  <c r="C155" i="59"/>
  <c r="P143" i="30"/>
  <c r="Q143" i="30" s="1"/>
  <c r="O144" i="30"/>
  <c r="V117" i="46"/>
  <c r="V120" i="46" s="1"/>
  <c r="T117" i="46"/>
  <c r="T120" i="46" s="1"/>
  <c r="Y125" i="45"/>
  <c r="Y124" i="45"/>
  <c r="Z124" i="45"/>
  <c r="Z125" i="45"/>
  <c r="R122" i="45"/>
  <c r="T117" i="27"/>
  <c r="T120" i="27" s="1"/>
  <c r="X119" i="27" s="1"/>
  <c r="AB119" i="27" s="1"/>
  <c r="V117" i="27"/>
  <c r="V120" i="27" s="1"/>
  <c r="A144" i="26"/>
  <c r="B143" i="26"/>
  <c r="L129" i="40"/>
  <c r="D127" i="40"/>
  <c r="K129" i="40"/>
  <c r="L130" i="40"/>
  <c r="G127" i="40"/>
  <c r="K130" i="40"/>
  <c r="D133" i="44"/>
  <c r="F133" i="44" s="1"/>
  <c r="C132" i="44"/>
  <c r="G133" i="44"/>
  <c r="O143" i="49"/>
  <c r="P142" i="49"/>
  <c r="AG48" i="37"/>
  <c r="A140" i="43"/>
  <c r="B140" i="43" s="1"/>
  <c r="B139" i="43"/>
  <c r="L124" i="46"/>
  <c r="D122" i="46"/>
  <c r="K124" i="46"/>
  <c r="L125" i="46"/>
  <c r="G122" i="46"/>
  <c r="K125" i="46"/>
  <c r="M134" i="27"/>
  <c r="I134" i="27"/>
  <c r="M135" i="27"/>
  <c r="I135" i="27"/>
  <c r="G134" i="27"/>
  <c r="V119" i="40"/>
  <c r="T119" i="40"/>
  <c r="AJ12" i="24"/>
  <c r="AI12" i="24"/>
  <c r="C127" i="36"/>
  <c r="G128" i="36"/>
  <c r="D128" i="36"/>
  <c r="F128" i="36" s="1"/>
  <c r="C138" i="41"/>
  <c r="C139" i="41"/>
  <c r="AG98" i="46"/>
  <c r="H117" i="50"/>
  <c r="P146" i="34"/>
  <c r="O147" i="34"/>
  <c r="AG34" i="35"/>
  <c r="AG35" i="35" s="1"/>
  <c r="AE35" i="35"/>
  <c r="AI34" i="35" s="1"/>
  <c r="AM34" i="35" s="1"/>
  <c r="AS34" i="35" s="1"/>
  <c r="AL139" i="38"/>
  <c r="AH139" i="38"/>
  <c r="AL140" i="38"/>
  <c r="AH140" i="38"/>
  <c r="AI137" i="38"/>
  <c r="F122" i="47"/>
  <c r="A144" i="39"/>
  <c r="B143" i="39"/>
  <c r="O140" i="47"/>
  <c r="P140" i="47" s="1"/>
  <c r="P139" i="47"/>
  <c r="V42" i="36"/>
  <c r="T42" i="36"/>
  <c r="V38" i="36"/>
  <c r="T38" i="36"/>
  <c r="AA140" i="35"/>
  <c r="AO140" i="35" s="1"/>
  <c r="AP140" i="35" s="1"/>
  <c r="W140" i="35"/>
  <c r="AA139" i="35"/>
  <c r="AO139" i="35" s="1"/>
  <c r="AP139" i="35" s="1"/>
  <c r="W139" i="35"/>
  <c r="X127" i="35"/>
  <c r="R129" i="35"/>
  <c r="H64" i="42"/>
  <c r="H65" i="42" s="1"/>
  <c r="J65" i="42" s="1"/>
  <c r="F65" i="42"/>
  <c r="J64" i="42" s="1"/>
  <c r="AI142" i="37"/>
  <c r="AL144" i="37"/>
  <c r="AH144" i="37"/>
  <c r="AL145" i="37"/>
  <c r="AH145" i="37"/>
  <c r="AC149" i="50"/>
  <c r="AD149" i="50" s="1"/>
  <c r="AD148" i="50"/>
  <c r="AV4" i="8"/>
  <c r="AV5" i="61"/>
  <c r="AP5" i="8"/>
  <c r="Y4" i="8" s="1"/>
  <c r="C21" i="49"/>
  <c r="B5" i="8"/>
  <c r="AV17" i="21"/>
  <c r="AA140" i="36"/>
  <c r="AO140" i="36" s="1"/>
  <c r="AP140" i="36" s="1"/>
  <c r="W140" i="36"/>
  <c r="AA139" i="36"/>
  <c r="AO139" i="36" s="1"/>
  <c r="AP139" i="36" s="1"/>
  <c r="W139" i="36"/>
  <c r="F64" i="41"/>
  <c r="J62" i="41"/>
  <c r="G7" i="13"/>
  <c r="AL145" i="31"/>
  <c r="AH145" i="31"/>
  <c r="AI142" i="31"/>
  <c r="AL144" i="31"/>
  <c r="AH144" i="31"/>
  <c r="O140" i="48"/>
  <c r="P140" i="48" s="1"/>
  <c r="P139" i="48"/>
  <c r="C139" i="31"/>
  <c r="C138" i="31"/>
  <c r="H49" i="39"/>
  <c r="H50" i="39" s="1"/>
  <c r="J50" i="39" s="1"/>
  <c r="F50" i="39"/>
  <c r="J49" i="39" s="1"/>
  <c r="T122" i="36"/>
  <c r="T125" i="36" s="1"/>
  <c r="X124" i="36" s="1"/>
  <c r="AB124" i="36" s="1"/>
  <c r="V122" i="36"/>
  <c r="V125" i="36" s="1"/>
  <c r="AG45" i="37"/>
  <c r="X65" i="44"/>
  <c r="A140" i="48"/>
  <c r="B140" i="48" s="1"/>
  <c r="B139" i="48"/>
  <c r="O162" i="59"/>
  <c r="P162" i="59" s="1"/>
  <c r="P161" i="59"/>
  <c r="AA135" i="44"/>
  <c r="AO135" i="44" s="1"/>
  <c r="AP135" i="44" s="1"/>
  <c r="W135" i="44"/>
  <c r="AA134" i="44"/>
  <c r="AO134" i="44" s="1"/>
  <c r="AP134" i="44" s="1"/>
  <c r="W134" i="44"/>
  <c r="V119" i="28"/>
  <c r="T119" i="28"/>
  <c r="T122" i="42"/>
  <c r="T125" i="42" s="1"/>
  <c r="X124" i="42" s="1"/>
  <c r="AB124" i="42" s="1"/>
  <c r="V122" i="42"/>
  <c r="V125" i="42" s="1"/>
  <c r="D133" i="28"/>
  <c r="F133" i="28" s="1"/>
  <c r="C132" i="28"/>
  <c r="G133" i="28"/>
  <c r="B147" i="45"/>
  <c r="A148" i="45"/>
  <c r="AC144" i="47"/>
  <c r="AD144" i="47" s="1"/>
  <c r="AD143" i="47"/>
  <c r="AC148" i="47"/>
  <c r="A149" i="33"/>
  <c r="B148" i="33"/>
  <c r="Q127" i="34"/>
  <c r="Q129" i="34"/>
  <c r="H128" i="44"/>
  <c r="T119" i="45"/>
  <c r="V119" i="45"/>
  <c r="AH19" i="61"/>
  <c r="C7" i="35"/>
  <c r="B19" i="22"/>
  <c r="AP19" i="22"/>
  <c r="C132" i="47"/>
  <c r="D133" i="47"/>
  <c r="F133" i="47" s="1"/>
  <c r="G133" i="47"/>
  <c r="AG4" i="11"/>
  <c r="AJ14" i="24"/>
  <c r="AI14" i="24"/>
  <c r="AO12" i="61"/>
  <c r="L130" i="66" s="1"/>
  <c r="B12" i="15"/>
  <c r="C14" i="42"/>
  <c r="R69" i="42" s="1"/>
  <c r="AP12" i="15"/>
  <c r="O140" i="38"/>
  <c r="P140" i="38" s="1"/>
  <c r="P139" i="38"/>
  <c r="V119" i="43"/>
  <c r="T119" i="43"/>
  <c r="Q127" i="40"/>
  <c r="Q129" i="40"/>
  <c r="P147" i="29"/>
  <c r="O148" i="29"/>
  <c r="AA135" i="31"/>
  <c r="AO135" i="31" s="1"/>
  <c r="AP135" i="31" s="1"/>
  <c r="W135" i="31"/>
  <c r="AA134" i="31"/>
  <c r="AO134" i="31" s="1"/>
  <c r="AP134" i="31" s="1"/>
  <c r="W134" i="31"/>
  <c r="AV16" i="20"/>
  <c r="A144" i="43"/>
  <c r="B143" i="43"/>
  <c r="T73" i="43"/>
  <c r="V73" i="43"/>
  <c r="A149" i="35"/>
  <c r="B148" i="35"/>
  <c r="F122" i="35"/>
  <c r="V122" i="47"/>
  <c r="V125" i="47" s="1"/>
  <c r="T122" i="47"/>
  <c r="T125" i="47" s="1"/>
  <c r="X124" i="47" s="1"/>
  <c r="AB124" i="47" s="1"/>
  <c r="F72" i="40"/>
  <c r="V122" i="29"/>
  <c r="V125" i="29" s="1"/>
  <c r="T122" i="29"/>
  <c r="T125" i="29" s="1"/>
  <c r="X124" i="29" s="1"/>
  <c r="AB124" i="29" s="1"/>
  <c r="O135" i="49"/>
  <c r="P135" i="49" s="1"/>
  <c r="P134" i="49"/>
  <c r="Z125" i="50"/>
  <c r="Z124" i="50"/>
  <c r="R122" i="50"/>
  <c r="Y125" i="50"/>
  <c r="Y124" i="50"/>
  <c r="P147" i="35"/>
  <c r="O148" i="35"/>
  <c r="V117" i="39"/>
  <c r="V120" i="39" s="1"/>
  <c r="T117" i="39"/>
  <c r="T120" i="39" s="1"/>
  <c r="X119" i="39" s="1"/>
  <c r="AB119" i="39" s="1"/>
  <c r="V119" i="31"/>
  <c r="T119" i="31"/>
  <c r="AC144" i="41"/>
  <c r="AD144" i="41" s="1"/>
  <c r="AD143" i="41"/>
  <c r="AC148" i="41"/>
  <c r="H45" i="37"/>
  <c r="AV14" i="18"/>
  <c r="Q132" i="35"/>
  <c r="Q134" i="35"/>
  <c r="X120" i="38"/>
  <c r="AB120" i="38" s="1"/>
  <c r="AR120" i="38" s="1"/>
  <c r="K129" i="42"/>
  <c r="K130" i="42"/>
  <c r="L130" i="42"/>
  <c r="G127" i="42"/>
  <c r="L129" i="42"/>
  <c r="D127" i="42"/>
  <c r="H112" i="48"/>
  <c r="X122" i="28"/>
  <c r="R124" i="28"/>
  <c r="P146" i="37"/>
  <c r="O147" i="37"/>
  <c r="P147" i="26"/>
  <c r="O148" i="26"/>
  <c r="V119" i="50"/>
  <c r="T119" i="50"/>
  <c r="K130" i="49"/>
  <c r="L129" i="49"/>
  <c r="K129" i="49"/>
  <c r="L130" i="49"/>
  <c r="G127" i="49"/>
  <c r="D127" i="49"/>
  <c r="H78" i="44"/>
  <c r="H80" i="44" s="1"/>
  <c r="F80" i="44"/>
  <c r="T141" i="59"/>
  <c r="T144" i="59" s="1"/>
  <c r="X143" i="59" s="1"/>
  <c r="AB143" i="59" s="1"/>
  <c r="V141" i="59"/>
  <c r="V144" i="59" s="1"/>
  <c r="M135" i="38"/>
  <c r="I135" i="38"/>
  <c r="G134" i="38"/>
  <c r="M134" i="38"/>
  <c r="I134" i="38"/>
  <c r="AJ145" i="28"/>
  <c r="AJ144" i="28"/>
  <c r="AC173" i="59"/>
  <c r="AD173" i="59" s="1"/>
  <c r="AD172" i="59"/>
  <c r="C138" i="47"/>
  <c r="C139" i="47"/>
  <c r="T124" i="42"/>
  <c r="V124" i="42"/>
  <c r="A144" i="45"/>
  <c r="B143" i="45"/>
  <c r="Q129" i="43"/>
  <c r="Q127" i="43"/>
  <c r="A167" i="59"/>
  <c r="B166" i="59"/>
  <c r="A145" i="32"/>
  <c r="B145" i="32" s="1"/>
  <c r="B144" i="32"/>
  <c r="A145" i="50"/>
  <c r="B145" i="50" s="1"/>
  <c r="B144" i="50"/>
  <c r="AA4" i="10"/>
  <c r="P146" i="28"/>
  <c r="O147" i="28"/>
  <c r="AL145" i="33"/>
  <c r="AH145" i="33"/>
  <c r="AI142" i="33"/>
  <c r="AL144" i="33"/>
  <c r="AH144" i="33"/>
  <c r="B147" i="37"/>
  <c r="A148" i="37"/>
  <c r="AI13" i="24"/>
  <c r="AJ13" i="24"/>
  <c r="AV13" i="17"/>
  <c r="C139" i="28"/>
  <c r="C138" i="28"/>
  <c r="A149" i="42"/>
  <c r="B148" i="42"/>
  <c r="AE89" i="45"/>
  <c r="AG89" i="45" s="1"/>
  <c r="AE93" i="45"/>
  <c r="R88" i="45"/>
  <c r="D89" i="45"/>
  <c r="K129" i="29"/>
  <c r="L130" i="29"/>
  <c r="G127" i="29"/>
  <c r="K130" i="29"/>
  <c r="L129" i="29"/>
  <c r="D127" i="29"/>
  <c r="AV20" i="24"/>
  <c r="H72" i="41"/>
  <c r="F122" i="41"/>
  <c r="F62" i="39"/>
  <c r="V53" i="39"/>
  <c r="T53" i="39"/>
  <c r="AE70" i="42"/>
  <c r="AI69" i="42" s="1"/>
  <c r="O143" i="44"/>
  <c r="P142" i="44"/>
  <c r="M134" i="31"/>
  <c r="I134" i="31"/>
  <c r="M135" i="31"/>
  <c r="I135" i="31"/>
  <c r="G134" i="31"/>
  <c r="K130" i="31"/>
  <c r="L129" i="31"/>
  <c r="D127" i="31"/>
  <c r="K129" i="31"/>
  <c r="L130" i="31"/>
  <c r="G127" i="31"/>
  <c r="O144" i="38"/>
  <c r="P143" i="38"/>
  <c r="Q143" i="38" s="1"/>
  <c r="V124" i="30"/>
  <c r="T124" i="30"/>
  <c r="AA140" i="30"/>
  <c r="AO140" i="30" s="1"/>
  <c r="AP140" i="30" s="1"/>
  <c r="W140" i="30"/>
  <c r="AA139" i="30"/>
  <c r="AO139" i="30" s="1"/>
  <c r="AP139" i="30" s="1"/>
  <c r="W139" i="30"/>
  <c r="AA14" i="19"/>
  <c r="AG14" i="19" s="1"/>
  <c r="T124" i="29"/>
  <c r="V124" i="29"/>
  <c r="A162" i="59"/>
  <c r="B162" i="59" s="1"/>
  <c r="B161" i="59"/>
  <c r="W134" i="39"/>
  <c r="W135" i="39"/>
  <c r="AA134" i="39"/>
  <c r="AO134" i="39" s="1"/>
  <c r="AP134" i="39" s="1"/>
  <c r="AA135" i="39"/>
  <c r="AO135" i="39" s="1"/>
  <c r="AP135" i="39" s="1"/>
  <c r="F57" i="38"/>
  <c r="Z125" i="43"/>
  <c r="Z124" i="43"/>
  <c r="R122" i="43"/>
  <c r="Y125" i="43"/>
  <c r="Y124" i="43"/>
  <c r="AG8" i="15"/>
  <c r="Q127" i="45"/>
  <c r="Q129" i="45"/>
  <c r="T117" i="31"/>
  <c r="T120" i="31" s="1"/>
  <c r="X119" i="31" s="1"/>
  <c r="AB119" i="31" s="1"/>
  <c r="V117" i="31"/>
  <c r="V120" i="31" s="1"/>
  <c r="AI142" i="34"/>
  <c r="AL144" i="34"/>
  <c r="AH144" i="34"/>
  <c r="AL145" i="34"/>
  <c r="AH145" i="34"/>
  <c r="Q132" i="29"/>
  <c r="Q134" i="29"/>
  <c r="AL145" i="30"/>
  <c r="AH145" i="30"/>
  <c r="AI142" i="30"/>
  <c r="AL144" i="30"/>
  <c r="AH144" i="30"/>
  <c r="X122" i="34"/>
  <c r="R124" i="34"/>
  <c r="X127" i="38"/>
  <c r="R129" i="38"/>
  <c r="H7" i="11"/>
  <c r="I7" i="11" s="1"/>
  <c r="D7" i="11"/>
  <c r="AV10" i="14"/>
  <c r="AV6" i="10"/>
  <c r="Z125" i="27"/>
  <c r="Z124" i="27"/>
  <c r="R122" i="27"/>
  <c r="Y125" i="27"/>
  <c r="Y124" i="27"/>
  <c r="X120" i="26"/>
  <c r="AB120" i="26" s="1"/>
  <c r="AR119" i="26" s="1"/>
  <c r="K129" i="41"/>
  <c r="L130" i="41"/>
  <c r="G127" i="41"/>
  <c r="K130" i="41"/>
  <c r="L129" i="41"/>
  <c r="D127" i="41"/>
  <c r="M130" i="46"/>
  <c r="I130" i="46"/>
  <c r="G129" i="46"/>
  <c r="M129" i="46"/>
  <c r="I129" i="46"/>
  <c r="AC149" i="32"/>
  <c r="AD149" i="32" s="1"/>
  <c r="AD148" i="32"/>
  <c r="AA135" i="43"/>
  <c r="AO135" i="43" s="1"/>
  <c r="AP135" i="43" s="1"/>
  <c r="W135" i="43"/>
  <c r="AA134" i="43"/>
  <c r="AO134" i="43" s="1"/>
  <c r="AP134" i="43" s="1"/>
  <c r="W134" i="43"/>
  <c r="C138" i="38"/>
  <c r="C139" i="38"/>
  <c r="AA140" i="41"/>
  <c r="AO140" i="41" s="1"/>
  <c r="AP140" i="41" s="1"/>
  <c r="W140" i="41"/>
  <c r="AA139" i="41"/>
  <c r="AO139" i="41" s="1"/>
  <c r="AP139" i="41" s="1"/>
  <c r="W139" i="41"/>
  <c r="V119" i="27"/>
  <c r="T119" i="27"/>
  <c r="Q129" i="33"/>
  <c r="Q127" i="33"/>
  <c r="B147" i="26"/>
  <c r="A148" i="26"/>
  <c r="AA140" i="29"/>
  <c r="AO140" i="29" s="1"/>
  <c r="AP140" i="29" s="1"/>
  <c r="W140" i="29"/>
  <c r="AA139" i="29"/>
  <c r="AO139" i="29" s="1"/>
  <c r="AP139" i="29" s="1"/>
  <c r="W139" i="29"/>
  <c r="A149" i="47"/>
  <c r="B148" i="47"/>
  <c r="AF14" i="21"/>
  <c r="V119" i="33"/>
  <c r="T119" i="33"/>
  <c r="V117" i="40"/>
  <c r="V120" i="40" s="1"/>
  <c r="T117" i="40"/>
  <c r="T120" i="40" s="1"/>
  <c r="X119" i="40" s="1"/>
  <c r="AB119" i="40" s="1"/>
  <c r="AI15" i="24"/>
  <c r="AJ15" i="24"/>
  <c r="AF15" i="23"/>
  <c r="AF16" i="23" s="1"/>
  <c r="AI1" i="23"/>
  <c r="AG65" i="41"/>
  <c r="D39" i="35"/>
  <c r="F39" i="35" s="1"/>
  <c r="H39" i="35" s="1"/>
  <c r="AE39" i="35"/>
  <c r="AG39" i="35" s="1"/>
  <c r="D43" i="35"/>
  <c r="F43" i="35" s="1"/>
  <c r="H43" i="35" s="1"/>
  <c r="R34" i="35"/>
  <c r="AE43" i="35"/>
  <c r="R42" i="35"/>
  <c r="R38" i="35"/>
  <c r="D47" i="35"/>
  <c r="P147" i="36"/>
  <c r="O148" i="36"/>
  <c r="AE74" i="42"/>
  <c r="AG74" i="42" s="1"/>
  <c r="R73" i="42"/>
  <c r="AE78" i="42"/>
  <c r="R64" i="42"/>
  <c r="D74" i="42"/>
  <c r="D78" i="42"/>
  <c r="F122" i="32"/>
  <c r="P134" i="40"/>
  <c r="O135" i="40"/>
  <c r="P135" i="40" s="1"/>
  <c r="O135" i="27"/>
  <c r="P135" i="27" s="1"/>
  <c r="P134" i="27"/>
  <c r="K129" i="38"/>
  <c r="L130" i="38"/>
  <c r="G127" i="38"/>
  <c r="K130" i="38"/>
  <c r="L129" i="38"/>
  <c r="D127" i="38"/>
  <c r="C132" i="29"/>
  <c r="G133" i="29"/>
  <c r="D133" i="29"/>
  <c r="F133" i="29" s="1"/>
  <c r="AE59" i="39"/>
  <c r="AG59" i="39" s="1"/>
  <c r="AE63" i="39"/>
  <c r="R58" i="39"/>
  <c r="R54" i="39"/>
  <c r="D59" i="39"/>
  <c r="F59" i="39" s="1"/>
  <c r="H59" i="39" s="1"/>
  <c r="D63" i="39"/>
  <c r="F63" i="39" s="1"/>
  <c r="H63" i="39" s="1"/>
  <c r="R62" i="39"/>
  <c r="M134" i="49"/>
  <c r="I134" i="49"/>
  <c r="M135" i="49"/>
  <c r="I135" i="49"/>
  <c r="G134" i="49"/>
  <c r="M135" i="50"/>
  <c r="I135" i="50"/>
  <c r="G134" i="50"/>
  <c r="M134" i="50"/>
  <c r="I134" i="50"/>
  <c r="A140" i="46"/>
  <c r="B140" i="46" s="1"/>
  <c r="B139" i="46"/>
  <c r="R149" i="59"/>
  <c r="X147" i="59"/>
  <c r="K129" i="35"/>
  <c r="L130" i="35"/>
  <c r="G127" i="35"/>
  <c r="K130" i="35"/>
  <c r="L129" i="35"/>
  <c r="D127" i="35"/>
  <c r="X122" i="33"/>
  <c r="R124" i="33"/>
  <c r="AL145" i="48"/>
  <c r="AH145" i="48"/>
  <c r="AI142" i="48"/>
  <c r="AL144" i="48"/>
  <c r="AH144" i="48"/>
  <c r="AA140" i="42"/>
  <c r="AO140" i="42" s="1"/>
  <c r="AP140" i="42" s="1"/>
  <c r="W140" i="42"/>
  <c r="AA139" i="42"/>
  <c r="AO139" i="42" s="1"/>
  <c r="AP139" i="42" s="1"/>
  <c r="W139" i="42"/>
  <c r="AJ145" i="39"/>
  <c r="AJ144" i="39"/>
  <c r="G128" i="43"/>
  <c r="D128" i="43"/>
  <c r="F128" i="43" s="1"/>
  <c r="C127" i="43"/>
  <c r="C139" i="27"/>
  <c r="C138" i="27"/>
  <c r="C134" i="46"/>
  <c r="C133" i="46"/>
  <c r="C133" i="36"/>
  <c r="C134" i="36"/>
  <c r="P146" i="39"/>
  <c r="O147" i="39"/>
  <c r="AG88" i="45"/>
  <c r="AC149" i="26"/>
  <c r="AD149" i="26" s="1"/>
  <c r="AD148" i="26"/>
  <c r="L129" i="50"/>
  <c r="D127" i="50"/>
  <c r="K129" i="50"/>
  <c r="L130" i="50"/>
  <c r="G127" i="50"/>
  <c r="K130" i="50"/>
  <c r="Y5" i="10"/>
  <c r="M130" i="37"/>
  <c r="I130" i="37"/>
  <c r="G129" i="37"/>
  <c r="M129" i="37"/>
  <c r="I129" i="37"/>
  <c r="R129" i="30"/>
  <c r="X127" i="30"/>
  <c r="AL139" i="29"/>
  <c r="AH139" i="29"/>
  <c r="AL140" i="29"/>
  <c r="AH140" i="29"/>
  <c r="AI137" i="29"/>
  <c r="AG60" i="40"/>
  <c r="P143" i="26"/>
  <c r="Q143" i="26" s="1"/>
  <c r="O144" i="26"/>
  <c r="O144" i="42"/>
  <c r="P143" i="42"/>
  <c r="Q143" i="42" s="1"/>
  <c r="Q134" i="48"/>
  <c r="Q132" i="48"/>
  <c r="X8" i="14"/>
  <c r="G128" i="26"/>
  <c r="D128" i="26"/>
  <c r="F128" i="26" s="1"/>
  <c r="C127" i="26"/>
  <c r="AA135" i="33"/>
  <c r="AO135" i="33" s="1"/>
  <c r="AP135" i="33" s="1"/>
  <c r="W135" i="33"/>
  <c r="AA134" i="33"/>
  <c r="AO134" i="33" s="1"/>
  <c r="AP134" i="33" s="1"/>
  <c r="W134" i="33"/>
  <c r="X122" i="40"/>
  <c r="R124" i="40"/>
  <c r="AF4" i="12"/>
  <c r="AF5" i="12" s="1"/>
  <c r="O147" i="27"/>
  <c r="P146" i="27"/>
  <c r="O143" i="50"/>
  <c r="P142" i="50"/>
  <c r="H128" i="40"/>
  <c r="M134" i="44"/>
  <c r="I134" i="44"/>
  <c r="M135" i="44"/>
  <c r="I135" i="44"/>
  <c r="G134" i="44"/>
  <c r="H123" i="46"/>
  <c r="T117" i="33"/>
  <c r="T120" i="33" s="1"/>
  <c r="X119" i="33" s="1"/>
  <c r="V117" i="33"/>
  <c r="V120" i="33" s="1"/>
  <c r="L129" i="47"/>
  <c r="D127" i="47"/>
  <c r="L130" i="47"/>
  <c r="K130" i="47"/>
  <c r="K129" i="47"/>
  <c r="G127" i="47"/>
  <c r="AJ6" i="24"/>
  <c r="AI6" i="24"/>
  <c r="AG83" i="44"/>
  <c r="F69" i="42"/>
  <c r="J67" i="42"/>
  <c r="J59" i="40"/>
  <c r="F94" i="46"/>
  <c r="H94" i="46" s="1"/>
  <c r="J92" i="46"/>
  <c r="F89" i="46"/>
  <c r="J87" i="46"/>
  <c r="AE95" i="46"/>
  <c r="AI94" i="46" s="1"/>
  <c r="AG93" i="46"/>
  <c r="AG95" i="46" s="1"/>
  <c r="V122" i="48"/>
  <c r="V125" i="48" s="1"/>
  <c r="T122" i="48"/>
  <c r="T125" i="48" s="1"/>
  <c r="X124" i="48" s="1"/>
  <c r="AB124" i="48" s="1"/>
  <c r="V122" i="41"/>
  <c r="V125" i="41" s="1"/>
  <c r="T122" i="41"/>
  <c r="T125" i="41" s="1"/>
  <c r="X124" i="41" s="1"/>
  <c r="AB124" i="41" s="1"/>
  <c r="F122" i="31"/>
  <c r="V37" i="35"/>
  <c r="T37" i="35"/>
  <c r="AG38" i="35"/>
  <c r="X15" i="20"/>
  <c r="AA15" i="20"/>
  <c r="O140" i="35"/>
  <c r="P140" i="35" s="1"/>
  <c r="P139" i="35"/>
  <c r="Y130" i="35"/>
  <c r="Y129" i="35"/>
  <c r="Z130" i="35"/>
  <c r="Z129" i="35"/>
  <c r="R127" i="35"/>
  <c r="H8" i="12"/>
  <c r="I8" i="12" s="1"/>
  <c r="D8" i="12"/>
  <c r="F8" i="12" s="1"/>
  <c r="G8" i="12" s="1"/>
  <c r="Q127" i="46"/>
  <c r="Q129" i="46"/>
  <c r="K130" i="27"/>
  <c r="L129" i="27"/>
  <c r="D127" i="27"/>
  <c r="K129" i="27"/>
  <c r="L130" i="27"/>
  <c r="G127" i="27"/>
  <c r="AG40" i="36"/>
  <c r="AA14" i="53"/>
  <c r="AG14" i="53" s="1"/>
  <c r="AC149" i="42"/>
  <c r="AD149" i="42" s="1"/>
  <c r="AD148" i="42"/>
  <c r="AJ145" i="50"/>
  <c r="AJ144" i="50"/>
  <c r="AI18" i="61"/>
  <c r="D186" i="66" s="1"/>
  <c r="B18" i="21"/>
  <c r="AP18" i="21"/>
  <c r="C8" i="36"/>
  <c r="D53" i="36" s="1"/>
  <c r="F53" i="36" s="1"/>
  <c r="H53" i="36" s="1"/>
  <c r="Q132" i="41"/>
  <c r="Q134" i="41"/>
  <c r="AF14" i="20"/>
  <c r="AG10" i="17"/>
  <c r="J42" i="37"/>
  <c r="T59" i="41"/>
  <c r="T60" i="41" s="1"/>
  <c r="X59" i="41" s="1"/>
  <c r="V59" i="41"/>
  <c r="V60" i="41" s="1"/>
  <c r="O139" i="46"/>
  <c r="P138" i="46"/>
  <c r="Q138" i="46" s="1"/>
  <c r="K125" i="36"/>
  <c r="K124" i="36"/>
  <c r="L125" i="36"/>
  <c r="G122" i="36"/>
  <c r="L124" i="36"/>
  <c r="D122" i="36"/>
  <c r="C138" i="42"/>
  <c r="C139" i="42"/>
  <c r="Q129" i="49"/>
  <c r="Q127" i="49"/>
  <c r="AA140" i="48"/>
  <c r="AO140" i="48" s="1"/>
  <c r="AP140" i="48" s="1"/>
  <c r="W140" i="48"/>
  <c r="AA139" i="48"/>
  <c r="AO139" i="48" s="1"/>
  <c r="AP139" i="48" s="1"/>
  <c r="W139" i="48"/>
  <c r="X127" i="42"/>
  <c r="R129" i="42"/>
  <c r="AE45" i="37"/>
  <c r="AI44" i="37" s="1"/>
  <c r="O143" i="31"/>
  <c r="P142" i="31"/>
  <c r="O143" i="40"/>
  <c r="P142" i="40"/>
  <c r="G148" i="59"/>
  <c r="D148" i="59"/>
  <c r="F148" i="59" s="1"/>
  <c r="C147" i="59"/>
  <c r="M135" i="28"/>
  <c r="I135" i="28"/>
  <c r="G134" i="28"/>
  <c r="M134" i="28"/>
  <c r="I134" i="28"/>
  <c r="A145" i="42"/>
  <c r="B145" i="42" s="1"/>
  <c r="B144" i="42"/>
  <c r="A145" i="40"/>
  <c r="B145" i="40" s="1"/>
  <c r="B144" i="40"/>
  <c r="V119" i="46"/>
  <c r="T119" i="46"/>
  <c r="AJ140" i="47"/>
  <c r="AJ139" i="47"/>
  <c r="M135" i="35"/>
  <c r="I135" i="35"/>
  <c r="G134" i="35"/>
  <c r="M134" i="35"/>
  <c r="I134" i="35"/>
  <c r="Z150" i="32"/>
  <c r="Z149" i="32"/>
  <c r="R147" i="32"/>
  <c r="Y150" i="32"/>
  <c r="Y149" i="32"/>
  <c r="X15" i="21"/>
  <c r="AA15" i="21"/>
  <c r="AV18" i="22"/>
  <c r="AC149" i="27"/>
  <c r="AD149" i="27" s="1"/>
  <c r="AD148" i="27"/>
  <c r="X4" i="11"/>
  <c r="X140" i="32"/>
  <c r="AB140" i="32" s="1"/>
  <c r="AR139" i="32" s="1"/>
  <c r="L129" i="34"/>
  <c r="D127" i="34"/>
  <c r="K129" i="34"/>
  <c r="L130" i="34"/>
  <c r="G127" i="34"/>
  <c r="K130" i="34"/>
  <c r="AE79" i="43"/>
  <c r="AG79" i="43" s="1"/>
  <c r="AE83" i="43"/>
  <c r="R78" i="43"/>
  <c r="R74" i="43"/>
  <c r="D79" i="43"/>
  <c r="F79" i="43" s="1"/>
  <c r="H79" i="43" s="1"/>
  <c r="AI85" i="45"/>
  <c r="O143" i="33"/>
  <c r="P142" i="33"/>
  <c r="AA8" i="13"/>
  <c r="AG8" i="13" s="1"/>
  <c r="T124" i="41"/>
  <c r="V124" i="41"/>
  <c r="AJ17" i="61"/>
  <c r="B17" i="20"/>
  <c r="C9" i="37"/>
  <c r="R49" i="37" s="1"/>
  <c r="AP17" i="20"/>
  <c r="V64" i="43"/>
  <c r="V65" i="43" s="1"/>
  <c r="T64" i="43"/>
  <c r="T65" i="43" s="1"/>
  <c r="X64" i="43" s="1"/>
  <c r="M135" i="41"/>
  <c r="I135" i="41"/>
  <c r="G134" i="41"/>
  <c r="M134" i="41"/>
  <c r="I134" i="41"/>
  <c r="F122" i="50"/>
  <c r="X75" i="45"/>
  <c r="L124" i="37"/>
  <c r="D122" i="37"/>
  <c r="K124" i="37"/>
  <c r="L125" i="37"/>
  <c r="G122" i="37"/>
  <c r="K125" i="37"/>
  <c r="P147" i="38"/>
  <c r="O148" i="38"/>
  <c r="V62" i="40"/>
  <c r="T62" i="40"/>
  <c r="T58" i="40"/>
  <c r="V58" i="40"/>
  <c r="AB40" i="39"/>
  <c r="AR40" i="39" s="1"/>
  <c r="AT40" i="39" s="1"/>
  <c r="E6" i="39" s="1"/>
  <c r="AA135" i="49"/>
  <c r="AO135" i="49" s="1"/>
  <c r="AP135" i="49" s="1"/>
  <c r="W135" i="49"/>
  <c r="AA134" i="49"/>
  <c r="AO134" i="49" s="1"/>
  <c r="AP134" i="49" s="1"/>
  <c r="W134" i="49"/>
  <c r="X40" i="38"/>
  <c r="G128" i="30"/>
  <c r="D128" i="30"/>
  <c r="F128" i="30" s="1"/>
  <c r="C127" i="30"/>
  <c r="AJ140" i="41"/>
  <c r="AJ139" i="41"/>
  <c r="AE64" i="40"/>
  <c r="AG64" i="40" s="1"/>
  <c r="AE68" i="40"/>
  <c r="D64" i="40"/>
  <c r="F64" i="40" s="1"/>
  <c r="H64" i="40" s="1"/>
  <c r="R63" i="40"/>
  <c r="R59" i="40"/>
  <c r="X122" i="46"/>
  <c r="R124" i="46"/>
  <c r="L125" i="30"/>
  <c r="G122" i="30"/>
  <c r="K125" i="30"/>
  <c r="L124" i="30"/>
  <c r="D122" i="30"/>
  <c r="K124" i="30"/>
  <c r="AF9" i="16"/>
  <c r="Z125" i="28"/>
  <c r="Z124" i="28"/>
  <c r="R122" i="28"/>
  <c r="Y125" i="28"/>
  <c r="Y124" i="28"/>
  <c r="A145" i="49"/>
  <c r="B145" i="49" s="1"/>
  <c r="B144" i="49"/>
  <c r="AC144" i="44"/>
  <c r="AD144" i="44" s="1"/>
  <c r="AD143" i="44"/>
  <c r="AC148" i="44"/>
  <c r="AE80" i="44"/>
  <c r="AI79" i="44" s="1"/>
  <c r="Y130" i="47"/>
  <c r="Z130" i="47"/>
  <c r="Z129" i="47"/>
  <c r="R127" i="47"/>
  <c r="Y129" i="47"/>
  <c r="AC149" i="36"/>
  <c r="AD149" i="36" s="1"/>
  <c r="AD148" i="36"/>
  <c r="C132" i="38"/>
  <c r="G133" i="38"/>
  <c r="D133" i="38"/>
  <c r="F133" i="38" s="1"/>
  <c r="AI142" i="28"/>
  <c r="AL144" i="28"/>
  <c r="AH144" i="28"/>
  <c r="AL145" i="28"/>
  <c r="AH145" i="28"/>
  <c r="P147" i="30"/>
  <c r="O148" i="30"/>
  <c r="T119" i="49"/>
  <c r="V119" i="49"/>
  <c r="AF7" i="14"/>
  <c r="AF8" i="14" s="1"/>
  <c r="P138" i="49"/>
  <c r="Q138" i="49" s="1"/>
  <c r="O139" i="49"/>
  <c r="V122" i="26"/>
  <c r="V125" i="26" s="1"/>
  <c r="T122" i="26"/>
  <c r="T125" i="26" s="1"/>
  <c r="X124" i="26" s="1"/>
  <c r="AB124" i="26" s="1"/>
  <c r="P171" i="59"/>
  <c r="O172" i="59"/>
  <c r="H13" i="17"/>
  <c r="I13" i="17" s="1"/>
  <c r="D13" i="17"/>
  <c r="F13" i="17" s="1"/>
  <c r="AQ10" i="61"/>
  <c r="C16" i="44"/>
  <c r="AP10" i="13"/>
  <c r="Y9" i="13" s="1"/>
  <c r="B10" i="13"/>
  <c r="F122" i="27"/>
  <c r="D20" i="24"/>
  <c r="F20" i="24" s="1"/>
  <c r="G20" i="24" s="1"/>
  <c r="H20" i="24"/>
  <c r="I20" i="24" s="1"/>
  <c r="P147" i="48"/>
  <c r="O148" i="48"/>
  <c r="V57" i="39"/>
  <c r="T57" i="39"/>
  <c r="AG58" i="39"/>
  <c r="Y125" i="49"/>
  <c r="Y124" i="49"/>
  <c r="Z125" i="49"/>
  <c r="R122" i="49"/>
  <c r="Z124" i="49"/>
  <c r="AG70" i="42"/>
  <c r="V144" i="32"/>
  <c r="T144" i="32"/>
  <c r="C139" i="40"/>
  <c r="C138" i="40"/>
  <c r="H128" i="31"/>
  <c r="X127" i="41"/>
  <c r="R129" i="41"/>
  <c r="V117" i="37"/>
  <c r="V120" i="37" s="1"/>
  <c r="T117" i="37"/>
  <c r="T120" i="37" s="1"/>
  <c r="X119" i="37" s="1"/>
  <c r="AB119" i="37" s="1"/>
  <c r="O135" i="39"/>
  <c r="P135" i="39" s="1"/>
  <c r="P134" i="39"/>
  <c r="V52" i="38"/>
  <c r="T52" i="38"/>
  <c r="AG53" i="38"/>
  <c r="O144" i="35"/>
  <c r="P143" i="35"/>
  <c r="Q143" i="35" s="1"/>
  <c r="R124" i="43"/>
  <c r="X122" i="43"/>
  <c r="X8" i="15"/>
  <c r="Y13" i="18"/>
  <c r="AC149" i="30"/>
  <c r="AD149" i="30" s="1"/>
  <c r="AD148" i="30"/>
  <c r="Z125" i="34"/>
  <c r="Z124" i="34"/>
  <c r="R122" i="34"/>
  <c r="Y125" i="34"/>
  <c r="Y124" i="34"/>
  <c r="A140" i="45"/>
  <c r="B140" i="45" s="1"/>
  <c r="B139" i="45"/>
  <c r="Y130" i="38"/>
  <c r="Y129" i="38"/>
  <c r="Z130" i="38"/>
  <c r="Z129" i="38"/>
  <c r="R127" i="38"/>
  <c r="AP11" i="61"/>
  <c r="AP11" i="14"/>
  <c r="Y10" i="14" s="1"/>
  <c r="B11" i="14"/>
  <c r="C15" i="43"/>
  <c r="AT7" i="61"/>
  <c r="AP7" i="10"/>
  <c r="B7" i="10"/>
  <c r="C19" i="47"/>
  <c r="AE108" i="47" s="1"/>
  <c r="X122" i="27"/>
  <c r="R124" i="27"/>
  <c r="A145" i="47"/>
  <c r="B145" i="47" s="1"/>
  <c r="B144" i="47"/>
  <c r="F122" i="40"/>
  <c r="Y130" i="36"/>
  <c r="Y129" i="36"/>
  <c r="Z130" i="36"/>
  <c r="R127" i="36"/>
  <c r="Z129" i="36"/>
  <c r="J69" i="43"/>
  <c r="J70" i="43"/>
  <c r="F122" i="28"/>
  <c r="X120" i="35"/>
  <c r="AB120" i="35" s="1"/>
  <c r="AR120" i="35" s="1"/>
  <c r="AA6" i="12"/>
  <c r="O140" i="41"/>
  <c r="P140" i="41" s="1"/>
  <c r="P139" i="41"/>
  <c r="A149" i="49"/>
  <c r="B148" i="49"/>
  <c r="O140" i="29"/>
  <c r="P140" i="29" s="1"/>
  <c r="P139" i="29"/>
  <c r="AC149" i="49"/>
  <c r="AD149" i="49" s="1"/>
  <c r="AD148" i="49"/>
  <c r="O139" i="28"/>
  <c r="P138" i="28"/>
  <c r="Q138" i="28" s="1"/>
  <c r="X14" i="21"/>
  <c r="A144" i="37"/>
  <c r="B143" i="37"/>
  <c r="X5" i="12"/>
  <c r="L144" i="59"/>
  <c r="K143" i="59"/>
  <c r="K144" i="59"/>
  <c r="D141" i="59"/>
  <c r="I143" i="59"/>
  <c r="I144" i="59"/>
  <c r="L143" i="59"/>
  <c r="G141" i="59"/>
  <c r="A149" i="40"/>
  <c r="B148" i="40"/>
  <c r="V124" i="48"/>
  <c r="T124" i="48"/>
  <c r="Q132" i="38"/>
  <c r="Q134" i="38"/>
  <c r="AE65" i="41"/>
  <c r="AI64" i="41" s="1"/>
  <c r="AV19" i="23"/>
  <c r="O140" i="26"/>
  <c r="P140" i="26" s="1"/>
  <c r="P139" i="26"/>
  <c r="AN13" i="61"/>
  <c r="B13" i="16"/>
  <c r="C13" i="41"/>
  <c r="AP13" i="16"/>
  <c r="C138" i="29"/>
  <c r="C139" i="29"/>
  <c r="P142" i="43"/>
  <c r="O143" i="43"/>
  <c r="H77" i="42"/>
  <c r="V119" i="44"/>
  <c r="T119" i="44"/>
  <c r="F122" i="34"/>
  <c r="AC144" i="35"/>
  <c r="AD144" i="35" s="1"/>
  <c r="AD143" i="35"/>
  <c r="AC148" i="35"/>
  <c r="AC149" i="45"/>
  <c r="AD149" i="45" s="1"/>
  <c r="AD148" i="45"/>
  <c r="L125" i="43"/>
  <c r="G122" i="43"/>
  <c r="K125" i="43"/>
  <c r="L124" i="43"/>
  <c r="D122" i="43"/>
  <c r="K124" i="43"/>
  <c r="C139" i="32"/>
  <c r="C138" i="32"/>
  <c r="AA135" i="27"/>
  <c r="AO135" i="27" s="1"/>
  <c r="AP135" i="27" s="1"/>
  <c r="W135" i="27"/>
  <c r="AA134" i="27"/>
  <c r="AO134" i="27" s="1"/>
  <c r="AP134" i="27" s="1"/>
  <c r="W134" i="27"/>
  <c r="P146" i="45"/>
  <c r="O147" i="45"/>
  <c r="H42" i="36"/>
  <c r="D15" i="53"/>
  <c r="F15" i="53" s="1"/>
  <c r="G15" i="53" s="1"/>
  <c r="H15" i="53"/>
  <c r="I15" i="53" s="1"/>
  <c r="H15" i="19"/>
  <c r="I15" i="19" s="1"/>
  <c r="D15" i="19"/>
  <c r="F15" i="19" s="1"/>
  <c r="G15" i="19" s="1"/>
  <c r="AU6" i="61"/>
  <c r="B6" i="9"/>
  <c r="AP6" i="9"/>
  <c r="C20" i="48"/>
  <c r="O144" i="47"/>
  <c r="P143" i="47"/>
  <c r="Q143" i="47" s="1"/>
  <c r="D133" i="40"/>
  <c r="F133" i="40" s="1"/>
  <c r="C132" i="40"/>
  <c r="G133" i="40"/>
  <c r="AC149" i="48"/>
  <c r="AD149" i="48" s="1"/>
  <c r="AD148" i="48"/>
  <c r="C139" i="50"/>
  <c r="C138" i="50"/>
  <c r="O140" i="42"/>
  <c r="P140" i="42" s="1"/>
  <c r="P139" i="42"/>
  <c r="A145" i="41"/>
  <c r="B145" i="41" s="1"/>
  <c r="B144" i="41"/>
  <c r="AL145" i="39"/>
  <c r="AI142" i="39"/>
  <c r="AH144" i="39"/>
  <c r="AL144" i="39"/>
  <c r="AH145" i="39"/>
  <c r="AR120" i="29"/>
  <c r="AR119" i="29"/>
  <c r="M129" i="43"/>
  <c r="I129" i="43"/>
  <c r="M130" i="43"/>
  <c r="I130" i="43"/>
  <c r="G129" i="43"/>
  <c r="D133" i="33"/>
  <c r="F133" i="33" s="1"/>
  <c r="C132" i="33"/>
  <c r="G133" i="33"/>
  <c r="F122" i="38"/>
  <c r="B147" i="30"/>
  <c r="A148" i="30"/>
  <c r="M135" i="42"/>
  <c r="I135" i="42"/>
  <c r="G134" i="42"/>
  <c r="M134" i="42"/>
  <c r="I134" i="42"/>
  <c r="A145" i="33"/>
  <c r="B145" i="33" s="1"/>
  <c r="B144" i="33"/>
  <c r="H128" i="50"/>
  <c r="T124" i="36"/>
  <c r="V124" i="36"/>
  <c r="AE60" i="40"/>
  <c r="AI59" i="40" s="1"/>
  <c r="AK39" i="38"/>
  <c r="AM39" i="38" s="1"/>
  <c r="AS39" i="38" s="1"/>
  <c r="Z39" i="38"/>
  <c r="AB39" i="38" s="1"/>
  <c r="L44" i="38"/>
  <c r="V117" i="28"/>
  <c r="V120" i="28" s="1"/>
  <c r="T117" i="28"/>
  <c r="T120" i="28" s="1"/>
  <c r="X119" i="28" s="1"/>
  <c r="AB119" i="28" s="1"/>
  <c r="AR120" i="41"/>
  <c r="AR119" i="41"/>
  <c r="Z125" i="31"/>
  <c r="Z124" i="31"/>
  <c r="R122" i="31"/>
  <c r="Y125" i="31"/>
  <c r="Y124" i="31"/>
  <c r="J80" i="45"/>
  <c r="J79" i="45"/>
  <c r="Z125" i="40"/>
  <c r="Z124" i="40"/>
  <c r="R122" i="40"/>
  <c r="Y125" i="40"/>
  <c r="Y124" i="40"/>
  <c r="V117" i="34"/>
  <c r="V120" i="34" s="1"/>
  <c r="T117" i="34"/>
  <c r="T120" i="34" s="1"/>
  <c r="X119" i="34" s="1"/>
  <c r="AB119" i="34" s="1"/>
  <c r="G133" i="32"/>
  <c r="D133" i="32"/>
  <c r="F133" i="32" s="1"/>
  <c r="C132" i="32"/>
  <c r="A149" i="44"/>
  <c r="B148" i="44"/>
  <c r="P146" i="50"/>
  <c r="O147" i="50"/>
  <c r="Q127" i="50"/>
  <c r="Q129" i="50"/>
  <c r="Z130" i="48"/>
  <c r="Z129" i="48"/>
  <c r="R127" i="48"/>
  <c r="Y130" i="48"/>
  <c r="Y129" i="48"/>
  <c r="O147" i="49"/>
  <c r="P146" i="49"/>
  <c r="A145" i="29"/>
  <c r="B145" i="29" s="1"/>
  <c r="B144" i="29"/>
  <c r="V39" i="37"/>
  <c r="V40" i="37" s="1"/>
  <c r="T39" i="37"/>
  <c r="T40" i="37" s="1"/>
  <c r="X39" i="37" s="1"/>
  <c r="T43" i="37"/>
  <c r="V43" i="37"/>
  <c r="X10" i="16"/>
  <c r="AA10" i="16"/>
  <c r="X9" i="16"/>
  <c r="Q127" i="37"/>
  <c r="Q129" i="37"/>
  <c r="O167" i="59"/>
  <c r="P166" i="59"/>
  <c r="Q166" i="59" s="1"/>
  <c r="H128" i="47"/>
  <c r="AI9" i="24"/>
  <c r="AJ9" i="24"/>
  <c r="V74" i="44"/>
  <c r="V75" i="44" s="1"/>
  <c r="T74" i="44"/>
  <c r="T75" i="44" s="1"/>
  <c r="X74" i="44" s="1"/>
  <c r="AG73" i="42"/>
  <c r="A144" i="36"/>
  <c r="B143" i="36"/>
  <c r="T88" i="46"/>
  <c r="V88" i="46"/>
  <c r="F42" i="35"/>
  <c r="V33" i="35"/>
  <c r="T33" i="35"/>
  <c r="AC144" i="38"/>
  <c r="AD144" i="38" s="1"/>
  <c r="AD143" i="38"/>
  <c r="AC148" i="38"/>
  <c r="A149" i="32"/>
  <c r="B148" i="32"/>
  <c r="A144" i="46"/>
  <c r="B143" i="46"/>
  <c r="A149" i="50"/>
  <c r="B148" i="50"/>
  <c r="AG43" i="36"/>
  <c r="C134" i="39"/>
  <c r="C133" i="39"/>
  <c r="J40" i="37"/>
  <c r="N40" i="37" s="1"/>
  <c r="AQ40" i="37" s="1"/>
  <c r="J39" i="37"/>
  <c r="N39" i="37" s="1"/>
  <c r="AQ39" i="37" s="1"/>
  <c r="AC149" i="37"/>
  <c r="AD149" i="37" s="1"/>
  <c r="AD148" i="37"/>
  <c r="P138" i="44"/>
  <c r="Q138" i="44" s="1"/>
  <c r="O139" i="44"/>
  <c r="L125" i="48"/>
  <c r="G122" i="48"/>
  <c r="K125" i="48"/>
  <c r="L124" i="48"/>
  <c r="D122" i="48"/>
  <c r="K124" i="48"/>
  <c r="AR9" i="61"/>
  <c r="C17" i="45"/>
  <c r="AE98" i="45" s="1"/>
  <c r="B9" i="12"/>
  <c r="AP9" i="12"/>
  <c r="AE40" i="36"/>
  <c r="AI39" i="36" s="1"/>
  <c r="AJ145" i="42"/>
  <c r="AJ144" i="42"/>
  <c r="AA135" i="37"/>
  <c r="AO135" i="37" s="1"/>
  <c r="AP135" i="37" s="1"/>
  <c r="W135" i="37"/>
  <c r="AA134" i="37"/>
  <c r="AO134" i="37" s="1"/>
  <c r="AP134" i="37" s="1"/>
  <c r="W134" i="37"/>
  <c r="AI142" i="50"/>
  <c r="AL144" i="50"/>
  <c r="AH144" i="50"/>
  <c r="AL145" i="50"/>
  <c r="AH145" i="50"/>
  <c r="D4" i="8"/>
  <c r="H4" i="8"/>
  <c r="I4" i="8" s="1"/>
  <c r="AE53" i="37"/>
  <c r="AE49" i="37"/>
  <c r="AG49" i="37" s="1"/>
  <c r="R48" i="37"/>
  <c r="R44" i="37"/>
  <c r="D49" i="37"/>
  <c r="F49" i="37" s="1"/>
  <c r="H49" i="37" s="1"/>
  <c r="R52" i="37"/>
  <c r="D57" i="37"/>
  <c r="X14" i="20"/>
  <c r="AF6" i="13"/>
  <c r="V63" i="41"/>
  <c r="T63" i="41"/>
  <c r="Q155" i="59"/>
  <c r="Q153" i="59"/>
  <c r="Q129" i="31"/>
  <c r="Q127" i="31"/>
  <c r="Q127" i="39"/>
  <c r="Q129" i="39"/>
  <c r="A144" i="30"/>
  <c r="B143" i="30"/>
  <c r="AC149" i="31"/>
  <c r="AD149" i="31" s="1"/>
  <c r="AD148" i="31"/>
  <c r="R124" i="39"/>
  <c r="X122" i="39"/>
  <c r="Y130" i="42"/>
  <c r="Y129" i="42"/>
  <c r="Z129" i="42"/>
  <c r="Z130" i="42"/>
  <c r="R127" i="42"/>
  <c r="L125" i="26"/>
  <c r="G122" i="26"/>
  <c r="K125" i="26"/>
  <c r="L124" i="26"/>
  <c r="D122" i="26"/>
  <c r="K124" i="26"/>
  <c r="H47" i="37"/>
  <c r="J55" i="40"/>
  <c r="J54" i="40"/>
  <c r="V117" i="50"/>
  <c r="V120" i="50" s="1"/>
  <c r="T117" i="50"/>
  <c r="T120" i="50" s="1"/>
  <c r="X119" i="50" s="1"/>
  <c r="AB119" i="50" s="1"/>
  <c r="A140" i="37"/>
  <c r="B140" i="37" s="1"/>
  <c r="B139" i="37"/>
  <c r="P146" i="40"/>
  <c r="O147" i="40"/>
  <c r="M150" i="59"/>
  <c r="G149" i="59"/>
  <c r="M149" i="59"/>
  <c r="A140" i="36"/>
  <c r="B140" i="36" s="1"/>
  <c r="B139" i="36"/>
  <c r="X122" i="37"/>
  <c r="R124" i="37"/>
  <c r="V122" i="35"/>
  <c r="V125" i="35" s="1"/>
  <c r="T122" i="35"/>
  <c r="T125" i="35" s="1"/>
  <c r="X124" i="35" s="1"/>
  <c r="AB124" i="35" s="1"/>
  <c r="AA135" i="45"/>
  <c r="AO135" i="45" s="1"/>
  <c r="AP135" i="45" s="1"/>
  <c r="W134" i="45"/>
  <c r="W135" i="45"/>
  <c r="AA134" i="45"/>
  <c r="AO134" i="45" s="1"/>
  <c r="AP134" i="45" s="1"/>
  <c r="X119" i="46"/>
  <c r="AB119" i="46" s="1"/>
  <c r="AL139" i="47"/>
  <c r="AH139" i="47"/>
  <c r="AL140" i="47"/>
  <c r="AH140" i="47"/>
  <c r="AI137" i="47"/>
  <c r="C132" i="35"/>
  <c r="G133" i="35"/>
  <c r="D133" i="35"/>
  <c r="F133" i="35" s="1"/>
  <c r="O139" i="50"/>
  <c r="P138" i="50"/>
  <c r="Q138" i="50" s="1"/>
  <c r="R149" i="32"/>
  <c r="X147" i="32"/>
  <c r="AE48" i="36"/>
  <c r="AE44" i="36"/>
  <c r="AG44" i="36" s="1"/>
  <c r="R43" i="36"/>
  <c r="R39" i="36"/>
  <c r="D44" i="36"/>
  <c r="F44" i="36" s="1"/>
  <c r="H44" i="36" s="1"/>
  <c r="D48" i="36"/>
  <c r="F48" i="36" s="1"/>
  <c r="H48" i="36" s="1"/>
  <c r="C139" i="44"/>
  <c r="C138" i="44"/>
  <c r="AJ144" i="27"/>
  <c r="AJ145" i="27"/>
  <c r="A145" i="35"/>
  <c r="B145" i="35" s="1"/>
  <c r="B144" i="35"/>
  <c r="L125" i="39"/>
  <c r="G122" i="39"/>
  <c r="K124" i="39"/>
  <c r="D122" i="39"/>
  <c r="K125" i="39"/>
  <c r="L124" i="39"/>
  <c r="G128" i="39"/>
  <c r="D128" i="39"/>
  <c r="F128" i="39" s="1"/>
  <c r="C127" i="39"/>
  <c r="AJ5" i="24"/>
  <c r="AI5" i="24"/>
  <c r="H11" i="15"/>
  <c r="I11" i="15" s="1"/>
  <c r="D11" i="15"/>
  <c r="F11" i="15" s="1"/>
  <c r="G11" i="15" s="1"/>
  <c r="O139" i="34"/>
  <c r="P138" i="34"/>
  <c r="Q138" i="34" s="1"/>
  <c r="R53" i="38"/>
  <c r="AE54" i="38"/>
  <c r="AG54" i="38" s="1"/>
  <c r="AE58" i="38"/>
  <c r="D54" i="38"/>
  <c r="D58" i="38"/>
  <c r="F58" i="38" s="1"/>
  <c r="H58" i="38" s="1"/>
  <c r="R57" i="38"/>
  <c r="D62" i="38"/>
  <c r="F78" i="43"/>
  <c r="AG78" i="43"/>
  <c r="C132" i="41"/>
  <c r="G133" i="41"/>
  <c r="D133" i="41"/>
  <c r="F133" i="41" s="1"/>
  <c r="P138" i="43"/>
  <c r="Q138" i="43" s="1"/>
  <c r="O139" i="43"/>
  <c r="AA135" i="46"/>
  <c r="AO135" i="46" s="1"/>
  <c r="AP135" i="46" s="1"/>
  <c r="W135" i="46"/>
  <c r="AA134" i="46"/>
  <c r="AO134" i="46" s="1"/>
  <c r="AP134" i="46" s="1"/>
  <c r="W134" i="46"/>
  <c r="V142" i="32"/>
  <c r="V145" i="32" s="1"/>
  <c r="T142" i="32"/>
  <c r="T145" i="32" s="1"/>
  <c r="X144" i="32" s="1"/>
  <c r="AB144" i="32" s="1"/>
  <c r="F7" i="12"/>
  <c r="T35" i="36"/>
  <c r="X34" i="36" s="1"/>
  <c r="AB34" i="36" s="1"/>
  <c r="A145" i="27"/>
  <c r="B145" i="27" s="1"/>
  <c r="B144" i="27"/>
  <c r="C139" i="33"/>
  <c r="C138" i="33"/>
  <c r="M129" i="30"/>
  <c r="I129" i="30"/>
  <c r="M130" i="30"/>
  <c r="I130" i="30"/>
  <c r="G129" i="30"/>
  <c r="AL139" i="41"/>
  <c r="AH139" i="41"/>
  <c r="AL140" i="41"/>
  <c r="AH140" i="41"/>
  <c r="AI137" i="41"/>
  <c r="H14" i="18"/>
  <c r="I14" i="18" s="1"/>
  <c r="D14" i="18"/>
  <c r="F14" i="18" s="1"/>
  <c r="G14" i="18" s="1"/>
  <c r="Z125" i="46"/>
  <c r="Z124" i="46"/>
  <c r="R122" i="46"/>
  <c r="Y125" i="46"/>
  <c r="Y124" i="46"/>
  <c r="G128" i="48"/>
  <c r="D128" i="48"/>
  <c r="F128" i="48" s="1"/>
  <c r="C127" i="48"/>
  <c r="H123" i="30"/>
  <c r="H128" i="42"/>
  <c r="A145" i="31"/>
  <c r="B145" i="31" s="1"/>
  <c r="B144" i="31"/>
  <c r="A145" i="44"/>
  <c r="B145" i="44" s="1"/>
  <c r="B144" i="44"/>
  <c r="AA135" i="50"/>
  <c r="AO135" i="50" s="1"/>
  <c r="W135" i="50"/>
  <c r="AA134" i="50"/>
  <c r="AO134" i="50" s="1"/>
  <c r="W134" i="50"/>
  <c r="F9" i="14"/>
  <c r="AJ139" i="44"/>
  <c r="AJ140" i="44"/>
  <c r="H128" i="49"/>
  <c r="AG80" i="44"/>
  <c r="R129" i="47"/>
  <c r="X127" i="47"/>
  <c r="AJ144" i="36"/>
  <c r="AJ145" i="36"/>
  <c r="A149" i="41"/>
  <c r="B148" i="41"/>
  <c r="AL167" i="59"/>
  <c r="AL168" i="59"/>
  <c r="Q132" i="42"/>
  <c r="Q134" i="42"/>
  <c r="Q134" i="26"/>
  <c r="Q132" i="26"/>
  <c r="T124" i="35"/>
  <c r="V124" i="35"/>
  <c r="C134" i="30"/>
  <c r="C133" i="30"/>
  <c r="Z130" i="26"/>
  <c r="Z129" i="26"/>
  <c r="R127" i="26"/>
  <c r="Y130" i="26"/>
  <c r="Y129" i="26"/>
  <c r="AC149" i="33"/>
  <c r="AD149" i="33" s="1"/>
  <c r="AD148" i="33"/>
  <c r="A145" i="28"/>
  <c r="B145" i="28" s="1"/>
  <c r="B144" i="28"/>
  <c r="Q132" i="47"/>
  <c r="Q134" i="47"/>
  <c r="Q127" i="28"/>
  <c r="Q129" i="28"/>
  <c r="AM14" i="61"/>
  <c r="AP14" i="17"/>
  <c r="C12" i="40"/>
  <c r="D73" i="40" s="1"/>
  <c r="F73" i="40" s="1"/>
  <c r="H73" i="40" s="1"/>
  <c r="B14" i="17"/>
  <c r="H9" i="13"/>
  <c r="I9" i="13" s="1"/>
  <c r="D9" i="13"/>
  <c r="H128" i="29"/>
  <c r="AF21" i="61"/>
  <c r="AP21" i="24"/>
  <c r="C5" i="33"/>
  <c r="B21" i="24"/>
  <c r="H59" i="41"/>
  <c r="H60" i="41" s="1"/>
  <c r="J60" i="41" s="1"/>
  <c r="F60" i="41"/>
  <c r="J59" i="41" s="1"/>
  <c r="C133" i="45"/>
  <c r="C134" i="45"/>
  <c r="O144" i="29"/>
  <c r="P143" i="29"/>
  <c r="Q143" i="29" s="1"/>
  <c r="X122" i="49"/>
  <c r="R124" i="49"/>
  <c r="O147" i="44"/>
  <c r="P146" i="44"/>
  <c r="C138" i="35"/>
  <c r="C139" i="35"/>
  <c r="G9" i="15"/>
  <c r="M130" i="45"/>
  <c r="I130" i="45"/>
  <c r="G129" i="45"/>
  <c r="M129" i="45"/>
  <c r="I129" i="45"/>
  <c r="X7" i="13"/>
  <c r="AA7" i="13"/>
  <c r="AG7" i="13" s="1"/>
  <c r="A140" i="30"/>
  <c r="B140" i="30" s="1"/>
  <c r="B139" i="30"/>
  <c r="Y130" i="41"/>
  <c r="Y129" i="41"/>
  <c r="Z130" i="41"/>
  <c r="Z129" i="41"/>
  <c r="R127" i="41"/>
  <c r="AG90" i="46"/>
  <c r="AA4" i="9"/>
  <c r="T44" i="38"/>
  <c r="T45" i="38" s="1"/>
  <c r="X44" i="38" s="1"/>
  <c r="V44" i="38"/>
  <c r="V45" i="38" s="1"/>
  <c r="V48" i="38"/>
  <c r="T48" i="38"/>
  <c r="T50" i="38" s="1"/>
  <c r="X49" i="38" s="1"/>
  <c r="P147" i="47"/>
  <c r="O148" i="47"/>
  <c r="V119" i="39"/>
  <c r="T119" i="39"/>
  <c r="AC149" i="34"/>
  <c r="AD149" i="34" s="1"/>
  <c r="AD148" i="34"/>
  <c r="AS8" i="61"/>
  <c r="B8" i="11"/>
  <c r="AP8" i="11"/>
  <c r="C18" i="46"/>
  <c r="H10" i="14"/>
  <c r="I10" i="14" s="1"/>
  <c r="D10" i="14"/>
  <c r="F10" i="14" s="1"/>
  <c r="G10" i="14" s="1"/>
  <c r="H6" i="10"/>
  <c r="I6" i="10" s="1"/>
  <c r="D6" i="10"/>
  <c r="F6" i="10" s="1"/>
  <c r="G6" i="10" s="1"/>
  <c r="P138" i="31"/>
  <c r="Q138" i="31" s="1"/>
  <c r="O139" i="31"/>
  <c r="H128" i="41"/>
  <c r="AJ145" i="32"/>
  <c r="AJ144" i="32"/>
  <c r="A145" i="38"/>
  <c r="B145" i="38" s="1"/>
  <c r="B144" i="38"/>
  <c r="L130" i="32"/>
  <c r="G127" i="32"/>
  <c r="L129" i="32"/>
  <c r="D127" i="32"/>
  <c r="K129" i="32"/>
  <c r="K130" i="32"/>
  <c r="X127" i="36"/>
  <c r="R129" i="36"/>
  <c r="C134" i="43"/>
  <c r="C133" i="43"/>
  <c r="AA135" i="34"/>
  <c r="AO135" i="34" s="1"/>
  <c r="AP135" i="34" s="1"/>
  <c r="W135" i="34"/>
  <c r="AA134" i="34"/>
  <c r="AO134" i="34" s="1"/>
  <c r="AP134" i="34" s="1"/>
  <c r="W134" i="34"/>
  <c r="F122" i="33"/>
  <c r="T117" i="49"/>
  <c r="T120" i="49" s="1"/>
  <c r="X119" i="49" s="1"/>
  <c r="AB119" i="49" s="1"/>
  <c r="V117" i="49"/>
  <c r="V120" i="49" s="1"/>
  <c r="Q129" i="44"/>
  <c r="Q127" i="44"/>
  <c r="X127" i="29"/>
  <c r="R129" i="29"/>
  <c r="C139" i="49"/>
  <c r="C138" i="49"/>
  <c r="AJ144" i="49"/>
  <c r="AJ145" i="49"/>
  <c r="B147" i="48"/>
  <c r="A148" i="48"/>
  <c r="AJ11" i="24"/>
  <c r="AI11" i="24"/>
  <c r="Y10" i="15"/>
  <c r="X9" i="15" s="1"/>
  <c r="Y12" i="17"/>
  <c r="P138" i="33"/>
  <c r="Q138" i="33" s="1"/>
  <c r="O139" i="33"/>
  <c r="A148" i="36"/>
  <c r="B147" i="36"/>
  <c r="B147" i="39"/>
  <c r="A148" i="39"/>
  <c r="G4" i="10"/>
  <c r="H19" i="23"/>
  <c r="I19" i="23" s="1"/>
  <c r="D19" i="23"/>
  <c r="F19" i="23" s="1"/>
  <c r="G19" i="23" s="1"/>
  <c r="AA140" i="26"/>
  <c r="AO140" i="26" s="1"/>
  <c r="AP140" i="26" s="1"/>
  <c r="W140" i="26"/>
  <c r="AA139" i="26"/>
  <c r="AO139" i="26" s="1"/>
  <c r="AP139" i="26" s="1"/>
  <c r="W139" i="26"/>
  <c r="H12" i="16"/>
  <c r="I12" i="16" s="1"/>
  <c r="D12" i="16"/>
  <c r="F12" i="16" s="1"/>
  <c r="G12" i="16" s="1"/>
  <c r="F122" i="42"/>
  <c r="K124" i="45"/>
  <c r="L125" i="45"/>
  <c r="K125" i="45"/>
  <c r="L124" i="45"/>
  <c r="G122" i="45"/>
  <c r="D122" i="45"/>
  <c r="X119" i="44"/>
  <c r="AB119" i="44" s="1"/>
  <c r="AJ140" i="35"/>
  <c r="AJ139" i="35"/>
  <c r="Y7" i="12"/>
  <c r="X6" i="12" s="1"/>
  <c r="AJ145" i="45"/>
  <c r="AJ144" i="45"/>
  <c r="V122" i="30"/>
  <c r="V125" i="30" s="1"/>
  <c r="T122" i="30"/>
  <c r="T125" i="30" s="1"/>
  <c r="X124" i="30" s="1"/>
  <c r="AB124" i="30" s="1"/>
  <c r="H123" i="43"/>
  <c r="H128" i="38"/>
  <c r="J37" i="36"/>
  <c r="V119" i="37"/>
  <c r="T119" i="37"/>
  <c r="AV15" i="53"/>
  <c r="AK16" i="61"/>
  <c r="B16" i="19"/>
  <c r="C10" i="38"/>
  <c r="D67" i="38" s="1"/>
  <c r="F67" i="38" s="1"/>
  <c r="AP16" i="19"/>
  <c r="AP16" i="53"/>
  <c r="B16" i="53"/>
  <c r="H5" i="9"/>
  <c r="I5" i="9" s="1"/>
  <c r="D5" i="9"/>
  <c r="F5" i="9" s="1"/>
  <c r="G5" i="9" s="1"/>
  <c r="H128" i="35"/>
  <c r="M135" i="40"/>
  <c r="I135" i="40"/>
  <c r="G134" i="40"/>
  <c r="M134" i="40"/>
  <c r="I134" i="40"/>
  <c r="H44" i="38"/>
  <c r="H45" i="38" s="1"/>
  <c r="J45" i="38" s="1"/>
  <c r="F45" i="38"/>
  <c r="J44" i="38" s="1"/>
  <c r="Q134" i="30"/>
  <c r="Q132" i="30"/>
  <c r="L129" i="28"/>
  <c r="D127" i="28"/>
  <c r="K129" i="28"/>
  <c r="L130" i="28"/>
  <c r="G127" i="28"/>
  <c r="K130" i="28"/>
  <c r="Z125" i="44"/>
  <c r="Z124" i="44"/>
  <c r="R122" i="44"/>
  <c r="Y125" i="44"/>
  <c r="Y124" i="44"/>
  <c r="AC149" i="39"/>
  <c r="AD149" i="39" s="1"/>
  <c r="AD148" i="39"/>
  <c r="O143" i="46"/>
  <c r="P142" i="46"/>
  <c r="M134" i="33"/>
  <c r="I134" i="33"/>
  <c r="M135" i="33"/>
  <c r="I135" i="33"/>
  <c r="G134" i="33"/>
  <c r="C132" i="42"/>
  <c r="G133" i="42"/>
  <c r="D133" i="42"/>
  <c r="F133" i="42" s="1"/>
  <c r="AG13" i="19"/>
  <c r="F84" i="45"/>
  <c r="J82" i="45"/>
  <c r="AJ144" i="26"/>
  <c r="AJ145" i="26"/>
  <c r="AC144" i="29"/>
  <c r="AD144" i="29" s="1"/>
  <c r="AD143" i="29"/>
  <c r="AC148" i="29"/>
  <c r="H62" i="40"/>
  <c r="AA135" i="28"/>
  <c r="AO135" i="28" s="1"/>
  <c r="AP135" i="28" s="1"/>
  <c r="W135" i="28"/>
  <c r="AA134" i="28"/>
  <c r="AO134" i="28" s="1"/>
  <c r="AP134" i="28" s="1"/>
  <c r="W134" i="28"/>
  <c r="AK40" i="38"/>
  <c r="AM40" i="38" s="1"/>
  <c r="AS40" i="38" s="1"/>
  <c r="Z40" i="38"/>
  <c r="L45" i="38"/>
  <c r="J105" i="49" l="1"/>
  <c r="V50" i="38"/>
  <c r="J104" i="49"/>
  <c r="AK70" i="47"/>
  <c r="AM70" i="47" s="1"/>
  <c r="AS70" i="47" s="1"/>
  <c r="J102" i="48"/>
  <c r="AR44" i="41"/>
  <c r="AT44" i="41" s="1"/>
  <c r="D7" i="41" s="1"/>
  <c r="Z70" i="47"/>
  <c r="AB70" i="47" s="1"/>
  <c r="Y14" i="18"/>
  <c r="AR49" i="50"/>
  <c r="AG115" i="50"/>
  <c r="A150" i="66"/>
  <c r="AR45" i="50"/>
  <c r="B186" i="66"/>
  <c r="A186" i="66"/>
  <c r="D142" i="66"/>
  <c r="L154" i="66"/>
  <c r="D130" i="65"/>
  <c r="A130" i="65" s="1"/>
  <c r="J130" i="66"/>
  <c r="B130" i="65" s="1"/>
  <c r="I130" i="66"/>
  <c r="D117" i="65"/>
  <c r="A117" i="65" s="1"/>
  <c r="I117" i="66"/>
  <c r="J117" i="66"/>
  <c r="B117" i="65" s="1"/>
  <c r="D109" i="66"/>
  <c r="L118" i="66"/>
  <c r="B108" i="66"/>
  <c r="A108" i="66"/>
  <c r="B130" i="66"/>
  <c r="A130" i="66"/>
  <c r="D151" i="66"/>
  <c r="A151" i="66" s="1"/>
  <c r="D131" i="66"/>
  <c r="L214" i="66"/>
  <c r="I213" i="66"/>
  <c r="J213" i="66"/>
  <c r="B213" i="65" s="1"/>
  <c r="D213" i="65"/>
  <c r="A213" i="65" s="1"/>
  <c r="T93" i="46"/>
  <c r="T69" i="43"/>
  <c r="T70" i="43" s="1"/>
  <c r="X69" i="43" s="1"/>
  <c r="AR50" i="41"/>
  <c r="AE115" i="50"/>
  <c r="AI114" i="50" s="1"/>
  <c r="X100" i="49"/>
  <c r="D91" i="65"/>
  <c r="A91" i="65" s="1"/>
  <c r="J91" i="66"/>
  <c r="B91" i="65" s="1"/>
  <c r="I91" i="66"/>
  <c r="X90" i="48"/>
  <c r="J112" i="50"/>
  <c r="D119" i="65"/>
  <c r="A119" i="65" s="1"/>
  <c r="J119" i="66"/>
  <c r="B119" i="65" s="1"/>
  <c r="I119" i="66"/>
  <c r="B85" i="66"/>
  <c r="A85" i="66"/>
  <c r="A111" i="66"/>
  <c r="B111" i="66"/>
  <c r="D133" i="65"/>
  <c r="A133" i="65" s="1"/>
  <c r="J133" i="66"/>
  <c r="B133" i="65" s="1"/>
  <c r="I133" i="66"/>
  <c r="D175" i="65"/>
  <c r="A175" i="65" s="1"/>
  <c r="I175" i="66"/>
  <c r="J175" i="66"/>
  <c r="B175" i="65" s="1"/>
  <c r="D164" i="66"/>
  <c r="L176" i="66"/>
  <c r="D125" i="66"/>
  <c r="L134" i="66"/>
  <c r="D112" i="66"/>
  <c r="L120" i="66"/>
  <c r="B124" i="66"/>
  <c r="A124" i="66"/>
  <c r="A163" i="66"/>
  <c r="B163" i="66"/>
  <c r="R89" i="46"/>
  <c r="D103" i="46"/>
  <c r="F103" i="46" s="1"/>
  <c r="R102" i="46"/>
  <c r="D107" i="46"/>
  <c r="F107" i="46" s="1"/>
  <c r="D40" i="66"/>
  <c r="L42" i="66"/>
  <c r="AE104" i="47"/>
  <c r="AG104" i="47" s="1"/>
  <c r="AB16" i="48"/>
  <c r="AD16" i="48" s="1"/>
  <c r="L75" i="48"/>
  <c r="N75" i="48" s="1"/>
  <c r="AQ75" i="48" s="1"/>
  <c r="B58" i="66"/>
  <c r="A58" i="66"/>
  <c r="V97" i="45"/>
  <c r="T97" i="45"/>
  <c r="T112" i="49"/>
  <c r="V112" i="49"/>
  <c r="F113" i="49"/>
  <c r="AG118" i="50"/>
  <c r="V99" i="48"/>
  <c r="V100" i="48" s="1"/>
  <c r="T99" i="48"/>
  <c r="T100" i="48" s="1"/>
  <c r="X99" i="48" s="1"/>
  <c r="T102" i="47"/>
  <c r="V102" i="47"/>
  <c r="D41" i="65"/>
  <c r="A41" i="65" s="1"/>
  <c r="I41" i="66"/>
  <c r="J41" i="66"/>
  <c r="B41" i="65" s="1"/>
  <c r="AI110" i="50"/>
  <c r="H105" i="48"/>
  <c r="J105" i="48" s="1"/>
  <c r="B20" i="66"/>
  <c r="A20" i="66"/>
  <c r="D363" i="66"/>
  <c r="L382" i="66"/>
  <c r="D135" i="66"/>
  <c r="L142" i="66"/>
  <c r="D78" i="66"/>
  <c r="L82" i="66"/>
  <c r="D98" i="44"/>
  <c r="F98" i="44" s="1"/>
  <c r="H98" i="44" s="1"/>
  <c r="R97" i="44"/>
  <c r="D102" i="44"/>
  <c r="F102" i="44" s="1"/>
  <c r="L202" i="66"/>
  <c r="D59" i="66"/>
  <c r="L62" i="66"/>
  <c r="L362" i="66"/>
  <c r="D382" i="66"/>
  <c r="L402" i="66"/>
  <c r="H97" i="44"/>
  <c r="F117" i="49"/>
  <c r="AG109" i="49"/>
  <c r="AG110" i="49" s="1"/>
  <c r="AE110" i="49"/>
  <c r="AI109" i="49" s="1"/>
  <c r="D201" i="65"/>
  <c r="A201" i="65" s="1"/>
  <c r="J201" i="66"/>
  <c r="B201" i="65" s="1"/>
  <c r="I201" i="66"/>
  <c r="D101" i="65"/>
  <c r="A101" i="65" s="1"/>
  <c r="I101" i="66"/>
  <c r="J101" i="66"/>
  <c r="B101" i="65" s="1"/>
  <c r="T113" i="50"/>
  <c r="V113" i="50"/>
  <c r="D381" i="65"/>
  <c r="A381" i="65" s="1"/>
  <c r="J381" i="66"/>
  <c r="B381" i="65" s="1"/>
  <c r="I381" i="66"/>
  <c r="D161" i="65"/>
  <c r="A161" i="65" s="1"/>
  <c r="J161" i="66"/>
  <c r="B161" i="65" s="1"/>
  <c r="I161" i="66"/>
  <c r="H103" i="47"/>
  <c r="B39" i="66"/>
  <c r="A39" i="66"/>
  <c r="R104" i="48"/>
  <c r="R112" i="48"/>
  <c r="D113" i="48"/>
  <c r="AE109" i="48"/>
  <c r="R108" i="48"/>
  <c r="D109" i="48"/>
  <c r="AE113" i="48"/>
  <c r="D117" i="48"/>
  <c r="D97" i="66"/>
  <c r="L102" i="66"/>
  <c r="D173" i="66"/>
  <c r="L162" i="66"/>
  <c r="R118" i="50"/>
  <c r="AE119" i="50"/>
  <c r="AG119" i="50" s="1"/>
  <c r="AE123" i="50"/>
  <c r="D119" i="50"/>
  <c r="F119" i="50" s="1"/>
  <c r="H119" i="50" s="1"/>
  <c r="R114" i="50"/>
  <c r="AB5" i="47"/>
  <c r="AD5" i="47" s="1"/>
  <c r="X7" i="47" s="1"/>
  <c r="L7" i="47" s="1"/>
  <c r="AP70" i="47" s="1"/>
  <c r="AB16" i="47"/>
  <c r="AD16" i="47" s="1"/>
  <c r="H109" i="50"/>
  <c r="H110" i="50" s="1"/>
  <c r="J110" i="50" s="1"/>
  <c r="F110" i="50"/>
  <c r="J109" i="50" s="1"/>
  <c r="D81" i="65"/>
  <c r="A81" i="65" s="1"/>
  <c r="J81" i="66"/>
  <c r="B81" i="65" s="1"/>
  <c r="I81" i="66"/>
  <c r="V87" i="44"/>
  <c r="T87" i="44"/>
  <c r="F109" i="49"/>
  <c r="J107" i="49"/>
  <c r="AG113" i="49"/>
  <c r="B96" i="66"/>
  <c r="A96" i="66"/>
  <c r="V109" i="50"/>
  <c r="V110" i="50" s="1"/>
  <c r="T109" i="50"/>
  <c r="T110" i="50" s="1"/>
  <c r="X109" i="50" s="1"/>
  <c r="B362" i="66"/>
  <c r="A362" i="66"/>
  <c r="T107" i="48"/>
  <c r="V107" i="48"/>
  <c r="V89" i="47"/>
  <c r="V90" i="47" s="1"/>
  <c r="T89" i="47"/>
  <c r="T90" i="47" s="1"/>
  <c r="X89" i="47" s="1"/>
  <c r="D141" i="65"/>
  <c r="J141" i="66"/>
  <c r="B141" i="65" s="1"/>
  <c r="I141" i="66"/>
  <c r="A172" i="66"/>
  <c r="B172" i="66"/>
  <c r="D116" i="66"/>
  <c r="L122" i="66"/>
  <c r="R99" i="47"/>
  <c r="D108" i="47"/>
  <c r="F108" i="47" s="1"/>
  <c r="H108" i="47" s="1"/>
  <c r="R107" i="47"/>
  <c r="D112" i="47"/>
  <c r="F112" i="47" s="1"/>
  <c r="R87" i="43"/>
  <c r="D97" i="43"/>
  <c r="F97" i="43" s="1"/>
  <c r="R109" i="49"/>
  <c r="D118" i="49"/>
  <c r="F118" i="49" s="1"/>
  <c r="H118" i="49" s="1"/>
  <c r="D114" i="49"/>
  <c r="F114" i="49" s="1"/>
  <c r="H114" i="49" s="1"/>
  <c r="AE114" i="49"/>
  <c r="AG114" i="49" s="1"/>
  <c r="R113" i="49"/>
  <c r="AE118" i="49"/>
  <c r="D21" i="66"/>
  <c r="L22" i="66"/>
  <c r="D104" i="47"/>
  <c r="R103" i="47"/>
  <c r="V103" i="47" s="1"/>
  <c r="H99" i="48"/>
  <c r="H100" i="48" s="1"/>
  <c r="J100" i="48" s="1"/>
  <c r="F100" i="48"/>
  <c r="J99" i="48" s="1"/>
  <c r="AB15" i="48"/>
  <c r="AD15" i="48" s="1"/>
  <c r="L74" i="48"/>
  <c r="N74" i="48" s="1"/>
  <c r="AQ74" i="48" s="1"/>
  <c r="D61" i="65"/>
  <c r="A61" i="65" s="1"/>
  <c r="I61" i="66"/>
  <c r="J61" i="66"/>
  <c r="B61" i="65" s="1"/>
  <c r="B77" i="66"/>
  <c r="A77" i="66"/>
  <c r="H102" i="45"/>
  <c r="X105" i="50"/>
  <c r="V108" i="49"/>
  <c r="T108" i="49"/>
  <c r="T104" i="49"/>
  <c r="T105" i="49" s="1"/>
  <c r="X104" i="49" s="1"/>
  <c r="V104" i="49"/>
  <c r="V105" i="49" s="1"/>
  <c r="F118" i="50"/>
  <c r="H113" i="50"/>
  <c r="H115" i="50" s="1"/>
  <c r="F115" i="50"/>
  <c r="H108" i="48"/>
  <c r="H107" i="47"/>
  <c r="F105" i="48"/>
  <c r="J104" i="48" s="1"/>
  <c r="B134" i="66"/>
  <c r="A134" i="66"/>
  <c r="D21" i="65"/>
  <c r="A21" i="65" s="1"/>
  <c r="I21" i="66"/>
  <c r="J21" i="66"/>
  <c r="B21" i="65" s="1"/>
  <c r="B115" i="66"/>
  <c r="A115" i="66"/>
  <c r="AK49" i="41"/>
  <c r="AM49" i="41" s="1"/>
  <c r="AS49" i="41" s="1"/>
  <c r="AB9" i="41"/>
  <c r="AD9" i="41" s="1"/>
  <c r="L6" i="41" s="1"/>
  <c r="AP49" i="41" s="1"/>
  <c r="AT49" i="41" s="1"/>
  <c r="D8" i="41" s="1"/>
  <c r="AK50" i="41"/>
  <c r="AM50" i="41" s="1"/>
  <c r="AS50" i="41" s="1"/>
  <c r="AB10" i="41"/>
  <c r="AD10" i="41" s="1"/>
  <c r="L7" i="41" s="1"/>
  <c r="AP50" i="41" s="1"/>
  <c r="AT50" i="41" s="1"/>
  <c r="E8" i="41" s="1"/>
  <c r="AK55" i="41" s="1"/>
  <c r="AM55" i="41" s="1"/>
  <c r="AS55" i="41" s="1"/>
  <c r="AN11" i="42"/>
  <c r="Z23" i="44"/>
  <c r="A137" i="65"/>
  <c r="A98" i="65"/>
  <c r="A111" i="65"/>
  <c r="AL10" i="43"/>
  <c r="AL11" i="43" s="1"/>
  <c r="AJ10" i="43"/>
  <c r="AJ11" i="43" s="1"/>
  <c r="AN10" i="43" s="1"/>
  <c r="AB9" i="42"/>
  <c r="AD9" i="42" s="1"/>
  <c r="AB4" i="42"/>
  <c r="AD4" i="42" s="1"/>
  <c r="X7" i="42" s="1"/>
  <c r="L7" i="42" s="1"/>
  <c r="AP55" i="42" s="1"/>
  <c r="AB15" i="42"/>
  <c r="AD15" i="42" s="1"/>
  <c r="L70" i="44"/>
  <c r="N70" i="44" s="1"/>
  <c r="AQ70" i="44" s="1"/>
  <c r="AB10" i="44"/>
  <c r="AD10" i="44" s="1"/>
  <c r="AB5" i="44"/>
  <c r="AD5" i="44" s="1"/>
  <c r="AB16" i="44"/>
  <c r="AD16" i="44" s="1"/>
  <c r="L69" i="44"/>
  <c r="N69" i="44" s="1"/>
  <c r="AQ69" i="44" s="1"/>
  <c r="AB9" i="44"/>
  <c r="AD9" i="44" s="1"/>
  <c r="AB4" i="44"/>
  <c r="AD4" i="44" s="1"/>
  <c r="X6" i="44" s="1"/>
  <c r="AB15" i="44"/>
  <c r="AD15" i="44" s="1"/>
  <c r="AB10" i="48"/>
  <c r="AD10" i="48" s="1"/>
  <c r="AB5" i="48"/>
  <c r="AD5" i="48" s="1"/>
  <c r="AB9" i="48"/>
  <c r="AD9" i="48" s="1"/>
  <c r="AB4" i="48"/>
  <c r="AD4" i="48" s="1"/>
  <c r="J60" i="40"/>
  <c r="AI90" i="46"/>
  <c r="AV22" i="25"/>
  <c r="V32" i="33"/>
  <c r="T32" i="33"/>
  <c r="D37" i="32"/>
  <c r="F37" i="32" s="1"/>
  <c r="H37" i="32" s="1"/>
  <c r="AE33" i="32"/>
  <c r="AG33" i="32" s="1"/>
  <c r="R32" i="32"/>
  <c r="AE23" i="61"/>
  <c r="AP23" i="25"/>
  <c r="C4" i="31"/>
  <c r="B23" i="25"/>
  <c r="D22" i="25"/>
  <c r="F22" i="25" s="1"/>
  <c r="G22" i="25" s="1"/>
  <c r="H22" i="25"/>
  <c r="I22" i="25" s="1"/>
  <c r="AI55" i="39"/>
  <c r="AR70" i="47"/>
  <c r="AI70" i="42"/>
  <c r="AE85" i="44"/>
  <c r="AI84" i="44" s="1"/>
  <c r="AG85" i="44"/>
  <c r="AK69" i="48"/>
  <c r="AM69" i="48" s="1"/>
  <c r="AS69" i="48" s="1"/>
  <c r="Z69" i="48"/>
  <c r="AB69" i="48" s="1"/>
  <c r="Z70" i="48"/>
  <c r="AB70" i="48" s="1"/>
  <c r="AK70" i="48"/>
  <c r="AM70" i="48" s="1"/>
  <c r="AS70" i="48" s="1"/>
  <c r="AI95" i="47"/>
  <c r="L70" i="46"/>
  <c r="N70" i="46" s="1"/>
  <c r="AQ70" i="46" s="1"/>
  <c r="AK65" i="46"/>
  <c r="AM65" i="46" s="1"/>
  <c r="AS65" i="46" s="1"/>
  <c r="Z65" i="46"/>
  <c r="AB65" i="46" s="1"/>
  <c r="L69" i="46"/>
  <c r="N69" i="46" s="1"/>
  <c r="AQ69" i="46" s="1"/>
  <c r="Z64" i="46"/>
  <c r="AB64" i="46" s="1"/>
  <c r="AK64" i="46"/>
  <c r="AM64" i="46" s="1"/>
  <c r="AS64" i="46" s="1"/>
  <c r="L59" i="43"/>
  <c r="N59" i="43" s="1"/>
  <c r="AQ59" i="43" s="1"/>
  <c r="L59" i="42"/>
  <c r="N59" i="42" s="1"/>
  <c r="AQ59" i="42" s="1"/>
  <c r="AK54" i="42"/>
  <c r="AM54" i="42" s="1"/>
  <c r="AS54" i="42" s="1"/>
  <c r="Z54" i="42"/>
  <c r="AB54" i="42" s="1"/>
  <c r="Z55" i="43"/>
  <c r="AB55" i="43" s="1"/>
  <c r="L60" i="43"/>
  <c r="N60" i="43" s="1"/>
  <c r="AQ60" i="43" s="1"/>
  <c r="AK55" i="43"/>
  <c r="AM55" i="43" s="1"/>
  <c r="AS55" i="43" s="1"/>
  <c r="AE90" i="45"/>
  <c r="AI89" i="45" s="1"/>
  <c r="N55" i="40"/>
  <c r="AQ55" i="40" s="1"/>
  <c r="J57" i="39"/>
  <c r="AI80" i="44"/>
  <c r="T72" i="41"/>
  <c r="AR120" i="47"/>
  <c r="AT138" i="59"/>
  <c r="H65" i="40"/>
  <c r="AE75" i="42"/>
  <c r="AI74" i="42" s="1"/>
  <c r="AG75" i="42"/>
  <c r="Y6" i="10"/>
  <c r="AR119" i="30"/>
  <c r="AI75" i="43"/>
  <c r="AR70" i="49"/>
  <c r="AT70" i="49" s="1"/>
  <c r="E12" i="49" s="1"/>
  <c r="AI105" i="48"/>
  <c r="AG90" i="45"/>
  <c r="AR120" i="42"/>
  <c r="AR69" i="49"/>
  <c r="AT69" i="49" s="1"/>
  <c r="D12" i="49" s="1"/>
  <c r="AE40" i="35"/>
  <c r="AI39" i="35" s="1"/>
  <c r="AI100" i="48"/>
  <c r="X85" i="46"/>
  <c r="X70" i="43"/>
  <c r="X80" i="45"/>
  <c r="H67" i="38"/>
  <c r="R84" i="44"/>
  <c r="V49" i="37"/>
  <c r="T49" i="37"/>
  <c r="H89" i="46"/>
  <c r="H90" i="46" s="1"/>
  <c r="J90" i="46" s="1"/>
  <c r="F90" i="46"/>
  <c r="H69" i="42"/>
  <c r="H70" i="42" s="1"/>
  <c r="J70" i="42" s="1"/>
  <c r="F70" i="42"/>
  <c r="R93" i="45"/>
  <c r="T93" i="45" s="1"/>
  <c r="T84" i="45"/>
  <c r="T85" i="45" s="1"/>
  <c r="X84" i="45" s="1"/>
  <c r="V84" i="45"/>
  <c r="V85" i="45" s="1"/>
  <c r="H87" i="43"/>
  <c r="H82" i="42"/>
  <c r="H68" i="40"/>
  <c r="F104" i="47"/>
  <c r="H104" i="47" s="1"/>
  <c r="J102" i="47"/>
  <c r="AG103" i="47"/>
  <c r="AG105" i="47" s="1"/>
  <c r="AR69" i="47"/>
  <c r="H84" i="45"/>
  <c r="H85" i="45" s="1"/>
  <c r="F85" i="45"/>
  <c r="J84" i="45" s="1"/>
  <c r="X50" i="38"/>
  <c r="D77" i="40"/>
  <c r="F77" i="40" s="1"/>
  <c r="Z50" i="39"/>
  <c r="AB50" i="39" s="1"/>
  <c r="L55" i="39"/>
  <c r="D94" i="45"/>
  <c r="F94" i="45" s="1"/>
  <c r="H94" i="45" s="1"/>
  <c r="AE94" i="45"/>
  <c r="AG94" i="45" s="1"/>
  <c r="Z49" i="40"/>
  <c r="AB49" i="40" s="1"/>
  <c r="L54" i="40"/>
  <c r="N54" i="40" s="1"/>
  <c r="AQ54" i="40" s="1"/>
  <c r="R47" i="34"/>
  <c r="D52" i="34"/>
  <c r="F52" i="34" s="1"/>
  <c r="D68" i="39"/>
  <c r="F68" i="39" s="1"/>
  <c r="R67" i="39"/>
  <c r="V82" i="43"/>
  <c r="T82" i="43"/>
  <c r="V77" i="42"/>
  <c r="T77" i="42"/>
  <c r="T79" i="44"/>
  <c r="T80" i="44" s="1"/>
  <c r="X79" i="44" s="1"/>
  <c r="V79" i="44"/>
  <c r="V80" i="44" s="1"/>
  <c r="AG99" i="47"/>
  <c r="AG100" i="47" s="1"/>
  <c r="AE100" i="47"/>
  <c r="AI99" i="47" s="1"/>
  <c r="AE103" i="46"/>
  <c r="R98" i="46"/>
  <c r="D99" i="46"/>
  <c r="AE99" i="46"/>
  <c r="R79" i="43"/>
  <c r="D88" i="43"/>
  <c r="F88" i="43" s="1"/>
  <c r="H88" i="43" s="1"/>
  <c r="R72" i="40"/>
  <c r="D83" i="42"/>
  <c r="F83" i="42" s="1"/>
  <c r="H83" i="42" s="1"/>
  <c r="R82" i="42"/>
  <c r="D87" i="42"/>
  <c r="F87" i="42" s="1"/>
  <c r="H54" i="39"/>
  <c r="H55" i="39" s="1"/>
  <c r="F55" i="39"/>
  <c r="J54" i="39" s="1"/>
  <c r="H52" i="35"/>
  <c r="V69" i="42"/>
  <c r="V70" i="42" s="1"/>
  <c r="T69" i="42"/>
  <c r="T70" i="42" s="1"/>
  <c r="X69" i="42" s="1"/>
  <c r="T98" i="47"/>
  <c r="V98" i="47"/>
  <c r="R77" i="41"/>
  <c r="D82" i="41"/>
  <c r="F82" i="41" s="1"/>
  <c r="T47" i="35"/>
  <c r="V47" i="35"/>
  <c r="V67" i="40"/>
  <c r="T67" i="40"/>
  <c r="F99" i="47"/>
  <c r="J97" i="47"/>
  <c r="AG108" i="47"/>
  <c r="N44" i="38"/>
  <c r="AQ44" i="38" s="1"/>
  <c r="AG40" i="35"/>
  <c r="AI40" i="35" s="1"/>
  <c r="J77" i="43"/>
  <c r="H128" i="45"/>
  <c r="AI50" i="38"/>
  <c r="AK55" i="40"/>
  <c r="AM55" i="40" s="1"/>
  <c r="AS55" i="40" s="1"/>
  <c r="L60" i="40"/>
  <c r="N60" i="40" s="1"/>
  <c r="AQ60" i="40" s="1"/>
  <c r="Z55" i="40"/>
  <c r="AR119" i="36"/>
  <c r="L50" i="39"/>
  <c r="N50" i="39" s="1"/>
  <c r="AQ50" i="39" s="1"/>
  <c r="AK45" i="39"/>
  <c r="AM45" i="39" s="1"/>
  <c r="AS45" i="39" s="1"/>
  <c r="Z45" i="39"/>
  <c r="AB45" i="39" s="1"/>
  <c r="Z65" i="44"/>
  <c r="AB65" i="44" s="1"/>
  <c r="AK65" i="44"/>
  <c r="AM65" i="44" s="1"/>
  <c r="AS65" i="44" s="1"/>
  <c r="AK44" i="40"/>
  <c r="AM44" i="40" s="1"/>
  <c r="AS44" i="40" s="1"/>
  <c r="Z44" i="40"/>
  <c r="AB44" i="40" s="1"/>
  <c r="L49" i="40"/>
  <c r="N49" i="40" s="1"/>
  <c r="AQ49" i="40" s="1"/>
  <c r="AT49" i="40" s="1"/>
  <c r="D8" i="40" s="1"/>
  <c r="AK64" i="44"/>
  <c r="AM64" i="44" s="1"/>
  <c r="AS64" i="44" s="1"/>
  <c r="Z64" i="44"/>
  <c r="AB64" i="44" s="1"/>
  <c r="F65" i="40"/>
  <c r="AE60" i="39"/>
  <c r="AI59" i="39" s="1"/>
  <c r="H128" i="39"/>
  <c r="X125" i="42"/>
  <c r="AB125" i="42" s="1"/>
  <c r="X145" i="32"/>
  <c r="AB145" i="32" s="1"/>
  <c r="AR145" i="32" s="1"/>
  <c r="X125" i="26"/>
  <c r="AB125" i="26" s="1"/>
  <c r="AR125" i="26" s="1"/>
  <c r="H128" i="30"/>
  <c r="X65" i="43"/>
  <c r="H128" i="26"/>
  <c r="H133" i="44"/>
  <c r="X125" i="36"/>
  <c r="AB125" i="36" s="1"/>
  <c r="AR124" i="36" s="1"/>
  <c r="X125" i="41"/>
  <c r="AB125" i="41" s="1"/>
  <c r="AR124" i="41" s="1"/>
  <c r="X125" i="35"/>
  <c r="AB125" i="35" s="1"/>
  <c r="AR124" i="35" s="1"/>
  <c r="X120" i="43"/>
  <c r="AB120" i="43" s="1"/>
  <c r="AR120" i="43" s="1"/>
  <c r="X125" i="30"/>
  <c r="AB125" i="30" s="1"/>
  <c r="AR125" i="30" s="1"/>
  <c r="H133" i="42"/>
  <c r="N45" i="38"/>
  <c r="AQ45" i="38" s="1"/>
  <c r="AB11" i="23"/>
  <c r="AI11" i="23" s="1"/>
  <c r="AB10" i="23"/>
  <c r="AJ10" i="23" s="1"/>
  <c r="AB13" i="23"/>
  <c r="AJ13" i="23" s="1"/>
  <c r="AI40" i="36"/>
  <c r="H128" i="48"/>
  <c r="H133" i="40"/>
  <c r="X125" i="29"/>
  <c r="AB125" i="29" s="1"/>
  <c r="AR125" i="29" s="1"/>
  <c r="Y11" i="15"/>
  <c r="AA11" i="15" s="1"/>
  <c r="AG11" i="15" s="1"/>
  <c r="X120" i="49"/>
  <c r="AB120" i="49" s="1"/>
  <c r="AR119" i="49" s="1"/>
  <c r="X125" i="47"/>
  <c r="AB125" i="47" s="1"/>
  <c r="AR124" i="47" s="1"/>
  <c r="X120" i="28"/>
  <c r="AB120" i="28" s="1"/>
  <c r="AR120" i="28" s="1"/>
  <c r="X120" i="39"/>
  <c r="AB120" i="39" s="1"/>
  <c r="X60" i="41"/>
  <c r="X125" i="38"/>
  <c r="AB125" i="38" s="1"/>
  <c r="AR125" i="38" s="1"/>
  <c r="H133" i="27"/>
  <c r="AG55" i="38"/>
  <c r="AI60" i="40"/>
  <c r="AM60" i="40" s="1"/>
  <c r="AS60" i="40" s="1"/>
  <c r="AI65" i="41"/>
  <c r="H133" i="49"/>
  <c r="X120" i="34"/>
  <c r="AB120" i="34" s="1"/>
  <c r="AR119" i="34" s="1"/>
  <c r="AA6" i="10"/>
  <c r="AG6" i="10" s="1"/>
  <c r="AA9" i="13"/>
  <c r="AG9" i="13" s="1"/>
  <c r="X8" i="13"/>
  <c r="AA10" i="14"/>
  <c r="AG10" i="14" s="1"/>
  <c r="X9" i="14"/>
  <c r="AA14" i="18"/>
  <c r="AG14" i="18" s="1"/>
  <c r="AB119" i="33"/>
  <c r="X120" i="33"/>
  <c r="AB120" i="33" s="1"/>
  <c r="AJ12" i="23"/>
  <c r="AI12" i="23"/>
  <c r="X120" i="50"/>
  <c r="AB120" i="50" s="1"/>
  <c r="AR120" i="50" s="1"/>
  <c r="X75" i="44"/>
  <c r="X120" i="37"/>
  <c r="AB120" i="37" s="1"/>
  <c r="AR119" i="37" s="1"/>
  <c r="X125" i="48"/>
  <c r="AB125" i="48" s="1"/>
  <c r="AR125" i="48" s="1"/>
  <c r="H16" i="19"/>
  <c r="I16" i="19" s="1"/>
  <c r="D16" i="19"/>
  <c r="F16" i="19" s="1"/>
  <c r="G16" i="19" s="1"/>
  <c r="G133" i="43"/>
  <c r="D133" i="43"/>
  <c r="F133" i="43" s="1"/>
  <c r="C132" i="43"/>
  <c r="AS9" i="61"/>
  <c r="C18" i="45"/>
  <c r="B9" i="11"/>
  <c r="AP9" i="11"/>
  <c r="D21" i="24"/>
  <c r="F21" i="24" s="1"/>
  <c r="G21" i="24" s="1"/>
  <c r="H21" i="24"/>
  <c r="I21" i="24" s="1"/>
  <c r="AV14" i="17"/>
  <c r="C144" i="31"/>
  <c r="C143" i="31"/>
  <c r="H9" i="12"/>
  <c r="I9" i="12" s="1"/>
  <c r="D9" i="12"/>
  <c r="AG10" i="16"/>
  <c r="V127" i="48"/>
  <c r="V130" i="48" s="1"/>
  <c r="T127" i="48"/>
  <c r="T130" i="48" s="1"/>
  <c r="X129" i="48" s="1"/>
  <c r="AB129" i="48" s="1"/>
  <c r="AJ149" i="48"/>
  <c r="AJ150" i="48"/>
  <c r="O148" i="45"/>
  <c r="P147" i="45"/>
  <c r="M140" i="32"/>
  <c r="I140" i="32"/>
  <c r="G139" i="32"/>
  <c r="I139" i="32"/>
  <c r="M139" i="32"/>
  <c r="AL150" i="45"/>
  <c r="AH150" i="45"/>
  <c r="AL149" i="45"/>
  <c r="AH149" i="45"/>
  <c r="AI147" i="45"/>
  <c r="H122" i="34"/>
  <c r="H125" i="34" s="1"/>
  <c r="F125" i="34"/>
  <c r="M140" i="29"/>
  <c r="I140" i="29"/>
  <c r="G139" i="29"/>
  <c r="M139" i="29"/>
  <c r="I139" i="29"/>
  <c r="R64" i="41"/>
  <c r="AE74" i="41"/>
  <c r="AG74" i="41" s="1"/>
  <c r="R73" i="41"/>
  <c r="D74" i="41"/>
  <c r="AE78" i="41"/>
  <c r="D78" i="41"/>
  <c r="X132" i="38"/>
  <c r="R134" i="38"/>
  <c r="AA140" i="28"/>
  <c r="AO140" i="28" s="1"/>
  <c r="AP140" i="28" s="1"/>
  <c r="W140" i="28"/>
  <c r="AA139" i="28"/>
  <c r="AO139" i="28" s="1"/>
  <c r="AP139" i="28" s="1"/>
  <c r="W139" i="28"/>
  <c r="Q137" i="41"/>
  <c r="Q139" i="41"/>
  <c r="C143" i="47"/>
  <c r="C144" i="47"/>
  <c r="AP12" i="61"/>
  <c r="C15" i="42"/>
  <c r="AP12" i="14"/>
  <c r="Y11" i="14" s="1"/>
  <c r="B12" i="14"/>
  <c r="V127" i="38"/>
  <c r="V130" i="38" s="1"/>
  <c r="T127" i="38"/>
  <c r="T130" i="38" s="1"/>
  <c r="AJ149" i="30"/>
  <c r="AJ150" i="30"/>
  <c r="Q132" i="39"/>
  <c r="Q134" i="39"/>
  <c r="T122" i="49"/>
  <c r="T125" i="49" s="1"/>
  <c r="X124" i="49" s="1"/>
  <c r="AB124" i="49" s="1"/>
  <c r="V122" i="49"/>
  <c r="V125" i="49" s="1"/>
  <c r="P148" i="48"/>
  <c r="Q148" i="48" s="1"/>
  <c r="O149" i="48"/>
  <c r="AQ11" i="61"/>
  <c r="AP11" i="13"/>
  <c r="Y10" i="13" s="1"/>
  <c r="X9" i="13" s="1"/>
  <c r="B11" i="13"/>
  <c r="C16" i="43"/>
  <c r="O173" i="59"/>
  <c r="P173" i="59" s="1"/>
  <c r="P172" i="59"/>
  <c r="Q172" i="59" s="1"/>
  <c r="P148" i="30"/>
  <c r="Q148" i="30" s="1"/>
  <c r="O149" i="30"/>
  <c r="AC149" i="44"/>
  <c r="AD149" i="44" s="1"/>
  <c r="AD148" i="44"/>
  <c r="T63" i="40"/>
  <c r="V63" i="40"/>
  <c r="AJ18" i="61"/>
  <c r="AP18" i="20"/>
  <c r="C9" i="36"/>
  <c r="R49" i="36" s="1"/>
  <c r="B18" i="20"/>
  <c r="P143" i="31"/>
  <c r="Q143" i="31" s="1"/>
  <c r="O144" i="31"/>
  <c r="T129" i="42"/>
  <c r="V129" i="42"/>
  <c r="X127" i="49"/>
  <c r="R129" i="49"/>
  <c r="P139" i="46"/>
  <c r="O140" i="46"/>
  <c r="P140" i="46" s="1"/>
  <c r="X132" i="41"/>
  <c r="R134" i="41"/>
  <c r="AV18" i="21"/>
  <c r="AJ150" i="42"/>
  <c r="AJ149" i="42"/>
  <c r="F127" i="27"/>
  <c r="Z130" i="46"/>
  <c r="Z129" i="46"/>
  <c r="R127" i="46"/>
  <c r="Y130" i="46"/>
  <c r="Y129" i="46"/>
  <c r="AG15" i="20"/>
  <c r="X1" i="20"/>
  <c r="F125" i="31"/>
  <c r="H122" i="31"/>
  <c r="H125" i="31" s="1"/>
  <c r="L130" i="26"/>
  <c r="G127" i="26"/>
  <c r="K130" i="26"/>
  <c r="L129" i="26"/>
  <c r="D127" i="26"/>
  <c r="K129" i="26"/>
  <c r="X5" i="10"/>
  <c r="AA5" i="10"/>
  <c r="AG5" i="10" s="1"/>
  <c r="AL150" i="26"/>
  <c r="AH150" i="26"/>
  <c r="AI147" i="26"/>
  <c r="AL149" i="26"/>
  <c r="AH149" i="26"/>
  <c r="M134" i="36"/>
  <c r="I134" i="36"/>
  <c r="M135" i="36"/>
  <c r="I135" i="36"/>
  <c r="G134" i="36"/>
  <c r="D138" i="27"/>
  <c r="F138" i="27" s="1"/>
  <c r="C137" i="27"/>
  <c r="G138" i="27"/>
  <c r="V149" i="59"/>
  <c r="T149" i="59"/>
  <c r="C139" i="46"/>
  <c r="C138" i="46"/>
  <c r="K134" i="29"/>
  <c r="L135" i="29"/>
  <c r="G132" i="29"/>
  <c r="K135" i="29"/>
  <c r="L134" i="29"/>
  <c r="D132" i="29"/>
  <c r="F78" i="42"/>
  <c r="V73" i="42"/>
  <c r="T73" i="42"/>
  <c r="F47" i="35"/>
  <c r="V34" i="35"/>
  <c r="V35" i="35" s="1"/>
  <c r="X35" i="35" s="1"/>
  <c r="AB35" i="35" s="1"/>
  <c r="T34" i="35"/>
  <c r="T35" i="35" s="1"/>
  <c r="X34" i="35" s="1"/>
  <c r="AB34" i="35" s="1"/>
  <c r="X127" i="33"/>
  <c r="R129" i="33"/>
  <c r="AR119" i="35"/>
  <c r="Y135" i="29"/>
  <c r="Y134" i="29"/>
  <c r="Z135" i="29"/>
  <c r="Z134" i="29"/>
  <c r="R132" i="29"/>
  <c r="P143" i="44"/>
  <c r="Q143" i="44" s="1"/>
  <c r="O144" i="44"/>
  <c r="H62" i="39"/>
  <c r="AE95" i="45"/>
  <c r="AI94" i="45" s="1"/>
  <c r="AG93" i="45"/>
  <c r="A150" i="42"/>
  <c r="B150" i="42" s="1"/>
  <c r="B149" i="42"/>
  <c r="A149" i="37"/>
  <c r="B148" i="37"/>
  <c r="O148" i="28"/>
  <c r="P147" i="28"/>
  <c r="X4" i="10"/>
  <c r="C144" i="32"/>
  <c r="C143" i="32"/>
  <c r="B167" i="59"/>
  <c r="A168" i="59"/>
  <c r="B168" i="59" s="1"/>
  <c r="A145" i="45"/>
  <c r="B145" i="45" s="1"/>
  <c r="B144" i="45"/>
  <c r="M140" i="47"/>
  <c r="I140" i="47"/>
  <c r="G139" i="47"/>
  <c r="M139" i="47"/>
  <c r="I139" i="47"/>
  <c r="Y135" i="35"/>
  <c r="Y134" i="35"/>
  <c r="Z135" i="35"/>
  <c r="Z134" i="35"/>
  <c r="R132" i="35"/>
  <c r="X127" i="40"/>
  <c r="R129" i="40"/>
  <c r="Q137" i="38"/>
  <c r="Q139" i="38"/>
  <c r="AE79" i="42"/>
  <c r="AG79" i="42" s="1"/>
  <c r="R78" i="42"/>
  <c r="AE83" i="42"/>
  <c r="D79" i="42"/>
  <c r="F79" i="42" s="1"/>
  <c r="H79" i="42" s="1"/>
  <c r="R74" i="42"/>
  <c r="AR140" i="32"/>
  <c r="H133" i="47"/>
  <c r="H19" i="22"/>
  <c r="I19" i="22" s="1"/>
  <c r="D19" i="22"/>
  <c r="F19" i="22" s="1"/>
  <c r="G19" i="22" s="1"/>
  <c r="Z130" i="34"/>
  <c r="Z129" i="34"/>
  <c r="R127" i="34"/>
  <c r="Y130" i="34"/>
  <c r="Y129" i="34"/>
  <c r="AC149" i="47"/>
  <c r="AD149" i="47" s="1"/>
  <c r="AD148" i="47"/>
  <c r="AV5" i="8"/>
  <c r="AI35" i="35"/>
  <c r="AM35" i="35" s="1"/>
  <c r="AS35" i="35" s="1"/>
  <c r="M140" i="41"/>
  <c r="I140" i="41"/>
  <c r="G139" i="41"/>
  <c r="M139" i="41"/>
  <c r="I139" i="41"/>
  <c r="K130" i="36"/>
  <c r="K129" i="36"/>
  <c r="L130" i="36"/>
  <c r="G127" i="36"/>
  <c r="L129" i="36"/>
  <c r="D127" i="36"/>
  <c r="AE50" i="37"/>
  <c r="AI49" i="37" s="1"/>
  <c r="K135" i="44"/>
  <c r="L134" i="44"/>
  <c r="D132" i="44"/>
  <c r="K134" i="44"/>
  <c r="L135" i="44"/>
  <c r="G132" i="44"/>
  <c r="AA145" i="30"/>
  <c r="AO145" i="30" s="1"/>
  <c r="AP145" i="30" s="1"/>
  <c r="W145" i="30"/>
  <c r="AA144" i="30"/>
  <c r="AO144" i="30" s="1"/>
  <c r="AP144" i="30" s="1"/>
  <c r="W144" i="30"/>
  <c r="H133" i="34"/>
  <c r="H128" i="37"/>
  <c r="V124" i="44"/>
  <c r="T124" i="44"/>
  <c r="H122" i="29"/>
  <c r="H125" i="29" s="1"/>
  <c r="F125" i="29"/>
  <c r="T122" i="33"/>
  <c r="T125" i="33" s="1"/>
  <c r="X124" i="33" s="1"/>
  <c r="V122" i="33"/>
  <c r="V125" i="33" s="1"/>
  <c r="V147" i="59"/>
  <c r="V150" i="59" s="1"/>
  <c r="T147" i="59"/>
  <c r="T150" i="59" s="1"/>
  <c r="P147" i="43"/>
  <c r="O148" i="43"/>
  <c r="D43" i="34"/>
  <c r="F43" i="34" s="1"/>
  <c r="H43" i="34" s="1"/>
  <c r="AE39" i="34"/>
  <c r="AG39" i="34" s="1"/>
  <c r="R34" i="34"/>
  <c r="AE43" i="34"/>
  <c r="R38" i="34"/>
  <c r="D39" i="34"/>
  <c r="F39" i="34" s="1"/>
  <c r="H39" i="34" s="1"/>
  <c r="R42" i="34"/>
  <c r="D47" i="34"/>
  <c r="A150" i="29"/>
  <c r="B150" i="29" s="1"/>
  <c r="B149" i="29"/>
  <c r="O149" i="41"/>
  <c r="P148" i="41"/>
  <c r="Q148" i="41" s="1"/>
  <c r="AB14" i="23"/>
  <c r="B172" i="59"/>
  <c r="A173" i="59"/>
  <c r="O149" i="42"/>
  <c r="P148" i="42"/>
  <c r="Q148" i="42" s="1"/>
  <c r="AR120" i="26"/>
  <c r="AA140" i="37"/>
  <c r="AO140" i="37" s="1"/>
  <c r="AP140" i="37" s="1"/>
  <c r="W140" i="37"/>
  <c r="AA139" i="37"/>
  <c r="AO139" i="37" s="1"/>
  <c r="AP139" i="37" s="1"/>
  <c r="W139" i="37"/>
  <c r="F84" i="44"/>
  <c r="J82" i="44"/>
  <c r="AF15" i="22"/>
  <c r="AF16" i="22" s="1"/>
  <c r="AI1" i="22"/>
  <c r="H133" i="31"/>
  <c r="AA145" i="36"/>
  <c r="AO145" i="36" s="1"/>
  <c r="AP145" i="36" s="1"/>
  <c r="W145" i="36"/>
  <c r="AA144" i="36"/>
  <c r="AO144" i="36" s="1"/>
  <c r="AP144" i="36" s="1"/>
  <c r="W144" i="36"/>
  <c r="AG38" i="34"/>
  <c r="V37" i="34"/>
  <c r="T37" i="34"/>
  <c r="F69" i="41"/>
  <c r="J67" i="41"/>
  <c r="A150" i="38"/>
  <c r="B150" i="38" s="1"/>
  <c r="B149" i="38"/>
  <c r="A150" i="31"/>
  <c r="B150" i="31" s="1"/>
  <c r="B149" i="31"/>
  <c r="AA140" i="27"/>
  <c r="AO140" i="27" s="1"/>
  <c r="AP140" i="27" s="1"/>
  <c r="W140" i="27"/>
  <c r="AA139" i="27"/>
  <c r="AO139" i="27" s="1"/>
  <c r="AP139" i="27" s="1"/>
  <c r="W139" i="27"/>
  <c r="H15" i="18"/>
  <c r="I15" i="18" s="1"/>
  <c r="D15" i="18"/>
  <c r="F15" i="18" s="1"/>
  <c r="G15" i="18" s="1"/>
  <c r="AE65" i="40"/>
  <c r="AI64" i="40" s="1"/>
  <c r="F125" i="44"/>
  <c r="H122" i="44"/>
  <c r="H125" i="44" s="1"/>
  <c r="A149" i="46"/>
  <c r="B148" i="46"/>
  <c r="Z130" i="27"/>
  <c r="Z129" i="27"/>
  <c r="R127" i="27"/>
  <c r="Y130" i="27"/>
  <c r="Y129" i="27"/>
  <c r="O148" i="31"/>
  <c r="P147" i="31"/>
  <c r="AG9" i="14"/>
  <c r="AG70" i="41"/>
  <c r="AX4" i="61"/>
  <c r="EX127" i="61" s="1"/>
  <c r="GI127" i="61" s="1"/>
  <c r="AY3" i="61"/>
  <c r="B4" i="6"/>
  <c r="C23" i="50"/>
  <c r="AP4" i="6"/>
  <c r="G133" i="48"/>
  <c r="D133" i="48"/>
  <c r="F133" i="48" s="1"/>
  <c r="C132" i="48"/>
  <c r="O145" i="41"/>
  <c r="P145" i="41" s="1"/>
  <c r="P144" i="41"/>
  <c r="AR119" i="48"/>
  <c r="AK40" i="37"/>
  <c r="AM40" i="37" s="1"/>
  <c r="AS40" i="37" s="1"/>
  <c r="Z40" i="37"/>
  <c r="L45" i="37"/>
  <c r="AA12" i="17"/>
  <c r="AG12" i="17" s="1"/>
  <c r="X11" i="17"/>
  <c r="O140" i="31"/>
  <c r="P140" i="31" s="1"/>
  <c r="P139" i="31"/>
  <c r="C132" i="45"/>
  <c r="G133" i="45"/>
  <c r="D133" i="45"/>
  <c r="F133" i="45" s="1"/>
  <c r="Y135" i="42"/>
  <c r="Y134" i="42"/>
  <c r="Z134" i="42"/>
  <c r="Z135" i="42"/>
  <c r="R132" i="42"/>
  <c r="V122" i="46"/>
  <c r="V125" i="46" s="1"/>
  <c r="T122" i="46"/>
  <c r="T125" i="46" s="1"/>
  <c r="X124" i="46" s="1"/>
  <c r="AB124" i="46" s="1"/>
  <c r="G7" i="12"/>
  <c r="O140" i="43"/>
  <c r="P140" i="43" s="1"/>
  <c r="P139" i="43"/>
  <c r="AA140" i="34"/>
  <c r="AO140" i="34" s="1"/>
  <c r="AP140" i="34" s="1"/>
  <c r="W140" i="34"/>
  <c r="AA139" i="34"/>
  <c r="AO139" i="34" s="1"/>
  <c r="AP139" i="34" s="1"/>
  <c r="W139" i="34"/>
  <c r="K134" i="35"/>
  <c r="L135" i="35"/>
  <c r="G132" i="35"/>
  <c r="K135" i="35"/>
  <c r="L134" i="35"/>
  <c r="D132" i="35"/>
  <c r="AI147" i="37"/>
  <c r="AL149" i="37"/>
  <c r="AH149" i="37"/>
  <c r="AL150" i="37"/>
  <c r="AH150" i="37"/>
  <c r="A150" i="50"/>
  <c r="B150" i="50" s="1"/>
  <c r="B149" i="50"/>
  <c r="A150" i="32"/>
  <c r="B150" i="32" s="1"/>
  <c r="B149" i="32"/>
  <c r="AJ145" i="29"/>
  <c r="AJ144" i="29"/>
  <c r="AV16" i="53"/>
  <c r="AK17" i="61"/>
  <c r="C10" i="37"/>
  <c r="D67" i="37" s="1"/>
  <c r="F67" i="37" s="1"/>
  <c r="B17" i="19"/>
  <c r="AP17" i="19"/>
  <c r="AP17" i="53"/>
  <c r="B17" i="53"/>
  <c r="AA7" i="12"/>
  <c r="AG7" i="12" s="1"/>
  <c r="X120" i="44"/>
  <c r="AB120" i="44" s="1"/>
  <c r="AR119" i="44" s="1"/>
  <c r="A149" i="36"/>
  <c r="B148" i="36"/>
  <c r="D138" i="49"/>
  <c r="F138" i="49" s="1"/>
  <c r="C137" i="49"/>
  <c r="G138" i="49"/>
  <c r="Z130" i="44"/>
  <c r="Z129" i="44"/>
  <c r="R127" i="44"/>
  <c r="Y130" i="44"/>
  <c r="Y129" i="44"/>
  <c r="F125" i="33"/>
  <c r="H122" i="33"/>
  <c r="H125" i="33" s="1"/>
  <c r="M134" i="43"/>
  <c r="I134" i="43"/>
  <c r="M135" i="43"/>
  <c r="I135" i="43"/>
  <c r="G134" i="43"/>
  <c r="AA140" i="31"/>
  <c r="AO140" i="31" s="1"/>
  <c r="AP140" i="31" s="1"/>
  <c r="W140" i="31"/>
  <c r="AA139" i="31"/>
  <c r="AO139" i="31" s="1"/>
  <c r="AP139" i="31" s="1"/>
  <c r="W139" i="31"/>
  <c r="AJ150" i="34"/>
  <c r="AJ149" i="34"/>
  <c r="M140" i="35"/>
  <c r="I140" i="35"/>
  <c r="G139" i="35"/>
  <c r="M139" i="35"/>
  <c r="I139" i="35"/>
  <c r="AE34" i="33"/>
  <c r="R33" i="33"/>
  <c r="AE38" i="33"/>
  <c r="D38" i="33"/>
  <c r="R37" i="33"/>
  <c r="D42" i="33"/>
  <c r="AM15" i="61"/>
  <c r="C12" i="39"/>
  <c r="B15" i="17"/>
  <c r="AP15" i="17"/>
  <c r="Y135" i="47"/>
  <c r="Y134" i="47"/>
  <c r="Z135" i="47"/>
  <c r="Z134" i="47"/>
  <c r="R132" i="47"/>
  <c r="AL150" i="33"/>
  <c r="AH150" i="33"/>
  <c r="AI147" i="33"/>
  <c r="AL149" i="33"/>
  <c r="AH149" i="33"/>
  <c r="AR35" i="36"/>
  <c r="AT35" i="36" s="1"/>
  <c r="E5" i="36" s="1"/>
  <c r="AR34" i="36"/>
  <c r="AT34" i="36" s="1"/>
  <c r="D5" i="36" s="1"/>
  <c r="AA140" i="43"/>
  <c r="AO140" i="43" s="1"/>
  <c r="AP140" i="43" s="1"/>
  <c r="W140" i="43"/>
  <c r="AA139" i="43"/>
  <c r="AO139" i="43" s="1"/>
  <c r="AP139" i="43" s="1"/>
  <c r="W139" i="43"/>
  <c r="H78" i="43"/>
  <c r="H80" i="43" s="1"/>
  <c r="F80" i="43"/>
  <c r="F54" i="38"/>
  <c r="J52" i="38"/>
  <c r="P139" i="34"/>
  <c r="O140" i="34"/>
  <c r="P140" i="34" s="1"/>
  <c r="D138" i="44"/>
  <c r="F138" i="44" s="1"/>
  <c r="C137" i="44"/>
  <c r="G138" i="44"/>
  <c r="V39" i="36"/>
  <c r="V40" i="36" s="1"/>
  <c r="T39" i="36"/>
  <c r="T40" i="36" s="1"/>
  <c r="X39" i="36" s="1"/>
  <c r="P139" i="50"/>
  <c r="O140" i="50"/>
  <c r="P140" i="50" s="1"/>
  <c r="C138" i="36"/>
  <c r="C139" i="36"/>
  <c r="O148" i="40"/>
  <c r="P147" i="40"/>
  <c r="V124" i="39"/>
  <c r="T124" i="39"/>
  <c r="A145" i="30"/>
  <c r="B145" i="30" s="1"/>
  <c r="B144" i="30"/>
  <c r="X127" i="31"/>
  <c r="R129" i="31"/>
  <c r="V44" i="37"/>
  <c r="V45" i="37" s="1"/>
  <c r="T44" i="37"/>
  <c r="T45" i="37" s="1"/>
  <c r="X44" i="37" s="1"/>
  <c r="O140" i="44"/>
  <c r="P140" i="44" s="1"/>
  <c r="P139" i="44"/>
  <c r="AE45" i="36"/>
  <c r="AI44" i="36" s="1"/>
  <c r="AC149" i="38"/>
  <c r="AD149" i="38" s="1"/>
  <c r="AD148" i="38"/>
  <c r="A145" i="36"/>
  <c r="B145" i="36" s="1"/>
  <c r="B144" i="36"/>
  <c r="AA168" i="59"/>
  <c r="AQ168" i="59" s="1"/>
  <c r="AR168" i="59" s="1"/>
  <c r="AA167" i="59"/>
  <c r="AQ167" i="59" s="1"/>
  <c r="AR167" i="59" s="1"/>
  <c r="X127" i="37"/>
  <c r="R129" i="37"/>
  <c r="X40" i="37"/>
  <c r="O148" i="49"/>
  <c r="P147" i="49"/>
  <c r="O148" i="50"/>
  <c r="P147" i="50"/>
  <c r="L135" i="32"/>
  <c r="G132" i="32"/>
  <c r="L134" i="32"/>
  <c r="D132" i="32"/>
  <c r="K134" i="32"/>
  <c r="K135" i="32"/>
  <c r="T122" i="31"/>
  <c r="T125" i="31" s="1"/>
  <c r="X124" i="31" s="1"/>
  <c r="AB124" i="31" s="1"/>
  <c r="V122" i="31"/>
  <c r="V125" i="31" s="1"/>
  <c r="K135" i="33"/>
  <c r="L134" i="33"/>
  <c r="D132" i="33"/>
  <c r="K134" i="33"/>
  <c r="L135" i="33"/>
  <c r="G132" i="33"/>
  <c r="AL150" i="48"/>
  <c r="AH150" i="48"/>
  <c r="AI147" i="48"/>
  <c r="AL149" i="48"/>
  <c r="AH149" i="48"/>
  <c r="AA145" i="47"/>
  <c r="AO145" i="47" s="1"/>
  <c r="AP145" i="47" s="1"/>
  <c r="W145" i="47"/>
  <c r="AA144" i="47"/>
  <c r="AO144" i="47" s="1"/>
  <c r="AP144" i="47" s="1"/>
  <c r="W144" i="47"/>
  <c r="AV6" i="9"/>
  <c r="AC149" i="35"/>
  <c r="AD149" i="35" s="1"/>
  <c r="AD148" i="35"/>
  <c r="C137" i="29"/>
  <c r="G138" i="29"/>
  <c r="D138" i="29"/>
  <c r="F138" i="29" s="1"/>
  <c r="H13" i="16"/>
  <c r="I13" i="16" s="1"/>
  <c r="D13" i="16"/>
  <c r="F13" i="16" s="1"/>
  <c r="G13" i="16" s="1"/>
  <c r="Q139" i="26"/>
  <c r="Q137" i="26"/>
  <c r="Y135" i="38"/>
  <c r="Y134" i="38"/>
  <c r="Z135" i="38"/>
  <c r="Z134" i="38"/>
  <c r="R132" i="38"/>
  <c r="A150" i="40"/>
  <c r="B150" i="40" s="1"/>
  <c r="B149" i="40"/>
  <c r="P139" i="28"/>
  <c r="O140" i="28"/>
  <c r="P140" i="28" s="1"/>
  <c r="X120" i="27"/>
  <c r="AB120" i="27" s="1"/>
  <c r="AR119" i="27" s="1"/>
  <c r="H122" i="28"/>
  <c r="H125" i="28" s="1"/>
  <c r="F125" i="28"/>
  <c r="H122" i="40"/>
  <c r="H125" i="40" s="1"/>
  <c r="F125" i="40"/>
  <c r="V124" i="27"/>
  <c r="T124" i="27"/>
  <c r="H7" i="10"/>
  <c r="I7" i="10" s="1"/>
  <c r="D7" i="10"/>
  <c r="F7" i="10" s="1"/>
  <c r="AE84" i="43"/>
  <c r="AG84" i="43" s="1"/>
  <c r="AE88" i="43"/>
  <c r="R83" i="43"/>
  <c r="D84" i="43"/>
  <c r="V122" i="34"/>
  <c r="V125" i="34" s="1"/>
  <c r="T122" i="34"/>
  <c r="T125" i="34" s="1"/>
  <c r="X124" i="34" s="1"/>
  <c r="AB124" i="34" s="1"/>
  <c r="AL150" i="30"/>
  <c r="AH150" i="30"/>
  <c r="AI147" i="30"/>
  <c r="AL149" i="30"/>
  <c r="AH149" i="30"/>
  <c r="V124" i="43"/>
  <c r="T124" i="43"/>
  <c r="AE55" i="38"/>
  <c r="AI54" i="38" s="1"/>
  <c r="D138" i="40"/>
  <c r="F138" i="40" s="1"/>
  <c r="C137" i="40"/>
  <c r="G138" i="40"/>
  <c r="AG60" i="39"/>
  <c r="H10" i="13"/>
  <c r="I10" i="13" s="1"/>
  <c r="D10" i="13"/>
  <c r="F10" i="13" s="1"/>
  <c r="G10" i="13" s="1"/>
  <c r="K134" i="38"/>
  <c r="L135" i="38"/>
  <c r="G132" i="38"/>
  <c r="K135" i="38"/>
  <c r="L134" i="38"/>
  <c r="D132" i="38"/>
  <c r="V127" i="47"/>
  <c r="V130" i="47" s="1"/>
  <c r="T127" i="47"/>
  <c r="T130" i="47" s="1"/>
  <c r="X129" i="47" s="1"/>
  <c r="AB129" i="47" s="1"/>
  <c r="AJ144" i="44"/>
  <c r="AJ145" i="44"/>
  <c r="C144" i="49"/>
  <c r="C143" i="49"/>
  <c r="V72" i="40"/>
  <c r="T72" i="40"/>
  <c r="O149" i="38"/>
  <c r="P148" i="38"/>
  <c r="Q148" i="38" s="1"/>
  <c r="AV17" i="20"/>
  <c r="V74" i="43"/>
  <c r="V75" i="43" s="1"/>
  <c r="T74" i="43"/>
  <c r="F127" i="34"/>
  <c r="M140" i="42"/>
  <c r="I140" i="42"/>
  <c r="G139" i="42"/>
  <c r="M139" i="42"/>
  <c r="I139" i="42"/>
  <c r="F122" i="36"/>
  <c r="J45" i="37"/>
  <c r="J44" i="37"/>
  <c r="AF10" i="17"/>
  <c r="AF11" i="17" s="1"/>
  <c r="Y135" i="41"/>
  <c r="Y134" i="41"/>
  <c r="Z135" i="41"/>
  <c r="Z134" i="41"/>
  <c r="R132" i="41"/>
  <c r="H18" i="21"/>
  <c r="I18" i="21" s="1"/>
  <c r="D18" i="21"/>
  <c r="F18" i="21" s="1"/>
  <c r="G18" i="21" s="1"/>
  <c r="AL149" i="42"/>
  <c r="AH149" i="42"/>
  <c r="AL150" i="42"/>
  <c r="AH150" i="42"/>
  <c r="AI147" i="42"/>
  <c r="Q137" i="35"/>
  <c r="Q139" i="35"/>
  <c r="J89" i="46"/>
  <c r="J69" i="42"/>
  <c r="O148" i="27"/>
  <c r="P147" i="27"/>
  <c r="V124" i="40"/>
  <c r="T124" i="40"/>
  <c r="Z135" i="48"/>
  <c r="Z134" i="48"/>
  <c r="R132" i="48"/>
  <c r="Y135" i="48"/>
  <c r="Y134" i="48"/>
  <c r="AA145" i="42"/>
  <c r="AO145" i="42" s="1"/>
  <c r="AP145" i="42" s="1"/>
  <c r="W145" i="42"/>
  <c r="AA144" i="42"/>
  <c r="AO144" i="42" s="1"/>
  <c r="AP144" i="42" s="1"/>
  <c r="W144" i="42"/>
  <c r="V129" i="30"/>
  <c r="T129" i="30"/>
  <c r="F127" i="50"/>
  <c r="C132" i="36"/>
  <c r="G133" i="36"/>
  <c r="D133" i="36"/>
  <c r="F133" i="36" s="1"/>
  <c r="M139" i="27"/>
  <c r="I139" i="27"/>
  <c r="M140" i="27"/>
  <c r="I140" i="27"/>
  <c r="G139" i="27"/>
  <c r="F127" i="35"/>
  <c r="F72" i="39"/>
  <c r="V54" i="39"/>
  <c r="V55" i="39" s="1"/>
  <c r="T54" i="39"/>
  <c r="T55" i="39" s="1"/>
  <c r="X54" i="39" s="1"/>
  <c r="J42" i="36"/>
  <c r="F127" i="38"/>
  <c r="Q132" i="40"/>
  <c r="Q134" i="40"/>
  <c r="F74" i="42"/>
  <c r="J72" i="42"/>
  <c r="V38" i="35"/>
  <c r="T38" i="35"/>
  <c r="A149" i="26"/>
  <c r="B148" i="26"/>
  <c r="M140" i="38"/>
  <c r="I140" i="38"/>
  <c r="G139" i="38"/>
  <c r="M139" i="38"/>
  <c r="I139" i="38"/>
  <c r="AJ149" i="32"/>
  <c r="AJ150" i="32"/>
  <c r="F127" i="41"/>
  <c r="T129" i="38"/>
  <c r="V129" i="38"/>
  <c r="AF8" i="15"/>
  <c r="V122" i="43"/>
  <c r="V125" i="43" s="1"/>
  <c r="T122" i="43"/>
  <c r="T125" i="43" s="1"/>
  <c r="X124" i="43" s="1"/>
  <c r="AB124" i="43" s="1"/>
  <c r="AA145" i="38"/>
  <c r="AO145" i="38" s="1"/>
  <c r="AP145" i="38" s="1"/>
  <c r="W145" i="38"/>
  <c r="AA144" i="38"/>
  <c r="AO144" i="38" s="1"/>
  <c r="AP144" i="38" s="1"/>
  <c r="W144" i="38"/>
  <c r="F127" i="29"/>
  <c r="T88" i="45"/>
  <c r="V88" i="45"/>
  <c r="D138" i="28"/>
  <c r="F138" i="28" s="1"/>
  <c r="C137" i="28"/>
  <c r="G138" i="28"/>
  <c r="Z130" i="43"/>
  <c r="Z129" i="43"/>
  <c r="R127" i="43"/>
  <c r="Y130" i="43"/>
  <c r="Y129" i="43"/>
  <c r="C137" i="47"/>
  <c r="D138" i="47"/>
  <c r="F138" i="47" s="1"/>
  <c r="G138" i="47"/>
  <c r="O148" i="37"/>
  <c r="P147" i="37"/>
  <c r="AC149" i="41"/>
  <c r="AD149" i="41" s="1"/>
  <c r="AD148" i="41"/>
  <c r="A150" i="35"/>
  <c r="B150" i="35" s="1"/>
  <c r="B149" i="35"/>
  <c r="A145" i="43"/>
  <c r="B145" i="43" s="1"/>
  <c r="B144" i="43"/>
  <c r="O149" i="29"/>
  <c r="P148" i="29"/>
  <c r="Q148" i="29" s="1"/>
  <c r="Z130" i="40"/>
  <c r="Z129" i="40"/>
  <c r="R127" i="40"/>
  <c r="Y130" i="40"/>
  <c r="Y129" i="40"/>
  <c r="H12" i="15"/>
  <c r="I12" i="15" s="1"/>
  <c r="D12" i="15"/>
  <c r="F12" i="15" s="1"/>
  <c r="AF4" i="11"/>
  <c r="AF5" i="11" s="1"/>
  <c r="K134" i="47"/>
  <c r="K135" i="47"/>
  <c r="L134" i="47"/>
  <c r="D132" i="47"/>
  <c r="G132" i="47"/>
  <c r="L135" i="47"/>
  <c r="AE44" i="35"/>
  <c r="AG44" i="35" s="1"/>
  <c r="AE48" i="35"/>
  <c r="R43" i="35"/>
  <c r="D44" i="35"/>
  <c r="D48" i="35"/>
  <c r="F48" i="35" s="1"/>
  <c r="H48" i="35" s="1"/>
  <c r="AJ145" i="47"/>
  <c r="AJ144" i="47"/>
  <c r="A149" i="45"/>
  <c r="B148" i="45"/>
  <c r="AI45" i="37"/>
  <c r="H64" i="41"/>
  <c r="H65" i="41" s="1"/>
  <c r="J65" i="41" s="1"/>
  <c r="F65" i="41"/>
  <c r="J64" i="41" s="1"/>
  <c r="AV6" i="61"/>
  <c r="AP6" i="8"/>
  <c r="B6" i="8"/>
  <c r="C21" i="48"/>
  <c r="C137" i="41"/>
  <c r="G138" i="41"/>
  <c r="D138" i="41"/>
  <c r="F138" i="41" s="1"/>
  <c r="A145" i="26"/>
  <c r="B145" i="26" s="1"/>
  <c r="B144" i="26"/>
  <c r="M155" i="59"/>
  <c r="M156" i="59"/>
  <c r="G155" i="59"/>
  <c r="P143" i="27"/>
  <c r="Q143" i="27" s="1"/>
  <c r="O144" i="27"/>
  <c r="K135" i="49"/>
  <c r="L134" i="49"/>
  <c r="D132" i="49"/>
  <c r="K134" i="49"/>
  <c r="L135" i="49"/>
  <c r="G132" i="49"/>
  <c r="O144" i="45"/>
  <c r="P143" i="45"/>
  <c r="Q143" i="45" s="1"/>
  <c r="AV20" i="23"/>
  <c r="D138" i="34"/>
  <c r="F138" i="34" s="1"/>
  <c r="C137" i="34"/>
  <c r="G138" i="34"/>
  <c r="V127" i="29"/>
  <c r="V130" i="29" s="1"/>
  <c r="T127" i="29"/>
  <c r="T130" i="29" s="1"/>
  <c r="X129" i="29" s="1"/>
  <c r="AB129" i="29" s="1"/>
  <c r="Q134" i="43"/>
  <c r="Q132" i="43"/>
  <c r="P139" i="37"/>
  <c r="O140" i="37"/>
  <c r="P140" i="37" s="1"/>
  <c r="K129" i="45"/>
  <c r="L130" i="45"/>
  <c r="K130" i="45"/>
  <c r="L129" i="45"/>
  <c r="G127" i="45"/>
  <c r="D127" i="45"/>
  <c r="J55" i="39"/>
  <c r="F38" i="34"/>
  <c r="V68" i="41"/>
  <c r="T68" i="41"/>
  <c r="V129" i="26"/>
  <c r="T129" i="26"/>
  <c r="A150" i="27"/>
  <c r="B150" i="27" s="1"/>
  <c r="B149" i="27"/>
  <c r="AR119" i="38"/>
  <c r="AV15" i="18"/>
  <c r="G4" i="9"/>
  <c r="AA140" i="45"/>
  <c r="AO140" i="45" s="1"/>
  <c r="AP140" i="45" s="1"/>
  <c r="W139" i="45"/>
  <c r="W140" i="45"/>
  <c r="AA139" i="45"/>
  <c r="AO139" i="45" s="1"/>
  <c r="AP139" i="45" s="1"/>
  <c r="A150" i="28"/>
  <c r="B150" i="28" s="1"/>
  <c r="B149" i="28"/>
  <c r="Q134" i="31"/>
  <c r="Q132" i="31"/>
  <c r="G133" i="26"/>
  <c r="D133" i="26"/>
  <c r="F133" i="26" s="1"/>
  <c r="C132" i="26"/>
  <c r="X127" i="27"/>
  <c r="R129" i="27"/>
  <c r="F127" i="44"/>
  <c r="V122" i="37"/>
  <c r="V125" i="37" s="1"/>
  <c r="T122" i="37"/>
  <c r="T125" i="37" s="1"/>
  <c r="X124" i="37" s="1"/>
  <c r="AB124" i="37" s="1"/>
  <c r="J47" i="37"/>
  <c r="AE70" i="41"/>
  <c r="AI69" i="41" s="1"/>
  <c r="Q139" i="36"/>
  <c r="Q137" i="36"/>
  <c r="D4" i="7"/>
  <c r="H4" i="7"/>
  <c r="I4" i="7" s="1"/>
  <c r="AW5" i="61"/>
  <c r="C22" i="49"/>
  <c r="AP5" i="7"/>
  <c r="Y4" i="7" s="1"/>
  <c r="B5" i="7"/>
  <c r="M134" i="48"/>
  <c r="I134" i="48"/>
  <c r="M135" i="48"/>
  <c r="I135" i="48"/>
  <c r="G134" i="48"/>
  <c r="H47" i="36"/>
  <c r="O145" i="48"/>
  <c r="P145" i="48" s="1"/>
  <c r="P144" i="48"/>
  <c r="J37" i="35"/>
  <c r="K135" i="27"/>
  <c r="L134" i="27"/>
  <c r="D132" i="27"/>
  <c r="K134" i="27"/>
  <c r="L135" i="27"/>
  <c r="G132" i="27"/>
  <c r="A145" i="48"/>
  <c r="B145" i="48" s="1"/>
  <c r="B144" i="48"/>
  <c r="AR39" i="39"/>
  <c r="AT39" i="39" s="1"/>
  <c r="D6" i="39" s="1"/>
  <c r="H16" i="53"/>
  <c r="I16" i="53" s="1"/>
  <c r="D16" i="53"/>
  <c r="F16" i="53" s="1"/>
  <c r="G16" i="53" s="1"/>
  <c r="C139" i="30"/>
  <c r="C138" i="30"/>
  <c r="O145" i="29"/>
  <c r="P145" i="29" s="1"/>
  <c r="P144" i="29"/>
  <c r="AJ149" i="33"/>
  <c r="AJ150" i="33"/>
  <c r="AG48" i="36"/>
  <c r="C139" i="37"/>
  <c r="C138" i="37"/>
  <c r="AG53" i="37"/>
  <c r="F122" i="48"/>
  <c r="I135" i="39"/>
  <c r="I134" i="39"/>
  <c r="M135" i="39"/>
  <c r="M134" i="39"/>
  <c r="G134" i="39"/>
  <c r="AL144" i="29"/>
  <c r="AH144" i="29"/>
  <c r="AL145" i="29"/>
  <c r="AH145" i="29"/>
  <c r="AI142" i="29"/>
  <c r="AF13" i="19"/>
  <c r="AF14" i="19" s="1"/>
  <c r="K134" i="42"/>
  <c r="K135" i="42"/>
  <c r="L135" i="42"/>
  <c r="G132" i="42"/>
  <c r="L134" i="42"/>
  <c r="D132" i="42"/>
  <c r="O144" i="46"/>
  <c r="P143" i="46"/>
  <c r="Q143" i="46" s="1"/>
  <c r="F127" i="28"/>
  <c r="Z135" i="30"/>
  <c r="Z134" i="30"/>
  <c r="R132" i="30"/>
  <c r="Y135" i="30"/>
  <c r="Y134" i="30"/>
  <c r="AV16" i="19"/>
  <c r="Y15" i="53"/>
  <c r="H122" i="42"/>
  <c r="H125" i="42" s="1"/>
  <c r="F125" i="42"/>
  <c r="A149" i="39"/>
  <c r="B148" i="39"/>
  <c r="O140" i="33"/>
  <c r="P140" i="33" s="1"/>
  <c r="P139" i="33"/>
  <c r="X10" i="15"/>
  <c r="AA10" i="15"/>
  <c r="A149" i="48"/>
  <c r="B148" i="48"/>
  <c r="M139" i="49"/>
  <c r="I139" i="49"/>
  <c r="M140" i="49"/>
  <c r="I140" i="49"/>
  <c r="G139" i="49"/>
  <c r="X127" i="44"/>
  <c r="R129" i="44"/>
  <c r="T129" i="36"/>
  <c r="V129" i="36"/>
  <c r="F127" i="32"/>
  <c r="C143" i="38"/>
  <c r="C144" i="38"/>
  <c r="AV8" i="11"/>
  <c r="AI147" i="34"/>
  <c r="AL149" i="34"/>
  <c r="AH149" i="34"/>
  <c r="AL150" i="34"/>
  <c r="AH150" i="34"/>
  <c r="O149" i="47"/>
  <c r="P148" i="47"/>
  <c r="Q148" i="47" s="1"/>
  <c r="X45" i="38"/>
  <c r="V127" i="41"/>
  <c r="V130" i="41" s="1"/>
  <c r="T127" i="41"/>
  <c r="T130" i="41" s="1"/>
  <c r="X129" i="41" s="1"/>
  <c r="AB129" i="41" s="1"/>
  <c r="C137" i="35"/>
  <c r="G138" i="35"/>
  <c r="D138" i="35"/>
  <c r="F138" i="35" s="1"/>
  <c r="O148" i="44"/>
  <c r="P147" i="44"/>
  <c r="AV21" i="24"/>
  <c r="F9" i="13"/>
  <c r="H14" i="17"/>
  <c r="I14" i="17" s="1"/>
  <c r="D14" i="17"/>
  <c r="F14" i="17" s="1"/>
  <c r="G14" i="17" s="1"/>
  <c r="X127" i="28"/>
  <c r="R129" i="28"/>
  <c r="G133" i="30"/>
  <c r="D133" i="30"/>
  <c r="F133" i="30" s="1"/>
  <c r="C132" i="30"/>
  <c r="V129" i="47"/>
  <c r="T129" i="47"/>
  <c r="C144" i="44"/>
  <c r="C143" i="44"/>
  <c r="D138" i="33"/>
  <c r="F138" i="33" s="1"/>
  <c r="C137" i="33"/>
  <c r="G138" i="33"/>
  <c r="H133" i="41"/>
  <c r="AE80" i="43"/>
  <c r="AI79" i="43" s="1"/>
  <c r="F62" i="38"/>
  <c r="AG58" i="38"/>
  <c r="AR125" i="41"/>
  <c r="AR124" i="26"/>
  <c r="F122" i="39"/>
  <c r="M139" i="44"/>
  <c r="I139" i="44"/>
  <c r="M140" i="44"/>
  <c r="I140" i="44"/>
  <c r="G139" i="44"/>
  <c r="V43" i="36"/>
  <c r="T43" i="36"/>
  <c r="V149" i="32"/>
  <c r="T149" i="32"/>
  <c r="H133" i="35"/>
  <c r="X120" i="46"/>
  <c r="AB120" i="46" s="1"/>
  <c r="AR120" i="46" s="1"/>
  <c r="V124" i="37"/>
  <c r="T124" i="37"/>
  <c r="X144" i="59"/>
  <c r="AB144" i="59" s="1"/>
  <c r="AT144" i="59" s="1"/>
  <c r="F50" i="37"/>
  <c r="F122" i="26"/>
  <c r="AJ149" i="31"/>
  <c r="AJ150" i="31"/>
  <c r="R129" i="39"/>
  <c r="X127" i="39"/>
  <c r="Z156" i="59"/>
  <c r="W155" i="59"/>
  <c r="Y156" i="59"/>
  <c r="Z155" i="59"/>
  <c r="Y155" i="59"/>
  <c r="W156" i="59"/>
  <c r="R153" i="59"/>
  <c r="F57" i="37"/>
  <c r="T48" i="37"/>
  <c r="T50" i="37" s="1"/>
  <c r="X49" i="37" s="1"/>
  <c r="V48" i="37"/>
  <c r="V50" i="37" s="1"/>
  <c r="F4" i="8"/>
  <c r="AR10" i="61"/>
  <c r="B10" i="12"/>
  <c r="C17" i="44"/>
  <c r="AE94" i="44" s="1"/>
  <c r="AG94" i="44" s="1"/>
  <c r="AP10" i="12"/>
  <c r="AA140" i="44"/>
  <c r="AO140" i="44" s="1"/>
  <c r="AP140" i="44" s="1"/>
  <c r="W140" i="44"/>
  <c r="AA139" i="44"/>
  <c r="AO139" i="44" s="1"/>
  <c r="AP139" i="44" s="1"/>
  <c r="W139" i="44"/>
  <c r="AG45" i="36"/>
  <c r="A145" i="46"/>
  <c r="B145" i="46" s="1"/>
  <c r="B144" i="46"/>
  <c r="AJ145" i="38"/>
  <c r="AJ144" i="38"/>
  <c r="O168" i="59"/>
  <c r="P168" i="59" s="1"/>
  <c r="P167" i="59"/>
  <c r="Z130" i="37"/>
  <c r="Z129" i="37"/>
  <c r="R127" i="37"/>
  <c r="Y130" i="37"/>
  <c r="Y129" i="37"/>
  <c r="H133" i="32"/>
  <c r="V122" i="40"/>
  <c r="V125" i="40" s="1"/>
  <c r="T122" i="40"/>
  <c r="T125" i="40" s="1"/>
  <c r="X124" i="40" s="1"/>
  <c r="AB124" i="40" s="1"/>
  <c r="H122" i="38"/>
  <c r="H125" i="38" s="1"/>
  <c r="F125" i="38"/>
  <c r="H133" i="33"/>
  <c r="D138" i="50"/>
  <c r="F138" i="50" s="1"/>
  <c r="C137" i="50"/>
  <c r="G138" i="50"/>
  <c r="O145" i="47"/>
  <c r="P145" i="47" s="1"/>
  <c r="P144" i="47"/>
  <c r="H6" i="9"/>
  <c r="I6" i="9" s="1"/>
  <c r="D6" i="9"/>
  <c r="F6" i="9" s="1"/>
  <c r="G6" i="9" s="1"/>
  <c r="H45" i="36"/>
  <c r="F122" i="43"/>
  <c r="AJ145" i="35"/>
  <c r="AJ144" i="35"/>
  <c r="P143" i="43"/>
  <c r="Q143" i="43" s="1"/>
  <c r="O144" i="43"/>
  <c r="AN14" i="61"/>
  <c r="C13" i="40"/>
  <c r="B14" i="16"/>
  <c r="AP14" i="16"/>
  <c r="F141" i="59"/>
  <c r="A145" i="37"/>
  <c r="B145" i="37" s="1"/>
  <c r="B144" i="37"/>
  <c r="AJ149" i="49"/>
  <c r="AJ150" i="49"/>
  <c r="Q137" i="29"/>
  <c r="Q139" i="29"/>
  <c r="T127" i="36"/>
  <c r="T130" i="36" s="1"/>
  <c r="X129" i="36" s="1"/>
  <c r="AB129" i="36" s="1"/>
  <c r="V127" i="36"/>
  <c r="V130" i="36" s="1"/>
  <c r="AV7" i="10"/>
  <c r="H11" i="14"/>
  <c r="I11" i="14" s="1"/>
  <c r="D11" i="14"/>
  <c r="F11" i="14" s="1"/>
  <c r="G11" i="14" s="1"/>
  <c r="C138" i="45"/>
  <c r="C139" i="45"/>
  <c r="AR120" i="39"/>
  <c r="AR119" i="39"/>
  <c r="AA145" i="35"/>
  <c r="AO145" i="35" s="1"/>
  <c r="AP145" i="35" s="1"/>
  <c r="W145" i="35"/>
  <c r="AA144" i="35"/>
  <c r="AO144" i="35" s="1"/>
  <c r="AP144" i="35" s="1"/>
  <c r="W144" i="35"/>
  <c r="T129" i="41"/>
  <c r="V129" i="41"/>
  <c r="M140" i="40"/>
  <c r="I140" i="40"/>
  <c r="G139" i="40"/>
  <c r="M139" i="40"/>
  <c r="I139" i="40"/>
  <c r="AV10" i="13"/>
  <c r="G13" i="17"/>
  <c r="O140" i="49"/>
  <c r="P140" i="49" s="1"/>
  <c r="P139" i="49"/>
  <c r="AJ149" i="36"/>
  <c r="AJ150" i="36"/>
  <c r="AL145" i="44"/>
  <c r="AH145" i="44"/>
  <c r="AI142" i="44"/>
  <c r="AL144" i="44"/>
  <c r="AH144" i="44"/>
  <c r="V122" i="28"/>
  <c r="V125" i="28" s="1"/>
  <c r="T122" i="28"/>
  <c r="T125" i="28" s="1"/>
  <c r="X124" i="28" s="1"/>
  <c r="AB124" i="28" s="1"/>
  <c r="V124" i="46"/>
  <c r="T124" i="46"/>
  <c r="AG68" i="40"/>
  <c r="X120" i="31"/>
  <c r="AB120" i="31" s="1"/>
  <c r="AR119" i="31" s="1"/>
  <c r="AB40" i="38"/>
  <c r="AR39" i="38" s="1"/>
  <c r="AT39" i="38" s="1"/>
  <c r="D6" i="38" s="1"/>
  <c r="H122" i="50"/>
  <c r="H125" i="50" s="1"/>
  <c r="F125" i="50"/>
  <c r="AE54" i="37"/>
  <c r="AG54" i="37" s="1"/>
  <c r="AE58" i="37"/>
  <c r="R53" i="37"/>
  <c r="D54" i="37"/>
  <c r="D58" i="37"/>
  <c r="F58" i="37" s="1"/>
  <c r="H58" i="37" s="1"/>
  <c r="R57" i="37"/>
  <c r="D62" i="37"/>
  <c r="P143" i="33"/>
  <c r="Q143" i="33" s="1"/>
  <c r="O144" i="33"/>
  <c r="T78" i="43"/>
  <c r="V78" i="43"/>
  <c r="AJ149" i="27"/>
  <c r="AJ150" i="27"/>
  <c r="AG15" i="21"/>
  <c r="X1" i="21"/>
  <c r="V147" i="32"/>
  <c r="V150" i="32" s="1"/>
  <c r="T147" i="32"/>
  <c r="T150" i="32" s="1"/>
  <c r="X149" i="32" s="1"/>
  <c r="AB149" i="32" s="1"/>
  <c r="C143" i="42"/>
  <c r="C144" i="42"/>
  <c r="I150" i="59"/>
  <c r="L149" i="59"/>
  <c r="G147" i="59"/>
  <c r="L150" i="59"/>
  <c r="K149" i="59"/>
  <c r="K150" i="59"/>
  <c r="D147" i="59"/>
  <c r="I149" i="59"/>
  <c r="O144" i="40"/>
  <c r="P143" i="40"/>
  <c r="Q143" i="40" s="1"/>
  <c r="C137" i="42"/>
  <c r="G138" i="42"/>
  <c r="D138" i="42"/>
  <c r="F138" i="42" s="1"/>
  <c r="AI19" i="61"/>
  <c r="B19" i="21"/>
  <c r="AP19" i="21"/>
  <c r="C8" i="35"/>
  <c r="AF14" i="53"/>
  <c r="V127" i="35"/>
  <c r="V130" i="35" s="1"/>
  <c r="T127" i="35"/>
  <c r="T130" i="35" s="1"/>
  <c r="X129" i="35" s="1"/>
  <c r="AB129" i="35" s="1"/>
  <c r="X120" i="40"/>
  <c r="AB120" i="40" s="1"/>
  <c r="AR120" i="40" s="1"/>
  <c r="O144" i="50"/>
  <c r="P143" i="50"/>
  <c r="Q143" i="50" s="1"/>
  <c r="R134" i="48"/>
  <c r="X132" i="48"/>
  <c r="O145" i="42"/>
  <c r="P145" i="42" s="1"/>
  <c r="P144" i="42"/>
  <c r="O145" i="26"/>
  <c r="P145" i="26" s="1"/>
  <c r="P144" i="26"/>
  <c r="D133" i="46"/>
  <c r="F133" i="46" s="1"/>
  <c r="C132" i="46"/>
  <c r="G133" i="46"/>
  <c r="L130" i="43"/>
  <c r="G127" i="43"/>
  <c r="K130" i="43"/>
  <c r="L129" i="43"/>
  <c r="D127" i="43"/>
  <c r="K129" i="43"/>
  <c r="V62" i="39"/>
  <c r="T62" i="39"/>
  <c r="V58" i="39"/>
  <c r="T58" i="39"/>
  <c r="H133" i="29"/>
  <c r="H122" i="32"/>
  <c r="H125" i="32" s="1"/>
  <c r="F125" i="32"/>
  <c r="V64" i="42"/>
  <c r="V65" i="42" s="1"/>
  <c r="T64" i="42"/>
  <c r="T65" i="42" s="1"/>
  <c r="X64" i="42" s="1"/>
  <c r="P148" i="36"/>
  <c r="Q148" i="36" s="1"/>
  <c r="O149" i="36"/>
  <c r="V42" i="35"/>
  <c r="T42" i="35"/>
  <c r="A150" i="47"/>
  <c r="B150" i="47" s="1"/>
  <c r="B149" i="47"/>
  <c r="C137" i="38"/>
  <c r="G138" i="38"/>
  <c r="D138" i="38"/>
  <c r="F138" i="38" s="1"/>
  <c r="AL150" i="32"/>
  <c r="AH150" i="32"/>
  <c r="AI147" i="32"/>
  <c r="AL149" i="32"/>
  <c r="AH149" i="32"/>
  <c r="T122" i="27"/>
  <c r="T125" i="27" s="1"/>
  <c r="X124" i="27" s="1"/>
  <c r="AB124" i="27" s="1"/>
  <c r="V122" i="27"/>
  <c r="V125" i="27" s="1"/>
  <c r="X129" i="38"/>
  <c r="AB129" i="38" s="1"/>
  <c r="X127" i="45"/>
  <c r="R129" i="45"/>
  <c r="O145" i="38"/>
  <c r="P145" i="38" s="1"/>
  <c r="P144" i="38"/>
  <c r="F127" i="31"/>
  <c r="H122" i="41"/>
  <c r="H125" i="41" s="1"/>
  <c r="F125" i="41"/>
  <c r="F89" i="45"/>
  <c r="J87" i="45"/>
  <c r="M140" i="28"/>
  <c r="I140" i="28"/>
  <c r="G139" i="28"/>
  <c r="M139" i="28"/>
  <c r="I139" i="28"/>
  <c r="C144" i="50"/>
  <c r="C143" i="50"/>
  <c r="R129" i="43"/>
  <c r="X127" i="43"/>
  <c r="AL174" i="59"/>
  <c r="AL173" i="59"/>
  <c r="AJ145" i="41"/>
  <c r="AJ144" i="41"/>
  <c r="O149" i="35"/>
  <c r="P148" i="35"/>
  <c r="Q148" i="35" s="1"/>
  <c r="Q134" i="49"/>
  <c r="Q132" i="49"/>
  <c r="AO13" i="61"/>
  <c r="B13" i="15"/>
  <c r="C14" i="41"/>
  <c r="R69" i="41" s="1"/>
  <c r="AP13" i="15"/>
  <c r="Y12" i="15" s="1"/>
  <c r="AH20" i="61"/>
  <c r="B20" i="22"/>
  <c r="AP20" i="22"/>
  <c r="C7" i="34"/>
  <c r="A150" i="33"/>
  <c r="B150" i="33" s="1"/>
  <c r="B149" i="33"/>
  <c r="AL144" i="47"/>
  <c r="AH144" i="47"/>
  <c r="AL145" i="47"/>
  <c r="AH145" i="47"/>
  <c r="AI142" i="47"/>
  <c r="L134" i="28"/>
  <c r="D132" i="28"/>
  <c r="K134" i="28"/>
  <c r="L135" i="28"/>
  <c r="G132" i="28"/>
  <c r="K135" i="28"/>
  <c r="C139" i="48"/>
  <c r="C138" i="48"/>
  <c r="D138" i="31"/>
  <c r="F138" i="31" s="1"/>
  <c r="C137" i="31"/>
  <c r="G138" i="31"/>
  <c r="Q139" i="48"/>
  <c r="Q137" i="48"/>
  <c r="H5" i="8"/>
  <c r="I5" i="8" s="1"/>
  <c r="D5" i="8"/>
  <c r="F5" i="8" s="1"/>
  <c r="G5" i="8" s="1"/>
  <c r="AA4" i="8"/>
  <c r="AJ150" i="50"/>
  <c r="AJ149" i="50"/>
  <c r="T129" i="35"/>
  <c r="V129" i="35"/>
  <c r="A145" i="39"/>
  <c r="B145" i="39" s="1"/>
  <c r="B144" i="39"/>
  <c r="O148" i="34"/>
  <c r="P147" i="34"/>
  <c r="H128" i="36"/>
  <c r="C139" i="43"/>
  <c r="C138" i="43"/>
  <c r="P143" i="49"/>
  <c r="Q143" i="49" s="1"/>
  <c r="O144" i="49"/>
  <c r="F127" i="40"/>
  <c r="T122" i="45"/>
  <c r="T125" i="45" s="1"/>
  <c r="X124" i="45" s="1"/>
  <c r="AB124" i="45" s="1"/>
  <c r="V122" i="45"/>
  <c r="V125" i="45" s="1"/>
  <c r="C153" i="59"/>
  <c r="G154" i="59"/>
  <c r="D154" i="59"/>
  <c r="F154" i="59" s="1"/>
  <c r="Q134" i="33"/>
  <c r="Q132" i="33"/>
  <c r="T124" i="45"/>
  <c r="V124" i="45"/>
  <c r="C139" i="26"/>
  <c r="C138" i="26"/>
  <c r="L134" i="50"/>
  <c r="D132" i="50"/>
  <c r="K134" i="50"/>
  <c r="L135" i="50"/>
  <c r="G132" i="50"/>
  <c r="K135" i="50"/>
  <c r="AG21" i="61"/>
  <c r="L275" i="66" s="1"/>
  <c r="AP21" i="23"/>
  <c r="B21" i="23"/>
  <c r="C6" i="33"/>
  <c r="M140" i="34"/>
  <c r="I140" i="34"/>
  <c r="G139" i="34"/>
  <c r="M139" i="34"/>
  <c r="I139" i="34"/>
  <c r="AB15" i="23"/>
  <c r="AB9" i="23"/>
  <c r="L129" i="46"/>
  <c r="D127" i="46"/>
  <c r="K129" i="46"/>
  <c r="L130" i="46"/>
  <c r="G127" i="46"/>
  <c r="K130" i="46"/>
  <c r="H60" i="39"/>
  <c r="J60" i="39" s="1"/>
  <c r="AG88" i="44"/>
  <c r="D133" i="37"/>
  <c r="F133" i="37" s="1"/>
  <c r="C132" i="37"/>
  <c r="G133" i="37"/>
  <c r="AG34" i="34"/>
  <c r="AG35" i="34" s="1"/>
  <c r="AE35" i="34"/>
  <c r="AI34" i="34" s="1"/>
  <c r="AM34" i="34" s="1"/>
  <c r="AS34" i="34" s="1"/>
  <c r="AA140" i="40"/>
  <c r="AO140" i="40" s="1"/>
  <c r="AP140" i="40" s="1"/>
  <c r="W140" i="40"/>
  <c r="AA139" i="40"/>
  <c r="AO139" i="40" s="1"/>
  <c r="AP139" i="40" s="1"/>
  <c r="W139" i="40"/>
  <c r="AJ150" i="28"/>
  <c r="AJ149" i="28"/>
  <c r="J80" i="44"/>
  <c r="J79" i="44"/>
  <c r="AE64" i="39"/>
  <c r="AG64" i="39" s="1"/>
  <c r="AE68" i="39"/>
  <c r="R63" i="39"/>
  <c r="R59" i="39"/>
  <c r="D64" i="39"/>
  <c r="F64" i="39" s="1"/>
  <c r="H64" i="39" s="1"/>
  <c r="D73" i="39"/>
  <c r="F73" i="39" s="1"/>
  <c r="H73" i="39" s="1"/>
  <c r="R72" i="39"/>
  <c r="D77" i="39"/>
  <c r="X55" i="40"/>
  <c r="AB55" i="40" s="1"/>
  <c r="O140" i="45"/>
  <c r="P140" i="45" s="1"/>
  <c r="P139" i="45"/>
  <c r="H74" i="43"/>
  <c r="H75" i="43" s="1"/>
  <c r="J75" i="43" s="1"/>
  <c r="F75" i="43"/>
  <c r="J74" i="43" s="1"/>
  <c r="Y135" i="36"/>
  <c r="Y134" i="36"/>
  <c r="Z135" i="36"/>
  <c r="R132" i="36"/>
  <c r="Z134" i="36"/>
  <c r="O148" i="33"/>
  <c r="P147" i="33"/>
  <c r="C144" i="34"/>
  <c r="C143" i="34"/>
  <c r="M134" i="26"/>
  <c r="I134" i="26"/>
  <c r="M135" i="26"/>
  <c r="I135" i="26"/>
  <c r="G134" i="26"/>
  <c r="Q134" i="44"/>
  <c r="Q132" i="44"/>
  <c r="W139" i="39"/>
  <c r="W140" i="39"/>
  <c r="AA139" i="39"/>
  <c r="AO139" i="39" s="1"/>
  <c r="AP139" i="39" s="1"/>
  <c r="AA140" i="39"/>
  <c r="AO140" i="39" s="1"/>
  <c r="AP140" i="39" s="1"/>
  <c r="V122" i="39"/>
  <c r="V125" i="39" s="1"/>
  <c r="T122" i="39"/>
  <c r="T125" i="39" s="1"/>
  <c r="X124" i="39" s="1"/>
  <c r="AB124" i="39" s="1"/>
  <c r="AV4" i="7"/>
  <c r="A150" i="34"/>
  <c r="B150" i="34" s="1"/>
  <c r="B149" i="34"/>
  <c r="AA145" i="48"/>
  <c r="AO145" i="48" s="1"/>
  <c r="AP145" i="48" s="1"/>
  <c r="W145" i="48"/>
  <c r="AA144" i="48"/>
  <c r="AO144" i="48" s="1"/>
  <c r="AP144" i="48" s="1"/>
  <c r="W144" i="48"/>
  <c r="H38" i="35"/>
  <c r="H40" i="35" s="1"/>
  <c r="F40" i="35"/>
  <c r="O144" i="34"/>
  <c r="P143" i="34"/>
  <c r="Q143" i="34" s="1"/>
  <c r="AF12" i="18"/>
  <c r="V129" i="48"/>
  <c r="T129" i="48"/>
  <c r="V124" i="31"/>
  <c r="T124" i="31"/>
  <c r="AC149" i="29"/>
  <c r="AD149" i="29" s="1"/>
  <c r="AD148" i="29"/>
  <c r="AL150" i="39"/>
  <c r="AI147" i="39"/>
  <c r="AH149" i="39"/>
  <c r="AL149" i="39"/>
  <c r="AH150" i="39"/>
  <c r="AG4" i="9"/>
  <c r="X132" i="47"/>
  <c r="R134" i="47"/>
  <c r="R134" i="26"/>
  <c r="X132" i="26"/>
  <c r="C144" i="27"/>
  <c r="C143" i="27"/>
  <c r="K134" i="41"/>
  <c r="L135" i="41"/>
  <c r="G132" i="41"/>
  <c r="K135" i="41"/>
  <c r="L134" i="41"/>
  <c r="D132" i="41"/>
  <c r="V53" i="38"/>
  <c r="T53" i="38"/>
  <c r="AA140" i="50"/>
  <c r="AO140" i="50" s="1"/>
  <c r="W140" i="50"/>
  <c r="AA139" i="50"/>
  <c r="AO139" i="50" s="1"/>
  <c r="W139" i="50"/>
  <c r="Z130" i="31"/>
  <c r="Z129" i="31"/>
  <c r="R127" i="31"/>
  <c r="Y130" i="31"/>
  <c r="Y129" i="31"/>
  <c r="Z130" i="50"/>
  <c r="Z129" i="50"/>
  <c r="R127" i="50"/>
  <c r="Y130" i="50"/>
  <c r="Y129" i="50"/>
  <c r="A150" i="44"/>
  <c r="B150" i="44" s="1"/>
  <c r="B149" i="44"/>
  <c r="Q137" i="42"/>
  <c r="Q139" i="42"/>
  <c r="AR125" i="36"/>
  <c r="J85" i="45"/>
  <c r="AJ150" i="39"/>
  <c r="AJ149" i="39"/>
  <c r="T122" i="44"/>
  <c r="T125" i="44" s="1"/>
  <c r="X124" i="44" s="1"/>
  <c r="AB124" i="44" s="1"/>
  <c r="V122" i="44"/>
  <c r="V125" i="44" s="1"/>
  <c r="R134" i="30"/>
  <c r="X132" i="30"/>
  <c r="R58" i="38"/>
  <c r="AE59" i="38"/>
  <c r="AG59" i="38" s="1"/>
  <c r="AE63" i="38"/>
  <c r="R54" i="38"/>
  <c r="D59" i="38"/>
  <c r="F59" i="38" s="1"/>
  <c r="H59" i="38" s="1"/>
  <c r="D63" i="38"/>
  <c r="F63" i="38" s="1"/>
  <c r="H63" i="38" s="1"/>
  <c r="R62" i="38"/>
  <c r="J40" i="36"/>
  <c r="N40" i="36" s="1"/>
  <c r="AQ40" i="36" s="1"/>
  <c r="J39" i="36"/>
  <c r="N39" i="36" s="1"/>
  <c r="AQ39" i="36" s="1"/>
  <c r="F122" i="45"/>
  <c r="AA140" i="33"/>
  <c r="AO140" i="33" s="1"/>
  <c r="AP140" i="33" s="1"/>
  <c r="W140" i="33"/>
  <c r="AA139" i="33"/>
  <c r="AO139" i="33" s="1"/>
  <c r="AP139" i="33" s="1"/>
  <c r="W139" i="33"/>
  <c r="T129" i="29"/>
  <c r="V129" i="29"/>
  <c r="H8" i="11"/>
  <c r="I8" i="11" s="1"/>
  <c r="D8" i="11"/>
  <c r="F8" i="11" s="1"/>
  <c r="G8" i="11" s="1"/>
  <c r="AF7" i="13"/>
  <c r="T124" i="49"/>
  <c r="V124" i="49"/>
  <c r="AA145" i="29"/>
  <c r="AO145" i="29" s="1"/>
  <c r="AP145" i="29" s="1"/>
  <c r="W145" i="29"/>
  <c r="AA144" i="29"/>
  <c r="AO144" i="29" s="1"/>
  <c r="AP144" i="29" s="1"/>
  <c r="W144" i="29"/>
  <c r="M135" i="45"/>
  <c r="I135" i="45"/>
  <c r="G134" i="45"/>
  <c r="M134" i="45"/>
  <c r="I134" i="45"/>
  <c r="AF22" i="61"/>
  <c r="C5" i="32"/>
  <c r="B22" i="24"/>
  <c r="AP22" i="24"/>
  <c r="AE69" i="40"/>
  <c r="AG69" i="40" s="1"/>
  <c r="AE73" i="40"/>
  <c r="D69" i="40"/>
  <c r="R68" i="40"/>
  <c r="Z130" i="28"/>
  <c r="Z129" i="28"/>
  <c r="R127" i="28"/>
  <c r="Y130" i="28"/>
  <c r="Y129" i="28"/>
  <c r="C144" i="28"/>
  <c r="C143" i="28"/>
  <c r="V127" i="26"/>
  <c r="V130" i="26" s="1"/>
  <c r="T127" i="26"/>
  <c r="T130" i="26" s="1"/>
  <c r="X129" i="26" s="1"/>
  <c r="AB129" i="26" s="1"/>
  <c r="M134" i="30"/>
  <c r="I134" i="30"/>
  <c r="M135" i="30"/>
  <c r="I135" i="30"/>
  <c r="G134" i="30"/>
  <c r="Z135" i="26"/>
  <c r="Z134" i="26"/>
  <c r="R132" i="26"/>
  <c r="Y135" i="26"/>
  <c r="Y134" i="26"/>
  <c r="X132" i="42"/>
  <c r="R134" i="42"/>
  <c r="A150" i="41"/>
  <c r="B150" i="41" s="1"/>
  <c r="B149" i="41"/>
  <c r="G9" i="14"/>
  <c r="L130" i="48"/>
  <c r="G127" i="48"/>
  <c r="K130" i="48"/>
  <c r="L129" i="48"/>
  <c r="D127" i="48"/>
  <c r="K129" i="48"/>
  <c r="M139" i="33"/>
  <c r="I139" i="33"/>
  <c r="M140" i="33"/>
  <c r="I140" i="33"/>
  <c r="G139" i="33"/>
  <c r="AG80" i="43"/>
  <c r="V57" i="38"/>
  <c r="T57" i="38"/>
  <c r="L130" i="39"/>
  <c r="G127" i="39"/>
  <c r="K129" i="39"/>
  <c r="D127" i="39"/>
  <c r="K130" i="39"/>
  <c r="L129" i="39"/>
  <c r="C143" i="35"/>
  <c r="C144" i="35"/>
  <c r="H50" i="37"/>
  <c r="T127" i="42"/>
  <c r="T130" i="42" s="1"/>
  <c r="X129" i="42" s="1"/>
  <c r="AB129" i="42" s="1"/>
  <c r="V127" i="42"/>
  <c r="V130" i="42" s="1"/>
  <c r="AH150" i="31"/>
  <c r="AI147" i="31"/>
  <c r="AL150" i="31"/>
  <c r="AH149" i="31"/>
  <c r="AL149" i="31"/>
  <c r="Y130" i="39"/>
  <c r="Z129" i="39"/>
  <c r="Z130" i="39"/>
  <c r="Y129" i="39"/>
  <c r="R127" i="39"/>
  <c r="X153" i="59"/>
  <c r="R155" i="59"/>
  <c r="V52" i="37"/>
  <c r="T52" i="37"/>
  <c r="AV9" i="12"/>
  <c r="AJ150" i="37"/>
  <c r="AJ149" i="37"/>
  <c r="G133" i="39"/>
  <c r="D133" i="39"/>
  <c r="F133" i="39" s="1"/>
  <c r="C132" i="39"/>
  <c r="AL144" i="38"/>
  <c r="AH144" i="38"/>
  <c r="AL145" i="38"/>
  <c r="AH145" i="38"/>
  <c r="AI142" i="38"/>
  <c r="H42" i="35"/>
  <c r="C143" i="29"/>
  <c r="C144" i="29"/>
  <c r="X127" i="50"/>
  <c r="R129" i="50"/>
  <c r="C144" i="33"/>
  <c r="C143" i="33"/>
  <c r="A149" i="30"/>
  <c r="B148" i="30"/>
  <c r="C143" i="41"/>
  <c r="C144" i="41"/>
  <c r="M140" i="50"/>
  <c r="I140" i="50"/>
  <c r="G139" i="50"/>
  <c r="M139" i="50"/>
  <c r="I139" i="50"/>
  <c r="L134" i="40"/>
  <c r="D132" i="40"/>
  <c r="K134" i="40"/>
  <c r="L135" i="40"/>
  <c r="G132" i="40"/>
  <c r="K135" i="40"/>
  <c r="AU7" i="61"/>
  <c r="B7" i="9"/>
  <c r="C20" i="47"/>
  <c r="AP7" i="9"/>
  <c r="F45" i="36"/>
  <c r="G138" i="32"/>
  <c r="D138" i="32"/>
  <c r="F138" i="32" s="1"/>
  <c r="C137" i="32"/>
  <c r="AJ150" i="45"/>
  <c r="AJ149" i="45"/>
  <c r="AL144" i="35"/>
  <c r="AH144" i="35"/>
  <c r="AL145" i="35"/>
  <c r="AH145" i="35"/>
  <c r="AI142" i="35"/>
  <c r="AV13" i="16"/>
  <c r="AL150" i="49"/>
  <c r="AH150" i="49"/>
  <c r="AI147" i="49"/>
  <c r="AL149" i="49"/>
  <c r="AH149" i="49"/>
  <c r="A150" i="49"/>
  <c r="B150" i="49" s="1"/>
  <c r="B149" i="49"/>
  <c r="AG6" i="12"/>
  <c r="AT8" i="61"/>
  <c r="B8" i="10"/>
  <c r="C19" i="46"/>
  <c r="AP8" i="10"/>
  <c r="AV11" i="14"/>
  <c r="X13" i="18"/>
  <c r="AA13" i="18"/>
  <c r="AG13" i="18" s="1"/>
  <c r="O145" i="35"/>
  <c r="P145" i="35" s="1"/>
  <c r="P144" i="35"/>
  <c r="F125" i="27"/>
  <c r="H122" i="27"/>
  <c r="H125" i="27" s="1"/>
  <c r="AE89" i="44"/>
  <c r="AG89" i="44" s="1"/>
  <c r="AE93" i="44"/>
  <c r="D89" i="44"/>
  <c r="R88" i="44"/>
  <c r="AA140" i="49"/>
  <c r="AO140" i="49" s="1"/>
  <c r="AP140" i="49" s="1"/>
  <c r="W140" i="49"/>
  <c r="AA139" i="49"/>
  <c r="AO139" i="49" s="1"/>
  <c r="AP139" i="49" s="1"/>
  <c r="W139" i="49"/>
  <c r="AR125" i="42"/>
  <c r="AR124" i="42"/>
  <c r="H133" i="38"/>
  <c r="AL150" i="36"/>
  <c r="AH150" i="36"/>
  <c r="AL149" i="36"/>
  <c r="AH149" i="36"/>
  <c r="AI147" i="36"/>
  <c r="F122" i="30"/>
  <c r="V59" i="40"/>
  <c r="V60" i="40" s="1"/>
  <c r="T59" i="40"/>
  <c r="T60" i="40" s="1"/>
  <c r="X59" i="40" s="1"/>
  <c r="L130" i="30"/>
  <c r="G127" i="30"/>
  <c r="K130" i="30"/>
  <c r="L129" i="30"/>
  <c r="D127" i="30"/>
  <c r="K129" i="30"/>
  <c r="F122" i="37"/>
  <c r="H17" i="20"/>
  <c r="I17" i="20" s="1"/>
  <c r="D17" i="20"/>
  <c r="F17" i="20" s="1"/>
  <c r="G17" i="20" s="1"/>
  <c r="AF8" i="13"/>
  <c r="AG83" i="43"/>
  <c r="AL150" i="27"/>
  <c r="AH150" i="27"/>
  <c r="AI147" i="27"/>
  <c r="AL149" i="27"/>
  <c r="AH149" i="27"/>
  <c r="X120" i="45"/>
  <c r="AB120" i="45" s="1"/>
  <c r="AR119" i="45" s="1"/>
  <c r="C144" i="40"/>
  <c r="C143" i="40"/>
  <c r="H148" i="59"/>
  <c r="Z130" i="49"/>
  <c r="Z129" i="49"/>
  <c r="Y130" i="49"/>
  <c r="Y129" i="49"/>
  <c r="R127" i="49"/>
  <c r="AA140" i="46"/>
  <c r="AO140" i="46" s="1"/>
  <c r="AP140" i="46" s="1"/>
  <c r="W140" i="46"/>
  <c r="AA139" i="46"/>
  <c r="AO139" i="46" s="1"/>
  <c r="AP139" i="46" s="1"/>
  <c r="W139" i="46"/>
  <c r="R48" i="36"/>
  <c r="AE53" i="36"/>
  <c r="AE49" i="36"/>
  <c r="AG49" i="36" s="1"/>
  <c r="D49" i="36"/>
  <c r="F49" i="36" s="1"/>
  <c r="H49" i="36" s="1"/>
  <c r="R44" i="36"/>
  <c r="R52" i="36"/>
  <c r="D57" i="36"/>
  <c r="X127" i="46"/>
  <c r="R129" i="46"/>
  <c r="AI95" i="46"/>
  <c r="J95" i="46"/>
  <c r="N95" i="46" s="1"/>
  <c r="AQ95" i="46" s="1"/>
  <c r="J94" i="46"/>
  <c r="N94" i="46" s="1"/>
  <c r="AQ94" i="46" s="1"/>
  <c r="F127" i="47"/>
  <c r="AA145" i="26"/>
  <c r="AO145" i="26" s="1"/>
  <c r="AP145" i="26" s="1"/>
  <c r="W145" i="26"/>
  <c r="AA144" i="26"/>
  <c r="AO144" i="26" s="1"/>
  <c r="AP144" i="26" s="1"/>
  <c r="W144" i="26"/>
  <c r="AJ149" i="26"/>
  <c r="AJ150" i="26"/>
  <c r="P147" i="39"/>
  <c r="O148" i="39"/>
  <c r="M135" i="46"/>
  <c r="I135" i="46"/>
  <c r="G134" i="46"/>
  <c r="M134" i="46"/>
  <c r="I134" i="46"/>
  <c r="H128" i="43"/>
  <c r="V124" i="33"/>
  <c r="T124" i="33"/>
  <c r="X149" i="59"/>
  <c r="AB149" i="59" s="1"/>
  <c r="AG63" i="39"/>
  <c r="Q134" i="27"/>
  <c r="Q132" i="27"/>
  <c r="AG78" i="42"/>
  <c r="AG43" i="35"/>
  <c r="Z130" i="33"/>
  <c r="Z129" i="33"/>
  <c r="R127" i="33"/>
  <c r="Y130" i="33"/>
  <c r="Y129" i="33"/>
  <c r="F7" i="11"/>
  <c r="V124" i="34"/>
  <c r="T124" i="34"/>
  <c r="X132" i="29"/>
  <c r="R134" i="29"/>
  <c r="Y130" i="45"/>
  <c r="Y129" i="45"/>
  <c r="Z129" i="45"/>
  <c r="Z130" i="45"/>
  <c r="R127" i="45"/>
  <c r="H57" i="38"/>
  <c r="C160" i="59"/>
  <c r="C161" i="59"/>
  <c r="AG98" i="45"/>
  <c r="Y13" i="17"/>
  <c r="X12" i="17" s="1"/>
  <c r="AG4" i="10"/>
  <c r="AN174" i="59"/>
  <c r="AJ174" i="59"/>
  <c r="AN173" i="59"/>
  <c r="AJ173" i="59"/>
  <c r="AK171" i="59"/>
  <c r="F127" i="49"/>
  <c r="P148" i="26"/>
  <c r="Q148" i="26" s="1"/>
  <c r="O149" i="26"/>
  <c r="V124" i="28"/>
  <c r="T124" i="28"/>
  <c r="F127" i="42"/>
  <c r="X132" i="35"/>
  <c r="R134" i="35"/>
  <c r="AL144" i="41"/>
  <c r="AH144" i="41"/>
  <c r="AL145" i="41"/>
  <c r="AH145" i="41"/>
  <c r="AI142" i="41"/>
  <c r="V122" i="50"/>
  <c r="V125" i="50" s="1"/>
  <c r="T122" i="50"/>
  <c r="T125" i="50" s="1"/>
  <c r="X124" i="50" s="1"/>
  <c r="AB124" i="50" s="1"/>
  <c r="H72" i="40"/>
  <c r="H122" i="35"/>
  <c r="H125" i="35" s="1"/>
  <c r="F125" i="35"/>
  <c r="T75" i="43"/>
  <c r="X74" i="43" s="1"/>
  <c r="AV12" i="15"/>
  <c r="AV19" i="22"/>
  <c r="X127" i="34"/>
  <c r="R129" i="34"/>
  <c r="H133" i="28"/>
  <c r="Q161" i="59"/>
  <c r="Q159" i="59"/>
  <c r="M139" i="31"/>
  <c r="I139" i="31"/>
  <c r="M140" i="31"/>
  <c r="I140" i="31"/>
  <c r="G139" i="31"/>
  <c r="H77" i="41"/>
  <c r="AI147" i="50"/>
  <c r="AL149" i="50"/>
  <c r="AH149" i="50"/>
  <c r="AL150" i="50"/>
  <c r="AH150" i="50"/>
  <c r="Q137" i="47"/>
  <c r="Q139" i="47"/>
  <c r="F125" i="47"/>
  <c r="H122" i="47"/>
  <c r="H125" i="47" s="1"/>
  <c r="F122" i="46"/>
  <c r="AG50" i="37"/>
  <c r="AI50" i="37" s="1"/>
  <c r="O145" i="30"/>
  <c r="P145" i="30" s="1"/>
  <c r="P144" i="30"/>
  <c r="L134" i="34"/>
  <c r="D132" i="34"/>
  <c r="K134" i="34"/>
  <c r="L135" i="34"/>
  <c r="G132" i="34"/>
  <c r="K135" i="34"/>
  <c r="Q132" i="28"/>
  <c r="Q134" i="28"/>
  <c r="J62" i="40"/>
  <c r="V127" i="30"/>
  <c r="V130" i="30" s="1"/>
  <c r="T127" i="30"/>
  <c r="T130" i="30" s="1"/>
  <c r="X129" i="30" s="1"/>
  <c r="AB129" i="30" s="1"/>
  <c r="L129" i="37"/>
  <c r="D127" i="37"/>
  <c r="K129" i="37"/>
  <c r="L130" i="37"/>
  <c r="G127" i="37"/>
  <c r="K130" i="37"/>
  <c r="O144" i="39"/>
  <c r="P143" i="39"/>
  <c r="Q143" i="39" s="1"/>
  <c r="AA6" i="11"/>
  <c r="O148" i="46"/>
  <c r="P147" i="46"/>
  <c r="Y5" i="9"/>
  <c r="H133" i="50"/>
  <c r="Y15" i="19"/>
  <c r="Y12" i="16"/>
  <c r="H20" i="23"/>
  <c r="I20" i="23" s="1"/>
  <c r="D20" i="23"/>
  <c r="F20" i="23" s="1"/>
  <c r="G20" i="23" s="1"/>
  <c r="AD11" i="23"/>
  <c r="AD14" i="23"/>
  <c r="AD8" i="23"/>
  <c r="AB8" i="23" s="1"/>
  <c r="AD10" i="23"/>
  <c r="AD12" i="23"/>
  <c r="AD13" i="23"/>
  <c r="AD9" i="23"/>
  <c r="AD7" i="23"/>
  <c r="AB7" i="23" s="1"/>
  <c r="AD6" i="23"/>
  <c r="AB6" i="23" s="1"/>
  <c r="AD16" i="23"/>
  <c r="AD5" i="23"/>
  <c r="AB5" i="23" s="1"/>
  <c r="AD15" i="23"/>
  <c r="AD4" i="23"/>
  <c r="AB4" i="23" s="1"/>
  <c r="AB16" i="23"/>
  <c r="C139" i="39"/>
  <c r="C138" i="39"/>
  <c r="Q132" i="34"/>
  <c r="Q134" i="34"/>
  <c r="H128" i="46"/>
  <c r="F60" i="39"/>
  <c r="J59" i="39" s="1"/>
  <c r="V83" i="44"/>
  <c r="T83" i="44"/>
  <c r="Y7" i="11"/>
  <c r="M135" i="37"/>
  <c r="I135" i="37"/>
  <c r="G134" i="37"/>
  <c r="M134" i="37"/>
  <c r="I134" i="37"/>
  <c r="Y1" i="22"/>
  <c r="H49" i="38"/>
  <c r="H50" i="38" s="1"/>
  <c r="J50" i="38" s="1"/>
  <c r="F50" i="38"/>
  <c r="J49" i="38" s="1"/>
  <c r="Q139" i="30"/>
  <c r="Q137" i="30"/>
  <c r="K135" i="31"/>
  <c r="L134" i="31"/>
  <c r="D132" i="31"/>
  <c r="K134" i="31"/>
  <c r="L135" i="31"/>
  <c r="G132" i="31"/>
  <c r="O145" i="36"/>
  <c r="P145" i="36" s="1"/>
  <c r="P144" i="36"/>
  <c r="F42" i="34"/>
  <c r="V33" i="34"/>
  <c r="T33" i="34"/>
  <c r="AE75" i="41"/>
  <c r="AI74" i="41" s="1"/>
  <c r="AG73" i="41"/>
  <c r="AG75" i="41" s="1"/>
  <c r="O144" i="28"/>
  <c r="P143" i="28"/>
  <c r="Q143" i="28" s="1"/>
  <c r="F125" i="49"/>
  <c r="H122" i="49"/>
  <c r="H125" i="49" s="1"/>
  <c r="O140" i="27"/>
  <c r="P140" i="27" s="1"/>
  <c r="P139" i="27"/>
  <c r="P139" i="40"/>
  <c r="O140" i="40"/>
  <c r="P140" i="40" s="1"/>
  <c r="AI147" i="28"/>
  <c r="AL149" i="28"/>
  <c r="AH149" i="28"/>
  <c r="AL150" i="28"/>
  <c r="AH150" i="28"/>
  <c r="O144" i="37"/>
  <c r="P143" i="37"/>
  <c r="Q143" i="37" s="1"/>
  <c r="Q132" i="50"/>
  <c r="Q134" i="50"/>
  <c r="AL16" i="61"/>
  <c r="B16" i="18"/>
  <c r="AP16" i="18"/>
  <c r="C11" i="38"/>
  <c r="V124" i="50"/>
  <c r="T124" i="50"/>
  <c r="AG65" i="40"/>
  <c r="Q132" i="46"/>
  <c r="Q134" i="46"/>
  <c r="X132" i="36"/>
  <c r="R134" i="36"/>
  <c r="Q132" i="45"/>
  <c r="Q134" i="45"/>
  <c r="AF9" i="15"/>
  <c r="O140" i="39"/>
  <c r="P140" i="39" s="1"/>
  <c r="P139" i="39"/>
  <c r="F127" i="33"/>
  <c r="Q132" i="37"/>
  <c r="Q134" i="37"/>
  <c r="Y8" i="12"/>
  <c r="X7" i="12" s="1"/>
  <c r="A149" i="43"/>
  <c r="B148" i="43"/>
  <c r="AA145" i="41"/>
  <c r="AO145" i="41" s="1"/>
  <c r="AP145" i="41" s="1"/>
  <c r="W145" i="41"/>
  <c r="AA144" i="41"/>
  <c r="AO144" i="41" s="1"/>
  <c r="AP144" i="41" s="1"/>
  <c r="W144" i="41"/>
  <c r="X12" i="18"/>
  <c r="AK39" i="37"/>
  <c r="AM39" i="37" s="1"/>
  <c r="AS39" i="37" s="1"/>
  <c r="Z39" i="37"/>
  <c r="AB39" i="37" s="1"/>
  <c r="L44" i="37"/>
  <c r="B151" i="66" l="1"/>
  <c r="AG95" i="45"/>
  <c r="AI115" i="50"/>
  <c r="AB40" i="37"/>
  <c r="J92" i="45"/>
  <c r="L191" i="66"/>
  <c r="AE80" i="42"/>
  <c r="AI79" i="42" s="1"/>
  <c r="T103" i="47"/>
  <c r="AE85" i="43"/>
  <c r="AI84" i="43" s="1"/>
  <c r="AG85" i="43"/>
  <c r="N55" i="39"/>
  <c r="AQ55" i="39" s="1"/>
  <c r="AE105" i="47"/>
  <c r="AI104" i="47" s="1"/>
  <c r="J117" i="50"/>
  <c r="D187" i="66"/>
  <c r="B109" i="66"/>
  <c r="A109" i="66"/>
  <c r="A142" i="66"/>
  <c r="B142" i="66"/>
  <c r="D152" i="66"/>
  <c r="A152" i="66" s="1"/>
  <c r="D132" i="66"/>
  <c r="D143" i="66"/>
  <c r="L155" i="66"/>
  <c r="B131" i="66"/>
  <c r="A131" i="66"/>
  <c r="D230" i="66"/>
  <c r="A230" i="66" s="1"/>
  <c r="L215" i="66"/>
  <c r="L149" i="66"/>
  <c r="J149" i="66" s="1"/>
  <c r="B149" i="65" s="1"/>
  <c r="L131" i="66"/>
  <c r="D242" i="66"/>
  <c r="B242" i="66" s="1"/>
  <c r="J214" i="66"/>
  <c r="B214" i="65" s="1"/>
  <c r="D214" i="65"/>
  <c r="A214" i="65" s="1"/>
  <c r="I214" i="66"/>
  <c r="D118" i="65"/>
  <c r="A118" i="65" s="1"/>
  <c r="J118" i="66"/>
  <c r="B118" i="65" s="1"/>
  <c r="I118" i="66"/>
  <c r="I154" i="66"/>
  <c r="D154" i="65"/>
  <c r="J154" i="66"/>
  <c r="B154" i="65" s="1"/>
  <c r="L6" i="44"/>
  <c r="AP64" i="44" s="1"/>
  <c r="Z55" i="41"/>
  <c r="AB55" i="41" s="1"/>
  <c r="X6" i="47"/>
  <c r="L6" i="47" s="1"/>
  <c r="AP69" i="47" s="1"/>
  <c r="AT69" i="47" s="1"/>
  <c r="D12" i="47" s="1"/>
  <c r="J114" i="50"/>
  <c r="J115" i="50"/>
  <c r="AI90" i="45"/>
  <c r="AI85" i="44"/>
  <c r="AR120" i="49"/>
  <c r="X90" i="47"/>
  <c r="X110" i="50"/>
  <c r="I134" i="66"/>
  <c r="D134" i="65"/>
  <c r="A134" i="65" s="1"/>
  <c r="J134" i="66"/>
  <c r="B134" i="65" s="1"/>
  <c r="J275" i="66"/>
  <c r="B275" i="65" s="1"/>
  <c r="D275" i="65"/>
  <c r="I275" i="66"/>
  <c r="I149" i="66"/>
  <c r="B125" i="66"/>
  <c r="A125" i="66"/>
  <c r="D113" i="66"/>
  <c r="L121" i="66"/>
  <c r="D120" i="65"/>
  <c r="A120" i="65" s="1"/>
  <c r="I120" i="66"/>
  <c r="J120" i="66"/>
  <c r="B120" i="65" s="1"/>
  <c r="J176" i="66"/>
  <c r="B176" i="65" s="1"/>
  <c r="I176" i="66"/>
  <c r="D176" i="65"/>
  <c r="A176" i="65" s="1"/>
  <c r="D165" i="66"/>
  <c r="L177" i="66"/>
  <c r="J191" i="66"/>
  <c r="B191" i="65" s="1"/>
  <c r="I191" i="66"/>
  <c r="D191" i="65"/>
  <c r="D126" i="66"/>
  <c r="L135" i="66"/>
  <c r="B112" i="66"/>
  <c r="A112" i="66"/>
  <c r="B164" i="66"/>
  <c r="A164" i="66"/>
  <c r="D383" i="66"/>
  <c r="L403" i="66"/>
  <c r="L163" i="66"/>
  <c r="D79" i="66"/>
  <c r="L83" i="66"/>
  <c r="R84" i="43"/>
  <c r="V84" i="43" s="1"/>
  <c r="D98" i="43"/>
  <c r="F98" i="43" s="1"/>
  <c r="H98" i="43" s="1"/>
  <c r="R97" i="43"/>
  <c r="D102" i="43"/>
  <c r="F102" i="43" s="1"/>
  <c r="R87" i="42"/>
  <c r="D97" i="42"/>
  <c r="F97" i="42" s="1"/>
  <c r="R89" i="45"/>
  <c r="D103" i="45"/>
  <c r="F103" i="45" s="1"/>
  <c r="R102" i="45"/>
  <c r="D107" i="45"/>
  <c r="F107" i="45" s="1"/>
  <c r="B21" i="66"/>
  <c r="A21" i="66"/>
  <c r="V87" i="43"/>
  <c r="T87" i="43"/>
  <c r="T99" i="47"/>
  <c r="T100" i="47" s="1"/>
  <c r="X99" i="47" s="1"/>
  <c r="V99" i="47"/>
  <c r="V114" i="50"/>
  <c r="T114" i="50"/>
  <c r="T115" i="50" s="1"/>
  <c r="X114" i="50" s="1"/>
  <c r="T118" i="50"/>
  <c r="V118" i="50"/>
  <c r="B173" i="66"/>
  <c r="A173" i="66"/>
  <c r="J107" i="48"/>
  <c r="F109" i="48"/>
  <c r="V112" i="48"/>
  <c r="T112" i="48"/>
  <c r="H105" i="47"/>
  <c r="J105" i="47" s="1"/>
  <c r="B382" i="66"/>
  <c r="A382" i="66"/>
  <c r="D362" i="65"/>
  <c r="A362" i="65" s="1"/>
  <c r="J362" i="66"/>
  <c r="B362" i="65" s="1"/>
  <c r="I362" i="66"/>
  <c r="D82" i="65"/>
  <c r="A82" i="65" s="1"/>
  <c r="I82" i="66"/>
  <c r="J82" i="66"/>
  <c r="B82" i="65" s="1"/>
  <c r="B135" i="66"/>
  <c r="A135" i="66"/>
  <c r="D42" i="65"/>
  <c r="A42" i="65" s="1"/>
  <c r="I42" i="66"/>
  <c r="J42" i="66"/>
  <c r="B42" i="65" s="1"/>
  <c r="H103" i="46"/>
  <c r="R99" i="46"/>
  <c r="D108" i="46"/>
  <c r="F108" i="46" s="1"/>
  <c r="H108" i="46" s="1"/>
  <c r="R107" i="46"/>
  <c r="D112" i="46"/>
  <c r="F112" i="46" s="1"/>
  <c r="D98" i="66"/>
  <c r="L103" i="66"/>
  <c r="R109" i="48"/>
  <c r="D118" i="48"/>
  <c r="F118" i="48" s="1"/>
  <c r="H118" i="48" s="1"/>
  <c r="D114" i="48"/>
  <c r="F114" i="48" s="1"/>
  <c r="H114" i="48" s="1"/>
  <c r="AE118" i="48"/>
  <c r="AE114" i="48"/>
  <c r="AG114" i="48" s="1"/>
  <c r="R113" i="48"/>
  <c r="L203" i="66"/>
  <c r="D136" i="66"/>
  <c r="L143" i="66"/>
  <c r="AE104" i="46"/>
  <c r="AG104" i="46" s="1"/>
  <c r="D402" i="66"/>
  <c r="L423" i="66"/>
  <c r="H112" i="47"/>
  <c r="D122" i="65"/>
  <c r="A122" i="65" s="1"/>
  <c r="J122" i="66"/>
  <c r="B122" i="65" s="1"/>
  <c r="I122" i="66"/>
  <c r="H109" i="49"/>
  <c r="H110" i="49" s="1"/>
  <c r="J110" i="49" s="1"/>
  <c r="F110" i="49"/>
  <c r="J109" i="49" s="1"/>
  <c r="D162" i="65"/>
  <c r="A162" i="65" s="1"/>
  <c r="J162" i="66"/>
  <c r="B162" i="65" s="1"/>
  <c r="I162" i="66"/>
  <c r="D102" i="65"/>
  <c r="A102" i="65" s="1"/>
  <c r="I102" i="66"/>
  <c r="J102" i="66"/>
  <c r="B102" i="65" s="1"/>
  <c r="V108" i="48"/>
  <c r="T108" i="48"/>
  <c r="V104" i="48"/>
  <c r="V105" i="48" s="1"/>
  <c r="T104" i="48"/>
  <c r="T105" i="48" s="1"/>
  <c r="X104" i="48" s="1"/>
  <c r="AI110" i="49"/>
  <c r="H102" i="44"/>
  <c r="B78" i="66"/>
  <c r="A78" i="66"/>
  <c r="D382" i="65"/>
  <c r="A382" i="65" s="1"/>
  <c r="J382" i="66"/>
  <c r="B382" i="65" s="1"/>
  <c r="I382" i="66"/>
  <c r="B40" i="66"/>
  <c r="A40" i="66"/>
  <c r="V89" i="46"/>
  <c r="V90" i="46" s="1"/>
  <c r="T89" i="46"/>
  <c r="T90" i="46" s="1"/>
  <c r="X89" i="46" s="1"/>
  <c r="R118" i="49"/>
  <c r="AE123" i="49"/>
  <c r="D119" i="49"/>
  <c r="F119" i="49" s="1"/>
  <c r="H119" i="49" s="1"/>
  <c r="AE119" i="49"/>
  <c r="AG119" i="49" s="1"/>
  <c r="R114" i="49"/>
  <c r="D41" i="66"/>
  <c r="L43" i="66"/>
  <c r="AE108" i="46"/>
  <c r="AG108" i="46" s="1"/>
  <c r="AB16" i="49"/>
  <c r="AD16" i="49" s="1"/>
  <c r="AB5" i="49"/>
  <c r="AD5" i="49" s="1"/>
  <c r="H118" i="50"/>
  <c r="H120" i="50" s="1"/>
  <c r="J120" i="50" s="1"/>
  <c r="F120" i="50"/>
  <c r="J119" i="50" s="1"/>
  <c r="AG118" i="49"/>
  <c r="T107" i="47"/>
  <c r="V107" i="47"/>
  <c r="B116" i="66"/>
  <c r="A116" i="66"/>
  <c r="AG115" i="49"/>
  <c r="AG123" i="50"/>
  <c r="B97" i="66"/>
  <c r="A97" i="66"/>
  <c r="F117" i="48"/>
  <c r="AG109" i="48"/>
  <c r="AG110" i="48" s="1"/>
  <c r="AE110" i="48"/>
  <c r="AI109" i="48" s="1"/>
  <c r="X100" i="48"/>
  <c r="D62" i="65"/>
  <c r="A62" i="65" s="1"/>
  <c r="I62" i="66"/>
  <c r="J62" i="66"/>
  <c r="B62" i="65" s="1"/>
  <c r="V97" i="44"/>
  <c r="T97" i="44"/>
  <c r="B363" i="66"/>
  <c r="A363" i="66"/>
  <c r="AE120" i="50"/>
  <c r="AI119" i="50" s="1"/>
  <c r="J112" i="49"/>
  <c r="H107" i="46"/>
  <c r="D117" i="66"/>
  <c r="L123" i="66"/>
  <c r="R104" i="47"/>
  <c r="D113" i="47"/>
  <c r="R112" i="47"/>
  <c r="D117" i="47"/>
  <c r="AE109" i="47"/>
  <c r="D109" i="47"/>
  <c r="AE113" i="47"/>
  <c r="R108" i="47"/>
  <c r="D364" i="66"/>
  <c r="L383" i="66"/>
  <c r="D60" i="66"/>
  <c r="L63" i="66"/>
  <c r="AE128" i="50"/>
  <c r="AE124" i="50"/>
  <c r="AG124" i="50" s="1"/>
  <c r="R123" i="50"/>
  <c r="D124" i="50"/>
  <c r="D174" i="66"/>
  <c r="H99" i="47"/>
  <c r="H100" i="47" s="1"/>
  <c r="J100" i="47" s="1"/>
  <c r="F100" i="47"/>
  <c r="J99" i="47" s="1"/>
  <c r="V100" i="47"/>
  <c r="D104" i="46"/>
  <c r="F104" i="46" s="1"/>
  <c r="H104" i="46" s="1"/>
  <c r="R103" i="46"/>
  <c r="V103" i="46" s="1"/>
  <c r="AB22" i="47"/>
  <c r="AD22" i="47" s="1"/>
  <c r="AP5" i="47"/>
  <c r="AR5" i="47" s="1"/>
  <c r="AB4" i="49"/>
  <c r="AD4" i="49" s="1"/>
  <c r="AB15" i="49"/>
  <c r="AD15" i="49" s="1"/>
  <c r="X105" i="49"/>
  <c r="D22" i="65"/>
  <c r="A22" i="65" s="1"/>
  <c r="I22" i="66"/>
  <c r="J22" i="66"/>
  <c r="B22" i="65" s="1"/>
  <c r="V113" i="49"/>
  <c r="T113" i="49"/>
  <c r="V109" i="49"/>
  <c r="V110" i="49" s="1"/>
  <c r="T109" i="49"/>
  <c r="T110" i="49" s="1"/>
  <c r="X109" i="49" s="1"/>
  <c r="H97" i="43"/>
  <c r="AE115" i="49"/>
  <c r="AI114" i="49" s="1"/>
  <c r="AG113" i="48"/>
  <c r="AG115" i="48" s="1"/>
  <c r="F113" i="48"/>
  <c r="J112" i="48"/>
  <c r="F105" i="47"/>
  <c r="V115" i="50"/>
  <c r="H117" i="49"/>
  <c r="D402" i="65"/>
  <c r="A402" i="65" s="1"/>
  <c r="J402" i="66"/>
  <c r="B402" i="65" s="1"/>
  <c r="I402" i="66"/>
  <c r="B59" i="66"/>
  <c r="A59" i="66"/>
  <c r="D202" i="65"/>
  <c r="A202" i="65" s="1"/>
  <c r="I202" i="66"/>
  <c r="J202" i="66"/>
  <c r="B202" i="65" s="1"/>
  <c r="D142" i="65"/>
  <c r="A142" i="65" s="1"/>
  <c r="J142" i="66"/>
  <c r="B142" i="65" s="1"/>
  <c r="I142" i="66"/>
  <c r="AG120" i="50"/>
  <c r="H113" i="49"/>
  <c r="H115" i="49" s="1"/>
  <c r="F115" i="49"/>
  <c r="V102" i="46"/>
  <c r="T102" i="46"/>
  <c r="L60" i="41"/>
  <c r="N60" i="41" s="1"/>
  <c r="AQ60" i="41" s="1"/>
  <c r="AB23" i="41"/>
  <c r="AD23" i="41" s="1"/>
  <c r="AB28" i="41"/>
  <c r="AD28" i="41" s="1"/>
  <c r="AP6" i="41"/>
  <c r="AR6" i="41" s="1"/>
  <c r="Z54" i="41"/>
  <c r="AB54" i="41" s="1"/>
  <c r="AB22" i="41"/>
  <c r="AD22" i="41" s="1"/>
  <c r="X24" i="41" s="1"/>
  <c r="AB27" i="41"/>
  <c r="AD27" i="41" s="1"/>
  <c r="AP5" i="41"/>
  <c r="AR5" i="41" s="1"/>
  <c r="AT70" i="47"/>
  <c r="E12" i="47" s="1"/>
  <c r="AN11" i="43"/>
  <c r="A99" i="65"/>
  <c r="A138" i="65"/>
  <c r="A112" i="65"/>
  <c r="X6" i="42"/>
  <c r="L6" i="42" s="1"/>
  <c r="AP54" i="42" s="1"/>
  <c r="X7" i="44"/>
  <c r="L7" i="44" s="1"/>
  <c r="AP65" i="44" s="1"/>
  <c r="AB27" i="47"/>
  <c r="AD27" i="47" s="1"/>
  <c r="X6" i="48"/>
  <c r="L6" i="48" s="1"/>
  <c r="AP69" i="48" s="1"/>
  <c r="X7" i="48"/>
  <c r="L7" i="48" s="1"/>
  <c r="AP70" i="48" s="1"/>
  <c r="AE98" i="44"/>
  <c r="AB9" i="49"/>
  <c r="AD9" i="49" s="1"/>
  <c r="L80" i="49"/>
  <c r="N80" i="49" s="1"/>
  <c r="AQ80" i="49" s="1"/>
  <c r="AB10" i="49"/>
  <c r="AD10" i="49" s="1"/>
  <c r="V93" i="45"/>
  <c r="L59" i="41"/>
  <c r="N59" i="41" s="1"/>
  <c r="AQ59" i="41" s="1"/>
  <c r="AK54" i="41"/>
  <c r="AM54" i="41" s="1"/>
  <c r="AS54" i="41" s="1"/>
  <c r="AI65" i="40"/>
  <c r="AG45" i="35"/>
  <c r="AE45" i="35"/>
  <c r="AI44" i="35" s="1"/>
  <c r="AG80" i="42"/>
  <c r="AI80" i="42" s="1"/>
  <c r="AV23" i="25"/>
  <c r="H23" i="25"/>
  <c r="I23" i="25" s="1"/>
  <c r="D23" i="25"/>
  <c r="F23" i="25" s="1"/>
  <c r="G23" i="25" s="1"/>
  <c r="AE24" i="61"/>
  <c r="AP24" i="25"/>
  <c r="B24" i="25"/>
  <c r="C4" i="30"/>
  <c r="D37" i="31"/>
  <c r="F37" i="31" s="1"/>
  <c r="H37" i="31" s="1"/>
  <c r="AE33" i="31"/>
  <c r="AG33" i="31" s="1"/>
  <c r="R32" i="31"/>
  <c r="V32" i="32"/>
  <c r="T32" i="32"/>
  <c r="J37" i="34"/>
  <c r="AE65" i="39"/>
  <c r="AI64" i="39" s="1"/>
  <c r="D94" i="44"/>
  <c r="R93" i="44"/>
  <c r="AR69" i="48"/>
  <c r="AR70" i="48"/>
  <c r="AI75" i="42"/>
  <c r="AR64" i="46"/>
  <c r="AT64" i="46" s="1"/>
  <c r="D11" i="46" s="1"/>
  <c r="AR65" i="46"/>
  <c r="AT65" i="46" s="1"/>
  <c r="E11" i="46" s="1"/>
  <c r="AR55" i="43"/>
  <c r="AT55" i="43" s="1"/>
  <c r="E9" i="43" s="1"/>
  <c r="AR54" i="43"/>
  <c r="AT54" i="43" s="1"/>
  <c r="D9" i="43" s="1"/>
  <c r="AR55" i="42"/>
  <c r="AT55" i="42" s="1"/>
  <c r="E9" i="42" s="1"/>
  <c r="AR54" i="42"/>
  <c r="AR124" i="29"/>
  <c r="AI60" i="39"/>
  <c r="AM60" i="39" s="1"/>
  <c r="AS60" i="39" s="1"/>
  <c r="AR125" i="47"/>
  <c r="AG65" i="39"/>
  <c r="J62" i="39"/>
  <c r="AI80" i="43"/>
  <c r="AJ11" i="23"/>
  <c r="AI10" i="23"/>
  <c r="Z75" i="49"/>
  <c r="AB75" i="49" s="1"/>
  <c r="X70" i="42"/>
  <c r="X80" i="44"/>
  <c r="X85" i="45"/>
  <c r="AK75" i="49"/>
  <c r="AM75" i="49" s="1"/>
  <c r="AS75" i="49" s="1"/>
  <c r="X50" i="37"/>
  <c r="AI100" i="47"/>
  <c r="AK74" i="49"/>
  <c r="AM74" i="49" s="1"/>
  <c r="AS74" i="49" s="1"/>
  <c r="L79" i="49"/>
  <c r="N79" i="49" s="1"/>
  <c r="AQ79" i="49" s="1"/>
  <c r="Z74" i="49"/>
  <c r="AB74" i="49" s="1"/>
  <c r="D83" i="41"/>
  <c r="F83" i="41" s="1"/>
  <c r="H83" i="41" s="1"/>
  <c r="R82" i="41"/>
  <c r="D87" i="41"/>
  <c r="F87" i="41" s="1"/>
  <c r="D82" i="40"/>
  <c r="F82" i="40" s="1"/>
  <c r="R77" i="40"/>
  <c r="H54" i="38"/>
  <c r="H55" i="38" s="1"/>
  <c r="F55" i="38"/>
  <c r="J54" i="38" s="1"/>
  <c r="T69" i="41"/>
  <c r="T70" i="41" s="1"/>
  <c r="X69" i="41" s="1"/>
  <c r="V69" i="41"/>
  <c r="V70" i="41" s="1"/>
  <c r="H87" i="42"/>
  <c r="AG99" i="46"/>
  <c r="AG100" i="46" s="1"/>
  <c r="AE100" i="46"/>
  <c r="AI99" i="46" s="1"/>
  <c r="J97" i="46"/>
  <c r="F99" i="46"/>
  <c r="AE105" i="46"/>
  <c r="AI104" i="46" s="1"/>
  <c r="AG103" i="46"/>
  <c r="V47" i="34"/>
  <c r="T47" i="34"/>
  <c r="D52" i="33"/>
  <c r="F52" i="33" s="1"/>
  <c r="R47" i="33"/>
  <c r="H89" i="45"/>
  <c r="H90" i="45" s="1"/>
  <c r="F90" i="45"/>
  <c r="J89" i="45" s="1"/>
  <c r="Z49" i="39"/>
  <c r="AB49" i="39" s="1"/>
  <c r="AR49" i="39" s="1"/>
  <c r="L54" i="39"/>
  <c r="N54" i="39" s="1"/>
  <c r="AQ54" i="39" s="1"/>
  <c r="H69" i="41"/>
  <c r="H70" i="41" s="1"/>
  <c r="F70" i="41"/>
  <c r="J69" i="41" s="1"/>
  <c r="H84" i="44"/>
  <c r="H85" i="44" s="1"/>
  <c r="J85" i="44" s="1"/>
  <c r="F85" i="44"/>
  <c r="J84" i="44" s="1"/>
  <c r="AE99" i="45"/>
  <c r="AE103" i="45"/>
  <c r="R98" i="45"/>
  <c r="D99" i="45"/>
  <c r="V82" i="42"/>
  <c r="T82" i="42"/>
  <c r="V79" i="43"/>
  <c r="V80" i="43" s="1"/>
  <c r="T79" i="43"/>
  <c r="T80" i="43" s="1"/>
  <c r="X79" i="43" s="1"/>
  <c r="T98" i="46"/>
  <c r="V98" i="46"/>
  <c r="V67" i="39"/>
  <c r="T67" i="39"/>
  <c r="V84" i="44"/>
  <c r="V85" i="44" s="1"/>
  <c r="T84" i="44"/>
  <c r="T85" i="44" s="1"/>
  <c r="X84" i="44" s="1"/>
  <c r="H82" i="41"/>
  <c r="H68" i="39"/>
  <c r="AR50" i="40"/>
  <c r="AR49" i="40"/>
  <c r="AI105" i="47"/>
  <c r="D68" i="38"/>
  <c r="F68" i="38" s="1"/>
  <c r="R67" i="38"/>
  <c r="D72" i="38"/>
  <c r="F72" i="38" s="1"/>
  <c r="R39" i="35"/>
  <c r="V39" i="35" s="1"/>
  <c r="V40" i="35" s="1"/>
  <c r="D53" i="35"/>
  <c r="F53" i="35" s="1"/>
  <c r="Z49" i="38"/>
  <c r="AB49" i="38" s="1"/>
  <c r="L54" i="38"/>
  <c r="H67" i="37"/>
  <c r="V49" i="36"/>
  <c r="T49" i="36"/>
  <c r="R79" i="42"/>
  <c r="D88" i="42"/>
  <c r="F88" i="42" s="1"/>
  <c r="H88" i="42" s="1"/>
  <c r="V77" i="41"/>
  <c r="T77" i="41"/>
  <c r="H52" i="34"/>
  <c r="J104" i="47"/>
  <c r="AR144" i="32"/>
  <c r="AR119" i="43"/>
  <c r="J79" i="43"/>
  <c r="J80" i="43"/>
  <c r="AR124" i="38"/>
  <c r="AI45" i="36"/>
  <c r="AR120" i="44"/>
  <c r="N45" i="37"/>
  <c r="AQ45" i="37" s="1"/>
  <c r="AR125" i="35"/>
  <c r="F60" i="38"/>
  <c r="AG40" i="34"/>
  <c r="AE40" i="34"/>
  <c r="AI39" i="34" s="1"/>
  <c r="AR120" i="34"/>
  <c r="AI13" i="23"/>
  <c r="H138" i="29"/>
  <c r="H138" i="44"/>
  <c r="AR124" i="30"/>
  <c r="AR119" i="28"/>
  <c r="AT50" i="39"/>
  <c r="E8" i="39" s="1"/>
  <c r="X150" i="32"/>
  <c r="AB150" i="32" s="1"/>
  <c r="AR150" i="32" s="1"/>
  <c r="AR64" i="44"/>
  <c r="AR65" i="44"/>
  <c r="AR45" i="40"/>
  <c r="AT45" i="40" s="1"/>
  <c r="E7" i="40" s="1"/>
  <c r="AK50" i="40" s="1"/>
  <c r="AM50" i="40" s="1"/>
  <c r="AS50" i="40" s="1"/>
  <c r="AR44" i="40"/>
  <c r="AT44" i="40" s="1"/>
  <c r="D7" i="40" s="1"/>
  <c r="AK49" i="40" s="1"/>
  <c r="AM49" i="40" s="1"/>
  <c r="AS49" i="40" s="1"/>
  <c r="H133" i="46"/>
  <c r="L49" i="38"/>
  <c r="N49" i="38" s="1"/>
  <c r="AQ49" i="38" s="1"/>
  <c r="AT49" i="38" s="1"/>
  <c r="D8" i="38" s="1"/>
  <c r="AK44" i="38"/>
  <c r="AM44" i="38" s="1"/>
  <c r="AS44" i="38" s="1"/>
  <c r="Z44" i="38"/>
  <c r="AB44" i="38" s="1"/>
  <c r="Z44" i="39"/>
  <c r="AB44" i="39" s="1"/>
  <c r="AR44" i="39" s="1"/>
  <c r="AT44" i="39" s="1"/>
  <c r="D7" i="39" s="1"/>
  <c r="AK49" i="39" s="1"/>
  <c r="AM49" i="39" s="1"/>
  <c r="AS49" i="39" s="1"/>
  <c r="L49" i="39"/>
  <c r="N49" i="39" s="1"/>
  <c r="AQ49" i="39" s="1"/>
  <c r="AT49" i="39" s="1"/>
  <c r="D8" i="39" s="1"/>
  <c r="AK44" i="39"/>
  <c r="AM44" i="39" s="1"/>
  <c r="AS44" i="39" s="1"/>
  <c r="H138" i="49"/>
  <c r="AR55" i="41"/>
  <c r="AR54" i="41"/>
  <c r="L59" i="40"/>
  <c r="N59" i="40" s="1"/>
  <c r="AQ59" i="40" s="1"/>
  <c r="Z54" i="40"/>
  <c r="AB54" i="40" s="1"/>
  <c r="AR54" i="40" s="1"/>
  <c r="AT54" i="40" s="1"/>
  <c r="D9" i="40" s="1"/>
  <c r="AK54" i="40"/>
  <c r="AM54" i="40" s="1"/>
  <c r="AS54" i="40" s="1"/>
  <c r="X150" i="59"/>
  <c r="AB150" i="59" s="1"/>
  <c r="AT150" i="59" s="1"/>
  <c r="H138" i="47"/>
  <c r="X125" i="37"/>
  <c r="AB125" i="37" s="1"/>
  <c r="AR125" i="37" s="1"/>
  <c r="H138" i="32"/>
  <c r="H60" i="38"/>
  <c r="H133" i="43"/>
  <c r="X130" i="38"/>
  <c r="AB130" i="38" s="1"/>
  <c r="AR130" i="38" s="1"/>
  <c r="H138" i="34"/>
  <c r="X130" i="29"/>
  <c r="AB130" i="29" s="1"/>
  <c r="AR130" i="29" s="1"/>
  <c r="AI75" i="41"/>
  <c r="AI35" i="34"/>
  <c r="AM35" i="34" s="1"/>
  <c r="AS35" i="34" s="1"/>
  <c r="Y6" i="9"/>
  <c r="AA6" i="9" s="1"/>
  <c r="AG6" i="9" s="1"/>
  <c r="X130" i="47"/>
  <c r="AB130" i="47" s="1"/>
  <c r="AR130" i="47" s="1"/>
  <c r="X130" i="35"/>
  <c r="AB130" i="35" s="1"/>
  <c r="AR130" i="35" s="1"/>
  <c r="X130" i="26"/>
  <c r="AB130" i="26" s="1"/>
  <c r="AR130" i="26" s="1"/>
  <c r="X125" i="44"/>
  <c r="AB125" i="44" s="1"/>
  <c r="AR125" i="44" s="1"/>
  <c r="X125" i="27"/>
  <c r="AB125" i="27" s="1"/>
  <c r="AR125" i="27" s="1"/>
  <c r="H133" i="45"/>
  <c r="AR120" i="37"/>
  <c r="X125" i="50"/>
  <c r="AB125" i="50" s="1"/>
  <c r="AR124" i="50" s="1"/>
  <c r="X125" i="49"/>
  <c r="AB125" i="49" s="1"/>
  <c r="AR125" i="49" s="1"/>
  <c r="H138" i="31"/>
  <c r="H138" i="42"/>
  <c r="X125" i="28"/>
  <c r="AB125" i="28" s="1"/>
  <c r="AR124" i="28" s="1"/>
  <c r="H138" i="50"/>
  <c r="H133" i="26"/>
  <c r="X125" i="34"/>
  <c r="AB125" i="34" s="1"/>
  <c r="AR124" i="34" s="1"/>
  <c r="AJ8" i="23"/>
  <c r="AI8" i="23"/>
  <c r="AR40" i="37"/>
  <c r="AT40" i="37" s="1"/>
  <c r="E6" i="37" s="1"/>
  <c r="AR39" i="37"/>
  <c r="AT39" i="37" s="1"/>
  <c r="D6" i="37" s="1"/>
  <c r="X130" i="30"/>
  <c r="AB130" i="30" s="1"/>
  <c r="AR129" i="30" s="1"/>
  <c r="X60" i="40"/>
  <c r="X130" i="42"/>
  <c r="AB130" i="42" s="1"/>
  <c r="AR130" i="42" s="1"/>
  <c r="X125" i="39"/>
  <c r="AB125" i="39" s="1"/>
  <c r="AR124" i="39" s="1"/>
  <c r="X45" i="37"/>
  <c r="AB124" i="33"/>
  <c r="X125" i="33"/>
  <c r="AB125" i="33" s="1"/>
  <c r="AJ6" i="23"/>
  <c r="AI6" i="23"/>
  <c r="AJ4" i="23"/>
  <c r="AI4" i="23"/>
  <c r="AI7" i="23"/>
  <c r="AJ7" i="23"/>
  <c r="X125" i="43"/>
  <c r="AB125" i="43" s="1"/>
  <c r="AR125" i="43" s="1"/>
  <c r="AI5" i="23"/>
  <c r="AJ5" i="23"/>
  <c r="Q137" i="39"/>
  <c r="Q139" i="39"/>
  <c r="AV16" i="18"/>
  <c r="Z135" i="50"/>
  <c r="Z134" i="50"/>
  <c r="R132" i="50"/>
  <c r="Y135" i="50"/>
  <c r="Y134" i="50"/>
  <c r="P144" i="28"/>
  <c r="O145" i="28"/>
  <c r="P145" i="28" s="1"/>
  <c r="Q144" i="36"/>
  <c r="Q142" i="36"/>
  <c r="Z140" i="30"/>
  <c r="Z139" i="30"/>
  <c r="R137" i="30"/>
  <c r="Y140" i="30"/>
  <c r="Y139" i="30"/>
  <c r="AD12" i="22"/>
  <c r="AD8" i="22"/>
  <c r="AB8" i="22" s="1"/>
  <c r="AD5" i="22"/>
  <c r="AB5" i="22" s="1"/>
  <c r="AD10" i="22"/>
  <c r="AD13" i="22"/>
  <c r="AD15" i="22"/>
  <c r="AD6" i="22"/>
  <c r="AB6" i="22" s="1"/>
  <c r="AD11" i="22"/>
  <c r="AD9" i="22"/>
  <c r="AD16" i="22"/>
  <c r="AD7" i="22"/>
  <c r="AB7" i="22" s="1"/>
  <c r="AD14" i="22"/>
  <c r="AD4" i="22"/>
  <c r="AB4" i="22" s="1"/>
  <c r="AB11" i="22"/>
  <c r="AB9" i="22"/>
  <c r="AA7" i="11"/>
  <c r="AG7" i="11" s="1"/>
  <c r="G138" i="39"/>
  <c r="D138" i="39"/>
  <c r="F138" i="39" s="1"/>
  <c r="C137" i="39"/>
  <c r="AA12" i="16"/>
  <c r="X11" i="16"/>
  <c r="AA5" i="9"/>
  <c r="X4" i="9"/>
  <c r="X6" i="11"/>
  <c r="X132" i="28"/>
  <c r="R134" i="28"/>
  <c r="X125" i="45"/>
  <c r="AB125" i="45" s="1"/>
  <c r="AR124" i="45" s="1"/>
  <c r="Y140" i="47"/>
  <c r="Y139" i="47"/>
  <c r="Z140" i="47"/>
  <c r="Z139" i="47"/>
  <c r="R137" i="47"/>
  <c r="T134" i="35"/>
  <c r="V134" i="35"/>
  <c r="AF4" i="10"/>
  <c r="AF5" i="10" s="1"/>
  <c r="AF6" i="10" s="1"/>
  <c r="M161" i="59"/>
  <c r="M162" i="59"/>
  <c r="G161" i="59"/>
  <c r="T127" i="45"/>
  <c r="T130" i="45" s="1"/>
  <c r="X129" i="45" s="1"/>
  <c r="AB129" i="45" s="1"/>
  <c r="V127" i="45"/>
  <c r="V130" i="45" s="1"/>
  <c r="G7" i="11"/>
  <c r="T127" i="33"/>
  <c r="T130" i="33" s="1"/>
  <c r="V127" i="33"/>
  <c r="V130" i="33" s="1"/>
  <c r="Z135" i="27"/>
  <c r="Z134" i="27"/>
  <c r="R132" i="27"/>
  <c r="Y135" i="27"/>
  <c r="Y134" i="27"/>
  <c r="H127" i="47"/>
  <c r="H130" i="47" s="1"/>
  <c r="F130" i="47"/>
  <c r="F57" i="36"/>
  <c r="M145" i="40"/>
  <c r="I145" i="40"/>
  <c r="G144" i="40"/>
  <c r="M144" i="40"/>
  <c r="I144" i="40"/>
  <c r="F125" i="30"/>
  <c r="H122" i="30"/>
  <c r="H125" i="30" s="1"/>
  <c r="AG93" i="44"/>
  <c r="AG95" i="44" s="1"/>
  <c r="AE95" i="44"/>
  <c r="AI94" i="44" s="1"/>
  <c r="Q142" i="35"/>
  <c r="Q144" i="35"/>
  <c r="AT9" i="61"/>
  <c r="AP9" i="10"/>
  <c r="C19" i="45"/>
  <c r="AE104" i="45" s="1"/>
  <c r="AG104" i="45" s="1"/>
  <c r="B9" i="10"/>
  <c r="Y13" i="16"/>
  <c r="C142" i="41"/>
  <c r="G143" i="41"/>
  <c r="D143" i="41"/>
  <c r="F143" i="41" s="1"/>
  <c r="M144" i="33"/>
  <c r="I144" i="33"/>
  <c r="M145" i="33"/>
  <c r="I145" i="33"/>
  <c r="G144" i="33"/>
  <c r="C142" i="29"/>
  <c r="G143" i="29"/>
  <c r="D143" i="29"/>
  <c r="F143" i="29" s="1"/>
  <c r="C142" i="35"/>
  <c r="G143" i="35"/>
  <c r="D143" i="35"/>
  <c r="F143" i="35" s="1"/>
  <c r="T134" i="42"/>
  <c r="V134" i="42"/>
  <c r="V132" i="26"/>
  <c r="V135" i="26" s="1"/>
  <c r="T132" i="26"/>
  <c r="T135" i="26" s="1"/>
  <c r="X134" i="26" s="1"/>
  <c r="AB134" i="26" s="1"/>
  <c r="T68" i="40"/>
  <c r="V68" i="40"/>
  <c r="AF23" i="61"/>
  <c r="D243" i="66" s="1"/>
  <c r="C5" i="31"/>
  <c r="AP23" i="24"/>
  <c r="B23" i="24"/>
  <c r="C5" i="59"/>
  <c r="V58" i="38"/>
  <c r="T58" i="38"/>
  <c r="V127" i="50"/>
  <c r="V130" i="50" s="1"/>
  <c r="T127" i="50"/>
  <c r="T130" i="50" s="1"/>
  <c r="X129" i="50" s="1"/>
  <c r="AB129" i="50" s="1"/>
  <c r="F132" i="41"/>
  <c r="L134" i="37"/>
  <c r="D132" i="37"/>
  <c r="K134" i="37"/>
  <c r="L135" i="37"/>
  <c r="G132" i="37"/>
  <c r="K135" i="37"/>
  <c r="AG90" i="44"/>
  <c r="AV21" i="23"/>
  <c r="F132" i="50"/>
  <c r="G138" i="26"/>
  <c r="D138" i="26"/>
  <c r="F138" i="26" s="1"/>
  <c r="C137" i="26"/>
  <c r="Z135" i="33"/>
  <c r="Z134" i="33"/>
  <c r="R132" i="33"/>
  <c r="Y135" i="33"/>
  <c r="Y134" i="33"/>
  <c r="I155" i="59"/>
  <c r="I156" i="59"/>
  <c r="L155" i="59"/>
  <c r="G153" i="59"/>
  <c r="L156" i="59"/>
  <c r="K155" i="59"/>
  <c r="K156" i="59"/>
  <c r="D153" i="59"/>
  <c r="M139" i="43"/>
  <c r="I139" i="43"/>
  <c r="M140" i="43"/>
  <c r="I140" i="43"/>
  <c r="G139" i="43"/>
  <c r="M139" i="48"/>
  <c r="I139" i="48"/>
  <c r="M140" i="48"/>
  <c r="I140" i="48"/>
  <c r="G139" i="48"/>
  <c r="C149" i="33"/>
  <c r="C148" i="33"/>
  <c r="H20" i="22"/>
  <c r="I20" i="22" s="1"/>
  <c r="D20" i="22"/>
  <c r="F20" i="22" s="1"/>
  <c r="G20" i="22" s="1"/>
  <c r="R78" i="41"/>
  <c r="AE79" i="41"/>
  <c r="AG79" i="41" s="1"/>
  <c r="D79" i="41"/>
  <c r="F79" i="41" s="1"/>
  <c r="H79" i="41" s="1"/>
  <c r="R74" i="41"/>
  <c r="AE83" i="41"/>
  <c r="X75" i="43"/>
  <c r="O150" i="35"/>
  <c r="P150" i="35" s="1"/>
  <c r="P149" i="35"/>
  <c r="V129" i="43"/>
  <c r="T129" i="43"/>
  <c r="F130" i="31"/>
  <c r="H127" i="31"/>
  <c r="H130" i="31" s="1"/>
  <c r="T129" i="45"/>
  <c r="V129" i="45"/>
  <c r="H138" i="38"/>
  <c r="X65" i="42"/>
  <c r="F127" i="43"/>
  <c r="X125" i="40"/>
  <c r="AB125" i="40" s="1"/>
  <c r="AR125" i="40" s="1"/>
  <c r="AI20" i="61"/>
  <c r="C8" i="34"/>
  <c r="D53" i="34" s="1"/>
  <c r="F53" i="34" s="1"/>
  <c r="H53" i="34" s="1"/>
  <c r="B20" i="21"/>
  <c r="AP20" i="21"/>
  <c r="P144" i="40"/>
  <c r="O145" i="40"/>
  <c r="P145" i="40" s="1"/>
  <c r="AA145" i="33"/>
  <c r="AO145" i="33" s="1"/>
  <c r="AP145" i="33" s="1"/>
  <c r="W145" i="33"/>
  <c r="AA144" i="33"/>
  <c r="AO144" i="33" s="1"/>
  <c r="AP144" i="33" s="1"/>
  <c r="W144" i="33"/>
  <c r="F54" i="37"/>
  <c r="J52" i="37"/>
  <c r="AG70" i="40"/>
  <c r="Y140" i="29"/>
  <c r="Y139" i="29"/>
  <c r="Z140" i="29"/>
  <c r="Z139" i="29"/>
  <c r="R137" i="29"/>
  <c r="AV14" i="16"/>
  <c r="O145" i="43"/>
  <c r="P145" i="43" s="1"/>
  <c r="P144" i="43"/>
  <c r="F125" i="43"/>
  <c r="H122" i="43"/>
  <c r="H125" i="43" s="1"/>
  <c r="AV10" i="12"/>
  <c r="G4" i="8"/>
  <c r="H57" i="37"/>
  <c r="H133" i="30"/>
  <c r="G9" i="13"/>
  <c r="K139" i="35"/>
  <c r="L140" i="35"/>
  <c r="G137" i="35"/>
  <c r="K140" i="35"/>
  <c r="L139" i="35"/>
  <c r="D137" i="35"/>
  <c r="AA150" i="47"/>
  <c r="AO150" i="47" s="1"/>
  <c r="AP150" i="47" s="1"/>
  <c r="W150" i="47"/>
  <c r="AA149" i="47"/>
  <c r="AO149" i="47" s="1"/>
  <c r="AP149" i="47" s="1"/>
  <c r="W149" i="47"/>
  <c r="Y8" i="11"/>
  <c r="V129" i="44"/>
  <c r="T129" i="44"/>
  <c r="AG10" i="15"/>
  <c r="X15" i="53"/>
  <c r="AA15" i="53"/>
  <c r="X14" i="53"/>
  <c r="H127" i="28"/>
  <c r="H130" i="28" s="1"/>
  <c r="F130" i="28"/>
  <c r="F132" i="42"/>
  <c r="AR35" i="35"/>
  <c r="AT35" i="35" s="1"/>
  <c r="E5" i="35" s="1"/>
  <c r="AR34" i="35"/>
  <c r="AT34" i="35" s="1"/>
  <c r="D5" i="35" s="1"/>
  <c r="F125" i="48"/>
  <c r="H122" i="48"/>
  <c r="H125" i="48" s="1"/>
  <c r="AG50" i="36"/>
  <c r="X130" i="48"/>
  <c r="AB130" i="48" s="1"/>
  <c r="AR129" i="48" s="1"/>
  <c r="AW6" i="61"/>
  <c r="AP6" i="7"/>
  <c r="Y5" i="7" s="1"/>
  <c r="C22" i="48"/>
  <c r="B6" i="7"/>
  <c r="Y140" i="36"/>
  <c r="Y139" i="36"/>
  <c r="Z140" i="36"/>
  <c r="R137" i="36"/>
  <c r="Z139" i="36"/>
  <c r="V129" i="27"/>
  <c r="T129" i="27"/>
  <c r="C149" i="27"/>
  <c r="C148" i="27"/>
  <c r="R134" i="43"/>
  <c r="X132" i="43"/>
  <c r="F132" i="49"/>
  <c r="O145" i="27"/>
  <c r="P145" i="27" s="1"/>
  <c r="P144" i="27"/>
  <c r="C144" i="26"/>
  <c r="C143" i="26"/>
  <c r="K139" i="41"/>
  <c r="L140" i="41"/>
  <c r="G137" i="41"/>
  <c r="K140" i="41"/>
  <c r="L139" i="41"/>
  <c r="D137" i="41"/>
  <c r="AG48" i="35"/>
  <c r="F132" i="47"/>
  <c r="AA150" i="29"/>
  <c r="AO150" i="29" s="1"/>
  <c r="AP150" i="29" s="1"/>
  <c r="W150" i="29"/>
  <c r="AA149" i="29"/>
  <c r="AO149" i="29" s="1"/>
  <c r="AP149" i="29" s="1"/>
  <c r="W149" i="29"/>
  <c r="K139" i="47"/>
  <c r="K140" i="47"/>
  <c r="L139" i="47"/>
  <c r="D137" i="47"/>
  <c r="G137" i="47"/>
  <c r="L140" i="47"/>
  <c r="L139" i="28"/>
  <c r="D137" i="28"/>
  <c r="K139" i="28"/>
  <c r="L140" i="28"/>
  <c r="G137" i="28"/>
  <c r="K140" i="28"/>
  <c r="Z135" i="40"/>
  <c r="Z134" i="40"/>
  <c r="R132" i="40"/>
  <c r="Y135" i="40"/>
  <c r="Y134" i="40"/>
  <c r="K135" i="36"/>
  <c r="K134" i="36"/>
  <c r="L135" i="36"/>
  <c r="G132" i="36"/>
  <c r="L134" i="36"/>
  <c r="D132" i="36"/>
  <c r="AR119" i="40"/>
  <c r="F125" i="36"/>
  <c r="H122" i="36"/>
  <c r="H125" i="36" s="1"/>
  <c r="AR120" i="31"/>
  <c r="D143" i="49"/>
  <c r="F143" i="49" s="1"/>
  <c r="C142" i="49"/>
  <c r="G143" i="49"/>
  <c r="H138" i="40"/>
  <c r="F84" i="43"/>
  <c r="J82" i="43"/>
  <c r="G7" i="10"/>
  <c r="C149" i="40"/>
  <c r="C148" i="40"/>
  <c r="R139" i="26"/>
  <c r="X137" i="26"/>
  <c r="O149" i="40"/>
  <c r="P148" i="40"/>
  <c r="Q148" i="40" s="1"/>
  <c r="AR119" i="46"/>
  <c r="K140" i="44"/>
  <c r="L139" i="44"/>
  <c r="D137" i="44"/>
  <c r="K139" i="44"/>
  <c r="L140" i="44"/>
  <c r="G137" i="44"/>
  <c r="Q137" i="34"/>
  <c r="Q139" i="34"/>
  <c r="AV15" i="17"/>
  <c r="F42" i="33"/>
  <c r="V33" i="33"/>
  <c r="T33" i="33"/>
  <c r="H17" i="19"/>
  <c r="I17" i="19" s="1"/>
  <c r="D17" i="19"/>
  <c r="F17" i="19" s="1"/>
  <c r="G17" i="19" s="1"/>
  <c r="Q139" i="43"/>
  <c r="Q137" i="43"/>
  <c r="T132" i="42"/>
  <c r="T135" i="42" s="1"/>
  <c r="X134" i="42" s="1"/>
  <c r="AB134" i="42" s="1"/>
  <c r="V132" i="42"/>
  <c r="V135" i="42" s="1"/>
  <c r="Q139" i="31"/>
  <c r="Q137" i="31"/>
  <c r="AF12" i="17"/>
  <c r="Q142" i="41"/>
  <c r="Q144" i="41"/>
  <c r="H133" i="48"/>
  <c r="AY4" i="61"/>
  <c r="AZ3" i="61"/>
  <c r="B4" i="5"/>
  <c r="AP4" i="5"/>
  <c r="C24" i="50"/>
  <c r="R143" i="50" s="1"/>
  <c r="AF9" i="14"/>
  <c r="AF10" i="14" s="1"/>
  <c r="O150" i="42"/>
  <c r="P150" i="42" s="1"/>
  <c r="P149" i="42"/>
  <c r="AA150" i="41"/>
  <c r="AO150" i="41" s="1"/>
  <c r="AP150" i="41" s="1"/>
  <c r="W150" i="41"/>
  <c r="AA149" i="41"/>
  <c r="AO149" i="41" s="1"/>
  <c r="AP149" i="41" s="1"/>
  <c r="W149" i="41"/>
  <c r="F47" i="34"/>
  <c r="AG43" i="34"/>
  <c r="P148" i="43"/>
  <c r="Q148" i="43" s="1"/>
  <c r="O149" i="43"/>
  <c r="AJ150" i="47"/>
  <c r="AJ149" i="47"/>
  <c r="V127" i="34"/>
  <c r="V130" i="34" s="1"/>
  <c r="T127" i="34"/>
  <c r="T130" i="34" s="1"/>
  <c r="X129" i="34" s="1"/>
  <c r="AB129" i="34" s="1"/>
  <c r="X137" i="38"/>
  <c r="R139" i="38"/>
  <c r="V132" i="35"/>
  <c r="V135" i="35" s="1"/>
  <c r="T132" i="35"/>
  <c r="T135" i="35" s="1"/>
  <c r="X134" i="35" s="1"/>
  <c r="AI95" i="45"/>
  <c r="F65" i="39"/>
  <c r="J64" i="39" s="1"/>
  <c r="V132" i="29"/>
  <c r="V135" i="29" s="1"/>
  <c r="T132" i="29"/>
  <c r="T135" i="29" s="1"/>
  <c r="X134" i="29" s="1"/>
  <c r="AB134" i="29" s="1"/>
  <c r="J77" i="42"/>
  <c r="D138" i="46"/>
  <c r="F138" i="46" s="1"/>
  <c r="C137" i="46"/>
  <c r="G138" i="46"/>
  <c r="H138" i="27"/>
  <c r="AA145" i="31"/>
  <c r="AO145" i="31" s="1"/>
  <c r="AP145" i="31" s="1"/>
  <c r="W145" i="31"/>
  <c r="AA144" i="31"/>
  <c r="AO144" i="31" s="1"/>
  <c r="AP144" i="31" s="1"/>
  <c r="W144" i="31"/>
  <c r="H18" i="20"/>
  <c r="I18" i="20" s="1"/>
  <c r="D18" i="20"/>
  <c r="F18" i="20" s="1"/>
  <c r="G18" i="20" s="1"/>
  <c r="AL150" i="44"/>
  <c r="AH150" i="44"/>
  <c r="AI147" i="44"/>
  <c r="AL149" i="44"/>
  <c r="AH149" i="44"/>
  <c r="Q173" i="59"/>
  <c r="Q171" i="59"/>
  <c r="AV11" i="13"/>
  <c r="Y135" i="39"/>
  <c r="Z134" i="39"/>
  <c r="Z135" i="39"/>
  <c r="Y134" i="39"/>
  <c r="R132" i="39"/>
  <c r="AP13" i="61"/>
  <c r="B13" i="14"/>
  <c r="C15" i="41"/>
  <c r="AP13" i="14"/>
  <c r="Y12" i="14" s="1"/>
  <c r="Y140" i="41"/>
  <c r="Y139" i="41"/>
  <c r="Z140" i="41"/>
  <c r="Z139" i="41"/>
  <c r="R137" i="41"/>
  <c r="T134" i="38"/>
  <c r="V134" i="38"/>
  <c r="F78" i="41"/>
  <c r="AR40" i="38"/>
  <c r="AT40" i="38" s="1"/>
  <c r="E6" i="38" s="1"/>
  <c r="AR119" i="50"/>
  <c r="AR119" i="33"/>
  <c r="AR120" i="33"/>
  <c r="Y135" i="45"/>
  <c r="Y134" i="45"/>
  <c r="Z134" i="45"/>
  <c r="Z135" i="45"/>
  <c r="R132" i="45"/>
  <c r="H16" i="18"/>
  <c r="I16" i="18" s="1"/>
  <c r="D16" i="18"/>
  <c r="F16" i="18" s="1"/>
  <c r="G16" i="18" s="1"/>
  <c r="F132" i="31"/>
  <c r="R139" i="30"/>
  <c r="X137" i="30"/>
  <c r="I140" i="39"/>
  <c r="I139" i="39"/>
  <c r="M140" i="39"/>
  <c r="M139" i="39"/>
  <c r="G139" i="39"/>
  <c r="W144" i="39"/>
  <c r="W145" i="39"/>
  <c r="AA144" i="39"/>
  <c r="AO144" i="39" s="1"/>
  <c r="AP144" i="39" s="1"/>
  <c r="AA145" i="39"/>
  <c r="AO145" i="39" s="1"/>
  <c r="AP145" i="39" s="1"/>
  <c r="Z135" i="28"/>
  <c r="Z134" i="28"/>
  <c r="R132" i="28"/>
  <c r="Y135" i="28"/>
  <c r="Y134" i="28"/>
  <c r="H122" i="46"/>
  <c r="H125" i="46" s="1"/>
  <c r="F125" i="46"/>
  <c r="AA12" i="15"/>
  <c r="AG12" i="15" s="1"/>
  <c r="F130" i="49"/>
  <c r="H127" i="49"/>
  <c r="H130" i="49" s="1"/>
  <c r="D160" i="59"/>
  <c r="F160" i="59" s="1"/>
  <c r="C159" i="59"/>
  <c r="G160" i="59"/>
  <c r="T134" i="29"/>
  <c r="V134" i="29"/>
  <c r="X132" i="27"/>
  <c r="R134" i="27"/>
  <c r="V52" i="36"/>
  <c r="T52" i="36"/>
  <c r="AG53" i="36"/>
  <c r="T127" i="49"/>
  <c r="T130" i="49" s="1"/>
  <c r="X129" i="49" s="1"/>
  <c r="AB129" i="49" s="1"/>
  <c r="V127" i="49"/>
  <c r="V130" i="49" s="1"/>
  <c r="V93" i="44"/>
  <c r="T93" i="44"/>
  <c r="V88" i="44"/>
  <c r="T88" i="44"/>
  <c r="AA11" i="14"/>
  <c r="AV8" i="10"/>
  <c r="C149" i="49"/>
  <c r="C148" i="49"/>
  <c r="H7" i="9"/>
  <c r="I7" i="9" s="1"/>
  <c r="D7" i="9"/>
  <c r="V129" i="50"/>
  <c r="T129" i="50"/>
  <c r="L135" i="39"/>
  <c r="G132" i="39"/>
  <c r="K134" i="39"/>
  <c r="D132" i="39"/>
  <c r="K135" i="39"/>
  <c r="L134" i="39"/>
  <c r="Y9" i="12"/>
  <c r="X8" i="12" s="1"/>
  <c r="V127" i="39"/>
  <c r="V130" i="39" s="1"/>
  <c r="T127" i="39"/>
  <c r="T130" i="39" s="1"/>
  <c r="X129" i="39" s="1"/>
  <c r="AB129" i="39" s="1"/>
  <c r="D143" i="28"/>
  <c r="F143" i="28" s="1"/>
  <c r="C142" i="28"/>
  <c r="G143" i="28"/>
  <c r="V127" i="28"/>
  <c r="V130" i="28" s="1"/>
  <c r="T127" i="28"/>
  <c r="T130" i="28" s="1"/>
  <c r="X129" i="28" s="1"/>
  <c r="AB129" i="28" s="1"/>
  <c r="F69" i="40"/>
  <c r="J67" i="40"/>
  <c r="AV22" i="24"/>
  <c r="H122" i="45"/>
  <c r="H125" i="45" s="1"/>
  <c r="F125" i="45"/>
  <c r="T54" i="38"/>
  <c r="T55" i="38" s="1"/>
  <c r="X54" i="38" s="1"/>
  <c r="V54" i="38"/>
  <c r="V55" i="38" s="1"/>
  <c r="C149" i="44"/>
  <c r="C148" i="44"/>
  <c r="V134" i="26"/>
  <c r="T134" i="26"/>
  <c r="AJ150" i="29"/>
  <c r="AJ149" i="29"/>
  <c r="AA145" i="34"/>
  <c r="AO145" i="34" s="1"/>
  <c r="AP145" i="34" s="1"/>
  <c r="W145" i="34"/>
  <c r="AA144" i="34"/>
  <c r="AO144" i="34" s="1"/>
  <c r="AP144" i="34" s="1"/>
  <c r="W144" i="34"/>
  <c r="C149" i="34"/>
  <c r="C148" i="34"/>
  <c r="D143" i="34"/>
  <c r="F143" i="34" s="1"/>
  <c r="C142" i="34"/>
  <c r="G143" i="34"/>
  <c r="P148" i="33"/>
  <c r="Q148" i="33" s="1"/>
  <c r="O149" i="33"/>
  <c r="Q137" i="45"/>
  <c r="Q139" i="45"/>
  <c r="F77" i="39"/>
  <c r="V59" i="39"/>
  <c r="V60" i="39" s="1"/>
  <c r="T59" i="39"/>
  <c r="T60" i="39" s="1"/>
  <c r="X59" i="39" s="1"/>
  <c r="H133" i="37"/>
  <c r="AJ9" i="23"/>
  <c r="AI9" i="23"/>
  <c r="AG22" i="61"/>
  <c r="C6" i="32"/>
  <c r="AP22" i="23"/>
  <c r="B22" i="23"/>
  <c r="M139" i="26"/>
  <c r="I139" i="26"/>
  <c r="M140" i="26"/>
  <c r="I140" i="26"/>
  <c r="G139" i="26"/>
  <c r="X132" i="33"/>
  <c r="R134" i="33"/>
  <c r="O145" i="49"/>
  <c r="P145" i="49" s="1"/>
  <c r="P144" i="49"/>
  <c r="C144" i="39"/>
  <c r="C143" i="39"/>
  <c r="K140" i="31"/>
  <c r="L139" i="31"/>
  <c r="D137" i="31"/>
  <c r="K139" i="31"/>
  <c r="L140" i="31"/>
  <c r="G137" i="31"/>
  <c r="AH21" i="61"/>
  <c r="L276" i="66" s="1"/>
  <c r="AP21" i="22"/>
  <c r="B21" i="22"/>
  <c r="C7" i="33"/>
  <c r="H13" i="15"/>
  <c r="I13" i="15" s="1"/>
  <c r="D13" i="15"/>
  <c r="F13" i="15" s="1"/>
  <c r="G13" i="15" s="1"/>
  <c r="Z135" i="49"/>
  <c r="Z134" i="49"/>
  <c r="R132" i="49"/>
  <c r="Y135" i="49"/>
  <c r="Y134" i="49"/>
  <c r="D143" i="50"/>
  <c r="F143" i="50" s="1"/>
  <c r="C142" i="50"/>
  <c r="G143" i="50"/>
  <c r="J90" i="45"/>
  <c r="Q142" i="38"/>
  <c r="Q144" i="38"/>
  <c r="O150" i="36"/>
  <c r="P150" i="36" s="1"/>
  <c r="P149" i="36"/>
  <c r="Q144" i="26"/>
  <c r="Q142" i="26"/>
  <c r="AA145" i="50"/>
  <c r="AO145" i="50" s="1"/>
  <c r="W145" i="50"/>
  <c r="AA144" i="50"/>
  <c r="AO144" i="50" s="1"/>
  <c r="W144" i="50"/>
  <c r="R48" i="35"/>
  <c r="AE49" i="35"/>
  <c r="AG49" i="35" s="1"/>
  <c r="AE53" i="35"/>
  <c r="D49" i="35"/>
  <c r="F49" i="35" s="1"/>
  <c r="H49" i="35" s="1"/>
  <c r="R44" i="35"/>
  <c r="R52" i="35"/>
  <c r="D57" i="35"/>
  <c r="M145" i="42"/>
  <c r="I145" i="42"/>
  <c r="G144" i="42"/>
  <c r="M144" i="42"/>
  <c r="I144" i="42"/>
  <c r="Y1" i="21"/>
  <c r="AB12" i="21" s="1"/>
  <c r="F62" i="37"/>
  <c r="T53" i="37"/>
  <c r="V53" i="37"/>
  <c r="AE70" i="40"/>
  <c r="AI69" i="40" s="1"/>
  <c r="F144" i="59"/>
  <c r="H141" i="59"/>
  <c r="H144" i="59" s="1"/>
  <c r="H14" i="16"/>
  <c r="I14" i="16" s="1"/>
  <c r="D14" i="16"/>
  <c r="F14" i="16" s="1"/>
  <c r="G14" i="16" s="1"/>
  <c r="AA145" i="43"/>
  <c r="AO145" i="43" s="1"/>
  <c r="AP145" i="43" s="1"/>
  <c r="W145" i="43"/>
  <c r="AA144" i="43"/>
  <c r="AO144" i="43" s="1"/>
  <c r="AP144" i="43" s="1"/>
  <c r="W144" i="43"/>
  <c r="L139" i="50"/>
  <c r="D137" i="50"/>
  <c r="K139" i="50"/>
  <c r="L140" i="50"/>
  <c r="G137" i="50"/>
  <c r="K140" i="50"/>
  <c r="C144" i="46"/>
  <c r="C143" i="46"/>
  <c r="F125" i="26"/>
  <c r="H122" i="26"/>
  <c r="H125" i="26" s="1"/>
  <c r="F125" i="39"/>
  <c r="H122" i="39"/>
  <c r="H125" i="39" s="1"/>
  <c r="H62" i="38"/>
  <c r="P148" i="44"/>
  <c r="Q148" i="44" s="1"/>
  <c r="O149" i="44"/>
  <c r="O150" i="47"/>
  <c r="P150" i="47" s="1"/>
  <c r="P149" i="47"/>
  <c r="M145" i="38"/>
  <c r="I145" i="38"/>
  <c r="G144" i="38"/>
  <c r="M144" i="38"/>
  <c r="I144" i="38"/>
  <c r="A150" i="39"/>
  <c r="B150" i="39" s="1"/>
  <c r="B149" i="39"/>
  <c r="V132" i="30"/>
  <c r="V135" i="30" s="1"/>
  <c r="T132" i="30"/>
  <c r="T135" i="30" s="1"/>
  <c r="X134" i="30" s="1"/>
  <c r="AB134" i="30" s="1"/>
  <c r="AG55" i="37"/>
  <c r="D138" i="37"/>
  <c r="F138" i="37" s="1"/>
  <c r="C137" i="37"/>
  <c r="G138" i="37"/>
  <c r="G138" i="30"/>
  <c r="D138" i="30"/>
  <c r="F138" i="30" s="1"/>
  <c r="C137" i="30"/>
  <c r="H5" i="7"/>
  <c r="I5" i="7" s="1"/>
  <c r="D5" i="7"/>
  <c r="F5" i="7" s="1"/>
  <c r="G5" i="7" s="1"/>
  <c r="X137" i="36"/>
  <c r="R139" i="36"/>
  <c r="AA145" i="27"/>
  <c r="AO145" i="27" s="1"/>
  <c r="AP145" i="27" s="1"/>
  <c r="W145" i="27"/>
  <c r="AA144" i="27"/>
  <c r="AO144" i="27" s="1"/>
  <c r="AP144" i="27" s="1"/>
  <c r="W144" i="27"/>
  <c r="D6" i="8"/>
  <c r="F6" i="8" s="1"/>
  <c r="G6" i="8" s="1"/>
  <c r="H6" i="8"/>
  <c r="I6" i="8" s="1"/>
  <c r="T39" i="35"/>
  <c r="T40" i="35" s="1"/>
  <c r="X39" i="35" s="1"/>
  <c r="G12" i="15"/>
  <c r="V127" i="40"/>
  <c r="V130" i="40" s="1"/>
  <c r="T127" i="40"/>
  <c r="T130" i="40" s="1"/>
  <c r="X129" i="40" s="1"/>
  <c r="AB129" i="40" s="1"/>
  <c r="O150" i="29"/>
  <c r="P150" i="29" s="1"/>
  <c r="P149" i="29"/>
  <c r="C148" i="35"/>
  <c r="C149" i="35"/>
  <c r="O149" i="37"/>
  <c r="P148" i="37"/>
  <c r="Q148" i="37" s="1"/>
  <c r="H138" i="28"/>
  <c r="H127" i="41"/>
  <c r="H130" i="41" s="1"/>
  <c r="F130" i="41"/>
  <c r="X55" i="39"/>
  <c r="X137" i="35"/>
  <c r="R139" i="35"/>
  <c r="N44" i="37"/>
  <c r="AQ44" i="37" s="1"/>
  <c r="AA150" i="38"/>
  <c r="AO150" i="38" s="1"/>
  <c r="AP150" i="38" s="1"/>
  <c r="W150" i="38"/>
  <c r="AA149" i="38"/>
  <c r="AO149" i="38" s="1"/>
  <c r="AP149" i="38" s="1"/>
  <c r="W149" i="38"/>
  <c r="M144" i="49"/>
  <c r="I144" i="49"/>
  <c r="M145" i="49"/>
  <c r="I145" i="49"/>
  <c r="G144" i="49"/>
  <c r="T83" i="43"/>
  <c r="V83" i="43"/>
  <c r="V132" i="38"/>
  <c r="V135" i="38" s="1"/>
  <c r="T132" i="38"/>
  <c r="T135" i="38" s="1"/>
  <c r="X134" i="38" s="1"/>
  <c r="AB134" i="38" s="1"/>
  <c r="K139" i="29"/>
  <c r="L140" i="29"/>
  <c r="G137" i="29"/>
  <c r="K140" i="29"/>
  <c r="L139" i="29"/>
  <c r="D137" i="29"/>
  <c r="P148" i="49"/>
  <c r="Q148" i="49" s="1"/>
  <c r="O149" i="49"/>
  <c r="C143" i="36"/>
  <c r="C144" i="36"/>
  <c r="AJ150" i="38"/>
  <c r="AJ149" i="38"/>
  <c r="C144" i="30"/>
  <c r="C143" i="30"/>
  <c r="AT143" i="59"/>
  <c r="M139" i="36"/>
  <c r="I139" i="36"/>
  <c r="M140" i="36"/>
  <c r="I140" i="36"/>
  <c r="G139" i="36"/>
  <c r="J55" i="38"/>
  <c r="H15" i="17"/>
  <c r="I15" i="17" s="1"/>
  <c r="D15" i="17"/>
  <c r="F15" i="17" s="1"/>
  <c r="G15" i="17" s="1"/>
  <c r="T37" i="33"/>
  <c r="V37" i="33"/>
  <c r="AG34" i="33"/>
  <c r="AG35" i="33" s="1"/>
  <c r="AE35" i="33"/>
  <c r="AI34" i="33" s="1"/>
  <c r="AM34" i="33" s="1"/>
  <c r="AS34" i="33" s="1"/>
  <c r="A150" i="36"/>
  <c r="B150" i="36" s="1"/>
  <c r="B149" i="36"/>
  <c r="D17" i="53"/>
  <c r="F17" i="53" s="1"/>
  <c r="G17" i="53" s="1"/>
  <c r="H17" i="53"/>
  <c r="I17" i="53" s="1"/>
  <c r="AE59" i="37"/>
  <c r="AG59" i="37" s="1"/>
  <c r="AE63" i="37"/>
  <c r="R58" i="37"/>
  <c r="R54" i="37"/>
  <c r="D59" i="37"/>
  <c r="F59" i="37" s="1"/>
  <c r="H59" i="37" s="1"/>
  <c r="D63" i="37"/>
  <c r="F63" i="37" s="1"/>
  <c r="H63" i="37" s="1"/>
  <c r="R62" i="37"/>
  <c r="C149" i="50"/>
  <c r="C148" i="50"/>
  <c r="F132" i="35"/>
  <c r="AV4" i="6"/>
  <c r="AX5" i="61"/>
  <c r="EX128" i="61" s="1"/>
  <c r="GI128" i="61" s="1"/>
  <c r="C23" i="49"/>
  <c r="AP5" i="6"/>
  <c r="Y4" i="6" s="1"/>
  <c r="B5" i="6"/>
  <c r="T127" i="27"/>
  <c r="T130" i="27" s="1"/>
  <c r="X129" i="27" s="1"/>
  <c r="AB129" i="27" s="1"/>
  <c r="V127" i="27"/>
  <c r="V130" i="27" s="1"/>
  <c r="A150" i="46"/>
  <c r="B150" i="46" s="1"/>
  <c r="B149" i="46"/>
  <c r="O150" i="41"/>
  <c r="P150" i="41" s="1"/>
  <c r="P149" i="41"/>
  <c r="V42" i="34"/>
  <c r="T42" i="34"/>
  <c r="V34" i="34"/>
  <c r="V35" i="34" s="1"/>
  <c r="X35" i="34" s="1"/>
  <c r="AB35" i="34" s="1"/>
  <c r="T34" i="34"/>
  <c r="T35" i="34" s="1"/>
  <c r="X34" i="34" s="1"/>
  <c r="AB34" i="34" s="1"/>
  <c r="AL149" i="47"/>
  <c r="AH149" i="47"/>
  <c r="AL150" i="47"/>
  <c r="AH150" i="47"/>
  <c r="AI147" i="47"/>
  <c r="AG83" i="42"/>
  <c r="Y140" i="38"/>
  <c r="Y139" i="38"/>
  <c r="Z140" i="38"/>
  <c r="Z139" i="38"/>
  <c r="R137" i="38"/>
  <c r="G143" i="32"/>
  <c r="D143" i="32"/>
  <c r="F143" i="32" s="1"/>
  <c r="C142" i="32"/>
  <c r="O149" i="28"/>
  <c r="P148" i="28"/>
  <c r="Q148" i="28" s="1"/>
  <c r="A150" i="37"/>
  <c r="B150" i="37" s="1"/>
  <c r="B149" i="37"/>
  <c r="O145" i="44"/>
  <c r="P145" i="44" s="1"/>
  <c r="P144" i="44"/>
  <c r="H47" i="35"/>
  <c r="H78" i="42"/>
  <c r="H80" i="42" s="1"/>
  <c r="F80" i="42"/>
  <c r="M140" i="46"/>
  <c r="I140" i="46"/>
  <c r="G139" i="46"/>
  <c r="M139" i="46"/>
  <c r="I139" i="46"/>
  <c r="Y1" i="20"/>
  <c r="AB15" i="20" s="1"/>
  <c r="T134" i="41"/>
  <c r="V134" i="41"/>
  <c r="Q137" i="46"/>
  <c r="Q139" i="46"/>
  <c r="AR120" i="45"/>
  <c r="AE54" i="36"/>
  <c r="AG54" i="36" s="1"/>
  <c r="R53" i="36"/>
  <c r="AE58" i="36"/>
  <c r="D54" i="36"/>
  <c r="D58" i="36"/>
  <c r="F58" i="36" s="1"/>
  <c r="H58" i="36" s="1"/>
  <c r="R57" i="36"/>
  <c r="D62" i="36"/>
  <c r="H77" i="40"/>
  <c r="O150" i="30"/>
  <c r="P150" i="30" s="1"/>
  <c r="P149" i="30"/>
  <c r="AQ12" i="61"/>
  <c r="L150" i="66" s="1"/>
  <c r="C16" i="42"/>
  <c r="B12" i="13"/>
  <c r="AP12" i="13"/>
  <c r="AI55" i="38"/>
  <c r="H12" i="14"/>
  <c r="I12" i="14" s="1"/>
  <c r="D12" i="14"/>
  <c r="F12" i="14" s="1"/>
  <c r="M145" i="47"/>
  <c r="I145" i="47"/>
  <c r="G144" i="47"/>
  <c r="M144" i="47"/>
  <c r="I144" i="47"/>
  <c r="AR120" i="27"/>
  <c r="AG78" i="41"/>
  <c r="T64" i="41"/>
  <c r="T65" i="41" s="1"/>
  <c r="X64" i="41" s="1"/>
  <c r="V64" i="41"/>
  <c r="V65" i="41" s="1"/>
  <c r="O149" i="45"/>
  <c r="P148" i="45"/>
  <c r="Q148" i="45" s="1"/>
  <c r="AF10" i="16"/>
  <c r="AF11" i="16" s="1"/>
  <c r="D143" i="31"/>
  <c r="F143" i="31" s="1"/>
  <c r="C142" i="31"/>
  <c r="G143" i="31"/>
  <c r="AS10" i="61"/>
  <c r="C18" i="44"/>
  <c r="B10" i="11"/>
  <c r="AP10" i="11"/>
  <c r="AR124" i="48"/>
  <c r="X132" i="37"/>
  <c r="R134" i="37"/>
  <c r="X132" i="45"/>
  <c r="R134" i="45"/>
  <c r="X125" i="31"/>
  <c r="AB125" i="31" s="1"/>
  <c r="AR124" i="31" s="1"/>
  <c r="Z135" i="37"/>
  <c r="Z134" i="37"/>
  <c r="R132" i="37"/>
  <c r="Y135" i="37"/>
  <c r="Y134" i="37"/>
  <c r="X132" i="46"/>
  <c r="R134" i="46"/>
  <c r="AA145" i="37"/>
  <c r="AO145" i="37" s="1"/>
  <c r="AP145" i="37" s="1"/>
  <c r="W145" i="37"/>
  <c r="AA144" i="37"/>
  <c r="AO144" i="37" s="1"/>
  <c r="AP144" i="37" s="1"/>
  <c r="W144" i="37"/>
  <c r="A150" i="43"/>
  <c r="B150" i="43" s="1"/>
  <c r="B149" i="43"/>
  <c r="Z135" i="46"/>
  <c r="Z134" i="46"/>
  <c r="R132" i="46"/>
  <c r="Y135" i="46"/>
  <c r="Y134" i="46"/>
  <c r="AL17" i="61"/>
  <c r="C11" i="37"/>
  <c r="AP17" i="18"/>
  <c r="B17" i="18"/>
  <c r="P144" i="37"/>
  <c r="O145" i="37"/>
  <c r="P145" i="37" s="1"/>
  <c r="Q137" i="40"/>
  <c r="Q139" i="40"/>
  <c r="H42" i="34"/>
  <c r="AB13" i="22"/>
  <c r="AB12" i="22"/>
  <c r="AB15" i="22"/>
  <c r="X132" i="34"/>
  <c r="R134" i="34"/>
  <c r="AA15" i="19"/>
  <c r="X15" i="19"/>
  <c r="X14" i="19"/>
  <c r="O149" i="46"/>
  <c r="P148" i="46"/>
  <c r="Q148" i="46" s="1"/>
  <c r="O145" i="39"/>
  <c r="P145" i="39" s="1"/>
  <c r="P144" i="39"/>
  <c r="F132" i="34"/>
  <c r="Q144" i="30"/>
  <c r="Q142" i="30"/>
  <c r="W162" i="59"/>
  <c r="R159" i="59"/>
  <c r="Z162" i="59"/>
  <c r="W161" i="59"/>
  <c r="Y162" i="59"/>
  <c r="Z161" i="59"/>
  <c r="Y161" i="59"/>
  <c r="O150" i="26"/>
  <c r="P150" i="26" s="1"/>
  <c r="P149" i="26"/>
  <c r="O149" i="39"/>
  <c r="P148" i="39"/>
  <c r="Q148" i="39" s="1"/>
  <c r="V129" i="46"/>
  <c r="T129" i="46"/>
  <c r="V44" i="36"/>
  <c r="V45" i="36" s="1"/>
  <c r="T44" i="36"/>
  <c r="T45" i="36" s="1"/>
  <c r="X44" i="36" s="1"/>
  <c r="V48" i="36"/>
  <c r="V50" i="36" s="1"/>
  <c r="T48" i="36"/>
  <c r="T50" i="36" s="1"/>
  <c r="X49" i="36" s="1"/>
  <c r="F127" i="30"/>
  <c r="X125" i="46"/>
  <c r="AB125" i="46" s="1"/>
  <c r="AR124" i="46" s="1"/>
  <c r="F94" i="44"/>
  <c r="H94" i="44" s="1"/>
  <c r="J92" i="44"/>
  <c r="X130" i="41"/>
  <c r="AB130" i="41" s="1"/>
  <c r="AR130" i="41" s="1"/>
  <c r="AF13" i="18"/>
  <c r="AF14" i="18" s="1"/>
  <c r="L140" i="32"/>
  <c r="G137" i="32"/>
  <c r="L139" i="32"/>
  <c r="D137" i="32"/>
  <c r="K139" i="32"/>
  <c r="K140" i="32"/>
  <c r="AU8" i="61"/>
  <c r="C20" i="46"/>
  <c r="B8" i="9"/>
  <c r="AP8" i="9"/>
  <c r="A150" i="30"/>
  <c r="B150" i="30" s="1"/>
  <c r="B149" i="30"/>
  <c r="H133" i="39"/>
  <c r="M145" i="28"/>
  <c r="I145" i="28"/>
  <c r="G144" i="28"/>
  <c r="M144" i="28"/>
  <c r="I144" i="28"/>
  <c r="AG73" i="40"/>
  <c r="H22" i="24"/>
  <c r="I22" i="24" s="1"/>
  <c r="D22" i="24"/>
  <c r="F22" i="24" s="1"/>
  <c r="G22" i="24" s="1"/>
  <c r="X130" i="36"/>
  <c r="AB130" i="36" s="1"/>
  <c r="AR130" i="36" s="1"/>
  <c r="V62" i="38"/>
  <c r="T62" i="38"/>
  <c r="AG63" i="38"/>
  <c r="V134" i="30"/>
  <c r="T134" i="30"/>
  <c r="X137" i="42"/>
  <c r="R139" i="42"/>
  <c r="T127" i="31"/>
  <c r="T130" i="31" s="1"/>
  <c r="X129" i="31" s="1"/>
  <c r="AB129" i="31" s="1"/>
  <c r="V127" i="31"/>
  <c r="V130" i="31" s="1"/>
  <c r="D143" i="27"/>
  <c r="F143" i="27" s="1"/>
  <c r="C142" i="27"/>
  <c r="G143" i="27"/>
  <c r="T134" i="47"/>
  <c r="V134" i="47"/>
  <c r="AF4" i="9"/>
  <c r="AL149" i="29"/>
  <c r="AH149" i="29"/>
  <c r="AL150" i="29"/>
  <c r="AH150" i="29"/>
  <c r="AI147" i="29"/>
  <c r="P144" i="34"/>
  <c r="O145" i="34"/>
  <c r="P145" i="34" s="1"/>
  <c r="AA4" i="7"/>
  <c r="Z135" i="44"/>
  <c r="Z134" i="44"/>
  <c r="R132" i="44"/>
  <c r="Y135" i="44"/>
  <c r="Y134" i="44"/>
  <c r="M145" i="34"/>
  <c r="I145" i="34"/>
  <c r="G144" i="34"/>
  <c r="M144" i="34"/>
  <c r="I144" i="34"/>
  <c r="V72" i="39"/>
  <c r="T72" i="39"/>
  <c r="V63" i="39"/>
  <c r="T63" i="39"/>
  <c r="F127" i="46"/>
  <c r="AJ15" i="23"/>
  <c r="AI15" i="23"/>
  <c r="AE39" i="33"/>
  <c r="AG39" i="33" s="1"/>
  <c r="D43" i="33"/>
  <c r="F43" i="33" s="1"/>
  <c r="H43" i="33" s="1"/>
  <c r="D39" i="33"/>
  <c r="F39" i="33" s="1"/>
  <c r="H39" i="33" s="1"/>
  <c r="R34" i="33"/>
  <c r="AE43" i="33"/>
  <c r="R38" i="33"/>
  <c r="R42" i="33"/>
  <c r="D47" i="33"/>
  <c r="H154" i="59"/>
  <c r="AA145" i="49"/>
  <c r="AO145" i="49" s="1"/>
  <c r="AP145" i="49" s="1"/>
  <c r="W145" i="49"/>
  <c r="AA144" i="49"/>
  <c r="AO144" i="49" s="1"/>
  <c r="AP144" i="49" s="1"/>
  <c r="W144" i="49"/>
  <c r="AG4" i="8"/>
  <c r="Z140" i="48"/>
  <c r="Z139" i="48"/>
  <c r="R137" i="48"/>
  <c r="Y140" i="48"/>
  <c r="Y139" i="48"/>
  <c r="AE48" i="34"/>
  <c r="AE44" i="34"/>
  <c r="AG44" i="34" s="1"/>
  <c r="R43" i="34"/>
  <c r="R39" i="34"/>
  <c r="D44" i="34"/>
  <c r="D48" i="34"/>
  <c r="F48" i="34" s="1"/>
  <c r="H48" i="34" s="1"/>
  <c r="AO14" i="61"/>
  <c r="C14" i="40"/>
  <c r="R69" i="40" s="1"/>
  <c r="AP14" i="15"/>
  <c r="Y13" i="15" s="1"/>
  <c r="X12" i="15" s="1"/>
  <c r="B14" i="15"/>
  <c r="X132" i="49"/>
  <c r="R134" i="49"/>
  <c r="M145" i="50"/>
  <c r="I145" i="50"/>
  <c r="G144" i="50"/>
  <c r="M144" i="50"/>
  <c r="I144" i="50"/>
  <c r="D144" i="50"/>
  <c r="F144" i="50" s="1"/>
  <c r="K139" i="38"/>
  <c r="L140" i="38"/>
  <c r="G137" i="38"/>
  <c r="K140" i="38"/>
  <c r="L139" i="38"/>
  <c r="D137" i="38"/>
  <c r="C148" i="47"/>
  <c r="C149" i="47"/>
  <c r="AA150" i="36"/>
  <c r="AO150" i="36" s="1"/>
  <c r="AP150" i="36" s="1"/>
  <c r="W150" i="36"/>
  <c r="AA149" i="36"/>
  <c r="AO149" i="36" s="1"/>
  <c r="AP149" i="36" s="1"/>
  <c r="W149" i="36"/>
  <c r="L134" i="46"/>
  <c r="D132" i="46"/>
  <c r="K134" i="46"/>
  <c r="L135" i="46"/>
  <c r="G132" i="46"/>
  <c r="K135" i="46"/>
  <c r="V134" i="48"/>
  <c r="T134" i="48"/>
  <c r="P144" i="50"/>
  <c r="O145" i="50"/>
  <c r="P145" i="50" s="1"/>
  <c r="AV19" i="21"/>
  <c r="F147" i="59"/>
  <c r="C142" i="42"/>
  <c r="G143" i="42"/>
  <c r="D143" i="42"/>
  <c r="F143" i="42" s="1"/>
  <c r="AF15" i="21"/>
  <c r="AF16" i="21" s="1"/>
  <c r="AI1" i="21"/>
  <c r="V57" i="37"/>
  <c r="T57" i="37"/>
  <c r="AG58" i="37"/>
  <c r="Q139" i="49"/>
  <c r="Q137" i="49"/>
  <c r="AA10" i="13"/>
  <c r="M140" i="45"/>
  <c r="I140" i="45"/>
  <c r="G139" i="45"/>
  <c r="M139" i="45"/>
  <c r="I139" i="45"/>
  <c r="Y7" i="10"/>
  <c r="AE74" i="40"/>
  <c r="AG74" i="40" s="1"/>
  <c r="AE78" i="40"/>
  <c r="D74" i="40"/>
  <c r="R73" i="40"/>
  <c r="R64" i="40"/>
  <c r="D78" i="40"/>
  <c r="Q142" i="47"/>
  <c r="Q144" i="47"/>
  <c r="Q167" i="59"/>
  <c r="Q165" i="59"/>
  <c r="H10" i="12"/>
  <c r="I10" i="12" s="1"/>
  <c r="D10" i="12"/>
  <c r="F10" i="12" s="1"/>
  <c r="G10" i="12" s="1"/>
  <c r="V153" i="59"/>
  <c r="V156" i="59" s="1"/>
  <c r="T153" i="59"/>
  <c r="T156" i="59" s="1"/>
  <c r="X155" i="59" s="1"/>
  <c r="AB155" i="59" s="1"/>
  <c r="V129" i="39"/>
  <c r="T129" i="39"/>
  <c r="AG60" i="38"/>
  <c r="K140" i="33"/>
  <c r="L139" i="33"/>
  <c r="D137" i="33"/>
  <c r="K139" i="33"/>
  <c r="L140" i="33"/>
  <c r="G137" i="33"/>
  <c r="D143" i="44"/>
  <c r="F143" i="44" s="1"/>
  <c r="C142" i="44"/>
  <c r="G143" i="44"/>
  <c r="H138" i="35"/>
  <c r="C142" i="38"/>
  <c r="G143" i="38"/>
  <c r="D143" i="38"/>
  <c r="F143" i="38" s="1"/>
  <c r="Q139" i="33"/>
  <c r="Q137" i="33"/>
  <c r="AA145" i="46"/>
  <c r="AO145" i="46" s="1"/>
  <c r="AP145" i="46" s="1"/>
  <c r="W145" i="46"/>
  <c r="AA144" i="46"/>
  <c r="AO144" i="46" s="1"/>
  <c r="AP144" i="46" s="1"/>
  <c r="W144" i="46"/>
  <c r="AE55" i="37"/>
  <c r="AI54" i="37" s="1"/>
  <c r="M140" i="37"/>
  <c r="I140" i="37"/>
  <c r="G139" i="37"/>
  <c r="M139" i="37"/>
  <c r="I139" i="37"/>
  <c r="M139" i="30"/>
  <c r="I139" i="30"/>
  <c r="M140" i="30"/>
  <c r="I140" i="30"/>
  <c r="G139" i="30"/>
  <c r="C144" i="48"/>
  <c r="C143" i="48"/>
  <c r="F132" i="27"/>
  <c r="J40" i="35"/>
  <c r="N40" i="35" s="1"/>
  <c r="AQ40" i="35" s="1"/>
  <c r="J39" i="35"/>
  <c r="N39" i="35" s="1"/>
  <c r="AQ39" i="35" s="1"/>
  <c r="H50" i="36"/>
  <c r="AV5" i="7"/>
  <c r="L135" i="26"/>
  <c r="G132" i="26"/>
  <c r="K135" i="26"/>
  <c r="L134" i="26"/>
  <c r="D132" i="26"/>
  <c r="K134" i="26"/>
  <c r="Z135" i="31"/>
  <c r="Z134" i="31"/>
  <c r="R132" i="31"/>
  <c r="Y135" i="31"/>
  <c r="Y134" i="31"/>
  <c r="H38" i="34"/>
  <c r="H40" i="34" s="1"/>
  <c r="F40" i="34"/>
  <c r="F127" i="45"/>
  <c r="Q137" i="37"/>
  <c r="Q139" i="37"/>
  <c r="L139" i="34"/>
  <c r="D137" i="34"/>
  <c r="K139" i="34"/>
  <c r="L140" i="34"/>
  <c r="G137" i="34"/>
  <c r="K140" i="34"/>
  <c r="AA145" i="45"/>
  <c r="AO145" i="45" s="1"/>
  <c r="AP145" i="45" s="1"/>
  <c r="W144" i="45"/>
  <c r="W145" i="45"/>
  <c r="AA144" i="45"/>
  <c r="AO144" i="45" s="1"/>
  <c r="AP144" i="45" s="1"/>
  <c r="H138" i="41"/>
  <c r="AV6" i="8"/>
  <c r="A150" i="45"/>
  <c r="B150" i="45" s="1"/>
  <c r="B149" i="45"/>
  <c r="F44" i="35"/>
  <c r="J42" i="35"/>
  <c r="AJ150" i="41"/>
  <c r="AJ149" i="41"/>
  <c r="J95" i="45"/>
  <c r="N95" i="45" s="1"/>
  <c r="AQ95" i="45" s="1"/>
  <c r="J94" i="45"/>
  <c r="N94" i="45" s="1"/>
  <c r="AQ94" i="45" s="1"/>
  <c r="A150" i="26"/>
  <c r="B150" i="26" s="1"/>
  <c r="B149" i="26"/>
  <c r="H74" i="42"/>
  <c r="H75" i="42" s="1"/>
  <c r="J75" i="42" s="1"/>
  <c r="F75" i="42"/>
  <c r="J74" i="42" s="1"/>
  <c r="H127" i="38"/>
  <c r="H130" i="38" s="1"/>
  <c r="F130" i="38"/>
  <c r="H127" i="35"/>
  <c r="H130" i="35" s="1"/>
  <c r="F130" i="35"/>
  <c r="H133" i="36"/>
  <c r="H127" i="50"/>
  <c r="H130" i="50" s="1"/>
  <c r="F130" i="50"/>
  <c r="P148" i="27"/>
  <c r="Q148" i="27" s="1"/>
  <c r="O149" i="27"/>
  <c r="Y140" i="35"/>
  <c r="Y139" i="35"/>
  <c r="Z140" i="35"/>
  <c r="Z139" i="35"/>
  <c r="R137" i="35"/>
  <c r="H127" i="34"/>
  <c r="H130" i="34" s="1"/>
  <c r="F130" i="34"/>
  <c r="O150" i="38"/>
  <c r="P150" i="38" s="1"/>
  <c r="P149" i="38"/>
  <c r="F132" i="38"/>
  <c r="AG88" i="43"/>
  <c r="Q137" i="28"/>
  <c r="Q139" i="28"/>
  <c r="AJ150" i="35"/>
  <c r="AJ149" i="35"/>
  <c r="F132" i="33"/>
  <c r="F132" i="32"/>
  <c r="AL149" i="38"/>
  <c r="AH149" i="38"/>
  <c r="AL150" i="38"/>
  <c r="AH150" i="38"/>
  <c r="AI147" i="38"/>
  <c r="V129" i="31"/>
  <c r="T129" i="31"/>
  <c r="C137" i="36"/>
  <c r="G138" i="36"/>
  <c r="D138" i="36"/>
  <c r="F138" i="36" s="1"/>
  <c r="Q137" i="50"/>
  <c r="Q139" i="50"/>
  <c r="X40" i="36"/>
  <c r="AK39" i="36"/>
  <c r="AM39" i="36" s="1"/>
  <c r="AS39" i="36" s="1"/>
  <c r="L44" i="36"/>
  <c r="Z39" i="36"/>
  <c r="AB39" i="36" s="1"/>
  <c r="T132" i="47"/>
  <c r="T135" i="47" s="1"/>
  <c r="X134" i="47" s="1"/>
  <c r="AB134" i="47" s="1"/>
  <c r="V132" i="47"/>
  <c r="V135" i="47" s="1"/>
  <c r="AE69" i="39"/>
  <c r="AG69" i="39" s="1"/>
  <c r="AE73" i="39"/>
  <c r="R68" i="39"/>
  <c r="D69" i="39"/>
  <c r="F38" i="33"/>
  <c r="T127" i="44"/>
  <c r="T130" i="44" s="1"/>
  <c r="X129" i="44" s="1"/>
  <c r="AB129" i="44" s="1"/>
  <c r="V127" i="44"/>
  <c r="V130" i="44" s="1"/>
  <c r="K140" i="49"/>
  <c r="L139" i="49"/>
  <c r="D137" i="49"/>
  <c r="K139" i="49"/>
  <c r="L140" i="49"/>
  <c r="G137" i="49"/>
  <c r="AV17" i="53"/>
  <c r="AK18" i="61"/>
  <c r="AP18" i="19"/>
  <c r="B18" i="19"/>
  <c r="C10" i="36"/>
  <c r="D67" i="36" s="1"/>
  <c r="F67" i="36" s="1"/>
  <c r="B18" i="53"/>
  <c r="AP18" i="53"/>
  <c r="J47" i="36"/>
  <c r="AI70" i="41"/>
  <c r="P148" i="31"/>
  <c r="Q148" i="31" s="1"/>
  <c r="O149" i="31"/>
  <c r="C149" i="31"/>
  <c r="C148" i="31"/>
  <c r="C148" i="38"/>
  <c r="C149" i="38"/>
  <c r="V78" i="42"/>
  <c r="T78" i="42"/>
  <c r="V129" i="40"/>
  <c r="T129" i="40"/>
  <c r="C143" i="45"/>
  <c r="C144" i="45"/>
  <c r="M145" i="32"/>
  <c r="I145" i="32"/>
  <c r="G144" i="32"/>
  <c r="I144" i="32"/>
  <c r="M144" i="32"/>
  <c r="AA145" i="44"/>
  <c r="AO145" i="44" s="1"/>
  <c r="AP145" i="44" s="1"/>
  <c r="W145" i="44"/>
  <c r="AA144" i="44"/>
  <c r="AO144" i="44" s="1"/>
  <c r="AP144" i="44" s="1"/>
  <c r="W144" i="44"/>
  <c r="V129" i="33"/>
  <c r="T129" i="33"/>
  <c r="F132" i="29"/>
  <c r="F127" i="26"/>
  <c r="AF15" i="20"/>
  <c r="AF16" i="20" s="1"/>
  <c r="AI1" i="20"/>
  <c r="V129" i="49"/>
  <c r="T129" i="49"/>
  <c r="AV18" i="20"/>
  <c r="AA150" i="30"/>
  <c r="AO150" i="30" s="1"/>
  <c r="AP150" i="30" s="1"/>
  <c r="W150" i="30"/>
  <c r="AA149" i="30"/>
  <c r="AO149" i="30" s="1"/>
  <c r="AP149" i="30" s="1"/>
  <c r="W149" i="30"/>
  <c r="AE93" i="43"/>
  <c r="AE89" i="43"/>
  <c r="AG89" i="43" s="1"/>
  <c r="R88" i="43"/>
  <c r="D89" i="43"/>
  <c r="O150" i="48"/>
  <c r="P150" i="48" s="1"/>
  <c r="P149" i="48"/>
  <c r="AV12" i="14"/>
  <c r="C142" i="47"/>
  <c r="D143" i="47"/>
  <c r="F143" i="47" s="1"/>
  <c r="G143" i="47"/>
  <c r="F74" i="41"/>
  <c r="J72" i="41"/>
  <c r="M144" i="31"/>
  <c r="I144" i="31"/>
  <c r="M145" i="31"/>
  <c r="I145" i="31"/>
  <c r="G144" i="31"/>
  <c r="AV9" i="11"/>
  <c r="L135" i="43"/>
  <c r="G132" i="43"/>
  <c r="K135" i="43"/>
  <c r="L134" i="43"/>
  <c r="D132" i="43"/>
  <c r="K134" i="43"/>
  <c r="X11" i="15"/>
  <c r="AA8" i="12"/>
  <c r="F130" i="33"/>
  <c r="H127" i="33"/>
  <c r="H130" i="33" s="1"/>
  <c r="T134" i="36"/>
  <c r="V134" i="36"/>
  <c r="R63" i="38"/>
  <c r="AE64" i="38"/>
  <c r="AG64" i="38" s="1"/>
  <c r="D64" i="38"/>
  <c r="F64" i="38" s="1"/>
  <c r="H64" i="38" s="1"/>
  <c r="R59" i="38"/>
  <c r="AE68" i="38"/>
  <c r="X132" i="50"/>
  <c r="R134" i="50"/>
  <c r="Q139" i="27"/>
  <c r="Q137" i="27"/>
  <c r="AA145" i="28"/>
  <c r="AO145" i="28" s="1"/>
  <c r="AP145" i="28" s="1"/>
  <c r="W145" i="28"/>
  <c r="AA144" i="28"/>
  <c r="AO144" i="28" s="1"/>
  <c r="AP144" i="28" s="1"/>
  <c r="W144" i="28"/>
  <c r="AB10" i="22"/>
  <c r="AB14" i="22"/>
  <c r="AB16" i="22"/>
  <c r="Z135" i="34"/>
  <c r="Z134" i="34"/>
  <c r="R132" i="34"/>
  <c r="Y135" i="34"/>
  <c r="Y134" i="34"/>
  <c r="AJ16" i="23"/>
  <c r="AI16" i="23"/>
  <c r="AG6" i="11"/>
  <c r="F127" i="37"/>
  <c r="J65" i="40"/>
  <c r="J64" i="40"/>
  <c r="X137" i="47"/>
  <c r="R139" i="47"/>
  <c r="R161" i="59"/>
  <c r="X159" i="59"/>
  <c r="V129" i="34"/>
  <c r="T129" i="34"/>
  <c r="H127" i="42"/>
  <c r="H130" i="42" s="1"/>
  <c r="F130" i="42"/>
  <c r="AA150" i="26"/>
  <c r="AO150" i="26" s="1"/>
  <c r="AP150" i="26" s="1"/>
  <c r="W150" i="26"/>
  <c r="AA149" i="26"/>
  <c r="AO149" i="26" s="1"/>
  <c r="AP149" i="26" s="1"/>
  <c r="W149" i="26"/>
  <c r="AA13" i="17"/>
  <c r="AG13" i="17" s="1"/>
  <c r="D143" i="40"/>
  <c r="F143" i="40" s="1"/>
  <c r="C142" i="40"/>
  <c r="G143" i="40"/>
  <c r="H122" i="37"/>
  <c r="H125" i="37" s="1"/>
  <c r="F125" i="37"/>
  <c r="AG98" i="44"/>
  <c r="F89" i="44"/>
  <c r="J87" i="44"/>
  <c r="H8" i="10"/>
  <c r="I8" i="10" s="1"/>
  <c r="D8" i="10"/>
  <c r="AF6" i="12"/>
  <c r="AF7" i="12" s="1"/>
  <c r="AV7" i="9"/>
  <c r="F132" i="40"/>
  <c r="M145" i="41"/>
  <c r="I145" i="41"/>
  <c r="G144" i="41"/>
  <c r="M144" i="41"/>
  <c r="I144" i="41"/>
  <c r="D143" i="33"/>
  <c r="F143" i="33" s="1"/>
  <c r="C142" i="33"/>
  <c r="G143" i="33"/>
  <c r="M145" i="29"/>
  <c r="I145" i="29"/>
  <c r="G144" i="29"/>
  <c r="M144" i="29"/>
  <c r="I144" i="29"/>
  <c r="V155" i="59"/>
  <c r="T155" i="59"/>
  <c r="M145" i="35"/>
  <c r="I145" i="35"/>
  <c r="G144" i="35"/>
  <c r="M144" i="35"/>
  <c r="I144" i="35"/>
  <c r="F127" i="39"/>
  <c r="F127" i="48"/>
  <c r="C148" i="41"/>
  <c r="C149" i="41"/>
  <c r="AE34" i="32"/>
  <c r="D38" i="32"/>
  <c r="AE38" i="32"/>
  <c r="R33" i="32"/>
  <c r="R37" i="32"/>
  <c r="D42" i="32"/>
  <c r="Y140" i="42"/>
  <c r="Y139" i="42"/>
  <c r="Z139" i="42"/>
  <c r="Z140" i="42"/>
  <c r="R137" i="42"/>
  <c r="M144" i="27"/>
  <c r="I144" i="27"/>
  <c r="M145" i="27"/>
  <c r="I145" i="27"/>
  <c r="G144" i="27"/>
  <c r="X132" i="44"/>
  <c r="R134" i="44"/>
  <c r="T132" i="36"/>
  <c r="T135" i="36" s="1"/>
  <c r="X134" i="36" s="1"/>
  <c r="AB134" i="36" s="1"/>
  <c r="V132" i="36"/>
  <c r="V135" i="36" s="1"/>
  <c r="AG68" i="39"/>
  <c r="AE90" i="44"/>
  <c r="AI89" i="44" s="1"/>
  <c r="H21" i="23"/>
  <c r="I21" i="23" s="1"/>
  <c r="D21" i="23"/>
  <c r="F21" i="23" s="1"/>
  <c r="G21" i="23" s="1"/>
  <c r="H127" i="40"/>
  <c r="H130" i="40" s="1"/>
  <c r="F130" i="40"/>
  <c r="G138" i="43"/>
  <c r="D138" i="43"/>
  <c r="F138" i="43" s="1"/>
  <c r="C137" i="43"/>
  <c r="O149" i="34"/>
  <c r="P148" i="34"/>
  <c r="Q148" i="34" s="1"/>
  <c r="R139" i="48"/>
  <c r="X137" i="48"/>
  <c r="G138" i="48"/>
  <c r="D138" i="48"/>
  <c r="F138" i="48" s="1"/>
  <c r="C137" i="48"/>
  <c r="F132" i="28"/>
  <c r="AV20" i="22"/>
  <c r="AV13" i="15"/>
  <c r="AA150" i="35"/>
  <c r="AO150" i="35" s="1"/>
  <c r="AP150" i="35" s="1"/>
  <c r="W150" i="35"/>
  <c r="AA149" i="35"/>
  <c r="AO149" i="35" s="1"/>
  <c r="AP149" i="35" s="1"/>
  <c r="W149" i="35"/>
  <c r="J57" i="38"/>
  <c r="Q142" i="42"/>
  <c r="Q144" i="42"/>
  <c r="AR124" i="40"/>
  <c r="H19" i="21"/>
  <c r="I19" i="21" s="1"/>
  <c r="D19" i="21"/>
  <c r="F19" i="21" s="1"/>
  <c r="G19" i="21" s="1"/>
  <c r="K139" i="42"/>
  <c r="K140" i="42"/>
  <c r="L140" i="42"/>
  <c r="G137" i="42"/>
  <c r="L139" i="42"/>
  <c r="D137" i="42"/>
  <c r="AA145" i="40"/>
  <c r="AO145" i="40" s="1"/>
  <c r="AP145" i="40" s="1"/>
  <c r="W145" i="40"/>
  <c r="AA144" i="40"/>
  <c r="AO144" i="40" s="1"/>
  <c r="AP144" i="40" s="1"/>
  <c r="W144" i="40"/>
  <c r="O145" i="33"/>
  <c r="P145" i="33" s="1"/>
  <c r="P144" i="33"/>
  <c r="C137" i="45"/>
  <c r="G138" i="45"/>
  <c r="D138" i="45"/>
  <c r="F138" i="45" s="1"/>
  <c r="X137" i="29"/>
  <c r="R139" i="29"/>
  <c r="C144" i="37"/>
  <c r="C143" i="37"/>
  <c r="AN15" i="61"/>
  <c r="L192" i="66" s="1"/>
  <c r="C13" i="39"/>
  <c r="B15" i="16"/>
  <c r="AP15" i="16"/>
  <c r="V127" i="37"/>
  <c r="V130" i="37" s="1"/>
  <c r="T127" i="37"/>
  <c r="T130" i="37" s="1"/>
  <c r="X129" i="37" s="1"/>
  <c r="AB129" i="37" s="1"/>
  <c r="AR11" i="61"/>
  <c r="AP11" i="12"/>
  <c r="C17" i="43"/>
  <c r="AE94" i="43" s="1"/>
  <c r="AG94" i="43" s="1"/>
  <c r="B11" i="12"/>
  <c r="AE60" i="38"/>
  <c r="AI59" i="38" s="1"/>
  <c r="H138" i="33"/>
  <c r="M144" i="44"/>
  <c r="I144" i="44"/>
  <c r="M145" i="44"/>
  <c r="I145" i="44"/>
  <c r="G144" i="44"/>
  <c r="L135" i="30"/>
  <c r="G132" i="30"/>
  <c r="K135" i="30"/>
  <c r="L134" i="30"/>
  <c r="D132" i="30"/>
  <c r="K134" i="30"/>
  <c r="V129" i="28"/>
  <c r="T129" i="28"/>
  <c r="H127" i="32"/>
  <c r="H130" i="32" s="1"/>
  <c r="F130" i="32"/>
  <c r="A150" i="48"/>
  <c r="B150" i="48" s="1"/>
  <c r="B149" i="48"/>
  <c r="P144" i="46"/>
  <c r="O145" i="46"/>
  <c r="P145" i="46" s="1"/>
  <c r="AE50" i="36"/>
  <c r="AI49" i="36" s="1"/>
  <c r="Q142" i="29"/>
  <c r="Q144" i="29"/>
  <c r="Q144" i="48"/>
  <c r="Q142" i="48"/>
  <c r="F50" i="36"/>
  <c r="F4" i="7"/>
  <c r="J50" i="37"/>
  <c r="J49" i="37"/>
  <c r="F130" i="44"/>
  <c r="H127" i="44"/>
  <c r="H130" i="44" s="1"/>
  <c r="X132" i="31"/>
  <c r="R134" i="31"/>
  <c r="C149" i="28"/>
  <c r="C148" i="28"/>
  <c r="Y15" i="18"/>
  <c r="Z135" i="43"/>
  <c r="Z134" i="43"/>
  <c r="R132" i="43"/>
  <c r="Y135" i="43"/>
  <c r="Y134" i="43"/>
  <c r="O145" i="45"/>
  <c r="P145" i="45" s="1"/>
  <c r="P144" i="45"/>
  <c r="AV7" i="61"/>
  <c r="AP7" i="8"/>
  <c r="B7" i="8"/>
  <c r="C21" i="47"/>
  <c r="V43" i="35"/>
  <c r="T43" i="35"/>
  <c r="C144" i="43"/>
  <c r="C143" i="43"/>
  <c r="AL149" i="41"/>
  <c r="AH149" i="41"/>
  <c r="AL150" i="41"/>
  <c r="AH150" i="41"/>
  <c r="AI147" i="41"/>
  <c r="V127" i="43"/>
  <c r="V130" i="43" s="1"/>
  <c r="T127" i="43"/>
  <c r="T130" i="43" s="1"/>
  <c r="X129" i="43" s="1"/>
  <c r="AB129" i="43" s="1"/>
  <c r="H127" i="29"/>
  <c r="H130" i="29" s="1"/>
  <c r="F130" i="29"/>
  <c r="X132" i="40"/>
  <c r="R134" i="40"/>
  <c r="J44" i="36"/>
  <c r="J45" i="36"/>
  <c r="H72" i="39"/>
  <c r="V132" i="48"/>
  <c r="V135" i="48" s="1"/>
  <c r="T132" i="48"/>
  <c r="T135" i="48" s="1"/>
  <c r="X134" i="48" s="1"/>
  <c r="AB134" i="48" s="1"/>
  <c r="V132" i="41"/>
  <c r="V135" i="41" s="1"/>
  <c r="T132" i="41"/>
  <c r="T135" i="41" s="1"/>
  <c r="X134" i="41" s="1"/>
  <c r="AB134" i="41" s="1"/>
  <c r="L139" i="40"/>
  <c r="D137" i="40"/>
  <c r="K139" i="40"/>
  <c r="L140" i="40"/>
  <c r="G137" i="40"/>
  <c r="K140" i="40"/>
  <c r="Z140" i="26"/>
  <c r="Z139" i="26"/>
  <c r="R137" i="26"/>
  <c r="Y140" i="26"/>
  <c r="Y139" i="26"/>
  <c r="AL149" i="35"/>
  <c r="AH149" i="35"/>
  <c r="AL150" i="35"/>
  <c r="AH150" i="35"/>
  <c r="AI147" i="35"/>
  <c r="O149" i="50"/>
  <c r="P148" i="50"/>
  <c r="Q148" i="50" s="1"/>
  <c r="V129" i="37"/>
  <c r="T129" i="37"/>
  <c r="Q139" i="44"/>
  <c r="Q137" i="44"/>
  <c r="AK40" i="36"/>
  <c r="AM40" i="36" s="1"/>
  <c r="AS40" i="36" s="1"/>
  <c r="Z40" i="36"/>
  <c r="L45" i="36"/>
  <c r="AM16" i="61"/>
  <c r="AP16" i="17"/>
  <c r="C12" i="38"/>
  <c r="D77" i="38" s="1"/>
  <c r="B16" i="17"/>
  <c r="AG38" i="33"/>
  <c r="AV17" i="19"/>
  <c r="C149" i="32"/>
  <c r="C148" i="32"/>
  <c r="K134" i="45"/>
  <c r="L135" i="45"/>
  <c r="K135" i="45"/>
  <c r="L134" i="45"/>
  <c r="G132" i="45"/>
  <c r="D132" i="45"/>
  <c r="L135" i="48"/>
  <c r="G132" i="48"/>
  <c r="K135" i="48"/>
  <c r="L134" i="48"/>
  <c r="D132" i="48"/>
  <c r="K134" i="48"/>
  <c r="H4" i="6"/>
  <c r="I4" i="6" s="1"/>
  <c r="D4" i="6"/>
  <c r="J70" i="41"/>
  <c r="AA150" i="42"/>
  <c r="AO150" i="42" s="1"/>
  <c r="AP150" i="42" s="1"/>
  <c r="W150" i="42"/>
  <c r="AA149" i="42"/>
  <c r="AO149" i="42" s="1"/>
  <c r="AP149" i="42" s="1"/>
  <c r="W149" i="42"/>
  <c r="A174" i="59"/>
  <c r="B174" i="59" s="1"/>
  <c r="B173" i="59"/>
  <c r="AJ14" i="23"/>
  <c r="AI14" i="23"/>
  <c r="C148" i="29"/>
  <c r="C149" i="29"/>
  <c r="T38" i="34"/>
  <c r="V38" i="34"/>
  <c r="F132" i="44"/>
  <c r="F127" i="36"/>
  <c r="Y5" i="8"/>
  <c r="V74" i="42"/>
  <c r="V75" i="42" s="1"/>
  <c r="T74" i="42"/>
  <c r="T75" i="42" s="1"/>
  <c r="X74" i="42" s="1"/>
  <c r="C166" i="59"/>
  <c r="C167" i="59"/>
  <c r="C148" i="42"/>
  <c r="C149" i="42"/>
  <c r="H65" i="39"/>
  <c r="J65" i="39" s="1"/>
  <c r="X129" i="33"/>
  <c r="AB129" i="33" s="1"/>
  <c r="K140" i="27"/>
  <c r="L139" i="27"/>
  <c r="D137" i="27"/>
  <c r="K139" i="27"/>
  <c r="L140" i="27"/>
  <c r="G137" i="27"/>
  <c r="V127" i="46"/>
  <c r="V130" i="46" s="1"/>
  <c r="T127" i="46"/>
  <c r="T130" i="46" s="1"/>
  <c r="X129" i="46" s="1"/>
  <c r="AB129" i="46" s="1"/>
  <c r="F130" i="27"/>
  <c r="H127" i="27"/>
  <c r="H130" i="27" s="1"/>
  <c r="O145" i="31"/>
  <c r="P145" i="31" s="1"/>
  <c r="P144" i="31"/>
  <c r="AJ19" i="61"/>
  <c r="AP19" i="20"/>
  <c r="C9" i="35"/>
  <c r="R49" i="35" s="1"/>
  <c r="B19" i="20"/>
  <c r="AJ149" i="44"/>
  <c r="AJ150" i="44"/>
  <c r="AA174" i="59"/>
  <c r="AQ174" i="59" s="1"/>
  <c r="AR174" i="59" s="1"/>
  <c r="W174" i="59"/>
  <c r="AA173" i="59"/>
  <c r="AQ173" i="59" s="1"/>
  <c r="AR173" i="59" s="1"/>
  <c r="W173" i="59"/>
  <c r="H11" i="13"/>
  <c r="I11" i="13" s="1"/>
  <c r="D11" i="13"/>
  <c r="AA150" i="48"/>
  <c r="AO150" i="48" s="1"/>
  <c r="AP150" i="48" s="1"/>
  <c r="W150" i="48"/>
  <c r="AA149" i="48"/>
  <c r="AO149" i="48" s="1"/>
  <c r="AP149" i="48" s="1"/>
  <c r="W149" i="48"/>
  <c r="R134" i="39"/>
  <c r="X132" i="39"/>
  <c r="AE84" i="42"/>
  <c r="AG84" i="42" s="1"/>
  <c r="AE88" i="42"/>
  <c r="R83" i="42"/>
  <c r="D84" i="42"/>
  <c r="X137" i="41"/>
  <c r="R139" i="41"/>
  <c r="V73" i="41"/>
  <c r="T73" i="41"/>
  <c r="F9" i="12"/>
  <c r="Y14" i="17"/>
  <c r="H9" i="11"/>
  <c r="I9" i="11" s="1"/>
  <c r="D9" i="11"/>
  <c r="X10" i="14"/>
  <c r="AF9" i="13"/>
  <c r="B152" i="66" l="1"/>
  <c r="AT65" i="44"/>
  <c r="E11" i="44" s="1"/>
  <c r="AP6" i="44" s="1"/>
  <c r="AR6" i="44" s="1"/>
  <c r="AI45" i="35"/>
  <c r="F120" i="49"/>
  <c r="AG105" i="46"/>
  <c r="AI105" i="46" s="1"/>
  <c r="D149" i="65"/>
  <c r="A149" i="65" s="1"/>
  <c r="AI85" i="43"/>
  <c r="Y7" i="9"/>
  <c r="X6" i="9" s="1"/>
  <c r="T103" i="46"/>
  <c r="J39" i="34"/>
  <c r="N39" i="34" s="1"/>
  <c r="AQ39" i="34" s="1"/>
  <c r="AT64" i="44"/>
  <c r="D11" i="44" s="1"/>
  <c r="AP5" i="44" s="1"/>
  <c r="AR5" i="44" s="1"/>
  <c r="J102" i="46"/>
  <c r="AI120" i="50"/>
  <c r="AE115" i="48"/>
  <c r="AI114" i="48" s="1"/>
  <c r="AI115" i="48" s="1"/>
  <c r="B230" i="66"/>
  <c r="T84" i="43"/>
  <c r="A242" i="66"/>
  <c r="D231" i="66"/>
  <c r="L216" i="66"/>
  <c r="D153" i="66"/>
  <c r="B153" i="66" s="1"/>
  <c r="D133" i="66"/>
  <c r="B132" i="66"/>
  <c r="A132" i="66"/>
  <c r="D215" i="65"/>
  <c r="A215" i="65" s="1"/>
  <c r="J215" i="66"/>
  <c r="B215" i="65" s="1"/>
  <c r="I215" i="66"/>
  <c r="D188" i="66"/>
  <c r="I155" i="66"/>
  <c r="D155" i="65"/>
  <c r="J155" i="66"/>
  <c r="B155" i="65" s="1"/>
  <c r="B187" i="66"/>
  <c r="A187" i="66"/>
  <c r="D144" i="66"/>
  <c r="L156" i="66"/>
  <c r="D131" i="65"/>
  <c r="A131" i="65" s="1"/>
  <c r="I131" i="66"/>
  <c r="J131" i="66"/>
  <c r="B131" i="65" s="1"/>
  <c r="B143" i="66"/>
  <c r="A143" i="66"/>
  <c r="H120" i="49"/>
  <c r="X6" i="49"/>
  <c r="L6" i="49" s="1"/>
  <c r="AP74" i="49" s="1"/>
  <c r="Z74" i="47"/>
  <c r="AB74" i="47" s="1"/>
  <c r="AK74" i="47"/>
  <c r="AM74" i="47" s="1"/>
  <c r="AS74" i="47" s="1"/>
  <c r="L79" i="47"/>
  <c r="N79" i="47" s="1"/>
  <c r="AQ79" i="47" s="1"/>
  <c r="J117" i="49"/>
  <c r="J119" i="49" s="1"/>
  <c r="AE120" i="49"/>
  <c r="AI119" i="49" s="1"/>
  <c r="L8" i="41"/>
  <c r="AP54" i="41" s="1"/>
  <c r="AT54" i="41" s="1"/>
  <c r="D9" i="41" s="1"/>
  <c r="X115" i="50"/>
  <c r="AR129" i="42"/>
  <c r="AG120" i="49"/>
  <c r="D127" i="66"/>
  <c r="L136" i="66"/>
  <c r="D166" i="66"/>
  <c r="L178" i="66"/>
  <c r="J150" i="66"/>
  <c r="B150" i="65" s="1"/>
  <c r="I150" i="66"/>
  <c r="D150" i="65"/>
  <c r="A150" i="65" s="1"/>
  <c r="D177" i="65"/>
  <c r="A177" i="65" s="1"/>
  <c r="J177" i="66"/>
  <c r="B177" i="65" s="1"/>
  <c r="I177" i="66"/>
  <c r="D121" i="65"/>
  <c r="A121" i="65" s="1"/>
  <c r="J121" i="66"/>
  <c r="B121" i="65" s="1"/>
  <c r="I121" i="66"/>
  <c r="D276" i="65"/>
  <c r="I276" i="66"/>
  <c r="J276" i="66"/>
  <c r="B276" i="65" s="1"/>
  <c r="L262" i="66"/>
  <c r="B165" i="66"/>
  <c r="A165" i="66"/>
  <c r="B243" i="66"/>
  <c r="A243" i="66"/>
  <c r="B113" i="66"/>
  <c r="A113" i="66"/>
  <c r="D192" i="65"/>
  <c r="J192" i="66"/>
  <c r="B192" i="65" s="1"/>
  <c r="I192" i="66"/>
  <c r="D135" i="65"/>
  <c r="A135" i="65" s="1"/>
  <c r="J135" i="66"/>
  <c r="B135" i="65" s="1"/>
  <c r="I135" i="66"/>
  <c r="X110" i="49"/>
  <c r="A126" i="66"/>
  <c r="B126" i="66"/>
  <c r="D99" i="66"/>
  <c r="L104" i="66"/>
  <c r="D118" i="66"/>
  <c r="L124" i="66"/>
  <c r="L204" i="66"/>
  <c r="D61" i="66"/>
  <c r="L64" i="66"/>
  <c r="D365" i="66"/>
  <c r="L384" i="66"/>
  <c r="D137" i="66"/>
  <c r="L144" i="66"/>
  <c r="D104" i="45"/>
  <c r="AE108" i="45"/>
  <c r="B174" i="66"/>
  <c r="A174" i="66"/>
  <c r="AG128" i="50"/>
  <c r="D383" i="65"/>
  <c r="A383" i="65" s="1"/>
  <c r="J383" i="66"/>
  <c r="B383" i="65" s="1"/>
  <c r="I383" i="66"/>
  <c r="F109" i="47"/>
  <c r="J107" i="47"/>
  <c r="F113" i="47"/>
  <c r="H117" i="48"/>
  <c r="AE125" i="50"/>
  <c r="AI124" i="50" s="1"/>
  <c r="D43" i="65"/>
  <c r="A43" i="65" s="1"/>
  <c r="I43" i="66"/>
  <c r="J43" i="66"/>
  <c r="B43" i="65" s="1"/>
  <c r="D423" i="65"/>
  <c r="A423" i="65" s="1"/>
  <c r="J423" i="66"/>
  <c r="B423" i="65" s="1"/>
  <c r="I423" i="66"/>
  <c r="D143" i="65"/>
  <c r="A143" i="65" s="1"/>
  <c r="J143" i="66"/>
  <c r="B143" i="65" s="1"/>
  <c r="I143" i="66"/>
  <c r="B231" i="66"/>
  <c r="A231" i="66"/>
  <c r="D103" i="65"/>
  <c r="A103" i="65" s="1"/>
  <c r="J103" i="66"/>
  <c r="B103" i="65" s="1"/>
  <c r="I103" i="66"/>
  <c r="V107" i="46"/>
  <c r="T107" i="46"/>
  <c r="H105" i="46"/>
  <c r="H109" i="48"/>
  <c r="H110" i="48" s="1"/>
  <c r="J110" i="48" s="1"/>
  <c r="F110" i="48"/>
  <c r="J109" i="48" s="1"/>
  <c r="H103" i="45"/>
  <c r="H102" i="43"/>
  <c r="D403" i="65"/>
  <c r="A403" i="65" s="1"/>
  <c r="I403" i="66"/>
  <c r="J403" i="66"/>
  <c r="B403" i="65" s="1"/>
  <c r="R109" i="47"/>
  <c r="D118" i="47"/>
  <c r="F118" i="47" s="1"/>
  <c r="H118" i="47" s="1"/>
  <c r="R113" i="47"/>
  <c r="AE118" i="47"/>
  <c r="D114" i="47"/>
  <c r="F114" i="47" s="1"/>
  <c r="H114" i="47" s="1"/>
  <c r="AE114" i="47"/>
  <c r="AG114" i="47" s="1"/>
  <c r="D175" i="66"/>
  <c r="L184" i="66"/>
  <c r="D384" i="66"/>
  <c r="L404" i="66"/>
  <c r="D80" i="66"/>
  <c r="L84" i="66"/>
  <c r="H99" i="46"/>
  <c r="H100" i="46" s="1"/>
  <c r="J100" i="46" s="1"/>
  <c r="F100" i="46"/>
  <c r="AK75" i="47"/>
  <c r="AM75" i="47" s="1"/>
  <c r="AS75" i="47" s="1"/>
  <c r="AB23" i="47"/>
  <c r="AD23" i="47" s="1"/>
  <c r="X24" i="47" s="1"/>
  <c r="L8" i="47" s="1"/>
  <c r="AP74" i="47" s="1"/>
  <c r="AT74" i="47" s="1"/>
  <c r="D13" i="47" s="1"/>
  <c r="L84" i="47" s="1"/>
  <c r="N84" i="47" s="1"/>
  <c r="AQ84" i="47" s="1"/>
  <c r="AP6" i="47"/>
  <c r="AR6" i="47" s="1"/>
  <c r="Z75" i="47"/>
  <c r="AB75" i="47" s="1"/>
  <c r="L80" i="47"/>
  <c r="N80" i="47" s="1"/>
  <c r="AQ80" i="47" s="1"/>
  <c r="F124" i="50"/>
  <c r="H124" i="50" s="1"/>
  <c r="J122" i="50"/>
  <c r="D63" i="65"/>
  <c r="A63" i="65" s="1"/>
  <c r="I63" i="66"/>
  <c r="J63" i="66"/>
  <c r="B63" i="65" s="1"/>
  <c r="B364" i="66"/>
  <c r="A364" i="66"/>
  <c r="AG109" i="47"/>
  <c r="AG110" i="47" s="1"/>
  <c r="AE110" i="47"/>
  <c r="AI109" i="47" s="1"/>
  <c r="V104" i="47"/>
  <c r="V105" i="47" s="1"/>
  <c r="T104" i="47"/>
  <c r="T105" i="47" s="1"/>
  <c r="X104" i="47" s="1"/>
  <c r="J115" i="49"/>
  <c r="J114" i="49"/>
  <c r="X7" i="49"/>
  <c r="L7" i="49" s="1"/>
  <c r="AP75" i="49" s="1"/>
  <c r="B41" i="66"/>
  <c r="A41" i="66"/>
  <c r="B402" i="66"/>
  <c r="A402" i="66"/>
  <c r="A136" i="66"/>
  <c r="B136" i="66"/>
  <c r="T113" i="48"/>
  <c r="V113" i="48"/>
  <c r="B98" i="66"/>
  <c r="A98" i="66"/>
  <c r="V89" i="45"/>
  <c r="V90" i="45" s="1"/>
  <c r="T89" i="45"/>
  <c r="T90" i="45" s="1"/>
  <c r="X89" i="45" s="1"/>
  <c r="T97" i="43"/>
  <c r="V97" i="43"/>
  <c r="D163" i="65"/>
  <c r="A163" i="65" s="1"/>
  <c r="I163" i="66"/>
  <c r="J163" i="66"/>
  <c r="B163" i="65" s="1"/>
  <c r="B383" i="66"/>
  <c r="A383" i="66"/>
  <c r="R89" i="44"/>
  <c r="D103" i="44"/>
  <c r="F103" i="44" s="1"/>
  <c r="D107" i="44"/>
  <c r="F107" i="44" s="1"/>
  <c r="R102" i="44"/>
  <c r="AE129" i="50"/>
  <c r="AG129" i="50" s="1"/>
  <c r="AE133" i="50"/>
  <c r="AE134" i="50"/>
  <c r="AG134" i="50" s="1"/>
  <c r="D129" i="50"/>
  <c r="AE139" i="50"/>
  <c r="AG139" i="50" s="1"/>
  <c r="R128" i="50"/>
  <c r="AE138" i="50"/>
  <c r="D134" i="50"/>
  <c r="AE143" i="50"/>
  <c r="R133" i="50"/>
  <c r="AE144" i="50"/>
  <c r="AG144" i="50" s="1"/>
  <c r="AE149" i="50"/>
  <c r="AG149" i="50" s="1"/>
  <c r="AE148" i="50"/>
  <c r="R138" i="50"/>
  <c r="D139" i="50"/>
  <c r="F139" i="50" s="1"/>
  <c r="H139" i="50" s="1"/>
  <c r="R99" i="45"/>
  <c r="D108" i="45"/>
  <c r="F108" i="45" s="1"/>
  <c r="H108" i="45" s="1"/>
  <c r="R107" i="45"/>
  <c r="D112" i="45"/>
  <c r="F112" i="45" s="1"/>
  <c r="R103" i="45"/>
  <c r="V103" i="45" s="1"/>
  <c r="AB16" i="46"/>
  <c r="AD16" i="46" s="1"/>
  <c r="L75" i="46"/>
  <c r="N75" i="46" s="1"/>
  <c r="AQ75" i="46" s="1"/>
  <c r="H113" i="48"/>
  <c r="H115" i="48" s="1"/>
  <c r="J115" i="48" s="1"/>
  <c r="F115" i="48"/>
  <c r="J114" i="48" s="1"/>
  <c r="X100" i="47"/>
  <c r="T123" i="50"/>
  <c r="V123" i="50"/>
  <c r="B60" i="66"/>
  <c r="A60" i="66"/>
  <c r="T108" i="47"/>
  <c r="V108" i="47"/>
  <c r="F117" i="47"/>
  <c r="D123" i="65"/>
  <c r="A123" i="65" s="1"/>
  <c r="J123" i="66"/>
  <c r="B123" i="65" s="1"/>
  <c r="I123" i="66"/>
  <c r="AI110" i="48"/>
  <c r="AI115" i="49"/>
  <c r="AG123" i="49"/>
  <c r="X90" i="46"/>
  <c r="X105" i="48"/>
  <c r="V109" i="48"/>
  <c r="V110" i="48" s="1"/>
  <c r="T109" i="48"/>
  <c r="T110" i="48" s="1"/>
  <c r="X109" i="48" s="1"/>
  <c r="V99" i="46"/>
  <c r="T99" i="46"/>
  <c r="T100" i="46" s="1"/>
  <c r="X99" i="46" s="1"/>
  <c r="H107" i="45"/>
  <c r="H97" i="42"/>
  <c r="D83" i="65"/>
  <c r="A83" i="65" s="1"/>
  <c r="J83" i="66"/>
  <c r="B83" i="65" s="1"/>
  <c r="I83" i="66"/>
  <c r="R104" i="46"/>
  <c r="D113" i="46"/>
  <c r="R112" i="46"/>
  <c r="D117" i="46"/>
  <c r="AE113" i="46"/>
  <c r="AE109" i="46"/>
  <c r="R108" i="46"/>
  <c r="D109" i="46"/>
  <c r="L164" i="66"/>
  <c r="D98" i="42"/>
  <c r="F98" i="42" s="1"/>
  <c r="H98" i="42" s="1"/>
  <c r="R97" i="42"/>
  <c r="D102" i="42"/>
  <c r="F102" i="42" s="1"/>
  <c r="AE124" i="49"/>
  <c r="AG124" i="49" s="1"/>
  <c r="R123" i="49"/>
  <c r="D124" i="49"/>
  <c r="AE128" i="49"/>
  <c r="R87" i="41"/>
  <c r="D97" i="41"/>
  <c r="F97" i="41" s="1"/>
  <c r="R114" i="48"/>
  <c r="R118" i="48"/>
  <c r="D119" i="48"/>
  <c r="AE119" i="48"/>
  <c r="AG119" i="48" s="1"/>
  <c r="AE123" i="48"/>
  <c r="D403" i="66"/>
  <c r="L424" i="66"/>
  <c r="V100" i="46"/>
  <c r="AB15" i="46"/>
  <c r="AD15" i="46" s="1"/>
  <c r="L74" i="46"/>
  <c r="N74" i="46" s="1"/>
  <c r="AQ74" i="46" s="1"/>
  <c r="D422" i="66"/>
  <c r="L444" i="66"/>
  <c r="AE115" i="47"/>
  <c r="AI114" i="47" s="1"/>
  <c r="AG113" i="47"/>
  <c r="V112" i="47"/>
  <c r="T112" i="47"/>
  <c r="B117" i="66"/>
  <c r="A117" i="66"/>
  <c r="AG125" i="50"/>
  <c r="AI125" i="50" s="1"/>
  <c r="T114" i="49"/>
  <c r="T115" i="49" s="1"/>
  <c r="X114" i="49" s="1"/>
  <c r="V114" i="49"/>
  <c r="V115" i="49" s="1"/>
  <c r="V118" i="49"/>
  <c r="T118" i="49"/>
  <c r="D203" i="65"/>
  <c r="A203" i="65" s="1"/>
  <c r="J203" i="66"/>
  <c r="B203" i="65" s="1"/>
  <c r="I203" i="66"/>
  <c r="AG118" i="48"/>
  <c r="H112" i="46"/>
  <c r="F105" i="46"/>
  <c r="J104" i="46" s="1"/>
  <c r="V102" i="45"/>
  <c r="T102" i="45"/>
  <c r="V87" i="42"/>
  <c r="T87" i="42"/>
  <c r="A79" i="66"/>
  <c r="B79" i="66"/>
  <c r="AP15" i="41"/>
  <c r="AR15" i="41" s="1"/>
  <c r="AP10" i="41"/>
  <c r="AR10" i="41" s="1"/>
  <c r="X25" i="41"/>
  <c r="L9" i="41" s="1"/>
  <c r="AP55" i="41" s="1"/>
  <c r="AT55" i="41" s="1"/>
  <c r="E9" i="41" s="1"/>
  <c r="AB28" i="47"/>
  <c r="AD28" i="47" s="1"/>
  <c r="AP45" i="45"/>
  <c r="AT45" i="45" s="1"/>
  <c r="E7" i="45" s="1"/>
  <c r="AK50" i="45" s="1"/>
  <c r="AM50" i="45" s="1"/>
  <c r="AS50" i="45" s="1"/>
  <c r="AT54" i="42"/>
  <c r="D9" i="42" s="1"/>
  <c r="AB22" i="42" s="1"/>
  <c r="AD22" i="42" s="1"/>
  <c r="A139" i="65"/>
  <c r="A152" i="65"/>
  <c r="A113" i="65"/>
  <c r="A191" i="65"/>
  <c r="AB28" i="42"/>
  <c r="AD28" i="42" s="1"/>
  <c r="AP6" i="42"/>
  <c r="AR6" i="42" s="1"/>
  <c r="AB23" i="42"/>
  <c r="AD23" i="42" s="1"/>
  <c r="AB9" i="43"/>
  <c r="AD9" i="43" s="1"/>
  <c r="AB4" i="43"/>
  <c r="AD4" i="43" s="1"/>
  <c r="AB15" i="43"/>
  <c r="AD15" i="43" s="1"/>
  <c r="AB10" i="43"/>
  <c r="AD10" i="43" s="1"/>
  <c r="AB16" i="43"/>
  <c r="AD16" i="43" s="1"/>
  <c r="AB5" i="43"/>
  <c r="AD5" i="43" s="1"/>
  <c r="X6" i="43" s="1"/>
  <c r="AB28" i="44"/>
  <c r="AD28" i="44" s="1"/>
  <c r="AB23" i="44"/>
  <c r="AD23" i="44" s="1"/>
  <c r="AB27" i="44"/>
  <c r="AD27" i="44" s="1"/>
  <c r="AB22" i="44"/>
  <c r="AD22" i="44" s="1"/>
  <c r="AB10" i="46"/>
  <c r="AD10" i="46" s="1"/>
  <c r="AB5" i="46"/>
  <c r="AD5" i="46" s="1"/>
  <c r="AB9" i="46"/>
  <c r="AD9" i="46" s="1"/>
  <c r="AB4" i="46"/>
  <c r="AD4" i="46" s="1"/>
  <c r="AT69" i="48"/>
  <c r="D12" i="48" s="1"/>
  <c r="AT70" i="48"/>
  <c r="E12" i="48" s="1"/>
  <c r="T85" i="43"/>
  <c r="X84" i="43" s="1"/>
  <c r="J40" i="34"/>
  <c r="N40" i="34" s="1"/>
  <c r="AQ40" i="34" s="1"/>
  <c r="AI65" i="39"/>
  <c r="AR130" i="48"/>
  <c r="V85" i="43"/>
  <c r="X85" i="43" s="1"/>
  <c r="V32" i="31"/>
  <c r="T32" i="31"/>
  <c r="D24" i="25"/>
  <c r="F24" i="25" s="1"/>
  <c r="G24" i="25" s="1"/>
  <c r="H24" i="25"/>
  <c r="I24" i="25" s="1"/>
  <c r="AV24" i="25"/>
  <c r="D37" i="30"/>
  <c r="F37" i="30" s="1"/>
  <c r="H37" i="30" s="1"/>
  <c r="AE33" i="30"/>
  <c r="AG33" i="30" s="1"/>
  <c r="R32" i="30"/>
  <c r="AE25" i="61"/>
  <c r="B25" i="25"/>
  <c r="C4" i="29"/>
  <c r="AP25" i="25"/>
  <c r="Z70" i="46"/>
  <c r="AB70" i="46" s="1"/>
  <c r="AK70" i="46"/>
  <c r="AM70" i="46" s="1"/>
  <c r="AS70" i="46" s="1"/>
  <c r="AK69" i="46"/>
  <c r="AM69" i="46" s="1"/>
  <c r="AS69" i="46" s="1"/>
  <c r="Z69" i="46"/>
  <c r="AB69" i="46" s="1"/>
  <c r="Z60" i="42"/>
  <c r="AB60" i="42" s="1"/>
  <c r="L65" i="42"/>
  <c r="N65" i="42" s="1"/>
  <c r="AQ65" i="42" s="1"/>
  <c r="AK59" i="43"/>
  <c r="AM59" i="43" s="1"/>
  <c r="AS59" i="43" s="1"/>
  <c r="Z59" i="43"/>
  <c r="AB59" i="43" s="1"/>
  <c r="L64" i="43"/>
  <c r="N64" i="43" s="1"/>
  <c r="AQ64" i="43" s="1"/>
  <c r="Z60" i="43"/>
  <c r="AB60" i="43" s="1"/>
  <c r="L65" i="43"/>
  <c r="N65" i="43" s="1"/>
  <c r="AQ65" i="43" s="1"/>
  <c r="Y9" i="11"/>
  <c r="AA9" i="11" s="1"/>
  <c r="AG9" i="11" s="1"/>
  <c r="AR129" i="47"/>
  <c r="AR129" i="35"/>
  <c r="AR55" i="40"/>
  <c r="AT55" i="40" s="1"/>
  <c r="E9" i="40" s="1"/>
  <c r="N54" i="38"/>
  <c r="AQ54" i="38" s="1"/>
  <c r="AG80" i="41"/>
  <c r="AR124" i="44"/>
  <c r="AR50" i="39"/>
  <c r="AG40" i="33"/>
  <c r="AE40" i="33"/>
  <c r="AI39" i="33" s="1"/>
  <c r="AR125" i="34"/>
  <c r="AI40" i="34"/>
  <c r="F50" i="35"/>
  <c r="X50" i="36"/>
  <c r="AR125" i="39"/>
  <c r="X80" i="43"/>
  <c r="X70" i="41"/>
  <c r="AR74" i="49"/>
  <c r="AR75" i="49"/>
  <c r="X85" i="44"/>
  <c r="R77" i="39"/>
  <c r="D82" i="39"/>
  <c r="F82" i="39" s="1"/>
  <c r="R72" i="38"/>
  <c r="V72" i="38" s="1"/>
  <c r="R93" i="43"/>
  <c r="V93" i="43" s="1"/>
  <c r="D83" i="40"/>
  <c r="F83" i="40" s="1"/>
  <c r="H83" i="40" s="1"/>
  <c r="R82" i="40"/>
  <c r="D87" i="40"/>
  <c r="F87" i="40" s="1"/>
  <c r="D99" i="44"/>
  <c r="R98" i="44"/>
  <c r="AE99" i="44"/>
  <c r="AE103" i="44"/>
  <c r="H54" i="37"/>
  <c r="H55" i="37" s="1"/>
  <c r="F55" i="37"/>
  <c r="J54" i="37" s="1"/>
  <c r="Z70" i="44"/>
  <c r="AB70" i="44" s="1"/>
  <c r="L75" i="44"/>
  <c r="N75" i="44" s="1"/>
  <c r="AQ75" i="44" s="1"/>
  <c r="F99" i="45"/>
  <c r="J97" i="45"/>
  <c r="J99" i="46"/>
  <c r="V77" i="40"/>
  <c r="T77" i="40"/>
  <c r="T82" i="41"/>
  <c r="V82" i="41"/>
  <c r="H89" i="44"/>
  <c r="H90" i="44" s="1"/>
  <c r="J90" i="44" s="1"/>
  <c r="F90" i="44"/>
  <c r="J89" i="44" s="1"/>
  <c r="D73" i="38"/>
  <c r="F73" i="38" s="1"/>
  <c r="H73" i="38" s="1"/>
  <c r="AE98" i="43"/>
  <c r="AG98" i="43" s="1"/>
  <c r="R47" i="32"/>
  <c r="D52" i="32"/>
  <c r="F52" i="32" s="1"/>
  <c r="R79" i="41"/>
  <c r="D88" i="41"/>
  <c r="F88" i="41" s="1"/>
  <c r="H88" i="41" s="1"/>
  <c r="Z69" i="44"/>
  <c r="AB69" i="44" s="1"/>
  <c r="L74" i="44"/>
  <c r="N74" i="44" s="1"/>
  <c r="AQ74" i="44" s="1"/>
  <c r="V79" i="42"/>
  <c r="V80" i="42" s="1"/>
  <c r="T79" i="42"/>
  <c r="T80" i="42" s="1"/>
  <c r="X79" i="42" s="1"/>
  <c r="V67" i="38"/>
  <c r="T67" i="38"/>
  <c r="T98" i="45"/>
  <c r="V98" i="45"/>
  <c r="AG103" i="45"/>
  <c r="AG105" i="45" s="1"/>
  <c r="AE105" i="45"/>
  <c r="AI104" i="45" s="1"/>
  <c r="AG99" i="45"/>
  <c r="AG100" i="45" s="1"/>
  <c r="AE100" i="45"/>
  <c r="AI99" i="45" s="1"/>
  <c r="H82" i="40"/>
  <c r="T49" i="35"/>
  <c r="V49" i="35"/>
  <c r="D94" i="43"/>
  <c r="F94" i="43" s="1"/>
  <c r="H94" i="43" s="1"/>
  <c r="H67" i="36"/>
  <c r="R84" i="42"/>
  <c r="Z50" i="38"/>
  <c r="AB50" i="38" s="1"/>
  <c r="AR50" i="38" s="1"/>
  <c r="L55" i="38"/>
  <c r="N55" i="38" s="1"/>
  <c r="AQ55" i="38" s="1"/>
  <c r="Z49" i="37"/>
  <c r="AB49" i="37" s="1"/>
  <c r="L54" i="37"/>
  <c r="H53" i="35"/>
  <c r="H68" i="38"/>
  <c r="F104" i="45"/>
  <c r="H104" i="45" s="1"/>
  <c r="J102" i="45"/>
  <c r="AG108" i="45"/>
  <c r="T47" i="33"/>
  <c r="V47" i="33"/>
  <c r="AI100" i="46"/>
  <c r="T69" i="40"/>
  <c r="T70" i="40" s="1"/>
  <c r="X69" i="40" s="1"/>
  <c r="V69" i="40"/>
  <c r="V70" i="40" s="1"/>
  <c r="D68" i="37"/>
  <c r="F68" i="37" s="1"/>
  <c r="R67" i="37"/>
  <c r="D72" i="37"/>
  <c r="H69" i="40"/>
  <c r="H70" i="40" s="1"/>
  <c r="J70" i="40" s="1"/>
  <c r="F70" i="40"/>
  <c r="J69" i="40" s="1"/>
  <c r="H84" i="43"/>
  <c r="H85" i="43" s="1"/>
  <c r="J85" i="43" s="1"/>
  <c r="F85" i="43"/>
  <c r="J84" i="43" s="1"/>
  <c r="Z50" i="37"/>
  <c r="AB50" i="37" s="1"/>
  <c r="L55" i="37"/>
  <c r="H52" i="33"/>
  <c r="H87" i="41"/>
  <c r="AR124" i="37"/>
  <c r="AR129" i="38"/>
  <c r="AR129" i="29"/>
  <c r="AR125" i="50"/>
  <c r="AE80" i="41"/>
  <c r="AI79" i="41" s="1"/>
  <c r="AG60" i="37"/>
  <c r="H50" i="35"/>
  <c r="AE70" i="39"/>
  <c r="AI69" i="39" s="1"/>
  <c r="N44" i="36"/>
  <c r="AQ44" i="36" s="1"/>
  <c r="AG70" i="39"/>
  <c r="J37" i="33"/>
  <c r="AE60" i="37"/>
  <c r="AI59" i="37" s="1"/>
  <c r="AR125" i="45"/>
  <c r="J77" i="41"/>
  <c r="AR124" i="49"/>
  <c r="AT149" i="59"/>
  <c r="AR125" i="28"/>
  <c r="AR149" i="32"/>
  <c r="AR129" i="26"/>
  <c r="H143" i="33"/>
  <c r="X130" i="43"/>
  <c r="AB130" i="43" s="1"/>
  <c r="AR129" i="43" s="1"/>
  <c r="AR124" i="27"/>
  <c r="AR130" i="30"/>
  <c r="Z55" i="39"/>
  <c r="AB55" i="39" s="1"/>
  <c r="L60" i="39"/>
  <c r="N60" i="39" s="1"/>
  <c r="AQ60" i="39" s="1"/>
  <c r="AK55" i="39"/>
  <c r="AM55" i="39" s="1"/>
  <c r="AS55" i="39" s="1"/>
  <c r="L64" i="40"/>
  <c r="N64" i="40" s="1"/>
  <c r="AQ64" i="40" s="1"/>
  <c r="Z59" i="40"/>
  <c r="AB59" i="40" s="1"/>
  <c r="AK59" i="40"/>
  <c r="AM59" i="40" s="1"/>
  <c r="AS59" i="40" s="1"/>
  <c r="Z54" i="38"/>
  <c r="AB54" i="38" s="1"/>
  <c r="L59" i="38"/>
  <c r="AK54" i="38"/>
  <c r="AM54" i="38" s="1"/>
  <c r="AS54" i="38" s="1"/>
  <c r="L50" i="37"/>
  <c r="N50" i="37" s="1"/>
  <c r="AQ50" i="37" s="1"/>
  <c r="AT50" i="37" s="1"/>
  <c r="E8" i="37" s="1"/>
  <c r="AK45" i="37"/>
  <c r="AM45" i="37" s="1"/>
  <c r="AS45" i="37" s="1"/>
  <c r="Z45" i="37"/>
  <c r="AB45" i="37" s="1"/>
  <c r="AK45" i="38"/>
  <c r="AM45" i="38" s="1"/>
  <c r="AS45" i="38" s="1"/>
  <c r="Z45" i="38"/>
  <c r="AB45" i="38" s="1"/>
  <c r="AR44" i="38" s="1"/>
  <c r="AT44" i="38" s="1"/>
  <c r="D7" i="38" s="1"/>
  <c r="AK49" i="38" s="1"/>
  <c r="AM49" i="38" s="1"/>
  <c r="AS49" i="38" s="1"/>
  <c r="L50" i="38"/>
  <c r="N50" i="38" s="1"/>
  <c r="AQ50" i="38" s="1"/>
  <c r="AT50" i="38" s="1"/>
  <c r="E8" i="38" s="1"/>
  <c r="L59" i="39"/>
  <c r="N59" i="39" s="1"/>
  <c r="AQ59" i="39" s="1"/>
  <c r="AK54" i="39"/>
  <c r="AM54" i="39" s="1"/>
  <c r="AS54" i="39" s="1"/>
  <c r="Z54" i="39"/>
  <c r="AB54" i="39" s="1"/>
  <c r="AK70" i="44"/>
  <c r="AM70" i="44" s="1"/>
  <c r="AS70" i="44" s="1"/>
  <c r="Z44" i="37"/>
  <c r="AB44" i="37" s="1"/>
  <c r="L49" i="37"/>
  <c r="N49" i="37" s="1"/>
  <c r="AQ49" i="37" s="1"/>
  <c r="AK44" i="37"/>
  <c r="AM44" i="37" s="1"/>
  <c r="AS44" i="37" s="1"/>
  <c r="AR45" i="39"/>
  <c r="AT45" i="39" s="1"/>
  <c r="E7" i="39" s="1"/>
  <c r="AK50" i="39" s="1"/>
  <c r="AM50" i="39" s="1"/>
  <c r="AS50" i="39" s="1"/>
  <c r="AK69" i="44"/>
  <c r="AM69" i="44" s="1"/>
  <c r="AS69" i="44" s="1"/>
  <c r="X5" i="9"/>
  <c r="H143" i="34"/>
  <c r="X130" i="37"/>
  <c r="AB130" i="37" s="1"/>
  <c r="AR130" i="37" s="1"/>
  <c r="H138" i="45"/>
  <c r="H138" i="43"/>
  <c r="H138" i="26"/>
  <c r="X130" i="50"/>
  <c r="AB130" i="50" s="1"/>
  <c r="AR130" i="50" s="1"/>
  <c r="X135" i="29"/>
  <c r="AB135" i="29" s="1"/>
  <c r="AR135" i="29" s="1"/>
  <c r="X130" i="39"/>
  <c r="AB130" i="39" s="1"/>
  <c r="AR129" i="39" s="1"/>
  <c r="H143" i="35"/>
  <c r="X156" i="59"/>
  <c r="AB156" i="59" s="1"/>
  <c r="AT156" i="59" s="1"/>
  <c r="X65" i="41"/>
  <c r="H138" i="46"/>
  <c r="X130" i="34"/>
  <c r="AB130" i="34" s="1"/>
  <c r="AR129" i="34" s="1"/>
  <c r="X130" i="46"/>
  <c r="AB130" i="46" s="1"/>
  <c r="AR130" i="46" s="1"/>
  <c r="H138" i="48"/>
  <c r="X130" i="45"/>
  <c r="AB130" i="45" s="1"/>
  <c r="N45" i="36"/>
  <c r="AQ45" i="36" s="1"/>
  <c r="X135" i="41"/>
  <c r="AB135" i="41" s="1"/>
  <c r="AR135" i="41" s="1"/>
  <c r="X40" i="35"/>
  <c r="H143" i="50"/>
  <c r="H143" i="28"/>
  <c r="H143" i="49"/>
  <c r="Y15" i="17"/>
  <c r="AA15" i="17" s="1"/>
  <c r="H143" i="38"/>
  <c r="H143" i="31"/>
  <c r="H143" i="32"/>
  <c r="X130" i="27"/>
  <c r="AB130" i="27" s="1"/>
  <c r="AR129" i="27" s="1"/>
  <c r="H138" i="30"/>
  <c r="H138" i="37"/>
  <c r="X130" i="28"/>
  <c r="AB130" i="28" s="1"/>
  <c r="AR129" i="28" s="1"/>
  <c r="X135" i="26"/>
  <c r="AB135" i="26" s="1"/>
  <c r="AR135" i="26" s="1"/>
  <c r="H143" i="41"/>
  <c r="AI95" i="44"/>
  <c r="AB11" i="20"/>
  <c r="AI11" i="20" s="1"/>
  <c r="AB13" i="20"/>
  <c r="AI13" i="20" s="1"/>
  <c r="AB12" i="20"/>
  <c r="AJ12" i="20" s="1"/>
  <c r="AB16" i="20"/>
  <c r="AJ16" i="20" s="1"/>
  <c r="X135" i="48"/>
  <c r="AB135" i="48" s="1"/>
  <c r="AR135" i="48" s="1"/>
  <c r="X135" i="36"/>
  <c r="AB135" i="36" s="1"/>
  <c r="AR135" i="36" s="1"/>
  <c r="X130" i="44"/>
  <c r="AB130" i="44" s="1"/>
  <c r="AR130" i="44" s="1"/>
  <c r="AB134" i="35"/>
  <c r="X135" i="35"/>
  <c r="AB135" i="35" s="1"/>
  <c r="AJ5" i="22"/>
  <c r="AI5" i="22"/>
  <c r="AR35" i="34"/>
  <c r="AT35" i="34" s="1"/>
  <c r="E5" i="34" s="1"/>
  <c r="AR34" i="34"/>
  <c r="AT34" i="34" s="1"/>
  <c r="D5" i="34" s="1"/>
  <c r="X135" i="30"/>
  <c r="AB135" i="30" s="1"/>
  <c r="AR134" i="30" s="1"/>
  <c r="AJ12" i="21"/>
  <c r="AI12" i="21"/>
  <c r="AV19" i="20"/>
  <c r="F11" i="13"/>
  <c r="AJ20" i="61"/>
  <c r="AP20" i="20"/>
  <c r="B20" i="20"/>
  <c r="C9" i="34"/>
  <c r="R49" i="34" s="1"/>
  <c r="F137" i="27"/>
  <c r="AA5" i="8"/>
  <c r="X4" i="8"/>
  <c r="M149" i="32"/>
  <c r="I149" i="32"/>
  <c r="M150" i="32"/>
  <c r="I150" i="32"/>
  <c r="G149" i="32"/>
  <c r="AM17" i="61"/>
  <c r="B17" i="17"/>
  <c r="AP17" i="17"/>
  <c r="C12" i="37"/>
  <c r="D73" i="37" s="1"/>
  <c r="F73" i="37" s="1"/>
  <c r="H73" i="37" s="1"/>
  <c r="F84" i="42"/>
  <c r="J82" i="42"/>
  <c r="H19" i="20"/>
  <c r="I19" i="20" s="1"/>
  <c r="D19" i="20"/>
  <c r="F19" i="20" s="1"/>
  <c r="G19" i="20" s="1"/>
  <c r="Q144" i="31"/>
  <c r="Q142" i="31"/>
  <c r="X130" i="33"/>
  <c r="AB130" i="33" s="1"/>
  <c r="AR129" i="33" s="1"/>
  <c r="C147" i="42"/>
  <c r="G148" i="42"/>
  <c r="D148" i="42"/>
  <c r="F148" i="42" s="1"/>
  <c r="X130" i="40"/>
  <c r="AB130" i="40" s="1"/>
  <c r="AR129" i="40" s="1"/>
  <c r="F135" i="44"/>
  <c r="H132" i="44"/>
  <c r="H135" i="44" s="1"/>
  <c r="M150" i="29"/>
  <c r="I150" i="29"/>
  <c r="G149" i="29"/>
  <c r="M149" i="29"/>
  <c r="I149" i="29"/>
  <c r="F4" i="6"/>
  <c r="F132" i="48"/>
  <c r="H16" i="17"/>
  <c r="I16" i="17" s="1"/>
  <c r="D16" i="17"/>
  <c r="F16" i="17" s="1"/>
  <c r="G16" i="17" s="1"/>
  <c r="X137" i="44"/>
  <c r="R139" i="44"/>
  <c r="M144" i="43"/>
  <c r="I144" i="43"/>
  <c r="M145" i="43"/>
  <c r="I145" i="43"/>
  <c r="G144" i="43"/>
  <c r="AV7" i="8"/>
  <c r="V132" i="43"/>
  <c r="V135" i="43" s="1"/>
  <c r="T132" i="43"/>
  <c r="T135" i="43" s="1"/>
  <c r="X134" i="43" s="1"/>
  <c r="AB134" i="43" s="1"/>
  <c r="X15" i="18"/>
  <c r="AA15" i="18"/>
  <c r="X14" i="18"/>
  <c r="V134" i="31"/>
  <c r="T134" i="31"/>
  <c r="C149" i="48"/>
  <c r="C148" i="48"/>
  <c r="H15" i="16"/>
  <c r="I15" i="16" s="1"/>
  <c r="D15" i="16"/>
  <c r="F15" i="16" s="1"/>
  <c r="G15" i="16" s="1"/>
  <c r="M145" i="37"/>
  <c r="I145" i="37"/>
  <c r="G144" i="37"/>
  <c r="M144" i="37"/>
  <c r="I144" i="37"/>
  <c r="Q144" i="33"/>
  <c r="Q142" i="33"/>
  <c r="H132" i="28"/>
  <c r="H135" i="28" s="1"/>
  <c r="F135" i="28"/>
  <c r="P149" i="34"/>
  <c r="O150" i="34"/>
  <c r="P150" i="34" s="1"/>
  <c r="V134" i="44"/>
  <c r="T134" i="44"/>
  <c r="F42" i="32"/>
  <c r="F38" i="32"/>
  <c r="M150" i="41"/>
  <c r="I150" i="41"/>
  <c r="G149" i="41"/>
  <c r="M149" i="41"/>
  <c r="I149" i="41"/>
  <c r="L144" i="40"/>
  <c r="D142" i="40"/>
  <c r="K144" i="40"/>
  <c r="L145" i="40"/>
  <c r="G142" i="40"/>
  <c r="K145" i="40"/>
  <c r="V161" i="59"/>
  <c r="T161" i="59"/>
  <c r="AJ10" i="22"/>
  <c r="AI10" i="22"/>
  <c r="V134" i="50"/>
  <c r="T134" i="50"/>
  <c r="H143" i="47"/>
  <c r="C147" i="38"/>
  <c r="G148" i="38"/>
  <c r="D148" i="38"/>
  <c r="F148" i="38" s="1"/>
  <c r="P149" i="31"/>
  <c r="O150" i="31"/>
  <c r="P150" i="31" s="1"/>
  <c r="AE59" i="36"/>
  <c r="AG59" i="36" s="1"/>
  <c r="AE63" i="36"/>
  <c r="R58" i="36"/>
  <c r="R54" i="36"/>
  <c r="D59" i="36"/>
  <c r="F59" i="36" s="1"/>
  <c r="H59" i="36" s="1"/>
  <c r="D63" i="36"/>
  <c r="F63" i="36" s="1"/>
  <c r="H63" i="36" s="1"/>
  <c r="R62" i="36"/>
  <c r="H38" i="33"/>
  <c r="H40" i="33" s="1"/>
  <c r="F40" i="33"/>
  <c r="H138" i="36"/>
  <c r="H132" i="32"/>
  <c r="H135" i="32" s="1"/>
  <c r="F135" i="32"/>
  <c r="AG90" i="43"/>
  <c r="H132" i="38"/>
  <c r="H135" i="38" s="1"/>
  <c r="F135" i="38"/>
  <c r="C148" i="45"/>
  <c r="C149" i="45"/>
  <c r="X137" i="33"/>
  <c r="R139" i="33"/>
  <c r="H143" i="44"/>
  <c r="F137" i="33"/>
  <c r="AI60" i="38"/>
  <c r="AM60" i="38" s="1"/>
  <c r="AS60" i="38" s="1"/>
  <c r="Y167" i="59"/>
  <c r="W168" i="59"/>
  <c r="R165" i="59"/>
  <c r="Z168" i="59"/>
  <c r="W167" i="59"/>
  <c r="Y168" i="59"/>
  <c r="Z167" i="59"/>
  <c r="F78" i="40"/>
  <c r="AG78" i="40"/>
  <c r="Z140" i="49"/>
  <c r="Z139" i="49"/>
  <c r="R137" i="49"/>
  <c r="Y140" i="49"/>
  <c r="Y139" i="49"/>
  <c r="K144" i="42"/>
  <c r="K145" i="42"/>
  <c r="L145" i="42"/>
  <c r="G142" i="42"/>
  <c r="L144" i="42"/>
  <c r="D142" i="42"/>
  <c r="F137" i="38"/>
  <c r="V134" i="49"/>
  <c r="T134" i="49"/>
  <c r="AV14" i="15"/>
  <c r="F44" i="34"/>
  <c r="J42" i="34"/>
  <c r="AG48" i="34"/>
  <c r="AF4" i="8"/>
  <c r="V38" i="33"/>
  <c r="T38" i="33"/>
  <c r="H127" i="46"/>
  <c r="H130" i="46" s="1"/>
  <c r="F130" i="46"/>
  <c r="Q142" i="34"/>
  <c r="Q144" i="34"/>
  <c r="H143" i="27"/>
  <c r="T139" i="42"/>
  <c r="V139" i="42"/>
  <c r="AE75" i="40"/>
  <c r="AI74" i="40" s="1"/>
  <c r="H8" i="9"/>
  <c r="I8" i="9" s="1"/>
  <c r="D8" i="9"/>
  <c r="F8" i="9" s="1"/>
  <c r="G8" i="9" s="1"/>
  <c r="F130" i="30"/>
  <c r="H127" i="30"/>
  <c r="H130" i="30" s="1"/>
  <c r="X45" i="36"/>
  <c r="W149" i="39"/>
  <c r="W150" i="39"/>
  <c r="AA149" i="39"/>
  <c r="AO149" i="39" s="1"/>
  <c r="AP149" i="39" s="1"/>
  <c r="AA150" i="39"/>
  <c r="AO150" i="39" s="1"/>
  <c r="AP150" i="39" s="1"/>
  <c r="H132" i="34"/>
  <c r="H135" i="34" s="1"/>
  <c r="F135" i="34"/>
  <c r="AA150" i="46"/>
  <c r="AO150" i="46" s="1"/>
  <c r="AP150" i="46" s="1"/>
  <c r="W150" i="46"/>
  <c r="AA149" i="46"/>
  <c r="AO149" i="46" s="1"/>
  <c r="AP149" i="46" s="1"/>
  <c r="W149" i="46"/>
  <c r="AJ15" i="22"/>
  <c r="AI15" i="22"/>
  <c r="AV17" i="18"/>
  <c r="V134" i="37"/>
  <c r="T134" i="37"/>
  <c r="K145" i="31"/>
  <c r="L144" i="31"/>
  <c r="D142" i="31"/>
  <c r="K144" i="31"/>
  <c r="L145" i="31"/>
  <c r="G142" i="31"/>
  <c r="X135" i="38"/>
  <c r="AB135" i="38" s="1"/>
  <c r="AR134" i="38" s="1"/>
  <c r="G12" i="14"/>
  <c r="AV12" i="13"/>
  <c r="Q149" i="30"/>
  <c r="Q147" i="30"/>
  <c r="F62" i="36"/>
  <c r="AG58" i="36"/>
  <c r="X137" i="46"/>
  <c r="R139" i="46"/>
  <c r="AD6" i="20"/>
  <c r="AB6" i="20" s="1"/>
  <c r="AD14" i="20"/>
  <c r="AD5" i="20"/>
  <c r="AB5" i="20" s="1"/>
  <c r="AD9" i="20"/>
  <c r="AD13" i="20"/>
  <c r="AD8" i="20"/>
  <c r="AB8" i="20" s="1"/>
  <c r="AD10" i="20"/>
  <c r="AD15" i="20"/>
  <c r="AD7" i="20"/>
  <c r="AB7" i="20" s="1"/>
  <c r="AD12" i="20"/>
  <c r="AD16" i="20"/>
  <c r="AD11" i="20"/>
  <c r="AD4" i="20"/>
  <c r="AB4" i="20" s="1"/>
  <c r="AB10" i="20"/>
  <c r="AB14" i="20"/>
  <c r="Q144" i="44"/>
  <c r="Q142" i="44"/>
  <c r="L145" i="32"/>
  <c r="G142" i="32"/>
  <c r="L144" i="32"/>
  <c r="D142" i="32"/>
  <c r="K144" i="32"/>
  <c r="K145" i="32"/>
  <c r="AE85" i="42"/>
  <c r="AI84" i="42" s="1"/>
  <c r="AV5" i="6"/>
  <c r="F72" i="37"/>
  <c r="V54" i="37"/>
  <c r="V55" i="37" s="1"/>
  <c r="T54" i="37"/>
  <c r="T55" i="37" s="1"/>
  <c r="X54" i="37" s="1"/>
  <c r="M144" i="36"/>
  <c r="I144" i="36"/>
  <c r="M145" i="36"/>
  <c r="I145" i="36"/>
  <c r="G144" i="36"/>
  <c r="T139" i="35"/>
  <c r="V139" i="35"/>
  <c r="C147" i="35"/>
  <c r="G148" i="35"/>
  <c r="D148" i="35"/>
  <c r="F148" i="35" s="1"/>
  <c r="AI55" i="37"/>
  <c r="C149" i="39"/>
  <c r="C148" i="39"/>
  <c r="AA150" i="44"/>
  <c r="AO150" i="44" s="1"/>
  <c r="AP150" i="44" s="1"/>
  <c r="W150" i="44"/>
  <c r="AA149" i="44"/>
  <c r="AO149" i="44" s="1"/>
  <c r="AP149" i="44" s="1"/>
  <c r="W149" i="44"/>
  <c r="AR130" i="39"/>
  <c r="D143" i="46"/>
  <c r="F143" i="46" s="1"/>
  <c r="C142" i="46"/>
  <c r="G143" i="46"/>
  <c r="AB16" i="21"/>
  <c r="AB14" i="21"/>
  <c r="V52" i="35"/>
  <c r="T52" i="35"/>
  <c r="Y145" i="38"/>
  <c r="Y144" i="38"/>
  <c r="Z145" i="38"/>
  <c r="Z144" i="38"/>
  <c r="R142" i="38"/>
  <c r="AE48" i="33"/>
  <c r="AE44" i="33"/>
  <c r="AG44" i="33" s="1"/>
  <c r="R43" i="33"/>
  <c r="D44" i="33"/>
  <c r="F44" i="33" s="1"/>
  <c r="H44" i="33" s="1"/>
  <c r="D48" i="33"/>
  <c r="F48" i="33" s="1"/>
  <c r="H48" i="33" s="1"/>
  <c r="G143" i="39"/>
  <c r="D143" i="39"/>
  <c r="F143" i="39" s="1"/>
  <c r="C142" i="39"/>
  <c r="R34" i="32"/>
  <c r="AE39" i="32"/>
  <c r="AG39" i="32" s="1"/>
  <c r="R38" i="32"/>
  <c r="AE43" i="32"/>
  <c r="D39" i="32"/>
  <c r="F39" i="32" s="1"/>
  <c r="H39" i="32" s="1"/>
  <c r="D43" i="32"/>
  <c r="F43" i="32" s="1"/>
  <c r="H43" i="32" s="1"/>
  <c r="R42" i="32"/>
  <c r="D47" i="32"/>
  <c r="O150" i="33"/>
  <c r="P150" i="33" s="1"/>
  <c r="P149" i="33"/>
  <c r="M150" i="34"/>
  <c r="I150" i="34"/>
  <c r="G149" i="34"/>
  <c r="M149" i="34"/>
  <c r="I149" i="34"/>
  <c r="F132" i="39"/>
  <c r="D148" i="49"/>
  <c r="F148" i="49" s="1"/>
  <c r="C147" i="49"/>
  <c r="G148" i="49"/>
  <c r="AR129" i="41"/>
  <c r="AR125" i="46"/>
  <c r="V132" i="28"/>
  <c r="V135" i="28" s="1"/>
  <c r="T132" i="28"/>
  <c r="T135" i="28" s="1"/>
  <c r="X134" i="28" s="1"/>
  <c r="AB134" i="28" s="1"/>
  <c r="AI8" i="22"/>
  <c r="AJ8" i="22"/>
  <c r="F135" i="31"/>
  <c r="H132" i="31"/>
  <c r="H135" i="31" s="1"/>
  <c r="T132" i="45"/>
  <c r="T135" i="45" s="1"/>
  <c r="X134" i="45" s="1"/>
  <c r="AB134" i="45" s="1"/>
  <c r="V132" i="45"/>
  <c r="V135" i="45" s="1"/>
  <c r="H78" i="41"/>
  <c r="H80" i="41" s="1"/>
  <c r="J80" i="41" s="1"/>
  <c r="F80" i="41"/>
  <c r="V137" i="41"/>
  <c r="V140" i="41" s="1"/>
  <c r="T137" i="41"/>
  <c r="T140" i="41" s="1"/>
  <c r="X139" i="41" s="1"/>
  <c r="AB139" i="41" s="1"/>
  <c r="H13" i="14"/>
  <c r="I13" i="14" s="1"/>
  <c r="D13" i="14"/>
  <c r="F13" i="14" s="1"/>
  <c r="G13" i="14" s="1"/>
  <c r="L139" i="46"/>
  <c r="D137" i="46"/>
  <c r="K139" i="46"/>
  <c r="L140" i="46"/>
  <c r="G137" i="46"/>
  <c r="K140" i="46"/>
  <c r="AE45" i="34"/>
  <c r="AI44" i="34" s="1"/>
  <c r="Q147" i="42"/>
  <c r="Q149" i="42"/>
  <c r="AV4" i="5"/>
  <c r="Z140" i="34"/>
  <c r="Z139" i="34"/>
  <c r="R137" i="34"/>
  <c r="Y140" i="34"/>
  <c r="Y139" i="34"/>
  <c r="F137" i="44"/>
  <c r="AA150" i="40"/>
  <c r="AO150" i="40" s="1"/>
  <c r="AP150" i="40" s="1"/>
  <c r="W150" i="40"/>
  <c r="AA149" i="40"/>
  <c r="AO149" i="40" s="1"/>
  <c r="AP149" i="40" s="1"/>
  <c r="W149" i="40"/>
  <c r="V139" i="26"/>
  <c r="T139" i="26"/>
  <c r="G143" i="26"/>
  <c r="D143" i="26"/>
  <c r="F143" i="26" s="1"/>
  <c r="C142" i="26"/>
  <c r="V134" i="43"/>
  <c r="T134" i="43"/>
  <c r="AI50" i="36"/>
  <c r="AK40" i="35"/>
  <c r="AM40" i="35" s="1"/>
  <c r="AS40" i="35" s="1"/>
  <c r="Z40" i="35"/>
  <c r="L45" i="35"/>
  <c r="H60" i="37"/>
  <c r="AI70" i="40"/>
  <c r="H20" i="21"/>
  <c r="I20" i="21" s="1"/>
  <c r="D20" i="21"/>
  <c r="F20" i="21" s="1"/>
  <c r="G20" i="21" s="1"/>
  <c r="D148" i="33"/>
  <c r="F148" i="33" s="1"/>
  <c r="C147" i="33"/>
  <c r="G148" i="33"/>
  <c r="AE38" i="31"/>
  <c r="R37" i="31"/>
  <c r="AE34" i="31"/>
  <c r="R33" i="31"/>
  <c r="D38" i="31"/>
  <c r="D42" i="31"/>
  <c r="H143" i="29"/>
  <c r="AA13" i="16"/>
  <c r="AG13" i="16" s="1"/>
  <c r="H9" i="10"/>
  <c r="I9" i="10" s="1"/>
  <c r="D9" i="10"/>
  <c r="F9" i="10" s="1"/>
  <c r="G9" i="10" s="1"/>
  <c r="X142" i="35"/>
  <c r="R144" i="35"/>
  <c r="T132" i="27"/>
  <c r="T135" i="27" s="1"/>
  <c r="X134" i="27" s="1"/>
  <c r="AB134" i="27" s="1"/>
  <c r="V132" i="27"/>
  <c r="V135" i="27" s="1"/>
  <c r="T137" i="47"/>
  <c r="T140" i="47" s="1"/>
  <c r="X139" i="47" s="1"/>
  <c r="AB139" i="47" s="1"/>
  <c r="V137" i="47"/>
  <c r="V140" i="47" s="1"/>
  <c r="H138" i="39"/>
  <c r="AJ9" i="22"/>
  <c r="AI9" i="22"/>
  <c r="G9" i="12"/>
  <c r="V83" i="42"/>
  <c r="T83" i="42"/>
  <c r="V134" i="39"/>
  <c r="T134" i="39"/>
  <c r="R53" i="35"/>
  <c r="AE54" i="35"/>
  <c r="AG54" i="35" s="1"/>
  <c r="D54" i="35"/>
  <c r="AE58" i="35"/>
  <c r="D58" i="35"/>
  <c r="F58" i="35" s="1"/>
  <c r="H58" i="35" s="1"/>
  <c r="R57" i="35"/>
  <c r="D62" i="35"/>
  <c r="G167" i="59"/>
  <c r="M167" i="59"/>
  <c r="M168" i="59"/>
  <c r="C147" i="29"/>
  <c r="G148" i="29"/>
  <c r="D148" i="29"/>
  <c r="F148" i="29" s="1"/>
  <c r="C173" i="59"/>
  <c r="C172" i="59"/>
  <c r="F132" i="45"/>
  <c r="AE69" i="38"/>
  <c r="AG69" i="38" s="1"/>
  <c r="R68" i="38"/>
  <c r="AE73" i="38"/>
  <c r="D69" i="38"/>
  <c r="R148" i="50"/>
  <c r="AA150" i="50"/>
  <c r="AO150" i="50" s="1"/>
  <c r="W150" i="50"/>
  <c r="AA149" i="50"/>
  <c r="AO149" i="50" s="1"/>
  <c r="W149" i="50"/>
  <c r="AV8" i="61"/>
  <c r="AP8" i="8"/>
  <c r="C21" i="46"/>
  <c r="B8" i="8"/>
  <c r="Z145" i="48"/>
  <c r="Z144" i="48"/>
  <c r="R142" i="48"/>
  <c r="Y145" i="48"/>
  <c r="Y144" i="48"/>
  <c r="F132" i="30"/>
  <c r="AV11" i="12"/>
  <c r="AE74" i="39"/>
  <c r="AG74" i="39" s="1"/>
  <c r="AE78" i="39"/>
  <c r="R64" i="39"/>
  <c r="R73" i="39"/>
  <c r="D74" i="39"/>
  <c r="D78" i="39"/>
  <c r="X142" i="42"/>
  <c r="R144" i="42"/>
  <c r="J59" i="38"/>
  <c r="N59" i="38" s="1"/>
  <c r="AQ59" i="38" s="1"/>
  <c r="J60" i="38"/>
  <c r="V37" i="32"/>
  <c r="T37" i="32"/>
  <c r="AG34" i="32"/>
  <c r="AG35" i="32" s="1"/>
  <c r="AE35" i="32"/>
  <c r="AI34" i="32" s="1"/>
  <c r="AM34" i="32" s="1"/>
  <c r="AS34" i="32" s="1"/>
  <c r="C147" i="41"/>
  <c r="G148" i="41"/>
  <c r="D148" i="41"/>
  <c r="F148" i="41" s="1"/>
  <c r="K145" i="33"/>
  <c r="L144" i="33"/>
  <c r="D142" i="33"/>
  <c r="K144" i="33"/>
  <c r="L145" i="33"/>
  <c r="G142" i="33"/>
  <c r="H132" i="40"/>
  <c r="H135" i="40" s="1"/>
  <c r="F135" i="40"/>
  <c r="F8" i="10"/>
  <c r="H143" i="40"/>
  <c r="AG68" i="38"/>
  <c r="V63" i="38"/>
  <c r="T63" i="38"/>
  <c r="H74" i="41"/>
  <c r="H75" i="41" s="1"/>
  <c r="J75" i="41" s="1"/>
  <c r="F75" i="41"/>
  <c r="J74" i="41" s="1"/>
  <c r="K144" i="47"/>
  <c r="L145" i="47"/>
  <c r="K145" i="47"/>
  <c r="L144" i="47"/>
  <c r="D142" i="47"/>
  <c r="G142" i="47"/>
  <c r="Q149" i="48"/>
  <c r="Q147" i="48"/>
  <c r="V88" i="43"/>
  <c r="T88" i="43"/>
  <c r="AG93" i="43"/>
  <c r="AG95" i="43" s="1"/>
  <c r="AE95" i="43"/>
  <c r="AI94" i="43" s="1"/>
  <c r="F130" i="26"/>
  <c r="H127" i="26"/>
  <c r="H130" i="26" s="1"/>
  <c r="M145" i="45"/>
  <c r="I145" i="45"/>
  <c r="G144" i="45"/>
  <c r="M144" i="45"/>
  <c r="I144" i="45"/>
  <c r="D148" i="31"/>
  <c r="F148" i="31" s="1"/>
  <c r="C147" i="31"/>
  <c r="G148" i="31"/>
  <c r="AA150" i="31"/>
  <c r="AO150" i="31" s="1"/>
  <c r="AP150" i="31" s="1"/>
  <c r="W149" i="31"/>
  <c r="W150" i="31"/>
  <c r="AA149" i="31"/>
  <c r="AO149" i="31" s="1"/>
  <c r="AP149" i="31" s="1"/>
  <c r="H18" i="19"/>
  <c r="I18" i="19" s="1"/>
  <c r="D18" i="19"/>
  <c r="F18" i="19" s="1"/>
  <c r="G18" i="19" s="1"/>
  <c r="F69" i="39"/>
  <c r="J67" i="39"/>
  <c r="AB40" i="36"/>
  <c r="AR40" i="36" s="1"/>
  <c r="AT40" i="36" s="1"/>
  <c r="E6" i="36" s="1"/>
  <c r="X137" i="28"/>
  <c r="R139" i="28"/>
  <c r="O150" i="27"/>
  <c r="P150" i="27" s="1"/>
  <c r="P149" i="27"/>
  <c r="X137" i="37"/>
  <c r="R139" i="37"/>
  <c r="F135" i="27"/>
  <c r="H132" i="27"/>
  <c r="H135" i="27" s="1"/>
  <c r="R167" i="59"/>
  <c r="X165" i="59"/>
  <c r="V64" i="40"/>
  <c r="V65" i="40" s="1"/>
  <c r="T64" i="40"/>
  <c r="T65" i="40" s="1"/>
  <c r="X64" i="40" s="1"/>
  <c r="X137" i="49"/>
  <c r="R139" i="49"/>
  <c r="AE79" i="40"/>
  <c r="AG79" i="40" s="1"/>
  <c r="AE83" i="40"/>
  <c r="D79" i="40"/>
  <c r="F79" i="40" s="1"/>
  <c r="H79" i="40" s="1"/>
  <c r="R78" i="40"/>
  <c r="R74" i="40"/>
  <c r="V39" i="34"/>
  <c r="V40" i="34" s="1"/>
  <c r="T39" i="34"/>
  <c r="T40" i="34" s="1"/>
  <c r="X39" i="34" s="1"/>
  <c r="V137" i="48"/>
  <c r="V140" i="48" s="1"/>
  <c r="T137" i="48"/>
  <c r="T140" i="48" s="1"/>
  <c r="X139" i="48" s="1"/>
  <c r="AB139" i="48" s="1"/>
  <c r="AG43" i="33"/>
  <c r="AG4" i="7"/>
  <c r="AG65" i="38"/>
  <c r="C149" i="30"/>
  <c r="C148" i="30"/>
  <c r="F137" i="32"/>
  <c r="O150" i="39"/>
  <c r="P150" i="39" s="1"/>
  <c r="P149" i="39"/>
  <c r="P149" i="46"/>
  <c r="O150" i="46"/>
  <c r="P150" i="46" s="1"/>
  <c r="AG15" i="19"/>
  <c r="X1" i="19"/>
  <c r="AI12" i="22"/>
  <c r="AJ12" i="22"/>
  <c r="Q142" i="37"/>
  <c r="Q144" i="37"/>
  <c r="AE64" i="37"/>
  <c r="AG64" i="37" s="1"/>
  <c r="AE68" i="37"/>
  <c r="R63" i="37"/>
  <c r="R59" i="37"/>
  <c r="D64" i="37"/>
  <c r="F64" i="37" s="1"/>
  <c r="H64" i="37" s="1"/>
  <c r="R72" i="37"/>
  <c r="V132" i="46"/>
  <c r="V135" i="46" s="1"/>
  <c r="T132" i="46"/>
  <c r="T135" i="46" s="1"/>
  <c r="X134" i="46" s="1"/>
  <c r="AB134" i="46" s="1"/>
  <c r="C149" i="43"/>
  <c r="C148" i="43"/>
  <c r="AS11" i="61"/>
  <c r="AP11" i="11"/>
  <c r="C18" i="43"/>
  <c r="B11" i="11"/>
  <c r="AA150" i="45"/>
  <c r="AO150" i="45" s="1"/>
  <c r="AP150" i="45" s="1"/>
  <c r="W150" i="45"/>
  <c r="W149" i="45"/>
  <c r="AA149" i="45"/>
  <c r="AO149" i="45" s="1"/>
  <c r="AP149" i="45" s="1"/>
  <c r="H12" i="13"/>
  <c r="I12" i="13" s="1"/>
  <c r="D12" i="13"/>
  <c r="F12" i="13" s="1"/>
  <c r="G12" i="13" s="1"/>
  <c r="V57" i="36"/>
  <c r="T57" i="36"/>
  <c r="V53" i="36"/>
  <c r="T53" i="36"/>
  <c r="Z140" i="46"/>
  <c r="Z139" i="46"/>
  <c r="R137" i="46"/>
  <c r="Y140" i="46"/>
  <c r="Y139" i="46"/>
  <c r="C149" i="37"/>
  <c r="C148" i="37"/>
  <c r="AG85" i="42"/>
  <c r="H132" i="35"/>
  <c r="H135" i="35" s="1"/>
  <c r="F135" i="35"/>
  <c r="V62" i="37"/>
  <c r="T62" i="37"/>
  <c r="T58" i="37"/>
  <c r="V58" i="37"/>
  <c r="G143" i="30"/>
  <c r="D143" i="30"/>
  <c r="F143" i="30" s="1"/>
  <c r="C142" i="30"/>
  <c r="C142" i="36"/>
  <c r="G143" i="36"/>
  <c r="D143" i="36"/>
  <c r="F143" i="36" s="1"/>
  <c r="F137" i="29"/>
  <c r="AA150" i="37"/>
  <c r="AO150" i="37" s="1"/>
  <c r="AP150" i="37" s="1"/>
  <c r="W150" i="37"/>
  <c r="AA149" i="37"/>
  <c r="AO149" i="37" s="1"/>
  <c r="AP149" i="37" s="1"/>
  <c r="W149" i="37"/>
  <c r="Q147" i="29"/>
  <c r="Q149" i="29"/>
  <c r="T139" i="36"/>
  <c r="V139" i="36"/>
  <c r="Q147" i="47"/>
  <c r="Q149" i="47"/>
  <c r="M145" i="46"/>
  <c r="I145" i="46"/>
  <c r="G144" i="46"/>
  <c r="M144" i="46"/>
  <c r="I144" i="46"/>
  <c r="H62" i="37"/>
  <c r="AB10" i="21"/>
  <c r="AB13" i="21"/>
  <c r="T44" i="35"/>
  <c r="T45" i="35" s="1"/>
  <c r="X44" i="35" s="1"/>
  <c r="V44" i="35"/>
  <c r="V45" i="35" s="1"/>
  <c r="V48" i="35"/>
  <c r="V50" i="35" s="1"/>
  <c r="T48" i="35"/>
  <c r="T50" i="35" s="1"/>
  <c r="X49" i="35" s="1"/>
  <c r="Z145" i="26"/>
  <c r="Z144" i="26"/>
  <c r="R142" i="26"/>
  <c r="Y145" i="26"/>
  <c r="Y144" i="26"/>
  <c r="H21" i="22"/>
  <c r="I21" i="22" s="1"/>
  <c r="D21" i="22"/>
  <c r="F21" i="22" s="1"/>
  <c r="G21" i="22" s="1"/>
  <c r="F137" i="31"/>
  <c r="I145" i="39"/>
  <c r="I144" i="39"/>
  <c r="M145" i="39"/>
  <c r="M144" i="39"/>
  <c r="G144" i="39"/>
  <c r="V134" i="33"/>
  <c r="T134" i="33"/>
  <c r="AG23" i="61"/>
  <c r="B23" i="23"/>
  <c r="C6" i="31"/>
  <c r="C6" i="59"/>
  <c r="AP23" i="23"/>
  <c r="H77" i="39"/>
  <c r="AA150" i="33"/>
  <c r="AO150" i="33" s="1"/>
  <c r="AP150" i="33" s="1"/>
  <c r="W150" i="33"/>
  <c r="AA149" i="33"/>
  <c r="AO149" i="33" s="1"/>
  <c r="AP149" i="33" s="1"/>
  <c r="W149" i="33"/>
  <c r="H72" i="38"/>
  <c r="AR129" i="36"/>
  <c r="AA9" i="12"/>
  <c r="AG9" i="12" s="1"/>
  <c r="M149" i="49"/>
  <c r="I149" i="49"/>
  <c r="M150" i="49"/>
  <c r="I150" i="49"/>
  <c r="G149" i="49"/>
  <c r="K162" i="59"/>
  <c r="D159" i="59"/>
  <c r="I161" i="59"/>
  <c r="I162" i="59"/>
  <c r="L161" i="59"/>
  <c r="G159" i="59"/>
  <c r="L162" i="59"/>
  <c r="K161" i="59"/>
  <c r="L65" i="40"/>
  <c r="N65" i="40" s="1"/>
  <c r="AQ65" i="40" s="1"/>
  <c r="Z60" i="40"/>
  <c r="AB60" i="40" s="1"/>
  <c r="AP14" i="61"/>
  <c r="AP14" i="14"/>
  <c r="Y13" i="14" s="1"/>
  <c r="B14" i="14"/>
  <c r="C15" i="40"/>
  <c r="O150" i="43"/>
  <c r="P150" i="43" s="1"/>
  <c r="P149" i="43"/>
  <c r="H47" i="34"/>
  <c r="H4" i="5"/>
  <c r="I4" i="5" s="1"/>
  <c r="D4" i="5"/>
  <c r="X142" i="41"/>
  <c r="R144" i="41"/>
  <c r="Z140" i="31"/>
  <c r="Z139" i="31"/>
  <c r="R137" i="31"/>
  <c r="Y140" i="31"/>
  <c r="Y139" i="31"/>
  <c r="Z140" i="43"/>
  <c r="Z139" i="43"/>
  <c r="R137" i="43"/>
  <c r="Y140" i="43"/>
  <c r="Y139" i="43"/>
  <c r="P149" i="40"/>
  <c r="O150" i="40"/>
  <c r="P150" i="40" s="1"/>
  <c r="D148" i="40"/>
  <c r="F148" i="40" s="1"/>
  <c r="C147" i="40"/>
  <c r="G148" i="40"/>
  <c r="F137" i="28"/>
  <c r="F137" i="47"/>
  <c r="H132" i="47"/>
  <c r="H135" i="47" s="1"/>
  <c r="F135" i="47"/>
  <c r="M144" i="26"/>
  <c r="I144" i="26"/>
  <c r="M145" i="26"/>
  <c r="I145" i="26"/>
  <c r="G144" i="26"/>
  <c r="F135" i="49"/>
  <c r="H132" i="49"/>
  <c r="H135" i="49" s="1"/>
  <c r="AV6" i="7"/>
  <c r="AA8" i="11"/>
  <c r="Q144" i="43"/>
  <c r="Q142" i="43"/>
  <c r="J55" i="37"/>
  <c r="N55" i="37" s="1"/>
  <c r="AQ55" i="37" s="1"/>
  <c r="Q142" i="40"/>
  <c r="Q144" i="40"/>
  <c r="AE49" i="34"/>
  <c r="AG49" i="34" s="1"/>
  <c r="AE53" i="34"/>
  <c r="R48" i="34"/>
  <c r="R44" i="34"/>
  <c r="D49" i="34"/>
  <c r="F49" i="34" s="1"/>
  <c r="H49" i="34" s="1"/>
  <c r="R52" i="34"/>
  <c r="D57" i="34"/>
  <c r="F130" i="43"/>
  <c r="H127" i="43"/>
  <c r="H130" i="43" s="1"/>
  <c r="AG83" i="41"/>
  <c r="V78" i="41"/>
  <c r="T78" i="41"/>
  <c r="M149" i="33"/>
  <c r="I149" i="33"/>
  <c r="M150" i="33"/>
  <c r="I150" i="33"/>
  <c r="G149" i="33"/>
  <c r="F153" i="59"/>
  <c r="H132" i="50"/>
  <c r="H135" i="50" s="1"/>
  <c r="F135" i="50"/>
  <c r="AG40" i="59"/>
  <c r="AG35" i="59"/>
  <c r="R39" i="59"/>
  <c r="D40" i="59"/>
  <c r="R34" i="59"/>
  <c r="D45" i="59"/>
  <c r="AF24" i="61"/>
  <c r="B24" i="24"/>
  <c r="C5" i="30"/>
  <c r="AP24" i="24"/>
  <c r="Y145" i="35"/>
  <c r="Y144" i="35"/>
  <c r="Z145" i="35"/>
  <c r="Z144" i="35"/>
  <c r="R142" i="35"/>
  <c r="AG12" i="16"/>
  <c r="AJ11" i="22"/>
  <c r="AI11" i="22"/>
  <c r="Y145" i="36"/>
  <c r="Y144" i="36"/>
  <c r="Z145" i="36"/>
  <c r="R142" i="36"/>
  <c r="Z144" i="36"/>
  <c r="Q142" i="28"/>
  <c r="Q144" i="28"/>
  <c r="R139" i="39"/>
  <c r="X137" i="39"/>
  <c r="AR124" i="43"/>
  <c r="F9" i="11"/>
  <c r="AG88" i="42"/>
  <c r="D166" i="59"/>
  <c r="F166" i="59" s="1"/>
  <c r="C165" i="59"/>
  <c r="G166" i="59"/>
  <c r="F130" i="36"/>
  <c r="H127" i="36"/>
  <c r="H130" i="36" s="1"/>
  <c r="G148" i="32"/>
  <c r="D148" i="32"/>
  <c r="F148" i="32" s="1"/>
  <c r="C147" i="32"/>
  <c r="AV16" i="17"/>
  <c r="X130" i="31"/>
  <c r="AB130" i="31" s="1"/>
  <c r="AR130" i="31" s="1"/>
  <c r="P149" i="50"/>
  <c r="O150" i="50"/>
  <c r="P150" i="50" s="1"/>
  <c r="F137" i="40"/>
  <c r="Q142" i="45"/>
  <c r="Q144" i="45"/>
  <c r="D148" i="28"/>
  <c r="F148" i="28" s="1"/>
  <c r="C147" i="28"/>
  <c r="G148" i="28"/>
  <c r="G4" i="7"/>
  <c r="R144" i="48"/>
  <c r="X142" i="48"/>
  <c r="X142" i="29"/>
  <c r="R144" i="29"/>
  <c r="Q142" i="46"/>
  <c r="Q144" i="46"/>
  <c r="AR12" i="61"/>
  <c r="L151" i="66" s="1"/>
  <c r="AP12" i="12"/>
  <c r="B12" i="12"/>
  <c r="C17" i="42"/>
  <c r="AE94" i="42" s="1"/>
  <c r="AG94" i="42" s="1"/>
  <c r="AN16" i="61"/>
  <c r="AP16" i="16"/>
  <c r="C13" i="38"/>
  <c r="B16" i="16"/>
  <c r="Y145" i="42"/>
  <c r="Y144" i="42"/>
  <c r="Z144" i="42"/>
  <c r="Z145" i="42"/>
  <c r="R142" i="42"/>
  <c r="AA13" i="15"/>
  <c r="AG13" i="15" s="1"/>
  <c r="L140" i="48"/>
  <c r="G137" i="48"/>
  <c r="K140" i="48"/>
  <c r="L139" i="48"/>
  <c r="D137" i="48"/>
  <c r="K139" i="48"/>
  <c r="V139" i="48"/>
  <c r="T139" i="48"/>
  <c r="L140" i="43"/>
  <c r="G137" i="43"/>
  <c r="K140" i="43"/>
  <c r="L139" i="43"/>
  <c r="D137" i="43"/>
  <c r="K139" i="43"/>
  <c r="X135" i="47"/>
  <c r="AB135" i="47" s="1"/>
  <c r="AR134" i="47" s="1"/>
  <c r="T137" i="42"/>
  <c r="T140" i="42" s="1"/>
  <c r="X139" i="42" s="1"/>
  <c r="AB139" i="42" s="1"/>
  <c r="V137" i="42"/>
  <c r="V140" i="42" s="1"/>
  <c r="V33" i="32"/>
  <c r="T33" i="32"/>
  <c r="F130" i="39"/>
  <c r="H127" i="39"/>
  <c r="H130" i="39" s="1"/>
  <c r="AF13" i="17"/>
  <c r="AF6" i="11"/>
  <c r="AF7" i="11" s="1"/>
  <c r="AI16" i="22"/>
  <c r="AJ16" i="22"/>
  <c r="Z140" i="27"/>
  <c r="Z139" i="27"/>
  <c r="R137" i="27"/>
  <c r="Y140" i="27"/>
  <c r="Y139" i="27"/>
  <c r="F77" i="38"/>
  <c r="T59" i="38"/>
  <c r="T60" i="38" s="1"/>
  <c r="X59" i="38" s="1"/>
  <c r="V59" i="38"/>
  <c r="V60" i="38" s="1"/>
  <c r="AG8" i="12"/>
  <c r="F132" i="43"/>
  <c r="AA12" i="14"/>
  <c r="AG12" i="14" s="1"/>
  <c r="C142" i="45"/>
  <c r="G143" i="45"/>
  <c r="D143" i="45"/>
  <c r="F143" i="45" s="1"/>
  <c r="M149" i="31"/>
  <c r="G149" i="31"/>
  <c r="I150" i="31"/>
  <c r="M150" i="31"/>
  <c r="I149" i="31"/>
  <c r="AV18" i="53"/>
  <c r="AV18" i="19"/>
  <c r="F137" i="49"/>
  <c r="V68" i="39"/>
  <c r="T68" i="39"/>
  <c r="X137" i="50"/>
  <c r="R139" i="50"/>
  <c r="K140" i="36"/>
  <c r="K139" i="36"/>
  <c r="L140" i="36"/>
  <c r="G137" i="36"/>
  <c r="L139" i="36"/>
  <c r="D137" i="36"/>
  <c r="Z140" i="28"/>
  <c r="Z139" i="28"/>
  <c r="R137" i="28"/>
  <c r="Y140" i="28"/>
  <c r="Y139" i="28"/>
  <c r="Q147" i="38"/>
  <c r="Q149" i="38"/>
  <c r="V137" i="35"/>
  <c r="V140" i="35" s="1"/>
  <c r="T137" i="35"/>
  <c r="T140" i="35" s="1"/>
  <c r="X139" i="35" s="1"/>
  <c r="AB139" i="35" s="1"/>
  <c r="AA150" i="27"/>
  <c r="AO150" i="27" s="1"/>
  <c r="AP150" i="27" s="1"/>
  <c r="W150" i="27"/>
  <c r="AA149" i="27"/>
  <c r="AO149" i="27" s="1"/>
  <c r="AP149" i="27" s="1"/>
  <c r="W149" i="27"/>
  <c r="C149" i="26"/>
  <c r="C148" i="26"/>
  <c r="H44" i="35"/>
  <c r="H45" i="35" s="1"/>
  <c r="J45" i="35" s="1"/>
  <c r="F45" i="35"/>
  <c r="J44" i="35" s="1"/>
  <c r="Y6" i="8"/>
  <c r="Z140" i="37"/>
  <c r="Z139" i="37"/>
  <c r="R137" i="37"/>
  <c r="Y140" i="37"/>
  <c r="Y139" i="37"/>
  <c r="T132" i="31"/>
  <c r="T135" i="31" s="1"/>
  <c r="X134" i="31" s="1"/>
  <c r="AB134" i="31" s="1"/>
  <c r="V132" i="31"/>
  <c r="V135" i="31" s="1"/>
  <c r="F132" i="26"/>
  <c r="AA5" i="7"/>
  <c r="AG5" i="7" s="1"/>
  <c r="G143" i="48"/>
  <c r="D143" i="48"/>
  <c r="F143" i="48" s="1"/>
  <c r="C142" i="48"/>
  <c r="X142" i="47"/>
  <c r="R144" i="47"/>
  <c r="T73" i="40"/>
  <c r="V73" i="40"/>
  <c r="AA7" i="10"/>
  <c r="X6" i="10"/>
  <c r="AG10" i="13"/>
  <c r="AI60" i="37"/>
  <c r="AM60" i="37" s="1"/>
  <c r="AS60" i="37" s="1"/>
  <c r="H143" i="42"/>
  <c r="F150" i="59"/>
  <c r="H147" i="59"/>
  <c r="H150" i="59" s="1"/>
  <c r="F132" i="46"/>
  <c r="M150" i="47"/>
  <c r="I150" i="47"/>
  <c r="G149" i="47"/>
  <c r="M149" i="47"/>
  <c r="I149" i="47"/>
  <c r="H144" i="50"/>
  <c r="AO15" i="61"/>
  <c r="L193" i="66" s="1"/>
  <c r="AP15" i="15"/>
  <c r="Y14" i="15" s="1"/>
  <c r="C14" i="39"/>
  <c r="R69" i="39" s="1"/>
  <c r="B15" i="15"/>
  <c r="T43" i="34"/>
  <c r="V43" i="34"/>
  <c r="F47" i="33"/>
  <c r="T34" i="33"/>
  <c r="T35" i="33" s="1"/>
  <c r="X34" i="33" s="1"/>
  <c r="AB34" i="33" s="1"/>
  <c r="V34" i="33"/>
  <c r="V35" i="33" s="1"/>
  <c r="X35" i="33" s="1"/>
  <c r="AB35" i="33" s="1"/>
  <c r="T132" i="44"/>
  <c r="T135" i="44" s="1"/>
  <c r="X134" i="44" s="1"/>
  <c r="V132" i="44"/>
  <c r="V135" i="44" s="1"/>
  <c r="X4" i="7"/>
  <c r="AE65" i="38"/>
  <c r="AI64" i="38" s="1"/>
  <c r="AU9" i="61"/>
  <c r="AP9" i="9"/>
  <c r="Y8" i="9" s="1"/>
  <c r="C20" i="45"/>
  <c r="B9" i="9"/>
  <c r="Z145" i="30"/>
  <c r="Z144" i="30"/>
  <c r="R142" i="30"/>
  <c r="Y145" i="30"/>
  <c r="Y144" i="30"/>
  <c r="Q142" i="39"/>
  <c r="Q144" i="39"/>
  <c r="V134" i="34"/>
  <c r="T134" i="34"/>
  <c r="AJ13" i="22"/>
  <c r="AI13" i="22"/>
  <c r="X137" i="40"/>
  <c r="R139" i="40"/>
  <c r="AL18" i="61"/>
  <c r="AP18" i="18"/>
  <c r="C11" i="36"/>
  <c r="B18" i="18"/>
  <c r="V134" i="46"/>
  <c r="T134" i="46"/>
  <c r="V132" i="37"/>
  <c r="V135" i="37" s="1"/>
  <c r="T132" i="37"/>
  <c r="T135" i="37" s="1"/>
  <c r="X134" i="37" s="1"/>
  <c r="AB134" i="37" s="1"/>
  <c r="T134" i="45"/>
  <c r="V134" i="45"/>
  <c r="AV10" i="11"/>
  <c r="O150" i="45"/>
  <c r="P150" i="45" s="1"/>
  <c r="P149" i="45"/>
  <c r="AE89" i="42"/>
  <c r="AG89" i="42" s="1"/>
  <c r="AE93" i="42"/>
  <c r="R88" i="42"/>
  <c r="D89" i="42"/>
  <c r="AB9" i="20"/>
  <c r="AA150" i="28"/>
  <c r="AO150" i="28" s="1"/>
  <c r="AP150" i="28" s="1"/>
  <c r="W150" i="28"/>
  <c r="AA149" i="28"/>
  <c r="AO149" i="28" s="1"/>
  <c r="AP149" i="28" s="1"/>
  <c r="W149" i="28"/>
  <c r="AX6" i="61"/>
  <c r="EX129" i="61" s="1"/>
  <c r="GI129" i="61" s="1"/>
  <c r="C23" i="48"/>
  <c r="B6" i="6"/>
  <c r="AP6" i="6"/>
  <c r="D148" i="50"/>
  <c r="F148" i="50" s="1"/>
  <c r="C147" i="50"/>
  <c r="G148" i="50"/>
  <c r="AG63" i="37"/>
  <c r="AI35" i="33"/>
  <c r="AM35" i="33" s="1"/>
  <c r="AS35" i="33" s="1"/>
  <c r="M144" i="30"/>
  <c r="I144" i="30"/>
  <c r="M145" i="30"/>
  <c r="I145" i="30"/>
  <c r="G144" i="30"/>
  <c r="O150" i="49"/>
  <c r="P150" i="49" s="1"/>
  <c r="P149" i="49"/>
  <c r="P149" i="37"/>
  <c r="O150" i="37"/>
  <c r="P150" i="37" s="1"/>
  <c r="L140" i="30"/>
  <c r="G137" i="30"/>
  <c r="K140" i="30"/>
  <c r="L139" i="30"/>
  <c r="D137" i="30"/>
  <c r="K139" i="30"/>
  <c r="L139" i="37"/>
  <c r="D137" i="37"/>
  <c r="K139" i="37"/>
  <c r="L140" i="37"/>
  <c r="G137" i="37"/>
  <c r="K140" i="37"/>
  <c r="F65" i="38"/>
  <c r="J57" i="37"/>
  <c r="AB15" i="21"/>
  <c r="T143" i="50"/>
  <c r="V143" i="50"/>
  <c r="R144" i="26"/>
  <c r="X142" i="26"/>
  <c r="AR129" i="45"/>
  <c r="AR130" i="45"/>
  <c r="L144" i="50"/>
  <c r="D142" i="50"/>
  <c r="K144" i="50"/>
  <c r="L145" i="50"/>
  <c r="G142" i="50"/>
  <c r="K145" i="50"/>
  <c r="T132" i="49"/>
  <c r="T135" i="49" s="1"/>
  <c r="X134" i="49" s="1"/>
  <c r="AB134" i="49" s="1"/>
  <c r="V132" i="49"/>
  <c r="V135" i="49" s="1"/>
  <c r="AV21" i="22"/>
  <c r="H22" i="23"/>
  <c r="I22" i="23" s="1"/>
  <c r="D22" i="23"/>
  <c r="F22" i="23" s="1"/>
  <c r="G22" i="23" s="1"/>
  <c r="X137" i="45"/>
  <c r="R139" i="45"/>
  <c r="D148" i="44"/>
  <c r="F148" i="44" s="1"/>
  <c r="C147" i="44"/>
  <c r="G148" i="44"/>
  <c r="X55" i="38"/>
  <c r="X135" i="42"/>
  <c r="AB135" i="42" s="1"/>
  <c r="AR134" i="42" s="1"/>
  <c r="F7" i="9"/>
  <c r="X11" i="14"/>
  <c r="AE55" i="36"/>
  <c r="AI54" i="36" s="1"/>
  <c r="H160" i="59"/>
  <c r="AJ6" i="22"/>
  <c r="AI6" i="22"/>
  <c r="V139" i="30"/>
  <c r="T139" i="30"/>
  <c r="AR125" i="31"/>
  <c r="AV13" i="14"/>
  <c r="V132" i="39"/>
  <c r="V135" i="39" s="1"/>
  <c r="T132" i="39"/>
  <c r="T135" i="39" s="1"/>
  <c r="X134" i="39" s="1"/>
  <c r="AB134" i="39" s="1"/>
  <c r="Z173" i="59"/>
  <c r="Z174" i="59"/>
  <c r="Y173" i="59"/>
  <c r="Y174" i="59"/>
  <c r="R171" i="59"/>
  <c r="J79" i="42"/>
  <c r="J80" i="42"/>
  <c r="AA150" i="43"/>
  <c r="AO150" i="43" s="1"/>
  <c r="AP150" i="43" s="1"/>
  <c r="W150" i="43"/>
  <c r="AA149" i="43"/>
  <c r="AO149" i="43" s="1"/>
  <c r="AP149" i="43" s="1"/>
  <c r="W149" i="43"/>
  <c r="AZ4" i="61"/>
  <c r="BA3" i="61"/>
  <c r="AP4" i="4"/>
  <c r="B4" i="4"/>
  <c r="C25" i="50"/>
  <c r="Y145" i="41"/>
  <c r="Y144" i="41"/>
  <c r="Z145" i="41"/>
  <c r="Z144" i="41"/>
  <c r="R142" i="41"/>
  <c r="X137" i="31"/>
  <c r="R139" i="31"/>
  <c r="R139" i="43"/>
  <c r="X137" i="43"/>
  <c r="M150" i="40"/>
  <c r="I150" i="40"/>
  <c r="G149" i="40"/>
  <c r="M149" i="40"/>
  <c r="I149" i="40"/>
  <c r="F132" i="36"/>
  <c r="V132" i="40"/>
  <c r="V135" i="40" s="1"/>
  <c r="T132" i="40"/>
  <c r="T135" i="40" s="1"/>
  <c r="X134" i="40" s="1"/>
  <c r="AB134" i="40" s="1"/>
  <c r="AG50" i="35"/>
  <c r="F137" i="41"/>
  <c r="Q144" i="27"/>
  <c r="Q142" i="27"/>
  <c r="D148" i="27"/>
  <c r="F148" i="27" s="1"/>
  <c r="C147" i="27"/>
  <c r="G148" i="27"/>
  <c r="T137" i="36"/>
  <c r="T140" i="36" s="1"/>
  <c r="X139" i="36" s="1"/>
  <c r="V137" i="36"/>
  <c r="V140" i="36" s="1"/>
  <c r="AW7" i="61"/>
  <c r="AP7" i="7"/>
  <c r="Y6" i="7" s="1"/>
  <c r="B7" i="7"/>
  <c r="C22" i="47"/>
  <c r="H132" i="42"/>
  <c r="H135" i="42" s="1"/>
  <c r="F135" i="42"/>
  <c r="AF10" i="15"/>
  <c r="AF11" i="15" s="1"/>
  <c r="AF12" i="15" s="1"/>
  <c r="J62" i="38"/>
  <c r="V137" i="29"/>
  <c r="V140" i="29" s="1"/>
  <c r="T137" i="29"/>
  <c r="T140" i="29" s="1"/>
  <c r="X139" i="29" s="1"/>
  <c r="AB139" i="29" s="1"/>
  <c r="AI21" i="61"/>
  <c r="L277" i="66" s="1"/>
  <c r="B21" i="21"/>
  <c r="C8" i="33"/>
  <c r="AP21" i="21"/>
  <c r="Q147" i="35"/>
  <c r="Q149" i="35"/>
  <c r="T74" i="41"/>
  <c r="T75" i="41" s="1"/>
  <c r="X74" i="41" s="1"/>
  <c r="V74" i="41"/>
  <c r="V75" i="41" s="1"/>
  <c r="L140" i="26"/>
  <c r="G137" i="26"/>
  <c r="K140" i="26"/>
  <c r="L139" i="26"/>
  <c r="D137" i="26"/>
  <c r="K139" i="26"/>
  <c r="AI90" i="44"/>
  <c r="H132" i="41"/>
  <c r="H135" i="41" s="1"/>
  <c r="F135" i="41"/>
  <c r="D23" i="24"/>
  <c r="F23" i="24" s="1"/>
  <c r="G23" i="24" s="1"/>
  <c r="H23" i="24"/>
  <c r="I23" i="24" s="1"/>
  <c r="K144" i="29"/>
  <c r="L145" i="29"/>
  <c r="G142" i="29"/>
  <c r="K145" i="29"/>
  <c r="L144" i="29"/>
  <c r="D142" i="29"/>
  <c r="AV9" i="10"/>
  <c r="H57" i="36"/>
  <c r="V134" i="28"/>
  <c r="T134" i="28"/>
  <c r="AG5" i="9"/>
  <c r="X12" i="16"/>
  <c r="V137" i="30"/>
  <c r="V140" i="30" s="1"/>
  <c r="T137" i="30"/>
  <c r="T140" i="30" s="1"/>
  <c r="X139" i="30" s="1"/>
  <c r="AB139" i="30" s="1"/>
  <c r="X142" i="36"/>
  <c r="R144" i="36"/>
  <c r="V132" i="50"/>
  <c r="V135" i="50" s="1"/>
  <c r="T132" i="50"/>
  <c r="T135" i="50" s="1"/>
  <c r="X134" i="50" s="1"/>
  <c r="AB134" i="50" s="1"/>
  <c r="Y140" i="39"/>
  <c r="Z139" i="39"/>
  <c r="Z140" i="39"/>
  <c r="Y139" i="39"/>
  <c r="R137" i="39"/>
  <c r="T139" i="41"/>
  <c r="V139" i="41"/>
  <c r="X75" i="42"/>
  <c r="X14" i="17"/>
  <c r="AA14" i="17"/>
  <c r="AG14" i="17" s="1"/>
  <c r="X130" i="49"/>
  <c r="AB130" i="49" s="1"/>
  <c r="AR130" i="49" s="1"/>
  <c r="M150" i="42"/>
  <c r="I150" i="42"/>
  <c r="G149" i="42"/>
  <c r="M149" i="42"/>
  <c r="I149" i="42"/>
  <c r="Z140" i="44"/>
  <c r="Z139" i="44"/>
  <c r="R137" i="44"/>
  <c r="Y140" i="44"/>
  <c r="Y139" i="44"/>
  <c r="V137" i="26"/>
  <c r="V140" i="26" s="1"/>
  <c r="T137" i="26"/>
  <c r="T140" i="26" s="1"/>
  <c r="X139" i="26" s="1"/>
  <c r="AB139" i="26" s="1"/>
  <c r="V134" i="40"/>
  <c r="T134" i="40"/>
  <c r="G143" i="43"/>
  <c r="D143" i="43"/>
  <c r="F143" i="43" s="1"/>
  <c r="C142" i="43"/>
  <c r="H7" i="8"/>
  <c r="I7" i="8" s="1"/>
  <c r="D7" i="8"/>
  <c r="F7" i="8" s="1"/>
  <c r="G7" i="8" s="1"/>
  <c r="M150" i="28"/>
  <c r="I150" i="28"/>
  <c r="G149" i="28"/>
  <c r="M149" i="28"/>
  <c r="I149" i="28"/>
  <c r="Y145" i="29"/>
  <c r="Y144" i="29"/>
  <c r="Z145" i="29"/>
  <c r="Z144" i="29"/>
  <c r="R142" i="29"/>
  <c r="H11" i="12"/>
  <c r="I11" i="12" s="1"/>
  <c r="D11" i="12"/>
  <c r="AV15" i="16"/>
  <c r="D143" i="37"/>
  <c r="F143" i="37" s="1"/>
  <c r="C142" i="37"/>
  <c r="G143" i="37"/>
  <c r="T139" i="29"/>
  <c r="V139" i="29"/>
  <c r="K139" i="45"/>
  <c r="L140" i="45"/>
  <c r="K140" i="45"/>
  <c r="L139" i="45"/>
  <c r="G137" i="45"/>
  <c r="D137" i="45"/>
  <c r="F137" i="42"/>
  <c r="AA150" i="34"/>
  <c r="AO150" i="34" s="1"/>
  <c r="AP150" i="34" s="1"/>
  <c r="W150" i="34"/>
  <c r="AA149" i="34"/>
  <c r="AO149" i="34" s="1"/>
  <c r="AP149" i="34" s="1"/>
  <c r="W149" i="34"/>
  <c r="AG38" i="32"/>
  <c r="F130" i="48"/>
  <c r="H127" i="48"/>
  <c r="H130" i="48" s="1"/>
  <c r="AA7" i="9"/>
  <c r="AG7" i="9" s="1"/>
  <c r="X13" i="17"/>
  <c r="T139" i="47"/>
  <c r="V139" i="47"/>
  <c r="H127" i="37"/>
  <c r="H130" i="37" s="1"/>
  <c r="F130" i="37"/>
  <c r="V132" i="34"/>
  <c r="V135" i="34" s="1"/>
  <c r="T132" i="34"/>
  <c r="T135" i="34" s="1"/>
  <c r="X134" i="34" s="1"/>
  <c r="AB134" i="34" s="1"/>
  <c r="AI14" i="22"/>
  <c r="AJ14" i="22"/>
  <c r="X137" i="27"/>
  <c r="R139" i="27"/>
  <c r="F89" i="43"/>
  <c r="J87" i="43"/>
  <c r="H132" i="29"/>
  <c r="H135" i="29" s="1"/>
  <c r="F135" i="29"/>
  <c r="M150" i="38"/>
  <c r="I150" i="38"/>
  <c r="G149" i="38"/>
  <c r="M149" i="38"/>
  <c r="I149" i="38"/>
  <c r="J49" i="36"/>
  <c r="J50" i="36"/>
  <c r="D18" i="53"/>
  <c r="F18" i="53" s="1"/>
  <c r="G18" i="53" s="1"/>
  <c r="H18" i="53"/>
  <c r="I18" i="53" s="1"/>
  <c r="AK19" i="61"/>
  <c r="B19" i="19"/>
  <c r="AP19" i="19"/>
  <c r="C10" i="35"/>
  <c r="D67" i="35" s="1"/>
  <c r="F67" i="35" s="1"/>
  <c r="AP19" i="53"/>
  <c r="B19" i="53"/>
  <c r="AG73" i="39"/>
  <c r="Z140" i="50"/>
  <c r="Z139" i="50"/>
  <c r="R137" i="50"/>
  <c r="Y140" i="50"/>
  <c r="Y139" i="50"/>
  <c r="F135" i="33"/>
  <c r="H132" i="33"/>
  <c r="H135" i="33" s="1"/>
  <c r="AE90" i="43"/>
  <c r="AI89" i="43" s="1"/>
  <c r="F137" i="34"/>
  <c r="H127" i="45"/>
  <c r="H130" i="45" s="1"/>
  <c r="F130" i="45"/>
  <c r="M144" i="48"/>
  <c r="I144" i="48"/>
  <c r="M145" i="48"/>
  <c r="I145" i="48"/>
  <c r="G144" i="48"/>
  <c r="Z140" i="33"/>
  <c r="Z139" i="33"/>
  <c r="R137" i="33"/>
  <c r="Y140" i="33"/>
  <c r="Y139" i="33"/>
  <c r="K144" i="38"/>
  <c r="L145" i="38"/>
  <c r="G142" i="38"/>
  <c r="K145" i="38"/>
  <c r="L144" i="38"/>
  <c r="D142" i="38"/>
  <c r="K145" i="44"/>
  <c r="L144" i="44"/>
  <c r="D142" i="44"/>
  <c r="K144" i="44"/>
  <c r="L145" i="44"/>
  <c r="G142" i="44"/>
  <c r="Y145" i="47"/>
  <c r="Y144" i="47"/>
  <c r="Z145" i="47"/>
  <c r="Z144" i="47"/>
  <c r="R142" i="47"/>
  <c r="F74" i="40"/>
  <c r="J72" i="40"/>
  <c r="Q142" i="50"/>
  <c r="Q144" i="50"/>
  <c r="C147" i="47"/>
  <c r="G148" i="47"/>
  <c r="D148" i="47"/>
  <c r="F148" i="47" s="1"/>
  <c r="H14" i="15"/>
  <c r="I14" i="15" s="1"/>
  <c r="D14" i="15"/>
  <c r="F14" i="15" s="1"/>
  <c r="G14" i="15" s="1"/>
  <c r="T42" i="33"/>
  <c r="V42" i="33"/>
  <c r="K145" i="27"/>
  <c r="L144" i="27"/>
  <c r="D142" i="27"/>
  <c r="K144" i="27"/>
  <c r="L145" i="27"/>
  <c r="G142" i="27"/>
  <c r="AG75" i="40"/>
  <c r="AV8" i="9"/>
  <c r="J95" i="44"/>
  <c r="N95" i="44" s="1"/>
  <c r="AQ95" i="44" s="1"/>
  <c r="J94" i="44"/>
  <c r="N94" i="44" s="1"/>
  <c r="AQ94" i="44" s="1"/>
  <c r="Q149" i="26"/>
  <c r="Q147" i="26"/>
  <c r="V159" i="59"/>
  <c r="V162" i="59" s="1"/>
  <c r="T159" i="59"/>
  <c r="T162" i="59" s="1"/>
  <c r="X161" i="59" s="1"/>
  <c r="AB161" i="59" s="1"/>
  <c r="R144" i="30"/>
  <c r="X142" i="30"/>
  <c r="Z140" i="40"/>
  <c r="Z139" i="40"/>
  <c r="R137" i="40"/>
  <c r="Y140" i="40"/>
  <c r="Y139" i="40"/>
  <c r="H17" i="18"/>
  <c r="I17" i="18" s="1"/>
  <c r="D17" i="18"/>
  <c r="F17" i="18" s="1"/>
  <c r="G17" i="18" s="1"/>
  <c r="AJ4" i="22"/>
  <c r="AI4" i="22"/>
  <c r="H10" i="11"/>
  <c r="I10" i="11" s="1"/>
  <c r="D10" i="11"/>
  <c r="F10" i="11" s="1"/>
  <c r="G10" i="11" s="1"/>
  <c r="AQ13" i="61"/>
  <c r="D154" i="66" s="1"/>
  <c r="B13" i="13"/>
  <c r="C16" i="41"/>
  <c r="AP13" i="13"/>
  <c r="F54" i="36"/>
  <c r="J52" i="36"/>
  <c r="AI15" i="20"/>
  <c r="AJ15" i="20"/>
  <c r="P149" i="28"/>
  <c r="O150" i="28"/>
  <c r="P150" i="28" s="1"/>
  <c r="V137" i="38"/>
  <c r="V140" i="38" s="1"/>
  <c r="T137" i="38"/>
  <c r="T140" i="38" s="1"/>
  <c r="X139" i="38" s="1"/>
  <c r="AB139" i="38" s="1"/>
  <c r="Q147" i="41"/>
  <c r="Q149" i="41"/>
  <c r="C149" i="46"/>
  <c r="C148" i="46"/>
  <c r="H5" i="6"/>
  <c r="I5" i="6" s="1"/>
  <c r="D5" i="6"/>
  <c r="F5" i="6" s="1"/>
  <c r="G5" i="6" s="1"/>
  <c r="AA4" i="6"/>
  <c r="M150" i="50"/>
  <c r="I150" i="50"/>
  <c r="G149" i="50"/>
  <c r="M149" i="50"/>
  <c r="I149" i="50"/>
  <c r="D149" i="50"/>
  <c r="F149" i="50" s="1"/>
  <c r="C148" i="36"/>
  <c r="C149" i="36"/>
  <c r="AA150" i="49"/>
  <c r="AO150" i="49" s="1"/>
  <c r="AP150" i="49" s="1"/>
  <c r="W150" i="49"/>
  <c r="AA149" i="49"/>
  <c r="AO149" i="49" s="1"/>
  <c r="AP149" i="49" s="1"/>
  <c r="W149" i="49"/>
  <c r="M150" i="35"/>
  <c r="I150" i="35"/>
  <c r="G149" i="35"/>
  <c r="M149" i="35"/>
  <c r="I149" i="35"/>
  <c r="O150" i="44"/>
  <c r="P150" i="44" s="1"/>
  <c r="P149" i="44"/>
  <c r="H65" i="38"/>
  <c r="J137" i="50"/>
  <c r="F137" i="50"/>
  <c r="AD14" i="21"/>
  <c r="AD5" i="21"/>
  <c r="AB5" i="21" s="1"/>
  <c r="AD9" i="21"/>
  <c r="AD12" i="21"/>
  <c r="AD6" i="21"/>
  <c r="AB6" i="21" s="1"/>
  <c r="AD7" i="21"/>
  <c r="AB7" i="21" s="1"/>
  <c r="AD13" i="21"/>
  <c r="AD8" i="21"/>
  <c r="AB8" i="21" s="1"/>
  <c r="AD15" i="21"/>
  <c r="AD11" i="21"/>
  <c r="AD10" i="21"/>
  <c r="AD16" i="21"/>
  <c r="AD4" i="21"/>
  <c r="AB4" i="21" s="1"/>
  <c r="AB11" i="21"/>
  <c r="AB9" i="21"/>
  <c r="F57" i="35"/>
  <c r="AG53" i="35"/>
  <c r="AG55" i="35" s="1"/>
  <c r="Q149" i="36"/>
  <c r="Q147" i="36"/>
  <c r="X142" i="38"/>
  <c r="R144" i="38"/>
  <c r="AH22" i="61"/>
  <c r="B22" i="22"/>
  <c r="C7" i="32"/>
  <c r="AP22" i="22"/>
  <c r="Q144" i="49"/>
  <c r="Q142" i="49"/>
  <c r="AV22" i="23"/>
  <c r="X60" i="39"/>
  <c r="Y140" i="45"/>
  <c r="Y139" i="45"/>
  <c r="Z139" i="45"/>
  <c r="Z140" i="45"/>
  <c r="R137" i="45"/>
  <c r="L144" i="34"/>
  <c r="D142" i="34"/>
  <c r="K144" i="34"/>
  <c r="L145" i="34"/>
  <c r="G142" i="34"/>
  <c r="K145" i="34"/>
  <c r="D148" i="34"/>
  <c r="F148" i="34" s="1"/>
  <c r="C147" i="34"/>
  <c r="G148" i="34"/>
  <c r="M149" i="44"/>
  <c r="I149" i="44"/>
  <c r="M150" i="44"/>
  <c r="I150" i="44"/>
  <c r="G149" i="44"/>
  <c r="L144" i="28"/>
  <c r="D142" i="28"/>
  <c r="K144" i="28"/>
  <c r="L145" i="28"/>
  <c r="G142" i="28"/>
  <c r="K145" i="28"/>
  <c r="Y8" i="10"/>
  <c r="AG11" i="14"/>
  <c r="AG55" i="36"/>
  <c r="V134" i="27"/>
  <c r="T134" i="27"/>
  <c r="AJ7" i="22"/>
  <c r="AI7" i="22"/>
  <c r="R83" i="41"/>
  <c r="AE84" i="41"/>
  <c r="AG84" i="41" s="1"/>
  <c r="AE88" i="41"/>
  <c r="D84" i="41"/>
  <c r="Y11" i="13"/>
  <c r="R173" i="59"/>
  <c r="X171" i="59"/>
  <c r="J47" i="35"/>
  <c r="T139" i="38"/>
  <c r="V139" i="38"/>
  <c r="AG45" i="34"/>
  <c r="AY5" i="61"/>
  <c r="B5" i="5"/>
  <c r="AP5" i="5"/>
  <c r="C24" i="49"/>
  <c r="D149" i="49" s="1"/>
  <c r="F149" i="49" s="1"/>
  <c r="F45" i="33"/>
  <c r="H42" i="33"/>
  <c r="X137" i="34"/>
  <c r="R139" i="34"/>
  <c r="K145" i="49"/>
  <c r="L144" i="49"/>
  <c r="D142" i="49"/>
  <c r="K144" i="49"/>
  <c r="L145" i="49"/>
  <c r="G142" i="49"/>
  <c r="AE50" i="35"/>
  <c r="AI49" i="35" s="1"/>
  <c r="M149" i="27"/>
  <c r="I149" i="27"/>
  <c r="M150" i="27"/>
  <c r="I150" i="27"/>
  <c r="G149" i="27"/>
  <c r="D6" i="7"/>
  <c r="H6" i="7"/>
  <c r="I6" i="7" s="1"/>
  <c r="AK39" i="35"/>
  <c r="AM39" i="35" s="1"/>
  <c r="AS39" i="35" s="1"/>
  <c r="Z39" i="35"/>
  <c r="AB39" i="35" s="1"/>
  <c r="L44" i="35"/>
  <c r="AG15" i="53"/>
  <c r="X1" i="53"/>
  <c r="F137" i="35"/>
  <c r="F60" i="37"/>
  <c r="Y10" i="12"/>
  <c r="X9" i="12" s="1"/>
  <c r="Y14" i="16"/>
  <c r="AV20" i="21"/>
  <c r="T132" i="33"/>
  <c r="T135" i="33" s="1"/>
  <c r="X134" i="33" s="1"/>
  <c r="AB134" i="33" s="1"/>
  <c r="V132" i="33"/>
  <c r="V135" i="33" s="1"/>
  <c r="F132" i="37"/>
  <c r="AR134" i="26"/>
  <c r="AV23" i="24"/>
  <c r="K144" i="35"/>
  <c r="L145" i="35"/>
  <c r="G142" i="35"/>
  <c r="K145" i="35"/>
  <c r="L144" i="35"/>
  <c r="D142" i="35"/>
  <c r="K144" i="41"/>
  <c r="L145" i="41"/>
  <c r="G142" i="41"/>
  <c r="K145" i="41"/>
  <c r="L144" i="41"/>
  <c r="D142" i="41"/>
  <c r="AT10" i="61"/>
  <c r="C19" i="44"/>
  <c r="AE104" i="44" s="1"/>
  <c r="AG104" i="44" s="1"/>
  <c r="B10" i="10"/>
  <c r="AP10" i="10"/>
  <c r="L140" i="39"/>
  <c r="G137" i="39"/>
  <c r="K139" i="39"/>
  <c r="D137" i="39"/>
  <c r="K140" i="39"/>
  <c r="L139" i="39"/>
  <c r="X7" i="11"/>
  <c r="AR124" i="33"/>
  <c r="AR125" i="33"/>
  <c r="J79" i="41" l="1"/>
  <c r="AG115" i="47"/>
  <c r="A153" i="66"/>
  <c r="AG120" i="48"/>
  <c r="X25" i="47"/>
  <c r="J105" i="46"/>
  <c r="J120" i="49"/>
  <c r="T103" i="45"/>
  <c r="AI80" i="41"/>
  <c r="Z59" i="42"/>
  <c r="AB59" i="42" s="1"/>
  <c r="D189" i="66"/>
  <c r="D145" i="66"/>
  <c r="L157" i="66"/>
  <c r="D244" i="66"/>
  <c r="B244" i="66" s="1"/>
  <c r="B144" i="66"/>
  <c r="A144" i="66"/>
  <c r="A188" i="66"/>
  <c r="B188" i="66"/>
  <c r="D232" i="66"/>
  <c r="L217" i="66"/>
  <c r="D156" i="66"/>
  <c r="B156" i="66" s="1"/>
  <c r="D216" i="65"/>
  <c r="A216" i="65" s="1"/>
  <c r="I216" i="66"/>
  <c r="J216" i="66"/>
  <c r="B216" i="65" s="1"/>
  <c r="I156" i="66"/>
  <c r="D156" i="65"/>
  <c r="A156" i="65" s="1"/>
  <c r="J156" i="66"/>
  <c r="B156" i="65" s="1"/>
  <c r="B133" i="66"/>
  <c r="A133" i="66"/>
  <c r="AT74" i="49"/>
  <c r="AI120" i="49"/>
  <c r="D77" i="37"/>
  <c r="L9" i="47"/>
  <c r="AP75" i="47" s="1"/>
  <c r="AT75" i="47" s="1"/>
  <c r="E13" i="47" s="1"/>
  <c r="AP11" i="47" s="1"/>
  <c r="AR11" i="47" s="1"/>
  <c r="N45" i="35"/>
  <c r="AQ45" i="35" s="1"/>
  <c r="AR130" i="43"/>
  <c r="L6" i="43"/>
  <c r="AP59" i="43" s="1"/>
  <c r="AB40" i="35"/>
  <c r="AR40" i="35" s="1"/>
  <c r="AT40" i="35" s="1"/>
  <c r="E6" i="35" s="1"/>
  <c r="Z59" i="41"/>
  <c r="AB59" i="41" s="1"/>
  <c r="L64" i="41"/>
  <c r="N64" i="41" s="1"/>
  <c r="AQ64" i="41" s="1"/>
  <c r="AK59" i="41"/>
  <c r="AM59" i="41" s="1"/>
  <c r="AS59" i="41" s="1"/>
  <c r="X110" i="48"/>
  <c r="AK79" i="47"/>
  <c r="AM79" i="47" s="1"/>
  <c r="AS79" i="47" s="1"/>
  <c r="AP15" i="47"/>
  <c r="AR15" i="47" s="1"/>
  <c r="B154" i="66"/>
  <c r="A154" i="66"/>
  <c r="D193" i="65"/>
  <c r="J193" i="66"/>
  <c r="B193" i="65" s="1"/>
  <c r="I193" i="66"/>
  <c r="I178" i="66"/>
  <c r="D178" i="65"/>
  <c r="A178" i="65" s="1"/>
  <c r="J178" i="66"/>
  <c r="B178" i="65" s="1"/>
  <c r="D262" i="65"/>
  <c r="I262" i="66"/>
  <c r="J262" i="66"/>
  <c r="B262" i="65" s="1"/>
  <c r="B166" i="66"/>
  <c r="A166" i="66"/>
  <c r="D167" i="66"/>
  <c r="L179" i="66"/>
  <c r="I136" i="66"/>
  <c r="D136" i="65"/>
  <c r="A136" i="65" s="1"/>
  <c r="J136" i="66"/>
  <c r="B136" i="65" s="1"/>
  <c r="D277" i="65"/>
  <c r="I277" i="66"/>
  <c r="J277" i="66"/>
  <c r="B277" i="65" s="1"/>
  <c r="D151" i="65"/>
  <c r="A151" i="65" s="1"/>
  <c r="J151" i="66"/>
  <c r="B151" i="65" s="1"/>
  <c r="I151" i="66"/>
  <c r="D206" i="66"/>
  <c r="L263" i="66"/>
  <c r="X90" i="45"/>
  <c r="AI110" i="47"/>
  <c r="B127" i="66"/>
  <c r="A127" i="66"/>
  <c r="X115" i="49"/>
  <c r="L165" i="66"/>
  <c r="R84" i="41"/>
  <c r="T84" i="41" s="1"/>
  <c r="D98" i="41"/>
  <c r="F98" i="41" s="1"/>
  <c r="H98" i="41" s="1"/>
  <c r="R97" i="41"/>
  <c r="D102" i="41"/>
  <c r="F102" i="41" s="1"/>
  <c r="D81" i="66"/>
  <c r="L85" i="66"/>
  <c r="R103" i="44"/>
  <c r="AE108" i="44"/>
  <c r="AG108" i="44" s="1"/>
  <c r="D442" i="66"/>
  <c r="L465" i="66"/>
  <c r="AB22" i="48"/>
  <c r="AD22" i="48" s="1"/>
  <c r="Z74" i="48"/>
  <c r="AB74" i="48" s="1"/>
  <c r="AP5" i="48"/>
  <c r="AR5" i="48" s="1"/>
  <c r="L79" i="48"/>
  <c r="N79" i="48" s="1"/>
  <c r="AQ79" i="48" s="1"/>
  <c r="AE120" i="48"/>
  <c r="AI119" i="48" s="1"/>
  <c r="AI115" i="47"/>
  <c r="B403" i="66"/>
  <c r="A403" i="66"/>
  <c r="V118" i="48"/>
  <c r="T118" i="48"/>
  <c r="AG128" i="49"/>
  <c r="H102" i="42"/>
  <c r="A156" i="66"/>
  <c r="F109" i="46"/>
  <c r="J107" i="46"/>
  <c r="F117" i="46"/>
  <c r="AE125" i="49"/>
  <c r="AI124" i="49" s="1"/>
  <c r="V107" i="45"/>
  <c r="T107" i="45"/>
  <c r="V138" i="50"/>
  <c r="T138" i="50"/>
  <c r="T133" i="50"/>
  <c r="V133" i="50"/>
  <c r="T128" i="50"/>
  <c r="V128" i="50"/>
  <c r="AE135" i="50"/>
  <c r="AI134" i="50" s="1"/>
  <c r="AG133" i="50"/>
  <c r="AG135" i="50" s="1"/>
  <c r="H107" i="44"/>
  <c r="X105" i="47"/>
  <c r="B80" i="66"/>
  <c r="A80" i="66"/>
  <c r="A175" i="66"/>
  <c r="B175" i="66"/>
  <c r="T113" i="47"/>
  <c r="V113" i="47"/>
  <c r="F105" i="45"/>
  <c r="J112" i="47"/>
  <c r="AG130" i="50"/>
  <c r="B137" i="66"/>
  <c r="A137" i="66"/>
  <c r="B61" i="66"/>
  <c r="A61" i="66"/>
  <c r="D124" i="65"/>
  <c r="A124" i="65" s="1"/>
  <c r="I124" i="66"/>
  <c r="J124" i="66"/>
  <c r="B124" i="65" s="1"/>
  <c r="D366" i="66"/>
  <c r="L385" i="66"/>
  <c r="D100" i="66"/>
  <c r="L105" i="66"/>
  <c r="D138" i="66"/>
  <c r="L145" i="66"/>
  <c r="D176" i="66"/>
  <c r="L185" i="66"/>
  <c r="D119" i="66"/>
  <c r="L125" i="66"/>
  <c r="AT75" i="49"/>
  <c r="L85" i="47"/>
  <c r="N85" i="47" s="1"/>
  <c r="AQ85" i="47" s="1"/>
  <c r="Z80" i="47"/>
  <c r="AB80" i="47" s="1"/>
  <c r="D444" i="65"/>
  <c r="A444" i="65" s="1"/>
  <c r="J444" i="66"/>
  <c r="B444" i="65" s="1"/>
  <c r="I444" i="66"/>
  <c r="X100" i="46"/>
  <c r="AG123" i="48"/>
  <c r="T114" i="48"/>
  <c r="T115" i="48" s="1"/>
  <c r="X114" i="48" s="1"/>
  <c r="V114" i="48"/>
  <c r="V115" i="48" s="1"/>
  <c r="F124" i="49"/>
  <c r="H124" i="49" s="1"/>
  <c r="J122" i="49"/>
  <c r="T97" i="42"/>
  <c r="V97" i="42"/>
  <c r="V108" i="46"/>
  <c r="T108" i="46"/>
  <c r="V112" i="46"/>
  <c r="T112" i="46"/>
  <c r="AE150" i="50"/>
  <c r="AI149" i="50" s="1"/>
  <c r="AG148" i="50"/>
  <c r="AG150" i="50" s="1"/>
  <c r="AE145" i="50"/>
  <c r="AI144" i="50" s="1"/>
  <c r="AG143" i="50"/>
  <c r="AG145" i="50" s="1"/>
  <c r="H103" i="44"/>
  <c r="B232" i="66"/>
  <c r="A232" i="66"/>
  <c r="H105" i="45"/>
  <c r="J105" i="45" s="1"/>
  <c r="H113" i="47"/>
  <c r="H115" i="47" s="1"/>
  <c r="F115" i="47"/>
  <c r="AE130" i="50"/>
  <c r="AI129" i="50" s="1"/>
  <c r="D384" i="65"/>
  <c r="A384" i="65" s="1"/>
  <c r="J384" i="66"/>
  <c r="B384" i="65" s="1"/>
  <c r="I384" i="66"/>
  <c r="B118" i="66"/>
  <c r="A118" i="66"/>
  <c r="AE129" i="49"/>
  <c r="AG129" i="49" s="1"/>
  <c r="AE133" i="49"/>
  <c r="AE134" i="49"/>
  <c r="AG134" i="49" s="1"/>
  <c r="AE138" i="49"/>
  <c r="AE139" i="49"/>
  <c r="AG139" i="49" s="1"/>
  <c r="R128" i="49"/>
  <c r="D129" i="49"/>
  <c r="R133" i="49"/>
  <c r="AE144" i="49"/>
  <c r="AG144" i="49" s="1"/>
  <c r="AE143" i="49"/>
  <c r="D134" i="49"/>
  <c r="D139" i="49"/>
  <c r="AE149" i="49"/>
  <c r="AG149" i="49" s="1"/>
  <c r="AE148" i="49"/>
  <c r="R138" i="49"/>
  <c r="D144" i="49"/>
  <c r="F144" i="49" s="1"/>
  <c r="H144" i="49" s="1"/>
  <c r="R143" i="49"/>
  <c r="R114" i="47"/>
  <c r="AE123" i="47"/>
  <c r="R118" i="47"/>
  <c r="D119" i="47"/>
  <c r="AE119" i="47"/>
  <c r="AG119" i="47" s="1"/>
  <c r="L205" i="66"/>
  <c r="H99" i="45"/>
  <c r="H100" i="45" s="1"/>
  <c r="J100" i="45" s="1"/>
  <c r="F100" i="45"/>
  <c r="B422" i="66"/>
  <c r="A422" i="66"/>
  <c r="H97" i="41"/>
  <c r="V123" i="49"/>
  <c r="T123" i="49"/>
  <c r="AG109" i="46"/>
  <c r="AG110" i="46" s="1"/>
  <c r="AE110" i="46"/>
  <c r="AI109" i="46" s="1"/>
  <c r="F113" i="46"/>
  <c r="V99" i="45"/>
  <c r="V100" i="45" s="1"/>
  <c r="T99" i="45"/>
  <c r="F134" i="50"/>
  <c r="H134" i="50" s="1"/>
  <c r="J132" i="50"/>
  <c r="J134" i="50" s="1"/>
  <c r="N134" i="50" s="1"/>
  <c r="AQ134" i="50" s="1"/>
  <c r="F129" i="50"/>
  <c r="H129" i="50" s="1"/>
  <c r="J127" i="50"/>
  <c r="V89" i="44"/>
  <c r="V90" i="44" s="1"/>
  <c r="T89" i="44"/>
  <c r="T90" i="44" s="1"/>
  <c r="X89" i="44" s="1"/>
  <c r="J124" i="50"/>
  <c r="N124" i="50" s="1"/>
  <c r="AQ124" i="50" s="1"/>
  <c r="J125" i="50"/>
  <c r="N125" i="50" s="1"/>
  <c r="AQ125" i="50" s="1"/>
  <c r="AR75" i="47"/>
  <c r="AR74" i="47"/>
  <c r="D404" i="65"/>
  <c r="A404" i="65" s="1"/>
  <c r="J404" i="66"/>
  <c r="B404" i="65" s="1"/>
  <c r="I404" i="66"/>
  <c r="T109" i="47"/>
  <c r="T110" i="47" s="1"/>
  <c r="X109" i="47" s="1"/>
  <c r="V109" i="47"/>
  <c r="V110" i="47" s="1"/>
  <c r="B365" i="66"/>
  <c r="A365" i="66"/>
  <c r="D204" i="65"/>
  <c r="A204" i="65" s="1"/>
  <c r="J204" i="66"/>
  <c r="B204" i="65" s="1"/>
  <c r="I204" i="66"/>
  <c r="D104" i="65"/>
  <c r="A104" i="65" s="1"/>
  <c r="I104" i="66"/>
  <c r="J104" i="66"/>
  <c r="B104" i="65" s="1"/>
  <c r="D108" i="44"/>
  <c r="F108" i="44" s="1"/>
  <c r="H108" i="44" s="1"/>
  <c r="R99" i="44"/>
  <c r="R107" i="44"/>
  <c r="D112" i="44"/>
  <c r="F112" i="44" s="1"/>
  <c r="D385" i="66"/>
  <c r="L405" i="66"/>
  <c r="R148" i="49"/>
  <c r="AE128" i="48"/>
  <c r="R123" i="48"/>
  <c r="D124" i="48"/>
  <c r="AE124" i="48"/>
  <c r="AG124" i="48" s="1"/>
  <c r="R104" i="45"/>
  <c r="D113" i="45"/>
  <c r="R112" i="45"/>
  <c r="D117" i="45"/>
  <c r="AE109" i="45"/>
  <c r="D109" i="45"/>
  <c r="AE113" i="45"/>
  <c r="R108" i="45"/>
  <c r="D423" i="66"/>
  <c r="L445" i="66"/>
  <c r="R87" i="40"/>
  <c r="D97" i="40"/>
  <c r="F97" i="40" s="1"/>
  <c r="D404" i="66"/>
  <c r="L425" i="66"/>
  <c r="R89" i="43"/>
  <c r="D103" i="43"/>
  <c r="F103" i="43" s="1"/>
  <c r="R102" i="43"/>
  <c r="D107" i="43"/>
  <c r="F107" i="43" s="1"/>
  <c r="R109" i="46"/>
  <c r="D118" i="46"/>
  <c r="F118" i="46" s="1"/>
  <c r="H118" i="46" s="1"/>
  <c r="R113" i="46"/>
  <c r="AE118" i="46"/>
  <c r="D114" i="46"/>
  <c r="F114" i="46" s="1"/>
  <c r="H114" i="46" s="1"/>
  <c r="AE114" i="46"/>
  <c r="AG114" i="46" s="1"/>
  <c r="T100" i="45"/>
  <c r="X99" i="45" s="1"/>
  <c r="D104" i="44"/>
  <c r="F104" i="44" s="1"/>
  <c r="H104" i="44" s="1"/>
  <c r="AB28" i="48"/>
  <c r="AD28" i="48" s="1"/>
  <c r="AB23" i="48"/>
  <c r="AD23" i="48" s="1"/>
  <c r="AP6" i="48"/>
  <c r="AR6" i="48" s="1"/>
  <c r="L80" i="48"/>
  <c r="N80" i="48" s="1"/>
  <c r="AQ80" i="48" s="1"/>
  <c r="Z75" i="48"/>
  <c r="AB75" i="48" s="1"/>
  <c r="AR75" i="48" s="1"/>
  <c r="AP10" i="47"/>
  <c r="AR10" i="47" s="1"/>
  <c r="Z79" i="47"/>
  <c r="AB79" i="47" s="1"/>
  <c r="AI120" i="48"/>
  <c r="D424" i="65"/>
  <c r="A424" i="65" s="1"/>
  <c r="J424" i="66"/>
  <c r="B424" i="65" s="1"/>
  <c r="I424" i="66"/>
  <c r="F119" i="48"/>
  <c r="J117" i="48"/>
  <c r="V87" i="41"/>
  <c r="T87" i="41"/>
  <c r="D164" i="65"/>
  <c r="A164" i="65" s="1"/>
  <c r="J164" i="66"/>
  <c r="B164" i="65" s="1"/>
  <c r="I164" i="66"/>
  <c r="AG113" i="46"/>
  <c r="V104" i="46"/>
  <c r="V105" i="46" s="1"/>
  <c r="T104" i="46"/>
  <c r="T105" i="46" s="1"/>
  <c r="X104" i="46" s="1"/>
  <c r="AG125" i="49"/>
  <c r="H117" i="47"/>
  <c r="H112" i="45"/>
  <c r="AG138" i="50"/>
  <c r="AG140" i="50" s="1"/>
  <c r="AE140" i="50"/>
  <c r="AI139" i="50" s="1"/>
  <c r="T102" i="44"/>
  <c r="V102" i="44"/>
  <c r="D84" i="65"/>
  <c r="A84" i="65" s="1"/>
  <c r="I84" i="66"/>
  <c r="J84" i="66"/>
  <c r="B84" i="65" s="1"/>
  <c r="B384" i="66"/>
  <c r="A384" i="66"/>
  <c r="D184" i="65"/>
  <c r="A184" i="65" s="1"/>
  <c r="J184" i="66"/>
  <c r="B184" i="65" s="1"/>
  <c r="I184" i="66"/>
  <c r="AG118" i="47"/>
  <c r="AE120" i="47"/>
  <c r="AI119" i="47" s="1"/>
  <c r="H109" i="47"/>
  <c r="H110" i="47" s="1"/>
  <c r="J110" i="47" s="1"/>
  <c r="F110" i="47"/>
  <c r="J109" i="47" s="1"/>
  <c r="D144" i="65"/>
  <c r="A144" i="65" s="1"/>
  <c r="J144" i="66"/>
  <c r="B144" i="65" s="1"/>
  <c r="I144" i="66"/>
  <c r="D64" i="65"/>
  <c r="A64" i="65" s="1"/>
  <c r="I64" i="66"/>
  <c r="J64" i="66"/>
  <c r="B64" i="65" s="1"/>
  <c r="B99" i="66"/>
  <c r="A99" i="66"/>
  <c r="AP16" i="41"/>
  <c r="AR16" i="41" s="1"/>
  <c r="AP11" i="41"/>
  <c r="AR11" i="41" s="1"/>
  <c r="AL13" i="41" s="1"/>
  <c r="Z60" i="41"/>
  <c r="AB60" i="41" s="1"/>
  <c r="L65" i="41"/>
  <c r="N65" i="41" s="1"/>
  <c r="AQ65" i="41" s="1"/>
  <c r="AP16" i="47"/>
  <c r="AR16" i="47" s="1"/>
  <c r="AP5" i="42"/>
  <c r="AR5" i="42" s="1"/>
  <c r="AP44" i="45"/>
  <c r="AT44" i="45" s="1"/>
  <c r="D7" i="45" s="1"/>
  <c r="AK49" i="45" s="1"/>
  <c r="AM49" i="45" s="1"/>
  <c r="AS49" i="45" s="1"/>
  <c r="AR135" i="38"/>
  <c r="F60" i="36"/>
  <c r="X24" i="44"/>
  <c r="L8" i="44" s="1"/>
  <c r="AP69" i="44" s="1"/>
  <c r="AE55" i="35"/>
  <c r="AI54" i="35" s="1"/>
  <c r="AR129" i="50"/>
  <c r="Y10" i="11"/>
  <c r="X9" i="11" s="1"/>
  <c r="L64" i="42"/>
  <c r="N64" i="42" s="1"/>
  <c r="AQ64" i="42" s="1"/>
  <c r="AB27" i="42"/>
  <c r="AD27" i="42" s="1"/>
  <c r="AE75" i="39"/>
  <c r="AI74" i="39" s="1"/>
  <c r="AK59" i="42"/>
  <c r="AM59" i="42" s="1"/>
  <c r="AS59" i="42" s="1"/>
  <c r="X25" i="42"/>
  <c r="L9" i="42" s="1"/>
  <c r="AP60" i="42" s="1"/>
  <c r="AR134" i="29"/>
  <c r="A192" i="65"/>
  <c r="A140" i="65"/>
  <c r="A153" i="65"/>
  <c r="X24" i="42"/>
  <c r="X7" i="43"/>
  <c r="L7" i="43" s="1"/>
  <c r="AP60" i="43" s="1"/>
  <c r="X25" i="44"/>
  <c r="L9" i="44" s="1"/>
  <c r="AP70" i="44" s="1"/>
  <c r="X6" i="46"/>
  <c r="L6" i="46" s="1"/>
  <c r="AP69" i="46" s="1"/>
  <c r="X7" i="46"/>
  <c r="L7" i="46" s="1"/>
  <c r="AP70" i="46" s="1"/>
  <c r="AK74" i="48"/>
  <c r="AM74" i="48" s="1"/>
  <c r="AS74" i="48" s="1"/>
  <c r="AB27" i="48"/>
  <c r="AD27" i="48" s="1"/>
  <c r="H45" i="33"/>
  <c r="AK75" i="48"/>
  <c r="AM75" i="48" s="1"/>
  <c r="AS75" i="48" s="1"/>
  <c r="N54" i="37"/>
  <c r="AQ54" i="37" s="1"/>
  <c r="X8" i="11"/>
  <c r="AI75" i="40"/>
  <c r="D25" i="25"/>
  <c r="F25" i="25" s="1"/>
  <c r="G25" i="25" s="1"/>
  <c r="H25" i="25"/>
  <c r="I25" i="25" s="1"/>
  <c r="AV25" i="25"/>
  <c r="AE26" i="61"/>
  <c r="AP26" i="25"/>
  <c r="B26" i="25"/>
  <c r="C4" i="28"/>
  <c r="R32" i="29"/>
  <c r="AE33" i="29"/>
  <c r="AG33" i="29" s="1"/>
  <c r="D37" i="29"/>
  <c r="F37" i="29" s="1"/>
  <c r="H37" i="29" s="1"/>
  <c r="T32" i="30"/>
  <c r="V32" i="30"/>
  <c r="AG65" i="37"/>
  <c r="T93" i="43"/>
  <c r="AR69" i="46"/>
  <c r="AR70" i="46"/>
  <c r="AR60" i="43"/>
  <c r="AR59" i="43"/>
  <c r="AT59" i="43" s="1"/>
  <c r="D10" i="43" s="1"/>
  <c r="AR60" i="42"/>
  <c r="AR59" i="42"/>
  <c r="AI40" i="33"/>
  <c r="J40" i="33"/>
  <c r="N40" i="33" s="1"/>
  <c r="AQ40" i="33" s="1"/>
  <c r="T72" i="38"/>
  <c r="AG40" i="32"/>
  <c r="J92" i="43"/>
  <c r="J95" i="43" s="1"/>
  <c r="N95" i="43" s="1"/>
  <c r="AQ95" i="43" s="1"/>
  <c r="AI45" i="34"/>
  <c r="H60" i="36"/>
  <c r="J57" i="36"/>
  <c r="J42" i="33"/>
  <c r="AE65" i="37"/>
  <c r="AI64" i="37" s="1"/>
  <c r="R93" i="42"/>
  <c r="V93" i="42" s="1"/>
  <c r="J62" i="37"/>
  <c r="AI85" i="42"/>
  <c r="AR130" i="34"/>
  <c r="AI70" i="39"/>
  <c r="AT155" i="59"/>
  <c r="AE98" i="42"/>
  <c r="AG98" i="42" s="1"/>
  <c r="J47" i="34"/>
  <c r="D94" i="42"/>
  <c r="F94" i="42" s="1"/>
  <c r="H94" i="42" s="1"/>
  <c r="AR49" i="37"/>
  <c r="AJ11" i="20"/>
  <c r="AJ13" i="20"/>
  <c r="X80" i="42"/>
  <c r="AE60" i="36"/>
  <c r="AI59" i="36" s="1"/>
  <c r="X70" i="40"/>
  <c r="H89" i="43"/>
  <c r="H90" i="43" s="1"/>
  <c r="J90" i="43" s="1"/>
  <c r="F90" i="43"/>
  <c r="J89" i="43" s="1"/>
  <c r="D68" i="36"/>
  <c r="F68" i="36" s="1"/>
  <c r="R67" i="36"/>
  <c r="R51" i="59"/>
  <c r="D57" i="59"/>
  <c r="F57" i="59" s="1"/>
  <c r="X50" i="35"/>
  <c r="AE99" i="43"/>
  <c r="R98" i="43"/>
  <c r="AE103" i="43"/>
  <c r="D99" i="43"/>
  <c r="Z50" i="36"/>
  <c r="AB50" i="36" s="1"/>
  <c r="L55" i="36"/>
  <c r="T67" i="37"/>
  <c r="V67" i="37"/>
  <c r="V84" i="42"/>
  <c r="V85" i="42" s="1"/>
  <c r="T84" i="42"/>
  <c r="T85" i="42" s="1"/>
  <c r="X84" i="42" s="1"/>
  <c r="AI100" i="45"/>
  <c r="AI105" i="45"/>
  <c r="H52" i="32"/>
  <c r="AE105" i="44"/>
  <c r="AI104" i="44" s="1"/>
  <c r="AG103" i="44"/>
  <c r="AG105" i="44" s="1"/>
  <c r="V98" i="44"/>
  <c r="T98" i="44"/>
  <c r="V82" i="40"/>
  <c r="T82" i="40"/>
  <c r="H82" i="39"/>
  <c r="H54" i="36"/>
  <c r="H55" i="36" s="1"/>
  <c r="J55" i="36" s="1"/>
  <c r="F55" i="36"/>
  <c r="J54" i="36" s="1"/>
  <c r="R47" i="31"/>
  <c r="D52" i="31"/>
  <c r="F52" i="31" s="1"/>
  <c r="H68" i="37"/>
  <c r="AR50" i="37"/>
  <c r="AR49" i="38"/>
  <c r="V47" i="32"/>
  <c r="T47" i="32"/>
  <c r="AG99" i="44"/>
  <c r="AG100" i="44" s="1"/>
  <c r="AE100" i="44"/>
  <c r="AI99" i="44" s="1"/>
  <c r="V77" i="39"/>
  <c r="T77" i="39"/>
  <c r="H67" i="35"/>
  <c r="D83" i="39"/>
  <c r="F83" i="39" s="1"/>
  <c r="H83" i="39" s="1"/>
  <c r="R82" i="39"/>
  <c r="D87" i="39"/>
  <c r="F87" i="39" s="1"/>
  <c r="R77" i="38"/>
  <c r="D82" i="38"/>
  <c r="F82" i="38" s="1"/>
  <c r="D88" i="40"/>
  <c r="F88" i="40" s="1"/>
  <c r="H88" i="40" s="1"/>
  <c r="R79" i="40"/>
  <c r="H69" i="39"/>
  <c r="H70" i="39" s="1"/>
  <c r="J70" i="39" s="1"/>
  <c r="F70" i="39"/>
  <c r="J69" i="39" s="1"/>
  <c r="V49" i="34"/>
  <c r="T49" i="34"/>
  <c r="AR69" i="44"/>
  <c r="AT69" i="44" s="1"/>
  <c r="AR70" i="44"/>
  <c r="J102" i="44"/>
  <c r="V69" i="39"/>
  <c r="V70" i="39" s="1"/>
  <c r="T69" i="39"/>
  <c r="T70" i="39" s="1"/>
  <c r="X69" i="39" s="1"/>
  <c r="R39" i="33"/>
  <c r="D53" i="33"/>
  <c r="F53" i="33" s="1"/>
  <c r="D72" i="36"/>
  <c r="F72" i="36" s="1"/>
  <c r="H84" i="42"/>
  <c r="H85" i="42" s="1"/>
  <c r="F85" i="42"/>
  <c r="J104" i="45"/>
  <c r="V79" i="41"/>
  <c r="V80" i="41" s="1"/>
  <c r="T79" i="41"/>
  <c r="T80" i="41" s="1"/>
  <c r="X79" i="41" s="1"/>
  <c r="J99" i="45"/>
  <c r="V103" i="44"/>
  <c r="T103" i="44"/>
  <c r="F99" i="44"/>
  <c r="J97" i="44"/>
  <c r="H87" i="40"/>
  <c r="J39" i="33"/>
  <c r="N39" i="33" s="1"/>
  <c r="AQ39" i="33" s="1"/>
  <c r="AE40" i="32"/>
  <c r="AI39" i="32" s="1"/>
  <c r="AR130" i="40"/>
  <c r="AR130" i="33"/>
  <c r="AE45" i="33"/>
  <c r="AI44" i="33" s="1"/>
  <c r="AG45" i="33"/>
  <c r="AG75" i="39"/>
  <c r="AR135" i="47"/>
  <c r="AR129" i="46"/>
  <c r="AR129" i="37"/>
  <c r="AR130" i="28"/>
  <c r="X15" i="17"/>
  <c r="AR45" i="38"/>
  <c r="AT45" i="38" s="1"/>
  <c r="E7" i="38" s="1"/>
  <c r="AK50" i="38" s="1"/>
  <c r="AM50" i="38" s="1"/>
  <c r="AS50" i="38" s="1"/>
  <c r="F65" i="37"/>
  <c r="AI12" i="20"/>
  <c r="AI16" i="20"/>
  <c r="AR134" i="41"/>
  <c r="AR44" i="37"/>
  <c r="AT44" i="37" s="1"/>
  <c r="D7" i="37" s="1"/>
  <c r="AK49" i="37" s="1"/>
  <c r="AM49" i="37" s="1"/>
  <c r="AS49" i="37" s="1"/>
  <c r="H65" i="37"/>
  <c r="J65" i="37" s="1"/>
  <c r="AR45" i="37"/>
  <c r="AT45" i="37" s="1"/>
  <c r="E7" i="37" s="1"/>
  <c r="AK50" i="37" s="1"/>
  <c r="AM50" i="37" s="1"/>
  <c r="AS50" i="37" s="1"/>
  <c r="Z55" i="37"/>
  <c r="L60" i="37"/>
  <c r="AK55" i="37"/>
  <c r="AM55" i="37" s="1"/>
  <c r="AS55" i="37" s="1"/>
  <c r="AR55" i="39"/>
  <c r="AT55" i="39" s="1"/>
  <c r="E9" i="39" s="1"/>
  <c r="AR54" i="39"/>
  <c r="AT54" i="39" s="1"/>
  <c r="D9" i="39" s="1"/>
  <c r="L60" i="38"/>
  <c r="N60" i="38" s="1"/>
  <c r="AQ60" i="38" s="1"/>
  <c r="AK55" i="38"/>
  <c r="AM55" i="38" s="1"/>
  <c r="AS55" i="38" s="1"/>
  <c r="Z55" i="38"/>
  <c r="AB55" i="38" s="1"/>
  <c r="AR60" i="41"/>
  <c r="AR59" i="41"/>
  <c r="AT49" i="37"/>
  <c r="D8" i="37" s="1"/>
  <c r="X75" i="41"/>
  <c r="Z45" i="36"/>
  <c r="AB45" i="36" s="1"/>
  <c r="L50" i="36"/>
  <c r="N50" i="36" s="1"/>
  <c r="AQ50" i="36" s="1"/>
  <c r="AK45" i="36"/>
  <c r="AM45" i="36" s="1"/>
  <c r="AS45" i="36" s="1"/>
  <c r="Y9" i="10"/>
  <c r="AA9" i="10" s="1"/>
  <c r="AG9" i="10" s="1"/>
  <c r="AG70" i="38"/>
  <c r="AR130" i="27"/>
  <c r="X140" i="29"/>
  <c r="AB140" i="29" s="1"/>
  <c r="AR139" i="29" s="1"/>
  <c r="H143" i="37"/>
  <c r="H148" i="47"/>
  <c r="AR129" i="49"/>
  <c r="AR134" i="36"/>
  <c r="H143" i="43"/>
  <c r="X135" i="40"/>
  <c r="AB135" i="40" s="1"/>
  <c r="AR134" i="40" s="1"/>
  <c r="X60" i="38"/>
  <c r="H143" i="46"/>
  <c r="H166" i="59"/>
  <c r="H148" i="40"/>
  <c r="X45" i="35"/>
  <c r="X65" i="40"/>
  <c r="AE70" i="38"/>
  <c r="AI69" i="38" s="1"/>
  <c r="X135" i="33"/>
  <c r="AB135" i="33" s="1"/>
  <c r="AR134" i="33" s="1"/>
  <c r="AI95" i="43"/>
  <c r="H148" i="29"/>
  <c r="H143" i="26"/>
  <c r="X140" i="41"/>
  <c r="AB140" i="41" s="1"/>
  <c r="AR140" i="41" s="1"/>
  <c r="AG60" i="36"/>
  <c r="AR135" i="30"/>
  <c r="AR129" i="44"/>
  <c r="X135" i="28"/>
  <c r="AB135" i="28" s="1"/>
  <c r="AR134" i="28" s="1"/>
  <c r="X162" i="59"/>
  <c r="AB162" i="59" s="1"/>
  <c r="AT162" i="59" s="1"/>
  <c r="H148" i="27"/>
  <c r="X135" i="39"/>
  <c r="AB135" i="39" s="1"/>
  <c r="AR134" i="39" s="1"/>
  <c r="X140" i="35"/>
  <c r="AB140" i="35" s="1"/>
  <c r="AR140" i="35" s="1"/>
  <c r="H148" i="32"/>
  <c r="H50" i="34"/>
  <c r="AR135" i="42"/>
  <c r="H148" i="33"/>
  <c r="H148" i="49"/>
  <c r="H148" i="35"/>
  <c r="H148" i="50"/>
  <c r="N44" i="35"/>
  <c r="AQ44" i="35" s="1"/>
  <c r="F50" i="34"/>
  <c r="H148" i="41"/>
  <c r="AI35" i="32"/>
  <c r="AM35" i="32" s="1"/>
  <c r="AS35" i="32" s="1"/>
  <c r="AJ7" i="21"/>
  <c r="AI7" i="21"/>
  <c r="AJ5" i="21"/>
  <c r="AI5" i="21"/>
  <c r="AB139" i="36"/>
  <c r="X140" i="36"/>
  <c r="AB140" i="36" s="1"/>
  <c r="X135" i="31"/>
  <c r="AB135" i="31" s="1"/>
  <c r="AR135" i="31" s="1"/>
  <c r="X140" i="42"/>
  <c r="AB140" i="42" s="1"/>
  <c r="AR140" i="42" s="1"/>
  <c r="X140" i="48"/>
  <c r="AB140" i="48" s="1"/>
  <c r="AR140" i="48" s="1"/>
  <c r="X135" i="27"/>
  <c r="AB135" i="27" s="1"/>
  <c r="AR134" i="27" s="1"/>
  <c r="AI6" i="21"/>
  <c r="AJ6" i="21"/>
  <c r="AA6" i="7"/>
  <c r="AG6" i="7" s="1"/>
  <c r="X5" i="7"/>
  <c r="AB134" i="44"/>
  <c r="X135" i="44"/>
  <c r="AB135" i="44" s="1"/>
  <c r="AA13" i="14"/>
  <c r="X12" i="14"/>
  <c r="AI4" i="21"/>
  <c r="AJ4" i="21"/>
  <c r="X140" i="38"/>
  <c r="AB140" i="38" s="1"/>
  <c r="AR140" i="38" s="1"/>
  <c r="X135" i="50"/>
  <c r="AB135" i="50" s="1"/>
  <c r="AR134" i="50" s="1"/>
  <c r="X140" i="30"/>
  <c r="AB140" i="30" s="1"/>
  <c r="AR140" i="30" s="1"/>
  <c r="X135" i="49"/>
  <c r="AB135" i="49" s="1"/>
  <c r="AR134" i="49" s="1"/>
  <c r="X135" i="37"/>
  <c r="AB135" i="37" s="1"/>
  <c r="AR135" i="37" s="1"/>
  <c r="AA14" i="15"/>
  <c r="AG14" i="15" s="1"/>
  <c r="X13" i="15"/>
  <c r="X40" i="34"/>
  <c r="X140" i="47"/>
  <c r="AB140" i="47" s="1"/>
  <c r="AR140" i="47" s="1"/>
  <c r="AR34" i="33"/>
  <c r="AT34" i="33" s="1"/>
  <c r="D5" i="33" s="1"/>
  <c r="AR35" i="33"/>
  <c r="AT35" i="33" s="1"/>
  <c r="E5" i="33" s="1"/>
  <c r="AR59" i="40"/>
  <c r="AT59" i="40" s="1"/>
  <c r="D10" i="40" s="1"/>
  <c r="L69" i="40" s="1"/>
  <c r="N69" i="40" s="1"/>
  <c r="AQ69" i="40" s="1"/>
  <c r="AR60" i="40"/>
  <c r="AT60" i="40" s="1"/>
  <c r="E10" i="40" s="1"/>
  <c r="L70" i="40" s="1"/>
  <c r="N70" i="40" s="1"/>
  <c r="AQ70" i="40" s="1"/>
  <c r="Y1" i="53"/>
  <c r="AA11" i="13"/>
  <c r="AG11" i="13" s="1"/>
  <c r="X10" i="13"/>
  <c r="V83" i="41"/>
  <c r="T83" i="41"/>
  <c r="T85" i="41" s="1"/>
  <c r="X84" i="41" s="1"/>
  <c r="Y150" i="36"/>
  <c r="Y149" i="36"/>
  <c r="Z150" i="36"/>
  <c r="R147" i="36"/>
  <c r="Z149" i="36"/>
  <c r="Q149" i="44"/>
  <c r="Q147" i="44"/>
  <c r="X142" i="50"/>
  <c r="R144" i="50"/>
  <c r="H137" i="34"/>
  <c r="H140" i="34" s="1"/>
  <c r="F140" i="34"/>
  <c r="H21" i="21"/>
  <c r="I21" i="21" s="1"/>
  <c r="D21" i="21"/>
  <c r="F21" i="21" s="1"/>
  <c r="G21" i="21" s="1"/>
  <c r="AW8" i="61"/>
  <c r="B8" i="7"/>
  <c r="AP8" i="7"/>
  <c r="Y7" i="7" s="1"/>
  <c r="X6" i="7" s="1"/>
  <c r="C22" i="46"/>
  <c r="F142" i="35"/>
  <c r="AA14" i="16"/>
  <c r="AG14" i="16" s="1"/>
  <c r="H137" i="35"/>
  <c r="H140" i="35" s="1"/>
  <c r="F140" i="35"/>
  <c r="V139" i="34"/>
  <c r="T139" i="34"/>
  <c r="AY6" i="61"/>
  <c r="B6" i="5"/>
  <c r="AP6" i="5"/>
  <c r="C24" i="48"/>
  <c r="AG88" i="41"/>
  <c r="AI55" i="36"/>
  <c r="AA8" i="10"/>
  <c r="AG8" i="10" s="1"/>
  <c r="H148" i="34"/>
  <c r="Z145" i="49"/>
  <c r="Z144" i="49"/>
  <c r="R142" i="49"/>
  <c r="Y145" i="49"/>
  <c r="Y144" i="49"/>
  <c r="AE44" i="32"/>
  <c r="AG44" i="32" s="1"/>
  <c r="AE48" i="32"/>
  <c r="D44" i="32"/>
  <c r="F44" i="32" s="1"/>
  <c r="H44" i="32" s="1"/>
  <c r="R43" i="32"/>
  <c r="D48" i="32"/>
  <c r="F48" i="32" s="1"/>
  <c r="H48" i="32" s="1"/>
  <c r="T144" i="38"/>
  <c r="V144" i="38"/>
  <c r="H57" i="35"/>
  <c r="C147" i="36"/>
  <c r="G148" i="36"/>
  <c r="D148" i="36"/>
  <c r="F148" i="36" s="1"/>
  <c r="AG4" i="6"/>
  <c r="D148" i="46"/>
  <c r="F148" i="46" s="1"/>
  <c r="C147" i="46"/>
  <c r="G148" i="46"/>
  <c r="AV13" i="13"/>
  <c r="X135" i="46"/>
  <c r="AB135" i="46" s="1"/>
  <c r="AR134" i="46" s="1"/>
  <c r="Z150" i="26"/>
  <c r="Z149" i="26"/>
  <c r="R147" i="26"/>
  <c r="Y150" i="26"/>
  <c r="Y149" i="26"/>
  <c r="AA8" i="9"/>
  <c r="F142" i="27"/>
  <c r="K149" i="47"/>
  <c r="L150" i="47"/>
  <c r="G147" i="47"/>
  <c r="K150" i="47"/>
  <c r="L149" i="47"/>
  <c r="D147" i="47"/>
  <c r="AV19" i="53"/>
  <c r="AK20" i="61"/>
  <c r="D212" i="66" s="1"/>
  <c r="B20" i="19"/>
  <c r="AP20" i="19"/>
  <c r="C10" i="34"/>
  <c r="D67" i="34" s="1"/>
  <c r="F67" i="34" s="1"/>
  <c r="B20" i="53"/>
  <c r="AP20" i="53"/>
  <c r="V139" i="27"/>
  <c r="T139" i="27"/>
  <c r="AI40" i="32"/>
  <c r="Y15" i="16"/>
  <c r="X14" i="16" s="1"/>
  <c r="AV21" i="21"/>
  <c r="H7" i="7"/>
  <c r="I7" i="7" s="1"/>
  <c r="D7" i="7"/>
  <c r="F7" i="7" s="1"/>
  <c r="G7" i="7" s="1"/>
  <c r="Z145" i="27"/>
  <c r="Z144" i="27"/>
  <c r="R142" i="27"/>
  <c r="Y145" i="27"/>
  <c r="Y144" i="27"/>
  <c r="AI50" i="35"/>
  <c r="V139" i="43"/>
  <c r="T139" i="43"/>
  <c r="BA4" i="61"/>
  <c r="BB3" i="61"/>
  <c r="B4" i="3"/>
  <c r="C26" i="50"/>
  <c r="AP4" i="3"/>
  <c r="K150" i="44"/>
  <c r="L149" i="44"/>
  <c r="D147" i="44"/>
  <c r="K149" i="44"/>
  <c r="L150" i="44"/>
  <c r="G147" i="44"/>
  <c r="V144" i="26"/>
  <c r="T144" i="26"/>
  <c r="F137" i="30"/>
  <c r="H18" i="18"/>
  <c r="I18" i="18" s="1"/>
  <c r="D18" i="18"/>
  <c r="F18" i="18" s="1"/>
  <c r="G18" i="18" s="1"/>
  <c r="V139" i="40"/>
  <c r="T139" i="40"/>
  <c r="AV9" i="9"/>
  <c r="AO16" i="61"/>
  <c r="B16" i="15"/>
  <c r="AP16" i="15"/>
  <c r="C14" i="38"/>
  <c r="R69" i="38" s="1"/>
  <c r="H132" i="46"/>
  <c r="H135" i="46" s="1"/>
  <c r="F135" i="46"/>
  <c r="L145" i="48"/>
  <c r="G142" i="48"/>
  <c r="K145" i="48"/>
  <c r="L144" i="48"/>
  <c r="D142" i="48"/>
  <c r="K144" i="48"/>
  <c r="AA6" i="8"/>
  <c r="AG6" i="8" s="1"/>
  <c r="G148" i="26"/>
  <c r="D148" i="26"/>
  <c r="F148" i="26" s="1"/>
  <c r="C147" i="26"/>
  <c r="F137" i="36"/>
  <c r="AF13" i="15"/>
  <c r="AN17" i="61"/>
  <c r="B17" i="16"/>
  <c r="C13" i="37"/>
  <c r="AP17" i="16"/>
  <c r="AV12" i="12"/>
  <c r="V144" i="48"/>
  <c r="T144" i="48"/>
  <c r="L149" i="28"/>
  <c r="D147" i="28"/>
  <c r="K149" i="28"/>
  <c r="L150" i="28"/>
  <c r="G147" i="28"/>
  <c r="K150" i="28"/>
  <c r="Q147" i="50"/>
  <c r="Q149" i="50"/>
  <c r="AE90" i="42"/>
  <c r="AI89" i="42" s="1"/>
  <c r="G9" i="11"/>
  <c r="Z145" i="28"/>
  <c r="Z144" i="28"/>
  <c r="R142" i="28"/>
  <c r="Y145" i="28"/>
  <c r="Y144" i="28"/>
  <c r="D38" i="30"/>
  <c r="AE38" i="30"/>
  <c r="AE34" i="30"/>
  <c r="R33" i="30"/>
  <c r="R37" i="30"/>
  <c r="D42" i="30"/>
  <c r="T34" i="59"/>
  <c r="V34" i="59"/>
  <c r="AE40" i="59"/>
  <c r="AI40" i="59"/>
  <c r="R144" i="43"/>
  <c r="X142" i="43"/>
  <c r="AG8" i="11"/>
  <c r="H137" i="47"/>
  <c r="H140" i="47" s="1"/>
  <c r="F140" i="47"/>
  <c r="Q149" i="43"/>
  <c r="Q147" i="43"/>
  <c r="AE84" i="40"/>
  <c r="AG84" i="40" s="1"/>
  <c r="AE88" i="40"/>
  <c r="R83" i="40"/>
  <c r="D84" i="40"/>
  <c r="H149" i="49"/>
  <c r="D46" i="59"/>
  <c r="F46" i="59" s="1"/>
  <c r="H46" i="59" s="1"/>
  <c r="AG41" i="59"/>
  <c r="AG42" i="59" s="1"/>
  <c r="AK41" i="59" s="1"/>
  <c r="R35" i="59"/>
  <c r="AG46" i="59"/>
  <c r="R40" i="59"/>
  <c r="D41" i="59"/>
  <c r="F41" i="59" s="1"/>
  <c r="H41" i="59" s="1"/>
  <c r="R45" i="59"/>
  <c r="D51" i="59"/>
  <c r="AJ10" i="21"/>
  <c r="AI10" i="21"/>
  <c r="H137" i="29"/>
  <c r="H140" i="29" s="1"/>
  <c r="F140" i="29"/>
  <c r="L145" i="30"/>
  <c r="G142" i="30"/>
  <c r="K145" i="30"/>
  <c r="L144" i="30"/>
  <c r="D142" i="30"/>
  <c r="K144" i="30"/>
  <c r="AV11" i="11"/>
  <c r="G148" i="43"/>
  <c r="D148" i="43"/>
  <c r="F148" i="43" s="1"/>
  <c r="C147" i="43"/>
  <c r="F77" i="37"/>
  <c r="V59" i="37"/>
  <c r="V60" i="37" s="1"/>
  <c r="T59" i="37"/>
  <c r="T60" i="37" s="1"/>
  <c r="X59" i="37" s="1"/>
  <c r="X142" i="37"/>
  <c r="R144" i="37"/>
  <c r="Y1" i="19"/>
  <c r="AB14" i="19" s="1"/>
  <c r="AI65" i="38"/>
  <c r="AG83" i="40"/>
  <c r="T167" i="59"/>
  <c r="V167" i="59"/>
  <c r="L149" i="31"/>
  <c r="L150" i="31"/>
  <c r="K150" i="31"/>
  <c r="K149" i="31"/>
  <c r="D147" i="31"/>
  <c r="G147" i="31"/>
  <c r="R149" i="48"/>
  <c r="X147" i="48"/>
  <c r="G8" i="10"/>
  <c r="K149" i="41"/>
  <c r="L150" i="41"/>
  <c r="G147" i="41"/>
  <c r="K150" i="41"/>
  <c r="L149" i="41"/>
  <c r="D147" i="41"/>
  <c r="T144" i="42"/>
  <c r="V144" i="42"/>
  <c r="F74" i="39"/>
  <c r="J72" i="39"/>
  <c r="AR129" i="31"/>
  <c r="M174" i="59"/>
  <c r="G173" i="59"/>
  <c r="M173" i="59"/>
  <c r="F62" i="35"/>
  <c r="F54" i="35"/>
  <c r="J52" i="35"/>
  <c r="F42" i="31"/>
  <c r="T37" i="31"/>
  <c r="V37" i="31"/>
  <c r="L145" i="26"/>
  <c r="G142" i="26"/>
  <c r="K145" i="26"/>
  <c r="L144" i="26"/>
  <c r="D142" i="26"/>
  <c r="K144" i="26"/>
  <c r="F140" i="44"/>
  <c r="H137" i="44"/>
  <c r="H140" i="44" s="1"/>
  <c r="Y150" i="42"/>
  <c r="Y149" i="42"/>
  <c r="Z149" i="42"/>
  <c r="Z150" i="42"/>
  <c r="R147" i="42"/>
  <c r="V34" i="32"/>
  <c r="V35" i="32" s="1"/>
  <c r="X35" i="32" s="1"/>
  <c r="AB35" i="32" s="1"/>
  <c r="T34" i="32"/>
  <c r="T35" i="32" s="1"/>
  <c r="X34" i="32" s="1"/>
  <c r="AB34" i="32" s="1"/>
  <c r="AJ16" i="21"/>
  <c r="AI16" i="21"/>
  <c r="G148" i="39"/>
  <c r="D148" i="39"/>
  <c r="F148" i="39" s="1"/>
  <c r="C147" i="39"/>
  <c r="H72" i="37"/>
  <c r="F142" i="32"/>
  <c r="Z145" i="44"/>
  <c r="Z144" i="44"/>
  <c r="R142" i="44"/>
  <c r="Y145" i="44"/>
  <c r="Y144" i="44"/>
  <c r="AI10" i="20"/>
  <c r="AJ10" i="20"/>
  <c r="Z150" i="30"/>
  <c r="Z149" i="30"/>
  <c r="R147" i="30"/>
  <c r="Y150" i="30"/>
  <c r="Y149" i="30"/>
  <c r="X142" i="34"/>
  <c r="R144" i="34"/>
  <c r="AG50" i="34"/>
  <c r="T137" i="49"/>
  <c r="T140" i="49" s="1"/>
  <c r="X139" i="49" s="1"/>
  <c r="V137" i="49"/>
  <c r="V140" i="49" s="1"/>
  <c r="AG80" i="40"/>
  <c r="T165" i="59"/>
  <c r="T168" i="59" s="1"/>
  <c r="X167" i="59" s="1"/>
  <c r="AB167" i="59" s="1"/>
  <c r="V165" i="59"/>
  <c r="V168" i="59" s="1"/>
  <c r="AG63" i="36"/>
  <c r="H148" i="38"/>
  <c r="J37" i="32"/>
  <c r="Q147" i="34"/>
  <c r="Q149" i="34"/>
  <c r="F135" i="48"/>
  <c r="H132" i="48"/>
  <c r="H135" i="48" s="1"/>
  <c r="K149" i="42"/>
  <c r="K150" i="42"/>
  <c r="L150" i="42"/>
  <c r="G147" i="42"/>
  <c r="L149" i="42"/>
  <c r="D147" i="42"/>
  <c r="AE69" i="37"/>
  <c r="AG69" i="37" s="1"/>
  <c r="AE73" i="37"/>
  <c r="R68" i="37"/>
  <c r="D69" i="37"/>
  <c r="X5" i="8"/>
  <c r="AE54" i="34"/>
  <c r="AG54" i="34" s="1"/>
  <c r="AE58" i="34"/>
  <c r="D54" i="34"/>
  <c r="R53" i="34"/>
  <c r="D58" i="34"/>
  <c r="F58" i="34" s="1"/>
  <c r="H58" i="34" s="1"/>
  <c r="R57" i="34"/>
  <c r="D62" i="34"/>
  <c r="AK40" i="34"/>
  <c r="AM40" i="34" s="1"/>
  <c r="AS40" i="34" s="1"/>
  <c r="Z40" i="34"/>
  <c r="L45" i="34"/>
  <c r="AJ8" i="21"/>
  <c r="AI8" i="21"/>
  <c r="L145" i="43"/>
  <c r="G142" i="43"/>
  <c r="K145" i="43"/>
  <c r="L144" i="43"/>
  <c r="D142" i="43"/>
  <c r="K144" i="43"/>
  <c r="K150" i="27"/>
  <c r="L149" i="27"/>
  <c r="D147" i="27"/>
  <c r="K149" i="27"/>
  <c r="L150" i="27"/>
  <c r="G147" i="27"/>
  <c r="F135" i="36"/>
  <c r="H132" i="36"/>
  <c r="H135" i="36" s="1"/>
  <c r="H4" i="4"/>
  <c r="I4" i="4" s="1"/>
  <c r="D4" i="4"/>
  <c r="V171" i="59"/>
  <c r="V174" i="59" s="1"/>
  <c r="T171" i="59"/>
  <c r="T174" i="59" s="1"/>
  <c r="X173" i="59" s="1"/>
  <c r="AB173" i="59" s="1"/>
  <c r="G7" i="9"/>
  <c r="T139" i="45"/>
  <c r="V139" i="45"/>
  <c r="J142" i="50"/>
  <c r="F142" i="50"/>
  <c r="AT11" i="61"/>
  <c r="B11" i="10"/>
  <c r="AP11" i="10"/>
  <c r="C19" i="43"/>
  <c r="AE104" i="43" s="1"/>
  <c r="AG104" i="43" s="1"/>
  <c r="AA10" i="12"/>
  <c r="F6" i="7"/>
  <c r="X135" i="43"/>
  <c r="AB135" i="43" s="1"/>
  <c r="AR135" i="43" s="1"/>
  <c r="V173" i="59"/>
  <c r="T173" i="59"/>
  <c r="F142" i="28"/>
  <c r="F142" i="34"/>
  <c r="X142" i="49"/>
  <c r="R144" i="49"/>
  <c r="H22" i="22"/>
  <c r="I22" i="22" s="1"/>
  <c r="D22" i="22"/>
  <c r="F22" i="22" s="1"/>
  <c r="G22" i="22" s="1"/>
  <c r="AI55" i="35"/>
  <c r="AJ9" i="21"/>
  <c r="AI9" i="21"/>
  <c r="V148" i="49"/>
  <c r="T148" i="49"/>
  <c r="H149" i="50"/>
  <c r="M150" i="46"/>
  <c r="I150" i="46"/>
  <c r="G149" i="46"/>
  <c r="M149" i="46"/>
  <c r="I149" i="46"/>
  <c r="AE89" i="41"/>
  <c r="AG89" i="41" s="1"/>
  <c r="R88" i="41"/>
  <c r="AE93" i="41"/>
  <c r="D89" i="41"/>
  <c r="X135" i="45"/>
  <c r="AB135" i="45" s="1"/>
  <c r="AR134" i="45" s="1"/>
  <c r="V144" i="30"/>
  <c r="T144" i="30"/>
  <c r="R149" i="26"/>
  <c r="X147" i="26"/>
  <c r="AE59" i="35"/>
  <c r="AG59" i="35" s="1"/>
  <c r="R58" i="35"/>
  <c r="AE63" i="35"/>
  <c r="D59" i="35"/>
  <c r="R54" i="35"/>
  <c r="D63" i="35"/>
  <c r="F63" i="35" s="1"/>
  <c r="H63" i="35" s="1"/>
  <c r="R62" i="35"/>
  <c r="F137" i="45"/>
  <c r="V142" i="29"/>
  <c r="V145" i="29" s="1"/>
  <c r="T142" i="29"/>
  <c r="T145" i="29" s="1"/>
  <c r="X144" i="29" s="1"/>
  <c r="AB144" i="29" s="1"/>
  <c r="F137" i="26"/>
  <c r="X147" i="35"/>
  <c r="R149" i="35"/>
  <c r="R48" i="33"/>
  <c r="R44" i="33"/>
  <c r="AE49" i="33"/>
  <c r="AG49" i="33" s="1"/>
  <c r="AE53" i="33"/>
  <c r="D49" i="33"/>
  <c r="D57" i="33"/>
  <c r="R52" i="33"/>
  <c r="AV7" i="7"/>
  <c r="X142" i="27"/>
  <c r="R144" i="27"/>
  <c r="V139" i="31"/>
  <c r="T139" i="31"/>
  <c r="AZ5" i="61"/>
  <c r="B5" i="4"/>
  <c r="C25" i="49"/>
  <c r="AP5" i="4"/>
  <c r="Y4" i="4" s="1"/>
  <c r="H148" i="44"/>
  <c r="J64" i="37"/>
  <c r="F137" i="37"/>
  <c r="Q147" i="37"/>
  <c r="Q149" i="37"/>
  <c r="AX7" i="61"/>
  <c r="EX130" i="61" s="1"/>
  <c r="GI130" i="61" s="1"/>
  <c r="B7" i="6"/>
  <c r="AP7" i="6"/>
  <c r="C23" i="47"/>
  <c r="AI9" i="20"/>
  <c r="AJ9" i="20"/>
  <c r="F89" i="42"/>
  <c r="J87" i="42"/>
  <c r="V88" i="42"/>
  <c r="T88" i="42"/>
  <c r="AA10" i="11"/>
  <c r="AG10" i="11" s="1"/>
  <c r="AE64" i="36"/>
  <c r="AG64" i="36" s="1"/>
  <c r="R63" i="36"/>
  <c r="AE68" i="36"/>
  <c r="R59" i="36"/>
  <c r="D64" i="36"/>
  <c r="AU10" i="61"/>
  <c r="B10" i="9"/>
  <c r="AP10" i="9"/>
  <c r="C20" i="44"/>
  <c r="H47" i="33"/>
  <c r="H15" i="15"/>
  <c r="I15" i="15" s="1"/>
  <c r="D15" i="15"/>
  <c r="F15" i="15" s="1"/>
  <c r="G15" i="15" s="1"/>
  <c r="X7" i="10"/>
  <c r="T144" i="47"/>
  <c r="V144" i="47"/>
  <c r="H143" i="48"/>
  <c r="F135" i="26"/>
  <c r="H132" i="26"/>
  <c r="H135" i="26" s="1"/>
  <c r="M149" i="26"/>
  <c r="I149" i="26"/>
  <c r="M150" i="26"/>
  <c r="I150" i="26"/>
  <c r="G149" i="26"/>
  <c r="X147" i="38"/>
  <c r="R149" i="38"/>
  <c r="V137" i="28"/>
  <c r="V140" i="28" s="1"/>
  <c r="T137" i="28"/>
  <c r="T140" i="28" s="1"/>
  <c r="X139" i="28" s="1"/>
  <c r="AB139" i="28" s="1"/>
  <c r="H143" i="45"/>
  <c r="F135" i="43"/>
  <c r="H132" i="43"/>
  <c r="H135" i="43" s="1"/>
  <c r="H16" i="16"/>
  <c r="I16" i="16" s="1"/>
  <c r="D16" i="16"/>
  <c r="F16" i="16" s="1"/>
  <c r="G16" i="16" s="1"/>
  <c r="AR13" i="61"/>
  <c r="D155" i="66" s="1"/>
  <c r="AP13" i="12"/>
  <c r="B13" i="12"/>
  <c r="C17" i="41"/>
  <c r="AE94" i="41" s="1"/>
  <c r="AG94" i="41" s="1"/>
  <c r="T144" i="29"/>
  <c r="V144" i="29"/>
  <c r="H148" i="28"/>
  <c r="H137" i="40"/>
  <c r="H140" i="40" s="1"/>
  <c r="F140" i="40"/>
  <c r="L150" i="32"/>
  <c r="G147" i="32"/>
  <c r="K150" i="32"/>
  <c r="L149" i="32"/>
  <c r="D147" i="32"/>
  <c r="K149" i="32"/>
  <c r="AG90" i="42"/>
  <c r="AF12" i="16"/>
  <c r="AF13" i="16" s="1"/>
  <c r="V142" i="35"/>
  <c r="V145" i="35" s="1"/>
  <c r="T142" i="35"/>
  <c r="T145" i="35" s="1"/>
  <c r="X144" i="35" s="1"/>
  <c r="AB144" i="35" s="1"/>
  <c r="D24" i="24"/>
  <c r="F24" i="24" s="1"/>
  <c r="G24" i="24" s="1"/>
  <c r="H24" i="24"/>
  <c r="I24" i="24" s="1"/>
  <c r="F40" i="59"/>
  <c r="H153" i="59"/>
  <c r="H156" i="59" s="1"/>
  <c r="F156" i="59"/>
  <c r="V44" i="34"/>
  <c r="V45" i="34" s="1"/>
  <c r="T44" i="34"/>
  <c r="T45" i="34" s="1"/>
  <c r="X44" i="34" s="1"/>
  <c r="X142" i="40"/>
  <c r="R144" i="40"/>
  <c r="H137" i="28"/>
  <c r="H140" i="28" s="1"/>
  <c r="F140" i="28"/>
  <c r="Q147" i="40"/>
  <c r="Q149" i="40"/>
  <c r="V137" i="43"/>
  <c r="V140" i="43" s="1"/>
  <c r="T137" i="43"/>
  <c r="T140" i="43" s="1"/>
  <c r="X139" i="43" s="1"/>
  <c r="AB139" i="43" s="1"/>
  <c r="T144" i="41"/>
  <c r="V144" i="41"/>
  <c r="H14" i="14"/>
  <c r="I14" i="14" s="1"/>
  <c r="D14" i="14"/>
  <c r="F14" i="14" s="1"/>
  <c r="G14" i="14" s="1"/>
  <c r="D39" i="31"/>
  <c r="F39" i="31" s="1"/>
  <c r="H39" i="31" s="1"/>
  <c r="R38" i="31"/>
  <c r="R34" i="31"/>
  <c r="AE43" i="31"/>
  <c r="AE39" i="31"/>
  <c r="AG39" i="31" s="1"/>
  <c r="D43" i="31"/>
  <c r="F43" i="31" s="1"/>
  <c r="H43" i="31" s="1"/>
  <c r="R42" i="31"/>
  <c r="D47" i="31"/>
  <c r="F140" i="31"/>
  <c r="H137" i="31"/>
  <c r="H140" i="31" s="1"/>
  <c r="X147" i="47"/>
  <c r="R149" i="47"/>
  <c r="X147" i="29"/>
  <c r="R149" i="29"/>
  <c r="H143" i="36"/>
  <c r="H143" i="30"/>
  <c r="AS12" i="61"/>
  <c r="B12" i="11"/>
  <c r="AP12" i="11"/>
  <c r="C18" i="42"/>
  <c r="M149" i="43"/>
  <c r="I149" i="43"/>
  <c r="M150" i="43"/>
  <c r="I150" i="43"/>
  <c r="G149" i="43"/>
  <c r="V72" i="37"/>
  <c r="T72" i="37"/>
  <c r="T63" i="37"/>
  <c r="V63" i="37"/>
  <c r="Z145" i="37"/>
  <c r="Z144" i="37"/>
  <c r="R142" i="37"/>
  <c r="Y145" i="37"/>
  <c r="Y144" i="37"/>
  <c r="AF15" i="19"/>
  <c r="AF16" i="19" s="1"/>
  <c r="AI1" i="19"/>
  <c r="Q147" i="39"/>
  <c r="Q149" i="39"/>
  <c r="G148" i="30"/>
  <c r="D148" i="30"/>
  <c r="F148" i="30" s="1"/>
  <c r="C147" i="30"/>
  <c r="AF4" i="7"/>
  <c r="AF5" i="7" s="1"/>
  <c r="V74" i="40"/>
  <c r="V75" i="40" s="1"/>
  <c r="T74" i="40"/>
  <c r="T75" i="40" s="1"/>
  <c r="X74" i="40" s="1"/>
  <c r="V139" i="37"/>
  <c r="T139" i="37"/>
  <c r="V139" i="28"/>
  <c r="T139" i="28"/>
  <c r="H148" i="31"/>
  <c r="V73" i="39"/>
  <c r="T73" i="39"/>
  <c r="Y11" i="12"/>
  <c r="AV8" i="8"/>
  <c r="F69" i="38"/>
  <c r="J67" i="38"/>
  <c r="V57" i="35"/>
  <c r="T57" i="35"/>
  <c r="T144" i="35"/>
  <c r="V144" i="35"/>
  <c r="F38" i="31"/>
  <c r="AG38" i="31"/>
  <c r="F47" i="32"/>
  <c r="AE45" i="32"/>
  <c r="AI44" i="32" s="1"/>
  <c r="AG43" i="32"/>
  <c r="L145" i="39"/>
  <c r="G142" i="39"/>
  <c r="K144" i="39"/>
  <c r="D142" i="39"/>
  <c r="K145" i="39"/>
  <c r="L144" i="39"/>
  <c r="V39" i="33"/>
  <c r="V40" i="33" s="1"/>
  <c r="T39" i="33"/>
  <c r="T40" i="33" s="1"/>
  <c r="X39" i="33" s="1"/>
  <c r="AG48" i="33"/>
  <c r="I150" i="39"/>
  <c r="I149" i="39"/>
  <c r="M150" i="39"/>
  <c r="M149" i="39"/>
  <c r="G149" i="39"/>
  <c r="X142" i="44"/>
  <c r="R144" i="44"/>
  <c r="AJ4" i="20"/>
  <c r="AI4" i="20"/>
  <c r="AJ7" i="20"/>
  <c r="AI7" i="20"/>
  <c r="AJ6" i="20"/>
  <c r="AI6" i="20"/>
  <c r="R149" i="30"/>
  <c r="X147" i="30"/>
  <c r="F142" i="31"/>
  <c r="Z145" i="34"/>
  <c r="Z144" i="34"/>
  <c r="R142" i="34"/>
  <c r="Y145" i="34"/>
  <c r="Y144" i="34"/>
  <c r="AE50" i="34"/>
  <c r="AI49" i="34" s="1"/>
  <c r="AE80" i="40"/>
  <c r="AI79" i="40" s="1"/>
  <c r="F140" i="33"/>
  <c r="H137" i="33"/>
  <c r="H140" i="33" s="1"/>
  <c r="H38" i="32"/>
  <c r="H40" i="32" s="1"/>
  <c r="F40" i="32"/>
  <c r="Z145" i="33"/>
  <c r="Z144" i="33"/>
  <c r="R142" i="33"/>
  <c r="Y145" i="33"/>
  <c r="Y144" i="33"/>
  <c r="G148" i="48"/>
  <c r="D148" i="48"/>
  <c r="F148" i="48" s="1"/>
  <c r="C147" i="48"/>
  <c r="G4" i="6"/>
  <c r="AV17" i="17"/>
  <c r="H20" i="20"/>
  <c r="I20" i="20" s="1"/>
  <c r="D20" i="20"/>
  <c r="F20" i="20" s="1"/>
  <c r="G20" i="20" s="1"/>
  <c r="G11" i="13"/>
  <c r="AR39" i="36"/>
  <c r="AT39" i="36" s="1"/>
  <c r="D6" i="36" s="1"/>
  <c r="AG15" i="17"/>
  <c r="X1" i="17"/>
  <c r="AR135" i="35"/>
  <c r="AR134" i="35"/>
  <c r="AV10" i="10"/>
  <c r="AH23" i="61"/>
  <c r="AP23" i="22"/>
  <c r="C7" i="31"/>
  <c r="C7" i="59"/>
  <c r="B23" i="22"/>
  <c r="X147" i="41"/>
  <c r="R149" i="41"/>
  <c r="F142" i="38"/>
  <c r="AV19" i="19"/>
  <c r="AF14" i="17"/>
  <c r="Q149" i="49"/>
  <c r="Q147" i="49"/>
  <c r="L149" i="50"/>
  <c r="D147" i="50"/>
  <c r="K149" i="50"/>
  <c r="L150" i="50"/>
  <c r="G147" i="50"/>
  <c r="K150" i="50"/>
  <c r="AV6" i="6"/>
  <c r="AG93" i="42"/>
  <c r="AG95" i="42" s="1"/>
  <c r="AE95" i="42"/>
  <c r="AI94" i="42" s="1"/>
  <c r="Q147" i="45"/>
  <c r="Q149" i="45"/>
  <c r="AV18" i="18"/>
  <c r="R144" i="39"/>
  <c r="X142" i="39"/>
  <c r="V142" i="30"/>
  <c r="V145" i="30" s="1"/>
  <c r="T142" i="30"/>
  <c r="T145" i="30" s="1"/>
  <c r="X144" i="30" s="1"/>
  <c r="AB144" i="30" s="1"/>
  <c r="H9" i="9"/>
  <c r="I9" i="9" s="1"/>
  <c r="D9" i="9"/>
  <c r="AE79" i="39"/>
  <c r="AG79" i="39" s="1"/>
  <c r="AE83" i="39"/>
  <c r="R78" i="39"/>
  <c r="D79" i="39"/>
  <c r="F79" i="39" s="1"/>
  <c r="H79" i="39" s="1"/>
  <c r="R74" i="39"/>
  <c r="AG7" i="10"/>
  <c r="V137" i="37"/>
  <c r="V140" i="37" s="1"/>
  <c r="T137" i="37"/>
  <c r="T140" i="37" s="1"/>
  <c r="X139" i="37" s="1"/>
  <c r="AB139" i="37" s="1"/>
  <c r="Y150" i="38"/>
  <c r="Y149" i="38"/>
  <c r="Z150" i="38"/>
  <c r="Z149" i="38"/>
  <c r="R147" i="38"/>
  <c r="V139" i="50"/>
  <c r="T139" i="50"/>
  <c r="J94" i="43"/>
  <c r="N94" i="43" s="1"/>
  <c r="AQ94" i="43" s="1"/>
  <c r="T137" i="27"/>
  <c r="T140" i="27" s="1"/>
  <c r="X139" i="27" s="1"/>
  <c r="AB139" i="27" s="1"/>
  <c r="V137" i="27"/>
  <c r="V140" i="27" s="1"/>
  <c r="R64" i="38"/>
  <c r="AE74" i="38"/>
  <c r="AG74" i="38" s="1"/>
  <c r="R73" i="38"/>
  <c r="AE78" i="38"/>
  <c r="D74" i="38"/>
  <c r="D78" i="38"/>
  <c r="X142" i="46"/>
  <c r="R144" i="46"/>
  <c r="X142" i="45"/>
  <c r="R144" i="45"/>
  <c r="L168" i="59"/>
  <c r="K167" i="59"/>
  <c r="K168" i="59"/>
  <c r="D165" i="59"/>
  <c r="I167" i="59"/>
  <c r="I168" i="59"/>
  <c r="L167" i="59"/>
  <c r="G165" i="59"/>
  <c r="V139" i="39"/>
  <c r="T139" i="39"/>
  <c r="T142" i="36"/>
  <c r="T145" i="36" s="1"/>
  <c r="X144" i="36" s="1"/>
  <c r="AB144" i="36" s="1"/>
  <c r="V142" i="36"/>
  <c r="V145" i="36" s="1"/>
  <c r="AF25" i="61"/>
  <c r="AP25" i="24"/>
  <c r="B25" i="24"/>
  <c r="C5" i="29"/>
  <c r="V39" i="59"/>
  <c r="T39" i="59"/>
  <c r="AG85" i="41"/>
  <c r="F57" i="34"/>
  <c r="T48" i="34"/>
  <c r="T50" i="34" s="1"/>
  <c r="X49" i="34" s="1"/>
  <c r="V48" i="34"/>
  <c r="V50" i="34" s="1"/>
  <c r="Z145" i="40"/>
  <c r="Z144" i="40"/>
  <c r="R142" i="40"/>
  <c r="Y145" i="40"/>
  <c r="Y144" i="40"/>
  <c r="L149" i="40"/>
  <c r="D147" i="40"/>
  <c r="K149" i="40"/>
  <c r="L150" i="40"/>
  <c r="G147" i="40"/>
  <c r="K150" i="40"/>
  <c r="T137" i="31"/>
  <c r="T140" i="31" s="1"/>
  <c r="X139" i="31" s="1"/>
  <c r="AB139" i="31" s="1"/>
  <c r="V137" i="31"/>
  <c r="V140" i="31" s="1"/>
  <c r="AV14" i="14"/>
  <c r="H23" i="23"/>
  <c r="I23" i="23" s="1"/>
  <c r="D23" i="23"/>
  <c r="F23" i="23" s="1"/>
  <c r="G23" i="23" s="1"/>
  <c r="Y150" i="47"/>
  <c r="Y149" i="47"/>
  <c r="Z150" i="47"/>
  <c r="Z149" i="47"/>
  <c r="R147" i="47"/>
  <c r="Y150" i="29"/>
  <c r="Y149" i="29"/>
  <c r="Z150" i="29"/>
  <c r="Z149" i="29"/>
  <c r="R147" i="29"/>
  <c r="D148" i="37"/>
  <c r="F148" i="37" s="1"/>
  <c r="C147" i="37"/>
  <c r="G148" i="37"/>
  <c r="V137" i="46"/>
  <c r="V140" i="46" s="1"/>
  <c r="T137" i="46"/>
  <c r="T140" i="46" s="1"/>
  <c r="X139" i="46" s="1"/>
  <c r="AB139" i="46" s="1"/>
  <c r="H11" i="11"/>
  <c r="I11" i="11" s="1"/>
  <c r="D11" i="11"/>
  <c r="F11" i="11" s="1"/>
  <c r="G11" i="11" s="1"/>
  <c r="AG68" i="37"/>
  <c r="M149" i="30"/>
  <c r="I149" i="30"/>
  <c r="M150" i="30"/>
  <c r="I150" i="30"/>
  <c r="G149" i="30"/>
  <c r="T78" i="40"/>
  <c r="V78" i="40"/>
  <c r="F142" i="47"/>
  <c r="V64" i="39"/>
  <c r="V65" i="39" s="1"/>
  <c r="T64" i="39"/>
  <c r="T65" i="39" s="1"/>
  <c r="X64" i="39" s="1"/>
  <c r="F135" i="30"/>
  <c r="H132" i="30"/>
  <c r="H135" i="30" s="1"/>
  <c r="V142" i="48"/>
  <c r="V145" i="48" s="1"/>
  <c r="T142" i="48"/>
  <c r="T145" i="48" s="1"/>
  <c r="X144" i="48" s="1"/>
  <c r="AB144" i="48" s="1"/>
  <c r="AV9" i="61"/>
  <c r="B9" i="8"/>
  <c r="AP9" i="8"/>
  <c r="C21" i="45"/>
  <c r="T148" i="50"/>
  <c r="V148" i="50"/>
  <c r="AG73" i="38"/>
  <c r="H132" i="45"/>
  <c r="H135" i="45" s="1"/>
  <c r="F135" i="45"/>
  <c r="V53" i="35"/>
  <c r="T53" i="35"/>
  <c r="X13" i="16"/>
  <c r="V33" i="31"/>
  <c r="T33" i="31"/>
  <c r="F137" i="46"/>
  <c r="F135" i="39"/>
  <c r="H132" i="39"/>
  <c r="H135" i="39" s="1"/>
  <c r="V42" i="32"/>
  <c r="T42" i="32"/>
  <c r="V38" i="32"/>
  <c r="T38" i="32"/>
  <c r="H143" i="39"/>
  <c r="AJ14" i="21"/>
  <c r="AI14" i="21"/>
  <c r="Y5" i="6"/>
  <c r="AJ14" i="20"/>
  <c r="AI14" i="20"/>
  <c r="V139" i="46"/>
  <c r="T139" i="46"/>
  <c r="Y12" i="13"/>
  <c r="H137" i="38"/>
  <c r="H140" i="38" s="1"/>
  <c r="F140" i="38"/>
  <c r="J77" i="40"/>
  <c r="M150" i="45"/>
  <c r="I150" i="45"/>
  <c r="G149" i="45"/>
  <c r="M149" i="45"/>
  <c r="I149" i="45"/>
  <c r="V54" i="36"/>
  <c r="V55" i="36" s="1"/>
  <c r="T54" i="36"/>
  <c r="T55" i="36" s="1"/>
  <c r="X54" i="36" s="1"/>
  <c r="K149" i="38"/>
  <c r="L150" i="38"/>
  <c r="G147" i="38"/>
  <c r="K150" i="38"/>
  <c r="L149" i="38"/>
  <c r="D147" i="38"/>
  <c r="J42" i="32"/>
  <c r="X142" i="33"/>
  <c r="R144" i="33"/>
  <c r="M149" i="48"/>
  <c r="I149" i="48"/>
  <c r="D149" i="48"/>
  <c r="F149" i="48" s="1"/>
  <c r="M150" i="48"/>
  <c r="I150" i="48"/>
  <c r="G149" i="48"/>
  <c r="H148" i="42"/>
  <c r="Z145" i="31"/>
  <c r="Z144" i="31"/>
  <c r="R142" i="31"/>
  <c r="Y145" i="31"/>
  <c r="Y144" i="31"/>
  <c r="H17" i="17"/>
  <c r="I17" i="17" s="1"/>
  <c r="D17" i="17"/>
  <c r="F17" i="17" s="1"/>
  <c r="G17" i="17" s="1"/>
  <c r="F140" i="27"/>
  <c r="H137" i="27"/>
  <c r="H140" i="27" s="1"/>
  <c r="AV20" i="20"/>
  <c r="AR134" i="48"/>
  <c r="F142" i="41"/>
  <c r="AV5" i="5"/>
  <c r="H137" i="50"/>
  <c r="H140" i="50" s="1"/>
  <c r="J140" i="50" s="1"/>
  <c r="N140" i="50" s="1"/>
  <c r="AQ140" i="50" s="1"/>
  <c r="F140" i="50"/>
  <c r="J139" i="50" s="1"/>
  <c r="N139" i="50" s="1"/>
  <c r="AQ139" i="50" s="1"/>
  <c r="H13" i="13"/>
  <c r="I13" i="13" s="1"/>
  <c r="D13" i="13"/>
  <c r="F13" i="13" s="1"/>
  <c r="G13" i="13" s="1"/>
  <c r="H74" i="40"/>
  <c r="H75" i="40" s="1"/>
  <c r="J75" i="40" s="1"/>
  <c r="F75" i="40"/>
  <c r="J74" i="40" s="1"/>
  <c r="T137" i="33"/>
  <c r="T140" i="33" s="1"/>
  <c r="X139" i="33" s="1"/>
  <c r="AB139" i="33" s="1"/>
  <c r="V137" i="33"/>
  <c r="V140" i="33" s="1"/>
  <c r="L144" i="37"/>
  <c r="D142" i="37"/>
  <c r="K144" i="37"/>
  <c r="L145" i="37"/>
  <c r="G142" i="37"/>
  <c r="K145" i="37"/>
  <c r="T137" i="44"/>
  <c r="T140" i="44" s="1"/>
  <c r="X139" i="44" s="1"/>
  <c r="AB139" i="44" s="1"/>
  <c r="V137" i="44"/>
  <c r="V140" i="44" s="1"/>
  <c r="Y150" i="35"/>
  <c r="Y149" i="35"/>
  <c r="Z150" i="35"/>
  <c r="Z149" i="35"/>
  <c r="R147" i="35"/>
  <c r="F137" i="39"/>
  <c r="H10" i="10"/>
  <c r="I10" i="10" s="1"/>
  <c r="D10" i="10"/>
  <c r="H132" i="37"/>
  <c r="H135" i="37" s="1"/>
  <c r="F135" i="37"/>
  <c r="AF15" i="53"/>
  <c r="AF16" i="53" s="1"/>
  <c r="AI1" i="53"/>
  <c r="F142" i="49"/>
  <c r="J142" i="49"/>
  <c r="X140" i="26"/>
  <c r="AB140" i="26" s="1"/>
  <c r="AR140" i="26" s="1"/>
  <c r="H5" i="5"/>
  <c r="I5" i="5" s="1"/>
  <c r="D5" i="5"/>
  <c r="F5" i="5" s="1"/>
  <c r="G5" i="5" s="1"/>
  <c r="J49" i="35"/>
  <c r="J50" i="35"/>
  <c r="F84" i="41"/>
  <c r="J82" i="41"/>
  <c r="AF11" i="14"/>
  <c r="AF12" i="14" s="1"/>
  <c r="L149" i="34"/>
  <c r="D147" i="34"/>
  <c r="K149" i="34"/>
  <c r="L150" i="34"/>
  <c r="G147" i="34"/>
  <c r="K150" i="34"/>
  <c r="T137" i="45"/>
  <c r="T140" i="45" s="1"/>
  <c r="X139" i="45" s="1"/>
  <c r="AB139" i="45" s="1"/>
  <c r="V137" i="45"/>
  <c r="V140" i="45" s="1"/>
  <c r="AV22" i="22"/>
  <c r="X147" i="36"/>
  <c r="R149" i="36"/>
  <c r="AJ11" i="21"/>
  <c r="AI11" i="21"/>
  <c r="M149" i="36"/>
  <c r="I149" i="36"/>
  <c r="M150" i="36"/>
  <c r="I150" i="36"/>
  <c r="G149" i="36"/>
  <c r="Y150" i="41"/>
  <c r="Y149" i="41"/>
  <c r="Z150" i="41"/>
  <c r="Z149" i="41"/>
  <c r="R147" i="41"/>
  <c r="Q147" i="28"/>
  <c r="Q149" i="28"/>
  <c r="AQ14" i="61"/>
  <c r="B14" i="13"/>
  <c r="AP14" i="13"/>
  <c r="C16" i="40"/>
  <c r="V137" i="40"/>
  <c r="V140" i="40" s="1"/>
  <c r="T137" i="40"/>
  <c r="T140" i="40" s="1"/>
  <c r="X139" i="40" s="1"/>
  <c r="AB139" i="40" s="1"/>
  <c r="X135" i="34"/>
  <c r="AB135" i="34" s="1"/>
  <c r="AR135" i="34" s="1"/>
  <c r="Z145" i="50"/>
  <c r="Z144" i="50"/>
  <c r="R142" i="50"/>
  <c r="Y145" i="50"/>
  <c r="Y144" i="50"/>
  <c r="T142" i="47"/>
  <c r="T145" i="47" s="1"/>
  <c r="X144" i="47" s="1"/>
  <c r="AB144" i="47" s="1"/>
  <c r="V142" i="47"/>
  <c r="V145" i="47" s="1"/>
  <c r="F142" i="44"/>
  <c r="V137" i="50"/>
  <c r="V140" i="50" s="1"/>
  <c r="T137" i="50"/>
  <c r="T140" i="50" s="1"/>
  <c r="X139" i="50" s="1"/>
  <c r="AB139" i="50" s="1"/>
  <c r="D19" i="53"/>
  <c r="F19" i="53" s="1"/>
  <c r="G19" i="53" s="1"/>
  <c r="H19" i="53"/>
  <c r="I19" i="53" s="1"/>
  <c r="H19" i="19"/>
  <c r="I19" i="19" s="1"/>
  <c r="D19" i="19"/>
  <c r="F19" i="19" s="1"/>
  <c r="G19" i="19" s="1"/>
  <c r="X7" i="9"/>
  <c r="H137" i="42"/>
  <c r="H140" i="42" s="1"/>
  <c r="F140" i="42"/>
  <c r="F11" i="12"/>
  <c r="V137" i="39"/>
  <c r="V140" i="39" s="1"/>
  <c r="T137" i="39"/>
  <c r="T140" i="39" s="1"/>
  <c r="X139" i="39" s="1"/>
  <c r="AB139" i="39" s="1"/>
  <c r="T144" i="36"/>
  <c r="V144" i="36"/>
  <c r="AF5" i="9"/>
  <c r="AF6" i="9" s="1"/>
  <c r="AF7" i="9" s="1"/>
  <c r="F142" i="29"/>
  <c r="AI22" i="61"/>
  <c r="C8" i="32"/>
  <c r="B22" i="21"/>
  <c r="AP22" i="21"/>
  <c r="J64" i="38"/>
  <c r="J65" i="38"/>
  <c r="H137" i="41"/>
  <c r="H140" i="41" s="1"/>
  <c r="F140" i="41"/>
  <c r="V142" i="41"/>
  <c r="V145" i="41" s="1"/>
  <c r="T142" i="41"/>
  <c r="T145" i="41" s="1"/>
  <c r="X144" i="41" s="1"/>
  <c r="AB144" i="41" s="1"/>
  <c r="AV4" i="4"/>
  <c r="J49" i="34"/>
  <c r="AJ15" i="21"/>
  <c r="AI15" i="21"/>
  <c r="J60" i="37"/>
  <c r="N60" i="37" s="1"/>
  <c r="AQ60" i="37" s="1"/>
  <c r="J59" i="37"/>
  <c r="H6" i="6"/>
  <c r="I6" i="6" s="1"/>
  <c r="D6" i="6"/>
  <c r="F6" i="6" s="1"/>
  <c r="G6" i="6" s="1"/>
  <c r="AL19" i="61"/>
  <c r="B19" i="18"/>
  <c r="C11" i="35"/>
  <c r="D72" i="35" s="1"/>
  <c r="AP19" i="18"/>
  <c r="Y145" i="39"/>
  <c r="Z144" i="39"/>
  <c r="Z145" i="39"/>
  <c r="Y144" i="39"/>
  <c r="R142" i="39"/>
  <c r="AV15" i="15"/>
  <c r="Y15" i="15"/>
  <c r="X14" i="15" s="1"/>
  <c r="AF10" i="13"/>
  <c r="F140" i="49"/>
  <c r="H137" i="49"/>
  <c r="H140" i="49" s="1"/>
  <c r="K144" i="45"/>
  <c r="L145" i="45"/>
  <c r="K145" i="45"/>
  <c r="L144" i="45"/>
  <c r="G142" i="45"/>
  <c r="D142" i="45"/>
  <c r="AF8" i="12"/>
  <c r="AF9" i="12" s="1"/>
  <c r="H77" i="38"/>
  <c r="F137" i="43"/>
  <c r="F137" i="48"/>
  <c r="T142" i="42"/>
  <c r="T145" i="42" s="1"/>
  <c r="X144" i="42" s="1"/>
  <c r="AB144" i="42" s="1"/>
  <c r="V142" i="42"/>
  <c r="V145" i="42" s="1"/>
  <c r="AV16" i="16"/>
  <c r="H12" i="12"/>
  <c r="I12" i="12" s="1"/>
  <c r="D12" i="12"/>
  <c r="F12" i="12" s="1"/>
  <c r="G12" i="12" s="1"/>
  <c r="Z145" i="46"/>
  <c r="Z144" i="46"/>
  <c r="R142" i="46"/>
  <c r="Y145" i="46"/>
  <c r="Y144" i="46"/>
  <c r="Y145" i="45"/>
  <c r="Y144" i="45"/>
  <c r="Z144" i="45"/>
  <c r="Z145" i="45"/>
  <c r="R142" i="45"/>
  <c r="AK59" i="39"/>
  <c r="AM59" i="39" s="1"/>
  <c r="AS59" i="39" s="1"/>
  <c r="Z59" i="39"/>
  <c r="AB59" i="39" s="1"/>
  <c r="L64" i="39"/>
  <c r="N64" i="39" s="1"/>
  <c r="AQ64" i="39" s="1"/>
  <c r="X142" i="28"/>
  <c r="R144" i="28"/>
  <c r="AV24" i="24"/>
  <c r="F45" i="59"/>
  <c r="AE35" i="59"/>
  <c r="AI35" i="59"/>
  <c r="AI36" i="59" s="1"/>
  <c r="AG36" i="59"/>
  <c r="M34" i="59" s="1"/>
  <c r="AO35" i="59" s="1"/>
  <c r="AU35" i="59" s="1"/>
  <c r="AE85" i="41"/>
  <c r="AI84" i="41" s="1"/>
  <c r="V52" i="34"/>
  <c r="T52" i="34"/>
  <c r="AE55" i="34"/>
  <c r="AI54" i="34" s="1"/>
  <c r="AG53" i="34"/>
  <c r="AG55" i="34" s="1"/>
  <c r="Z145" i="43"/>
  <c r="Z144" i="43"/>
  <c r="R142" i="43"/>
  <c r="Y145" i="43"/>
  <c r="Y144" i="43"/>
  <c r="F4" i="5"/>
  <c r="AP15" i="61"/>
  <c r="AP15" i="14"/>
  <c r="C15" i="39"/>
  <c r="B15" i="14"/>
  <c r="F159" i="59"/>
  <c r="AV23" i="23"/>
  <c r="AG24" i="61"/>
  <c r="B24" i="23"/>
  <c r="AP24" i="23"/>
  <c r="C6" i="30"/>
  <c r="V142" i="26"/>
  <c r="V145" i="26" s="1"/>
  <c r="T142" i="26"/>
  <c r="T145" i="26" s="1"/>
  <c r="X144" i="26" s="1"/>
  <c r="AB144" i="26" s="1"/>
  <c r="AJ13" i="21"/>
  <c r="AI13" i="21"/>
  <c r="K145" i="36"/>
  <c r="K144" i="36"/>
  <c r="L145" i="36"/>
  <c r="G142" i="36"/>
  <c r="L144" i="36"/>
  <c r="D142" i="36"/>
  <c r="M150" i="37"/>
  <c r="I150" i="37"/>
  <c r="G149" i="37"/>
  <c r="M149" i="37"/>
  <c r="I149" i="37"/>
  <c r="Q147" i="46"/>
  <c r="Q149" i="46"/>
  <c r="H137" i="32"/>
  <c r="H140" i="32" s="1"/>
  <c r="F140" i="32"/>
  <c r="V139" i="49"/>
  <c r="T139" i="49"/>
  <c r="Q149" i="27"/>
  <c r="Q147" i="27"/>
  <c r="Z150" i="48"/>
  <c r="Z149" i="48"/>
  <c r="R147" i="48"/>
  <c r="Y150" i="48"/>
  <c r="Y149" i="48"/>
  <c r="F142" i="33"/>
  <c r="F78" i="39"/>
  <c r="AG78" i="39"/>
  <c r="H8" i="8"/>
  <c r="I8" i="8" s="1"/>
  <c r="D8" i="8"/>
  <c r="V68" i="38"/>
  <c r="T68" i="38"/>
  <c r="G172" i="59"/>
  <c r="D172" i="59"/>
  <c r="F172" i="59" s="1"/>
  <c r="C171" i="59"/>
  <c r="K149" i="29"/>
  <c r="L150" i="29"/>
  <c r="G147" i="29"/>
  <c r="K150" i="29"/>
  <c r="L149" i="29"/>
  <c r="D147" i="29"/>
  <c r="AG58" i="35"/>
  <c r="AG34" i="31"/>
  <c r="AG35" i="31" s="1"/>
  <c r="AE35" i="31"/>
  <c r="AI34" i="31" s="1"/>
  <c r="AM34" i="31" s="1"/>
  <c r="AS34" i="31" s="1"/>
  <c r="K150" i="33"/>
  <c r="L149" i="33"/>
  <c r="D147" i="33"/>
  <c r="K149" i="33"/>
  <c r="L150" i="33"/>
  <c r="G147" i="33"/>
  <c r="V137" i="34"/>
  <c r="V140" i="34" s="1"/>
  <c r="T137" i="34"/>
  <c r="T140" i="34" s="1"/>
  <c r="X139" i="34" s="1"/>
  <c r="AB139" i="34" s="1"/>
  <c r="Y4" i="5"/>
  <c r="X147" i="42"/>
  <c r="R149" i="42"/>
  <c r="K150" i="49"/>
  <c r="L149" i="49"/>
  <c r="D147" i="49"/>
  <c r="K149" i="49"/>
  <c r="L150" i="49"/>
  <c r="G147" i="49"/>
  <c r="Q149" i="33"/>
  <c r="Q147" i="33"/>
  <c r="V43" i="33"/>
  <c r="T43" i="33"/>
  <c r="V142" i="38"/>
  <c r="V145" i="38" s="1"/>
  <c r="T142" i="38"/>
  <c r="T145" i="38" s="1"/>
  <c r="X144" i="38" s="1"/>
  <c r="AB144" i="38" s="1"/>
  <c r="L144" i="46"/>
  <c r="D142" i="46"/>
  <c r="K144" i="46"/>
  <c r="L145" i="46"/>
  <c r="G142" i="46"/>
  <c r="K145" i="46"/>
  <c r="K149" i="35"/>
  <c r="L150" i="35"/>
  <c r="G147" i="35"/>
  <c r="K150" i="35"/>
  <c r="L149" i="35"/>
  <c r="D147" i="35"/>
  <c r="X55" i="37"/>
  <c r="AB55" i="37" s="1"/>
  <c r="AJ8" i="20"/>
  <c r="AI8" i="20"/>
  <c r="AJ5" i="20"/>
  <c r="AI5" i="20"/>
  <c r="H62" i="36"/>
  <c r="H44" i="34"/>
  <c r="H45" i="34" s="1"/>
  <c r="J45" i="34" s="1"/>
  <c r="F45" i="34"/>
  <c r="J44" i="34" s="1"/>
  <c r="F142" i="42"/>
  <c r="H78" i="40"/>
  <c r="H80" i="40" s="1"/>
  <c r="F80" i="40"/>
  <c r="V139" i="33"/>
  <c r="T139" i="33"/>
  <c r="C147" i="45"/>
  <c r="G148" i="45"/>
  <c r="D148" i="45"/>
  <c r="F148" i="45" s="1"/>
  <c r="AI90" i="43"/>
  <c r="V62" i="36"/>
  <c r="T62" i="36"/>
  <c r="V58" i="36"/>
  <c r="T58" i="36"/>
  <c r="Q149" i="31"/>
  <c r="Q147" i="31"/>
  <c r="F142" i="40"/>
  <c r="H42" i="32"/>
  <c r="H45" i="32" s="1"/>
  <c r="F45" i="32"/>
  <c r="AG15" i="18"/>
  <c r="X1" i="18"/>
  <c r="Y7" i="8"/>
  <c r="V139" i="44"/>
  <c r="T139" i="44"/>
  <c r="X142" i="31"/>
  <c r="R144" i="31"/>
  <c r="J84" i="42"/>
  <c r="J85" i="42"/>
  <c r="AM18" i="61"/>
  <c r="B18" i="17"/>
  <c r="AP18" i="17"/>
  <c r="C12" i="36"/>
  <c r="D73" i="36" s="1"/>
  <c r="F73" i="36" s="1"/>
  <c r="H73" i="36" s="1"/>
  <c r="AG5" i="8"/>
  <c r="AJ21" i="61"/>
  <c r="C9" i="33"/>
  <c r="R49" i="33" s="1"/>
  <c r="AP21" i="20"/>
  <c r="B21" i="20"/>
  <c r="AK39" i="34"/>
  <c r="AM39" i="34" s="1"/>
  <c r="AS39" i="34" s="1"/>
  <c r="Z39" i="34"/>
  <c r="AB39" i="34" s="1"/>
  <c r="L44" i="34"/>
  <c r="AI75" i="39" l="1"/>
  <c r="J50" i="34"/>
  <c r="J59" i="36"/>
  <c r="AG120" i="47"/>
  <c r="AR39" i="35"/>
  <c r="AT39" i="35" s="1"/>
  <c r="D6" i="35" s="1"/>
  <c r="V84" i="41"/>
  <c r="AK80" i="47"/>
  <c r="AM80" i="47" s="1"/>
  <c r="AS80" i="47" s="1"/>
  <c r="AI125" i="49"/>
  <c r="AL13" i="47"/>
  <c r="A244" i="66"/>
  <c r="D157" i="66"/>
  <c r="B157" i="66" s="1"/>
  <c r="AT60" i="43"/>
  <c r="E10" i="43" s="1"/>
  <c r="J135" i="50"/>
  <c r="N135" i="50" s="1"/>
  <c r="AQ135" i="50" s="1"/>
  <c r="L8" i="42"/>
  <c r="AP59" i="42" s="1"/>
  <c r="AT59" i="42" s="1"/>
  <c r="D10" i="42" s="1"/>
  <c r="L278" i="66"/>
  <c r="I278" i="66" s="1"/>
  <c r="L242" i="66"/>
  <c r="J217" i="66"/>
  <c r="B217" i="65" s="1"/>
  <c r="I217" i="66"/>
  <c r="D217" i="65"/>
  <c r="A217" i="65" s="1"/>
  <c r="I157" i="66"/>
  <c r="D157" i="65"/>
  <c r="A157" i="65" s="1"/>
  <c r="J157" i="66"/>
  <c r="B157" i="65" s="1"/>
  <c r="D194" i="66"/>
  <c r="B194" i="66" s="1"/>
  <c r="L182" i="66"/>
  <c r="B212" i="66"/>
  <c r="A212" i="66"/>
  <c r="D324" i="66"/>
  <c r="A324" i="66" s="1"/>
  <c r="L302" i="66"/>
  <c r="B145" i="66"/>
  <c r="A145" i="66"/>
  <c r="L194" i="66"/>
  <c r="J194" i="66" s="1"/>
  <c r="B194" i="65" s="1"/>
  <c r="L170" i="66"/>
  <c r="D233" i="66"/>
  <c r="L218" i="66"/>
  <c r="D245" i="66"/>
  <c r="A245" i="66" s="1"/>
  <c r="B189" i="66"/>
  <c r="A189" i="66"/>
  <c r="L236" i="66"/>
  <c r="D236" i="65" s="1"/>
  <c r="D190" i="66"/>
  <c r="AI120" i="47"/>
  <c r="AE115" i="46"/>
  <c r="AI114" i="46" s="1"/>
  <c r="AT70" i="46"/>
  <c r="E12" i="46" s="1"/>
  <c r="L11" i="41"/>
  <c r="AP60" i="41" s="1"/>
  <c r="AT60" i="41" s="1"/>
  <c r="E10" i="41" s="1"/>
  <c r="L11" i="47"/>
  <c r="AP80" i="47" s="1"/>
  <c r="AT80" i="47" s="1"/>
  <c r="X110" i="47"/>
  <c r="AG115" i="46"/>
  <c r="AT70" i="44"/>
  <c r="D263" i="65"/>
  <c r="J263" i="66"/>
  <c r="B263" i="65" s="1"/>
  <c r="I263" i="66"/>
  <c r="D179" i="65"/>
  <c r="A179" i="65" s="1"/>
  <c r="I179" i="66"/>
  <c r="J179" i="66"/>
  <c r="B179" i="65" s="1"/>
  <c r="J236" i="66"/>
  <c r="B236" i="65" s="1"/>
  <c r="L264" i="66"/>
  <c r="AI145" i="50"/>
  <c r="X115" i="48"/>
  <c r="AI135" i="50"/>
  <c r="B167" i="66"/>
  <c r="A167" i="66"/>
  <c r="D168" i="66"/>
  <c r="L180" i="66"/>
  <c r="B155" i="66"/>
  <c r="A155" i="66"/>
  <c r="X100" i="45"/>
  <c r="D207" i="66"/>
  <c r="X105" i="46"/>
  <c r="A206" i="66"/>
  <c r="B206" i="66"/>
  <c r="D310" i="66"/>
  <c r="L206" i="66"/>
  <c r="AE108" i="43"/>
  <c r="D462" i="66"/>
  <c r="L486" i="66"/>
  <c r="AI140" i="50"/>
  <c r="H119" i="48"/>
  <c r="H120" i="48" s="1"/>
  <c r="J120" i="48" s="1"/>
  <c r="F120" i="48"/>
  <c r="J119" i="48" s="1"/>
  <c r="AR80" i="47"/>
  <c r="AR79" i="47"/>
  <c r="V109" i="46"/>
  <c r="V110" i="46" s="1"/>
  <c r="T109" i="46"/>
  <c r="T110" i="46" s="1"/>
  <c r="X109" i="46" s="1"/>
  <c r="V89" i="43"/>
  <c r="V90" i="43" s="1"/>
  <c r="T89" i="43"/>
  <c r="T90" i="43" s="1"/>
  <c r="X89" i="43" s="1"/>
  <c r="H97" i="40"/>
  <c r="A423" i="66"/>
  <c r="B423" i="66"/>
  <c r="AG109" i="45"/>
  <c r="AG110" i="45" s="1"/>
  <c r="AE110" i="45"/>
  <c r="AI109" i="45" s="1"/>
  <c r="V104" i="45"/>
  <c r="V105" i="45" s="1"/>
  <c r="T104" i="45"/>
  <c r="T105" i="45" s="1"/>
  <c r="X104" i="45" s="1"/>
  <c r="AG128" i="48"/>
  <c r="B385" i="66"/>
  <c r="A385" i="66"/>
  <c r="H113" i="46"/>
  <c r="H115" i="46" s="1"/>
  <c r="F115" i="46"/>
  <c r="AL12" i="47"/>
  <c r="L10" i="47" s="1"/>
  <c r="AP79" i="47" s="1"/>
  <c r="AT79" i="47" s="1"/>
  <c r="D205" i="65"/>
  <c r="A205" i="65" s="1"/>
  <c r="J205" i="66"/>
  <c r="B205" i="65" s="1"/>
  <c r="I205" i="66"/>
  <c r="T118" i="47"/>
  <c r="V118" i="47"/>
  <c r="AG148" i="49"/>
  <c r="AG150" i="49" s="1"/>
  <c r="AE150" i="49"/>
  <c r="AI149" i="49" s="1"/>
  <c r="AG143" i="49"/>
  <c r="AG145" i="49" s="1"/>
  <c r="AE145" i="49"/>
  <c r="AI144" i="49" s="1"/>
  <c r="V128" i="49"/>
  <c r="T128" i="49"/>
  <c r="AG133" i="49"/>
  <c r="AG135" i="49" s="1"/>
  <c r="AE135" i="49"/>
  <c r="AI134" i="49" s="1"/>
  <c r="B119" i="66"/>
  <c r="A119" i="66"/>
  <c r="B138" i="66"/>
  <c r="A138" i="66"/>
  <c r="B81" i="66"/>
  <c r="A81" i="66"/>
  <c r="D424" i="66"/>
  <c r="L446" i="66"/>
  <c r="R87" i="39"/>
  <c r="D97" i="39"/>
  <c r="F97" i="39" s="1"/>
  <c r="D386" i="66"/>
  <c r="L406" i="66"/>
  <c r="D139" i="66"/>
  <c r="L146" i="66"/>
  <c r="R89" i="42"/>
  <c r="D103" i="42"/>
  <c r="F103" i="42" s="1"/>
  <c r="R102" i="42"/>
  <c r="D107" i="42"/>
  <c r="F107" i="42" s="1"/>
  <c r="AE134" i="48"/>
  <c r="AG134" i="48" s="1"/>
  <c r="AE138" i="48"/>
  <c r="AE139" i="48"/>
  <c r="AG139" i="48" s="1"/>
  <c r="AE133" i="48"/>
  <c r="AE129" i="48"/>
  <c r="AG129" i="48" s="1"/>
  <c r="R128" i="48"/>
  <c r="R133" i="48"/>
  <c r="D129" i="48"/>
  <c r="AE143" i="48"/>
  <c r="AE144" i="48"/>
  <c r="AG144" i="48" s="1"/>
  <c r="R138" i="48"/>
  <c r="AE149" i="48"/>
  <c r="AG149" i="48" s="1"/>
  <c r="AE148" i="48"/>
  <c r="R143" i="48"/>
  <c r="D134" i="48"/>
  <c r="R148" i="48"/>
  <c r="D139" i="48"/>
  <c r="D144" i="48"/>
  <c r="F144" i="48" s="1"/>
  <c r="H144" i="48" s="1"/>
  <c r="D104" i="43"/>
  <c r="F104" i="43" s="1"/>
  <c r="H104" i="43" s="1"/>
  <c r="R103" i="43"/>
  <c r="AL12" i="41"/>
  <c r="L10" i="41" s="1"/>
  <c r="AP59" i="41" s="1"/>
  <c r="AT59" i="41" s="1"/>
  <c r="D10" i="41" s="1"/>
  <c r="L69" i="41" s="1"/>
  <c r="N69" i="41" s="1"/>
  <c r="AQ69" i="41" s="1"/>
  <c r="AG118" i="46"/>
  <c r="H107" i="43"/>
  <c r="V87" i="40"/>
  <c r="T87" i="40"/>
  <c r="T108" i="45"/>
  <c r="V108" i="45"/>
  <c r="F117" i="45"/>
  <c r="H112" i="44"/>
  <c r="X90" i="44"/>
  <c r="B233" i="66"/>
  <c r="A233" i="66"/>
  <c r="AG123" i="47"/>
  <c r="V143" i="49"/>
  <c r="T143" i="49"/>
  <c r="F105" i="44"/>
  <c r="J104" i="44" s="1"/>
  <c r="AI150" i="50"/>
  <c r="D385" i="65"/>
  <c r="A385" i="65" s="1"/>
  <c r="J385" i="66"/>
  <c r="B385" i="65" s="1"/>
  <c r="I385" i="66"/>
  <c r="H117" i="46"/>
  <c r="AE130" i="49"/>
  <c r="AI129" i="49" s="1"/>
  <c r="D465" i="65"/>
  <c r="A465" i="65" s="1"/>
  <c r="J465" i="66"/>
  <c r="B465" i="65" s="1"/>
  <c r="I465" i="66"/>
  <c r="D367" i="66"/>
  <c r="L386" i="66"/>
  <c r="R109" i="45"/>
  <c r="D118" i="45"/>
  <c r="F118" i="45" s="1"/>
  <c r="H118" i="45" s="1"/>
  <c r="AE114" i="45"/>
  <c r="AG114" i="45" s="1"/>
  <c r="R113" i="45"/>
  <c r="D114" i="45"/>
  <c r="F114" i="45" s="1"/>
  <c r="H114" i="45" s="1"/>
  <c r="AE118" i="45"/>
  <c r="D405" i="66"/>
  <c r="L426" i="66"/>
  <c r="D158" i="66"/>
  <c r="L166" i="66"/>
  <c r="D101" i="66"/>
  <c r="L106" i="66"/>
  <c r="D177" i="66"/>
  <c r="L186" i="66"/>
  <c r="D120" i="66"/>
  <c r="L126" i="66"/>
  <c r="T113" i="46"/>
  <c r="V113" i="46"/>
  <c r="T102" i="43"/>
  <c r="V102" i="43"/>
  <c r="D425" i="65"/>
  <c r="A425" i="65" s="1"/>
  <c r="J425" i="66"/>
  <c r="B425" i="65" s="1"/>
  <c r="I425" i="66"/>
  <c r="AG113" i="45"/>
  <c r="V112" i="45"/>
  <c r="T112" i="45"/>
  <c r="F124" i="48"/>
  <c r="H124" i="48" s="1"/>
  <c r="J122" i="48"/>
  <c r="T107" i="44"/>
  <c r="V107" i="44"/>
  <c r="J129" i="50"/>
  <c r="N129" i="50" s="1"/>
  <c r="AQ129" i="50" s="1"/>
  <c r="J130" i="50"/>
  <c r="N130" i="50" s="1"/>
  <c r="AQ130" i="50" s="1"/>
  <c r="AI110" i="46"/>
  <c r="T114" i="47"/>
  <c r="T115" i="47" s="1"/>
  <c r="X114" i="47" s="1"/>
  <c r="V114" i="47"/>
  <c r="V115" i="47" s="1"/>
  <c r="F139" i="49"/>
  <c r="H139" i="49" s="1"/>
  <c r="J137" i="49"/>
  <c r="J140" i="49" s="1"/>
  <c r="N140" i="49" s="1"/>
  <c r="AQ140" i="49" s="1"/>
  <c r="V133" i="49"/>
  <c r="T133" i="49"/>
  <c r="AG138" i="49"/>
  <c r="AG140" i="49" s="1"/>
  <c r="AE140" i="49"/>
  <c r="AI139" i="49" s="1"/>
  <c r="H105" i="44"/>
  <c r="J124" i="49"/>
  <c r="N124" i="49" s="1"/>
  <c r="AQ124" i="49" s="1"/>
  <c r="J125" i="49"/>
  <c r="N125" i="49" s="1"/>
  <c r="AQ125" i="49" s="1"/>
  <c r="AG125" i="48"/>
  <c r="D185" i="65"/>
  <c r="A185" i="65" s="1"/>
  <c r="J185" i="66"/>
  <c r="B185" i="65" s="1"/>
  <c r="I185" i="66"/>
  <c r="D105" i="65"/>
  <c r="A105" i="65" s="1"/>
  <c r="J105" i="66"/>
  <c r="B105" i="65" s="1"/>
  <c r="I105" i="66"/>
  <c r="B366" i="66"/>
  <c r="A366" i="66"/>
  <c r="AI130" i="50"/>
  <c r="AG130" i="49"/>
  <c r="AR74" i="48"/>
  <c r="B442" i="66"/>
  <c r="A442" i="66"/>
  <c r="H102" i="41"/>
  <c r="D165" i="65"/>
  <c r="A165" i="65" s="1"/>
  <c r="J165" i="66"/>
  <c r="B165" i="65" s="1"/>
  <c r="I165" i="66"/>
  <c r="R84" i="40"/>
  <c r="V84" i="40" s="1"/>
  <c r="D98" i="40"/>
  <c r="F98" i="40" s="1"/>
  <c r="H98" i="40" s="1"/>
  <c r="D102" i="40"/>
  <c r="F102" i="40" s="1"/>
  <c r="R97" i="40"/>
  <c r="D443" i="66"/>
  <c r="L466" i="66"/>
  <c r="D113" i="44"/>
  <c r="R104" i="44"/>
  <c r="D117" i="44"/>
  <c r="R112" i="44"/>
  <c r="R108" i="44"/>
  <c r="AE113" i="44"/>
  <c r="AE109" i="44"/>
  <c r="D109" i="44"/>
  <c r="D124" i="47"/>
  <c r="R123" i="47"/>
  <c r="AE124" i="47"/>
  <c r="AG124" i="47" s="1"/>
  <c r="AE128" i="47"/>
  <c r="R99" i="43"/>
  <c r="D108" i="43"/>
  <c r="F108" i="43" s="1"/>
  <c r="H108" i="43" s="1"/>
  <c r="R107" i="43"/>
  <c r="D112" i="43"/>
  <c r="F112" i="43" s="1"/>
  <c r="R114" i="46"/>
  <c r="D119" i="46"/>
  <c r="F119" i="46" s="1"/>
  <c r="H119" i="46" s="1"/>
  <c r="AE123" i="46"/>
  <c r="AE119" i="46"/>
  <c r="AG119" i="46" s="1"/>
  <c r="R118" i="46"/>
  <c r="H99" i="44"/>
  <c r="H100" i="44" s="1"/>
  <c r="F100" i="44"/>
  <c r="J99" i="44" s="1"/>
  <c r="AB23" i="46"/>
  <c r="AD23" i="46" s="1"/>
  <c r="AP6" i="46"/>
  <c r="AR6" i="46" s="1"/>
  <c r="L80" i="46"/>
  <c r="N80" i="46" s="1"/>
  <c r="AQ80" i="46" s="1"/>
  <c r="Z75" i="46"/>
  <c r="AB75" i="46" s="1"/>
  <c r="H103" i="43"/>
  <c r="B404" i="66"/>
  <c r="A404" i="66"/>
  <c r="D445" i="65"/>
  <c r="A445" i="65" s="1"/>
  <c r="J445" i="66"/>
  <c r="B445" i="65" s="1"/>
  <c r="I445" i="66"/>
  <c r="F109" i="45"/>
  <c r="J107" i="45"/>
  <c r="F113" i="45"/>
  <c r="V123" i="48"/>
  <c r="T123" i="48"/>
  <c r="D405" i="65"/>
  <c r="A405" i="65" s="1"/>
  <c r="I405" i="66"/>
  <c r="J405" i="66"/>
  <c r="B405" i="65" s="1"/>
  <c r="T99" i="44"/>
  <c r="T100" i="44" s="1"/>
  <c r="X99" i="44" s="1"/>
  <c r="V99" i="44"/>
  <c r="V100" i="44" s="1"/>
  <c r="J112" i="46"/>
  <c r="F119" i="47"/>
  <c r="J117" i="47"/>
  <c r="V138" i="49"/>
  <c r="T138" i="49"/>
  <c r="F134" i="49"/>
  <c r="H134" i="49" s="1"/>
  <c r="J132" i="49"/>
  <c r="F129" i="49"/>
  <c r="H129" i="49" s="1"/>
  <c r="J127" i="49"/>
  <c r="AE125" i="48"/>
  <c r="AI124" i="48" s="1"/>
  <c r="D125" i="65"/>
  <c r="A125" i="65" s="1"/>
  <c r="J125" i="66"/>
  <c r="B125" i="65" s="1"/>
  <c r="I125" i="66"/>
  <c r="B176" i="66"/>
  <c r="A176" i="66"/>
  <c r="D145" i="65"/>
  <c r="A145" i="65" s="1"/>
  <c r="J145" i="66"/>
  <c r="B145" i="65" s="1"/>
  <c r="I145" i="66"/>
  <c r="B100" i="66"/>
  <c r="A100" i="66"/>
  <c r="J114" i="47"/>
  <c r="J115" i="47"/>
  <c r="H109" i="46"/>
  <c r="H110" i="46" s="1"/>
  <c r="J110" i="46" s="1"/>
  <c r="F110" i="46"/>
  <c r="J109" i="46" s="1"/>
  <c r="X25" i="48"/>
  <c r="L9" i="48" s="1"/>
  <c r="AP75" i="48" s="1"/>
  <c r="AT75" i="48" s="1"/>
  <c r="E13" i="48" s="1"/>
  <c r="L85" i="48" s="1"/>
  <c r="N85" i="48" s="1"/>
  <c r="AQ85" i="48" s="1"/>
  <c r="X24" i="48"/>
  <c r="L8" i="48" s="1"/>
  <c r="AP74" i="48" s="1"/>
  <c r="AT74" i="48" s="1"/>
  <c r="D13" i="48" s="1"/>
  <c r="AP10" i="48" s="1"/>
  <c r="AR10" i="48" s="1"/>
  <c r="D85" i="65"/>
  <c r="A85" i="65" s="1"/>
  <c r="I85" i="66"/>
  <c r="J85" i="66"/>
  <c r="B85" i="65" s="1"/>
  <c r="T97" i="41"/>
  <c r="V97" i="41"/>
  <c r="A157" i="66"/>
  <c r="AT60" i="42"/>
  <c r="E10" i="42" s="1"/>
  <c r="AP16" i="42" s="1"/>
  <c r="AR16" i="42" s="1"/>
  <c r="J45" i="33"/>
  <c r="AT69" i="46"/>
  <c r="D12" i="46" s="1"/>
  <c r="A141" i="65"/>
  <c r="A154" i="65"/>
  <c r="A193" i="65"/>
  <c r="AP15" i="42"/>
  <c r="AR15" i="42" s="1"/>
  <c r="AP10" i="42"/>
  <c r="AR10" i="42" s="1"/>
  <c r="AB22" i="43"/>
  <c r="AD22" i="43" s="1"/>
  <c r="AB27" i="43"/>
  <c r="AD27" i="43" s="1"/>
  <c r="AP5" i="43"/>
  <c r="AR5" i="43" s="1"/>
  <c r="AB23" i="43"/>
  <c r="AD23" i="43" s="1"/>
  <c r="AB28" i="43"/>
  <c r="AD28" i="43" s="1"/>
  <c r="AP6" i="43"/>
  <c r="AR6" i="43" s="1"/>
  <c r="AK75" i="46"/>
  <c r="AM75" i="46" s="1"/>
  <c r="AS75" i="46" s="1"/>
  <c r="AB28" i="46"/>
  <c r="AD28" i="46" s="1"/>
  <c r="AB27" i="46"/>
  <c r="AD27" i="46" s="1"/>
  <c r="AI65" i="37"/>
  <c r="J44" i="33"/>
  <c r="AI45" i="33"/>
  <c r="N45" i="34"/>
  <c r="AQ45" i="34" s="1"/>
  <c r="V85" i="41"/>
  <c r="X85" i="41" s="1"/>
  <c r="J92" i="42"/>
  <c r="J94" i="42" s="1"/>
  <c r="N94" i="42" s="1"/>
  <c r="AQ94" i="42" s="1"/>
  <c r="T93" i="42"/>
  <c r="AR135" i="46"/>
  <c r="H26" i="25"/>
  <c r="I26" i="25" s="1"/>
  <c r="D26" i="25"/>
  <c r="F26" i="25" s="1"/>
  <c r="G26" i="25" s="1"/>
  <c r="T32" i="29"/>
  <c r="V32" i="29"/>
  <c r="AV26" i="25"/>
  <c r="D37" i="28"/>
  <c r="F37" i="28" s="1"/>
  <c r="H37" i="28" s="1"/>
  <c r="R32" i="28"/>
  <c r="AE33" i="28"/>
  <c r="AG33" i="28" s="1"/>
  <c r="AE27" i="61"/>
  <c r="AP27" i="25"/>
  <c r="B27" i="25"/>
  <c r="C4" i="27"/>
  <c r="AR135" i="39"/>
  <c r="N55" i="36"/>
  <c r="AQ55" i="36" s="1"/>
  <c r="L69" i="42"/>
  <c r="N69" i="42" s="1"/>
  <c r="AQ69" i="42" s="1"/>
  <c r="L69" i="43"/>
  <c r="N69" i="43" s="1"/>
  <c r="AQ69" i="43" s="1"/>
  <c r="Z64" i="43"/>
  <c r="AB64" i="43" s="1"/>
  <c r="AK64" i="43"/>
  <c r="AM64" i="43" s="1"/>
  <c r="AS64" i="43" s="1"/>
  <c r="L70" i="43"/>
  <c r="N70" i="43" s="1"/>
  <c r="AQ70" i="43" s="1"/>
  <c r="AK65" i="43"/>
  <c r="AM65" i="43" s="1"/>
  <c r="AS65" i="43" s="1"/>
  <c r="Z65" i="43"/>
  <c r="AB65" i="43" s="1"/>
  <c r="AR135" i="28"/>
  <c r="J60" i="36"/>
  <c r="Y10" i="10"/>
  <c r="X9" i="10" s="1"/>
  <c r="AI60" i="36"/>
  <c r="AM60" i="36" s="1"/>
  <c r="AS60" i="36" s="1"/>
  <c r="AI70" i="38"/>
  <c r="AE40" i="31"/>
  <c r="AI39" i="31" s="1"/>
  <c r="Y5" i="5"/>
  <c r="AA5" i="5" s="1"/>
  <c r="AG5" i="5" s="1"/>
  <c r="AG60" i="35"/>
  <c r="AE60" i="35"/>
  <c r="AI59" i="35" s="1"/>
  <c r="AE70" i="37"/>
  <c r="AI69" i="37" s="1"/>
  <c r="AR139" i="35"/>
  <c r="AR139" i="41"/>
  <c r="AI100" i="44"/>
  <c r="Y6" i="6"/>
  <c r="AA6" i="6" s="1"/>
  <c r="AG6" i="6" s="1"/>
  <c r="AI105" i="44"/>
  <c r="X85" i="42"/>
  <c r="X70" i="39"/>
  <c r="X80" i="41"/>
  <c r="AE99" i="42"/>
  <c r="D99" i="42"/>
  <c r="AE103" i="42"/>
  <c r="R98" i="42"/>
  <c r="D77" i="36"/>
  <c r="F77" i="36" s="1"/>
  <c r="H89" i="42"/>
  <c r="H90" i="42" s="1"/>
  <c r="F90" i="42"/>
  <c r="H54" i="35"/>
  <c r="H55" i="35" s="1"/>
  <c r="J55" i="35" s="1"/>
  <c r="F55" i="35"/>
  <c r="J54" i="35" s="1"/>
  <c r="Z50" i="35"/>
  <c r="AB50" i="35" s="1"/>
  <c r="L55" i="35"/>
  <c r="J105" i="44"/>
  <c r="H87" i="39"/>
  <c r="V103" i="43"/>
  <c r="T103" i="43"/>
  <c r="H68" i="36"/>
  <c r="T49" i="33"/>
  <c r="V49" i="33"/>
  <c r="R72" i="36"/>
  <c r="D94" i="41"/>
  <c r="F94" i="41" s="1"/>
  <c r="H94" i="41" s="1"/>
  <c r="R93" i="41"/>
  <c r="V93" i="41" s="1"/>
  <c r="H67" i="34"/>
  <c r="H53" i="33"/>
  <c r="H82" i="38"/>
  <c r="V82" i="39"/>
  <c r="T82" i="39"/>
  <c r="AG103" i="43"/>
  <c r="AG105" i="43" s="1"/>
  <c r="AE105" i="43"/>
  <c r="AI104" i="43" s="1"/>
  <c r="V98" i="43"/>
  <c r="T98" i="43"/>
  <c r="H57" i="59"/>
  <c r="R47" i="30"/>
  <c r="D52" i="30"/>
  <c r="F52" i="30" s="1"/>
  <c r="R79" i="39"/>
  <c r="D88" i="39"/>
  <c r="F88" i="39" s="1"/>
  <c r="H88" i="39" s="1"/>
  <c r="D68" i="35"/>
  <c r="F68" i="35" s="1"/>
  <c r="R67" i="35"/>
  <c r="H84" i="41"/>
  <c r="H85" i="41" s="1"/>
  <c r="J85" i="41" s="1"/>
  <c r="F85" i="41"/>
  <c r="J84" i="41" s="1"/>
  <c r="H69" i="38"/>
  <c r="H70" i="38" s="1"/>
  <c r="J70" i="38" s="1"/>
  <c r="F70" i="38"/>
  <c r="J69" i="38" s="1"/>
  <c r="AE98" i="41"/>
  <c r="AG98" i="41" s="1"/>
  <c r="J100" i="44"/>
  <c r="T79" i="40"/>
  <c r="T80" i="40" s="1"/>
  <c r="X79" i="40" s="1"/>
  <c r="V79" i="40"/>
  <c r="V80" i="40" s="1"/>
  <c r="V77" i="38"/>
  <c r="T77" i="38"/>
  <c r="H52" i="31"/>
  <c r="V51" i="59"/>
  <c r="T51" i="59"/>
  <c r="R39" i="32"/>
  <c r="V39" i="32" s="1"/>
  <c r="V40" i="32" s="1"/>
  <c r="D53" i="32"/>
  <c r="F53" i="32" s="1"/>
  <c r="T84" i="40"/>
  <c r="X50" i="34"/>
  <c r="Z49" i="36"/>
  <c r="AB49" i="36" s="1"/>
  <c r="AR49" i="36" s="1"/>
  <c r="L54" i="36"/>
  <c r="N54" i="36" s="1"/>
  <c r="AQ54" i="36" s="1"/>
  <c r="R77" i="37"/>
  <c r="D82" i="37"/>
  <c r="F82" i="37" s="1"/>
  <c r="D83" i="38"/>
  <c r="F83" i="38" s="1"/>
  <c r="H83" i="38" s="1"/>
  <c r="R82" i="38"/>
  <c r="D87" i="38"/>
  <c r="F87" i="38" s="1"/>
  <c r="Z49" i="35"/>
  <c r="AB49" i="35" s="1"/>
  <c r="L54" i="35"/>
  <c r="V69" i="38"/>
  <c r="V70" i="38" s="1"/>
  <c r="T69" i="38"/>
  <c r="T70" i="38" s="1"/>
  <c r="X69" i="38" s="1"/>
  <c r="T47" i="31"/>
  <c r="V47" i="31"/>
  <c r="F99" i="43"/>
  <c r="J97" i="43"/>
  <c r="AG99" i="43"/>
  <c r="AG100" i="43" s="1"/>
  <c r="AE100" i="43"/>
  <c r="AI99" i="43" s="1"/>
  <c r="AG108" i="43"/>
  <c r="V67" i="36"/>
  <c r="T67" i="36"/>
  <c r="AR139" i="42"/>
  <c r="AR55" i="38"/>
  <c r="AT55" i="38" s="1"/>
  <c r="E9" i="38" s="1"/>
  <c r="AR54" i="38"/>
  <c r="AT54" i="38" s="1"/>
  <c r="D9" i="38" s="1"/>
  <c r="L64" i="38" s="1"/>
  <c r="N64" i="38" s="1"/>
  <c r="AQ64" i="38" s="1"/>
  <c r="X8" i="10"/>
  <c r="AR135" i="40"/>
  <c r="AG80" i="39"/>
  <c r="AT161" i="59"/>
  <c r="AE80" i="39"/>
  <c r="AI79" i="39" s="1"/>
  <c r="AG70" i="37"/>
  <c r="AG45" i="32"/>
  <c r="AI45" i="32" s="1"/>
  <c r="AR140" i="29"/>
  <c r="AI90" i="42"/>
  <c r="J39" i="59"/>
  <c r="J77" i="39"/>
  <c r="AT50" i="36"/>
  <c r="E8" i="36" s="1"/>
  <c r="L60" i="36" s="1"/>
  <c r="AE50" i="33"/>
  <c r="AI49" i="33" s="1"/>
  <c r="AR139" i="48"/>
  <c r="AR135" i="33"/>
  <c r="AG50" i="33"/>
  <c r="AG40" i="31"/>
  <c r="AI40" i="31" s="1"/>
  <c r="L65" i="39"/>
  <c r="N65" i="39" s="1"/>
  <c r="AQ65" i="39" s="1"/>
  <c r="Z60" i="39"/>
  <c r="AB60" i="39" s="1"/>
  <c r="AR60" i="39" s="1"/>
  <c r="AT60" i="39" s="1"/>
  <c r="E10" i="39" s="1"/>
  <c r="L70" i="39" s="1"/>
  <c r="N70" i="39" s="1"/>
  <c r="AQ70" i="39" s="1"/>
  <c r="Z65" i="40"/>
  <c r="AB65" i="40" s="1"/>
  <c r="AK65" i="40"/>
  <c r="AM65" i="40" s="1"/>
  <c r="AS65" i="40" s="1"/>
  <c r="Z45" i="35"/>
  <c r="AB45" i="35" s="1"/>
  <c r="L50" i="35"/>
  <c r="N50" i="35" s="1"/>
  <c r="AQ50" i="35" s="1"/>
  <c r="AT50" i="35" s="1"/>
  <c r="E8" i="35" s="1"/>
  <c r="AK45" i="35"/>
  <c r="AM45" i="35" s="1"/>
  <c r="AS45" i="35" s="1"/>
  <c r="AK64" i="40"/>
  <c r="AM64" i="40" s="1"/>
  <c r="AS64" i="40" s="1"/>
  <c r="Z64" i="40"/>
  <c r="AB64" i="40" s="1"/>
  <c r="Z54" i="37"/>
  <c r="AB54" i="37" s="1"/>
  <c r="AR54" i="37" s="1"/>
  <c r="AT54" i="37" s="1"/>
  <c r="D9" i="37" s="1"/>
  <c r="L59" i="37"/>
  <c r="N59" i="37" s="1"/>
  <c r="AQ59" i="37" s="1"/>
  <c r="AK54" i="37"/>
  <c r="AM54" i="37" s="1"/>
  <c r="AS54" i="37" s="1"/>
  <c r="AK44" i="36"/>
  <c r="AM44" i="36" s="1"/>
  <c r="AS44" i="36" s="1"/>
  <c r="Z44" i="36"/>
  <c r="AB44" i="36" s="1"/>
  <c r="AR44" i="36" s="1"/>
  <c r="AT44" i="36" s="1"/>
  <c r="D7" i="36" s="1"/>
  <c r="AK49" i="36" s="1"/>
  <c r="AM49" i="36" s="1"/>
  <c r="AS49" i="36" s="1"/>
  <c r="L49" i="36"/>
  <c r="N49" i="36" s="1"/>
  <c r="AQ49" i="36" s="1"/>
  <c r="AK44" i="35"/>
  <c r="AM44" i="35" s="1"/>
  <c r="AS44" i="35" s="1"/>
  <c r="Z44" i="35"/>
  <c r="AB44" i="35" s="1"/>
  <c r="L49" i="35"/>
  <c r="N49" i="35" s="1"/>
  <c r="AQ49" i="35" s="1"/>
  <c r="AT49" i="35" s="1"/>
  <c r="D8" i="35" s="1"/>
  <c r="X168" i="59"/>
  <c r="AB168" i="59" s="1"/>
  <c r="AT167" i="59" s="1"/>
  <c r="X140" i="34"/>
  <c r="AB140" i="34" s="1"/>
  <c r="AR140" i="34" s="1"/>
  <c r="AR135" i="27"/>
  <c r="AR134" i="31"/>
  <c r="H172" i="59"/>
  <c r="AI55" i="34"/>
  <c r="AE75" i="38"/>
  <c r="AI74" i="38" s="1"/>
  <c r="AG75" i="38"/>
  <c r="AE85" i="40"/>
  <c r="AI84" i="40" s="1"/>
  <c r="J37" i="31"/>
  <c r="X145" i="35"/>
  <c r="AB145" i="35" s="1"/>
  <c r="AR145" i="35" s="1"/>
  <c r="X140" i="28"/>
  <c r="AB140" i="28" s="1"/>
  <c r="AR139" i="28" s="1"/>
  <c r="H148" i="45"/>
  <c r="X145" i="42"/>
  <c r="AB145" i="42" s="1"/>
  <c r="AR145" i="42" s="1"/>
  <c r="X145" i="47"/>
  <c r="AB145" i="47" s="1"/>
  <c r="AR144" i="47" s="1"/>
  <c r="AI95" i="42"/>
  <c r="X45" i="34"/>
  <c r="AG85" i="40"/>
  <c r="AR135" i="49"/>
  <c r="X140" i="50"/>
  <c r="AB140" i="50" s="1"/>
  <c r="AR139" i="50" s="1"/>
  <c r="X140" i="43"/>
  <c r="AB140" i="43" s="1"/>
  <c r="AR139" i="43" s="1"/>
  <c r="H148" i="36"/>
  <c r="M35" i="59"/>
  <c r="AO36" i="59" s="1"/>
  <c r="AU36" i="59" s="1"/>
  <c r="X140" i="31"/>
  <c r="AB140" i="31" s="1"/>
  <c r="AR139" i="31" s="1"/>
  <c r="X65" i="39"/>
  <c r="X145" i="29"/>
  <c r="AB145" i="29" s="1"/>
  <c r="AR144" i="29" s="1"/>
  <c r="H148" i="37"/>
  <c r="X145" i="36"/>
  <c r="AB145" i="36" s="1"/>
  <c r="AR145" i="36" s="1"/>
  <c r="X140" i="27"/>
  <c r="AB140" i="27" s="1"/>
  <c r="AR139" i="27" s="1"/>
  <c r="N44" i="34"/>
  <c r="AQ44" i="34" s="1"/>
  <c r="AR139" i="47"/>
  <c r="AR134" i="37"/>
  <c r="X145" i="41"/>
  <c r="AB145" i="41" s="1"/>
  <c r="AR145" i="41" s="1"/>
  <c r="X140" i="45"/>
  <c r="AB140" i="45" s="1"/>
  <c r="AR139" i="45" s="1"/>
  <c r="X140" i="37"/>
  <c r="AB140" i="37" s="1"/>
  <c r="AR139" i="37" s="1"/>
  <c r="AB10" i="19"/>
  <c r="AJ10" i="19" s="1"/>
  <c r="X145" i="26"/>
  <c r="AB145" i="26" s="1"/>
  <c r="AR144" i="26" s="1"/>
  <c r="X140" i="39"/>
  <c r="AB140" i="39" s="1"/>
  <c r="AR140" i="39" s="1"/>
  <c r="X140" i="40"/>
  <c r="AB140" i="40" s="1"/>
  <c r="AR140" i="40" s="1"/>
  <c r="X174" i="59"/>
  <c r="AB174" i="59" s="1"/>
  <c r="AT174" i="59" s="1"/>
  <c r="AR35" i="32"/>
  <c r="AT35" i="32" s="1"/>
  <c r="E5" i="32" s="1"/>
  <c r="AR34" i="32"/>
  <c r="AT34" i="32" s="1"/>
  <c r="D5" i="32" s="1"/>
  <c r="AJ14" i="19"/>
  <c r="AI14" i="19"/>
  <c r="AB139" i="49"/>
  <c r="X140" i="49"/>
  <c r="AB140" i="49" s="1"/>
  <c r="X145" i="38"/>
  <c r="AB145" i="38" s="1"/>
  <c r="AR145" i="38" s="1"/>
  <c r="X140" i="44"/>
  <c r="AB140" i="44" s="1"/>
  <c r="AR140" i="44" s="1"/>
  <c r="X140" i="33"/>
  <c r="AB140" i="33" s="1"/>
  <c r="AR140" i="33" s="1"/>
  <c r="X55" i="36"/>
  <c r="X145" i="30"/>
  <c r="AB145" i="30" s="1"/>
  <c r="AR145" i="30" s="1"/>
  <c r="AE69" i="36"/>
  <c r="AG69" i="36" s="1"/>
  <c r="AE73" i="36"/>
  <c r="R68" i="36"/>
  <c r="D69" i="36"/>
  <c r="AF5" i="8"/>
  <c r="AF6" i="8" s="1"/>
  <c r="H18" i="17"/>
  <c r="I18" i="17" s="1"/>
  <c r="D18" i="17"/>
  <c r="F18" i="17" s="1"/>
  <c r="G18" i="17" s="1"/>
  <c r="V144" i="31"/>
  <c r="T144" i="31"/>
  <c r="H142" i="40"/>
  <c r="H145" i="40" s="1"/>
  <c r="F145" i="40"/>
  <c r="F142" i="46"/>
  <c r="AE58" i="33"/>
  <c r="AE54" i="33"/>
  <c r="AG54" i="33" s="1"/>
  <c r="D54" i="33"/>
  <c r="R53" i="33"/>
  <c r="D58" i="33"/>
  <c r="F58" i="33" s="1"/>
  <c r="H58" i="33" s="1"/>
  <c r="D62" i="33"/>
  <c r="R57" i="33"/>
  <c r="AM19" i="61"/>
  <c r="C12" i="35"/>
  <c r="R72" i="35" s="1"/>
  <c r="B19" i="17"/>
  <c r="AP19" i="17"/>
  <c r="R149" i="31"/>
  <c r="X147" i="31"/>
  <c r="X140" i="46"/>
  <c r="AB140" i="46" s="1"/>
  <c r="AR139" i="46" s="1"/>
  <c r="F147" i="33"/>
  <c r="AI35" i="31"/>
  <c r="AM35" i="31" s="1"/>
  <c r="AS35" i="31" s="1"/>
  <c r="F147" i="29"/>
  <c r="H78" i="39"/>
  <c r="H80" i="39" s="1"/>
  <c r="F80" i="39"/>
  <c r="X147" i="46"/>
  <c r="R149" i="46"/>
  <c r="AV24" i="23"/>
  <c r="H15" i="14"/>
  <c r="I15" i="14" s="1"/>
  <c r="D15" i="14"/>
  <c r="F15" i="14" s="1"/>
  <c r="G15" i="14" s="1"/>
  <c r="G4" i="5"/>
  <c r="V142" i="43"/>
  <c r="V145" i="43" s="1"/>
  <c r="T142" i="43"/>
  <c r="T145" i="43" s="1"/>
  <c r="X144" i="43" s="1"/>
  <c r="AB144" i="43" s="1"/>
  <c r="H45" i="59"/>
  <c r="V144" i="28"/>
  <c r="T144" i="28"/>
  <c r="AR59" i="39"/>
  <c r="AT59" i="39" s="1"/>
  <c r="D10" i="39" s="1"/>
  <c r="L69" i="39" s="1"/>
  <c r="N69" i="39" s="1"/>
  <c r="AQ69" i="39" s="1"/>
  <c r="T142" i="45"/>
  <c r="T145" i="45" s="1"/>
  <c r="X144" i="45" s="1"/>
  <c r="AB144" i="45" s="1"/>
  <c r="V142" i="45"/>
  <c r="V145" i="45" s="1"/>
  <c r="AV19" i="18"/>
  <c r="H22" i="21"/>
  <c r="I22" i="21" s="1"/>
  <c r="D22" i="21"/>
  <c r="F22" i="21" s="1"/>
  <c r="G22" i="21" s="1"/>
  <c r="AV14" i="13"/>
  <c r="Z150" i="28"/>
  <c r="Z149" i="28"/>
  <c r="R147" i="28"/>
  <c r="Y150" i="28"/>
  <c r="Y149" i="28"/>
  <c r="F145" i="49"/>
  <c r="J144" i="49" s="1"/>
  <c r="N144" i="49" s="1"/>
  <c r="AQ144" i="49" s="1"/>
  <c r="H142" i="49"/>
  <c r="H145" i="49" s="1"/>
  <c r="F140" i="39"/>
  <c r="H137" i="39"/>
  <c r="H140" i="39" s="1"/>
  <c r="V147" i="35"/>
  <c r="V150" i="35" s="1"/>
  <c r="T147" i="35"/>
  <c r="T150" i="35" s="1"/>
  <c r="X149" i="35" s="1"/>
  <c r="AB149" i="35" s="1"/>
  <c r="H149" i="48"/>
  <c r="AF26" i="61"/>
  <c r="C5" i="28"/>
  <c r="AP26" i="24"/>
  <c r="B26" i="24"/>
  <c r="F165" i="59"/>
  <c r="T144" i="45"/>
  <c r="V144" i="45"/>
  <c r="V144" i="46"/>
  <c r="T144" i="46"/>
  <c r="AG78" i="38"/>
  <c r="V147" i="38"/>
  <c r="V150" i="38" s="1"/>
  <c r="T147" i="38"/>
  <c r="T150" i="38" s="1"/>
  <c r="X149" i="38" s="1"/>
  <c r="AB149" i="38" s="1"/>
  <c r="V78" i="39"/>
  <c r="T78" i="39"/>
  <c r="F9" i="9"/>
  <c r="H23" i="22"/>
  <c r="I23" i="22" s="1"/>
  <c r="D23" i="22"/>
  <c r="F23" i="22" s="1"/>
  <c r="G23" i="22" s="1"/>
  <c r="AH24" i="61"/>
  <c r="B24" i="22"/>
  <c r="C7" i="30"/>
  <c r="AP24" i="22"/>
  <c r="V142" i="34"/>
  <c r="V145" i="34" s="1"/>
  <c r="T142" i="34"/>
  <c r="T145" i="34" s="1"/>
  <c r="X144" i="34" s="1"/>
  <c r="AB144" i="34" s="1"/>
  <c r="F145" i="31"/>
  <c r="H142" i="31"/>
  <c r="H145" i="31" s="1"/>
  <c r="X40" i="33"/>
  <c r="H148" i="30"/>
  <c r="Y150" i="39"/>
  <c r="Z149" i="39"/>
  <c r="Z150" i="39"/>
  <c r="Y149" i="39"/>
  <c r="R147" i="39"/>
  <c r="AV12" i="11"/>
  <c r="H13" i="12"/>
  <c r="I13" i="12" s="1"/>
  <c r="D13" i="12"/>
  <c r="F13" i="12" s="1"/>
  <c r="G13" i="12" s="1"/>
  <c r="V63" i="36"/>
  <c r="T63" i="36"/>
  <c r="AX8" i="61"/>
  <c r="EX131" i="61" s="1"/>
  <c r="GI131" i="61" s="1"/>
  <c r="B8" i="6"/>
  <c r="AP8" i="6"/>
  <c r="C23" i="46"/>
  <c r="F49" i="33"/>
  <c r="J47" i="33"/>
  <c r="V48" i="33"/>
  <c r="T48" i="33"/>
  <c r="F140" i="26"/>
  <c r="H137" i="26"/>
  <c r="H140" i="26" s="1"/>
  <c r="T54" i="35"/>
  <c r="T55" i="35" s="1"/>
  <c r="X54" i="35" s="1"/>
  <c r="V54" i="35"/>
  <c r="V55" i="35" s="1"/>
  <c r="V149" i="26"/>
  <c r="T149" i="26"/>
  <c r="AT12" i="61"/>
  <c r="AP12" i="10"/>
  <c r="B12" i="10"/>
  <c r="C19" i="42"/>
  <c r="AE104" i="42" s="1"/>
  <c r="AG104" i="42" s="1"/>
  <c r="T53" i="34"/>
  <c r="V53" i="34"/>
  <c r="H148" i="39"/>
  <c r="T147" i="42"/>
  <c r="T150" i="42" s="1"/>
  <c r="X149" i="42" s="1"/>
  <c r="AB149" i="42" s="1"/>
  <c r="V147" i="42"/>
  <c r="V150" i="42" s="1"/>
  <c r="F142" i="26"/>
  <c r="H42" i="31"/>
  <c r="H62" i="35"/>
  <c r="AB11" i="19"/>
  <c r="AB16" i="19"/>
  <c r="X60" i="37"/>
  <c r="H148" i="43"/>
  <c r="T45" i="59"/>
  <c r="V45" i="59"/>
  <c r="V35" i="59"/>
  <c r="V36" i="59" s="1"/>
  <c r="H35" i="59" s="1"/>
  <c r="AB36" i="59" s="1"/>
  <c r="T35" i="59"/>
  <c r="T36" i="59" s="1"/>
  <c r="H34" i="59" s="1"/>
  <c r="AB35" i="59" s="1"/>
  <c r="V144" i="43"/>
  <c r="T144" i="43"/>
  <c r="V37" i="30"/>
  <c r="T37" i="30"/>
  <c r="F38" i="30"/>
  <c r="AE74" i="37"/>
  <c r="AG74" i="37" s="1"/>
  <c r="AE78" i="37"/>
  <c r="R64" i="37"/>
  <c r="R73" i="37"/>
  <c r="D74" i="37"/>
  <c r="D78" i="37"/>
  <c r="H148" i="26"/>
  <c r="H16" i="15"/>
  <c r="I16" i="15" s="1"/>
  <c r="D16" i="15"/>
  <c r="F16" i="15" s="1"/>
  <c r="G16" i="15" s="1"/>
  <c r="F147" i="44"/>
  <c r="AV4" i="3"/>
  <c r="BA5" i="61"/>
  <c r="B5" i="3"/>
  <c r="AP5" i="3"/>
  <c r="Y4" i="3" s="1"/>
  <c r="C26" i="49"/>
  <c r="AE59" i="34"/>
  <c r="AG59" i="34" s="1"/>
  <c r="AE63" i="34"/>
  <c r="R58" i="34"/>
  <c r="D59" i="34"/>
  <c r="R54" i="34"/>
  <c r="D63" i="34"/>
  <c r="F63" i="34" s="1"/>
  <c r="H63" i="34" s="1"/>
  <c r="R62" i="34"/>
  <c r="AG8" i="9"/>
  <c r="AG48" i="32"/>
  <c r="T142" i="49"/>
  <c r="T145" i="49" s="1"/>
  <c r="X144" i="49" s="1"/>
  <c r="AB144" i="49" s="1"/>
  <c r="V142" i="49"/>
  <c r="V145" i="49" s="1"/>
  <c r="AE90" i="41"/>
  <c r="AI89" i="41" s="1"/>
  <c r="AV8" i="7"/>
  <c r="AR134" i="34"/>
  <c r="X147" i="44"/>
  <c r="R149" i="44"/>
  <c r="AB10" i="53"/>
  <c r="AB9" i="53"/>
  <c r="AK39" i="33"/>
  <c r="AM39" i="33" s="1"/>
  <c r="AS39" i="33" s="1"/>
  <c r="Z39" i="33"/>
  <c r="L44" i="33"/>
  <c r="N44" i="33" s="1"/>
  <c r="AQ44" i="33" s="1"/>
  <c r="AR135" i="50"/>
  <c r="AR134" i="44"/>
  <c r="AR135" i="44"/>
  <c r="AF6" i="7"/>
  <c r="AR139" i="38"/>
  <c r="AA7" i="8"/>
  <c r="K150" i="45"/>
  <c r="K149" i="45"/>
  <c r="L150" i="45"/>
  <c r="L149" i="45"/>
  <c r="G147" i="45"/>
  <c r="D147" i="45"/>
  <c r="Z150" i="33"/>
  <c r="Z149" i="33"/>
  <c r="R147" i="33"/>
  <c r="Y150" i="33"/>
  <c r="Y149" i="33"/>
  <c r="T149" i="42"/>
  <c r="V149" i="42"/>
  <c r="V147" i="48"/>
  <c r="V150" i="48" s="1"/>
  <c r="T147" i="48"/>
  <c r="T150" i="48" s="1"/>
  <c r="X149" i="48" s="1"/>
  <c r="Z150" i="46"/>
  <c r="Z149" i="46"/>
  <c r="R147" i="46"/>
  <c r="Y150" i="46"/>
  <c r="Y149" i="46"/>
  <c r="H24" i="23"/>
  <c r="I24" i="23" s="1"/>
  <c r="D24" i="23"/>
  <c r="F24" i="23" s="1"/>
  <c r="G24" i="23" s="1"/>
  <c r="F162" i="59"/>
  <c r="H159" i="59"/>
  <c r="H162" i="59" s="1"/>
  <c r="AE84" i="39"/>
  <c r="AG84" i="39" s="1"/>
  <c r="AE88" i="39"/>
  <c r="R83" i="39"/>
  <c r="D84" i="39"/>
  <c r="V142" i="46"/>
  <c r="V145" i="46" s="1"/>
  <c r="T142" i="46"/>
  <c r="T145" i="46" s="1"/>
  <c r="X144" i="46" s="1"/>
  <c r="AB144" i="46" s="1"/>
  <c r="F140" i="43"/>
  <c r="H137" i="43"/>
  <c r="H140" i="43" s="1"/>
  <c r="R63" i="35"/>
  <c r="AE64" i="35"/>
  <c r="AG64" i="35" s="1"/>
  <c r="R59" i="35"/>
  <c r="AE68" i="35"/>
  <c r="D64" i="35"/>
  <c r="F64" i="35" s="1"/>
  <c r="H64" i="35" s="1"/>
  <c r="D73" i="35"/>
  <c r="F73" i="35" s="1"/>
  <c r="H73" i="35" s="1"/>
  <c r="R48" i="32"/>
  <c r="D49" i="32"/>
  <c r="AE53" i="32"/>
  <c r="AE49" i="32"/>
  <c r="AG49" i="32" s="1"/>
  <c r="R44" i="32"/>
  <c r="R52" i="32"/>
  <c r="D57" i="32"/>
  <c r="H142" i="29"/>
  <c r="H145" i="29" s="1"/>
  <c r="F145" i="29"/>
  <c r="G11" i="12"/>
  <c r="H14" i="13"/>
  <c r="I14" i="13" s="1"/>
  <c r="D14" i="13"/>
  <c r="F14" i="13" s="1"/>
  <c r="G14" i="13" s="1"/>
  <c r="V147" i="41"/>
  <c r="V150" i="41" s="1"/>
  <c r="T147" i="41"/>
  <c r="T150" i="41" s="1"/>
  <c r="X149" i="41" s="1"/>
  <c r="T149" i="36"/>
  <c r="V149" i="36"/>
  <c r="F147" i="34"/>
  <c r="J45" i="32"/>
  <c r="J44" i="32"/>
  <c r="AA12" i="13"/>
  <c r="AG12" i="13" s="1"/>
  <c r="H137" i="46"/>
  <c r="H140" i="46" s="1"/>
  <c r="F140" i="46"/>
  <c r="AV9" i="8"/>
  <c r="AR140" i="28"/>
  <c r="F147" i="40"/>
  <c r="AI85" i="41"/>
  <c r="AE34" i="29"/>
  <c r="D38" i="29"/>
  <c r="R33" i="29"/>
  <c r="AE38" i="29"/>
  <c r="D42" i="29"/>
  <c r="R37" i="29"/>
  <c r="V73" i="38"/>
  <c r="T73" i="38"/>
  <c r="AF7" i="10"/>
  <c r="AF8" i="10" s="1"/>
  <c r="AF9" i="10" s="1"/>
  <c r="AG83" i="39"/>
  <c r="V144" i="39"/>
  <c r="T144" i="39"/>
  <c r="Z150" i="49"/>
  <c r="Z149" i="49"/>
  <c r="R147" i="49"/>
  <c r="Y150" i="49"/>
  <c r="Y149" i="49"/>
  <c r="T149" i="41"/>
  <c r="V149" i="41"/>
  <c r="AG47" i="59"/>
  <c r="AG48" i="59" s="1"/>
  <c r="AK47" i="59" s="1"/>
  <c r="R46" i="59"/>
  <c r="AG52" i="59"/>
  <c r="D47" i="59"/>
  <c r="D52" i="59"/>
  <c r="F52" i="59" s="1"/>
  <c r="H52" i="59" s="1"/>
  <c r="Y1" i="17"/>
  <c r="AB12" i="17" s="1"/>
  <c r="Z59" i="38"/>
  <c r="AB59" i="38" s="1"/>
  <c r="L150" i="48"/>
  <c r="G147" i="48"/>
  <c r="K150" i="48"/>
  <c r="L149" i="48"/>
  <c r="D147" i="48"/>
  <c r="K149" i="48"/>
  <c r="V144" i="44"/>
  <c r="T144" i="44"/>
  <c r="H38" i="31"/>
  <c r="H40" i="31" s="1"/>
  <c r="F40" i="31"/>
  <c r="V142" i="37"/>
  <c r="V145" i="37" s="1"/>
  <c r="T142" i="37"/>
  <c r="T145" i="37" s="1"/>
  <c r="X144" i="37" s="1"/>
  <c r="AB144" i="37" s="1"/>
  <c r="H12" i="11"/>
  <c r="I12" i="11" s="1"/>
  <c r="D12" i="11"/>
  <c r="F12" i="11" s="1"/>
  <c r="G12" i="11" s="1"/>
  <c r="T149" i="47"/>
  <c r="V149" i="47"/>
  <c r="F47" i="31"/>
  <c r="AG43" i="31"/>
  <c r="X147" i="40"/>
  <c r="R149" i="40"/>
  <c r="H40" i="59"/>
  <c r="H42" i="59" s="1"/>
  <c r="F42" i="59"/>
  <c r="AV13" i="12"/>
  <c r="AV10" i="9"/>
  <c r="F64" i="36"/>
  <c r="J62" i="36"/>
  <c r="X147" i="37"/>
  <c r="R149" i="37"/>
  <c r="H5" i="4"/>
  <c r="I5" i="4" s="1"/>
  <c r="D5" i="4"/>
  <c r="F5" i="4" s="1"/>
  <c r="G5" i="4" s="1"/>
  <c r="V144" i="27"/>
  <c r="T144" i="27"/>
  <c r="AG53" i="33"/>
  <c r="T149" i="35"/>
  <c r="V149" i="35"/>
  <c r="F72" i="35"/>
  <c r="F59" i="35"/>
  <c r="J57" i="35"/>
  <c r="V88" i="41"/>
  <c r="T88" i="41"/>
  <c r="V144" i="49"/>
  <c r="T144" i="49"/>
  <c r="H142" i="28"/>
  <c r="H145" i="28" s="1"/>
  <c r="F145" i="28"/>
  <c r="G6" i="7"/>
  <c r="AR139" i="26"/>
  <c r="F62" i="34"/>
  <c r="F54" i="34"/>
  <c r="J52" i="34"/>
  <c r="F69" i="37"/>
  <c r="J67" i="37"/>
  <c r="F147" i="42"/>
  <c r="X147" i="34"/>
  <c r="R149" i="34"/>
  <c r="AG65" i="36"/>
  <c r="V149" i="48"/>
  <c r="T149" i="48"/>
  <c r="F147" i="31"/>
  <c r="V144" i="37"/>
  <c r="T144" i="37"/>
  <c r="H77" i="37"/>
  <c r="F142" i="30"/>
  <c r="AI41" i="59"/>
  <c r="AI42" i="59" s="1"/>
  <c r="AK42" i="59" s="1"/>
  <c r="AE41" i="59"/>
  <c r="F84" i="40"/>
  <c r="J82" i="40"/>
  <c r="Z150" i="43"/>
  <c r="Z149" i="43"/>
  <c r="R147" i="43"/>
  <c r="Y150" i="43"/>
  <c r="Y149" i="43"/>
  <c r="T33" i="30"/>
  <c r="V33" i="30"/>
  <c r="X147" i="50"/>
  <c r="R149" i="50"/>
  <c r="H17" i="16"/>
  <c r="I17" i="16" s="1"/>
  <c r="D17" i="16"/>
  <c r="F17" i="16" s="1"/>
  <c r="G17" i="16" s="1"/>
  <c r="F140" i="36"/>
  <c r="H137" i="36"/>
  <c r="H140" i="36" s="1"/>
  <c r="F142" i="48"/>
  <c r="J142" i="48"/>
  <c r="AO17" i="61"/>
  <c r="C14" i="37"/>
  <c r="R69" i="37" s="1"/>
  <c r="AP17" i="15"/>
  <c r="B17" i="15"/>
  <c r="X15" i="16"/>
  <c r="AA15" i="16"/>
  <c r="AV20" i="19"/>
  <c r="V147" i="26"/>
  <c r="V150" i="26" s="1"/>
  <c r="T147" i="26"/>
  <c r="T150" i="26" s="1"/>
  <c r="X149" i="26" s="1"/>
  <c r="AB149" i="26" s="1"/>
  <c r="L149" i="46"/>
  <c r="D147" i="46"/>
  <c r="K149" i="46"/>
  <c r="L150" i="46"/>
  <c r="G147" i="46"/>
  <c r="K150" i="46"/>
  <c r="AV6" i="5"/>
  <c r="D8" i="7"/>
  <c r="H8" i="7"/>
  <c r="I8" i="7" s="1"/>
  <c r="V144" i="50"/>
  <c r="T144" i="50"/>
  <c r="AR135" i="45"/>
  <c r="AF11" i="13"/>
  <c r="AB12" i="53"/>
  <c r="AB16" i="53"/>
  <c r="AB15" i="53"/>
  <c r="AB40" i="34"/>
  <c r="AR40" i="34" s="1"/>
  <c r="AT40" i="34" s="1"/>
  <c r="E6" i="34" s="1"/>
  <c r="AG13" i="14"/>
  <c r="AR140" i="36"/>
  <c r="AR139" i="36"/>
  <c r="AJ22" i="61"/>
  <c r="AP22" i="20"/>
  <c r="C9" i="32"/>
  <c r="R49" i="32" s="1"/>
  <c r="B22" i="20"/>
  <c r="H21" i="20"/>
  <c r="I21" i="20" s="1"/>
  <c r="D21" i="20"/>
  <c r="F21" i="20" s="1"/>
  <c r="G21" i="20" s="1"/>
  <c r="AV18" i="17"/>
  <c r="Y1" i="18"/>
  <c r="AB15" i="18" s="1"/>
  <c r="F147" i="35"/>
  <c r="X147" i="33"/>
  <c r="R149" i="33"/>
  <c r="F147" i="49"/>
  <c r="J147" i="49"/>
  <c r="I174" i="59"/>
  <c r="K174" i="59"/>
  <c r="L173" i="59"/>
  <c r="G171" i="59"/>
  <c r="K173" i="59"/>
  <c r="D171" i="59"/>
  <c r="L174" i="59"/>
  <c r="I173" i="59"/>
  <c r="F8" i="8"/>
  <c r="F145" i="33"/>
  <c r="H142" i="33"/>
  <c r="H145" i="33" s="1"/>
  <c r="Z150" i="27"/>
  <c r="Z149" i="27"/>
  <c r="R147" i="27"/>
  <c r="Y150" i="27"/>
  <c r="Y149" i="27"/>
  <c r="AG25" i="61"/>
  <c r="D268" i="66" s="1"/>
  <c r="B25" i="23"/>
  <c r="C6" i="29"/>
  <c r="AP25" i="23"/>
  <c r="AV15" i="14"/>
  <c r="X145" i="48"/>
  <c r="AB145" i="48" s="1"/>
  <c r="AR145" i="48" s="1"/>
  <c r="X75" i="40"/>
  <c r="V142" i="39"/>
  <c r="V145" i="39" s="1"/>
  <c r="T142" i="39"/>
  <c r="T145" i="39" s="1"/>
  <c r="X144" i="39" s="1"/>
  <c r="AB144" i="39" s="1"/>
  <c r="H19" i="18"/>
  <c r="I19" i="18" s="1"/>
  <c r="D19" i="18"/>
  <c r="F19" i="18" s="1"/>
  <c r="G19" i="18" s="1"/>
  <c r="AA4" i="4"/>
  <c r="AI23" i="61"/>
  <c r="C8" i="31"/>
  <c r="D53" i="31" s="1"/>
  <c r="F53" i="31" s="1"/>
  <c r="H53" i="31" s="1"/>
  <c r="B23" i="21"/>
  <c r="AP23" i="21"/>
  <c r="C8" i="59"/>
  <c r="F145" i="44"/>
  <c r="H142" i="44"/>
  <c r="H145" i="44" s="1"/>
  <c r="AQ15" i="61"/>
  <c r="B15" i="13"/>
  <c r="AP15" i="13"/>
  <c r="C16" i="39"/>
  <c r="AR140" i="31"/>
  <c r="H142" i="41"/>
  <c r="H145" i="41" s="1"/>
  <c r="F145" i="41"/>
  <c r="F147" i="38"/>
  <c r="J80" i="40"/>
  <c r="J79" i="40"/>
  <c r="X5" i="6"/>
  <c r="AA5" i="6"/>
  <c r="X4" i="6"/>
  <c r="H9" i="8"/>
  <c r="I9" i="8" s="1"/>
  <c r="D9" i="8"/>
  <c r="F9" i="8" s="1"/>
  <c r="G9" i="8" s="1"/>
  <c r="H142" i="47"/>
  <c r="H145" i="47" s="1"/>
  <c r="F145" i="47"/>
  <c r="L149" i="37"/>
  <c r="D147" i="37"/>
  <c r="K149" i="37"/>
  <c r="L150" i="37"/>
  <c r="G147" i="37"/>
  <c r="K150" i="37"/>
  <c r="V147" i="29"/>
  <c r="V150" i="29" s="1"/>
  <c r="T147" i="29"/>
  <c r="T150" i="29" s="1"/>
  <c r="X149" i="29" s="1"/>
  <c r="AB149" i="29" s="1"/>
  <c r="Y14" i="14"/>
  <c r="V142" i="40"/>
  <c r="V145" i="40" s="1"/>
  <c r="T142" i="40"/>
  <c r="T145" i="40" s="1"/>
  <c r="X144" i="40" s="1"/>
  <c r="AB144" i="40" s="1"/>
  <c r="D25" i="24"/>
  <c r="F25" i="24" s="1"/>
  <c r="G25" i="24" s="1"/>
  <c r="H25" i="24"/>
  <c r="I25" i="24" s="1"/>
  <c r="F78" i="38"/>
  <c r="V74" i="39"/>
  <c r="V75" i="39" s="1"/>
  <c r="T74" i="39"/>
  <c r="T75" i="39" s="1"/>
  <c r="X74" i="39" s="1"/>
  <c r="X147" i="45"/>
  <c r="R149" i="45"/>
  <c r="X147" i="49"/>
  <c r="R149" i="49"/>
  <c r="AE48" i="31"/>
  <c r="D44" i="31"/>
  <c r="F44" i="31" s="1"/>
  <c r="H44" i="31" s="1"/>
  <c r="R43" i="31"/>
  <c r="AE44" i="31"/>
  <c r="AG44" i="31" s="1"/>
  <c r="R39" i="31"/>
  <c r="D48" i="31"/>
  <c r="F48" i="31" s="1"/>
  <c r="H48" i="31" s="1"/>
  <c r="AF15" i="17"/>
  <c r="AF16" i="17" s="1"/>
  <c r="AI1" i="17"/>
  <c r="H148" i="48"/>
  <c r="T142" i="33"/>
  <c r="T145" i="33" s="1"/>
  <c r="X144" i="33" s="1"/>
  <c r="AB144" i="33" s="1"/>
  <c r="V142" i="33"/>
  <c r="V145" i="33" s="1"/>
  <c r="V149" i="30"/>
  <c r="T149" i="30"/>
  <c r="H47" i="32"/>
  <c r="AA11" i="12"/>
  <c r="AG11" i="12" s="1"/>
  <c r="AS13" i="61"/>
  <c r="B13" i="11"/>
  <c r="AP13" i="11"/>
  <c r="C18" i="41"/>
  <c r="T42" i="31"/>
  <c r="V42" i="31"/>
  <c r="T34" i="31"/>
  <c r="T35" i="31" s="1"/>
  <c r="X34" i="31" s="1"/>
  <c r="AB34" i="31" s="1"/>
  <c r="V34" i="31"/>
  <c r="V35" i="31" s="1"/>
  <c r="X35" i="31" s="1"/>
  <c r="AB35" i="31" s="1"/>
  <c r="Z150" i="40"/>
  <c r="Z149" i="40"/>
  <c r="R147" i="40"/>
  <c r="Y150" i="40"/>
  <c r="Y149" i="40"/>
  <c r="V144" i="40"/>
  <c r="T144" i="40"/>
  <c r="AR14" i="61"/>
  <c r="C17" i="40"/>
  <c r="AE98" i="40" s="1"/>
  <c r="AP14" i="12"/>
  <c r="B14" i="12"/>
  <c r="T149" i="38"/>
  <c r="V149" i="38"/>
  <c r="H10" i="9"/>
  <c r="I10" i="9" s="1"/>
  <c r="D10" i="9"/>
  <c r="F10" i="9" s="1"/>
  <c r="G10" i="9" s="1"/>
  <c r="V59" i="36"/>
  <c r="V60" i="36" s="1"/>
  <c r="T59" i="36"/>
  <c r="T60" i="36" s="1"/>
  <c r="X59" i="36" s="1"/>
  <c r="J89" i="42"/>
  <c r="J90" i="42"/>
  <c r="AV7" i="6"/>
  <c r="Z150" i="37"/>
  <c r="Z149" i="37"/>
  <c r="R147" i="37"/>
  <c r="Y150" i="37"/>
  <c r="Y149" i="37"/>
  <c r="AZ6" i="61"/>
  <c r="AP6" i="4"/>
  <c r="Y5" i="4" s="1"/>
  <c r="C25" i="48"/>
  <c r="B6" i="4"/>
  <c r="T52" i="33"/>
  <c r="V52" i="33"/>
  <c r="H137" i="45"/>
  <c r="H140" i="45" s="1"/>
  <c r="F140" i="45"/>
  <c r="V62" i="35"/>
  <c r="T62" i="35"/>
  <c r="AG63" i="35"/>
  <c r="F89" i="41"/>
  <c r="J87" i="41"/>
  <c r="AG10" i="12"/>
  <c r="AV11" i="10"/>
  <c r="H142" i="50"/>
  <c r="H145" i="50" s="1"/>
  <c r="J145" i="50" s="1"/>
  <c r="N145" i="50" s="1"/>
  <c r="AQ145" i="50" s="1"/>
  <c r="F145" i="50"/>
  <c r="J144" i="50" s="1"/>
  <c r="N144" i="50" s="1"/>
  <c r="AQ144" i="50" s="1"/>
  <c r="F4" i="4"/>
  <c r="F147" i="27"/>
  <c r="V57" i="34"/>
  <c r="T57" i="34"/>
  <c r="AG58" i="34"/>
  <c r="T68" i="37"/>
  <c r="V68" i="37"/>
  <c r="Z150" i="34"/>
  <c r="Z149" i="34"/>
  <c r="R147" i="34"/>
  <c r="Y150" i="34"/>
  <c r="Y149" i="34"/>
  <c r="AE65" i="36"/>
  <c r="AI64" i="36" s="1"/>
  <c r="AI50" i="34"/>
  <c r="H142" i="32"/>
  <c r="H145" i="32" s="1"/>
  <c r="F145" i="32"/>
  <c r="AB9" i="19"/>
  <c r="Y11" i="11"/>
  <c r="T40" i="59"/>
  <c r="V40" i="59"/>
  <c r="T83" i="40"/>
  <c r="T85" i="40" s="1"/>
  <c r="X84" i="40" s="1"/>
  <c r="V83" i="40"/>
  <c r="R149" i="43"/>
  <c r="X147" i="43"/>
  <c r="AF8" i="11"/>
  <c r="AF9" i="11" s="1"/>
  <c r="AF10" i="11" s="1"/>
  <c r="AG34" i="30"/>
  <c r="AG35" i="30" s="1"/>
  <c r="AE35" i="30"/>
  <c r="AI34" i="30" s="1"/>
  <c r="AM34" i="30" s="1"/>
  <c r="AS34" i="30" s="1"/>
  <c r="Z150" i="50"/>
  <c r="Z149" i="50"/>
  <c r="R147" i="50"/>
  <c r="Y150" i="50"/>
  <c r="Y149" i="50"/>
  <c r="AN18" i="61"/>
  <c r="AP18" i="16"/>
  <c r="C13" i="36"/>
  <c r="B18" i="16"/>
  <c r="AE79" i="38"/>
  <c r="AG79" i="38" s="1"/>
  <c r="R78" i="38"/>
  <c r="D79" i="38"/>
  <c r="F79" i="38" s="1"/>
  <c r="H79" i="38" s="1"/>
  <c r="AE83" i="38"/>
  <c r="R74" i="38"/>
  <c r="Y9" i="9"/>
  <c r="F140" i="30"/>
  <c r="H137" i="30"/>
  <c r="H140" i="30" s="1"/>
  <c r="H4" i="3"/>
  <c r="I4" i="3" s="1"/>
  <c r="D4" i="3"/>
  <c r="T142" i="27"/>
  <c r="T145" i="27" s="1"/>
  <c r="X144" i="27" s="1"/>
  <c r="AB144" i="27" s="1"/>
  <c r="V142" i="27"/>
  <c r="V145" i="27" s="1"/>
  <c r="AV20" i="53"/>
  <c r="H20" i="19"/>
  <c r="I20" i="19" s="1"/>
  <c r="D20" i="19"/>
  <c r="F20" i="19" s="1"/>
  <c r="G20" i="19" s="1"/>
  <c r="H148" i="46"/>
  <c r="T43" i="32"/>
  <c r="V43" i="32"/>
  <c r="H6" i="5"/>
  <c r="I6" i="5" s="1"/>
  <c r="D6" i="5"/>
  <c r="AR134" i="43"/>
  <c r="AW9" i="61"/>
  <c r="C22" i="45"/>
  <c r="B9" i="7"/>
  <c r="AP9" i="7"/>
  <c r="T147" i="36"/>
  <c r="T150" i="36" s="1"/>
  <c r="X149" i="36" s="1"/>
  <c r="AB149" i="36" s="1"/>
  <c r="V147" i="36"/>
  <c r="V150" i="36" s="1"/>
  <c r="X11" i="13"/>
  <c r="AB11" i="53"/>
  <c r="AB14" i="53"/>
  <c r="AR139" i="30"/>
  <c r="AV21" i="20"/>
  <c r="AF15" i="18"/>
  <c r="AF16" i="18" s="1"/>
  <c r="AI1" i="18"/>
  <c r="Z150" i="31"/>
  <c r="Z149" i="31"/>
  <c r="Y149" i="31"/>
  <c r="Y150" i="31"/>
  <c r="R147" i="31"/>
  <c r="H142" i="42"/>
  <c r="H145" i="42" s="1"/>
  <c r="F145" i="42"/>
  <c r="AA4" i="5"/>
  <c r="X147" i="27"/>
  <c r="R149" i="27"/>
  <c r="F142" i="36"/>
  <c r="R34" i="30"/>
  <c r="D43" i="30"/>
  <c r="F43" i="30" s="1"/>
  <c r="H43" i="30" s="1"/>
  <c r="AE39" i="30"/>
  <c r="AG39" i="30" s="1"/>
  <c r="R38" i="30"/>
  <c r="AE43" i="30"/>
  <c r="D39" i="30"/>
  <c r="F39" i="30" s="1"/>
  <c r="H39" i="30" s="1"/>
  <c r="R42" i="30"/>
  <c r="D47" i="30"/>
  <c r="AP16" i="61"/>
  <c r="C15" i="38"/>
  <c r="AP16" i="14"/>
  <c r="B16" i="14"/>
  <c r="F140" i="48"/>
  <c r="H137" i="48"/>
  <c r="H140" i="48" s="1"/>
  <c r="F142" i="45"/>
  <c r="AA15" i="15"/>
  <c r="X15" i="15"/>
  <c r="AL20" i="61"/>
  <c r="D213" i="66" s="1"/>
  <c r="B20" i="18"/>
  <c r="C11" i="34"/>
  <c r="AP20" i="18"/>
  <c r="AV22" i="21"/>
  <c r="V142" i="50"/>
  <c r="V145" i="50" s="1"/>
  <c r="T142" i="50"/>
  <c r="T145" i="50" s="1"/>
  <c r="X144" i="50" s="1"/>
  <c r="AB144" i="50" s="1"/>
  <c r="AE89" i="40"/>
  <c r="AG89" i="40" s="1"/>
  <c r="AE93" i="40"/>
  <c r="D89" i="40"/>
  <c r="R88" i="40"/>
  <c r="X147" i="28"/>
  <c r="R149" i="28"/>
  <c r="J145" i="49"/>
  <c r="N145" i="49" s="1"/>
  <c r="AQ145" i="49" s="1"/>
  <c r="F10" i="10"/>
  <c r="F142" i="37"/>
  <c r="T142" i="31"/>
  <c r="T145" i="31" s="1"/>
  <c r="X144" i="31" s="1"/>
  <c r="AB144" i="31" s="1"/>
  <c r="V142" i="31"/>
  <c r="V145" i="31" s="1"/>
  <c r="V144" i="33"/>
  <c r="T144" i="33"/>
  <c r="H72" i="36"/>
  <c r="AV10" i="61"/>
  <c r="AP10" i="8"/>
  <c r="B10" i="8"/>
  <c r="C21" i="44"/>
  <c r="V147" i="47"/>
  <c r="V150" i="47" s="1"/>
  <c r="T147" i="47"/>
  <c r="T150" i="47" s="1"/>
  <c r="X149" i="47" s="1"/>
  <c r="AB149" i="47" s="1"/>
  <c r="H57" i="34"/>
  <c r="AV25" i="24"/>
  <c r="F74" i="38"/>
  <c r="J72" i="38"/>
  <c r="T64" i="38"/>
  <c r="T65" i="38" s="1"/>
  <c r="X64" i="38" s="1"/>
  <c r="V64" i="38"/>
  <c r="V65" i="38" s="1"/>
  <c r="Y150" i="45"/>
  <c r="Y149" i="45"/>
  <c r="Z149" i="45"/>
  <c r="R147" i="45"/>
  <c r="Z150" i="45"/>
  <c r="J147" i="50"/>
  <c r="F147" i="50"/>
  <c r="H142" i="38"/>
  <c r="H145" i="38" s="1"/>
  <c r="F145" i="38"/>
  <c r="AV23" i="22"/>
  <c r="AB39" i="33"/>
  <c r="F142" i="39"/>
  <c r="Y8" i="8"/>
  <c r="X7" i="8" s="1"/>
  <c r="L150" i="30"/>
  <c r="G147" i="30"/>
  <c r="K150" i="30"/>
  <c r="L149" i="30"/>
  <c r="D147" i="30"/>
  <c r="K149" i="30"/>
  <c r="R149" i="39"/>
  <c r="X147" i="39"/>
  <c r="T149" i="29"/>
  <c r="V149" i="29"/>
  <c r="V38" i="31"/>
  <c r="T38" i="31"/>
  <c r="F147" i="32"/>
  <c r="AU11" i="61"/>
  <c r="C20" i="43"/>
  <c r="B11" i="9"/>
  <c r="AP11" i="9"/>
  <c r="T72" i="36"/>
  <c r="V72" i="36"/>
  <c r="AG68" i="36"/>
  <c r="H7" i="6"/>
  <c r="I7" i="6" s="1"/>
  <c r="D7" i="6"/>
  <c r="F7" i="6" s="1"/>
  <c r="G7" i="6" s="1"/>
  <c r="H137" i="37"/>
  <c r="H140" i="37" s="1"/>
  <c r="F140" i="37"/>
  <c r="AV5" i="4"/>
  <c r="AA7" i="7"/>
  <c r="F57" i="33"/>
  <c r="V44" i="33"/>
  <c r="V45" i="33" s="1"/>
  <c r="T44" i="33"/>
  <c r="T45" i="33" s="1"/>
  <c r="X44" i="33" s="1"/>
  <c r="V58" i="35"/>
  <c r="T58" i="35"/>
  <c r="AE95" i="41"/>
  <c r="AI94" i="41" s="1"/>
  <c r="AG93" i="41"/>
  <c r="AG95" i="41" s="1"/>
  <c r="H142" i="34"/>
  <c r="H145" i="34" s="1"/>
  <c r="F145" i="34"/>
  <c r="X10" i="12"/>
  <c r="H11" i="10"/>
  <c r="I11" i="10" s="1"/>
  <c r="D11" i="10"/>
  <c r="F11" i="10" s="1"/>
  <c r="G11" i="10" s="1"/>
  <c r="F142" i="43"/>
  <c r="AG73" i="37"/>
  <c r="J40" i="32"/>
  <c r="N40" i="32" s="1"/>
  <c r="AQ40" i="32" s="1"/>
  <c r="J39" i="32"/>
  <c r="N39" i="32" s="1"/>
  <c r="AQ39" i="32" s="1"/>
  <c r="AI80" i="40"/>
  <c r="V144" i="34"/>
  <c r="T144" i="34"/>
  <c r="V147" i="30"/>
  <c r="V150" i="30" s="1"/>
  <c r="T147" i="30"/>
  <c r="T150" i="30" s="1"/>
  <c r="X149" i="30" s="1"/>
  <c r="AB149" i="30" s="1"/>
  <c r="T142" i="44"/>
  <c r="T145" i="44" s="1"/>
  <c r="X144" i="44" s="1"/>
  <c r="AB144" i="44" s="1"/>
  <c r="V142" i="44"/>
  <c r="V145" i="44" s="1"/>
  <c r="L150" i="39"/>
  <c r="G147" i="39"/>
  <c r="K149" i="39"/>
  <c r="D147" i="39"/>
  <c r="K150" i="39"/>
  <c r="L149" i="39"/>
  <c r="J62" i="35"/>
  <c r="H74" i="39"/>
  <c r="H75" i="39" s="1"/>
  <c r="J75" i="39" s="1"/>
  <c r="F75" i="39"/>
  <c r="J74" i="39" s="1"/>
  <c r="F147" i="41"/>
  <c r="AD13" i="19"/>
  <c r="AD6" i="19"/>
  <c r="AB6" i="19" s="1"/>
  <c r="AD8" i="19"/>
  <c r="AB8" i="19" s="1"/>
  <c r="AD12" i="19"/>
  <c r="AD14" i="19"/>
  <c r="AD11" i="19"/>
  <c r="AD10" i="19"/>
  <c r="AD16" i="19"/>
  <c r="AD9" i="19"/>
  <c r="AD5" i="19"/>
  <c r="AB5" i="19" s="1"/>
  <c r="AD7" i="19"/>
  <c r="AB7" i="19" s="1"/>
  <c r="AD15" i="19"/>
  <c r="AD4" i="19"/>
  <c r="AB4" i="19" s="1"/>
  <c r="AB13" i="19"/>
  <c r="AB15" i="19"/>
  <c r="AB12" i="19"/>
  <c r="L150" i="43"/>
  <c r="G147" i="43"/>
  <c r="K150" i="43"/>
  <c r="L149" i="43"/>
  <c r="D147" i="43"/>
  <c r="K149" i="43"/>
  <c r="F51" i="59"/>
  <c r="AI46" i="59"/>
  <c r="AE46" i="59"/>
  <c r="AG88" i="40"/>
  <c r="F42" i="30"/>
  <c r="AG38" i="30"/>
  <c r="V142" i="28"/>
  <c r="V145" i="28" s="1"/>
  <c r="T142" i="28"/>
  <c r="T145" i="28" s="1"/>
  <c r="X144" i="28" s="1"/>
  <c r="AB144" i="28" s="1"/>
  <c r="F147" i="28"/>
  <c r="Y12" i="12"/>
  <c r="X11" i="12" s="1"/>
  <c r="AV17" i="16"/>
  <c r="L150" i="26"/>
  <c r="G147" i="26"/>
  <c r="K150" i="26"/>
  <c r="L149" i="26"/>
  <c r="D147" i="26"/>
  <c r="K149" i="26"/>
  <c r="X6" i="8"/>
  <c r="AV16" i="15"/>
  <c r="BB4" i="61"/>
  <c r="BC3" i="61"/>
  <c r="B4" i="2"/>
  <c r="AP4" i="2"/>
  <c r="C27" i="50"/>
  <c r="D20" i="53"/>
  <c r="F20" i="53" s="1"/>
  <c r="G20" i="53" s="1"/>
  <c r="H20" i="53"/>
  <c r="I20" i="53" s="1"/>
  <c r="AK21" i="61"/>
  <c r="AP21" i="19"/>
  <c r="C10" i="33"/>
  <c r="D67" i="33" s="1"/>
  <c r="F67" i="33" s="1"/>
  <c r="B21" i="19"/>
  <c r="AP21" i="53"/>
  <c r="B21" i="53"/>
  <c r="F147" i="47"/>
  <c r="F145" i="27"/>
  <c r="H142" i="27"/>
  <c r="H145" i="27" s="1"/>
  <c r="Y13" i="13"/>
  <c r="AF4" i="6"/>
  <c r="K150" i="36"/>
  <c r="K149" i="36"/>
  <c r="L150" i="36"/>
  <c r="G147" i="36"/>
  <c r="L149" i="36"/>
  <c r="D147" i="36"/>
  <c r="AG90" i="41"/>
  <c r="AI90" i="41" s="1"/>
  <c r="AY7" i="61"/>
  <c r="B7" i="5"/>
  <c r="C24" i="47"/>
  <c r="AP7" i="5"/>
  <c r="Y6" i="5" s="1"/>
  <c r="AF14" i="16"/>
  <c r="H142" i="35"/>
  <c r="H145" i="35" s="1"/>
  <c r="F145" i="35"/>
  <c r="Z150" i="44"/>
  <c r="Z149" i="44"/>
  <c r="R147" i="44"/>
  <c r="Y150" i="44"/>
  <c r="Y149" i="44"/>
  <c r="AD16" i="53"/>
  <c r="AD6" i="53"/>
  <c r="AD7" i="53"/>
  <c r="AB7" i="53" s="1"/>
  <c r="AD5" i="53"/>
  <c r="AB5" i="53" s="1"/>
  <c r="AD10" i="53"/>
  <c r="AD9" i="53"/>
  <c r="AD12" i="53"/>
  <c r="AD14" i="53"/>
  <c r="AD13" i="53"/>
  <c r="AD8" i="53"/>
  <c r="AB8" i="53" s="1"/>
  <c r="AD11" i="53"/>
  <c r="AD15" i="53"/>
  <c r="AD4" i="53"/>
  <c r="AB4" i="53" s="1"/>
  <c r="AB6" i="53"/>
  <c r="AB13" i="53"/>
  <c r="AK40" i="33"/>
  <c r="AM40" i="33" s="1"/>
  <c r="AS40" i="33" s="1"/>
  <c r="Z40" i="33"/>
  <c r="L45" i="33"/>
  <c r="N45" i="33" s="1"/>
  <c r="AQ45" i="33" s="1"/>
  <c r="AF14" i="15"/>
  <c r="L363" i="66" l="1"/>
  <c r="J102" i="43"/>
  <c r="Y7" i="6"/>
  <c r="D278" i="65"/>
  <c r="J278" i="66"/>
  <c r="B278" i="65" s="1"/>
  <c r="A194" i="66"/>
  <c r="AI115" i="46"/>
  <c r="AI130" i="49"/>
  <c r="J95" i="42"/>
  <c r="N95" i="42" s="1"/>
  <c r="AQ95" i="42" s="1"/>
  <c r="I236" i="66"/>
  <c r="B324" i="66"/>
  <c r="D194" i="65"/>
  <c r="I194" i="66"/>
  <c r="AE115" i="45"/>
  <c r="AI114" i="45" s="1"/>
  <c r="AI70" i="37"/>
  <c r="X4" i="5"/>
  <c r="Z64" i="41"/>
  <c r="AB64" i="41" s="1"/>
  <c r="J112" i="45"/>
  <c r="AK64" i="41"/>
  <c r="AM64" i="41" s="1"/>
  <c r="AS64" i="41" s="1"/>
  <c r="B245" i="66"/>
  <c r="AK64" i="42"/>
  <c r="AM64" i="42" s="1"/>
  <c r="AS64" i="42" s="1"/>
  <c r="Z64" i="42"/>
  <c r="AB64" i="42" s="1"/>
  <c r="D195" i="66"/>
  <c r="B195" i="66" s="1"/>
  <c r="L183" i="66"/>
  <c r="B268" i="66"/>
  <c r="A268" i="66"/>
  <c r="J170" i="66"/>
  <c r="B170" i="65" s="1"/>
  <c r="I170" i="66"/>
  <c r="D170" i="65"/>
  <c r="A170" i="65" s="1"/>
  <c r="D302" i="65"/>
  <c r="I302" i="66"/>
  <c r="J302" i="66"/>
  <c r="B302" i="65" s="1"/>
  <c r="D182" i="65"/>
  <c r="J182" i="66"/>
  <c r="B182" i="65" s="1"/>
  <c r="I182" i="66"/>
  <c r="L279" i="66"/>
  <c r="J279" i="66" s="1"/>
  <c r="B279" i="65" s="1"/>
  <c r="L243" i="66"/>
  <c r="D325" i="66"/>
  <c r="B325" i="66" s="1"/>
  <c r="L303" i="66"/>
  <c r="B190" i="66"/>
  <c r="A190" i="66"/>
  <c r="L237" i="66"/>
  <c r="I237" i="66" s="1"/>
  <c r="D191" i="66"/>
  <c r="D246" i="66"/>
  <c r="B246" i="66" s="1"/>
  <c r="D218" i="65"/>
  <c r="A218" i="65" s="1"/>
  <c r="I218" i="66"/>
  <c r="J218" i="66"/>
  <c r="B218" i="65" s="1"/>
  <c r="D242" i="65"/>
  <c r="A242" i="65" s="1"/>
  <c r="I242" i="66"/>
  <c r="J242" i="66"/>
  <c r="B242" i="65" s="1"/>
  <c r="B213" i="66"/>
  <c r="A213" i="66"/>
  <c r="D234" i="66"/>
  <c r="D202" i="66"/>
  <c r="L219" i="66"/>
  <c r="AK65" i="42"/>
  <c r="AM65" i="42" s="1"/>
  <c r="AS65" i="42" s="1"/>
  <c r="Z65" i="42"/>
  <c r="AB65" i="42" s="1"/>
  <c r="L70" i="42"/>
  <c r="N70" i="42" s="1"/>
  <c r="AQ70" i="42" s="1"/>
  <c r="AG115" i="45"/>
  <c r="L70" i="41"/>
  <c r="N70" i="41" s="1"/>
  <c r="AQ70" i="41" s="1"/>
  <c r="AK65" i="41"/>
  <c r="AM65" i="41" s="1"/>
  <c r="AS65" i="41" s="1"/>
  <c r="Z65" i="41"/>
  <c r="AB65" i="41" s="1"/>
  <c r="AR64" i="41" s="1"/>
  <c r="AT64" i="41" s="1"/>
  <c r="D11" i="41" s="1"/>
  <c r="AI110" i="45"/>
  <c r="X90" i="43"/>
  <c r="AP11" i="48"/>
  <c r="AR11" i="48" s="1"/>
  <c r="AL12" i="48" s="1"/>
  <c r="Z79" i="48"/>
  <c r="AB79" i="48" s="1"/>
  <c r="L84" i="48"/>
  <c r="N84" i="48" s="1"/>
  <c r="AQ84" i="48" s="1"/>
  <c r="AK79" i="48"/>
  <c r="AM79" i="48" s="1"/>
  <c r="AS79" i="48" s="1"/>
  <c r="AP15" i="48"/>
  <c r="AR15" i="48" s="1"/>
  <c r="Z80" i="48"/>
  <c r="AB80" i="48" s="1"/>
  <c r="AK80" i="48"/>
  <c r="AM80" i="48" s="1"/>
  <c r="AS80" i="48" s="1"/>
  <c r="AP16" i="48"/>
  <c r="AR16" i="48" s="1"/>
  <c r="L265" i="66"/>
  <c r="A168" i="66"/>
  <c r="B168" i="66"/>
  <c r="A246" i="66"/>
  <c r="AI135" i="49"/>
  <c r="AI145" i="49"/>
  <c r="X110" i="46"/>
  <c r="B207" i="66"/>
  <c r="A207" i="66"/>
  <c r="I279" i="66"/>
  <c r="D182" i="66"/>
  <c r="L195" i="66"/>
  <c r="X100" i="44"/>
  <c r="D169" i="66"/>
  <c r="L181" i="66"/>
  <c r="D208" i="66"/>
  <c r="L223" i="66"/>
  <c r="I363" i="66"/>
  <c r="D363" i="65"/>
  <c r="A363" i="65" s="1"/>
  <c r="J363" i="66"/>
  <c r="B363" i="65" s="1"/>
  <c r="D180" i="65"/>
  <c r="A180" i="65" s="1"/>
  <c r="J180" i="66"/>
  <c r="B180" i="65" s="1"/>
  <c r="I180" i="66"/>
  <c r="J264" i="66"/>
  <c r="B264" i="65" s="1"/>
  <c r="D264" i="65"/>
  <c r="I264" i="66"/>
  <c r="AE133" i="47"/>
  <c r="AE129" i="47"/>
  <c r="AG129" i="47" s="1"/>
  <c r="R133" i="47"/>
  <c r="AE139" i="47"/>
  <c r="AG139" i="47" s="1"/>
  <c r="R138" i="47"/>
  <c r="AE134" i="47"/>
  <c r="AG134" i="47" s="1"/>
  <c r="AE138" i="47"/>
  <c r="R128" i="47"/>
  <c r="D129" i="47"/>
  <c r="D134" i="47"/>
  <c r="R143" i="47"/>
  <c r="AE144" i="47"/>
  <c r="AG144" i="47" s="1"/>
  <c r="AE143" i="47"/>
  <c r="D139" i="47"/>
  <c r="R148" i="47"/>
  <c r="AE149" i="47"/>
  <c r="AG149" i="47" s="1"/>
  <c r="AE148" i="47"/>
  <c r="D144" i="47"/>
  <c r="D149" i="47"/>
  <c r="D368" i="66"/>
  <c r="L387" i="66"/>
  <c r="D178" i="66"/>
  <c r="L187" i="66"/>
  <c r="D118" i="44"/>
  <c r="F118" i="44" s="1"/>
  <c r="H118" i="44" s="1"/>
  <c r="R109" i="44"/>
  <c r="AE114" i="44"/>
  <c r="AG114" i="44" s="1"/>
  <c r="AE118" i="44"/>
  <c r="D114" i="44"/>
  <c r="F114" i="44" s="1"/>
  <c r="H114" i="44" s="1"/>
  <c r="R113" i="44"/>
  <c r="D311" i="66"/>
  <c r="R89" i="41"/>
  <c r="D103" i="41"/>
  <c r="F103" i="41" s="1"/>
  <c r="R102" i="41"/>
  <c r="D107" i="41"/>
  <c r="F107" i="41" s="1"/>
  <c r="R84" i="39"/>
  <c r="D98" i="39"/>
  <c r="F98" i="39" s="1"/>
  <c r="H98" i="39" s="1"/>
  <c r="R97" i="39"/>
  <c r="D102" i="39"/>
  <c r="F102" i="39" s="1"/>
  <c r="D121" i="66"/>
  <c r="L127" i="66"/>
  <c r="D425" i="66"/>
  <c r="L447" i="66"/>
  <c r="L347" i="66"/>
  <c r="J135" i="49"/>
  <c r="N135" i="49" s="1"/>
  <c r="AQ135" i="49" s="1"/>
  <c r="J134" i="49"/>
  <c r="N134" i="49" s="1"/>
  <c r="AQ134" i="49" s="1"/>
  <c r="V118" i="46"/>
  <c r="T118" i="46"/>
  <c r="V114" i="46"/>
  <c r="V115" i="46" s="1"/>
  <c r="T114" i="46"/>
  <c r="T115" i="46" s="1"/>
  <c r="X114" i="46" s="1"/>
  <c r="V99" i="43"/>
  <c r="V100" i="43" s="1"/>
  <c r="T99" i="43"/>
  <c r="F124" i="47"/>
  <c r="H124" i="47" s="1"/>
  <c r="J122" i="47"/>
  <c r="V108" i="44"/>
  <c r="T108" i="44"/>
  <c r="F113" i="44"/>
  <c r="H102" i="40"/>
  <c r="X115" i="47"/>
  <c r="J125" i="48"/>
  <c r="N125" i="48" s="1"/>
  <c r="AQ125" i="48" s="1"/>
  <c r="J124" i="48"/>
  <c r="N124" i="48" s="1"/>
  <c r="AQ124" i="48" s="1"/>
  <c r="AI115" i="45"/>
  <c r="B177" i="66"/>
  <c r="A177" i="66"/>
  <c r="AG118" i="45"/>
  <c r="B234" i="66"/>
  <c r="A234" i="66"/>
  <c r="AG125" i="47"/>
  <c r="F134" i="48"/>
  <c r="H134" i="48" s="1"/>
  <c r="J132" i="48"/>
  <c r="V138" i="48"/>
  <c r="T138" i="48"/>
  <c r="V133" i="48"/>
  <c r="T133" i="48"/>
  <c r="V102" i="42"/>
  <c r="T102" i="42"/>
  <c r="B139" i="66"/>
  <c r="A139" i="66"/>
  <c r="A386" i="66"/>
  <c r="B386" i="66"/>
  <c r="H97" i="39"/>
  <c r="AE130" i="48"/>
  <c r="AI129" i="48" s="1"/>
  <c r="D206" i="65"/>
  <c r="A206" i="65" s="1"/>
  <c r="I206" i="66"/>
  <c r="J206" i="66"/>
  <c r="B206" i="65" s="1"/>
  <c r="R87" i="38"/>
  <c r="D97" i="38"/>
  <c r="F97" i="38" s="1"/>
  <c r="L207" i="66"/>
  <c r="R123" i="46"/>
  <c r="AE128" i="46"/>
  <c r="D124" i="46"/>
  <c r="AE124" i="46"/>
  <c r="AG124" i="46" s="1"/>
  <c r="AE108" i="42"/>
  <c r="AG108" i="42" s="1"/>
  <c r="D104" i="42"/>
  <c r="J102" i="42" s="1"/>
  <c r="AK74" i="46"/>
  <c r="AM74" i="46" s="1"/>
  <c r="AS74" i="46" s="1"/>
  <c r="AB22" i="46"/>
  <c r="AD22" i="46" s="1"/>
  <c r="X24" i="46" s="1"/>
  <c r="L8" i="46" s="1"/>
  <c r="AP74" i="46" s="1"/>
  <c r="AT74" i="46" s="1"/>
  <c r="D13" i="46" s="1"/>
  <c r="L79" i="46"/>
  <c r="N79" i="46" s="1"/>
  <c r="AQ79" i="46" s="1"/>
  <c r="Z74" i="46"/>
  <c r="AB74" i="46" s="1"/>
  <c r="AP5" i="46"/>
  <c r="AR5" i="46" s="1"/>
  <c r="H119" i="47"/>
  <c r="H120" i="47" s="1"/>
  <c r="J120" i="47" s="1"/>
  <c r="F120" i="47"/>
  <c r="J119" i="47" s="1"/>
  <c r="J114" i="46"/>
  <c r="J115" i="46"/>
  <c r="H109" i="45"/>
  <c r="H110" i="45" s="1"/>
  <c r="J110" i="45" s="1"/>
  <c r="F110" i="45"/>
  <c r="J109" i="45" s="1"/>
  <c r="F105" i="43"/>
  <c r="J104" i="43" s="1"/>
  <c r="H112" i="43"/>
  <c r="AG128" i="47"/>
  <c r="F109" i="44"/>
  <c r="J107" i="44"/>
  <c r="T112" i="44"/>
  <c r="V112" i="44"/>
  <c r="D466" i="65"/>
  <c r="A466" i="65" s="1"/>
  <c r="I466" i="66"/>
  <c r="J466" i="66"/>
  <c r="B466" i="65" s="1"/>
  <c r="D166" i="65"/>
  <c r="A166" i="65" s="1"/>
  <c r="J166" i="66"/>
  <c r="B166" i="65" s="1"/>
  <c r="I166" i="66"/>
  <c r="V109" i="45"/>
  <c r="V110" i="45" s="1"/>
  <c r="T109" i="45"/>
  <c r="T110" i="45" s="1"/>
  <c r="X109" i="45" s="1"/>
  <c r="D386" i="65"/>
  <c r="A386" i="65" s="1"/>
  <c r="I386" i="66"/>
  <c r="J386" i="66"/>
  <c r="B386" i="65" s="1"/>
  <c r="F120" i="46"/>
  <c r="V143" i="48"/>
  <c r="T143" i="48"/>
  <c r="T128" i="48"/>
  <c r="V128" i="48"/>
  <c r="AE140" i="48"/>
  <c r="AI139" i="48" s="1"/>
  <c r="AG138" i="48"/>
  <c r="AG140" i="48" s="1"/>
  <c r="H103" i="42"/>
  <c r="T87" i="39"/>
  <c r="V87" i="39"/>
  <c r="AG130" i="48"/>
  <c r="D486" i="65"/>
  <c r="A486" i="65" s="1"/>
  <c r="J486" i="66"/>
  <c r="B486" i="65" s="1"/>
  <c r="I486" i="66"/>
  <c r="B310" i="66"/>
  <c r="A310" i="66"/>
  <c r="R114" i="45"/>
  <c r="AE119" i="45"/>
  <c r="AG119" i="45" s="1"/>
  <c r="D119" i="45"/>
  <c r="F119" i="45" s="1"/>
  <c r="H119" i="45" s="1"/>
  <c r="R118" i="45"/>
  <c r="AE123" i="45"/>
  <c r="D406" i="66"/>
  <c r="L427" i="66"/>
  <c r="D444" i="66"/>
  <c r="L467" i="66"/>
  <c r="R99" i="42"/>
  <c r="D108" i="42"/>
  <c r="F108" i="42" s="1"/>
  <c r="H108" i="42" s="1"/>
  <c r="R107" i="42"/>
  <c r="D112" i="42"/>
  <c r="F112" i="42" s="1"/>
  <c r="D463" i="66"/>
  <c r="L487" i="66"/>
  <c r="H99" i="43"/>
  <c r="H100" i="43" s="1"/>
  <c r="F100" i="43"/>
  <c r="T100" i="43"/>
  <c r="X99" i="43" s="1"/>
  <c r="R103" i="42"/>
  <c r="J129" i="49"/>
  <c r="N129" i="49" s="1"/>
  <c r="AQ129" i="49" s="1"/>
  <c r="J130" i="49"/>
  <c r="N130" i="49" s="1"/>
  <c r="AQ130" i="49" s="1"/>
  <c r="H105" i="43"/>
  <c r="J105" i="43" s="1"/>
  <c r="AG123" i="46"/>
  <c r="AG125" i="46" s="1"/>
  <c r="V107" i="43"/>
  <c r="T107" i="43"/>
  <c r="AG109" i="44"/>
  <c r="AG110" i="44" s="1"/>
  <c r="AE110" i="44"/>
  <c r="AI109" i="44" s="1"/>
  <c r="F117" i="44"/>
  <c r="B443" i="66"/>
  <c r="A443" i="66"/>
  <c r="AI125" i="48"/>
  <c r="D126" i="65"/>
  <c r="A126" i="65" s="1"/>
  <c r="J126" i="66"/>
  <c r="B126" i="65" s="1"/>
  <c r="I126" i="66"/>
  <c r="D106" i="65"/>
  <c r="A106" i="65" s="1"/>
  <c r="I106" i="66"/>
  <c r="J106" i="66"/>
  <c r="B106" i="65" s="1"/>
  <c r="B158" i="66"/>
  <c r="A158" i="66"/>
  <c r="D426" i="65"/>
  <c r="A426" i="65" s="1"/>
  <c r="J426" i="66"/>
  <c r="B426" i="65" s="1"/>
  <c r="I426" i="66"/>
  <c r="T113" i="45"/>
  <c r="V113" i="45"/>
  <c r="A367" i="66"/>
  <c r="B367" i="66"/>
  <c r="H120" i="46"/>
  <c r="AG120" i="46"/>
  <c r="F139" i="48"/>
  <c r="H139" i="48" s="1"/>
  <c r="J137" i="48"/>
  <c r="J139" i="48" s="1"/>
  <c r="N139" i="48" s="1"/>
  <c r="AQ139" i="48" s="1"/>
  <c r="AG148" i="48"/>
  <c r="AG150" i="48" s="1"/>
  <c r="AE150" i="48"/>
  <c r="AI149" i="48" s="1"/>
  <c r="AG143" i="48"/>
  <c r="AG145" i="48" s="1"/>
  <c r="AE145" i="48"/>
  <c r="AI144" i="48" s="1"/>
  <c r="V89" i="42"/>
  <c r="V90" i="42" s="1"/>
  <c r="T89" i="42"/>
  <c r="T90" i="42" s="1"/>
  <c r="X89" i="42" s="1"/>
  <c r="D446" i="65"/>
  <c r="A446" i="65" s="1"/>
  <c r="J446" i="66"/>
  <c r="B446" i="65" s="1"/>
  <c r="I446" i="66"/>
  <c r="AI150" i="49"/>
  <c r="B462" i="66"/>
  <c r="A462" i="66"/>
  <c r="R104" i="43"/>
  <c r="D113" i="43"/>
  <c r="R112" i="43"/>
  <c r="D117" i="43"/>
  <c r="R108" i="43"/>
  <c r="AE109" i="43"/>
  <c r="D109" i="43"/>
  <c r="AE113" i="43"/>
  <c r="D159" i="66"/>
  <c r="L167" i="66"/>
  <c r="D140" i="66"/>
  <c r="L147" i="66"/>
  <c r="L227" i="66"/>
  <c r="D254" i="66"/>
  <c r="D387" i="66"/>
  <c r="L407" i="66"/>
  <c r="D482" i="66"/>
  <c r="L507" i="66"/>
  <c r="H113" i="45"/>
  <c r="H115" i="45" s="1"/>
  <c r="J115" i="45" s="1"/>
  <c r="F115" i="45"/>
  <c r="J114" i="45" s="1"/>
  <c r="T123" i="47"/>
  <c r="V123" i="47"/>
  <c r="AG113" i="44"/>
  <c r="AG115" i="44" s="1"/>
  <c r="V104" i="44"/>
  <c r="V105" i="44" s="1"/>
  <c r="T104" i="44"/>
  <c r="T105" i="44" s="1"/>
  <c r="X104" i="44" s="1"/>
  <c r="V97" i="40"/>
  <c r="T97" i="40"/>
  <c r="AI140" i="49"/>
  <c r="A120" i="66"/>
  <c r="B120" i="66"/>
  <c r="D186" i="65"/>
  <c r="A186" i="65" s="1"/>
  <c r="J186" i="66"/>
  <c r="B186" i="65" s="1"/>
  <c r="I186" i="66"/>
  <c r="B101" i="66"/>
  <c r="A101" i="66"/>
  <c r="B405" i="66"/>
  <c r="A405" i="66"/>
  <c r="AE125" i="47"/>
  <c r="AI124" i="47" s="1"/>
  <c r="H117" i="45"/>
  <c r="H120" i="45" s="1"/>
  <c r="F120" i="45"/>
  <c r="AE120" i="46"/>
  <c r="AI119" i="46" s="1"/>
  <c r="V148" i="48"/>
  <c r="T148" i="48"/>
  <c r="F129" i="48"/>
  <c r="H129" i="48" s="1"/>
  <c r="J127" i="48"/>
  <c r="AG133" i="48"/>
  <c r="AG135" i="48" s="1"/>
  <c r="AE135" i="48"/>
  <c r="AI134" i="48" s="1"/>
  <c r="H107" i="42"/>
  <c r="D146" i="65"/>
  <c r="A146" i="65" s="1"/>
  <c r="J146" i="66"/>
  <c r="B146" i="65" s="1"/>
  <c r="I146" i="66"/>
  <c r="D406" i="65"/>
  <c r="A406" i="65" s="1"/>
  <c r="J406" i="66"/>
  <c r="B406" i="65" s="1"/>
  <c r="I406" i="66"/>
  <c r="J139" i="49"/>
  <c r="N139" i="49" s="1"/>
  <c r="AQ139" i="49" s="1"/>
  <c r="B424" i="66"/>
  <c r="A424" i="66"/>
  <c r="J117" i="46"/>
  <c r="X105" i="45"/>
  <c r="AP11" i="42"/>
  <c r="AR11" i="42" s="1"/>
  <c r="AL12" i="42" s="1"/>
  <c r="L10" i="42" s="1"/>
  <c r="AP64" i="42" s="1"/>
  <c r="AP50" i="45"/>
  <c r="AT50" i="45" s="1"/>
  <c r="E8" i="45" s="1"/>
  <c r="AP49" i="45"/>
  <c r="AT49" i="45" s="1"/>
  <c r="D8" i="45" s="1"/>
  <c r="X25" i="43"/>
  <c r="L9" i="43" s="1"/>
  <c r="AP65" i="43" s="1"/>
  <c r="A155" i="65"/>
  <c r="A194" i="65"/>
  <c r="X24" i="43"/>
  <c r="L8" i="43" s="1"/>
  <c r="AP64" i="43" s="1"/>
  <c r="T93" i="41"/>
  <c r="T50" i="33"/>
  <c r="X49" i="33" s="1"/>
  <c r="T39" i="32"/>
  <c r="T40" i="32" s="1"/>
  <c r="X39" i="32" s="1"/>
  <c r="X40" i="32" s="1"/>
  <c r="N60" i="36"/>
  <c r="AQ60" i="36" s="1"/>
  <c r="AG70" i="36"/>
  <c r="V85" i="40"/>
  <c r="X85" i="40" s="1"/>
  <c r="H27" i="25"/>
  <c r="I27" i="25" s="1"/>
  <c r="D27" i="25"/>
  <c r="F27" i="25" s="1"/>
  <c r="G27" i="25" s="1"/>
  <c r="AV27" i="25"/>
  <c r="V32" i="28"/>
  <c r="T32" i="28"/>
  <c r="AE33" i="27"/>
  <c r="AG33" i="27" s="1"/>
  <c r="R32" i="27"/>
  <c r="D37" i="27"/>
  <c r="F37" i="27" s="1"/>
  <c r="H37" i="27" s="1"/>
  <c r="AP28" i="25"/>
  <c r="C4" i="26"/>
  <c r="B28" i="25"/>
  <c r="AR140" i="45"/>
  <c r="J79" i="39"/>
  <c r="AE70" i="36"/>
  <c r="AI69" i="36" s="1"/>
  <c r="AR140" i="43"/>
  <c r="J80" i="39"/>
  <c r="AI60" i="35"/>
  <c r="AM60" i="35" s="1"/>
  <c r="AS60" i="35" s="1"/>
  <c r="AG90" i="40"/>
  <c r="AE90" i="40"/>
  <c r="AI89" i="40" s="1"/>
  <c r="AI90" i="40" s="1"/>
  <c r="AR50" i="36"/>
  <c r="AR64" i="43"/>
  <c r="AR65" i="43"/>
  <c r="AR64" i="42"/>
  <c r="AR65" i="42"/>
  <c r="AA10" i="10"/>
  <c r="AG10" i="10" s="1"/>
  <c r="N54" i="35"/>
  <c r="AQ54" i="35" s="1"/>
  <c r="AR140" i="37"/>
  <c r="Y11" i="10"/>
  <c r="X10" i="10" s="1"/>
  <c r="C34" i="59"/>
  <c r="N41" i="59" s="1"/>
  <c r="AS41" i="59" s="1"/>
  <c r="AK59" i="38"/>
  <c r="AM59" i="38" s="1"/>
  <c r="AS59" i="38" s="1"/>
  <c r="J42" i="31"/>
  <c r="D94" i="40"/>
  <c r="J92" i="40" s="1"/>
  <c r="AE94" i="40"/>
  <c r="AG94" i="40" s="1"/>
  <c r="AG60" i="34"/>
  <c r="AR145" i="29"/>
  <c r="AE60" i="34"/>
  <c r="AI59" i="34" s="1"/>
  <c r="V50" i="33"/>
  <c r="AI85" i="40"/>
  <c r="N55" i="35"/>
  <c r="AQ55" i="35" s="1"/>
  <c r="C35" i="59"/>
  <c r="N42" i="59" s="1"/>
  <c r="AS42" i="59" s="1"/>
  <c r="D77" i="35"/>
  <c r="F77" i="35" s="1"/>
  <c r="J92" i="41"/>
  <c r="J94" i="41" s="1"/>
  <c r="N94" i="41" s="1"/>
  <c r="AQ94" i="41" s="1"/>
  <c r="R93" i="40"/>
  <c r="V93" i="40" s="1"/>
  <c r="AT168" i="59"/>
  <c r="AR144" i="35"/>
  <c r="AI50" i="33"/>
  <c r="AI80" i="39"/>
  <c r="AI105" i="43"/>
  <c r="X80" i="40"/>
  <c r="X70" i="38"/>
  <c r="R41" i="59"/>
  <c r="T41" i="59" s="1"/>
  <c r="T42" i="59" s="1"/>
  <c r="X41" i="59" s="1"/>
  <c r="D58" i="59"/>
  <c r="F58" i="59" s="1"/>
  <c r="Z50" i="34"/>
  <c r="AB50" i="34" s="1"/>
  <c r="L55" i="34"/>
  <c r="AI100" i="43"/>
  <c r="H87" i="38"/>
  <c r="V77" i="37"/>
  <c r="T77" i="37"/>
  <c r="H53" i="32"/>
  <c r="V67" i="35"/>
  <c r="T67" i="35"/>
  <c r="H52" i="30"/>
  <c r="F104" i="42"/>
  <c r="H104" i="42" s="1"/>
  <c r="H67" i="33"/>
  <c r="D68" i="34"/>
  <c r="F68" i="34" s="1"/>
  <c r="R67" i="34"/>
  <c r="R79" i="38"/>
  <c r="D88" i="38"/>
  <c r="F88" i="38" s="1"/>
  <c r="H88" i="38" s="1"/>
  <c r="R77" i="36"/>
  <c r="D82" i="36"/>
  <c r="F82" i="36" s="1"/>
  <c r="AE99" i="41"/>
  <c r="AE103" i="41"/>
  <c r="D99" i="41"/>
  <c r="R98" i="41"/>
  <c r="T84" i="39"/>
  <c r="V84" i="39"/>
  <c r="H84" i="40"/>
  <c r="H85" i="40" s="1"/>
  <c r="F85" i="40"/>
  <c r="H54" i="34"/>
  <c r="H55" i="34" s="1"/>
  <c r="J55" i="34" s="1"/>
  <c r="F55" i="34"/>
  <c r="J54" i="34" s="1"/>
  <c r="D72" i="34"/>
  <c r="F72" i="34" s="1"/>
  <c r="AR140" i="50"/>
  <c r="J99" i="43"/>
  <c r="J100" i="43"/>
  <c r="V82" i="38"/>
  <c r="T82" i="38"/>
  <c r="V69" i="37"/>
  <c r="V70" i="37" s="1"/>
  <c r="T69" i="37"/>
  <c r="T70" i="37" s="1"/>
  <c r="X69" i="37" s="1"/>
  <c r="H68" i="35"/>
  <c r="V47" i="30"/>
  <c r="T47" i="30"/>
  <c r="V98" i="42"/>
  <c r="T98" i="42"/>
  <c r="V103" i="42"/>
  <c r="T103" i="42"/>
  <c r="AG99" i="42"/>
  <c r="AG100" i="42" s="1"/>
  <c r="AE100" i="42"/>
  <c r="AI99" i="42" s="1"/>
  <c r="T49" i="32"/>
  <c r="V49" i="32"/>
  <c r="AR50" i="35"/>
  <c r="AR49" i="35"/>
  <c r="H89" i="41"/>
  <c r="H90" i="41" s="1"/>
  <c r="F90" i="41"/>
  <c r="J89" i="41" s="1"/>
  <c r="R47" i="29"/>
  <c r="D52" i="29"/>
  <c r="F52" i="29" s="1"/>
  <c r="D83" i="37"/>
  <c r="F83" i="37" s="1"/>
  <c r="H83" i="37" s="1"/>
  <c r="R82" i="37"/>
  <c r="D87" i="37"/>
  <c r="F87" i="37" s="1"/>
  <c r="H69" i="37"/>
  <c r="H70" i="37" s="1"/>
  <c r="J70" i="37" s="1"/>
  <c r="F70" i="37"/>
  <c r="H82" i="37"/>
  <c r="V79" i="39"/>
  <c r="V80" i="39" s="1"/>
  <c r="T79" i="39"/>
  <c r="T80" i="39" s="1"/>
  <c r="X79" i="39" s="1"/>
  <c r="AG103" i="42"/>
  <c r="AG105" i="42" s="1"/>
  <c r="AE105" i="42"/>
  <c r="AI104" i="42" s="1"/>
  <c r="F99" i="42"/>
  <c r="J97" i="42"/>
  <c r="Z55" i="36"/>
  <c r="AB55" i="36" s="1"/>
  <c r="AG75" i="37"/>
  <c r="AE75" i="37"/>
  <c r="AI74" i="37" s="1"/>
  <c r="Z60" i="38"/>
  <c r="AB60" i="38" s="1"/>
  <c r="AR60" i="38" s="1"/>
  <c r="AT60" i="38" s="1"/>
  <c r="E10" i="38" s="1"/>
  <c r="L70" i="38" s="1"/>
  <c r="N70" i="38" s="1"/>
  <c r="AQ70" i="38" s="1"/>
  <c r="L65" i="38"/>
  <c r="N65" i="38" s="1"/>
  <c r="AQ65" i="38" s="1"/>
  <c r="AK55" i="35"/>
  <c r="AM55" i="35" s="1"/>
  <c r="AS55" i="35" s="1"/>
  <c r="Z55" i="35"/>
  <c r="L60" i="35"/>
  <c r="AT173" i="59"/>
  <c r="AG65" i="35"/>
  <c r="AR55" i="37"/>
  <c r="AT55" i="37" s="1"/>
  <c r="E9" i="37" s="1"/>
  <c r="Z60" i="37" s="1"/>
  <c r="AB60" i="37" s="1"/>
  <c r="AE55" i="33"/>
  <c r="AI54" i="33" s="1"/>
  <c r="J39" i="31"/>
  <c r="N39" i="31" s="1"/>
  <c r="AQ39" i="31" s="1"/>
  <c r="AR144" i="42"/>
  <c r="AE65" i="35"/>
  <c r="AI64" i="35" s="1"/>
  <c r="AG55" i="33"/>
  <c r="AI55" i="33" s="1"/>
  <c r="J40" i="31"/>
  <c r="N40" i="31" s="1"/>
  <c r="AQ40" i="31" s="1"/>
  <c r="AR140" i="27"/>
  <c r="AR139" i="34"/>
  <c r="AG40" i="30"/>
  <c r="AK55" i="36"/>
  <c r="AM55" i="36" s="1"/>
  <c r="AS55" i="36" s="1"/>
  <c r="L64" i="37"/>
  <c r="N64" i="37" s="1"/>
  <c r="AQ64" i="37" s="1"/>
  <c r="AK59" i="37"/>
  <c r="AM59" i="37" s="1"/>
  <c r="AS59" i="37" s="1"/>
  <c r="Z59" i="37"/>
  <c r="AB59" i="37" s="1"/>
  <c r="AR144" i="41"/>
  <c r="AR145" i="47"/>
  <c r="AI75" i="38"/>
  <c r="AT49" i="36"/>
  <c r="D8" i="36" s="1"/>
  <c r="AK54" i="36" s="1"/>
  <c r="AM54" i="36" s="1"/>
  <c r="AS54" i="36" s="1"/>
  <c r="AK54" i="35"/>
  <c r="AM54" i="35" s="1"/>
  <c r="AS54" i="35" s="1"/>
  <c r="Z54" i="35"/>
  <c r="AB54" i="35" s="1"/>
  <c r="L59" i="35"/>
  <c r="AK65" i="39"/>
  <c r="AM65" i="39" s="1"/>
  <c r="AS65" i="39" s="1"/>
  <c r="Z65" i="39"/>
  <c r="AB65" i="39" s="1"/>
  <c r="Z45" i="34"/>
  <c r="AB45" i="34" s="1"/>
  <c r="L50" i="34"/>
  <c r="N50" i="34" s="1"/>
  <c r="AQ50" i="34" s="1"/>
  <c r="AK45" i="34"/>
  <c r="AM45" i="34" s="1"/>
  <c r="AS45" i="34" s="1"/>
  <c r="AR139" i="33"/>
  <c r="AR44" i="35"/>
  <c r="AT44" i="35" s="1"/>
  <c r="D7" i="35" s="1"/>
  <c r="AK49" i="35" s="1"/>
  <c r="AM49" i="35" s="1"/>
  <c r="AS49" i="35" s="1"/>
  <c r="AR45" i="35"/>
  <c r="AT45" i="35" s="1"/>
  <c r="E7" i="35" s="1"/>
  <c r="AK50" i="35" s="1"/>
  <c r="AM50" i="35" s="1"/>
  <c r="AS50" i="35" s="1"/>
  <c r="AR45" i="36"/>
  <c r="AT45" i="36" s="1"/>
  <c r="E7" i="36" s="1"/>
  <c r="AK50" i="36" s="1"/>
  <c r="AM50" i="36" s="1"/>
  <c r="AS50" i="36" s="1"/>
  <c r="AR64" i="40"/>
  <c r="AT64" i="40" s="1"/>
  <c r="AR65" i="40"/>
  <c r="AT65" i="40" s="1"/>
  <c r="AK64" i="39"/>
  <c r="AM64" i="39" s="1"/>
  <c r="AS64" i="39" s="1"/>
  <c r="Z64" i="39"/>
  <c r="AB64" i="39" s="1"/>
  <c r="X55" i="35"/>
  <c r="AR139" i="40"/>
  <c r="Y10" i="9"/>
  <c r="AA10" i="9" s="1"/>
  <c r="AG10" i="9" s="1"/>
  <c r="X150" i="30"/>
  <c r="AB150" i="30" s="1"/>
  <c r="AR150" i="30" s="1"/>
  <c r="X145" i="34"/>
  <c r="AB145" i="34" s="1"/>
  <c r="X145" i="28"/>
  <c r="AB145" i="28" s="1"/>
  <c r="AR144" i="28" s="1"/>
  <c r="X145" i="43"/>
  <c r="AB145" i="43" s="1"/>
  <c r="AR145" i="43" s="1"/>
  <c r="X150" i="47"/>
  <c r="AB150" i="47" s="1"/>
  <c r="AR149" i="47" s="1"/>
  <c r="X150" i="42"/>
  <c r="AB150" i="42" s="1"/>
  <c r="AR150" i="42" s="1"/>
  <c r="X150" i="26"/>
  <c r="AB150" i="26" s="1"/>
  <c r="AR150" i="26" s="1"/>
  <c r="AR139" i="44"/>
  <c r="AI10" i="19"/>
  <c r="AB149" i="41"/>
  <c r="X150" i="41"/>
  <c r="AB150" i="41" s="1"/>
  <c r="X145" i="27"/>
  <c r="AB145" i="27" s="1"/>
  <c r="AR144" i="27" s="1"/>
  <c r="Y14" i="13"/>
  <c r="AA14" i="13" s="1"/>
  <c r="AG14" i="13" s="1"/>
  <c r="AE40" i="30"/>
  <c r="AI39" i="30" s="1"/>
  <c r="X45" i="33"/>
  <c r="X145" i="50"/>
  <c r="AB145" i="50" s="1"/>
  <c r="AR145" i="50" s="1"/>
  <c r="X145" i="49"/>
  <c r="AB145" i="49" s="1"/>
  <c r="AR145" i="49" s="1"/>
  <c r="X60" i="36"/>
  <c r="Y12" i="11"/>
  <c r="AA12" i="11" s="1"/>
  <c r="AG12" i="11" s="1"/>
  <c r="X145" i="33"/>
  <c r="AB145" i="33" s="1"/>
  <c r="AR144" i="33" s="1"/>
  <c r="AE85" i="39"/>
  <c r="AI84" i="39" s="1"/>
  <c r="AR144" i="36"/>
  <c r="AR139" i="39"/>
  <c r="AR140" i="46"/>
  <c r="AR145" i="26"/>
  <c r="X75" i="39"/>
  <c r="X145" i="45"/>
  <c r="AB145" i="45" s="1"/>
  <c r="AR144" i="45" s="1"/>
  <c r="AB12" i="18"/>
  <c r="AJ12" i="18" s="1"/>
  <c r="AB10" i="18"/>
  <c r="AJ10" i="18" s="1"/>
  <c r="AB9" i="18"/>
  <c r="AJ9" i="18" s="1"/>
  <c r="AB13" i="18"/>
  <c r="AI13" i="18" s="1"/>
  <c r="AB11" i="18"/>
  <c r="AJ11" i="18" s="1"/>
  <c r="AB16" i="18"/>
  <c r="AI16" i="18" s="1"/>
  <c r="AA6" i="5"/>
  <c r="AG6" i="5" s="1"/>
  <c r="X5" i="5"/>
  <c r="AI5" i="19"/>
  <c r="AJ5" i="19"/>
  <c r="AI8" i="53"/>
  <c r="AJ8" i="53"/>
  <c r="AJ4" i="19"/>
  <c r="AI4" i="19"/>
  <c r="X145" i="31"/>
  <c r="AB145" i="31" s="1"/>
  <c r="AR144" i="31" s="1"/>
  <c r="X150" i="36"/>
  <c r="AB150" i="36" s="1"/>
  <c r="AR149" i="36" s="1"/>
  <c r="X145" i="39"/>
  <c r="AB145" i="39" s="1"/>
  <c r="AR144" i="39" s="1"/>
  <c r="AJ4" i="53"/>
  <c r="AI4" i="53"/>
  <c r="AJ5" i="53"/>
  <c r="AI5" i="53"/>
  <c r="AJ8" i="19"/>
  <c r="AI8" i="19"/>
  <c r="X145" i="44"/>
  <c r="AB145" i="44" s="1"/>
  <c r="AR145" i="44" s="1"/>
  <c r="AR34" i="31"/>
  <c r="AT34" i="31" s="1"/>
  <c r="D5" i="31" s="1"/>
  <c r="AR35" i="31"/>
  <c r="AT35" i="31" s="1"/>
  <c r="E5" i="31" s="1"/>
  <c r="X150" i="29"/>
  <c r="AB150" i="29" s="1"/>
  <c r="AR150" i="29" s="1"/>
  <c r="AJ12" i="17"/>
  <c r="AI12" i="17"/>
  <c r="AJ6" i="19"/>
  <c r="AI6" i="19"/>
  <c r="AB149" i="48"/>
  <c r="X150" i="48"/>
  <c r="AB150" i="48" s="1"/>
  <c r="AJ13" i="19"/>
  <c r="AI13" i="19"/>
  <c r="V149" i="39"/>
  <c r="T149" i="39"/>
  <c r="F147" i="36"/>
  <c r="AA13" i="13"/>
  <c r="AG13" i="13" s="1"/>
  <c r="H147" i="47"/>
  <c r="H150" i="47" s="1"/>
  <c r="F150" i="47"/>
  <c r="H21" i="19"/>
  <c r="I21" i="19" s="1"/>
  <c r="D21" i="19"/>
  <c r="F21" i="19" s="1"/>
  <c r="G21" i="19" s="1"/>
  <c r="AV4" i="2"/>
  <c r="F147" i="43"/>
  <c r="F147" i="39"/>
  <c r="AI95" i="41"/>
  <c r="AG7" i="7"/>
  <c r="H11" i="9"/>
  <c r="I11" i="9" s="1"/>
  <c r="D11" i="9"/>
  <c r="F11" i="9" s="1"/>
  <c r="G11" i="9" s="1"/>
  <c r="X150" i="38"/>
  <c r="AB150" i="38" s="1"/>
  <c r="AR149" i="38" s="1"/>
  <c r="X145" i="40"/>
  <c r="AB145" i="40" s="1"/>
  <c r="AR144" i="40" s="1"/>
  <c r="F145" i="39"/>
  <c r="H142" i="39"/>
  <c r="H145" i="39" s="1"/>
  <c r="H147" i="50"/>
  <c r="H150" i="50" s="1"/>
  <c r="J150" i="50" s="1"/>
  <c r="N150" i="50" s="1"/>
  <c r="AQ150" i="50" s="1"/>
  <c r="F150" i="50"/>
  <c r="J149" i="50" s="1"/>
  <c r="N149" i="50" s="1"/>
  <c r="AQ149" i="50" s="1"/>
  <c r="T147" i="45"/>
  <c r="T150" i="45" s="1"/>
  <c r="X149" i="45" s="1"/>
  <c r="AB149" i="45" s="1"/>
  <c r="V147" i="45"/>
  <c r="V150" i="45" s="1"/>
  <c r="AV11" i="61"/>
  <c r="C21" i="43"/>
  <c r="B11" i="8"/>
  <c r="AP11" i="8"/>
  <c r="AE64" i="34"/>
  <c r="AG64" i="34" s="1"/>
  <c r="AE68" i="34"/>
  <c r="D64" i="34"/>
  <c r="R63" i="34"/>
  <c r="R59" i="34"/>
  <c r="AV16" i="14"/>
  <c r="V42" i="30"/>
  <c r="T42" i="30"/>
  <c r="F145" i="36"/>
  <c r="H142" i="36"/>
  <c r="H145" i="36" s="1"/>
  <c r="AJ14" i="53"/>
  <c r="AI14" i="53"/>
  <c r="AW10" i="61"/>
  <c r="C22" i="44"/>
  <c r="B10" i="7"/>
  <c r="AP10" i="7"/>
  <c r="F4" i="3"/>
  <c r="AG83" i="38"/>
  <c r="AE74" i="36"/>
  <c r="AG74" i="36" s="1"/>
  <c r="R73" i="36"/>
  <c r="AE78" i="36"/>
  <c r="R64" i="36"/>
  <c r="D74" i="36"/>
  <c r="D78" i="36"/>
  <c r="AA11" i="11"/>
  <c r="X10" i="11"/>
  <c r="V147" i="34"/>
  <c r="V150" i="34" s="1"/>
  <c r="T147" i="34"/>
  <c r="T150" i="34" s="1"/>
  <c r="X149" i="34" s="1"/>
  <c r="AB149" i="34" s="1"/>
  <c r="X150" i="35"/>
  <c r="AB150" i="35" s="1"/>
  <c r="AR149" i="35" s="1"/>
  <c r="AV6" i="4"/>
  <c r="AA7" i="6"/>
  <c r="AG7" i="6" s="1"/>
  <c r="H14" i="12"/>
  <c r="I14" i="12" s="1"/>
  <c r="D14" i="12"/>
  <c r="F14" i="12" s="1"/>
  <c r="G14" i="12" s="1"/>
  <c r="V147" i="40"/>
  <c r="V150" i="40" s="1"/>
  <c r="T147" i="40"/>
  <c r="T150" i="40" s="1"/>
  <c r="X149" i="40" s="1"/>
  <c r="AB149" i="40" s="1"/>
  <c r="H13" i="11"/>
  <c r="I13" i="11" s="1"/>
  <c r="D13" i="11"/>
  <c r="F13" i="11" s="1"/>
  <c r="G13" i="11" s="1"/>
  <c r="V149" i="49"/>
  <c r="T149" i="49"/>
  <c r="H78" i="38"/>
  <c r="H80" i="38" s="1"/>
  <c r="F80" i="38"/>
  <c r="H15" i="13"/>
  <c r="I15" i="13" s="1"/>
  <c r="D15" i="13"/>
  <c r="F15" i="13" s="1"/>
  <c r="G15" i="13" s="1"/>
  <c r="R48" i="31"/>
  <c r="AE49" i="31"/>
  <c r="AG49" i="31" s="1"/>
  <c r="AE53" i="31"/>
  <c r="R44" i="31"/>
  <c r="D49" i="31"/>
  <c r="F49" i="31" s="1"/>
  <c r="H49" i="31" s="1"/>
  <c r="D57" i="31"/>
  <c r="R52" i="31"/>
  <c r="H25" i="23"/>
  <c r="I25" i="23" s="1"/>
  <c r="D25" i="23"/>
  <c r="F25" i="23" s="1"/>
  <c r="G25" i="23" s="1"/>
  <c r="G8" i="8"/>
  <c r="F171" i="59"/>
  <c r="V149" i="33"/>
  <c r="T149" i="33"/>
  <c r="AD6" i="18"/>
  <c r="AB6" i="18" s="1"/>
  <c r="AD12" i="18"/>
  <c r="AD10" i="18"/>
  <c r="AD14" i="18"/>
  <c r="AD8" i="18"/>
  <c r="AB8" i="18" s="1"/>
  <c r="AD15" i="18"/>
  <c r="AD11" i="18"/>
  <c r="AD7" i="18"/>
  <c r="AB7" i="18" s="1"/>
  <c r="AD16" i="18"/>
  <c r="AD5" i="18"/>
  <c r="AB5" i="18" s="1"/>
  <c r="AD13" i="18"/>
  <c r="AD9" i="18"/>
  <c r="AD4" i="18"/>
  <c r="AB4" i="18" s="1"/>
  <c r="AB14" i="18"/>
  <c r="R53" i="32"/>
  <c r="AE54" i="32"/>
  <c r="AG54" i="32" s="1"/>
  <c r="AE58" i="32"/>
  <c r="D54" i="32"/>
  <c r="R57" i="32"/>
  <c r="D58" i="32"/>
  <c r="F58" i="32" s="1"/>
  <c r="H58" i="32" s="1"/>
  <c r="D62" i="32"/>
  <c r="AI15" i="53"/>
  <c r="AJ15" i="53"/>
  <c r="F147" i="46"/>
  <c r="H17" i="15"/>
  <c r="I17" i="15" s="1"/>
  <c r="D17" i="15"/>
  <c r="F17" i="15" s="1"/>
  <c r="G17" i="15" s="1"/>
  <c r="V149" i="50"/>
  <c r="T149" i="50"/>
  <c r="V147" i="43"/>
  <c r="V150" i="43" s="1"/>
  <c r="T147" i="43"/>
  <c r="T150" i="43" s="1"/>
  <c r="X149" i="43" s="1"/>
  <c r="AB149" i="43" s="1"/>
  <c r="V149" i="40"/>
  <c r="T149" i="40"/>
  <c r="AB14" i="17"/>
  <c r="AB13" i="17"/>
  <c r="AI52" i="59"/>
  <c r="AE52" i="59"/>
  <c r="T147" i="49"/>
  <c r="T150" i="49" s="1"/>
  <c r="X149" i="49" s="1"/>
  <c r="AB149" i="49" s="1"/>
  <c r="V147" i="49"/>
  <c r="V150" i="49" s="1"/>
  <c r="X145" i="46"/>
  <c r="AB145" i="46" s="1"/>
  <c r="AR144" i="46" s="1"/>
  <c r="V37" i="29"/>
  <c r="T37" i="29"/>
  <c r="F38" i="29"/>
  <c r="H147" i="34"/>
  <c r="H150" i="34" s="1"/>
  <c r="F150" i="34"/>
  <c r="F57" i="32"/>
  <c r="AG53" i="32"/>
  <c r="AG68" i="35"/>
  <c r="AG88" i="39"/>
  <c r="T147" i="33"/>
  <c r="T150" i="33" s="1"/>
  <c r="X149" i="33" s="1"/>
  <c r="AB149" i="33" s="1"/>
  <c r="V147" i="33"/>
  <c r="V150" i="33" s="1"/>
  <c r="AJ9" i="53"/>
  <c r="AI9" i="53"/>
  <c r="V149" i="44"/>
  <c r="T149" i="44"/>
  <c r="AG50" i="32"/>
  <c r="AG63" i="34"/>
  <c r="AV5" i="3"/>
  <c r="F150" i="44"/>
  <c r="H147" i="44"/>
  <c r="H150" i="44" s="1"/>
  <c r="T73" i="37"/>
  <c r="V73" i="37"/>
  <c r="AI11" i="19"/>
  <c r="AJ11" i="19"/>
  <c r="F65" i="35"/>
  <c r="J64" i="35" s="1"/>
  <c r="AT13" i="61"/>
  <c r="AP13" i="10"/>
  <c r="C19" i="41"/>
  <c r="AE104" i="41" s="1"/>
  <c r="AG104" i="41" s="1"/>
  <c r="B13" i="10"/>
  <c r="AX9" i="61"/>
  <c r="EX132" i="61" s="1"/>
  <c r="GI132" i="61" s="1"/>
  <c r="B9" i="6"/>
  <c r="C23" i="45"/>
  <c r="AP9" i="6"/>
  <c r="Y8" i="6" s="1"/>
  <c r="AB40" i="33"/>
  <c r="AR39" i="33" s="1"/>
  <c r="AT39" i="33" s="1"/>
  <c r="D6" i="33" s="1"/>
  <c r="AV24" i="22"/>
  <c r="G9" i="9"/>
  <c r="AV26" i="24"/>
  <c r="H147" i="29"/>
  <c r="H150" i="29" s="1"/>
  <c r="F150" i="29"/>
  <c r="AV19" i="17"/>
  <c r="T57" i="33"/>
  <c r="V57" i="33"/>
  <c r="F54" i="33"/>
  <c r="J52" i="33"/>
  <c r="V68" i="36"/>
  <c r="T68" i="36"/>
  <c r="X6" i="6"/>
  <c r="AR139" i="49"/>
  <c r="AR140" i="49"/>
  <c r="AI6" i="53"/>
  <c r="AJ6" i="53"/>
  <c r="AV21" i="53"/>
  <c r="AK22" i="61"/>
  <c r="AP22" i="19"/>
  <c r="B22" i="19"/>
  <c r="AP22" i="53"/>
  <c r="C10" i="32"/>
  <c r="D67" i="32" s="1"/>
  <c r="F67" i="32" s="1"/>
  <c r="B22" i="53"/>
  <c r="BB5" i="61"/>
  <c r="AP5" i="2"/>
  <c r="B5" i="2"/>
  <c r="C27" i="49"/>
  <c r="H7" i="5"/>
  <c r="I7" i="5" s="1"/>
  <c r="D7" i="5"/>
  <c r="F7" i="5" s="1"/>
  <c r="G7" i="5" s="1"/>
  <c r="AE59" i="33"/>
  <c r="AG59" i="33" s="1"/>
  <c r="AE63" i="33"/>
  <c r="R58" i="33"/>
  <c r="D59" i="33"/>
  <c r="R54" i="33"/>
  <c r="D63" i="33"/>
  <c r="F63" i="33" s="1"/>
  <c r="H63" i="33" s="1"/>
  <c r="R62" i="33"/>
  <c r="H4" i="2"/>
  <c r="I4" i="2" s="1"/>
  <c r="D4" i="2"/>
  <c r="AJ12" i="19"/>
  <c r="AI12" i="19"/>
  <c r="H147" i="41"/>
  <c r="H150" i="41" s="1"/>
  <c r="F150" i="41"/>
  <c r="F147" i="30"/>
  <c r="H74" i="38"/>
  <c r="H75" i="38" s="1"/>
  <c r="J75" i="38" s="1"/>
  <c r="F75" i="38"/>
  <c r="J74" i="38" s="1"/>
  <c r="V149" i="28"/>
  <c r="T149" i="28"/>
  <c r="H20" i="18"/>
  <c r="I20" i="18" s="1"/>
  <c r="D20" i="18"/>
  <c r="F20" i="18" s="1"/>
  <c r="G20" i="18" s="1"/>
  <c r="AG15" i="15"/>
  <c r="X1" i="15"/>
  <c r="R83" i="38"/>
  <c r="AE84" i="38"/>
  <c r="AG84" i="38" s="1"/>
  <c r="D84" i="38"/>
  <c r="AE88" i="38"/>
  <c r="V149" i="27"/>
  <c r="T149" i="27"/>
  <c r="T147" i="31"/>
  <c r="T150" i="31" s="1"/>
  <c r="X149" i="31" s="1"/>
  <c r="AB149" i="31" s="1"/>
  <c r="V147" i="31"/>
  <c r="V150" i="31" s="1"/>
  <c r="AJ11" i="53"/>
  <c r="AI11" i="53"/>
  <c r="AV9" i="7"/>
  <c r="AV18" i="16"/>
  <c r="V147" i="50"/>
  <c r="V150" i="50" s="1"/>
  <c r="T147" i="50"/>
  <c r="T150" i="50" s="1"/>
  <c r="X149" i="50" s="1"/>
  <c r="AB149" i="50" s="1"/>
  <c r="AZ7" i="61"/>
  <c r="B7" i="4"/>
  <c r="AP7" i="4"/>
  <c r="C25" i="47"/>
  <c r="V147" i="37"/>
  <c r="V150" i="37" s="1"/>
  <c r="T147" i="37"/>
  <c r="T150" i="37" s="1"/>
  <c r="X149" i="37" s="1"/>
  <c r="AB149" i="37" s="1"/>
  <c r="AV14" i="12"/>
  <c r="AS14" i="61"/>
  <c r="B14" i="11"/>
  <c r="C18" i="40"/>
  <c r="AP14" i="11"/>
  <c r="V39" i="31"/>
  <c r="V40" i="31" s="1"/>
  <c r="T39" i="31"/>
  <c r="T40" i="31" s="1"/>
  <c r="X39" i="31" s="1"/>
  <c r="AG48" i="31"/>
  <c r="AG5" i="6"/>
  <c r="AQ16" i="61"/>
  <c r="D196" i="66" s="1"/>
  <c r="B196" i="66" s="1"/>
  <c r="AP16" i="13"/>
  <c r="B16" i="13"/>
  <c r="C16" i="38"/>
  <c r="AG58" i="59"/>
  <c r="AG53" i="59"/>
  <c r="R52" i="59"/>
  <c r="R47" i="59"/>
  <c r="D53" i="59"/>
  <c r="R57" i="59"/>
  <c r="D63" i="59"/>
  <c r="AI24" i="61"/>
  <c r="B24" i="21"/>
  <c r="AP24" i="21"/>
  <c r="C8" i="30"/>
  <c r="D53" i="30" s="1"/>
  <c r="F53" i="30" s="1"/>
  <c r="H53" i="30" s="1"/>
  <c r="AG26" i="61"/>
  <c r="C6" i="28"/>
  <c r="AP26" i="23"/>
  <c r="B26" i="23"/>
  <c r="T147" i="27"/>
  <c r="T150" i="27" s="1"/>
  <c r="X149" i="27" s="1"/>
  <c r="AB149" i="27" s="1"/>
  <c r="V147" i="27"/>
  <c r="V150" i="27" s="1"/>
  <c r="AV22" i="20"/>
  <c r="AJ16" i="53"/>
  <c r="AI16" i="53"/>
  <c r="AG15" i="16"/>
  <c r="X1" i="16"/>
  <c r="AV17" i="15"/>
  <c r="F145" i="48"/>
  <c r="J144" i="48" s="1"/>
  <c r="N144" i="48" s="1"/>
  <c r="AQ144" i="48" s="1"/>
  <c r="H142" i="48"/>
  <c r="H145" i="48" s="1"/>
  <c r="J145" i="48" s="1"/>
  <c r="N145" i="48" s="1"/>
  <c r="AQ145" i="48" s="1"/>
  <c r="F145" i="30"/>
  <c r="H142" i="30"/>
  <c r="H145" i="30" s="1"/>
  <c r="AI65" i="36"/>
  <c r="H147" i="42"/>
  <c r="H150" i="42" s="1"/>
  <c r="F150" i="42"/>
  <c r="H72" i="35"/>
  <c r="H64" i="36"/>
  <c r="H65" i="36" s="1"/>
  <c r="J65" i="36" s="1"/>
  <c r="F65" i="36"/>
  <c r="J64" i="36" s="1"/>
  <c r="H47" i="31"/>
  <c r="F147" i="48"/>
  <c r="J147" i="48"/>
  <c r="AR59" i="38"/>
  <c r="AT59" i="38" s="1"/>
  <c r="D10" i="38" s="1"/>
  <c r="L69" i="38" s="1"/>
  <c r="N69" i="38" s="1"/>
  <c r="AQ69" i="38" s="1"/>
  <c r="AB16" i="17"/>
  <c r="AB15" i="17"/>
  <c r="V46" i="59"/>
  <c r="T46" i="59"/>
  <c r="F42" i="29"/>
  <c r="AG34" i="29"/>
  <c r="AG35" i="29" s="1"/>
  <c r="AE35" i="29"/>
  <c r="AI34" i="29" s="1"/>
  <c r="AM34" i="29" s="1"/>
  <c r="AS34" i="29" s="1"/>
  <c r="V52" i="32"/>
  <c r="T52" i="32"/>
  <c r="F49" i="32"/>
  <c r="J47" i="32"/>
  <c r="V72" i="35"/>
  <c r="T72" i="35"/>
  <c r="T59" i="35"/>
  <c r="T60" i="35" s="1"/>
  <c r="X59" i="35" s="1"/>
  <c r="V59" i="35"/>
  <c r="V60" i="35" s="1"/>
  <c r="AR144" i="48"/>
  <c r="V147" i="46"/>
  <c r="V150" i="46" s="1"/>
  <c r="T147" i="46"/>
  <c r="T150" i="46" s="1"/>
  <c r="X149" i="46" s="1"/>
  <c r="AB149" i="46" s="1"/>
  <c r="F147" i="45"/>
  <c r="AG7" i="8"/>
  <c r="AE50" i="32"/>
  <c r="AI49" i="32" s="1"/>
  <c r="AF8" i="9"/>
  <c r="V54" i="34"/>
  <c r="V55" i="34" s="1"/>
  <c r="T54" i="34"/>
  <c r="T55" i="34" s="1"/>
  <c r="X54" i="34" s="1"/>
  <c r="H5" i="3"/>
  <c r="I5" i="3" s="1"/>
  <c r="D5" i="3"/>
  <c r="F5" i="3" s="1"/>
  <c r="G5" i="3" s="1"/>
  <c r="V64" i="37"/>
  <c r="V65" i="37" s="1"/>
  <c r="T64" i="37"/>
  <c r="T65" i="37" s="1"/>
  <c r="X64" i="37" s="1"/>
  <c r="J37" i="30"/>
  <c r="H65" i="35"/>
  <c r="J65" i="35" s="1"/>
  <c r="F145" i="26"/>
  <c r="H142" i="26"/>
  <c r="H145" i="26" s="1"/>
  <c r="R43" i="30"/>
  <c r="AE44" i="30"/>
  <c r="AG44" i="30" s="1"/>
  <c r="AE48" i="30"/>
  <c r="D44" i="30"/>
  <c r="R39" i="30"/>
  <c r="D48" i="30"/>
  <c r="F48" i="30" s="1"/>
  <c r="H48" i="30" s="1"/>
  <c r="F168" i="59"/>
  <c r="H165" i="59"/>
  <c r="H168" i="59" s="1"/>
  <c r="D38" i="28"/>
  <c r="R37" i="28"/>
  <c r="AE34" i="28"/>
  <c r="R33" i="28"/>
  <c r="AE38" i="28"/>
  <c r="D42" i="28"/>
  <c r="V147" i="28"/>
  <c r="V150" i="28" s="1"/>
  <c r="T147" i="28"/>
  <c r="T150" i="28" s="1"/>
  <c r="X149" i="28" s="1"/>
  <c r="AB149" i="28" s="1"/>
  <c r="V149" i="46"/>
  <c r="T149" i="46"/>
  <c r="H19" i="17"/>
  <c r="I19" i="17" s="1"/>
  <c r="D19" i="17"/>
  <c r="F19" i="17" s="1"/>
  <c r="G19" i="17" s="1"/>
  <c r="F62" i="33"/>
  <c r="AG73" i="36"/>
  <c r="AR144" i="30"/>
  <c r="AR39" i="34"/>
  <c r="AT39" i="34" s="1"/>
  <c r="D6" i="34" s="1"/>
  <c r="AK39" i="32"/>
  <c r="AM39" i="32" s="1"/>
  <c r="AS39" i="32" s="1"/>
  <c r="Z39" i="32"/>
  <c r="L44" i="32"/>
  <c r="N44" i="32" s="1"/>
  <c r="AQ44" i="32" s="1"/>
  <c r="T147" i="44"/>
  <c r="T150" i="44" s="1"/>
  <c r="X149" i="44" s="1"/>
  <c r="AB149" i="44" s="1"/>
  <c r="V147" i="44"/>
  <c r="V150" i="44" s="1"/>
  <c r="H147" i="28"/>
  <c r="H150" i="28" s="1"/>
  <c r="F150" i="28"/>
  <c r="H42" i="30"/>
  <c r="AI13" i="53"/>
  <c r="AJ13" i="53"/>
  <c r="AJ7" i="53"/>
  <c r="AI7" i="53"/>
  <c r="AY8" i="61"/>
  <c r="C24" i="46"/>
  <c r="AP8" i="5"/>
  <c r="Y7" i="5" s="1"/>
  <c r="X6" i="5" s="1"/>
  <c r="B8" i="5"/>
  <c r="H21" i="53"/>
  <c r="I21" i="53" s="1"/>
  <c r="D21" i="53"/>
  <c r="F21" i="53" s="1"/>
  <c r="G21" i="53" s="1"/>
  <c r="AV21" i="19"/>
  <c r="BC4" i="61"/>
  <c r="C28" i="50"/>
  <c r="AP4" i="1"/>
  <c r="B4" i="1"/>
  <c r="F147" i="26"/>
  <c r="AA12" i="12"/>
  <c r="AG12" i="12" s="1"/>
  <c r="H51" i="59"/>
  <c r="AJ15" i="19"/>
  <c r="AI15" i="19"/>
  <c r="AI7" i="19"/>
  <c r="AJ7" i="19"/>
  <c r="F145" i="43"/>
  <c r="H142" i="43"/>
  <c r="H145" i="43" s="1"/>
  <c r="AA5" i="4"/>
  <c r="AG5" i="4" s="1"/>
  <c r="AI70" i="36"/>
  <c r="AU12" i="61"/>
  <c r="AP12" i="9"/>
  <c r="B12" i="9"/>
  <c r="C20" i="42"/>
  <c r="F150" i="32"/>
  <c r="H147" i="32"/>
  <c r="H150" i="32" s="1"/>
  <c r="X65" i="38"/>
  <c r="H10" i="8"/>
  <c r="I10" i="8" s="1"/>
  <c r="D10" i="8"/>
  <c r="G10" i="10"/>
  <c r="F94" i="40"/>
  <c r="H94" i="40" s="1"/>
  <c r="F89" i="40"/>
  <c r="J87" i="40"/>
  <c r="AG98" i="40"/>
  <c r="AL21" i="61"/>
  <c r="AP21" i="18"/>
  <c r="B21" i="18"/>
  <c r="C11" i="33"/>
  <c r="D72" i="33" s="1"/>
  <c r="H142" i="45"/>
  <c r="H145" i="45" s="1"/>
  <c r="F145" i="45"/>
  <c r="AP17" i="61"/>
  <c r="C15" i="37"/>
  <c r="B17" i="14"/>
  <c r="AP17" i="14"/>
  <c r="AG43" i="30"/>
  <c r="V34" i="30"/>
  <c r="V35" i="30" s="1"/>
  <c r="X35" i="30" s="1"/>
  <c r="AB35" i="30" s="1"/>
  <c r="T34" i="30"/>
  <c r="T35" i="30" s="1"/>
  <c r="X34" i="30" s="1"/>
  <c r="AB34" i="30" s="1"/>
  <c r="H9" i="7"/>
  <c r="I9" i="7" s="1"/>
  <c r="D9" i="7"/>
  <c r="F9" i="7" s="1"/>
  <c r="G9" i="7" s="1"/>
  <c r="F6" i="5"/>
  <c r="AA9" i="9"/>
  <c r="X8" i="9"/>
  <c r="V78" i="38"/>
  <c r="T78" i="38"/>
  <c r="AN19" i="61"/>
  <c r="B19" i="16"/>
  <c r="AP19" i="16"/>
  <c r="C13" i="35"/>
  <c r="AI35" i="30"/>
  <c r="AM35" i="30" s="1"/>
  <c r="AS35" i="30" s="1"/>
  <c r="X145" i="37"/>
  <c r="AB145" i="37" s="1"/>
  <c r="AR144" i="37" s="1"/>
  <c r="F150" i="27"/>
  <c r="H147" i="27"/>
  <c r="H150" i="27" s="1"/>
  <c r="H6" i="4"/>
  <c r="I6" i="4" s="1"/>
  <c r="D6" i="4"/>
  <c r="H77" i="36"/>
  <c r="T149" i="45"/>
  <c r="V149" i="45"/>
  <c r="F147" i="37"/>
  <c r="H147" i="38"/>
  <c r="H150" i="38" s="1"/>
  <c r="F150" i="38"/>
  <c r="AE89" i="39"/>
  <c r="AG89" i="39" s="1"/>
  <c r="AE93" i="39"/>
  <c r="R88" i="39"/>
  <c r="D89" i="39"/>
  <c r="AV23" i="21"/>
  <c r="AG4" i="4"/>
  <c r="Y15" i="14"/>
  <c r="X14" i="14" s="1"/>
  <c r="AV25" i="23"/>
  <c r="AJ23" i="61"/>
  <c r="C9" i="31"/>
  <c r="R49" i="31" s="1"/>
  <c r="B23" i="20"/>
  <c r="C9" i="59"/>
  <c r="R53" i="59" s="1"/>
  <c r="AP23" i="20"/>
  <c r="AJ12" i="53"/>
  <c r="AI12" i="53"/>
  <c r="F8" i="7"/>
  <c r="AE79" i="37"/>
  <c r="AG79" i="37" s="1"/>
  <c r="AE83" i="37"/>
  <c r="R78" i="37"/>
  <c r="D79" i="37"/>
  <c r="F79" i="37" s="1"/>
  <c r="H79" i="37" s="1"/>
  <c r="R74" i="37"/>
  <c r="V149" i="34"/>
  <c r="T149" i="34"/>
  <c r="J69" i="37"/>
  <c r="H62" i="34"/>
  <c r="Y13" i="12"/>
  <c r="AE45" i="31"/>
  <c r="AI44" i="31" s="1"/>
  <c r="AB11" i="17"/>
  <c r="AI47" i="59"/>
  <c r="AI48" i="59" s="1"/>
  <c r="AK48" i="59" s="1"/>
  <c r="AE47" i="59"/>
  <c r="AG85" i="39"/>
  <c r="AI85" i="39" s="1"/>
  <c r="AG38" i="29"/>
  <c r="AF12" i="13"/>
  <c r="T44" i="32"/>
  <c r="T45" i="32" s="1"/>
  <c r="X44" i="32" s="1"/>
  <c r="V44" i="32"/>
  <c r="V45" i="32" s="1"/>
  <c r="T48" i="32"/>
  <c r="T50" i="32" s="1"/>
  <c r="X49" i="32" s="1"/>
  <c r="V48" i="32"/>
  <c r="F84" i="39"/>
  <c r="J82" i="39"/>
  <c r="AJ10" i="53"/>
  <c r="AI10" i="53"/>
  <c r="F59" i="34"/>
  <c r="J57" i="34"/>
  <c r="BA6" i="61"/>
  <c r="B6" i="3"/>
  <c r="C26" i="48"/>
  <c r="AP6" i="3"/>
  <c r="F78" i="37"/>
  <c r="AG78" i="37"/>
  <c r="H38" i="30"/>
  <c r="H40" i="30" s="1"/>
  <c r="F40" i="30"/>
  <c r="H45" i="31"/>
  <c r="J45" i="31" s="1"/>
  <c r="AR144" i="34"/>
  <c r="AR145" i="34"/>
  <c r="H12" i="10"/>
  <c r="I12" i="10" s="1"/>
  <c r="D12" i="10"/>
  <c r="F12" i="10" s="1"/>
  <c r="G12" i="10" s="1"/>
  <c r="H49" i="33"/>
  <c r="H50" i="33" s="1"/>
  <c r="J50" i="33" s="1"/>
  <c r="F50" i="33"/>
  <c r="J49" i="33" s="1"/>
  <c r="AV8" i="6"/>
  <c r="H24" i="22"/>
  <c r="I24" i="22" s="1"/>
  <c r="D24" i="22"/>
  <c r="F24" i="22" s="1"/>
  <c r="G24" i="22" s="1"/>
  <c r="AG80" i="38"/>
  <c r="AF27" i="61"/>
  <c r="L364" i="66" s="1"/>
  <c r="C5" i="27"/>
  <c r="B27" i="24"/>
  <c r="AP27" i="24"/>
  <c r="AE69" i="35"/>
  <c r="AG69" i="35" s="1"/>
  <c r="R68" i="35"/>
  <c r="D69" i="35"/>
  <c r="AE73" i="35"/>
  <c r="AG58" i="33"/>
  <c r="AR144" i="38"/>
  <c r="AK40" i="32"/>
  <c r="AM40" i="32" s="1"/>
  <c r="AS40" i="32" s="1"/>
  <c r="Z40" i="32"/>
  <c r="L45" i="32"/>
  <c r="N45" i="32" s="1"/>
  <c r="AQ45" i="32" s="1"/>
  <c r="AV7" i="5"/>
  <c r="H57" i="33"/>
  <c r="AV11" i="9"/>
  <c r="AA8" i="8"/>
  <c r="AG8" i="8" s="1"/>
  <c r="AV10" i="8"/>
  <c r="H142" i="37"/>
  <c r="H145" i="37" s="1"/>
  <c r="F145" i="37"/>
  <c r="T88" i="40"/>
  <c r="V88" i="40"/>
  <c r="AG93" i="40"/>
  <c r="AV20" i="18"/>
  <c r="H16" i="14"/>
  <c r="I16" i="14" s="1"/>
  <c r="D16" i="14"/>
  <c r="F16" i="14" s="1"/>
  <c r="G16" i="14" s="1"/>
  <c r="F47" i="30"/>
  <c r="V38" i="30"/>
  <c r="T38" i="30"/>
  <c r="AG4" i="5"/>
  <c r="T74" i="38"/>
  <c r="T75" i="38" s="1"/>
  <c r="X74" i="38" s="1"/>
  <c r="V74" i="38"/>
  <c r="V75" i="38" s="1"/>
  <c r="H18" i="16"/>
  <c r="I18" i="16" s="1"/>
  <c r="D18" i="16"/>
  <c r="F18" i="16" s="1"/>
  <c r="G18" i="16" s="1"/>
  <c r="AT36" i="59"/>
  <c r="AV36" i="59" s="1"/>
  <c r="E5" i="59" s="1"/>
  <c r="AT35" i="59"/>
  <c r="AV35" i="59" s="1"/>
  <c r="V149" i="43"/>
  <c r="T149" i="43"/>
  <c r="AJ9" i="19"/>
  <c r="AI9" i="19"/>
  <c r="G4" i="4"/>
  <c r="AA11" i="10"/>
  <c r="AG11" i="10" s="1"/>
  <c r="AF10" i="12"/>
  <c r="AF11" i="12" s="1"/>
  <c r="J90" i="41"/>
  <c r="AR15" i="61"/>
  <c r="B15" i="12"/>
  <c r="C17" i="39"/>
  <c r="AE98" i="39" s="1"/>
  <c r="AP15" i="12"/>
  <c r="AV13" i="11"/>
  <c r="V43" i="31"/>
  <c r="T43" i="31"/>
  <c r="J77" i="38"/>
  <c r="AA14" i="14"/>
  <c r="AG14" i="14" s="1"/>
  <c r="X13" i="14"/>
  <c r="AV15" i="13"/>
  <c r="H23" i="21"/>
  <c r="I23" i="21" s="1"/>
  <c r="D23" i="21"/>
  <c r="F23" i="21" s="1"/>
  <c r="G23" i="21" s="1"/>
  <c r="X4" i="4"/>
  <c r="AE39" i="29"/>
  <c r="AG39" i="29" s="1"/>
  <c r="D43" i="29"/>
  <c r="F43" i="29" s="1"/>
  <c r="H43" i="29" s="1"/>
  <c r="R34" i="29"/>
  <c r="D39" i="29"/>
  <c r="F39" i="29" s="1"/>
  <c r="H39" i="29" s="1"/>
  <c r="AE43" i="29"/>
  <c r="R42" i="29"/>
  <c r="R38" i="29"/>
  <c r="D47" i="29"/>
  <c r="F150" i="49"/>
  <c r="J149" i="49" s="1"/>
  <c r="N149" i="49" s="1"/>
  <c r="AQ149" i="49" s="1"/>
  <c r="H147" i="49"/>
  <c r="H150" i="49" s="1"/>
  <c r="J150" i="49" s="1"/>
  <c r="N150" i="49" s="1"/>
  <c r="AQ150" i="49" s="1"/>
  <c r="H147" i="35"/>
  <c r="H150" i="35" s="1"/>
  <c r="F150" i="35"/>
  <c r="AJ15" i="18"/>
  <c r="AI15" i="18"/>
  <c r="H22" i="20"/>
  <c r="I22" i="20" s="1"/>
  <c r="D22" i="20"/>
  <c r="F22" i="20" s="1"/>
  <c r="G22" i="20" s="1"/>
  <c r="AF13" i="14"/>
  <c r="AO18" i="61"/>
  <c r="D192" i="66" s="1"/>
  <c r="B18" i="15"/>
  <c r="AP18" i="15"/>
  <c r="C14" i="36"/>
  <c r="R69" i="36" s="1"/>
  <c r="J85" i="40"/>
  <c r="J84" i="40"/>
  <c r="F150" i="31"/>
  <c r="H147" i="31"/>
  <c r="H150" i="31" s="1"/>
  <c r="H59" i="35"/>
  <c r="H60" i="35" s="1"/>
  <c r="J60" i="35" s="1"/>
  <c r="F60" i="35"/>
  <c r="J59" i="35" s="1"/>
  <c r="N59" i="35" s="1"/>
  <c r="AQ59" i="35" s="1"/>
  <c r="V149" i="37"/>
  <c r="T149" i="37"/>
  <c r="AG45" i="31"/>
  <c r="AD6" i="17"/>
  <c r="AB6" i="17" s="1"/>
  <c r="AD13" i="17"/>
  <c r="AD12" i="17"/>
  <c r="AD15" i="17"/>
  <c r="AD8" i="17"/>
  <c r="AB8" i="17" s="1"/>
  <c r="AD14" i="17"/>
  <c r="AD10" i="17"/>
  <c r="AD7" i="17"/>
  <c r="AB7" i="17" s="1"/>
  <c r="AD5" i="17"/>
  <c r="AB5" i="17" s="1"/>
  <c r="AD16" i="17"/>
  <c r="AD9" i="17"/>
  <c r="AD11" i="17"/>
  <c r="AD4" i="17"/>
  <c r="AB4" i="17" s="1"/>
  <c r="AB9" i="17"/>
  <c r="AB10" i="17"/>
  <c r="F47" i="59"/>
  <c r="J45" i="59"/>
  <c r="V33" i="29"/>
  <c r="T33" i="29"/>
  <c r="H147" i="40"/>
  <c r="H150" i="40" s="1"/>
  <c r="F150" i="40"/>
  <c r="Y9" i="8"/>
  <c r="X12" i="13"/>
  <c r="V63" i="35"/>
  <c r="T63" i="35"/>
  <c r="V83" i="39"/>
  <c r="V85" i="39" s="1"/>
  <c r="T83" i="39"/>
  <c r="T85" i="39" s="1"/>
  <c r="X84" i="39" s="1"/>
  <c r="Y8" i="7"/>
  <c r="V62" i="34"/>
  <c r="T62" i="34"/>
  <c r="T58" i="34"/>
  <c r="V58" i="34"/>
  <c r="AA4" i="3"/>
  <c r="F74" i="37"/>
  <c r="J72" i="37"/>
  <c r="AJ16" i="19"/>
  <c r="AI16" i="19"/>
  <c r="F45" i="31"/>
  <c r="J44" i="31" s="1"/>
  <c r="AV12" i="10"/>
  <c r="H8" i="6"/>
  <c r="I8" i="6" s="1"/>
  <c r="D8" i="6"/>
  <c r="F8" i="6" s="1"/>
  <c r="G8" i="6" s="1"/>
  <c r="V147" i="39"/>
  <c r="V150" i="39" s="1"/>
  <c r="T147" i="39"/>
  <c r="T150" i="39" s="1"/>
  <c r="X149" i="39" s="1"/>
  <c r="AB149" i="39" s="1"/>
  <c r="AH25" i="61"/>
  <c r="D269" i="66" s="1"/>
  <c r="B25" i="22"/>
  <c r="C7" i="29"/>
  <c r="AP25" i="22"/>
  <c r="AE80" i="38"/>
  <c r="AI79" i="38" s="1"/>
  <c r="D26" i="24"/>
  <c r="F26" i="24" s="1"/>
  <c r="G26" i="24" s="1"/>
  <c r="H26" i="24"/>
  <c r="I26" i="24" s="1"/>
  <c r="F150" i="33"/>
  <c r="H147" i="33"/>
  <c r="H150" i="33" s="1"/>
  <c r="V149" i="31"/>
  <c r="T149" i="31"/>
  <c r="AM20" i="61"/>
  <c r="D214" i="66" s="1"/>
  <c r="AP20" i="17"/>
  <c r="C12" i="34"/>
  <c r="D77" i="34" s="1"/>
  <c r="B20" i="17"/>
  <c r="V53" i="33"/>
  <c r="T53" i="33"/>
  <c r="H142" i="46"/>
  <c r="H145" i="46" s="1"/>
  <c r="F145" i="46"/>
  <c r="F69" i="36"/>
  <c r="J67" i="36"/>
  <c r="A325" i="66" l="1"/>
  <c r="AE125" i="46"/>
  <c r="AI124" i="46" s="1"/>
  <c r="D279" i="65"/>
  <c r="J237" i="66"/>
  <c r="B237" i="65" s="1"/>
  <c r="A195" i="66"/>
  <c r="J117" i="45"/>
  <c r="AI135" i="48"/>
  <c r="L65" i="37"/>
  <c r="N65" i="37" s="1"/>
  <c r="AQ65" i="37" s="1"/>
  <c r="AR65" i="41"/>
  <c r="AT65" i="41" s="1"/>
  <c r="E11" i="41" s="1"/>
  <c r="D237" i="65"/>
  <c r="AE115" i="44"/>
  <c r="AI114" i="44" s="1"/>
  <c r="AI115" i="44" s="1"/>
  <c r="AI130" i="48"/>
  <c r="AE95" i="40"/>
  <c r="AI94" i="40" s="1"/>
  <c r="B214" i="66"/>
  <c r="A214" i="66"/>
  <c r="I243" i="66"/>
  <c r="J243" i="66"/>
  <c r="B243" i="65" s="1"/>
  <c r="D243" i="65"/>
  <c r="A243" i="65" s="1"/>
  <c r="D326" i="66"/>
  <c r="A326" i="66" s="1"/>
  <c r="L304" i="66"/>
  <c r="D219" i="65"/>
  <c r="A219" i="65" s="1"/>
  <c r="J219" i="66"/>
  <c r="B219" i="65" s="1"/>
  <c r="I219" i="66"/>
  <c r="X100" i="43"/>
  <c r="A202" i="66"/>
  <c r="B202" i="66"/>
  <c r="B191" i="66"/>
  <c r="A191" i="66"/>
  <c r="D303" i="65"/>
  <c r="I303" i="66"/>
  <c r="J303" i="66"/>
  <c r="B303" i="65" s="1"/>
  <c r="D183" i="65"/>
  <c r="J183" i="66"/>
  <c r="B183" i="65" s="1"/>
  <c r="I183" i="66"/>
  <c r="B269" i="66"/>
  <c r="A269" i="66"/>
  <c r="B192" i="66"/>
  <c r="A192" i="66"/>
  <c r="D235" i="66"/>
  <c r="B235" i="66" s="1"/>
  <c r="D203" i="66"/>
  <c r="L220" i="66"/>
  <c r="L280" i="66"/>
  <c r="I280" i="66" s="1"/>
  <c r="L244" i="66"/>
  <c r="D247" i="66"/>
  <c r="A247" i="66" s="1"/>
  <c r="AL13" i="42"/>
  <c r="L11" i="42" s="1"/>
  <c r="AP65" i="42" s="1"/>
  <c r="AG130" i="47"/>
  <c r="AE130" i="47"/>
  <c r="AI129" i="47" s="1"/>
  <c r="AT65" i="43"/>
  <c r="AE60" i="33"/>
  <c r="AI59" i="33" s="1"/>
  <c r="X50" i="33"/>
  <c r="L10" i="48"/>
  <c r="AP79" i="48" s="1"/>
  <c r="AT79" i="48" s="1"/>
  <c r="D14" i="48" s="1"/>
  <c r="Z84" i="48" s="1"/>
  <c r="AB84" i="48" s="1"/>
  <c r="X110" i="45"/>
  <c r="AI140" i="48"/>
  <c r="Z79" i="46"/>
  <c r="AB79" i="46" s="1"/>
  <c r="L84" i="46"/>
  <c r="N84" i="46" s="1"/>
  <c r="AQ84" i="46" s="1"/>
  <c r="AI110" i="44"/>
  <c r="AL13" i="48"/>
  <c r="L11" i="48" s="1"/>
  <c r="AP80" i="48" s="1"/>
  <c r="AT80" i="48" s="1"/>
  <c r="E14" i="48" s="1"/>
  <c r="AP10" i="46"/>
  <c r="AR10" i="46" s="1"/>
  <c r="AP15" i="46"/>
  <c r="AR15" i="46" s="1"/>
  <c r="AK79" i="46"/>
  <c r="AM79" i="46" s="1"/>
  <c r="AS79" i="46" s="1"/>
  <c r="D364" i="65"/>
  <c r="A364" i="65" s="1"/>
  <c r="J364" i="66"/>
  <c r="B364" i="65" s="1"/>
  <c r="I364" i="66"/>
  <c r="D209" i="66"/>
  <c r="L224" i="66"/>
  <c r="X25" i="46"/>
  <c r="L9" i="46" s="1"/>
  <c r="AP75" i="46" s="1"/>
  <c r="AT75" i="46" s="1"/>
  <c r="E13" i="46" s="1"/>
  <c r="A196" i="66"/>
  <c r="J181" i="66"/>
  <c r="B181" i="65" s="1"/>
  <c r="I181" i="66"/>
  <c r="D181" i="65"/>
  <c r="A181" i="65" s="1"/>
  <c r="D195" i="65"/>
  <c r="A195" i="65" s="1"/>
  <c r="I195" i="66"/>
  <c r="J195" i="66"/>
  <c r="B195" i="65" s="1"/>
  <c r="D265" i="65"/>
  <c r="J265" i="66"/>
  <c r="B265" i="65" s="1"/>
  <c r="I265" i="66"/>
  <c r="AR79" i="48"/>
  <c r="AR80" i="48"/>
  <c r="AI145" i="48"/>
  <c r="J112" i="44"/>
  <c r="A169" i="66"/>
  <c r="B169" i="66"/>
  <c r="B182" i="66"/>
  <c r="A182" i="66"/>
  <c r="D222" i="66"/>
  <c r="L238" i="66"/>
  <c r="L266" i="66"/>
  <c r="D183" i="66"/>
  <c r="L196" i="66"/>
  <c r="D223" i="65"/>
  <c r="J223" i="66"/>
  <c r="B223" i="65" s="1"/>
  <c r="I223" i="66"/>
  <c r="AI125" i="46"/>
  <c r="B208" i="66"/>
  <c r="A208" i="66"/>
  <c r="X115" i="46"/>
  <c r="D445" i="66"/>
  <c r="L468" i="66"/>
  <c r="D312" i="66"/>
  <c r="R104" i="42"/>
  <c r="D113" i="42"/>
  <c r="R112" i="42"/>
  <c r="D117" i="42"/>
  <c r="AE113" i="42"/>
  <c r="AE109" i="42"/>
  <c r="D109" i="42"/>
  <c r="R108" i="42"/>
  <c r="AE133" i="46"/>
  <c r="AE129" i="46"/>
  <c r="AG129" i="46" s="1"/>
  <c r="AE148" i="46"/>
  <c r="AE139" i="46"/>
  <c r="AG139" i="46" s="1"/>
  <c r="R128" i="46"/>
  <c r="AE138" i="46"/>
  <c r="AE143" i="46"/>
  <c r="AE134" i="46"/>
  <c r="AG134" i="46" s="1"/>
  <c r="R133" i="46"/>
  <c r="R138" i="46"/>
  <c r="AE144" i="46"/>
  <c r="AG144" i="46" s="1"/>
  <c r="AE149" i="46"/>
  <c r="AG149" i="46" s="1"/>
  <c r="D129" i="46"/>
  <c r="D134" i="46"/>
  <c r="R143" i="46"/>
  <c r="D139" i="46"/>
  <c r="D144" i="46"/>
  <c r="R148" i="46"/>
  <c r="D149" i="46"/>
  <c r="D464" i="66"/>
  <c r="L488" i="66"/>
  <c r="D426" i="66"/>
  <c r="L448" i="66"/>
  <c r="R84" i="38"/>
  <c r="T84" i="38" s="1"/>
  <c r="D98" i="38"/>
  <c r="F98" i="38" s="1"/>
  <c r="H98" i="38" s="1"/>
  <c r="R97" i="38"/>
  <c r="D102" i="38"/>
  <c r="F102" i="38" s="1"/>
  <c r="H99" i="42"/>
  <c r="H100" i="42" s="1"/>
  <c r="F100" i="42"/>
  <c r="D407" i="65"/>
  <c r="A407" i="65" s="1"/>
  <c r="J407" i="66"/>
  <c r="B407" i="65" s="1"/>
  <c r="I407" i="66"/>
  <c r="D147" i="65"/>
  <c r="A147" i="65" s="1"/>
  <c r="I147" i="66"/>
  <c r="J147" i="66"/>
  <c r="B147" i="65" s="1"/>
  <c r="B159" i="66"/>
  <c r="A159" i="66"/>
  <c r="AG109" i="43"/>
  <c r="AG110" i="43" s="1"/>
  <c r="AE110" i="43"/>
  <c r="AI109" i="43" s="1"/>
  <c r="F113" i="43"/>
  <c r="X90" i="42"/>
  <c r="AI150" i="48"/>
  <c r="B463" i="66"/>
  <c r="A463" i="66"/>
  <c r="V99" i="42"/>
  <c r="T99" i="42"/>
  <c r="T100" i="42" s="1"/>
  <c r="X99" i="42" s="1"/>
  <c r="B444" i="66"/>
  <c r="A444" i="66"/>
  <c r="AG123" i="45"/>
  <c r="T114" i="45"/>
  <c r="T115" i="45" s="1"/>
  <c r="X114" i="45" s="1"/>
  <c r="V114" i="45"/>
  <c r="V115" i="45" s="1"/>
  <c r="F105" i="42"/>
  <c r="J104" i="42" s="1"/>
  <c r="H109" i="44"/>
  <c r="H110" i="44" s="1"/>
  <c r="F110" i="44"/>
  <c r="AG128" i="46"/>
  <c r="T87" i="38"/>
  <c r="V87" i="38"/>
  <c r="H113" i="44"/>
  <c r="H115" i="44" s="1"/>
  <c r="F115" i="44"/>
  <c r="J114" i="44" s="1"/>
  <c r="D447" i="65"/>
  <c r="A447" i="65" s="1"/>
  <c r="J447" i="66"/>
  <c r="B447" i="65" s="1"/>
  <c r="I447" i="66"/>
  <c r="H102" i="39"/>
  <c r="T89" i="41"/>
  <c r="T90" i="41" s="1"/>
  <c r="X89" i="41" s="1"/>
  <c r="V89" i="41"/>
  <c r="V90" i="41" s="1"/>
  <c r="B311" i="66"/>
  <c r="A311" i="66"/>
  <c r="D387" i="65"/>
  <c r="A387" i="65" s="1"/>
  <c r="I387" i="66"/>
  <c r="J387" i="66"/>
  <c r="B387" i="65" s="1"/>
  <c r="AG148" i="47"/>
  <c r="AG150" i="47" s="1"/>
  <c r="AE150" i="47"/>
  <c r="AI149" i="47" s="1"/>
  <c r="AG143" i="47"/>
  <c r="AG145" i="47" s="1"/>
  <c r="AE145" i="47"/>
  <c r="AI144" i="47" s="1"/>
  <c r="F129" i="47"/>
  <c r="H129" i="47" s="1"/>
  <c r="J127" i="47"/>
  <c r="T138" i="47"/>
  <c r="V138" i="47"/>
  <c r="AE135" i="47"/>
  <c r="AI134" i="47" s="1"/>
  <c r="AG133" i="47"/>
  <c r="AG135" i="47" s="1"/>
  <c r="D255" i="66"/>
  <c r="D407" i="66"/>
  <c r="L428" i="66"/>
  <c r="L348" i="66"/>
  <c r="D369" i="66"/>
  <c r="L388" i="66"/>
  <c r="R89" i="40"/>
  <c r="D103" i="40"/>
  <c r="F103" i="40" s="1"/>
  <c r="D107" i="40"/>
  <c r="F107" i="40" s="1"/>
  <c r="R102" i="40"/>
  <c r="D141" i="66"/>
  <c r="L148" i="66"/>
  <c r="L228" i="66"/>
  <c r="R114" i="44"/>
  <c r="AE119" i="44"/>
  <c r="AG119" i="44" s="1"/>
  <c r="D119" i="44"/>
  <c r="AE123" i="44"/>
  <c r="R118" i="44"/>
  <c r="R109" i="43"/>
  <c r="D118" i="43"/>
  <c r="F118" i="43" s="1"/>
  <c r="H118" i="43" s="1"/>
  <c r="R113" i="43"/>
  <c r="AE114" i="43"/>
  <c r="AG114" i="43" s="1"/>
  <c r="D114" i="43"/>
  <c r="F114" i="43" s="1"/>
  <c r="H114" i="43" s="1"/>
  <c r="AE118" i="43"/>
  <c r="R103" i="41"/>
  <c r="V103" i="41" s="1"/>
  <c r="D104" i="41"/>
  <c r="F104" i="41" s="1"/>
  <c r="H104" i="41" s="1"/>
  <c r="J119" i="46"/>
  <c r="J120" i="46"/>
  <c r="B387" i="66"/>
  <c r="A387" i="66"/>
  <c r="D227" i="65"/>
  <c r="A227" i="65" s="1"/>
  <c r="I227" i="66"/>
  <c r="J227" i="66"/>
  <c r="B227" i="65" s="1"/>
  <c r="A140" i="66"/>
  <c r="B140" i="66"/>
  <c r="T108" i="43"/>
  <c r="V108" i="43"/>
  <c r="V104" i="43"/>
  <c r="V105" i="43" s="1"/>
  <c r="T104" i="43"/>
  <c r="T105" i="43" s="1"/>
  <c r="X104" i="43" s="1"/>
  <c r="J120" i="45"/>
  <c r="J119" i="45"/>
  <c r="H112" i="42"/>
  <c r="D427" i="65"/>
  <c r="A427" i="65" s="1"/>
  <c r="J427" i="66"/>
  <c r="B427" i="65" s="1"/>
  <c r="I427" i="66"/>
  <c r="T118" i="45"/>
  <c r="V118" i="45"/>
  <c r="H105" i="42"/>
  <c r="V123" i="46"/>
  <c r="T123" i="46"/>
  <c r="J140" i="48"/>
  <c r="N140" i="48" s="1"/>
  <c r="AQ140" i="48" s="1"/>
  <c r="B425" i="66"/>
  <c r="A425" i="66"/>
  <c r="V97" i="39"/>
  <c r="T97" i="39"/>
  <c r="H107" i="41"/>
  <c r="AG118" i="44"/>
  <c r="D187" i="65"/>
  <c r="A187" i="65" s="1"/>
  <c r="J187" i="66"/>
  <c r="B187" i="65" s="1"/>
  <c r="I187" i="66"/>
  <c r="B368" i="66"/>
  <c r="A368" i="66"/>
  <c r="V128" i="47"/>
  <c r="T128" i="47"/>
  <c r="R87" i="37"/>
  <c r="D97" i="37"/>
  <c r="F97" i="37" s="1"/>
  <c r="D388" i="66"/>
  <c r="L408" i="66"/>
  <c r="D160" i="66"/>
  <c r="L168" i="66"/>
  <c r="D179" i="66"/>
  <c r="L188" i="66"/>
  <c r="J129" i="48"/>
  <c r="N129" i="48" s="1"/>
  <c r="AQ129" i="48" s="1"/>
  <c r="J130" i="48"/>
  <c r="N130" i="48" s="1"/>
  <c r="AQ130" i="48" s="1"/>
  <c r="D507" i="65"/>
  <c r="A507" i="65" s="1"/>
  <c r="J507" i="66"/>
  <c r="B507" i="65" s="1"/>
  <c r="I507" i="66"/>
  <c r="AG113" i="43"/>
  <c r="F117" i="43"/>
  <c r="V107" i="42"/>
  <c r="T107" i="42"/>
  <c r="B406" i="66"/>
  <c r="A406" i="66"/>
  <c r="D207" i="65"/>
  <c r="A207" i="65" s="1"/>
  <c r="J207" i="66"/>
  <c r="B207" i="65" s="1"/>
  <c r="I207" i="66"/>
  <c r="J135" i="48"/>
  <c r="N135" i="48" s="1"/>
  <c r="AQ135" i="48" s="1"/>
  <c r="J134" i="48"/>
  <c r="N134" i="48" s="1"/>
  <c r="AQ134" i="48" s="1"/>
  <c r="AI125" i="47"/>
  <c r="AG120" i="45"/>
  <c r="D347" i="65"/>
  <c r="J347" i="66"/>
  <c r="B347" i="65" s="1"/>
  <c r="I347" i="66"/>
  <c r="D127" i="65"/>
  <c r="A127" i="65" s="1"/>
  <c r="J127" i="66"/>
  <c r="B127" i="65" s="1"/>
  <c r="I127" i="66"/>
  <c r="V102" i="41"/>
  <c r="T102" i="41"/>
  <c r="B178" i="66"/>
  <c r="A178" i="66"/>
  <c r="F149" i="47"/>
  <c r="H149" i="47" s="1"/>
  <c r="J147" i="47"/>
  <c r="J149" i="47" s="1"/>
  <c r="N149" i="47" s="1"/>
  <c r="AQ149" i="47" s="1"/>
  <c r="V148" i="47"/>
  <c r="T148" i="47"/>
  <c r="V143" i="47"/>
  <c r="T143" i="47"/>
  <c r="AG138" i="47"/>
  <c r="AG140" i="47" s="1"/>
  <c r="AE140" i="47"/>
  <c r="AI139" i="47" s="1"/>
  <c r="V133" i="47"/>
  <c r="T133" i="47"/>
  <c r="D483" i="66"/>
  <c r="L508" i="66"/>
  <c r="D198" i="66"/>
  <c r="L208" i="66"/>
  <c r="L288" i="66"/>
  <c r="AE128" i="45"/>
  <c r="D124" i="45"/>
  <c r="R123" i="45"/>
  <c r="AE124" i="45"/>
  <c r="AG124" i="45" s="1"/>
  <c r="R99" i="41"/>
  <c r="D108" i="41"/>
  <c r="F108" i="41" s="1"/>
  <c r="H108" i="41" s="1"/>
  <c r="R107" i="41"/>
  <c r="D112" i="41"/>
  <c r="F112" i="41" s="1"/>
  <c r="V100" i="42"/>
  <c r="AE108" i="41"/>
  <c r="X105" i="44"/>
  <c r="A482" i="66"/>
  <c r="B482" i="66"/>
  <c r="B254" i="66"/>
  <c r="A254" i="66"/>
  <c r="D167" i="65"/>
  <c r="A167" i="65" s="1"/>
  <c r="J167" i="66"/>
  <c r="B167" i="65" s="1"/>
  <c r="I167" i="66"/>
  <c r="J107" i="43"/>
  <c r="F109" i="43"/>
  <c r="V112" i="43"/>
  <c r="T112" i="43"/>
  <c r="AI120" i="46"/>
  <c r="H117" i="44"/>
  <c r="D487" i="65"/>
  <c r="A487" i="65" s="1"/>
  <c r="J487" i="66"/>
  <c r="B487" i="65" s="1"/>
  <c r="I487" i="66"/>
  <c r="D467" i="65"/>
  <c r="A467" i="65" s="1"/>
  <c r="J467" i="66"/>
  <c r="B467" i="65" s="1"/>
  <c r="I467" i="66"/>
  <c r="J109" i="44"/>
  <c r="J110" i="44"/>
  <c r="AR75" i="46"/>
  <c r="AR74" i="46"/>
  <c r="F124" i="46"/>
  <c r="H124" i="46" s="1"/>
  <c r="J122" i="46"/>
  <c r="H97" i="38"/>
  <c r="AE120" i="45"/>
  <c r="AI119" i="45" s="1"/>
  <c r="J115" i="44"/>
  <c r="J124" i="47"/>
  <c r="N124" i="47" s="1"/>
  <c r="AQ124" i="47" s="1"/>
  <c r="J125" i="47"/>
  <c r="N125" i="47" s="1"/>
  <c r="AQ125" i="47" s="1"/>
  <c r="B121" i="66"/>
  <c r="A121" i="66"/>
  <c r="H103" i="41"/>
  <c r="V113" i="44"/>
  <c r="T113" i="44"/>
  <c r="V109" i="44"/>
  <c r="V110" i="44" s="1"/>
  <c r="T109" i="44"/>
  <c r="T110" i="44" s="1"/>
  <c r="X109" i="44" s="1"/>
  <c r="F144" i="47"/>
  <c r="H144" i="47" s="1"/>
  <c r="J142" i="47"/>
  <c r="F139" i="47"/>
  <c r="H139" i="47" s="1"/>
  <c r="J137" i="47"/>
  <c r="F134" i="47"/>
  <c r="H134" i="47" s="1"/>
  <c r="J132" i="47"/>
  <c r="AT64" i="42"/>
  <c r="D11" i="42" s="1"/>
  <c r="Z69" i="42" s="1"/>
  <c r="AB69" i="42" s="1"/>
  <c r="L60" i="45"/>
  <c r="N60" i="45" s="1"/>
  <c r="AQ60" i="45" s="1"/>
  <c r="AK55" i="45"/>
  <c r="AM55" i="45" s="1"/>
  <c r="AS55" i="45" s="1"/>
  <c r="Z55" i="45"/>
  <c r="AB55" i="45" s="1"/>
  <c r="L59" i="45"/>
  <c r="N59" i="45" s="1"/>
  <c r="AQ59" i="45" s="1"/>
  <c r="AK54" i="45"/>
  <c r="AM54" i="45" s="1"/>
  <c r="AS54" i="45" s="1"/>
  <c r="Z54" i="45"/>
  <c r="AB54" i="45" s="1"/>
  <c r="AG95" i="40"/>
  <c r="AI95" i="40" s="1"/>
  <c r="V41" i="59"/>
  <c r="V42" i="59" s="1"/>
  <c r="AB39" i="32"/>
  <c r="Y10" i="8"/>
  <c r="X9" i="8" s="1"/>
  <c r="AR145" i="27"/>
  <c r="J95" i="41"/>
  <c r="N95" i="41" s="1"/>
  <c r="AQ95" i="41" s="1"/>
  <c r="AT65" i="42"/>
  <c r="E11" i="42" s="1"/>
  <c r="L75" i="42" s="1"/>
  <c r="N75" i="42" s="1"/>
  <c r="AQ75" i="42" s="1"/>
  <c r="AT64" i="43"/>
  <c r="D11" i="43" s="1"/>
  <c r="A182" i="65"/>
  <c r="AR145" i="45"/>
  <c r="AR145" i="46"/>
  <c r="N55" i="34"/>
  <c r="AQ55" i="34" s="1"/>
  <c r="AG60" i="33"/>
  <c r="AI60" i="33" s="1"/>
  <c r="AM60" i="33" s="1"/>
  <c r="AS60" i="33" s="1"/>
  <c r="AI75" i="37"/>
  <c r="H28" i="25"/>
  <c r="I28" i="25" s="1"/>
  <c r="I29" i="25" s="1"/>
  <c r="I39" i="25" s="1"/>
  <c r="D28" i="25"/>
  <c r="S7" i="25"/>
  <c r="AE33" i="26"/>
  <c r="AG33" i="26" s="1"/>
  <c r="D37" i="26"/>
  <c r="F37" i="26" s="1"/>
  <c r="H37" i="26" s="1"/>
  <c r="R32" i="26"/>
  <c r="T32" i="27"/>
  <c r="V32" i="27"/>
  <c r="AG75" i="36"/>
  <c r="Y15" i="13"/>
  <c r="AV28" i="25"/>
  <c r="Y28" i="25"/>
  <c r="BG7" i="25"/>
  <c r="AI60" i="34"/>
  <c r="AM60" i="34" s="1"/>
  <c r="AS60" i="34" s="1"/>
  <c r="AE75" i="36"/>
  <c r="AI74" i="36" s="1"/>
  <c r="AR144" i="50"/>
  <c r="T93" i="40"/>
  <c r="V50" i="32"/>
  <c r="X50" i="32" s="1"/>
  <c r="X9" i="9"/>
  <c r="Y11" i="9"/>
  <c r="F50" i="31"/>
  <c r="AR150" i="35"/>
  <c r="AR149" i="42"/>
  <c r="AE50" i="31"/>
  <c r="AI49" i="31" s="1"/>
  <c r="AI45" i="31"/>
  <c r="AR149" i="41"/>
  <c r="AG50" i="31"/>
  <c r="Y12" i="10"/>
  <c r="N60" i="35"/>
  <c r="AQ60" i="35" s="1"/>
  <c r="AR149" i="26"/>
  <c r="AB40" i="32"/>
  <c r="AR39" i="32" s="1"/>
  <c r="AT39" i="32" s="1"/>
  <c r="D6" i="32" s="1"/>
  <c r="X13" i="13"/>
  <c r="Y13" i="11"/>
  <c r="AA13" i="11" s="1"/>
  <c r="AG13" i="11" s="1"/>
  <c r="AG65" i="34"/>
  <c r="AE65" i="34"/>
  <c r="AI64" i="34" s="1"/>
  <c r="AR144" i="43"/>
  <c r="AR145" i="39"/>
  <c r="AR145" i="33"/>
  <c r="AI12" i="18"/>
  <c r="AJ13" i="18"/>
  <c r="AR144" i="49"/>
  <c r="AJ16" i="18"/>
  <c r="AI9" i="18"/>
  <c r="X11" i="11"/>
  <c r="AR145" i="28"/>
  <c r="AR40" i="33"/>
  <c r="AT40" i="33" s="1"/>
  <c r="E6" i="33" s="1"/>
  <c r="Z50" i="33" s="1"/>
  <c r="AB55" i="35"/>
  <c r="AR55" i="35" s="1"/>
  <c r="AT55" i="35" s="1"/>
  <c r="E9" i="35" s="1"/>
  <c r="Z60" i="35" s="1"/>
  <c r="AI105" i="42"/>
  <c r="AI65" i="35"/>
  <c r="X85" i="39"/>
  <c r="X80" i="39"/>
  <c r="X70" i="37"/>
  <c r="V49" i="31"/>
  <c r="T49" i="31"/>
  <c r="D94" i="39"/>
  <c r="F94" i="39" s="1"/>
  <c r="H94" i="39" s="1"/>
  <c r="AE94" i="39"/>
  <c r="AG94" i="39" s="1"/>
  <c r="V84" i="38"/>
  <c r="AE99" i="40"/>
  <c r="R98" i="40"/>
  <c r="AE103" i="40"/>
  <c r="D99" i="40"/>
  <c r="L54" i="33"/>
  <c r="Z49" i="33"/>
  <c r="AB49" i="33" s="1"/>
  <c r="R72" i="34"/>
  <c r="T72" i="34" s="1"/>
  <c r="AR150" i="41"/>
  <c r="Z69" i="41"/>
  <c r="AB69" i="41" s="1"/>
  <c r="L74" i="41"/>
  <c r="N74" i="41" s="1"/>
  <c r="AQ74" i="41" s="1"/>
  <c r="H52" i="29"/>
  <c r="AI100" i="42"/>
  <c r="F99" i="41"/>
  <c r="J97" i="41"/>
  <c r="AE105" i="41"/>
  <c r="AI104" i="41" s="1"/>
  <c r="AG103" i="41"/>
  <c r="AG105" i="41" s="1"/>
  <c r="V69" i="36"/>
  <c r="V70" i="36" s="1"/>
  <c r="T69" i="36"/>
  <c r="T70" i="36" s="1"/>
  <c r="X69" i="36" s="1"/>
  <c r="H68" i="34"/>
  <c r="J105" i="42"/>
  <c r="H84" i="39"/>
  <c r="H85" i="39" s="1"/>
  <c r="J85" i="39" s="1"/>
  <c r="F85" i="39"/>
  <c r="J84" i="39" s="1"/>
  <c r="R93" i="39"/>
  <c r="V93" i="39" s="1"/>
  <c r="Z49" i="34"/>
  <c r="AB49" i="34" s="1"/>
  <c r="AR50" i="34" s="1"/>
  <c r="L54" i="34"/>
  <c r="N54" i="34" s="1"/>
  <c r="AQ54" i="34" s="1"/>
  <c r="D52" i="28"/>
  <c r="F52" i="28" s="1"/>
  <c r="R47" i="28"/>
  <c r="H67" i="32"/>
  <c r="D73" i="34"/>
  <c r="F73" i="34" s="1"/>
  <c r="H73" i="34" s="1"/>
  <c r="Z70" i="41"/>
  <c r="AB70" i="41" s="1"/>
  <c r="L75" i="41"/>
  <c r="N75" i="41" s="1"/>
  <c r="AQ75" i="41" s="1"/>
  <c r="H87" i="37"/>
  <c r="V47" i="29"/>
  <c r="T47" i="29"/>
  <c r="AG99" i="41"/>
  <c r="AG100" i="41" s="1"/>
  <c r="AE100" i="41"/>
  <c r="AI99" i="41" s="1"/>
  <c r="V53" i="59"/>
  <c r="T53" i="59"/>
  <c r="R79" i="37"/>
  <c r="D88" i="37"/>
  <c r="F88" i="37" s="1"/>
  <c r="H88" i="37" s="1"/>
  <c r="H89" i="40"/>
  <c r="H90" i="40" s="1"/>
  <c r="J90" i="40" s="1"/>
  <c r="F90" i="40"/>
  <c r="J89" i="40" s="1"/>
  <c r="J99" i="42"/>
  <c r="J100" i="42"/>
  <c r="T82" i="37"/>
  <c r="V82" i="37"/>
  <c r="T98" i="41"/>
  <c r="V98" i="41"/>
  <c r="H82" i="36"/>
  <c r="T79" i="38"/>
  <c r="T80" i="38" s="1"/>
  <c r="X79" i="38" s="1"/>
  <c r="V79" i="38"/>
  <c r="V80" i="38" s="1"/>
  <c r="H58" i="59"/>
  <c r="H69" i="36"/>
  <c r="H70" i="36" s="1"/>
  <c r="F70" i="36"/>
  <c r="J69" i="36" s="1"/>
  <c r="R82" i="36"/>
  <c r="D83" i="36"/>
  <c r="F83" i="36" s="1"/>
  <c r="H83" i="36" s="1"/>
  <c r="D87" i="36"/>
  <c r="F87" i="36" s="1"/>
  <c r="R77" i="35"/>
  <c r="D82" i="35"/>
  <c r="F82" i="35" s="1"/>
  <c r="D68" i="33"/>
  <c r="F68" i="33" s="1"/>
  <c r="R67" i="33"/>
  <c r="H54" i="33"/>
  <c r="H55" i="33" s="1"/>
  <c r="J55" i="33" s="1"/>
  <c r="F55" i="33"/>
  <c r="AG108" i="41"/>
  <c r="T77" i="36"/>
  <c r="V77" i="36"/>
  <c r="V67" i="34"/>
  <c r="T67" i="34"/>
  <c r="AI11" i="18"/>
  <c r="AI10" i="18"/>
  <c r="H50" i="31"/>
  <c r="AR150" i="47"/>
  <c r="AE45" i="30"/>
  <c r="AI44" i="30" s="1"/>
  <c r="L59" i="36"/>
  <c r="N59" i="36" s="1"/>
  <c r="AQ59" i="36" s="1"/>
  <c r="AG45" i="30"/>
  <c r="AI40" i="30"/>
  <c r="AR150" i="36"/>
  <c r="AR145" i="31"/>
  <c r="AR64" i="39"/>
  <c r="AT64" i="39" s="1"/>
  <c r="D11" i="39" s="1"/>
  <c r="J77" i="37"/>
  <c r="AR149" i="30"/>
  <c r="Z54" i="36"/>
  <c r="AB54" i="36" s="1"/>
  <c r="AK65" i="38"/>
  <c r="AM65" i="38" s="1"/>
  <c r="AS65" i="38" s="1"/>
  <c r="Z65" i="38"/>
  <c r="AB65" i="38" s="1"/>
  <c r="Z44" i="33"/>
  <c r="AB44" i="33" s="1"/>
  <c r="L49" i="33"/>
  <c r="N49" i="33" s="1"/>
  <c r="AQ49" i="33" s="1"/>
  <c r="AT49" i="33" s="1"/>
  <c r="D8" i="33" s="1"/>
  <c r="AK44" i="33"/>
  <c r="AM44" i="33" s="1"/>
  <c r="AS44" i="33" s="1"/>
  <c r="AR65" i="39"/>
  <c r="AT65" i="39" s="1"/>
  <c r="E11" i="39" s="1"/>
  <c r="AK69" i="41"/>
  <c r="AM69" i="41" s="1"/>
  <c r="AS69" i="41" s="1"/>
  <c r="AK44" i="34"/>
  <c r="AM44" i="34" s="1"/>
  <c r="AS44" i="34" s="1"/>
  <c r="Z44" i="34"/>
  <c r="AB44" i="34" s="1"/>
  <c r="AR45" i="34" s="1"/>
  <c r="AT45" i="34" s="1"/>
  <c r="E7" i="34" s="1"/>
  <c r="AK50" i="34" s="1"/>
  <c r="AM50" i="34" s="1"/>
  <c r="AS50" i="34" s="1"/>
  <c r="AT50" i="34" s="1"/>
  <c r="E8" i="34" s="1"/>
  <c r="L49" i="34"/>
  <c r="N49" i="34" s="1"/>
  <c r="AQ49" i="34" s="1"/>
  <c r="AT49" i="34" s="1"/>
  <c r="D8" i="34" s="1"/>
  <c r="AK70" i="41"/>
  <c r="AM70" i="41" s="1"/>
  <c r="AS70" i="41" s="1"/>
  <c r="AK64" i="38"/>
  <c r="AM64" i="38" s="1"/>
  <c r="AS64" i="38" s="1"/>
  <c r="Z64" i="38"/>
  <c r="AB64" i="38" s="1"/>
  <c r="AE80" i="37"/>
  <c r="AI79" i="37" s="1"/>
  <c r="X45" i="32"/>
  <c r="X150" i="39"/>
  <c r="AB150" i="39" s="1"/>
  <c r="AR149" i="39" s="1"/>
  <c r="X150" i="34"/>
  <c r="AB150" i="34" s="1"/>
  <c r="AR150" i="34" s="1"/>
  <c r="X55" i="34"/>
  <c r="X150" i="40"/>
  <c r="AB150" i="40" s="1"/>
  <c r="AR149" i="40" s="1"/>
  <c r="X150" i="28"/>
  <c r="AB150" i="28" s="1"/>
  <c r="AR150" i="28" s="1"/>
  <c r="X150" i="49"/>
  <c r="AB150" i="49" s="1"/>
  <c r="AR150" i="49" s="1"/>
  <c r="AG55" i="32"/>
  <c r="X150" i="46"/>
  <c r="AB150" i="46" s="1"/>
  <c r="AR150" i="46" s="1"/>
  <c r="X150" i="50"/>
  <c r="AB150" i="50" s="1"/>
  <c r="AR149" i="50" s="1"/>
  <c r="AI4" i="17"/>
  <c r="AJ4" i="17"/>
  <c r="AJ5" i="17"/>
  <c r="AI5" i="17"/>
  <c r="AJ8" i="17"/>
  <c r="AI8" i="17"/>
  <c r="AI6" i="17"/>
  <c r="AJ6" i="17"/>
  <c r="AR59" i="37"/>
  <c r="AT59" i="37" s="1"/>
  <c r="D10" i="37" s="1"/>
  <c r="L69" i="37" s="1"/>
  <c r="N69" i="37" s="1"/>
  <c r="AQ69" i="37" s="1"/>
  <c r="AR60" i="37"/>
  <c r="AT60" i="37" s="1"/>
  <c r="E10" i="37" s="1"/>
  <c r="L70" i="37" s="1"/>
  <c r="N70" i="37" s="1"/>
  <c r="AQ70" i="37" s="1"/>
  <c r="X150" i="44"/>
  <c r="AB150" i="44" s="1"/>
  <c r="AR150" i="44" s="1"/>
  <c r="X40" i="31"/>
  <c r="X150" i="37"/>
  <c r="AB150" i="37" s="1"/>
  <c r="AR149" i="37" s="1"/>
  <c r="AJ7" i="17"/>
  <c r="AI7" i="17"/>
  <c r="AA10" i="8"/>
  <c r="AG10" i="8" s="1"/>
  <c r="X75" i="38"/>
  <c r="X60" i="35"/>
  <c r="AJ10" i="17"/>
  <c r="AI10" i="17"/>
  <c r="AR35" i="30"/>
  <c r="AT35" i="30" s="1"/>
  <c r="E5" i="30" s="1"/>
  <c r="AR34" i="30"/>
  <c r="AT34" i="30" s="1"/>
  <c r="D5" i="30" s="1"/>
  <c r="H18" i="15"/>
  <c r="I18" i="15" s="1"/>
  <c r="D18" i="15"/>
  <c r="F18" i="15" s="1"/>
  <c r="G18" i="15" s="1"/>
  <c r="V38" i="29"/>
  <c r="T38" i="29"/>
  <c r="V34" i="29"/>
  <c r="V35" i="29" s="1"/>
  <c r="X35" i="29" s="1"/>
  <c r="AB35" i="29" s="1"/>
  <c r="T34" i="29"/>
  <c r="T35" i="29" s="1"/>
  <c r="X34" i="29" s="1"/>
  <c r="AB34" i="29" s="1"/>
  <c r="H15" i="12"/>
  <c r="I15" i="12" s="1"/>
  <c r="D15" i="12"/>
  <c r="F15" i="12" s="1"/>
  <c r="G15" i="12" s="1"/>
  <c r="AM21" i="61"/>
  <c r="AP21" i="17"/>
  <c r="C12" i="33"/>
  <c r="D77" i="33" s="1"/>
  <c r="B21" i="17"/>
  <c r="AH26" i="61"/>
  <c r="AP26" i="22"/>
  <c r="B26" i="22"/>
  <c r="C7" i="28"/>
  <c r="AA12" i="10"/>
  <c r="AG12" i="10" s="1"/>
  <c r="AJ9" i="17"/>
  <c r="AI9" i="17"/>
  <c r="AO19" i="61"/>
  <c r="C14" i="35"/>
  <c r="R69" i="35" s="1"/>
  <c r="B19" i="15"/>
  <c r="AP19" i="15"/>
  <c r="V42" i="29"/>
  <c r="T42" i="29"/>
  <c r="J79" i="38"/>
  <c r="J80" i="38"/>
  <c r="AR16" i="61"/>
  <c r="D197" i="66" s="1"/>
  <c r="A197" i="66" s="1"/>
  <c r="AP16" i="12"/>
  <c r="C17" i="38"/>
  <c r="AE98" i="38" s="1"/>
  <c r="B16" i="12"/>
  <c r="H47" i="30"/>
  <c r="AA11" i="9"/>
  <c r="AG11" i="9" s="1"/>
  <c r="V68" i="35"/>
  <c r="T68" i="35"/>
  <c r="H27" i="24"/>
  <c r="I27" i="24" s="1"/>
  <c r="D27" i="24"/>
  <c r="F27" i="24" s="1"/>
  <c r="G27" i="24" s="1"/>
  <c r="AG80" i="37"/>
  <c r="BA7" i="61"/>
  <c r="C26" i="47"/>
  <c r="AP7" i="3"/>
  <c r="B7" i="3"/>
  <c r="AG40" i="29"/>
  <c r="H23" i="20"/>
  <c r="I23" i="20" s="1"/>
  <c r="D23" i="20"/>
  <c r="F23" i="20" s="1"/>
  <c r="G23" i="20" s="1"/>
  <c r="F89" i="39"/>
  <c r="J87" i="39"/>
  <c r="AN20" i="61"/>
  <c r="C13" i="34"/>
  <c r="AP20" i="16"/>
  <c r="B20" i="16"/>
  <c r="AG9" i="9"/>
  <c r="X150" i="27"/>
  <c r="AB150" i="27" s="1"/>
  <c r="AR149" i="27" s="1"/>
  <c r="AE84" i="37"/>
  <c r="AG84" i="37" s="1"/>
  <c r="AE88" i="37"/>
  <c r="R83" i="37"/>
  <c r="D84" i="37"/>
  <c r="AL22" i="61"/>
  <c r="L257" i="66" s="1"/>
  <c r="AP22" i="18"/>
  <c r="C11" i="32"/>
  <c r="B22" i="18"/>
  <c r="F10" i="8"/>
  <c r="AV12" i="9"/>
  <c r="F150" i="26"/>
  <c r="H147" i="26"/>
  <c r="H150" i="26" s="1"/>
  <c r="H8" i="5"/>
  <c r="I8" i="5" s="1"/>
  <c r="D8" i="5"/>
  <c r="AG38" i="28"/>
  <c r="F38" i="28"/>
  <c r="J40" i="30"/>
  <c r="N40" i="30" s="1"/>
  <c r="AQ40" i="30" s="1"/>
  <c r="J39" i="30"/>
  <c r="N39" i="30" s="1"/>
  <c r="AQ39" i="30" s="1"/>
  <c r="F150" i="45"/>
  <c r="H147" i="45"/>
  <c r="H150" i="45" s="1"/>
  <c r="H42" i="29"/>
  <c r="Y1" i="16"/>
  <c r="AB12" i="16" s="1"/>
  <c r="D43" i="28"/>
  <c r="F43" i="28" s="1"/>
  <c r="H43" i="28" s="1"/>
  <c r="AE39" i="28"/>
  <c r="AG39" i="28" s="1"/>
  <c r="R34" i="28"/>
  <c r="R38" i="28"/>
  <c r="D39" i="28"/>
  <c r="F39" i="28" s="1"/>
  <c r="H39" i="28" s="1"/>
  <c r="AE43" i="28"/>
  <c r="R42" i="28"/>
  <c r="D47" i="28"/>
  <c r="AV24" i="21"/>
  <c r="V57" i="59"/>
  <c r="T57" i="59"/>
  <c r="AI53" i="59"/>
  <c r="AI54" i="59" s="1"/>
  <c r="AE53" i="59"/>
  <c r="H16" i="13"/>
  <c r="I16" i="13" s="1"/>
  <c r="D16" i="13"/>
  <c r="F16" i="13" s="1"/>
  <c r="G16" i="13" s="1"/>
  <c r="AF5" i="6"/>
  <c r="AF6" i="6" s="1"/>
  <c r="AF7" i="6" s="1"/>
  <c r="AS15" i="61"/>
  <c r="B15" i="11"/>
  <c r="C18" i="39"/>
  <c r="AP15" i="11"/>
  <c r="AR145" i="37"/>
  <c r="F150" i="30"/>
  <c r="H147" i="30"/>
  <c r="H150" i="30" s="1"/>
  <c r="F4" i="2"/>
  <c r="T62" i="33"/>
  <c r="V62" i="33"/>
  <c r="V58" i="33"/>
  <c r="T58" i="33"/>
  <c r="H5" i="2"/>
  <c r="I5" i="2" s="1"/>
  <c r="D5" i="2"/>
  <c r="F5" i="2" s="1"/>
  <c r="G5" i="2" s="1"/>
  <c r="D22" i="53"/>
  <c r="F22" i="53" s="1"/>
  <c r="G22" i="53" s="1"/>
  <c r="H22" i="53"/>
  <c r="I22" i="53" s="1"/>
  <c r="AV22" i="19"/>
  <c r="AV9" i="6"/>
  <c r="AI50" i="32"/>
  <c r="AE90" i="39"/>
  <c r="AI89" i="39" s="1"/>
  <c r="AE55" i="32"/>
  <c r="AI54" i="32" s="1"/>
  <c r="AJ13" i="17"/>
  <c r="AI13" i="17"/>
  <c r="J47" i="31"/>
  <c r="H147" i="46"/>
  <c r="H150" i="46" s="1"/>
  <c r="F150" i="46"/>
  <c r="F62" i="32"/>
  <c r="AG58" i="32"/>
  <c r="AI14" i="18"/>
  <c r="AJ14" i="18"/>
  <c r="F174" i="59"/>
  <c r="H171" i="59"/>
  <c r="H174" i="59" s="1"/>
  <c r="F57" i="31"/>
  <c r="AG78" i="36"/>
  <c r="AE85" i="38"/>
  <c r="AI84" i="38" s="1"/>
  <c r="AV10" i="7"/>
  <c r="AG68" i="34"/>
  <c r="AV11" i="8"/>
  <c r="AR150" i="38"/>
  <c r="AR150" i="48"/>
  <c r="AR149" i="48"/>
  <c r="AK39" i="31"/>
  <c r="AM39" i="31" s="1"/>
  <c r="AS39" i="31" s="1"/>
  <c r="Z39" i="31"/>
  <c r="AB39" i="31" s="1"/>
  <c r="L44" i="31"/>
  <c r="N44" i="31" s="1"/>
  <c r="AQ44" i="31" s="1"/>
  <c r="AR144" i="44"/>
  <c r="AV20" i="17"/>
  <c r="H20" i="17"/>
  <c r="I20" i="17" s="1"/>
  <c r="D20" i="17"/>
  <c r="F20" i="17" s="1"/>
  <c r="G20" i="17" s="1"/>
  <c r="AV25" i="22"/>
  <c r="AG4" i="3"/>
  <c r="H47" i="59"/>
  <c r="H48" i="59" s="1"/>
  <c r="J48" i="59" s="1"/>
  <c r="F48" i="59"/>
  <c r="J47" i="59" s="1"/>
  <c r="AE79" i="36"/>
  <c r="AG79" i="36" s="1"/>
  <c r="AE83" i="36"/>
  <c r="R78" i="36"/>
  <c r="R74" i="36"/>
  <c r="D79" i="36"/>
  <c r="F79" i="36" s="1"/>
  <c r="H79" i="36" s="1"/>
  <c r="AG43" i="29"/>
  <c r="X15" i="13"/>
  <c r="AA15" i="13"/>
  <c r="AV15" i="12"/>
  <c r="AV34" i="59"/>
  <c r="B18" i="58" s="1" a="1"/>
  <c r="D5" i="59"/>
  <c r="F5" i="59"/>
  <c r="AE34" i="27"/>
  <c r="R33" i="27"/>
  <c r="D38" i="27"/>
  <c r="AE38" i="27"/>
  <c r="R37" i="27"/>
  <c r="D42" i="27"/>
  <c r="AV6" i="3"/>
  <c r="AE40" i="29"/>
  <c r="AI39" i="29" s="1"/>
  <c r="X42" i="59"/>
  <c r="AA13" i="12"/>
  <c r="AG13" i="12" s="1"/>
  <c r="T78" i="37"/>
  <c r="V78" i="37"/>
  <c r="AE54" i="31"/>
  <c r="AG54" i="31" s="1"/>
  <c r="AE58" i="31"/>
  <c r="R53" i="31"/>
  <c r="D54" i="31"/>
  <c r="D58" i="31"/>
  <c r="F58" i="31" s="1"/>
  <c r="H58" i="31" s="1"/>
  <c r="D62" i="31"/>
  <c r="R57" i="31"/>
  <c r="T93" i="39"/>
  <c r="AG98" i="39"/>
  <c r="AG93" i="39"/>
  <c r="AG95" i="39" s="1"/>
  <c r="AF10" i="10"/>
  <c r="AF11" i="10" s="1"/>
  <c r="AE74" i="35"/>
  <c r="AG74" i="35" s="1"/>
  <c r="R64" i="35"/>
  <c r="R73" i="35"/>
  <c r="D74" i="35"/>
  <c r="AE78" i="35"/>
  <c r="D78" i="35"/>
  <c r="AP18" i="61"/>
  <c r="C15" i="36"/>
  <c r="AP18" i="14"/>
  <c r="B18" i="14"/>
  <c r="AE64" i="33"/>
  <c r="AG64" i="33" s="1"/>
  <c r="AE68" i="33"/>
  <c r="D64" i="33"/>
  <c r="R63" i="33"/>
  <c r="R59" i="33"/>
  <c r="AU13" i="61"/>
  <c r="AP13" i="9"/>
  <c r="Y12" i="9" s="1"/>
  <c r="C20" i="41"/>
  <c r="B13" i="9"/>
  <c r="AF12" i="12"/>
  <c r="BC5" i="61"/>
  <c r="C28" i="49"/>
  <c r="B5" i="1"/>
  <c r="AP5" i="1"/>
  <c r="Y4" i="1" s="1"/>
  <c r="AV8" i="5"/>
  <c r="H62" i="33"/>
  <c r="V33" i="28"/>
  <c r="T33" i="28"/>
  <c r="V39" i="30"/>
  <c r="V40" i="30" s="1"/>
  <c r="T39" i="30"/>
  <c r="T40" i="30" s="1"/>
  <c r="X39" i="30" s="1"/>
  <c r="V43" i="30"/>
  <c r="T43" i="30"/>
  <c r="AJ15" i="17"/>
  <c r="AI15" i="17"/>
  <c r="AF15" i="16"/>
  <c r="AF16" i="16" s="1"/>
  <c r="AI1" i="16"/>
  <c r="AG27" i="61"/>
  <c r="B27" i="23"/>
  <c r="AP27" i="23"/>
  <c r="C6" i="27"/>
  <c r="H24" i="21"/>
  <c r="I24" i="21" s="1"/>
  <c r="D24" i="21"/>
  <c r="F24" i="21" s="1"/>
  <c r="G24" i="21" s="1"/>
  <c r="F53" i="59"/>
  <c r="J51" i="59"/>
  <c r="AI58" i="59"/>
  <c r="AE58" i="59"/>
  <c r="AV16" i="13"/>
  <c r="AV14" i="11"/>
  <c r="AV7" i="4"/>
  <c r="V83" i="38"/>
  <c r="V85" i="38" s="1"/>
  <c r="T83" i="38"/>
  <c r="AG63" i="33"/>
  <c r="AV5" i="2"/>
  <c r="R58" i="32"/>
  <c r="AE59" i="32"/>
  <c r="AG59" i="32" s="1"/>
  <c r="R54" i="32"/>
  <c r="AE63" i="32"/>
  <c r="R62" i="32"/>
  <c r="D59" i="32"/>
  <c r="D63" i="32"/>
  <c r="F63" i="32" s="1"/>
  <c r="H63" i="32" s="1"/>
  <c r="D72" i="32"/>
  <c r="AK23" i="61"/>
  <c r="C10" i="59"/>
  <c r="AP23" i="19"/>
  <c r="B23" i="19"/>
  <c r="C10" i="31"/>
  <c r="D67" i="31" s="1"/>
  <c r="F67" i="31" s="1"/>
  <c r="AP23" i="53"/>
  <c r="B23" i="53"/>
  <c r="AV13" i="10"/>
  <c r="AG90" i="39"/>
  <c r="H77" i="35"/>
  <c r="AJ5" i="18"/>
  <c r="AI5" i="18"/>
  <c r="V48" i="31"/>
  <c r="T48" i="31"/>
  <c r="T50" i="31" s="1"/>
  <c r="X49" i="31" s="1"/>
  <c r="Y6" i="4"/>
  <c r="F78" i="36"/>
  <c r="V73" i="36"/>
  <c r="T73" i="36"/>
  <c r="G4" i="3"/>
  <c r="H10" i="7"/>
  <c r="I10" i="7" s="1"/>
  <c r="D10" i="7"/>
  <c r="V59" i="34"/>
  <c r="V60" i="34" s="1"/>
  <c r="T59" i="34"/>
  <c r="T60" i="34" s="1"/>
  <c r="X59" i="34" s="1"/>
  <c r="H11" i="8"/>
  <c r="I11" i="8" s="1"/>
  <c r="D11" i="8"/>
  <c r="F11" i="8" s="1"/>
  <c r="G11" i="8" s="1"/>
  <c r="F150" i="39"/>
  <c r="H147" i="39"/>
  <c r="H150" i="39" s="1"/>
  <c r="F150" i="36"/>
  <c r="H147" i="36"/>
  <c r="H150" i="36" s="1"/>
  <c r="AR145" i="40"/>
  <c r="AR149" i="29"/>
  <c r="H25" i="22"/>
  <c r="I25" i="22" s="1"/>
  <c r="D25" i="22"/>
  <c r="F25" i="22" s="1"/>
  <c r="G25" i="22" s="1"/>
  <c r="AA8" i="7"/>
  <c r="X7" i="7"/>
  <c r="J70" i="36"/>
  <c r="AE69" i="34"/>
  <c r="AG69" i="34" s="1"/>
  <c r="AE73" i="34"/>
  <c r="D69" i="34"/>
  <c r="R68" i="34"/>
  <c r="AE44" i="29"/>
  <c r="AG44" i="29" s="1"/>
  <c r="R43" i="29"/>
  <c r="AE48" i="29"/>
  <c r="D44" i="29"/>
  <c r="F44" i="29" s="1"/>
  <c r="H44" i="29" s="1"/>
  <c r="D48" i="29"/>
  <c r="F48" i="29" s="1"/>
  <c r="H48" i="29" s="1"/>
  <c r="H74" i="37"/>
  <c r="H75" i="37" s="1"/>
  <c r="J75" i="37" s="1"/>
  <c r="F75" i="37"/>
  <c r="J74" i="37" s="1"/>
  <c r="AA9" i="8"/>
  <c r="AG9" i="8" s="1"/>
  <c r="AV18" i="15"/>
  <c r="F47" i="29"/>
  <c r="AF14" i="14"/>
  <c r="X150" i="45"/>
  <c r="AB150" i="45" s="1"/>
  <c r="AR150" i="45" s="1"/>
  <c r="X11" i="10"/>
  <c r="Z42" i="59"/>
  <c r="AM42" i="59"/>
  <c r="AO42" i="59" s="1"/>
  <c r="AU42" i="59" s="1"/>
  <c r="L48" i="59"/>
  <c r="AA7" i="5"/>
  <c r="AG73" i="35"/>
  <c r="X150" i="31"/>
  <c r="AB150" i="31" s="1"/>
  <c r="AR149" i="31" s="1"/>
  <c r="B28" i="24"/>
  <c r="T31" i="61"/>
  <c r="AP28" i="24"/>
  <c r="C5" i="26"/>
  <c r="AA8" i="6"/>
  <c r="H59" i="34"/>
  <c r="H60" i="34" s="1"/>
  <c r="J60" i="34" s="1"/>
  <c r="F60" i="34"/>
  <c r="J59" i="34" s="1"/>
  <c r="AJ11" i="17"/>
  <c r="AI11" i="17"/>
  <c r="AG83" i="37"/>
  <c r="G8" i="7"/>
  <c r="AV23" i="20"/>
  <c r="AJ24" i="61"/>
  <c r="AP24" i="20"/>
  <c r="C9" i="30"/>
  <c r="R49" i="30" s="1"/>
  <c r="B24" i="20"/>
  <c r="X15" i="14"/>
  <c r="AA15" i="14"/>
  <c r="V88" i="39"/>
  <c r="T88" i="39"/>
  <c r="H147" i="37"/>
  <c r="H150" i="37" s="1"/>
  <c r="F150" i="37"/>
  <c r="X150" i="43"/>
  <c r="AB150" i="43" s="1"/>
  <c r="AR150" i="43" s="1"/>
  <c r="AV19" i="16"/>
  <c r="AV17" i="14"/>
  <c r="H21" i="18"/>
  <c r="I21" i="18" s="1"/>
  <c r="D21" i="18"/>
  <c r="F21" i="18" s="1"/>
  <c r="G21" i="18" s="1"/>
  <c r="J95" i="40"/>
  <c r="N95" i="40" s="1"/>
  <c r="AQ95" i="40" s="1"/>
  <c r="J94" i="40"/>
  <c r="N94" i="40" s="1"/>
  <c r="AQ94" i="40" s="1"/>
  <c r="X12" i="12"/>
  <c r="D4" i="1"/>
  <c r="H4" i="1"/>
  <c r="I4" i="1" s="1"/>
  <c r="AG34" i="28"/>
  <c r="AG35" i="28" s="1"/>
  <c r="AE35" i="28"/>
  <c r="AI34" i="28" s="1"/>
  <c r="AM34" i="28" s="1"/>
  <c r="AS34" i="28" s="1"/>
  <c r="F44" i="30"/>
  <c r="J42" i="30"/>
  <c r="X65" i="37"/>
  <c r="AI35" i="29"/>
  <c r="AM35" i="29" s="1"/>
  <c r="AS35" i="29" s="1"/>
  <c r="AJ16" i="17"/>
  <c r="AI16" i="17"/>
  <c r="X150" i="33"/>
  <c r="AB150" i="33" s="1"/>
  <c r="AR149" i="33" s="1"/>
  <c r="H26" i="23"/>
  <c r="I26" i="23" s="1"/>
  <c r="D26" i="23"/>
  <c r="F26" i="23" s="1"/>
  <c r="G26" i="23" s="1"/>
  <c r="AI25" i="61"/>
  <c r="D270" i="66" s="1"/>
  <c r="B25" i="21"/>
  <c r="C8" i="29"/>
  <c r="AP25" i="21"/>
  <c r="T47" i="59"/>
  <c r="T48" i="59" s="1"/>
  <c r="X47" i="59" s="1"/>
  <c r="V47" i="59"/>
  <c r="V48" i="59" s="1"/>
  <c r="AQ17" i="61"/>
  <c r="AP17" i="13"/>
  <c r="B17" i="13"/>
  <c r="C16" i="37"/>
  <c r="Y14" i="12"/>
  <c r="H7" i="4"/>
  <c r="I7" i="4" s="1"/>
  <c r="D7" i="4"/>
  <c r="F7" i="4" s="1"/>
  <c r="G7" i="4" s="1"/>
  <c r="AG88" i="38"/>
  <c r="Y1" i="15"/>
  <c r="AB12" i="15" s="1"/>
  <c r="V54" i="33"/>
  <c r="V55" i="33" s="1"/>
  <c r="T54" i="33"/>
  <c r="T55" i="33" s="1"/>
  <c r="X54" i="33" s="1"/>
  <c r="BB6" i="61"/>
  <c r="AP6" i="2"/>
  <c r="C27" i="48"/>
  <c r="B6" i="2"/>
  <c r="AV22" i="53"/>
  <c r="H9" i="6"/>
  <c r="I9" i="6" s="1"/>
  <c r="D9" i="6"/>
  <c r="F9" i="6" s="1"/>
  <c r="G9" i="6" s="1"/>
  <c r="AT14" i="61"/>
  <c r="C19" i="40"/>
  <c r="AP14" i="10"/>
  <c r="Y13" i="10" s="1"/>
  <c r="B14" i="10"/>
  <c r="AI65" i="34"/>
  <c r="AG70" i="35"/>
  <c r="H57" i="32"/>
  <c r="J37" i="29"/>
  <c r="AJ14" i="17"/>
  <c r="AI14" i="17"/>
  <c r="V57" i="32"/>
  <c r="T57" i="32"/>
  <c r="T53" i="32"/>
  <c r="V53" i="32"/>
  <c r="AJ4" i="18"/>
  <c r="AI4" i="18"/>
  <c r="AJ6" i="18"/>
  <c r="AI6" i="18"/>
  <c r="V44" i="31"/>
  <c r="V45" i="31" s="1"/>
  <c r="T44" i="31"/>
  <c r="T45" i="31" s="1"/>
  <c r="X44" i="31" s="1"/>
  <c r="AG11" i="11"/>
  <c r="F74" i="36"/>
  <c r="J72" i="36"/>
  <c r="F77" i="34"/>
  <c r="T63" i="34"/>
  <c r="V63" i="34"/>
  <c r="AF7" i="7"/>
  <c r="Y4" i="2"/>
  <c r="AF13" i="13"/>
  <c r="AF14" i="13" s="1"/>
  <c r="AF4" i="5"/>
  <c r="AF5" i="5" s="1"/>
  <c r="AF6" i="5" s="1"/>
  <c r="X8" i="8"/>
  <c r="F69" i="35"/>
  <c r="J67" i="35"/>
  <c r="AV27" i="24"/>
  <c r="AI80" i="38"/>
  <c r="H78" i="37"/>
  <c r="H80" i="37" s="1"/>
  <c r="J80" i="37" s="1"/>
  <c r="F80" i="37"/>
  <c r="H6" i="3"/>
  <c r="I6" i="3" s="1"/>
  <c r="D6" i="3"/>
  <c r="F6" i="3" s="1"/>
  <c r="G6" i="3" s="1"/>
  <c r="H72" i="34"/>
  <c r="V74" i="37"/>
  <c r="V75" i="37" s="1"/>
  <c r="T74" i="37"/>
  <c r="T75" i="37" s="1"/>
  <c r="X74" i="37" s="1"/>
  <c r="AG59" i="59"/>
  <c r="AG60" i="59" s="1"/>
  <c r="AK59" i="59" s="1"/>
  <c r="R58" i="59"/>
  <c r="AG64" i="59"/>
  <c r="D59" i="59"/>
  <c r="R63" i="59"/>
  <c r="D64" i="59"/>
  <c r="F64" i="59" s="1"/>
  <c r="H64" i="59" s="1"/>
  <c r="D69" i="59"/>
  <c r="AF4" i="4"/>
  <c r="AF5" i="4" s="1"/>
  <c r="F6" i="4"/>
  <c r="H19" i="16"/>
  <c r="I19" i="16" s="1"/>
  <c r="D19" i="16"/>
  <c r="F19" i="16" s="1"/>
  <c r="G19" i="16" s="1"/>
  <c r="G6" i="5"/>
  <c r="H17" i="14"/>
  <c r="I17" i="14" s="1"/>
  <c r="D17" i="14"/>
  <c r="F17" i="14" s="1"/>
  <c r="G17" i="14" s="1"/>
  <c r="AV21" i="18"/>
  <c r="H12" i="9"/>
  <c r="I12" i="9" s="1"/>
  <c r="D12" i="9"/>
  <c r="F12" i="9" s="1"/>
  <c r="AV4" i="1"/>
  <c r="AY9" i="61"/>
  <c r="B9" i="5"/>
  <c r="C24" i="45"/>
  <c r="AP9" i="5"/>
  <c r="F42" i="28"/>
  <c r="V37" i="28"/>
  <c r="T37" i="28"/>
  <c r="AG48" i="30"/>
  <c r="AF7" i="8"/>
  <c r="AF8" i="8" s="1"/>
  <c r="H49" i="32"/>
  <c r="H50" i="32" s="1"/>
  <c r="J50" i="32" s="1"/>
  <c r="F50" i="32"/>
  <c r="J49" i="32" s="1"/>
  <c r="F150" i="48"/>
  <c r="J149" i="48" s="1"/>
  <c r="N149" i="48" s="1"/>
  <c r="AQ149" i="48" s="1"/>
  <c r="H147" i="48"/>
  <c r="H150" i="48" s="1"/>
  <c r="J150" i="48" s="1"/>
  <c r="N150" i="48" s="1"/>
  <c r="AQ150" i="48" s="1"/>
  <c r="AV26" i="23"/>
  <c r="AE49" i="30"/>
  <c r="AG49" i="30" s="1"/>
  <c r="AE53" i="30"/>
  <c r="R48" i="30"/>
  <c r="R44" i="30"/>
  <c r="D49" i="30"/>
  <c r="R52" i="30"/>
  <c r="D57" i="30"/>
  <c r="F63" i="59"/>
  <c r="V52" i="59"/>
  <c r="V54" i="59" s="1"/>
  <c r="T52" i="59"/>
  <c r="T54" i="59" s="1"/>
  <c r="X53" i="59" s="1"/>
  <c r="AE89" i="38"/>
  <c r="AG89" i="38" s="1"/>
  <c r="R88" i="38"/>
  <c r="D89" i="38"/>
  <c r="AE93" i="38"/>
  <c r="AE94" i="38"/>
  <c r="AG94" i="38" s="1"/>
  <c r="H14" i="11"/>
  <c r="I14" i="11" s="1"/>
  <c r="D14" i="11"/>
  <c r="F14" i="11" s="1"/>
  <c r="G14" i="11" s="1"/>
  <c r="AZ8" i="61"/>
  <c r="B8" i="4"/>
  <c r="C25" i="46"/>
  <c r="AP8" i="4"/>
  <c r="Y9" i="7"/>
  <c r="X8" i="7" s="1"/>
  <c r="F84" i="38"/>
  <c r="J82" i="38"/>
  <c r="AF15" i="15"/>
  <c r="AF16" i="15" s="1"/>
  <c r="AI1" i="15"/>
  <c r="F72" i="33"/>
  <c r="F59" i="33"/>
  <c r="J57" i="33"/>
  <c r="H22" i="19"/>
  <c r="I22" i="19" s="1"/>
  <c r="D22" i="19"/>
  <c r="F22" i="19" s="1"/>
  <c r="G22" i="19" s="1"/>
  <c r="J54" i="33"/>
  <c r="N54" i="33" s="1"/>
  <c r="AQ54" i="33" s="1"/>
  <c r="AX10" i="61"/>
  <c r="EX133" i="61" s="1"/>
  <c r="GI133" i="61" s="1"/>
  <c r="B10" i="6"/>
  <c r="AP10" i="6"/>
  <c r="C23" i="44"/>
  <c r="H13" i="10"/>
  <c r="I13" i="10" s="1"/>
  <c r="D13" i="10"/>
  <c r="F13" i="10" s="1"/>
  <c r="G13" i="10" s="1"/>
  <c r="Y5" i="3"/>
  <c r="AE70" i="35"/>
  <c r="AI69" i="35" s="1"/>
  <c r="H38" i="29"/>
  <c r="H40" i="29" s="1"/>
  <c r="F40" i="29"/>
  <c r="AG54" i="59"/>
  <c r="AK53" i="59" s="1"/>
  <c r="F54" i="32"/>
  <c r="J52" i="32"/>
  <c r="AI8" i="18"/>
  <c r="AJ8" i="18"/>
  <c r="AJ7" i="18"/>
  <c r="AI7" i="18"/>
  <c r="T52" i="31"/>
  <c r="V52" i="31"/>
  <c r="AG53" i="31"/>
  <c r="X7" i="6"/>
  <c r="V64" i="36"/>
  <c r="V65" i="36" s="1"/>
  <c r="T64" i="36"/>
  <c r="T65" i="36" s="1"/>
  <c r="X64" i="36" s="1"/>
  <c r="AG85" i="38"/>
  <c r="AW11" i="61"/>
  <c r="AP11" i="7"/>
  <c r="C22" i="43"/>
  <c r="B11" i="7"/>
  <c r="F64" i="34"/>
  <c r="J62" i="34"/>
  <c r="AV12" i="61"/>
  <c r="AP12" i="8"/>
  <c r="C21" i="42"/>
  <c r="B12" i="8"/>
  <c r="F150" i="43"/>
  <c r="H147" i="43"/>
  <c r="H150" i="43" s="1"/>
  <c r="X14" i="13"/>
  <c r="AK40" i="31"/>
  <c r="AM40" i="31" s="1"/>
  <c r="AS40" i="31" s="1"/>
  <c r="Z40" i="31"/>
  <c r="L45" i="31"/>
  <c r="N45" i="31" s="1"/>
  <c r="AQ45" i="31" s="1"/>
  <c r="X10" i="9"/>
  <c r="AR54" i="35" l="1"/>
  <c r="AT54" i="35" s="1"/>
  <c r="D9" i="35" s="1"/>
  <c r="L64" i="35" s="1"/>
  <c r="N64" i="35" s="1"/>
  <c r="AQ64" i="35" s="1"/>
  <c r="AI130" i="47"/>
  <c r="AG85" i="37"/>
  <c r="T85" i="38"/>
  <c r="X84" i="38" s="1"/>
  <c r="AR149" i="34"/>
  <c r="J102" i="41"/>
  <c r="AI45" i="30"/>
  <c r="A235" i="66"/>
  <c r="AG120" i="44"/>
  <c r="B247" i="66"/>
  <c r="D193" i="66"/>
  <c r="A193" i="66" s="1"/>
  <c r="T103" i="41"/>
  <c r="D280" i="65"/>
  <c r="V72" i="34"/>
  <c r="AB50" i="33"/>
  <c r="J280" i="66"/>
  <c r="B280" i="65" s="1"/>
  <c r="B326" i="66"/>
  <c r="AK69" i="42"/>
  <c r="AM69" i="42" s="1"/>
  <c r="AS69" i="42" s="1"/>
  <c r="AK70" i="42"/>
  <c r="AM70" i="42" s="1"/>
  <c r="AS70" i="42" s="1"/>
  <c r="AE115" i="43"/>
  <c r="AI114" i="43" s="1"/>
  <c r="B193" i="66"/>
  <c r="I257" i="66"/>
  <c r="D257" i="65"/>
  <c r="A257" i="65" s="1"/>
  <c r="J257" i="66"/>
  <c r="B257" i="65" s="1"/>
  <c r="D236" i="66"/>
  <c r="B236" i="66" s="1"/>
  <c r="D204" i="66"/>
  <c r="L221" i="66"/>
  <c r="D244" i="65"/>
  <c r="A244" i="65" s="1"/>
  <c r="I244" i="66"/>
  <c r="J244" i="66"/>
  <c r="B244" i="65" s="1"/>
  <c r="AI50" i="31"/>
  <c r="D248" i="66"/>
  <c r="B248" i="66" s="1"/>
  <c r="J304" i="66"/>
  <c r="B304" i="65" s="1"/>
  <c r="D304" i="65"/>
  <c r="I304" i="66"/>
  <c r="B270" i="66"/>
  <c r="A270" i="66"/>
  <c r="L365" i="66"/>
  <c r="D365" i="65" s="1"/>
  <c r="A365" i="65" s="1"/>
  <c r="L317" i="66"/>
  <c r="D220" i="65"/>
  <c r="A220" i="65" s="1"/>
  <c r="I220" i="66"/>
  <c r="J220" i="66"/>
  <c r="B220" i="65" s="1"/>
  <c r="L233" i="66"/>
  <c r="D215" i="66"/>
  <c r="D327" i="66"/>
  <c r="B327" i="66" s="1"/>
  <c r="L305" i="66"/>
  <c r="D226" i="66"/>
  <c r="L245" i="66"/>
  <c r="A203" i="66"/>
  <c r="B203" i="66"/>
  <c r="J92" i="39"/>
  <c r="AR40" i="32"/>
  <c r="AT40" i="32" s="1"/>
  <c r="E6" i="32" s="1"/>
  <c r="AE120" i="44"/>
  <c r="AI119" i="44" s="1"/>
  <c r="AG130" i="46"/>
  <c r="AI150" i="47"/>
  <c r="J150" i="47"/>
  <c r="N150" i="47" s="1"/>
  <c r="AQ150" i="47" s="1"/>
  <c r="AK84" i="48"/>
  <c r="AM84" i="48" s="1"/>
  <c r="AS84" i="48" s="1"/>
  <c r="X110" i="44"/>
  <c r="L89" i="48"/>
  <c r="N89" i="48" s="1"/>
  <c r="AQ89" i="48" s="1"/>
  <c r="X100" i="42"/>
  <c r="AG115" i="43"/>
  <c r="AE130" i="46"/>
  <c r="AI129" i="46" s="1"/>
  <c r="AI130" i="46" s="1"/>
  <c r="Z80" i="46"/>
  <c r="AB80" i="46" s="1"/>
  <c r="AR80" i="46" s="1"/>
  <c r="L85" i="46"/>
  <c r="N85" i="46" s="1"/>
  <c r="AQ85" i="46" s="1"/>
  <c r="AP11" i="46"/>
  <c r="AR11" i="46" s="1"/>
  <c r="AL13" i="46" s="1"/>
  <c r="Z85" i="48"/>
  <c r="AB85" i="48" s="1"/>
  <c r="AR85" i="48" s="1"/>
  <c r="L90" i="48"/>
  <c r="N90" i="48" s="1"/>
  <c r="AQ90" i="48" s="1"/>
  <c r="AK85" i="48"/>
  <c r="AM85" i="48" s="1"/>
  <c r="AS85" i="48" s="1"/>
  <c r="A327" i="66"/>
  <c r="L281" i="66"/>
  <c r="B197" i="66"/>
  <c r="I196" i="66"/>
  <c r="D196" i="65"/>
  <c r="A196" i="65" s="1"/>
  <c r="J196" i="66"/>
  <c r="B196" i="65" s="1"/>
  <c r="D238" i="65"/>
  <c r="I238" i="66"/>
  <c r="J238" i="66"/>
  <c r="B238" i="65" s="1"/>
  <c r="D224" i="65"/>
  <c r="I224" i="66"/>
  <c r="J224" i="66"/>
  <c r="B224" i="65" s="1"/>
  <c r="B183" i="66"/>
  <c r="A183" i="66"/>
  <c r="B222" i="66"/>
  <c r="A222" i="66"/>
  <c r="B209" i="66"/>
  <c r="A209" i="66"/>
  <c r="D210" i="66"/>
  <c r="L225" i="66"/>
  <c r="L267" i="66"/>
  <c r="J266" i="66"/>
  <c r="B266" i="65" s="1"/>
  <c r="D266" i="65"/>
  <c r="I266" i="66"/>
  <c r="AP16" i="46"/>
  <c r="AR16" i="46" s="1"/>
  <c r="AK80" i="46"/>
  <c r="AM80" i="46" s="1"/>
  <c r="AS80" i="46" s="1"/>
  <c r="D223" i="66"/>
  <c r="L239" i="66"/>
  <c r="Z70" i="42"/>
  <c r="AB70" i="42" s="1"/>
  <c r="AR70" i="42" s="1"/>
  <c r="AT70" i="42" s="1"/>
  <c r="E12" i="42" s="1"/>
  <c r="R109" i="42"/>
  <c r="D118" i="42"/>
  <c r="F118" i="42" s="1"/>
  <c r="H118" i="42" s="1"/>
  <c r="D114" i="42"/>
  <c r="F114" i="42" s="1"/>
  <c r="H114" i="42" s="1"/>
  <c r="AE118" i="42"/>
  <c r="AE114" i="42"/>
  <c r="AG114" i="42" s="1"/>
  <c r="R113" i="42"/>
  <c r="R99" i="40"/>
  <c r="D108" i="40"/>
  <c r="F108" i="40" s="1"/>
  <c r="H108" i="40" s="1"/>
  <c r="R107" i="40"/>
  <c r="D112" i="40"/>
  <c r="F112" i="40" s="1"/>
  <c r="R84" i="37"/>
  <c r="D98" i="37"/>
  <c r="F98" i="37" s="1"/>
  <c r="H98" i="37" s="1"/>
  <c r="R97" i="37"/>
  <c r="D102" i="37"/>
  <c r="F102" i="37" s="1"/>
  <c r="D427" i="66"/>
  <c r="L449" i="66"/>
  <c r="D313" i="66"/>
  <c r="D389" i="66"/>
  <c r="L409" i="66"/>
  <c r="J140" i="47"/>
  <c r="N140" i="47" s="1"/>
  <c r="AQ140" i="47" s="1"/>
  <c r="J139" i="47"/>
  <c r="N139" i="47" s="1"/>
  <c r="AQ139" i="47" s="1"/>
  <c r="F105" i="41"/>
  <c r="T99" i="41"/>
  <c r="T100" i="41" s="1"/>
  <c r="X99" i="41" s="1"/>
  <c r="V99" i="41"/>
  <c r="AG128" i="45"/>
  <c r="D288" i="65"/>
  <c r="I288" i="66"/>
  <c r="J288" i="66"/>
  <c r="B288" i="65" s="1"/>
  <c r="B198" i="66"/>
  <c r="A198" i="66"/>
  <c r="D508" i="65"/>
  <c r="A508" i="65" s="1"/>
  <c r="I508" i="66"/>
  <c r="J508" i="66"/>
  <c r="B508" i="65" s="1"/>
  <c r="AI120" i="45"/>
  <c r="H117" i="43"/>
  <c r="D188" i="65"/>
  <c r="A188" i="65" s="1"/>
  <c r="J188" i="66"/>
  <c r="B188" i="65" s="1"/>
  <c r="I188" i="66"/>
  <c r="B160" i="66"/>
  <c r="A160" i="66"/>
  <c r="V118" i="44"/>
  <c r="T118" i="44"/>
  <c r="V114" i="44"/>
  <c r="V115" i="44" s="1"/>
  <c r="T114" i="44"/>
  <c r="T115" i="44" s="1"/>
  <c r="X114" i="44" s="1"/>
  <c r="D148" i="65"/>
  <c r="A148" i="65" s="1"/>
  <c r="J148" i="66"/>
  <c r="B148" i="65" s="1"/>
  <c r="I148" i="66"/>
  <c r="H107" i="40"/>
  <c r="B369" i="66"/>
  <c r="A369" i="66"/>
  <c r="D428" i="65"/>
  <c r="A428" i="65" s="1"/>
  <c r="J428" i="66"/>
  <c r="B428" i="65" s="1"/>
  <c r="I428" i="66"/>
  <c r="AI135" i="47"/>
  <c r="J130" i="47"/>
  <c r="N130" i="47" s="1"/>
  <c r="AQ130" i="47" s="1"/>
  <c r="J129" i="47"/>
  <c r="N129" i="47" s="1"/>
  <c r="AQ129" i="47" s="1"/>
  <c r="X115" i="45"/>
  <c r="B464" i="66"/>
  <c r="A464" i="66"/>
  <c r="F139" i="46"/>
  <c r="H139" i="46" s="1"/>
  <c r="J137" i="46"/>
  <c r="T108" i="42"/>
  <c r="V108" i="42"/>
  <c r="F117" i="42"/>
  <c r="B445" i="66"/>
  <c r="A445" i="66"/>
  <c r="R114" i="43"/>
  <c r="AE123" i="43"/>
  <c r="D119" i="43"/>
  <c r="AE119" i="43"/>
  <c r="AG119" i="43" s="1"/>
  <c r="R118" i="43"/>
  <c r="D180" i="66"/>
  <c r="L189" i="66"/>
  <c r="D161" i="66"/>
  <c r="L169" i="66"/>
  <c r="L249" i="66"/>
  <c r="D446" i="66"/>
  <c r="L469" i="66"/>
  <c r="D408" i="66"/>
  <c r="L429" i="66"/>
  <c r="R104" i="41"/>
  <c r="D113" i="41"/>
  <c r="R112" i="41"/>
  <c r="D117" i="41"/>
  <c r="R108" i="41"/>
  <c r="AE113" i="41"/>
  <c r="D109" i="41"/>
  <c r="AE109" i="41"/>
  <c r="D256" i="66"/>
  <c r="D465" i="66"/>
  <c r="L489" i="66"/>
  <c r="D370" i="66"/>
  <c r="L389" i="66"/>
  <c r="H99" i="41"/>
  <c r="H100" i="41" s="1"/>
  <c r="F100" i="41"/>
  <c r="AE108" i="40"/>
  <c r="AG108" i="40" s="1"/>
  <c r="AP15" i="43"/>
  <c r="AR15" i="43" s="1"/>
  <c r="L74" i="43"/>
  <c r="N74" i="43" s="1"/>
  <c r="AQ74" i="43" s="1"/>
  <c r="L74" i="42"/>
  <c r="N74" i="42" s="1"/>
  <c r="AQ74" i="42" s="1"/>
  <c r="H105" i="41"/>
  <c r="H112" i="41"/>
  <c r="B483" i="66"/>
  <c r="A483" i="66"/>
  <c r="B179" i="66"/>
  <c r="A179" i="66"/>
  <c r="H97" i="37"/>
  <c r="V113" i="43"/>
  <c r="T113" i="43"/>
  <c r="AG123" i="44"/>
  <c r="D228" i="65"/>
  <c r="A228" i="65" s="1"/>
  <c r="I228" i="66"/>
  <c r="J228" i="66"/>
  <c r="B228" i="65" s="1"/>
  <c r="B141" i="66"/>
  <c r="A141" i="66"/>
  <c r="H103" i="40"/>
  <c r="B407" i="66"/>
  <c r="A407" i="66"/>
  <c r="X90" i="41"/>
  <c r="AI110" i="43"/>
  <c r="H102" i="38"/>
  <c r="D448" i="65"/>
  <c r="A448" i="65" s="1"/>
  <c r="I448" i="66"/>
  <c r="J448" i="66"/>
  <c r="B448" i="65" s="1"/>
  <c r="F149" i="46"/>
  <c r="H149" i="46" s="1"/>
  <c r="J147" i="46"/>
  <c r="J150" i="46" s="1"/>
  <c r="N150" i="46" s="1"/>
  <c r="AQ150" i="46" s="1"/>
  <c r="T143" i="46"/>
  <c r="V143" i="46"/>
  <c r="AG143" i="46"/>
  <c r="AG145" i="46" s="1"/>
  <c r="AE145" i="46"/>
  <c r="AI144" i="46" s="1"/>
  <c r="AG148" i="46"/>
  <c r="AG150" i="46" s="1"/>
  <c r="AE150" i="46"/>
  <c r="AI149" i="46" s="1"/>
  <c r="F109" i="42"/>
  <c r="J107" i="42"/>
  <c r="V112" i="42"/>
  <c r="T112" i="42"/>
  <c r="D199" i="66"/>
  <c r="L209" i="66"/>
  <c r="D124" i="44"/>
  <c r="AE124" i="44"/>
  <c r="AG124" i="44" s="1"/>
  <c r="R123" i="44"/>
  <c r="AE128" i="44"/>
  <c r="AE148" i="45"/>
  <c r="R138" i="45"/>
  <c r="D134" i="45"/>
  <c r="AE134" i="45"/>
  <c r="AG134" i="45" s="1"/>
  <c r="AE149" i="45"/>
  <c r="AG149" i="45" s="1"/>
  <c r="R133" i="45"/>
  <c r="AE129" i="45"/>
  <c r="AG129" i="45" s="1"/>
  <c r="AE133" i="45"/>
  <c r="D139" i="45"/>
  <c r="AE143" i="45"/>
  <c r="D129" i="45"/>
  <c r="R128" i="45"/>
  <c r="R143" i="45"/>
  <c r="AE139" i="45"/>
  <c r="AG139" i="45" s="1"/>
  <c r="AE138" i="45"/>
  <c r="AE144" i="45"/>
  <c r="AG144" i="45" s="1"/>
  <c r="R148" i="45"/>
  <c r="D144" i="45"/>
  <c r="D149" i="45"/>
  <c r="D484" i="66"/>
  <c r="L509" i="66"/>
  <c r="L289" i="66"/>
  <c r="L349" i="66"/>
  <c r="AE104" i="40"/>
  <c r="AG104" i="40" s="1"/>
  <c r="R103" i="40"/>
  <c r="D104" i="40"/>
  <c r="J102" i="40" s="1"/>
  <c r="J135" i="47"/>
  <c r="N135" i="47" s="1"/>
  <c r="AQ135" i="47" s="1"/>
  <c r="J134" i="47"/>
  <c r="N134" i="47" s="1"/>
  <c r="AQ134" i="47" s="1"/>
  <c r="J145" i="47"/>
  <c r="N145" i="47" s="1"/>
  <c r="AQ145" i="47" s="1"/>
  <c r="J144" i="47"/>
  <c r="N144" i="47" s="1"/>
  <c r="AQ144" i="47" s="1"/>
  <c r="J124" i="46"/>
  <c r="N124" i="46" s="1"/>
  <c r="AQ124" i="46" s="1"/>
  <c r="J125" i="46"/>
  <c r="N125" i="46" s="1"/>
  <c r="AQ125" i="46" s="1"/>
  <c r="H109" i="43"/>
  <c r="H110" i="43" s="1"/>
  <c r="F110" i="43"/>
  <c r="J109" i="43" s="1"/>
  <c r="V107" i="41"/>
  <c r="T107" i="41"/>
  <c r="V123" i="45"/>
  <c r="T123" i="45"/>
  <c r="AI140" i="47"/>
  <c r="D408" i="65"/>
  <c r="A408" i="65" s="1"/>
  <c r="J408" i="66"/>
  <c r="B408" i="65" s="1"/>
  <c r="I408" i="66"/>
  <c r="V87" i="37"/>
  <c r="T87" i="37"/>
  <c r="AG118" i="43"/>
  <c r="AG120" i="43" s="1"/>
  <c r="AE120" i="43"/>
  <c r="AI119" i="43" s="1"/>
  <c r="F119" i="44"/>
  <c r="J117" i="44"/>
  <c r="T89" i="40"/>
  <c r="T90" i="40" s="1"/>
  <c r="X89" i="40" s="1"/>
  <c r="V89" i="40"/>
  <c r="V90" i="40" s="1"/>
  <c r="D348" i="65"/>
  <c r="J348" i="66"/>
  <c r="B348" i="65" s="1"/>
  <c r="I348" i="66"/>
  <c r="AE125" i="45"/>
  <c r="AI124" i="45" s="1"/>
  <c r="J112" i="43"/>
  <c r="V97" i="38"/>
  <c r="T97" i="38"/>
  <c r="B426" i="66"/>
  <c r="A426" i="66"/>
  <c r="T148" i="46"/>
  <c r="V148" i="46"/>
  <c r="F134" i="46"/>
  <c r="H134" i="46" s="1"/>
  <c r="J132" i="46"/>
  <c r="T138" i="46"/>
  <c r="V138" i="46"/>
  <c r="AE140" i="46"/>
  <c r="AI139" i="46" s="1"/>
  <c r="AG138" i="46"/>
  <c r="AG140" i="46" s="1"/>
  <c r="AG109" i="42"/>
  <c r="AG110" i="42" s="1"/>
  <c r="AE110" i="42"/>
  <c r="AI109" i="42" s="1"/>
  <c r="F113" i="42"/>
  <c r="J112" i="42"/>
  <c r="B312" i="66"/>
  <c r="A312" i="66"/>
  <c r="D218" i="66"/>
  <c r="L229" i="66"/>
  <c r="R87" i="36"/>
  <c r="D97" i="36"/>
  <c r="F97" i="36" s="1"/>
  <c r="R89" i="39"/>
  <c r="D103" i="39"/>
  <c r="F103" i="39" s="1"/>
  <c r="R102" i="39"/>
  <c r="D107" i="39"/>
  <c r="F107" i="39" s="1"/>
  <c r="V100" i="41"/>
  <c r="J110" i="43"/>
  <c r="F124" i="45"/>
  <c r="H124" i="45" s="1"/>
  <c r="J122" i="45"/>
  <c r="D208" i="65"/>
  <c r="A208" i="65" s="1"/>
  <c r="J208" i="66"/>
  <c r="B208" i="65" s="1"/>
  <c r="I208" i="66"/>
  <c r="D168" i="65"/>
  <c r="A168" i="65" s="1"/>
  <c r="J168" i="66"/>
  <c r="B168" i="65" s="1"/>
  <c r="I168" i="66"/>
  <c r="B388" i="66"/>
  <c r="A388" i="66"/>
  <c r="X105" i="43"/>
  <c r="T109" i="43"/>
  <c r="T110" i="43" s="1"/>
  <c r="X109" i="43" s="1"/>
  <c r="V109" i="43"/>
  <c r="V110" i="43" s="1"/>
  <c r="V102" i="40"/>
  <c r="T102" i="40"/>
  <c r="D388" i="65"/>
  <c r="A388" i="65" s="1"/>
  <c r="J388" i="66"/>
  <c r="B388" i="65" s="1"/>
  <c r="I388" i="66"/>
  <c r="B255" i="66"/>
  <c r="A255" i="66"/>
  <c r="AI145" i="47"/>
  <c r="AG125" i="45"/>
  <c r="H113" i="43"/>
  <c r="H115" i="43" s="1"/>
  <c r="F115" i="43"/>
  <c r="D488" i="65"/>
  <c r="A488" i="65" s="1"/>
  <c r="I488" i="66"/>
  <c r="J488" i="66"/>
  <c r="B488" i="65" s="1"/>
  <c r="F144" i="46"/>
  <c r="H144" i="46" s="1"/>
  <c r="J142" i="46"/>
  <c r="F129" i="46"/>
  <c r="H129" i="46" s="1"/>
  <c r="J127" i="46"/>
  <c r="T133" i="46"/>
  <c r="V133" i="46"/>
  <c r="T128" i="46"/>
  <c r="V128" i="46"/>
  <c r="AG133" i="46"/>
  <c r="AG135" i="46" s="1"/>
  <c r="AE135" i="46"/>
  <c r="AI134" i="46" s="1"/>
  <c r="AG113" i="42"/>
  <c r="AG115" i="42" s="1"/>
  <c r="V104" i="42"/>
  <c r="V105" i="42" s="1"/>
  <c r="T104" i="42"/>
  <c r="T105" i="42" s="1"/>
  <c r="X104" i="42" s="1"/>
  <c r="D468" i="65"/>
  <c r="A468" i="65" s="1"/>
  <c r="I468" i="66"/>
  <c r="J468" i="66"/>
  <c r="B468" i="65" s="1"/>
  <c r="AR55" i="45"/>
  <c r="AR54" i="45"/>
  <c r="Z45" i="33"/>
  <c r="AB45" i="33" s="1"/>
  <c r="Z69" i="43"/>
  <c r="AB69" i="43" s="1"/>
  <c r="AI80" i="37"/>
  <c r="AP10" i="43"/>
  <c r="AR10" i="43" s="1"/>
  <c r="AK69" i="43"/>
  <c r="AM69" i="43" s="1"/>
  <c r="AS69" i="43" s="1"/>
  <c r="D75" i="59"/>
  <c r="F75" i="59" s="1"/>
  <c r="H75" i="59" s="1"/>
  <c r="AA10" i="59"/>
  <c r="Y3" i="59"/>
  <c r="Y14" i="59"/>
  <c r="N15" i="59"/>
  <c r="P22" i="59"/>
  <c r="A183" i="65"/>
  <c r="AI75" i="36"/>
  <c r="AK45" i="33"/>
  <c r="AM45" i="33" s="1"/>
  <c r="AS45" i="33" s="1"/>
  <c r="Y15" i="12"/>
  <c r="V50" i="31"/>
  <c r="X50" i="31" s="1"/>
  <c r="L50" i="33"/>
  <c r="N50" i="33" s="1"/>
  <c r="AQ50" i="33" s="1"/>
  <c r="AT50" i="33" s="1"/>
  <c r="E8" i="33" s="1"/>
  <c r="AK55" i="33" s="1"/>
  <c r="AM55" i="33" s="1"/>
  <c r="AS55" i="33" s="1"/>
  <c r="R93" i="38"/>
  <c r="D94" i="38"/>
  <c r="AE85" i="37"/>
  <c r="AI84" i="37" s="1"/>
  <c r="AI85" i="37" s="1"/>
  <c r="AI55" i="32"/>
  <c r="F28" i="25"/>
  <c r="D29" i="25"/>
  <c r="I35" i="25" s="1"/>
  <c r="AA28" i="25"/>
  <c r="AG28" i="25" s="1"/>
  <c r="Y27" i="25"/>
  <c r="X28" i="25" s="1"/>
  <c r="T32" i="26"/>
  <c r="V32" i="26"/>
  <c r="AR149" i="46"/>
  <c r="AR69" i="42"/>
  <c r="AT69" i="42" s="1"/>
  <c r="D12" i="42" s="1"/>
  <c r="Z74" i="42" s="1"/>
  <c r="AB74" i="42" s="1"/>
  <c r="X12" i="11"/>
  <c r="AE95" i="39"/>
  <c r="AI94" i="39" s="1"/>
  <c r="AE55" i="31"/>
  <c r="AI54" i="31" s="1"/>
  <c r="AR149" i="49"/>
  <c r="AR150" i="40"/>
  <c r="Y14" i="11"/>
  <c r="AG55" i="31"/>
  <c r="AR150" i="27"/>
  <c r="AR49" i="34"/>
  <c r="AR149" i="28"/>
  <c r="J77" i="36"/>
  <c r="R72" i="33"/>
  <c r="T72" i="33" s="1"/>
  <c r="AR70" i="41"/>
  <c r="AT70" i="41" s="1"/>
  <c r="E12" i="41" s="1"/>
  <c r="AK75" i="41" s="1"/>
  <c r="AM75" i="41" s="1"/>
  <c r="AS75" i="41" s="1"/>
  <c r="AG75" i="35"/>
  <c r="L55" i="33"/>
  <c r="N55" i="33" s="1"/>
  <c r="AQ55" i="33" s="1"/>
  <c r="AR50" i="33"/>
  <c r="D73" i="33"/>
  <c r="F73" i="33" s="1"/>
  <c r="H73" i="33" s="1"/>
  <c r="AI90" i="39"/>
  <c r="X70" i="36"/>
  <c r="X85" i="38"/>
  <c r="X80" i="38"/>
  <c r="H69" i="35"/>
  <c r="H70" i="35" s="1"/>
  <c r="J70" i="35" s="1"/>
  <c r="F70" i="35"/>
  <c r="J69" i="35" s="1"/>
  <c r="V49" i="30"/>
  <c r="T49" i="30"/>
  <c r="H67" i="31"/>
  <c r="R67" i="32"/>
  <c r="D68" i="32"/>
  <c r="F68" i="32" s="1"/>
  <c r="H89" i="39"/>
  <c r="H90" i="39" s="1"/>
  <c r="F90" i="39"/>
  <c r="J89" i="39" s="1"/>
  <c r="D83" i="35"/>
  <c r="F83" i="35" s="1"/>
  <c r="H83" i="35" s="1"/>
  <c r="R82" i="35"/>
  <c r="D87" i="35"/>
  <c r="F87" i="35" s="1"/>
  <c r="Z50" i="32"/>
  <c r="AB50" i="32" s="1"/>
  <c r="L55" i="32"/>
  <c r="H68" i="33"/>
  <c r="AI105" i="41"/>
  <c r="AG99" i="40"/>
  <c r="AG100" i="40" s="1"/>
  <c r="AE100" i="40"/>
  <c r="AI99" i="40" s="1"/>
  <c r="V84" i="37"/>
  <c r="T84" i="37"/>
  <c r="R39" i="29"/>
  <c r="T39" i="29" s="1"/>
  <c r="T40" i="29" s="1"/>
  <c r="X39" i="29" s="1"/>
  <c r="D53" i="29"/>
  <c r="F53" i="29" s="1"/>
  <c r="D82" i="34"/>
  <c r="F82" i="34" s="1"/>
  <c r="R77" i="34"/>
  <c r="Z70" i="39"/>
  <c r="AB70" i="39" s="1"/>
  <c r="L75" i="39"/>
  <c r="N75" i="39" s="1"/>
  <c r="AQ75" i="39" s="1"/>
  <c r="H82" i="35"/>
  <c r="T82" i="36"/>
  <c r="V82" i="36"/>
  <c r="V47" i="28"/>
  <c r="T47" i="28"/>
  <c r="AR49" i="33"/>
  <c r="V103" i="40"/>
  <c r="T103" i="40"/>
  <c r="AG103" i="40"/>
  <c r="AG105" i="40" s="1"/>
  <c r="AE105" i="40"/>
  <c r="AI104" i="40" s="1"/>
  <c r="F104" i="40"/>
  <c r="H104" i="40" s="1"/>
  <c r="H54" i="32"/>
  <c r="H55" i="32" s="1"/>
  <c r="J55" i="32" s="1"/>
  <c r="F55" i="32"/>
  <c r="J54" i="32" s="1"/>
  <c r="H84" i="38"/>
  <c r="H85" i="38" s="1"/>
  <c r="J85" i="38" s="1"/>
  <c r="F85" i="38"/>
  <c r="J84" i="38" s="1"/>
  <c r="R79" i="36"/>
  <c r="D88" i="36"/>
  <c r="F88" i="36" s="1"/>
  <c r="H88" i="36" s="1"/>
  <c r="AE99" i="39"/>
  <c r="D99" i="39"/>
  <c r="AE103" i="39"/>
  <c r="R98" i="39"/>
  <c r="V77" i="35"/>
  <c r="T77" i="35"/>
  <c r="V79" i="37"/>
  <c r="V80" i="37" s="1"/>
  <c r="T79" i="37"/>
  <c r="T80" i="37" s="1"/>
  <c r="X79" i="37" s="1"/>
  <c r="J105" i="41"/>
  <c r="J104" i="41"/>
  <c r="H52" i="28"/>
  <c r="J99" i="41"/>
  <c r="J100" i="41"/>
  <c r="F99" i="40"/>
  <c r="J97" i="40"/>
  <c r="T98" i="40"/>
  <c r="V98" i="40"/>
  <c r="X54" i="59"/>
  <c r="R47" i="27"/>
  <c r="D52" i="27"/>
  <c r="F52" i="27" s="1"/>
  <c r="Z49" i="32"/>
  <c r="AB49" i="32" s="1"/>
  <c r="L54" i="32"/>
  <c r="Z69" i="39"/>
  <c r="AB69" i="39" s="1"/>
  <c r="L74" i="39"/>
  <c r="N74" i="39" s="1"/>
  <c r="AQ74" i="39" s="1"/>
  <c r="T67" i="33"/>
  <c r="V67" i="33"/>
  <c r="T69" i="35"/>
  <c r="T70" i="35" s="1"/>
  <c r="X69" i="35" s="1"/>
  <c r="V69" i="35"/>
  <c r="V70" i="35" s="1"/>
  <c r="H87" i="36"/>
  <c r="AI100" i="41"/>
  <c r="AR69" i="41"/>
  <c r="AT69" i="41" s="1"/>
  <c r="D12" i="41" s="1"/>
  <c r="AK74" i="41" s="1"/>
  <c r="AM74" i="41" s="1"/>
  <c r="AS74" i="41" s="1"/>
  <c r="Z59" i="35"/>
  <c r="AB59" i="35" s="1"/>
  <c r="AI85" i="38"/>
  <c r="L65" i="35"/>
  <c r="N65" i="35" s="1"/>
  <c r="AQ65" i="35" s="1"/>
  <c r="J42" i="29"/>
  <c r="J79" i="37"/>
  <c r="AR44" i="34"/>
  <c r="AT44" i="34" s="1"/>
  <c r="D7" i="34" s="1"/>
  <c r="AK49" i="34" s="1"/>
  <c r="AM49" i="34" s="1"/>
  <c r="AS49" i="34" s="1"/>
  <c r="AK69" i="39"/>
  <c r="AM69" i="39" s="1"/>
  <c r="AS69" i="39" s="1"/>
  <c r="AK59" i="35"/>
  <c r="AM59" i="35" s="1"/>
  <c r="AS59" i="35" s="1"/>
  <c r="AR150" i="31"/>
  <c r="AR54" i="36"/>
  <c r="AT54" i="36" s="1"/>
  <c r="D9" i="36" s="1"/>
  <c r="AR55" i="36"/>
  <c r="AT55" i="36" s="1"/>
  <c r="E9" i="36" s="1"/>
  <c r="AK54" i="33"/>
  <c r="AM54" i="33" s="1"/>
  <c r="AS54" i="33" s="1"/>
  <c r="Z54" i="33"/>
  <c r="AB54" i="33" s="1"/>
  <c r="L59" i="33"/>
  <c r="L50" i="32"/>
  <c r="N50" i="32" s="1"/>
  <c r="AQ50" i="32" s="1"/>
  <c r="Z45" i="32"/>
  <c r="AB45" i="32" s="1"/>
  <c r="AK45" i="32"/>
  <c r="AM45" i="32" s="1"/>
  <c r="AS45" i="32" s="1"/>
  <c r="Z65" i="37"/>
  <c r="AB65" i="37" s="1"/>
  <c r="AK65" i="37"/>
  <c r="AM65" i="37" s="1"/>
  <c r="AS65" i="37" s="1"/>
  <c r="AK70" i="39"/>
  <c r="AM70" i="39" s="1"/>
  <c r="AS70" i="39" s="1"/>
  <c r="AK64" i="37"/>
  <c r="AM64" i="37" s="1"/>
  <c r="AS64" i="37" s="1"/>
  <c r="Z64" i="37"/>
  <c r="AB64" i="37" s="1"/>
  <c r="AK54" i="34"/>
  <c r="AM54" i="34" s="1"/>
  <c r="AS54" i="34" s="1"/>
  <c r="Z54" i="34"/>
  <c r="AB54" i="34" s="1"/>
  <c r="L59" i="34"/>
  <c r="N59" i="34" s="1"/>
  <c r="AQ59" i="34" s="1"/>
  <c r="AR65" i="38"/>
  <c r="AT65" i="38" s="1"/>
  <c r="E11" i="38" s="1"/>
  <c r="AR64" i="38"/>
  <c r="AT64" i="38" s="1"/>
  <c r="D11" i="38" s="1"/>
  <c r="Z55" i="34"/>
  <c r="AB55" i="34" s="1"/>
  <c r="AK55" i="34"/>
  <c r="AM55" i="34" s="1"/>
  <c r="AS55" i="34" s="1"/>
  <c r="L60" i="34"/>
  <c r="N60" i="34" s="1"/>
  <c r="AQ60" i="34" s="1"/>
  <c r="L49" i="32"/>
  <c r="N49" i="32" s="1"/>
  <c r="AQ49" i="32" s="1"/>
  <c r="AT49" i="32" s="1"/>
  <c r="D8" i="32" s="1"/>
  <c r="AK44" i="32"/>
  <c r="AM44" i="32" s="1"/>
  <c r="AS44" i="32" s="1"/>
  <c r="Z44" i="32"/>
  <c r="AB44" i="32" s="1"/>
  <c r="AR44" i="33"/>
  <c r="AT44" i="33" s="1"/>
  <c r="D7" i="33" s="1"/>
  <c r="AK49" i="33" s="1"/>
  <c r="AM49" i="33" s="1"/>
  <c r="AS49" i="33" s="1"/>
  <c r="AR45" i="33"/>
  <c r="AT45" i="33" s="1"/>
  <c r="E7" i="33" s="1"/>
  <c r="AK50" i="33" s="1"/>
  <c r="AM50" i="33" s="1"/>
  <c r="AS50" i="33" s="1"/>
  <c r="AR149" i="44"/>
  <c r="AE65" i="33"/>
  <c r="AI64" i="33" s="1"/>
  <c r="AR150" i="39"/>
  <c r="AG65" i="33"/>
  <c r="AR150" i="50"/>
  <c r="Y10" i="7"/>
  <c r="AA10" i="7" s="1"/>
  <c r="AG10" i="7" s="1"/>
  <c r="AR150" i="37"/>
  <c r="AI35" i="28"/>
  <c r="AM35" i="28" s="1"/>
  <c r="AS35" i="28" s="1"/>
  <c r="X60" i="34"/>
  <c r="N48" i="59"/>
  <c r="AS48" i="59" s="1"/>
  <c r="AG40" i="28"/>
  <c r="AG90" i="38"/>
  <c r="X48" i="59"/>
  <c r="AG80" i="36"/>
  <c r="AB14" i="16"/>
  <c r="AI14" i="16" s="1"/>
  <c r="AB14" i="15"/>
  <c r="AJ14" i="15" s="1"/>
  <c r="AB9" i="15"/>
  <c r="AJ9" i="15" s="1"/>
  <c r="AB13" i="15"/>
  <c r="AI13" i="15" s="1"/>
  <c r="AB15" i="16"/>
  <c r="AJ15" i="16" s="1"/>
  <c r="AB9" i="16"/>
  <c r="AI9" i="16" s="1"/>
  <c r="AB16" i="16"/>
  <c r="AJ16" i="16" s="1"/>
  <c r="AB13" i="16"/>
  <c r="AJ13" i="16" s="1"/>
  <c r="X45" i="31"/>
  <c r="AJ12" i="15"/>
  <c r="AI12" i="15"/>
  <c r="X15" i="12"/>
  <c r="AA15" i="12"/>
  <c r="X40" i="30"/>
  <c r="AJ12" i="16"/>
  <c r="AI12" i="16"/>
  <c r="AA13" i="10"/>
  <c r="AG13" i="10" s="1"/>
  <c r="X12" i="10"/>
  <c r="X55" i="33"/>
  <c r="AA12" i="9"/>
  <c r="X11" i="9"/>
  <c r="AV12" i="8"/>
  <c r="F57" i="30"/>
  <c r="G6" i="4"/>
  <c r="H77" i="34"/>
  <c r="H14" i="10"/>
  <c r="I14" i="10" s="1"/>
  <c r="D14" i="10"/>
  <c r="F14" i="10" s="1"/>
  <c r="G14" i="10" s="1"/>
  <c r="AE89" i="37"/>
  <c r="AG89" i="37" s="1"/>
  <c r="AE93" i="37"/>
  <c r="R88" i="37"/>
  <c r="D89" i="37"/>
  <c r="AE53" i="29"/>
  <c r="R48" i="29"/>
  <c r="AE49" i="29"/>
  <c r="AG49" i="29" s="1"/>
  <c r="D49" i="29"/>
  <c r="R44" i="29"/>
  <c r="R52" i="29"/>
  <c r="D57" i="29"/>
  <c r="H12" i="8"/>
  <c r="I12" i="8" s="1"/>
  <c r="D12" i="8"/>
  <c r="F12" i="8" s="1"/>
  <c r="G12" i="8" s="1"/>
  <c r="H64" i="34"/>
  <c r="H65" i="34" s="1"/>
  <c r="J65" i="34" s="1"/>
  <c r="F65" i="34"/>
  <c r="J64" i="34" s="1"/>
  <c r="AW12" i="61"/>
  <c r="C22" i="42"/>
  <c r="B12" i="7"/>
  <c r="AP12" i="7"/>
  <c r="AV10" i="6"/>
  <c r="F94" i="38"/>
  <c r="H94" i="38" s="1"/>
  <c r="J92" i="38"/>
  <c r="V93" i="38"/>
  <c r="T93" i="38"/>
  <c r="H63" i="59"/>
  <c r="H11" i="7"/>
  <c r="I11" i="7" s="1"/>
  <c r="D11" i="7"/>
  <c r="F11" i="7" s="1"/>
  <c r="G11" i="7" s="1"/>
  <c r="H10" i="6"/>
  <c r="I10" i="6" s="1"/>
  <c r="D10" i="6"/>
  <c r="F10" i="6" s="1"/>
  <c r="H72" i="33"/>
  <c r="AV8" i="4"/>
  <c r="V44" i="30"/>
  <c r="V45" i="30" s="1"/>
  <c r="T44" i="30"/>
  <c r="T45" i="30" s="1"/>
  <c r="X44" i="30" s="1"/>
  <c r="AG50" i="30"/>
  <c r="AY10" i="61"/>
  <c r="B10" i="5"/>
  <c r="AP10" i="5"/>
  <c r="C24" i="44"/>
  <c r="G12" i="9"/>
  <c r="F59" i="59"/>
  <c r="J57" i="59"/>
  <c r="AA4" i="2"/>
  <c r="AF11" i="11"/>
  <c r="AT15" i="61"/>
  <c r="C19" i="39"/>
  <c r="AP15" i="10"/>
  <c r="Y14" i="10" s="1"/>
  <c r="B15" i="10"/>
  <c r="AV6" i="2"/>
  <c r="AB11" i="15"/>
  <c r="AB15" i="15"/>
  <c r="AQ18" i="61"/>
  <c r="C16" i="36"/>
  <c r="B18" i="13"/>
  <c r="AP18" i="13"/>
  <c r="AV25" i="21"/>
  <c r="AG15" i="14"/>
  <c r="X1" i="14"/>
  <c r="AE54" i="30"/>
  <c r="AG54" i="30" s="1"/>
  <c r="AE58" i="30"/>
  <c r="R53" i="30"/>
  <c r="D54" i="30"/>
  <c r="R57" i="30"/>
  <c r="D58" i="30"/>
  <c r="F58" i="30" s="1"/>
  <c r="H58" i="30" s="1"/>
  <c r="D62" i="30"/>
  <c r="AE75" i="35"/>
  <c r="AI74" i="35" s="1"/>
  <c r="H47" i="29"/>
  <c r="AG48" i="29"/>
  <c r="F69" i="34"/>
  <c r="J67" i="34"/>
  <c r="F10" i="7"/>
  <c r="AA6" i="4"/>
  <c r="X5" i="4"/>
  <c r="D23" i="53"/>
  <c r="F23" i="53" s="1"/>
  <c r="G23" i="53" s="1"/>
  <c r="H23" i="53"/>
  <c r="I23" i="53" s="1"/>
  <c r="AV23" i="19"/>
  <c r="T54" i="32"/>
  <c r="T55" i="32" s="1"/>
  <c r="X54" i="32" s="1"/>
  <c r="V54" i="32"/>
  <c r="V55" i="32" s="1"/>
  <c r="AA14" i="11"/>
  <c r="AG14" i="11" s="1"/>
  <c r="H27" i="23"/>
  <c r="I27" i="23" s="1"/>
  <c r="D27" i="23"/>
  <c r="F27" i="23" s="1"/>
  <c r="G27" i="23" s="1"/>
  <c r="D5" i="1"/>
  <c r="F5" i="1" s="1"/>
  <c r="G5" i="1" s="1"/>
  <c r="H5" i="1"/>
  <c r="I5" i="1" s="1"/>
  <c r="AU14" i="61"/>
  <c r="B14" i="9"/>
  <c r="AP14" i="9"/>
  <c r="Y13" i="9" s="1"/>
  <c r="C20" i="40"/>
  <c r="V59" i="33"/>
  <c r="V60" i="33" s="1"/>
  <c r="T59" i="33"/>
  <c r="T60" i="33" s="1"/>
  <c r="X59" i="33" s="1"/>
  <c r="AE84" i="36"/>
  <c r="AG84" i="36" s="1"/>
  <c r="AE88" i="36"/>
  <c r="R83" i="36"/>
  <c r="D84" i="36"/>
  <c r="F74" i="35"/>
  <c r="J72" i="35"/>
  <c r="AR149" i="43"/>
  <c r="AI95" i="39"/>
  <c r="T57" i="31"/>
  <c r="V57" i="31"/>
  <c r="V53" i="31"/>
  <c r="T53" i="31"/>
  <c r="AB42" i="59"/>
  <c r="F42" i="27"/>
  <c r="V33" i="27"/>
  <c r="T33" i="27"/>
  <c r="X13" i="11"/>
  <c r="AG15" i="13"/>
  <c r="X1" i="13"/>
  <c r="AE80" i="36"/>
  <c r="AI79" i="36" s="1"/>
  <c r="AG60" i="32"/>
  <c r="J50" i="31"/>
  <c r="J49" i="31"/>
  <c r="Y9" i="6"/>
  <c r="AG43" i="28"/>
  <c r="AB11" i="16"/>
  <c r="AE40" i="28"/>
  <c r="AI39" i="28" s="1"/>
  <c r="R63" i="32"/>
  <c r="AE64" i="32"/>
  <c r="AG64" i="32" s="1"/>
  <c r="R59" i="32"/>
  <c r="AE68" i="32"/>
  <c r="D64" i="32"/>
  <c r="F64" i="32" s="1"/>
  <c r="H64" i="32" s="1"/>
  <c r="T83" i="37"/>
  <c r="T85" i="37" s="1"/>
  <c r="X84" i="37" s="1"/>
  <c r="V83" i="37"/>
  <c r="H20" i="16"/>
  <c r="I20" i="16" s="1"/>
  <c r="D20" i="16"/>
  <c r="F20" i="16" s="1"/>
  <c r="G20" i="16" s="1"/>
  <c r="AI40" i="29"/>
  <c r="AV19" i="15"/>
  <c r="AE48" i="28"/>
  <c r="R43" i="28"/>
  <c r="AE44" i="28"/>
  <c r="AG44" i="28" s="1"/>
  <c r="D44" i="28"/>
  <c r="D48" i="28"/>
  <c r="F48" i="28" s="1"/>
  <c r="H48" i="28" s="1"/>
  <c r="AV21" i="17"/>
  <c r="AK39" i="30"/>
  <c r="AM39" i="30" s="1"/>
  <c r="AS39" i="30" s="1"/>
  <c r="Z39" i="30"/>
  <c r="AB39" i="30" s="1"/>
  <c r="L44" i="30"/>
  <c r="AB40" i="31"/>
  <c r="AR40" i="31" s="1"/>
  <c r="AT40" i="31" s="1"/>
  <c r="E6" i="31" s="1"/>
  <c r="AG73" i="34"/>
  <c r="AR35" i="29"/>
  <c r="AT35" i="29" s="1"/>
  <c r="E5" i="29" s="1"/>
  <c r="AR34" i="29"/>
  <c r="AT34" i="29" s="1"/>
  <c r="D5" i="29" s="1"/>
  <c r="AV23" i="53"/>
  <c r="AG65" i="59"/>
  <c r="AG66" i="59" s="1"/>
  <c r="AK65" i="59" s="1"/>
  <c r="R64" i="59"/>
  <c r="AG70" i="59"/>
  <c r="R59" i="59"/>
  <c r="D65" i="59"/>
  <c r="R69" i="59"/>
  <c r="D70" i="59"/>
  <c r="F70" i="59" s="1"/>
  <c r="H70" i="59" s="1"/>
  <c r="F59" i="32"/>
  <c r="J57" i="32"/>
  <c r="Y7" i="4"/>
  <c r="C6" i="26"/>
  <c r="B28" i="23"/>
  <c r="U31" i="61"/>
  <c r="AP28" i="23"/>
  <c r="H13" i="9"/>
  <c r="I13" i="9" s="1"/>
  <c r="D13" i="9"/>
  <c r="F13" i="9" s="1"/>
  <c r="G13" i="9" s="1"/>
  <c r="F77" i="33"/>
  <c r="V63" i="33"/>
  <c r="T63" i="33"/>
  <c r="AP19" i="61"/>
  <c r="B19" i="14"/>
  <c r="C15" i="35"/>
  <c r="AP19" i="14"/>
  <c r="V73" i="35"/>
  <c r="T73" i="35"/>
  <c r="F62" i="31"/>
  <c r="AG58" i="31"/>
  <c r="T37" i="27"/>
  <c r="V37" i="27"/>
  <c r="AG34" i="27"/>
  <c r="AG35" i="27" s="1"/>
  <c r="AE35" i="27"/>
  <c r="AI34" i="27" s="1"/>
  <c r="AM34" i="27" s="1"/>
  <c r="AS34" i="27" s="1"/>
  <c r="Z41" i="59"/>
  <c r="AB41" i="59" s="1"/>
  <c r="AM41" i="59"/>
  <c r="AO41" i="59" s="1"/>
  <c r="AU41" i="59" s="1"/>
  <c r="L47" i="59"/>
  <c r="N47" i="59" s="1"/>
  <c r="AS47" i="59" s="1"/>
  <c r="AR149" i="45"/>
  <c r="T74" i="36"/>
  <c r="T75" i="36" s="1"/>
  <c r="X74" i="36" s="1"/>
  <c r="V74" i="36"/>
  <c r="V75" i="36" s="1"/>
  <c r="AF4" i="3"/>
  <c r="AF12" i="11"/>
  <c r="AF13" i="11" s="1"/>
  <c r="AG70" i="34"/>
  <c r="AE60" i="32"/>
  <c r="AI59" i="32" s="1"/>
  <c r="G4" i="2"/>
  <c r="H15" i="11"/>
  <c r="I15" i="11" s="1"/>
  <c r="D15" i="11"/>
  <c r="F15" i="11" s="1"/>
  <c r="G15" i="11" s="1"/>
  <c r="F45" i="29"/>
  <c r="J37" i="28"/>
  <c r="G10" i="8"/>
  <c r="AV22" i="18"/>
  <c r="AE90" i="37"/>
  <c r="AI89" i="37" s="1"/>
  <c r="AG88" i="37"/>
  <c r="AV20" i="16"/>
  <c r="J94" i="39"/>
  <c r="N94" i="39" s="1"/>
  <c r="AQ94" i="39" s="1"/>
  <c r="J95" i="39"/>
  <c r="N95" i="39" s="1"/>
  <c r="AQ95" i="39" s="1"/>
  <c r="BA8" i="61"/>
  <c r="C26" i="46"/>
  <c r="AP8" i="3"/>
  <c r="B8" i="3"/>
  <c r="AV16" i="12"/>
  <c r="H19" i="15"/>
  <c r="I19" i="15" s="1"/>
  <c r="D19" i="15"/>
  <c r="F19" i="15" s="1"/>
  <c r="G19" i="15" s="1"/>
  <c r="AF12" i="10"/>
  <c r="H26" i="22"/>
  <c r="I26" i="22" s="1"/>
  <c r="D26" i="22"/>
  <c r="F26" i="22" s="1"/>
  <c r="G26" i="22" s="1"/>
  <c r="AM22" i="61"/>
  <c r="C12" i="32"/>
  <c r="R72" i="32" s="1"/>
  <c r="B22" i="17"/>
  <c r="AP22" i="17"/>
  <c r="AK40" i="30"/>
  <c r="AM40" i="30" s="1"/>
  <c r="AS40" i="30" s="1"/>
  <c r="Z40" i="30"/>
  <c r="L45" i="30"/>
  <c r="V48" i="30"/>
  <c r="V50" i="30" s="1"/>
  <c r="T48" i="30"/>
  <c r="AA4" i="1"/>
  <c r="AE64" i="59"/>
  <c r="AI64" i="59"/>
  <c r="BB7" i="61"/>
  <c r="AP7" i="2"/>
  <c r="C27" i="47"/>
  <c r="B7" i="2"/>
  <c r="X14" i="12"/>
  <c r="AA14" i="12"/>
  <c r="AG14" i="12" s="1"/>
  <c r="F4" i="1"/>
  <c r="AV24" i="20"/>
  <c r="D28" i="24"/>
  <c r="H28" i="24"/>
  <c r="I28" i="24" s="1"/>
  <c r="I29" i="24" s="1"/>
  <c r="I39" i="24" s="1"/>
  <c r="S7" i="24"/>
  <c r="AF9" i="8"/>
  <c r="AF10" i="8" s="1"/>
  <c r="V43" i="29"/>
  <c r="T43" i="29"/>
  <c r="AV13" i="61"/>
  <c r="AP13" i="8"/>
  <c r="C21" i="41"/>
  <c r="B13" i="8"/>
  <c r="AV11" i="7"/>
  <c r="X65" i="36"/>
  <c r="AI55" i="31"/>
  <c r="X75" i="37"/>
  <c r="H59" i="33"/>
  <c r="H60" i="33" s="1"/>
  <c r="J60" i="33" s="1"/>
  <c r="F60" i="33"/>
  <c r="J59" i="33" s="1"/>
  <c r="H8" i="4"/>
  <c r="I8" i="4" s="1"/>
  <c r="D8" i="4"/>
  <c r="F8" i="4" s="1"/>
  <c r="G8" i="4" s="1"/>
  <c r="AG98" i="38"/>
  <c r="F89" i="38"/>
  <c r="J87" i="38"/>
  <c r="V52" i="30"/>
  <c r="T52" i="30"/>
  <c r="AG53" i="30"/>
  <c r="V58" i="59"/>
  <c r="T58" i="59"/>
  <c r="H74" i="36"/>
  <c r="H75" i="36" s="1"/>
  <c r="J75" i="36" s="1"/>
  <c r="F75" i="36"/>
  <c r="J74" i="36" s="1"/>
  <c r="AK54" i="59"/>
  <c r="AI70" i="35"/>
  <c r="AV14" i="10"/>
  <c r="H6" i="2"/>
  <c r="I6" i="2" s="1"/>
  <c r="D6" i="2"/>
  <c r="F6" i="2" s="1"/>
  <c r="G6" i="2" s="1"/>
  <c r="AB16" i="15"/>
  <c r="AE90" i="38"/>
  <c r="AI89" i="38" s="1"/>
  <c r="H17" i="13"/>
  <c r="I17" i="13" s="1"/>
  <c r="D17" i="13"/>
  <c r="F17" i="13" s="1"/>
  <c r="G17" i="13" s="1"/>
  <c r="H25" i="21"/>
  <c r="I25" i="21" s="1"/>
  <c r="D25" i="21"/>
  <c r="F25" i="21" s="1"/>
  <c r="G25" i="21" s="1"/>
  <c r="AJ25" i="61"/>
  <c r="AP25" i="20"/>
  <c r="C9" i="29"/>
  <c r="R49" i="29" s="1"/>
  <c r="B25" i="20"/>
  <c r="R37" i="26"/>
  <c r="AE38" i="26"/>
  <c r="D38" i="26"/>
  <c r="R33" i="26"/>
  <c r="AE34" i="26"/>
  <c r="D42" i="26"/>
  <c r="AE59" i="31"/>
  <c r="AG59" i="31" s="1"/>
  <c r="AE63" i="31"/>
  <c r="R58" i="31"/>
  <c r="D59" i="31"/>
  <c r="F59" i="31" s="1"/>
  <c r="H59" i="31" s="1"/>
  <c r="R54" i="31"/>
  <c r="D63" i="31"/>
  <c r="F63" i="31" s="1"/>
  <c r="H63" i="31" s="1"/>
  <c r="R62" i="31"/>
  <c r="AK24" i="61"/>
  <c r="B24" i="19"/>
  <c r="AP24" i="19"/>
  <c r="C10" i="30"/>
  <c r="D67" i="30" s="1"/>
  <c r="F67" i="30" s="1"/>
  <c r="B24" i="53"/>
  <c r="AP24" i="53"/>
  <c r="V62" i="32"/>
  <c r="T62" i="32"/>
  <c r="T58" i="32"/>
  <c r="V58" i="32"/>
  <c r="H53" i="59"/>
  <c r="H54" i="59" s="1"/>
  <c r="J54" i="59" s="1"/>
  <c r="F54" i="59"/>
  <c r="J53" i="59" s="1"/>
  <c r="D43" i="27"/>
  <c r="F43" i="27" s="1"/>
  <c r="H43" i="27" s="1"/>
  <c r="R34" i="27"/>
  <c r="D39" i="27"/>
  <c r="F39" i="27" s="1"/>
  <c r="H39" i="27" s="1"/>
  <c r="AE43" i="27"/>
  <c r="AE39" i="27"/>
  <c r="AG39" i="27" s="1"/>
  <c r="R42" i="27"/>
  <c r="R38" i="27"/>
  <c r="D47" i="27"/>
  <c r="AR150" i="33"/>
  <c r="BC6" i="61"/>
  <c r="C28" i="48"/>
  <c r="AP6" i="1"/>
  <c r="Y5" i="1" s="1"/>
  <c r="B6" i="1"/>
  <c r="F64" i="33"/>
  <c r="J62" i="33"/>
  <c r="H18" i="14"/>
  <c r="I18" i="14" s="1"/>
  <c r="D18" i="14"/>
  <c r="F18" i="14" s="1"/>
  <c r="G18" i="14" s="1"/>
  <c r="F78" i="35"/>
  <c r="T64" i="35"/>
  <c r="T65" i="35" s="1"/>
  <c r="X64" i="35" s="1"/>
  <c r="V64" i="35"/>
  <c r="V65" i="35" s="1"/>
  <c r="AF13" i="12"/>
  <c r="AG38" i="27"/>
  <c r="K22" i="58"/>
  <c r="G22" i="58"/>
  <c r="C22" i="58"/>
  <c r="K21" i="58"/>
  <c r="G21" i="58"/>
  <c r="C21" i="58"/>
  <c r="K20" i="58"/>
  <c r="G20" i="58"/>
  <c r="C20" i="58"/>
  <c r="K19" i="58"/>
  <c r="G19" i="58"/>
  <c r="C19" i="58"/>
  <c r="K18" i="58"/>
  <c r="G18" i="58"/>
  <c r="C18" i="58"/>
  <c r="J22" i="58"/>
  <c r="F22" i="58"/>
  <c r="B22" i="58"/>
  <c r="J21" i="58"/>
  <c r="F21" i="58"/>
  <c r="B21" i="58"/>
  <c r="J20" i="58"/>
  <c r="F20" i="58"/>
  <c r="B20" i="58"/>
  <c r="J19" i="58"/>
  <c r="F19" i="58"/>
  <c r="B19" i="58"/>
  <c r="J18" i="58"/>
  <c r="F18" i="58"/>
  <c r="B18" i="58"/>
  <c r="M22" i="58"/>
  <c r="I22" i="58"/>
  <c r="E22" i="58"/>
  <c r="M21" i="58"/>
  <c r="I21" i="58"/>
  <c r="E21" i="58"/>
  <c r="M20" i="58"/>
  <c r="I20" i="58"/>
  <c r="E20" i="58"/>
  <c r="M19" i="58"/>
  <c r="I19" i="58"/>
  <c r="E19" i="58"/>
  <c r="M18" i="58"/>
  <c r="I18" i="58"/>
  <c r="E18" i="58"/>
  <c r="L22" i="58"/>
  <c r="H22" i="58"/>
  <c r="D22" i="58"/>
  <c r="L21" i="58"/>
  <c r="H21" i="58"/>
  <c r="D21" i="58"/>
  <c r="L20" i="58"/>
  <c r="H20" i="58"/>
  <c r="D20" i="58"/>
  <c r="L19" i="58"/>
  <c r="H19" i="58"/>
  <c r="D19" i="58"/>
  <c r="L18" i="58"/>
  <c r="H18" i="58"/>
  <c r="D18" i="58"/>
  <c r="AG45" i="29"/>
  <c r="V78" i="36"/>
  <c r="T78" i="36"/>
  <c r="AE70" i="34"/>
  <c r="AI69" i="34" s="1"/>
  <c r="H62" i="32"/>
  <c r="AS16" i="61"/>
  <c r="B16" i="11"/>
  <c r="C18" i="38"/>
  <c r="AP16" i="11"/>
  <c r="Y15" i="11" s="1"/>
  <c r="F47" i="28"/>
  <c r="T38" i="28"/>
  <c r="V38" i="28"/>
  <c r="AD6" i="16"/>
  <c r="AB6" i="16" s="1"/>
  <c r="AD9" i="16"/>
  <c r="AD10" i="16"/>
  <c r="AD14" i="16"/>
  <c r="AD12" i="16"/>
  <c r="AD15" i="16"/>
  <c r="AD7" i="16"/>
  <c r="AB7" i="16" s="1"/>
  <c r="AD8" i="16"/>
  <c r="AB8" i="16" s="1"/>
  <c r="AD5" i="16"/>
  <c r="AB5" i="16" s="1"/>
  <c r="AD13" i="16"/>
  <c r="AD11" i="16"/>
  <c r="AD16" i="16"/>
  <c r="AD4" i="16"/>
  <c r="AB4" i="16" s="1"/>
  <c r="AB10" i="16"/>
  <c r="H45" i="29"/>
  <c r="H38" i="28"/>
  <c r="H40" i="28" s="1"/>
  <c r="F40" i="28"/>
  <c r="F8" i="5"/>
  <c r="AL23" i="61"/>
  <c r="D249" i="66" s="1"/>
  <c r="AP23" i="18"/>
  <c r="C11" i="31"/>
  <c r="C11" i="59"/>
  <c r="B23" i="18"/>
  <c r="AF9" i="9"/>
  <c r="AF10" i="9" s="1"/>
  <c r="AF11" i="9" s="1"/>
  <c r="AE74" i="34"/>
  <c r="AG74" i="34" s="1"/>
  <c r="AE78" i="34"/>
  <c r="R64" i="34"/>
  <c r="R73" i="34"/>
  <c r="D74" i="34"/>
  <c r="D78" i="34"/>
  <c r="H7" i="3"/>
  <c r="I7" i="3" s="1"/>
  <c r="D7" i="3"/>
  <c r="F7" i="3" s="1"/>
  <c r="G7" i="3" s="1"/>
  <c r="AR17" i="61"/>
  <c r="B17" i="12"/>
  <c r="AP17" i="12"/>
  <c r="C17" i="37"/>
  <c r="D94" i="37" s="1"/>
  <c r="AE79" i="35"/>
  <c r="AG79" i="35" s="1"/>
  <c r="R78" i="35"/>
  <c r="AE83" i="35"/>
  <c r="D79" i="35"/>
  <c r="F79" i="35" s="1"/>
  <c r="H79" i="35" s="1"/>
  <c r="R74" i="35"/>
  <c r="AV26" i="22"/>
  <c r="H21" i="17"/>
  <c r="I21" i="17" s="1"/>
  <c r="D21" i="17"/>
  <c r="F21" i="17" s="1"/>
  <c r="G21" i="17" s="1"/>
  <c r="AA5" i="3"/>
  <c r="X4" i="3"/>
  <c r="AX11" i="61"/>
  <c r="C23" i="43"/>
  <c r="B11" i="6"/>
  <c r="AP11" i="6"/>
  <c r="X9" i="7"/>
  <c r="AA9" i="7"/>
  <c r="AG9" i="7" s="1"/>
  <c r="AE95" i="38"/>
  <c r="AI94" i="38" s="1"/>
  <c r="AG93" i="38"/>
  <c r="AG95" i="38" s="1"/>
  <c r="AV9" i="5"/>
  <c r="F69" i="59"/>
  <c r="AZ9" i="61"/>
  <c r="B9" i="4"/>
  <c r="C25" i="45"/>
  <c r="AP9" i="4"/>
  <c r="V88" i="38"/>
  <c r="T88" i="38"/>
  <c r="F49" i="30"/>
  <c r="J47" i="30"/>
  <c r="AE50" i="30"/>
  <c r="AI49" i="30" s="1"/>
  <c r="H42" i="28"/>
  <c r="H9" i="5"/>
  <c r="I9" i="5" s="1"/>
  <c r="D9" i="5"/>
  <c r="F9" i="5" s="1"/>
  <c r="G9" i="5" s="1"/>
  <c r="V63" i="59"/>
  <c r="T63" i="59"/>
  <c r="AE59" i="59"/>
  <c r="AI59" i="59"/>
  <c r="AI60" i="59" s="1"/>
  <c r="AK60" i="59" s="1"/>
  <c r="J40" i="29"/>
  <c r="N40" i="29" s="1"/>
  <c r="AQ40" i="29" s="1"/>
  <c r="J39" i="29"/>
  <c r="N39" i="29" s="1"/>
  <c r="AQ39" i="29" s="1"/>
  <c r="AD14" i="15"/>
  <c r="AD10" i="15"/>
  <c r="AD11" i="15"/>
  <c r="AD15" i="15"/>
  <c r="AD8" i="15"/>
  <c r="AB8" i="15" s="1"/>
  <c r="AD12" i="15"/>
  <c r="AD13" i="15"/>
  <c r="AD6" i="15"/>
  <c r="AB6" i="15" s="1"/>
  <c r="AD9" i="15"/>
  <c r="AD7" i="15"/>
  <c r="AB7" i="15" s="1"/>
  <c r="AD16" i="15"/>
  <c r="AD5" i="15"/>
  <c r="AB5" i="15" s="1"/>
  <c r="AD4" i="15"/>
  <c r="AB4" i="15" s="1"/>
  <c r="AB10" i="15"/>
  <c r="AV17" i="13"/>
  <c r="AI26" i="61"/>
  <c r="B26" i="21"/>
  <c r="AP26" i="21"/>
  <c r="C8" i="28"/>
  <c r="H44" i="30"/>
  <c r="H45" i="30" s="1"/>
  <c r="J45" i="30" s="1"/>
  <c r="F45" i="30"/>
  <c r="J44" i="30" s="1"/>
  <c r="H24" i="20"/>
  <c r="I24" i="20" s="1"/>
  <c r="D24" i="20"/>
  <c r="F24" i="20" s="1"/>
  <c r="G24" i="20" s="1"/>
  <c r="AG8" i="6"/>
  <c r="AV28" i="24"/>
  <c r="Y28" i="24"/>
  <c r="BG7" i="24"/>
  <c r="AG7" i="5"/>
  <c r="T68" i="34"/>
  <c r="V68" i="34"/>
  <c r="AG8" i="7"/>
  <c r="H78" i="36"/>
  <c r="H80" i="36" s="1"/>
  <c r="F80" i="36"/>
  <c r="J79" i="36" s="1"/>
  <c r="H23" i="19"/>
  <c r="I23" i="19" s="1"/>
  <c r="D23" i="19"/>
  <c r="F23" i="19" s="1"/>
  <c r="G23" i="19" s="1"/>
  <c r="F72" i="32"/>
  <c r="AG63" i="32"/>
  <c r="Y5" i="2"/>
  <c r="AV27" i="23"/>
  <c r="Y8" i="5"/>
  <c r="AV5" i="1"/>
  <c r="AV13" i="9"/>
  <c r="AG68" i="33"/>
  <c r="AV18" i="14"/>
  <c r="AG78" i="35"/>
  <c r="F54" i="31"/>
  <c r="J52" i="31"/>
  <c r="X13" i="12"/>
  <c r="Y6" i="3"/>
  <c r="F38" i="27"/>
  <c r="AE45" i="29"/>
  <c r="AI44" i="29" s="1"/>
  <c r="AG83" i="36"/>
  <c r="Y11" i="8"/>
  <c r="H57" i="31"/>
  <c r="AV15" i="11"/>
  <c r="V42" i="28"/>
  <c r="T42" i="28"/>
  <c r="V34" i="28"/>
  <c r="V35" i="28" s="1"/>
  <c r="X35" i="28" s="1"/>
  <c r="AB35" i="28" s="1"/>
  <c r="T34" i="28"/>
  <c r="T35" i="28" s="1"/>
  <c r="X34" i="28" s="1"/>
  <c r="AB34" i="28" s="1"/>
  <c r="H22" i="18"/>
  <c r="I22" i="18" s="1"/>
  <c r="D22" i="18"/>
  <c r="F22" i="18" s="1"/>
  <c r="G22" i="18" s="1"/>
  <c r="F84" i="37"/>
  <c r="J82" i="37"/>
  <c r="AN21" i="61"/>
  <c r="AP21" i="16"/>
  <c r="C13" i="33"/>
  <c r="B21" i="16"/>
  <c r="J90" i="39"/>
  <c r="AV7" i="3"/>
  <c r="H16" i="12"/>
  <c r="I16" i="12" s="1"/>
  <c r="D16" i="12"/>
  <c r="F16" i="12" s="1"/>
  <c r="G16" i="12" s="1"/>
  <c r="AO20" i="61"/>
  <c r="AP20" i="15"/>
  <c r="B20" i="15"/>
  <c r="C14" i="34"/>
  <c r="R69" i="34" s="1"/>
  <c r="AH27" i="61"/>
  <c r="B27" i="22"/>
  <c r="AP27" i="22"/>
  <c r="C7" i="27"/>
  <c r="AE69" i="33"/>
  <c r="AG69" i="33" s="1"/>
  <c r="AE73" i="33"/>
  <c r="R68" i="33"/>
  <c r="D69" i="33"/>
  <c r="AB60" i="35"/>
  <c r="AI115" i="43" l="1"/>
  <c r="AI120" i="44"/>
  <c r="A236" i="66"/>
  <c r="I365" i="66"/>
  <c r="AL12" i="46"/>
  <c r="L10" i="46" s="1"/>
  <c r="AP79" i="46" s="1"/>
  <c r="AT79" i="46" s="1"/>
  <c r="H31" i="64"/>
  <c r="EX134" i="61"/>
  <c r="V39" i="29"/>
  <c r="V40" i="29" s="1"/>
  <c r="AE115" i="42"/>
  <c r="AI114" i="42" s="1"/>
  <c r="AI115" i="42" s="1"/>
  <c r="J365" i="66"/>
  <c r="B365" i="65" s="1"/>
  <c r="A248" i="66"/>
  <c r="EP127" i="61"/>
  <c r="EU126" i="61"/>
  <c r="EV126" i="61" s="1"/>
  <c r="BX96" i="61"/>
  <c r="L366" i="66"/>
  <c r="D366" i="65" s="1"/>
  <c r="A366" i="65" s="1"/>
  <c r="L318" i="66"/>
  <c r="L234" i="66"/>
  <c r="D216" i="66"/>
  <c r="D227" i="66"/>
  <c r="L246" i="66"/>
  <c r="D328" i="66"/>
  <c r="A328" i="66" s="1"/>
  <c r="D282" i="66"/>
  <c r="L306" i="66"/>
  <c r="L338" i="66"/>
  <c r="J338" i="66" s="1"/>
  <c r="B338" i="65" s="1"/>
  <c r="D271" i="66"/>
  <c r="L258" i="66"/>
  <c r="L254" i="66"/>
  <c r="J254" i="66" s="1"/>
  <c r="B254" i="65" s="1"/>
  <c r="D205" i="66"/>
  <c r="L222" i="66"/>
  <c r="D221" i="65"/>
  <c r="A221" i="65" s="1"/>
  <c r="J221" i="66"/>
  <c r="B221" i="65" s="1"/>
  <c r="I221" i="66"/>
  <c r="D245" i="65"/>
  <c r="A245" i="65" s="1"/>
  <c r="I245" i="66"/>
  <c r="J245" i="66"/>
  <c r="B245" i="65" s="1"/>
  <c r="B215" i="66"/>
  <c r="A215" i="66"/>
  <c r="B204" i="66"/>
  <c r="A204" i="66"/>
  <c r="B226" i="66"/>
  <c r="A226" i="66"/>
  <c r="J233" i="66"/>
  <c r="B233" i="65" s="1"/>
  <c r="D233" i="65"/>
  <c r="A233" i="65" s="1"/>
  <c r="I233" i="66"/>
  <c r="J317" i="66"/>
  <c r="B317" i="65" s="1"/>
  <c r="D317" i="65"/>
  <c r="I317" i="66"/>
  <c r="D305" i="65"/>
  <c r="J305" i="66"/>
  <c r="B305" i="65" s="1"/>
  <c r="I305" i="66"/>
  <c r="AT85" i="48"/>
  <c r="L11" i="46"/>
  <c r="AP80" i="46" s="1"/>
  <c r="AT80" i="46" s="1"/>
  <c r="L80" i="41"/>
  <c r="N80" i="41" s="1"/>
  <c r="AQ80" i="41" s="1"/>
  <c r="AR79" i="46"/>
  <c r="X115" i="44"/>
  <c r="Z75" i="41"/>
  <c r="AB75" i="41" s="1"/>
  <c r="AI125" i="45"/>
  <c r="X110" i="43"/>
  <c r="AR84" i="48"/>
  <c r="AT84" i="48" s="1"/>
  <c r="AI110" i="42"/>
  <c r="D302" i="66"/>
  <c r="I239" i="66"/>
  <c r="J239" i="66"/>
  <c r="B239" i="65" s="1"/>
  <c r="D239" i="65"/>
  <c r="J225" i="66"/>
  <c r="B225" i="65" s="1"/>
  <c r="I225" i="66"/>
  <c r="D225" i="65"/>
  <c r="L268" i="66"/>
  <c r="L282" i="66"/>
  <c r="B328" i="66"/>
  <c r="I338" i="66"/>
  <c r="D338" i="65"/>
  <c r="A338" i="65" s="1"/>
  <c r="AI150" i="46"/>
  <c r="B223" i="66"/>
  <c r="A223" i="66"/>
  <c r="A210" i="66"/>
  <c r="B210" i="66"/>
  <c r="D211" i="66"/>
  <c r="L226" i="66"/>
  <c r="D224" i="66"/>
  <c r="L240" i="66"/>
  <c r="J267" i="66"/>
  <c r="B267" i="65" s="1"/>
  <c r="I267" i="66"/>
  <c r="D267" i="65"/>
  <c r="D281" i="65"/>
  <c r="J281" i="66"/>
  <c r="B281" i="65" s="1"/>
  <c r="I281" i="66"/>
  <c r="D237" i="66"/>
  <c r="A237" i="66" s="1"/>
  <c r="A249" i="66"/>
  <c r="B249" i="66"/>
  <c r="D181" i="66"/>
  <c r="L190" i="66"/>
  <c r="D409" i="66"/>
  <c r="L430" i="66"/>
  <c r="D428" i="66"/>
  <c r="L450" i="66"/>
  <c r="R109" i="41"/>
  <c r="D118" i="41"/>
  <c r="F118" i="41" s="1"/>
  <c r="H118" i="41" s="1"/>
  <c r="AE118" i="41"/>
  <c r="AE114" i="41"/>
  <c r="AG114" i="41" s="1"/>
  <c r="R113" i="41"/>
  <c r="D114" i="41"/>
  <c r="F114" i="41" s="1"/>
  <c r="H114" i="41" s="1"/>
  <c r="R99" i="39"/>
  <c r="D108" i="39"/>
  <c r="F108" i="39" s="1"/>
  <c r="H108" i="39" s="1"/>
  <c r="R107" i="39"/>
  <c r="D112" i="39"/>
  <c r="F112" i="39" s="1"/>
  <c r="R114" i="42"/>
  <c r="R118" i="42"/>
  <c r="D119" i="42"/>
  <c r="AE119" i="42"/>
  <c r="AG119" i="42" s="1"/>
  <c r="AE123" i="42"/>
  <c r="H99" i="40"/>
  <c r="H100" i="40" s="1"/>
  <c r="F100" i="40"/>
  <c r="R103" i="39"/>
  <c r="Z75" i="42"/>
  <c r="AB75" i="42" s="1"/>
  <c r="AR75" i="42" s="1"/>
  <c r="L80" i="42"/>
  <c r="N80" i="42" s="1"/>
  <c r="AQ80" i="42" s="1"/>
  <c r="J130" i="46"/>
  <c r="N130" i="46" s="1"/>
  <c r="AQ130" i="46" s="1"/>
  <c r="J129" i="46"/>
  <c r="N129" i="46" s="1"/>
  <c r="AQ129" i="46" s="1"/>
  <c r="J125" i="45"/>
  <c r="N125" i="45" s="1"/>
  <c r="AQ125" i="45" s="1"/>
  <c r="J124" i="45"/>
  <c r="N124" i="45" s="1"/>
  <c r="AQ124" i="45" s="1"/>
  <c r="H103" i="39"/>
  <c r="D229" i="65"/>
  <c r="A229" i="65" s="1"/>
  <c r="J229" i="66"/>
  <c r="B229" i="65" s="1"/>
  <c r="I229" i="66"/>
  <c r="H113" i="42"/>
  <c r="H115" i="42" s="1"/>
  <c r="F115" i="42"/>
  <c r="J114" i="42" s="1"/>
  <c r="J115" i="43"/>
  <c r="J114" i="43"/>
  <c r="D289" i="65"/>
  <c r="J289" i="66"/>
  <c r="B289" i="65" s="1"/>
  <c r="I289" i="66"/>
  <c r="F149" i="45"/>
  <c r="H149" i="45" s="1"/>
  <c r="J147" i="45"/>
  <c r="AG138" i="45"/>
  <c r="AG140" i="45" s="1"/>
  <c r="AE140" i="45"/>
  <c r="AI139" i="45" s="1"/>
  <c r="F129" i="45"/>
  <c r="H129" i="45" s="1"/>
  <c r="J127" i="45"/>
  <c r="F134" i="45"/>
  <c r="H134" i="45" s="1"/>
  <c r="J132" i="45"/>
  <c r="V123" i="44"/>
  <c r="T123" i="44"/>
  <c r="B199" i="66"/>
  <c r="A199" i="66"/>
  <c r="L79" i="42"/>
  <c r="N79" i="42" s="1"/>
  <c r="AQ79" i="42" s="1"/>
  <c r="AT79" i="42" s="1"/>
  <c r="B370" i="66"/>
  <c r="A370" i="66"/>
  <c r="AG109" i="41"/>
  <c r="AG110" i="41" s="1"/>
  <c r="AE110" i="41"/>
  <c r="AI109" i="41" s="1"/>
  <c r="F117" i="41"/>
  <c r="D429" i="65"/>
  <c r="A429" i="65" s="1"/>
  <c r="J429" i="66"/>
  <c r="B429" i="65" s="1"/>
  <c r="I429" i="66"/>
  <c r="D249" i="65"/>
  <c r="A249" i="65" s="1"/>
  <c r="I249" i="66"/>
  <c r="J249" i="66"/>
  <c r="B249" i="65" s="1"/>
  <c r="B161" i="66"/>
  <c r="A161" i="66"/>
  <c r="F119" i="43"/>
  <c r="J117" i="43"/>
  <c r="J149" i="46"/>
  <c r="N149" i="46" s="1"/>
  <c r="AQ149" i="46" s="1"/>
  <c r="B427" i="66"/>
  <c r="A427" i="66"/>
  <c r="V99" i="40"/>
  <c r="V100" i="40" s="1"/>
  <c r="T99" i="40"/>
  <c r="T100" i="40" s="1"/>
  <c r="X99" i="40" s="1"/>
  <c r="D485" i="66"/>
  <c r="L510" i="66"/>
  <c r="D352" i="66"/>
  <c r="D371" i="66"/>
  <c r="L390" i="66"/>
  <c r="D466" i="66"/>
  <c r="L490" i="66"/>
  <c r="L290" i="66"/>
  <c r="D447" i="66"/>
  <c r="L470" i="66"/>
  <c r="D390" i="66"/>
  <c r="L410" i="66"/>
  <c r="L350" i="66"/>
  <c r="R84" i="36"/>
  <c r="D98" i="36"/>
  <c r="F98" i="36" s="1"/>
  <c r="H98" i="36" s="1"/>
  <c r="R97" i="36"/>
  <c r="D102" i="36"/>
  <c r="F102" i="36" s="1"/>
  <c r="D257" i="66"/>
  <c r="D200" i="66"/>
  <c r="L210" i="66"/>
  <c r="AE104" i="39"/>
  <c r="AG104" i="39" s="1"/>
  <c r="V89" i="39"/>
  <c r="V90" i="39" s="1"/>
  <c r="T89" i="39"/>
  <c r="T90" i="39" s="1"/>
  <c r="X89" i="39" s="1"/>
  <c r="A218" i="66"/>
  <c r="B218" i="66"/>
  <c r="H119" i="44"/>
  <c r="H120" i="44" s="1"/>
  <c r="J120" i="44" s="1"/>
  <c r="F120" i="44"/>
  <c r="J119" i="44" s="1"/>
  <c r="F144" i="45"/>
  <c r="H144" i="45" s="1"/>
  <c r="J142" i="45"/>
  <c r="AE145" i="45"/>
  <c r="AI144" i="45" s="1"/>
  <c r="AG143" i="45"/>
  <c r="AG145" i="45" s="1"/>
  <c r="V133" i="45"/>
  <c r="T133" i="45"/>
  <c r="V138" i="45"/>
  <c r="T138" i="45"/>
  <c r="F105" i="40"/>
  <c r="J104" i="40" s="1"/>
  <c r="D489" i="65"/>
  <c r="A489" i="65" s="1"/>
  <c r="J489" i="66"/>
  <c r="B489" i="65" s="1"/>
  <c r="I489" i="66"/>
  <c r="B256" i="66"/>
  <c r="A256" i="66"/>
  <c r="J107" i="41"/>
  <c r="F109" i="41"/>
  <c r="V112" i="41"/>
  <c r="T112" i="41"/>
  <c r="B408" i="66"/>
  <c r="A408" i="66"/>
  <c r="B237" i="66"/>
  <c r="AG123" i="43"/>
  <c r="AG130" i="45"/>
  <c r="D409" i="65"/>
  <c r="A409" i="65" s="1"/>
  <c r="J409" i="66"/>
  <c r="B409" i="65" s="1"/>
  <c r="I409" i="66"/>
  <c r="H102" i="37"/>
  <c r="H112" i="40"/>
  <c r="V113" i="42"/>
  <c r="T113" i="42"/>
  <c r="D219" i="66"/>
  <c r="L230" i="66"/>
  <c r="L250" i="66"/>
  <c r="D314" i="66"/>
  <c r="J144" i="46"/>
  <c r="N144" i="46" s="1"/>
  <c r="AQ144" i="46" s="1"/>
  <c r="J145" i="46"/>
  <c r="N145" i="46" s="1"/>
  <c r="AQ145" i="46" s="1"/>
  <c r="H107" i="39"/>
  <c r="H97" i="36"/>
  <c r="D349" i="65"/>
  <c r="I349" i="66"/>
  <c r="J349" i="66"/>
  <c r="B349" i="65" s="1"/>
  <c r="D509" i="65"/>
  <c r="A509" i="65" s="1"/>
  <c r="J509" i="66"/>
  <c r="B509" i="65" s="1"/>
  <c r="I509" i="66"/>
  <c r="V148" i="45"/>
  <c r="T148" i="45"/>
  <c r="T143" i="45"/>
  <c r="V143" i="45"/>
  <c r="F139" i="45"/>
  <c r="H139" i="45" s="1"/>
  <c r="J137" i="45"/>
  <c r="AG148" i="45"/>
  <c r="AG150" i="45" s="1"/>
  <c r="AE150" i="45"/>
  <c r="AI149" i="45" s="1"/>
  <c r="F124" i="44"/>
  <c r="H124" i="44" s="1"/>
  <c r="J122" i="44"/>
  <c r="H105" i="40"/>
  <c r="J105" i="40" s="1"/>
  <c r="AE125" i="44"/>
  <c r="AI124" i="44" s="1"/>
  <c r="B465" i="66"/>
  <c r="A465" i="66"/>
  <c r="AG113" i="41"/>
  <c r="AG115" i="41" s="1"/>
  <c r="F113" i="41"/>
  <c r="J112" i="41"/>
  <c r="D469" i="65"/>
  <c r="A469" i="65" s="1"/>
  <c r="I469" i="66"/>
  <c r="J469" i="66"/>
  <c r="B469" i="65" s="1"/>
  <c r="D189" i="65"/>
  <c r="A189" i="65" s="1"/>
  <c r="J189" i="66"/>
  <c r="B189" i="65" s="1"/>
  <c r="I189" i="66"/>
  <c r="V118" i="43"/>
  <c r="T118" i="43"/>
  <c r="V114" i="43"/>
  <c r="V115" i="43" s="1"/>
  <c r="T114" i="43"/>
  <c r="T115" i="43" s="1"/>
  <c r="X114" i="43" s="1"/>
  <c r="J140" i="46"/>
  <c r="N140" i="46" s="1"/>
  <c r="AQ140" i="46" s="1"/>
  <c r="J139" i="46"/>
  <c r="N139" i="46" s="1"/>
  <c r="AQ139" i="46" s="1"/>
  <c r="AE130" i="45"/>
  <c r="AI129" i="45" s="1"/>
  <c r="A389" i="66"/>
  <c r="B389" i="66"/>
  <c r="B313" i="66"/>
  <c r="A313" i="66"/>
  <c r="V97" i="37"/>
  <c r="T97" i="37"/>
  <c r="V107" i="40"/>
  <c r="T107" i="40"/>
  <c r="V109" i="42"/>
  <c r="V110" i="42" s="1"/>
  <c r="T109" i="42"/>
  <c r="T110" i="42" s="1"/>
  <c r="X109" i="42" s="1"/>
  <c r="R123" i="43"/>
  <c r="AE128" i="43"/>
  <c r="AE124" i="43"/>
  <c r="AG124" i="43" s="1"/>
  <c r="D124" i="43"/>
  <c r="R89" i="38"/>
  <c r="D103" i="38"/>
  <c r="F103" i="38" s="1"/>
  <c r="R102" i="38"/>
  <c r="D107" i="38"/>
  <c r="F107" i="38" s="1"/>
  <c r="R87" i="35"/>
  <c r="D97" i="35"/>
  <c r="F97" i="35" s="1"/>
  <c r="D113" i="40"/>
  <c r="R104" i="40"/>
  <c r="D117" i="40"/>
  <c r="R112" i="40"/>
  <c r="D109" i="40"/>
  <c r="AE113" i="40"/>
  <c r="R108" i="40"/>
  <c r="AE109" i="40"/>
  <c r="R143" i="44"/>
  <c r="AE148" i="44"/>
  <c r="AE138" i="44"/>
  <c r="AE129" i="44"/>
  <c r="AG129" i="44" s="1"/>
  <c r="R133" i="44"/>
  <c r="AE143" i="44"/>
  <c r="D129" i="44"/>
  <c r="R128" i="44"/>
  <c r="R148" i="44"/>
  <c r="D149" i="44"/>
  <c r="R138" i="44"/>
  <c r="AE134" i="44"/>
  <c r="AG134" i="44" s="1"/>
  <c r="AE144" i="44"/>
  <c r="AG144" i="44" s="1"/>
  <c r="AE149" i="44"/>
  <c r="AG149" i="44" s="1"/>
  <c r="D144" i="44"/>
  <c r="D134" i="44"/>
  <c r="AE139" i="44"/>
  <c r="AG139" i="44" s="1"/>
  <c r="D139" i="44"/>
  <c r="AE133" i="44"/>
  <c r="AE108" i="39"/>
  <c r="AG108" i="39" s="1"/>
  <c r="D104" i="39"/>
  <c r="F104" i="39" s="1"/>
  <c r="H104" i="39" s="1"/>
  <c r="X105" i="42"/>
  <c r="AI135" i="46"/>
  <c r="X100" i="41"/>
  <c r="V102" i="39"/>
  <c r="T102" i="39"/>
  <c r="T87" i="36"/>
  <c r="V87" i="36"/>
  <c r="J115" i="42"/>
  <c r="AI140" i="46"/>
  <c r="J134" i="46"/>
  <c r="N134" i="46" s="1"/>
  <c r="AQ134" i="46" s="1"/>
  <c r="J135" i="46"/>
  <c r="N135" i="46" s="1"/>
  <c r="AQ135" i="46" s="1"/>
  <c r="X90" i="40"/>
  <c r="AI120" i="43"/>
  <c r="B484" i="66"/>
  <c r="A484" i="66"/>
  <c r="V128" i="45"/>
  <c r="T128" i="45"/>
  <c r="AE135" i="45"/>
  <c r="AI134" i="45" s="1"/>
  <c r="AG133" i="45"/>
  <c r="AG135" i="45" s="1"/>
  <c r="AG128" i="44"/>
  <c r="D209" i="65"/>
  <c r="A209" i="65" s="1"/>
  <c r="J209" i="66"/>
  <c r="B209" i="65" s="1"/>
  <c r="I209" i="66"/>
  <c r="H109" i="42"/>
  <c r="H110" i="42" s="1"/>
  <c r="J110" i="42" s="1"/>
  <c r="F110" i="42"/>
  <c r="J109" i="42" s="1"/>
  <c r="AI145" i="46"/>
  <c r="AG125" i="44"/>
  <c r="D389" i="65"/>
  <c r="A389" i="65" s="1"/>
  <c r="I389" i="66"/>
  <c r="J389" i="66"/>
  <c r="B389" i="65" s="1"/>
  <c r="V108" i="41"/>
  <c r="T108" i="41"/>
  <c r="V104" i="41"/>
  <c r="V105" i="41" s="1"/>
  <c r="T104" i="41"/>
  <c r="T105" i="41" s="1"/>
  <c r="X104" i="41" s="1"/>
  <c r="B446" i="66"/>
  <c r="A446" i="66"/>
  <c r="D169" i="65"/>
  <c r="A169" i="65" s="1"/>
  <c r="J169" i="66"/>
  <c r="B169" i="65" s="1"/>
  <c r="I169" i="66"/>
  <c r="B180" i="66"/>
  <c r="A180" i="66"/>
  <c r="H117" i="42"/>
  <c r="D449" i="65"/>
  <c r="A449" i="65" s="1"/>
  <c r="J449" i="66"/>
  <c r="B449" i="65" s="1"/>
  <c r="I449" i="66"/>
  <c r="AE120" i="42"/>
  <c r="AI119" i="42" s="1"/>
  <c r="AG118" i="42"/>
  <c r="AG120" i="42" s="1"/>
  <c r="N55" i="32"/>
  <c r="AQ55" i="32" s="1"/>
  <c r="L60" i="33"/>
  <c r="Z55" i="33"/>
  <c r="AB55" i="33" s="1"/>
  <c r="AR54" i="33" s="1"/>
  <c r="AT54" i="33" s="1"/>
  <c r="D9" i="33" s="1"/>
  <c r="Z59" i="33" s="1"/>
  <c r="AB59" i="33" s="1"/>
  <c r="Y11" i="7"/>
  <c r="X10" i="7" s="1"/>
  <c r="A236" i="65"/>
  <c r="A275" i="65"/>
  <c r="R22" i="59"/>
  <c r="R23" i="59" s="1"/>
  <c r="P23" i="59"/>
  <c r="T22" i="59" s="1"/>
  <c r="N22" i="59"/>
  <c r="AC10" i="59"/>
  <c r="AA28" i="59"/>
  <c r="Y21" i="59"/>
  <c r="Y15" i="59"/>
  <c r="AA15" i="59" s="1"/>
  <c r="AC15" i="59" s="1"/>
  <c r="AA11" i="59"/>
  <c r="AC11" i="59" s="1"/>
  <c r="Y4" i="59"/>
  <c r="A262" i="65"/>
  <c r="A288" i="65"/>
  <c r="T13" i="59"/>
  <c r="R15" i="59"/>
  <c r="R17" i="59" s="1"/>
  <c r="P15" i="59"/>
  <c r="P17" i="59" s="1"/>
  <c r="A197" i="65"/>
  <c r="A223" i="65"/>
  <c r="AA14" i="59"/>
  <c r="AC3" i="59"/>
  <c r="AA3" i="59"/>
  <c r="AI80" i="36"/>
  <c r="AG90" i="37"/>
  <c r="AI90" i="37" s="1"/>
  <c r="AE40" i="27"/>
  <c r="AI39" i="27" s="1"/>
  <c r="AI40" i="28"/>
  <c r="V72" i="33"/>
  <c r="N59" i="33"/>
  <c r="AQ59" i="33" s="1"/>
  <c r="T50" i="30"/>
  <c r="X49" i="30" s="1"/>
  <c r="X50" i="30" s="1"/>
  <c r="AA27" i="25"/>
  <c r="AG27" i="25" s="1"/>
  <c r="Y26" i="25"/>
  <c r="X27" i="25" s="1"/>
  <c r="G28" i="25"/>
  <c r="G29" i="25" s="1"/>
  <c r="I38" i="25" s="1"/>
  <c r="F29" i="25"/>
  <c r="I36" i="25" s="1"/>
  <c r="J44" i="29"/>
  <c r="AK75" i="42"/>
  <c r="AM75" i="42" s="1"/>
  <c r="AS75" i="42" s="1"/>
  <c r="AT75" i="42" s="1"/>
  <c r="E13" i="42" s="1"/>
  <c r="AK80" i="42" s="1"/>
  <c r="AM80" i="42" s="1"/>
  <c r="AS80" i="42" s="1"/>
  <c r="AK74" i="42"/>
  <c r="AM74" i="42" s="1"/>
  <c r="AS74" i="42" s="1"/>
  <c r="J80" i="36"/>
  <c r="J45" i="29"/>
  <c r="AI90" i="38"/>
  <c r="Z74" i="41"/>
  <c r="AB74" i="41" s="1"/>
  <c r="L79" i="41"/>
  <c r="N79" i="41" s="1"/>
  <c r="AQ79" i="41" s="1"/>
  <c r="N54" i="32"/>
  <c r="AQ54" i="32" s="1"/>
  <c r="AI75" i="35"/>
  <c r="J37" i="27"/>
  <c r="AR60" i="35"/>
  <c r="AT60" i="35" s="1"/>
  <c r="E10" i="35" s="1"/>
  <c r="L70" i="35" s="1"/>
  <c r="N70" i="35" s="1"/>
  <c r="AQ70" i="35" s="1"/>
  <c r="N60" i="33"/>
  <c r="AQ60" i="33" s="1"/>
  <c r="V85" i="37"/>
  <c r="X85" i="37" s="1"/>
  <c r="AG80" i="35"/>
  <c r="AG50" i="29"/>
  <c r="AE50" i="29"/>
  <c r="AI49" i="29" s="1"/>
  <c r="F60" i="31"/>
  <c r="H60" i="31"/>
  <c r="J57" i="31"/>
  <c r="AI16" i="16"/>
  <c r="AJ13" i="15"/>
  <c r="AI100" i="40"/>
  <c r="X70" i="35"/>
  <c r="X80" i="37"/>
  <c r="H54" i="31"/>
  <c r="H55" i="31" s="1"/>
  <c r="J55" i="31" s="1"/>
  <c r="F55" i="31"/>
  <c r="J54" i="31" s="1"/>
  <c r="R75" i="59"/>
  <c r="D76" i="59"/>
  <c r="F76" i="59" s="1"/>
  <c r="D73" i="32"/>
  <c r="F73" i="32" s="1"/>
  <c r="H73" i="32" s="1"/>
  <c r="R93" i="37"/>
  <c r="V93" i="37" s="1"/>
  <c r="AE94" i="37"/>
  <c r="AG94" i="37" s="1"/>
  <c r="J100" i="40"/>
  <c r="J99" i="40"/>
  <c r="AG103" i="39"/>
  <c r="AG99" i="39"/>
  <c r="AG100" i="39" s="1"/>
  <c r="AE100" i="39"/>
  <c r="AI99" i="39" s="1"/>
  <c r="AI105" i="40"/>
  <c r="T77" i="34"/>
  <c r="V77" i="34"/>
  <c r="V82" i="35"/>
  <c r="T82" i="35"/>
  <c r="H68" i="32"/>
  <c r="D68" i="31"/>
  <c r="F68" i="31" s="1"/>
  <c r="R67" i="31"/>
  <c r="H59" i="59"/>
  <c r="H60" i="59" s="1"/>
  <c r="J60" i="59" s="1"/>
  <c r="F60" i="59"/>
  <c r="J59" i="59" s="1"/>
  <c r="AE98" i="37"/>
  <c r="Z69" i="38"/>
  <c r="AB69" i="38" s="1"/>
  <c r="L74" i="38"/>
  <c r="N74" i="38" s="1"/>
  <c r="AQ74" i="38" s="1"/>
  <c r="AR69" i="39"/>
  <c r="AT69" i="39" s="1"/>
  <c r="AR70" i="39"/>
  <c r="AT70" i="39" s="1"/>
  <c r="E12" i="39" s="1"/>
  <c r="AK75" i="39" s="1"/>
  <c r="AM75" i="39" s="1"/>
  <c r="AS75" i="39" s="1"/>
  <c r="AR49" i="32"/>
  <c r="AR50" i="32"/>
  <c r="F99" i="39"/>
  <c r="J97" i="39"/>
  <c r="H82" i="34"/>
  <c r="V67" i="32"/>
  <c r="T67" i="32"/>
  <c r="D82" i="33"/>
  <c r="F82" i="33" s="1"/>
  <c r="R77" i="33"/>
  <c r="H84" i="37"/>
  <c r="H85" i="37" s="1"/>
  <c r="J85" i="37" s="1"/>
  <c r="F85" i="37"/>
  <c r="J84" i="37" s="1"/>
  <c r="R39" i="28"/>
  <c r="V39" i="28" s="1"/>
  <c r="V40" i="28" s="1"/>
  <c r="D53" i="28"/>
  <c r="F53" i="28" s="1"/>
  <c r="H89" i="38"/>
  <c r="H90" i="38" s="1"/>
  <c r="J90" i="38" s="1"/>
  <c r="F90" i="38"/>
  <c r="J89" i="38" s="1"/>
  <c r="T84" i="36"/>
  <c r="V84" i="36"/>
  <c r="Z70" i="38"/>
  <c r="AB70" i="38" s="1"/>
  <c r="L75" i="38"/>
  <c r="N75" i="38" s="1"/>
  <c r="AQ75" i="38" s="1"/>
  <c r="H52" i="27"/>
  <c r="V103" i="39"/>
  <c r="T103" i="39"/>
  <c r="V79" i="36"/>
  <c r="V80" i="36" s="1"/>
  <c r="T79" i="36"/>
  <c r="T80" i="36" s="1"/>
  <c r="X79" i="36" s="1"/>
  <c r="V69" i="34"/>
  <c r="V70" i="34" s="1"/>
  <c r="T69" i="34"/>
  <c r="T70" i="34" s="1"/>
  <c r="X69" i="34" s="1"/>
  <c r="H53" i="29"/>
  <c r="D83" i="34"/>
  <c r="F83" i="34" s="1"/>
  <c r="H83" i="34" s="1"/>
  <c r="R82" i="34"/>
  <c r="D87" i="34"/>
  <c r="F87" i="34" s="1"/>
  <c r="AE103" i="38"/>
  <c r="R98" i="38"/>
  <c r="D99" i="38"/>
  <c r="AE99" i="38"/>
  <c r="H67" i="30"/>
  <c r="D72" i="31"/>
  <c r="F72" i="31" s="1"/>
  <c r="T49" i="29"/>
  <c r="V49" i="29"/>
  <c r="R79" i="35"/>
  <c r="D88" i="35"/>
  <c r="F88" i="35" s="1"/>
  <c r="H88" i="35" s="1"/>
  <c r="R47" i="26"/>
  <c r="D52" i="26"/>
  <c r="F52" i="26" s="1"/>
  <c r="D81" i="59"/>
  <c r="F81" i="59" s="1"/>
  <c r="Z50" i="31"/>
  <c r="AB50" i="31" s="1"/>
  <c r="L55" i="31"/>
  <c r="D77" i="32"/>
  <c r="F77" i="32" s="1"/>
  <c r="H69" i="34"/>
  <c r="H70" i="34" s="1"/>
  <c r="J70" i="34" s="1"/>
  <c r="F70" i="34"/>
  <c r="J69" i="34" s="1"/>
  <c r="T47" i="27"/>
  <c r="V47" i="27"/>
  <c r="V98" i="39"/>
  <c r="T98" i="39"/>
  <c r="H87" i="35"/>
  <c r="AJ14" i="16"/>
  <c r="Y9" i="5"/>
  <c r="AA9" i="5" s="1"/>
  <c r="AG9" i="5" s="1"/>
  <c r="Y8" i="4"/>
  <c r="X7" i="4" s="1"/>
  <c r="N44" i="30"/>
  <c r="AQ44" i="30" s="1"/>
  <c r="AE80" i="35"/>
  <c r="AI79" i="35" s="1"/>
  <c r="AR64" i="37"/>
  <c r="AT64" i="37" s="1"/>
  <c r="D11" i="37" s="1"/>
  <c r="AK69" i="37" s="1"/>
  <c r="AM69" i="37" s="1"/>
  <c r="AS69" i="37" s="1"/>
  <c r="AR65" i="37"/>
  <c r="AT65" i="37" s="1"/>
  <c r="E11" i="37" s="1"/>
  <c r="F65" i="32"/>
  <c r="AG65" i="32"/>
  <c r="H65" i="32"/>
  <c r="AE55" i="30"/>
  <c r="AI54" i="30" s="1"/>
  <c r="J62" i="32"/>
  <c r="J64" i="32" s="1"/>
  <c r="AE65" i="32"/>
  <c r="AI64" i="32" s="1"/>
  <c r="AG55" i="30"/>
  <c r="AR45" i="32"/>
  <c r="AT45" i="32" s="1"/>
  <c r="E7" i="32" s="1"/>
  <c r="AK50" i="32" s="1"/>
  <c r="AM50" i="32" s="1"/>
  <c r="AS50" i="32" s="1"/>
  <c r="AI14" i="15"/>
  <c r="AI9" i="15"/>
  <c r="L65" i="36"/>
  <c r="N65" i="36" s="1"/>
  <c r="AQ65" i="36" s="1"/>
  <c r="Z60" i="36"/>
  <c r="AB60" i="36" s="1"/>
  <c r="Z59" i="36"/>
  <c r="AB59" i="36" s="1"/>
  <c r="L64" i="36"/>
  <c r="N64" i="36" s="1"/>
  <c r="AQ64" i="36" s="1"/>
  <c r="AK59" i="36"/>
  <c r="AM59" i="36" s="1"/>
  <c r="AS59" i="36" s="1"/>
  <c r="L59" i="32"/>
  <c r="AK54" i="32"/>
  <c r="AM54" i="32" s="1"/>
  <c r="AS54" i="32" s="1"/>
  <c r="Z54" i="32"/>
  <c r="AB54" i="32" s="1"/>
  <c r="AR44" i="32"/>
  <c r="AT44" i="32" s="1"/>
  <c r="D7" i="32" s="1"/>
  <c r="AK49" i="32" s="1"/>
  <c r="AM49" i="32" s="1"/>
  <c r="AS49" i="32" s="1"/>
  <c r="AK45" i="31"/>
  <c r="AM45" i="31" s="1"/>
  <c r="AS45" i="31" s="1"/>
  <c r="Z45" i="31"/>
  <c r="AB45" i="31" s="1"/>
  <c r="L50" i="31"/>
  <c r="N50" i="31" s="1"/>
  <c r="AQ50" i="31" s="1"/>
  <c r="AT50" i="31" s="1"/>
  <c r="E8" i="31" s="1"/>
  <c r="AT50" i="32"/>
  <c r="E8" i="32" s="1"/>
  <c r="AK69" i="38"/>
  <c r="AM69" i="38" s="1"/>
  <c r="AS69" i="38" s="1"/>
  <c r="AR54" i="34"/>
  <c r="AT54" i="34" s="1"/>
  <c r="D9" i="34" s="1"/>
  <c r="AR55" i="34"/>
  <c r="AT55" i="34" s="1"/>
  <c r="E9" i="34" s="1"/>
  <c r="AK70" i="38"/>
  <c r="AM70" i="38" s="1"/>
  <c r="AS70" i="38" s="1"/>
  <c r="AI65" i="33"/>
  <c r="AG40" i="27"/>
  <c r="AI15" i="16"/>
  <c r="AI13" i="16"/>
  <c r="AG85" i="36"/>
  <c r="Y10" i="6"/>
  <c r="AA10" i="6" s="1"/>
  <c r="AG10" i="6" s="1"/>
  <c r="Y7" i="3"/>
  <c r="X6" i="3" s="1"/>
  <c r="X45" i="30"/>
  <c r="AE85" i="36"/>
  <c r="AI84" i="36" s="1"/>
  <c r="N45" i="30"/>
  <c r="AQ45" i="30" s="1"/>
  <c r="X65" i="35"/>
  <c r="AI35" i="27"/>
  <c r="AM35" i="27" s="1"/>
  <c r="AS35" i="27" s="1"/>
  <c r="X60" i="33"/>
  <c r="X40" i="29"/>
  <c r="AG45" i="28"/>
  <c r="AJ9" i="16"/>
  <c r="AJ8" i="15"/>
  <c r="AI8" i="15"/>
  <c r="AI5" i="15"/>
  <c r="AJ5" i="15"/>
  <c r="AJ6" i="15"/>
  <c r="AI6" i="15"/>
  <c r="AI7" i="15"/>
  <c r="AJ7" i="15"/>
  <c r="X75" i="36"/>
  <c r="X55" i="32"/>
  <c r="AJ4" i="15"/>
  <c r="AI4" i="15"/>
  <c r="AJ7" i="16"/>
  <c r="AI7" i="16"/>
  <c r="H20" i="15"/>
  <c r="I20" i="15" s="1"/>
  <c r="D20" i="15"/>
  <c r="F20" i="15" s="1"/>
  <c r="G20" i="15" s="1"/>
  <c r="AV21" i="16"/>
  <c r="AA15" i="11"/>
  <c r="X15" i="11"/>
  <c r="AA5" i="1"/>
  <c r="AG5" i="1" s="1"/>
  <c r="F69" i="33"/>
  <c r="J67" i="33"/>
  <c r="B28" i="22"/>
  <c r="AP28" i="22"/>
  <c r="C7" i="26"/>
  <c r="V31" i="61"/>
  <c r="AV20" i="15"/>
  <c r="AN22" i="61"/>
  <c r="AP22" i="16"/>
  <c r="B22" i="16"/>
  <c r="C13" i="32"/>
  <c r="AA11" i="8"/>
  <c r="X10" i="8"/>
  <c r="AA13" i="9"/>
  <c r="AG13" i="9" s="1"/>
  <c r="AF7" i="5"/>
  <c r="H26" i="21"/>
  <c r="I26" i="21" s="1"/>
  <c r="D26" i="21"/>
  <c r="F26" i="21" s="1"/>
  <c r="G26" i="21" s="1"/>
  <c r="AI95" i="38"/>
  <c r="AX12" i="61"/>
  <c r="EX135" i="61" s="1"/>
  <c r="GI135" i="61" s="1"/>
  <c r="C23" i="42"/>
  <c r="AP12" i="6"/>
  <c r="B12" i="6"/>
  <c r="H17" i="12"/>
  <c r="I17" i="12" s="1"/>
  <c r="D17" i="12"/>
  <c r="F17" i="12" s="1"/>
  <c r="G17" i="12" s="1"/>
  <c r="V64" i="34"/>
  <c r="V65" i="34" s="1"/>
  <c r="T64" i="34"/>
  <c r="T65" i="34" s="1"/>
  <c r="X64" i="34" s="1"/>
  <c r="AV23" i="18"/>
  <c r="G8" i="5"/>
  <c r="AI10" i="16"/>
  <c r="AJ10" i="16"/>
  <c r="AJ8" i="16"/>
  <c r="AI8" i="16"/>
  <c r="H16" i="11"/>
  <c r="I16" i="11" s="1"/>
  <c r="D16" i="11"/>
  <c r="F16" i="11" s="1"/>
  <c r="G16" i="11" s="1"/>
  <c r="AE59" i="30"/>
  <c r="AG59" i="30" s="1"/>
  <c r="R58" i="30"/>
  <c r="AE63" i="30"/>
  <c r="R54" i="30"/>
  <c r="D59" i="30"/>
  <c r="F59" i="30" s="1"/>
  <c r="H59" i="30" s="1"/>
  <c r="R62" i="30"/>
  <c r="D63" i="30"/>
  <c r="F63" i="30" s="1"/>
  <c r="H63" i="30" s="1"/>
  <c r="T33" i="26"/>
  <c r="V33" i="26"/>
  <c r="AE54" i="29"/>
  <c r="AG54" i="29" s="1"/>
  <c r="R53" i="29"/>
  <c r="AE58" i="29"/>
  <c r="D54" i="29"/>
  <c r="D58" i="29"/>
  <c r="F58" i="29" s="1"/>
  <c r="H58" i="29" s="1"/>
  <c r="R57" i="29"/>
  <c r="D62" i="29"/>
  <c r="AV7" i="2"/>
  <c r="AG4" i="1"/>
  <c r="H22" i="17"/>
  <c r="I22" i="17" s="1"/>
  <c r="D22" i="17"/>
  <c r="F22" i="17" s="1"/>
  <c r="G22" i="17" s="1"/>
  <c r="BA9" i="61"/>
  <c r="AP9" i="3"/>
  <c r="C26" i="45"/>
  <c r="B9" i="3"/>
  <c r="J40" i="28"/>
  <c r="N40" i="28" s="1"/>
  <c r="AQ40" i="28" s="1"/>
  <c r="J39" i="28"/>
  <c r="N39" i="28" s="1"/>
  <c r="AQ39" i="28" s="1"/>
  <c r="AI70" i="34"/>
  <c r="H62" i="31"/>
  <c r="R83" i="35"/>
  <c r="AE84" i="35"/>
  <c r="AG84" i="35" s="1"/>
  <c r="D84" i="35"/>
  <c r="AE88" i="35"/>
  <c r="D43" i="26"/>
  <c r="F43" i="26" s="1"/>
  <c r="H43" i="26" s="1"/>
  <c r="AE43" i="26"/>
  <c r="R34" i="26"/>
  <c r="D39" i="26"/>
  <c r="F39" i="26" s="1"/>
  <c r="H39" i="26" s="1"/>
  <c r="AE39" i="26"/>
  <c r="AG39" i="26" s="1"/>
  <c r="R38" i="26"/>
  <c r="R42" i="26"/>
  <c r="D47" i="26"/>
  <c r="AA7" i="4"/>
  <c r="AG7" i="4" s="1"/>
  <c r="V59" i="59"/>
  <c r="V60" i="59" s="1"/>
  <c r="T59" i="59"/>
  <c r="T60" i="59" s="1"/>
  <c r="X59" i="59" s="1"/>
  <c r="AK39" i="29"/>
  <c r="AM39" i="29" s="1"/>
  <c r="AS39" i="29" s="1"/>
  <c r="Z39" i="29"/>
  <c r="AB39" i="29" s="1"/>
  <c r="L44" i="29"/>
  <c r="AG48" i="28"/>
  <c r="V72" i="32"/>
  <c r="T72" i="32"/>
  <c r="H42" i="27"/>
  <c r="F84" i="36"/>
  <c r="J82" i="36"/>
  <c r="AV14" i="9"/>
  <c r="AG6" i="4"/>
  <c r="G10" i="7"/>
  <c r="F54" i="30"/>
  <c r="J52" i="30"/>
  <c r="Y1" i="14"/>
  <c r="AB10" i="14" s="1"/>
  <c r="AE89" i="36"/>
  <c r="AG89" i="36" s="1"/>
  <c r="AE93" i="36"/>
  <c r="R88" i="36"/>
  <c r="D89" i="36"/>
  <c r="AI11" i="15"/>
  <c r="AJ11" i="15"/>
  <c r="AV15" i="10"/>
  <c r="AV10" i="5"/>
  <c r="G10" i="6"/>
  <c r="AW13" i="61"/>
  <c r="AP13" i="7"/>
  <c r="Y12" i="7" s="1"/>
  <c r="X11" i="7" s="1"/>
  <c r="B13" i="7"/>
  <c r="C22" i="41"/>
  <c r="F49" i="29"/>
  <c r="J47" i="29"/>
  <c r="AG93" i="37"/>
  <c r="AR59" i="35"/>
  <c r="AT59" i="35" s="1"/>
  <c r="D10" i="35" s="1"/>
  <c r="L69" i="35" s="1"/>
  <c r="N69" i="35" s="1"/>
  <c r="AQ69" i="35" s="1"/>
  <c r="X12" i="9"/>
  <c r="AB40" i="30"/>
  <c r="AR39" i="30" s="1"/>
  <c r="AT39" i="30" s="1"/>
  <c r="D6" i="30" s="1"/>
  <c r="V68" i="33"/>
  <c r="T68" i="33"/>
  <c r="H21" i="16"/>
  <c r="I21" i="16" s="1"/>
  <c r="D21" i="16"/>
  <c r="F21" i="16" s="1"/>
  <c r="G21" i="16" s="1"/>
  <c r="H38" i="27"/>
  <c r="H40" i="27" s="1"/>
  <c r="J40" i="27" s="1"/>
  <c r="N40" i="27" s="1"/>
  <c r="AQ40" i="27" s="1"/>
  <c r="F40" i="27"/>
  <c r="H72" i="32"/>
  <c r="AI27" i="61"/>
  <c r="L319" i="66" s="1"/>
  <c r="B27" i="21"/>
  <c r="AP27" i="21"/>
  <c r="C8" i="27"/>
  <c r="D53" i="27" s="1"/>
  <c r="F53" i="27" s="1"/>
  <c r="H53" i="27" s="1"/>
  <c r="AJ10" i="15"/>
  <c r="AI10" i="15"/>
  <c r="H49" i="30"/>
  <c r="H50" i="30" s="1"/>
  <c r="J50" i="30" s="1"/>
  <c r="F50" i="30"/>
  <c r="J49" i="30" s="1"/>
  <c r="H9" i="4"/>
  <c r="I9" i="4" s="1"/>
  <c r="D9" i="4"/>
  <c r="F9" i="4" s="1"/>
  <c r="G9" i="4" s="1"/>
  <c r="AV11" i="6"/>
  <c r="AG83" i="35"/>
  <c r="AR18" i="61"/>
  <c r="AP18" i="12"/>
  <c r="B18" i="12"/>
  <c r="C17" i="36"/>
  <c r="AE94" i="36" s="1"/>
  <c r="AG94" i="36" s="1"/>
  <c r="F78" i="34"/>
  <c r="AG78" i="34"/>
  <c r="H23" i="18"/>
  <c r="I23" i="18" s="1"/>
  <c r="D23" i="18"/>
  <c r="F23" i="18" s="1"/>
  <c r="G23" i="18" s="1"/>
  <c r="AL24" i="61"/>
  <c r="AP24" i="18"/>
  <c r="C11" i="30"/>
  <c r="B24" i="18"/>
  <c r="AJ5" i="16"/>
  <c r="AI5" i="16"/>
  <c r="AS17" i="61"/>
  <c r="C18" i="37"/>
  <c r="AP17" i="11"/>
  <c r="B17" i="11"/>
  <c r="J77" i="35"/>
  <c r="BC7" i="61"/>
  <c r="AP7" i="1"/>
  <c r="Y6" i="1" s="1"/>
  <c r="B7" i="1"/>
  <c r="C28" i="47"/>
  <c r="F47" i="27"/>
  <c r="AG43" i="27"/>
  <c r="AV24" i="19"/>
  <c r="T62" i="31"/>
  <c r="V62" i="31"/>
  <c r="V58" i="31"/>
  <c r="T58" i="31"/>
  <c r="F38" i="26"/>
  <c r="AV25" i="20"/>
  <c r="AA14" i="10"/>
  <c r="AG14" i="10" s="1"/>
  <c r="AA11" i="7"/>
  <c r="AV13" i="8"/>
  <c r="AF14" i="12"/>
  <c r="BB8" i="61"/>
  <c r="AP8" i="2"/>
  <c r="C27" i="46"/>
  <c r="B8" i="2"/>
  <c r="X4" i="1"/>
  <c r="R68" i="32"/>
  <c r="AE69" i="32"/>
  <c r="AG69" i="32" s="1"/>
  <c r="AE73" i="32"/>
  <c r="D69" i="32"/>
  <c r="H8" i="3"/>
  <c r="I8" i="3" s="1"/>
  <c r="D8" i="3"/>
  <c r="F8" i="3" s="1"/>
  <c r="AE60" i="31"/>
  <c r="AI59" i="31" s="1"/>
  <c r="H19" i="14"/>
  <c r="I19" i="14" s="1"/>
  <c r="D19" i="14"/>
  <c r="F19" i="14" s="1"/>
  <c r="G19" i="14" s="1"/>
  <c r="AV28" i="23"/>
  <c r="Y28" i="23"/>
  <c r="BG7" i="23"/>
  <c r="AE70" i="59"/>
  <c r="AI70" i="59"/>
  <c r="AK40" i="29"/>
  <c r="AM40" i="29" s="1"/>
  <c r="AS40" i="29" s="1"/>
  <c r="Z40" i="29"/>
  <c r="L45" i="29"/>
  <c r="F44" i="28"/>
  <c r="J42" i="28"/>
  <c r="T59" i="32"/>
  <c r="T60" i="32" s="1"/>
  <c r="X59" i="32" s="1"/>
  <c r="V59" i="32"/>
  <c r="V60" i="32" s="1"/>
  <c r="V83" i="36"/>
  <c r="T83" i="36"/>
  <c r="H14" i="9"/>
  <c r="I14" i="9" s="1"/>
  <c r="D14" i="9"/>
  <c r="F14" i="9" s="1"/>
  <c r="G14" i="9" s="1"/>
  <c r="AF14" i="11"/>
  <c r="X6" i="4"/>
  <c r="F62" i="30"/>
  <c r="V53" i="30"/>
  <c r="T53" i="30"/>
  <c r="AF15" i="14"/>
  <c r="AF16" i="14" s="1"/>
  <c r="AI1" i="14"/>
  <c r="AQ19" i="61"/>
  <c r="L255" i="66" s="1"/>
  <c r="C16" i="35"/>
  <c r="B19" i="13"/>
  <c r="AP19" i="13"/>
  <c r="AG4" i="2"/>
  <c r="H10" i="5"/>
  <c r="I10" i="5" s="1"/>
  <c r="D10" i="5"/>
  <c r="J94" i="38"/>
  <c r="N94" i="38" s="1"/>
  <c r="AQ94" i="38" s="1"/>
  <c r="J95" i="38"/>
  <c r="N95" i="38" s="1"/>
  <c r="AQ95" i="38" s="1"/>
  <c r="AV12" i="7"/>
  <c r="F57" i="29"/>
  <c r="T93" i="37"/>
  <c r="Y12" i="8"/>
  <c r="X11" i="8" s="1"/>
  <c r="AF13" i="10"/>
  <c r="H27" i="22"/>
  <c r="I27" i="22" s="1"/>
  <c r="D27" i="22"/>
  <c r="F27" i="22" s="1"/>
  <c r="G27" i="22" s="1"/>
  <c r="R43" i="27"/>
  <c r="AE44" i="27"/>
  <c r="AG44" i="27" s="1"/>
  <c r="AE48" i="27"/>
  <c r="D44" i="27"/>
  <c r="F44" i="27" s="1"/>
  <c r="H44" i="27" s="1"/>
  <c r="R39" i="27"/>
  <c r="D48" i="27"/>
  <c r="F48" i="27" s="1"/>
  <c r="H48" i="27" s="1"/>
  <c r="AO21" i="61"/>
  <c r="AP21" i="15"/>
  <c r="B21" i="15"/>
  <c r="C14" i="33"/>
  <c r="R69" i="33" s="1"/>
  <c r="AG73" i="33"/>
  <c r="AV27" i="22"/>
  <c r="AE79" i="34"/>
  <c r="AG79" i="34" s="1"/>
  <c r="AE83" i="34"/>
  <c r="R78" i="34"/>
  <c r="D79" i="34"/>
  <c r="F79" i="34" s="1"/>
  <c r="H79" i="34" s="1"/>
  <c r="R74" i="34"/>
  <c r="AE74" i="33"/>
  <c r="AG74" i="33" s="1"/>
  <c r="AE78" i="33"/>
  <c r="D74" i="33"/>
  <c r="R73" i="33"/>
  <c r="R64" i="33"/>
  <c r="D78" i="33"/>
  <c r="AA6" i="3"/>
  <c r="AG6" i="3" s="1"/>
  <c r="AE70" i="33"/>
  <c r="AI69" i="33" s="1"/>
  <c r="AA8" i="5"/>
  <c r="X7" i="5"/>
  <c r="AA5" i="2"/>
  <c r="AG5" i="2" s="1"/>
  <c r="AF8" i="7"/>
  <c r="AF9" i="7" s="1"/>
  <c r="AF10" i="7" s="1"/>
  <c r="AE53" i="28"/>
  <c r="AE49" i="28"/>
  <c r="AG49" i="28" s="1"/>
  <c r="R48" i="28"/>
  <c r="D49" i="28"/>
  <c r="R44" i="28"/>
  <c r="R52" i="28"/>
  <c r="D57" i="28"/>
  <c r="AZ10" i="61"/>
  <c r="AP10" i="4"/>
  <c r="C25" i="44"/>
  <c r="B10" i="4"/>
  <c r="H11" i="6"/>
  <c r="I11" i="6" s="1"/>
  <c r="D11" i="6"/>
  <c r="F11" i="6" s="1"/>
  <c r="G11" i="6" s="1"/>
  <c r="AG5" i="3"/>
  <c r="V78" i="35"/>
  <c r="T78" i="35"/>
  <c r="F74" i="34"/>
  <c r="J72" i="34"/>
  <c r="AG71" i="59"/>
  <c r="R70" i="59"/>
  <c r="AG76" i="59"/>
  <c r="R65" i="59"/>
  <c r="D71" i="59"/>
  <c r="H47" i="28"/>
  <c r="AV16" i="11"/>
  <c r="AI45" i="29"/>
  <c r="H78" i="35"/>
  <c r="H80" i="35" s="1"/>
  <c r="F80" i="35"/>
  <c r="H64" i="33"/>
  <c r="H65" i="33" s="1"/>
  <c r="J65" i="33" s="1"/>
  <c r="F65" i="33"/>
  <c r="J64" i="33" s="1"/>
  <c r="D6" i="1"/>
  <c r="H6" i="1"/>
  <c r="I6" i="1" s="1"/>
  <c r="V38" i="27"/>
  <c r="T38" i="27"/>
  <c r="AV24" i="53"/>
  <c r="H24" i="19"/>
  <c r="I24" i="19" s="1"/>
  <c r="D24" i="19"/>
  <c r="F24" i="19" s="1"/>
  <c r="G24" i="19" s="1"/>
  <c r="AG63" i="31"/>
  <c r="F42" i="26"/>
  <c r="AG38" i="26"/>
  <c r="AJ26" i="61"/>
  <c r="AP26" i="20"/>
  <c r="C9" i="28"/>
  <c r="R49" i="28" s="1"/>
  <c r="B26" i="20"/>
  <c r="AJ16" i="15"/>
  <c r="AI16" i="15"/>
  <c r="AV14" i="61"/>
  <c r="AP14" i="8"/>
  <c r="B14" i="8"/>
  <c r="C21" i="40"/>
  <c r="G4" i="1"/>
  <c r="H7" i="2"/>
  <c r="I7" i="2" s="1"/>
  <c r="D7" i="2"/>
  <c r="AM23" i="61"/>
  <c r="D290" i="66" s="1"/>
  <c r="B23" i="17"/>
  <c r="AP23" i="17"/>
  <c r="C12" i="59"/>
  <c r="C12" i="31"/>
  <c r="R72" i="31" s="1"/>
  <c r="AV8" i="3"/>
  <c r="AG60" i="31"/>
  <c r="AP20" i="61"/>
  <c r="AP20" i="14"/>
  <c r="C15" i="34"/>
  <c r="B20" i="14"/>
  <c r="H77" i="33"/>
  <c r="T69" i="59"/>
  <c r="V69" i="59"/>
  <c r="T64" i="59"/>
  <c r="V64" i="59"/>
  <c r="AG75" i="34"/>
  <c r="AJ11" i="16"/>
  <c r="AI11" i="16"/>
  <c r="AE45" i="28"/>
  <c r="AI44" i="28" s="1"/>
  <c r="AA9" i="6"/>
  <c r="X8" i="6"/>
  <c r="AI60" i="32"/>
  <c r="AM60" i="32" s="1"/>
  <c r="AS60" i="32" s="1"/>
  <c r="Y1" i="13"/>
  <c r="AB10" i="13" s="1"/>
  <c r="AG88" i="36"/>
  <c r="AU15" i="61"/>
  <c r="B15" i="9"/>
  <c r="AP15" i="9"/>
  <c r="C20" i="39"/>
  <c r="X14" i="11"/>
  <c r="AG58" i="30"/>
  <c r="AV18" i="13"/>
  <c r="AT16" i="61"/>
  <c r="C19" i="38"/>
  <c r="R103" i="38" s="1"/>
  <c r="AP16" i="10"/>
  <c r="B16" i="10"/>
  <c r="X4" i="2"/>
  <c r="AY11" i="61"/>
  <c r="C24" i="43"/>
  <c r="AP11" i="5"/>
  <c r="B11" i="5"/>
  <c r="H12" i="7"/>
  <c r="I12" i="7" s="1"/>
  <c r="D12" i="7"/>
  <c r="V52" i="29"/>
  <c r="T52" i="29"/>
  <c r="V48" i="29"/>
  <c r="T48" i="29"/>
  <c r="T50" i="29" s="1"/>
  <c r="X49" i="29" s="1"/>
  <c r="F89" i="37"/>
  <c r="J87" i="37"/>
  <c r="AG98" i="37"/>
  <c r="AR39" i="31"/>
  <c r="AT39" i="31" s="1"/>
  <c r="D6" i="31" s="1"/>
  <c r="X13" i="10"/>
  <c r="AG15" i="12"/>
  <c r="X1" i="12"/>
  <c r="AG70" i="33"/>
  <c r="AR35" i="28"/>
  <c r="AT35" i="28" s="1"/>
  <c r="E5" i="28" s="1"/>
  <c r="AR34" i="28"/>
  <c r="AT34" i="28" s="1"/>
  <c r="D5" i="28" s="1"/>
  <c r="AA28" i="24"/>
  <c r="AG28" i="24" s="1"/>
  <c r="Y27" i="24"/>
  <c r="X28" i="24" s="1"/>
  <c r="AF8" i="6"/>
  <c r="AV26" i="21"/>
  <c r="AV9" i="4"/>
  <c r="H69" i="59"/>
  <c r="X5" i="3"/>
  <c r="T74" i="35"/>
  <c r="T75" i="35" s="1"/>
  <c r="X74" i="35" s="1"/>
  <c r="V74" i="35"/>
  <c r="V75" i="35" s="1"/>
  <c r="AV17" i="12"/>
  <c r="T73" i="34"/>
  <c r="V73" i="34"/>
  <c r="AE64" i="31"/>
  <c r="AG64" i="31" s="1"/>
  <c r="AE68" i="31"/>
  <c r="R63" i="31"/>
  <c r="D64" i="31"/>
  <c r="F64" i="31" s="1"/>
  <c r="H64" i="31" s="1"/>
  <c r="R59" i="31"/>
  <c r="AJ4" i="16"/>
  <c r="AI4" i="16"/>
  <c r="AJ6" i="16"/>
  <c r="AI6" i="16"/>
  <c r="AV6" i="1"/>
  <c r="T42" i="27"/>
  <c r="V42" i="27"/>
  <c r="T34" i="27"/>
  <c r="T35" i="27" s="1"/>
  <c r="X34" i="27" s="1"/>
  <c r="AB34" i="27" s="1"/>
  <c r="V34" i="27"/>
  <c r="V35" i="27" s="1"/>
  <c r="X35" i="27" s="1"/>
  <c r="AB35" i="27" s="1"/>
  <c r="H24" i="53"/>
  <c r="I24" i="53" s="1"/>
  <c r="D24" i="53"/>
  <c r="F24" i="53" s="1"/>
  <c r="G24" i="53" s="1"/>
  <c r="AK25" i="61"/>
  <c r="B25" i="19"/>
  <c r="C10" i="29"/>
  <c r="D67" i="29" s="1"/>
  <c r="F67" i="29" s="1"/>
  <c r="AP25" i="53"/>
  <c r="AP25" i="19"/>
  <c r="B25" i="53"/>
  <c r="V54" i="31"/>
  <c r="V55" i="31" s="1"/>
  <c r="T54" i="31"/>
  <c r="T55" i="31" s="1"/>
  <c r="X54" i="31" s="1"/>
  <c r="AG34" i="26"/>
  <c r="AG35" i="26" s="1"/>
  <c r="AE35" i="26"/>
  <c r="AI34" i="26" s="1"/>
  <c r="AM34" i="26" s="1"/>
  <c r="AS34" i="26" s="1"/>
  <c r="V37" i="26"/>
  <c r="T37" i="26"/>
  <c r="H25" i="20"/>
  <c r="I25" i="20" s="1"/>
  <c r="D25" i="20"/>
  <c r="F25" i="20" s="1"/>
  <c r="G25" i="20" s="1"/>
  <c r="H13" i="8"/>
  <c r="I13" i="8" s="1"/>
  <c r="D13" i="8"/>
  <c r="F13" i="8" s="1"/>
  <c r="F28" i="24"/>
  <c r="D29" i="24"/>
  <c r="I35" i="24" s="1"/>
  <c r="AV22" i="17"/>
  <c r="AT41" i="59"/>
  <c r="AT42" i="59"/>
  <c r="AV19" i="14"/>
  <c r="H28" i="23"/>
  <c r="I28" i="23" s="1"/>
  <c r="I29" i="23" s="1"/>
  <c r="I39" i="23" s="1"/>
  <c r="D28" i="23"/>
  <c r="S7" i="23"/>
  <c r="H59" i="32"/>
  <c r="H60" i="32" s="1"/>
  <c r="J60" i="32" s="1"/>
  <c r="F60" i="32"/>
  <c r="J59" i="32" s="1"/>
  <c r="F65" i="59"/>
  <c r="J63" i="59"/>
  <c r="AE65" i="59"/>
  <c r="AI65" i="59"/>
  <c r="AI66" i="59" s="1"/>
  <c r="AK66" i="59" s="1"/>
  <c r="AE75" i="34"/>
  <c r="AI74" i="34" s="1"/>
  <c r="T43" i="28"/>
  <c r="V43" i="28"/>
  <c r="AG68" i="32"/>
  <c r="T63" i="32"/>
  <c r="V63" i="32"/>
  <c r="AF15" i="13"/>
  <c r="AF16" i="13" s="1"/>
  <c r="AI1" i="13"/>
  <c r="H74" i="35"/>
  <c r="H75" i="35" s="1"/>
  <c r="J75" i="35" s="1"/>
  <c r="F75" i="35"/>
  <c r="J74" i="35" s="1"/>
  <c r="V57" i="30"/>
  <c r="T57" i="30"/>
  <c r="H18" i="13"/>
  <c r="I18" i="13" s="1"/>
  <c r="D18" i="13"/>
  <c r="F18" i="13" s="1"/>
  <c r="G18" i="13" s="1"/>
  <c r="AJ15" i="15"/>
  <c r="AI15" i="15"/>
  <c r="Y6" i="2"/>
  <c r="H15" i="10"/>
  <c r="I15" i="10" s="1"/>
  <c r="D15" i="10"/>
  <c r="F15" i="10" s="1"/>
  <c r="G15" i="10" s="1"/>
  <c r="AI50" i="30"/>
  <c r="T44" i="29"/>
  <c r="T45" i="29" s="1"/>
  <c r="X44" i="29" s="1"/>
  <c r="V44" i="29"/>
  <c r="V45" i="29" s="1"/>
  <c r="AG53" i="29"/>
  <c r="F94" i="37"/>
  <c r="H94" i="37" s="1"/>
  <c r="J92" i="37"/>
  <c r="T88" i="37"/>
  <c r="V88" i="37"/>
  <c r="H57" i="30"/>
  <c r="AG12" i="9"/>
  <c r="GI134" i="61" l="1"/>
  <c r="J102" i="39"/>
  <c r="AG105" i="39"/>
  <c r="D254" i="65"/>
  <c r="A254" i="65" s="1"/>
  <c r="AT80" i="42"/>
  <c r="D77" i="31"/>
  <c r="I254" i="66"/>
  <c r="I366" i="66"/>
  <c r="AI125" i="44"/>
  <c r="EJ127" i="61"/>
  <c r="FV127" i="61"/>
  <c r="DT127" i="61"/>
  <c r="FF127" i="61"/>
  <c r="DS127" i="61"/>
  <c r="FE127" i="61"/>
  <c r="ED127" i="61"/>
  <c r="FP127" i="61"/>
  <c r="EO127" i="61"/>
  <c r="GA127" i="61"/>
  <c r="DY127" i="61"/>
  <c r="FK127" i="61"/>
  <c r="EM127" i="61"/>
  <c r="FY127" i="61"/>
  <c r="EF127" i="61"/>
  <c r="FR127" i="61"/>
  <c r="EE127" i="61"/>
  <c r="FQ127" i="61"/>
  <c r="GB127" i="61"/>
  <c r="DZ127" i="61"/>
  <c r="FL127" i="61"/>
  <c r="EK127" i="61"/>
  <c r="FW127" i="61"/>
  <c r="DU127" i="61"/>
  <c r="FG127" i="61"/>
  <c r="EI127" i="61"/>
  <c r="FU127" i="61"/>
  <c r="EB127" i="61"/>
  <c r="FN127" i="61"/>
  <c r="EA127" i="61"/>
  <c r="FM127" i="61"/>
  <c r="EL127" i="61"/>
  <c r="FX127" i="61"/>
  <c r="DV127" i="61"/>
  <c r="FH127" i="61"/>
  <c r="EG127" i="61"/>
  <c r="FS127" i="61"/>
  <c r="EN127" i="61"/>
  <c r="FZ127" i="61"/>
  <c r="DX127" i="61"/>
  <c r="FJ127" i="61"/>
  <c r="DW127" i="61"/>
  <c r="FI127" i="61"/>
  <c r="EH127" i="61"/>
  <c r="FT127" i="61"/>
  <c r="EC127" i="61"/>
  <c r="FO127" i="61"/>
  <c r="EU127" i="61"/>
  <c r="EV127" i="61" s="1"/>
  <c r="EP128" i="61"/>
  <c r="AI60" i="31"/>
  <c r="AM60" i="31" s="1"/>
  <c r="AS60" i="31" s="1"/>
  <c r="AE115" i="41"/>
  <c r="AI114" i="41" s="1"/>
  <c r="J366" i="66"/>
  <c r="B366" i="65" s="1"/>
  <c r="X115" i="43"/>
  <c r="D228" i="66"/>
  <c r="L247" i="66"/>
  <c r="I222" i="66"/>
  <c r="J222" i="66"/>
  <c r="B222" i="65" s="1"/>
  <c r="D222" i="65"/>
  <c r="A222" i="65" s="1"/>
  <c r="A282" i="66"/>
  <c r="B282" i="66"/>
  <c r="B216" i="66"/>
  <c r="A216" i="66"/>
  <c r="L235" i="66"/>
  <c r="D217" i="66"/>
  <c r="D329" i="66"/>
  <c r="B329" i="66" s="1"/>
  <c r="D283" i="66"/>
  <c r="L307" i="66"/>
  <c r="D250" i="66"/>
  <c r="B250" i="66" s="1"/>
  <c r="B205" i="66"/>
  <c r="A205" i="66"/>
  <c r="A271" i="66"/>
  <c r="B271" i="66"/>
  <c r="D234" i="65"/>
  <c r="A234" i="65" s="1"/>
  <c r="I234" i="66"/>
  <c r="J234" i="66"/>
  <c r="B234" i="65" s="1"/>
  <c r="L339" i="66"/>
  <c r="J339" i="66" s="1"/>
  <c r="B339" i="65" s="1"/>
  <c r="D272" i="66"/>
  <c r="L259" i="66"/>
  <c r="J246" i="66"/>
  <c r="B246" i="65" s="1"/>
  <c r="D246" i="65"/>
  <c r="A246" i="65" s="1"/>
  <c r="I246" i="66"/>
  <c r="J318" i="66"/>
  <c r="B318" i="65" s="1"/>
  <c r="I318" i="66"/>
  <c r="D318" i="65"/>
  <c r="I319" i="66"/>
  <c r="D319" i="65"/>
  <c r="J319" i="66"/>
  <c r="B319" i="65" s="1"/>
  <c r="I258" i="66"/>
  <c r="D258" i="65"/>
  <c r="A258" i="65" s="1"/>
  <c r="J258" i="66"/>
  <c r="B258" i="65" s="1"/>
  <c r="D306" i="65"/>
  <c r="I306" i="66"/>
  <c r="J306" i="66"/>
  <c r="B306" i="65" s="1"/>
  <c r="A227" i="66"/>
  <c r="B227" i="66"/>
  <c r="AG130" i="44"/>
  <c r="AI110" i="41"/>
  <c r="AI140" i="45"/>
  <c r="AI135" i="45"/>
  <c r="A224" i="66"/>
  <c r="B224" i="66"/>
  <c r="J255" i="66"/>
  <c r="B255" i="65" s="1"/>
  <c r="I255" i="66"/>
  <c r="D255" i="65"/>
  <c r="A255" i="65" s="1"/>
  <c r="D303" i="66"/>
  <c r="D225" i="66"/>
  <c r="L241" i="66"/>
  <c r="D342" i="66"/>
  <c r="L367" i="66"/>
  <c r="AE130" i="44"/>
  <c r="AI129" i="44" s="1"/>
  <c r="D238" i="66"/>
  <c r="X90" i="39"/>
  <c r="J226" i="66"/>
  <c r="B226" i="65" s="1"/>
  <c r="D226" i="65"/>
  <c r="A226" i="65" s="1"/>
  <c r="I226" i="66"/>
  <c r="D268" i="65"/>
  <c r="A268" i="65" s="1"/>
  <c r="I268" i="66"/>
  <c r="J268" i="66"/>
  <c r="B268" i="65" s="1"/>
  <c r="B302" i="66"/>
  <c r="A302" i="66"/>
  <c r="L283" i="66"/>
  <c r="B211" i="66"/>
  <c r="A211" i="66"/>
  <c r="A250" i="66"/>
  <c r="B290" i="66"/>
  <c r="A290" i="66"/>
  <c r="L269" i="66"/>
  <c r="A329" i="66"/>
  <c r="AE105" i="39"/>
  <c r="AI104" i="39" s="1"/>
  <c r="X105" i="41"/>
  <c r="D240" i="65"/>
  <c r="A240" i="65" s="1"/>
  <c r="I240" i="66"/>
  <c r="J240" i="66"/>
  <c r="B240" i="65" s="1"/>
  <c r="D282" i="65"/>
  <c r="A282" i="65" s="1"/>
  <c r="I282" i="66"/>
  <c r="J282" i="66"/>
  <c r="B282" i="65" s="1"/>
  <c r="L291" i="66"/>
  <c r="R104" i="39"/>
  <c r="D113" i="39"/>
  <c r="R112" i="39"/>
  <c r="D117" i="39"/>
  <c r="D109" i="39"/>
  <c r="AE113" i="39"/>
  <c r="AE109" i="39"/>
  <c r="R108" i="39"/>
  <c r="D410" i="66"/>
  <c r="L431" i="66"/>
  <c r="D118" i="40"/>
  <c r="F118" i="40" s="1"/>
  <c r="H118" i="40" s="1"/>
  <c r="R109" i="40"/>
  <c r="D114" i="40"/>
  <c r="F114" i="40" s="1"/>
  <c r="H114" i="40" s="1"/>
  <c r="AE114" i="40"/>
  <c r="AG114" i="40" s="1"/>
  <c r="AE118" i="40"/>
  <c r="R113" i="40"/>
  <c r="D372" i="66"/>
  <c r="L391" i="66"/>
  <c r="R89" i="37"/>
  <c r="D103" i="37"/>
  <c r="F103" i="37" s="1"/>
  <c r="R102" i="37"/>
  <c r="D107" i="37"/>
  <c r="F107" i="37" s="1"/>
  <c r="D220" i="66"/>
  <c r="L231" i="66"/>
  <c r="H99" i="39"/>
  <c r="H100" i="39" s="1"/>
  <c r="F100" i="39"/>
  <c r="L85" i="42"/>
  <c r="N85" i="42" s="1"/>
  <c r="AQ85" i="42" s="1"/>
  <c r="AG133" i="44"/>
  <c r="AG135" i="44" s="1"/>
  <c r="AE135" i="44"/>
  <c r="AI134" i="44" s="1"/>
  <c r="F144" i="44"/>
  <c r="H144" i="44" s="1"/>
  <c r="J142" i="44"/>
  <c r="V138" i="44"/>
  <c r="T138" i="44"/>
  <c r="F129" i="44"/>
  <c r="H129" i="44" s="1"/>
  <c r="J127" i="44"/>
  <c r="AG138" i="44"/>
  <c r="AG140" i="44" s="1"/>
  <c r="AE140" i="44"/>
  <c r="AI139" i="44" s="1"/>
  <c r="V108" i="40"/>
  <c r="T108" i="40"/>
  <c r="F117" i="40"/>
  <c r="V87" i="35"/>
  <c r="T87" i="35"/>
  <c r="T89" i="38"/>
  <c r="T90" i="38" s="1"/>
  <c r="X89" i="38" s="1"/>
  <c r="V89" i="38"/>
  <c r="V90" i="38" s="1"/>
  <c r="V123" i="43"/>
  <c r="T123" i="43"/>
  <c r="AI150" i="45"/>
  <c r="AI130" i="45"/>
  <c r="AI145" i="45"/>
  <c r="X100" i="40"/>
  <c r="T97" i="36"/>
  <c r="V97" i="36"/>
  <c r="B447" i="66"/>
  <c r="A447" i="66"/>
  <c r="D490" i="65"/>
  <c r="A490" i="65" s="1"/>
  <c r="I490" i="66"/>
  <c r="J490" i="66"/>
  <c r="B490" i="65" s="1"/>
  <c r="H117" i="41"/>
  <c r="F105" i="39"/>
  <c r="V118" i="42"/>
  <c r="T118" i="42"/>
  <c r="D450" i="65"/>
  <c r="A450" i="65" s="1"/>
  <c r="I450" i="66"/>
  <c r="J450" i="66"/>
  <c r="B450" i="65" s="1"/>
  <c r="D190" i="65"/>
  <c r="A190" i="65" s="1"/>
  <c r="J190" i="66"/>
  <c r="B190" i="65" s="1"/>
  <c r="I190" i="66"/>
  <c r="AR74" i="42"/>
  <c r="AT74" i="42" s="1"/>
  <c r="D13" i="42" s="1"/>
  <c r="Z79" i="42" s="1"/>
  <c r="AB79" i="42" s="1"/>
  <c r="D448" i="66"/>
  <c r="L471" i="66"/>
  <c r="D353" i="66"/>
  <c r="D467" i="66"/>
  <c r="L491" i="66"/>
  <c r="R84" i="35"/>
  <c r="T84" i="35" s="1"/>
  <c r="D98" i="35"/>
  <c r="F98" i="35" s="1"/>
  <c r="H98" i="35" s="1"/>
  <c r="R97" i="35"/>
  <c r="D102" i="35"/>
  <c r="F102" i="35" s="1"/>
  <c r="R114" i="41"/>
  <c r="D119" i="41"/>
  <c r="AE119" i="41"/>
  <c r="AG119" i="41" s="1"/>
  <c r="R118" i="41"/>
  <c r="AE123" i="41"/>
  <c r="Z80" i="42"/>
  <c r="AB80" i="42" s="1"/>
  <c r="F139" i="44"/>
  <c r="H139" i="44" s="1"/>
  <c r="J137" i="44"/>
  <c r="F149" i="44"/>
  <c r="H149" i="44" s="1"/>
  <c r="J147" i="44"/>
  <c r="AE145" i="44"/>
  <c r="AI144" i="44" s="1"/>
  <c r="AG143" i="44"/>
  <c r="AG145" i="44" s="1"/>
  <c r="AG148" i="44"/>
  <c r="AG150" i="44" s="1"/>
  <c r="AE150" i="44"/>
  <c r="AI149" i="44" s="1"/>
  <c r="AG113" i="40"/>
  <c r="T104" i="40"/>
  <c r="T105" i="40" s="1"/>
  <c r="X104" i="40" s="1"/>
  <c r="V104" i="40"/>
  <c r="V105" i="40" s="1"/>
  <c r="H107" i="38"/>
  <c r="F124" i="43"/>
  <c r="H124" i="43" s="1"/>
  <c r="J122" i="43"/>
  <c r="H113" i="41"/>
  <c r="H115" i="41" s="1"/>
  <c r="J115" i="41" s="1"/>
  <c r="F115" i="41"/>
  <c r="J114" i="41" s="1"/>
  <c r="J124" i="44"/>
  <c r="N124" i="44" s="1"/>
  <c r="AQ124" i="44" s="1"/>
  <c r="J125" i="44"/>
  <c r="N125" i="44" s="1"/>
  <c r="AQ125" i="44" s="1"/>
  <c r="J140" i="45"/>
  <c r="N140" i="45" s="1"/>
  <c r="AQ140" i="45" s="1"/>
  <c r="J139" i="45"/>
  <c r="N139" i="45" s="1"/>
  <c r="AQ139" i="45" s="1"/>
  <c r="B314" i="66"/>
  <c r="A314" i="66"/>
  <c r="D230" i="65"/>
  <c r="A230" i="65" s="1"/>
  <c r="I230" i="66"/>
  <c r="J230" i="66"/>
  <c r="B230" i="65" s="1"/>
  <c r="AG125" i="43"/>
  <c r="D210" i="65"/>
  <c r="A210" i="65" s="1"/>
  <c r="I210" i="66"/>
  <c r="J210" i="66"/>
  <c r="B210" i="65" s="1"/>
  <c r="B257" i="66"/>
  <c r="A257" i="66"/>
  <c r="D410" i="65"/>
  <c r="A410" i="65" s="1"/>
  <c r="I410" i="66"/>
  <c r="J410" i="66"/>
  <c r="B410" i="65" s="1"/>
  <c r="D290" i="65"/>
  <c r="I290" i="66"/>
  <c r="J290" i="66"/>
  <c r="B290" i="65" s="1"/>
  <c r="B466" i="66"/>
  <c r="A466" i="66"/>
  <c r="A352" i="66"/>
  <c r="B352" i="66"/>
  <c r="J134" i="45"/>
  <c r="N134" i="45" s="1"/>
  <c r="AQ134" i="45" s="1"/>
  <c r="J135" i="45"/>
  <c r="N135" i="45" s="1"/>
  <c r="AQ135" i="45" s="1"/>
  <c r="H105" i="39"/>
  <c r="AG123" i="42"/>
  <c r="V114" i="42"/>
  <c r="V115" i="42" s="1"/>
  <c r="T114" i="42"/>
  <c r="T115" i="42" s="1"/>
  <c r="X114" i="42" s="1"/>
  <c r="V99" i="39"/>
  <c r="T99" i="39"/>
  <c r="AG118" i="41"/>
  <c r="B428" i="66"/>
  <c r="A428" i="66"/>
  <c r="B181" i="66"/>
  <c r="A181" i="66"/>
  <c r="R138" i="43"/>
  <c r="AE138" i="43"/>
  <c r="AE134" i="43"/>
  <c r="AG134" i="43" s="1"/>
  <c r="R143" i="43"/>
  <c r="AE143" i="43"/>
  <c r="R128" i="43"/>
  <c r="AE149" i="43"/>
  <c r="AG149" i="43" s="1"/>
  <c r="R133" i="43"/>
  <c r="D144" i="43"/>
  <c r="D149" i="43"/>
  <c r="R148" i="43"/>
  <c r="AE139" i="43"/>
  <c r="AG139" i="43" s="1"/>
  <c r="AE129" i="43"/>
  <c r="AG129" i="43" s="1"/>
  <c r="AE144" i="43"/>
  <c r="AG144" i="43" s="1"/>
  <c r="D129" i="43"/>
  <c r="D134" i="43"/>
  <c r="AE148" i="43"/>
  <c r="D139" i="43"/>
  <c r="AE133" i="43"/>
  <c r="L351" i="66"/>
  <c r="R123" i="42"/>
  <c r="AE128" i="42"/>
  <c r="AE124" i="42"/>
  <c r="AG124" i="42" s="1"/>
  <c r="D124" i="42"/>
  <c r="D391" i="66"/>
  <c r="L411" i="66"/>
  <c r="T100" i="39"/>
  <c r="X99" i="39" s="1"/>
  <c r="T148" i="44"/>
  <c r="V148" i="44"/>
  <c r="V133" i="44"/>
  <c r="T133" i="44"/>
  <c r="V143" i="44"/>
  <c r="T143" i="44"/>
  <c r="J107" i="40"/>
  <c r="F109" i="40"/>
  <c r="F113" i="40"/>
  <c r="J112" i="40"/>
  <c r="V102" i="38"/>
  <c r="T102" i="38"/>
  <c r="X110" i="42"/>
  <c r="D250" i="65"/>
  <c r="A250" i="65" s="1"/>
  <c r="I250" i="66"/>
  <c r="J250" i="66"/>
  <c r="B250" i="65" s="1"/>
  <c r="B219" i="66"/>
  <c r="A219" i="66"/>
  <c r="AE125" i="43"/>
  <c r="AI124" i="43" s="1"/>
  <c r="J145" i="45"/>
  <c r="N145" i="45" s="1"/>
  <c r="AQ145" i="45" s="1"/>
  <c r="J144" i="45"/>
  <c r="N144" i="45" s="1"/>
  <c r="AQ144" i="45" s="1"/>
  <c r="B200" i="66"/>
  <c r="A200" i="66"/>
  <c r="B390" i="66"/>
  <c r="A390" i="66"/>
  <c r="D390" i="65"/>
  <c r="A390" i="65" s="1"/>
  <c r="J390" i="66"/>
  <c r="B390" i="65" s="1"/>
  <c r="I390" i="66"/>
  <c r="D510" i="65"/>
  <c r="A510" i="65" s="1"/>
  <c r="J510" i="66"/>
  <c r="B510" i="65" s="1"/>
  <c r="I510" i="66"/>
  <c r="H112" i="39"/>
  <c r="D430" i="65"/>
  <c r="A430" i="65" s="1"/>
  <c r="J430" i="66"/>
  <c r="B430" i="65" s="1"/>
  <c r="I430" i="66"/>
  <c r="R99" i="38"/>
  <c r="D108" i="38"/>
  <c r="F108" i="38" s="1"/>
  <c r="H108" i="38" s="1"/>
  <c r="R107" i="38"/>
  <c r="D112" i="38"/>
  <c r="F112" i="38" s="1"/>
  <c r="D258" i="66"/>
  <c r="R87" i="34"/>
  <c r="D97" i="34"/>
  <c r="F97" i="34" s="1"/>
  <c r="L251" i="66"/>
  <c r="D429" i="66"/>
  <c r="L451" i="66"/>
  <c r="D315" i="66"/>
  <c r="D486" i="66"/>
  <c r="L511" i="66"/>
  <c r="D201" i="66"/>
  <c r="L211" i="66"/>
  <c r="V100" i="39"/>
  <c r="AE104" i="38"/>
  <c r="AG104" i="38" s="1"/>
  <c r="AE108" i="38"/>
  <c r="D104" i="38"/>
  <c r="AI120" i="42"/>
  <c r="F134" i="44"/>
  <c r="H134" i="44" s="1"/>
  <c r="J132" i="44"/>
  <c r="V128" i="44"/>
  <c r="T128" i="44"/>
  <c r="AG109" i="40"/>
  <c r="AG110" i="40" s="1"/>
  <c r="AE110" i="40"/>
  <c r="AI109" i="40" s="1"/>
  <c r="V112" i="40"/>
  <c r="T112" i="40"/>
  <c r="H97" i="35"/>
  <c r="H103" i="38"/>
  <c r="AG128" i="43"/>
  <c r="AG130" i="43" s="1"/>
  <c r="AI115" i="41"/>
  <c r="B238" i="66"/>
  <c r="A238" i="66"/>
  <c r="H109" i="41"/>
  <c r="H110" i="41" s="1"/>
  <c r="J110" i="41" s="1"/>
  <c r="F110" i="41"/>
  <c r="J109" i="41" s="1"/>
  <c r="H102" i="36"/>
  <c r="D350" i="65"/>
  <c r="J350" i="66"/>
  <c r="B350" i="65" s="1"/>
  <c r="I350" i="66"/>
  <c r="D470" i="65"/>
  <c r="A470" i="65" s="1"/>
  <c r="J470" i="66"/>
  <c r="B470" i="65" s="1"/>
  <c r="I470" i="66"/>
  <c r="B371" i="66"/>
  <c r="A371" i="66"/>
  <c r="B485" i="66"/>
  <c r="A485" i="66"/>
  <c r="H119" i="43"/>
  <c r="H120" i="43" s="1"/>
  <c r="J120" i="43" s="1"/>
  <c r="F120" i="43"/>
  <c r="J119" i="43" s="1"/>
  <c r="J130" i="45"/>
  <c r="N130" i="45" s="1"/>
  <c r="AQ130" i="45" s="1"/>
  <c r="J129" i="45"/>
  <c r="N129" i="45" s="1"/>
  <c r="AQ129" i="45" s="1"/>
  <c r="J150" i="45"/>
  <c r="N150" i="45" s="1"/>
  <c r="AQ150" i="45" s="1"/>
  <c r="J149" i="45"/>
  <c r="N149" i="45" s="1"/>
  <c r="AQ149" i="45" s="1"/>
  <c r="F119" i="42"/>
  <c r="J117" i="42"/>
  <c r="V107" i="39"/>
  <c r="T107" i="39"/>
  <c r="T113" i="41"/>
  <c r="V113" i="41"/>
  <c r="V109" i="41"/>
  <c r="V110" i="41" s="1"/>
  <c r="T109" i="41"/>
  <c r="T110" i="41" s="1"/>
  <c r="X109" i="41" s="1"/>
  <c r="B409" i="66"/>
  <c r="A409" i="66"/>
  <c r="AG60" i="30"/>
  <c r="V85" i="36"/>
  <c r="AI40" i="27"/>
  <c r="T23" i="59"/>
  <c r="AA4" i="59"/>
  <c r="AC4" i="59"/>
  <c r="AC28" i="59"/>
  <c r="AA12" i="59"/>
  <c r="AE11" i="59" s="1"/>
  <c r="A302" i="65"/>
  <c r="D87" i="59"/>
  <c r="AP15" i="59"/>
  <c r="AA29" i="59"/>
  <c r="AC29" i="59" s="1"/>
  <c r="Y16" i="59"/>
  <c r="Y22" i="59"/>
  <c r="Y5" i="59"/>
  <c r="AC14" i="59"/>
  <c r="A276" i="65"/>
  <c r="T15" i="59"/>
  <c r="AC12" i="59"/>
  <c r="A224" i="65"/>
  <c r="A289" i="65"/>
  <c r="A237" i="65"/>
  <c r="AC21" i="59"/>
  <c r="AA21" i="59"/>
  <c r="A263" i="65"/>
  <c r="AG55" i="29"/>
  <c r="J39" i="27"/>
  <c r="N39" i="27" s="1"/>
  <c r="AQ39" i="27" s="1"/>
  <c r="AI80" i="35"/>
  <c r="H60" i="30"/>
  <c r="F60" i="30"/>
  <c r="J57" i="30"/>
  <c r="AE60" i="30"/>
  <c r="AI59" i="30" s="1"/>
  <c r="N45" i="29"/>
  <c r="AQ45" i="29" s="1"/>
  <c r="Z65" i="35"/>
  <c r="AB65" i="35" s="1"/>
  <c r="N44" i="29"/>
  <c r="AQ44" i="29" s="1"/>
  <c r="AK65" i="35"/>
  <c r="AM65" i="35" s="1"/>
  <c r="AS65" i="35" s="1"/>
  <c r="AG90" i="36"/>
  <c r="AA26" i="25"/>
  <c r="AG26" i="25" s="1"/>
  <c r="Y25" i="25"/>
  <c r="J65" i="32"/>
  <c r="J59" i="31"/>
  <c r="AA8" i="4"/>
  <c r="AG8" i="4" s="1"/>
  <c r="AR55" i="33"/>
  <c r="AT55" i="33" s="1"/>
  <c r="E9" i="33" s="1"/>
  <c r="Z60" i="33" s="1"/>
  <c r="AB60" i="33" s="1"/>
  <c r="AR59" i="33" s="1"/>
  <c r="AT59" i="33" s="1"/>
  <c r="D10" i="33" s="1"/>
  <c r="L69" i="33" s="1"/>
  <c r="L80" i="39"/>
  <c r="N80" i="39" s="1"/>
  <c r="AQ80" i="39" s="1"/>
  <c r="Z75" i="39"/>
  <c r="AB75" i="39" s="1"/>
  <c r="AR75" i="41"/>
  <c r="AT75" i="41" s="1"/>
  <c r="E13" i="41" s="1"/>
  <c r="AR74" i="41"/>
  <c r="AT74" i="41" s="1"/>
  <c r="D13" i="41" s="1"/>
  <c r="AI85" i="36"/>
  <c r="AI50" i="29"/>
  <c r="J42" i="27"/>
  <c r="AG95" i="37"/>
  <c r="V50" i="29"/>
  <c r="X50" i="29" s="1"/>
  <c r="X8" i="5"/>
  <c r="AE95" i="37"/>
  <c r="AI94" i="37" s="1"/>
  <c r="N55" i="31"/>
  <c r="AQ55" i="31" s="1"/>
  <c r="J60" i="31"/>
  <c r="Y8" i="3"/>
  <c r="AA8" i="3" s="1"/>
  <c r="AG8" i="3" s="1"/>
  <c r="AI55" i="30"/>
  <c r="AR70" i="38"/>
  <c r="AT70" i="38" s="1"/>
  <c r="E12" i="38" s="1"/>
  <c r="AK75" i="38" s="1"/>
  <c r="AM75" i="38" s="1"/>
  <c r="AS75" i="38" s="1"/>
  <c r="T85" i="36"/>
  <c r="X84" i="36" s="1"/>
  <c r="AK59" i="33"/>
  <c r="AM59" i="33" s="1"/>
  <c r="AS59" i="33" s="1"/>
  <c r="D73" i="31"/>
  <c r="F73" i="31" s="1"/>
  <c r="H73" i="31" s="1"/>
  <c r="AE55" i="29"/>
  <c r="AI54" i="29" s="1"/>
  <c r="T39" i="28"/>
  <c r="T40" i="28" s="1"/>
  <c r="X39" i="28" s="1"/>
  <c r="X40" i="28" s="1"/>
  <c r="N59" i="32"/>
  <c r="AQ59" i="32" s="1"/>
  <c r="Y9" i="4"/>
  <c r="AA9" i="4" s="1"/>
  <c r="X9" i="6"/>
  <c r="Y11" i="6"/>
  <c r="X10" i="6" s="1"/>
  <c r="AI65" i="32"/>
  <c r="AI100" i="39"/>
  <c r="AI105" i="39"/>
  <c r="D82" i="59"/>
  <c r="F82" i="59" s="1"/>
  <c r="H82" i="59" s="1"/>
  <c r="R81" i="59"/>
  <c r="T81" i="59" s="1"/>
  <c r="X70" i="34"/>
  <c r="X80" i="36"/>
  <c r="V49" i="28"/>
  <c r="T49" i="28"/>
  <c r="D83" i="33"/>
  <c r="F83" i="33" s="1"/>
  <c r="H83" i="33" s="1"/>
  <c r="D87" i="33"/>
  <c r="F87" i="33" s="1"/>
  <c r="R82" i="33"/>
  <c r="H69" i="33"/>
  <c r="H70" i="33" s="1"/>
  <c r="J70" i="33" s="1"/>
  <c r="F70" i="33"/>
  <c r="J69" i="33" s="1"/>
  <c r="L80" i="38"/>
  <c r="N80" i="38" s="1"/>
  <c r="AQ80" i="38" s="1"/>
  <c r="V47" i="26"/>
  <c r="T47" i="26"/>
  <c r="V103" i="38"/>
  <c r="T103" i="38"/>
  <c r="V98" i="38"/>
  <c r="T98" i="38"/>
  <c r="H82" i="33"/>
  <c r="J100" i="39"/>
  <c r="J99" i="39"/>
  <c r="H68" i="31"/>
  <c r="H67" i="29"/>
  <c r="R67" i="30"/>
  <c r="D68" i="30"/>
  <c r="F68" i="30" s="1"/>
  <c r="AE98" i="36"/>
  <c r="AG98" i="36" s="1"/>
  <c r="H54" i="30"/>
  <c r="H55" i="30" s="1"/>
  <c r="F55" i="30"/>
  <c r="J54" i="30" s="1"/>
  <c r="D72" i="30"/>
  <c r="R77" i="32"/>
  <c r="D82" i="32"/>
  <c r="F82" i="32" s="1"/>
  <c r="Z75" i="38"/>
  <c r="AB75" i="38" s="1"/>
  <c r="AG99" i="38"/>
  <c r="AG100" i="38" s="1"/>
  <c r="AE100" i="38"/>
  <c r="AI99" i="38" s="1"/>
  <c r="H87" i="34"/>
  <c r="V69" i="33"/>
  <c r="V70" i="33" s="1"/>
  <c r="T69" i="33"/>
  <c r="T70" i="33" s="1"/>
  <c r="X69" i="33" s="1"/>
  <c r="H89" i="37"/>
  <c r="H90" i="37" s="1"/>
  <c r="F90" i="37"/>
  <c r="J89" i="37" s="1"/>
  <c r="Z49" i="30"/>
  <c r="AB49" i="30" s="1"/>
  <c r="L54" i="30"/>
  <c r="D94" i="36"/>
  <c r="R93" i="36"/>
  <c r="T93" i="36" s="1"/>
  <c r="Z70" i="37"/>
  <c r="AB70" i="37" s="1"/>
  <c r="L75" i="37"/>
  <c r="N75" i="37" s="1"/>
  <c r="AQ75" i="37" s="1"/>
  <c r="V79" i="35"/>
  <c r="V80" i="35" s="1"/>
  <c r="T79" i="35"/>
  <c r="T80" i="35" s="1"/>
  <c r="X79" i="35" s="1"/>
  <c r="AG108" i="38"/>
  <c r="J102" i="38"/>
  <c r="F104" i="38"/>
  <c r="H104" i="38" s="1"/>
  <c r="V82" i="34"/>
  <c r="T82" i="34"/>
  <c r="J104" i="39"/>
  <c r="J105" i="39"/>
  <c r="AR69" i="38"/>
  <c r="AT69" i="38" s="1"/>
  <c r="D12" i="38" s="1"/>
  <c r="AK74" i="38" s="1"/>
  <c r="AM74" i="38" s="1"/>
  <c r="AS74" i="38" s="1"/>
  <c r="H76" i="59"/>
  <c r="Z49" i="31"/>
  <c r="AB49" i="31" s="1"/>
  <c r="AR50" i="31" s="1"/>
  <c r="L54" i="31"/>
  <c r="N54" i="31" s="1"/>
  <c r="AQ54" i="31" s="1"/>
  <c r="R79" i="34"/>
  <c r="D88" i="34"/>
  <c r="F88" i="34" s="1"/>
  <c r="H88" i="34" s="1"/>
  <c r="V84" i="35"/>
  <c r="AE103" i="37"/>
  <c r="R98" i="37"/>
  <c r="AE99" i="37"/>
  <c r="D99" i="37"/>
  <c r="H84" i="36"/>
  <c r="H85" i="36" s="1"/>
  <c r="J85" i="36" s="1"/>
  <c r="F85" i="36"/>
  <c r="J84" i="36" s="1"/>
  <c r="Z69" i="37"/>
  <c r="AB69" i="37" s="1"/>
  <c r="L74" i="37"/>
  <c r="N74" i="37" s="1"/>
  <c r="AQ74" i="37" s="1"/>
  <c r="H52" i="26"/>
  <c r="J97" i="38"/>
  <c r="F99" i="38"/>
  <c r="AE105" i="38"/>
  <c r="AI104" i="38" s="1"/>
  <c r="AG103" i="38"/>
  <c r="AG105" i="38" s="1"/>
  <c r="H53" i="28"/>
  <c r="V77" i="33"/>
  <c r="T77" i="33"/>
  <c r="T67" i="31"/>
  <c r="V67" i="31"/>
  <c r="T75" i="59"/>
  <c r="V75" i="59"/>
  <c r="AK70" i="37"/>
  <c r="AM70" i="37" s="1"/>
  <c r="AS70" i="37" s="1"/>
  <c r="AG70" i="32"/>
  <c r="AB40" i="29"/>
  <c r="AR40" i="29" s="1"/>
  <c r="AT40" i="29" s="1"/>
  <c r="E6" i="29" s="1"/>
  <c r="AG85" i="35"/>
  <c r="L64" i="33"/>
  <c r="N64" i="33" s="1"/>
  <c r="AQ64" i="33" s="1"/>
  <c r="AE70" i="32"/>
  <c r="AI69" i="32" s="1"/>
  <c r="AE90" i="36"/>
  <c r="AI89" i="36" s="1"/>
  <c r="AE85" i="35"/>
  <c r="AI84" i="35" s="1"/>
  <c r="AE40" i="26"/>
  <c r="AI39" i="26" s="1"/>
  <c r="AA7" i="3"/>
  <c r="AG7" i="3" s="1"/>
  <c r="AI70" i="33"/>
  <c r="AG40" i="26"/>
  <c r="J37" i="26"/>
  <c r="AR59" i="36"/>
  <c r="AT59" i="36" s="1"/>
  <c r="D10" i="36" s="1"/>
  <c r="L69" i="36" s="1"/>
  <c r="N69" i="36" s="1"/>
  <c r="AQ69" i="36" s="1"/>
  <c r="AR60" i="36"/>
  <c r="AT60" i="36" s="1"/>
  <c r="E10" i="36" s="1"/>
  <c r="J62" i="31"/>
  <c r="L60" i="31"/>
  <c r="AK55" i="31"/>
  <c r="AM55" i="31" s="1"/>
  <c r="AS55" i="31" s="1"/>
  <c r="Z55" i="31"/>
  <c r="Z60" i="34"/>
  <c r="AB60" i="34" s="1"/>
  <c r="L65" i="34"/>
  <c r="N65" i="34" s="1"/>
  <c r="AQ65" i="34" s="1"/>
  <c r="L60" i="32"/>
  <c r="N60" i="32" s="1"/>
  <c r="AQ60" i="32" s="1"/>
  <c r="AK55" i="32"/>
  <c r="AM55" i="32" s="1"/>
  <c r="AS55" i="32" s="1"/>
  <c r="Z55" i="32"/>
  <c r="AB55" i="32" s="1"/>
  <c r="AK59" i="34"/>
  <c r="AM59" i="34" s="1"/>
  <c r="AS59" i="34" s="1"/>
  <c r="L64" i="34"/>
  <c r="N64" i="34" s="1"/>
  <c r="AQ64" i="34" s="1"/>
  <c r="Z59" i="34"/>
  <c r="AB59" i="34" s="1"/>
  <c r="AK44" i="31"/>
  <c r="AM44" i="31" s="1"/>
  <c r="AS44" i="31" s="1"/>
  <c r="Z44" i="31"/>
  <c r="AB44" i="31" s="1"/>
  <c r="L49" i="31"/>
  <c r="N49" i="31" s="1"/>
  <c r="AQ49" i="31" s="1"/>
  <c r="AT49" i="31" s="1"/>
  <c r="D8" i="31" s="1"/>
  <c r="Z64" i="35"/>
  <c r="AB64" i="35" s="1"/>
  <c r="AK64" i="35"/>
  <c r="AM64" i="35" s="1"/>
  <c r="AS64" i="35" s="1"/>
  <c r="L49" i="30"/>
  <c r="N49" i="30" s="1"/>
  <c r="AQ49" i="30" s="1"/>
  <c r="AT49" i="30" s="1"/>
  <c r="D8" i="30" s="1"/>
  <c r="AK44" i="30"/>
  <c r="AM44" i="30" s="1"/>
  <c r="AS44" i="30" s="1"/>
  <c r="Z44" i="30"/>
  <c r="AB44" i="30" s="1"/>
  <c r="X75" i="35"/>
  <c r="AI60" i="30"/>
  <c r="AM60" i="30" s="1"/>
  <c r="AS60" i="30" s="1"/>
  <c r="X65" i="34"/>
  <c r="AG75" i="33"/>
  <c r="AB15" i="13"/>
  <c r="AJ15" i="13" s="1"/>
  <c r="AB16" i="13"/>
  <c r="AJ16" i="13" s="1"/>
  <c r="AB11" i="13"/>
  <c r="AI11" i="13" s="1"/>
  <c r="AB16" i="14"/>
  <c r="AJ16" i="14" s="1"/>
  <c r="AB11" i="14"/>
  <c r="AI11" i="14" s="1"/>
  <c r="AB15" i="14"/>
  <c r="AI15" i="14" s="1"/>
  <c r="AB9" i="13"/>
  <c r="AI9" i="13" s="1"/>
  <c r="AR34" i="27"/>
  <c r="AT34" i="27" s="1"/>
  <c r="D5" i="27" s="1"/>
  <c r="AR35" i="27"/>
  <c r="AT35" i="27" s="1"/>
  <c r="E5" i="27" s="1"/>
  <c r="AJ10" i="13"/>
  <c r="AI10" i="13"/>
  <c r="X55" i="31"/>
  <c r="X60" i="32"/>
  <c r="AV25" i="19"/>
  <c r="AF12" i="9"/>
  <c r="AF13" i="9" s="1"/>
  <c r="X45" i="29"/>
  <c r="AV25" i="53"/>
  <c r="AA6" i="1"/>
  <c r="T72" i="31"/>
  <c r="V72" i="31"/>
  <c r="AA27" i="24"/>
  <c r="AG27" i="24" s="1"/>
  <c r="Y26" i="24"/>
  <c r="AF15" i="12"/>
  <c r="AF16" i="12" s="1"/>
  <c r="AI1" i="12"/>
  <c r="H11" i="5"/>
  <c r="I11" i="5" s="1"/>
  <c r="D11" i="5"/>
  <c r="F11" i="5" s="1"/>
  <c r="G11" i="5" s="1"/>
  <c r="AV16" i="10"/>
  <c r="AU16" i="61"/>
  <c r="C20" i="38"/>
  <c r="B16" i="9"/>
  <c r="AP16" i="9"/>
  <c r="AV20" i="14"/>
  <c r="H23" i="17"/>
  <c r="I23" i="17" s="1"/>
  <c r="D23" i="17"/>
  <c r="F23" i="17" s="1"/>
  <c r="G23" i="17" s="1"/>
  <c r="AJ27" i="61"/>
  <c r="L320" i="66" s="1"/>
  <c r="B27" i="20"/>
  <c r="AP27" i="20"/>
  <c r="C9" i="27"/>
  <c r="R49" i="27" s="1"/>
  <c r="F6" i="1"/>
  <c r="AI76" i="59"/>
  <c r="AE76" i="59"/>
  <c r="H74" i="34"/>
  <c r="H75" i="34" s="1"/>
  <c r="J75" i="34" s="1"/>
  <c r="F75" i="34"/>
  <c r="J74" i="34" s="1"/>
  <c r="H10" i="4"/>
  <c r="I10" i="4" s="1"/>
  <c r="D10" i="4"/>
  <c r="F49" i="28"/>
  <c r="J47" i="28"/>
  <c r="F74" i="33"/>
  <c r="J72" i="33"/>
  <c r="T78" i="34"/>
  <c r="V78" i="34"/>
  <c r="AV21" i="15"/>
  <c r="F10" i="5"/>
  <c r="AF4" i="2"/>
  <c r="AF5" i="2" s="1"/>
  <c r="AV19" i="13"/>
  <c r="G8" i="3"/>
  <c r="H47" i="27"/>
  <c r="AV7" i="1"/>
  <c r="J79" i="35"/>
  <c r="J80" i="35"/>
  <c r="AS18" i="61"/>
  <c r="B18" i="11"/>
  <c r="AP18" i="11"/>
  <c r="C18" i="36"/>
  <c r="H24" i="18"/>
  <c r="I24" i="18" s="1"/>
  <c r="D24" i="18"/>
  <c r="F24" i="18" s="1"/>
  <c r="G24" i="18" s="1"/>
  <c r="J77" i="34"/>
  <c r="H18" i="12"/>
  <c r="I18" i="12" s="1"/>
  <c r="D18" i="12"/>
  <c r="F18" i="12" s="1"/>
  <c r="G18" i="12" s="1"/>
  <c r="H27" i="21"/>
  <c r="I27" i="21" s="1"/>
  <c r="D27" i="21"/>
  <c r="F27" i="21" s="1"/>
  <c r="G27" i="21" s="1"/>
  <c r="AW14" i="61"/>
  <c r="B14" i="7"/>
  <c r="C22" i="40"/>
  <c r="AP14" i="7"/>
  <c r="Y13" i="7" s="1"/>
  <c r="V88" i="36"/>
  <c r="T88" i="36"/>
  <c r="AD12" i="14"/>
  <c r="AD5" i="14"/>
  <c r="AB5" i="14" s="1"/>
  <c r="AD13" i="14"/>
  <c r="AD6" i="14"/>
  <c r="AB6" i="14" s="1"/>
  <c r="AD8" i="14"/>
  <c r="AB8" i="14" s="1"/>
  <c r="AD15" i="14"/>
  <c r="AD11" i="14"/>
  <c r="AD14" i="14"/>
  <c r="AD9" i="14"/>
  <c r="AD16" i="14"/>
  <c r="AD7" i="14"/>
  <c r="AB7" i="14" s="1"/>
  <c r="AD10" i="14"/>
  <c r="AD4" i="14"/>
  <c r="AB4" i="14" s="1"/>
  <c r="AB12" i="14"/>
  <c r="AB9" i="14"/>
  <c r="F45" i="27"/>
  <c r="J44" i="27" s="1"/>
  <c r="H81" i="59"/>
  <c r="V42" i="26"/>
  <c r="T42" i="26"/>
  <c r="V34" i="26"/>
  <c r="V35" i="26" s="1"/>
  <c r="X35" i="26" s="1"/>
  <c r="AB35" i="26" s="1"/>
  <c r="T34" i="26"/>
  <c r="T35" i="26" s="1"/>
  <c r="X34" i="26" s="1"/>
  <c r="AB34" i="26" s="1"/>
  <c r="F84" i="35"/>
  <c r="J82" i="35"/>
  <c r="H9" i="3"/>
  <c r="I9" i="3" s="1"/>
  <c r="D9" i="3"/>
  <c r="V57" i="29"/>
  <c r="T57" i="29"/>
  <c r="V53" i="29"/>
  <c r="T53" i="29"/>
  <c r="V62" i="30"/>
  <c r="T62" i="30"/>
  <c r="V58" i="30"/>
  <c r="T58" i="30"/>
  <c r="AV12" i="6"/>
  <c r="AG11" i="8"/>
  <c r="AV22" i="16"/>
  <c r="R43" i="26"/>
  <c r="AE48" i="26"/>
  <c r="AE44" i="26"/>
  <c r="AG44" i="26" s="1"/>
  <c r="D44" i="26"/>
  <c r="D48" i="26"/>
  <c r="F48" i="26" s="1"/>
  <c r="H48" i="26" s="1"/>
  <c r="AR40" i="30"/>
  <c r="AT40" i="30" s="1"/>
  <c r="E6" i="30" s="1"/>
  <c r="AE59" i="29"/>
  <c r="AG59" i="29" s="1"/>
  <c r="R58" i="29"/>
  <c r="AE63" i="29"/>
  <c r="D59" i="29"/>
  <c r="R54" i="29"/>
  <c r="D63" i="29"/>
  <c r="F63" i="29" s="1"/>
  <c r="H63" i="29" s="1"/>
  <c r="R62" i="29"/>
  <c r="F77" i="31"/>
  <c r="V63" i="31"/>
  <c r="T63" i="31"/>
  <c r="Z39" i="28"/>
  <c r="AK39" i="28"/>
  <c r="AM39" i="28" s="1"/>
  <c r="AS39" i="28" s="1"/>
  <c r="L44" i="28"/>
  <c r="F12" i="7"/>
  <c r="AV11" i="5"/>
  <c r="AP21" i="61"/>
  <c r="B21" i="14"/>
  <c r="AP21" i="14"/>
  <c r="C15" i="33"/>
  <c r="AE69" i="31"/>
  <c r="AG69" i="31" s="1"/>
  <c r="AE73" i="31"/>
  <c r="D69" i="31"/>
  <c r="R68" i="31"/>
  <c r="AM24" i="61"/>
  <c r="D262" i="66" s="1"/>
  <c r="C12" i="30"/>
  <c r="R72" i="30" s="1"/>
  <c r="B24" i="17"/>
  <c r="AP24" i="17"/>
  <c r="H14" i="8"/>
  <c r="I14" i="8" s="1"/>
  <c r="D14" i="8"/>
  <c r="F14" i="8" s="1"/>
  <c r="G14" i="8" s="1"/>
  <c r="H26" i="20"/>
  <c r="I26" i="20" s="1"/>
  <c r="D26" i="20"/>
  <c r="F26" i="20" s="1"/>
  <c r="G26" i="20" s="1"/>
  <c r="AE65" i="31"/>
  <c r="AI64" i="31" s="1"/>
  <c r="V70" i="59"/>
  <c r="T70" i="59"/>
  <c r="AF5" i="3"/>
  <c r="AF6" i="3" s="1"/>
  <c r="AF7" i="3" s="1"/>
  <c r="F57" i="28"/>
  <c r="T48" i="28"/>
  <c r="V48" i="28"/>
  <c r="F78" i="33"/>
  <c r="AG78" i="33"/>
  <c r="AG83" i="34"/>
  <c r="AO22" i="61"/>
  <c r="AP22" i="15"/>
  <c r="B22" i="15"/>
  <c r="C14" i="32"/>
  <c r="R69" i="32" s="1"/>
  <c r="AG48" i="27"/>
  <c r="H57" i="29"/>
  <c r="H19" i="13"/>
  <c r="I19" i="13" s="1"/>
  <c r="D19" i="13"/>
  <c r="F19" i="13" s="1"/>
  <c r="G19" i="13" s="1"/>
  <c r="AI45" i="28"/>
  <c r="H44" i="28"/>
  <c r="H45" i="28" s="1"/>
  <c r="J45" i="28" s="1"/>
  <c r="F45" i="28"/>
  <c r="J44" i="28" s="1"/>
  <c r="T68" i="32"/>
  <c r="V68" i="32"/>
  <c r="AV8" i="2"/>
  <c r="H38" i="26"/>
  <c r="H40" i="26" s="1"/>
  <c r="F40" i="26"/>
  <c r="AE45" i="27"/>
  <c r="AI44" i="27" s="1"/>
  <c r="BC8" i="61"/>
  <c r="B8" i="1"/>
  <c r="AP8" i="1"/>
  <c r="C28" i="46"/>
  <c r="H17" i="11"/>
  <c r="I17" i="11" s="1"/>
  <c r="D17" i="11"/>
  <c r="F17" i="11" s="1"/>
  <c r="G17" i="11" s="1"/>
  <c r="AE64" i="30"/>
  <c r="AG64" i="30" s="1"/>
  <c r="R63" i="30"/>
  <c r="AE68" i="30"/>
  <c r="R59" i="30"/>
  <c r="D64" i="30"/>
  <c r="H78" i="34"/>
  <c r="H80" i="34" s="1"/>
  <c r="F80" i="34"/>
  <c r="AV18" i="12"/>
  <c r="W31" i="61"/>
  <c r="AP28" i="21"/>
  <c r="B28" i="21"/>
  <c r="C8" i="26"/>
  <c r="Y10" i="5"/>
  <c r="F89" i="36"/>
  <c r="J87" i="36"/>
  <c r="AG93" i="36"/>
  <c r="AG95" i="36" s="1"/>
  <c r="AE95" i="36"/>
  <c r="AI94" i="36" s="1"/>
  <c r="AJ10" i="14"/>
  <c r="AI10" i="14"/>
  <c r="AG50" i="28"/>
  <c r="T38" i="26"/>
  <c r="V38" i="26"/>
  <c r="AG43" i="26"/>
  <c r="H65" i="31"/>
  <c r="H72" i="31"/>
  <c r="AN23" i="61"/>
  <c r="D291" i="66" s="1"/>
  <c r="B23" i="16"/>
  <c r="AP23" i="16"/>
  <c r="C13" i="59"/>
  <c r="C13" i="31"/>
  <c r="AV28" i="22"/>
  <c r="Y28" i="22"/>
  <c r="BG7" i="22"/>
  <c r="AG15" i="11"/>
  <c r="X1" i="11"/>
  <c r="J95" i="37"/>
  <c r="N95" i="37" s="1"/>
  <c r="AQ95" i="37" s="1"/>
  <c r="J94" i="37"/>
  <c r="N94" i="37" s="1"/>
  <c r="AQ94" i="37" s="1"/>
  <c r="H65" i="59"/>
  <c r="H66" i="59" s="1"/>
  <c r="J66" i="59" s="1"/>
  <c r="F66" i="59"/>
  <c r="J65" i="59" s="1"/>
  <c r="F28" i="23"/>
  <c r="D29" i="23"/>
  <c r="I35" i="23" s="1"/>
  <c r="G28" i="24"/>
  <c r="G29" i="24" s="1"/>
  <c r="I38" i="24" s="1"/>
  <c r="F29" i="24"/>
  <c r="I36" i="24" s="1"/>
  <c r="AI35" i="26"/>
  <c r="AM35" i="26" s="1"/>
  <c r="AS35" i="26" s="1"/>
  <c r="D25" i="53"/>
  <c r="F25" i="53" s="1"/>
  <c r="G25" i="53" s="1"/>
  <c r="H25" i="53"/>
  <c r="I25" i="53" s="1"/>
  <c r="H25" i="19"/>
  <c r="I25" i="19" s="1"/>
  <c r="D25" i="19"/>
  <c r="F25" i="19" s="1"/>
  <c r="G25" i="19" s="1"/>
  <c r="AG68" i="31"/>
  <c r="AK40" i="28"/>
  <c r="AM40" i="28" s="1"/>
  <c r="AS40" i="28" s="1"/>
  <c r="Z40" i="28"/>
  <c r="L45" i="28"/>
  <c r="AT17" i="61"/>
  <c r="B17" i="10"/>
  <c r="AP17" i="10"/>
  <c r="C19" i="37"/>
  <c r="R103" i="37" s="1"/>
  <c r="AV15" i="9"/>
  <c r="AD5" i="13"/>
  <c r="AB5" i="13" s="1"/>
  <c r="AD6" i="13"/>
  <c r="AB6" i="13" s="1"/>
  <c r="AD9" i="13"/>
  <c r="AD12" i="13"/>
  <c r="AD10" i="13"/>
  <c r="AD7" i="13"/>
  <c r="AB7" i="13" s="1"/>
  <c r="AD13" i="13"/>
  <c r="AD8" i="13"/>
  <c r="AB8" i="13" s="1"/>
  <c r="AD11" i="13"/>
  <c r="AD14" i="13"/>
  <c r="AD16" i="13"/>
  <c r="AD15" i="13"/>
  <c r="AD4" i="13"/>
  <c r="AB4" i="13" s="1"/>
  <c r="AB14" i="13"/>
  <c r="AB13" i="13"/>
  <c r="AB12" i="13"/>
  <c r="AG9" i="6"/>
  <c r="H20" i="14"/>
  <c r="I20" i="14" s="1"/>
  <c r="D20" i="14"/>
  <c r="F20" i="14" s="1"/>
  <c r="G20" i="14" s="1"/>
  <c r="AG77" i="59"/>
  <c r="R76" i="59"/>
  <c r="AG82" i="59"/>
  <c r="D77" i="59"/>
  <c r="F7" i="2"/>
  <c r="AV14" i="8"/>
  <c r="AE54" i="28"/>
  <c r="AG54" i="28" s="1"/>
  <c r="AE58" i="28"/>
  <c r="D54" i="28"/>
  <c r="R53" i="28"/>
  <c r="D58" i="28"/>
  <c r="F58" i="28" s="1"/>
  <c r="H58" i="28" s="1"/>
  <c r="R57" i="28"/>
  <c r="D62" i="28"/>
  <c r="AG65" i="31"/>
  <c r="F71" i="59"/>
  <c r="J69" i="59"/>
  <c r="AI71" i="59"/>
  <c r="AI72" i="59" s="1"/>
  <c r="AE71" i="59"/>
  <c r="AV10" i="4"/>
  <c r="V52" i="28"/>
  <c r="T52" i="28"/>
  <c r="AG8" i="5"/>
  <c r="V64" i="33"/>
  <c r="V65" i="33" s="1"/>
  <c r="T64" i="33"/>
  <c r="T65" i="33" s="1"/>
  <c r="X64" i="33" s="1"/>
  <c r="V74" i="34"/>
  <c r="V75" i="34" s="1"/>
  <c r="T74" i="34"/>
  <c r="T75" i="34" s="1"/>
  <c r="X74" i="34" s="1"/>
  <c r="AE75" i="33"/>
  <c r="AI74" i="33" s="1"/>
  <c r="AI75" i="33" s="1"/>
  <c r="AE79" i="33"/>
  <c r="AG79" i="33" s="1"/>
  <c r="AE83" i="33"/>
  <c r="D79" i="33"/>
  <c r="F79" i="33" s="1"/>
  <c r="H79" i="33" s="1"/>
  <c r="R78" i="33"/>
  <c r="R74" i="33"/>
  <c r="AA12" i="7"/>
  <c r="AG12" i="7" s="1"/>
  <c r="AE89" i="35"/>
  <c r="AG89" i="35" s="1"/>
  <c r="R88" i="35"/>
  <c r="D89" i="35"/>
  <c r="AE93" i="35"/>
  <c r="AA28" i="23"/>
  <c r="AG28" i="23" s="1"/>
  <c r="Y27" i="23"/>
  <c r="X28" i="23" s="1"/>
  <c r="F69" i="32"/>
  <c r="J67" i="32"/>
  <c r="BB9" i="61"/>
  <c r="AP9" i="2"/>
  <c r="C27" i="45"/>
  <c r="B9" i="2"/>
  <c r="AG11" i="7"/>
  <c r="AF14" i="10"/>
  <c r="AG45" i="27"/>
  <c r="AV17" i="11"/>
  <c r="AV24" i="18"/>
  <c r="AG80" i="34"/>
  <c r="AR19" i="61"/>
  <c r="L256" i="66" s="1"/>
  <c r="AP19" i="12"/>
  <c r="C17" i="35"/>
  <c r="R93" i="35" s="1"/>
  <c r="B19" i="12"/>
  <c r="AE53" i="27"/>
  <c r="R48" i="27"/>
  <c r="AE49" i="27"/>
  <c r="AG49" i="27" s="1"/>
  <c r="D49" i="27"/>
  <c r="F49" i="27" s="1"/>
  <c r="H49" i="27" s="1"/>
  <c r="R44" i="27"/>
  <c r="D57" i="27"/>
  <c r="R52" i="27"/>
  <c r="H13" i="7"/>
  <c r="I13" i="7" s="1"/>
  <c r="D13" i="7"/>
  <c r="F13" i="7" s="1"/>
  <c r="G13" i="7" s="1"/>
  <c r="F94" i="36"/>
  <c r="H94" i="36" s="1"/>
  <c r="J92" i="36"/>
  <c r="V93" i="36"/>
  <c r="AB13" i="14"/>
  <c r="AB14" i="14"/>
  <c r="J55" i="30"/>
  <c r="AF6" i="4"/>
  <c r="AF7" i="4" s="1"/>
  <c r="AF8" i="4" s="1"/>
  <c r="H77" i="32"/>
  <c r="AE50" i="28"/>
  <c r="AI49" i="28" s="1"/>
  <c r="X60" i="59"/>
  <c r="V83" i="35"/>
  <c r="T83" i="35"/>
  <c r="F65" i="31"/>
  <c r="AV9" i="3"/>
  <c r="Y7" i="2"/>
  <c r="X6" i="2" s="1"/>
  <c r="F54" i="29"/>
  <c r="J52" i="29"/>
  <c r="F72" i="30"/>
  <c r="V54" i="30"/>
  <c r="V55" i="30" s="1"/>
  <c r="T54" i="30"/>
  <c r="T55" i="30" s="1"/>
  <c r="X54" i="30" s="1"/>
  <c r="AX13" i="61"/>
  <c r="EX136" i="61" s="1"/>
  <c r="GI136" i="61" s="1"/>
  <c r="B13" i="6"/>
  <c r="C23" i="41"/>
  <c r="AP13" i="6"/>
  <c r="R73" i="32"/>
  <c r="R64" i="32"/>
  <c r="AE74" i="32"/>
  <c r="AG74" i="32" s="1"/>
  <c r="AE78" i="32"/>
  <c r="D74" i="32"/>
  <c r="D78" i="32"/>
  <c r="H28" i="22"/>
  <c r="I28" i="22" s="1"/>
  <c r="I29" i="22" s="1"/>
  <c r="I39" i="22" s="1"/>
  <c r="D28" i="22"/>
  <c r="S7" i="22"/>
  <c r="X5" i="1"/>
  <c r="AA6" i="2"/>
  <c r="AG6" i="2" s="1"/>
  <c r="G13" i="8"/>
  <c r="AK26" i="61"/>
  <c r="C10" i="28"/>
  <c r="D67" i="28" s="1"/>
  <c r="F67" i="28" s="1"/>
  <c r="AP26" i="19"/>
  <c r="B26" i="19"/>
  <c r="B26" i="53"/>
  <c r="AP26" i="53"/>
  <c r="V59" i="31"/>
  <c r="V60" i="31" s="1"/>
  <c r="T59" i="31"/>
  <c r="T60" i="31" s="1"/>
  <c r="X59" i="31" s="1"/>
  <c r="Y1" i="12"/>
  <c r="AB14" i="12" s="1"/>
  <c r="J90" i="37"/>
  <c r="AY12" i="61"/>
  <c r="AP12" i="5"/>
  <c r="C24" i="42"/>
  <c r="B12" i="5"/>
  <c r="H16" i="10"/>
  <c r="I16" i="10" s="1"/>
  <c r="D16" i="10"/>
  <c r="F16" i="10" s="1"/>
  <c r="G16" i="10" s="1"/>
  <c r="H15" i="9"/>
  <c r="I15" i="9" s="1"/>
  <c r="D15" i="9"/>
  <c r="F15" i="9" s="1"/>
  <c r="G15" i="9" s="1"/>
  <c r="AI75" i="34"/>
  <c r="AE84" i="34"/>
  <c r="AG84" i="34" s="1"/>
  <c r="AE88" i="34"/>
  <c r="D84" i="34"/>
  <c r="R83" i="34"/>
  <c r="AV23" i="17"/>
  <c r="AV15" i="61"/>
  <c r="B15" i="8"/>
  <c r="C21" i="39"/>
  <c r="AP15" i="8"/>
  <c r="AV26" i="20"/>
  <c r="H42" i="26"/>
  <c r="F87" i="59"/>
  <c r="V65" i="59"/>
  <c r="V66" i="59" s="1"/>
  <c r="T65" i="59"/>
  <c r="T66" i="59" s="1"/>
  <c r="X65" i="59" s="1"/>
  <c r="AZ11" i="61"/>
  <c r="AP11" i="4"/>
  <c r="B11" i="4"/>
  <c r="C25" i="43"/>
  <c r="V44" i="28"/>
  <c r="V45" i="28" s="1"/>
  <c r="T44" i="28"/>
  <c r="T45" i="28" s="1"/>
  <c r="X44" i="28" s="1"/>
  <c r="AG53" i="28"/>
  <c r="X5" i="2"/>
  <c r="V73" i="33"/>
  <c r="T73" i="33"/>
  <c r="H21" i="15"/>
  <c r="I21" i="15" s="1"/>
  <c r="D21" i="15"/>
  <c r="F21" i="15" s="1"/>
  <c r="G21" i="15" s="1"/>
  <c r="V39" i="27"/>
  <c r="V40" i="27" s="1"/>
  <c r="T39" i="27"/>
  <c r="T40" i="27" s="1"/>
  <c r="X39" i="27" s="1"/>
  <c r="V43" i="27"/>
  <c r="T43" i="27"/>
  <c r="AA12" i="8"/>
  <c r="AG12" i="8" s="1"/>
  <c r="AQ20" i="61"/>
  <c r="B20" i="13"/>
  <c r="C16" i="34"/>
  <c r="AP20" i="13"/>
  <c r="H62" i="30"/>
  <c r="AG72" i="59"/>
  <c r="AK71" i="59" s="1"/>
  <c r="AG73" i="32"/>
  <c r="H8" i="2"/>
  <c r="I8" i="2" s="1"/>
  <c r="D8" i="2"/>
  <c r="F8" i="2" s="1"/>
  <c r="G8" i="2" s="1"/>
  <c r="Y13" i="8"/>
  <c r="X12" i="8" s="1"/>
  <c r="H7" i="1"/>
  <c r="I7" i="1" s="1"/>
  <c r="D7" i="1"/>
  <c r="F7" i="1" s="1"/>
  <c r="G7" i="1" s="1"/>
  <c r="AL25" i="61"/>
  <c r="B25" i="18"/>
  <c r="C11" i="29"/>
  <c r="AP25" i="18"/>
  <c r="AE80" i="34"/>
  <c r="AI79" i="34" s="1"/>
  <c r="AV27" i="21"/>
  <c r="H49" i="29"/>
  <c r="H50" i="29" s="1"/>
  <c r="J50" i="29" s="1"/>
  <c r="F50" i="29"/>
  <c r="J49" i="29" s="1"/>
  <c r="AV13" i="7"/>
  <c r="Y15" i="10"/>
  <c r="Y14" i="9"/>
  <c r="H45" i="27"/>
  <c r="J45" i="27" s="1"/>
  <c r="F47" i="26"/>
  <c r="AG88" i="35"/>
  <c r="BA10" i="61"/>
  <c r="AP10" i="3"/>
  <c r="B10" i="3"/>
  <c r="C26" i="44"/>
  <c r="AF4" i="1"/>
  <c r="AF5" i="1" s="1"/>
  <c r="F62" i="29"/>
  <c r="AG58" i="29"/>
  <c r="AG63" i="30"/>
  <c r="H12" i="6"/>
  <c r="I12" i="6" s="1"/>
  <c r="D12" i="6"/>
  <c r="F12" i="6" s="1"/>
  <c r="G12" i="6" s="1"/>
  <c r="H22" i="16"/>
  <c r="I22" i="16" s="1"/>
  <c r="D22" i="16"/>
  <c r="F22" i="16" s="1"/>
  <c r="G22" i="16" s="1"/>
  <c r="J64" i="31" l="1"/>
  <c r="AI130" i="44"/>
  <c r="AE130" i="43"/>
  <c r="AI129" i="43" s="1"/>
  <c r="T85" i="35"/>
  <c r="X84" i="35" s="1"/>
  <c r="J65" i="31"/>
  <c r="D339" i="65"/>
  <c r="A339" i="65" s="1"/>
  <c r="EH128" i="61"/>
  <c r="FT128" i="61"/>
  <c r="EL128" i="61"/>
  <c r="FX128" i="61"/>
  <c r="EI128" i="61"/>
  <c r="FU128" i="61"/>
  <c r="DS128" i="61"/>
  <c r="FE128" i="61"/>
  <c r="EC128" i="61"/>
  <c r="FO128" i="61"/>
  <c r="DX128" i="61"/>
  <c r="FJ128" i="61"/>
  <c r="EN128" i="61"/>
  <c r="FZ128" i="61"/>
  <c r="DV128" i="61"/>
  <c r="FH128" i="61"/>
  <c r="ED128" i="61"/>
  <c r="FP128" i="61"/>
  <c r="EE128" i="61"/>
  <c r="FQ128" i="61"/>
  <c r="EO128" i="61"/>
  <c r="GA128" i="61"/>
  <c r="DY128" i="61"/>
  <c r="FK128" i="61"/>
  <c r="DT128" i="61"/>
  <c r="FF128" i="61"/>
  <c r="EJ128" i="61"/>
  <c r="FV128" i="61"/>
  <c r="EF128" i="61"/>
  <c r="FR128" i="61"/>
  <c r="DZ128" i="61"/>
  <c r="FL128" i="61"/>
  <c r="EA128" i="61"/>
  <c r="FM128" i="61"/>
  <c r="EK128" i="61"/>
  <c r="FW128" i="61"/>
  <c r="DU128" i="61"/>
  <c r="FG128" i="61"/>
  <c r="DR127" i="61"/>
  <c r="EZ127" i="61" s="1"/>
  <c r="FD127" i="61"/>
  <c r="GE127" i="61" s="1"/>
  <c r="L6" i="64" s="1"/>
  <c r="GB128" i="61"/>
  <c r="EM128" i="61"/>
  <c r="FY128" i="61"/>
  <c r="DW128" i="61"/>
  <c r="FI128" i="61"/>
  <c r="EG128" i="61"/>
  <c r="FS128" i="61"/>
  <c r="EB128" i="61"/>
  <c r="FN128" i="61"/>
  <c r="X100" i="39"/>
  <c r="I339" i="66"/>
  <c r="EP129" i="61"/>
  <c r="EU128" i="61"/>
  <c r="EV128" i="61" s="1"/>
  <c r="AE120" i="41"/>
  <c r="AI119" i="41" s="1"/>
  <c r="D330" i="66"/>
  <c r="B330" i="66" s="1"/>
  <c r="D284" i="66"/>
  <c r="L308" i="66"/>
  <c r="L260" i="66"/>
  <c r="A272" i="66"/>
  <c r="B272" i="66"/>
  <c r="B217" i="66"/>
  <c r="A217" i="66"/>
  <c r="B262" i="66"/>
  <c r="A262" i="66"/>
  <c r="D229" i="66"/>
  <c r="L248" i="66"/>
  <c r="D320" i="65"/>
  <c r="J320" i="66"/>
  <c r="B320" i="65" s="1"/>
  <c r="I320" i="66"/>
  <c r="J259" i="66"/>
  <c r="B259" i="65" s="1"/>
  <c r="I259" i="66"/>
  <c r="D259" i="65"/>
  <c r="A259" i="65" s="1"/>
  <c r="J307" i="66"/>
  <c r="B307" i="65" s="1"/>
  <c r="D307" i="65"/>
  <c r="I307" i="66"/>
  <c r="I235" i="66"/>
  <c r="D235" i="65"/>
  <c r="A235" i="65" s="1"/>
  <c r="J235" i="66"/>
  <c r="B235" i="65" s="1"/>
  <c r="D247" i="65"/>
  <c r="A247" i="65" s="1"/>
  <c r="J247" i="66"/>
  <c r="B247" i="65" s="1"/>
  <c r="I247" i="66"/>
  <c r="L340" i="66"/>
  <c r="D340" i="65" s="1"/>
  <c r="A340" i="65" s="1"/>
  <c r="D273" i="66"/>
  <c r="L296" i="66"/>
  <c r="D251" i="66"/>
  <c r="A251" i="66" s="1"/>
  <c r="A283" i="66"/>
  <c r="B283" i="66"/>
  <c r="A228" i="66"/>
  <c r="B228" i="66"/>
  <c r="AG115" i="40"/>
  <c r="AE115" i="40"/>
  <c r="AI114" i="40" s="1"/>
  <c r="N69" i="33"/>
  <c r="AQ69" i="33" s="1"/>
  <c r="X85" i="36"/>
  <c r="AG120" i="41"/>
  <c r="AI120" i="41" s="1"/>
  <c r="AR80" i="42"/>
  <c r="AR79" i="42"/>
  <c r="AI140" i="44"/>
  <c r="AI135" i="44"/>
  <c r="AK79" i="42"/>
  <c r="AM79" i="42" s="1"/>
  <c r="AS79" i="42" s="1"/>
  <c r="L84" i="42"/>
  <c r="N84" i="42" s="1"/>
  <c r="AQ84" i="42" s="1"/>
  <c r="X110" i="41"/>
  <c r="AI110" i="40"/>
  <c r="J269" i="66"/>
  <c r="B269" i="65" s="1"/>
  <c r="D269" i="65"/>
  <c r="A269" i="65" s="1"/>
  <c r="I269" i="66"/>
  <c r="D283" i="65"/>
  <c r="A283" i="65" s="1"/>
  <c r="J283" i="66"/>
  <c r="B283" i="65" s="1"/>
  <c r="I283" i="66"/>
  <c r="B225" i="66"/>
  <c r="A225" i="66"/>
  <c r="L270" i="66"/>
  <c r="B291" i="66"/>
  <c r="A291" i="66"/>
  <c r="J367" i="66"/>
  <c r="B367" i="65" s="1"/>
  <c r="I367" i="66"/>
  <c r="D367" i="65"/>
  <c r="A367" i="65" s="1"/>
  <c r="D239" i="66"/>
  <c r="B239" i="66" s="1"/>
  <c r="A342" i="66"/>
  <c r="B342" i="66"/>
  <c r="B303" i="66"/>
  <c r="A303" i="66"/>
  <c r="D256" i="65"/>
  <c r="A256" i="65" s="1"/>
  <c r="I256" i="66"/>
  <c r="J256" i="66"/>
  <c r="B256" i="65" s="1"/>
  <c r="D304" i="66"/>
  <c r="L284" i="66"/>
  <c r="D343" i="66"/>
  <c r="L368" i="66"/>
  <c r="X115" i="42"/>
  <c r="I241" i="66"/>
  <c r="J241" i="66"/>
  <c r="B241" i="65" s="1"/>
  <c r="D241" i="65"/>
  <c r="A241" i="65" s="1"/>
  <c r="D354" i="66"/>
  <c r="R109" i="39"/>
  <c r="D118" i="39"/>
  <c r="F118" i="39" s="1"/>
  <c r="H118" i="39" s="1"/>
  <c r="AE118" i="39"/>
  <c r="AE114" i="39"/>
  <c r="AG114" i="39" s="1"/>
  <c r="D114" i="39"/>
  <c r="F114" i="39" s="1"/>
  <c r="H114" i="39" s="1"/>
  <c r="R113" i="39"/>
  <c r="D124" i="41"/>
  <c r="AE124" i="41"/>
  <c r="AG124" i="41" s="1"/>
  <c r="R123" i="41"/>
  <c r="AE128" i="41"/>
  <c r="R87" i="33"/>
  <c r="D97" i="33"/>
  <c r="F97" i="33" s="1"/>
  <c r="R114" i="40"/>
  <c r="R118" i="40"/>
  <c r="AE119" i="40"/>
  <c r="AG119" i="40" s="1"/>
  <c r="D119" i="40"/>
  <c r="AE123" i="40"/>
  <c r="H99" i="38"/>
  <c r="H100" i="38" s="1"/>
  <c r="F100" i="38"/>
  <c r="F105" i="38"/>
  <c r="B315" i="66"/>
  <c r="A315" i="66"/>
  <c r="V107" i="38"/>
  <c r="T107" i="38"/>
  <c r="H109" i="40"/>
  <c r="H110" i="40" s="1"/>
  <c r="F110" i="40"/>
  <c r="F124" i="42"/>
  <c r="H124" i="42" s="1"/>
  <c r="J122" i="42"/>
  <c r="D351" i="65"/>
  <c r="J351" i="66"/>
  <c r="B351" i="65" s="1"/>
  <c r="I351" i="66"/>
  <c r="AG148" i="43"/>
  <c r="AG150" i="43" s="1"/>
  <c r="AE150" i="43"/>
  <c r="AI149" i="43" s="1"/>
  <c r="F144" i="43"/>
  <c r="H144" i="43" s="1"/>
  <c r="J142" i="43"/>
  <c r="AE145" i="43"/>
  <c r="AI144" i="43" s="1"/>
  <c r="AG143" i="43"/>
  <c r="AG145" i="43" s="1"/>
  <c r="V138" i="43"/>
  <c r="T138" i="43"/>
  <c r="AI145" i="44"/>
  <c r="J140" i="44"/>
  <c r="N140" i="44" s="1"/>
  <c r="AQ140" i="44" s="1"/>
  <c r="J139" i="44"/>
  <c r="N139" i="44" s="1"/>
  <c r="AQ139" i="44" s="1"/>
  <c r="V118" i="41"/>
  <c r="T118" i="41"/>
  <c r="B220" i="66"/>
  <c r="A220" i="66"/>
  <c r="H103" i="37"/>
  <c r="T113" i="40"/>
  <c r="V113" i="40"/>
  <c r="V109" i="40"/>
  <c r="V110" i="40" s="1"/>
  <c r="T109" i="40"/>
  <c r="T110" i="40" s="1"/>
  <c r="X109" i="40" s="1"/>
  <c r="V108" i="39"/>
  <c r="T108" i="39"/>
  <c r="F117" i="39"/>
  <c r="D291" i="65"/>
  <c r="I291" i="66"/>
  <c r="J291" i="66"/>
  <c r="B291" i="65" s="1"/>
  <c r="D449" i="66"/>
  <c r="L472" i="66"/>
  <c r="D411" i="66"/>
  <c r="L432" i="66"/>
  <c r="D392" i="66"/>
  <c r="L412" i="66"/>
  <c r="D316" i="66"/>
  <c r="L332" i="66"/>
  <c r="R104" i="38"/>
  <c r="D113" i="38"/>
  <c r="R112" i="38"/>
  <c r="D117" i="38"/>
  <c r="D109" i="38"/>
  <c r="R108" i="38"/>
  <c r="AE113" i="38"/>
  <c r="AE109" i="38"/>
  <c r="AE108" i="37"/>
  <c r="H105" i="38"/>
  <c r="J105" i="38" s="1"/>
  <c r="D511" i="65"/>
  <c r="A511" i="65" s="1"/>
  <c r="I511" i="66"/>
  <c r="J511" i="66"/>
  <c r="B511" i="65" s="1"/>
  <c r="D451" i="65"/>
  <c r="A451" i="65" s="1"/>
  <c r="J451" i="66"/>
  <c r="B451" i="65" s="1"/>
  <c r="I451" i="66"/>
  <c r="B258" i="66"/>
  <c r="A258" i="66"/>
  <c r="J110" i="40"/>
  <c r="J109" i="40"/>
  <c r="F134" i="43"/>
  <c r="H134" i="43" s="1"/>
  <c r="J132" i="43"/>
  <c r="T133" i="43"/>
  <c r="V133" i="43"/>
  <c r="V143" i="43"/>
  <c r="T143" i="43"/>
  <c r="AE125" i="42"/>
  <c r="AI124" i="42" s="1"/>
  <c r="B353" i="66"/>
  <c r="A353" i="66"/>
  <c r="X90" i="38"/>
  <c r="V89" i="37"/>
  <c r="V90" i="37" s="1"/>
  <c r="T89" i="37"/>
  <c r="T90" i="37" s="1"/>
  <c r="X89" i="37" s="1"/>
  <c r="AG118" i="40"/>
  <c r="AG120" i="40" s="1"/>
  <c r="AG109" i="39"/>
  <c r="AG110" i="39" s="1"/>
  <c r="AE110" i="39"/>
  <c r="AI109" i="39" s="1"/>
  <c r="T112" i="39"/>
  <c r="V112" i="39"/>
  <c r="R84" i="34"/>
  <c r="V84" i="34" s="1"/>
  <c r="D98" i="34"/>
  <c r="F98" i="34" s="1"/>
  <c r="H98" i="34" s="1"/>
  <c r="R97" i="34"/>
  <c r="D102" i="34"/>
  <c r="F102" i="34" s="1"/>
  <c r="D259" i="66"/>
  <c r="L272" i="66"/>
  <c r="R148" i="42"/>
  <c r="AE134" i="42"/>
  <c r="AG134" i="42" s="1"/>
  <c r="D149" i="42"/>
  <c r="AE144" i="42"/>
  <c r="AG144" i="42" s="1"/>
  <c r="AE149" i="42"/>
  <c r="AG149" i="42" s="1"/>
  <c r="AE139" i="42"/>
  <c r="AG139" i="42" s="1"/>
  <c r="D129" i="42"/>
  <c r="D139" i="42"/>
  <c r="AE133" i="42"/>
  <c r="R138" i="42"/>
  <c r="AE143" i="42"/>
  <c r="R128" i="42"/>
  <c r="D144" i="42"/>
  <c r="R133" i="42"/>
  <c r="R143" i="42"/>
  <c r="AE129" i="42"/>
  <c r="AG129" i="42" s="1"/>
  <c r="AE148" i="42"/>
  <c r="AE138" i="42"/>
  <c r="D134" i="42"/>
  <c r="D468" i="66"/>
  <c r="L492" i="66"/>
  <c r="D221" i="66"/>
  <c r="L232" i="66"/>
  <c r="D240" i="66"/>
  <c r="L252" i="66"/>
  <c r="R89" i="36"/>
  <c r="R102" i="36"/>
  <c r="D103" i="36"/>
  <c r="F103" i="36" s="1"/>
  <c r="D107" i="36"/>
  <c r="F107" i="36" s="1"/>
  <c r="D278" i="66"/>
  <c r="L292" i="66"/>
  <c r="H119" i="42"/>
  <c r="H120" i="42" s="1"/>
  <c r="J120" i="42" s="1"/>
  <c r="F120" i="42"/>
  <c r="J119" i="42" s="1"/>
  <c r="AI130" i="43"/>
  <c r="J134" i="44"/>
  <c r="N134" i="44" s="1"/>
  <c r="AQ134" i="44" s="1"/>
  <c r="J135" i="44"/>
  <c r="N135" i="44" s="1"/>
  <c r="AQ135" i="44" s="1"/>
  <c r="D211" i="65"/>
  <c r="A211" i="65" s="1"/>
  <c r="I211" i="66"/>
  <c r="J211" i="66"/>
  <c r="B211" i="65" s="1"/>
  <c r="B486" i="66"/>
  <c r="A486" i="66"/>
  <c r="B429" i="66"/>
  <c r="A429" i="66"/>
  <c r="H97" i="34"/>
  <c r="T99" i="38"/>
  <c r="T100" i="38" s="1"/>
  <c r="X99" i="38" s="1"/>
  <c r="V99" i="38"/>
  <c r="V100" i="38" s="1"/>
  <c r="D411" i="65"/>
  <c r="A411" i="65" s="1"/>
  <c r="J411" i="66"/>
  <c r="B411" i="65" s="1"/>
  <c r="I411" i="66"/>
  <c r="AG128" i="42"/>
  <c r="AE135" i="43"/>
  <c r="AI134" i="43" s="1"/>
  <c r="AG133" i="43"/>
  <c r="AG135" i="43" s="1"/>
  <c r="F129" i="43"/>
  <c r="H129" i="43" s="1"/>
  <c r="J127" i="43"/>
  <c r="T148" i="43"/>
  <c r="V148" i="43"/>
  <c r="AG125" i="42"/>
  <c r="AI125" i="42" s="1"/>
  <c r="AI125" i="43"/>
  <c r="J124" i="43"/>
  <c r="N124" i="43" s="1"/>
  <c r="AQ124" i="43" s="1"/>
  <c r="J125" i="43"/>
  <c r="N125" i="43" s="1"/>
  <c r="AQ125" i="43" s="1"/>
  <c r="X105" i="40"/>
  <c r="AI150" i="44"/>
  <c r="J149" i="44"/>
  <c r="N149" i="44" s="1"/>
  <c r="AQ149" i="44" s="1"/>
  <c r="J150" i="44"/>
  <c r="N150" i="44" s="1"/>
  <c r="AQ150" i="44" s="1"/>
  <c r="F119" i="41"/>
  <c r="J117" i="41"/>
  <c r="H102" i="35"/>
  <c r="D491" i="65"/>
  <c r="A491" i="65" s="1"/>
  <c r="J491" i="66"/>
  <c r="B491" i="65" s="1"/>
  <c r="I491" i="66"/>
  <c r="D471" i="65"/>
  <c r="A471" i="65" s="1"/>
  <c r="J471" i="66"/>
  <c r="B471" i="65" s="1"/>
  <c r="I471" i="66"/>
  <c r="H117" i="40"/>
  <c r="H107" i="37"/>
  <c r="D391" i="65"/>
  <c r="A391" i="65" s="1"/>
  <c r="J391" i="66"/>
  <c r="B391" i="65" s="1"/>
  <c r="I391" i="66"/>
  <c r="D431" i="65"/>
  <c r="A431" i="65" s="1"/>
  <c r="J431" i="66"/>
  <c r="B431" i="65" s="1"/>
  <c r="I431" i="66"/>
  <c r="AG113" i="39"/>
  <c r="AG115" i="39" s="1"/>
  <c r="F113" i="39"/>
  <c r="J112" i="39"/>
  <c r="L352" i="66"/>
  <c r="R99" i="37"/>
  <c r="D108" i="37"/>
  <c r="F108" i="37" s="1"/>
  <c r="H108" i="37" s="1"/>
  <c r="R107" i="37"/>
  <c r="D112" i="37"/>
  <c r="F112" i="37" s="1"/>
  <c r="D430" i="66"/>
  <c r="L452" i="66"/>
  <c r="D373" i="66"/>
  <c r="L392" i="66"/>
  <c r="D487" i="66"/>
  <c r="L512" i="66"/>
  <c r="D104" i="37"/>
  <c r="AE104" i="37"/>
  <c r="AG104" i="37" s="1"/>
  <c r="B201" i="66"/>
  <c r="A201" i="66"/>
  <c r="D251" i="65"/>
  <c r="A251" i="65" s="1"/>
  <c r="J251" i="66"/>
  <c r="B251" i="65" s="1"/>
  <c r="I251" i="66"/>
  <c r="T87" i="34"/>
  <c r="V87" i="34"/>
  <c r="H112" i="38"/>
  <c r="H113" i="40"/>
  <c r="H115" i="40" s="1"/>
  <c r="J115" i="40" s="1"/>
  <c r="F115" i="40"/>
  <c r="J114" i="40" s="1"/>
  <c r="A391" i="66"/>
  <c r="B391" i="66"/>
  <c r="V123" i="42"/>
  <c r="T123" i="42"/>
  <c r="F139" i="43"/>
  <c r="H139" i="43" s="1"/>
  <c r="J137" i="43"/>
  <c r="F149" i="43"/>
  <c r="H149" i="43" s="1"/>
  <c r="J147" i="43"/>
  <c r="V128" i="43"/>
  <c r="T128" i="43"/>
  <c r="AE140" i="43"/>
  <c r="AI139" i="43" s="1"/>
  <c r="AG138" i="43"/>
  <c r="AG140" i="43" s="1"/>
  <c r="AG123" i="41"/>
  <c r="AG125" i="41" s="1"/>
  <c r="T114" i="41"/>
  <c r="T115" i="41" s="1"/>
  <c r="X114" i="41" s="1"/>
  <c r="V114" i="41"/>
  <c r="V115" i="41" s="1"/>
  <c r="T97" i="35"/>
  <c r="V97" i="35"/>
  <c r="B467" i="66"/>
  <c r="A467" i="66"/>
  <c r="B448" i="66"/>
  <c r="A448" i="66"/>
  <c r="J129" i="44"/>
  <c r="N129" i="44" s="1"/>
  <c r="AQ129" i="44" s="1"/>
  <c r="J130" i="44"/>
  <c r="N130" i="44" s="1"/>
  <c r="AQ130" i="44" s="1"/>
  <c r="J145" i="44"/>
  <c r="N145" i="44" s="1"/>
  <c r="AQ145" i="44" s="1"/>
  <c r="J144" i="44"/>
  <c r="N144" i="44" s="1"/>
  <c r="AQ144" i="44" s="1"/>
  <c r="D231" i="65"/>
  <c r="A231" i="65" s="1"/>
  <c r="J231" i="66"/>
  <c r="B231" i="65" s="1"/>
  <c r="I231" i="66"/>
  <c r="T102" i="37"/>
  <c r="V102" i="37"/>
  <c r="B372" i="66"/>
  <c r="A372" i="66"/>
  <c r="B410" i="66"/>
  <c r="A410" i="66"/>
  <c r="F109" i="39"/>
  <c r="J107" i="39"/>
  <c r="V104" i="39"/>
  <c r="V105" i="39" s="1"/>
  <c r="T104" i="39"/>
  <c r="T105" i="39" s="1"/>
  <c r="X104" i="39" s="1"/>
  <c r="X8" i="4"/>
  <c r="AI70" i="32"/>
  <c r="N60" i="31"/>
  <c r="AQ60" i="31" s="1"/>
  <c r="AI55" i="29"/>
  <c r="AA30" i="59"/>
  <c r="AE29" i="59" s="1"/>
  <c r="A277" i="65"/>
  <c r="A225" i="65"/>
  <c r="A264" i="65"/>
  <c r="AA5" i="59"/>
  <c r="AA6" i="59" s="1"/>
  <c r="AE5" i="59" s="1"/>
  <c r="AC5" i="59"/>
  <c r="AC6" i="59" s="1"/>
  <c r="AR15" i="59"/>
  <c r="A238" i="65"/>
  <c r="AP16" i="59"/>
  <c r="AR16" i="59" s="1"/>
  <c r="AN5" i="59"/>
  <c r="AN9" i="59"/>
  <c r="T16" i="59"/>
  <c r="R19" i="59" s="1"/>
  <c r="P5" i="59" s="1"/>
  <c r="AA22" i="59"/>
  <c r="AC22" i="59"/>
  <c r="AC30" i="59"/>
  <c r="A303" i="65"/>
  <c r="AA16" i="59"/>
  <c r="AE14" i="59"/>
  <c r="A290" i="65"/>
  <c r="AE12" i="59"/>
  <c r="J59" i="30"/>
  <c r="AI90" i="36"/>
  <c r="J60" i="30"/>
  <c r="AI95" i="37"/>
  <c r="L65" i="33"/>
  <c r="N65" i="33" s="1"/>
  <c r="AQ65" i="33" s="1"/>
  <c r="J39" i="26"/>
  <c r="N39" i="26" s="1"/>
  <c r="AQ39" i="26" s="1"/>
  <c r="V85" i="35"/>
  <c r="X85" i="35" s="1"/>
  <c r="X26" i="25"/>
  <c r="AA25" i="25"/>
  <c r="AG25" i="25" s="1"/>
  <c r="Y24" i="25"/>
  <c r="AI40" i="26"/>
  <c r="AG60" i="29"/>
  <c r="V50" i="28"/>
  <c r="AE60" i="29"/>
  <c r="AI59" i="29" s="1"/>
  <c r="AR39" i="29"/>
  <c r="AT39" i="29" s="1"/>
  <c r="D6" i="29" s="1"/>
  <c r="L49" i="29" s="1"/>
  <c r="N49" i="29" s="1"/>
  <c r="AQ49" i="29" s="1"/>
  <c r="AT49" i="29" s="1"/>
  <c r="D8" i="29" s="1"/>
  <c r="AG70" i="31"/>
  <c r="J40" i="26"/>
  <c r="N40" i="26" s="1"/>
  <c r="AQ40" i="26" s="1"/>
  <c r="X7" i="3"/>
  <c r="AB39" i="28"/>
  <c r="AJ11" i="13"/>
  <c r="N54" i="30"/>
  <c r="AQ54" i="30" s="1"/>
  <c r="V81" i="59"/>
  <c r="AE70" i="31"/>
  <c r="AI69" i="31" s="1"/>
  <c r="Z79" i="41"/>
  <c r="AB79" i="41" s="1"/>
  <c r="L84" i="41"/>
  <c r="N84" i="41" s="1"/>
  <c r="AQ84" i="41" s="1"/>
  <c r="AK79" i="41"/>
  <c r="AM79" i="41" s="1"/>
  <c r="AS79" i="41" s="1"/>
  <c r="AT79" i="41" s="1"/>
  <c r="L79" i="38"/>
  <c r="N79" i="38" s="1"/>
  <c r="AQ79" i="38" s="1"/>
  <c r="AK80" i="41"/>
  <c r="AM80" i="41" s="1"/>
  <c r="AS80" i="41" s="1"/>
  <c r="AT80" i="41" s="1"/>
  <c r="Z80" i="41"/>
  <c r="AB80" i="41" s="1"/>
  <c r="L85" i="41"/>
  <c r="N85" i="41" s="1"/>
  <c r="AQ85" i="41" s="1"/>
  <c r="Z74" i="38"/>
  <c r="AB74" i="38" s="1"/>
  <c r="AR74" i="38" s="1"/>
  <c r="AT74" i="38" s="1"/>
  <c r="AG90" i="35"/>
  <c r="AE65" i="30"/>
  <c r="AI64" i="30" s="1"/>
  <c r="AE90" i="35"/>
  <c r="AI89" i="35" s="1"/>
  <c r="AI16" i="14"/>
  <c r="T50" i="28"/>
  <c r="X49" i="28" s="1"/>
  <c r="Y11" i="5"/>
  <c r="X10" i="5" s="1"/>
  <c r="AA11" i="6"/>
  <c r="AG11" i="6" s="1"/>
  <c r="AJ15" i="14"/>
  <c r="J47" i="27"/>
  <c r="AJ9" i="13"/>
  <c r="AE75" i="32"/>
  <c r="AI74" i="32" s="1"/>
  <c r="D77" i="30"/>
  <c r="F77" i="30" s="1"/>
  <c r="AI100" i="38"/>
  <c r="D73" i="30"/>
  <c r="F73" i="30" s="1"/>
  <c r="H73" i="30" s="1"/>
  <c r="AR49" i="31"/>
  <c r="X70" i="33"/>
  <c r="X80" i="35"/>
  <c r="D68" i="29"/>
  <c r="F68" i="29" s="1"/>
  <c r="R67" i="29"/>
  <c r="H67" i="28"/>
  <c r="H54" i="29"/>
  <c r="H55" i="29" s="1"/>
  <c r="J55" i="29" s="1"/>
  <c r="F55" i="29"/>
  <c r="J54" i="29" s="1"/>
  <c r="AE98" i="35"/>
  <c r="AE94" i="35"/>
  <c r="AG94" i="35" s="1"/>
  <c r="R82" i="32"/>
  <c r="D83" i="32"/>
  <c r="F83" i="32" s="1"/>
  <c r="H83" i="32" s="1"/>
  <c r="D87" i="32"/>
  <c r="F87" i="32" s="1"/>
  <c r="L70" i="36"/>
  <c r="N70" i="36" s="1"/>
  <c r="AQ70" i="36" s="1"/>
  <c r="AG99" i="37"/>
  <c r="AG100" i="37" s="1"/>
  <c r="AE100" i="37"/>
  <c r="AI99" i="37" s="1"/>
  <c r="F104" i="37"/>
  <c r="H104" i="37" s="1"/>
  <c r="J102" i="37"/>
  <c r="AG103" i="37"/>
  <c r="V79" i="34"/>
  <c r="V80" i="34" s="1"/>
  <c r="T79" i="34"/>
  <c r="T80" i="34" s="1"/>
  <c r="X79" i="34" s="1"/>
  <c r="T77" i="32"/>
  <c r="V77" i="32"/>
  <c r="H87" i="33"/>
  <c r="H69" i="32"/>
  <c r="H70" i="32" s="1"/>
  <c r="J70" i="32" s="1"/>
  <c r="F70" i="32"/>
  <c r="R77" i="31"/>
  <c r="D82" i="31"/>
  <c r="F82" i="31" s="1"/>
  <c r="D72" i="29"/>
  <c r="F72" i="29" s="1"/>
  <c r="R98" i="36"/>
  <c r="AE103" i="36"/>
  <c r="D99" i="36"/>
  <c r="AE99" i="36"/>
  <c r="AI105" i="38"/>
  <c r="J104" i="38"/>
  <c r="V69" i="32"/>
  <c r="V70" i="32" s="1"/>
  <c r="T69" i="32"/>
  <c r="T70" i="32" s="1"/>
  <c r="X69" i="32" s="1"/>
  <c r="Z50" i="29"/>
  <c r="AB50" i="29" s="1"/>
  <c r="L55" i="29"/>
  <c r="R87" i="59"/>
  <c r="D93" i="59"/>
  <c r="F93" i="59" s="1"/>
  <c r="D88" i="33"/>
  <c r="F88" i="33" s="1"/>
  <c r="H88" i="33" s="1"/>
  <c r="R79" i="33"/>
  <c r="Z50" i="30"/>
  <c r="AB50" i="30" s="1"/>
  <c r="AR49" i="30" s="1"/>
  <c r="L55" i="30"/>
  <c r="N55" i="30" s="1"/>
  <c r="AQ55" i="30" s="1"/>
  <c r="H84" i="35"/>
  <c r="H85" i="35" s="1"/>
  <c r="J85" i="35" s="1"/>
  <c r="F85" i="35"/>
  <c r="J99" i="38"/>
  <c r="J100" i="38"/>
  <c r="AR69" i="37"/>
  <c r="AT69" i="37" s="1"/>
  <c r="D12" i="37" s="1"/>
  <c r="AR70" i="37"/>
  <c r="AT70" i="37" s="1"/>
  <c r="E12" i="37" s="1"/>
  <c r="AK75" i="37" s="1"/>
  <c r="AM75" i="37" s="1"/>
  <c r="AS75" i="37" s="1"/>
  <c r="F99" i="37"/>
  <c r="J97" i="37"/>
  <c r="AG108" i="37"/>
  <c r="T103" i="37"/>
  <c r="V103" i="37"/>
  <c r="H68" i="30"/>
  <c r="D94" i="35"/>
  <c r="H89" i="36"/>
  <c r="H90" i="36" s="1"/>
  <c r="J90" i="36" s="1"/>
  <c r="F90" i="36"/>
  <c r="J89" i="36" s="1"/>
  <c r="R39" i="26"/>
  <c r="T39" i="26" s="1"/>
  <c r="T40" i="26" s="1"/>
  <c r="X39" i="26" s="1"/>
  <c r="D53" i="26"/>
  <c r="F53" i="26" s="1"/>
  <c r="V49" i="27"/>
  <c r="T49" i="27"/>
  <c r="V98" i="37"/>
  <c r="T98" i="37"/>
  <c r="H82" i="32"/>
  <c r="V67" i="30"/>
  <c r="T67" i="30"/>
  <c r="V82" i="33"/>
  <c r="T82" i="33"/>
  <c r="AG75" i="32"/>
  <c r="AI85" i="35"/>
  <c r="AI65" i="31"/>
  <c r="Z64" i="36"/>
  <c r="AB64" i="36" s="1"/>
  <c r="AK64" i="36"/>
  <c r="AM64" i="36" s="1"/>
  <c r="AS64" i="36" s="1"/>
  <c r="AB55" i="31"/>
  <c r="AG65" i="30"/>
  <c r="AG45" i="26"/>
  <c r="AE45" i="26"/>
  <c r="AI44" i="26" s="1"/>
  <c r="AI45" i="27"/>
  <c r="AJ11" i="14"/>
  <c r="AI16" i="13"/>
  <c r="AI95" i="36"/>
  <c r="AI15" i="13"/>
  <c r="N44" i="28"/>
  <c r="AQ44" i="28" s="1"/>
  <c r="Z65" i="36"/>
  <c r="AB65" i="36" s="1"/>
  <c r="AR64" i="36" s="1"/>
  <c r="AT64" i="36" s="1"/>
  <c r="D11" i="36" s="1"/>
  <c r="L74" i="36" s="1"/>
  <c r="N74" i="36" s="1"/>
  <c r="AQ74" i="36" s="1"/>
  <c r="AK65" i="36"/>
  <c r="AM65" i="36" s="1"/>
  <c r="AS65" i="36" s="1"/>
  <c r="AG55" i="28"/>
  <c r="AE55" i="28"/>
  <c r="AI54" i="28" s="1"/>
  <c r="AR60" i="33"/>
  <c r="AT60" i="33" s="1"/>
  <c r="E10" i="33" s="1"/>
  <c r="AK54" i="30"/>
  <c r="AM54" i="30" s="1"/>
  <c r="AS54" i="30" s="1"/>
  <c r="Z54" i="30"/>
  <c r="AB54" i="30" s="1"/>
  <c r="L59" i="30"/>
  <c r="AR54" i="32"/>
  <c r="AT54" i="32" s="1"/>
  <c r="D9" i="32" s="1"/>
  <c r="AR55" i="32"/>
  <c r="AT55" i="32" s="1"/>
  <c r="E9" i="32" s="1"/>
  <c r="AK64" i="33"/>
  <c r="AM64" i="33" s="1"/>
  <c r="AS64" i="33" s="1"/>
  <c r="Z64" i="33"/>
  <c r="AB64" i="33" s="1"/>
  <c r="L50" i="30"/>
  <c r="N50" i="30" s="1"/>
  <c r="AQ50" i="30" s="1"/>
  <c r="AK45" i="30"/>
  <c r="AM45" i="30" s="1"/>
  <c r="AS45" i="30" s="1"/>
  <c r="Z45" i="30"/>
  <c r="AB45" i="30" s="1"/>
  <c r="AK54" i="31"/>
  <c r="AM54" i="31" s="1"/>
  <c r="AS54" i="31" s="1"/>
  <c r="L59" i="31"/>
  <c r="N59" i="31" s="1"/>
  <c r="AQ59" i="31" s="1"/>
  <c r="Z54" i="31"/>
  <c r="AB54" i="31" s="1"/>
  <c r="AR44" i="31"/>
  <c r="AT44" i="31" s="1"/>
  <c r="D7" i="31" s="1"/>
  <c r="AK49" i="31" s="1"/>
  <c r="AM49" i="31" s="1"/>
  <c r="AS49" i="31" s="1"/>
  <c r="AR45" i="31"/>
  <c r="AT45" i="31" s="1"/>
  <c r="E7" i="31" s="1"/>
  <c r="AK50" i="31" s="1"/>
  <c r="AM50" i="31" s="1"/>
  <c r="AS50" i="31" s="1"/>
  <c r="AK45" i="29"/>
  <c r="AM45" i="29" s="1"/>
  <c r="AS45" i="29" s="1"/>
  <c r="Z45" i="29"/>
  <c r="AB45" i="29" s="1"/>
  <c r="L50" i="29"/>
  <c r="N50" i="29" s="1"/>
  <c r="AQ50" i="29" s="1"/>
  <c r="AT50" i="29" s="1"/>
  <c r="E8" i="29" s="1"/>
  <c r="AR65" i="35"/>
  <c r="AT65" i="35" s="1"/>
  <c r="E11" i="35" s="1"/>
  <c r="AR64" i="35"/>
  <c r="AT64" i="35" s="1"/>
  <c r="D11" i="35" s="1"/>
  <c r="AR59" i="34"/>
  <c r="AT59" i="34" s="1"/>
  <c r="D10" i="34" s="1"/>
  <c r="L69" i="34" s="1"/>
  <c r="N69" i="34" s="1"/>
  <c r="AQ69" i="34" s="1"/>
  <c r="AR60" i="34"/>
  <c r="AT60" i="34" s="1"/>
  <c r="E10" i="34" s="1"/>
  <c r="L70" i="34" s="1"/>
  <c r="N70" i="34" s="1"/>
  <c r="AQ70" i="34" s="1"/>
  <c r="X75" i="34"/>
  <c r="X45" i="28"/>
  <c r="X55" i="30"/>
  <c r="X60" i="31"/>
  <c r="X40" i="27"/>
  <c r="N45" i="28"/>
  <c r="AQ45" i="28" s="1"/>
  <c r="Y14" i="8"/>
  <c r="AA14" i="8" s="1"/>
  <c r="AG14" i="8" s="1"/>
  <c r="AB12" i="12"/>
  <c r="AJ12" i="12" s="1"/>
  <c r="X66" i="59"/>
  <c r="AR35" i="26"/>
  <c r="AT35" i="26" s="1"/>
  <c r="E5" i="26" s="1"/>
  <c r="AR34" i="26"/>
  <c r="AT34" i="26" s="1"/>
  <c r="D5" i="26" s="1"/>
  <c r="H62" i="29"/>
  <c r="AA14" i="9"/>
  <c r="AG14" i="9" s="1"/>
  <c r="X13" i="9"/>
  <c r="H10" i="3"/>
  <c r="I10" i="3" s="1"/>
  <c r="D10" i="3"/>
  <c r="F10" i="3" s="1"/>
  <c r="G10" i="3" s="1"/>
  <c r="AA13" i="7"/>
  <c r="AG13" i="7" s="1"/>
  <c r="R63" i="29"/>
  <c r="AE64" i="29"/>
  <c r="AG64" i="29" s="1"/>
  <c r="AE68" i="29"/>
  <c r="R59" i="29"/>
  <c r="D64" i="29"/>
  <c r="AV20" i="13"/>
  <c r="AV11" i="4"/>
  <c r="H15" i="8"/>
  <c r="I15" i="8" s="1"/>
  <c r="D15" i="8"/>
  <c r="F15" i="8" s="1"/>
  <c r="G15" i="8" s="1"/>
  <c r="AG88" i="34"/>
  <c r="AY13" i="61"/>
  <c r="B13" i="5"/>
  <c r="AP13" i="5"/>
  <c r="C24" i="41"/>
  <c r="AD15" i="12"/>
  <c r="AD14" i="12"/>
  <c r="AD10" i="12"/>
  <c r="AD7" i="12"/>
  <c r="AB7" i="12" s="1"/>
  <c r="AD5" i="12"/>
  <c r="AB5" i="12" s="1"/>
  <c r="AD9" i="12"/>
  <c r="AD8" i="12"/>
  <c r="AB8" i="12" s="1"/>
  <c r="AD11" i="12"/>
  <c r="AD13" i="12"/>
  <c r="AD12" i="12"/>
  <c r="AD6" i="12"/>
  <c r="AB6" i="12" s="1"/>
  <c r="AD16" i="12"/>
  <c r="AD4" i="12"/>
  <c r="AB4" i="12" s="1"/>
  <c r="AB16" i="12"/>
  <c r="AB10" i="12"/>
  <c r="AB11" i="12"/>
  <c r="D26" i="53"/>
  <c r="F26" i="53" s="1"/>
  <c r="G26" i="53" s="1"/>
  <c r="H26" i="53"/>
  <c r="I26" i="53" s="1"/>
  <c r="AK27" i="61"/>
  <c r="B27" i="19"/>
  <c r="AP27" i="19"/>
  <c r="C10" i="27"/>
  <c r="D67" i="27" s="1"/>
  <c r="F67" i="27" s="1"/>
  <c r="B27" i="53"/>
  <c r="AP27" i="53"/>
  <c r="AF6" i="2"/>
  <c r="F28" i="22"/>
  <c r="D29" i="22"/>
  <c r="I35" i="22" s="1"/>
  <c r="AG78" i="32"/>
  <c r="AV13" i="6"/>
  <c r="AJ7" i="14"/>
  <c r="AI7" i="14"/>
  <c r="F57" i="27"/>
  <c r="V48" i="27"/>
  <c r="T48" i="27"/>
  <c r="H9" i="2"/>
  <c r="I9" i="2" s="1"/>
  <c r="D9" i="2"/>
  <c r="F9" i="2" s="1"/>
  <c r="G9" i="2" s="1"/>
  <c r="AE95" i="35"/>
  <c r="AI94" i="35" s="1"/>
  <c r="AG93" i="35"/>
  <c r="V88" i="35"/>
  <c r="T88" i="35"/>
  <c r="AG83" i="33"/>
  <c r="F77" i="59"/>
  <c r="J75" i="59"/>
  <c r="AJ12" i="13"/>
  <c r="AI12" i="13"/>
  <c r="AJ8" i="13"/>
  <c r="AI8" i="13"/>
  <c r="AV17" i="10"/>
  <c r="Y1" i="11"/>
  <c r="AB13" i="11" s="1"/>
  <c r="AV23" i="16"/>
  <c r="V59" i="30"/>
  <c r="V60" i="30" s="1"/>
  <c r="T59" i="30"/>
  <c r="T60" i="30" s="1"/>
  <c r="X59" i="30" s="1"/>
  <c r="R78" i="32"/>
  <c r="R74" i="32"/>
  <c r="AE79" i="32"/>
  <c r="AG79" i="32" s="1"/>
  <c r="AE83" i="32"/>
  <c r="D79" i="32"/>
  <c r="F79" i="32" s="1"/>
  <c r="H79" i="32" s="1"/>
  <c r="AE80" i="33"/>
  <c r="AI79" i="33" s="1"/>
  <c r="H57" i="28"/>
  <c r="H24" i="17"/>
  <c r="I24" i="17" s="1"/>
  <c r="D24" i="17"/>
  <c r="F24" i="17" s="1"/>
  <c r="G24" i="17" s="1"/>
  <c r="F69" i="31"/>
  <c r="J67" i="31"/>
  <c r="AE84" i="33"/>
  <c r="AG84" i="33" s="1"/>
  <c r="AE88" i="33"/>
  <c r="D84" i="33"/>
  <c r="R83" i="33"/>
  <c r="H77" i="31"/>
  <c r="V58" i="29"/>
  <c r="T58" i="29"/>
  <c r="AG48" i="26"/>
  <c r="AI12" i="14"/>
  <c r="AJ12" i="14"/>
  <c r="AV14" i="7"/>
  <c r="AV18" i="11"/>
  <c r="H50" i="27"/>
  <c r="H74" i="33"/>
  <c r="H75" i="33" s="1"/>
  <c r="J75" i="33" s="1"/>
  <c r="F75" i="33"/>
  <c r="J74" i="33" s="1"/>
  <c r="F10" i="4"/>
  <c r="AE58" i="27"/>
  <c r="AE54" i="27"/>
  <c r="AG54" i="27" s="1"/>
  <c r="R53" i="27"/>
  <c r="D54" i="27"/>
  <c r="D58" i="27"/>
  <c r="F58" i="27" s="1"/>
  <c r="H58" i="27" s="1"/>
  <c r="D62" i="27"/>
  <c r="R57" i="27"/>
  <c r="AV16" i="9"/>
  <c r="AA26" i="24"/>
  <c r="AG26" i="24" s="1"/>
  <c r="Y25" i="24"/>
  <c r="X26" i="24" s="1"/>
  <c r="AG6" i="1"/>
  <c r="AV10" i="3"/>
  <c r="H47" i="26"/>
  <c r="X15" i="10"/>
  <c r="AA15" i="10"/>
  <c r="X14" i="10"/>
  <c r="H25" i="18"/>
  <c r="I25" i="18" s="1"/>
  <c r="D25" i="18"/>
  <c r="F25" i="18" s="1"/>
  <c r="G25" i="18" s="1"/>
  <c r="AE89" i="34"/>
  <c r="AG89" i="34" s="1"/>
  <c r="AE93" i="34"/>
  <c r="R88" i="34"/>
  <c r="D89" i="34"/>
  <c r="AZ12" i="61"/>
  <c r="B12" i="4"/>
  <c r="AP12" i="4"/>
  <c r="C25" i="42"/>
  <c r="AV16" i="61"/>
  <c r="B16" i="8"/>
  <c r="AP16" i="8"/>
  <c r="C21" i="38"/>
  <c r="H12" i="5"/>
  <c r="I12" i="5" s="1"/>
  <c r="D12" i="5"/>
  <c r="AJ14" i="12"/>
  <c r="AI14" i="12"/>
  <c r="H26" i="19"/>
  <c r="I26" i="19" s="1"/>
  <c r="D26" i="19"/>
  <c r="F26" i="19" s="1"/>
  <c r="G26" i="19" s="1"/>
  <c r="Y9" i="3"/>
  <c r="J94" i="36"/>
  <c r="N94" i="36" s="1"/>
  <c r="AQ94" i="36" s="1"/>
  <c r="J95" i="36"/>
  <c r="N95" i="36" s="1"/>
  <c r="AQ95" i="36" s="1"/>
  <c r="V44" i="27"/>
  <c r="V45" i="27" s="1"/>
  <c r="T44" i="27"/>
  <c r="T45" i="27" s="1"/>
  <c r="X44" i="27" s="1"/>
  <c r="AG53" i="27"/>
  <c r="AV19" i="12"/>
  <c r="AK72" i="59"/>
  <c r="F89" i="35"/>
  <c r="J87" i="35"/>
  <c r="V74" i="33"/>
  <c r="V75" i="33" s="1"/>
  <c r="T74" i="33"/>
  <c r="T75" i="33" s="1"/>
  <c r="X74" i="33" s="1"/>
  <c r="AF8" i="5"/>
  <c r="H71" i="59"/>
  <c r="H72" i="59" s="1"/>
  <c r="J72" i="59" s="1"/>
  <c r="F72" i="59"/>
  <c r="J71" i="59" s="1"/>
  <c r="T53" i="28"/>
  <c r="V53" i="28"/>
  <c r="AI82" i="59"/>
  <c r="AE82" i="59"/>
  <c r="AJ13" i="13"/>
  <c r="AI13" i="13"/>
  <c r="Y15" i="9"/>
  <c r="X14" i="9" s="1"/>
  <c r="H17" i="10"/>
  <c r="I17" i="10" s="1"/>
  <c r="D17" i="10"/>
  <c r="F17" i="10" s="1"/>
  <c r="G17" i="10" s="1"/>
  <c r="AF9" i="5"/>
  <c r="AF15" i="11"/>
  <c r="AF16" i="11" s="1"/>
  <c r="AI1" i="11"/>
  <c r="AA28" i="22"/>
  <c r="AG28" i="22" s="1"/>
  <c r="Y27" i="22"/>
  <c r="X28" i="22" s="1"/>
  <c r="H23" i="16"/>
  <c r="I23" i="16" s="1"/>
  <c r="D23" i="16"/>
  <c r="F23" i="16" s="1"/>
  <c r="G23" i="16" s="1"/>
  <c r="AA10" i="5"/>
  <c r="X9" i="5"/>
  <c r="AE53" i="26"/>
  <c r="AE49" i="26"/>
  <c r="AG49" i="26" s="1"/>
  <c r="R48" i="26"/>
  <c r="R44" i="26"/>
  <c r="D49" i="26"/>
  <c r="R52" i="26"/>
  <c r="D57" i="26"/>
  <c r="AG68" i="30"/>
  <c r="AV8" i="1"/>
  <c r="AE50" i="27"/>
  <c r="AI49" i="27" s="1"/>
  <c r="H22" i="15"/>
  <c r="I22" i="15" s="1"/>
  <c r="D22" i="15"/>
  <c r="F22" i="15" s="1"/>
  <c r="G22" i="15" s="1"/>
  <c r="AG85" i="34"/>
  <c r="AG80" i="33"/>
  <c r="AE69" i="30"/>
  <c r="AG69" i="30" s="1"/>
  <c r="R68" i="30"/>
  <c r="AE73" i="30"/>
  <c r="D69" i="30"/>
  <c r="AG73" i="31"/>
  <c r="AV21" i="14"/>
  <c r="G12" i="7"/>
  <c r="T54" i="29"/>
  <c r="T55" i="29" s="1"/>
  <c r="X54" i="29" s="1"/>
  <c r="V54" i="29"/>
  <c r="V55" i="29" s="1"/>
  <c r="T43" i="26"/>
  <c r="V43" i="26"/>
  <c r="F9" i="3"/>
  <c r="J84" i="35"/>
  <c r="AI8" i="14"/>
  <c r="AJ8" i="14"/>
  <c r="AJ5" i="14"/>
  <c r="AI5" i="14"/>
  <c r="H18" i="11"/>
  <c r="I18" i="11" s="1"/>
  <c r="D18" i="11"/>
  <c r="F18" i="11" s="1"/>
  <c r="G18" i="11" s="1"/>
  <c r="Y7" i="1"/>
  <c r="F50" i="27"/>
  <c r="J49" i="27" s="1"/>
  <c r="AV27" i="20"/>
  <c r="H16" i="9"/>
  <c r="I16" i="9" s="1"/>
  <c r="D16" i="9"/>
  <c r="F16" i="9" s="1"/>
  <c r="G16" i="9" s="1"/>
  <c r="AB40" i="28"/>
  <c r="AR40" i="28" s="1"/>
  <c r="AT40" i="28" s="1"/>
  <c r="E6" i="28" s="1"/>
  <c r="BA11" i="61"/>
  <c r="B11" i="3"/>
  <c r="C26" i="43"/>
  <c r="AP11" i="3"/>
  <c r="AL26" i="61"/>
  <c r="C11" i="28"/>
  <c r="D72" i="28" s="1"/>
  <c r="B26" i="18"/>
  <c r="AP26" i="18"/>
  <c r="AA13" i="8"/>
  <c r="AG13" i="8" s="1"/>
  <c r="H20" i="13"/>
  <c r="I20" i="13" s="1"/>
  <c r="D20" i="13"/>
  <c r="F20" i="13" s="1"/>
  <c r="G20" i="13" s="1"/>
  <c r="H87" i="59"/>
  <c r="AV15" i="8"/>
  <c r="T83" i="34"/>
  <c r="T85" i="34" s="1"/>
  <c r="X84" i="34" s="1"/>
  <c r="V83" i="34"/>
  <c r="V85" i="34" s="1"/>
  <c r="AB15" i="12"/>
  <c r="AB13" i="12"/>
  <c r="AB9" i="12"/>
  <c r="AV26" i="19"/>
  <c r="F78" i="32"/>
  <c r="V64" i="32"/>
  <c r="V65" i="32" s="1"/>
  <c r="T64" i="32"/>
  <c r="T65" i="32" s="1"/>
  <c r="X64" i="32" s="1"/>
  <c r="H13" i="6"/>
  <c r="I13" i="6" s="1"/>
  <c r="D13" i="6"/>
  <c r="F13" i="6" s="1"/>
  <c r="G13" i="6" s="1"/>
  <c r="AI14" i="14"/>
  <c r="AJ14" i="14"/>
  <c r="AR20" i="61"/>
  <c r="B20" i="12"/>
  <c r="AP20" i="12"/>
  <c r="C17" i="34"/>
  <c r="AE98" i="34" s="1"/>
  <c r="AF11" i="7"/>
  <c r="AF12" i="7" s="1"/>
  <c r="AV9" i="2"/>
  <c r="AA27" i="23"/>
  <c r="AG27" i="23" s="1"/>
  <c r="Y26" i="23"/>
  <c r="X27" i="23" s="1"/>
  <c r="F94" i="35"/>
  <c r="H94" i="35" s="1"/>
  <c r="J92" i="35"/>
  <c r="V93" i="35"/>
  <c r="T93" i="35"/>
  <c r="V78" i="33"/>
  <c r="T78" i="33"/>
  <c r="X65" i="33"/>
  <c r="Y10" i="4"/>
  <c r="F62" i="28"/>
  <c r="F54" i="28"/>
  <c r="J52" i="28"/>
  <c r="V76" i="59"/>
  <c r="T76" i="59"/>
  <c r="AJ14" i="13"/>
  <c r="AI14" i="13"/>
  <c r="AJ7" i="13"/>
  <c r="AI7" i="13"/>
  <c r="AI6" i="13"/>
  <c r="AJ6" i="13"/>
  <c r="AT18" i="61"/>
  <c r="B18" i="10"/>
  <c r="C19" i="36"/>
  <c r="R103" i="36" s="1"/>
  <c r="AP18" i="10"/>
  <c r="G28" i="23"/>
  <c r="G29" i="23" s="1"/>
  <c r="I38" i="23" s="1"/>
  <c r="F29" i="23"/>
  <c r="I36" i="23" s="1"/>
  <c r="AE74" i="31"/>
  <c r="AG74" i="31" s="1"/>
  <c r="AE78" i="31"/>
  <c r="D74" i="31"/>
  <c r="R64" i="31"/>
  <c r="R73" i="31"/>
  <c r="D78" i="31"/>
  <c r="AN24" i="61"/>
  <c r="D263" i="66" s="1"/>
  <c r="C13" i="30"/>
  <c r="B24" i="16"/>
  <c r="AP24" i="16"/>
  <c r="H28" i="21"/>
  <c r="I28" i="21" s="1"/>
  <c r="I29" i="21" s="1"/>
  <c r="I39" i="21" s="1"/>
  <c r="D28" i="21"/>
  <c r="S7" i="21"/>
  <c r="V72" i="30"/>
  <c r="T72" i="30"/>
  <c r="V63" i="30"/>
  <c r="T63" i="30"/>
  <c r="D8" i="1"/>
  <c r="F8" i="1" s="1"/>
  <c r="G8" i="1" s="1"/>
  <c r="H8" i="1"/>
  <c r="I8" i="1" s="1"/>
  <c r="AG50" i="27"/>
  <c r="AV22" i="15"/>
  <c r="AE85" i="34"/>
  <c r="AI84" i="34" s="1"/>
  <c r="J77" i="33"/>
  <c r="AM25" i="61"/>
  <c r="B25" i="17"/>
  <c r="C12" i="29"/>
  <c r="D73" i="29" s="1"/>
  <c r="F73" i="29" s="1"/>
  <c r="H73" i="29" s="1"/>
  <c r="AP25" i="17"/>
  <c r="H21" i="14"/>
  <c r="I21" i="14" s="1"/>
  <c r="D21" i="14"/>
  <c r="F21" i="14" s="1"/>
  <c r="G21" i="14" s="1"/>
  <c r="AG9" i="4"/>
  <c r="F59" i="29"/>
  <c r="J57" i="29"/>
  <c r="F44" i="26"/>
  <c r="J42" i="26"/>
  <c r="AF11" i="8"/>
  <c r="AF12" i="8" s="1"/>
  <c r="Y12" i="6"/>
  <c r="AJ4" i="14"/>
  <c r="AI4" i="14"/>
  <c r="H14" i="7"/>
  <c r="I14" i="7" s="1"/>
  <c r="D14" i="7"/>
  <c r="F14" i="7" s="1"/>
  <c r="G14" i="7" s="1"/>
  <c r="AS19" i="61"/>
  <c r="B19" i="11"/>
  <c r="C18" i="35"/>
  <c r="AP19" i="11"/>
  <c r="G10" i="5"/>
  <c r="G6" i="1"/>
  <c r="H27" i="20"/>
  <c r="I27" i="20" s="1"/>
  <c r="D27" i="20"/>
  <c r="F27" i="20" s="1"/>
  <c r="G27" i="20" s="1"/>
  <c r="X27" i="24"/>
  <c r="AK40" i="27"/>
  <c r="AM40" i="27" s="1"/>
  <c r="AS40" i="27" s="1"/>
  <c r="Z40" i="27"/>
  <c r="L45" i="27"/>
  <c r="N45" i="27" s="1"/>
  <c r="AQ45" i="27" s="1"/>
  <c r="AV25" i="18"/>
  <c r="AQ21" i="61"/>
  <c r="B21" i="13"/>
  <c r="AP21" i="13"/>
  <c r="C16" i="33"/>
  <c r="H11" i="4"/>
  <c r="I11" i="4" s="1"/>
  <c r="D11" i="4"/>
  <c r="F11" i="4" s="1"/>
  <c r="G11" i="4" s="1"/>
  <c r="F84" i="34"/>
  <c r="J82" i="34"/>
  <c r="AV12" i="5"/>
  <c r="AV26" i="53"/>
  <c r="AE59" i="28"/>
  <c r="AG59" i="28" s="1"/>
  <c r="AE63" i="28"/>
  <c r="R58" i="28"/>
  <c r="D59" i="28"/>
  <c r="F59" i="28" s="1"/>
  <c r="H59" i="28" s="1"/>
  <c r="D63" i="28"/>
  <c r="F63" i="28" s="1"/>
  <c r="H63" i="28" s="1"/>
  <c r="R54" i="28"/>
  <c r="R62" i="28"/>
  <c r="F74" i="32"/>
  <c r="J72" i="32"/>
  <c r="T73" i="32"/>
  <c r="V73" i="32"/>
  <c r="AX14" i="61"/>
  <c r="EX137" i="61" s="1"/>
  <c r="GI137" i="61" s="1"/>
  <c r="AP14" i="6"/>
  <c r="C23" i="40"/>
  <c r="B14" i="6"/>
  <c r="H72" i="30"/>
  <c r="AA7" i="2"/>
  <c r="AG7" i="2" s="1"/>
  <c r="AJ13" i="14"/>
  <c r="AI13" i="14"/>
  <c r="T52" i="27"/>
  <c r="V52" i="27"/>
  <c r="H19" i="12"/>
  <c r="I19" i="12" s="1"/>
  <c r="D19" i="12"/>
  <c r="F19" i="12" s="1"/>
  <c r="G19" i="12" s="1"/>
  <c r="AI80" i="34"/>
  <c r="BB10" i="61"/>
  <c r="B10" i="2"/>
  <c r="AP10" i="2"/>
  <c r="C27" i="44"/>
  <c r="J69" i="32"/>
  <c r="AG98" i="35"/>
  <c r="X12" i="7"/>
  <c r="V57" i="28"/>
  <c r="T57" i="28"/>
  <c r="AG58" i="28"/>
  <c r="G7" i="2"/>
  <c r="AI77" i="59"/>
  <c r="AI78" i="59" s="1"/>
  <c r="AE77" i="59"/>
  <c r="AF9" i="6"/>
  <c r="AF10" i="6" s="1"/>
  <c r="AF11" i="6" s="1"/>
  <c r="AI4" i="13"/>
  <c r="AJ4" i="13"/>
  <c r="AJ5" i="13"/>
  <c r="AI5" i="13"/>
  <c r="AG83" i="59"/>
  <c r="AG84" i="59" s="1"/>
  <c r="AK83" i="59" s="1"/>
  <c r="R82" i="59"/>
  <c r="AG88" i="59"/>
  <c r="R71" i="59"/>
  <c r="D83" i="59"/>
  <c r="D88" i="59"/>
  <c r="AI50" i="28"/>
  <c r="AV28" i="21"/>
  <c r="Y28" i="21"/>
  <c r="BG7" i="21"/>
  <c r="F64" i="30"/>
  <c r="J62" i="30"/>
  <c r="BC9" i="61"/>
  <c r="B9" i="1"/>
  <c r="AP9" i="1"/>
  <c r="C28" i="45"/>
  <c r="Y8" i="2"/>
  <c r="AO23" i="61"/>
  <c r="D292" i="66" s="1"/>
  <c r="B23" i="15"/>
  <c r="C14" i="31"/>
  <c r="R69" i="31" s="1"/>
  <c r="AP23" i="15"/>
  <c r="C14" i="59"/>
  <c r="H78" i="33"/>
  <c r="H80" i="33" s="1"/>
  <c r="F80" i="33"/>
  <c r="AV24" i="17"/>
  <c r="V68" i="31"/>
  <c r="T68" i="31"/>
  <c r="AF8" i="3"/>
  <c r="AP22" i="61"/>
  <c r="AP22" i="14"/>
  <c r="C15" i="32"/>
  <c r="B22" i="14"/>
  <c r="V62" i="29"/>
  <c r="T62" i="29"/>
  <c r="AG63" i="29"/>
  <c r="AJ9" i="14"/>
  <c r="AI9" i="14"/>
  <c r="AJ6" i="14"/>
  <c r="AI6" i="14"/>
  <c r="AW15" i="61"/>
  <c r="AP15" i="7"/>
  <c r="Y14" i="7" s="1"/>
  <c r="C22" i="39"/>
  <c r="B15" i="7"/>
  <c r="J80" i="34"/>
  <c r="J79" i="34"/>
  <c r="H49" i="28"/>
  <c r="H50" i="28" s="1"/>
  <c r="J50" i="28" s="1"/>
  <c r="F50" i="28"/>
  <c r="J49" i="28" s="1"/>
  <c r="AG78" i="59"/>
  <c r="AK77" i="59" s="1"/>
  <c r="AP28" i="20"/>
  <c r="C9" i="26"/>
  <c r="R49" i="26" s="1"/>
  <c r="X31" i="61"/>
  <c r="B28" i="20"/>
  <c r="AU17" i="61"/>
  <c r="AP17" i="9"/>
  <c r="C20" i="37"/>
  <c r="B17" i="9"/>
  <c r="AK39" i="27"/>
  <c r="AM39" i="27" s="1"/>
  <c r="AS39" i="27" s="1"/>
  <c r="Z39" i="27"/>
  <c r="AB39" i="27" s="1"/>
  <c r="L44" i="27"/>
  <c r="N44" i="27" s="1"/>
  <c r="AQ44" i="27" s="1"/>
  <c r="GH127" i="61" l="1"/>
  <c r="N6" i="64" s="1"/>
  <c r="AG105" i="37"/>
  <c r="AE125" i="41"/>
  <c r="AI124" i="41" s="1"/>
  <c r="A330" i="66"/>
  <c r="T84" i="34"/>
  <c r="AE105" i="37"/>
  <c r="AI104" i="37" s="1"/>
  <c r="AE115" i="39"/>
  <c r="AI114" i="39" s="1"/>
  <c r="GC127" i="61"/>
  <c r="GD127" i="61" s="1"/>
  <c r="ER127" i="61"/>
  <c r="DR128" i="61"/>
  <c r="EZ128" i="61" s="1"/>
  <c r="FD128" i="61"/>
  <c r="GE128" i="61" s="1"/>
  <c r="L7" i="64" s="1"/>
  <c r="EI129" i="61"/>
  <c r="FU129" i="61"/>
  <c r="EO129" i="61"/>
  <c r="GA129" i="61"/>
  <c r="EC129" i="61"/>
  <c r="FO129" i="61"/>
  <c r="EH129" i="61"/>
  <c r="FT129" i="61"/>
  <c r="EB129" i="61"/>
  <c r="FN129" i="61"/>
  <c r="DS129" i="61"/>
  <c r="FE129" i="61"/>
  <c r="EG129" i="61"/>
  <c r="FS129" i="61"/>
  <c r="DU129" i="61"/>
  <c r="FG129" i="61"/>
  <c r="ED129" i="61"/>
  <c r="FP129" i="61"/>
  <c r="EN129" i="61"/>
  <c r="FZ129" i="61"/>
  <c r="DX129" i="61"/>
  <c r="FJ129" i="61"/>
  <c r="EM129" i="61"/>
  <c r="FY129" i="61"/>
  <c r="EE129" i="61"/>
  <c r="FQ129" i="61"/>
  <c r="DY129" i="61"/>
  <c r="FK129" i="61"/>
  <c r="GB129" i="61"/>
  <c r="DZ129" i="61"/>
  <c r="FL129" i="61"/>
  <c r="EJ129" i="61"/>
  <c r="FV129" i="61"/>
  <c r="DT129" i="61"/>
  <c r="FF129" i="61"/>
  <c r="DW129" i="61"/>
  <c r="FI129" i="61"/>
  <c r="EA129" i="61"/>
  <c r="FM129" i="61"/>
  <c r="EK129" i="61"/>
  <c r="FW129" i="61"/>
  <c r="EL129" i="61"/>
  <c r="FX129" i="61"/>
  <c r="DV129" i="61"/>
  <c r="FH129" i="61"/>
  <c r="EF129" i="61"/>
  <c r="FR129" i="61"/>
  <c r="EP130" i="61"/>
  <c r="EU129" i="61"/>
  <c r="EV129" i="61" s="1"/>
  <c r="AI115" i="40"/>
  <c r="AA11" i="5"/>
  <c r="AG11" i="5" s="1"/>
  <c r="AE120" i="40"/>
  <c r="AI119" i="40" s="1"/>
  <c r="AI120" i="40" s="1"/>
  <c r="I340" i="66"/>
  <c r="AE130" i="42"/>
  <c r="AI129" i="42" s="1"/>
  <c r="J340" i="66"/>
  <c r="B340" i="65" s="1"/>
  <c r="L261" i="66"/>
  <c r="B263" i="66"/>
  <c r="A263" i="66"/>
  <c r="L321" i="66"/>
  <c r="D296" i="66"/>
  <c r="B229" i="66"/>
  <c r="A229" i="66"/>
  <c r="D331" i="66"/>
  <c r="A331" i="66" s="1"/>
  <c r="D285" i="66"/>
  <c r="L309" i="66"/>
  <c r="J296" i="66"/>
  <c r="B296" i="65" s="1"/>
  <c r="D296" i="65"/>
  <c r="A296" i="65" s="1"/>
  <c r="I296" i="66"/>
  <c r="J308" i="66"/>
  <c r="B308" i="65" s="1"/>
  <c r="D308" i="65"/>
  <c r="I308" i="66"/>
  <c r="L341" i="66"/>
  <c r="J341" i="66" s="1"/>
  <c r="B341" i="65" s="1"/>
  <c r="D274" i="66"/>
  <c r="L297" i="66"/>
  <c r="B251" i="66"/>
  <c r="D252" i="66"/>
  <c r="B252" i="66" s="1"/>
  <c r="A273" i="66"/>
  <c r="B273" i="66"/>
  <c r="A284" i="66"/>
  <c r="B284" i="66"/>
  <c r="I248" i="66"/>
  <c r="J248" i="66"/>
  <c r="B248" i="65" s="1"/>
  <c r="D248" i="65"/>
  <c r="A248" i="65" s="1"/>
  <c r="I260" i="66"/>
  <c r="J260" i="66"/>
  <c r="B260" i="65" s="1"/>
  <c r="D260" i="65"/>
  <c r="A260" i="65" s="1"/>
  <c r="AI65" i="30"/>
  <c r="Y12" i="5"/>
  <c r="X11" i="5" s="1"/>
  <c r="AK44" i="29"/>
  <c r="AM44" i="29" s="1"/>
  <c r="AS44" i="29" s="1"/>
  <c r="X110" i="40"/>
  <c r="AI125" i="41"/>
  <c r="N59" i="30"/>
  <c r="AQ59" i="30" s="1"/>
  <c r="A239" i="66"/>
  <c r="AI150" i="43"/>
  <c r="D266" i="66"/>
  <c r="L285" i="66"/>
  <c r="L271" i="66"/>
  <c r="AI140" i="43"/>
  <c r="AI135" i="43"/>
  <c r="J368" i="66"/>
  <c r="B368" i="65" s="1"/>
  <c r="I368" i="66"/>
  <c r="D368" i="65"/>
  <c r="A368" i="65" s="1"/>
  <c r="D305" i="66"/>
  <c r="L327" i="66"/>
  <c r="B343" i="66"/>
  <c r="A343" i="66"/>
  <c r="B304" i="66"/>
  <c r="A304" i="66"/>
  <c r="D344" i="66"/>
  <c r="L369" i="66"/>
  <c r="X105" i="39"/>
  <c r="J284" i="66"/>
  <c r="B284" i="65" s="1"/>
  <c r="D284" i="65"/>
  <c r="A284" i="65" s="1"/>
  <c r="I284" i="66"/>
  <c r="B292" i="66"/>
  <c r="A292" i="66"/>
  <c r="I270" i="66"/>
  <c r="J270" i="66"/>
  <c r="B270" i="65" s="1"/>
  <c r="D270" i="65"/>
  <c r="A270" i="65" s="1"/>
  <c r="X115" i="41"/>
  <c r="D393" i="66"/>
  <c r="L413" i="66"/>
  <c r="D374" i="66"/>
  <c r="L393" i="66"/>
  <c r="D355" i="66"/>
  <c r="R109" i="38"/>
  <c r="D118" i="38"/>
  <c r="F118" i="38" s="1"/>
  <c r="H118" i="38" s="1"/>
  <c r="R113" i="38"/>
  <c r="AE114" i="38"/>
  <c r="AG114" i="38" s="1"/>
  <c r="AE118" i="38"/>
  <c r="D114" i="38"/>
  <c r="F114" i="38" s="1"/>
  <c r="H114" i="38" s="1"/>
  <c r="H99" i="37"/>
  <c r="H100" i="37" s="1"/>
  <c r="J100" i="37" s="1"/>
  <c r="F100" i="37"/>
  <c r="H109" i="39"/>
  <c r="H110" i="39" s="1"/>
  <c r="F110" i="39"/>
  <c r="A373" i="66"/>
  <c r="B373" i="66"/>
  <c r="V107" i="37"/>
  <c r="T107" i="37"/>
  <c r="AI115" i="39"/>
  <c r="X100" i="38"/>
  <c r="T89" i="36"/>
  <c r="T90" i="36" s="1"/>
  <c r="X89" i="36" s="1"/>
  <c r="V89" i="36"/>
  <c r="V90" i="36" s="1"/>
  <c r="B221" i="66"/>
  <c r="A221" i="66"/>
  <c r="F134" i="42"/>
  <c r="H134" i="42" s="1"/>
  <c r="J132" i="42"/>
  <c r="T143" i="42"/>
  <c r="V143" i="42"/>
  <c r="AE145" i="42"/>
  <c r="AI144" i="42" s="1"/>
  <c r="AG143" i="42"/>
  <c r="AG145" i="42" s="1"/>
  <c r="F129" i="42"/>
  <c r="H129" i="42" s="1"/>
  <c r="J127" i="42"/>
  <c r="F149" i="42"/>
  <c r="H149" i="42" s="1"/>
  <c r="J147" i="42"/>
  <c r="B259" i="66"/>
  <c r="A259" i="66"/>
  <c r="AI110" i="39"/>
  <c r="X90" i="37"/>
  <c r="J134" i="43"/>
  <c r="N134" i="43" s="1"/>
  <c r="AQ134" i="43" s="1"/>
  <c r="J135" i="43"/>
  <c r="N135" i="43" s="1"/>
  <c r="AQ135" i="43" s="1"/>
  <c r="AG113" i="38"/>
  <c r="V112" i="38"/>
  <c r="T112" i="38"/>
  <c r="B316" i="66"/>
  <c r="A316" i="66"/>
  <c r="D432" i="65"/>
  <c r="A432" i="65" s="1"/>
  <c r="I432" i="66"/>
  <c r="J432" i="66"/>
  <c r="B432" i="65" s="1"/>
  <c r="F105" i="37"/>
  <c r="AI145" i="43"/>
  <c r="F119" i="40"/>
  <c r="J117" i="40"/>
  <c r="H97" i="33"/>
  <c r="D260" i="66"/>
  <c r="L273" i="66"/>
  <c r="AE124" i="40"/>
  <c r="AG124" i="40" s="1"/>
  <c r="R123" i="40"/>
  <c r="D124" i="40"/>
  <c r="AE128" i="40"/>
  <c r="R84" i="33"/>
  <c r="D98" i="33"/>
  <c r="F98" i="33" s="1"/>
  <c r="H98" i="33" s="1"/>
  <c r="D102" i="33"/>
  <c r="F102" i="33" s="1"/>
  <c r="R97" i="33"/>
  <c r="L353" i="66"/>
  <c r="D431" i="66"/>
  <c r="L453" i="66"/>
  <c r="D317" i="66"/>
  <c r="L333" i="66"/>
  <c r="AE149" i="41"/>
  <c r="AG149" i="41" s="1"/>
  <c r="AE138" i="41"/>
  <c r="AE129" i="41"/>
  <c r="AG129" i="41" s="1"/>
  <c r="R148" i="41"/>
  <c r="AE134" i="41"/>
  <c r="AG134" i="41" s="1"/>
  <c r="D149" i="41"/>
  <c r="AE133" i="41"/>
  <c r="AE143" i="41"/>
  <c r="R133" i="41"/>
  <c r="AE139" i="41"/>
  <c r="AG139" i="41" s="1"/>
  <c r="D134" i="41"/>
  <c r="R128" i="41"/>
  <c r="AE148" i="41"/>
  <c r="R138" i="41"/>
  <c r="AE144" i="41"/>
  <c r="AG144" i="41" s="1"/>
  <c r="D139" i="41"/>
  <c r="D129" i="41"/>
  <c r="R143" i="41"/>
  <c r="D144" i="41"/>
  <c r="J139" i="43"/>
  <c r="N139" i="43" s="1"/>
  <c r="AQ139" i="43" s="1"/>
  <c r="J140" i="43"/>
  <c r="N140" i="43" s="1"/>
  <c r="AQ140" i="43" s="1"/>
  <c r="D512" i="65"/>
  <c r="A512" i="65" s="1"/>
  <c r="I512" i="66"/>
  <c r="J512" i="66"/>
  <c r="B512" i="65" s="1"/>
  <c r="D452" i="65"/>
  <c r="A452" i="65" s="1"/>
  <c r="J452" i="66"/>
  <c r="B452" i="65" s="1"/>
  <c r="I452" i="66"/>
  <c r="J130" i="43"/>
  <c r="N130" i="43" s="1"/>
  <c r="AQ130" i="43" s="1"/>
  <c r="J129" i="43"/>
  <c r="N129" i="43" s="1"/>
  <c r="AQ129" i="43" s="1"/>
  <c r="AG130" i="42"/>
  <c r="AI130" i="42" s="1"/>
  <c r="H107" i="36"/>
  <c r="D252" i="65"/>
  <c r="I252" i="66"/>
  <c r="J252" i="66"/>
  <c r="B252" i="65" s="1"/>
  <c r="AG138" i="42"/>
  <c r="AG140" i="42" s="1"/>
  <c r="AE140" i="42"/>
  <c r="AI139" i="42" s="1"/>
  <c r="T133" i="42"/>
  <c r="V133" i="42"/>
  <c r="V138" i="42"/>
  <c r="T138" i="42"/>
  <c r="V108" i="38"/>
  <c r="T108" i="38"/>
  <c r="F113" i="38"/>
  <c r="J112" i="38"/>
  <c r="B411" i="66"/>
  <c r="A411" i="66"/>
  <c r="H117" i="39"/>
  <c r="H105" i="37"/>
  <c r="T87" i="33"/>
  <c r="V87" i="33"/>
  <c r="F124" i="41"/>
  <c r="H124" i="41" s="1"/>
  <c r="J122" i="41"/>
  <c r="AG118" i="39"/>
  <c r="B354" i="66"/>
  <c r="A354" i="66"/>
  <c r="D469" i="66"/>
  <c r="L493" i="66"/>
  <c r="D488" i="66"/>
  <c r="L513" i="66"/>
  <c r="AE108" i="36"/>
  <c r="D104" i="36"/>
  <c r="B487" i="66"/>
  <c r="A487" i="66"/>
  <c r="B430" i="66"/>
  <c r="A430" i="66"/>
  <c r="V99" i="37"/>
  <c r="V100" i="37" s="1"/>
  <c r="T99" i="37"/>
  <c r="T100" i="37" s="1"/>
  <c r="X99" i="37" s="1"/>
  <c r="H113" i="39"/>
  <c r="H115" i="39" s="1"/>
  <c r="J115" i="39" s="1"/>
  <c r="F115" i="39"/>
  <c r="J114" i="39" s="1"/>
  <c r="H119" i="41"/>
  <c r="H120" i="41" s="1"/>
  <c r="J120" i="41" s="1"/>
  <c r="F120" i="41"/>
  <c r="J119" i="41" s="1"/>
  <c r="D292" i="65"/>
  <c r="I292" i="66"/>
  <c r="J292" i="66"/>
  <c r="B292" i="65" s="1"/>
  <c r="H103" i="36"/>
  <c r="B240" i="66"/>
  <c r="A240" i="66"/>
  <c r="D492" i="65"/>
  <c r="A492" i="65" s="1"/>
  <c r="I492" i="66"/>
  <c r="J492" i="66"/>
  <c r="B492" i="65" s="1"/>
  <c r="AE150" i="42"/>
  <c r="AI149" i="42" s="1"/>
  <c r="AG148" i="42"/>
  <c r="AG150" i="42" s="1"/>
  <c r="F144" i="42"/>
  <c r="H144" i="42" s="1"/>
  <c r="J142" i="42"/>
  <c r="AE135" i="42"/>
  <c r="AI134" i="42" s="1"/>
  <c r="AG133" i="42"/>
  <c r="AG135" i="42" s="1"/>
  <c r="V148" i="42"/>
  <c r="T148" i="42"/>
  <c r="H102" i="34"/>
  <c r="J107" i="38"/>
  <c r="F109" i="38"/>
  <c r="T104" i="38"/>
  <c r="T105" i="38" s="1"/>
  <c r="X104" i="38" s="1"/>
  <c r="V104" i="38"/>
  <c r="V105" i="38" s="1"/>
  <c r="D412" i="65"/>
  <c r="A412" i="65" s="1"/>
  <c r="J412" i="66"/>
  <c r="B412" i="65" s="1"/>
  <c r="I412" i="66"/>
  <c r="D472" i="65"/>
  <c r="A472" i="65" s="1"/>
  <c r="I472" i="66"/>
  <c r="J472" i="66"/>
  <c r="B472" i="65" s="1"/>
  <c r="J144" i="43"/>
  <c r="N144" i="43" s="1"/>
  <c r="AQ144" i="43" s="1"/>
  <c r="J145" i="43"/>
  <c r="N145" i="43" s="1"/>
  <c r="AQ145" i="43" s="1"/>
  <c r="J124" i="42"/>
  <c r="N124" i="42" s="1"/>
  <c r="AQ124" i="42" s="1"/>
  <c r="J125" i="42"/>
  <c r="N125" i="42" s="1"/>
  <c r="AQ125" i="42" s="1"/>
  <c r="V118" i="40"/>
  <c r="T118" i="40"/>
  <c r="AG128" i="41"/>
  <c r="T113" i="39"/>
  <c r="V113" i="39"/>
  <c r="R104" i="37"/>
  <c r="D113" i="37"/>
  <c r="R112" i="37"/>
  <c r="D117" i="37"/>
  <c r="AE113" i="37"/>
  <c r="D109" i="37"/>
  <c r="AE109" i="37"/>
  <c r="R108" i="37"/>
  <c r="R87" i="32"/>
  <c r="D97" i="32"/>
  <c r="F97" i="32" s="1"/>
  <c r="R114" i="39"/>
  <c r="R118" i="39"/>
  <c r="AE123" i="39"/>
  <c r="D119" i="39"/>
  <c r="AE119" i="39"/>
  <c r="AG119" i="39" s="1"/>
  <c r="D412" i="66"/>
  <c r="L433" i="66"/>
  <c r="D241" i="66"/>
  <c r="L253" i="66"/>
  <c r="R89" i="35"/>
  <c r="D103" i="35"/>
  <c r="F103" i="35" s="1"/>
  <c r="R102" i="35"/>
  <c r="D107" i="35"/>
  <c r="F107" i="35" s="1"/>
  <c r="D450" i="66"/>
  <c r="L473" i="66"/>
  <c r="R99" i="36"/>
  <c r="R107" i="36"/>
  <c r="D108" i="36"/>
  <c r="F108" i="36" s="1"/>
  <c r="H108" i="36" s="1"/>
  <c r="D112" i="36"/>
  <c r="F112" i="36" s="1"/>
  <c r="D279" i="66"/>
  <c r="L293" i="66"/>
  <c r="AE104" i="36"/>
  <c r="AG104" i="36" s="1"/>
  <c r="J109" i="39"/>
  <c r="J110" i="39"/>
  <c r="J149" i="43"/>
  <c r="N149" i="43" s="1"/>
  <c r="AQ149" i="43" s="1"/>
  <c r="J150" i="43"/>
  <c r="N150" i="43" s="1"/>
  <c r="AQ150" i="43" s="1"/>
  <c r="D392" i="65"/>
  <c r="A392" i="65" s="1"/>
  <c r="J392" i="66"/>
  <c r="B392" i="65" s="1"/>
  <c r="I392" i="66"/>
  <c r="H112" i="37"/>
  <c r="D352" i="65"/>
  <c r="A352" i="65" s="1"/>
  <c r="J352" i="66"/>
  <c r="B352" i="65" s="1"/>
  <c r="I352" i="66"/>
  <c r="B278" i="66"/>
  <c r="A278" i="66"/>
  <c r="T102" i="36"/>
  <c r="V102" i="36"/>
  <c r="D232" i="65"/>
  <c r="A232" i="65" s="1"/>
  <c r="I232" i="66"/>
  <c r="J232" i="66"/>
  <c r="B232" i="65" s="1"/>
  <c r="B468" i="66"/>
  <c r="A468" i="66"/>
  <c r="T128" i="42"/>
  <c r="V128" i="42"/>
  <c r="F139" i="42"/>
  <c r="H139" i="42" s="1"/>
  <c r="J137" i="42"/>
  <c r="D272" i="65"/>
  <c r="A272" i="65" s="1"/>
  <c r="I272" i="66"/>
  <c r="J272" i="66"/>
  <c r="B272" i="65" s="1"/>
  <c r="V97" i="34"/>
  <c r="T97" i="34"/>
  <c r="AG109" i="38"/>
  <c r="AG110" i="38" s="1"/>
  <c r="AE110" i="38"/>
  <c r="AI109" i="38" s="1"/>
  <c r="F117" i="38"/>
  <c r="D332" i="65"/>
  <c r="J332" i="66"/>
  <c r="B332" i="65" s="1"/>
  <c r="I332" i="66"/>
  <c r="B392" i="66"/>
  <c r="A392" i="66"/>
  <c r="B449" i="66"/>
  <c r="A449" i="66"/>
  <c r="AG123" i="40"/>
  <c r="AG125" i="40" s="1"/>
  <c r="AE125" i="40"/>
  <c r="AI124" i="40" s="1"/>
  <c r="T114" i="40"/>
  <c r="T115" i="40" s="1"/>
  <c r="X114" i="40" s="1"/>
  <c r="V114" i="40"/>
  <c r="V115" i="40" s="1"/>
  <c r="V123" i="41"/>
  <c r="T123" i="41"/>
  <c r="T109" i="39"/>
  <c r="T110" i="39" s="1"/>
  <c r="X109" i="39" s="1"/>
  <c r="V109" i="39"/>
  <c r="V110" i="39" s="1"/>
  <c r="AE30" i="59"/>
  <c r="AR66" i="59"/>
  <c r="AR42" i="59"/>
  <c r="AV42" i="59" s="1"/>
  <c r="E6" i="59" s="1"/>
  <c r="AI70" i="31"/>
  <c r="J50" i="27"/>
  <c r="T50" i="27"/>
  <c r="X49" i="27" s="1"/>
  <c r="Z44" i="29"/>
  <c r="AB44" i="29" s="1"/>
  <c r="AR44" i="29" s="1"/>
  <c r="AT44" i="29" s="1"/>
  <c r="D7" i="29" s="1"/>
  <c r="AK49" i="29" s="1"/>
  <c r="AM49" i="29" s="1"/>
  <c r="AS49" i="29" s="1"/>
  <c r="X13" i="8"/>
  <c r="L54" i="29"/>
  <c r="N54" i="29" s="1"/>
  <c r="AQ54" i="29" s="1"/>
  <c r="AP17" i="59"/>
  <c r="AT16" i="59" s="1"/>
  <c r="AE6" i="59"/>
  <c r="A304" i="65"/>
  <c r="R18" i="59"/>
  <c r="AP5" i="59"/>
  <c r="AT3" i="59"/>
  <c r="A278" i="65"/>
  <c r="AR17" i="59"/>
  <c r="AC16" i="59"/>
  <c r="AC17" i="59" s="1"/>
  <c r="AE17" i="59" s="1"/>
  <c r="AA17" i="59"/>
  <c r="AE16" i="59" s="1"/>
  <c r="A265" i="65"/>
  <c r="A252" i="65"/>
  <c r="A239" i="65"/>
  <c r="A291" i="65"/>
  <c r="A317" i="65"/>
  <c r="R77" i="59"/>
  <c r="T77" i="59" s="1"/>
  <c r="T78" i="59" s="1"/>
  <c r="X77" i="59" s="1"/>
  <c r="Y23" i="59"/>
  <c r="AR9" i="59"/>
  <c r="AR11" i="59" s="1"/>
  <c r="AP9" i="59"/>
  <c r="AP11" i="59" s="1"/>
  <c r="AT10" i="59" s="1"/>
  <c r="AI60" i="29"/>
  <c r="AM60" i="29" s="1"/>
  <c r="AS60" i="29" s="1"/>
  <c r="Z49" i="29"/>
  <c r="AB49" i="29" s="1"/>
  <c r="AR50" i="29" s="1"/>
  <c r="AE65" i="29"/>
  <c r="AI64" i="29" s="1"/>
  <c r="AG95" i="35"/>
  <c r="AI75" i="32"/>
  <c r="V39" i="26"/>
  <c r="V40" i="26" s="1"/>
  <c r="X25" i="25"/>
  <c r="AA24" i="25"/>
  <c r="AG24" i="25" s="1"/>
  <c r="Y23" i="25"/>
  <c r="X50" i="28"/>
  <c r="AG65" i="29"/>
  <c r="AI65" i="29" s="1"/>
  <c r="AB40" i="27"/>
  <c r="AR40" i="27" s="1"/>
  <c r="AT40" i="27" s="1"/>
  <c r="E6" i="27" s="1"/>
  <c r="AI80" i="33"/>
  <c r="AI90" i="35"/>
  <c r="AR55" i="31"/>
  <c r="AT55" i="31" s="1"/>
  <c r="E9" i="31" s="1"/>
  <c r="L65" i="31" s="1"/>
  <c r="N65" i="31" s="1"/>
  <c r="AQ65" i="31" s="1"/>
  <c r="N55" i="29"/>
  <c r="AQ55" i="29" s="1"/>
  <c r="AK74" i="37"/>
  <c r="AM74" i="37" s="1"/>
  <c r="AS74" i="37" s="1"/>
  <c r="Z74" i="37"/>
  <c r="AB74" i="37" s="1"/>
  <c r="L79" i="37"/>
  <c r="N79" i="37" s="1"/>
  <c r="AQ79" i="37" s="1"/>
  <c r="L80" i="37"/>
  <c r="N80" i="37" s="1"/>
  <c r="AQ80" i="37" s="1"/>
  <c r="Z75" i="37"/>
  <c r="AB75" i="37" s="1"/>
  <c r="AR75" i="38"/>
  <c r="AT75" i="38" s="1"/>
  <c r="AR79" i="41"/>
  <c r="AR80" i="41"/>
  <c r="J77" i="32"/>
  <c r="AG55" i="27"/>
  <c r="AR50" i="30"/>
  <c r="AI45" i="26"/>
  <c r="Y15" i="8"/>
  <c r="AA15" i="8" s="1"/>
  <c r="V50" i="27"/>
  <c r="X85" i="34"/>
  <c r="X80" i="34"/>
  <c r="X70" i="32"/>
  <c r="V49" i="26"/>
  <c r="T49" i="26"/>
  <c r="R77" i="30"/>
  <c r="D82" i="30"/>
  <c r="F82" i="30" s="1"/>
  <c r="H54" i="28"/>
  <c r="H55" i="28" s="1"/>
  <c r="F55" i="28"/>
  <c r="J54" i="28" s="1"/>
  <c r="Z50" i="28"/>
  <c r="L55" i="28"/>
  <c r="D94" i="34"/>
  <c r="AE94" i="34"/>
  <c r="AG94" i="34" s="1"/>
  <c r="H69" i="31"/>
  <c r="H70" i="31" s="1"/>
  <c r="J70" i="31" s="1"/>
  <c r="F70" i="31"/>
  <c r="H77" i="59"/>
  <c r="H78" i="59" s="1"/>
  <c r="F78" i="59"/>
  <c r="J77" i="59" s="1"/>
  <c r="AR54" i="31"/>
  <c r="AT54" i="31" s="1"/>
  <c r="D9" i="31" s="1"/>
  <c r="AK59" i="31" s="1"/>
  <c r="AM59" i="31" s="1"/>
  <c r="AS59" i="31" s="1"/>
  <c r="AK65" i="33"/>
  <c r="AM65" i="33" s="1"/>
  <c r="AS65" i="33" s="1"/>
  <c r="L70" i="33"/>
  <c r="N70" i="33" s="1"/>
  <c r="AQ70" i="33" s="1"/>
  <c r="Z69" i="36"/>
  <c r="AB69" i="36" s="1"/>
  <c r="H93" i="59"/>
  <c r="AG108" i="36"/>
  <c r="J102" i="36"/>
  <c r="F104" i="36"/>
  <c r="H104" i="36" s="1"/>
  <c r="T103" i="36"/>
  <c r="V103" i="36"/>
  <c r="AI100" i="37"/>
  <c r="T67" i="29"/>
  <c r="V67" i="29"/>
  <c r="R79" i="32"/>
  <c r="D88" i="32"/>
  <c r="F88" i="32" s="1"/>
  <c r="H88" i="32" s="1"/>
  <c r="D83" i="31"/>
  <c r="F83" i="31" s="1"/>
  <c r="H83" i="31" s="1"/>
  <c r="D87" i="31"/>
  <c r="F87" i="31" s="1"/>
  <c r="R82" i="31"/>
  <c r="H84" i="34"/>
  <c r="H85" i="34" s="1"/>
  <c r="F85" i="34"/>
  <c r="J84" i="34" s="1"/>
  <c r="D99" i="35"/>
  <c r="AE99" i="35"/>
  <c r="AE103" i="35"/>
  <c r="R98" i="35"/>
  <c r="H67" i="27"/>
  <c r="D77" i="29"/>
  <c r="F77" i="29" s="1"/>
  <c r="H53" i="26"/>
  <c r="J99" i="37"/>
  <c r="V87" i="59"/>
  <c r="T87" i="59"/>
  <c r="F99" i="36"/>
  <c r="J97" i="36"/>
  <c r="T98" i="36"/>
  <c r="V98" i="36"/>
  <c r="H82" i="31"/>
  <c r="AR49" i="29"/>
  <c r="AI105" i="37"/>
  <c r="V82" i="32"/>
  <c r="T82" i="32"/>
  <c r="H68" i="29"/>
  <c r="T84" i="33"/>
  <c r="V84" i="33"/>
  <c r="D68" i="28"/>
  <c r="F68" i="28" s="1"/>
  <c r="R67" i="28"/>
  <c r="R72" i="29"/>
  <c r="V72" i="29" s="1"/>
  <c r="Z69" i="35"/>
  <c r="AB69" i="35" s="1"/>
  <c r="L74" i="35"/>
  <c r="N74" i="35" s="1"/>
  <c r="AQ74" i="35" s="1"/>
  <c r="V79" i="33"/>
  <c r="V80" i="33" s="1"/>
  <c r="T79" i="33"/>
  <c r="T80" i="33" s="1"/>
  <c r="X79" i="33" s="1"/>
  <c r="AG99" i="36"/>
  <c r="AG100" i="36" s="1"/>
  <c r="AE100" i="36"/>
  <c r="AI99" i="36" s="1"/>
  <c r="AG103" i="36"/>
  <c r="T77" i="31"/>
  <c r="V77" i="31"/>
  <c r="R93" i="59"/>
  <c r="D94" i="59"/>
  <c r="F94" i="59" s="1"/>
  <c r="H94" i="59" s="1"/>
  <c r="D99" i="59"/>
  <c r="F99" i="59" s="1"/>
  <c r="H89" i="35"/>
  <c r="H90" i="35" s="1"/>
  <c r="J90" i="35" s="1"/>
  <c r="F90" i="35"/>
  <c r="R93" i="34"/>
  <c r="T93" i="34" s="1"/>
  <c r="Z70" i="35"/>
  <c r="AB70" i="35" s="1"/>
  <c r="L75" i="35"/>
  <c r="N75" i="35" s="1"/>
  <c r="AQ75" i="35" s="1"/>
  <c r="T69" i="31"/>
  <c r="T70" i="31" s="1"/>
  <c r="X69" i="31" s="1"/>
  <c r="V69" i="31"/>
  <c r="V70" i="31" s="1"/>
  <c r="J105" i="37"/>
  <c r="J104" i="37"/>
  <c r="H87" i="32"/>
  <c r="AI50" i="27"/>
  <c r="AE55" i="27"/>
  <c r="AI54" i="27" s="1"/>
  <c r="AI55" i="28"/>
  <c r="AR65" i="36"/>
  <c r="AT65" i="36" s="1"/>
  <c r="E11" i="36" s="1"/>
  <c r="AK69" i="36"/>
  <c r="AM69" i="36" s="1"/>
  <c r="AS69" i="36" s="1"/>
  <c r="Z54" i="29"/>
  <c r="AB54" i="29" s="1"/>
  <c r="L59" i="29"/>
  <c r="AK54" i="29"/>
  <c r="AM54" i="29" s="1"/>
  <c r="AS54" i="29" s="1"/>
  <c r="Z65" i="33"/>
  <c r="AB65" i="33" s="1"/>
  <c r="AK55" i="29"/>
  <c r="AM55" i="29" s="1"/>
  <c r="AS55" i="29" s="1"/>
  <c r="Z55" i="29"/>
  <c r="L60" i="29"/>
  <c r="Z45" i="28"/>
  <c r="AB45" i="28" s="1"/>
  <c r="L50" i="28"/>
  <c r="N50" i="28" s="1"/>
  <c r="AQ50" i="28" s="1"/>
  <c r="AT50" i="28" s="1"/>
  <c r="E8" i="28" s="1"/>
  <c r="Z55" i="28" s="1"/>
  <c r="AK45" i="28"/>
  <c r="AM45" i="28" s="1"/>
  <c r="AS45" i="28" s="1"/>
  <c r="AK70" i="35"/>
  <c r="AM70" i="35" s="1"/>
  <c r="AS70" i="35" s="1"/>
  <c r="Z65" i="34"/>
  <c r="AB65" i="34" s="1"/>
  <c r="AK65" i="34"/>
  <c r="AM65" i="34" s="1"/>
  <c r="AS65" i="34" s="1"/>
  <c r="AR44" i="30"/>
  <c r="AT44" i="30" s="1"/>
  <c r="D7" i="30" s="1"/>
  <c r="AK49" i="30" s="1"/>
  <c r="AM49" i="30" s="1"/>
  <c r="AS49" i="30" s="1"/>
  <c r="AR45" i="30"/>
  <c r="AT45" i="30" s="1"/>
  <c r="E7" i="30" s="1"/>
  <c r="AK50" i="30" s="1"/>
  <c r="AM50" i="30" s="1"/>
  <c r="AS50" i="30" s="1"/>
  <c r="AT50" i="30" s="1"/>
  <c r="E8" i="30" s="1"/>
  <c r="Z60" i="32"/>
  <c r="AB60" i="32" s="1"/>
  <c r="L65" i="32"/>
  <c r="N65" i="32" s="1"/>
  <c r="AQ65" i="32" s="1"/>
  <c r="AK64" i="34"/>
  <c r="AM64" i="34" s="1"/>
  <c r="AS64" i="34" s="1"/>
  <c r="Z64" i="34"/>
  <c r="AB64" i="34" s="1"/>
  <c r="AK59" i="32"/>
  <c r="AM59" i="32" s="1"/>
  <c r="AS59" i="32" s="1"/>
  <c r="Z59" i="32"/>
  <c r="AB59" i="32" s="1"/>
  <c r="L64" i="32"/>
  <c r="N64" i="32" s="1"/>
  <c r="AQ64" i="32" s="1"/>
  <c r="AK69" i="35"/>
  <c r="AM69" i="35" s="1"/>
  <c r="AS69" i="35" s="1"/>
  <c r="AE60" i="28"/>
  <c r="AI59" i="28" s="1"/>
  <c r="AI95" i="35"/>
  <c r="X45" i="27"/>
  <c r="AI12" i="12"/>
  <c r="AK78" i="59"/>
  <c r="X40" i="26"/>
  <c r="X75" i="33"/>
  <c r="AE85" i="33"/>
  <c r="AI84" i="33" s="1"/>
  <c r="X55" i="29"/>
  <c r="AB15" i="11"/>
  <c r="AJ15" i="11" s="1"/>
  <c r="AB11" i="11"/>
  <c r="AJ11" i="11" s="1"/>
  <c r="AA14" i="7"/>
  <c r="AG14" i="7" s="1"/>
  <c r="X13" i="7"/>
  <c r="AU18" i="61"/>
  <c r="AP18" i="9"/>
  <c r="B18" i="9"/>
  <c r="C20" i="36"/>
  <c r="AV22" i="14"/>
  <c r="AG89" i="59"/>
  <c r="AG90" i="59" s="1"/>
  <c r="AK89" i="59" s="1"/>
  <c r="R88" i="59"/>
  <c r="AG94" i="59"/>
  <c r="R83" i="59"/>
  <c r="D89" i="59"/>
  <c r="F89" i="59" s="1"/>
  <c r="H89" i="59" s="1"/>
  <c r="AV17" i="9"/>
  <c r="H15" i="7"/>
  <c r="I15" i="7" s="1"/>
  <c r="D15" i="7"/>
  <c r="F15" i="7" s="1"/>
  <c r="G15" i="7" s="1"/>
  <c r="AP23" i="61"/>
  <c r="C15" i="59"/>
  <c r="AP23" i="14"/>
  <c r="B23" i="14"/>
  <c r="C15" i="31"/>
  <c r="AV23" i="15"/>
  <c r="AV9" i="1"/>
  <c r="H64" i="30"/>
  <c r="H65" i="30" s="1"/>
  <c r="J65" i="30" s="1"/>
  <c r="F65" i="30"/>
  <c r="F88" i="59"/>
  <c r="V82" i="59"/>
  <c r="T82" i="59"/>
  <c r="AG60" i="28"/>
  <c r="BB11" i="61"/>
  <c r="C27" i="43"/>
  <c r="B11" i="2"/>
  <c r="AP11" i="2"/>
  <c r="AV14" i="6"/>
  <c r="V54" i="28"/>
  <c r="V55" i="28" s="1"/>
  <c r="T54" i="28"/>
  <c r="T55" i="28" s="1"/>
  <c r="X54" i="28" s="1"/>
  <c r="AG63" i="28"/>
  <c r="AQ22" i="61"/>
  <c r="AP22" i="13"/>
  <c r="B22" i="13"/>
  <c r="C16" i="32"/>
  <c r="H19" i="11"/>
  <c r="I19" i="11" s="1"/>
  <c r="D19" i="11"/>
  <c r="F19" i="11" s="1"/>
  <c r="G19" i="11" s="1"/>
  <c r="H25" i="17"/>
  <c r="I25" i="17" s="1"/>
  <c r="D25" i="17"/>
  <c r="F25" i="17" s="1"/>
  <c r="G25" i="17" s="1"/>
  <c r="H24" i="16"/>
  <c r="I24" i="16" s="1"/>
  <c r="D24" i="16"/>
  <c r="F24" i="16" s="1"/>
  <c r="G24" i="16" s="1"/>
  <c r="V73" i="31"/>
  <c r="T73" i="31"/>
  <c r="AT19" i="61"/>
  <c r="B19" i="10"/>
  <c r="C19" i="35"/>
  <c r="AE108" i="35" s="1"/>
  <c r="AP19" i="10"/>
  <c r="H62" i="28"/>
  <c r="J94" i="35"/>
  <c r="N94" i="35" s="1"/>
  <c r="AQ94" i="35" s="1"/>
  <c r="J95" i="35"/>
  <c r="N95" i="35" s="1"/>
  <c r="AQ95" i="35" s="1"/>
  <c r="AA26" i="23"/>
  <c r="AG26" i="23" s="1"/>
  <c r="Y25" i="23"/>
  <c r="AR21" i="61"/>
  <c r="AP21" i="12"/>
  <c r="B21" i="12"/>
  <c r="C17" i="33"/>
  <c r="AE94" i="33" s="1"/>
  <c r="AG94" i="33" s="1"/>
  <c r="X65" i="32"/>
  <c r="AI13" i="12"/>
  <c r="AJ13" i="12"/>
  <c r="AL27" i="61"/>
  <c r="C11" i="27"/>
  <c r="T13" i="27" s="1"/>
  <c r="V13" i="27" s="1"/>
  <c r="B27" i="18"/>
  <c r="AP27" i="18"/>
  <c r="F69" i="30"/>
  <c r="J67" i="30"/>
  <c r="F49" i="26"/>
  <c r="J47" i="26"/>
  <c r="AG53" i="26"/>
  <c r="AA9" i="3"/>
  <c r="X8" i="3"/>
  <c r="AV16" i="8"/>
  <c r="AZ13" i="61"/>
  <c r="B13" i="4"/>
  <c r="C25" i="41"/>
  <c r="AP13" i="4"/>
  <c r="T88" i="34"/>
  <c r="V88" i="34"/>
  <c r="AG15" i="10"/>
  <c r="X1" i="10"/>
  <c r="F62" i="27"/>
  <c r="AG50" i="26"/>
  <c r="F84" i="33"/>
  <c r="J82" i="33"/>
  <c r="T78" i="32"/>
  <c r="V78" i="32"/>
  <c r="H77" i="30"/>
  <c r="AB9" i="11"/>
  <c r="J78" i="59"/>
  <c r="AG85" i="33"/>
  <c r="AV27" i="19"/>
  <c r="AJ16" i="12"/>
  <c r="AI16" i="12"/>
  <c r="F64" i="29"/>
  <c r="J62" i="29"/>
  <c r="V63" i="29"/>
  <c r="T63" i="29"/>
  <c r="AF14" i="9"/>
  <c r="Z39" i="26"/>
  <c r="AB39" i="26" s="1"/>
  <c r="AK39" i="26"/>
  <c r="AM39" i="26" s="1"/>
  <c r="AS39" i="26" s="1"/>
  <c r="L44" i="26"/>
  <c r="H22" i="14"/>
  <c r="I22" i="14" s="1"/>
  <c r="D22" i="14"/>
  <c r="F22" i="14" s="1"/>
  <c r="G22" i="14" s="1"/>
  <c r="AE79" i="31"/>
  <c r="AG79" i="31" s="1"/>
  <c r="AE83" i="31"/>
  <c r="R78" i="31"/>
  <c r="D79" i="31"/>
  <c r="F79" i="31" s="1"/>
  <c r="H79" i="31" s="1"/>
  <c r="R74" i="31"/>
  <c r="AA8" i="2"/>
  <c r="AG8" i="2" s="1"/>
  <c r="H9" i="1"/>
  <c r="I9" i="1" s="1"/>
  <c r="D9" i="1"/>
  <c r="F9" i="1" s="1"/>
  <c r="G9" i="1" s="1"/>
  <c r="F83" i="59"/>
  <c r="J81" i="59"/>
  <c r="AE83" i="59"/>
  <c r="AI83" i="59"/>
  <c r="AI84" i="59" s="1"/>
  <c r="AK84" i="59" s="1"/>
  <c r="AF7" i="2"/>
  <c r="AX15" i="61"/>
  <c r="EX138" i="61" s="1"/>
  <c r="GI138" i="61" s="1"/>
  <c r="B15" i="6"/>
  <c r="C23" i="39"/>
  <c r="AP15" i="6"/>
  <c r="H74" i="32"/>
  <c r="H75" i="32" s="1"/>
  <c r="J75" i="32" s="1"/>
  <c r="F75" i="32"/>
  <c r="J74" i="32" s="1"/>
  <c r="AE89" i="33"/>
  <c r="AG89" i="33" s="1"/>
  <c r="AE93" i="33"/>
  <c r="D89" i="33"/>
  <c r="R88" i="33"/>
  <c r="AS20" i="61"/>
  <c r="B20" i="11"/>
  <c r="C18" i="34"/>
  <c r="AP20" i="11"/>
  <c r="H44" i="26"/>
  <c r="H45" i="26" s="1"/>
  <c r="J45" i="26" s="1"/>
  <c r="F45" i="26"/>
  <c r="J44" i="26" s="1"/>
  <c r="H72" i="29"/>
  <c r="AM26" i="61"/>
  <c r="B26" i="17"/>
  <c r="AP26" i="17"/>
  <c r="C12" i="28"/>
  <c r="D73" i="28" s="1"/>
  <c r="F73" i="28" s="1"/>
  <c r="H73" i="28" s="1"/>
  <c r="F28" i="21"/>
  <c r="D29" i="21"/>
  <c r="I35" i="21" s="1"/>
  <c r="AE74" i="30"/>
  <c r="AG74" i="30" s="1"/>
  <c r="R64" i="30"/>
  <c r="AE78" i="30"/>
  <c r="R73" i="30"/>
  <c r="D74" i="30"/>
  <c r="D78" i="30"/>
  <c r="V64" i="31"/>
  <c r="V65" i="31" s="1"/>
  <c r="T64" i="31"/>
  <c r="T65" i="31" s="1"/>
  <c r="X64" i="31" s="1"/>
  <c r="AV18" i="10"/>
  <c r="AI15" i="12"/>
  <c r="AJ15" i="12"/>
  <c r="X15" i="8"/>
  <c r="AV26" i="18"/>
  <c r="H11" i="3"/>
  <c r="I11" i="3" s="1"/>
  <c r="D11" i="3"/>
  <c r="F11" i="3" s="1"/>
  <c r="G11" i="3" s="1"/>
  <c r="AG73" i="30"/>
  <c r="J57" i="28"/>
  <c r="AE70" i="30"/>
  <c r="AI69" i="30" s="1"/>
  <c r="V44" i="26"/>
  <c r="V45" i="26" s="1"/>
  <c r="T44" i="26"/>
  <c r="T45" i="26" s="1"/>
  <c r="X44" i="26" s="1"/>
  <c r="J89" i="35"/>
  <c r="H16" i="8"/>
  <c r="I16" i="8" s="1"/>
  <c r="D16" i="8"/>
  <c r="F16" i="8" s="1"/>
  <c r="G16" i="8" s="1"/>
  <c r="AG98" i="34"/>
  <c r="AF6" i="1"/>
  <c r="AG58" i="27"/>
  <c r="AE50" i="26"/>
  <c r="AI49" i="26" s="1"/>
  <c r="AG88" i="33"/>
  <c r="F60" i="28"/>
  <c r="AG83" i="32"/>
  <c r="AJ13" i="11"/>
  <c r="AI13" i="11"/>
  <c r="G28" i="22"/>
  <c r="G29" i="22" s="1"/>
  <c r="I38" i="22" s="1"/>
  <c r="F29" i="22"/>
  <c r="I36" i="22" s="1"/>
  <c r="AV27" i="53"/>
  <c r="H27" i="19"/>
  <c r="I27" i="19" s="1"/>
  <c r="D27" i="19"/>
  <c r="F27" i="19" s="1"/>
  <c r="G27" i="19" s="1"/>
  <c r="AJ4" i="12"/>
  <c r="AI4" i="12"/>
  <c r="AJ5" i="12"/>
  <c r="AI5" i="12"/>
  <c r="AV13" i="5"/>
  <c r="AG90" i="34"/>
  <c r="T59" i="29"/>
  <c r="T60" i="29" s="1"/>
  <c r="X59" i="29" s="1"/>
  <c r="V59" i="29"/>
  <c r="V60" i="29" s="1"/>
  <c r="AF13" i="7"/>
  <c r="Z40" i="26"/>
  <c r="AK40" i="26"/>
  <c r="AM40" i="26" s="1"/>
  <c r="AS40" i="26" s="1"/>
  <c r="L45" i="26"/>
  <c r="AE54" i="26"/>
  <c r="AG54" i="26" s="1"/>
  <c r="R53" i="26"/>
  <c r="AE58" i="26"/>
  <c r="D54" i="26"/>
  <c r="R57" i="26"/>
  <c r="D58" i="26"/>
  <c r="F58" i="26" s="1"/>
  <c r="H58" i="26" s="1"/>
  <c r="D62" i="26"/>
  <c r="H17" i="9"/>
  <c r="I17" i="9" s="1"/>
  <c r="D17" i="9"/>
  <c r="F17" i="9" s="1"/>
  <c r="G17" i="9" s="1"/>
  <c r="AV28" i="20"/>
  <c r="Y28" i="20"/>
  <c r="Y27" i="20" s="1"/>
  <c r="BG7" i="20"/>
  <c r="AV15" i="7"/>
  <c r="R83" i="32"/>
  <c r="AE84" i="32"/>
  <c r="AG84" i="32" s="1"/>
  <c r="AE88" i="32"/>
  <c r="D84" i="32"/>
  <c r="H23" i="15"/>
  <c r="I23" i="15" s="1"/>
  <c r="D23" i="15"/>
  <c r="F23" i="15" s="1"/>
  <c r="G23" i="15" s="1"/>
  <c r="BC10" i="61"/>
  <c r="C28" i="44"/>
  <c r="AP10" i="1"/>
  <c r="B10" i="1"/>
  <c r="T71" i="59"/>
  <c r="T72" i="59" s="1"/>
  <c r="X71" i="59" s="1"/>
  <c r="V71" i="59"/>
  <c r="V72" i="59" s="1"/>
  <c r="AV10" i="2"/>
  <c r="X7" i="2"/>
  <c r="H14" i="6"/>
  <c r="I14" i="6" s="1"/>
  <c r="D14" i="6"/>
  <c r="F14" i="6" s="1"/>
  <c r="G14" i="6" s="1"/>
  <c r="F72" i="28"/>
  <c r="AA12" i="5"/>
  <c r="AG12" i="5" s="1"/>
  <c r="J85" i="34"/>
  <c r="AV21" i="13"/>
  <c r="AV19" i="11"/>
  <c r="AA12" i="6"/>
  <c r="X11" i="6"/>
  <c r="AV25" i="17"/>
  <c r="AN25" i="61"/>
  <c r="B25" i="16"/>
  <c r="AP25" i="16"/>
  <c r="C13" i="29"/>
  <c r="F74" i="31"/>
  <c r="J72" i="31"/>
  <c r="J55" i="28"/>
  <c r="AA10" i="4"/>
  <c r="X9" i="4"/>
  <c r="AV20" i="12"/>
  <c r="H78" i="32"/>
  <c r="H80" i="32" s="1"/>
  <c r="F80" i="32"/>
  <c r="AF13" i="8"/>
  <c r="AF14" i="8" s="1"/>
  <c r="H26" i="18"/>
  <c r="I26" i="18" s="1"/>
  <c r="D26" i="18"/>
  <c r="F26" i="18" s="1"/>
  <c r="G26" i="18" s="1"/>
  <c r="BA12" i="61"/>
  <c r="AP12" i="3"/>
  <c r="B12" i="3"/>
  <c r="C26" i="42"/>
  <c r="G9" i="3"/>
  <c r="AE75" i="31"/>
  <c r="AI74" i="31" s="1"/>
  <c r="V68" i="30"/>
  <c r="T68" i="30"/>
  <c r="Y8" i="1"/>
  <c r="X7" i="1" s="1"/>
  <c r="AG70" i="30"/>
  <c r="F57" i="26"/>
  <c r="T48" i="26"/>
  <c r="V48" i="26"/>
  <c r="V50" i="26" s="1"/>
  <c r="AG10" i="5"/>
  <c r="F12" i="5"/>
  <c r="AV17" i="61"/>
  <c r="C21" i="37"/>
  <c r="AP17" i="8"/>
  <c r="B17" i="8"/>
  <c r="AV12" i="4"/>
  <c r="F94" i="34"/>
  <c r="H94" i="34" s="1"/>
  <c r="J92" i="34"/>
  <c r="F89" i="34"/>
  <c r="J87" i="34"/>
  <c r="AA25" i="24"/>
  <c r="AG25" i="24" s="1"/>
  <c r="Y24" i="24"/>
  <c r="X25" i="24" s="1"/>
  <c r="F54" i="27"/>
  <c r="J52" i="27"/>
  <c r="H60" i="28"/>
  <c r="X60" i="30"/>
  <c r="AB14" i="11"/>
  <c r="AB16" i="11"/>
  <c r="H57" i="27"/>
  <c r="AG80" i="32"/>
  <c r="D27" i="53"/>
  <c r="F27" i="53" s="1"/>
  <c r="G27" i="53" s="1"/>
  <c r="H27" i="53"/>
  <c r="I27" i="53" s="1"/>
  <c r="Y31" i="61"/>
  <c r="B28" i="19"/>
  <c r="C10" i="26"/>
  <c r="D67" i="26" s="1"/>
  <c r="F67" i="26" s="1"/>
  <c r="B28" i="53"/>
  <c r="AP28" i="19"/>
  <c r="AP28" i="53"/>
  <c r="AJ11" i="12"/>
  <c r="AI11" i="12"/>
  <c r="AJ7" i="12"/>
  <c r="AI7" i="12"/>
  <c r="H13" i="5"/>
  <c r="I13" i="5" s="1"/>
  <c r="D13" i="5"/>
  <c r="F13" i="5" s="1"/>
  <c r="G13" i="5" s="1"/>
  <c r="AE90" i="34"/>
  <c r="AI89" i="34" s="1"/>
  <c r="AG68" i="29"/>
  <c r="AR39" i="28"/>
  <c r="AT39" i="28" s="1"/>
  <c r="D6" i="28" s="1"/>
  <c r="H28" i="20"/>
  <c r="I28" i="20" s="1"/>
  <c r="I29" i="20" s="1"/>
  <c r="I39" i="20" s="1"/>
  <c r="D28" i="20"/>
  <c r="S7" i="20"/>
  <c r="AW16" i="61"/>
  <c r="AP16" i="7"/>
  <c r="C22" i="38"/>
  <c r="B16" i="7"/>
  <c r="AO24" i="61"/>
  <c r="D264" i="66" s="1"/>
  <c r="B24" i="15"/>
  <c r="AP24" i="15"/>
  <c r="C14" i="30"/>
  <c r="R69" i="30" s="1"/>
  <c r="J64" i="30"/>
  <c r="AA28" i="21"/>
  <c r="AG28" i="21" s="1"/>
  <c r="Y27" i="21"/>
  <c r="X28" i="21" s="1"/>
  <c r="AE88" i="59"/>
  <c r="AI88" i="59"/>
  <c r="H10" i="2"/>
  <c r="I10" i="2" s="1"/>
  <c r="D10" i="2"/>
  <c r="V62" i="28"/>
  <c r="T62" i="28"/>
  <c r="T58" i="28"/>
  <c r="V58" i="28"/>
  <c r="H21" i="13"/>
  <c r="I21" i="13" s="1"/>
  <c r="D21" i="13"/>
  <c r="F21" i="13" s="1"/>
  <c r="G21" i="13" s="1"/>
  <c r="H59" i="29"/>
  <c r="H60" i="29" s="1"/>
  <c r="J60" i="29" s="1"/>
  <c r="N60" i="29" s="1"/>
  <c r="AQ60" i="29" s="1"/>
  <c r="F60" i="29"/>
  <c r="J59" i="29" s="1"/>
  <c r="AF9" i="4"/>
  <c r="AE69" i="29"/>
  <c r="AG69" i="29" s="1"/>
  <c r="R68" i="29"/>
  <c r="AE73" i="29"/>
  <c r="D69" i="29"/>
  <c r="J80" i="33"/>
  <c r="J79" i="33"/>
  <c r="AV24" i="16"/>
  <c r="F78" i="31"/>
  <c r="AG78" i="31"/>
  <c r="H18" i="10"/>
  <c r="I18" i="10" s="1"/>
  <c r="D18" i="10"/>
  <c r="F18" i="10" s="1"/>
  <c r="G18" i="10" s="1"/>
  <c r="Y9" i="2"/>
  <c r="H20" i="12"/>
  <c r="I20" i="12" s="1"/>
  <c r="D20" i="12"/>
  <c r="F20" i="12" s="1"/>
  <c r="G20" i="12" s="1"/>
  <c r="AI9" i="12"/>
  <c r="AJ9" i="12"/>
  <c r="AE64" i="28"/>
  <c r="AG64" i="28" s="1"/>
  <c r="AE68" i="28"/>
  <c r="D64" i="28"/>
  <c r="F64" i="28" s="1"/>
  <c r="H64" i="28" s="1"/>
  <c r="R63" i="28"/>
  <c r="R59" i="28"/>
  <c r="AV11" i="3"/>
  <c r="AA7" i="1"/>
  <c r="X6" i="1"/>
  <c r="AG75" i="31"/>
  <c r="AI85" i="34"/>
  <c r="V52" i="26"/>
  <c r="T52" i="26"/>
  <c r="AA27" i="22"/>
  <c r="AG27" i="22" s="1"/>
  <c r="Y26" i="22"/>
  <c r="X15" i="9"/>
  <c r="AA15" i="9"/>
  <c r="H12" i="4"/>
  <c r="I12" i="4" s="1"/>
  <c r="D12" i="4"/>
  <c r="F12" i="4" s="1"/>
  <c r="G12" i="4" s="1"/>
  <c r="AG93" i="34"/>
  <c r="Y10" i="3"/>
  <c r="T57" i="27"/>
  <c r="V57" i="27"/>
  <c r="V53" i="27"/>
  <c r="T53" i="27"/>
  <c r="G10" i="4"/>
  <c r="V83" i="33"/>
  <c r="V85" i="33" s="1"/>
  <c r="T83" i="33"/>
  <c r="J69" i="31"/>
  <c r="V74" i="32"/>
  <c r="V75" i="32" s="1"/>
  <c r="T74" i="32"/>
  <c r="T75" i="32" s="1"/>
  <c r="X74" i="32" s="1"/>
  <c r="AD14" i="11"/>
  <c r="AD8" i="11"/>
  <c r="AB8" i="11" s="1"/>
  <c r="AD10" i="11"/>
  <c r="AD12" i="11"/>
  <c r="AD6" i="11"/>
  <c r="AB6" i="11" s="1"/>
  <c r="AD7" i="11"/>
  <c r="AB7" i="11" s="1"/>
  <c r="AD16" i="11"/>
  <c r="AD13" i="11"/>
  <c r="AD15" i="11"/>
  <c r="AD9" i="11"/>
  <c r="AD5" i="11"/>
  <c r="AB5" i="11" s="1"/>
  <c r="AD11" i="11"/>
  <c r="AD4" i="11"/>
  <c r="AB4" i="11" s="1"/>
  <c r="AB10" i="11"/>
  <c r="AB12" i="11"/>
  <c r="Y13" i="6"/>
  <c r="X12" i="6" s="1"/>
  <c r="AE80" i="32"/>
  <c r="AI79" i="32" s="1"/>
  <c r="AE59" i="27"/>
  <c r="AG59" i="27" s="1"/>
  <c r="AE63" i="27"/>
  <c r="D59" i="27"/>
  <c r="F59" i="27" s="1"/>
  <c r="H59" i="27" s="1"/>
  <c r="R58" i="27"/>
  <c r="R54" i="27"/>
  <c r="D63" i="27"/>
  <c r="F63" i="27" s="1"/>
  <c r="H63" i="27" s="1"/>
  <c r="R62" i="27"/>
  <c r="D72" i="27"/>
  <c r="AI10" i="12"/>
  <c r="AJ10" i="12"/>
  <c r="AJ6" i="12"/>
  <c r="AI6" i="12"/>
  <c r="AJ8" i="12"/>
  <c r="AI8" i="12"/>
  <c r="AY14" i="61"/>
  <c r="C24" i="40"/>
  <c r="B14" i="5"/>
  <c r="AP14" i="5"/>
  <c r="Y11" i="4"/>
  <c r="GH128" i="61" l="1"/>
  <c r="N7" i="64" s="1"/>
  <c r="AG130" i="41"/>
  <c r="AG115" i="38"/>
  <c r="AG95" i="34"/>
  <c r="AR45" i="29"/>
  <c r="AT45" i="29" s="1"/>
  <c r="E7" i="29" s="1"/>
  <c r="AK50" i="29" s="1"/>
  <c r="AM50" i="29" s="1"/>
  <c r="AS50" i="29" s="1"/>
  <c r="B331" i="66"/>
  <c r="N59" i="29"/>
  <c r="AQ59" i="29" s="1"/>
  <c r="J79" i="32"/>
  <c r="AG105" i="36"/>
  <c r="Z59" i="31"/>
  <c r="AB59" i="31" s="1"/>
  <c r="K6" i="64"/>
  <c r="A252" i="66"/>
  <c r="GC128" i="61"/>
  <c r="GD128" i="61" s="1"/>
  <c r="ES127" i="61"/>
  <c r="H6" i="64" s="1"/>
  <c r="EY127" i="61"/>
  <c r="ER128" i="61"/>
  <c r="ER124" i="61"/>
  <c r="ET127" i="61"/>
  <c r="EL130" i="61"/>
  <c r="FX130" i="61"/>
  <c r="EN130" i="61"/>
  <c r="FZ130" i="61"/>
  <c r="EB130" i="61"/>
  <c r="FN130" i="61"/>
  <c r="EG130" i="61"/>
  <c r="FS130" i="61"/>
  <c r="EM130" i="61"/>
  <c r="FY130" i="61"/>
  <c r="DW130" i="61"/>
  <c r="FI130" i="61"/>
  <c r="ED130" i="61"/>
  <c r="FP130" i="61"/>
  <c r="DV130" i="61"/>
  <c r="FH130" i="61"/>
  <c r="EF130" i="61"/>
  <c r="FR130" i="61"/>
  <c r="DT130" i="61"/>
  <c r="FF130" i="61"/>
  <c r="EC130" i="61"/>
  <c r="FO130" i="61"/>
  <c r="EI130" i="61"/>
  <c r="FU130" i="61"/>
  <c r="DS130" i="61"/>
  <c r="FE130" i="61"/>
  <c r="GB130" i="61"/>
  <c r="EH130" i="61"/>
  <c r="FT130" i="61"/>
  <c r="DX130" i="61"/>
  <c r="FJ130" i="61"/>
  <c r="EO130" i="61"/>
  <c r="GA130" i="61"/>
  <c r="DY130" i="61"/>
  <c r="FK130" i="61"/>
  <c r="EE130" i="61"/>
  <c r="FQ130" i="61"/>
  <c r="DR129" i="61"/>
  <c r="EZ129" i="61" s="1"/>
  <c r="FD129" i="61"/>
  <c r="GE129" i="61" s="1"/>
  <c r="L8" i="64" s="1"/>
  <c r="DZ130" i="61"/>
  <c r="FL130" i="61"/>
  <c r="EJ130" i="61"/>
  <c r="FV130" i="61"/>
  <c r="EK130" i="61"/>
  <c r="FW130" i="61"/>
  <c r="DU130" i="61"/>
  <c r="FG130" i="61"/>
  <c r="EA130" i="61"/>
  <c r="FM130" i="61"/>
  <c r="D341" i="65"/>
  <c r="A341" i="65" s="1"/>
  <c r="D293" i="66"/>
  <c r="B293" i="66" s="1"/>
  <c r="EU130" i="61"/>
  <c r="EV130" i="61" s="1"/>
  <c r="I341" i="66"/>
  <c r="EP131" i="61"/>
  <c r="X50" i="27"/>
  <c r="AE130" i="41"/>
  <c r="AI129" i="41" s="1"/>
  <c r="AI130" i="41" s="1"/>
  <c r="AR39" i="27"/>
  <c r="AT39" i="27" s="1"/>
  <c r="D6" i="27" s="1"/>
  <c r="L49" i="27" s="1"/>
  <c r="N49" i="27" s="1"/>
  <c r="AQ49" i="27" s="1"/>
  <c r="AE105" i="36"/>
  <c r="AI104" i="36" s="1"/>
  <c r="D253" i="66"/>
  <c r="A253" i="66" s="1"/>
  <c r="D297" i="65"/>
  <c r="A297" i="65" s="1"/>
  <c r="J297" i="66"/>
  <c r="B297" i="65" s="1"/>
  <c r="I297" i="66"/>
  <c r="D332" i="66"/>
  <c r="A332" i="66" s="1"/>
  <c r="D286" i="66"/>
  <c r="L310" i="66"/>
  <c r="B274" i="66"/>
  <c r="A274" i="66"/>
  <c r="J309" i="66"/>
  <c r="B309" i="65" s="1"/>
  <c r="D309" i="65"/>
  <c r="I309" i="66"/>
  <c r="A264" i="66"/>
  <c r="B264" i="66"/>
  <c r="A285" i="66"/>
  <c r="B285" i="66"/>
  <c r="B296" i="66"/>
  <c r="A296" i="66"/>
  <c r="D261" i="65"/>
  <c r="A261" i="65" s="1"/>
  <c r="I261" i="66"/>
  <c r="J261" i="66"/>
  <c r="B261" i="65" s="1"/>
  <c r="L342" i="66"/>
  <c r="I342" i="66" s="1"/>
  <c r="D275" i="66"/>
  <c r="L298" i="66"/>
  <c r="L322" i="66"/>
  <c r="D297" i="66"/>
  <c r="J321" i="66"/>
  <c r="B321" i="65" s="1"/>
  <c r="I321" i="66"/>
  <c r="D321" i="65"/>
  <c r="AB50" i="28"/>
  <c r="AI135" i="42"/>
  <c r="AI150" i="42"/>
  <c r="AE115" i="38"/>
  <c r="AI114" i="38" s="1"/>
  <c r="AI115" i="38" s="1"/>
  <c r="D77" i="28"/>
  <c r="R72" i="28"/>
  <c r="X100" i="37"/>
  <c r="AI110" i="38"/>
  <c r="AG120" i="39"/>
  <c r="AI145" i="42"/>
  <c r="D327" i="65"/>
  <c r="A327" i="65" s="1"/>
  <c r="J327" i="66"/>
  <c r="B327" i="65" s="1"/>
  <c r="I327" i="66"/>
  <c r="I271" i="66"/>
  <c r="D271" i="65"/>
  <c r="A271" i="65" s="1"/>
  <c r="J271" i="66"/>
  <c r="B271" i="65" s="1"/>
  <c r="B332" i="66"/>
  <c r="X110" i="39"/>
  <c r="J369" i="66"/>
  <c r="B369" i="65" s="1"/>
  <c r="I369" i="66"/>
  <c r="D369" i="65"/>
  <c r="A369" i="65" s="1"/>
  <c r="B305" i="66"/>
  <c r="A305" i="66"/>
  <c r="D306" i="66"/>
  <c r="L328" i="66"/>
  <c r="D267" i="66"/>
  <c r="L286" i="66"/>
  <c r="B344" i="66"/>
  <c r="A344" i="66"/>
  <c r="I285" i="66"/>
  <c r="D285" i="65"/>
  <c r="A285" i="65" s="1"/>
  <c r="J285" i="66"/>
  <c r="B285" i="65" s="1"/>
  <c r="D345" i="66"/>
  <c r="L370" i="66"/>
  <c r="AE120" i="39"/>
  <c r="AI119" i="39" s="1"/>
  <c r="A266" i="66"/>
  <c r="B266" i="66"/>
  <c r="D280" i="66"/>
  <c r="L294" i="66"/>
  <c r="D451" i="66"/>
  <c r="L474" i="66"/>
  <c r="D489" i="66"/>
  <c r="L514" i="66"/>
  <c r="L354" i="66"/>
  <c r="D394" i="66"/>
  <c r="L414" i="66"/>
  <c r="R99" i="59"/>
  <c r="D111" i="59"/>
  <c r="F111" i="59" s="1"/>
  <c r="R103" i="35"/>
  <c r="T103" i="35" s="1"/>
  <c r="D104" i="35"/>
  <c r="AI125" i="40"/>
  <c r="H117" i="38"/>
  <c r="A279" i="66"/>
  <c r="B279" i="66"/>
  <c r="T107" i="36"/>
  <c r="V107" i="36"/>
  <c r="H107" i="35"/>
  <c r="D253" i="65"/>
  <c r="A253" i="65" s="1"/>
  <c r="I253" i="66"/>
  <c r="J253" i="66"/>
  <c r="B253" i="65" s="1"/>
  <c r="B412" i="66"/>
  <c r="A412" i="66"/>
  <c r="T118" i="39"/>
  <c r="V118" i="39"/>
  <c r="V108" i="37"/>
  <c r="T108" i="37"/>
  <c r="F117" i="37"/>
  <c r="H109" i="38"/>
  <c r="H110" i="38" s="1"/>
  <c r="J110" i="38" s="1"/>
  <c r="F110" i="38"/>
  <c r="J109" i="38" s="1"/>
  <c r="B488" i="66"/>
  <c r="A488" i="66"/>
  <c r="J124" i="41"/>
  <c r="N124" i="41" s="1"/>
  <c r="AQ124" i="41" s="1"/>
  <c r="J125" i="41"/>
  <c r="N125" i="41" s="1"/>
  <c r="AQ125" i="41" s="1"/>
  <c r="AI140" i="42"/>
  <c r="F144" i="41"/>
  <c r="H144" i="41" s="1"/>
  <c r="J142" i="41"/>
  <c r="F134" i="41"/>
  <c r="H134" i="41" s="1"/>
  <c r="J132" i="41"/>
  <c r="AE135" i="41"/>
  <c r="AI134" i="41" s="1"/>
  <c r="AG133" i="41"/>
  <c r="AG135" i="41" s="1"/>
  <c r="B317" i="66"/>
  <c r="A317" i="66"/>
  <c r="D353" i="65"/>
  <c r="A353" i="65" s="1"/>
  <c r="J353" i="66"/>
  <c r="B353" i="65" s="1"/>
  <c r="I353" i="66"/>
  <c r="H102" i="33"/>
  <c r="F124" i="40"/>
  <c r="H124" i="40" s="1"/>
  <c r="J122" i="40"/>
  <c r="B260" i="66"/>
  <c r="A260" i="66"/>
  <c r="H119" i="40"/>
  <c r="H120" i="40" s="1"/>
  <c r="J120" i="40" s="1"/>
  <c r="F120" i="40"/>
  <c r="J119" i="40" s="1"/>
  <c r="X90" i="36"/>
  <c r="D413" i="65"/>
  <c r="A413" i="65" s="1"/>
  <c r="J413" i="66"/>
  <c r="B413" i="65" s="1"/>
  <c r="I413" i="66"/>
  <c r="R114" i="38"/>
  <c r="AE119" i="38"/>
  <c r="AG119" i="38" s="1"/>
  <c r="R118" i="38"/>
  <c r="D119" i="38"/>
  <c r="AE123" i="38"/>
  <c r="R109" i="37"/>
  <c r="D118" i="37"/>
  <c r="F118" i="37" s="1"/>
  <c r="H118" i="37" s="1"/>
  <c r="R113" i="37"/>
  <c r="D114" i="37"/>
  <c r="F114" i="37" s="1"/>
  <c r="H114" i="37" s="1"/>
  <c r="AE118" i="37"/>
  <c r="AE114" i="37"/>
  <c r="AG114" i="37" s="1"/>
  <c r="D356" i="66"/>
  <c r="D124" i="39"/>
  <c r="AE124" i="39"/>
  <c r="AG124" i="39" s="1"/>
  <c r="AE128" i="39"/>
  <c r="R123" i="39"/>
  <c r="R84" i="32"/>
  <c r="T84" i="32" s="1"/>
  <c r="R97" i="32"/>
  <c r="D98" i="32"/>
  <c r="F98" i="32" s="1"/>
  <c r="H98" i="32" s="1"/>
  <c r="D102" i="32"/>
  <c r="F102" i="32" s="1"/>
  <c r="R87" i="31"/>
  <c r="D97" i="31"/>
  <c r="F97" i="31" s="1"/>
  <c r="D413" i="66"/>
  <c r="L434" i="66"/>
  <c r="X115" i="40"/>
  <c r="V99" i="36"/>
  <c r="V100" i="36" s="1"/>
  <c r="T99" i="36"/>
  <c r="T100" i="36" s="1"/>
  <c r="X99" i="36" s="1"/>
  <c r="V102" i="35"/>
  <c r="T102" i="35"/>
  <c r="B241" i="66"/>
  <c r="A241" i="66"/>
  <c r="V114" i="39"/>
  <c r="V115" i="39" s="1"/>
  <c r="T114" i="39"/>
  <c r="T115" i="39" s="1"/>
  <c r="X114" i="39" s="1"/>
  <c r="AG109" i="37"/>
  <c r="AG110" i="37" s="1"/>
  <c r="AE110" i="37"/>
  <c r="AI109" i="37" s="1"/>
  <c r="V112" i="37"/>
  <c r="T112" i="37"/>
  <c r="F105" i="36"/>
  <c r="J104" i="36" s="1"/>
  <c r="D493" i="65"/>
  <c r="A493" i="65" s="1"/>
  <c r="J493" i="66"/>
  <c r="B493" i="65" s="1"/>
  <c r="I493" i="66"/>
  <c r="H113" i="38"/>
  <c r="H115" i="38" s="1"/>
  <c r="J115" i="38" s="1"/>
  <c r="F115" i="38"/>
  <c r="J114" i="38" s="1"/>
  <c r="V143" i="41"/>
  <c r="T143" i="41"/>
  <c r="V138" i="41"/>
  <c r="T138" i="41"/>
  <c r="F149" i="41"/>
  <c r="H149" i="41" s="1"/>
  <c r="J147" i="41"/>
  <c r="AE140" i="41"/>
  <c r="AI139" i="41" s="1"/>
  <c r="AG138" i="41"/>
  <c r="AG140" i="41" s="1"/>
  <c r="V123" i="40"/>
  <c r="T123" i="40"/>
  <c r="J129" i="42"/>
  <c r="N129" i="42" s="1"/>
  <c r="AQ129" i="42" s="1"/>
  <c r="J130" i="42"/>
  <c r="N130" i="42" s="1"/>
  <c r="AQ130" i="42" s="1"/>
  <c r="V113" i="38"/>
  <c r="T113" i="38"/>
  <c r="B355" i="66"/>
  <c r="A355" i="66"/>
  <c r="B393" i="66"/>
  <c r="A393" i="66"/>
  <c r="D144" i="40"/>
  <c r="AE138" i="40"/>
  <c r="D149" i="40"/>
  <c r="AE144" i="40"/>
  <c r="AG144" i="40" s="1"/>
  <c r="R143" i="40"/>
  <c r="AE143" i="40"/>
  <c r="AE129" i="40"/>
  <c r="AG129" i="40" s="1"/>
  <c r="R128" i="40"/>
  <c r="D129" i="40"/>
  <c r="AE148" i="40"/>
  <c r="D139" i="40"/>
  <c r="AE149" i="40"/>
  <c r="AG149" i="40" s="1"/>
  <c r="AE133" i="40"/>
  <c r="D134" i="40"/>
  <c r="AE134" i="40"/>
  <c r="AG134" i="40" s="1"/>
  <c r="R138" i="40"/>
  <c r="AE139" i="40"/>
  <c r="AG139" i="40" s="1"/>
  <c r="R148" i="40"/>
  <c r="R133" i="40"/>
  <c r="L314" i="66"/>
  <c r="D470" i="66"/>
  <c r="L494" i="66"/>
  <c r="R99" i="35"/>
  <c r="D108" i="35"/>
  <c r="F108" i="35" s="1"/>
  <c r="H108" i="35" s="1"/>
  <c r="R107" i="35"/>
  <c r="D112" i="35"/>
  <c r="F112" i="35" s="1"/>
  <c r="D318" i="66"/>
  <c r="L334" i="66"/>
  <c r="H99" i="36"/>
  <c r="H100" i="36" s="1"/>
  <c r="J100" i="36" s="1"/>
  <c r="F100" i="36"/>
  <c r="J99" i="36" s="1"/>
  <c r="AE104" i="35"/>
  <c r="AG104" i="35" s="1"/>
  <c r="J140" i="42"/>
  <c r="N140" i="42" s="1"/>
  <c r="AQ140" i="42" s="1"/>
  <c r="J139" i="42"/>
  <c r="N139" i="42" s="1"/>
  <c r="AQ139" i="42" s="1"/>
  <c r="H112" i="36"/>
  <c r="D473" i="65"/>
  <c r="A473" i="65" s="1"/>
  <c r="I473" i="66"/>
  <c r="J473" i="66"/>
  <c r="B473" i="65" s="1"/>
  <c r="H103" i="35"/>
  <c r="F119" i="39"/>
  <c r="J117" i="39"/>
  <c r="H97" i="32"/>
  <c r="J107" i="37"/>
  <c r="F109" i="37"/>
  <c r="F113" i="37"/>
  <c r="J112" i="37"/>
  <c r="X105" i="38"/>
  <c r="J144" i="42"/>
  <c r="N144" i="42" s="1"/>
  <c r="AQ144" i="42" s="1"/>
  <c r="J145" i="42"/>
  <c r="N145" i="42" s="1"/>
  <c r="AQ145" i="42" s="1"/>
  <c r="H105" i="36"/>
  <c r="J105" i="36" s="1"/>
  <c r="B469" i="66"/>
  <c r="A469" i="66"/>
  <c r="J127" i="41"/>
  <c r="F129" i="41"/>
  <c r="H129" i="41" s="1"/>
  <c r="AE150" i="41"/>
  <c r="AI149" i="41" s="1"/>
  <c r="AG148" i="41"/>
  <c r="AG150" i="41" s="1"/>
  <c r="V133" i="41"/>
  <c r="T133" i="41"/>
  <c r="D453" i="65"/>
  <c r="A453" i="65" s="1"/>
  <c r="J453" i="66"/>
  <c r="B453" i="65" s="1"/>
  <c r="I453" i="66"/>
  <c r="D393" i="65"/>
  <c r="A393" i="65" s="1"/>
  <c r="J393" i="66"/>
  <c r="B393" i="65" s="1"/>
  <c r="I393" i="66"/>
  <c r="D432" i="66"/>
  <c r="L454" i="66"/>
  <c r="R89" i="34"/>
  <c r="D103" i="34"/>
  <c r="F103" i="34" s="1"/>
  <c r="R102" i="34"/>
  <c r="D107" i="34"/>
  <c r="F107" i="34" s="1"/>
  <c r="D261" i="66"/>
  <c r="L274" i="66"/>
  <c r="X13" i="27"/>
  <c r="D375" i="66"/>
  <c r="L394" i="66"/>
  <c r="R104" i="36"/>
  <c r="D113" i="36"/>
  <c r="R112" i="36"/>
  <c r="D117" i="36"/>
  <c r="D109" i="36"/>
  <c r="AE109" i="36"/>
  <c r="AE113" i="36"/>
  <c r="R108" i="36"/>
  <c r="D293" i="65"/>
  <c r="I293" i="66"/>
  <c r="J293" i="66"/>
  <c r="B293" i="65" s="1"/>
  <c r="A450" i="66"/>
  <c r="B450" i="66"/>
  <c r="T89" i="35"/>
  <c r="T90" i="35" s="1"/>
  <c r="X89" i="35" s="1"/>
  <c r="V89" i="35"/>
  <c r="V90" i="35" s="1"/>
  <c r="D433" i="65"/>
  <c r="A433" i="65" s="1"/>
  <c r="J433" i="66"/>
  <c r="B433" i="65" s="1"/>
  <c r="I433" i="66"/>
  <c r="AG123" i="39"/>
  <c r="AG125" i="39" s="1"/>
  <c r="V87" i="32"/>
  <c r="T87" i="32"/>
  <c r="AG113" i="37"/>
  <c r="AG115" i="37" s="1"/>
  <c r="V104" i="37"/>
  <c r="V105" i="37" s="1"/>
  <c r="T104" i="37"/>
  <c r="T105" i="37" s="1"/>
  <c r="X104" i="37" s="1"/>
  <c r="D513" i="65"/>
  <c r="A513" i="65" s="1"/>
  <c r="J513" i="66"/>
  <c r="B513" i="65" s="1"/>
  <c r="I513" i="66"/>
  <c r="F139" i="41"/>
  <c r="H139" i="41" s="1"/>
  <c r="J137" i="41"/>
  <c r="V128" i="41"/>
  <c r="T128" i="41"/>
  <c r="AG143" i="41"/>
  <c r="AG145" i="41" s="1"/>
  <c r="AE145" i="41"/>
  <c r="AI144" i="41" s="1"/>
  <c r="V148" i="41"/>
  <c r="T148" i="41"/>
  <c r="D333" i="65"/>
  <c r="I333" i="66"/>
  <c r="J333" i="66"/>
  <c r="B333" i="65" s="1"/>
  <c r="B431" i="66"/>
  <c r="A431" i="66"/>
  <c r="T97" i="33"/>
  <c r="V97" i="33"/>
  <c r="AG128" i="40"/>
  <c r="D273" i="65"/>
  <c r="A273" i="65" s="1"/>
  <c r="J273" i="66"/>
  <c r="B273" i="65" s="1"/>
  <c r="I273" i="66"/>
  <c r="J149" i="42"/>
  <c r="N149" i="42" s="1"/>
  <c r="AQ149" i="42" s="1"/>
  <c r="J150" i="42"/>
  <c r="N150" i="42" s="1"/>
  <c r="AQ150" i="42" s="1"/>
  <c r="J135" i="42"/>
  <c r="N135" i="42" s="1"/>
  <c r="AQ135" i="42" s="1"/>
  <c r="J134" i="42"/>
  <c r="N134" i="42" s="1"/>
  <c r="AQ134" i="42" s="1"/>
  <c r="AG118" i="38"/>
  <c r="AG120" i="38" s="1"/>
  <c r="T109" i="38"/>
  <c r="T110" i="38" s="1"/>
  <c r="X109" i="38" s="1"/>
  <c r="V109" i="38"/>
  <c r="V110" i="38" s="1"/>
  <c r="B374" i="66"/>
  <c r="A374" i="66"/>
  <c r="V77" i="59"/>
  <c r="V78" i="59" s="1"/>
  <c r="X78" i="59" s="1"/>
  <c r="AT17" i="59"/>
  <c r="AR5" i="59"/>
  <c r="AR6" i="59" s="1"/>
  <c r="AT6" i="59" s="1"/>
  <c r="AX6" i="59" s="1"/>
  <c r="AP6" i="59"/>
  <c r="AT5" i="59" s="1"/>
  <c r="AX5" i="59" s="1"/>
  <c r="Z54" i="59"/>
  <c r="AB54" i="59" s="1"/>
  <c r="L54" i="59"/>
  <c r="N54" i="59" s="1"/>
  <c r="AS54" i="59" s="1"/>
  <c r="L60" i="59"/>
  <c r="N60" i="59" s="1"/>
  <c r="AS60" i="59" s="1"/>
  <c r="AM48" i="59"/>
  <c r="AO48" i="59" s="1"/>
  <c r="AU48" i="59" s="1"/>
  <c r="Z48" i="59"/>
  <c r="AB48" i="59" s="1"/>
  <c r="AT11" i="59"/>
  <c r="AR69" i="35"/>
  <c r="AT69" i="35" s="1"/>
  <c r="D12" i="35" s="1"/>
  <c r="AK74" i="35" s="1"/>
  <c r="AM74" i="35" s="1"/>
  <c r="AS74" i="35" s="1"/>
  <c r="A292" i="65"/>
  <c r="A266" i="65"/>
  <c r="A318" i="65"/>
  <c r="AA23" i="59"/>
  <c r="AA24" i="59" s="1"/>
  <c r="AE23" i="59" s="1"/>
  <c r="AC23" i="59"/>
  <c r="AC24" i="59" s="1"/>
  <c r="A279" i="65"/>
  <c r="A305" i="65"/>
  <c r="BA4" i="59" a="1"/>
  <c r="P4" i="59"/>
  <c r="T2" i="27"/>
  <c r="V8" i="27"/>
  <c r="J15" i="27"/>
  <c r="J22" i="27"/>
  <c r="J77" i="31"/>
  <c r="AR74" i="37"/>
  <c r="AT74" i="37" s="1"/>
  <c r="D13" i="37" s="1"/>
  <c r="AK79" i="37" s="1"/>
  <c r="AM79" i="37" s="1"/>
  <c r="AS79" i="37" s="1"/>
  <c r="AT79" i="37" s="1"/>
  <c r="J80" i="32"/>
  <c r="AR75" i="37"/>
  <c r="AT75" i="37" s="1"/>
  <c r="E13" i="37" s="1"/>
  <c r="AK80" i="37" s="1"/>
  <c r="AM80" i="37" s="1"/>
  <c r="AS80" i="37" s="1"/>
  <c r="AT80" i="37" s="1"/>
  <c r="T72" i="29"/>
  <c r="Z60" i="31"/>
  <c r="AB60" i="31" s="1"/>
  <c r="AR60" i="31" s="1"/>
  <c r="AT60" i="31" s="1"/>
  <c r="E10" i="31" s="1"/>
  <c r="Z65" i="31" s="1"/>
  <c r="L64" i="31"/>
  <c r="N64" i="31" s="1"/>
  <c r="AQ64" i="31" s="1"/>
  <c r="AI55" i="27"/>
  <c r="T85" i="33"/>
  <c r="X84" i="33" s="1"/>
  <c r="X85" i="33" s="1"/>
  <c r="AE95" i="34"/>
  <c r="AI94" i="34" s="1"/>
  <c r="X14" i="8"/>
  <c r="V93" i="34"/>
  <c r="X24" i="25"/>
  <c r="AA23" i="25"/>
  <c r="AG23" i="25" s="1"/>
  <c r="Y22" i="25"/>
  <c r="X23" i="25" s="1"/>
  <c r="T50" i="26"/>
  <c r="X49" i="26" s="1"/>
  <c r="X50" i="26" s="1"/>
  <c r="Y11" i="3"/>
  <c r="AA11" i="3" s="1"/>
  <c r="AG11" i="3" s="1"/>
  <c r="AR59" i="31"/>
  <c r="AT59" i="31" s="1"/>
  <c r="D10" i="31" s="1"/>
  <c r="L69" i="31" s="1"/>
  <c r="N69" i="31" s="1"/>
  <c r="AQ69" i="31" s="1"/>
  <c r="N55" i="28"/>
  <c r="AQ55" i="28" s="1"/>
  <c r="AG80" i="31"/>
  <c r="R93" i="33"/>
  <c r="T93" i="33" s="1"/>
  <c r="AE98" i="33"/>
  <c r="AI60" i="28"/>
  <c r="AM60" i="28" s="1"/>
  <c r="AS60" i="28" s="1"/>
  <c r="AG90" i="33"/>
  <c r="D94" i="33"/>
  <c r="F94" i="33" s="1"/>
  <c r="H94" i="33" s="1"/>
  <c r="AI85" i="33"/>
  <c r="AB55" i="29"/>
  <c r="AR55" i="29" s="1"/>
  <c r="AT55" i="29" s="1"/>
  <c r="E9" i="29" s="1"/>
  <c r="Z60" i="29" s="1"/>
  <c r="X80" i="33"/>
  <c r="AI100" i="36"/>
  <c r="X70" i="31"/>
  <c r="H69" i="30"/>
  <c r="H70" i="30" s="1"/>
  <c r="J70" i="30" s="1"/>
  <c r="F70" i="30"/>
  <c r="J69" i="30" s="1"/>
  <c r="D68" i="27"/>
  <c r="F68" i="27" s="1"/>
  <c r="R67" i="27"/>
  <c r="Z49" i="27"/>
  <c r="AB49" i="27" s="1"/>
  <c r="T93" i="59"/>
  <c r="V93" i="59"/>
  <c r="AG99" i="35"/>
  <c r="AG100" i="35" s="1"/>
  <c r="AE100" i="35"/>
  <c r="AI99" i="35" s="1"/>
  <c r="V69" i="30"/>
  <c r="V70" i="30" s="1"/>
  <c r="T69" i="30"/>
  <c r="T70" i="30" s="1"/>
  <c r="X69" i="30" s="1"/>
  <c r="L55" i="27"/>
  <c r="Z50" i="27"/>
  <c r="AB50" i="27" s="1"/>
  <c r="T67" i="28"/>
  <c r="V67" i="28"/>
  <c r="V98" i="35"/>
  <c r="T98" i="35"/>
  <c r="T82" i="31"/>
  <c r="V82" i="31"/>
  <c r="V79" i="32"/>
  <c r="V80" i="32" s="1"/>
  <c r="T79" i="32"/>
  <c r="T80" i="32" s="1"/>
  <c r="X79" i="32" s="1"/>
  <c r="H67" i="26"/>
  <c r="H54" i="27"/>
  <c r="H55" i="27" s="1"/>
  <c r="J55" i="27" s="1"/>
  <c r="F55" i="27"/>
  <c r="J54" i="27" s="1"/>
  <c r="H89" i="34"/>
  <c r="H90" i="34" s="1"/>
  <c r="J90" i="34" s="1"/>
  <c r="F90" i="34"/>
  <c r="J89" i="34" s="1"/>
  <c r="R77" i="29"/>
  <c r="D82" i="29"/>
  <c r="F82" i="29" s="1"/>
  <c r="R89" i="59"/>
  <c r="D100" i="59"/>
  <c r="F100" i="59" s="1"/>
  <c r="H100" i="59" s="1"/>
  <c r="H99" i="59"/>
  <c r="AR70" i="35"/>
  <c r="AT70" i="35" s="1"/>
  <c r="E12" i="35" s="1"/>
  <c r="AK75" i="35" s="1"/>
  <c r="AM75" i="35" s="1"/>
  <c r="AS75" i="35" s="1"/>
  <c r="H68" i="28"/>
  <c r="F104" i="35"/>
  <c r="H104" i="35" s="1"/>
  <c r="J102" i="35"/>
  <c r="F99" i="35"/>
  <c r="J97" i="35"/>
  <c r="H87" i="31"/>
  <c r="H82" i="30"/>
  <c r="R82" i="30"/>
  <c r="D83" i="30"/>
  <c r="F83" i="30" s="1"/>
  <c r="H83" i="30" s="1"/>
  <c r="D87" i="30"/>
  <c r="F87" i="30" s="1"/>
  <c r="Z49" i="28"/>
  <c r="AB49" i="28" s="1"/>
  <c r="L54" i="28"/>
  <c r="N54" i="28" s="1"/>
  <c r="AQ54" i="28" s="1"/>
  <c r="D99" i="34"/>
  <c r="AE99" i="34"/>
  <c r="AE103" i="34"/>
  <c r="R98" i="34"/>
  <c r="H84" i="33"/>
  <c r="H85" i="33" s="1"/>
  <c r="J85" i="33" s="1"/>
  <c r="F85" i="33"/>
  <c r="J84" i="33" s="1"/>
  <c r="V84" i="32"/>
  <c r="R79" i="31"/>
  <c r="D88" i="31"/>
  <c r="F88" i="31" s="1"/>
  <c r="H88" i="31" s="1"/>
  <c r="Z70" i="36"/>
  <c r="AB70" i="36" s="1"/>
  <c r="AR69" i="36" s="1"/>
  <c r="AT69" i="36" s="1"/>
  <c r="D12" i="36" s="1"/>
  <c r="AK74" i="36" s="1"/>
  <c r="AM74" i="36" s="1"/>
  <c r="AS74" i="36" s="1"/>
  <c r="L75" i="36"/>
  <c r="N75" i="36" s="1"/>
  <c r="AQ75" i="36" s="1"/>
  <c r="L84" i="37"/>
  <c r="N84" i="37" s="1"/>
  <c r="AQ84" i="37" s="1"/>
  <c r="AI105" i="36"/>
  <c r="AG108" i="35"/>
  <c r="AG103" i="35"/>
  <c r="T77" i="30"/>
  <c r="V77" i="30"/>
  <c r="AR59" i="32"/>
  <c r="AT59" i="32" s="1"/>
  <c r="D10" i="32" s="1"/>
  <c r="L60" i="28"/>
  <c r="AE80" i="31"/>
  <c r="AI79" i="31" s="1"/>
  <c r="AB40" i="26"/>
  <c r="AR40" i="26" s="1"/>
  <c r="AT40" i="26" s="1"/>
  <c r="E6" i="26" s="1"/>
  <c r="AE90" i="33"/>
  <c r="AI89" i="33" s="1"/>
  <c r="N44" i="26"/>
  <c r="AQ44" i="26" s="1"/>
  <c r="AI15" i="11"/>
  <c r="AK55" i="28"/>
  <c r="AM55" i="28" s="1"/>
  <c r="AS55" i="28" s="1"/>
  <c r="AK70" i="36"/>
  <c r="AM70" i="36" s="1"/>
  <c r="AS70" i="36" s="1"/>
  <c r="AR64" i="33"/>
  <c r="AT64" i="33" s="1"/>
  <c r="D11" i="33" s="1"/>
  <c r="AR65" i="33"/>
  <c r="AT65" i="33" s="1"/>
  <c r="E11" i="33" s="1"/>
  <c r="AK70" i="33" s="1"/>
  <c r="AM70" i="33" s="1"/>
  <c r="AS70" i="33" s="1"/>
  <c r="AK44" i="28"/>
  <c r="AM44" i="28" s="1"/>
  <c r="AS44" i="28" s="1"/>
  <c r="Z44" i="28"/>
  <c r="AB44" i="28" s="1"/>
  <c r="L49" i="28"/>
  <c r="N49" i="28" s="1"/>
  <c r="AQ49" i="28" s="1"/>
  <c r="AT49" i="28" s="1"/>
  <c r="D8" i="28" s="1"/>
  <c r="AR65" i="34"/>
  <c r="AT65" i="34" s="1"/>
  <c r="AR64" i="34"/>
  <c r="AT64" i="34" s="1"/>
  <c r="Z44" i="27"/>
  <c r="AB44" i="27" s="1"/>
  <c r="AR60" i="32"/>
  <c r="AT60" i="32" s="1"/>
  <c r="E10" i="32" s="1"/>
  <c r="L70" i="32" s="1"/>
  <c r="N70" i="32" s="1"/>
  <c r="AQ70" i="32" s="1"/>
  <c r="L50" i="27"/>
  <c r="N50" i="27" s="1"/>
  <c r="AQ50" i="27" s="1"/>
  <c r="AK45" i="27"/>
  <c r="AM45" i="27" s="1"/>
  <c r="AS45" i="27" s="1"/>
  <c r="Z45" i="27"/>
  <c r="AB45" i="27" s="1"/>
  <c r="Z55" i="30"/>
  <c r="AB55" i="30" s="1"/>
  <c r="L60" i="30"/>
  <c r="N60" i="30" s="1"/>
  <c r="AQ60" i="30" s="1"/>
  <c r="AK55" i="30"/>
  <c r="AM55" i="30" s="1"/>
  <c r="AS55" i="30" s="1"/>
  <c r="AI75" i="31"/>
  <c r="AE75" i="30"/>
  <c r="AI74" i="30" s="1"/>
  <c r="X65" i="31"/>
  <c r="AI70" i="30"/>
  <c r="AG75" i="30"/>
  <c r="AI11" i="11"/>
  <c r="X75" i="32"/>
  <c r="AI95" i="34"/>
  <c r="X72" i="59"/>
  <c r="Y9" i="1"/>
  <c r="AA9" i="1" s="1"/>
  <c r="AG9" i="1" s="1"/>
  <c r="X60" i="29"/>
  <c r="X55" i="28"/>
  <c r="AB55" i="28" s="1"/>
  <c r="N45" i="26"/>
  <c r="AQ45" i="26" s="1"/>
  <c r="X45" i="26"/>
  <c r="AI7" i="11"/>
  <c r="AJ7" i="11"/>
  <c r="AJ8" i="11"/>
  <c r="AI8" i="11"/>
  <c r="AJ6" i="11"/>
  <c r="AI6" i="11"/>
  <c r="AJ4" i="11"/>
  <c r="AI4" i="11"/>
  <c r="AI5" i="11"/>
  <c r="AJ5" i="11"/>
  <c r="AA11" i="4"/>
  <c r="AG11" i="4" s="1"/>
  <c r="F72" i="27"/>
  <c r="V58" i="27"/>
  <c r="T58" i="27"/>
  <c r="AJ12" i="11"/>
  <c r="AI12" i="11"/>
  <c r="AG7" i="1"/>
  <c r="V59" i="28"/>
  <c r="V60" i="28" s="1"/>
  <c r="T59" i="28"/>
  <c r="T60" i="28" s="1"/>
  <c r="X59" i="28" s="1"/>
  <c r="AA9" i="2"/>
  <c r="AG73" i="29"/>
  <c r="AE79" i="30"/>
  <c r="AG79" i="30" s="1"/>
  <c r="R78" i="30"/>
  <c r="AE83" i="30"/>
  <c r="R74" i="30"/>
  <c r="D79" i="30"/>
  <c r="F79" i="30" s="1"/>
  <c r="H79" i="30" s="1"/>
  <c r="H16" i="7"/>
  <c r="I16" i="7" s="1"/>
  <c r="D16" i="7"/>
  <c r="F16" i="7" s="1"/>
  <c r="G16" i="7" s="1"/>
  <c r="AE59" i="26"/>
  <c r="AG59" i="26" s="1"/>
  <c r="AE63" i="26"/>
  <c r="R58" i="26"/>
  <c r="R54" i="26"/>
  <c r="D59" i="26"/>
  <c r="D63" i="26"/>
  <c r="F63" i="26" s="1"/>
  <c r="H63" i="26" s="1"/>
  <c r="R62" i="26"/>
  <c r="AJ16" i="11"/>
  <c r="AI16" i="11"/>
  <c r="J95" i="34"/>
  <c r="N95" i="34" s="1"/>
  <c r="AQ95" i="34" s="1"/>
  <c r="J94" i="34"/>
  <c r="N94" i="34" s="1"/>
  <c r="AQ94" i="34" s="1"/>
  <c r="AA8" i="1"/>
  <c r="AG8" i="1" s="1"/>
  <c r="AV12" i="3"/>
  <c r="AG10" i="4"/>
  <c r="R64" i="29"/>
  <c r="R73" i="29"/>
  <c r="AE74" i="29"/>
  <c r="AG74" i="29" s="1"/>
  <c r="D74" i="29"/>
  <c r="AE78" i="29"/>
  <c r="D78" i="29"/>
  <c r="Y10" i="2"/>
  <c r="F84" i="32"/>
  <c r="J82" i="32"/>
  <c r="F54" i="26"/>
  <c r="J52" i="26"/>
  <c r="J57" i="27"/>
  <c r="AE85" i="32"/>
  <c r="AI84" i="32" s="1"/>
  <c r="J60" i="28"/>
  <c r="J59" i="28"/>
  <c r="F78" i="30"/>
  <c r="V64" i="30"/>
  <c r="V65" i="30" s="1"/>
  <c r="T64" i="30"/>
  <c r="T65" i="30" s="1"/>
  <c r="X64" i="30" s="1"/>
  <c r="G28" i="21"/>
  <c r="G29" i="21" s="1"/>
  <c r="I38" i="21" s="1"/>
  <c r="F29" i="21"/>
  <c r="I36" i="21" s="1"/>
  <c r="AE69" i="28"/>
  <c r="AG69" i="28" s="1"/>
  <c r="AE73" i="28"/>
  <c r="D69" i="28"/>
  <c r="R68" i="28"/>
  <c r="H20" i="11"/>
  <c r="I20" i="11" s="1"/>
  <c r="D20" i="11"/>
  <c r="F20" i="11" s="1"/>
  <c r="G20" i="11" s="1"/>
  <c r="F89" i="33"/>
  <c r="J87" i="33"/>
  <c r="AV15" i="6"/>
  <c r="V74" i="31"/>
  <c r="V75" i="31" s="1"/>
  <c r="T74" i="31"/>
  <c r="T75" i="31" s="1"/>
  <c r="X74" i="31" s="1"/>
  <c r="H64" i="29"/>
  <c r="H65" i="29" s="1"/>
  <c r="J65" i="29" s="1"/>
  <c r="F65" i="29"/>
  <c r="J64" i="29" s="1"/>
  <c r="AF15" i="10"/>
  <c r="AF16" i="10" s="1"/>
  <c r="AI1" i="10"/>
  <c r="H13" i="4"/>
  <c r="I13" i="4" s="1"/>
  <c r="D13" i="4"/>
  <c r="F13" i="4" s="1"/>
  <c r="AE55" i="26"/>
  <c r="AI54" i="26" s="1"/>
  <c r="AE64" i="27"/>
  <c r="AG64" i="27" s="1"/>
  <c r="AE68" i="27"/>
  <c r="R63" i="27"/>
  <c r="D64" i="27"/>
  <c r="F64" i="27" s="1"/>
  <c r="H64" i="27" s="1"/>
  <c r="R59" i="27"/>
  <c r="AA25" i="23"/>
  <c r="AG25" i="23" s="1"/>
  <c r="Y24" i="23"/>
  <c r="X25" i="23" s="1"/>
  <c r="AT20" i="61"/>
  <c r="B20" i="10"/>
  <c r="C19" i="34"/>
  <c r="R103" i="34" s="1"/>
  <c r="AP20" i="10"/>
  <c r="R88" i="32"/>
  <c r="AE89" i="32"/>
  <c r="AG89" i="32" s="1"/>
  <c r="AE93" i="32"/>
  <c r="D89" i="32"/>
  <c r="Y14" i="6"/>
  <c r="X13" i="6" s="1"/>
  <c r="BB12" i="61"/>
  <c r="C27" i="42"/>
  <c r="AP12" i="2"/>
  <c r="B12" i="2"/>
  <c r="AG95" i="59"/>
  <c r="AG96" i="59" s="1"/>
  <c r="AK95" i="59" s="1"/>
  <c r="R94" i="59"/>
  <c r="AG100" i="59"/>
  <c r="D95" i="59"/>
  <c r="V83" i="59"/>
  <c r="V84" i="59" s="1"/>
  <c r="T83" i="59"/>
  <c r="T84" i="59" s="1"/>
  <c r="X83" i="59" s="1"/>
  <c r="AV18" i="9"/>
  <c r="AV14" i="5"/>
  <c r="AG63" i="27"/>
  <c r="AY15" i="61"/>
  <c r="B15" i="5"/>
  <c r="AP15" i="5"/>
  <c r="C24" i="39"/>
  <c r="T62" i="27"/>
  <c r="V62" i="27"/>
  <c r="AA13" i="6"/>
  <c r="AG13" i="6" s="1"/>
  <c r="AJ10" i="11"/>
  <c r="AI10" i="11"/>
  <c r="AA26" i="22"/>
  <c r="AG26" i="22" s="1"/>
  <c r="Y25" i="22"/>
  <c r="X26" i="22" s="1"/>
  <c r="F77" i="28"/>
  <c r="T63" i="28"/>
  <c r="V63" i="28"/>
  <c r="V68" i="29"/>
  <c r="T68" i="29"/>
  <c r="AV24" i="15"/>
  <c r="F28" i="20"/>
  <c r="D29" i="20"/>
  <c r="I35" i="20" s="1"/>
  <c r="AG70" i="29"/>
  <c r="AV28" i="53"/>
  <c r="Y28" i="53"/>
  <c r="Y27" i="53" s="1"/>
  <c r="BG8" i="53"/>
  <c r="H28" i="19"/>
  <c r="I28" i="19" s="1"/>
  <c r="I29" i="19" s="1"/>
  <c r="I39" i="19" s="1"/>
  <c r="D28" i="19"/>
  <c r="S7" i="19"/>
  <c r="AI80" i="32"/>
  <c r="AJ14" i="11"/>
  <c r="AI14" i="11"/>
  <c r="AV18" i="61"/>
  <c r="C21" i="36"/>
  <c r="B18" i="8"/>
  <c r="AP18" i="8"/>
  <c r="H57" i="26"/>
  <c r="BA13" i="61"/>
  <c r="C26" i="41"/>
  <c r="AP13" i="3"/>
  <c r="B13" i="3"/>
  <c r="X10" i="4"/>
  <c r="AV25" i="16"/>
  <c r="H72" i="28"/>
  <c r="BC11" i="61"/>
  <c r="B11" i="1"/>
  <c r="C28" i="43"/>
  <c r="AP11" i="1"/>
  <c r="AG88" i="32"/>
  <c r="F62" i="26"/>
  <c r="AG58" i="26"/>
  <c r="AI90" i="34"/>
  <c r="AG15" i="8"/>
  <c r="X1" i="8"/>
  <c r="J62" i="28"/>
  <c r="F74" i="30"/>
  <c r="J72" i="30"/>
  <c r="AV26" i="17"/>
  <c r="AS21" i="61"/>
  <c r="C18" i="33"/>
  <c r="B21" i="11"/>
  <c r="AP21" i="11"/>
  <c r="AG98" i="33"/>
  <c r="AJ9" i="11"/>
  <c r="AI9" i="11"/>
  <c r="AZ14" i="61"/>
  <c r="C25" i="40"/>
  <c r="AP14" i="4"/>
  <c r="B14" i="4"/>
  <c r="AG9" i="3"/>
  <c r="C11" i="26"/>
  <c r="AP28" i="18"/>
  <c r="T32" i="61"/>
  <c r="B28" i="18"/>
  <c r="H21" i="12"/>
  <c r="I21" i="12" s="1"/>
  <c r="D21" i="12"/>
  <c r="F21" i="12" s="1"/>
  <c r="G21" i="12" s="1"/>
  <c r="AV19" i="10"/>
  <c r="H22" i="13"/>
  <c r="I22" i="13" s="1"/>
  <c r="D22" i="13"/>
  <c r="F22" i="13" s="1"/>
  <c r="G22" i="13" s="1"/>
  <c r="AV11" i="2"/>
  <c r="AE84" i="31"/>
  <c r="AG84" i="31" s="1"/>
  <c r="AE88" i="31"/>
  <c r="D84" i="31"/>
  <c r="R83" i="31"/>
  <c r="AP24" i="61"/>
  <c r="AP24" i="14"/>
  <c r="B24" i="14"/>
  <c r="C15" i="30"/>
  <c r="AE94" i="59"/>
  <c r="AI94" i="59"/>
  <c r="AU19" i="61"/>
  <c r="AP19" i="9"/>
  <c r="C20" i="35"/>
  <c r="B19" i="9"/>
  <c r="AF14" i="7"/>
  <c r="AA10" i="3"/>
  <c r="AG10" i="3" s="1"/>
  <c r="AA27" i="20"/>
  <c r="AG27" i="20" s="1"/>
  <c r="Y26" i="20"/>
  <c r="X27" i="20" s="1"/>
  <c r="V72" i="28"/>
  <c r="T72" i="28"/>
  <c r="H78" i="31"/>
  <c r="H80" i="31" s="1"/>
  <c r="F80" i="31"/>
  <c r="F10" i="2"/>
  <c r="AA27" i="21"/>
  <c r="AG27" i="21" s="1"/>
  <c r="Y26" i="21"/>
  <c r="X27" i="21" s="1"/>
  <c r="H24" i="15"/>
  <c r="I24" i="15" s="1"/>
  <c r="D24" i="15"/>
  <c r="F24" i="15" s="1"/>
  <c r="G24" i="15" s="1"/>
  <c r="AV16" i="7"/>
  <c r="AE70" i="29"/>
  <c r="AI69" i="29" s="1"/>
  <c r="AV28" i="19"/>
  <c r="Y28" i="19"/>
  <c r="Y27" i="19" s="1"/>
  <c r="BG7" i="19"/>
  <c r="H60" i="27"/>
  <c r="Y12" i="4"/>
  <c r="H17" i="8"/>
  <c r="I17" i="8" s="1"/>
  <c r="D17" i="8"/>
  <c r="F17" i="8" s="1"/>
  <c r="G17" i="8" s="1"/>
  <c r="AF10" i="5"/>
  <c r="AF11" i="5" s="1"/>
  <c r="AF12" i="5" s="1"/>
  <c r="H74" i="31"/>
  <c r="H75" i="31" s="1"/>
  <c r="J75" i="31" s="1"/>
  <c r="F75" i="31"/>
  <c r="J74" i="31" s="1"/>
  <c r="H25" i="16"/>
  <c r="I25" i="16" s="1"/>
  <c r="D25" i="16"/>
  <c r="F25" i="16" s="1"/>
  <c r="G25" i="16" s="1"/>
  <c r="H10" i="1"/>
  <c r="I10" i="1" s="1"/>
  <c r="D10" i="1"/>
  <c r="T53" i="26"/>
  <c r="V53" i="26"/>
  <c r="H77" i="29"/>
  <c r="Y13" i="5"/>
  <c r="AE60" i="27"/>
  <c r="AI59" i="27" s="1"/>
  <c r="V73" i="30"/>
  <c r="T73" i="30"/>
  <c r="H26" i="17"/>
  <c r="I26" i="17" s="1"/>
  <c r="D26" i="17"/>
  <c r="F26" i="17" s="1"/>
  <c r="G26" i="17" s="1"/>
  <c r="AV20" i="11"/>
  <c r="AG93" i="33"/>
  <c r="AG95" i="33" s="1"/>
  <c r="AE95" i="33"/>
  <c r="AI94" i="33" s="1"/>
  <c r="H15" i="6"/>
  <c r="I15" i="6" s="1"/>
  <c r="D15" i="6"/>
  <c r="F15" i="6" s="1"/>
  <c r="G15" i="6" s="1"/>
  <c r="H83" i="59"/>
  <c r="H84" i="59" s="1"/>
  <c r="J84" i="59" s="1"/>
  <c r="F84" i="59"/>
  <c r="J83" i="59" s="1"/>
  <c r="AF8" i="2"/>
  <c r="V78" i="31"/>
  <c r="T78" i="31"/>
  <c r="AV13" i="4"/>
  <c r="X9" i="3"/>
  <c r="H49" i="26"/>
  <c r="H50" i="26" s="1"/>
  <c r="J50" i="26" s="1"/>
  <c r="F50" i="26"/>
  <c r="J49" i="26" s="1"/>
  <c r="AV27" i="18"/>
  <c r="AV21" i="12"/>
  <c r="X26" i="23"/>
  <c r="F65" i="28"/>
  <c r="AV22" i="13"/>
  <c r="AG65" i="28"/>
  <c r="H11" i="2"/>
  <c r="I11" i="2" s="1"/>
  <c r="D11" i="2"/>
  <c r="F11" i="2" s="1"/>
  <c r="G11" i="2" s="1"/>
  <c r="J87" i="59"/>
  <c r="H23" i="14"/>
  <c r="I23" i="14" s="1"/>
  <c r="D23" i="14"/>
  <c r="F23" i="14" s="1"/>
  <c r="G23" i="14" s="1"/>
  <c r="T88" i="59"/>
  <c r="V88" i="59"/>
  <c r="H14" i="5"/>
  <c r="I14" i="5" s="1"/>
  <c r="D14" i="5"/>
  <c r="F14" i="5" s="1"/>
  <c r="G14" i="5" s="1"/>
  <c r="V54" i="27"/>
  <c r="V55" i="27" s="1"/>
  <c r="T54" i="27"/>
  <c r="T55" i="27" s="1"/>
  <c r="X54" i="27" s="1"/>
  <c r="AG15" i="9"/>
  <c r="X1" i="9"/>
  <c r="X27" i="22"/>
  <c r="AG68" i="28"/>
  <c r="F69" i="29"/>
  <c r="J67" i="29"/>
  <c r="AO25" i="61"/>
  <c r="C14" i="29"/>
  <c r="R69" i="29" s="1"/>
  <c r="AP25" i="15"/>
  <c r="B25" i="15"/>
  <c r="AW17" i="61"/>
  <c r="B17" i="7"/>
  <c r="AP17" i="7"/>
  <c r="C22" i="37"/>
  <c r="D28" i="53"/>
  <c r="H28" i="53"/>
  <c r="I28" i="53" s="1"/>
  <c r="I29" i="53" s="1"/>
  <c r="S17" i="53" s="1"/>
  <c r="S8" i="53"/>
  <c r="F60" i="27"/>
  <c r="AA24" i="24"/>
  <c r="AG24" i="24" s="1"/>
  <c r="Y23" i="24"/>
  <c r="AV17" i="8"/>
  <c r="G12" i="5"/>
  <c r="H12" i="3"/>
  <c r="I12" i="3" s="1"/>
  <c r="D12" i="3"/>
  <c r="F12" i="3" s="1"/>
  <c r="AN26" i="61"/>
  <c r="B26" i="16"/>
  <c r="C13" i="28"/>
  <c r="AP26" i="16"/>
  <c r="AG12" i="6"/>
  <c r="AV10" i="1"/>
  <c r="T83" i="32"/>
  <c r="V83" i="32"/>
  <c r="Y15" i="7"/>
  <c r="X28" i="20"/>
  <c r="AA28" i="20"/>
  <c r="AG28" i="20" s="1"/>
  <c r="V57" i="26"/>
  <c r="T57" i="26"/>
  <c r="AG85" i="32"/>
  <c r="AG60" i="27"/>
  <c r="AG78" i="30"/>
  <c r="AE80" i="30"/>
  <c r="AI79" i="30" s="1"/>
  <c r="AM27" i="61"/>
  <c r="C12" i="27"/>
  <c r="AH3" i="27" s="1"/>
  <c r="B27" i="17"/>
  <c r="AP27" i="17"/>
  <c r="V88" i="33"/>
  <c r="T88" i="33"/>
  <c r="AX16" i="61"/>
  <c r="EX139" i="61" s="1"/>
  <c r="GI139" i="61" s="1"/>
  <c r="AP16" i="6"/>
  <c r="B16" i="6"/>
  <c r="C23" i="38"/>
  <c r="X8" i="2"/>
  <c r="AG83" i="31"/>
  <c r="AI50" i="26"/>
  <c r="H62" i="27"/>
  <c r="Y1" i="10"/>
  <c r="AB16" i="10" s="1"/>
  <c r="AG55" i="26"/>
  <c r="H27" i="18"/>
  <c r="I27" i="18" s="1"/>
  <c r="D27" i="18"/>
  <c r="F27" i="18" s="1"/>
  <c r="G27" i="18" s="1"/>
  <c r="AR22" i="61"/>
  <c r="L301" i="66" s="1"/>
  <c r="B22" i="12"/>
  <c r="C17" i="32"/>
  <c r="AE98" i="32" s="1"/>
  <c r="AP22" i="12"/>
  <c r="H65" i="28"/>
  <c r="H19" i="10"/>
  <c r="I19" i="10" s="1"/>
  <c r="D19" i="10"/>
  <c r="F19" i="10" s="1"/>
  <c r="G19" i="10" s="1"/>
  <c r="AQ23" i="61"/>
  <c r="D294" i="66" s="1"/>
  <c r="C16" i="59"/>
  <c r="B23" i="13"/>
  <c r="AP23" i="13"/>
  <c r="C16" i="31"/>
  <c r="AE65" i="28"/>
  <c r="AI64" i="28" s="1"/>
  <c r="H88" i="59"/>
  <c r="H90" i="59" s="1"/>
  <c r="F90" i="59"/>
  <c r="AV23" i="14"/>
  <c r="AE89" i="59"/>
  <c r="AI89" i="59"/>
  <c r="AI90" i="59" s="1"/>
  <c r="AK90" i="59" s="1"/>
  <c r="H18" i="9"/>
  <c r="I18" i="9" s="1"/>
  <c r="D18" i="9"/>
  <c r="F18" i="9" s="1"/>
  <c r="G18" i="9" s="1"/>
  <c r="GH129" i="61" l="1"/>
  <c r="N8" i="64" s="1"/>
  <c r="A293" i="66"/>
  <c r="AK44" i="27"/>
  <c r="AM44" i="27" s="1"/>
  <c r="AS44" i="27" s="1"/>
  <c r="L54" i="27"/>
  <c r="V103" i="35"/>
  <c r="AG130" i="40"/>
  <c r="AE125" i="39"/>
  <c r="AI124" i="39" s="1"/>
  <c r="AG105" i="35"/>
  <c r="AE120" i="38"/>
  <c r="AI119" i="38" s="1"/>
  <c r="X10" i="3"/>
  <c r="AE115" i="37"/>
  <c r="AI114" i="37" s="1"/>
  <c r="J80" i="31"/>
  <c r="AE105" i="35"/>
  <c r="AI104" i="35" s="1"/>
  <c r="L85" i="37"/>
  <c r="N85" i="37" s="1"/>
  <c r="AQ85" i="37" s="1"/>
  <c r="EY128" i="61"/>
  <c r="K7" i="64"/>
  <c r="GC129" i="61"/>
  <c r="GD129" i="61" s="1"/>
  <c r="ER129" i="61"/>
  <c r="ET128" i="61"/>
  <c r="ES128" i="61"/>
  <c r="H7" i="64" s="1"/>
  <c r="D342" i="65"/>
  <c r="A342" i="65" s="1"/>
  <c r="EK131" i="61"/>
  <c r="FW131" i="61"/>
  <c r="EO131" i="61"/>
  <c r="GA131" i="61"/>
  <c r="DW131" i="61"/>
  <c r="FI131" i="61"/>
  <c r="EN131" i="61"/>
  <c r="FZ131" i="61"/>
  <c r="DX131" i="61"/>
  <c r="FJ131" i="61"/>
  <c r="EH131" i="61"/>
  <c r="FT131" i="61"/>
  <c r="DU131" i="61"/>
  <c r="FG131" i="61"/>
  <c r="DY131" i="61"/>
  <c r="FK131" i="61"/>
  <c r="EI131" i="61"/>
  <c r="FU131" i="61"/>
  <c r="EJ131" i="61"/>
  <c r="FV131" i="61"/>
  <c r="DT131" i="61"/>
  <c r="FF131" i="61"/>
  <c r="ED131" i="61"/>
  <c r="FP131" i="61"/>
  <c r="EG131" i="61"/>
  <c r="FS131" i="61"/>
  <c r="EM131" i="61"/>
  <c r="FY131" i="61"/>
  <c r="EA131" i="61"/>
  <c r="FM131" i="61"/>
  <c r="EF131" i="61"/>
  <c r="FR131" i="61"/>
  <c r="GB131" i="61"/>
  <c r="DZ131" i="61"/>
  <c r="FL131" i="61"/>
  <c r="DR130" i="61"/>
  <c r="EZ130" i="61" s="1"/>
  <c r="FD130" i="61"/>
  <c r="GE130" i="61" s="1"/>
  <c r="L9" i="64" s="1"/>
  <c r="EC131" i="61"/>
  <c r="FO131" i="61"/>
  <c r="EE131" i="61"/>
  <c r="FQ131" i="61"/>
  <c r="DS131" i="61"/>
  <c r="FE131" i="61"/>
  <c r="EB131" i="61"/>
  <c r="FN131" i="61"/>
  <c r="EL131" i="61"/>
  <c r="FX131" i="61"/>
  <c r="DV131" i="61"/>
  <c r="FH131" i="61"/>
  <c r="B253" i="66"/>
  <c r="J342" i="66"/>
  <c r="B342" i="65" s="1"/>
  <c r="EP132" i="61"/>
  <c r="EU131" i="61"/>
  <c r="EV131" i="61" s="1"/>
  <c r="AE130" i="40"/>
  <c r="AI129" i="40" s="1"/>
  <c r="AI130" i="40" s="1"/>
  <c r="J79" i="31"/>
  <c r="L323" i="66"/>
  <c r="D298" i="66"/>
  <c r="I298" i="66"/>
  <c r="J298" i="66"/>
  <c r="B298" i="65" s="1"/>
  <c r="D298" i="65"/>
  <c r="A298" i="65" s="1"/>
  <c r="D333" i="66"/>
  <c r="B333" i="66" s="1"/>
  <c r="D287" i="66"/>
  <c r="L311" i="66"/>
  <c r="B275" i="66"/>
  <c r="A275" i="66"/>
  <c r="D310" i="65"/>
  <c r="A310" i="65" s="1"/>
  <c r="I310" i="66"/>
  <c r="J310" i="66"/>
  <c r="B310" i="65" s="1"/>
  <c r="L287" i="66"/>
  <c r="D265" i="66"/>
  <c r="A297" i="66"/>
  <c r="B297" i="66"/>
  <c r="A286" i="66"/>
  <c r="B286" i="66"/>
  <c r="L343" i="66"/>
  <c r="J343" i="66" s="1"/>
  <c r="B343" i="65" s="1"/>
  <c r="D276" i="66"/>
  <c r="L299" i="66"/>
  <c r="D322" i="65"/>
  <c r="I322" i="66"/>
  <c r="J322" i="66"/>
  <c r="B322" i="65" s="1"/>
  <c r="Z64" i="31"/>
  <c r="AB64" i="31" s="1"/>
  <c r="V93" i="33"/>
  <c r="AI90" i="33"/>
  <c r="L79" i="35"/>
  <c r="N79" i="35" s="1"/>
  <c r="AQ79" i="35" s="1"/>
  <c r="AK64" i="31"/>
  <c r="AM64" i="31" s="1"/>
  <c r="AS64" i="31" s="1"/>
  <c r="AR54" i="29"/>
  <c r="AT54" i="29" s="1"/>
  <c r="D9" i="29" s="1"/>
  <c r="AK59" i="29" s="1"/>
  <c r="AM59" i="29" s="1"/>
  <c r="AS59" i="29" s="1"/>
  <c r="Z74" i="35"/>
  <c r="AB74" i="35" s="1"/>
  <c r="X105" i="37"/>
  <c r="AI150" i="41"/>
  <c r="AG80" i="30"/>
  <c r="AI80" i="30" s="1"/>
  <c r="Z79" i="37"/>
  <c r="AB79" i="37" s="1"/>
  <c r="Z80" i="37"/>
  <c r="AB80" i="37" s="1"/>
  <c r="AI120" i="39"/>
  <c r="AI115" i="37"/>
  <c r="AI125" i="39"/>
  <c r="L79" i="36"/>
  <c r="N79" i="36" s="1"/>
  <c r="AQ79" i="36" s="1"/>
  <c r="AI120" i="38"/>
  <c r="B294" i="66"/>
  <c r="A294" i="66"/>
  <c r="D307" i="66"/>
  <c r="L329" i="66"/>
  <c r="B306" i="66"/>
  <c r="A306" i="66"/>
  <c r="D346" i="66"/>
  <c r="L371" i="66"/>
  <c r="J370" i="66"/>
  <c r="B370" i="65" s="1"/>
  <c r="I370" i="66"/>
  <c r="D370" i="65"/>
  <c r="A370" i="65" s="1"/>
  <c r="D286" i="65"/>
  <c r="A286" i="65" s="1"/>
  <c r="I286" i="66"/>
  <c r="J286" i="66"/>
  <c r="B286" i="65" s="1"/>
  <c r="X100" i="36"/>
  <c r="B345" i="66"/>
  <c r="A345" i="66"/>
  <c r="A267" i="66"/>
  <c r="B267" i="66"/>
  <c r="D301" i="65"/>
  <c r="A301" i="65" s="1"/>
  <c r="I301" i="66"/>
  <c r="J301" i="66"/>
  <c r="B301" i="65" s="1"/>
  <c r="D328" i="65"/>
  <c r="A328" i="65" s="1"/>
  <c r="J328" i="66"/>
  <c r="B328" i="65" s="1"/>
  <c r="I328" i="66"/>
  <c r="X110" i="38"/>
  <c r="R114" i="37"/>
  <c r="AE123" i="37"/>
  <c r="R118" i="37"/>
  <c r="D119" i="37"/>
  <c r="F119" i="37" s="1"/>
  <c r="H119" i="37" s="1"/>
  <c r="AE119" i="37"/>
  <c r="AG119" i="37" s="1"/>
  <c r="D395" i="66"/>
  <c r="L415" i="66"/>
  <c r="R109" i="36"/>
  <c r="D118" i="36"/>
  <c r="F118" i="36" s="1"/>
  <c r="H118" i="36" s="1"/>
  <c r="AE114" i="36"/>
  <c r="AG114" i="36" s="1"/>
  <c r="D114" i="36"/>
  <c r="F114" i="36" s="1"/>
  <c r="H114" i="36" s="1"/>
  <c r="AE118" i="36"/>
  <c r="R113" i="36"/>
  <c r="D357" i="66"/>
  <c r="D104" i="34"/>
  <c r="F104" i="34" s="1"/>
  <c r="H104" i="34" s="1"/>
  <c r="AE104" i="34"/>
  <c r="AG104" i="34" s="1"/>
  <c r="AG113" i="36"/>
  <c r="T112" i="36"/>
  <c r="V112" i="36"/>
  <c r="A375" i="66"/>
  <c r="B375" i="66"/>
  <c r="B261" i="66"/>
  <c r="A261" i="66"/>
  <c r="H103" i="34"/>
  <c r="J130" i="41"/>
  <c r="N130" i="41" s="1"/>
  <c r="AQ130" i="41" s="1"/>
  <c r="J129" i="41"/>
  <c r="N129" i="41" s="1"/>
  <c r="AQ129" i="41" s="1"/>
  <c r="H109" i="37"/>
  <c r="H110" i="37" s="1"/>
  <c r="J110" i="37" s="1"/>
  <c r="F110" i="37"/>
  <c r="J109" i="37" s="1"/>
  <c r="D334" i="65"/>
  <c r="J334" i="66"/>
  <c r="B334" i="65" s="1"/>
  <c r="I334" i="66"/>
  <c r="V107" i="35"/>
  <c r="T107" i="35"/>
  <c r="B470" i="66"/>
  <c r="A470" i="66"/>
  <c r="T133" i="40"/>
  <c r="V133" i="40"/>
  <c r="F139" i="40"/>
  <c r="H139" i="40" s="1"/>
  <c r="J137" i="40"/>
  <c r="F149" i="40"/>
  <c r="H149" i="40" s="1"/>
  <c r="J147" i="40"/>
  <c r="J149" i="41"/>
  <c r="N149" i="41" s="1"/>
  <c r="AQ149" i="41" s="1"/>
  <c r="J150" i="41"/>
  <c r="N150" i="41" s="1"/>
  <c r="AQ150" i="41" s="1"/>
  <c r="AI110" i="37"/>
  <c r="B413" i="66"/>
  <c r="A413" i="66"/>
  <c r="AG128" i="39"/>
  <c r="B356" i="66"/>
  <c r="A356" i="66"/>
  <c r="AG123" i="38"/>
  <c r="V114" i="38"/>
  <c r="V115" i="38" s="1"/>
  <c r="T114" i="38"/>
  <c r="T115" i="38" s="1"/>
  <c r="X114" i="38" s="1"/>
  <c r="J124" i="40"/>
  <c r="N124" i="40" s="1"/>
  <c r="AQ124" i="40" s="1"/>
  <c r="J125" i="40"/>
  <c r="N125" i="40" s="1"/>
  <c r="AQ125" i="40" s="1"/>
  <c r="H111" i="59"/>
  <c r="D354" i="65"/>
  <c r="A354" i="65" s="1"/>
  <c r="I354" i="66"/>
  <c r="J354" i="66"/>
  <c r="B354" i="65" s="1"/>
  <c r="B489" i="66"/>
  <c r="A489" i="66"/>
  <c r="B280" i="66"/>
  <c r="A280" i="66"/>
  <c r="R95" i="59"/>
  <c r="T95" i="59" s="1"/>
  <c r="R111" i="59"/>
  <c r="D112" i="59"/>
  <c r="F112" i="59" s="1"/>
  <c r="H112" i="59" s="1"/>
  <c r="D117" i="59"/>
  <c r="F117" i="59" s="1"/>
  <c r="D281" i="66"/>
  <c r="L295" i="66"/>
  <c r="R84" i="31"/>
  <c r="V84" i="31" s="1"/>
  <c r="D98" i="31"/>
  <c r="F98" i="31" s="1"/>
  <c r="H98" i="31" s="1"/>
  <c r="D102" i="31"/>
  <c r="F102" i="31" s="1"/>
  <c r="R97" i="31"/>
  <c r="D414" i="66"/>
  <c r="L435" i="66"/>
  <c r="AE128" i="38"/>
  <c r="R123" i="38"/>
  <c r="AE124" i="38"/>
  <c r="AG124" i="38" s="1"/>
  <c r="D124" i="38"/>
  <c r="T20" i="27"/>
  <c r="T14" i="27"/>
  <c r="V14" i="27" s="1"/>
  <c r="L315" i="66"/>
  <c r="D452" i="66"/>
  <c r="L475" i="66"/>
  <c r="R104" i="35"/>
  <c r="D113" i="35"/>
  <c r="R112" i="35"/>
  <c r="D117" i="35"/>
  <c r="AE109" i="35"/>
  <c r="AE113" i="35"/>
  <c r="R108" i="35"/>
  <c r="D109" i="35"/>
  <c r="D433" i="66"/>
  <c r="L455" i="66"/>
  <c r="D319" i="66"/>
  <c r="L335" i="66"/>
  <c r="J140" i="41"/>
  <c r="N140" i="41" s="1"/>
  <c r="AQ140" i="41" s="1"/>
  <c r="J139" i="41"/>
  <c r="N139" i="41" s="1"/>
  <c r="AQ139" i="41" s="1"/>
  <c r="AG109" i="36"/>
  <c r="AG110" i="36" s="1"/>
  <c r="AE110" i="36"/>
  <c r="AI109" i="36" s="1"/>
  <c r="F113" i="36"/>
  <c r="V89" i="34"/>
  <c r="V90" i="34" s="1"/>
  <c r="T89" i="34"/>
  <c r="T90" i="34" s="1"/>
  <c r="X89" i="34" s="1"/>
  <c r="H119" i="39"/>
  <c r="H120" i="39" s="1"/>
  <c r="J120" i="39" s="1"/>
  <c r="F120" i="39"/>
  <c r="J119" i="39" s="1"/>
  <c r="B318" i="66"/>
  <c r="A318" i="66"/>
  <c r="D314" i="65"/>
  <c r="A314" i="65" s="1"/>
  <c r="I314" i="66"/>
  <c r="J314" i="66"/>
  <c r="B314" i="65" s="1"/>
  <c r="T148" i="40"/>
  <c r="V148" i="40"/>
  <c r="J132" i="40"/>
  <c r="F134" i="40"/>
  <c r="H134" i="40" s="1"/>
  <c r="AE150" i="40"/>
  <c r="AI149" i="40" s="1"/>
  <c r="AG148" i="40"/>
  <c r="AG150" i="40" s="1"/>
  <c r="AE145" i="40"/>
  <c r="AI144" i="40" s="1"/>
  <c r="AG143" i="40"/>
  <c r="AG145" i="40" s="1"/>
  <c r="AE140" i="40"/>
  <c r="AI139" i="40" s="1"/>
  <c r="AG138" i="40"/>
  <c r="AG140" i="40" s="1"/>
  <c r="H97" i="31"/>
  <c r="T97" i="32"/>
  <c r="V97" i="32"/>
  <c r="V113" i="37"/>
  <c r="T113" i="37"/>
  <c r="F119" i="38"/>
  <c r="J117" i="38"/>
  <c r="J135" i="41"/>
  <c r="N135" i="41" s="1"/>
  <c r="AQ135" i="41" s="1"/>
  <c r="J134" i="41"/>
  <c r="N134" i="41" s="1"/>
  <c r="AQ134" i="41" s="1"/>
  <c r="F120" i="37"/>
  <c r="H117" i="37"/>
  <c r="H120" i="37" s="1"/>
  <c r="V99" i="59"/>
  <c r="T99" i="59"/>
  <c r="D474" i="65"/>
  <c r="A474" i="65" s="1"/>
  <c r="I474" i="66"/>
  <c r="J474" i="66"/>
  <c r="B474" i="65" s="1"/>
  <c r="D490" i="66"/>
  <c r="L515" i="66"/>
  <c r="R87" i="30"/>
  <c r="D97" i="30"/>
  <c r="F97" i="30" s="1"/>
  <c r="R89" i="33"/>
  <c r="D103" i="33"/>
  <c r="F103" i="33" s="1"/>
  <c r="R102" i="33"/>
  <c r="D107" i="33"/>
  <c r="F107" i="33" s="1"/>
  <c r="D108" i="34"/>
  <c r="F108" i="34" s="1"/>
  <c r="H108" i="34" s="1"/>
  <c r="R99" i="34"/>
  <c r="R107" i="34"/>
  <c r="D112" i="34"/>
  <c r="F112" i="34" s="1"/>
  <c r="AI145" i="41"/>
  <c r="J107" i="36"/>
  <c r="F109" i="36"/>
  <c r="T104" i="36"/>
  <c r="T105" i="36" s="1"/>
  <c r="X104" i="36" s="1"/>
  <c r="V104" i="36"/>
  <c r="V105" i="36" s="1"/>
  <c r="H107" i="34"/>
  <c r="D454" i="65"/>
  <c r="A454" i="65" s="1"/>
  <c r="J454" i="66"/>
  <c r="B454" i="65" s="1"/>
  <c r="I454" i="66"/>
  <c r="F105" i="35"/>
  <c r="T99" i="35"/>
  <c r="T100" i="35" s="1"/>
  <c r="X99" i="35" s="1"/>
  <c r="V99" i="35"/>
  <c r="V100" i="35" s="1"/>
  <c r="AE135" i="40"/>
  <c r="AI134" i="40" s="1"/>
  <c r="AG133" i="40"/>
  <c r="AG135" i="40" s="1"/>
  <c r="F129" i="40"/>
  <c r="H129" i="40" s="1"/>
  <c r="J127" i="40"/>
  <c r="T143" i="40"/>
  <c r="V143" i="40"/>
  <c r="F144" i="40"/>
  <c r="H144" i="40" s="1"/>
  <c r="J142" i="40"/>
  <c r="AI140" i="41"/>
  <c r="X115" i="39"/>
  <c r="T87" i="31"/>
  <c r="V87" i="31"/>
  <c r="F124" i="39"/>
  <c r="H124" i="39" s="1"/>
  <c r="J122" i="39"/>
  <c r="T118" i="38"/>
  <c r="V118" i="38"/>
  <c r="D414" i="65"/>
  <c r="A414" i="65" s="1"/>
  <c r="I414" i="66"/>
  <c r="J414" i="66"/>
  <c r="B414" i="65" s="1"/>
  <c r="B451" i="66"/>
  <c r="A451" i="66"/>
  <c r="D471" i="66"/>
  <c r="L495" i="66"/>
  <c r="D338" i="66"/>
  <c r="L355" i="66"/>
  <c r="D376" i="66"/>
  <c r="L395" i="66"/>
  <c r="AE133" i="39"/>
  <c r="D139" i="39"/>
  <c r="AE139" i="39"/>
  <c r="AG139" i="39" s="1"/>
  <c r="AE148" i="39"/>
  <c r="AE144" i="39"/>
  <c r="AG144" i="39" s="1"/>
  <c r="R133" i="39"/>
  <c r="D144" i="39"/>
  <c r="AE129" i="39"/>
  <c r="AG129" i="39" s="1"/>
  <c r="R138" i="39"/>
  <c r="D129" i="39"/>
  <c r="AE149" i="39"/>
  <c r="AG149" i="39" s="1"/>
  <c r="R128" i="39"/>
  <c r="AE134" i="39"/>
  <c r="AG134" i="39" s="1"/>
  <c r="R143" i="39"/>
  <c r="D134" i="39"/>
  <c r="R148" i="39"/>
  <c r="AE143" i="39"/>
  <c r="AE138" i="39"/>
  <c r="D149" i="39"/>
  <c r="AE108" i="34"/>
  <c r="AG108" i="34" s="1"/>
  <c r="H99" i="35"/>
  <c r="H100" i="35" s="1"/>
  <c r="F100" i="35"/>
  <c r="J99" i="35" s="1"/>
  <c r="X90" i="35"/>
  <c r="V108" i="36"/>
  <c r="T108" i="36"/>
  <c r="F117" i="36"/>
  <c r="D394" i="65"/>
  <c r="A394" i="65" s="1"/>
  <c r="J394" i="66"/>
  <c r="B394" i="65" s="1"/>
  <c r="I394" i="66"/>
  <c r="D274" i="65"/>
  <c r="A274" i="65" s="1"/>
  <c r="I274" i="66"/>
  <c r="J274" i="66"/>
  <c r="B274" i="65" s="1"/>
  <c r="V102" i="34"/>
  <c r="T102" i="34"/>
  <c r="B432" i="66"/>
  <c r="A432" i="66"/>
  <c r="H113" i="37"/>
  <c r="H115" i="37" s="1"/>
  <c r="J115" i="37" s="1"/>
  <c r="F115" i="37"/>
  <c r="J114" i="37" s="1"/>
  <c r="H105" i="35"/>
  <c r="H112" i="35"/>
  <c r="D494" i="65"/>
  <c r="A494" i="65" s="1"/>
  <c r="I494" i="66"/>
  <c r="J494" i="66"/>
  <c r="B494" i="65" s="1"/>
  <c r="T138" i="40"/>
  <c r="V138" i="40"/>
  <c r="V128" i="40"/>
  <c r="T128" i="40"/>
  <c r="D434" i="65"/>
  <c r="A434" i="65" s="1"/>
  <c r="I434" i="66"/>
  <c r="J434" i="66"/>
  <c r="B434" i="65" s="1"/>
  <c r="H102" i="32"/>
  <c r="T123" i="39"/>
  <c r="V123" i="39"/>
  <c r="AG118" i="37"/>
  <c r="AG120" i="37" s="1"/>
  <c r="V109" i="37"/>
  <c r="V110" i="37" s="1"/>
  <c r="T109" i="37"/>
  <c r="T110" i="37" s="1"/>
  <c r="X109" i="37" s="1"/>
  <c r="AI135" i="41"/>
  <c r="J145" i="41"/>
  <c r="N145" i="41" s="1"/>
  <c r="AQ145" i="41" s="1"/>
  <c r="J144" i="41"/>
  <c r="N144" i="41" s="1"/>
  <c r="AQ144" i="41" s="1"/>
  <c r="B394" i="66"/>
  <c r="A394" i="66"/>
  <c r="D514" i="65"/>
  <c r="A514" i="65" s="1"/>
  <c r="J514" i="66"/>
  <c r="B514" i="65" s="1"/>
  <c r="I514" i="66"/>
  <c r="D294" i="65"/>
  <c r="I294" i="66"/>
  <c r="J294" i="66"/>
  <c r="B294" i="65" s="1"/>
  <c r="AR65" i="59"/>
  <c r="AR41" i="59"/>
  <c r="AV41" i="59" s="1"/>
  <c r="AE24" i="59"/>
  <c r="BA8" i="59"/>
  <c r="BD5" i="59"/>
  <c r="BF8" i="59"/>
  <c r="BE5" i="59"/>
  <c r="BG7" i="59"/>
  <c r="BB4" i="59"/>
  <c r="BD6" i="59"/>
  <c r="BF7" i="59"/>
  <c r="BE4" i="59"/>
  <c r="BG6" i="59"/>
  <c r="BA6" i="59"/>
  <c r="BC8" i="59"/>
  <c r="BF6" i="59"/>
  <c r="BH8" i="59"/>
  <c r="BG5" i="59"/>
  <c r="BA7" i="59"/>
  <c r="BD4" i="59"/>
  <c r="BF5" i="59"/>
  <c r="BH7" i="59"/>
  <c r="BG4" i="59"/>
  <c r="BB7" i="59"/>
  <c r="BA4" i="59"/>
  <c r="BC6" i="59"/>
  <c r="BF4" i="59"/>
  <c r="BH6" i="59"/>
  <c r="BB8" i="59"/>
  <c r="BA5" i="59"/>
  <c r="BC7" i="59"/>
  <c r="BE8" i="59"/>
  <c r="BH5" i="59"/>
  <c r="BB5" i="59"/>
  <c r="BD7" i="59"/>
  <c r="BC4" i="59"/>
  <c r="BE7" i="59"/>
  <c r="BH4" i="59"/>
  <c r="BB6" i="59"/>
  <c r="BD8" i="59"/>
  <c r="BC5" i="59"/>
  <c r="BE6" i="59"/>
  <c r="BG8" i="59"/>
  <c r="A293" i="65"/>
  <c r="A267" i="65"/>
  <c r="A280" i="65"/>
  <c r="A319" i="65"/>
  <c r="A332" i="65"/>
  <c r="A306" i="65"/>
  <c r="N55" i="27"/>
  <c r="AQ55" i="27" s="1"/>
  <c r="F65" i="27"/>
  <c r="N60" i="28"/>
  <c r="AQ60" i="28" s="1"/>
  <c r="D77" i="27"/>
  <c r="V26" i="27"/>
  <c r="V9" i="27"/>
  <c r="X9" i="27" s="1"/>
  <c r="T3" i="27"/>
  <c r="N15" i="27"/>
  <c r="N17" i="27" s="1"/>
  <c r="P14" i="27"/>
  <c r="L15" i="27"/>
  <c r="L17" i="27" s="1"/>
  <c r="X8" i="27"/>
  <c r="L22" i="27"/>
  <c r="L23" i="27" s="1"/>
  <c r="J23" i="27"/>
  <c r="N22" i="27" s="1"/>
  <c r="X2" i="27"/>
  <c r="V2" i="27"/>
  <c r="AJ3" i="27"/>
  <c r="AI60" i="27"/>
  <c r="AM60" i="27" s="1"/>
  <c r="AS60" i="27" s="1"/>
  <c r="V85" i="32"/>
  <c r="Y10" i="1"/>
  <c r="AI80" i="31"/>
  <c r="AI75" i="30"/>
  <c r="AK65" i="31"/>
  <c r="AM65" i="31" s="1"/>
  <c r="AS65" i="31" s="1"/>
  <c r="T85" i="32"/>
  <c r="X84" i="32" s="1"/>
  <c r="J62" i="27"/>
  <c r="AI85" i="32"/>
  <c r="AE60" i="26"/>
  <c r="AI59" i="26" s="1"/>
  <c r="H65" i="27"/>
  <c r="AA22" i="25"/>
  <c r="AG22" i="25" s="1"/>
  <c r="Y21" i="25"/>
  <c r="AE85" i="31"/>
  <c r="AI84" i="31" s="1"/>
  <c r="AR39" i="26"/>
  <c r="AT39" i="26" s="1"/>
  <c r="D6" i="26" s="1"/>
  <c r="AK44" i="26" s="1"/>
  <c r="AM44" i="26" s="1"/>
  <c r="AS44" i="26" s="1"/>
  <c r="N54" i="27"/>
  <c r="AQ54" i="27" s="1"/>
  <c r="AG85" i="31"/>
  <c r="J92" i="33"/>
  <c r="J94" i="33" s="1"/>
  <c r="N94" i="33" s="1"/>
  <c r="AQ94" i="33" s="1"/>
  <c r="Z74" i="36"/>
  <c r="AB74" i="36" s="1"/>
  <c r="Z75" i="35"/>
  <c r="AB75" i="35" s="1"/>
  <c r="L80" i="35"/>
  <c r="N80" i="35" s="1"/>
  <c r="AQ80" i="35" s="1"/>
  <c r="AG90" i="32"/>
  <c r="AR50" i="27"/>
  <c r="AE90" i="32"/>
  <c r="AI89" i="32" s="1"/>
  <c r="AG65" i="27"/>
  <c r="AB65" i="31"/>
  <c r="L65" i="29"/>
  <c r="N65" i="29" s="1"/>
  <c r="AQ65" i="29" s="1"/>
  <c r="Y11" i="2"/>
  <c r="X10" i="2" s="1"/>
  <c r="AI105" i="35"/>
  <c r="X80" i="32"/>
  <c r="X70" i="30"/>
  <c r="D83" i="29"/>
  <c r="F83" i="29" s="1"/>
  <c r="H83" i="29" s="1"/>
  <c r="R82" i="29"/>
  <c r="D87" i="29"/>
  <c r="F87" i="29" s="1"/>
  <c r="D99" i="33"/>
  <c r="AE99" i="33"/>
  <c r="R98" i="33"/>
  <c r="AE103" i="33"/>
  <c r="D94" i="32"/>
  <c r="F94" i="32" s="1"/>
  <c r="H94" i="32" s="1"/>
  <c r="AE94" i="32"/>
  <c r="AG94" i="32" s="1"/>
  <c r="D73" i="27"/>
  <c r="F73" i="27" s="1"/>
  <c r="H73" i="27" s="1"/>
  <c r="H84" i="32"/>
  <c r="H85" i="32" s="1"/>
  <c r="J85" i="32" s="1"/>
  <c r="F85" i="32"/>
  <c r="J84" i="32" s="1"/>
  <c r="AG99" i="34"/>
  <c r="AG100" i="34" s="1"/>
  <c r="AE100" i="34"/>
  <c r="AI99" i="34" s="1"/>
  <c r="T103" i="34"/>
  <c r="V103" i="34"/>
  <c r="H87" i="30"/>
  <c r="H82" i="29"/>
  <c r="AI100" i="35"/>
  <c r="T84" i="31"/>
  <c r="R93" i="32"/>
  <c r="T93" i="32" s="1"/>
  <c r="H89" i="33"/>
  <c r="H90" i="33" s="1"/>
  <c r="J90" i="33" s="1"/>
  <c r="F90" i="33"/>
  <c r="J89" i="33" s="1"/>
  <c r="F99" i="34"/>
  <c r="J97" i="34"/>
  <c r="AR70" i="36"/>
  <c r="AT70" i="36" s="1"/>
  <c r="E12" i="36" s="1"/>
  <c r="AK75" i="36" s="1"/>
  <c r="AM75" i="36" s="1"/>
  <c r="AS75" i="36" s="1"/>
  <c r="T77" i="29"/>
  <c r="V77" i="29"/>
  <c r="V67" i="27"/>
  <c r="T67" i="27"/>
  <c r="R67" i="26"/>
  <c r="D68" i="26"/>
  <c r="F68" i="26" s="1"/>
  <c r="Z50" i="26"/>
  <c r="AB50" i="26" s="1"/>
  <c r="L55" i="26"/>
  <c r="R72" i="27"/>
  <c r="T72" i="27" s="1"/>
  <c r="H54" i="26"/>
  <c r="H55" i="26" s="1"/>
  <c r="J55" i="26" s="1"/>
  <c r="F55" i="26"/>
  <c r="J54" i="26" s="1"/>
  <c r="D72" i="26"/>
  <c r="F72" i="26" s="1"/>
  <c r="Z70" i="33"/>
  <c r="AB70" i="33" s="1"/>
  <c r="L75" i="33"/>
  <c r="N75" i="33" s="1"/>
  <c r="AQ75" i="33" s="1"/>
  <c r="L70" i="31"/>
  <c r="N70" i="31" s="1"/>
  <c r="AQ70" i="31" s="1"/>
  <c r="T79" i="31"/>
  <c r="T80" i="31" s="1"/>
  <c r="X79" i="31" s="1"/>
  <c r="V79" i="31"/>
  <c r="V80" i="31" s="1"/>
  <c r="T98" i="34"/>
  <c r="V98" i="34"/>
  <c r="V82" i="30"/>
  <c r="T82" i="30"/>
  <c r="J100" i="35"/>
  <c r="J104" i="35"/>
  <c r="J105" i="35"/>
  <c r="V89" i="59"/>
  <c r="V90" i="59" s="1"/>
  <c r="T89" i="59"/>
  <c r="T90" i="59" s="1"/>
  <c r="X89" i="59" s="1"/>
  <c r="V69" i="29"/>
  <c r="V70" i="29" s="1"/>
  <c r="T69" i="29"/>
  <c r="T70" i="29" s="1"/>
  <c r="X69" i="29" s="1"/>
  <c r="H68" i="27"/>
  <c r="D82" i="28"/>
  <c r="F82" i="28" s="1"/>
  <c r="R77" i="28"/>
  <c r="H69" i="29"/>
  <c r="H70" i="29" s="1"/>
  <c r="J70" i="29" s="1"/>
  <c r="F70" i="29"/>
  <c r="J69" i="29" s="1"/>
  <c r="R79" i="30"/>
  <c r="D88" i="30"/>
  <c r="F88" i="30" s="1"/>
  <c r="H88" i="30" s="1"/>
  <c r="Z69" i="33"/>
  <c r="AB69" i="33" s="1"/>
  <c r="L74" i="33"/>
  <c r="N74" i="33" s="1"/>
  <c r="AQ74" i="33" s="1"/>
  <c r="AK64" i="32"/>
  <c r="AM64" i="32" s="1"/>
  <c r="AS64" i="32" s="1"/>
  <c r="L69" i="32"/>
  <c r="N69" i="32" s="1"/>
  <c r="AQ69" i="32" s="1"/>
  <c r="AG103" i="34"/>
  <c r="AG105" i="34" s="1"/>
  <c r="AR50" i="28"/>
  <c r="AR49" i="28"/>
  <c r="AR49" i="27"/>
  <c r="Z64" i="32"/>
  <c r="AB64" i="32" s="1"/>
  <c r="Y13" i="4"/>
  <c r="X12" i="4" s="1"/>
  <c r="AK69" i="33"/>
  <c r="AM69" i="33" s="1"/>
  <c r="AS69" i="33" s="1"/>
  <c r="X8" i="1"/>
  <c r="L64" i="29"/>
  <c r="N64" i="29" s="1"/>
  <c r="AQ64" i="29" s="1"/>
  <c r="AI55" i="26"/>
  <c r="J77" i="30"/>
  <c r="AE65" i="27"/>
  <c r="AI64" i="27" s="1"/>
  <c r="X75" i="31"/>
  <c r="AK54" i="28"/>
  <c r="AM54" i="28" s="1"/>
  <c r="AS54" i="28" s="1"/>
  <c r="Z54" i="28"/>
  <c r="AB54" i="28" s="1"/>
  <c r="AR55" i="28" s="1"/>
  <c r="AT55" i="28" s="1"/>
  <c r="E9" i="28" s="1"/>
  <c r="L59" i="28"/>
  <c r="N59" i="28" s="1"/>
  <c r="AQ59" i="28" s="1"/>
  <c r="Z65" i="32"/>
  <c r="AB65" i="32" s="1"/>
  <c r="AK65" i="32"/>
  <c r="AM65" i="32" s="1"/>
  <c r="AS65" i="32" s="1"/>
  <c r="AR45" i="28"/>
  <c r="AT45" i="28" s="1"/>
  <c r="E7" i="28" s="1"/>
  <c r="AK50" i="28" s="1"/>
  <c r="AM50" i="28" s="1"/>
  <c r="AS50" i="28" s="1"/>
  <c r="AR44" i="28"/>
  <c r="AT44" i="28" s="1"/>
  <c r="D7" i="28" s="1"/>
  <c r="AK49" i="28" s="1"/>
  <c r="AM49" i="28" s="1"/>
  <c r="AS49" i="28" s="1"/>
  <c r="L50" i="26"/>
  <c r="N50" i="26" s="1"/>
  <c r="AQ50" i="26" s="1"/>
  <c r="AK45" i="26"/>
  <c r="AM45" i="26" s="1"/>
  <c r="AS45" i="26" s="1"/>
  <c r="Z45" i="26"/>
  <c r="AB45" i="26" s="1"/>
  <c r="AR55" i="30"/>
  <c r="AT55" i="30" s="1"/>
  <c r="E9" i="30" s="1"/>
  <c r="AR54" i="30"/>
  <c r="AT54" i="30" s="1"/>
  <c r="D9" i="30" s="1"/>
  <c r="AR44" i="27"/>
  <c r="AT44" i="27" s="1"/>
  <c r="D7" i="27" s="1"/>
  <c r="AK49" i="27" s="1"/>
  <c r="AM49" i="27" s="1"/>
  <c r="AS49" i="27" s="1"/>
  <c r="AR45" i="27"/>
  <c r="AT45" i="27" s="1"/>
  <c r="E7" i="27" s="1"/>
  <c r="AK50" i="27" s="1"/>
  <c r="AM50" i="27" s="1"/>
  <c r="AS50" i="27" s="1"/>
  <c r="AB60" i="29"/>
  <c r="AG70" i="28"/>
  <c r="AE70" i="28"/>
  <c r="AI69" i="28" s="1"/>
  <c r="AG60" i="26"/>
  <c r="X60" i="28"/>
  <c r="AI95" i="33"/>
  <c r="X84" i="59"/>
  <c r="AB11" i="10"/>
  <c r="AJ11" i="10" s="1"/>
  <c r="AB12" i="10"/>
  <c r="AI12" i="10" s="1"/>
  <c r="AB9" i="10"/>
  <c r="AJ9" i="10" s="1"/>
  <c r="AI16" i="10"/>
  <c r="AJ16" i="10"/>
  <c r="X55" i="27"/>
  <c r="AE69" i="27"/>
  <c r="AG69" i="27" s="1"/>
  <c r="AE73" i="27"/>
  <c r="D69" i="27"/>
  <c r="R68" i="27"/>
  <c r="AA23" i="24"/>
  <c r="AG23" i="24" s="1"/>
  <c r="Y22" i="24"/>
  <c r="X23" i="24" s="1"/>
  <c r="H23" i="13"/>
  <c r="I23" i="13" s="1"/>
  <c r="D23" i="13"/>
  <c r="F23" i="13" s="1"/>
  <c r="G23" i="13" s="1"/>
  <c r="AB13" i="10"/>
  <c r="AB14" i="10"/>
  <c r="AA27" i="19"/>
  <c r="AG27" i="19" s="1"/>
  <c r="Y26" i="19"/>
  <c r="X27" i="19" s="1"/>
  <c r="H16" i="6"/>
  <c r="I16" i="6" s="1"/>
  <c r="D16" i="6"/>
  <c r="F16" i="6" s="1"/>
  <c r="G16" i="6" s="1"/>
  <c r="AV27" i="17"/>
  <c r="AV26" i="16"/>
  <c r="X24" i="24"/>
  <c r="F28" i="53"/>
  <c r="D29" i="53"/>
  <c r="S13" i="53" s="1"/>
  <c r="AV17" i="7"/>
  <c r="H25" i="15"/>
  <c r="I25" i="15" s="1"/>
  <c r="D25" i="15"/>
  <c r="F25" i="15" s="1"/>
  <c r="G25" i="15" s="1"/>
  <c r="J89" i="59"/>
  <c r="J90" i="59"/>
  <c r="AA13" i="5"/>
  <c r="X12" i="5"/>
  <c r="AA12" i="4"/>
  <c r="AG12" i="4" s="1"/>
  <c r="AA26" i="20"/>
  <c r="AG26" i="20" s="1"/>
  <c r="Y25" i="20"/>
  <c r="X26" i="20" s="1"/>
  <c r="H19" i="9"/>
  <c r="I19" i="9" s="1"/>
  <c r="D19" i="9"/>
  <c r="F19" i="9" s="1"/>
  <c r="G19" i="9" s="1"/>
  <c r="AE84" i="30"/>
  <c r="AG84" i="30" s="1"/>
  <c r="AE88" i="30"/>
  <c r="R83" i="30"/>
  <c r="D84" i="30"/>
  <c r="V83" i="31"/>
  <c r="T83" i="31"/>
  <c r="T85" i="31" s="1"/>
  <c r="X84" i="31" s="1"/>
  <c r="H28" i="18"/>
  <c r="I28" i="18" s="1"/>
  <c r="I29" i="18" s="1"/>
  <c r="I39" i="18" s="1"/>
  <c r="D28" i="18"/>
  <c r="S7" i="18"/>
  <c r="AZ15" i="61"/>
  <c r="AP15" i="4"/>
  <c r="C25" i="39"/>
  <c r="B15" i="4"/>
  <c r="AV11" i="1"/>
  <c r="H13" i="3"/>
  <c r="I13" i="3" s="1"/>
  <c r="D13" i="3"/>
  <c r="F13" i="3" s="1"/>
  <c r="G13" i="3" s="1"/>
  <c r="AV18" i="8"/>
  <c r="X28" i="53"/>
  <c r="AA28" i="53"/>
  <c r="AG28" i="53" s="1"/>
  <c r="AI70" i="29"/>
  <c r="AY16" i="61"/>
  <c r="C24" i="38"/>
  <c r="AP16" i="5"/>
  <c r="B16" i="5"/>
  <c r="V94" i="59"/>
  <c r="T94" i="59"/>
  <c r="BB13" i="61"/>
  <c r="C27" i="41"/>
  <c r="AP13" i="2"/>
  <c r="B13" i="2"/>
  <c r="T88" i="32"/>
  <c r="V88" i="32"/>
  <c r="V59" i="27"/>
  <c r="V60" i="27" s="1"/>
  <c r="T59" i="27"/>
  <c r="T60" i="27" s="1"/>
  <c r="X59" i="27" s="1"/>
  <c r="G13" i="4"/>
  <c r="X65" i="30"/>
  <c r="J60" i="27"/>
  <c r="J59" i="27"/>
  <c r="AA10" i="2"/>
  <c r="AG10" i="2" s="1"/>
  <c r="AF10" i="4"/>
  <c r="AF11" i="4" s="1"/>
  <c r="F59" i="26"/>
  <c r="J57" i="26"/>
  <c r="V78" i="30"/>
  <c r="T78" i="30"/>
  <c r="AG75" i="29"/>
  <c r="X9" i="2"/>
  <c r="AF7" i="1"/>
  <c r="AF8" i="1" s="1"/>
  <c r="AF9" i="1" s="1"/>
  <c r="AE89" i="31"/>
  <c r="AG89" i="31" s="1"/>
  <c r="AE93" i="31"/>
  <c r="R88" i="31"/>
  <c r="D89" i="31"/>
  <c r="X15" i="7"/>
  <c r="AA15" i="7"/>
  <c r="X14" i="7"/>
  <c r="AG101" i="59"/>
  <c r="AG102" i="59" s="1"/>
  <c r="AK101" i="59" s="1"/>
  <c r="R100" i="59"/>
  <c r="AG106" i="59"/>
  <c r="D101" i="59"/>
  <c r="H22" i="12"/>
  <c r="I22" i="12" s="1"/>
  <c r="D22" i="12"/>
  <c r="F22" i="12" s="1"/>
  <c r="G22" i="12" s="1"/>
  <c r="AB15" i="10"/>
  <c r="AV16" i="6"/>
  <c r="H27" i="17"/>
  <c r="I27" i="17" s="1"/>
  <c r="D27" i="17"/>
  <c r="F27" i="17" s="1"/>
  <c r="G27" i="17" s="1"/>
  <c r="AA10" i="1"/>
  <c r="AF12" i="6"/>
  <c r="AF13" i="6" s="1"/>
  <c r="AE74" i="28"/>
  <c r="AG74" i="28" s="1"/>
  <c r="AE78" i="28"/>
  <c r="R73" i="28"/>
  <c r="D74" i="28"/>
  <c r="R64" i="28"/>
  <c r="D78" i="28"/>
  <c r="G12" i="3"/>
  <c r="D17" i="7"/>
  <c r="F17" i="7" s="1"/>
  <c r="G17" i="7" s="1"/>
  <c r="H17" i="7"/>
  <c r="I17" i="7" s="1"/>
  <c r="AV25" i="15"/>
  <c r="Y1" i="9"/>
  <c r="AB15" i="9" s="1"/>
  <c r="AI65" i="28"/>
  <c r="F10" i="1"/>
  <c r="H24" i="14"/>
  <c r="I24" i="14" s="1"/>
  <c r="D24" i="14"/>
  <c r="F24" i="14" s="1"/>
  <c r="G24" i="14" s="1"/>
  <c r="F84" i="31"/>
  <c r="J82" i="31"/>
  <c r="H14" i="4"/>
  <c r="I14" i="4" s="1"/>
  <c r="D14" i="4"/>
  <c r="F14" i="4" s="1"/>
  <c r="G14" i="4" s="1"/>
  <c r="AS22" i="61"/>
  <c r="AP22" i="11"/>
  <c r="C18" i="32"/>
  <c r="B22" i="11"/>
  <c r="J65" i="28"/>
  <c r="J64" i="28"/>
  <c r="AA27" i="53"/>
  <c r="AG27" i="53" s="1"/>
  <c r="Y26" i="53"/>
  <c r="X27" i="53" s="1"/>
  <c r="AV13" i="3"/>
  <c r="H18" i="8"/>
  <c r="I18" i="8" s="1"/>
  <c r="D18" i="8"/>
  <c r="F18" i="8" s="1"/>
  <c r="G18" i="8" s="1"/>
  <c r="F28" i="19"/>
  <c r="D29" i="19"/>
  <c r="I35" i="19" s="1"/>
  <c r="H77" i="28"/>
  <c r="AI95" i="59"/>
  <c r="AI96" i="59" s="1"/>
  <c r="AK96" i="59" s="1"/>
  <c r="AE95" i="59"/>
  <c r="H12" i="2"/>
  <c r="I12" i="2" s="1"/>
  <c r="D12" i="2"/>
  <c r="F12" i="2" s="1"/>
  <c r="G12" i="2" s="1"/>
  <c r="AA14" i="6"/>
  <c r="AG14" i="6" s="1"/>
  <c r="AG98" i="32"/>
  <c r="AG93" i="32"/>
  <c r="H20" i="10"/>
  <c r="I20" i="10" s="1"/>
  <c r="D20" i="10"/>
  <c r="F20" i="10" s="1"/>
  <c r="G20" i="10" s="1"/>
  <c r="AA24" i="23"/>
  <c r="AG24" i="23" s="1"/>
  <c r="Y23" i="23"/>
  <c r="X24" i="23" s="1"/>
  <c r="T68" i="28"/>
  <c r="V68" i="28"/>
  <c r="F78" i="29"/>
  <c r="V73" i="29"/>
  <c r="T73" i="29"/>
  <c r="Y12" i="3"/>
  <c r="V54" i="26"/>
  <c r="V55" i="26" s="1"/>
  <c r="T54" i="26"/>
  <c r="T55" i="26" s="1"/>
  <c r="X54" i="26" s="1"/>
  <c r="AE75" i="29"/>
  <c r="AI74" i="29" s="1"/>
  <c r="X11" i="4"/>
  <c r="AX17" i="61"/>
  <c r="EX140" i="61" s="1"/>
  <c r="GI140" i="61" s="1"/>
  <c r="C23" i="37"/>
  <c r="B17" i="6"/>
  <c r="AP17" i="6"/>
  <c r="H26" i="16"/>
  <c r="I26" i="16" s="1"/>
  <c r="D26" i="16"/>
  <c r="F26" i="16" s="1"/>
  <c r="G26" i="16" s="1"/>
  <c r="AW18" i="61"/>
  <c r="AP18" i="7"/>
  <c r="C22" i="36"/>
  <c r="B18" i="7"/>
  <c r="AE79" i="29"/>
  <c r="AG79" i="29" s="1"/>
  <c r="R78" i="29"/>
  <c r="AE83" i="29"/>
  <c r="R74" i="29"/>
  <c r="D79" i="29"/>
  <c r="F79" i="29" s="1"/>
  <c r="H79" i="29" s="1"/>
  <c r="AF15" i="9"/>
  <c r="AF16" i="9" s="1"/>
  <c r="AI1" i="9"/>
  <c r="AA26" i="21"/>
  <c r="AG26" i="21" s="1"/>
  <c r="Y25" i="21"/>
  <c r="G10" i="2"/>
  <c r="AV19" i="9"/>
  <c r="AV24" i="14"/>
  <c r="AG88" i="31"/>
  <c r="AV28" i="18"/>
  <c r="Y28" i="18"/>
  <c r="BG7" i="18"/>
  <c r="AV14" i="4"/>
  <c r="AV21" i="11"/>
  <c r="Y1" i="8"/>
  <c r="AB16" i="8" s="1"/>
  <c r="H62" i="26"/>
  <c r="H11" i="1"/>
  <c r="I11" i="1" s="1"/>
  <c r="D11" i="1"/>
  <c r="F11" i="1" s="1"/>
  <c r="G11" i="1" s="1"/>
  <c r="G28" i="20"/>
  <c r="G29" i="20" s="1"/>
  <c r="I38" i="20" s="1"/>
  <c r="F29" i="20"/>
  <c r="I36" i="20" s="1"/>
  <c r="AA25" i="22"/>
  <c r="AG25" i="22" s="1"/>
  <c r="Y24" i="22"/>
  <c r="X25" i="22" s="1"/>
  <c r="AV15" i="5"/>
  <c r="Y14" i="5"/>
  <c r="F95" i="59"/>
  <c r="J93" i="59"/>
  <c r="AV12" i="2"/>
  <c r="AT21" i="61"/>
  <c r="C19" i="33"/>
  <c r="R103" i="33" s="1"/>
  <c r="B21" i="10"/>
  <c r="AP21" i="10"/>
  <c r="F77" i="27"/>
  <c r="V63" i="27"/>
  <c r="T63" i="27"/>
  <c r="Y15" i="6"/>
  <c r="F69" i="28"/>
  <c r="J67" i="28"/>
  <c r="H78" i="30"/>
  <c r="H80" i="30" s="1"/>
  <c r="F80" i="30"/>
  <c r="AG78" i="29"/>
  <c r="T64" i="29"/>
  <c r="T65" i="29" s="1"/>
  <c r="X64" i="29" s="1"/>
  <c r="V64" i="29"/>
  <c r="V65" i="29" s="1"/>
  <c r="V62" i="26"/>
  <c r="T62" i="26"/>
  <c r="T58" i="26"/>
  <c r="V58" i="26"/>
  <c r="V74" i="30"/>
  <c r="V75" i="30" s="1"/>
  <c r="T74" i="30"/>
  <c r="T75" i="30" s="1"/>
  <c r="X74" i="30" s="1"/>
  <c r="H72" i="27"/>
  <c r="X9" i="1"/>
  <c r="AQ24" i="61"/>
  <c r="AP24" i="13"/>
  <c r="C16" i="30"/>
  <c r="B24" i="13"/>
  <c r="AR23" i="61"/>
  <c r="D295" i="66" s="1"/>
  <c r="C17" i="31"/>
  <c r="R93" i="31" s="1"/>
  <c r="B23" i="12"/>
  <c r="C17" i="59"/>
  <c r="R106" i="59" s="1"/>
  <c r="AP23" i="12"/>
  <c r="AV23" i="13"/>
  <c r="AV22" i="12"/>
  <c r="AD10" i="10"/>
  <c r="AD14" i="10"/>
  <c r="AD12" i="10"/>
  <c r="AD8" i="10"/>
  <c r="AB8" i="10" s="1"/>
  <c r="AD16" i="10"/>
  <c r="AD13" i="10"/>
  <c r="AD6" i="10"/>
  <c r="AB6" i="10" s="1"/>
  <c r="AD9" i="10"/>
  <c r="AD7" i="10"/>
  <c r="AB7" i="10" s="1"/>
  <c r="AD15" i="10"/>
  <c r="AD11" i="10"/>
  <c r="AD5" i="10"/>
  <c r="AB5" i="10" s="1"/>
  <c r="AD4" i="10"/>
  <c r="AB4" i="10" s="1"/>
  <c r="AB10" i="10"/>
  <c r="C12" i="26"/>
  <c r="R72" i="26" s="1"/>
  <c r="AP28" i="17"/>
  <c r="B28" i="17"/>
  <c r="U32" i="61"/>
  <c r="AN27" i="61"/>
  <c r="AP27" i="16"/>
  <c r="B27" i="16"/>
  <c r="C13" i="27"/>
  <c r="AH8" i="27" s="1"/>
  <c r="AO26" i="61"/>
  <c r="C14" i="28"/>
  <c r="R69" i="28" s="1"/>
  <c r="B26" i="15"/>
  <c r="AP26" i="15"/>
  <c r="X28" i="19"/>
  <c r="AA28" i="19"/>
  <c r="AG28" i="19" s="1"/>
  <c r="AU20" i="61"/>
  <c r="AP20" i="9"/>
  <c r="B20" i="9"/>
  <c r="C20" i="34"/>
  <c r="AP25" i="61"/>
  <c r="B25" i="14"/>
  <c r="C15" i="29"/>
  <c r="AP25" i="14"/>
  <c r="AE64" i="26"/>
  <c r="AG64" i="26" s="1"/>
  <c r="R63" i="26"/>
  <c r="AE68" i="26"/>
  <c r="R59" i="26"/>
  <c r="D64" i="26"/>
  <c r="AF9" i="3"/>
  <c r="AF10" i="3" s="1"/>
  <c r="AF11" i="3" s="1"/>
  <c r="H21" i="11"/>
  <c r="I21" i="11" s="1"/>
  <c r="D21" i="11"/>
  <c r="F21" i="11" s="1"/>
  <c r="G21" i="11" s="1"/>
  <c r="H74" i="30"/>
  <c r="H75" i="30" s="1"/>
  <c r="J75" i="30" s="1"/>
  <c r="F75" i="30"/>
  <c r="J74" i="30" s="1"/>
  <c r="AF15" i="8"/>
  <c r="AF16" i="8" s="1"/>
  <c r="AI1" i="8"/>
  <c r="BC12" i="61"/>
  <c r="C28" i="42"/>
  <c r="B12" i="1"/>
  <c r="AP12" i="1"/>
  <c r="BA14" i="61"/>
  <c r="B14" i="3"/>
  <c r="C26" i="40"/>
  <c r="AP14" i="3"/>
  <c r="AV19" i="61"/>
  <c r="B19" i="8"/>
  <c r="C21" i="35"/>
  <c r="AP19" i="8"/>
  <c r="H15" i="5"/>
  <c r="I15" i="5" s="1"/>
  <c r="D15" i="5"/>
  <c r="F15" i="5" s="1"/>
  <c r="G15" i="5" s="1"/>
  <c r="AI100" i="59"/>
  <c r="AE100" i="59"/>
  <c r="F89" i="32"/>
  <c r="J87" i="32"/>
  <c r="AV20" i="10"/>
  <c r="AG68" i="27"/>
  <c r="AG73" i="28"/>
  <c r="F74" i="29"/>
  <c r="J72" i="29"/>
  <c r="AG63" i="26"/>
  <c r="AG83" i="30"/>
  <c r="AG9" i="2"/>
  <c r="GH130" i="61" l="1"/>
  <c r="N9" i="64" s="1"/>
  <c r="K8" i="64"/>
  <c r="EY129" i="61"/>
  <c r="GC130" i="61"/>
  <c r="GD130" i="61" s="1"/>
  <c r="ER130" i="61"/>
  <c r="ET129" i="61"/>
  <c r="ES129" i="61"/>
  <c r="H8" i="64" s="1"/>
  <c r="DR131" i="61"/>
  <c r="EZ131" i="61" s="1"/>
  <c r="FD131" i="61"/>
  <c r="GE131" i="61" s="1"/>
  <c r="L10" i="64" s="1"/>
  <c r="DX132" i="61"/>
  <c r="FJ132" i="61"/>
  <c r="EL132" i="61"/>
  <c r="FX132" i="61"/>
  <c r="EH132" i="61"/>
  <c r="FT132" i="61"/>
  <c r="EI132" i="61"/>
  <c r="FU132" i="61"/>
  <c r="DS132" i="61"/>
  <c r="FE132" i="61"/>
  <c r="EC132" i="61"/>
  <c r="FO132" i="61"/>
  <c r="EJ132" i="61"/>
  <c r="FV132" i="61"/>
  <c r="ED132" i="61"/>
  <c r="FP132" i="61"/>
  <c r="DZ132" i="61"/>
  <c r="FL132" i="61"/>
  <c r="EE132" i="61"/>
  <c r="FQ132" i="61"/>
  <c r="EO132" i="61"/>
  <c r="GA132" i="61"/>
  <c r="DY132" i="61"/>
  <c r="FK132" i="61"/>
  <c r="EB132" i="61"/>
  <c r="FN132" i="61"/>
  <c r="DT132" i="61"/>
  <c r="FF132" i="61"/>
  <c r="DV132" i="61"/>
  <c r="FH132" i="61"/>
  <c r="EA132" i="61"/>
  <c r="FM132" i="61"/>
  <c r="EK132" i="61"/>
  <c r="FW132" i="61"/>
  <c r="DU132" i="61"/>
  <c r="FG132" i="61"/>
  <c r="EN132" i="61"/>
  <c r="FZ132" i="61"/>
  <c r="EF132" i="61"/>
  <c r="FR132" i="61"/>
  <c r="GB132" i="61"/>
  <c r="EM132" i="61"/>
  <c r="FY132" i="61"/>
  <c r="DW132" i="61"/>
  <c r="FI132" i="61"/>
  <c r="EG132" i="61"/>
  <c r="FS132" i="61"/>
  <c r="J117" i="37"/>
  <c r="J102" i="34"/>
  <c r="AR65" i="31"/>
  <c r="AT65" i="31" s="1"/>
  <c r="EP133" i="61"/>
  <c r="EU132" i="61"/>
  <c r="EV132" i="61" s="1"/>
  <c r="Z59" i="29"/>
  <c r="AB59" i="29" s="1"/>
  <c r="AR80" i="37"/>
  <c r="D343" i="65"/>
  <c r="A343" i="65" s="1"/>
  <c r="AR79" i="37"/>
  <c r="V95" i="59"/>
  <c r="A333" i="66"/>
  <c r="AE120" i="37"/>
  <c r="AI119" i="37" s="1"/>
  <c r="AE105" i="34"/>
  <c r="AI104" i="34" s="1"/>
  <c r="J112" i="36"/>
  <c r="AR64" i="31"/>
  <c r="AT64" i="31" s="1"/>
  <c r="I343" i="66"/>
  <c r="D311" i="65"/>
  <c r="A311" i="65" s="1"/>
  <c r="J311" i="66"/>
  <c r="B311" i="65" s="1"/>
  <c r="I311" i="66"/>
  <c r="L344" i="66"/>
  <c r="D344" i="65" s="1"/>
  <c r="A344" i="65" s="1"/>
  <c r="D277" i="66"/>
  <c r="L300" i="66"/>
  <c r="B265" i="66"/>
  <c r="A265" i="66"/>
  <c r="B287" i="66"/>
  <c r="A287" i="66"/>
  <c r="J299" i="66"/>
  <c r="B299" i="65" s="1"/>
  <c r="I299" i="66"/>
  <c r="D299" i="65"/>
  <c r="A299" i="65" s="1"/>
  <c r="D287" i="65"/>
  <c r="A287" i="65" s="1"/>
  <c r="I287" i="66"/>
  <c r="J287" i="66"/>
  <c r="B287" i="65" s="1"/>
  <c r="B298" i="66"/>
  <c r="A298" i="66"/>
  <c r="D334" i="66"/>
  <c r="B334" i="66" s="1"/>
  <c r="D288" i="66"/>
  <c r="L312" i="66"/>
  <c r="L324" i="66"/>
  <c r="D299" i="66"/>
  <c r="B276" i="66"/>
  <c r="A276" i="66"/>
  <c r="D323" i="65"/>
  <c r="I323" i="66"/>
  <c r="J323" i="66"/>
  <c r="B323" i="65" s="1"/>
  <c r="AI145" i="40"/>
  <c r="L54" i="26"/>
  <c r="AI135" i="40"/>
  <c r="AI140" i="40"/>
  <c r="AI150" i="40"/>
  <c r="I371" i="66"/>
  <c r="J371" i="66"/>
  <c r="B371" i="65" s="1"/>
  <c r="D371" i="65"/>
  <c r="A371" i="65" s="1"/>
  <c r="D329" i="65"/>
  <c r="A329" i="65" s="1"/>
  <c r="J329" i="66"/>
  <c r="B329" i="65" s="1"/>
  <c r="I329" i="66"/>
  <c r="D347" i="66"/>
  <c r="L372" i="66"/>
  <c r="B346" i="66"/>
  <c r="A346" i="66"/>
  <c r="B307" i="66"/>
  <c r="A307" i="66"/>
  <c r="B295" i="66"/>
  <c r="A295" i="66"/>
  <c r="D308" i="66"/>
  <c r="L330" i="66"/>
  <c r="X10" i="27"/>
  <c r="X100" i="35"/>
  <c r="D113" i="34"/>
  <c r="R104" i="34"/>
  <c r="D117" i="34"/>
  <c r="R112" i="34"/>
  <c r="R108" i="34"/>
  <c r="AE113" i="34"/>
  <c r="D109" i="34"/>
  <c r="AE109" i="34"/>
  <c r="R84" i="30"/>
  <c r="D98" i="30"/>
  <c r="F98" i="30" s="1"/>
  <c r="H98" i="30" s="1"/>
  <c r="R97" i="30"/>
  <c r="D102" i="30"/>
  <c r="F102" i="30" s="1"/>
  <c r="R89" i="32"/>
  <c r="R102" i="32"/>
  <c r="D103" i="32"/>
  <c r="F103" i="32" s="1"/>
  <c r="D107" i="32"/>
  <c r="F107" i="32" s="1"/>
  <c r="H99" i="34"/>
  <c r="H100" i="34" s="1"/>
  <c r="F100" i="34"/>
  <c r="AE108" i="33"/>
  <c r="AH4" i="27"/>
  <c r="AJ4" i="27" s="1"/>
  <c r="AL4" i="27" s="1"/>
  <c r="H117" i="36"/>
  <c r="AE145" i="39"/>
  <c r="AI144" i="39" s="1"/>
  <c r="AG143" i="39"/>
  <c r="AG145" i="39" s="1"/>
  <c r="V138" i="39"/>
  <c r="T138" i="39"/>
  <c r="AE135" i="39"/>
  <c r="AI134" i="39" s="1"/>
  <c r="AG133" i="39"/>
  <c r="AG135" i="39" s="1"/>
  <c r="D355" i="65"/>
  <c r="A355" i="65" s="1"/>
  <c r="I355" i="66"/>
  <c r="J355" i="66"/>
  <c r="B355" i="65" s="1"/>
  <c r="A471" i="66"/>
  <c r="B471" i="66"/>
  <c r="J124" i="39"/>
  <c r="N124" i="39" s="1"/>
  <c r="AQ124" i="39" s="1"/>
  <c r="J125" i="39"/>
  <c r="N125" i="39" s="1"/>
  <c r="AQ125" i="39" s="1"/>
  <c r="J145" i="40"/>
  <c r="N145" i="40" s="1"/>
  <c r="AQ145" i="40" s="1"/>
  <c r="J144" i="40"/>
  <c r="N144" i="40" s="1"/>
  <c r="AQ144" i="40" s="1"/>
  <c r="J130" i="40"/>
  <c r="N130" i="40" s="1"/>
  <c r="AQ130" i="40" s="1"/>
  <c r="J129" i="40"/>
  <c r="N129" i="40" s="1"/>
  <c r="AQ129" i="40" s="1"/>
  <c r="T107" i="34"/>
  <c r="V107" i="34"/>
  <c r="V102" i="33"/>
  <c r="T102" i="33"/>
  <c r="V87" i="30"/>
  <c r="T87" i="30"/>
  <c r="H119" i="38"/>
  <c r="H120" i="38" s="1"/>
  <c r="J120" i="38" s="1"/>
  <c r="F120" i="38"/>
  <c r="J119" i="38" s="1"/>
  <c r="B319" i="66"/>
  <c r="A319" i="66"/>
  <c r="F109" i="35"/>
  <c r="J107" i="35"/>
  <c r="F117" i="35"/>
  <c r="D475" i="65"/>
  <c r="A475" i="65" s="1"/>
  <c r="J475" i="66"/>
  <c r="B475" i="65" s="1"/>
  <c r="I475" i="66"/>
  <c r="B414" i="66"/>
  <c r="A414" i="66"/>
  <c r="H117" i="59"/>
  <c r="AE130" i="39"/>
  <c r="AI129" i="39" s="1"/>
  <c r="J149" i="40"/>
  <c r="N149" i="40" s="1"/>
  <c r="AQ149" i="40" s="1"/>
  <c r="J150" i="40"/>
  <c r="N150" i="40" s="1"/>
  <c r="AQ150" i="40" s="1"/>
  <c r="AE115" i="36"/>
  <c r="AI114" i="36" s="1"/>
  <c r="AG118" i="36"/>
  <c r="V109" i="36"/>
  <c r="V110" i="36" s="1"/>
  <c r="T109" i="36"/>
  <c r="T110" i="36" s="1"/>
  <c r="X109" i="36" s="1"/>
  <c r="R109" i="35"/>
  <c r="D118" i="35"/>
  <c r="F118" i="35" s="1"/>
  <c r="H118" i="35" s="1"/>
  <c r="D114" i="35"/>
  <c r="F114" i="35" s="1"/>
  <c r="H114" i="35" s="1"/>
  <c r="R113" i="35"/>
  <c r="AE118" i="35"/>
  <c r="AE114" i="35"/>
  <c r="AG114" i="35" s="1"/>
  <c r="R87" i="29"/>
  <c r="D97" i="29"/>
  <c r="F97" i="29" s="1"/>
  <c r="D472" i="66"/>
  <c r="L496" i="66"/>
  <c r="D491" i="66"/>
  <c r="L516" i="66"/>
  <c r="R99" i="33"/>
  <c r="D108" i="33"/>
  <c r="F108" i="33" s="1"/>
  <c r="H108" i="33" s="1"/>
  <c r="R107" i="33"/>
  <c r="D112" i="33"/>
  <c r="F112" i="33" s="1"/>
  <c r="D320" i="66"/>
  <c r="L336" i="66"/>
  <c r="AE104" i="33"/>
  <c r="AG104" i="33" s="1"/>
  <c r="AI120" i="37"/>
  <c r="V148" i="39"/>
  <c r="T148" i="39"/>
  <c r="T128" i="39"/>
  <c r="V128" i="39"/>
  <c r="AE150" i="39"/>
  <c r="AI149" i="39" s="1"/>
  <c r="AG148" i="39"/>
  <c r="AG150" i="39" s="1"/>
  <c r="D395" i="65"/>
  <c r="A395" i="65" s="1"/>
  <c r="J395" i="66"/>
  <c r="B395" i="65" s="1"/>
  <c r="I395" i="66"/>
  <c r="B338" i="66"/>
  <c r="A338" i="66"/>
  <c r="H109" i="36"/>
  <c r="H110" i="36" s="1"/>
  <c r="J110" i="36" s="1"/>
  <c r="F110" i="36"/>
  <c r="J109" i="36" s="1"/>
  <c r="T99" i="34"/>
  <c r="V99" i="34"/>
  <c r="H103" i="33"/>
  <c r="D515" i="65"/>
  <c r="A515" i="65" s="1"/>
  <c r="J515" i="66"/>
  <c r="B515" i="65" s="1"/>
  <c r="I515" i="66"/>
  <c r="J135" i="40"/>
  <c r="N135" i="40" s="1"/>
  <c r="AQ135" i="40" s="1"/>
  <c r="J134" i="40"/>
  <c r="N134" i="40" s="1"/>
  <c r="AQ134" i="40" s="1"/>
  <c r="H113" i="36"/>
  <c r="H115" i="36" s="1"/>
  <c r="J115" i="36" s="1"/>
  <c r="F115" i="36"/>
  <c r="J114" i="36" s="1"/>
  <c r="T108" i="35"/>
  <c r="V108" i="35"/>
  <c r="V112" i="35"/>
  <c r="T112" i="35"/>
  <c r="B452" i="66"/>
  <c r="A452" i="66"/>
  <c r="X14" i="27"/>
  <c r="V123" i="38"/>
  <c r="T123" i="38"/>
  <c r="T97" i="31"/>
  <c r="V97" i="31"/>
  <c r="D295" i="65"/>
  <c r="J295" i="66"/>
  <c r="B295" i="65" s="1"/>
  <c r="I295" i="66"/>
  <c r="J119" i="37"/>
  <c r="J120" i="37"/>
  <c r="X115" i="38"/>
  <c r="F105" i="34"/>
  <c r="B357" i="66"/>
  <c r="A357" i="66"/>
  <c r="D415" i="65"/>
  <c r="A415" i="65" s="1"/>
  <c r="J415" i="66"/>
  <c r="B415" i="65" s="1"/>
  <c r="I415" i="66"/>
  <c r="V118" i="37"/>
  <c r="T118" i="37"/>
  <c r="D415" i="66"/>
  <c r="L436" i="66"/>
  <c r="D434" i="66"/>
  <c r="L456" i="66"/>
  <c r="D377" i="66"/>
  <c r="L396" i="66"/>
  <c r="AE128" i="37"/>
  <c r="D124" i="37"/>
  <c r="R123" i="37"/>
  <c r="AE124" i="37"/>
  <c r="AG124" i="37" s="1"/>
  <c r="D396" i="66"/>
  <c r="L416" i="66"/>
  <c r="D144" i="38"/>
  <c r="AE129" i="38"/>
  <c r="AG129" i="38" s="1"/>
  <c r="AE148" i="38"/>
  <c r="R133" i="38"/>
  <c r="AE144" i="38"/>
  <c r="AG144" i="38" s="1"/>
  <c r="AE133" i="38"/>
  <c r="D149" i="38"/>
  <c r="D129" i="38"/>
  <c r="D134" i="38"/>
  <c r="R128" i="38"/>
  <c r="AE149" i="38"/>
  <c r="AG149" i="38" s="1"/>
  <c r="AE138" i="38"/>
  <c r="AE139" i="38"/>
  <c r="AG139" i="38" s="1"/>
  <c r="R143" i="38"/>
  <c r="AE134" i="38"/>
  <c r="AG134" i="38" s="1"/>
  <c r="D139" i="38"/>
  <c r="AE143" i="38"/>
  <c r="R148" i="38"/>
  <c r="R138" i="38"/>
  <c r="V100" i="34"/>
  <c r="D104" i="33"/>
  <c r="J147" i="39"/>
  <c r="F149" i="39"/>
  <c r="H149" i="39" s="1"/>
  <c r="J132" i="39"/>
  <c r="F134" i="39"/>
  <c r="H134" i="39" s="1"/>
  <c r="F144" i="39"/>
  <c r="H144" i="39" s="1"/>
  <c r="J142" i="39"/>
  <c r="B376" i="66"/>
  <c r="A376" i="66"/>
  <c r="V89" i="33"/>
  <c r="V90" i="33" s="1"/>
  <c r="T89" i="33"/>
  <c r="T90" i="33" s="1"/>
  <c r="X89" i="33" s="1"/>
  <c r="B490" i="66"/>
  <c r="A490" i="66"/>
  <c r="X90" i="34"/>
  <c r="D455" i="65"/>
  <c r="A455" i="65" s="1"/>
  <c r="J455" i="66"/>
  <c r="B455" i="65" s="1"/>
  <c r="I455" i="66"/>
  <c r="AG113" i="35"/>
  <c r="F113" i="35"/>
  <c r="J112" i="35"/>
  <c r="D315" i="65"/>
  <c r="A315" i="65" s="1"/>
  <c r="J315" i="66"/>
  <c r="B315" i="65" s="1"/>
  <c r="I315" i="66"/>
  <c r="V20" i="27"/>
  <c r="X20" i="27"/>
  <c r="AG128" i="38"/>
  <c r="H102" i="31"/>
  <c r="B281" i="66"/>
  <c r="A281" i="66"/>
  <c r="T111" i="59"/>
  <c r="V111" i="59"/>
  <c r="AG125" i="38"/>
  <c r="J140" i="40"/>
  <c r="N140" i="40" s="1"/>
  <c r="AQ140" i="40" s="1"/>
  <c r="J139" i="40"/>
  <c r="N139" i="40" s="1"/>
  <c r="AQ139" i="40" s="1"/>
  <c r="H105" i="34"/>
  <c r="J105" i="34" s="1"/>
  <c r="B395" i="66"/>
  <c r="A395" i="66"/>
  <c r="AG123" i="37"/>
  <c r="AG125" i="37" s="1"/>
  <c r="D339" i="66"/>
  <c r="L356" i="66"/>
  <c r="D453" i="66"/>
  <c r="L476" i="66"/>
  <c r="D358" i="66"/>
  <c r="R114" i="36"/>
  <c r="R118" i="36"/>
  <c r="D119" i="36"/>
  <c r="AE123" i="36"/>
  <c r="AE119" i="36"/>
  <c r="AG119" i="36" s="1"/>
  <c r="L316" i="66"/>
  <c r="T100" i="34"/>
  <c r="X99" i="34" s="1"/>
  <c r="X110" i="37"/>
  <c r="AG138" i="39"/>
  <c r="AG140" i="39" s="1"/>
  <c r="AE140" i="39"/>
  <c r="AI139" i="39" s="1"/>
  <c r="T143" i="39"/>
  <c r="V143" i="39"/>
  <c r="F129" i="39"/>
  <c r="H129" i="39" s="1"/>
  <c r="J127" i="39"/>
  <c r="V133" i="39"/>
  <c r="T133" i="39"/>
  <c r="J137" i="39"/>
  <c r="F139" i="39"/>
  <c r="H139" i="39" s="1"/>
  <c r="D495" i="65"/>
  <c r="A495" i="65" s="1"/>
  <c r="I495" i="66"/>
  <c r="J495" i="66"/>
  <c r="B495" i="65" s="1"/>
  <c r="X105" i="36"/>
  <c r="H112" i="34"/>
  <c r="H107" i="33"/>
  <c r="H97" i="30"/>
  <c r="AI110" i="36"/>
  <c r="D335" i="65"/>
  <c r="J335" i="66"/>
  <c r="B335" i="65" s="1"/>
  <c r="I335" i="66"/>
  <c r="B433" i="66"/>
  <c r="A433" i="66"/>
  <c r="AG109" i="35"/>
  <c r="AG110" i="35" s="1"/>
  <c r="AE110" i="35"/>
  <c r="AI109" i="35" s="1"/>
  <c r="T104" i="35"/>
  <c r="T105" i="35" s="1"/>
  <c r="X104" i="35" s="1"/>
  <c r="V104" i="35"/>
  <c r="V105" i="35" s="1"/>
  <c r="F124" i="38"/>
  <c r="H124" i="38" s="1"/>
  <c r="J122" i="38"/>
  <c r="D435" i="65"/>
  <c r="A435" i="65" s="1"/>
  <c r="J435" i="66"/>
  <c r="B435" i="65" s="1"/>
  <c r="I435" i="66"/>
  <c r="AE125" i="38"/>
  <c r="AI124" i="38" s="1"/>
  <c r="AG130" i="39"/>
  <c r="AG115" i="36"/>
  <c r="V113" i="36"/>
  <c r="T113" i="36"/>
  <c r="V114" i="37"/>
  <c r="V115" i="37" s="1"/>
  <c r="T114" i="37"/>
  <c r="T115" i="37" s="1"/>
  <c r="X114" i="37" s="1"/>
  <c r="AV40" i="59"/>
  <c r="B24" i="58" s="1" a="1"/>
  <c r="D6" i="59"/>
  <c r="J92" i="32"/>
  <c r="J95" i="33"/>
  <c r="N95" i="33" s="1"/>
  <c r="AQ95" i="33" s="1"/>
  <c r="J64" i="27"/>
  <c r="AI60" i="26"/>
  <c r="AM60" i="26" s="1"/>
  <c r="AS60" i="26" s="1"/>
  <c r="A333" i="65"/>
  <c r="A320" i="65"/>
  <c r="A281" i="65"/>
  <c r="A307" i="65"/>
  <c r="A294" i="65"/>
  <c r="V10" i="27"/>
  <c r="Z9" i="27" s="1"/>
  <c r="Z10" i="27" s="1"/>
  <c r="P15" i="27"/>
  <c r="P16" i="27" s="1"/>
  <c r="N18" i="27" s="1"/>
  <c r="L4" i="27" s="1"/>
  <c r="AP64" i="27" s="1"/>
  <c r="AJ14" i="27"/>
  <c r="T21" i="27"/>
  <c r="T15" i="27"/>
  <c r="V27" i="27"/>
  <c r="X27" i="27" s="1"/>
  <c r="X3" i="27"/>
  <c r="V3" i="27"/>
  <c r="X26" i="27"/>
  <c r="AL3" i="27"/>
  <c r="N23" i="27"/>
  <c r="AJ8" i="27"/>
  <c r="AL8" i="27"/>
  <c r="V72" i="27"/>
  <c r="L49" i="26"/>
  <c r="N49" i="26" s="1"/>
  <c r="AQ49" i="26" s="1"/>
  <c r="Z49" i="26"/>
  <c r="AB49" i="26" s="1"/>
  <c r="AR49" i="26" s="1"/>
  <c r="AG95" i="32"/>
  <c r="AT50" i="27"/>
  <c r="E8" i="27" s="1"/>
  <c r="L60" i="27" s="1"/>
  <c r="N60" i="27" s="1"/>
  <c r="AQ60" i="27" s="1"/>
  <c r="Z44" i="26"/>
  <c r="AB44" i="26" s="1"/>
  <c r="AR44" i="26" s="1"/>
  <c r="AT44" i="26" s="1"/>
  <c r="D7" i="26" s="1"/>
  <c r="AK49" i="26" s="1"/>
  <c r="AM49" i="26" s="1"/>
  <c r="AS49" i="26" s="1"/>
  <c r="AE95" i="32"/>
  <c r="AI94" i="32" s="1"/>
  <c r="AI90" i="32"/>
  <c r="J65" i="27"/>
  <c r="X85" i="32"/>
  <c r="AA13" i="4"/>
  <c r="AG13" i="4" s="1"/>
  <c r="X22" i="25"/>
  <c r="AA21" i="25"/>
  <c r="AG21" i="25" s="1"/>
  <c r="Y20" i="25"/>
  <c r="AA11" i="2"/>
  <c r="AG11" i="2" s="1"/>
  <c r="Y12" i="2"/>
  <c r="X11" i="2" s="1"/>
  <c r="AE85" i="30"/>
  <c r="AI84" i="30" s="1"/>
  <c r="V96" i="59"/>
  <c r="N55" i="26"/>
  <c r="AQ55" i="26" s="1"/>
  <c r="AG85" i="30"/>
  <c r="AR59" i="29"/>
  <c r="AT59" i="29" s="1"/>
  <c r="D10" i="29" s="1"/>
  <c r="L69" i="29" s="1"/>
  <c r="N69" i="29" s="1"/>
  <c r="AQ69" i="29" s="1"/>
  <c r="AR54" i="28"/>
  <c r="AT54" i="28" s="1"/>
  <c r="D9" i="28" s="1"/>
  <c r="AT49" i="27"/>
  <c r="D8" i="27" s="1"/>
  <c r="AK54" i="27" s="1"/>
  <c r="AM54" i="27" s="1"/>
  <c r="AS54" i="27" s="1"/>
  <c r="AI85" i="31"/>
  <c r="J79" i="30"/>
  <c r="J80" i="30"/>
  <c r="V93" i="32"/>
  <c r="Z75" i="36"/>
  <c r="AB75" i="36" s="1"/>
  <c r="L80" i="36"/>
  <c r="N80" i="36" s="1"/>
  <c r="AQ80" i="36" s="1"/>
  <c r="AR75" i="35"/>
  <c r="AT75" i="35" s="1"/>
  <c r="AR74" i="35"/>
  <c r="AT74" i="35" s="1"/>
  <c r="N54" i="26"/>
  <c r="AQ54" i="26" s="1"/>
  <c r="T96" i="59"/>
  <c r="X95" i="59" s="1"/>
  <c r="V85" i="31"/>
  <c r="X85" i="31" s="1"/>
  <c r="AG70" i="27"/>
  <c r="Y14" i="4"/>
  <c r="X13" i="4" s="1"/>
  <c r="AR60" i="29"/>
  <c r="AT60" i="29" s="1"/>
  <c r="E10" i="29" s="1"/>
  <c r="L70" i="29" s="1"/>
  <c r="N70" i="29" s="1"/>
  <c r="AQ70" i="29" s="1"/>
  <c r="AE70" i="27"/>
  <c r="AI69" i="27" s="1"/>
  <c r="Y15" i="5"/>
  <c r="AA15" i="5" s="1"/>
  <c r="AG15" i="5" s="1"/>
  <c r="AG90" i="31"/>
  <c r="AI65" i="27"/>
  <c r="L65" i="28"/>
  <c r="N65" i="28" s="1"/>
  <c r="AQ65" i="28" s="1"/>
  <c r="Z60" i="28"/>
  <c r="AB60" i="28" s="1"/>
  <c r="D73" i="26"/>
  <c r="F73" i="26" s="1"/>
  <c r="H73" i="26" s="1"/>
  <c r="D77" i="26"/>
  <c r="AI100" i="34"/>
  <c r="X80" i="31"/>
  <c r="X70" i="29"/>
  <c r="X90" i="59"/>
  <c r="D82" i="27"/>
  <c r="F82" i="27" s="1"/>
  <c r="R77" i="27"/>
  <c r="H95" i="59"/>
  <c r="H96" i="59" s="1"/>
  <c r="J96" i="59" s="1"/>
  <c r="F96" i="59"/>
  <c r="J95" i="59" s="1"/>
  <c r="D107" i="59"/>
  <c r="F107" i="59" s="1"/>
  <c r="H107" i="59" s="1"/>
  <c r="AG112" i="59"/>
  <c r="AE98" i="31"/>
  <c r="AG98" i="31" s="1"/>
  <c r="AI105" i="34"/>
  <c r="J104" i="34"/>
  <c r="AG103" i="33"/>
  <c r="AG105" i="33" s="1"/>
  <c r="AE105" i="33"/>
  <c r="AI104" i="33" s="1"/>
  <c r="V98" i="33"/>
  <c r="T98" i="33"/>
  <c r="D83" i="28"/>
  <c r="F83" i="28" s="1"/>
  <c r="H83" i="28" s="1"/>
  <c r="R82" i="28"/>
  <c r="D87" i="28"/>
  <c r="F87" i="28" s="1"/>
  <c r="V84" i="30"/>
  <c r="T84" i="30"/>
  <c r="AG107" i="59"/>
  <c r="AE94" i="31"/>
  <c r="AG94" i="31" s="1"/>
  <c r="AR70" i="33"/>
  <c r="AT70" i="33" s="1"/>
  <c r="AR69" i="33"/>
  <c r="AT69" i="33" s="1"/>
  <c r="D12" i="33" s="1"/>
  <c r="AK74" i="33" s="1"/>
  <c r="AM74" i="33" s="1"/>
  <c r="AS74" i="33" s="1"/>
  <c r="V79" i="30"/>
  <c r="V80" i="30" s="1"/>
  <c r="T79" i="30"/>
  <c r="T80" i="30" s="1"/>
  <c r="X79" i="30" s="1"/>
  <c r="V77" i="28"/>
  <c r="T77" i="28"/>
  <c r="F104" i="33"/>
  <c r="H104" i="33" s="1"/>
  <c r="J102" i="33"/>
  <c r="AG99" i="33"/>
  <c r="AG100" i="33" s="1"/>
  <c r="AE100" i="33"/>
  <c r="AI99" i="33" s="1"/>
  <c r="H87" i="29"/>
  <c r="H89" i="32"/>
  <c r="H90" i="32" s="1"/>
  <c r="J90" i="32" s="1"/>
  <c r="F90" i="32"/>
  <c r="J89" i="32" s="1"/>
  <c r="R79" i="29"/>
  <c r="D88" i="29"/>
  <c r="F88" i="29" s="1"/>
  <c r="H88" i="29" s="1"/>
  <c r="H69" i="28"/>
  <c r="H70" i="28" s="1"/>
  <c r="J70" i="28" s="1"/>
  <c r="F70" i="28"/>
  <c r="J69" i="28" s="1"/>
  <c r="AE103" i="32"/>
  <c r="D99" i="32"/>
  <c r="R98" i="32"/>
  <c r="AE99" i="32"/>
  <c r="H84" i="31"/>
  <c r="H85" i="31" s="1"/>
  <c r="J85" i="31" s="1"/>
  <c r="F85" i="31"/>
  <c r="D94" i="31"/>
  <c r="F94" i="31" s="1"/>
  <c r="H94" i="31" s="1"/>
  <c r="AR65" i="32"/>
  <c r="AT65" i="32" s="1"/>
  <c r="E11" i="32" s="1"/>
  <c r="AK70" i="32" s="1"/>
  <c r="AM70" i="32" s="1"/>
  <c r="AS70" i="32" s="1"/>
  <c r="L79" i="33"/>
  <c r="N79" i="33" s="1"/>
  <c r="AQ79" i="33" s="1"/>
  <c r="H82" i="28"/>
  <c r="H68" i="26"/>
  <c r="J99" i="34"/>
  <c r="J100" i="34"/>
  <c r="V82" i="29"/>
  <c r="T82" i="29"/>
  <c r="V69" i="28"/>
  <c r="V70" i="28" s="1"/>
  <c r="T69" i="28"/>
  <c r="T70" i="28" s="1"/>
  <c r="X69" i="28" s="1"/>
  <c r="T67" i="26"/>
  <c r="V67" i="26"/>
  <c r="AG108" i="33"/>
  <c r="T103" i="33"/>
  <c r="V103" i="33"/>
  <c r="F99" i="33"/>
  <c r="J97" i="33"/>
  <c r="AI70" i="28"/>
  <c r="AG80" i="29"/>
  <c r="AE80" i="29"/>
  <c r="AI79" i="29" s="1"/>
  <c r="AE90" i="31"/>
  <c r="AI89" i="31" s="1"/>
  <c r="Y13" i="3"/>
  <c r="AA13" i="3" s="1"/>
  <c r="AG13" i="3" s="1"/>
  <c r="AG75" i="28"/>
  <c r="AE75" i="28"/>
  <c r="AI74" i="28" s="1"/>
  <c r="AR45" i="26"/>
  <c r="AT45" i="26" s="1"/>
  <c r="E7" i="26" s="1"/>
  <c r="AK50" i="26" s="1"/>
  <c r="AM50" i="26" s="1"/>
  <c r="AS50" i="26" s="1"/>
  <c r="AR64" i="32"/>
  <c r="AT64" i="32" s="1"/>
  <c r="D11" i="32" s="1"/>
  <c r="Z60" i="30"/>
  <c r="AB60" i="30" s="1"/>
  <c r="L65" i="30"/>
  <c r="N65" i="30" s="1"/>
  <c r="AQ65" i="30" s="1"/>
  <c r="Z55" i="27"/>
  <c r="AB55" i="27" s="1"/>
  <c r="AK55" i="27"/>
  <c r="AM55" i="27" s="1"/>
  <c r="AS55" i="27" s="1"/>
  <c r="L64" i="30"/>
  <c r="N64" i="30" s="1"/>
  <c r="AQ64" i="30" s="1"/>
  <c r="AK59" i="30"/>
  <c r="AM59" i="30" s="1"/>
  <c r="AS59" i="30" s="1"/>
  <c r="Z59" i="30"/>
  <c r="AB59" i="30" s="1"/>
  <c r="X55" i="26"/>
  <c r="AE65" i="26"/>
  <c r="AI64" i="26" s="1"/>
  <c r="AI11" i="10"/>
  <c r="AJ12" i="10"/>
  <c r="X65" i="29"/>
  <c r="AI9" i="10"/>
  <c r="AB12" i="8"/>
  <c r="AJ12" i="8" s="1"/>
  <c r="AB11" i="8"/>
  <c r="AJ11" i="8" s="1"/>
  <c r="AB11" i="9"/>
  <c r="AI11" i="9" s="1"/>
  <c r="AB15" i="8"/>
  <c r="AJ15" i="8" s="1"/>
  <c r="AB10" i="9"/>
  <c r="AJ10" i="9" s="1"/>
  <c r="AB9" i="8"/>
  <c r="AJ9" i="8" s="1"/>
  <c r="AB12" i="9"/>
  <c r="AI12" i="9" s="1"/>
  <c r="AB10" i="8"/>
  <c r="AJ10" i="8" s="1"/>
  <c r="AB14" i="9"/>
  <c r="AJ14" i="9" s="1"/>
  <c r="AJ4" i="10"/>
  <c r="AI4" i="10"/>
  <c r="AJ5" i="10"/>
  <c r="AI5" i="10"/>
  <c r="X75" i="30"/>
  <c r="AJ7" i="10"/>
  <c r="AI7" i="10"/>
  <c r="AF9" i="2"/>
  <c r="AF10" i="2" s="1"/>
  <c r="AF11" i="2" s="1"/>
  <c r="AV20" i="61"/>
  <c r="AP20" i="8"/>
  <c r="C21" i="34"/>
  <c r="B20" i="8"/>
  <c r="H14" i="3"/>
  <c r="I14" i="3" s="1"/>
  <c r="D14" i="3"/>
  <c r="F14" i="3" s="1"/>
  <c r="G14" i="3" s="1"/>
  <c r="H12" i="1"/>
  <c r="I12" i="1" s="1"/>
  <c r="D12" i="1"/>
  <c r="F12" i="1" s="1"/>
  <c r="G12" i="1" s="1"/>
  <c r="V72" i="26"/>
  <c r="T72" i="26"/>
  <c r="T63" i="26"/>
  <c r="V63" i="26"/>
  <c r="AP26" i="61"/>
  <c r="B26" i="14"/>
  <c r="C15" i="28"/>
  <c r="AP26" i="14"/>
  <c r="AV20" i="9"/>
  <c r="H26" i="15"/>
  <c r="I26" i="15" s="1"/>
  <c r="D26" i="15"/>
  <c r="F26" i="15" s="1"/>
  <c r="G26" i="15" s="1"/>
  <c r="AE74" i="27"/>
  <c r="AG74" i="27" s="1"/>
  <c r="AE78" i="27"/>
  <c r="R73" i="27"/>
  <c r="R64" i="27"/>
  <c r="D74" i="27"/>
  <c r="D78" i="27"/>
  <c r="AJ6" i="10"/>
  <c r="AI6" i="10"/>
  <c r="AV23" i="12"/>
  <c r="AR24" i="61"/>
  <c r="B24" i="12"/>
  <c r="C17" i="30"/>
  <c r="D94" i="30" s="1"/>
  <c r="AP24" i="12"/>
  <c r="AV24" i="13"/>
  <c r="H21" i="10"/>
  <c r="I21" i="10" s="1"/>
  <c r="D21" i="10"/>
  <c r="F21" i="10" s="1"/>
  <c r="G21" i="10" s="1"/>
  <c r="AA14" i="5"/>
  <c r="AG14" i="5" s="1"/>
  <c r="AA25" i="21"/>
  <c r="AG25" i="21" s="1"/>
  <c r="Y24" i="21"/>
  <c r="V78" i="29"/>
  <c r="T78" i="29"/>
  <c r="H17" i="6"/>
  <c r="I17" i="6" s="1"/>
  <c r="D17" i="6"/>
  <c r="F17" i="6" s="1"/>
  <c r="G17" i="6" s="1"/>
  <c r="AF14" i="6"/>
  <c r="AS23" i="61"/>
  <c r="C18" i="59"/>
  <c r="C18" i="31"/>
  <c r="AP23" i="11"/>
  <c r="B23" i="11"/>
  <c r="G10" i="1"/>
  <c r="F74" i="28"/>
  <c r="J72" i="28"/>
  <c r="AJ15" i="10"/>
  <c r="AI15" i="10"/>
  <c r="AE112" i="59"/>
  <c r="AI112" i="59"/>
  <c r="AI101" i="59"/>
  <c r="AI102" i="59" s="1"/>
  <c r="AK102" i="59" s="1"/>
  <c r="AE101" i="59"/>
  <c r="AG93" i="31"/>
  <c r="BB14" i="61"/>
  <c r="C27" i="40"/>
  <c r="AP14" i="2"/>
  <c r="B14" i="2"/>
  <c r="AV15" i="4"/>
  <c r="G28" i="53"/>
  <c r="G29" i="53" s="1"/>
  <c r="S16" i="53" s="1"/>
  <c r="F29" i="53"/>
  <c r="S14" i="53" s="1"/>
  <c r="F69" i="27"/>
  <c r="J67" i="27"/>
  <c r="H74" i="29"/>
  <c r="H75" i="29" s="1"/>
  <c r="J75" i="29" s="1"/>
  <c r="F75" i="29"/>
  <c r="J74" i="29" s="1"/>
  <c r="AV19" i="8"/>
  <c r="BA15" i="61"/>
  <c r="C26" i="39"/>
  <c r="AP15" i="3"/>
  <c r="B15" i="3"/>
  <c r="F64" i="26"/>
  <c r="J62" i="26"/>
  <c r="AV25" i="14"/>
  <c r="AU21" i="61"/>
  <c r="C20" i="33"/>
  <c r="B21" i="9"/>
  <c r="AP21" i="9"/>
  <c r="AE79" i="28"/>
  <c r="AG79" i="28" s="1"/>
  <c r="AE83" i="28"/>
  <c r="D79" i="28"/>
  <c r="F79" i="28" s="1"/>
  <c r="H79" i="28" s="1"/>
  <c r="R78" i="28"/>
  <c r="R74" i="28"/>
  <c r="H27" i="16"/>
  <c r="I27" i="16" s="1"/>
  <c r="D27" i="16"/>
  <c r="F27" i="16" s="1"/>
  <c r="G27" i="16" s="1"/>
  <c r="H28" i="17"/>
  <c r="I28" i="17" s="1"/>
  <c r="I29" i="17" s="1"/>
  <c r="I39" i="17" s="1"/>
  <c r="D28" i="17"/>
  <c r="S7" i="17"/>
  <c r="AJ10" i="10"/>
  <c r="AI10" i="10"/>
  <c r="AQ25" i="61"/>
  <c r="AP25" i="13"/>
  <c r="C16" i="29"/>
  <c r="B25" i="13"/>
  <c r="AA15" i="6"/>
  <c r="X15" i="6"/>
  <c r="J94" i="32"/>
  <c r="N94" i="32" s="1"/>
  <c r="AQ94" i="32" s="1"/>
  <c r="J95" i="32"/>
  <c r="N95" i="32" s="1"/>
  <c r="AQ95" i="32" s="1"/>
  <c r="AA24" i="22"/>
  <c r="AG24" i="22" s="1"/>
  <c r="Y23" i="22"/>
  <c r="X24" i="22" s="1"/>
  <c r="AJ16" i="8"/>
  <c r="AI16" i="8"/>
  <c r="AV18" i="7"/>
  <c r="X14" i="6"/>
  <c r="G28" i="19"/>
  <c r="G29" i="19" s="1"/>
  <c r="I38" i="19" s="1"/>
  <c r="F29" i="19"/>
  <c r="I36" i="19" s="1"/>
  <c r="H22" i="11"/>
  <c r="I22" i="11" s="1"/>
  <c r="D22" i="11"/>
  <c r="F22" i="11" s="1"/>
  <c r="G22" i="11" s="1"/>
  <c r="T73" i="28"/>
  <c r="V73" i="28"/>
  <c r="AG10" i="1"/>
  <c r="AE107" i="59"/>
  <c r="AI107" i="59"/>
  <c r="F89" i="31"/>
  <c r="J87" i="31"/>
  <c r="X60" i="27"/>
  <c r="H13" i="2"/>
  <c r="I13" i="2" s="1"/>
  <c r="D13" i="2"/>
  <c r="F13" i="2" s="1"/>
  <c r="G13" i="2" s="1"/>
  <c r="AY17" i="61"/>
  <c r="AP17" i="5"/>
  <c r="C24" i="37"/>
  <c r="B17" i="5"/>
  <c r="AZ16" i="61"/>
  <c r="B16" i="4"/>
  <c r="AP16" i="4"/>
  <c r="C25" i="38"/>
  <c r="F84" i="30"/>
  <c r="J82" i="30"/>
  <c r="AI14" i="10"/>
  <c r="AJ14" i="10"/>
  <c r="AG73" i="27"/>
  <c r="AG65" i="26"/>
  <c r="AV14" i="3"/>
  <c r="BC13" i="61"/>
  <c r="C28" i="41"/>
  <c r="AP13" i="1"/>
  <c r="B13" i="1"/>
  <c r="F77" i="26"/>
  <c r="V59" i="26"/>
  <c r="V60" i="26" s="1"/>
  <c r="T59" i="26"/>
  <c r="T60" i="26" s="1"/>
  <c r="X59" i="26" s="1"/>
  <c r="AE84" i="29"/>
  <c r="AG84" i="29" s="1"/>
  <c r="R83" i="29"/>
  <c r="D84" i="29"/>
  <c r="AE88" i="29"/>
  <c r="AO27" i="61"/>
  <c r="B27" i="15"/>
  <c r="AP27" i="15"/>
  <c r="C14" i="27"/>
  <c r="T22" i="27" s="1"/>
  <c r="AV27" i="16"/>
  <c r="AV28" i="17"/>
  <c r="Y28" i="17"/>
  <c r="Y27" i="17" s="1"/>
  <c r="BG7" i="17"/>
  <c r="H23" i="12"/>
  <c r="I23" i="12" s="1"/>
  <c r="D23" i="12"/>
  <c r="F23" i="12" s="1"/>
  <c r="G23" i="12" s="1"/>
  <c r="H24" i="13"/>
  <c r="I24" i="13" s="1"/>
  <c r="D24" i="13"/>
  <c r="F24" i="13" s="1"/>
  <c r="G24" i="13" s="1"/>
  <c r="AT22" i="61"/>
  <c r="B22" i="10"/>
  <c r="C19" i="32"/>
  <c r="AP22" i="10"/>
  <c r="AD6" i="8"/>
  <c r="AB6" i="8" s="1"/>
  <c r="AD5" i="8"/>
  <c r="AB5" i="8" s="1"/>
  <c r="AD15" i="8"/>
  <c r="AD7" i="8"/>
  <c r="AB7" i="8" s="1"/>
  <c r="AD12" i="8"/>
  <c r="AD8" i="8"/>
  <c r="AB8" i="8" s="1"/>
  <c r="AD9" i="8"/>
  <c r="AD11" i="8"/>
  <c r="AD16" i="8"/>
  <c r="AD10" i="8"/>
  <c r="AD14" i="8"/>
  <c r="AD13" i="8"/>
  <c r="AD4" i="8"/>
  <c r="AB4" i="8" s="1"/>
  <c r="AB14" i="8"/>
  <c r="AB13" i="8"/>
  <c r="AA28" i="18"/>
  <c r="AG28" i="18" s="1"/>
  <c r="Y27" i="18"/>
  <c r="X28" i="18" s="1"/>
  <c r="X26" i="21"/>
  <c r="T74" i="29"/>
  <c r="T75" i="29" s="1"/>
  <c r="X74" i="29" s="1"/>
  <c r="V74" i="29"/>
  <c r="V75" i="29" s="1"/>
  <c r="AW19" i="61"/>
  <c r="AP19" i="7"/>
  <c r="B19" i="7"/>
  <c r="C22" i="35"/>
  <c r="AX18" i="61"/>
  <c r="EX141" i="61" s="1"/>
  <c r="GI141" i="61" s="1"/>
  <c r="AP18" i="6"/>
  <c r="C23" i="36"/>
  <c r="B18" i="6"/>
  <c r="J77" i="29"/>
  <c r="AA23" i="23"/>
  <c r="AG23" i="23" s="1"/>
  <c r="Y22" i="23"/>
  <c r="AI95" i="32"/>
  <c r="AA26" i="53"/>
  <c r="AG26" i="53" s="1"/>
  <c r="Y25" i="53"/>
  <c r="X26" i="53" s="1"/>
  <c r="J84" i="31"/>
  <c r="AD6" i="9"/>
  <c r="AB6" i="9" s="1"/>
  <c r="AD16" i="9"/>
  <c r="AD14" i="9"/>
  <c r="AD9" i="9"/>
  <c r="AD11" i="9"/>
  <c r="AD8" i="9"/>
  <c r="AB8" i="9" s="1"/>
  <c r="AD5" i="9"/>
  <c r="AB5" i="9" s="1"/>
  <c r="AD13" i="9"/>
  <c r="AD12" i="9"/>
  <c r="AD10" i="9"/>
  <c r="AD15" i="9"/>
  <c r="AD7" i="9"/>
  <c r="AB7" i="9" s="1"/>
  <c r="AD4" i="9"/>
  <c r="AB4" i="9" s="1"/>
  <c r="AB16" i="9"/>
  <c r="AB13" i="9"/>
  <c r="AB9" i="9"/>
  <c r="F78" i="28"/>
  <c r="AG78" i="28"/>
  <c r="F101" i="59"/>
  <c r="J99" i="59"/>
  <c r="V106" i="59"/>
  <c r="T106" i="59"/>
  <c r="AG108" i="59"/>
  <c r="AK107" i="59" s="1"/>
  <c r="AI106" i="59"/>
  <c r="AE106" i="59"/>
  <c r="J92" i="31"/>
  <c r="AI75" i="29"/>
  <c r="H59" i="26"/>
  <c r="H60" i="26" s="1"/>
  <c r="J60" i="26" s="1"/>
  <c r="F60" i="26"/>
  <c r="J59" i="26" s="1"/>
  <c r="AV13" i="2"/>
  <c r="Y13" i="2"/>
  <c r="X12" i="2" s="1"/>
  <c r="H16" i="5"/>
  <c r="I16" i="5" s="1"/>
  <c r="D16" i="5"/>
  <c r="F16" i="5" s="1"/>
  <c r="G16" i="5" s="1"/>
  <c r="H15" i="4"/>
  <c r="I15" i="4" s="1"/>
  <c r="D15" i="4"/>
  <c r="F15" i="4" s="1"/>
  <c r="G15" i="4" s="1"/>
  <c r="V83" i="30"/>
  <c r="V85" i="30" s="1"/>
  <c r="T83" i="30"/>
  <c r="AA25" i="20"/>
  <c r="AG25" i="20" s="1"/>
  <c r="Y24" i="20"/>
  <c r="X25" i="20" s="1"/>
  <c r="AG13" i="5"/>
  <c r="AA26" i="19"/>
  <c r="AG26" i="19" s="1"/>
  <c r="Y25" i="19"/>
  <c r="X26" i="19" s="1"/>
  <c r="AJ13" i="10"/>
  <c r="AI13" i="10"/>
  <c r="AA22" i="24"/>
  <c r="AG22" i="24" s="1"/>
  <c r="Y21" i="24"/>
  <c r="X22" i="24" s="1"/>
  <c r="H19" i="8"/>
  <c r="I19" i="8" s="1"/>
  <c r="D19" i="8"/>
  <c r="F19" i="8" s="1"/>
  <c r="G19" i="8" s="1"/>
  <c r="AV12" i="1"/>
  <c r="AG68" i="26"/>
  <c r="H25" i="14"/>
  <c r="I25" i="14" s="1"/>
  <c r="D25" i="14"/>
  <c r="F25" i="14" s="1"/>
  <c r="G25" i="14" s="1"/>
  <c r="H20" i="9"/>
  <c r="I20" i="9" s="1"/>
  <c r="D20" i="9"/>
  <c r="F20" i="9" s="1"/>
  <c r="G20" i="9" s="1"/>
  <c r="AV26" i="15"/>
  <c r="V32" i="61"/>
  <c r="C13" i="26"/>
  <c r="B28" i="16"/>
  <c r="AP28" i="16"/>
  <c r="AE69" i="26"/>
  <c r="AG69" i="26" s="1"/>
  <c r="AE73" i="26"/>
  <c r="R68" i="26"/>
  <c r="D69" i="26"/>
  <c r="AI8" i="10"/>
  <c r="AJ8" i="10"/>
  <c r="AE89" i="30"/>
  <c r="AG89" i="30" s="1"/>
  <c r="AE93" i="30"/>
  <c r="AE94" i="30"/>
  <c r="AG94" i="30" s="1"/>
  <c r="R88" i="30"/>
  <c r="D89" i="30"/>
  <c r="H77" i="27"/>
  <c r="AV21" i="10"/>
  <c r="AA12" i="2"/>
  <c r="AG12" i="2" s="1"/>
  <c r="X15" i="5"/>
  <c r="AE85" i="29"/>
  <c r="AI84" i="29" s="1"/>
  <c r="AG83" i="29"/>
  <c r="AG85" i="29" s="1"/>
  <c r="H18" i="7"/>
  <c r="I18" i="7" s="1"/>
  <c r="D18" i="7"/>
  <c r="F18" i="7" s="1"/>
  <c r="G18" i="7" s="1"/>
  <c r="AV17" i="6"/>
  <c r="H72" i="26"/>
  <c r="X12" i="3"/>
  <c r="AA12" i="3"/>
  <c r="AG12" i="3" s="1"/>
  <c r="X11" i="3"/>
  <c r="H78" i="29"/>
  <c r="H80" i="29" s="1"/>
  <c r="F80" i="29"/>
  <c r="AV22" i="11"/>
  <c r="AJ15" i="9"/>
  <c r="AI15" i="9"/>
  <c r="V64" i="28"/>
  <c r="V65" i="28" s="1"/>
  <c r="T64" i="28"/>
  <c r="T65" i="28" s="1"/>
  <c r="X64" i="28" s="1"/>
  <c r="V100" i="59"/>
  <c r="T100" i="59"/>
  <c r="AG15" i="7"/>
  <c r="X1" i="7"/>
  <c r="V93" i="31"/>
  <c r="T93" i="31"/>
  <c r="V88" i="31"/>
  <c r="T88" i="31"/>
  <c r="AV16" i="5"/>
  <c r="Y11" i="1"/>
  <c r="F28" i="18"/>
  <c r="D29" i="18"/>
  <c r="I35" i="18" s="1"/>
  <c r="AG88" i="30"/>
  <c r="AF12" i="4"/>
  <c r="AF13" i="4" s="1"/>
  <c r="X13" i="5"/>
  <c r="V68" i="27"/>
  <c r="T68" i="27"/>
  <c r="Y14" i="3" l="1"/>
  <c r="GH131" i="61"/>
  <c r="N10" i="64" s="1"/>
  <c r="ES130" i="61"/>
  <c r="H9" i="64" s="1"/>
  <c r="AE125" i="37"/>
  <c r="AI124" i="37" s="1"/>
  <c r="AI130" i="39"/>
  <c r="AG115" i="35"/>
  <c r="J105" i="59"/>
  <c r="J108" i="59" s="1"/>
  <c r="N108" i="59" s="1"/>
  <c r="AS108" i="59" s="1"/>
  <c r="AE115" i="35"/>
  <c r="AI114" i="35" s="1"/>
  <c r="K9" i="64"/>
  <c r="GC131" i="61"/>
  <c r="GD131" i="61" s="1"/>
  <c r="ET130" i="61"/>
  <c r="EY130" i="61"/>
  <c r="L59" i="27"/>
  <c r="N59" i="27" s="1"/>
  <c r="AQ59" i="27" s="1"/>
  <c r="ER131" i="61"/>
  <c r="EE133" i="61"/>
  <c r="FQ133" i="61"/>
  <c r="EK133" i="61"/>
  <c r="FW133" i="61"/>
  <c r="EG133" i="61"/>
  <c r="FS133" i="61"/>
  <c r="EH133" i="61"/>
  <c r="FT133" i="61"/>
  <c r="EB133" i="61"/>
  <c r="FN133" i="61"/>
  <c r="EA133" i="61"/>
  <c r="FM133" i="61"/>
  <c r="EC133" i="61"/>
  <c r="FO133" i="61"/>
  <c r="DY133" i="61"/>
  <c r="FK133" i="61"/>
  <c r="ED133" i="61"/>
  <c r="FP133" i="61"/>
  <c r="EN133" i="61"/>
  <c r="FZ133" i="61"/>
  <c r="DX133" i="61"/>
  <c r="FJ133" i="61"/>
  <c r="EI133" i="61"/>
  <c r="FU133" i="61"/>
  <c r="EM133" i="61"/>
  <c r="FY133" i="61"/>
  <c r="DU133" i="61"/>
  <c r="FG133" i="61"/>
  <c r="GB133" i="61"/>
  <c r="DZ133" i="61"/>
  <c r="FL133" i="61"/>
  <c r="EJ133" i="61"/>
  <c r="FV133" i="61"/>
  <c r="DT133" i="61"/>
  <c r="FF133" i="61"/>
  <c r="DR132" i="61"/>
  <c r="EZ132" i="61" s="1"/>
  <c r="FD132" i="61"/>
  <c r="GE132" i="61" s="1"/>
  <c r="L11" i="64" s="1"/>
  <c r="DS133" i="61"/>
  <c r="FE133" i="61"/>
  <c r="DW133" i="61"/>
  <c r="FI133" i="61"/>
  <c r="EO133" i="61"/>
  <c r="GA133" i="61"/>
  <c r="EL133" i="61"/>
  <c r="FX133" i="61"/>
  <c r="DV133" i="61"/>
  <c r="FH133" i="61"/>
  <c r="EF133" i="61"/>
  <c r="FR133" i="61"/>
  <c r="AE130" i="38"/>
  <c r="AI129" i="38" s="1"/>
  <c r="Z54" i="27"/>
  <c r="AB54" i="27" s="1"/>
  <c r="EU133" i="61"/>
  <c r="EV133" i="61" s="1"/>
  <c r="EP134" i="61"/>
  <c r="A334" i="66"/>
  <c r="I344" i="66"/>
  <c r="AI85" i="30"/>
  <c r="AE95" i="31"/>
  <c r="AI94" i="31" s="1"/>
  <c r="AI115" i="36"/>
  <c r="J344" i="66"/>
  <c r="B344" i="65" s="1"/>
  <c r="B288" i="66"/>
  <c r="A288" i="66"/>
  <c r="L325" i="66"/>
  <c r="D300" i="66"/>
  <c r="A299" i="66"/>
  <c r="B299" i="66"/>
  <c r="J324" i="66"/>
  <c r="B324" i="65" s="1"/>
  <c r="I324" i="66"/>
  <c r="D324" i="65"/>
  <c r="A324" i="65" s="1"/>
  <c r="D300" i="65"/>
  <c r="A300" i="65" s="1"/>
  <c r="I300" i="66"/>
  <c r="J300" i="66"/>
  <c r="B300" i="65" s="1"/>
  <c r="D289" i="66"/>
  <c r="L313" i="66"/>
  <c r="I312" i="66"/>
  <c r="D312" i="65"/>
  <c r="A312" i="65" s="1"/>
  <c r="J312" i="66"/>
  <c r="B312" i="65" s="1"/>
  <c r="B277" i="66"/>
  <c r="A277" i="66"/>
  <c r="AG130" i="38"/>
  <c r="AI130" i="38" s="1"/>
  <c r="X105" i="35"/>
  <c r="Z74" i="33"/>
  <c r="AB74" i="33" s="1"/>
  <c r="AI140" i="39"/>
  <c r="AI115" i="35"/>
  <c r="AI150" i="39"/>
  <c r="AI135" i="39"/>
  <c r="AI145" i="39"/>
  <c r="AI125" i="37"/>
  <c r="D348" i="66"/>
  <c r="L373" i="66"/>
  <c r="A308" i="66"/>
  <c r="B308" i="66"/>
  <c r="A347" i="66"/>
  <c r="B347" i="66"/>
  <c r="D322" i="66"/>
  <c r="L345" i="66"/>
  <c r="D309" i="66"/>
  <c r="L331" i="66"/>
  <c r="L359" i="66"/>
  <c r="D335" i="66"/>
  <c r="I330" i="66"/>
  <c r="D330" i="65"/>
  <c r="A330" i="65" s="1"/>
  <c r="J330" i="66"/>
  <c r="B330" i="65" s="1"/>
  <c r="J372" i="66"/>
  <c r="B372" i="65" s="1"/>
  <c r="I372" i="66"/>
  <c r="D372" i="65"/>
  <c r="A372" i="65" s="1"/>
  <c r="AE124" i="36"/>
  <c r="AG124" i="36" s="1"/>
  <c r="R123" i="36"/>
  <c r="AE128" i="36"/>
  <c r="D124" i="36"/>
  <c r="R99" i="32"/>
  <c r="R107" i="32"/>
  <c r="D108" i="32"/>
  <c r="F108" i="32" s="1"/>
  <c r="H108" i="32" s="1"/>
  <c r="D112" i="32"/>
  <c r="F112" i="32" s="1"/>
  <c r="D454" i="66"/>
  <c r="L477" i="66"/>
  <c r="D378" i="66"/>
  <c r="L397" i="66"/>
  <c r="R101" i="59"/>
  <c r="R117" i="59"/>
  <c r="D118" i="59"/>
  <c r="F118" i="59" s="1"/>
  <c r="D123" i="59"/>
  <c r="F123" i="59" s="1"/>
  <c r="D435" i="66"/>
  <c r="L457" i="66"/>
  <c r="D473" i="66"/>
  <c r="L497" i="66"/>
  <c r="D359" i="66"/>
  <c r="L377" i="66"/>
  <c r="R103" i="32"/>
  <c r="V103" i="32" s="1"/>
  <c r="J130" i="39"/>
  <c r="N130" i="39" s="1"/>
  <c r="AQ130" i="39" s="1"/>
  <c r="J129" i="39"/>
  <c r="N129" i="39" s="1"/>
  <c r="AQ129" i="39" s="1"/>
  <c r="V118" i="36"/>
  <c r="T118" i="36"/>
  <c r="B339" i="66"/>
  <c r="A339" i="66"/>
  <c r="AI125" i="38"/>
  <c r="X90" i="33"/>
  <c r="J150" i="39"/>
  <c r="N150" i="39" s="1"/>
  <c r="AQ150" i="39" s="1"/>
  <c r="J149" i="39"/>
  <c r="N149" i="39" s="1"/>
  <c r="AQ149" i="39" s="1"/>
  <c r="X100" i="34"/>
  <c r="AE145" i="38"/>
  <c r="AI144" i="38" s="1"/>
  <c r="AG143" i="38"/>
  <c r="AG145" i="38" s="1"/>
  <c r="F134" i="38"/>
  <c r="H134" i="38" s="1"/>
  <c r="J132" i="38"/>
  <c r="J142" i="38"/>
  <c r="F144" i="38"/>
  <c r="H144" i="38" s="1"/>
  <c r="T123" i="37"/>
  <c r="V123" i="37"/>
  <c r="B377" i="66"/>
  <c r="A377" i="66"/>
  <c r="D436" i="65"/>
  <c r="A436" i="65" s="1"/>
  <c r="J436" i="66"/>
  <c r="B436" i="65" s="1"/>
  <c r="I436" i="66"/>
  <c r="F105" i="33"/>
  <c r="J104" i="33" s="1"/>
  <c r="H112" i="33"/>
  <c r="D516" i="65"/>
  <c r="A516" i="65" s="1"/>
  <c r="I516" i="66"/>
  <c r="J516" i="66"/>
  <c r="B516" i="65" s="1"/>
  <c r="H97" i="29"/>
  <c r="V113" i="35"/>
  <c r="T113" i="35"/>
  <c r="H109" i="35"/>
  <c r="H110" i="35" s="1"/>
  <c r="J110" i="35" s="1"/>
  <c r="F110" i="35"/>
  <c r="J109" i="35" s="1"/>
  <c r="V89" i="32"/>
  <c r="V90" i="32" s="1"/>
  <c r="T89" i="32"/>
  <c r="T90" i="32" s="1"/>
  <c r="X89" i="32" s="1"/>
  <c r="V108" i="34"/>
  <c r="T108" i="34"/>
  <c r="F113" i="34"/>
  <c r="D416" i="66"/>
  <c r="L437" i="66"/>
  <c r="D104" i="32"/>
  <c r="F104" i="32" s="1"/>
  <c r="H104" i="32" s="1"/>
  <c r="J139" i="39"/>
  <c r="N139" i="39" s="1"/>
  <c r="AQ139" i="39" s="1"/>
  <c r="J140" i="39"/>
  <c r="N140" i="39" s="1"/>
  <c r="AQ140" i="39" s="1"/>
  <c r="T114" i="36"/>
  <c r="T115" i="36" s="1"/>
  <c r="X114" i="36" s="1"/>
  <c r="V114" i="36"/>
  <c r="V115" i="36" s="1"/>
  <c r="D476" i="65"/>
  <c r="A476" i="65" s="1"/>
  <c r="I476" i="66"/>
  <c r="J476" i="66"/>
  <c r="B476" i="65" s="1"/>
  <c r="F139" i="38"/>
  <c r="H139" i="38" s="1"/>
  <c r="J137" i="38"/>
  <c r="AE140" i="38"/>
  <c r="AI139" i="38" s="1"/>
  <c r="AG138" i="38"/>
  <c r="AG140" i="38" s="1"/>
  <c r="F129" i="38"/>
  <c r="H129" i="38" s="1"/>
  <c r="J127" i="38"/>
  <c r="T133" i="38"/>
  <c r="V133" i="38"/>
  <c r="D416" i="65"/>
  <c r="A416" i="65" s="1"/>
  <c r="J416" i="66"/>
  <c r="B416" i="65" s="1"/>
  <c r="I416" i="66"/>
  <c r="F124" i="37"/>
  <c r="H124" i="37" s="1"/>
  <c r="J122" i="37"/>
  <c r="B415" i="66"/>
  <c r="A415" i="66"/>
  <c r="H105" i="33"/>
  <c r="J105" i="33" s="1"/>
  <c r="D336" i="65"/>
  <c r="J336" i="66"/>
  <c r="B336" i="65" s="1"/>
  <c r="I336" i="66"/>
  <c r="V107" i="33"/>
  <c r="T107" i="33"/>
  <c r="A491" i="66"/>
  <c r="B491" i="66"/>
  <c r="T87" i="29"/>
  <c r="V87" i="29"/>
  <c r="X110" i="36"/>
  <c r="H107" i="32"/>
  <c r="H102" i="30"/>
  <c r="AG109" i="34"/>
  <c r="AG110" i="34" s="1"/>
  <c r="AE110" i="34"/>
  <c r="AI109" i="34" s="1"/>
  <c r="T112" i="34"/>
  <c r="V112" i="34"/>
  <c r="D321" i="66"/>
  <c r="L337" i="66"/>
  <c r="D340" i="66"/>
  <c r="L357" i="66"/>
  <c r="D397" i="66"/>
  <c r="L417" i="66"/>
  <c r="D492" i="66"/>
  <c r="L517" i="66"/>
  <c r="AE144" i="37"/>
  <c r="AG144" i="37" s="1"/>
  <c r="AE149" i="37"/>
  <c r="AG149" i="37" s="1"/>
  <c r="AE143" i="37"/>
  <c r="AE148" i="37"/>
  <c r="R143" i="37"/>
  <c r="R133" i="37"/>
  <c r="AE129" i="37"/>
  <c r="AG129" i="37" s="1"/>
  <c r="R138" i="37"/>
  <c r="AE133" i="37"/>
  <c r="D139" i="37"/>
  <c r="AE138" i="37"/>
  <c r="D134" i="37"/>
  <c r="D144" i="37"/>
  <c r="AE139" i="37"/>
  <c r="AG139" i="37" s="1"/>
  <c r="D149" i="37"/>
  <c r="D129" i="37"/>
  <c r="AE134" i="37"/>
  <c r="AG134" i="37" s="1"/>
  <c r="R148" i="37"/>
  <c r="R128" i="37"/>
  <c r="R84" i="29"/>
  <c r="V84" i="29" s="1"/>
  <c r="D98" i="29"/>
  <c r="F98" i="29" s="1"/>
  <c r="H98" i="29" s="1"/>
  <c r="R97" i="29"/>
  <c r="D102" i="29"/>
  <c r="F102" i="29" s="1"/>
  <c r="R87" i="28"/>
  <c r="D97" i="28"/>
  <c r="F97" i="28" s="1"/>
  <c r="D118" i="34"/>
  <c r="F118" i="34" s="1"/>
  <c r="H118" i="34" s="1"/>
  <c r="R109" i="34"/>
  <c r="R113" i="34"/>
  <c r="AE114" i="34"/>
  <c r="AG114" i="34" s="1"/>
  <c r="AE118" i="34"/>
  <c r="D114" i="34"/>
  <c r="F114" i="34" s="1"/>
  <c r="H114" i="34" s="1"/>
  <c r="AE108" i="32"/>
  <c r="AG108" i="32" s="1"/>
  <c r="J125" i="38"/>
  <c r="N125" i="38" s="1"/>
  <c r="AQ125" i="38" s="1"/>
  <c r="J124" i="38"/>
  <c r="N124" i="38" s="1"/>
  <c r="AQ124" i="38" s="1"/>
  <c r="AI110" i="35"/>
  <c r="D316" i="65"/>
  <c r="A316" i="65" s="1"/>
  <c r="J316" i="66"/>
  <c r="B316" i="65" s="1"/>
  <c r="I316" i="66"/>
  <c r="AG123" i="36"/>
  <c r="AG125" i="36" s="1"/>
  <c r="A453" i="66"/>
  <c r="B453" i="66"/>
  <c r="H113" i="35"/>
  <c r="H115" i="35" s="1"/>
  <c r="J115" i="35" s="1"/>
  <c r="F115" i="35"/>
  <c r="J114" i="35" s="1"/>
  <c r="J134" i="39"/>
  <c r="N134" i="39" s="1"/>
  <c r="AQ134" i="39" s="1"/>
  <c r="J135" i="39"/>
  <c r="N135" i="39" s="1"/>
  <c r="AQ135" i="39" s="1"/>
  <c r="T138" i="38"/>
  <c r="V138" i="38"/>
  <c r="F149" i="38"/>
  <c r="H149" i="38" s="1"/>
  <c r="J147" i="38"/>
  <c r="AG148" i="38"/>
  <c r="AG150" i="38" s="1"/>
  <c r="AE150" i="38"/>
  <c r="AI149" i="38" s="1"/>
  <c r="B396" i="66"/>
  <c r="A396" i="66"/>
  <c r="AG128" i="37"/>
  <c r="D456" i="65"/>
  <c r="A456" i="65" s="1"/>
  <c r="J456" i="66"/>
  <c r="B456" i="65" s="1"/>
  <c r="I456" i="66"/>
  <c r="A320" i="66"/>
  <c r="B320" i="66"/>
  <c r="D496" i="65"/>
  <c r="A496" i="65" s="1"/>
  <c r="I496" i="66"/>
  <c r="J496" i="66"/>
  <c r="B496" i="65" s="1"/>
  <c r="AG120" i="36"/>
  <c r="H117" i="35"/>
  <c r="H103" i="32"/>
  <c r="V97" i="30"/>
  <c r="T97" i="30"/>
  <c r="F109" i="34"/>
  <c r="J107" i="34"/>
  <c r="F117" i="34"/>
  <c r="R114" i="35"/>
  <c r="AE119" i="35"/>
  <c r="AG119" i="35" s="1"/>
  <c r="AE123" i="35"/>
  <c r="R118" i="35"/>
  <c r="D119" i="35"/>
  <c r="V22" i="27"/>
  <c r="X22" i="27"/>
  <c r="R104" i="33"/>
  <c r="D113" i="33"/>
  <c r="D117" i="33"/>
  <c r="R112" i="33"/>
  <c r="AE113" i="33"/>
  <c r="AE109" i="33"/>
  <c r="D109" i="33"/>
  <c r="R108" i="33"/>
  <c r="R89" i="31"/>
  <c r="D103" i="31"/>
  <c r="F103" i="31" s="1"/>
  <c r="R102" i="31"/>
  <c r="D107" i="31"/>
  <c r="F107" i="31" s="1"/>
  <c r="H99" i="33"/>
  <c r="H100" i="33" s="1"/>
  <c r="F100" i="33"/>
  <c r="J99" i="33" s="1"/>
  <c r="AE104" i="32"/>
  <c r="AG104" i="32" s="1"/>
  <c r="X115" i="37"/>
  <c r="F119" i="36"/>
  <c r="J117" i="36"/>
  <c r="B358" i="66"/>
  <c r="A358" i="66"/>
  <c r="D356" i="65"/>
  <c r="A356" i="65" s="1"/>
  <c r="J356" i="66"/>
  <c r="B356" i="65" s="1"/>
  <c r="I356" i="66"/>
  <c r="J145" i="39"/>
  <c r="N145" i="39" s="1"/>
  <c r="AQ145" i="39" s="1"/>
  <c r="J144" i="39"/>
  <c r="N144" i="39" s="1"/>
  <c r="AQ144" i="39" s="1"/>
  <c r="V148" i="38"/>
  <c r="T148" i="38"/>
  <c r="T143" i="38"/>
  <c r="V143" i="38"/>
  <c r="V128" i="38"/>
  <c r="T128" i="38"/>
  <c r="AE135" i="38"/>
  <c r="AI134" i="38" s="1"/>
  <c r="AG133" i="38"/>
  <c r="AG135" i="38" s="1"/>
  <c r="D396" i="65"/>
  <c r="A396" i="65" s="1"/>
  <c r="J396" i="66"/>
  <c r="B396" i="65" s="1"/>
  <c r="I396" i="66"/>
  <c r="B434" i="66"/>
  <c r="A434" i="66"/>
  <c r="V99" i="33"/>
  <c r="V100" i="33" s="1"/>
  <c r="T99" i="33"/>
  <c r="T100" i="33" s="1"/>
  <c r="X99" i="33" s="1"/>
  <c r="B472" i="66"/>
  <c r="A472" i="66"/>
  <c r="AG118" i="35"/>
  <c r="T109" i="35"/>
  <c r="T110" i="35" s="1"/>
  <c r="X109" i="35" s="1"/>
  <c r="V109" i="35"/>
  <c r="V110" i="35" s="1"/>
  <c r="AE120" i="36"/>
  <c r="AI119" i="36" s="1"/>
  <c r="T102" i="32"/>
  <c r="V102" i="32"/>
  <c r="AG113" i="34"/>
  <c r="V104" i="34"/>
  <c r="V105" i="34" s="1"/>
  <c r="T104" i="34"/>
  <c r="T105" i="34" s="1"/>
  <c r="X104" i="34" s="1"/>
  <c r="AR50" i="26"/>
  <c r="AT50" i="26" s="1"/>
  <c r="E8" i="26" s="1"/>
  <c r="AK55" i="26" s="1"/>
  <c r="AM55" i="26" s="1"/>
  <c r="AS55" i="26" s="1"/>
  <c r="L59" i="59"/>
  <c r="N59" i="59" s="1"/>
  <c r="AS59" i="59" s="1"/>
  <c r="AM47" i="59"/>
  <c r="AO47" i="59" s="1"/>
  <c r="AU47" i="59" s="1"/>
  <c r="Z47" i="59"/>
  <c r="AB47" i="59" s="1"/>
  <c r="Z53" i="59"/>
  <c r="AB53" i="59" s="1"/>
  <c r="L53" i="59"/>
  <c r="N53" i="59" s="1"/>
  <c r="AS53" i="59" s="1"/>
  <c r="L28" i="58"/>
  <c r="D24" i="58"/>
  <c r="B25" i="58"/>
  <c r="L27" i="58"/>
  <c r="L25" i="58"/>
  <c r="J26" i="58"/>
  <c r="C24" i="58"/>
  <c r="M27" i="58"/>
  <c r="F28" i="58"/>
  <c r="E26" i="58"/>
  <c r="K24" i="58"/>
  <c r="I28" i="58"/>
  <c r="M28" i="58"/>
  <c r="E27" i="58"/>
  <c r="I27" i="58"/>
  <c r="J24" i="58"/>
  <c r="H24" i="58"/>
  <c r="F26" i="58"/>
  <c r="G27" i="58"/>
  <c r="M24" i="58"/>
  <c r="B28" i="58"/>
  <c r="G26" i="58"/>
  <c r="K25" i="58"/>
  <c r="D25" i="58"/>
  <c r="J28" i="58"/>
  <c r="H26" i="58"/>
  <c r="F27" i="58"/>
  <c r="J27" i="58"/>
  <c r="F24" i="58"/>
  <c r="C27" i="58"/>
  <c r="F25" i="58"/>
  <c r="H25" i="58"/>
  <c r="L24" i="58"/>
  <c r="E24" i="58"/>
  <c r="C25" i="58"/>
  <c r="G24" i="58"/>
  <c r="K28" i="58"/>
  <c r="M25" i="58"/>
  <c r="H27" i="58"/>
  <c r="E28" i="58"/>
  <c r="K27" i="58"/>
  <c r="C28" i="58"/>
  <c r="M26" i="58"/>
  <c r="K26" i="58"/>
  <c r="G28" i="58"/>
  <c r="E25" i="58"/>
  <c r="C26" i="58"/>
  <c r="B26" i="58"/>
  <c r="I26" i="58"/>
  <c r="J25" i="58"/>
  <c r="I24" i="58"/>
  <c r="D26" i="58"/>
  <c r="I25" i="58"/>
  <c r="G25" i="58"/>
  <c r="B24" i="58"/>
  <c r="D28" i="58"/>
  <c r="H28" i="58"/>
  <c r="B27" i="58"/>
  <c r="L26" i="58"/>
  <c r="D27" i="58"/>
  <c r="X28" i="27"/>
  <c r="A347" i="65"/>
  <c r="A308" i="65"/>
  <c r="A321" i="65"/>
  <c r="A334" i="65"/>
  <c r="A295" i="65"/>
  <c r="X96" i="59"/>
  <c r="V28" i="27"/>
  <c r="Z27" i="27" s="1"/>
  <c r="R69" i="27"/>
  <c r="T69" i="27" s="1"/>
  <c r="T70" i="27" s="1"/>
  <c r="X69" i="27" s="1"/>
  <c r="AH9" i="27"/>
  <c r="AH5" i="27"/>
  <c r="AJ15" i="27"/>
  <c r="AL15" i="27" s="1"/>
  <c r="T4" i="27"/>
  <c r="V15" i="27"/>
  <c r="Z13" i="27"/>
  <c r="V21" i="27"/>
  <c r="V23" i="27" s="1"/>
  <c r="Z22" i="27" s="1"/>
  <c r="X21" i="27"/>
  <c r="X23" i="27" s="1"/>
  <c r="N19" i="27"/>
  <c r="L5" i="27" s="1"/>
  <c r="AP65" i="27" s="1"/>
  <c r="AL14" i="27"/>
  <c r="AL16" i="27" s="1"/>
  <c r="AI90" i="31"/>
  <c r="Z64" i="29"/>
  <c r="AB64" i="29" s="1"/>
  <c r="R93" i="30"/>
  <c r="V93" i="30" s="1"/>
  <c r="AA14" i="4"/>
  <c r="AG14" i="4" s="1"/>
  <c r="AF14" i="4" s="1"/>
  <c r="AK64" i="29"/>
  <c r="AM64" i="29" s="1"/>
  <c r="AS64" i="29" s="1"/>
  <c r="AE98" i="30"/>
  <c r="AG98" i="30" s="1"/>
  <c r="AE80" i="28"/>
  <c r="AI79" i="28" s="1"/>
  <c r="Y15" i="4"/>
  <c r="X15" i="4" s="1"/>
  <c r="AA20" i="25"/>
  <c r="AG20" i="25" s="1"/>
  <c r="Y19" i="25"/>
  <c r="X20" i="25" s="1"/>
  <c r="X21" i="25"/>
  <c r="AK65" i="29"/>
  <c r="AM65" i="29" s="1"/>
  <c r="AS65" i="29" s="1"/>
  <c r="T85" i="30"/>
  <c r="X84" i="30" s="1"/>
  <c r="X85" i="30" s="1"/>
  <c r="Z65" i="29"/>
  <c r="AB65" i="29" s="1"/>
  <c r="Z59" i="28"/>
  <c r="AB59" i="28" s="1"/>
  <c r="AR59" i="28" s="1"/>
  <c r="AT59" i="28" s="1"/>
  <c r="D10" i="28" s="1"/>
  <c r="AK59" i="28"/>
  <c r="AM59" i="28" s="1"/>
  <c r="AS59" i="28" s="1"/>
  <c r="L64" i="28"/>
  <c r="N64" i="28" s="1"/>
  <c r="AQ64" i="28" s="1"/>
  <c r="AG95" i="31"/>
  <c r="AI95" i="31" s="1"/>
  <c r="AT49" i="26"/>
  <c r="D8" i="26" s="1"/>
  <c r="AK54" i="26" s="1"/>
  <c r="AM54" i="26" s="1"/>
  <c r="AS54" i="26" s="1"/>
  <c r="AI75" i="28"/>
  <c r="AI70" i="27"/>
  <c r="X14" i="5"/>
  <c r="AR59" i="30"/>
  <c r="AT59" i="30" s="1"/>
  <c r="D10" i="30" s="1"/>
  <c r="L69" i="30" s="1"/>
  <c r="N69" i="30" s="1"/>
  <c r="AQ69" i="30" s="1"/>
  <c r="AR74" i="36"/>
  <c r="AT74" i="36" s="1"/>
  <c r="D13" i="36" s="1"/>
  <c r="AR75" i="36"/>
  <c r="AT75" i="36" s="1"/>
  <c r="E13" i="36" s="1"/>
  <c r="AI108" i="59"/>
  <c r="AK108" i="59" s="1"/>
  <c r="AG80" i="28"/>
  <c r="AE75" i="27"/>
  <c r="AI74" i="27" s="1"/>
  <c r="AG75" i="27"/>
  <c r="X70" i="28"/>
  <c r="AE90" i="30"/>
  <c r="AI89" i="30" s="1"/>
  <c r="X80" i="30"/>
  <c r="D83" i="27"/>
  <c r="F83" i="27" s="1"/>
  <c r="H83" i="27" s="1"/>
  <c r="D87" i="27"/>
  <c r="F87" i="27" s="1"/>
  <c r="R82" i="27"/>
  <c r="H84" i="30"/>
  <c r="H85" i="30" s="1"/>
  <c r="J85" i="30" s="1"/>
  <c r="F85" i="30"/>
  <c r="J84" i="30" s="1"/>
  <c r="H69" i="27"/>
  <c r="H70" i="27" s="1"/>
  <c r="J70" i="27" s="1"/>
  <c r="F70" i="27"/>
  <c r="J69" i="27" s="1"/>
  <c r="AE99" i="31"/>
  <c r="D99" i="31"/>
  <c r="AE103" i="31"/>
  <c r="R98" i="31"/>
  <c r="J100" i="33"/>
  <c r="Z70" i="32"/>
  <c r="AB70" i="32" s="1"/>
  <c r="L75" i="32"/>
  <c r="N75" i="32" s="1"/>
  <c r="AQ75" i="32" s="1"/>
  <c r="AG103" i="32"/>
  <c r="T79" i="29"/>
  <c r="T80" i="29" s="1"/>
  <c r="X79" i="29" s="1"/>
  <c r="V79" i="29"/>
  <c r="V80" i="29" s="1"/>
  <c r="H87" i="28"/>
  <c r="H82" i="27"/>
  <c r="AG113" i="59"/>
  <c r="R112" i="59"/>
  <c r="AG118" i="59"/>
  <c r="D113" i="59"/>
  <c r="Z69" i="32"/>
  <c r="AB69" i="32" s="1"/>
  <c r="L74" i="32"/>
  <c r="N74" i="32" s="1"/>
  <c r="AQ74" i="32" s="1"/>
  <c r="V82" i="28"/>
  <c r="T82" i="28"/>
  <c r="R77" i="26"/>
  <c r="D82" i="26"/>
  <c r="F82" i="26" s="1"/>
  <c r="H101" i="59"/>
  <c r="H102" i="59" s="1"/>
  <c r="J102" i="59" s="1"/>
  <c r="F102" i="59"/>
  <c r="J101" i="59" s="1"/>
  <c r="AG99" i="32"/>
  <c r="AG100" i="32" s="1"/>
  <c r="AE100" i="32"/>
  <c r="AI99" i="32" s="1"/>
  <c r="AI100" i="33"/>
  <c r="AI105" i="33"/>
  <c r="H89" i="31"/>
  <c r="H90" i="31" s="1"/>
  <c r="J90" i="31" s="1"/>
  <c r="F90" i="31"/>
  <c r="J89" i="31" s="1"/>
  <c r="D88" i="28"/>
  <c r="F88" i="28" s="1"/>
  <c r="H88" i="28" s="1"/>
  <c r="R79" i="28"/>
  <c r="AI80" i="29"/>
  <c r="T98" i="32"/>
  <c r="V98" i="32"/>
  <c r="F99" i="32"/>
  <c r="J97" i="32"/>
  <c r="T77" i="27"/>
  <c r="V77" i="27"/>
  <c r="J77" i="28"/>
  <c r="AI65" i="26"/>
  <c r="AR60" i="30"/>
  <c r="AT60" i="30" s="1"/>
  <c r="E10" i="30" s="1"/>
  <c r="L70" i="30" s="1"/>
  <c r="N70" i="30" s="1"/>
  <c r="AQ70" i="30" s="1"/>
  <c r="AK69" i="32"/>
  <c r="AM69" i="32" s="1"/>
  <c r="AS69" i="32" s="1"/>
  <c r="AR54" i="27"/>
  <c r="AT54" i="27" s="1"/>
  <c r="D9" i="27" s="1"/>
  <c r="AR55" i="27"/>
  <c r="AT55" i="27" s="1"/>
  <c r="E9" i="27" s="1"/>
  <c r="AG90" i="30"/>
  <c r="AG70" i="26"/>
  <c r="AI9" i="8"/>
  <c r="X75" i="29"/>
  <c r="AI11" i="8"/>
  <c r="X65" i="28"/>
  <c r="AE70" i="26"/>
  <c r="AI69" i="26" s="1"/>
  <c r="AI85" i="29"/>
  <c r="AI14" i="9"/>
  <c r="AI12" i="8"/>
  <c r="AI15" i="8"/>
  <c r="AI10" i="8"/>
  <c r="AJ12" i="9"/>
  <c r="AJ11" i="9"/>
  <c r="AI10" i="9"/>
  <c r="Y1" i="7"/>
  <c r="AB10" i="7" s="1"/>
  <c r="AA11" i="1"/>
  <c r="X10" i="1"/>
  <c r="AF15" i="7"/>
  <c r="AF16" i="7" s="1"/>
  <c r="AI1" i="7"/>
  <c r="AF12" i="2"/>
  <c r="F94" i="30"/>
  <c r="H94" i="30" s="1"/>
  <c r="J92" i="30"/>
  <c r="F89" i="30"/>
  <c r="J87" i="30"/>
  <c r="AG93" i="30"/>
  <c r="AG95" i="30" s="1"/>
  <c r="AE95" i="30"/>
  <c r="AI94" i="30" s="1"/>
  <c r="AE74" i="26"/>
  <c r="AG74" i="26" s="1"/>
  <c r="AE78" i="26"/>
  <c r="R73" i="26"/>
  <c r="R64" i="26"/>
  <c r="D74" i="26"/>
  <c r="D78" i="26"/>
  <c r="Y12" i="1"/>
  <c r="AA25" i="19"/>
  <c r="AG25" i="19" s="1"/>
  <c r="Y24" i="19"/>
  <c r="X25" i="19" s="1"/>
  <c r="AA27" i="17"/>
  <c r="AG27" i="17" s="1"/>
  <c r="Y26" i="17"/>
  <c r="AF13" i="5"/>
  <c r="AF14" i="5" s="1"/>
  <c r="AF15" i="5" s="1"/>
  <c r="AF16" i="5" s="1"/>
  <c r="AI1" i="5"/>
  <c r="AJ13" i="9"/>
  <c r="AI13" i="9"/>
  <c r="AJ5" i="9"/>
  <c r="AI5" i="9"/>
  <c r="H18" i="6"/>
  <c r="I18" i="6" s="1"/>
  <c r="D18" i="6"/>
  <c r="F18" i="6" s="1"/>
  <c r="G18" i="6" s="1"/>
  <c r="AW20" i="61"/>
  <c r="AP20" i="7"/>
  <c r="B20" i="7"/>
  <c r="C22" i="34"/>
  <c r="AJ4" i="8"/>
  <c r="AI4" i="8"/>
  <c r="AJ6" i="8"/>
  <c r="AI6" i="8"/>
  <c r="AT23" i="61"/>
  <c r="AP23" i="10"/>
  <c r="B23" i="10"/>
  <c r="C19" i="31"/>
  <c r="D104" i="31" s="1"/>
  <c r="C19" i="59"/>
  <c r="X28" i="17"/>
  <c r="AA28" i="17"/>
  <c r="AG28" i="17" s="1"/>
  <c r="AV27" i="15"/>
  <c r="AG88" i="29"/>
  <c r="D13" i="1"/>
  <c r="F13" i="1" s="1"/>
  <c r="H13" i="1"/>
  <c r="I13" i="1" s="1"/>
  <c r="AA14" i="3"/>
  <c r="AG14" i="3" s="1"/>
  <c r="AZ17" i="61"/>
  <c r="C25" i="37"/>
  <c r="AP17" i="4"/>
  <c r="B17" i="4"/>
  <c r="AF10" i="1"/>
  <c r="AE89" i="29"/>
  <c r="AG89" i="29" s="1"/>
  <c r="R88" i="29"/>
  <c r="AE93" i="29"/>
  <c r="D89" i="29"/>
  <c r="F28" i="17"/>
  <c r="D29" i="17"/>
  <c r="I35" i="17" s="1"/>
  <c r="V74" i="28"/>
  <c r="V75" i="28" s="1"/>
  <c r="T74" i="28"/>
  <c r="T75" i="28" s="1"/>
  <c r="X74" i="28" s="1"/>
  <c r="H21" i="9"/>
  <c r="I21" i="9" s="1"/>
  <c r="D21" i="9"/>
  <c r="F21" i="9" s="1"/>
  <c r="G21" i="9" s="1"/>
  <c r="BA16" i="61"/>
  <c r="B16" i="3"/>
  <c r="C26" i="38"/>
  <c r="AP16" i="3"/>
  <c r="Y15" i="3" s="1"/>
  <c r="X14" i="3" s="1"/>
  <c r="AA24" i="21"/>
  <c r="AG24" i="21" s="1"/>
  <c r="Y23" i="21"/>
  <c r="X24" i="21" s="1"/>
  <c r="AV24" i="12"/>
  <c r="F78" i="27"/>
  <c r="AG78" i="27"/>
  <c r="AV26" i="14"/>
  <c r="AV21" i="61"/>
  <c r="AP21" i="8"/>
  <c r="B21" i="8"/>
  <c r="C21" i="33"/>
  <c r="F69" i="26"/>
  <c r="J67" i="26"/>
  <c r="AA24" i="20"/>
  <c r="AG24" i="20" s="1"/>
  <c r="Y23" i="20"/>
  <c r="X24" i="20" s="1"/>
  <c r="H78" i="28"/>
  <c r="H80" i="28" s="1"/>
  <c r="F80" i="28"/>
  <c r="AI16" i="9"/>
  <c r="AJ16" i="9"/>
  <c r="AI8" i="9"/>
  <c r="AJ8" i="9"/>
  <c r="AA22" i="23"/>
  <c r="AG22" i="23" s="1"/>
  <c r="Y21" i="23"/>
  <c r="X22" i="23" s="1"/>
  <c r="AJ7" i="8"/>
  <c r="AI7" i="8"/>
  <c r="AV22" i="10"/>
  <c r="H27" i="15"/>
  <c r="I27" i="15" s="1"/>
  <c r="D27" i="15"/>
  <c r="F27" i="15" s="1"/>
  <c r="G27" i="15" s="1"/>
  <c r="F84" i="29"/>
  <c r="J82" i="29"/>
  <c r="H77" i="26"/>
  <c r="AV13" i="1"/>
  <c r="AV17" i="5"/>
  <c r="AG15" i="6"/>
  <c r="X1" i="6"/>
  <c r="AV25" i="13"/>
  <c r="T78" i="28"/>
  <c r="V78" i="28"/>
  <c r="H15" i="3"/>
  <c r="I15" i="3" s="1"/>
  <c r="D15" i="3"/>
  <c r="F15" i="3" s="1"/>
  <c r="G15" i="3" s="1"/>
  <c r="BB15" i="61"/>
  <c r="AP15" i="2"/>
  <c r="Y14" i="2" s="1"/>
  <c r="C27" i="39"/>
  <c r="B15" i="2"/>
  <c r="H23" i="11"/>
  <c r="I23" i="11" s="1"/>
  <c r="D23" i="11"/>
  <c r="F23" i="11" s="1"/>
  <c r="G23" i="11" s="1"/>
  <c r="AS24" i="61"/>
  <c r="AP24" i="11"/>
  <c r="C18" i="30"/>
  <c r="B24" i="11"/>
  <c r="F74" i="27"/>
  <c r="J72" i="27"/>
  <c r="AE84" i="28"/>
  <c r="AG84" i="28" s="1"/>
  <c r="AE88" i="28"/>
  <c r="D84" i="28"/>
  <c r="R83" i="28"/>
  <c r="H20" i="8"/>
  <c r="I20" i="8" s="1"/>
  <c r="D20" i="8"/>
  <c r="F20" i="8" s="1"/>
  <c r="G20" i="8" s="1"/>
  <c r="X13" i="3"/>
  <c r="G28" i="18"/>
  <c r="G29" i="18" s="1"/>
  <c r="I38" i="18" s="1"/>
  <c r="F29" i="18"/>
  <c r="I36" i="18" s="1"/>
  <c r="V88" i="30"/>
  <c r="T88" i="30"/>
  <c r="T68" i="26"/>
  <c r="V68" i="26"/>
  <c r="AV28" i="16"/>
  <c r="Y28" i="16"/>
  <c r="Y27" i="16" s="1"/>
  <c r="BG7" i="16"/>
  <c r="AJ4" i="9"/>
  <c r="AI4" i="9"/>
  <c r="AJ6" i="9"/>
  <c r="AI6" i="9"/>
  <c r="AA25" i="53"/>
  <c r="AG25" i="53" s="1"/>
  <c r="Y24" i="53"/>
  <c r="X23" i="23"/>
  <c r="J79" i="29"/>
  <c r="J80" i="29"/>
  <c r="AV18" i="6"/>
  <c r="H19" i="7"/>
  <c r="I19" i="7" s="1"/>
  <c r="D19" i="7"/>
  <c r="F19" i="7" s="1"/>
  <c r="G19" i="7" s="1"/>
  <c r="AJ13" i="8"/>
  <c r="AI13" i="8"/>
  <c r="B28" i="15"/>
  <c r="W32" i="61"/>
  <c r="C14" i="26"/>
  <c r="R69" i="26" s="1"/>
  <c r="AP28" i="15"/>
  <c r="V83" i="29"/>
  <c r="T83" i="29"/>
  <c r="AV16" i="4"/>
  <c r="AY18" i="61"/>
  <c r="B18" i="5"/>
  <c r="AP18" i="5"/>
  <c r="C24" i="36"/>
  <c r="AQ26" i="61"/>
  <c r="B26" i="13"/>
  <c r="C16" i="28"/>
  <c r="AP26" i="13"/>
  <c r="AU22" i="61"/>
  <c r="B22" i="9"/>
  <c r="AP22" i="9"/>
  <c r="C20" i="32"/>
  <c r="AV15" i="3"/>
  <c r="H14" i="2"/>
  <c r="I14" i="2" s="1"/>
  <c r="D14" i="2"/>
  <c r="F14" i="2" s="1"/>
  <c r="G14" i="2" s="1"/>
  <c r="J107" i="59"/>
  <c r="N107" i="59" s="1"/>
  <c r="AS107" i="59" s="1"/>
  <c r="AV23" i="11"/>
  <c r="X25" i="21"/>
  <c r="H24" i="12"/>
  <c r="I24" i="12" s="1"/>
  <c r="D24" i="12"/>
  <c r="F24" i="12" s="1"/>
  <c r="G24" i="12" s="1"/>
  <c r="V64" i="27"/>
  <c r="V65" i="27" s="1"/>
  <c r="T64" i="27"/>
  <c r="T65" i="27" s="1"/>
  <c r="X64" i="27" s="1"/>
  <c r="H26" i="14"/>
  <c r="I26" i="14" s="1"/>
  <c r="D26" i="14"/>
  <c r="F26" i="14" s="1"/>
  <c r="G26" i="14" s="1"/>
  <c r="AF12" i="3"/>
  <c r="AF13" i="3" s="1"/>
  <c r="AG73" i="26"/>
  <c r="H28" i="16"/>
  <c r="I28" i="16" s="1"/>
  <c r="I29" i="16" s="1"/>
  <c r="I39" i="16" s="1"/>
  <c r="D28" i="16"/>
  <c r="S7" i="16"/>
  <c r="AA21" i="24"/>
  <c r="AG21" i="24" s="1"/>
  <c r="Y20" i="24"/>
  <c r="X1" i="5"/>
  <c r="AA13" i="2"/>
  <c r="AG13" i="2" s="1"/>
  <c r="J95" i="31"/>
  <c r="N95" i="31" s="1"/>
  <c r="AQ95" i="31" s="1"/>
  <c r="J94" i="31"/>
  <c r="N94" i="31" s="1"/>
  <c r="AQ94" i="31" s="1"/>
  <c r="AJ9" i="9"/>
  <c r="AI9" i="9"/>
  <c r="AJ7" i="9"/>
  <c r="AI7" i="9"/>
  <c r="AX19" i="61"/>
  <c r="EX142" i="61" s="1"/>
  <c r="GI142" i="61" s="1"/>
  <c r="C23" i="35"/>
  <c r="B19" i="6"/>
  <c r="AP19" i="6"/>
  <c r="AV19" i="7"/>
  <c r="AA27" i="18"/>
  <c r="AG27" i="18" s="1"/>
  <c r="Y26" i="18"/>
  <c r="X27" i="18" s="1"/>
  <c r="AJ14" i="8"/>
  <c r="AI14" i="8"/>
  <c r="AJ8" i="8"/>
  <c r="AI8" i="8"/>
  <c r="AJ5" i="8"/>
  <c r="AI5" i="8"/>
  <c r="H22" i="10"/>
  <c r="I22" i="10" s="1"/>
  <c r="D22" i="10"/>
  <c r="F22" i="10" s="1"/>
  <c r="G22" i="10" s="1"/>
  <c r="AE79" i="27"/>
  <c r="AG79" i="27" s="1"/>
  <c r="AE83" i="27"/>
  <c r="R78" i="27"/>
  <c r="D79" i="27"/>
  <c r="F79" i="27" s="1"/>
  <c r="H79" i="27" s="1"/>
  <c r="R74" i="27"/>
  <c r="X60" i="26"/>
  <c r="BC14" i="61"/>
  <c r="C28" i="40"/>
  <c r="B14" i="1"/>
  <c r="AP14" i="1"/>
  <c r="H16" i="4"/>
  <c r="I16" i="4" s="1"/>
  <c r="D16" i="4"/>
  <c r="F16" i="4" s="1"/>
  <c r="G16" i="4" s="1"/>
  <c r="H17" i="5"/>
  <c r="I17" i="5" s="1"/>
  <c r="D17" i="5"/>
  <c r="F17" i="5" s="1"/>
  <c r="G17" i="5" s="1"/>
  <c r="AA23" i="22"/>
  <c r="AG23" i="22" s="1"/>
  <c r="Y22" i="22"/>
  <c r="H25" i="13"/>
  <c r="I25" i="13" s="1"/>
  <c r="D25" i="13"/>
  <c r="F25" i="13" s="1"/>
  <c r="G25" i="13" s="1"/>
  <c r="AG83" i="28"/>
  <c r="AV21" i="9"/>
  <c r="H64" i="26"/>
  <c r="H65" i="26" s="1"/>
  <c r="J65" i="26" s="1"/>
  <c r="F65" i="26"/>
  <c r="J64" i="26" s="1"/>
  <c r="AV14" i="2"/>
  <c r="H74" i="28"/>
  <c r="H75" i="28" s="1"/>
  <c r="J75" i="28" s="1"/>
  <c r="F75" i="28"/>
  <c r="J74" i="28" s="1"/>
  <c r="AR25" i="61"/>
  <c r="C17" i="29"/>
  <c r="AE94" i="29" s="1"/>
  <c r="AG94" i="29" s="1"/>
  <c r="AP25" i="12"/>
  <c r="B25" i="12"/>
  <c r="V73" i="27"/>
  <c r="T73" i="27"/>
  <c r="AP27" i="61"/>
  <c r="B27" i="14"/>
  <c r="C15" i="27"/>
  <c r="AP27" i="14"/>
  <c r="AV20" i="8"/>
  <c r="GH132" i="61" l="1"/>
  <c r="N11" i="64" s="1"/>
  <c r="EY131" i="61"/>
  <c r="AG105" i="32"/>
  <c r="AE105" i="32"/>
  <c r="AI104" i="32" s="1"/>
  <c r="K10" i="64"/>
  <c r="T103" i="32"/>
  <c r="GC132" i="61"/>
  <c r="GD132" i="61" s="1"/>
  <c r="ER132" i="61"/>
  <c r="ET131" i="61"/>
  <c r="ES131" i="61"/>
  <c r="H10" i="64" s="1"/>
  <c r="DV134" i="61"/>
  <c r="FH134" i="61"/>
  <c r="EJ134" i="61"/>
  <c r="FV134" i="61"/>
  <c r="EF134" i="61"/>
  <c r="FR134" i="61"/>
  <c r="EG134" i="61"/>
  <c r="FS134" i="61"/>
  <c r="EM134" i="61"/>
  <c r="FY134" i="61"/>
  <c r="DW134" i="61"/>
  <c r="FI134" i="61"/>
  <c r="GB134" i="61"/>
  <c r="EH134" i="61"/>
  <c r="FT134" i="61"/>
  <c r="EB134" i="61"/>
  <c r="FN134" i="61"/>
  <c r="DX134" i="61"/>
  <c r="FJ134" i="61"/>
  <c r="EC134" i="61"/>
  <c r="FO134" i="61"/>
  <c r="EI134" i="61"/>
  <c r="FU134" i="61"/>
  <c r="DS134" i="61"/>
  <c r="FE134" i="61"/>
  <c r="DZ134" i="61"/>
  <c r="FL134" i="61"/>
  <c r="DT134" i="61"/>
  <c r="FF134" i="61"/>
  <c r="EO134" i="61"/>
  <c r="GA134" i="61"/>
  <c r="DY134" i="61"/>
  <c r="FK134" i="61"/>
  <c r="EE134" i="61"/>
  <c r="FQ134" i="61"/>
  <c r="DR133" i="61"/>
  <c r="EZ133" i="61" s="1"/>
  <c r="FD133" i="61"/>
  <c r="GE133" i="61" s="1"/>
  <c r="L12" i="64" s="1"/>
  <c r="EL134" i="61"/>
  <c r="FX134" i="61"/>
  <c r="ED134" i="61"/>
  <c r="FP134" i="61"/>
  <c r="EN134" i="61"/>
  <c r="FZ134" i="61"/>
  <c r="EK134" i="61"/>
  <c r="FW134" i="61"/>
  <c r="DU134" i="61"/>
  <c r="FG134" i="61"/>
  <c r="EA134" i="61"/>
  <c r="FM134" i="61"/>
  <c r="EP135" i="61"/>
  <c r="EU134" i="61"/>
  <c r="EV134" i="61" s="1"/>
  <c r="AE115" i="34"/>
  <c r="AI114" i="34" s="1"/>
  <c r="T84" i="29"/>
  <c r="V69" i="27"/>
  <c r="V70" i="27" s="1"/>
  <c r="X14" i="4"/>
  <c r="Z55" i="26"/>
  <c r="AB55" i="26" s="1"/>
  <c r="T93" i="30"/>
  <c r="J102" i="32"/>
  <c r="Z64" i="30"/>
  <c r="AB64" i="30" s="1"/>
  <c r="AE125" i="36"/>
  <c r="AI124" i="36" s="1"/>
  <c r="A300" i="66"/>
  <c r="B300" i="66"/>
  <c r="D325" i="65"/>
  <c r="A325" i="65" s="1"/>
  <c r="I325" i="66"/>
  <c r="J325" i="66"/>
  <c r="B325" i="65" s="1"/>
  <c r="D313" i="65"/>
  <c r="A313" i="65" s="1"/>
  <c r="J313" i="66"/>
  <c r="B313" i="65" s="1"/>
  <c r="I313" i="66"/>
  <c r="L326" i="66"/>
  <c r="D301" i="66"/>
  <c r="B289" i="66"/>
  <c r="A289" i="66"/>
  <c r="AI135" i="38"/>
  <c r="L60" i="26"/>
  <c r="N60" i="26" s="1"/>
  <c r="AQ60" i="26" s="1"/>
  <c r="Z28" i="27"/>
  <c r="AG115" i="34"/>
  <c r="AE130" i="37"/>
  <c r="AI129" i="37" s="1"/>
  <c r="AA15" i="4"/>
  <c r="AI90" i="30"/>
  <c r="AE120" i="35"/>
  <c r="AI119" i="35" s="1"/>
  <c r="AG120" i="35"/>
  <c r="Z23" i="27"/>
  <c r="X110" i="35"/>
  <c r="B335" i="66"/>
  <c r="A335" i="66"/>
  <c r="D345" i="65"/>
  <c r="A345" i="65" s="1"/>
  <c r="J345" i="66"/>
  <c r="B345" i="65" s="1"/>
  <c r="I345" i="66"/>
  <c r="I359" i="66"/>
  <c r="D359" i="65"/>
  <c r="A359" i="65" s="1"/>
  <c r="J359" i="66"/>
  <c r="B359" i="65" s="1"/>
  <c r="A322" i="66"/>
  <c r="B322" i="66"/>
  <c r="D349" i="66"/>
  <c r="L374" i="66"/>
  <c r="D323" i="66"/>
  <c r="L346" i="66"/>
  <c r="L360" i="66"/>
  <c r="D336" i="66"/>
  <c r="D331" i="65"/>
  <c r="A331" i="65" s="1"/>
  <c r="J331" i="66"/>
  <c r="B331" i="65" s="1"/>
  <c r="I331" i="66"/>
  <c r="D373" i="65"/>
  <c r="A373" i="65" s="1"/>
  <c r="I373" i="66"/>
  <c r="J373" i="66"/>
  <c r="B373" i="65" s="1"/>
  <c r="AI140" i="38"/>
  <c r="B309" i="66"/>
  <c r="A309" i="66"/>
  <c r="B348" i="66"/>
  <c r="A348" i="66"/>
  <c r="X115" i="36"/>
  <c r="X100" i="33"/>
  <c r="AH10" i="27"/>
  <c r="AL10" i="27" s="1"/>
  <c r="R87" i="27"/>
  <c r="D97" i="27"/>
  <c r="F97" i="27" s="1"/>
  <c r="D455" i="66"/>
  <c r="L478" i="66"/>
  <c r="AE128" i="35"/>
  <c r="D124" i="35"/>
  <c r="AE124" i="35"/>
  <c r="AG124" i="35" s="1"/>
  <c r="R123" i="35"/>
  <c r="R89" i="30"/>
  <c r="R102" i="30"/>
  <c r="D103" i="30"/>
  <c r="F103" i="30" s="1"/>
  <c r="D107" i="30"/>
  <c r="F107" i="30" s="1"/>
  <c r="R109" i="33"/>
  <c r="D118" i="33"/>
  <c r="F118" i="33" s="1"/>
  <c r="H118" i="33" s="1"/>
  <c r="AE114" i="33"/>
  <c r="AG114" i="33" s="1"/>
  <c r="R113" i="33"/>
  <c r="D114" i="33"/>
  <c r="F114" i="33" s="1"/>
  <c r="H114" i="33" s="1"/>
  <c r="AE118" i="33"/>
  <c r="R113" i="59"/>
  <c r="D124" i="59"/>
  <c r="F124" i="59" s="1"/>
  <c r="H124" i="59" s="1"/>
  <c r="R123" i="59"/>
  <c r="D129" i="59"/>
  <c r="F129" i="59" s="1"/>
  <c r="D417" i="66"/>
  <c r="L438" i="66"/>
  <c r="D360" i="66"/>
  <c r="L378" i="66"/>
  <c r="H99" i="32"/>
  <c r="H100" i="32" s="1"/>
  <c r="F100" i="32"/>
  <c r="AE108" i="31"/>
  <c r="V102" i="31"/>
  <c r="T102" i="31"/>
  <c r="F109" i="33"/>
  <c r="J107" i="33"/>
  <c r="F117" i="33"/>
  <c r="F105" i="32"/>
  <c r="AI150" i="38"/>
  <c r="AI125" i="36"/>
  <c r="AG118" i="34"/>
  <c r="V97" i="29"/>
  <c r="T97" i="29"/>
  <c r="T148" i="37"/>
  <c r="V148" i="37"/>
  <c r="F139" i="37"/>
  <c r="H139" i="37" s="1"/>
  <c r="J137" i="37"/>
  <c r="V133" i="37"/>
  <c r="T133" i="37"/>
  <c r="D417" i="65"/>
  <c r="A417" i="65" s="1"/>
  <c r="J417" i="66"/>
  <c r="B417" i="65" s="1"/>
  <c r="I417" i="66"/>
  <c r="B340" i="66"/>
  <c r="A340" i="66"/>
  <c r="AI110" i="34"/>
  <c r="B416" i="66"/>
  <c r="A416" i="66"/>
  <c r="H113" i="34"/>
  <c r="H115" i="34" s="1"/>
  <c r="F115" i="34"/>
  <c r="X90" i="32"/>
  <c r="J135" i="38"/>
  <c r="N135" i="38" s="1"/>
  <c r="AQ135" i="38" s="1"/>
  <c r="J134" i="38"/>
  <c r="N134" i="38" s="1"/>
  <c r="AQ134" i="38" s="1"/>
  <c r="B435" i="66"/>
  <c r="A435" i="66"/>
  <c r="V101" i="59"/>
  <c r="V102" i="59" s="1"/>
  <c r="T101" i="59"/>
  <c r="T102" i="59" s="1"/>
  <c r="X101" i="59" s="1"/>
  <c r="D477" i="65"/>
  <c r="A477" i="65" s="1"/>
  <c r="J477" i="66"/>
  <c r="B477" i="65" s="1"/>
  <c r="I477" i="66"/>
  <c r="T107" i="32"/>
  <c r="V107" i="32"/>
  <c r="T123" i="36"/>
  <c r="V123" i="36"/>
  <c r="D341" i="66"/>
  <c r="L358" i="66"/>
  <c r="D398" i="66"/>
  <c r="L418" i="66"/>
  <c r="D474" i="66"/>
  <c r="L498" i="66"/>
  <c r="D108" i="31"/>
  <c r="F108" i="31" s="1"/>
  <c r="H108" i="31" s="1"/>
  <c r="R99" i="31"/>
  <c r="R107" i="31"/>
  <c r="D112" i="31"/>
  <c r="F112" i="31" s="1"/>
  <c r="R114" i="34"/>
  <c r="R118" i="34"/>
  <c r="D119" i="34"/>
  <c r="AE123" i="34"/>
  <c r="AE119" i="34"/>
  <c r="AG119" i="34" s="1"/>
  <c r="D119" i="59"/>
  <c r="R118" i="59"/>
  <c r="V118" i="59" s="1"/>
  <c r="AE104" i="31"/>
  <c r="AG104" i="31" s="1"/>
  <c r="X15" i="27"/>
  <c r="X16" i="27" s="1"/>
  <c r="V16" i="27"/>
  <c r="H103" i="31"/>
  <c r="AG109" i="33"/>
  <c r="AG110" i="33" s="1"/>
  <c r="AE110" i="33"/>
  <c r="AI109" i="33" s="1"/>
  <c r="F113" i="33"/>
  <c r="F119" i="35"/>
  <c r="J117" i="35"/>
  <c r="T114" i="35"/>
  <c r="T115" i="35" s="1"/>
  <c r="X114" i="35" s="1"/>
  <c r="V114" i="35"/>
  <c r="V115" i="35" s="1"/>
  <c r="H109" i="34"/>
  <c r="H110" i="34" s="1"/>
  <c r="J110" i="34" s="1"/>
  <c r="F110" i="34"/>
  <c r="J109" i="34" s="1"/>
  <c r="H105" i="32"/>
  <c r="J149" i="38"/>
  <c r="N149" i="38" s="1"/>
  <c r="AQ149" i="38" s="1"/>
  <c r="J150" i="38"/>
  <c r="N150" i="38" s="1"/>
  <c r="AQ150" i="38" s="1"/>
  <c r="H97" i="28"/>
  <c r="J142" i="37"/>
  <c r="F144" i="37"/>
  <c r="H144" i="37" s="1"/>
  <c r="AG133" i="37"/>
  <c r="AG135" i="37" s="1"/>
  <c r="AE135" i="37"/>
  <c r="AI134" i="37" s="1"/>
  <c r="T143" i="37"/>
  <c r="V143" i="37"/>
  <c r="B397" i="66"/>
  <c r="A397" i="66"/>
  <c r="J124" i="37"/>
  <c r="N124" i="37" s="1"/>
  <c r="AQ124" i="37" s="1"/>
  <c r="J125" i="37"/>
  <c r="N125" i="37" s="1"/>
  <c r="AQ125" i="37" s="1"/>
  <c r="J129" i="38"/>
  <c r="N129" i="38" s="1"/>
  <c r="AQ129" i="38" s="1"/>
  <c r="J130" i="38"/>
  <c r="N130" i="38" s="1"/>
  <c r="AQ130" i="38" s="1"/>
  <c r="J139" i="38"/>
  <c r="N139" i="38" s="1"/>
  <c r="AQ139" i="38" s="1"/>
  <c r="J140" i="38"/>
  <c r="N140" i="38" s="1"/>
  <c r="AQ140" i="38" s="1"/>
  <c r="D497" i="65"/>
  <c r="A497" i="65" s="1"/>
  <c r="J497" i="66"/>
  <c r="B497" i="65" s="1"/>
  <c r="I497" i="66"/>
  <c r="H123" i="59"/>
  <c r="D397" i="65"/>
  <c r="A397" i="65" s="1"/>
  <c r="I397" i="66"/>
  <c r="J397" i="66"/>
  <c r="B397" i="65" s="1"/>
  <c r="B454" i="66"/>
  <c r="A454" i="66"/>
  <c r="V99" i="32"/>
  <c r="V100" i="32" s="1"/>
  <c r="T99" i="32"/>
  <c r="T100" i="32" s="1"/>
  <c r="X99" i="32" s="1"/>
  <c r="D493" i="66"/>
  <c r="L518" i="66"/>
  <c r="R104" i="32"/>
  <c r="R112" i="32"/>
  <c r="D113" i="32"/>
  <c r="D117" i="32"/>
  <c r="AE113" i="32"/>
  <c r="R108" i="32"/>
  <c r="D109" i="32"/>
  <c r="AE109" i="32"/>
  <c r="D436" i="66"/>
  <c r="L458" i="66"/>
  <c r="AG124" i="59"/>
  <c r="AI124" i="59" s="1"/>
  <c r="R103" i="31"/>
  <c r="V103" i="31" s="1"/>
  <c r="X105" i="34"/>
  <c r="H119" i="36"/>
  <c r="H120" i="36" s="1"/>
  <c r="J120" i="36" s="1"/>
  <c r="F120" i="36"/>
  <c r="J119" i="36" s="1"/>
  <c r="T89" i="31"/>
  <c r="T90" i="31" s="1"/>
  <c r="X89" i="31" s="1"/>
  <c r="V89" i="31"/>
  <c r="V90" i="31" s="1"/>
  <c r="AG113" i="33"/>
  <c r="V104" i="33"/>
  <c r="V105" i="33" s="1"/>
  <c r="T104" i="33"/>
  <c r="T105" i="33" s="1"/>
  <c r="X104" i="33" s="1"/>
  <c r="V118" i="35"/>
  <c r="T118" i="35"/>
  <c r="AI120" i="36"/>
  <c r="AG130" i="37"/>
  <c r="AI130" i="37" s="1"/>
  <c r="T113" i="34"/>
  <c r="V113" i="34"/>
  <c r="V87" i="28"/>
  <c r="T87" i="28"/>
  <c r="F129" i="37"/>
  <c r="H129" i="37" s="1"/>
  <c r="J127" i="37"/>
  <c r="J132" i="37"/>
  <c r="F134" i="37"/>
  <c r="H134" i="37" s="1"/>
  <c r="T138" i="37"/>
  <c r="V138" i="37"/>
  <c r="AE150" i="37"/>
  <c r="AI149" i="37" s="1"/>
  <c r="AG148" i="37"/>
  <c r="AG150" i="37" s="1"/>
  <c r="D517" i="65"/>
  <c r="A517" i="65" s="1"/>
  <c r="J517" i="66"/>
  <c r="B517" i="65" s="1"/>
  <c r="I517" i="66"/>
  <c r="D337" i="65"/>
  <c r="J337" i="66"/>
  <c r="B337" i="65" s="1"/>
  <c r="I337" i="66"/>
  <c r="AI145" i="38"/>
  <c r="D377" i="65"/>
  <c r="A377" i="65" s="1"/>
  <c r="J377" i="66"/>
  <c r="B377" i="65" s="1"/>
  <c r="I377" i="66"/>
  <c r="B473" i="66"/>
  <c r="A473" i="66"/>
  <c r="H118" i="59"/>
  <c r="B378" i="66"/>
  <c r="A378" i="66"/>
  <c r="H112" i="32"/>
  <c r="F124" i="36"/>
  <c r="H124" i="36" s="1"/>
  <c r="J122" i="36"/>
  <c r="R84" i="28"/>
  <c r="D98" i="28"/>
  <c r="F98" i="28" s="1"/>
  <c r="H98" i="28" s="1"/>
  <c r="D102" i="28"/>
  <c r="F102" i="28" s="1"/>
  <c r="R97" i="28"/>
  <c r="AE144" i="36"/>
  <c r="AG144" i="36" s="1"/>
  <c r="AE133" i="36"/>
  <c r="R148" i="36"/>
  <c r="R138" i="36"/>
  <c r="D129" i="36"/>
  <c r="AE149" i="36"/>
  <c r="AG149" i="36" s="1"/>
  <c r="AE138" i="36"/>
  <c r="AE129" i="36"/>
  <c r="AG129" i="36" s="1"/>
  <c r="D134" i="36"/>
  <c r="AE148" i="36"/>
  <c r="D139" i="36"/>
  <c r="AE143" i="36"/>
  <c r="R128" i="36"/>
  <c r="D144" i="36"/>
  <c r="AE134" i="36"/>
  <c r="AG134" i="36" s="1"/>
  <c r="D149" i="36"/>
  <c r="R143" i="36"/>
  <c r="R133" i="36"/>
  <c r="AE139" i="36"/>
  <c r="AG139" i="36" s="1"/>
  <c r="D379" i="66"/>
  <c r="L398" i="66"/>
  <c r="AG119" i="59"/>
  <c r="AG120" i="59" s="1"/>
  <c r="AK119" i="59" s="1"/>
  <c r="H107" i="31"/>
  <c r="V108" i="33"/>
  <c r="T108" i="33"/>
  <c r="T112" i="33"/>
  <c r="V112" i="33"/>
  <c r="AE125" i="35"/>
  <c r="AI124" i="35" s="1"/>
  <c r="AG123" i="35"/>
  <c r="AG125" i="35" s="1"/>
  <c r="H117" i="34"/>
  <c r="V109" i="34"/>
  <c r="V110" i="34" s="1"/>
  <c r="T109" i="34"/>
  <c r="T110" i="34" s="1"/>
  <c r="X109" i="34" s="1"/>
  <c r="H102" i="29"/>
  <c r="T128" i="37"/>
  <c r="V128" i="37"/>
  <c r="F149" i="37"/>
  <c r="H149" i="37" s="1"/>
  <c r="J147" i="37"/>
  <c r="AE140" i="37"/>
  <c r="AI139" i="37" s="1"/>
  <c r="AG138" i="37"/>
  <c r="AG140" i="37" s="1"/>
  <c r="AE145" i="37"/>
  <c r="AI144" i="37" s="1"/>
  <c r="AG143" i="37"/>
  <c r="AG145" i="37" s="1"/>
  <c r="B492" i="66"/>
  <c r="A492" i="66"/>
  <c r="D357" i="65"/>
  <c r="A357" i="65" s="1"/>
  <c r="I357" i="66"/>
  <c r="J357" i="66"/>
  <c r="B357" i="65" s="1"/>
  <c r="B321" i="66"/>
  <c r="A321" i="66"/>
  <c r="D437" i="65"/>
  <c r="A437" i="65" s="1"/>
  <c r="J437" i="66"/>
  <c r="B437" i="65" s="1"/>
  <c r="I437" i="66"/>
  <c r="J112" i="34"/>
  <c r="J144" i="38"/>
  <c r="N144" i="38" s="1"/>
  <c r="AQ144" i="38" s="1"/>
  <c r="J145" i="38"/>
  <c r="N145" i="38" s="1"/>
  <c r="AQ145" i="38" s="1"/>
  <c r="A359" i="66"/>
  <c r="B359" i="66"/>
  <c r="D457" i="65"/>
  <c r="A457" i="65" s="1"/>
  <c r="J457" i="66"/>
  <c r="B457" i="65" s="1"/>
  <c r="I457" i="66"/>
  <c r="T117" i="59"/>
  <c r="V117" i="59"/>
  <c r="AG128" i="36"/>
  <c r="AG130" i="36" s="1"/>
  <c r="AT48" i="59"/>
  <c r="AT47" i="59"/>
  <c r="AT53" i="59"/>
  <c r="AT54" i="59"/>
  <c r="A309" i="65"/>
  <c r="A335" i="65"/>
  <c r="A322" i="65"/>
  <c r="A348" i="65"/>
  <c r="AJ16" i="27"/>
  <c r="AN15" i="27" s="1"/>
  <c r="AN16" i="27" s="1"/>
  <c r="AL9" i="27"/>
  <c r="AJ9" i="27"/>
  <c r="X4" i="27"/>
  <c r="X5" i="27" s="1"/>
  <c r="V4" i="27"/>
  <c r="V5" i="27" s="1"/>
  <c r="Z4" i="27" s="1"/>
  <c r="Z16" i="27"/>
  <c r="Z15" i="27"/>
  <c r="AJ5" i="27"/>
  <c r="AN3" i="27"/>
  <c r="T85" i="29"/>
  <c r="X84" i="29" s="1"/>
  <c r="J79" i="28"/>
  <c r="J80" i="28"/>
  <c r="AI80" i="28"/>
  <c r="AK64" i="30"/>
  <c r="AM64" i="30" s="1"/>
  <c r="AS64" i="30" s="1"/>
  <c r="AI75" i="27"/>
  <c r="V85" i="29"/>
  <c r="AA19" i="25"/>
  <c r="AG19" i="25" s="1"/>
  <c r="Y18" i="25"/>
  <c r="AR65" i="29"/>
  <c r="AT65" i="29" s="1"/>
  <c r="E11" i="29" s="1"/>
  <c r="AK70" i="29" s="1"/>
  <c r="AM70" i="29" s="1"/>
  <c r="AS70" i="29" s="1"/>
  <c r="AR64" i="29"/>
  <c r="AT64" i="29" s="1"/>
  <c r="D11" i="29" s="1"/>
  <c r="AK69" i="29" s="1"/>
  <c r="AM69" i="29" s="1"/>
  <c r="AS69" i="29" s="1"/>
  <c r="AG85" i="28"/>
  <c r="AR60" i="28"/>
  <c r="AT60" i="28" s="1"/>
  <c r="E10" i="28" s="1"/>
  <c r="L69" i="28"/>
  <c r="N69" i="28" s="1"/>
  <c r="AQ69" i="28" s="1"/>
  <c r="Z64" i="28"/>
  <c r="AB64" i="28" s="1"/>
  <c r="AK64" i="28"/>
  <c r="AM64" i="28" s="1"/>
  <c r="AS64" i="28" s="1"/>
  <c r="Z54" i="26"/>
  <c r="AB54" i="26" s="1"/>
  <c r="AR55" i="26" s="1"/>
  <c r="AT55" i="26" s="1"/>
  <c r="E9" i="26" s="1"/>
  <c r="L59" i="26"/>
  <c r="N59" i="26" s="1"/>
  <c r="AQ59" i="26" s="1"/>
  <c r="Y13" i="1"/>
  <c r="Z80" i="36"/>
  <c r="AB80" i="36" s="1"/>
  <c r="L85" i="36"/>
  <c r="N85" i="36" s="1"/>
  <c r="AQ85" i="36" s="1"/>
  <c r="AK80" i="36"/>
  <c r="AM80" i="36" s="1"/>
  <c r="AS80" i="36" s="1"/>
  <c r="AT80" i="36" s="1"/>
  <c r="AK79" i="36"/>
  <c r="AM79" i="36" s="1"/>
  <c r="AS79" i="36" s="1"/>
  <c r="AT79" i="36" s="1"/>
  <c r="Z79" i="36"/>
  <c r="AB79" i="36" s="1"/>
  <c r="L84" i="36"/>
  <c r="N84" i="36" s="1"/>
  <c r="AQ84" i="36" s="1"/>
  <c r="AI105" i="32"/>
  <c r="X80" i="29"/>
  <c r="X70" i="27"/>
  <c r="AE99" i="30"/>
  <c r="AE103" i="30"/>
  <c r="R98" i="30"/>
  <c r="D99" i="30"/>
  <c r="H84" i="29"/>
  <c r="H85" i="29" s="1"/>
  <c r="J85" i="29" s="1"/>
  <c r="F85" i="29"/>
  <c r="T69" i="26"/>
  <c r="T70" i="26" s="1"/>
  <c r="X69" i="26" s="1"/>
  <c r="V69" i="26"/>
  <c r="V70" i="26" s="1"/>
  <c r="V112" i="59"/>
  <c r="T112" i="59"/>
  <c r="T103" i="31"/>
  <c r="F99" i="31"/>
  <c r="J97" i="31"/>
  <c r="H87" i="27"/>
  <c r="AR69" i="32"/>
  <c r="AT69" i="32" s="1"/>
  <c r="D12" i="32" s="1"/>
  <c r="AK74" i="32" s="1"/>
  <c r="AM74" i="32" s="1"/>
  <c r="AS74" i="32" s="1"/>
  <c r="AR70" i="32"/>
  <c r="AT70" i="32" s="1"/>
  <c r="E12" i="32" s="1"/>
  <c r="AI113" i="59"/>
  <c r="AI114" i="59" s="1"/>
  <c r="AG114" i="59"/>
  <c r="AK113" i="59" s="1"/>
  <c r="AE113" i="59"/>
  <c r="V98" i="31"/>
  <c r="T98" i="31"/>
  <c r="AG99" i="31"/>
  <c r="AG100" i="31" s="1"/>
  <c r="AE100" i="31"/>
  <c r="AI99" i="31" s="1"/>
  <c r="V84" i="28"/>
  <c r="T84" i="28"/>
  <c r="H69" i="26"/>
  <c r="H70" i="26" s="1"/>
  <c r="J70" i="26" s="1"/>
  <c r="F70" i="26"/>
  <c r="AE98" i="29"/>
  <c r="AG98" i="29" s="1"/>
  <c r="R93" i="29"/>
  <c r="T93" i="29" s="1"/>
  <c r="J99" i="32"/>
  <c r="J100" i="32"/>
  <c r="AI100" i="32"/>
  <c r="H82" i="26"/>
  <c r="F119" i="59"/>
  <c r="H119" i="59" s="1"/>
  <c r="J117" i="59"/>
  <c r="T118" i="59"/>
  <c r="AG108" i="31"/>
  <c r="AG103" i="31"/>
  <c r="J102" i="31"/>
  <c r="F104" i="31"/>
  <c r="H104" i="31" s="1"/>
  <c r="D88" i="27"/>
  <c r="F88" i="27" s="1"/>
  <c r="H88" i="27" s="1"/>
  <c r="R79" i="27"/>
  <c r="R82" i="26"/>
  <c r="D83" i="26"/>
  <c r="F83" i="26" s="1"/>
  <c r="H83" i="26" s="1"/>
  <c r="D87" i="26"/>
  <c r="F87" i="26" s="1"/>
  <c r="D94" i="29"/>
  <c r="F94" i="29" s="1"/>
  <c r="H94" i="29" s="1"/>
  <c r="H89" i="30"/>
  <c r="H90" i="30" s="1"/>
  <c r="J90" i="30" s="1"/>
  <c r="F90" i="30"/>
  <c r="J89" i="30" s="1"/>
  <c r="T79" i="28"/>
  <c r="T80" i="28" s="1"/>
  <c r="X79" i="28" s="1"/>
  <c r="V79" i="28"/>
  <c r="V80" i="28" s="1"/>
  <c r="V77" i="26"/>
  <c r="T77" i="26"/>
  <c r="J111" i="59"/>
  <c r="F113" i="59"/>
  <c r="AI118" i="59"/>
  <c r="AE118" i="59"/>
  <c r="AE124" i="59"/>
  <c r="J104" i="32"/>
  <c r="J105" i="32"/>
  <c r="T82" i="27"/>
  <c r="V82" i="27"/>
  <c r="AE75" i="26"/>
  <c r="AI74" i="26" s="1"/>
  <c r="AG75" i="26"/>
  <c r="AI95" i="30"/>
  <c r="AK59" i="27"/>
  <c r="AM59" i="27" s="1"/>
  <c r="AS59" i="27" s="1"/>
  <c r="L64" i="27"/>
  <c r="N64" i="27" s="1"/>
  <c r="AQ64" i="27" s="1"/>
  <c r="Z59" i="27"/>
  <c r="AB59" i="27" s="1"/>
  <c r="AI70" i="26"/>
  <c r="Z60" i="27"/>
  <c r="AB60" i="27" s="1"/>
  <c r="L65" i="27"/>
  <c r="N65" i="27" s="1"/>
  <c r="AQ65" i="27" s="1"/>
  <c r="AK65" i="30"/>
  <c r="AM65" i="30" s="1"/>
  <c r="AS65" i="30" s="1"/>
  <c r="Z65" i="30"/>
  <c r="AB65" i="30" s="1"/>
  <c r="AR64" i="30" s="1"/>
  <c r="AT64" i="30" s="1"/>
  <c r="D11" i="30" s="1"/>
  <c r="AE85" i="28"/>
  <c r="AI84" i="28" s="1"/>
  <c r="AG90" i="29"/>
  <c r="AA13" i="1"/>
  <c r="AG13" i="1" s="1"/>
  <c r="AJ10" i="7"/>
  <c r="AI10" i="7"/>
  <c r="AV27" i="14"/>
  <c r="AE84" i="27"/>
  <c r="AG84" i="27" s="1"/>
  <c r="AE88" i="27"/>
  <c r="D84" i="27"/>
  <c r="R83" i="27"/>
  <c r="AP28" i="14"/>
  <c r="X32" i="61"/>
  <c r="B28" i="14"/>
  <c r="C15" i="26"/>
  <c r="H25" i="12"/>
  <c r="I25" i="12" s="1"/>
  <c r="D25" i="12"/>
  <c r="F25" i="12" s="1"/>
  <c r="G25" i="12" s="1"/>
  <c r="AA27" i="16"/>
  <c r="AG27" i="16" s="1"/>
  <c r="Y26" i="16"/>
  <c r="X27" i="16" s="1"/>
  <c r="AX20" i="61"/>
  <c r="EX143" i="61" s="1"/>
  <c r="GI143" i="61" s="1"/>
  <c r="AP20" i="6"/>
  <c r="C23" i="34"/>
  <c r="B20" i="6"/>
  <c r="Y1" i="5"/>
  <c r="AB15" i="5" s="1"/>
  <c r="AV22" i="9"/>
  <c r="AV26" i="13"/>
  <c r="AV18" i="5"/>
  <c r="H28" i="15"/>
  <c r="I28" i="15" s="1"/>
  <c r="I29" i="15" s="1"/>
  <c r="I39" i="15" s="1"/>
  <c r="D28" i="15"/>
  <c r="S7" i="15"/>
  <c r="AG88" i="28"/>
  <c r="H24" i="11"/>
  <c r="I24" i="11" s="1"/>
  <c r="D24" i="11"/>
  <c r="F24" i="11" s="1"/>
  <c r="G24" i="11" s="1"/>
  <c r="AV15" i="2"/>
  <c r="AF15" i="6"/>
  <c r="AF16" i="6" s="1"/>
  <c r="AI1" i="6"/>
  <c r="AA21" i="23"/>
  <c r="AG21" i="23" s="1"/>
  <c r="Y20" i="23"/>
  <c r="X21" i="23" s="1"/>
  <c r="AA23" i="20"/>
  <c r="AG23" i="20" s="1"/>
  <c r="Y22" i="20"/>
  <c r="X23" i="20" s="1"/>
  <c r="AV22" i="61"/>
  <c r="B22" i="8"/>
  <c r="C21" i="32"/>
  <c r="AP22" i="8"/>
  <c r="AE80" i="27"/>
  <c r="AI79" i="27" s="1"/>
  <c r="BA17" i="61"/>
  <c r="C26" i="37"/>
  <c r="AP17" i="3"/>
  <c r="B17" i="3"/>
  <c r="H17" i="4"/>
  <c r="I17" i="4" s="1"/>
  <c r="D17" i="4"/>
  <c r="F17" i="4" s="1"/>
  <c r="G17" i="4" s="1"/>
  <c r="AE90" i="29"/>
  <c r="AI89" i="29" s="1"/>
  <c r="AV20" i="7"/>
  <c r="AA26" i="17"/>
  <c r="AG26" i="17" s="1"/>
  <c r="Y25" i="17"/>
  <c r="X26" i="17" s="1"/>
  <c r="X12" i="1"/>
  <c r="AA12" i="1"/>
  <c r="AG12" i="1" s="1"/>
  <c r="V64" i="26"/>
  <c r="V65" i="26" s="1"/>
  <c r="T64" i="26"/>
  <c r="T65" i="26" s="1"/>
  <c r="X64" i="26" s="1"/>
  <c r="AB11" i="7"/>
  <c r="AB12" i="7"/>
  <c r="AA14" i="2"/>
  <c r="AG14" i="2" s="1"/>
  <c r="AA22" i="22"/>
  <c r="AG22" i="22" s="1"/>
  <c r="Y21" i="22"/>
  <c r="X22" i="22" s="1"/>
  <c r="BC15" i="61"/>
  <c r="AP15" i="1"/>
  <c r="B15" i="1"/>
  <c r="C28" i="39"/>
  <c r="V78" i="27"/>
  <c r="T78" i="27"/>
  <c r="AV19" i="6"/>
  <c r="AA20" i="24"/>
  <c r="AG20" i="24" s="1"/>
  <c r="Y19" i="24"/>
  <c r="X20" i="24" s="1"/>
  <c r="F28" i="16"/>
  <c r="D29" i="16"/>
  <c r="I35" i="16" s="1"/>
  <c r="X15" i="3"/>
  <c r="AA15" i="3"/>
  <c r="H22" i="9"/>
  <c r="I22" i="9" s="1"/>
  <c r="D22" i="9"/>
  <c r="F22" i="9" s="1"/>
  <c r="G22" i="9" s="1"/>
  <c r="AE89" i="28"/>
  <c r="AG89" i="28" s="1"/>
  <c r="AE93" i="28"/>
  <c r="R88" i="28"/>
  <c r="D89" i="28"/>
  <c r="H18" i="5"/>
  <c r="I18" i="5" s="1"/>
  <c r="D18" i="5"/>
  <c r="F18" i="5" s="1"/>
  <c r="G18" i="5" s="1"/>
  <c r="AV28" i="15"/>
  <c r="Y28" i="15"/>
  <c r="Y27" i="15" s="1"/>
  <c r="BG7" i="15"/>
  <c r="AA24" i="53"/>
  <c r="AG24" i="53" s="1"/>
  <c r="Y23" i="53"/>
  <c r="X24" i="53" s="1"/>
  <c r="X28" i="16"/>
  <c r="AA28" i="16"/>
  <c r="AG28" i="16" s="1"/>
  <c r="BB16" i="61"/>
  <c r="B16" i="2"/>
  <c r="AP16" i="2"/>
  <c r="C27" i="38"/>
  <c r="J84" i="29"/>
  <c r="AG80" i="27"/>
  <c r="AA23" i="21"/>
  <c r="AG23" i="21" s="1"/>
  <c r="Y22" i="21"/>
  <c r="AV16" i="3"/>
  <c r="F89" i="29"/>
  <c r="J87" i="29"/>
  <c r="V88" i="29"/>
  <c r="T88" i="29"/>
  <c r="AV17" i="4"/>
  <c r="H23" i="10"/>
  <c r="I23" i="10" s="1"/>
  <c r="D23" i="10"/>
  <c r="F23" i="10" s="1"/>
  <c r="G23" i="10" s="1"/>
  <c r="AW21" i="61"/>
  <c r="B21" i="7"/>
  <c r="AP21" i="7"/>
  <c r="C22" i="33"/>
  <c r="T73" i="26"/>
  <c r="V73" i="26"/>
  <c r="X11" i="1"/>
  <c r="AD15" i="7"/>
  <c r="AD16" i="7"/>
  <c r="AD5" i="7"/>
  <c r="AB5" i="7" s="1"/>
  <c r="AD13" i="7"/>
  <c r="AD11" i="7"/>
  <c r="AD6" i="7"/>
  <c r="AB6" i="7" s="1"/>
  <c r="AD14" i="7"/>
  <c r="AD7" i="7"/>
  <c r="AB7" i="7" s="1"/>
  <c r="AD8" i="7"/>
  <c r="AB8" i="7" s="1"/>
  <c r="AD12" i="7"/>
  <c r="AD10" i="7"/>
  <c r="AD9" i="7"/>
  <c r="AD4" i="7"/>
  <c r="AB4" i="7" s="1"/>
  <c r="AB13" i="7"/>
  <c r="AV14" i="1"/>
  <c r="AG83" i="27"/>
  <c r="AA26" i="18"/>
  <c r="AG26" i="18" s="1"/>
  <c r="Y25" i="18"/>
  <c r="X26" i="18" s="1"/>
  <c r="D19" i="6"/>
  <c r="F19" i="6" s="1"/>
  <c r="G19" i="6" s="1"/>
  <c r="H19" i="6"/>
  <c r="I19" i="6" s="1"/>
  <c r="AF13" i="2"/>
  <c r="X65" i="27"/>
  <c r="AU23" i="61"/>
  <c r="AP23" i="9"/>
  <c r="C20" i="31"/>
  <c r="B23" i="9"/>
  <c r="C20" i="59"/>
  <c r="H26" i="13"/>
  <c r="I26" i="13" s="1"/>
  <c r="D26" i="13"/>
  <c r="F26" i="13" s="1"/>
  <c r="G26" i="13" s="1"/>
  <c r="AY19" i="61"/>
  <c r="B19" i="5"/>
  <c r="AP19" i="5"/>
  <c r="C24" i="35"/>
  <c r="AE79" i="26"/>
  <c r="AG79" i="26" s="1"/>
  <c r="AE83" i="26"/>
  <c r="R78" i="26"/>
  <c r="R74" i="26"/>
  <c r="D79" i="26"/>
  <c r="F79" i="26" s="1"/>
  <c r="H79" i="26" s="1"/>
  <c r="T83" i="28"/>
  <c r="V83" i="28"/>
  <c r="V85" i="28" s="1"/>
  <c r="AV24" i="11"/>
  <c r="H15" i="2"/>
  <c r="I15" i="2" s="1"/>
  <c r="D15" i="2"/>
  <c r="F15" i="2" s="1"/>
  <c r="G15" i="2" s="1"/>
  <c r="X75" i="28"/>
  <c r="J69" i="26"/>
  <c r="H21" i="8"/>
  <c r="I21" i="8" s="1"/>
  <c r="D21" i="8"/>
  <c r="F21" i="8" s="1"/>
  <c r="G21" i="8" s="1"/>
  <c r="J77" i="27"/>
  <c r="G28" i="17"/>
  <c r="G29" i="17" s="1"/>
  <c r="I38" i="17" s="1"/>
  <c r="F29" i="17"/>
  <c r="I36" i="17" s="1"/>
  <c r="AE95" i="29"/>
  <c r="AI94" i="29" s="1"/>
  <c r="AG93" i="29"/>
  <c r="AG95" i="29" s="1"/>
  <c r="G13" i="1"/>
  <c r="AV23" i="10"/>
  <c r="X27" i="17"/>
  <c r="F78" i="26"/>
  <c r="AG78" i="26"/>
  <c r="J94" i="30"/>
  <c r="N94" i="30" s="1"/>
  <c r="AQ94" i="30" s="1"/>
  <c r="J95" i="30"/>
  <c r="N95" i="30" s="1"/>
  <c r="AQ95" i="30" s="1"/>
  <c r="AG11" i="1"/>
  <c r="AB16" i="7"/>
  <c r="AG15" i="4"/>
  <c r="X1" i="4"/>
  <c r="AV25" i="12"/>
  <c r="H27" i="14"/>
  <c r="I27" i="14" s="1"/>
  <c r="D27" i="14"/>
  <c r="F27" i="14" s="1"/>
  <c r="G27" i="14" s="1"/>
  <c r="AR26" i="61"/>
  <c r="B26" i="12"/>
  <c r="AP26" i="12"/>
  <c r="C17" i="28"/>
  <c r="D94" i="28" s="1"/>
  <c r="X23" i="22"/>
  <c r="H14" i="1"/>
  <c r="I14" i="1" s="1"/>
  <c r="D14" i="1"/>
  <c r="F14" i="1" s="1"/>
  <c r="G14" i="1" s="1"/>
  <c r="V74" i="27"/>
  <c r="V75" i="27" s="1"/>
  <c r="T74" i="27"/>
  <c r="T75" i="27" s="1"/>
  <c r="X74" i="27" s="1"/>
  <c r="X13" i="2"/>
  <c r="X21" i="24"/>
  <c r="AQ27" i="61"/>
  <c r="C16" i="27"/>
  <c r="B27" i="13"/>
  <c r="AP27" i="13"/>
  <c r="X25" i="53"/>
  <c r="F84" i="28"/>
  <c r="J82" i="28"/>
  <c r="H74" i="27"/>
  <c r="H75" i="27" s="1"/>
  <c r="J75" i="27" s="1"/>
  <c r="F75" i="27"/>
  <c r="J74" i="27" s="1"/>
  <c r="AS25" i="61"/>
  <c r="C18" i="29"/>
  <c r="B25" i="11"/>
  <c r="AP25" i="11"/>
  <c r="Y1" i="6"/>
  <c r="AB11" i="6" s="1"/>
  <c r="AV21" i="8"/>
  <c r="H78" i="27"/>
  <c r="H80" i="27" s="1"/>
  <c r="F80" i="27"/>
  <c r="H16" i="3"/>
  <c r="I16" i="3" s="1"/>
  <c r="D16" i="3"/>
  <c r="F16" i="3" s="1"/>
  <c r="G16" i="3" s="1"/>
  <c r="V93" i="29"/>
  <c r="AZ18" i="61"/>
  <c r="AP18" i="4"/>
  <c r="C25" i="36"/>
  <c r="B18" i="4"/>
  <c r="AF14" i="3"/>
  <c r="AT24" i="61"/>
  <c r="C19" i="30"/>
  <c r="AP24" i="10"/>
  <c r="B24" i="10"/>
  <c r="H20" i="7"/>
  <c r="I20" i="7" s="1"/>
  <c r="D20" i="7"/>
  <c r="F20" i="7" s="1"/>
  <c r="G20" i="7" s="1"/>
  <c r="AA24" i="19"/>
  <c r="AG24" i="19" s="1"/>
  <c r="Y23" i="19"/>
  <c r="X24" i="19" s="1"/>
  <c r="F74" i="26"/>
  <c r="J72" i="26"/>
  <c r="AB15" i="7"/>
  <c r="AB14" i="7"/>
  <c r="AB9" i="7"/>
  <c r="GH133" i="61" l="1"/>
  <c r="N12" i="64" s="1"/>
  <c r="AE130" i="36"/>
  <c r="AI129" i="36" s="1"/>
  <c r="AG115" i="33"/>
  <c r="AG105" i="31"/>
  <c r="AJ10" i="27"/>
  <c r="L79" i="32"/>
  <c r="N79" i="32" s="1"/>
  <c r="AQ79" i="32" s="1"/>
  <c r="AT79" i="32" s="1"/>
  <c r="D14" i="32" s="1"/>
  <c r="J112" i="33"/>
  <c r="AI115" i="34"/>
  <c r="K11" i="64"/>
  <c r="AR54" i="26"/>
  <c r="AT54" i="26" s="1"/>
  <c r="D9" i="26" s="1"/>
  <c r="X85" i="29"/>
  <c r="GC133" i="61"/>
  <c r="GD133" i="61" s="1"/>
  <c r="EY132" i="61"/>
  <c r="ER133" i="61"/>
  <c r="ET132" i="61"/>
  <c r="ES132" i="61"/>
  <c r="H11" i="64" s="1"/>
  <c r="EG135" i="61"/>
  <c r="FS135" i="61"/>
  <c r="EK135" i="61"/>
  <c r="FW135" i="61"/>
  <c r="DS135" i="61"/>
  <c r="FE135" i="61"/>
  <c r="EN135" i="61"/>
  <c r="FZ135" i="61"/>
  <c r="DX135" i="61"/>
  <c r="FJ135" i="61"/>
  <c r="EH135" i="61"/>
  <c r="FT135" i="61"/>
  <c r="EC135" i="61"/>
  <c r="FO135" i="61"/>
  <c r="DU135" i="61"/>
  <c r="FG135" i="61"/>
  <c r="EM135" i="61"/>
  <c r="FY135" i="61"/>
  <c r="EJ135" i="61"/>
  <c r="FV135" i="61"/>
  <c r="DT135" i="61"/>
  <c r="FF135" i="61"/>
  <c r="ED135" i="61"/>
  <c r="FP135" i="61"/>
  <c r="DR134" i="61"/>
  <c r="EZ134" i="61" s="1"/>
  <c r="FD134" i="61"/>
  <c r="GE134" i="61" s="1"/>
  <c r="L13" i="64" s="1"/>
  <c r="EO135" i="61"/>
  <c r="GA135" i="61"/>
  <c r="EI135" i="61"/>
  <c r="FU135" i="61"/>
  <c r="EE135" i="61"/>
  <c r="FQ135" i="61"/>
  <c r="EF135" i="61"/>
  <c r="FR135" i="61"/>
  <c r="GB135" i="61"/>
  <c r="DZ135" i="61"/>
  <c r="FL135" i="61"/>
  <c r="DY135" i="61"/>
  <c r="FK135" i="61"/>
  <c r="EA135" i="61"/>
  <c r="FM135" i="61"/>
  <c r="DW135" i="61"/>
  <c r="FI135" i="61"/>
  <c r="EB135" i="61"/>
  <c r="FN135" i="61"/>
  <c r="EL135" i="61"/>
  <c r="FX135" i="61"/>
  <c r="DV135" i="61"/>
  <c r="FH135" i="61"/>
  <c r="AI120" i="35"/>
  <c r="EP136" i="61"/>
  <c r="EU135" i="61"/>
  <c r="EV135" i="61" s="1"/>
  <c r="AI85" i="28"/>
  <c r="AE105" i="31"/>
  <c r="AI104" i="31" s="1"/>
  <c r="AI119" i="59"/>
  <c r="AI120" i="59" s="1"/>
  <c r="AK120" i="59" s="1"/>
  <c r="AE119" i="59"/>
  <c r="X90" i="31"/>
  <c r="X115" i="35"/>
  <c r="AI150" i="37"/>
  <c r="AE115" i="33"/>
  <c r="AI114" i="33" s="1"/>
  <c r="AI115" i="33" s="1"/>
  <c r="A301" i="66"/>
  <c r="B301" i="66"/>
  <c r="J326" i="66"/>
  <c r="B326" i="65" s="1"/>
  <c r="I326" i="66"/>
  <c r="D326" i="65"/>
  <c r="A326" i="65" s="1"/>
  <c r="L74" i="29"/>
  <c r="N74" i="29" s="1"/>
  <c r="AQ74" i="29" s="1"/>
  <c r="AI130" i="36"/>
  <c r="AI140" i="37"/>
  <c r="AI110" i="33"/>
  <c r="X102" i="59"/>
  <c r="L75" i="29"/>
  <c r="N75" i="29" s="1"/>
  <c r="AQ75" i="29" s="1"/>
  <c r="L361" i="66"/>
  <c r="D337" i="66"/>
  <c r="I360" i="66"/>
  <c r="D360" i="65"/>
  <c r="A360" i="65" s="1"/>
  <c r="J360" i="66"/>
  <c r="B360" i="65" s="1"/>
  <c r="B349" i="66"/>
  <c r="A349" i="66"/>
  <c r="D350" i="66"/>
  <c r="L375" i="66"/>
  <c r="AI145" i="37"/>
  <c r="I346" i="66"/>
  <c r="J346" i="66"/>
  <c r="B346" i="65" s="1"/>
  <c r="D346" i="65"/>
  <c r="A346" i="65" s="1"/>
  <c r="B323" i="66"/>
  <c r="A323" i="66"/>
  <c r="B336" i="66"/>
  <c r="A336" i="66"/>
  <c r="J374" i="66"/>
  <c r="B374" i="65" s="1"/>
  <c r="I374" i="66"/>
  <c r="D374" i="65"/>
  <c r="A374" i="65" s="1"/>
  <c r="D437" i="66"/>
  <c r="L459" i="66"/>
  <c r="R89" i="29"/>
  <c r="D103" i="29"/>
  <c r="F103" i="29" s="1"/>
  <c r="R102" i="29"/>
  <c r="D107" i="29"/>
  <c r="F107" i="29" s="1"/>
  <c r="D456" i="66"/>
  <c r="L479" i="66"/>
  <c r="R84" i="27"/>
  <c r="T84" i="27" s="1"/>
  <c r="D98" i="27"/>
  <c r="F98" i="27" s="1"/>
  <c r="H98" i="27" s="1"/>
  <c r="R97" i="27"/>
  <c r="D102" i="27"/>
  <c r="F102" i="27" s="1"/>
  <c r="D475" i="66"/>
  <c r="L499" i="66"/>
  <c r="R119" i="59"/>
  <c r="D130" i="59"/>
  <c r="R129" i="59"/>
  <c r="D135" i="59"/>
  <c r="D125" i="59"/>
  <c r="AG130" i="59"/>
  <c r="AG125" i="59"/>
  <c r="R124" i="59"/>
  <c r="D418" i="66"/>
  <c r="L439" i="66"/>
  <c r="D361" i="66"/>
  <c r="L379" i="66"/>
  <c r="H99" i="31"/>
  <c r="H100" i="31" s="1"/>
  <c r="J100" i="31" s="1"/>
  <c r="F100" i="31"/>
  <c r="J99" i="31" s="1"/>
  <c r="X110" i="34"/>
  <c r="AI125" i="35"/>
  <c r="A379" i="66"/>
  <c r="B379" i="66"/>
  <c r="T143" i="36"/>
  <c r="V143" i="36"/>
  <c r="V128" i="36"/>
  <c r="T128" i="36"/>
  <c r="F134" i="36"/>
  <c r="H134" i="36" s="1"/>
  <c r="J132" i="36"/>
  <c r="J127" i="36"/>
  <c r="F129" i="36"/>
  <c r="H129" i="36" s="1"/>
  <c r="F120" i="59"/>
  <c r="J119" i="59" s="1"/>
  <c r="D458" i="65"/>
  <c r="A458" i="65" s="1"/>
  <c r="I458" i="66"/>
  <c r="J458" i="66"/>
  <c r="B458" i="65" s="1"/>
  <c r="F109" i="32"/>
  <c r="J107" i="32"/>
  <c r="F113" i="32"/>
  <c r="B493" i="66"/>
  <c r="A493" i="66"/>
  <c r="AI135" i="37"/>
  <c r="T118" i="34"/>
  <c r="V118" i="34"/>
  <c r="V99" i="31"/>
  <c r="V100" i="31" s="1"/>
  <c r="T99" i="31"/>
  <c r="T100" i="31" s="1"/>
  <c r="X99" i="31" s="1"/>
  <c r="D418" i="65"/>
  <c r="A418" i="65" s="1"/>
  <c r="I418" i="66"/>
  <c r="J418" i="66"/>
  <c r="B418" i="65" s="1"/>
  <c r="B341" i="66"/>
  <c r="A341" i="66"/>
  <c r="AE120" i="34"/>
  <c r="AI119" i="34" s="1"/>
  <c r="H117" i="33"/>
  <c r="D438" i="65"/>
  <c r="A438" i="65" s="1"/>
  <c r="J438" i="66"/>
  <c r="B438" i="65" s="1"/>
  <c r="I438" i="66"/>
  <c r="T123" i="59"/>
  <c r="V123" i="59"/>
  <c r="V109" i="33"/>
  <c r="V110" i="33" s="1"/>
  <c r="T109" i="33"/>
  <c r="T110" i="33" s="1"/>
  <c r="X109" i="33" s="1"/>
  <c r="V89" i="30"/>
  <c r="V90" i="30" s="1"/>
  <c r="T89" i="30"/>
  <c r="T90" i="30" s="1"/>
  <c r="X89" i="30" s="1"/>
  <c r="AG128" i="35"/>
  <c r="T87" i="27"/>
  <c r="V87" i="27"/>
  <c r="D494" i="66"/>
  <c r="L519" i="66"/>
  <c r="D380" i="66"/>
  <c r="L399" i="66"/>
  <c r="R109" i="32"/>
  <c r="D118" i="32"/>
  <c r="F118" i="32" s="1"/>
  <c r="H118" i="32" s="1"/>
  <c r="R113" i="32"/>
  <c r="D114" i="32"/>
  <c r="F114" i="32" s="1"/>
  <c r="H114" i="32" s="1"/>
  <c r="AE114" i="32"/>
  <c r="AG114" i="32" s="1"/>
  <c r="AE118" i="32"/>
  <c r="R87" i="26"/>
  <c r="D97" i="26"/>
  <c r="F97" i="26" s="1"/>
  <c r="J114" i="34"/>
  <c r="J115" i="34"/>
  <c r="J149" i="37"/>
  <c r="N149" i="37" s="1"/>
  <c r="AQ149" i="37" s="1"/>
  <c r="J150" i="37"/>
  <c r="N150" i="37" s="1"/>
  <c r="AQ150" i="37" s="1"/>
  <c r="F149" i="36"/>
  <c r="H149" i="36" s="1"/>
  <c r="J147" i="36"/>
  <c r="AG143" i="36"/>
  <c r="AG145" i="36" s="1"/>
  <c r="AE145" i="36"/>
  <c r="AI144" i="36" s="1"/>
  <c r="T138" i="36"/>
  <c r="V138" i="36"/>
  <c r="V97" i="28"/>
  <c r="T97" i="28"/>
  <c r="J124" i="36"/>
  <c r="N124" i="36" s="1"/>
  <c r="AQ124" i="36" s="1"/>
  <c r="J125" i="36"/>
  <c r="N125" i="36" s="1"/>
  <c r="AQ125" i="36" s="1"/>
  <c r="H120" i="59"/>
  <c r="J120" i="59" s="1"/>
  <c r="B436" i="66"/>
  <c r="A436" i="66"/>
  <c r="T108" i="32"/>
  <c r="V108" i="32"/>
  <c r="T112" i="32"/>
  <c r="V112" i="32"/>
  <c r="H119" i="35"/>
  <c r="H120" i="35" s="1"/>
  <c r="J120" i="35" s="1"/>
  <c r="F120" i="35"/>
  <c r="J119" i="35" s="1"/>
  <c r="V114" i="34"/>
  <c r="V115" i="34" s="1"/>
  <c r="T114" i="34"/>
  <c r="T115" i="34" s="1"/>
  <c r="X114" i="34" s="1"/>
  <c r="B398" i="66"/>
  <c r="A398" i="66"/>
  <c r="J140" i="37"/>
  <c r="N140" i="37" s="1"/>
  <c r="AQ140" i="37" s="1"/>
  <c r="J139" i="37"/>
  <c r="N139" i="37" s="1"/>
  <c r="AQ139" i="37" s="1"/>
  <c r="D378" i="65"/>
  <c r="A378" i="65" s="1"/>
  <c r="I378" i="66"/>
  <c r="J378" i="66"/>
  <c r="B378" i="65" s="1"/>
  <c r="B417" i="66"/>
  <c r="A417" i="66"/>
  <c r="V113" i="33"/>
  <c r="T113" i="33"/>
  <c r="H107" i="30"/>
  <c r="V123" i="35"/>
  <c r="T123" i="35"/>
  <c r="D478" i="65"/>
  <c r="A478" i="65" s="1"/>
  <c r="I478" i="66"/>
  <c r="J478" i="66"/>
  <c r="B478" i="65" s="1"/>
  <c r="R99" i="30"/>
  <c r="R107" i="30"/>
  <c r="D108" i="30"/>
  <c r="F108" i="30" s="1"/>
  <c r="H108" i="30" s="1"/>
  <c r="D112" i="30"/>
  <c r="F112" i="30" s="1"/>
  <c r="R148" i="35"/>
  <c r="AE133" i="35"/>
  <c r="AE139" i="35"/>
  <c r="AG139" i="35" s="1"/>
  <c r="R128" i="35"/>
  <c r="D144" i="35"/>
  <c r="AE134" i="35"/>
  <c r="AG134" i="35" s="1"/>
  <c r="AE138" i="35"/>
  <c r="AE144" i="35"/>
  <c r="AG144" i="35" s="1"/>
  <c r="R133" i="35"/>
  <c r="D149" i="35"/>
  <c r="R138" i="35"/>
  <c r="AE143" i="35"/>
  <c r="AE149" i="35"/>
  <c r="AG149" i="35" s="1"/>
  <c r="D134" i="35"/>
  <c r="D139" i="35"/>
  <c r="AE129" i="35"/>
  <c r="AG129" i="35" s="1"/>
  <c r="AE148" i="35"/>
  <c r="D129" i="35"/>
  <c r="R143" i="35"/>
  <c r="D113" i="31"/>
  <c r="R104" i="31"/>
  <c r="D117" i="31"/>
  <c r="R112" i="31"/>
  <c r="AE113" i="31"/>
  <c r="D109" i="31"/>
  <c r="AE109" i="31"/>
  <c r="R108" i="31"/>
  <c r="R114" i="33"/>
  <c r="AE119" i="33"/>
  <c r="AG119" i="33" s="1"/>
  <c r="R118" i="33"/>
  <c r="D119" i="33"/>
  <c r="AE123" i="33"/>
  <c r="D124" i="34"/>
  <c r="AE128" i="34"/>
  <c r="AE124" i="34"/>
  <c r="AG124" i="34" s="1"/>
  <c r="R123" i="34"/>
  <c r="H113" i="59"/>
  <c r="H114" i="59" s="1"/>
  <c r="J114" i="59" s="1"/>
  <c r="F114" i="59"/>
  <c r="J113" i="59" s="1"/>
  <c r="AE108" i="30"/>
  <c r="R103" i="30"/>
  <c r="V103" i="30" s="1"/>
  <c r="D104" i="30"/>
  <c r="F104" i="30" s="1"/>
  <c r="H104" i="30" s="1"/>
  <c r="X100" i="32"/>
  <c r="F139" i="36"/>
  <c r="H139" i="36" s="1"/>
  <c r="J137" i="36"/>
  <c r="AE140" i="36"/>
  <c r="AI139" i="36" s="1"/>
  <c r="AG138" i="36"/>
  <c r="AG140" i="36" s="1"/>
  <c r="V148" i="36"/>
  <c r="T148" i="36"/>
  <c r="H102" i="28"/>
  <c r="J135" i="37"/>
  <c r="N135" i="37" s="1"/>
  <c r="AQ135" i="37" s="1"/>
  <c r="J134" i="37"/>
  <c r="N134" i="37" s="1"/>
  <c r="AQ134" i="37" s="1"/>
  <c r="AG113" i="32"/>
  <c r="V104" i="32"/>
  <c r="V105" i="32" s="1"/>
  <c r="T104" i="32"/>
  <c r="T105" i="32" s="1"/>
  <c r="X104" i="32" s="1"/>
  <c r="J145" i="37"/>
  <c r="N145" i="37" s="1"/>
  <c r="AQ145" i="37" s="1"/>
  <c r="J144" i="37"/>
  <c r="N144" i="37" s="1"/>
  <c r="AQ144" i="37" s="1"/>
  <c r="F105" i="31"/>
  <c r="J104" i="31" s="1"/>
  <c r="AG123" i="34"/>
  <c r="H112" i="31"/>
  <c r="D498" i="65"/>
  <c r="A498" i="65" s="1"/>
  <c r="J498" i="66"/>
  <c r="B498" i="65" s="1"/>
  <c r="I498" i="66"/>
  <c r="H109" i="33"/>
  <c r="H110" i="33" s="1"/>
  <c r="J110" i="33" s="1"/>
  <c r="F110" i="33"/>
  <c r="J109" i="33" s="1"/>
  <c r="B360" i="66"/>
  <c r="A360" i="66"/>
  <c r="V113" i="59"/>
  <c r="V114" i="59" s="1"/>
  <c r="T113" i="59"/>
  <c r="T114" i="59" s="1"/>
  <c r="X113" i="59" s="1"/>
  <c r="H103" i="30"/>
  <c r="A455" i="66"/>
  <c r="B455" i="66"/>
  <c r="D399" i="66"/>
  <c r="L419" i="66"/>
  <c r="AE104" i="30"/>
  <c r="AG104" i="30" s="1"/>
  <c r="D398" i="65"/>
  <c r="A398" i="65" s="1"/>
  <c r="J398" i="66"/>
  <c r="B398" i="65" s="1"/>
  <c r="I398" i="66"/>
  <c r="V133" i="36"/>
  <c r="T133" i="36"/>
  <c r="F144" i="36"/>
  <c r="H144" i="36" s="1"/>
  <c r="J142" i="36"/>
  <c r="AG148" i="36"/>
  <c r="AG150" i="36" s="1"/>
  <c r="AE150" i="36"/>
  <c r="AI149" i="36" s="1"/>
  <c r="AE135" i="36"/>
  <c r="AI134" i="36" s="1"/>
  <c r="AG133" i="36"/>
  <c r="AG135" i="36" s="1"/>
  <c r="J129" i="37"/>
  <c r="N129" i="37" s="1"/>
  <c r="AQ129" i="37" s="1"/>
  <c r="J130" i="37"/>
  <c r="N130" i="37" s="1"/>
  <c r="AQ130" i="37" s="1"/>
  <c r="X105" i="33"/>
  <c r="AG109" i="32"/>
  <c r="AG110" i="32" s="1"/>
  <c r="AE110" i="32"/>
  <c r="AI109" i="32" s="1"/>
  <c r="F117" i="32"/>
  <c r="D518" i="65"/>
  <c r="A518" i="65" s="1"/>
  <c r="I518" i="66"/>
  <c r="J518" i="66"/>
  <c r="B518" i="65" s="1"/>
  <c r="H113" i="33"/>
  <c r="H115" i="33" s="1"/>
  <c r="J115" i="33" s="1"/>
  <c r="F115" i="33"/>
  <c r="J114" i="33" s="1"/>
  <c r="H105" i="31"/>
  <c r="J105" i="31" s="1"/>
  <c r="F119" i="34"/>
  <c r="J117" i="34"/>
  <c r="V107" i="31"/>
  <c r="T107" i="31"/>
  <c r="B474" i="66"/>
  <c r="A474" i="66"/>
  <c r="D358" i="65"/>
  <c r="A358" i="65" s="1"/>
  <c r="J358" i="66"/>
  <c r="B358" i="65" s="1"/>
  <c r="I358" i="66"/>
  <c r="AG120" i="34"/>
  <c r="AI120" i="34" s="1"/>
  <c r="H129" i="59"/>
  <c r="AG118" i="33"/>
  <c r="T102" i="30"/>
  <c r="V102" i="30"/>
  <c r="F124" i="35"/>
  <c r="H124" i="35" s="1"/>
  <c r="J122" i="35"/>
  <c r="H97" i="27"/>
  <c r="AL11" i="27"/>
  <c r="T85" i="28"/>
  <c r="X84" i="28" s="1"/>
  <c r="X85" i="28" s="1"/>
  <c r="A336" i="65"/>
  <c r="A323" i="65"/>
  <c r="A349" i="65"/>
  <c r="Z5" i="27"/>
  <c r="AL5" i="27"/>
  <c r="AL6" i="27" s="1"/>
  <c r="AN6" i="27" s="1"/>
  <c r="AJ6" i="27"/>
  <c r="AN5" i="27" s="1"/>
  <c r="AJ11" i="27"/>
  <c r="AN10" i="27" s="1"/>
  <c r="Y14" i="1"/>
  <c r="X13" i="1" s="1"/>
  <c r="Z70" i="29"/>
  <c r="AB70" i="29" s="1"/>
  <c r="Z69" i="29"/>
  <c r="AB69" i="29" s="1"/>
  <c r="X19" i="25"/>
  <c r="AA18" i="25"/>
  <c r="AG18" i="25" s="1"/>
  <c r="Y17" i="25"/>
  <c r="X18" i="25" s="1"/>
  <c r="L70" i="28"/>
  <c r="N70" i="28" s="1"/>
  <c r="AQ70" i="28" s="1"/>
  <c r="Z65" i="28"/>
  <c r="AB65" i="28" s="1"/>
  <c r="AR65" i="28" s="1"/>
  <c r="AT65" i="28" s="1"/>
  <c r="E11" i="28" s="1"/>
  <c r="AK65" i="28"/>
  <c r="AM65" i="28" s="1"/>
  <c r="AS65" i="28" s="1"/>
  <c r="AI75" i="26"/>
  <c r="J77" i="26"/>
  <c r="J92" i="29"/>
  <c r="J94" i="29" s="1"/>
  <c r="N94" i="29" s="1"/>
  <c r="AQ94" i="29" s="1"/>
  <c r="AK75" i="32"/>
  <c r="AM75" i="32" s="1"/>
  <c r="AS75" i="32" s="1"/>
  <c r="L80" i="32"/>
  <c r="N80" i="32" s="1"/>
  <c r="AQ80" i="32" s="1"/>
  <c r="Z75" i="32"/>
  <c r="AB75" i="32" s="1"/>
  <c r="Z74" i="32"/>
  <c r="AB74" i="32" s="1"/>
  <c r="AR80" i="36"/>
  <c r="AR79" i="36"/>
  <c r="AI80" i="27"/>
  <c r="X80" i="28"/>
  <c r="X70" i="26"/>
  <c r="H84" i="28"/>
  <c r="H85" i="28" s="1"/>
  <c r="J85" i="28" s="1"/>
  <c r="F85" i="28"/>
  <c r="J84" i="28" s="1"/>
  <c r="AE98" i="28"/>
  <c r="AG98" i="28" s="1"/>
  <c r="T79" i="27"/>
  <c r="T80" i="27" s="1"/>
  <c r="X79" i="27" s="1"/>
  <c r="V79" i="27"/>
  <c r="V80" i="27" s="1"/>
  <c r="AI100" i="31"/>
  <c r="AG108" i="30"/>
  <c r="AG99" i="30"/>
  <c r="AG100" i="30" s="1"/>
  <c r="AE100" i="30"/>
  <c r="AI99" i="30" s="1"/>
  <c r="V84" i="27"/>
  <c r="H89" i="29"/>
  <c r="H90" i="29" s="1"/>
  <c r="J90" i="29" s="1"/>
  <c r="F90" i="29"/>
  <c r="J89" i="29" s="1"/>
  <c r="R79" i="26"/>
  <c r="D88" i="26"/>
  <c r="F88" i="26" s="1"/>
  <c r="H88" i="26" s="1"/>
  <c r="Z69" i="30"/>
  <c r="AB69" i="30" s="1"/>
  <c r="L74" i="30"/>
  <c r="N74" i="30" s="1"/>
  <c r="AQ74" i="30" s="1"/>
  <c r="H87" i="26"/>
  <c r="R93" i="28"/>
  <c r="T93" i="28" s="1"/>
  <c r="AE94" i="28"/>
  <c r="AG94" i="28" s="1"/>
  <c r="AK84" i="32"/>
  <c r="AM84" i="32" s="1"/>
  <c r="AS84" i="32" s="1"/>
  <c r="Z84" i="32"/>
  <c r="AB84" i="32" s="1"/>
  <c r="L89" i="32"/>
  <c r="N89" i="32" s="1"/>
  <c r="AQ89" i="32" s="1"/>
  <c r="AI105" i="31"/>
  <c r="AK114" i="59"/>
  <c r="F99" i="30"/>
  <c r="J97" i="30"/>
  <c r="D99" i="29"/>
  <c r="AE99" i="29"/>
  <c r="R98" i="29"/>
  <c r="AE103" i="29"/>
  <c r="V82" i="26"/>
  <c r="T82" i="26"/>
  <c r="V98" i="30"/>
  <c r="T98" i="30"/>
  <c r="AG103" i="30"/>
  <c r="AE85" i="27"/>
  <c r="AI84" i="27" s="1"/>
  <c r="AI90" i="29"/>
  <c r="AG85" i="27"/>
  <c r="AK69" i="30"/>
  <c r="AM69" i="30" s="1"/>
  <c r="AS69" i="30" s="1"/>
  <c r="AR65" i="30"/>
  <c r="AT65" i="30" s="1"/>
  <c r="E11" i="30" s="1"/>
  <c r="AR59" i="27"/>
  <c r="AT59" i="27" s="1"/>
  <c r="D10" i="27" s="1"/>
  <c r="L69" i="27" s="1"/>
  <c r="N69" i="27" s="1"/>
  <c r="AQ69" i="27" s="1"/>
  <c r="AR60" i="27"/>
  <c r="AT60" i="27" s="1"/>
  <c r="E10" i="27" s="1"/>
  <c r="L70" i="27" s="1"/>
  <c r="N70" i="27" s="1"/>
  <c r="AQ70" i="27" s="1"/>
  <c r="Z59" i="26"/>
  <c r="AB59" i="26" s="1"/>
  <c r="L64" i="26"/>
  <c r="N64" i="26" s="1"/>
  <c r="AQ64" i="26" s="1"/>
  <c r="AK59" i="26"/>
  <c r="AM59" i="26" s="1"/>
  <c r="AS59" i="26" s="1"/>
  <c r="Z60" i="26"/>
  <c r="AB60" i="26" s="1"/>
  <c r="L65" i="26"/>
  <c r="N65" i="26" s="1"/>
  <c r="AQ65" i="26" s="1"/>
  <c r="X65" i="26"/>
  <c r="AE80" i="26"/>
  <c r="AI79" i="26" s="1"/>
  <c r="AG80" i="26"/>
  <c r="AB16" i="5"/>
  <c r="AJ16" i="5" s="1"/>
  <c r="AB9" i="6"/>
  <c r="AJ9" i="6" s="1"/>
  <c r="AB15" i="6"/>
  <c r="AJ15" i="6" s="1"/>
  <c r="AB13" i="6"/>
  <c r="AJ13" i="6" s="1"/>
  <c r="AB10" i="6"/>
  <c r="AJ10" i="6" s="1"/>
  <c r="X75" i="27"/>
  <c r="AJ6" i="7"/>
  <c r="AI6" i="7"/>
  <c r="AJ15" i="5"/>
  <c r="AI15" i="5"/>
  <c r="AI15" i="7"/>
  <c r="AJ15" i="7"/>
  <c r="H74" i="26"/>
  <c r="H75" i="26" s="1"/>
  <c r="J75" i="26" s="1"/>
  <c r="F75" i="26"/>
  <c r="J74" i="26" s="1"/>
  <c r="AZ19" i="61"/>
  <c r="AP19" i="4"/>
  <c r="C25" i="35"/>
  <c r="B19" i="4"/>
  <c r="AS26" i="61"/>
  <c r="C18" i="28"/>
  <c r="B26" i="11"/>
  <c r="AP26" i="11"/>
  <c r="AE89" i="27"/>
  <c r="AG89" i="27" s="1"/>
  <c r="AE93" i="27"/>
  <c r="D89" i="27"/>
  <c r="R88" i="27"/>
  <c r="AV24" i="10"/>
  <c r="H18" i="4"/>
  <c r="I18" i="4" s="1"/>
  <c r="D18" i="4"/>
  <c r="F18" i="4" s="1"/>
  <c r="G18" i="4" s="1"/>
  <c r="AB14" i="6"/>
  <c r="AV25" i="11"/>
  <c r="AP28" i="13"/>
  <c r="B28" i="13"/>
  <c r="Y32" i="61"/>
  <c r="C16" i="26"/>
  <c r="AV26" i="12"/>
  <c r="Y1" i="4"/>
  <c r="AB9" i="4" s="1"/>
  <c r="AJ16" i="7"/>
  <c r="AI16" i="7"/>
  <c r="V74" i="26"/>
  <c r="V75" i="26" s="1"/>
  <c r="T74" i="26"/>
  <c r="T75" i="26" s="1"/>
  <c r="X74" i="26" s="1"/>
  <c r="H19" i="5"/>
  <c r="I19" i="5" s="1"/>
  <c r="D19" i="5"/>
  <c r="F19" i="5" s="1"/>
  <c r="G19" i="5" s="1"/>
  <c r="AV23" i="9"/>
  <c r="AA25" i="18"/>
  <c r="AG25" i="18" s="1"/>
  <c r="Y24" i="18"/>
  <c r="AW22" i="61"/>
  <c r="C22" i="32"/>
  <c r="AP22" i="7"/>
  <c r="B22" i="7"/>
  <c r="AA27" i="15"/>
  <c r="AG27" i="15" s="1"/>
  <c r="Y26" i="15"/>
  <c r="X27" i="15" s="1"/>
  <c r="H16" i="2"/>
  <c r="I16" i="2" s="1"/>
  <c r="D16" i="2"/>
  <c r="F16" i="2" s="1"/>
  <c r="G16" i="2" s="1"/>
  <c r="AA23" i="53"/>
  <c r="AG23" i="53" s="1"/>
  <c r="Y22" i="53"/>
  <c r="X23" i="53" s="1"/>
  <c r="X28" i="15"/>
  <c r="AA28" i="15"/>
  <c r="AG28" i="15" s="1"/>
  <c r="F94" i="28"/>
  <c r="H94" i="28" s="1"/>
  <c r="J92" i="28"/>
  <c r="F89" i="28"/>
  <c r="J87" i="28"/>
  <c r="AG93" i="28"/>
  <c r="BC16" i="61"/>
  <c r="B16" i="1"/>
  <c r="AP16" i="1"/>
  <c r="C28" i="38"/>
  <c r="AA25" i="17"/>
  <c r="AG25" i="17" s="1"/>
  <c r="Y24" i="17"/>
  <c r="X25" i="17" s="1"/>
  <c r="J95" i="29"/>
  <c r="N95" i="29" s="1"/>
  <c r="AQ95" i="29" s="1"/>
  <c r="BA18" i="61"/>
  <c r="B18" i="3"/>
  <c r="C26" i="36"/>
  <c r="AP18" i="3"/>
  <c r="AV23" i="61"/>
  <c r="B23" i="8"/>
  <c r="AP23" i="8"/>
  <c r="C21" i="31"/>
  <c r="C21" i="59"/>
  <c r="AA20" i="23"/>
  <c r="AG20" i="23" s="1"/>
  <c r="Y19" i="23"/>
  <c r="X20" i="23" s="1"/>
  <c r="F28" i="15"/>
  <c r="D29" i="15"/>
  <c r="I35" i="15" s="1"/>
  <c r="AB10" i="5"/>
  <c r="AB13" i="5"/>
  <c r="AV20" i="6"/>
  <c r="AA26" i="16"/>
  <c r="AG26" i="16" s="1"/>
  <c r="Y25" i="16"/>
  <c r="X26" i="16" s="1"/>
  <c r="AE84" i="26"/>
  <c r="AG84" i="26" s="1"/>
  <c r="R83" i="26"/>
  <c r="AE88" i="26"/>
  <c r="D84" i="26"/>
  <c r="AJ9" i="7"/>
  <c r="AI9" i="7"/>
  <c r="AA23" i="19"/>
  <c r="AG23" i="19" s="1"/>
  <c r="Y22" i="19"/>
  <c r="X23" i="19" s="1"/>
  <c r="AD14" i="6"/>
  <c r="AD16" i="6"/>
  <c r="AD13" i="6"/>
  <c r="AD5" i="6"/>
  <c r="AB5" i="6" s="1"/>
  <c r="AD6" i="6"/>
  <c r="AB6" i="6" s="1"/>
  <c r="AD9" i="6"/>
  <c r="AD11" i="6"/>
  <c r="AD10" i="6"/>
  <c r="AD15" i="6"/>
  <c r="AD12" i="6"/>
  <c r="AD8" i="6"/>
  <c r="AB8" i="6" s="1"/>
  <c r="AD7" i="6"/>
  <c r="AB7" i="6" s="1"/>
  <c r="AD4" i="6"/>
  <c r="AB4" i="6" s="1"/>
  <c r="AB16" i="6"/>
  <c r="AB12" i="6"/>
  <c r="H25" i="11"/>
  <c r="I25" i="11" s="1"/>
  <c r="D25" i="11"/>
  <c r="F25" i="11" s="1"/>
  <c r="G25" i="11" s="1"/>
  <c r="AV27" i="13"/>
  <c r="H26" i="12"/>
  <c r="I26" i="12" s="1"/>
  <c r="D26" i="12"/>
  <c r="F26" i="12" s="1"/>
  <c r="G26" i="12" s="1"/>
  <c r="AF15" i="4"/>
  <c r="AF16" i="4" s="1"/>
  <c r="AI1" i="4"/>
  <c r="AJ4" i="7"/>
  <c r="AI4" i="7"/>
  <c r="AI95" i="29"/>
  <c r="V78" i="26"/>
  <c r="T78" i="26"/>
  <c r="AY20" i="61"/>
  <c r="C24" i="34"/>
  <c r="AP20" i="5"/>
  <c r="B20" i="5"/>
  <c r="AU24" i="61"/>
  <c r="C20" i="30"/>
  <c r="AP24" i="9"/>
  <c r="B24" i="9"/>
  <c r="AJ8" i="7"/>
  <c r="AI8" i="7"/>
  <c r="AA22" i="21"/>
  <c r="AG22" i="21" s="1"/>
  <c r="Y21" i="21"/>
  <c r="X22" i="21" s="1"/>
  <c r="BB17" i="61"/>
  <c r="AP17" i="2"/>
  <c r="C27" i="37"/>
  <c r="B17" i="2"/>
  <c r="AG15" i="3"/>
  <c r="X1" i="3"/>
  <c r="G28" i="16"/>
  <c r="G29" i="16" s="1"/>
  <c r="I38" i="16" s="1"/>
  <c r="F29" i="16"/>
  <c r="I36" i="16" s="1"/>
  <c r="AJ12" i="7"/>
  <c r="AI12" i="7"/>
  <c r="H17" i="3"/>
  <c r="I17" i="3" s="1"/>
  <c r="D17" i="3"/>
  <c r="F17" i="3" s="1"/>
  <c r="G17" i="3" s="1"/>
  <c r="AV22" i="8"/>
  <c r="AB11" i="5"/>
  <c r="AB14" i="5"/>
  <c r="AX21" i="61"/>
  <c r="EX144" i="61" s="1"/>
  <c r="GI144" i="61" s="1"/>
  <c r="AP21" i="6"/>
  <c r="B21" i="6"/>
  <c r="C23" i="33"/>
  <c r="H28" i="14"/>
  <c r="I28" i="14" s="1"/>
  <c r="I29" i="14" s="1"/>
  <c r="I39" i="14" s="1"/>
  <c r="D28" i="14"/>
  <c r="S7" i="14"/>
  <c r="V83" i="27"/>
  <c r="T83" i="27"/>
  <c r="AT25" i="61"/>
  <c r="B25" i="10"/>
  <c r="AP25" i="10"/>
  <c r="C19" i="29"/>
  <c r="AE104" i="29" s="1"/>
  <c r="AG104" i="29" s="1"/>
  <c r="AV18" i="4"/>
  <c r="AI11" i="6"/>
  <c r="AJ11" i="6"/>
  <c r="H27" i="13"/>
  <c r="I27" i="13" s="1"/>
  <c r="D27" i="13"/>
  <c r="F27" i="13" s="1"/>
  <c r="G27" i="13" s="1"/>
  <c r="AR27" i="61"/>
  <c r="B27" i="12"/>
  <c r="C17" i="27"/>
  <c r="AE94" i="27" s="1"/>
  <c r="AG94" i="27" s="1"/>
  <c r="AP27" i="12"/>
  <c r="AJ7" i="7"/>
  <c r="AI7" i="7"/>
  <c r="J80" i="27"/>
  <c r="J79" i="27"/>
  <c r="AG83" i="26"/>
  <c r="H23" i="9"/>
  <c r="I23" i="9" s="1"/>
  <c r="D23" i="9"/>
  <c r="F23" i="9" s="1"/>
  <c r="G23" i="9" s="1"/>
  <c r="AJ13" i="7"/>
  <c r="AI13" i="7"/>
  <c r="AV21" i="7"/>
  <c r="T88" i="28"/>
  <c r="V88" i="28"/>
  <c r="AA19" i="24"/>
  <c r="AG19" i="24" s="1"/>
  <c r="Y18" i="24"/>
  <c r="X19" i="24" s="1"/>
  <c r="H15" i="1"/>
  <c r="I15" i="1" s="1"/>
  <c r="D15" i="1"/>
  <c r="F15" i="1" s="1"/>
  <c r="G15" i="1" s="1"/>
  <c r="AA21" i="22"/>
  <c r="AG21" i="22" s="1"/>
  <c r="Y20" i="22"/>
  <c r="X21" i="22" s="1"/>
  <c r="AF14" i="2"/>
  <c r="AJ11" i="7"/>
  <c r="AI11" i="7"/>
  <c r="AV17" i="3"/>
  <c r="AG90" i="28"/>
  <c r="AB12" i="5"/>
  <c r="AB9" i="5"/>
  <c r="H20" i="6"/>
  <c r="I20" i="6" s="1"/>
  <c r="D20" i="6"/>
  <c r="F20" i="6" s="1"/>
  <c r="G20" i="6" s="1"/>
  <c r="F84" i="27"/>
  <c r="J82" i="27"/>
  <c r="AJ14" i="7"/>
  <c r="AI14" i="7"/>
  <c r="H24" i="10"/>
  <c r="I24" i="10" s="1"/>
  <c r="D24" i="10"/>
  <c r="F24" i="10" s="1"/>
  <c r="G24" i="10" s="1"/>
  <c r="AJ5" i="7"/>
  <c r="AI5" i="7"/>
  <c r="AF11" i="1"/>
  <c r="AF12" i="1" s="1"/>
  <c r="AF13" i="1" s="1"/>
  <c r="H78" i="26"/>
  <c r="H80" i="26" s="1"/>
  <c r="J80" i="26" s="1"/>
  <c r="F80" i="26"/>
  <c r="AV19" i="5"/>
  <c r="D21" i="7"/>
  <c r="F21" i="7" s="1"/>
  <c r="G21" i="7" s="1"/>
  <c r="H21" i="7"/>
  <c r="I21" i="7" s="1"/>
  <c r="X23" i="21"/>
  <c r="AV16" i="2"/>
  <c r="AV15" i="1"/>
  <c r="H22" i="8"/>
  <c r="I22" i="8" s="1"/>
  <c r="D22" i="8"/>
  <c r="F22" i="8" s="1"/>
  <c r="G22" i="8" s="1"/>
  <c r="AA22" i="20"/>
  <c r="AG22" i="20" s="1"/>
  <c r="Y21" i="20"/>
  <c r="X22" i="20" s="1"/>
  <c r="Y15" i="2"/>
  <c r="AE90" i="28"/>
  <c r="AI89" i="28" s="1"/>
  <c r="AD12" i="5"/>
  <c r="AD16" i="5"/>
  <c r="AD15" i="5"/>
  <c r="AD14" i="5"/>
  <c r="AD13" i="5"/>
  <c r="AD11" i="5"/>
  <c r="AD6" i="5"/>
  <c r="AB6" i="5" s="1"/>
  <c r="AD5" i="5"/>
  <c r="AB5" i="5" s="1"/>
  <c r="AD9" i="5"/>
  <c r="AD10" i="5"/>
  <c r="AD8" i="5"/>
  <c r="AB8" i="5" s="1"/>
  <c r="AD7" i="5"/>
  <c r="AB7" i="5" s="1"/>
  <c r="AD4" i="5"/>
  <c r="AB4" i="5" s="1"/>
  <c r="AV28" i="14"/>
  <c r="Y28" i="14"/>
  <c r="BG7" i="14"/>
  <c r="AG88" i="27"/>
  <c r="GH134" i="61" l="1"/>
  <c r="N13" i="64" s="1"/>
  <c r="AG120" i="33"/>
  <c r="AG125" i="34"/>
  <c r="AG115" i="32"/>
  <c r="Y15" i="1"/>
  <c r="AA14" i="1"/>
  <c r="AG14" i="1" s="1"/>
  <c r="AG105" i="30"/>
  <c r="AE95" i="28"/>
  <c r="AI94" i="28" s="1"/>
  <c r="T103" i="30"/>
  <c r="V85" i="27"/>
  <c r="K12" i="64"/>
  <c r="AR64" i="28"/>
  <c r="AT64" i="28" s="1"/>
  <c r="D11" i="28" s="1"/>
  <c r="GC134" i="61"/>
  <c r="GD134" i="61" s="1"/>
  <c r="ES133" i="61"/>
  <c r="H12" i="64" s="1"/>
  <c r="EY133" i="61"/>
  <c r="ER134" i="61"/>
  <c r="ET133" i="61"/>
  <c r="EL136" i="61"/>
  <c r="FX136" i="61"/>
  <c r="EF136" i="61"/>
  <c r="FR136" i="61"/>
  <c r="EH136" i="61"/>
  <c r="FT136" i="61"/>
  <c r="EK136" i="61"/>
  <c r="FW136" i="61"/>
  <c r="EI136" i="61"/>
  <c r="FU136" i="61"/>
  <c r="DS136" i="61"/>
  <c r="FE136" i="61"/>
  <c r="DU136" i="61"/>
  <c r="FG136" i="61"/>
  <c r="DR135" i="61"/>
  <c r="EZ135" i="61" s="1"/>
  <c r="FD135" i="61"/>
  <c r="GE135" i="61" s="1"/>
  <c r="L14" i="64" s="1"/>
  <c r="DX136" i="61"/>
  <c r="FJ136" i="61"/>
  <c r="EO136" i="61"/>
  <c r="GA136" i="61"/>
  <c r="DZ136" i="61"/>
  <c r="FL136" i="61"/>
  <c r="ED136" i="61"/>
  <c r="FP136" i="61"/>
  <c r="EE136" i="61"/>
  <c r="FQ136" i="61"/>
  <c r="EG136" i="61"/>
  <c r="FS136" i="61"/>
  <c r="EJ136" i="61"/>
  <c r="FV136" i="61"/>
  <c r="EB136" i="61"/>
  <c r="FN136" i="61"/>
  <c r="DV136" i="61"/>
  <c r="FH136" i="61"/>
  <c r="EA136" i="61"/>
  <c r="FM136" i="61"/>
  <c r="EC136" i="61"/>
  <c r="FO136" i="61"/>
  <c r="DT136" i="61"/>
  <c r="FF136" i="61"/>
  <c r="EN136" i="61"/>
  <c r="FZ136" i="61"/>
  <c r="GB136" i="61"/>
  <c r="EM136" i="61"/>
  <c r="FY136" i="61"/>
  <c r="DW136" i="61"/>
  <c r="FI136" i="61"/>
  <c r="DY136" i="61"/>
  <c r="FK136" i="61"/>
  <c r="AE120" i="33"/>
  <c r="AI119" i="33" s="1"/>
  <c r="AE115" i="32"/>
  <c r="AI114" i="32" s="1"/>
  <c r="AI115" i="32" s="1"/>
  <c r="EU136" i="61"/>
  <c r="EV136" i="61" s="1"/>
  <c r="EP137" i="61"/>
  <c r="AE125" i="34"/>
  <c r="AI124" i="34" s="1"/>
  <c r="AE105" i="30"/>
  <c r="AI104" i="30" s="1"/>
  <c r="J102" i="30"/>
  <c r="J79" i="26"/>
  <c r="AI135" i="36"/>
  <c r="X115" i="34"/>
  <c r="AI150" i="36"/>
  <c r="AI145" i="36"/>
  <c r="AG95" i="28"/>
  <c r="X105" i="32"/>
  <c r="D351" i="66"/>
  <c r="L376" i="66"/>
  <c r="A350" i="66"/>
  <c r="B350" i="66"/>
  <c r="B337" i="66"/>
  <c r="A337" i="66"/>
  <c r="AI110" i="32"/>
  <c r="D375" i="65"/>
  <c r="A375" i="65" s="1"/>
  <c r="J375" i="66"/>
  <c r="B375" i="65" s="1"/>
  <c r="I375" i="66"/>
  <c r="D361" i="65"/>
  <c r="A361" i="65" s="1"/>
  <c r="J361" i="66"/>
  <c r="B361" i="65" s="1"/>
  <c r="I361" i="66"/>
  <c r="X114" i="59"/>
  <c r="D124" i="33"/>
  <c r="AE128" i="33"/>
  <c r="AE124" i="33"/>
  <c r="AG124" i="33" s="1"/>
  <c r="R123" i="33"/>
  <c r="R125" i="59"/>
  <c r="D136" i="59"/>
  <c r="F136" i="59" s="1"/>
  <c r="H136" i="59" s="1"/>
  <c r="AG131" i="59"/>
  <c r="AG132" i="59" s="1"/>
  <c r="AK131" i="59" s="1"/>
  <c r="AG136" i="59"/>
  <c r="D131" i="59"/>
  <c r="F131" i="59" s="1"/>
  <c r="H131" i="59" s="1"/>
  <c r="R130" i="59"/>
  <c r="D419" i="66"/>
  <c r="L440" i="66"/>
  <c r="R103" i="29"/>
  <c r="H119" i="34"/>
  <c r="H120" i="34" s="1"/>
  <c r="J120" i="34" s="1"/>
  <c r="F120" i="34"/>
  <c r="J119" i="34" s="1"/>
  <c r="B399" i="66"/>
  <c r="A399" i="66"/>
  <c r="AI140" i="36"/>
  <c r="F124" i="34"/>
  <c r="H124" i="34" s="1"/>
  <c r="J122" i="34"/>
  <c r="F109" i="31"/>
  <c r="J107" i="31"/>
  <c r="T104" i="31"/>
  <c r="T105" i="31" s="1"/>
  <c r="X104" i="31" s="1"/>
  <c r="V104" i="31"/>
  <c r="V105" i="31" s="1"/>
  <c r="AE150" i="35"/>
  <c r="AI149" i="35" s="1"/>
  <c r="AG148" i="35"/>
  <c r="AG150" i="35" s="1"/>
  <c r="V133" i="35"/>
  <c r="T133" i="35"/>
  <c r="J142" i="35"/>
  <c r="F144" i="35"/>
  <c r="H144" i="35" s="1"/>
  <c r="T148" i="35"/>
  <c r="V148" i="35"/>
  <c r="T99" i="30"/>
  <c r="V99" i="30"/>
  <c r="V100" i="30" s="1"/>
  <c r="X100" i="31"/>
  <c r="V109" i="32"/>
  <c r="V110" i="32" s="1"/>
  <c r="T109" i="32"/>
  <c r="T110" i="32" s="1"/>
  <c r="X109" i="32" s="1"/>
  <c r="D519" i="65"/>
  <c r="A519" i="65" s="1"/>
  <c r="J519" i="66"/>
  <c r="B519" i="65" s="1"/>
  <c r="I519" i="66"/>
  <c r="X90" i="30"/>
  <c r="J112" i="32"/>
  <c r="J129" i="36"/>
  <c r="N129" i="36" s="1"/>
  <c r="AQ129" i="36" s="1"/>
  <c r="J130" i="36"/>
  <c r="N130" i="36" s="1"/>
  <c r="AQ130" i="36" s="1"/>
  <c r="D439" i="65"/>
  <c r="A439" i="65" s="1"/>
  <c r="J439" i="66"/>
  <c r="B439" i="65" s="1"/>
  <c r="I439" i="66"/>
  <c r="AE125" i="59"/>
  <c r="AI125" i="59"/>
  <c r="AI126" i="59" s="1"/>
  <c r="AG126" i="59"/>
  <c r="AK125" i="59" s="1"/>
  <c r="T129" i="59"/>
  <c r="V129" i="59"/>
  <c r="B475" i="66"/>
  <c r="A475" i="66"/>
  <c r="H107" i="29"/>
  <c r="D459" i="65"/>
  <c r="A459" i="65" s="1"/>
  <c r="J459" i="66"/>
  <c r="B459" i="65" s="1"/>
  <c r="I459" i="66"/>
  <c r="D495" i="66"/>
  <c r="L520" i="66"/>
  <c r="R104" i="30"/>
  <c r="R112" i="30"/>
  <c r="D113" i="30"/>
  <c r="D117" i="30"/>
  <c r="R108" i="30"/>
  <c r="D109" i="30"/>
  <c r="AE109" i="30"/>
  <c r="AE113" i="30"/>
  <c r="R133" i="34"/>
  <c r="AE148" i="34"/>
  <c r="AE129" i="34"/>
  <c r="AG129" i="34" s="1"/>
  <c r="D139" i="34"/>
  <c r="R128" i="34"/>
  <c r="R138" i="34"/>
  <c r="AE133" i="34"/>
  <c r="R143" i="34"/>
  <c r="D149" i="34"/>
  <c r="D134" i="34"/>
  <c r="AE134" i="34"/>
  <c r="AG134" i="34" s="1"/>
  <c r="D144" i="34"/>
  <c r="AE138" i="34"/>
  <c r="D129" i="34"/>
  <c r="AE149" i="34"/>
  <c r="AG149" i="34" s="1"/>
  <c r="AE139" i="34"/>
  <c r="AG139" i="34" s="1"/>
  <c r="AE144" i="34"/>
  <c r="AG144" i="34" s="1"/>
  <c r="AE143" i="34"/>
  <c r="R148" i="34"/>
  <c r="R109" i="31"/>
  <c r="D118" i="31"/>
  <c r="F118" i="31" s="1"/>
  <c r="H118" i="31" s="1"/>
  <c r="D114" i="31"/>
  <c r="F114" i="31" s="1"/>
  <c r="H114" i="31" s="1"/>
  <c r="R113" i="31"/>
  <c r="AE114" i="31"/>
  <c r="AG114" i="31" s="1"/>
  <c r="AE118" i="31"/>
  <c r="R114" i="32"/>
  <c r="AE123" i="32"/>
  <c r="R118" i="32"/>
  <c r="D119" i="32"/>
  <c r="AE119" i="32"/>
  <c r="AG119" i="32" s="1"/>
  <c r="R89" i="28"/>
  <c r="D103" i="28"/>
  <c r="F103" i="28" s="1"/>
  <c r="D107" i="28"/>
  <c r="F107" i="28" s="1"/>
  <c r="R102" i="28"/>
  <c r="F105" i="30"/>
  <c r="J104" i="30" s="1"/>
  <c r="T123" i="34"/>
  <c r="V123" i="34"/>
  <c r="AG123" i="33"/>
  <c r="AG125" i="33" s="1"/>
  <c r="V114" i="33"/>
  <c r="V115" i="33" s="1"/>
  <c r="T114" i="33"/>
  <c r="T115" i="33" s="1"/>
  <c r="X114" i="33" s="1"/>
  <c r="AG113" i="31"/>
  <c r="F113" i="31"/>
  <c r="AE145" i="35"/>
  <c r="AI144" i="35" s="1"/>
  <c r="AG143" i="35"/>
  <c r="AG145" i="35" s="1"/>
  <c r="V128" i="35"/>
  <c r="T128" i="35"/>
  <c r="H112" i="30"/>
  <c r="J150" i="36"/>
  <c r="N150" i="36" s="1"/>
  <c r="AQ150" i="36" s="1"/>
  <c r="J149" i="36"/>
  <c r="N149" i="36" s="1"/>
  <c r="AQ149" i="36" s="1"/>
  <c r="H97" i="26"/>
  <c r="D399" i="65"/>
  <c r="A399" i="65" s="1"/>
  <c r="J399" i="66"/>
  <c r="B399" i="65" s="1"/>
  <c r="I399" i="66"/>
  <c r="B494" i="66"/>
  <c r="A494" i="66"/>
  <c r="AG130" i="35"/>
  <c r="H113" i="32"/>
  <c r="H115" i="32" s="1"/>
  <c r="F115" i="32"/>
  <c r="J134" i="36"/>
  <c r="N134" i="36" s="1"/>
  <c r="AQ134" i="36" s="1"/>
  <c r="J135" i="36"/>
  <c r="N135" i="36" s="1"/>
  <c r="AQ135" i="36" s="1"/>
  <c r="D379" i="65"/>
  <c r="A379" i="65" s="1"/>
  <c r="J379" i="66"/>
  <c r="B379" i="65" s="1"/>
  <c r="I379" i="66"/>
  <c r="A418" i="66"/>
  <c r="B418" i="66"/>
  <c r="AI130" i="59"/>
  <c r="AE130" i="59"/>
  <c r="F130" i="59"/>
  <c r="H102" i="27"/>
  <c r="D479" i="65"/>
  <c r="A479" i="65" s="1"/>
  <c r="I479" i="66"/>
  <c r="J479" i="66"/>
  <c r="B479" i="65" s="1"/>
  <c r="V102" i="29"/>
  <c r="T102" i="29"/>
  <c r="A437" i="66"/>
  <c r="B437" i="66"/>
  <c r="D457" i="66"/>
  <c r="L480" i="66"/>
  <c r="D438" i="66"/>
  <c r="L460" i="66"/>
  <c r="D400" i="66"/>
  <c r="L420" i="66"/>
  <c r="R84" i="26"/>
  <c r="D98" i="26"/>
  <c r="F98" i="26" s="1"/>
  <c r="H98" i="26" s="1"/>
  <c r="R97" i="26"/>
  <c r="D102" i="26"/>
  <c r="F102" i="26" s="1"/>
  <c r="D476" i="66"/>
  <c r="L500" i="66"/>
  <c r="T100" i="30"/>
  <c r="X99" i="30" s="1"/>
  <c r="D104" i="29"/>
  <c r="H99" i="30"/>
  <c r="H100" i="30" s="1"/>
  <c r="J100" i="30" s="1"/>
  <c r="F100" i="30"/>
  <c r="J124" i="35"/>
  <c r="N124" i="35" s="1"/>
  <c r="AQ124" i="35" s="1"/>
  <c r="J125" i="35"/>
  <c r="N125" i="35" s="1"/>
  <c r="AQ125" i="35" s="1"/>
  <c r="J144" i="36"/>
  <c r="N144" i="36" s="1"/>
  <c r="AQ144" i="36" s="1"/>
  <c r="J145" i="36"/>
  <c r="N145" i="36" s="1"/>
  <c r="AQ145" i="36" s="1"/>
  <c r="H105" i="30"/>
  <c r="J105" i="30" s="1"/>
  <c r="J139" i="36"/>
  <c r="N139" i="36" s="1"/>
  <c r="AQ139" i="36" s="1"/>
  <c r="J140" i="36"/>
  <c r="N140" i="36" s="1"/>
  <c r="AQ140" i="36" s="1"/>
  <c r="F119" i="33"/>
  <c r="J117" i="33"/>
  <c r="T108" i="31"/>
  <c r="V108" i="31"/>
  <c r="T112" i="31"/>
  <c r="V112" i="31"/>
  <c r="V143" i="35"/>
  <c r="T143" i="35"/>
  <c r="F139" i="35"/>
  <c r="H139" i="35" s="1"/>
  <c r="J137" i="35"/>
  <c r="T138" i="35"/>
  <c r="V138" i="35"/>
  <c r="AE140" i="35"/>
  <c r="AI139" i="35" s="1"/>
  <c r="AG138" i="35"/>
  <c r="AG140" i="35" s="1"/>
  <c r="V87" i="26"/>
  <c r="T87" i="26"/>
  <c r="T113" i="32"/>
  <c r="V113" i="32"/>
  <c r="B380" i="66"/>
  <c r="A380" i="66"/>
  <c r="AE130" i="35"/>
  <c r="AI129" i="35" s="1"/>
  <c r="X110" i="33"/>
  <c r="B361" i="66"/>
  <c r="A361" i="66"/>
  <c r="F125" i="59"/>
  <c r="J123" i="59"/>
  <c r="T119" i="59"/>
  <c r="T120" i="59" s="1"/>
  <c r="X119" i="59" s="1"/>
  <c r="V119" i="59"/>
  <c r="V120" i="59" s="1"/>
  <c r="T97" i="27"/>
  <c r="V97" i="27"/>
  <c r="B456" i="66"/>
  <c r="A456" i="66"/>
  <c r="H103" i="29"/>
  <c r="R99" i="29"/>
  <c r="D108" i="29"/>
  <c r="F108" i="29" s="1"/>
  <c r="H108" i="29" s="1"/>
  <c r="R107" i="29"/>
  <c r="D112" i="29"/>
  <c r="F112" i="29" s="1"/>
  <c r="D381" i="66"/>
  <c r="L400" i="66"/>
  <c r="AE108" i="29"/>
  <c r="AG108" i="29" s="1"/>
  <c r="AI120" i="33"/>
  <c r="H117" i="32"/>
  <c r="D419" i="65"/>
  <c r="A419" i="65" s="1"/>
  <c r="J419" i="66"/>
  <c r="B419" i="65" s="1"/>
  <c r="I419" i="66"/>
  <c r="AI125" i="34"/>
  <c r="AG128" i="34"/>
  <c r="T118" i="33"/>
  <c r="V118" i="33"/>
  <c r="AG109" i="31"/>
  <c r="AG110" i="31" s="1"/>
  <c r="AE110" i="31"/>
  <c r="AI109" i="31" s="1"/>
  <c r="F117" i="31"/>
  <c r="F129" i="35"/>
  <c r="H129" i="35" s="1"/>
  <c r="J127" i="35"/>
  <c r="F134" i="35"/>
  <c r="H134" i="35" s="1"/>
  <c r="J132" i="35"/>
  <c r="F149" i="35"/>
  <c r="H149" i="35" s="1"/>
  <c r="J147" i="35"/>
  <c r="AG133" i="35"/>
  <c r="AG135" i="35" s="1"/>
  <c r="AE135" i="35"/>
  <c r="AI134" i="35" s="1"/>
  <c r="V107" i="30"/>
  <c r="T107" i="30"/>
  <c r="AG118" i="32"/>
  <c r="AG120" i="32" s="1"/>
  <c r="H109" i="32"/>
  <c r="H110" i="32" s="1"/>
  <c r="J110" i="32" s="1"/>
  <c r="F110" i="32"/>
  <c r="J109" i="32" s="1"/>
  <c r="T124" i="59"/>
  <c r="V124" i="59"/>
  <c r="F135" i="59"/>
  <c r="D499" i="65"/>
  <c r="A499" i="65" s="1"/>
  <c r="J499" i="66"/>
  <c r="B499" i="65" s="1"/>
  <c r="I499" i="66"/>
  <c r="T89" i="29"/>
  <c r="T90" i="29" s="1"/>
  <c r="X89" i="29" s="1"/>
  <c r="V89" i="29"/>
  <c r="V90" i="29" s="1"/>
  <c r="AN11" i="27"/>
  <c r="A350" i="65"/>
  <c r="A337" i="65"/>
  <c r="AR69" i="29"/>
  <c r="AT69" i="29" s="1"/>
  <c r="D12" i="29" s="1"/>
  <c r="AK74" i="29" s="1"/>
  <c r="AM74" i="29" s="1"/>
  <c r="AS74" i="29" s="1"/>
  <c r="AR70" i="29"/>
  <c r="AT70" i="29" s="1"/>
  <c r="E12" i="29" s="1"/>
  <c r="Z75" i="29" s="1"/>
  <c r="AB75" i="29" s="1"/>
  <c r="X17" i="25"/>
  <c r="AA17" i="25"/>
  <c r="X16" i="25"/>
  <c r="AI13" i="6"/>
  <c r="V93" i="28"/>
  <c r="AR74" i="32"/>
  <c r="AT74" i="32" s="1"/>
  <c r="D13" i="32" s="1"/>
  <c r="AR75" i="32"/>
  <c r="AT75" i="32" s="1"/>
  <c r="E13" i="32" s="1"/>
  <c r="T85" i="27"/>
  <c r="X84" i="27" s="1"/>
  <c r="X85" i="27" s="1"/>
  <c r="AI105" i="30"/>
  <c r="AI16" i="5"/>
  <c r="X80" i="27"/>
  <c r="V84" i="26"/>
  <c r="T84" i="26"/>
  <c r="R93" i="27"/>
  <c r="V93" i="27" s="1"/>
  <c r="AE98" i="27"/>
  <c r="AG98" i="27" s="1"/>
  <c r="J97" i="29"/>
  <c r="F99" i="29"/>
  <c r="D94" i="27"/>
  <c r="F94" i="27" s="1"/>
  <c r="H94" i="27" s="1"/>
  <c r="Z70" i="30"/>
  <c r="AB70" i="30" s="1"/>
  <c r="AR69" i="30" s="1"/>
  <c r="AT69" i="30" s="1"/>
  <c r="D12" i="30" s="1"/>
  <c r="AK74" i="30" s="1"/>
  <c r="AM74" i="30" s="1"/>
  <c r="AS74" i="30" s="1"/>
  <c r="L75" i="30"/>
  <c r="N75" i="30" s="1"/>
  <c r="AQ75" i="30" s="1"/>
  <c r="Z70" i="28"/>
  <c r="AB70" i="28" s="1"/>
  <c r="L75" i="28"/>
  <c r="N75" i="28" s="1"/>
  <c r="AQ75" i="28" s="1"/>
  <c r="T103" i="29"/>
  <c r="V103" i="29"/>
  <c r="V79" i="26"/>
  <c r="V80" i="26" s="1"/>
  <c r="T79" i="26"/>
  <c r="T80" i="26" s="1"/>
  <c r="X79" i="26" s="1"/>
  <c r="H84" i="27"/>
  <c r="H85" i="27" s="1"/>
  <c r="J85" i="27" s="1"/>
  <c r="F85" i="27"/>
  <c r="J84" i="27" s="1"/>
  <c r="H89" i="28"/>
  <c r="H90" i="28" s="1"/>
  <c r="F90" i="28"/>
  <c r="J89" i="28" s="1"/>
  <c r="L79" i="30"/>
  <c r="N79" i="30" s="1"/>
  <c r="AQ79" i="30" s="1"/>
  <c r="Z69" i="28"/>
  <c r="AB69" i="28" s="1"/>
  <c r="L74" i="28"/>
  <c r="N74" i="28" s="1"/>
  <c r="AQ74" i="28" s="1"/>
  <c r="AE105" i="29"/>
  <c r="AI104" i="29" s="1"/>
  <c r="AG103" i="29"/>
  <c r="AG105" i="29" s="1"/>
  <c r="AG99" i="29"/>
  <c r="AG100" i="29" s="1"/>
  <c r="AE100" i="29"/>
  <c r="AI99" i="29" s="1"/>
  <c r="AI100" i="30"/>
  <c r="R98" i="28"/>
  <c r="AE99" i="28"/>
  <c r="AE103" i="28"/>
  <c r="D99" i="28"/>
  <c r="Z74" i="30"/>
  <c r="AB74" i="30" s="1"/>
  <c r="V98" i="29"/>
  <c r="T98" i="29"/>
  <c r="F104" i="29"/>
  <c r="H104" i="29" s="1"/>
  <c r="J102" i="29"/>
  <c r="J99" i="30"/>
  <c r="AI85" i="27"/>
  <c r="AI10" i="6"/>
  <c r="AG90" i="27"/>
  <c r="AK70" i="28"/>
  <c r="AM70" i="28" s="1"/>
  <c r="AS70" i="28" s="1"/>
  <c r="AK69" i="28"/>
  <c r="AM69" i="28" s="1"/>
  <c r="AS69" i="28" s="1"/>
  <c r="AR60" i="26"/>
  <c r="AT60" i="26" s="1"/>
  <c r="E10" i="26" s="1"/>
  <c r="L70" i="26" s="1"/>
  <c r="N70" i="26" s="1"/>
  <c r="AQ70" i="26" s="1"/>
  <c r="AR59" i="26"/>
  <c r="AT59" i="26" s="1"/>
  <c r="D10" i="26" s="1"/>
  <c r="L69" i="26" s="1"/>
  <c r="N69" i="26" s="1"/>
  <c r="AQ69" i="26" s="1"/>
  <c r="AK65" i="27"/>
  <c r="AM65" i="27" s="1"/>
  <c r="AS65" i="27" s="1"/>
  <c r="Z65" i="27"/>
  <c r="AB65" i="27" s="1"/>
  <c r="Z64" i="27"/>
  <c r="AB64" i="27" s="1"/>
  <c r="AK64" i="27"/>
  <c r="AM64" i="27" s="1"/>
  <c r="AS64" i="27" s="1"/>
  <c r="AK70" i="30"/>
  <c r="AM70" i="30" s="1"/>
  <c r="AS70" i="30" s="1"/>
  <c r="AI95" i="28"/>
  <c r="AE85" i="26"/>
  <c r="AI84" i="26" s="1"/>
  <c r="AG85" i="26"/>
  <c r="AE90" i="27"/>
  <c r="AI89" i="27" s="1"/>
  <c r="AI15" i="6"/>
  <c r="AI9" i="6"/>
  <c r="X75" i="26"/>
  <c r="AI80" i="26"/>
  <c r="AI90" i="28"/>
  <c r="AB13" i="4"/>
  <c r="AI13" i="4" s="1"/>
  <c r="AB11" i="4"/>
  <c r="AJ11" i="4" s="1"/>
  <c r="AB10" i="4"/>
  <c r="AJ10" i="4" s="1"/>
  <c r="AB12" i="4"/>
  <c r="AJ12" i="4" s="1"/>
  <c r="AJ4" i="5"/>
  <c r="AI4" i="5"/>
  <c r="AJ6" i="6"/>
  <c r="AI6" i="6"/>
  <c r="AI7" i="6"/>
  <c r="AJ7" i="6"/>
  <c r="AJ9" i="4"/>
  <c r="AI9" i="4"/>
  <c r="AI8" i="5"/>
  <c r="AJ8" i="5"/>
  <c r="AJ6" i="5"/>
  <c r="AI6" i="5"/>
  <c r="AA28" i="14"/>
  <c r="AG28" i="14" s="1"/>
  <c r="AT26" i="61"/>
  <c r="C19" i="28"/>
  <c r="AE104" i="28" s="1"/>
  <c r="AG104" i="28" s="1"/>
  <c r="AP26" i="10"/>
  <c r="B26" i="10"/>
  <c r="AX22" i="61"/>
  <c r="EX145" i="61" s="1"/>
  <c r="GI145" i="61" s="1"/>
  <c r="AP22" i="6"/>
  <c r="B22" i="6"/>
  <c r="C23" i="32"/>
  <c r="AA18" i="24"/>
  <c r="AG18" i="24" s="1"/>
  <c r="Y17" i="24"/>
  <c r="H27" i="12"/>
  <c r="I27" i="12" s="1"/>
  <c r="D27" i="12"/>
  <c r="F27" i="12" s="1"/>
  <c r="G27" i="12" s="1"/>
  <c r="AI14" i="5"/>
  <c r="AJ14" i="5"/>
  <c r="AV24" i="9"/>
  <c r="H20" i="5"/>
  <c r="I20" i="5" s="1"/>
  <c r="D20" i="5"/>
  <c r="F20" i="5" s="1"/>
  <c r="G20" i="5" s="1"/>
  <c r="AJ4" i="6"/>
  <c r="AI4" i="6"/>
  <c r="AA22" i="19"/>
  <c r="AG22" i="19" s="1"/>
  <c r="Y21" i="19"/>
  <c r="X22" i="19" s="1"/>
  <c r="AG88" i="26"/>
  <c r="G28" i="15"/>
  <c r="G29" i="15" s="1"/>
  <c r="I38" i="15" s="1"/>
  <c r="F29" i="15"/>
  <c r="I36" i="15" s="1"/>
  <c r="AV24" i="61"/>
  <c r="B24" i="8"/>
  <c r="AP24" i="8"/>
  <c r="C21" i="30"/>
  <c r="H18" i="3"/>
  <c r="I18" i="3" s="1"/>
  <c r="D18" i="3"/>
  <c r="F18" i="3" s="1"/>
  <c r="G18" i="3" s="1"/>
  <c r="H16" i="1"/>
  <c r="I16" i="1" s="1"/>
  <c r="D16" i="1"/>
  <c r="F16" i="1" s="1"/>
  <c r="G16" i="1" s="1"/>
  <c r="AA24" i="18"/>
  <c r="AG24" i="18" s="1"/>
  <c r="Y23" i="18"/>
  <c r="X24" i="18" s="1"/>
  <c r="AB14" i="4"/>
  <c r="AV28" i="13"/>
  <c r="Y28" i="13"/>
  <c r="BG7" i="13"/>
  <c r="F89" i="27"/>
  <c r="J87" i="27"/>
  <c r="AZ20" i="61"/>
  <c r="AP20" i="4"/>
  <c r="C25" i="34"/>
  <c r="B20" i="4"/>
  <c r="AA15" i="2"/>
  <c r="X15" i="2"/>
  <c r="X14" i="2"/>
  <c r="AF14" i="1"/>
  <c r="AP28" i="12"/>
  <c r="B28" i="12"/>
  <c r="C17" i="26"/>
  <c r="AE94" i="26" s="1"/>
  <c r="AG94" i="26" s="1"/>
  <c r="T33" i="61"/>
  <c r="AV25" i="10"/>
  <c r="D21" i="6"/>
  <c r="F21" i="6" s="1"/>
  <c r="G21" i="6" s="1"/>
  <c r="H21" i="6"/>
  <c r="I21" i="6" s="1"/>
  <c r="AJ11" i="5"/>
  <c r="AI11" i="5"/>
  <c r="Y1" i="3"/>
  <c r="AB14" i="3" s="1"/>
  <c r="AV17" i="2"/>
  <c r="AV20" i="5"/>
  <c r="AI5" i="6"/>
  <c r="AJ5" i="6"/>
  <c r="V83" i="26"/>
  <c r="T83" i="26"/>
  <c r="T85" i="26" s="1"/>
  <c r="X84" i="26" s="1"/>
  <c r="AJ13" i="5"/>
  <c r="AI13" i="5"/>
  <c r="BA19" i="61"/>
  <c r="AP19" i="3"/>
  <c r="C26" i="35"/>
  <c r="B19" i="3"/>
  <c r="BC17" i="61"/>
  <c r="AP17" i="1"/>
  <c r="B17" i="1"/>
  <c r="C28" i="37"/>
  <c r="J90" i="28"/>
  <c r="AA22" i="53"/>
  <c r="AG22" i="53" s="1"/>
  <c r="Y21" i="53"/>
  <c r="X22" i="53" s="1"/>
  <c r="AW23" i="61"/>
  <c r="B23" i="7"/>
  <c r="AP23" i="7"/>
  <c r="C22" i="59"/>
  <c r="C22" i="31"/>
  <c r="AE89" i="26"/>
  <c r="AG89" i="26" s="1"/>
  <c r="AE93" i="26"/>
  <c r="R88" i="26"/>
  <c r="D89" i="26"/>
  <c r="AJ14" i="6"/>
  <c r="AI14" i="6"/>
  <c r="AS27" i="61"/>
  <c r="B27" i="11"/>
  <c r="AP27" i="11"/>
  <c r="C18" i="27"/>
  <c r="H19" i="4"/>
  <c r="I19" i="4" s="1"/>
  <c r="D19" i="4"/>
  <c r="F19" i="4" s="1"/>
  <c r="G19" i="4" s="1"/>
  <c r="Y27" i="14"/>
  <c r="X28" i="14" s="1"/>
  <c r="AJ5" i="5"/>
  <c r="AI5" i="5"/>
  <c r="AJ7" i="5"/>
  <c r="AI7" i="5"/>
  <c r="AA21" i="20"/>
  <c r="AG21" i="20" s="1"/>
  <c r="Y20" i="20"/>
  <c r="X15" i="1"/>
  <c r="AA15" i="1"/>
  <c r="AJ9" i="5"/>
  <c r="AI9" i="5"/>
  <c r="X14" i="1"/>
  <c r="AV27" i="12"/>
  <c r="H25" i="10"/>
  <c r="I25" i="10" s="1"/>
  <c r="D25" i="10"/>
  <c r="F25" i="10" s="1"/>
  <c r="G25" i="10" s="1"/>
  <c r="AV21" i="6"/>
  <c r="AF15" i="3"/>
  <c r="AF16" i="3" s="1"/>
  <c r="AI1" i="3"/>
  <c r="BB18" i="61"/>
  <c r="AP18" i="2"/>
  <c r="C27" i="36"/>
  <c r="B18" i="2"/>
  <c r="AU25" i="61"/>
  <c r="B25" i="9"/>
  <c r="AP25" i="9"/>
  <c r="C20" i="29"/>
  <c r="AJ12" i="6"/>
  <c r="AI12" i="6"/>
  <c r="AJ8" i="6"/>
  <c r="AI8" i="6"/>
  <c r="AA19" i="23"/>
  <c r="AG19" i="23" s="1"/>
  <c r="Y18" i="23"/>
  <c r="X19" i="23" s="1"/>
  <c r="AV23" i="8"/>
  <c r="AV18" i="3"/>
  <c r="AA24" i="17"/>
  <c r="AG24" i="17" s="1"/>
  <c r="Y23" i="17"/>
  <c r="X24" i="17" s="1"/>
  <c r="AA26" i="15"/>
  <c r="AG26" i="15" s="1"/>
  <c r="Y25" i="15"/>
  <c r="H22" i="7"/>
  <c r="I22" i="7" s="1"/>
  <c r="D22" i="7"/>
  <c r="F22" i="7" s="1"/>
  <c r="G22" i="7" s="1"/>
  <c r="X25" i="18"/>
  <c r="AD15" i="4"/>
  <c r="AD8" i="4"/>
  <c r="AB8" i="4" s="1"/>
  <c r="AD16" i="4"/>
  <c r="AD7" i="4"/>
  <c r="AB7" i="4" s="1"/>
  <c r="AD5" i="4"/>
  <c r="AB5" i="4" s="1"/>
  <c r="AD14" i="4"/>
  <c r="AD9" i="4"/>
  <c r="AD13" i="4"/>
  <c r="AD12" i="4"/>
  <c r="AD6" i="4"/>
  <c r="AB6" i="4" s="1"/>
  <c r="AD10" i="4"/>
  <c r="AD11" i="4"/>
  <c r="AD4" i="4"/>
  <c r="AB4" i="4" s="1"/>
  <c r="AB15" i="4"/>
  <c r="AB16" i="4"/>
  <c r="AV26" i="11"/>
  <c r="AI12" i="5"/>
  <c r="AJ12" i="5"/>
  <c r="AA20" i="22"/>
  <c r="AG20" i="22" s="1"/>
  <c r="Y19" i="22"/>
  <c r="X20" i="22" s="1"/>
  <c r="F28" i="14"/>
  <c r="D29" i="14"/>
  <c r="I35" i="14" s="1"/>
  <c r="H17" i="2"/>
  <c r="I17" i="2" s="1"/>
  <c r="D17" i="2"/>
  <c r="F17" i="2" s="1"/>
  <c r="G17" i="2" s="1"/>
  <c r="AA21" i="21"/>
  <c r="AG21" i="21" s="1"/>
  <c r="Y20" i="21"/>
  <c r="H24" i="9"/>
  <c r="I24" i="9" s="1"/>
  <c r="D24" i="9"/>
  <c r="F24" i="9" s="1"/>
  <c r="G24" i="9" s="1"/>
  <c r="AY21" i="61"/>
  <c r="C24" i="33"/>
  <c r="B21" i="5"/>
  <c r="AP21" i="5"/>
  <c r="AJ16" i="6"/>
  <c r="AI16" i="6"/>
  <c r="F84" i="26"/>
  <c r="J82" i="26"/>
  <c r="AA25" i="16"/>
  <c r="AG25" i="16" s="1"/>
  <c r="Y24" i="16"/>
  <c r="X25" i="16" s="1"/>
  <c r="AJ10" i="5"/>
  <c r="AI10" i="5"/>
  <c r="H23" i="8"/>
  <c r="I23" i="8" s="1"/>
  <c r="D23" i="8"/>
  <c r="F23" i="8" s="1"/>
  <c r="G23" i="8" s="1"/>
  <c r="AV16" i="1"/>
  <c r="J95" i="28"/>
  <c r="N95" i="28" s="1"/>
  <c r="AQ95" i="28" s="1"/>
  <c r="J94" i="28"/>
  <c r="N94" i="28" s="1"/>
  <c r="AQ94" i="28" s="1"/>
  <c r="AV22" i="7"/>
  <c r="H28" i="13"/>
  <c r="I28" i="13" s="1"/>
  <c r="I29" i="13" s="1"/>
  <c r="I39" i="13" s="1"/>
  <c r="D28" i="13"/>
  <c r="S7" i="13"/>
  <c r="V88" i="27"/>
  <c r="T88" i="27"/>
  <c r="AG93" i="27"/>
  <c r="AG95" i="27" s="1"/>
  <c r="AE95" i="27"/>
  <c r="AI94" i="27" s="1"/>
  <c r="H26" i="11"/>
  <c r="I26" i="11" s="1"/>
  <c r="D26" i="11"/>
  <c r="F26" i="11" s="1"/>
  <c r="G26" i="11" s="1"/>
  <c r="AV19" i="4"/>
  <c r="GH135" i="61" l="1"/>
  <c r="N14" i="64" s="1"/>
  <c r="AE130" i="34"/>
  <c r="AI129" i="34" s="1"/>
  <c r="AG130" i="34"/>
  <c r="J129" i="59"/>
  <c r="EY134" i="61"/>
  <c r="K13" i="64"/>
  <c r="GC135" i="61"/>
  <c r="GD135" i="61" s="1"/>
  <c r="ER135" i="61"/>
  <c r="ET134" i="61"/>
  <c r="ES134" i="61"/>
  <c r="H13" i="64" s="1"/>
  <c r="EM137" i="61"/>
  <c r="FY137" i="61"/>
  <c r="EC137" i="61"/>
  <c r="FO137" i="61"/>
  <c r="GB137" i="61"/>
  <c r="DY137" i="61"/>
  <c r="FK137" i="61"/>
  <c r="EF137" i="61"/>
  <c r="FR137" i="61"/>
  <c r="DV137" i="61"/>
  <c r="FH137" i="61"/>
  <c r="EO137" i="61"/>
  <c r="GA137" i="61"/>
  <c r="EE137" i="61"/>
  <c r="FQ137" i="61"/>
  <c r="DS137" i="61"/>
  <c r="FE137" i="61"/>
  <c r="EL137" i="61"/>
  <c r="FX137" i="61"/>
  <c r="DT137" i="61"/>
  <c r="FF137" i="61"/>
  <c r="EB137" i="61"/>
  <c r="FN137" i="61"/>
  <c r="EG137" i="61"/>
  <c r="FS137" i="61"/>
  <c r="DU137" i="61"/>
  <c r="FG137" i="61"/>
  <c r="EI137" i="61"/>
  <c r="FU137" i="61"/>
  <c r="EH137" i="61"/>
  <c r="FT137" i="61"/>
  <c r="EN137" i="61"/>
  <c r="FZ137" i="61"/>
  <c r="DW137" i="61"/>
  <c r="FI137" i="61"/>
  <c r="DR136" i="61"/>
  <c r="EZ136" i="61" s="1"/>
  <c r="FD136" i="61"/>
  <c r="GE136" i="61" s="1"/>
  <c r="L15" i="64" s="1"/>
  <c r="DX137" i="61"/>
  <c r="FJ137" i="61"/>
  <c r="EK137" i="61"/>
  <c r="FW137" i="61"/>
  <c r="EA137" i="61"/>
  <c r="FM137" i="61"/>
  <c r="ED137" i="61"/>
  <c r="FP137" i="61"/>
  <c r="EJ137" i="61"/>
  <c r="FV137" i="61"/>
  <c r="DZ137" i="61"/>
  <c r="FL137" i="61"/>
  <c r="EP138" i="61"/>
  <c r="EU137" i="61"/>
  <c r="EV137" i="61" s="1"/>
  <c r="X100" i="30"/>
  <c r="AE120" i="32"/>
  <c r="AI119" i="32" s="1"/>
  <c r="AI120" i="32" s="1"/>
  <c r="AE125" i="33"/>
  <c r="AI124" i="33" s="1"/>
  <c r="AI125" i="33" s="1"/>
  <c r="AG115" i="31"/>
  <c r="L80" i="29"/>
  <c r="N80" i="29" s="1"/>
  <c r="AQ80" i="29" s="1"/>
  <c r="AK75" i="29"/>
  <c r="AM75" i="29" s="1"/>
  <c r="AS75" i="29" s="1"/>
  <c r="R93" i="26"/>
  <c r="V93" i="26" s="1"/>
  <c r="Z74" i="29"/>
  <c r="AB74" i="29" s="1"/>
  <c r="AI140" i="35"/>
  <c r="X115" i="33"/>
  <c r="X110" i="32"/>
  <c r="AK126" i="59"/>
  <c r="D376" i="65"/>
  <c r="A376" i="65" s="1"/>
  <c r="J376" i="66"/>
  <c r="B376" i="65" s="1"/>
  <c r="I376" i="66"/>
  <c r="X120" i="59"/>
  <c r="B351" i="66"/>
  <c r="A351" i="66"/>
  <c r="AE134" i="33"/>
  <c r="AG134" i="33" s="1"/>
  <c r="R148" i="33"/>
  <c r="AE139" i="33"/>
  <c r="AG139" i="33" s="1"/>
  <c r="AE149" i="33"/>
  <c r="AG149" i="33" s="1"/>
  <c r="D144" i="33"/>
  <c r="AE138" i="33"/>
  <c r="AE144" i="33"/>
  <c r="AG144" i="33" s="1"/>
  <c r="AE133" i="33"/>
  <c r="R143" i="33"/>
  <c r="D129" i="33"/>
  <c r="D134" i="33"/>
  <c r="AE148" i="33"/>
  <c r="R128" i="33"/>
  <c r="R133" i="33"/>
  <c r="D139" i="33"/>
  <c r="D149" i="33"/>
  <c r="AE143" i="33"/>
  <c r="AE129" i="33"/>
  <c r="AG129" i="33" s="1"/>
  <c r="R138" i="33"/>
  <c r="D458" i="66"/>
  <c r="L481" i="66"/>
  <c r="L79" i="29"/>
  <c r="N79" i="29" s="1"/>
  <c r="AQ79" i="29" s="1"/>
  <c r="X90" i="29"/>
  <c r="AI110" i="31"/>
  <c r="AI130" i="34"/>
  <c r="H112" i="29"/>
  <c r="F105" i="29"/>
  <c r="H119" i="33"/>
  <c r="H120" i="33" s="1"/>
  <c r="J120" i="33" s="1"/>
  <c r="F120" i="33"/>
  <c r="J119" i="33" s="1"/>
  <c r="H102" i="26"/>
  <c r="D420" i="65"/>
  <c r="A420" i="65" s="1"/>
  <c r="J420" i="66"/>
  <c r="B420" i="65" s="1"/>
  <c r="I420" i="66"/>
  <c r="B438" i="66"/>
  <c r="A438" i="66"/>
  <c r="AI130" i="35"/>
  <c r="J112" i="31"/>
  <c r="V89" i="28"/>
  <c r="V90" i="28" s="1"/>
  <c r="T89" i="28"/>
  <c r="T90" i="28" s="1"/>
  <c r="X89" i="28" s="1"/>
  <c r="AG123" i="32"/>
  <c r="T113" i="31"/>
  <c r="V113" i="31"/>
  <c r="T148" i="34"/>
  <c r="V148" i="34"/>
  <c r="AG133" i="34"/>
  <c r="AG135" i="34" s="1"/>
  <c r="AE135" i="34"/>
  <c r="AI134" i="34" s="1"/>
  <c r="AG109" i="30"/>
  <c r="AG110" i="30" s="1"/>
  <c r="AE110" i="30"/>
  <c r="AI109" i="30" s="1"/>
  <c r="F113" i="30"/>
  <c r="B495" i="66"/>
  <c r="A495" i="66"/>
  <c r="AI150" i="35"/>
  <c r="T130" i="59"/>
  <c r="V130" i="59"/>
  <c r="AG128" i="33"/>
  <c r="R104" i="29"/>
  <c r="D113" i="29"/>
  <c r="R112" i="29"/>
  <c r="D117" i="29"/>
  <c r="D109" i="29"/>
  <c r="AE109" i="29"/>
  <c r="AE113" i="29"/>
  <c r="R108" i="29"/>
  <c r="D496" i="66"/>
  <c r="L521" i="66"/>
  <c r="R114" i="31"/>
  <c r="AE119" i="31"/>
  <c r="AG119" i="31" s="1"/>
  <c r="R118" i="31"/>
  <c r="AE123" i="31"/>
  <c r="D119" i="31"/>
  <c r="D420" i="66"/>
  <c r="L441" i="66"/>
  <c r="R99" i="28"/>
  <c r="D108" i="28"/>
  <c r="F108" i="28" s="1"/>
  <c r="H108" i="28" s="1"/>
  <c r="D112" i="28"/>
  <c r="F112" i="28" s="1"/>
  <c r="R107" i="28"/>
  <c r="AE108" i="28"/>
  <c r="J135" i="35"/>
  <c r="N135" i="35" s="1"/>
  <c r="AQ135" i="35" s="1"/>
  <c r="J134" i="35"/>
  <c r="N134" i="35" s="1"/>
  <c r="AQ134" i="35" s="1"/>
  <c r="D400" i="65"/>
  <c r="A400" i="65" s="1"/>
  <c r="J400" i="66"/>
  <c r="B400" i="65" s="1"/>
  <c r="I400" i="66"/>
  <c r="V107" i="29"/>
  <c r="T107" i="29"/>
  <c r="H105" i="29"/>
  <c r="D500" i="65"/>
  <c r="A500" i="65" s="1"/>
  <c r="I500" i="66"/>
  <c r="J500" i="66"/>
  <c r="B500" i="65" s="1"/>
  <c r="V97" i="26"/>
  <c r="T97" i="26"/>
  <c r="B400" i="66"/>
  <c r="A400" i="66"/>
  <c r="H130" i="59"/>
  <c r="H132" i="59" s="1"/>
  <c r="J132" i="59" s="1"/>
  <c r="F132" i="59"/>
  <c r="J131" i="59" s="1"/>
  <c r="H113" i="31"/>
  <c r="H115" i="31" s="1"/>
  <c r="F115" i="31"/>
  <c r="T102" i="28"/>
  <c r="V102" i="28"/>
  <c r="V114" i="32"/>
  <c r="V115" i="32" s="1"/>
  <c r="T114" i="32"/>
  <c r="T115" i="32" s="1"/>
  <c r="X114" i="32" s="1"/>
  <c r="AG143" i="34"/>
  <c r="AG145" i="34" s="1"/>
  <c r="AE145" i="34"/>
  <c r="AI144" i="34" s="1"/>
  <c r="F129" i="34"/>
  <c r="H129" i="34" s="1"/>
  <c r="J127" i="34"/>
  <c r="F134" i="34"/>
  <c r="H134" i="34" s="1"/>
  <c r="J132" i="34"/>
  <c r="V138" i="34"/>
  <c r="T138" i="34"/>
  <c r="AE150" i="34"/>
  <c r="AI149" i="34" s="1"/>
  <c r="AG148" i="34"/>
  <c r="AG150" i="34" s="1"/>
  <c r="F109" i="30"/>
  <c r="J107" i="30"/>
  <c r="V112" i="30"/>
  <c r="T112" i="30"/>
  <c r="J115" i="32"/>
  <c r="J114" i="32"/>
  <c r="J144" i="35"/>
  <c r="N144" i="35" s="1"/>
  <c r="AQ144" i="35" s="1"/>
  <c r="J145" i="35"/>
  <c r="N145" i="35" s="1"/>
  <c r="AQ145" i="35" s="1"/>
  <c r="H109" i="31"/>
  <c r="H110" i="31" s="1"/>
  <c r="J110" i="31" s="1"/>
  <c r="F110" i="31"/>
  <c r="J109" i="31" s="1"/>
  <c r="D440" i="65"/>
  <c r="A440" i="65" s="1"/>
  <c r="J440" i="66"/>
  <c r="B440" i="65" s="1"/>
  <c r="I440" i="66"/>
  <c r="T125" i="59"/>
  <c r="T126" i="59" s="1"/>
  <c r="X125" i="59" s="1"/>
  <c r="V125" i="59"/>
  <c r="V126" i="59" s="1"/>
  <c r="F124" i="33"/>
  <c r="H124" i="33" s="1"/>
  <c r="J122" i="33"/>
  <c r="R89" i="27"/>
  <c r="D103" i="27"/>
  <c r="F103" i="27" s="1"/>
  <c r="R102" i="27"/>
  <c r="D107" i="27"/>
  <c r="F107" i="27" s="1"/>
  <c r="R131" i="59"/>
  <c r="R136" i="59"/>
  <c r="AG137" i="59"/>
  <c r="AG142" i="59"/>
  <c r="D137" i="59"/>
  <c r="D439" i="66"/>
  <c r="L461" i="66"/>
  <c r="D401" i="66"/>
  <c r="L421" i="66"/>
  <c r="D477" i="66"/>
  <c r="L501" i="66"/>
  <c r="D104" i="28"/>
  <c r="J102" i="28" s="1"/>
  <c r="AI135" i="35"/>
  <c r="H117" i="31"/>
  <c r="B381" i="66"/>
  <c r="A381" i="66"/>
  <c r="H125" i="59"/>
  <c r="H126" i="59" s="1"/>
  <c r="J126" i="59" s="1"/>
  <c r="F126" i="59"/>
  <c r="J125" i="59" s="1"/>
  <c r="B476" i="66"/>
  <c r="A476" i="66"/>
  <c r="D480" i="65"/>
  <c r="A480" i="65" s="1"/>
  <c r="I480" i="66"/>
  <c r="J480" i="66"/>
  <c r="B480" i="65" s="1"/>
  <c r="AI145" i="35"/>
  <c r="AE115" i="31"/>
  <c r="AI114" i="31" s="1"/>
  <c r="AI115" i="31" s="1"/>
  <c r="H107" i="28"/>
  <c r="F119" i="32"/>
  <c r="J117" i="32"/>
  <c r="AG118" i="31"/>
  <c r="AE140" i="34"/>
  <c r="AI139" i="34" s="1"/>
  <c r="AG138" i="34"/>
  <c r="AG140" i="34" s="1"/>
  <c r="F149" i="34"/>
  <c r="H149" i="34" s="1"/>
  <c r="J147" i="34"/>
  <c r="V128" i="34"/>
  <c r="T128" i="34"/>
  <c r="T133" i="34"/>
  <c r="V133" i="34"/>
  <c r="T108" i="30"/>
  <c r="V108" i="30"/>
  <c r="V104" i="30"/>
  <c r="V105" i="30" s="1"/>
  <c r="T104" i="30"/>
  <c r="T105" i="30" s="1"/>
  <c r="X104" i="30" s="1"/>
  <c r="X105" i="31"/>
  <c r="J125" i="34"/>
  <c r="N125" i="34" s="1"/>
  <c r="AQ125" i="34" s="1"/>
  <c r="J124" i="34"/>
  <c r="N124" i="34" s="1"/>
  <c r="AQ124" i="34" s="1"/>
  <c r="B419" i="66"/>
  <c r="A419" i="66"/>
  <c r="AE136" i="59"/>
  <c r="AI136" i="59"/>
  <c r="V123" i="33"/>
  <c r="T123" i="33"/>
  <c r="R109" i="30"/>
  <c r="D118" i="30"/>
  <c r="F118" i="30" s="1"/>
  <c r="H118" i="30" s="1"/>
  <c r="AE114" i="30"/>
  <c r="AG114" i="30" s="1"/>
  <c r="AE118" i="30"/>
  <c r="D114" i="30"/>
  <c r="F114" i="30" s="1"/>
  <c r="H114" i="30" s="1"/>
  <c r="R113" i="30"/>
  <c r="AE124" i="32"/>
  <c r="AG124" i="32" s="1"/>
  <c r="D124" i="32"/>
  <c r="R123" i="32"/>
  <c r="AE128" i="32"/>
  <c r="R103" i="28"/>
  <c r="H99" i="29"/>
  <c r="H100" i="29" s="1"/>
  <c r="J100" i="29" s="1"/>
  <c r="F100" i="29"/>
  <c r="J99" i="29" s="1"/>
  <c r="H135" i="59"/>
  <c r="J150" i="35"/>
  <c r="N150" i="35" s="1"/>
  <c r="AQ150" i="35" s="1"/>
  <c r="J149" i="35"/>
  <c r="N149" i="35" s="1"/>
  <c r="AQ149" i="35" s="1"/>
  <c r="J129" i="35"/>
  <c r="N129" i="35" s="1"/>
  <c r="AQ129" i="35" s="1"/>
  <c r="J130" i="35"/>
  <c r="N130" i="35" s="1"/>
  <c r="AQ130" i="35" s="1"/>
  <c r="T99" i="29"/>
  <c r="T100" i="29" s="1"/>
  <c r="X99" i="29" s="1"/>
  <c r="V99" i="29"/>
  <c r="V100" i="29" s="1"/>
  <c r="J140" i="35"/>
  <c r="N140" i="35" s="1"/>
  <c r="AQ140" i="35" s="1"/>
  <c r="J139" i="35"/>
  <c r="N139" i="35" s="1"/>
  <c r="AQ139" i="35" s="1"/>
  <c r="D460" i="65"/>
  <c r="A460" i="65" s="1"/>
  <c r="J460" i="66"/>
  <c r="B460" i="65" s="1"/>
  <c r="I460" i="66"/>
  <c r="B457" i="66"/>
  <c r="A457" i="66"/>
  <c r="H103" i="28"/>
  <c r="T118" i="32"/>
  <c r="V118" i="32"/>
  <c r="T109" i="31"/>
  <c r="T110" i="31" s="1"/>
  <c r="X109" i="31" s="1"/>
  <c r="V109" i="31"/>
  <c r="V110" i="31" s="1"/>
  <c r="F144" i="34"/>
  <c r="H144" i="34" s="1"/>
  <c r="J142" i="34"/>
  <c r="T143" i="34"/>
  <c r="V143" i="34"/>
  <c r="F139" i="34"/>
  <c r="H139" i="34" s="1"/>
  <c r="J137" i="34"/>
  <c r="AG113" i="30"/>
  <c r="F117" i="30"/>
  <c r="D520" i="65"/>
  <c r="A520" i="65" s="1"/>
  <c r="I520" i="66"/>
  <c r="J520" i="66"/>
  <c r="B520" i="65" s="1"/>
  <c r="AI131" i="59"/>
  <c r="AI132" i="59" s="1"/>
  <c r="AK132" i="59" s="1"/>
  <c r="AE131" i="59"/>
  <c r="A351" i="65"/>
  <c r="AG17" i="25"/>
  <c r="AD1" i="25"/>
  <c r="AE1" i="25" s="1"/>
  <c r="T93" i="27"/>
  <c r="J92" i="27"/>
  <c r="J95" i="27" s="1"/>
  <c r="N95" i="27" s="1"/>
  <c r="AQ95" i="27" s="1"/>
  <c r="AR70" i="30"/>
  <c r="AT70" i="30" s="1"/>
  <c r="E12" i="30" s="1"/>
  <c r="AK75" i="30" s="1"/>
  <c r="AM75" i="30" s="1"/>
  <c r="AS75" i="30" s="1"/>
  <c r="AR75" i="29"/>
  <c r="AT75" i="29" s="1"/>
  <c r="AR74" i="29"/>
  <c r="AT74" i="29" s="1"/>
  <c r="AK80" i="32"/>
  <c r="AM80" i="32" s="1"/>
  <c r="AS80" i="32" s="1"/>
  <c r="AT80" i="32" s="1"/>
  <c r="E14" i="32" s="1"/>
  <c r="Z80" i="32"/>
  <c r="AB80" i="32" s="1"/>
  <c r="L85" i="32"/>
  <c r="N85" i="32" s="1"/>
  <c r="AQ85" i="32" s="1"/>
  <c r="AK79" i="32"/>
  <c r="AM79" i="32" s="1"/>
  <c r="AS79" i="32" s="1"/>
  <c r="Z79" i="32"/>
  <c r="AB79" i="32" s="1"/>
  <c r="L84" i="32"/>
  <c r="N84" i="32" s="1"/>
  <c r="AQ84" i="32" s="1"/>
  <c r="V85" i="26"/>
  <c r="X85" i="26" s="1"/>
  <c r="AI90" i="27"/>
  <c r="AE98" i="26"/>
  <c r="AG98" i="26" s="1"/>
  <c r="D94" i="26"/>
  <c r="F94" i="26" s="1"/>
  <c r="H94" i="26" s="1"/>
  <c r="AI100" i="29"/>
  <c r="X80" i="26"/>
  <c r="H84" i="26"/>
  <c r="H85" i="26" s="1"/>
  <c r="J85" i="26" s="1"/>
  <c r="F85" i="26"/>
  <c r="J84" i="26" s="1"/>
  <c r="J104" i="29"/>
  <c r="J105" i="29"/>
  <c r="T98" i="28"/>
  <c r="V98" i="28"/>
  <c r="AG108" i="28"/>
  <c r="AE103" i="27"/>
  <c r="R98" i="27"/>
  <c r="AE99" i="27"/>
  <c r="D99" i="27"/>
  <c r="AG99" i="28"/>
  <c r="AG100" i="28" s="1"/>
  <c r="AE100" i="28"/>
  <c r="AI99" i="28" s="1"/>
  <c r="AI105" i="29"/>
  <c r="AR69" i="28"/>
  <c r="AT69" i="28" s="1"/>
  <c r="D12" i="28" s="1"/>
  <c r="AK74" i="28" s="1"/>
  <c r="AM74" i="28" s="1"/>
  <c r="AS74" i="28" s="1"/>
  <c r="AR70" i="28"/>
  <c r="AT70" i="28" s="1"/>
  <c r="E12" i="28" s="1"/>
  <c r="AK75" i="28" s="1"/>
  <c r="AM75" i="28" s="1"/>
  <c r="AS75" i="28" s="1"/>
  <c r="H89" i="27"/>
  <c r="H90" i="27" s="1"/>
  <c r="J90" i="27" s="1"/>
  <c r="F90" i="27"/>
  <c r="F99" i="28"/>
  <c r="J97" i="28"/>
  <c r="AE105" i="28"/>
  <c r="AI104" i="28" s="1"/>
  <c r="AG103" i="28"/>
  <c r="AG105" i="28" s="1"/>
  <c r="V103" i="28"/>
  <c r="T103" i="28"/>
  <c r="AI10" i="4"/>
  <c r="AI85" i="26"/>
  <c r="AR64" i="27"/>
  <c r="AT64" i="27" s="1"/>
  <c r="D11" i="27" s="1"/>
  <c r="AB15" i="27" s="1"/>
  <c r="AD15" i="27" s="1"/>
  <c r="Z64" i="26"/>
  <c r="AB64" i="26" s="1"/>
  <c r="AK64" i="26"/>
  <c r="AM64" i="26" s="1"/>
  <c r="AS64" i="26" s="1"/>
  <c r="AK65" i="26"/>
  <c r="AM65" i="26" s="1"/>
  <c r="AS65" i="26" s="1"/>
  <c r="Z65" i="26"/>
  <c r="AB65" i="26" s="1"/>
  <c r="AR65" i="27"/>
  <c r="AT65" i="27" s="1"/>
  <c r="AI11" i="4"/>
  <c r="AJ13" i="4"/>
  <c r="AI95" i="27"/>
  <c r="AB12" i="3"/>
  <c r="AJ12" i="3" s="1"/>
  <c r="AB9" i="3"/>
  <c r="AI9" i="3" s="1"/>
  <c r="AB16" i="3"/>
  <c r="AI16" i="3" s="1"/>
  <c r="AI12" i="4"/>
  <c r="AJ7" i="4"/>
  <c r="AI7" i="4"/>
  <c r="F89" i="26"/>
  <c r="J87" i="26"/>
  <c r="AG93" i="26"/>
  <c r="AG95" i="26" s="1"/>
  <c r="AE95" i="26"/>
  <c r="AI94" i="26" s="1"/>
  <c r="AA21" i="53"/>
  <c r="AG21" i="53" s="1"/>
  <c r="Y20" i="53"/>
  <c r="X21" i="53" s="1"/>
  <c r="AV17" i="1"/>
  <c r="H19" i="3"/>
  <c r="I19" i="3" s="1"/>
  <c r="D19" i="3"/>
  <c r="F19" i="3" s="1"/>
  <c r="G19" i="3" s="1"/>
  <c r="AB10" i="3"/>
  <c r="AZ21" i="61"/>
  <c r="C25" i="33"/>
  <c r="AP21" i="4"/>
  <c r="B21" i="4"/>
  <c r="AJ14" i="4"/>
  <c r="AI14" i="4"/>
  <c r="AV25" i="61"/>
  <c r="B25" i="8"/>
  <c r="C21" i="29"/>
  <c r="AP25" i="8"/>
  <c r="AT27" i="61"/>
  <c r="C19" i="27"/>
  <c r="R103" i="27" s="1"/>
  <c r="B27" i="10"/>
  <c r="AP27" i="10"/>
  <c r="AI4" i="4"/>
  <c r="AJ4" i="4"/>
  <c r="H18" i="2"/>
  <c r="I18" i="2" s="1"/>
  <c r="D18" i="2"/>
  <c r="F18" i="2" s="1"/>
  <c r="G18" i="2" s="1"/>
  <c r="AA20" i="21"/>
  <c r="AG20" i="21" s="1"/>
  <c r="Y19" i="21"/>
  <c r="X20" i="21" s="1"/>
  <c r="AJ16" i="4"/>
  <c r="AI16" i="4"/>
  <c r="AA25" i="15"/>
  <c r="AG25" i="15" s="1"/>
  <c r="Y24" i="15"/>
  <c r="H25" i="9"/>
  <c r="I25" i="9" s="1"/>
  <c r="D25" i="9"/>
  <c r="F25" i="9" s="1"/>
  <c r="G25" i="9" s="1"/>
  <c r="AA20" i="20"/>
  <c r="AG20" i="20" s="1"/>
  <c r="Y19" i="20"/>
  <c r="X20" i="20" s="1"/>
  <c r="AV27" i="11"/>
  <c r="AV23" i="7"/>
  <c r="BC18" i="61"/>
  <c r="AP18" i="1"/>
  <c r="B18" i="1"/>
  <c r="C28" i="36"/>
  <c r="AJ14" i="3"/>
  <c r="AI14" i="3"/>
  <c r="H28" i="12"/>
  <c r="I28" i="12" s="1"/>
  <c r="I29" i="12" s="1"/>
  <c r="I39" i="12" s="1"/>
  <c r="D28" i="12"/>
  <c r="S7" i="12"/>
  <c r="H20" i="4"/>
  <c r="I20" i="4" s="1"/>
  <c r="D20" i="4"/>
  <c r="F20" i="4" s="1"/>
  <c r="G20" i="4" s="1"/>
  <c r="AA28" i="13"/>
  <c r="AG28" i="13" s="1"/>
  <c r="Y27" i="13"/>
  <c r="X28" i="13" s="1"/>
  <c r="AA23" i="18"/>
  <c r="AG23" i="18" s="1"/>
  <c r="Y22" i="18"/>
  <c r="X23" i="18" s="1"/>
  <c r="AE90" i="26"/>
  <c r="AI89" i="26" s="1"/>
  <c r="X17" i="24"/>
  <c r="AA17" i="24"/>
  <c r="X16" i="24"/>
  <c r="H22" i="6"/>
  <c r="I22" i="6" s="1"/>
  <c r="D22" i="6"/>
  <c r="F22" i="6" s="1"/>
  <c r="G22" i="6" s="1"/>
  <c r="H26" i="10"/>
  <c r="I26" i="10" s="1"/>
  <c r="D26" i="10"/>
  <c r="F26" i="10" s="1"/>
  <c r="G26" i="10" s="1"/>
  <c r="AA18" i="23"/>
  <c r="AG18" i="23" s="1"/>
  <c r="Y17" i="23"/>
  <c r="AA27" i="14"/>
  <c r="AG27" i="14" s="1"/>
  <c r="Y26" i="14"/>
  <c r="AY22" i="61"/>
  <c r="AP22" i="5"/>
  <c r="B22" i="5"/>
  <c r="C24" i="32"/>
  <c r="G28" i="14"/>
  <c r="G29" i="14" s="1"/>
  <c r="I38" i="14" s="1"/>
  <c r="F29" i="14"/>
  <c r="I36" i="14" s="1"/>
  <c r="AA23" i="17"/>
  <c r="AG23" i="17" s="1"/>
  <c r="Y22" i="17"/>
  <c r="AU26" i="61"/>
  <c r="C20" i="28"/>
  <c r="AP26" i="9"/>
  <c r="B26" i="9"/>
  <c r="AV18" i="2"/>
  <c r="H27" i="11"/>
  <c r="I27" i="11" s="1"/>
  <c r="D27" i="11"/>
  <c r="F27" i="11" s="1"/>
  <c r="G27" i="11" s="1"/>
  <c r="V88" i="26"/>
  <c r="T88" i="26"/>
  <c r="D23" i="7"/>
  <c r="F23" i="7" s="1"/>
  <c r="G23" i="7" s="1"/>
  <c r="H23" i="7"/>
  <c r="I23" i="7" s="1"/>
  <c r="AV19" i="3"/>
  <c r="AD5" i="3"/>
  <c r="AB5" i="3" s="1"/>
  <c r="AD7" i="3"/>
  <c r="AB7" i="3" s="1"/>
  <c r="AD9" i="3"/>
  <c r="AD8" i="3"/>
  <c r="AB8" i="3" s="1"/>
  <c r="AD13" i="3"/>
  <c r="AD6" i="3"/>
  <c r="AB6" i="3" s="1"/>
  <c r="AD14" i="3"/>
  <c r="AD11" i="3"/>
  <c r="AD10" i="3"/>
  <c r="AD16" i="3"/>
  <c r="AD12" i="3"/>
  <c r="AD15" i="3"/>
  <c r="AD4" i="3"/>
  <c r="AB4" i="3" s="1"/>
  <c r="AB15" i="3"/>
  <c r="AB11" i="3"/>
  <c r="AB13" i="3"/>
  <c r="AV28" i="12"/>
  <c r="Y28" i="12"/>
  <c r="BG7" i="12"/>
  <c r="J89" i="27"/>
  <c r="AV24" i="8"/>
  <c r="AG90" i="26"/>
  <c r="AV22" i="6"/>
  <c r="AV26" i="10"/>
  <c r="F28" i="13"/>
  <c r="D29" i="13"/>
  <c r="I35" i="13" s="1"/>
  <c r="H21" i="5"/>
  <c r="I21" i="5" s="1"/>
  <c r="D21" i="5"/>
  <c r="F21" i="5" s="1"/>
  <c r="G21" i="5" s="1"/>
  <c r="AA19" i="22"/>
  <c r="AG19" i="22" s="1"/>
  <c r="Y18" i="22"/>
  <c r="AJ5" i="4"/>
  <c r="AI5" i="4"/>
  <c r="AV25" i="9"/>
  <c r="AA24" i="16"/>
  <c r="AG24" i="16" s="1"/>
  <c r="Y23" i="16"/>
  <c r="AV21" i="5"/>
  <c r="X21" i="21"/>
  <c r="AJ15" i="4"/>
  <c r="AI15" i="4"/>
  <c r="AI6" i="4"/>
  <c r="AJ6" i="4"/>
  <c r="AJ8" i="4"/>
  <c r="AI8" i="4"/>
  <c r="X26" i="15"/>
  <c r="BB19" i="61"/>
  <c r="C27" i="35"/>
  <c r="B19" i="2"/>
  <c r="AP19" i="2"/>
  <c r="AG15" i="1"/>
  <c r="X1" i="1"/>
  <c r="X21" i="20"/>
  <c r="U33" i="61"/>
  <c r="AP28" i="11"/>
  <c r="C18" i="26"/>
  <c r="B28" i="11"/>
  <c r="AW24" i="61"/>
  <c r="C22" i="30"/>
  <c r="AP24" i="7"/>
  <c r="B24" i="7"/>
  <c r="H17" i="1"/>
  <c r="I17" i="1" s="1"/>
  <c r="D17" i="1"/>
  <c r="F17" i="1" s="1"/>
  <c r="G17" i="1" s="1"/>
  <c r="BA20" i="61"/>
  <c r="B20" i="3"/>
  <c r="C26" i="34"/>
  <c r="AP20" i="3"/>
  <c r="AG15" i="2"/>
  <c r="X1" i="2"/>
  <c r="AV20" i="4"/>
  <c r="H24" i="8"/>
  <c r="I24" i="8" s="1"/>
  <c r="D24" i="8"/>
  <c r="F24" i="8" s="1"/>
  <c r="G24" i="8" s="1"/>
  <c r="AA21" i="19"/>
  <c r="AG21" i="19" s="1"/>
  <c r="Y20" i="19"/>
  <c r="X21" i="19" s="1"/>
  <c r="X18" i="24"/>
  <c r="AX23" i="61"/>
  <c r="EX146" i="61" s="1"/>
  <c r="GI146" i="61" s="1"/>
  <c r="B23" i="6"/>
  <c r="C23" i="59"/>
  <c r="C23" i="31"/>
  <c r="AP23" i="6"/>
  <c r="GH136" i="61" l="1"/>
  <c r="N15" i="64" s="1"/>
  <c r="ES135" i="61"/>
  <c r="H14" i="64" s="1"/>
  <c r="AG130" i="33"/>
  <c r="Z75" i="30"/>
  <c r="AB75" i="30" s="1"/>
  <c r="AR75" i="30" s="1"/>
  <c r="T93" i="26"/>
  <c r="AG120" i="31"/>
  <c r="K14" i="64"/>
  <c r="GC136" i="61"/>
  <c r="GD136" i="61" s="1"/>
  <c r="ET135" i="61"/>
  <c r="EY135" i="61"/>
  <c r="ER136" i="61"/>
  <c r="EL138" i="61"/>
  <c r="FX138" i="61"/>
  <c r="EB138" i="61"/>
  <c r="FN138" i="61"/>
  <c r="DZ138" i="61"/>
  <c r="FL138" i="61"/>
  <c r="EG138" i="61"/>
  <c r="FS138" i="61"/>
  <c r="EM138" i="61"/>
  <c r="FY138" i="61"/>
  <c r="DW138" i="61"/>
  <c r="FI138" i="61"/>
  <c r="EN138" i="61"/>
  <c r="FZ138" i="61"/>
  <c r="ED138" i="61"/>
  <c r="FP138" i="61"/>
  <c r="DT138" i="61"/>
  <c r="FF138" i="61"/>
  <c r="EC138" i="61"/>
  <c r="FO138" i="61"/>
  <c r="EI138" i="61"/>
  <c r="FU138" i="61"/>
  <c r="DS138" i="61"/>
  <c r="FE138" i="61"/>
  <c r="EF138" i="61"/>
  <c r="FR138" i="61"/>
  <c r="DV138" i="61"/>
  <c r="FH138" i="61"/>
  <c r="GB138" i="61"/>
  <c r="EO138" i="61"/>
  <c r="GA138" i="61"/>
  <c r="DY138" i="61"/>
  <c r="FK138" i="61"/>
  <c r="EE138" i="61"/>
  <c r="FQ138" i="61"/>
  <c r="DR137" i="61"/>
  <c r="EZ137" i="61" s="1"/>
  <c r="FD137" i="61"/>
  <c r="GE137" i="61" s="1"/>
  <c r="L16" i="64" s="1"/>
  <c r="DX138" i="61"/>
  <c r="FJ138" i="61"/>
  <c r="EJ138" i="61"/>
  <c r="FV138" i="61"/>
  <c r="EH138" i="61"/>
  <c r="FT138" i="61"/>
  <c r="EK138" i="61"/>
  <c r="FW138" i="61"/>
  <c r="DU138" i="61"/>
  <c r="FG138" i="61"/>
  <c r="EA138" i="61"/>
  <c r="FM138" i="61"/>
  <c r="EP139" i="61"/>
  <c r="EU138" i="61"/>
  <c r="EV138" i="61" s="1"/>
  <c r="J94" i="27"/>
  <c r="N94" i="27" s="1"/>
  <c r="AQ94" i="27" s="1"/>
  <c r="J92" i="26"/>
  <c r="J95" i="26" s="1"/>
  <c r="N95" i="26" s="1"/>
  <c r="AQ95" i="26" s="1"/>
  <c r="F104" i="28"/>
  <c r="H104" i="28" s="1"/>
  <c r="AE130" i="33"/>
  <c r="AI129" i="33" s="1"/>
  <c r="AI130" i="33" s="1"/>
  <c r="AG115" i="30"/>
  <c r="AI135" i="34"/>
  <c r="AE115" i="30"/>
  <c r="AI114" i="30" s="1"/>
  <c r="AI145" i="34"/>
  <c r="AI110" i="30"/>
  <c r="X105" i="30"/>
  <c r="X90" i="28"/>
  <c r="X100" i="29"/>
  <c r="X110" i="31"/>
  <c r="X115" i="32"/>
  <c r="D139" i="32"/>
  <c r="R133" i="32"/>
  <c r="D129" i="32"/>
  <c r="AE148" i="32"/>
  <c r="R143" i="32"/>
  <c r="AE139" i="32"/>
  <c r="AG139" i="32" s="1"/>
  <c r="D134" i="32"/>
  <c r="D149" i="32"/>
  <c r="AE133" i="32"/>
  <c r="R138" i="32"/>
  <c r="AE143" i="32"/>
  <c r="D144" i="32"/>
  <c r="R148" i="32"/>
  <c r="AE144" i="32"/>
  <c r="AG144" i="32" s="1"/>
  <c r="AE129" i="32"/>
  <c r="AG129" i="32" s="1"/>
  <c r="AE149" i="32"/>
  <c r="AG149" i="32" s="1"/>
  <c r="R128" i="32"/>
  <c r="AE134" i="32"/>
  <c r="AG134" i="32" s="1"/>
  <c r="AE138" i="32"/>
  <c r="D421" i="66"/>
  <c r="L442" i="66"/>
  <c r="R89" i="26"/>
  <c r="D103" i="26"/>
  <c r="F103" i="26" s="1"/>
  <c r="R102" i="26"/>
  <c r="D107" i="26"/>
  <c r="F107" i="26" s="1"/>
  <c r="H99" i="28"/>
  <c r="H100" i="28" s="1"/>
  <c r="J100" i="28" s="1"/>
  <c r="F100" i="28"/>
  <c r="J99" i="28" s="1"/>
  <c r="L80" i="30"/>
  <c r="N80" i="30" s="1"/>
  <c r="AQ80" i="30" s="1"/>
  <c r="J140" i="34"/>
  <c r="N140" i="34" s="1"/>
  <c r="AQ140" i="34" s="1"/>
  <c r="J139" i="34"/>
  <c r="N139" i="34" s="1"/>
  <c r="AQ139" i="34" s="1"/>
  <c r="J145" i="34"/>
  <c r="N145" i="34" s="1"/>
  <c r="AQ145" i="34" s="1"/>
  <c r="J144" i="34"/>
  <c r="N144" i="34" s="1"/>
  <c r="AQ144" i="34" s="1"/>
  <c r="J150" i="34"/>
  <c r="N150" i="34" s="1"/>
  <c r="AQ150" i="34" s="1"/>
  <c r="J149" i="34"/>
  <c r="N149" i="34" s="1"/>
  <c r="AQ149" i="34" s="1"/>
  <c r="AE120" i="31"/>
  <c r="AI119" i="31" s="1"/>
  <c r="D461" i="65"/>
  <c r="A461" i="65" s="1"/>
  <c r="J461" i="66"/>
  <c r="B461" i="65" s="1"/>
  <c r="I461" i="66"/>
  <c r="AI142" i="59"/>
  <c r="AE142" i="59"/>
  <c r="H107" i="27"/>
  <c r="J124" i="33"/>
  <c r="N124" i="33" s="1"/>
  <c r="AQ124" i="33" s="1"/>
  <c r="J125" i="33"/>
  <c r="N125" i="33" s="1"/>
  <c r="AQ125" i="33" s="1"/>
  <c r="AI150" i="34"/>
  <c r="J134" i="34"/>
  <c r="N134" i="34" s="1"/>
  <c r="AQ134" i="34" s="1"/>
  <c r="J135" i="34"/>
  <c r="N135" i="34" s="1"/>
  <c r="AQ135" i="34" s="1"/>
  <c r="V99" i="28"/>
  <c r="V100" i="28" s="1"/>
  <c r="T99" i="28"/>
  <c r="T100" i="28" s="1"/>
  <c r="X99" i="28" s="1"/>
  <c r="F119" i="31"/>
  <c r="J117" i="31"/>
  <c r="V114" i="31"/>
  <c r="V115" i="31" s="1"/>
  <c r="T114" i="31"/>
  <c r="T115" i="31" s="1"/>
  <c r="X114" i="31" s="1"/>
  <c r="V108" i="29"/>
  <c r="T108" i="29"/>
  <c r="F117" i="29"/>
  <c r="AG125" i="32"/>
  <c r="D481" i="65"/>
  <c r="A481" i="65" s="1"/>
  <c r="I481" i="66"/>
  <c r="J481" i="66"/>
  <c r="B481" i="65" s="1"/>
  <c r="V133" i="33"/>
  <c r="T133" i="33"/>
  <c r="F129" i="33"/>
  <c r="H129" i="33" s="1"/>
  <c r="J127" i="33"/>
  <c r="AG138" i="33"/>
  <c r="AG140" i="33" s="1"/>
  <c r="AE140" i="33"/>
  <c r="AI139" i="33" s="1"/>
  <c r="V148" i="33"/>
  <c r="T148" i="33"/>
  <c r="R114" i="30"/>
  <c r="D119" i="30"/>
  <c r="F119" i="30" s="1"/>
  <c r="H119" i="30" s="1"/>
  <c r="AE123" i="30"/>
  <c r="R118" i="30"/>
  <c r="AE119" i="30"/>
  <c r="AG119" i="30" s="1"/>
  <c r="R104" i="28"/>
  <c r="D113" i="28"/>
  <c r="D117" i="28"/>
  <c r="R112" i="28"/>
  <c r="D109" i="28"/>
  <c r="AE109" i="28"/>
  <c r="AE113" i="28"/>
  <c r="R108" i="28"/>
  <c r="R109" i="29"/>
  <c r="D118" i="29"/>
  <c r="F118" i="29" s="1"/>
  <c r="H118" i="29" s="1"/>
  <c r="R113" i="29"/>
  <c r="AE114" i="29"/>
  <c r="AG114" i="29" s="1"/>
  <c r="D114" i="29"/>
  <c r="F114" i="29" s="1"/>
  <c r="H114" i="29" s="1"/>
  <c r="AE118" i="29"/>
  <c r="D104" i="27"/>
  <c r="F104" i="27" s="1"/>
  <c r="H104" i="27" s="1"/>
  <c r="H117" i="30"/>
  <c r="AG128" i="32"/>
  <c r="V113" i="30"/>
  <c r="T113" i="30"/>
  <c r="D421" i="65"/>
  <c r="A421" i="65" s="1"/>
  <c r="J421" i="66"/>
  <c r="B421" i="65" s="1"/>
  <c r="I421" i="66"/>
  <c r="B439" i="66"/>
  <c r="A439" i="66"/>
  <c r="AE137" i="59"/>
  <c r="AI137" i="59"/>
  <c r="AI138" i="59" s="1"/>
  <c r="T102" i="27"/>
  <c r="V102" i="27"/>
  <c r="V107" i="28"/>
  <c r="T107" i="28"/>
  <c r="D441" i="65"/>
  <c r="A441" i="65" s="1"/>
  <c r="J441" i="66"/>
  <c r="B441" i="65" s="1"/>
  <c r="I441" i="66"/>
  <c r="AG123" i="31"/>
  <c r="D521" i="65"/>
  <c r="A521" i="65" s="1"/>
  <c r="J521" i="66"/>
  <c r="B521" i="65" s="1"/>
  <c r="I521" i="66"/>
  <c r="AG113" i="29"/>
  <c r="V112" i="29"/>
  <c r="T112" i="29"/>
  <c r="AE125" i="32"/>
  <c r="AI124" i="32" s="1"/>
  <c r="J115" i="31"/>
  <c r="J114" i="31"/>
  <c r="B458" i="66"/>
  <c r="A458" i="66"/>
  <c r="AG143" i="33"/>
  <c r="AG145" i="33" s="1"/>
  <c r="AE145" i="33"/>
  <c r="AI144" i="33" s="1"/>
  <c r="T128" i="33"/>
  <c r="V128" i="33"/>
  <c r="T143" i="33"/>
  <c r="V143" i="33"/>
  <c r="F144" i="33"/>
  <c r="H144" i="33" s="1"/>
  <c r="J142" i="33"/>
  <c r="AE128" i="31"/>
  <c r="R123" i="31"/>
  <c r="AE124" i="31"/>
  <c r="AG124" i="31" s="1"/>
  <c r="D124" i="31"/>
  <c r="AG148" i="59"/>
  <c r="D143" i="59"/>
  <c r="R142" i="59"/>
  <c r="AG143" i="59"/>
  <c r="AG144" i="59" s="1"/>
  <c r="AK143" i="59" s="1"/>
  <c r="D440" i="66"/>
  <c r="L462" i="66"/>
  <c r="D478" i="66"/>
  <c r="L502" i="66"/>
  <c r="D108" i="27"/>
  <c r="F108" i="27" s="1"/>
  <c r="H108" i="27" s="1"/>
  <c r="R99" i="27"/>
  <c r="D112" i="27"/>
  <c r="F112" i="27" s="1"/>
  <c r="R107" i="27"/>
  <c r="AE108" i="27"/>
  <c r="F105" i="28"/>
  <c r="J104" i="28" s="1"/>
  <c r="T123" i="32"/>
  <c r="V123" i="32"/>
  <c r="V109" i="30"/>
  <c r="V110" i="30" s="1"/>
  <c r="T109" i="30"/>
  <c r="T110" i="30" s="1"/>
  <c r="X109" i="30" s="1"/>
  <c r="AG138" i="59"/>
  <c r="AK137" i="59" s="1"/>
  <c r="AI140" i="34"/>
  <c r="D501" i="65"/>
  <c r="A501" i="65" s="1"/>
  <c r="J501" i="66"/>
  <c r="B501" i="65" s="1"/>
  <c r="I501" i="66"/>
  <c r="B401" i="66"/>
  <c r="A401" i="66"/>
  <c r="T136" i="59"/>
  <c r="V136" i="59"/>
  <c r="H103" i="27"/>
  <c r="X126" i="59"/>
  <c r="J130" i="34"/>
  <c r="N130" i="34" s="1"/>
  <c r="AQ130" i="34" s="1"/>
  <c r="J129" i="34"/>
  <c r="N129" i="34" s="1"/>
  <c r="AQ129" i="34" s="1"/>
  <c r="H112" i="28"/>
  <c r="B420" i="66"/>
  <c r="A420" i="66"/>
  <c r="V118" i="31"/>
  <c r="T118" i="31"/>
  <c r="B496" i="66"/>
  <c r="A496" i="66"/>
  <c r="AG109" i="29"/>
  <c r="AG110" i="29" s="1"/>
  <c r="AE110" i="29"/>
  <c r="AI109" i="29" s="1"/>
  <c r="F113" i="29"/>
  <c r="J112" i="29"/>
  <c r="J112" i="30"/>
  <c r="F149" i="33"/>
  <c r="H149" i="33" s="1"/>
  <c r="J147" i="33"/>
  <c r="AE150" i="33"/>
  <c r="AI149" i="33" s="1"/>
  <c r="AG148" i="33"/>
  <c r="AG150" i="33" s="1"/>
  <c r="AG133" i="33"/>
  <c r="AG135" i="33" s="1"/>
  <c r="AE135" i="33"/>
  <c r="AI134" i="33" s="1"/>
  <c r="D497" i="66"/>
  <c r="L522" i="66"/>
  <c r="D459" i="66"/>
  <c r="L482" i="66"/>
  <c r="AE104" i="27"/>
  <c r="AG104" i="27" s="1"/>
  <c r="H105" i="28"/>
  <c r="F124" i="32"/>
  <c r="H124" i="32" s="1"/>
  <c r="J122" i="32"/>
  <c r="AG118" i="30"/>
  <c r="AE120" i="30"/>
  <c r="AI119" i="30" s="1"/>
  <c r="H119" i="32"/>
  <c r="H120" i="32" s="1"/>
  <c r="J120" i="32" s="1"/>
  <c r="F120" i="32"/>
  <c r="J119" i="32" s="1"/>
  <c r="B477" i="66"/>
  <c r="A477" i="66"/>
  <c r="F137" i="59"/>
  <c r="J135" i="59"/>
  <c r="V131" i="59"/>
  <c r="V132" i="59" s="1"/>
  <c r="T131" i="59"/>
  <c r="T132" i="59" s="1"/>
  <c r="X131" i="59" s="1"/>
  <c r="V89" i="27"/>
  <c r="V90" i="27" s="1"/>
  <c r="T89" i="27"/>
  <c r="T90" i="27" s="1"/>
  <c r="X89" i="27" s="1"/>
  <c r="H109" i="30"/>
  <c r="H110" i="30" s="1"/>
  <c r="J110" i="30" s="1"/>
  <c r="F110" i="30"/>
  <c r="J109" i="30" s="1"/>
  <c r="J107" i="29"/>
  <c r="F109" i="29"/>
  <c r="T104" i="29"/>
  <c r="T105" i="29" s="1"/>
  <c r="X104" i="29" s="1"/>
  <c r="V104" i="29"/>
  <c r="V105" i="29" s="1"/>
  <c r="H113" i="30"/>
  <c r="H115" i="30" s="1"/>
  <c r="F115" i="30"/>
  <c r="V138" i="33"/>
  <c r="T138" i="33"/>
  <c r="F139" i="33"/>
  <c r="H139" i="33" s="1"/>
  <c r="J137" i="33"/>
  <c r="J132" i="33"/>
  <c r="F134" i="33"/>
  <c r="H134" i="33" s="1"/>
  <c r="AB4" i="27"/>
  <c r="AD4" i="27" s="1"/>
  <c r="AB9" i="27"/>
  <c r="AD9" i="27" s="1"/>
  <c r="AT75" i="30"/>
  <c r="AW1" i="25"/>
  <c r="AF17" i="25"/>
  <c r="AF18" i="25" s="1"/>
  <c r="AF19" i="25" s="1"/>
  <c r="AF20" i="25" s="1"/>
  <c r="AF21" i="25" s="1"/>
  <c r="AF22" i="25" s="1"/>
  <c r="AF23" i="25" s="1"/>
  <c r="AF24" i="25" s="1"/>
  <c r="AF25" i="25" s="1"/>
  <c r="AF26" i="25" s="1"/>
  <c r="AF27" i="25" s="1"/>
  <c r="AF28" i="25" s="1"/>
  <c r="AH1" i="25"/>
  <c r="AD26" i="25"/>
  <c r="AB26" i="25" s="1"/>
  <c r="AD21" i="25"/>
  <c r="AB21" i="25" s="1"/>
  <c r="AD17" i="25"/>
  <c r="AB17" i="25" s="1"/>
  <c r="AD24" i="25"/>
  <c r="AB24" i="25" s="1"/>
  <c r="AD27" i="25"/>
  <c r="AB27" i="25" s="1"/>
  <c r="AD18" i="25"/>
  <c r="AB18" i="25" s="1"/>
  <c r="AD25" i="25"/>
  <c r="AB25" i="25" s="1"/>
  <c r="AD19" i="25"/>
  <c r="AB19" i="25" s="1"/>
  <c r="AD22" i="25"/>
  <c r="AB22" i="25" s="1"/>
  <c r="AD20" i="25"/>
  <c r="AB20" i="25" s="1"/>
  <c r="AD23" i="25"/>
  <c r="AB23" i="25" s="1"/>
  <c r="AD28" i="25"/>
  <c r="AB28" i="25" s="1"/>
  <c r="Z74" i="28"/>
  <c r="AB74" i="28" s="1"/>
  <c r="AR79" i="32"/>
  <c r="AR80" i="32"/>
  <c r="L90" i="32"/>
  <c r="N90" i="32" s="1"/>
  <c r="AQ90" i="32" s="1"/>
  <c r="AK85" i="32"/>
  <c r="AM85" i="32" s="1"/>
  <c r="AS85" i="32" s="1"/>
  <c r="Z85" i="32"/>
  <c r="AB85" i="32" s="1"/>
  <c r="Z75" i="28"/>
  <c r="AB75" i="28" s="1"/>
  <c r="L79" i="28"/>
  <c r="N79" i="28" s="1"/>
  <c r="AQ79" i="28" s="1"/>
  <c r="L80" i="28"/>
  <c r="N80" i="28" s="1"/>
  <c r="AQ80" i="28" s="1"/>
  <c r="AI90" i="26"/>
  <c r="AR74" i="30"/>
  <c r="AT74" i="30" s="1"/>
  <c r="D13" i="30" s="1"/>
  <c r="Z79" i="30" s="1"/>
  <c r="AB79" i="30" s="1"/>
  <c r="AI105" i="28"/>
  <c r="H89" i="26"/>
  <c r="H90" i="26" s="1"/>
  <c r="J90" i="26" s="1"/>
  <c r="F90" i="26"/>
  <c r="J89" i="26" s="1"/>
  <c r="AI100" i="28"/>
  <c r="J105" i="28"/>
  <c r="F99" i="27"/>
  <c r="J97" i="27"/>
  <c r="AG108" i="27"/>
  <c r="T98" i="27"/>
  <c r="V98" i="27"/>
  <c r="AE99" i="26"/>
  <c r="AE103" i="26"/>
  <c r="R98" i="26"/>
  <c r="D99" i="26"/>
  <c r="AG103" i="27"/>
  <c r="AK69" i="27"/>
  <c r="AM69" i="27" s="1"/>
  <c r="AS69" i="27" s="1"/>
  <c r="Z69" i="27"/>
  <c r="AB69" i="27" s="1"/>
  <c r="L74" i="27"/>
  <c r="N74" i="27" s="1"/>
  <c r="AQ74" i="27" s="1"/>
  <c r="AG99" i="27"/>
  <c r="AG100" i="27" s="1"/>
  <c r="AE100" i="27"/>
  <c r="AI99" i="27" s="1"/>
  <c r="V103" i="27"/>
  <c r="T103" i="27"/>
  <c r="AR64" i="26"/>
  <c r="AT64" i="26" s="1"/>
  <c r="D11" i="26" s="1"/>
  <c r="AR65" i="26"/>
  <c r="AT65" i="26" s="1"/>
  <c r="E11" i="26" s="1"/>
  <c r="AJ9" i="3"/>
  <c r="AJ16" i="3"/>
  <c r="AI12" i="3"/>
  <c r="AJ5" i="3"/>
  <c r="AI5" i="3"/>
  <c r="AJ7" i="3"/>
  <c r="AI7" i="3"/>
  <c r="AX24" i="61"/>
  <c r="EX147" i="61" s="1"/>
  <c r="GI147" i="61" s="1"/>
  <c r="AP24" i="6"/>
  <c r="C23" i="30"/>
  <c r="B24" i="6"/>
  <c r="BA21" i="61"/>
  <c r="AP21" i="3"/>
  <c r="B21" i="3"/>
  <c r="C26" i="33"/>
  <c r="Y1" i="2"/>
  <c r="AB15" i="2" s="1"/>
  <c r="AV20" i="3"/>
  <c r="AW25" i="61"/>
  <c r="B25" i="7"/>
  <c r="C22" i="29"/>
  <c r="AP25" i="7"/>
  <c r="AV28" i="11"/>
  <c r="Y28" i="11"/>
  <c r="Y27" i="11" s="1"/>
  <c r="BG7" i="11"/>
  <c r="AF15" i="1"/>
  <c r="AF16" i="1" s="1"/>
  <c r="AI1" i="1"/>
  <c r="AA18" i="22"/>
  <c r="AG18" i="22" s="1"/>
  <c r="Y17" i="22"/>
  <c r="X18" i="22" s="1"/>
  <c r="AJ4" i="3"/>
  <c r="AI4" i="3"/>
  <c r="AU27" i="61"/>
  <c r="B27" i="9"/>
  <c r="AP27" i="9"/>
  <c r="C20" i="27"/>
  <c r="AA22" i="17"/>
  <c r="AG22" i="17" s="1"/>
  <c r="Y21" i="17"/>
  <c r="X22" i="17" s="1"/>
  <c r="AV22" i="5"/>
  <c r="X17" i="23"/>
  <c r="AA17" i="23"/>
  <c r="X16" i="23"/>
  <c r="H18" i="1"/>
  <c r="I18" i="1" s="1"/>
  <c r="D18" i="1"/>
  <c r="F18" i="1" s="1"/>
  <c r="G18" i="1" s="1"/>
  <c r="H25" i="8"/>
  <c r="I25" i="8" s="1"/>
  <c r="D25" i="8"/>
  <c r="F25" i="8" s="1"/>
  <c r="G25" i="8" s="1"/>
  <c r="AV21" i="4"/>
  <c r="AF15" i="2"/>
  <c r="AF16" i="2" s="1"/>
  <c r="AI1" i="2"/>
  <c r="H24" i="7"/>
  <c r="I24" i="7" s="1"/>
  <c r="D24" i="7"/>
  <c r="F24" i="7" s="1"/>
  <c r="G24" i="7" s="1"/>
  <c r="BB20" i="61"/>
  <c r="B20" i="2"/>
  <c r="AP20" i="2"/>
  <c r="C27" i="34"/>
  <c r="AA23" i="16"/>
  <c r="AG23" i="16" s="1"/>
  <c r="Y22" i="16"/>
  <c r="X23" i="16" s="1"/>
  <c r="AI13" i="3"/>
  <c r="AJ13" i="3"/>
  <c r="AJ8" i="3"/>
  <c r="AI8" i="3"/>
  <c r="J94" i="26"/>
  <c r="N94" i="26" s="1"/>
  <c r="AQ94" i="26" s="1"/>
  <c r="H26" i="9"/>
  <c r="I26" i="9" s="1"/>
  <c r="D26" i="9"/>
  <c r="F26" i="9" s="1"/>
  <c r="G26" i="9" s="1"/>
  <c r="AY23" i="61"/>
  <c r="C24" i="31"/>
  <c r="B23" i="5"/>
  <c r="C24" i="59"/>
  <c r="AP23" i="5"/>
  <c r="AA26" i="14"/>
  <c r="AG26" i="14" s="1"/>
  <c r="Y25" i="14"/>
  <c r="X26" i="14" s="1"/>
  <c r="AD1" i="24"/>
  <c r="AG17" i="24"/>
  <c r="F28" i="12"/>
  <c r="D29" i="12"/>
  <c r="I35" i="12" s="1"/>
  <c r="AV18" i="1"/>
  <c r="AA24" i="15"/>
  <c r="AG24" i="15" s="1"/>
  <c r="Y23" i="15"/>
  <c r="X24" i="15" s="1"/>
  <c r="AA19" i="21"/>
  <c r="AG19" i="21" s="1"/>
  <c r="Y18" i="21"/>
  <c r="C19" i="26"/>
  <c r="AP28" i="10"/>
  <c r="V33" i="61"/>
  <c r="B28" i="10"/>
  <c r="AV26" i="61"/>
  <c r="B26" i="8"/>
  <c r="C21" i="28"/>
  <c r="AP26" i="8"/>
  <c r="D23" i="6"/>
  <c r="F23" i="6" s="1"/>
  <c r="G23" i="6" s="1"/>
  <c r="H23" i="6"/>
  <c r="I23" i="6" s="1"/>
  <c r="AA20" i="19"/>
  <c r="AG20" i="19" s="1"/>
  <c r="Y19" i="19"/>
  <c r="X20" i="19" s="1"/>
  <c r="H20" i="3"/>
  <c r="I20" i="3" s="1"/>
  <c r="D20" i="3"/>
  <c r="F20" i="3" s="1"/>
  <c r="G20" i="3" s="1"/>
  <c r="AV24" i="7"/>
  <c r="H28" i="11"/>
  <c r="I28" i="11" s="1"/>
  <c r="I29" i="11" s="1"/>
  <c r="I39" i="11" s="1"/>
  <c r="D28" i="11"/>
  <c r="S7" i="11"/>
  <c r="AV19" i="2"/>
  <c r="X19" i="22"/>
  <c r="AA28" i="12"/>
  <c r="AG28" i="12" s="1"/>
  <c r="Y27" i="12"/>
  <c r="AJ11" i="3"/>
  <c r="AI11" i="3"/>
  <c r="AV26" i="9"/>
  <c r="X23" i="17"/>
  <c r="X18" i="23"/>
  <c r="BC19" i="61"/>
  <c r="AP19" i="1"/>
  <c r="C28" i="35"/>
  <c r="B19" i="1"/>
  <c r="AV27" i="10"/>
  <c r="AV25" i="8"/>
  <c r="AZ22" i="61"/>
  <c r="B22" i="4"/>
  <c r="AP22" i="4"/>
  <c r="C25" i="32"/>
  <c r="AA20" i="53"/>
  <c r="AG20" i="53" s="1"/>
  <c r="Y19" i="53"/>
  <c r="X20" i="53" s="1"/>
  <c r="AI95" i="26"/>
  <c r="AV23" i="6"/>
  <c r="Y1" i="1"/>
  <c r="AB15" i="1" s="1"/>
  <c r="H19" i="2"/>
  <c r="I19" i="2" s="1"/>
  <c r="D19" i="2"/>
  <c r="F19" i="2" s="1"/>
  <c r="G19" i="2" s="1"/>
  <c r="X24" i="16"/>
  <c r="G28" i="13"/>
  <c r="G29" i="13" s="1"/>
  <c r="I38" i="13" s="1"/>
  <c r="F29" i="13"/>
  <c r="I36" i="13" s="1"/>
  <c r="AI15" i="3"/>
  <c r="AJ15" i="3"/>
  <c r="AJ6" i="3"/>
  <c r="AI6" i="3"/>
  <c r="H22" i="5"/>
  <c r="I22" i="5" s="1"/>
  <c r="D22" i="5"/>
  <c r="F22" i="5" s="1"/>
  <c r="G22" i="5" s="1"/>
  <c r="X27" i="14"/>
  <c r="AA22" i="18"/>
  <c r="AG22" i="18" s="1"/>
  <c r="Y21" i="18"/>
  <c r="AA27" i="13"/>
  <c r="AG27" i="13" s="1"/>
  <c r="Y26" i="13"/>
  <c r="X27" i="13" s="1"/>
  <c r="AA19" i="20"/>
  <c r="AG19" i="20" s="1"/>
  <c r="Y18" i="20"/>
  <c r="X25" i="15"/>
  <c r="H27" i="10"/>
  <c r="I27" i="10" s="1"/>
  <c r="D27" i="10"/>
  <c r="F27" i="10" s="1"/>
  <c r="G27" i="10" s="1"/>
  <c r="H21" i="4"/>
  <c r="I21" i="4" s="1"/>
  <c r="D21" i="4"/>
  <c r="F21" i="4" s="1"/>
  <c r="G21" i="4" s="1"/>
  <c r="AI10" i="3"/>
  <c r="AJ10" i="3"/>
  <c r="GH137" i="61" l="1"/>
  <c r="N16" i="64" s="1"/>
  <c r="AI120" i="31"/>
  <c r="J102" i="27"/>
  <c r="AE105" i="27"/>
  <c r="AI104" i="27" s="1"/>
  <c r="K15" i="64"/>
  <c r="GC137" i="61"/>
  <c r="GD137" i="61" s="1"/>
  <c r="ET136" i="61"/>
  <c r="EY136" i="61"/>
  <c r="ER137" i="61"/>
  <c r="ES136" i="61"/>
  <c r="H15" i="64" s="1"/>
  <c r="DW139" i="61"/>
  <c r="FI139" i="61"/>
  <c r="EI139" i="61"/>
  <c r="FU139" i="61"/>
  <c r="DY139" i="61"/>
  <c r="FK139" i="61"/>
  <c r="EB139" i="61"/>
  <c r="FN139" i="61"/>
  <c r="EL139" i="61"/>
  <c r="FX139" i="61"/>
  <c r="DV139" i="61"/>
  <c r="FH139" i="61"/>
  <c r="EG139" i="61"/>
  <c r="FS139" i="61"/>
  <c r="EC139" i="61"/>
  <c r="FO139" i="61"/>
  <c r="EA139" i="61"/>
  <c r="FM139" i="61"/>
  <c r="EN139" i="61"/>
  <c r="FZ139" i="61"/>
  <c r="DX139" i="61"/>
  <c r="FJ139" i="61"/>
  <c r="EH139" i="61"/>
  <c r="FT139" i="61"/>
  <c r="EM139" i="61"/>
  <c r="FY139" i="61"/>
  <c r="DU139" i="61"/>
  <c r="FG139" i="61"/>
  <c r="DS139" i="61"/>
  <c r="FE139" i="61"/>
  <c r="EJ139" i="61"/>
  <c r="FV139" i="61"/>
  <c r="DT139" i="61"/>
  <c r="FF139" i="61"/>
  <c r="ED139" i="61"/>
  <c r="FP139" i="61"/>
  <c r="DR138" i="61"/>
  <c r="EZ138" i="61" s="1"/>
  <c r="FD138" i="61"/>
  <c r="GE138" i="61" s="1"/>
  <c r="L17" i="64" s="1"/>
  <c r="EE139" i="61"/>
  <c r="FQ139" i="61"/>
  <c r="EK139" i="61"/>
  <c r="FW139" i="61"/>
  <c r="EO139" i="61"/>
  <c r="GA139" i="61"/>
  <c r="EF139" i="61"/>
  <c r="FR139" i="61"/>
  <c r="GB139" i="61"/>
  <c r="DZ139" i="61"/>
  <c r="FL139" i="61"/>
  <c r="EP140" i="61"/>
  <c r="EU139" i="61"/>
  <c r="EV139" i="61" s="1"/>
  <c r="AI115" i="30"/>
  <c r="AG130" i="32"/>
  <c r="H120" i="30"/>
  <c r="AG115" i="29"/>
  <c r="AE130" i="32"/>
  <c r="AI129" i="32" s="1"/>
  <c r="AG120" i="30"/>
  <c r="AE115" i="29"/>
  <c r="AI114" i="29" s="1"/>
  <c r="AG105" i="27"/>
  <c r="X132" i="59"/>
  <c r="AI135" i="33"/>
  <c r="X90" i="27"/>
  <c r="AI145" i="33"/>
  <c r="X110" i="30"/>
  <c r="D479" i="66"/>
  <c r="L503" i="66"/>
  <c r="R99" i="26"/>
  <c r="R107" i="26"/>
  <c r="D108" i="26"/>
  <c r="F108" i="26" s="1"/>
  <c r="H108" i="26" s="1"/>
  <c r="D112" i="26"/>
  <c r="F112" i="26" s="1"/>
  <c r="R114" i="29"/>
  <c r="R118" i="29"/>
  <c r="D119" i="29"/>
  <c r="F119" i="29" s="1"/>
  <c r="H119" i="29" s="1"/>
  <c r="AE119" i="29"/>
  <c r="AG119" i="29" s="1"/>
  <c r="AE123" i="29"/>
  <c r="D441" i="66"/>
  <c r="L463" i="66"/>
  <c r="AE104" i="26"/>
  <c r="AG104" i="26" s="1"/>
  <c r="H137" i="59"/>
  <c r="H138" i="59" s="1"/>
  <c r="F138" i="59"/>
  <c r="J137" i="59" s="1"/>
  <c r="J124" i="32"/>
  <c r="N124" i="32" s="1"/>
  <c r="AQ124" i="32" s="1"/>
  <c r="J125" i="32"/>
  <c r="N125" i="32" s="1"/>
  <c r="AQ125" i="32" s="1"/>
  <c r="D522" i="65"/>
  <c r="A522" i="65" s="1"/>
  <c r="I522" i="66"/>
  <c r="J522" i="66"/>
  <c r="B522" i="65" s="1"/>
  <c r="F105" i="27"/>
  <c r="J104" i="27" s="1"/>
  <c r="D462" i="65"/>
  <c r="A462" i="65" s="1"/>
  <c r="I462" i="66"/>
  <c r="J462" i="66"/>
  <c r="B462" i="65" s="1"/>
  <c r="T142" i="59"/>
  <c r="V142" i="59"/>
  <c r="AE125" i="31"/>
  <c r="AI124" i="31" s="1"/>
  <c r="V113" i="29"/>
  <c r="T113" i="29"/>
  <c r="AG113" i="28"/>
  <c r="F117" i="28"/>
  <c r="V118" i="30"/>
  <c r="T118" i="30"/>
  <c r="J129" i="33"/>
  <c r="N129" i="33" s="1"/>
  <c r="AQ129" i="33" s="1"/>
  <c r="J130" i="33"/>
  <c r="N130" i="33" s="1"/>
  <c r="AQ130" i="33" s="1"/>
  <c r="AI125" i="32"/>
  <c r="H119" i="31"/>
  <c r="H120" i="31" s="1"/>
  <c r="J120" i="31" s="1"/>
  <c r="F120" i="31"/>
  <c r="J117" i="30"/>
  <c r="H103" i="26"/>
  <c r="J142" i="32"/>
  <c r="F144" i="32"/>
  <c r="H144" i="32" s="1"/>
  <c r="J147" i="32"/>
  <c r="F149" i="32"/>
  <c r="H149" i="32" s="1"/>
  <c r="AG148" i="32"/>
  <c r="AG150" i="32" s="1"/>
  <c r="AE150" i="32"/>
  <c r="AI149" i="32" s="1"/>
  <c r="D149" i="59"/>
  <c r="R148" i="59"/>
  <c r="D173" i="59"/>
  <c r="AG161" i="59"/>
  <c r="R166" i="59"/>
  <c r="AG149" i="59"/>
  <c r="D155" i="59"/>
  <c r="AG167" i="59"/>
  <c r="AG155" i="59"/>
  <c r="D161" i="59"/>
  <c r="AG154" i="59"/>
  <c r="D167" i="59"/>
  <c r="R160" i="59"/>
  <c r="AG173" i="59"/>
  <c r="AG160" i="59"/>
  <c r="R154" i="59"/>
  <c r="AG172" i="59"/>
  <c r="R172" i="59"/>
  <c r="AG166" i="59"/>
  <c r="D498" i="66"/>
  <c r="L523" i="66"/>
  <c r="D104" i="26"/>
  <c r="F104" i="26" s="1"/>
  <c r="H104" i="26" s="1"/>
  <c r="H99" i="27"/>
  <c r="H100" i="27" s="1"/>
  <c r="F100" i="27"/>
  <c r="J99" i="27" s="1"/>
  <c r="H109" i="29"/>
  <c r="H110" i="29" s="1"/>
  <c r="J110" i="29" s="1"/>
  <c r="F110" i="29"/>
  <c r="J109" i="29" s="1"/>
  <c r="D482" i="65"/>
  <c r="A482" i="65" s="1"/>
  <c r="J482" i="66"/>
  <c r="B482" i="65" s="1"/>
  <c r="I482" i="66"/>
  <c r="B497" i="66"/>
  <c r="A497" i="66"/>
  <c r="AI150" i="33"/>
  <c r="H113" i="29"/>
  <c r="H115" i="29" s="1"/>
  <c r="J115" i="29" s="1"/>
  <c r="F115" i="29"/>
  <c r="J114" i="29" s="1"/>
  <c r="H105" i="27"/>
  <c r="V107" i="27"/>
  <c r="T107" i="27"/>
  <c r="D502" i="65"/>
  <c r="A502" i="65" s="1"/>
  <c r="J502" i="66"/>
  <c r="B502" i="65" s="1"/>
  <c r="I502" i="66"/>
  <c r="B440" i="66"/>
  <c r="A440" i="66"/>
  <c r="F143" i="59"/>
  <c r="H143" i="59" s="1"/>
  <c r="J141" i="59"/>
  <c r="V123" i="31"/>
  <c r="T123" i="31"/>
  <c r="AG125" i="31"/>
  <c r="F120" i="30"/>
  <c r="AG118" i="29"/>
  <c r="AG120" i="29" s="1"/>
  <c r="AG109" i="28"/>
  <c r="AG110" i="28" s="1"/>
  <c r="AE110" i="28"/>
  <c r="AI109" i="28" s="1"/>
  <c r="F113" i="28"/>
  <c r="AG123" i="30"/>
  <c r="T89" i="26"/>
  <c r="T90" i="26" s="1"/>
  <c r="X89" i="26" s="1"/>
  <c r="V89" i="26"/>
  <c r="V90" i="26" s="1"/>
  <c r="AE140" i="32"/>
  <c r="AI139" i="32" s="1"/>
  <c r="AG138" i="32"/>
  <c r="AG140" i="32" s="1"/>
  <c r="AG143" i="32"/>
  <c r="AG145" i="32" s="1"/>
  <c r="AE145" i="32"/>
  <c r="AI144" i="32" s="1"/>
  <c r="F134" i="32"/>
  <c r="H134" i="32" s="1"/>
  <c r="J132" i="32"/>
  <c r="F129" i="32"/>
  <c r="H129" i="32" s="1"/>
  <c r="J127" i="32"/>
  <c r="D118" i="28"/>
  <c r="F118" i="28" s="1"/>
  <c r="H118" i="28" s="1"/>
  <c r="R109" i="28"/>
  <c r="AE118" i="28"/>
  <c r="D114" i="28"/>
  <c r="F114" i="28" s="1"/>
  <c r="H114" i="28" s="1"/>
  <c r="R113" i="28"/>
  <c r="AE114" i="28"/>
  <c r="AG114" i="28" s="1"/>
  <c r="R104" i="27"/>
  <c r="D113" i="27"/>
  <c r="R112" i="27"/>
  <c r="D117" i="27"/>
  <c r="AE113" i="27"/>
  <c r="D109" i="27"/>
  <c r="AE109" i="27"/>
  <c r="R108" i="27"/>
  <c r="L483" i="66"/>
  <c r="R123" i="30"/>
  <c r="AE124" i="30"/>
  <c r="AG124" i="30" s="1"/>
  <c r="D124" i="30"/>
  <c r="AE128" i="30"/>
  <c r="R103" i="26"/>
  <c r="J135" i="33"/>
  <c r="N135" i="33" s="1"/>
  <c r="AQ135" i="33" s="1"/>
  <c r="J134" i="33"/>
  <c r="N134" i="33" s="1"/>
  <c r="AQ134" i="33" s="1"/>
  <c r="B459" i="66"/>
  <c r="A459" i="66"/>
  <c r="H112" i="27"/>
  <c r="B478" i="66"/>
  <c r="A478" i="66"/>
  <c r="AG150" i="59"/>
  <c r="AK149" i="59" s="1"/>
  <c r="AI148" i="59"/>
  <c r="AE148" i="59"/>
  <c r="AG128" i="31"/>
  <c r="AK138" i="59"/>
  <c r="X100" i="28"/>
  <c r="T109" i="29"/>
  <c r="T110" i="29" s="1"/>
  <c r="X109" i="29" s="1"/>
  <c r="V109" i="29"/>
  <c r="V110" i="29" s="1"/>
  <c r="F109" i="28"/>
  <c r="J107" i="28"/>
  <c r="V104" i="28"/>
  <c r="V105" i="28" s="1"/>
  <c r="T104" i="28"/>
  <c r="T105" i="28" s="1"/>
  <c r="X104" i="28" s="1"/>
  <c r="H117" i="29"/>
  <c r="X115" i="31"/>
  <c r="H107" i="26"/>
  <c r="D442" i="65"/>
  <c r="A442" i="65" s="1"/>
  <c r="J442" i="66"/>
  <c r="B442" i="65" s="1"/>
  <c r="I442" i="66"/>
  <c r="T138" i="32"/>
  <c r="V138" i="32"/>
  <c r="T133" i="32"/>
  <c r="V133" i="32"/>
  <c r="AE139" i="31"/>
  <c r="AG139" i="31" s="1"/>
  <c r="AE143" i="31"/>
  <c r="AE148" i="31"/>
  <c r="AE133" i="31"/>
  <c r="R148" i="31"/>
  <c r="AE144" i="31"/>
  <c r="AG144" i="31" s="1"/>
  <c r="D139" i="31"/>
  <c r="AE134" i="31"/>
  <c r="AG134" i="31" s="1"/>
  <c r="D149" i="31"/>
  <c r="R128" i="31"/>
  <c r="AE129" i="31"/>
  <c r="AG129" i="31" s="1"/>
  <c r="AE149" i="31"/>
  <c r="AG149" i="31" s="1"/>
  <c r="R143" i="31"/>
  <c r="AE138" i="31"/>
  <c r="D134" i="31"/>
  <c r="D144" i="31"/>
  <c r="D129" i="31"/>
  <c r="R133" i="31"/>
  <c r="R138" i="31"/>
  <c r="AE108" i="26"/>
  <c r="AG108" i="26" s="1"/>
  <c r="J139" i="33"/>
  <c r="N139" i="33" s="1"/>
  <c r="AQ139" i="33" s="1"/>
  <c r="J140" i="33"/>
  <c r="N140" i="33" s="1"/>
  <c r="AQ140" i="33" s="1"/>
  <c r="X105" i="29"/>
  <c r="J138" i="59"/>
  <c r="AI120" i="30"/>
  <c r="J150" i="33"/>
  <c r="N150" i="33" s="1"/>
  <c r="AQ150" i="33" s="1"/>
  <c r="J149" i="33"/>
  <c r="N149" i="33" s="1"/>
  <c r="AQ149" i="33" s="1"/>
  <c r="J115" i="30"/>
  <c r="J114" i="30"/>
  <c r="AI110" i="29"/>
  <c r="V99" i="27"/>
  <c r="V100" i="27" s="1"/>
  <c r="T99" i="27"/>
  <c r="T100" i="27" s="1"/>
  <c r="X99" i="27" s="1"/>
  <c r="AE143" i="59"/>
  <c r="AI143" i="59"/>
  <c r="AI144" i="59" s="1"/>
  <c r="AK144" i="59" s="1"/>
  <c r="F124" i="31"/>
  <c r="H124" i="31" s="1"/>
  <c r="J122" i="31"/>
  <c r="J145" i="33"/>
  <c r="N145" i="33" s="1"/>
  <c r="AQ145" i="33" s="1"/>
  <c r="J144" i="33"/>
  <c r="N144" i="33" s="1"/>
  <c r="AQ144" i="33" s="1"/>
  <c r="T108" i="28"/>
  <c r="V108" i="28"/>
  <c r="V112" i="28"/>
  <c r="T112" i="28"/>
  <c r="V114" i="30"/>
  <c r="V115" i="30" s="1"/>
  <c r="T114" i="30"/>
  <c r="T115" i="30" s="1"/>
  <c r="X114" i="30" s="1"/>
  <c r="AI140" i="33"/>
  <c r="J119" i="31"/>
  <c r="V102" i="26"/>
  <c r="T102" i="26"/>
  <c r="B421" i="66"/>
  <c r="A421" i="66"/>
  <c r="T128" i="32"/>
  <c r="V128" i="32"/>
  <c r="V148" i="32"/>
  <c r="T148" i="32"/>
  <c r="AE135" i="32"/>
  <c r="AI134" i="32" s="1"/>
  <c r="AG133" i="32"/>
  <c r="AG135" i="32" s="1"/>
  <c r="V143" i="32"/>
  <c r="T143" i="32"/>
  <c r="J137" i="32"/>
  <c r="F139" i="32"/>
  <c r="H139" i="32" s="1"/>
  <c r="AI20" i="25"/>
  <c r="AJ20" i="25"/>
  <c r="AI18" i="25"/>
  <c r="AJ18" i="25"/>
  <c r="AI21" i="25"/>
  <c r="AJ21" i="25"/>
  <c r="AH28" i="25"/>
  <c r="AI22" i="25"/>
  <c r="AJ22" i="25"/>
  <c r="AI27" i="25"/>
  <c r="AJ27" i="25"/>
  <c r="AI26" i="25"/>
  <c r="AJ26" i="25"/>
  <c r="AI28" i="25"/>
  <c r="AJ28" i="25"/>
  <c r="AI19" i="25"/>
  <c r="AJ19" i="25"/>
  <c r="AI24" i="25"/>
  <c r="AJ24" i="25"/>
  <c r="AI23" i="25"/>
  <c r="AJ23" i="25"/>
  <c r="AI25" i="25"/>
  <c r="AJ25" i="25"/>
  <c r="AI17" i="25"/>
  <c r="AJ17" i="25"/>
  <c r="AH6" i="25"/>
  <c r="AH7" i="25"/>
  <c r="AH4" i="25"/>
  <c r="AH8" i="25"/>
  <c r="AH9" i="25" s="1"/>
  <c r="AH10" i="25" s="1"/>
  <c r="AH11" i="25" s="1"/>
  <c r="AH12" i="25" s="1"/>
  <c r="AH13" i="25" s="1"/>
  <c r="AH14" i="25" s="1"/>
  <c r="AH15" i="25" s="1"/>
  <c r="AH16" i="25" s="1"/>
  <c r="AH5" i="25"/>
  <c r="AH27" i="25"/>
  <c r="AH26" i="25"/>
  <c r="AH25" i="25"/>
  <c r="AH24" i="25"/>
  <c r="AR85" i="32"/>
  <c r="AT85" i="32" s="1"/>
  <c r="E15" i="32" s="1"/>
  <c r="AR84" i="32"/>
  <c r="AT84" i="32" s="1"/>
  <c r="D15" i="32" s="1"/>
  <c r="AR74" i="28"/>
  <c r="AT74" i="28" s="1"/>
  <c r="AR75" i="28"/>
  <c r="AT75" i="28" s="1"/>
  <c r="AK79" i="30"/>
  <c r="AM79" i="30" s="1"/>
  <c r="AS79" i="30" s="1"/>
  <c r="AT79" i="30" s="1"/>
  <c r="L84" i="30"/>
  <c r="N84" i="30" s="1"/>
  <c r="AQ84" i="30" s="1"/>
  <c r="Z69" i="26"/>
  <c r="AB69" i="26" s="1"/>
  <c r="L74" i="26"/>
  <c r="N74" i="26" s="1"/>
  <c r="AQ74" i="26" s="1"/>
  <c r="V98" i="26"/>
  <c r="T98" i="26"/>
  <c r="AG103" i="26"/>
  <c r="AG105" i="26" s="1"/>
  <c r="AE105" i="26"/>
  <c r="AI104" i="26" s="1"/>
  <c r="J105" i="27"/>
  <c r="J97" i="26"/>
  <c r="F99" i="26"/>
  <c r="V103" i="26"/>
  <c r="T103" i="26"/>
  <c r="AG99" i="26"/>
  <c r="AG100" i="26" s="1"/>
  <c r="AE100" i="26"/>
  <c r="AI99" i="26" s="1"/>
  <c r="J100" i="27"/>
  <c r="Z70" i="26"/>
  <c r="AB70" i="26" s="1"/>
  <c r="L75" i="26"/>
  <c r="N75" i="26" s="1"/>
  <c r="AQ75" i="26" s="1"/>
  <c r="AI100" i="27"/>
  <c r="AK69" i="26"/>
  <c r="AM69" i="26" s="1"/>
  <c r="AS69" i="26" s="1"/>
  <c r="AK70" i="26"/>
  <c r="AM70" i="26" s="1"/>
  <c r="AS70" i="26" s="1"/>
  <c r="AB11" i="1"/>
  <c r="AJ11" i="1" s="1"/>
  <c r="AB12" i="1"/>
  <c r="AI12" i="1" s="1"/>
  <c r="AB9" i="1"/>
  <c r="AI9" i="1" s="1"/>
  <c r="AI15" i="1"/>
  <c r="AJ15" i="1"/>
  <c r="AA21" i="18"/>
  <c r="AG21" i="18" s="1"/>
  <c r="Y20" i="18"/>
  <c r="X22" i="18"/>
  <c r="AA27" i="11"/>
  <c r="AG27" i="11" s="1"/>
  <c r="Y26" i="11"/>
  <c r="X27" i="11" s="1"/>
  <c r="AB16" i="1"/>
  <c r="AV22" i="4"/>
  <c r="H28" i="10"/>
  <c r="I28" i="10" s="1"/>
  <c r="I29" i="10" s="1"/>
  <c r="I39" i="10" s="1"/>
  <c r="D28" i="10"/>
  <c r="S7" i="10"/>
  <c r="AA23" i="15"/>
  <c r="AG23" i="15" s="1"/>
  <c r="Y22" i="15"/>
  <c r="X23" i="15" s="1"/>
  <c r="G28" i="12"/>
  <c r="G29" i="12" s="1"/>
  <c r="I38" i="12" s="1"/>
  <c r="F29" i="12"/>
  <c r="I36" i="12" s="1"/>
  <c r="AV20" i="2"/>
  <c r="AD1" i="23"/>
  <c r="AG17" i="23"/>
  <c r="H27" i="9"/>
  <c r="I27" i="9" s="1"/>
  <c r="D27" i="9"/>
  <c r="F27" i="9" s="1"/>
  <c r="G27" i="9" s="1"/>
  <c r="X17" i="22"/>
  <c r="AA17" i="22"/>
  <c r="X16" i="22"/>
  <c r="H25" i="7"/>
  <c r="I25" i="7" s="1"/>
  <c r="D25" i="7"/>
  <c r="F25" i="7" s="1"/>
  <c r="G25" i="7" s="1"/>
  <c r="AB11" i="2"/>
  <c r="AB14" i="2"/>
  <c r="AV21" i="3"/>
  <c r="AV24" i="6"/>
  <c r="H22" i="4"/>
  <c r="I22" i="4" s="1"/>
  <c r="D22" i="4"/>
  <c r="F22" i="4" s="1"/>
  <c r="G22" i="4" s="1"/>
  <c r="AV19" i="1"/>
  <c r="AA27" i="12"/>
  <c r="AG27" i="12" s="1"/>
  <c r="Y26" i="12"/>
  <c r="X27" i="12" s="1"/>
  <c r="H26" i="8"/>
  <c r="I26" i="8" s="1"/>
  <c r="D26" i="8"/>
  <c r="F26" i="8" s="1"/>
  <c r="G26" i="8" s="1"/>
  <c r="AA18" i="21"/>
  <c r="AG18" i="21" s="1"/>
  <c r="Y17" i="21"/>
  <c r="X18" i="21" s="1"/>
  <c r="AF17" i="24"/>
  <c r="AF18" i="24" s="1"/>
  <c r="AF19" i="24" s="1"/>
  <c r="AF20" i="24" s="1"/>
  <c r="AF21" i="24" s="1"/>
  <c r="AF22" i="24" s="1"/>
  <c r="AF23" i="24" s="1"/>
  <c r="AF24" i="24" s="1"/>
  <c r="AF25" i="24" s="1"/>
  <c r="AF26" i="24" s="1"/>
  <c r="AF27" i="24" s="1"/>
  <c r="AF28" i="24" s="1"/>
  <c r="AW1" i="24"/>
  <c r="AH1" i="24"/>
  <c r="H23" i="5"/>
  <c r="I23" i="5" s="1"/>
  <c r="D23" i="5"/>
  <c r="F23" i="5" s="1"/>
  <c r="G23" i="5" s="1"/>
  <c r="H20" i="2"/>
  <c r="I20" i="2" s="1"/>
  <c r="D20" i="2"/>
  <c r="F20" i="2" s="1"/>
  <c r="G20" i="2" s="1"/>
  <c r="W33" i="61"/>
  <c r="B28" i="9"/>
  <c r="C20" i="26"/>
  <c r="AP28" i="9"/>
  <c r="AW26" i="61"/>
  <c r="B26" i="7"/>
  <c r="AP26" i="7"/>
  <c r="C22" i="28"/>
  <c r="AD6" i="2"/>
  <c r="AB6" i="2" s="1"/>
  <c r="AD7" i="2"/>
  <c r="AB7" i="2" s="1"/>
  <c r="AD12" i="2"/>
  <c r="AD13" i="2"/>
  <c r="AD16" i="2"/>
  <c r="AD11" i="2"/>
  <c r="AD5" i="2"/>
  <c r="AB5" i="2" s="1"/>
  <c r="AD8" i="2"/>
  <c r="AB8" i="2" s="1"/>
  <c r="AD9" i="2"/>
  <c r="AD14" i="2"/>
  <c r="AD10" i="2"/>
  <c r="AD15" i="2"/>
  <c r="AD4" i="2"/>
  <c r="AB4" i="2" s="1"/>
  <c r="AB10" i="2"/>
  <c r="AB9" i="2"/>
  <c r="AB13" i="2"/>
  <c r="BA22" i="61"/>
  <c r="B22" i="3"/>
  <c r="C26" i="32"/>
  <c r="AP22" i="3"/>
  <c r="AX25" i="61"/>
  <c r="EX148" i="61" s="1"/>
  <c r="GI148" i="61" s="1"/>
  <c r="AP25" i="6"/>
  <c r="C23" i="29"/>
  <c r="B25" i="6"/>
  <c r="AA26" i="13"/>
  <c r="AG26" i="13" s="1"/>
  <c r="Y25" i="13"/>
  <c r="X26" i="13" s="1"/>
  <c r="AB10" i="1"/>
  <c r="AZ23" i="61"/>
  <c r="B23" i="4"/>
  <c r="AP23" i="4"/>
  <c r="C25" i="59"/>
  <c r="C25" i="31"/>
  <c r="BC20" i="61"/>
  <c r="AP20" i="1"/>
  <c r="C28" i="34"/>
  <c r="B20" i="1"/>
  <c r="AV27" i="61"/>
  <c r="AP27" i="8"/>
  <c r="C21" i="27"/>
  <c r="B27" i="8"/>
  <c r="AV28" i="10"/>
  <c r="Y28" i="10"/>
  <c r="BG7" i="10"/>
  <c r="AE1" i="24"/>
  <c r="AB17" i="24" s="1"/>
  <c r="AA25" i="14"/>
  <c r="AG25" i="14" s="1"/>
  <c r="Y24" i="14"/>
  <c r="AA22" i="16"/>
  <c r="AG22" i="16" s="1"/>
  <c r="Y21" i="16"/>
  <c r="X22" i="16" s="1"/>
  <c r="BB21" i="61"/>
  <c r="C27" i="33"/>
  <c r="B21" i="2"/>
  <c r="AP21" i="2"/>
  <c r="AA21" i="17"/>
  <c r="AG21" i="17" s="1"/>
  <c r="Y20" i="17"/>
  <c r="X21" i="17" s="1"/>
  <c r="X28" i="11"/>
  <c r="AA28" i="11"/>
  <c r="AG28" i="11" s="1"/>
  <c r="AV25" i="7"/>
  <c r="AB12" i="2"/>
  <c r="H24" i="6"/>
  <c r="I24" i="6" s="1"/>
  <c r="D24" i="6"/>
  <c r="F24" i="6" s="1"/>
  <c r="G24" i="6" s="1"/>
  <c r="AA18" i="20"/>
  <c r="AG18" i="20" s="1"/>
  <c r="Y17" i="20"/>
  <c r="X18" i="20" s="1"/>
  <c r="X19" i="20"/>
  <c r="AD8" i="1"/>
  <c r="AB8" i="1" s="1"/>
  <c r="AD6" i="1"/>
  <c r="AB6" i="1" s="1"/>
  <c r="AD9" i="1"/>
  <c r="AD12" i="1"/>
  <c r="AD14" i="1"/>
  <c r="AD10" i="1"/>
  <c r="AD15" i="1"/>
  <c r="AD11" i="1"/>
  <c r="AD13" i="1"/>
  <c r="AD16" i="1"/>
  <c r="AD5" i="1"/>
  <c r="AB5" i="1" s="1"/>
  <c r="AD7" i="1"/>
  <c r="AB7" i="1" s="1"/>
  <c r="AD4" i="1"/>
  <c r="AB4" i="1" s="1"/>
  <c r="AB13" i="1"/>
  <c r="AB14" i="1"/>
  <c r="AA19" i="53"/>
  <c r="AG19" i="53" s="1"/>
  <c r="Y18" i="53"/>
  <c r="X19" i="53" s="1"/>
  <c r="H19" i="1"/>
  <c r="I19" i="1" s="1"/>
  <c r="D19" i="1"/>
  <c r="F19" i="1" s="1"/>
  <c r="G19" i="1" s="1"/>
  <c r="X28" i="12"/>
  <c r="F28" i="11"/>
  <c r="D29" i="11"/>
  <c r="I35" i="11" s="1"/>
  <c r="AA19" i="19"/>
  <c r="AG19" i="19" s="1"/>
  <c r="Y18" i="19"/>
  <c r="AV26" i="8"/>
  <c r="X19" i="21"/>
  <c r="AV23" i="5"/>
  <c r="AY24" i="61"/>
  <c r="C24" i="30"/>
  <c r="AP24" i="5"/>
  <c r="B24" i="5"/>
  <c r="AV27" i="9"/>
  <c r="AJ15" i="2"/>
  <c r="AI15" i="2"/>
  <c r="AB16" i="2"/>
  <c r="H21" i="3"/>
  <c r="I21" i="3" s="1"/>
  <c r="D21" i="3"/>
  <c r="F21" i="3" s="1"/>
  <c r="G21" i="3" s="1"/>
  <c r="GH138" i="61" l="1"/>
  <c r="N17" i="64" s="1"/>
  <c r="J102" i="26"/>
  <c r="AE120" i="29"/>
  <c r="AI119" i="29" s="1"/>
  <c r="AI105" i="27"/>
  <c r="H120" i="29"/>
  <c r="F120" i="29"/>
  <c r="J117" i="29"/>
  <c r="K16" i="64"/>
  <c r="GC138" i="61"/>
  <c r="GD138" i="61" s="1"/>
  <c r="ET137" i="61"/>
  <c r="EY137" i="61"/>
  <c r="ES137" i="61"/>
  <c r="H16" i="64" s="1"/>
  <c r="AI125" i="31"/>
  <c r="ER138" i="61"/>
  <c r="EJ140" i="61"/>
  <c r="FV140" i="61"/>
  <c r="EH140" i="61"/>
  <c r="FT140" i="61"/>
  <c r="EF140" i="61"/>
  <c r="FR140" i="61"/>
  <c r="EE140" i="61"/>
  <c r="FQ140" i="61"/>
  <c r="EO140" i="61"/>
  <c r="GA140" i="61"/>
  <c r="DY140" i="61"/>
  <c r="FK140" i="61"/>
  <c r="EL140" i="61"/>
  <c r="FX140" i="61"/>
  <c r="EB140" i="61"/>
  <c r="FN140" i="61"/>
  <c r="DZ140" i="61"/>
  <c r="FL140" i="61"/>
  <c r="DX140" i="61"/>
  <c r="FJ140" i="61"/>
  <c r="EA140" i="61"/>
  <c r="FM140" i="61"/>
  <c r="EK140" i="61"/>
  <c r="FW140" i="61"/>
  <c r="DU140" i="61"/>
  <c r="FG140" i="61"/>
  <c r="ED140" i="61"/>
  <c r="FP140" i="61"/>
  <c r="DT140" i="61"/>
  <c r="FF140" i="61"/>
  <c r="EM140" i="61"/>
  <c r="FY140" i="61"/>
  <c r="DW140" i="61"/>
  <c r="FI140" i="61"/>
  <c r="EG140" i="61"/>
  <c r="FS140" i="61"/>
  <c r="DR139" i="61"/>
  <c r="EZ139" i="61" s="1"/>
  <c r="FD139" i="61"/>
  <c r="GE139" i="61" s="1"/>
  <c r="L18" i="64" s="1"/>
  <c r="DV140" i="61"/>
  <c r="FH140" i="61"/>
  <c r="GB140" i="61"/>
  <c r="EN140" i="61"/>
  <c r="FZ140" i="61"/>
  <c r="EI140" i="61"/>
  <c r="FU140" i="61"/>
  <c r="DS140" i="61"/>
  <c r="FE140" i="61"/>
  <c r="EC140" i="61"/>
  <c r="FO140" i="61"/>
  <c r="EU140" i="61"/>
  <c r="EV140" i="61" s="1"/>
  <c r="EP141" i="61"/>
  <c r="AI130" i="32"/>
  <c r="AI115" i="29"/>
  <c r="AI140" i="32"/>
  <c r="X110" i="29"/>
  <c r="AI135" i="32"/>
  <c r="X90" i="26"/>
  <c r="X100" i="27"/>
  <c r="AK89" i="32"/>
  <c r="AM89" i="32" s="1"/>
  <c r="AS89" i="32" s="1"/>
  <c r="Z89" i="32"/>
  <c r="AB89" i="32" s="1"/>
  <c r="L99" i="32"/>
  <c r="N99" i="32" s="1"/>
  <c r="AQ99" i="32" s="1"/>
  <c r="X115" i="30"/>
  <c r="V138" i="31"/>
  <c r="T138" i="31"/>
  <c r="F134" i="31"/>
  <c r="H134" i="31" s="1"/>
  <c r="J132" i="31"/>
  <c r="J137" i="31"/>
  <c r="F139" i="31"/>
  <c r="H139" i="31" s="1"/>
  <c r="AG148" i="31"/>
  <c r="AG150" i="31" s="1"/>
  <c r="AE150" i="31"/>
  <c r="AI149" i="31" s="1"/>
  <c r="H109" i="28"/>
  <c r="H110" i="28" s="1"/>
  <c r="J110" i="28" s="1"/>
  <c r="F110" i="28"/>
  <c r="F124" i="30"/>
  <c r="H124" i="30" s="1"/>
  <c r="J122" i="30"/>
  <c r="AG113" i="27"/>
  <c r="V104" i="27"/>
  <c r="V105" i="27" s="1"/>
  <c r="T104" i="27"/>
  <c r="T105" i="27" s="1"/>
  <c r="X104" i="27" s="1"/>
  <c r="AG118" i="28"/>
  <c r="AI145" i="32"/>
  <c r="AG125" i="30"/>
  <c r="AI110" i="28"/>
  <c r="B498" i="66"/>
  <c r="A498" i="66"/>
  <c r="AI172" i="59"/>
  <c r="AI174" i="59" s="1"/>
  <c r="AE172" i="59"/>
  <c r="AG174" i="59"/>
  <c r="AK173" i="59" s="1"/>
  <c r="T160" i="59"/>
  <c r="V160" i="59"/>
  <c r="AE155" i="59"/>
  <c r="AI155" i="59"/>
  <c r="T166" i="59"/>
  <c r="V166" i="59"/>
  <c r="F149" i="59"/>
  <c r="H149" i="59" s="1"/>
  <c r="J147" i="59"/>
  <c r="AI150" i="32"/>
  <c r="J145" i="32"/>
  <c r="N145" i="32" s="1"/>
  <c r="AQ145" i="32" s="1"/>
  <c r="J144" i="32"/>
  <c r="N144" i="32" s="1"/>
  <c r="AQ144" i="32" s="1"/>
  <c r="AE115" i="28"/>
  <c r="AI114" i="28" s="1"/>
  <c r="AG123" i="29"/>
  <c r="T114" i="29"/>
  <c r="T115" i="29" s="1"/>
  <c r="X114" i="29" s="1"/>
  <c r="V114" i="29"/>
  <c r="V115" i="29" s="1"/>
  <c r="T99" i="26"/>
  <c r="T100" i="26" s="1"/>
  <c r="X99" i="26" s="1"/>
  <c r="V99" i="26"/>
  <c r="V100" i="26" s="1"/>
  <c r="D499" i="66"/>
  <c r="L524" i="66"/>
  <c r="D461" i="66"/>
  <c r="L484" i="66"/>
  <c r="D480" i="66"/>
  <c r="L504" i="66"/>
  <c r="AK90" i="32"/>
  <c r="AM90" i="32" s="1"/>
  <c r="AS90" i="32" s="1"/>
  <c r="Z90" i="32"/>
  <c r="AB90" i="32" s="1"/>
  <c r="AR90" i="32" s="1"/>
  <c r="L100" i="32"/>
  <c r="N100" i="32" s="1"/>
  <c r="AQ100" i="32" s="1"/>
  <c r="J125" i="31"/>
  <c r="N125" i="31" s="1"/>
  <c r="AQ125" i="31" s="1"/>
  <c r="J124" i="31"/>
  <c r="N124" i="31" s="1"/>
  <c r="AQ124" i="31" s="1"/>
  <c r="T133" i="31"/>
  <c r="V133" i="31"/>
  <c r="AG138" i="31"/>
  <c r="AG140" i="31" s="1"/>
  <c r="AE140" i="31"/>
  <c r="AI139" i="31" s="1"/>
  <c r="T128" i="31"/>
  <c r="V128" i="31"/>
  <c r="AG143" i="31"/>
  <c r="AG145" i="31" s="1"/>
  <c r="AE145" i="31"/>
  <c r="AI144" i="31" s="1"/>
  <c r="V108" i="27"/>
  <c r="T108" i="27"/>
  <c r="F117" i="27"/>
  <c r="T109" i="28"/>
  <c r="T110" i="28" s="1"/>
  <c r="X109" i="28" s="1"/>
  <c r="V109" i="28"/>
  <c r="V110" i="28" s="1"/>
  <c r="J134" i="32"/>
  <c r="N134" i="32" s="1"/>
  <c r="AQ134" i="32" s="1"/>
  <c r="J135" i="32"/>
  <c r="N135" i="32" s="1"/>
  <c r="AQ135" i="32" s="1"/>
  <c r="J112" i="28"/>
  <c r="J143" i="59"/>
  <c r="N143" i="59" s="1"/>
  <c r="AS143" i="59" s="1"/>
  <c r="J144" i="59"/>
  <c r="N144" i="59" s="1"/>
  <c r="AS144" i="59" s="1"/>
  <c r="T154" i="59"/>
  <c r="V154" i="59"/>
  <c r="F167" i="59"/>
  <c r="H167" i="59" s="1"/>
  <c r="J165" i="59"/>
  <c r="AI167" i="59"/>
  <c r="AE167" i="59"/>
  <c r="AE161" i="59"/>
  <c r="AI161" i="59"/>
  <c r="F105" i="26"/>
  <c r="D463" i="65"/>
  <c r="A463" i="65" s="1"/>
  <c r="J463" i="66"/>
  <c r="B463" i="65" s="1"/>
  <c r="I463" i="66"/>
  <c r="H112" i="26"/>
  <c r="D503" i="65"/>
  <c r="A503" i="65" s="1"/>
  <c r="J503" i="66"/>
  <c r="B503" i="65" s="1"/>
  <c r="I503" i="66"/>
  <c r="R114" i="28"/>
  <c r="R118" i="28"/>
  <c r="AE119" i="28"/>
  <c r="AG119" i="28" s="1"/>
  <c r="D119" i="28"/>
  <c r="F119" i="28" s="1"/>
  <c r="H119" i="28" s="1"/>
  <c r="AE123" i="28"/>
  <c r="J139" i="32"/>
  <c r="N139" i="32" s="1"/>
  <c r="AQ139" i="32" s="1"/>
  <c r="J140" i="32"/>
  <c r="N140" i="32" s="1"/>
  <c r="AQ140" i="32" s="1"/>
  <c r="F129" i="31"/>
  <c r="H129" i="31" s="1"/>
  <c r="J127" i="31"/>
  <c r="V143" i="31"/>
  <c r="T143" i="31"/>
  <c r="J147" i="31"/>
  <c r="F149" i="31"/>
  <c r="H149" i="31" s="1"/>
  <c r="V148" i="31"/>
  <c r="T148" i="31"/>
  <c r="X105" i="28"/>
  <c r="AE130" i="31"/>
  <c r="AI129" i="31" s="1"/>
  <c r="V123" i="30"/>
  <c r="T123" i="30"/>
  <c r="AG109" i="27"/>
  <c r="AG110" i="27" s="1"/>
  <c r="AE110" i="27"/>
  <c r="AI109" i="27" s="1"/>
  <c r="T112" i="27"/>
  <c r="V112" i="27"/>
  <c r="T113" i="28"/>
  <c r="V113" i="28"/>
  <c r="J119" i="29"/>
  <c r="J120" i="29"/>
  <c r="H113" i="28"/>
  <c r="H115" i="28" s="1"/>
  <c r="F115" i="28"/>
  <c r="AI120" i="29"/>
  <c r="AE166" i="59"/>
  <c r="AG168" i="59"/>
  <c r="AK167" i="59" s="1"/>
  <c r="AI166" i="59"/>
  <c r="AI168" i="59" s="1"/>
  <c r="AG162" i="59"/>
  <c r="AK161" i="59" s="1"/>
  <c r="AI160" i="59"/>
  <c r="AI162" i="59" s="1"/>
  <c r="AE160" i="59"/>
  <c r="AG156" i="59"/>
  <c r="AK155" i="59" s="1"/>
  <c r="AI154" i="59"/>
  <c r="AI156" i="59" s="1"/>
  <c r="AE154" i="59"/>
  <c r="F155" i="59"/>
  <c r="H155" i="59" s="1"/>
  <c r="J153" i="59"/>
  <c r="F173" i="59"/>
  <c r="H173" i="59" s="1"/>
  <c r="J171" i="59"/>
  <c r="J150" i="32"/>
  <c r="N150" i="32" s="1"/>
  <c r="AQ150" i="32" s="1"/>
  <c r="J149" i="32"/>
  <c r="N149" i="32" s="1"/>
  <c r="AQ149" i="32" s="1"/>
  <c r="H105" i="26"/>
  <c r="J105" i="26" s="1"/>
  <c r="H117" i="28"/>
  <c r="B441" i="66"/>
  <c r="A441" i="66"/>
  <c r="B479" i="66"/>
  <c r="A479" i="66"/>
  <c r="D144" i="30"/>
  <c r="D149" i="30"/>
  <c r="AE143" i="30"/>
  <c r="D139" i="30"/>
  <c r="AE138" i="30"/>
  <c r="AE129" i="30"/>
  <c r="AG129" i="30" s="1"/>
  <c r="AE149" i="30"/>
  <c r="AG149" i="30" s="1"/>
  <c r="AE134" i="30"/>
  <c r="AG134" i="30" s="1"/>
  <c r="D129" i="30"/>
  <c r="R128" i="30"/>
  <c r="AE144" i="30"/>
  <c r="AG144" i="30" s="1"/>
  <c r="AE133" i="30"/>
  <c r="R148" i="30"/>
  <c r="R138" i="30"/>
  <c r="D134" i="30"/>
  <c r="R133" i="30"/>
  <c r="AE148" i="30"/>
  <c r="R143" i="30"/>
  <c r="AE139" i="30"/>
  <c r="AG139" i="30" s="1"/>
  <c r="D118" i="27"/>
  <c r="F118" i="27" s="1"/>
  <c r="H118" i="27" s="1"/>
  <c r="R109" i="27"/>
  <c r="AE114" i="27"/>
  <c r="AG114" i="27" s="1"/>
  <c r="D114" i="27"/>
  <c r="F114" i="27" s="1"/>
  <c r="H114" i="27" s="1"/>
  <c r="AE118" i="27"/>
  <c r="R113" i="27"/>
  <c r="R123" i="29"/>
  <c r="AE128" i="29"/>
  <c r="D124" i="29"/>
  <c r="AE124" i="29"/>
  <c r="AG124" i="29" s="1"/>
  <c r="R104" i="26"/>
  <c r="D113" i="26"/>
  <c r="R112" i="26"/>
  <c r="D117" i="26"/>
  <c r="R108" i="26"/>
  <c r="AE113" i="26"/>
  <c r="AE109" i="26"/>
  <c r="D109" i="26"/>
  <c r="H99" i="26"/>
  <c r="H100" i="26" s="1"/>
  <c r="J100" i="26" s="1"/>
  <c r="F100" i="26"/>
  <c r="J99" i="26" s="1"/>
  <c r="J142" i="31"/>
  <c r="F144" i="31"/>
  <c r="H144" i="31" s="1"/>
  <c r="AG133" i="31"/>
  <c r="AG135" i="31" s="1"/>
  <c r="AE135" i="31"/>
  <c r="AI134" i="31" s="1"/>
  <c r="J109" i="28"/>
  <c r="AG130" i="31"/>
  <c r="AI130" i="31" s="1"/>
  <c r="AG128" i="30"/>
  <c r="D483" i="65"/>
  <c r="A483" i="65" s="1"/>
  <c r="J483" i="66"/>
  <c r="B483" i="65" s="1"/>
  <c r="I483" i="66"/>
  <c r="J107" i="27"/>
  <c r="F109" i="27"/>
  <c r="F113" i="27"/>
  <c r="J129" i="32"/>
  <c r="N129" i="32" s="1"/>
  <c r="AQ129" i="32" s="1"/>
  <c r="J130" i="32"/>
  <c r="N130" i="32" s="1"/>
  <c r="AQ130" i="32" s="1"/>
  <c r="AE125" i="30"/>
  <c r="AI124" i="30" s="1"/>
  <c r="D523" i="65"/>
  <c r="A523" i="65" s="1"/>
  <c r="J523" i="66"/>
  <c r="B523" i="65" s="1"/>
  <c r="I523" i="66"/>
  <c r="V172" i="59"/>
  <c r="T172" i="59"/>
  <c r="AI173" i="59"/>
  <c r="AE173" i="59"/>
  <c r="F161" i="59"/>
  <c r="H161" i="59" s="1"/>
  <c r="J159" i="59"/>
  <c r="AI149" i="59"/>
  <c r="AI150" i="59" s="1"/>
  <c r="AK150" i="59" s="1"/>
  <c r="AE149" i="59"/>
  <c r="V148" i="59"/>
  <c r="T148" i="59"/>
  <c r="J120" i="30"/>
  <c r="J119" i="30"/>
  <c r="AG115" i="28"/>
  <c r="T118" i="29"/>
  <c r="V118" i="29"/>
  <c r="V107" i="26"/>
  <c r="T107" i="26"/>
  <c r="AR48" i="59"/>
  <c r="AV48" i="59" s="1"/>
  <c r="E7" i="59" s="1"/>
  <c r="AM54" i="59" s="1"/>
  <c r="AO54" i="59" s="1"/>
  <c r="AU54" i="59" s="1"/>
  <c r="AR47" i="59"/>
  <c r="AV47" i="59" s="1"/>
  <c r="AL24" i="25"/>
  <c r="AK24" i="25"/>
  <c r="AQ24" i="25" s="1"/>
  <c r="AK16" i="25"/>
  <c r="AQ16" i="25" s="1"/>
  <c r="AL16" i="25"/>
  <c r="AK12" i="25"/>
  <c r="AQ12" i="25" s="1"/>
  <c r="AL12" i="25"/>
  <c r="AL5" i="25"/>
  <c r="AK5" i="25"/>
  <c r="AQ5" i="25" s="1"/>
  <c r="AL6" i="25"/>
  <c r="AK6" i="25"/>
  <c r="AQ6" i="25" s="1"/>
  <c r="AL28" i="25"/>
  <c r="AK28" i="25"/>
  <c r="AQ28" i="25" s="1"/>
  <c r="AK25" i="25"/>
  <c r="AQ25" i="25" s="1"/>
  <c r="AL25" i="25"/>
  <c r="AL15" i="25"/>
  <c r="AK15" i="25"/>
  <c r="AQ15" i="25" s="1"/>
  <c r="AK11" i="25"/>
  <c r="AQ11" i="25" s="1"/>
  <c r="AL11" i="25"/>
  <c r="AL8" i="25"/>
  <c r="AK8" i="25"/>
  <c r="AQ8" i="25" s="1"/>
  <c r="AK26" i="25"/>
  <c r="AQ26" i="25" s="1"/>
  <c r="AL26" i="25"/>
  <c r="AK13" i="25"/>
  <c r="AQ13" i="25" s="1"/>
  <c r="AL13" i="25"/>
  <c r="AK10" i="25"/>
  <c r="AQ10" i="25" s="1"/>
  <c r="AL10" i="25"/>
  <c r="AL4" i="25"/>
  <c r="AK4" i="25"/>
  <c r="AQ4" i="25" s="1"/>
  <c r="AK27" i="25"/>
  <c r="AQ27" i="25" s="1"/>
  <c r="AL27" i="25"/>
  <c r="AL14" i="25"/>
  <c r="AK14" i="25"/>
  <c r="AQ14" i="25" s="1"/>
  <c r="AK9" i="25"/>
  <c r="AQ9" i="25" s="1"/>
  <c r="AL9" i="25"/>
  <c r="AL7" i="25"/>
  <c r="AK7" i="25"/>
  <c r="AQ7" i="25" s="1"/>
  <c r="AH17" i="25"/>
  <c r="AJ12" i="1"/>
  <c r="AI105" i="26"/>
  <c r="J104" i="26"/>
  <c r="AI100" i="26"/>
  <c r="AR70" i="26"/>
  <c r="AT70" i="26" s="1"/>
  <c r="E12" i="26" s="1"/>
  <c r="AK75" i="26" s="1"/>
  <c r="AM75" i="26" s="1"/>
  <c r="AS75" i="26" s="1"/>
  <c r="AR69" i="26"/>
  <c r="AT69" i="26" s="1"/>
  <c r="D12" i="26" s="1"/>
  <c r="AK74" i="26" s="1"/>
  <c r="AM74" i="26" s="1"/>
  <c r="AS74" i="26" s="1"/>
  <c r="AJ9" i="1"/>
  <c r="AI11" i="1"/>
  <c r="AB22" i="24"/>
  <c r="AJ22" i="24" s="1"/>
  <c r="AB18" i="24"/>
  <c r="AJ18" i="24" s="1"/>
  <c r="AB20" i="24"/>
  <c r="AJ20" i="24" s="1"/>
  <c r="AB23" i="24"/>
  <c r="AI23" i="24" s="1"/>
  <c r="AB19" i="24"/>
  <c r="AI19" i="24" s="1"/>
  <c r="AI4" i="1"/>
  <c r="AJ4" i="1"/>
  <c r="AI7" i="2"/>
  <c r="AJ7" i="2"/>
  <c r="AJ4" i="2"/>
  <c r="AI4" i="2"/>
  <c r="AJ8" i="1"/>
  <c r="AI8" i="1"/>
  <c r="AJ6" i="1"/>
  <c r="AI6" i="1"/>
  <c r="AV24" i="5"/>
  <c r="H21" i="2"/>
  <c r="I21" i="2" s="1"/>
  <c r="D21" i="2"/>
  <c r="F21" i="2" s="1"/>
  <c r="G21" i="2" s="1"/>
  <c r="AA18" i="53"/>
  <c r="AG18" i="53" s="1"/>
  <c r="Y17" i="53"/>
  <c r="X18" i="53" s="1"/>
  <c r="AI14" i="1"/>
  <c r="AJ14" i="1"/>
  <c r="AD21" i="24"/>
  <c r="AD28" i="24"/>
  <c r="AB28" i="24" s="1"/>
  <c r="AD20" i="24"/>
  <c r="AD22" i="24"/>
  <c r="AD26" i="24"/>
  <c r="AB26" i="24" s="1"/>
  <c r="AD17" i="24"/>
  <c r="AD25" i="24"/>
  <c r="AB25" i="24" s="1"/>
  <c r="AD24" i="24"/>
  <c r="AB24" i="24" s="1"/>
  <c r="AH24" i="24" s="1"/>
  <c r="AD23" i="24"/>
  <c r="AD19" i="24"/>
  <c r="AD27" i="24"/>
  <c r="AB27" i="24" s="1"/>
  <c r="AD18" i="24"/>
  <c r="AB21" i="24"/>
  <c r="AA28" i="10"/>
  <c r="AG28" i="10" s="1"/>
  <c r="Y27" i="10"/>
  <c r="X28" i="10" s="1"/>
  <c r="H27" i="8"/>
  <c r="I27" i="8" s="1"/>
  <c r="D27" i="8"/>
  <c r="F27" i="8" s="1"/>
  <c r="G27" i="8" s="1"/>
  <c r="H23" i="4"/>
  <c r="I23" i="4" s="1"/>
  <c r="D23" i="4"/>
  <c r="F23" i="4" s="1"/>
  <c r="G23" i="4" s="1"/>
  <c r="AV22" i="3"/>
  <c r="AJ13" i="2"/>
  <c r="AI13" i="2"/>
  <c r="AW27" i="61"/>
  <c r="B27" i="7"/>
  <c r="C22" i="27"/>
  <c r="AP27" i="7"/>
  <c r="AV28" i="9"/>
  <c r="Y28" i="9"/>
  <c r="BG7" i="9"/>
  <c r="AA20" i="18"/>
  <c r="AG20" i="18" s="1"/>
  <c r="Y19" i="18"/>
  <c r="AY25" i="61"/>
  <c r="B25" i="5"/>
  <c r="AP25" i="5"/>
  <c r="C24" i="29"/>
  <c r="AI5" i="1"/>
  <c r="AJ5" i="1"/>
  <c r="AJ12" i="2"/>
  <c r="AI12" i="2"/>
  <c r="AA24" i="14"/>
  <c r="AG24" i="14" s="1"/>
  <c r="Y23" i="14"/>
  <c r="AI17" i="24"/>
  <c r="AJ17" i="24"/>
  <c r="AV20" i="1"/>
  <c r="AZ24" i="61"/>
  <c r="B24" i="4"/>
  <c r="C25" i="30"/>
  <c r="AP24" i="4"/>
  <c r="AJ7" i="1"/>
  <c r="AI7" i="1"/>
  <c r="AA25" i="13"/>
  <c r="AG25" i="13" s="1"/>
  <c r="Y24" i="13"/>
  <c r="X25" i="13" s="1"/>
  <c r="AV25" i="6"/>
  <c r="AJ9" i="2"/>
  <c r="AI9" i="2"/>
  <c r="AD1" i="22"/>
  <c r="AG17" i="22"/>
  <c r="AA18" i="19"/>
  <c r="AG18" i="19" s="1"/>
  <c r="Y17" i="19"/>
  <c r="X18" i="19" s="1"/>
  <c r="BB22" i="61"/>
  <c r="AP22" i="2"/>
  <c r="C27" i="32"/>
  <c r="B22" i="2"/>
  <c r="AJ16" i="2"/>
  <c r="AI16" i="2"/>
  <c r="H24" i="5"/>
  <c r="I24" i="5" s="1"/>
  <c r="D24" i="5"/>
  <c r="F24" i="5" s="1"/>
  <c r="G24" i="5" s="1"/>
  <c r="X19" i="19"/>
  <c r="G28" i="11"/>
  <c r="G29" i="11" s="1"/>
  <c r="I38" i="11" s="1"/>
  <c r="F29" i="11"/>
  <c r="I36" i="11" s="1"/>
  <c r="AJ13" i="1"/>
  <c r="AI13" i="1"/>
  <c r="AJ8" i="2"/>
  <c r="AI8" i="2"/>
  <c r="AV21" i="2"/>
  <c r="AA21" i="16"/>
  <c r="AG21" i="16" s="1"/>
  <c r="Y20" i="16"/>
  <c r="X21" i="16" s="1"/>
  <c r="AV27" i="8"/>
  <c r="BC21" i="61"/>
  <c r="B21" i="1"/>
  <c r="AP21" i="1"/>
  <c r="C28" i="33"/>
  <c r="AJ10" i="1"/>
  <c r="AI10" i="1"/>
  <c r="AX26" i="61"/>
  <c r="EX149" i="61" s="1"/>
  <c r="GI149" i="61" s="1"/>
  <c r="C23" i="28"/>
  <c r="AP26" i="6"/>
  <c r="B26" i="6"/>
  <c r="H22" i="3"/>
  <c r="I22" i="3" s="1"/>
  <c r="D22" i="3"/>
  <c r="F22" i="3" s="1"/>
  <c r="G22" i="3" s="1"/>
  <c r="AJ10" i="2"/>
  <c r="AI10" i="2"/>
  <c r="AV26" i="7"/>
  <c r="H28" i="9"/>
  <c r="I28" i="9" s="1"/>
  <c r="I29" i="9" s="1"/>
  <c r="I39" i="9" s="1"/>
  <c r="D28" i="9"/>
  <c r="S7" i="9"/>
  <c r="AH5" i="24"/>
  <c r="AH4" i="24"/>
  <c r="AH7" i="24"/>
  <c r="AH6" i="24"/>
  <c r="AH8" i="24"/>
  <c r="AH28" i="24"/>
  <c r="AH27" i="24"/>
  <c r="AH26" i="24"/>
  <c r="AH25" i="24"/>
  <c r="X17" i="21"/>
  <c r="AA17" i="21"/>
  <c r="X16" i="21"/>
  <c r="AA26" i="12"/>
  <c r="AG26" i="12" s="1"/>
  <c r="Y25" i="12"/>
  <c r="X26" i="12" s="1"/>
  <c r="AJ14" i="2"/>
  <c r="AI14" i="2"/>
  <c r="AF17" i="23"/>
  <c r="AF18" i="23" s="1"/>
  <c r="AF19" i="23" s="1"/>
  <c r="AF20" i="23" s="1"/>
  <c r="AF21" i="23" s="1"/>
  <c r="AF22" i="23" s="1"/>
  <c r="AF23" i="23" s="1"/>
  <c r="AF24" i="23" s="1"/>
  <c r="AF25" i="23" s="1"/>
  <c r="AF26" i="23" s="1"/>
  <c r="AF27" i="23" s="1"/>
  <c r="AF28" i="23" s="1"/>
  <c r="AH1" i="23"/>
  <c r="AW1" i="23"/>
  <c r="X21" i="18"/>
  <c r="AI5" i="2"/>
  <c r="AJ5" i="2"/>
  <c r="X17" i="20"/>
  <c r="AA17" i="20"/>
  <c r="X16" i="20"/>
  <c r="AJ6" i="2"/>
  <c r="AI6" i="2"/>
  <c r="AA20" i="17"/>
  <c r="AG20" i="17" s="1"/>
  <c r="Y19" i="17"/>
  <c r="X25" i="14"/>
  <c r="C21" i="26"/>
  <c r="AP28" i="8"/>
  <c r="X33" i="61"/>
  <c r="B28" i="8"/>
  <c r="H20" i="1"/>
  <c r="I20" i="1" s="1"/>
  <c r="D20" i="1"/>
  <c r="F20" i="1" s="1"/>
  <c r="G20" i="1" s="1"/>
  <c r="AV23" i="4"/>
  <c r="H25" i="6"/>
  <c r="I25" i="6" s="1"/>
  <c r="D25" i="6"/>
  <c r="F25" i="6" s="1"/>
  <c r="G25" i="6" s="1"/>
  <c r="BA23" i="61"/>
  <c r="AP23" i="3"/>
  <c r="B23" i="3"/>
  <c r="C26" i="31"/>
  <c r="C26" i="59"/>
  <c r="H26" i="7"/>
  <c r="I26" i="7" s="1"/>
  <c r="D26" i="7"/>
  <c r="F26" i="7" s="1"/>
  <c r="G26" i="7" s="1"/>
  <c r="AI11" i="2"/>
  <c r="AJ11" i="2"/>
  <c r="AE1" i="23"/>
  <c r="AB17" i="23" s="1"/>
  <c r="AA22" i="15"/>
  <c r="AG22" i="15" s="1"/>
  <c r="Y21" i="15"/>
  <c r="F28" i="10"/>
  <c r="D29" i="10"/>
  <c r="I35" i="10" s="1"/>
  <c r="AJ16" i="1"/>
  <c r="AI16" i="1"/>
  <c r="AA26" i="11"/>
  <c r="AG26" i="11" s="1"/>
  <c r="Y25" i="11"/>
  <c r="X26" i="11" s="1"/>
  <c r="GH139" i="61" l="1"/>
  <c r="N18" i="64" s="1"/>
  <c r="ES138" i="61"/>
  <c r="H17" i="64" s="1"/>
  <c r="AI115" i="28"/>
  <c r="K17" i="64"/>
  <c r="GC139" i="61"/>
  <c r="GD139" i="61" s="1"/>
  <c r="ET138" i="61"/>
  <c r="EY138" i="61"/>
  <c r="ER139" i="61"/>
  <c r="EC141" i="61"/>
  <c r="FO141" i="61"/>
  <c r="EA141" i="61"/>
  <c r="FM141" i="61"/>
  <c r="EM141" i="61"/>
  <c r="FY141" i="61"/>
  <c r="EH141" i="61"/>
  <c r="FT141" i="61"/>
  <c r="EB141" i="61"/>
  <c r="FN141" i="61"/>
  <c r="DU141" i="61"/>
  <c r="FG141" i="61"/>
  <c r="EO141" i="61"/>
  <c r="GA141" i="61"/>
  <c r="DW141" i="61"/>
  <c r="FI141" i="61"/>
  <c r="ED141" i="61"/>
  <c r="FP141" i="61"/>
  <c r="EN141" i="61"/>
  <c r="FZ141" i="61"/>
  <c r="DX141" i="61"/>
  <c r="FJ141" i="61"/>
  <c r="EE141" i="61"/>
  <c r="FQ141" i="61"/>
  <c r="EI141" i="61"/>
  <c r="FU141" i="61"/>
  <c r="EG141" i="61"/>
  <c r="FS141" i="61"/>
  <c r="GB141" i="61"/>
  <c r="DZ141" i="61"/>
  <c r="FL141" i="61"/>
  <c r="EJ141" i="61"/>
  <c r="FV141" i="61"/>
  <c r="DT141" i="61"/>
  <c r="FF141" i="61"/>
  <c r="EK141" i="61"/>
  <c r="FW141" i="61"/>
  <c r="DS141" i="61"/>
  <c r="FE141" i="61"/>
  <c r="DY141" i="61"/>
  <c r="FK141" i="61"/>
  <c r="EL141" i="61"/>
  <c r="FX141" i="61"/>
  <c r="DV141" i="61"/>
  <c r="FH141" i="61"/>
  <c r="EF141" i="61"/>
  <c r="FR141" i="61"/>
  <c r="DR140" i="61"/>
  <c r="EZ140" i="61" s="1"/>
  <c r="FD140" i="61"/>
  <c r="GE140" i="61" s="1"/>
  <c r="L19" i="64" s="1"/>
  <c r="EP142" i="61"/>
  <c r="EU141" i="61"/>
  <c r="EV141" i="61" s="1"/>
  <c r="AT90" i="32"/>
  <c r="E16" i="32" s="1"/>
  <c r="Z100" i="32" s="1"/>
  <c r="AB100" i="32" s="1"/>
  <c r="H120" i="28"/>
  <c r="F120" i="28"/>
  <c r="AM27" i="25"/>
  <c r="AW27" i="25" s="1"/>
  <c r="J112" i="27"/>
  <c r="AM13" i="25"/>
  <c r="AR13" i="25" s="1"/>
  <c r="AT13" i="25" s="1"/>
  <c r="AU13" i="25" s="1"/>
  <c r="AK156" i="59"/>
  <c r="X110" i="28"/>
  <c r="AI150" i="31"/>
  <c r="AE130" i="30"/>
  <c r="AI129" i="30" s="1"/>
  <c r="AK174" i="59"/>
  <c r="X105" i="27"/>
  <c r="R109" i="26"/>
  <c r="D118" i="26"/>
  <c r="F118" i="26" s="1"/>
  <c r="H118" i="26" s="1"/>
  <c r="AE118" i="26"/>
  <c r="R113" i="26"/>
  <c r="AE114" i="26"/>
  <c r="AG114" i="26" s="1"/>
  <c r="D114" i="26"/>
  <c r="F114" i="26" s="1"/>
  <c r="H114" i="26" s="1"/>
  <c r="R138" i="29"/>
  <c r="D139" i="29"/>
  <c r="AE129" i="29"/>
  <c r="AG129" i="29" s="1"/>
  <c r="D144" i="29"/>
  <c r="D129" i="29"/>
  <c r="R143" i="29"/>
  <c r="AE149" i="29"/>
  <c r="AG149" i="29" s="1"/>
  <c r="AE134" i="29"/>
  <c r="AG134" i="29" s="1"/>
  <c r="AE138" i="29"/>
  <c r="R148" i="29"/>
  <c r="AE133" i="29"/>
  <c r="AE139" i="29"/>
  <c r="AG139" i="29" s="1"/>
  <c r="AE144" i="29"/>
  <c r="AG144" i="29" s="1"/>
  <c r="R133" i="29"/>
  <c r="D149" i="29"/>
  <c r="D134" i="29"/>
  <c r="AE143" i="29"/>
  <c r="R128" i="29"/>
  <c r="AE148" i="29"/>
  <c r="D500" i="66"/>
  <c r="L525" i="66"/>
  <c r="AM7" i="25"/>
  <c r="AW7" i="25" s="1"/>
  <c r="AM14" i="25"/>
  <c r="AR14" i="25" s="1"/>
  <c r="AT14" i="25" s="1"/>
  <c r="AU14" i="25" s="1"/>
  <c r="AM8" i="25"/>
  <c r="AR8" i="25" s="1"/>
  <c r="AT8" i="25" s="1"/>
  <c r="AU8" i="25" s="1"/>
  <c r="AM15" i="25"/>
  <c r="AW15" i="25" s="1"/>
  <c r="AM28" i="25"/>
  <c r="AW28" i="25" s="1"/>
  <c r="AM5" i="25"/>
  <c r="AW5" i="25" s="1"/>
  <c r="J162" i="59"/>
  <c r="N162" i="59" s="1"/>
  <c r="AS162" i="59" s="1"/>
  <c r="J161" i="59"/>
  <c r="N161" i="59" s="1"/>
  <c r="AS161" i="59" s="1"/>
  <c r="H113" i="27"/>
  <c r="H115" i="27" s="1"/>
  <c r="F115" i="27"/>
  <c r="AG130" i="30"/>
  <c r="J144" i="31"/>
  <c r="N144" i="31" s="1"/>
  <c r="AQ144" i="31" s="1"/>
  <c r="J145" i="31"/>
  <c r="N145" i="31" s="1"/>
  <c r="AQ145" i="31" s="1"/>
  <c r="AG113" i="26"/>
  <c r="F113" i="26"/>
  <c r="AG128" i="29"/>
  <c r="J132" i="30"/>
  <c r="F134" i="30"/>
  <c r="H134" i="30" s="1"/>
  <c r="AE145" i="30"/>
  <c r="AI144" i="30" s="1"/>
  <c r="AG143" i="30"/>
  <c r="AG145" i="30" s="1"/>
  <c r="J156" i="59"/>
  <c r="N156" i="59" s="1"/>
  <c r="AS156" i="59" s="1"/>
  <c r="J155" i="59"/>
  <c r="N155" i="59" s="1"/>
  <c r="AS155" i="59" s="1"/>
  <c r="AK168" i="59"/>
  <c r="J130" i="31"/>
  <c r="N130" i="31" s="1"/>
  <c r="AQ130" i="31" s="1"/>
  <c r="J129" i="31"/>
  <c r="N129" i="31" s="1"/>
  <c r="AQ129" i="31" s="1"/>
  <c r="X100" i="26"/>
  <c r="J117" i="28"/>
  <c r="J114" i="28"/>
  <c r="J115" i="28"/>
  <c r="B480" i="66"/>
  <c r="A480" i="66"/>
  <c r="AE125" i="29"/>
  <c r="AI124" i="29" s="1"/>
  <c r="AG120" i="28"/>
  <c r="AG115" i="27"/>
  <c r="J135" i="31"/>
  <c r="N135" i="31" s="1"/>
  <c r="AQ135" i="31" s="1"/>
  <c r="J134" i="31"/>
  <c r="N134" i="31" s="1"/>
  <c r="AQ134" i="31" s="1"/>
  <c r="AR89" i="32"/>
  <c r="AT89" i="32" s="1"/>
  <c r="D16" i="32" s="1"/>
  <c r="D124" i="28"/>
  <c r="AE128" i="28"/>
  <c r="R123" i="28"/>
  <c r="AE124" i="28"/>
  <c r="AG124" i="28" s="1"/>
  <c r="L80" i="26"/>
  <c r="N80" i="26" s="1"/>
  <c r="AQ80" i="26" s="1"/>
  <c r="H109" i="27"/>
  <c r="H110" i="27" s="1"/>
  <c r="J110" i="27" s="1"/>
  <c r="F110" i="27"/>
  <c r="J109" i="27" s="1"/>
  <c r="V108" i="26"/>
  <c r="T108" i="26"/>
  <c r="V104" i="26"/>
  <c r="V105" i="26" s="1"/>
  <c r="T104" i="26"/>
  <c r="T105" i="26" s="1"/>
  <c r="X104" i="26" s="1"/>
  <c r="V123" i="29"/>
  <c r="T123" i="29"/>
  <c r="T143" i="30"/>
  <c r="V143" i="30"/>
  <c r="T138" i="30"/>
  <c r="V138" i="30"/>
  <c r="V128" i="30"/>
  <c r="T128" i="30"/>
  <c r="J147" i="30"/>
  <c r="F149" i="30"/>
  <c r="H149" i="30" s="1"/>
  <c r="J150" i="31"/>
  <c r="N150" i="31" s="1"/>
  <c r="AQ150" i="31" s="1"/>
  <c r="J149" i="31"/>
  <c r="N149" i="31" s="1"/>
  <c r="AQ149" i="31" s="1"/>
  <c r="D524" i="65"/>
  <c r="A524" i="65" s="1"/>
  <c r="I524" i="66"/>
  <c r="J524" i="66"/>
  <c r="B524" i="65" s="1"/>
  <c r="AG125" i="29"/>
  <c r="AI125" i="29" s="1"/>
  <c r="AI125" i="30"/>
  <c r="AE120" i="28"/>
  <c r="AI119" i="28" s="1"/>
  <c r="AE115" i="27"/>
  <c r="AI114" i="27" s="1"/>
  <c r="D481" i="66"/>
  <c r="L505" i="66"/>
  <c r="R114" i="27"/>
  <c r="AE123" i="27"/>
  <c r="D119" i="27"/>
  <c r="F119" i="27" s="1"/>
  <c r="H119" i="27" s="1"/>
  <c r="AE119" i="27"/>
  <c r="AG119" i="27" s="1"/>
  <c r="R118" i="27"/>
  <c r="AM6" i="25"/>
  <c r="AW6" i="25" s="1"/>
  <c r="AI135" i="31"/>
  <c r="J107" i="26"/>
  <c r="F109" i="26"/>
  <c r="F117" i="26"/>
  <c r="T113" i="27"/>
  <c r="V113" i="27"/>
  <c r="V109" i="27"/>
  <c r="V110" i="27" s="1"/>
  <c r="T109" i="27"/>
  <c r="T110" i="27" s="1"/>
  <c r="X109" i="27" s="1"/>
  <c r="AG148" i="30"/>
  <c r="AG150" i="30" s="1"/>
  <c r="AE150" i="30"/>
  <c r="AI149" i="30" s="1"/>
  <c r="V148" i="30"/>
  <c r="T148" i="30"/>
  <c r="F129" i="30"/>
  <c r="H129" i="30" s="1"/>
  <c r="J127" i="30"/>
  <c r="AE140" i="30"/>
  <c r="AI139" i="30" s="1"/>
  <c r="AG138" i="30"/>
  <c r="AG140" i="30" s="1"/>
  <c r="F144" i="30"/>
  <c r="H144" i="30" s="1"/>
  <c r="J142" i="30"/>
  <c r="J174" i="59"/>
  <c r="N174" i="59" s="1"/>
  <c r="AS174" i="59" s="1"/>
  <c r="J173" i="59"/>
  <c r="N173" i="59" s="1"/>
  <c r="AS173" i="59" s="1"/>
  <c r="AK162" i="59"/>
  <c r="AI110" i="27"/>
  <c r="T118" i="28"/>
  <c r="V118" i="28"/>
  <c r="J167" i="59"/>
  <c r="N167" i="59" s="1"/>
  <c r="AS167" i="59" s="1"/>
  <c r="J168" i="59"/>
  <c r="N168" i="59" s="1"/>
  <c r="AS168" i="59" s="1"/>
  <c r="H117" i="27"/>
  <c r="AI145" i="31"/>
  <c r="AI140" i="31"/>
  <c r="D484" i="65"/>
  <c r="A484" i="65" s="1"/>
  <c r="I484" i="66"/>
  <c r="J484" i="66"/>
  <c r="B484" i="65" s="1"/>
  <c r="B499" i="66"/>
  <c r="A499" i="66"/>
  <c r="X115" i="29"/>
  <c r="J150" i="59"/>
  <c r="N150" i="59" s="1"/>
  <c r="AS150" i="59" s="1"/>
  <c r="J149" i="59"/>
  <c r="N149" i="59" s="1"/>
  <c r="AS149" i="59" s="1"/>
  <c r="J124" i="30"/>
  <c r="N124" i="30" s="1"/>
  <c r="AQ124" i="30" s="1"/>
  <c r="J125" i="30"/>
  <c r="N125" i="30" s="1"/>
  <c r="AQ125" i="30" s="1"/>
  <c r="Z74" i="26"/>
  <c r="AB74" i="26" s="1"/>
  <c r="J115" i="27"/>
  <c r="J114" i="27"/>
  <c r="AG109" i="26"/>
  <c r="AG110" i="26" s="1"/>
  <c r="AE110" i="26"/>
  <c r="AI109" i="26" s="1"/>
  <c r="T112" i="26"/>
  <c r="V112" i="26"/>
  <c r="F124" i="29"/>
  <c r="H124" i="29" s="1"/>
  <c r="J122" i="29"/>
  <c r="AG118" i="27"/>
  <c r="V133" i="30"/>
  <c r="T133" i="30"/>
  <c r="AE135" i="30"/>
  <c r="AI134" i="30" s="1"/>
  <c r="AG133" i="30"/>
  <c r="AG135" i="30" s="1"/>
  <c r="F139" i="30"/>
  <c r="H139" i="30" s="1"/>
  <c r="J137" i="30"/>
  <c r="AG123" i="28"/>
  <c r="AE125" i="28"/>
  <c r="AI124" i="28" s="1"/>
  <c r="V114" i="28"/>
  <c r="V115" i="28" s="1"/>
  <c r="T114" i="28"/>
  <c r="T115" i="28" s="1"/>
  <c r="X114" i="28" s="1"/>
  <c r="AK95" i="32"/>
  <c r="AM95" i="32" s="1"/>
  <c r="AS95" i="32" s="1"/>
  <c r="AT95" i="32" s="1"/>
  <c r="E17" i="32" s="1"/>
  <c r="AK100" i="32" s="1"/>
  <c r="AM100" i="32" s="1"/>
  <c r="AS100" i="32" s="1"/>
  <c r="D504" i="65"/>
  <c r="A504" i="65" s="1"/>
  <c r="I504" i="66"/>
  <c r="J504" i="66"/>
  <c r="B504" i="65" s="1"/>
  <c r="B461" i="66"/>
  <c r="A461" i="66"/>
  <c r="J139" i="31"/>
  <c r="N139" i="31" s="1"/>
  <c r="AQ139" i="31" s="1"/>
  <c r="J140" i="31"/>
  <c r="N140" i="31" s="1"/>
  <c r="AQ140" i="31" s="1"/>
  <c r="AV46" i="59"/>
  <c r="B30" i="58" s="1" a="1"/>
  <c r="D7" i="59"/>
  <c r="AM53" i="59" s="1"/>
  <c r="AO53" i="59" s="1"/>
  <c r="AU53" i="59" s="1"/>
  <c r="AM26" i="25"/>
  <c r="AR26" i="25" s="1"/>
  <c r="AT26" i="25" s="1"/>
  <c r="AU26" i="25" s="1"/>
  <c r="AM25" i="25"/>
  <c r="AW25" i="25" s="1"/>
  <c r="AM12" i="25"/>
  <c r="AR12" i="25" s="1"/>
  <c r="AT12" i="25" s="1"/>
  <c r="AU12" i="25" s="1"/>
  <c r="AM24" i="25"/>
  <c r="AR24" i="25" s="1"/>
  <c r="AT24" i="25" s="1"/>
  <c r="AU24" i="25" s="1"/>
  <c r="AM4" i="25"/>
  <c r="AG31" i="25"/>
  <c r="AM9" i="25"/>
  <c r="AM10" i="25"/>
  <c r="AM11" i="25"/>
  <c r="AM16" i="25"/>
  <c r="AK17" i="25"/>
  <c r="AQ17" i="25" s="1"/>
  <c r="AL17" i="25"/>
  <c r="AH18" i="25"/>
  <c r="AI18" i="24"/>
  <c r="Z75" i="26"/>
  <c r="AB75" i="26" s="1"/>
  <c r="L79" i="26"/>
  <c r="N79" i="26" s="1"/>
  <c r="AQ79" i="26" s="1"/>
  <c r="AI20" i="24"/>
  <c r="AI22" i="24"/>
  <c r="AB19" i="23"/>
  <c r="AJ19" i="23" s="1"/>
  <c r="AJ23" i="24"/>
  <c r="AB22" i="23"/>
  <c r="AJ22" i="23" s="1"/>
  <c r="AB20" i="23"/>
  <c r="AJ20" i="23" s="1"/>
  <c r="AJ19" i="24"/>
  <c r="AI27" i="24"/>
  <c r="AJ27" i="24"/>
  <c r="G28" i="10"/>
  <c r="G29" i="10" s="1"/>
  <c r="I38" i="10" s="1"/>
  <c r="F29" i="10"/>
  <c r="I36" i="10" s="1"/>
  <c r="AD22" i="23"/>
  <c r="AD23" i="23"/>
  <c r="AD18" i="23"/>
  <c r="AD28" i="23"/>
  <c r="AB28" i="23" s="1"/>
  <c r="AD24" i="23"/>
  <c r="AB24" i="23" s="1"/>
  <c r="AH24" i="23" s="1"/>
  <c r="AD17" i="23"/>
  <c r="AD27" i="23"/>
  <c r="AB27" i="23" s="1"/>
  <c r="AD25" i="23"/>
  <c r="AB25" i="23" s="1"/>
  <c r="AD19" i="23"/>
  <c r="AD20" i="23"/>
  <c r="AD21" i="23"/>
  <c r="AD26" i="23"/>
  <c r="AB26" i="23" s="1"/>
  <c r="AB21" i="23"/>
  <c r="AB23" i="23"/>
  <c r="AB18" i="23"/>
  <c r="AV23" i="3"/>
  <c r="AV28" i="8"/>
  <c r="Y28" i="8"/>
  <c r="Y27" i="8" s="1"/>
  <c r="BG7" i="8"/>
  <c r="AK26" i="24"/>
  <c r="AL26" i="24"/>
  <c r="AL7" i="24"/>
  <c r="AK7" i="24"/>
  <c r="AQ7" i="24" s="1"/>
  <c r="AV26" i="6"/>
  <c r="AA20" i="16"/>
  <c r="AG20" i="16" s="1"/>
  <c r="Y19" i="16"/>
  <c r="X20" i="16" s="1"/>
  <c r="H22" i="2"/>
  <c r="I22" i="2" s="1"/>
  <c r="D22" i="2"/>
  <c r="F22" i="2" s="1"/>
  <c r="G22" i="2" s="1"/>
  <c r="AV24" i="4"/>
  <c r="AY26" i="61"/>
  <c r="AP26" i="5"/>
  <c r="B26" i="5"/>
  <c r="C24" i="28"/>
  <c r="AA28" i="9"/>
  <c r="AG28" i="9" s="1"/>
  <c r="Y27" i="9"/>
  <c r="AV27" i="7"/>
  <c r="AJ24" i="24"/>
  <c r="AI24" i="24"/>
  <c r="AJ17" i="23"/>
  <c r="AI17" i="23"/>
  <c r="BA24" i="61"/>
  <c r="AP24" i="3"/>
  <c r="B24" i="3"/>
  <c r="C26" i="30"/>
  <c r="AA19" i="17"/>
  <c r="AG19" i="17" s="1"/>
  <c r="Y18" i="17"/>
  <c r="AK27" i="24"/>
  <c r="AL27" i="24"/>
  <c r="AK8" i="24"/>
  <c r="AQ8" i="24" s="1"/>
  <c r="AL8" i="24"/>
  <c r="AL4" i="24"/>
  <c r="AK4" i="24"/>
  <c r="AQ4" i="24" s="1"/>
  <c r="F28" i="9"/>
  <c r="D29" i="9"/>
  <c r="I35" i="9" s="1"/>
  <c r="AV21" i="1"/>
  <c r="AF17" i="22"/>
  <c r="AF18" i="22" s="1"/>
  <c r="AF19" i="22" s="1"/>
  <c r="AF20" i="22" s="1"/>
  <c r="AF21" i="22" s="1"/>
  <c r="AF22" i="22" s="1"/>
  <c r="AF23" i="22" s="1"/>
  <c r="AF24" i="22" s="1"/>
  <c r="AF25" i="22" s="1"/>
  <c r="AF26" i="22" s="1"/>
  <c r="AF27" i="22" s="1"/>
  <c r="AF28" i="22" s="1"/>
  <c r="AW1" i="22"/>
  <c r="AH1" i="22"/>
  <c r="AA23" i="14"/>
  <c r="AG23" i="14" s="1"/>
  <c r="Y22" i="14"/>
  <c r="X23" i="14" s="1"/>
  <c r="AA19" i="18"/>
  <c r="AG19" i="18" s="1"/>
  <c r="Y18" i="18"/>
  <c r="X19" i="18" s="1"/>
  <c r="AI21" i="24"/>
  <c r="AJ21" i="24"/>
  <c r="AI25" i="24"/>
  <c r="AJ25" i="24"/>
  <c r="AA25" i="11"/>
  <c r="AG25" i="11" s="1"/>
  <c r="Y24" i="11"/>
  <c r="H28" i="8"/>
  <c r="I28" i="8" s="1"/>
  <c r="I29" i="8" s="1"/>
  <c r="I39" i="8" s="1"/>
  <c r="D28" i="8"/>
  <c r="S7" i="8"/>
  <c r="AA25" i="12"/>
  <c r="AG25" i="12" s="1"/>
  <c r="Y24" i="12"/>
  <c r="X25" i="12" s="1"/>
  <c r="AD1" i="21"/>
  <c r="AG17" i="21"/>
  <c r="AK24" i="24"/>
  <c r="AL24" i="24"/>
  <c r="AK28" i="24"/>
  <c r="AL28" i="24"/>
  <c r="AH9" i="24"/>
  <c r="AL5" i="24"/>
  <c r="AK5" i="24"/>
  <c r="AQ5" i="24" s="1"/>
  <c r="AX27" i="61"/>
  <c r="EX150" i="61" s="1"/>
  <c r="B27" i="6"/>
  <c r="C23" i="27"/>
  <c r="AP27" i="6"/>
  <c r="H21" i="1"/>
  <c r="I21" i="1" s="1"/>
  <c r="D21" i="1"/>
  <c r="F21" i="1" s="1"/>
  <c r="G21" i="1" s="1"/>
  <c r="AV22" i="2"/>
  <c r="X17" i="19"/>
  <c r="AA17" i="19"/>
  <c r="X16" i="19"/>
  <c r="AE1" i="22"/>
  <c r="AB19" i="22" s="1"/>
  <c r="AA24" i="13"/>
  <c r="AG24" i="13" s="1"/>
  <c r="Y23" i="13"/>
  <c r="X24" i="13" s="1"/>
  <c r="H24" i="4"/>
  <c r="I24" i="4" s="1"/>
  <c r="D24" i="4"/>
  <c r="F24" i="4" s="1"/>
  <c r="G24" i="4" s="1"/>
  <c r="AV25" i="5"/>
  <c r="D27" i="7"/>
  <c r="F27" i="7" s="1"/>
  <c r="G27" i="7" s="1"/>
  <c r="H27" i="7"/>
  <c r="I27" i="7" s="1"/>
  <c r="AA27" i="10"/>
  <c r="AG27" i="10" s="1"/>
  <c r="Y26" i="10"/>
  <c r="AI26" i="24"/>
  <c r="AJ26" i="24"/>
  <c r="AJ28" i="24"/>
  <c r="AI28" i="24"/>
  <c r="X17" i="53"/>
  <c r="AA17" i="53"/>
  <c r="X16" i="53"/>
  <c r="AA21" i="15"/>
  <c r="AG21" i="15" s="1"/>
  <c r="Y20" i="15"/>
  <c r="X22" i="15"/>
  <c r="H23" i="3"/>
  <c r="I23" i="3" s="1"/>
  <c r="D23" i="3"/>
  <c r="F23" i="3" s="1"/>
  <c r="G23" i="3" s="1"/>
  <c r="X20" i="17"/>
  <c r="AD1" i="20"/>
  <c r="AG17" i="20"/>
  <c r="AH4" i="23"/>
  <c r="AH6" i="23"/>
  <c r="AH7" i="23"/>
  <c r="AH5" i="23"/>
  <c r="AH8" i="23"/>
  <c r="AH9" i="23" s="1"/>
  <c r="AH10" i="23" s="1"/>
  <c r="AH11" i="23" s="1"/>
  <c r="AH28" i="23"/>
  <c r="AH27" i="23"/>
  <c r="AH26" i="23"/>
  <c r="AH25" i="23"/>
  <c r="AL25" i="24"/>
  <c r="AK25" i="24"/>
  <c r="AL6" i="24"/>
  <c r="AK6" i="24"/>
  <c r="AQ6" i="24" s="1"/>
  <c r="H26" i="6"/>
  <c r="I26" i="6" s="1"/>
  <c r="D26" i="6"/>
  <c r="F26" i="6" s="1"/>
  <c r="G26" i="6" s="1"/>
  <c r="BC22" i="61"/>
  <c r="B22" i="1"/>
  <c r="AP22" i="1"/>
  <c r="C28" i="32"/>
  <c r="BB23" i="61"/>
  <c r="B23" i="2"/>
  <c r="C27" i="59"/>
  <c r="AP23" i="2"/>
  <c r="C27" i="31"/>
  <c r="AZ25" i="61"/>
  <c r="B25" i="4"/>
  <c r="AP25" i="4"/>
  <c r="C25" i="29"/>
  <c r="X24" i="14"/>
  <c r="H25" i="5"/>
  <c r="I25" i="5" s="1"/>
  <c r="D25" i="5"/>
  <c r="F25" i="5" s="1"/>
  <c r="G25" i="5" s="1"/>
  <c r="X20" i="18"/>
  <c r="AP28" i="7"/>
  <c r="B28" i="7"/>
  <c r="Y33" i="61"/>
  <c r="C22" i="26"/>
  <c r="GD151" i="61" l="1"/>
  <c r="K30" i="64" s="1"/>
  <c r="GI150" i="61"/>
  <c r="GH140" i="61"/>
  <c r="N19" i="64" s="1"/>
  <c r="AG120" i="27"/>
  <c r="AR74" i="26"/>
  <c r="AT74" i="26" s="1"/>
  <c r="D13" i="26" s="1"/>
  <c r="Z79" i="26" s="1"/>
  <c r="AB79" i="26" s="1"/>
  <c r="L105" i="32"/>
  <c r="N105" i="32" s="1"/>
  <c r="AQ105" i="32" s="1"/>
  <c r="ES151" i="61"/>
  <c r="ES153" i="61"/>
  <c r="K18" i="64"/>
  <c r="GC140" i="61"/>
  <c r="GD140" i="61" s="1"/>
  <c r="ET139" i="61"/>
  <c r="EY139" i="61"/>
  <c r="ES139" i="61"/>
  <c r="H18" i="64" s="1"/>
  <c r="DR141" i="61"/>
  <c r="EZ141" i="61" s="1"/>
  <c r="FD141" i="61"/>
  <c r="GE141" i="61" s="1"/>
  <c r="L20" i="64" s="1"/>
  <c r="EJ142" i="61"/>
  <c r="FV142" i="61"/>
  <c r="DZ142" i="61"/>
  <c r="FL142" i="61"/>
  <c r="EF142" i="61"/>
  <c r="FR142" i="61"/>
  <c r="EK142" i="61"/>
  <c r="FW142" i="61"/>
  <c r="DU142" i="61"/>
  <c r="FG142" i="61"/>
  <c r="EA142" i="61"/>
  <c r="FM142" i="61"/>
  <c r="EB142" i="61"/>
  <c r="FN142" i="61"/>
  <c r="EH142" i="61"/>
  <c r="FT142" i="61"/>
  <c r="DX142" i="61"/>
  <c r="FJ142" i="61"/>
  <c r="EG142" i="61"/>
  <c r="FS142" i="61"/>
  <c r="EM142" i="61"/>
  <c r="FY142" i="61"/>
  <c r="DW142" i="61"/>
  <c r="FI142" i="61"/>
  <c r="ER140" i="61"/>
  <c r="EL142" i="61"/>
  <c r="FX142" i="61"/>
  <c r="DT142" i="61"/>
  <c r="FF142" i="61"/>
  <c r="ED142" i="61"/>
  <c r="FP142" i="61"/>
  <c r="EC142" i="61"/>
  <c r="FO142" i="61"/>
  <c r="EI142" i="61"/>
  <c r="FU142" i="61"/>
  <c r="DS142" i="61"/>
  <c r="FE142" i="61"/>
  <c r="DV142" i="61"/>
  <c r="FH142" i="61"/>
  <c r="GB142" i="61"/>
  <c r="EN142" i="61"/>
  <c r="FZ142" i="61"/>
  <c r="EO142" i="61"/>
  <c r="GA142" i="61"/>
  <c r="DY142" i="61"/>
  <c r="FK142" i="61"/>
  <c r="EE142" i="61"/>
  <c r="FQ142" i="61"/>
  <c r="EP143" i="61"/>
  <c r="EU142" i="61"/>
  <c r="EV142" i="61" s="1"/>
  <c r="AI130" i="30"/>
  <c r="J112" i="26"/>
  <c r="AI150" i="30"/>
  <c r="AR6" i="25"/>
  <c r="AT6" i="25" s="1"/>
  <c r="AU6" i="25" s="1"/>
  <c r="AW8" i="25"/>
  <c r="AK94" i="32"/>
  <c r="AM94" i="32" s="1"/>
  <c r="AS94" i="32" s="1"/>
  <c r="AT94" i="32" s="1"/>
  <c r="D17" i="32" s="1"/>
  <c r="AK99" i="32" s="1"/>
  <c r="AM99" i="32" s="1"/>
  <c r="AS99" i="32" s="1"/>
  <c r="Z99" i="32"/>
  <c r="AB99" i="32" s="1"/>
  <c r="AR100" i="32" s="1"/>
  <c r="AT100" i="32" s="1"/>
  <c r="E18" i="32" s="1"/>
  <c r="L104" i="32"/>
  <c r="N104" i="32" s="1"/>
  <c r="AQ104" i="32" s="1"/>
  <c r="AW13" i="25"/>
  <c r="AR7" i="25"/>
  <c r="AT7" i="25" s="1"/>
  <c r="AU7" i="25" s="1"/>
  <c r="AR28" i="25"/>
  <c r="AT28" i="25" s="1"/>
  <c r="AU28" i="25" s="1"/>
  <c r="AR27" i="25"/>
  <c r="AT27" i="25" s="1"/>
  <c r="AU27" i="25" s="1"/>
  <c r="AR5" i="25"/>
  <c r="AT5" i="25" s="1"/>
  <c r="AU5" i="25" s="1"/>
  <c r="AR15" i="25"/>
  <c r="AT15" i="25" s="1"/>
  <c r="AU15" i="25" s="1"/>
  <c r="AW14" i="25"/>
  <c r="AG130" i="29"/>
  <c r="AE115" i="26"/>
  <c r="AI114" i="26" s="1"/>
  <c r="AG125" i="28"/>
  <c r="AI125" i="28" s="1"/>
  <c r="H120" i="27"/>
  <c r="F120" i="27"/>
  <c r="AI135" i="30"/>
  <c r="X110" i="27"/>
  <c r="X115" i="28"/>
  <c r="AI110" i="26"/>
  <c r="AI140" i="30"/>
  <c r="V118" i="27"/>
  <c r="T118" i="27"/>
  <c r="V114" i="27"/>
  <c r="V115" i="27" s="1"/>
  <c r="T114" i="27"/>
  <c r="T115" i="27" s="1"/>
  <c r="X114" i="27" s="1"/>
  <c r="X105" i="26"/>
  <c r="AI115" i="27"/>
  <c r="J120" i="28"/>
  <c r="J119" i="28"/>
  <c r="J132" i="29"/>
  <c r="F134" i="29"/>
  <c r="H134" i="29" s="1"/>
  <c r="J142" i="29"/>
  <c r="F144" i="29"/>
  <c r="H144" i="29" s="1"/>
  <c r="R114" i="26"/>
  <c r="D119" i="26"/>
  <c r="AE123" i="26"/>
  <c r="R118" i="26"/>
  <c r="AE119" i="26"/>
  <c r="AG119" i="26" s="1"/>
  <c r="D501" i="66"/>
  <c r="L526" i="66"/>
  <c r="H117" i="26"/>
  <c r="T123" i="28"/>
  <c r="V123" i="28"/>
  <c r="AI120" i="28"/>
  <c r="J135" i="30"/>
  <c r="N135" i="30" s="1"/>
  <c r="AQ135" i="30" s="1"/>
  <c r="J134" i="30"/>
  <c r="N134" i="30" s="1"/>
  <c r="AQ134" i="30" s="1"/>
  <c r="H113" i="26"/>
  <c r="H115" i="26" s="1"/>
  <c r="J115" i="26" s="1"/>
  <c r="F115" i="26"/>
  <c r="AE150" i="29"/>
  <c r="AI149" i="29" s="1"/>
  <c r="AG148" i="29"/>
  <c r="AG150" i="29" s="1"/>
  <c r="F149" i="29"/>
  <c r="H149" i="29" s="1"/>
  <c r="J147" i="29"/>
  <c r="AE135" i="29"/>
  <c r="AI134" i="29" s="1"/>
  <c r="AG133" i="29"/>
  <c r="AG135" i="29" s="1"/>
  <c r="T109" i="26"/>
  <c r="T110" i="26" s="1"/>
  <c r="X109" i="26" s="1"/>
  <c r="V109" i="26"/>
  <c r="V110" i="26" s="1"/>
  <c r="AE120" i="27"/>
  <c r="AI119" i="27" s="1"/>
  <c r="AI120" i="27" s="1"/>
  <c r="J144" i="30"/>
  <c r="N144" i="30" s="1"/>
  <c r="AQ144" i="30" s="1"/>
  <c r="J145" i="30"/>
  <c r="N145" i="30" s="1"/>
  <c r="AQ145" i="30" s="1"/>
  <c r="J129" i="30"/>
  <c r="N129" i="30" s="1"/>
  <c r="AQ129" i="30" s="1"/>
  <c r="J130" i="30"/>
  <c r="N130" i="30" s="1"/>
  <c r="AQ130" i="30" s="1"/>
  <c r="H109" i="26"/>
  <c r="H110" i="26" s="1"/>
  <c r="J110" i="26" s="1"/>
  <c r="F110" i="26"/>
  <c r="J109" i="26" s="1"/>
  <c r="D505" i="65"/>
  <c r="A505" i="65" s="1"/>
  <c r="J505" i="66"/>
  <c r="B505" i="65" s="1"/>
  <c r="I505" i="66"/>
  <c r="J117" i="27"/>
  <c r="J149" i="30"/>
  <c r="N149" i="30" s="1"/>
  <c r="AQ149" i="30" s="1"/>
  <c r="J150" i="30"/>
  <c r="N150" i="30" s="1"/>
  <c r="AQ150" i="30" s="1"/>
  <c r="AG128" i="28"/>
  <c r="AI145" i="30"/>
  <c r="AE130" i="29"/>
  <c r="AI129" i="29" s="1"/>
  <c r="AG115" i="26"/>
  <c r="D525" i="65"/>
  <c r="A525" i="65" s="1"/>
  <c r="J525" i="66"/>
  <c r="B525" i="65" s="1"/>
  <c r="I525" i="66"/>
  <c r="V128" i="29"/>
  <c r="T128" i="29"/>
  <c r="V133" i="29"/>
  <c r="T133" i="29"/>
  <c r="V148" i="29"/>
  <c r="T148" i="29"/>
  <c r="V143" i="29"/>
  <c r="T143" i="29"/>
  <c r="J137" i="29"/>
  <c r="F139" i="29"/>
  <c r="H139" i="29" s="1"/>
  <c r="V113" i="26"/>
  <c r="T113" i="26"/>
  <c r="AE128" i="27"/>
  <c r="D124" i="27"/>
  <c r="AE124" i="27"/>
  <c r="AG124" i="27" s="1"/>
  <c r="R123" i="27"/>
  <c r="R148" i="28"/>
  <c r="AE138" i="28"/>
  <c r="AE143" i="28"/>
  <c r="D139" i="28"/>
  <c r="R128" i="28"/>
  <c r="R133" i="28"/>
  <c r="AE129" i="28"/>
  <c r="AG129" i="28" s="1"/>
  <c r="R138" i="28"/>
  <c r="R143" i="28"/>
  <c r="AE144" i="28"/>
  <c r="AG144" i="28" s="1"/>
  <c r="AE148" i="28"/>
  <c r="AE134" i="28"/>
  <c r="AG134" i="28" s="1"/>
  <c r="D144" i="28"/>
  <c r="AE139" i="28"/>
  <c r="AG139" i="28" s="1"/>
  <c r="AE149" i="28"/>
  <c r="AG149" i="28" s="1"/>
  <c r="AE133" i="28"/>
  <c r="D149" i="28"/>
  <c r="D129" i="28"/>
  <c r="D134" i="28"/>
  <c r="J140" i="30"/>
  <c r="N140" i="30" s="1"/>
  <c r="AQ140" i="30" s="1"/>
  <c r="J139" i="30"/>
  <c r="N139" i="30" s="1"/>
  <c r="AQ139" i="30" s="1"/>
  <c r="J125" i="29"/>
  <c r="N125" i="29" s="1"/>
  <c r="AQ125" i="29" s="1"/>
  <c r="J124" i="29"/>
  <c r="N124" i="29" s="1"/>
  <c r="AQ124" i="29" s="1"/>
  <c r="AG123" i="27"/>
  <c r="B481" i="66"/>
  <c r="A481" i="66"/>
  <c r="F124" i="28"/>
  <c r="H124" i="28" s="1"/>
  <c r="J122" i="28"/>
  <c r="B500" i="66"/>
  <c r="A500" i="66"/>
  <c r="AE145" i="29"/>
  <c r="AI144" i="29" s="1"/>
  <c r="AG143" i="29"/>
  <c r="AG145" i="29" s="1"/>
  <c r="AG138" i="29"/>
  <c r="AG140" i="29" s="1"/>
  <c r="AE140" i="29"/>
  <c r="AI139" i="29" s="1"/>
  <c r="J127" i="29"/>
  <c r="F129" i="29"/>
  <c r="H129" i="29" s="1"/>
  <c r="V138" i="29"/>
  <c r="T138" i="29"/>
  <c r="AG118" i="26"/>
  <c r="AG120" i="26" s="1"/>
  <c r="AE120" i="26"/>
  <c r="AI119" i="26" s="1"/>
  <c r="G34" i="58"/>
  <c r="E32" i="58"/>
  <c r="K32" i="58"/>
  <c r="L31" i="58"/>
  <c r="I30" i="58"/>
  <c r="M32" i="58"/>
  <c r="H32" i="58"/>
  <c r="C32" i="58"/>
  <c r="J31" i="58"/>
  <c r="E31" i="58"/>
  <c r="C33" i="58"/>
  <c r="I33" i="58"/>
  <c r="J33" i="58"/>
  <c r="D30" i="58"/>
  <c r="J30" i="58"/>
  <c r="K31" i="58"/>
  <c r="H34" i="58"/>
  <c r="C30" i="58"/>
  <c r="I34" i="58"/>
  <c r="L32" i="58"/>
  <c r="I31" i="58"/>
  <c r="D31" i="58"/>
  <c r="K30" i="58"/>
  <c r="F30" i="58"/>
  <c r="L34" i="58"/>
  <c r="G30" i="58"/>
  <c r="M30" i="58"/>
  <c r="B31" i="58"/>
  <c r="G32" i="58"/>
  <c r="J34" i="58"/>
  <c r="B34" i="58"/>
  <c r="D33" i="58"/>
  <c r="F32" i="58"/>
  <c r="E33" i="58"/>
  <c r="K33" i="58"/>
  <c r="E30" i="58"/>
  <c r="K34" i="58"/>
  <c r="F34" i="58"/>
  <c r="M33" i="58"/>
  <c r="D32" i="58"/>
  <c r="J32" i="58"/>
  <c r="H30" i="58"/>
  <c r="D34" i="58"/>
  <c r="C31" i="58"/>
  <c r="F33" i="58"/>
  <c r="H33" i="58"/>
  <c r="F31" i="58"/>
  <c r="C34" i="58"/>
  <c r="M34" i="58"/>
  <c r="M31" i="58"/>
  <c r="E34" i="58"/>
  <c r="L33" i="58"/>
  <c r="G33" i="58"/>
  <c r="B33" i="58"/>
  <c r="I32" i="58"/>
  <c r="L30" i="58"/>
  <c r="B30" i="58"/>
  <c r="G31" i="58"/>
  <c r="H31" i="58"/>
  <c r="B32" i="58"/>
  <c r="AW26" i="25"/>
  <c r="AR25" i="25"/>
  <c r="AT25" i="25" s="1"/>
  <c r="AU25" i="25" s="1"/>
  <c r="AW24" i="25"/>
  <c r="AW12" i="25"/>
  <c r="AM17" i="25"/>
  <c r="AR9" i="25"/>
  <c r="AT9" i="25" s="1"/>
  <c r="AU9" i="25" s="1"/>
  <c r="AW9" i="25"/>
  <c r="AR4" i="25"/>
  <c r="AW4" i="25"/>
  <c r="AR16" i="25"/>
  <c r="AT16" i="25" s="1"/>
  <c r="AU16" i="25" s="1"/>
  <c r="AW16" i="25"/>
  <c r="AK18" i="25"/>
  <c r="AQ18" i="25" s="1"/>
  <c r="AL18" i="25"/>
  <c r="AH19" i="25"/>
  <c r="AR11" i="25"/>
  <c r="AT11" i="25" s="1"/>
  <c r="AU11" i="25" s="1"/>
  <c r="AW11" i="25"/>
  <c r="AR10" i="25"/>
  <c r="AT10" i="25" s="1"/>
  <c r="AU10" i="25" s="1"/>
  <c r="AW10" i="25"/>
  <c r="AQ26" i="24"/>
  <c r="AM26" i="24" s="1"/>
  <c r="AR26" i="24" s="1"/>
  <c r="AT26" i="24" s="1"/>
  <c r="AU26" i="24" s="1"/>
  <c r="AK79" i="26"/>
  <c r="AM79" i="26" s="1"/>
  <c r="AS79" i="26" s="1"/>
  <c r="L84" i="26"/>
  <c r="N84" i="26" s="1"/>
  <c r="AQ84" i="26" s="1"/>
  <c r="AR75" i="26"/>
  <c r="AT75" i="26" s="1"/>
  <c r="E13" i="26" s="1"/>
  <c r="AK80" i="26" s="1"/>
  <c r="AM80" i="26" s="1"/>
  <c r="AS80" i="26" s="1"/>
  <c r="AM7" i="24"/>
  <c r="AR7" i="24" s="1"/>
  <c r="AT7" i="24" s="1"/>
  <c r="AU7" i="24" s="1"/>
  <c r="AI22" i="23"/>
  <c r="AI20" i="23"/>
  <c r="AI19" i="23"/>
  <c r="AQ28" i="24"/>
  <c r="AM28" i="24" s="1"/>
  <c r="AW28" i="24" s="1"/>
  <c r="AB22" i="22"/>
  <c r="AJ22" i="22" s="1"/>
  <c r="AB20" i="22"/>
  <c r="AJ20" i="22" s="1"/>
  <c r="AB21" i="22"/>
  <c r="AI21" i="22" s="1"/>
  <c r="AB23" i="22"/>
  <c r="AJ23" i="22" s="1"/>
  <c r="AL11" i="23"/>
  <c r="AK11" i="23"/>
  <c r="AQ11" i="23" s="1"/>
  <c r="AH12" i="23"/>
  <c r="H23" i="2"/>
  <c r="I23" i="2" s="1"/>
  <c r="D23" i="2"/>
  <c r="F23" i="2" s="1"/>
  <c r="G23" i="2" s="1"/>
  <c r="H25" i="4"/>
  <c r="I25" i="4" s="1"/>
  <c r="D25" i="4"/>
  <c r="F25" i="4" s="1"/>
  <c r="G25" i="4" s="1"/>
  <c r="AV22" i="1"/>
  <c r="AL27" i="23"/>
  <c r="AK27" i="23"/>
  <c r="AL9" i="23"/>
  <c r="AK9" i="23"/>
  <c r="AQ9" i="23" s="1"/>
  <c r="AK6" i="23"/>
  <c r="AQ6" i="23" s="1"/>
  <c r="AL6" i="23"/>
  <c r="AE1" i="20"/>
  <c r="AB18" i="20" s="1"/>
  <c r="AA20" i="15"/>
  <c r="AG20" i="15" s="1"/>
  <c r="Y19" i="15"/>
  <c r="X20" i="15" s="1"/>
  <c r="AA26" i="10"/>
  <c r="AG26" i="10" s="1"/>
  <c r="Y25" i="10"/>
  <c r="X26" i="10" s="1"/>
  <c r="T34" i="61"/>
  <c r="B28" i="6"/>
  <c r="AP28" i="6"/>
  <c r="C23" i="26"/>
  <c r="AL9" i="24"/>
  <c r="AK9" i="24"/>
  <c r="AQ9" i="24" s="1"/>
  <c r="AH10" i="24"/>
  <c r="AA24" i="11"/>
  <c r="AG24" i="11" s="1"/>
  <c r="Y23" i="11"/>
  <c r="AQ25" i="24"/>
  <c r="AM25" i="24" s="1"/>
  <c r="AH4" i="22"/>
  <c r="AH5" i="22"/>
  <c r="AH7" i="22"/>
  <c r="AH6" i="22"/>
  <c r="AH8" i="22"/>
  <c r="AH9" i="22" s="1"/>
  <c r="AH10" i="22" s="1"/>
  <c r="AH28" i="22"/>
  <c r="AH27" i="22"/>
  <c r="AH26" i="22"/>
  <c r="AH25" i="22"/>
  <c r="AA18" i="17"/>
  <c r="AG18" i="17" s="1"/>
  <c r="Y17" i="17"/>
  <c r="X18" i="17" s="1"/>
  <c r="AA27" i="9"/>
  <c r="AG27" i="9" s="1"/>
  <c r="Y26" i="9"/>
  <c r="X27" i="9" s="1"/>
  <c r="AA27" i="8"/>
  <c r="AG27" i="8" s="1"/>
  <c r="Y26" i="8"/>
  <c r="X27" i="8" s="1"/>
  <c r="AJ18" i="23"/>
  <c r="AI18" i="23"/>
  <c r="AJ27" i="23"/>
  <c r="AI27" i="23"/>
  <c r="BB24" i="61"/>
  <c r="C27" i="30"/>
  <c r="AP24" i="2"/>
  <c r="B24" i="2"/>
  <c r="H28" i="7"/>
  <c r="I28" i="7" s="1"/>
  <c r="I29" i="7" s="1"/>
  <c r="I39" i="7" s="1"/>
  <c r="D28" i="7"/>
  <c r="S7" i="7"/>
  <c r="AZ26" i="61"/>
  <c r="B26" i="4"/>
  <c r="C25" i="28"/>
  <c r="AP26" i="4"/>
  <c r="AV23" i="2"/>
  <c r="H22" i="1"/>
  <c r="I22" i="1" s="1"/>
  <c r="D22" i="1"/>
  <c r="F22" i="1" s="1"/>
  <c r="G22" i="1" s="1"/>
  <c r="AM6" i="24"/>
  <c r="AL24" i="23"/>
  <c r="AK24" i="23"/>
  <c r="AL28" i="23"/>
  <c r="AK28" i="23"/>
  <c r="AL8" i="23"/>
  <c r="AK8" i="23"/>
  <c r="AQ8" i="23" s="1"/>
  <c r="AK4" i="23"/>
  <c r="AQ4" i="23" s="1"/>
  <c r="AL4" i="23"/>
  <c r="AD20" i="22"/>
  <c r="AD22" i="22"/>
  <c r="AD18" i="22"/>
  <c r="AD21" i="22"/>
  <c r="AD17" i="22"/>
  <c r="AD24" i="22"/>
  <c r="AB24" i="22" s="1"/>
  <c r="AH24" i="22" s="1"/>
  <c r="AD19" i="22"/>
  <c r="AD26" i="22"/>
  <c r="AB26" i="22" s="1"/>
  <c r="AD25" i="22"/>
  <c r="AB25" i="22" s="1"/>
  <c r="AD23" i="22"/>
  <c r="AD28" i="22"/>
  <c r="AB28" i="22" s="1"/>
  <c r="AD27" i="22"/>
  <c r="AB27" i="22" s="1"/>
  <c r="AB18" i="22"/>
  <c r="AB17" i="22"/>
  <c r="AV27" i="6"/>
  <c r="AF17" i="21"/>
  <c r="AF18" i="21" s="1"/>
  <c r="AF19" i="21" s="1"/>
  <c r="AF20" i="21" s="1"/>
  <c r="AF21" i="21" s="1"/>
  <c r="AF22" i="21" s="1"/>
  <c r="AF23" i="21" s="1"/>
  <c r="AF24" i="21" s="1"/>
  <c r="AF25" i="21" s="1"/>
  <c r="AF26" i="21" s="1"/>
  <c r="AF27" i="21" s="1"/>
  <c r="AF28" i="21" s="1"/>
  <c r="AW1" i="21"/>
  <c r="AH1" i="21"/>
  <c r="G28" i="9"/>
  <c r="G29" i="9" s="1"/>
  <c r="I38" i="9" s="1"/>
  <c r="F29" i="9"/>
  <c r="I36" i="9" s="1"/>
  <c r="AM8" i="24"/>
  <c r="H24" i="3"/>
  <c r="I24" i="3" s="1"/>
  <c r="D24" i="3"/>
  <c r="F24" i="3" s="1"/>
  <c r="G24" i="3" s="1"/>
  <c r="AQ24" i="24"/>
  <c r="AM24" i="24" s="1"/>
  <c r="H26" i="5"/>
  <c r="I26" i="5" s="1"/>
  <c r="D26" i="5"/>
  <c r="F26" i="5" s="1"/>
  <c r="G26" i="5" s="1"/>
  <c r="AA19" i="16"/>
  <c r="AG19" i="16" s="1"/>
  <c r="Y18" i="16"/>
  <c r="X19" i="16" s="1"/>
  <c r="AJ23" i="23"/>
  <c r="AI23" i="23"/>
  <c r="AV25" i="4"/>
  <c r="AV28" i="7"/>
  <c r="Y28" i="7"/>
  <c r="BG7" i="7"/>
  <c r="BC23" i="61"/>
  <c r="C28" i="31"/>
  <c r="C28" i="59"/>
  <c r="AP23" i="1"/>
  <c r="B23" i="1"/>
  <c r="AL25" i="23"/>
  <c r="AK25" i="23"/>
  <c r="AL5" i="23"/>
  <c r="AK5" i="23"/>
  <c r="AQ5" i="23" s="1"/>
  <c r="X21" i="15"/>
  <c r="AD1" i="53"/>
  <c r="AG17" i="53"/>
  <c r="X27" i="10"/>
  <c r="AA23" i="13"/>
  <c r="AG23" i="13" s="1"/>
  <c r="Y22" i="13"/>
  <c r="X23" i="13" s="1"/>
  <c r="AJ19" i="22"/>
  <c r="AI19" i="22"/>
  <c r="AM5" i="24"/>
  <c r="AE1" i="21"/>
  <c r="AB19" i="21" s="1"/>
  <c r="X25" i="11"/>
  <c r="AA22" i="14"/>
  <c r="AG22" i="14" s="1"/>
  <c r="Y21" i="14"/>
  <c r="X22" i="14" s="1"/>
  <c r="AM4" i="24"/>
  <c r="X19" i="17"/>
  <c r="AV24" i="3"/>
  <c r="X28" i="9"/>
  <c r="AV26" i="5"/>
  <c r="X28" i="8"/>
  <c r="AA28" i="8"/>
  <c r="AG28" i="8" s="1"/>
  <c r="AJ21" i="23"/>
  <c r="AI21" i="23"/>
  <c r="AJ24" i="23"/>
  <c r="AI24" i="23"/>
  <c r="AQ27" i="24"/>
  <c r="AM27" i="24" s="1"/>
  <c r="AL26" i="23"/>
  <c r="AK26" i="23"/>
  <c r="AL10" i="23"/>
  <c r="AK10" i="23"/>
  <c r="AQ10" i="23" s="1"/>
  <c r="AL7" i="23"/>
  <c r="AK7" i="23"/>
  <c r="AQ7" i="23" s="1"/>
  <c r="AF17" i="20"/>
  <c r="AF18" i="20" s="1"/>
  <c r="AF19" i="20" s="1"/>
  <c r="AF20" i="20" s="1"/>
  <c r="AF21" i="20" s="1"/>
  <c r="AF22" i="20" s="1"/>
  <c r="AF23" i="20" s="1"/>
  <c r="AF24" i="20" s="1"/>
  <c r="AF25" i="20" s="1"/>
  <c r="AF26" i="20" s="1"/>
  <c r="AF27" i="20" s="1"/>
  <c r="AF28" i="20" s="1"/>
  <c r="AH1" i="20"/>
  <c r="AW1" i="20"/>
  <c r="AD1" i="19"/>
  <c r="AG17" i="19"/>
  <c r="D27" i="6"/>
  <c r="F27" i="6" s="1"/>
  <c r="G27" i="6" s="1"/>
  <c r="H27" i="6"/>
  <c r="I27" i="6" s="1"/>
  <c r="AA24" i="12"/>
  <c r="AG24" i="12" s="1"/>
  <c r="Y23" i="12"/>
  <c r="X24" i="12" s="1"/>
  <c r="F28" i="8"/>
  <c r="D29" i="8"/>
  <c r="I35" i="8" s="1"/>
  <c r="AA18" i="18"/>
  <c r="AG18" i="18" s="1"/>
  <c r="Y17" i="18"/>
  <c r="BA25" i="61"/>
  <c r="B25" i="3"/>
  <c r="C26" i="29"/>
  <c r="AP25" i="3"/>
  <c r="AY27" i="61"/>
  <c r="B27" i="5"/>
  <c r="C24" i="27"/>
  <c r="AP27" i="5"/>
  <c r="AJ26" i="23"/>
  <c r="AI26" i="23"/>
  <c r="AJ25" i="23"/>
  <c r="AI25" i="23"/>
  <c r="AJ28" i="23"/>
  <c r="AI28" i="23"/>
  <c r="H30" i="64" l="1"/>
  <c r="GH141" i="61"/>
  <c r="N20" i="64" s="1"/>
  <c r="AR99" i="32"/>
  <c r="AG125" i="27"/>
  <c r="GC141" i="61"/>
  <c r="K19" i="64"/>
  <c r="EY140" i="61"/>
  <c r="ER141" i="61"/>
  <c r="DV143" i="61"/>
  <c r="FH143" i="61"/>
  <c r="DS143" i="61"/>
  <c r="FE143" i="61"/>
  <c r="EJ143" i="61"/>
  <c r="FV143" i="61"/>
  <c r="DU143" i="61"/>
  <c r="FG143" i="61"/>
  <c r="EG143" i="61"/>
  <c r="FS143" i="61"/>
  <c r="EE143" i="61"/>
  <c r="FQ143" i="61"/>
  <c r="DT143" i="61"/>
  <c r="FF143" i="61"/>
  <c r="ED143" i="61"/>
  <c r="FP143" i="61"/>
  <c r="AI115" i="26"/>
  <c r="GB143" i="61"/>
  <c r="DR142" i="61"/>
  <c r="EZ142" i="61" s="1"/>
  <c r="FD142" i="61"/>
  <c r="GE142" i="61" s="1"/>
  <c r="L21" i="64" s="1"/>
  <c r="EI143" i="61"/>
  <c r="FU143" i="61"/>
  <c r="EF143" i="61"/>
  <c r="FR143" i="61"/>
  <c r="DZ143" i="61"/>
  <c r="FL143" i="61"/>
  <c r="EM143" i="61"/>
  <c r="FY143" i="61"/>
  <c r="EO143" i="61"/>
  <c r="GA143" i="61"/>
  <c r="EA143" i="61"/>
  <c r="FM143" i="61"/>
  <c r="DY143" i="61"/>
  <c r="FK143" i="61"/>
  <c r="EC143" i="61"/>
  <c r="FO143" i="61"/>
  <c r="EB143" i="61"/>
  <c r="FN143" i="61"/>
  <c r="EL143" i="61"/>
  <c r="FX143" i="61"/>
  <c r="EK143" i="61"/>
  <c r="FW143" i="61"/>
  <c r="DW143" i="61"/>
  <c r="FI143" i="61"/>
  <c r="EN143" i="61"/>
  <c r="FZ143" i="61"/>
  <c r="DX143" i="61"/>
  <c r="FJ143" i="61"/>
  <c r="EH143" i="61"/>
  <c r="FT143" i="61"/>
  <c r="ES140" i="61"/>
  <c r="H19" i="64" s="1"/>
  <c r="ET140" i="61"/>
  <c r="EP144" i="61"/>
  <c r="EU143" i="61"/>
  <c r="EV143" i="61" s="1"/>
  <c r="AT99" i="32"/>
  <c r="D18" i="32" s="1"/>
  <c r="L109" i="32" s="1"/>
  <c r="N109" i="32" s="1"/>
  <c r="AQ109" i="32" s="1"/>
  <c r="J114" i="26"/>
  <c r="AI130" i="29"/>
  <c r="AE125" i="27"/>
  <c r="AI124" i="27" s="1"/>
  <c r="AI125" i="27" s="1"/>
  <c r="AK105" i="32"/>
  <c r="AM105" i="32" s="1"/>
  <c r="AS105" i="32" s="1"/>
  <c r="Z105" i="32"/>
  <c r="AB105" i="32" s="1"/>
  <c r="L110" i="32"/>
  <c r="N110" i="32" s="1"/>
  <c r="AQ110" i="32" s="1"/>
  <c r="AI135" i="29"/>
  <c r="AI150" i="29"/>
  <c r="Z80" i="26"/>
  <c r="AB80" i="26" s="1"/>
  <c r="AR80" i="26" s="1"/>
  <c r="AI120" i="26"/>
  <c r="J127" i="28"/>
  <c r="F129" i="28"/>
  <c r="H129" i="28" s="1"/>
  <c r="T133" i="28"/>
  <c r="V133" i="28"/>
  <c r="AG138" i="28"/>
  <c r="AG140" i="28" s="1"/>
  <c r="AE140" i="28"/>
  <c r="AI139" i="28" s="1"/>
  <c r="AG130" i="28"/>
  <c r="F119" i="26"/>
  <c r="J117" i="26"/>
  <c r="R133" i="27"/>
  <c r="AE148" i="27"/>
  <c r="AE133" i="27"/>
  <c r="D149" i="27"/>
  <c r="AE144" i="27"/>
  <c r="AG144" i="27" s="1"/>
  <c r="AE129" i="27"/>
  <c r="AG129" i="27" s="1"/>
  <c r="AE149" i="27"/>
  <c r="AG149" i="27" s="1"/>
  <c r="R148" i="27"/>
  <c r="D129" i="27"/>
  <c r="D139" i="27"/>
  <c r="AE134" i="27"/>
  <c r="AG134" i="27" s="1"/>
  <c r="R143" i="27"/>
  <c r="R128" i="27"/>
  <c r="D134" i="27"/>
  <c r="D144" i="27"/>
  <c r="AE138" i="27"/>
  <c r="AE143" i="27"/>
  <c r="R138" i="27"/>
  <c r="AE139" i="27"/>
  <c r="AG139" i="27" s="1"/>
  <c r="L85" i="26"/>
  <c r="N85" i="26" s="1"/>
  <c r="AQ85" i="26" s="1"/>
  <c r="AI140" i="29"/>
  <c r="J124" i="28"/>
  <c r="N124" i="28" s="1"/>
  <c r="AQ124" i="28" s="1"/>
  <c r="J125" i="28"/>
  <c r="N125" i="28" s="1"/>
  <c r="AQ125" i="28" s="1"/>
  <c r="F149" i="28"/>
  <c r="H149" i="28" s="1"/>
  <c r="J147" i="28"/>
  <c r="F144" i="28"/>
  <c r="H144" i="28" s="1"/>
  <c r="J142" i="28"/>
  <c r="V143" i="28"/>
  <c r="T143" i="28"/>
  <c r="V128" i="28"/>
  <c r="T128" i="28"/>
  <c r="V148" i="28"/>
  <c r="T148" i="28"/>
  <c r="J122" i="27"/>
  <c r="F124" i="27"/>
  <c r="H124" i="27" s="1"/>
  <c r="T114" i="26"/>
  <c r="T115" i="26" s="1"/>
  <c r="X114" i="26" s="1"/>
  <c r="V114" i="26"/>
  <c r="V115" i="26" s="1"/>
  <c r="J134" i="29"/>
  <c r="N134" i="29" s="1"/>
  <c r="AQ134" i="29" s="1"/>
  <c r="J135" i="29"/>
  <c r="N135" i="29" s="1"/>
  <c r="AQ135" i="29" s="1"/>
  <c r="AI145" i="29"/>
  <c r="AG133" i="28"/>
  <c r="AG135" i="28" s="1"/>
  <c r="AE135" i="28"/>
  <c r="AI134" i="28" s="1"/>
  <c r="V138" i="28"/>
  <c r="T138" i="28"/>
  <c r="J137" i="28"/>
  <c r="F139" i="28"/>
  <c r="H139" i="28" s="1"/>
  <c r="AG128" i="27"/>
  <c r="J139" i="29"/>
  <c r="N139" i="29" s="1"/>
  <c r="AQ139" i="29" s="1"/>
  <c r="J140" i="29"/>
  <c r="N140" i="29" s="1"/>
  <c r="AQ140" i="29" s="1"/>
  <c r="X110" i="26"/>
  <c r="J149" i="29"/>
  <c r="N149" i="29" s="1"/>
  <c r="AQ149" i="29" s="1"/>
  <c r="J150" i="29"/>
  <c r="N150" i="29" s="1"/>
  <c r="AQ150" i="29" s="1"/>
  <c r="D526" i="65"/>
  <c r="A526" i="65" s="1"/>
  <c r="J526" i="66"/>
  <c r="B526" i="65" s="1"/>
  <c r="I526" i="66"/>
  <c r="T118" i="26"/>
  <c r="V118" i="26"/>
  <c r="AE128" i="26"/>
  <c r="D124" i="26"/>
  <c r="R123" i="26"/>
  <c r="AE124" i="26"/>
  <c r="AG124" i="26" s="1"/>
  <c r="J129" i="29"/>
  <c r="N129" i="29" s="1"/>
  <c r="AQ129" i="29" s="1"/>
  <c r="J130" i="29"/>
  <c r="N130" i="29" s="1"/>
  <c r="AQ130" i="29" s="1"/>
  <c r="J132" i="28"/>
  <c r="F134" i="28"/>
  <c r="H134" i="28" s="1"/>
  <c r="AE150" i="28"/>
  <c r="AI149" i="28" s="1"/>
  <c r="AG148" i="28"/>
  <c r="AG150" i="28" s="1"/>
  <c r="AE145" i="28"/>
  <c r="AI144" i="28" s="1"/>
  <c r="AG143" i="28"/>
  <c r="AG145" i="28" s="1"/>
  <c r="T123" i="27"/>
  <c r="V123" i="27"/>
  <c r="AE130" i="28"/>
  <c r="AI129" i="28" s="1"/>
  <c r="J119" i="27"/>
  <c r="J120" i="27"/>
  <c r="B501" i="66"/>
  <c r="A501" i="66"/>
  <c r="AG123" i="26"/>
  <c r="J145" i="29"/>
  <c r="N145" i="29" s="1"/>
  <c r="AQ145" i="29" s="1"/>
  <c r="J144" i="29"/>
  <c r="N144" i="29" s="1"/>
  <c r="AQ144" i="29" s="1"/>
  <c r="X115" i="27"/>
  <c r="AR54" i="59"/>
  <c r="AV54" i="59" s="1"/>
  <c r="E8" i="59" s="1"/>
  <c r="AR53" i="59"/>
  <c r="AV53" i="59" s="1"/>
  <c r="AQ28" i="23"/>
  <c r="AM28" i="23" s="1"/>
  <c r="AW28" i="23" s="1"/>
  <c r="AM18" i="25"/>
  <c r="AR18" i="25" s="1"/>
  <c r="AT18" i="25" s="1"/>
  <c r="AU18" i="25" s="1"/>
  <c r="AK19" i="25"/>
  <c r="AQ19" i="25" s="1"/>
  <c r="AL19" i="25"/>
  <c r="AH20" i="25"/>
  <c r="AW17" i="25"/>
  <c r="AR17" i="25"/>
  <c r="AT17" i="25" s="1"/>
  <c r="AU17" i="25" s="1"/>
  <c r="AT4" i="25"/>
  <c r="AI20" i="22"/>
  <c r="AT80" i="26"/>
  <c r="AQ25" i="23"/>
  <c r="AM25" i="23" s="1"/>
  <c r="AR25" i="23" s="1"/>
  <c r="AT25" i="23" s="1"/>
  <c r="AU25" i="23" s="1"/>
  <c r="AQ27" i="23"/>
  <c r="AM27" i="23" s="1"/>
  <c r="AW27" i="23" s="1"/>
  <c r="AR79" i="26"/>
  <c r="AT79" i="26" s="1"/>
  <c r="AJ21" i="22"/>
  <c r="AI22" i="22"/>
  <c r="AW26" i="24"/>
  <c r="AW7" i="24"/>
  <c r="AQ26" i="23"/>
  <c r="AM26" i="23" s="1"/>
  <c r="AR26" i="23" s="1"/>
  <c r="AT26" i="23" s="1"/>
  <c r="AU26" i="23" s="1"/>
  <c r="AM6" i="23"/>
  <c r="AW6" i="23" s="1"/>
  <c r="AB17" i="20"/>
  <c r="AI17" i="20" s="1"/>
  <c r="AI23" i="22"/>
  <c r="AM5" i="23"/>
  <c r="AR5" i="23" s="1"/>
  <c r="AT5" i="23" s="1"/>
  <c r="AU5" i="23" s="1"/>
  <c r="AR28" i="24"/>
  <c r="AT28" i="24" s="1"/>
  <c r="AU28" i="24" s="1"/>
  <c r="AQ24" i="23"/>
  <c r="AM24" i="23" s="1"/>
  <c r="AB23" i="21"/>
  <c r="AJ23" i="21" s="1"/>
  <c r="AB18" i="21"/>
  <c r="AJ18" i="21" s="1"/>
  <c r="AB17" i="21"/>
  <c r="AI17" i="21" s="1"/>
  <c r="AB21" i="21"/>
  <c r="AJ21" i="21" s="1"/>
  <c r="AJ19" i="21"/>
  <c r="AI19" i="21"/>
  <c r="AJ18" i="20"/>
  <c r="AI18" i="20"/>
  <c r="AK10" i="22"/>
  <c r="AQ10" i="22" s="1"/>
  <c r="AL10" i="22"/>
  <c r="AH11" i="22"/>
  <c r="H27" i="5"/>
  <c r="I27" i="5" s="1"/>
  <c r="D27" i="5"/>
  <c r="F27" i="5" s="1"/>
  <c r="G27" i="5" s="1"/>
  <c r="AR5" i="24"/>
  <c r="AT5" i="24" s="1"/>
  <c r="AU5" i="24" s="1"/>
  <c r="AW5" i="24"/>
  <c r="U34" i="61"/>
  <c r="AP28" i="5"/>
  <c r="C24" i="26"/>
  <c r="B28" i="5"/>
  <c r="H25" i="3"/>
  <c r="I25" i="3" s="1"/>
  <c r="D25" i="3"/>
  <c r="F25" i="3" s="1"/>
  <c r="G25" i="3" s="1"/>
  <c r="AF17" i="19"/>
  <c r="AF18" i="19" s="1"/>
  <c r="AF19" i="19" s="1"/>
  <c r="AF20" i="19" s="1"/>
  <c r="AF21" i="19" s="1"/>
  <c r="AF22" i="19" s="1"/>
  <c r="AF23" i="19" s="1"/>
  <c r="AF24" i="19" s="1"/>
  <c r="AF25" i="19" s="1"/>
  <c r="AF26" i="19" s="1"/>
  <c r="AF27" i="19" s="1"/>
  <c r="AF28" i="19" s="1"/>
  <c r="AW1" i="19"/>
  <c r="AH1" i="19"/>
  <c r="AM10" i="23"/>
  <c r="AR27" i="24"/>
  <c r="AT27" i="24" s="1"/>
  <c r="AU27" i="24" s="1"/>
  <c r="AW27" i="24"/>
  <c r="AA21" i="14"/>
  <c r="AG21" i="14" s="1"/>
  <c r="Y20" i="14"/>
  <c r="AB22" i="21"/>
  <c r="AA22" i="13"/>
  <c r="AG22" i="13" s="1"/>
  <c r="Y21" i="13"/>
  <c r="X22" i="13" s="1"/>
  <c r="AF17" i="53"/>
  <c r="AF18" i="53" s="1"/>
  <c r="AF19" i="53" s="1"/>
  <c r="AF20" i="53" s="1"/>
  <c r="AF21" i="53" s="1"/>
  <c r="AF22" i="53" s="1"/>
  <c r="AF23" i="53" s="1"/>
  <c r="AF24" i="53" s="1"/>
  <c r="AF25" i="53" s="1"/>
  <c r="AF26" i="53" s="1"/>
  <c r="AF27" i="53" s="1"/>
  <c r="AF28" i="53" s="1"/>
  <c r="AW1" i="53"/>
  <c r="AH1" i="53"/>
  <c r="H23" i="1"/>
  <c r="I23" i="1" s="1"/>
  <c r="D23" i="1"/>
  <c r="F23" i="1" s="1"/>
  <c r="G23" i="1" s="1"/>
  <c r="BC24" i="61"/>
  <c r="AP24" i="1"/>
  <c r="B24" i="1"/>
  <c r="C28" i="30"/>
  <c r="AA18" i="16"/>
  <c r="AG18" i="16" s="1"/>
  <c r="Y17" i="16"/>
  <c r="X18" i="16" s="1"/>
  <c r="AI26" i="22"/>
  <c r="AJ26" i="22"/>
  <c r="AR6" i="24"/>
  <c r="AT6" i="24" s="1"/>
  <c r="AU6" i="24" s="1"/>
  <c r="AW6" i="24"/>
  <c r="F28" i="7"/>
  <c r="D29" i="7"/>
  <c r="I35" i="7" s="1"/>
  <c r="AV24" i="2"/>
  <c r="AK25" i="22"/>
  <c r="AL25" i="22"/>
  <c r="AL6" i="22"/>
  <c r="AK6" i="22"/>
  <c r="AQ6" i="22" s="1"/>
  <c r="AA23" i="11"/>
  <c r="AG23" i="11" s="1"/>
  <c r="Y22" i="11"/>
  <c r="X23" i="11" s="1"/>
  <c r="AB21" i="20"/>
  <c r="AB22" i="20"/>
  <c r="AM9" i="23"/>
  <c r="AM11" i="23"/>
  <c r="AE1" i="53"/>
  <c r="AB20" i="53" s="1"/>
  <c r="AV23" i="1"/>
  <c r="AR24" i="24"/>
  <c r="AT24" i="24" s="1"/>
  <c r="AU24" i="24" s="1"/>
  <c r="AW24" i="24"/>
  <c r="AH5" i="21"/>
  <c r="AH4" i="21"/>
  <c r="AH6" i="21"/>
  <c r="AH7" i="21"/>
  <c r="AH8" i="21"/>
  <c r="AH9" i="21" s="1"/>
  <c r="AH28" i="21"/>
  <c r="AH27" i="21"/>
  <c r="AH26" i="21"/>
  <c r="AH25" i="21"/>
  <c r="AJ17" i="22"/>
  <c r="AI17" i="22"/>
  <c r="AI28" i="22"/>
  <c r="AJ28" i="22"/>
  <c r="AM4" i="23"/>
  <c r="H26" i="4"/>
  <c r="I26" i="4" s="1"/>
  <c r="D26" i="4"/>
  <c r="F26" i="4" s="1"/>
  <c r="G26" i="4" s="1"/>
  <c r="AL26" i="22"/>
  <c r="AK26" i="22"/>
  <c r="AL7" i="22"/>
  <c r="AK7" i="22"/>
  <c r="AQ7" i="22" s="1"/>
  <c r="AL10" i="24"/>
  <c r="AK10" i="24"/>
  <c r="AQ10" i="24" s="1"/>
  <c r="AH11" i="24"/>
  <c r="AA25" i="10"/>
  <c r="AG25" i="10" s="1"/>
  <c r="Y24" i="10"/>
  <c r="X25" i="10" s="1"/>
  <c r="AD25" i="20"/>
  <c r="AB25" i="20" s="1"/>
  <c r="AD21" i="20"/>
  <c r="AD17" i="20"/>
  <c r="AD27" i="20"/>
  <c r="AB27" i="20" s="1"/>
  <c r="AD19" i="20"/>
  <c r="AD18" i="20"/>
  <c r="AD23" i="20"/>
  <c r="AD26" i="20"/>
  <c r="AB26" i="20" s="1"/>
  <c r="AD28" i="20"/>
  <c r="AB28" i="20" s="1"/>
  <c r="AD24" i="20"/>
  <c r="AB24" i="20" s="1"/>
  <c r="AH24" i="20" s="1"/>
  <c r="AD22" i="20"/>
  <c r="AD20" i="20"/>
  <c r="AB19" i="20"/>
  <c r="X17" i="18"/>
  <c r="AA17" i="18"/>
  <c r="X16" i="18"/>
  <c r="AE1" i="19"/>
  <c r="AB18" i="19" s="1"/>
  <c r="AV25" i="3"/>
  <c r="AA23" i="12"/>
  <c r="AG23" i="12" s="1"/>
  <c r="Y22" i="12"/>
  <c r="X23" i="12" s="1"/>
  <c r="AM7" i="23"/>
  <c r="AR4" i="24"/>
  <c r="AW4" i="24"/>
  <c r="AD25" i="21"/>
  <c r="AB25" i="21" s="1"/>
  <c r="AD23" i="21"/>
  <c r="AD28" i="21"/>
  <c r="AB28" i="21" s="1"/>
  <c r="AD20" i="21"/>
  <c r="AD21" i="21"/>
  <c r="AD27" i="21"/>
  <c r="AB27" i="21" s="1"/>
  <c r="AD18" i="21"/>
  <c r="AD26" i="21"/>
  <c r="AB26" i="21" s="1"/>
  <c r="AD17" i="21"/>
  <c r="AD24" i="21"/>
  <c r="AB24" i="21" s="1"/>
  <c r="AD22" i="21"/>
  <c r="AD19" i="21"/>
  <c r="AB20" i="21"/>
  <c r="AA28" i="7"/>
  <c r="AG28" i="7" s="1"/>
  <c r="AR8" i="24"/>
  <c r="AT8" i="24" s="1"/>
  <c r="AU8" i="24" s="1"/>
  <c r="AW8" i="24"/>
  <c r="AI18" i="22"/>
  <c r="AJ18" i="22"/>
  <c r="AI24" i="22"/>
  <c r="AJ24" i="22"/>
  <c r="AM8" i="23"/>
  <c r="AZ27" i="61"/>
  <c r="C25" i="27"/>
  <c r="AP27" i="4"/>
  <c r="B27" i="4"/>
  <c r="BB25" i="61"/>
  <c r="B25" i="2"/>
  <c r="AP25" i="2"/>
  <c r="C27" i="29"/>
  <c r="AA26" i="8"/>
  <c r="AG26" i="8" s="1"/>
  <c r="Y25" i="8"/>
  <c r="AA26" i="9"/>
  <c r="AG26" i="9" s="1"/>
  <c r="Y25" i="9"/>
  <c r="X26" i="9" s="1"/>
  <c r="X17" i="17"/>
  <c r="AA17" i="17"/>
  <c r="X16" i="17"/>
  <c r="AK27" i="22"/>
  <c r="AL27" i="22"/>
  <c r="AL8" i="22"/>
  <c r="AK8" i="22"/>
  <c r="AQ8" i="22" s="1"/>
  <c r="AL5" i="22"/>
  <c r="AK5" i="22"/>
  <c r="AQ5" i="22" s="1"/>
  <c r="X24" i="11"/>
  <c r="AM9" i="24"/>
  <c r="AV28" i="6"/>
  <c r="Y28" i="6"/>
  <c r="BG7" i="6"/>
  <c r="AA19" i="15"/>
  <c r="AG19" i="15" s="1"/>
  <c r="Y18" i="15"/>
  <c r="X19" i="15" s="1"/>
  <c r="AB23" i="20"/>
  <c r="AB20" i="20"/>
  <c r="Y27" i="7"/>
  <c r="AV27" i="5"/>
  <c r="BA26" i="61"/>
  <c r="C26" i="28"/>
  <c r="B26" i="3"/>
  <c r="AP26" i="3"/>
  <c r="G28" i="8"/>
  <c r="G29" i="8" s="1"/>
  <c r="I38" i="8" s="1"/>
  <c r="F29" i="8"/>
  <c r="I36" i="8" s="1"/>
  <c r="X18" i="18"/>
  <c r="AH4" i="20"/>
  <c r="AH6" i="20"/>
  <c r="AH5" i="20"/>
  <c r="AH7" i="20"/>
  <c r="AH8" i="20"/>
  <c r="AH9" i="20" s="1"/>
  <c r="AH10" i="20" s="1"/>
  <c r="AH11" i="20" s="1"/>
  <c r="AH28" i="20"/>
  <c r="AH27" i="20"/>
  <c r="AH26" i="20"/>
  <c r="AH25" i="20"/>
  <c r="AJ27" i="22"/>
  <c r="AI27" i="22"/>
  <c r="AJ25" i="22"/>
  <c r="AI25" i="22"/>
  <c r="AV26" i="4"/>
  <c r="H24" i="2"/>
  <c r="I24" i="2" s="1"/>
  <c r="D24" i="2"/>
  <c r="F24" i="2" s="1"/>
  <c r="G24" i="2" s="1"/>
  <c r="AL24" i="22"/>
  <c r="AK24" i="22"/>
  <c r="AL28" i="22"/>
  <c r="AK28" i="22"/>
  <c r="AK9" i="22"/>
  <c r="AQ9" i="22" s="1"/>
  <c r="AL9" i="22"/>
  <c r="AL4" i="22"/>
  <c r="AK4" i="22"/>
  <c r="AQ4" i="22" s="1"/>
  <c r="AR25" i="24"/>
  <c r="AT25" i="24" s="1"/>
  <c r="AU25" i="24" s="1"/>
  <c r="AW25" i="24"/>
  <c r="H28" i="6"/>
  <c r="I28" i="6" s="1"/>
  <c r="I29" i="6" s="1"/>
  <c r="I39" i="6" s="1"/>
  <c r="D28" i="6"/>
  <c r="S7" i="6"/>
  <c r="AL12" i="23"/>
  <c r="AK12" i="23"/>
  <c r="AQ12" i="23" s="1"/>
  <c r="AH13" i="23"/>
  <c r="GH142" i="61" l="1"/>
  <c r="N21" i="64" s="1"/>
  <c r="GD141" i="61"/>
  <c r="K20" i="64" s="1"/>
  <c r="Z104" i="32"/>
  <c r="AB104" i="32" s="1"/>
  <c r="AK104" i="32"/>
  <c r="AM104" i="32" s="1"/>
  <c r="AS104" i="32" s="1"/>
  <c r="EY141" i="61"/>
  <c r="GC142" i="61"/>
  <c r="GD142" i="61" s="1"/>
  <c r="AQ25" i="22"/>
  <c r="AM25" i="22" s="1"/>
  <c r="AR25" i="22" s="1"/>
  <c r="AT25" i="22" s="1"/>
  <c r="AU25" i="22" s="1"/>
  <c r="ER142" i="61"/>
  <c r="ET141" i="61"/>
  <c r="ES141" i="61"/>
  <c r="H20" i="64" s="1"/>
  <c r="DW144" i="61"/>
  <c r="FI144" i="61"/>
  <c r="EN144" i="61"/>
  <c r="FZ144" i="61"/>
  <c r="EC144" i="61"/>
  <c r="FO144" i="61"/>
  <c r="DR143" i="61"/>
  <c r="EZ143" i="61" s="1"/>
  <c r="FD143" i="61"/>
  <c r="GE143" i="61" s="1"/>
  <c r="L22" i="64" s="1"/>
  <c r="GB144" i="61"/>
  <c r="EI144" i="61"/>
  <c r="FU144" i="61"/>
  <c r="DZ144" i="61"/>
  <c r="FL144" i="61"/>
  <c r="ED144" i="61"/>
  <c r="FP144" i="61"/>
  <c r="EB144" i="61"/>
  <c r="FN144" i="61"/>
  <c r="EH144" i="61"/>
  <c r="FT144" i="61"/>
  <c r="DX144" i="61"/>
  <c r="FJ144" i="61"/>
  <c r="DV144" i="61"/>
  <c r="FH144" i="61"/>
  <c r="EE144" i="61"/>
  <c r="FQ144" i="61"/>
  <c r="DY144" i="61"/>
  <c r="FK144" i="61"/>
  <c r="EG144" i="61"/>
  <c r="FS144" i="61"/>
  <c r="EK144" i="61"/>
  <c r="FW144" i="61"/>
  <c r="EO144" i="61"/>
  <c r="GA144" i="61"/>
  <c r="EF144" i="61"/>
  <c r="FR144" i="61"/>
  <c r="EJ144" i="61"/>
  <c r="FV144" i="61"/>
  <c r="DS144" i="61"/>
  <c r="FE144" i="61"/>
  <c r="EA144" i="61"/>
  <c r="FM144" i="61"/>
  <c r="DU144" i="61"/>
  <c r="FG144" i="61"/>
  <c r="DT144" i="61"/>
  <c r="FF144" i="61"/>
  <c r="DR144" i="61"/>
  <c r="FD144" i="61"/>
  <c r="EL144" i="61"/>
  <c r="FX144" i="61"/>
  <c r="EM144" i="61"/>
  <c r="FY144" i="61"/>
  <c r="AR104" i="32"/>
  <c r="AT104" i="32" s="1"/>
  <c r="D19" i="32" s="1"/>
  <c r="EP145" i="61"/>
  <c r="AR105" i="32"/>
  <c r="AT105" i="32" s="1"/>
  <c r="E19" i="32" s="1"/>
  <c r="AK110" i="32" s="1"/>
  <c r="AM110" i="32" s="1"/>
  <c r="AS110" i="32" s="1"/>
  <c r="EU144" i="61"/>
  <c r="EV144" i="61" s="1"/>
  <c r="AI135" i="28"/>
  <c r="AI140" i="28"/>
  <c r="AE125" i="26"/>
  <c r="AI124" i="26" s="1"/>
  <c r="X115" i="26"/>
  <c r="J135" i="28"/>
  <c r="N135" i="28" s="1"/>
  <c r="AQ135" i="28" s="1"/>
  <c r="J134" i="28"/>
  <c r="N134" i="28" s="1"/>
  <c r="AQ134" i="28" s="1"/>
  <c r="J139" i="28"/>
  <c r="N139" i="28" s="1"/>
  <c r="AQ139" i="28" s="1"/>
  <c r="J140" i="28"/>
  <c r="N140" i="28" s="1"/>
  <c r="AQ140" i="28" s="1"/>
  <c r="J149" i="28"/>
  <c r="N149" i="28" s="1"/>
  <c r="AQ149" i="28" s="1"/>
  <c r="J150" i="28"/>
  <c r="N150" i="28" s="1"/>
  <c r="AQ150" i="28" s="1"/>
  <c r="V138" i="27"/>
  <c r="T138" i="27"/>
  <c r="F134" i="27"/>
  <c r="H134" i="27" s="1"/>
  <c r="J132" i="27"/>
  <c r="F139" i="27"/>
  <c r="H139" i="27" s="1"/>
  <c r="J137" i="27"/>
  <c r="AE150" i="27"/>
  <c r="AI149" i="27" s="1"/>
  <c r="AG148" i="27"/>
  <c r="AG150" i="27" s="1"/>
  <c r="J129" i="28"/>
  <c r="N129" i="28" s="1"/>
  <c r="AQ129" i="28" s="1"/>
  <c r="J130" i="28"/>
  <c r="N130" i="28" s="1"/>
  <c r="AQ130" i="28" s="1"/>
  <c r="D139" i="26"/>
  <c r="AE134" i="26"/>
  <c r="AG134" i="26" s="1"/>
  <c r="R148" i="26"/>
  <c r="D129" i="26"/>
  <c r="AE148" i="26"/>
  <c r="R133" i="26"/>
  <c r="R143" i="26"/>
  <c r="R128" i="26"/>
  <c r="D149" i="26"/>
  <c r="AE143" i="26"/>
  <c r="AE144" i="26"/>
  <c r="AG144" i="26" s="1"/>
  <c r="AE133" i="26"/>
  <c r="D144" i="26"/>
  <c r="AE138" i="26"/>
  <c r="AE149" i="26"/>
  <c r="AG149" i="26" s="1"/>
  <c r="AE129" i="26"/>
  <c r="AG129" i="26" s="1"/>
  <c r="D134" i="26"/>
  <c r="AE139" i="26"/>
  <c r="AG139" i="26" s="1"/>
  <c r="R138" i="26"/>
  <c r="AG125" i="26"/>
  <c r="AI150" i="28"/>
  <c r="T123" i="26"/>
  <c r="V123" i="26"/>
  <c r="AE130" i="27"/>
  <c r="AI129" i="27" s="1"/>
  <c r="AG143" i="27"/>
  <c r="AG145" i="27" s="1"/>
  <c r="AE145" i="27"/>
  <c r="AI144" i="27" s="1"/>
  <c r="V128" i="27"/>
  <c r="T128" i="27"/>
  <c r="F129" i="27"/>
  <c r="H129" i="27" s="1"/>
  <c r="J127" i="27"/>
  <c r="V133" i="27"/>
  <c r="T133" i="27"/>
  <c r="H119" i="26"/>
  <c r="H120" i="26" s="1"/>
  <c r="J120" i="26" s="1"/>
  <c r="F120" i="26"/>
  <c r="J119" i="26" s="1"/>
  <c r="J122" i="26"/>
  <c r="F124" i="26"/>
  <c r="H124" i="26" s="1"/>
  <c r="AG130" i="27"/>
  <c r="J145" i="28"/>
  <c r="N145" i="28" s="1"/>
  <c r="AQ145" i="28" s="1"/>
  <c r="J144" i="28"/>
  <c r="N144" i="28" s="1"/>
  <c r="AQ144" i="28" s="1"/>
  <c r="AG138" i="27"/>
  <c r="AG140" i="27" s="1"/>
  <c r="AE140" i="27"/>
  <c r="AI139" i="27" s="1"/>
  <c r="T143" i="27"/>
  <c r="V143" i="27"/>
  <c r="T148" i="27"/>
  <c r="V148" i="27"/>
  <c r="F149" i="27"/>
  <c r="H149" i="27" s="1"/>
  <c r="J147" i="27"/>
  <c r="Z109" i="32"/>
  <c r="AB109" i="32" s="1"/>
  <c r="L114" i="32"/>
  <c r="N114" i="32" s="1"/>
  <c r="AQ114" i="32" s="1"/>
  <c r="AK109" i="32"/>
  <c r="AM109" i="32" s="1"/>
  <c r="AS109" i="32" s="1"/>
  <c r="AI130" i="28"/>
  <c r="AI145" i="28"/>
  <c r="AG128" i="26"/>
  <c r="J125" i="27"/>
  <c r="N125" i="27" s="1"/>
  <c r="AQ125" i="27" s="1"/>
  <c r="J124" i="27"/>
  <c r="N124" i="27" s="1"/>
  <c r="AQ124" i="27" s="1"/>
  <c r="F144" i="27"/>
  <c r="H144" i="27" s="1"/>
  <c r="J142" i="27"/>
  <c r="AE135" i="27"/>
  <c r="AI134" i="27" s="1"/>
  <c r="AG133" i="27"/>
  <c r="AG135" i="27" s="1"/>
  <c r="AV52" i="59"/>
  <c r="B36" i="58" s="1" a="1"/>
  <c r="D8" i="59"/>
  <c r="AR60" i="59"/>
  <c r="L66" i="59"/>
  <c r="N66" i="59" s="1"/>
  <c r="AS66" i="59" s="1"/>
  <c r="AV11" i="59"/>
  <c r="AX11" i="59" s="1"/>
  <c r="Z60" i="59"/>
  <c r="AB60" i="59" s="1"/>
  <c r="AM60" i="59"/>
  <c r="AO60" i="59" s="1"/>
  <c r="AU60" i="59" s="1"/>
  <c r="AW18" i="25"/>
  <c r="AU4" i="25"/>
  <c r="AM19" i="25"/>
  <c r="AK20" i="25"/>
  <c r="AQ20" i="25" s="1"/>
  <c r="AL20" i="25"/>
  <c r="AH21" i="25"/>
  <c r="AR6" i="23"/>
  <c r="AT6" i="23" s="1"/>
  <c r="AU6" i="23" s="1"/>
  <c r="AQ27" i="22"/>
  <c r="AM27" i="22" s="1"/>
  <c r="AW27" i="22" s="1"/>
  <c r="AR28" i="23"/>
  <c r="AT28" i="23" s="1"/>
  <c r="AU28" i="23" s="1"/>
  <c r="AJ17" i="20"/>
  <c r="AR27" i="23"/>
  <c r="AT27" i="23" s="1"/>
  <c r="AU27" i="23" s="1"/>
  <c r="AI23" i="21"/>
  <c r="AW24" i="23"/>
  <c r="AR24" i="23"/>
  <c r="AT24" i="23" s="1"/>
  <c r="AU24" i="23" s="1"/>
  <c r="AM6" i="22"/>
  <c r="AR6" i="22" s="1"/>
  <c r="AT6" i="22" s="1"/>
  <c r="AU6" i="22" s="1"/>
  <c r="AW26" i="23"/>
  <c r="AW5" i="23"/>
  <c r="AJ17" i="21"/>
  <c r="AM8" i="22"/>
  <c r="AR8" i="22" s="1"/>
  <c r="AT8" i="22" s="1"/>
  <c r="AU8" i="22" s="1"/>
  <c r="AM7" i="22"/>
  <c r="AR7" i="22" s="1"/>
  <c r="AT7" i="22" s="1"/>
  <c r="AU7" i="22" s="1"/>
  <c r="AI21" i="21"/>
  <c r="AW25" i="23"/>
  <c r="AB23" i="19"/>
  <c r="AJ23" i="19" s="1"/>
  <c r="AB23" i="53"/>
  <c r="AI23" i="53" s="1"/>
  <c r="AB17" i="19"/>
  <c r="AJ17" i="19" s="1"/>
  <c r="AM9" i="22"/>
  <c r="AR9" i="22" s="1"/>
  <c r="AT9" i="22" s="1"/>
  <c r="AU9" i="22" s="1"/>
  <c r="AB22" i="19"/>
  <c r="AJ22" i="19" s="1"/>
  <c r="AI18" i="21"/>
  <c r="AB21" i="19"/>
  <c r="AI21" i="19" s="1"/>
  <c r="AB19" i="19"/>
  <c r="AJ19" i="19" s="1"/>
  <c r="AL11" i="20"/>
  <c r="AK11" i="20"/>
  <c r="AQ11" i="20" s="1"/>
  <c r="AH12" i="20"/>
  <c r="AJ26" i="21"/>
  <c r="AI26" i="21"/>
  <c r="AJ28" i="21"/>
  <c r="AI28" i="21"/>
  <c r="AL13" i="23"/>
  <c r="AK13" i="23"/>
  <c r="AQ13" i="23" s="1"/>
  <c r="AH14" i="23"/>
  <c r="AL27" i="20"/>
  <c r="AK27" i="20"/>
  <c r="AK8" i="20"/>
  <c r="AQ8" i="20" s="1"/>
  <c r="AL8" i="20"/>
  <c r="AL6" i="20"/>
  <c r="AK6" i="20"/>
  <c r="AQ6" i="20" s="1"/>
  <c r="BA27" i="61"/>
  <c r="B27" i="3"/>
  <c r="AP27" i="3"/>
  <c r="C26" i="27"/>
  <c r="AA27" i="7"/>
  <c r="AG27" i="7" s="1"/>
  <c r="Y26" i="7"/>
  <c r="X27" i="7" s="1"/>
  <c r="AI23" i="20"/>
  <c r="AJ23" i="20"/>
  <c r="AD1" i="17"/>
  <c r="AG17" i="17"/>
  <c r="BB26" i="61"/>
  <c r="B26" i="2"/>
  <c r="C27" i="28"/>
  <c r="AP26" i="2"/>
  <c r="AQ24" i="22"/>
  <c r="AM24" i="22" s="1"/>
  <c r="AJ24" i="21"/>
  <c r="AI24" i="21"/>
  <c r="AJ27" i="21"/>
  <c r="AI27" i="21"/>
  <c r="AR7" i="23"/>
  <c r="AT7" i="23" s="1"/>
  <c r="AU7" i="23" s="1"/>
  <c r="AW7" i="23"/>
  <c r="AJ18" i="19"/>
  <c r="AI18" i="19"/>
  <c r="AJ24" i="20"/>
  <c r="AI24" i="20"/>
  <c r="AL26" i="21"/>
  <c r="AK26" i="21"/>
  <c r="AL6" i="21"/>
  <c r="AK6" i="21"/>
  <c r="AQ6" i="21" s="1"/>
  <c r="AD17" i="53"/>
  <c r="AD21" i="53"/>
  <c r="AD24" i="53"/>
  <c r="AB24" i="53" s="1"/>
  <c r="AH24" i="53" s="1"/>
  <c r="AD26" i="53"/>
  <c r="AB26" i="53" s="1"/>
  <c r="AD25" i="53"/>
  <c r="AB25" i="53" s="1"/>
  <c r="AD20" i="53"/>
  <c r="AD18" i="53"/>
  <c r="AD27" i="53"/>
  <c r="AB27" i="53" s="1"/>
  <c r="AD22" i="53"/>
  <c r="AD19" i="53"/>
  <c r="AD28" i="53"/>
  <c r="AB28" i="53" s="1"/>
  <c r="AD23" i="53"/>
  <c r="AB21" i="53"/>
  <c r="AB18" i="53"/>
  <c r="AR9" i="23"/>
  <c r="AT9" i="23" s="1"/>
  <c r="AU9" i="23" s="1"/>
  <c r="AW9" i="23"/>
  <c r="AJ22" i="21"/>
  <c r="AI22" i="21"/>
  <c r="H28" i="5"/>
  <c r="I28" i="5" s="1"/>
  <c r="I29" i="5" s="1"/>
  <c r="D28" i="5"/>
  <c r="S7" i="5"/>
  <c r="AM10" i="22"/>
  <c r="AM12" i="23"/>
  <c r="AK24" i="20"/>
  <c r="AL24" i="20"/>
  <c r="AK28" i="20"/>
  <c r="AL28" i="20"/>
  <c r="AL9" i="20"/>
  <c r="AK9" i="20"/>
  <c r="AQ9" i="20" s="1"/>
  <c r="AL4" i="20"/>
  <c r="AK4" i="20"/>
  <c r="AQ4" i="20" s="1"/>
  <c r="AV26" i="3"/>
  <c r="AA18" i="15"/>
  <c r="AG18" i="15" s="1"/>
  <c r="Y17" i="15"/>
  <c r="AM5" i="22"/>
  <c r="AA25" i="8"/>
  <c r="AG25" i="8" s="1"/>
  <c r="Y24" i="8"/>
  <c r="C25" i="26"/>
  <c r="V34" i="61"/>
  <c r="B28" i="4"/>
  <c r="AP28" i="4"/>
  <c r="AJ25" i="21"/>
  <c r="AI25" i="21"/>
  <c r="AD24" i="19"/>
  <c r="AB24" i="19" s="1"/>
  <c r="AH24" i="19" s="1"/>
  <c r="AD22" i="19"/>
  <c r="AD28" i="19"/>
  <c r="AB28" i="19" s="1"/>
  <c r="AD20" i="19"/>
  <c r="AD21" i="19"/>
  <c r="AD19" i="19"/>
  <c r="AD17" i="19"/>
  <c r="AD25" i="19"/>
  <c r="AB25" i="19" s="1"/>
  <c r="AD18" i="19"/>
  <c r="AD26" i="19"/>
  <c r="AB26" i="19" s="1"/>
  <c r="AD27" i="19"/>
  <c r="AB27" i="19" s="1"/>
  <c r="AD23" i="19"/>
  <c r="AB20" i="19"/>
  <c r="AI25" i="20"/>
  <c r="AJ25" i="20"/>
  <c r="AL11" i="24"/>
  <c r="AK11" i="24"/>
  <c r="AQ11" i="24" s="1"/>
  <c r="AH12" i="24"/>
  <c r="AQ28" i="22"/>
  <c r="AM28" i="22" s="1"/>
  <c r="AL27" i="21"/>
  <c r="AK27" i="21"/>
  <c r="AL8" i="21"/>
  <c r="AK8" i="21"/>
  <c r="AQ8" i="21" s="1"/>
  <c r="AL4" i="21"/>
  <c r="AK4" i="21"/>
  <c r="AQ4" i="21" s="1"/>
  <c r="AB19" i="53"/>
  <c r="AB22" i="53"/>
  <c r="AJ22" i="20"/>
  <c r="AI22" i="20"/>
  <c r="H24" i="1"/>
  <c r="I24" i="1" s="1"/>
  <c r="D24" i="1"/>
  <c r="F24" i="1" s="1"/>
  <c r="G24" i="1" s="1"/>
  <c r="AA20" i="14"/>
  <c r="AG20" i="14" s="1"/>
  <c r="Y19" i="14"/>
  <c r="AH4" i="19"/>
  <c r="AH5" i="19"/>
  <c r="AH6" i="19"/>
  <c r="AH8" i="19"/>
  <c r="AH9" i="19" s="1"/>
  <c r="AH10" i="19" s="1"/>
  <c r="AH11" i="19" s="1"/>
  <c r="AH7" i="19"/>
  <c r="AH27" i="19"/>
  <c r="AH28" i="19"/>
  <c r="AH26" i="19"/>
  <c r="AH25" i="19"/>
  <c r="F28" i="6"/>
  <c r="D29" i="6"/>
  <c r="I35" i="6" s="1"/>
  <c r="AL25" i="20"/>
  <c r="AK25" i="20"/>
  <c r="AL7" i="20"/>
  <c r="AK7" i="20"/>
  <c r="AQ7" i="20" s="1"/>
  <c r="H26" i="3"/>
  <c r="I26" i="3" s="1"/>
  <c r="D26" i="3"/>
  <c r="F26" i="3" s="1"/>
  <c r="G26" i="3" s="1"/>
  <c r="AJ28" i="20"/>
  <c r="AI28" i="20"/>
  <c r="AR9" i="24"/>
  <c r="AT9" i="24" s="1"/>
  <c r="AU9" i="24" s="1"/>
  <c r="AW9" i="24"/>
  <c r="AA25" i="9"/>
  <c r="AG25" i="9" s="1"/>
  <c r="Y24" i="9"/>
  <c r="AV25" i="2"/>
  <c r="H27" i="4"/>
  <c r="I27" i="4" s="1"/>
  <c r="D27" i="4"/>
  <c r="F27" i="4" s="1"/>
  <c r="G27" i="4" s="1"/>
  <c r="AR8" i="23"/>
  <c r="AT8" i="23" s="1"/>
  <c r="AU8" i="23" s="1"/>
  <c r="AW8" i="23"/>
  <c r="X28" i="7"/>
  <c r="AA22" i="12"/>
  <c r="AG22" i="12" s="1"/>
  <c r="Y21" i="12"/>
  <c r="X22" i="12" s="1"/>
  <c r="AJ26" i="20"/>
  <c r="AI26" i="20"/>
  <c r="AI27" i="20"/>
  <c r="AJ27" i="20"/>
  <c r="AA24" i="10"/>
  <c r="AG24" i="10" s="1"/>
  <c r="Y23" i="10"/>
  <c r="X24" i="10" s="1"/>
  <c r="AM10" i="24"/>
  <c r="AR4" i="23"/>
  <c r="AW4" i="23"/>
  <c r="AH24" i="21"/>
  <c r="AL28" i="21"/>
  <c r="AK28" i="21"/>
  <c r="AL9" i="21"/>
  <c r="AK9" i="21"/>
  <c r="AQ9" i="21" s="1"/>
  <c r="AK5" i="21"/>
  <c r="AQ5" i="21" s="1"/>
  <c r="AL5" i="21"/>
  <c r="AI20" i="53"/>
  <c r="AJ20" i="53"/>
  <c r="AI21" i="20"/>
  <c r="AJ21" i="20"/>
  <c r="G28" i="7"/>
  <c r="G29" i="7" s="1"/>
  <c r="I38" i="7" s="1"/>
  <c r="F29" i="7"/>
  <c r="I36" i="7" s="1"/>
  <c r="AQ26" i="22"/>
  <c r="AM26" i="22" s="1"/>
  <c r="AV24" i="1"/>
  <c r="AR10" i="23"/>
  <c r="AT10" i="23" s="1"/>
  <c r="AU10" i="23" s="1"/>
  <c r="AW10" i="23"/>
  <c r="AV28" i="5"/>
  <c r="Y28" i="5"/>
  <c r="BG7" i="5"/>
  <c r="AL11" i="22"/>
  <c r="AK11" i="22"/>
  <c r="AQ11" i="22" s="1"/>
  <c r="AH12" i="22"/>
  <c r="AM4" i="22"/>
  <c r="AK26" i="20"/>
  <c r="AL26" i="20"/>
  <c r="AL10" i="20"/>
  <c r="AK10" i="20"/>
  <c r="AQ10" i="20" s="1"/>
  <c r="AL5" i="20"/>
  <c r="AK5" i="20"/>
  <c r="AQ5" i="20" s="1"/>
  <c r="AJ20" i="20"/>
  <c r="AI20" i="20"/>
  <c r="AA28" i="6"/>
  <c r="AG28" i="6" s="1"/>
  <c r="Y27" i="6"/>
  <c r="X28" i="6" s="1"/>
  <c r="X26" i="8"/>
  <c r="H25" i="2"/>
  <c r="I25" i="2" s="1"/>
  <c r="D25" i="2"/>
  <c r="F25" i="2" s="1"/>
  <c r="G25" i="2" s="1"/>
  <c r="AV27" i="4"/>
  <c r="AJ20" i="21"/>
  <c r="AI20" i="21"/>
  <c r="AT4" i="24"/>
  <c r="AD1" i="18"/>
  <c r="AG17" i="18"/>
  <c r="AI19" i="20"/>
  <c r="AJ19" i="20"/>
  <c r="AL25" i="21"/>
  <c r="AK25" i="21"/>
  <c r="AH10" i="21"/>
  <c r="AK7" i="21"/>
  <c r="AQ7" i="21" s="1"/>
  <c r="AL7" i="21"/>
  <c r="AB17" i="53"/>
  <c r="AR11" i="23"/>
  <c r="AT11" i="23" s="1"/>
  <c r="AU11" i="23" s="1"/>
  <c r="AW11" i="23"/>
  <c r="AA22" i="11"/>
  <c r="AG22" i="11" s="1"/>
  <c r="Y21" i="11"/>
  <c r="X17" i="16"/>
  <c r="AA17" i="16"/>
  <c r="X16" i="16"/>
  <c r="BC25" i="61"/>
  <c r="AP25" i="1"/>
  <c r="B25" i="1"/>
  <c r="C28" i="29"/>
  <c r="AH4" i="53"/>
  <c r="AH6" i="53"/>
  <c r="AH5" i="53"/>
  <c r="AH8" i="53"/>
  <c r="AH9" i="53" s="1"/>
  <c r="AH7" i="53"/>
  <c r="AH28" i="53"/>
  <c r="AH27" i="53"/>
  <c r="AH26" i="53"/>
  <c r="AH25" i="53"/>
  <c r="AA21" i="13"/>
  <c r="AG21" i="13" s="1"/>
  <c r="Y20" i="13"/>
  <c r="X21" i="13" s="1"/>
  <c r="X21" i="14"/>
  <c r="GH144" i="61" l="1"/>
  <c r="N23" i="64" s="1"/>
  <c r="GH143" i="61"/>
  <c r="N22" i="64" s="1"/>
  <c r="ER144" i="61"/>
  <c r="L115" i="32"/>
  <c r="N115" i="32" s="1"/>
  <c r="AQ115" i="32" s="1"/>
  <c r="AQ27" i="20"/>
  <c r="Z110" i="32"/>
  <c r="AB110" i="32" s="1"/>
  <c r="GE144" i="61"/>
  <c r="L23" i="64" s="1"/>
  <c r="K21" i="64"/>
  <c r="GC144" i="61"/>
  <c r="GD144" i="61" s="1"/>
  <c r="EY142" i="61"/>
  <c r="AI125" i="26"/>
  <c r="EZ144" i="61"/>
  <c r="GC143" i="61"/>
  <c r="GD143" i="61" s="1"/>
  <c r="ER143" i="61"/>
  <c r="ES142" i="61"/>
  <c r="H21" i="64" s="1"/>
  <c r="ET142" i="61"/>
  <c r="EI145" i="61"/>
  <c r="FU145" i="61"/>
  <c r="EG145" i="61"/>
  <c r="FS145" i="61"/>
  <c r="DW145" i="61"/>
  <c r="FI145" i="61"/>
  <c r="GB145" i="61"/>
  <c r="DZ145" i="61"/>
  <c r="FL145" i="61"/>
  <c r="EJ145" i="61"/>
  <c r="FV145" i="61"/>
  <c r="DT145" i="61"/>
  <c r="FF145" i="61"/>
  <c r="EA145" i="61"/>
  <c r="FM145" i="61"/>
  <c r="DY145" i="61"/>
  <c r="FK145" i="61"/>
  <c r="EK145" i="61"/>
  <c r="FW145" i="61"/>
  <c r="EL145" i="61"/>
  <c r="FX145" i="61"/>
  <c r="DV145" i="61"/>
  <c r="FH145" i="61"/>
  <c r="EF145" i="61"/>
  <c r="FR145" i="61"/>
  <c r="DS145" i="61"/>
  <c r="FE145" i="61"/>
  <c r="EE145" i="61"/>
  <c r="FQ145" i="61"/>
  <c r="EC145" i="61"/>
  <c r="FO145" i="61"/>
  <c r="EH145" i="61"/>
  <c r="FT145" i="61"/>
  <c r="EB145" i="61"/>
  <c r="FN145" i="61"/>
  <c r="EO145" i="61"/>
  <c r="GA145" i="61"/>
  <c r="EM145" i="61"/>
  <c r="FY145" i="61"/>
  <c r="DU145" i="61"/>
  <c r="FG145" i="61"/>
  <c r="ED145" i="61"/>
  <c r="FP145" i="61"/>
  <c r="EN145" i="61"/>
  <c r="FZ145" i="61"/>
  <c r="DX145" i="61"/>
  <c r="FJ145" i="61"/>
  <c r="EU147" i="61"/>
  <c r="EV147" i="61" s="1"/>
  <c r="EP146" i="61"/>
  <c r="ES144" i="61"/>
  <c r="H23" i="64" s="1"/>
  <c r="EU145" i="61"/>
  <c r="EV145" i="61" s="1"/>
  <c r="AI130" i="27"/>
  <c r="AI135" i="27"/>
  <c r="AI145" i="27"/>
  <c r="J144" i="27"/>
  <c r="N144" i="27" s="1"/>
  <c r="AQ144" i="27" s="1"/>
  <c r="J145" i="27"/>
  <c r="N145" i="27" s="1"/>
  <c r="AQ145" i="27" s="1"/>
  <c r="AE130" i="26"/>
  <c r="AI129" i="26" s="1"/>
  <c r="J149" i="27"/>
  <c r="N149" i="27" s="1"/>
  <c r="AQ149" i="27" s="1"/>
  <c r="J150" i="27"/>
  <c r="N150" i="27" s="1"/>
  <c r="AQ150" i="27" s="1"/>
  <c r="V138" i="26"/>
  <c r="T138" i="26"/>
  <c r="T143" i="26"/>
  <c r="V143" i="26"/>
  <c r="V148" i="26"/>
  <c r="T148" i="26"/>
  <c r="J139" i="27"/>
  <c r="N139" i="27" s="1"/>
  <c r="AQ139" i="27" s="1"/>
  <c r="J140" i="27"/>
  <c r="N140" i="27" s="1"/>
  <c r="AQ140" i="27" s="1"/>
  <c r="AG130" i="26"/>
  <c r="J124" i="26"/>
  <c r="N124" i="26" s="1"/>
  <c r="AQ124" i="26" s="1"/>
  <c r="J125" i="26"/>
  <c r="N125" i="26" s="1"/>
  <c r="AQ125" i="26" s="1"/>
  <c r="J129" i="27"/>
  <c r="N129" i="27" s="1"/>
  <c r="AQ129" i="27" s="1"/>
  <c r="J130" i="27"/>
  <c r="N130" i="27" s="1"/>
  <c r="AQ130" i="27" s="1"/>
  <c r="AE140" i="26"/>
  <c r="AI139" i="26" s="1"/>
  <c r="AG138" i="26"/>
  <c r="AG140" i="26" s="1"/>
  <c r="AG143" i="26"/>
  <c r="AG145" i="26" s="1"/>
  <c r="AE145" i="26"/>
  <c r="AI144" i="26" s="1"/>
  <c r="T133" i="26"/>
  <c r="V133" i="26"/>
  <c r="J132" i="26"/>
  <c r="F134" i="26"/>
  <c r="H134" i="26" s="1"/>
  <c r="J142" i="26"/>
  <c r="F144" i="26"/>
  <c r="H144" i="26" s="1"/>
  <c r="J147" i="26"/>
  <c r="F149" i="26"/>
  <c r="H149" i="26" s="1"/>
  <c r="AE150" i="26"/>
  <c r="AI149" i="26" s="1"/>
  <c r="AG148" i="26"/>
  <c r="AG150" i="26" s="1"/>
  <c r="J137" i="26"/>
  <c r="F139" i="26"/>
  <c r="H139" i="26" s="1"/>
  <c r="AI150" i="27"/>
  <c r="J135" i="27"/>
  <c r="N135" i="27" s="1"/>
  <c r="AQ135" i="27" s="1"/>
  <c r="J134" i="27"/>
  <c r="N134" i="27" s="1"/>
  <c r="AQ134" i="27" s="1"/>
  <c r="AR109" i="32"/>
  <c r="AT109" i="32" s="1"/>
  <c r="D20" i="32" s="1"/>
  <c r="Z114" i="32" s="1"/>
  <c r="AB114" i="32" s="1"/>
  <c r="AR110" i="32"/>
  <c r="AT110" i="32" s="1"/>
  <c r="E20" i="32" s="1"/>
  <c r="AI140" i="27"/>
  <c r="AE135" i="26"/>
  <c r="AI134" i="26" s="1"/>
  <c r="AG133" i="26"/>
  <c r="AG135" i="26" s="1"/>
  <c r="V128" i="26"/>
  <c r="T128" i="26"/>
  <c r="F129" i="26"/>
  <c r="H129" i="26" s="1"/>
  <c r="J127" i="26"/>
  <c r="AV10" i="59"/>
  <c r="AX10" i="59" s="1"/>
  <c r="AR12" i="59" s="1"/>
  <c r="Z59" i="59"/>
  <c r="AB59" i="59" s="1"/>
  <c r="AM59" i="59"/>
  <c r="AO59" i="59" s="1"/>
  <c r="AU59" i="59" s="1"/>
  <c r="L65" i="59"/>
  <c r="N65" i="59" s="1"/>
  <c r="AS65" i="59" s="1"/>
  <c r="H37" i="58"/>
  <c r="C37" i="58"/>
  <c r="J36" i="58"/>
  <c r="I36" i="58"/>
  <c r="K40" i="58"/>
  <c r="F40" i="58"/>
  <c r="E40" i="58"/>
  <c r="L40" i="58"/>
  <c r="G40" i="58"/>
  <c r="B40" i="58"/>
  <c r="M39" i="58"/>
  <c r="D39" i="58"/>
  <c r="K38" i="58"/>
  <c r="F38" i="58"/>
  <c r="E38" i="58"/>
  <c r="D36" i="58"/>
  <c r="J40" i="58"/>
  <c r="I40" i="58"/>
  <c r="L39" i="58"/>
  <c r="G39" i="58"/>
  <c r="B39" i="58"/>
  <c r="M38" i="58"/>
  <c r="H39" i="58"/>
  <c r="C39" i="58"/>
  <c r="J38" i="58"/>
  <c r="I38" i="58"/>
  <c r="L37" i="58"/>
  <c r="G37" i="58"/>
  <c r="B37" i="58"/>
  <c r="M36" i="58"/>
  <c r="D40" i="58"/>
  <c r="K39" i="58"/>
  <c r="F39" i="58"/>
  <c r="E39" i="58"/>
  <c r="H38" i="58"/>
  <c r="C38" i="58"/>
  <c r="J37" i="58"/>
  <c r="I37" i="58"/>
  <c r="D38" i="58"/>
  <c r="K37" i="58"/>
  <c r="F37" i="58"/>
  <c r="E37" i="58"/>
  <c r="H36" i="58"/>
  <c r="C36" i="58"/>
  <c r="M40" i="58"/>
  <c r="L38" i="58"/>
  <c r="G38" i="58"/>
  <c r="B38" i="58"/>
  <c r="M37" i="58"/>
  <c r="D37" i="58"/>
  <c r="K36" i="58"/>
  <c r="F36" i="58"/>
  <c r="E36" i="58"/>
  <c r="L36" i="58"/>
  <c r="G36" i="58"/>
  <c r="B36" i="58"/>
  <c r="H40" i="58"/>
  <c r="C40" i="58"/>
  <c r="J39" i="58"/>
  <c r="I39" i="58"/>
  <c r="EP147" i="61"/>
  <c r="AM20" i="25"/>
  <c r="AR19" i="25"/>
  <c r="AW19" i="25"/>
  <c r="AL21" i="25"/>
  <c r="AK21" i="25"/>
  <c r="AQ21" i="25" s="1"/>
  <c r="AH22" i="25"/>
  <c r="AJ21" i="19"/>
  <c r="AI23" i="19"/>
  <c r="AW8" i="22"/>
  <c r="AI19" i="19"/>
  <c r="AW6" i="22"/>
  <c r="AQ28" i="20"/>
  <c r="AM28" i="20" s="1"/>
  <c r="AR27" i="22"/>
  <c r="AT27" i="22" s="1"/>
  <c r="AU27" i="22" s="1"/>
  <c r="AW7" i="22"/>
  <c r="AJ23" i="53"/>
  <c r="AW9" i="22"/>
  <c r="AI22" i="19"/>
  <c r="AM6" i="20"/>
  <c r="AW6" i="20" s="1"/>
  <c r="AI17" i="19"/>
  <c r="AM9" i="21"/>
  <c r="AW9" i="21" s="1"/>
  <c r="AW25" i="22"/>
  <c r="AM27" i="20"/>
  <c r="AR27" i="20" s="1"/>
  <c r="AT27" i="20" s="1"/>
  <c r="AU27" i="20" s="1"/>
  <c r="AM9" i="20"/>
  <c r="AW9" i="20" s="1"/>
  <c r="AL11" i="19"/>
  <c r="AK11" i="19"/>
  <c r="AQ11" i="19" s="1"/>
  <c r="AH12" i="19"/>
  <c r="AK26" i="53"/>
  <c r="AL26" i="53"/>
  <c r="AL9" i="53"/>
  <c r="AK9" i="53"/>
  <c r="AQ9" i="53" s="1"/>
  <c r="AA21" i="11"/>
  <c r="AG21" i="11" s="1"/>
  <c r="Y20" i="11"/>
  <c r="X21" i="11" s="1"/>
  <c r="AA20" i="13"/>
  <c r="AG20" i="13" s="1"/>
  <c r="Y19" i="13"/>
  <c r="X20" i="13" s="1"/>
  <c r="AL27" i="53"/>
  <c r="AK27" i="53"/>
  <c r="AH10" i="53"/>
  <c r="AL6" i="53"/>
  <c r="AK6" i="53"/>
  <c r="AQ6" i="53" s="1"/>
  <c r="AE1" i="18"/>
  <c r="AA27" i="6"/>
  <c r="AG27" i="6" s="1"/>
  <c r="Y26" i="6"/>
  <c r="X27" i="6" s="1"/>
  <c r="AM5" i="20"/>
  <c r="AR4" i="22"/>
  <c r="AW4" i="22"/>
  <c r="AM11" i="22"/>
  <c r="AQ26" i="20"/>
  <c r="AM26" i="20" s="1"/>
  <c r="AL25" i="19"/>
  <c r="AK25" i="19"/>
  <c r="AL8" i="19"/>
  <c r="AK8" i="19"/>
  <c r="AQ8" i="19" s="1"/>
  <c r="AJ24" i="53"/>
  <c r="AI24" i="53"/>
  <c r="AM8" i="21"/>
  <c r="AR28" i="22"/>
  <c r="AT28" i="22" s="1"/>
  <c r="AU28" i="22" s="1"/>
  <c r="AW28" i="22"/>
  <c r="AJ24" i="19"/>
  <c r="AI24" i="19"/>
  <c r="AR5" i="22"/>
  <c r="AT5" i="22" s="1"/>
  <c r="AU5" i="22" s="1"/>
  <c r="AW5" i="22"/>
  <c r="F28" i="5"/>
  <c r="D29" i="5"/>
  <c r="AI21" i="53"/>
  <c r="AJ21" i="53"/>
  <c r="AQ27" i="21"/>
  <c r="AM27" i="21" s="1"/>
  <c r="AR24" i="22"/>
  <c r="AT24" i="22" s="1"/>
  <c r="AU24" i="22" s="1"/>
  <c r="AW24" i="22"/>
  <c r="H26" i="2"/>
  <c r="I26" i="2" s="1"/>
  <c r="D26" i="2"/>
  <c r="F26" i="2" s="1"/>
  <c r="G26" i="2" s="1"/>
  <c r="AV27" i="3"/>
  <c r="AM13" i="23"/>
  <c r="AK24" i="53"/>
  <c r="AL24" i="53"/>
  <c r="AK7" i="53"/>
  <c r="AQ7" i="53" s="1"/>
  <c r="AL7" i="53"/>
  <c r="AL4" i="53"/>
  <c r="AK4" i="53"/>
  <c r="AQ4" i="53" s="1"/>
  <c r="H25" i="1"/>
  <c r="I25" i="1" s="1"/>
  <c r="D25" i="1"/>
  <c r="F25" i="1" s="1"/>
  <c r="G25" i="1" s="1"/>
  <c r="AD1" i="16"/>
  <c r="AG17" i="16"/>
  <c r="X22" i="11"/>
  <c r="AI28" i="53"/>
  <c r="AJ28" i="53"/>
  <c r="AR26" i="22"/>
  <c r="AT26" i="22" s="1"/>
  <c r="AU26" i="22" s="1"/>
  <c r="AW26" i="22"/>
  <c r="AA24" i="9"/>
  <c r="AG24" i="9" s="1"/>
  <c r="Y23" i="9"/>
  <c r="X24" i="9" s="1"/>
  <c r="AL26" i="19"/>
  <c r="AK26" i="19"/>
  <c r="AL10" i="19"/>
  <c r="AK10" i="19"/>
  <c r="AQ10" i="19" s="1"/>
  <c r="AK6" i="19"/>
  <c r="AQ6" i="19" s="1"/>
  <c r="AL6" i="19"/>
  <c r="AA19" i="14"/>
  <c r="AG19" i="14" s="1"/>
  <c r="Y18" i="14"/>
  <c r="X19" i="14" s="1"/>
  <c r="AI19" i="53"/>
  <c r="AJ19" i="53"/>
  <c r="AK12" i="24"/>
  <c r="AQ12" i="24" s="1"/>
  <c r="AL12" i="24"/>
  <c r="AH13" i="24"/>
  <c r="AQ25" i="20"/>
  <c r="AM25" i="20" s="1"/>
  <c r="AV28" i="4"/>
  <c r="Y28" i="4"/>
  <c r="BG7" i="4"/>
  <c r="AA24" i="8"/>
  <c r="AG24" i="8" s="1"/>
  <c r="Y23" i="8"/>
  <c r="X24" i="8" s="1"/>
  <c r="X17" i="15"/>
  <c r="AA17" i="15"/>
  <c r="X16" i="15"/>
  <c r="AR10" i="22"/>
  <c r="AT10" i="22" s="1"/>
  <c r="AU10" i="22" s="1"/>
  <c r="AW10" i="22"/>
  <c r="AI25" i="53"/>
  <c r="AJ25" i="53"/>
  <c r="BB27" i="61"/>
  <c r="C27" i="27"/>
  <c r="B27" i="2"/>
  <c r="AP27" i="2"/>
  <c r="H27" i="3"/>
  <c r="I27" i="3" s="1"/>
  <c r="D27" i="3"/>
  <c r="F27" i="3" s="1"/>
  <c r="G27" i="3" s="1"/>
  <c r="AK12" i="20"/>
  <c r="AQ12" i="20" s="1"/>
  <c r="AL12" i="20"/>
  <c r="AH13" i="20"/>
  <c r="AK28" i="53"/>
  <c r="AL28" i="53"/>
  <c r="AL25" i="53"/>
  <c r="AK25" i="53"/>
  <c r="AL8" i="53"/>
  <c r="AK8" i="53"/>
  <c r="AQ8" i="53" s="1"/>
  <c r="AV25" i="1"/>
  <c r="AI17" i="53"/>
  <c r="AJ17" i="53"/>
  <c r="AM7" i="21"/>
  <c r="AU4" i="24"/>
  <c r="AM10" i="20"/>
  <c r="AM5" i="21"/>
  <c r="AT4" i="23"/>
  <c r="AR10" i="24"/>
  <c r="AW10" i="24"/>
  <c r="AA21" i="12"/>
  <c r="AG21" i="12" s="1"/>
  <c r="Y20" i="12"/>
  <c r="X21" i="12" s="1"/>
  <c r="AM7" i="20"/>
  <c r="AL28" i="19"/>
  <c r="AK28" i="19"/>
  <c r="AL9" i="19"/>
  <c r="AK9" i="19"/>
  <c r="AQ9" i="19" s="1"/>
  <c r="AL5" i="19"/>
  <c r="AK5" i="19"/>
  <c r="AQ5" i="19" s="1"/>
  <c r="AM4" i="21"/>
  <c r="AM11" i="24"/>
  <c r="AJ20" i="19"/>
  <c r="AI20" i="19"/>
  <c r="AJ27" i="19"/>
  <c r="AI27" i="19"/>
  <c r="AJ28" i="19"/>
  <c r="AI28" i="19"/>
  <c r="AQ28" i="19" s="1"/>
  <c r="AQ25" i="21"/>
  <c r="AM25" i="21" s="1"/>
  <c r="H28" i="4"/>
  <c r="I28" i="4" s="1"/>
  <c r="I29" i="4" s="1"/>
  <c r="D28" i="4"/>
  <c r="S7" i="4"/>
  <c r="AI27" i="53"/>
  <c r="AJ27" i="53"/>
  <c r="AM6" i="21"/>
  <c r="AQ24" i="20"/>
  <c r="AM24" i="20" s="1"/>
  <c r="AV26" i="2"/>
  <c r="AF17" i="17"/>
  <c r="AF18" i="17" s="1"/>
  <c r="AF19" i="17" s="1"/>
  <c r="AF20" i="17" s="1"/>
  <c r="AF21" i="17" s="1"/>
  <c r="AF22" i="17" s="1"/>
  <c r="AF23" i="17" s="1"/>
  <c r="AF24" i="17" s="1"/>
  <c r="AF25" i="17" s="1"/>
  <c r="AF26" i="17" s="1"/>
  <c r="AF27" i="17" s="1"/>
  <c r="AF28" i="17" s="1"/>
  <c r="AH1" i="17"/>
  <c r="AW1" i="17"/>
  <c r="AP28" i="3"/>
  <c r="W34" i="61"/>
  <c r="C26" i="26"/>
  <c r="B28" i="3"/>
  <c r="AM8" i="20"/>
  <c r="AQ26" i="21"/>
  <c r="AM26" i="21" s="1"/>
  <c r="AM11" i="20"/>
  <c r="AL5" i="53"/>
  <c r="AK5" i="53"/>
  <c r="AQ5" i="53" s="1"/>
  <c r="BC26" i="61"/>
  <c r="B26" i="1"/>
  <c r="C28" i="28"/>
  <c r="AP26" i="1"/>
  <c r="AJ26" i="53"/>
  <c r="AI26" i="53"/>
  <c r="AL10" i="21"/>
  <c r="AK10" i="21"/>
  <c r="AQ10" i="21" s="1"/>
  <c r="AH11" i="21"/>
  <c r="AF17" i="18"/>
  <c r="AF18" i="18" s="1"/>
  <c r="AF19" i="18" s="1"/>
  <c r="AF20" i="18" s="1"/>
  <c r="AF21" i="18" s="1"/>
  <c r="AF22" i="18" s="1"/>
  <c r="AF23" i="18" s="1"/>
  <c r="AF24" i="18" s="1"/>
  <c r="AF25" i="18" s="1"/>
  <c r="AF26" i="18" s="1"/>
  <c r="AF27" i="18" s="1"/>
  <c r="AF28" i="18" s="1"/>
  <c r="AW1" i="18"/>
  <c r="AH1" i="18"/>
  <c r="AL12" i="22"/>
  <c r="AK12" i="22"/>
  <c r="AQ12" i="22" s="1"/>
  <c r="AH13" i="22"/>
  <c r="AA28" i="5"/>
  <c r="AG28" i="5" s="1"/>
  <c r="Y27" i="5"/>
  <c r="X28" i="5" s="1"/>
  <c r="AL24" i="21"/>
  <c r="AK24" i="21"/>
  <c r="AQ24" i="21" s="1"/>
  <c r="AA23" i="10"/>
  <c r="AG23" i="10" s="1"/>
  <c r="Y22" i="10"/>
  <c r="X25" i="9"/>
  <c r="G28" i="6"/>
  <c r="G29" i="6" s="1"/>
  <c r="I38" i="6" s="1"/>
  <c r="F29" i="6"/>
  <c r="I36" i="6" s="1"/>
  <c r="AL24" i="19"/>
  <c r="AK24" i="19"/>
  <c r="AL27" i="19"/>
  <c r="AK27" i="19"/>
  <c r="AL7" i="19"/>
  <c r="AK7" i="19"/>
  <c r="AQ7" i="19" s="1"/>
  <c r="AK4" i="19"/>
  <c r="AQ4" i="19" s="1"/>
  <c r="AL4" i="19"/>
  <c r="X20" i="14"/>
  <c r="AJ22" i="53"/>
  <c r="AI22" i="53"/>
  <c r="AJ25" i="19"/>
  <c r="AI25" i="19"/>
  <c r="AJ26" i="19"/>
  <c r="AI26" i="19"/>
  <c r="X25" i="8"/>
  <c r="X18" i="15"/>
  <c r="AM4" i="20"/>
  <c r="AR12" i="23"/>
  <c r="AT12" i="23" s="1"/>
  <c r="AU12" i="23" s="1"/>
  <c r="AW12" i="23"/>
  <c r="AJ18" i="53"/>
  <c r="AI18" i="53"/>
  <c r="AE1" i="17"/>
  <c r="AB18" i="17" s="1"/>
  <c r="AA26" i="7"/>
  <c r="AG26" i="7" s="1"/>
  <c r="Y25" i="7"/>
  <c r="X26" i="7" s="1"/>
  <c r="AL14" i="23"/>
  <c r="AK14" i="23"/>
  <c r="AQ14" i="23" s="1"/>
  <c r="AH15" i="23"/>
  <c r="AQ28" i="21"/>
  <c r="AM28" i="21" s="1"/>
  <c r="ET144" i="61" l="1"/>
  <c r="K23" i="64"/>
  <c r="EY144" i="61"/>
  <c r="K22" i="64"/>
  <c r="EY143" i="61"/>
  <c r="ET143" i="61"/>
  <c r="ES143" i="61"/>
  <c r="H22" i="64" s="1"/>
  <c r="EL147" i="61"/>
  <c r="FX147" i="61"/>
  <c r="EC147" i="61"/>
  <c r="FO147" i="61"/>
  <c r="DX147" i="61"/>
  <c r="FJ147" i="61"/>
  <c r="DS147" i="61"/>
  <c r="FE147" i="61"/>
  <c r="EK147" i="61"/>
  <c r="FW147" i="61"/>
  <c r="EM147" i="61"/>
  <c r="FY147" i="61"/>
  <c r="DW146" i="61"/>
  <c r="FI146" i="61"/>
  <c r="ED146" i="61"/>
  <c r="FP146" i="61"/>
  <c r="EG146" i="61"/>
  <c r="FS146" i="61"/>
  <c r="DU146" i="61"/>
  <c r="FG146" i="61"/>
  <c r="EB146" i="61"/>
  <c r="FN146" i="61"/>
  <c r="EA147" i="61"/>
  <c r="FM147" i="61"/>
  <c r="DZ147" i="61"/>
  <c r="FL147" i="61"/>
  <c r="EN147" i="61"/>
  <c r="FZ147" i="61"/>
  <c r="EI147" i="61"/>
  <c r="FU147" i="61"/>
  <c r="DR147" i="61"/>
  <c r="FD147" i="61"/>
  <c r="EF147" i="61"/>
  <c r="FR147" i="61"/>
  <c r="EM146" i="61"/>
  <c r="FY146" i="61"/>
  <c r="GB146" i="61"/>
  <c r="DZ146" i="61"/>
  <c r="FL146" i="61"/>
  <c r="DY146" i="61"/>
  <c r="FK146" i="61"/>
  <c r="EN146" i="61"/>
  <c r="FZ146" i="61"/>
  <c r="DX146" i="61"/>
  <c r="FJ146" i="61"/>
  <c r="DS146" i="61"/>
  <c r="FE146" i="61"/>
  <c r="DT147" i="61"/>
  <c r="FF147" i="61"/>
  <c r="GB147" i="61"/>
  <c r="EG147" i="61"/>
  <c r="FS147" i="61"/>
  <c r="EB147" i="61"/>
  <c r="FN147" i="61"/>
  <c r="EH147" i="61"/>
  <c r="FT147" i="61"/>
  <c r="DY147" i="61"/>
  <c r="FK147" i="61"/>
  <c r="DR145" i="61"/>
  <c r="EZ145" i="61" s="1"/>
  <c r="FD145" i="61"/>
  <c r="GE145" i="61" s="1"/>
  <c r="L24" i="64" s="1"/>
  <c r="EE146" i="61"/>
  <c r="FQ146" i="61"/>
  <c r="EL146" i="61"/>
  <c r="FX146" i="61"/>
  <c r="DV146" i="61"/>
  <c r="FH146" i="61"/>
  <c r="EK146" i="61"/>
  <c r="FW146" i="61"/>
  <c r="EJ146" i="61"/>
  <c r="FV146" i="61"/>
  <c r="DT146" i="61"/>
  <c r="FF146" i="61"/>
  <c r="DV147" i="61"/>
  <c r="FH147" i="61"/>
  <c r="EJ147" i="61"/>
  <c r="FV147" i="61"/>
  <c r="EE147" i="61"/>
  <c r="FQ147" i="61"/>
  <c r="ED147" i="61"/>
  <c r="FP147" i="61"/>
  <c r="DU147" i="61"/>
  <c r="FG147" i="61"/>
  <c r="DW147" i="61"/>
  <c r="FI147" i="61"/>
  <c r="EO147" i="61"/>
  <c r="GA147" i="61"/>
  <c r="EA146" i="61"/>
  <c r="FM146" i="61"/>
  <c r="EH146" i="61"/>
  <c r="FT146" i="61"/>
  <c r="EO146" i="61"/>
  <c r="GA146" i="61"/>
  <c r="EC146" i="61"/>
  <c r="FO146" i="61"/>
  <c r="EF146" i="61"/>
  <c r="FR146" i="61"/>
  <c r="EI146" i="61"/>
  <c r="FU146" i="61"/>
  <c r="AI130" i="26"/>
  <c r="EU148" i="61"/>
  <c r="EV148" i="61" s="1"/>
  <c r="EU146" i="61"/>
  <c r="EV146" i="61" s="1"/>
  <c r="AI150" i="26"/>
  <c r="AK114" i="32"/>
  <c r="AM114" i="32" s="1"/>
  <c r="AS114" i="32" s="1"/>
  <c r="L119" i="32"/>
  <c r="N119" i="32" s="1"/>
  <c r="AQ119" i="32" s="1"/>
  <c r="L120" i="32"/>
  <c r="N120" i="32" s="1"/>
  <c r="AQ120" i="32" s="1"/>
  <c r="AK115" i="32"/>
  <c r="AM115" i="32" s="1"/>
  <c r="AS115" i="32" s="1"/>
  <c r="Z115" i="32"/>
  <c r="AB115" i="32" s="1"/>
  <c r="AR115" i="32" s="1"/>
  <c r="AI145" i="26"/>
  <c r="J130" i="26"/>
  <c r="N130" i="26" s="1"/>
  <c r="AQ130" i="26" s="1"/>
  <c r="J129" i="26"/>
  <c r="N129" i="26" s="1"/>
  <c r="AQ129" i="26" s="1"/>
  <c r="AI135" i="26"/>
  <c r="J144" i="26"/>
  <c r="N144" i="26" s="1"/>
  <c r="AQ144" i="26" s="1"/>
  <c r="J145" i="26"/>
  <c r="N145" i="26" s="1"/>
  <c r="AQ145" i="26" s="1"/>
  <c r="AI140" i="26"/>
  <c r="AR114" i="32"/>
  <c r="AT114" i="32" s="1"/>
  <c r="D21" i="32" s="1"/>
  <c r="AK119" i="32" s="1"/>
  <c r="AM119" i="32" s="1"/>
  <c r="AS119" i="32" s="1"/>
  <c r="J139" i="26"/>
  <c r="N139" i="26" s="1"/>
  <c r="AQ139" i="26" s="1"/>
  <c r="J140" i="26"/>
  <c r="N140" i="26" s="1"/>
  <c r="AQ140" i="26" s="1"/>
  <c r="J149" i="26"/>
  <c r="N149" i="26" s="1"/>
  <c r="AQ149" i="26" s="1"/>
  <c r="J150" i="26"/>
  <c r="N150" i="26" s="1"/>
  <c r="AQ150" i="26" s="1"/>
  <c r="J134" i="26"/>
  <c r="N134" i="26" s="1"/>
  <c r="AQ134" i="26" s="1"/>
  <c r="J135" i="26"/>
  <c r="N135" i="26" s="1"/>
  <c r="AQ135" i="26" s="1"/>
  <c r="AR9" i="20"/>
  <c r="AT9" i="20" s="1"/>
  <c r="AU9" i="20" s="1"/>
  <c r="AR13" i="59"/>
  <c r="AT60" i="59"/>
  <c r="AV60" i="59" s="1"/>
  <c r="E9" i="59" s="1"/>
  <c r="AT59" i="59"/>
  <c r="EP148" i="61"/>
  <c r="AQ27" i="53"/>
  <c r="AM27" i="53" s="1"/>
  <c r="AR9" i="21"/>
  <c r="AT9" i="21" s="1"/>
  <c r="AU9" i="21" s="1"/>
  <c r="AM21" i="25"/>
  <c r="AR20" i="25"/>
  <c r="AT20" i="25" s="1"/>
  <c r="AU20" i="25" s="1"/>
  <c r="AW20" i="25"/>
  <c r="AL22" i="25"/>
  <c r="AK22" i="25"/>
  <c r="AQ22" i="25" s="1"/>
  <c r="AH23" i="25"/>
  <c r="AT19" i="25"/>
  <c r="AQ25" i="19"/>
  <c r="AM25" i="19" s="1"/>
  <c r="AR6" i="20"/>
  <c r="AT6" i="20" s="1"/>
  <c r="AU6" i="20" s="1"/>
  <c r="AQ26" i="19"/>
  <c r="AM26" i="19" s="1"/>
  <c r="AM5" i="53"/>
  <c r="AR5" i="53" s="1"/>
  <c r="AT5" i="53" s="1"/>
  <c r="AU5" i="53" s="1"/>
  <c r="AM7" i="53"/>
  <c r="AR7" i="53" s="1"/>
  <c r="AT7" i="53" s="1"/>
  <c r="AU7" i="53" s="1"/>
  <c r="AQ26" i="53"/>
  <c r="AM26" i="53" s="1"/>
  <c r="AM6" i="19"/>
  <c r="AW6" i="19" s="1"/>
  <c r="AM8" i="19"/>
  <c r="AR8" i="19" s="1"/>
  <c r="AT8" i="19" s="1"/>
  <c r="AU8" i="19" s="1"/>
  <c r="AM9" i="53"/>
  <c r="AR9" i="53" s="1"/>
  <c r="AT9" i="53" s="1"/>
  <c r="AU9" i="53" s="1"/>
  <c r="AB20" i="17"/>
  <c r="AI20" i="17" s="1"/>
  <c r="AM24" i="21"/>
  <c r="AR24" i="21" s="1"/>
  <c r="AT24" i="21" s="1"/>
  <c r="AU24" i="21" s="1"/>
  <c r="AW27" i="20"/>
  <c r="AM28" i="19"/>
  <c r="AR28" i="19" s="1"/>
  <c r="AT28" i="19" s="1"/>
  <c r="AU28" i="19" s="1"/>
  <c r="AL15" i="23"/>
  <c r="AK15" i="23"/>
  <c r="AQ15" i="23" s="1"/>
  <c r="AH16" i="23"/>
  <c r="AD25" i="17"/>
  <c r="AB25" i="17" s="1"/>
  <c r="AD27" i="17"/>
  <c r="AB27" i="17" s="1"/>
  <c r="AD28" i="17"/>
  <c r="AB28" i="17" s="1"/>
  <c r="AD17" i="17"/>
  <c r="AD26" i="17"/>
  <c r="AB26" i="17" s="1"/>
  <c r="AD24" i="17"/>
  <c r="AB24" i="17" s="1"/>
  <c r="AH24" i="17" s="1"/>
  <c r="AD19" i="17"/>
  <c r="AD20" i="17"/>
  <c r="AD18" i="17"/>
  <c r="AD21" i="17"/>
  <c r="AD23" i="17"/>
  <c r="AD22" i="17"/>
  <c r="AM14" i="23"/>
  <c r="AB22" i="17"/>
  <c r="AB19" i="17"/>
  <c r="AR28" i="21"/>
  <c r="AT28" i="21" s="1"/>
  <c r="AU28" i="21" s="1"/>
  <c r="AW28" i="21"/>
  <c r="AB21" i="17"/>
  <c r="AB17" i="17"/>
  <c r="AM7" i="19"/>
  <c r="AA27" i="5"/>
  <c r="AG27" i="5" s="1"/>
  <c r="Y26" i="5"/>
  <c r="X27" i="5" s="1"/>
  <c r="AM12" i="22"/>
  <c r="AM10" i="21"/>
  <c r="BC27" i="61"/>
  <c r="C28" i="27"/>
  <c r="B27" i="1"/>
  <c r="AP27" i="1"/>
  <c r="AR26" i="21"/>
  <c r="AT26" i="21" s="1"/>
  <c r="AU26" i="21" s="1"/>
  <c r="AW26" i="21"/>
  <c r="H28" i="3"/>
  <c r="I28" i="3" s="1"/>
  <c r="I29" i="3" s="1"/>
  <c r="D28" i="3"/>
  <c r="S7" i="3"/>
  <c r="AR6" i="21"/>
  <c r="AT6" i="21" s="1"/>
  <c r="AU6" i="21" s="1"/>
  <c r="AW6" i="21"/>
  <c r="AR25" i="21"/>
  <c r="AT25" i="21" s="1"/>
  <c r="AU25" i="21" s="1"/>
  <c r="AW25" i="21"/>
  <c r="AM5" i="19"/>
  <c r="AT10" i="24"/>
  <c r="AM8" i="53"/>
  <c r="AM12" i="20"/>
  <c r="AV27" i="2"/>
  <c r="AD1" i="15"/>
  <c r="AG17" i="15"/>
  <c r="AM12" i="24"/>
  <c r="AM10" i="19"/>
  <c r="AA23" i="9"/>
  <c r="AG23" i="9" s="1"/>
  <c r="Y22" i="9"/>
  <c r="X23" i="9" s="1"/>
  <c r="AF17" i="16"/>
  <c r="AF18" i="16" s="1"/>
  <c r="AF19" i="16" s="1"/>
  <c r="AF20" i="16" s="1"/>
  <c r="AF21" i="16" s="1"/>
  <c r="AF22" i="16" s="1"/>
  <c r="AF23" i="16" s="1"/>
  <c r="AF24" i="16" s="1"/>
  <c r="AF25" i="16" s="1"/>
  <c r="AF26" i="16" s="1"/>
  <c r="AF27" i="16" s="1"/>
  <c r="AF28" i="16" s="1"/>
  <c r="AH1" i="16"/>
  <c r="AW1" i="16"/>
  <c r="AM4" i="53"/>
  <c r="AR13" i="23"/>
  <c r="AT13" i="23" s="1"/>
  <c r="AU13" i="23" s="1"/>
  <c r="AW13" i="23"/>
  <c r="G28" i="5"/>
  <c r="G29" i="5" s="1"/>
  <c r="F29" i="5"/>
  <c r="AQ24" i="53"/>
  <c r="AM24" i="53" s="1"/>
  <c r="AR26" i="20"/>
  <c r="AT26" i="20" s="1"/>
  <c r="AU26" i="20" s="1"/>
  <c r="AW26" i="20"/>
  <c r="AT4" i="22"/>
  <c r="AB19" i="18"/>
  <c r="AB23" i="18"/>
  <c r="AK10" i="53"/>
  <c r="AQ10" i="53" s="1"/>
  <c r="AL10" i="53"/>
  <c r="AH11" i="53"/>
  <c r="AA22" i="10"/>
  <c r="AG22" i="10" s="1"/>
  <c r="Y21" i="10"/>
  <c r="X22" i="10" s="1"/>
  <c r="AV26" i="1"/>
  <c r="AR4" i="21"/>
  <c r="AW4" i="21"/>
  <c r="H27" i="2"/>
  <c r="I27" i="2" s="1"/>
  <c r="D27" i="2"/>
  <c r="F27" i="2" s="1"/>
  <c r="G27" i="2" s="1"/>
  <c r="AQ25" i="53"/>
  <c r="AM25" i="53" s="1"/>
  <c r="AR25" i="20"/>
  <c r="AT25" i="20" s="1"/>
  <c r="AU25" i="20" s="1"/>
  <c r="AW25" i="20"/>
  <c r="AE1" i="16"/>
  <c r="AB18" i="16" s="1"/>
  <c r="AR5" i="20"/>
  <c r="AT5" i="20" s="1"/>
  <c r="AU5" i="20" s="1"/>
  <c r="AW5" i="20"/>
  <c r="AB18" i="18"/>
  <c r="AB20" i="18"/>
  <c r="AL12" i="19"/>
  <c r="AK12" i="19"/>
  <c r="AQ12" i="19" s="1"/>
  <c r="AH13" i="19"/>
  <c r="AA25" i="7"/>
  <c r="AG25" i="7" s="1"/>
  <c r="Y24" i="7"/>
  <c r="AB23" i="17"/>
  <c r="AR8" i="20"/>
  <c r="AT8" i="20" s="1"/>
  <c r="AU8" i="20" s="1"/>
  <c r="AW8" i="20"/>
  <c r="F28" i="4"/>
  <c r="D29" i="4"/>
  <c r="AM9" i="19"/>
  <c r="AR7" i="20"/>
  <c r="AT7" i="20" s="1"/>
  <c r="AU7" i="20" s="1"/>
  <c r="AW7" i="20"/>
  <c r="AU4" i="23"/>
  <c r="AR10" i="20"/>
  <c r="AT10" i="20" s="1"/>
  <c r="AU10" i="20" s="1"/>
  <c r="AW10" i="20"/>
  <c r="AR7" i="21"/>
  <c r="AT7" i="21" s="1"/>
  <c r="AU7" i="21" s="1"/>
  <c r="AW7" i="21"/>
  <c r="AL13" i="20"/>
  <c r="AK13" i="20"/>
  <c r="AQ13" i="20" s="1"/>
  <c r="AH14" i="20"/>
  <c r="AA23" i="8"/>
  <c r="AG23" i="8" s="1"/>
  <c r="Y22" i="8"/>
  <c r="AA28" i="4"/>
  <c r="AG28" i="4" s="1"/>
  <c r="Y27" i="4"/>
  <c r="X28" i="4" s="1"/>
  <c r="AL13" i="24"/>
  <c r="AK13" i="24"/>
  <c r="AQ13" i="24" s="1"/>
  <c r="AH14" i="24"/>
  <c r="AQ28" i="53"/>
  <c r="AM28" i="53" s="1"/>
  <c r="AR27" i="21"/>
  <c r="AT27" i="21" s="1"/>
  <c r="AU27" i="21" s="1"/>
  <c r="AW27" i="21"/>
  <c r="AR11" i="22"/>
  <c r="AT11" i="22" s="1"/>
  <c r="AU11" i="22" s="1"/>
  <c r="AW11" i="22"/>
  <c r="AA26" i="6"/>
  <c r="AG26" i="6" s="1"/>
  <c r="Y25" i="6"/>
  <c r="AB17" i="18"/>
  <c r="AM6" i="53"/>
  <c r="AA20" i="11"/>
  <c r="AG20" i="11" s="1"/>
  <c r="Y19" i="11"/>
  <c r="X20" i="11" s="1"/>
  <c r="AM11" i="19"/>
  <c r="AJ18" i="17"/>
  <c r="AI18" i="17"/>
  <c r="AR4" i="20"/>
  <c r="AW4" i="20"/>
  <c r="AM4" i="19"/>
  <c r="X23" i="10"/>
  <c r="AK13" i="22"/>
  <c r="AQ13" i="22" s="1"/>
  <c r="AL13" i="22"/>
  <c r="AH14" i="22"/>
  <c r="AH5" i="18"/>
  <c r="AH4" i="18"/>
  <c r="AH7" i="18"/>
  <c r="AH8" i="18"/>
  <c r="AH9" i="18" s="1"/>
  <c r="AH10" i="18" s="1"/>
  <c r="AH6" i="18"/>
  <c r="AH28" i="18"/>
  <c r="AH27" i="18"/>
  <c r="AH26" i="18"/>
  <c r="AH25" i="18"/>
  <c r="AK11" i="21"/>
  <c r="AQ11" i="21" s="1"/>
  <c r="AL11" i="21"/>
  <c r="AH12" i="21"/>
  <c r="H26" i="1"/>
  <c r="I26" i="1" s="1"/>
  <c r="D26" i="1"/>
  <c r="F26" i="1" s="1"/>
  <c r="G26" i="1" s="1"/>
  <c r="AR11" i="20"/>
  <c r="AT11" i="20" s="1"/>
  <c r="AU11" i="20" s="1"/>
  <c r="AW11" i="20"/>
  <c r="AV28" i="3"/>
  <c r="Y28" i="3"/>
  <c r="BG7" i="3"/>
  <c r="AH4" i="17"/>
  <c r="AH5" i="17"/>
  <c r="AH6" i="17"/>
  <c r="AH7" i="17"/>
  <c r="AH8" i="17"/>
  <c r="AH9" i="17" s="1"/>
  <c r="AH28" i="17"/>
  <c r="AH27" i="17"/>
  <c r="AH26" i="17"/>
  <c r="AH25" i="17"/>
  <c r="AR24" i="20"/>
  <c r="AT24" i="20" s="1"/>
  <c r="AU24" i="20" s="1"/>
  <c r="AW24" i="20"/>
  <c r="AQ27" i="19"/>
  <c r="AM27" i="19" s="1"/>
  <c r="AR11" i="24"/>
  <c r="AT11" i="24" s="1"/>
  <c r="AU11" i="24" s="1"/>
  <c r="AW11" i="24"/>
  <c r="AR28" i="20"/>
  <c r="AT28" i="20" s="1"/>
  <c r="AU28" i="20" s="1"/>
  <c r="AW28" i="20"/>
  <c r="AA20" i="12"/>
  <c r="AG20" i="12" s="1"/>
  <c r="Y19" i="12"/>
  <c r="X20" i="12" s="1"/>
  <c r="AR5" i="21"/>
  <c r="AT5" i="21" s="1"/>
  <c r="AU5" i="21" s="1"/>
  <c r="AW5" i="21"/>
  <c r="C27" i="26"/>
  <c r="AP28" i="2"/>
  <c r="X34" i="61"/>
  <c r="B28" i="2"/>
  <c r="AA18" i="14"/>
  <c r="AG18" i="14" s="1"/>
  <c r="Y17" i="14"/>
  <c r="AQ24" i="19"/>
  <c r="AM24" i="19" s="1"/>
  <c r="AR8" i="21"/>
  <c r="AT8" i="21" s="1"/>
  <c r="AU8" i="21" s="1"/>
  <c r="AW8" i="21"/>
  <c r="AD17" i="18"/>
  <c r="AD28" i="18"/>
  <c r="AB28" i="18" s="1"/>
  <c r="AD27" i="18"/>
  <c r="AB27" i="18" s="1"/>
  <c r="AD21" i="18"/>
  <c r="AD26" i="18"/>
  <c r="AB26" i="18" s="1"/>
  <c r="AD24" i="18"/>
  <c r="AB24" i="18" s="1"/>
  <c r="AD20" i="18"/>
  <c r="AD18" i="18"/>
  <c r="AD19" i="18"/>
  <c r="AD22" i="18"/>
  <c r="AD25" i="18"/>
  <c r="AB25" i="18" s="1"/>
  <c r="AD23" i="18"/>
  <c r="AB22" i="18"/>
  <c r="AB21" i="18"/>
  <c r="AA19" i="13"/>
  <c r="AG19" i="13" s="1"/>
  <c r="Y18" i="13"/>
  <c r="GH147" i="61" l="1"/>
  <c r="N26" i="64" s="1"/>
  <c r="GH145" i="61"/>
  <c r="N24" i="64" s="1"/>
  <c r="ER147" i="61"/>
  <c r="ET147" i="61" s="1"/>
  <c r="GE147" i="61"/>
  <c r="L26" i="64" s="1"/>
  <c r="GC147" i="61"/>
  <c r="GD147" i="61" s="1"/>
  <c r="EZ147" i="61"/>
  <c r="GC145" i="61"/>
  <c r="GD145" i="61" s="1"/>
  <c r="ER145" i="61"/>
  <c r="EO148" i="61"/>
  <c r="GA148" i="61"/>
  <c r="EB148" i="61"/>
  <c r="FN148" i="61"/>
  <c r="DW148" i="61"/>
  <c r="FI148" i="61"/>
  <c r="DV148" i="61"/>
  <c r="FH148" i="61"/>
  <c r="EJ148" i="61"/>
  <c r="FV148" i="61"/>
  <c r="GB148" i="61"/>
  <c r="ED148" i="61"/>
  <c r="FP148" i="61"/>
  <c r="EC148" i="61"/>
  <c r="FO148" i="61"/>
  <c r="EM148" i="61"/>
  <c r="FY148" i="61"/>
  <c r="EL148" i="61"/>
  <c r="FX148" i="61"/>
  <c r="DU148" i="61"/>
  <c r="FG148" i="61"/>
  <c r="EE148" i="61"/>
  <c r="FQ148" i="61"/>
  <c r="DR146" i="61"/>
  <c r="EZ146" i="61" s="1"/>
  <c r="FD146" i="61"/>
  <c r="GE146" i="61" s="1"/>
  <c r="L25" i="64" s="1"/>
  <c r="DS148" i="61"/>
  <c r="FE148" i="61"/>
  <c r="DR148" i="61"/>
  <c r="FD148" i="61"/>
  <c r="EF148" i="61"/>
  <c r="FR148" i="61"/>
  <c r="EA148" i="61"/>
  <c r="FM148" i="61"/>
  <c r="EK148" i="61"/>
  <c r="FW148" i="61"/>
  <c r="DX148" i="61"/>
  <c r="FJ148" i="61"/>
  <c r="DY148" i="61"/>
  <c r="FK148" i="61"/>
  <c r="EI148" i="61"/>
  <c r="FU148" i="61"/>
  <c r="EH148" i="61"/>
  <c r="FT148" i="61"/>
  <c r="EG148" i="61"/>
  <c r="FS148" i="61"/>
  <c r="DT148" i="61"/>
  <c r="FF148" i="61"/>
  <c r="DZ148" i="61"/>
  <c r="FL148" i="61"/>
  <c r="EN148" i="61"/>
  <c r="FZ148" i="61"/>
  <c r="EU149" i="61"/>
  <c r="EV149" i="61" s="1"/>
  <c r="AT115" i="32"/>
  <c r="E21" i="32" s="1"/>
  <c r="AK120" i="32" s="1"/>
  <c r="AM120" i="32" s="1"/>
  <c r="AS120" i="32" s="1"/>
  <c r="AT120" i="32" s="1"/>
  <c r="E22" i="32" s="1"/>
  <c r="AK125" i="32" s="1"/>
  <c r="AM125" i="32" s="1"/>
  <c r="AS125" i="32" s="1"/>
  <c r="AT125" i="32" s="1"/>
  <c r="E23" i="32" s="1"/>
  <c r="AK130" i="32" s="1"/>
  <c r="AM130" i="32" s="1"/>
  <c r="AS130" i="32" s="1"/>
  <c r="AT130" i="32" s="1"/>
  <c r="E25" i="32" s="1"/>
  <c r="AT119" i="32"/>
  <c r="D22" i="32" s="1"/>
  <c r="AK124" i="32" s="1"/>
  <c r="AM124" i="32" s="1"/>
  <c r="AS124" i="32" s="1"/>
  <c r="AT124" i="32" s="1"/>
  <c r="D23" i="32" s="1"/>
  <c r="AK129" i="32" s="1"/>
  <c r="AM129" i="32" s="1"/>
  <c r="AS129" i="32" s="1"/>
  <c r="AT129" i="32" s="1"/>
  <c r="D24" i="32" s="1"/>
  <c r="D460" i="66"/>
  <c r="D27" i="32"/>
  <c r="AR59" i="59"/>
  <c r="AV59" i="59" s="1"/>
  <c r="L72" i="59"/>
  <c r="N72" i="59" s="1"/>
  <c r="AS72" i="59" s="1"/>
  <c r="AM66" i="59"/>
  <c r="AO66" i="59" s="1"/>
  <c r="AU66" i="59" s="1"/>
  <c r="Z66" i="59"/>
  <c r="AB66" i="59" s="1"/>
  <c r="EP149" i="61"/>
  <c r="AM22" i="25"/>
  <c r="AW22" i="25" s="1"/>
  <c r="AK23" i="25"/>
  <c r="AQ23" i="25" s="1"/>
  <c r="AL23" i="25"/>
  <c r="AR21" i="25"/>
  <c r="AW21" i="25"/>
  <c r="AU19" i="25"/>
  <c r="AR6" i="19"/>
  <c r="AT6" i="19" s="1"/>
  <c r="AU6" i="19" s="1"/>
  <c r="AW5" i="53"/>
  <c r="AW7" i="53"/>
  <c r="AW9" i="53"/>
  <c r="AJ20" i="17"/>
  <c r="AW28" i="19"/>
  <c r="AW8" i="19"/>
  <c r="AW24" i="21"/>
  <c r="AM12" i="19"/>
  <c r="AW12" i="19" s="1"/>
  <c r="AM11" i="21"/>
  <c r="AR11" i="21" s="1"/>
  <c r="AT11" i="21" s="1"/>
  <c r="AU11" i="21" s="1"/>
  <c r="AM15" i="23"/>
  <c r="AW15" i="23" s="1"/>
  <c r="AB17" i="16"/>
  <c r="AI17" i="16" s="1"/>
  <c r="AB19" i="16"/>
  <c r="AI19" i="16" s="1"/>
  <c r="AB23" i="16"/>
  <c r="AI23" i="16" s="1"/>
  <c r="AM13" i="24"/>
  <c r="AW13" i="24" s="1"/>
  <c r="AJ25" i="18"/>
  <c r="AI25" i="18"/>
  <c r="AL9" i="17"/>
  <c r="AK9" i="17"/>
  <c r="AQ9" i="17" s="1"/>
  <c r="AH10" i="17"/>
  <c r="AI24" i="18"/>
  <c r="AJ24" i="18"/>
  <c r="AH24" i="18"/>
  <c r="AI28" i="18"/>
  <c r="AJ28" i="18"/>
  <c r="AI26" i="18"/>
  <c r="AJ26" i="18"/>
  <c r="AJ21" i="18"/>
  <c r="AI21" i="18"/>
  <c r="X17" i="14"/>
  <c r="AA17" i="14"/>
  <c r="X16" i="14"/>
  <c r="AV28" i="2"/>
  <c r="Y28" i="2"/>
  <c r="Y27" i="2" s="1"/>
  <c r="BG7" i="2"/>
  <c r="AL25" i="17"/>
  <c r="AK25" i="17"/>
  <c r="AK7" i="17"/>
  <c r="AQ7" i="17" s="1"/>
  <c r="AL7" i="17"/>
  <c r="AL26" i="18"/>
  <c r="AK26" i="18"/>
  <c r="AK10" i="18"/>
  <c r="AQ10" i="18" s="1"/>
  <c r="AL10" i="18"/>
  <c r="AL7" i="18"/>
  <c r="AK7" i="18"/>
  <c r="AQ7" i="18" s="1"/>
  <c r="AL14" i="22"/>
  <c r="AK14" i="22"/>
  <c r="AQ14" i="22" s="1"/>
  <c r="AH15" i="22"/>
  <c r="AR4" i="19"/>
  <c r="AW4" i="19"/>
  <c r="AJ24" i="17"/>
  <c r="AI24" i="17"/>
  <c r="AJ17" i="18"/>
  <c r="AI17" i="18"/>
  <c r="AR13" i="24"/>
  <c r="AT13" i="24" s="1"/>
  <c r="AU13" i="24" s="1"/>
  <c r="AK14" i="20"/>
  <c r="AQ14" i="20" s="1"/>
  <c r="AL14" i="20"/>
  <c r="AH15" i="20"/>
  <c r="AJ23" i="17"/>
  <c r="AI23" i="17"/>
  <c r="AL13" i="19"/>
  <c r="AK13" i="19"/>
  <c r="AQ13" i="19" s="1"/>
  <c r="AH14" i="19"/>
  <c r="AB21" i="16"/>
  <c r="AB22" i="16"/>
  <c r="AM10" i="53"/>
  <c r="AU4" i="22"/>
  <c r="AR24" i="53"/>
  <c r="AT24" i="53" s="1"/>
  <c r="AU24" i="53" s="1"/>
  <c r="AW24" i="53"/>
  <c r="AR10" i="19"/>
  <c r="AT10" i="19" s="1"/>
  <c r="AU10" i="19" s="1"/>
  <c r="AW10" i="19"/>
  <c r="AR12" i="24"/>
  <c r="AT12" i="24" s="1"/>
  <c r="AU12" i="24" s="1"/>
  <c r="AW12" i="24"/>
  <c r="AR8" i="53"/>
  <c r="AT8" i="53" s="1"/>
  <c r="AU8" i="53" s="1"/>
  <c r="AW8" i="53"/>
  <c r="H27" i="1"/>
  <c r="I27" i="1" s="1"/>
  <c r="D27" i="1"/>
  <c r="F27" i="1" s="1"/>
  <c r="G27" i="1" s="1"/>
  <c r="AJ21" i="17"/>
  <c r="AI21" i="17"/>
  <c r="AJ19" i="17"/>
  <c r="AI19" i="17"/>
  <c r="AL16" i="23"/>
  <c r="AK16" i="23"/>
  <c r="AQ16" i="23" s="1"/>
  <c r="AG31" i="23" s="1"/>
  <c r="AH17" i="23"/>
  <c r="AA18" i="13"/>
  <c r="AG18" i="13" s="1"/>
  <c r="Y17" i="13"/>
  <c r="AJ27" i="18"/>
  <c r="AI27" i="18"/>
  <c r="AL26" i="17"/>
  <c r="AK26" i="17"/>
  <c r="AL6" i="17"/>
  <c r="AK6" i="17"/>
  <c r="AQ6" i="17" s="1"/>
  <c r="AL12" i="21"/>
  <c r="AK12" i="21"/>
  <c r="AQ12" i="21" s="1"/>
  <c r="AH13" i="21"/>
  <c r="AK27" i="18"/>
  <c r="AL27" i="18"/>
  <c r="AK9" i="18"/>
  <c r="AQ9" i="18" s="1"/>
  <c r="AL9" i="18"/>
  <c r="AL4" i="18"/>
  <c r="AK4" i="18"/>
  <c r="AQ4" i="18" s="1"/>
  <c r="AJ26" i="17"/>
  <c r="AI26" i="17"/>
  <c r="AA25" i="6"/>
  <c r="AG25" i="6" s="1"/>
  <c r="Y24" i="6"/>
  <c r="AR28" i="53"/>
  <c r="AT28" i="53" s="1"/>
  <c r="AU28" i="53" s="1"/>
  <c r="AW28" i="53"/>
  <c r="AA22" i="8"/>
  <c r="AG22" i="8" s="1"/>
  <c r="Y21" i="8"/>
  <c r="X22" i="8" s="1"/>
  <c r="AM13" i="20"/>
  <c r="G28" i="4"/>
  <c r="G29" i="4" s="1"/>
  <c r="F29" i="4"/>
  <c r="AR26" i="53"/>
  <c r="AT26" i="53" s="1"/>
  <c r="AU26" i="53" s="1"/>
  <c r="AW26" i="53"/>
  <c r="AR26" i="19"/>
  <c r="AT26" i="19" s="1"/>
  <c r="AU26" i="19" s="1"/>
  <c r="AW26" i="19"/>
  <c r="AA24" i="7"/>
  <c r="AG24" i="7" s="1"/>
  <c r="Y23" i="7"/>
  <c r="AI20" i="18"/>
  <c r="AJ20" i="18"/>
  <c r="AT4" i="21"/>
  <c r="AJ28" i="17"/>
  <c r="AI28" i="17"/>
  <c r="AA22" i="9"/>
  <c r="AG22" i="9" s="1"/>
  <c r="Y21" i="9"/>
  <c r="X22" i="9" s="1"/>
  <c r="AR12" i="22"/>
  <c r="AT12" i="22" s="1"/>
  <c r="AU12" i="22" s="1"/>
  <c r="AW12" i="22"/>
  <c r="AR7" i="19"/>
  <c r="AT7" i="19" s="1"/>
  <c r="AU7" i="19" s="1"/>
  <c r="AW7" i="19"/>
  <c r="AJ25" i="17"/>
  <c r="AI25" i="17"/>
  <c r="AJ22" i="17"/>
  <c r="AI22" i="17"/>
  <c r="AI22" i="18"/>
  <c r="AJ22" i="18"/>
  <c r="AR24" i="19"/>
  <c r="AT24" i="19" s="1"/>
  <c r="AU24" i="19" s="1"/>
  <c r="AW24" i="19"/>
  <c r="X18" i="14"/>
  <c r="H28" i="2"/>
  <c r="I28" i="2" s="1"/>
  <c r="I29" i="2" s="1"/>
  <c r="D28" i="2"/>
  <c r="S7" i="2"/>
  <c r="AR27" i="19"/>
  <c r="AT27" i="19" s="1"/>
  <c r="AU27" i="19" s="1"/>
  <c r="AW27" i="19"/>
  <c r="AL27" i="17"/>
  <c r="AK27" i="17"/>
  <c r="AK5" i="17"/>
  <c r="AQ5" i="17" s="1"/>
  <c r="AL5" i="17"/>
  <c r="AA28" i="3"/>
  <c r="AG28" i="3" s="1"/>
  <c r="AL28" i="18"/>
  <c r="AK28" i="18"/>
  <c r="AL6" i="18"/>
  <c r="AK6" i="18"/>
  <c r="AQ6" i="18" s="1"/>
  <c r="AL5" i="18"/>
  <c r="AK5" i="18"/>
  <c r="AQ5" i="18" s="1"/>
  <c r="AM13" i="22"/>
  <c r="AR11" i="19"/>
  <c r="AT11" i="19" s="1"/>
  <c r="AU11" i="19" s="1"/>
  <c r="AW11" i="19"/>
  <c r="AR6" i="53"/>
  <c r="AT6" i="53" s="1"/>
  <c r="AU6" i="53" s="1"/>
  <c r="AW6" i="53"/>
  <c r="AA27" i="4"/>
  <c r="AG27" i="4" s="1"/>
  <c r="Y26" i="4"/>
  <c r="X27" i="4" s="1"/>
  <c r="AR27" i="53"/>
  <c r="AT27" i="53" s="1"/>
  <c r="AU27" i="53" s="1"/>
  <c r="AW27" i="53"/>
  <c r="AI18" i="18"/>
  <c r="AJ18" i="18"/>
  <c r="AD23" i="16"/>
  <c r="AD25" i="16"/>
  <c r="AB25" i="16" s="1"/>
  <c r="AD17" i="16"/>
  <c r="AD26" i="16"/>
  <c r="AB26" i="16" s="1"/>
  <c r="AD28" i="16"/>
  <c r="AB28" i="16" s="1"/>
  <c r="AD24" i="16"/>
  <c r="AB24" i="16" s="1"/>
  <c r="AH24" i="16" s="1"/>
  <c r="AD22" i="16"/>
  <c r="AD18" i="16"/>
  <c r="AD20" i="16"/>
  <c r="AD27" i="16"/>
  <c r="AB27" i="16" s="1"/>
  <c r="AD19" i="16"/>
  <c r="AD21" i="16"/>
  <c r="AB20" i="16"/>
  <c r="AA21" i="10"/>
  <c r="AG21" i="10" s="1"/>
  <c r="Y20" i="10"/>
  <c r="AK11" i="53"/>
  <c r="AQ11" i="53" s="1"/>
  <c r="AL11" i="53"/>
  <c r="AH12" i="53"/>
  <c r="AJ23" i="18"/>
  <c r="AI23" i="18"/>
  <c r="AR4" i="53"/>
  <c r="AW4" i="53"/>
  <c r="AH4" i="16"/>
  <c r="AH5" i="16"/>
  <c r="AH7" i="16"/>
  <c r="AH8" i="16"/>
  <c r="AH6" i="16"/>
  <c r="AH28" i="16"/>
  <c r="AH27" i="16"/>
  <c r="AH26" i="16"/>
  <c r="AH25" i="16"/>
  <c r="AF17" i="15"/>
  <c r="AF18" i="15" s="1"/>
  <c r="AF19" i="15" s="1"/>
  <c r="AF20" i="15" s="1"/>
  <c r="AF21" i="15" s="1"/>
  <c r="AF22" i="15" s="1"/>
  <c r="AF23" i="15" s="1"/>
  <c r="AF24" i="15" s="1"/>
  <c r="AF25" i="15" s="1"/>
  <c r="AF26" i="15" s="1"/>
  <c r="AF27" i="15" s="1"/>
  <c r="AF28" i="15" s="1"/>
  <c r="AH1" i="15"/>
  <c r="AW1" i="15"/>
  <c r="AR5" i="19"/>
  <c r="AT5" i="19" s="1"/>
  <c r="AU5" i="19" s="1"/>
  <c r="AW5" i="19"/>
  <c r="F28" i="3"/>
  <c r="D29" i="3"/>
  <c r="Y34" i="61"/>
  <c r="AP28" i="1"/>
  <c r="AR31" i="61"/>
  <c r="B28" i="1"/>
  <c r="C28" i="26"/>
  <c r="BE2" i="61" a="1"/>
  <c r="AA26" i="5"/>
  <c r="AG26" i="5" s="1"/>
  <c r="Y25" i="5"/>
  <c r="AR25" i="19"/>
  <c r="AT25" i="19" s="1"/>
  <c r="AU25" i="19" s="1"/>
  <c r="AW25" i="19"/>
  <c r="Y27" i="3"/>
  <c r="X19" i="13"/>
  <c r="AA19" i="12"/>
  <c r="AG19" i="12" s="1"/>
  <c r="Y18" i="12"/>
  <c r="AL24" i="17"/>
  <c r="AK24" i="17"/>
  <c r="AL28" i="17"/>
  <c r="AK28" i="17"/>
  <c r="AL8" i="17"/>
  <c r="AK8" i="17"/>
  <c r="AQ8" i="17" s="1"/>
  <c r="AL4" i="17"/>
  <c r="AK4" i="17"/>
  <c r="AQ4" i="17" s="1"/>
  <c r="AK25" i="18"/>
  <c r="AL25" i="18"/>
  <c r="AH11" i="18"/>
  <c r="AL8" i="18"/>
  <c r="AK8" i="18"/>
  <c r="AQ8" i="18" s="1"/>
  <c r="AT4" i="20"/>
  <c r="AA19" i="11"/>
  <c r="AG19" i="11" s="1"/>
  <c r="Y18" i="11"/>
  <c r="X19" i="11" s="1"/>
  <c r="X26" i="6"/>
  <c r="AK14" i="24"/>
  <c r="AQ14" i="24" s="1"/>
  <c r="AL14" i="24"/>
  <c r="AH15" i="24"/>
  <c r="X23" i="8"/>
  <c r="AR9" i="19"/>
  <c r="AT9" i="19" s="1"/>
  <c r="AU9" i="19" s="1"/>
  <c r="AW9" i="19"/>
  <c r="AJ27" i="17"/>
  <c r="AI27" i="17"/>
  <c r="X25" i="7"/>
  <c r="AJ18" i="16"/>
  <c r="AI18" i="16"/>
  <c r="AR25" i="53"/>
  <c r="AT25" i="53" s="1"/>
  <c r="AU25" i="53" s="1"/>
  <c r="AW25" i="53"/>
  <c r="AJ19" i="18"/>
  <c r="AI19" i="18"/>
  <c r="AE1" i="15"/>
  <c r="AB19" i="15" s="1"/>
  <c r="AR12" i="20"/>
  <c r="AT12" i="20" s="1"/>
  <c r="AU12" i="20" s="1"/>
  <c r="AW12" i="20"/>
  <c r="AU10" i="24"/>
  <c r="AV27" i="1"/>
  <c r="AR10" i="21"/>
  <c r="AT10" i="21" s="1"/>
  <c r="AU10" i="21" s="1"/>
  <c r="AW10" i="21"/>
  <c r="AJ17" i="17"/>
  <c r="AI17" i="17"/>
  <c r="AR14" i="23"/>
  <c r="AW14" i="23"/>
  <c r="GH148" i="61" l="1"/>
  <c r="N27" i="64" s="1"/>
  <c r="GH146" i="61"/>
  <c r="N25" i="64" s="1"/>
  <c r="ES147" i="61"/>
  <c r="H26" i="64" s="1"/>
  <c r="E24" i="32"/>
  <c r="E26" i="32"/>
  <c r="E28" i="32"/>
  <c r="E27" i="32"/>
  <c r="GE148" i="61"/>
  <c r="L27" i="64" s="1"/>
  <c r="EY147" i="61"/>
  <c r="K24" i="64"/>
  <c r="EY145" i="61"/>
  <c r="K26" i="64"/>
  <c r="GC148" i="61"/>
  <c r="GD148" i="61" s="1"/>
  <c r="EZ148" i="61"/>
  <c r="GC146" i="61"/>
  <c r="GD146" i="61" s="1"/>
  <c r="ER146" i="61"/>
  <c r="ER148" i="61"/>
  <c r="ET145" i="61"/>
  <c r="ES145" i="61"/>
  <c r="H24" i="64" s="1"/>
  <c r="ES146" i="61"/>
  <c r="H25" i="64" s="1"/>
  <c r="ES148" i="61"/>
  <c r="H27" i="64" s="1"/>
  <c r="DY149" i="61"/>
  <c r="FK149" i="61"/>
  <c r="EI149" i="61"/>
  <c r="FU149" i="61"/>
  <c r="DR149" i="61"/>
  <c r="FD149" i="61"/>
  <c r="DX149" i="61"/>
  <c r="FJ149" i="61"/>
  <c r="EL149" i="61"/>
  <c r="FX149" i="61"/>
  <c r="EK149" i="61"/>
  <c r="FW149" i="61"/>
  <c r="EO149" i="61"/>
  <c r="GA149" i="61"/>
  <c r="DT149" i="61"/>
  <c r="FF149" i="61"/>
  <c r="EH149" i="61"/>
  <c r="FT149" i="61"/>
  <c r="EN149" i="61"/>
  <c r="FZ149" i="61"/>
  <c r="EA149" i="61"/>
  <c r="FM149" i="61"/>
  <c r="DZ149" i="61"/>
  <c r="FL149" i="61"/>
  <c r="ED149" i="61"/>
  <c r="FP149" i="61"/>
  <c r="EJ149" i="61"/>
  <c r="FV149" i="61"/>
  <c r="DW149" i="61"/>
  <c r="FI149" i="61"/>
  <c r="EG149" i="61"/>
  <c r="FS149" i="61"/>
  <c r="EB149" i="61"/>
  <c r="FN149" i="61"/>
  <c r="GB149" i="61"/>
  <c r="EF149" i="61"/>
  <c r="FR149" i="61"/>
  <c r="DS149" i="61"/>
  <c r="FE149" i="61"/>
  <c r="EC149" i="61"/>
  <c r="FO149" i="61"/>
  <c r="EM149" i="61"/>
  <c r="FY149" i="61"/>
  <c r="DV149" i="61"/>
  <c r="FH149" i="61"/>
  <c r="DU149" i="61"/>
  <c r="FG149" i="61"/>
  <c r="EE149" i="61"/>
  <c r="FQ149" i="61"/>
  <c r="EP150" i="61"/>
  <c r="D28" i="32"/>
  <c r="D25" i="32"/>
  <c r="D26" i="32"/>
  <c r="AC88" i="61" a="1"/>
  <c r="AU88" i="61" s="1"/>
  <c r="AK140" i="32"/>
  <c r="AM140" i="32" s="1"/>
  <c r="AS140" i="32" s="1"/>
  <c r="AT140" i="32" s="1"/>
  <c r="AK145" i="32"/>
  <c r="AM145" i="32" s="1"/>
  <c r="AS145" i="32" s="1"/>
  <c r="AT145" i="32" s="1"/>
  <c r="AK135" i="32"/>
  <c r="AM135" i="32" s="1"/>
  <c r="AS135" i="32" s="1"/>
  <c r="AT135" i="32" s="1"/>
  <c r="AK150" i="32"/>
  <c r="AM150" i="32" s="1"/>
  <c r="AS150" i="32" s="1"/>
  <c r="AT150" i="32" s="1"/>
  <c r="B460" i="66"/>
  <c r="A460" i="66"/>
  <c r="AK139" i="32"/>
  <c r="AM139" i="32" s="1"/>
  <c r="AS139" i="32" s="1"/>
  <c r="AT139" i="32" s="1"/>
  <c r="AK149" i="32"/>
  <c r="AM149" i="32" s="1"/>
  <c r="AS149" i="32" s="1"/>
  <c r="AT149" i="32" s="1"/>
  <c r="AK134" i="32"/>
  <c r="AM134" i="32" s="1"/>
  <c r="AS134" i="32" s="1"/>
  <c r="AT134" i="32" s="1"/>
  <c r="AK144" i="32"/>
  <c r="AM144" i="32" s="1"/>
  <c r="AS144" i="32" s="1"/>
  <c r="AT144" i="32" s="1"/>
  <c r="D9" i="59"/>
  <c r="AV58" i="59"/>
  <c r="B42" i="58" s="1" a="1"/>
  <c r="AR22" i="25"/>
  <c r="AT22" i="25" s="1"/>
  <c r="AU22" i="25" s="1"/>
  <c r="AT21" i="25"/>
  <c r="AG32" i="25"/>
  <c r="AM23" i="25"/>
  <c r="AR15" i="23"/>
  <c r="AT15" i="23" s="1"/>
  <c r="AU15" i="23" s="1"/>
  <c r="AJ19" i="16"/>
  <c r="AQ25" i="17"/>
  <c r="AM25" i="17" s="1"/>
  <c r="AR25" i="17" s="1"/>
  <c r="AT25" i="17" s="1"/>
  <c r="AU25" i="17" s="1"/>
  <c r="AR12" i="19"/>
  <c r="AT12" i="19" s="1"/>
  <c r="AU12" i="19" s="1"/>
  <c r="AQ26" i="17"/>
  <c r="AM26" i="17" s="1"/>
  <c r="AR26" i="17" s="1"/>
  <c r="AT26" i="17" s="1"/>
  <c r="AU26" i="17" s="1"/>
  <c r="AQ27" i="17"/>
  <c r="AM27" i="17" s="1"/>
  <c r="AJ17" i="16"/>
  <c r="AM7" i="17"/>
  <c r="AW7" i="17" s="1"/>
  <c r="AJ23" i="16"/>
  <c r="AW11" i="21"/>
  <c r="AM7" i="18"/>
  <c r="AR7" i="18" s="1"/>
  <c r="AT7" i="18" s="1"/>
  <c r="AU7" i="18" s="1"/>
  <c r="AM8" i="18"/>
  <c r="AR8" i="18" s="1"/>
  <c r="AT8" i="18" s="1"/>
  <c r="AU8" i="18" s="1"/>
  <c r="AM14" i="22"/>
  <c r="AR14" i="22" s="1"/>
  <c r="AT14" i="22" s="1"/>
  <c r="AU14" i="22" s="1"/>
  <c r="AB23" i="15"/>
  <c r="AJ23" i="15" s="1"/>
  <c r="AM14" i="20"/>
  <c r="AR14" i="20" s="1"/>
  <c r="AT14" i="20" s="1"/>
  <c r="AU14" i="20" s="1"/>
  <c r="AJ26" i="16"/>
  <c r="AI26" i="16"/>
  <c r="AI25" i="16"/>
  <c r="AJ25" i="16"/>
  <c r="CC27" i="61"/>
  <c r="BY27" i="61"/>
  <c r="BU27" i="61"/>
  <c r="BQ27" i="61"/>
  <c r="BM27" i="61"/>
  <c r="BI27" i="61"/>
  <c r="BE27" i="61"/>
  <c r="CA26" i="61"/>
  <c r="BW26" i="61"/>
  <c r="BS26" i="61"/>
  <c r="BO26" i="61"/>
  <c r="BK26" i="61"/>
  <c r="BG26" i="61"/>
  <c r="CC25" i="61"/>
  <c r="BY25" i="61"/>
  <c r="BU25" i="61"/>
  <c r="BQ25" i="61"/>
  <c r="BM25" i="61"/>
  <c r="BI25" i="61"/>
  <c r="BE25" i="61"/>
  <c r="CA24" i="61"/>
  <c r="BW24" i="61"/>
  <c r="BS24" i="61"/>
  <c r="BO24" i="61"/>
  <c r="BK24" i="61"/>
  <c r="BG24" i="61"/>
  <c r="CC23" i="61"/>
  <c r="BY23" i="61"/>
  <c r="BU23" i="61"/>
  <c r="BQ23" i="61"/>
  <c r="BM23" i="61"/>
  <c r="BI23" i="61"/>
  <c r="BE23" i="61"/>
  <c r="CA22" i="61"/>
  <c r="BW22" i="61"/>
  <c r="BS22" i="61"/>
  <c r="BO22" i="61"/>
  <c r="BK22" i="61"/>
  <c r="BG22" i="61"/>
  <c r="CC21" i="61"/>
  <c r="BY21" i="61"/>
  <c r="BU21" i="61"/>
  <c r="BQ21" i="61"/>
  <c r="BM21" i="61"/>
  <c r="BI21" i="61"/>
  <c r="BE21" i="61"/>
  <c r="CA20" i="61"/>
  <c r="BW20" i="61"/>
  <c r="BS20" i="61"/>
  <c r="BO20" i="61"/>
  <c r="BK20" i="61"/>
  <c r="BG20" i="61"/>
  <c r="CC19" i="61"/>
  <c r="BY19" i="61"/>
  <c r="BU19" i="61"/>
  <c r="BQ19" i="61"/>
  <c r="BM19" i="61"/>
  <c r="BI19" i="61"/>
  <c r="BE19" i="61"/>
  <c r="CA18" i="61"/>
  <c r="BW18" i="61"/>
  <c r="BS18" i="61"/>
  <c r="BO18" i="61"/>
  <c r="BK18" i="61"/>
  <c r="BG18" i="61"/>
  <c r="CC17" i="61"/>
  <c r="BY17" i="61"/>
  <c r="BU17" i="61"/>
  <c r="BQ17" i="61"/>
  <c r="BM17" i="61"/>
  <c r="BI17" i="61"/>
  <c r="BE17" i="61"/>
  <c r="CA16" i="61"/>
  <c r="BW16" i="61"/>
  <c r="BS16" i="61"/>
  <c r="BO16" i="61"/>
  <c r="BK16" i="61"/>
  <c r="BG16" i="61"/>
  <c r="CC15" i="61"/>
  <c r="BY15" i="61"/>
  <c r="BU15" i="61"/>
  <c r="BQ15" i="61"/>
  <c r="BM15" i="61"/>
  <c r="BI15" i="61"/>
  <c r="BE15" i="61"/>
  <c r="CA14" i="61"/>
  <c r="BW14" i="61"/>
  <c r="BS14" i="61"/>
  <c r="BO14" i="61"/>
  <c r="BK14" i="61"/>
  <c r="BG14" i="61"/>
  <c r="CC13" i="61"/>
  <c r="BY13" i="61"/>
  <c r="BU13" i="61"/>
  <c r="BQ13" i="61"/>
  <c r="BM13" i="61"/>
  <c r="BI13" i="61"/>
  <c r="BE13" i="61"/>
  <c r="CA12" i="61"/>
  <c r="BW12" i="61"/>
  <c r="BS12" i="61"/>
  <c r="BO12" i="61"/>
  <c r="BK12" i="61"/>
  <c r="BG12" i="61"/>
  <c r="CC11" i="61"/>
  <c r="BY11" i="61"/>
  <c r="BU11" i="61"/>
  <c r="BQ11" i="61"/>
  <c r="BM11" i="61"/>
  <c r="BI11" i="61"/>
  <c r="BE11" i="61"/>
  <c r="CA10" i="61"/>
  <c r="BW10" i="61"/>
  <c r="BS10" i="61"/>
  <c r="BO10" i="61"/>
  <c r="BK10" i="61"/>
  <c r="BG10" i="61"/>
  <c r="CC9" i="61"/>
  <c r="BY9" i="61"/>
  <c r="BU9" i="61"/>
  <c r="BQ9" i="61"/>
  <c r="BM9" i="61"/>
  <c r="BI9" i="61"/>
  <c r="BE9" i="61"/>
  <c r="CA8" i="61"/>
  <c r="BW8" i="61"/>
  <c r="BS8" i="61"/>
  <c r="BO8" i="61"/>
  <c r="BK8" i="61"/>
  <c r="BG8" i="61"/>
  <c r="CC7" i="61"/>
  <c r="BY7" i="61"/>
  <c r="BU7" i="61"/>
  <c r="BQ7" i="61"/>
  <c r="BM7" i="61"/>
  <c r="BI7" i="61"/>
  <c r="BE7" i="61"/>
  <c r="CA6" i="61"/>
  <c r="BW6" i="61"/>
  <c r="BS6" i="61"/>
  <c r="BO6" i="61"/>
  <c r="BK6" i="61"/>
  <c r="BG6" i="61"/>
  <c r="CC5" i="61"/>
  <c r="BY5" i="61"/>
  <c r="BU5" i="61"/>
  <c r="BQ5" i="61"/>
  <c r="BM5" i="61"/>
  <c r="BI5" i="61"/>
  <c r="BE5" i="61"/>
  <c r="CA4" i="61"/>
  <c r="BW4" i="61"/>
  <c r="BS4" i="61"/>
  <c r="BO4" i="61"/>
  <c r="BK4" i="61"/>
  <c r="BG4" i="61"/>
  <c r="CC3" i="61"/>
  <c r="Y96" i="61" s="1"/>
  <c r="BY3" i="61"/>
  <c r="BU3" i="61"/>
  <c r="BQ3" i="61"/>
  <c r="BM3" i="61"/>
  <c r="I96" i="61" s="1"/>
  <c r="BI3" i="61"/>
  <c r="E96" i="61" s="1"/>
  <c r="BE3" i="61"/>
  <c r="CA2" i="61"/>
  <c r="BW2" i="61"/>
  <c r="BS2" i="61"/>
  <c r="BO2" i="61"/>
  <c r="BK2" i="61"/>
  <c r="BG2" i="61"/>
  <c r="CB27" i="61"/>
  <c r="BX27" i="61"/>
  <c r="BT27" i="61"/>
  <c r="BP27" i="61"/>
  <c r="BL27" i="61"/>
  <c r="BH27" i="61"/>
  <c r="CD26" i="61"/>
  <c r="BZ26" i="61"/>
  <c r="BV26" i="61"/>
  <c r="BR26" i="61"/>
  <c r="BN26" i="61"/>
  <c r="BJ26" i="61"/>
  <c r="BF26" i="61"/>
  <c r="CB25" i="61"/>
  <c r="BX25" i="61"/>
  <c r="BT25" i="61"/>
  <c r="BP25" i="61"/>
  <c r="BL25" i="61"/>
  <c r="BH25" i="61"/>
  <c r="CD24" i="61"/>
  <c r="BZ24" i="61"/>
  <c r="BV24" i="61"/>
  <c r="BR24" i="61"/>
  <c r="BN24" i="61"/>
  <c r="BJ24" i="61"/>
  <c r="BF24" i="61"/>
  <c r="CB23" i="61"/>
  <c r="BX23" i="61"/>
  <c r="BT23" i="61"/>
  <c r="BP23" i="61"/>
  <c r="BL23" i="61"/>
  <c r="BH23" i="61"/>
  <c r="CD22" i="61"/>
  <c r="BZ22" i="61"/>
  <c r="BV22" i="61"/>
  <c r="BR22" i="61"/>
  <c r="BN22" i="61"/>
  <c r="BJ22" i="61"/>
  <c r="BF22" i="61"/>
  <c r="CB21" i="61"/>
  <c r="BX21" i="61"/>
  <c r="BT21" i="61"/>
  <c r="BP21" i="61"/>
  <c r="BL21" i="61"/>
  <c r="BH21" i="61"/>
  <c r="CD20" i="61"/>
  <c r="BZ20" i="61"/>
  <c r="BV20" i="61"/>
  <c r="BR20" i="61"/>
  <c r="BN20" i="61"/>
  <c r="BJ20" i="61"/>
  <c r="BF20" i="61"/>
  <c r="CB19" i="61"/>
  <c r="BX19" i="61"/>
  <c r="BT19" i="61"/>
  <c r="BP19" i="61"/>
  <c r="BL19" i="61"/>
  <c r="BH19" i="61"/>
  <c r="CD18" i="61"/>
  <c r="BZ18" i="61"/>
  <c r="BV18" i="61"/>
  <c r="BR18" i="61"/>
  <c r="BN18" i="61"/>
  <c r="BJ18" i="61"/>
  <c r="BF18" i="61"/>
  <c r="CB17" i="61"/>
  <c r="BX17" i="61"/>
  <c r="BT17" i="61"/>
  <c r="BP17" i="61"/>
  <c r="BL17" i="61"/>
  <c r="BH17" i="61"/>
  <c r="CD16" i="61"/>
  <c r="BZ16" i="61"/>
  <c r="BV16" i="61"/>
  <c r="BR16" i="61"/>
  <c r="BN16" i="61"/>
  <c r="BJ16" i="61"/>
  <c r="BF16" i="61"/>
  <c r="CB15" i="61"/>
  <c r="BX15" i="61"/>
  <c r="BT15" i="61"/>
  <c r="BP15" i="61"/>
  <c r="BL15" i="61"/>
  <c r="BH15" i="61"/>
  <c r="CD14" i="61"/>
  <c r="BZ14" i="61"/>
  <c r="BV14" i="61"/>
  <c r="BR14" i="61"/>
  <c r="BN14" i="61"/>
  <c r="BJ14" i="61"/>
  <c r="BF14" i="61"/>
  <c r="CB13" i="61"/>
  <c r="BX13" i="61"/>
  <c r="BT13" i="61"/>
  <c r="BP13" i="61"/>
  <c r="BL13" i="61"/>
  <c r="BH13" i="61"/>
  <c r="CD12" i="61"/>
  <c r="BZ12" i="61"/>
  <c r="BV12" i="61"/>
  <c r="BR12" i="61"/>
  <c r="BN12" i="61"/>
  <c r="BJ12" i="61"/>
  <c r="BF12" i="61"/>
  <c r="CB11" i="61"/>
  <c r="BX11" i="61"/>
  <c r="BT11" i="61"/>
  <c r="BP11" i="61"/>
  <c r="BL11" i="61"/>
  <c r="BH11" i="61"/>
  <c r="CD10" i="61"/>
  <c r="BZ10" i="61"/>
  <c r="BV10" i="61"/>
  <c r="BR10" i="61"/>
  <c r="BN10" i="61"/>
  <c r="BJ10" i="61"/>
  <c r="BF10" i="61"/>
  <c r="CB9" i="61"/>
  <c r="BX9" i="61"/>
  <c r="BT9" i="61"/>
  <c r="BP9" i="61"/>
  <c r="BL9" i="61"/>
  <c r="BH9" i="61"/>
  <c r="CD8" i="61"/>
  <c r="BZ8" i="61"/>
  <c r="BV8" i="61"/>
  <c r="BR8" i="61"/>
  <c r="BN8" i="61"/>
  <c r="BJ8" i="61"/>
  <c r="BF8" i="61"/>
  <c r="CB7" i="61"/>
  <c r="BX7" i="61"/>
  <c r="BT7" i="61"/>
  <c r="BP7" i="61"/>
  <c r="BL7" i="61"/>
  <c r="BH7" i="61"/>
  <c r="CD6" i="61"/>
  <c r="BZ6" i="61"/>
  <c r="BV6" i="61"/>
  <c r="BR6" i="61"/>
  <c r="BN6" i="61"/>
  <c r="BJ6" i="61"/>
  <c r="BF6" i="61"/>
  <c r="CB5" i="61"/>
  <c r="BX5" i="61"/>
  <c r="BT5" i="61"/>
  <c r="BP5" i="61"/>
  <c r="BL5" i="61"/>
  <c r="BH5" i="61"/>
  <c r="CD4" i="61"/>
  <c r="BZ4" i="61"/>
  <c r="BV4" i="61"/>
  <c r="BR4" i="61"/>
  <c r="BN4" i="61"/>
  <c r="BJ4" i="61"/>
  <c r="BF4" i="61"/>
  <c r="CB3" i="61"/>
  <c r="BX3" i="61"/>
  <c r="BT3" i="61"/>
  <c r="BP3" i="61"/>
  <c r="BL3" i="61"/>
  <c r="H96" i="61" s="1"/>
  <c r="BH3" i="61"/>
  <c r="D96" i="61" s="1"/>
  <c r="CD2" i="61"/>
  <c r="BZ2" i="61"/>
  <c r="BV2" i="61"/>
  <c r="BR2" i="61"/>
  <c r="BN2" i="61"/>
  <c r="BJ2" i="61"/>
  <c r="BF2" i="61"/>
  <c r="CA27" i="61"/>
  <c r="BW27" i="61"/>
  <c r="BS27" i="61"/>
  <c r="BO27" i="61"/>
  <c r="BK27" i="61"/>
  <c r="BG27" i="61"/>
  <c r="CC26" i="61"/>
  <c r="BY26" i="61"/>
  <c r="BU26" i="61"/>
  <c r="BQ26" i="61"/>
  <c r="BM26" i="61"/>
  <c r="BI26" i="61"/>
  <c r="BE26" i="61"/>
  <c r="CA25" i="61"/>
  <c r="BW25" i="61"/>
  <c r="BS25" i="61"/>
  <c r="BO25" i="61"/>
  <c r="BK25" i="61"/>
  <c r="BG25" i="61"/>
  <c r="CC24" i="61"/>
  <c r="BY24" i="61"/>
  <c r="BU24" i="61"/>
  <c r="BQ24" i="61"/>
  <c r="BM24" i="61"/>
  <c r="BI24" i="61"/>
  <c r="BE24" i="61"/>
  <c r="CA23" i="61"/>
  <c r="BW23" i="61"/>
  <c r="BS23" i="61"/>
  <c r="BO23" i="61"/>
  <c r="BK23" i="61"/>
  <c r="BG23" i="61"/>
  <c r="CC22" i="61"/>
  <c r="BY22" i="61"/>
  <c r="BU22" i="61"/>
  <c r="BQ22" i="61"/>
  <c r="BM22" i="61"/>
  <c r="BI22" i="61"/>
  <c r="BE22" i="61"/>
  <c r="CA21" i="61"/>
  <c r="BW21" i="61"/>
  <c r="BS21" i="61"/>
  <c r="BO21" i="61"/>
  <c r="BK21" i="61"/>
  <c r="BG21" i="61"/>
  <c r="CC20" i="61"/>
  <c r="BY20" i="61"/>
  <c r="BU20" i="61"/>
  <c r="BQ20" i="61"/>
  <c r="BM20" i="61"/>
  <c r="BI20" i="61"/>
  <c r="BE20" i="61"/>
  <c r="CA19" i="61"/>
  <c r="BW19" i="61"/>
  <c r="BS19" i="61"/>
  <c r="BO19" i="61"/>
  <c r="BK19" i="61"/>
  <c r="BG19" i="61"/>
  <c r="CC18" i="61"/>
  <c r="BY18" i="61"/>
  <c r="BU18" i="61"/>
  <c r="BQ18" i="61"/>
  <c r="BM18" i="61"/>
  <c r="BI18" i="61"/>
  <c r="BE18" i="61"/>
  <c r="CA17" i="61"/>
  <c r="BW17" i="61"/>
  <c r="BS17" i="61"/>
  <c r="BO17" i="61"/>
  <c r="BK17" i="61"/>
  <c r="BG17" i="61"/>
  <c r="CC16" i="61"/>
  <c r="BY16" i="61"/>
  <c r="BU16" i="61"/>
  <c r="BQ16" i="61"/>
  <c r="BM16" i="61"/>
  <c r="BI16" i="61"/>
  <c r="BE16" i="61"/>
  <c r="CA15" i="61"/>
  <c r="BW15" i="61"/>
  <c r="BS15" i="61"/>
  <c r="BO15" i="61"/>
  <c r="BK15" i="61"/>
  <c r="BG15" i="61"/>
  <c r="CC14" i="61"/>
  <c r="BY14" i="61"/>
  <c r="BU14" i="61"/>
  <c r="BQ14" i="61"/>
  <c r="BM14" i="61"/>
  <c r="BI14" i="61"/>
  <c r="BE14" i="61"/>
  <c r="CA13" i="61"/>
  <c r="BW13" i="61"/>
  <c r="BS13" i="61"/>
  <c r="BO13" i="61"/>
  <c r="BK13" i="61"/>
  <c r="BG13" i="61"/>
  <c r="CC12" i="61"/>
  <c r="BY12" i="61"/>
  <c r="BU12" i="61"/>
  <c r="BQ12" i="61"/>
  <c r="BM12" i="61"/>
  <c r="BI12" i="61"/>
  <c r="BE12" i="61"/>
  <c r="CA11" i="61"/>
  <c r="BW11" i="61"/>
  <c r="BS11" i="61"/>
  <c r="BO11" i="61"/>
  <c r="BK11" i="61"/>
  <c r="BG11" i="61"/>
  <c r="CC10" i="61"/>
  <c r="BY10" i="61"/>
  <c r="BU10" i="61"/>
  <c r="BQ10" i="61"/>
  <c r="BM10" i="61"/>
  <c r="BI10" i="61"/>
  <c r="BE10" i="61"/>
  <c r="CA9" i="61"/>
  <c r="BW9" i="61"/>
  <c r="BS9" i="61"/>
  <c r="BO9" i="61"/>
  <c r="BK9" i="61"/>
  <c r="BG9" i="61"/>
  <c r="CC8" i="61"/>
  <c r="BY8" i="61"/>
  <c r="BU8" i="61"/>
  <c r="BQ8" i="61"/>
  <c r="BM8" i="61"/>
  <c r="BI8" i="61"/>
  <c r="BE8" i="61"/>
  <c r="CA7" i="61"/>
  <c r="BW7" i="61"/>
  <c r="BS7" i="61"/>
  <c r="BO7" i="61"/>
  <c r="BK7" i="61"/>
  <c r="BG7" i="61"/>
  <c r="CC6" i="61"/>
  <c r="BY6" i="61"/>
  <c r="BU6" i="61"/>
  <c r="BQ6" i="61"/>
  <c r="BM6" i="61"/>
  <c r="BI6" i="61"/>
  <c r="BE6" i="61"/>
  <c r="CA5" i="61"/>
  <c r="BW5" i="61"/>
  <c r="BS5" i="61"/>
  <c r="BO5" i="61"/>
  <c r="BK5" i="61"/>
  <c r="BG5" i="61"/>
  <c r="CC4" i="61"/>
  <c r="BY4" i="61"/>
  <c r="BU4" i="61"/>
  <c r="BQ4" i="61"/>
  <c r="BM4" i="61"/>
  <c r="BI4" i="61"/>
  <c r="BE4" i="61"/>
  <c r="CA3" i="61"/>
  <c r="BW3" i="61"/>
  <c r="BS3" i="61"/>
  <c r="BO3" i="61"/>
  <c r="K96" i="61" s="1"/>
  <c r="BK3" i="61"/>
  <c r="G96" i="61" s="1"/>
  <c r="BG3" i="61"/>
  <c r="C96" i="61" s="1"/>
  <c r="CC2" i="61"/>
  <c r="BY2" i="61"/>
  <c r="BU2" i="61"/>
  <c r="BQ2" i="61"/>
  <c r="BM2" i="61"/>
  <c r="BI2" i="61"/>
  <c r="BE2" i="61"/>
  <c r="CD27" i="61"/>
  <c r="BZ27" i="61"/>
  <c r="BV27" i="61"/>
  <c r="BR27" i="61"/>
  <c r="BN27" i="61"/>
  <c r="BJ27" i="61"/>
  <c r="BF27" i="61"/>
  <c r="CB26" i="61"/>
  <c r="BX26" i="61"/>
  <c r="BT26" i="61"/>
  <c r="BP26" i="61"/>
  <c r="BL26" i="61"/>
  <c r="BH26" i="61"/>
  <c r="CD25" i="61"/>
  <c r="BZ25" i="61"/>
  <c r="BV25" i="61"/>
  <c r="BR25" i="61"/>
  <c r="BN25" i="61"/>
  <c r="BJ25" i="61"/>
  <c r="BF25" i="61"/>
  <c r="CB24" i="61"/>
  <c r="BX24" i="61"/>
  <c r="BT24" i="61"/>
  <c r="BP24" i="61"/>
  <c r="BL24" i="61"/>
  <c r="BH24" i="61"/>
  <c r="CD23" i="61"/>
  <c r="BZ23" i="61"/>
  <c r="BV23" i="61"/>
  <c r="BR23" i="61"/>
  <c r="BN23" i="61"/>
  <c r="BJ23" i="61"/>
  <c r="BF23" i="61"/>
  <c r="CB22" i="61"/>
  <c r="BX22" i="61"/>
  <c r="BT22" i="61"/>
  <c r="BP22" i="61"/>
  <c r="BL22" i="61"/>
  <c r="BH22" i="61"/>
  <c r="CD21" i="61"/>
  <c r="BZ21" i="61"/>
  <c r="BV21" i="61"/>
  <c r="BR21" i="61"/>
  <c r="BN21" i="61"/>
  <c r="BJ21" i="61"/>
  <c r="BF21" i="61"/>
  <c r="CB20" i="61"/>
  <c r="BX20" i="61"/>
  <c r="BT20" i="61"/>
  <c r="BP20" i="61"/>
  <c r="BL20" i="61"/>
  <c r="BH20" i="61"/>
  <c r="CD19" i="61"/>
  <c r="BZ19" i="61"/>
  <c r="BV19" i="61"/>
  <c r="BR19" i="61"/>
  <c r="BN19" i="61"/>
  <c r="BJ19" i="61"/>
  <c r="BF19" i="61"/>
  <c r="CB18" i="61"/>
  <c r="BX18" i="61"/>
  <c r="BT18" i="61"/>
  <c r="BP18" i="61"/>
  <c r="BL18" i="61"/>
  <c r="BH18" i="61"/>
  <c r="CD17" i="61"/>
  <c r="BZ17" i="61"/>
  <c r="BV17" i="61"/>
  <c r="BR17" i="61"/>
  <c r="BN17" i="61"/>
  <c r="BJ17" i="61"/>
  <c r="BF17" i="61"/>
  <c r="CB16" i="61"/>
  <c r="BX16" i="61"/>
  <c r="BT16" i="61"/>
  <c r="BP16" i="61"/>
  <c r="BL16" i="61"/>
  <c r="BH16" i="61"/>
  <c r="CD15" i="61"/>
  <c r="BZ15" i="61"/>
  <c r="BV15" i="61"/>
  <c r="BR15" i="61"/>
  <c r="BN15" i="61"/>
  <c r="BJ15" i="61"/>
  <c r="BF15" i="61"/>
  <c r="CB14" i="61"/>
  <c r="BX14" i="61"/>
  <c r="BT14" i="61"/>
  <c r="BP14" i="61"/>
  <c r="BL14" i="61"/>
  <c r="BH14" i="61"/>
  <c r="CD13" i="61"/>
  <c r="BZ13" i="61"/>
  <c r="BV13" i="61"/>
  <c r="BR13" i="61"/>
  <c r="BN13" i="61"/>
  <c r="BJ13" i="61"/>
  <c r="BF13" i="61"/>
  <c r="CB12" i="61"/>
  <c r="BX12" i="61"/>
  <c r="BT12" i="61"/>
  <c r="BP12" i="61"/>
  <c r="BL12" i="61"/>
  <c r="BH12" i="61"/>
  <c r="CD11" i="61"/>
  <c r="BZ11" i="61"/>
  <c r="BV11" i="61"/>
  <c r="BR11" i="61"/>
  <c r="BN11" i="61"/>
  <c r="BJ11" i="61"/>
  <c r="BF11" i="61"/>
  <c r="CB10" i="61"/>
  <c r="BX10" i="61"/>
  <c r="BT10" i="61"/>
  <c r="BP10" i="61"/>
  <c r="BL10" i="61"/>
  <c r="BH10" i="61"/>
  <c r="CD9" i="61"/>
  <c r="BZ9" i="61"/>
  <c r="BV9" i="61"/>
  <c r="BR9" i="61"/>
  <c r="BN9" i="61"/>
  <c r="BJ9" i="61"/>
  <c r="BF9" i="61"/>
  <c r="CB8" i="61"/>
  <c r="BX8" i="61"/>
  <c r="BT8" i="61"/>
  <c r="BP8" i="61"/>
  <c r="BL8" i="61"/>
  <c r="BH8" i="61"/>
  <c r="CD7" i="61"/>
  <c r="BZ7" i="61"/>
  <c r="BV7" i="61"/>
  <c r="BR7" i="61"/>
  <c r="BN7" i="61"/>
  <c r="BJ7" i="61"/>
  <c r="BF7" i="61"/>
  <c r="CB6" i="61"/>
  <c r="BX6" i="61"/>
  <c r="BT6" i="61"/>
  <c r="BP6" i="61"/>
  <c r="BL6" i="61"/>
  <c r="BH6" i="61"/>
  <c r="CD5" i="61"/>
  <c r="BZ5" i="61"/>
  <c r="BV5" i="61"/>
  <c r="BR5" i="61"/>
  <c r="BN5" i="61"/>
  <c r="BJ5" i="61"/>
  <c r="BF5" i="61"/>
  <c r="CB4" i="61"/>
  <c r="BX4" i="61"/>
  <c r="BT4" i="61"/>
  <c r="BP4" i="61"/>
  <c r="BL4" i="61"/>
  <c r="BH4" i="61"/>
  <c r="CD3" i="61"/>
  <c r="BZ3" i="61"/>
  <c r="BV3" i="61"/>
  <c r="BR3" i="61"/>
  <c r="BN3" i="61"/>
  <c r="J96" i="61" s="1"/>
  <c r="BJ3" i="61"/>
  <c r="F96" i="61" s="1"/>
  <c r="BF3" i="61"/>
  <c r="B96" i="61" s="1"/>
  <c r="CB2" i="61"/>
  <c r="BX2" i="61"/>
  <c r="BT2" i="61"/>
  <c r="BP2" i="61"/>
  <c r="BL2" i="61"/>
  <c r="BH2" i="61"/>
  <c r="G28" i="3"/>
  <c r="G29" i="3" s="1"/>
  <c r="F29" i="3"/>
  <c r="AL25" i="16"/>
  <c r="AK25" i="16"/>
  <c r="AK8" i="16"/>
  <c r="AQ8" i="16" s="1"/>
  <c r="AL8" i="16"/>
  <c r="AM6" i="18"/>
  <c r="AM5" i="17"/>
  <c r="AA23" i="7"/>
  <c r="AG23" i="7" s="1"/>
  <c r="Y22" i="7"/>
  <c r="X23" i="7" s="1"/>
  <c r="AA24" i="6"/>
  <c r="AG24" i="6" s="1"/>
  <c r="Y23" i="6"/>
  <c r="X24" i="6" s="1"/>
  <c r="AM9" i="18"/>
  <c r="AM12" i="21"/>
  <c r="X17" i="13"/>
  <c r="AA17" i="13"/>
  <c r="X16" i="13"/>
  <c r="AM16" i="23"/>
  <c r="AR10" i="53"/>
  <c r="AT10" i="53" s="1"/>
  <c r="AU10" i="53" s="1"/>
  <c r="AW10" i="53"/>
  <c r="AL14" i="19"/>
  <c r="AK14" i="19"/>
  <c r="AQ14" i="19" s="1"/>
  <c r="AH15" i="19"/>
  <c r="AQ24" i="17"/>
  <c r="AM24" i="17" s="1"/>
  <c r="AK15" i="22"/>
  <c r="AQ15" i="22" s="1"/>
  <c r="AL15" i="22"/>
  <c r="AH16" i="22"/>
  <c r="AM9" i="17"/>
  <c r="AL15" i="24"/>
  <c r="AK15" i="24"/>
  <c r="AQ15" i="24" s="1"/>
  <c r="AH16" i="24"/>
  <c r="AD18" i="15"/>
  <c r="AD23" i="15"/>
  <c r="AD28" i="15"/>
  <c r="AB28" i="15" s="1"/>
  <c r="AD24" i="15"/>
  <c r="AB24" i="15" s="1"/>
  <c r="AH24" i="15" s="1"/>
  <c r="AD17" i="15"/>
  <c r="AD25" i="15"/>
  <c r="AB25" i="15" s="1"/>
  <c r="AD26" i="15"/>
  <c r="AB26" i="15" s="1"/>
  <c r="AD20" i="15"/>
  <c r="AD21" i="15"/>
  <c r="AD22" i="15"/>
  <c r="AD19" i="15"/>
  <c r="AD27" i="15"/>
  <c r="AB27" i="15" s="1"/>
  <c r="AB22" i="15"/>
  <c r="AM4" i="17"/>
  <c r="AA18" i="12"/>
  <c r="AG18" i="12" s="1"/>
  <c r="Y17" i="12"/>
  <c r="X18" i="12" s="1"/>
  <c r="AA27" i="3"/>
  <c r="AG27" i="3" s="1"/>
  <c r="Y26" i="3"/>
  <c r="X27" i="3" s="1"/>
  <c r="AA25" i="5"/>
  <c r="AG25" i="5" s="1"/>
  <c r="Y24" i="5"/>
  <c r="X25" i="5" s="1"/>
  <c r="AV28" i="1"/>
  <c r="Y28" i="1"/>
  <c r="BG7" i="1"/>
  <c r="AK26" i="16"/>
  <c r="AL26" i="16"/>
  <c r="AL7" i="16"/>
  <c r="AK7" i="16"/>
  <c r="AQ7" i="16" s="1"/>
  <c r="AL12" i="53"/>
  <c r="AK12" i="53"/>
  <c r="AQ12" i="53" s="1"/>
  <c r="AH13" i="53"/>
  <c r="AA20" i="10"/>
  <c r="AG20" i="10" s="1"/>
  <c r="Y19" i="10"/>
  <c r="AJ24" i="16"/>
  <c r="AI24" i="16"/>
  <c r="AI27" i="16"/>
  <c r="AJ27" i="16"/>
  <c r="AR13" i="22"/>
  <c r="AT13" i="22" s="1"/>
  <c r="AU13" i="22" s="1"/>
  <c r="AW13" i="22"/>
  <c r="AM4" i="18"/>
  <c r="AM13" i="19"/>
  <c r="AL15" i="20"/>
  <c r="AK15" i="20"/>
  <c r="AQ15" i="20" s="1"/>
  <c r="AH16" i="20"/>
  <c r="X28" i="2"/>
  <c r="AA28" i="2"/>
  <c r="AG28" i="2" s="1"/>
  <c r="AD1" i="14"/>
  <c r="AG17" i="14"/>
  <c r="AQ26" i="18"/>
  <c r="AM26" i="18" s="1"/>
  <c r="AQ28" i="18"/>
  <c r="AM28" i="18" s="1"/>
  <c r="AT14" i="23"/>
  <c r="AB21" i="15"/>
  <c r="AM14" i="24"/>
  <c r="V35" i="61"/>
  <c r="AL27" i="16"/>
  <c r="AK27" i="16"/>
  <c r="AH9" i="16"/>
  <c r="AL5" i="16"/>
  <c r="AK5" i="16"/>
  <c r="AQ5" i="16" s="1"/>
  <c r="AT4" i="53"/>
  <c r="AJ20" i="16"/>
  <c r="AI20" i="16"/>
  <c r="AJ28" i="16"/>
  <c r="AI28" i="16"/>
  <c r="AM5" i="18"/>
  <c r="X28" i="3"/>
  <c r="F28" i="2"/>
  <c r="D29" i="2"/>
  <c r="AU4" i="21"/>
  <c r="X24" i="7"/>
  <c r="AR13" i="20"/>
  <c r="AT13" i="20" s="1"/>
  <c r="AU13" i="20" s="1"/>
  <c r="AW13" i="20"/>
  <c r="X25" i="6"/>
  <c r="AM6" i="17"/>
  <c r="AQ27" i="18"/>
  <c r="AM27" i="18" s="1"/>
  <c r="X18" i="13"/>
  <c r="AJ22" i="16"/>
  <c r="AI22" i="16"/>
  <c r="AM10" i="18"/>
  <c r="AL24" i="18"/>
  <c r="AK24" i="18"/>
  <c r="AQ24" i="18" s="1"/>
  <c r="AQ25" i="18"/>
  <c r="AM25" i="18" s="1"/>
  <c r="AJ19" i="15"/>
  <c r="AI19" i="15"/>
  <c r="AA18" i="11"/>
  <c r="AG18" i="11" s="1"/>
  <c r="Y17" i="11"/>
  <c r="X18" i="11" s="1"/>
  <c r="AB18" i="15"/>
  <c r="AB20" i="15"/>
  <c r="AB17" i="15"/>
  <c r="AU4" i="20"/>
  <c r="AL11" i="18"/>
  <c r="AK11" i="18"/>
  <c r="AQ11" i="18" s="1"/>
  <c r="AH12" i="18"/>
  <c r="AM8" i="17"/>
  <c r="X19" i="12"/>
  <c r="X26" i="5"/>
  <c r="H28" i="1"/>
  <c r="I28" i="1" s="1"/>
  <c r="I29" i="1" s="1"/>
  <c r="D28" i="1"/>
  <c r="S7" i="1"/>
  <c r="AH4" i="15"/>
  <c r="AH6" i="15"/>
  <c r="AH5" i="15"/>
  <c r="AH7" i="15"/>
  <c r="AH8" i="15"/>
  <c r="AH28" i="15"/>
  <c r="AH27" i="15"/>
  <c r="AH26" i="15"/>
  <c r="AH25" i="15"/>
  <c r="AK24" i="16"/>
  <c r="AL24" i="16"/>
  <c r="AK28" i="16"/>
  <c r="AL28" i="16"/>
  <c r="AL6" i="16"/>
  <c r="AK6" i="16"/>
  <c r="AQ6" i="16" s="1"/>
  <c r="AL4" i="16"/>
  <c r="AK4" i="16"/>
  <c r="AQ4" i="16" s="1"/>
  <c r="AM11" i="53"/>
  <c r="X21" i="10"/>
  <c r="AA26" i="4"/>
  <c r="AG26" i="4" s="1"/>
  <c r="Y25" i="4"/>
  <c r="X26" i="4" s="1"/>
  <c r="AA21" i="9"/>
  <c r="AG21" i="9" s="1"/>
  <c r="Y20" i="9"/>
  <c r="X21" i="9" s="1"/>
  <c r="AQ28" i="17"/>
  <c r="AM28" i="17" s="1"/>
  <c r="AA21" i="8"/>
  <c r="AG21" i="8" s="1"/>
  <c r="Y20" i="8"/>
  <c r="X21" i="8" s="1"/>
  <c r="AL13" i="21"/>
  <c r="AK13" i="21"/>
  <c r="AQ13" i="21" s="1"/>
  <c r="AH14" i="21"/>
  <c r="AL17" i="23"/>
  <c r="AK17" i="23"/>
  <c r="AQ17" i="23" s="1"/>
  <c r="AH18" i="23"/>
  <c r="AA27" i="2"/>
  <c r="AG27" i="2" s="1"/>
  <c r="Y26" i="2"/>
  <c r="AI21" i="16"/>
  <c r="AJ21" i="16"/>
  <c r="AT4" i="19"/>
  <c r="AL10" i="17"/>
  <c r="AK10" i="17"/>
  <c r="AQ10" i="17" s="1"/>
  <c r="AH11" i="17"/>
  <c r="GH149" i="61" l="1"/>
  <c r="N28" i="64" s="1"/>
  <c r="GE149" i="61"/>
  <c r="L28" i="64" s="1"/>
  <c r="K25" i="64"/>
  <c r="K27" i="64"/>
  <c r="GC149" i="61"/>
  <c r="GD149" i="61" s="1"/>
  <c r="EY148" i="61"/>
  <c r="ET148" i="61"/>
  <c r="EZ149" i="61"/>
  <c r="ER149" i="61"/>
  <c r="ET146" i="61"/>
  <c r="EY146" i="61"/>
  <c r="EN150" i="61"/>
  <c r="FZ150" i="61"/>
  <c r="DS150" i="61"/>
  <c r="FE150" i="61"/>
  <c r="EK150" i="61"/>
  <c r="FW150" i="61"/>
  <c r="EM150" i="61"/>
  <c r="FY150" i="61"/>
  <c r="ED150" i="61"/>
  <c r="FP150" i="61"/>
  <c r="EC150" i="61"/>
  <c r="FO150" i="61"/>
  <c r="EG150" i="61"/>
  <c r="FS150" i="61"/>
  <c r="EI150" i="61"/>
  <c r="FU150" i="61"/>
  <c r="DZ150" i="61"/>
  <c r="FL150" i="61"/>
  <c r="EF150" i="61"/>
  <c r="FR150" i="61"/>
  <c r="EA150" i="61"/>
  <c r="FM150" i="61"/>
  <c r="DR150" i="61"/>
  <c r="FD150" i="61"/>
  <c r="EE150" i="61"/>
  <c r="FQ150" i="61"/>
  <c r="DV150" i="61"/>
  <c r="FH150" i="61"/>
  <c r="EB150" i="61"/>
  <c r="FN150" i="61"/>
  <c r="GB150" i="61"/>
  <c r="DY150" i="61"/>
  <c r="FK150" i="61"/>
  <c r="DT150" i="61"/>
  <c r="FF150" i="61"/>
  <c r="EH150" i="61"/>
  <c r="FT150" i="61"/>
  <c r="ET149" i="61"/>
  <c r="DX150" i="61"/>
  <c r="FJ150" i="61"/>
  <c r="EL150" i="61"/>
  <c r="FX150" i="61"/>
  <c r="DU150" i="61"/>
  <c r="FG150" i="61"/>
  <c r="DW150" i="61"/>
  <c r="FI150" i="61"/>
  <c r="EO150" i="61"/>
  <c r="GA150" i="61"/>
  <c r="EJ150" i="61"/>
  <c r="FV150" i="61"/>
  <c r="EU150" i="61"/>
  <c r="EV150" i="61" s="1"/>
  <c r="BA88" i="61"/>
  <c r="M107" i="66"/>
  <c r="E107" i="65" s="1"/>
  <c r="M212" i="66"/>
  <c r="E212" i="65" s="1"/>
  <c r="M317" i="66"/>
  <c r="E317" i="65" s="1"/>
  <c r="AV88" i="61"/>
  <c r="AH88" i="61"/>
  <c r="AD88" i="61"/>
  <c r="AW88" i="61"/>
  <c r="AR88" i="61"/>
  <c r="AP88" i="61"/>
  <c r="AZ88" i="61"/>
  <c r="AT88" i="61"/>
  <c r="AE88" i="61"/>
  <c r="AS88" i="61"/>
  <c r="AI88" i="61"/>
  <c r="AN88" i="61"/>
  <c r="B88" i="61" a="1"/>
  <c r="Q88" i="61" s="1"/>
  <c r="AJ88" i="61"/>
  <c r="AK88" i="61"/>
  <c r="AL88" i="61"/>
  <c r="AG88" i="61"/>
  <c r="AX88" i="61"/>
  <c r="AC88" i="61"/>
  <c r="AY88" i="61"/>
  <c r="AO88" i="61"/>
  <c r="AF88" i="61"/>
  <c r="AQ88" i="61"/>
  <c r="AM88" i="61"/>
  <c r="O88" i="61"/>
  <c r="E460" i="66"/>
  <c r="M65" i="66"/>
  <c r="E65" i="65" s="1"/>
  <c r="M23" i="66"/>
  <c r="E23" i="65" s="1"/>
  <c r="M44" i="66"/>
  <c r="E44" i="65" s="1"/>
  <c r="M86" i="66"/>
  <c r="E86" i="65" s="1"/>
  <c r="M128" i="66"/>
  <c r="E128" i="65" s="1"/>
  <c r="M170" i="66"/>
  <c r="E170" i="65" s="1"/>
  <c r="M149" i="66"/>
  <c r="E149" i="65" s="1"/>
  <c r="M233" i="66"/>
  <c r="E233" i="65" s="1"/>
  <c r="M275" i="66"/>
  <c r="E275" i="65" s="1"/>
  <c r="M191" i="66"/>
  <c r="E191" i="65" s="1"/>
  <c r="M338" i="66"/>
  <c r="E338" i="65" s="1"/>
  <c r="M254" i="66"/>
  <c r="E254" i="65" s="1"/>
  <c r="M296" i="66"/>
  <c r="E296" i="65" s="1"/>
  <c r="M359" i="66"/>
  <c r="E359" i="65" s="1"/>
  <c r="E2" i="66"/>
  <c r="E22" i="66"/>
  <c r="E3" i="66"/>
  <c r="E4" i="66"/>
  <c r="M24" i="66"/>
  <c r="E24" i="65" s="1"/>
  <c r="M3" i="66"/>
  <c r="E3" i="65" s="1"/>
  <c r="M4" i="66"/>
  <c r="E4" i="65" s="1"/>
  <c r="E23" i="66"/>
  <c r="E42" i="66"/>
  <c r="M45" i="66"/>
  <c r="E45" i="65" s="1"/>
  <c r="M5" i="66"/>
  <c r="E5" i="65" s="1"/>
  <c r="M25" i="66"/>
  <c r="E25" i="65" s="1"/>
  <c r="E43" i="66"/>
  <c r="M26" i="66"/>
  <c r="E26" i="65" s="1"/>
  <c r="M66" i="66"/>
  <c r="E66" i="65" s="1"/>
  <c r="E24" i="66"/>
  <c r="E62" i="66"/>
  <c r="M46" i="66"/>
  <c r="E46" i="65" s="1"/>
  <c r="M6" i="66"/>
  <c r="E6" i="65" s="1"/>
  <c r="E5" i="66"/>
  <c r="E82" i="66"/>
  <c r="M27" i="66"/>
  <c r="E27" i="65" s="1"/>
  <c r="M7" i="66"/>
  <c r="E7" i="65" s="1"/>
  <c r="E6" i="66"/>
  <c r="M87" i="66"/>
  <c r="E87" i="65" s="1"/>
  <c r="M67" i="66"/>
  <c r="E67" i="65" s="1"/>
  <c r="E25" i="66"/>
  <c r="E63" i="66"/>
  <c r="E44" i="66"/>
  <c r="M47" i="66"/>
  <c r="E47" i="65" s="1"/>
  <c r="M28" i="66"/>
  <c r="E28" i="65" s="1"/>
  <c r="E7" i="66"/>
  <c r="E45" i="66"/>
  <c r="M88" i="66"/>
  <c r="E88" i="65" s="1"/>
  <c r="E26" i="66"/>
  <c r="E102" i="66"/>
  <c r="M8" i="66"/>
  <c r="E8" i="65" s="1"/>
  <c r="E64" i="66"/>
  <c r="E83" i="66"/>
  <c r="M48" i="66"/>
  <c r="E48" i="65" s="1"/>
  <c r="M108" i="66"/>
  <c r="E108" i="65" s="1"/>
  <c r="M68" i="66"/>
  <c r="E68" i="65" s="1"/>
  <c r="E103" i="66"/>
  <c r="M129" i="66"/>
  <c r="E129" i="65" s="1"/>
  <c r="M29" i="66"/>
  <c r="E29" i="65" s="1"/>
  <c r="M69" i="66"/>
  <c r="E69" i="65" s="1"/>
  <c r="E65" i="66"/>
  <c r="E46" i="66"/>
  <c r="E122" i="66"/>
  <c r="M9" i="66"/>
  <c r="E9" i="65" s="1"/>
  <c r="E27" i="66"/>
  <c r="M89" i="66"/>
  <c r="E89" i="65" s="1"/>
  <c r="M109" i="66"/>
  <c r="E109" i="65" s="1"/>
  <c r="E84" i="66"/>
  <c r="M49" i="66"/>
  <c r="E49" i="65" s="1"/>
  <c r="E8" i="66"/>
  <c r="M70" i="66"/>
  <c r="E70" i="65" s="1"/>
  <c r="E104" i="66"/>
  <c r="E66" i="66"/>
  <c r="E9" i="66"/>
  <c r="M150" i="66"/>
  <c r="E150" i="65" s="1"/>
  <c r="M110" i="66"/>
  <c r="E110" i="65" s="1"/>
  <c r="E123" i="66"/>
  <c r="M90" i="66"/>
  <c r="E90" i="65" s="1"/>
  <c r="E28" i="66"/>
  <c r="E85" i="66"/>
  <c r="M50" i="66"/>
  <c r="E50" i="65" s="1"/>
  <c r="E142" i="66"/>
  <c r="E47" i="66"/>
  <c r="M130" i="66"/>
  <c r="E130" i="65" s="1"/>
  <c r="M30" i="66"/>
  <c r="E30" i="65" s="1"/>
  <c r="M10" i="66"/>
  <c r="E10" i="65" s="1"/>
  <c r="E162" i="66"/>
  <c r="E105" i="66"/>
  <c r="M111" i="66"/>
  <c r="E111" i="65" s="1"/>
  <c r="M131" i="66"/>
  <c r="E131" i="65" s="1"/>
  <c r="M31" i="66"/>
  <c r="E31" i="65" s="1"/>
  <c r="E67" i="66"/>
  <c r="E10" i="66"/>
  <c r="E143" i="66"/>
  <c r="M171" i="66"/>
  <c r="E171" i="65" s="1"/>
  <c r="M91" i="66"/>
  <c r="E91" i="65" s="1"/>
  <c r="M51" i="66"/>
  <c r="E51" i="65" s="1"/>
  <c r="M11" i="66"/>
  <c r="E11" i="65" s="1"/>
  <c r="M151" i="66"/>
  <c r="E151" i="65" s="1"/>
  <c r="E29" i="66"/>
  <c r="E86" i="66"/>
  <c r="E48" i="66"/>
  <c r="M71" i="66"/>
  <c r="E71" i="65" s="1"/>
  <c r="E124" i="66"/>
  <c r="E163" i="66"/>
  <c r="E144" i="66"/>
  <c r="M192" i="66"/>
  <c r="E192" i="65" s="1"/>
  <c r="M92" i="66"/>
  <c r="E92" i="65" s="1"/>
  <c r="M112" i="66"/>
  <c r="E112" i="65" s="1"/>
  <c r="M72" i="66"/>
  <c r="E72" i="65" s="1"/>
  <c r="E182" i="66"/>
  <c r="M172" i="66"/>
  <c r="E172" i="65" s="1"/>
  <c r="M52" i="66"/>
  <c r="E52" i="65" s="1"/>
  <c r="E49" i="66"/>
  <c r="E87" i="66"/>
  <c r="E106" i="66"/>
  <c r="E30" i="66"/>
  <c r="E68" i="66"/>
  <c r="M132" i="66"/>
  <c r="E132" i="65" s="1"/>
  <c r="M152" i="66"/>
  <c r="E152" i="65" s="1"/>
  <c r="E125" i="66"/>
  <c r="M12" i="66"/>
  <c r="E12" i="65" s="1"/>
  <c r="M32" i="66"/>
  <c r="E32" i="65" s="1"/>
  <c r="E11" i="66"/>
  <c r="E88" i="66"/>
  <c r="E69" i="66"/>
  <c r="E183" i="66"/>
  <c r="M213" i="66"/>
  <c r="E213" i="65" s="1"/>
  <c r="M93" i="66"/>
  <c r="E93" i="65" s="1"/>
  <c r="M133" i="66"/>
  <c r="E133" i="65" s="1"/>
  <c r="E126" i="66"/>
  <c r="E145" i="66"/>
  <c r="E12" i="66"/>
  <c r="E31" i="66"/>
  <c r="M73" i="66"/>
  <c r="E73" i="65" s="1"/>
  <c r="E202" i="66"/>
  <c r="M53" i="66"/>
  <c r="E53" i="65" s="1"/>
  <c r="M13" i="66"/>
  <c r="E13" i="65" s="1"/>
  <c r="M33" i="66"/>
  <c r="E33" i="65" s="1"/>
  <c r="E107" i="66"/>
  <c r="M153" i="66"/>
  <c r="E153" i="65" s="1"/>
  <c r="M173" i="66"/>
  <c r="E173" i="65" s="1"/>
  <c r="M113" i="66"/>
  <c r="E113" i="65" s="1"/>
  <c r="M193" i="66"/>
  <c r="E193" i="65" s="1"/>
  <c r="E50" i="66"/>
  <c r="E164" i="66"/>
  <c r="E146" i="66"/>
  <c r="E70" i="66"/>
  <c r="E222" i="66"/>
  <c r="M154" i="66"/>
  <c r="E154" i="65" s="1"/>
  <c r="M194" i="66"/>
  <c r="E194" i="65" s="1"/>
  <c r="M174" i="66"/>
  <c r="E174" i="65" s="1"/>
  <c r="E203" i="66"/>
  <c r="E89" i="66"/>
  <c r="M114" i="66"/>
  <c r="E114" i="65" s="1"/>
  <c r="M54" i="66"/>
  <c r="E54" i="65" s="1"/>
  <c r="E108" i="66"/>
  <c r="M134" i="66"/>
  <c r="E134" i="65" s="1"/>
  <c r="M74" i="66"/>
  <c r="E74" i="65" s="1"/>
  <c r="M214" i="66"/>
  <c r="E214" i="65" s="1"/>
  <c r="M34" i="66"/>
  <c r="E34" i="65" s="1"/>
  <c r="M94" i="66"/>
  <c r="E94" i="65" s="1"/>
  <c r="M14" i="66"/>
  <c r="E14" i="65" s="1"/>
  <c r="M234" i="66"/>
  <c r="E234" i="65" s="1"/>
  <c r="E32" i="66"/>
  <c r="E51" i="66"/>
  <c r="E184" i="66"/>
  <c r="E165" i="66"/>
  <c r="E127" i="66"/>
  <c r="E13" i="66"/>
  <c r="E14" i="66"/>
  <c r="E71" i="66"/>
  <c r="M175" i="66"/>
  <c r="E175" i="65" s="1"/>
  <c r="M255" i="66"/>
  <c r="E255" i="65" s="1"/>
  <c r="M155" i="66"/>
  <c r="E155" i="65" s="1"/>
  <c r="M235" i="66"/>
  <c r="E235" i="65" s="1"/>
  <c r="M215" i="66"/>
  <c r="E215" i="65" s="1"/>
  <c r="M35" i="66"/>
  <c r="E35" i="65" s="1"/>
  <c r="E242" i="66"/>
  <c r="E223" i="66"/>
  <c r="E52" i="66"/>
  <c r="E185" i="66"/>
  <c r="E166" i="66"/>
  <c r="E147" i="66"/>
  <c r="E204" i="66"/>
  <c r="E33" i="66"/>
  <c r="M15" i="66"/>
  <c r="E15" i="65" s="1"/>
  <c r="M55" i="66"/>
  <c r="E55" i="65" s="1"/>
  <c r="E109" i="66"/>
  <c r="E128" i="66"/>
  <c r="M95" i="66"/>
  <c r="E95" i="65" s="1"/>
  <c r="M75" i="66"/>
  <c r="E75" i="65" s="1"/>
  <c r="M115" i="66"/>
  <c r="E115" i="65" s="1"/>
  <c r="M195" i="66"/>
  <c r="E195" i="65" s="1"/>
  <c r="E90" i="66"/>
  <c r="M135" i="66"/>
  <c r="E135" i="65" s="1"/>
  <c r="M36" i="66"/>
  <c r="E36" i="65" s="1"/>
  <c r="M136" i="66"/>
  <c r="E136" i="65" s="1"/>
  <c r="M96" i="66"/>
  <c r="E96" i="65" s="1"/>
  <c r="E167" i="66"/>
  <c r="E148" i="66"/>
  <c r="M236" i="66"/>
  <c r="E236" i="65" s="1"/>
  <c r="E205" i="66"/>
  <c r="E15" i="66"/>
  <c r="E262" i="66"/>
  <c r="M256" i="66"/>
  <c r="E256" i="65" s="1"/>
  <c r="E34" i="66"/>
  <c r="E186" i="66"/>
  <c r="E91" i="66"/>
  <c r="E110" i="66"/>
  <c r="E72" i="66"/>
  <c r="E224" i="66"/>
  <c r="E129" i="66"/>
  <c r="M116" i="66"/>
  <c r="E116" i="65" s="1"/>
  <c r="M56" i="66"/>
  <c r="E56" i="65" s="1"/>
  <c r="M16" i="66"/>
  <c r="E16" i="65" s="1"/>
  <c r="E53" i="66"/>
  <c r="M176" i="66"/>
  <c r="E176" i="65" s="1"/>
  <c r="M196" i="66"/>
  <c r="E196" i="65" s="1"/>
  <c r="M156" i="66"/>
  <c r="E156" i="65" s="1"/>
  <c r="E243" i="66"/>
  <c r="M216" i="66"/>
  <c r="E216" i="65" s="1"/>
  <c r="M76" i="66"/>
  <c r="E76" i="65" s="1"/>
  <c r="M276" i="66"/>
  <c r="E276" i="65" s="1"/>
  <c r="M37" i="66"/>
  <c r="E37" i="65" s="1"/>
  <c r="M57" i="66"/>
  <c r="E57" i="65" s="1"/>
  <c r="M17" i="66"/>
  <c r="E17" i="65" s="1"/>
  <c r="M77" i="66"/>
  <c r="E77" i="65" s="1"/>
  <c r="E73" i="66"/>
  <c r="E187" i="66"/>
  <c r="E263" i="66"/>
  <c r="E225" i="66"/>
  <c r="E130" i="66"/>
  <c r="E206" i="66"/>
  <c r="E149" i="66"/>
  <c r="E92" i="66"/>
  <c r="E168" i="66"/>
  <c r="M297" i="66"/>
  <c r="E297" i="65" s="1"/>
  <c r="M137" i="66"/>
  <c r="E137" i="65" s="1"/>
  <c r="M217" i="66"/>
  <c r="E217" i="65" s="1"/>
  <c r="E35" i="66"/>
  <c r="M157" i="66"/>
  <c r="E157" i="65" s="1"/>
  <c r="E54" i="66"/>
  <c r="M97" i="66"/>
  <c r="E97" i="65" s="1"/>
  <c r="M117" i="66"/>
  <c r="E117" i="65" s="1"/>
  <c r="M177" i="66"/>
  <c r="E177" i="65" s="1"/>
  <c r="M197" i="66"/>
  <c r="E197" i="65" s="1"/>
  <c r="M257" i="66"/>
  <c r="E257" i="65" s="1"/>
  <c r="M277" i="66"/>
  <c r="E277" i="65" s="1"/>
  <c r="M237" i="66"/>
  <c r="E237" i="65" s="1"/>
  <c r="E111" i="66"/>
  <c r="E244" i="66"/>
  <c r="E282" i="66"/>
  <c r="E16" i="66"/>
  <c r="E112" i="66"/>
  <c r="E226" i="66"/>
  <c r="E17" i="66"/>
  <c r="E207" i="66"/>
  <c r="E302" i="66"/>
  <c r="E150" i="66"/>
  <c r="M18" i="66"/>
  <c r="E18" i="65" s="1"/>
  <c r="E131" i="66"/>
  <c r="M38" i="66"/>
  <c r="E38" i="65" s="1"/>
  <c r="E264" i="66"/>
  <c r="E283" i="66"/>
  <c r="M118" i="66"/>
  <c r="E118" i="65" s="1"/>
  <c r="M238" i="66"/>
  <c r="E238" i="65" s="1"/>
  <c r="M138" i="66"/>
  <c r="E138" i="65" s="1"/>
  <c r="M78" i="66"/>
  <c r="E78" i="65" s="1"/>
  <c r="M58" i="66"/>
  <c r="E58" i="65" s="1"/>
  <c r="E74" i="66"/>
  <c r="M158" i="66"/>
  <c r="E158" i="65" s="1"/>
  <c r="M298" i="66"/>
  <c r="E298" i="65" s="1"/>
  <c r="M198" i="66"/>
  <c r="E198" i="65" s="1"/>
  <c r="M258" i="66"/>
  <c r="E258" i="65" s="1"/>
  <c r="M178" i="66"/>
  <c r="E178" i="65" s="1"/>
  <c r="E188" i="66"/>
  <c r="E245" i="66"/>
  <c r="M218" i="66"/>
  <c r="E218" i="65" s="1"/>
  <c r="E55" i="66"/>
  <c r="M98" i="66"/>
  <c r="E98" i="65" s="1"/>
  <c r="M278" i="66"/>
  <c r="E278" i="65" s="1"/>
  <c r="M318" i="66"/>
  <c r="E318" i="65" s="1"/>
  <c r="E93" i="66"/>
  <c r="E36" i="66"/>
  <c r="E169" i="66"/>
  <c r="M19" i="66"/>
  <c r="E19" i="65" s="1"/>
  <c r="E132" i="66"/>
  <c r="E37" i="66"/>
  <c r="E265" i="66"/>
  <c r="E189" i="66"/>
  <c r="M159" i="66"/>
  <c r="E159" i="65" s="1"/>
  <c r="E94" i="66"/>
  <c r="E246" i="66"/>
  <c r="M299" i="66"/>
  <c r="E299" i="65" s="1"/>
  <c r="E170" i="66"/>
  <c r="E113" i="66"/>
  <c r="M139" i="66"/>
  <c r="E139" i="65" s="1"/>
  <c r="M39" i="66"/>
  <c r="E39" i="65" s="1"/>
  <c r="E303" i="66"/>
  <c r="M279" i="66"/>
  <c r="E279" i="65" s="1"/>
  <c r="E56" i="66"/>
  <c r="E322" i="66"/>
  <c r="M59" i="66"/>
  <c r="E59" i="65" s="1"/>
  <c r="M199" i="66"/>
  <c r="E199" i="65" s="1"/>
  <c r="E284" i="66"/>
  <c r="M79" i="66"/>
  <c r="E79" i="65" s="1"/>
  <c r="M99" i="66"/>
  <c r="E99" i="65" s="1"/>
  <c r="E208" i="66"/>
  <c r="M239" i="66"/>
  <c r="E239" i="65" s="1"/>
  <c r="M259" i="66"/>
  <c r="E259" i="65" s="1"/>
  <c r="M179" i="66"/>
  <c r="E179" i="65" s="1"/>
  <c r="M119" i="66"/>
  <c r="E119" i="65" s="1"/>
  <c r="E151" i="66"/>
  <c r="M319" i="66"/>
  <c r="E319" i="65" s="1"/>
  <c r="M219" i="66"/>
  <c r="E219" i="65" s="1"/>
  <c r="E18" i="66"/>
  <c r="E75" i="66"/>
  <c r="M339" i="66"/>
  <c r="E339" i="65" s="1"/>
  <c r="E227" i="66"/>
  <c r="E95" i="66"/>
  <c r="M240" i="66"/>
  <c r="E240" i="65" s="1"/>
  <c r="M300" i="66"/>
  <c r="E300" i="65" s="1"/>
  <c r="M320" i="66"/>
  <c r="E320" i="65" s="1"/>
  <c r="M140" i="66"/>
  <c r="E140" i="65" s="1"/>
  <c r="E209" i="66"/>
  <c r="M160" i="66"/>
  <c r="E160" i="65" s="1"/>
  <c r="M360" i="66"/>
  <c r="E360" i="65" s="1"/>
  <c r="M120" i="66"/>
  <c r="E120" i="65" s="1"/>
  <c r="M180" i="66"/>
  <c r="E180" i="65" s="1"/>
  <c r="E342" i="66"/>
  <c r="E171" i="66"/>
  <c r="E247" i="66"/>
  <c r="M60" i="66"/>
  <c r="E60" i="65" s="1"/>
  <c r="E190" i="66"/>
  <c r="E285" i="66"/>
  <c r="E19" i="66"/>
  <c r="M80" i="66"/>
  <c r="E80" i="65" s="1"/>
  <c r="M260" i="66"/>
  <c r="E260" i="65" s="1"/>
  <c r="M100" i="66"/>
  <c r="E100" i="65" s="1"/>
  <c r="M200" i="66"/>
  <c r="E200" i="65" s="1"/>
  <c r="M220" i="66"/>
  <c r="E220" i="65" s="1"/>
  <c r="M340" i="66"/>
  <c r="E340" i="65" s="1"/>
  <c r="M280" i="66"/>
  <c r="E280" i="65" s="1"/>
  <c r="E57" i="66"/>
  <c r="E304" i="66"/>
  <c r="E133" i="66"/>
  <c r="E266" i="66"/>
  <c r="M40" i="66"/>
  <c r="E40" i="65" s="1"/>
  <c r="E114" i="66"/>
  <c r="M20" i="66"/>
  <c r="E20" i="65" s="1"/>
  <c r="E228" i="66"/>
  <c r="E323" i="66"/>
  <c r="E152" i="66"/>
  <c r="E76" i="66"/>
  <c r="E38" i="66"/>
  <c r="E324" i="66"/>
  <c r="M41" i="66"/>
  <c r="E41" i="65" s="1"/>
  <c r="M381" i="66"/>
  <c r="E381" i="65" s="1"/>
  <c r="M161" i="66"/>
  <c r="E161" i="65" s="1"/>
  <c r="E39" i="66"/>
  <c r="E248" i="66"/>
  <c r="E191" i="66"/>
  <c r="E362" i="66"/>
  <c r="E77" i="66"/>
  <c r="E286" i="66"/>
  <c r="E134" i="66"/>
  <c r="E58" i="66"/>
  <c r="M281" i="66"/>
  <c r="E281" i="65" s="1"/>
  <c r="M241" i="66"/>
  <c r="E241" i="65" s="1"/>
  <c r="E267" i="66"/>
  <c r="M201" i="66"/>
  <c r="E201" i="65" s="1"/>
  <c r="M101" i="66"/>
  <c r="E101" i="65" s="1"/>
  <c r="E343" i="66"/>
  <c r="M221" i="66"/>
  <c r="E221" i="65" s="1"/>
  <c r="E96" i="66"/>
  <c r="E172" i="66"/>
  <c r="M121" i="66"/>
  <c r="E121" i="65" s="1"/>
  <c r="E210" i="66"/>
  <c r="M21" i="66"/>
  <c r="E21" i="65" s="1"/>
  <c r="E115" i="66"/>
  <c r="M361" i="66"/>
  <c r="E361" i="65" s="1"/>
  <c r="E229" i="66"/>
  <c r="E153" i="66"/>
  <c r="M301" i="66"/>
  <c r="E301" i="65" s="1"/>
  <c r="M141" i="66"/>
  <c r="E141" i="65" s="1"/>
  <c r="M61" i="66"/>
  <c r="E61" i="65" s="1"/>
  <c r="M341" i="66"/>
  <c r="E341" i="65" s="1"/>
  <c r="M321" i="66"/>
  <c r="E321" i="65" s="1"/>
  <c r="E305" i="66"/>
  <c r="M261" i="66"/>
  <c r="E261" i="65" s="1"/>
  <c r="E20" i="66"/>
  <c r="M181" i="66"/>
  <c r="E181" i="65" s="1"/>
  <c r="M81" i="66"/>
  <c r="E81" i="65" s="1"/>
  <c r="M362" i="66"/>
  <c r="E362" i="65" s="1"/>
  <c r="E192" i="66"/>
  <c r="M242" i="66"/>
  <c r="E242" i="65" s="1"/>
  <c r="E211" i="66"/>
  <c r="M342" i="66"/>
  <c r="E342" i="65" s="1"/>
  <c r="M322" i="66"/>
  <c r="E322" i="65" s="1"/>
  <c r="M182" i="66"/>
  <c r="E182" i="65" s="1"/>
  <c r="E59" i="66"/>
  <c r="M202" i="66"/>
  <c r="E202" i="65" s="1"/>
  <c r="M142" i="66"/>
  <c r="E142" i="65" s="1"/>
  <c r="E306" i="66"/>
  <c r="E268" i="66"/>
  <c r="E173" i="66"/>
  <c r="E382" i="66"/>
  <c r="M42" i="66"/>
  <c r="E42" i="65" s="1"/>
  <c r="M122" i="66"/>
  <c r="E122" i="65" s="1"/>
  <c r="M162" i="66"/>
  <c r="E162" i="65" s="1"/>
  <c r="M102" i="66"/>
  <c r="E102" i="65" s="1"/>
  <c r="E344" i="66"/>
  <c r="M382" i="66"/>
  <c r="E382" i="65" s="1"/>
  <c r="E40" i="66"/>
  <c r="E287" i="66"/>
  <c r="E97" i="66"/>
  <c r="M402" i="66"/>
  <c r="E402" i="65" s="1"/>
  <c r="E135" i="66"/>
  <c r="E249" i="66"/>
  <c r="E78" i="66"/>
  <c r="M62" i="66"/>
  <c r="E62" i="65" s="1"/>
  <c r="M282" i="66"/>
  <c r="E282" i="65" s="1"/>
  <c r="E21" i="66"/>
  <c r="M222" i="66"/>
  <c r="E222" i="65" s="1"/>
  <c r="M82" i="66"/>
  <c r="E82" i="65" s="1"/>
  <c r="M302" i="66"/>
  <c r="E302" i="65" s="1"/>
  <c r="E230" i="66"/>
  <c r="E116" i="66"/>
  <c r="E154" i="66"/>
  <c r="E325" i="66"/>
  <c r="E363" i="66"/>
  <c r="M22" i="66"/>
  <c r="E22" i="65" s="1"/>
  <c r="M262" i="66"/>
  <c r="E262" i="65" s="1"/>
  <c r="E174" i="66"/>
  <c r="E193" i="66"/>
  <c r="E231" i="66"/>
  <c r="M223" i="66"/>
  <c r="E223" i="65" s="1"/>
  <c r="M103" i="66"/>
  <c r="E103" i="65" s="1"/>
  <c r="E364" i="66"/>
  <c r="E41" i="66"/>
  <c r="E136" i="66"/>
  <c r="M303" i="66"/>
  <c r="E303" i="65" s="1"/>
  <c r="E60" i="66"/>
  <c r="M83" i="66"/>
  <c r="E83" i="65" s="1"/>
  <c r="E117" i="66"/>
  <c r="M203" i="66"/>
  <c r="E203" i="65" s="1"/>
  <c r="M263" i="66"/>
  <c r="E263" i="65" s="1"/>
  <c r="M383" i="66"/>
  <c r="E383" i="65" s="1"/>
  <c r="M43" i="66"/>
  <c r="E43" i="65" s="1"/>
  <c r="E402" i="66"/>
  <c r="E383" i="66"/>
  <c r="M343" i="66"/>
  <c r="E343" i="65" s="1"/>
  <c r="M363" i="66"/>
  <c r="E363" i="65" s="1"/>
  <c r="E345" i="66"/>
  <c r="E212" i="66"/>
  <c r="E98" i="66"/>
  <c r="E307" i="66"/>
  <c r="M163" i="66"/>
  <c r="E163" i="65" s="1"/>
  <c r="M243" i="66"/>
  <c r="E243" i="65" s="1"/>
  <c r="M423" i="66"/>
  <c r="E423" i="65" s="1"/>
  <c r="M143" i="66"/>
  <c r="E143" i="65" s="1"/>
  <c r="E250" i="66"/>
  <c r="M323" i="66"/>
  <c r="E323" i="65" s="1"/>
  <c r="M403" i="66"/>
  <c r="E403" i="65" s="1"/>
  <c r="E269" i="66"/>
  <c r="M63" i="66"/>
  <c r="E63" i="65" s="1"/>
  <c r="M123" i="66"/>
  <c r="E123" i="65" s="1"/>
  <c r="E288" i="66"/>
  <c r="E155" i="66"/>
  <c r="M183" i="66"/>
  <c r="E183" i="65" s="1"/>
  <c r="E326" i="66"/>
  <c r="E79" i="66"/>
  <c r="M283" i="66"/>
  <c r="E283" i="65" s="1"/>
  <c r="E403" i="66"/>
  <c r="E175" i="66"/>
  <c r="E137" i="66"/>
  <c r="M444" i="66"/>
  <c r="E444" i="65" s="1"/>
  <c r="E251" i="66"/>
  <c r="E308" i="66"/>
  <c r="E422" i="66"/>
  <c r="M204" i="66"/>
  <c r="E204" i="65" s="1"/>
  <c r="M104" i="66"/>
  <c r="E104" i="65" s="1"/>
  <c r="M424" i="66"/>
  <c r="E424" i="65" s="1"/>
  <c r="M164" i="66"/>
  <c r="E164" i="65" s="1"/>
  <c r="E270" i="66"/>
  <c r="M264" i="66"/>
  <c r="E264" i="65" s="1"/>
  <c r="M344" i="66"/>
  <c r="E344" i="65" s="1"/>
  <c r="E80" i="66"/>
  <c r="M244" i="66"/>
  <c r="E244" i="65" s="1"/>
  <c r="E61" i="66"/>
  <c r="M124" i="66"/>
  <c r="E124" i="65" s="1"/>
  <c r="M324" i="66"/>
  <c r="E324" i="65" s="1"/>
  <c r="E327" i="66"/>
  <c r="M384" i="66"/>
  <c r="E384" i="65" s="1"/>
  <c r="M364" i="66"/>
  <c r="E364" i="65" s="1"/>
  <c r="E365" i="66"/>
  <c r="E289" i="66"/>
  <c r="M184" i="66"/>
  <c r="E184" i="65" s="1"/>
  <c r="M64" i="66"/>
  <c r="E64" i="65" s="1"/>
  <c r="E156" i="66"/>
  <c r="E232" i="66"/>
  <c r="E118" i="66"/>
  <c r="M304" i="66"/>
  <c r="E304" i="65" s="1"/>
  <c r="M284" i="66"/>
  <c r="E284" i="65" s="1"/>
  <c r="M144" i="66"/>
  <c r="E144" i="65" s="1"/>
  <c r="E194" i="66"/>
  <c r="M224" i="66"/>
  <c r="E224" i="65" s="1"/>
  <c r="M404" i="66"/>
  <c r="E404" i="65" s="1"/>
  <c r="M84" i="66"/>
  <c r="E84" i="65" s="1"/>
  <c r="E213" i="66"/>
  <c r="E384" i="66"/>
  <c r="E346" i="66"/>
  <c r="E99" i="66"/>
  <c r="E81" i="66"/>
  <c r="M165" i="66"/>
  <c r="E165" i="65" s="1"/>
  <c r="E347" i="66"/>
  <c r="M125" i="66"/>
  <c r="E125" i="65" s="1"/>
  <c r="E176" i="66"/>
  <c r="E100" i="66"/>
  <c r="M245" i="66"/>
  <c r="E245" i="65" s="1"/>
  <c r="M205" i="66"/>
  <c r="E205" i="65" s="1"/>
  <c r="M265" i="66"/>
  <c r="E265" i="65" s="1"/>
  <c r="E119" i="66"/>
  <c r="E138" i="66"/>
  <c r="E252" i="66"/>
  <c r="M385" i="66"/>
  <c r="E385" i="65" s="1"/>
  <c r="M465" i="66"/>
  <c r="E465" i="65" s="1"/>
  <c r="M325" i="66"/>
  <c r="E325" i="65" s="1"/>
  <c r="E404" i="66"/>
  <c r="M405" i="66"/>
  <c r="E405" i="65" s="1"/>
  <c r="M225" i="66"/>
  <c r="E225" i="65" s="1"/>
  <c r="M305" i="66"/>
  <c r="E305" i="65" s="1"/>
  <c r="E385" i="66"/>
  <c r="E214" i="66"/>
  <c r="E309" i="66"/>
  <c r="E157" i="66"/>
  <c r="E423" i="66"/>
  <c r="E328" i="66"/>
  <c r="E290" i="66"/>
  <c r="E233" i="66"/>
  <c r="E195" i="66"/>
  <c r="M365" i="66"/>
  <c r="E365" i="65" s="1"/>
  <c r="M425" i="66"/>
  <c r="E425" i="65" s="1"/>
  <c r="M285" i="66"/>
  <c r="E285" i="65" s="1"/>
  <c r="M185" i="66"/>
  <c r="E185" i="65" s="1"/>
  <c r="M105" i="66"/>
  <c r="E105" i="65" s="1"/>
  <c r="E366" i="66"/>
  <c r="E442" i="66"/>
  <c r="M445" i="66"/>
  <c r="E445" i="65" s="1"/>
  <c r="E271" i="66"/>
  <c r="M145" i="66"/>
  <c r="E145" i="65" s="1"/>
  <c r="M85" i="66"/>
  <c r="E85" i="65" s="1"/>
  <c r="M345" i="66"/>
  <c r="E345" i="65" s="1"/>
  <c r="E139" i="66"/>
  <c r="M466" i="66"/>
  <c r="E466" i="65" s="1"/>
  <c r="M426" i="66"/>
  <c r="E426" i="65" s="1"/>
  <c r="E272" i="66"/>
  <c r="E120" i="66"/>
  <c r="M306" i="66"/>
  <c r="E306" i="65" s="1"/>
  <c r="M186" i="66"/>
  <c r="E186" i="65" s="1"/>
  <c r="E253" i="66"/>
  <c r="M226" i="66"/>
  <c r="E226" i="65" s="1"/>
  <c r="E215" i="66"/>
  <c r="M346" i="66"/>
  <c r="E346" i="65" s="1"/>
  <c r="M106" i="66"/>
  <c r="E106" i="65" s="1"/>
  <c r="E367" i="66"/>
  <c r="E329" i="66"/>
  <c r="M446" i="66"/>
  <c r="E446" i="65" s="1"/>
  <c r="M266" i="66"/>
  <c r="E266" i="65" s="1"/>
  <c r="E101" i="66"/>
  <c r="E424" i="66"/>
  <c r="E291" i="66"/>
  <c r="M366" i="66"/>
  <c r="E366" i="65" s="1"/>
  <c r="M166" i="66"/>
  <c r="E166" i="65" s="1"/>
  <c r="E196" i="66"/>
  <c r="E443" i="66"/>
  <c r="M126" i="66"/>
  <c r="E126" i="65" s="1"/>
  <c r="E348" i="66"/>
  <c r="E158" i="66"/>
  <c r="E462" i="66"/>
  <c r="E405" i="66"/>
  <c r="M246" i="66"/>
  <c r="E246" i="65" s="1"/>
  <c r="E177" i="66"/>
  <c r="E234" i="66"/>
  <c r="E386" i="66"/>
  <c r="M206" i="66"/>
  <c r="E206" i="65" s="1"/>
  <c r="M326" i="66"/>
  <c r="E326" i="65" s="1"/>
  <c r="M386" i="66"/>
  <c r="E386" i="65" s="1"/>
  <c r="M486" i="66"/>
  <c r="E486" i="65" s="1"/>
  <c r="M286" i="66"/>
  <c r="E286" i="65" s="1"/>
  <c r="E310" i="66"/>
  <c r="M146" i="66"/>
  <c r="E146" i="65" s="1"/>
  <c r="M406" i="66"/>
  <c r="E406" i="65" s="1"/>
  <c r="M407" i="66"/>
  <c r="E407" i="65" s="1"/>
  <c r="M147" i="66"/>
  <c r="E147" i="65" s="1"/>
  <c r="E463" i="66"/>
  <c r="M447" i="66"/>
  <c r="E447" i="65" s="1"/>
  <c r="E387" i="66"/>
  <c r="M227" i="66"/>
  <c r="E227" i="65" s="1"/>
  <c r="E425" i="66"/>
  <c r="M187" i="66"/>
  <c r="E187" i="65" s="1"/>
  <c r="E216" i="66"/>
  <c r="E273" i="66"/>
  <c r="E197" i="66"/>
  <c r="M287" i="66"/>
  <c r="E287" i="65" s="1"/>
  <c r="E368" i="66"/>
  <c r="M207" i="66"/>
  <c r="E207" i="65" s="1"/>
  <c r="E178" i="66"/>
  <c r="M167" i="66"/>
  <c r="E167" i="65" s="1"/>
  <c r="E121" i="66"/>
  <c r="M327" i="66"/>
  <c r="E327" i="65" s="1"/>
  <c r="E444" i="66"/>
  <c r="M307" i="66"/>
  <c r="E307" i="65" s="1"/>
  <c r="M247" i="66"/>
  <c r="E247" i="65" s="1"/>
  <c r="M367" i="66"/>
  <c r="E367" i="65" s="1"/>
  <c r="E406" i="66"/>
  <c r="M347" i="66"/>
  <c r="E347" i="65" s="1"/>
  <c r="M127" i="66"/>
  <c r="E127" i="65" s="1"/>
  <c r="E292" i="66"/>
  <c r="E235" i="66"/>
  <c r="E349" i="66"/>
  <c r="E482" i="66"/>
  <c r="E330" i="66"/>
  <c r="E159" i="66"/>
  <c r="E311" i="66"/>
  <c r="M387" i="66"/>
  <c r="E387" i="65" s="1"/>
  <c r="E140" i="66"/>
  <c r="M427" i="66"/>
  <c r="E427" i="65" s="1"/>
  <c r="M507" i="66"/>
  <c r="E507" i="65" s="1"/>
  <c r="M267" i="66"/>
  <c r="E267" i="65" s="1"/>
  <c r="E254" i="66"/>
  <c r="M487" i="66"/>
  <c r="E487" i="65" s="1"/>
  <c r="M467" i="66"/>
  <c r="E467" i="65" s="1"/>
  <c r="M288" i="66"/>
  <c r="E288" i="65" s="1"/>
  <c r="M148" i="66"/>
  <c r="E148" i="65" s="1"/>
  <c r="M248" i="66"/>
  <c r="E248" i="65" s="1"/>
  <c r="E141" i="66"/>
  <c r="E255" i="66"/>
  <c r="E198" i="66"/>
  <c r="E369" i="66"/>
  <c r="M428" i="66"/>
  <c r="E428" i="65" s="1"/>
  <c r="E274" i="66"/>
  <c r="M448" i="66"/>
  <c r="E448" i="65" s="1"/>
  <c r="M328" i="66"/>
  <c r="E328" i="65" s="1"/>
  <c r="M368" i="66"/>
  <c r="E368" i="65" s="1"/>
  <c r="E236" i="66"/>
  <c r="M208" i="66"/>
  <c r="E208" i="65" s="1"/>
  <c r="M168" i="66"/>
  <c r="E168" i="65" s="1"/>
  <c r="M488" i="66"/>
  <c r="E488" i="65" s="1"/>
  <c r="E160" i="66"/>
  <c r="E445" i="66"/>
  <c r="E483" i="66"/>
  <c r="E179" i="66"/>
  <c r="M408" i="66"/>
  <c r="E408" i="65" s="1"/>
  <c r="E217" i="66"/>
  <c r="M348" i="66"/>
  <c r="E348" i="65" s="1"/>
  <c r="M268" i="66"/>
  <c r="E268" i="65" s="1"/>
  <c r="E426" i="66"/>
  <c r="E350" i="66"/>
  <c r="E293" i="66"/>
  <c r="E388" i="66"/>
  <c r="M388" i="66"/>
  <c r="E388" i="65" s="1"/>
  <c r="E331" i="66"/>
  <c r="M508" i="66"/>
  <c r="E508" i="65" s="1"/>
  <c r="M188" i="66"/>
  <c r="E188" i="65" s="1"/>
  <c r="E464" i="66"/>
  <c r="M228" i="66"/>
  <c r="E228" i="65" s="1"/>
  <c r="E407" i="66"/>
  <c r="M308" i="66"/>
  <c r="E308" i="65" s="1"/>
  <c r="E312" i="66"/>
  <c r="M468" i="66"/>
  <c r="E468" i="65" s="1"/>
  <c r="M289" i="66"/>
  <c r="E289" i="65" s="1"/>
  <c r="E370" i="66"/>
  <c r="E313" i="66"/>
  <c r="M309" i="66"/>
  <c r="E309" i="65" s="1"/>
  <c r="M169" i="66"/>
  <c r="E169" i="65" s="1"/>
  <c r="M449" i="66"/>
  <c r="E449" i="65" s="1"/>
  <c r="M229" i="66"/>
  <c r="E229" i="65" s="1"/>
  <c r="E218" i="66"/>
  <c r="E275" i="66"/>
  <c r="M489" i="66"/>
  <c r="E489" i="65" s="1"/>
  <c r="E408" i="66"/>
  <c r="M409" i="66"/>
  <c r="E409" i="65" s="1"/>
  <c r="M329" i="66"/>
  <c r="E329" i="65" s="1"/>
  <c r="M469" i="66"/>
  <c r="E469" i="65" s="1"/>
  <c r="M189" i="66"/>
  <c r="E189" i="65" s="1"/>
  <c r="E484" i="66"/>
  <c r="M209" i="66"/>
  <c r="E209" i="65" s="1"/>
  <c r="M389" i="66"/>
  <c r="E389" i="65" s="1"/>
  <c r="E446" i="66"/>
  <c r="E180" i="66"/>
  <c r="E294" i="66"/>
  <c r="E199" i="66"/>
  <c r="M269" i="66"/>
  <c r="E269" i="65" s="1"/>
  <c r="M429" i="66"/>
  <c r="E429" i="65" s="1"/>
  <c r="M249" i="66"/>
  <c r="E249" i="65" s="1"/>
  <c r="E161" i="66"/>
  <c r="E256" i="66"/>
  <c r="E237" i="66"/>
  <c r="M349" i="66"/>
  <c r="E349" i="65" s="1"/>
  <c r="M509" i="66"/>
  <c r="E509" i="65" s="1"/>
  <c r="E332" i="66"/>
  <c r="M369" i="66"/>
  <c r="E369" i="65" s="1"/>
  <c r="E427" i="66"/>
  <c r="E351" i="66"/>
  <c r="E465" i="66"/>
  <c r="E389" i="66"/>
  <c r="E333" i="66"/>
  <c r="M450" i="66"/>
  <c r="E450" i="65" s="1"/>
  <c r="M190" i="66"/>
  <c r="E190" i="65" s="1"/>
  <c r="E314" i="66"/>
  <c r="M410" i="66"/>
  <c r="E410" i="65" s="1"/>
  <c r="M290" i="66"/>
  <c r="E290" i="65" s="1"/>
  <c r="E200" i="66"/>
  <c r="E390" i="66"/>
  <c r="E485" i="66"/>
  <c r="E295" i="66"/>
  <c r="M210" i="66"/>
  <c r="E210" i="65" s="1"/>
  <c r="M390" i="66"/>
  <c r="E390" i="65" s="1"/>
  <c r="M510" i="66"/>
  <c r="E510" i="65" s="1"/>
  <c r="M330" i="66"/>
  <c r="E330" i="65" s="1"/>
  <c r="M310" i="66"/>
  <c r="E310" i="65" s="1"/>
  <c r="M230" i="66"/>
  <c r="E230" i="65" s="1"/>
  <c r="E257" i="66"/>
  <c r="E428" i="66"/>
  <c r="E181" i="66"/>
  <c r="E219" i="66"/>
  <c r="E276" i="66"/>
  <c r="M430" i="66"/>
  <c r="E430" i="65" s="1"/>
  <c r="M350" i="66"/>
  <c r="E350" i="65" s="1"/>
  <c r="M470" i="66"/>
  <c r="E470" i="65" s="1"/>
  <c r="E371" i="66"/>
  <c r="M270" i="66"/>
  <c r="E270" i="65" s="1"/>
  <c r="E447" i="66"/>
  <c r="M490" i="66"/>
  <c r="E490" i="65" s="1"/>
  <c r="M370" i="66"/>
  <c r="E370" i="65" s="1"/>
  <c r="E466" i="66"/>
  <c r="E352" i="66"/>
  <c r="M250" i="66"/>
  <c r="E250" i="65" s="1"/>
  <c r="E238" i="66"/>
  <c r="E409" i="66"/>
  <c r="E315" i="66"/>
  <c r="E220" i="66"/>
  <c r="E296" i="66"/>
  <c r="E429" i="66"/>
  <c r="M391" i="66"/>
  <c r="E391" i="65" s="1"/>
  <c r="M431" i="66"/>
  <c r="E431" i="65" s="1"/>
  <c r="E391" i="66"/>
  <c r="E467" i="66"/>
  <c r="M231" i="66"/>
  <c r="E231" i="65" s="1"/>
  <c r="E410" i="66"/>
  <c r="M291" i="66"/>
  <c r="E291" i="65" s="1"/>
  <c r="E334" i="66"/>
  <c r="M331" i="66"/>
  <c r="E331" i="65" s="1"/>
  <c r="M251" i="66"/>
  <c r="E251" i="65" s="1"/>
  <c r="E448" i="66"/>
  <c r="M311" i="66"/>
  <c r="E311" i="65" s="1"/>
  <c r="M371" i="66"/>
  <c r="E371" i="65" s="1"/>
  <c r="M511" i="66"/>
  <c r="E511" i="65" s="1"/>
  <c r="M451" i="66"/>
  <c r="E451" i="65" s="1"/>
  <c r="E353" i="66"/>
  <c r="M211" i="66"/>
  <c r="E211" i="65" s="1"/>
  <c r="M411" i="66"/>
  <c r="E411" i="65" s="1"/>
  <c r="M491" i="66"/>
  <c r="E491" i="65" s="1"/>
  <c r="M471" i="66"/>
  <c r="E471" i="65" s="1"/>
  <c r="E201" i="66"/>
  <c r="E239" i="66"/>
  <c r="M271" i="66"/>
  <c r="E271" i="65" s="1"/>
  <c r="M351" i="66"/>
  <c r="E351" i="65" s="1"/>
  <c r="E258" i="66"/>
  <c r="E277" i="66"/>
  <c r="E486" i="66"/>
  <c r="E372" i="66"/>
  <c r="M432" i="66"/>
  <c r="E432" i="65" s="1"/>
  <c r="M372" i="66"/>
  <c r="E372" i="65" s="1"/>
  <c r="E411" i="66"/>
  <c r="E278" i="66"/>
  <c r="M232" i="66"/>
  <c r="E232" i="65" s="1"/>
  <c r="E335" i="66"/>
  <c r="M312" i="66"/>
  <c r="E312" i="65" s="1"/>
  <c r="E221" i="66"/>
  <c r="E259" i="66"/>
  <c r="M252" i="66"/>
  <c r="E252" i="65" s="1"/>
  <c r="M352" i="66"/>
  <c r="E352" i="65" s="1"/>
  <c r="E468" i="66"/>
  <c r="E373" i="66"/>
  <c r="E316" i="66"/>
  <c r="E297" i="66"/>
  <c r="E354" i="66"/>
  <c r="M292" i="66"/>
  <c r="E292" i="65" s="1"/>
  <c r="M332" i="66"/>
  <c r="E332" i="65" s="1"/>
  <c r="E449" i="66"/>
  <c r="M512" i="66"/>
  <c r="E512" i="65" s="1"/>
  <c r="M452" i="66"/>
  <c r="E452" i="65" s="1"/>
  <c r="E487" i="66"/>
  <c r="E430" i="66"/>
  <c r="E240" i="66"/>
  <c r="M492" i="66"/>
  <c r="E492" i="65" s="1"/>
  <c r="M412" i="66"/>
  <c r="E412" i="65" s="1"/>
  <c r="M472" i="66"/>
  <c r="E472" i="65" s="1"/>
  <c r="M392" i="66"/>
  <c r="E392" i="65" s="1"/>
  <c r="M272" i="66"/>
  <c r="E272" i="65" s="1"/>
  <c r="E392" i="66"/>
  <c r="E279" i="66"/>
  <c r="M253" i="66"/>
  <c r="E253" i="65" s="1"/>
  <c r="E412" i="66"/>
  <c r="E488" i="66"/>
  <c r="M373" i="66"/>
  <c r="E373" i="65" s="1"/>
  <c r="M413" i="66"/>
  <c r="E413" i="65" s="1"/>
  <c r="M493" i="66"/>
  <c r="E493" i="65" s="1"/>
  <c r="E393" i="66"/>
  <c r="E450" i="66"/>
  <c r="E317" i="66"/>
  <c r="M353" i="66"/>
  <c r="E353" i="65" s="1"/>
  <c r="E355" i="66"/>
  <c r="M473" i="66"/>
  <c r="E473" i="65" s="1"/>
  <c r="M393" i="66"/>
  <c r="E393" i="65" s="1"/>
  <c r="M293" i="66"/>
  <c r="E293" i="65" s="1"/>
  <c r="E431" i="66"/>
  <c r="M273" i="66"/>
  <c r="E273" i="65" s="1"/>
  <c r="E260" i="66"/>
  <c r="E336" i="66"/>
  <c r="E469" i="66"/>
  <c r="M453" i="66"/>
  <c r="E453" i="65" s="1"/>
  <c r="M313" i="66"/>
  <c r="E313" i="65" s="1"/>
  <c r="M433" i="66"/>
  <c r="E433" i="65" s="1"/>
  <c r="M333" i="66"/>
  <c r="E333" i="65" s="1"/>
  <c r="E298" i="66"/>
  <c r="E241" i="66"/>
  <c r="M513" i="66"/>
  <c r="E513" i="65" s="1"/>
  <c r="E374" i="66"/>
  <c r="E413" i="66"/>
  <c r="E489" i="66"/>
  <c r="E337" i="66"/>
  <c r="M454" i="66"/>
  <c r="E454" i="65" s="1"/>
  <c r="E451" i="66"/>
  <c r="E470" i="66"/>
  <c r="E280" i="66"/>
  <c r="M314" i="66"/>
  <c r="E314" i="65" s="1"/>
  <c r="E299" i="66"/>
  <c r="M414" i="66"/>
  <c r="E414" i="65" s="1"/>
  <c r="E432" i="66"/>
  <c r="M494" i="66"/>
  <c r="E494" i="65" s="1"/>
  <c r="M334" i="66"/>
  <c r="E334" i="65" s="1"/>
  <c r="E356" i="66"/>
  <c r="M474" i="66"/>
  <c r="E474" i="65" s="1"/>
  <c r="M394" i="66"/>
  <c r="E394" i="65" s="1"/>
  <c r="M274" i="66"/>
  <c r="E274" i="65" s="1"/>
  <c r="E394" i="66"/>
  <c r="M514" i="66"/>
  <c r="E514" i="65" s="1"/>
  <c r="M294" i="66"/>
  <c r="E294" i="65" s="1"/>
  <c r="E375" i="66"/>
  <c r="E261" i="66"/>
  <c r="M354" i="66"/>
  <c r="E354" i="65" s="1"/>
  <c r="E318" i="66"/>
  <c r="M434" i="66"/>
  <c r="E434" i="65" s="1"/>
  <c r="M374" i="66"/>
  <c r="E374" i="65" s="1"/>
  <c r="M355" i="66"/>
  <c r="E355" i="65" s="1"/>
  <c r="M475" i="66"/>
  <c r="E475" i="65" s="1"/>
  <c r="E414" i="66"/>
  <c r="E452" i="66"/>
  <c r="M295" i="66"/>
  <c r="E295" i="65" s="1"/>
  <c r="M455" i="66"/>
  <c r="E455" i="65" s="1"/>
  <c r="M315" i="66"/>
  <c r="E315" i="65" s="1"/>
  <c r="E433" i="66"/>
  <c r="E319" i="66"/>
  <c r="M375" i="66"/>
  <c r="E375" i="65" s="1"/>
  <c r="E338" i="66"/>
  <c r="M515" i="66"/>
  <c r="E515" i="65" s="1"/>
  <c r="E357" i="66"/>
  <c r="M415" i="66"/>
  <c r="E415" i="65" s="1"/>
  <c r="E490" i="66"/>
  <c r="E395" i="66"/>
  <c r="M495" i="66"/>
  <c r="E495" i="65" s="1"/>
  <c r="M395" i="66"/>
  <c r="E395" i="65" s="1"/>
  <c r="E300" i="66"/>
  <c r="E471" i="66"/>
  <c r="E376" i="66"/>
  <c r="E281" i="66"/>
  <c r="M335" i="66"/>
  <c r="E335" i="65" s="1"/>
  <c r="M435" i="66"/>
  <c r="E435" i="65" s="1"/>
  <c r="E339" i="66"/>
  <c r="M436" i="66"/>
  <c r="E436" i="65" s="1"/>
  <c r="M516" i="66"/>
  <c r="E516" i="65" s="1"/>
  <c r="M316" i="66"/>
  <c r="E316" i="65" s="1"/>
  <c r="E320" i="66"/>
  <c r="M396" i="66"/>
  <c r="E396" i="65" s="1"/>
  <c r="E472" i="66"/>
  <c r="M336" i="66"/>
  <c r="E336" i="65" s="1"/>
  <c r="E453" i="66"/>
  <c r="E377" i="66"/>
  <c r="M476" i="66"/>
  <c r="E476" i="65" s="1"/>
  <c r="M416" i="66"/>
  <c r="E416" i="65" s="1"/>
  <c r="E491" i="66"/>
  <c r="M376" i="66"/>
  <c r="E376" i="65" s="1"/>
  <c r="E396" i="66"/>
  <c r="M496" i="66"/>
  <c r="E496" i="65" s="1"/>
  <c r="E415" i="66"/>
  <c r="M456" i="66"/>
  <c r="E456" i="65" s="1"/>
  <c r="E301" i="66"/>
  <c r="E358" i="66"/>
  <c r="M356" i="66"/>
  <c r="E356" i="65" s="1"/>
  <c r="E434" i="66"/>
  <c r="E454" i="66"/>
  <c r="M517" i="66"/>
  <c r="E517" i="65" s="1"/>
  <c r="M337" i="66"/>
  <c r="E337" i="65" s="1"/>
  <c r="M377" i="66"/>
  <c r="E377" i="65" s="1"/>
  <c r="E378" i="66"/>
  <c r="E492" i="66"/>
  <c r="M457" i="66"/>
  <c r="E457" i="65" s="1"/>
  <c r="E416" i="66"/>
  <c r="E435" i="66"/>
  <c r="M497" i="66"/>
  <c r="E497" i="65" s="1"/>
  <c r="E473" i="66"/>
  <c r="M417" i="66"/>
  <c r="E417" i="65" s="1"/>
  <c r="E340" i="66"/>
  <c r="E359" i="66"/>
  <c r="M477" i="66"/>
  <c r="E477" i="65" s="1"/>
  <c r="E397" i="66"/>
  <c r="M397" i="66"/>
  <c r="E397" i="65" s="1"/>
  <c r="M357" i="66"/>
  <c r="E357" i="65" s="1"/>
  <c r="E321" i="66"/>
  <c r="M437" i="66"/>
  <c r="E437" i="65" s="1"/>
  <c r="E493" i="66"/>
  <c r="M418" i="66"/>
  <c r="E418" i="65" s="1"/>
  <c r="M438" i="66"/>
  <c r="E438" i="65" s="1"/>
  <c r="E360" i="66"/>
  <c r="M458" i="66"/>
  <c r="E458" i="65" s="1"/>
  <c r="E341" i="66"/>
  <c r="M498" i="66"/>
  <c r="E498" i="65" s="1"/>
  <c r="E379" i="66"/>
  <c r="E398" i="66"/>
  <c r="M378" i="66"/>
  <c r="E378" i="65" s="1"/>
  <c r="E436" i="66"/>
  <c r="E417" i="66"/>
  <c r="M478" i="66"/>
  <c r="E478" i="65" s="1"/>
  <c r="E455" i="66"/>
  <c r="M398" i="66"/>
  <c r="E398" i="65" s="1"/>
  <c r="M518" i="66"/>
  <c r="E518" i="65" s="1"/>
  <c r="E474" i="66"/>
  <c r="M358" i="66"/>
  <c r="E358" i="65" s="1"/>
  <c r="E399" i="66"/>
  <c r="M519" i="66"/>
  <c r="E519" i="65" s="1"/>
  <c r="M459" i="66"/>
  <c r="E459" i="65" s="1"/>
  <c r="E418" i="66"/>
  <c r="E437" i="66"/>
  <c r="E380" i="66"/>
  <c r="E361" i="66"/>
  <c r="M399" i="66"/>
  <c r="E399" i="65" s="1"/>
  <c r="E494" i="66"/>
  <c r="M379" i="66"/>
  <c r="E379" i="65" s="1"/>
  <c r="E456" i="66"/>
  <c r="M439" i="66"/>
  <c r="E439" i="65" s="1"/>
  <c r="E475" i="66"/>
  <c r="M419" i="66"/>
  <c r="E419" i="65" s="1"/>
  <c r="M479" i="66"/>
  <c r="E479" i="65" s="1"/>
  <c r="M499" i="66"/>
  <c r="E499" i="65" s="1"/>
  <c r="E438" i="66"/>
  <c r="M400" i="66"/>
  <c r="E400" i="65" s="1"/>
  <c r="M500" i="66"/>
  <c r="E500" i="65" s="1"/>
  <c r="E476" i="66"/>
  <c r="M460" i="66"/>
  <c r="E460" i="65" s="1"/>
  <c r="M440" i="66"/>
  <c r="E440" i="65" s="1"/>
  <c r="E381" i="66"/>
  <c r="E419" i="66"/>
  <c r="E457" i="66"/>
  <c r="M520" i="66"/>
  <c r="E520" i="65" s="1"/>
  <c r="E495" i="66"/>
  <c r="M420" i="66"/>
  <c r="E420" i="65" s="1"/>
  <c r="E400" i="66"/>
  <c r="M480" i="66"/>
  <c r="E480" i="65" s="1"/>
  <c r="M461" i="66"/>
  <c r="E461" i="65" s="1"/>
  <c r="E477" i="66"/>
  <c r="M481" i="66"/>
  <c r="E481" i="65" s="1"/>
  <c r="M521" i="66"/>
  <c r="E521" i="65" s="1"/>
  <c r="E439" i="66"/>
  <c r="E458" i="66"/>
  <c r="M501" i="66"/>
  <c r="E501" i="65" s="1"/>
  <c r="E420" i="66"/>
  <c r="M421" i="66"/>
  <c r="E421" i="65" s="1"/>
  <c r="M441" i="66"/>
  <c r="E441" i="65" s="1"/>
  <c r="E401" i="66"/>
  <c r="E496" i="66"/>
  <c r="M522" i="66"/>
  <c r="E522" i="65" s="1"/>
  <c r="M462" i="66"/>
  <c r="E462" i="65" s="1"/>
  <c r="E440" i="66"/>
  <c r="E459" i="66"/>
  <c r="M442" i="66"/>
  <c r="E442" i="65" s="1"/>
  <c r="M482" i="66"/>
  <c r="E482" i="65" s="1"/>
  <c r="E421" i="66"/>
  <c r="E497" i="66"/>
  <c r="M502" i="66"/>
  <c r="E502" i="65" s="1"/>
  <c r="E478" i="66"/>
  <c r="M463" i="66"/>
  <c r="E463" i="65" s="1"/>
  <c r="E441" i="66"/>
  <c r="E498" i="66"/>
  <c r="E479" i="66"/>
  <c r="M483" i="66"/>
  <c r="E483" i="65" s="1"/>
  <c r="M503" i="66"/>
  <c r="E503" i="65" s="1"/>
  <c r="M523" i="66"/>
  <c r="E523" i="65" s="1"/>
  <c r="E480" i="66"/>
  <c r="M484" i="66"/>
  <c r="E484" i="65" s="1"/>
  <c r="E461" i="66"/>
  <c r="M524" i="66"/>
  <c r="E524" i="65" s="1"/>
  <c r="E499" i="66"/>
  <c r="M504" i="66"/>
  <c r="E504" i="65" s="1"/>
  <c r="M505" i="66"/>
  <c r="E505" i="65" s="1"/>
  <c r="M525" i="66"/>
  <c r="E525" i="65" s="1"/>
  <c r="E481" i="66"/>
  <c r="E500" i="66"/>
  <c r="M526" i="66"/>
  <c r="E526" i="65" s="1"/>
  <c r="E501" i="66"/>
  <c r="C45" i="58"/>
  <c r="J44" i="58"/>
  <c r="I44" i="58"/>
  <c r="D44" i="58"/>
  <c r="K44" i="58"/>
  <c r="F44" i="58"/>
  <c r="E44" i="58"/>
  <c r="L43" i="58"/>
  <c r="F42" i="58"/>
  <c r="K45" i="58"/>
  <c r="F45" i="58"/>
  <c r="E45" i="58"/>
  <c r="L44" i="58"/>
  <c r="G45" i="58"/>
  <c r="E46" i="58"/>
  <c r="K43" i="58"/>
  <c r="F43" i="58"/>
  <c r="E43" i="58"/>
  <c r="L42" i="58"/>
  <c r="G43" i="58"/>
  <c r="B43" i="58"/>
  <c r="M42" i="58"/>
  <c r="H42" i="58"/>
  <c r="M44" i="58"/>
  <c r="G44" i="58"/>
  <c r="B44" i="58"/>
  <c r="M43" i="58"/>
  <c r="H43" i="58"/>
  <c r="K42" i="58"/>
  <c r="E42" i="58"/>
  <c r="G42" i="58"/>
  <c r="B42" i="58"/>
  <c r="L46" i="58"/>
  <c r="I43" i="58"/>
  <c r="C42" i="58"/>
  <c r="M46" i="58"/>
  <c r="H46" i="58"/>
  <c r="C44" i="58"/>
  <c r="L45" i="58"/>
  <c r="C43" i="58"/>
  <c r="J42" i="58"/>
  <c r="I42" i="58"/>
  <c r="D42" i="58"/>
  <c r="F46" i="58"/>
  <c r="H44" i="58"/>
  <c r="G46" i="58"/>
  <c r="B46" i="58"/>
  <c r="M45" i="58"/>
  <c r="H45" i="58"/>
  <c r="C46" i="58"/>
  <c r="J45" i="58"/>
  <c r="I45" i="58"/>
  <c r="D45" i="58"/>
  <c r="B45" i="58"/>
  <c r="D43" i="58"/>
  <c r="J46" i="58"/>
  <c r="I46" i="58"/>
  <c r="D46" i="58"/>
  <c r="K46" i="58"/>
  <c r="J43" i="58"/>
  <c r="Z65" i="59"/>
  <c r="AB65" i="59" s="1"/>
  <c r="L71" i="59"/>
  <c r="N71" i="59" s="1"/>
  <c r="AS71" i="59" s="1"/>
  <c r="AM65" i="59"/>
  <c r="AO65" i="59" s="1"/>
  <c r="AU65" i="59" s="1"/>
  <c r="A126" i="61"/>
  <c r="AC98" i="61" a="1"/>
  <c r="AU21" i="25"/>
  <c r="AR23" i="25"/>
  <c r="AW23" i="25"/>
  <c r="AW29" i="25" s="1"/>
  <c r="BG16" i="25" s="1"/>
  <c r="S15" i="25" s="1"/>
  <c r="BD74" i="61" s="1"/>
  <c r="AR7" i="17"/>
  <c r="AT7" i="17" s="1"/>
  <c r="AU7" i="17" s="1"/>
  <c r="AW14" i="20"/>
  <c r="AW25" i="17"/>
  <c r="AW7" i="18"/>
  <c r="AI23" i="15"/>
  <c r="AW8" i="18"/>
  <c r="AM8" i="16"/>
  <c r="AR8" i="16" s="1"/>
  <c r="AT8" i="16" s="1"/>
  <c r="AU8" i="16" s="1"/>
  <c r="AM5" i="16"/>
  <c r="AR5" i="16" s="1"/>
  <c r="AT5" i="16" s="1"/>
  <c r="AU5" i="16" s="1"/>
  <c r="AW14" i="22"/>
  <c r="AM7" i="16"/>
  <c r="AR7" i="16" s="1"/>
  <c r="AT7" i="16" s="1"/>
  <c r="AU7" i="16" s="1"/>
  <c r="AQ25" i="16"/>
  <c r="AM25" i="16" s="1"/>
  <c r="AW26" i="17"/>
  <c r="AM14" i="19"/>
  <c r="AR14" i="19" s="1"/>
  <c r="AT14" i="19" s="1"/>
  <c r="AU14" i="19" s="1"/>
  <c r="AM24" i="18"/>
  <c r="AW24" i="18" s="1"/>
  <c r="AJ26" i="15"/>
  <c r="AI26" i="15"/>
  <c r="AU4" i="19"/>
  <c r="AA26" i="2"/>
  <c r="AG26" i="2" s="1"/>
  <c r="Y25" i="2"/>
  <c r="X26" i="2" s="1"/>
  <c r="AM17" i="23"/>
  <c r="AR28" i="17"/>
  <c r="AT28" i="17" s="1"/>
  <c r="AU28" i="17" s="1"/>
  <c r="AW28" i="17"/>
  <c r="AM4" i="16"/>
  <c r="AL26" i="15"/>
  <c r="AK26" i="15"/>
  <c r="AL5" i="15"/>
  <c r="AK5" i="15"/>
  <c r="AQ5" i="15" s="1"/>
  <c r="AJ17" i="15"/>
  <c r="AI17" i="15"/>
  <c r="AJ21" i="15"/>
  <c r="AI21" i="15"/>
  <c r="AR28" i="18"/>
  <c r="AT28" i="18" s="1"/>
  <c r="AU28" i="18" s="1"/>
  <c r="AW28" i="18"/>
  <c r="AK16" i="20"/>
  <c r="AQ16" i="20" s="1"/>
  <c r="AG31" i="20" s="1"/>
  <c r="AL16" i="20"/>
  <c r="AH17" i="20"/>
  <c r="AR13" i="19"/>
  <c r="AW13" i="19"/>
  <c r="AA19" i="10"/>
  <c r="AG19" i="10" s="1"/>
  <c r="Y18" i="10"/>
  <c r="X19" i="10" s="1"/>
  <c r="AM12" i="53"/>
  <c r="AA28" i="1"/>
  <c r="AG28" i="1" s="1"/>
  <c r="Y27" i="1"/>
  <c r="X28" i="1" s="1"/>
  <c r="AJ24" i="15"/>
  <c r="AI24" i="15"/>
  <c r="AK16" i="24"/>
  <c r="AQ16" i="24" s="1"/>
  <c r="AG31" i="24" s="1"/>
  <c r="AL16" i="24"/>
  <c r="AH17" i="24"/>
  <c r="AR9" i="17"/>
  <c r="AT9" i="17" s="1"/>
  <c r="AU9" i="17" s="1"/>
  <c r="AW9" i="17"/>
  <c r="AM15" i="22"/>
  <c r="AR16" i="23"/>
  <c r="AW16" i="23"/>
  <c r="AR12" i="21"/>
  <c r="AW12" i="21"/>
  <c r="D126" i="61"/>
  <c r="D97" i="61"/>
  <c r="T126" i="61"/>
  <c r="T97" i="61"/>
  <c r="M126" i="61"/>
  <c r="M97" i="61"/>
  <c r="A132" i="61"/>
  <c r="A103" i="61"/>
  <c r="E12" i="62" s="1"/>
  <c r="CO67" i="61"/>
  <c r="A140" i="61"/>
  <c r="A111" i="61"/>
  <c r="E20" i="62" s="1"/>
  <c r="CO75" i="61"/>
  <c r="A148" i="61"/>
  <c r="A119" i="61"/>
  <c r="E28" i="62" s="1"/>
  <c r="CO83" i="61"/>
  <c r="J126" i="61"/>
  <c r="J97" i="61"/>
  <c r="Z126" i="61"/>
  <c r="Z97" i="61"/>
  <c r="G126" i="61"/>
  <c r="G97" i="61"/>
  <c r="W126" i="61"/>
  <c r="W97" i="61"/>
  <c r="A133" i="61"/>
  <c r="A104" i="61"/>
  <c r="E13" i="62" s="1"/>
  <c r="CO68" i="61"/>
  <c r="A141" i="61"/>
  <c r="A112" i="61"/>
  <c r="E21" i="62" s="1"/>
  <c r="CO76" i="61"/>
  <c r="A149" i="61"/>
  <c r="A120" i="61"/>
  <c r="E29" i="62" s="1"/>
  <c r="CO84" i="61"/>
  <c r="AK11" i="17"/>
  <c r="AQ11" i="17" s="1"/>
  <c r="AL11" i="17"/>
  <c r="AH12" i="17"/>
  <c r="X27" i="2"/>
  <c r="AA20" i="9"/>
  <c r="AG20" i="9" s="1"/>
  <c r="Y19" i="9"/>
  <c r="X20" i="9" s="1"/>
  <c r="AA25" i="4"/>
  <c r="AG25" i="4" s="1"/>
  <c r="Y24" i="4"/>
  <c r="X25" i="4" s="1"/>
  <c r="AL27" i="15"/>
  <c r="AK27" i="15"/>
  <c r="AL8" i="15"/>
  <c r="AK8" i="15"/>
  <c r="AQ8" i="15" s="1"/>
  <c r="AK6" i="15"/>
  <c r="AQ6" i="15" s="1"/>
  <c r="AL6" i="15"/>
  <c r="F28" i="1"/>
  <c r="D29" i="1"/>
  <c r="AR8" i="17"/>
  <c r="AT8" i="17" s="1"/>
  <c r="AU8" i="17" s="1"/>
  <c r="AW8" i="17"/>
  <c r="AJ20" i="15"/>
  <c r="AI20" i="15"/>
  <c r="X17" i="11"/>
  <c r="AA17" i="11"/>
  <c r="X16" i="11"/>
  <c r="AR27" i="18"/>
  <c r="AT27" i="18" s="1"/>
  <c r="AU27" i="18" s="1"/>
  <c r="AW27" i="18"/>
  <c r="AR5" i="18"/>
  <c r="AT5" i="18" s="1"/>
  <c r="AU5" i="18" s="1"/>
  <c r="AW5" i="18"/>
  <c r="AU4" i="53"/>
  <c r="AL9" i="16"/>
  <c r="AK9" i="16"/>
  <c r="AQ9" i="16" s="1"/>
  <c r="AH10" i="16"/>
  <c r="AR14" i="24"/>
  <c r="AW14" i="24"/>
  <c r="AJ27" i="15"/>
  <c r="AI27" i="15"/>
  <c r="AU14" i="23"/>
  <c r="AR26" i="18"/>
  <c r="AT26" i="18" s="1"/>
  <c r="AU26" i="18" s="1"/>
  <c r="AW26" i="18"/>
  <c r="AM15" i="20"/>
  <c r="AQ27" i="16"/>
  <c r="AM27" i="16" s="1"/>
  <c r="X17" i="12"/>
  <c r="AA17" i="12"/>
  <c r="X16" i="12"/>
  <c r="AR4" i="17"/>
  <c r="AW4" i="17"/>
  <c r="AJ28" i="15"/>
  <c r="AI28" i="15"/>
  <c r="AM15" i="24"/>
  <c r="AR24" i="17"/>
  <c r="AT24" i="17" s="1"/>
  <c r="AU24" i="17" s="1"/>
  <c r="AW24" i="17"/>
  <c r="AR9" i="18"/>
  <c r="AT9" i="18" s="1"/>
  <c r="AU9" i="18" s="1"/>
  <c r="AW9" i="18"/>
  <c r="AR5" i="17"/>
  <c r="AT5" i="17" s="1"/>
  <c r="AU5" i="17" s="1"/>
  <c r="AW5" i="17"/>
  <c r="H126" i="61"/>
  <c r="H97" i="61"/>
  <c r="X126" i="61"/>
  <c r="X97" i="61"/>
  <c r="Q126" i="61"/>
  <c r="Q97" i="61"/>
  <c r="A134" i="61"/>
  <c r="A105" i="61"/>
  <c r="E14" i="62" s="1"/>
  <c r="CO69" i="61"/>
  <c r="A142" i="61"/>
  <c r="A113" i="61"/>
  <c r="E22" i="62" s="1"/>
  <c r="CO77" i="61"/>
  <c r="A150" i="61"/>
  <c r="A121" i="61"/>
  <c r="E30" i="62" s="1"/>
  <c r="CO85" i="61"/>
  <c r="N126" i="61"/>
  <c r="N97" i="61"/>
  <c r="K126" i="61"/>
  <c r="K97" i="61"/>
  <c r="A127" i="61"/>
  <c r="A98" i="61"/>
  <c r="E7" i="62" s="1"/>
  <c r="CO62" i="61"/>
  <c r="A135" i="61"/>
  <c r="A106" i="61"/>
  <c r="E15" i="62" s="1"/>
  <c r="CO70" i="61"/>
  <c r="A143" i="61"/>
  <c r="A114" i="61"/>
  <c r="E23" i="62" s="1"/>
  <c r="CO78" i="61"/>
  <c r="A151" i="61"/>
  <c r="A122" i="61"/>
  <c r="E31" i="62" s="1"/>
  <c r="CO86" i="61"/>
  <c r="AM10" i="17"/>
  <c r="AL14" i="21"/>
  <c r="AK14" i="21"/>
  <c r="AQ14" i="21" s="1"/>
  <c r="AH15" i="21"/>
  <c r="AR11" i="53"/>
  <c r="AW11" i="53"/>
  <c r="AM6" i="16"/>
  <c r="AL24" i="15"/>
  <c r="AK24" i="15"/>
  <c r="AL28" i="15"/>
  <c r="AK28" i="15"/>
  <c r="AH9" i="15"/>
  <c r="AK4" i="15"/>
  <c r="AQ4" i="15" s="1"/>
  <c r="AL4" i="15"/>
  <c r="AL12" i="18"/>
  <c r="AK12" i="18"/>
  <c r="AQ12" i="18" s="1"/>
  <c r="AH13" i="18"/>
  <c r="AJ18" i="15"/>
  <c r="AI18" i="15"/>
  <c r="AR25" i="18"/>
  <c r="AT25" i="18" s="1"/>
  <c r="AU25" i="18" s="1"/>
  <c r="AW25" i="18"/>
  <c r="AR10" i="18"/>
  <c r="AT10" i="18" s="1"/>
  <c r="AU10" i="18" s="1"/>
  <c r="AW10" i="18"/>
  <c r="AR6" i="17"/>
  <c r="AT6" i="17" s="1"/>
  <c r="AU6" i="17" s="1"/>
  <c r="AW6" i="17"/>
  <c r="AQ28" i="16"/>
  <c r="AM28" i="16" s="1"/>
  <c r="AR27" i="17"/>
  <c r="AT27" i="17" s="1"/>
  <c r="AU27" i="17" s="1"/>
  <c r="AW27" i="17"/>
  <c r="AF17" i="14"/>
  <c r="AF18" i="14" s="1"/>
  <c r="AF19" i="14" s="1"/>
  <c r="AF20" i="14" s="1"/>
  <c r="AF21" i="14" s="1"/>
  <c r="AF22" i="14" s="1"/>
  <c r="AF23" i="14" s="1"/>
  <c r="AF24" i="14" s="1"/>
  <c r="AF25" i="14" s="1"/>
  <c r="AF26" i="14" s="1"/>
  <c r="AF27" i="14" s="1"/>
  <c r="AF28" i="14" s="1"/>
  <c r="AH1" i="14"/>
  <c r="AW1" i="14"/>
  <c r="AQ24" i="16"/>
  <c r="AM24" i="16" s="1"/>
  <c r="X20" i="10"/>
  <c r="AA26" i="3"/>
  <c r="AG26" i="3" s="1"/>
  <c r="Y25" i="3"/>
  <c r="X26" i="3" s="1"/>
  <c r="AL16" i="22"/>
  <c r="AK16" i="22"/>
  <c r="AQ16" i="22" s="1"/>
  <c r="AH17" i="22"/>
  <c r="AL15" i="19"/>
  <c r="AK15" i="19"/>
  <c r="AQ15" i="19" s="1"/>
  <c r="AH16" i="19"/>
  <c r="AD1" i="13"/>
  <c r="AG17" i="13"/>
  <c r="AA23" i="6"/>
  <c r="AG23" i="6" s="1"/>
  <c r="Y22" i="6"/>
  <c r="X23" i="6" s="1"/>
  <c r="AR6" i="18"/>
  <c r="AT6" i="18" s="1"/>
  <c r="AU6" i="18" s="1"/>
  <c r="AW6" i="18"/>
  <c r="L126" i="61"/>
  <c r="L97" i="61"/>
  <c r="E126" i="61"/>
  <c r="E97" i="61"/>
  <c r="U126" i="61"/>
  <c r="U97" i="61"/>
  <c r="A128" i="61"/>
  <c r="A99" i="61"/>
  <c r="E8" i="62" s="1"/>
  <c r="CO63" i="61"/>
  <c r="A136" i="61"/>
  <c r="A107" i="61"/>
  <c r="E16" i="62" s="1"/>
  <c r="CO71" i="61"/>
  <c r="A144" i="61"/>
  <c r="A115" i="61"/>
  <c r="E24" i="62" s="1"/>
  <c r="CO79" i="61"/>
  <c r="B126" i="61"/>
  <c r="B97" i="61"/>
  <c r="R126" i="61"/>
  <c r="R97" i="61"/>
  <c r="O126" i="61"/>
  <c r="O97" i="61"/>
  <c r="A129" i="61"/>
  <c r="A100" i="61"/>
  <c r="E9" i="62" s="1"/>
  <c r="CO64" i="61"/>
  <c r="A137" i="61"/>
  <c r="A108" i="61"/>
  <c r="E17" i="62" s="1"/>
  <c r="CO72" i="61"/>
  <c r="A145" i="61"/>
  <c r="A116" i="61"/>
  <c r="E25" i="62" s="1"/>
  <c r="CO80" i="61"/>
  <c r="AQ26" i="16"/>
  <c r="AM26" i="16" s="1"/>
  <c r="AL18" i="23"/>
  <c r="AK18" i="23"/>
  <c r="AQ18" i="23" s="1"/>
  <c r="AH19" i="23"/>
  <c r="AM13" i="21"/>
  <c r="AA20" i="8"/>
  <c r="AG20" i="8" s="1"/>
  <c r="Y19" i="8"/>
  <c r="X20" i="8" s="1"/>
  <c r="AL25" i="15"/>
  <c r="AK25" i="15"/>
  <c r="AL7" i="15"/>
  <c r="AK7" i="15"/>
  <c r="AQ7" i="15" s="1"/>
  <c r="AM11" i="18"/>
  <c r="G28" i="2"/>
  <c r="G29" i="2" s="1"/>
  <c r="F29" i="2"/>
  <c r="AJ25" i="15"/>
  <c r="AI25" i="15"/>
  <c r="AE1" i="14"/>
  <c r="AR4" i="18"/>
  <c r="AW4" i="18"/>
  <c r="AK13" i="53"/>
  <c r="AQ13" i="53" s="1"/>
  <c r="AL13" i="53"/>
  <c r="AH14" i="53"/>
  <c r="AA24" i="5"/>
  <c r="AG24" i="5" s="1"/>
  <c r="Y23" i="5"/>
  <c r="X24" i="5" s="1"/>
  <c r="AJ22" i="15"/>
  <c r="AI22" i="15"/>
  <c r="AA22" i="7"/>
  <c r="AG22" i="7" s="1"/>
  <c r="Y21" i="7"/>
  <c r="X22" i="7" s="1"/>
  <c r="P126" i="61"/>
  <c r="P97" i="61"/>
  <c r="I126" i="61"/>
  <c r="I97" i="61"/>
  <c r="Y126" i="61"/>
  <c r="Y97" i="61"/>
  <c r="A130" i="61"/>
  <c r="A101" i="61"/>
  <c r="E10" i="62" s="1"/>
  <c r="CO65" i="61"/>
  <c r="A138" i="61"/>
  <c r="A109" i="61"/>
  <c r="E18" i="62" s="1"/>
  <c r="CO73" i="61"/>
  <c r="A146" i="61"/>
  <c r="A117" i="61"/>
  <c r="E26" i="62" s="1"/>
  <c r="CO81" i="61"/>
  <c r="F126" i="61"/>
  <c r="F97" i="61"/>
  <c r="V126" i="61"/>
  <c r="V97" i="61"/>
  <c r="C126" i="61"/>
  <c r="C97" i="61"/>
  <c r="S126" i="61"/>
  <c r="S97" i="61"/>
  <c r="A131" i="61"/>
  <c r="A102" i="61"/>
  <c r="E11" i="62" s="1"/>
  <c r="CO66" i="61"/>
  <c r="A139" i="61"/>
  <c r="A110" i="61"/>
  <c r="E19" i="62" s="1"/>
  <c r="CO74" i="61"/>
  <c r="A147" i="61"/>
  <c r="A118" i="61"/>
  <c r="E27" i="62" s="1"/>
  <c r="CO82" i="61"/>
  <c r="GH150" i="61" l="1"/>
  <c r="N29" i="64" s="1"/>
  <c r="ES149" i="61"/>
  <c r="H28" i="64" s="1"/>
  <c r="GC150" i="61"/>
  <c r="GD150" i="61" s="1"/>
  <c r="GE150" i="61"/>
  <c r="L29" i="64" s="1"/>
  <c r="EY149" i="61"/>
  <c r="K28" i="64"/>
  <c r="EZ150" i="61"/>
  <c r="ER150" i="61"/>
  <c r="K88" i="61"/>
  <c r="C88" i="61"/>
  <c r="T88" i="61"/>
  <c r="N88" i="61"/>
  <c r="Y88" i="61"/>
  <c r="G88" i="61"/>
  <c r="L88" i="61"/>
  <c r="M88" i="61"/>
  <c r="Z88" i="61"/>
  <c r="B88" i="61"/>
  <c r="R88" i="61"/>
  <c r="I88" i="61"/>
  <c r="D88" i="61"/>
  <c r="H88" i="61"/>
  <c r="V88" i="61"/>
  <c r="W88" i="61"/>
  <c r="P88" i="61"/>
  <c r="F88" i="61"/>
  <c r="X88" i="61"/>
  <c r="J88" i="61"/>
  <c r="S88" i="61"/>
  <c r="U88" i="61"/>
  <c r="E88" i="61"/>
  <c r="AT65" i="59"/>
  <c r="AV65" i="59" s="1"/>
  <c r="AT66" i="59"/>
  <c r="AV66" i="59" s="1"/>
  <c r="E10" i="59" s="1"/>
  <c r="AC103" i="61"/>
  <c r="AC116" i="61"/>
  <c r="AC112" i="61"/>
  <c r="AC108" i="61"/>
  <c r="AC99" i="61"/>
  <c r="AC107" i="61"/>
  <c r="AC117" i="61"/>
  <c r="AC104" i="61"/>
  <c r="AC109" i="61"/>
  <c r="AC118" i="61"/>
  <c r="AC113" i="61"/>
  <c r="AC122" i="61"/>
  <c r="AC121" i="61"/>
  <c r="AC119" i="61"/>
  <c r="AC110" i="61"/>
  <c r="AC105" i="61"/>
  <c r="AC114" i="61"/>
  <c r="AC111" i="61"/>
  <c r="AC98" i="61"/>
  <c r="AC100" i="61"/>
  <c r="AC102" i="61"/>
  <c r="AC120" i="61"/>
  <c r="AC106" i="61"/>
  <c r="AC101" i="61"/>
  <c r="AC115" i="61"/>
  <c r="AT23" i="25"/>
  <c r="AR29" i="25"/>
  <c r="BG12" i="25" s="1"/>
  <c r="S11" i="25" s="1"/>
  <c r="AW14" i="19"/>
  <c r="AW7" i="16"/>
  <c r="AW8" i="16"/>
  <c r="AW5" i="16"/>
  <c r="AQ27" i="15"/>
  <c r="AM27" i="15" s="1"/>
  <c r="AM6" i="15"/>
  <c r="AR6" i="15" s="1"/>
  <c r="AT6" i="15" s="1"/>
  <c r="AU6" i="15" s="1"/>
  <c r="AM11" i="17"/>
  <c r="AR11" i="17" s="1"/>
  <c r="AT11" i="17" s="1"/>
  <c r="AU11" i="17" s="1"/>
  <c r="AR24" i="18"/>
  <c r="AT24" i="18" s="1"/>
  <c r="AU24" i="18" s="1"/>
  <c r="AM16" i="24"/>
  <c r="AR16" i="24" s="1"/>
  <c r="AT16" i="24" s="1"/>
  <c r="AU16" i="24" s="1"/>
  <c r="AM16" i="20"/>
  <c r="AR16" i="20" s="1"/>
  <c r="AT16" i="20" s="1"/>
  <c r="AU16" i="20" s="1"/>
  <c r="CQ81" i="61"/>
  <c r="CR81" i="61" s="1"/>
  <c r="CP81" i="61"/>
  <c r="I150" i="61"/>
  <c r="AJ150" i="61" s="1"/>
  <c r="I149" i="61"/>
  <c r="AJ149" i="61" s="1"/>
  <c r="I148" i="61"/>
  <c r="AJ148" i="61" s="1"/>
  <c r="I147" i="61"/>
  <c r="AJ147" i="61" s="1"/>
  <c r="I146" i="61"/>
  <c r="AJ146" i="61" s="1"/>
  <c r="I145" i="61"/>
  <c r="AJ145" i="61" s="1"/>
  <c r="I144" i="61"/>
  <c r="AJ144" i="61" s="1"/>
  <c r="I142" i="61"/>
  <c r="AJ142" i="61" s="1"/>
  <c r="I137" i="61"/>
  <c r="AJ137" i="61" s="1"/>
  <c r="I143" i="61"/>
  <c r="AJ143" i="61" s="1"/>
  <c r="I139" i="61"/>
  <c r="AJ139" i="61" s="1"/>
  <c r="I136" i="61"/>
  <c r="AJ136" i="61" s="1"/>
  <c r="I151" i="61"/>
  <c r="AJ151" i="61" s="1"/>
  <c r="I138" i="61"/>
  <c r="AJ138" i="61" s="1"/>
  <c r="I134" i="61"/>
  <c r="AJ134" i="61" s="1"/>
  <c r="I130" i="61"/>
  <c r="AJ130" i="61" s="1"/>
  <c r="I133" i="61"/>
  <c r="AJ133" i="61" s="1"/>
  <c r="I129" i="61"/>
  <c r="AJ129" i="61" s="1"/>
  <c r="I132" i="61"/>
  <c r="AJ132" i="61" s="1"/>
  <c r="I128" i="61"/>
  <c r="AJ128" i="61" s="1"/>
  <c r="I141" i="61"/>
  <c r="AJ141" i="61" s="1"/>
  <c r="I140" i="61"/>
  <c r="AJ140" i="61" s="1"/>
  <c r="I127" i="61"/>
  <c r="AJ127" i="61" s="1"/>
  <c r="I135" i="61"/>
  <c r="AJ135" i="61" s="1"/>
  <c r="I131" i="61"/>
  <c r="AJ131" i="61" s="1"/>
  <c r="AM13" i="53"/>
  <c r="AB20" i="14"/>
  <c r="AB19" i="14"/>
  <c r="AQ25" i="15"/>
  <c r="AM25" i="15" s="1"/>
  <c r="AM7" i="15"/>
  <c r="AA19" i="8"/>
  <c r="AG19" i="8" s="1"/>
  <c r="Y18" i="8"/>
  <c r="X19" i="8" s="1"/>
  <c r="AR13" i="21"/>
  <c r="AT13" i="21" s="1"/>
  <c r="AU13" i="21" s="1"/>
  <c r="AW13" i="21"/>
  <c r="AR26" i="16"/>
  <c r="AT26" i="16" s="1"/>
  <c r="AU26" i="16" s="1"/>
  <c r="AW26" i="16"/>
  <c r="CQ72" i="61"/>
  <c r="CR72" i="61" s="1"/>
  <c r="CP72" i="61"/>
  <c r="CQ79" i="61"/>
  <c r="CR79" i="61" s="1"/>
  <c r="CP79" i="61"/>
  <c r="E150" i="61"/>
  <c r="AF150" i="61" s="1"/>
  <c r="E149" i="61"/>
  <c r="AF149" i="61" s="1"/>
  <c r="E148" i="61"/>
  <c r="AF148" i="61" s="1"/>
  <c r="E147" i="61"/>
  <c r="AF147" i="61" s="1"/>
  <c r="E146" i="61"/>
  <c r="AF146" i="61" s="1"/>
  <c r="E145" i="61"/>
  <c r="AF145" i="61" s="1"/>
  <c r="E144" i="61"/>
  <c r="AF144" i="61" s="1"/>
  <c r="E151" i="61"/>
  <c r="AF151" i="61" s="1"/>
  <c r="E143" i="61"/>
  <c r="AF143" i="61" s="1"/>
  <c r="E139" i="61"/>
  <c r="AF139" i="61" s="1"/>
  <c r="E137" i="61"/>
  <c r="AF137" i="61" s="1"/>
  <c r="E140" i="61"/>
  <c r="AF140" i="61" s="1"/>
  <c r="E136" i="61"/>
  <c r="AF136" i="61" s="1"/>
  <c r="E141" i="61"/>
  <c r="AF141" i="61" s="1"/>
  <c r="E130" i="61"/>
  <c r="AF130" i="61" s="1"/>
  <c r="E135" i="61"/>
  <c r="AF135" i="61" s="1"/>
  <c r="E133" i="61"/>
  <c r="AF133" i="61" s="1"/>
  <c r="E129" i="61"/>
  <c r="AF129" i="61" s="1"/>
  <c r="E142" i="61"/>
  <c r="AF142" i="61" s="1"/>
  <c r="E138" i="61"/>
  <c r="AF138" i="61" s="1"/>
  <c r="E132" i="61"/>
  <c r="AF132" i="61" s="1"/>
  <c r="E128" i="61"/>
  <c r="AF128" i="61" s="1"/>
  <c r="E131" i="61"/>
  <c r="AF131" i="61" s="1"/>
  <c r="E127" i="61"/>
  <c r="AF127" i="61" s="1"/>
  <c r="E134" i="61"/>
  <c r="AF134" i="61" s="1"/>
  <c r="AL16" i="19"/>
  <c r="AK16" i="19"/>
  <c r="AQ16" i="19" s="1"/>
  <c r="AG31" i="19" s="1"/>
  <c r="AH17" i="19"/>
  <c r="AM16" i="22"/>
  <c r="AG31" i="22"/>
  <c r="AA25" i="3"/>
  <c r="AG25" i="3" s="1"/>
  <c r="Y24" i="3"/>
  <c r="X25" i="3" s="1"/>
  <c r="AH6" i="14"/>
  <c r="AH5" i="14"/>
  <c r="AH4" i="14"/>
  <c r="AH8" i="14"/>
  <c r="AH9" i="14" s="1"/>
  <c r="AH7" i="14"/>
  <c r="AH28" i="14"/>
  <c r="AH27" i="14"/>
  <c r="AH26" i="14"/>
  <c r="AH25" i="14"/>
  <c r="AM12" i="18"/>
  <c r="AL9" i="15"/>
  <c r="AK9" i="15"/>
  <c r="AQ9" i="15" s="1"/>
  <c r="AH10" i="15"/>
  <c r="AT11" i="53"/>
  <c r="CQ70" i="61"/>
  <c r="CR70" i="61" s="1"/>
  <c r="CP70" i="61"/>
  <c r="CQ69" i="61"/>
  <c r="CR69" i="61" s="1"/>
  <c r="CP69" i="61"/>
  <c r="Q150" i="61"/>
  <c r="AR150" i="61" s="1"/>
  <c r="Q149" i="61"/>
  <c r="AR149" i="61" s="1"/>
  <c r="Q148" i="61"/>
  <c r="AR148" i="61" s="1"/>
  <c r="Q147" i="61"/>
  <c r="AR147" i="61" s="1"/>
  <c r="Q146" i="61"/>
  <c r="AR146" i="61" s="1"/>
  <c r="Q145" i="61"/>
  <c r="AR145" i="61" s="1"/>
  <c r="Q144" i="61"/>
  <c r="AR144" i="61" s="1"/>
  <c r="Q140" i="61"/>
  <c r="AR140" i="61" s="1"/>
  <c r="Q137" i="61"/>
  <c r="AR137" i="61" s="1"/>
  <c r="Q141" i="61"/>
  <c r="AR141" i="61" s="1"/>
  <c r="Q136" i="61"/>
  <c r="AR136" i="61" s="1"/>
  <c r="Q151" i="61"/>
  <c r="AR151" i="61" s="1"/>
  <c r="Q142" i="61"/>
  <c r="AR142" i="61" s="1"/>
  <c r="Q139" i="61"/>
  <c r="AR139" i="61" s="1"/>
  <c r="Q138" i="61"/>
  <c r="AR138" i="61" s="1"/>
  <c r="Q130" i="61"/>
  <c r="AR130" i="61" s="1"/>
  <c r="Q133" i="61"/>
  <c r="AR133" i="61" s="1"/>
  <c r="Q129" i="61"/>
  <c r="AR129" i="61" s="1"/>
  <c r="Q143" i="61"/>
  <c r="AR143" i="61" s="1"/>
  <c r="Q134" i="61"/>
  <c r="AR134" i="61" s="1"/>
  <c r="Q132" i="61"/>
  <c r="AR132" i="61" s="1"/>
  <c r="Q128" i="61"/>
  <c r="AR128" i="61" s="1"/>
  <c r="Q131" i="61"/>
  <c r="AR131" i="61" s="1"/>
  <c r="Q135" i="61"/>
  <c r="AR135" i="61" s="1"/>
  <c r="Q127" i="61"/>
  <c r="AR127" i="61" s="1"/>
  <c r="H150" i="61"/>
  <c r="AI150" i="61" s="1"/>
  <c r="H149" i="61"/>
  <c r="AI149" i="61" s="1"/>
  <c r="H148" i="61"/>
  <c r="AI148" i="61" s="1"/>
  <c r="H147" i="61"/>
  <c r="AI147" i="61" s="1"/>
  <c r="H146" i="61"/>
  <c r="AI146" i="61" s="1"/>
  <c r="H145" i="61"/>
  <c r="AI145" i="61" s="1"/>
  <c r="H144" i="61"/>
  <c r="AI144" i="61" s="1"/>
  <c r="H143" i="61"/>
  <c r="AI143" i="61" s="1"/>
  <c r="H142" i="61"/>
  <c r="AI142" i="61" s="1"/>
  <c r="H141" i="61"/>
  <c r="AI141" i="61" s="1"/>
  <c r="H138" i="61"/>
  <c r="AI138" i="61" s="1"/>
  <c r="H137" i="61"/>
  <c r="AI137" i="61" s="1"/>
  <c r="H151" i="61"/>
  <c r="AI151" i="61" s="1"/>
  <c r="H140" i="61"/>
  <c r="AI140" i="61" s="1"/>
  <c r="H135" i="61"/>
  <c r="AI135" i="61" s="1"/>
  <c r="H131" i="61"/>
  <c r="AI131" i="61" s="1"/>
  <c r="H127" i="61"/>
  <c r="AI127" i="61" s="1"/>
  <c r="H136" i="61"/>
  <c r="AI136" i="61" s="1"/>
  <c r="H134" i="61"/>
  <c r="AI134" i="61" s="1"/>
  <c r="H130" i="61"/>
  <c r="AI130" i="61" s="1"/>
  <c r="H133" i="61"/>
  <c r="AI133" i="61" s="1"/>
  <c r="H129" i="61"/>
  <c r="AI129" i="61" s="1"/>
  <c r="H132" i="61"/>
  <c r="AI132" i="61" s="1"/>
  <c r="H139" i="61"/>
  <c r="AI139" i="61" s="1"/>
  <c r="H128" i="61"/>
  <c r="AI128" i="61" s="1"/>
  <c r="AR15" i="24"/>
  <c r="AT15" i="24" s="1"/>
  <c r="AU15" i="24" s="1"/>
  <c r="AW15" i="24"/>
  <c r="AT4" i="17"/>
  <c r="AR15" i="20"/>
  <c r="AW15" i="20"/>
  <c r="AT14" i="24"/>
  <c r="CQ84" i="61"/>
  <c r="CR84" i="61" s="1"/>
  <c r="CP84" i="61"/>
  <c r="G151" i="61"/>
  <c r="AH151" i="61" s="1"/>
  <c r="G141" i="61"/>
  <c r="AH141" i="61" s="1"/>
  <c r="G140" i="61"/>
  <c r="AH140" i="61" s="1"/>
  <c r="G135" i="61"/>
  <c r="AH135" i="61" s="1"/>
  <c r="G149" i="61"/>
  <c r="AH149" i="61" s="1"/>
  <c r="G147" i="61"/>
  <c r="AH147" i="61" s="1"/>
  <c r="G145" i="61"/>
  <c r="AH145" i="61" s="1"/>
  <c r="G142" i="61"/>
  <c r="AH142" i="61" s="1"/>
  <c r="G138" i="61"/>
  <c r="AH138" i="61" s="1"/>
  <c r="G134" i="61"/>
  <c r="AH134" i="61" s="1"/>
  <c r="G143" i="61"/>
  <c r="AH143" i="61" s="1"/>
  <c r="G150" i="61"/>
  <c r="AH150" i="61" s="1"/>
  <c r="G139" i="61"/>
  <c r="AH139" i="61" s="1"/>
  <c r="G132" i="61"/>
  <c r="AH132" i="61" s="1"/>
  <c r="G128" i="61"/>
  <c r="AH128" i="61" s="1"/>
  <c r="G148" i="61"/>
  <c r="AH148" i="61" s="1"/>
  <c r="G131" i="61"/>
  <c r="AH131" i="61" s="1"/>
  <c r="G127" i="61"/>
  <c r="AH127" i="61" s="1"/>
  <c r="G146" i="61"/>
  <c r="AH146" i="61" s="1"/>
  <c r="G136" i="61"/>
  <c r="AH136" i="61" s="1"/>
  <c r="G130" i="61"/>
  <c r="AH130" i="61" s="1"/>
  <c r="G137" i="61"/>
  <c r="AH137" i="61" s="1"/>
  <c r="G144" i="61"/>
  <c r="AH144" i="61" s="1"/>
  <c r="G133" i="61"/>
  <c r="AH133" i="61" s="1"/>
  <c r="G129" i="61"/>
  <c r="AH129" i="61" s="1"/>
  <c r="J151" i="61"/>
  <c r="AK151" i="61" s="1"/>
  <c r="J140" i="61"/>
  <c r="AK140" i="61" s="1"/>
  <c r="J139" i="61"/>
  <c r="AK139" i="61" s="1"/>
  <c r="J149" i="61"/>
  <c r="AK149" i="61" s="1"/>
  <c r="J147" i="61"/>
  <c r="AK147" i="61" s="1"/>
  <c r="J145" i="61"/>
  <c r="AK145" i="61" s="1"/>
  <c r="J143" i="61"/>
  <c r="AK143" i="61" s="1"/>
  <c r="J136" i="61"/>
  <c r="AK136" i="61" s="1"/>
  <c r="J135" i="61"/>
  <c r="AK135" i="61" s="1"/>
  <c r="J150" i="61"/>
  <c r="AK150" i="61" s="1"/>
  <c r="J148" i="61"/>
  <c r="AK148" i="61" s="1"/>
  <c r="J146" i="61"/>
  <c r="AK146" i="61" s="1"/>
  <c r="J144" i="61"/>
  <c r="AK144" i="61" s="1"/>
  <c r="J141" i="61"/>
  <c r="AK141" i="61" s="1"/>
  <c r="J133" i="61"/>
  <c r="AK133" i="61" s="1"/>
  <c r="J129" i="61"/>
  <c r="AK129" i="61" s="1"/>
  <c r="J142" i="61"/>
  <c r="AK142" i="61" s="1"/>
  <c r="J132" i="61"/>
  <c r="AK132" i="61" s="1"/>
  <c r="J128" i="61"/>
  <c r="AK128" i="61" s="1"/>
  <c r="J137" i="61"/>
  <c r="AK137" i="61" s="1"/>
  <c r="J131" i="61"/>
  <c r="AK131" i="61" s="1"/>
  <c r="J127" i="61"/>
  <c r="AK127" i="61" s="1"/>
  <c r="J134" i="61"/>
  <c r="AK134" i="61" s="1"/>
  <c r="J138" i="61"/>
  <c r="AK138" i="61" s="1"/>
  <c r="J130" i="61"/>
  <c r="AK130" i="61" s="1"/>
  <c r="CQ75" i="61"/>
  <c r="CR75" i="61" s="1"/>
  <c r="CP75" i="61"/>
  <c r="AQ24" i="15"/>
  <c r="AM24" i="15" s="1"/>
  <c r="AA27" i="1"/>
  <c r="AG27" i="1" s="1"/>
  <c r="Y26" i="1"/>
  <c r="X27" i="1" s="1"/>
  <c r="AA18" i="10"/>
  <c r="AG18" i="10" s="1"/>
  <c r="Y17" i="10"/>
  <c r="X18" i="10" s="1"/>
  <c r="AT13" i="19"/>
  <c r="CQ66" i="61"/>
  <c r="CR66" i="61" s="1"/>
  <c r="CP66" i="61"/>
  <c r="S151" i="61"/>
  <c r="AT151" i="61" s="1"/>
  <c r="S142" i="61"/>
  <c r="AT142" i="61" s="1"/>
  <c r="S135" i="61"/>
  <c r="AT135" i="61" s="1"/>
  <c r="S150" i="61"/>
  <c r="AT150" i="61" s="1"/>
  <c r="S148" i="61"/>
  <c r="AT148" i="61" s="1"/>
  <c r="S146" i="61"/>
  <c r="AT146" i="61" s="1"/>
  <c r="S144" i="61"/>
  <c r="AT144" i="61" s="1"/>
  <c r="S143" i="61"/>
  <c r="AT143" i="61" s="1"/>
  <c r="S138" i="61"/>
  <c r="AT138" i="61" s="1"/>
  <c r="S134" i="61"/>
  <c r="AT134" i="61" s="1"/>
  <c r="S140" i="61"/>
  <c r="AT140" i="61" s="1"/>
  <c r="S136" i="61"/>
  <c r="AT136" i="61" s="1"/>
  <c r="S132" i="61"/>
  <c r="AT132" i="61" s="1"/>
  <c r="S128" i="61"/>
  <c r="AT128" i="61" s="1"/>
  <c r="S149" i="61"/>
  <c r="AT149" i="61" s="1"/>
  <c r="S141" i="61"/>
  <c r="AT141" i="61" s="1"/>
  <c r="S137" i="61"/>
  <c r="AT137" i="61" s="1"/>
  <c r="S131" i="61"/>
  <c r="AT131" i="61" s="1"/>
  <c r="S127" i="61"/>
  <c r="AT127" i="61" s="1"/>
  <c r="S147" i="61"/>
  <c r="AT147" i="61" s="1"/>
  <c r="S130" i="61"/>
  <c r="AT130" i="61" s="1"/>
  <c r="S139" i="61"/>
  <c r="AT139" i="61" s="1"/>
  <c r="S133" i="61"/>
  <c r="AT133" i="61" s="1"/>
  <c r="S145" i="61"/>
  <c r="AT145" i="61" s="1"/>
  <c r="S129" i="61"/>
  <c r="AT129" i="61" s="1"/>
  <c r="V151" i="61"/>
  <c r="AW151" i="61" s="1"/>
  <c r="V140" i="61"/>
  <c r="AW140" i="61" s="1"/>
  <c r="V139" i="61"/>
  <c r="AW139" i="61" s="1"/>
  <c r="V150" i="61"/>
  <c r="AW150" i="61" s="1"/>
  <c r="V148" i="61"/>
  <c r="AW148" i="61" s="1"/>
  <c r="V146" i="61"/>
  <c r="AW146" i="61" s="1"/>
  <c r="V144" i="61"/>
  <c r="AW144" i="61" s="1"/>
  <c r="V136" i="61"/>
  <c r="AW136" i="61" s="1"/>
  <c r="V141" i="61"/>
  <c r="AW141" i="61" s="1"/>
  <c r="V135" i="61"/>
  <c r="AW135" i="61" s="1"/>
  <c r="V149" i="61"/>
  <c r="AW149" i="61" s="1"/>
  <c r="V147" i="61"/>
  <c r="AW147" i="61" s="1"/>
  <c r="V145" i="61"/>
  <c r="AW145" i="61" s="1"/>
  <c r="V142" i="61"/>
  <c r="AW142" i="61" s="1"/>
  <c r="V137" i="61"/>
  <c r="AW137" i="61" s="1"/>
  <c r="V133" i="61"/>
  <c r="AW133" i="61" s="1"/>
  <c r="V129" i="61"/>
  <c r="AW129" i="61" s="1"/>
  <c r="V143" i="61"/>
  <c r="AW143" i="61" s="1"/>
  <c r="V138" i="61"/>
  <c r="AW138" i="61" s="1"/>
  <c r="V132" i="61"/>
  <c r="AW132" i="61" s="1"/>
  <c r="V128" i="61"/>
  <c r="AW128" i="61" s="1"/>
  <c r="V131" i="61"/>
  <c r="AW131" i="61" s="1"/>
  <c r="V127" i="61"/>
  <c r="AW127" i="61" s="1"/>
  <c r="V134" i="61"/>
  <c r="AW134" i="61" s="1"/>
  <c r="V130" i="61"/>
  <c r="AW130" i="61" s="1"/>
  <c r="AA23" i="5"/>
  <c r="AG23" i="5" s="1"/>
  <c r="Y22" i="5"/>
  <c r="X23" i="5" s="1"/>
  <c r="AB21" i="14"/>
  <c r="AB22" i="14"/>
  <c r="AL19" i="23"/>
  <c r="AK19" i="23"/>
  <c r="AQ19" i="23" s="1"/>
  <c r="AH20" i="23"/>
  <c r="CQ80" i="61"/>
  <c r="CR80" i="61" s="1"/>
  <c r="CP80" i="61"/>
  <c r="R151" i="61"/>
  <c r="AS151" i="61" s="1"/>
  <c r="R140" i="61"/>
  <c r="AS140" i="61" s="1"/>
  <c r="R139" i="61"/>
  <c r="AS139" i="61" s="1"/>
  <c r="R149" i="61"/>
  <c r="AS149" i="61" s="1"/>
  <c r="R147" i="61"/>
  <c r="AS147" i="61" s="1"/>
  <c r="R145" i="61"/>
  <c r="AS145" i="61" s="1"/>
  <c r="R141" i="61"/>
  <c r="AS141" i="61" s="1"/>
  <c r="R136" i="61"/>
  <c r="AS136" i="61" s="1"/>
  <c r="R142" i="61"/>
  <c r="AS142" i="61" s="1"/>
  <c r="R135" i="61"/>
  <c r="AS135" i="61" s="1"/>
  <c r="R150" i="61"/>
  <c r="AS150" i="61" s="1"/>
  <c r="R148" i="61"/>
  <c r="AS148" i="61" s="1"/>
  <c r="R146" i="61"/>
  <c r="AS146" i="61" s="1"/>
  <c r="R144" i="61"/>
  <c r="AS144" i="61" s="1"/>
  <c r="R143" i="61"/>
  <c r="AS143" i="61" s="1"/>
  <c r="R133" i="61"/>
  <c r="AS133" i="61" s="1"/>
  <c r="R129" i="61"/>
  <c r="AS129" i="61" s="1"/>
  <c r="R134" i="61"/>
  <c r="AS134" i="61" s="1"/>
  <c r="R132" i="61"/>
  <c r="AS132" i="61" s="1"/>
  <c r="R128" i="61"/>
  <c r="AS128" i="61" s="1"/>
  <c r="R137" i="61"/>
  <c r="AS137" i="61" s="1"/>
  <c r="R131" i="61"/>
  <c r="AS131" i="61" s="1"/>
  <c r="R127" i="61"/>
  <c r="AS127" i="61" s="1"/>
  <c r="R130" i="61"/>
  <c r="AS130" i="61" s="1"/>
  <c r="R138" i="61"/>
  <c r="AS138" i="61" s="1"/>
  <c r="AM15" i="19"/>
  <c r="AR24" i="16"/>
  <c r="AT24" i="16" s="1"/>
  <c r="AU24" i="16" s="1"/>
  <c r="AW24" i="16"/>
  <c r="AL15" i="21"/>
  <c r="AK15" i="21"/>
  <c r="AQ15" i="21" s="1"/>
  <c r="AH16" i="21"/>
  <c r="AR25" i="16"/>
  <c r="AT25" i="16" s="1"/>
  <c r="AU25" i="16" s="1"/>
  <c r="AW25" i="16"/>
  <c r="CQ78" i="61"/>
  <c r="CR78" i="61" s="1"/>
  <c r="CP78" i="61"/>
  <c r="N151" i="61"/>
  <c r="AO151" i="61" s="1"/>
  <c r="N140" i="61"/>
  <c r="AO140" i="61" s="1"/>
  <c r="N139" i="61"/>
  <c r="AO139" i="61" s="1"/>
  <c r="N150" i="61"/>
  <c r="AO150" i="61" s="1"/>
  <c r="N148" i="61"/>
  <c r="AO148" i="61" s="1"/>
  <c r="N146" i="61"/>
  <c r="AO146" i="61" s="1"/>
  <c r="N144" i="61"/>
  <c r="AO144" i="61" s="1"/>
  <c r="N142" i="61"/>
  <c r="AO142" i="61" s="1"/>
  <c r="N136" i="61"/>
  <c r="AO136" i="61" s="1"/>
  <c r="N143" i="61"/>
  <c r="AO143" i="61" s="1"/>
  <c r="N135" i="61"/>
  <c r="AO135" i="61" s="1"/>
  <c r="N149" i="61"/>
  <c r="AO149" i="61" s="1"/>
  <c r="N147" i="61"/>
  <c r="AO147" i="61" s="1"/>
  <c r="N145" i="61"/>
  <c r="AO145" i="61" s="1"/>
  <c r="N137" i="61"/>
  <c r="AO137" i="61" s="1"/>
  <c r="N134" i="61"/>
  <c r="AO134" i="61" s="1"/>
  <c r="N133" i="61"/>
  <c r="AO133" i="61" s="1"/>
  <c r="N129" i="61"/>
  <c r="AO129" i="61" s="1"/>
  <c r="N138" i="61"/>
  <c r="AO138" i="61" s="1"/>
  <c r="N132" i="61"/>
  <c r="AO132" i="61" s="1"/>
  <c r="N128" i="61"/>
  <c r="AO128" i="61" s="1"/>
  <c r="N141" i="61"/>
  <c r="AO141" i="61" s="1"/>
  <c r="N131" i="61"/>
  <c r="AO131" i="61" s="1"/>
  <c r="N127" i="61"/>
  <c r="AO127" i="61" s="1"/>
  <c r="N130" i="61"/>
  <c r="AO130" i="61" s="1"/>
  <c r="CQ77" i="61"/>
  <c r="CR77" i="61" s="1"/>
  <c r="CP77" i="61"/>
  <c r="AQ28" i="15"/>
  <c r="AM28" i="15" s="1"/>
  <c r="AL10" i="16"/>
  <c r="AK10" i="16"/>
  <c r="AQ10" i="16" s="1"/>
  <c r="AH11" i="16"/>
  <c r="AA19" i="9"/>
  <c r="AG19" i="9" s="1"/>
  <c r="Y18" i="9"/>
  <c r="X19" i="9" s="1"/>
  <c r="AL12" i="17"/>
  <c r="AK12" i="17"/>
  <c r="AQ12" i="17" s="1"/>
  <c r="AH13" i="17"/>
  <c r="CP83" i="61"/>
  <c r="CQ83" i="61"/>
  <c r="CR83" i="61" s="1"/>
  <c r="T150" i="61"/>
  <c r="AU150" i="61" s="1"/>
  <c r="T149" i="61"/>
  <c r="AU149" i="61" s="1"/>
  <c r="T148" i="61"/>
  <c r="AU148" i="61" s="1"/>
  <c r="T147" i="61"/>
  <c r="AU147" i="61" s="1"/>
  <c r="T146" i="61"/>
  <c r="AU146" i="61" s="1"/>
  <c r="T145" i="61"/>
  <c r="AU145" i="61" s="1"/>
  <c r="T144" i="61"/>
  <c r="AU144" i="61" s="1"/>
  <c r="T143" i="61"/>
  <c r="AU143" i="61" s="1"/>
  <c r="T142" i="61"/>
  <c r="AU142" i="61" s="1"/>
  <c r="T141" i="61"/>
  <c r="AU141" i="61" s="1"/>
  <c r="T138" i="61"/>
  <c r="AU138" i="61" s="1"/>
  <c r="T134" i="61"/>
  <c r="AU134" i="61" s="1"/>
  <c r="T151" i="61"/>
  <c r="AU151" i="61" s="1"/>
  <c r="T139" i="61"/>
  <c r="AU139" i="61" s="1"/>
  <c r="T137" i="61"/>
  <c r="AU137" i="61" s="1"/>
  <c r="T131" i="61"/>
  <c r="AU131" i="61" s="1"/>
  <c r="T127" i="61"/>
  <c r="AU127" i="61" s="1"/>
  <c r="T130" i="61"/>
  <c r="AU130" i="61" s="1"/>
  <c r="T135" i="61"/>
  <c r="AU135" i="61" s="1"/>
  <c r="T133" i="61"/>
  <c r="AU133" i="61" s="1"/>
  <c r="T129" i="61"/>
  <c r="AU129" i="61" s="1"/>
  <c r="T136" i="61"/>
  <c r="AU136" i="61" s="1"/>
  <c r="T132" i="61"/>
  <c r="AU132" i="61" s="1"/>
  <c r="T128" i="61"/>
  <c r="AU128" i="61" s="1"/>
  <c r="T140" i="61"/>
  <c r="AU140" i="61" s="1"/>
  <c r="AT16" i="23"/>
  <c r="AL17" i="24"/>
  <c r="AK17" i="24"/>
  <c r="AQ17" i="24" s="1"/>
  <c r="AH18" i="24"/>
  <c r="AL17" i="20"/>
  <c r="AK17" i="20"/>
  <c r="AQ17" i="20" s="1"/>
  <c r="AH18" i="20"/>
  <c r="AR17" i="23"/>
  <c r="AT17" i="23" s="1"/>
  <c r="AU17" i="23" s="1"/>
  <c r="AW17" i="23"/>
  <c r="AQ26" i="15"/>
  <c r="AM26" i="15" s="1"/>
  <c r="CQ74" i="61"/>
  <c r="CR74" i="61" s="1"/>
  <c r="CP74" i="61"/>
  <c r="CQ65" i="61"/>
  <c r="CR65" i="61" s="1"/>
  <c r="CP65" i="61"/>
  <c r="Y150" i="61"/>
  <c r="AZ150" i="61" s="1"/>
  <c r="Y149" i="61"/>
  <c r="AZ149" i="61" s="1"/>
  <c r="Y148" i="61"/>
  <c r="AZ148" i="61" s="1"/>
  <c r="Y147" i="61"/>
  <c r="AZ147" i="61" s="1"/>
  <c r="Y146" i="61"/>
  <c r="AZ146" i="61" s="1"/>
  <c r="Y145" i="61"/>
  <c r="AZ145" i="61" s="1"/>
  <c r="Y144" i="61"/>
  <c r="AZ144" i="61" s="1"/>
  <c r="Y142" i="61"/>
  <c r="AZ142" i="61" s="1"/>
  <c r="Y137" i="61"/>
  <c r="AZ137" i="61" s="1"/>
  <c r="Y143" i="61"/>
  <c r="AZ143" i="61" s="1"/>
  <c r="Y139" i="61"/>
  <c r="AZ139" i="61" s="1"/>
  <c r="Y136" i="61"/>
  <c r="AZ136" i="61" s="1"/>
  <c r="Y151" i="61"/>
  <c r="AZ151" i="61" s="1"/>
  <c r="Y141" i="61"/>
  <c r="AZ141" i="61" s="1"/>
  <c r="Y138" i="61"/>
  <c r="AZ138" i="61" s="1"/>
  <c r="Y130" i="61"/>
  <c r="AZ130" i="61" s="1"/>
  <c r="Y140" i="61"/>
  <c r="AZ140" i="61" s="1"/>
  <c r="Y129" i="61"/>
  <c r="AZ129" i="61" s="1"/>
  <c r="Y134" i="61"/>
  <c r="AZ134" i="61" s="1"/>
  <c r="Y133" i="61"/>
  <c r="AZ133" i="61" s="1"/>
  <c r="Y132" i="61"/>
  <c r="AZ132" i="61" s="1"/>
  <c r="Y128" i="61"/>
  <c r="AZ128" i="61" s="1"/>
  <c r="Y127" i="61"/>
  <c r="AZ127" i="61" s="1"/>
  <c r="Y135" i="61"/>
  <c r="AZ135" i="61" s="1"/>
  <c r="Y131" i="61"/>
  <c r="AZ131" i="61" s="1"/>
  <c r="P150" i="61"/>
  <c r="AQ150" i="61" s="1"/>
  <c r="P149" i="61"/>
  <c r="AQ149" i="61" s="1"/>
  <c r="P148" i="61"/>
  <c r="AQ148" i="61" s="1"/>
  <c r="P147" i="61"/>
  <c r="AQ147" i="61" s="1"/>
  <c r="P146" i="61"/>
  <c r="AQ146" i="61" s="1"/>
  <c r="P145" i="61"/>
  <c r="AQ145" i="61" s="1"/>
  <c r="P144" i="61"/>
  <c r="AQ144" i="61" s="1"/>
  <c r="P143" i="61"/>
  <c r="AQ143" i="61" s="1"/>
  <c r="P142" i="61"/>
  <c r="AQ142" i="61" s="1"/>
  <c r="P141" i="61"/>
  <c r="AQ141" i="61" s="1"/>
  <c r="P139" i="61"/>
  <c r="AQ139" i="61" s="1"/>
  <c r="P138" i="61"/>
  <c r="AQ138" i="61" s="1"/>
  <c r="P140" i="61"/>
  <c r="AQ140" i="61" s="1"/>
  <c r="P137" i="61"/>
  <c r="AQ137" i="61" s="1"/>
  <c r="P135" i="61"/>
  <c r="AQ135" i="61" s="1"/>
  <c r="P131" i="61"/>
  <c r="AQ131" i="61" s="1"/>
  <c r="P127" i="61"/>
  <c r="AQ127" i="61" s="1"/>
  <c r="P136" i="61"/>
  <c r="AQ136" i="61" s="1"/>
  <c r="P130" i="61"/>
  <c r="AQ130" i="61" s="1"/>
  <c r="P133" i="61"/>
  <c r="AQ133" i="61" s="1"/>
  <c r="P129" i="61"/>
  <c r="AQ129" i="61" s="1"/>
  <c r="P134" i="61"/>
  <c r="AQ134" i="61" s="1"/>
  <c r="P132" i="61"/>
  <c r="AQ132" i="61" s="1"/>
  <c r="P128" i="61"/>
  <c r="AQ128" i="61" s="1"/>
  <c r="P151" i="61"/>
  <c r="AQ151" i="61" s="1"/>
  <c r="AA21" i="7"/>
  <c r="AG21" i="7" s="1"/>
  <c r="Y20" i="7"/>
  <c r="X21" i="7" s="1"/>
  <c r="AK14" i="53"/>
  <c r="AQ14" i="53" s="1"/>
  <c r="AL14" i="53"/>
  <c r="AH15" i="53"/>
  <c r="AT4" i="18"/>
  <c r="AB18" i="14"/>
  <c r="AM18" i="23"/>
  <c r="CQ63" i="61"/>
  <c r="CR63" i="61" s="1"/>
  <c r="CP63" i="61"/>
  <c r="U150" i="61"/>
  <c r="AV150" i="61" s="1"/>
  <c r="U149" i="61"/>
  <c r="AV149" i="61" s="1"/>
  <c r="U148" i="61"/>
  <c r="AV148" i="61" s="1"/>
  <c r="U147" i="61"/>
  <c r="AV147" i="61" s="1"/>
  <c r="U146" i="61"/>
  <c r="AV146" i="61" s="1"/>
  <c r="U145" i="61"/>
  <c r="AV145" i="61" s="1"/>
  <c r="U144" i="61"/>
  <c r="AV144" i="61" s="1"/>
  <c r="U151" i="61"/>
  <c r="AV151" i="61" s="1"/>
  <c r="U143" i="61"/>
  <c r="AV143" i="61" s="1"/>
  <c r="U139" i="61"/>
  <c r="AV139" i="61" s="1"/>
  <c r="U137" i="61"/>
  <c r="AV137" i="61" s="1"/>
  <c r="U140" i="61"/>
  <c r="AV140" i="61" s="1"/>
  <c r="U136" i="61"/>
  <c r="AV136" i="61" s="1"/>
  <c r="U141" i="61"/>
  <c r="AV141" i="61" s="1"/>
  <c r="U134" i="61"/>
  <c r="AV134" i="61" s="1"/>
  <c r="U130" i="61"/>
  <c r="AV130" i="61" s="1"/>
  <c r="U135" i="61"/>
  <c r="AV135" i="61" s="1"/>
  <c r="U133" i="61"/>
  <c r="AV133" i="61" s="1"/>
  <c r="U129" i="61"/>
  <c r="AV129" i="61" s="1"/>
  <c r="U138" i="61"/>
  <c r="AV138" i="61" s="1"/>
  <c r="U132" i="61"/>
  <c r="AV132" i="61" s="1"/>
  <c r="U128" i="61"/>
  <c r="AV128" i="61" s="1"/>
  <c r="U131" i="61"/>
  <c r="AV131" i="61" s="1"/>
  <c r="U142" i="61"/>
  <c r="AV142" i="61" s="1"/>
  <c r="U127" i="61"/>
  <c r="AV127" i="61" s="1"/>
  <c r="L150" i="61"/>
  <c r="AM150" i="61" s="1"/>
  <c r="L149" i="61"/>
  <c r="AM149" i="61" s="1"/>
  <c r="L148" i="61"/>
  <c r="AM148" i="61" s="1"/>
  <c r="L147" i="61"/>
  <c r="AM147" i="61" s="1"/>
  <c r="L146" i="61"/>
  <c r="AM146" i="61" s="1"/>
  <c r="L145" i="61"/>
  <c r="AM145" i="61" s="1"/>
  <c r="L144" i="61"/>
  <c r="AM144" i="61" s="1"/>
  <c r="L143" i="61"/>
  <c r="AM143" i="61" s="1"/>
  <c r="L142" i="61"/>
  <c r="AM142" i="61" s="1"/>
  <c r="L141" i="61"/>
  <c r="AM141" i="61" s="1"/>
  <c r="L140" i="61"/>
  <c r="AM140" i="61" s="1"/>
  <c r="L138" i="61"/>
  <c r="AM138" i="61" s="1"/>
  <c r="L151" i="61"/>
  <c r="AM151" i="61" s="1"/>
  <c r="L137" i="61"/>
  <c r="AM137" i="61" s="1"/>
  <c r="L131" i="61"/>
  <c r="AM131" i="61" s="1"/>
  <c r="L127" i="61"/>
  <c r="AM127" i="61" s="1"/>
  <c r="L130" i="61"/>
  <c r="AM130" i="61" s="1"/>
  <c r="L139" i="61"/>
  <c r="AM139" i="61" s="1"/>
  <c r="L135" i="61"/>
  <c r="AM135" i="61" s="1"/>
  <c r="L134" i="61"/>
  <c r="AM134" i="61" s="1"/>
  <c r="L133" i="61"/>
  <c r="AM133" i="61" s="1"/>
  <c r="L129" i="61"/>
  <c r="AM129" i="61" s="1"/>
  <c r="L128" i="61"/>
  <c r="AM128" i="61" s="1"/>
  <c r="L136" i="61"/>
  <c r="AM136" i="61" s="1"/>
  <c r="L132" i="61"/>
  <c r="AM132" i="61" s="1"/>
  <c r="AF17" i="13"/>
  <c r="AF18" i="13" s="1"/>
  <c r="AF19" i="13" s="1"/>
  <c r="AF20" i="13" s="1"/>
  <c r="AF21" i="13" s="1"/>
  <c r="AF22" i="13" s="1"/>
  <c r="AF23" i="13" s="1"/>
  <c r="AF24" i="13" s="1"/>
  <c r="AF25" i="13" s="1"/>
  <c r="AF26" i="13" s="1"/>
  <c r="AF27" i="13" s="1"/>
  <c r="AF28" i="13" s="1"/>
  <c r="AW1" i="13"/>
  <c r="AH1" i="13"/>
  <c r="AR28" i="16"/>
  <c r="AT28" i="16" s="1"/>
  <c r="AU28" i="16" s="1"/>
  <c r="AW28" i="16"/>
  <c r="AR6" i="16"/>
  <c r="AT6" i="16" s="1"/>
  <c r="AU6" i="16" s="1"/>
  <c r="AW6" i="16"/>
  <c r="AM14" i="21"/>
  <c r="CQ86" i="61"/>
  <c r="CR86" i="61" s="1"/>
  <c r="CP86" i="61"/>
  <c r="CQ85" i="61"/>
  <c r="CR85" i="61" s="1"/>
  <c r="CP85" i="61"/>
  <c r="X150" i="61"/>
  <c r="AY150" i="61" s="1"/>
  <c r="X149" i="61"/>
  <c r="AY149" i="61" s="1"/>
  <c r="X148" i="61"/>
  <c r="AY148" i="61" s="1"/>
  <c r="X147" i="61"/>
  <c r="AY147" i="61" s="1"/>
  <c r="X146" i="61"/>
  <c r="AY146" i="61" s="1"/>
  <c r="X145" i="61"/>
  <c r="AY145" i="61" s="1"/>
  <c r="X144" i="61"/>
  <c r="AY144" i="61" s="1"/>
  <c r="X143" i="61"/>
  <c r="AY143" i="61" s="1"/>
  <c r="X142" i="61"/>
  <c r="AY142" i="61" s="1"/>
  <c r="X141" i="61"/>
  <c r="AY141" i="61" s="1"/>
  <c r="X138" i="61"/>
  <c r="AY138" i="61" s="1"/>
  <c r="X134" i="61"/>
  <c r="AY134" i="61" s="1"/>
  <c r="X137" i="61"/>
  <c r="AY137" i="61" s="1"/>
  <c r="X133" i="61"/>
  <c r="AY133" i="61" s="1"/>
  <c r="X135" i="61"/>
  <c r="AY135" i="61" s="1"/>
  <c r="X131" i="61"/>
  <c r="AY131" i="61" s="1"/>
  <c r="X127" i="61"/>
  <c r="AY127" i="61" s="1"/>
  <c r="X139" i="61"/>
  <c r="AY139" i="61" s="1"/>
  <c r="X136" i="61"/>
  <c r="AY136" i="61" s="1"/>
  <c r="X130" i="61"/>
  <c r="AY130" i="61" s="1"/>
  <c r="X151" i="61"/>
  <c r="AY151" i="61" s="1"/>
  <c r="X140" i="61"/>
  <c r="AY140" i="61" s="1"/>
  <c r="X129" i="61"/>
  <c r="AY129" i="61" s="1"/>
  <c r="X132" i="61"/>
  <c r="AY132" i="61" s="1"/>
  <c r="X128" i="61"/>
  <c r="AY128" i="61" s="1"/>
  <c r="AD1" i="12"/>
  <c r="AG17" i="12"/>
  <c r="AR27" i="16"/>
  <c r="AT27" i="16" s="1"/>
  <c r="AU27" i="16" s="1"/>
  <c r="AW27" i="16"/>
  <c r="AM9" i="16"/>
  <c r="AM8" i="15"/>
  <c r="AA24" i="4"/>
  <c r="AG24" i="4" s="1"/>
  <c r="Y23" i="4"/>
  <c r="CQ68" i="61"/>
  <c r="CR68" i="61" s="1"/>
  <c r="CP68" i="61"/>
  <c r="W151" i="61"/>
  <c r="AX151" i="61" s="1"/>
  <c r="W141" i="61"/>
  <c r="AX141" i="61" s="1"/>
  <c r="W140" i="61"/>
  <c r="AX140" i="61" s="1"/>
  <c r="W135" i="61"/>
  <c r="AX135" i="61" s="1"/>
  <c r="W149" i="61"/>
  <c r="AX149" i="61" s="1"/>
  <c r="W147" i="61"/>
  <c r="AX147" i="61" s="1"/>
  <c r="W145" i="61"/>
  <c r="AX145" i="61" s="1"/>
  <c r="W142" i="61"/>
  <c r="AX142" i="61" s="1"/>
  <c r="W138" i="61"/>
  <c r="AX138" i="61" s="1"/>
  <c r="W134" i="61"/>
  <c r="AX134" i="61" s="1"/>
  <c r="W143" i="61"/>
  <c r="AX143" i="61" s="1"/>
  <c r="W146" i="61"/>
  <c r="AX146" i="61" s="1"/>
  <c r="W132" i="61"/>
  <c r="AX132" i="61" s="1"/>
  <c r="W128" i="61"/>
  <c r="AX128" i="61" s="1"/>
  <c r="W144" i="61"/>
  <c r="AX144" i="61" s="1"/>
  <c r="W131" i="61"/>
  <c r="AX131" i="61" s="1"/>
  <c r="W127" i="61"/>
  <c r="AX127" i="61" s="1"/>
  <c r="W150" i="61"/>
  <c r="AX150" i="61" s="1"/>
  <c r="W139" i="61"/>
  <c r="AX139" i="61" s="1"/>
  <c r="W136" i="61"/>
  <c r="AX136" i="61" s="1"/>
  <c r="W130" i="61"/>
  <c r="AX130" i="61" s="1"/>
  <c r="W133" i="61"/>
  <c r="AX133" i="61" s="1"/>
  <c r="W148" i="61"/>
  <c r="AX148" i="61" s="1"/>
  <c r="W137" i="61"/>
  <c r="AX137" i="61" s="1"/>
  <c r="W129" i="61"/>
  <c r="AX129" i="61" s="1"/>
  <c r="Z151" i="61"/>
  <c r="BA151" i="61" s="1"/>
  <c r="Z140" i="61"/>
  <c r="BA140" i="61" s="1"/>
  <c r="Z139" i="61"/>
  <c r="BA139" i="61" s="1"/>
  <c r="Z149" i="61"/>
  <c r="BA149" i="61" s="1"/>
  <c r="Z147" i="61"/>
  <c r="BA147" i="61" s="1"/>
  <c r="Z145" i="61"/>
  <c r="BA145" i="61" s="1"/>
  <c r="Z143" i="61"/>
  <c r="BA143" i="61" s="1"/>
  <c r="Z136" i="61"/>
  <c r="BA136" i="61" s="1"/>
  <c r="Z135" i="61"/>
  <c r="BA135" i="61" s="1"/>
  <c r="Z150" i="61"/>
  <c r="BA150" i="61" s="1"/>
  <c r="Z148" i="61"/>
  <c r="BA148" i="61" s="1"/>
  <c r="Z146" i="61"/>
  <c r="BA146" i="61" s="1"/>
  <c r="Z144" i="61"/>
  <c r="BA144" i="61" s="1"/>
  <c r="Z141" i="61"/>
  <c r="BA141" i="61" s="1"/>
  <c r="Z129" i="61"/>
  <c r="BA129" i="61" s="1"/>
  <c r="Z134" i="61"/>
  <c r="BA134" i="61" s="1"/>
  <c r="Z133" i="61"/>
  <c r="BA133" i="61" s="1"/>
  <c r="Z132" i="61"/>
  <c r="BA132" i="61" s="1"/>
  <c r="Z128" i="61"/>
  <c r="BA128" i="61" s="1"/>
  <c r="Z142" i="61"/>
  <c r="BA142" i="61" s="1"/>
  <c r="Z137" i="61"/>
  <c r="BA137" i="61" s="1"/>
  <c r="Z131" i="61"/>
  <c r="BA131" i="61" s="1"/>
  <c r="Z127" i="61"/>
  <c r="BA127" i="61" s="1"/>
  <c r="Z138" i="61"/>
  <c r="BA138" i="61" s="1"/>
  <c r="Z130" i="61"/>
  <c r="BA130" i="61" s="1"/>
  <c r="AR15" i="22"/>
  <c r="AW15" i="22"/>
  <c r="AM5" i="15"/>
  <c r="AA25" i="2"/>
  <c r="AG25" i="2" s="1"/>
  <c r="Y24" i="2"/>
  <c r="X25" i="2" s="1"/>
  <c r="CP82" i="61"/>
  <c r="CQ82" i="61"/>
  <c r="CR82" i="61" s="1"/>
  <c r="C151" i="61"/>
  <c r="AD151" i="61" s="1"/>
  <c r="C142" i="61"/>
  <c r="AD142" i="61" s="1"/>
  <c r="C135" i="61"/>
  <c r="AD135" i="61" s="1"/>
  <c r="C150" i="61"/>
  <c r="AD150" i="61" s="1"/>
  <c r="C148" i="61"/>
  <c r="AD148" i="61" s="1"/>
  <c r="C146" i="61"/>
  <c r="AD146" i="61" s="1"/>
  <c r="C144" i="61"/>
  <c r="AD144" i="61" s="1"/>
  <c r="C143" i="61"/>
  <c r="AD143" i="61" s="1"/>
  <c r="C138" i="61"/>
  <c r="AD138" i="61" s="1"/>
  <c r="C134" i="61"/>
  <c r="AD134" i="61" s="1"/>
  <c r="C147" i="61"/>
  <c r="AD147" i="61" s="1"/>
  <c r="C141" i="61"/>
  <c r="AD141" i="61" s="1"/>
  <c r="C136" i="61"/>
  <c r="AD136" i="61" s="1"/>
  <c r="C132" i="61"/>
  <c r="AD132" i="61" s="1"/>
  <c r="C128" i="61"/>
  <c r="AD128" i="61" s="1"/>
  <c r="C145" i="61"/>
  <c r="AD145" i="61" s="1"/>
  <c r="C139" i="61"/>
  <c r="AD139" i="61" s="1"/>
  <c r="C137" i="61"/>
  <c r="AD137" i="61" s="1"/>
  <c r="C131" i="61"/>
  <c r="AD131" i="61" s="1"/>
  <c r="C127" i="61"/>
  <c r="AD127" i="61" s="1"/>
  <c r="C140" i="61"/>
  <c r="AD140" i="61" s="1"/>
  <c r="C130" i="61"/>
  <c r="AD130" i="61" s="1"/>
  <c r="C149" i="61"/>
  <c r="AD149" i="61" s="1"/>
  <c r="C133" i="61"/>
  <c r="AD133" i="61" s="1"/>
  <c r="C129" i="61"/>
  <c r="AD129" i="61" s="1"/>
  <c r="F151" i="61"/>
  <c r="AG151" i="61" s="1"/>
  <c r="F140" i="61"/>
  <c r="AG140" i="61" s="1"/>
  <c r="F139" i="61"/>
  <c r="AG139" i="61" s="1"/>
  <c r="F150" i="61"/>
  <c r="AG150" i="61" s="1"/>
  <c r="F148" i="61"/>
  <c r="AG148" i="61" s="1"/>
  <c r="F146" i="61"/>
  <c r="AG146" i="61" s="1"/>
  <c r="F144" i="61"/>
  <c r="AG144" i="61" s="1"/>
  <c r="F136" i="61"/>
  <c r="AG136" i="61" s="1"/>
  <c r="F141" i="61"/>
  <c r="AG141" i="61" s="1"/>
  <c r="F135" i="61"/>
  <c r="AG135" i="61" s="1"/>
  <c r="F149" i="61"/>
  <c r="AG149" i="61" s="1"/>
  <c r="F147" i="61"/>
  <c r="AG147" i="61" s="1"/>
  <c r="F145" i="61"/>
  <c r="AG145" i="61" s="1"/>
  <c r="F142" i="61"/>
  <c r="AG142" i="61" s="1"/>
  <c r="F143" i="61"/>
  <c r="AG143" i="61" s="1"/>
  <c r="F137" i="61"/>
  <c r="AG137" i="61" s="1"/>
  <c r="F133" i="61"/>
  <c r="AG133" i="61" s="1"/>
  <c r="F129" i="61"/>
  <c r="AG129" i="61" s="1"/>
  <c r="F138" i="61"/>
  <c r="AG138" i="61" s="1"/>
  <c r="F132" i="61"/>
  <c r="AG132" i="61" s="1"/>
  <c r="F128" i="61"/>
  <c r="AG128" i="61" s="1"/>
  <c r="F134" i="61"/>
  <c r="AG134" i="61" s="1"/>
  <c r="F131" i="61"/>
  <c r="AG131" i="61" s="1"/>
  <c r="F127" i="61"/>
  <c r="AG127" i="61" s="1"/>
  <c r="F130" i="61"/>
  <c r="AG130" i="61" s="1"/>
  <c r="CQ73" i="61"/>
  <c r="CR73" i="61" s="1"/>
  <c r="CP73" i="61"/>
  <c r="AD20" i="14"/>
  <c r="AD21" i="14"/>
  <c r="AD26" i="14"/>
  <c r="AB26" i="14" s="1"/>
  <c r="AD17" i="14"/>
  <c r="AD19" i="14"/>
  <c r="AD22" i="14"/>
  <c r="AD25" i="14"/>
  <c r="AB25" i="14" s="1"/>
  <c r="AD23" i="14"/>
  <c r="AD18" i="14"/>
  <c r="AD28" i="14"/>
  <c r="AB28" i="14" s="1"/>
  <c r="AD24" i="14"/>
  <c r="AB24" i="14" s="1"/>
  <c r="AD27" i="14"/>
  <c r="AB27" i="14" s="1"/>
  <c r="AB23" i="14"/>
  <c r="AB17" i="14"/>
  <c r="AR11" i="18"/>
  <c r="AT11" i="18" s="1"/>
  <c r="AU11" i="18" s="1"/>
  <c r="AW11" i="18"/>
  <c r="CP64" i="61"/>
  <c r="CQ64" i="61"/>
  <c r="CR64" i="61" s="1"/>
  <c r="O151" i="61"/>
  <c r="AP151" i="61" s="1"/>
  <c r="O143" i="61"/>
  <c r="AP143" i="61" s="1"/>
  <c r="O135" i="61"/>
  <c r="AP135" i="61" s="1"/>
  <c r="O149" i="61"/>
  <c r="AP149" i="61" s="1"/>
  <c r="O147" i="61"/>
  <c r="AP147" i="61" s="1"/>
  <c r="O145" i="61"/>
  <c r="AP145" i="61" s="1"/>
  <c r="O139" i="61"/>
  <c r="AP139" i="61" s="1"/>
  <c r="O138" i="61"/>
  <c r="AP138" i="61" s="1"/>
  <c r="O134" i="61"/>
  <c r="AP134" i="61" s="1"/>
  <c r="O141" i="61"/>
  <c r="AP141" i="61" s="1"/>
  <c r="O148" i="61"/>
  <c r="AP148" i="61" s="1"/>
  <c r="O142" i="61"/>
  <c r="AP142" i="61" s="1"/>
  <c r="O132" i="61"/>
  <c r="AP132" i="61" s="1"/>
  <c r="O128" i="61"/>
  <c r="AP128" i="61" s="1"/>
  <c r="O146" i="61"/>
  <c r="AP146" i="61" s="1"/>
  <c r="O140" i="61"/>
  <c r="AP140" i="61" s="1"/>
  <c r="O131" i="61"/>
  <c r="AP131" i="61" s="1"/>
  <c r="O127" i="61"/>
  <c r="AP127" i="61" s="1"/>
  <c r="O144" i="61"/>
  <c r="AP144" i="61" s="1"/>
  <c r="O136" i="61"/>
  <c r="AP136" i="61" s="1"/>
  <c r="O130" i="61"/>
  <c r="AP130" i="61" s="1"/>
  <c r="O129" i="61"/>
  <c r="AP129" i="61" s="1"/>
  <c r="O133" i="61"/>
  <c r="AP133" i="61" s="1"/>
  <c r="O137" i="61"/>
  <c r="AP137" i="61" s="1"/>
  <c r="O150" i="61"/>
  <c r="AP150" i="61" s="1"/>
  <c r="B151" i="61"/>
  <c r="AC151" i="61" s="1"/>
  <c r="AB151" i="61" s="1"/>
  <c r="F31" i="62" s="1"/>
  <c r="B140" i="61"/>
  <c r="AC140" i="61" s="1"/>
  <c r="AB140" i="61" s="1"/>
  <c r="B139" i="61"/>
  <c r="AC139" i="61" s="1"/>
  <c r="AB139" i="61" s="1"/>
  <c r="B149" i="61"/>
  <c r="AC149" i="61" s="1"/>
  <c r="AB149" i="61" s="1"/>
  <c r="F29" i="62" s="1"/>
  <c r="B147" i="61"/>
  <c r="AC147" i="61" s="1"/>
  <c r="AB147" i="61" s="1"/>
  <c r="F27" i="62" s="1"/>
  <c r="B145" i="61"/>
  <c r="AC145" i="61" s="1"/>
  <c r="AB145" i="61" s="1"/>
  <c r="B141" i="61"/>
  <c r="AC141" i="61" s="1"/>
  <c r="AB141" i="61" s="1"/>
  <c r="B136" i="61"/>
  <c r="AC136" i="61" s="1"/>
  <c r="AB136" i="61" s="1"/>
  <c r="B142" i="61"/>
  <c r="AC142" i="61" s="1"/>
  <c r="AB142" i="61" s="1"/>
  <c r="B135" i="61"/>
  <c r="AC135" i="61" s="1"/>
  <c r="AB135" i="61" s="1"/>
  <c r="B150" i="61"/>
  <c r="AC150" i="61" s="1"/>
  <c r="AB150" i="61" s="1"/>
  <c r="F30" i="62" s="1"/>
  <c r="B148" i="61"/>
  <c r="AC148" i="61" s="1"/>
  <c r="AB148" i="61" s="1"/>
  <c r="F28" i="62" s="1"/>
  <c r="B146" i="61"/>
  <c r="AC146" i="61" s="1"/>
  <c r="AB146" i="61" s="1"/>
  <c r="B144" i="61"/>
  <c r="AC144" i="61" s="1"/>
  <c r="AB144" i="61" s="1"/>
  <c r="B143" i="61"/>
  <c r="AC143" i="61" s="1"/>
  <c r="AB143" i="61" s="1"/>
  <c r="B133" i="61"/>
  <c r="AC133" i="61" s="1"/>
  <c r="AB133" i="61" s="1"/>
  <c r="B129" i="61"/>
  <c r="AC129" i="61" s="1"/>
  <c r="AB129" i="61" s="1"/>
  <c r="B134" i="61"/>
  <c r="AC134" i="61" s="1"/>
  <c r="AB134" i="61" s="1"/>
  <c r="B132" i="61"/>
  <c r="AC132" i="61" s="1"/>
  <c r="AB132" i="61" s="1"/>
  <c r="B128" i="61"/>
  <c r="AC128" i="61" s="1"/>
  <c r="AB128" i="61" s="1"/>
  <c r="B137" i="61"/>
  <c r="AC137" i="61" s="1"/>
  <c r="AB137" i="61" s="1"/>
  <c r="B131" i="61"/>
  <c r="AC131" i="61" s="1"/>
  <c r="AB131" i="61" s="1"/>
  <c r="B127" i="61"/>
  <c r="AC127" i="61" s="1"/>
  <c r="AB127" i="61" s="1"/>
  <c r="B130" i="61"/>
  <c r="AC130" i="61" s="1"/>
  <c r="AB130" i="61" s="1"/>
  <c r="B138" i="61"/>
  <c r="AC138" i="61" s="1"/>
  <c r="AB138" i="61" s="1"/>
  <c r="CQ71" i="61"/>
  <c r="CR71" i="61" s="1"/>
  <c r="CP71" i="61"/>
  <c r="AA22" i="6"/>
  <c r="AG22" i="6" s="1"/>
  <c r="Y21" i="6"/>
  <c r="X22" i="6" s="1"/>
  <c r="AE1" i="13"/>
  <c r="AB21" i="13" s="1"/>
  <c r="AK17" i="22"/>
  <c r="AQ17" i="22" s="1"/>
  <c r="AL17" i="22"/>
  <c r="AH18" i="22"/>
  <c r="AK13" i="18"/>
  <c r="AQ13" i="18" s="1"/>
  <c r="AL13" i="18"/>
  <c r="AH14" i="18"/>
  <c r="AM4" i="15"/>
  <c r="AR10" i="17"/>
  <c r="AT10" i="17" s="1"/>
  <c r="AU10" i="17" s="1"/>
  <c r="AW10" i="17"/>
  <c r="CQ62" i="61"/>
  <c r="CR62" i="61" s="1"/>
  <c r="CP62" i="61"/>
  <c r="K151" i="61"/>
  <c r="AL151" i="61" s="1"/>
  <c r="K139" i="61"/>
  <c r="AL139" i="61" s="1"/>
  <c r="K135" i="61"/>
  <c r="AL135" i="61" s="1"/>
  <c r="K150" i="61"/>
  <c r="AL150" i="61" s="1"/>
  <c r="K148" i="61"/>
  <c r="AL148" i="61" s="1"/>
  <c r="K146" i="61"/>
  <c r="AL146" i="61" s="1"/>
  <c r="K144" i="61"/>
  <c r="AL144" i="61" s="1"/>
  <c r="K141" i="61"/>
  <c r="AL141" i="61" s="1"/>
  <c r="K140" i="61"/>
  <c r="AL140" i="61" s="1"/>
  <c r="K138" i="61"/>
  <c r="AL138" i="61" s="1"/>
  <c r="K134" i="61"/>
  <c r="AL134" i="61" s="1"/>
  <c r="K142" i="61"/>
  <c r="AL142" i="61" s="1"/>
  <c r="K145" i="61"/>
  <c r="AL145" i="61" s="1"/>
  <c r="K136" i="61"/>
  <c r="AL136" i="61" s="1"/>
  <c r="K132" i="61"/>
  <c r="AL132" i="61" s="1"/>
  <c r="K128" i="61"/>
  <c r="AL128" i="61" s="1"/>
  <c r="K137" i="61"/>
  <c r="AL137" i="61" s="1"/>
  <c r="K131" i="61"/>
  <c r="AL131" i="61" s="1"/>
  <c r="K127" i="61"/>
  <c r="AL127" i="61" s="1"/>
  <c r="K149" i="61"/>
  <c r="AL149" i="61" s="1"/>
  <c r="K130" i="61"/>
  <c r="AL130" i="61" s="1"/>
  <c r="K147" i="61"/>
  <c r="AL147" i="61" s="1"/>
  <c r="K133" i="61"/>
  <c r="AL133" i="61" s="1"/>
  <c r="K129" i="61"/>
  <c r="AL129" i="61" s="1"/>
  <c r="K143" i="61"/>
  <c r="AL143" i="61" s="1"/>
  <c r="AD1" i="11"/>
  <c r="AG17" i="11"/>
  <c r="G28" i="1"/>
  <c r="G29" i="1" s="1"/>
  <c r="F29" i="1"/>
  <c r="CQ76" i="61"/>
  <c r="CR76" i="61" s="1"/>
  <c r="CP76" i="61"/>
  <c r="CP67" i="61"/>
  <c r="CQ67" i="61"/>
  <c r="CR67" i="61" s="1"/>
  <c r="M150" i="61"/>
  <c r="AN150" i="61" s="1"/>
  <c r="M149" i="61"/>
  <c r="AN149" i="61" s="1"/>
  <c r="M148" i="61"/>
  <c r="AN148" i="61" s="1"/>
  <c r="M147" i="61"/>
  <c r="AN147" i="61" s="1"/>
  <c r="M146" i="61"/>
  <c r="AN146" i="61" s="1"/>
  <c r="M145" i="61"/>
  <c r="AN145" i="61" s="1"/>
  <c r="M144" i="61"/>
  <c r="AN144" i="61" s="1"/>
  <c r="M151" i="61"/>
  <c r="AN151" i="61" s="1"/>
  <c r="M141" i="61"/>
  <c r="AN141" i="61" s="1"/>
  <c r="M137" i="61"/>
  <c r="AN137" i="61" s="1"/>
  <c r="M142" i="61"/>
  <c r="AN142" i="61" s="1"/>
  <c r="M136" i="61"/>
  <c r="AN136" i="61" s="1"/>
  <c r="M143" i="61"/>
  <c r="AN143" i="61" s="1"/>
  <c r="M130" i="61"/>
  <c r="AN130" i="61" s="1"/>
  <c r="M139" i="61"/>
  <c r="AN139" i="61" s="1"/>
  <c r="M135" i="61"/>
  <c r="AN135" i="61" s="1"/>
  <c r="M134" i="61"/>
  <c r="AN134" i="61" s="1"/>
  <c r="M133" i="61"/>
  <c r="AN133" i="61" s="1"/>
  <c r="M129" i="61"/>
  <c r="AN129" i="61" s="1"/>
  <c r="M140" i="61"/>
  <c r="AN140" i="61" s="1"/>
  <c r="M138" i="61"/>
  <c r="AN138" i="61" s="1"/>
  <c r="M132" i="61"/>
  <c r="AN132" i="61" s="1"/>
  <c r="M128" i="61"/>
  <c r="AN128" i="61" s="1"/>
  <c r="M131" i="61"/>
  <c r="AN131" i="61" s="1"/>
  <c r="M127" i="61"/>
  <c r="AN127" i="61" s="1"/>
  <c r="D150" i="61"/>
  <c r="AE150" i="61" s="1"/>
  <c r="D149" i="61"/>
  <c r="AE149" i="61" s="1"/>
  <c r="D148" i="61"/>
  <c r="AE148" i="61" s="1"/>
  <c r="D147" i="61"/>
  <c r="AE147" i="61" s="1"/>
  <c r="D146" i="61"/>
  <c r="AE146" i="61" s="1"/>
  <c r="D145" i="61"/>
  <c r="AE145" i="61" s="1"/>
  <c r="D144" i="61"/>
  <c r="AE144" i="61" s="1"/>
  <c r="D143" i="61"/>
  <c r="AE143" i="61" s="1"/>
  <c r="D142" i="61"/>
  <c r="AE142" i="61" s="1"/>
  <c r="D141" i="61"/>
  <c r="AE141" i="61" s="1"/>
  <c r="D138" i="61"/>
  <c r="AE138" i="61" s="1"/>
  <c r="D151" i="61"/>
  <c r="AE151" i="61" s="1"/>
  <c r="D139" i="61"/>
  <c r="AE139" i="61" s="1"/>
  <c r="D137" i="61"/>
  <c r="AE137" i="61" s="1"/>
  <c r="D134" i="61"/>
  <c r="AE134" i="61" s="1"/>
  <c r="D131" i="61"/>
  <c r="AE131" i="61" s="1"/>
  <c r="D127" i="61"/>
  <c r="AE127" i="61" s="1"/>
  <c r="D140" i="61"/>
  <c r="AE140" i="61" s="1"/>
  <c r="D130" i="61"/>
  <c r="AE130" i="61" s="1"/>
  <c r="D135" i="61"/>
  <c r="AE135" i="61" s="1"/>
  <c r="D133" i="61"/>
  <c r="AE133" i="61" s="1"/>
  <c r="D129" i="61"/>
  <c r="AE129" i="61" s="1"/>
  <c r="D132" i="61"/>
  <c r="AE132" i="61" s="1"/>
  <c r="D136" i="61"/>
  <c r="AE136" i="61" s="1"/>
  <c r="D128" i="61"/>
  <c r="AE128" i="61" s="1"/>
  <c r="AT12" i="21"/>
  <c r="AR12" i="53"/>
  <c r="AT12" i="53" s="1"/>
  <c r="AU12" i="53" s="1"/>
  <c r="AW12" i="53"/>
  <c r="AR4" i="16"/>
  <c r="AW4" i="16"/>
  <c r="K29" i="64" l="1"/>
  <c r="EY150" i="61"/>
  <c r="ET150" i="61"/>
  <c r="ES150" i="61"/>
  <c r="H29" i="64" s="1"/>
  <c r="F23" i="62"/>
  <c r="F21" i="62"/>
  <c r="F24" i="62"/>
  <c r="F25" i="62"/>
  <c r="F26" i="62"/>
  <c r="F22" i="62"/>
  <c r="AG17" i="59"/>
  <c r="AI17" i="59" s="1"/>
  <c r="AG12" i="59"/>
  <c r="AI12" i="59" s="1"/>
  <c r="AG6" i="59"/>
  <c r="AI6" i="59" s="1"/>
  <c r="AM72" i="59"/>
  <c r="AO72" i="59" s="1"/>
  <c r="AU72" i="59" s="1"/>
  <c r="L78" i="59"/>
  <c r="N78" i="59" s="1"/>
  <c r="AS78" i="59" s="1"/>
  <c r="Z72" i="59"/>
  <c r="AB72" i="59" s="1"/>
  <c r="AV64" i="59"/>
  <c r="B48" i="58" s="1" a="1"/>
  <c r="D10" i="59"/>
  <c r="I50" i="25"/>
  <c r="BG27" i="25"/>
  <c r="BD70" i="61"/>
  <c r="I54" i="25"/>
  <c r="AU23" i="25"/>
  <c r="AU29" i="25" s="1"/>
  <c r="BG15" i="25" s="1"/>
  <c r="S14" i="25" s="1"/>
  <c r="AT29" i="25"/>
  <c r="BG13" i="25" s="1"/>
  <c r="S12" i="25" s="1"/>
  <c r="F10" i="62"/>
  <c r="F8" i="62"/>
  <c r="F13" i="62"/>
  <c r="F16" i="62"/>
  <c r="F7" i="62"/>
  <c r="F12" i="62"/>
  <c r="F19" i="62"/>
  <c r="F11" i="62"/>
  <c r="F14" i="62"/>
  <c r="F15" i="62"/>
  <c r="F20" i="62"/>
  <c r="F18" i="62"/>
  <c r="F17" i="62"/>
  <c r="F9" i="62"/>
  <c r="AW16" i="24"/>
  <c r="AW16" i="20"/>
  <c r="AW6" i="15"/>
  <c r="AW11" i="17"/>
  <c r="AW27" i="15"/>
  <c r="AR27" i="15"/>
  <c r="AT27" i="15" s="1"/>
  <c r="AU27" i="15" s="1"/>
  <c r="AB19" i="13"/>
  <c r="AJ19" i="13" s="1"/>
  <c r="AM9" i="15"/>
  <c r="AW9" i="15" s="1"/>
  <c r="AM16" i="19"/>
  <c r="AR16" i="19" s="1"/>
  <c r="AT16" i="19" s="1"/>
  <c r="AU16" i="19" s="1"/>
  <c r="AB23" i="13"/>
  <c r="AJ23" i="13" s="1"/>
  <c r="AB18" i="13"/>
  <c r="AI18" i="13" s="1"/>
  <c r="AM10" i="16"/>
  <c r="AR10" i="16" s="1"/>
  <c r="AT10" i="16" s="1"/>
  <c r="AU10" i="16" s="1"/>
  <c r="AM14" i="53"/>
  <c r="AR14" i="53" s="1"/>
  <c r="AT14" i="53" s="1"/>
  <c r="AU14" i="53" s="1"/>
  <c r="AM19" i="23"/>
  <c r="AR19" i="23" s="1"/>
  <c r="AT19" i="23" s="1"/>
  <c r="AU19" i="23" s="1"/>
  <c r="AI24" i="14"/>
  <c r="AJ24" i="14"/>
  <c r="AH24" i="14"/>
  <c r="AJ25" i="14"/>
  <c r="AI25" i="14"/>
  <c r="AI26" i="14"/>
  <c r="AJ26" i="14"/>
  <c r="AK9" i="14"/>
  <c r="AQ9" i="14" s="1"/>
  <c r="AL9" i="14"/>
  <c r="AH10" i="14"/>
  <c r="AJ27" i="14"/>
  <c r="AI27" i="14"/>
  <c r="AT4" i="16"/>
  <c r="AL14" i="18"/>
  <c r="AK14" i="18"/>
  <c r="AQ14" i="18" s="1"/>
  <c r="AH15" i="18"/>
  <c r="AB17" i="13"/>
  <c r="AJ23" i="14"/>
  <c r="AI23" i="14"/>
  <c r="AR5" i="15"/>
  <c r="AT5" i="15" s="1"/>
  <c r="AU5" i="15" s="1"/>
  <c r="AW5" i="15"/>
  <c r="AR8" i="15"/>
  <c r="AT8" i="15" s="1"/>
  <c r="AU8" i="15" s="1"/>
  <c r="AW8" i="15"/>
  <c r="AF17" i="12"/>
  <c r="AF18" i="12" s="1"/>
  <c r="AF19" i="12" s="1"/>
  <c r="AF20" i="12" s="1"/>
  <c r="AF21" i="12" s="1"/>
  <c r="AF22" i="12" s="1"/>
  <c r="AF23" i="12" s="1"/>
  <c r="AF24" i="12" s="1"/>
  <c r="AF25" i="12" s="1"/>
  <c r="AF26" i="12" s="1"/>
  <c r="AF27" i="12" s="1"/>
  <c r="AF28" i="12" s="1"/>
  <c r="AH1" i="12"/>
  <c r="AW1" i="12"/>
  <c r="AR14" i="21"/>
  <c r="AW14" i="21"/>
  <c r="AR18" i="23"/>
  <c r="AT18" i="23" s="1"/>
  <c r="AU18" i="23" s="1"/>
  <c r="AW18" i="23"/>
  <c r="AL13" i="17"/>
  <c r="AK13" i="17"/>
  <c r="AQ13" i="17" s="1"/>
  <c r="AH14" i="17"/>
  <c r="AM15" i="21"/>
  <c r="AA22" i="5"/>
  <c r="AG22" i="5" s="1"/>
  <c r="Y21" i="5"/>
  <c r="X22" i="5" s="1"/>
  <c r="AR24" i="15"/>
  <c r="AT24" i="15" s="1"/>
  <c r="AU24" i="15" s="1"/>
  <c r="AW24" i="15"/>
  <c r="AL26" i="14"/>
  <c r="AK26" i="14"/>
  <c r="AL4" i="14"/>
  <c r="AK4" i="14"/>
  <c r="AQ4" i="14" s="1"/>
  <c r="AA24" i="3"/>
  <c r="AG24" i="3" s="1"/>
  <c r="Y23" i="3"/>
  <c r="X24" i="3" s="1"/>
  <c r="AR16" i="22"/>
  <c r="AT16" i="22" s="1"/>
  <c r="AU16" i="22" s="1"/>
  <c r="AW16" i="22"/>
  <c r="AJ19" i="14"/>
  <c r="AI19" i="14"/>
  <c r="AM17" i="22"/>
  <c r="AJ21" i="13"/>
  <c r="AI21" i="13"/>
  <c r="AI28" i="14"/>
  <c r="AJ28" i="14"/>
  <c r="AA23" i="4"/>
  <c r="AG23" i="4" s="1"/>
  <c r="Y22" i="4"/>
  <c r="X23" i="4" s="1"/>
  <c r="AR9" i="16"/>
  <c r="AT9" i="16" s="1"/>
  <c r="AU9" i="16" s="1"/>
  <c r="AW9" i="16"/>
  <c r="AE1" i="12"/>
  <c r="AB18" i="12" s="1"/>
  <c r="AL15" i="53"/>
  <c r="AK15" i="53"/>
  <c r="AQ15" i="53" s="1"/>
  <c r="AH16" i="53"/>
  <c r="AR26" i="15"/>
  <c r="AT26" i="15" s="1"/>
  <c r="AU26" i="15" s="1"/>
  <c r="AW26" i="15"/>
  <c r="AK18" i="20"/>
  <c r="AQ18" i="20" s="1"/>
  <c r="AL18" i="20"/>
  <c r="AH19" i="20"/>
  <c r="AM12" i="17"/>
  <c r="AL11" i="16"/>
  <c r="AK11" i="16"/>
  <c r="AQ11" i="16" s="1"/>
  <c r="AH12" i="16"/>
  <c r="AI22" i="14"/>
  <c r="AJ22" i="14"/>
  <c r="AU13" i="19"/>
  <c r="AA26" i="1"/>
  <c r="AG26" i="1" s="1"/>
  <c r="Y25" i="1"/>
  <c r="X26" i="1" s="1"/>
  <c r="AT15" i="20"/>
  <c r="AK27" i="14"/>
  <c r="AL27" i="14"/>
  <c r="AL5" i="14"/>
  <c r="AK5" i="14"/>
  <c r="AQ5" i="14" s="1"/>
  <c r="AL17" i="19"/>
  <c r="AK17" i="19"/>
  <c r="AQ17" i="19" s="1"/>
  <c r="AH18" i="19"/>
  <c r="AR7" i="15"/>
  <c r="AT7" i="15" s="1"/>
  <c r="AU7" i="15" s="1"/>
  <c r="AW7" i="15"/>
  <c r="AI20" i="14"/>
  <c r="AJ20" i="14"/>
  <c r="AU12" i="21"/>
  <c r="AE1" i="11"/>
  <c r="AB17" i="11" s="1"/>
  <c r="AR4" i="15"/>
  <c r="AW4" i="15"/>
  <c r="AM13" i="18"/>
  <c r="AD25" i="13"/>
  <c r="AB25" i="13" s="1"/>
  <c r="AD19" i="13"/>
  <c r="AD28" i="13"/>
  <c r="AB28" i="13" s="1"/>
  <c r="AD20" i="13"/>
  <c r="AD18" i="13"/>
  <c r="AD21" i="13"/>
  <c r="AD26" i="13"/>
  <c r="AB26" i="13" s="1"/>
  <c r="AD23" i="13"/>
  <c r="AD22" i="13"/>
  <c r="AD27" i="13"/>
  <c r="AB27" i="13" s="1"/>
  <c r="AD17" i="13"/>
  <c r="AD24" i="13"/>
  <c r="AB24" i="13" s="1"/>
  <c r="AH24" i="13" s="1"/>
  <c r="AB22" i="13"/>
  <c r="AB20" i="13"/>
  <c r="AH4" i="13"/>
  <c r="AH5" i="13"/>
  <c r="AH6" i="13"/>
  <c r="AH7" i="13"/>
  <c r="AH8" i="13"/>
  <c r="AH9" i="13" s="1"/>
  <c r="AH28" i="13"/>
  <c r="AH27" i="13"/>
  <c r="AH26" i="13"/>
  <c r="AH25" i="13"/>
  <c r="AI18" i="14"/>
  <c r="AJ18" i="14"/>
  <c r="AA20" i="7"/>
  <c r="AG20" i="7" s="1"/>
  <c r="Y19" i="7"/>
  <c r="X20" i="7" s="1"/>
  <c r="AM17" i="20"/>
  <c r="AK18" i="24"/>
  <c r="AQ18" i="24" s="1"/>
  <c r="AL18" i="24"/>
  <c r="AH19" i="24"/>
  <c r="AU16" i="23"/>
  <c r="AR28" i="15"/>
  <c r="AT28" i="15" s="1"/>
  <c r="AU28" i="15" s="1"/>
  <c r="AW28" i="15"/>
  <c r="AJ21" i="14"/>
  <c r="AI21" i="14"/>
  <c r="X17" i="10"/>
  <c r="AA17" i="10"/>
  <c r="X16" i="10"/>
  <c r="AU14" i="24"/>
  <c r="AU4" i="17"/>
  <c r="AU11" i="53"/>
  <c r="AR12" i="18"/>
  <c r="AT12" i="18" s="1"/>
  <c r="AU12" i="18" s="1"/>
  <c r="AW12" i="18"/>
  <c r="AL28" i="14"/>
  <c r="AK28" i="14"/>
  <c r="AL7" i="14"/>
  <c r="AK7" i="14"/>
  <c r="AQ7" i="14" s="1"/>
  <c r="AL6" i="14"/>
  <c r="AK6" i="14"/>
  <c r="AQ6" i="14" s="1"/>
  <c r="AA18" i="8"/>
  <c r="AG18" i="8" s="1"/>
  <c r="Y17" i="8"/>
  <c r="X18" i="8" s="1"/>
  <c r="AR25" i="15"/>
  <c r="AT25" i="15" s="1"/>
  <c r="AU25" i="15" s="1"/>
  <c r="AW25" i="15"/>
  <c r="AF17" i="11"/>
  <c r="AF18" i="11" s="1"/>
  <c r="AF19" i="11" s="1"/>
  <c r="AF20" i="11" s="1"/>
  <c r="AF21" i="11" s="1"/>
  <c r="AF22" i="11" s="1"/>
  <c r="AF23" i="11" s="1"/>
  <c r="AF24" i="11" s="1"/>
  <c r="AF25" i="11" s="1"/>
  <c r="AF26" i="11" s="1"/>
  <c r="AF27" i="11" s="1"/>
  <c r="AF28" i="11" s="1"/>
  <c r="AW1" i="11"/>
  <c r="AH1" i="11"/>
  <c r="AL18" i="22"/>
  <c r="AK18" i="22"/>
  <c r="AQ18" i="22" s="1"/>
  <c r="AH19" i="22"/>
  <c r="AA21" i="6"/>
  <c r="AG21" i="6" s="1"/>
  <c r="Y20" i="6"/>
  <c r="AJ17" i="14"/>
  <c r="AI17" i="14"/>
  <c r="AA24" i="2"/>
  <c r="AG24" i="2" s="1"/>
  <c r="Y23" i="2"/>
  <c r="AT15" i="22"/>
  <c r="X24" i="4"/>
  <c r="AU4" i="18"/>
  <c r="AM17" i="24"/>
  <c r="AA18" i="9"/>
  <c r="AG18" i="9" s="1"/>
  <c r="Y17" i="9"/>
  <c r="X18" i="9" s="1"/>
  <c r="AL16" i="21"/>
  <c r="AK16" i="21"/>
  <c r="AQ16" i="21" s="1"/>
  <c r="AH17" i="21"/>
  <c r="AR15" i="19"/>
  <c r="AW15" i="19"/>
  <c r="AL20" i="23"/>
  <c r="AK20" i="23"/>
  <c r="AQ20" i="23" s="1"/>
  <c r="AH21" i="23"/>
  <c r="AL10" i="15"/>
  <c r="AK10" i="15"/>
  <c r="AQ10" i="15" s="1"/>
  <c r="AH11" i="15"/>
  <c r="AK25" i="14"/>
  <c r="AL25" i="14"/>
  <c r="AL8" i="14"/>
  <c r="AK8" i="14"/>
  <c r="AQ8" i="14" s="1"/>
  <c r="AR13" i="53"/>
  <c r="AT13" i="53" s="1"/>
  <c r="AU13" i="53" s="1"/>
  <c r="AW13" i="53"/>
  <c r="S26" i="25" l="1"/>
  <c r="BD85" i="61" s="1"/>
  <c r="AG11" i="59"/>
  <c r="AI11" i="59" s="1"/>
  <c r="AG5" i="59"/>
  <c r="AI5" i="59" s="1"/>
  <c r="AG16" i="59"/>
  <c r="AI16" i="59" s="1"/>
  <c r="G52" i="58"/>
  <c r="K50" i="58"/>
  <c r="G50" i="58"/>
  <c r="K48" i="58"/>
  <c r="C51" i="58"/>
  <c r="G49" i="58"/>
  <c r="C49" i="58"/>
  <c r="J50" i="58"/>
  <c r="B49" i="58"/>
  <c r="J48" i="58"/>
  <c r="E52" i="58"/>
  <c r="E49" i="58"/>
  <c r="H52" i="58"/>
  <c r="D52" i="58"/>
  <c r="H50" i="58"/>
  <c r="J51" i="58"/>
  <c r="F51" i="58"/>
  <c r="J49" i="58"/>
  <c r="B52" i="58"/>
  <c r="F50" i="58"/>
  <c r="B50" i="58"/>
  <c r="F48" i="58"/>
  <c r="I50" i="58"/>
  <c r="M48" i="58"/>
  <c r="I48" i="58"/>
  <c r="L51" i="58"/>
  <c r="L48" i="58"/>
  <c r="C52" i="58"/>
  <c r="K51" i="58"/>
  <c r="C50" i="58"/>
  <c r="B48" i="58"/>
  <c r="I51" i="58"/>
  <c r="E51" i="58"/>
  <c r="I49" i="58"/>
  <c r="M51" i="58"/>
  <c r="E50" i="58"/>
  <c r="M49" i="58"/>
  <c r="E48" i="58"/>
  <c r="D50" i="58"/>
  <c r="H48" i="58"/>
  <c r="D48" i="58"/>
  <c r="G51" i="58"/>
  <c r="G48" i="58"/>
  <c r="J52" i="58"/>
  <c r="B51" i="58"/>
  <c r="L52" i="58"/>
  <c r="D51" i="58"/>
  <c r="L50" i="58"/>
  <c r="D49" i="58"/>
  <c r="H51" i="58"/>
  <c r="L49" i="58"/>
  <c r="H49" i="58"/>
  <c r="K52" i="58"/>
  <c r="K49" i="58"/>
  <c r="C48" i="58"/>
  <c r="F52" i="58"/>
  <c r="F49" i="58"/>
  <c r="M52" i="58"/>
  <c r="I52" i="58"/>
  <c r="M50" i="58"/>
  <c r="L77" i="59"/>
  <c r="N77" i="59" s="1"/>
  <c r="AS77" i="59" s="1"/>
  <c r="Z71" i="59"/>
  <c r="AB71" i="59" s="1"/>
  <c r="AM71" i="59"/>
  <c r="AO71" i="59" s="1"/>
  <c r="AU71" i="59" s="1"/>
  <c r="BD71" i="61"/>
  <c r="BG14" i="25"/>
  <c r="I37" i="25"/>
  <c r="BD73" i="61"/>
  <c r="AR9" i="15"/>
  <c r="AT9" i="15" s="1"/>
  <c r="AU9" i="15" s="1"/>
  <c r="AW10" i="16"/>
  <c r="AW14" i="53"/>
  <c r="AJ18" i="13"/>
  <c r="AI19" i="13"/>
  <c r="AW16" i="19"/>
  <c r="AW19" i="23"/>
  <c r="AI23" i="13"/>
  <c r="AM18" i="22"/>
  <c r="AR18" i="22" s="1"/>
  <c r="AT18" i="22" s="1"/>
  <c r="AU18" i="22" s="1"/>
  <c r="AB21" i="11"/>
  <c r="AJ21" i="11" s="1"/>
  <c r="AM9" i="14"/>
  <c r="AR9" i="14" s="1"/>
  <c r="AT9" i="14" s="1"/>
  <c r="AU9" i="14" s="1"/>
  <c r="AM15" i="53"/>
  <c r="AW15" i="53" s="1"/>
  <c r="AM18" i="20"/>
  <c r="AR18" i="20" s="1"/>
  <c r="AT18" i="20" s="1"/>
  <c r="AU18" i="20" s="1"/>
  <c r="AM13" i="17"/>
  <c r="AR13" i="17" s="1"/>
  <c r="AT13" i="17" s="1"/>
  <c r="AU13" i="17" s="1"/>
  <c r="AM18" i="24"/>
  <c r="AW18" i="24" s="1"/>
  <c r="AB18" i="11"/>
  <c r="AJ18" i="11" s="1"/>
  <c r="AM16" i="21"/>
  <c r="AR16" i="21" s="1"/>
  <c r="AT16" i="21" s="1"/>
  <c r="AU16" i="21" s="1"/>
  <c r="AJ27" i="13"/>
  <c r="AI27" i="13"/>
  <c r="AJ25" i="13"/>
  <c r="AI25" i="13"/>
  <c r="AJ17" i="11"/>
  <c r="AI17" i="11"/>
  <c r="AL9" i="13"/>
  <c r="AK9" i="13"/>
  <c r="AQ9" i="13" s="1"/>
  <c r="AH10" i="13"/>
  <c r="AA23" i="2"/>
  <c r="AG23" i="2" s="1"/>
  <c r="Y22" i="2"/>
  <c r="X23" i="2" s="1"/>
  <c r="AM11" i="16"/>
  <c r="AM10" i="15"/>
  <c r="AM20" i="23"/>
  <c r="AL17" i="21"/>
  <c r="AK17" i="21"/>
  <c r="AQ17" i="21" s="1"/>
  <c r="AH18" i="21"/>
  <c r="AU15" i="22"/>
  <c r="AM6" i="14"/>
  <c r="AA19" i="7"/>
  <c r="AG19" i="7" s="1"/>
  <c r="Y18" i="7"/>
  <c r="X19" i="7" s="1"/>
  <c r="AL25" i="13"/>
  <c r="AK25" i="13"/>
  <c r="AK7" i="13"/>
  <c r="AQ7" i="13" s="1"/>
  <c r="AL7" i="13"/>
  <c r="AJ20" i="13"/>
  <c r="AI20" i="13"/>
  <c r="AJ28" i="13"/>
  <c r="AI28" i="13"/>
  <c r="AK12" i="16"/>
  <c r="AQ12" i="16" s="1"/>
  <c r="AL12" i="16"/>
  <c r="AH13" i="16"/>
  <c r="AB17" i="12"/>
  <c r="AB20" i="12"/>
  <c r="AB22" i="12"/>
  <c r="AR17" i="22"/>
  <c r="AW17" i="22"/>
  <c r="AM4" i="14"/>
  <c r="AA21" i="5"/>
  <c r="AG21" i="5" s="1"/>
  <c r="Y20" i="5"/>
  <c r="X21" i="5" s="1"/>
  <c r="AH5" i="12"/>
  <c r="AH4" i="12"/>
  <c r="AH7" i="12"/>
  <c r="AH6" i="12"/>
  <c r="AH8" i="12"/>
  <c r="AH9" i="12" s="1"/>
  <c r="AH10" i="12" s="1"/>
  <c r="AH28" i="12"/>
  <c r="AH27" i="12"/>
  <c r="AH26" i="12"/>
  <c r="AH25" i="12"/>
  <c r="AJ17" i="13"/>
  <c r="AI17" i="13"/>
  <c r="AL6" i="13"/>
  <c r="AK6" i="13"/>
  <c r="AQ6" i="13" s="1"/>
  <c r="AT4" i="15"/>
  <c r="AL18" i="19"/>
  <c r="AK18" i="19"/>
  <c r="AQ18" i="19" s="1"/>
  <c r="AH19" i="19"/>
  <c r="AU15" i="20"/>
  <c r="AB19" i="12"/>
  <c r="AA22" i="4"/>
  <c r="AG22" i="4" s="1"/>
  <c r="Y21" i="4"/>
  <c r="X22" i="4" s="1"/>
  <c r="AQ28" i="14"/>
  <c r="AM28" i="14" s="1"/>
  <c r="AA23" i="3"/>
  <c r="AG23" i="3" s="1"/>
  <c r="Y22" i="3"/>
  <c r="X23" i="3" s="1"/>
  <c r="AT14" i="21"/>
  <c r="AU4" i="16"/>
  <c r="AL24" i="14"/>
  <c r="AK24" i="14"/>
  <c r="AQ24" i="14" s="1"/>
  <c r="AL19" i="20"/>
  <c r="AK19" i="20"/>
  <c r="AQ19" i="20" s="1"/>
  <c r="AH20" i="20"/>
  <c r="AM8" i="14"/>
  <c r="AR17" i="24"/>
  <c r="AT17" i="24" s="1"/>
  <c r="AW17" i="24"/>
  <c r="AK19" i="22"/>
  <c r="AQ19" i="22" s="1"/>
  <c r="AL19" i="22"/>
  <c r="AH20" i="22"/>
  <c r="AM7" i="14"/>
  <c r="AL27" i="13"/>
  <c r="AK27" i="13"/>
  <c r="AK5" i="13"/>
  <c r="AQ5" i="13" s="1"/>
  <c r="AL5" i="13"/>
  <c r="AJ22" i="13"/>
  <c r="AI22" i="13"/>
  <c r="AD24" i="11"/>
  <c r="AB24" i="11" s="1"/>
  <c r="AH24" i="11" s="1"/>
  <c r="AD28" i="11"/>
  <c r="AB28" i="11" s="1"/>
  <c r="AD20" i="11"/>
  <c r="AD21" i="11"/>
  <c r="AD17" i="11"/>
  <c r="AD23" i="11"/>
  <c r="AD27" i="11"/>
  <c r="AB27" i="11" s="1"/>
  <c r="AD18" i="11"/>
  <c r="AD26" i="11"/>
  <c r="AB26" i="11" s="1"/>
  <c r="AD19" i="11"/>
  <c r="AD25" i="11"/>
  <c r="AB25" i="11" s="1"/>
  <c r="AD22" i="11"/>
  <c r="AB22" i="11"/>
  <c r="AB20" i="11"/>
  <c r="AM17" i="19"/>
  <c r="AM5" i="14"/>
  <c r="AK16" i="53"/>
  <c r="AQ16" i="53" s="1"/>
  <c r="AL16" i="53"/>
  <c r="AH17" i="53"/>
  <c r="AD25" i="12"/>
  <c r="AB25" i="12" s="1"/>
  <c r="AD21" i="12"/>
  <c r="AD24" i="12"/>
  <c r="AB24" i="12" s="1"/>
  <c r="AD17" i="12"/>
  <c r="AD23" i="12"/>
  <c r="AD18" i="12"/>
  <c r="AD26" i="12"/>
  <c r="AB26" i="12" s="1"/>
  <c r="AD22" i="12"/>
  <c r="AD27" i="12"/>
  <c r="AB27" i="12" s="1"/>
  <c r="AD19" i="12"/>
  <c r="AD28" i="12"/>
  <c r="AB28" i="12" s="1"/>
  <c r="AD20" i="12"/>
  <c r="AB21" i="12"/>
  <c r="AG31" i="21"/>
  <c r="AL14" i="17"/>
  <c r="AK14" i="17"/>
  <c r="AQ14" i="17" s="1"/>
  <c r="AH15" i="17"/>
  <c r="AK15" i="18"/>
  <c r="AQ15" i="18" s="1"/>
  <c r="AL15" i="18"/>
  <c r="AH16" i="18"/>
  <c r="AQ26" i="14"/>
  <c r="AM26" i="14" s="1"/>
  <c r="AA20" i="6"/>
  <c r="AG20" i="6" s="1"/>
  <c r="Y19" i="6"/>
  <c r="X20" i="6" s="1"/>
  <c r="AL26" i="13"/>
  <c r="AK26" i="13"/>
  <c r="AJ26" i="13"/>
  <c r="AI26" i="13"/>
  <c r="AL11" i="15"/>
  <c r="AK11" i="15"/>
  <c r="AQ11" i="15" s="1"/>
  <c r="AH12" i="15"/>
  <c r="AL21" i="23"/>
  <c r="AK21" i="23"/>
  <c r="AQ21" i="23" s="1"/>
  <c r="AH22" i="23"/>
  <c r="AT15" i="19"/>
  <c r="X17" i="9"/>
  <c r="AA17" i="9"/>
  <c r="X16" i="9"/>
  <c r="X24" i="2"/>
  <c r="X21" i="6"/>
  <c r="AH4" i="11"/>
  <c r="AH5" i="11"/>
  <c r="AH6" i="11"/>
  <c r="AH7" i="11"/>
  <c r="AH8" i="11"/>
  <c r="AH9" i="11" s="1"/>
  <c r="AH10" i="11" s="1"/>
  <c r="AH28" i="11"/>
  <c r="AH27" i="11"/>
  <c r="AH26" i="11"/>
  <c r="AH25" i="11"/>
  <c r="X17" i="8"/>
  <c r="AA17" i="8"/>
  <c r="X16" i="8"/>
  <c r="AD1" i="10"/>
  <c r="AG17" i="10"/>
  <c r="AK19" i="24"/>
  <c r="AQ19" i="24" s="1"/>
  <c r="AL19" i="24"/>
  <c r="AH20" i="24"/>
  <c r="AR17" i="20"/>
  <c r="AW17" i="20"/>
  <c r="AL24" i="13"/>
  <c r="AK24" i="13"/>
  <c r="AL28" i="13"/>
  <c r="AK28" i="13"/>
  <c r="AL8" i="13"/>
  <c r="AK8" i="13"/>
  <c r="AQ8" i="13" s="1"/>
  <c r="AL4" i="13"/>
  <c r="AK4" i="13"/>
  <c r="AQ4" i="13" s="1"/>
  <c r="AJ24" i="13"/>
  <c r="AI24" i="13"/>
  <c r="AR13" i="18"/>
  <c r="AT13" i="18" s="1"/>
  <c r="AW13" i="18"/>
  <c r="AB23" i="11"/>
  <c r="AB19" i="11"/>
  <c r="AA25" i="1"/>
  <c r="AG25" i="1" s="1"/>
  <c r="Y24" i="1"/>
  <c r="X25" i="1" s="1"/>
  <c r="AR12" i="17"/>
  <c r="AW12" i="17"/>
  <c r="AJ18" i="12"/>
  <c r="AI18" i="12"/>
  <c r="AB23" i="12"/>
  <c r="AR15" i="21"/>
  <c r="AT15" i="21" s="1"/>
  <c r="AU15" i="21" s="1"/>
  <c r="AW15" i="21"/>
  <c r="AM14" i="18"/>
  <c r="AQ27" i="14"/>
  <c r="AM27" i="14" s="1"/>
  <c r="AK10" i="14"/>
  <c r="AQ10" i="14" s="1"/>
  <c r="AL10" i="14"/>
  <c r="AH11" i="14"/>
  <c r="AQ25" i="14"/>
  <c r="AM25" i="14" s="1"/>
  <c r="S13" i="25" l="1"/>
  <c r="I40" i="25" s="1"/>
  <c r="AC7" i="59"/>
  <c r="AC8" i="59"/>
  <c r="P7" i="59" s="1"/>
  <c r="AR72" i="59" s="1"/>
  <c r="AT72" i="59"/>
  <c r="AT71" i="59"/>
  <c r="AQ24" i="13"/>
  <c r="AM24" i="13" s="1"/>
  <c r="AW24" i="13" s="1"/>
  <c r="AW13" i="17"/>
  <c r="AW18" i="22"/>
  <c r="AW16" i="21"/>
  <c r="AM8" i="13"/>
  <c r="AR8" i="13" s="1"/>
  <c r="AT8" i="13" s="1"/>
  <c r="AU8" i="13" s="1"/>
  <c r="AR18" i="24"/>
  <c r="AT18" i="24" s="1"/>
  <c r="AU18" i="24" s="1"/>
  <c r="AW18" i="20"/>
  <c r="AM7" i="13"/>
  <c r="AW7" i="13" s="1"/>
  <c r="AR15" i="53"/>
  <c r="AT15" i="53" s="1"/>
  <c r="AU15" i="53" s="1"/>
  <c r="AI21" i="11"/>
  <c r="AW9" i="14"/>
  <c r="AM24" i="14"/>
  <c r="AR24" i="14" s="1"/>
  <c r="AT24" i="14" s="1"/>
  <c r="AU24" i="14" s="1"/>
  <c r="AI18" i="11"/>
  <c r="AM5" i="13"/>
  <c r="AW5" i="13" s="1"/>
  <c r="AM11" i="15"/>
  <c r="AR11" i="15" s="1"/>
  <c r="AT11" i="15" s="1"/>
  <c r="AU11" i="15" s="1"/>
  <c r="AM12" i="16"/>
  <c r="AW12" i="16" s="1"/>
  <c r="AM19" i="24"/>
  <c r="AR19" i="24" s="1"/>
  <c r="AT19" i="24" s="1"/>
  <c r="AU19" i="24" s="1"/>
  <c r="AM21" i="23"/>
  <c r="AR21" i="23" s="1"/>
  <c r="AT21" i="23" s="1"/>
  <c r="AU21" i="23" s="1"/>
  <c r="AM9" i="13"/>
  <c r="AR9" i="13" s="1"/>
  <c r="AT9" i="13" s="1"/>
  <c r="AU9" i="13" s="1"/>
  <c r="AM19" i="22"/>
  <c r="AR19" i="22" s="1"/>
  <c r="AT19" i="22" s="1"/>
  <c r="AU19" i="22" s="1"/>
  <c r="AM14" i="17"/>
  <c r="AR14" i="17" s="1"/>
  <c r="AT14" i="17" s="1"/>
  <c r="AU14" i="17" s="1"/>
  <c r="AL10" i="11"/>
  <c r="AK10" i="11"/>
  <c r="AQ10" i="11" s="1"/>
  <c r="AH11" i="11"/>
  <c r="AJ26" i="12"/>
  <c r="AI26" i="12"/>
  <c r="AJ24" i="12"/>
  <c r="AI24" i="12"/>
  <c r="AH24" i="12"/>
  <c r="AJ28" i="11"/>
  <c r="AI28" i="11"/>
  <c r="AL10" i="12"/>
  <c r="AK10" i="12"/>
  <c r="AQ10" i="12" s="1"/>
  <c r="AH11" i="12"/>
  <c r="AJ26" i="11"/>
  <c r="AI26" i="11"/>
  <c r="AL11" i="14"/>
  <c r="AK11" i="14"/>
  <c r="AQ11" i="14" s="1"/>
  <c r="AH12" i="14"/>
  <c r="AJ23" i="11"/>
  <c r="AI23" i="11"/>
  <c r="AE1" i="10"/>
  <c r="AB23" i="10" s="1"/>
  <c r="AM10" i="14"/>
  <c r="AJ24" i="11"/>
  <c r="AI24" i="11"/>
  <c r="AL26" i="11"/>
  <c r="AK26" i="11"/>
  <c r="AL8" i="11"/>
  <c r="AK8" i="11"/>
  <c r="AQ8" i="11" s="1"/>
  <c r="AK6" i="11"/>
  <c r="AQ6" i="11" s="1"/>
  <c r="AL6" i="11"/>
  <c r="AQ26" i="13"/>
  <c r="AM26" i="13" s="1"/>
  <c r="AR26" i="14"/>
  <c r="AT26" i="14" s="1"/>
  <c r="AU26" i="14" s="1"/>
  <c r="AW26" i="14"/>
  <c r="AM15" i="18"/>
  <c r="AI21" i="12"/>
  <c r="AJ21" i="12"/>
  <c r="AI25" i="12"/>
  <c r="AJ25" i="12"/>
  <c r="AR5" i="14"/>
  <c r="AT5" i="14" s="1"/>
  <c r="AU5" i="14" s="1"/>
  <c r="AW5" i="14"/>
  <c r="AJ20" i="11"/>
  <c r="AI20" i="11"/>
  <c r="AJ27" i="11"/>
  <c r="AI27" i="11"/>
  <c r="AR7" i="14"/>
  <c r="AT7" i="14" s="1"/>
  <c r="AU7" i="14" s="1"/>
  <c r="AW7" i="14"/>
  <c r="AK20" i="20"/>
  <c r="AQ20" i="20" s="1"/>
  <c r="AL20" i="20"/>
  <c r="AH21" i="20"/>
  <c r="AU14" i="21"/>
  <c r="AA21" i="4"/>
  <c r="AG21" i="4" s="1"/>
  <c r="Y20" i="4"/>
  <c r="AL19" i="19"/>
  <c r="AK19" i="19"/>
  <c r="AQ19" i="19" s="1"/>
  <c r="AH20" i="19"/>
  <c r="AU4" i="15"/>
  <c r="AL25" i="12"/>
  <c r="AK25" i="12"/>
  <c r="AL6" i="12"/>
  <c r="AK6" i="12"/>
  <c r="AQ6" i="12" s="1"/>
  <c r="AR4" i="14"/>
  <c r="AW4" i="14"/>
  <c r="AJ22" i="12"/>
  <c r="AI22" i="12"/>
  <c r="AQ28" i="13"/>
  <c r="AM28" i="13" s="1"/>
  <c r="AI23" i="12"/>
  <c r="AJ23" i="12"/>
  <c r="AR25" i="14"/>
  <c r="AT25" i="14" s="1"/>
  <c r="AU25" i="14" s="1"/>
  <c r="AW25" i="14"/>
  <c r="AR27" i="14"/>
  <c r="AT27" i="14" s="1"/>
  <c r="AU27" i="14" s="1"/>
  <c r="AW27" i="14"/>
  <c r="AM4" i="13"/>
  <c r="AD1" i="8"/>
  <c r="AG17" i="8"/>
  <c r="AL27" i="11"/>
  <c r="AK27" i="11"/>
  <c r="AL5" i="11"/>
  <c r="AK5" i="11"/>
  <c r="AQ5" i="11" s="1"/>
  <c r="AU15" i="19"/>
  <c r="AL12" i="15"/>
  <c r="AK12" i="15"/>
  <c r="AQ12" i="15" s="1"/>
  <c r="AH13" i="15"/>
  <c r="AA19" i="6"/>
  <c r="AG19" i="6" s="1"/>
  <c r="Y18" i="6"/>
  <c r="AL17" i="53"/>
  <c r="AK17" i="53"/>
  <c r="AQ17" i="53" s="1"/>
  <c r="AH18" i="53"/>
  <c r="AJ25" i="11"/>
  <c r="AI25" i="11"/>
  <c r="AL20" i="22"/>
  <c r="AK20" i="22"/>
  <c r="AQ20" i="22" s="1"/>
  <c r="AH21" i="22"/>
  <c r="AU17" i="24"/>
  <c r="AM19" i="20"/>
  <c r="AA22" i="3"/>
  <c r="AG22" i="3" s="1"/>
  <c r="Y21" i="3"/>
  <c r="AM18" i="19"/>
  <c r="AM6" i="13"/>
  <c r="AK26" i="12"/>
  <c r="AL26" i="12"/>
  <c r="AL7" i="12"/>
  <c r="AK7" i="12"/>
  <c r="AQ7" i="12" s="1"/>
  <c r="AA20" i="5"/>
  <c r="AG20" i="5" s="1"/>
  <c r="Y19" i="5"/>
  <c r="X20" i="5" s="1"/>
  <c r="AJ20" i="12"/>
  <c r="AI20" i="12"/>
  <c r="AR7" i="13"/>
  <c r="AT7" i="13" s="1"/>
  <c r="AU7" i="13" s="1"/>
  <c r="AA18" i="7"/>
  <c r="AG18" i="7" s="1"/>
  <c r="Y17" i="7"/>
  <c r="AR6" i="14"/>
  <c r="AT6" i="14" s="1"/>
  <c r="AU6" i="14" s="1"/>
  <c r="AW6" i="14"/>
  <c r="AR20" i="23"/>
  <c r="AT20" i="23" s="1"/>
  <c r="AW20" i="23"/>
  <c r="AR11" i="16"/>
  <c r="AW11" i="16"/>
  <c r="AQ25" i="13"/>
  <c r="AM25" i="13" s="1"/>
  <c r="AQ27" i="13"/>
  <c r="AM27" i="13" s="1"/>
  <c r="AA24" i="1"/>
  <c r="AG24" i="1" s="1"/>
  <c r="Y23" i="1"/>
  <c r="X24" i="1" s="1"/>
  <c r="AJ19" i="11"/>
  <c r="AI19" i="11"/>
  <c r="AU13" i="18"/>
  <c r="AT17" i="20"/>
  <c r="AF17" i="10"/>
  <c r="AF18" i="10" s="1"/>
  <c r="AF19" i="10" s="1"/>
  <c r="AF20" i="10" s="1"/>
  <c r="AF21" i="10" s="1"/>
  <c r="AF22" i="10" s="1"/>
  <c r="AF23" i="10" s="1"/>
  <c r="AF24" i="10" s="1"/>
  <c r="AF25" i="10" s="1"/>
  <c r="AF26" i="10" s="1"/>
  <c r="AF27" i="10" s="1"/>
  <c r="AF28" i="10" s="1"/>
  <c r="AW1" i="10"/>
  <c r="AH1" i="10"/>
  <c r="AL24" i="11"/>
  <c r="AK24" i="11"/>
  <c r="AL28" i="11"/>
  <c r="AK28" i="11"/>
  <c r="AL9" i="11"/>
  <c r="AK9" i="11"/>
  <c r="AQ9" i="11" s="1"/>
  <c r="AK4" i="11"/>
  <c r="AQ4" i="11" s="1"/>
  <c r="AL4" i="11"/>
  <c r="AD1" i="9"/>
  <c r="AG17" i="9"/>
  <c r="AL22" i="23"/>
  <c r="AK22" i="23"/>
  <c r="AQ22" i="23" s="1"/>
  <c r="AH23" i="23"/>
  <c r="AL16" i="18"/>
  <c r="AK16" i="18"/>
  <c r="AQ16" i="18" s="1"/>
  <c r="AH17" i="18"/>
  <c r="AL15" i="17"/>
  <c r="AK15" i="17"/>
  <c r="AQ15" i="17" s="1"/>
  <c r="AH16" i="17"/>
  <c r="AI27" i="12"/>
  <c r="AJ27" i="12"/>
  <c r="AR17" i="19"/>
  <c r="AW17" i="19"/>
  <c r="AJ22" i="11"/>
  <c r="AI22" i="11"/>
  <c r="AL27" i="12"/>
  <c r="AK27" i="12"/>
  <c r="AL9" i="12"/>
  <c r="AK9" i="12"/>
  <c r="AQ9" i="12" s="1"/>
  <c r="AL4" i="12"/>
  <c r="AK4" i="12"/>
  <c r="AQ4" i="12" s="1"/>
  <c r="AI17" i="12"/>
  <c r="AJ17" i="12"/>
  <c r="AL18" i="21"/>
  <c r="AK18" i="21"/>
  <c r="AQ18" i="21" s="1"/>
  <c r="AH19" i="21"/>
  <c r="AR14" i="18"/>
  <c r="AT14" i="18" s="1"/>
  <c r="AU14" i="18" s="1"/>
  <c r="AW14" i="18"/>
  <c r="AT12" i="17"/>
  <c r="AK20" i="24"/>
  <c r="AQ20" i="24" s="1"/>
  <c r="AL20" i="24"/>
  <c r="AH21" i="24"/>
  <c r="AL25" i="11"/>
  <c r="AK25" i="11"/>
  <c r="AL7" i="11"/>
  <c r="AK7" i="11"/>
  <c r="AQ7" i="11" s="1"/>
  <c r="AJ28" i="12"/>
  <c r="AI28" i="12"/>
  <c r="AM16" i="53"/>
  <c r="AG31" i="53"/>
  <c r="AR8" i="14"/>
  <c r="AT8" i="14" s="1"/>
  <c r="AU8" i="14" s="1"/>
  <c r="AW8" i="14"/>
  <c r="AR28" i="14"/>
  <c r="AT28" i="14" s="1"/>
  <c r="AU28" i="14" s="1"/>
  <c r="AW28" i="14"/>
  <c r="AI19" i="12"/>
  <c r="AJ19" i="12"/>
  <c r="AK28" i="12"/>
  <c r="AL28" i="12"/>
  <c r="AK8" i="12"/>
  <c r="AQ8" i="12" s="1"/>
  <c r="AL8" i="12"/>
  <c r="AL5" i="12"/>
  <c r="AK5" i="12"/>
  <c r="AQ5" i="12" s="1"/>
  <c r="AT17" i="22"/>
  <c r="AL13" i="16"/>
  <c r="AK13" i="16"/>
  <c r="AQ13" i="16" s="1"/>
  <c r="AH14" i="16"/>
  <c r="AM17" i="21"/>
  <c r="AR10" i="15"/>
  <c r="AW10" i="15"/>
  <c r="AA22" i="2"/>
  <c r="AG22" i="2" s="1"/>
  <c r="Y21" i="2"/>
  <c r="AL10" i="13"/>
  <c r="AK10" i="13"/>
  <c r="AQ10" i="13" s="1"/>
  <c r="AH11" i="13"/>
  <c r="BD72" i="61" l="1"/>
  <c r="BG17" i="25"/>
  <c r="S16" i="25" s="1"/>
  <c r="BD75" i="61" s="1"/>
  <c r="AV72" i="59"/>
  <c r="E11" i="59" s="1"/>
  <c r="P6" i="59"/>
  <c r="AR71" i="59" s="1"/>
  <c r="AV71" i="59" s="1"/>
  <c r="BA10" i="59" a="1"/>
  <c r="AW8" i="13"/>
  <c r="AR5" i="13"/>
  <c r="AT5" i="13" s="1"/>
  <c r="AU5" i="13" s="1"/>
  <c r="AR24" i="13"/>
  <c r="AT24" i="13" s="1"/>
  <c r="AU24" i="13" s="1"/>
  <c r="AW14" i="17"/>
  <c r="AM6" i="11"/>
  <c r="AR6" i="11" s="1"/>
  <c r="AT6" i="11" s="1"/>
  <c r="AU6" i="11" s="1"/>
  <c r="AM5" i="12"/>
  <c r="AR5" i="12" s="1"/>
  <c r="AT5" i="12" s="1"/>
  <c r="AU5" i="12" s="1"/>
  <c r="AM7" i="11"/>
  <c r="AW7" i="11" s="1"/>
  <c r="AW21" i="23"/>
  <c r="AW11" i="15"/>
  <c r="AW9" i="13"/>
  <c r="AW24" i="14"/>
  <c r="AM5" i="11"/>
  <c r="AW5" i="11" s="1"/>
  <c r="AM8" i="12"/>
  <c r="AR8" i="12" s="1"/>
  <c r="AT8" i="12" s="1"/>
  <c r="AU8" i="12" s="1"/>
  <c r="AR12" i="16"/>
  <c r="AT12" i="16" s="1"/>
  <c r="AU12" i="16" s="1"/>
  <c r="AW19" i="22"/>
  <c r="AQ28" i="12"/>
  <c r="AM28" i="12" s="1"/>
  <c r="AW19" i="24"/>
  <c r="AM10" i="12"/>
  <c r="AW10" i="12" s="1"/>
  <c r="AM12" i="15"/>
  <c r="AR12" i="15" s="1"/>
  <c r="AT12" i="15" s="1"/>
  <c r="AU12" i="15" s="1"/>
  <c r="AM20" i="24"/>
  <c r="AR20" i="24" s="1"/>
  <c r="AT20" i="24" s="1"/>
  <c r="AU20" i="24" s="1"/>
  <c r="AB17" i="10"/>
  <c r="AJ17" i="10" s="1"/>
  <c r="AB22" i="10"/>
  <c r="AI22" i="10" s="1"/>
  <c r="AM13" i="16"/>
  <c r="AW13" i="16" s="1"/>
  <c r="AB18" i="10"/>
  <c r="AI18" i="10" s="1"/>
  <c r="AM18" i="21"/>
  <c r="AW18" i="21" s="1"/>
  <c r="AK14" i="16"/>
  <c r="AQ14" i="16" s="1"/>
  <c r="AL14" i="16"/>
  <c r="AH15" i="16"/>
  <c r="AU17" i="22"/>
  <c r="AL19" i="21"/>
  <c r="AK19" i="21"/>
  <c r="AQ19" i="21" s="1"/>
  <c r="AH20" i="21"/>
  <c r="AM4" i="12"/>
  <c r="AQ27" i="12"/>
  <c r="AM27" i="12" s="1"/>
  <c r="AK17" i="18"/>
  <c r="AQ17" i="18" s="1"/>
  <c r="AL17" i="18"/>
  <c r="AH18" i="18"/>
  <c r="AM22" i="23"/>
  <c r="AR25" i="13"/>
  <c r="AT25" i="13" s="1"/>
  <c r="AU25" i="13" s="1"/>
  <c r="AW25" i="13"/>
  <c r="AT11" i="16"/>
  <c r="AA21" i="3"/>
  <c r="AG21" i="3" s="1"/>
  <c r="Y20" i="3"/>
  <c r="X21" i="3" s="1"/>
  <c r="AK21" i="22"/>
  <c r="AQ21" i="22" s="1"/>
  <c r="AL21" i="22"/>
  <c r="AH22" i="22"/>
  <c r="AL13" i="15"/>
  <c r="AK13" i="15"/>
  <c r="AQ13" i="15" s="1"/>
  <c r="AH14" i="15"/>
  <c r="AM6" i="12"/>
  <c r="AM19" i="19"/>
  <c r="AA20" i="4"/>
  <c r="AG20" i="4" s="1"/>
  <c r="Y19" i="4"/>
  <c r="X20" i="4" s="1"/>
  <c r="AM20" i="20"/>
  <c r="AR26" i="13"/>
  <c r="AT26" i="13" s="1"/>
  <c r="AU26" i="13" s="1"/>
  <c r="AW26" i="13"/>
  <c r="AM8" i="11"/>
  <c r="AQ24" i="11"/>
  <c r="AM24" i="11" s="1"/>
  <c r="AB19" i="10"/>
  <c r="AQ26" i="11"/>
  <c r="AM26" i="11" s="1"/>
  <c r="AA21" i="2"/>
  <c r="AG21" i="2" s="1"/>
  <c r="Y20" i="2"/>
  <c r="X21" i="2" s="1"/>
  <c r="AL21" i="24"/>
  <c r="AK21" i="24"/>
  <c r="AQ21" i="24" s="1"/>
  <c r="AH22" i="24"/>
  <c r="AL16" i="17"/>
  <c r="AK16" i="17"/>
  <c r="AQ16" i="17" s="1"/>
  <c r="AH17" i="17"/>
  <c r="AM16" i="18"/>
  <c r="AG31" i="18"/>
  <c r="AM4" i="11"/>
  <c r="AH5" i="10"/>
  <c r="AH4" i="10"/>
  <c r="AH6" i="10"/>
  <c r="AH7" i="10"/>
  <c r="AH8" i="10"/>
  <c r="AH9" i="10" s="1"/>
  <c r="AH28" i="10"/>
  <c r="AH27" i="10"/>
  <c r="AH26" i="10"/>
  <c r="AH25" i="10"/>
  <c r="X17" i="7"/>
  <c r="AA17" i="7"/>
  <c r="X16" i="7"/>
  <c r="AR19" i="20"/>
  <c r="AT19" i="20" s="1"/>
  <c r="AU19" i="20" s="1"/>
  <c r="AW19" i="20"/>
  <c r="AM20" i="22"/>
  <c r="AK18" i="53"/>
  <c r="AQ18" i="53" s="1"/>
  <c r="AL18" i="53"/>
  <c r="AH19" i="53"/>
  <c r="AA18" i="6"/>
  <c r="AG18" i="6" s="1"/>
  <c r="Y17" i="6"/>
  <c r="X18" i="6" s="1"/>
  <c r="AR5" i="11"/>
  <c r="AT5" i="11" s="1"/>
  <c r="AU5" i="11" s="1"/>
  <c r="AR15" i="18"/>
  <c r="AT15" i="18" s="1"/>
  <c r="AU15" i="18" s="1"/>
  <c r="AW15" i="18"/>
  <c r="AL12" i="14"/>
  <c r="AK12" i="14"/>
  <c r="AQ12" i="14" s="1"/>
  <c r="AH13" i="14"/>
  <c r="AQ28" i="11"/>
  <c r="AM28" i="11" s="1"/>
  <c r="AQ26" i="12"/>
  <c r="AM26" i="12" s="1"/>
  <c r="AL11" i="11"/>
  <c r="AK11" i="11"/>
  <c r="AQ11" i="11" s="1"/>
  <c r="AH12" i="11"/>
  <c r="AR13" i="16"/>
  <c r="AT13" i="16" s="1"/>
  <c r="AU13" i="16" s="1"/>
  <c r="AK11" i="13"/>
  <c r="AQ11" i="13" s="1"/>
  <c r="AL11" i="13"/>
  <c r="AH12" i="13"/>
  <c r="AR17" i="21"/>
  <c r="AT17" i="21" s="1"/>
  <c r="AW17" i="21"/>
  <c r="AR16" i="53"/>
  <c r="AT16" i="53" s="1"/>
  <c r="AW16" i="53"/>
  <c r="AM9" i="12"/>
  <c r="AT17" i="19"/>
  <c r="AM15" i="17"/>
  <c r="AF17" i="9"/>
  <c r="AF18" i="9" s="1"/>
  <c r="AF19" i="9" s="1"/>
  <c r="AF20" i="9" s="1"/>
  <c r="AF21" i="9" s="1"/>
  <c r="AF22" i="9" s="1"/>
  <c r="AF23" i="9" s="1"/>
  <c r="AF24" i="9" s="1"/>
  <c r="AF25" i="9" s="1"/>
  <c r="AF26" i="9" s="1"/>
  <c r="AF27" i="9" s="1"/>
  <c r="AF28" i="9" s="1"/>
  <c r="AH1" i="9"/>
  <c r="AW1" i="9"/>
  <c r="AM9" i="11"/>
  <c r="AU17" i="20"/>
  <c r="AU20" i="23"/>
  <c r="AM7" i="12"/>
  <c r="AR6" i="13"/>
  <c r="AT6" i="13" s="1"/>
  <c r="AU6" i="13" s="1"/>
  <c r="AW6" i="13"/>
  <c r="X22" i="3"/>
  <c r="AM17" i="53"/>
  <c r="AF17" i="8"/>
  <c r="AF18" i="8" s="1"/>
  <c r="AF19" i="8" s="1"/>
  <c r="AF20" i="8" s="1"/>
  <c r="AF21" i="8" s="1"/>
  <c r="AF22" i="8" s="1"/>
  <c r="AF23" i="8" s="1"/>
  <c r="AF24" i="8" s="1"/>
  <c r="AF25" i="8" s="1"/>
  <c r="AF26" i="8" s="1"/>
  <c r="AF27" i="8" s="1"/>
  <c r="AF28" i="8" s="1"/>
  <c r="AH1" i="8"/>
  <c r="AW1" i="8"/>
  <c r="X21" i="4"/>
  <c r="AL21" i="20"/>
  <c r="AK21" i="20"/>
  <c r="AQ21" i="20" s="1"/>
  <c r="AH22" i="20"/>
  <c r="AQ25" i="12"/>
  <c r="AM25" i="12" s="1"/>
  <c r="AD17" i="10"/>
  <c r="AD28" i="10"/>
  <c r="AB28" i="10" s="1"/>
  <c r="AD26" i="10"/>
  <c r="AB26" i="10" s="1"/>
  <c r="AD19" i="10"/>
  <c r="AD18" i="10"/>
  <c r="AD21" i="10"/>
  <c r="AD24" i="10"/>
  <c r="AB24" i="10" s="1"/>
  <c r="AD23" i="10"/>
  <c r="AD22" i="10"/>
  <c r="AD20" i="10"/>
  <c r="AD27" i="10"/>
  <c r="AB27" i="10" s="1"/>
  <c r="AD25" i="10"/>
  <c r="AB25" i="10" s="1"/>
  <c r="AB20" i="10"/>
  <c r="AB21" i="10"/>
  <c r="AM11" i="14"/>
  <c r="AL11" i="12"/>
  <c r="AK11" i="12"/>
  <c r="AQ11" i="12" s="1"/>
  <c r="AH12" i="12"/>
  <c r="AM10" i="11"/>
  <c r="AT10" i="15"/>
  <c r="AM10" i="13"/>
  <c r="X22" i="2"/>
  <c r="AU12" i="17"/>
  <c r="AL23" i="23"/>
  <c r="AK23" i="23"/>
  <c r="AQ23" i="23" s="1"/>
  <c r="AE1" i="9"/>
  <c r="AB21" i="9" s="1"/>
  <c r="AA23" i="1"/>
  <c r="AG23" i="1" s="1"/>
  <c r="Y22" i="1"/>
  <c r="X23" i="1" s="1"/>
  <c r="AR27" i="13"/>
  <c r="AT27" i="13" s="1"/>
  <c r="AU27" i="13" s="1"/>
  <c r="AW27" i="13"/>
  <c r="X18" i="7"/>
  <c r="AA19" i="5"/>
  <c r="AG19" i="5" s="1"/>
  <c r="Y18" i="5"/>
  <c r="X19" i="5" s="1"/>
  <c r="AR18" i="19"/>
  <c r="AT18" i="19" s="1"/>
  <c r="AU18" i="19" s="1"/>
  <c r="AW18" i="19"/>
  <c r="AQ25" i="11"/>
  <c r="AM25" i="11" s="1"/>
  <c r="X19" i="6"/>
  <c r="AE1" i="8"/>
  <c r="AB18" i="8" s="1"/>
  <c r="AR4" i="13"/>
  <c r="AW4" i="13"/>
  <c r="AR28" i="13"/>
  <c r="AT28" i="13" s="1"/>
  <c r="AU28" i="13" s="1"/>
  <c r="AW28" i="13"/>
  <c r="AT4" i="14"/>
  <c r="AL20" i="19"/>
  <c r="AK20" i="19"/>
  <c r="AQ20" i="19" s="1"/>
  <c r="AH21" i="19"/>
  <c r="AQ27" i="11"/>
  <c r="AM27" i="11" s="1"/>
  <c r="AR10" i="14"/>
  <c r="AT10" i="14" s="1"/>
  <c r="AU10" i="14" s="1"/>
  <c r="AW10" i="14"/>
  <c r="AJ23" i="10"/>
  <c r="AI23" i="10"/>
  <c r="AK24" i="12"/>
  <c r="AQ24" i="12" s="1"/>
  <c r="AL24" i="12"/>
  <c r="L84" i="59" l="1"/>
  <c r="N84" i="59" s="1"/>
  <c r="AS84" i="59" s="1"/>
  <c r="Z78" i="59"/>
  <c r="AB78" i="59" s="1"/>
  <c r="AM78" i="59"/>
  <c r="AO78" i="59" s="1"/>
  <c r="AU78" i="59" s="1"/>
  <c r="D11" i="59"/>
  <c r="AV70" i="59"/>
  <c r="BE14" i="59"/>
  <c r="BD14" i="59"/>
  <c r="BK13" i="59"/>
  <c r="BF13" i="59"/>
  <c r="BI12" i="59"/>
  <c r="BH12" i="59"/>
  <c r="BC12" i="59"/>
  <c r="BJ11" i="59"/>
  <c r="BA11" i="59"/>
  <c r="BL10" i="59"/>
  <c r="BG10" i="59"/>
  <c r="BB10" i="59"/>
  <c r="BI10" i="59"/>
  <c r="BH10" i="59"/>
  <c r="BC10" i="59"/>
  <c r="BA13" i="59"/>
  <c r="BL12" i="59"/>
  <c r="BG12" i="59"/>
  <c r="BB12" i="59"/>
  <c r="BE11" i="59"/>
  <c r="BD11" i="59"/>
  <c r="BK10" i="59"/>
  <c r="BF10" i="59"/>
  <c r="BL14" i="59"/>
  <c r="BG14" i="59"/>
  <c r="BB14" i="59"/>
  <c r="BI14" i="59"/>
  <c r="BH14" i="59"/>
  <c r="BC14" i="59"/>
  <c r="BJ13" i="59"/>
  <c r="BI11" i="59"/>
  <c r="BH11" i="59"/>
  <c r="BC11" i="59"/>
  <c r="BJ10" i="59"/>
  <c r="BA10" i="59"/>
  <c r="BK14" i="59"/>
  <c r="BF14" i="59"/>
  <c r="BI13" i="59"/>
  <c r="BH13" i="59"/>
  <c r="BC13" i="59"/>
  <c r="BJ12" i="59"/>
  <c r="BE13" i="59"/>
  <c r="BD13" i="59"/>
  <c r="BK12" i="59"/>
  <c r="BF12" i="59"/>
  <c r="BE10" i="59"/>
  <c r="BD10" i="59"/>
  <c r="BJ14" i="59"/>
  <c r="BA14" i="59"/>
  <c r="BL13" i="59"/>
  <c r="BG13" i="59"/>
  <c r="BB13" i="59"/>
  <c r="BE12" i="59"/>
  <c r="BD12" i="59"/>
  <c r="BK11" i="59"/>
  <c r="BF11" i="59"/>
  <c r="BA12" i="59"/>
  <c r="BL11" i="59"/>
  <c r="BG11" i="59"/>
  <c r="BB11" i="59"/>
  <c r="AG24" i="59"/>
  <c r="AI24" i="59" s="1"/>
  <c r="AG30" i="59"/>
  <c r="AI30" i="59" s="1"/>
  <c r="Z77" i="59"/>
  <c r="AB77" i="59" s="1"/>
  <c r="AR7" i="11"/>
  <c r="AT7" i="11" s="1"/>
  <c r="AU7" i="11" s="1"/>
  <c r="AW5" i="12"/>
  <c r="AJ18" i="10"/>
  <c r="AW6" i="11"/>
  <c r="AR10" i="12"/>
  <c r="AT10" i="12" s="1"/>
  <c r="AU10" i="12" s="1"/>
  <c r="AR18" i="21"/>
  <c r="AT18" i="21" s="1"/>
  <c r="AU18" i="21" s="1"/>
  <c r="AW8" i="12"/>
  <c r="AW20" i="24"/>
  <c r="AW12" i="15"/>
  <c r="AI17" i="10"/>
  <c r="AJ22" i="10"/>
  <c r="AM11" i="11"/>
  <c r="AW11" i="11" s="1"/>
  <c r="AM21" i="22"/>
  <c r="AR21" i="22" s="1"/>
  <c r="AT21" i="22" s="1"/>
  <c r="AU21" i="22" s="1"/>
  <c r="AB19" i="8"/>
  <c r="AI19" i="8" s="1"/>
  <c r="AM24" i="12"/>
  <c r="AR24" i="12" s="1"/>
  <c r="AT24" i="12" s="1"/>
  <c r="AU24" i="12" s="1"/>
  <c r="AM18" i="53"/>
  <c r="AR18" i="53" s="1"/>
  <c r="AT18" i="53" s="1"/>
  <c r="AU18" i="53" s="1"/>
  <c r="AM11" i="12"/>
  <c r="AR11" i="12" s="1"/>
  <c r="AT11" i="12" s="1"/>
  <c r="AU11" i="12" s="1"/>
  <c r="AM19" i="21"/>
  <c r="AR19" i="21" s="1"/>
  <c r="AT19" i="21" s="1"/>
  <c r="AU19" i="21" s="1"/>
  <c r="AM20" i="19"/>
  <c r="AW20" i="19" s="1"/>
  <c r="AM21" i="24"/>
  <c r="AR21" i="24" s="1"/>
  <c r="AT21" i="24" s="1"/>
  <c r="AU21" i="24" s="1"/>
  <c r="AJ21" i="9"/>
  <c r="AI21" i="9"/>
  <c r="AI28" i="10"/>
  <c r="AJ28" i="10"/>
  <c r="AK9" i="10"/>
  <c r="AQ9" i="10" s="1"/>
  <c r="AL9" i="10"/>
  <c r="AH10" i="10"/>
  <c r="AI24" i="10"/>
  <c r="AJ24" i="10"/>
  <c r="AH24" i="10"/>
  <c r="AR27" i="11"/>
  <c r="AT27" i="11" s="1"/>
  <c r="AU27" i="11" s="1"/>
  <c r="AW27" i="11"/>
  <c r="AJ18" i="8"/>
  <c r="AI18" i="8"/>
  <c r="AD21" i="8"/>
  <c r="AD17" i="8"/>
  <c r="AD26" i="8"/>
  <c r="AB26" i="8" s="1"/>
  <c r="AD27" i="8"/>
  <c r="AB27" i="8" s="1"/>
  <c r="AD22" i="8"/>
  <c r="AD18" i="8"/>
  <c r="AD28" i="8"/>
  <c r="AB28" i="8" s="1"/>
  <c r="AD24" i="8"/>
  <c r="AB24" i="8" s="1"/>
  <c r="AD23" i="8"/>
  <c r="AD25" i="8"/>
  <c r="AB25" i="8" s="1"/>
  <c r="AD20" i="8"/>
  <c r="AD19" i="8"/>
  <c r="AB22" i="8"/>
  <c r="AB20" i="8"/>
  <c r="AB17" i="8"/>
  <c r="AB17" i="9"/>
  <c r="AB23" i="9"/>
  <c r="AU10" i="15"/>
  <c r="AJ25" i="10"/>
  <c r="AI25" i="10"/>
  <c r="AR17" i="53"/>
  <c r="AT17" i="53" s="1"/>
  <c r="AU17" i="53" s="1"/>
  <c r="AW17" i="53"/>
  <c r="AH4" i="9"/>
  <c r="AH6" i="9"/>
  <c r="AH7" i="9"/>
  <c r="AH5" i="9"/>
  <c r="AH8" i="9"/>
  <c r="AH9" i="9" s="1"/>
  <c r="AH10" i="9" s="1"/>
  <c r="AH11" i="9" s="1"/>
  <c r="AH12" i="9" s="1"/>
  <c r="AH13" i="9" s="1"/>
  <c r="AH28" i="9"/>
  <c r="AH27" i="9"/>
  <c r="AH26" i="9"/>
  <c r="AH25" i="9"/>
  <c r="AM11" i="13"/>
  <c r="AK13" i="14"/>
  <c r="AQ13" i="14" s="1"/>
  <c r="AL13" i="14"/>
  <c r="AH14" i="14"/>
  <c r="X17" i="6"/>
  <c r="AA17" i="6"/>
  <c r="X16" i="6"/>
  <c r="AL26" i="10"/>
  <c r="AK26" i="10"/>
  <c r="AL6" i="10"/>
  <c r="AK6" i="10"/>
  <c r="AQ6" i="10" s="1"/>
  <c r="AR4" i="11"/>
  <c r="AW4" i="11"/>
  <c r="AL17" i="17"/>
  <c r="AK17" i="17"/>
  <c r="AQ17" i="17" s="1"/>
  <c r="AH18" i="17"/>
  <c r="AJ19" i="10"/>
  <c r="AI19" i="10"/>
  <c r="AL22" i="22"/>
  <c r="AK22" i="22"/>
  <c r="AQ22" i="22" s="1"/>
  <c r="AH23" i="22"/>
  <c r="AR22" i="23"/>
  <c r="AT22" i="23" s="1"/>
  <c r="AW22" i="23"/>
  <c r="AR27" i="12"/>
  <c r="AT27" i="12" s="1"/>
  <c r="AU27" i="12" s="1"/>
  <c r="AW27" i="12"/>
  <c r="AM14" i="16"/>
  <c r="AU4" i="14"/>
  <c r="AT4" i="13"/>
  <c r="AM23" i="23"/>
  <c r="AG32" i="23"/>
  <c r="AM21" i="20"/>
  <c r="AB21" i="8"/>
  <c r="AB23" i="8"/>
  <c r="AA22" i="1"/>
  <c r="AG22" i="1" s="1"/>
  <c r="Y21" i="1"/>
  <c r="X22" i="1" s="1"/>
  <c r="AB18" i="9"/>
  <c r="AB19" i="9"/>
  <c r="AR10" i="11"/>
  <c r="AT10" i="11" s="1"/>
  <c r="AU10" i="11" s="1"/>
  <c r="AW10" i="11"/>
  <c r="AR11" i="14"/>
  <c r="AT11" i="14" s="1"/>
  <c r="AU11" i="14" s="1"/>
  <c r="AW11" i="14"/>
  <c r="AR25" i="12"/>
  <c r="AT25" i="12" s="1"/>
  <c r="AU25" i="12" s="1"/>
  <c r="AW25" i="12"/>
  <c r="AR7" i="12"/>
  <c r="AT7" i="12" s="1"/>
  <c r="AU7" i="12" s="1"/>
  <c r="AW7" i="12"/>
  <c r="AR9" i="11"/>
  <c r="AT9" i="11" s="1"/>
  <c r="AU9" i="11" s="1"/>
  <c r="AW9" i="11"/>
  <c r="AU17" i="19"/>
  <c r="AU16" i="53"/>
  <c r="AM12" i="14"/>
  <c r="AD1" i="7"/>
  <c r="AG17" i="7"/>
  <c r="AK27" i="10"/>
  <c r="AL27" i="10"/>
  <c r="AL4" i="10"/>
  <c r="AK4" i="10"/>
  <c r="AQ4" i="10" s="1"/>
  <c r="AM16" i="17"/>
  <c r="AG31" i="17"/>
  <c r="AA19" i="4"/>
  <c r="AG19" i="4" s="1"/>
  <c r="Y18" i="4"/>
  <c r="X19" i="4" s="1"/>
  <c r="AR19" i="19"/>
  <c r="AT19" i="19" s="1"/>
  <c r="AU19" i="19" s="1"/>
  <c r="AW19" i="19"/>
  <c r="AL14" i="15"/>
  <c r="AK14" i="15"/>
  <c r="AQ14" i="15" s="1"/>
  <c r="AH15" i="15"/>
  <c r="AL18" i="18"/>
  <c r="AK18" i="18"/>
  <c r="AQ18" i="18" s="1"/>
  <c r="AH19" i="18"/>
  <c r="AJ19" i="8"/>
  <c r="AR25" i="11"/>
  <c r="AT25" i="11" s="1"/>
  <c r="AU25" i="11" s="1"/>
  <c r="AW25" i="11"/>
  <c r="AA18" i="5"/>
  <c r="AG18" i="5" s="1"/>
  <c r="Y17" i="5"/>
  <c r="X18" i="5" s="1"/>
  <c r="AD24" i="9"/>
  <c r="AB24" i="9" s="1"/>
  <c r="AD20" i="9"/>
  <c r="AD22" i="9"/>
  <c r="AD19" i="9"/>
  <c r="AD21" i="9"/>
  <c r="AD23" i="9"/>
  <c r="AD25" i="9"/>
  <c r="AB25" i="9" s="1"/>
  <c r="AD28" i="9"/>
  <c r="AB28" i="9" s="1"/>
  <c r="AD27" i="9"/>
  <c r="AB27" i="9" s="1"/>
  <c r="AD18" i="9"/>
  <c r="AD17" i="9"/>
  <c r="AD26" i="9"/>
  <c r="AB26" i="9" s="1"/>
  <c r="AB20" i="9"/>
  <c r="AB22" i="9"/>
  <c r="AR28" i="12"/>
  <c r="AT28" i="12" s="1"/>
  <c r="AU28" i="12" s="1"/>
  <c r="AW28" i="12"/>
  <c r="AR10" i="13"/>
  <c r="AT10" i="13" s="1"/>
  <c r="AU10" i="13" s="1"/>
  <c r="AW10" i="13"/>
  <c r="AK12" i="12"/>
  <c r="AQ12" i="12" s="1"/>
  <c r="AL12" i="12"/>
  <c r="AH13" i="12"/>
  <c r="AJ21" i="10"/>
  <c r="AI21" i="10"/>
  <c r="AJ27" i="10"/>
  <c r="AI27" i="10"/>
  <c r="AI26" i="10"/>
  <c r="AJ26" i="10"/>
  <c r="AK22" i="20"/>
  <c r="AQ22" i="20" s="1"/>
  <c r="AL22" i="20"/>
  <c r="AH23" i="20"/>
  <c r="AH4" i="8"/>
  <c r="AH5" i="8"/>
  <c r="AH6" i="8"/>
  <c r="AH8" i="8"/>
  <c r="AH9" i="8" s="1"/>
  <c r="AH10" i="8" s="1"/>
  <c r="AH11" i="8" s="1"/>
  <c r="AH7" i="8"/>
  <c r="AH28" i="8"/>
  <c r="AH27" i="8"/>
  <c r="AH26" i="8"/>
  <c r="AH25" i="8"/>
  <c r="AH24" i="8"/>
  <c r="AR9" i="12"/>
  <c r="AT9" i="12" s="1"/>
  <c r="AU9" i="12" s="1"/>
  <c r="AW9" i="12"/>
  <c r="AL12" i="13"/>
  <c r="AK12" i="13"/>
  <c r="AQ12" i="13" s="1"/>
  <c r="AH13" i="13"/>
  <c r="AR26" i="12"/>
  <c r="AT26" i="12" s="1"/>
  <c r="AU26" i="12" s="1"/>
  <c r="AW26" i="12"/>
  <c r="AL28" i="10"/>
  <c r="AK28" i="10"/>
  <c r="AL8" i="10"/>
  <c r="AK8" i="10"/>
  <c r="AQ8" i="10" s="1"/>
  <c r="AL5" i="10"/>
  <c r="AK5" i="10"/>
  <c r="AQ5" i="10" s="1"/>
  <c r="AK22" i="24"/>
  <c r="AQ22" i="24" s="1"/>
  <c r="AL22" i="24"/>
  <c r="AH23" i="24"/>
  <c r="AA20" i="2"/>
  <c r="AG20" i="2" s="1"/>
  <c r="Y19" i="2"/>
  <c r="X20" i="2" s="1"/>
  <c r="AR26" i="11"/>
  <c r="AT26" i="11" s="1"/>
  <c r="AU26" i="11" s="1"/>
  <c r="AW26" i="11"/>
  <c r="AR24" i="11"/>
  <c r="AT24" i="11" s="1"/>
  <c r="AU24" i="11" s="1"/>
  <c r="AW24" i="11"/>
  <c r="AR6" i="12"/>
  <c r="AT6" i="12" s="1"/>
  <c r="AU6" i="12" s="1"/>
  <c r="AW6" i="12"/>
  <c r="AM13" i="15"/>
  <c r="AU11" i="16"/>
  <c r="AR4" i="12"/>
  <c r="AW4" i="12"/>
  <c r="AL15" i="16"/>
  <c r="AK15" i="16"/>
  <c r="AQ15" i="16" s="1"/>
  <c r="AH16" i="16"/>
  <c r="AL21" i="19"/>
  <c r="AK21" i="19"/>
  <c r="AQ21" i="19" s="1"/>
  <c r="AH22" i="19"/>
  <c r="AI20" i="10"/>
  <c r="AJ20" i="10"/>
  <c r="AR15" i="17"/>
  <c r="AW15" i="17"/>
  <c r="AU17" i="21"/>
  <c r="AL12" i="11"/>
  <c r="AK12" i="11"/>
  <c r="AQ12" i="11" s="1"/>
  <c r="AH13" i="11"/>
  <c r="AR28" i="11"/>
  <c r="AT28" i="11" s="1"/>
  <c r="AU28" i="11" s="1"/>
  <c r="AW28" i="11"/>
  <c r="AL19" i="53"/>
  <c r="AK19" i="53"/>
  <c r="AQ19" i="53" s="1"/>
  <c r="AH20" i="53"/>
  <c r="AR20" i="22"/>
  <c r="AT20" i="22" s="1"/>
  <c r="AU20" i="22" s="1"/>
  <c r="AW20" i="22"/>
  <c r="AK25" i="10"/>
  <c r="AL25" i="10"/>
  <c r="AL7" i="10"/>
  <c r="AK7" i="10"/>
  <c r="AQ7" i="10" s="1"/>
  <c r="AR16" i="18"/>
  <c r="AT16" i="18" s="1"/>
  <c r="AW16" i="18"/>
  <c r="AR8" i="11"/>
  <c r="AT8" i="11" s="1"/>
  <c r="AU8" i="11" s="1"/>
  <c r="AW8" i="11"/>
  <c r="AR20" i="20"/>
  <c r="AT20" i="20" s="1"/>
  <c r="AW20" i="20"/>
  <c r="AA20" i="3"/>
  <c r="AG20" i="3" s="1"/>
  <c r="Y19" i="3"/>
  <c r="X20" i="3" s="1"/>
  <c r="AM17" i="18"/>
  <c r="AL20" i="21"/>
  <c r="AK20" i="21"/>
  <c r="AQ20" i="21" s="1"/>
  <c r="AH21" i="21"/>
  <c r="AQ26" i="10" l="1"/>
  <c r="AM77" i="59"/>
  <c r="AO77" i="59" s="1"/>
  <c r="AU77" i="59" s="1"/>
  <c r="L83" i="59"/>
  <c r="N83" i="59" s="1"/>
  <c r="AS83" i="59" s="1"/>
  <c r="B54" i="58" a="1"/>
  <c r="AG23" i="59"/>
  <c r="AI23" i="59" s="1"/>
  <c r="AG29" i="59"/>
  <c r="AI29" i="59" s="1"/>
  <c r="AT78" i="59"/>
  <c r="AT77" i="59"/>
  <c r="AW21" i="24"/>
  <c r="AR11" i="11"/>
  <c r="AT11" i="11" s="1"/>
  <c r="AU11" i="11" s="1"/>
  <c r="AM7" i="10"/>
  <c r="AR7" i="10" s="1"/>
  <c r="AT7" i="10" s="1"/>
  <c r="AU7" i="10" s="1"/>
  <c r="AW18" i="53"/>
  <c r="AQ27" i="10"/>
  <c r="AM27" i="10" s="1"/>
  <c r="AW21" i="22"/>
  <c r="AW11" i="12"/>
  <c r="AM6" i="10"/>
  <c r="AW6" i="10" s="1"/>
  <c r="AW19" i="21"/>
  <c r="AM9" i="10"/>
  <c r="AR9" i="10" s="1"/>
  <c r="AT9" i="10" s="1"/>
  <c r="AU9" i="10" s="1"/>
  <c r="AW24" i="12"/>
  <c r="AR20" i="19"/>
  <c r="AT20" i="19" s="1"/>
  <c r="AU20" i="19" s="1"/>
  <c r="AM15" i="16"/>
  <c r="AW15" i="16" s="1"/>
  <c r="AM12" i="12"/>
  <c r="AR12" i="12" s="1"/>
  <c r="AT12" i="12" s="1"/>
  <c r="AU12" i="12" s="1"/>
  <c r="AM21" i="19"/>
  <c r="AR21" i="19" s="1"/>
  <c r="AT21" i="19" s="1"/>
  <c r="AM22" i="24"/>
  <c r="AR22" i="24" s="1"/>
  <c r="AT22" i="24" s="1"/>
  <c r="AU22" i="24" s="1"/>
  <c r="AM26" i="10"/>
  <c r="AR26" i="10" s="1"/>
  <c r="AT26" i="10" s="1"/>
  <c r="AU26" i="10" s="1"/>
  <c r="AM13" i="14"/>
  <c r="AR13" i="14" s="1"/>
  <c r="AT13" i="14" s="1"/>
  <c r="AU13" i="14" s="1"/>
  <c r="AK13" i="9"/>
  <c r="AQ13" i="9" s="1"/>
  <c r="AL13" i="9"/>
  <c r="AH14" i="9"/>
  <c r="AK11" i="8"/>
  <c r="AQ11" i="8" s="1"/>
  <c r="AL11" i="8"/>
  <c r="AH12" i="8"/>
  <c r="AI26" i="9"/>
  <c r="AJ26" i="9"/>
  <c r="AK20" i="53"/>
  <c r="AQ20" i="53" s="1"/>
  <c r="AL20" i="53"/>
  <c r="AH21" i="53"/>
  <c r="AL27" i="8"/>
  <c r="AK27" i="8"/>
  <c r="AL5" i="8"/>
  <c r="AK5" i="8"/>
  <c r="AQ5" i="8" s="1"/>
  <c r="AM12" i="11"/>
  <c r="AR13" i="15"/>
  <c r="AW13" i="15"/>
  <c r="AL23" i="24"/>
  <c r="AK23" i="24"/>
  <c r="AQ23" i="24" s="1"/>
  <c r="AM5" i="10"/>
  <c r="AL24" i="8"/>
  <c r="AK24" i="8"/>
  <c r="AL28" i="8"/>
  <c r="AK28" i="8"/>
  <c r="AK7" i="8"/>
  <c r="AQ7" i="8" s="1"/>
  <c r="AL7" i="8"/>
  <c r="AL4" i="8"/>
  <c r="AK4" i="8"/>
  <c r="AQ4" i="8" s="1"/>
  <c r="AM22" i="20"/>
  <c r="AI20" i="9"/>
  <c r="AJ20" i="9"/>
  <c r="AJ27" i="9"/>
  <c r="AI27" i="9"/>
  <c r="AI24" i="9"/>
  <c r="AJ24" i="9"/>
  <c r="AK19" i="18"/>
  <c r="AQ19" i="18" s="1"/>
  <c r="AL19" i="18"/>
  <c r="AH20" i="18"/>
  <c r="AM4" i="10"/>
  <c r="AF17" i="7"/>
  <c r="AF18" i="7" s="1"/>
  <c r="AF19" i="7" s="1"/>
  <c r="AF20" i="7" s="1"/>
  <c r="AF21" i="7" s="1"/>
  <c r="AF22" i="7" s="1"/>
  <c r="AF23" i="7" s="1"/>
  <c r="AF24" i="7" s="1"/>
  <c r="AF25" i="7" s="1"/>
  <c r="AF26" i="7" s="1"/>
  <c r="AF27" i="7" s="1"/>
  <c r="AF28" i="7" s="1"/>
  <c r="AH1" i="7"/>
  <c r="AW1" i="7"/>
  <c r="AR12" i="14"/>
  <c r="AT12" i="14" s="1"/>
  <c r="AU12" i="14" s="1"/>
  <c r="AW12" i="14"/>
  <c r="AJ19" i="9"/>
  <c r="AI19" i="9"/>
  <c r="AR23" i="23"/>
  <c r="AW23" i="23"/>
  <c r="AW29" i="23" s="1"/>
  <c r="BG16" i="23" s="1"/>
  <c r="S15" i="23" s="1"/>
  <c r="BF74" i="61" s="1"/>
  <c r="AK23" i="22"/>
  <c r="AQ23" i="22" s="1"/>
  <c r="AG32" i="22" s="1"/>
  <c r="AL23" i="22"/>
  <c r="AD1" i="6"/>
  <c r="AG17" i="6"/>
  <c r="AR11" i="13"/>
  <c r="AT11" i="13" s="1"/>
  <c r="AU11" i="13" s="1"/>
  <c r="AW11" i="13"/>
  <c r="AH24" i="9"/>
  <c r="AL28" i="9"/>
  <c r="AK28" i="9"/>
  <c r="AL8" i="9"/>
  <c r="AK8" i="9"/>
  <c r="AQ8" i="9" s="1"/>
  <c r="AL4" i="9"/>
  <c r="AK4" i="9"/>
  <c r="AQ4" i="9" s="1"/>
  <c r="AJ17" i="8"/>
  <c r="AI17" i="8"/>
  <c r="AJ28" i="8"/>
  <c r="AI28" i="8"/>
  <c r="AJ26" i="8"/>
  <c r="AI26" i="8"/>
  <c r="AQ28" i="10"/>
  <c r="AM28" i="10" s="1"/>
  <c r="AM20" i="21"/>
  <c r="AM19" i="53"/>
  <c r="AL21" i="21"/>
  <c r="AK21" i="21"/>
  <c r="AQ21" i="21" s="1"/>
  <c r="AH22" i="21"/>
  <c r="AR17" i="18"/>
  <c r="AT17" i="18" s="1"/>
  <c r="AU17" i="18" s="1"/>
  <c r="AW17" i="18"/>
  <c r="AT15" i="17"/>
  <c r="AL22" i="19"/>
  <c r="AK22" i="19"/>
  <c r="AQ22" i="19" s="1"/>
  <c r="AH23" i="19"/>
  <c r="AK16" i="16"/>
  <c r="AQ16" i="16" s="1"/>
  <c r="AL16" i="16"/>
  <c r="AH17" i="16"/>
  <c r="AT4" i="12"/>
  <c r="AA19" i="2"/>
  <c r="AG19" i="2" s="1"/>
  <c r="Y18" i="2"/>
  <c r="AL13" i="13"/>
  <c r="AK13" i="13"/>
  <c r="AQ13" i="13" s="1"/>
  <c r="AH14" i="13"/>
  <c r="AL25" i="8"/>
  <c r="AK25" i="8"/>
  <c r="AL8" i="8"/>
  <c r="AK8" i="8"/>
  <c r="AQ8" i="8" s="1"/>
  <c r="X17" i="5"/>
  <c r="AA17" i="5"/>
  <c r="X16" i="5"/>
  <c r="AM18" i="18"/>
  <c r="AL15" i="15"/>
  <c r="AK15" i="15"/>
  <c r="AQ15" i="15" s="1"/>
  <c r="AH16" i="15"/>
  <c r="AE1" i="7"/>
  <c r="AB20" i="7" s="1"/>
  <c r="AI18" i="9"/>
  <c r="AJ18" i="9"/>
  <c r="AJ23" i="8"/>
  <c r="AI23" i="8"/>
  <c r="AU22" i="23"/>
  <c r="AM22" i="22"/>
  <c r="AK25" i="9"/>
  <c r="AL25" i="9"/>
  <c r="AK9" i="9"/>
  <c r="AQ9" i="9" s="1"/>
  <c r="AL9" i="9"/>
  <c r="AL5" i="9"/>
  <c r="AK5" i="9"/>
  <c r="AQ5" i="9" s="1"/>
  <c r="AQ25" i="10"/>
  <c r="AM25" i="10" s="1"/>
  <c r="AJ23" i="9"/>
  <c r="AI23" i="9"/>
  <c r="AJ20" i="8"/>
  <c r="AI20" i="8"/>
  <c r="AA19" i="3"/>
  <c r="AG19" i="3" s="1"/>
  <c r="Y18" i="3"/>
  <c r="X19" i="3" s="1"/>
  <c r="AU20" i="20"/>
  <c r="AU16" i="18"/>
  <c r="AM8" i="10"/>
  <c r="AM12" i="13"/>
  <c r="AL26" i="8"/>
  <c r="AK26" i="8"/>
  <c r="AL9" i="8"/>
  <c r="AK9" i="8"/>
  <c r="AQ9" i="8" s="1"/>
  <c r="AL6" i="8"/>
  <c r="AK6" i="8"/>
  <c r="AQ6" i="8" s="1"/>
  <c r="AL23" i="20"/>
  <c r="AK23" i="20"/>
  <c r="AQ23" i="20" s="1"/>
  <c r="AI22" i="9"/>
  <c r="AJ22" i="9"/>
  <c r="AJ25" i="9"/>
  <c r="AI25" i="9"/>
  <c r="AM14" i="15"/>
  <c r="AA18" i="4"/>
  <c r="AG18" i="4" s="1"/>
  <c r="Y17" i="4"/>
  <c r="X18" i="4" s="1"/>
  <c r="AR16" i="17"/>
  <c r="AT16" i="17" s="1"/>
  <c r="AU16" i="17" s="1"/>
  <c r="AW16" i="17"/>
  <c r="AA21" i="1"/>
  <c r="AG21" i="1" s="1"/>
  <c r="Y20" i="1"/>
  <c r="X21" i="1" s="1"/>
  <c r="AJ25" i="8"/>
  <c r="AI25" i="8"/>
  <c r="AR21" i="20"/>
  <c r="AT21" i="20" s="1"/>
  <c r="AU21" i="20" s="1"/>
  <c r="AW21" i="20"/>
  <c r="AL18" i="17"/>
  <c r="AK18" i="17"/>
  <c r="AQ18" i="17" s="1"/>
  <c r="AH19" i="17"/>
  <c r="AT4" i="11"/>
  <c r="AL26" i="9"/>
  <c r="AK26" i="9"/>
  <c r="AL11" i="9"/>
  <c r="AK11" i="9"/>
  <c r="AQ11" i="9" s="1"/>
  <c r="AL7" i="9"/>
  <c r="AK7" i="9"/>
  <c r="AQ7" i="9" s="1"/>
  <c r="AJ17" i="9"/>
  <c r="AI17" i="9"/>
  <c r="AJ22" i="8"/>
  <c r="AI22" i="8"/>
  <c r="AL13" i="11"/>
  <c r="AK13" i="11"/>
  <c r="AQ13" i="11" s="1"/>
  <c r="AH14" i="11"/>
  <c r="AL10" i="8"/>
  <c r="AK10" i="8"/>
  <c r="AQ10" i="8" s="1"/>
  <c r="AL13" i="12"/>
  <c r="AK13" i="12"/>
  <c r="AQ13" i="12" s="1"/>
  <c r="AH14" i="12"/>
  <c r="AI28" i="9"/>
  <c r="AQ28" i="9" s="1"/>
  <c r="AJ28" i="9"/>
  <c r="AJ21" i="8"/>
  <c r="AI21" i="8"/>
  <c r="AU4" i="13"/>
  <c r="AR14" i="16"/>
  <c r="AW14" i="16"/>
  <c r="AM17" i="17"/>
  <c r="AL14" i="14"/>
  <c r="AK14" i="14"/>
  <c r="AQ14" i="14" s="1"/>
  <c r="AH15" i="14"/>
  <c r="AK27" i="9"/>
  <c r="AL27" i="9"/>
  <c r="AL12" i="9"/>
  <c r="AK12" i="9"/>
  <c r="AQ12" i="9" s="1"/>
  <c r="AK10" i="9"/>
  <c r="AQ10" i="9" s="1"/>
  <c r="AL10" i="9"/>
  <c r="AL6" i="9"/>
  <c r="AK6" i="9"/>
  <c r="AQ6" i="9" s="1"/>
  <c r="AJ24" i="8"/>
  <c r="AI24" i="8"/>
  <c r="AJ27" i="8"/>
  <c r="AI27" i="8"/>
  <c r="AQ27" i="8" s="1"/>
  <c r="AL24" i="10"/>
  <c r="AK24" i="10"/>
  <c r="AQ24" i="10" s="1"/>
  <c r="AK10" i="10"/>
  <c r="AQ10" i="10" s="1"/>
  <c r="AL10" i="10"/>
  <c r="AH11" i="10"/>
  <c r="BA17" i="59" l="1" a="1"/>
  <c r="BA18" i="59" s="1"/>
  <c r="AC25" i="59"/>
  <c r="P8" i="59" s="1"/>
  <c r="AR77" i="59" s="1"/>
  <c r="AV77" i="59" s="1"/>
  <c r="AC26" i="59"/>
  <c r="P9" i="59" s="1"/>
  <c r="AR78" i="59" s="1"/>
  <c r="AV78" i="59" s="1"/>
  <c r="E12" i="59" s="1"/>
  <c r="I56" i="58"/>
  <c r="C55" i="58"/>
  <c r="K58" i="58"/>
  <c r="F56" i="58"/>
  <c r="M55" i="58"/>
  <c r="G57" i="58"/>
  <c r="L56" i="58"/>
  <c r="B58" i="58"/>
  <c r="H56" i="58"/>
  <c r="C58" i="58"/>
  <c r="B54" i="58"/>
  <c r="L57" i="58"/>
  <c r="B55" i="58"/>
  <c r="M58" i="58"/>
  <c r="J54" i="58"/>
  <c r="E55" i="58"/>
  <c r="C54" i="58"/>
  <c r="D55" i="58"/>
  <c r="J57" i="58"/>
  <c r="M57" i="58"/>
  <c r="K54" i="58"/>
  <c r="I58" i="58"/>
  <c r="L54" i="58"/>
  <c r="D58" i="58"/>
  <c r="D56" i="58"/>
  <c r="K55" i="58"/>
  <c r="I57" i="58"/>
  <c r="J55" i="58"/>
  <c r="H57" i="58"/>
  <c r="B56" i="58"/>
  <c r="F55" i="58"/>
  <c r="K56" i="58"/>
  <c r="M56" i="58"/>
  <c r="H54" i="58"/>
  <c r="I55" i="58"/>
  <c r="D54" i="58"/>
  <c r="G55" i="58"/>
  <c r="G58" i="58"/>
  <c r="G56" i="58"/>
  <c r="D57" i="58"/>
  <c r="F54" i="58"/>
  <c r="E57" i="58"/>
  <c r="F58" i="58"/>
  <c r="L58" i="58"/>
  <c r="K57" i="58"/>
  <c r="E54" i="58"/>
  <c r="G54" i="58"/>
  <c r="J58" i="58"/>
  <c r="E56" i="58"/>
  <c r="C57" i="58"/>
  <c r="H55" i="58"/>
  <c r="J56" i="58"/>
  <c r="M54" i="58"/>
  <c r="L55" i="58"/>
  <c r="H58" i="58"/>
  <c r="C56" i="58"/>
  <c r="E58" i="58"/>
  <c r="F57" i="58"/>
  <c r="B57" i="58"/>
  <c r="I54" i="58"/>
  <c r="AW9" i="10"/>
  <c r="AW12" i="12"/>
  <c r="AW13" i="14"/>
  <c r="AQ25" i="9"/>
  <c r="AM25" i="9" s="1"/>
  <c r="AQ25" i="8"/>
  <c r="AM25" i="8" s="1"/>
  <c r="AW25" i="8" s="1"/>
  <c r="AW7" i="10"/>
  <c r="AR6" i="10"/>
  <c r="AT6" i="10" s="1"/>
  <c r="AU6" i="10" s="1"/>
  <c r="AW22" i="24"/>
  <c r="AQ24" i="8"/>
  <c r="AM24" i="8" s="1"/>
  <c r="AR15" i="16"/>
  <c r="AT15" i="16" s="1"/>
  <c r="AU15" i="16" s="1"/>
  <c r="AW21" i="19"/>
  <c r="AQ28" i="8"/>
  <c r="AM28" i="8" s="1"/>
  <c r="AR27" i="10"/>
  <c r="AT27" i="10" s="1"/>
  <c r="AU27" i="10" s="1"/>
  <c r="AW27" i="10"/>
  <c r="AM5" i="8"/>
  <c r="AW5" i="8" s="1"/>
  <c r="AW26" i="10"/>
  <c r="AM6" i="9"/>
  <c r="AW6" i="9" s="1"/>
  <c r="AM8" i="9"/>
  <c r="AR8" i="9" s="1"/>
  <c r="AT8" i="9" s="1"/>
  <c r="AU8" i="9" s="1"/>
  <c r="AM7" i="9"/>
  <c r="AR7" i="9" s="1"/>
  <c r="AT7" i="9" s="1"/>
  <c r="AU7" i="9" s="1"/>
  <c r="AM9" i="9"/>
  <c r="AR9" i="9" s="1"/>
  <c r="AT9" i="9" s="1"/>
  <c r="AU9" i="9" s="1"/>
  <c r="AM27" i="8"/>
  <c r="AR27" i="8" s="1"/>
  <c r="AT27" i="8" s="1"/>
  <c r="AU27" i="8" s="1"/>
  <c r="AM12" i="9"/>
  <c r="AR12" i="9" s="1"/>
  <c r="AT12" i="9" s="1"/>
  <c r="AU12" i="9" s="1"/>
  <c r="AM21" i="21"/>
  <c r="AR21" i="21" s="1"/>
  <c r="AT21" i="21" s="1"/>
  <c r="AU21" i="21" s="1"/>
  <c r="AM10" i="9"/>
  <c r="AR10" i="9" s="1"/>
  <c r="AT10" i="9" s="1"/>
  <c r="AU10" i="9" s="1"/>
  <c r="AB18" i="7"/>
  <c r="AJ18" i="7" s="1"/>
  <c r="AB19" i="7"/>
  <c r="AI19" i="7" s="1"/>
  <c r="AM20" i="53"/>
  <c r="AR20" i="53" s="1"/>
  <c r="AT20" i="53" s="1"/>
  <c r="AU20" i="53" s="1"/>
  <c r="AB23" i="7"/>
  <c r="AJ23" i="7" s="1"/>
  <c r="AM24" i="10"/>
  <c r="AW24" i="10" s="1"/>
  <c r="AB21" i="7"/>
  <c r="AJ21" i="7" s="1"/>
  <c r="AJ20" i="7"/>
  <c r="AI20" i="7"/>
  <c r="AK15" i="14"/>
  <c r="AQ15" i="14" s="1"/>
  <c r="AL15" i="14"/>
  <c r="AH16" i="14"/>
  <c r="AM14" i="14"/>
  <c r="AR17" i="17"/>
  <c r="AT17" i="17" s="1"/>
  <c r="AU17" i="17" s="1"/>
  <c r="AW17" i="17"/>
  <c r="AT14" i="16"/>
  <c r="AM28" i="9"/>
  <c r="AU4" i="11"/>
  <c r="AM23" i="20"/>
  <c r="AM9" i="8"/>
  <c r="AR12" i="13"/>
  <c r="AT12" i="13" s="1"/>
  <c r="AW12" i="13"/>
  <c r="AR22" i="22"/>
  <c r="AT22" i="22" s="1"/>
  <c r="AU22" i="22" s="1"/>
  <c r="AW22" i="22"/>
  <c r="AG32" i="20"/>
  <c r="AB22" i="7"/>
  <c r="AM15" i="15"/>
  <c r="AD1" i="5"/>
  <c r="AG17" i="5"/>
  <c r="AA18" i="2"/>
  <c r="AG18" i="2" s="1"/>
  <c r="Y17" i="2"/>
  <c r="X18" i="2" s="1"/>
  <c r="AL23" i="19"/>
  <c r="AK23" i="19"/>
  <c r="AQ23" i="19" s="1"/>
  <c r="AU15" i="17"/>
  <c r="AL24" i="9"/>
  <c r="AK24" i="9"/>
  <c r="AQ24" i="9" s="1"/>
  <c r="AF17" i="6"/>
  <c r="AF18" i="6" s="1"/>
  <c r="AF19" i="6" s="1"/>
  <c r="AF20" i="6" s="1"/>
  <c r="AF21" i="6" s="1"/>
  <c r="AF22" i="6" s="1"/>
  <c r="AF23" i="6" s="1"/>
  <c r="AF24" i="6" s="1"/>
  <c r="AF25" i="6" s="1"/>
  <c r="AF26" i="6" s="1"/>
  <c r="AF27" i="6" s="1"/>
  <c r="AF28" i="6" s="1"/>
  <c r="AH1" i="6"/>
  <c r="AW1" i="6"/>
  <c r="AM23" i="22"/>
  <c r="AQ27" i="9"/>
  <c r="AM27" i="9" s="1"/>
  <c r="AR22" i="20"/>
  <c r="AT22" i="20" s="1"/>
  <c r="AU22" i="20" s="1"/>
  <c r="AW22" i="20"/>
  <c r="AM7" i="8"/>
  <c r="AM13" i="9"/>
  <c r="AM10" i="10"/>
  <c r="AL11" i="10"/>
  <c r="AK11" i="10"/>
  <c r="AQ11" i="10" s="1"/>
  <c r="AH12" i="10"/>
  <c r="AK14" i="12"/>
  <c r="AQ14" i="12" s="1"/>
  <c r="AL14" i="12"/>
  <c r="AH15" i="12"/>
  <c r="AL14" i="11"/>
  <c r="AK14" i="11"/>
  <c r="AQ14" i="11" s="1"/>
  <c r="AH15" i="11"/>
  <c r="AM11" i="9"/>
  <c r="AL19" i="17"/>
  <c r="AK19" i="17"/>
  <c r="AQ19" i="17" s="1"/>
  <c r="AH20" i="17"/>
  <c r="AR8" i="10"/>
  <c r="AT8" i="10" s="1"/>
  <c r="AU8" i="10" s="1"/>
  <c r="AW8" i="10"/>
  <c r="AU21" i="19"/>
  <c r="AR25" i="10"/>
  <c r="AT25" i="10" s="1"/>
  <c r="AU25" i="10" s="1"/>
  <c r="AW25" i="10"/>
  <c r="AD18" i="7"/>
  <c r="AD23" i="7"/>
  <c r="AD17" i="7"/>
  <c r="AD20" i="7"/>
  <c r="AD25" i="7"/>
  <c r="AB25" i="7" s="1"/>
  <c r="AD21" i="7"/>
  <c r="AD19" i="7"/>
  <c r="AD28" i="7"/>
  <c r="AB28" i="7" s="1"/>
  <c r="AD24" i="7"/>
  <c r="AB24" i="7" s="1"/>
  <c r="AD22" i="7"/>
  <c r="AD26" i="7"/>
  <c r="AB26" i="7" s="1"/>
  <c r="AD27" i="7"/>
  <c r="AB27" i="7" s="1"/>
  <c r="AB17" i="7"/>
  <c r="AM8" i="8"/>
  <c r="AL14" i="13"/>
  <c r="AK14" i="13"/>
  <c r="AQ14" i="13" s="1"/>
  <c r="AH15" i="13"/>
  <c r="X19" i="2"/>
  <c r="AL17" i="16"/>
  <c r="AK17" i="16"/>
  <c r="AQ17" i="16" s="1"/>
  <c r="AH18" i="16"/>
  <c r="AM22" i="19"/>
  <c r="AR20" i="21"/>
  <c r="AT20" i="21" s="1"/>
  <c r="AW20" i="21"/>
  <c r="AE1" i="6"/>
  <c r="AR4" i="10"/>
  <c r="AW4" i="10"/>
  <c r="AM19" i="18"/>
  <c r="AM4" i="8"/>
  <c r="AR5" i="10"/>
  <c r="AT5" i="10" s="1"/>
  <c r="AU5" i="10" s="1"/>
  <c r="AW5" i="10"/>
  <c r="AT13" i="15"/>
  <c r="AQ26" i="9"/>
  <c r="AM26" i="9" s="1"/>
  <c r="AM11" i="8"/>
  <c r="AM13" i="12"/>
  <c r="AM10" i="8"/>
  <c r="AM13" i="11"/>
  <c r="AM18" i="17"/>
  <c r="AA20" i="1"/>
  <c r="AG20" i="1" s="1"/>
  <c r="Y19" i="1"/>
  <c r="X20" i="1" s="1"/>
  <c r="AR14" i="15"/>
  <c r="AT14" i="15" s="1"/>
  <c r="AU14" i="15" s="1"/>
  <c r="AW14" i="15"/>
  <c r="AM6" i="8"/>
  <c r="AA18" i="3"/>
  <c r="AG18" i="3" s="1"/>
  <c r="Y17" i="3"/>
  <c r="X18" i="3" s="1"/>
  <c r="AM5" i="9"/>
  <c r="AR18" i="18"/>
  <c r="AT18" i="18" s="1"/>
  <c r="AW18" i="18"/>
  <c r="AM13" i="13"/>
  <c r="AR28" i="10"/>
  <c r="AT28" i="10" s="1"/>
  <c r="AU28" i="10" s="1"/>
  <c r="AW28" i="10"/>
  <c r="AM4" i="9"/>
  <c r="AH4" i="7"/>
  <c r="AH5" i="7"/>
  <c r="AH6" i="7"/>
  <c r="AH7" i="7"/>
  <c r="AH8" i="7"/>
  <c r="AH9" i="7" s="1"/>
  <c r="AH10" i="7" s="1"/>
  <c r="AH28" i="7"/>
  <c r="AH27" i="7"/>
  <c r="AH26" i="7"/>
  <c r="AH25" i="7"/>
  <c r="AM23" i="24"/>
  <c r="AG32" i="24"/>
  <c r="AL14" i="9"/>
  <c r="AK14" i="9"/>
  <c r="AQ14" i="9" s="1"/>
  <c r="AH15" i="9"/>
  <c r="X17" i="4"/>
  <c r="AA17" i="4"/>
  <c r="X16" i="4"/>
  <c r="AL16" i="15"/>
  <c r="AK16" i="15"/>
  <c r="AQ16" i="15" s="1"/>
  <c r="AH17" i="15"/>
  <c r="AU4" i="12"/>
  <c r="AM16" i="16"/>
  <c r="AG31" i="16"/>
  <c r="AL22" i="21"/>
  <c r="AK22" i="21"/>
  <c r="AQ22" i="21" s="1"/>
  <c r="AH23" i="21"/>
  <c r="AR19" i="53"/>
  <c r="AT19" i="53" s="1"/>
  <c r="AU19" i="53" s="1"/>
  <c r="AW19" i="53"/>
  <c r="AQ26" i="8"/>
  <c r="AM26" i="8" s="1"/>
  <c r="AT23" i="23"/>
  <c r="AR29" i="23"/>
  <c r="BG12" i="23" s="1"/>
  <c r="S11" i="23" s="1"/>
  <c r="AL20" i="18"/>
  <c r="AK20" i="18"/>
  <c r="AQ20" i="18" s="1"/>
  <c r="AH21" i="18"/>
  <c r="AR12" i="11"/>
  <c r="AW12" i="11"/>
  <c r="AK21" i="53"/>
  <c r="AQ21" i="53" s="1"/>
  <c r="AL21" i="53"/>
  <c r="AH22" i="53"/>
  <c r="AL12" i="8"/>
  <c r="AK12" i="8"/>
  <c r="AQ12" i="8" s="1"/>
  <c r="AH13" i="8"/>
  <c r="BC18" i="59" l="1"/>
  <c r="BG17" i="59"/>
  <c r="BL17" i="59"/>
  <c r="BK21" i="59"/>
  <c r="BA20" i="59"/>
  <c r="BC21" i="59"/>
  <c r="BH17" i="59"/>
  <c r="BE18" i="59"/>
  <c r="BH21" i="59"/>
  <c r="BJ19" i="59"/>
  <c r="BA21" i="59"/>
  <c r="BI19" i="59"/>
  <c r="BI21" i="59"/>
  <c r="BB21" i="59"/>
  <c r="BK19" i="59"/>
  <c r="BL19" i="59"/>
  <c r="BE21" i="59"/>
  <c r="BB18" i="59"/>
  <c r="BB17" i="59"/>
  <c r="BD19" i="59"/>
  <c r="BI20" i="59"/>
  <c r="BF19" i="59"/>
  <c r="BE20" i="59"/>
  <c r="BE19" i="59"/>
  <c r="BD20" i="59"/>
  <c r="BI17" i="59"/>
  <c r="BB20" i="59"/>
  <c r="BD18" i="59"/>
  <c r="BH19" i="59"/>
  <c r="BJ17" i="59"/>
  <c r="Z84" i="59"/>
  <c r="AB84" i="59" s="1"/>
  <c r="L90" i="59"/>
  <c r="N90" i="59" s="1"/>
  <c r="AS90" i="59" s="1"/>
  <c r="BK18" i="59"/>
  <c r="BH20" i="59"/>
  <c r="BL21" i="59"/>
  <c r="BG18" i="59"/>
  <c r="BA19" i="59"/>
  <c r="BF17" i="59"/>
  <c r="BG20" i="59"/>
  <c r="BL18" i="59"/>
  <c r="BF21" i="59"/>
  <c r="BK17" i="59"/>
  <c r="BL20" i="59"/>
  <c r="BG19" i="59"/>
  <c r="BD21" i="59"/>
  <c r="BE17" i="59"/>
  <c r="BC17" i="59"/>
  <c r="BC19" i="59"/>
  <c r="BJ20" i="59"/>
  <c r="BJ18" i="59"/>
  <c r="BA17" i="59"/>
  <c r="BF20" i="59"/>
  <c r="BJ21" i="59"/>
  <c r="BH18" i="59"/>
  <c r="BB19" i="59"/>
  <c r="BK20" i="59"/>
  <c r="BD17" i="59"/>
  <c r="BI18" i="59"/>
  <c r="BF18" i="59"/>
  <c r="BC20" i="59"/>
  <c r="BG21" i="59"/>
  <c r="AM84" i="59"/>
  <c r="AO84" i="59" s="1"/>
  <c r="AU84" i="59" s="1"/>
  <c r="AV17" i="59"/>
  <c r="AX17" i="59" s="1"/>
  <c r="P11" i="59" s="1"/>
  <c r="AR84" i="59" s="1"/>
  <c r="AV76" i="59"/>
  <c r="B60" i="58" s="1" a="1"/>
  <c r="D12" i="59"/>
  <c r="AR6" i="9"/>
  <c r="AT6" i="9" s="1"/>
  <c r="AU6" i="9" s="1"/>
  <c r="AW7" i="9"/>
  <c r="AR5" i="8"/>
  <c r="AT5" i="8" s="1"/>
  <c r="AU5" i="8" s="1"/>
  <c r="AI23" i="7"/>
  <c r="AI18" i="7"/>
  <c r="AJ19" i="7"/>
  <c r="AW8" i="9"/>
  <c r="AW10" i="9"/>
  <c r="AW9" i="9"/>
  <c r="AM24" i="9"/>
  <c r="AW24" i="9" s="1"/>
  <c r="AR25" i="8"/>
  <c r="AT25" i="8" s="1"/>
  <c r="AU25" i="8" s="1"/>
  <c r="AI21" i="7"/>
  <c r="AW20" i="53"/>
  <c r="AW21" i="21"/>
  <c r="AW27" i="8"/>
  <c r="AM11" i="10"/>
  <c r="AW11" i="10" s="1"/>
  <c r="AW12" i="9"/>
  <c r="AM19" i="17"/>
  <c r="AR19" i="17" s="1"/>
  <c r="AT19" i="17" s="1"/>
  <c r="AU19" i="17" s="1"/>
  <c r="AM14" i="11"/>
  <c r="AR14" i="11" s="1"/>
  <c r="AT14" i="11" s="1"/>
  <c r="AU14" i="11" s="1"/>
  <c r="I54" i="23"/>
  <c r="BF70" i="61"/>
  <c r="BG27" i="23"/>
  <c r="I50" i="23"/>
  <c r="AR24" i="10"/>
  <c r="AT24" i="10" s="1"/>
  <c r="AU24" i="10" s="1"/>
  <c r="AM12" i="8"/>
  <c r="AR12" i="8" s="1"/>
  <c r="AT12" i="8" s="1"/>
  <c r="AU12" i="8" s="1"/>
  <c r="AM22" i="21"/>
  <c r="AR22" i="21" s="1"/>
  <c r="AT22" i="21" s="1"/>
  <c r="AU22" i="21" s="1"/>
  <c r="AM14" i="9"/>
  <c r="AR14" i="9" s="1"/>
  <c r="AT14" i="9" s="1"/>
  <c r="AU14" i="9" s="1"/>
  <c r="AM15" i="14"/>
  <c r="AW15" i="14" s="1"/>
  <c r="AJ24" i="7"/>
  <c r="AI24" i="7"/>
  <c r="AH24" i="7"/>
  <c r="AI25" i="7"/>
  <c r="AJ25" i="7"/>
  <c r="AJ28" i="7"/>
  <c r="AI28" i="7"/>
  <c r="AK21" i="18"/>
  <c r="AQ21" i="18" s="1"/>
  <c r="AL21" i="18"/>
  <c r="AH22" i="18"/>
  <c r="AU23" i="23"/>
  <c r="AU29" i="23" s="1"/>
  <c r="BG15" i="23" s="1"/>
  <c r="S14" i="23" s="1"/>
  <c r="AT29" i="23"/>
  <c r="BG13" i="23" s="1"/>
  <c r="S12" i="23" s="1"/>
  <c r="AL17" i="15"/>
  <c r="AK17" i="15"/>
  <c r="AQ17" i="15" s="1"/>
  <c r="AH18" i="15"/>
  <c r="AD1" i="4"/>
  <c r="AG17" i="4"/>
  <c r="AK26" i="7"/>
  <c r="AL26" i="7"/>
  <c r="AL8" i="7"/>
  <c r="AK8" i="7"/>
  <c r="AQ8" i="7" s="1"/>
  <c r="AL6" i="7"/>
  <c r="AK6" i="7"/>
  <c r="AQ6" i="7" s="1"/>
  <c r="AR4" i="9"/>
  <c r="AW4" i="9"/>
  <c r="AU18" i="18"/>
  <c r="AR18" i="17"/>
  <c r="AT18" i="17" s="1"/>
  <c r="AU18" i="17" s="1"/>
  <c r="AW18" i="17"/>
  <c r="AR13" i="12"/>
  <c r="AW13" i="12"/>
  <c r="AR26" i="9"/>
  <c r="AT26" i="9" s="1"/>
  <c r="AU26" i="9" s="1"/>
  <c r="AW26" i="9"/>
  <c r="AU13" i="15"/>
  <c r="AT4" i="10"/>
  <c r="AB17" i="6"/>
  <c r="AB19" i="6"/>
  <c r="AM17" i="16"/>
  <c r="AM14" i="13"/>
  <c r="AR11" i="9"/>
  <c r="AT11" i="9" s="1"/>
  <c r="AU11" i="9" s="1"/>
  <c r="AW11" i="9"/>
  <c r="AR13" i="9"/>
  <c r="AT13" i="9" s="1"/>
  <c r="AU13" i="9" s="1"/>
  <c r="AW13" i="9"/>
  <c r="AR23" i="22"/>
  <c r="AW23" i="22"/>
  <c r="AW29" i="22" s="1"/>
  <c r="BG16" i="22" s="1"/>
  <c r="S15" i="22" s="1"/>
  <c r="BG74" i="61" s="1"/>
  <c r="AR15" i="15"/>
  <c r="AW15" i="15"/>
  <c r="AU12" i="13"/>
  <c r="AU14" i="16"/>
  <c r="AR14" i="14"/>
  <c r="AW14" i="14"/>
  <c r="AM21" i="53"/>
  <c r="AK22" i="53"/>
  <c r="AQ22" i="53" s="1"/>
  <c r="AL22" i="53"/>
  <c r="AH23" i="53"/>
  <c r="AT12" i="11"/>
  <c r="AM20" i="18"/>
  <c r="AL23" i="21"/>
  <c r="AK23" i="21"/>
  <c r="AQ23" i="21" s="1"/>
  <c r="AG32" i="21" s="1"/>
  <c r="AR16" i="16"/>
  <c r="AT16" i="16" s="1"/>
  <c r="AU16" i="16" s="1"/>
  <c r="AW16" i="16"/>
  <c r="AM16" i="15"/>
  <c r="AL27" i="7"/>
  <c r="AK27" i="7"/>
  <c r="AL9" i="7"/>
  <c r="AK9" i="7"/>
  <c r="AQ9" i="7" s="1"/>
  <c r="AK5" i="7"/>
  <c r="AQ5" i="7" s="1"/>
  <c r="AL5" i="7"/>
  <c r="AR5" i="9"/>
  <c r="AT5" i="9" s="1"/>
  <c r="AU5" i="9" s="1"/>
  <c r="AW5" i="9"/>
  <c r="AR6" i="8"/>
  <c r="AT6" i="8" s="1"/>
  <c r="AU6" i="8" s="1"/>
  <c r="AW6" i="8"/>
  <c r="AA19" i="1"/>
  <c r="AG19" i="1" s="1"/>
  <c r="Y18" i="1"/>
  <c r="AR13" i="11"/>
  <c r="AT13" i="11" s="1"/>
  <c r="AU13" i="11" s="1"/>
  <c r="AW13" i="11"/>
  <c r="AB22" i="6"/>
  <c r="AU20" i="21"/>
  <c r="AL20" i="17"/>
  <c r="AK20" i="17"/>
  <c r="AQ20" i="17" s="1"/>
  <c r="AH21" i="17"/>
  <c r="AL15" i="12"/>
  <c r="AK15" i="12"/>
  <c r="AQ15" i="12" s="1"/>
  <c r="AH16" i="12"/>
  <c r="AR24" i="8"/>
  <c r="AT24" i="8" s="1"/>
  <c r="AU24" i="8" s="1"/>
  <c r="AW24" i="8"/>
  <c r="AF17" i="5"/>
  <c r="AF18" i="5" s="1"/>
  <c r="AF19" i="5" s="1"/>
  <c r="AF20" i="5" s="1"/>
  <c r="AF21" i="5" s="1"/>
  <c r="AF22" i="5" s="1"/>
  <c r="AF23" i="5" s="1"/>
  <c r="AF24" i="5" s="1"/>
  <c r="AF25" i="5" s="1"/>
  <c r="AF26" i="5" s="1"/>
  <c r="AF27" i="5" s="1"/>
  <c r="AF28" i="5" s="1"/>
  <c r="AH1" i="5"/>
  <c r="AW1" i="5"/>
  <c r="AR9" i="8"/>
  <c r="AT9" i="8" s="1"/>
  <c r="AU9" i="8" s="1"/>
  <c r="AW9" i="8"/>
  <c r="AR28" i="9"/>
  <c r="AT28" i="9" s="1"/>
  <c r="AU28" i="9" s="1"/>
  <c r="AW28" i="9"/>
  <c r="AL16" i="14"/>
  <c r="AK16" i="14"/>
  <c r="AQ16" i="14" s="1"/>
  <c r="AH17" i="14"/>
  <c r="AL13" i="8"/>
  <c r="AK13" i="8"/>
  <c r="AQ13" i="8" s="1"/>
  <c r="AH14" i="8"/>
  <c r="AR26" i="8"/>
  <c r="AT26" i="8" s="1"/>
  <c r="AU26" i="8" s="1"/>
  <c r="AW26" i="8"/>
  <c r="AK15" i="9"/>
  <c r="AQ15" i="9" s="1"/>
  <c r="AL15" i="9"/>
  <c r="AH16" i="9"/>
  <c r="AR23" i="24"/>
  <c r="AW23" i="24"/>
  <c r="AW29" i="24" s="1"/>
  <c r="BG16" i="24" s="1"/>
  <c r="S15" i="24" s="1"/>
  <c r="BE74" i="61" s="1"/>
  <c r="AL28" i="7"/>
  <c r="AK28" i="7"/>
  <c r="AL10" i="7"/>
  <c r="AK10" i="7"/>
  <c r="AQ10" i="7" s="1"/>
  <c r="AL4" i="7"/>
  <c r="AK4" i="7"/>
  <c r="AQ4" i="7" s="1"/>
  <c r="AR13" i="13"/>
  <c r="AW13" i="13"/>
  <c r="X17" i="3"/>
  <c r="AA17" i="3"/>
  <c r="X16" i="3"/>
  <c r="AR25" i="9"/>
  <c r="AT25" i="9" s="1"/>
  <c r="AU25" i="9" s="1"/>
  <c r="AW25" i="9"/>
  <c r="AR10" i="8"/>
  <c r="AT10" i="8" s="1"/>
  <c r="AU10" i="8" s="1"/>
  <c r="AW10" i="8"/>
  <c r="AR19" i="18"/>
  <c r="AT19" i="18" s="1"/>
  <c r="AU19" i="18" s="1"/>
  <c r="AW19" i="18"/>
  <c r="AD24" i="6"/>
  <c r="AB24" i="6" s="1"/>
  <c r="AD28" i="6"/>
  <c r="AB28" i="6" s="1"/>
  <c r="AD18" i="6"/>
  <c r="AD20" i="6"/>
  <c r="AD22" i="6"/>
  <c r="AD23" i="6"/>
  <c r="AD19" i="6"/>
  <c r="AD27" i="6"/>
  <c r="AB27" i="6" s="1"/>
  <c r="AD21" i="6"/>
  <c r="AD25" i="6"/>
  <c r="AB25" i="6" s="1"/>
  <c r="AD26" i="6"/>
  <c r="AB26" i="6" s="1"/>
  <c r="AD17" i="6"/>
  <c r="AB20" i="6"/>
  <c r="AR22" i="19"/>
  <c r="AT22" i="19" s="1"/>
  <c r="AU22" i="19" s="1"/>
  <c r="AW22" i="19"/>
  <c r="AR8" i="8"/>
  <c r="AT8" i="8" s="1"/>
  <c r="AU8" i="8" s="1"/>
  <c r="AW8" i="8"/>
  <c r="AJ27" i="7"/>
  <c r="AI27" i="7"/>
  <c r="AL15" i="11"/>
  <c r="AK15" i="11"/>
  <c r="AQ15" i="11" s="1"/>
  <c r="AH16" i="11"/>
  <c r="AL12" i="10"/>
  <c r="AK12" i="10"/>
  <c r="AQ12" i="10" s="1"/>
  <c r="AH13" i="10"/>
  <c r="AR27" i="9"/>
  <c r="AT27" i="9" s="1"/>
  <c r="AU27" i="9" s="1"/>
  <c r="AW27" i="9"/>
  <c r="X17" i="2"/>
  <c r="AA17" i="2"/>
  <c r="X16" i="2"/>
  <c r="AE1" i="5"/>
  <c r="AJ22" i="7"/>
  <c r="AI22" i="7"/>
  <c r="AR23" i="20"/>
  <c r="AW23" i="20"/>
  <c r="AW29" i="20" s="1"/>
  <c r="BG16" i="20" s="1"/>
  <c r="S15" i="20" s="1"/>
  <c r="BI74" i="61" s="1"/>
  <c r="AL25" i="7"/>
  <c r="AK25" i="7"/>
  <c r="AH11" i="7"/>
  <c r="AK7" i="7"/>
  <c r="AQ7" i="7" s="1"/>
  <c r="AL7" i="7"/>
  <c r="AR11" i="8"/>
  <c r="AT11" i="8" s="1"/>
  <c r="AU11" i="8" s="1"/>
  <c r="AW11" i="8"/>
  <c r="AR4" i="8"/>
  <c r="AW4" i="8"/>
  <c r="AB23" i="6"/>
  <c r="AB21" i="6"/>
  <c r="AB18" i="6"/>
  <c r="AR28" i="8"/>
  <c r="AT28" i="8" s="1"/>
  <c r="AU28" i="8" s="1"/>
  <c r="AW28" i="8"/>
  <c r="AK18" i="16"/>
  <c r="AQ18" i="16" s="1"/>
  <c r="AL18" i="16"/>
  <c r="AH19" i="16"/>
  <c r="AL15" i="13"/>
  <c r="AK15" i="13"/>
  <c r="AQ15" i="13" s="1"/>
  <c r="AH16" i="13"/>
  <c r="AJ17" i="7"/>
  <c r="AI17" i="7"/>
  <c r="AJ26" i="7"/>
  <c r="AI26" i="7"/>
  <c r="AQ26" i="7" s="1"/>
  <c r="AM14" i="12"/>
  <c r="AR10" i="10"/>
  <c r="AT10" i="10" s="1"/>
  <c r="AU10" i="10" s="1"/>
  <c r="AW10" i="10"/>
  <c r="AR7" i="8"/>
  <c r="AT7" i="8" s="1"/>
  <c r="AU7" i="8" s="1"/>
  <c r="AW7" i="8"/>
  <c r="AH4" i="6"/>
  <c r="AH6" i="6"/>
  <c r="AH7" i="6"/>
  <c r="AH5" i="6"/>
  <c r="AH8" i="6"/>
  <c r="AH28" i="6"/>
  <c r="AH27" i="6"/>
  <c r="AH26" i="6"/>
  <c r="AH25" i="6"/>
  <c r="AM23" i="19"/>
  <c r="AG32" i="19"/>
  <c r="AG31" i="15"/>
  <c r="Z83" i="59" l="1"/>
  <c r="AB83" i="59" s="1"/>
  <c r="L89" i="59"/>
  <c r="N89" i="59" s="1"/>
  <c r="AS89" i="59" s="1"/>
  <c r="AM83" i="59"/>
  <c r="AO83" i="59" s="1"/>
  <c r="AU83" i="59" s="1"/>
  <c r="AV16" i="59"/>
  <c r="AX16" i="59" s="1"/>
  <c r="K64" i="58"/>
  <c r="J60" i="58"/>
  <c r="C64" i="58"/>
  <c r="B60" i="58"/>
  <c r="D60" i="58"/>
  <c r="F60" i="58"/>
  <c r="G60" i="58"/>
  <c r="D61" i="58"/>
  <c r="F61" i="58"/>
  <c r="K63" i="58"/>
  <c r="H62" i="58"/>
  <c r="M64" i="58"/>
  <c r="I62" i="58"/>
  <c r="J63" i="58"/>
  <c r="H64" i="58"/>
  <c r="C63" i="58"/>
  <c r="B62" i="58"/>
  <c r="B61" i="58"/>
  <c r="L60" i="58"/>
  <c r="F62" i="58"/>
  <c r="C62" i="58"/>
  <c r="D62" i="58"/>
  <c r="M61" i="58"/>
  <c r="E64" i="58"/>
  <c r="C60" i="58"/>
  <c r="B63" i="58"/>
  <c r="L63" i="58"/>
  <c r="M60" i="58"/>
  <c r="E63" i="58"/>
  <c r="G61" i="58"/>
  <c r="I64" i="58"/>
  <c r="K61" i="58"/>
  <c r="D63" i="58"/>
  <c r="I61" i="58"/>
  <c r="M63" i="58"/>
  <c r="L62" i="58"/>
  <c r="J62" i="58"/>
  <c r="H63" i="58"/>
  <c r="G63" i="58"/>
  <c r="G62" i="58"/>
  <c r="J64" i="58"/>
  <c r="E60" i="58"/>
  <c r="K62" i="58"/>
  <c r="H61" i="58"/>
  <c r="E61" i="58"/>
  <c r="F63" i="58"/>
  <c r="F64" i="58"/>
  <c r="G64" i="58"/>
  <c r="H60" i="58"/>
  <c r="I63" i="58"/>
  <c r="M62" i="58"/>
  <c r="I60" i="58"/>
  <c r="L61" i="58"/>
  <c r="C61" i="58"/>
  <c r="K60" i="58"/>
  <c r="E62" i="58"/>
  <c r="J61" i="58"/>
  <c r="B64" i="58"/>
  <c r="D64" i="58"/>
  <c r="L64" i="58"/>
  <c r="AQ27" i="7"/>
  <c r="AM27" i="7" s="1"/>
  <c r="AR27" i="7" s="1"/>
  <c r="AT27" i="7" s="1"/>
  <c r="AU27" i="7" s="1"/>
  <c r="AR11" i="10"/>
  <c r="AT11" i="10" s="1"/>
  <c r="AU11" i="10" s="1"/>
  <c r="AR15" i="14"/>
  <c r="AT15" i="14" s="1"/>
  <c r="AU15" i="14" s="1"/>
  <c r="AW22" i="21"/>
  <c r="AW14" i="11"/>
  <c r="AW14" i="9"/>
  <c r="AW19" i="17"/>
  <c r="AR24" i="9"/>
  <c r="AT24" i="9" s="1"/>
  <c r="AU24" i="9" s="1"/>
  <c r="AW12" i="8"/>
  <c r="AM7" i="7"/>
  <c r="AR7" i="7" s="1"/>
  <c r="AT7" i="7" s="1"/>
  <c r="AU7" i="7" s="1"/>
  <c r="AM5" i="7"/>
  <c r="AR5" i="7" s="1"/>
  <c r="AT5" i="7" s="1"/>
  <c r="AU5" i="7" s="1"/>
  <c r="AM21" i="18"/>
  <c r="AR21" i="18" s="1"/>
  <c r="AT21" i="18" s="1"/>
  <c r="AU21" i="18" s="1"/>
  <c r="AM10" i="7"/>
  <c r="AW10" i="7" s="1"/>
  <c r="AM26" i="7"/>
  <c r="AW26" i="7" s="1"/>
  <c r="AM13" i="8"/>
  <c r="AW13" i="8" s="1"/>
  <c r="AM6" i="7"/>
  <c r="AR6" i="7" s="1"/>
  <c r="AT6" i="7" s="1"/>
  <c r="AU6" i="7" s="1"/>
  <c r="AM8" i="7"/>
  <c r="AR8" i="7" s="1"/>
  <c r="AT8" i="7" s="1"/>
  <c r="AU8" i="7" s="1"/>
  <c r="I37" i="23"/>
  <c r="BG14" i="23"/>
  <c r="BF71" i="61"/>
  <c r="BF73" i="61"/>
  <c r="S26" i="23"/>
  <c r="BF85" i="61" s="1"/>
  <c r="AM23" i="21"/>
  <c r="AR23" i="21" s="1"/>
  <c r="AM15" i="13"/>
  <c r="AW15" i="13" s="1"/>
  <c r="AM15" i="11"/>
  <c r="AR15" i="11" s="1"/>
  <c r="AT15" i="11" s="1"/>
  <c r="AU15" i="11" s="1"/>
  <c r="AJ26" i="6"/>
  <c r="AI26" i="6"/>
  <c r="AJ25" i="6"/>
  <c r="AI25" i="6"/>
  <c r="AJ24" i="6"/>
  <c r="AI24" i="6"/>
  <c r="AH24" i="6"/>
  <c r="AJ27" i="6"/>
  <c r="AI27" i="6"/>
  <c r="AL28" i="6"/>
  <c r="AK28" i="6"/>
  <c r="AL8" i="6"/>
  <c r="AK8" i="6"/>
  <c r="AQ8" i="6" s="1"/>
  <c r="AK4" i="6"/>
  <c r="AQ4" i="6" s="1"/>
  <c r="AL4" i="6"/>
  <c r="AR14" i="12"/>
  <c r="AT14" i="12" s="1"/>
  <c r="AU14" i="12" s="1"/>
  <c r="AW14" i="12"/>
  <c r="AM18" i="16"/>
  <c r="AI21" i="6"/>
  <c r="AJ21" i="6"/>
  <c r="AT4" i="8"/>
  <c r="AK11" i="7"/>
  <c r="AQ11" i="7" s="1"/>
  <c r="AL11" i="7"/>
  <c r="AH12" i="7"/>
  <c r="AT23" i="20"/>
  <c r="AR29" i="20"/>
  <c r="BG12" i="20" s="1"/>
  <c r="S11" i="20" s="1"/>
  <c r="AB22" i="5"/>
  <c r="AB21" i="5"/>
  <c r="AM12" i="10"/>
  <c r="AT13" i="13"/>
  <c r="AT23" i="24"/>
  <c r="AR29" i="24"/>
  <c r="BG12" i="24" s="1"/>
  <c r="S11" i="24" s="1"/>
  <c r="AK17" i="14"/>
  <c r="AQ17" i="14" s="1"/>
  <c r="AL17" i="14"/>
  <c r="AH18" i="14"/>
  <c r="AM15" i="12"/>
  <c r="AJ22" i="6"/>
  <c r="AI22" i="6"/>
  <c r="AA18" i="1"/>
  <c r="AG18" i="1" s="1"/>
  <c r="Y17" i="1"/>
  <c r="X18" i="1" s="1"/>
  <c r="AU12" i="11"/>
  <c r="AT23" i="22"/>
  <c r="AR29" i="22"/>
  <c r="BG12" i="22" s="1"/>
  <c r="S11" i="22" s="1"/>
  <c r="AJ19" i="6"/>
  <c r="AI19" i="6"/>
  <c r="AF17" i="4"/>
  <c r="AF18" i="4" s="1"/>
  <c r="AF19" i="4" s="1"/>
  <c r="AF20" i="4" s="1"/>
  <c r="AF21" i="4" s="1"/>
  <c r="AF22" i="4" s="1"/>
  <c r="AF23" i="4" s="1"/>
  <c r="AF24" i="4" s="1"/>
  <c r="AF25" i="4" s="1"/>
  <c r="AF26" i="4" s="1"/>
  <c r="AF27" i="4" s="1"/>
  <c r="AF28" i="4" s="1"/>
  <c r="AW1" i="4"/>
  <c r="AH1" i="4"/>
  <c r="AL22" i="18"/>
  <c r="AK22" i="18"/>
  <c r="AQ22" i="18" s="1"/>
  <c r="AH23" i="18"/>
  <c r="AQ28" i="7"/>
  <c r="AM28" i="7" s="1"/>
  <c r="AL24" i="7"/>
  <c r="AK24" i="7"/>
  <c r="AQ24" i="7" s="1"/>
  <c r="AR23" i="19"/>
  <c r="AW23" i="19"/>
  <c r="AW29" i="19" s="1"/>
  <c r="BG16" i="19" s="1"/>
  <c r="S15" i="19" s="1"/>
  <c r="BJ74" i="61" s="1"/>
  <c r="AL25" i="6"/>
  <c r="AK25" i="6"/>
  <c r="AH9" i="6"/>
  <c r="AL5" i="6"/>
  <c r="AK5" i="6"/>
  <c r="AQ5" i="6" s="1"/>
  <c r="AJ23" i="6"/>
  <c r="AI23" i="6"/>
  <c r="AB18" i="5"/>
  <c r="AB17" i="5"/>
  <c r="AD1" i="2"/>
  <c r="AG17" i="2"/>
  <c r="AD1" i="3"/>
  <c r="AG17" i="3"/>
  <c r="AM4" i="7"/>
  <c r="AL16" i="9"/>
  <c r="AK16" i="9"/>
  <c r="AQ16" i="9" s="1"/>
  <c r="AG31" i="9" s="1"/>
  <c r="AH17" i="9"/>
  <c r="AL14" i="8"/>
  <c r="AK14" i="8"/>
  <c r="AQ14" i="8" s="1"/>
  <c r="AH15" i="8"/>
  <c r="AM16" i="14"/>
  <c r="AG31" i="14"/>
  <c r="AH5" i="5"/>
  <c r="AH6" i="5"/>
  <c r="AH4" i="5"/>
  <c r="AH7" i="5"/>
  <c r="AH8" i="5"/>
  <c r="AH28" i="5"/>
  <c r="AH27" i="5"/>
  <c r="AH26" i="5"/>
  <c r="AH25" i="5"/>
  <c r="X19" i="1"/>
  <c r="AR16" i="15"/>
  <c r="AT16" i="15" s="1"/>
  <c r="AU16" i="15" s="1"/>
  <c r="AW16" i="15"/>
  <c r="AL23" i="53"/>
  <c r="AK23" i="53"/>
  <c r="AQ23" i="53" s="1"/>
  <c r="AR21" i="53"/>
  <c r="AT21" i="53" s="1"/>
  <c r="AU21" i="53" s="1"/>
  <c r="AW21" i="53"/>
  <c r="AR14" i="13"/>
  <c r="AT14" i="13" s="1"/>
  <c r="AU14" i="13" s="1"/>
  <c r="AW14" i="13"/>
  <c r="AT4" i="9"/>
  <c r="AE1" i="4"/>
  <c r="AB19" i="4" s="1"/>
  <c r="AL26" i="6"/>
  <c r="AK26" i="6"/>
  <c r="AL7" i="6"/>
  <c r="AK7" i="6"/>
  <c r="AQ7" i="6" s="1"/>
  <c r="AL19" i="16"/>
  <c r="AK19" i="16"/>
  <c r="AQ19" i="16" s="1"/>
  <c r="AH20" i="16"/>
  <c r="AB23" i="5"/>
  <c r="AB20" i="5"/>
  <c r="AL16" i="11"/>
  <c r="AK16" i="11"/>
  <c r="AQ16" i="11" s="1"/>
  <c r="AH17" i="11"/>
  <c r="AJ28" i="6"/>
  <c r="AI28" i="6"/>
  <c r="AL21" i="17"/>
  <c r="AK21" i="17"/>
  <c r="AQ21" i="17" s="1"/>
  <c r="AH22" i="17"/>
  <c r="AR20" i="18"/>
  <c r="AT20" i="18" s="1"/>
  <c r="AU20" i="18" s="1"/>
  <c r="AW20" i="18"/>
  <c r="AT15" i="15"/>
  <c r="AJ17" i="6"/>
  <c r="AI17" i="6"/>
  <c r="AL18" i="15"/>
  <c r="AK18" i="15"/>
  <c r="AQ18" i="15" s="1"/>
  <c r="AH19" i="15"/>
  <c r="AL27" i="6"/>
  <c r="AK27" i="6"/>
  <c r="AK6" i="6"/>
  <c r="AQ6" i="6" s="1"/>
  <c r="AL6" i="6"/>
  <c r="AL16" i="13"/>
  <c r="AK16" i="13"/>
  <c r="AQ16" i="13" s="1"/>
  <c r="AH17" i="13"/>
  <c r="AJ18" i="6"/>
  <c r="AI18" i="6"/>
  <c r="AD23" i="5"/>
  <c r="AD24" i="5"/>
  <c r="AB24" i="5" s="1"/>
  <c r="AD28" i="5"/>
  <c r="AB28" i="5" s="1"/>
  <c r="AD21" i="5"/>
  <c r="AD25" i="5"/>
  <c r="AB25" i="5" s="1"/>
  <c r="AD20" i="5"/>
  <c r="AD22" i="5"/>
  <c r="AD19" i="5"/>
  <c r="AD27" i="5"/>
  <c r="AB27" i="5" s="1"/>
  <c r="AD18" i="5"/>
  <c r="AD17" i="5"/>
  <c r="AD26" i="5"/>
  <c r="AB26" i="5" s="1"/>
  <c r="AB19" i="5"/>
  <c r="AK13" i="10"/>
  <c r="AQ13" i="10" s="1"/>
  <c r="AL13" i="10"/>
  <c r="AH14" i="10"/>
  <c r="AJ20" i="6"/>
  <c r="AI20" i="6"/>
  <c r="AM15" i="9"/>
  <c r="AK16" i="12"/>
  <c r="AQ16" i="12" s="1"/>
  <c r="AL16" i="12"/>
  <c r="AH17" i="12"/>
  <c r="AM20" i="17"/>
  <c r="AM9" i="7"/>
  <c r="AM22" i="53"/>
  <c r="AT14" i="14"/>
  <c r="AR17" i="16"/>
  <c r="AT17" i="16" s="1"/>
  <c r="AU17" i="16" s="1"/>
  <c r="AW17" i="16"/>
  <c r="AU4" i="10"/>
  <c r="AT13" i="12"/>
  <c r="AM17" i="15"/>
  <c r="AQ25" i="7"/>
  <c r="AM25" i="7" s="1"/>
  <c r="AT83" i="59" l="1"/>
  <c r="AT84" i="59"/>
  <c r="AV84" i="59" s="1"/>
  <c r="S13" i="23"/>
  <c r="BF72" i="61" s="1"/>
  <c r="P10" i="59"/>
  <c r="AR83" i="59" s="1"/>
  <c r="AV83" i="59" s="1"/>
  <c r="AV82" i="59" s="1"/>
  <c r="BA24" i="59" a="1"/>
  <c r="AW8" i="7"/>
  <c r="AW21" i="18"/>
  <c r="AR15" i="13"/>
  <c r="AT15" i="13" s="1"/>
  <c r="AU15" i="13" s="1"/>
  <c r="AQ28" i="6"/>
  <c r="AM28" i="6" s="1"/>
  <c r="AR10" i="7"/>
  <c r="AT10" i="7" s="1"/>
  <c r="AU10" i="7" s="1"/>
  <c r="AW15" i="11"/>
  <c r="AW6" i="7"/>
  <c r="AW5" i="7"/>
  <c r="AR26" i="7"/>
  <c r="AT26" i="7" s="1"/>
  <c r="AU26" i="7" s="1"/>
  <c r="AW7" i="7"/>
  <c r="AR13" i="8"/>
  <c r="AT13" i="8" s="1"/>
  <c r="AU13" i="8" s="1"/>
  <c r="AW23" i="21"/>
  <c r="AW29" i="21" s="1"/>
  <c r="BG16" i="21" s="1"/>
  <c r="S15" i="21" s="1"/>
  <c r="BH74" i="61" s="1"/>
  <c r="AM24" i="7"/>
  <c r="AR24" i="7" s="1"/>
  <c r="AT24" i="7" s="1"/>
  <c r="AU24" i="7" s="1"/>
  <c r="AM5" i="6"/>
  <c r="AW5" i="6" s="1"/>
  <c r="AM6" i="6"/>
  <c r="AR6" i="6" s="1"/>
  <c r="AT6" i="6" s="1"/>
  <c r="AU6" i="6" s="1"/>
  <c r="AM7" i="6"/>
  <c r="AR7" i="6" s="1"/>
  <c r="AT7" i="6" s="1"/>
  <c r="AU7" i="6" s="1"/>
  <c r="I54" i="22"/>
  <c r="BG70" i="61"/>
  <c r="I50" i="22"/>
  <c r="BG27" i="22"/>
  <c r="BI70" i="61"/>
  <c r="BG27" i="20"/>
  <c r="I50" i="20"/>
  <c r="I54" i="20"/>
  <c r="AB22" i="4"/>
  <c r="AJ22" i="4" s="1"/>
  <c r="BE70" i="61"/>
  <c r="I54" i="24"/>
  <c r="I50" i="24"/>
  <c r="BG27" i="24"/>
  <c r="AW27" i="7"/>
  <c r="AB20" i="4"/>
  <c r="AJ20" i="4" s="1"/>
  <c r="AB17" i="4"/>
  <c r="AI17" i="4" s="1"/>
  <c r="AI28" i="5"/>
  <c r="AJ28" i="5"/>
  <c r="AI24" i="5"/>
  <c r="AJ24" i="5"/>
  <c r="AH24" i="5"/>
  <c r="AJ27" i="5"/>
  <c r="AI27" i="5"/>
  <c r="AJ25" i="5"/>
  <c r="AI25" i="5"/>
  <c r="AI26" i="5"/>
  <c r="AJ26" i="5"/>
  <c r="AL26" i="5"/>
  <c r="AK26" i="5"/>
  <c r="AL4" i="5"/>
  <c r="AK4" i="5"/>
  <c r="AQ4" i="5" s="1"/>
  <c r="AR4" i="7"/>
  <c r="AW4" i="7"/>
  <c r="AI18" i="5"/>
  <c r="AJ18" i="5"/>
  <c r="AK23" i="18"/>
  <c r="AQ23" i="18" s="1"/>
  <c r="AG32" i="18" s="1"/>
  <c r="AL23" i="18"/>
  <c r="AT23" i="21"/>
  <c r="AR29" i="21"/>
  <c r="BG12" i="21" s="1"/>
  <c r="S11" i="21" s="1"/>
  <c r="AI22" i="5"/>
  <c r="AJ22" i="5"/>
  <c r="AR9" i="7"/>
  <c r="AT9" i="7" s="1"/>
  <c r="AU9" i="7" s="1"/>
  <c r="AW9" i="7"/>
  <c r="AM16" i="12"/>
  <c r="AM13" i="10"/>
  <c r="AL19" i="15"/>
  <c r="AK19" i="15"/>
  <c r="AQ19" i="15" s="1"/>
  <c r="AH20" i="15"/>
  <c r="AL17" i="11"/>
  <c r="AK17" i="11"/>
  <c r="AQ17" i="11" s="1"/>
  <c r="AH18" i="11"/>
  <c r="AJ23" i="5"/>
  <c r="AI23" i="5"/>
  <c r="AB18" i="4"/>
  <c r="AK27" i="5"/>
  <c r="AL27" i="5"/>
  <c r="AL8" i="5"/>
  <c r="AK8" i="5"/>
  <c r="AQ8" i="5" s="1"/>
  <c r="AL6" i="5"/>
  <c r="AK6" i="5"/>
  <c r="AQ6" i="5" s="1"/>
  <c r="AR16" i="14"/>
  <c r="AW16" i="14"/>
  <c r="AK17" i="9"/>
  <c r="AQ17" i="9" s="1"/>
  <c r="AL17" i="9"/>
  <c r="AH18" i="9"/>
  <c r="AE1" i="2"/>
  <c r="AM22" i="18"/>
  <c r="X17" i="1"/>
  <c r="AA17" i="1"/>
  <c r="X16" i="1"/>
  <c r="AL18" i="14"/>
  <c r="AK18" i="14"/>
  <c r="AQ18" i="14" s="1"/>
  <c r="AH19" i="14"/>
  <c r="AU23" i="24"/>
  <c r="AU29" i="24" s="1"/>
  <c r="BG15" i="24" s="1"/>
  <c r="S14" i="24" s="1"/>
  <c r="AT29" i="24"/>
  <c r="BG13" i="24" s="1"/>
  <c r="S12" i="24" s="1"/>
  <c r="AR12" i="10"/>
  <c r="AW12" i="10"/>
  <c r="AM4" i="6"/>
  <c r="AR17" i="15"/>
  <c r="AW17" i="15"/>
  <c r="AJ19" i="5"/>
  <c r="AI19" i="5"/>
  <c r="AI20" i="5"/>
  <c r="AJ20" i="5"/>
  <c r="AF17" i="2"/>
  <c r="AF18" i="2" s="1"/>
  <c r="AF19" i="2" s="1"/>
  <c r="AF20" i="2" s="1"/>
  <c r="AF21" i="2" s="1"/>
  <c r="AF22" i="2" s="1"/>
  <c r="AF23" i="2" s="1"/>
  <c r="AF24" i="2" s="1"/>
  <c r="AF25" i="2" s="1"/>
  <c r="AF26" i="2" s="1"/>
  <c r="AF27" i="2" s="1"/>
  <c r="AF28" i="2" s="1"/>
  <c r="AH1" i="2"/>
  <c r="AW1" i="2"/>
  <c r="AH4" i="4"/>
  <c r="AH5" i="4"/>
  <c r="AH6" i="4"/>
  <c r="AH8" i="4"/>
  <c r="AH9" i="4" s="1"/>
  <c r="AH7" i="4"/>
  <c r="AH28" i="4"/>
  <c r="AH27" i="4"/>
  <c r="AH26" i="4"/>
  <c r="AH25" i="4"/>
  <c r="AL12" i="7"/>
  <c r="AK12" i="7"/>
  <c r="AQ12" i="7" s="1"/>
  <c r="AH13" i="7"/>
  <c r="AR25" i="7"/>
  <c r="AT25" i="7" s="1"/>
  <c r="AU25" i="7" s="1"/>
  <c r="AW25" i="7"/>
  <c r="AU13" i="12"/>
  <c r="AU14" i="14"/>
  <c r="AR20" i="17"/>
  <c r="AT20" i="17" s="1"/>
  <c r="AU20" i="17" s="1"/>
  <c r="AW20" i="17"/>
  <c r="AR15" i="9"/>
  <c r="AW15" i="9"/>
  <c r="AL17" i="13"/>
  <c r="AK17" i="13"/>
  <c r="AQ17" i="13" s="1"/>
  <c r="AH18" i="13"/>
  <c r="AM18" i="15"/>
  <c r="AL22" i="17"/>
  <c r="AK22" i="17"/>
  <c r="AQ22" i="17" s="1"/>
  <c r="AH23" i="17"/>
  <c r="AM16" i="11"/>
  <c r="AG31" i="11"/>
  <c r="AK20" i="16"/>
  <c r="AQ20" i="16" s="1"/>
  <c r="AL20" i="16"/>
  <c r="AH21" i="16"/>
  <c r="AD25" i="4"/>
  <c r="AB25" i="4" s="1"/>
  <c r="AD26" i="4"/>
  <c r="AB26" i="4" s="1"/>
  <c r="AD18" i="4"/>
  <c r="AD21" i="4"/>
  <c r="AD17" i="4"/>
  <c r="AD24" i="4"/>
  <c r="AB24" i="4" s="1"/>
  <c r="AH24" i="4" s="1"/>
  <c r="AD19" i="4"/>
  <c r="AD20" i="4"/>
  <c r="AD22" i="4"/>
  <c r="AD28" i="4"/>
  <c r="AB28" i="4" s="1"/>
  <c r="AD23" i="4"/>
  <c r="AD27" i="4"/>
  <c r="AB27" i="4" s="1"/>
  <c r="AB23" i="4"/>
  <c r="AB21" i="4"/>
  <c r="AL28" i="5"/>
  <c r="AK28" i="5"/>
  <c r="AH9" i="5"/>
  <c r="AL5" i="5"/>
  <c r="AK5" i="5"/>
  <c r="AQ5" i="5" s="1"/>
  <c r="AL15" i="8"/>
  <c r="AK15" i="8"/>
  <c r="AQ15" i="8" s="1"/>
  <c r="AH16" i="8"/>
  <c r="AM16" i="9"/>
  <c r="AF17" i="3"/>
  <c r="AF18" i="3" s="1"/>
  <c r="AF19" i="3" s="1"/>
  <c r="AF20" i="3" s="1"/>
  <c r="AF21" i="3" s="1"/>
  <c r="AF22" i="3" s="1"/>
  <c r="AF23" i="3" s="1"/>
  <c r="AF24" i="3" s="1"/>
  <c r="AF25" i="3" s="1"/>
  <c r="AF26" i="3" s="1"/>
  <c r="AF27" i="3" s="1"/>
  <c r="AF28" i="3" s="1"/>
  <c r="AW1" i="3"/>
  <c r="AH1" i="3"/>
  <c r="AG31" i="12"/>
  <c r="AM11" i="7"/>
  <c r="AM8" i="6"/>
  <c r="AL24" i="6"/>
  <c r="AK24" i="6"/>
  <c r="AQ24" i="6" s="1"/>
  <c r="AQ26" i="6"/>
  <c r="AM26" i="6" s="1"/>
  <c r="AR22" i="53"/>
  <c r="AT22" i="53" s="1"/>
  <c r="AU22" i="53" s="1"/>
  <c r="AW22" i="53"/>
  <c r="AL17" i="12"/>
  <c r="AK17" i="12"/>
  <c r="AQ17" i="12" s="1"/>
  <c r="AH18" i="12"/>
  <c r="AL14" i="10"/>
  <c r="AK14" i="10"/>
  <c r="AQ14" i="10" s="1"/>
  <c r="AH15" i="10"/>
  <c r="AM16" i="13"/>
  <c r="AG31" i="13"/>
  <c r="AU15" i="15"/>
  <c r="AM21" i="17"/>
  <c r="AM19" i="16"/>
  <c r="AJ19" i="4"/>
  <c r="AI19" i="4"/>
  <c r="AU4" i="9"/>
  <c r="AM23" i="53"/>
  <c r="AG32" i="53"/>
  <c r="AK25" i="5"/>
  <c r="AL25" i="5"/>
  <c r="AL7" i="5"/>
  <c r="AK7" i="5"/>
  <c r="AQ7" i="5" s="1"/>
  <c r="AM14" i="8"/>
  <c r="AE1" i="3"/>
  <c r="AB20" i="3" s="1"/>
  <c r="AJ17" i="5"/>
  <c r="AI17" i="5"/>
  <c r="AL9" i="6"/>
  <c r="AK9" i="6"/>
  <c r="AQ9" i="6" s="1"/>
  <c r="AH10" i="6"/>
  <c r="AT23" i="19"/>
  <c r="AR29" i="19"/>
  <c r="BG12" i="19" s="1"/>
  <c r="S11" i="19" s="1"/>
  <c r="AR28" i="7"/>
  <c r="AT28" i="7" s="1"/>
  <c r="AU28" i="7" s="1"/>
  <c r="AW28" i="7"/>
  <c r="AU23" i="22"/>
  <c r="AU29" i="22" s="1"/>
  <c r="BG15" i="22" s="1"/>
  <c r="S14" i="22" s="1"/>
  <c r="AT29" i="22"/>
  <c r="BG13" i="22" s="1"/>
  <c r="S12" i="22" s="1"/>
  <c r="AR15" i="12"/>
  <c r="AW15" i="12"/>
  <c r="AM17" i="14"/>
  <c r="AU13" i="13"/>
  <c r="AJ21" i="5"/>
  <c r="AI21" i="5"/>
  <c r="AU23" i="20"/>
  <c r="AU29" i="20" s="1"/>
  <c r="BG15" i="20" s="1"/>
  <c r="S14" i="20" s="1"/>
  <c r="AT29" i="20"/>
  <c r="BG13" i="20" s="1"/>
  <c r="S12" i="20" s="1"/>
  <c r="AU4" i="8"/>
  <c r="AR18" i="16"/>
  <c r="AT18" i="16" s="1"/>
  <c r="AW18" i="16"/>
  <c r="AQ27" i="6"/>
  <c r="AM27" i="6" s="1"/>
  <c r="AQ25" i="6"/>
  <c r="AM25" i="6" s="1"/>
  <c r="I40" i="23" l="1"/>
  <c r="BG17" i="23"/>
  <c r="S16" i="23" s="1"/>
  <c r="BF75" i="61" s="1"/>
  <c r="S26" i="20"/>
  <c r="BI85" i="61" s="1"/>
  <c r="BG26" i="59"/>
  <c r="BB28" i="59"/>
  <c r="BL27" i="59"/>
  <c r="BH26" i="59"/>
  <c r="BK28" i="59"/>
  <c r="BG24" i="59"/>
  <c r="BF24" i="59"/>
  <c r="BF26" i="59"/>
  <c r="BF25" i="59"/>
  <c r="BE24" i="59"/>
  <c r="BK27" i="59"/>
  <c r="BC24" i="59"/>
  <c r="BC28" i="59"/>
  <c r="BB27" i="59"/>
  <c r="BB26" i="59"/>
  <c r="BJ28" i="59"/>
  <c r="BL25" i="59"/>
  <c r="BL26" i="59"/>
  <c r="BF28" i="59"/>
  <c r="BF27" i="59"/>
  <c r="BD28" i="59"/>
  <c r="BB24" i="59"/>
  <c r="BL28" i="59"/>
  <c r="BD25" i="59"/>
  <c r="BA28" i="59"/>
  <c r="BJ25" i="59"/>
  <c r="BJ24" i="59"/>
  <c r="BA24" i="59"/>
  <c r="BI26" i="59"/>
  <c r="BE25" i="59"/>
  <c r="BA27" i="59"/>
  <c r="BD26" i="59"/>
  <c r="BG28" i="59"/>
  <c r="BC27" i="59"/>
  <c r="BI27" i="59"/>
  <c r="BE26" i="59"/>
  <c r="BA25" i="59"/>
  <c r="BA26" i="59"/>
  <c r="BB25" i="59"/>
  <c r="BL24" i="59"/>
  <c r="BH24" i="59"/>
  <c r="BH27" i="59"/>
  <c r="BI28" i="59"/>
  <c r="BH28" i="59"/>
  <c r="BD27" i="59"/>
  <c r="BJ27" i="59"/>
  <c r="BI25" i="59"/>
  <c r="BH25" i="59"/>
  <c r="BD24" i="59"/>
  <c r="BK25" i="59"/>
  <c r="BG27" i="59"/>
  <c r="BE27" i="59"/>
  <c r="BE28" i="59"/>
  <c r="BC25" i="59"/>
  <c r="BK26" i="59"/>
  <c r="BG25" i="59"/>
  <c r="BI24" i="59"/>
  <c r="BJ26" i="59"/>
  <c r="BC26" i="59"/>
  <c r="BK24" i="59"/>
  <c r="AW24" i="7"/>
  <c r="AR5" i="6"/>
  <c r="AT5" i="6" s="1"/>
  <c r="AU5" i="6" s="1"/>
  <c r="AM8" i="5"/>
  <c r="AR8" i="5" s="1"/>
  <c r="AT8" i="5" s="1"/>
  <c r="AU8" i="5" s="1"/>
  <c r="AW6" i="6"/>
  <c r="AM7" i="5"/>
  <c r="AR7" i="5" s="1"/>
  <c r="AT7" i="5" s="1"/>
  <c r="AU7" i="5" s="1"/>
  <c r="S26" i="22"/>
  <c r="BG85" i="61" s="1"/>
  <c r="AW7" i="6"/>
  <c r="AI22" i="4"/>
  <c r="AJ17" i="4"/>
  <c r="AI20" i="4"/>
  <c r="AM5" i="5"/>
  <c r="AW5" i="5" s="1"/>
  <c r="AM24" i="6"/>
  <c r="AR24" i="6" s="1"/>
  <c r="AT24" i="6" s="1"/>
  <c r="AU24" i="6" s="1"/>
  <c r="S26" i="24"/>
  <c r="BE85" i="61" s="1"/>
  <c r="BG73" i="61"/>
  <c r="I37" i="20"/>
  <c r="BG14" i="20"/>
  <c r="BI71" i="61"/>
  <c r="BG14" i="22"/>
  <c r="I37" i="22"/>
  <c r="BG71" i="61"/>
  <c r="I50" i="19"/>
  <c r="BG27" i="19"/>
  <c r="BJ70" i="61"/>
  <c r="I54" i="19"/>
  <c r="BE71" i="61"/>
  <c r="BG14" i="24"/>
  <c r="I37" i="24"/>
  <c r="BI73" i="61"/>
  <c r="BE73" i="61"/>
  <c r="I54" i="21"/>
  <c r="BH70" i="61"/>
  <c r="BG27" i="21"/>
  <c r="I50" i="21"/>
  <c r="AB23" i="3"/>
  <c r="AI23" i="3" s="1"/>
  <c r="AM23" i="18"/>
  <c r="AR23" i="18" s="1"/>
  <c r="AM20" i="16"/>
  <c r="AR20" i="16" s="1"/>
  <c r="AT20" i="16" s="1"/>
  <c r="AU20" i="16" s="1"/>
  <c r="AM22" i="17"/>
  <c r="AR22" i="17" s="1"/>
  <c r="AT22" i="17" s="1"/>
  <c r="AU22" i="17" s="1"/>
  <c r="AL24" i="4"/>
  <c r="AK24" i="4"/>
  <c r="AJ20" i="3"/>
  <c r="AI20" i="3"/>
  <c r="AL9" i="4"/>
  <c r="AK9" i="4"/>
  <c r="AQ9" i="4" s="1"/>
  <c r="AH10" i="4"/>
  <c r="AJ26" i="4"/>
  <c r="AI26" i="4"/>
  <c r="AU23" i="19"/>
  <c r="AU29" i="19" s="1"/>
  <c r="BG15" i="19" s="1"/>
  <c r="S14" i="19" s="1"/>
  <c r="AT29" i="19"/>
  <c r="BG13" i="19" s="1"/>
  <c r="S12" i="19" s="1"/>
  <c r="AR25" i="6"/>
  <c r="AT25" i="6" s="1"/>
  <c r="AU25" i="6" s="1"/>
  <c r="AW25" i="6"/>
  <c r="AU18" i="16"/>
  <c r="AT15" i="12"/>
  <c r="AL10" i="6"/>
  <c r="AK10" i="6"/>
  <c r="AQ10" i="6" s="1"/>
  <c r="AH11" i="6"/>
  <c r="AB21" i="3"/>
  <c r="AB19" i="3"/>
  <c r="AM14" i="10"/>
  <c r="AR11" i="7"/>
  <c r="AT11" i="7" s="1"/>
  <c r="AU11" i="7" s="1"/>
  <c r="AW11" i="7"/>
  <c r="AH4" i="3"/>
  <c r="AH7" i="3"/>
  <c r="AH5" i="3"/>
  <c r="AH6" i="3"/>
  <c r="AH8" i="3"/>
  <c r="AH28" i="3"/>
  <c r="AH27" i="3"/>
  <c r="AH26" i="3"/>
  <c r="AH25" i="3"/>
  <c r="AR16" i="9"/>
  <c r="AT16" i="9" s="1"/>
  <c r="AU16" i="9" s="1"/>
  <c r="AW16" i="9"/>
  <c r="AJ23" i="4"/>
  <c r="AI23" i="4"/>
  <c r="AJ25" i="4"/>
  <c r="AI25" i="4"/>
  <c r="AM12" i="7"/>
  <c r="AL27" i="4"/>
  <c r="AK27" i="4"/>
  <c r="AK5" i="4"/>
  <c r="AQ5" i="4" s="1"/>
  <c r="AL5" i="4"/>
  <c r="AK19" i="14"/>
  <c r="AQ19" i="14" s="1"/>
  <c r="AL19" i="14"/>
  <c r="AH20" i="14"/>
  <c r="AD1" i="1"/>
  <c r="AG17" i="1"/>
  <c r="AR22" i="18"/>
  <c r="AT22" i="18" s="1"/>
  <c r="AU22" i="18" s="1"/>
  <c r="AW22" i="18"/>
  <c r="AB20" i="2"/>
  <c r="AL18" i="9"/>
  <c r="AK18" i="9"/>
  <c r="AQ18" i="9" s="1"/>
  <c r="AH19" i="9"/>
  <c r="AT16" i="14"/>
  <c r="AJ18" i="4"/>
  <c r="AI18" i="4"/>
  <c r="AL20" i="15"/>
  <c r="AK20" i="15"/>
  <c r="AQ20" i="15" s="1"/>
  <c r="AH21" i="15"/>
  <c r="AU23" i="21"/>
  <c r="AU29" i="21" s="1"/>
  <c r="BG15" i="21" s="1"/>
  <c r="S14" i="21" s="1"/>
  <c r="AT29" i="21"/>
  <c r="BG13" i="21" s="1"/>
  <c r="S12" i="21" s="1"/>
  <c r="AM4" i="5"/>
  <c r="AQ25" i="5"/>
  <c r="AM25" i="5" s="1"/>
  <c r="AR14" i="8"/>
  <c r="AW14" i="8"/>
  <c r="AR28" i="6"/>
  <c r="AT28" i="6" s="1"/>
  <c r="AU28" i="6" s="1"/>
  <c r="AW28" i="6"/>
  <c r="AM9" i="6"/>
  <c r="AB17" i="3"/>
  <c r="AR23" i="53"/>
  <c r="AW23" i="53"/>
  <c r="AW29" i="53" s="1"/>
  <c r="BG17" i="53" s="1"/>
  <c r="S44" i="53" s="1"/>
  <c r="AR21" i="17"/>
  <c r="AT21" i="17" s="1"/>
  <c r="AU21" i="17" s="1"/>
  <c r="AW21" i="17"/>
  <c r="AL16" i="8"/>
  <c r="AK16" i="8"/>
  <c r="AQ16" i="8" s="1"/>
  <c r="AH17" i="8"/>
  <c r="AL21" i="16"/>
  <c r="AK21" i="16"/>
  <c r="AQ21" i="16" s="1"/>
  <c r="AH22" i="16"/>
  <c r="AR16" i="11"/>
  <c r="AW16" i="11"/>
  <c r="AR18" i="15"/>
  <c r="AT18" i="15" s="1"/>
  <c r="AU18" i="15" s="1"/>
  <c r="AW18" i="15"/>
  <c r="AL28" i="4"/>
  <c r="AK28" i="4"/>
  <c r="AK7" i="4"/>
  <c r="AQ7" i="4" s="1"/>
  <c r="AL7" i="4"/>
  <c r="AL4" i="4"/>
  <c r="AK4" i="4"/>
  <c r="AQ4" i="4" s="1"/>
  <c r="AH5" i="2"/>
  <c r="AH4" i="2"/>
  <c r="AH6" i="2"/>
  <c r="AH7" i="2"/>
  <c r="AH8" i="2"/>
  <c r="AH9" i="2" s="1"/>
  <c r="AH28" i="2"/>
  <c r="AH27" i="2"/>
  <c r="AH26" i="2"/>
  <c r="AH25" i="2"/>
  <c r="AT17" i="15"/>
  <c r="AT12" i="10"/>
  <c r="AM18" i="14"/>
  <c r="AB18" i="2"/>
  <c r="AB19" i="2"/>
  <c r="AM6" i="5"/>
  <c r="AL18" i="11"/>
  <c r="AK18" i="11"/>
  <c r="AQ18" i="11" s="1"/>
  <c r="AH19" i="11"/>
  <c r="AM19" i="15"/>
  <c r="AR16" i="12"/>
  <c r="AT16" i="12" s="1"/>
  <c r="AU16" i="12" s="1"/>
  <c r="AW16" i="12"/>
  <c r="AR27" i="6"/>
  <c r="AT27" i="6" s="1"/>
  <c r="AU27" i="6" s="1"/>
  <c r="AW27" i="6"/>
  <c r="AR17" i="14"/>
  <c r="AT17" i="14" s="1"/>
  <c r="AU17" i="14" s="1"/>
  <c r="AW17" i="14"/>
  <c r="AD17" i="3"/>
  <c r="AD21" i="3"/>
  <c r="AD18" i="3"/>
  <c r="AD20" i="3"/>
  <c r="AD26" i="3"/>
  <c r="AB26" i="3" s="1"/>
  <c r="AD27" i="3"/>
  <c r="AB27" i="3" s="1"/>
  <c r="AD19" i="3"/>
  <c r="AD22" i="3"/>
  <c r="AD25" i="3"/>
  <c r="AB25" i="3" s="1"/>
  <c r="AD24" i="3"/>
  <c r="AB24" i="3" s="1"/>
  <c r="AH24" i="3" s="1"/>
  <c r="AD28" i="3"/>
  <c r="AB28" i="3" s="1"/>
  <c r="AD23" i="3"/>
  <c r="AB22" i="3"/>
  <c r="AB18" i="3"/>
  <c r="AR19" i="16"/>
  <c r="AT19" i="16" s="1"/>
  <c r="AU19" i="16" s="1"/>
  <c r="AW19" i="16"/>
  <c r="AR16" i="13"/>
  <c r="AT16" i="13" s="1"/>
  <c r="AW16" i="13"/>
  <c r="AK18" i="12"/>
  <c r="AQ18" i="12" s="1"/>
  <c r="AL18" i="12"/>
  <c r="AH19" i="12"/>
  <c r="AR8" i="6"/>
  <c r="AT8" i="6" s="1"/>
  <c r="AU8" i="6" s="1"/>
  <c r="AW8" i="6"/>
  <c r="AM15" i="8"/>
  <c r="AK9" i="5"/>
  <c r="AQ9" i="5" s="1"/>
  <c r="AL9" i="5"/>
  <c r="AH10" i="5"/>
  <c r="AJ21" i="4"/>
  <c r="AI21" i="4"/>
  <c r="AL23" i="17"/>
  <c r="AK23" i="17"/>
  <c r="AQ23" i="17" s="1"/>
  <c r="AL18" i="13"/>
  <c r="AK18" i="13"/>
  <c r="AQ18" i="13" s="1"/>
  <c r="AH19" i="13"/>
  <c r="AT15" i="9"/>
  <c r="AL25" i="4"/>
  <c r="AK25" i="4"/>
  <c r="AL8" i="4"/>
  <c r="AK8" i="4"/>
  <c r="AQ8" i="4" s="1"/>
  <c r="AR4" i="6"/>
  <c r="AW4" i="6"/>
  <c r="AB17" i="2"/>
  <c r="AB21" i="2"/>
  <c r="AM17" i="9"/>
  <c r="AM17" i="11"/>
  <c r="AQ26" i="5"/>
  <c r="AM26" i="5" s="1"/>
  <c r="AQ27" i="5"/>
  <c r="AM27" i="5" s="1"/>
  <c r="AL24" i="5"/>
  <c r="AK24" i="5"/>
  <c r="AQ24" i="5" s="1"/>
  <c r="AK15" i="10"/>
  <c r="AQ15" i="10" s="1"/>
  <c r="AL15" i="10"/>
  <c r="AH16" i="10"/>
  <c r="AM17" i="12"/>
  <c r="AR26" i="6"/>
  <c r="AT26" i="6" s="1"/>
  <c r="AU26" i="6" s="1"/>
  <c r="AW26" i="6"/>
  <c r="AJ27" i="4"/>
  <c r="AI27" i="4"/>
  <c r="AJ28" i="4"/>
  <c r="AI28" i="4"/>
  <c r="AQ28" i="4" s="1"/>
  <c r="AJ24" i="4"/>
  <c r="AI24" i="4"/>
  <c r="AM17" i="13"/>
  <c r="AL13" i="7"/>
  <c r="AK13" i="7"/>
  <c r="AQ13" i="7" s="1"/>
  <c r="AH14" i="7"/>
  <c r="AL26" i="4"/>
  <c r="AK26" i="4"/>
  <c r="AL6" i="4"/>
  <c r="AK6" i="4"/>
  <c r="AQ6" i="4" s="1"/>
  <c r="AD17" i="2"/>
  <c r="AD25" i="2"/>
  <c r="AB25" i="2" s="1"/>
  <c r="AD20" i="2"/>
  <c r="AD28" i="2"/>
  <c r="AB28" i="2" s="1"/>
  <c r="AD26" i="2"/>
  <c r="AB26" i="2" s="1"/>
  <c r="AD27" i="2"/>
  <c r="AB27" i="2" s="1"/>
  <c r="AD19" i="2"/>
  <c r="AD24" i="2"/>
  <c r="AB24" i="2" s="1"/>
  <c r="AD21" i="2"/>
  <c r="AD18" i="2"/>
  <c r="AD23" i="2"/>
  <c r="AD22" i="2"/>
  <c r="AB22" i="2"/>
  <c r="AB23" i="2"/>
  <c r="AR13" i="10"/>
  <c r="AT13" i="10" s="1"/>
  <c r="AU13" i="10" s="1"/>
  <c r="AW13" i="10"/>
  <c r="AT4" i="7"/>
  <c r="AQ28" i="5"/>
  <c r="AM28" i="5" s="1"/>
  <c r="B66" i="58" l="1" a="1"/>
  <c r="K70" i="58" s="1"/>
  <c r="AW8" i="5"/>
  <c r="AW22" i="17"/>
  <c r="AQ24" i="4"/>
  <c r="AM24" i="4" s="1"/>
  <c r="AR24" i="4" s="1"/>
  <c r="AT24" i="4" s="1"/>
  <c r="AU24" i="4" s="1"/>
  <c r="AW24" i="6"/>
  <c r="AW23" i="18"/>
  <c r="AW29" i="18" s="1"/>
  <c r="BG16" i="18" s="1"/>
  <c r="S15" i="18" s="1"/>
  <c r="BK74" i="61" s="1"/>
  <c r="AR5" i="5"/>
  <c r="AT5" i="5" s="1"/>
  <c r="AU5" i="5" s="1"/>
  <c r="AW7" i="5"/>
  <c r="AQ27" i="4"/>
  <c r="AM27" i="4" s="1"/>
  <c r="AR27" i="4" s="1"/>
  <c r="AT27" i="4" s="1"/>
  <c r="AU27" i="4" s="1"/>
  <c r="AM5" i="4"/>
  <c r="AR5" i="4" s="1"/>
  <c r="AT5" i="4" s="1"/>
  <c r="AU5" i="4" s="1"/>
  <c r="AW20" i="16"/>
  <c r="S26" i="19"/>
  <c r="BJ85" i="61" s="1"/>
  <c r="S13" i="24"/>
  <c r="BE72" i="61" s="1"/>
  <c r="S13" i="22"/>
  <c r="BG72" i="61" s="1"/>
  <c r="S13" i="20"/>
  <c r="BG17" i="20" s="1"/>
  <c r="AM9" i="5"/>
  <c r="AR9" i="5" s="1"/>
  <c r="AT9" i="5" s="1"/>
  <c r="AU9" i="5" s="1"/>
  <c r="AJ23" i="3"/>
  <c r="AM28" i="4"/>
  <c r="AR28" i="4" s="1"/>
  <c r="AT28" i="4" s="1"/>
  <c r="AU28" i="4" s="1"/>
  <c r="S26" i="21"/>
  <c r="BH85" i="61" s="1"/>
  <c r="BH73" i="61"/>
  <c r="BJ73" i="61"/>
  <c r="BH71" i="61"/>
  <c r="BG14" i="21"/>
  <c r="I37" i="21"/>
  <c r="I37" i="19"/>
  <c r="BJ71" i="61"/>
  <c r="BG14" i="19"/>
  <c r="AM24" i="5"/>
  <c r="AR24" i="5" s="1"/>
  <c r="AT24" i="5" s="1"/>
  <c r="AU24" i="5" s="1"/>
  <c r="AM21" i="16"/>
  <c r="AR21" i="16" s="1"/>
  <c r="AT21" i="16" s="1"/>
  <c r="AU21" i="16" s="1"/>
  <c r="AM13" i="7"/>
  <c r="AR13" i="7" s="1"/>
  <c r="AT13" i="7" s="1"/>
  <c r="AU13" i="7" s="1"/>
  <c r="AM15" i="10"/>
  <c r="AR15" i="10" s="1"/>
  <c r="AT15" i="10" s="1"/>
  <c r="AU15" i="10" s="1"/>
  <c r="AM18" i="13"/>
  <c r="AR18" i="13" s="1"/>
  <c r="AT18" i="13" s="1"/>
  <c r="AU18" i="13" s="1"/>
  <c r="AM20" i="15"/>
  <c r="AR20" i="15" s="1"/>
  <c r="AT20" i="15" s="1"/>
  <c r="AU20" i="15" s="1"/>
  <c r="AJ24" i="2"/>
  <c r="AI24" i="2"/>
  <c r="AH24" i="2"/>
  <c r="AI25" i="3"/>
  <c r="AJ25" i="3"/>
  <c r="AJ26" i="3"/>
  <c r="AI26" i="3"/>
  <c r="AJ27" i="2"/>
  <c r="AI27" i="2"/>
  <c r="AL9" i="2"/>
  <c r="AK9" i="2"/>
  <c r="AQ9" i="2" s="1"/>
  <c r="AH10" i="2"/>
  <c r="AJ25" i="2"/>
  <c r="AI25" i="2"/>
  <c r="AJ26" i="2"/>
  <c r="AI26" i="2"/>
  <c r="AK24" i="3"/>
  <c r="AL24" i="3"/>
  <c r="AR28" i="5"/>
  <c r="AT28" i="5" s="1"/>
  <c r="AU28" i="5" s="1"/>
  <c r="AW28" i="5"/>
  <c r="AU4" i="7"/>
  <c r="AR17" i="12"/>
  <c r="AT17" i="12" s="1"/>
  <c r="AU17" i="12" s="1"/>
  <c r="AW17" i="12"/>
  <c r="AR26" i="5"/>
  <c r="AT26" i="5" s="1"/>
  <c r="AU26" i="5" s="1"/>
  <c r="AW26" i="5"/>
  <c r="AR17" i="11"/>
  <c r="AT17" i="11" s="1"/>
  <c r="AU17" i="11" s="1"/>
  <c r="AW17" i="11"/>
  <c r="AJ17" i="2"/>
  <c r="AI17" i="2"/>
  <c r="AM8" i="4"/>
  <c r="AL19" i="13"/>
  <c r="AK19" i="13"/>
  <c r="AQ19" i="13" s="1"/>
  <c r="AH20" i="13"/>
  <c r="AM18" i="12"/>
  <c r="AR19" i="15"/>
  <c r="AT19" i="15" s="1"/>
  <c r="AU19" i="15" s="1"/>
  <c r="AW19" i="15"/>
  <c r="AL27" i="2"/>
  <c r="AK27" i="2"/>
  <c r="AL4" i="2"/>
  <c r="AK4" i="2"/>
  <c r="AQ4" i="2" s="1"/>
  <c r="AT23" i="53"/>
  <c r="AR29" i="53"/>
  <c r="BG13" i="53" s="1"/>
  <c r="S40" i="53" s="1"/>
  <c r="AR4" i="5"/>
  <c r="AW4" i="5"/>
  <c r="AL21" i="15"/>
  <c r="AK21" i="15"/>
  <c r="AQ21" i="15" s="1"/>
  <c r="AH22" i="15"/>
  <c r="AM18" i="9"/>
  <c r="AJ20" i="2"/>
  <c r="AI20" i="2"/>
  <c r="AE1" i="1"/>
  <c r="AB21" i="1" s="1"/>
  <c r="AR12" i="7"/>
  <c r="AW12" i="7"/>
  <c r="AL27" i="3"/>
  <c r="AK27" i="3"/>
  <c r="AL7" i="3"/>
  <c r="AK7" i="3"/>
  <c r="AQ7" i="3" s="1"/>
  <c r="AI19" i="3"/>
  <c r="AJ19" i="3"/>
  <c r="AM10" i="6"/>
  <c r="AM9" i="4"/>
  <c r="AJ28" i="2"/>
  <c r="AI28" i="2"/>
  <c r="AR17" i="13"/>
  <c r="AT17" i="13" s="1"/>
  <c r="AU17" i="13" s="1"/>
  <c r="AW17" i="13"/>
  <c r="AL16" i="10"/>
  <c r="AK16" i="10"/>
  <c r="AQ16" i="10" s="1"/>
  <c r="AG31" i="10" s="1"/>
  <c r="AH17" i="10"/>
  <c r="AR17" i="9"/>
  <c r="AW17" i="9"/>
  <c r="AJ18" i="3"/>
  <c r="AI18" i="3"/>
  <c r="AL19" i="11"/>
  <c r="AK19" i="11"/>
  <c r="AQ19" i="11" s="1"/>
  <c r="AH20" i="11"/>
  <c r="AR6" i="5"/>
  <c r="AT6" i="5" s="1"/>
  <c r="AU6" i="5" s="1"/>
  <c r="AW6" i="5"/>
  <c r="AR18" i="14"/>
  <c r="AT18" i="14" s="1"/>
  <c r="AU18" i="14" s="1"/>
  <c r="AW18" i="14"/>
  <c r="AU17" i="15"/>
  <c r="AL28" i="2"/>
  <c r="AK28" i="2"/>
  <c r="AL8" i="2"/>
  <c r="AK8" i="2"/>
  <c r="AQ8" i="2" s="1"/>
  <c r="AL5" i="2"/>
  <c r="AK5" i="2"/>
  <c r="AQ5" i="2" s="1"/>
  <c r="AT16" i="11"/>
  <c r="AL17" i="8"/>
  <c r="AK17" i="8"/>
  <c r="AQ17" i="8" s="1"/>
  <c r="AH18" i="8"/>
  <c r="AR25" i="5"/>
  <c r="AT25" i="5" s="1"/>
  <c r="AU25" i="5" s="1"/>
  <c r="AW25" i="5"/>
  <c r="AL20" i="14"/>
  <c r="AK20" i="14"/>
  <c r="AQ20" i="14" s="1"/>
  <c r="AH21" i="14"/>
  <c r="AK28" i="3"/>
  <c r="AL28" i="3"/>
  <c r="AK8" i="3"/>
  <c r="AQ8" i="3" s="1"/>
  <c r="AL8" i="3"/>
  <c r="AL4" i="3"/>
  <c r="AK4" i="3"/>
  <c r="AQ4" i="3" s="1"/>
  <c r="AI21" i="3"/>
  <c r="AJ21" i="3"/>
  <c r="AQ26" i="4"/>
  <c r="AM26" i="4" s="1"/>
  <c r="AJ23" i="2"/>
  <c r="AI23" i="2"/>
  <c r="AM6" i="4"/>
  <c r="AL14" i="7"/>
  <c r="AK14" i="7"/>
  <c r="AQ14" i="7" s="1"/>
  <c r="AH15" i="7"/>
  <c r="AT4" i="6"/>
  <c r="AR15" i="8"/>
  <c r="AT15" i="8" s="1"/>
  <c r="AU15" i="8" s="1"/>
  <c r="AW15" i="8"/>
  <c r="AL19" i="12"/>
  <c r="AK19" i="12"/>
  <c r="AQ19" i="12" s="1"/>
  <c r="AH20" i="12"/>
  <c r="AU16" i="13"/>
  <c r="AJ22" i="3"/>
  <c r="AI22" i="3"/>
  <c r="AJ24" i="3"/>
  <c r="AI24" i="3"/>
  <c r="AI27" i="3"/>
  <c r="AJ27" i="3"/>
  <c r="AM18" i="11"/>
  <c r="AJ19" i="2"/>
  <c r="AI19" i="2"/>
  <c r="AL25" i="2"/>
  <c r="AK25" i="2"/>
  <c r="AL7" i="2"/>
  <c r="AK7" i="2"/>
  <c r="AQ7" i="2" s="1"/>
  <c r="AM7" i="4"/>
  <c r="AK22" i="16"/>
  <c r="AQ22" i="16" s="1"/>
  <c r="AL22" i="16"/>
  <c r="AH23" i="16"/>
  <c r="AM16" i="8"/>
  <c r="AG31" i="8"/>
  <c r="AI17" i="3"/>
  <c r="AJ17" i="3"/>
  <c r="AU16" i="14"/>
  <c r="AL25" i="3"/>
  <c r="AK25" i="3"/>
  <c r="AH9" i="3"/>
  <c r="AL6" i="3"/>
  <c r="AK6" i="3"/>
  <c r="AQ6" i="3" s="1"/>
  <c r="AR14" i="10"/>
  <c r="AT14" i="10" s="1"/>
  <c r="AU14" i="10" s="1"/>
  <c r="AW14" i="10"/>
  <c r="AT23" i="18"/>
  <c r="AR29" i="18"/>
  <c r="BG12" i="18" s="1"/>
  <c r="S11" i="18" s="1"/>
  <c r="AJ22" i="2"/>
  <c r="AI22" i="2"/>
  <c r="AR27" i="5"/>
  <c r="AT27" i="5" s="1"/>
  <c r="AU27" i="5" s="1"/>
  <c r="AW27" i="5"/>
  <c r="AJ21" i="2"/>
  <c r="AI21" i="2"/>
  <c r="AU15" i="9"/>
  <c r="AM23" i="17"/>
  <c r="AG32" i="17"/>
  <c r="AK10" i="5"/>
  <c r="AQ10" i="5" s="1"/>
  <c r="AL10" i="5"/>
  <c r="AH11" i="5"/>
  <c r="AJ28" i="3"/>
  <c r="AI28" i="3"/>
  <c r="AJ18" i="2"/>
  <c r="AI18" i="2"/>
  <c r="AU12" i="10"/>
  <c r="AL26" i="2"/>
  <c r="AK26" i="2"/>
  <c r="AK6" i="2"/>
  <c r="AQ6" i="2" s="1"/>
  <c r="AL6" i="2"/>
  <c r="AM4" i="4"/>
  <c r="AR9" i="6"/>
  <c r="AT9" i="6" s="1"/>
  <c r="AU9" i="6" s="1"/>
  <c r="AW9" i="6"/>
  <c r="AT14" i="8"/>
  <c r="AK19" i="9"/>
  <c r="AQ19" i="9" s="1"/>
  <c r="AL19" i="9"/>
  <c r="AH20" i="9"/>
  <c r="AF17" i="1"/>
  <c r="AF18" i="1" s="1"/>
  <c r="AF19" i="1" s="1"/>
  <c r="AF20" i="1" s="1"/>
  <c r="AF21" i="1" s="1"/>
  <c r="AF22" i="1" s="1"/>
  <c r="AF23" i="1" s="1"/>
  <c r="AF24" i="1" s="1"/>
  <c r="AF25" i="1" s="1"/>
  <c r="AF26" i="1" s="1"/>
  <c r="AF27" i="1" s="1"/>
  <c r="AF28" i="1" s="1"/>
  <c r="AH1" i="1"/>
  <c r="AW1" i="1"/>
  <c r="AM19" i="14"/>
  <c r="AQ25" i="4"/>
  <c r="AM25" i="4" s="1"/>
  <c r="AK26" i="3"/>
  <c r="AL26" i="3"/>
  <c r="AL5" i="3"/>
  <c r="AK5" i="3"/>
  <c r="AQ5" i="3" s="1"/>
  <c r="AL11" i="6"/>
  <c r="AK11" i="6"/>
  <c r="AQ11" i="6" s="1"/>
  <c r="AH12" i="6"/>
  <c r="AU15" i="12"/>
  <c r="AL10" i="4"/>
  <c r="AK10" i="4"/>
  <c r="AQ10" i="4" s="1"/>
  <c r="AH11" i="4"/>
  <c r="S13" i="19" l="1"/>
  <c r="BJ72" i="61" s="1"/>
  <c r="S13" i="21"/>
  <c r="BH72" i="61" s="1"/>
  <c r="F68" i="58"/>
  <c r="B69" i="58"/>
  <c r="C68" i="58"/>
  <c r="G68" i="58"/>
  <c r="L67" i="58"/>
  <c r="I67" i="58"/>
  <c r="D66" i="58"/>
  <c r="B66" i="58"/>
  <c r="E69" i="58"/>
  <c r="E68" i="58"/>
  <c r="I66" i="58"/>
  <c r="F66" i="58"/>
  <c r="H66" i="58"/>
  <c r="I68" i="58"/>
  <c r="E66" i="58"/>
  <c r="D70" i="58"/>
  <c r="L69" i="58"/>
  <c r="G66" i="58"/>
  <c r="G69" i="58"/>
  <c r="M70" i="58"/>
  <c r="C67" i="58"/>
  <c r="G67" i="58"/>
  <c r="I69" i="58"/>
  <c r="L70" i="58"/>
  <c r="J66" i="58"/>
  <c r="K67" i="58"/>
  <c r="H67" i="58"/>
  <c r="D67" i="58"/>
  <c r="F67" i="58"/>
  <c r="B67" i="58"/>
  <c r="F69" i="58"/>
  <c r="E67" i="58"/>
  <c r="M67" i="58"/>
  <c r="C69" i="58"/>
  <c r="L68" i="58"/>
  <c r="H68" i="58"/>
  <c r="G70" i="58"/>
  <c r="H69" i="58"/>
  <c r="J70" i="58"/>
  <c r="B68" i="58"/>
  <c r="C70" i="58"/>
  <c r="C66" i="58"/>
  <c r="J67" i="58"/>
  <c r="J68" i="58"/>
  <c r="E70" i="58"/>
  <c r="D68" i="58"/>
  <c r="K69" i="58"/>
  <c r="K68" i="58"/>
  <c r="I70" i="58"/>
  <c r="M69" i="58"/>
  <c r="B70" i="58"/>
  <c r="L66" i="58"/>
  <c r="M68" i="58"/>
  <c r="J69" i="58"/>
  <c r="F70" i="58"/>
  <c r="D69" i="58"/>
  <c r="M66" i="58"/>
  <c r="K66" i="58"/>
  <c r="H70" i="58"/>
  <c r="AQ27" i="3"/>
  <c r="AM27" i="3" s="1"/>
  <c r="AM7" i="2"/>
  <c r="AW7" i="2" s="1"/>
  <c r="AW15" i="10"/>
  <c r="AW24" i="4"/>
  <c r="AW9" i="5"/>
  <c r="AQ24" i="3"/>
  <c r="AM24" i="3" s="1"/>
  <c r="AW5" i="4"/>
  <c r="AM6" i="3"/>
  <c r="AW6" i="3" s="1"/>
  <c r="BG17" i="24"/>
  <c r="AW28" i="4"/>
  <c r="AQ28" i="3"/>
  <c r="AM28" i="3" s="1"/>
  <c r="AW28" i="3" s="1"/>
  <c r="BG17" i="22"/>
  <c r="I40" i="24"/>
  <c r="S16" i="24" s="1"/>
  <c r="BE75" i="61" s="1"/>
  <c r="AW13" i="7"/>
  <c r="AW20" i="15"/>
  <c r="BI72" i="61"/>
  <c r="I40" i="20"/>
  <c r="S16" i="20" s="1"/>
  <c r="BI75" i="61" s="1"/>
  <c r="I40" i="22"/>
  <c r="AM10" i="4"/>
  <c r="AR10" i="4" s="1"/>
  <c r="AT10" i="4" s="1"/>
  <c r="AU10" i="4" s="1"/>
  <c r="AM8" i="2"/>
  <c r="AR8" i="2" s="1"/>
  <c r="AT8" i="2" s="1"/>
  <c r="AU8" i="2" s="1"/>
  <c r="AW21" i="16"/>
  <c r="AW18" i="13"/>
  <c r="AM7" i="3"/>
  <c r="AW7" i="3" s="1"/>
  <c r="AW24" i="5"/>
  <c r="AW27" i="4"/>
  <c r="AM14" i="7"/>
  <c r="AR14" i="7" s="1"/>
  <c r="AT14" i="7" s="1"/>
  <c r="AU14" i="7" s="1"/>
  <c r="AM20" i="14"/>
  <c r="AW20" i="14" s="1"/>
  <c r="AB22" i="1"/>
  <c r="AI22" i="1" s="1"/>
  <c r="AM9" i="2"/>
  <c r="AW9" i="2" s="1"/>
  <c r="I50" i="18"/>
  <c r="BK70" i="61"/>
  <c r="BG27" i="18"/>
  <c r="I54" i="18"/>
  <c r="S32" i="53"/>
  <c r="S28" i="53"/>
  <c r="BG28" i="53"/>
  <c r="I40" i="21"/>
  <c r="AM19" i="13"/>
  <c r="AR19" i="13" s="1"/>
  <c r="AT19" i="13" s="1"/>
  <c r="AM16" i="10"/>
  <c r="AR16" i="10" s="1"/>
  <c r="AT16" i="10" s="1"/>
  <c r="AM10" i="5"/>
  <c r="AW10" i="5" s="1"/>
  <c r="AB19" i="1"/>
  <c r="AJ19" i="1" s="1"/>
  <c r="AI21" i="1"/>
  <c r="AJ21" i="1"/>
  <c r="AR19" i="14"/>
  <c r="AT19" i="14" s="1"/>
  <c r="AW19" i="14"/>
  <c r="AM19" i="9"/>
  <c r="AM22" i="16"/>
  <c r="AU4" i="6"/>
  <c r="AM8" i="3"/>
  <c r="AK21" i="14"/>
  <c r="AQ21" i="14" s="1"/>
  <c r="AL21" i="14"/>
  <c r="AH22" i="14"/>
  <c r="AL18" i="8"/>
  <c r="AK18" i="8"/>
  <c r="AQ18" i="8" s="1"/>
  <c r="AH19" i="8"/>
  <c r="AU16" i="11"/>
  <c r="AR10" i="6"/>
  <c r="AT10" i="6" s="1"/>
  <c r="AU10" i="6" s="1"/>
  <c r="AW10" i="6"/>
  <c r="AT12" i="7"/>
  <c r="AB23" i="1"/>
  <c r="AB18" i="1"/>
  <c r="AR18" i="9"/>
  <c r="AT18" i="9" s="1"/>
  <c r="AU18" i="9" s="1"/>
  <c r="AW18" i="9"/>
  <c r="AM4" i="2"/>
  <c r="AQ25" i="3"/>
  <c r="AM25" i="3" s="1"/>
  <c r="AK11" i="4"/>
  <c r="AQ11" i="4" s="1"/>
  <c r="AL11" i="4"/>
  <c r="AH12" i="4"/>
  <c r="AM5" i="3"/>
  <c r="AR4" i="4"/>
  <c r="AW4" i="4"/>
  <c r="AR16" i="8"/>
  <c r="AW16" i="8"/>
  <c r="AR7" i="4"/>
  <c r="AT7" i="4" s="1"/>
  <c r="AU7" i="4" s="1"/>
  <c r="AW7" i="4"/>
  <c r="AR18" i="11"/>
  <c r="AW18" i="11"/>
  <c r="AR6" i="4"/>
  <c r="AT6" i="4" s="1"/>
  <c r="AU6" i="4" s="1"/>
  <c r="AW6" i="4"/>
  <c r="AR26" i="4"/>
  <c r="AT26" i="4" s="1"/>
  <c r="AU26" i="4" s="1"/>
  <c r="AW26" i="4"/>
  <c r="AM4" i="3"/>
  <c r="AM17" i="8"/>
  <c r="AM5" i="2"/>
  <c r="AL20" i="11"/>
  <c r="AK20" i="11"/>
  <c r="AQ20" i="11" s="1"/>
  <c r="AH21" i="11"/>
  <c r="AT17" i="9"/>
  <c r="AQ28" i="2"/>
  <c r="AM28" i="2" s="1"/>
  <c r="AD17" i="1"/>
  <c r="AD19" i="1"/>
  <c r="AD22" i="1"/>
  <c r="AD28" i="1"/>
  <c r="AB28" i="1" s="1"/>
  <c r="AD27" i="1"/>
  <c r="AB27" i="1" s="1"/>
  <c r="AD24" i="1"/>
  <c r="AB24" i="1" s="1"/>
  <c r="AH24" i="1" s="1"/>
  <c r="AD18" i="1"/>
  <c r="AD21" i="1"/>
  <c r="AD26" i="1"/>
  <c r="AB26" i="1" s="1"/>
  <c r="AD23" i="1"/>
  <c r="AD20" i="1"/>
  <c r="AD25" i="1"/>
  <c r="AB25" i="1" s="1"/>
  <c r="AB20" i="1"/>
  <c r="AL22" i="15"/>
  <c r="AK22" i="15"/>
  <c r="AQ22" i="15" s="1"/>
  <c r="AH23" i="15"/>
  <c r="AT4" i="5"/>
  <c r="AQ26" i="2"/>
  <c r="AM26" i="2" s="1"/>
  <c r="AQ26" i="3"/>
  <c r="AM26" i="3" s="1"/>
  <c r="AL24" i="2"/>
  <c r="AK24" i="2"/>
  <c r="AQ24" i="2" s="1"/>
  <c r="AL12" i="6"/>
  <c r="AK12" i="6"/>
  <c r="AQ12" i="6" s="1"/>
  <c r="AH13" i="6"/>
  <c r="AL20" i="9"/>
  <c r="AK20" i="9"/>
  <c r="AQ20" i="9" s="1"/>
  <c r="AH21" i="9"/>
  <c r="AL11" i="5"/>
  <c r="AK11" i="5"/>
  <c r="AQ11" i="5" s="1"/>
  <c r="AH12" i="5"/>
  <c r="AR23" i="17"/>
  <c r="AW23" i="17"/>
  <c r="AW29" i="17" s="1"/>
  <c r="BG16" i="17" s="1"/>
  <c r="S15" i="17" s="1"/>
  <c r="BL74" i="61" s="1"/>
  <c r="AU23" i="18"/>
  <c r="AU29" i="18" s="1"/>
  <c r="BG15" i="18" s="1"/>
  <c r="S14" i="18" s="1"/>
  <c r="AT29" i="18"/>
  <c r="BG13" i="18" s="1"/>
  <c r="S12" i="18" s="1"/>
  <c r="AL9" i="3"/>
  <c r="AK9" i="3"/>
  <c r="AQ9" i="3" s="1"/>
  <c r="AH10" i="3"/>
  <c r="AL23" i="16"/>
  <c r="AK23" i="16"/>
  <c r="AQ23" i="16" s="1"/>
  <c r="AK20" i="12"/>
  <c r="AQ20" i="12" s="1"/>
  <c r="AL20" i="12"/>
  <c r="AH21" i="12"/>
  <c r="AL15" i="7"/>
  <c r="AK15" i="7"/>
  <c r="AQ15" i="7" s="1"/>
  <c r="AH16" i="7"/>
  <c r="AM19" i="11"/>
  <c r="AK17" i="10"/>
  <c r="AQ17" i="10" s="1"/>
  <c r="AL17" i="10"/>
  <c r="AH18" i="10"/>
  <c r="AM21" i="15"/>
  <c r="AR18" i="12"/>
  <c r="AT18" i="12" s="1"/>
  <c r="AW18" i="12"/>
  <c r="AR8" i="4"/>
  <c r="AT8" i="4" s="1"/>
  <c r="AU8" i="4" s="1"/>
  <c r="AW8" i="4"/>
  <c r="AL10" i="2"/>
  <c r="AK10" i="2"/>
  <c r="AQ10" i="2" s="1"/>
  <c r="AH11" i="2"/>
  <c r="AQ27" i="2"/>
  <c r="AM27" i="2" s="1"/>
  <c r="AM11" i="6"/>
  <c r="AR25" i="4"/>
  <c r="AT25" i="4" s="1"/>
  <c r="AU25" i="4" s="1"/>
  <c r="AW25" i="4"/>
  <c r="AH5" i="1"/>
  <c r="AH4" i="1"/>
  <c r="AH6" i="1"/>
  <c r="AH8" i="1"/>
  <c r="AH9" i="1" s="1"/>
  <c r="AH7" i="1"/>
  <c r="AH28" i="1"/>
  <c r="AH27" i="1"/>
  <c r="AH26" i="1"/>
  <c r="AH25" i="1"/>
  <c r="AU14" i="8"/>
  <c r="AM6" i="2"/>
  <c r="AM19" i="12"/>
  <c r="AR9" i="4"/>
  <c r="AT9" i="4" s="1"/>
  <c r="AU9" i="4" s="1"/>
  <c r="AW9" i="4"/>
  <c r="AB17" i="1"/>
  <c r="AU23" i="53"/>
  <c r="AU29" i="53" s="1"/>
  <c r="BG16" i="53" s="1"/>
  <c r="S43" i="53" s="1"/>
  <c r="AT29" i="53"/>
  <c r="BG14" i="53" s="1"/>
  <c r="S41" i="53" s="1"/>
  <c r="AL20" i="13"/>
  <c r="AK20" i="13"/>
  <c r="AQ20" i="13" s="1"/>
  <c r="AH21" i="13"/>
  <c r="AQ25" i="2"/>
  <c r="AM25" i="2" s="1"/>
  <c r="AR7" i="2" l="1"/>
  <c r="AT7" i="2" s="1"/>
  <c r="AU7" i="2" s="1"/>
  <c r="BG17" i="21"/>
  <c r="I40" i="19"/>
  <c r="S16" i="22"/>
  <c r="BG75" i="61" s="1"/>
  <c r="AR20" i="14"/>
  <c r="AT20" i="14" s="1"/>
  <c r="AU20" i="14" s="1"/>
  <c r="BG17" i="19"/>
  <c r="AW10" i="4"/>
  <c r="AR7" i="3"/>
  <c r="AT7" i="3" s="1"/>
  <c r="AU7" i="3" s="1"/>
  <c r="AW16" i="10"/>
  <c r="AR9" i="2"/>
  <c r="AT9" i="2" s="1"/>
  <c r="AU9" i="2" s="1"/>
  <c r="AI19" i="1"/>
  <c r="AR6" i="3"/>
  <c r="AT6" i="3" s="1"/>
  <c r="AU6" i="3" s="1"/>
  <c r="AW8" i="2"/>
  <c r="AJ22" i="1"/>
  <c r="S55" i="53"/>
  <c r="S26" i="18"/>
  <c r="BK85" i="61" s="1"/>
  <c r="AR28" i="3"/>
  <c r="AT28" i="3" s="1"/>
  <c r="AU28" i="3" s="1"/>
  <c r="AW14" i="7"/>
  <c r="AW19" i="13"/>
  <c r="AM24" i="2"/>
  <c r="AR24" i="2" s="1"/>
  <c r="AT24" i="2" s="1"/>
  <c r="AU24" i="2" s="1"/>
  <c r="AM18" i="8"/>
  <c r="AR18" i="8" s="1"/>
  <c r="AT18" i="8" s="1"/>
  <c r="AU18" i="8" s="1"/>
  <c r="AM20" i="9"/>
  <c r="AR20" i="9" s="1"/>
  <c r="AT20" i="9" s="1"/>
  <c r="AU20" i="9" s="1"/>
  <c r="BG14" i="18"/>
  <c r="BK71" i="61"/>
  <c r="I37" i="18"/>
  <c r="S16" i="21"/>
  <c r="BH75" i="61" s="1"/>
  <c r="BG15" i="53"/>
  <c r="S15" i="53"/>
  <c r="BK73" i="61"/>
  <c r="AM22" i="15"/>
  <c r="AR22" i="15" s="1"/>
  <c r="AT22" i="15" s="1"/>
  <c r="AU22" i="15" s="1"/>
  <c r="AR10" i="5"/>
  <c r="AT10" i="5" s="1"/>
  <c r="AU10" i="5" s="1"/>
  <c r="AM11" i="4"/>
  <c r="AR11" i="4" s="1"/>
  <c r="AT11" i="4" s="1"/>
  <c r="AU11" i="4" s="1"/>
  <c r="AM10" i="2"/>
  <c r="AW10" i="2" s="1"/>
  <c r="AM11" i="5"/>
  <c r="AR11" i="5" s="1"/>
  <c r="AK9" i="1"/>
  <c r="AQ9" i="1" s="1"/>
  <c r="AL9" i="1"/>
  <c r="AH10" i="1"/>
  <c r="AJ27" i="1"/>
  <c r="AI27" i="1"/>
  <c r="AJ26" i="1"/>
  <c r="AI26" i="1"/>
  <c r="AJ17" i="1"/>
  <c r="AI17" i="1"/>
  <c r="AL24" i="1"/>
  <c r="AK24" i="1"/>
  <c r="AL28" i="1"/>
  <c r="AK28" i="1"/>
  <c r="AL5" i="1"/>
  <c r="AK5" i="1"/>
  <c r="AQ5" i="1" s="1"/>
  <c r="AU18" i="12"/>
  <c r="AM15" i="7"/>
  <c r="AM20" i="12"/>
  <c r="AM9" i="3"/>
  <c r="AU4" i="5"/>
  <c r="AJ25" i="1"/>
  <c r="AI25" i="1"/>
  <c r="AR28" i="2"/>
  <c r="AT28" i="2" s="1"/>
  <c r="AU28" i="2" s="1"/>
  <c r="AW28" i="2"/>
  <c r="AM20" i="11"/>
  <c r="AT4" i="4"/>
  <c r="AU19" i="13"/>
  <c r="AL19" i="8"/>
  <c r="AK19" i="8"/>
  <c r="AQ19" i="8" s="1"/>
  <c r="AH20" i="8"/>
  <c r="AU19" i="14"/>
  <c r="AU16" i="10"/>
  <c r="AR19" i="12"/>
  <c r="AT19" i="12" s="1"/>
  <c r="AU19" i="12" s="1"/>
  <c r="AW19" i="12"/>
  <c r="AK25" i="1"/>
  <c r="AL25" i="1"/>
  <c r="AL8" i="1"/>
  <c r="AK8" i="1"/>
  <c r="AQ8" i="1" s="1"/>
  <c r="AR11" i="6"/>
  <c r="AW11" i="6"/>
  <c r="AR27" i="2"/>
  <c r="AT27" i="2" s="1"/>
  <c r="AU27" i="2" s="1"/>
  <c r="AW27" i="2"/>
  <c r="AJ24" i="1"/>
  <c r="AI24" i="1"/>
  <c r="AL18" i="10"/>
  <c r="AK18" i="10"/>
  <c r="AQ18" i="10" s="1"/>
  <c r="AH19" i="10"/>
  <c r="AR19" i="11"/>
  <c r="AT19" i="11" s="1"/>
  <c r="AU19" i="11" s="1"/>
  <c r="AW19" i="11"/>
  <c r="AM23" i="16"/>
  <c r="AG32" i="16"/>
  <c r="AT23" i="17"/>
  <c r="AR29" i="17"/>
  <c r="BG12" i="17" s="1"/>
  <c r="S11" i="17" s="1"/>
  <c r="AL13" i="6"/>
  <c r="AK13" i="6"/>
  <c r="AQ13" i="6" s="1"/>
  <c r="AH14" i="6"/>
  <c r="AJ20" i="1"/>
  <c r="AI20" i="1"/>
  <c r="AR4" i="3"/>
  <c r="AW4" i="3"/>
  <c r="AR5" i="3"/>
  <c r="AT5" i="3" s="1"/>
  <c r="AU5" i="3" s="1"/>
  <c r="AW5" i="3"/>
  <c r="AR4" i="2"/>
  <c r="AW4" i="2"/>
  <c r="AU12" i="7"/>
  <c r="AM21" i="14"/>
  <c r="AR25" i="2"/>
  <c r="AT25" i="2" s="1"/>
  <c r="AU25" i="2" s="1"/>
  <c r="AW25" i="2"/>
  <c r="AL21" i="13"/>
  <c r="AK21" i="13"/>
  <c r="AQ21" i="13" s="1"/>
  <c r="AH22" i="13"/>
  <c r="AR27" i="3"/>
  <c r="AT27" i="3" s="1"/>
  <c r="AU27" i="3" s="1"/>
  <c r="AW27" i="3"/>
  <c r="AL26" i="1"/>
  <c r="AK26" i="1"/>
  <c r="AK6" i="1"/>
  <c r="AQ6" i="1" s="1"/>
  <c r="AL6" i="1"/>
  <c r="AL11" i="2"/>
  <c r="AK11" i="2"/>
  <c r="AQ11" i="2" s="1"/>
  <c r="AH12" i="2"/>
  <c r="AL21" i="12"/>
  <c r="AK21" i="12"/>
  <c r="AQ21" i="12" s="1"/>
  <c r="AH22" i="12"/>
  <c r="AL12" i="5"/>
  <c r="AK12" i="5"/>
  <c r="AQ12" i="5" s="1"/>
  <c r="AH13" i="5"/>
  <c r="AK21" i="9"/>
  <c r="AQ21" i="9" s="1"/>
  <c r="AL21" i="9"/>
  <c r="AH22" i="9"/>
  <c r="AM12" i="6"/>
  <c r="AR26" i="3"/>
  <c r="AT26" i="3" s="1"/>
  <c r="AU26" i="3" s="1"/>
  <c r="AW26" i="3"/>
  <c r="AL23" i="15"/>
  <c r="AK23" i="15"/>
  <c r="AQ23" i="15" s="1"/>
  <c r="AU17" i="9"/>
  <c r="AR5" i="2"/>
  <c r="AT5" i="2" s="1"/>
  <c r="AU5" i="2" s="1"/>
  <c r="AW5" i="2"/>
  <c r="AR25" i="3"/>
  <c r="AT25" i="3" s="1"/>
  <c r="AU25" i="3" s="1"/>
  <c r="AW25" i="3"/>
  <c r="AJ18" i="1"/>
  <c r="AI18" i="1"/>
  <c r="AR8" i="3"/>
  <c r="AT8" i="3" s="1"/>
  <c r="AU8" i="3" s="1"/>
  <c r="AW8" i="3"/>
  <c r="AR24" i="3"/>
  <c r="AT24" i="3" s="1"/>
  <c r="AU24" i="3" s="1"/>
  <c r="AW24" i="3"/>
  <c r="AR19" i="9"/>
  <c r="AW19" i="9"/>
  <c r="AM20" i="13"/>
  <c r="AR6" i="2"/>
  <c r="AT6" i="2" s="1"/>
  <c r="AU6" i="2" s="1"/>
  <c r="AW6" i="2"/>
  <c r="AK27" i="1"/>
  <c r="AL27" i="1"/>
  <c r="AL7" i="1"/>
  <c r="AK7" i="1"/>
  <c r="AQ7" i="1" s="1"/>
  <c r="AK4" i="1"/>
  <c r="AQ4" i="1" s="1"/>
  <c r="AL4" i="1"/>
  <c r="AR21" i="15"/>
  <c r="AT21" i="15" s="1"/>
  <c r="AU21" i="15" s="1"/>
  <c r="AW21" i="15"/>
  <c r="AM17" i="10"/>
  <c r="AK16" i="7"/>
  <c r="AQ16" i="7" s="1"/>
  <c r="AL16" i="7"/>
  <c r="AH17" i="7"/>
  <c r="AL10" i="3"/>
  <c r="AK10" i="3"/>
  <c r="AQ10" i="3" s="1"/>
  <c r="AH11" i="3"/>
  <c r="AR26" i="2"/>
  <c r="AT26" i="2" s="1"/>
  <c r="AU26" i="2" s="1"/>
  <c r="AW26" i="2"/>
  <c r="AJ28" i="1"/>
  <c r="AI28" i="1"/>
  <c r="AQ28" i="1" s="1"/>
  <c r="AL21" i="11"/>
  <c r="AK21" i="11"/>
  <c r="AQ21" i="11" s="1"/>
  <c r="AH22" i="11"/>
  <c r="AR17" i="8"/>
  <c r="AT17" i="8" s="1"/>
  <c r="AU17" i="8" s="1"/>
  <c r="AW17" i="8"/>
  <c r="AT18" i="11"/>
  <c r="AT16" i="8"/>
  <c r="AL12" i="4"/>
  <c r="AK12" i="4"/>
  <c r="AQ12" i="4" s="1"/>
  <c r="AH13" i="4"/>
  <c r="AI23" i="1"/>
  <c r="AJ23" i="1"/>
  <c r="AL22" i="14"/>
  <c r="AK22" i="14"/>
  <c r="AQ22" i="14" s="1"/>
  <c r="AH23" i="14"/>
  <c r="AR22" i="16"/>
  <c r="AT22" i="16" s="1"/>
  <c r="AU22" i="16" s="1"/>
  <c r="AW22" i="16"/>
  <c r="S16" i="19" l="1"/>
  <c r="BJ75" i="61" s="1"/>
  <c r="S42" i="53"/>
  <c r="BG18" i="53" s="1"/>
  <c r="AR10" i="2"/>
  <c r="AT10" i="2" s="1"/>
  <c r="AU10" i="2" s="1"/>
  <c r="AW18" i="8"/>
  <c r="AW11" i="4"/>
  <c r="AW20" i="9"/>
  <c r="AW22" i="15"/>
  <c r="AW11" i="5"/>
  <c r="AW24" i="2"/>
  <c r="AM6" i="1"/>
  <c r="AW6" i="1" s="1"/>
  <c r="AM22" i="14"/>
  <c r="AR22" i="14" s="1"/>
  <c r="AT22" i="14" s="1"/>
  <c r="AU22" i="14" s="1"/>
  <c r="AQ24" i="1"/>
  <c r="AM24" i="1" s="1"/>
  <c r="AM21" i="9"/>
  <c r="AW21" i="9" s="1"/>
  <c r="S13" i="18"/>
  <c r="I54" i="17"/>
  <c r="BG27" i="17"/>
  <c r="I50" i="17"/>
  <c r="BL70" i="61"/>
  <c r="AM9" i="1"/>
  <c r="AR9" i="1" s="1"/>
  <c r="AT9" i="1" s="1"/>
  <c r="AU9" i="1" s="1"/>
  <c r="AM21" i="13"/>
  <c r="AW21" i="13" s="1"/>
  <c r="AL13" i="4"/>
  <c r="AK13" i="4"/>
  <c r="AQ13" i="4" s="1"/>
  <c r="AH14" i="4"/>
  <c r="AM10" i="3"/>
  <c r="AM16" i="7"/>
  <c r="AT19" i="9"/>
  <c r="AL22" i="9"/>
  <c r="AK22" i="9"/>
  <c r="AQ22" i="9" s="1"/>
  <c r="AH23" i="9"/>
  <c r="AM12" i="5"/>
  <c r="AT4" i="2"/>
  <c r="AR23" i="16"/>
  <c r="AW23" i="16"/>
  <c r="AW29" i="16" s="1"/>
  <c r="BG16" i="16" s="1"/>
  <c r="S15" i="16" s="1"/>
  <c r="BM74" i="61" s="1"/>
  <c r="AM18" i="10"/>
  <c r="AM8" i="1"/>
  <c r="AU4" i="4"/>
  <c r="AG31" i="7"/>
  <c r="AM12" i="4"/>
  <c r="AU16" i="8"/>
  <c r="AM28" i="1"/>
  <c r="AM4" i="1"/>
  <c r="AR20" i="13"/>
  <c r="AT20" i="13" s="1"/>
  <c r="AU20" i="13" s="1"/>
  <c r="AW20" i="13"/>
  <c r="AL12" i="2"/>
  <c r="AK12" i="2"/>
  <c r="AQ12" i="2" s="1"/>
  <c r="AH13" i="2"/>
  <c r="AR15" i="7"/>
  <c r="AW15" i="7"/>
  <c r="AK10" i="1"/>
  <c r="AQ10" i="1" s="1"/>
  <c r="AL10" i="1"/>
  <c r="AH11" i="1"/>
  <c r="AK23" i="14"/>
  <c r="AQ23" i="14" s="1"/>
  <c r="AG32" i="14" s="1"/>
  <c r="AL23" i="14"/>
  <c r="AL22" i="11"/>
  <c r="AK22" i="11"/>
  <c r="AQ22" i="11" s="1"/>
  <c r="AH23" i="11"/>
  <c r="AT11" i="5"/>
  <c r="AL17" i="7"/>
  <c r="AK17" i="7"/>
  <c r="AQ17" i="7" s="1"/>
  <c r="AH18" i="7"/>
  <c r="AR17" i="10"/>
  <c r="AT17" i="10" s="1"/>
  <c r="AW17" i="10"/>
  <c r="AM7" i="1"/>
  <c r="AK22" i="12"/>
  <c r="AQ22" i="12" s="1"/>
  <c r="AL22" i="12"/>
  <c r="AH23" i="12"/>
  <c r="AM11" i="2"/>
  <c r="AL22" i="13"/>
  <c r="AK22" i="13"/>
  <c r="AQ22" i="13" s="1"/>
  <c r="AH23" i="13"/>
  <c r="AR21" i="14"/>
  <c r="AT21" i="14" s="1"/>
  <c r="AU21" i="14" s="1"/>
  <c r="AW21" i="14"/>
  <c r="AT4" i="3"/>
  <c r="AL14" i="6"/>
  <c r="AK14" i="6"/>
  <c r="AQ14" i="6" s="1"/>
  <c r="AH15" i="6"/>
  <c r="AU23" i="17"/>
  <c r="AU29" i="17" s="1"/>
  <c r="BG15" i="17" s="1"/>
  <c r="S14" i="17" s="1"/>
  <c r="AT29" i="17"/>
  <c r="BG13" i="17" s="1"/>
  <c r="S12" i="17" s="1"/>
  <c r="AL20" i="8"/>
  <c r="AK20" i="8"/>
  <c r="AQ20" i="8" s="1"/>
  <c r="AH21" i="8"/>
  <c r="AQ25" i="1"/>
  <c r="AM25" i="1" s="1"/>
  <c r="AR9" i="3"/>
  <c r="AT9" i="3" s="1"/>
  <c r="AU9" i="3" s="1"/>
  <c r="AW9" i="3"/>
  <c r="AM5" i="1"/>
  <c r="AU18" i="11"/>
  <c r="AM21" i="11"/>
  <c r="AL11" i="3"/>
  <c r="AK11" i="3"/>
  <c r="AQ11" i="3" s="1"/>
  <c r="AH12" i="3"/>
  <c r="AM23" i="15"/>
  <c r="AG32" i="15"/>
  <c r="AR12" i="6"/>
  <c r="AT12" i="6" s="1"/>
  <c r="AU12" i="6" s="1"/>
  <c r="AW12" i="6"/>
  <c r="AK13" i="5"/>
  <c r="AQ13" i="5" s="1"/>
  <c r="AL13" i="5"/>
  <c r="AH14" i="5"/>
  <c r="AM21" i="12"/>
  <c r="AM13" i="6"/>
  <c r="AK19" i="10"/>
  <c r="AQ19" i="10" s="1"/>
  <c r="AL19" i="10"/>
  <c r="AH20" i="10"/>
  <c r="AT11" i="6"/>
  <c r="AM19" i="8"/>
  <c r="AR20" i="11"/>
  <c r="AT20" i="11" s="1"/>
  <c r="AU20" i="11" s="1"/>
  <c r="AW20" i="11"/>
  <c r="AR20" i="12"/>
  <c r="AT20" i="12" s="1"/>
  <c r="AU20" i="12" s="1"/>
  <c r="AW20" i="12"/>
  <c r="AQ26" i="1"/>
  <c r="AM26" i="1" s="1"/>
  <c r="AQ27" i="1"/>
  <c r="AM27" i="1" s="1"/>
  <c r="S18" i="53" l="1"/>
  <c r="S45" i="53" s="1"/>
  <c r="S26" i="17"/>
  <c r="BL85" i="61" s="1"/>
  <c r="AR21" i="13"/>
  <c r="AT21" i="13" s="1"/>
  <c r="AU21" i="13" s="1"/>
  <c r="AR21" i="9"/>
  <c r="AT21" i="9" s="1"/>
  <c r="AU21" i="9" s="1"/>
  <c r="AR6" i="1"/>
  <c r="AT6" i="1" s="1"/>
  <c r="AU6" i="1" s="1"/>
  <c r="AW22" i="14"/>
  <c r="AW9" i="1"/>
  <c r="AM22" i="12"/>
  <c r="AR22" i="12" s="1"/>
  <c r="AT22" i="12" s="1"/>
  <c r="AU22" i="12" s="1"/>
  <c r="BL71" i="61"/>
  <c r="I37" i="17"/>
  <c r="BG14" i="17"/>
  <c r="BL73" i="61"/>
  <c r="AM13" i="4"/>
  <c r="AW13" i="4" s="1"/>
  <c r="BK72" i="61"/>
  <c r="BG17" i="18"/>
  <c r="I40" i="18"/>
  <c r="AM14" i="6"/>
  <c r="AW14" i="6" s="1"/>
  <c r="AM22" i="9"/>
  <c r="AW22" i="9" s="1"/>
  <c r="AR19" i="8"/>
  <c r="AW19" i="8"/>
  <c r="AR13" i="6"/>
  <c r="AW13" i="6"/>
  <c r="AR5" i="1"/>
  <c r="AT5" i="1" s="1"/>
  <c r="AU5" i="1" s="1"/>
  <c r="AW5" i="1"/>
  <c r="AR25" i="1"/>
  <c r="AT25" i="1" s="1"/>
  <c r="AU25" i="1" s="1"/>
  <c r="AW25" i="1"/>
  <c r="AL15" i="6"/>
  <c r="AK15" i="6"/>
  <c r="AQ15" i="6" s="1"/>
  <c r="AH16" i="6"/>
  <c r="AL23" i="13"/>
  <c r="AK23" i="13"/>
  <c r="AQ23" i="13" s="1"/>
  <c r="AG32" i="13" s="1"/>
  <c r="AL23" i="12"/>
  <c r="AK23" i="12"/>
  <c r="AQ23" i="12" s="1"/>
  <c r="AU17" i="10"/>
  <c r="AT15" i="7"/>
  <c r="AM12" i="2"/>
  <c r="AR28" i="1"/>
  <c r="AT28" i="1" s="1"/>
  <c r="AU28" i="1" s="1"/>
  <c r="AW28" i="1"/>
  <c r="AR8" i="1"/>
  <c r="AT8" i="1" s="1"/>
  <c r="AU8" i="1" s="1"/>
  <c r="AW8" i="1"/>
  <c r="AK23" i="9"/>
  <c r="AQ23" i="9" s="1"/>
  <c r="AL23" i="9"/>
  <c r="AU19" i="9"/>
  <c r="AL14" i="4"/>
  <c r="AK14" i="4"/>
  <c r="AQ14" i="4" s="1"/>
  <c r="AH15" i="4"/>
  <c r="AR27" i="1"/>
  <c r="AT27" i="1" s="1"/>
  <c r="AU27" i="1" s="1"/>
  <c r="AW27" i="1"/>
  <c r="AM19" i="10"/>
  <c r="AM13" i="5"/>
  <c r="AR23" i="15"/>
  <c r="AW23" i="15"/>
  <c r="AW29" i="15" s="1"/>
  <c r="BG16" i="15" s="1"/>
  <c r="S15" i="15" s="1"/>
  <c r="BN74" i="61" s="1"/>
  <c r="AR24" i="1"/>
  <c r="AT24" i="1" s="1"/>
  <c r="AU24" i="1" s="1"/>
  <c r="AW24" i="1"/>
  <c r="AM22" i="13"/>
  <c r="AL18" i="7"/>
  <c r="AK18" i="7"/>
  <c r="AQ18" i="7" s="1"/>
  <c r="AH19" i="7"/>
  <c r="AU11" i="5"/>
  <c r="AM10" i="1"/>
  <c r="AR4" i="1"/>
  <c r="AW4" i="1"/>
  <c r="AR18" i="10"/>
  <c r="AT18" i="10" s="1"/>
  <c r="AU18" i="10" s="1"/>
  <c r="AW18" i="10"/>
  <c r="AU4" i="2"/>
  <c r="AR22" i="9"/>
  <c r="AT22" i="9" s="1"/>
  <c r="AU22" i="9" s="1"/>
  <c r="AR16" i="7"/>
  <c r="AT16" i="7" s="1"/>
  <c r="AU16" i="7" s="1"/>
  <c r="AW16" i="7"/>
  <c r="AR26" i="1"/>
  <c r="AT26" i="1" s="1"/>
  <c r="AU26" i="1" s="1"/>
  <c r="AW26" i="1"/>
  <c r="AU11" i="6"/>
  <c r="AR21" i="12"/>
  <c r="AT21" i="12" s="1"/>
  <c r="AU21" i="12" s="1"/>
  <c r="AW21" i="12"/>
  <c r="AK12" i="3"/>
  <c r="AQ12" i="3" s="1"/>
  <c r="AL12" i="3"/>
  <c r="AH13" i="3"/>
  <c r="AR21" i="11"/>
  <c r="AT21" i="11" s="1"/>
  <c r="AU21" i="11" s="1"/>
  <c r="AW21" i="11"/>
  <c r="AL21" i="8"/>
  <c r="AK21" i="8"/>
  <c r="AQ21" i="8" s="1"/>
  <c r="AH22" i="8"/>
  <c r="AR7" i="1"/>
  <c r="AT7" i="1" s="1"/>
  <c r="AU7" i="1" s="1"/>
  <c r="AW7" i="1"/>
  <c r="AM17" i="7"/>
  <c r="AL23" i="11"/>
  <c r="AK23" i="11"/>
  <c r="AQ23" i="11" s="1"/>
  <c r="AM23" i="14"/>
  <c r="AR10" i="3"/>
  <c r="AW10" i="3"/>
  <c r="AL20" i="10"/>
  <c r="AK20" i="10"/>
  <c r="AQ20" i="10" s="1"/>
  <c r="AH21" i="10"/>
  <c r="AL14" i="5"/>
  <c r="AK14" i="5"/>
  <c r="AQ14" i="5" s="1"/>
  <c r="AH15" i="5"/>
  <c r="AM11" i="3"/>
  <c r="AM20" i="8"/>
  <c r="AU4" i="3"/>
  <c r="AR11" i="2"/>
  <c r="AW11" i="2"/>
  <c r="AM22" i="11"/>
  <c r="AL11" i="1"/>
  <c r="AK11" i="1"/>
  <c r="AQ11" i="1" s="1"/>
  <c r="AH12" i="1"/>
  <c r="AL13" i="2"/>
  <c r="AK13" i="2"/>
  <c r="AQ13" i="2" s="1"/>
  <c r="AH14" i="2"/>
  <c r="AR12" i="4"/>
  <c r="AW12" i="4"/>
  <c r="AT23" i="16"/>
  <c r="AR29" i="16"/>
  <c r="BG12" i="16" s="1"/>
  <c r="S11" i="16" s="1"/>
  <c r="AR12" i="5"/>
  <c r="AW12" i="5"/>
  <c r="S13" i="17" l="1"/>
  <c r="BL72" i="61" s="1"/>
  <c r="AW22" i="12"/>
  <c r="AR13" i="4"/>
  <c r="AT13" i="4" s="1"/>
  <c r="AU13" i="4" s="1"/>
  <c r="AR14" i="6"/>
  <c r="AT14" i="6" s="1"/>
  <c r="AU14" i="6" s="1"/>
  <c r="BG17" i="17"/>
  <c r="S16" i="18"/>
  <c r="BK75" i="61" s="1"/>
  <c r="I54" i="16"/>
  <c r="BM70" i="61"/>
  <c r="I50" i="16"/>
  <c r="BG27" i="16"/>
  <c r="AM12" i="3"/>
  <c r="AW12" i="3" s="1"/>
  <c r="AM18" i="7"/>
  <c r="AR18" i="7" s="1"/>
  <c r="AT18" i="7" s="1"/>
  <c r="AU18" i="7" s="1"/>
  <c r="AM20" i="10"/>
  <c r="AW20" i="10" s="1"/>
  <c r="AU23" i="16"/>
  <c r="AU29" i="16" s="1"/>
  <c r="BG15" i="16" s="1"/>
  <c r="S14" i="16" s="1"/>
  <c r="AT29" i="16"/>
  <c r="BG13" i="16" s="1"/>
  <c r="S12" i="16" s="1"/>
  <c r="AM13" i="2"/>
  <c r="AM11" i="1"/>
  <c r="AT11" i="2"/>
  <c r="AR11" i="3"/>
  <c r="AT11" i="3" s="1"/>
  <c r="AU11" i="3" s="1"/>
  <c r="AW11" i="3"/>
  <c r="AK21" i="10"/>
  <c r="AQ21" i="10" s="1"/>
  <c r="AL21" i="10"/>
  <c r="AH22" i="10"/>
  <c r="AT10" i="3"/>
  <c r="AM23" i="11"/>
  <c r="AG32" i="11"/>
  <c r="AL22" i="8"/>
  <c r="AK22" i="8"/>
  <c r="AQ22" i="8" s="1"/>
  <c r="AH23" i="8"/>
  <c r="AT23" i="15"/>
  <c r="AR29" i="15"/>
  <c r="BG12" i="15" s="1"/>
  <c r="S11" i="15" s="1"/>
  <c r="AR19" i="10"/>
  <c r="AT19" i="10" s="1"/>
  <c r="AU19" i="10" s="1"/>
  <c r="AW19" i="10"/>
  <c r="AM14" i="4"/>
  <c r="AR12" i="2"/>
  <c r="AT12" i="2" s="1"/>
  <c r="AU12" i="2" s="1"/>
  <c r="AW12" i="2"/>
  <c r="AM23" i="13"/>
  <c r="AK15" i="5"/>
  <c r="AQ15" i="5" s="1"/>
  <c r="AL15" i="5"/>
  <c r="AH16" i="5"/>
  <c r="AR20" i="10"/>
  <c r="AT20" i="10" s="1"/>
  <c r="AU20" i="10" s="1"/>
  <c r="AM21" i="8"/>
  <c r="AL13" i="3"/>
  <c r="AK13" i="3"/>
  <c r="AQ13" i="3" s="1"/>
  <c r="AH14" i="3"/>
  <c r="AM23" i="9"/>
  <c r="AG32" i="9"/>
  <c r="AT19" i="8"/>
  <c r="AT12" i="5"/>
  <c r="AT12" i="4"/>
  <c r="AR22" i="11"/>
  <c r="AT22" i="11" s="1"/>
  <c r="AU22" i="11" s="1"/>
  <c r="AW22" i="11"/>
  <c r="AM14" i="5"/>
  <c r="AR17" i="7"/>
  <c r="AT17" i="7" s="1"/>
  <c r="AU17" i="7" s="1"/>
  <c r="AW17" i="7"/>
  <c r="AT4" i="1"/>
  <c r="AL19" i="7"/>
  <c r="AK19" i="7"/>
  <c r="AQ19" i="7" s="1"/>
  <c r="AH20" i="7"/>
  <c r="AR22" i="13"/>
  <c r="AT22" i="13" s="1"/>
  <c r="AU22" i="13" s="1"/>
  <c r="AW22" i="13"/>
  <c r="AR13" i="5"/>
  <c r="AT13" i="5" s="1"/>
  <c r="AU13" i="5" s="1"/>
  <c r="AW13" i="5"/>
  <c r="AM23" i="12"/>
  <c r="AG32" i="12"/>
  <c r="AL16" i="6"/>
  <c r="AK16" i="6"/>
  <c r="AQ16" i="6" s="1"/>
  <c r="AG31" i="6" s="1"/>
  <c r="AH17" i="6"/>
  <c r="AL14" i="2"/>
  <c r="AK14" i="2"/>
  <c r="AQ14" i="2" s="1"/>
  <c r="AH15" i="2"/>
  <c r="AL12" i="1"/>
  <c r="AK12" i="1"/>
  <c r="AQ12" i="1" s="1"/>
  <c r="AH13" i="1"/>
  <c r="AR20" i="8"/>
  <c r="AT20" i="8" s="1"/>
  <c r="AU20" i="8" s="1"/>
  <c r="AW20" i="8"/>
  <c r="AR23" i="14"/>
  <c r="AW23" i="14"/>
  <c r="AW29" i="14" s="1"/>
  <c r="BG16" i="14" s="1"/>
  <c r="S15" i="14" s="1"/>
  <c r="BO74" i="61" s="1"/>
  <c r="AR10" i="1"/>
  <c r="AT10" i="1" s="1"/>
  <c r="AU10" i="1" s="1"/>
  <c r="AW10" i="1"/>
  <c r="AL15" i="4"/>
  <c r="AK15" i="4"/>
  <c r="AQ15" i="4" s="1"/>
  <c r="AH16" i="4"/>
  <c r="AU15" i="7"/>
  <c r="AM15" i="6"/>
  <c r="AT13" i="6"/>
  <c r="I40" i="17" l="1"/>
  <c r="S16" i="17" s="1"/>
  <c r="BL75" i="61" s="1"/>
  <c r="AW18" i="7"/>
  <c r="AR12" i="3"/>
  <c r="AT12" i="3" s="1"/>
  <c r="AU12" i="3" s="1"/>
  <c r="AM14" i="2"/>
  <c r="AR14" i="2" s="1"/>
  <c r="AT14" i="2" s="1"/>
  <c r="AU14" i="2" s="1"/>
  <c r="S26" i="16"/>
  <c r="BM85" i="61" s="1"/>
  <c r="BG27" i="15"/>
  <c r="BN70" i="61"/>
  <c r="I54" i="15"/>
  <c r="I50" i="15"/>
  <c r="BG14" i="16"/>
  <c r="BM71" i="61"/>
  <c r="I37" i="16"/>
  <c r="BM73" i="61"/>
  <c r="AM15" i="5"/>
  <c r="AR15" i="5" s="1"/>
  <c r="AT15" i="5" s="1"/>
  <c r="AU15" i="5" s="1"/>
  <c r="AM13" i="3"/>
  <c r="AR13" i="3" s="1"/>
  <c r="AT13" i="3" s="1"/>
  <c r="AU13" i="3" s="1"/>
  <c r="AM15" i="4"/>
  <c r="AM12" i="1"/>
  <c r="AL20" i="7"/>
  <c r="AK20" i="7"/>
  <c r="AQ20" i="7" s="1"/>
  <c r="AH21" i="7"/>
  <c r="AR14" i="5"/>
  <c r="AT14" i="5" s="1"/>
  <c r="AU14" i="5" s="1"/>
  <c r="AW14" i="5"/>
  <c r="AU12" i="4"/>
  <c r="AU19" i="8"/>
  <c r="AL22" i="10"/>
  <c r="AK22" i="10"/>
  <c r="AQ22" i="10" s="1"/>
  <c r="AH23" i="10"/>
  <c r="AR13" i="2"/>
  <c r="AW13" i="2"/>
  <c r="AU13" i="6"/>
  <c r="AL17" i="6"/>
  <c r="AK17" i="6"/>
  <c r="AQ17" i="6" s="1"/>
  <c r="AH18" i="6"/>
  <c r="AR23" i="12"/>
  <c r="AW23" i="12"/>
  <c r="AW29" i="12" s="1"/>
  <c r="BG16" i="12" s="1"/>
  <c r="S15" i="12" s="1"/>
  <c r="BQ74" i="61" s="1"/>
  <c r="AM19" i="7"/>
  <c r="AL16" i="5"/>
  <c r="AK16" i="5"/>
  <c r="AQ16" i="5" s="1"/>
  <c r="AH17" i="5"/>
  <c r="AL23" i="8"/>
  <c r="AK23" i="8"/>
  <c r="AQ23" i="8" s="1"/>
  <c r="AR23" i="11"/>
  <c r="AW23" i="11"/>
  <c r="AW29" i="11" s="1"/>
  <c r="BG16" i="11" s="1"/>
  <c r="S15" i="11" s="1"/>
  <c r="AL15" i="2"/>
  <c r="AK15" i="2"/>
  <c r="AQ15" i="2" s="1"/>
  <c r="AH16" i="2"/>
  <c r="AM16" i="6"/>
  <c r="AU12" i="5"/>
  <c r="AR23" i="9"/>
  <c r="AW23" i="9"/>
  <c r="AW29" i="9" s="1"/>
  <c r="BG16" i="9" s="1"/>
  <c r="S15" i="9" s="1"/>
  <c r="AK14" i="3"/>
  <c r="AQ14" i="3" s="1"/>
  <c r="AL14" i="3"/>
  <c r="AH15" i="3"/>
  <c r="AR21" i="8"/>
  <c r="AT21" i="8" s="1"/>
  <c r="AU21" i="8" s="1"/>
  <c r="AW21" i="8"/>
  <c r="AM22" i="8"/>
  <c r="AM21" i="10"/>
  <c r="AU11" i="2"/>
  <c r="AR15" i="6"/>
  <c r="AW15" i="6"/>
  <c r="AL16" i="4"/>
  <c r="AK16" i="4"/>
  <c r="AQ16" i="4" s="1"/>
  <c r="AH17" i="4"/>
  <c r="AT23" i="14"/>
  <c r="AR29" i="14"/>
  <c r="BG12" i="14" s="1"/>
  <c r="S11" i="14" s="1"/>
  <c r="AK13" i="1"/>
  <c r="AQ13" i="1" s="1"/>
  <c r="AL13" i="1"/>
  <c r="AH14" i="1"/>
  <c r="AU4" i="1"/>
  <c r="AR23" i="13"/>
  <c r="AW23" i="13"/>
  <c r="AW29" i="13" s="1"/>
  <c r="BG16" i="13" s="1"/>
  <c r="S15" i="13" s="1"/>
  <c r="BP74" i="61" s="1"/>
  <c r="AR14" i="4"/>
  <c r="AW14" i="4"/>
  <c r="AU23" i="15"/>
  <c r="AU29" i="15" s="1"/>
  <c r="BG15" i="15" s="1"/>
  <c r="S14" i="15" s="1"/>
  <c r="AT29" i="15"/>
  <c r="BG13" i="15" s="1"/>
  <c r="S12" i="15" s="1"/>
  <c r="AU10" i="3"/>
  <c r="AR11" i="1"/>
  <c r="AT11" i="1" s="1"/>
  <c r="AU11" i="1" s="1"/>
  <c r="AW11" i="1"/>
  <c r="S13" i="16" l="1"/>
  <c r="BM72" i="61" s="1"/>
  <c r="BR74" i="61"/>
  <c r="BT74" i="61"/>
  <c r="S26" i="15"/>
  <c r="BN85" i="61" s="1"/>
  <c r="AW14" i="2"/>
  <c r="AW15" i="5"/>
  <c r="AW13" i="3"/>
  <c r="AM15" i="2"/>
  <c r="AR15" i="2" s="1"/>
  <c r="AT15" i="2" s="1"/>
  <c r="AU15" i="2" s="1"/>
  <c r="I37" i="15"/>
  <c r="BN71" i="61"/>
  <c r="BG14" i="15"/>
  <c r="BO70" i="61"/>
  <c r="I50" i="14"/>
  <c r="BG27" i="14"/>
  <c r="I54" i="14"/>
  <c r="BN73" i="61"/>
  <c r="AT14" i="4"/>
  <c r="AL17" i="4"/>
  <c r="AK17" i="4"/>
  <c r="AQ17" i="4" s="1"/>
  <c r="AH18" i="4"/>
  <c r="AT15" i="6"/>
  <c r="AL15" i="3"/>
  <c r="AK15" i="3"/>
  <c r="AQ15" i="3" s="1"/>
  <c r="AH16" i="3"/>
  <c r="AT23" i="9"/>
  <c r="AR29" i="9"/>
  <c r="BG12" i="9" s="1"/>
  <c r="S11" i="9" s="1"/>
  <c r="AL16" i="2"/>
  <c r="AK16" i="2"/>
  <c r="AQ16" i="2" s="1"/>
  <c r="AH17" i="2"/>
  <c r="AM13" i="1"/>
  <c r="AM16" i="4"/>
  <c r="AG31" i="4"/>
  <c r="AR22" i="8"/>
  <c r="AT22" i="8" s="1"/>
  <c r="AU22" i="8" s="1"/>
  <c r="AW22" i="8"/>
  <c r="AK17" i="5"/>
  <c r="AQ17" i="5" s="1"/>
  <c r="AL17" i="5"/>
  <c r="AH18" i="5"/>
  <c r="AT23" i="12"/>
  <c r="AR29" i="12"/>
  <c r="BG12" i="12" s="1"/>
  <c r="S11" i="12" s="1"/>
  <c r="AT13" i="2"/>
  <c r="AL21" i="7"/>
  <c r="AK21" i="7"/>
  <c r="AQ21" i="7" s="1"/>
  <c r="AH22" i="7"/>
  <c r="AR12" i="1"/>
  <c r="AT12" i="1" s="1"/>
  <c r="AW12" i="1"/>
  <c r="AT23" i="13"/>
  <c r="AR29" i="13"/>
  <c r="BG12" i="13" s="1"/>
  <c r="S11" i="13" s="1"/>
  <c r="AM14" i="3"/>
  <c r="AT23" i="11"/>
  <c r="AR29" i="11"/>
  <c r="BG12" i="11" s="1"/>
  <c r="S11" i="11" s="1"/>
  <c r="AM16" i="5"/>
  <c r="AG31" i="5"/>
  <c r="AL18" i="6"/>
  <c r="AK18" i="6"/>
  <c r="AQ18" i="6" s="1"/>
  <c r="AH19" i="6"/>
  <c r="AK23" i="10"/>
  <c r="AQ23" i="10" s="1"/>
  <c r="AG32" i="10" s="1"/>
  <c r="AL23" i="10"/>
  <c r="AM20" i="7"/>
  <c r="AR15" i="4"/>
  <c r="AT15" i="4" s="1"/>
  <c r="AU15" i="4" s="1"/>
  <c r="AW15" i="4"/>
  <c r="AL14" i="1"/>
  <c r="AK14" i="1"/>
  <c r="AQ14" i="1" s="1"/>
  <c r="AH15" i="1"/>
  <c r="AU23" i="14"/>
  <c r="AU29" i="14" s="1"/>
  <c r="BG15" i="14" s="1"/>
  <c r="S14" i="14" s="1"/>
  <c r="AT29" i="14"/>
  <c r="BG13" i="14" s="1"/>
  <c r="S12" i="14" s="1"/>
  <c r="AR21" i="10"/>
  <c r="AT21" i="10" s="1"/>
  <c r="AU21" i="10" s="1"/>
  <c r="AW21" i="10"/>
  <c r="AR16" i="6"/>
  <c r="AT16" i="6" s="1"/>
  <c r="AU16" i="6" s="1"/>
  <c r="AW16" i="6"/>
  <c r="AM23" i="8"/>
  <c r="AG32" i="8"/>
  <c r="AR19" i="7"/>
  <c r="AT19" i="7" s="1"/>
  <c r="AW19" i="7"/>
  <c r="AM17" i="6"/>
  <c r="AM22" i="10"/>
  <c r="I40" i="16" l="1"/>
  <c r="BG17" i="16"/>
  <c r="BR70" i="61"/>
  <c r="BG27" i="11"/>
  <c r="I54" i="11"/>
  <c r="I50" i="11"/>
  <c r="BT70" i="61"/>
  <c r="I54" i="9"/>
  <c r="BG27" i="9"/>
  <c r="I50" i="9"/>
  <c r="BG27" i="13"/>
  <c r="I54" i="13"/>
  <c r="BP70" i="61"/>
  <c r="I50" i="13"/>
  <c r="BG27" i="12"/>
  <c r="BQ70" i="61"/>
  <c r="I54" i="12"/>
  <c r="I50" i="12"/>
  <c r="AM14" i="1"/>
  <c r="AW14" i="1" s="1"/>
  <c r="AM18" i="6"/>
  <c r="AW18" i="6" s="1"/>
  <c r="AW15" i="2"/>
  <c r="AM15" i="3"/>
  <c r="AR15" i="3" s="1"/>
  <c r="AT15" i="3" s="1"/>
  <c r="AU15" i="3" s="1"/>
  <c r="S26" i="14"/>
  <c r="BO85" i="61" s="1"/>
  <c r="BG14" i="14"/>
  <c r="I37" i="14"/>
  <c r="BO71" i="61"/>
  <c r="BO73" i="61"/>
  <c r="S13" i="15"/>
  <c r="AM23" i="10"/>
  <c r="AW23" i="10" s="1"/>
  <c r="AR22" i="10"/>
  <c r="AT22" i="10" s="1"/>
  <c r="AU22" i="10" s="1"/>
  <c r="AW22" i="10"/>
  <c r="AR20" i="7"/>
  <c r="AT20" i="7" s="1"/>
  <c r="AU20" i="7" s="1"/>
  <c r="AW20" i="7"/>
  <c r="AL19" i="6"/>
  <c r="AK19" i="6"/>
  <c r="AQ19" i="6" s="1"/>
  <c r="AH20" i="6"/>
  <c r="AR16" i="5"/>
  <c r="AT16" i="5" s="1"/>
  <c r="AW16" i="5"/>
  <c r="AR14" i="3"/>
  <c r="AW14" i="3"/>
  <c r="AR16" i="4"/>
  <c r="AT16" i="4" s="1"/>
  <c r="AU16" i="4" s="1"/>
  <c r="AW16" i="4"/>
  <c r="AL18" i="4"/>
  <c r="AK18" i="4"/>
  <c r="AQ18" i="4" s="1"/>
  <c r="AH19" i="4"/>
  <c r="AU19" i="7"/>
  <c r="AU12" i="1"/>
  <c r="AU23" i="12"/>
  <c r="AU29" i="12" s="1"/>
  <c r="BG15" i="12" s="1"/>
  <c r="S14" i="12" s="1"/>
  <c r="AT29" i="12"/>
  <c r="BG13" i="12" s="1"/>
  <c r="S12" i="12" s="1"/>
  <c r="AM17" i="5"/>
  <c r="AL17" i="2"/>
  <c r="AK17" i="2"/>
  <c r="AQ17" i="2" s="1"/>
  <c r="AH18" i="2"/>
  <c r="AU23" i="9"/>
  <c r="AU29" i="9" s="1"/>
  <c r="BG15" i="9" s="1"/>
  <c r="S14" i="9" s="1"/>
  <c r="AT29" i="9"/>
  <c r="BG13" i="9" s="1"/>
  <c r="S12" i="9" s="1"/>
  <c r="AM17" i="4"/>
  <c r="AU14" i="4"/>
  <c r="AR17" i="6"/>
  <c r="AT17" i="6" s="1"/>
  <c r="AU17" i="6" s="1"/>
  <c r="AW17" i="6"/>
  <c r="AK15" i="1"/>
  <c r="AQ15" i="1" s="1"/>
  <c r="AL15" i="1"/>
  <c r="AH16" i="1"/>
  <c r="AU23" i="11"/>
  <c r="AU29" i="11" s="1"/>
  <c r="BG15" i="11" s="1"/>
  <c r="S14" i="11" s="1"/>
  <c r="AT29" i="11"/>
  <c r="BG13" i="11" s="1"/>
  <c r="S12" i="11" s="1"/>
  <c r="AL22" i="7"/>
  <c r="AK22" i="7"/>
  <c r="AQ22" i="7" s="1"/>
  <c r="AH23" i="7"/>
  <c r="AR13" i="1"/>
  <c r="AT13" i="1" s="1"/>
  <c r="AU13" i="1" s="1"/>
  <c r="AW13" i="1"/>
  <c r="AM16" i="2"/>
  <c r="AG31" i="2"/>
  <c r="AK16" i="3"/>
  <c r="AQ16" i="3" s="1"/>
  <c r="AL16" i="3"/>
  <c r="AH17" i="3"/>
  <c r="AR23" i="8"/>
  <c r="AW23" i="8"/>
  <c r="AW29" i="8" s="1"/>
  <c r="BG16" i="8" s="1"/>
  <c r="S15" i="8" s="1"/>
  <c r="AU23" i="13"/>
  <c r="AU29" i="13" s="1"/>
  <c r="BG15" i="13" s="1"/>
  <c r="S14" i="13" s="1"/>
  <c r="AT29" i="13"/>
  <c r="BG13" i="13" s="1"/>
  <c r="S12" i="13" s="1"/>
  <c r="AM21" i="7"/>
  <c r="AU13" i="2"/>
  <c r="AL18" i="5"/>
  <c r="AK18" i="5"/>
  <c r="AQ18" i="5" s="1"/>
  <c r="AH19" i="5"/>
  <c r="AU15" i="6"/>
  <c r="S16" i="16" l="1"/>
  <c r="BM75" i="61" s="1"/>
  <c r="S26" i="11"/>
  <c r="BR85" i="61" s="1"/>
  <c r="S26" i="9"/>
  <c r="BT85" i="61" s="1"/>
  <c r="AR14" i="1"/>
  <c r="AT14" i="1" s="1"/>
  <c r="AU14" i="1" s="1"/>
  <c r="AR18" i="6"/>
  <c r="AT18" i="6" s="1"/>
  <c r="AU18" i="6" s="1"/>
  <c r="BT73" i="61"/>
  <c r="BR71" i="61"/>
  <c r="I37" i="11"/>
  <c r="BG14" i="11"/>
  <c r="BU74" i="61"/>
  <c r="BR73" i="61"/>
  <c r="BT71" i="61"/>
  <c r="BG14" i="9"/>
  <c r="I37" i="9"/>
  <c r="S13" i="14"/>
  <c r="BO72" i="61" s="1"/>
  <c r="BQ73" i="61"/>
  <c r="S26" i="12"/>
  <c r="BQ85" i="61" s="1"/>
  <c r="S26" i="13"/>
  <c r="BP85" i="61" s="1"/>
  <c r="BP71" i="61"/>
  <c r="BG14" i="13"/>
  <c r="I37" i="13"/>
  <c r="BP73" i="61"/>
  <c r="I37" i="12"/>
  <c r="BQ71" i="61"/>
  <c r="BG14" i="12"/>
  <c r="AR23" i="10"/>
  <c r="AR29" i="10" s="1"/>
  <c r="BG12" i="10" s="1"/>
  <c r="S11" i="10" s="1"/>
  <c r="AW29" i="10"/>
  <c r="BG16" i="10" s="1"/>
  <c r="S15" i="10" s="1"/>
  <c r="AW15" i="3"/>
  <c r="AM18" i="5"/>
  <c r="AW18" i="5" s="1"/>
  <c r="AM22" i="7"/>
  <c r="AR22" i="7" s="1"/>
  <c r="AT22" i="7" s="1"/>
  <c r="AU22" i="7" s="1"/>
  <c r="AM18" i="4"/>
  <c r="AR18" i="4" s="1"/>
  <c r="AT18" i="4" s="1"/>
  <c r="AU18" i="4" s="1"/>
  <c r="BN72" i="61"/>
  <c r="I40" i="15"/>
  <c r="BG17" i="15"/>
  <c r="AL17" i="3"/>
  <c r="AK17" i="3"/>
  <c r="AQ17" i="3" s="1"/>
  <c r="AH18" i="3"/>
  <c r="AR16" i="2"/>
  <c r="AW16" i="2"/>
  <c r="AL23" i="7"/>
  <c r="AK23" i="7"/>
  <c r="AQ23" i="7" s="1"/>
  <c r="AL19" i="4"/>
  <c r="AK19" i="4"/>
  <c r="AQ19" i="4" s="1"/>
  <c r="AH20" i="4"/>
  <c r="AU16" i="5"/>
  <c r="AR21" i="7"/>
  <c r="AT21" i="7" s="1"/>
  <c r="AW21" i="7"/>
  <c r="AK16" i="1"/>
  <c r="AQ16" i="1" s="1"/>
  <c r="AL16" i="1"/>
  <c r="AH17" i="1"/>
  <c r="AR17" i="4"/>
  <c r="AT17" i="4" s="1"/>
  <c r="AW17" i="4"/>
  <c r="AL18" i="2"/>
  <c r="AK18" i="2"/>
  <c r="AQ18" i="2" s="1"/>
  <c r="AH19" i="2"/>
  <c r="AL20" i="6"/>
  <c r="AK20" i="6"/>
  <c r="AQ20" i="6" s="1"/>
  <c r="AH21" i="6"/>
  <c r="AT23" i="8"/>
  <c r="AR29" i="8"/>
  <c r="BG12" i="8" s="1"/>
  <c r="S11" i="8" s="1"/>
  <c r="AM16" i="3"/>
  <c r="AG31" i="3"/>
  <c r="AM17" i="2"/>
  <c r="AR17" i="5"/>
  <c r="AT17" i="5" s="1"/>
  <c r="AU17" i="5" s="1"/>
  <c r="AW17" i="5"/>
  <c r="AT14" i="3"/>
  <c r="AM19" i="6"/>
  <c r="AK19" i="5"/>
  <c r="AQ19" i="5" s="1"/>
  <c r="AL19" i="5"/>
  <c r="AH20" i="5"/>
  <c r="AM15" i="1"/>
  <c r="S13" i="9" l="1"/>
  <c r="BT72" i="61" s="1"/>
  <c r="S13" i="11"/>
  <c r="BR72" i="61" s="1"/>
  <c r="BS74" i="61"/>
  <c r="BS70" i="61"/>
  <c r="I50" i="10"/>
  <c r="BG27" i="10"/>
  <c r="I54" i="10"/>
  <c r="I40" i="9"/>
  <c r="BG17" i="9"/>
  <c r="BU70" i="61"/>
  <c r="I50" i="8"/>
  <c r="I54" i="8"/>
  <c r="BG27" i="8"/>
  <c r="S26" i="8" s="1"/>
  <c r="BU85" i="61" s="1"/>
  <c r="BG17" i="14"/>
  <c r="I40" i="14"/>
  <c r="S13" i="12"/>
  <c r="BQ72" i="61" s="1"/>
  <c r="S13" i="13"/>
  <c r="AT23" i="10"/>
  <c r="AT29" i="10" s="1"/>
  <c r="BG13" i="10" s="1"/>
  <c r="S12" i="10" s="1"/>
  <c r="AR18" i="5"/>
  <c r="AT18" i="5" s="1"/>
  <c r="AU18" i="5" s="1"/>
  <c r="AW22" i="7"/>
  <c r="AM20" i="6"/>
  <c r="AR20" i="6" s="1"/>
  <c r="AT20" i="6" s="1"/>
  <c r="AU20" i="6" s="1"/>
  <c r="AW18" i="4"/>
  <c r="AM19" i="5"/>
  <c r="AR19" i="5" s="1"/>
  <c r="AT19" i="5" s="1"/>
  <c r="AU19" i="5" s="1"/>
  <c r="S16" i="15"/>
  <c r="BN75" i="61" s="1"/>
  <c r="AL20" i="5"/>
  <c r="AK20" i="5"/>
  <c r="AQ20" i="5" s="1"/>
  <c r="AH21" i="5"/>
  <c r="AR19" i="6"/>
  <c r="AT19" i="6" s="1"/>
  <c r="AU19" i="6" s="1"/>
  <c r="AW19" i="6"/>
  <c r="AM16" i="1"/>
  <c r="AG31" i="1"/>
  <c r="AU21" i="7"/>
  <c r="AM19" i="4"/>
  <c r="AM17" i="3"/>
  <c r="AR15" i="1"/>
  <c r="AW15" i="1"/>
  <c r="AR16" i="3"/>
  <c r="AT16" i="3" s="1"/>
  <c r="AU16" i="3" s="1"/>
  <c r="AW16" i="3"/>
  <c r="AL19" i="2"/>
  <c r="AK19" i="2"/>
  <c r="AQ19" i="2" s="1"/>
  <c r="AH20" i="2"/>
  <c r="AU17" i="4"/>
  <c r="AU14" i="3"/>
  <c r="AL21" i="6"/>
  <c r="AK21" i="6"/>
  <c r="AQ21" i="6" s="1"/>
  <c r="AH22" i="6"/>
  <c r="AM18" i="2"/>
  <c r="AL17" i="1"/>
  <c r="AK17" i="1"/>
  <c r="AQ17" i="1" s="1"/>
  <c r="AH18" i="1"/>
  <c r="AT16" i="2"/>
  <c r="AR17" i="2"/>
  <c r="AT17" i="2" s="1"/>
  <c r="AU17" i="2" s="1"/>
  <c r="AW17" i="2"/>
  <c r="AU23" i="8"/>
  <c r="AU29" i="8" s="1"/>
  <c r="BG15" i="8" s="1"/>
  <c r="S14" i="8" s="1"/>
  <c r="AT29" i="8"/>
  <c r="BG13" i="8" s="1"/>
  <c r="S12" i="8" s="1"/>
  <c r="AL20" i="4"/>
  <c r="AK20" i="4"/>
  <c r="AQ20" i="4" s="1"/>
  <c r="AH21" i="4"/>
  <c r="AM23" i="7"/>
  <c r="AG32" i="7"/>
  <c r="AK18" i="3"/>
  <c r="AQ18" i="3" s="1"/>
  <c r="AL18" i="3"/>
  <c r="AH19" i="3"/>
  <c r="S16" i="14" l="1"/>
  <c r="BO75" i="61" s="1"/>
  <c r="S26" i="10"/>
  <c r="BS85" i="61" s="1"/>
  <c r="S16" i="9"/>
  <c r="BT75" i="61" s="1"/>
  <c r="I40" i="11"/>
  <c r="BG17" i="11"/>
  <c r="S16" i="11" s="1"/>
  <c r="BR75" i="61" s="1"/>
  <c r="BU71" i="61"/>
  <c r="I37" i="8"/>
  <c r="BG14" i="8"/>
  <c r="BU73" i="61"/>
  <c r="BS71" i="61"/>
  <c r="BG14" i="10"/>
  <c r="I37" i="10"/>
  <c r="I40" i="12"/>
  <c r="BG17" i="12"/>
  <c r="BP72" i="61"/>
  <c r="I40" i="13"/>
  <c r="BG17" i="13"/>
  <c r="AU23" i="10"/>
  <c r="AU29" i="10" s="1"/>
  <c r="BG15" i="10" s="1"/>
  <c r="S14" i="10" s="1"/>
  <c r="AW20" i="6"/>
  <c r="AW19" i="5"/>
  <c r="AM18" i="3"/>
  <c r="AR18" i="3" s="1"/>
  <c r="AT18" i="3" s="1"/>
  <c r="AU18" i="3" s="1"/>
  <c r="AM20" i="4"/>
  <c r="AW20" i="4" s="1"/>
  <c r="AL18" i="1"/>
  <c r="AK18" i="1"/>
  <c r="AQ18" i="1" s="1"/>
  <c r="AH19" i="1"/>
  <c r="AK22" i="6"/>
  <c r="AQ22" i="6" s="1"/>
  <c r="AL22" i="6"/>
  <c r="AH23" i="6"/>
  <c r="AL21" i="4"/>
  <c r="AK21" i="4"/>
  <c r="AQ21" i="4" s="1"/>
  <c r="AH22" i="4"/>
  <c r="AM17" i="1"/>
  <c r="AM21" i="6"/>
  <c r="AL20" i="2"/>
  <c r="AK20" i="2"/>
  <c r="AQ20" i="2" s="1"/>
  <c r="AH21" i="2"/>
  <c r="AT15" i="1"/>
  <c r="AR19" i="4"/>
  <c r="AT19" i="4" s="1"/>
  <c r="AW19" i="4"/>
  <c r="AR16" i="1"/>
  <c r="AT16" i="1" s="1"/>
  <c r="AU16" i="1" s="1"/>
  <c r="AW16" i="1"/>
  <c r="AM19" i="2"/>
  <c r="AK21" i="5"/>
  <c r="AQ21" i="5" s="1"/>
  <c r="AL21" i="5"/>
  <c r="AH22" i="5"/>
  <c r="AL19" i="3"/>
  <c r="AK19" i="3"/>
  <c r="AQ19" i="3" s="1"/>
  <c r="AH20" i="3"/>
  <c r="AR23" i="7"/>
  <c r="AW23" i="7"/>
  <c r="AW29" i="7" s="1"/>
  <c r="BG16" i="7" s="1"/>
  <c r="S15" i="7" s="1"/>
  <c r="AU16" i="2"/>
  <c r="AR18" i="2"/>
  <c r="AT18" i="2" s="1"/>
  <c r="AU18" i="2" s="1"/>
  <c r="AW18" i="2"/>
  <c r="AR17" i="3"/>
  <c r="AT17" i="3" s="1"/>
  <c r="AW17" i="3"/>
  <c r="AM20" i="5"/>
  <c r="S16" i="12" l="1"/>
  <c r="BQ75" i="61" s="1"/>
  <c r="S13" i="10"/>
  <c r="BS72" i="61" s="1"/>
  <c r="AR20" i="4"/>
  <c r="AT20" i="4" s="1"/>
  <c r="AU20" i="4" s="1"/>
  <c r="S13" i="8"/>
  <c r="I40" i="8" s="1"/>
  <c r="BV74" i="61"/>
  <c r="BS73" i="61"/>
  <c r="I40" i="10"/>
  <c r="BG17" i="10"/>
  <c r="S16" i="13"/>
  <c r="BP75" i="61" s="1"/>
  <c r="AM20" i="2"/>
  <c r="AW20" i="2" s="1"/>
  <c r="AW18" i="3"/>
  <c r="AM18" i="1"/>
  <c r="AR18" i="1" s="1"/>
  <c r="AT18" i="1" s="1"/>
  <c r="AU18" i="1" s="1"/>
  <c r="AM22" i="6"/>
  <c r="AR22" i="6" s="1"/>
  <c r="AT22" i="6" s="1"/>
  <c r="AU22" i="6" s="1"/>
  <c r="AK20" i="3"/>
  <c r="AQ20" i="3" s="1"/>
  <c r="AL20" i="3"/>
  <c r="AH21" i="3"/>
  <c r="AR19" i="2"/>
  <c r="AT19" i="2" s="1"/>
  <c r="AW19" i="2"/>
  <c r="AU19" i="4"/>
  <c r="AR20" i="5"/>
  <c r="AT20" i="5" s="1"/>
  <c r="AU20" i="5" s="1"/>
  <c r="AW20" i="5"/>
  <c r="AM19" i="3"/>
  <c r="AM21" i="5"/>
  <c r="AR17" i="1"/>
  <c r="AT17" i="1" s="1"/>
  <c r="AU17" i="1" s="1"/>
  <c r="AW17" i="1"/>
  <c r="AL19" i="1"/>
  <c r="AK19" i="1"/>
  <c r="AQ19" i="1" s="1"/>
  <c r="AH20" i="1"/>
  <c r="AU15" i="1"/>
  <c r="AL22" i="4"/>
  <c r="AK22" i="4"/>
  <c r="AQ22" i="4" s="1"/>
  <c r="AH23" i="4"/>
  <c r="AL23" i="6"/>
  <c r="AK23" i="6"/>
  <c r="AQ23" i="6" s="1"/>
  <c r="AU17" i="3"/>
  <c r="AT23" i="7"/>
  <c r="AR29" i="7"/>
  <c r="BG12" i="7" s="1"/>
  <c r="S11" i="7" s="1"/>
  <c r="AL22" i="5"/>
  <c r="AK22" i="5"/>
  <c r="AQ22" i="5" s="1"/>
  <c r="AH23" i="5"/>
  <c r="AL21" i="2"/>
  <c r="AK21" i="2"/>
  <c r="AQ21" i="2" s="1"/>
  <c r="AH22" i="2"/>
  <c r="AR21" i="6"/>
  <c r="AT21" i="6" s="1"/>
  <c r="AU21" i="6" s="1"/>
  <c r="AW21" i="6"/>
  <c r="AM21" i="4"/>
  <c r="S16" i="10" l="1"/>
  <c r="BS75" i="61" s="1"/>
  <c r="BU72" i="61"/>
  <c r="BG17" i="8"/>
  <c r="S16" i="8" s="1"/>
  <c r="BU75" i="61" s="1"/>
  <c r="BV70" i="61"/>
  <c r="I50" i="7"/>
  <c r="I54" i="7"/>
  <c r="BG27" i="7"/>
  <c r="AR20" i="2"/>
  <c r="AT20" i="2" s="1"/>
  <c r="AU20" i="2" s="1"/>
  <c r="AW18" i="1"/>
  <c r="AW22" i="6"/>
  <c r="AM23" i="6"/>
  <c r="AW23" i="6" s="1"/>
  <c r="AM21" i="2"/>
  <c r="AW21" i="2" s="1"/>
  <c r="AM22" i="5"/>
  <c r="AW22" i="5" s="1"/>
  <c r="AG32" i="6"/>
  <c r="AM19" i="1"/>
  <c r="AU19" i="2"/>
  <c r="AL23" i="4"/>
  <c r="AK23" i="4"/>
  <c r="AQ23" i="4" s="1"/>
  <c r="AR21" i="5"/>
  <c r="AT21" i="5" s="1"/>
  <c r="AU21" i="5" s="1"/>
  <c r="AW21" i="5"/>
  <c r="AL21" i="3"/>
  <c r="AK21" i="3"/>
  <c r="AQ21" i="3" s="1"/>
  <c r="AH22" i="3"/>
  <c r="AL22" i="2"/>
  <c r="AK22" i="2"/>
  <c r="AQ22" i="2" s="1"/>
  <c r="AH23" i="2"/>
  <c r="AK23" i="5"/>
  <c r="AQ23" i="5" s="1"/>
  <c r="AG32" i="5" s="1"/>
  <c r="AL23" i="5"/>
  <c r="AU23" i="7"/>
  <c r="AU29" i="7" s="1"/>
  <c r="BG15" i="7" s="1"/>
  <c r="S14" i="7" s="1"/>
  <c r="AT29" i="7"/>
  <c r="BG13" i="7" s="1"/>
  <c r="S12" i="7" s="1"/>
  <c r="AM22" i="4"/>
  <c r="AR19" i="3"/>
  <c r="AT19" i="3" s="1"/>
  <c r="AW19" i="3"/>
  <c r="AR21" i="4"/>
  <c r="AT21" i="4" s="1"/>
  <c r="AU21" i="4" s="1"/>
  <c r="AW21" i="4"/>
  <c r="AR21" i="2"/>
  <c r="AT21" i="2" s="1"/>
  <c r="AU21" i="2" s="1"/>
  <c r="AR22" i="5"/>
  <c r="AT22" i="5" s="1"/>
  <c r="AU22" i="5" s="1"/>
  <c r="AK20" i="1"/>
  <c r="AQ20" i="1" s="1"/>
  <c r="AL20" i="1"/>
  <c r="AH21" i="1"/>
  <c r="AM20" i="3"/>
  <c r="S26" i="7" l="1"/>
  <c r="BV85" i="61" s="1"/>
  <c r="BV71" i="61"/>
  <c r="I37" i="7"/>
  <c r="BG14" i="7"/>
  <c r="BV73" i="61"/>
  <c r="AR23" i="6"/>
  <c r="AT23" i="6" s="1"/>
  <c r="AW29" i="6"/>
  <c r="BG16" i="6" s="1"/>
  <c r="S15" i="6" s="1"/>
  <c r="AM21" i="3"/>
  <c r="AR21" i="3" s="1"/>
  <c r="AT21" i="3" s="1"/>
  <c r="AU21" i="3" s="1"/>
  <c r="AL21" i="1"/>
  <c r="AK21" i="1"/>
  <c r="AQ21" i="1" s="1"/>
  <c r="AH22" i="1"/>
  <c r="AU19" i="3"/>
  <c r="AM22" i="2"/>
  <c r="AM20" i="1"/>
  <c r="AR22" i="4"/>
  <c r="AT22" i="4" s="1"/>
  <c r="AU22" i="4" s="1"/>
  <c r="AW22" i="4"/>
  <c r="AM23" i="5"/>
  <c r="AK22" i="3"/>
  <c r="AQ22" i="3" s="1"/>
  <c r="AL22" i="3"/>
  <c r="AH23" i="3"/>
  <c r="AR19" i="1"/>
  <c r="AT19" i="1" s="1"/>
  <c r="AW19" i="1"/>
  <c r="AR20" i="3"/>
  <c r="AT20" i="3" s="1"/>
  <c r="AU20" i="3" s="1"/>
  <c r="AW20" i="3"/>
  <c r="AL23" i="2"/>
  <c r="AK23" i="2"/>
  <c r="AQ23" i="2" s="1"/>
  <c r="AM23" i="4"/>
  <c r="AG32" i="4"/>
  <c r="S13" i="7" l="1"/>
  <c r="BV72" i="61" s="1"/>
  <c r="I40" i="7"/>
  <c r="BG17" i="7"/>
  <c r="S16" i="7" s="1"/>
  <c r="BW74" i="61"/>
  <c r="AW21" i="3"/>
  <c r="AR29" i="6"/>
  <c r="BG12" i="6" s="1"/>
  <c r="S11" i="6" s="1"/>
  <c r="AM23" i="2"/>
  <c r="AM22" i="3"/>
  <c r="AR20" i="1"/>
  <c r="AT20" i="1" s="1"/>
  <c r="AU20" i="1" s="1"/>
  <c r="AW20" i="1"/>
  <c r="AM21" i="1"/>
  <c r="AR23" i="4"/>
  <c r="AW23" i="4"/>
  <c r="AW29" i="4" s="1"/>
  <c r="AU19" i="1"/>
  <c r="AR23" i="5"/>
  <c r="AW23" i="5"/>
  <c r="AW29" i="5" s="1"/>
  <c r="AG32" i="2"/>
  <c r="AL23" i="3"/>
  <c r="AK23" i="3"/>
  <c r="AQ23" i="3" s="1"/>
  <c r="AR22" i="2"/>
  <c r="AT22" i="2" s="1"/>
  <c r="AU22" i="2" s="1"/>
  <c r="AW22" i="2"/>
  <c r="AU23" i="6"/>
  <c r="AU29" i="6" s="1"/>
  <c r="BG15" i="6" s="1"/>
  <c r="S14" i="6" s="1"/>
  <c r="AT29" i="6"/>
  <c r="BG13" i="6" s="1"/>
  <c r="S12" i="6" s="1"/>
  <c r="AK22" i="1"/>
  <c r="AQ22" i="1" s="1"/>
  <c r="AL22" i="1"/>
  <c r="AH23" i="1"/>
  <c r="BW71" i="61" l="1"/>
  <c r="BG14" i="6"/>
  <c r="I37" i="6"/>
  <c r="BW73" i="61"/>
  <c r="BW70" i="61"/>
  <c r="I50" i="6"/>
  <c r="BG27" i="6"/>
  <c r="I54" i="6"/>
  <c r="BV75" i="61"/>
  <c r="AK23" i="1"/>
  <c r="AQ23" i="1" s="1"/>
  <c r="AL23" i="1"/>
  <c r="AM23" i="3"/>
  <c r="AT23" i="5"/>
  <c r="AR29" i="5"/>
  <c r="AT23" i="4"/>
  <c r="AR29" i="4"/>
  <c r="AG32" i="3"/>
  <c r="AR21" i="1"/>
  <c r="AT21" i="1" s="1"/>
  <c r="AU21" i="1" s="1"/>
  <c r="AW21" i="1"/>
  <c r="AR22" i="3"/>
  <c r="AT22" i="3" s="1"/>
  <c r="AU22" i="3" s="1"/>
  <c r="AW22" i="3"/>
  <c r="AM22" i="1"/>
  <c r="AR23" i="2"/>
  <c r="AW23" i="2"/>
  <c r="AW29" i="2" s="1"/>
  <c r="S13" i="6" l="1"/>
  <c r="BW72" i="61" s="1"/>
  <c r="BG17" i="6"/>
  <c r="S26" i="6"/>
  <c r="BW85" i="61" s="1"/>
  <c r="I40" i="6"/>
  <c r="AU23" i="5"/>
  <c r="AU29" i="5" s="1"/>
  <c r="AT29" i="5"/>
  <c r="AT23" i="2"/>
  <c r="AR29" i="2"/>
  <c r="AR23" i="3"/>
  <c r="AW23" i="3"/>
  <c r="AW29" i="3" s="1"/>
  <c r="AU23" i="4"/>
  <c r="AU29" i="4" s="1"/>
  <c r="AT29" i="4"/>
  <c r="AR22" i="1"/>
  <c r="AT22" i="1" s="1"/>
  <c r="AU22" i="1" s="1"/>
  <c r="AW22" i="1"/>
  <c r="AM23" i="1"/>
  <c r="AG32" i="1"/>
  <c r="S16" i="6" l="1"/>
  <c r="BW75" i="61" s="1"/>
  <c r="AR23" i="1"/>
  <c r="AW23" i="1"/>
  <c r="AW29" i="1" s="1"/>
  <c r="AU23" i="2"/>
  <c r="AU29" i="2" s="1"/>
  <c r="AT29" i="2"/>
  <c r="AT23" i="3"/>
  <c r="AR29" i="3"/>
  <c r="AU23" i="3" l="1"/>
  <c r="AU29" i="3" s="1"/>
  <c r="AT29" i="3"/>
  <c r="AT23" i="1"/>
  <c r="AR29" i="1"/>
  <c r="AU23" i="1" l="1"/>
  <c r="AU29" i="1" s="1"/>
  <c r="AT29" i="1"/>
  <c r="D13" i="49" l="1"/>
  <c r="D15" i="48"/>
  <c r="E15" i="48"/>
  <c r="D14" i="47"/>
  <c r="D14" i="46"/>
  <c r="D12" i="44"/>
  <c r="AP10" i="44" s="1"/>
  <c r="AR10" i="44" s="1"/>
  <c r="D14" i="42"/>
  <c r="D14" i="41"/>
  <c r="D11" i="40"/>
  <c r="D12" i="39"/>
  <c r="AK74" i="39" s="1"/>
  <c r="AM74" i="39" s="1"/>
  <c r="AS74" i="39" s="1"/>
  <c r="D13" i="38"/>
  <c r="AK79" i="38" s="1"/>
  <c r="AM79" i="38" s="1"/>
  <c r="AS79" i="38" s="1"/>
  <c r="AT79" i="38" s="1"/>
  <c r="D14" i="38" s="1"/>
  <c r="D14" i="37"/>
  <c r="D14" i="36"/>
  <c r="D13" i="35"/>
  <c r="AK79" i="35" s="1"/>
  <c r="AM79" i="35" s="1"/>
  <c r="AS79" i="35" s="1"/>
  <c r="AT79" i="35" s="1"/>
  <c r="D14" i="35" s="1"/>
  <c r="D11" i="34"/>
  <c r="E11" i="34"/>
  <c r="D11" i="31"/>
  <c r="D14" i="30"/>
  <c r="D13" i="29"/>
  <c r="AK79" i="29" s="1"/>
  <c r="AM79" i="29" s="1"/>
  <c r="AS79" i="29" s="1"/>
  <c r="AT79" i="29" s="1"/>
  <c r="D14" i="29" s="1"/>
  <c r="D13" i="28"/>
  <c r="AK79" i="28" s="1"/>
  <c r="AM79" i="28" s="1"/>
  <c r="AS79" i="28" s="1"/>
  <c r="AT79" i="28" s="1"/>
  <c r="D14" i="28" s="1"/>
  <c r="D14" i="26"/>
  <c r="E14" i="26"/>
  <c r="E11" i="27"/>
  <c r="AB16" i="27" s="1"/>
  <c r="AD16" i="27" s="1"/>
  <c r="E13" i="49"/>
  <c r="E14" i="47"/>
  <c r="E14" i="46"/>
  <c r="E12" i="44"/>
  <c r="AP11" i="44" s="1"/>
  <c r="AR11" i="44" s="1"/>
  <c r="AL13" i="44" s="1"/>
  <c r="E11" i="43"/>
  <c r="E14" i="42"/>
  <c r="E14" i="41"/>
  <c r="E11" i="40"/>
  <c r="E13" i="38"/>
  <c r="AK80" i="38" s="1"/>
  <c r="AM80" i="38" s="1"/>
  <c r="AS80" i="38" s="1"/>
  <c r="AT80" i="38" s="1"/>
  <c r="E14" i="38" s="1"/>
  <c r="E14" i="37"/>
  <c r="E14" i="36"/>
  <c r="E13" i="35"/>
  <c r="AK80" i="35" s="1"/>
  <c r="AM80" i="35" s="1"/>
  <c r="AS80" i="35" s="1"/>
  <c r="AT80" i="35" s="1"/>
  <c r="E14" i="35" s="1"/>
  <c r="E12" i="33"/>
  <c r="AK75" i="33" s="1"/>
  <c r="AM75" i="33" s="1"/>
  <c r="AS75" i="33" s="1"/>
  <c r="E11" i="31"/>
  <c r="E13" i="30"/>
  <c r="E13" i="29"/>
  <c r="E13" i="28"/>
  <c r="E13" i="59"/>
  <c r="D13" i="59"/>
  <c r="AB23" i="49" l="1"/>
  <c r="AD23" i="49" s="1"/>
  <c r="AP6" i="49"/>
  <c r="AR6" i="49" s="1"/>
  <c r="AK90" i="48"/>
  <c r="AM90" i="48" s="1"/>
  <c r="AS90" i="48" s="1"/>
  <c r="Z90" i="48"/>
  <c r="AB90" i="48" s="1"/>
  <c r="L100" i="48"/>
  <c r="N100" i="48" s="1"/>
  <c r="AQ100" i="48" s="1"/>
  <c r="AL12" i="44"/>
  <c r="AK89" i="48"/>
  <c r="AM89" i="48" s="1"/>
  <c r="AS89" i="48" s="1"/>
  <c r="Z89" i="48"/>
  <c r="AB89" i="48" s="1"/>
  <c r="AR90" i="48" s="1"/>
  <c r="L99" i="48"/>
  <c r="N99" i="48" s="1"/>
  <c r="AQ99" i="48" s="1"/>
  <c r="AB22" i="49"/>
  <c r="AD22" i="49" s="1"/>
  <c r="AP5" i="49"/>
  <c r="AR5" i="49" s="1"/>
  <c r="AP16" i="43"/>
  <c r="AR16" i="43" s="1"/>
  <c r="AP11" i="43"/>
  <c r="AR11" i="43" s="1"/>
  <c r="AK74" i="44"/>
  <c r="AM74" i="44" s="1"/>
  <c r="AS74" i="44" s="1"/>
  <c r="AP15" i="44"/>
  <c r="AR15" i="44" s="1"/>
  <c r="L10" i="44" s="1"/>
  <c r="AP74" i="44" s="1"/>
  <c r="AK75" i="44"/>
  <c r="AM75" i="44" s="1"/>
  <c r="AS75" i="44" s="1"/>
  <c r="AP16" i="44"/>
  <c r="AR16" i="44" s="1"/>
  <c r="L11" i="44" s="1"/>
  <c r="AP75" i="44" s="1"/>
  <c r="AK70" i="27"/>
  <c r="AM70" i="27" s="1"/>
  <c r="AS70" i="27" s="1"/>
  <c r="AB5" i="27"/>
  <c r="AD5" i="27" s="1"/>
  <c r="AB10" i="27"/>
  <c r="AD10" i="27" s="1"/>
  <c r="AK80" i="49"/>
  <c r="AM80" i="49" s="1"/>
  <c r="AS80" i="49" s="1"/>
  <c r="AB28" i="49"/>
  <c r="AD28" i="49" s="1"/>
  <c r="AK79" i="49"/>
  <c r="AM79" i="49" s="1"/>
  <c r="AS79" i="49" s="1"/>
  <c r="AB27" i="49"/>
  <c r="AD27" i="49" s="1"/>
  <c r="AK84" i="28"/>
  <c r="AM84" i="28" s="1"/>
  <c r="AS84" i="28" s="1"/>
  <c r="Z84" i="28"/>
  <c r="AB84" i="28" s="1"/>
  <c r="L89" i="28"/>
  <c r="N89" i="28" s="1"/>
  <c r="AQ89" i="28" s="1"/>
  <c r="AM90" i="59"/>
  <c r="AO90" i="59" s="1"/>
  <c r="AU90" i="59" s="1"/>
  <c r="AV90" i="59" s="1"/>
  <c r="E14" i="59" s="1"/>
  <c r="Z90" i="59"/>
  <c r="AB90" i="59" s="1"/>
  <c r="L96" i="59"/>
  <c r="N96" i="59" s="1"/>
  <c r="AS96" i="59" s="1"/>
  <c r="AK80" i="29"/>
  <c r="AM80" i="29" s="1"/>
  <c r="AS80" i="29" s="1"/>
  <c r="AT80" i="29" s="1"/>
  <c r="E14" i="29" s="1"/>
  <c r="Z80" i="29"/>
  <c r="AB80" i="29" s="1"/>
  <c r="L85" i="29"/>
  <c r="N85" i="29" s="1"/>
  <c r="AQ85" i="29" s="1"/>
  <c r="Z80" i="35"/>
  <c r="AB80" i="35" s="1"/>
  <c r="L85" i="35"/>
  <c r="N85" i="35" s="1"/>
  <c r="AQ85" i="35" s="1"/>
  <c r="AK70" i="43"/>
  <c r="AM70" i="43" s="1"/>
  <c r="AS70" i="43" s="1"/>
  <c r="Z70" i="43"/>
  <c r="AB70" i="43" s="1"/>
  <c r="L75" i="43"/>
  <c r="N75" i="43" s="1"/>
  <c r="AQ75" i="43" s="1"/>
  <c r="Z85" i="47"/>
  <c r="AB85" i="47" s="1"/>
  <c r="L90" i="47"/>
  <c r="N90" i="47" s="1"/>
  <c r="AQ90" i="47" s="1"/>
  <c r="Z70" i="27"/>
  <c r="AB70" i="27" s="1"/>
  <c r="L75" i="27"/>
  <c r="N75" i="27" s="1"/>
  <c r="AQ75" i="27" s="1"/>
  <c r="Z79" i="28"/>
  <c r="AB79" i="28" s="1"/>
  <c r="L84" i="28"/>
  <c r="N84" i="28" s="1"/>
  <c r="AQ84" i="28" s="1"/>
  <c r="AK84" i="36"/>
  <c r="AM84" i="36" s="1"/>
  <c r="AS84" i="36" s="1"/>
  <c r="Z84" i="36"/>
  <c r="AB84" i="36" s="1"/>
  <c r="L89" i="36"/>
  <c r="N89" i="36" s="1"/>
  <c r="AQ89" i="36" s="1"/>
  <c r="Z69" i="40"/>
  <c r="AB69" i="40" s="1"/>
  <c r="L74" i="40"/>
  <c r="N74" i="40" s="1"/>
  <c r="AQ74" i="40" s="1"/>
  <c r="L79" i="44"/>
  <c r="N79" i="44" s="1"/>
  <c r="AQ79" i="44" s="1"/>
  <c r="Z74" i="44"/>
  <c r="AB74" i="44" s="1"/>
  <c r="AK85" i="35"/>
  <c r="AM85" i="35" s="1"/>
  <c r="AS85" i="35" s="1"/>
  <c r="Z85" i="35"/>
  <c r="AB85" i="35" s="1"/>
  <c r="L90" i="35"/>
  <c r="N90" i="35" s="1"/>
  <c r="AQ90" i="35" s="1"/>
  <c r="AK84" i="38"/>
  <c r="AM84" i="38" s="1"/>
  <c r="AS84" i="38" s="1"/>
  <c r="Z84" i="38"/>
  <c r="AB84" i="38" s="1"/>
  <c r="L89" i="38"/>
  <c r="N89" i="38" s="1"/>
  <c r="AQ89" i="38" s="1"/>
  <c r="AK80" i="30"/>
  <c r="AM80" i="30" s="1"/>
  <c r="AS80" i="30" s="1"/>
  <c r="AT80" i="30" s="1"/>
  <c r="E14" i="30" s="1"/>
  <c r="Z80" i="30"/>
  <c r="AB80" i="30" s="1"/>
  <c r="L85" i="30"/>
  <c r="N85" i="30" s="1"/>
  <c r="AQ85" i="30" s="1"/>
  <c r="AK85" i="36"/>
  <c r="AM85" i="36" s="1"/>
  <c r="AS85" i="36" s="1"/>
  <c r="Z85" i="36"/>
  <c r="AB85" i="36" s="1"/>
  <c r="L90" i="36"/>
  <c r="N90" i="36" s="1"/>
  <c r="AQ90" i="36" s="1"/>
  <c r="Z70" i="40"/>
  <c r="AB70" i="40" s="1"/>
  <c r="L75" i="40"/>
  <c r="N75" i="40" s="1"/>
  <c r="AQ75" i="40" s="1"/>
  <c r="Z75" i="44"/>
  <c r="AB75" i="44" s="1"/>
  <c r="L80" i="44"/>
  <c r="N80" i="44" s="1"/>
  <c r="AQ80" i="44" s="1"/>
  <c r="Z80" i="49"/>
  <c r="AB80" i="49" s="1"/>
  <c r="L85" i="49"/>
  <c r="N85" i="49" s="1"/>
  <c r="AQ85" i="49" s="1"/>
  <c r="AK85" i="26"/>
  <c r="AM85" i="26" s="1"/>
  <c r="AS85" i="26" s="1"/>
  <c r="Z85" i="26"/>
  <c r="AB85" i="26" s="1"/>
  <c r="L90" i="26"/>
  <c r="N90" i="26" s="1"/>
  <c r="AQ90" i="26" s="1"/>
  <c r="Z79" i="29"/>
  <c r="AB79" i="29" s="1"/>
  <c r="L84" i="29"/>
  <c r="N84" i="29" s="1"/>
  <c r="AQ84" i="29" s="1"/>
  <c r="Z70" i="34"/>
  <c r="AB70" i="34" s="1"/>
  <c r="L75" i="34"/>
  <c r="N75" i="34" s="1"/>
  <c r="AQ75" i="34" s="1"/>
  <c r="Z84" i="37"/>
  <c r="AB84" i="37" s="1"/>
  <c r="L89" i="37"/>
  <c r="N89" i="37" s="1"/>
  <c r="AQ89" i="37" s="1"/>
  <c r="AK84" i="41"/>
  <c r="AM84" i="41" s="1"/>
  <c r="AS84" i="41" s="1"/>
  <c r="Z84" i="41"/>
  <c r="AB84" i="41" s="1"/>
  <c r="L89" i="41"/>
  <c r="N89" i="41" s="1"/>
  <c r="AQ89" i="41" s="1"/>
  <c r="Z85" i="38"/>
  <c r="AB85" i="38" s="1"/>
  <c r="L90" i="38"/>
  <c r="N90" i="38" s="1"/>
  <c r="AQ90" i="38" s="1"/>
  <c r="Z84" i="29"/>
  <c r="AB84" i="29" s="1"/>
  <c r="L89" i="29"/>
  <c r="N89" i="29" s="1"/>
  <c r="AQ89" i="29" s="1"/>
  <c r="AK70" i="31"/>
  <c r="AM70" i="31" s="1"/>
  <c r="AS70" i="31" s="1"/>
  <c r="Z70" i="31"/>
  <c r="AB70" i="31" s="1"/>
  <c r="L75" i="31"/>
  <c r="N75" i="31" s="1"/>
  <c r="AQ75" i="31" s="1"/>
  <c r="Z85" i="37"/>
  <c r="AB85" i="37" s="1"/>
  <c r="L90" i="37"/>
  <c r="N90" i="37" s="1"/>
  <c r="AQ90" i="37" s="1"/>
  <c r="AK85" i="41"/>
  <c r="AM85" i="41" s="1"/>
  <c r="AS85" i="41" s="1"/>
  <c r="Z85" i="41"/>
  <c r="AB85" i="41" s="1"/>
  <c r="L90" i="41"/>
  <c r="N90" i="41" s="1"/>
  <c r="AQ90" i="41" s="1"/>
  <c r="AK84" i="26"/>
  <c r="AM84" i="26" s="1"/>
  <c r="AS84" i="26" s="1"/>
  <c r="Z84" i="26"/>
  <c r="AB84" i="26" s="1"/>
  <c r="L89" i="26"/>
  <c r="N89" i="26" s="1"/>
  <c r="AQ89" i="26" s="1"/>
  <c r="Z84" i="30"/>
  <c r="AB84" i="30" s="1"/>
  <c r="L89" i="30"/>
  <c r="N89" i="30" s="1"/>
  <c r="AQ89" i="30" s="1"/>
  <c r="Z69" i="34"/>
  <c r="AB69" i="34" s="1"/>
  <c r="L74" i="34"/>
  <c r="N74" i="34" s="1"/>
  <c r="AQ74" i="34" s="1"/>
  <c r="Z79" i="38"/>
  <c r="AB79" i="38" s="1"/>
  <c r="L84" i="38"/>
  <c r="N84" i="38" s="1"/>
  <c r="AQ84" i="38" s="1"/>
  <c r="Z84" i="42"/>
  <c r="AB84" i="42" s="1"/>
  <c r="L89" i="42"/>
  <c r="N89" i="42" s="1"/>
  <c r="AQ89" i="42" s="1"/>
  <c r="AK84" i="46"/>
  <c r="AM84" i="46" s="1"/>
  <c r="AS84" i="46" s="1"/>
  <c r="Z84" i="46"/>
  <c r="AB84" i="46" s="1"/>
  <c r="L89" i="46"/>
  <c r="N89" i="46" s="1"/>
  <c r="AQ89" i="46" s="1"/>
  <c r="Z79" i="49"/>
  <c r="AB79" i="49" s="1"/>
  <c r="L84" i="49"/>
  <c r="N84" i="49" s="1"/>
  <c r="AQ84" i="49" s="1"/>
  <c r="AK84" i="35"/>
  <c r="AM84" i="35" s="1"/>
  <c r="AS84" i="35" s="1"/>
  <c r="Z84" i="35"/>
  <c r="AB84" i="35" s="1"/>
  <c r="L89" i="35"/>
  <c r="N89" i="35" s="1"/>
  <c r="AQ89" i="35" s="1"/>
  <c r="AM89" i="59"/>
  <c r="AO89" i="59" s="1"/>
  <c r="AU89" i="59" s="1"/>
  <c r="AV89" i="59" s="1"/>
  <c r="AV88" i="59" s="1"/>
  <c r="B72" i="58" s="1" a="1"/>
  <c r="J76" i="58" s="1"/>
  <c r="Z89" i="59"/>
  <c r="AB89" i="59" s="1"/>
  <c r="L95" i="59"/>
  <c r="N95" i="59" s="1"/>
  <c r="AS95" i="59" s="1"/>
  <c r="AK80" i="28"/>
  <c r="AM80" i="28" s="1"/>
  <c r="AS80" i="28" s="1"/>
  <c r="AT80" i="28" s="1"/>
  <c r="E14" i="28" s="1"/>
  <c r="Z80" i="28"/>
  <c r="AB80" i="28" s="1"/>
  <c r="L85" i="28"/>
  <c r="N85" i="28" s="1"/>
  <c r="AQ85" i="28" s="1"/>
  <c r="Z75" i="33"/>
  <c r="AB75" i="33" s="1"/>
  <c r="L80" i="33"/>
  <c r="N80" i="33" s="1"/>
  <c r="AQ80" i="33" s="1"/>
  <c r="Z80" i="38"/>
  <c r="AB80" i="38" s="1"/>
  <c r="L85" i="38"/>
  <c r="N85" i="38" s="1"/>
  <c r="AQ85" i="38" s="1"/>
  <c r="AK85" i="42"/>
  <c r="AM85" i="42" s="1"/>
  <c r="AS85" i="42" s="1"/>
  <c r="Z85" i="42"/>
  <c r="AB85" i="42" s="1"/>
  <c r="L90" i="42"/>
  <c r="N90" i="42" s="1"/>
  <c r="AQ90" i="42" s="1"/>
  <c r="Z85" i="46"/>
  <c r="AB85" i="46" s="1"/>
  <c r="L90" i="46"/>
  <c r="N90" i="46" s="1"/>
  <c r="AQ90" i="46" s="1"/>
  <c r="Z69" i="31"/>
  <c r="AB69" i="31" s="1"/>
  <c r="L74" i="31"/>
  <c r="N74" i="31" s="1"/>
  <c r="AQ74" i="31" s="1"/>
  <c r="Z79" i="35"/>
  <c r="AB79" i="35" s="1"/>
  <c r="L84" i="35"/>
  <c r="N84" i="35" s="1"/>
  <c r="AQ84" i="35" s="1"/>
  <c r="L79" i="39"/>
  <c r="N79" i="39" s="1"/>
  <c r="AQ79" i="39" s="1"/>
  <c r="Z74" i="39"/>
  <c r="AB74" i="39" s="1"/>
  <c r="AK84" i="47"/>
  <c r="AM84" i="47" s="1"/>
  <c r="AS84" i="47" s="1"/>
  <c r="Z84" i="47"/>
  <c r="AB84" i="47" s="1"/>
  <c r="L89" i="47"/>
  <c r="N89" i="47" s="1"/>
  <c r="AQ89" i="47" s="1"/>
  <c r="D14" i="59"/>
  <c r="AK70" i="34"/>
  <c r="AM70" i="34" s="1"/>
  <c r="AS70" i="34" s="1"/>
  <c r="AK70" i="40"/>
  <c r="AM70" i="40" s="1"/>
  <c r="AS70" i="40" s="1"/>
  <c r="AK85" i="37"/>
  <c r="AM85" i="37" s="1"/>
  <c r="AS85" i="37" s="1"/>
  <c r="AK85" i="38"/>
  <c r="AM85" i="38" s="1"/>
  <c r="AS85" i="38" s="1"/>
  <c r="AK85" i="46"/>
  <c r="AM85" i="46" s="1"/>
  <c r="AS85" i="46" s="1"/>
  <c r="AK85" i="47"/>
  <c r="AM85" i="47" s="1"/>
  <c r="AS85" i="47" s="1"/>
  <c r="AK84" i="29"/>
  <c r="AM84" i="29" s="1"/>
  <c r="AS84" i="29" s="1"/>
  <c r="AK84" i="30"/>
  <c r="AM84" i="30" s="1"/>
  <c r="AS84" i="30" s="1"/>
  <c r="AK69" i="31"/>
  <c r="AM69" i="31" s="1"/>
  <c r="AS69" i="31" s="1"/>
  <c r="AK69" i="34"/>
  <c r="AM69" i="34" s="1"/>
  <c r="AS69" i="34" s="1"/>
  <c r="AK84" i="37"/>
  <c r="AM84" i="37" s="1"/>
  <c r="AS84" i="37" s="1"/>
  <c r="AK69" i="40"/>
  <c r="AM69" i="40" s="1"/>
  <c r="AS69" i="40" s="1"/>
  <c r="AK84" i="42"/>
  <c r="AM84" i="42" s="1"/>
  <c r="AS84" i="42" s="1"/>
  <c r="AR84" i="38" l="1"/>
  <c r="AT90" i="48"/>
  <c r="E16" i="48" s="1"/>
  <c r="Z100" i="48" s="1"/>
  <c r="AB100" i="48" s="1"/>
  <c r="X24" i="49"/>
  <c r="L8" i="49" s="1"/>
  <c r="AP79" i="49" s="1"/>
  <c r="AR89" i="48"/>
  <c r="AT89" i="48" s="1"/>
  <c r="D16" i="48" s="1"/>
  <c r="X25" i="49"/>
  <c r="L9" i="49" s="1"/>
  <c r="AP80" i="49" s="1"/>
  <c r="AL12" i="43"/>
  <c r="L10" i="43" s="1"/>
  <c r="AP69" i="43" s="1"/>
  <c r="AL13" i="43"/>
  <c r="L11" i="43" s="1"/>
  <c r="AP70" i="43" s="1"/>
  <c r="X6" i="27"/>
  <c r="L6" i="27" s="1"/>
  <c r="X7" i="27"/>
  <c r="L7" i="27" s="1"/>
  <c r="AT90" i="59"/>
  <c r="AR79" i="35"/>
  <c r="AR84" i="42"/>
  <c r="AT84" i="42" s="1"/>
  <c r="D15" i="42" s="1"/>
  <c r="AK89" i="42" s="1"/>
  <c r="AM89" i="42" s="1"/>
  <c r="AS89" i="42" s="1"/>
  <c r="AR70" i="40"/>
  <c r="AR69" i="31"/>
  <c r="AT69" i="31" s="1"/>
  <c r="D12" i="31" s="1"/>
  <c r="Z74" i="31" s="1"/>
  <c r="AB74" i="31" s="1"/>
  <c r="AR85" i="47"/>
  <c r="AT85" i="47" s="1"/>
  <c r="E15" i="47" s="1"/>
  <c r="AR84" i="35"/>
  <c r="AT84" i="35" s="1"/>
  <c r="D15" i="35" s="1"/>
  <c r="AT70" i="40"/>
  <c r="E12" i="40" s="1"/>
  <c r="AK75" i="40" s="1"/>
  <c r="AM75" i="40" s="1"/>
  <c r="AS75" i="40" s="1"/>
  <c r="AR80" i="28"/>
  <c r="AR79" i="49"/>
  <c r="G72" i="58"/>
  <c r="B72" i="58"/>
  <c r="I72" i="58"/>
  <c r="AR84" i="46"/>
  <c r="AT84" i="46" s="1"/>
  <c r="D15" i="46" s="1"/>
  <c r="C72" i="58"/>
  <c r="AR70" i="34"/>
  <c r="AT70" i="34" s="1"/>
  <c r="E12" i="34" s="1"/>
  <c r="AK75" i="34" s="1"/>
  <c r="AM75" i="34" s="1"/>
  <c r="AS75" i="34" s="1"/>
  <c r="AR84" i="26"/>
  <c r="AT84" i="26" s="1"/>
  <c r="D15" i="26" s="1"/>
  <c r="AT79" i="44"/>
  <c r="D14" i="44" s="1"/>
  <c r="AK84" i="44" s="1"/>
  <c r="AM84" i="44" s="1"/>
  <c r="AS84" i="44" s="1"/>
  <c r="F73" i="58"/>
  <c r="G73" i="58"/>
  <c r="D72" i="58"/>
  <c r="C73" i="58"/>
  <c r="M72" i="58"/>
  <c r="D73" i="58"/>
  <c r="AR79" i="38"/>
  <c r="E72" i="58"/>
  <c r="L76" i="58"/>
  <c r="E74" i="58"/>
  <c r="H75" i="58"/>
  <c r="I73" i="58"/>
  <c r="J72" i="58"/>
  <c r="K72" i="58"/>
  <c r="F72" i="58"/>
  <c r="AR85" i="41"/>
  <c r="AT85" i="41" s="1"/>
  <c r="E15" i="41" s="1"/>
  <c r="AR80" i="29"/>
  <c r="L72" i="58"/>
  <c r="L73" i="58"/>
  <c r="F74" i="58"/>
  <c r="G74" i="58"/>
  <c r="K73" i="58"/>
  <c r="E73" i="58"/>
  <c r="H73" i="58"/>
  <c r="H72" i="58"/>
  <c r="B73" i="58"/>
  <c r="H74" i="58"/>
  <c r="K75" i="58"/>
  <c r="E76" i="58"/>
  <c r="I75" i="58"/>
  <c r="C74" i="58"/>
  <c r="M73" i="58"/>
  <c r="M75" i="58"/>
  <c r="K74" i="58"/>
  <c r="J75" i="58"/>
  <c r="K76" i="58"/>
  <c r="B75" i="58"/>
  <c r="D76" i="58"/>
  <c r="C75" i="58"/>
  <c r="G75" i="58"/>
  <c r="L75" i="58"/>
  <c r="I76" i="58"/>
  <c r="F75" i="58"/>
  <c r="G76" i="58"/>
  <c r="D75" i="58"/>
  <c r="M74" i="58"/>
  <c r="F76" i="58"/>
  <c r="B74" i="58"/>
  <c r="B76" i="58"/>
  <c r="AR85" i="37"/>
  <c r="AT85" i="37" s="1"/>
  <c r="E15" i="37" s="1"/>
  <c r="E75" i="58"/>
  <c r="D74" i="58"/>
  <c r="I74" i="58"/>
  <c r="J74" i="58"/>
  <c r="C76" i="58"/>
  <c r="H76" i="58"/>
  <c r="M76" i="58"/>
  <c r="J73" i="58"/>
  <c r="L74" i="58"/>
  <c r="AM95" i="59"/>
  <c r="AO95" i="59" s="1"/>
  <c r="AU95" i="59" s="1"/>
  <c r="Z95" i="59"/>
  <c r="AB95" i="59" s="1"/>
  <c r="L101" i="59"/>
  <c r="N101" i="59" s="1"/>
  <c r="AS101" i="59" s="1"/>
  <c r="AR75" i="39"/>
  <c r="AT75" i="39" s="1"/>
  <c r="E13" i="39" s="1"/>
  <c r="AR74" i="39"/>
  <c r="AT74" i="39" s="1"/>
  <c r="D13" i="39" s="1"/>
  <c r="AR75" i="33"/>
  <c r="AT75" i="33" s="1"/>
  <c r="E13" i="33" s="1"/>
  <c r="AR74" i="33"/>
  <c r="AT74" i="33" s="1"/>
  <c r="D13" i="33" s="1"/>
  <c r="AR85" i="46"/>
  <c r="AT85" i="46" s="1"/>
  <c r="E15" i="46" s="1"/>
  <c r="AR84" i="37"/>
  <c r="AT84" i="37" s="1"/>
  <c r="D15" i="37" s="1"/>
  <c r="AR84" i="41"/>
  <c r="AT84" i="41" s="1"/>
  <c r="D15" i="41" s="1"/>
  <c r="AK85" i="30"/>
  <c r="AM85" i="30" s="1"/>
  <c r="AS85" i="30" s="1"/>
  <c r="Z85" i="30"/>
  <c r="AB85" i="30" s="1"/>
  <c r="AR85" i="30" s="1"/>
  <c r="L90" i="30"/>
  <c r="N90" i="30" s="1"/>
  <c r="AQ90" i="30" s="1"/>
  <c r="AT80" i="33"/>
  <c r="E14" i="33" s="1"/>
  <c r="AR85" i="36"/>
  <c r="AT85" i="36" s="1"/>
  <c r="E15" i="36" s="1"/>
  <c r="AR84" i="36"/>
  <c r="AT84" i="36" s="1"/>
  <c r="D15" i="36" s="1"/>
  <c r="AR84" i="47"/>
  <c r="AT84" i="47" s="1"/>
  <c r="D15" i="47" s="1"/>
  <c r="AK85" i="29"/>
  <c r="AM85" i="29" s="1"/>
  <c r="AS85" i="29" s="1"/>
  <c r="Z85" i="29"/>
  <c r="AB85" i="29" s="1"/>
  <c r="AR85" i="29" s="1"/>
  <c r="L90" i="29"/>
  <c r="N90" i="29" s="1"/>
  <c r="AQ90" i="29" s="1"/>
  <c r="AT80" i="44"/>
  <c r="E14" i="44" s="1"/>
  <c r="AR80" i="38"/>
  <c r="AT79" i="39"/>
  <c r="D14" i="39" s="1"/>
  <c r="AR69" i="34"/>
  <c r="AT69" i="34" s="1"/>
  <c r="D12" i="34" s="1"/>
  <c r="AK74" i="34" s="1"/>
  <c r="AM74" i="34" s="1"/>
  <c r="AS74" i="34" s="1"/>
  <c r="AR80" i="49"/>
  <c r="AT80" i="49" s="1"/>
  <c r="E14" i="49" s="1"/>
  <c r="AR85" i="35"/>
  <c r="AT85" i="35" s="1"/>
  <c r="E15" i="35" s="1"/>
  <c r="AR69" i="27"/>
  <c r="AR70" i="27"/>
  <c r="AR80" i="35"/>
  <c r="Z75" i="40"/>
  <c r="AB75" i="40" s="1"/>
  <c r="AR70" i="31"/>
  <c r="AT70" i="31" s="1"/>
  <c r="E12" i="31" s="1"/>
  <c r="L80" i="34"/>
  <c r="N80" i="34" s="1"/>
  <c r="AQ80" i="34" s="1"/>
  <c r="AT80" i="34" s="1"/>
  <c r="E14" i="34" s="1"/>
  <c r="AR85" i="26"/>
  <c r="AT85" i="26" s="1"/>
  <c r="E15" i="26" s="1"/>
  <c r="L80" i="40"/>
  <c r="N80" i="40" s="1"/>
  <c r="AQ80" i="40" s="1"/>
  <c r="AT80" i="40" s="1"/>
  <c r="E14" i="40" s="1"/>
  <c r="AR85" i="38"/>
  <c r="AT85" i="38" s="1"/>
  <c r="E15" i="38" s="1"/>
  <c r="AR69" i="40"/>
  <c r="AT69" i="40" s="1"/>
  <c r="D12" i="40" s="1"/>
  <c r="Z74" i="40" s="1"/>
  <c r="AB74" i="40" s="1"/>
  <c r="AR70" i="43"/>
  <c r="AR69" i="43"/>
  <c r="AT69" i="43" s="1"/>
  <c r="D12" i="43" s="1"/>
  <c r="AT89" i="59"/>
  <c r="AK85" i="28"/>
  <c r="AM85" i="28" s="1"/>
  <c r="AS85" i="28" s="1"/>
  <c r="L90" i="28"/>
  <c r="N90" i="28" s="1"/>
  <c r="AQ90" i="28" s="1"/>
  <c r="Z85" i="28"/>
  <c r="AB85" i="28" s="1"/>
  <c r="AR85" i="28" s="1"/>
  <c r="AR85" i="42"/>
  <c r="AT85" i="42" s="1"/>
  <c r="E15" i="42" s="1"/>
  <c r="AR79" i="30"/>
  <c r="AR80" i="30"/>
  <c r="AT84" i="38"/>
  <c r="D15" i="38" s="1"/>
  <c r="AR75" i="44"/>
  <c r="AT75" i="44" s="1"/>
  <c r="E13" i="44" s="1"/>
  <c r="AR74" i="44"/>
  <c r="AT74" i="44" s="1"/>
  <c r="D13" i="44" s="1"/>
  <c r="AR79" i="28"/>
  <c r="AR79" i="29"/>
  <c r="AM96" i="59"/>
  <c r="AO96" i="59" s="1"/>
  <c r="AU96" i="59" s="1"/>
  <c r="Z96" i="59"/>
  <c r="AB96" i="59" s="1"/>
  <c r="L102" i="59"/>
  <c r="N102" i="59" s="1"/>
  <c r="AS102" i="59" s="1"/>
  <c r="AK95" i="48"/>
  <c r="AM95" i="48" s="1"/>
  <c r="AS95" i="48" s="1"/>
  <c r="AT95" i="48" s="1"/>
  <c r="E17" i="48" s="1"/>
  <c r="AK100" i="48" s="1"/>
  <c r="AM100" i="48" s="1"/>
  <c r="AS100" i="48" s="1"/>
  <c r="L105" i="48" l="1"/>
  <c r="N105" i="48" s="1"/>
  <c r="AQ105" i="48" s="1"/>
  <c r="L99" i="42"/>
  <c r="N99" i="42" s="1"/>
  <c r="AQ99" i="42" s="1"/>
  <c r="Z89" i="42"/>
  <c r="AB89" i="42" s="1"/>
  <c r="AK94" i="48"/>
  <c r="AM94" i="48" s="1"/>
  <c r="AS94" i="48" s="1"/>
  <c r="AT94" i="48" s="1"/>
  <c r="D17" i="48" s="1"/>
  <c r="AK99" i="48" s="1"/>
  <c r="AM99" i="48" s="1"/>
  <c r="AS99" i="48" s="1"/>
  <c r="Z99" i="48"/>
  <c r="AB99" i="48" s="1"/>
  <c r="L104" i="48"/>
  <c r="N104" i="48" s="1"/>
  <c r="AQ104" i="48" s="1"/>
  <c r="AT70" i="43"/>
  <c r="E12" i="43" s="1"/>
  <c r="Z75" i="43" s="1"/>
  <c r="AB75" i="43" s="1"/>
  <c r="Z75" i="34"/>
  <c r="AB75" i="34" s="1"/>
  <c r="AT79" i="49"/>
  <c r="D14" i="49" s="1"/>
  <c r="AK79" i="44"/>
  <c r="AM79" i="44" s="1"/>
  <c r="AS79" i="44" s="1"/>
  <c r="Z79" i="44"/>
  <c r="AB79" i="44" s="1"/>
  <c r="L84" i="44"/>
  <c r="N84" i="44" s="1"/>
  <c r="AQ84" i="44" s="1"/>
  <c r="AK80" i="44"/>
  <c r="AM80" i="44" s="1"/>
  <c r="AS80" i="44" s="1"/>
  <c r="L85" i="44"/>
  <c r="N85" i="44" s="1"/>
  <c r="AQ85" i="44" s="1"/>
  <c r="Z80" i="44"/>
  <c r="AB80" i="44" s="1"/>
  <c r="AK89" i="38"/>
  <c r="AM89" i="38" s="1"/>
  <c r="AS89" i="38" s="1"/>
  <c r="Z89" i="38"/>
  <c r="AB89" i="38" s="1"/>
  <c r="L99" i="38"/>
  <c r="N99" i="38" s="1"/>
  <c r="AQ99" i="38" s="1"/>
  <c r="AK90" i="38"/>
  <c r="AM90" i="38" s="1"/>
  <c r="AS90" i="38" s="1"/>
  <c r="Z90" i="38"/>
  <c r="AB90" i="38" s="1"/>
  <c r="L100" i="38"/>
  <c r="N100" i="38" s="1"/>
  <c r="AQ100" i="38" s="1"/>
  <c r="AK90" i="36"/>
  <c r="AM90" i="36" s="1"/>
  <c r="AS90" i="36" s="1"/>
  <c r="Z90" i="36"/>
  <c r="AB90" i="36" s="1"/>
  <c r="L100" i="36"/>
  <c r="N100" i="36" s="1"/>
  <c r="AQ100" i="36" s="1"/>
  <c r="AK90" i="37"/>
  <c r="AM90" i="37" s="1"/>
  <c r="AS90" i="37" s="1"/>
  <c r="Z90" i="37"/>
  <c r="AB90" i="37" s="1"/>
  <c r="L100" i="37"/>
  <c r="N100" i="37" s="1"/>
  <c r="AQ100" i="37" s="1"/>
  <c r="AK89" i="41"/>
  <c r="AM89" i="41" s="1"/>
  <c r="AS89" i="41" s="1"/>
  <c r="Z89" i="41"/>
  <c r="AB89" i="41" s="1"/>
  <c r="L99" i="41"/>
  <c r="N99" i="41" s="1"/>
  <c r="AQ99" i="41" s="1"/>
  <c r="AK80" i="33"/>
  <c r="AM80" i="33" s="1"/>
  <c r="AS80" i="33" s="1"/>
  <c r="L85" i="33"/>
  <c r="N85" i="33" s="1"/>
  <c r="AQ85" i="33" s="1"/>
  <c r="Z80" i="33"/>
  <c r="AB80" i="33" s="1"/>
  <c r="AK89" i="35"/>
  <c r="AM89" i="35" s="1"/>
  <c r="AS89" i="35" s="1"/>
  <c r="Z89" i="35"/>
  <c r="AB89" i="35" s="1"/>
  <c r="L99" i="35"/>
  <c r="N99" i="35" s="1"/>
  <c r="AQ99" i="35" s="1"/>
  <c r="AK90" i="26"/>
  <c r="AM90" i="26" s="1"/>
  <c r="AS90" i="26" s="1"/>
  <c r="Z90" i="26"/>
  <c r="AB90" i="26" s="1"/>
  <c r="L100" i="26"/>
  <c r="N100" i="26" s="1"/>
  <c r="AQ100" i="26" s="1"/>
  <c r="AK90" i="35"/>
  <c r="AM90" i="35" s="1"/>
  <c r="AS90" i="35" s="1"/>
  <c r="Z90" i="35"/>
  <c r="AB90" i="35" s="1"/>
  <c r="L100" i="35"/>
  <c r="N100" i="35" s="1"/>
  <c r="AQ100" i="35" s="1"/>
  <c r="AK89" i="47"/>
  <c r="AM89" i="47" s="1"/>
  <c r="AS89" i="47" s="1"/>
  <c r="Z89" i="47"/>
  <c r="AB89" i="47" s="1"/>
  <c r="L99" i="47"/>
  <c r="N99" i="47" s="1"/>
  <c r="AQ99" i="47" s="1"/>
  <c r="AK89" i="37"/>
  <c r="AM89" i="37" s="1"/>
  <c r="AS89" i="37" s="1"/>
  <c r="Z89" i="37"/>
  <c r="AB89" i="37" s="1"/>
  <c r="L99" i="37"/>
  <c r="N99" i="37" s="1"/>
  <c r="AQ99" i="37" s="1"/>
  <c r="AK79" i="39"/>
  <c r="AM79" i="39" s="1"/>
  <c r="AS79" i="39" s="1"/>
  <c r="Z79" i="39"/>
  <c r="AB79" i="39" s="1"/>
  <c r="L84" i="39"/>
  <c r="N84" i="39" s="1"/>
  <c r="AQ84" i="39" s="1"/>
  <c r="AK90" i="41"/>
  <c r="AM90" i="41" s="1"/>
  <c r="AS90" i="41" s="1"/>
  <c r="Z90" i="41"/>
  <c r="AB90" i="41" s="1"/>
  <c r="AR90" i="41" s="1"/>
  <c r="L100" i="41"/>
  <c r="N100" i="41" s="1"/>
  <c r="AQ100" i="41" s="1"/>
  <c r="AK89" i="46"/>
  <c r="AM89" i="46" s="1"/>
  <c r="AS89" i="46" s="1"/>
  <c r="Z89" i="46"/>
  <c r="AB89" i="46" s="1"/>
  <c r="L99" i="46"/>
  <c r="N99" i="46" s="1"/>
  <c r="AQ99" i="46" s="1"/>
  <c r="AK90" i="47"/>
  <c r="AM90" i="47" s="1"/>
  <c r="AS90" i="47" s="1"/>
  <c r="Z90" i="47"/>
  <c r="AB90" i="47" s="1"/>
  <c r="L100" i="47"/>
  <c r="N100" i="47" s="1"/>
  <c r="AQ100" i="47" s="1"/>
  <c r="AR100" i="48"/>
  <c r="AT100" i="48" s="1"/>
  <c r="E18" i="48" s="1"/>
  <c r="AR99" i="48"/>
  <c r="AK90" i="42"/>
  <c r="AM90" i="42" s="1"/>
  <c r="AS90" i="42" s="1"/>
  <c r="Z90" i="42"/>
  <c r="AB90" i="42" s="1"/>
  <c r="AR90" i="42" s="1"/>
  <c r="L100" i="42"/>
  <c r="N100" i="42" s="1"/>
  <c r="AQ100" i="42" s="1"/>
  <c r="AK89" i="36"/>
  <c r="AM89" i="36" s="1"/>
  <c r="AS89" i="36" s="1"/>
  <c r="Z89" i="36"/>
  <c r="AB89" i="36" s="1"/>
  <c r="AR89" i="36" s="1"/>
  <c r="L99" i="36"/>
  <c r="N99" i="36" s="1"/>
  <c r="AQ99" i="36" s="1"/>
  <c r="AK90" i="46"/>
  <c r="AM90" i="46" s="1"/>
  <c r="AS90" i="46" s="1"/>
  <c r="Z90" i="46"/>
  <c r="AB90" i="46" s="1"/>
  <c r="L100" i="46"/>
  <c r="N100" i="46" s="1"/>
  <c r="AQ100" i="46" s="1"/>
  <c r="AK89" i="26"/>
  <c r="AM89" i="26" s="1"/>
  <c r="AS89" i="26" s="1"/>
  <c r="Z89" i="26"/>
  <c r="AB89" i="26" s="1"/>
  <c r="L99" i="26"/>
  <c r="N99" i="26" s="1"/>
  <c r="AQ99" i="26" s="1"/>
  <c r="AP55" i="45"/>
  <c r="AT55" i="45" s="1"/>
  <c r="E9" i="45" s="1"/>
  <c r="AP85" i="27"/>
  <c r="AP70" i="27"/>
  <c r="AT70" i="27" s="1"/>
  <c r="E12" i="27" s="1"/>
  <c r="Z75" i="27" s="1"/>
  <c r="AB75" i="27" s="1"/>
  <c r="AP84" i="27"/>
  <c r="AP69" i="27"/>
  <c r="AT69" i="27" s="1"/>
  <c r="D12" i="27" s="1"/>
  <c r="L79" i="27" s="1"/>
  <c r="N79" i="27" s="1"/>
  <c r="AQ79" i="27" s="1"/>
  <c r="AP16" i="49"/>
  <c r="AR16" i="49" s="1"/>
  <c r="AP11" i="49"/>
  <c r="AR11" i="49" s="1"/>
  <c r="AP10" i="49"/>
  <c r="AR10" i="49" s="1"/>
  <c r="AP15" i="49"/>
  <c r="AR15" i="49" s="1"/>
  <c r="Z84" i="44"/>
  <c r="AB84" i="44" s="1"/>
  <c r="L89" i="44"/>
  <c r="N89" i="44" s="1"/>
  <c r="AQ89" i="44" s="1"/>
  <c r="Z84" i="49"/>
  <c r="AB84" i="49" s="1"/>
  <c r="AK84" i="49"/>
  <c r="AM84" i="49" s="1"/>
  <c r="AS84" i="49" s="1"/>
  <c r="L89" i="49"/>
  <c r="N89" i="49" s="1"/>
  <c r="AQ89" i="49" s="1"/>
  <c r="Z85" i="49"/>
  <c r="AB85" i="49" s="1"/>
  <c r="AK85" i="49"/>
  <c r="AM85" i="49" s="1"/>
  <c r="AS85" i="49" s="1"/>
  <c r="L90" i="49"/>
  <c r="N90" i="49" s="1"/>
  <c r="AQ90" i="49" s="1"/>
  <c r="AR84" i="30"/>
  <c r="AT84" i="30" s="1"/>
  <c r="D15" i="30" s="1"/>
  <c r="L79" i="31"/>
  <c r="N79" i="31" s="1"/>
  <c r="AQ79" i="31" s="1"/>
  <c r="AT79" i="31" s="1"/>
  <c r="D14" i="31" s="1"/>
  <c r="AK74" i="31"/>
  <c r="AM74" i="31" s="1"/>
  <c r="AS74" i="31" s="1"/>
  <c r="AT85" i="28"/>
  <c r="E15" i="28" s="1"/>
  <c r="AK74" i="43"/>
  <c r="AM74" i="43" s="1"/>
  <c r="AS74" i="43" s="1"/>
  <c r="Z74" i="43"/>
  <c r="AB74" i="43" s="1"/>
  <c r="L79" i="43"/>
  <c r="N79" i="43" s="1"/>
  <c r="AQ79" i="43" s="1"/>
  <c r="Z74" i="34"/>
  <c r="AB74" i="34" s="1"/>
  <c r="L80" i="43"/>
  <c r="N80" i="43" s="1"/>
  <c r="AQ80" i="43" s="1"/>
  <c r="AT80" i="43" s="1"/>
  <c r="E14" i="43" s="1"/>
  <c r="L79" i="34"/>
  <c r="N79" i="34" s="1"/>
  <c r="AQ79" i="34" s="1"/>
  <c r="AT79" i="34" s="1"/>
  <c r="D14" i="34" s="1"/>
  <c r="Z84" i="34" s="1"/>
  <c r="AB84" i="34" s="1"/>
  <c r="AK75" i="31"/>
  <c r="AM75" i="31" s="1"/>
  <c r="AS75" i="31" s="1"/>
  <c r="Z75" i="31"/>
  <c r="AB75" i="31" s="1"/>
  <c r="AR74" i="31" s="1"/>
  <c r="L80" i="31"/>
  <c r="N80" i="31" s="1"/>
  <c r="AQ80" i="31" s="1"/>
  <c r="AT80" i="31" s="1"/>
  <c r="E14" i="31" s="1"/>
  <c r="L79" i="40"/>
  <c r="N79" i="40" s="1"/>
  <c r="AQ79" i="40" s="1"/>
  <c r="AT79" i="40" s="1"/>
  <c r="D14" i="40" s="1"/>
  <c r="AK74" i="40"/>
  <c r="AM74" i="40" s="1"/>
  <c r="AS74" i="40" s="1"/>
  <c r="AT85" i="30"/>
  <c r="E15" i="30" s="1"/>
  <c r="AT85" i="29"/>
  <c r="E15" i="29" s="1"/>
  <c r="AR84" i="29"/>
  <c r="AT84" i="29" s="1"/>
  <c r="D15" i="29" s="1"/>
  <c r="AK85" i="40"/>
  <c r="AM85" i="40" s="1"/>
  <c r="AS85" i="40" s="1"/>
  <c r="Z85" i="40"/>
  <c r="AB85" i="40" s="1"/>
  <c r="L90" i="40"/>
  <c r="N90" i="40" s="1"/>
  <c r="AQ90" i="40" s="1"/>
  <c r="AK84" i="39"/>
  <c r="AM84" i="39" s="1"/>
  <c r="AS84" i="39" s="1"/>
  <c r="Z84" i="39"/>
  <c r="AB84" i="39" s="1"/>
  <c r="L89" i="39"/>
  <c r="N89" i="39" s="1"/>
  <c r="AQ89" i="39" s="1"/>
  <c r="AR84" i="28"/>
  <c r="AT84" i="28" s="1"/>
  <c r="D15" i="28" s="1"/>
  <c r="AK85" i="33"/>
  <c r="AM85" i="33" s="1"/>
  <c r="AS85" i="33" s="1"/>
  <c r="Z85" i="33"/>
  <c r="AB85" i="33" s="1"/>
  <c r="L90" i="33"/>
  <c r="N90" i="33" s="1"/>
  <c r="AQ90" i="33" s="1"/>
  <c r="L84" i="33"/>
  <c r="N84" i="33" s="1"/>
  <c r="AQ84" i="33" s="1"/>
  <c r="Z79" i="33"/>
  <c r="AB79" i="33" s="1"/>
  <c r="AK79" i="33"/>
  <c r="AM79" i="33" s="1"/>
  <c r="AS79" i="33" s="1"/>
  <c r="AT79" i="33" s="1"/>
  <c r="D14" i="33" s="1"/>
  <c r="AT96" i="59"/>
  <c r="AV96" i="59" s="1"/>
  <c r="E15" i="59" s="1"/>
  <c r="AT95" i="59"/>
  <c r="AV95" i="59" s="1"/>
  <c r="AR74" i="40"/>
  <c r="AR75" i="40"/>
  <c r="AT75" i="40" s="1"/>
  <c r="E13" i="40" s="1"/>
  <c r="AK80" i="40" s="1"/>
  <c r="AM80" i="40" s="1"/>
  <c r="AS80" i="40" s="1"/>
  <c r="AK85" i="34"/>
  <c r="AM85" i="34" s="1"/>
  <c r="AS85" i="34" s="1"/>
  <c r="L90" i="34"/>
  <c r="N90" i="34" s="1"/>
  <c r="AQ90" i="34" s="1"/>
  <c r="Z85" i="34"/>
  <c r="AB85" i="34" s="1"/>
  <c r="AK85" i="44"/>
  <c r="AM85" i="44" s="1"/>
  <c r="AS85" i="44" s="1"/>
  <c r="Z85" i="44"/>
  <c r="AB85" i="44" s="1"/>
  <c r="L90" i="44"/>
  <c r="N90" i="44" s="1"/>
  <c r="AQ90" i="44" s="1"/>
  <c r="Z80" i="39"/>
  <c r="AB80" i="39" s="1"/>
  <c r="L85" i="39"/>
  <c r="N85" i="39" s="1"/>
  <c r="AQ85" i="39" s="1"/>
  <c r="AK80" i="39"/>
  <c r="AM80" i="39" s="1"/>
  <c r="AS80" i="39" s="1"/>
  <c r="AT80" i="39" s="1"/>
  <c r="E14" i="39" s="1"/>
  <c r="AT99" i="48" l="1"/>
  <c r="AT90" i="41"/>
  <c r="E16" i="41" s="1"/>
  <c r="AK95" i="41" s="1"/>
  <c r="AM95" i="41" s="1"/>
  <c r="AS95" i="41" s="1"/>
  <c r="AT95" i="41" s="1"/>
  <c r="E17" i="41" s="1"/>
  <c r="AK100" i="41" s="1"/>
  <c r="AM100" i="41" s="1"/>
  <c r="AS100" i="41" s="1"/>
  <c r="AR89" i="26"/>
  <c r="AT89" i="26" s="1"/>
  <c r="D16" i="26" s="1"/>
  <c r="AK94" i="26" s="1"/>
  <c r="AM94" i="26" s="1"/>
  <c r="AS94" i="26" s="1"/>
  <c r="AT94" i="26" s="1"/>
  <c r="D17" i="26" s="1"/>
  <c r="AK99" i="26" s="1"/>
  <c r="AM99" i="26" s="1"/>
  <c r="AS99" i="26" s="1"/>
  <c r="AR84" i="44"/>
  <c r="AT84" i="44" s="1"/>
  <c r="D15" i="44" s="1"/>
  <c r="AK89" i="44" s="1"/>
  <c r="AM89" i="44" s="1"/>
  <c r="AS89" i="44" s="1"/>
  <c r="AR75" i="43"/>
  <c r="AK75" i="43"/>
  <c r="AM75" i="43" s="1"/>
  <c r="AS75" i="43" s="1"/>
  <c r="AR90" i="46"/>
  <c r="AT90" i="46" s="1"/>
  <c r="E16" i="46" s="1"/>
  <c r="AK95" i="46" s="1"/>
  <c r="AM95" i="46" s="1"/>
  <c r="AS95" i="46" s="1"/>
  <c r="AT95" i="46" s="1"/>
  <c r="E17" i="46" s="1"/>
  <c r="AK100" i="46" s="1"/>
  <c r="AM100" i="46" s="1"/>
  <c r="AS100" i="46" s="1"/>
  <c r="AT89" i="36"/>
  <c r="D16" i="36" s="1"/>
  <c r="AK94" i="36" s="1"/>
  <c r="AM94" i="36" s="1"/>
  <c r="AS94" i="36" s="1"/>
  <c r="AT94" i="36" s="1"/>
  <c r="D17" i="36" s="1"/>
  <c r="AK99" i="36" s="1"/>
  <c r="AM99" i="36" s="1"/>
  <c r="AS99" i="36" s="1"/>
  <c r="AT90" i="42"/>
  <c r="E16" i="42" s="1"/>
  <c r="AK95" i="42" s="1"/>
  <c r="AM95" i="42" s="1"/>
  <c r="AS95" i="42" s="1"/>
  <c r="AT95" i="42" s="1"/>
  <c r="E17" i="42" s="1"/>
  <c r="AR89" i="35"/>
  <c r="AT89" i="35" s="1"/>
  <c r="D16" i="35" s="1"/>
  <c r="Z74" i="27"/>
  <c r="AB74" i="27" s="1"/>
  <c r="AR90" i="38"/>
  <c r="AT90" i="38" s="1"/>
  <c r="E16" i="38" s="1"/>
  <c r="AR89" i="42"/>
  <c r="AT89" i="42" s="1"/>
  <c r="D16" i="42" s="1"/>
  <c r="AR90" i="47"/>
  <c r="AT90" i="47" s="1"/>
  <c r="E16" i="47" s="1"/>
  <c r="AR90" i="37"/>
  <c r="AT90" i="37" s="1"/>
  <c r="E16" i="37" s="1"/>
  <c r="AK95" i="37" s="1"/>
  <c r="AM95" i="37" s="1"/>
  <c r="AS95" i="37" s="1"/>
  <c r="AT95" i="37" s="1"/>
  <c r="E17" i="37" s="1"/>
  <c r="Z80" i="40"/>
  <c r="AB80" i="40" s="1"/>
  <c r="AK89" i="28"/>
  <c r="AM89" i="28" s="1"/>
  <c r="AS89" i="28" s="1"/>
  <c r="Z89" i="28"/>
  <c r="AB89" i="28" s="1"/>
  <c r="L99" i="28"/>
  <c r="N99" i="28" s="1"/>
  <c r="AQ99" i="28" s="1"/>
  <c r="AK90" i="29"/>
  <c r="AM90" i="29" s="1"/>
  <c r="AS90" i="29" s="1"/>
  <c r="Z90" i="29"/>
  <c r="AB90" i="29" s="1"/>
  <c r="L100" i="29"/>
  <c r="N100" i="29" s="1"/>
  <c r="AQ100" i="29" s="1"/>
  <c r="Z100" i="42"/>
  <c r="AB100" i="42" s="1"/>
  <c r="L105" i="42"/>
  <c r="N105" i="42" s="1"/>
  <c r="AQ105" i="42" s="1"/>
  <c r="AR89" i="41"/>
  <c r="AT89" i="41" s="1"/>
  <c r="D16" i="41" s="1"/>
  <c r="AR89" i="38"/>
  <c r="AT89" i="38" s="1"/>
  <c r="D16" i="38" s="1"/>
  <c r="Z105" i="48"/>
  <c r="AB105" i="48" s="1"/>
  <c r="L110" i="48"/>
  <c r="N110" i="48" s="1"/>
  <c r="AQ110" i="48" s="1"/>
  <c r="AM102" i="59"/>
  <c r="AO102" i="59" s="1"/>
  <c r="AU102" i="59" s="1"/>
  <c r="Z102" i="59"/>
  <c r="AB102" i="59" s="1"/>
  <c r="L114" i="59"/>
  <c r="N114" i="59" s="1"/>
  <c r="AS114" i="59" s="1"/>
  <c r="AK90" i="28"/>
  <c r="AM90" i="28" s="1"/>
  <c r="AS90" i="28" s="1"/>
  <c r="Z90" i="28"/>
  <c r="AB90" i="28" s="1"/>
  <c r="L100" i="28"/>
  <c r="N100" i="28" s="1"/>
  <c r="AQ100" i="28" s="1"/>
  <c r="AB23" i="27"/>
  <c r="AD23" i="27" s="1"/>
  <c r="AP6" i="27"/>
  <c r="AR6" i="27" s="1"/>
  <c r="AR89" i="46"/>
  <c r="AT89" i="46" s="1"/>
  <c r="D16" i="46" s="1"/>
  <c r="Z100" i="41"/>
  <c r="AB100" i="41" s="1"/>
  <c r="L105" i="41"/>
  <c r="N105" i="41" s="1"/>
  <c r="AQ105" i="41" s="1"/>
  <c r="AR89" i="47"/>
  <c r="AT89" i="47" s="1"/>
  <c r="D16" i="47" s="1"/>
  <c r="L85" i="40"/>
  <c r="N85" i="40" s="1"/>
  <c r="AQ85" i="40" s="1"/>
  <c r="AK89" i="29"/>
  <c r="AM89" i="29" s="1"/>
  <c r="AS89" i="29" s="1"/>
  <c r="Z89" i="29"/>
  <c r="AB89" i="29" s="1"/>
  <c r="L99" i="29"/>
  <c r="N99" i="29" s="1"/>
  <c r="AQ99" i="29" s="1"/>
  <c r="AK90" i="30"/>
  <c r="AM90" i="30" s="1"/>
  <c r="AS90" i="30" s="1"/>
  <c r="Z90" i="30"/>
  <c r="AB90" i="30" s="1"/>
  <c r="L100" i="30"/>
  <c r="N100" i="30" s="1"/>
  <c r="AQ100" i="30" s="1"/>
  <c r="AK89" i="30"/>
  <c r="AM89" i="30" s="1"/>
  <c r="AS89" i="30" s="1"/>
  <c r="Z89" i="30"/>
  <c r="AB89" i="30" s="1"/>
  <c r="L99" i="30"/>
  <c r="N99" i="30" s="1"/>
  <c r="AQ99" i="30" s="1"/>
  <c r="Z100" i="46"/>
  <c r="AB100" i="46" s="1"/>
  <c r="L105" i="46"/>
  <c r="N105" i="46" s="1"/>
  <c r="AQ105" i="46" s="1"/>
  <c r="AR90" i="35"/>
  <c r="AT90" i="35" s="1"/>
  <c r="E16" i="35" s="1"/>
  <c r="AR90" i="36"/>
  <c r="AT90" i="36" s="1"/>
  <c r="E16" i="36" s="1"/>
  <c r="AR79" i="44"/>
  <c r="AR80" i="44"/>
  <c r="AB22" i="27"/>
  <c r="AD22" i="27" s="1"/>
  <c r="AP5" i="27"/>
  <c r="AR5" i="27" s="1"/>
  <c r="Z99" i="26"/>
  <c r="AB99" i="26" s="1"/>
  <c r="L104" i="26"/>
  <c r="N104" i="26" s="1"/>
  <c r="AQ104" i="26" s="1"/>
  <c r="AR90" i="26"/>
  <c r="AT90" i="26" s="1"/>
  <c r="E16" i="26" s="1"/>
  <c r="AR89" i="37"/>
  <c r="AT89" i="37" s="1"/>
  <c r="D16" i="37" s="1"/>
  <c r="L65" i="45"/>
  <c r="N65" i="45" s="1"/>
  <c r="AQ65" i="45" s="1"/>
  <c r="Z60" i="45"/>
  <c r="AB60" i="45" s="1"/>
  <c r="AK74" i="27"/>
  <c r="AM74" i="27" s="1"/>
  <c r="AS74" i="27" s="1"/>
  <c r="AL12" i="49"/>
  <c r="L10" i="49" s="1"/>
  <c r="AP84" i="49" s="1"/>
  <c r="L80" i="27"/>
  <c r="N80" i="27" s="1"/>
  <c r="AQ80" i="27" s="1"/>
  <c r="AK75" i="27"/>
  <c r="AM75" i="27" s="1"/>
  <c r="AS75" i="27" s="1"/>
  <c r="AL13" i="49"/>
  <c r="L11" i="49" s="1"/>
  <c r="AP85" i="49" s="1"/>
  <c r="L89" i="34"/>
  <c r="N89" i="34" s="1"/>
  <c r="AQ89" i="34" s="1"/>
  <c r="AK84" i="34"/>
  <c r="AM84" i="34" s="1"/>
  <c r="AS84" i="34" s="1"/>
  <c r="AT75" i="43"/>
  <c r="E13" i="43" s="1"/>
  <c r="AR74" i="43"/>
  <c r="AT74" i="43" s="1"/>
  <c r="D13" i="43" s="1"/>
  <c r="AK79" i="43" s="1"/>
  <c r="AM79" i="43" s="1"/>
  <c r="AS79" i="43" s="1"/>
  <c r="AT79" i="43" s="1"/>
  <c r="D14" i="43" s="1"/>
  <c r="AT74" i="31"/>
  <c r="D13" i="31" s="1"/>
  <c r="AR84" i="49"/>
  <c r="AR85" i="49"/>
  <c r="AT74" i="40"/>
  <c r="D13" i="40" s="1"/>
  <c r="AK84" i="31"/>
  <c r="AM84" i="31" s="1"/>
  <c r="AS84" i="31" s="1"/>
  <c r="Z84" i="31"/>
  <c r="AB84" i="31" s="1"/>
  <c r="L89" i="31"/>
  <c r="N89" i="31" s="1"/>
  <c r="AQ89" i="31" s="1"/>
  <c r="AR75" i="31"/>
  <c r="AT75" i="31" s="1"/>
  <c r="E13" i="31" s="1"/>
  <c r="Z80" i="31" s="1"/>
  <c r="AB80" i="31" s="1"/>
  <c r="AR75" i="34"/>
  <c r="AT75" i="34" s="1"/>
  <c r="E13" i="34" s="1"/>
  <c r="AR74" i="34"/>
  <c r="AT74" i="34" s="1"/>
  <c r="D13" i="34" s="1"/>
  <c r="AK84" i="40"/>
  <c r="AM84" i="40" s="1"/>
  <c r="AS84" i="40" s="1"/>
  <c r="Z84" i="40"/>
  <c r="AB84" i="40" s="1"/>
  <c r="AR85" i="40" s="1"/>
  <c r="AT85" i="40" s="1"/>
  <c r="E15" i="40" s="1"/>
  <c r="L89" i="40"/>
  <c r="N89" i="40" s="1"/>
  <c r="AQ89" i="40" s="1"/>
  <c r="Z85" i="31"/>
  <c r="AB85" i="31" s="1"/>
  <c r="L90" i="31"/>
  <c r="N90" i="31" s="1"/>
  <c r="AQ90" i="31" s="1"/>
  <c r="AK85" i="31"/>
  <c r="AM85" i="31" s="1"/>
  <c r="AS85" i="31" s="1"/>
  <c r="AK85" i="43"/>
  <c r="AM85" i="43" s="1"/>
  <c r="AS85" i="43" s="1"/>
  <c r="Z85" i="43"/>
  <c r="AB85" i="43" s="1"/>
  <c r="L90" i="43"/>
  <c r="N90" i="43" s="1"/>
  <c r="AQ90" i="43" s="1"/>
  <c r="AR84" i="40"/>
  <c r="AV94" i="59"/>
  <c r="B78" i="58" s="1" a="1"/>
  <c r="D15" i="59"/>
  <c r="AR75" i="27"/>
  <c r="AR74" i="27"/>
  <c r="AR84" i="34"/>
  <c r="AR85" i="44"/>
  <c r="AT85" i="44" s="1"/>
  <c r="E15" i="44" s="1"/>
  <c r="AK84" i="33"/>
  <c r="AM84" i="33" s="1"/>
  <c r="AS84" i="33" s="1"/>
  <c r="Z84" i="33"/>
  <c r="AB84" i="33" s="1"/>
  <c r="AR85" i="33" s="1"/>
  <c r="AT85" i="33" s="1"/>
  <c r="E15" i="33" s="1"/>
  <c r="L89" i="33"/>
  <c r="N89" i="33" s="1"/>
  <c r="AQ89" i="33" s="1"/>
  <c r="AR80" i="39"/>
  <c r="AR79" i="39"/>
  <c r="Z79" i="43"/>
  <c r="AB79" i="43" s="1"/>
  <c r="D18" i="48"/>
  <c r="AR80" i="33"/>
  <c r="AR79" i="33"/>
  <c r="AR85" i="34"/>
  <c r="AK85" i="39"/>
  <c r="AM85" i="39" s="1"/>
  <c r="AS85" i="39" s="1"/>
  <c r="Z85" i="39"/>
  <c r="AB85" i="39" s="1"/>
  <c r="L90" i="39"/>
  <c r="N90" i="39" s="1"/>
  <c r="AQ90" i="39" s="1"/>
  <c r="AK105" i="48"/>
  <c r="AM105" i="48" s="1"/>
  <c r="AS105" i="48" s="1"/>
  <c r="X24" i="27" l="1"/>
  <c r="L104" i="36"/>
  <c r="N104" i="36" s="1"/>
  <c r="AQ104" i="36" s="1"/>
  <c r="Z89" i="44"/>
  <c r="AB89" i="44" s="1"/>
  <c r="Z99" i="36"/>
  <c r="AB99" i="36" s="1"/>
  <c r="L99" i="44"/>
  <c r="N99" i="44" s="1"/>
  <c r="AQ99" i="44" s="1"/>
  <c r="L84" i="43"/>
  <c r="N84" i="43" s="1"/>
  <c r="AQ84" i="43" s="1"/>
  <c r="L85" i="31"/>
  <c r="N85" i="31" s="1"/>
  <c r="AQ85" i="31" s="1"/>
  <c r="Z100" i="37"/>
  <c r="AB100" i="37" s="1"/>
  <c r="AK100" i="42"/>
  <c r="AM100" i="42" s="1"/>
  <c r="AS100" i="42" s="1"/>
  <c r="AK100" i="37"/>
  <c r="AM100" i="37" s="1"/>
  <c r="AS100" i="37" s="1"/>
  <c r="AT84" i="49"/>
  <c r="D15" i="49" s="1"/>
  <c r="AK89" i="49" s="1"/>
  <c r="AM89" i="49" s="1"/>
  <c r="AS89" i="49" s="1"/>
  <c r="L104" i="38"/>
  <c r="N104" i="38" s="1"/>
  <c r="AQ104" i="38" s="1"/>
  <c r="AK94" i="38"/>
  <c r="AM94" i="38" s="1"/>
  <c r="AS94" i="38" s="1"/>
  <c r="AT94" i="38" s="1"/>
  <c r="D17" i="38" s="1"/>
  <c r="AK99" i="38" s="1"/>
  <c r="AM99" i="38" s="1"/>
  <c r="AS99" i="38" s="1"/>
  <c r="Z99" i="38"/>
  <c r="AB99" i="38" s="1"/>
  <c r="AK94" i="37"/>
  <c r="AM94" i="37" s="1"/>
  <c r="AS94" i="37" s="1"/>
  <c r="AT94" i="37" s="1"/>
  <c r="D17" i="37" s="1"/>
  <c r="AK99" i="37" s="1"/>
  <c r="AM99" i="37" s="1"/>
  <c r="AS99" i="37" s="1"/>
  <c r="Z99" i="37"/>
  <c r="AB99" i="37" s="1"/>
  <c r="AR100" i="37" s="1"/>
  <c r="L104" i="37"/>
  <c r="N104" i="37" s="1"/>
  <c r="AQ104" i="37" s="1"/>
  <c r="Z100" i="36"/>
  <c r="AB100" i="36" s="1"/>
  <c r="L105" i="36"/>
  <c r="N105" i="36" s="1"/>
  <c r="AQ105" i="36" s="1"/>
  <c r="AK95" i="36"/>
  <c r="AM95" i="36" s="1"/>
  <c r="AS95" i="36" s="1"/>
  <c r="AT95" i="36" s="1"/>
  <c r="E17" i="36" s="1"/>
  <c r="AK100" i="36" s="1"/>
  <c r="AM100" i="36" s="1"/>
  <c r="AS100" i="36" s="1"/>
  <c r="AK94" i="41"/>
  <c r="AM94" i="41" s="1"/>
  <c r="AS94" i="41" s="1"/>
  <c r="AT94" i="41" s="1"/>
  <c r="D17" i="41" s="1"/>
  <c r="AK99" i="41" s="1"/>
  <c r="AM99" i="41" s="1"/>
  <c r="AS99" i="41" s="1"/>
  <c r="Z99" i="41"/>
  <c r="AB99" i="41" s="1"/>
  <c r="L104" i="41"/>
  <c r="N104" i="41" s="1"/>
  <c r="AQ104" i="41" s="1"/>
  <c r="AK95" i="38"/>
  <c r="AM95" i="38" s="1"/>
  <c r="AS95" i="38" s="1"/>
  <c r="AT95" i="38" s="1"/>
  <c r="E17" i="38" s="1"/>
  <c r="AK100" i="38" s="1"/>
  <c r="AM100" i="38" s="1"/>
  <c r="AS100" i="38" s="1"/>
  <c r="Z100" i="38"/>
  <c r="AB100" i="38" s="1"/>
  <c r="AR100" i="38" s="1"/>
  <c r="L105" i="38"/>
  <c r="N105" i="38" s="1"/>
  <c r="AQ105" i="38" s="1"/>
  <c r="AK95" i="26"/>
  <c r="AM95" i="26" s="1"/>
  <c r="AS95" i="26" s="1"/>
  <c r="AT95" i="26" s="1"/>
  <c r="E17" i="26" s="1"/>
  <c r="AK100" i="26" s="1"/>
  <c r="AM100" i="26" s="1"/>
  <c r="AS100" i="26" s="1"/>
  <c r="L105" i="26"/>
  <c r="N105" i="26" s="1"/>
  <c r="AQ105" i="26" s="1"/>
  <c r="Z100" i="26"/>
  <c r="AB100" i="26" s="1"/>
  <c r="AR100" i="26" s="1"/>
  <c r="AK95" i="35"/>
  <c r="AM95" i="35" s="1"/>
  <c r="AS95" i="35" s="1"/>
  <c r="AT95" i="35" s="1"/>
  <c r="E17" i="35" s="1"/>
  <c r="AK100" i="35" s="1"/>
  <c r="AM100" i="35" s="1"/>
  <c r="AS100" i="35" s="1"/>
  <c r="Z100" i="35"/>
  <c r="AB100" i="35" s="1"/>
  <c r="L105" i="35"/>
  <c r="N105" i="35" s="1"/>
  <c r="AQ105" i="35" s="1"/>
  <c r="AK94" i="46"/>
  <c r="AM94" i="46" s="1"/>
  <c r="AS94" i="46" s="1"/>
  <c r="AT94" i="46" s="1"/>
  <c r="D17" i="46" s="1"/>
  <c r="AK99" i="46" s="1"/>
  <c r="AM99" i="46" s="1"/>
  <c r="AS99" i="46" s="1"/>
  <c r="Z99" i="46"/>
  <c r="AB99" i="46" s="1"/>
  <c r="L104" i="46"/>
  <c r="N104" i="46" s="1"/>
  <c r="AQ104" i="46" s="1"/>
  <c r="AK94" i="47"/>
  <c r="AM94" i="47" s="1"/>
  <c r="AS94" i="47" s="1"/>
  <c r="AT94" i="47" s="1"/>
  <c r="D17" i="47" s="1"/>
  <c r="AK99" i="47" s="1"/>
  <c r="AM99" i="47" s="1"/>
  <c r="AS99" i="47" s="1"/>
  <c r="Z99" i="47"/>
  <c r="AB99" i="47" s="1"/>
  <c r="L104" i="47"/>
  <c r="N104" i="47" s="1"/>
  <c r="AQ104" i="47" s="1"/>
  <c r="AK95" i="47"/>
  <c r="AM95" i="47" s="1"/>
  <c r="AS95" i="47" s="1"/>
  <c r="AT95" i="47" s="1"/>
  <c r="E17" i="47" s="1"/>
  <c r="AK100" i="47" s="1"/>
  <c r="AM100" i="47" s="1"/>
  <c r="AS100" i="47" s="1"/>
  <c r="Z100" i="47"/>
  <c r="AB100" i="47" s="1"/>
  <c r="L105" i="47"/>
  <c r="N105" i="47" s="1"/>
  <c r="AQ105" i="47" s="1"/>
  <c r="Z99" i="35"/>
  <c r="AB99" i="35" s="1"/>
  <c r="L104" i="35"/>
  <c r="N104" i="35" s="1"/>
  <c r="AQ104" i="35" s="1"/>
  <c r="AK94" i="35"/>
  <c r="AM94" i="35" s="1"/>
  <c r="AS94" i="35" s="1"/>
  <c r="AT94" i="35" s="1"/>
  <c r="D17" i="35" s="1"/>
  <c r="AK99" i="35" s="1"/>
  <c r="AM99" i="35" s="1"/>
  <c r="AS99" i="35" s="1"/>
  <c r="AT85" i="49"/>
  <c r="E15" i="49" s="1"/>
  <c r="AK90" i="49" s="1"/>
  <c r="AM90" i="49" s="1"/>
  <c r="AS90" i="49" s="1"/>
  <c r="L105" i="37"/>
  <c r="N105" i="37" s="1"/>
  <c r="AQ105" i="37" s="1"/>
  <c r="Z99" i="42"/>
  <c r="AB99" i="42" s="1"/>
  <c r="AR100" i="42" s="1"/>
  <c r="L104" i="42"/>
  <c r="N104" i="42" s="1"/>
  <c r="AQ104" i="42" s="1"/>
  <c r="AK94" i="42"/>
  <c r="AM94" i="42" s="1"/>
  <c r="AS94" i="42" s="1"/>
  <c r="AT94" i="42" s="1"/>
  <c r="D17" i="42" s="1"/>
  <c r="AK99" i="42" s="1"/>
  <c r="AM99" i="42" s="1"/>
  <c r="AS99" i="42" s="1"/>
  <c r="AR99" i="46"/>
  <c r="AR99" i="36"/>
  <c r="AT99" i="36" s="1"/>
  <c r="D18" i="36" s="1"/>
  <c r="AK80" i="31"/>
  <c r="AM80" i="31" s="1"/>
  <c r="AS80" i="31" s="1"/>
  <c r="AR89" i="29"/>
  <c r="AT89" i="29" s="1"/>
  <c r="D16" i="29" s="1"/>
  <c r="AR90" i="30"/>
  <c r="AT90" i="30" s="1"/>
  <c r="E16" i="30" s="1"/>
  <c r="AR100" i="41"/>
  <c r="AT100" i="41" s="1"/>
  <c r="E18" i="41" s="1"/>
  <c r="AK105" i="41" s="1"/>
  <c r="AM105" i="41" s="1"/>
  <c r="AS105" i="41" s="1"/>
  <c r="AK79" i="31"/>
  <c r="AM79" i="31" s="1"/>
  <c r="AS79" i="31" s="1"/>
  <c r="L84" i="31"/>
  <c r="N84" i="31" s="1"/>
  <c r="AQ84" i="31" s="1"/>
  <c r="Z79" i="31"/>
  <c r="AB79" i="31" s="1"/>
  <c r="AR79" i="31" s="1"/>
  <c r="Z89" i="49"/>
  <c r="AB89" i="49" s="1"/>
  <c r="L99" i="49"/>
  <c r="N99" i="49" s="1"/>
  <c r="AQ99" i="49" s="1"/>
  <c r="AR89" i="30"/>
  <c r="AT89" i="30" s="1"/>
  <c r="D16" i="30" s="1"/>
  <c r="AR99" i="41"/>
  <c r="AR90" i="29"/>
  <c r="AT90" i="29" s="1"/>
  <c r="E16" i="29" s="1"/>
  <c r="Z90" i="40"/>
  <c r="AB90" i="40" s="1"/>
  <c r="L100" i="40"/>
  <c r="N100" i="40" s="1"/>
  <c r="AQ100" i="40" s="1"/>
  <c r="Z104" i="48"/>
  <c r="AB104" i="48" s="1"/>
  <c r="AR104" i="48" s="1"/>
  <c r="L109" i="48"/>
  <c r="N109" i="48" s="1"/>
  <c r="AQ109" i="48" s="1"/>
  <c r="AK90" i="33"/>
  <c r="AM90" i="33" s="1"/>
  <c r="AS90" i="33" s="1"/>
  <c r="Z90" i="33"/>
  <c r="AB90" i="33" s="1"/>
  <c r="L100" i="33"/>
  <c r="N100" i="33" s="1"/>
  <c r="AQ100" i="33" s="1"/>
  <c r="AK79" i="40"/>
  <c r="AM79" i="40" s="1"/>
  <c r="AS79" i="40" s="1"/>
  <c r="Z79" i="40"/>
  <c r="AB79" i="40" s="1"/>
  <c r="L84" i="40"/>
  <c r="N84" i="40" s="1"/>
  <c r="AQ84" i="40" s="1"/>
  <c r="AT84" i="40" s="1"/>
  <c r="D15" i="40" s="1"/>
  <c r="X25" i="27"/>
  <c r="Z90" i="49"/>
  <c r="AB90" i="49" s="1"/>
  <c r="AK80" i="43"/>
  <c r="AM80" i="43" s="1"/>
  <c r="AS80" i="43" s="1"/>
  <c r="L85" i="43"/>
  <c r="N85" i="43" s="1"/>
  <c r="AQ85" i="43" s="1"/>
  <c r="Z80" i="43"/>
  <c r="AB80" i="43" s="1"/>
  <c r="AR80" i="43" s="1"/>
  <c r="AR100" i="46"/>
  <c r="AT100" i="46" s="1"/>
  <c r="E18" i="46" s="1"/>
  <c r="Z105" i="46" s="1"/>
  <c r="AB105" i="46" s="1"/>
  <c r="AK90" i="44"/>
  <c r="AM90" i="44" s="1"/>
  <c r="AS90" i="44" s="1"/>
  <c r="Z90" i="44"/>
  <c r="AB90" i="44" s="1"/>
  <c r="AR89" i="44" s="1"/>
  <c r="AT89" i="44" s="1"/>
  <c r="D16" i="44" s="1"/>
  <c r="L100" i="44"/>
  <c r="N100" i="44" s="1"/>
  <c r="AQ100" i="44" s="1"/>
  <c r="AM101" i="59"/>
  <c r="AO101" i="59" s="1"/>
  <c r="AU101" i="59" s="1"/>
  <c r="Z101" i="59"/>
  <c r="AB101" i="59" s="1"/>
  <c r="AT101" i="59" s="1"/>
  <c r="L113" i="59"/>
  <c r="N113" i="59" s="1"/>
  <c r="AS113" i="59" s="1"/>
  <c r="AR100" i="36"/>
  <c r="AR89" i="28"/>
  <c r="AT89" i="28" s="1"/>
  <c r="D16" i="28" s="1"/>
  <c r="AR90" i="28"/>
  <c r="AT90" i="28" s="1"/>
  <c r="E16" i="28" s="1"/>
  <c r="AR85" i="31"/>
  <c r="AT85" i="31" s="1"/>
  <c r="E15" i="31" s="1"/>
  <c r="AR84" i="31"/>
  <c r="L84" i="34"/>
  <c r="N84" i="34" s="1"/>
  <c r="AQ84" i="34" s="1"/>
  <c r="AT84" i="34" s="1"/>
  <c r="D15" i="34" s="1"/>
  <c r="AK79" i="34"/>
  <c r="AM79" i="34" s="1"/>
  <c r="AS79" i="34" s="1"/>
  <c r="Z79" i="34"/>
  <c r="AB79" i="34" s="1"/>
  <c r="AK80" i="34"/>
  <c r="AM80" i="34" s="1"/>
  <c r="AS80" i="34" s="1"/>
  <c r="Z80" i="34"/>
  <c r="AB80" i="34" s="1"/>
  <c r="L85" i="34"/>
  <c r="N85" i="34" s="1"/>
  <c r="AQ85" i="34" s="1"/>
  <c r="AT85" i="34" s="1"/>
  <c r="E15" i="34" s="1"/>
  <c r="B82" i="58"/>
  <c r="C79" i="58"/>
  <c r="M81" i="58"/>
  <c r="C78" i="58"/>
  <c r="H82" i="58"/>
  <c r="M79" i="58"/>
  <c r="L81" i="58"/>
  <c r="D81" i="58"/>
  <c r="D82" i="58"/>
  <c r="J79" i="58"/>
  <c r="B78" i="58"/>
  <c r="I80" i="58"/>
  <c r="D80" i="58"/>
  <c r="K79" i="58"/>
  <c r="B79" i="58"/>
  <c r="M82" i="58"/>
  <c r="I82" i="58"/>
  <c r="J78" i="58"/>
  <c r="J81" i="58"/>
  <c r="I79" i="58"/>
  <c r="G81" i="58"/>
  <c r="K80" i="58"/>
  <c r="M80" i="58"/>
  <c r="E80" i="58"/>
  <c r="G78" i="58"/>
  <c r="F79" i="58"/>
  <c r="E79" i="58"/>
  <c r="D78" i="58"/>
  <c r="G80" i="58"/>
  <c r="K81" i="58"/>
  <c r="F78" i="58"/>
  <c r="H78" i="58"/>
  <c r="M78" i="58"/>
  <c r="F82" i="58"/>
  <c r="H81" i="58"/>
  <c r="E82" i="58"/>
  <c r="I81" i="58"/>
  <c r="F81" i="58"/>
  <c r="C80" i="58"/>
  <c r="G79" i="58"/>
  <c r="L80" i="58"/>
  <c r="C81" i="58"/>
  <c r="J80" i="58"/>
  <c r="E81" i="58"/>
  <c r="I78" i="58"/>
  <c r="C82" i="58"/>
  <c r="K82" i="58"/>
  <c r="D79" i="58"/>
  <c r="K78" i="58"/>
  <c r="E78" i="58"/>
  <c r="H79" i="58"/>
  <c r="B81" i="58"/>
  <c r="F80" i="58"/>
  <c r="H80" i="58"/>
  <c r="L79" i="58"/>
  <c r="G82" i="58"/>
  <c r="J82" i="58"/>
  <c r="B80" i="58"/>
  <c r="L82" i="58"/>
  <c r="L78" i="58"/>
  <c r="AR84" i="39"/>
  <c r="AT84" i="39" s="1"/>
  <c r="D15" i="39" s="1"/>
  <c r="AR85" i="39"/>
  <c r="AT85" i="39" s="1"/>
  <c r="E15" i="39" s="1"/>
  <c r="AR84" i="33"/>
  <c r="AT84" i="33" s="1"/>
  <c r="D15" i="33" s="1"/>
  <c r="AK84" i="43"/>
  <c r="AM84" i="43" s="1"/>
  <c r="AS84" i="43" s="1"/>
  <c r="Z84" i="43"/>
  <c r="AB84" i="43" s="1"/>
  <c r="L89" i="43"/>
  <c r="N89" i="43" s="1"/>
  <c r="AQ89" i="43" s="1"/>
  <c r="AK90" i="40"/>
  <c r="AM90" i="40" s="1"/>
  <c r="AS90" i="40" s="1"/>
  <c r="AK104" i="48"/>
  <c r="AM104" i="48" s="1"/>
  <c r="AS104" i="48" s="1"/>
  <c r="AR99" i="38" l="1"/>
  <c r="AT99" i="38" s="1"/>
  <c r="D18" i="38" s="1"/>
  <c r="Z104" i="38" s="1"/>
  <c r="AB104" i="38" s="1"/>
  <c r="AK105" i="46"/>
  <c r="AM105" i="46" s="1"/>
  <c r="AS105" i="46" s="1"/>
  <c r="L110" i="41"/>
  <c r="N110" i="41" s="1"/>
  <c r="AQ110" i="41" s="1"/>
  <c r="Z105" i="41"/>
  <c r="AB105" i="41" s="1"/>
  <c r="L100" i="49"/>
  <c r="N100" i="49" s="1"/>
  <c r="AQ100" i="49" s="1"/>
  <c r="AT100" i="42"/>
  <c r="E18" i="42" s="1"/>
  <c r="AT100" i="37"/>
  <c r="E18" i="37" s="1"/>
  <c r="AR99" i="37"/>
  <c r="AT99" i="37" s="1"/>
  <c r="D18" i="37" s="1"/>
  <c r="AT100" i="36"/>
  <c r="E18" i="36" s="1"/>
  <c r="AK105" i="36" s="1"/>
  <c r="AM105" i="36" s="1"/>
  <c r="AS105" i="36" s="1"/>
  <c r="AR79" i="43"/>
  <c r="AR89" i="49"/>
  <c r="AT89" i="49" s="1"/>
  <c r="D16" i="49" s="1"/>
  <c r="AK94" i="49" s="1"/>
  <c r="AM94" i="49" s="1"/>
  <c r="AS94" i="49" s="1"/>
  <c r="AT94" i="49" s="1"/>
  <c r="D17" i="49" s="1"/>
  <c r="AK99" i="49" s="1"/>
  <c r="AM99" i="49" s="1"/>
  <c r="AS99" i="49" s="1"/>
  <c r="AT84" i="31"/>
  <c r="D15" i="31" s="1"/>
  <c r="AR99" i="26"/>
  <c r="AT99" i="26" s="1"/>
  <c r="D18" i="26" s="1"/>
  <c r="Z104" i="26" s="1"/>
  <c r="AB104" i="26" s="1"/>
  <c r="AT99" i="41"/>
  <c r="D18" i="41" s="1"/>
  <c r="AR100" i="35"/>
  <c r="AT100" i="35" s="1"/>
  <c r="E18" i="35" s="1"/>
  <c r="AK105" i="35" s="1"/>
  <c r="AM105" i="35" s="1"/>
  <c r="AS105" i="35" s="1"/>
  <c r="AR100" i="47"/>
  <c r="AT100" i="38"/>
  <c r="E18" i="38" s="1"/>
  <c r="AR80" i="31"/>
  <c r="AT104" i="48"/>
  <c r="D19" i="48" s="1"/>
  <c r="AT100" i="47"/>
  <c r="E18" i="47" s="1"/>
  <c r="AT100" i="26"/>
  <c r="E18" i="26" s="1"/>
  <c r="AT99" i="46"/>
  <c r="D18" i="46" s="1"/>
  <c r="AR99" i="42"/>
  <c r="AT99" i="42" s="1"/>
  <c r="D18" i="42" s="1"/>
  <c r="L104" i="30"/>
  <c r="N104" i="30" s="1"/>
  <c r="AQ104" i="30" s="1"/>
  <c r="AK94" i="30"/>
  <c r="AM94" i="30" s="1"/>
  <c r="AS94" i="30" s="1"/>
  <c r="AT94" i="30" s="1"/>
  <c r="D17" i="30" s="1"/>
  <c r="AK99" i="30" s="1"/>
  <c r="AM99" i="30" s="1"/>
  <c r="AS99" i="30" s="1"/>
  <c r="Z99" i="30"/>
  <c r="AB99" i="30" s="1"/>
  <c r="AK94" i="44"/>
  <c r="AM94" i="44" s="1"/>
  <c r="AS94" i="44" s="1"/>
  <c r="AT94" i="44" s="1"/>
  <c r="D17" i="44" s="1"/>
  <c r="AK99" i="44" s="1"/>
  <c r="AM99" i="44" s="1"/>
  <c r="AS99" i="44" s="1"/>
  <c r="Z99" i="44"/>
  <c r="AB99" i="44" s="1"/>
  <c r="L104" i="44"/>
  <c r="N104" i="44" s="1"/>
  <c r="AQ104" i="44" s="1"/>
  <c r="AK94" i="29"/>
  <c r="AM94" i="29" s="1"/>
  <c r="AS94" i="29" s="1"/>
  <c r="AT94" i="29" s="1"/>
  <c r="D17" i="29" s="1"/>
  <c r="AK99" i="29" s="1"/>
  <c r="AM99" i="29" s="1"/>
  <c r="AS99" i="29" s="1"/>
  <c r="Z99" i="29"/>
  <c r="AB99" i="29" s="1"/>
  <c r="L104" i="29"/>
  <c r="N104" i="29" s="1"/>
  <c r="AQ104" i="29" s="1"/>
  <c r="L104" i="28"/>
  <c r="N104" i="28" s="1"/>
  <c r="AQ104" i="28" s="1"/>
  <c r="Z99" i="28"/>
  <c r="AB99" i="28" s="1"/>
  <c r="AK94" i="28"/>
  <c r="AM94" i="28" s="1"/>
  <c r="AS94" i="28" s="1"/>
  <c r="AT94" i="28" s="1"/>
  <c r="D17" i="28" s="1"/>
  <c r="AK99" i="28" s="1"/>
  <c r="AM99" i="28" s="1"/>
  <c r="AS99" i="28" s="1"/>
  <c r="L105" i="28"/>
  <c r="N105" i="28" s="1"/>
  <c r="AQ105" i="28" s="1"/>
  <c r="AK95" i="28"/>
  <c r="AM95" i="28" s="1"/>
  <c r="AS95" i="28" s="1"/>
  <c r="AT95" i="28" s="1"/>
  <c r="E17" i="28" s="1"/>
  <c r="AK100" i="28" s="1"/>
  <c r="AM100" i="28" s="1"/>
  <c r="AS100" i="28" s="1"/>
  <c r="Z100" i="28"/>
  <c r="AB100" i="28" s="1"/>
  <c r="L105" i="30"/>
  <c r="N105" i="30" s="1"/>
  <c r="AQ105" i="30" s="1"/>
  <c r="AK95" i="30"/>
  <c r="AM95" i="30" s="1"/>
  <c r="AS95" i="30" s="1"/>
  <c r="AT95" i="30" s="1"/>
  <c r="E17" i="30" s="1"/>
  <c r="AK100" i="30" s="1"/>
  <c r="AM100" i="30" s="1"/>
  <c r="AS100" i="30" s="1"/>
  <c r="Z100" i="30"/>
  <c r="AB100" i="30" s="1"/>
  <c r="Z100" i="29"/>
  <c r="AB100" i="29" s="1"/>
  <c r="L105" i="29"/>
  <c r="N105" i="29" s="1"/>
  <c r="AQ105" i="29" s="1"/>
  <c r="AK95" i="29"/>
  <c r="AM95" i="29" s="1"/>
  <c r="AS95" i="29" s="1"/>
  <c r="AT95" i="29" s="1"/>
  <c r="E17" i="29" s="1"/>
  <c r="AK100" i="29" s="1"/>
  <c r="AM100" i="29" s="1"/>
  <c r="AS100" i="29" s="1"/>
  <c r="AR99" i="35"/>
  <c r="AT99" i="35" s="1"/>
  <c r="D18" i="35" s="1"/>
  <c r="L104" i="49"/>
  <c r="N104" i="49" s="1"/>
  <c r="AQ104" i="49" s="1"/>
  <c r="Z99" i="49"/>
  <c r="AB99" i="49" s="1"/>
  <c r="AV101" i="59"/>
  <c r="AR99" i="47"/>
  <c r="AT99" i="47" s="1"/>
  <c r="D18" i="47" s="1"/>
  <c r="L109" i="41"/>
  <c r="N109" i="41" s="1"/>
  <c r="AQ109" i="41" s="1"/>
  <c r="L109" i="26"/>
  <c r="N109" i="26" s="1"/>
  <c r="AQ109" i="26" s="1"/>
  <c r="L109" i="38"/>
  <c r="N109" i="38" s="1"/>
  <c r="AQ109" i="38" s="1"/>
  <c r="L110" i="46"/>
  <c r="N110" i="46" s="1"/>
  <c r="AQ110" i="46" s="1"/>
  <c r="AK104" i="38"/>
  <c r="AM104" i="38" s="1"/>
  <c r="AS104" i="38" s="1"/>
  <c r="AK104" i="26"/>
  <c r="AM104" i="26" s="1"/>
  <c r="AS104" i="26" s="1"/>
  <c r="AR105" i="48"/>
  <c r="AT105" i="48" s="1"/>
  <c r="E19" i="48" s="1"/>
  <c r="AK109" i="48"/>
  <c r="AM109" i="48" s="1"/>
  <c r="AS109" i="48" s="1"/>
  <c r="AK89" i="39"/>
  <c r="AM89" i="39" s="1"/>
  <c r="AS89" i="39" s="1"/>
  <c r="Z89" i="39"/>
  <c r="AB89" i="39" s="1"/>
  <c r="L99" i="39"/>
  <c r="N99" i="39" s="1"/>
  <c r="AQ99" i="39" s="1"/>
  <c r="AK90" i="34"/>
  <c r="AM90" i="34" s="1"/>
  <c r="AS90" i="34" s="1"/>
  <c r="Z90" i="34"/>
  <c r="AB90" i="34" s="1"/>
  <c r="L100" i="34"/>
  <c r="N100" i="34" s="1"/>
  <c r="AQ100" i="34" s="1"/>
  <c r="AK89" i="31"/>
  <c r="AM89" i="31" s="1"/>
  <c r="AS89" i="31" s="1"/>
  <c r="Z89" i="31"/>
  <c r="AB89" i="31" s="1"/>
  <c r="L99" i="31"/>
  <c r="N99" i="31" s="1"/>
  <c r="AQ99" i="31" s="1"/>
  <c r="AR90" i="44"/>
  <c r="AT90" i="44" s="1"/>
  <c r="E16" i="44" s="1"/>
  <c r="AR90" i="49"/>
  <c r="AT90" i="49" s="1"/>
  <c r="E16" i="49" s="1"/>
  <c r="Z105" i="37"/>
  <c r="AB105" i="37" s="1"/>
  <c r="L110" i="37"/>
  <c r="N110" i="37" s="1"/>
  <c r="AQ110" i="37" s="1"/>
  <c r="Z104" i="37"/>
  <c r="AB104" i="37" s="1"/>
  <c r="L109" i="37"/>
  <c r="N109" i="37" s="1"/>
  <c r="AQ109" i="37" s="1"/>
  <c r="AK89" i="33"/>
  <c r="AM89" i="33" s="1"/>
  <c r="AS89" i="33" s="1"/>
  <c r="Z89" i="33"/>
  <c r="AB89" i="33" s="1"/>
  <c r="AR90" i="33" s="1"/>
  <c r="AT90" i="33" s="1"/>
  <c r="E16" i="33" s="1"/>
  <c r="L99" i="33"/>
  <c r="N99" i="33" s="1"/>
  <c r="AQ99" i="33" s="1"/>
  <c r="AK90" i="31"/>
  <c r="AM90" i="31" s="1"/>
  <c r="AS90" i="31" s="1"/>
  <c r="Z90" i="31"/>
  <c r="AB90" i="31" s="1"/>
  <c r="L100" i="31"/>
  <c r="N100" i="31" s="1"/>
  <c r="AQ100" i="31" s="1"/>
  <c r="AT102" i="59"/>
  <c r="AV102" i="59" s="1"/>
  <c r="E16" i="59" s="1"/>
  <c r="Z104" i="36"/>
  <c r="AB104" i="36" s="1"/>
  <c r="L109" i="36"/>
  <c r="N109" i="36" s="1"/>
  <c r="AQ109" i="36" s="1"/>
  <c r="AK89" i="40"/>
  <c r="AM89" i="40" s="1"/>
  <c r="AS89" i="40" s="1"/>
  <c r="Z89" i="40"/>
  <c r="AB89" i="40" s="1"/>
  <c r="L99" i="40"/>
  <c r="N99" i="40" s="1"/>
  <c r="AQ99" i="40" s="1"/>
  <c r="AR80" i="40"/>
  <c r="AR79" i="40"/>
  <c r="Z109" i="48"/>
  <c r="AB109" i="48" s="1"/>
  <c r="L114" i="48"/>
  <c r="N114" i="48" s="1"/>
  <c r="AQ114" i="48" s="1"/>
  <c r="Z105" i="42"/>
  <c r="AB105" i="42" s="1"/>
  <c r="L110" i="42"/>
  <c r="N110" i="42" s="1"/>
  <c r="AQ110" i="42" s="1"/>
  <c r="AK90" i="39"/>
  <c r="AM90" i="39" s="1"/>
  <c r="AS90" i="39" s="1"/>
  <c r="Z90" i="39"/>
  <c r="AB90" i="39" s="1"/>
  <c r="L100" i="39"/>
  <c r="N100" i="39" s="1"/>
  <c r="AQ100" i="39" s="1"/>
  <c r="AK89" i="34"/>
  <c r="AM89" i="34" s="1"/>
  <c r="AS89" i="34" s="1"/>
  <c r="Z89" i="34"/>
  <c r="AB89" i="34" s="1"/>
  <c r="L99" i="34"/>
  <c r="N99" i="34" s="1"/>
  <c r="AQ99" i="34" s="1"/>
  <c r="AR79" i="34"/>
  <c r="AR80" i="34"/>
  <c r="AK105" i="37"/>
  <c r="AM105" i="37" s="1"/>
  <c r="AS105" i="37" s="1"/>
  <c r="AK104" i="36"/>
  <c r="AM104" i="36" s="1"/>
  <c r="AS104" i="36" s="1"/>
  <c r="AK105" i="42"/>
  <c r="AM105" i="42" s="1"/>
  <c r="AS105" i="42" s="1"/>
  <c r="AK104" i="37"/>
  <c r="AM104" i="37" s="1"/>
  <c r="AS104" i="37" s="1"/>
  <c r="AR85" i="43"/>
  <c r="AT85" i="43" s="1"/>
  <c r="E15" i="43" s="1"/>
  <c r="AR84" i="43"/>
  <c r="AT84" i="43" s="1"/>
  <c r="D15" i="43" s="1"/>
  <c r="AR90" i="39" l="1"/>
  <c r="L110" i="36"/>
  <c r="N110" i="36" s="1"/>
  <c r="AQ110" i="36" s="1"/>
  <c r="Z105" i="36"/>
  <c r="AB105" i="36" s="1"/>
  <c r="AR104" i="36" s="1"/>
  <c r="AT104" i="36" s="1"/>
  <c r="D19" i="36" s="1"/>
  <c r="L110" i="35"/>
  <c r="N110" i="35" s="1"/>
  <c r="AQ110" i="35" s="1"/>
  <c r="Z105" i="35"/>
  <c r="AB105" i="35" s="1"/>
  <c r="Z104" i="46"/>
  <c r="AB104" i="46" s="1"/>
  <c r="L109" i="46"/>
  <c r="N109" i="46" s="1"/>
  <c r="AQ109" i="46" s="1"/>
  <c r="AK104" i="46"/>
  <c r="AM104" i="46" s="1"/>
  <c r="AS104" i="46" s="1"/>
  <c r="Z104" i="41"/>
  <c r="AB104" i="41" s="1"/>
  <c r="AR105" i="41" s="1"/>
  <c r="AT105" i="41" s="1"/>
  <c r="E19" i="41" s="1"/>
  <c r="AK104" i="41"/>
  <c r="AM104" i="41" s="1"/>
  <c r="AS104" i="41" s="1"/>
  <c r="Z105" i="26"/>
  <c r="AB105" i="26" s="1"/>
  <c r="AR105" i="26" s="1"/>
  <c r="L110" i="26"/>
  <c r="N110" i="26" s="1"/>
  <c r="AQ110" i="26" s="1"/>
  <c r="AK105" i="26"/>
  <c r="AM105" i="26" s="1"/>
  <c r="AS105" i="26" s="1"/>
  <c r="Z105" i="38"/>
  <c r="AB105" i="38" s="1"/>
  <c r="L110" i="38"/>
  <c r="N110" i="38" s="1"/>
  <c r="AQ110" i="38" s="1"/>
  <c r="AK105" i="38"/>
  <c r="AM105" i="38" s="1"/>
  <c r="AS105" i="38" s="1"/>
  <c r="L110" i="47"/>
  <c r="N110" i="47" s="1"/>
  <c r="AQ110" i="47" s="1"/>
  <c r="AK105" i="47"/>
  <c r="AM105" i="47" s="1"/>
  <c r="AS105" i="47" s="1"/>
  <c r="Z105" i="47"/>
  <c r="AB105" i="47" s="1"/>
  <c r="AK104" i="42"/>
  <c r="AM104" i="42" s="1"/>
  <c r="AS104" i="42" s="1"/>
  <c r="Z104" i="42"/>
  <c r="AB104" i="42" s="1"/>
  <c r="AR105" i="42" s="1"/>
  <c r="L109" i="42"/>
  <c r="N109" i="42" s="1"/>
  <c r="AQ109" i="42" s="1"/>
  <c r="AR99" i="28"/>
  <c r="AT99" i="28" s="1"/>
  <c r="D18" i="28" s="1"/>
  <c r="AR89" i="34"/>
  <c r="AT89" i="34" s="1"/>
  <c r="D16" i="34" s="1"/>
  <c r="AK94" i="34" s="1"/>
  <c r="AM94" i="34" s="1"/>
  <c r="AS94" i="34" s="1"/>
  <c r="AT94" i="34" s="1"/>
  <c r="D17" i="34" s="1"/>
  <c r="AK99" i="34" s="1"/>
  <c r="AM99" i="34" s="1"/>
  <c r="AS99" i="34" s="1"/>
  <c r="L105" i="33"/>
  <c r="N105" i="33" s="1"/>
  <c r="AQ105" i="33" s="1"/>
  <c r="Z100" i="33"/>
  <c r="AB100" i="33" s="1"/>
  <c r="AK95" i="33"/>
  <c r="AM95" i="33" s="1"/>
  <c r="AS95" i="33" s="1"/>
  <c r="AT95" i="33" s="1"/>
  <c r="E17" i="33" s="1"/>
  <c r="AK100" i="33" s="1"/>
  <c r="AM100" i="33" s="1"/>
  <c r="AS100" i="33" s="1"/>
  <c r="AK104" i="47"/>
  <c r="AM104" i="47" s="1"/>
  <c r="AS104" i="47" s="1"/>
  <c r="Z104" i="47"/>
  <c r="AB104" i="47" s="1"/>
  <c r="L109" i="47"/>
  <c r="N109" i="47" s="1"/>
  <c r="AQ109" i="47" s="1"/>
  <c r="L105" i="49"/>
  <c r="N105" i="49" s="1"/>
  <c r="AQ105" i="49" s="1"/>
  <c r="AK95" i="49"/>
  <c r="AM95" i="49" s="1"/>
  <c r="AS95" i="49" s="1"/>
  <c r="AT95" i="49" s="1"/>
  <c r="E17" i="49" s="1"/>
  <c r="AK100" i="49" s="1"/>
  <c r="AM100" i="49" s="1"/>
  <c r="AS100" i="49" s="1"/>
  <c r="Z100" i="49"/>
  <c r="AB100" i="49" s="1"/>
  <c r="AR100" i="49" s="1"/>
  <c r="L105" i="44"/>
  <c r="N105" i="44" s="1"/>
  <c r="AQ105" i="44" s="1"/>
  <c r="Z100" i="44"/>
  <c r="AB100" i="44" s="1"/>
  <c r="AR99" i="44" s="1"/>
  <c r="AT99" i="44" s="1"/>
  <c r="D18" i="44" s="1"/>
  <c r="AK104" i="44" s="1"/>
  <c r="AM104" i="44" s="1"/>
  <c r="AS104" i="44" s="1"/>
  <c r="AK95" i="44"/>
  <c r="AM95" i="44" s="1"/>
  <c r="AS95" i="44" s="1"/>
  <c r="AT95" i="44" s="1"/>
  <c r="E17" i="44" s="1"/>
  <c r="AK100" i="44" s="1"/>
  <c r="AM100" i="44" s="1"/>
  <c r="AS100" i="44" s="1"/>
  <c r="AT90" i="39"/>
  <c r="E16" i="39" s="1"/>
  <c r="AK95" i="39" s="1"/>
  <c r="AM95" i="39" s="1"/>
  <c r="AS95" i="39" s="1"/>
  <c r="AT95" i="39" s="1"/>
  <c r="E17" i="39" s="1"/>
  <c r="AK100" i="39" s="1"/>
  <c r="AM100" i="39" s="1"/>
  <c r="AS100" i="39" s="1"/>
  <c r="D16" i="59"/>
  <c r="AV100" i="59"/>
  <c r="B84" i="58" s="1" a="1"/>
  <c r="AR100" i="29"/>
  <c r="AT100" i="29" s="1"/>
  <c r="E18" i="29" s="1"/>
  <c r="AR99" i="29"/>
  <c r="AT99" i="29" s="1"/>
  <c r="D18" i="29" s="1"/>
  <c r="L120" i="59"/>
  <c r="N120" i="59" s="1"/>
  <c r="AS120" i="59" s="1"/>
  <c r="AM108" i="59"/>
  <c r="AO108" i="59" s="1"/>
  <c r="AU108" i="59" s="1"/>
  <c r="AV108" i="59" s="1"/>
  <c r="E17" i="59" s="1"/>
  <c r="AM114" i="59" s="1"/>
  <c r="AO114" i="59" s="1"/>
  <c r="AU114" i="59" s="1"/>
  <c r="Z114" i="59"/>
  <c r="AB114" i="59" s="1"/>
  <c r="AR100" i="28"/>
  <c r="AT100" i="28" s="1"/>
  <c r="E18" i="28" s="1"/>
  <c r="AR100" i="30"/>
  <c r="AT100" i="30" s="1"/>
  <c r="E18" i="30" s="1"/>
  <c r="AR99" i="30"/>
  <c r="AT99" i="30" s="1"/>
  <c r="D18" i="30" s="1"/>
  <c r="L109" i="35"/>
  <c r="N109" i="35" s="1"/>
  <c r="AQ109" i="35" s="1"/>
  <c r="AK104" i="35"/>
  <c r="AM104" i="35" s="1"/>
  <c r="AS104" i="35" s="1"/>
  <c r="Z104" i="35"/>
  <c r="AB104" i="35" s="1"/>
  <c r="AR89" i="31"/>
  <c r="AT89" i="31" s="1"/>
  <c r="D16" i="31" s="1"/>
  <c r="Z110" i="48"/>
  <c r="AB110" i="48" s="1"/>
  <c r="AR109" i="48" s="1"/>
  <c r="AT109" i="48" s="1"/>
  <c r="D20" i="48" s="1"/>
  <c r="AK114" i="48" s="1"/>
  <c r="AM114" i="48" s="1"/>
  <c r="AS114" i="48" s="1"/>
  <c r="L115" i="48"/>
  <c r="N115" i="48" s="1"/>
  <c r="AQ115" i="48" s="1"/>
  <c r="AK110" i="48"/>
  <c r="AM110" i="48" s="1"/>
  <c r="AS110" i="48" s="1"/>
  <c r="Z109" i="26"/>
  <c r="AB109" i="26" s="1"/>
  <c r="L114" i="26"/>
  <c r="N114" i="26" s="1"/>
  <c r="AQ114" i="26" s="1"/>
  <c r="AT105" i="42"/>
  <c r="E19" i="42" s="1"/>
  <c r="Z110" i="42" s="1"/>
  <c r="AB110" i="42" s="1"/>
  <c r="AR104" i="37"/>
  <c r="AT104" i="37" s="1"/>
  <c r="D19" i="37" s="1"/>
  <c r="AK109" i="37" s="1"/>
  <c r="AM109" i="37" s="1"/>
  <c r="AS109" i="37" s="1"/>
  <c r="AK104" i="28"/>
  <c r="AM104" i="28" s="1"/>
  <c r="AS104" i="28" s="1"/>
  <c r="AK90" i="43"/>
  <c r="AM90" i="43" s="1"/>
  <c r="AS90" i="43" s="1"/>
  <c r="Z90" i="43"/>
  <c r="AB90" i="43" s="1"/>
  <c r="L100" i="43"/>
  <c r="N100" i="43" s="1"/>
  <c r="AQ100" i="43" s="1"/>
  <c r="AR99" i="49"/>
  <c r="AT99" i="49" s="1"/>
  <c r="D18" i="49" s="1"/>
  <c r="AR105" i="37"/>
  <c r="AT105" i="37" s="1"/>
  <c r="E19" i="37" s="1"/>
  <c r="AK110" i="37" s="1"/>
  <c r="AM110" i="37" s="1"/>
  <c r="AS110" i="37" s="1"/>
  <c r="AR90" i="34"/>
  <c r="AT90" i="34" s="1"/>
  <c r="E16" i="34" s="1"/>
  <c r="AR89" i="39"/>
  <c r="AT89" i="39" s="1"/>
  <c r="D16" i="39" s="1"/>
  <c r="L104" i="34"/>
  <c r="N104" i="34" s="1"/>
  <c r="AQ104" i="34" s="1"/>
  <c r="Z100" i="39"/>
  <c r="AB100" i="39" s="1"/>
  <c r="L105" i="39"/>
  <c r="N105" i="39" s="1"/>
  <c r="AQ105" i="39" s="1"/>
  <c r="AR89" i="33"/>
  <c r="AT89" i="33" s="1"/>
  <c r="D16" i="33" s="1"/>
  <c r="AR90" i="31"/>
  <c r="AT90" i="31" s="1"/>
  <c r="E16" i="31" s="1"/>
  <c r="AR89" i="40"/>
  <c r="AT89" i="40" s="1"/>
  <c r="D16" i="40" s="1"/>
  <c r="AR90" i="40"/>
  <c r="AT90" i="40" s="1"/>
  <c r="E16" i="40" s="1"/>
  <c r="AR105" i="36"/>
  <c r="AT105" i="36" s="1"/>
  <c r="E19" i="36" s="1"/>
  <c r="AK89" i="43"/>
  <c r="AM89" i="43" s="1"/>
  <c r="AS89" i="43" s="1"/>
  <c r="Z89" i="43"/>
  <c r="AB89" i="43" s="1"/>
  <c r="L99" i="43"/>
  <c r="N99" i="43" s="1"/>
  <c r="AQ99" i="43" s="1"/>
  <c r="AR100" i="44"/>
  <c r="AT100" i="44" s="1"/>
  <c r="E18" i="44" s="1"/>
  <c r="Z105" i="44" s="1"/>
  <c r="AB105" i="44" s="1"/>
  <c r="L119" i="48"/>
  <c r="N119" i="48" s="1"/>
  <c r="AQ119" i="48" s="1"/>
  <c r="AR104" i="42" l="1"/>
  <c r="AT104" i="42" s="1"/>
  <c r="D19" i="42" s="1"/>
  <c r="Z109" i="36"/>
  <c r="AB109" i="36" s="1"/>
  <c r="L114" i="36"/>
  <c r="N114" i="36" s="1"/>
  <c r="AQ114" i="36" s="1"/>
  <c r="AK109" i="36"/>
  <c r="AM109" i="36" s="1"/>
  <c r="AS109" i="36" s="1"/>
  <c r="Z114" i="48"/>
  <c r="AB114" i="48" s="1"/>
  <c r="AR104" i="41"/>
  <c r="AT104" i="41" s="1"/>
  <c r="D19" i="41" s="1"/>
  <c r="Z99" i="34"/>
  <c r="AB99" i="34" s="1"/>
  <c r="AR104" i="26"/>
  <c r="AT104" i="26" s="1"/>
  <c r="D19" i="26" s="1"/>
  <c r="AK109" i="26" s="1"/>
  <c r="AM109" i="26" s="1"/>
  <c r="AS109" i="26" s="1"/>
  <c r="Z110" i="37"/>
  <c r="AB110" i="37" s="1"/>
  <c r="L109" i="44"/>
  <c r="N109" i="44" s="1"/>
  <c r="AQ109" i="44" s="1"/>
  <c r="AR90" i="43"/>
  <c r="AT105" i="26"/>
  <c r="E19" i="26" s="1"/>
  <c r="L115" i="26" s="1"/>
  <c r="N115" i="26" s="1"/>
  <c r="AQ115" i="26" s="1"/>
  <c r="L115" i="37"/>
  <c r="N115" i="37" s="1"/>
  <c r="AQ115" i="37" s="1"/>
  <c r="AK110" i="42"/>
  <c r="AM110" i="42" s="1"/>
  <c r="AS110" i="42" s="1"/>
  <c r="Z104" i="44"/>
  <c r="AB104" i="44" s="1"/>
  <c r="L115" i="42"/>
  <c r="N115" i="42" s="1"/>
  <c r="AQ115" i="42" s="1"/>
  <c r="L109" i="28"/>
  <c r="N109" i="28" s="1"/>
  <c r="AQ109" i="28" s="1"/>
  <c r="Z104" i="28"/>
  <c r="AB104" i="28" s="1"/>
  <c r="AR105" i="38"/>
  <c r="AT105" i="38" s="1"/>
  <c r="E19" i="38" s="1"/>
  <c r="AR104" i="38"/>
  <c r="AT104" i="38" s="1"/>
  <c r="D19" i="38" s="1"/>
  <c r="Z109" i="38" s="1"/>
  <c r="AB109" i="38" s="1"/>
  <c r="AR105" i="46"/>
  <c r="AT105" i="46" s="1"/>
  <c r="E19" i="46" s="1"/>
  <c r="AR104" i="46"/>
  <c r="AT104" i="46" s="1"/>
  <c r="D19" i="46" s="1"/>
  <c r="Z110" i="41"/>
  <c r="AB110" i="41" s="1"/>
  <c r="AK110" i="41"/>
  <c r="AM110" i="41" s="1"/>
  <c r="AS110" i="41" s="1"/>
  <c r="L115" i="41"/>
  <c r="N115" i="41" s="1"/>
  <c r="AQ115" i="41" s="1"/>
  <c r="AT100" i="49"/>
  <c r="E18" i="49" s="1"/>
  <c r="AK94" i="40"/>
  <c r="AM94" i="40" s="1"/>
  <c r="AS94" i="40" s="1"/>
  <c r="AT94" i="40" s="1"/>
  <c r="D17" i="40" s="1"/>
  <c r="AK99" i="40" s="1"/>
  <c r="AM99" i="40" s="1"/>
  <c r="AS99" i="40" s="1"/>
  <c r="Z99" i="40"/>
  <c r="AB99" i="40" s="1"/>
  <c r="L104" i="40"/>
  <c r="N104" i="40" s="1"/>
  <c r="AQ104" i="40" s="1"/>
  <c r="L104" i="39"/>
  <c r="N104" i="39" s="1"/>
  <c r="AQ104" i="39" s="1"/>
  <c r="AK94" i="39"/>
  <c r="AM94" i="39" s="1"/>
  <c r="AS94" i="39" s="1"/>
  <c r="AT94" i="39" s="1"/>
  <c r="D17" i="39" s="1"/>
  <c r="AK99" i="39" s="1"/>
  <c r="AM99" i="39" s="1"/>
  <c r="AS99" i="39" s="1"/>
  <c r="Z99" i="39"/>
  <c r="AB99" i="39" s="1"/>
  <c r="AR100" i="39" s="1"/>
  <c r="AT100" i="39" s="1"/>
  <c r="E18" i="39" s="1"/>
  <c r="Z105" i="39" s="1"/>
  <c r="AB105" i="39" s="1"/>
  <c r="AK94" i="33"/>
  <c r="AM94" i="33" s="1"/>
  <c r="AS94" i="33" s="1"/>
  <c r="AT94" i="33" s="1"/>
  <c r="D17" i="33" s="1"/>
  <c r="AK99" i="33" s="1"/>
  <c r="AM99" i="33" s="1"/>
  <c r="AS99" i="33" s="1"/>
  <c r="L104" i="33"/>
  <c r="N104" i="33" s="1"/>
  <c r="AQ104" i="33" s="1"/>
  <c r="Z99" i="33"/>
  <c r="AB99" i="33" s="1"/>
  <c r="AR100" i="33" s="1"/>
  <c r="AT100" i="33" s="1"/>
  <c r="E18" i="33" s="1"/>
  <c r="Z100" i="34"/>
  <c r="AB100" i="34" s="1"/>
  <c r="AR99" i="34" s="1"/>
  <c r="L105" i="34"/>
  <c r="N105" i="34" s="1"/>
  <c r="AQ105" i="34" s="1"/>
  <c r="AK95" i="34"/>
  <c r="AM95" i="34" s="1"/>
  <c r="AS95" i="34" s="1"/>
  <c r="AT95" i="34" s="1"/>
  <c r="E17" i="34" s="1"/>
  <c r="AK100" i="34" s="1"/>
  <c r="AM100" i="34" s="1"/>
  <c r="AS100" i="34" s="1"/>
  <c r="AK95" i="31"/>
  <c r="AM95" i="31" s="1"/>
  <c r="AS95" i="31" s="1"/>
  <c r="AT95" i="31" s="1"/>
  <c r="E17" i="31" s="1"/>
  <c r="AK100" i="31" s="1"/>
  <c r="AM100" i="31" s="1"/>
  <c r="AS100" i="31" s="1"/>
  <c r="Z100" i="31"/>
  <c r="AB100" i="31" s="1"/>
  <c r="L105" i="31"/>
  <c r="N105" i="31" s="1"/>
  <c r="AQ105" i="31" s="1"/>
  <c r="AK94" i="31"/>
  <c r="AM94" i="31" s="1"/>
  <c r="AS94" i="31" s="1"/>
  <c r="AT94" i="31" s="1"/>
  <c r="D17" i="31" s="1"/>
  <c r="AK99" i="31" s="1"/>
  <c r="AM99" i="31" s="1"/>
  <c r="AS99" i="31" s="1"/>
  <c r="L104" i="31"/>
  <c r="N104" i="31" s="1"/>
  <c r="AQ104" i="31" s="1"/>
  <c r="Z99" i="31"/>
  <c r="AB99" i="31" s="1"/>
  <c r="AR99" i="31" s="1"/>
  <c r="AK95" i="40"/>
  <c r="AM95" i="40" s="1"/>
  <c r="AS95" i="40" s="1"/>
  <c r="AT95" i="40" s="1"/>
  <c r="E17" i="40" s="1"/>
  <c r="AK100" i="40" s="1"/>
  <c r="AM100" i="40" s="1"/>
  <c r="AS100" i="40" s="1"/>
  <c r="L105" i="40"/>
  <c r="N105" i="40" s="1"/>
  <c r="AQ105" i="40" s="1"/>
  <c r="Z100" i="40"/>
  <c r="AB100" i="40" s="1"/>
  <c r="AM107" i="59"/>
  <c r="AO107" i="59" s="1"/>
  <c r="AU107" i="59" s="1"/>
  <c r="AV107" i="59" s="1"/>
  <c r="Z113" i="59"/>
  <c r="AB113" i="59" s="1"/>
  <c r="L119" i="59"/>
  <c r="N119" i="59" s="1"/>
  <c r="AS119" i="59" s="1"/>
  <c r="AR104" i="35"/>
  <c r="AT104" i="35" s="1"/>
  <c r="D19" i="35" s="1"/>
  <c r="AK109" i="35" s="1"/>
  <c r="AM109" i="35" s="1"/>
  <c r="AS109" i="35" s="1"/>
  <c r="AR105" i="35"/>
  <c r="AT105" i="35" s="1"/>
  <c r="E19" i="35" s="1"/>
  <c r="L109" i="30"/>
  <c r="N109" i="30" s="1"/>
  <c r="AQ109" i="30" s="1"/>
  <c r="AK104" i="30"/>
  <c r="AM104" i="30" s="1"/>
  <c r="AS104" i="30" s="1"/>
  <c r="Z104" i="30"/>
  <c r="AB104" i="30" s="1"/>
  <c r="AK104" i="29"/>
  <c r="AM104" i="29" s="1"/>
  <c r="AS104" i="29" s="1"/>
  <c r="Z104" i="29"/>
  <c r="AB104" i="29" s="1"/>
  <c r="L109" i="29"/>
  <c r="N109" i="29" s="1"/>
  <c r="AQ109" i="29" s="1"/>
  <c r="Z109" i="35"/>
  <c r="AB109" i="35" s="1"/>
  <c r="L110" i="30"/>
  <c r="N110" i="30" s="1"/>
  <c r="AQ110" i="30" s="1"/>
  <c r="Z105" i="30"/>
  <c r="AB105" i="30" s="1"/>
  <c r="AK105" i="30"/>
  <c r="AM105" i="30" s="1"/>
  <c r="AS105" i="30" s="1"/>
  <c r="L110" i="29"/>
  <c r="N110" i="29" s="1"/>
  <c r="AQ110" i="29" s="1"/>
  <c r="AK105" i="29"/>
  <c r="AM105" i="29" s="1"/>
  <c r="AS105" i="29" s="1"/>
  <c r="Z105" i="29"/>
  <c r="AB105" i="29" s="1"/>
  <c r="AT90" i="43"/>
  <c r="E16" i="43" s="1"/>
  <c r="AK95" i="43" s="1"/>
  <c r="AM95" i="43" s="1"/>
  <c r="AS95" i="43" s="1"/>
  <c r="AT95" i="43" s="1"/>
  <c r="E17" i="43" s="1"/>
  <c r="AK100" i="43" s="1"/>
  <c r="AM100" i="43" s="1"/>
  <c r="AS100" i="43" s="1"/>
  <c r="Z105" i="28"/>
  <c r="AB105" i="28" s="1"/>
  <c r="L110" i="28"/>
  <c r="N110" i="28" s="1"/>
  <c r="AQ110" i="28" s="1"/>
  <c r="AK105" i="28"/>
  <c r="AM105" i="28" s="1"/>
  <c r="AS105" i="28" s="1"/>
  <c r="M86" i="58"/>
  <c r="E87" i="58"/>
  <c r="G87" i="58"/>
  <c r="I85" i="58"/>
  <c r="D84" i="58"/>
  <c r="L84" i="58"/>
  <c r="H84" i="58"/>
  <c r="M84" i="58"/>
  <c r="J85" i="58"/>
  <c r="C87" i="58"/>
  <c r="B84" i="58"/>
  <c r="E88" i="58"/>
  <c r="K84" i="58"/>
  <c r="H87" i="58"/>
  <c r="G84" i="58"/>
  <c r="F84" i="58"/>
  <c r="K85" i="58"/>
  <c r="C84" i="58"/>
  <c r="H85" i="58"/>
  <c r="F88" i="58"/>
  <c r="L86" i="58"/>
  <c r="I88" i="58"/>
  <c r="C86" i="58"/>
  <c r="M85" i="58"/>
  <c r="B88" i="58"/>
  <c r="M88" i="58"/>
  <c r="B86" i="58"/>
  <c r="J87" i="58"/>
  <c r="E84" i="58"/>
  <c r="D87" i="58"/>
  <c r="H86" i="58"/>
  <c r="F87" i="58"/>
  <c r="J88" i="58"/>
  <c r="E86" i="58"/>
  <c r="C88" i="58"/>
  <c r="D86" i="58"/>
  <c r="K88" i="58"/>
  <c r="E85" i="58"/>
  <c r="K87" i="58"/>
  <c r="J84" i="58"/>
  <c r="L87" i="58"/>
  <c r="F85" i="58"/>
  <c r="D88" i="58"/>
  <c r="C85" i="58"/>
  <c r="B85" i="58"/>
  <c r="G86" i="58"/>
  <c r="L88" i="58"/>
  <c r="D85" i="58"/>
  <c r="I87" i="58"/>
  <c r="J86" i="58"/>
  <c r="F86" i="58"/>
  <c r="G88" i="58"/>
  <c r="I86" i="58"/>
  <c r="G85" i="58"/>
  <c r="I84" i="58"/>
  <c r="K86" i="58"/>
  <c r="L85" i="58"/>
  <c r="B87" i="58"/>
  <c r="H88" i="58"/>
  <c r="M87" i="58"/>
  <c r="AR105" i="47"/>
  <c r="AT105" i="47" s="1"/>
  <c r="E19" i="47" s="1"/>
  <c r="AR104" i="47"/>
  <c r="AT104" i="47" s="1"/>
  <c r="D19" i="47" s="1"/>
  <c r="L114" i="37"/>
  <c r="N114" i="37" s="1"/>
  <c r="AQ114" i="37" s="1"/>
  <c r="Z109" i="37"/>
  <c r="AB109" i="37" s="1"/>
  <c r="AR110" i="37" s="1"/>
  <c r="AT110" i="37" s="1"/>
  <c r="E20" i="37" s="1"/>
  <c r="AK115" i="37" s="1"/>
  <c r="AM115" i="37" s="1"/>
  <c r="AS115" i="37" s="1"/>
  <c r="AR110" i="48"/>
  <c r="AT110" i="48" s="1"/>
  <c r="E20" i="48" s="1"/>
  <c r="L120" i="48" s="1"/>
  <c r="N120" i="48" s="1"/>
  <c r="AQ120" i="48" s="1"/>
  <c r="AR104" i="44"/>
  <c r="AT104" i="44" s="1"/>
  <c r="D19" i="44" s="1"/>
  <c r="AR105" i="44"/>
  <c r="L110" i="44"/>
  <c r="N110" i="44" s="1"/>
  <c r="AQ110" i="44" s="1"/>
  <c r="AK109" i="42"/>
  <c r="AM109" i="42" s="1"/>
  <c r="AS109" i="42" s="1"/>
  <c r="Z109" i="42"/>
  <c r="AB109" i="42" s="1"/>
  <c r="AR110" i="42" s="1"/>
  <c r="AT110" i="42" s="1"/>
  <c r="E20" i="42" s="1"/>
  <c r="AK115" i="42" s="1"/>
  <c r="AM115" i="42" s="1"/>
  <c r="AS115" i="42" s="1"/>
  <c r="L114" i="42"/>
  <c r="N114" i="42" s="1"/>
  <c r="AQ114" i="42" s="1"/>
  <c r="AK110" i="36"/>
  <c r="AM110" i="36" s="1"/>
  <c r="AS110" i="36" s="1"/>
  <c r="L115" i="36"/>
  <c r="N115" i="36" s="1"/>
  <c r="AQ115" i="36" s="1"/>
  <c r="Z110" i="36"/>
  <c r="AB110" i="36" s="1"/>
  <c r="AR109" i="36" s="1"/>
  <c r="AT109" i="36" s="1"/>
  <c r="D20" i="36" s="1"/>
  <c r="AK114" i="36" s="1"/>
  <c r="AM114" i="36" s="1"/>
  <c r="AS114" i="36" s="1"/>
  <c r="Z104" i="49"/>
  <c r="AB104" i="49" s="1"/>
  <c r="L109" i="49"/>
  <c r="N109" i="49" s="1"/>
  <c r="AQ109" i="49" s="1"/>
  <c r="AK105" i="44"/>
  <c r="AM105" i="44" s="1"/>
  <c r="AS105" i="44" s="1"/>
  <c r="AK105" i="49"/>
  <c r="AM105" i="49" s="1"/>
  <c r="AS105" i="49" s="1"/>
  <c r="AK104" i="49"/>
  <c r="AM104" i="49" s="1"/>
  <c r="AS104" i="49" s="1"/>
  <c r="AT99" i="34"/>
  <c r="D18" i="34" s="1"/>
  <c r="AK104" i="34" s="1"/>
  <c r="AM104" i="34" s="1"/>
  <c r="AS104" i="34" s="1"/>
  <c r="AR100" i="31"/>
  <c r="AR89" i="43"/>
  <c r="AT89" i="43" s="1"/>
  <c r="D16" i="43" s="1"/>
  <c r="L105" i="43"/>
  <c r="N105" i="43" s="1"/>
  <c r="AQ105" i="43" s="1"/>
  <c r="AR99" i="33"/>
  <c r="AT99" i="33" s="1"/>
  <c r="D18" i="33" s="1"/>
  <c r="L109" i="33" s="1"/>
  <c r="N109" i="33" s="1"/>
  <c r="AQ109" i="33" s="1"/>
  <c r="AR109" i="37"/>
  <c r="AT109" i="37" s="1"/>
  <c r="D20" i="37" s="1"/>
  <c r="AB27" i="27"/>
  <c r="AD27" i="27" s="1"/>
  <c r="L8" i="27" s="1"/>
  <c r="AP74" i="27" s="1"/>
  <c r="AT74" i="27" s="1"/>
  <c r="D13" i="27" s="1"/>
  <c r="AK109" i="41" l="1"/>
  <c r="AM109" i="41" s="1"/>
  <c r="AS109" i="41" s="1"/>
  <c r="Z109" i="41"/>
  <c r="AB109" i="41" s="1"/>
  <c r="L114" i="41"/>
  <c r="N114" i="41" s="1"/>
  <c r="AQ114" i="41" s="1"/>
  <c r="Z100" i="43"/>
  <c r="AB100" i="43" s="1"/>
  <c r="Z115" i="42"/>
  <c r="AB115" i="42" s="1"/>
  <c r="L120" i="42"/>
  <c r="N120" i="42" s="1"/>
  <c r="AQ120" i="42" s="1"/>
  <c r="AR110" i="36"/>
  <c r="AT110" i="36" s="1"/>
  <c r="E20" i="36" s="1"/>
  <c r="AR100" i="34"/>
  <c r="AT100" i="34" s="1"/>
  <c r="E18" i="34" s="1"/>
  <c r="AK105" i="34" s="1"/>
  <c r="AM105" i="34" s="1"/>
  <c r="AS105" i="34" s="1"/>
  <c r="AR99" i="39"/>
  <c r="AT99" i="39" s="1"/>
  <c r="D18" i="39" s="1"/>
  <c r="L120" i="37"/>
  <c r="N120" i="37" s="1"/>
  <c r="AQ120" i="37" s="1"/>
  <c r="AK115" i="48"/>
  <c r="AM115" i="48" s="1"/>
  <c r="AS115" i="48" s="1"/>
  <c r="Z110" i="26"/>
  <c r="AB110" i="26" s="1"/>
  <c r="L114" i="35"/>
  <c r="N114" i="35" s="1"/>
  <c r="AQ114" i="35" s="1"/>
  <c r="AK110" i="26"/>
  <c r="AM110" i="26" s="1"/>
  <c r="AS110" i="26" s="1"/>
  <c r="L114" i="38"/>
  <c r="N114" i="38" s="1"/>
  <c r="AQ114" i="38" s="1"/>
  <c r="AK109" i="38"/>
  <c r="AM109" i="38" s="1"/>
  <c r="AS109" i="38" s="1"/>
  <c r="Z115" i="48"/>
  <c r="AB115" i="48" s="1"/>
  <c r="AR114" i="48" s="1"/>
  <c r="AT114" i="48" s="1"/>
  <c r="D21" i="48" s="1"/>
  <c r="AK119" i="48" s="1"/>
  <c r="AM119" i="48" s="1"/>
  <c r="AS119" i="48" s="1"/>
  <c r="AT119" i="48" s="1"/>
  <c r="D22" i="48" s="1"/>
  <c r="AK124" i="48" s="1"/>
  <c r="AM124" i="48" s="1"/>
  <c r="AS124" i="48" s="1"/>
  <c r="AT124" i="48" s="1"/>
  <c r="D23" i="48" s="1"/>
  <c r="AK129" i="48" s="1"/>
  <c r="AM129" i="48" s="1"/>
  <c r="AS129" i="48" s="1"/>
  <c r="AT129" i="48" s="1"/>
  <c r="AR110" i="41"/>
  <c r="AT110" i="41" s="1"/>
  <c r="E20" i="41" s="1"/>
  <c r="AR109" i="41"/>
  <c r="AT109" i="41" s="1"/>
  <c r="D20" i="41" s="1"/>
  <c r="AK110" i="38"/>
  <c r="AM110" i="38" s="1"/>
  <c r="AS110" i="38" s="1"/>
  <c r="L115" i="38"/>
  <c r="N115" i="38" s="1"/>
  <c r="AQ115" i="38" s="1"/>
  <c r="Z110" i="38"/>
  <c r="AB110" i="38" s="1"/>
  <c r="L110" i="49"/>
  <c r="N110" i="49" s="1"/>
  <c r="AQ110" i="49" s="1"/>
  <c r="Z105" i="49"/>
  <c r="AB105" i="49" s="1"/>
  <c r="AR105" i="49" s="1"/>
  <c r="AK109" i="46"/>
  <c r="AM109" i="46" s="1"/>
  <c r="AS109" i="46" s="1"/>
  <c r="Z109" i="46"/>
  <c r="AB109" i="46" s="1"/>
  <c r="L114" i="46"/>
  <c r="N114" i="46" s="1"/>
  <c r="AQ114" i="46" s="1"/>
  <c r="AK109" i="47"/>
  <c r="AM109" i="47" s="1"/>
  <c r="AS109" i="47" s="1"/>
  <c r="Z109" i="47"/>
  <c r="AB109" i="47" s="1"/>
  <c r="L114" i="47"/>
  <c r="N114" i="47" s="1"/>
  <c r="AQ114" i="47" s="1"/>
  <c r="Z110" i="46"/>
  <c r="AB110" i="46" s="1"/>
  <c r="L115" i="46"/>
  <c r="N115" i="46" s="1"/>
  <c r="AQ115" i="46" s="1"/>
  <c r="AK110" i="46"/>
  <c r="AM110" i="46" s="1"/>
  <c r="AS110" i="46" s="1"/>
  <c r="AT100" i="31"/>
  <c r="E18" i="31" s="1"/>
  <c r="AK105" i="31" s="1"/>
  <c r="AM105" i="31" s="1"/>
  <c r="AS105" i="31" s="1"/>
  <c r="AR100" i="40"/>
  <c r="AT100" i="40" s="1"/>
  <c r="E18" i="40" s="1"/>
  <c r="AT99" i="31"/>
  <c r="D18" i="31" s="1"/>
  <c r="Z104" i="31" s="1"/>
  <c r="AB104" i="31" s="1"/>
  <c r="AT105" i="44"/>
  <c r="E19" i="44" s="1"/>
  <c r="AK110" i="44" s="1"/>
  <c r="AM110" i="44" s="1"/>
  <c r="AS110" i="44" s="1"/>
  <c r="AR109" i="42"/>
  <c r="AT109" i="42" s="1"/>
  <c r="D20" i="42" s="1"/>
  <c r="AK94" i="43"/>
  <c r="AM94" i="43" s="1"/>
  <c r="AS94" i="43" s="1"/>
  <c r="AT94" i="43" s="1"/>
  <c r="D17" i="43" s="1"/>
  <c r="AK99" i="43" s="1"/>
  <c r="AM99" i="43" s="1"/>
  <c r="AS99" i="43" s="1"/>
  <c r="Z99" i="43"/>
  <c r="AB99" i="43" s="1"/>
  <c r="L104" i="43"/>
  <c r="N104" i="43" s="1"/>
  <c r="AQ104" i="43" s="1"/>
  <c r="AR104" i="28"/>
  <c r="AT104" i="28" s="1"/>
  <c r="D19" i="28" s="1"/>
  <c r="AR105" i="28"/>
  <c r="AT105" i="28" s="1"/>
  <c r="E19" i="28" s="1"/>
  <c r="AR104" i="30"/>
  <c r="AT104" i="30" s="1"/>
  <c r="D19" i="30" s="1"/>
  <c r="AK109" i="30" s="1"/>
  <c r="AM109" i="30" s="1"/>
  <c r="AS109" i="30" s="1"/>
  <c r="AR105" i="30"/>
  <c r="AT105" i="30" s="1"/>
  <c r="E19" i="30" s="1"/>
  <c r="AK105" i="33"/>
  <c r="AM105" i="33" s="1"/>
  <c r="AS105" i="33" s="1"/>
  <c r="L110" i="33"/>
  <c r="N110" i="33" s="1"/>
  <c r="AQ110" i="33" s="1"/>
  <c r="Z105" i="33"/>
  <c r="AB105" i="33" s="1"/>
  <c r="Z110" i="47"/>
  <c r="AB110" i="47" s="1"/>
  <c r="AK110" i="47"/>
  <c r="AM110" i="47" s="1"/>
  <c r="AS110" i="47" s="1"/>
  <c r="L115" i="47"/>
  <c r="N115" i="47" s="1"/>
  <c r="AQ115" i="47" s="1"/>
  <c r="Z109" i="30"/>
  <c r="AB109" i="30" s="1"/>
  <c r="AR104" i="29"/>
  <c r="AT104" i="29" s="1"/>
  <c r="D19" i="29" s="1"/>
  <c r="AR105" i="29"/>
  <c r="AT105" i="29" s="1"/>
  <c r="E19" i="29" s="1"/>
  <c r="AT114" i="59"/>
  <c r="AV114" i="59" s="1"/>
  <c r="E18" i="59" s="1"/>
  <c r="AT113" i="59"/>
  <c r="AR99" i="40"/>
  <c r="AT99" i="40" s="1"/>
  <c r="D18" i="40" s="1"/>
  <c r="L115" i="35"/>
  <c r="N115" i="35" s="1"/>
  <c r="AQ115" i="35" s="1"/>
  <c r="AK110" i="35"/>
  <c r="AM110" i="35" s="1"/>
  <c r="AS110" i="35" s="1"/>
  <c r="Z110" i="35"/>
  <c r="AB110" i="35" s="1"/>
  <c r="D17" i="59"/>
  <c r="AM113" i="59" s="1"/>
  <c r="AO113" i="59" s="1"/>
  <c r="AU113" i="59" s="1"/>
  <c r="AV106" i="59"/>
  <c r="B90" i="58" s="1" a="1"/>
  <c r="Z115" i="37"/>
  <c r="AB115" i="37" s="1"/>
  <c r="Z104" i="34"/>
  <c r="AB104" i="34" s="1"/>
  <c r="Z105" i="31"/>
  <c r="AB105" i="31" s="1"/>
  <c r="L110" i="31"/>
  <c r="N110" i="31" s="1"/>
  <c r="AQ110" i="31" s="1"/>
  <c r="L109" i="34"/>
  <c r="N109" i="34" s="1"/>
  <c r="AQ109" i="34" s="1"/>
  <c r="AK114" i="42"/>
  <c r="AM114" i="42" s="1"/>
  <c r="AS114" i="42" s="1"/>
  <c r="Z114" i="42"/>
  <c r="AB114" i="42" s="1"/>
  <c r="AR114" i="42" s="1"/>
  <c r="L119" i="42"/>
  <c r="N119" i="42" s="1"/>
  <c r="AQ119" i="42" s="1"/>
  <c r="L119" i="36"/>
  <c r="N119" i="36" s="1"/>
  <c r="AQ119" i="36" s="1"/>
  <c r="L115" i="44"/>
  <c r="N115" i="44" s="1"/>
  <c r="AQ115" i="44" s="1"/>
  <c r="Z110" i="44"/>
  <c r="AB110" i="44" s="1"/>
  <c r="Z104" i="33"/>
  <c r="AB104" i="33" s="1"/>
  <c r="Z114" i="36"/>
  <c r="AB114" i="36" s="1"/>
  <c r="AK114" i="37"/>
  <c r="AM114" i="37" s="1"/>
  <c r="AS114" i="37" s="1"/>
  <c r="L119" i="37"/>
  <c r="N119" i="37" s="1"/>
  <c r="AQ119" i="37" s="1"/>
  <c r="Z114" i="37"/>
  <c r="AB114" i="37" s="1"/>
  <c r="AK105" i="39"/>
  <c r="AM105" i="39" s="1"/>
  <c r="AS105" i="39" s="1"/>
  <c r="L110" i="39"/>
  <c r="N110" i="39" s="1"/>
  <c r="AQ110" i="39" s="1"/>
  <c r="E25" i="48"/>
  <c r="E26" i="48"/>
  <c r="E28" i="48"/>
  <c r="Z115" i="36"/>
  <c r="AB115" i="36" s="1"/>
  <c r="L120" i="36"/>
  <c r="N120" i="36" s="1"/>
  <c r="AQ120" i="36" s="1"/>
  <c r="AK115" i="36"/>
  <c r="AM115" i="36" s="1"/>
  <c r="AS115" i="36" s="1"/>
  <c r="AK105" i="40"/>
  <c r="AM105" i="40" s="1"/>
  <c r="AS105" i="40" s="1"/>
  <c r="L110" i="40"/>
  <c r="N110" i="40" s="1"/>
  <c r="AQ110" i="40" s="1"/>
  <c r="Z105" i="40"/>
  <c r="AB105" i="40" s="1"/>
  <c r="AK109" i="44"/>
  <c r="AM109" i="44" s="1"/>
  <c r="AS109" i="44" s="1"/>
  <c r="L114" i="44"/>
  <c r="N114" i="44" s="1"/>
  <c r="AQ114" i="44" s="1"/>
  <c r="Z109" i="44"/>
  <c r="AB109" i="44" s="1"/>
  <c r="AK104" i="33"/>
  <c r="AM104" i="33" s="1"/>
  <c r="AS104" i="33" s="1"/>
  <c r="AK104" i="31"/>
  <c r="AM104" i="31" s="1"/>
  <c r="AS104" i="31" s="1"/>
  <c r="AT105" i="49"/>
  <c r="E19" i="49" s="1"/>
  <c r="AK79" i="27"/>
  <c r="AM79" i="27" s="1"/>
  <c r="AS79" i="27" s="1"/>
  <c r="AP10" i="27"/>
  <c r="AR10" i="27" s="1"/>
  <c r="Z79" i="27"/>
  <c r="AB79" i="27" s="1"/>
  <c r="L84" i="27"/>
  <c r="N84" i="27" s="1"/>
  <c r="AQ84" i="27" s="1"/>
  <c r="Z104" i="39"/>
  <c r="AB104" i="39" s="1"/>
  <c r="AR104" i="39" s="1"/>
  <c r="L109" i="39"/>
  <c r="N109" i="39" s="1"/>
  <c r="AQ109" i="39" s="1"/>
  <c r="AK104" i="39"/>
  <c r="AM104" i="39" s="1"/>
  <c r="AS104" i="39" s="1"/>
  <c r="AP15" i="27"/>
  <c r="AR15" i="27" s="1"/>
  <c r="AR99" i="43" l="1"/>
  <c r="AT99" i="43" s="1"/>
  <c r="D18" i="43" s="1"/>
  <c r="Z104" i="43" s="1"/>
  <c r="AB104" i="43" s="1"/>
  <c r="AR104" i="31"/>
  <c r="AR100" i="43"/>
  <c r="AT100" i="43" s="1"/>
  <c r="E18" i="43" s="1"/>
  <c r="E27" i="48"/>
  <c r="L109" i="31"/>
  <c r="N109" i="31" s="1"/>
  <c r="AQ109" i="31" s="1"/>
  <c r="AR115" i="48"/>
  <c r="AT115" i="48" s="1"/>
  <c r="E21" i="48" s="1"/>
  <c r="AK120" i="48" s="1"/>
  <c r="AM120" i="48" s="1"/>
  <c r="AS120" i="48" s="1"/>
  <c r="AT120" i="48" s="1"/>
  <c r="E22" i="48" s="1"/>
  <c r="AK125" i="48" s="1"/>
  <c r="AM125" i="48" s="1"/>
  <c r="AS125" i="48" s="1"/>
  <c r="AT125" i="48" s="1"/>
  <c r="E23" i="48" s="1"/>
  <c r="AK130" i="48" s="1"/>
  <c r="AM130" i="48" s="1"/>
  <c r="AS130" i="48" s="1"/>
  <c r="AT130" i="48" s="1"/>
  <c r="E24" i="48" s="1"/>
  <c r="AR109" i="26"/>
  <c r="AT109" i="26" s="1"/>
  <c r="D20" i="26" s="1"/>
  <c r="AR110" i="26"/>
  <c r="AT110" i="26" s="1"/>
  <c r="E20" i="26" s="1"/>
  <c r="AK109" i="29"/>
  <c r="AM109" i="29" s="1"/>
  <c r="AS109" i="29" s="1"/>
  <c r="L114" i="29"/>
  <c r="N114" i="29" s="1"/>
  <c r="AQ114" i="29" s="1"/>
  <c r="Z109" i="29"/>
  <c r="AB109" i="29" s="1"/>
  <c r="D27" i="48"/>
  <c r="D28" i="48"/>
  <c r="D26" i="48"/>
  <c r="D24" i="48"/>
  <c r="D25" i="48"/>
  <c r="Z114" i="41"/>
  <c r="AB114" i="41" s="1"/>
  <c r="AK114" i="41"/>
  <c r="AM114" i="41" s="1"/>
  <c r="AS114" i="41" s="1"/>
  <c r="L119" i="41"/>
  <c r="N119" i="41" s="1"/>
  <c r="AQ119" i="41" s="1"/>
  <c r="L114" i="30"/>
  <c r="N114" i="30" s="1"/>
  <c r="AQ114" i="30" s="1"/>
  <c r="AK109" i="28"/>
  <c r="AM109" i="28" s="1"/>
  <c r="AS109" i="28" s="1"/>
  <c r="L114" i="28"/>
  <c r="N114" i="28" s="1"/>
  <c r="AQ114" i="28" s="1"/>
  <c r="Z109" i="28"/>
  <c r="AB109" i="28" s="1"/>
  <c r="AR110" i="46"/>
  <c r="AT110" i="46" s="1"/>
  <c r="E20" i="46" s="1"/>
  <c r="AR109" i="46"/>
  <c r="AT109" i="46" s="1"/>
  <c r="D20" i="46" s="1"/>
  <c r="AR110" i="38"/>
  <c r="AT110" i="38" s="1"/>
  <c r="E20" i="38" s="1"/>
  <c r="AR109" i="38"/>
  <c r="AT109" i="38" s="1"/>
  <c r="D20" i="38" s="1"/>
  <c r="AK115" i="41"/>
  <c r="AM115" i="41" s="1"/>
  <c r="AS115" i="41" s="1"/>
  <c r="L120" i="41"/>
  <c r="N120" i="41" s="1"/>
  <c r="AQ120" i="41" s="1"/>
  <c r="Z115" i="41"/>
  <c r="AB115" i="41" s="1"/>
  <c r="Z105" i="34"/>
  <c r="AB105" i="34" s="1"/>
  <c r="AR104" i="34" s="1"/>
  <c r="AT104" i="34" s="1"/>
  <c r="D19" i="34" s="1"/>
  <c r="L110" i="34"/>
  <c r="N110" i="34" s="1"/>
  <c r="AQ110" i="34" s="1"/>
  <c r="AR104" i="49"/>
  <c r="AT104" i="49" s="1"/>
  <c r="D19" i="49" s="1"/>
  <c r="AR114" i="36"/>
  <c r="AT114" i="36" s="1"/>
  <c r="D21" i="36" s="1"/>
  <c r="AK119" i="36" s="1"/>
  <c r="AM119" i="36" s="1"/>
  <c r="AS119" i="36" s="1"/>
  <c r="AT119" i="36" s="1"/>
  <c r="D22" i="36" s="1"/>
  <c r="AK124" i="36" s="1"/>
  <c r="AM124" i="36" s="1"/>
  <c r="AS124" i="36" s="1"/>
  <c r="AT124" i="36" s="1"/>
  <c r="D23" i="36" s="1"/>
  <c r="AK129" i="36" s="1"/>
  <c r="AM129" i="36" s="1"/>
  <c r="AS129" i="36" s="1"/>
  <c r="AT129" i="36" s="1"/>
  <c r="D27" i="36" s="1"/>
  <c r="AR105" i="31"/>
  <c r="AT105" i="31" s="1"/>
  <c r="E19" i="31" s="1"/>
  <c r="Z110" i="31" s="1"/>
  <c r="AB110" i="31" s="1"/>
  <c r="AR115" i="42"/>
  <c r="AT115" i="42" s="1"/>
  <c r="E21" i="42" s="1"/>
  <c r="AK120" i="42" s="1"/>
  <c r="AM120" i="42" s="1"/>
  <c r="AS120" i="42" s="1"/>
  <c r="AT120" i="42" s="1"/>
  <c r="E22" i="42" s="1"/>
  <c r="AR115" i="36"/>
  <c r="AT115" i="36" s="1"/>
  <c r="E21" i="36" s="1"/>
  <c r="AK120" i="36" s="1"/>
  <c r="AM120" i="36" s="1"/>
  <c r="AS120" i="36" s="1"/>
  <c r="AT120" i="36" s="1"/>
  <c r="E22" i="36" s="1"/>
  <c r="AK125" i="36" s="1"/>
  <c r="AM125" i="36" s="1"/>
  <c r="AS125" i="36" s="1"/>
  <c r="AT125" i="36" s="1"/>
  <c r="E23" i="36" s="1"/>
  <c r="AK130" i="36" s="1"/>
  <c r="AM130" i="36" s="1"/>
  <c r="AS130" i="36" s="1"/>
  <c r="AT130" i="36" s="1"/>
  <c r="AR104" i="33"/>
  <c r="AT104" i="33" s="1"/>
  <c r="D19" i="33" s="1"/>
  <c r="AR115" i="37"/>
  <c r="AT115" i="37" s="1"/>
  <c r="E21" i="37" s="1"/>
  <c r="AK120" i="37" s="1"/>
  <c r="AM120" i="37" s="1"/>
  <c r="AS120" i="37" s="1"/>
  <c r="AT120" i="37" s="1"/>
  <c r="E22" i="37" s="1"/>
  <c r="AK125" i="37" s="1"/>
  <c r="AM125" i="37" s="1"/>
  <c r="AS125" i="37" s="1"/>
  <c r="AT125" i="37" s="1"/>
  <c r="E23" i="37" s="1"/>
  <c r="AK130" i="37" s="1"/>
  <c r="AM130" i="37" s="1"/>
  <c r="AS130" i="37" s="1"/>
  <c r="AT130" i="37" s="1"/>
  <c r="AT114" i="42"/>
  <c r="D21" i="42" s="1"/>
  <c r="AK119" i="42" s="1"/>
  <c r="AM119" i="42" s="1"/>
  <c r="AS119" i="42" s="1"/>
  <c r="AT119" i="42" s="1"/>
  <c r="D22" i="42" s="1"/>
  <c r="AK124" i="42" s="1"/>
  <c r="AM124" i="42" s="1"/>
  <c r="AS124" i="42" s="1"/>
  <c r="AT124" i="42" s="1"/>
  <c r="D23" i="42" s="1"/>
  <c r="AK129" i="42" s="1"/>
  <c r="AM129" i="42" s="1"/>
  <c r="AS129" i="42" s="1"/>
  <c r="AT129" i="42" s="1"/>
  <c r="D28" i="42" s="1"/>
  <c r="AR105" i="33"/>
  <c r="AT105" i="33" s="1"/>
  <c r="E19" i="33" s="1"/>
  <c r="AT104" i="39"/>
  <c r="D19" i="39" s="1"/>
  <c r="AV113" i="59"/>
  <c r="AV112" i="59" s="1"/>
  <c r="B96" i="58" s="1" a="1"/>
  <c r="AK105" i="43"/>
  <c r="AM105" i="43" s="1"/>
  <c r="AS105" i="43" s="1"/>
  <c r="Z105" i="43"/>
  <c r="AB105" i="43" s="1"/>
  <c r="L110" i="43"/>
  <c r="N110" i="43" s="1"/>
  <c r="AQ110" i="43" s="1"/>
  <c r="AR109" i="35"/>
  <c r="AT109" i="35" s="1"/>
  <c r="D20" i="35" s="1"/>
  <c r="AR110" i="35"/>
  <c r="AT110" i="35" s="1"/>
  <c r="E20" i="35" s="1"/>
  <c r="AK110" i="29"/>
  <c r="AM110" i="29" s="1"/>
  <c r="AS110" i="29" s="1"/>
  <c r="L115" i="29"/>
  <c r="N115" i="29" s="1"/>
  <c r="AQ115" i="29" s="1"/>
  <c r="Z110" i="29"/>
  <c r="AB110" i="29" s="1"/>
  <c r="Z110" i="30"/>
  <c r="AB110" i="30" s="1"/>
  <c r="L115" i="30"/>
  <c r="N115" i="30" s="1"/>
  <c r="AQ115" i="30" s="1"/>
  <c r="AK110" i="30"/>
  <c r="AM110" i="30" s="1"/>
  <c r="AS110" i="30" s="1"/>
  <c r="AK104" i="40"/>
  <c r="AM104" i="40" s="1"/>
  <c r="AS104" i="40" s="1"/>
  <c r="L109" i="40"/>
  <c r="N109" i="40" s="1"/>
  <c r="AQ109" i="40" s="1"/>
  <c r="Z104" i="40"/>
  <c r="AB104" i="40" s="1"/>
  <c r="AR105" i="40" s="1"/>
  <c r="AT105" i="40" s="1"/>
  <c r="E19" i="40" s="1"/>
  <c r="B91" i="58"/>
  <c r="D90" i="58"/>
  <c r="K90" i="58"/>
  <c r="F93" i="58"/>
  <c r="F90" i="58"/>
  <c r="B93" i="58"/>
  <c r="F92" i="58"/>
  <c r="H91" i="58"/>
  <c r="I93" i="58"/>
  <c r="E91" i="58"/>
  <c r="D94" i="58"/>
  <c r="J93" i="58"/>
  <c r="E94" i="58"/>
  <c r="M92" i="58"/>
  <c r="G92" i="58"/>
  <c r="G90" i="58"/>
  <c r="K93" i="58"/>
  <c r="L92" i="58"/>
  <c r="K94" i="58"/>
  <c r="M93" i="58"/>
  <c r="E90" i="58"/>
  <c r="I94" i="58"/>
  <c r="B92" i="58"/>
  <c r="C92" i="58"/>
  <c r="L90" i="58"/>
  <c r="M90" i="58"/>
  <c r="J91" i="58"/>
  <c r="C90" i="58"/>
  <c r="I91" i="58"/>
  <c r="J94" i="58"/>
  <c r="J92" i="58"/>
  <c r="D91" i="58"/>
  <c r="D93" i="58"/>
  <c r="J90" i="58"/>
  <c r="E93" i="58"/>
  <c r="G91" i="58"/>
  <c r="C93" i="58"/>
  <c r="I92" i="58"/>
  <c r="I90" i="58"/>
  <c r="K92" i="58"/>
  <c r="H92" i="58"/>
  <c r="C94" i="58"/>
  <c r="K91" i="58"/>
  <c r="M94" i="58"/>
  <c r="H94" i="58"/>
  <c r="F94" i="58"/>
  <c r="B94" i="58"/>
  <c r="E92" i="58"/>
  <c r="L91" i="58"/>
  <c r="H93" i="58"/>
  <c r="H90" i="58"/>
  <c r="M91" i="58"/>
  <c r="D92" i="58"/>
  <c r="B90" i="58"/>
  <c r="G94" i="58"/>
  <c r="F91" i="58"/>
  <c r="L93" i="58"/>
  <c r="L94" i="58"/>
  <c r="G93" i="58"/>
  <c r="C91" i="58"/>
  <c r="D18" i="59"/>
  <c r="AK110" i="28"/>
  <c r="AM110" i="28" s="1"/>
  <c r="AS110" i="28" s="1"/>
  <c r="L115" i="28"/>
  <c r="N115" i="28" s="1"/>
  <c r="AQ115" i="28" s="1"/>
  <c r="Z110" i="28"/>
  <c r="AB110" i="28" s="1"/>
  <c r="AM120" i="59"/>
  <c r="AO120" i="59" s="1"/>
  <c r="AU120" i="59" s="1"/>
  <c r="Z120" i="59"/>
  <c r="AB120" i="59" s="1"/>
  <c r="L126" i="59"/>
  <c r="N126" i="59" s="1"/>
  <c r="AS126" i="59" s="1"/>
  <c r="AR110" i="47"/>
  <c r="AT110" i="47" s="1"/>
  <c r="E20" i="47" s="1"/>
  <c r="AR109" i="47"/>
  <c r="AT109" i="47" s="1"/>
  <c r="D20" i="47" s="1"/>
  <c r="L109" i="43"/>
  <c r="N109" i="43" s="1"/>
  <c r="AQ109" i="43" s="1"/>
  <c r="E28" i="37"/>
  <c r="E26" i="37"/>
  <c r="E24" i="37"/>
  <c r="AC72" i="61" a="1"/>
  <c r="Z109" i="34"/>
  <c r="AB109" i="34" s="1"/>
  <c r="L114" i="34"/>
  <c r="N114" i="34" s="1"/>
  <c r="AQ114" i="34" s="1"/>
  <c r="AK109" i="34"/>
  <c r="AM109" i="34" s="1"/>
  <c r="AS109" i="34" s="1"/>
  <c r="D25" i="42"/>
  <c r="D24" i="36"/>
  <c r="L115" i="49"/>
  <c r="N115" i="49" s="1"/>
  <c r="AQ115" i="49" s="1"/>
  <c r="Z110" i="49"/>
  <c r="AB110" i="49" s="1"/>
  <c r="AK110" i="49"/>
  <c r="AM110" i="49" s="1"/>
  <c r="AS110" i="49" s="1"/>
  <c r="AK150" i="48"/>
  <c r="AM150" i="48" s="1"/>
  <c r="AS150" i="48" s="1"/>
  <c r="AT150" i="48" s="1"/>
  <c r="AK140" i="48"/>
  <c r="AM140" i="48" s="1"/>
  <c r="AS140" i="48" s="1"/>
  <c r="AT140" i="48" s="1"/>
  <c r="AK145" i="48"/>
  <c r="AM145" i="48" s="1"/>
  <c r="AS145" i="48" s="1"/>
  <c r="AT145" i="48" s="1"/>
  <c r="AK135" i="48"/>
  <c r="AM135" i="48" s="1"/>
  <c r="AS135" i="48" s="1"/>
  <c r="AT135" i="48" s="1"/>
  <c r="AR114" i="37"/>
  <c r="AT114" i="37" s="1"/>
  <c r="D21" i="37" s="1"/>
  <c r="AK119" i="37" s="1"/>
  <c r="AM119" i="37" s="1"/>
  <c r="AS119" i="37" s="1"/>
  <c r="AT119" i="37" s="1"/>
  <c r="D22" i="37" s="1"/>
  <c r="AK124" i="37" s="1"/>
  <c r="AM124" i="37" s="1"/>
  <c r="AS124" i="37" s="1"/>
  <c r="AT124" i="37" s="1"/>
  <c r="D23" i="37" s="1"/>
  <c r="AK129" i="37" s="1"/>
  <c r="AM129" i="37" s="1"/>
  <c r="AS129" i="37" s="1"/>
  <c r="AT129" i="37" s="1"/>
  <c r="D26" i="42"/>
  <c r="D25" i="36"/>
  <c r="D28" i="36"/>
  <c r="AK110" i="31"/>
  <c r="AM110" i="31" s="1"/>
  <c r="AS110" i="31" s="1"/>
  <c r="AR110" i="44"/>
  <c r="AT110" i="44" s="1"/>
  <c r="E20" i="44" s="1"/>
  <c r="Z115" i="44" s="1"/>
  <c r="AB115" i="44" s="1"/>
  <c r="AR109" i="44"/>
  <c r="AT109" i="44" s="1"/>
  <c r="D20" i="44" s="1"/>
  <c r="E28" i="36"/>
  <c r="E27" i="36"/>
  <c r="E24" i="36"/>
  <c r="E26" i="36"/>
  <c r="E25" i="36"/>
  <c r="AR105" i="39"/>
  <c r="AT105" i="39" s="1"/>
  <c r="E19" i="39" s="1"/>
  <c r="AR105" i="43"/>
  <c r="D27" i="42"/>
  <c r="D26" i="36"/>
  <c r="Z110" i="40"/>
  <c r="AB110" i="40" s="1"/>
  <c r="L115" i="40"/>
  <c r="N115" i="40" s="1"/>
  <c r="AQ115" i="40" s="1"/>
  <c r="AK110" i="40"/>
  <c r="AM110" i="40" s="1"/>
  <c r="AS110" i="40" s="1"/>
  <c r="L115" i="31"/>
  <c r="N115" i="31" s="1"/>
  <c r="AQ115" i="31" s="1"/>
  <c r="D24" i="42"/>
  <c r="AK144" i="42" s="1"/>
  <c r="AM144" i="42" s="1"/>
  <c r="AS144" i="42" s="1"/>
  <c r="AT144" i="42" s="1"/>
  <c r="AK110" i="33"/>
  <c r="AM110" i="33" s="1"/>
  <c r="AS110" i="33" s="1"/>
  <c r="Z110" i="33"/>
  <c r="AB110" i="33" s="1"/>
  <c r="L115" i="33"/>
  <c r="N115" i="33" s="1"/>
  <c r="AQ115" i="33" s="1"/>
  <c r="AK104" i="43"/>
  <c r="AM104" i="43" s="1"/>
  <c r="AS104" i="43" s="1"/>
  <c r="AT104" i="31"/>
  <c r="D19" i="31" s="1"/>
  <c r="AR72" i="61"/>
  <c r="AO72" i="61"/>
  <c r="AX72" i="61"/>
  <c r="AT72" i="61"/>
  <c r="AE72" i="61"/>
  <c r="AW72" i="61"/>
  <c r="AG72" i="61"/>
  <c r="AV72" i="61"/>
  <c r="AQ72" i="61"/>
  <c r="AP72" i="61"/>
  <c r="AK72" i="61"/>
  <c r="AZ72" i="61"/>
  <c r="AN72" i="61"/>
  <c r="AL72" i="61"/>
  <c r="AU72" i="61"/>
  <c r="AD72" i="61"/>
  <c r="AF72" i="61"/>
  <c r="AS72" i="61"/>
  <c r="AI72" i="61"/>
  <c r="AM72" i="61"/>
  <c r="AJ72" i="61"/>
  <c r="BA72" i="61"/>
  <c r="AC72" i="61"/>
  <c r="AY72" i="61"/>
  <c r="AH72" i="61"/>
  <c r="Z109" i="39"/>
  <c r="AB109" i="39" s="1"/>
  <c r="L114" i="39"/>
  <c r="N114" i="39" s="1"/>
  <c r="AQ114" i="39" s="1"/>
  <c r="AK109" i="39"/>
  <c r="AM109" i="39" s="1"/>
  <c r="AS109" i="39" s="1"/>
  <c r="AR104" i="43"/>
  <c r="AK150" i="37"/>
  <c r="AM150" i="37" s="1"/>
  <c r="AS150" i="37" s="1"/>
  <c r="AT150" i="37" s="1"/>
  <c r="AK135" i="37"/>
  <c r="AM135" i="37" s="1"/>
  <c r="AS135" i="37" s="1"/>
  <c r="AT135" i="37" s="1"/>
  <c r="AK145" i="37"/>
  <c r="AM145" i="37" s="1"/>
  <c r="AS145" i="37" s="1"/>
  <c r="AT145" i="37" s="1"/>
  <c r="AK140" i="37"/>
  <c r="AM140" i="37" s="1"/>
  <c r="AS140" i="37" s="1"/>
  <c r="AT140" i="37" s="1"/>
  <c r="AK149" i="36"/>
  <c r="AM149" i="36" s="1"/>
  <c r="AS149" i="36" s="1"/>
  <c r="AT149" i="36" s="1"/>
  <c r="AK144" i="36"/>
  <c r="AM144" i="36" s="1"/>
  <c r="AS144" i="36" s="1"/>
  <c r="AT144" i="36" s="1"/>
  <c r="AK139" i="36"/>
  <c r="AM139" i="36" s="1"/>
  <c r="AS139" i="36" s="1"/>
  <c r="AT139" i="36" s="1"/>
  <c r="AK134" i="36"/>
  <c r="AM134" i="36" s="1"/>
  <c r="AS134" i="36" s="1"/>
  <c r="AT134" i="36" s="1"/>
  <c r="AK125" i="42"/>
  <c r="AM125" i="42" s="1"/>
  <c r="AS125" i="42" s="1"/>
  <c r="AT125" i="42" s="1"/>
  <c r="E23" i="42" s="1"/>
  <c r="AK130" i="42" s="1"/>
  <c r="AM130" i="42" s="1"/>
  <c r="AS130" i="42" s="1"/>
  <c r="AT130" i="42" s="1"/>
  <c r="AK134" i="42"/>
  <c r="AM134" i="42" s="1"/>
  <c r="AS134" i="42" s="1"/>
  <c r="AT134" i="42" s="1"/>
  <c r="AP94" i="27"/>
  <c r="AP79" i="27"/>
  <c r="AT79" i="27" s="1"/>
  <c r="D14" i="27" s="1"/>
  <c r="AR115" i="41" l="1"/>
  <c r="AK109" i="49"/>
  <c r="AM109" i="49" s="1"/>
  <c r="AS109" i="49" s="1"/>
  <c r="L114" i="49"/>
  <c r="N114" i="49" s="1"/>
  <c r="AQ114" i="49" s="1"/>
  <c r="Z109" i="49"/>
  <c r="AB109" i="49" s="1"/>
  <c r="AR110" i="49" s="1"/>
  <c r="AK115" i="26"/>
  <c r="AM115" i="26" s="1"/>
  <c r="AS115" i="26" s="1"/>
  <c r="Z115" i="26"/>
  <c r="AB115" i="26" s="1"/>
  <c r="L120" i="26"/>
  <c r="N120" i="26" s="1"/>
  <c r="AQ120" i="26" s="1"/>
  <c r="Z114" i="26"/>
  <c r="AB114" i="26" s="1"/>
  <c r="L119" i="26"/>
  <c r="N119" i="26" s="1"/>
  <c r="AQ119" i="26" s="1"/>
  <c r="AK114" i="26"/>
  <c r="AM114" i="26" s="1"/>
  <c r="AS114" i="26" s="1"/>
  <c r="AT115" i="41"/>
  <c r="E21" i="41" s="1"/>
  <c r="AK120" i="41" s="1"/>
  <c r="AM120" i="41" s="1"/>
  <c r="AS120" i="41" s="1"/>
  <c r="AT120" i="41" s="1"/>
  <c r="E22" i="41" s="1"/>
  <c r="AK125" i="41" s="1"/>
  <c r="AM125" i="41" s="1"/>
  <c r="AS125" i="41" s="1"/>
  <c r="AT125" i="41" s="1"/>
  <c r="E23" i="41" s="1"/>
  <c r="AK130" i="41" s="1"/>
  <c r="AM130" i="41" s="1"/>
  <c r="AS130" i="41" s="1"/>
  <c r="AT130" i="41" s="1"/>
  <c r="L119" i="35"/>
  <c r="N119" i="35" s="1"/>
  <c r="AQ119" i="35" s="1"/>
  <c r="AK114" i="35"/>
  <c r="AM114" i="35" s="1"/>
  <c r="AS114" i="35" s="1"/>
  <c r="Z114" i="35"/>
  <c r="AB114" i="35" s="1"/>
  <c r="L120" i="38"/>
  <c r="N120" i="38" s="1"/>
  <c r="AQ120" i="38" s="1"/>
  <c r="AK115" i="38"/>
  <c r="AM115" i="38" s="1"/>
  <c r="AS115" i="38" s="1"/>
  <c r="Z115" i="38"/>
  <c r="AB115" i="38" s="1"/>
  <c r="AK114" i="46"/>
  <c r="AM114" i="46" s="1"/>
  <c r="AS114" i="46" s="1"/>
  <c r="L119" i="46"/>
  <c r="N119" i="46" s="1"/>
  <c r="AQ119" i="46" s="1"/>
  <c r="Z114" i="46"/>
  <c r="AB114" i="46" s="1"/>
  <c r="AR114" i="41"/>
  <c r="AT114" i="41" s="1"/>
  <c r="D21" i="41" s="1"/>
  <c r="AK119" i="41" s="1"/>
  <c r="AM119" i="41" s="1"/>
  <c r="AS119" i="41" s="1"/>
  <c r="AT119" i="41" s="1"/>
  <c r="D22" i="41" s="1"/>
  <c r="AK124" i="41" s="1"/>
  <c r="AM124" i="41" s="1"/>
  <c r="AS124" i="41" s="1"/>
  <c r="AT124" i="41" s="1"/>
  <c r="D23" i="41" s="1"/>
  <c r="AK129" i="41" s="1"/>
  <c r="AM129" i="41" s="1"/>
  <c r="AS129" i="41" s="1"/>
  <c r="AT129" i="41" s="1"/>
  <c r="AK139" i="48"/>
  <c r="AM139" i="48" s="1"/>
  <c r="AS139" i="48" s="1"/>
  <c r="AT139" i="48" s="1"/>
  <c r="AK144" i="48"/>
  <c r="AM144" i="48" s="1"/>
  <c r="AS144" i="48" s="1"/>
  <c r="AT144" i="48" s="1"/>
  <c r="B72" i="61" a="1"/>
  <c r="AK134" i="48"/>
  <c r="AM134" i="48" s="1"/>
  <c r="AS134" i="48" s="1"/>
  <c r="AT134" i="48" s="1"/>
  <c r="AK149" i="48"/>
  <c r="AM149" i="48" s="1"/>
  <c r="AS149" i="48" s="1"/>
  <c r="AT149" i="48" s="1"/>
  <c r="AK139" i="42"/>
  <c r="AM139" i="42" s="1"/>
  <c r="AS139" i="42" s="1"/>
  <c r="AT139" i="42" s="1"/>
  <c r="AR105" i="34"/>
  <c r="AT105" i="34" s="1"/>
  <c r="E19" i="34" s="1"/>
  <c r="Z115" i="46"/>
  <c r="AB115" i="46" s="1"/>
  <c r="L120" i="46"/>
  <c r="N120" i="46" s="1"/>
  <c r="AQ120" i="46" s="1"/>
  <c r="AK115" i="46"/>
  <c r="AM115" i="46" s="1"/>
  <c r="AS115" i="46" s="1"/>
  <c r="AK149" i="42"/>
  <c r="AM149" i="42" s="1"/>
  <c r="AS149" i="42" s="1"/>
  <c r="AT149" i="42" s="1"/>
  <c r="L120" i="44"/>
  <c r="N120" i="44" s="1"/>
  <c r="AQ120" i="44" s="1"/>
  <c r="AK115" i="44"/>
  <c r="AM115" i="44" s="1"/>
  <c r="AS115" i="44" s="1"/>
  <c r="L120" i="35"/>
  <c r="N120" i="35" s="1"/>
  <c r="AQ120" i="35" s="1"/>
  <c r="AK115" i="35"/>
  <c r="AM115" i="35" s="1"/>
  <c r="AS115" i="35" s="1"/>
  <c r="Z115" i="35"/>
  <c r="AB115" i="35" s="1"/>
  <c r="E27" i="37"/>
  <c r="E25" i="37"/>
  <c r="AC83" i="61" s="1" a="1"/>
  <c r="AZ83" i="61" s="1"/>
  <c r="AK114" i="38"/>
  <c r="AM114" i="38" s="1"/>
  <c r="AS114" i="38" s="1"/>
  <c r="Z114" i="38"/>
  <c r="AB114" i="38" s="1"/>
  <c r="L119" i="38"/>
  <c r="N119" i="38" s="1"/>
  <c r="AQ119" i="38" s="1"/>
  <c r="AR109" i="49"/>
  <c r="AT109" i="49" s="1"/>
  <c r="D20" i="49" s="1"/>
  <c r="B84" i="61" a="1"/>
  <c r="AC84" i="61" a="1"/>
  <c r="AW84" i="61" s="1"/>
  <c r="AT105" i="43"/>
  <c r="E19" i="43" s="1"/>
  <c r="AR104" i="40"/>
  <c r="AT104" i="40" s="1"/>
  <c r="D19" i="40" s="1"/>
  <c r="Z109" i="40" s="1"/>
  <c r="AB109" i="40" s="1"/>
  <c r="AR109" i="40" s="1"/>
  <c r="B78" i="61" a="1"/>
  <c r="I78" i="61" s="1"/>
  <c r="AT110" i="49"/>
  <c r="E20" i="49" s="1"/>
  <c r="L120" i="47"/>
  <c r="N120" i="47" s="1"/>
  <c r="AQ120" i="47" s="1"/>
  <c r="AK115" i="47"/>
  <c r="AM115" i="47" s="1"/>
  <c r="AS115" i="47" s="1"/>
  <c r="Z115" i="47"/>
  <c r="AB115" i="47" s="1"/>
  <c r="L125" i="59"/>
  <c r="N125" i="59" s="1"/>
  <c r="AS125" i="59" s="1"/>
  <c r="AM119" i="59"/>
  <c r="AO119" i="59" s="1"/>
  <c r="AU119" i="59" s="1"/>
  <c r="Z119" i="59"/>
  <c r="AB119" i="59" s="1"/>
  <c r="AR109" i="28"/>
  <c r="AT109" i="28" s="1"/>
  <c r="D20" i="28" s="1"/>
  <c r="AR110" i="28"/>
  <c r="AT110" i="28" s="1"/>
  <c r="E20" i="28" s="1"/>
  <c r="M97" i="58"/>
  <c r="C96" i="58"/>
  <c r="L97" i="58"/>
  <c r="E100" i="58"/>
  <c r="I98" i="58"/>
  <c r="G98" i="58"/>
  <c r="L98" i="58"/>
  <c r="G97" i="58"/>
  <c r="K98" i="58"/>
  <c r="K97" i="58"/>
  <c r="L96" i="58"/>
  <c r="F96" i="58"/>
  <c r="F97" i="58"/>
  <c r="E98" i="58"/>
  <c r="F98" i="58"/>
  <c r="F99" i="58"/>
  <c r="I99" i="58"/>
  <c r="K100" i="58"/>
  <c r="J100" i="58"/>
  <c r="B100" i="58"/>
  <c r="C100" i="58"/>
  <c r="J97" i="58"/>
  <c r="J96" i="58"/>
  <c r="I100" i="58"/>
  <c r="D98" i="58"/>
  <c r="L99" i="58"/>
  <c r="J98" i="58"/>
  <c r="C97" i="58"/>
  <c r="M98" i="58"/>
  <c r="I96" i="58"/>
  <c r="B99" i="58"/>
  <c r="D97" i="58"/>
  <c r="E97" i="58"/>
  <c r="F100" i="58"/>
  <c r="E99" i="58"/>
  <c r="C99" i="58"/>
  <c r="H96" i="58"/>
  <c r="D100" i="58"/>
  <c r="M100" i="58"/>
  <c r="L100" i="58"/>
  <c r="K96" i="58"/>
  <c r="G96" i="58"/>
  <c r="E96" i="58"/>
  <c r="C98" i="58"/>
  <c r="M96" i="58"/>
  <c r="D96" i="58"/>
  <c r="B96" i="58"/>
  <c r="H99" i="58"/>
  <c r="J99" i="58"/>
  <c r="K99" i="58"/>
  <c r="B97" i="58"/>
  <c r="G99" i="58"/>
  <c r="H97" i="58"/>
  <c r="H98" i="58"/>
  <c r="B98" i="58"/>
  <c r="D99" i="58"/>
  <c r="M99" i="58"/>
  <c r="I97" i="58"/>
  <c r="H100" i="58"/>
  <c r="G100" i="58"/>
  <c r="AK109" i="40"/>
  <c r="AM109" i="40" s="1"/>
  <c r="AS109" i="40" s="1"/>
  <c r="AR110" i="30"/>
  <c r="AT110" i="30" s="1"/>
  <c r="E20" i="30" s="1"/>
  <c r="AR109" i="30"/>
  <c r="AT109" i="30" s="1"/>
  <c r="D20" i="30" s="1"/>
  <c r="Z114" i="47"/>
  <c r="AB114" i="47" s="1"/>
  <c r="L119" i="47"/>
  <c r="N119" i="47" s="1"/>
  <c r="AQ119" i="47" s="1"/>
  <c r="AK114" i="47"/>
  <c r="AM114" i="47" s="1"/>
  <c r="AS114" i="47" s="1"/>
  <c r="AR110" i="29"/>
  <c r="AT110" i="29" s="1"/>
  <c r="E20" i="29" s="1"/>
  <c r="AR109" i="29"/>
  <c r="AT109" i="29" s="1"/>
  <c r="D20" i="29" s="1"/>
  <c r="H78" i="61"/>
  <c r="AK110" i="39"/>
  <c r="AM110" i="39" s="1"/>
  <c r="AS110" i="39" s="1"/>
  <c r="Z110" i="39"/>
  <c r="AB110" i="39" s="1"/>
  <c r="AR110" i="39" s="1"/>
  <c r="L115" i="39"/>
  <c r="N115" i="39" s="1"/>
  <c r="AQ115" i="39" s="1"/>
  <c r="L119" i="44"/>
  <c r="N119" i="44" s="1"/>
  <c r="AQ119" i="44" s="1"/>
  <c r="AK114" i="44"/>
  <c r="AM114" i="44" s="1"/>
  <c r="AS114" i="44" s="1"/>
  <c r="Z114" i="44"/>
  <c r="AB114" i="44" s="1"/>
  <c r="Z109" i="33"/>
  <c r="AB109" i="33" s="1"/>
  <c r="L114" i="33"/>
  <c r="N114" i="33" s="1"/>
  <c r="AQ114" i="33" s="1"/>
  <c r="AK109" i="33"/>
  <c r="AM109" i="33" s="1"/>
  <c r="AS109" i="33" s="1"/>
  <c r="AK114" i="34"/>
  <c r="AM114" i="34" s="1"/>
  <c r="AS114" i="34" s="1"/>
  <c r="L119" i="34"/>
  <c r="N119" i="34" s="1"/>
  <c r="AQ119" i="34" s="1"/>
  <c r="Z114" i="34"/>
  <c r="AB114" i="34" s="1"/>
  <c r="L114" i="31"/>
  <c r="N114" i="31" s="1"/>
  <c r="AQ114" i="31" s="1"/>
  <c r="Z109" i="31"/>
  <c r="AB109" i="31" s="1"/>
  <c r="AK109" i="31"/>
  <c r="AM109" i="31" s="1"/>
  <c r="AS109" i="31" s="1"/>
  <c r="AK110" i="43"/>
  <c r="AM110" i="43" s="1"/>
  <c r="AS110" i="43" s="1"/>
  <c r="Z110" i="43"/>
  <c r="AB110" i="43" s="1"/>
  <c r="L115" i="43"/>
  <c r="N115" i="43" s="1"/>
  <c r="AQ115" i="43" s="1"/>
  <c r="AK145" i="36"/>
  <c r="AM145" i="36" s="1"/>
  <c r="AS145" i="36" s="1"/>
  <c r="AT145" i="36" s="1"/>
  <c r="AK150" i="36"/>
  <c r="AM150" i="36" s="1"/>
  <c r="AS150" i="36" s="1"/>
  <c r="AT150" i="36" s="1"/>
  <c r="AK140" i="36"/>
  <c r="AM140" i="36" s="1"/>
  <c r="AS140" i="36" s="1"/>
  <c r="AT140" i="36" s="1"/>
  <c r="AK135" i="36"/>
  <c r="AM135" i="36" s="1"/>
  <c r="AS135" i="36" s="1"/>
  <c r="AT135" i="36" s="1"/>
  <c r="D26" i="37"/>
  <c r="D24" i="37"/>
  <c r="D25" i="37"/>
  <c r="D28" i="37"/>
  <c r="D27" i="37"/>
  <c r="AL84" i="61"/>
  <c r="AT104" i="43"/>
  <c r="D19" i="43" s="1"/>
  <c r="S78" i="61"/>
  <c r="B78" i="61"/>
  <c r="K78" i="61"/>
  <c r="Z78" i="61"/>
  <c r="E26" i="42"/>
  <c r="E27" i="42"/>
  <c r="E28" i="42"/>
  <c r="E24" i="42"/>
  <c r="E25" i="42"/>
  <c r="Z84" i="61"/>
  <c r="R84" i="61"/>
  <c r="L84" i="61"/>
  <c r="B84" i="61"/>
  <c r="D84" i="61"/>
  <c r="G84" i="61"/>
  <c r="F84" i="61"/>
  <c r="S84" i="61"/>
  <c r="Q84" i="61"/>
  <c r="O84" i="61"/>
  <c r="X84" i="61"/>
  <c r="H84" i="61"/>
  <c r="M84" i="61"/>
  <c r="C84" i="61"/>
  <c r="J84" i="61"/>
  <c r="T84" i="61"/>
  <c r="U84" i="61"/>
  <c r="K84" i="61"/>
  <c r="V84" i="61"/>
  <c r="W84" i="61"/>
  <c r="I84" i="61"/>
  <c r="Y84" i="61"/>
  <c r="E84" i="61"/>
  <c r="P84" i="61"/>
  <c r="N84" i="61"/>
  <c r="AK84" i="27"/>
  <c r="AM84" i="27" s="1"/>
  <c r="AS84" i="27" s="1"/>
  <c r="Z84" i="27"/>
  <c r="AB84" i="27" s="1"/>
  <c r="L89" i="27"/>
  <c r="N89" i="27" s="1"/>
  <c r="AQ89" i="27" s="1"/>
  <c r="J78" i="61" l="1"/>
  <c r="P78" i="61"/>
  <c r="AP84" i="61"/>
  <c r="AE84" i="61"/>
  <c r="AM84" i="61"/>
  <c r="L78" i="61"/>
  <c r="AV84" i="61"/>
  <c r="AU84" i="61"/>
  <c r="AX84" i="61"/>
  <c r="AI84" i="61"/>
  <c r="AJ84" i="61"/>
  <c r="AD84" i="61"/>
  <c r="AK84" i="61"/>
  <c r="AG84" i="61"/>
  <c r="AY84" i="61"/>
  <c r="AC84" i="61"/>
  <c r="AO84" i="61"/>
  <c r="AN84" i="61"/>
  <c r="AH84" i="61"/>
  <c r="AF84" i="61"/>
  <c r="L114" i="40"/>
  <c r="N114" i="40" s="1"/>
  <c r="AQ114" i="40" s="1"/>
  <c r="AR114" i="26"/>
  <c r="AT114" i="26" s="1"/>
  <c r="D21" i="26" s="1"/>
  <c r="AK119" i="26" s="1"/>
  <c r="AM119" i="26" s="1"/>
  <c r="AS119" i="26" s="1"/>
  <c r="AT119" i="26" s="1"/>
  <c r="D22" i="26" s="1"/>
  <c r="AK124" i="26" s="1"/>
  <c r="AM124" i="26" s="1"/>
  <c r="AS124" i="26" s="1"/>
  <c r="AT124" i="26" s="1"/>
  <c r="D23" i="26" s="1"/>
  <c r="AK129" i="26" s="1"/>
  <c r="AM129" i="26" s="1"/>
  <c r="AS129" i="26" s="1"/>
  <c r="AT129" i="26" s="1"/>
  <c r="AR115" i="26"/>
  <c r="AT115" i="26" s="1"/>
  <c r="E21" i="26" s="1"/>
  <c r="E28" i="41"/>
  <c r="E26" i="41"/>
  <c r="E27" i="41"/>
  <c r="E25" i="41"/>
  <c r="E24" i="41"/>
  <c r="AK110" i="34"/>
  <c r="AM110" i="34" s="1"/>
  <c r="AS110" i="34" s="1"/>
  <c r="L115" i="34"/>
  <c r="N115" i="34" s="1"/>
  <c r="AQ115" i="34" s="1"/>
  <c r="Z110" i="34"/>
  <c r="AB110" i="34" s="1"/>
  <c r="AK114" i="29"/>
  <c r="AM114" i="29" s="1"/>
  <c r="AS114" i="29" s="1"/>
  <c r="Z114" i="29"/>
  <c r="AB114" i="29" s="1"/>
  <c r="L119" i="29"/>
  <c r="N119" i="29" s="1"/>
  <c r="AQ119" i="29" s="1"/>
  <c r="AK114" i="49"/>
  <c r="AM114" i="49" s="1"/>
  <c r="AS114" i="49" s="1"/>
  <c r="L119" i="49"/>
  <c r="N119" i="49" s="1"/>
  <c r="AQ119" i="49" s="1"/>
  <c r="Z114" i="49"/>
  <c r="AB114" i="49" s="1"/>
  <c r="L120" i="49"/>
  <c r="N120" i="49" s="1"/>
  <c r="AQ120" i="49" s="1"/>
  <c r="Z115" i="49"/>
  <c r="AB115" i="49" s="1"/>
  <c r="AK115" i="49"/>
  <c r="AM115" i="49" s="1"/>
  <c r="AS115" i="49" s="1"/>
  <c r="I72" i="61"/>
  <c r="D72" i="61"/>
  <c r="C72" i="61"/>
  <c r="U72" i="61"/>
  <c r="G72" i="61"/>
  <c r="J72" i="61"/>
  <c r="Q72" i="61"/>
  <c r="S72" i="61"/>
  <c r="F72" i="61"/>
  <c r="P72" i="61"/>
  <c r="O72" i="61"/>
  <c r="M72" i="61"/>
  <c r="Z72" i="61"/>
  <c r="R72" i="61"/>
  <c r="T72" i="61"/>
  <c r="B72" i="61"/>
  <c r="H72" i="61"/>
  <c r="N72" i="61"/>
  <c r="W72" i="61"/>
  <c r="V72" i="61"/>
  <c r="E72" i="61"/>
  <c r="X72" i="61"/>
  <c r="L72" i="61"/>
  <c r="Y72" i="61"/>
  <c r="K72" i="61"/>
  <c r="AR114" i="46"/>
  <c r="AT114" i="46" s="1"/>
  <c r="D21" i="46" s="1"/>
  <c r="AK119" i="46" s="1"/>
  <c r="AM119" i="46" s="1"/>
  <c r="AS119" i="46" s="1"/>
  <c r="AT119" i="46" s="1"/>
  <c r="D22" i="46" s="1"/>
  <c r="AK124" i="46" s="1"/>
  <c r="AM124" i="46" s="1"/>
  <c r="AS124" i="46" s="1"/>
  <c r="AT124" i="46" s="1"/>
  <c r="D23" i="46" s="1"/>
  <c r="AK129" i="46" s="1"/>
  <c r="AM129" i="46" s="1"/>
  <c r="AS129" i="46" s="1"/>
  <c r="AT129" i="46" s="1"/>
  <c r="AR115" i="46"/>
  <c r="AT115" i="46" s="1"/>
  <c r="E21" i="46" s="1"/>
  <c r="D26" i="35"/>
  <c r="D24" i="35"/>
  <c r="D27" i="35"/>
  <c r="D25" i="35"/>
  <c r="D28" i="35"/>
  <c r="AR114" i="38"/>
  <c r="AT114" i="38" s="1"/>
  <c r="D21" i="38" s="1"/>
  <c r="AR115" i="38"/>
  <c r="AT115" i="38" s="1"/>
  <c r="E21" i="38" s="1"/>
  <c r="AK120" i="38" s="1"/>
  <c r="AM120" i="38" s="1"/>
  <c r="AS120" i="38" s="1"/>
  <c r="AT120" i="38" s="1"/>
  <c r="E22" i="38" s="1"/>
  <c r="AK125" i="38" s="1"/>
  <c r="AM125" i="38" s="1"/>
  <c r="AS125" i="38" s="1"/>
  <c r="AT125" i="38" s="1"/>
  <c r="E23" i="38" s="1"/>
  <c r="AK130" i="38" s="1"/>
  <c r="AM130" i="38" s="1"/>
  <c r="AS130" i="38" s="1"/>
  <c r="AT130" i="38" s="1"/>
  <c r="D27" i="46"/>
  <c r="D26" i="46"/>
  <c r="D24" i="46"/>
  <c r="D25" i="46"/>
  <c r="D28" i="46"/>
  <c r="AR115" i="35"/>
  <c r="AT115" i="35" s="1"/>
  <c r="E21" i="35" s="1"/>
  <c r="AK120" i="35" s="1"/>
  <c r="AM120" i="35" s="1"/>
  <c r="AS120" i="35" s="1"/>
  <c r="AT120" i="35" s="1"/>
  <c r="E22" i="35" s="1"/>
  <c r="AK125" i="35" s="1"/>
  <c r="AM125" i="35" s="1"/>
  <c r="AS125" i="35" s="1"/>
  <c r="AT125" i="35" s="1"/>
  <c r="E23" i="35" s="1"/>
  <c r="AK130" i="35" s="1"/>
  <c r="AM130" i="35" s="1"/>
  <c r="AS130" i="35" s="1"/>
  <c r="AT130" i="35" s="1"/>
  <c r="E28" i="35" s="1"/>
  <c r="AR114" i="35"/>
  <c r="AT114" i="35" s="1"/>
  <c r="D21" i="35" s="1"/>
  <c r="AK119" i="35" s="1"/>
  <c r="AM119" i="35" s="1"/>
  <c r="AS119" i="35" s="1"/>
  <c r="AT119" i="35" s="1"/>
  <c r="D22" i="35" s="1"/>
  <c r="AK124" i="35" s="1"/>
  <c r="AM124" i="35" s="1"/>
  <c r="AS124" i="35" s="1"/>
  <c r="AT124" i="35" s="1"/>
  <c r="D23" i="35" s="1"/>
  <c r="AK129" i="35" s="1"/>
  <c r="AM129" i="35" s="1"/>
  <c r="AS129" i="35" s="1"/>
  <c r="AT129" i="35" s="1"/>
  <c r="D26" i="41"/>
  <c r="D28" i="41"/>
  <c r="D24" i="41"/>
  <c r="D27" i="41"/>
  <c r="D25" i="41"/>
  <c r="AT110" i="39"/>
  <c r="E20" i="39" s="1"/>
  <c r="O78" i="61"/>
  <c r="Q78" i="61"/>
  <c r="AR84" i="61"/>
  <c r="BA84" i="61"/>
  <c r="AZ84" i="61"/>
  <c r="T78" i="61"/>
  <c r="F78" i="61"/>
  <c r="D78" i="61"/>
  <c r="V78" i="61"/>
  <c r="M78" i="61"/>
  <c r="U78" i="61"/>
  <c r="W78" i="61"/>
  <c r="AQ84" i="61"/>
  <c r="AS84" i="61"/>
  <c r="AT84" i="61"/>
  <c r="E78" i="61"/>
  <c r="C78" i="61"/>
  <c r="Y78" i="61"/>
  <c r="X78" i="61"/>
  <c r="G78" i="61"/>
  <c r="R78" i="61"/>
  <c r="N78" i="61"/>
  <c r="AT109" i="40"/>
  <c r="D20" i="40" s="1"/>
  <c r="AR109" i="39"/>
  <c r="AT109" i="39" s="1"/>
  <c r="D20" i="39" s="1"/>
  <c r="AR110" i="40"/>
  <c r="AT110" i="40" s="1"/>
  <c r="E20" i="40" s="1"/>
  <c r="AK115" i="29"/>
  <c r="AM115" i="29" s="1"/>
  <c r="AS115" i="29" s="1"/>
  <c r="Z115" i="29"/>
  <c r="AB115" i="29" s="1"/>
  <c r="L120" i="29"/>
  <c r="N120" i="29" s="1"/>
  <c r="AQ120" i="29" s="1"/>
  <c r="Z114" i="30"/>
  <c r="AB114" i="30" s="1"/>
  <c r="L119" i="30"/>
  <c r="N119" i="30" s="1"/>
  <c r="AQ119" i="30" s="1"/>
  <c r="AK114" i="30"/>
  <c r="AM114" i="30" s="1"/>
  <c r="AS114" i="30" s="1"/>
  <c r="Z114" i="28"/>
  <c r="AB114" i="28" s="1"/>
  <c r="AK114" i="28"/>
  <c r="AM114" i="28" s="1"/>
  <c r="AS114" i="28" s="1"/>
  <c r="L119" i="28"/>
  <c r="N119" i="28" s="1"/>
  <c r="AQ119" i="28" s="1"/>
  <c r="Z115" i="30"/>
  <c r="AB115" i="30" s="1"/>
  <c r="L120" i="30"/>
  <c r="N120" i="30" s="1"/>
  <c r="AQ120" i="30" s="1"/>
  <c r="AK115" i="30"/>
  <c r="AM115" i="30" s="1"/>
  <c r="AS115" i="30" s="1"/>
  <c r="AT119" i="59"/>
  <c r="AV119" i="59" s="1"/>
  <c r="AT120" i="59"/>
  <c r="AV120" i="59" s="1"/>
  <c r="E19" i="59" s="1"/>
  <c r="AR115" i="47"/>
  <c r="AT115" i="47" s="1"/>
  <c r="E21" i="47" s="1"/>
  <c r="AR114" i="47"/>
  <c r="AT114" i="47" s="1"/>
  <c r="D21" i="47" s="1"/>
  <c r="AK119" i="47" s="1"/>
  <c r="AM119" i="47" s="1"/>
  <c r="AS119" i="47" s="1"/>
  <c r="AT119" i="47" s="1"/>
  <c r="D22" i="47" s="1"/>
  <c r="AK124" i="47" s="1"/>
  <c r="AM124" i="47" s="1"/>
  <c r="AS124" i="47" s="1"/>
  <c r="AT124" i="47" s="1"/>
  <c r="D23" i="47" s="1"/>
  <c r="AK129" i="47" s="1"/>
  <c r="AM129" i="47" s="1"/>
  <c r="AS129" i="47" s="1"/>
  <c r="AT129" i="47" s="1"/>
  <c r="D27" i="47" s="1"/>
  <c r="L120" i="28"/>
  <c r="N120" i="28" s="1"/>
  <c r="AQ120" i="28" s="1"/>
  <c r="AK115" i="28"/>
  <c r="AM115" i="28" s="1"/>
  <c r="AS115" i="28" s="1"/>
  <c r="Z115" i="28"/>
  <c r="AB115" i="28" s="1"/>
  <c r="AO83" i="61"/>
  <c r="AE83" i="61"/>
  <c r="AS83" i="61"/>
  <c r="AD83" i="61"/>
  <c r="BA83" i="61"/>
  <c r="AX83" i="61"/>
  <c r="AN83" i="61"/>
  <c r="AJ83" i="61"/>
  <c r="AQ83" i="61"/>
  <c r="AF83" i="61"/>
  <c r="AV83" i="61"/>
  <c r="AI83" i="61"/>
  <c r="AG83" i="61"/>
  <c r="AP83" i="61"/>
  <c r="AY83" i="61"/>
  <c r="AL83" i="61"/>
  <c r="AM83" i="61"/>
  <c r="AR83" i="61"/>
  <c r="AW83" i="61"/>
  <c r="AU83" i="61"/>
  <c r="AC83" i="61"/>
  <c r="AK83" i="61"/>
  <c r="AT83" i="61"/>
  <c r="AH83" i="61"/>
  <c r="Z109" i="43"/>
  <c r="AB109" i="43" s="1"/>
  <c r="L114" i="43"/>
  <c r="N114" i="43" s="1"/>
  <c r="AQ114" i="43" s="1"/>
  <c r="AK109" i="43"/>
  <c r="AM109" i="43" s="1"/>
  <c r="AS109" i="43" s="1"/>
  <c r="D25" i="26"/>
  <c r="D24" i="26"/>
  <c r="D27" i="26"/>
  <c r="D28" i="26"/>
  <c r="D26" i="26"/>
  <c r="AR109" i="33"/>
  <c r="AT109" i="33" s="1"/>
  <c r="D20" i="33" s="1"/>
  <c r="AR110" i="33"/>
  <c r="AT110" i="33" s="1"/>
  <c r="E20" i="33" s="1"/>
  <c r="AK149" i="37"/>
  <c r="AM149" i="37" s="1"/>
  <c r="AS149" i="37" s="1"/>
  <c r="AT149" i="37" s="1"/>
  <c r="B83" i="61" a="1"/>
  <c r="AK139" i="37"/>
  <c r="AM139" i="37" s="1"/>
  <c r="AS139" i="37" s="1"/>
  <c r="AT139" i="37" s="1"/>
  <c r="AK144" i="37"/>
  <c r="AM144" i="37" s="1"/>
  <c r="AS144" i="37" s="1"/>
  <c r="AT144" i="37" s="1"/>
  <c r="AK134" i="37"/>
  <c r="AM134" i="37" s="1"/>
  <c r="AS134" i="37" s="1"/>
  <c r="AT134" i="37" s="1"/>
  <c r="AR110" i="31"/>
  <c r="AT110" i="31" s="1"/>
  <c r="E20" i="31" s="1"/>
  <c r="AR109" i="31"/>
  <c r="AT109" i="31" s="1"/>
  <c r="D20" i="31" s="1"/>
  <c r="AR114" i="44"/>
  <c r="AT114" i="44" s="1"/>
  <c r="D21" i="44" s="1"/>
  <c r="AR115" i="44"/>
  <c r="AT115" i="44" s="1"/>
  <c r="E21" i="44" s="1"/>
  <c r="AK115" i="39"/>
  <c r="AM115" i="39" s="1"/>
  <c r="AS115" i="39" s="1"/>
  <c r="Z115" i="39"/>
  <c r="AB115" i="39" s="1"/>
  <c r="L120" i="39"/>
  <c r="N120" i="39" s="1"/>
  <c r="AQ120" i="39" s="1"/>
  <c r="AK140" i="42"/>
  <c r="AM140" i="42" s="1"/>
  <c r="AS140" i="42" s="1"/>
  <c r="AT140" i="42" s="1"/>
  <c r="AK145" i="42"/>
  <c r="AM145" i="42" s="1"/>
  <c r="AS145" i="42" s="1"/>
  <c r="AT145" i="42" s="1"/>
  <c r="AK150" i="42"/>
  <c r="AM150" i="42" s="1"/>
  <c r="AS150" i="42" s="1"/>
  <c r="AT150" i="42" s="1"/>
  <c r="AK135" i="42"/>
  <c r="AM135" i="42" s="1"/>
  <c r="AS135" i="42" s="1"/>
  <c r="AT135" i="42" s="1"/>
  <c r="AC78" i="61" a="1"/>
  <c r="D26" i="47" l="1"/>
  <c r="E24" i="35"/>
  <c r="D28" i="47"/>
  <c r="D25" i="47"/>
  <c r="E26" i="35"/>
  <c r="AC79" i="61" a="1"/>
  <c r="AK145" i="41"/>
  <c r="AM145" i="41" s="1"/>
  <c r="AS145" i="41" s="1"/>
  <c r="AT145" i="41" s="1"/>
  <c r="AK135" i="41"/>
  <c r="AM135" i="41" s="1"/>
  <c r="AS135" i="41" s="1"/>
  <c r="AT135" i="41" s="1"/>
  <c r="AK140" i="41"/>
  <c r="AM140" i="41" s="1"/>
  <c r="AS140" i="41" s="1"/>
  <c r="AT140" i="41" s="1"/>
  <c r="AK150" i="41"/>
  <c r="AM150" i="41" s="1"/>
  <c r="AS150" i="41" s="1"/>
  <c r="AT150" i="41" s="1"/>
  <c r="D24" i="47"/>
  <c r="E27" i="35"/>
  <c r="AR109" i="34"/>
  <c r="AT109" i="34" s="1"/>
  <c r="D20" i="34" s="1"/>
  <c r="AR110" i="34"/>
  <c r="AT110" i="34" s="1"/>
  <c r="E20" i="34" s="1"/>
  <c r="AK120" i="26"/>
  <c r="AM120" i="26" s="1"/>
  <c r="AS120" i="26" s="1"/>
  <c r="AT120" i="26" s="1"/>
  <c r="E22" i="26" s="1"/>
  <c r="AK125" i="26" s="1"/>
  <c r="AM125" i="26" s="1"/>
  <c r="AS125" i="26" s="1"/>
  <c r="AT125" i="26" s="1"/>
  <c r="E23" i="26" s="1"/>
  <c r="AK130" i="26" s="1"/>
  <c r="AM130" i="26" s="1"/>
  <c r="AS130" i="26" s="1"/>
  <c r="AT130" i="26" s="1"/>
  <c r="E25" i="35"/>
  <c r="E26" i="38"/>
  <c r="E24" i="38"/>
  <c r="E27" i="38"/>
  <c r="E28" i="38"/>
  <c r="E25" i="38"/>
  <c r="Z114" i="33"/>
  <c r="AB114" i="33" s="1"/>
  <c r="AK114" i="33"/>
  <c r="AM114" i="33" s="1"/>
  <c r="AS114" i="33" s="1"/>
  <c r="L119" i="33"/>
  <c r="N119" i="33" s="1"/>
  <c r="AQ119" i="33" s="1"/>
  <c r="AK114" i="40"/>
  <c r="AM114" i="40" s="1"/>
  <c r="AS114" i="40" s="1"/>
  <c r="L119" i="40"/>
  <c r="N119" i="40" s="1"/>
  <c r="AQ119" i="40" s="1"/>
  <c r="Z114" i="40"/>
  <c r="AB114" i="40" s="1"/>
  <c r="AK134" i="41"/>
  <c r="AM134" i="41" s="1"/>
  <c r="AS134" i="41" s="1"/>
  <c r="AT134" i="41" s="1"/>
  <c r="AK144" i="41"/>
  <c r="AM144" i="41" s="1"/>
  <c r="AS144" i="41" s="1"/>
  <c r="AT144" i="41" s="1"/>
  <c r="AK139" i="41"/>
  <c r="AM139" i="41" s="1"/>
  <c r="AS139" i="41" s="1"/>
  <c r="AT139" i="41" s="1"/>
  <c r="AK149" i="41"/>
  <c r="AM149" i="41" s="1"/>
  <c r="AS149" i="41" s="1"/>
  <c r="AT149" i="41" s="1"/>
  <c r="AK144" i="46"/>
  <c r="AM144" i="46" s="1"/>
  <c r="AS144" i="46" s="1"/>
  <c r="AT144" i="46" s="1"/>
  <c r="AK149" i="46"/>
  <c r="AM149" i="46" s="1"/>
  <c r="AS149" i="46" s="1"/>
  <c r="AT149" i="46" s="1"/>
  <c r="B74" i="61" a="1"/>
  <c r="AK139" i="46"/>
  <c r="AM139" i="46" s="1"/>
  <c r="AS139" i="46" s="1"/>
  <c r="AT139" i="46" s="1"/>
  <c r="AK134" i="46"/>
  <c r="AM134" i="46" s="1"/>
  <c r="AS134" i="46" s="1"/>
  <c r="AT134" i="46" s="1"/>
  <c r="AK119" i="38"/>
  <c r="AM119" i="38" s="1"/>
  <c r="AS119" i="38" s="1"/>
  <c r="AT119" i="38" s="1"/>
  <c r="D22" i="38" s="1"/>
  <c r="AK124" i="38" s="1"/>
  <c r="AM124" i="38" s="1"/>
  <c r="AS124" i="38" s="1"/>
  <c r="AT124" i="38" s="1"/>
  <c r="D23" i="38" s="1"/>
  <c r="AK129" i="38" s="1"/>
  <c r="AM129" i="38" s="1"/>
  <c r="AS129" i="38" s="1"/>
  <c r="AT129" i="38" s="1"/>
  <c r="B85" i="61" a="1"/>
  <c r="AK144" i="35"/>
  <c r="AM144" i="35" s="1"/>
  <c r="AS144" i="35" s="1"/>
  <c r="AT144" i="35" s="1"/>
  <c r="AK149" i="35"/>
  <c r="AM149" i="35" s="1"/>
  <c r="AS149" i="35" s="1"/>
  <c r="AT149" i="35" s="1"/>
  <c r="AK134" i="35"/>
  <c r="AM134" i="35" s="1"/>
  <c r="AS134" i="35" s="1"/>
  <c r="AT134" i="35" s="1"/>
  <c r="AK139" i="35"/>
  <c r="AM139" i="35" s="1"/>
  <c r="AS139" i="35" s="1"/>
  <c r="AT139" i="35" s="1"/>
  <c r="AK115" i="40"/>
  <c r="AM115" i="40" s="1"/>
  <c r="AS115" i="40" s="1"/>
  <c r="L120" i="40"/>
  <c r="N120" i="40" s="1"/>
  <c r="AQ120" i="40" s="1"/>
  <c r="Z115" i="40"/>
  <c r="AB115" i="40" s="1"/>
  <c r="B79" i="61" a="1"/>
  <c r="AK150" i="35"/>
  <c r="AM150" i="35" s="1"/>
  <c r="AS150" i="35" s="1"/>
  <c r="AT150" i="35" s="1"/>
  <c r="AK140" i="35"/>
  <c r="AM140" i="35" s="1"/>
  <c r="AS140" i="35" s="1"/>
  <c r="AT140" i="35" s="1"/>
  <c r="AK135" i="35"/>
  <c r="AM135" i="35" s="1"/>
  <c r="AS135" i="35" s="1"/>
  <c r="AT135" i="35" s="1"/>
  <c r="AK145" i="35"/>
  <c r="AM145" i="35" s="1"/>
  <c r="AS145" i="35" s="1"/>
  <c r="AT145" i="35" s="1"/>
  <c r="AR115" i="49"/>
  <c r="AT115" i="49" s="1"/>
  <c r="E21" i="49" s="1"/>
  <c r="AK120" i="49" s="1"/>
  <c r="AM120" i="49" s="1"/>
  <c r="AS120" i="49" s="1"/>
  <c r="AT120" i="49" s="1"/>
  <c r="E22" i="49" s="1"/>
  <c r="AK125" i="49" s="1"/>
  <c r="AM125" i="49" s="1"/>
  <c r="AS125" i="49" s="1"/>
  <c r="AT125" i="49" s="1"/>
  <c r="E23" i="49" s="1"/>
  <c r="AK130" i="49" s="1"/>
  <c r="AM130" i="49" s="1"/>
  <c r="AS130" i="49" s="1"/>
  <c r="AT130" i="49" s="1"/>
  <c r="E28" i="49" s="1"/>
  <c r="AR114" i="49"/>
  <c r="AT114" i="49" s="1"/>
  <c r="D21" i="49" s="1"/>
  <c r="AK119" i="49" s="1"/>
  <c r="AM119" i="49" s="1"/>
  <c r="AS119" i="49" s="1"/>
  <c r="AT119" i="49" s="1"/>
  <c r="D22" i="49" s="1"/>
  <c r="AK124" i="49" s="1"/>
  <c r="AM124" i="49" s="1"/>
  <c r="AS124" i="49" s="1"/>
  <c r="AT124" i="49" s="1"/>
  <c r="D23" i="49" s="1"/>
  <c r="AK129" i="49" s="1"/>
  <c r="AM129" i="49" s="1"/>
  <c r="AS129" i="49" s="1"/>
  <c r="AT129" i="49" s="1"/>
  <c r="D25" i="49" s="1"/>
  <c r="L120" i="31"/>
  <c r="N120" i="31" s="1"/>
  <c r="AQ120" i="31" s="1"/>
  <c r="Z115" i="31"/>
  <c r="AB115" i="31" s="1"/>
  <c r="AK115" i="31"/>
  <c r="AM115" i="31" s="1"/>
  <c r="AS115" i="31" s="1"/>
  <c r="Z114" i="39"/>
  <c r="AB114" i="39" s="1"/>
  <c r="AR114" i="39" s="1"/>
  <c r="L119" i="39"/>
  <c r="N119" i="39" s="1"/>
  <c r="AQ119" i="39" s="1"/>
  <c r="AK114" i="39"/>
  <c r="AM114" i="39" s="1"/>
  <c r="AS114" i="39" s="1"/>
  <c r="AK120" i="46"/>
  <c r="AM120" i="46" s="1"/>
  <c r="AS120" i="46" s="1"/>
  <c r="AT120" i="46" s="1"/>
  <c r="E22" i="46" s="1"/>
  <c r="AK125" i="46" s="1"/>
  <c r="AM125" i="46" s="1"/>
  <c r="AS125" i="46" s="1"/>
  <c r="AT125" i="46" s="1"/>
  <c r="E23" i="46" s="1"/>
  <c r="AK130" i="46" s="1"/>
  <c r="AM130" i="46" s="1"/>
  <c r="AS130" i="46" s="1"/>
  <c r="AT130" i="46" s="1"/>
  <c r="AR115" i="28"/>
  <c r="AT115" i="28" s="1"/>
  <c r="E21" i="28" s="1"/>
  <c r="AK120" i="28" s="1"/>
  <c r="AM120" i="28" s="1"/>
  <c r="AS120" i="28" s="1"/>
  <c r="AT120" i="28" s="1"/>
  <c r="E22" i="28" s="1"/>
  <c r="AK125" i="28" s="1"/>
  <c r="AM125" i="28" s="1"/>
  <c r="AS125" i="28" s="1"/>
  <c r="AT125" i="28" s="1"/>
  <c r="E23" i="28" s="1"/>
  <c r="AK130" i="28" s="1"/>
  <c r="AM130" i="28" s="1"/>
  <c r="AS130" i="28" s="1"/>
  <c r="AT130" i="28" s="1"/>
  <c r="E26" i="28" s="1"/>
  <c r="AK120" i="44"/>
  <c r="AM120" i="44" s="1"/>
  <c r="AS120" i="44" s="1"/>
  <c r="AT120" i="44" s="1"/>
  <c r="E22" i="44" s="1"/>
  <c r="AK125" i="44" s="1"/>
  <c r="AM125" i="44" s="1"/>
  <c r="AS125" i="44" s="1"/>
  <c r="AT125" i="44" s="1"/>
  <c r="E23" i="44" s="1"/>
  <c r="AK130" i="44" s="1"/>
  <c r="AM130" i="44" s="1"/>
  <c r="AS130" i="44" s="1"/>
  <c r="AT130" i="44" s="1"/>
  <c r="B73" i="61" a="1"/>
  <c r="V73" i="61" s="1"/>
  <c r="AV118" i="59"/>
  <c r="B102" i="58" s="1" a="1"/>
  <c r="D19" i="59"/>
  <c r="AR115" i="30"/>
  <c r="AT115" i="30" s="1"/>
  <c r="E21" i="30" s="1"/>
  <c r="AK120" i="30" s="1"/>
  <c r="AM120" i="30" s="1"/>
  <c r="AS120" i="30" s="1"/>
  <c r="AT120" i="30" s="1"/>
  <c r="E22" i="30" s="1"/>
  <c r="AK125" i="30" s="1"/>
  <c r="AM125" i="30" s="1"/>
  <c r="AS125" i="30" s="1"/>
  <c r="AT125" i="30" s="1"/>
  <c r="E23" i="30" s="1"/>
  <c r="AK130" i="30" s="1"/>
  <c r="AM130" i="30" s="1"/>
  <c r="AS130" i="30" s="1"/>
  <c r="AT130" i="30" s="1"/>
  <c r="E28" i="30" s="1"/>
  <c r="AR114" i="30"/>
  <c r="AT114" i="30" s="1"/>
  <c r="D21" i="30" s="1"/>
  <c r="AK119" i="30" s="1"/>
  <c r="AM119" i="30" s="1"/>
  <c r="AS119" i="30" s="1"/>
  <c r="AT119" i="30" s="1"/>
  <c r="D22" i="30" s="1"/>
  <c r="AK124" i="30" s="1"/>
  <c r="AM124" i="30" s="1"/>
  <c r="AS124" i="30" s="1"/>
  <c r="AT124" i="30" s="1"/>
  <c r="D23" i="30" s="1"/>
  <c r="AK129" i="30" s="1"/>
  <c r="AM129" i="30" s="1"/>
  <c r="AS129" i="30" s="1"/>
  <c r="AT129" i="30" s="1"/>
  <c r="AK120" i="47"/>
  <c r="AM120" i="47" s="1"/>
  <c r="AS120" i="47" s="1"/>
  <c r="AT120" i="47" s="1"/>
  <c r="E22" i="47" s="1"/>
  <c r="AK125" i="47" s="1"/>
  <c r="AM125" i="47" s="1"/>
  <c r="AS125" i="47" s="1"/>
  <c r="AT125" i="47" s="1"/>
  <c r="E23" i="47" s="1"/>
  <c r="AK130" i="47" s="1"/>
  <c r="AM130" i="47" s="1"/>
  <c r="AS130" i="47" s="1"/>
  <c r="AT130" i="47" s="1"/>
  <c r="AR114" i="28"/>
  <c r="AT114" i="28" s="1"/>
  <c r="D21" i="28" s="1"/>
  <c r="AK119" i="28" s="1"/>
  <c r="AM119" i="28" s="1"/>
  <c r="AS119" i="28" s="1"/>
  <c r="AT119" i="28" s="1"/>
  <c r="D22" i="28" s="1"/>
  <c r="AK124" i="28" s="1"/>
  <c r="AM124" i="28" s="1"/>
  <c r="AS124" i="28" s="1"/>
  <c r="AT124" i="28" s="1"/>
  <c r="D23" i="28" s="1"/>
  <c r="AK129" i="28" s="1"/>
  <c r="AM129" i="28" s="1"/>
  <c r="AS129" i="28" s="1"/>
  <c r="AT129" i="28" s="1"/>
  <c r="AR115" i="29"/>
  <c r="AT115" i="29" s="1"/>
  <c r="E21" i="29" s="1"/>
  <c r="AR114" i="29"/>
  <c r="AT114" i="29" s="1"/>
  <c r="D21" i="29" s="1"/>
  <c r="AK144" i="47"/>
  <c r="AM144" i="47" s="1"/>
  <c r="AS144" i="47" s="1"/>
  <c r="AT144" i="47" s="1"/>
  <c r="AK149" i="47"/>
  <c r="AM149" i="47" s="1"/>
  <c r="AS149" i="47" s="1"/>
  <c r="AT149" i="47" s="1"/>
  <c r="AK139" i="47"/>
  <c r="AM139" i="47" s="1"/>
  <c r="AS139" i="47" s="1"/>
  <c r="AT139" i="47" s="1"/>
  <c r="AK134" i="47"/>
  <c r="AM134" i="47" s="1"/>
  <c r="AS134" i="47" s="1"/>
  <c r="AT134" i="47" s="1"/>
  <c r="L132" i="59"/>
  <c r="N132" i="59" s="1"/>
  <c r="AS132" i="59" s="1"/>
  <c r="AM126" i="59"/>
  <c r="AO126" i="59" s="1"/>
  <c r="AU126" i="59" s="1"/>
  <c r="Z126" i="59"/>
  <c r="AB126" i="59" s="1"/>
  <c r="D28" i="30"/>
  <c r="D25" i="30"/>
  <c r="D26" i="30"/>
  <c r="D27" i="30"/>
  <c r="D24" i="30"/>
  <c r="I83" i="61"/>
  <c r="R83" i="61"/>
  <c r="L83" i="61"/>
  <c r="Y83" i="61"/>
  <c r="U83" i="61"/>
  <c r="K83" i="61"/>
  <c r="M83" i="61"/>
  <c r="O83" i="61"/>
  <c r="H83" i="61"/>
  <c r="E83" i="61"/>
  <c r="V83" i="61"/>
  <c r="T83" i="61"/>
  <c r="N83" i="61"/>
  <c r="J83" i="61"/>
  <c r="S83" i="61"/>
  <c r="Z83" i="61"/>
  <c r="X83" i="61"/>
  <c r="Q83" i="61"/>
  <c r="B83" i="61"/>
  <c r="G83" i="61"/>
  <c r="W83" i="61"/>
  <c r="P83" i="61"/>
  <c r="C83" i="61"/>
  <c r="D83" i="61"/>
  <c r="F83" i="61"/>
  <c r="L119" i="31"/>
  <c r="N119" i="31" s="1"/>
  <c r="AQ119" i="31" s="1"/>
  <c r="Z114" i="31"/>
  <c r="AB114" i="31" s="1"/>
  <c r="AK114" i="31"/>
  <c r="AM114" i="31" s="1"/>
  <c r="AS114" i="31" s="1"/>
  <c r="AK144" i="26"/>
  <c r="AM144" i="26" s="1"/>
  <c r="AS144" i="26" s="1"/>
  <c r="AT144" i="26" s="1"/>
  <c r="AK149" i="26"/>
  <c r="AM149" i="26" s="1"/>
  <c r="AS149" i="26" s="1"/>
  <c r="AT149" i="26" s="1"/>
  <c r="AK139" i="26"/>
  <c r="AM139" i="26" s="1"/>
  <c r="AS139" i="26" s="1"/>
  <c r="AT139" i="26" s="1"/>
  <c r="AK134" i="26"/>
  <c r="AM134" i="26" s="1"/>
  <c r="AS134" i="26" s="1"/>
  <c r="AT134" i="26" s="1"/>
  <c r="AR109" i="43"/>
  <c r="AT109" i="43" s="1"/>
  <c r="D20" i="43" s="1"/>
  <c r="AK114" i="43" s="1"/>
  <c r="AM114" i="43" s="1"/>
  <c r="AS114" i="43" s="1"/>
  <c r="AR110" i="43"/>
  <c r="AT110" i="43" s="1"/>
  <c r="E20" i="43" s="1"/>
  <c r="B94" i="61" a="1"/>
  <c r="AK119" i="44"/>
  <c r="AM119" i="44" s="1"/>
  <c r="AS119" i="44" s="1"/>
  <c r="AT119" i="44" s="1"/>
  <c r="D22" i="44" s="1"/>
  <c r="AK124" i="44" s="1"/>
  <c r="AM124" i="44" s="1"/>
  <c r="AS124" i="44" s="1"/>
  <c r="AT124" i="44" s="1"/>
  <c r="D23" i="44" s="1"/>
  <c r="AK129" i="44" s="1"/>
  <c r="AM129" i="44" s="1"/>
  <c r="AS129" i="44" s="1"/>
  <c r="AT129" i="44" s="1"/>
  <c r="L120" i="33"/>
  <c r="N120" i="33" s="1"/>
  <c r="AQ120" i="33" s="1"/>
  <c r="Z115" i="33"/>
  <c r="AB115" i="33" s="1"/>
  <c r="AK115" i="33"/>
  <c r="AM115" i="33" s="1"/>
  <c r="AS115" i="33" s="1"/>
  <c r="AC78" i="61"/>
  <c r="AJ78" i="61"/>
  <c r="AP78" i="61"/>
  <c r="AN78" i="61"/>
  <c r="AG78" i="61"/>
  <c r="AF78" i="61"/>
  <c r="AK78" i="61"/>
  <c r="AX78" i="61"/>
  <c r="AU78" i="61"/>
  <c r="AM78" i="61"/>
  <c r="BA78" i="61"/>
  <c r="AV78" i="61"/>
  <c r="AZ78" i="61"/>
  <c r="AW78" i="61"/>
  <c r="AS78" i="61"/>
  <c r="AD78" i="61"/>
  <c r="AH78" i="61"/>
  <c r="AI78" i="61"/>
  <c r="AO78" i="61"/>
  <c r="AQ78" i="61"/>
  <c r="AE78" i="61"/>
  <c r="AL78" i="61"/>
  <c r="AT78" i="61"/>
  <c r="AY78" i="61"/>
  <c r="AR78" i="61"/>
  <c r="AT114" i="39" l="1"/>
  <c r="D21" i="39" s="1"/>
  <c r="AK119" i="39" s="1"/>
  <c r="AM119" i="39" s="1"/>
  <c r="AS119" i="39" s="1"/>
  <c r="AT119" i="39" s="1"/>
  <c r="D22" i="39" s="1"/>
  <c r="AK124" i="39" s="1"/>
  <c r="AM124" i="39" s="1"/>
  <c r="AS124" i="39" s="1"/>
  <c r="AT124" i="39" s="1"/>
  <c r="D23" i="39" s="1"/>
  <c r="AK129" i="39" s="1"/>
  <c r="AM129" i="39" s="1"/>
  <c r="AS129" i="39" s="1"/>
  <c r="AT129" i="39" s="1"/>
  <c r="D27" i="39" s="1"/>
  <c r="AC85" i="61" a="1"/>
  <c r="AW85" i="61" s="1"/>
  <c r="E26" i="30"/>
  <c r="E25" i="30"/>
  <c r="E27" i="30"/>
  <c r="E24" i="30"/>
  <c r="E25" i="28"/>
  <c r="E27" i="28"/>
  <c r="Z114" i="43"/>
  <c r="AB114" i="43" s="1"/>
  <c r="E24" i="28"/>
  <c r="D24" i="49"/>
  <c r="D26" i="49"/>
  <c r="E26" i="49"/>
  <c r="D27" i="49"/>
  <c r="E27" i="49"/>
  <c r="E25" i="49"/>
  <c r="E25" i="26"/>
  <c r="E28" i="26"/>
  <c r="E27" i="26"/>
  <c r="E24" i="26"/>
  <c r="E26" i="26"/>
  <c r="E28" i="28"/>
  <c r="D28" i="49"/>
  <c r="E24" i="49"/>
  <c r="L120" i="34"/>
  <c r="N120" i="34" s="1"/>
  <c r="AQ120" i="34" s="1"/>
  <c r="Z115" i="34"/>
  <c r="AB115" i="34" s="1"/>
  <c r="AK115" i="34"/>
  <c r="AM115" i="34" s="1"/>
  <c r="AS115" i="34" s="1"/>
  <c r="AZ79" i="61"/>
  <c r="AX79" i="61"/>
  <c r="AJ79" i="61"/>
  <c r="AT79" i="61"/>
  <c r="AH79" i="61"/>
  <c r="AM79" i="61"/>
  <c r="AR79" i="61"/>
  <c r="AP79" i="61"/>
  <c r="AL79" i="61"/>
  <c r="AC79" i="61"/>
  <c r="AF79" i="61"/>
  <c r="AQ79" i="61"/>
  <c r="AG79" i="61"/>
  <c r="AE79" i="61"/>
  <c r="AO79" i="61"/>
  <c r="AK79" i="61"/>
  <c r="AI79" i="61"/>
  <c r="BA79" i="61"/>
  <c r="AY79" i="61"/>
  <c r="AV79" i="61"/>
  <c r="AS79" i="61"/>
  <c r="AW79" i="61"/>
  <c r="AD79" i="61"/>
  <c r="AU79" i="61"/>
  <c r="AN79" i="61"/>
  <c r="D28" i="39"/>
  <c r="D26" i="39"/>
  <c r="D25" i="39"/>
  <c r="L119" i="43"/>
  <c r="N119" i="43" s="1"/>
  <c r="AQ119" i="43" s="1"/>
  <c r="D26" i="38"/>
  <c r="D27" i="38"/>
  <c r="D25" i="38"/>
  <c r="D24" i="38"/>
  <c r="D28" i="38"/>
  <c r="AK144" i="49"/>
  <c r="AM144" i="49" s="1"/>
  <c r="AS144" i="49" s="1"/>
  <c r="AT144" i="49" s="1"/>
  <c r="AK149" i="49"/>
  <c r="AM149" i="49" s="1"/>
  <c r="AS149" i="49" s="1"/>
  <c r="AT149" i="49" s="1"/>
  <c r="AK134" i="49"/>
  <c r="AM134" i="49" s="1"/>
  <c r="AS134" i="49" s="1"/>
  <c r="AT134" i="49" s="1"/>
  <c r="AK139" i="49"/>
  <c r="AM139" i="49" s="1"/>
  <c r="AS139" i="49" s="1"/>
  <c r="AT139" i="49" s="1"/>
  <c r="AR115" i="39"/>
  <c r="AT115" i="39" s="1"/>
  <c r="E21" i="39" s="1"/>
  <c r="AK120" i="39" s="1"/>
  <c r="AM120" i="39" s="1"/>
  <c r="AS120" i="39" s="1"/>
  <c r="AT120" i="39" s="1"/>
  <c r="E22" i="39" s="1"/>
  <c r="AK125" i="39" s="1"/>
  <c r="AM125" i="39" s="1"/>
  <c r="AS125" i="39" s="1"/>
  <c r="AT125" i="39" s="1"/>
  <c r="E23" i="39" s="1"/>
  <c r="AK130" i="39" s="1"/>
  <c r="AM130" i="39" s="1"/>
  <c r="AS130" i="39" s="1"/>
  <c r="AT130" i="39" s="1"/>
  <c r="AF85" i="61"/>
  <c r="AC85" i="61"/>
  <c r="AM85" i="61"/>
  <c r="AL85" i="61"/>
  <c r="AQ85" i="61"/>
  <c r="AD85" i="61"/>
  <c r="AG85" i="61"/>
  <c r="AT85" i="61"/>
  <c r="AU85" i="61"/>
  <c r="AR85" i="61"/>
  <c r="BA85" i="61"/>
  <c r="AS85" i="61"/>
  <c r="AV85" i="61"/>
  <c r="AI85" i="61"/>
  <c r="AY85" i="61"/>
  <c r="AZ85" i="61"/>
  <c r="AJ85" i="61"/>
  <c r="AK85" i="61"/>
  <c r="AH85" i="61"/>
  <c r="AO85" i="61"/>
  <c r="AN85" i="61"/>
  <c r="AE85" i="61"/>
  <c r="AK150" i="38"/>
  <c r="AM150" i="38" s="1"/>
  <c r="AS150" i="38" s="1"/>
  <c r="AT150" i="38" s="1"/>
  <c r="AK135" i="38"/>
  <c r="AM135" i="38" s="1"/>
  <c r="AS135" i="38" s="1"/>
  <c r="AT135" i="38" s="1"/>
  <c r="AC82" i="61" a="1"/>
  <c r="AK140" i="38"/>
  <c r="AM140" i="38" s="1"/>
  <c r="AS140" i="38" s="1"/>
  <c r="AT140" i="38" s="1"/>
  <c r="AK145" i="38"/>
  <c r="AM145" i="38" s="1"/>
  <c r="AS145" i="38" s="1"/>
  <c r="AT145" i="38" s="1"/>
  <c r="E25" i="44"/>
  <c r="E24" i="44"/>
  <c r="E26" i="44"/>
  <c r="E28" i="44"/>
  <c r="E27" i="44"/>
  <c r="U79" i="61"/>
  <c r="V79" i="61"/>
  <c r="J79" i="61"/>
  <c r="M79" i="61"/>
  <c r="S79" i="61"/>
  <c r="N79" i="61"/>
  <c r="B79" i="61"/>
  <c r="O79" i="61"/>
  <c r="T79" i="61"/>
  <c r="Y79" i="61"/>
  <c r="H79" i="61"/>
  <c r="R79" i="61"/>
  <c r="L79" i="61"/>
  <c r="W79" i="61"/>
  <c r="G79" i="61"/>
  <c r="K79" i="61"/>
  <c r="X79" i="61"/>
  <c r="E79" i="61"/>
  <c r="I79" i="61"/>
  <c r="D79" i="61"/>
  <c r="C79" i="61"/>
  <c r="Z79" i="61"/>
  <c r="P79" i="61"/>
  <c r="F79" i="61"/>
  <c r="Q79" i="61"/>
  <c r="P85" i="61"/>
  <c r="T85" i="61"/>
  <c r="R85" i="61"/>
  <c r="L85" i="61"/>
  <c r="K85" i="61"/>
  <c r="B85" i="61"/>
  <c r="W85" i="61"/>
  <c r="S85" i="61"/>
  <c r="D85" i="61"/>
  <c r="O85" i="61"/>
  <c r="Q85" i="61"/>
  <c r="M85" i="61"/>
  <c r="I85" i="61"/>
  <c r="N85" i="61"/>
  <c r="J85" i="61"/>
  <c r="Z85" i="61"/>
  <c r="H85" i="61"/>
  <c r="C85" i="61"/>
  <c r="F85" i="61"/>
  <c r="U85" i="61"/>
  <c r="G85" i="61"/>
  <c r="E85" i="61"/>
  <c r="V85" i="61"/>
  <c r="Y85" i="61"/>
  <c r="X85" i="61"/>
  <c r="AR115" i="40"/>
  <c r="AT115" i="40" s="1"/>
  <c r="E21" i="40" s="1"/>
  <c r="AR114" i="40"/>
  <c r="AT114" i="40" s="1"/>
  <c r="D21" i="40" s="1"/>
  <c r="AK119" i="40" s="1"/>
  <c r="AM119" i="40" s="1"/>
  <c r="AS119" i="40" s="1"/>
  <c r="AT119" i="40" s="1"/>
  <c r="D22" i="40" s="1"/>
  <c r="AK124" i="40" s="1"/>
  <c r="AM124" i="40" s="1"/>
  <c r="AS124" i="40" s="1"/>
  <c r="AT124" i="40" s="1"/>
  <c r="D23" i="40" s="1"/>
  <c r="AK129" i="40" s="1"/>
  <c r="AM129" i="40" s="1"/>
  <c r="AS129" i="40" s="1"/>
  <c r="AT129" i="40" s="1"/>
  <c r="AK145" i="49"/>
  <c r="AM145" i="49" s="1"/>
  <c r="AS145" i="49" s="1"/>
  <c r="AT145" i="49" s="1"/>
  <c r="AK135" i="49"/>
  <c r="AM135" i="49" s="1"/>
  <c r="AS135" i="49" s="1"/>
  <c r="AT135" i="49" s="1"/>
  <c r="AK150" i="49"/>
  <c r="AM150" i="49" s="1"/>
  <c r="AS150" i="49" s="1"/>
  <c r="AT150" i="49" s="1"/>
  <c r="AC71" i="61" a="1"/>
  <c r="AK140" i="49"/>
  <c r="AM140" i="49" s="1"/>
  <c r="AS140" i="49" s="1"/>
  <c r="AT140" i="49" s="1"/>
  <c r="E28" i="46"/>
  <c r="E24" i="46"/>
  <c r="E27" i="46"/>
  <c r="E25" i="46"/>
  <c r="E26" i="46"/>
  <c r="V74" i="61"/>
  <c r="D74" i="61"/>
  <c r="I74" i="61"/>
  <c r="N74" i="61"/>
  <c r="X74" i="61"/>
  <c r="B74" i="61"/>
  <c r="L74" i="61"/>
  <c r="M74" i="61"/>
  <c r="K74" i="61"/>
  <c r="R74" i="61"/>
  <c r="Z74" i="61"/>
  <c r="Q74" i="61"/>
  <c r="P74" i="61"/>
  <c r="O74" i="61"/>
  <c r="T74" i="61"/>
  <c r="G74" i="61"/>
  <c r="W74" i="61"/>
  <c r="Y74" i="61"/>
  <c r="S74" i="61"/>
  <c r="F74" i="61"/>
  <c r="E74" i="61"/>
  <c r="U74" i="61"/>
  <c r="H74" i="61"/>
  <c r="C74" i="61"/>
  <c r="J74" i="61"/>
  <c r="G73" i="61"/>
  <c r="M73" i="61"/>
  <c r="T73" i="61"/>
  <c r="E73" i="61"/>
  <c r="S73" i="61"/>
  <c r="X73" i="61"/>
  <c r="H73" i="61"/>
  <c r="L73" i="61"/>
  <c r="J73" i="61"/>
  <c r="F73" i="61"/>
  <c r="B73" i="61"/>
  <c r="I73" i="61"/>
  <c r="AK119" i="29"/>
  <c r="AM119" i="29" s="1"/>
  <c r="AS119" i="29" s="1"/>
  <c r="AT119" i="29" s="1"/>
  <c r="D22" i="29" s="1"/>
  <c r="AK124" i="29" s="1"/>
  <c r="AM124" i="29" s="1"/>
  <c r="AS124" i="29" s="1"/>
  <c r="AT124" i="29" s="1"/>
  <c r="D23" i="29" s="1"/>
  <c r="AK129" i="29" s="1"/>
  <c r="AM129" i="29" s="1"/>
  <c r="AS129" i="29" s="1"/>
  <c r="AT129" i="29" s="1"/>
  <c r="K73" i="61"/>
  <c r="Z73" i="61"/>
  <c r="R73" i="61"/>
  <c r="P73" i="61"/>
  <c r="N73" i="61"/>
  <c r="Q73" i="61"/>
  <c r="W73" i="61"/>
  <c r="Y73" i="61"/>
  <c r="U73" i="61"/>
  <c r="D73" i="61"/>
  <c r="C73" i="61"/>
  <c r="O73" i="61"/>
  <c r="AK134" i="30"/>
  <c r="AM134" i="30" s="1"/>
  <c r="AS134" i="30" s="1"/>
  <c r="AT134" i="30" s="1"/>
  <c r="AK139" i="30"/>
  <c r="AM139" i="30" s="1"/>
  <c r="AS139" i="30" s="1"/>
  <c r="AT139" i="30" s="1"/>
  <c r="AK144" i="30"/>
  <c r="AM144" i="30" s="1"/>
  <c r="AS144" i="30" s="1"/>
  <c r="AT144" i="30" s="1"/>
  <c r="AK149" i="30"/>
  <c r="AM149" i="30" s="1"/>
  <c r="AS149" i="30" s="1"/>
  <c r="AT149" i="30" s="1"/>
  <c r="B90" i="61" a="1"/>
  <c r="AK140" i="28"/>
  <c r="AM140" i="28" s="1"/>
  <c r="AS140" i="28" s="1"/>
  <c r="AT140" i="28" s="1"/>
  <c r="AK150" i="28"/>
  <c r="AM150" i="28" s="1"/>
  <c r="AS150" i="28" s="1"/>
  <c r="AT150" i="28" s="1"/>
  <c r="AC92" i="61" a="1"/>
  <c r="AK135" i="28"/>
  <c r="AM135" i="28" s="1"/>
  <c r="AS135" i="28" s="1"/>
  <c r="AT135" i="28" s="1"/>
  <c r="AK145" i="28"/>
  <c r="AM145" i="28" s="1"/>
  <c r="AS145" i="28" s="1"/>
  <c r="AT145" i="28" s="1"/>
  <c r="D28" i="28"/>
  <c r="D27" i="28"/>
  <c r="D25" i="28"/>
  <c r="D26" i="28"/>
  <c r="D24" i="28"/>
  <c r="Z125" i="59"/>
  <c r="AB125" i="59" s="1"/>
  <c r="L131" i="59"/>
  <c r="N131" i="59" s="1"/>
  <c r="AS131" i="59" s="1"/>
  <c r="AM125" i="59"/>
  <c r="AO125" i="59" s="1"/>
  <c r="AU125" i="59" s="1"/>
  <c r="AK120" i="29"/>
  <c r="AM120" i="29" s="1"/>
  <c r="AS120" i="29" s="1"/>
  <c r="AT120" i="29" s="1"/>
  <c r="E22" i="29" s="1"/>
  <c r="AK125" i="29" s="1"/>
  <c r="AM125" i="29" s="1"/>
  <c r="AS125" i="29" s="1"/>
  <c r="AT125" i="29" s="1"/>
  <c r="E23" i="29" s="1"/>
  <c r="AK130" i="29" s="1"/>
  <c r="AM130" i="29" s="1"/>
  <c r="AS130" i="29" s="1"/>
  <c r="AT130" i="29" s="1"/>
  <c r="E28" i="47"/>
  <c r="E24" i="47"/>
  <c r="E25" i="47"/>
  <c r="E27" i="47"/>
  <c r="E26" i="47"/>
  <c r="H103" i="58"/>
  <c r="I104" i="58"/>
  <c r="H102" i="58"/>
  <c r="J102" i="58"/>
  <c r="G105" i="58"/>
  <c r="M102" i="58"/>
  <c r="B105" i="58"/>
  <c r="M104" i="58"/>
  <c r="M106" i="58"/>
  <c r="K106" i="58"/>
  <c r="D104" i="58"/>
  <c r="F106" i="58"/>
  <c r="E104" i="58"/>
  <c r="J105" i="58"/>
  <c r="H105" i="58"/>
  <c r="I105" i="58"/>
  <c r="K105" i="58"/>
  <c r="F105" i="58"/>
  <c r="L105" i="58"/>
  <c r="I103" i="58"/>
  <c r="D105" i="58"/>
  <c r="H104" i="58"/>
  <c r="F103" i="58"/>
  <c r="C103" i="58"/>
  <c r="E102" i="58"/>
  <c r="I106" i="58"/>
  <c r="D102" i="58"/>
  <c r="B103" i="58"/>
  <c r="G104" i="58"/>
  <c r="B104" i="58"/>
  <c r="B106" i="58"/>
  <c r="E105" i="58"/>
  <c r="E103" i="58"/>
  <c r="F104" i="58"/>
  <c r="G106" i="58"/>
  <c r="C106" i="58"/>
  <c r="J106" i="58"/>
  <c r="M103" i="58"/>
  <c r="B102" i="58"/>
  <c r="C104" i="58"/>
  <c r="J104" i="58"/>
  <c r="L106" i="58"/>
  <c r="M105" i="58"/>
  <c r="E106" i="58"/>
  <c r="F102" i="58"/>
  <c r="K104" i="58"/>
  <c r="L103" i="58"/>
  <c r="C105" i="58"/>
  <c r="I102" i="58"/>
  <c r="L102" i="58"/>
  <c r="J103" i="58"/>
  <c r="G103" i="58"/>
  <c r="L104" i="58"/>
  <c r="D106" i="58"/>
  <c r="D103" i="58"/>
  <c r="C102" i="58"/>
  <c r="G102" i="58"/>
  <c r="K103" i="58"/>
  <c r="H106" i="58"/>
  <c r="K102" i="58"/>
  <c r="AR115" i="33"/>
  <c r="AT115" i="33" s="1"/>
  <c r="E21" i="33" s="1"/>
  <c r="AR114" i="33"/>
  <c r="AT114" i="33" s="1"/>
  <c r="D21" i="33" s="1"/>
  <c r="I94" i="61"/>
  <c r="T94" i="61"/>
  <c r="C94" i="61"/>
  <c r="K94" i="61"/>
  <c r="N94" i="61"/>
  <c r="F94" i="61"/>
  <c r="B94" i="61"/>
  <c r="Q94" i="61"/>
  <c r="W94" i="61"/>
  <c r="U94" i="61"/>
  <c r="P94" i="61"/>
  <c r="O94" i="61"/>
  <c r="Z94" i="61"/>
  <c r="V94" i="61"/>
  <c r="Y94" i="61"/>
  <c r="H94" i="61"/>
  <c r="J94" i="61"/>
  <c r="L94" i="61"/>
  <c r="G94" i="61"/>
  <c r="M94" i="61"/>
  <c r="S94" i="61"/>
  <c r="E94" i="61"/>
  <c r="R94" i="61"/>
  <c r="X94" i="61"/>
  <c r="D94" i="61"/>
  <c r="Z115" i="43"/>
  <c r="AB115" i="43" s="1"/>
  <c r="AR115" i="43" s="1"/>
  <c r="L120" i="43"/>
  <c r="N120" i="43" s="1"/>
  <c r="AQ120" i="43" s="1"/>
  <c r="AK115" i="43"/>
  <c r="AM115" i="43" s="1"/>
  <c r="AS115" i="43" s="1"/>
  <c r="E26" i="39"/>
  <c r="E24" i="39"/>
  <c r="E25" i="39"/>
  <c r="E27" i="39"/>
  <c r="E28" i="39"/>
  <c r="AK145" i="30"/>
  <c r="AM145" i="30" s="1"/>
  <c r="AS145" i="30" s="1"/>
  <c r="AT145" i="30" s="1"/>
  <c r="AK150" i="30"/>
  <c r="AM150" i="30" s="1"/>
  <c r="AS150" i="30" s="1"/>
  <c r="AT150" i="30" s="1"/>
  <c r="AK140" i="30"/>
  <c r="AM140" i="30" s="1"/>
  <c r="AS140" i="30" s="1"/>
  <c r="AT140" i="30" s="1"/>
  <c r="AK135" i="30"/>
  <c r="AM135" i="30" s="1"/>
  <c r="AS135" i="30" s="1"/>
  <c r="AT135" i="30" s="1"/>
  <c r="AC90" i="61" a="1"/>
  <c r="AR114" i="31"/>
  <c r="AT114" i="31" s="1"/>
  <c r="D21" i="31" s="1"/>
  <c r="AR115" i="31"/>
  <c r="AT115" i="31" s="1"/>
  <c r="E21" i="31" s="1"/>
  <c r="D26" i="44"/>
  <c r="D27" i="44"/>
  <c r="D24" i="44"/>
  <c r="D28" i="44"/>
  <c r="D25" i="44"/>
  <c r="AP85" i="61" l="1"/>
  <c r="AX85" i="61"/>
  <c r="B82" i="61" a="1"/>
  <c r="B71" i="61" a="1"/>
  <c r="D24" i="39"/>
  <c r="AC94" i="61" a="1"/>
  <c r="AM94" i="61" s="1"/>
  <c r="AK140" i="26"/>
  <c r="AM140" i="26" s="1"/>
  <c r="AS140" i="26" s="1"/>
  <c r="AT140" i="26" s="1"/>
  <c r="AK135" i="26"/>
  <c r="AM135" i="26" s="1"/>
  <c r="AS135" i="26" s="1"/>
  <c r="AT135" i="26" s="1"/>
  <c r="AK145" i="26"/>
  <c r="AM145" i="26" s="1"/>
  <c r="AS145" i="26" s="1"/>
  <c r="AT145" i="26" s="1"/>
  <c r="AK150" i="26"/>
  <c r="AM150" i="26" s="1"/>
  <c r="AS150" i="26" s="1"/>
  <c r="AT150" i="26" s="1"/>
  <c r="AR114" i="34"/>
  <c r="AT114" i="34" s="1"/>
  <c r="D21" i="34" s="1"/>
  <c r="AK119" i="34" s="1"/>
  <c r="AM119" i="34" s="1"/>
  <c r="AS119" i="34" s="1"/>
  <c r="AT119" i="34" s="1"/>
  <c r="D22" i="34" s="1"/>
  <c r="AK124" i="34" s="1"/>
  <c r="AM124" i="34" s="1"/>
  <c r="AS124" i="34" s="1"/>
  <c r="AT124" i="34" s="1"/>
  <c r="D23" i="34" s="1"/>
  <c r="AK129" i="34" s="1"/>
  <c r="AM129" i="34" s="1"/>
  <c r="AS129" i="34" s="1"/>
  <c r="AT129" i="34" s="1"/>
  <c r="AR115" i="34"/>
  <c r="AT115" i="34" s="1"/>
  <c r="E21" i="34" s="1"/>
  <c r="AC76" i="61" a="1"/>
  <c r="E26" i="29"/>
  <c r="E27" i="29"/>
  <c r="E28" i="29"/>
  <c r="E24" i="29"/>
  <c r="E25" i="29"/>
  <c r="F71" i="61"/>
  <c r="M71" i="61"/>
  <c r="E71" i="61"/>
  <c r="P71" i="61"/>
  <c r="Y71" i="61"/>
  <c r="W71" i="61"/>
  <c r="V71" i="61"/>
  <c r="K71" i="61"/>
  <c r="O71" i="61"/>
  <c r="Q71" i="61"/>
  <c r="J71" i="61"/>
  <c r="D71" i="61"/>
  <c r="T71" i="61"/>
  <c r="S71" i="61"/>
  <c r="L71" i="61"/>
  <c r="N71" i="61"/>
  <c r="Z71" i="61"/>
  <c r="X71" i="61"/>
  <c r="G71" i="61"/>
  <c r="R71" i="61"/>
  <c r="U71" i="61"/>
  <c r="C71" i="61"/>
  <c r="H71" i="61"/>
  <c r="B71" i="61"/>
  <c r="I71" i="61"/>
  <c r="K82" i="61"/>
  <c r="C82" i="61"/>
  <c r="T82" i="61"/>
  <c r="S82" i="61"/>
  <c r="B82" i="61"/>
  <c r="M82" i="61"/>
  <c r="V82" i="61"/>
  <c r="I82" i="61"/>
  <c r="Z82" i="61"/>
  <c r="W82" i="61"/>
  <c r="U82" i="61"/>
  <c r="E82" i="61"/>
  <c r="G82" i="61"/>
  <c r="R82" i="61"/>
  <c r="P82" i="61"/>
  <c r="D82" i="61"/>
  <c r="H82" i="61"/>
  <c r="L82" i="61"/>
  <c r="N82" i="61"/>
  <c r="Q82" i="61"/>
  <c r="Y82" i="61"/>
  <c r="O82" i="61"/>
  <c r="X82" i="61"/>
  <c r="F82" i="61"/>
  <c r="J82" i="61"/>
  <c r="AK145" i="46"/>
  <c r="AM145" i="46" s="1"/>
  <c r="AS145" i="46" s="1"/>
  <c r="AT145" i="46" s="1"/>
  <c r="AK140" i="46"/>
  <c r="AM140" i="46" s="1"/>
  <c r="AS140" i="46" s="1"/>
  <c r="AT140" i="46" s="1"/>
  <c r="AK150" i="46"/>
  <c r="AM150" i="46" s="1"/>
  <c r="AS150" i="46" s="1"/>
  <c r="AT150" i="46" s="1"/>
  <c r="AK135" i="46"/>
  <c r="AM135" i="46" s="1"/>
  <c r="AS135" i="46" s="1"/>
  <c r="AT135" i="46" s="1"/>
  <c r="AS71" i="61"/>
  <c r="AO71" i="61"/>
  <c r="AP71" i="61"/>
  <c r="AZ71" i="61"/>
  <c r="AG71" i="61"/>
  <c r="AH71" i="61"/>
  <c r="AF71" i="61"/>
  <c r="AM71" i="61"/>
  <c r="AD71" i="61"/>
  <c r="AL71" i="61"/>
  <c r="AU71" i="61"/>
  <c r="AE71" i="61"/>
  <c r="BA71" i="61"/>
  <c r="AR71" i="61"/>
  <c r="AV71" i="61"/>
  <c r="AJ71" i="61"/>
  <c r="AQ71" i="61"/>
  <c r="AC71" i="61"/>
  <c r="AX71" i="61"/>
  <c r="AK71" i="61"/>
  <c r="AT71" i="61"/>
  <c r="AW71" i="61"/>
  <c r="AI71" i="61"/>
  <c r="AY71" i="61"/>
  <c r="AN71" i="61"/>
  <c r="AC74" i="61" a="1"/>
  <c r="AK135" i="44"/>
  <c r="AM135" i="44" s="1"/>
  <c r="AS135" i="44" s="1"/>
  <c r="AT135" i="44" s="1"/>
  <c r="AK145" i="44"/>
  <c r="AM145" i="44" s="1"/>
  <c r="AS145" i="44" s="1"/>
  <c r="AT145" i="44" s="1"/>
  <c r="AK140" i="44"/>
  <c r="AM140" i="44" s="1"/>
  <c r="AS140" i="44" s="1"/>
  <c r="AT140" i="44" s="1"/>
  <c r="AK150" i="44"/>
  <c r="AM150" i="44" s="1"/>
  <c r="AS150" i="44" s="1"/>
  <c r="AT150" i="44" s="1"/>
  <c r="D25" i="29"/>
  <c r="D28" i="29"/>
  <c r="D24" i="29"/>
  <c r="D26" i="29"/>
  <c r="D27" i="29"/>
  <c r="AK120" i="40"/>
  <c r="AM120" i="40" s="1"/>
  <c r="AS120" i="40" s="1"/>
  <c r="AT120" i="40" s="1"/>
  <c r="E22" i="40" s="1"/>
  <c r="AK125" i="40" s="1"/>
  <c r="AM125" i="40" s="1"/>
  <c r="AS125" i="40" s="1"/>
  <c r="AT125" i="40" s="1"/>
  <c r="E23" i="40" s="1"/>
  <c r="AK130" i="40" s="1"/>
  <c r="AM130" i="40" s="1"/>
  <c r="AS130" i="40" s="1"/>
  <c r="AT130" i="40" s="1"/>
  <c r="BA82" i="61"/>
  <c r="AN82" i="61"/>
  <c r="AD82" i="61"/>
  <c r="AQ82" i="61"/>
  <c r="AY82" i="61"/>
  <c r="AT82" i="61"/>
  <c r="AW82" i="61"/>
  <c r="AF82" i="61"/>
  <c r="AH82" i="61"/>
  <c r="AZ82" i="61"/>
  <c r="AR82" i="61"/>
  <c r="AI82" i="61"/>
  <c r="AE82" i="61"/>
  <c r="AK82" i="61"/>
  <c r="AO82" i="61"/>
  <c r="AP82" i="61"/>
  <c r="AC82" i="61"/>
  <c r="AL82" i="61"/>
  <c r="AX82" i="61"/>
  <c r="AM82" i="61"/>
  <c r="AV82" i="61"/>
  <c r="AS82" i="61"/>
  <c r="AG82" i="61"/>
  <c r="AU82" i="61"/>
  <c r="AJ82" i="61"/>
  <c r="AK149" i="38"/>
  <c r="AM149" i="38" s="1"/>
  <c r="AS149" i="38" s="1"/>
  <c r="AT149" i="38" s="1"/>
  <c r="AK139" i="38"/>
  <c r="AM139" i="38" s="1"/>
  <c r="AS139" i="38" s="1"/>
  <c r="AT139" i="38" s="1"/>
  <c r="AK144" i="38"/>
  <c r="AM144" i="38" s="1"/>
  <c r="AS144" i="38" s="1"/>
  <c r="AT144" i="38" s="1"/>
  <c r="AK134" i="38"/>
  <c r="AM134" i="38" s="1"/>
  <c r="AS134" i="38" s="1"/>
  <c r="AT134" i="38" s="1"/>
  <c r="D28" i="40"/>
  <c r="D24" i="40"/>
  <c r="D27" i="40"/>
  <c r="D25" i="40"/>
  <c r="D26" i="40"/>
  <c r="B92" i="61" a="1"/>
  <c r="G92" i="61" s="1"/>
  <c r="AT115" i="43"/>
  <c r="E21" i="43" s="1"/>
  <c r="AK120" i="43" s="1"/>
  <c r="AM120" i="43" s="1"/>
  <c r="AS120" i="43" s="1"/>
  <c r="AT120" i="43" s="1"/>
  <c r="E22" i="43" s="1"/>
  <c r="AK125" i="43" s="1"/>
  <c r="AM125" i="43" s="1"/>
  <c r="AS125" i="43" s="1"/>
  <c r="AT125" i="43" s="1"/>
  <c r="E23" i="43" s="1"/>
  <c r="AK130" i="43" s="1"/>
  <c r="AM130" i="43" s="1"/>
  <c r="AS130" i="43" s="1"/>
  <c r="AT130" i="43" s="1"/>
  <c r="AC73" i="61" a="1"/>
  <c r="AZ73" i="61" s="1"/>
  <c r="AC76" i="61"/>
  <c r="AF76" i="61"/>
  <c r="AT76" i="61"/>
  <c r="AL76" i="61"/>
  <c r="AR76" i="61"/>
  <c r="AY76" i="61"/>
  <c r="AV76" i="61"/>
  <c r="AX76" i="61"/>
  <c r="AZ76" i="61"/>
  <c r="AE76" i="61"/>
  <c r="AM76" i="61"/>
  <c r="AD76" i="61"/>
  <c r="AI76" i="61"/>
  <c r="AG76" i="61"/>
  <c r="AQ76" i="61"/>
  <c r="BA76" i="61"/>
  <c r="AJ76" i="61"/>
  <c r="AH76" i="61"/>
  <c r="AW76" i="61"/>
  <c r="AP76" i="61"/>
  <c r="AU76" i="61"/>
  <c r="AN76" i="61"/>
  <c r="AO76" i="61"/>
  <c r="AK76" i="61"/>
  <c r="AS76" i="61"/>
  <c r="C92" i="61"/>
  <c r="AK120" i="31"/>
  <c r="AM120" i="31" s="1"/>
  <c r="AS120" i="31" s="1"/>
  <c r="AT120" i="31" s="1"/>
  <c r="E22" i="31" s="1"/>
  <c r="AK125" i="31" s="1"/>
  <c r="AM125" i="31" s="1"/>
  <c r="AS125" i="31" s="1"/>
  <c r="AT125" i="31" s="1"/>
  <c r="E23" i="31" s="1"/>
  <c r="AK130" i="31" s="1"/>
  <c r="AM130" i="31" s="1"/>
  <c r="AS130" i="31" s="1"/>
  <c r="AT130" i="31" s="1"/>
  <c r="AN92" i="61"/>
  <c r="AL92" i="61"/>
  <c r="AZ92" i="61"/>
  <c r="AM92" i="61"/>
  <c r="AX92" i="61"/>
  <c r="AF92" i="61"/>
  <c r="AW92" i="61"/>
  <c r="AT92" i="61"/>
  <c r="AJ92" i="61"/>
  <c r="BA92" i="61"/>
  <c r="AQ92" i="61"/>
  <c r="AS92" i="61"/>
  <c r="AO92" i="61"/>
  <c r="AE92" i="61"/>
  <c r="AH92" i="61"/>
  <c r="AD92" i="61"/>
  <c r="AV92" i="61"/>
  <c r="AI92" i="61"/>
  <c r="AG92" i="61"/>
  <c r="AK92" i="61"/>
  <c r="AC92" i="61"/>
  <c r="AY92" i="61"/>
  <c r="AU92" i="61"/>
  <c r="AR92" i="61"/>
  <c r="AP92" i="61"/>
  <c r="AK140" i="47"/>
  <c r="AM140" i="47" s="1"/>
  <c r="AS140" i="47" s="1"/>
  <c r="AT140" i="47" s="1"/>
  <c r="AK135" i="47"/>
  <c r="AM135" i="47" s="1"/>
  <c r="AS135" i="47" s="1"/>
  <c r="AT135" i="47" s="1"/>
  <c r="AK145" i="47"/>
  <c r="AM145" i="47" s="1"/>
  <c r="AS145" i="47" s="1"/>
  <c r="AT145" i="47" s="1"/>
  <c r="AK150" i="47"/>
  <c r="AM150" i="47" s="1"/>
  <c r="AS150" i="47" s="1"/>
  <c r="AT150" i="47" s="1"/>
  <c r="AK134" i="28"/>
  <c r="AM134" i="28" s="1"/>
  <c r="AS134" i="28" s="1"/>
  <c r="AT134" i="28" s="1"/>
  <c r="AK139" i="28"/>
  <c r="AM139" i="28" s="1"/>
  <c r="AS139" i="28" s="1"/>
  <c r="AT139" i="28" s="1"/>
  <c r="AK149" i="28"/>
  <c r="AM149" i="28" s="1"/>
  <c r="AS149" i="28" s="1"/>
  <c r="AT149" i="28" s="1"/>
  <c r="AK144" i="28"/>
  <c r="AM144" i="28" s="1"/>
  <c r="AS144" i="28" s="1"/>
  <c r="AT144" i="28" s="1"/>
  <c r="AT126" i="59"/>
  <c r="AV126" i="59" s="1"/>
  <c r="E20" i="59" s="1"/>
  <c r="AT125" i="59"/>
  <c r="AV125" i="59" s="1"/>
  <c r="L90" i="61"/>
  <c r="U90" i="61"/>
  <c r="H90" i="61"/>
  <c r="Z90" i="61"/>
  <c r="S90" i="61"/>
  <c r="B90" i="61"/>
  <c r="K90" i="61"/>
  <c r="R90" i="61"/>
  <c r="M90" i="61"/>
  <c r="D90" i="61"/>
  <c r="G90" i="61"/>
  <c r="T90" i="61"/>
  <c r="F90" i="61"/>
  <c r="J90" i="61"/>
  <c r="P90" i="61"/>
  <c r="Y90" i="61"/>
  <c r="V90" i="61"/>
  <c r="X90" i="61"/>
  <c r="O90" i="61"/>
  <c r="Q90" i="61"/>
  <c r="I90" i="61"/>
  <c r="E90" i="61"/>
  <c r="N90" i="61"/>
  <c r="W90" i="61"/>
  <c r="C90" i="61"/>
  <c r="AC81" i="61" a="1"/>
  <c r="AM81" i="61" s="1"/>
  <c r="B76" i="61" a="1"/>
  <c r="Y76" i="61" s="1"/>
  <c r="AK119" i="33"/>
  <c r="AM119" i="33" s="1"/>
  <c r="AS119" i="33" s="1"/>
  <c r="AT119" i="33" s="1"/>
  <c r="D22" i="33" s="1"/>
  <c r="AK124" i="33" s="1"/>
  <c r="AM124" i="33" s="1"/>
  <c r="AS124" i="33" s="1"/>
  <c r="AT124" i="33" s="1"/>
  <c r="D23" i="33" s="1"/>
  <c r="AK129" i="33" s="1"/>
  <c r="AM129" i="33" s="1"/>
  <c r="AS129" i="33" s="1"/>
  <c r="AT129" i="33" s="1"/>
  <c r="AK120" i="33"/>
  <c r="AM120" i="33" s="1"/>
  <c r="AS120" i="33" s="1"/>
  <c r="AT120" i="33" s="1"/>
  <c r="E22" i="33" s="1"/>
  <c r="AK125" i="33" s="1"/>
  <c r="AM125" i="33" s="1"/>
  <c r="AS125" i="33" s="1"/>
  <c r="AT125" i="33" s="1"/>
  <c r="E23" i="33" s="1"/>
  <c r="AK130" i="33" s="1"/>
  <c r="AM130" i="33" s="1"/>
  <c r="AS130" i="33" s="1"/>
  <c r="AT130" i="33" s="1"/>
  <c r="AK149" i="44"/>
  <c r="AM149" i="44" s="1"/>
  <c r="AS149" i="44" s="1"/>
  <c r="AT149" i="44" s="1"/>
  <c r="AK139" i="44"/>
  <c r="AM139" i="44" s="1"/>
  <c r="AS139" i="44" s="1"/>
  <c r="AT139" i="44" s="1"/>
  <c r="AK134" i="44"/>
  <c r="AM134" i="44" s="1"/>
  <c r="AS134" i="44" s="1"/>
  <c r="AT134" i="44" s="1"/>
  <c r="AK144" i="44"/>
  <c r="AM144" i="44" s="1"/>
  <c r="AS144" i="44" s="1"/>
  <c r="AT144" i="44" s="1"/>
  <c r="AX90" i="61"/>
  <c r="AE90" i="61"/>
  <c r="AU90" i="61"/>
  <c r="AF90" i="61"/>
  <c r="AN90" i="61"/>
  <c r="AC90" i="61"/>
  <c r="AP90" i="61"/>
  <c r="AH90" i="61"/>
  <c r="AM90" i="61"/>
  <c r="BA90" i="61"/>
  <c r="AW90" i="61"/>
  <c r="AG90" i="61"/>
  <c r="AJ90" i="61"/>
  <c r="AS90" i="61"/>
  <c r="AY90" i="61"/>
  <c r="AI90" i="61"/>
  <c r="AT90" i="61"/>
  <c r="AZ90" i="61"/>
  <c r="AV90" i="61"/>
  <c r="AD90" i="61"/>
  <c r="AL90" i="61"/>
  <c r="AK90" i="61"/>
  <c r="AQ90" i="61"/>
  <c r="AR90" i="61"/>
  <c r="AO90" i="61"/>
  <c r="AK145" i="39"/>
  <c r="AM145" i="39" s="1"/>
  <c r="AS145" i="39" s="1"/>
  <c r="AT145" i="39" s="1"/>
  <c r="AK150" i="39"/>
  <c r="AM150" i="39" s="1"/>
  <c r="AS150" i="39" s="1"/>
  <c r="AT150" i="39" s="1"/>
  <c r="AK135" i="39"/>
  <c r="AM135" i="39" s="1"/>
  <c r="AS135" i="39" s="1"/>
  <c r="AT135" i="39" s="1"/>
  <c r="AK140" i="39"/>
  <c r="AM140" i="39" s="1"/>
  <c r="AS140" i="39" s="1"/>
  <c r="AT140" i="39" s="1"/>
  <c r="AR114" i="43"/>
  <c r="AT114" i="43" s="1"/>
  <c r="D21" i="43" s="1"/>
  <c r="AK119" i="31"/>
  <c r="AM119" i="31" s="1"/>
  <c r="AS119" i="31" s="1"/>
  <c r="AT119" i="31" s="1"/>
  <c r="D22" i="31" s="1"/>
  <c r="AK124" i="31" s="1"/>
  <c r="AM124" i="31" s="1"/>
  <c r="AS124" i="31" s="1"/>
  <c r="AT124" i="31" s="1"/>
  <c r="D23" i="31" s="1"/>
  <c r="AK129" i="31" s="1"/>
  <c r="AM129" i="31" s="1"/>
  <c r="AS129" i="31" s="1"/>
  <c r="AT129" i="31" s="1"/>
  <c r="AE81" i="61"/>
  <c r="AC91" i="61" l="1" a="1"/>
  <c r="BA91" i="61" s="1"/>
  <c r="S92" i="61"/>
  <c r="AK149" i="39"/>
  <c r="AM149" i="39" s="1"/>
  <c r="AS149" i="39" s="1"/>
  <c r="AT149" i="39" s="1"/>
  <c r="AK144" i="39"/>
  <c r="AM144" i="39" s="1"/>
  <c r="AS144" i="39" s="1"/>
  <c r="AT144" i="39" s="1"/>
  <c r="AK139" i="39"/>
  <c r="AM139" i="39" s="1"/>
  <c r="AS139" i="39" s="1"/>
  <c r="AT139" i="39" s="1"/>
  <c r="AK134" i="39"/>
  <c r="AM134" i="39" s="1"/>
  <c r="AS134" i="39" s="1"/>
  <c r="AT134" i="39" s="1"/>
  <c r="B81" i="61" a="1"/>
  <c r="AT94" i="61"/>
  <c r="AQ94" i="61"/>
  <c r="AW94" i="61"/>
  <c r="AI94" i="61"/>
  <c r="AN94" i="61"/>
  <c r="AL94" i="61"/>
  <c r="AJ94" i="61"/>
  <c r="BA94" i="61"/>
  <c r="AX94" i="61"/>
  <c r="AE94" i="61"/>
  <c r="AF94" i="61"/>
  <c r="AS94" i="61"/>
  <c r="B91" i="61" a="1"/>
  <c r="AH94" i="61"/>
  <c r="AZ94" i="61"/>
  <c r="AO94" i="61"/>
  <c r="AD94" i="61"/>
  <c r="AP94" i="61"/>
  <c r="AG94" i="61"/>
  <c r="AR94" i="61"/>
  <c r="AK94" i="61"/>
  <c r="AV94" i="61"/>
  <c r="AY94" i="61"/>
  <c r="AC94" i="61"/>
  <c r="AU94" i="61"/>
  <c r="AK81" i="61"/>
  <c r="AH81" i="61"/>
  <c r="AR81" i="61"/>
  <c r="AK120" i="34"/>
  <c r="AM120" i="34" s="1"/>
  <c r="AS120" i="34" s="1"/>
  <c r="AT120" i="34" s="1"/>
  <c r="E22" i="34" s="1"/>
  <c r="AK125" i="34" s="1"/>
  <c r="AM125" i="34" s="1"/>
  <c r="AS125" i="34" s="1"/>
  <c r="AT125" i="34" s="1"/>
  <c r="E23" i="34" s="1"/>
  <c r="AK130" i="34" s="1"/>
  <c r="AM130" i="34" s="1"/>
  <c r="AS130" i="34" s="1"/>
  <c r="AT130" i="34" s="1"/>
  <c r="BA81" i="61"/>
  <c r="D24" i="34"/>
  <c r="D27" i="34"/>
  <c r="D28" i="34"/>
  <c r="D25" i="34"/>
  <c r="D26" i="34"/>
  <c r="AC81" i="61"/>
  <c r="AL81" i="61"/>
  <c r="AK149" i="40"/>
  <c r="AM149" i="40" s="1"/>
  <c r="AS149" i="40" s="1"/>
  <c r="AT149" i="40" s="1"/>
  <c r="AK139" i="40"/>
  <c r="AM139" i="40" s="1"/>
  <c r="AS139" i="40" s="1"/>
  <c r="AT139" i="40" s="1"/>
  <c r="AK144" i="40"/>
  <c r="AM144" i="40" s="1"/>
  <c r="AS144" i="40" s="1"/>
  <c r="AT144" i="40" s="1"/>
  <c r="AK134" i="40"/>
  <c r="AM134" i="40" s="1"/>
  <c r="AS134" i="40" s="1"/>
  <c r="AT134" i="40" s="1"/>
  <c r="E24" i="40"/>
  <c r="E28" i="40"/>
  <c r="E27" i="40"/>
  <c r="E26" i="40"/>
  <c r="E25" i="40"/>
  <c r="AK145" i="29"/>
  <c r="AM145" i="29" s="1"/>
  <c r="AS145" i="29" s="1"/>
  <c r="AT145" i="29" s="1"/>
  <c r="AK140" i="29"/>
  <c r="AM140" i="29" s="1"/>
  <c r="AS140" i="29" s="1"/>
  <c r="AT140" i="29" s="1"/>
  <c r="AK135" i="29"/>
  <c r="AM135" i="29" s="1"/>
  <c r="AS135" i="29" s="1"/>
  <c r="AT135" i="29" s="1"/>
  <c r="AK150" i="29"/>
  <c r="AM150" i="29" s="1"/>
  <c r="AS150" i="29" s="1"/>
  <c r="AT150" i="29" s="1"/>
  <c r="U92" i="61"/>
  <c r="B80" i="61" a="1"/>
  <c r="E28" i="31"/>
  <c r="E25" i="31"/>
  <c r="E24" i="31"/>
  <c r="E27" i="31"/>
  <c r="E26" i="31"/>
  <c r="AK149" i="29"/>
  <c r="AM149" i="29" s="1"/>
  <c r="AS149" i="29" s="1"/>
  <c r="AT149" i="29" s="1"/>
  <c r="AK139" i="29"/>
  <c r="AM139" i="29" s="1"/>
  <c r="AS139" i="29" s="1"/>
  <c r="AT139" i="29" s="1"/>
  <c r="AK144" i="29"/>
  <c r="AM144" i="29" s="1"/>
  <c r="AS144" i="29" s="1"/>
  <c r="AT144" i="29" s="1"/>
  <c r="AK134" i="29"/>
  <c r="AM134" i="29" s="1"/>
  <c r="AS134" i="29" s="1"/>
  <c r="AT134" i="29" s="1"/>
  <c r="AM74" i="61"/>
  <c r="AC74" i="61"/>
  <c r="AN74" i="61"/>
  <c r="AO74" i="61"/>
  <c r="AV74" i="61"/>
  <c r="AZ74" i="61"/>
  <c r="AU74" i="61"/>
  <c r="AG74" i="61"/>
  <c r="AS74" i="61"/>
  <c r="AR74" i="61"/>
  <c r="BA74" i="61"/>
  <c r="AL74" i="61"/>
  <c r="AF74" i="61"/>
  <c r="AX74" i="61"/>
  <c r="AQ74" i="61"/>
  <c r="AD74" i="61"/>
  <c r="AH74" i="61"/>
  <c r="AJ74" i="61"/>
  <c r="AP74" i="61"/>
  <c r="AE74" i="61"/>
  <c r="AY74" i="61"/>
  <c r="AT74" i="61"/>
  <c r="AW74" i="61"/>
  <c r="AK74" i="61"/>
  <c r="AI74" i="61"/>
  <c r="AW81" i="61"/>
  <c r="AG81" i="61"/>
  <c r="AS81" i="61"/>
  <c r="T92" i="61"/>
  <c r="P92" i="61"/>
  <c r="AO81" i="61"/>
  <c r="AN81" i="61"/>
  <c r="AV81" i="61"/>
  <c r="AJ81" i="61"/>
  <c r="X92" i="61"/>
  <c r="L92" i="61"/>
  <c r="E92" i="61"/>
  <c r="AP81" i="61"/>
  <c r="AT81" i="61"/>
  <c r="AD81" i="61"/>
  <c r="AU81" i="61"/>
  <c r="AY81" i="61"/>
  <c r="V92" i="61"/>
  <c r="R92" i="61"/>
  <c r="Q92" i="61"/>
  <c r="AX81" i="61"/>
  <c r="AF81" i="61"/>
  <c r="AI81" i="61"/>
  <c r="AQ81" i="61"/>
  <c r="AZ81" i="61"/>
  <c r="AL91" i="61"/>
  <c r="W92" i="61"/>
  <c r="K92" i="61"/>
  <c r="Z92" i="61"/>
  <c r="H92" i="61"/>
  <c r="Y92" i="61"/>
  <c r="N92" i="61"/>
  <c r="D92" i="61"/>
  <c r="O92" i="61"/>
  <c r="J92" i="61"/>
  <c r="B92" i="61"/>
  <c r="F92" i="61"/>
  <c r="I92" i="61"/>
  <c r="M92" i="61"/>
  <c r="AQ91" i="61"/>
  <c r="AW73" i="61"/>
  <c r="AG91" i="61"/>
  <c r="BA73" i="61"/>
  <c r="AT91" i="61"/>
  <c r="AM73" i="61"/>
  <c r="AH91" i="61"/>
  <c r="AU73" i="61"/>
  <c r="AP91" i="61"/>
  <c r="AN91" i="61"/>
  <c r="AR73" i="61"/>
  <c r="AE73" i="61"/>
  <c r="AU91" i="61"/>
  <c r="AX91" i="61"/>
  <c r="AL73" i="61"/>
  <c r="AT73" i="61"/>
  <c r="AC73" i="61"/>
  <c r="AE91" i="61"/>
  <c r="AC91" i="61"/>
  <c r="AK91" i="61"/>
  <c r="AK73" i="61"/>
  <c r="AV73" i="61"/>
  <c r="AJ73" i="61"/>
  <c r="AP73" i="61"/>
  <c r="AV91" i="61"/>
  <c r="AO91" i="61"/>
  <c r="AS91" i="61"/>
  <c r="AJ91" i="61"/>
  <c r="AD91" i="61"/>
  <c r="AN73" i="61"/>
  <c r="AG73" i="61"/>
  <c r="AY73" i="61"/>
  <c r="AH73" i="61"/>
  <c r="AX73" i="61"/>
  <c r="AW91" i="61"/>
  <c r="AM91" i="61"/>
  <c r="AI91" i="61"/>
  <c r="AR91" i="61"/>
  <c r="AF91" i="61"/>
  <c r="AI73" i="61"/>
  <c r="AD73" i="61"/>
  <c r="AF73" i="61"/>
  <c r="AQ73" i="61"/>
  <c r="AO73" i="61"/>
  <c r="AS73" i="61"/>
  <c r="AZ91" i="61"/>
  <c r="AY91" i="61"/>
  <c r="D91" i="61"/>
  <c r="B91" i="61"/>
  <c r="J91" i="61"/>
  <c r="S91" i="61"/>
  <c r="X91" i="61"/>
  <c r="W91" i="61"/>
  <c r="Q91" i="61"/>
  <c r="U91" i="61"/>
  <c r="G91" i="61"/>
  <c r="H91" i="61"/>
  <c r="K91" i="61"/>
  <c r="Z91" i="61"/>
  <c r="E91" i="61"/>
  <c r="R91" i="61"/>
  <c r="L91" i="61"/>
  <c r="P91" i="61"/>
  <c r="O91" i="61"/>
  <c r="Y91" i="61"/>
  <c r="V91" i="61"/>
  <c r="T91" i="61"/>
  <c r="I91" i="61"/>
  <c r="M91" i="61"/>
  <c r="C91" i="61"/>
  <c r="N91" i="61"/>
  <c r="F91" i="61"/>
  <c r="AV124" i="59"/>
  <c r="B108" i="58" s="1" a="1"/>
  <c r="D20" i="59"/>
  <c r="Z132" i="59"/>
  <c r="AB132" i="59" s="1"/>
  <c r="L138" i="59"/>
  <c r="N138" i="59" s="1"/>
  <c r="AS138" i="59" s="1"/>
  <c r="AM132" i="59"/>
  <c r="AO132" i="59" s="1"/>
  <c r="AU132" i="59" s="1"/>
  <c r="R76" i="61"/>
  <c r="E76" i="61"/>
  <c r="D76" i="61"/>
  <c r="M76" i="61"/>
  <c r="U76" i="61"/>
  <c r="X76" i="61"/>
  <c r="P76" i="61"/>
  <c r="S76" i="61"/>
  <c r="J76" i="61"/>
  <c r="O76" i="61"/>
  <c r="T76" i="61"/>
  <c r="G76" i="61"/>
  <c r="V76" i="61"/>
  <c r="K76" i="61"/>
  <c r="L76" i="61"/>
  <c r="Z76" i="61"/>
  <c r="Q76" i="61"/>
  <c r="H76" i="61"/>
  <c r="B76" i="61"/>
  <c r="C76" i="61"/>
  <c r="F76" i="61"/>
  <c r="N76" i="61"/>
  <c r="I76" i="61"/>
  <c r="W76" i="61"/>
  <c r="D28" i="31"/>
  <c r="D25" i="31"/>
  <c r="D27" i="31"/>
  <c r="D24" i="31"/>
  <c r="D26" i="31"/>
  <c r="E26" i="33"/>
  <c r="E28" i="33"/>
  <c r="E25" i="33"/>
  <c r="E27" i="33"/>
  <c r="E24" i="33"/>
  <c r="D24" i="33"/>
  <c r="D27" i="33"/>
  <c r="D26" i="33"/>
  <c r="D28" i="33"/>
  <c r="D25" i="33"/>
  <c r="AK119" i="43"/>
  <c r="AM119" i="43" s="1"/>
  <c r="AS119" i="43" s="1"/>
  <c r="AT119" i="43" s="1"/>
  <c r="D22" i="43" s="1"/>
  <c r="AK124" i="43" s="1"/>
  <c r="AM124" i="43" s="1"/>
  <c r="AS124" i="43" s="1"/>
  <c r="AT124" i="43" s="1"/>
  <c r="D23" i="43" s="1"/>
  <c r="AK129" i="43" s="1"/>
  <c r="AM129" i="43" s="1"/>
  <c r="AS129" i="43" s="1"/>
  <c r="AT129" i="43" s="1"/>
  <c r="E28" i="43"/>
  <c r="E25" i="43"/>
  <c r="E26" i="43"/>
  <c r="E24" i="43"/>
  <c r="E27" i="43"/>
  <c r="G81" i="61" l="1"/>
  <c r="M81" i="61"/>
  <c r="K81" i="61"/>
  <c r="B81" i="61"/>
  <c r="V81" i="61"/>
  <c r="W81" i="61"/>
  <c r="C81" i="61"/>
  <c r="H81" i="61"/>
  <c r="F81" i="61"/>
  <c r="J81" i="61"/>
  <c r="X81" i="61"/>
  <c r="R81" i="61"/>
  <c r="U81" i="61"/>
  <c r="L81" i="61"/>
  <c r="Q81" i="61"/>
  <c r="P81" i="61"/>
  <c r="O81" i="61"/>
  <c r="Z81" i="61"/>
  <c r="T81" i="61"/>
  <c r="N81" i="61"/>
  <c r="D81" i="61"/>
  <c r="E81" i="61"/>
  <c r="I81" i="61"/>
  <c r="S81" i="61"/>
  <c r="Y81" i="61"/>
  <c r="E27" i="34"/>
  <c r="E28" i="34"/>
  <c r="E24" i="34"/>
  <c r="E25" i="34"/>
  <c r="E26" i="34"/>
  <c r="AK144" i="34"/>
  <c r="AM144" i="34" s="1"/>
  <c r="AS144" i="34" s="1"/>
  <c r="AT144" i="34" s="1"/>
  <c r="AK134" i="34"/>
  <c r="AM134" i="34" s="1"/>
  <c r="AS134" i="34" s="1"/>
  <c r="AT134" i="34" s="1"/>
  <c r="AK149" i="34"/>
  <c r="AM149" i="34" s="1"/>
  <c r="AS149" i="34" s="1"/>
  <c r="AT149" i="34" s="1"/>
  <c r="B86" i="61" a="1"/>
  <c r="AK139" i="34"/>
  <c r="AM139" i="34" s="1"/>
  <c r="AS139" i="34" s="1"/>
  <c r="AT139" i="34" s="1"/>
  <c r="AC89" i="61" a="1"/>
  <c r="AD89" i="61" s="1"/>
  <c r="V80" i="61"/>
  <c r="T80" i="61"/>
  <c r="C80" i="61"/>
  <c r="O80" i="61"/>
  <c r="N80" i="61"/>
  <c r="L80" i="61"/>
  <c r="K80" i="61"/>
  <c r="S80" i="61"/>
  <c r="J80" i="61"/>
  <c r="W80" i="61"/>
  <c r="D80" i="61"/>
  <c r="B80" i="61"/>
  <c r="Z80" i="61"/>
  <c r="H80" i="61"/>
  <c r="Q80" i="61"/>
  <c r="U80" i="61"/>
  <c r="R80" i="61"/>
  <c r="M80" i="61"/>
  <c r="I80" i="61"/>
  <c r="F80" i="61"/>
  <c r="X80" i="61"/>
  <c r="E80" i="61"/>
  <c r="G80" i="61"/>
  <c r="P80" i="61"/>
  <c r="Y80" i="61"/>
  <c r="AK145" i="31"/>
  <c r="AM145" i="31" s="1"/>
  <c r="AS145" i="31" s="1"/>
  <c r="AT145" i="31" s="1"/>
  <c r="AK135" i="31"/>
  <c r="AM135" i="31" s="1"/>
  <c r="AS135" i="31" s="1"/>
  <c r="AT135" i="31" s="1"/>
  <c r="AK150" i="31"/>
  <c r="AM150" i="31" s="1"/>
  <c r="AS150" i="31" s="1"/>
  <c r="AT150" i="31" s="1"/>
  <c r="AK140" i="31"/>
  <c r="AM140" i="31" s="1"/>
  <c r="AS140" i="31" s="1"/>
  <c r="AT140" i="31" s="1"/>
  <c r="AK135" i="40"/>
  <c r="AM135" i="40" s="1"/>
  <c r="AS135" i="40" s="1"/>
  <c r="AT135" i="40" s="1"/>
  <c r="AK140" i="40"/>
  <c r="AM140" i="40" s="1"/>
  <c r="AS140" i="40" s="1"/>
  <c r="AT140" i="40" s="1"/>
  <c r="AK145" i="40"/>
  <c r="AM145" i="40" s="1"/>
  <c r="AS145" i="40" s="1"/>
  <c r="AT145" i="40" s="1"/>
  <c r="AK150" i="40"/>
  <c r="AM150" i="40" s="1"/>
  <c r="AS150" i="40" s="1"/>
  <c r="AT150" i="40" s="1"/>
  <c r="AC80" i="61" a="1"/>
  <c r="L137" i="59"/>
  <c r="N137" i="59" s="1"/>
  <c r="AS137" i="59" s="1"/>
  <c r="Z131" i="59"/>
  <c r="AB131" i="59" s="1"/>
  <c r="AM131" i="59"/>
  <c r="AO131" i="59" s="1"/>
  <c r="AU131" i="59" s="1"/>
  <c r="M112" i="58"/>
  <c r="C111" i="58"/>
  <c r="E110" i="58"/>
  <c r="L110" i="58"/>
  <c r="B109" i="58"/>
  <c r="D108" i="58"/>
  <c r="F111" i="58"/>
  <c r="I109" i="58"/>
  <c r="J110" i="58"/>
  <c r="G110" i="58"/>
  <c r="K109" i="58"/>
  <c r="D110" i="58"/>
  <c r="K110" i="58"/>
  <c r="G108" i="58"/>
  <c r="H110" i="58"/>
  <c r="L112" i="58"/>
  <c r="M110" i="58"/>
  <c r="H112" i="58"/>
  <c r="D109" i="58"/>
  <c r="F109" i="58"/>
  <c r="C110" i="58"/>
  <c r="J109" i="58"/>
  <c r="M108" i="58"/>
  <c r="J112" i="58"/>
  <c r="I108" i="58"/>
  <c r="K112" i="58"/>
  <c r="I111" i="58"/>
  <c r="C108" i="58"/>
  <c r="B110" i="58"/>
  <c r="L108" i="58"/>
  <c r="K111" i="58"/>
  <c r="L109" i="58"/>
  <c r="G111" i="58"/>
  <c r="D112" i="58"/>
  <c r="E112" i="58"/>
  <c r="I112" i="58"/>
  <c r="B112" i="58"/>
  <c r="F112" i="58"/>
  <c r="L111" i="58"/>
  <c r="F108" i="58"/>
  <c r="H109" i="58"/>
  <c r="D111" i="58"/>
  <c r="J108" i="58"/>
  <c r="G112" i="58"/>
  <c r="C112" i="58"/>
  <c r="E109" i="58"/>
  <c r="K108" i="58"/>
  <c r="B108" i="58"/>
  <c r="G109" i="58"/>
  <c r="M109" i="58"/>
  <c r="H111" i="58"/>
  <c r="M111" i="58"/>
  <c r="E111" i="58"/>
  <c r="F110" i="58"/>
  <c r="B111" i="58"/>
  <c r="H108" i="58"/>
  <c r="C109" i="58"/>
  <c r="I110" i="58"/>
  <c r="J111" i="58"/>
  <c r="E108" i="58"/>
  <c r="B89" i="61" a="1"/>
  <c r="S89" i="61" s="1"/>
  <c r="B87" i="61" a="1"/>
  <c r="I87" i="61" s="1"/>
  <c r="AC87" i="61" a="1"/>
  <c r="AY87" i="61" s="1"/>
  <c r="AC77" i="61" a="1"/>
  <c r="AK135" i="43"/>
  <c r="AM135" i="43" s="1"/>
  <c r="AS135" i="43" s="1"/>
  <c r="AT135" i="43" s="1"/>
  <c r="AK145" i="43"/>
  <c r="AM145" i="43" s="1"/>
  <c r="AS145" i="43" s="1"/>
  <c r="AT145" i="43" s="1"/>
  <c r="AK140" i="43"/>
  <c r="AM140" i="43" s="1"/>
  <c r="AS140" i="43" s="1"/>
  <c r="AT140" i="43" s="1"/>
  <c r="AK150" i="43"/>
  <c r="AM150" i="43" s="1"/>
  <c r="AS150" i="43" s="1"/>
  <c r="AT150" i="43" s="1"/>
  <c r="AK144" i="31"/>
  <c r="AM144" i="31" s="1"/>
  <c r="AS144" i="31" s="1"/>
  <c r="AT144" i="31" s="1"/>
  <c r="AK134" i="31"/>
  <c r="AM134" i="31" s="1"/>
  <c r="AS134" i="31" s="1"/>
  <c r="AT134" i="31" s="1"/>
  <c r="AK149" i="31"/>
  <c r="AM149" i="31" s="1"/>
  <c r="AS149" i="31" s="1"/>
  <c r="AT149" i="31" s="1"/>
  <c r="AK139" i="31"/>
  <c r="AM139" i="31" s="1"/>
  <c r="AS139" i="31" s="1"/>
  <c r="AT139" i="31" s="1"/>
  <c r="D25" i="43"/>
  <c r="D27" i="43"/>
  <c r="D28" i="43"/>
  <c r="D24" i="43"/>
  <c r="D26" i="43"/>
  <c r="AK144" i="33"/>
  <c r="AM144" i="33" s="1"/>
  <c r="AS144" i="33" s="1"/>
  <c r="AT144" i="33" s="1"/>
  <c r="AK149" i="33"/>
  <c r="AM149" i="33" s="1"/>
  <c r="AS149" i="33" s="1"/>
  <c r="AT149" i="33" s="1"/>
  <c r="AK134" i="33"/>
  <c r="AM134" i="33" s="1"/>
  <c r="AS134" i="33" s="1"/>
  <c r="AT134" i="33" s="1"/>
  <c r="AK139" i="33"/>
  <c r="AM139" i="33" s="1"/>
  <c r="AS139" i="33" s="1"/>
  <c r="AT139" i="33" s="1"/>
  <c r="AK150" i="33"/>
  <c r="AM150" i="33" s="1"/>
  <c r="AS150" i="33" s="1"/>
  <c r="AT150" i="33" s="1"/>
  <c r="AK135" i="33"/>
  <c r="AM135" i="33" s="1"/>
  <c r="AS135" i="33" s="1"/>
  <c r="AT135" i="33" s="1"/>
  <c r="AK140" i="33"/>
  <c r="AM140" i="33" s="1"/>
  <c r="AS140" i="33" s="1"/>
  <c r="AT140" i="33" s="1"/>
  <c r="AK145" i="33"/>
  <c r="AM145" i="33" s="1"/>
  <c r="AS145" i="33" s="1"/>
  <c r="AT145" i="33" s="1"/>
  <c r="AY89" i="61" l="1"/>
  <c r="AH89" i="61"/>
  <c r="BA89" i="61"/>
  <c r="AJ89" i="61"/>
  <c r="AM89" i="61"/>
  <c r="AL89" i="61"/>
  <c r="AS89" i="61"/>
  <c r="AP89" i="61"/>
  <c r="AI89" i="61"/>
  <c r="AF89" i="61"/>
  <c r="AV89" i="61"/>
  <c r="AK89" i="61"/>
  <c r="AE89" i="61"/>
  <c r="AO89" i="61"/>
  <c r="AN89" i="61"/>
  <c r="AU89" i="61"/>
  <c r="AC89" i="61"/>
  <c r="AZ89" i="61"/>
  <c r="AX89" i="61"/>
  <c r="AQ89" i="61"/>
  <c r="AT89" i="61"/>
  <c r="AG89" i="61"/>
  <c r="AW89" i="61"/>
  <c r="AR89" i="61"/>
  <c r="AK140" i="34"/>
  <c r="AM140" i="34" s="1"/>
  <c r="AS140" i="34" s="1"/>
  <c r="AT140" i="34" s="1"/>
  <c r="AK135" i="34"/>
  <c r="AM135" i="34" s="1"/>
  <c r="AS135" i="34" s="1"/>
  <c r="AT135" i="34" s="1"/>
  <c r="AK145" i="34"/>
  <c r="AM145" i="34" s="1"/>
  <c r="AS145" i="34" s="1"/>
  <c r="AT145" i="34" s="1"/>
  <c r="AK150" i="34"/>
  <c r="AM150" i="34" s="1"/>
  <c r="AS150" i="34" s="1"/>
  <c r="AT150" i="34" s="1"/>
  <c r="K86" i="61"/>
  <c r="Z86" i="61"/>
  <c r="G86" i="61"/>
  <c r="L86" i="61"/>
  <c r="Y86" i="61"/>
  <c r="J86" i="61"/>
  <c r="E86" i="61"/>
  <c r="I86" i="61"/>
  <c r="T86" i="61"/>
  <c r="H86" i="61"/>
  <c r="R86" i="61"/>
  <c r="S86" i="61"/>
  <c r="O86" i="61"/>
  <c r="M86" i="61"/>
  <c r="P86" i="61"/>
  <c r="C86" i="61"/>
  <c r="Q86" i="61"/>
  <c r="B86" i="61"/>
  <c r="X86" i="61"/>
  <c r="F86" i="61"/>
  <c r="N86" i="61"/>
  <c r="V86" i="61"/>
  <c r="D86" i="61"/>
  <c r="U86" i="61"/>
  <c r="W86" i="61"/>
  <c r="AC86" i="61" a="1"/>
  <c r="AI80" i="61"/>
  <c r="AQ80" i="61"/>
  <c r="AU80" i="61"/>
  <c r="AC80" i="61"/>
  <c r="AR80" i="61"/>
  <c r="AK80" i="61"/>
  <c r="AY80" i="61"/>
  <c r="AS80" i="61"/>
  <c r="AX80" i="61"/>
  <c r="AF80" i="61"/>
  <c r="AV80" i="61"/>
  <c r="AD80" i="61"/>
  <c r="AE80" i="61"/>
  <c r="AN80" i="61"/>
  <c r="AT80" i="61"/>
  <c r="AM80" i="61"/>
  <c r="AH80" i="61"/>
  <c r="AL80" i="61"/>
  <c r="AW80" i="61"/>
  <c r="AP80" i="61"/>
  <c r="AG80" i="61"/>
  <c r="AZ80" i="61"/>
  <c r="AJ80" i="61"/>
  <c r="BA80" i="61"/>
  <c r="AO80" i="61"/>
  <c r="AT132" i="59"/>
  <c r="AV132" i="59" s="1"/>
  <c r="E21" i="59" s="1"/>
  <c r="AM138" i="59" s="1"/>
  <c r="AO138" i="59" s="1"/>
  <c r="AU138" i="59" s="1"/>
  <c r="AV138" i="59" s="1"/>
  <c r="E22" i="59" s="1"/>
  <c r="AM144" i="59" s="1"/>
  <c r="AO144" i="59" s="1"/>
  <c r="AU144" i="59" s="1"/>
  <c r="AV144" i="59" s="1"/>
  <c r="E23" i="59" s="1"/>
  <c r="AM150" i="59" s="1"/>
  <c r="AO150" i="59" s="1"/>
  <c r="AU150" i="59" s="1"/>
  <c r="AV150" i="59" s="1"/>
  <c r="AT131" i="59"/>
  <c r="AV131" i="59" s="1"/>
  <c r="N89" i="61"/>
  <c r="K89" i="61"/>
  <c r="X89" i="61"/>
  <c r="I89" i="61"/>
  <c r="V89" i="61"/>
  <c r="J89" i="61"/>
  <c r="P89" i="61"/>
  <c r="Z89" i="61"/>
  <c r="G89" i="61"/>
  <c r="C89" i="61"/>
  <c r="U89" i="61"/>
  <c r="H89" i="61"/>
  <c r="Y89" i="61"/>
  <c r="E89" i="61"/>
  <c r="R89" i="61"/>
  <c r="W89" i="61"/>
  <c r="B89" i="61"/>
  <c r="D89" i="61"/>
  <c r="M89" i="61"/>
  <c r="F89" i="61"/>
  <c r="L89" i="61"/>
  <c r="O89" i="61"/>
  <c r="T89" i="61"/>
  <c r="Q89" i="61"/>
  <c r="BA87" i="61"/>
  <c r="AD87" i="61"/>
  <c r="G87" i="61"/>
  <c r="AX87" i="61"/>
  <c r="AW87" i="61"/>
  <c r="AE87" i="61"/>
  <c r="R87" i="61"/>
  <c r="AF87" i="61"/>
  <c r="AV87" i="61"/>
  <c r="Y87" i="61"/>
  <c r="AG87" i="61"/>
  <c r="AC87" i="61"/>
  <c r="AL87" i="61"/>
  <c r="C87" i="61"/>
  <c r="P87" i="61"/>
  <c r="AQ87" i="61"/>
  <c r="AU87" i="61"/>
  <c r="AM87" i="61"/>
  <c r="W87" i="61"/>
  <c r="AT87" i="61"/>
  <c r="AP87" i="61"/>
  <c r="AZ87" i="61"/>
  <c r="AJ87" i="61"/>
  <c r="AS87" i="61"/>
  <c r="AN87" i="61"/>
  <c r="N87" i="61"/>
  <c r="M87" i="61"/>
  <c r="B87" i="61"/>
  <c r="E87" i="61"/>
  <c r="J87" i="61"/>
  <c r="S87" i="61"/>
  <c r="Q87" i="61"/>
  <c r="AK87" i="61"/>
  <c r="AI87" i="61"/>
  <c r="AR87" i="61"/>
  <c r="AO87" i="61"/>
  <c r="AH87" i="61"/>
  <c r="F87" i="61"/>
  <c r="U87" i="61"/>
  <c r="O87" i="61"/>
  <c r="L87" i="61"/>
  <c r="D87" i="61"/>
  <c r="T87" i="61"/>
  <c r="V87" i="61"/>
  <c r="H87" i="61"/>
  <c r="K87" i="61"/>
  <c r="Z87" i="61"/>
  <c r="X87" i="61"/>
  <c r="BA77" i="61"/>
  <c r="AO77" i="61"/>
  <c r="AE77" i="61"/>
  <c r="AT77" i="61"/>
  <c r="AM77" i="61"/>
  <c r="AJ77" i="61"/>
  <c r="AC77" i="61"/>
  <c r="AI77" i="61"/>
  <c r="AH77" i="61"/>
  <c r="AN77" i="61"/>
  <c r="AV77" i="61"/>
  <c r="AD77" i="61"/>
  <c r="AS77" i="61"/>
  <c r="AX77" i="61"/>
  <c r="AY77" i="61"/>
  <c r="AF77" i="61"/>
  <c r="AZ77" i="61"/>
  <c r="AU77" i="61"/>
  <c r="AW77" i="61"/>
  <c r="AL77" i="61"/>
  <c r="AP77" i="61"/>
  <c r="AK77" i="61"/>
  <c r="AR77" i="61"/>
  <c r="AG77" i="61"/>
  <c r="AQ77" i="61"/>
  <c r="AK139" i="43"/>
  <c r="AM139" i="43" s="1"/>
  <c r="AS139" i="43" s="1"/>
  <c r="AT139" i="43" s="1"/>
  <c r="AK144" i="43"/>
  <c r="AM144" i="43" s="1"/>
  <c r="AS144" i="43" s="1"/>
  <c r="AT144" i="43" s="1"/>
  <c r="AK134" i="43"/>
  <c r="AM134" i="43" s="1"/>
  <c r="AS134" i="43" s="1"/>
  <c r="AT134" i="43" s="1"/>
  <c r="AK149" i="43"/>
  <c r="AM149" i="43" s="1"/>
  <c r="AS149" i="43" s="1"/>
  <c r="AT149" i="43" s="1"/>
  <c r="B77" i="61" a="1"/>
  <c r="AV86" i="61" l="1"/>
  <c r="AG86" i="61"/>
  <c r="AE86" i="61"/>
  <c r="AM86" i="61"/>
  <c r="AL86" i="61"/>
  <c r="AU86" i="61"/>
  <c r="AD86" i="61"/>
  <c r="AT86" i="61"/>
  <c r="AQ86" i="61"/>
  <c r="AZ86" i="61"/>
  <c r="AJ86" i="61"/>
  <c r="AC86" i="61"/>
  <c r="AN86" i="61"/>
  <c r="AW86" i="61"/>
  <c r="AI86" i="61"/>
  <c r="AO86" i="61"/>
  <c r="BA86" i="61"/>
  <c r="AR86" i="61"/>
  <c r="AK86" i="61"/>
  <c r="AH86" i="61"/>
  <c r="AY86" i="61"/>
  <c r="AP86" i="61"/>
  <c r="AF86" i="61"/>
  <c r="AX86" i="61"/>
  <c r="AS86" i="61"/>
  <c r="E24" i="59"/>
  <c r="E27" i="59"/>
  <c r="E25" i="59"/>
  <c r="E28" i="59"/>
  <c r="E26" i="59"/>
  <c r="AV130" i="59"/>
  <c r="B114" i="58" s="1" a="1"/>
  <c r="D21" i="59"/>
  <c r="AM137" i="59" s="1"/>
  <c r="AO137" i="59" s="1"/>
  <c r="AU137" i="59" s="1"/>
  <c r="AV137" i="59" s="1"/>
  <c r="K77" i="61"/>
  <c r="L77" i="61"/>
  <c r="S77" i="61"/>
  <c r="U77" i="61"/>
  <c r="Q77" i="61"/>
  <c r="D77" i="61"/>
  <c r="P77" i="61"/>
  <c r="E77" i="61"/>
  <c r="F77" i="61"/>
  <c r="J77" i="61"/>
  <c r="W77" i="61"/>
  <c r="H77" i="61"/>
  <c r="X77" i="61"/>
  <c r="V77" i="61"/>
  <c r="B77" i="61"/>
  <c r="C77" i="61"/>
  <c r="T77" i="61"/>
  <c r="G77" i="61"/>
  <c r="O77" i="61"/>
  <c r="M77" i="61"/>
  <c r="R77" i="61"/>
  <c r="N77" i="61"/>
  <c r="Y77" i="61"/>
  <c r="I77" i="61"/>
  <c r="Z77" i="61"/>
  <c r="D22" i="59" l="1"/>
  <c r="AM143" i="59" s="1"/>
  <c r="AO143" i="59" s="1"/>
  <c r="AU143" i="59" s="1"/>
  <c r="AV143" i="59" s="1"/>
  <c r="AV136" i="59"/>
  <c r="B120" i="58" s="1" a="1"/>
  <c r="G117" i="58"/>
  <c r="E114" i="58"/>
  <c r="L116" i="58"/>
  <c r="B115" i="58"/>
  <c r="J118" i="58"/>
  <c r="D115" i="58"/>
  <c r="B118" i="58"/>
  <c r="J115" i="58"/>
  <c r="L115" i="58"/>
  <c r="E118" i="58"/>
  <c r="H116" i="58"/>
  <c r="M117" i="58"/>
  <c r="E116" i="58"/>
  <c r="K114" i="58"/>
  <c r="B116" i="58"/>
  <c r="H115" i="58"/>
  <c r="J117" i="58"/>
  <c r="L118" i="58"/>
  <c r="E117" i="58"/>
  <c r="F117" i="58"/>
  <c r="C117" i="58"/>
  <c r="F114" i="58"/>
  <c r="J114" i="58"/>
  <c r="K115" i="58"/>
  <c r="L117" i="58"/>
  <c r="M118" i="58"/>
  <c r="C116" i="58"/>
  <c r="F118" i="58"/>
  <c r="H117" i="58"/>
  <c r="C118" i="58"/>
  <c r="J116" i="58"/>
  <c r="M116" i="58"/>
  <c r="I117" i="58"/>
  <c r="D116" i="58"/>
  <c r="M114" i="58"/>
  <c r="L114" i="58"/>
  <c r="G114" i="58"/>
  <c r="M115" i="58"/>
  <c r="K118" i="58"/>
  <c r="I116" i="58"/>
  <c r="D114" i="58"/>
  <c r="H114" i="58"/>
  <c r="G115" i="58"/>
  <c r="E115" i="58"/>
  <c r="D117" i="58"/>
  <c r="C114" i="58"/>
  <c r="K117" i="58"/>
  <c r="F116" i="58"/>
  <c r="D118" i="58"/>
  <c r="B117" i="58"/>
  <c r="C115" i="58"/>
  <c r="I118" i="58"/>
  <c r="F115" i="58"/>
  <c r="I114" i="58"/>
  <c r="G116" i="58"/>
  <c r="B114" i="58"/>
  <c r="I115" i="58"/>
  <c r="G118" i="58"/>
  <c r="K116" i="58"/>
  <c r="H118" i="58"/>
  <c r="AM162" i="59"/>
  <c r="AO162" i="59" s="1"/>
  <c r="AU162" i="59" s="1"/>
  <c r="AV162" i="59" s="1"/>
  <c r="AM168" i="59"/>
  <c r="AO168" i="59" s="1"/>
  <c r="AU168" i="59" s="1"/>
  <c r="AV168" i="59" s="1"/>
  <c r="AM174" i="59"/>
  <c r="AO174" i="59" s="1"/>
  <c r="AU174" i="59" s="1"/>
  <c r="AV174" i="59" s="1"/>
  <c r="AM156" i="59"/>
  <c r="AO156" i="59" s="1"/>
  <c r="AU156" i="59" s="1"/>
  <c r="AV156" i="59" s="1"/>
  <c r="M123" i="58" l="1"/>
  <c r="I121" i="58"/>
  <c r="G122" i="58"/>
  <c r="D120" i="58"/>
  <c r="M122" i="58"/>
  <c r="B120" i="58"/>
  <c r="L124" i="58"/>
  <c r="E120" i="58"/>
  <c r="F123" i="58"/>
  <c r="L121" i="58"/>
  <c r="B122" i="58"/>
  <c r="B121" i="58"/>
  <c r="G120" i="58"/>
  <c r="E123" i="58"/>
  <c r="C123" i="58"/>
  <c r="H122" i="58"/>
  <c r="C122" i="58"/>
  <c r="M124" i="58"/>
  <c r="F121" i="58"/>
  <c r="D121" i="58"/>
  <c r="K124" i="58"/>
  <c r="G121" i="58"/>
  <c r="K120" i="58"/>
  <c r="D123" i="58"/>
  <c r="J122" i="58"/>
  <c r="H120" i="58"/>
  <c r="H121" i="58"/>
  <c r="B124" i="58"/>
  <c r="E124" i="58"/>
  <c r="C120" i="58"/>
  <c r="F120" i="58"/>
  <c r="G124" i="58"/>
  <c r="K121" i="58"/>
  <c r="D124" i="58"/>
  <c r="M121" i="58"/>
  <c r="D122" i="58"/>
  <c r="I124" i="58"/>
  <c r="H123" i="58"/>
  <c r="J123" i="58"/>
  <c r="F124" i="58"/>
  <c r="I120" i="58"/>
  <c r="I123" i="58"/>
  <c r="J120" i="58"/>
  <c r="L123" i="58"/>
  <c r="K122" i="58"/>
  <c r="G123" i="58"/>
  <c r="K123" i="58"/>
  <c r="M120" i="58"/>
  <c r="L120" i="58"/>
  <c r="L122" i="58"/>
  <c r="H124" i="58"/>
  <c r="C121" i="58"/>
  <c r="E121" i="58"/>
  <c r="F122" i="58"/>
  <c r="C124" i="58"/>
  <c r="I122" i="58"/>
  <c r="B123" i="58"/>
  <c r="J121" i="58"/>
  <c r="E122" i="58"/>
  <c r="J124" i="58"/>
  <c r="AV142" i="59"/>
  <c r="B126" i="58" s="1" a="1"/>
  <c r="D23" i="59"/>
  <c r="AM149" i="59" s="1"/>
  <c r="AO149" i="59" s="1"/>
  <c r="AU149" i="59" s="1"/>
  <c r="AV149" i="59" s="1"/>
  <c r="D25" i="59" l="1"/>
  <c r="D28" i="59"/>
  <c r="D26" i="59"/>
  <c r="AV148" i="59"/>
  <c r="B132" i="58" s="1" a="1"/>
  <c r="D24" i="59"/>
  <c r="D27" i="59"/>
  <c r="L128" i="58"/>
  <c r="B126" i="58"/>
  <c r="J129" i="58"/>
  <c r="I127" i="58"/>
  <c r="D126" i="58"/>
  <c r="K128" i="58"/>
  <c r="E130" i="58"/>
  <c r="M127" i="58"/>
  <c r="K130" i="58"/>
  <c r="F127" i="58"/>
  <c r="F126" i="58"/>
  <c r="G129" i="58"/>
  <c r="B127" i="58"/>
  <c r="J130" i="58"/>
  <c r="L129" i="58"/>
  <c r="C129" i="58"/>
  <c r="B129" i="58"/>
  <c r="D129" i="58"/>
  <c r="M129" i="58"/>
  <c r="J127" i="58"/>
  <c r="F130" i="58"/>
  <c r="H128" i="58"/>
  <c r="J128" i="58"/>
  <c r="E126" i="58"/>
  <c r="L130" i="58"/>
  <c r="K129" i="58"/>
  <c r="H129" i="58"/>
  <c r="B128" i="58"/>
  <c r="D127" i="58"/>
  <c r="C127" i="58"/>
  <c r="M128" i="58"/>
  <c r="M126" i="58"/>
  <c r="F129" i="58"/>
  <c r="G130" i="58"/>
  <c r="D130" i="58"/>
  <c r="I129" i="58"/>
  <c r="B130" i="58"/>
  <c r="G126" i="58"/>
  <c r="I128" i="58"/>
  <c r="I130" i="58"/>
  <c r="C126" i="58"/>
  <c r="G127" i="58"/>
  <c r="K126" i="58"/>
  <c r="K127" i="58"/>
  <c r="J126" i="58"/>
  <c r="G128" i="58"/>
  <c r="C130" i="58"/>
  <c r="H130" i="58"/>
  <c r="E129" i="58"/>
  <c r="C128" i="58"/>
  <c r="H127" i="58"/>
  <c r="L127" i="58"/>
  <c r="D128" i="58"/>
  <c r="E127" i="58"/>
  <c r="H126" i="58"/>
  <c r="I126" i="58"/>
  <c r="L126" i="58"/>
  <c r="M130" i="58"/>
  <c r="E128" i="58"/>
  <c r="F128" i="58"/>
  <c r="I136" i="58" l="1"/>
  <c r="C134" i="58"/>
  <c r="K133" i="58"/>
  <c r="K136" i="58"/>
  <c r="C135" i="58"/>
  <c r="E134" i="58"/>
  <c r="J134" i="58"/>
  <c r="G135" i="58"/>
  <c r="G136" i="58"/>
  <c r="C132" i="58"/>
  <c r="D136" i="58"/>
  <c r="M133" i="58"/>
  <c r="F134" i="58"/>
  <c r="F136" i="58"/>
  <c r="D133" i="58"/>
  <c r="B135" i="58"/>
  <c r="I133" i="58"/>
  <c r="K132" i="58"/>
  <c r="C133" i="58"/>
  <c r="I132" i="58"/>
  <c r="G134" i="58"/>
  <c r="M135" i="58"/>
  <c r="H134" i="58"/>
  <c r="J133" i="58"/>
  <c r="B133" i="58"/>
  <c r="J135" i="58"/>
  <c r="K134" i="58"/>
  <c r="D135" i="58"/>
  <c r="H133" i="58"/>
  <c r="I135" i="58"/>
  <c r="H136" i="58"/>
  <c r="K135" i="58"/>
  <c r="L134" i="58"/>
  <c r="E132" i="58"/>
  <c r="E133" i="58"/>
  <c r="L135" i="58"/>
  <c r="H132" i="58"/>
  <c r="L132" i="58"/>
  <c r="L133" i="58"/>
  <c r="B134" i="58"/>
  <c r="M132" i="58"/>
  <c r="F133" i="58"/>
  <c r="M136" i="58"/>
  <c r="F135" i="58"/>
  <c r="I134" i="58"/>
  <c r="J136" i="58"/>
  <c r="G132" i="58"/>
  <c r="B136" i="58"/>
  <c r="E135" i="58"/>
  <c r="B132" i="58"/>
  <c r="D134" i="58"/>
  <c r="L136" i="58"/>
  <c r="G133" i="58"/>
  <c r="F132" i="58"/>
  <c r="C136" i="58"/>
  <c r="D132" i="58"/>
  <c r="H135" i="58"/>
  <c r="E136" i="58"/>
  <c r="J132" i="58"/>
  <c r="M134" i="58"/>
  <c r="AM155" i="59"/>
  <c r="AO155" i="59" s="1"/>
  <c r="AU155" i="59" s="1"/>
  <c r="AV155" i="59" s="1"/>
  <c r="AV154" i="59" s="1"/>
  <c r="B138" i="58" s="1" a="1"/>
  <c r="AM161" i="59"/>
  <c r="AO161" i="59" s="1"/>
  <c r="AU161" i="59" s="1"/>
  <c r="AV161" i="59" s="1"/>
  <c r="AV160" i="59" s="1"/>
  <c r="B144" i="58" s="1" a="1"/>
  <c r="AM173" i="59"/>
  <c r="AO173" i="59" s="1"/>
  <c r="AU173" i="59" s="1"/>
  <c r="AV173" i="59" s="1"/>
  <c r="AV172" i="59" s="1"/>
  <c r="B156" i="58" s="1" a="1"/>
  <c r="AM167" i="59"/>
  <c r="AO167" i="59" s="1"/>
  <c r="AU167" i="59" s="1"/>
  <c r="AV167" i="59" s="1"/>
  <c r="AV166" i="59" s="1"/>
  <c r="B150" i="58" s="1" a="1"/>
  <c r="G151" i="58" l="1"/>
  <c r="F150" i="58"/>
  <c r="M154" i="58"/>
  <c r="B154" i="58"/>
  <c r="B153" i="58"/>
  <c r="G152" i="58"/>
  <c r="C150" i="58"/>
  <c r="E150" i="58"/>
  <c r="D153" i="58"/>
  <c r="L152" i="58"/>
  <c r="L151" i="58"/>
  <c r="L154" i="58"/>
  <c r="C151" i="58"/>
  <c r="E152" i="58"/>
  <c r="B152" i="58"/>
  <c r="L153" i="58"/>
  <c r="I152" i="58"/>
  <c r="D151" i="58"/>
  <c r="C152" i="58"/>
  <c r="L150" i="58"/>
  <c r="G154" i="58"/>
  <c r="J154" i="58"/>
  <c r="K150" i="58"/>
  <c r="J151" i="58"/>
  <c r="F154" i="58"/>
  <c r="J153" i="58"/>
  <c r="E153" i="58"/>
  <c r="K154" i="58"/>
  <c r="C154" i="58"/>
  <c r="D150" i="58"/>
  <c r="F152" i="58"/>
  <c r="J152" i="58"/>
  <c r="K151" i="58"/>
  <c r="F153" i="58"/>
  <c r="M153" i="58"/>
  <c r="D154" i="58"/>
  <c r="I154" i="58"/>
  <c r="E154" i="58"/>
  <c r="H153" i="58"/>
  <c r="E151" i="58"/>
  <c r="G150" i="58"/>
  <c r="I153" i="58"/>
  <c r="B151" i="58"/>
  <c r="B150" i="58"/>
  <c r="C153" i="58"/>
  <c r="K152" i="58"/>
  <c r="F151" i="58"/>
  <c r="M150" i="58"/>
  <c r="I150" i="58"/>
  <c r="M152" i="58"/>
  <c r="D152" i="58"/>
  <c r="H151" i="58"/>
  <c r="G153" i="58"/>
  <c r="I151" i="58"/>
  <c r="H150" i="58"/>
  <c r="H154" i="58"/>
  <c r="H152" i="58"/>
  <c r="K153" i="58"/>
  <c r="J150" i="58"/>
  <c r="M151" i="58"/>
  <c r="I158" i="58"/>
  <c r="E160" i="58"/>
  <c r="K157" i="58"/>
  <c r="K159" i="58"/>
  <c r="I156" i="58"/>
  <c r="L157" i="58"/>
  <c r="L158" i="58"/>
  <c r="F158" i="58"/>
  <c r="H156" i="58"/>
  <c r="G158" i="58"/>
  <c r="M158" i="58"/>
  <c r="J158" i="58"/>
  <c r="F160" i="58"/>
  <c r="E156" i="58"/>
  <c r="M156" i="58"/>
  <c r="K156" i="58"/>
  <c r="J156" i="58"/>
  <c r="J159" i="58"/>
  <c r="J160" i="58"/>
  <c r="F159" i="58"/>
  <c r="M159" i="58"/>
  <c r="D156" i="58"/>
  <c r="K160" i="58"/>
  <c r="M157" i="58"/>
  <c r="F157" i="58"/>
  <c r="D160" i="58"/>
  <c r="C159" i="58"/>
  <c r="H160" i="58"/>
  <c r="I160" i="58"/>
  <c r="D158" i="58"/>
  <c r="D157" i="58"/>
  <c r="B159" i="58"/>
  <c r="L160" i="58"/>
  <c r="B160" i="58"/>
  <c r="C156" i="58"/>
  <c r="I157" i="58"/>
  <c r="M160" i="58"/>
  <c r="B156" i="58"/>
  <c r="G157" i="58"/>
  <c r="C158" i="58"/>
  <c r="C160" i="58"/>
  <c r="G160" i="58"/>
  <c r="L156" i="58"/>
  <c r="B157" i="58"/>
  <c r="K158" i="58"/>
  <c r="E157" i="58"/>
  <c r="I159" i="58"/>
  <c r="E158" i="58"/>
  <c r="E159" i="58"/>
  <c r="H158" i="58"/>
  <c r="J157" i="58"/>
  <c r="L159" i="58"/>
  <c r="B158" i="58"/>
  <c r="G156" i="58"/>
  <c r="H159" i="58"/>
  <c r="H157" i="58"/>
  <c r="F156" i="58"/>
  <c r="C157" i="58"/>
  <c r="D159" i="58"/>
  <c r="G159" i="58"/>
  <c r="D146" i="58"/>
  <c r="B147" i="58"/>
  <c r="D145" i="58"/>
  <c r="B145" i="58"/>
  <c r="K146" i="58"/>
  <c r="H147" i="58"/>
  <c r="J147" i="58"/>
  <c r="L146" i="58"/>
  <c r="G145" i="58"/>
  <c r="D147" i="58"/>
  <c r="L148" i="58"/>
  <c r="K144" i="58"/>
  <c r="J148" i="58"/>
  <c r="B144" i="58"/>
  <c r="K145" i="58"/>
  <c r="K147" i="58"/>
  <c r="F145" i="58"/>
  <c r="E148" i="58"/>
  <c r="E144" i="58"/>
  <c r="C145" i="58"/>
  <c r="M146" i="58"/>
  <c r="I144" i="58"/>
  <c r="D144" i="58"/>
  <c r="L144" i="58"/>
  <c r="J145" i="58"/>
  <c r="J144" i="58"/>
  <c r="E147" i="58"/>
  <c r="K148" i="58"/>
  <c r="H145" i="58"/>
  <c r="C148" i="58"/>
  <c r="L147" i="58"/>
  <c r="F147" i="58"/>
  <c r="M147" i="58"/>
  <c r="F148" i="58"/>
  <c r="M148" i="58"/>
  <c r="E146" i="58"/>
  <c r="D148" i="58"/>
  <c r="J146" i="58"/>
  <c r="G144" i="58"/>
  <c r="G148" i="58"/>
  <c r="E145" i="58"/>
  <c r="C146" i="58"/>
  <c r="H146" i="58"/>
  <c r="I147" i="58"/>
  <c r="H148" i="58"/>
  <c r="G146" i="58"/>
  <c r="H144" i="58"/>
  <c r="M145" i="58"/>
  <c r="M144" i="58"/>
  <c r="C147" i="58"/>
  <c r="I146" i="58"/>
  <c r="F146" i="58"/>
  <c r="L145" i="58"/>
  <c r="I145" i="58"/>
  <c r="F144" i="58"/>
  <c r="I148" i="58"/>
  <c r="B148" i="58"/>
  <c r="G147" i="58"/>
  <c r="C144" i="58"/>
  <c r="B146" i="58"/>
  <c r="G140" i="58"/>
  <c r="M138" i="58"/>
  <c r="I142" i="58"/>
  <c r="M141" i="58"/>
  <c r="K138" i="58"/>
  <c r="C141" i="58"/>
  <c r="F139" i="58"/>
  <c r="C142" i="58"/>
  <c r="C140" i="58"/>
  <c r="B142" i="58"/>
  <c r="C139" i="58"/>
  <c r="B140" i="58"/>
  <c r="H138" i="58"/>
  <c r="D140" i="58"/>
  <c r="F140" i="58"/>
  <c r="J142" i="58"/>
  <c r="G138" i="58"/>
  <c r="I139" i="58"/>
  <c r="J139" i="58"/>
  <c r="J140" i="58"/>
  <c r="E139" i="58"/>
  <c r="B139" i="58"/>
  <c r="E138" i="58"/>
  <c r="L140" i="58"/>
  <c r="J138" i="58"/>
  <c r="K141" i="58"/>
  <c r="G141" i="58"/>
  <c r="E140" i="58"/>
  <c r="L141" i="58"/>
  <c r="K142" i="58"/>
  <c r="I140" i="58"/>
  <c r="H139" i="58"/>
  <c r="B141" i="58"/>
  <c r="M140" i="58"/>
  <c r="C138" i="58"/>
  <c r="H140" i="58"/>
  <c r="I141" i="58"/>
  <c r="E142" i="58"/>
  <c r="K140" i="58"/>
  <c r="I138" i="58"/>
  <c r="G142" i="58"/>
  <c r="F142" i="58"/>
  <c r="G139" i="58"/>
  <c r="D138" i="58"/>
  <c r="M142" i="58"/>
  <c r="B138" i="58"/>
  <c r="H141" i="58"/>
  <c r="J141" i="58"/>
  <c r="L138" i="58"/>
  <c r="D139" i="58"/>
  <c r="M139" i="58"/>
  <c r="E141" i="58"/>
  <c r="D141" i="58"/>
  <c r="D142" i="58"/>
  <c r="K139" i="58"/>
  <c r="F138" i="58"/>
  <c r="H142" i="58"/>
  <c r="F141" i="58"/>
  <c r="L139" i="58"/>
  <c r="L142" i="58"/>
  <c r="AB28" i="27" l="1"/>
  <c r="AD28" i="27" s="1"/>
  <c r="L9" i="27" s="1"/>
  <c r="AP75" i="27" s="1"/>
  <c r="AT75" i="27" s="1"/>
  <c r="E13" i="27" s="1"/>
  <c r="AP95" i="27"/>
  <c r="AP16" i="27" l="1"/>
  <c r="AR16" i="27" s="1"/>
  <c r="AP11" i="27"/>
  <c r="AR11" i="27" s="1"/>
  <c r="Z80" i="27"/>
  <c r="AB80" i="27" s="1"/>
  <c r="L85" i="27"/>
  <c r="N85" i="27" s="1"/>
  <c r="AQ85" i="27" s="1"/>
  <c r="AK80" i="27"/>
  <c r="AM80" i="27" s="1"/>
  <c r="AS80" i="27" s="1"/>
  <c r="EP126" i="61"/>
  <c r="EF126" i="61" l="1"/>
  <c r="FR126" i="61"/>
  <c r="GB126" i="61"/>
  <c r="DX126" i="61"/>
  <c r="FJ126" i="61"/>
  <c r="EG126" i="61"/>
  <c r="FS126" i="61"/>
  <c r="EK126" i="61"/>
  <c r="FW126" i="61"/>
  <c r="DT126" i="61"/>
  <c r="FF126" i="61"/>
  <c r="EA126" i="61"/>
  <c r="FM126" i="61"/>
  <c r="DY126" i="61"/>
  <c r="FK126" i="61"/>
  <c r="EB126" i="61"/>
  <c r="FN126" i="61"/>
  <c r="DS126" i="61"/>
  <c r="FE126" i="61"/>
  <c r="ED126" i="61"/>
  <c r="FP126" i="61"/>
  <c r="EJ126" i="61"/>
  <c r="FV126" i="61"/>
  <c r="EM126" i="61"/>
  <c r="FY126" i="61"/>
  <c r="DV126" i="61"/>
  <c r="FH126" i="61"/>
  <c r="DU126" i="61"/>
  <c r="FG126" i="61"/>
  <c r="EI126" i="61"/>
  <c r="FU126" i="61"/>
  <c r="DW126" i="61"/>
  <c r="FI126" i="61"/>
  <c r="EL126" i="61"/>
  <c r="FX126" i="61"/>
  <c r="EC126" i="61"/>
  <c r="FO126" i="61"/>
  <c r="EN126" i="61"/>
  <c r="FZ126" i="61"/>
  <c r="EH126" i="61"/>
  <c r="FT126" i="61"/>
  <c r="EO126" i="61"/>
  <c r="GA126" i="61"/>
  <c r="EE126" i="61"/>
  <c r="FQ126" i="61"/>
  <c r="DZ126" i="61"/>
  <c r="FL126" i="61"/>
  <c r="CO126" i="61" a="1"/>
  <c r="AL13" i="27"/>
  <c r="L11" i="27" s="1"/>
  <c r="AP80" i="27" s="1"/>
  <c r="AT80" i="27" s="1"/>
  <c r="E14" i="27" s="1"/>
  <c r="AL12" i="27"/>
  <c r="L10" i="27" s="1"/>
  <c r="AR79" i="27"/>
  <c r="AR80" i="27"/>
  <c r="DR126" i="61" l="1"/>
  <c r="ER126" i="61" s="1"/>
  <c r="FD126" i="61"/>
  <c r="GE126" i="61" s="1"/>
  <c r="CP126" i="61"/>
  <c r="CT126" i="61"/>
  <c r="DD126" i="61"/>
  <c r="CP127" i="61"/>
  <c r="CZ127" i="61"/>
  <c r="DJ127" i="61"/>
  <c r="CV128" i="61"/>
  <c r="DF128" i="61"/>
  <c r="CP129" i="61"/>
  <c r="DB129" i="61"/>
  <c r="DL129" i="61"/>
  <c r="CV130" i="61"/>
  <c r="DH130" i="61"/>
  <c r="CR131" i="61"/>
  <c r="DB131" i="61"/>
  <c r="DN131" i="61"/>
  <c r="CX132" i="61"/>
  <c r="DH132" i="61"/>
  <c r="CT133" i="61"/>
  <c r="DD133" i="61"/>
  <c r="DN133" i="61"/>
  <c r="CZ134" i="61"/>
  <c r="DJ134" i="61"/>
  <c r="CT135" i="61"/>
  <c r="DF135" i="61"/>
  <c r="CP136" i="61"/>
  <c r="CZ136" i="61"/>
  <c r="DL136" i="61"/>
  <c r="CV137" i="61"/>
  <c r="DF137" i="61"/>
  <c r="CR138" i="61"/>
  <c r="DB138" i="61"/>
  <c r="DL138" i="61"/>
  <c r="CT139" i="61"/>
  <c r="CY139" i="61"/>
  <c r="DD139" i="61"/>
  <c r="DJ139" i="61"/>
  <c r="CO140" i="61"/>
  <c r="CT140" i="61"/>
  <c r="CZ140" i="61"/>
  <c r="DE140" i="61"/>
  <c r="DJ140" i="61"/>
  <c r="CP141" i="61"/>
  <c r="CU141" i="61"/>
  <c r="CZ141" i="61"/>
  <c r="DF141" i="61"/>
  <c r="DK141" i="61"/>
  <c r="CP142" i="61"/>
  <c r="CV142" i="61"/>
  <c r="DA142" i="61"/>
  <c r="DF142" i="61"/>
  <c r="DL142" i="61"/>
  <c r="CQ143" i="61"/>
  <c r="CV143" i="61"/>
  <c r="DB143" i="61"/>
  <c r="DG143" i="61"/>
  <c r="DL143" i="61"/>
  <c r="CR144" i="61"/>
  <c r="CW144" i="61"/>
  <c r="DB144" i="61"/>
  <c r="DH144" i="61"/>
  <c r="DM144" i="61"/>
  <c r="CR145" i="61"/>
  <c r="CX145" i="61"/>
  <c r="DC145" i="61"/>
  <c r="DH145" i="61"/>
  <c r="DN145" i="61"/>
  <c r="CS146" i="61"/>
  <c r="CX146" i="61"/>
  <c r="DD146" i="61"/>
  <c r="DI146" i="61"/>
  <c r="DN146" i="61"/>
  <c r="CT147" i="61"/>
  <c r="CY147" i="61"/>
  <c r="DD147" i="61"/>
  <c r="DJ147" i="61"/>
  <c r="CO148" i="61"/>
  <c r="CT148" i="61"/>
  <c r="CZ148" i="61"/>
  <c r="DE148" i="61"/>
  <c r="CV126" i="61"/>
  <c r="DH126" i="61"/>
  <c r="CR127" i="61"/>
  <c r="DB127" i="61"/>
  <c r="DN127" i="61"/>
  <c r="CX128" i="61"/>
  <c r="DH128" i="61"/>
  <c r="CT129" i="61"/>
  <c r="DD129" i="61"/>
  <c r="DN129" i="61"/>
  <c r="CZ130" i="61"/>
  <c r="DJ130" i="61"/>
  <c r="CT131" i="61"/>
  <c r="DF131" i="61"/>
  <c r="CP132" i="61"/>
  <c r="CZ132" i="61"/>
  <c r="DL132" i="61"/>
  <c r="CV133" i="61"/>
  <c r="DF133" i="61"/>
  <c r="CR134" i="61"/>
  <c r="DB134" i="61"/>
  <c r="DL134" i="61"/>
  <c r="CX135" i="61"/>
  <c r="DH135" i="61"/>
  <c r="CR136" i="61"/>
  <c r="DD136" i="61"/>
  <c r="DN136" i="61"/>
  <c r="CX137" i="61"/>
  <c r="DJ137" i="61"/>
  <c r="CT138" i="61"/>
  <c r="DD138" i="61"/>
  <c r="CP139" i="61"/>
  <c r="CU139" i="61"/>
  <c r="CZ139" i="61"/>
  <c r="DF139" i="61"/>
  <c r="DK139" i="61"/>
  <c r="CP140" i="61"/>
  <c r="CV140" i="61"/>
  <c r="DA140" i="61"/>
  <c r="DF140" i="61"/>
  <c r="DL140" i="61"/>
  <c r="CQ141" i="61"/>
  <c r="CV141" i="61"/>
  <c r="DB141" i="61"/>
  <c r="DG141" i="61"/>
  <c r="DL141" i="61"/>
  <c r="CR142" i="61"/>
  <c r="CW142" i="61"/>
  <c r="DB142" i="61"/>
  <c r="DH142" i="61"/>
  <c r="DM142" i="61"/>
  <c r="CR143" i="61"/>
  <c r="CX143" i="61"/>
  <c r="DC143" i="61"/>
  <c r="DH143" i="61"/>
  <c r="DN143" i="61"/>
  <c r="CS144" i="61"/>
  <c r="CX144" i="61"/>
  <c r="DD144" i="61"/>
  <c r="DI144" i="61"/>
  <c r="DN144" i="61"/>
  <c r="CT145" i="61"/>
  <c r="CY145" i="61"/>
  <c r="DD145" i="61"/>
  <c r="DJ145" i="61"/>
  <c r="CO146" i="61"/>
  <c r="CT146" i="61"/>
  <c r="CZ146" i="61"/>
  <c r="DE146" i="61"/>
  <c r="DJ146" i="61"/>
  <c r="CP147" i="61"/>
  <c r="CU147" i="61"/>
  <c r="CZ147" i="61"/>
  <c r="DF147" i="61"/>
  <c r="DK147" i="61"/>
  <c r="CP148" i="61"/>
  <c r="CV148" i="61"/>
  <c r="DA148" i="61"/>
  <c r="DF148" i="61"/>
  <c r="DL148" i="61"/>
  <c r="CQ149" i="61"/>
  <c r="CV149" i="61"/>
  <c r="DB149" i="61"/>
  <c r="DG149" i="61"/>
  <c r="DL149" i="61"/>
  <c r="CR150" i="61"/>
  <c r="CW150" i="61"/>
  <c r="DB150" i="61"/>
  <c r="DH150" i="61"/>
  <c r="DM150" i="61"/>
  <c r="CR151" i="61"/>
  <c r="CX151" i="61"/>
  <c r="DC151" i="61"/>
  <c r="DH151" i="61"/>
  <c r="DN151" i="61"/>
  <c r="CR126" i="61"/>
  <c r="DB126" i="61"/>
  <c r="DL126" i="61"/>
  <c r="CX127" i="61"/>
  <c r="DH127" i="61"/>
  <c r="CR128" i="61"/>
  <c r="DD128" i="61"/>
  <c r="DN128" i="61"/>
  <c r="CX129" i="61"/>
  <c r="DJ129" i="61"/>
  <c r="CT130" i="61"/>
  <c r="DD130" i="61"/>
  <c r="CP131" i="61"/>
  <c r="CZ131" i="61"/>
  <c r="DJ131" i="61"/>
  <c r="CV132" i="61"/>
  <c r="DF132" i="61"/>
  <c r="CP133" i="61"/>
  <c r="DB133" i="61"/>
  <c r="DL133" i="61"/>
  <c r="CV134" i="61"/>
  <c r="DH134" i="61"/>
  <c r="CR135" i="61"/>
  <c r="DB135" i="61"/>
  <c r="DN135" i="61"/>
  <c r="CX136" i="61"/>
  <c r="DH136" i="61"/>
  <c r="CT137" i="61"/>
  <c r="DD137" i="61"/>
  <c r="DN137" i="61"/>
  <c r="CZ138" i="61"/>
  <c r="DJ138" i="61"/>
  <c r="CR139" i="61"/>
  <c r="CX139" i="61"/>
  <c r="DC139" i="61"/>
  <c r="DH139" i="61"/>
  <c r="DN139" i="61"/>
  <c r="CS140" i="61"/>
  <c r="CX140" i="61"/>
  <c r="DD140" i="61"/>
  <c r="DI140" i="61"/>
  <c r="DN140" i="61"/>
  <c r="CT141" i="61"/>
  <c r="CY141" i="61"/>
  <c r="DD141" i="61"/>
  <c r="DJ141" i="61"/>
  <c r="CO142" i="61"/>
  <c r="CT142" i="61"/>
  <c r="CZ142" i="61"/>
  <c r="DE142" i="61"/>
  <c r="DJ142" i="61"/>
  <c r="CP143" i="61"/>
  <c r="CU143" i="61"/>
  <c r="CZ143" i="61"/>
  <c r="DF143" i="61"/>
  <c r="DK143" i="61"/>
  <c r="CP144" i="61"/>
  <c r="CV144" i="61"/>
  <c r="DA144" i="61"/>
  <c r="DF144" i="61"/>
  <c r="DL144" i="61"/>
  <c r="CQ145" i="61"/>
  <c r="CV145" i="61"/>
  <c r="DB145" i="61"/>
  <c r="DG145" i="61"/>
  <c r="DL145" i="61"/>
  <c r="CR146" i="61"/>
  <c r="CW146" i="61"/>
  <c r="DB146" i="61"/>
  <c r="DH146" i="61"/>
  <c r="DM146" i="61"/>
  <c r="CR147" i="61"/>
  <c r="CX147" i="61"/>
  <c r="DC147" i="61"/>
  <c r="DH147" i="61"/>
  <c r="DN147" i="61"/>
  <c r="CS148" i="61"/>
  <c r="CX148" i="61"/>
  <c r="DD148" i="61"/>
  <c r="DI148" i="61"/>
  <c r="DN148" i="61"/>
  <c r="CT149" i="61"/>
  <c r="CY149" i="61"/>
  <c r="DD149" i="61"/>
  <c r="DJ149" i="61"/>
  <c r="CO150" i="61"/>
  <c r="CT150" i="61"/>
  <c r="CZ150" i="61"/>
  <c r="DE150" i="61"/>
  <c r="DJ150" i="61"/>
  <c r="CP151" i="61"/>
  <c r="CU151" i="61"/>
  <c r="CZ151" i="61"/>
  <c r="DF151" i="61"/>
  <c r="DK151" i="61"/>
  <c r="DF127" i="61"/>
  <c r="CZ126" i="61"/>
  <c r="DJ126" i="61"/>
  <c r="CZ128" i="61"/>
  <c r="CR130" i="61"/>
  <c r="DH131" i="61"/>
  <c r="CX133" i="61"/>
  <c r="CP135" i="61"/>
  <c r="DF136" i="61"/>
  <c r="CV138" i="61"/>
  <c r="DB139" i="61"/>
  <c r="CW140" i="61"/>
  <c r="CR141" i="61"/>
  <c r="DN141" i="61"/>
  <c r="DI142" i="61"/>
  <c r="DD143" i="61"/>
  <c r="CZ144" i="61"/>
  <c r="CU145" i="61"/>
  <c r="CP146" i="61"/>
  <c r="DL146" i="61"/>
  <c r="DG147" i="61"/>
  <c r="DB148" i="61"/>
  <c r="CP149" i="61"/>
  <c r="CZ149" i="61"/>
  <c r="DK149" i="61"/>
  <c r="CV150" i="61"/>
  <c r="DF150" i="61"/>
  <c r="CQ151" i="61"/>
  <c r="DB151" i="61"/>
  <c r="DL151" i="61"/>
  <c r="CT127" i="61"/>
  <c r="DL128" i="61"/>
  <c r="DB130" i="61"/>
  <c r="CR132" i="61"/>
  <c r="DJ133" i="61"/>
  <c r="CZ135" i="61"/>
  <c r="CP137" i="61"/>
  <c r="DH138" i="61"/>
  <c r="DG139" i="61"/>
  <c r="DB140" i="61"/>
  <c r="CX141" i="61"/>
  <c r="CS142" i="61"/>
  <c r="DN142" i="61"/>
  <c r="DJ143" i="61"/>
  <c r="DE144" i="61"/>
  <c r="CZ145" i="61"/>
  <c r="CV146" i="61"/>
  <c r="CQ147" i="61"/>
  <c r="DL147" i="61"/>
  <c r="DH148" i="61"/>
  <c r="CR149" i="61"/>
  <c r="DC149" i="61"/>
  <c r="DN149" i="61"/>
  <c r="CX150" i="61"/>
  <c r="DI150" i="61"/>
  <c r="CT151" i="61"/>
  <c r="DD151" i="61"/>
  <c r="DL130" i="61"/>
  <c r="CT134" i="61"/>
  <c r="DB137" i="61"/>
  <c r="DL139" i="61"/>
  <c r="DC141" i="61"/>
  <c r="CT143" i="61"/>
  <c r="DJ144" i="61"/>
  <c r="DA146" i="61"/>
  <c r="CR148" i="61"/>
  <c r="CU149" i="61"/>
  <c r="CP150" i="61"/>
  <c r="DL150" i="61"/>
  <c r="DG151" i="61"/>
  <c r="CP128" i="61"/>
  <c r="CX131" i="61"/>
  <c r="DD134" i="61"/>
  <c r="DL137" i="61"/>
  <c r="CR140" i="61"/>
  <c r="DH141" i="61"/>
  <c r="CY143" i="61"/>
  <c r="CP145" i="61"/>
  <c r="DF146" i="61"/>
  <c r="CW148" i="61"/>
  <c r="CX149" i="61"/>
  <c r="CS150" i="61"/>
  <c r="DN150" i="61"/>
  <c r="DJ151" i="61"/>
  <c r="CV129" i="61"/>
  <c r="DD132" i="61"/>
  <c r="DJ135" i="61"/>
  <c r="CQ139" i="61"/>
  <c r="DH140" i="61"/>
  <c r="CX142" i="61"/>
  <c r="CO144" i="61"/>
  <c r="DF145" i="61"/>
  <c r="CV147" i="61"/>
  <c r="DJ148" i="61"/>
  <c r="DF149" i="61"/>
  <c r="DA150" i="61"/>
  <c r="CV151" i="61"/>
  <c r="DF129" i="61"/>
  <c r="DN132" i="61"/>
  <c r="CV136" i="61"/>
  <c r="CV139" i="61"/>
  <c r="DM140" i="61"/>
  <c r="DD142" i="61"/>
  <c r="CT144" i="61"/>
  <c r="DK145" i="61"/>
  <c r="DB147" i="61"/>
  <c r="DM148" i="61"/>
  <c r="DH149" i="61"/>
  <c r="DD150" i="61"/>
  <c r="CY151" i="61"/>
  <c r="DI151" i="61"/>
  <c r="CS151" i="61"/>
  <c r="DC150" i="61"/>
  <c r="DM149" i="61"/>
  <c r="CW149" i="61"/>
  <c r="DG148" i="61"/>
  <c r="CQ148" i="61"/>
  <c r="DA147" i="61"/>
  <c r="DK146" i="61"/>
  <c r="CU146" i="61"/>
  <c r="DE145" i="61"/>
  <c r="CO145" i="61"/>
  <c r="CY144" i="61"/>
  <c r="DI143" i="61"/>
  <c r="CS143" i="61"/>
  <c r="DC142" i="61"/>
  <c r="DM141" i="61"/>
  <c r="CW141" i="61"/>
  <c r="DG140" i="61"/>
  <c r="CQ140" i="61"/>
  <c r="DA139" i="61"/>
  <c r="DF138" i="61"/>
  <c r="CZ137" i="61"/>
  <c r="CT136" i="61"/>
  <c r="DN134" i="61"/>
  <c r="DH133" i="61"/>
  <c r="DB132" i="61"/>
  <c r="CV131" i="61"/>
  <c r="CP130" i="61"/>
  <c r="DJ128" i="61"/>
  <c r="DD127" i="61"/>
  <c r="CX126" i="61"/>
  <c r="DA126" i="61"/>
  <c r="CQ127" i="61"/>
  <c r="DG127" i="61"/>
  <c r="CW128" i="61"/>
  <c r="DM128" i="61"/>
  <c r="DC129" i="61"/>
  <c r="CS130" i="61"/>
  <c r="DI130" i="61"/>
  <c r="CY131" i="61"/>
  <c r="CO132" i="61"/>
  <c r="DE132" i="61"/>
  <c r="CU133" i="61"/>
  <c r="DK133" i="61"/>
  <c r="DA134" i="61"/>
  <c r="CQ135" i="61"/>
  <c r="DG135" i="61"/>
  <c r="CW136" i="61"/>
  <c r="DM136" i="61"/>
  <c r="DC137" i="61"/>
  <c r="CS138" i="61"/>
  <c r="DI138" i="61"/>
  <c r="CY126" i="61"/>
  <c r="CO127" i="61"/>
  <c r="DE127" i="61"/>
  <c r="CU128" i="61"/>
  <c r="DK128" i="61"/>
  <c r="DA129" i="61"/>
  <c r="CQ130" i="61"/>
  <c r="DG130" i="61"/>
  <c r="CW131" i="61"/>
  <c r="DM131" i="61"/>
  <c r="DC132" i="61"/>
  <c r="CS133" i="61"/>
  <c r="DI133" i="61"/>
  <c r="CY134" i="61"/>
  <c r="CO135" i="61"/>
  <c r="DE135" i="61"/>
  <c r="CU136" i="61"/>
  <c r="DK136" i="61"/>
  <c r="DA137" i="61"/>
  <c r="CQ138" i="61"/>
  <c r="DG138" i="61"/>
  <c r="DE151" i="61"/>
  <c r="CO151" i="61"/>
  <c r="CY150" i="61"/>
  <c r="DI149" i="61"/>
  <c r="CS149" i="61"/>
  <c r="DC148" i="61"/>
  <c r="DM147" i="61"/>
  <c r="CW147" i="61"/>
  <c r="DG146" i="61"/>
  <c r="CQ146" i="61"/>
  <c r="DA145" i="61"/>
  <c r="DK144" i="61"/>
  <c r="CU144" i="61"/>
  <c r="DE143" i="61"/>
  <c r="CO143" i="61"/>
  <c r="CY142" i="61"/>
  <c r="DI141" i="61"/>
  <c r="CS141" i="61"/>
  <c r="DC140" i="61"/>
  <c r="DM139" i="61"/>
  <c r="CW139" i="61"/>
  <c r="CX138" i="61"/>
  <c r="CR137" i="61"/>
  <c r="DL135" i="61"/>
  <c r="DF134" i="61"/>
  <c r="CZ133" i="61"/>
  <c r="CT132" i="61"/>
  <c r="DN130" i="61"/>
  <c r="DH129" i="61"/>
  <c r="DB128" i="61"/>
  <c r="CV127" i="61"/>
  <c r="CO126" i="61"/>
  <c r="DE126" i="61"/>
  <c r="CU127" i="61"/>
  <c r="DK127" i="61"/>
  <c r="DA128" i="61"/>
  <c r="CQ129" i="61"/>
  <c r="DG129" i="61"/>
  <c r="CW130" i="61"/>
  <c r="DM130" i="61"/>
  <c r="DC131" i="61"/>
  <c r="CS132" i="61"/>
  <c r="DI132" i="61"/>
  <c r="CY133" i="61"/>
  <c r="CO134" i="61"/>
  <c r="DE134" i="61"/>
  <c r="CU135" i="61"/>
  <c r="DK135" i="61"/>
  <c r="DA136" i="61"/>
  <c r="CQ137" i="61"/>
  <c r="DG137" i="61"/>
  <c r="CW138" i="61"/>
  <c r="DM138" i="61"/>
  <c r="DC126" i="61"/>
  <c r="CS127" i="61"/>
  <c r="DI127" i="61"/>
  <c r="CY128" i="61"/>
  <c r="CO129" i="61"/>
  <c r="DE129" i="61"/>
  <c r="CU130" i="61"/>
  <c r="DK130" i="61"/>
  <c r="DA131" i="61"/>
  <c r="CQ132" i="61"/>
  <c r="DG132" i="61"/>
  <c r="CW133" i="61"/>
  <c r="DM133" i="61"/>
  <c r="DC134" i="61"/>
  <c r="CS135" i="61"/>
  <c r="DI135" i="61"/>
  <c r="CY136" i="61"/>
  <c r="CO137" i="61"/>
  <c r="DE137" i="61"/>
  <c r="CU138" i="61"/>
  <c r="DK138" i="61"/>
  <c r="DA151" i="61"/>
  <c r="DK150" i="61"/>
  <c r="CU150" i="61"/>
  <c r="DE149" i="61"/>
  <c r="CO149" i="61"/>
  <c r="CY148" i="61"/>
  <c r="DI147" i="61"/>
  <c r="CS147" i="61"/>
  <c r="DC146" i="61"/>
  <c r="DM145" i="61"/>
  <c r="CW145" i="61"/>
  <c r="DG144" i="61"/>
  <c r="CQ144" i="61"/>
  <c r="DA143" i="61"/>
  <c r="DK142" i="61"/>
  <c r="CU142" i="61"/>
  <c r="DE141" i="61"/>
  <c r="CO141" i="61"/>
  <c r="CY140" i="61"/>
  <c r="DI139" i="61"/>
  <c r="CS139" i="61"/>
  <c r="CP138" i="61"/>
  <c r="DJ136" i="61"/>
  <c r="DD135" i="61"/>
  <c r="CX134" i="61"/>
  <c r="CR133" i="61"/>
  <c r="DL131" i="61"/>
  <c r="DF130" i="61"/>
  <c r="CZ129" i="61"/>
  <c r="CT128" i="61"/>
  <c r="DN126" i="61"/>
  <c r="CS126" i="61"/>
  <c r="DI126" i="61"/>
  <c r="CY127" i="61"/>
  <c r="CO128" i="61"/>
  <c r="DE128" i="61"/>
  <c r="CU129" i="61"/>
  <c r="DK129" i="61"/>
  <c r="DA130" i="61"/>
  <c r="CQ131" i="61"/>
  <c r="DG131" i="61"/>
  <c r="CW132" i="61"/>
  <c r="DM132" i="61"/>
  <c r="DC133" i="61"/>
  <c r="CS134" i="61"/>
  <c r="DI134" i="61"/>
  <c r="CY135" i="61"/>
  <c r="CO136" i="61"/>
  <c r="DE136" i="61"/>
  <c r="CU137" i="61"/>
  <c r="DK137" i="61"/>
  <c r="DA138" i="61"/>
  <c r="CQ126" i="61"/>
  <c r="DG126" i="61"/>
  <c r="CW127" i="61"/>
  <c r="DM127" i="61"/>
  <c r="DC128" i="61"/>
  <c r="CS129" i="61"/>
  <c r="DI129" i="61"/>
  <c r="CY130" i="61"/>
  <c r="CO131" i="61"/>
  <c r="DE131" i="61"/>
  <c r="CU132" i="61"/>
  <c r="DK132" i="61"/>
  <c r="DA133" i="61"/>
  <c r="CQ134" i="61"/>
  <c r="DG134" i="61"/>
  <c r="CW135" i="61"/>
  <c r="DM135" i="61"/>
  <c r="DC136" i="61"/>
  <c r="CS137" i="61"/>
  <c r="DI137" i="61"/>
  <c r="CY138" i="61"/>
  <c r="CO139" i="61"/>
  <c r="DM151" i="61"/>
  <c r="CW151" i="61"/>
  <c r="DG150" i="61"/>
  <c r="CQ150" i="61"/>
  <c r="DA149" i="61"/>
  <c r="DK148" i="61"/>
  <c r="CU148" i="61"/>
  <c r="DE147" i="61"/>
  <c r="CO147" i="61"/>
  <c r="CY146" i="61"/>
  <c r="DI145" i="61"/>
  <c r="CS145" i="61"/>
  <c r="DC144" i="61"/>
  <c r="DM143" i="61"/>
  <c r="CW143" i="61"/>
  <c r="DG142" i="61"/>
  <c r="CQ142" i="61"/>
  <c r="DA141" i="61"/>
  <c r="DK140" i="61"/>
  <c r="CU140" i="61"/>
  <c r="DE139" i="61"/>
  <c r="DN138" i="61"/>
  <c r="DH137" i="61"/>
  <c r="DB136" i="61"/>
  <c r="CV135" i="61"/>
  <c r="CP134" i="61"/>
  <c r="DJ132" i="61"/>
  <c r="DD131" i="61"/>
  <c r="CX130" i="61"/>
  <c r="CR129" i="61"/>
  <c r="DL127" i="61"/>
  <c r="DF126" i="61"/>
  <c r="CW126" i="61"/>
  <c r="DM126" i="61"/>
  <c r="DC127" i="61"/>
  <c r="CS128" i="61"/>
  <c r="DI128" i="61"/>
  <c r="CY129" i="61"/>
  <c r="CO130" i="61"/>
  <c r="DE130" i="61"/>
  <c r="CU131" i="61"/>
  <c r="DK131" i="61"/>
  <c r="DA132" i="61"/>
  <c r="CQ133" i="61"/>
  <c r="DG133" i="61"/>
  <c r="CW134" i="61"/>
  <c r="DM134" i="61"/>
  <c r="DC135" i="61"/>
  <c r="CS136" i="61"/>
  <c r="DI136" i="61"/>
  <c r="CY137" i="61"/>
  <c r="CO138" i="61"/>
  <c r="DE138" i="61"/>
  <c r="CU126" i="61"/>
  <c r="DK126" i="61"/>
  <c r="DA127" i="61"/>
  <c r="CQ128" i="61"/>
  <c r="DG128" i="61"/>
  <c r="CW129" i="61"/>
  <c r="DM129" i="61"/>
  <c r="DC130" i="61"/>
  <c r="CS131" i="61"/>
  <c r="DI131" i="61"/>
  <c r="CY132" i="61"/>
  <c r="CO133" i="61"/>
  <c r="DE133" i="61"/>
  <c r="CU134" i="61"/>
  <c r="DK134" i="61"/>
  <c r="DA135" i="61"/>
  <c r="CQ136" i="61"/>
  <c r="DG136" i="61"/>
  <c r="CW137" i="61"/>
  <c r="DM137" i="61"/>
  <c r="DC138" i="61"/>
  <c r="AP44" i="50"/>
  <c r="AT44" i="50" s="1"/>
  <c r="D7" i="50" s="1"/>
  <c r="L90" i="27"/>
  <c r="N90" i="27" s="1"/>
  <c r="AQ90" i="27" s="1"/>
  <c r="AK85" i="27"/>
  <c r="AM85" i="27" s="1"/>
  <c r="AS85" i="27" s="1"/>
  <c r="Z85" i="27"/>
  <c r="AB85" i="27" s="1"/>
  <c r="GH126" i="61" l="1"/>
  <c r="N5" i="64" s="1"/>
  <c r="ES126" i="61"/>
  <c r="H5" i="64" s="1"/>
  <c r="GC126" i="61"/>
  <c r="L5" i="64"/>
  <c r="EZ126" i="61"/>
  <c r="DX81" i="61"/>
  <c r="I104" i="61"/>
  <c r="E98" i="61"/>
  <c r="Q105" i="61"/>
  <c r="S100" i="61"/>
  <c r="T100" i="61"/>
  <c r="I110" i="61"/>
  <c r="G115" i="61"/>
  <c r="E120" i="61"/>
  <c r="N100" i="61"/>
  <c r="D109" i="61"/>
  <c r="D115" i="61"/>
  <c r="W99" i="61"/>
  <c r="I108" i="61"/>
  <c r="W105" i="61"/>
  <c r="K103" i="61"/>
  <c r="Y100" i="61"/>
  <c r="M98" i="61"/>
  <c r="O106" i="61"/>
  <c r="C104" i="61"/>
  <c r="Q101" i="61"/>
  <c r="E99" i="61"/>
  <c r="P102" i="61"/>
  <c r="N107" i="61"/>
  <c r="G111" i="61"/>
  <c r="S113" i="61"/>
  <c r="E116" i="61"/>
  <c r="Q118" i="61"/>
  <c r="C121" i="61"/>
  <c r="D101" i="61"/>
  <c r="B106" i="61"/>
  <c r="N110" i="61"/>
  <c r="Z112" i="61"/>
  <c r="L115" i="61"/>
  <c r="W101" i="61"/>
  <c r="G98" i="61"/>
  <c r="Y110" i="61"/>
  <c r="C117" i="61"/>
  <c r="Q122" i="61"/>
  <c r="F110" i="61"/>
  <c r="T115" i="61"/>
  <c r="Q106" i="61"/>
  <c r="I102" i="61"/>
  <c r="Q98" i="61"/>
  <c r="O108" i="61"/>
  <c r="C106" i="61"/>
  <c r="Q103" i="61"/>
  <c r="E101" i="61"/>
  <c r="S98" i="61"/>
  <c r="P98" i="61"/>
  <c r="N103" i="61"/>
  <c r="L108" i="61"/>
  <c r="S111" i="61"/>
  <c r="E114" i="61"/>
  <c r="Q116" i="61"/>
  <c r="C119" i="61"/>
  <c r="O121" i="61"/>
  <c r="B102" i="61"/>
  <c r="Z106" i="61"/>
  <c r="Z110" i="61"/>
  <c r="L113" i="61"/>
  <c r="X115" i="61"/>
  <c r="U108" i="61"/>
  <c r="I106" i="61"/>
  <c r="W103" i="61"/>
  <c r="K101" i="61"/>
  <c r="Y98" i="61"/>
  <c r="M109" i="61"/>
  <c r="O104" i="61"/>
  <c r="C102" i="61"/>
  <c r="Q99" i="61"/>
  <c r="R101" i="61"/>
  <c r="P106" i="61"/>
  <c r="U110" i="61"/>
  <c r="G113" i="61"/>
  <c r="S115" i="61"/>
  <c r="E118" i="61"/>
  <c r="Q120" i="61"/>
  <c r="F100" i="61"/>
  <c r="D105" i="61"/>
  <c r="B110" i="61"/>
  <c r="N112" i="61"/>
  <c r="Z114" i="61"/>
  <c r="U106" i="61"/>
  <c r="S108" i="61"/>
  <c r="K121" i="61"/>
  <c r="Q108" i="61"/>
  <c r="P119" i="61"/>
  <c r="O114" i="61"/>
  <c r="X101" i="61"/>
  <c r="K120" i="61"/>
  <c r="U115" i="61"/>
  <c r="P105" i="61"/>
  <c r="F121" i="61"/>
  <c r="W116" i="61"/>
  <c r="H109" i="61"/>
  <c r="B122" i="61"/>
  <c r="R117" i="61"/>
  <c r="N111" i="61"/>
  <c r="T122" i="61"/>
  <c r="Q121" i="61"/>
  <c r="O120" i="61"/>
  <c r="M119" i="61"/>
  <c r="J118" i="61"/>
  <c r="H117" i="61"/>
  <c r="Z115" i="61"/>
  <c r="H114" i="61"/>
  <c r="S112" i="61"/>
  <c r="P110" i="61"/>
  <c r="F106" i="61"/>
  <c r="H101" i="61"/>
  <c r="R122" i="61"/>
  <c r="P121" i="61"/>
  <c r="N120" i="61"/>
  <c r="J119" i="61"/>
  <c r="H118" i="61"/>
  <c r="F117" i="61"/>
  <c r="V115" i="61"/>
  <c r="G114" i="61"/>
  <c r="P112" i="61"/>
  <c r="L110" i="61"/>
  <c r="X105" i="61"/>
  <c r="Z100" i="61"/>
  <c r="V122" i="61"/>
  <c r="T121" i="61"/>
  <c r="P120" i="61"/>
  <c r="N119" i="61"/>
  <c r="L118" i="61"/>
  <c r="I117" i="61"/>
  <c r="C116" i="61"/>
  <c r="L114" i="61"/>
  <c r="T112" i="61"/>
  <c r="T110" i="61"/>
  <c r="N106" i="61"/>
  <c r="P101" i="61"/>
  <c r="H122" i="61"/>
  <c r="M121" i="61"/>
  <c r="R120" i="61"/>
  <c r="V119" i="61"/>
  <c r="F118" i="61"/>
  <c r="J117" i="61"/>
  <c r="O116" i="61"/>
  <c r="I115" i="61"/>
  <c r="C114" i="61"/>
  <c r="W112" i="61"/>
  <c r="Q111" i="61"/>
  <c r="K110" i="61"/>
  <c r="H108" i="61"/>
  <c r="V105" i="61"/>
  <c r="J103" i="61"/>
  <c r="X100" i="61"/>
  <c r="L98" i="61"/>
  <c r="M111" i="61"/>
  <c r="G110" i="61"/>
  <c r="Z107" i="61"/>
  <c r="N105" i="61"/>
  <c r="B103" i="61"/>
  <c r="P100" i="61"/>
  <c r="D98" i="61"/>
  <c r="O105" i="61"/>
  <c r="M107" i="61"/>
  <c r="I101" i="61"/>
  <c r="H98" i="61"/>
  <c r="X106" i="61"/>
  <c r="Y118" i="61"/>
  <c r="X107" i="61"/>
  <c r="X113" i="61"/>
  <c r="G107" i="61"/>
  <c r="S101" i="61"/>
  <c r="Y108" i="61"/>
  <c r="M106" i="61"/>
  <c r="O101" i="61"/>
  <c r="C99" i="61"/>
  <c r="Q109" i="61"/>
  <c r="E107" i="61"/>
  <c r="S104" i="61"/>
  <c r="G102" i="61"/>
  <c r="U99" i="61"/>
  <c r="J101" i="61"/>
  <c r="Q110" i="61"/>
  <c r="C113" i="61"/>
  <c r="O115" i="61"/>
  <c r="M120" i="61"/>
  <c r="Y122" i="61"/>
  <c r="X99" i="61"/>
  <c r="V104" i="61"/>
  <c r="T109" i="61"/>
  <c r="J112" i="61"/>
  <c r="V114" i="61"/>
  <c r="Y104" i="61"/>
  <c r="W106" i="61"/>
  <c r="C100" i="61"/>
  <c r="D108" i="61"/>
  <c r="Q114" i="61"/>
  <c r="U120" i="61"/>
  <c r="R106" i="61"/>
  <c r="N114" i="61"/>
  <c r="W107" i="61"/>
  <c r="O103" i="61"/>
  <c r="G99" i="61"/>
  <c r="U109" i="61"/>
  <c r="S106" i="61"/>
  <c r="G104" i="61"/>
  <c r="U101" i="61"/>
  <c r="I99" i="61"/>
  <c r="H102" i="61"/>
  <c r="F107" i="61"/>
  <c r="C111" i="61"/>
  <c r="O113" i="61"/>
  <c r="M118" i="61"/>
  <c r="Y120" i="61"/>
  <c r="V100" i="61"/>
  <c r="T105" i="61"/>
  <c r="J110" i="61"/>
  <c r="V112" i="61"/>
  <c r="H115" i="61"/>
  <c r="K109" i="61"/>
  <c r="Y106" i="61"/>
  <c r="M104" i="61"/>
  <c r="O99" i="61"/>
  <c r="Q107" i="61"/>
  <c r="E105" i="61"/>
  <c r="S102" i="61"/>
  <c r="G100" i="61"/>
  <c r="L100" i="61"/>
  <c r="J105" i="61"/>
  <c r="E110" i="61"/>
  <c r="Q112" i="61"/>
  <c r="C115" i="61"/>
  <c r="O117" i="61"/>
  <c r="M122" i="61"/>
  <c r="Z98" i="61"/>
  <c r="X103" i="61"/>
  <c r="V108" i="61"/>
  <c r="X111" i="61"/>
  <c r="J114" i="61"/>
  <c r="W109" i="61"/>
  <c r="U98" i="61"/>
  <c r="M99" i="61"/>
  <c r="W115" i="61"/>
  <c r="B112" i="61"/>
  <c r="S120" i="61"/>
  <c r="D116" i="61"/>
  <c r="V106" i="61"/>
  <c r="N121" i="61"/>
  <c r="D117" i="61"/>
  <c r="H110" i="61"/>
  <c r="J122" i="61"/>
  <c r="Y117" i="61"/>
  <c r="C112" i="61"/>
  <c r="T118" i="61"/>
  <c r="I113" i="61"/>
  <c r="F98" i="61"/>
  <c r="Y121" i="61"/>
  <c r="V120" i="61"/>
  <c r="T119" i="61"/>
  <c r="R118" i="61"/>
  <c r="N117" i="61"/>
  <c r="K116" i="61"/>
  <c r="T114" i="61"/>
  <c r="B113" i="61"/>
  <c r="F111" i="61"/>
  <c r="N102" i="61"/>
  <c r="Z122" i="61"/>
  <c r="V121" i="61"/>
  <c r="T120" i="61"/>
  <c r="R119" i="61"/>
  <c r="O118" i="61"/>
  <c r="M117" i="61"/>
  <c r="H116" i="61"/>
  <c r="P114" i="61"/>
  <c r="B111" i="61"/>
  <c r="D107" i="61"/>
  <c r="F102" i="61"/>
  <c r="Z121" i="61"/>
  <c r="X120" i="61"/>
  <c r="U119" i="61"/>
  <c r="S118" i="61"/>
  <c r="Q117" i="61"/>
  <c r="L116" i="61"/>
  <c r="W114" i="61"/>
  <c r="F113" i="61"/>
  <c r="J111" i="61"/>
  <c r="T107" i="61"/>
  <c r="V102" i="61"/>
  <c r="N122" i="61"/>
  <c r="R121" i="61"/>
  <c r="W120" i="61"/>
  <c r="B120" i="61"/>
  <c r="F119" i="61"/>
  <c r="K118" i="61"/>
  <c r="P117" i="61"/>
  <c r="T116" i="61"/>
  <c r="Q115" i="61"/>
  <c r="K114" i="61"/>
  <c r="E113" i="61"/>
  <c r="Y111" i="61"/>
  <c r="S110" i="61"/>
  <c r="X108" i="61"/>
  <c r="L106" i="61"/>
  <c r="Z103" i="61"/>
  <c r="N101" i="61"/>
  <c r="B99" i="61"/>
  <c r="U111" i="61"/>
  <c r="O110" i="61"/>
  <c r="P108" i="61"/>
  <c r="D106" i="61"/>
  <c r="R103" i="61"/>
  <c r="F101" i="61"/>
  <c r="T98" i="61"/>
  <c r="G109" i="61"/>
  <c r="M102" i="61"/>
  <c r="Y109" i="61"/>
  <c r="K104" i="61"/>
  <c r="W98" i="61"/>
  <c r="F103" i="61"/>
  <c r="O111" i="61"/>
  <c r="M116" i="61"/>
  <c r="T101" i="61"/>
  <c r="V110" i="61"/>
  <c r="J116" i="61"/>
  <c r="U104" i="61"/>
  <c r="E109" i="61"/>
  <c r="S107" i="61"/>
  <c r="G105" i="61"/>
  <c r="U102" i="61"/>
  <c r="I100" i="61"/>
  <c r="K108" i="61"/>
  <c r="Y105" i="61"/>
  <c r="M103" i="61"/>
  <c r="O98" i="61"/>
  <c r="X98" i="61"/>
  <c r="V103" i="61"/>
  <c r="T108" i="61"/>
  <c r="W111" i="61"/>
  <c r="I114" i="61"/>
  <c r="U116" i="61"/>
  <c r="G119" i="61"/>
  <c r="S121" i="61"/>
  <c r="J102" i="61"/>
  <c r="H107" i="61"/>
  <c r="D111" i="61"/>
  <c r="P113" i="61"/>
  <c r="B116" i="61"/>
  <c r="K99" i="61"/>
  <c r="U103" i="61"/>
  <c r="N99" i="61"/>
  <c r="E112" i="61"/>
  <c r="I118" i="61"/>
  <c r="B98" i="61"/>
  <c r="L111" i="61"/>
  <c r="S109" i="61"/>
  <c r="K105" i="61"/>
  <c r="C101" i="61"/>
  <c r="Y107" i="61"/>
  <c r="M105" i="61"/>
  <c r="O100" i="61"/>
  <c r="C98" i="61"/>
  <c r="V99" i="61"/>
  <c r="T104" i="61"/>
  <c r="R109" i="61"/>
  <c r="I112" i="61"/>
  <c r="U114" i="61"/>
  <c r="G117" i="61"/>
  <c r="S119" i="61"/>
  <c r="E122" i="61"/>
  <c r="J98" i="61"/>
  <c r="H103" i="61"/>
  <c r="F108" i="61"/>
  <c r="P111" i="61"/>
  <c r="B114" i="61"/>
  <c r="N116" i="61"/>
  <c r="E108" i="61"/>
  <c r="S105" i="61"/>
  <c r="G103" i="61"/>
  <c r="U100" i="61"/>
  <c r="I98" i="61"/>
  <c r="W108" i="61"/>
  <c r="K106" i="61"/>
  <c r="Y103" i="61"/>
  <c r="M101" i="61"/>
  <c r="X102" i="61"/>
  <c r="V107" i="61"/>
  <c r="K111" i="61"/>
  <c r="W113" i="61"/>
  <c r="I116" i="61"/>
  <c r="U118" i="61"/>
  <c r="G121" i="61"/>
  <c r="L101" i="61"/>
  <c r="J106" i="61"/>
  <c r="R110" i="61"/>
  <c r="D113" i="61"/>
  <c r="P115" i="61"/>
  <c r="S103" i="61"/>
  <c r="G106" i="61"/>
  <c r="Z101" i="61"/>
  <c r="H99" i="61"/>
  <c r="E106" i="61"/>
  <c r="W122" i="61"/>
  <c r="N118" i="61"/>
  <c r="X112" i="61"/>
  <c r="I119" i="61"/>
  <c r="D114" i="61"/>
  <c r="R100" i="61"/>
  <c r="D120" i="61"/>
  <c r="J115" i="61"/>
  <c r="J104" i="61"/>
  <c r="Z120" i="61"/>
  <c r="P116" i="61"/>
  <c r="B108" i="61"/>
  <c r="L122" i="61"/>
  <c r="J121" i="61"/>
  <c r="H120" i="61"/>
  <c r="E119" i="61"/>
  <c r="C118" i="61"/>
  <c r="N115" i="61"/>
  <c r="Y113" i="61"/>
  <c r="H112" i="61"/>
  <c r="X109" i="61"/>
  <c r="Z104" i="61"/>
  <c r="B100" i="61"/>
  <c r="K122" i="61"/>
  <c r="I121" i="61"/>
  <c r="F120" i="61"/>
  <c r="D119" i="61"/>
  <c r="B118" i="61"/>
  <c r="X116" i="61"/>
  <c r="M115" i="61"/>
  <c r="V113" i="61"/>
  <c r="D112" i="61"/>
  <c r="P109" i="61"/>
  <c r="R104" i="61"/>
  <c r="T99" i="61"/>
  <c r="O122" i="61"/>
  <c r="L121" i="61"/>
  <c r="J120" i="61"/>
  <c r="H119" i="61"/>
  <c r="D118" i="61"/>
  <c r="B117" i="61"/>
  <c r="R115" i="61"/>
  <c r="Z113" i="61"/>
  <c r="K112" i="61"/>
  <c r="D110" i="61"/>
  <c r="H105" i="61"/>
  <c r="J100" i="61"/>
  <c r="X122" i="61"/>
  <c r="C122" i="61"/>
  <c r="H121" i="61"/>
  <c r="L120" i="61"/>
  <c r="Q119" i="61"/>
  <c r="V118" i="61"/>
  <c r="Z117" i="61"/>
  <c r="E117" i="61"/>
  <c r="G116" i="61"/>
  <c r="U113" i="61"/>
  <c r="O112" i="61"/>
  <c r="I111" i="61"/>
  <c r="C110" i="61"/>
  <c r="R107" i="61"/>
  <c r="F105" i="61"/>
  <c r="T102" i="61"/>
  <c r="H100" i="61"/>
  <c r="E111" i="61"/>
  <c r="V109" i="61"/>
  <c r="J107" i="61"/>
  <c r="X104" i="61"/>
  <c r="L102" i="61"/>
  <c r="Z99" i="61"/>
  <c r="H106" i="61"/>
  <c r="L107" i="61"/>
  <c r="K107" i="61"/>
  <c r="G101" i="61"/>
  <c r="C108" i="61"/>
  <c r="O102" i="61"/>
  <c r="R105" i="61"/>
  <c r="U112" i="61"/>
  <c r="S117" i="61"/>
  <c r="F104" i="61"/>
  <c r="R112" i="61"/>
  <c r="M108" i="61"/>
  <c r="Y102" i="61"/>
  <c r="O109" i="61"/>
  <c r="C107" i="61"/>
  <c r="Q104" i="61"/>
  <c r="E102" i="61"/>
  <c r="S99" i="61"/>
  <c r="U107" i="61"/>
  <c r="I105" i="61"/>
  <c r="W102" i="61"/>
  <c r="K100" i="61"/>
  <c r="D100" i="61"/>
  <c r="B105" i="61"/>
  <c r="Z109" i="61"/>
  <c r="M112" i="61"/>
  <c r="Y114" i="61"/>
  <c r="K117" i="61"/>
  <c r="W119" i="61"/>
  <c r="I122" i="61"/>
  <c r="R98" i="61"/>
  <c r="P103" i="61"/>
  <c r="N108" i="61"/>
  <c r="T111" i="61"/>
  <c r="F114" i="61"/>
  <c r="I109" i="61"/>
  <c r="Y101" i="61"/>
  <c r="L104" i="61"/>
  <c r="K113" i="61"/>
  <c r="O119" i="61"/>
  <c r="Z102" i="61"/>
  <c r="H113" i="61"/>
  <c r="C109" i="61"/>
  <c r="E104" i="61"/>
  <c r="M100" i="61"/>
  <c r="I107" i="61"/>
  <c r="W104" i="61"/>
  <c r="K102" i="61"/>
  <c r="Y99" i="61"/>
  <c r="B101" i="61"/>
  <c r="Z105" i="61"/>
  <c r="M110" i="61"/>
  <c r="Y112" i="61"/>
  <c r="K115" i="61"/>
  <c r="W117" i="61"/>
  <c r="I120" i="61"/>
  <c r="U122" i="61"/>
  <c r="P99" i="61"/>
  <c r="N104" i="61"/>
  <c r="L109" i="61"/>
  <c r="F112" i="61"/>
  <c r="R114" i="61"/>
  <c r="O107" i="61"/>
  <c r="C105" i="61"/>
  <c r="Q102" i="61"/>
  <c r="E100" i="61"/>
  <c r="G108" i="61"/>
  <c r="U105" i="61"/>
  <c r="I103" i="61"/>
  <c r="W100" i="61"/>
  <c r="K98" i="61"/>
  <c r="F99" i="61"/>
  <c r="D104" i="61"/>
  <c r="B109" i="61"/>
  <c r="M114" i="61"/>
  <c r="Y116" i="61"/>
  <c r="K119" i="61"/>
  <c r="W121" i="61"/>
  <c r="R102" i="61"/>
  <c r="P107" i="61"/>
  <c r="H111" i="61"/>
  <c r="T113" i="61"/>
  <c r="F116" i="61"/>
  <c r="Q100" i="61"/>
  <c r="E103" i="61"/>
  <c r="J109" i="61"/>
  <c r="L105" i="61"/>
  <c r="C103" i="61"/>
  <c r="U121" i="61"/>
  <c r="L117" i="61"/>
  <c r="X110" i="61"/>
  <c r="P122" i="61"/>
  <c r="G118" i="61"/>
  <c r="L112" i="61"/>
  <c r="B119" i="61"/>
  <c r="R113" i="61"/>
  <c r="L99" i="61"/>
  <c r="X119" i="61"/>
  <c r="X114" i="61"/>
  <c r="D103" i="61"/>
  <c r="F122" i="61"/>
  <c r="D121" i="61"/>
  <c r="Z119" i="61"/>
  <c r="X118" i="61"/>
  <c r="V117" i="61"/>
  <c r="S116" i="61"/>
  <c r="E115" i="61"/>
  <c r="N113" i="61"/>
  <c r="V111" i="61"/>
  <c r="R108" i="61"/>
  <c r="T103" i="61"/>
  <c r="V98" i="61"/>
  <c r="D122" i="61"/>
  <c r="Y119" i="61"/>
  <c r="W118" i="61"/>
  <c r="T117" i="61"/>
  <c r="R116" i="61"/>
  <c r="B115" i="61"/>
  <c r="J113" i="61"/>
  <c r="R111" i="61"/>
  <c r="J108" i="61"/>
  <c r="L103" i="61"/>
  <c r="N98" i="61"/>
  <c r="G122" i="61"/>
  <c r="E121" i="61"/>
  <c r="C120" i="61"/>
  <c r="Z118" i="61"/>
  <c r="X117" i="61"/>
  <c r="V116" i="61"/>
  <c r="F115" i="61"/>
  <c r="Q113" i="61"/>
  <c r="Z111" i="61"/>
  <c r="Z108" i="61"/>
  <c r="B104" i="61"/>
  <c r="D99" i="61"/>
  <c r="S122" i="61"/>
  <c r="X121" i="61"/>
  <c r="B121" i="61"/>
  <c r="G120" i="61"/>
  <c r="L119" i="61"/>
  <c r="P118" i="61"/>
  <c r="U117" i="61"/>
  <c r="Z116" i="61"/>
  <c r="Y115" i="61"/>
  <c r="S114" i="61"/>
  <c r="M113" i="61"/>
  <c r="G112" i="61"/>
  <c r="N109" i="61"/>
  <c r="B107" i="61"/>
  <c r="P104" i="61"/>
  <c r="D102" i="61"/>
  <c r="R99" i="61"/>
  <c r="W110" i="61"/>
  <c r="F109" i="61"/>
  <c r="T106" i="61"/>
  <c r="H104" i="61"/>
  <c r="V101" i="61"/>
  <c r="J99" i="61"/>
  <c r="AK49" i="50"/>
  <c r="AM49" i="50" s="1"/>
  <c r="AS49" i="50" s="1"/>
  <c r="AR85" i="27"/>
  <c r="AT85" i="27" s="1"/>
  <c r="E15" i="27" s="1"/>
  <c r="AR84" i="27"/>
  <c r="AT84" i="27" s="1"/>
  <c r="D15" i="27" s="1"/>
  <c r="GD126" i="61" l="1"/>
  <c r="K5" i="64" s="1"/>
  <c r="AK89" i="27"/>
  <c r="AM89" i="27" s="1"/>
  <c r="AS89" i="27" s="1"/>
  <c r="L99" i="27"/>
  <c r="N99" i="27" s="1"/>
  <c r="AQ99" i="27" s="1"/>
  <c r="Z89" i="27"/>
  <c r="AB89" i="27" s="1"/>
  <c r="AK90" i="27"/>
  <c r="AM90" i="27" s="1"/>
  <c r="AS90" i="27" s="1"/>
  <c r="Z90" i="27"/>
  <c r="AB90" i="27" s="1"/>
  <c r="L100" i="27"/>
  <c r="N100" i="27" s="1"/>
  <c r="AQ100" i="27" s="1"/>
  <c r="ET126" i="61"/>
  <c r="EY126" i="61"/>
  <c r="W123" i="61"/>
  <c r="M123" i="61"/>
  <c r="DP81" i="61"/>
  <c r="DZ81" i="61"/>
  <c r="R123" i="61"/>
  <c r="DR81" i="61"/>
  <c r="EI81" i="61"/>
  <c r="EJ81" i="61"/>
  <c r="DO81" i="61"/>
  <c r="EB81" i="61"/>
  <c r="DV81" i="61"/>
  <c r="DN81" i="61"/>
  <c r="EC81" i="61"/>
  <c r="B123" i="61"/>
  <c r="P123" i="61"/>
  <c r="EL81" i="61"/>
  <c r="DT81" i="61"/>
  <c r="DO80" i="61"/>
  <c r="DQ81" i="61"/>
  <c r="EA81" i="61"/>
  <c r="EH81" i="61"/>
  <c r="EG81" i="61"/>
  <c r="DW81" i="61"/>
  <c r="DY81" i="61"/>
  <c r="ED81" i="61"/>
  <c r="EE81" i="61"/>
  <c r="DU81" i="61"/>
  <c r="EF81" i="61"/>
  <c r="DS81" i="61"/>
  <c r="EK81" i="61"/>
  <c r="Z123" i="61"/>
  <c r="D123" i="61"/>
  <c r="AD98" i="61" a="1"/>
  <c r="AU122" i="61" s="1"/>
  <c r="F123" i="61"/>
  <c r="I123" i="61"/>
  <c r="Y123" i="61"/>
  <c r="U123" i="61"/>
  <c r="T123" i="61"/>
  <c r="J123" i="61"/>
  <c r="X123" i="61"/>
  <c r="O123" i="61"/>
  <c r="C123" i="61"/>
  <c r="S123" i="61"/>
  <c r="N123" i="61"/>
  <c r="L123" i="61"/>
  <c r="E123" i="61"/>
  <c r="Q123" i="61"/>
  <c r="G123" i="61"/>
  <c r="V123" i="61"/>
  <c r="K123" i="61"/>
  <c r="H123" i="61"/>
  <c r="DX80" i="61"/>
  <c r="EI80" i="61"/>
  <c r="DT80" i="61"/>
  <c r="EH80" i="61"/>
  <c r="EC80" i="61"/>
  <c r="DV80" i="61"/>
  <c r="EK80" i="61"/>
  <c r="EE80" i="61"/>
  <c r="DS80" i="61"/>
  <c r="EB80" i="61"/>
  <c r="EG80" i="61"/>
  <c r="DN80" i="61"/>
  <c r="EJ80" i="61"/>
  <c r="EA80" i="61"/>
  <c r="DW80" i="61"/>
  <c r="DQ80" i="61"/>
  <c r="ED80" i="61"/>
  <c r="EF80" i="61"/>
  <c r="DU80" i="61"/>
  <c r="DZ80" i="61"/>
  <c r="EL80" i="61"/>
  <c r="DY80" i="61"/>
  <c r="DP80" i="61"/>
  <c r="DR80" i="61"/>
  <c r="AP49" i="50"/>
  <c r="AT49" i="50" s="1"/>
  <c r="D8" i="50" s="1"/>
  <c r="AR89" i="27" l="1"/>
  <c r="AT89" i="27" s="1"/>
  <c r="D16" i="27" s="1"/>
  <c r="AR90" i="27"/>
  <c r="AT90" i="27" s="1"/>
  <c r="E16" i="27" s="1"/>
  <c r="Z100" i="27" s="1"/>
  <c r="AB100" i="27" s="1"/>
  <c r="AG98" i="61"/>
  <c r="AF98" i="61"/>
  <c r="AR99" i="61"/>
  <c r="AE98" i="61"/>
  <c r="AF99" i="61"/>
  <c r="AI98" i="61"/>
  <c r="AU99" i="61"/>
  <c r="AL100" i="61"/>
  <c r="AU100" i="61"/>
  <c r="AZ98" i="61"/>
  <c r="AN99" i="61"/>
  <c r="AN98" i="61"/>
  <c r="AH98" i="61"/>
  <c r="AU98" i="61"/>
  <c r="AM99" i="61"/>
  <c r="AL98" i="61"/>
  <c r="AY98" i="61"/>
  <c r="AS98" i="61"/>
  <c r="AN100" i="61"/>
  <c r="AI99" i="61"/>
  <c r="AV98" i="61"/>
  <c r="AY99" i="61"/>
  <c r="AG99" i="61"/>
  <c r="AD98" i="61"/>
  <c r="AT98" i="61"/>
  <c r="AW98" i="61"/>
  <c r="AP100" i="61"/>
  <c r="AK98" i="61"/>
  <c r="AX98" i="61"/>
  <c r="AL99" i="61"/>
  <c r="AE99" i="61"/>
  <c r="BB98" i="61"/>
  <c r="AP99" i="61"/>
  <c r="AJ99" i="61"/>
  <c r="AM98" i="61"/>
  <c r="AQ98" i="61"/>
  <c r="AH99" i="61"/>
  <c r="AK99" i="61"/>
  <c r="AR98" i="61"/>
  <c r="BA98" i="61"/>
  <c r="AO99" i="61"/>
  <c r="AJ98" i="61"/>
  <c r="AO98" i="61"/>
  <c r="AS99" i="61"/>
  <c r="AG100" i="61"/>
  <c r="AP98" i="61"/>
  <c r="AD99" i="61"/>
  <c r="AY100" i="61"/>
  <c r="AF100" i="61"/>
  <c r="AV99" i="61"/>
  <c r="AQ99" i="61"/>
  <c r="AQ100" i="61"/>
  <c r="AI101" i="61"/>
  <c r="AM101" i="61"/>
  <c r="AS100" i="61"/>
  <c r="AK100" i="61"/>
  <c r="AY101" i="61"/>
  <c r="AZ101" i="61"/>
  <c r="AT101" i="61"/>
  <c r="AO102" i="61"/>
  <c r="AU105" i="61"/>
  <c r="AZ102" i="61"/>
  <c r="AF104" i="61"/>
  <c r="AE100" i="61"/>
  <c r="AX99" i="61"/>
  <c r="BA99" i="61"/>
  <c r="AF102" i="61"/>
  <c r="AK101" i="61"/>
  <c r="AP101" i="61"/>
  <c r="AD102" i="61"/>
  <c r="BB99" i="61"/>
  <c r="BA101" i="61"/>
  <c r="AK102" i="61"/>
  <c r="AJ100" i="61"/>
  <c r="AW100" i="61"/>
  <c r="AD100" i="61"/>
  <c r="AZ99" i="61"/>
  <c r="AE101" i="61"/>
  <c r="AT99" i="61"/>
  <c r="AF101" i="61"/>
  <c r="AV101" i="61"/>
  <c r="AL101" i="61"/>
  <c r="AP102" i="61"/>
  <c r="AG102" i="61"/>
  <c r="AZ100" i="61"/>
  <c r="AE102" i="61"/>
  <c r="AU101" i="61"/>
  <c r="AM102" i="61"/>
  <c r="AT100" i="61"/>
  <c r="AR100" i="61"/>
  <c r="AX100" i="61"/>
  <c r="AO100" i="61"/>
  <c r="AH100" i="61"/>
  <c r="BB100" i="61"/>
  <c r="AI100" i="61"/>
  <c r="AV100" i="61"/>
  <c r="AJ101" i="61"/>
  <c r="AO101" i="61"/>
  <c r="AS101" i="61"/>
  <c r="AM100" i="61"/>
  <c r="AH102" i="61"/>
  <c r="AL103" i="61"/>
  <c r="AH101" i="61"/>
  <c r="AW99" i="61"/>
  <c r="BA100" i="61"/>
  <c r="AA98" i="61" a="1"/>
  <c r="AA108" i="61" s="1"/>
  <c r="AB108" i="61" s="1"/>
  <c r="AN102" i="61"/>
  <c r="AS102" i="61"/>
  <c r="BB101" i="61"/>
  <c r="AQ103" i="61"/>
  <c r="AN103" i="61"/>
  <c r="AT102" i="61"/>
  <c r="AW101" i="61"/>
  <c r="AD101" i="61"/>
  <c r="AQ101" i="61"/>
  <c r="AN101" i="61"/>
  <c r="AG101" i="61"/>
  <c r="AX101" i="61"/>
  <c r="BB102" i="61"/>
  <c r="AL106" i="61"/>
  <c r="AY103" i="61"/>
  <c r="BA103" i="61"/>
  <c r="AH103" i="61"/>
  <c r="AS104" i="61"/>
  <c r="AD105" i="61"/>
  <c r="AD103" i="61"/>
  <c r="AO104" i="61"/>
  <c r="AM103" i="61"/>
  <c r="AH104" i="61"/>
  <c r="AR103" i="61"/>
  <c r="AI102" i="61"/>
  <c r="AD107" i="61"/>
  <c r="AP104" i="61"/>
  <c r="AG106" i="61"/>
  <c r="AX102" i="61"/>
  <c r="AP103" i="61"/>
  <c r="AY107" i="61"/>
  <c r="BB105" i="61"/>
  <c r="AH107" i="61"/>
  <c r="AQ105" i="61"/>
  <c r="AE106" i="61"/>
  <c r="BB106" i="61"/>
  <c r="AS107" i="61"/>
  <c r="AP106" i="61"/>
  <c r="AT106" i="61"/>
  <c r="AD112" i="61"/>
  <c r="AQ120" i="61"/>
  <c r="BA115" i="61"/>
  <c r="AN118" i="61"/>
  <c r="BA110" i="61"/>
  <c r="BB120" i="61"/>
  <c r="AX121" i="61"/>
  <c r="AS112" i="61"/>
  <c r="AR122" i="61"/>
  <c r="AI112" i="61"/>
  <c r="AE119" i="61"/>
  <c r="AF114" i="61"/>
  <c r="AF118" i="61"/>
  <c r="AW113" i="61"/>
  <c r="AQ108" i="61"/>
  <c r="AT113" i="61"/>
  <c r="AW118" i="61"/>
  <c r="AE109" i="61"/>
  <c r="AH114" i="61"/>
  <c r="AK119" i="61"/>
  <c r="AG112" i="61"/>
  <c r="AZ110" i="61"/>
  <c r="AH105" i="61"/>
  <c r="AX110" i="61"/>
  <c r="AI106" i="61"/>
  <c r="AO113" i="61"/>
  <c r="AG113" i="61"/>
  <c r="AE116" i="61"/>
  <c r="AU121" i="61"/>
  <c r="AY106" i="61"/>
  <c r="BA105" i="61"/>
  <c r="AU115" i="61"/>
  <c r="AU116" i="61"/>
  <c r="AF112" i="61"/>
  <c r="AY115" i="61"/>
  <c r="AJ118" i="61"/>
  <c r="AL117" i="61"/>
  <c r="BB122" i="61"/>
  <c r="AS105" i="61"/>
  <c r="AK105" i="61"/>
  <c r="BB108" i="61"/>
  <c r="BB112" i="61"/>
  <c r="AT108" i="61"/>
  <c r="AU104" i="61"/>
  <c r="AJ107" i="61"/>
  <c r="AM112" i="61"/>
  <c r="AP117" i="61"/>
  <c r="AE120" i="61"/>
  <c r="AI105" i="61"/>
  <c r="AW107" i="61"/>
  <c r="AZ112" i="61"/>
  <c r="AD118" i="61"/>
  <c r="AK108" i="61"/>
  <c r="AN113" i="61"/>
  <c r="AQ118" i="61"/>
  <c r="AF121" i="61"/>
  <c r="AZ106" i="61"/>
  <c r="AS109" i="61"/>
  <c r="AY119" i="61"/>
  <c r="AK109" i="61"/>
  <c r="AY104" i="61"/>
  <c r="BB109" i="61"/>
  <c r="AF115" i="61"/>
  <c r="AT117" i="61"/>
  <c r="AW122" i="61"/>
  <c r="AM105" i="61"/>
  <c r="AP110" i="61"/>
  <c r="AE113" i="61"/>
  <c r="AS115" i="61"/>
  <c r="AV120" i="61"/>
  <c r="AO108" i="61"/>
  <c r="AD111" i="61"/>
  <c r="AR113" i="61"/>
  <c r="AU118" i="61"/>
  <c r="AJ121" i="61"/>
  <c r="AH115" i="61"/>
  <c r="AK120" i="61"/>
  <c r="AY122" i="61"/>
  <c r="AT104" i="61"/>
  <c r="AP116" i="61"/>
  <c r="AG105" i="61"/>
  <c r="AM115" i="61"/>
  <c r="AG109" i="61"/>
  <c r="AX104" i="61"/>
  <c r="AE115" i="61"/>
  <c r="AV103" i="61"/>
  <c r="AK106" i="61"/>
  <c r="BB113" i="61"/>
  <c r="AO112" i="61"/>
  <c r="AG121" i="61"/>
  <c r="AX120" i="61"/>
  <c r="AV107" i="61"/>
  <c r="BB117" i="61"/>
  <c r="AG103" i="61"/>
  <c r="AM113" i="61"/>
  <c r="AW108" i="61"/>
  <c r="AX108" i="61"/>
  <c r="AI107" i="61"/>
  <c r="AM108" i="61"/>
  <c r="AS118" i="61"/>
  <c r="AW103" i="61"/>
  <c r="AD114" i="61"/>
  <c r="AN109" i="61"/>
  <c r="AW109" i="61"/>
  <c r="AD109" i="61"/>
  <c r="AJ119" i="61"/>
  <c r="AN104" i="61"/>
  <c r="AT114" i="61"/>
  <c r="AE110" i="61"/>
  <c r="AD104" i="61"/>
  <c r="AL112" i="61"/>
  <c r="AT109" i="61"/>
  <c r="AZ119" i="61"/>
  <c r="AE105" i="61"/>
  <c r="AK115" i="61"/>
  <c r="AU110" i="61"/>
  <c r="AI115" i="61"/>
  <c r="AU103" i="61"/>
  <c r="AR114" i="61"/>
  <c r="AQ111" i="61"/>
  <c r="AW121" i="61"/>
  <c r="AQ115" i="61"/>
  <c r="AI111" i="61"/>
  <c r="AO121" i="61"/>
  <c r="AW102" i="61"/>
  <c r="AL105" i="61"/>
  <c r="AZ107" i="61"/>
  <c r="AO110" i="61"/>
  <c r="AD113" i="61"/>
  <c r="AR115" i="61"/>
  <c r="AG118" i="61"/>
  <c r="AU120" i="61"/>
  <c r="AK103" i="61"/>
  <c r="AY105" i="61"/>
  <c r="AN108" i="61"/>
  <c r="BB110" i="61"/>
  <c r="AQ113" i="61"/>
  <c r="AF116" i="61"/>
  <c r="AT118" i="61"/>
  <c r="AI121" i="61"/>
  <c r="AX103" i="61"/>
  <c r="AM106" i="61"/>
  <c r="BA108" i="61"/>
  <c r="AP111" i="61"/>
  <c r="AE114" i="61"/>
  <c r="AS116" i="61"/>
  <c r="AH119" i="61"/>
  <c r="AV121" i="61"/>
  <c r="BB104" i="61"/>
  <c r="AG117" i="61"/>
  <c r="AH112" i="61"/>
  <c r="AN122" i="61"/>
  <c r="AH116" i="61"/>
  <c r="AY111" i="61"/>
  <c r="AF122" i="61"/>
  <c r="BA102" i="61"/>
  <c r="AP105" i="61"/>
  <c r="AE108" i="61"/>
  <c r="AS110" i="61"/>
  <c r="AH113" i="61"/>
  <c r="AV115" i="61"/>
  <c r="AK118" i="61"/>
  <c r="AY120" i="61"/>
  <c r="AO103" i="61"/>
  <c r="AD106" i="61"/>
  <c r="AR108" i="61"/>
  <c r="AG111" i="61"/>
  <c r="AU113" i="61"/>
  <c r="AJ116" i="61"/>
  <c r="AX118" i="61"/>
  <c r="AM121" i="61"/>
  <c r="BB103" i="61"/>
  <c r="AQ106" i="61"/>
  <c r="AF109" i="61"/>
  <c r="AT111" i="61"/>
  <c r="AI114" i="61"/>
  <c r="AW116" i="61"/>
  <c r="AL119" i="61"/>
  <c r="AZ121" i="61"/>
  <c r="AX115" i="61"/>
  <c r="AM118" i="61"/>
  <c r="BA120" i="61"/>
  <c r="AE103" i="61"/>
  <c r="AK113" i="61"/>
  <c r="AV102" i="61"/>
  <c r="AZ122" i="61"/>
  <c r="AU107" i="61"/>
  <c r="BA117" i="61"/>
  <c r="AU111" i="61"/>
  <c r="BA121" i="61"/>
  <c r="AM107" i="61"/>
  <c r="AS117" i="61"/>
  <c r="AM104" i="61"/>
  <c r="BA106" i="61"/>
  <c r="AP109" i="61"/>
  <c r="AE112" i="61"/>
  <c r="AS114" i="61"/>
  <c r="AH117" i="61"/>
  <c r="AV119" i="61"/>
  <c r="AK122" i="61"/>
  <c r="AL102" i="61"/>
  <c r="AZ104" i="61"/>
  <c r="AO107" i="61"/>
  <c r="AD110" i="61"/>
  <c r="AR112" i="61"/>
  <c r="AG115" i="61"/>
  <c r="AU117" i="61"/>
  <c r="AJ120" i="61"/>
  <c r="AX122" i="61"/>
  <c r="AY102" i="61"/>
  <c r="AN105" i="61"/>
  <c r="BB107" i="61"/>
  <c r="AQ110" i="61"/>
  <c r="AF113" i="61"/>
  <c r="AT115" i="61"/>
  <c r="AI118" i="61"/>
  <c r="AW120" i="61"/>
  <c r="AZ114" i="61"/>
  <c r="AK110" i="61"/>
  <c r="AL111" i="61"/>
  <c r="AO117" i="61"/>
  <c r="AH121" i="61"/>
  <c r="AR116" i="61"/>
  <c r="BB111" i="61"/>
  <c r="AD120" i="61"/>
  <c r="AR111" i="61"/>
  <c r="AI117" i="61"/>
  <c r="AO122" i="61"/>
  <c r="AY117" i="61"/>
  <c r="AJ113" i="61"/>
  <c r="AM111" i="61"/>
  <c r="AF111" i="61"/>
  <c r="AI116" i="61"/>
  <c r="AL121" i="61"/>
  <c r="AS111" i="61"/>
  <c r="AV116" i="61"/>
  <c r="AY121" i="61"/>
  <c r="AR109" i="61"/>
  <c r="AU114" i="61"/>
  <c r="AJ117" i="61"/>
  <c r="AX119" i="61"/>
  <c r="AM122" i="61"/>
  <c r="BA113" i="61"/>
  <c r="AU119" i="61"/>
  <c r="AV114" i="61"/>
  <c r="AP108" i="61"/>
  <c r="AV118" i="61"/>
  <c r="AN114" i="61"/>
  <c r="AU108" i="61"/>
  <c r="AJ111" i="61"/>
  <c r="AX113" i="61"/>
  <c r="AM116" i="61"/>
  <c r="BA118" i="61"/>
  <c r="AI109" i="61"/>
  <c r="AW111" i="61"/>
  <c r="AL114" i="61"/>
  <c r="AZ116" i="61"/>
  <c r="AO119" i="61"/>
  <c r="AD122" i="61"/>
  <c r="AV109" i="61"/>
  <c r="AK112" i="61"/>
  <c r="AY114" i="61"/>
  <c r="AN117" i="61"/>
  <c r="BB119" i="61"/>
  <c r="AQ122" i="61"/>
  <c r="AO116" i="61"/>
  <c r="AD119" i="61"/>
  <c r="AR121" i="61"/>
  <c r="AF110" i="61"/>
  <c r="AO109" i="61"/>
  <c r="AJ110" i="61"/>
  <c r="AP120" i="61"/>
  <c r="AJ114" i="61"/>
  <c r="BA109" i="61"/>
  <c r="AH120" i="61"/>
  <c r="AR107" i="61"/>
  <c r="AG110" i="61"/>
  <c r="AU112" i="61"/>
  <c r="AJ115" i="61"/>
  <c r="AX117" i="61"/>
  <c r="AM120" i="61"/>
  <c r="BA122" i="61"/>
  <c r="AF108" i="61"/>
  <c r="AT110" i="61"/>
  <c r="AI113" i="61"/>
  <c r="AW115" i="61"/>
  <c r="AL118" i="61"/>
  <c r="AZ120" i="61"/>
  <c r="AS108" i="61"/>
  <c r="AH111" i="61"/>
  <c r="AV113" i="61"/>
  <c r="AK116" i="61"/>
  <c r="AY118" i="61"/>
  <c r="AN121" i="61"/>
  <c r="AY112" i="61"/>
  <c r="AJ108" i="61"/>
  <c r="AP118" i="61"/>
  <c r="AT103" i="61"/>
  <c r="AZ113" i="61"/>
  <c r="AI103" i="61"/>
  <c r="AJ103" i="61"/>
  <c r="AP113" i="61"/>
  <c r="AZ108" i="61"/>
  <c r="AG119" i="61"/>
  <c r="AK104" i="61"/>
  <c r="AW105" i="61"/>
  <c r="AO105" i="61"/>
  <c r="AZ103" i="61"/>
  <c r="AG114" i="61"/>
  <c r="AQ109" i="61"/>
  <c r="AW119" i="61"/>
  <c r="BA104" i="61"/>
  <c r="AL104" i="61"/>
  <c r="AL108" i="61"/>
  <c r="AD108" i="61"/>
  <c r="AQ104" i="61"/>
  <c r="AW114" i="61"/>
  <c r="AH110" i="61"/>
  <c r="AN120" i="61"/>
  <c r="AR105" i="61"/>
  <c r="AH108" i="61"/>
  <c r="AS121" i="61"/>
  <c r="AN106" i="61"/>
  <c r="AT116" i="61"/>
  <c r="AN110" i="61"/>
  <c r="AT120" i="61"/>
  <c r="AF106" i="61"/>
  <c r="AL116" i="61"/>
  <c r="AE104" i="61"/>
  <c r="AS106" i="61"/>
  <c r="AH109" i="61"/>
  <c r="AV111" i="61"/>
  <c r="AK114" i="61"/>
  <c r="AY116" i="61"/>
  <c r="AN119" i="61"/>
  <c r="BB121" i="61"/>
  <c r="AR104" i="61"/>
  <c r="AG107" i="61"/>
  <c r="AU109" i="61"/>
  <c r="AJ112" i="61"/>
  <c r="AX114" i="61"/>
  <c r="AM117" i="61"/>
  <c r="BA119" i="61"/>
  <c r="AP122" i="61"/>
  <c r="AQ102" i="61"/>
  <c r="AF105" i="61"/>
  <c r="AT107" i="61"/>
  <c r="AI110" i="61"/>
  <c r="AW112" i="61"/>
  <c r="AL115" i="61"/>
  <c r="AZ117" i="61"/>
  <c r="AO120" i="61"/>
  <c r="AV110" i="61"/>
  <c r="AJ122" i="61"/>
  <c r="AE107" i="61"/>
  <c r="AK117" i="61"/>
  <c r="AE111" i="61"/>
  <c r="AK121" i="61"/>
  <c r="AV106" i="61"/>
  <c r="BB116" i="61"/>
  <c r="AI104" i="61"/>
  <c r="AW106" i="61"/>
  <c r="AL109" i="61"/>
  <c r="AZ111" i="61"/>
  <c r="AO114" i="61"/>
  <c r="AD117" i="61"/>
  <c r="AR119" i="61"/>
  <c r="AG122" i="61"/>
  <c r="AV104" i="61"/>
  <c r="AK107" i="61"/>
  <c r="AY109" i="61"/>
  <c r="AN112" i="61"/>
  <c r="BB114" i="61"/>
  <c r="AQ117" i="61"/>
  <c r="AF120" i="61"/>
  <c r="AT122" i="61"/>
  <c r="AU102" i="61"/>
  <c r="AJ105" i="61"/>
  <c r="AX107" i="61"/>
  <c r="AM110" i="61"/>
  <c r="BA112" i="61"/>
  <c r="AP115" i="61"/>
  <c r="AE118" i="61"/>
  <c r="AS120" i="61"/>
  <c r="AQ114" i="61"/>
  <c r="AF117" i="61"/>
  <c r="AT119" i="61"/>
  <c r="AI122" i="61"/>
  <c r="AJ106" i="61"/>
  <c r="AW117" i="61"/>
  <c r="AR102" i="61"/>
  <c r="AX112" i="61"/>
  <c r="AR106" i="61"/>
  <c r="AX116" i="61"/>
  <c r="AJ102" i="61"/>
  <c r="AP112" i="61"/>
  <c r="AV122" i="61"/>
  <c r="AF103" i="61"/>
  <c r="AT105" i="61"/>
  <c r="AI108" i="61"/>
  <c r="AW110" i="61"/>
  <c r="AL113" i="61"/>
  <c r="AZ115" i="61"/>
  <c r="AO118" i="61"/>
  <c r="AD121" i="61"/>
  <c r="AS103" i="61"/>
  <c r="AH106" i="61"/>
  <c r="AV108" i="61"/>
  <c r="AK111" i="61"/>
  <c r="AY113" i="61"/>
  <c r="AN116" i="61"/>
  <c r="BB118" i="61"/>
  <c r="AQ121" i="61"/>
  <c r="AR101" i="61"/>
  <c r="AG104" i="61"/>
  <c r="AU106" i="61"/>
  <c r="AJ109" i="61"/>
  <c r="AX111" i="61"/>
  <c r="AM114" i="61"/>
  <c r="BA116" i="61"/>
  <c r="AP119" i="61"/>
  <c r="AE122" i="61"/>
  <c r="AP121" i="61"/>
  <c r="AT112" i="61"/>
  <c r="AR110" i="61"/>
  <c r="AN115" i="61"/>
  <c r="AE121" i="61"/>
  <c r="AX105" i="61"/>
  <c r="AO111" i="61"/>
  <c r="AD116" i="61"/>
  <c r="AO106" i="61"/>
  <c r="AL122" i="61"/>
  <c r="AP107" i="61"/>
  <c r="AR118" i="61"/>
  <c r="AF107" i="61"/>
  <c r="AV112" i="61"/>
  <c r="AG108" i="61"/>
  <c r="AI119" i="61"/>
  <c r="AZ118" i="61"/>
  <c r="AX109" i="61"/>
  <c r="BA114" i="61"/>
  <c r="AS122" i="61"/>
  <c r="AL110" i="61"/>
  <c r="AO115" i="61"/>
  <c r="AR120" i="61"/>
  <c r="AV105" i="61"/>
  <c r="AY110" i="61"/>
  <c r="BB115" i="61"/>
  <c r="AQ107" i="61"/>
  <c r="AS113" i="61"/>
  <c r="AQ119" i="61"/>
  <c r="AN107" i="61"/>
  <c r="AQ112" i="61"/>
  <c r="AI120" i="61"/>
  <c r="BA107" i="61"/>
  <c r="AH118" i="61"/>
  <c r="AZ105" i="61"/>
  <c r="AG116" i="61"/>
  <c r="AV117" i="61"/>
  <c r="AL120" i="61"/>
  <c r="AM119" i="61"/>
  <c r="AY108" i="61"/>
  <c r="AN111" i="61"/>
  <c r="AQ116" i="61"/>
  <c r="AF119" i="61"/>
  <c r="AT121" i="61"/>
  <c r="AJ104" i="61"/>
  <c r="AX106" i="61"/>
  <c r="AM109" i="61"/>
  <c r="BA111" i="61"/>
  <c r="AP114" i="61"/>
  <c r="AE117" i="61"/>
  <c r="AS119" i="61"/>
  <c r="AH122" i="61"/>
  <c r="AW104" i="61"/>
  <c r="AL107" i="61"/>
  <c r="AZ109" i="61"/>
  <c r="AD115" i="61"/>
  <c r="AR117" i="61"/>
  <c r="AG120" i="61"/>
  <c r="Z54" i="50"/>
  <c r="AB54" i="50" s="1"/>
  <c r="AK54" i="50"/>
  <c r="AM54" i="50" s="1"/>
  <c r="AS54" i="50" s="1"/>
  <c r="L59" i="50"/>
  <c r="N59" i="50" s="1"/>
  <c r="AQ59" i="50" s="1"/>
  <c r="AA102" i="61" l="1"/>
  <c r="AB102" i="61" s="1"/>
  <c r="AA99" i="61"/>
  <c r="AB99" i="61" s="1"/>
  <c r="I8" i="62" s="1"/>
  <c r="AA119" i="61"/>
  <c r="AB119" i="61" s="1"/>
  <c r="AA112" i="61"/>
  <c r="AB112" i="61" s="1"/>
  <c r="I21" i="62" s="1"/>
  <c r="AK95" i="27"/>
  <c r="AM95" i="27" s="1"/>
  <c r="AS95" i="27" s="1"/>
  <c r="AT95" i="27" s="1"/>
  <c r="E17" i="27" s="1"/>
  <c r="AK100" i="27" s="1"/>
  <c r="AM100" i="27" s="1"/>
  <c r="AS100" i="27" s="1"/>
  <c r="L105" i="27"/>
  <c r="N105" i="27" s="1"/>
  <c r="AQ105" i="27" s="1"/>
  <c r="AK94" i="27"/>
  <c r="AM94" i="27" s="1"/>
  <c r="AS94" i="27" s="1"/>
  <c r="AT94" i="27" s="1"/>
  <c r="D17" i="27" s="1"/>
  <c r="AK99" i="27" s="1"/>
  <c r="AM99" i="27" s="1"/>
  <c r="AS99" i="27" s="1"/>
  <c r="L104" i="27"/>
  <c r="N104" i="27" s="1"/>
  <c r="AQ104" i="27" s="1"/>
  <c r="Z99" i="27"/>
  <c r="AB99" i="27" s="1"/>
  <c r="AR100" i="27" s="1"/>
  <c r="AT100" i="27" s="1"/>
  <c r="E18" i="27" s="1"/>
  <c r="AK105" i="27" s="1"/>
  <c r="AM105" i="27" s="1"/>
  <c r="AS105" i="27" s="1"/>
  <c r="AA113" i="61"/>
  <c r="AB113" i="61" s="1"/>
  <c r="AA106" i="61"/>
  <c r="AB106" i="61" s="1"/>
  <c r="I15" i="62" s="1"/>
  <c r="AA120" i="61"/>
  <c r="AB120" i="61" s="1"/>
  <c r="I29" i="62" s="1"/>
  <c r="AA101" i="61"/>
  <c r="AB101" i="61" s="1"/>
  <c r="I10" i="62" s="1"/>
  <c r="AA100" i="61"/>
  <c r="AB100" i="61" s="1"/>
  <c r="I9" i="62" s="1"/>
  <c r="AA115" i="61"/>
  <c r="AB115" i="61" s="1"/>
  <c r="AA110" i="61"/>
  <c r="AB110" i="61" s="1"/>
  <c r="I19" i="62" s="1"/>
  <c r="AA117" i="61"/>
  <c r="AB117" i="61" s="1"/>
  <c r="AA122" i="61"/>
  <c r="AB122" i="61" s="1"/>
  <c r="AA105" i="61"/>
  <c r="AB105" i="61" s="1"/>
  <c r="AA107" i="61"/>
  <c r="AB107" i="61" s="1"/>
  <c r="AA121" i="61"/>
  <c r="AB121" i="61" s="1"/>
  <c r="I30" i="62" s="1"/>
  <c r="AA118" i="61"/>
  <c r="AB118" i="61" s="1"/>
  <c r="I27" i="62" s="1"/>
  <c r="AA116" i="61"/>
  <c r="AB116" i="61" s="1"/>
  <c r="I25" i="62" s="1"/>
  <c r="AA103" i="61"/>
  <c r="AB103" i="61" s="1"/>
  <c r="I12" i="62" s="1"/>
  <c r="AA104" i="61"/>
  <c r="AB104" i="61" s="1"/>
  <c r="I13" i="62" s="1"/>
  <c r="AA109" i="61"/>
  <c r="AB109" i="61" s="1"/>
  <c r="I18" i="62" s="1"/>
  <c r="AA98" i="61"/>
  <c r="AB98" i="61" s="1"/>
  <c r="I7" i="62" s="1"/>
  <c r="AA111" i="61"/>
  <c r="AB111" i="61" s="1"/>
  <c r="I20" i="62" s="1"/>
  <c r="AA114" i="61"/>
  <c r="AB114" i="61" s="1"/>
  <c r="I23" i="62" s="1"/>
  <c r="I31" i="62"/>
  <c r="I14" i="62"/>
  <c r="I16" i="62"/>
  <c r="I26" i="62"/>
  <c r="I11" i="62"/>
  <c r="I24" i="62"/>
  <c r="I28" i="62"/>
  <c r="I22" i="62"/>
  <c r="I17" i="62"/>
  <c r="L110" i="27" l="1"/>
  <c r="N110" i="27" s="1"/>
  <c r="AQ110" i="27" s="1"/>
  <c r="Z105" i="27"/>
  <c r="AB105" i="27" s="1"/>
  <c r="AR99" i="27"/>
  <c r="AT99" i="27" s="1"/>
  <c r="D18" i="27" s="1"/>
  <c r="AK104" i="27" s="1"/>
  <c r="AM104" i="27" s="1"/>
  <c r="AS104" i="27" s="1"/>
  <c r="Z104" i="27" l="1"/>
  <c r="AB104" i="27" s="1"/>
  <c r="AR104" i="27" s="1"/>
  <c r="AT104" i="27" s="1"/>
  <c r="D19" i="27" s="1"/>
  <c r="L109" i="27"/>
  <c r="N109" i="27" s="1"/>
  <c r="AQ109" i="27" s="1"/>
  <c r="AR105" i="27" l="1"/>
  <c r="AT105" i="27" s="1"/>
  <c r="E19" i="27" s="1"/>
  <c r="AK110" i="27" s="1"/>
  <c r="AM110" i="27" s="1"/>
  <c r="AS110" i="27" s="1"/>
  <c r="Z109" i="27"/>
  <c r="AB109" i="27" s="1"/>
  <c r="L114" i="27"/>
  <c r="N114" i="27" s="1"/>
  <c r="AQ114" i="27" s="1"/>
  <c r="AK109" i="27"/>
  <c r="AM109" i="27" s="1"/>
  <c r="AS109" i="27" s="1"/>
  <c r="Z110" i="27" l="1"/>
  <c r="AB110" i="27" s="1"/>
  <c r="AR110" i="27" s="1"/>
  <c r="AT110" i="27" s="1"/>
  <c r="E20" i="27" s="1"/>
  <c r="L115" i="27"/>
  <c r="N115" i="27" s="1"/>
  <c r="AQ115" i="27" s="1"/>
  <c r="AR109" i="27" l="1"/>
  <c r="AT109" i="27" s="1"/>
  <c r="D20" i="27" s="1"/>
  <c r="Z114" i="27" s="1"/>
  <c r="AB114" i="27" s="1"/>
  <c r="L120" i="27"/>
  <c r="N120" i="27" s="1"/>
  <c r="AQ120" i="27" s="1"/>
  <c r="Z115" i="27"/>
  <c r="AB115" i="27" s="1"/>
  <c r="AK115" i="27"/>
  <c r="AM115" i="27" s="1"/>
  <c r="AS115" i="27" s="1"/>
  <c r="A2" i="65"/>
  <c r="L119" i="27" l="1"/>
  <c r="N119" i="27" s="1"/>
  <c r="AQ119" i="27" s="1"/>
  <c r="AK114" i="27"/>
  <c r="AM114" i="27" s="1"/>
  <c r="AS114" i="27" s="1"/>
  <c r="AR115" i="27"/>
  <c r="AT115" i="27" s="1"/>
  <c r="E21" i="27" s="1"/>
  <c r="AK120" i="27" s="1"/>
  <c r="AM120" i="27" s="1"/>
  <c r="AS120" i="27" s="1"/>
  <c r="AT120" i="27" s="1"/>
  <c r="E22" i="27" s="1"/>
  <c r="AK125" i="27" s="1"/>
  <c r="AM125" i="27" s="1"/>
  <c r="AS125" i="27" s="1"/>
  <c r="AT125" i="27" s="1"/>
  <c r="E23" i="27" s="1"/>
  <c r="AK130" i="27" s="1"/>
  <c r="AM130" i="27" s="1"/>
  <c r="AS130" i="27" s="1"/>
  <c r="AT130" i="27" s="1"/>
  <c r="E26" i="27" s="1"/>
  <c r="AR114" i="27"/>
  <c r="AP54" i="45"/>
  <c r="AT54" i="45" s="1"/>
  <c r="D9" i="45" s="1"/>
  <c r="AK59" i="45" s="1"/>
  <c r="AM59" i="45" s="1"/>
  <c r="AS59" i="45" s="1"/>
  <c r="AT59" i="45"/>
  <c r="D10" i="45" s="1"/>
  <c r="AK64" i="45" s="1"/>
  <c r="AM64" i="45" s="1"/>
  <c r="AS64" i="45" s="1"/>
  <c r="AT60" i="45"/>
  <c r="E10" i="45" s="1"/>
  <c r="L70" i="45" s="1"/>
  <c r="N70" i="45" s="1"/>
  <c r="AQ70" i="45" s="1"/>
  <c r="AT114" i="27" l="1"/>
  <c r="D21" i="27" s="1"/>
  <c r="AK119" i="27" s="1"/>
  <c r="AM119" i="27" s="1"/>
  <c r="AS119" i="27" s="1"/>
  <c r="AT119" i="27" s="1"/>
  <c r="D22" i="27" s="1"/>
  <c r="AK124" i="27" s="1"/>
  <c r="AM124" i="27" s="1"/>
  <c r="AS124" i="27" s="1"/>
  <c r="AT124" i="27" s="1"/>
  <c r="D23" i="27" s="1"/>
  <c r="AK129" i="27" s="1"/>
  <c r="AM129" i="27" s="1"/>
  <c r="AS129" i="27" s="1"/>
  <c r="AT129" i="27" s="1"/>
  <c r="D28" i="27" s="1"/>
  <c r="E25" i="27"/>
  <c r="E28" i="27"/>
  <c r="E24" i="27"/>
  <c r="AK145" i="27" s="1"/>
  <c r="AM145" i="27" s="1"/>
  <c r="AS145" i="27" s="1"/>
  <c r="AT145" i="27" s="1"/>
  <c r="E27" i="27"/>
  <c r="L69" i="45"/>
  <c r="N69" i="45" s="1"/>
  <c r="AQ69" i="45" s="1"/>
  <c r="Z65" i="45"/>
  <c r="AB65" i="45" s="1"/>
  <c r="AK65" i="45"/>
  <c r="AM65" i="45" s="1"/>
  <c r="AS65" i="45" s="1"/>
  <c r="Z59" i="45"/>
  <c r="AB59" i="45" s="1"/>
  <c r="L64" i="45"/>
  <c r="N64" i="45" s="1"/>
  <c r="AQ64" i="45" s="1"/>
  <c r="AB15" i="45"/>
  <c r="AD15" i="45" s="1"/>
  <c r="AB9" i="45"/>
  <c r="AD9" i="45" s="1"/>
  <c r="AB4" i="45"/>
  <c r="AD4" i="45" s="1"/>
  <c r="AB10" i="45"/>
  <c r="AD10" i="45" s="1"/>
  <c r="AB16" i="45"/>
  <c r="AD16" i="45" s="1"/>
  <c r="AB5" i="45"/>
  <c r="AD5" i="45" s="1"/>
  <c r="Z64" i="45"/>
  <c r="AB64" i="45" s="1"/>
  <c r="D24" i="27" l="1"/>
  <c r="AK134" i="27" s="1"/>
  <c r="AM134" i="27" s="1"/>
  <c r="AS134" i="27" s="1"/>
  <c r="AT134" i="27" s="1"/>
  <c r="D25" i="27"/>
  <c r="D26" i="27"/>
  <c r="D27" i="27"/>
  <c r="AK135" i="27"/>
  <c r="AM135" i="27" s="1"/>
  <c r="AS135" i="27" s="1"/>
  <c r="AT135" i="27" s="1"/>
  <c r="AK150" i="27"/>
  <c r="AM150" i="27" s="1"/>
  <c r="AS150" i="27" s="1"/>
  <c r="AT150" i="27" s="1"/>
  <c r="AK140" i="27"/>
  <c r="AM140" i="27" s="1"/>
  <c r="AS140" i="27" s="1"/>
  <c r="AT140" i="27" s="1"/>
  <c r="AC93" i="61" a="1"/>
  <c r="AJ93" i="61" s="1"/>
  <c r="X7" i="45"/>
  <c r="L7" i="45" s="1"/>
  <c r="AP65" i="45" s="1"/>
  <c r="AT65" i="45" s="1"/>
  <c r="E11" i="45" s="1"/>
  <c r="X6" i="45"/>
  <c r="L6" i="45" s="1"/>
  <c r="AP64" i="45" s="1"/>
  <c r="AT64" i="45" s="1"/>
  <c r="D11" i="45" s="1"/>
  <c r="AR64" i="45"/>
  <c r="AR65" i="45"/>
  <c r="AR60" i="45"/>
  <c r="AR59" i="45"/>
  <c r="AK149" i="27" l="1"/>
  <c r="AM149" i="27" s="1"/>
  <c r="AS149" i="27" s="1"/>
  <c r="AT149" i="27" s="1"/>
  <c r="AK144" i="27"/>
  <c r="AM144" i="27" s="1"/>
  <c r="AS144" i="27" s="1"/>
  <c r="AT144" i="27" s="1"/>
  <c r="B93" i="61" a="1"/>
  <c r="O93" i="61" s="1"/>
  <c r="AK139" i="27"/>
  <c r="AM139" i="27" s="1"/>
  <c r="AS139" i="27" s="1"/>
  <c r="AT139" i="27" s="1"/>
  <c r="AE93" i="61"/>
  <c r="AQ93" i="61"/>
  <c r="AI93" i="61"/>
  <c r="AK93" i="61"/>
  <c r="AM93" i="61"/>
  <c r="AS93" i="61"/>
  <c r="AU93" i="61"/>
  <c r="AL93" i="61"/>
  <c r="AP93" i="61"/>
  <c r="AV93" i="61"/>
  <c r="AD93" i="61"/>
  <c r="AZ93" i="61"/>
  <c r="AT93" i="61"/>
  <c r="BA93" i="61"/>
  <c r="AO93" i="61"/>
  <c r="AH93" i="61"/>
  <c r="AF93" i="61"/>
  <c r="AW93" i="61"/>
  <c r="AG93" i="61"/>
  <c r="AY93" i="61"/>
  <c r="AC93" i="61"/>
  <c r="AX93" i="61"/>
  <c r="AN93" i="61"/>
  <c r="AR93" i="61"/>
  <c r="AP5" i="45"/>
  <c r="AR5" i="45" s="1"/>
  <c r="L74" i="45"/>
  <c r="N74" i="45" s="1"/>
  <c r="AQ74" i="45" s="1"/>
  <c r="AP6" i="45"/>
  <c r="AR6" i="45" s="1"/>
  <c r="L75" i="45"/>
  <c r="N75" i="45" s="1"/>
  <c r="AQ75" i="45" s="1"/>
  <c r="AB23" i="45"/>
  <c r="AD23" i="45" s="1"/>
  <c r="AB28" i="45"/>
  <c r="AD28" i="45" s="1"/>
  <c r="Z70" i="45"/>
  <c r="AB70" i="45" s="1"/>
  <c r="AK70" i="45"/>
  <c r="AM70" i="45" s="1"/>
  <c r="AS70" i="45" s="1"/>
  <c r="AB27" i="45"/>
  <c r="AD27" i="45" s="1"/>
  <c r="AB22" i="45"/>
  <c r="AD22" i="45" s="1"/>
  <c r="Z69" i="45"/>
  <c r="AB69" i="45" s="1"/>
  <c r="AK69" i="45"/>
  <c r="AM69" i="45" s="1"/>
  <c r="AS69" i="45" s="1"/>
  <c r="Q93" i="61" l="1"/>
  <c r="P93" i="61"/>
  <c r="G93" i="61"/>
  <c r="W93" i="61"/>
  <c r="Z93" i="61"/>
  <c r="S93" i="61"/>
  <c r="R93" i="61"/>
  <c r="J93" i="61"/>
  <c r="M93" i="61"/>
  <c r="V93" i="61"/>
  <c r="T93" i="61"/>
  <c r="L93" i="61"/>
  <c r="N93" i="61"/>
  <c r="C93" i="61"/>
  <c r="B93" i="61"/>
  <c r="K93" i="61"/>
  <c r="U93" i="61"/>
  <c r="Y93" i="61"/>
  <c r="X93" i="61"/>
  <c r="I93" i="61"/>
  <c r="F93" i="61"/>
  <c r="E93" i="61"/>
  <c r="D93" i="61"/>
  <c r="H93" i="61"/>
  <c r="X24" i="45"/>
  <c r="L8" i="45" s="1"/>
  <c r="AP69" i="45" s="1"/>
  <c r="AT69" i="45" s="1"/>
  <c r="D12" i="45" s="1"/>
  <c r="X25" i="45"/>
  <c r="L9" i="45" s="1"/>
  <c r="AP70" i="45" s="1"/>
  <c r="AR70" i="45"/>
  <c r="AR69" i="45"/>
  <c r="AT70" i="45" l="1"/>
  <c r="E12" i="45" s="1"/>
  <c r="AK75" i="45" s="1"/>
  <c r="AM75" i="45" s="1"/>
  <c r="AS75" i="45" s="1"/>
  <c r="AP10" i="45"/>
  <c r="AR10" i="45" s="1"/>
  <c r="Z74" i="45"/>
  <c r="AB74" i="45" s="1"/>
  <c r="L79" i="45"/>
  <c r="N79" i="45" s="1"/>
  <c r="AQ79" i="45" s="1"/>
  <c r="AT79" i="45" s="1"/>
  <c r="D14" i="45" s="1"/>
  <c r="AP11" i="45"/>
  <c r="AR11" i="45" s="1"/>
  <c r="AP16" i="45"/>
  <c r="AR16" i="45" s="1"/>
  <c r="AK74" i="45"/>
  <c r="AM74" i="45" s="1"/>
  <c r="AS74" i="45" s="1"/>
  <c r="AP15" i="45"/>
  <c r="AR15" i="45" s="1"/>
  <c r="L80" i="45" l="1"/>
  <c r="N80" i="45" s="1"/>
  <c r="AQ80" i="45" s="1"/>
  <c r="AT80" i="45" s="1"/>
  <c r="E14" i="45" s="1"/>
  <c r="L90" i="45" s="1"/>
  <c r="N90" i="45" s="1"/>
  <c r="AQ90" i="45" s="1"/>
  <c r="Z75" i="45"/>
  <c r="AB75" i="45" s="1"/>
  <c r="AR75" i="45" s="1"/>
  <c r="L89" i="45"/>
  <c r="N89" i="45" s="1"/>
  <c r="AQ89" i="45" s="1"/>
  <c r="AK84" i="45"/>
  <c r="AM84" i="45" s="1"/>
  <c r="AS84" i="45" s="1"/>
  <c r="Z84" i="45"/>
  <c r="AB84" i="45" s="1"/>
  <c r="AR74" i="45"/>
  <c r="AL13" i="45"/>
  <c r="L11" i="45" s="1"/>
  <c r="AP75" i="45" s="1"/>
  <c r="AT75" i="45" s="1"/>
  <c r="E13" i="45" s="1"/>
  <c r="AK80" i="45" s="1"/>
  <c r="AM80" i="45" s="1"/>
  <c r="AS80" i="45" s="1"/>
  <c r="AL12" i="45"/>
  <c r="L10" i="45" s="1"/>
  <c r="AP74" i="45" s="1"/>
  <c r="AT74" i="45" s="1"/>
  <c r="D13" i="45" s="1"/>
  <c r="AK79" i="45" s="1"/>
  <c r="AM79" i="45" s="1"/>
  <c r="AS79" i="45" s="1"/>
  <c r="AK85" i="45" l="1"/>
  <c r="AM85" i="45" s="1"/>
  <c r="AS85" i="45" s="1"/>
  <c r="Z85" i="45"/>
  <c r="AB85" i="45" s="1"/>
  <c r="AR85" i="45" s="1"/>
  <c r="Z79" i="45"/>
  <c r="AB79" i="45" s="1"/>
  <c r="L84" i="45"/>
  <c r="N84" i="45" s="1"/>
  <c r="AQ84" i="45" s="1"/>
  <c r="L85" i="45"/>
  <c r="N85" i="45" s="1"/>
  <c r="AQ85" i="45" s="1"/>
  <c r="Z80" i="45"/>
  <c r="AB80" i="45" s="1"/>
  <c r="AR84" i="45" l="1"/>
  <c r="AT84" i="45" s="1"/>
  <c r="D15" i="45" s="1"/>
  <c r="AK89" i="45" s="1"/>
  <c r="AM89" i="45" s="1"/>
  <c r="AS89" i="45" s="1"/>
  <c r="AT85" i="45"/>
  <c r="E15" i="45" s="1"/>
  <c r="Z90" i="45" s="1"/>
  <c r="AB90" i="45" s="1"/>
  <c r="AR80" i="45"/>
  <c r="AR79" i="45"/>
  <c r="L100" i="45" l="1"/>
  <c r="N100" i="45" s="1"/>
  <c r="AQ100" i="45" s="1"/>
  <c r="L99" i="45"/>
  <c r="N99" i="45" s="1"/>
  <c r="AQ99" i="45" s="1"/>
  <c r="Z89" i="45"/>
  <c r="AB89" i="45" s="1"/>
  <c r="AR89" i="45" s="1"/>
  <c r="AT89" i="45" s="1"/>
  <c r="D16" i="45" s="1"/>
  <c r="AK90" i="45"/>
  <c r="AM90" i="45" s="1"/>
  <c r="AS90" i="45" s="1"/>
  <c r="AR90" i="45" l="1"/>
  <c r="AT90" i="45" s="1"/>
  <c r="E16" i="45" s="1"/>
  <c r="AK95" i="45" s="1"/>
  <c r="AM95" i="45" s="1"/>
  <c r="AS95" i="45" s="1"/>
  <c r="AT95" i="45" s="1"/>
  <c r="E17" i="45" s="1"/>
  <c r="AK100" i="45" s="1"/>
  <c r="AM100" i="45" s="1"/>
  <c r="AS100" i="45" s="1"/>
  <c r="Z99" i="45"/>
  <c r="AB99" i="45" s="1"/>
  <c r="L104" i="45"/>
  <c r="N104" i="45" s="1"/>
  <c r="AQ104" i="45" s="1"/>
  <c r="AK94" i="45"/>
  <c r="AM94" i="45" s="1"/>
  <c r="AS94" i="45" s="1"/>
  <c r="AT94" i="45" s="1"/>
  <c r="D17" i="45" s="1"/>
  <c r="AK99" i="45" s="1"/>
  <c r="AM99" i="45" s="1"/>
  <c r="AS99" i="45" s="1"/>
  <c r="L105" i="45" l="1"/>
  <c r="N105" i="45" s="1"/>
  <c r="AQ105" i="45" s="1"/>
  <c r="Z100" i="45"/>
  <c r="AB100" i="45" s="1"/>
  <c r="AR100" i="45" s="1"/>
  <c r="AT100" i="45" s="1"/>
  <c r="E18" i="45" s="1"/>
  <c r="AR99" i="45" l="1"/>
  <c r="AT99" i="45" s="1"/>
  <c r="D18" i="45" s="1"/>
  <c r="AK104" i="45" s="1"/>
  <c r="AM104" i="45" s="1"/>
  <c r="AS104" i="45" s="1"/>
  <c r="Z105" i="45"/>
  <c r="AB105" i="45" s="1"/>
  <c r="AK105" i="45"/>
  <c r="AM105" i="45" s="1"/>
  <c r="AS105" i="45" s="1"/>
  <c r="L110" i="45"/>
  <c r="N110" i="45" s="1"/>
  <c r="AQ110" i="45" s="1"/>
  <c r="L109" i="45" l="1"/>
  <c r="N109" i="45" s="1"/>
  <c r="AQ109" i="45" s="1"/>
  <c r="Z104" i="45"/>
  <c r="AB104" i="45" s="1"/>
  <c r="AR104" i="45" s="1"/>
  <c r="AT104" i="45" s="1"/>
  <c r="D19" i="45" s="1"/>
  <c r="AR105" i="45" l="1"/>
  <c r="AT105" i="45" s="1"/>
  <c r="E19" i="45" s="1"/>
  <c r="Z110" i="45" s="1"/>
  <c r="AB110" i="45" s="1"/>
  <c r="L114" i="45"/>
  <c r="N114" i="45" s="1"/>
  <c r="AQ114" i="45" s="1"/>
  <c r="Z109" i="45"/>
  <c r="AB109" i="45" s="1"/>
  <c r="AK109" i="45"/>
  <c r="AM109" i="45" s="1"/>
  <c r="AS109" i="45" s="1"/>
  <c r="AK110" i="45" l="1"/>
  <c r="AM110" i="45" s="1"/>
  <c r="AS110" i="45" s="1"/>
  <c r="L115" i="45"/>
  <c r="N115" i="45" s="1"/>
  <c r="AQ115" i="45" s="1"/>
  <c r="AR110" i="45"/>
  <c r="AR109" i="45"/>
  <c r="AT109" i="45" s="1"/>
  <c r="D20" i="45" s="1"/>
  <c r="AT110" i="45" l="1"/>
  <c r="E20" i="45" s="1"/>
  <c r="AK115" i="45" s="1"/>
  <c r="AM115" i="45" s="1"/>
  <c r="AS115" i="45" s="1"/>
  <c r="AK114" i="45"/>
  <c r="AM114" i="45" s="1"/>
  <c r="AS114" i="45" s="1"/>
  <c r="L119" i="45"/>
  <c r="N119" i="45" s="1"/>
  <c r="AQ119" i="45" s="1"/>
  <c r="Z114" i="45"/>
  <c r="AB114" i="45" s="1"/>
  <c r="L120" i="45"/>
  <c r="N120" i="45" s="1"/>
  <c r="AQ120" i="45" s="1"/>
  <c r="Z115" i="45"/>
  <c r="AB115" i="45" s="1"/>
  <c r="AR114" i="45" l="1"/>
  <c r="AT114" i="45" s="1"/>
  <c r="D21" i="45" s="1"/>
  <c r="AK119" i="45" s="1"/>
  <c r="AM119" i="45" s="1"/>
  <c r="AS119" i="45" s="1"/>
  <c r="AT119" i="45" s="1"/>
  <c r="D22" i="45" s="1"/>
  <c r="AK124" i="45" s="1"/>
  <c r="AM124" i="45" s="1"/>
  <c r="AS124" i="45" s="1"/>
  <c r="AT124" i="45" s="1"/>
  <c r="D23" i="45" s="1"/>
  <c r="AK129" i="45" s="1"/>
  <c r="AM129" i="45" s="1"/>
  <c r="AS129" i="45" s="1"/>
  <c r="AT129" i="45" s="1"/>
  <c r="D26" i="45" s="1"/>
  <c r="AR115" i="45"/>
  <c r="AT115" i="45" s="1"/>
  <c r="E21" i="45" s="1"/>
  <c r="AK120" i="45" s="1"/>
  <c r="AM120" i="45" s="1"/>
  <c r="AS120" i="45" s="1"/>
  <c r="AT120" i="45" s="1"/>
  <c r="E22" i="45" s="1"/>
  <c r="AK125" i="45" s="1"/>
  <c r="AM125" i="45" s="1"/>
  <c r="AS125" i="45" s="1"/>
  <c r="AT125" i="45" s="1"/>
  <c r="E23" i="45" s="1"/>
  <c r="AK130" i="45" s="1"/>
  <c r="AM130" i="45" s="1"/>
  <c r="AS130" i="45" s="1"/>
  <c r="AT130" i="45" s="1"/>
  <c r="E26" i="45" s="1"/>
  <c r="D28" i="45" l="1"/>
  <c r="D25" i="45"/>
  <c r="D24" i="45"/>
  <c r="AK149" i="45" s="1"/>
  <c r="AM149" i="45" s="1"/>
  <c r="AS149" i="45" s="1"/>
  <c r="AT149" i="45" s="1"/>
  <c r="D27" i="45"/>
  <c r="E24" i="45"/>
  <c r="AK140" i="45" s="1"/>
  <c r="AM140" i="45" s="1"/>
  <c r="AS140" i="45" s="1"/>
  <c r="AT140" i="45" s="1"/>
  <c r="E27" i="45"/>
  <c r="E25" i="45"/>
  <c r="E28" i="45"/>
  <c r="AK139" i="45" l="1"/>
  <c r="AM139" i="45" s="1"/>
  <c r="AS139" i="45" s="1"/>
  <c r="AT139" i="45" s="1"/>
  <c r="AK150" i="45"/>
  <c r="AM150" i="45" s="1"/>
  <c r="AS150" i="45" s="1"/>
  <c r="AT150" i="45" s="1"/>
  <c r="AK134" i="45"/>
  <c r="AM134" i="45" s="1"/>
  <c r="AS134" i="45" s="1"/>
  <c r="AT134" i="45" s="1"/>
  <c r="AK145" i="45"/>
  <c r="AM145" i="45" s="1"/>
  <c r="AS145" i="45" s="1"/>
  <c r="AT145" i="45" s="1"/>
  <c r="AK144" i="45"/>
  <c r="AM144" i="45" s="1"/>
  <c r="AS144" i="45" s="1"/>
  <c r="AT144" i="45" s="1"/>
  <c r="AK135" i="45"/>
  <c r="AM135" i="45" s="1"/>
  <c r="AS135" i="45" s="1"/>
  <c r="AT135" i="45" s="1"/>
  <c r="AC75" i="61" a="1"/>
  <c r="AP75" i="61" s="1"/>
  <c r="B75" i="61" a="1"/>
  <c r="E75" i="61" s="1"/>
  <c r="AW75" i="61" l="1"/>
  <c r="AF75" i="61"/>
  <c r="AR75" i="61"/>
  <c r="BA75" i="61"/>
  <c r="AQ75" i="61"/>
  <c r="AM75" i="61"/>
  <c r="AU75" i="61"/>
  <c r="AZ75" i="61"/>
  <c r="AL75" i="61"/>
  <c r="AS75" i="61"/>
  <c r="AT75" i="61"/>
  <c r="AN75" i="61"/>
  <c r="AI75" i="61"/>
  <c r="AE75" i="61"/>
  <c r="AY75" i="61"/>
  <c r="AO75" i="61"/>
  <c r="AH75" i="61"/>
  <c r="AX75" i="61"/>
  <c r="AK75" i="61"/>
  <c r="D75" i="61"/>
  <c r="Z75" i="61"/>
  <c r="K75" i="61"/>
  <c r="P75" i="61"/>
  <c r="M75" i="61"/>
  <c r="H75" i="61"/>
  <c r="C75" i="61"/>
  <c r="AV75" i="61"/>
  <c r="AG75" i="61"/>
  <c r="AJ75" i="61"/>
  <c r="AD75" i="61"/>
  <c r="AC75" i="61"/>
  <c r="W75" i="61"/>
  <c r="I75" i="61"/>
  <c r="S75" i="61"/>
  <c r="R75" i="61"/>
  <c r="B75" i="61"/>
  <c r="J75" i="61"/>
  <c r="Q75" i="61"/>
  <c r="Y75" i="61"/>
  <c r="T75" i="61"/>
  <c r="V75" i="61"/>
  <c r="O75" i="61"/>
  <c r="X75" i="61"/>
  <c r="L75" i="61"/>
  <c r="F75" i="61"/>
  <c r="G75" i="61"/>
  <c r="U75" i="61"/>
  <c r="N75" i="61"/>
  <c r="AP45" i="50"/>
  <c r="AT45" i="50" s="1"/>
  <c r="E7" i="50" s="1"/>
  <c r="AK50" i="50" l="1"/>
  <c r="AM50" i="50" s="1"/>
  <c r="AS50" i="50" s="1"/>
  <c r="AP50" i="50" l="1"/>
  <c r="AT50" i="50" s="1"/>
  <c r="E8" i="50" s="1"/>
  <c r="L60" i="50" l="1"/>
  <c r="N60" i="50" s="1"/>
  <c r="AQ60" i="50" s="1"/>
  <c r="AK55" i="50"/>
  <c r="AM55" i="50" s="1"/>
  <c r="AS55" i="50" s="1"/>
  <c r="Z55" i="50"/>
  <c r="AB55" i="50" s="1"/>
  <c r="AR54" i="50" l="1"/>
  <c r="AR55" i="50"/>
  <c r="AP55" i="50" l="1"/>
  <c r="AT55" i="50" s="1"/>
  <c r="E9" i="50" s="1"/>
  <c r="AP54" i="50"/>
  <c r="AT54" i="50" s="1"/>
  <c r="D9" i="50" s="1"/>
  <c r="AK59" i="50" l="1"/>
  <c r="AM59" i="50" s="1"/>
  <c r="AS59" i="50" s="1"/>
  <c r="L64" i="50"/>
  <c r="N64" i="50" s="1"/>
  <c r="AQ64" i="50" s="1"/>
  <c r="Z59" i="50"/>
  <c r="AB59" i="50" s="1"/>
  <c r="Z60" i="50"/>
  <c r="AB60" i="50" s="1"/>
  <c r="L65" i="50"/>
  <c r="N65" i="50" s="1"/>
  <c r="AQ65" i="50" s="1"/>
  <c r="AR59" i="50" l="1"/>
  <c r="AT59" i="50" s="1"/>
  <c r="D10" i="50" s="1"/>
  <c r="AR60" i="50"/>
  <c r="AT60" i="50" s="1"/>
  <c r="E10" i="50" s="1"/>
  <c r="AB15" i="50" l="1"/>
  <c r="AD15" i="50" s="1"/>
  <c r="AB4" i="50"/>
  <c r="AD4" i="50" s="1"/>
  <c r="L70" i="50"/>
  <c r="N70" i="50" s="1"/>
  <c r="AQ70" i="50" s="1"/>
  <c r="AB5" i="50"/>
  <c r="AD5" i="50" s="1"/>
  <c r="AB16" i="50"/>
  <c r="AD16" i="50" s="1"/>
  <c r="Z65" i="50"/>
  <c r="AB65" i="50" s="1"/>
  <c r="AK65" i="50"/>
  <c r="AM65" i="50" s="1"/>
  <c r="AS65" i="50" s="1"/>
  <c r="L69" i="50"/>
  <c r="N69" i="50" s="1"/>
  <c r="AQ69" i="50" s="1"/>
  <c r="AK64" i="50"/>
  <c r="AM64" i="50" s="1"/>
  <c r="AS64" i="50" s="1"/>
  <c r="Z64" i="50"/>
  <c r="AB64" i="50" s="1"/>
  <c r="AR64" i="50" l="1"/>
  <c r="AR65" i="50"/>
  <c r="AP85" i="50" l="1"/>
  <c r="AP84" i="50"/>
  <c r="AP89" i="50"/>
  <c r="AP90" i="50"/>
  <c r="AP104" i="50"/>
  <c r="AP109" i="50"/>
  <c r="AP105" i="50"/>
  <c r="AP124" i="50"/>
  <c r="AP129" i="50"/>
  <c r="AP119" i="50"/>
  <c r="AP99" i="50"/>
  <c r="AP114" i="50"/>
  <c r="AP144" i="50"/>
  <c r="AP149" i="50"/>
  <c r="AP139" i="50"/>
  <c r="AP134" i="50"/>
  <c r="AP94" i="50"/>
  <c r="AP95" i="50"/>
  <c r="AP125" i="50"/>
  <c r="AP115" i="50"/>
  <c r="AP100" i="50"/>
  <c r="AP110" i="50"/>
  <c r="AP135" i="50"/>
  <c r="AP140" i="50"/>
  <c r="AP130" i="50"/>
  <c r="AP145" i="50"/>
  <c r="AP120" i="50"/>
  <c r="AP150" i="50"/>
  <c r="BG33" i="7" l="1"/>
  <c r="BG33" i="11"/>
  <c r="I56" i="8"/>
  <c r="BG33" i="13"/>
  <c r="I56" i="10"/>
  <c r="BG33" i="8"/>
  <c r="I56" i="6"/>
  <c r="I56" i="9"/>
  <c r="I56" i="11"/>
  <c r="BG33" i="10"/>
  <c r="BG33" i="9"/>
  <c r="I56" i="13"/>
  <c r="I56" i="7"/>
  <c r="I56" i="12"/>
  <c r="BG33" i="6"/>
  <c r="S32" i="6" s="1"/>
  <c r="BW91" i="61" s="1"/>
  <c r="BG33" i="12"/>
  <c r="S32" i="10" l="1"/>
  <c r="BS91" i="61" s="1"/>
  <c r="S32" i="8"/>
  <c r="BU91" i="61" s="1"/>
  <c r="S32" i="12"/>
  <c r="BQ91" i="61" s="1"/>
  <c r="S32" i="13"/>
  <c r="BP91" i="61" s="1"/>
  <c r="S32" i="9"/>
  <c r="BT91" i="61" s="1"/>
  <c r="S32" i="11"/>
  <c r="BR91" i="61" s="1"/>
  <c r="S32" i="7"/>
  <c r="BV91" i="61" s="1"/>
  <c r="X7" i="50"/>
  <c r="AP65" i="50"/>
  <c r="AT65" i="50" s="1"/>
  <c r="E11" i="50" s="1"/>
  <c r="AK70" i="50" s="1"/>
  <c r="AM70" i="50" s="1"/>
  <c r="AS70" i="50" s="1"/>
  <c r="X6" i="50"/>
  <c r="AP64" i="50"/>
  <c r="AT64" i="50" s="1"/>
  <c r="D11" i="50" s="1"/>
  <c r="Z69" i="50" s="1"/>
  <c r="AB69" i="50" s="1"/>
  <c r="AP10" i="50"/>
  <c r="AR10" i="50" s="1"/>
  <c r="AP11" i="50"/>
  <c r="AR11" i="50" s="1"/>
  <c r="AB22" i="50" l="1"/>
  <c r="AD22" i="50" s="1"/>
  <c r="AB23" i="50"/>
  <c r="AD23" i="50" s="1"/>
  <c r="AP5" i="50"/>
  <c r="AR5" i="50" s="1"/>
  <c r="AB9" i="50"/>
  <c r="AD9" i="50" s="1"/>
  <c r="L6" i="50" s="1"/>
  <c r="AP69" i="50" s="1"/>
  <c r="AP6" i="50"/>
  <c r="AR6" i="50" s="1"/>
  <c r="L11" i="50" s="1"/>
  <c r="AP80" i="50" s="1"/>
  <c r="AB10" i="50"/>
  <c r="AD10" i="50" s="1"/>
  <c r="AK69" i="50"/>
  <c r="AM69" i="50" s="1"/>
  <c r="AS69" i="50" s="1"/>
  <c r="Z70" i="50"/>
  <c r="AB70" i="50" s="1"/>
  <c r="AR70" i="50" s="1"/>
  <c r="L75" i="50"/>
  <c r="N75" i="50" s="1"/>
  <c r="AQ75" i="50" s="1"/>
  <c r="L74" i="50"/>
  <c r="N74" i="50" s="1"/>
  <c r="AQ74" i="50" s="1"/>
  <c r="AL13" i="50"/>
  <c r="AL12" i="50"/>
  <c r="X24" i="50"/>
  <c r="L8" i="50" s="1"/>
  <c r="AP74" i="50" s="1"/>
  <c r="L7" i="50"/>
  <c r="AP70" i="50" s="1"/>
  <c r="X25" i="50" l="1"/>
  <c r="L9" i="50" s="1"/>
  <c r="AP75" i="50" s="1"/>
  <c r="L10" i="50"/>
  <c r="AP79" i="50" s="1"/>
  <c r="AT70" i="50"/>
  <c r="E12" i="50" s="1"/>
  <c r="AB28" i="50" s="1"/>
  <c r="AD28" i="50" s="1"/>
  <c r="AR69" i="50"/>
  <c r="AT69" i="50" s="1"/>
  <c r="D12" i="50" s="1"/>
  <c r="L80" i="50"/>
  <c r="N80" i="50" s="1"/>
  <c r="AQ80" i="50" s="1"/>
  <c r="Z75" i="50"/>
  <c r="AB75" i="50" s="1"/>
  <c r="AK75" i="50" l="1"/>
  <c r="AM75" i="50" s="1"/>
  <c r="AS75" i="50" s="1"/>
  <c r="Z74" i="50"/>
  <c r="AB74" i="50" s="1"/>
  <c r="AR75" i="50" s="1"/>
  <c r="AT75" i="50" s="1"/>
  <c r="E13" i="50" s="1"/>
  <c r="AP16" i="50" s="1"/>
  <c r="AR16" i="50" s="1"/>
  <c r="AB27" i="50"/>
  <c r="AD27" i="50" s="1"/>
  <c r="L79" i="50"/>
  <c r="N79" i="50" s="1"/>
  <c r="AQ79" i="50" s="1"/>
  <c r="AK74" i="50"/>
  <c r="AM74" i="50" s="1"/>
  <c r="AS74" i="50" s="1"/>
  <c r="AR74" i="50"/>
  <c r="AT74" i="50" l="1"/>
  <c r="D13" i="50" s="1"/>
  <c r="AK80" i="50"/>
  <c r="AM80" i="50" s="1"/>
  <c r="AS80" i="50" s="1"/>
  <c r="Z80" i="50"/>
  <c r="AB80" i="50" s="1"/>
  <c r="L85" i="50"/>
  <c r="N85" i="50" s="1"/>
  <c r="AQ85" i="50" s="1"/>
  <c r="Z79" i="50" l="1"/>
  <c r="AB79" i="50" s="1"/>
  <c r="AR80" i="50" s="1"/>
  <c r="AT80" i="50" s="1"/>
  <c r="E14" i="50" s="1"/>
  <c r="AP15" i="50"/>
  <c r="AR15" i="50" s="1"/>
  <c r="L84" i="50"/>
  <c r="N84" i="50" s="1"/>
  <c r="AQ84" i="50" s="1"/>
  <c r="AK79" i="50"/>
  <c r="AM79" i="50" s="1"/>
  <c r="AS79" i="50" s="1"/>
  <c r="AR79" i="50" l="1"/>
  <c r="AT79" i="50"/>
  <c r="D14" i="50" s="1"/>
  <c r="L89" i="50" s="1"/>
  <c r="N89" i="50" s="1"/>
  <c r="AQ89" i="50" s="1"/>
  <c r="Z85" i="50"/>
  <c r="AB85" i="50" s="1"/>
  <c r="AK85" i="50"/>
  <c r="AM85" i="50" s="1"/>
  <c r="AS85" i="50" s="1"/>
  <c r="L90" i="50"/>
  <c r="N90" i="50" s="1"/>
  <c r="AQ90" i="50" s="1"/>
  <c r="AK84" i="50" l="1"/>
  <c r="AM84" i="50" s="1"/>
  <c r="AS84" i="50" s="1"/>
  <c r="Z84" i="50"/>
  <c r="AB84" i="50" s="1"/>
  <c r="AR84" i="50" s="1"/>
  <c r="AT84" i="50" l="1"/>
  <c r="D15" i="50" s="1"/>
  <c r="AK89" i="50" s="1"/>
  <c r="AM89" i="50" s="1"/>
  <c r="AS89" i="50" s="1"/>
  <c r="AR85" i="50"/>
  <c r="AT85" i="50" s="1"/>
  <c r="E15" i="50" s="1"/>
  <c r="L100" i="50" s="1"/>
  <c r="N100" i="50" s="1"/>
  <c r="AQ100" i="50" s="1"/>
  <c r="Z89" i="50"/>
  <c r="AB89" i="50" s="1"/>
  <c r="L99" i="50"/>
  <c r="N99" i="50" s="1"/>
  <c r="AQ99" i="50" s="1"/>
  <c r="Z90" i="50" l="1"/>
  <c r="AB90" i="50" s="1"/>
  <c r="AR90" i="50" s="1"/>
  <c r="AK90" i="50"/>
  <c r="AM90" i="50" s="1"/>
  <c r="AS90" i="50" s="1"/>
  <c r="AT90" i="50" l="1"/>
  <c r="E16" i="50" s="1"/>
  <c r="AK95" i="50" s="1"/>
  <c r="AM95" i="50" s="1"/>
  <c r="AS95" i="50" s="1"/>
  <c r="AT95" i="50" s="1"/>
  <c r="E17" i="50" s="1"/>
  <c r="AK100" i="50" s="1"/>
  <c r="AM100" i="50" s="1"/>
  <c r="AS100" i="50" s="1"/>
  <c r="AR89" i="50"/>
  <c r="AT89" i="50" s="1"/>
  <c r="D16" i="50" s="1"/>
  <c r="AK94" i="50" s="1"/>
  <c r="AM94" i="50" s="1"/>
  <c r="AS94" i="50" s="1"/>
  <c r="AT94" i="50" s="1"/>
  <c r="D17" i="50" s="1"/>
  <c r="AK99" i="50" s="1"/>
  <c r="AM99" i="50" s="1"/>
  <c r="AS99" i="50" s="1"/>
  <c r="L105" i="50"/>
  <c r="N105" i="50" s="1"/>
  <c r="AQ105" i="50" s="1"/>
  <c r="Z100" i="50"/>
  <c r="AB100" i="50" s="1"/>
  <c r="Z99" i="50" l="1"/>
  <c r="AB99" i="50" s="1"/>
  <c r="AR99" i="50" s="1"/>
  <c r="AT99" i="50" s="1"/>
  <c r="D18" i="50" s="1"/>
  <c r="L104" i="50"/>
  <c r="N104" i="50" s="1"/>
  <c r="AQ104" i="50" s="1"/>
  <c r="L115" i="50"/>
  <c r="N115" i="50" s="1"/>
  <c r="AQ115" i="50" s="1"/>
  <c r="Z110" i="50"/>
  <c r="AB110" i="50" s="1"/>
  <c r="AK110" i="50"/>
  <c r="AM110" i="50" s="1"/>
  <c r="AS110" i="50" s="1"/>
  <c r="AR100" i="50" l="1"/>
  <c r="AT100" i="50" s="1"/>
  <c r="E18" i="50" s="1"/>
  <c r="Z105" i="50" s="1"/>
  <c r="AB105" i="50" s="1"/>
  <c r="Z109" i="50"/>
  <c r="AB109" i="50" s="1"/>
  <c r="AR109" i="50" s="1"/>
  <c r="L114" i="50"/>
  <c r="N114" i="50" s="1"/>
  <c r="AQ114" i="50" s="1"/>
  <c r="Z104" i="50"/>
  <c r="AB104" i="50" s="1"/>
  <c r="AK104" i="50"/>
  <c r="AM104" i="50" s="1"/>
  <c r="AS104" i="50" s="1"/>
  <c r="L109" i="50"/>
  <c r="N109" i="50" s="1"/>
  <c r="AQ109" i="50" s="1"/>
  <c r="AR110" i="50" l="1"/>
  <c r="AK105" i="50"/>
  <c r="AM105" i="50" s="1"/>
  <c r="AS105" i="50" s="1"/>
  <c r="L110" i="50"/>
  <c r="N110" i="50" s="1"/>
  <c r="AQ110" i="50" s="1"/>
  <c r="L119" i="50"/>
  <c r="N119" i="50" s="1"/>
  <c r="AQ119" i="50" s="1"/>
  <c r="AK114" i="50"/>
  <c r="AM114" i="50" s="1"/>
  <c r="AS114" i="50" s="1"/>
  <c r="Z114" i="50"/>
  <c r="AB114" i="50" s="1"/>
  <c r="AR105" i="50"/>
  <c r="AT105" i="50" s="1"/>
  <c r="E19" i="50" s="1"/>
  <c r="AR104" i="50"/>
  <c r="AT104" i="50" s="1"/>
  <c r="D19" i="50" s="1"/>
  <c r="AK109" i="50" s="1"/>
  <c r="AM109" i="50" s="1"/>
  <c r="AS109" i="50" s="1"/>
  <c r="AT109" i="50" s="1"/>
  <c r="D20" i="50" s="1"/>
  <c r="AT110" i="50" l="1"/>
  <c r="E20" i="50" s="1"/>
  <c r="AK115" i="50" s="1"/>
  <c r="AM115" i="50" s="1"/>
  <c r="AS115" i="50" s="1"/>
  <c r="Z115" i="50"/>
  <c r="AB115" i="50" s="1"/>
  <c r="AR114" i="50" s="1"/>
  <c r="AT114" i="50" s="1"/>
  <c r="D21" i="50" s="1"/>
  <c r="AK119" i="50" s="1"/>
  <c r="AM119" i="50" s="1"/>
  <c r="AS119" i="50" s="1"/>
  <c r="AT119" i="50" s="1"/>
  <c r="D22" i="50" s="1"/>
  <c r="L120" i="50"/>
  <c r="N120" i="50" s="1"/>
  <c r="AQ120" i="50" s="1"/>
  <c r="AK124" i="50"/>
  <c r="AM124" i="50" s="1"/>
  <c r="AS124" i="50" s="1"/>
  <c r="AT124" i="50" s="1"/>
  <c r="D23" i="50" s="1"/>
  <c r="AK129" i="50" s="1"/>
  <c r="AM129" i="50" s="1"/>
  <c r="AS129" i="50" s="1"/>
  <c r="AT129" i="50" s="1"/>
  <c r="AR115" i="50" l="1"/>
  <c r="AT115" i="50" s="1"/>
  <c r="E21" i="50" s="1"/>
  <c r="AK120" i="50" s="1"/>
  <c r="AM120" i="50" s="1"/>
  <c r="AS120" i="50" s="1"/>
  <c r="AT120" i="50" s="1"/>
  <c r="E22" i="50" s="1"/>
  <c r="AK125" i="50" s="1"/>
  <c r="AM125" i="50" s="1"/>
  <c r="AS125" i="50" s="1"/>
  <c r="AT125" i="50" s="1"/>
  <c r="E23" i="50" s="1"/>
  <c r="AK130" i="50" s="1"/>
  <c r="AM130" i="50" s="1"/>
  <c r="AS130" i="50" s="1"/>
  <c r="AT130" i="50" s="1"/>
  <c r="E27" i="50" s="1"/>
  <c r="E28" i="50"/>
  <c r="E25" i="50"/>
  <c r="E26" i="50"/>
  <c r="E24" i="50"/>
  <c r="AK150" i="50"/>
  <c r="AM150" i="50" s="1"/>
  <c r="AS150" i="50" s="1"/>
  <c r="AT150" i="50" s="1"/>
  <c r="AK140" i="50"/>
  <c r="AM140" i="50" s="1"/>
  <c r="AS140" i="50" s="1"/>
  <c r="AT140" i="50" s="1"/>
  <c r="AK135" i="50"/>
  <c r="AM135" i="50" s="1"/>
  <c r="AS135" i="50" s="1"/>
  <c r="AT135" i="50" s="1"/>
  <c r="AK145" i="50"/>
  <c r="AM145" i="50" s="1"/>
  <c r="AS145" i="50" s="1"/>
  <c r="AT145" i="50" s="1"/>
  <c r="D24" i="50"/>
  <c r="D28" i="50"/>
  <c r="D27" i="50"/>
  <c r="D25" i="50"/>
  <c r="D26" i="50"/>
  <c r="AC70" i="61" l="1" a="1"/>
  <c r="AJ70" i="61" s="1"/>
  <c r="AK134" i="50"/>
  <c r="AM134" i="50" s="1"/>
  <c r="AS134" i="50" s="1"/>
  <c r="AT134" i="50" s="1"/>
  <c r="AK149" i="50"/>
  <c r="AM149" i="50" s="1"/>
  <c r="AS149" i="50" s="1"/>
  <c r="AT149" i="50" s="1"/>
  <c r="AK139" i="50"/>
  <c r="AM139" i="50" s="1"/>
  <c r="AS139" i="50" s="1"/>
  <c r="AT139" i="50" s="1"/>
  <c r="AK144" i="50"/>
  <c r="AM144" i="50" s="1"/>
  <c r="AS144" i="50" s="1"/>
  <c r="AT144" i="50" s="1"/>
  <c r="B70" i="61" a="1"/>
  <c r="AR70" i="61" l="1"/>
  <c r="AE70" i="61"/>
  <c r="AK70" i="61"/>
  <c r="AL70" i="61"/>
  <c r="AH70" i="61"/>
  <c r="AW70" i="61"/>
  <c r="AY70" i="61"/>
  <c r="BA70" i="61"/>
  <c r="AQ70" i="61"/>
  <c r="AI70" i="61"/>
  <c r="AU70" i="61"/>
  <c r="AX70" i="61"/>
  <c r="AN70" i="61"/>
  <c r="AG70" i="61"/>
  <c r="AP70" i="61"/>
  <c r="AT70" i="61"/>
  <c r="AD70" i="61"/>
  <c r="AS70" i="61"/>
  <c r="AC70" i="61"/>
  <c r="AZ70" i="61"/>
  <c r="AV70" i="61"/>
  <c r="AF70" i="61"/>
  <c r="AO70" i="61"/>
  <c r="AM70" i="61"/>
  <c r="W70" i="61"/>
  <c r="H70" i="61"/>
  <c r="R70" i="61"/>
  <c r="X70" i="61"/>
  <c r="K70" i="61"/>
  <c r="T70" i="61"/>
  <c r="E70" i="61"/>
  <c r="Y70" i="61"/>
  <c r="U70" i="61"/>
  <c r="I70" i="61"/>
  <c r="C70" i="61"/>
  <c r="L70" i="61"/>
  <c r="N70" i="61"/>
  <c r="Z70" i="61"/>
  <c r="D70" i="61"/>
  <c r="P70" i="61"/>
  <c r="O70" i="61"/>
  <c r="B70" i="61"/>
  <c r="J70" i="61"/>
  <c r="Q70" i="61"/>
  <c r="V70" i="61"/>
  <c r="M70" i="61"/>
  <c r="S70" i="61"/>
  <c r="F70" i="61"/>
  <c r="G70" i="61"/>
  <c r="O2" i="54" l="1" a="1"/>
  <c r="Z3" i="54" s="1"/>
  <c r="O2" i="55" a="1"/>
  <c r="AB3" i="55" s="1"/>
  <c r="AI3" i="54" l="1"/>
  <c r="U3" i="54"/>
  <c r="AN3" i="54"/>
  <c r="S3" i="54"/>
  <c r="AG3" i="54"/>
  <c r="AD3" i="54"/>
  <c r="V3" i="55"/>
  <c r="U3" i="55"/>
  <c r="AH3" i="55"/>
  <c r="AD3" i="55"/>
  <c r="AC3" i="54"/>
  <c r="AA3" i="54"/>
  <c r="AM3" i="54"/>
  <c r="S3" i="55"/>
  <c r="AB3" i="54"/>
  <c r="V3" i="54"/>
  <c r="P3" i="54"/>
  <c r="Q3" i="54"/>
  <c r="AL3" i="54"/>
  <c r="AE3" i="54"/>
  <c r="T3" i="55"/>
  <c r="Q3" i="55"/>
  <c r="AC3" i="55"/>
  <c r="AK3" i="55"/>
  <c r="AG3" i="55"/>
  <c r="AK3" i="54"/>
  <c r="AH3" i="54"/>
  <c r="R3" i="54"/>
  <c r="T3" i="54"/>
  <c r="AI3" i="55"/>
  <c r="Y3" i="54"/>
  <c r="AJ3" i="54"/>
  <c r="W3" i="54"/>
  <c r="AF3" i="54"/>
  <c r="X3" i="54"/>
  <c r="AJ3" i="55"/>
  <c r="X3" i="55"/>
  <c r="AE3" i="55"/>
  <c r="R5" i="55"/>
  <c r="P5" i="55"/>
  <c r="AG21" i="55"/>
  <c r="AB18" i="55"/>
  <c r="P7" i="55"/>
  <c r="V7" i="55"/>
  <c r="S4" i="55"/>
  <c r="Y16" i="55"/>
  <c r="AF20" i="55"/>
  <c r="X22" i="55"/>
  <c r="P14" i="55"/>
  <c r="AM21" i="55"/>
  <c r="Q23" i="55"/>
  <c r="AK25" i="55"/>
  <c r="R14" i="55"/>
  <c r="AD17" i="55"/>
  <c r="X18" i="55"/>
  <c r="W23" i="55"/>
  <c r="U23" i="55"/>
  <c r="AN16" i="55"/>
  <c r="AL4" i="55"/>
  <c r="R21" i="55"/>
  <c r="S21" i="55"/>
  <c r="O24" i="55"/>
  <c r="S12" i="55"/>
  <c r="V23" i="55"/>
  <c r="AG4" i="55"/>
  <c r="AC11" i="55"/>
  <c r="Q14" i="55"/>
  <c r="Z5" i="55"/>
  <c r="AA23" i="55"/>
  <c r="P20" i="55"/>
  <c r="Y2" i="55"/>
  <c r="T18" i="55"/>
  <c r="X12" i="55"/>
  <c r="AG15" i="55"/>
  <c r="U9" i="55"/>
  <c r="AI4" i="55"/>
  <c r="S19" i="55"/>
  <c r="AL19" i="55"/>
  <c r="AM2" i="55"/>
  <c r="AE12" i="55"/>
  <c r="AH11" i="55"/>
  <c r="W5" i="55"/>
  <c r="AN5" i="55"/>
  <c r="V6" i="55"/>
  <c r="AN23" i="55"/>
  <c r="AM24" i="55"/>
  <c r="S2" i="55"/>
  <c r="T6" i="55"/>
  <c r="AC27" i="55"/>
  <c r="Y4" i="55"/>
  <c r="S13" i="55"/>
  <c r="U14" i="55"/>
  <c r="AC24" i="55"/>
  <c r="AH10" i="55"/>
  <c r="AH2" i="55"/>
  <c r="Y7" i="55"/>
  <c r="AD25" i="55"/>
  <c r="AN9" i="55"/>
  <c r="AF13" i="55"/>
  <c r="AH5" i="55"/>
  <c r="U27" i="55"/>
  <c r="U22" i="55"/>
  <c r="O9" i="55"/>
  <c r="AK6" i="55"/>
  <c r="X23" i="55"/>
  <c r="AD23" i="55"/>
  <c r="Q11" i="55"/>
  <c r="AE16" i="55"/>
  <c r="AM13" i="55"/>
  <c r="Z24" i="55"/>
  <c r="T11" i="55"/>
  <c r="Z2" i="55"/>
  <c r="Z18" i="55"/>
  <c r="AH9" i="55"/>
  <c r="R18" i="55"/>
  <c r="AG12" i="55"/>
  <c r="S25" i="55"/>
  <c r="U2" i="55"/>
  <c r="AJ14" i="55"/>
  <c r="AF23" i="55"/>
  <c r="AL9" i="55"/>
  <c r="AD6" i="55"/>
  <c r="O2" i="55"/>
  <c r="O27" i="55"/>
  <c r="AI5" i="55"/>
  <c r="AA21" i="55"/>
  <c r="AE18" i="55"/>
  <c r="AE27" i="55"/>
  <c r="AF24" i="55"/>
  <c r="X20" i="55"/>
  <c r="R4" i="55"/>
  <c r="AE5" i="55"/>
  <c r="O15" i="55"/>
  <c r="AK21" i="55"/>
  <c r="AK24" i="55"/>
  <c r="AH27" i="55"/>
  <c r="AK23" i="55"/>
  <c r="T16" i="55"/>
  <c r="AH4" i="55"/>
  <c r="AD19" i="55"/>
  <c r="AA10" i="55"/>
  <c r="AI10" i="55"/>
  <c r="Y18" i="55"/>
  <c r="AC7" i="55"/>
  <c r="AN22" i="55"/>
  <c r="AI21" i="55"/>
  <c r="U21" i="55"/>
  <c r="AC6" i="55"/>
  <c r="Q12" i="55"/>
  <c r="AA27" i="55"/>
  <c r="AM25" i="55"/>
  <c r="AJ20" i="55"/>
  <c r="T21" i="55"/>
  <c r="O18" i="55"/>
  <c r="S18" i="55"/>
  <c r="AG24" i="55"/>
  <c r="U20" i="55"/>
  <c r="Z11" i="55"/>
  <c r="AD22" i="55"/>
  <c r="U19" i="55"/>
  <c r="AH6" i="55"/>
  <c r="X16" i="55"/>
  <c r="AL10" i="55"/>
  <c r="AF17" i="55"/>
  <c r="AB23" i="55"/>
  <c r="AF12" i="55"/>
  <c r="AE20" i="55"/>
  <c r="U16" i="55"/>
  <c r="AE19" i="55"/>
  <c r="AK14" i="55"/>
  <c r="O25" i="55"/>
  <c r="AM7" i="55"/>
  <c r="AN11" i="55"/>
  <c r="AI14" i="55"/>
  <c r="Y5" i="55"/>
  <c r="Z6" i="55"/>
  <c r="Z15" i="55"/>
  <c r="S23" i="55"/>
  <c r="AH21" i="55"/>
  <c r="AE2" i="55"/>
  <c r="AL24" i="55"/>
  <c r="U11" i="55"/>
  <c r="AI25" i="55"/>
  <c r="AN10" i="55"/>
  <c r="V5" i="55"/>
  <c r="V9" i="55"/>
  <c r="AM5" i="55"/>
  <c r="Q24" i="55"/>
  <c r="AJ24" i="55"/>
  <c r="AH20" i="55"/>
  <c r="R19" i="55"/>
  <c r="Z10" i="55"/>
  <c r="AG18" i="55"/>
  <c r="AJ25" i="55"/>
  <c r="T17" i="55"/>
  <c r="W17" i="55"/>
  <c r="AE23" i="55"/>
  <c r="AM27" i="55"/>
  <c r="W25" i="55"/>
  <c r="AG11" i="55"/>
  <c r="P11" i="55"/>
  <c r="R22" i="55"/>
  <c r="V24" i="55"/>
  <c r="P13" i="55"/>
  <c r="AI2" i="55"/>
  <c r="AI12" i="55"/>
  <c r="AK13" i="55"/>
  <c r="AN17" i="55"/>
  <c r="AI23" i="55"/>
  <c r="V22" i="55"/>
  <c r="W15" i="55"/>
  <c r="O23" i="55"/>
  <c r="AD15" i="55"/>
  <c r="AB19" i="55"/>
  <c r="W13" i="55"/>
  <c r="W18" i="55"/>
  <c r="O5" i="55"/>
  <c r="P24" i="55"/>
  <c r="AB13" i="55"/>
  <c r="AJ10" i="55"/>
  <c r="AL7" i="55"/>
  <c r="O11" i="55"/>
  <c r="P18" i="55"/>
  <c r="W27" i="55"/>
  <c r="AM16" i="55"/>
  <c r="AB2" i="55"/>
  <c r="AL27" i="55"/>
  <c r="V25" i="55"/>
  <c r="S14" i="55"/>
  <c r="AG23" i="55"/>
  <c r="AB21" i="55"/>
  <c r="S7" i="55"/>
  <c r="U25" i="55"/>
  <c r="AE14" i="55"/>
  <c r="Y6" i="55"/>
  <c r="Z13" i="55"/>
  <c r="AD21" i="55"/>
  <c r="P23" i="55"/>
  <c r="AK17" i="55"/>
  <c r="AF7" i="55"/>
  <c r="AH13" i="55"/>
  <c r="AN4" i="55"/>
  <c r="AE6" i="55"/>
  <c r="AI9" i="55"/>
  <c r="AN14" i="55"/>
  <c r="S20" i="55"/>
  <c r="O3" i="55"/>
  <c r="AG7" i="55"/>
  <c r="AF4" i="55"/>
  <c r="AH19" i="55"/>
  <c r="AD16" i="55"/>
  <c r="Q7" i="55"/>
  <c r="V16" i="55"/>
  <c r="AA16" i="55"/>
  <c r="AG17" i="55"/>
  <c r="T20" i="55"/>
  <c r="AL2" i="55"/>
  <c r="AL14" i="55"/>
  <c r="AC5" i="55"/>
  <c r="AM20" i="55"/>
  <c r="AC4" i="55"/>
  <c r="AI22" i="55"/>
  <c r="AJ5" i="55"/>
  <c r="W6" i="55"/>
  <c r="AN7" i="55"/>
  <c r="AN25" i="55"/>
  <c r="AJ19" i="55"/>
  <c r="Y14" i="55"/>
  <c r="Z23" i="55"/>
  <c r="P10" i="55"/>
  <c r="AM6" i="55"/>
  <c r="R24" i="55"/>
  <c r="AM11" i="55"/>
  <c r="AI20" i="55"/>
  <c r="AG22" i="55"/>
  <c r="AD5" i="55"/>
  <c r="Y15" i="55"/>
  <c r="Q4" i="55"/>
  <c r="O14" i="55"/>
  <c r="AH18" i="55"/>
  <c r="AJ23" i="55"/>
  <c r="AI7" i="55"/>
  <c r="Z25" i="55"/>
  <c r="AA11" i="55"/>
  <c r="Q13" i="55"/>
  <c r="R6" i="55"/>
  <c r="AC16" i="55"/>
  <c r="AB5" i="55"/>
  <c r="AJ18" i="55"/>
  <c r="T25" i="55"/>
  <c r="W19" i="55"/>
  <c r="X10" i="55"/>
  <c r="AG27" i="55"/>
  <c r="W2" i="55"/>
  <c r="U12" i="55"/>
  <c r="T22" i="55"/>
  <c r="Y19" i="55"/>
  <c r="AI17" i="55"/>
  <c r="P19" i="55"/>
  <c r="Q18" i="55"/>
  <c r="AM23" i="55"/>
  <c r="AB25" i="55"/>
  <c r="V19" i="55"/>
  <c r="W24" i="55"/>
  <c r="U15" i="55"/>
  <c r="AA17" i="55"/>
  <c r="P17" i="55"/>
  <c r="AA9" i="55"/>
  <c r="AE10" i="55"/>
  <c r="Y13" i="55"/>
  <c r="P6" i="55"/>
  <c r="P25" i="55"/>
  <c r="T10" i="55"/>
  <c r="AC17" i="55"/>
  <c r="AD12" i="55"/>
  <c r="Q5" i="55"/>
  <c r="AC13" i="55"/>
  <c r="O17" i="55"/>
  <c r="P2" i="55"/>
  <c r="T24" i="55"/>
  <c r="Z16" i="55"/>
  <c r="AB12" i="55"/>
  <c r="AI26" i="55"/>
  <c r="R26" i="55"/>
  <c r="AC26" i="55"/>
  <c r="Z26" i="55"/>
  <c r="AH26" i="55"/>
  <c r="AL26" i="55"/>
  <c r="Q8" i="55"/>
  <c r="AF8" i="55"/>
  <c r="AH8" i="55"/>
  <c r="X8" i="55"/>
  <c r="S8" i="55"/>
  <c r="Z8" i="55"/>
  <c r="AM8" i="55"/>
  <c r="P16" i="55"/>
  <c r="R15" i="55"/>
  <c r="T19" i="55"/>
  <c r="W10" i="55"/>
  <c r="X7" i="55"/>
  <c r="AA4" i="55"/>
  <c r="AF25" i="55"/>
  <c r="Y9" i="55"/>
  <c r="Z7" i="55"/>
  <c r="AL11" i="55"/>
  <c r="AJ21" i="55"/>
  <c r="AK9" i="55"/>
  <c r="X27" i="55"/>
  <c r="AE11" i="55"/>
  <c r="AI13" i="55"/>
  <c r="X6" i="55"/>
  <c r="AE15" i="55"/>
  <c r="Q22" i="55"/>
  <c r="X21" i="55"/>
  <c r="Q9" i="55"/>
  <c r="V21" i="55"/>
  <c r="Y24" i="55"/>
  <c r="T12" i="55"/>
  <c r="Q25" i="55"/>
  <c r="Z17" i="55"/>
  <c r="AC12" i="55"/>
  <c r="P9" i="55"/>
  <c r="S10" i="55"/>
  <c r="W9" i="55"/>
  <c r="T5" i="55"/>
  <c r="AE24" i="55"/>
  <c r="AF9" i="55"/>
  <c r="AM10" i="55"/>
  <c r="R27" i="55"/>
  <c r="U5" i="55"/>
  <c r="AN6" i="55"/>
  <c r="AJ15" i="55"/>
  <c r="S6" i="55"/>
  <c r="AM9" i="55"/>
  <c r="AK10" i="55"/>
  <c r="AM19" i="55"/>
  <c r="V27" i="55"/>
  <c r="X9" i="55"/>
  <c r="AH14" i="55"/>
  <c r="AK4" i="55"/>
  <c r="AF21" i="55"/>
  <c r="AD24" i="55"/>
  <c r="X25" i="55"/>
  <c r="AG2" i="55"/>
  <c r="AB10" i="55"/>
  <c r="AD27" i="55"/>
  <c r="Q6" i="55"/>
  <c r="X14" i="55"/>
  <c r="U18" i="55"/>
  <c r="V13" i="55"/>
  <c r="AA7" i="55"/>
  <c r="U17" i="55"/>
  <c r="Q15" i="55"/>
  <c r="O22" i="55"/>
  <c r="AG25" i="55"/>
  <c r="AG5" i="55"/>
  <c r="P15" i="55"/>
  <c r="Y23" i="55"/>
  <c r="S24" i="55"/>
  <c r="AN20" i="55"/>
  <c r="AG19" i="55"/>
  <c r="O12" i="55"/>
  <c r="V15" i="55"/>
  <c r="AE21" i="55"/>
  <c r="AL6" i="55"/>
  <c r="AH24" i="55"/>
  <c r="W20" i="55"/>
  <c r="R25" i="55"/>
  <c r="AC14" i="55"/>
  <c r="AL5" i="55"/>
  <c r="U24" i="55"/>
  <c r="AA19" i="55"/>
  <c r="X17" i="55"/>
  <c r="AA18" i="55"/>
  <c r="W12" i="55"/>
  <c r="Z12" i="55"/>
  <c r="Q20" i="55"/>
  <c r="V11" i="55"/>
  <c r="AA22" i="55"/>
  <c r="S15" i="55"/>
  <c r="AA25" i="55"/>
  <c r="AC2" i="55"/>
  <c r="AN24" i="55"/>
  <c r="AK19" i="55"/>
  <c r="O20" i="55"/>
  <c r="AD20" i="55"/>
  <c r="O16" i="55"/>
  <c r="R11" i="55"/>
  <c r="AB24" i="55"/>
  <c r="T23" i="55"/>
  <c r="AF19" i="55"/>
  <c r="AN12" i="55"/>
  <c r="Y17" i="55"/>
  <c r="V12" i="55"/>
  <c r="AN21" i="55"/>
  <c r="AD18" i="55"/>
  <c r="X11" i="55"/>
  <c r="Z22" i="55"/>
  <c r="P21" i="55"/>
  <c r="S16" i="55"/>
  <c r="R2" i="55"/>
  <c r="X24" i="55"/>
  <c r="AI11" i="55"/>
  <c r="AJ2" i="55"/>
  <c r="AG6" i="55"/>
  <c r="T7" i="55"/>
  <c r="AB22" i="55"/>
  <c r="O19" i="55"/>
  <c r="AD13" i="55"/>
  <c r="U6" i="55"/>
  <c r="Z9" i="55"/>
  <c r="AN13" i="55"/>
  <c r="V14" i="55"/>
  <c r="AB4" i="55"/>
  <c r="AC21" i="55"/>
  <c r="AL18" i="55"/>
  <c r="Y21" i="55"/>
  <c r="P27" i="55"/>
  <c r="AL20" i="55"/>
  <c r="O8" i="55"/>
  <c r="V17" i="55"/>
  <c r="R12" i="55"/>
  <c r="AI19" i="55"/>
  <c r="Q2" i="55"/>
  <c r="AK22" i="55"/>
  <c r="AI6" i="55"/>
  <c r="AK20" i="55"/>
  <c r="AG20" i="55"/>
  <c r="AI15" i="55"/>
  <c r="AA2" i="55"/>
  <c r="AD9" i="55"/>
  <c r="AB15" i="55"/>
  <c r="V18" i="55"/>
  <c r="R23" i="55"/>
  <c r="AL12" i="55"/>
  <c r="Q16" i="55"/>
  <c r="AK15" i="55"/>
  <c r="AL13" i="55"/>
  <c r="AL15" i="55"/>
  <c r="AH22" i="55"/>
  <c r="AK5" i="55"/>
  <c r="AD2" i="55"/>
  <c r="Q27" i="55"/>
  <c r="AE25" i="55"/>
  <c r="AC20" i="55"/>
  <c r="AD10" i="55"/>
  <c r="V2" i="55"/>
  <c r="AE4" i="55"/>
  <c r="O10" i="55"/>
  <c r="AI18" i="55"/>
  <c r="X15" i="55"/>
  <c r="AI16" i="55"/>
  <c r="P22" i="55"/>
  <c r="AC10" i="55"/>
  <c r="AM17" i="55"/>
  <c r="V4" i="55"/>
  <c r="W14" i="55"/>
  <c r="AF2" i="55"/>
  <c r="AA24" i="55"/>
  <c r="T15" i="55"/>
  <c r="AA20" i="55"/>
  <c r="AK16" i="55"/>
  <c r="AG9" i="55"/>
  <c r="R13" i="55"/>
  <c r="R7" i="55"/>
  <c r="W22" i="55"/>
  <c r="Z21" i="55"/>
  <c r="AE7" i="55"/>
  <c r="AH25" i="55"/>
  <c r="AM22" i="55"/>
  <c r="O4" i="55"/>
  <c r="AC19" i="55"/>
  <c r="O26" i="55"/>
  <c r="AJ7" i="55"/>
  <c r="Z4" i="55"/>
  <c r="AG10" i="55"/>
  <c r="AA12" i="55"/>
  <c r="S17" i="55"/>
  <c r="Y12" i="55"/>
  <c r="AG16" i="55"/>
  <c r="AM4" i="55"/>
  <c r="AG13" i="55"/>
  <c r="AB20" i="55"/>
  <c r="T13" i="55"/>
  <c r="AJ9" i="55"/>
  <c r="P12" i="55"/>
  <c r="AJ22" i="55"/>
  <c r="AB7" i="55"/>
  <c r="AF5" i="55"/>
  <c r="S27" i="55"/>
  <c r="AF16" i="55"/>
  <c r="Y20" i="55"/>
  <c r="AK2" i="55"/>
  <c r="R10" i="55"/>
  <c r="AH23" i="55"/>
  <c r="AF14" i="55"/>
  <c r="AD11" i="55"/>
  <c r="S5" i="55"/>
  <c r="Z27" i="55"/>
  <c r="AC22" i="55"/>
  <c r="V10" i="55"/>
  <c r="P26" i="55"/>
  <c r="AM26" i="55"/>
  <c r="Q26" i="55"/>
  <c r="S26" i="55"/>
  <c r="T26" i="55"/>
  <c r="AB26" i="55"/>
  <c r="AN8" i="55"/>
  <c r="AI8" i="55"/>
  <c r="AK8" i="55"/>
  <c r="AC8" i="55"/>
  <c r="V8" i="55"/>
  <c r="AD8" i="55"/>
  <c r="AF27" i="55"/>
  <c r="T4" i="55"/>
  <c r="AF22" i="55"/>
  <c r="AN15" i="55"/>
  <c r="AN2" i="55"/>
  <c r="U7" i="55"/>
  <c r="AD4" i="55"/>
  <c r="AC18" i="55"/>
  <c r="AK7" i="55"/>
  <c r="AH16" i="55"/>
  <c r="Y10" i="55"/>
  <c r="AJ27" i="55"/>
  <c r="X19" i="55"/>
  <c r="AH17" i="55"/>
  <c r="AA15" i="55"/>
  <c r="AL16" i="55"/>
  <c r="AL17" i="55"/>
  <c r="Y27" i="55"/>
  <c r="P4" i="55"/>
  <c r="AA13" i="55"/>
  <c r="AF18" i="55"/>
  <c r="X5" i="55"/>
  <c r="AH12" i="55"/>
  <c r="AC9" i="55"/>
  <c r="AN19" i="55"/>
  <c r="Q21" i="55"/>
  <c r="R9" i="55"/>
  <c r="AB17" i="55"/>
  <c r="AH15" i="55"/>
  <c r="O21" i="55"/>
  <c r="AJ12" i="55"/>
  <c r="Q19" i="55"/>
  <c r="T2" i="55"/>
  <c r="AD7" i="55"/>
  <c r="AJ13" i="55"/>
  <c r="AH7" i="55"/>
  <c r="AE17" i="55"/>
  <c r="AK27" i="55"/>
  <c r="W11" i="55"/>
  <c r="Y22" i="55"/>
  <c r="R20" i="55"/>
  <c r="AA5" i="55"/>
  <c r="AG14" i="55"/>
  <c r="S11" i="55"/>
  <c r="S9" i="55"/>
  <c r="Q10" i="55"/>
  <c r="AJ4" i="55"/>
  <c r="Z14" i="55"/>
  <c r="W7" i="55"/>
  <c r="R17" i="55"/>
  <c r="W4" i="55"/>
  <c r="T14" i="55"/>
  <c r="AJ11" i="55"/>
  <c r="AL23" i="55"/>
  <c r="AA14" i="55"/>
  <c r="X2" i="55"/>
  <c r="Y25" i="55"/>
  <c r="S22" i="55"/>
  <c r="AD14" i="55"/>
  <c r="AI27" i="55"/>
  <c r="W21" i="55"/>
  <c r="AN18" i="55"/>
  <c r="AB9" i="55"/>
  <c r="Y11" i="55"/>
  <c r="AB11" i="55"/>
  <c r="AM15" i="55"/>
  <c r="AB27" i="55"/>
  <c r="Z20" i="55"/>
  <c r="AD26" i="55"/>
  <c r="Y26" i="55"/>
  <c r="AE26" i="55"/>
  <c r="R8" i="55"/>
  <c r="T8" i="55"/>
  <c r="AG8" i="55"/>
  <c r="AN27" i="55"/>
  <c r="AA6" i="55"/>
  <c r="AC15" i="55"/>
  <c r="Z19" i="55"/>
  <c r="AF15" i="55"/>
  <c r="AK18" i="55"/>
  <c r="R16" i="55"/>
  <c r="AC23" i="55"/>
  <c r="X13" i="55"/>
  <c r="AM14" i="55"/>
  <c r="AE22" i="55"/>
  <c r="AB6" i="55"/>
  <c r="AE13" i="55"/>
  <c r="AC25" i="55"/>
  <c r="V26" i="55"/>
  <c r="AF26" i="55"/>
  <c r="AA26" i="55"/>
  <c r="AJ26" i="55"/>
  <c r="P8" i="55"/>
  <c r="U8" i="55"/>
  <c r="AJ8" i="55"/>
  <c r="O13" i="55"/>
  <c r="AL22" i="55"/>
  <c r="O6" i="55"/>
  <c r="AK11" i="55"/>
  <c r="T27" i="55"/>
  <c r="AF11" i="55"/>
  <c r="AF6" i="55"/>
  <c r="AL25" i="55"/>
  <c r="AJ16" i="55"/>
  <c r="Q17" i="55"/>
  <c r="AM18" i="55"/>
  <c r="AI24" i="55"/>
  <c r="AJ17" i="55"/>
  <c r="AJ6" i="55"/>
  <c r="AL21" i="55"/>
  <c r="W26" i="55"/>
  <c r="AN26" i="55"/>
  <c r="X26" i="55"/>
  <c r="AE8" i="55"/>
  <c r="AB8" i="55"/>
  <c r="W8" i="55"/>
  <c r="U4" i="55"/>
  <c r="AE9" i="55"/>
  <c r="AM12" i="55"/>
  <c r="AF10" i="55"/>
  <c r="AK12" i="55"/>
  <c r="AB14" i="55"/>
  <c r="U10" i="55"/>
  <c r="V20" i="55"/>
  <c r="U13" i="55"/>
  <c r="AB16" i="55"/>
  <c r="W16" i="55"/>
  <c r="X4" i="55"/>
  <c r="O7" i="55"/>
  <c r="T9" i="55"/>
  <c r="AG26" i="55"/>
  <c r="AK26" i="55"/>
  <c r="U26" i="55"/>
  <c r="AA8" i="55"/>
  <c r="AL8" i="55"/>
  <c r="Y8" i="55"/>
  <c r="W3" i="55"/>
  <c r="R3" i="55"/>
  <c r="AM3" i="55"/>
  <c r="BA4" i="11"/>
  <c r="BB4" i="11" s="1"/>
  <c r="Y3" i="55"/>
  <c r="AF3" i="55"/>
  <c r="AA3" i="55"/>
  <c r="AL3" i="55"/>
  <c r="P3" i="55"/>
  <c r="AN3" i="55"/>
  <c r="Z3" i="55"/>
  <c r="O8" i="54"/>
  <c r="AA2" i="54"/>
  <c r="Z4" i="54"/>
  <c r="Y11" i="54"/>
  <c r="AK18" i="54"/>
  <c r="AJ7" i="54"/>
  <c r="AA14" i="54"/>
  <c r="V17" i="54"/>
  <c r="R13" i="54"/>
  <c r="AH19" i="54"/>
  <c r="AJ24" i="54"/>
  <c r="W25" i="54"/>
  <c r="AC27" i="54"/>
  <c r="AH7" i="54"/>
  <c r="AM4" i="54"/>
  <c r="AC14" i="54"/>
  <c r="AD14" i="54"/>
  <c r="AE20" i="54"/>
  <c r="P22" i="54"/>
  <c r="P5" i="54"/>
  <c r="AM9" i="54"/>
  <c r="O14" i="54"/>
  <c r="AN27" i="54"/>
  <c r="O18" i="54"/>
  <c r="R18" i="54"/>
  <c r="AJ18" i="54"/>
  <c r="AK16" i="54"/>
  <c r="P23" i="54"/>
  <c r="AI22" i="54"/>
  <c r="AJ21" i="54"/>
  <c r="X15" i="54"/>
  <c r="AC18" i="54"/>
  <c r="AI15" i="54"/>
  <c r="AF6" i="54"/>
  <c r="AI17" i="54"/>
  <c r="W10" i="54"/>
  <c r="Z24" i="54"/>
  <c r="AD12" i="54"/>
  <c r="AF24" i="54"/>
  <c r="R4" i="54"/>
  <c r="U25" i="54"/>
  <c r="AC20" i="54"/>
  <c r="Q23" i="54"/>
  <c r="AL21" i="54"/>
  <c r="O10" i="54"/>
  <c r="AG25" i="54"/>
  <c r="AF25" i="54"/>
  <c r="AN23" i="54"/>
  <c r="AJ20" i="54"/>
  <c r="V22" i="54"/>
  <c r="AI24" i="54"/>
  <c r="Q4" i="54"/>
  <c r="P21" i="54"/>
  <c r="AN25" i="54"/>
  <c r="P17" i="54"/>
  <c r="T23" i="54"/>
  <c r="R19" i="54"/>
  <c r="Y21" i="54"/>
  <c r="Z5" i="54"/>
  <c r="R15" i="54"/>
  <c r="V18" i="54"/>
  <c r="W12" i="54"/>
  <c r="AI6" i="54"/>
  <c r="AI23" i="54"/>
  <c r="X9" i="54"/>
  <c r="AH12" i="54"/>
  <c r="Z6" i="54"/>
  <c r="V10" i="54"/>
  <c r="S21" i="54"/>
  <c r="AM7" i="54"/>
  <c r="AK6" i="54"/>
  <c r="W2" i="54"/>
  <c r="AJ2" i="54"/>
  <c r="AJ5" i="54"/>
  <c r="AE17" i="54"/>
  <c r="Q7" i="54"/>
  <c r="Q18" i="54"/>
  <c r="S13" i="54"/>
  <c r="AK9" i="54"/>
  <c r="O22" i="54"/>
  <c r="AA11" i="54"/>
  <c r="P13" i="54"/>
  <c r="AE5" i="54"/>
  <c r="V21" i="54"/>
  <c r="S18" i="54"/>
  <c r="AH22" i="54"/>
  <c r="R2" i="54"/>
  <c r="O3" i="54"/>
  <c r="Z12" i="54"/>
  <c r="U15" i="54"/>
  <c r="O20" i="54"/>
  <c r="AF15" i="54"/>
  <c r="AA25" i="54"/>
  <c r="Y17" i="54"/>
  <c r="Q20" i="54"/>
  <c r="AC19" i="54"/>
  <c r="AF4" i="54"/>
  <c r="V27" i="54"/>
  <c r="AB4" i="54"/>
  <c r="AA12" i="54"/>
  <c r="Y7" i="54"/>
  <c r="AG18" i="54"/>
  <c r="Q17" i="54"/>
  <c r="AB20" i="54"/>
  <c r="Z19" i="54"/>
  <c r="AN10" i="54"/>
  <c r="Q11" i="54"/>
  <c r="X24" i="54"/>
  <c r="AN2" i="54"/>
  <c r="AF7" i="54"/>
  <c r="R27" i="54"/>
  <c r="AB5" i="54"/>
  <c r="AG15" i="54"/>
  <c r="AM6" i="54"/>
  <c r="AC13" i="54"/>
  <c r="AI2" i="54"/>
  <c r="AJ11" i="54"/>
  <c r="Y24" i="54"/>
  <c r="AF12" i="54"/>
  <c r="AA5" i="54"/>
  <c r="AL6" i="54"/>
  <c r="AI19" i="54"/>
  <c r="AJ13" i="54"/>
  <c r="O4" i="54"/>
  <c r="O26" i="54"/>
  <c r="T27" i="54"/>
  <c r="U18" i="54"/>
  <c r="R16" i="54"/>
  <c r="T6" i="54"/>
  <c r="AJ6" i="54"/>
  <c r="R5" i="54"/>
  <c r="AA24" i="54"/>
  <c r="P11" i="54"/>
  <c r="T11" i="54"/>
  <c r="AH20" i="54"/>
  <c r="Q13" i="54"/>
  <c r="AE13" i="54"/>
  <c r="AC4" i="54"/>
  <c r="P25" i="54"/>
  <c r="AG4" i="54"/>
  <c r="Z7" i="54"/>
  <c r="AB6" i="54"/>
  <c r="X10" i="54"/>
  <c r="Z22" i="54"/>
  <c r="AI27" i="54"/>
  <c r="AG21" i="54"/>
  <c r="O23" i="54"/>
  <c r="S12" i="54"/>
  <c r="AC15" i="54"/>
  <c r="AJ14" i="54"/>
  <c r="AC17" i="54"/>
  <c r="AH25" i="54"/>
  <c r="V9" i="54"/>
  <c r="AF16" i="54"/>
  <c r="AA19" i="54"/>
  <c r="Q21" i="54"/>
  <c r="AN9" i="54"/>
  <c r="AB14" i="54"/>
  <c r="AG24" i="54"/>
  <c r="AE24" i="54"/>
  <c r="AE12" i="54"/>
  <c r="AL14" i="54"/>
  <c r="V4" i="54"/>
  <c r="W11" i="54"/>
  <c r="AK22" i="54"/>
  <c r="AG14" i="54"/>
  <c r="S24" i="54"/>
  <c r="AK20" i="54"/>
  <c r="Y10" i="54"/>
  <c r="AN20" i="54"/>
  <c r="AN21" i="54"/>
  <c r="U23" i="54"/>
  <c r="U22" i="54"/>
  <c r="Y15" i="54"/>
  <c r="AB25" i="54"/>
  <c r="AB21" i="54"/>
  <c r="AN18" i="54"/>
  <c r="AF18" i="54"/>
  <c r="Z14" i="54"/>
  <c r="AH16" i="54"/>
  <c r="AH14" i="54"/>
  <c r="AJ19" i="54"/>
  <c r="Z2" i="54"/>
  <c r="AD5" i="54"/>
  <c r="AK12" i="54"/>
  <c r="T24" i="54"/>
  <c r="AH11" i="54"/>
  <c r="AE7" i="54"/>
  <c r="AB17" i="54"/>
  <c r="AD6" i="54"/>
  <c r="AG13" i="54"/>
  <c r="AN19" i="54"/>
  <c r="AI25" i="54"/>
  <c r="P27" i="54"/>
  <c r="T2" i="54"/>
  <c r="AM25" i="54"/>
  <c r="AI9" i="54"/>
  <c r="Q9" i="54"/>
  <c r="AD17" i="54"/>
  <c r="U16" i="54"/>
  <c r="AM19" i="54"/>
  <c r="T4" i="54"/>
  <c r="Z21" i="54"/>
  <c r="O9" i="54"/>
  <c r="AJ25" i="54"/>
  <c r="AK17" i="54"/>
  <c r="X16" i="54"/>
  <c r="AK13" i="54"/>
  <c r="AN11" i="54"/>
  <c r="S15" i="54"/>
  <c r="V2" i="54"/>
  <c r="AJ12" i="54"/>
  <c r="AH9" i="54"/>
  <c r="R14" i="54"/>
  <c r="AJ16" i="54"/>
  <c r="W5" i="54"/>
  <c r="O17" i="54"/>
  <c r="AM2" i="54"/>
  <c r="AH4" i="54"/>
  <c r="T14" i="54"/>
  <c r="AG16" i="54"/>
  <c r="R22" i="54"/>
  <c r="AD7" i="54"/>
  <c r="AK11" i="54"/>
  <c r="P2" i="54"/>
  <c r="AL18" i="54"/>
  <c r="T16" i="54"/>
  <c r="AM23" i="54"/>
  <c r="AD19" i="54"/>
  <c r="T5" i="54"/>
  <c r="AL11" i="54"/>
  <c r="AC25" i="54"/>
  <c r="AM18" i="54"/>
  <c r="AL9" i="54"/>
  <c r="Q16" i="54"/>
  <c r="AN14" i="54"/>
  <c r="AC6" i="54"/>
  <c r="AD24" i="54"/>
  <c r="AN5" i="54"/>
  <c r="V20" i="54"/>
  <c r="O5" i="54"/>
  <c r="Z11" i="54"/>
  <c r="T20" i="54"/>
  <c r="Y22" i="54"/>
  <c r="O24" i="54"/>
  <c r="P4" i="54"/>
  <c r="P20" i="54"/>
  <c r="AE10" i="54"/>
  <c r="X12" i="54"/>
  <c r="V23" i="54"/>
  <c r="V19" i="54"/>
  <c r="Q19" i="54"/>
  <c r="AH27" i="54"/>
  <c r="T17" i="54"/>
  <c r="Q2" i="54"/>
  <c r="AB22" i="54"/>
  <c r="O2" i="54"/>
  <c r="AY4" i="19" s="1"/>
  <c r="AZ4" i="19" s="1"/>
  <c r="U17" i="54"/>
  <c r="AK2" i="54"/>
  <c r="AE21" i="54"/>
  <c r="AM27" i="54"/>
  <c r="AF5" i="54"/>
  <c r="R25" i="54"/>
  <c r="AB15" i="54"/>
  <c r="W17" i="54"/>
  <c r="AG20" i="54"/>
  <c r="AH13" i="54"/>
  <c r="S10" i="54"/>
  <c r="X11" i="54"/>
  <c r="AE15" i="54"/>
  <c r="O25" i="54"/>
  <c r="AJ27" i="54"/>
  <c r="W18" i="54"/>
  <c r="R17" i="54"/>
  <c r="W16" i="54"/>
  <c r="V16" i="54"/>
  <c r="X19" i="54"/>
  <c r="S4" i="54"/>
  <c r="AK27" i="54"/>
  <c r="AA7" i="54"/>
  <c r="Q15" i="54"/>
  <c r="AF2" i="54"/>
  <c r="R21" i="54"/>
  <c r="AA9" i="54"/>
  <c r="AF14" i="54"/>
  <c r="AI16" i="54"/>
  <c r="V13" i="54"/>
  <c r="T15" i="54"/>
  <c r="AL2" i="54"/>
  <c r="AH21" i="54"/>
  <c r="P18" i="54"/>
  <c r="AA16" i="54"/>
  <c r="Y16" i="54"/>
  <c r="AF13" i="54"/>
  <c r="O12" i="54"/>
  <c r="Q27" i="54"/>
  <c r="R11" i="54"/>
  <c r="AH18" i="54"/>
  <c r="AC9" i="54"/>
  <c r="W6" i="54"/>
  <c r="AH23" i="54"/>
  <c r="AI12" i="54"/>
  <c r="AK24" i="54"/>
  <c r="O15" i="54"/>
  <c r="T18" i="54"/>
  <c r="AB23" i="54"/>
  <c r="X14" i="54"/>
  <c r="AG10" i="54"/>
  <c r="O6" i="54"/>
  <c r="AB27" i="54"/>
  <c r="AN12" i="54"/>
  <c r="W15" i="54"/>
  <c r="S20" i="54"/>
  <c r="P16" i="54"/>
  <c r="T22" i="54"/>
  <c r="AH5" i="54"/>
  <c r="AI21" i="54"/>
  <c r="AI4" i="54"/>
  <c r="V5" i="54"/>
  <c r="T12" i="54"/>
  <c r="AG6" i="54"/>
  <c r="AI20" i="54"/>
  <c r="AF19" i="54"/>
  <c r="AB24" i="54"/>
  <c r="AD18" i="54"/>
  <c r="P10" i="54"/>
  <c r="W27" i="54"/>
  <c r="AB18" i="54"/>
  <c r="AA23" i="54"/>
  <c r="Z13" i="54"/>
  <c r="U11" i="54"/>
  <c r="AM5" i="54"/>
  <c r="AA20" i="54"/>
  <c r="AB19" i="54"/>
  <c r="AJ15" i="54"/>
  <c r="AH17" i="54"/>
  <c r="O7" i="54"/>
  <c r="AM22" i="54"/>
  <c r="AJ4" i="54"/>
  <c r="V6" i="54"/>
  <c r="AM15" i="54"/>
  <c r="AK19" i="54"/>
  <c r="AI18" i="54"/>
  <c r="Z10" i="54"/>
  <c r="T21" i="54"/>
  <c r="X17" i="54"/>
  <c r="U10" i="54"/>
  <c r="O16" i="54"/>
  <c r="AD23" i="54"/>
  <c r="V25" i="54"/>
  <c r="AL12" i="54"/>
  <c r="AJ23" i="54"/>
  <c r="Q25" i="54"/>
  <c r="R23" i="54"/>
  <c r="AG7" i="54"/>
  <c r="V15" i="54"/>
  <c r="AF20" i="54"/>
  <c r="AE25" i="54"/>
  <c r="AL15" i="54"/>
  <c r="W14" i="54"/>
  <c r="S11" i="54"/>
  <c r="X5" i="54"/>
  <c r="AJ22" i="54"/>
  <c r="AA27" i="54"/>
  <c r="S16" i="54"/>
  <c r="AB7" i="54"/>
  <c r="U27" i="54"/>
  <c r="AN16" i="54"/>
  <c r="S5" i="54"/>
  <c r="Z23" i="54"/>
  <c r="AN24" i="54"/>
  <c r="AK25" i="54"/>
  <c r="AE6" i="54"/>
  <c r="X27" i="54"/>
  <c r="Z27" i="54"/>
  <c r="AL20" i="54"/>
  <c r="AA4" i="54"/>
  <c r="AE22" i="54"/>
  <c r="P6" i="54"/>
  <c r="T9" i="54"/>
  <c r="AG12" i="54"/>
  <c r="AG27" i="54"/>
  <c r="S14" i="54"/>
  <c r="AC2" i="54"/>
  <c r="Q5" i="54"/>
  <c r="Y27" i="54"/>
  <c r="AD21" i="54"/>
  <c r="AG23" i="54"/>
  <c r="AL23" i="54"/>
  <c r="AI14" i="54"/>
  <c r="U20" i="54"/>
  <c r="AG9" i="54"/>
  <c r="AI7" i="54"/>
  <c r="AH15" i="54"/>
  <c r="AF10" i="54"/>
  <c r="P12" i="54"/>
  <c r="AF27" i="54"/>
  <c r="V14" i="54"/>
  <c r="Y19" i="54"/>
  <c r="T25" i="54"/>
  <c r="AG2" i="54"/>
  <c r="R9" i="54"/>
  <c r="W24" i="54"/>
  <c r="AI5" i="54"/>
  <c r="U7" i="54"/>
  <c r="S2" i="54"/>
  <c r="AG17" i="54"/>
  <c r="Y20" i="54"/>
  <c r="P14" i="54"/>
  <c r="AJ26" i="54"/>
  <c r="Q26" i="54"/>
  <c r="AD26" i="54"/>
  <c r="Y26" i="54"/>
  <c r="AG26" i="54"/>
  <c r="AF26" i="54"/>
  <c r="X8" i="54"/>
  <c r="W8" i="54"/>
  <c r="AK8" i="54"/>
  <c r="AI8" i="54"/>
  <c r="AA8" i="54"/>
  <c r="Y8" i="54"/>
  <c r="S27" i="54"/>
  <c r="AA6" i="54"/>
  <c r="AC12" i="54"/>
  <c r="Z18" i="54"/>
  <c r="W20" i="54"/>
  <c r="X21" i="54"/>
  <c r="AA18" i="54"/>
  <c r="U6" i="54"/>
  <c r="R24" i="54"/>
  <c r="Q10" i="54"/>
  <c r="Q6" i="54"/>
  <c r="AD4" i="54"/>
  <c r="AA22" i="54"/>
  <c r="Z16" i="54"/>
  <c r="AM11" i="54"/>
  <c r="AN22" i="54"/>
  <c r="Q12" i="54"/>
  <c r="AC16" i="54"/>
  <c r="AE4" i="54"/>
  <c r="AL27" i="54"/>
  <c r="AM20" i="54"/>
  <c r="AF9" i="54"/>
  <c r="AC7" i="54"/>
  <c r="S6" i="54"/>
  <c r="AM24" i="54"/>
  <c r="AK23" i="54"/>
  <c r="Y18" i="54"/>
  <c r="O11" i="54"/>
  <c r="X20" i="54"/>
  <c r="P15" i="54"/>
  <c r="AB12" i="54"/>
  <c r="AL22" i="54"/>
  <c r="T7" i="54"/>
  <c r="P24" i="54"/>
  <c r="Q22" i="54"/>
  <c r="AN6" i="54"/>
  <c r="AD15" i="54"/>
  <c r="AD13" i="54"/>
  <c r="AL19" i="54"/>
  <c r="AE9" i="54"/>
  <c r="AD22" i="54"/>
  <c r="S17" i="54"/>
  <c r="AD10" i="54"/>
  <c r="V24" i="54"/>
  <c r="X13" i="54"/>
  <c r="X6" i="54"/>
  <c r="AB10" i="54"/>
  <c r="W22" i="54"/>
  <c r="AC11" i="54"/>
  <c r="U24" i="54"/>
  <c r="W4" i="54"/>
  <c r="AL16" i="54"/>
  <c r="X7" i="54"/>
  <c r="AF11" i="54"/>
  <c r="AE11" i="54"/>
  <c r="Y14" i="54"/>
  <c r="R20" i="54"/>
  <c r="U4" i="54"/>
  <c r="AM17" i="54"/>
  <c r="AD16" i="54"/>
  <c r="X4" i="54"/>
  <c r="AC21" i="54"/>
  <c r="Y2" i="54"/>
  <c r="AM10" i="54"/>
  <c r="T26" i="54"/>
  <c r="AB26" i="54"/>
  <c r="S26" i="54"/>
  <c r="Z26" i="54"/>
  <c r="AL26" i="54"/>
  <c r="AE26" i="54"/>
  <c r="V26" i="54"/>
  <c r="AE8" i="54"/>
  <c r="AN8" i="54"/>
  <c r="Z8" i="54"/>
  <c r="AB8" i="54"/>
  <c r="V8" i="54"/>
  <c r="AG8" i="54"/>
  <c r="O27" i="54"/>
  <c r="AF17" i="54"/>
  <c r="U9" i="54"/>
  <c r="S7" i="54"/>
  <c r="AC10" i="54"/>
  <c r="AH24" i="54"/>
  <c r="AL4" i="54"/>
  <c r="AL10" i="54"/>
  <c r="AD9" i="54"/>
  <c r="AB13" i="54"/>
  <c r="T10" i="54"/>
  <c r="R12" i="54"/>
  <c r="X22" i="54"/>
  <c r="T13" i="54"/>
  <c r="X18" i="54"/>
  <c r="AN13" i="54"/>
  <c r="AK21" i="54"/>
  <c r="S23" i="54"/>
  <c r="Q24" i="54"/>
  <c r="P9" i="54"/>
  <c r="T19" i="54"/>
  <c r="AN7" i="54"/>
  <c r="AL7" i="54"/>
  <c r="AE23" i="54"/>
  <c r="Y5" i="54"/>
  <c r="AF22" i="54"/>
  <c r="AM14" i="54"/>
  <c r="AC24" i="54"/>
  <c r="AI10" i="54"/>
  <c r="W23" i="54"/>
  <c r="AE27" i="54"/>
  <c r="P19" i="54"/>
  <c r="AF23" i="54"/>
  <c r="AA21" i="54"/>
  <c r="AB2" i="54"/>
  <c r="Z17" i="54"/>
  <c r="AM16" i="54"/>
  <c r="AK5" i="54"/>
  <c r="AB9" i="54"/>
  <c r="AC23" i="54"/>
  <c r="W7" i="54"/>
  <c r="S22" i="54"/>
  <c r="V12" i="54"/>
  <c r="AM21" i="54"/>
  <c r="W9" i="54"/>
  <c r="AK15" i="54"/>
  <c r="AK4" i="54"/>
  <c r="W21" i="54"/>
  <c r="AA17" i="54"/>
  <c r="Z9" i="54"/>
  <c r="AE2" i="54"/>
  <c r="AD20" i="54"/>
  <c r="AG22" i="54"/>
  <c r="U21" i="54"/>
  <c r="Y6" i="54"/>
  <c r="AL13" i="54"/>
  <c r="AH10" i="54"/>
  <c r="AB16" i="54"/>
  <c r="AD25" i="54"/>
  <c r="AA13" i="54"/>
  <c r="R10" i="54"/>
  <c r="AL24" i="54"/>
  <c r="V7" i="54"/>
  <c r="X25" i="54"/>
  <c r="W26" i="54"/>
  <c r="AI26" i="54"/>
  <c r="AN26" i="54"/>
  <c r="X26" i="54"/>
  <c r="AC26" i="54"/>
  <c r="P26" i="54"/>
  <c r="AF8" i="54"/>
  <c r="R8" i="54"/>
  <c r="AJ8" i="54"/>
  <c r="T8" i="54"/>
  <c r="AL8" i="54"/>
  <c r="Q8" i="54"/>
  <c r="AM8" i="54"/>
  <c r="S9" i="54"/>
  <c r="AA10" i="54"/>
  <c r="AI11" i="54"/>
  <c r="R6" i="54"/>
  <c r="AG5" i="54"/>
  <c r="Z15" i="54"/>
  <c r="Y23" i="54"/>
  <c r="U19" i="54"/>
  <c r="Z25" i="54"/>
  <c r="P7" i="54"/>
  <c r="O13" i="54"/>
  <c r="AH6" i="54"/>
  <c r="O21" i="54"/>
  <c r="Y4" i="54"/>
  <c r="Z20" i="54"/>
  <c r="AD11" i="54"/>
  <c r="AE18" i="54"/>
  <c r="AJ17" i="54"/>
  <c r="AD27" i="54"/>
  <c r="AL17" i="54"/>
  <c r="Y13" i="54"/>
  <c r="AL5" i="54"/>
  <c r="AN17" i="54"/>
  <c r="S19" i="54"/>
  <c r="S25" i="54"/>
  <c r="AI13" i="54"/>
  <c r="AK10" i="54"/>
  <c r="Y12" i="54"/>
  <c r="W13" i="54"/>
  <c r="AC22" i="54"/>
  <c r="AC5" i="54"/>
  <c r="V11" i="54"/>
  <c r="AK14" i="54"/>
  <c r="Y25" i="54"/>
  <c r="AL25" i="54"/>
  <c r="AG19" i="54"/>
  <c r="AJ10" i="54"/>
  <c r="AM12" i="54"/>
  <c r="W19" i="54"/>
  <c r="AG11" i="54"/>
  <c r="AE14" i="54"/>
  <c r="X2" i="54"/>
  <c r="U2" i="54"/>
  <c r="AB11" i="54"/>
  <c r="U5" i="54"/>
  <c r="U12" i="54"/>
  <c r="AJ9" i="54"/>
  <c r="R7" i="54"/>
  <c r="AE19" i="54"/>
  <c r="AE16" i="54"/>
  <c r="AF21" i="54"/>
  <c r="AD2" i="54"/>
  <c r="AH2" i="54"/>
  <c r="U14" i="54"/>
  <c r="AK7" i="54"/>
  <c r="AM13" i="54"/>
  <c r="O19" i="54"/>
  <c r="AA15" i="54"/>
  <c r="Q14" i="54"/>
  <c r="AN4" i="54"/>
  <c r="U13" i="54"/>
  <c r="Y9" i="54"/>
  <c r="AN15" i="54"/>
  <c r="X23" i="54"/>
  <c r="AA26" i="54"/>
  <c r="U26" i="54"/>
  <c r="AM26" i="54"/>
  <c r="AK26" i="54"/>
  <c r="R26" i="54"/>
  <c r="AH26" i="54"/>
  <c r="P8" i="54"/>
  <c r="AH8" i="54"/>
  <c r="AC8" i="54"/>
  <c r="U8" i="54"/>
  <c r="AD8" i="54"/>
  <c r="S8" i="54"/>
  <c r="AY4" i="53"/>
  <c r="K4" i="10"/>
  <c r="L4" i="10" s="1"/>
  <c r="K4" i="20"/>
  <c r="L4" i="20" s="1"/>
  <c r="AY4" i="22"/>
  <c r="AZ4" i="22" s="1"/>
  <c r="AY4" i="11"/>
  <c r="AZ4" i="11" s="1"/>
  <c r="AY4" i="5"/>
  <c r="AZ4" i="5" s="1"/>
  <c r="K4" i="18"/>
  <c r="L4" i="18" s="1"/>
  <c r="AY4" i="9"/>
  <c r="AZ4" i="9" s="1"/>
  <c r="AY4" i="17"/>
  <c r="AZ4" i="17" s="1"/>
  <c r="AY4" i="15"/>
  <c r="AZ4" i="15" s="1"/>
  <c r="K4" i="4"/>
  <c r="L4" i="4" s="1"/>
  <c r="AY4" i="12"/>
  <c r="AZ4" i="12" s="1"/>
  <c r="AY4" i="7"/>
  <c r="AZ4" i="7" s="1"/>
  <c r="AY4" i="14"/>
  <c r="AZ4" i="14" s="1"/>
  <c r="AY4" i="23"/>
  <c r="AZ4" i="23" s="1"/>
  <c r="K4" i="2"/>
  <c r="L4" i="2" s="1"/>
  <c r="AY4" i="21"/>
  <c r="AZ4" i="21" s="1"/>
  <c r="AY4" i="8" l="1"/>
  <c r="AZ4" i="8" s="1"/>
  <c r="AY4" i="6"/>
  <c r="AZ4" i="6" s="1"/>
  <c r="AY4" i="13"/>
  <c r="AZ4" i="13" s="1"/>
  <c r="AY4" i="16"/>
  <c r="AZ4" i="16" s="1"/>
  <c r="BC4" i="16" s="1"/>
  <c r="AY4" i="1"/>
  <c r="AZ4" i="1" s="1"/>
  <c r="AY4" i="24"/>
  <c r="AZ4" i="24" s="1"/>
  <c r="L31" i="61"/>
  <c r="M31" i="61" s="1"/>
  <c r="N31" i="61" s="1"/>
  <c r="K4" i="21"/>
  <c r="L4" i="21" s="1"/>
  <c r="K4" i="23"/>
  <c r="L4" i="23" s="1"/>
  <c r="K4" i="7"/>
  <c r="L4" i="7" s="1"/>
  <c r="AY4" i="4"/>
  <c r="AZ4" i="4" s="1"/>
  <c r="K4" i="17"/>
  <c r="L4" i="17" s="1"/>
  <c r="AY4" i="18"/>
  <c r="AZ4" i="18" s="1"/>
  <c r="K4" i="16"/>
  <c r="L4" i="16" s="1"/>
  <c r="K4" i="8"/>
  <c r="L4" i="8" s="1"/>
  <c r="K4" i="1"/>
  <c r="L4" i="1" s="1"/>
  <c r="K4" i="6"/>
  <c r="L4" i="6" s="1"/>
  <c r="K4" i="3"/>
  <c r="L4" i="3" s="1"/>
  <c r="K4" i="25"/>
  <c r="L4" i="25" s="1"/>
  <c r="K4" i="53"/>
  <c r="L4" i="53" s="1"/>
  <c r="K4" i="13"/>
  <c r="L4" i="13" s="1"/>
  <c r="BA4" i="15"/>
  <c r="BB4" i="15" s="1"/>
  <c r="BA4" i="14"/>
  <c r="BB4" i="14" s="1"/>
  <c r="AY4" i="3"/>
  <c r="AZ4" i="3" s="1"/>
  <c r="BC4" i="3" s="1"/>
  <c r="K4" i="19"/>
  <c r="L4" i="19" s="1"/>
  <c r="AY4" i="2"/>
  <c r="AZ4" i="2" s="1"/>
  <c r="K4" i="14"/>
  <c r="L4" i="14" s="1"/>
  <c r="K4" i="12"/>
  <c r="L4" i="12" s="1"/>
  <c r="K4" i="15"/>
  <c r="L4" i="15" s="1"/>
  <c r="K4" i="9"/>
  <c r="L4" i="9" s="1"/>
  <c r="K4" i="5"/>
  <c r="L4" i="5" s="1"/>
  <c r="K4" i="11"/>
  <c r="L4" i="11" s="1"/>
  <c r="K4" i="22"/>
  <c r="L4" i="22" s="1"/>
  <c r="AY4" i="20"/>
  <c r="AZ4" i="20" s="1"/>
  <c r="AY4" i="10"/>
  <c r="AZ4" i="10" s="1"/>
  <c r="K4" i="24"/>
  <c r="L4" i="24" s="1"/>
  <c r="AY4" i="25"/>
  <c r="AZ4" i="25" s="1"/>
  <c r="BA8" i="16"/>
  <c r="BB8" i="16" s="1"/>
  <c r="M13" i="17"/>
  <c r="N13" i="17" s="1"/>
  <c r="BA18" i="1"/>
  <c r="BB18" i="1" s="1"/>
  <c r="BA6" i="2"/>
  <c r="BB6" i="2" s="1"/>
  <c r="M28" i="19"/>
  <c r="N28" i="19" s="1"/>
  <c r="BA19" i="10"/>
  <c r="BB19" i="10" s="1"/>
  <c r="M7" i="10"/>
  <c r="N7" i="10" s="1"/>
  <c r="M13" i="8"/>
  <c r="N13" i="8" s="1"/>
  <c r="M24" i="22"/>
  <c r="N24" i="22" s="1"/>
  <c r="M23" i="4"/>
  <c r="N23" i="4" s="1"/>
  <c r="BA23" i="17"/>
  <c r="BB23" i="17" s="1"/>
  <c r="M10" i="16"/>
  <c r="N10" i="16" s="1"/>
  <c r="BA17" i="5"/>
  <c r="BB17" i="5" s="1"/>
  <c r="BA10" i="14"/>
  <c r="BB10" i="14" s="1"/>
  <c r="BA12" i="25"/>
  <c r="BB12" i="25" s="1"/>
  <c r="BA14" i="2"/>
  <c r="BB14" i="2" s="1"/>
  <c r="BA11" i="7"/>
  <c r="BB11" i="7" s="1"/>
  <c r="M15" i="21"/>
  <c r="N15" i="21" s="1"/>
  <c r="BA25" i="8"/>
  <c r="BB25" i="8" s="1"/>
  <c r="M19" i="22"/>
  <c r="N19" i="22" s="1"/>
  <c r="BA7" i="11"/>
  <c r="BB7" i="11" s="1"/>
  <c r="M16" i="25"/>
  <c r="N16" i="25" s="1"/>
  <c r="BA13" i="17"/>
  <c r="BB13" i="17" s="1"/>
  <c r="M24" i="3"/>
  <c r="N24" i="3" s="1"/>
  <c r="BA19" i="8"/>
  <c r="BB19" i="8" s="1"/>
  <c r="BA22" i="7"/>
  <c r="BB22" i="7" s="1"/>
  <c r="BA25" i="7"/>
  <c r="BB25" i="7" s="1"/>
  <c r="BA10" i="4"/>
  <c r="BB10" i="4" s="1"/>
  <c r="M10" i="22"/>
  <c r="N10" i="22" s="1"/>
  <c r="M17" i="24"/>
  <c r="N17" i="24" s="1"/>
  <c r="BA26" i="14"/>
  <c r="BB26" i="14" s="1"/>
  <c r="BA17" i="16"/>
  <c r="BB17" i="16" s="1"/>
  <c r="M20" i="7"/>
  <c r="N20" i="7" s="1"/>
  <c r="BA20" i="8"/>
  <c r="BB20" i="8" s="1"/>
  <c r="M11" i="14"/>
  <c r="N11" i="14" s="1"/>
  <c r="M15" i="1"/>
  <c r="N15" i="1" s="1"/>
  <c r="BA25" i="9"/>
  <c r="BB25" i="9" s="1"/>
  <c r="BA18" i="53"/>
  <c r="BB18" i="53" s="1"/>
  <c r="M7" i="8"/>
  <c r="N7" i="8" s="1"/>
  <c r="M18" i="2"/>
  <c r="N18" i="2" s="1"/>
  <c r="BA16" i="2"/>
  <c r="BB16" i="2" s="1"/>
  <c r="BA25" i="18"/>
  <c r="BB25" i="18" s="1"/>
  <c r="BA16" i="14"/>
  <c r="BB16" i="14" s="1"/>
  <c r="BA22" i="2"/>
  <c r="BB22" i="2" s="1"/>
  <c r="M24" i="19"/>
  <c r="N24" i="19" s="1"/>
  <c r="M13" i="20"/>
  <c r="N13" i="20" s="1"/>
  <c r="M18" i="17"/>
  <c r="N18" i="17" s="1"/>
  <c r="BA6" i="25"/>
  <c r="BB6" i="25" s="1"/>
  <c r="M6" i="2"/>
  <c r="N6" i="2" s="1"/>
  <c r="M8" i="3"/>
  <c r="N8" i="3" s="1"/>
  <c r="M5" i="10"/>
  <c r="N5" i="10" s="1"/>
  <c r="M5" i="5"/>
  <c r="N5" i="5" s="1"/>
  <c r="BA17" i="7"/>
  <c r="BB17" i="7" s="1"/>
  <c r="M17" i="17"/>
  <c r="N17" i="17" s="1"/>
  <c r="BA12" i="4"/>
  <c r="BB12" i="4" s="1"/>
  <c r="BA23" i="18"/>
  <c r="BB23" i="18" s="1"/>
  <c r="M14" i="11"/>
  <c r="N14" i="11" s="1"/>
  <c r="M15" i="3"/>
  <c r="N15" i="3" s="1"/>
  <c r="BA11" i="24"/>
  <c r="BB11" i="24" s="1"/>
  <c r="M25" i="17"/>
  <c r="N25" i="17" s="1"/>
  <c r="BA6" i="15"/>
  <c r="BB6" i="15" s="1"/>
  <c r="M8" i="25"/>
  <c r="N8" i="25" s="1"/>
  <c r="BA7" i="17"/>
  <c r="BB7" i="17" s="1"/>
  <c r="M28" i="15"/>
  <c r="N28" i="15" s="1"/>
  <c r="M6" i="25"/>
  <c r="N6" i="25" s="1"/>
  <c r="M22" i="13"/>
  <c r="N22" i="13" s="1"/>
  <c r="M8" i="6"/>
  <c r="N8" i="6" s="1"/>
  <c r="BA24" i="14"/>
  <c r="BB24" i="14" s="1"/>
  <c r="M5" i="17"/>
  <c r="N5" i="17" s="1"/>
  <c r="M23" i="23"/>
  <c r="N23" i="23" s="1"/>
  <c r="BA26" i="22"/>
  <c r="BB26" i="22" s="1"/>
  <c r="M21" i="23"/>
  <c r="N21" i="23" s="1"/>
  <c r="BA26" i="12"/>
  <c r="BB26" i="12" s="1"/>
  <c r="BA20" i="16"/>
  <c r="BB20" i="16" s="1"/>
  <c r="M14" i="53"/>
  <c r="N14" i="53" s="1"/>
  <c r="M15" i="22"/>
  <c r="N15" i="22" s="1"/>
  <c r="M11" i="12"/>
  <c r="N11" i="12" s="1"/>
  <c r="M13" i="7"/>
  <c r="N13" i="7" s="1"/>
  <c r="BA19" i="53"/>
  <c r="BB19" i="53" s="1"/>
  <c r="BA28" i="2"/>
  <c r="BB28" i="2" s="1"/>
  <c r="BA25" i="5"/>
  <c r="BB25" i="5" s="1"/>
  <c r="M16" i="16"/>
  <c r="N16" i="16" s="1"/>
  <c r="M19" i="25"/>
  <c r="N19" i="25" s="1"/>
  <c r="M22" i="14"/>
  <c r="N22" i="14" s="1"/>
  <c r="BA19" i="15"/>
  <c r="BB19" i="15" s="1"/>
  <c r="M7" i="17"/>
  <c r="N7" i="17" s="1"/>
  <c r="BA22" i="12"/>
  <c r="BB22" i="12" s="1"/>
  <c r="BA6" i="1"/>
  <c r="BB6" i="1" s="1"/>
  <c r="M24" i="16"/>
  <c r="N24" i="16" s="1"/>
  <c r="BA25" i="20"/>
  <c r="BB25" i="20" s="1"/>
  <c r="M16" i="14"/>
  <c r="N16" i="14" s="1"/>
  <c r="BA19" i="7"/>
  <c r="BB19" i="7" s="1"/>
  <c r="BA22" i="5"/>
  <c r="BB22" i="5" s="1"/>
  <c r="BA28" i="8"/>
  <c r="BB28" i="8" s="1"/>
  <c r="M7" i="4"/>
  <c r="N7" i="4" s="1"/>
  <c r="BA24" i="10"/>
  <c r="BB24" i="10" s="1"/>
  <c r="M24" i="6"/>
  <c r="N24" i="6" s="1"/>
  <c r="BA5" i="12"/>
  <c r="BB5" i="12" s="1"/>
  <c r="BA26" i="16"/>
  <c r="BB26" i="16" s="1"/>
  <c r="M21" i="53"/>
  <c r="N21" i="53" s="1"/>
  <c r="BA21" i="5"/>
  <c r="BB21" i="5" s="1"/>
  <c r="BA10" i="11"/>
  <c r="BB10" i="11" s="1"/>
  <c r="M20" i="5"/>
  <c r="N20" i="5" s="1"/>
  <c r="BA14" i="8"/>
  <c r="BB14" i="8" s="1"/>
  <c r="BA15" i="8"/>
  <c r="BB15" i="8" s="1"/>
  <c r="BA23" i="14"/>
  <c r="BB23" i="14" s="1"/>
  <c r="M18" i="53"/>
  <c r="N18" i="53" s="1"/>
  <c r="M22" i="17"/>
  <c r="N22" i="17" s="1"/>
  <c r="BA28" i="14"/>
  <c r="BB28" i="14" s="1"/>
  <c r="M18" i="9"/>
  <c r="N18" i="9" s="1"/>
  <c r="BA28" i="5"/>
  <c r="BB28" i="5" s="1"/>
  <c r="BA7" i="12"/>
  <c r="BB7" i="12" s="1"/>
  <c r="M7" i="13"/>
  <c r="N7" i="13" s="1"/>
  <c r="BA18" i="18"/>
  <c r="BB18" i="18" s="1"/>
  <c r="M13" i="25"/>
  <c r="N13" i="25" s="1"/>
  <c r="M5" i="16"/>
  <c r="N5" i="16" s="1"/>
  <c r="M12" i="14"/>
  <c r="N12" i="14" s="1"/>
  <c r="M21" i="11"/>
  <c r="N21" i="11" s="1"/>
  <c r="M26" i="25"/>
  <c r="N26" i="25" s="1"/>
  <c r="M21" i="10"/>
  <c r="N21" i="10" s="1"/>
  <c r="BA14" i="11"/>
  <c r="BB14" i="11" s="1"/>
  <c r="M14" i="21"/>
  <c r="N14" i="21" s="1"/>
  <c r="M15" i="24"/>
  <c r="N15" i="24" s="1"/>
  <c r="M24" i="2"/>
  <c r="N24" i="2" s="1"/>
  <c r="BA8" i="18"/>
  <c r="BB8" i="18" s="1"/>
  <c r="BA18" i="23"/>
  <c r="BB18" i="23" s="1"/>
  <c r="M28" i="23"/>
  <c r="N28" i="23" s="1"/>
  <c r="BA16" i="7"/>
  <c r="BB16" i="7" s="1"/>
  <c r="BA8" i="17"/>
  <c r="BB8" i="17" s="1"/>
  <c r="M8" i="9"/>
  <c r="N8" i="9" s="1"/>
  <c r="M8" i="14"/>
  <c r="N8" i="14" s="1"/>
  <c r="BA6" i="7"/>
  <c r="BB6" i="7" s="1"/>
  <c r="M28" i="4"/>
  <c r="N28" i="4" s="1"/>
  <c r="BA7" i="2"/>
  <c r="BB7" i="2" s="1"/>
  <c r="M18" i="10"/>
  <c r="N18" i="10" s="1"/>
  <c r="BA13" i="4"/>
  <c r="BB13" i="4" s="1"/>
  <c r="M6" i="7"/>
  <c r="N6" i="7" s="1"/>
  <c r="BA13" i="7"/>
  <c r="BB13" i="7" s="1"/>
  <c r="M23" i="13"/>
  <c r="N23" i="13" s="1"/>
  <c r="BA23" i="21"/>
  <c r="BB23" i="21" s="1"/>
  <c r="BA17" i="53"/>
  <c r="BB17" i="53" s="1"/>
  <c r="M12" i="21"/>
  <c r="N12" i="21" s="1"/>
  <c r="BA21" i="20"/>
  <c r="BB21" i="20" s="1"/>
  <c r="M20" i="24"/>
  <c r="N20" i="24" s="1"/>
  <c r="M20" i="15"/>
  <c r="N20" i="15" s="1"/>
  <c r="M11" i="23"/>
  <c r="N11" i="23" s="1"/>
  <c r="M15" i="13"/>
  <c r="N15" i="13" s="1"/>
  <c r="BA13" i="22"/>
  <c r="BB13" i="22" s="1"/>
  <c r="BA13" i="19"/>
  <c r="BB13" i="19" s="1"/>
  <c r="M16" i="9"/>
  <c r="N16" i="9" s="1"/>
  <c r="M7" i="5"/>
  <c r="N7" i="5" s="1"/>
  <c r="BA7" i="1"/>
  <c r="BB7" i="1" s="1"/>
  <c r="BA13" i="10"/>
  <c r="BB13" i="10" s="1"/>
  <c r="M7" i="12"/>
  <c r="N7" i="12" s="1"/>
  <c r="M13" i="4"/>
  <c r="N13" i="4" s="1"/>
  <c r="M13" i="12"/>
  <c r="N13" i="12" s="1"/>
  <c r="BA21" i="1"/>
  <c r="BB21" i="1" s="1"/>
  <c r="M21" i="6"/>
  <c r="N21" i="6" s="1"/>
  <c r="M17" i="25"/>
  <c r="N17" i="25" s="1"/>
  <c r="M21" i="24"/>
  <c r="N21" i="24" s="1"/>
  <c r="BA12" i="16"/>
  <c r="BB12" i="16" s="1"/>
  <c r="BA14" i="19"/>
  <c r="BB14" i="19" s="1"/>
  <c r="BA23" i="53"/>
  <c r="BB23" i="53" s="1"/>
  <c r="BA11" i="4"/>
  <c r="BB11" i="4" s="1"/>
  <c r="M15" i="4"/>
  <c r="N15" i="4" s="1"/>
  <c r="BA28" i="7"/>
  <c r="BB28" i="7" s="1"/>
  <c r="M24" i="23"/>
  <c r="N24" i="23" s="1"/>
  <c r="BA8" i="7"/>
  <c r="BB8" i="7" s="1"/>
  <c r="BA6" i="17"/>
  <c r="BB6" i="17" s="1"/>
  <c r="M6" i="3"/>
  <c r="N6" i="3" s="1"/>
  <c r="BA23" i="8"/>
  <c r="BB23" i="8" s="1"/>
  <c r="BA8" i="22"/>
  <c r="BB8" i="22" s="1"/>
  <c r="M22" i="19"/>
  <c r="N22" i="19" s="1"/>
  <c r="M7" i="20"/>
  <c r="N7" i="20" s="1"/>
  <c r="BA13" i="24"/>
  <c r="BB13" i="24" s="1"/>
  <c r="BA7" i="7"/>
  <c r="BB7" i="7" s="1"/>
  <c r="BA22" i="4"/>
  <c r="BB22" i="4" s="1"/>
  <c r="M28" i="12"/>
  <c r="N28" i="12" s="1"/>
  <c r="BA22" i="3"/>
  <c r="BB22" i="3" s="1"/>
  <c r="BA6" i="14"/>
  <c r="BB6" i="14" s="1"/>
  <c r="M19" i="24"/>
  <c r="N19" i="24" s="1"/>
  <c r="M16" i="24"/>
  <c r="N16" i="24" s="1"/>
  <c r="BA22" i="14"/>
  <c r="BB22" i="14" s="1"/>
  <c r="BA6" i="10"/>
  <c r="BB6" i="10" s="1"/>
  <c r="BA18" i="16"/>
  <c r="BB18" i="16" s="1"/>
  <c r="M13" i="11"/>
  <c r="N13" i="11" s="1"/>
  <c r="M25" i="5"/>
  <c r="N25" i="5" s="1"/>
  <c r="M5" i="13"/>
  <c r="N5" i="13" s="1"/>
  <c r="M23" i="8"/>
  <c r="N23" i="8" s="1"/>
  <c r="BA21" i="11"/>
  <c r="BB21" i="11" s="1"/>
  <c r="BA21" i="9"/>
  <c r="BB21" i="9" s="1"/>
  <c r="BA10" i="3"/>
  <c r="BB10" i="3" s="1"/>
  <c r="BA10" i="2"/>
  <c r="BB10" i="2" s="1"/>
  <c r="BA20" i="6"/>
  <c r="BB20" i="6" s="1"/>
  <c r="M20" i="10"/>
  <c r="N20" i="10" s="1"/>
  <c r="M11" i="25"/>
  <c r="N11" i="25" s="1"/>
  <c r="M23" i="9"/>
  <c r="N23" i="9" s="1"/>
  <c r="BA28" i="22"/>
  <c r="BB28" i="22" s="1"/>
  <c r="M16" i="20"/>
  <c r="N16" i="20" s="1"/>
  <c r="M6" i="18"/>
  <c r="N6" i="18" s="1"/>
  <c r="BA25" i="53"/>
  <c r="BB25" i="53" s="1"/>
  <c r="M16" i="10"/>
  <c r="N16" i="10" s="1"/>
  <c r="M8" i="12"/>
  <c r="N8" i="12" s="1"/>
  <c r="M19" i="53"/>
  <c r="N19" i="53" s="1"/>
  <c r="M19" i="7"/>
  <c r="N19" i="7" s="1"/>
  <c r="M23" i="14"/>
  <c r="N23" i="14" s="1"/>
  <c r="M10" i="12"/>
  <c r="N10" i="12" s="1"/>
  <c r="BA12" i="23"/>
  <c r="BB12" i="23" s="1"/>
  <c r="M17" i="7"/>
  <c r="N17" i="7" s="1"/>
  <c r="M10" i="5"/>
  <c r="N10" i="5" s="1"/>
  <c r="BA21" i="15"/>
  <c r="BB21" i="15" s="1"/>
  <c r="BA20" i="15"/>
  <c r="BB20" i="15" s="1"/>
  <c r="BA14" i="4"/>
  <c r="BB14" i="4" s="1"/>
  <c r="BA11" i="19"/>
  <c r="BB11" i="19" s="1"/>
  <c r="M24" i="14"/>
  <c r="N24" i="14" s="1"/>
  <c r="M7" i="14"/>
  <c r="N7" i="14" s="1"/>
  <c r="BA8" i="25"/>
  <c r="BB8" i="25" s="1"/>
  <c r="M19" i="15"/>
  <c r="N19" i="15" s="1"/>
  <c r="M16" i="18"/>
  <c r="N16" i="18" s="1"/>
  <c r="M28" i="6"/>
  <c r="N28" i="6" s="1"/>
  <c r="BA6" i="22"/>
  <c r="BB6" i="22" s="1"/>
  <c r="M8" i="24"/>
  <c r="N8" i="24" s="1"/>
  <c r="M6" i="15"/>
  <c r="N6" i="15" s="1"/>
  <c r="BA22" i="10"/>
  <c r="BB22" i="10" s="1"/>
  <c r="BA25" i="16"/>
  <c r="BB25" i="16" s="1"/>
  <c r="M6" i="6"/>
  <c r="N6" i="6" s="1"/>
  <c r="M19" i="8"/>
  <c r="N19" i="8" s="1"/>
  <c r="M25" i="12"/>
  <c r="N25" i="12" s="1"/>
  <c r="M13" i="22"/>
  <c r="N13" i="22" s="1"/>
  <c r="M5" i="21"/>
  <c r="N5" i="21" s="1"/>
  <c r="BA12" i="22"/>
  <c r="BB12" i="22" s="1"/>
  <c r="BA17" i="22"/>
  <c r="BB17" i="22" s="1"/>
  <c r="M17" i="16"/>
  <c r="N17" i="16" s="1"/>
  <c r="BA21" i="21"/>
  <c r="BB21" i="21" s="1"/>
  <c r="M14" i="13"/>
  <c r="N14" i="13" s="1"/>
  <c r="BA14" i="53"/>
  <c r="BB14" i="53" s="1"/>
  <c r="BA15" i="23"/>
  <c r="BB15" i="23" s="1"/>
  <c r="BA24" i="11"/>
  <c r="BB24" i="11" s="1"/>
  <c r="BA16" i="20"/>
  <c r="BB16" i="20" s="1"/>
  <c r="M25" i="20"/>
  <c r="N25" i="20" s="1"/>
  <c r="BA13" i="53"/>
  <c r="BB13" i="53" s="1"/>
  <c r="BA25" i="19"/>
  <c r="BB25" i="19" s="1"/>
  <c r="BA22" i="18"/>
  <c r="BB22" i="18" s="1"/>
  <c r="BA22" i="16"/>
  <c r="BB22" i="16" s="1"/>
  <c r="BA28" i="19"/>
  <c r="BB28" i="19" s="1"/>
  <c r="M6" i="17"/>
  <c r="N6" i="17" s="1"/>
  <c r="BA7" i="53"/>
  <c r="BB7" i="53" s="1"/>
  <c r="BA16" i="23"/>
  <c r="BB16" i="23" s="1"/>
  <c r="BA16" i="21"/>
  <c r="BB16" i="21" s="1"/>
  <c r="M28" i="7"/>
  <c r="N28" i="7" s="1"/>
  <c r="BA26" i="5"/>
  <c r="BB26" i="5" s="1"/>
  <c r="BA5" i="1"/>
  <c r="BB5" i="1" s="1"/>
  <c r="BA21" i="10"/>
  <c r="BB21" i="10" s="1"/>
  <c r="M21" i="22"/>
  <c r="N21" i="22" s="1"/>
  <c r="M21" i="15"/>
  <c r="N21" i="15" s="1"/>
  <c r="BA12" i="15"/>
  <c r="BB12" i="15" s="1"/>
  <c r="BA20" i="20"/>
  <c r="BB20" i="20" s="1"/>
  <c r="BA11" i="13"/>
  <c r="BB11" i="13" s="1"/>
  <c r="BA15" i="17"/>
  <c r="BB15" i="17" s="1"/>
  <c r="BA24" i="6"/>
  <c r="BB24" i="6" s="1"/>
  <c r="M8" i="15"/>
  <c r="N8" i="15" s="1"/>
  <c r="BA19" i="5"/>
  <c r="BB19" i="5" s="1"/>
  <c r="M22" i="4"/>
  <c r="N22" i="4" s="1"/>
  <c r="M8" i="21"/>
  <c r="N8" i="21" s="1"/>
  <c r="BA25" i="3"/>
  <c r="BB25" i="3" s="1"/>
  <c r="M7" i="2"/>
  <c r="N7" i="2" s="1"/>
  <c r="M13" i="6"/>
  <c r="N13" i="6" s="1"/>
  <c r="M16" i="5"/>
  <c r="N16" i="5" s="1"/>
  <c r="BA5" i="11"/>
  <c r="BB5" i="11" s="1"/>
  <c r="BA5" i="19"/>
  <c r="BB5" i="19" s="1"/>
  <c r="M12" i="9"/>
  <c r="N12" i="9" s="1"/>
  <c r="BA17" i="19"/>
  <c r="BB17" i="19" s="1"/>
  <c r="BA12" i="14"/>
  <c r="BB12" i="14" s="1"/>
  <c r="M23" i="22"/>
  <c r="N23" i="22" s="1"/>
  <c r="BA14" i="3"/>
  <c r="BB14" i="3" s="1"/>
  <c r="BA15" i="14"/>
  <c r="BB15" i="14" s="1"/>
  <c r="BA11" i="2"/>
  <c r="BB11" i="2" s="1"/>
  <c r="M25" i="7"/>
  <c r="N25" i="7" s="1"/>
  <c r="BA6" i="20"/>
  <c r="BB6" i="20" s="1"/>
  <c r="BA16" i="1"/>
  <c r="BB16" i="1" s="1"/>
  <c r="M18" i="21"/>
  <c r="N18" i="21" s="1"/>
  <c r="BA8" i="21"/>
  <c r="BB8" i="21" s="1"/>
  <c r="BA19" i="23"/>
  <c r="BB19" i="23" s="1"/>
  <c r="BA8" i="15"/>
  <c r="BB8" i="15" s="1"/>
  <c r="BA24" i="19"/>
  <c r="BB24" i="19" s="1"/>
  <c r="M28" i="16"/>
  <c r="N28" i="16" s="1"/>
  <c r="M19" i="17"/>
  <c r="N19" i="17" s="1"/>
  <c r="M18" i="7"/>
  <c r="N18" i="7" s="1"/>
  <c r="M18" i="12"/>
  <c r="N18" i="12" s="1"/>
  <c r="M7" i="9"/>
  <c r="N7" i="9" s="1"/>
  <c r="M6" i="11"/>
  <c r="N6" i="11" s="1"/>
  <c r="BA5" i="4"/>
  <c r="BB5" i="4" s="1"/>
  <c r="BA26" i="53"/>
  <c r="BB26" i="53" s="1"/>
  <c r="BA12" i="10"/>
  <c r="BB12" i="10" s="1"/>
  <c r="M12" i="19"/>
  <c r="N12" i="19" s="1"/>
  <c r="M17" i="8"/>
  <c r="N17" i="8" s="1"/>
  <c r="M17" i="6"/>
  <c r="N17" i="6" s="1"/>
  <c r="M20" i="14"/>
  <c r="N20" i="14" s="1"/>
  <c r="M14" i="25"/>
  <c r="N14" i="25" s="1"/>
  <c r="M11" i="16"/>
  <c r="N11" i="16" s="1"/>
  <c r="BA8" i="3"/>
  <c r="BB8" i="3" s="1"/>
  <c r="M25" i="53"/>
  <c r="N25" i="53" s="1"/>
  <c r="M18" i="4"/>
  <c r="N18" i="4" s="1"/>
  <c r="M6" i="21"/>
  <c r="N6" i="21" s="1"/>
  <c r="BA8" i="23"/>
  <c r="BB8" i="23" s="1"/>
  <c r="M22" i="12"/>
  <c r="N22" i="12" s="1"/>
  <c r="M16" i="23"/>
  <c r="N16" i="23" s="1"/>
  <c r="M18" i="16"/>
  <c r="N18" i="16" s="1"/>
  <c r="M24" i="11"/>
  <c r="N24" i="11" s="1"/>
  <c r="BA23" i="3"/>
  <c r="BB23" i="3" s="1"/>
  <c r="BA21" i="13"/>
  <c r="BB21" i="13" s="1"/>
  <c r="BA26" i="10"/>
  <c r="BB26" i="10" s="1"/>
  <c r="M12" i="53"/>
  <c r="N12" i="53" s="1"/>
  <c r="BA21" i="18"/>
  <c r="BB21" i="18" s="1"/>
  <c r="M17" i="9"/>
  <c r="N17" i="9" s="1"/>
  <c r="M14" i="16"/>
  <c r="N14" i="16" s="1"/>
  <c r="BA11" i="10"/>
  <c r="BB11" i="10" s="1"/>
  <c r="M15" i="11"/>
  <c r="N15" i="11" s="1"/>
  <c r="M8" i="2"/>
  <c r="N8" i="2" s="1"/>
  <c r="BA19" i="14"/>
  <c r="BB19" i="14" s="1"/>
  <c r="M28" i="20"/>
  <c r="N28" i="20" s="1"/>
  <c r="BA6" i="21"/>
  <c r="BB6" i="21" s="1"/>
  <c r="BA25" i="15"/>
  <c r="BB25" i="15" s="1"/>
  <c r="M28" i="10"/>
  <c r="N28" i="10" s="1"/>
  <c r="M8" i="19"/>
  <c r="N8" i="19" s="1"/>
  <c r="BA24" i="24"/>
  <c r="BB24" i="24" s="1"/>
  <c r="BA13" i="8"/>
  <c r="BB13" i="8" s="1"/>
  <c r="BA19" i="16"/>
  <c r="BB19" i="16" s="1"/>
  <c r="M7" i="25"/>
  <c r="N7" i="25" s="1"/>
  <c r="M7" i="3"/>
  <c r="N7" i="3" s="1"/>
  <c r="BA13" i="9"/>
  <c r="BB13" i="9" s="1"/>
  <c r="M16" i="13"/>
  <c r="N16" i="13" s="1"/>
  <c r="BA13" i="15"/>
  <c r="BB13" i="15" s="1"/>
  <c r="M26" i="16"/>
  <c r="N26" i="16" s="1"/>
  <c r="M10" i="7"/>
  <c r="N10" i="7" s="1"/>
  <c r="BA19" i="22"/>
  <c r="BB19" i="22" s="1"/>
  <c r="M13" i="19"/>
  <c r="N13" i="19" s="1"/>
  <c r="M12" i="10"/>
  <c r="N12" i="10" s="1"/>
  <c r="M20" i="3"/>
  <c r="N20" i="3" s="1"/>
  <c r="M7" i="15"/>
  <c r="N7" i="15" s="1"/>
  <c r="M23" i="20"/>
  <c r="N23" i="20" s="1"/>
  <c r="BA13" i="23"/>
  <c r="BB13" i="23" s="1"/>
  <c r="BA7" i="13"/>
  <c r="BB7" i="13" s="1"/>
  <c r="BA24" i="13"/>
  <c r="BB24" i="13" s="1"/>
  <c r="BA10" i="22"/>
  <c r="BB10" i="22" s="1"/>
  <c r="M12" i="20"/>
  <c r="N12" i="20" s="1"/>
  <c r="M12" i="4"/>
  <c r="N12" i="4" s="1"/>
  <c r="M12" i="22"/>
  <c r="N12" i="22" s="1"/>
  <c r="M20" i="53"/>
  <c r="N20" i="53" s="1"/>
  <c r="M20" i="23"/>
  <c r="N20" i="23" s="1"/>
  <c r="M15" i="8"/>
  <c r="N15" i="8" s="1"/>
  <c r="BA11" i="25"/>
  <c r="BB11" i="25" s="1"/>
  <c r="BA23" i="15"/>
  <c r="BB23" i="15" s="1"/>
  <c r="BA19" i="19"/>
  <c r="BB19" i="19" s="1"/>
  <c r="BA19" i="3"/>
  <c r="BB19" i="3" s="1"/>
  <c r="BA19" i="1"/>
  <c r="BB19" i="1" s="1"/>
  <c r="M22" i="20"/>
  <c r="N22" i="20" s="1"/>
  <c r="M24" i="7"/>
  <c r="N24" i="7" s="1"/>
  <c r="M22" i="10"/>
  <c r="N22" i="10" s="1"/>
  <c r="BA28" i="12"/>
  <c r="BB28" i="12" s="1"/>
  <c r="M25" i="13"/>
  <c r="N25" i="13" s="1"/>
  <c r="BA23" i="2"/>
  <c r="BB23" i="2" s="1"/>
  <c r="M23" i="5"/>
  <c r="N23" i="5" s="1"/>
  <c r="BA21" i="4"/>
  <c r="BB21" i="4" s="1"/>
  <c r="M17" i="4"/>
  <c r="N17" i="4" s="1"/>
  <c r="M10" i="1"/>
  <c r="N10" i="1" s="1"/>
  <c r="BA20" i="13"/>
  <c r="BB20" i="13" s="1"/>
  <c r="BA20" i="19"/>
  <c r="BB20" i="19" s="1"/>
  <c r="BA15" i="9"/>
  <c r="BB15" i="9" s="1"/>
  <c r="M11" i="19"/>
  <c r="N11" i="19" s="1"/>
  <c r="BA25" i="10"/>
  <c r="BB25" i="10" s="1"/>
  <c r="BA22" i="15"/>
  <c r="BB22" i="15" s="1"/>
  <c r="M28" i="25"/>
  <c r="N28" i="25" s="1"/>
  <c r="M25" i="2"/>
  <c r="N25" i="2" s="1"/>
  <c r="BA18" i="25"/>
  <c r="BB18" i="25" s="1"/>
  <c r="M19" i="2"/>
  <c r="N19" i="2" s="1"/>
  <c r="M24" i="9"/>
  <c r="N24" i="9" s="1"/>
  <c r="BA25" i="1"/>
  <c r="BB25" i="1" s="1"/>
  <c r="M25" i="16"/>
  <c r="N25" i="16" s="1"/>
  <c r="BA8" i="12"/>
  <c r="BB8" i="12" s="1"/>
  <c r="BA22" i="1"/>
  <c r="BB22" i="1" s="1"/>
  <c r="BA19" i="2"/>
  <c r="BB19" i="2" s="1"/>
  <c r="M8" i="8"/>
  <c r="N8" i="8" s="1"/>
  <c r="BA19" i="11"/>
  <c r="BB19" i="11" s="1"/>
  <c r="M19" i="9"/>
  <c r="N19" i="9" s="1"/>
  <c r="BA13" i="18"/>
  <c r="BB13" i="18" s="1"/>
  <c r="BA21" i="14"/>
  <c r="BB21" i="14" s="1"/>
  <c r="BA21" i="19"/>
  <c r="BB21" i="19" s="1"/>
  <c r="BA10" i="9"/>
  <c r="BB10" i="9" s="1"/>
  <c r="BA10" i="1"/>
  <c r="BB10" i="1" s="1"/>
  <c r="M26" i="9"/>
  <c r="N26" i="9" s="1"/>
  <c r="BA20" i="10"/>
  <c r="BB20" i="10" s="1"/>
  <c r="M20" i="20"/>
  <c r="N20" i="20" s="1"/>
  <c r="BA15" i="3"/>
  <c r="BB15" i="3" s="1"/>
  <c r="BA15" i="24"/>
  <c r="BB15" i="24" s="1"/>
  <c r="BA22" i="22"/>
  <c r="BB22" i="22" s="1"/>
  <c r="M24" i="24"/>
  <c r="N24" i="24" s="1"/>
  <c r="M22" i="22"/>
  <c r="N22" i="22" s="1"/>
  <c r="BA25" i="12"/>
  <c r="BB25" i="12" s="1"/>
  <c r="M18" i="25"/>
  <c r="N18" i="25" s="1"/>
  <c r="BA8" i="10"/>
  <c r="BB8" i="10" s="1"/>
  <c r="M8" i="11"/>
  <c r="N8" i="11" s="1"/>
  <c r="M24" i="12"/>
  <c r="N24" i="12" s="1"/>
  <c r="M25" i="9"/>
  <c r="N25" i="9" s="1"/>
  <c r="M5" i="14"/>
  <c r="N5" i="14" s="1"/>
  <c r="M17" i="12"/>
  <c r="N17" i="12" s="1"/>
  <c r="BA10" i="23"/>
  <c r="BB10" i="23" s="1"/>
  <c r="BA12" i="11"/>
  <c r="BB12" i="11" s="1"/>
  <c r="BA10" i="24"/>
  <c r="BB10" i="24" s="1"/>
  <c r="BA20" i="53"/>
  <c r="BB20" i="53" s="1"/>
  <c r="M20" i="13"/>
  <c r="N20" i="13" s="1"/>
  <c r="BA15" i="22"/>
  <c r="BB15" i="22" s="1"/>
  <c r="BA23" i="7"/>
  <c r="BB23" i="7" s="1"/>
  <c r="BA19" i="18"/>
  <c r="BB19" i="18" s="1"/>
  <c r="M18" i="22"/>
  <c r="N18" i="22" s="1"/>
  <c r="BA22" i="53"/>
  <c r="BB22" i="53" s="1"/>
  <c r="M28" i="8"/>
  <c r="N28" i="8" s="1"/>
  <c r="M22" i="2"/>
  <c r="N22" i="2" s="1"/>
  <c r="BA6" i="3"/>
  <c r="BB6" i="3" s="1"/>
  <c r="M16" i="11"/>
  <c r="N16" i="11" s="1"/>
  <c r="M25" i="18"/>
  <c r="N25" i="18" s="1"/>
  <c r="BA8" i="11"/>
  <c r="BB8" i="11" s="1"/>
  <c r="M23" i="2"/>
  <c r="N23" i="2" s="1"/>
  <c r="BA10" i="25"/>
  <c r="BB10" i="25" s="1"/>
  <c r="BA21" i="17"/>
  <c r="BB21" i="17" s="1"/>
  <c r="BA12" i="9"/>
  <c r="BB12" i="9" s="1"/>
  <c r="BA21" i="12"/>
  <c r="BB21" i="12" s="1"/>
  <c r="BA17" i="15"/>
  <c r="BB17" i="15" s="1"/>
  <c r="BA24" i="18"/>
  <c r="BB24" i="18" s="1"/>
  <c r="BA22" i="20"/>
  <c r="BB22" i="20" s="1"/>
  <c r="M19" i="10"/>
  <c r="N19" i="10" s="1"/>
  <c r="M21" i="20"/>
  <c r="N21" i="20" s="1"/>
  <c r="BA14" i="9"/>
  <c r="BB14" i="9" s="1"/>
  <c r="M11" i="53"/>
  <c r="N11" i="53" s="1"/>
  <c r="M22" i="1"/>
  <c r="N22" i="1" s="1"/>
  <c r="BA19" i="17"/>
  <c r="BB19" i="17" s="1"/>
  <c r="BA5" i="15"/>
  <c r="BB5" i="15" s="1"/>
  <c r="M20" i="21"/>
  <c r="N20" i="21" s="1"/>
  <c r="M11" i="17"/>
  <c r="N11" i="17" s="1"/>
  <c r="M19" i="1"/>
  <c r="N19" i="1" s="1"/>
  <c r="BA6" i="12"/>
  <c r="BB6" i="12" s="1"/>
  <c r="M21" i="19"/>
  <c r="N21" i="19" s="1"/>
  <c r="M14" i="3"/>
  <c r="N14" i="3" s="1"/>
  <c r="M15" i="9"/>
  <c r="N15" i="9" s="1"/>
  <c r="BA13" i="14"/>
  <c r="BB13" i="14" s="1"/>
  <c r="BA7" i="4"/>
  <c r="BB7" i="4" s="1"/>
  <c r="BA26" i="9"/>
  <c r="BB26" i="9" s="1"/>
  <c r="BA20" i="7"/>
  <c r="BB20" i="7" s="1"/>
  <c r="M11" i="22"/>
  <c r="N11" i="22" s="1"/>
  <c r="M6" i="13"/>
  <c r="N6" i="13" s="1"/>
  <c r="BA28" i="10"/>
  <c r="BB28" i="10" s="1"/>
  <c r="M28" i="11"/>
  <c r="N28" i="11" s="1"/>
  <c r="BA23" i="1"/>
  <c r="BB23" i="1" s="1"/>
  <c r="M23" i="3"/>
  <c r="N23" i="3" s="1"/>
  <c r="BA12" i="1"/>
  <c r="BB12" i="1" s="1"/>
  <c r="M17" i="20"/>
  <c r="N17" i="20" s="1"/>
  <c r="BA21" i="24"/>
  <c r="BB21" i="24" s="1"/>
  <c r="BA14" i="15"/>
  <c r="BB14" i="15" s="1"/>
  <c r="M7" i="53"/>
  <c r="N7" i="53" s="1"/>
  <c r="M7" i="16"/>
  <c r="N7" i="16" s="1"/>
  <c r="BA19" i="6"/>
  <c r="BB19" i="6" s="1"/>
  <c r="M10" i="20"/>
  <c r="N10" i="20" s="1"/>
  <c r="BA20" i="9"/>
  <c r="BB20" i="9" s="1"/>
  <c r="M11" i="9"/>
  <c r="N11" i="9" s="1"/>
  <c r="M19" i="3"/>
  <c r="N19" i="3" s="1"/>
  <c r="BA18" i="10"/>
  <c r="BB18" i="10" s="1"/>
  <c r="BA17" i="4"/>
  <c r="BB17" i="4" s="1"/>
  <c r="M14" i="10"/>
  <c r="N14" i="10" s="1"/>
  <c r="M15" i="18"/>
  <c r="N15" i="18" s="1"/>
  <c r="BA6" i="16"/>
  <c r="BB6" i="16" s="1"/>
  <c r="BA22" i="11"/>
  <c r="BB22" i="11" s="1"/>
  <c r="BA12" i="12"/>
  <c r="BB12" i="12" s="1"/>
  <c r="BA20" i="3"/>
  <c r="BB20" i="3" s="1"/>
  <c r="BA11" i="1"/>
  <c r="BB11" i="1" s="1"/>
  <c r="BA6" i="24"/>
  <c r="BB6" i="24" s="1"/>
  <c r="M6" i="1"/>
  <c r="N6" i="1" s="1"/>
  <c r="BA17" i="23"/>
  <c r="BB17" i="23" s="1"/>
  <c r="BA14" i="16"/>
  <c r="BB14" i="16" s="1"/>
  <c r="M15" i="7"/>
  <c r="N15" i="7" s="1"/>
  <c r="BA6" i="8"/>
  <c r="BB6" i="8" s="1"/>
  <c r="M6" i="8"/>
  <c r="N6" i="8" s="1"/>
  <c r="M5" i="18"/>
  <c r="N5" i="18" s="1"/>
  <c r="M23" i="16"/>
  <c r="N23" i="16" s="1"/>
  <c r="BA12" i="3"/>
  <c r="BB12" i="3" s="1"/>
  <c r="BA21" i="25"/>
  <c r="BB21" i="25" s="1"/>
  <c r="BA26" i="15"/>
  <c r="BB26" i="15" s="1"/>
  <c r="M17" i="15"/>
  <c r="N17" i="15" s="1"/>
  <c r="M16" i="8"/>
  <c r="N16" i="8" s="1"/>
  <c r="M8" i="5"/>
  <c r="N8" i="5" s="1"/>
  <c r="M13" i="23"/>
  <c r="N13" i="23" s="1"/>
  <c r="M5" i="53"/>
  <c r="N5" i="53" s="1"/>
  <c r="M17" i="14"/>
  <c r="N17" i="14" s="1"/>
  <c r="M15" i="15"/>
  <c r="N15" i="15" s="1"/>
  <c r="M7" i="21"/>
  <c r="N7" i="21" s="1"/>
  <c r="BA19" i="12"/>
  <c r="BB19" i="12" s="1"/>
  <c r="M5" i="11"/>
  <c r="N5" i="11" s="1"/>
  <c r="M26" i="15"/>
  <c r="N26" i="15" s="1"/>
  <c r="BA18" i="9"/>
  <c r="BB18" i="9" s="1"/>
  <c r="BA5" i="53"/>
  <c r="BB5" i="53" s="1"/>
  <c r="M21" i="25"/>
  <c r="N21" i="25" s="1"/>
  <c r="BA15" i="12"/>
  <c r="BB15" i="12" s="1"/>
  <c r="M8" i="18"/>
  <c r="N8" i="18" s="1"/>
  <c r="BA18" i="24"/>
  <c r="BB18" i="24" s="1"/>
  <c r="M6" i="20"/>
  <c r="N6" i="20" s="1"/>
  <c r="BA16" i="17"/>
  <c r="BB16" i="17" s="1"/>
  <c r="BA23" i="24"/>
  <c r="BB23" i="24" s="1"/>
  <c r="BA5" i="18"/>
  <c r="BB5" i="18" s="1"/>
  <c r="BA26" i="4"/>
  <c r="BB26" i="4" s="1"/>
  <c r="M26" i="12"/>
  <c r="N26" i="12" s="1"/>
  <c r="BA12" i="8"/>
  <c r="BB12" i="8" s="1"/>
  <c r="BA14" i="18"/>
  <c r="BB14" i="18" s="1"/>
  <c r="BA23" i="9"/>
  <c r="BB23" i="9" s="1"/>
  <c r="M11" i="13"/>
  <c r="N11" i="13" s="1"/>
  <c r="M15" i="17"/>
  <c r="N15" i="17" s="1"/>
  <c r="M25" i="4"/>
  <c r="N25" i="4" s="1"/>
  <c r="BA18" i="14"/>
  <c r="BB18" i="14" s="1"/>
  <c r="M24" i="53"/>
  <c r="N24" i="53" s="1"/>
  <c r="BA6" i="6"/>
  <c r="BB6" i="6" s="1"/>
  <c r="M19" i="6"/>
  <c r="N19" i="6" s="1"/>
  <c r="M6" i="9"/>
  <c r="N6" i="9" s="1"/>
  <c r="BA13" i="6"/>
  <c r="BB13" i="6" s="1"/>
  <c r="M19" i="11"/>
  <c r="N19" i="11" s="1"/>
  <c r="BA25" i="4"/>
  <c r="BB25" i="4" s="1"/>
  <c r="BA5" i="24"/>
  <c r="BB5" i="24" s="1"/>
  <c r="M21" i="14"/>
  <c r="N21" i="14" s="1"/>
  <c r="BA26" i="23"/>
  <c r="BB26" i="23" s="1"/>
  <c r="M17" i="1"/>
  <c r="N17" i="1" s="1"/>
  <c r="M26" i="13"/>
  <c r="N26" i="13" s="1"/>
  <c r="BA14" i="12"/>
  <c r="BB14" i="12" s="1"/>
  <c r="M20" i="16"/>
  <c r="N20" i="16" s="1"/>
  <c r="M15" i="14"/>
  <c r="N15" i="14" s="1"/>
  <c r="M15" i="20"/>
  <c r="N15" i="20" s="1"/>
  <c r="M28" i="24"/>
  <c r="N28" i="24" s="1"/>
  <c r="M28" i="22"/>
  <c r="N28" i="22" s="1"/>
  <c r="BA18" i="3"/>
  <c r="BB18" i="3" s="1"/>
  <c r="M22" i="5"/>
  <c r="N22" i="5" s="1"/>
  <c r="M13" i="1"/>
  <c r="N13" i="1" s="1"/>
  <c r="M7" i="7"/>
  <c r="N7" i="7" s="1"/>
  <c r="M13" i="9"/>
  <c r="N13" i="9" s="1"/>
  <c r="M16" i="22"/>
  <c r="N16" i="22" s="1"/>
  <c r="M19" i="19"/>
  <c r="N19" i="19" s="1"/>
  <c r="BA7" i="24"/>
  <c r="BB7" i="24" s="1"/>
  <c r="M28" i="14"/>
  <c r="N28" i="14" s="1"/>
  <c r="BA28" i="3"/>
  <c r="BB28" i="3" s="1"/>
  <c r="M19" i="13"/>
  <c r="N19" i="13" s="1"/>
  <c r="BA16" i="19"/>
  <c r="BB16" i="19" s="1"/>
  <c r="BA19" i="20"/>
  <c r="BB19" i="20" s="1"/>
  <c r="BA5" i="22"/>
  <c r="BB5" i="22" s="1"/>
  <c r="BA23" i="23"/>
  <c r="BB23" i="23" s="1"/>
  <c r="M10" i="23"/>
  <c r="N10" i="23" s="1"/>
  <c r="M10" i="8"/>
  <c r="N10" i="8" s="1"/>
  <c r="M26" i="24"/>
  <c r="N26" i="24" s="1"/>
  <c r="M26" i="8"/>
  <c r="N26" i="8" s="1"/>
  <c r="M14" i="15"/>
  <c r="N14" i="15" s="1"/>
  <c r="BA14" i="7"/>
  <c r="BB14" i="7" s="1"/>
  <c r="M11" i="24"/>
  <c r="N11" i="24" s="1"/>
  <c r="BA24" i="5"/>
  <c r="BB24" i="5" s="1"/>
  <c r="BA7" i="14"/>
  <c r="BB7" i="14" s="1"/>
  <c r="M22" i="15"/>
  <c r="N22" i="15" s="1"/>
  <c r="BA6" i="19"/>
  <c r="BB6" i="19" s="1"/>
  <c r="BA16" i="53"/>
  <c r="BB16" i="53" s="1"/>
  <c r="M22" i="9"/>
  <c r="N22" i="9" s="1"/>
  <c r="M18" i="8"/>
  <c r="N18" i="8" s="1"/>
  <c r="BA25" i="6"/>
  <c r="BB25" i="6" s="1"/>
  <c r="M16" i="3"/>
  <c r="N16" i="3" s="1"/>
  <c r="BA5" i="25"/>
  <c r="BB5" i="25" s="1"/>
  <c r="M26" i="6"/>
  <c r="N26" i="6" s="1"/>
  <c r="BA17" i="10"/>
  <c r="BB17" i="10" s="1"/>
  <c r="M10" i="3"/>
  <c r="N10" i="3" s="1"/>
  <c r="BA12" i="5"/>
  <c r="BB12" i="5" s="1"/>
  <c r="BA26" i="3"/>
  <c r="BB26" i="3" s="1"/>
  <c r="BA14" i="5"/>
  <c r="BB14" i="5" s="1"/>
  <c r="BA14" i="25"/>
  <c r="BB14" i="25" s="1"/>
  <c r="BA11" i="12"/>
  <c r="BB11" i="12" s="1"/>
  <c r="BA28" i="21"/>
  <c r="BB28" i="21" s="1"/>
  <c r="M6" i="23"/>
  <c r="N6" i="23" s="1"/>
  <c r="BA7" i="15"/>
  <c r="BB7" i="15" s="1"/>
  <c r="BA22" i="23"/>
  <c r="BB22" i="23" s="1"/>
  <c r="BA16" i="15"/>
  <c r="BB16" i="15" s="1"/>
  <c r="BA24" i="7"/>
  <c r="BB24" i="7" s="1"/>
  <c r="BA22" i="8"/>
  <c r="BB22" i="8" s="1"/>
  <c r="BA7" i="10"/>
  <c r="BB7" i="10" s="1"/>
  <c r="BA24" i="9"/>
  <c r="BB24" i="9" s="1"/>
  <c r="BA24" i="25"/>
  <c r="BB24" i="25" s="1"/>
  <c r="M5" i="9"/>
  <c r="N5" i="9" s="1"/>
  <c r="M23" i="15"/>
  <c r="N23" i="15" s="1"/>
  <c r="M21" i="7"/>
  <c r="N21" i="7" s="1"/>
  <c r="M12" i="6"/>
  <c r="N12" i="6" s="1"/>
  <c r="M26" i="14"/>
  <c r="N26" i="14" s="1"/>
  <c r="M20" i="1"/>
  <c r="N20" i="1" s="1"/>
  <c r="BA8" i="24"/>
  <c r="BB8" i="24" s="1"/>
  <c r="BA19" i="9"/>
  <c r="BB19" i="9" s="1"/>
  <c r="M18" i="11"/>
  <c r="N18" i="11" s="1"/>
  <c r="M21" i="3"/>
  <c r="N21" i="3" s="1"/>
  <c r="M14" i="14"/>
  <c r="N14" i="14" s="1"/>
  <c r="BA15" i="16"/>
  <c r="BB15" i="16" s="1"/>
  <c r="M7" i="1"/>
  <c r="N7" i="1" s="1"/>
  <c r="BA7" i="3"/>
  <c r="BB7" i="3" s="1"/>
  <c r="BA10" i="13"/>
  <c r="BB10" i="13" s="1"/>
  <c r="M14" i="19"/>
  <c r="N14" i="19" s="1"/>
  <c r="BA11" i="20"/>
  <c r="BB11" i="20" s="1"/>
  <c r="BA22" i="21"/>
  <c r="BB22" i="21" s="1"/>
  <c r="BA18" i="15"/>
  <c r="BB18" i="15" s="1"/>
  <c r="M17" i="22"/>
  <c r="N17" i="22" s="1"/>
  <c r="M20" i="11"/>
  <c r="N20" i="11" s="1"/>
  <c r="M11" i="8"/>
  <c r="N11" i="8" s="1"/>
  <c r="BA13" i="2"/>
  <c r="BB13" i="2" s="1"/>
  <c r="M22" i="6"/>
  <c r="N22" i="6" s="1"/>
  <c r="M12" i="3"/>
  <c r="N12" i="3" s="1"/>
  <c r="M20" i="2"/>
  <c r="N20" i="2" s="1"/>
  <c r="BA15" i="6"/>
  <c r="BB15" i="6" s="1"/>
  <c r="BA6" i="13"/>
  <c r="BB6" i="13" s="1"/>
  <c r="BA18" i="4"/>
  <c r="BB18" i="4" s="1"/>
  <c r="M24" i="8"/>
  <c r="N24" i="8" s="1"/>
  <c r="BA21" i="23"/>
  <c r="BB21" i="23" s="1"/>
  <c r="BA17" i="20"/>
  <c r="BB17" i="20" s="1"/>
  <c r="BA26" i="7"/>
  <c r="BB26" i="7" s="1"/>
  <c r="M17" i="2"/>
  <c r="N17" i="2" s="1"/>
  <c r="M10" i="17"/>
  <c r="N10" i="17" s="1"/>
  <c r="BA23" i="25"/>
  <c r="BB23" i="25" s="1"/>
  <c r="M22" i="23"/>
  <c r="N22" i="23" s="1"/>
  <c r="BA18" i="8"/>
  <c r="BB18" i="8" s="1"/>
  <c r="M5" i="19"/>
  <c r="N5" i="19" s="1"/>
  <c r="M12" i="8"/>
  <c r="N12" i="8" s="1"/>
  <c r="BA20" i="1"/>
  <c r="BB20" i="1" s="1"/>
  <c r="BA25" i="2"/>
  <c r="BB25" i="2" s="1"/>
  <c r="BA16" i="16"/>
  <c r="BB16" i="16" s="1"/>
  <c r="BA28" i="24"/>
  <c r="BB28" i="24" s="1"/>
  <c r="M10" i="14"/>
  <c r="N10" i="14" s="1"/>
  <c r="BA20" i="21"/>
  <c r="BB20" i="21" s="1"/>
  <c r="M15" i="12"/>
  <c r="N15" i="12" s="1"/>
  <c r="M28" i="17"/>
  <c r="N28" i="17" s="1"/>
  <c r="M25" i="1"/>
  <c r="N25" i="1" s="1"/>
  <c r="BA10" i="8"/>
  <c r="BB10" i="8" s="1"/>
  <c r="M20" i="4"/>
  <c r="N20" i="4" s="1"/>
  <c r="M24" i="13"/>
  <c r="N24" i="13" s="1"/>
  <c r="BA28" i="6"/>
  <c r="BB28" i="6" s="1"/>
  <c r="BA5" i="8"/>
  <c r="BB5" i="8" s="1"/>
  <c r="M26" i="11"/>
  <c r="N26" i="11" s="1"/>
  <c r="BA11" i="18"/>
  <c r="BB11" i="18" s="1"/>
  <c r="M13" i="10"/>
  <c r="N13" i="10" s="1"/>
  <c r="BA22" i="25"/>
  <c r="BB22" i="25" s="1"/>
  <c r="BA8" i="53"/>
  <c r="BB8" i="53" s="1"/>
  <c r="M5" i="12"/>
  <c r="N5" i="12" s="1"/>
  <c r="BA5" i="13"/>
  <c r="BB5" i="13" s="1"/>
  <c r="M12" i="2"/>
  <c r="N12" i="2" s="1"/>
  <c r="M21" i="4"/>
  <c r="N21" i="4" s="1"/>
  <c r="M17" i="53"/>
  <c r="N17" i="53" s="1"/>
  <c r="M20" i="12"/>
  <c r="N20" i="12" s="1"/>
  <c r="BA13" i="12"/>
  <c r="BB13" i="12" s="1"/>
  <c r="M6" i="19"/>
  <c r="N6" i="19" s="1"/>
  <c r="M8" i="1"/>
  <c r="N8" i="1" s="1"/>
  <c r="M26" i="19"/>
  <c r="N26" i="19" s="1"/>
  <c r="M12" i="25"/>
  <c r="N12" i="25" s="1"/>
  <c r="BA11" i="9"/>
  <c r="BB11" i="9" s="1"/>
  <c r="BA28" i="15"/>
  <c r="BB28" i="15" s="1"/>
  <c r="M16" i="12"/>
  <c r="N16" i="12" s="1"/>
  <c r="BA17" i="11"/>
  <c r="BB17" i="11" s="1"/>
  <c r="M20" i="9"/>
  <c r="N20" i="9" s="1"/>
  <c r="M15" i="10"/>
  <c r="N15" i="10" s="1"/>
  <c r="BA13" i="11"/>
  <c r="BB13" i="11" s="1"/>
  <c r="BA18" i="7"/>
  <c r="BB18" i="7" s="1"/>
  <c r="M10" i="25"/>
  <c r="N10" i="25" s="1"/>
  <c r="M20" i="8"/>
  <c r="N20" i="8" s="1"/>
  <c r="M11" i="1"/>
  <c r="N11" i="1" s="1"/>
  <c r="M24" i="17"/>
  <c r="N24" i="17" s="1"/>
  <c r="BA7" i="25"/>
  <c r="BB7" i="25" s="1"/>
  <c r="M13" i="13"/>
  <c r="N13" i="13" s="1"/>
  <c r="M23" i="7"/>
  <c r="N23" i="7" s="1"/>
  <c r="BA17" i="8"/>
  <c r="BB17" i="8" s="1"/>
  <c r="BA24" i="22"/>
  <c r="BB24" i="22" s="1"/>
  <c r="M13" i="14"/>
  <c r="N13" i="14" s="1"/>
  <c r="M24" i="4"/>
  <c r="N24" i="4" s="1"/>
  <c r="BA16" i="11"/>
  <c r="BB16" i="11" s="1"/>
  <c r="BA28" i="13"/>
  <c r="BB28" i="13" s="1"/>
  <c r="M5" i="3"/>
  <c r="N5" i="3" s="1"/>
  <c r="M26" i="23"/>
  <c r="N26" i="23" s="1"/>
  <c r="M26" i="2"/>
  <c r="N26" i="2" s="1"/>
  <c r="M12" i="16"/>
  <c r="N12" i="16" s="1"/>
  <c r="BA12" i="53"/>
  <c r="BB12" i="53" s="1"/>
  <c r="BA20" i="22"/>
  <c r="BB20" i="22" s="1"/>
  <c r="M20" i="19"/>
  <c r="N20" i="19" s="1"/>
  <c r="BA15" i="4"/>
  <c r="BB15" i="4" s="1"/>
  <c r="BA16" i="5"/>
  <c r="BB16" i="5" s="1"/>
  <c r="M6" i="22"/>
  <c r="N6" i="22" s="1"/>
  <c r="BA25" i="23"/>
  <c r="BB25" i="23" s="1"/>
  <c r="BA6" i="23"/>
  <c r="BB6" i="23" s="1"/>
  <c r="M8" i="23"/>
  <c r="N8" i="23" s="1"/>
  <c r="M18" i="13"/>
  <c r="N18" i="13" s="1"/>
  <c r="BA28" i="17"/>
  <c r="BB28" i="17" s="1"/>
  <c r="M18" i="6"/>
  <c r="N18" i="6" s="1"/>
  <c r="BA7" i="16"/>
  <c r="BB7" i="16" s="1"/>
  <c r="M5" i="15"/>
  <c r="N5" i="15" s="1"/>
  <c r="M23" i="11"/>
  <c r="N23" i="11" s="1"/>
  <c r="M21" i="16"/>
  <c r="N21" i="16" s="1"/>
  <c r="BA26" i="24"/>
  <c r="BB26" i="24" s="1"/>
  <c r="BA17" i="18"/>
  <c r="BB17" i="18" s="1"/>
  <c r="BA12" i="24"/>
  <c r="BB12" i="24" s="1"/>
  <c r="M14" i="9"/>
  <c r="N14" i="9" s="1"/>
  <c r="BA14" i="17"/>
  <c r="BB14" i="17" s="1"/>
  <c r="M11" i="2"/>
  <c r="N11" i="2" s="1"/>
  <c r="BA24" i="21"/>
  <c r="BB24" i="21" s="1"/>
  <c r="BA28" i="20"/>
  <c r="BB28" i="20" s="1"/>
  <c r="M22" i="16"/>
  <c r="N22" i="16" s="1"/>
  <c r="M7" i="23"/>
  <c r="N7" i="23" s="1"/>
  <c r="M19" i="18"/>
  <c r="N19" i="18" s="1"/>
  <c r="BA16" i="9"/>
  <c r="BB16" i="9" s="1"/>
  <c r="M6" i="24"/>
  <c r="N6" i="24" s="1"/>
  <c r="BA23" i="4"/>
  <c r="BB23" i="4" s="1"/>
  <c r="M19" i="14"/>
  <c r="N19" i="14" s="1"/>
  <c r="M16" i="1"/>
  <c r="N16" i="1" s="1"/>
  <c r="BA7" i="23"/>
  <c r="BB7" i="23" s="1"/>
  <c r="M18" i="24"/>
  <c r="N18" i="24" s="1"/>
  <c r="M8" i="13"/>
  <c r="N8" i="13" s="1"/>
  <c r="BA8" i="14"/>
  <c r="BB8" i="14" s="1"/>
  <c r="M18" i="18"/>
  <c r="N18" i="18" s="1"/>
  <c r="M25" i="8"/>
  <c r="N25" i="8" s="1"/>
  <c r="BA23" i="5"/>
  <c r="BB23" i="5" s="1"/>
  <c r="BA21" i="6"/>
  <c r="BB21" i="6" s="1"/>
  <c r="M10" i="24"/>
  <c r="N10" i="24" s="1"/>
  <c r="M10" i="13"/>
  <c r="N10" i="13" s="1"/>
  <c r="M26" i="3"/>
  <c r="N26" i="3" s="1"/>
  <c r="BA17" i="14"/>
  <c r="BB17" i="14" s="1"/>
  <c r="BA14" i="14"/>
  <c r="BB14" i="14" s="1"/>
  <c r="BA11" i="23"/>
  <c r="BB11" i="23" s="1"/>
  <c r="BA15" i="13"/>
  <c r="BB15" i="13" s="1"/>
  <c r="BA13" i="13"/>
  <c r="BB13" i="13" s="1"/>
  <c r="M8" i="22"/>
  <c r="N8" i="22" s="1"/>
  <c r="BA13" i="1"/>
  <c r="BB13" i="1" s="1"/>
  <c r="M18" i="20"/>
  <c r="N18" i="20" s="1"/>
  <c r="M19" i="23"/>
  <c r="N19" i="23" s="1"/>
  <c r="M19" i="20"/>
  <c r="N19" i="20" s="1"/>
  <c r="M24" i="20"/>
  <c r="N24" i="20" s="1"/>
  <c r="BA8" i="5"/>
  <c r="BB8" i="5" s="1"/>
  <c r="M13" i="21"/>
  <c r="N13" i="21" s="1"/>
  <c r="BA5" i="20"/>
  <c r="BB5" i="20" s="1"/>
  <c r="M5" i="8"/>
  <c r="N5" i="8" s="1"/>
  <c r="BA17" i="3"/>
  <c r="BB17" i="3" s="1"/>
  <c r="BA10" i="16"/>
  <c r="BB10" i="16" s="1"/>
  <c r="BA17" i="12"/>
  <c r="BB17" i="12" s="1"/>
  <c r="BA17" i="9"/>
  <c r="BB17" i="9" s="1"/>
  <c r="BA20" i="18"/>
  <c r="BB20" i="18" s="1"/>
  <c r="M11" i="4"/>
  <c r="N11" i="4" s="1"/>
  <c r="BA15" i="20"/>
  <c r="BB15" i="20" s="1"/>
  <c r="BA13" i="21"/>
  <c r="BB13" i="21" s="1"/>
  <c r="M16" i="53"/>
  <c r="N16" i="53" s="1"/>
  <c r="M13" i="2"/>
  <c r="N13" i="2" s="1"/>
  <c r="BA16" i="25"/>
  <c r="BB16" i="25" s="1"/>
  <c r="M25" i="15"/>
  <c r="N25" i="15" s="1"/>
  <c r="BA19" i="24"/>
  <c r="BB19" i="24" s="1"/>
  <c r="M6" i="16"/>
  <c r="N6" i="16" s="1"/>
  <c r="M28" i="3"/>
  <c r="N28" i="3" s="1"/>
  <c r="BA8" i="8"/>
  <c r="BB8" i="8" s="1"/>
  <c r="M16" i="6"/>
  <c r="N16" i="6" s="1"/>
  <c r="M10" i="15"/>
  <c r="N10" i="15" s="1"/>
  <c r="M21" i="13"/>
  <c r="N21" i="13" s="1"/>
  <c r="BA12" i="21"/>
  <c r="BB12" i="21" s="1"/>
  <c r="M21" i="8"/>
  <c r="N21" i="8" s="1"/>
  <c r="M26" i="10"/>
  <c r="N26" i="10" s="1"/>
  <c r="M23" i="25"/>
  <c r="N23" i="25" s="1"/>
  <c r="BA22" i="24"/>
  <c r="BB22" i="24" s="1"/>
  <c r="M16" i="21"/>
  <c r="N16" i="21" s="1"/>
  <c r="M24" i="18"/>
  <c r="N24" i="18" s="1"/>
  <c r="M26" i="17"/>
  <c r="N26" i="17" s="1"/>
  <c r="BA20" i="12"/>
  <c r="BB20" i="12" s="1"/>
  <c r="BA15" i="53"/>
  <c r="BB15" i="53" s="1"/>
  <c r="M7" i="24"/>
  <c r="N7" i="24" s="1"/>
  <c r="BA24" i="16"/>
  <c r="BB24" i="16" s="1"/>
  <c r="M26" i="20"/>
  <c r="N26" i="20" s="1"/>
  <c r="BA20" i="14"/>
  <c r="BB20" i="14" s="1"/>
  <c r="BA15" i="18"/>
  <c r="BB15" i="18" s="1"/>
  <c r="BA25" i="21"/>
  <c r="BB25" i="21" s="1"/>
  <c r="BA18" i="12"/>
  <c r="BB18" i="12" s="1"/>
  <c r="BA21" i="53"/>
  <c r="BB21" i="53" s="1"/>
  <c r="M14" i="23"/>
  <c r="N14" i="23" s="1"/>
  <c r="M13" i="18"/>
  <c r="N13" i="18" s="1"/>
  <c r="BA6" i="4"/>
  <c r="BB6" i="4" s="1"/>
  <c r="BA25" i="14"/>
  <c r="BB25" i="14" s="1"/>
  <c r="M10" i="2"/>
  <c r="N10" i="2" s="1"/>
  <c r="M20" i="17"/>
  <c r="N20" i="17" s="1"/>
  <c r="BA25" i="24"/>
  <c r="BB25" i="24" s="1"/>
  <c r="BA19" i="4"/>
  <c r="BB19" i="4" s="1"/>
  <c r="M13" i="24"/>
  <c r="N13" i="24" s="1"/>
  <c r="BA5" i="5"/>
  <c r="BB5" i="5" s="1"/>
  <c r="M23" i="19"/>
  <c r="N23" i="19" s="1"/>
  <c r="BA17" i="21"/>
  <c r="BB17" i="21" s="1"/>
  <c r="BA26" i="25"/>
  <c r="BB26" i="25" s="1"/>
  <c r="BA17" i="13"/>
  <c r="BB17" i="13" s="1"/>
  <c r="M21" i="18"/>
  <c r="N21" i="18" s="1"/>
  <c r="M23" i="18"/>
  <c r="N23" i="18" s="1"/>
  <c r="M16" i="17"/>
  <c r="N16" i="17" s="1"/>
  <c r="M6" i="10"/>
  <c r="N6" i="10" s="1"/>
  <c r="BA23" i="13"/>
  <c r="BB23" i="13" s="1"/>
  <c r="M17" i="13"/>
  <c r="N17" i="13" s="1"/>
  <c r="BA11" i="53"/>
  <c r="BB11" i="53" s="1"/>
  <c r="BA18" i="20"/>
  <c r="BB18" i="20" s="1"/>
  <c r="M6" i="4"/>
  <c r="N6" i="4" s="1"/>
  <c r="BA26" i="18"/>
  <c r="BB26" i="18" s="1"/>
  <c r="BA10" i="53"/>
  <c r="BB10" i="53" s="1"/>
  <c r="BA11" i="17"/>
  <c r="BB11" i="17" s="1"/>
  <c r="M7" i="18"/>
  <c r="N7" i="18" s="1"/>
  <c r="M22" i="21"/>
  <c r="N22" i="21" s="1"/>
  <c r="BA5" i="16"/>
  <c r="BB5" i="16" s="1"/>
  <c r="M10" i="21"/>
  <c r="N10" i="21" s="1"/>
  <c r="M11" i="5"/>
  <c r="N11" i="5" s="1"/>
  <c r="BA18" i="21"/>
  <c r="BB18" i="21" s="1"/>
  <c r="M18" i="19"/>
  <c r="N18" i="19" s="1"/>
  <c r="M23" i="6"/>
  <c r="N23" i="6" s="1"/>
  <c r="M20" i="25"/>
  <c r="N20" i="25" s="1"/>
  <c r="M11" i="3"/>
  <c r="N11" i="3" s="1"/>
  <c r="BA7" i="5"/>
  <c r="BB7" i="5" s="1"/>
  <c r="M7" i="6"/>
  <c r="N7" i="6" s="1"/>
  <c r="BA8" i="9"/>
  <c r="BB8" i="9" s="1"/>
  <c r="BA23" i="11"/>
  <c r="BB23" i="11" s="1"/>
  <c r="BA26" i="6"/>
  <c r="BB26" i="6" s="1"/>
  <c r="M10" i="4"/>
  <c r="N10" i="4" s="1"/>
  <c r="BA26" i="11"/>
  <c r="BB26" i="11" s="1"/>
  <c r="BA17" i="1"/>
  <c r="BB17" i="1" s="1"/>
  <c r="M20" i="6"/>
  <c r="N20" i="6" s="1"/>
  <c r="M6" i="14"/>
  <c r="N6" i="14" s="1"/>
  <c r="M7" i="19"/>
  <c r="N7" i="19" s="1"/>
  <c r="BA28" i="9"/>
  <c r="BB28" i="9" s="1"/>
  <c r="BA12" i="2"/>
  <c r="BB12" i="2" s="1"/>
  <c r="BA14" i="21"/>
  <c r="BB14" i="21" s="1"/>
  <c r="M11" i="11"/>
  <c r="N11" i="11" s="1"/>
  <c r="BA25" i="11"/>
  <c r="BB25" i="11" s="1"/>
  <c r="BA18" i="13"/>
  <c r="BB18" i="13" s="1"/>
  <c r="M16" i="4"/>
  <c r="N16" i="4" s="1"/>
  <c r="M26" i="7"/>
  <c r="N26" i="7" s="1"/>
  <c r="BA20" i="23"/>
  <c r="BB20" i="23" s="1"/>
  <c r="BA7" i="22"/>
  <c r="BB7" i="22" s="1"/>
  <c r="M28" i="5"/>
  <c r="N28" i="5" s="1"/>
  <c r="M28" i="1"/>
  <c r="N28" i="1" s="1"/>
  <c r="BA8" i="1"/>
  <c r="BB8" i="1" s="1"/>
  <c r="M25" i="22"/>
  <c r="N25" i="22" s="1"/>
  <c r="BA5" i="9"/>
  <c r="BB5" i="9" s="1"/>
  <c r="BA26" i="13"/>
  <c r="BB26" i="13" s="1"/>
  <c r="BA26" i="19"/>
  <c r="BB26" i="19" s="1"/>
  <c r="M12" i="24"/>
  <c r="N12" i="24" s="1"/>
  <c r="BA12" i="7"/>
  <c r="BB12" i="7" s="1"/>
  <c r="BA14" i="10"/>
  <c r="BB14" i="10" s="1"/>
  <c r="M11" i="7"/>
  <c r="N11" i="7" s="1"/>
  <c r="BA15" i="21"/>
  <c r="BB15" i="21" s="1"/>
  <c r="M28" i="9"/>
  <c r="N28" i="9" s="1"/>
  <c r="M18" i="14"/>
  <c r="N18" i="14" s="1"/>
  <c r="M25" i="25"/>
  <c r="N25" i="25" s="1"/>
  <c r="M24" i="15"/>
  <c r="N24" i="15" s="1"/>
  <c r="BA18" i="19"/>
  <c r="BB18" i="19" s="1"/>
  <c r="BA7" i="19"/>
  <c r="BB7" i="19" s="1"/>
  <c r="BA22" i="19"/>
  <c r="BB22" i="19" s="1"/>
  <c r="M8" i="17"/>
  <c r="N8" i="17" s="1"/>
  <c r="BA28" i="18"/>
  <c r="BB28" i="18" s="1"/>
  <c r="BA5" i="2"/>
  <c r="BB5" i="2" s="1"/>
  <c r="M5" i="23"/>
  <c r="N5" i="23" s="1"/>
  <c r="BA10" i="17"/>
  <c r="BB10" i="17" s="1"/>
  <c r="BA26" i="21"/>
  <c r="BB26" i="21" s="1"/>
  <c r="M26" i="18"/>
  <c r="N26" i="18" s="1"/>
  <c r="M12" i="17"/>
  <c r="N12" i="17" s="1"/>
  <c r="M23" i="10"/>
  <c r="N23" i="10" s="1"/>
  <c r="BA11" i="14"/>
  <c r="BB11" i="14" s="1"/>
  <c r="BA15" i="1"/>
  <c r="BB15" i="1" s="1"/>
  <c r="BA23" i="22"/>
  <c r="BB23" i="22" s="1"/>
  <c r="BA18" i="22"/>
  <c r="BB18" i="22" s="1"/>
  <c r="BA13" i="5"/>
  <c r="BB13" i="5" s="1"/>
  <c r="M8" i="16"/>
  <c r="N8" i="16" s="1"/>
  <c r="BA24" i="23"/>
  <c r="BB24" i="23" s="1"/>
  <c r="BA8" i="6"/>
  <c r="BB8" i="6" s="1"/>
  <c r="BA24" i="53"/>
  <c r="BB24" i="53" s="1"/>
  <c r="M28" i="18"/>
  <c r="N28" i="18" s="1"/>
  <c r="M18" i="23"/>
  <c r="N18" i="23" s="1"/>
  <c r="BA13" i="16"/>
  <c r="BB13" i="16" s="1"/>
  <c r="BA28" i="16"/>
  <c r="BB28" i="16" s="1"/>
  <c r="M16" i="15"/>
  <c r="N16" i="15" s="1"/>
  <c r="BA6" i="5"/>
  <c r="BB6" i="5" s="1"/>
  <c r="BA22" i="9"/>
  <c r="BB22" i="9" s="1"/>
  <c r="M19" i="4"/>
  <c r="N19" i="4" s="1"/>
  <c r="M25" i="19"/>
  <c r="N25" i="19" s="1"/>
  <c r="BA5" i="6"/>
  <c r="BB5" i="6" s="1"/>
  <c r="M5" i="7"/>
  <c r="N5" i="7" s="1"/>
  <c r="M26" i="21"/>
  <c r="N26" i="21" s="1"/>
  <c r="BA10" i="15"/>
  <c r="BB10" i="15" s="1"/>
  <c r="BA26" i="17"/>
  <c r="BB26" i="17" s="1"/>
  <c r="M14" i="8"/>
  <c r="N14" i="8" s="1"/>
  <c r="M14" i="1"/>
  <c r="N14" i="1" s="1"/>
  <c r="M15" i="23"/>
  <c r="N15" i="23" s="1"/>
  <c r="BA11" i="16"/>
  <c r="BB11" i="16" s="1"/>
  <c r="BA25" i="22"/>
  <c r="BB25" i="22" s="1"/>
  <c r="M22" i="53"/>
  <c r="N22" i="53" s="1"/>
  <c r="M22" i="3"/>
  <c r="N22" i="3" s="1"/>
  <c r="BA7" i="6"/>
  <c r="BB7" i="6" s="1"/>
  <c r="BA18" i="5"/>
  <c r="BB18" i="5" s="1"/>
  <c r="M25" i="11"/>
  <c r="N25" i="11" s="1"/>
  <c r="BA16" i="3"/>
  <c r="BB16" i="3" s="1"/>
  <c r="M16" i="7"/>
  <c r="N16" i="7" s="1"/>
  <c r="M24" i="21"/>
  <c r="N24" i="21" s="1"/>
  <c r="M26" i="5"/>
  <c r="N26" i="5" s="1"/>
  <c r="BA26" i="20"/>
  <c r="BB26" i="20" s="1"/>
  <c r="BA17" i="6"/>
  <c r="BB17" i="6" s="1"/>
  <c r="M12" i="12"/>
  <c r="N12" i="12" s="1"/>
  <c r="M21" i="5"/>
  <c r="N21" i="5" s="1"/>
  <c r="BA14" i="20"/>
  <c r="BB14" i="20" s="1"/>
  <c r="M14" i="7"/>
  <c r="N14" i="7" s="1"/>
  <c r="M11" i="10"/>
  <c r="N11" i="10" s="1"/>
  <c r="BA15" i="11"/>
  <c r="BB15" i="11" s="1"/>
  <c r="M23" i="24"/>
  <c r="N23" i="24" s="1"/>
  <c r="BA28" i="53"/>
  <c r="BB28" i="53" s="1"/>
  <c r="M18" i="5"/>
  <c r="N18" i="5" s="1"/>
  <c r="BA24" i="1"/>
  <c r="BB24" i="1" s="1"/>
  <c r="M24" i="1"/>
  <c r="N24" i="1" s="1"/>
  <c r="BA16" i="4"/>
  <c r="BB16" i="4" s="1"/>
  <c r="M6" i="12"/>
  <c r="N6" i="12" s="1"/>
  <c r="BA8" i="13"/>
  <c r="BB8" i="13" s="1"/>
  <c r="BA16" i="24"/>
  <c r="BB16" i="24" s="1"/>
  <c r="M5" i="1"/>
  <c r="N5" i="1" s="1"/>
  <c r="M5" i="6"/>
  <c r="N5" i="6" s="1"/>
  <c r="BA21" i="3"/>
  <c r="BB21" i="3" s="1"/>
  <c r="M12" i="23"/>
  <c r="N12" i="23" s="1"/>
  <c r="BA21" i="2"/>
  <c r="BB21" i="2" s="1"/>
  <c r="BA10" i="5"/>
  <c r="BB10" i="5" s="1"/>
  <c r="BA25" i="13"/>
  <c r="BB25" i="13" s="1"/>
  <c r="BA7" i="21"/>
  <c r="BB7" i="21" s="1"/>
  <c r="M22" i="7"/>
  <c r="N22" i="7" s="1"/>
  <c r="M5" i="20"/>
  <c r="N5" i="20" s="1"/>
  <c r="BA12" i="13"/>
  <c r="BB12" i="13" s="1"/>
  <c r="M11" i="6"/>
  <c r="N11" i="6" s="1"/>
  <c r="BA24" i="20"/>
  <c r="BB24" i="20" s="1"/>
  <c r="M18" i="15"/>
  <c r="N18" i="15" s="1"/>
  <c r="BA5" i="14"/>
  <c r="BB5" i="14" s="1"/>
  <c r="BA21" i="8"/>
  <c r="BB21" i="8" s="1"/>
  <c r="M14" i="4"/>
  <c r="N14" i="4" s="1"/>
  <c r="BA7" i="18"/>
  <c r="BB7" i="18" s="1"/>
  <c r="BA7" i="8"/>
  <c r="BB7" i="8" s="1"/>
  <c r="M23" i="17"/>
  <c r="N23" i="17" s="1"/>
  <c r="M21" i="17"/>
  <c r="N21" i="17" s="1"/>
  <c r="BA15" i="2"/>
  <c r="BB15" i="2" s="1"/>
  <c r="M22" i="18"/>
  <c r="N22" i="18" s="1"/>
  <c r="BA6" i="11"/>
  <c r="BB6" i="11" s="1"/>
  <c r="M5" i="2"/>
  <c r="N5" i="2" s="1"/>
  <c r="M12" i="7"/>
  <c r="N12" i="7" s="1"/>
  <c r="M11" i="18"/>
  <c r="N11" i="18" s="1"/>
  <c r="M22" i="8"/>
  <c r="N22" i="8" s="1"/>
  <c r="BA28" i="23"/>
  <c r="BB28" i="23" s="1"/>
  <c r="M28" i="21"/>
  <c r="N28" i="21" s="1"/>
  <c r="BA23" i="12"/>
  <c r="BB23" i="12" s="1"/>
  <c r="M5" i="22"/>
  <c r="N5" i="22" s="1"/>
  <c r="M17" i="23"/>
  <c r="N17" i="23" s="1"/>
  <c r="M26" i="22"/>
  <c r="N26" i="22" s="1"/>
  <c r="M10" i="18"/>
  <c r="N10" i="18" s="1"/>
  <c r="M17" i="19"/>
  <c r="N17" i="19" s="1"/>
  <c r="BA28" i="11"/>
  <c r="BB28" i="11" s="1"/>
  <c r="M19" i="21"/>
  <c r="N19" i="21" s="1"/>
  <c r="M28" i="13"/>
  <c r="N28" i="13" s="1"/>
  <c r="M10" i="11"/>
  <c r="N10" i="11" s="1"/>
  <c r="M20" i="18"/>
  <c r="N20" i="18" s="1"/>
  <c r="BA15" i="15"/>
  <c r="BB15" i="15" s="1"/>
  <c r="BA6" i="9"/>
  <c r="BB6" i="9" s="1"/>
  <c r="M8" i="7"/>
  <c r="N8" i="7" s="1"/>
  <c r="M26" i="1"/>
  <c r="N26" i="1" s="1"/>
  <c r="M14" i="5"/>
  <c r="N14" i="5" s="1"/>
  <c r="BA15" i="25"/>
  <c r="BB15" i="25" s="1"/>
  <c r="M13" i="3"/>
  <c r="N13" i="3" s="1"/>
  <c r="M6" i="5"/>
  <c r="N6" i="5" s="1"/>
  <c r="M5" i="25"/>
  <c r="N5" i="25" s="1"/>
  <c r="BA20" i="24"/>
  <c r="BB20" i="24" s="1"/>
  <c r="BA11" i="8"/>
  <c r="BB11" i="8" s="1"/>
  <c r="BA19" i="21"/>
  <c r="BB19" i="21" s="1"/>
  <c r="BA8" i="4"/>
  <c r="BB8" i="4" s="1"/>
  <c r="BA12" i="19"/>
  <c r="BB12" i="19" s="1"/>
  <c r="M14" i="24"/>
  <c r="N14" i="24" s="1"/>
  <c r="M15" i="6"/>
  <c r="N15" i="6" s="1"/>
  <c r="BA16" i="10"/>
  <c r="BB16" i="10" s="1"/>
  <c r="M7" i="11"/>
  <c r="N7" i="11" s="1"/>
  <c r="BA8" i="2"/>
  <c r="BB8" i="2" s="1"/>
  <c r="BA5" i="10"/>
  <c r="BB5" i="10" s="1"/>
  <c r="BA12" i="18"/>
  <c r="BB12" i="18" s="1"/>
  <c r="BA21" i="16"/>
  <c r="BB21" i="16" s="1"/>
  <c r="M12" i="13"/>
  <c r="N12" i="13" s="1"/>
  <c r="M17" i="18"/>
  <c r="N17" i="18" s="1"/>
  <c r="BA24" i="8"/>
  <c r="BB24" i="8" s="1"/>
  <c r="M28" i="53"/>
  <c r="N28" i="53" s="1"/>
  <c r="M22" i="24"/>
  <c r="N22" i="24" s="1"/>
  <c r="M5" i="24"/>
  <c r="N5" i="24" s="1"/>
  <c r="BA17" i="17"/>
  <c r="BB17" i="17" s="1"/>
  <c r="BA20" i="2"/>
  <c r="BB20" i="2" s="1"/>
  <c r="BA16" i="12"/>
  <c r="BB16" i="12" s="1"/>
  <c r="BA24" i="17"/>
  <c r="BB24" i="17" s="1"/>
  <c r="BA8" i="19"/>
  <c r="BB8" i="19" s="1"/>
  <c r="BA26" i="2"/>
  <c r="BB26" i="2" s="1"/>
  <c r="BA20" i="25"/>
  <c r="BB20" i="25" s="1"/>
  <c r="M28" i="2"/>
  <c r="N28" i="2" s="1"/>
  <c r="M19" i="5"/>
  <c r="N19" i="5" s="1"/>
  <c r="BA24" i="2"/>
  <c r="BB24" i="2" s="1"/>
  <c r="BA26" i="8"/>
  <c r="BB26" i="8" s="1"/>
  <c r="BA11" i="5"/>
  <c r="BB11" i="5" s="1"/>
  <c r="BA6" i="18"/>
  <c r="BB6" i="18" s="1"/>
  <c r="M6" i="53"/>
  <c r="N6" i="53" s="1"/>
  <c r="M23" i="21"/>
  <c r="N23" i="21" s="1"/>
  <c r="BA17" i="2"/>
  <c r="BB17" i="2" s="1"/>
  <c r="BA11" i="3"/>
  <c r="BB11" i="3" s="1"/>
  <c r="M21" i="2"/>
  <c r="N21" i="2" s="1"/>
  <c r="BA24" i="15"/>
  <c r="BB24" i="15" s="1"/>
  <c r="BA10" i="18"/>
  <c r="BB10" i="18" s="1"/>
  <c r="M11" i="15"/>
  <c r="N11" i="15" s="1"/>
  <c r="M7" i="22"/>
  <c r="N7" i="22" s="1"/>
  <c r="BA17" i="25"/>
  <c r="BB17" i="25" s="1"/>
  <c r="M15" i="5"/>
  <c r="N15" i="5" s="1"/>
  <c r="M22" i="25"/>
  <c r="N22" i="25" s="1"/>
  <c r="BA18" i="6"/>
  <c r="BB18" i="6" s="1"/>
  <c r="M25" i="24"/>
  <c r="N25" i="24" s="1"/>
  <c r="M26" i="53"/>
  <c r="N26" i="53" s="1"/>
  <c r="BA10" i="12"/>
  <c r="BB10" i="12" s="1"/>
  <c r="M17" i="5"/>
  <c r="N17" i="5" s="1"/>
  <c r="M10" i="19"/>
  <c r="N10" i="19" s="1"/>
  <c r="M12" i="11"/>
  <c r="N12" i="11" s="1"/>
  <c r="BA20" i="4"/>
  <c r="BB20" i="4" s="1"/>
  <c r="BA6" i="53"/>
  <c r="BB6" i="53" s="1"/>
  <c r="BA28" i="1"/>
  <c r="BB28" i="1" s="1"/>
  <c r="M8" i="53"/>
  <c r="N8" i="53" s="1"/>
  <c r="BA12" i="6"/>
  <c r="BB12" i="6" s="1"/>
  <c r="M14" i="17"/>
  <c r="N14" i="17" s="1"/>
  <c r="M15" i="16"/>
  <c r="N15" i="16" s="1"/>
  <c r="BA13" i="20"/>
  <c r="BB13" i="20" s="1"/>
  <c r="BA18" i="11"/>
  <c r="BB18" i="11" s="1"/>
  <c r="BA10" i="10"/>
  <c r="BB10" i="10" s="1"/>
  <c r="BA14" i="23"/>
  <c r="BB14" i="23" s="1"/>
  <c r="M11" i="20"/>
  <c r="N11" i="20" s="1"/>
  <c r="BA16" i="18"/>
  <c r="BB16" i="18" s="1"/>
  <c r="M19" i="16"/>
  <c r="N19" i="16" s="1"/>
  <c r="BA21" i="7"/>
  <c r="BB21" i="7" s="1"/>
  <c r="M14" i="6"/>
  <c r="N14" i="6" s="1"/>
  <c r="BA23" i="10"/>
  <c r="BB23" i="10" s="1"/>
  <c r="M16" i="19"/>
  <c r="N16" i="19" s="1"/>
  <c r="BA25" i="17"/>
  <c r="BB25" i="17" s="1"/>
  <c r="M21" i="9"/>
  <c r="N21" i="9" s="1"/>
  <c r="BA14" i="1"/>
  <c r="BB14" i="1" s="1"/>
  <c r="M24" i="25"/>
  <c r="N24" i="25" s="1"/>
  <c r="M27" i="6"/>
  <c r="N27" i="6" s="1"/>
  <c r="BA27" i="14"/>
  <c r="BB27" i="14" s="1"/>
  <c r="BA27" i="16"/>
  <c r="BB27" i="16" s="1"/>
  <c r="BA27" i="25"/>
  <c r="BB27" i="25" s="1"/>
  <c r="BA27" i="24"/>
  <c r="BB27" i="24" s="1"/>
  <c r="M27" i="15"/>
  <c r="N27" i="15" s="1"/>
  <c r="M27" i="4"/>
  <c r="N27" i="4" s="1"/>
  <c r="BA27" i="15"/>
  <c r="BB27" i="15" s="1"/>
  <c r="BA27" i="4"/>
  <c r="BB27" i="4" s="1"/>
  <c r="BA9" i="17"/>
  <c r="BB9" i="17" s="1"/>
  <c r="M9" i="21"/>
  <c r="N9" i="21" s="1"/>
  <c r="M9" i="5"/>
  <c r="N9" i="5" s="1"/>
  <c r="M9" i="20"/>
  <c r="N9" i="20" s="1"/>
  <c r="M9" i="24"/>
  <c r="N9" i="24" s="1"/>
  <c r="BA9" i="22"/>
  <c r="BB9" i="22" s="1"/>
  <c r="M9" i="2"/>
  <c r="N9" i="2" s="1"/>
  <c r="BA14" i="13"/>
  <c r="BB14" i="13" s="1"/>
  <c r="BA22" i="17"/>
  <c r="BB22" i="17" s="1"/>
  <c r="M17" i="21"/>
  <c r="N17" i="21" s="1"/>
  <c r="BA15" i="19"/>
  <c r="BB15" i="19" s="1"/>
  <c r="BA8" i="20"/>
  <c r="BB8" i="20" s="1"/>
  <c r="BA23" i="20"/>
  <c r="BB23" i="20" s="1"/>
  <c r="BA15" i="7"/>
  <c r="BB15" i="7" s="1"/>
  <c r="M19" i="12"/>
  <c r="N19" i="12" s="1"/>
  <c r="BA16" i="13"/>
  <c r="BB16" i="13" s="1"/>
  <c r="M24" i="5"/>
  <c r="N24" i="5" s="1"/>
  <c r="BA5" i="3"/>
  <c r="BB5" i="3" s="1"/>
  <c r="BA10" i="6"/>
  <c r="BB10" i="6" s="1"/>
  <c r="M17" i="10"/>
  <c r="N17" i="10" s="1"/>
  <c r="M10" i="53"/>
  <c r="N10" i="53" s="1"/>
  <c r="M12" i="5"/>
  <c r="N12" i="5" s="1"/>
  <c r="BA16" i="6"/>
  <c r="BB16" i="6" s="1"/>
  <c r="BA16" i="22"/>
  <c r="BB16" i="22" s="1"/>
  <c r="M25" i="6"/>
  <c r="N25" i="6" s="1"/>
  <c r="BA23" i="16"/>
  <c r="BB23" i="16" s="1"/>
  <c r="BA10" i="19"/>
  <c r="BB10" i="19" s="1"/>
  <c r="M14" i="12"/>
  <c r="N14" i="12" s="1"/>
  <c r="M13" i="53"/>
  <c r="N13" i="53" s="1"/>
  <c r="BA28" i="4"/>
  <c r="BB28" i="4" s="1"/>
  <c r="M23" i="1"/>
  <c r="N23" i="1" s="1"/>
  <c r="BA12" i="20"/>
  <c r="BB12" i="20" s="1"/>
  <c r="M14" i="2"/>
  <c r="N14" i="2" s="1"/>
  <c r="M25" i="14"/>
  <c r="N25" i="14" s="1"/>
  <c r="M8" i="4"/>
  <c r="N8" i="4" s="1"/>
  <c r="BA5" i="23"/>
  <c r="BB5" i="23" s="1"/>
  <c r="M17" i="11"/>
  <c r="N17" i="11" s="1"/>
  <c r="BA11" i="15"/>
  <c r="BB11" i="15" s="1"/>
  <c r="M13" i="16"/>
  <c r="N13" i="16" s="1"/>
  <c r="M18" i="3"/>
  <c r="N18" i="3" s="1"/>
  <c r="BA23" i="19"/>
  <c r="BB23" i="19" s="1"/>
  <c r="M21" i="12"/>
  <c r="N21" i="12" s="1"/>
  <c r="BA15" i="5"/>
  <c r="BB15" i="5" s="1"/>
  <c r="M27" i="20"/>
  <c r="N27" i="20" s="1"/>
  <c r="M27" i="22"/>
  <c r="N27" i="22" s="1"/>
  <c r="M27" i="5"/>
  <c r="N27" i="5" s="1"/>
  <c r="BA27" i="6"/>
  <c r="BB27" i="6" s="1"/>
  <c r="M27" i="14"/>
  <c r="N27" i="14" s="1"/>
  <c r="BA27" i="5"/>
  <c r="BB27" i="5" s="1"/>
  <c r="BA27" i="19"/>
  <c r="BB27" i="19" s="1"/>
  <c r="M27" i="17"/>
  <c r="N27" i="17" s="1"/>
  <c r="BA27" i="10"/>
  <c r="BB27" i="10" s="1"/>
  <c r="BA27" i="53"/>
  <c r="BB27" i="53" s="1"/>
  <c r="BA27" i="17"/>
  <c r="BB27" i="17" s="1"/>
  <c r="M27" i="10"/>
  <c r="N27" i="10" s="1"/>
  <c r="M27" i="18"/>
  <c r="N27" i="18" s="1"/>
  <c r="BA9" i="23"/>
  <c r="BB9" i="23" s="1"/>
  <c r="BA9" i="4"/>
  <c r="BB9" i="4" s="1"/>
  <c r="M9" i="22"/>
  <c r="N9" i="22" s="1"/>
  <c r="BA9" i="25"/>
  <c r="BB9" i="25" s="1"/>
  <c r="M9" i="13"/>
  <c r="N9" i="13" s="1"/>
  <c r="BA9" i="16"/>
  <c r="BB9" i="16" s="1"/>
  <c r="M9" i="7"/>
  <c r="N9" i="7" s="1"/>
  <c r="BA9" i="21"/>
  <c r="BB9" i="21" s="1"/>
  <c r="BA9" i="19"/>
  <c r="BB9" i="19" s="1"/>
  <c r="BA9" i="5"/>
  <c r="BB9" i="5" s="1"/>
  <c r="BA9" i="10"/>
  <c r="BB9" i="10" s="1"/>
  <c r="M9" i="8"/>
  <c r="N9" i="8" s="1"/>
  <c r="M9" i="14"/>
  <c r="N9" i="14" s="1"/>
  <c r="BA27" i="23"/>
  <c r="BB27" i="23" s="1"/>
  <c r="BA9" i="8"/>
  <c r="BB9" i="8" s="1"/>
  <c r="M9" i="9"/>
  <c r="N9" i="9" s="1"/>
  <c r="M9" i="1"/>
  <c r="N9" i="1" s="1"/>
  <c r="M9" i="6"/>
  <c r="N9" i="6" s="1"/>
  <c r="M9" i="16"/>
  <c r="N9" i="16" s="1"/>
  <c r="BA9" i="7"/>
  <c r="BB9" i="7" s="1"/>
  <c r="M15" i="25"/>
  <c r="N15" i="25" s="1"/>
  <c r="BA7" i="9"/>
  <c r="BB7" i="9" s="1"/>
  <c r="M14" i="22"/>
  <c r="N14" i="22" s="1"/>
  <c r="M16" i="2"/>
  <c r="N16" i="2" s="1"/>
  <c r="BA23" i="6"/>
  <c r="BB23" i="6" s="1"/>
  <c r="BA20" i="5"/>
  <c r="BB20" i="5" s="1"/>
  <c r="M13" i="15"/>
  <c r="N13" i="15" s="1"/>
  <c r="M8" i="10"/>
  <c r="N8" i="10" s="1"/>
  <c r="BA22" i="6"/>
  <c r="BB22" i="6" s="1"/>
  <c r="BA5" i="7"/>
  <c r="BB5" i="7" s="1"/>
  <c r="BA26" i="1"/>
  <c r="BB26" i="1" s="1"/>
  <c r="BA10" i="20"/>
  <c r="BB10" i="20" s="1"/>
  <c r="M17" i="3"/>
  <c r="N17" i="3" s="1"/>
  <c r="BA10" i="21"/>
  <c r="BB10" i="21" s="1"/>
  <c r="BA21" i="22"/>
  <c r="BB21" i="22" s="1"/>
  <c r="BA13" i="25"/>
  <c r="BB13" i="25" s="1"/>
  <c r="BA18" i="2"/>
  <c r="BB18" i="2" s="1"/>
  <c r="BA19" i="13"/>
  <c r="BB19" i="13" s="1"/>
  <c r="M23" i="12"/>
  <c r="N23" i="12" s="1"/>
  <c r="M12" i="15"/>
  <c r="N12" i="15" s="1"/>
  <c r="BA11" i="6"/>
  <c r="BB11" i="6" s="1"/>
  <c r="BA28" i="25"/>
  <c r="BB28" i="25" s="1"/>
  <c r="BA16" i="8"/>
  <c r="BB16" i="8" s="1"/>
  <c r="BA10" i="7"/>
  <c r="BB10" i="7" s="1"/>
  <c r="M12" i="1"/>
  <c r="N12" i="1" s="1"/>
  <c r="BA15" i="10"/>
  <c r="BB15" i="10" s="1"/>
  <c r="BA19" i="25"/>
  <c r="BB19" i="25" s="1"/>
  <c r="BA22" i="13"/>
  <c r="BB22" i="13" s="1"/>
  <c r="BA5" i="17"/>
  <c r="BB5" i="17" s="1"/>
  <c r="BA20" i="17"/>
  <c r="BB20" i="17" s="1"/>
  <c r="M15" i="2"/>
  <c r="N15" i="2" s="1"/>
  <c r="BA18" i="17"/>
  <c r="BB18" i="17" s="1"/>
  <c r="BA24" i="4"/>
  <c r="BB24" i="4" s="1"/>
  <c r="M10" i="9"/>
  <c r="N10" i="9" s="1"/>
  <c r="BA20" i="11"/>
  <c r="BB20" i="11" s="1"/>
  <c r="M15" i="53"/>
  <c r="N15" i="53" s="1"/>
  <c r="M27" i="19"/>
  <c r="N27" i="19" s="1"/>
  <c r="M27" i="8"/>
  <c r="N27" i="8" s="1"/>
  <c r="BA27" i="20"/>
  <c r="BB27" i="20" s="1"/>
  <c r="BA27" i="22"/>
  <c r="BB27" i="22" s="1"/>
  <c r="BA27" i="18"/>
  <c r="BB27" i="18" s="1"/>
  <c r="M27" i="1"/>
  <c r="N27" i="1" s="1"/>
  <c r="BA27" i="2"/>
  <c r="BB27" i="2" s="1"/>
  <c r="BA27" i="12"/>
  <c r="BB27" i="12" s="1"/>
  <c r="M27" i="23"/>
  <c r="N27" i="23" s="1"/>
  <c r="M27" i="2"/>
  <c r="N27" i="2" s="1"/>
  <c r="M27" i="12"/>
  <c r="N27" i="12" s="1"/>
  <c r="M27" i="13"/>
  <c r="N27" i="13" s="1"/>
  <c r="M9" i="10"/>
  <c r="N9" i="10" s="1"/>
  <c r="BA9" i="14"/>
  <c r="BB9" i="14" s="1"/>
  <c r="BA9" i="3"/>
  <c r="BB9" i="3" s="1"/>
  <c r="BA9" i="13"/>
  <c r="BB9" i="13" s="1"/>
  <c r="BA9" i="12"/>
  <c r="BB9" i="12" s="1"/>
  <c r="M11" i="21"/>
  <c r="N11" i="21" s="1"/>
  <c r="M25" i="3"/>
  <c r="N25" i="3" s="1"/>
  <c r="BA14" i="24"/>
  <c r="BB14" i="24" s="1"/>
  <c r="M25" i="21"/>
  <c r="N25" i="21" s="1"/>
  <c r="BA12" i="17"/>
  <c r="BB12" i="17" s="1"/>
  <c r="BA14" i="22"/>
  <c r="BB14" i="22" s="1"/>
  <c r="BA24" i="12"/>
  <c r="BB24" i="12" s="1"/>
  <c r="M18" i="1"/>
  <c r="N18" i="1" s="1"/>
  <c r="M25" i="10"/>
  <c r="N25" i="10" s="1"/>
  <c r="BA5" i="21"/>
  <c r="BB5" i="21" s="1"/>
  <c r="M5" i="4"/>
  <c r="N5" i="4" s="1"/>
  <c r="M10" i="10"/>
  <c r="N10" i="10" s="1"/>
  <c r="BA17" i="24"/>
  <c r="BB17" i="24" s="1"/>
  <c r="M12" i="18"/>
  <c r="N12" i="18" s="1"/>
  <c r="BA14" i="6"/>
  <c r="BB14" i="6" s="1"/>
  <c r="M8" i="20"/>
  <c r="N8" i="20" s="1"/>
  <c r="BA13" i="3"/>
  <c r="BB13" i="3" s="1"/>
  <c r="BA24" i="3"/>
  <c r="BB24" i="3" s="1"/>
  <c r="M21" i="1"/>
  <c r="N21" i="1" s="1"/>
  <c r="M14" i="18"/>
  <c r="N14" i="18" s="1"/>
  <c r="BA11" i="11"/>
  <c r="BB11" i="11" s="1"/>
  <c r="BA25" i="25"/>
  <c r="BB25" i="25" s="1"/>
  <c r="M22" i="11"/>
  <c r="N22" i="11" s="1"/>
  <c r="M21" i="21"/>
  <c r="N21" i="21" s="1"/>
  <c r="M14" i="20"/>
  <c r="N14" i="20" s="1"/>
  <c r="BA11" i="21"/>
  <c r="BB11" i="21" s="1"/>
  <c r="BA7" i="20"/>
  <c r="BB7" i="20" s="1"/>
  <c r="M25" i="23"/>
  <c r="N25" i="23" s="1"/>
  <c r="M26" i="4"/>
  <c r="N26" i="4" s="1"/>
  <c r="M23" i="53"/>
  <c r="N23" i="53" s="1"/>
  <c r="M15" i="19"/>
  <c r="N15" i="19" s="1"/>
  <c r="M13" i="5"/>
  <c r="N13" i="5" s="1"/>
  <c r="M24" i="10"/>
  <c r="N24" i="10" s="1"/>
  <c r="M10" i="6"/>
  <c r="N10" i="6" s="1"/>
  <c r="M20" i="22"/>
  <c r="N20" i="22" s="1"/>
  <c r="BA11" i="22"/>
  <c r="BB11" i="22" s="1"/>
  <c r="M27" i="16"/>
  <c r="N27" i="16" s="1"/>
  <c r="M27" i="25"/>
  <c r="N27" i="25" s="1"/>
  <c r="M27" i="53"/>
  <c r="N27" i="53" s="1"/>
  <c r="BA27" i="8"/>
  <c r="BB27" i="8" s="1"/>
  <c r="BA27" i="13"/>
  <c r="BB27" i="13" s="1"/>
  <c r="M27" i="7"/>
  <c r="N27" i="7" s="1"/>
  <c r="M27" i="21"/>
  <c r="N27" i="21" s="1"/>
  <c r="M27" i="3"/>
  <c r="N27" i="3" s="1"/>
  <c r="BA27" i="11"/>
  <c r="BB27" i="11" s="1"/>
  <c r="BA27" i="21"/>
  <c r="BB27" i="21" s="1"/>
  <c r="BA27" i="3"/>
  <c r="BB27" i="3" s="1"/>
  <c r="BA27" i="7"/>
  <c r="BB27" i="7" s="1"/>
  <c r="M27" i="24"/>
  <c r="N27" i="24" s="1"/>
  <c r="M9" i="12"/>
  <c r="N9" i="12" s="1"/>
  <c r="M9" i="18"/>
  <c r="N9" i="18" s="1"/>
  <c r="BA9" i="2"/>
  <c r="BB9" i="2" s="1"/>
  <c r="BA9" i="20"/>
  <c r="BB9" i="20" s="1"/>
  <c r="BA9" i="15"/>
  <c r="BB9" i="15" s="1"/>
  <c r="BA9" i="24"/>
  <c r="BB9" i="24" s="1"/>
  <c r="BA9" i="9"/>
  <c r="BB9" i="9" s="1"/>
  <c r="M9" i="3"/>
  <c r="N9" i="3" s="1"/>
  <c r="BA9" i="1"/>
  <c r="BB9" i="1" s="1"/>
  <c r="BA9" i="6"/>
  <c r="BB9" i="6" s="1"/>
  <c r="M9" i="17"/>
  <c r="N9" i="17" s="1"/>
  <c r="M9" i="53"/>
  <c r="N9" i="53" s="1"/>
  <c r="M9" i="11"/>
  <c r="N9" i="11" s="1"/>
  <c r="BA27" i="9"/>
  <c r="BB27" i="9" s="1"/>
  <c r="M27" i="9"/>
  <c r="N27" i="9" s="1"/>
  <c r="M27" i="11"/>
  <c r="N27" i="11" s="1"/>
  <c r="BA27" i="1"/>
  <c r="BB27" i="1" s="1"/>
  <c r="M9" i="19"/>
  <c r="N9" i="19" s="1"/>
  <c r="BA9" i="11"/>
  <c r="BB9" i="11" s="1"/>
  <c r="BA9" i="53"/>
  <c r="BB9" i="53" s="1"/>
  <c r="M9" i="15"/>
  <c r="N9" i="15" s="1"/>
  <c r="M9" i="23"/>
  <c r="N9" i="23" s="1"/>
  <c r="M9" i="4"/>
  <c r="N9" i="4" s="1"/>
  <c r="M9" i="25"/>
  <c r="N9" i="25" s="1"/>
  <c r="BA9" i="18"/>
  <c r="BB9" i="18" s="1"/>
  <c r="BA4" i="9"/>
  <c r="BB4" i="9" s="1"/>
  <c r="M4" i="19"/>
  <c r="N4" i="19" s="1"/>
  <c r="M4" i="14"/>
  <c r="N4" i="14" s="1"/>
  <c r="N29" i="14" s="1"/>
  <c r="I43" i="14" s="1"/>
  <c r="BA4" i="25"/>
  <c r="BB4" i="25" s="1"/>
  <c r="BA4" i="6"/>
  <c r="BB4" i="6" s="1"/>
  <c r="M4" i="10"/>
  <c r="N4" i="10" s="1"/>
  <c r="N29" i="10" s="1"/>
  <c r="I43" i="10" s="1"/>
  <c r="BA4" i="23"/>
  <c r="BB4" i="23" s="1"/>
  <c r="M4" i="53"/>
  <c r="N4" i="53" s="1"/>
  <c r="M4" i="5"/>
  <c r="N4" i="5" s="1"/>
  <c r="N29" i="5" s="1"/>
  <c r="BA4" i="1"/>
  <c r="BB4" i="1" s="1"/>
  <c r="BA4" i="16"/>
  <c r="BB4" i="16" s="1"/>
  <c r="M4" i="3"/>
  <c r="N4" i="3" s="1"/>
  <c r="BA4" i="24"/>
  <c r="BB4" i="24" s="1"/>
  <c r="BA4" i="4"/>
  <c r="BB4" i="4" s="1"/>
  <c r="BA4" i="2"/>
  <c r="BB4" i="2" s="1"/>
  <c r="M4" i="23"/>
  <c r="N4" i="23" s="1"/>
  <c r="N29" i="23" s="1"/>
  <c r="I43" i="23" s="1"/>
  <c r="BA4" i="5"/>
  <c r="BB4" i="5" s="1"/>
  <c r="M4" i="18"/>
  <c r="N4" i="18" s="1"/>
  <c r="N29" i="18" s="1"/>
  <c r="I43" i="18" s="1"/>
  <c r="M4" i="9"/>
  <c r="N4" i="9" s="1"/>
  <c r="N29" i="9" s="1"/>
  <c r="I43" i="9" s="1"/>
  <c r="M4" i="7"/>
  <c r="N4" i="7" s="1"/>
  <c r="N29" i="7" s="1"/>
  <c r="I43" i="7" s="1"/>
  <c r="BA4" i="21"/>
  <c r="BB4" i="21" s="1"/>
  <c r="BA4" i="22"/>
  <c r="BB4" i="22" s="1"/>
  <c r="BA4" i="17"/>
  <c r="BB4" i="17" s="1"/>
  <c r="M4" i="20"/>
  <c r="N4" i="20" s="1"/>
  <c r="N29" i="20" s="1"/>
  <c r="I43" i="20" s="1"/>
  <c r="BA4" i="19"/>
  <c r="BB4" i="19" s="1"/>
  <c r="M4" i="12"/>
  <c r="N4" i="12" s="1"/>
  <c r="N29" i="12" s="1"/>
  <c r="I43" i="12" s="1"/>
  <c r="BA4" i="10"/>
  <c r="BB4" i="10" s="1"/>
  <c r="BA4" i="53"/>
  <c r="BB4" i="53" s="1"/>
  <c r="M4" i="1"/>
  <c r="N4" i="1" s="1"/>
  <c r="N29" i="1" s="1"/>
  <c r="BA4" i="18"/>
  <c r="BB4" i="18" s="1"/>
  <c r="M4" i="11"/>
  <c r="N4" i="11" s="1"/>
  <c r="N29" i="11" s="1"/>
  <c r="I43" i="11" s="1"/>
  <c r="M4" i="4"/>
  <c r="N4" i="4" s="1"/>
  <c r="N29" i="4" s="1"/>
  <c r="M4" i="21"/>
  <c r="N4" i="21" s="1"/>
  <c r="N29" i="21" s="1"/>
  <c r="I43" i="21" s="1"/>
  <c r="M4" i="2"/>
  <c r="N4" i="2" s="1"/>
  <c r="N29" i="2" s="1"/>
  <c r="M4" i="22"/>
  <c r="N4" i="22" s="1"/>
  <c r="N29" i="22" s="1"/>
  <c r="I43" i="22" s="1"/>
  <c r="M4" i="17"/>
  <c r="N4" i="17" s="1"/>
  <c r="N29" i="17" s="1"/>
  <c r="I43" i="17" s="1"/>
  <c r="M4" i="16"/>
  <c r="N4" i="16" s="1"/>
  <c r="N29" i="16" s="1"/>
  <c r="I43" i="16" s="1"/>
  <c r="BA4" i="20"/>
  <c r="BB4" i="20" s="1"/>
  <c r="BA4" i="3"/>
  <c r="BB4" i="3" s="1"/>
  <c r="M4" i="15"/>
  <c r="N4" i="15" s="1"/>
  <c r="N29" i="15" s="1"/>
  <c r="I43" i="15" s="1"/>
  <c r="M4" i="13"/>
  <c r="N4" i="13" s="1"/>
  <c r="N29" i="13" s="1"/>
  <c r="I43" i="13" s="1"/>
  <c r="M4" i="8"/>
  <c r="N4" i="8" s="1"/>
  <c r="N29" i="8" s="1"/>
  <c r="I43" i="8" s="1"/>
  <c r="BA4" i="12"/>
  <c r="BB4" i="12" s="1"/>
  <c r="BA4" i="13"/>
  <c r="BB4" i="13" s="1"/>
  <c r="E49" i="61"/>
  <c r="D49" i="61" s="1"/>
  <c r="K4" i="51" s="1"/>
  <c r="H34" i="61" s="1"/>
  <c r="E50" i="61"/>
  <c r="T35" i="61" s="1"/>
  <c r="D50" i="61" s="1"/>
  <c r="K5" i="51" s="1"/>
  <c r="M4" i="25"/>
  <c r="N4" i="25" s="1"/>
  <c r="N29" i="25" s="1"/>
  <c r="I43" i="25" s="1"/>
  <c r="L32" i="61"/>
  <c r="M32" i="61" s="1"/>
  <c r="N32" i="61" s="1"/>
  <c r="M4" i="6"/>
  <c r="N4" i="6" s="1"/>
  <c r="N29" i="6" s="1"/>
  <c r="I43" i="6" s="1"/>
  <c r="M4" i="24"/>
  <c r="N4" i="24" s="1"/>
  <c r="N29" i="24" s="1"/>
  <c r="I43" i="24" s="1"/>
  <c r="K24" i="15"/>
  <c r="L24" i="15" s="1"/>
  <c r="O24" i="15" s="1"/>
  <c r="K7" i="15"/>
  <c r="L7" i="15" s="1"/>
  <c r="O7" i="15" s="1"/>
  <c r="K15" i="17"/>
  <c r="L15" i="17" s="1"/>
  <c r="O15" i="17" s="1"/>
  <c r="K15" i="23"/>
  <c r="L15" i="23" s="1"/>
  <c r="O15" i="23" s="1"/>
  <c r="AY17" i="3"/>
  <c r="AZ17" i="3" s="1"/>
  <c r="BC17" i="3" s="1"/>
  <c r="K17" i="53"/>
  <c r="L17" i="53" s="1"/>
  <c r="O17" i="53" s="1"/>
  <c r="AY5" i="17"/>
  <c r="AZ5" i="17" s="1"/>
  <c r="BC5" i="17" s="1"/>
  <c r="AY13" i="14"/>
  <c r="AZ13" i="14" s="1"/>
  <c r="BC13" i="14" s="1"/>
  <c r="AH32" i="20"/>
  <c r="AY15" i="53"/>
  <c r="AZ15" i="53" s="1"/>
  <c r="BC15" i="53" s="1"/>
  <c r="K22" i="18"/>
  <c r="L22" i="18" s="1"/>
  <c r="O22" i="18" s="1"/>
  <c r="AY5" i="2"/>
  <c r="AZ5" i="2" s="1"/>
  <c r="BC5" i="2" s="1"/>
  <c r="K8" i="13"/>
  <c r="L8" i="13" s="1"/>
  <c r="O8" i="13" s="1"/>
  <c r="AY15" i="24"/>
  <c r="AZ15" i="24" s="1"/>
  <c r="BC15" i="24" s="1"/>
  <c r="K24" i="8"/>
  <c r="L24" i="8" s="1"/>
  <c r="O24" i="8" s="1"/>
  <c r="AY7" i="3"/>
  <c r="AZ7" i="3" s="1"/>
  <c r="BC7" i="3" s="1"/>
  <c r="AY7" i="24"/>
  <c r="AZ7" i="24" s="1"/>
  <c r="BC7" i="24" s="1"/>
  <c r="AY21" i="4"/>
  <c r="AZ21" i="4" s="1"/>
  <c r="BC21" i="4" s="1"/>
  <c r="AH32" i="19"/>
  <c r="K13" i="25"/>
  <c r="L13" i="25" s="1"/>
  <c r="O13" i="25" s="1"/>
  <c r="AY28" i="14"/>
  <c r="AZ28" i="14" s="1"/>
  <c r="BC28" i="14" s="1"/>
  <c r="AY10" i="25"/>
  <c r="AZ10" i="25" s="1"/>
  <c r="BC10" i="25" s="1"/>
  <c r="K16" i="14"/>
  <c r="L16" i="14" s="1"/>
  <c r="O16" i="14" s="1"/>
  <c r="K16" i="18"/>
  <c r="L16" i="18" s="1"/>
  <c r="O16" i="18" s="1"/>
  <c r="K25" i="2"/>
  <c r="L25" i="2" s="1"/>
  <c r="O25" i="2" s="1"/>
  <c r="AY5" i="8"/>
  <c r="AZ5" i="8" s="1"/>
  <c r="BC5" i="8" s="1"/>
  <c r="AY7" i="16"/>
  <c r="AZ7" i="16" s="1"/>
  <c r="BC7" i="16" s="1"/>
  <c r="AY18" i="3"/>
  <c r="AZ18" i="3" s="1"/>
  <c r="BC18" i="3" s="1"/>
  <c r="AY17" i="10"/>
  <c r="AZ17" i="10" s="1"/>
  <c r="BC17" i="10" s="1"/>
  <c r="AY15" i="3"/>
  <c r="AZ15" i="3" s="1"/>
  <c r="BC15" i="3" s="1"/>
  <c r="K24" i="24"/>
  <c r="L24" i="24" s="1"/>
  <c r="O24" i="24" s="1"/>
  <c r="AY13" i="18"/>
  <c r="AZ13" i="18" s="1"/>
  <c r="BC13" i="18" s="1"/>
  <c r="K10" i="25"/>
  <c r="L10" i="25" s="1"/>
  <c r="O10" i="25" s="1"/>
  <c r="K28" i="20"/>
  <c r="L28" i="20" s="1"/>
  <c r="O28" i="20" s="1"/>
  <c r="AY26" i="18"/>
  <c r="AZ26" i="18" s="1"/>
  <c r="BC26" i="18" s="1"/>
  <c r="AY15" i="19"/>
  <c r="AZ15" i="19" s="1"/>
  <c r="BC15" i="19" s="1"/>
  <c r="K22" i="20"/>
  <c r="L22" i="20" s="1"/>
  <c r="O22" i="20" s="1"/>
  <c r="K25" i="16"/>
  <c r="L25" i="16" s="1"/>
  <c r="O25" i="16" s="1"/>
  <c r="AY19" i="11"/>
  <c r="AZ19" i="11" s="1"/>
  <c r="BC19" i="11" s="1"/>
  <c r="K13" i="6"/>
  <c r="L13" i="6" s="1"/>
  <c r="O13" i="6" s="1"/>
  <c r="K19" i="8"/>
  <c r="L19" i="8" s="1"/>
  <c r="O19" i="8" s="1"/>
  <c r="K26" i="6"/>
  <c r="L26" i="6" s="1"/>
  <c r="O26" i="6" s="1"/>
  <c r="K17" i="22"/>
  <c r="L17" i="22" s="1"/>
  <c r="O17" i="22" s="1"/>
  <c r="AY7" i="10"/>
  <c r="AZ7" i="10" s="1"/>
  <c r="BC7" i="10" s="1"/>
  <c r="AY18" i="21"/>
  <c r="AZ18" i="21" s="1"/>
  <c r="BC18" i="21" s="1"/>
  <c r="K17" i="2"/>
  <c r="L17" i="2" s="1"/>
  <c r="O17" i="2" s="1"/>
  <c r="AY17" i="21"/>
  <c r="AZ17" i="21" s="1"/>
  <c r="BC17" i="21" s="1"/>
  <c r="K10" i="23"/>
  <c r="L10" i="23" s="1"/>
  <c r="O10" i="23" s="1"/>
  <c r="AY22" i="22"/>
  <c r="AZ22" i="22" s="1"/>
  <c r="BC22" i="22" s="1"/>
  <c r="K12" i="25"/>
  <c r="L12" i="25" s="1"/>
  <c r="O12" i="25" s="1"/>
  <c r="AY10" i="53"/>
  <c r="AZ10" i="53" s="1"/>
  <c r="BC10" i="53" s="1"/>
  <c r="K24" i="23"/>
  <c r="L24" i="23" s="1"/>
  <c r="O24" i="23" s="1"/>
  <c r="K13" i="16"/>
  <c r="L13" i="16" s="1"/>
  <c r="O13" i="16" s="1"/>
  <c r="AY22" i="2"/>
  <c r="AZ22" i="2" s="1"/>
  <c r="BC22" i="2" s="1"/>
  <c r="K10" i="16"/>
  <c r="L10" i="16" s="1"/>
  <c r="O10" i="16" s="1"/>
  <c r="K5" i="9"/>
  <c r="L5" i="9" s="1"/>
  <c r="O5" i="9" s="1"/>
  <c r="AH31" i="1"/>
  <c r="AI31" i="1" s="1"/>
  <c r="AJ31" i="1" s="1"/>
  <c r="K13" i="4"/>
  <c r="L13" i="4" s="1"/>
  <c r="O13" i="4" s="1"/>
  <c r="AY7" i="4"/>
  <c r="AZ7" i="4" s="1"/>
  <c r="BC7" i="4" s="1"/>
  <c r="K19" i="4"/>
  <c r="L19" i="4" s="1"/>
  <c r="O19" i="4" s="1"/>
  <c r="K10" i="24"/>
  <c r="L10" i="24" s="1"/>
  <c r="O10" i="24" s="1"/>
  <c r="AY28" i="16"/>
  <c r="AZ28" i="16" s="1"/>
  <c r="BC28" i="16" s="1"/>
  <c r="AY22" i="24"/>
  <c r="AZ22" i="24" s="1"/>
  <c r="BC22" i="24" s="1"/>
  <c r="K19" i="53"/>
  <c r="L19" i="53" s="1"/>
  <c r="O19" i="53" s="1"/>
  <c r="AY10" i="16"/>
  <c r="AZ10" i="16" s="1"/>
  <c r="BC10" i="16" s="1"/>
  <c r="K24" i="16"/>
  <c r="L24" i="16" s="1"/>
  <c r="O24" i="16" s="1"/>
  <c r="AY24" i="4"/>
  <c r="AZ24" i="4" s="1"/>
  <c r="BC24" i="4" s="1"/>
  <c r="K19" i="9"/>
  <c r="L19" i="9" s="1"/>
  <c r="O19" i="9" s="1"/>
  <c r="AY5" i="1"/>
  <c r="AZ5" i="1" s="1"/>
  <c r="BC5" i="1" s="1"/>
  <c r="K17" i="13"/>
  <c r="L17" i="13" s="1"/>
  <c r="O17" i="13" s="1"/>
  <c r="K28" i="2"/>
  <c r="L28" i="2" s="1"/>
  <c r="O28" i="2" s="1"/>
  <c r="AY28" i="11"/>
  <c r="AZ28" i="11" s="1"/>
  <c r="BC28" i="11" s="1"/>
  <c r="K22" i="8"/>
  <c r="L22" i="8" s="1"/>
  <c r="O22" i="8" s="1"/>
  <c r="K5" i="10"/>
  <c r="L5" i="10" s="1"/>
  <c r="O5" i="10" s="1"/>
  <c r="K21" i="4"/>
  <c r="L21" i="4" s="1"/>
  <c r="O21" i="4" s="1"/>
  <c r="AY16" i="23"/>
  <c r="AZ16" i="23" s="1"/>
  <c r="BC16" i="23" s="1"/>
  <c r="AH31" i="16"/>
  <c r="AI31" i="16" s="1"/>
  <c r="AJ31" i="16" s="1"/>
  <c r="K25" i="17"/>
  <c r="L25" i="17" s="1"/>
  <c r="O25" i="17" s="1"/>
  <c r="K19" i="21"/>
  <c r="L19" i="21" s="1"/>
  <c r="O19" i="21" s="1"/>
  <c r="AY18" i="18"/>
  <c r="AZ18" i="18" s="1"/>
  <c r="BC18" i="18" s="1"/>
  <c r="AY5" i="19"/>
  <c r="AZ5" i="19" s="1"/>
  <c r="BC5" i="19" s="1"/>
  <c r="K6" i="4"/>
  <c r="L6" i="4" s="1"/>
  <c r="O6" i="4" s="1"/>
  <c r="AY17" i="12"/>
  <c r="AZ17" i="12" s="1"/>
  <c r="BC17" i="12" s="1"/>
  <c r="AY25" i="2"/>
  <c r="AZ25" i="2" s="1"/>
  <c r="BC25" i="2" s="1"/>
  <c r="AY8" i="9"/>
  <c r="AZ8" i="9" s="1"/>
  <c r="BC8" i="9" s="1"/>
  <c r="AY26" i="6"/>
  <c r="AZ26" i="6" s="1"/>
  <c r="BC26" i="6" s="1"/>
  <c r="K16" i="15"/>
  <c r="L16" i="15" s="1"/>
  <c r="O16" i="15" s="1"/>
  <c r="AY15" i="10"/>
  <c r="AZ15" i="10" s="1"/>
  <c r="BC15" i="10" s="1"/>
  <c r="AY24" i="8"/>
  <c r="AZ24" i="8" s="1"/>
  <c r="BC24" i="8" s="1"/>
  <c r="K14" i="19"/>
  <c r="L14" i="19" s="1"/>
  <c r="O14" i="19" s="1"/>
  <c r="AY13" i="16"/>
  <c r="AZ13" i="16" s="1"/>
  <c r="BC13" i="16" s="1"/>
  <c r="K19" i="22"/>
  <c r="L19" i="22" s="1"/>
  <c r="O19" i="22" s="1"/>
  <c r="K28" i="15"/>
  <c r="L28" i="15" s="1"/>
  <c r="O28" i="15" s="1"/>
  <c r="AY22" i="14"/>
  <c r="AZ22" i="14" s="1"/>
  <c r="BC22" i="14" s="1"/>
  <c r="K6" i="53"/>
  <c r="L6" i="53" s="1"/>
  <c r="O6" i="53" s="1"/>
  <c r="AY6" i="20"/>
  <c r="AZ6" i="20" s="1"/>
  <c r="BC6" i="20" s="1"/>
  <c r="K16" i="7"/>
  <c r="L16" i="7" s="1"/>
  <c r="O16" i="7" s="1"/>
  <c r="AY22" i="13"/>
  <c r="AZ22" i="13" s="1"/>
  <c r="BC22" i="13" s="1"/>
  <c r="AY13" i="8"/>
  <c r="AZ13" i="8" s="1"/>
  <c r="BC13" i="8" s="1"/>
  <c r="I56" i="16"/>
  <c r="K13" i="8"/>
  <c r="L13" i="8" s="1"/>
  <c r="O13" i="8" s="1"/>
  <c r="K19" i="2"/>
  <c r="L19" i="2" s="1"/>
  <c r="O19" i="2" s="1"/>
  <c r="AY6" i="8"/>
  <c r="AZ6" i="8" s="1"/>
  <c r="BC6" i="8" s="1"/>
  <c r="AY21" i="15"/>
  <c r="AZ21" i="15" s="1"/>
  <c r="BC21" i="15" s="1"/>
  <c r="AY21" i="8"/>
  <c r="AZ21" i="8" s="1"/>
  <c r="BC21" i="8" s="1"/>
  <c r="AY20" i="8"/>
  <c r="AZ20" i="8" s="1"/>
  <c r="BC20" i="8" s="1"/>
  <c r="K11" i="25"/>
  <c r="L11" i="25" s="1"/>
  <c r="O11" i="25" s="1"/>
  <c r="K23" i="4"/>
  <c r="L23" i="4" s="1"/>
  <c r="O23" i="4" s="1"/>
  <c r="K13" i="10"/>
  <c r="L13" i="10" s="1"/>
  <c r="O13" i="10" s="1"/>
  <c r="AY11" i="11"/>
  <c r="AZ11" i="11" s="1"/>
  <c r="BC11" i="11" s="1"/>
  <c r="K14" i="25"/>
  <c r="L14" i="25" s="1"/>
  <c r="O14" i="25" s="1"/>
  <c r="AY20" i="20"/>
  <c r="AZ20" i="20" s="1"/>
  <c r="BC20" i="20" s="1"/>
  <c r="AY20" i="23"/>
  <c r="AZ20" i="23" s="1"/>
  <c r="BC20" i="23" s="1"/>
  <c r="AY23" i="11"/>
  <c r="AZ23" i="11" s="1"/>
  <c r="BC23" i="11" s="1"/>
  <c r="AY11" i="19"/>
  <c r="AZ11" i="19" s="1"/>
  <c r="BC11" i="19" s="1"/>
  <c r="AY14" i="24"/>
  <c r="AZ14" i="24" s="1"/>
  <c r="BC14" i="24" s="1"/>
  <c r="K16" i="12"/>
  <c r="L16" i="12" s="1"/>
  <c r="O16" i="12" s="1"/>
  <c r="AH31" i="10"/>
  <c r="AI31" i="10" s="1"/>
  <c r="AJ31" i="10" s="1"/>
  <c r="AH31" i="19"/>
  <c r="AI31" i="19" s="1"/>
  <c r="AJ31" i="19" s="1"/>
  <c r="K21" i="25"/>
  <c r="L21" i="25" s="1"/>
  <c r="O21" i="25" s="1"/>
  <c r="K21" i="14"/>
  <c r="L21" i="14" s="1"/>
  <c r="O21" i="14" s="1"/>
  <c r="K6" i="16"/>
  <c r="L6" i="16" s="1"/>
  <c r="O6" i="16" s="1"/>
  <c r="K5" i="25"/>
  <c r="L5" i="25" s="1"/>
  <c r="O5" i="25" s="1"/>
  <c r="K13" i="24"/>
  <c r="L13" i="24" s="1"/>
  <c r="O13" i="24" s="1"/>
  <c r="AY12" i="1"/>
  <c r="AZ12" i="1" s="1"/>
  <c r="BC12" i="1" s="1"/>
  <c r="AY5" i="5"/>
  <c r="AZ5" i="5" s="1"/>
  <c r="BC5" i="5" s="1"/>
  <c r="AY7" i="13"/>
  <c r="AZ7" i="13" s="1"/>
  <c r="BC7" i="13" s="1"/>
  <c r="K25" i="8"/>
  <c r="L25" i="8" s="1"/>
  <c r="O25" i="8" s="1"/>
  <c r="K21" i="6"/>
  <c r="L21" i="6" s="1"/>
  <c r="O21" i="6" s="1"/>
  <c r="AY15" i="11"/>
  <c r="AZ15" i="11" s="1"/>
  <c r="BC15" i="11" s="1"/>
  <c r="AY19" i="1"/>
  <c r="AZ19" i="1" s="1"/>
  <c r="BC19" i="1" s="1"/>
  <c r="AY25" i="6"/>
  <c r="AZ25" i="6" s="1"/>
  <c r="BC25" i="6" s="1"/>
  <c r="AY24" i="20"/>
  <c r="AZ24" i="20" s="1"/>
  <c r="BC24" i="20" s="1"/>
  <c r="AH31" i="24"/>
  <c r="AI31" i="24" s="1"/>
  <c r="AJ31" i="24" s="1"/>
  <c r="K16" i="17"/>
  <c r="L16" i="17" s="1"/>
  <c r="O16" i="17" s="1"/>
  <c r="AY13" i="20"/>
  <c r="AZ13" i="20" s="1"/>
  <c r="BC13" i="20" s="1"/>
  <c r="AY24" i="17"/>
  <c r="AZ24" i="17" s="1"/>
  <c r="BC24" i="17" s="1"/>
  <c r="AY6" i="25"/>
  <c r="AZ6" i="25" s="1"/>
  <c r="BC6" i="25" s="1"/>
  <c r="AY26" i="14"/>
  <c r="AZ26" i="14" s="1"/>
  <c r="BC26" i="14" s="1"/>
  <c r="K15" i="4"/>
  <c r="L15" i="4" s="1"/>
  <c r="O15" i="4" s="1"/>
  <c r="K26" i="8"/>
  <c r="L26" i="8" s="1"/>
  <c r="O26" i="8" s="1"/>
  <c r="AY12" i="3"/>
  <c r="AZ12" i="3" s="1"/>
  <c r="BC12" i="3" s="1"/>
  <c r="AY10" i="13"/>
  <c r="AZ10" i="13" s="1"/>
  <c r="BC10" i="13" s="1"/>
  <c r="AY13" i="6"/>
  <c r="AZ13" i="6" s="1"/>
  <c r="BC13" i="6" s="1"/>
  <c r="K28" i="8"/>
  <c r="L28" i="8" s="1"/>
  <c r="O28" i="8" s="1"/>
  <c r="K10" i="6"/>
  <c r="L10" i="6" s="1"/>
  <c r="O10" i="6" s="1"/>
  <c r="AY17" i="11"/>
  <c r="AZ17" i="11" s="1"/>
  <c r="BC17" i="11" s="1"/>
  <c r="K15" i="9"/>
  <c r="L15" i="9" s="1"/>
  <c r="O15" i="9" s="1"/>
  <c r="K12" i="18"/>
  <c r="L12" i="18" s="1"/>
  <c r="O12" i="18" s="1"/>
  <c r="K12" i="15"/>
  <c r="L12" i="15" s="1"/>
  <c r="O12" i="15" s="1"/>
  <c r="AY25" i="20"/>
  <c r="AZ25" i="20" s="1"/>
  <c r="BC25" i="20" s="1"/>
  <c r="AH32" i="16"/>
  <c r="K13" i="17"/>
  <c r="L13" i="17" s="1"/>
  <c r="O13" i="17" s="1"/>
  <c r="AY26" i="23"/>
  <c r="AZ26" i="23" s="1"/>
  <c r="BC26" i="23" s="1"/>
  <c r="AY28" i="4"/>
  <c r="AZ28" i="4" s="1"/>
  <c r="BC28" i="4" s="1"/>
  <c r="AY18" i="8"/>
  <c r="AZ18" i="8" s="1"/>
  <c r="BC18" i="8" s="1"/>
  <c r="AY12" i="4"/>
  <c r="AZ12" i="4" s="1"/>
  <c r="BC12" i="4" s="1"/>
  <c r="K12" i="10"/>
  <c r="L12" i="10" s="1"/>
  <c r="O12" i="10" s="1"/>
  <c r="AY17" i="1"/>
  <c r="AZ17" i="1" s="1"/>
  <c r="BC17" i="1" s="1"/>
  <c r="AY28" i="9"/>
  <c r="AZ28" i="9" s="1"/>
  <c r="BC28" i="9" s="1"/>
  <c r="K19" i="7"/>
  <c r="L19" i="7" s="1"/>
  <c r="O19" i="7" s="1"/>
  <c r="K28" i="11"/>
  <c r="L28" i="11" s="1"/>
  <c r="O28" i="11" s="1"/>
  <c r="K21" i="23"/>
  <c r="L21" i="23" s="1"/>
  <c r="O21" i="23" s="1"/>
  <c r="AY15" i="6"/>
  <c r="AZ15" i="6" s="1"/>
  <c r="BC15" i="6" s="1"/>
  <c r="AY14" i="19"/>
  <c r="AZ14" i="19" s="1"/>
  <c r="BC14" i="19" s="1"/>
  <c r="AY20" i="53"/>
  <c r="AZ20" i="53" s="1"/>
  <c r="BC20" i="53" s="1"/>
  <c r="K23" i="6"/>
  <c r="L23" i="6" s="1"/>
  <c r="O23" i="6" s="1"/>
  <c r="AY14" i="18"/>
  <c r="AZ14" i="18" s="1"/>
  <c r="BC14" i="18" s="1"/>
  <c r="AY23" i="10"/>
  <c r="AZ23" i="10" s="1"/>
  <c r="BC23" i="10" s="1"/>
  <c r="K14" i="22"/>
  <c r="L14" i="22" s="1"/>
  <c r="O14" i="22" s="1"/>
  <c r="K24" i="21"/>
  <c r="L24" i="21" s="1"/>
  <c r="O24" i="21" s="1"/>
  <c r="K18" i="20"/>
  <c r="L18" i="20" s="1"/>
  <c r="O18" i="20" s="1"/>
  <c r="AY7" i="7"/>
  <c r="AZ7" i="7" s="1"/>
  <c r="BC7" i="7" s="1"/>
  <c r="AY21" i="23"/>
  <c r="AZ21" i="23" s="1"/>
  <c r="BC21" i="23" s="1"/>
  <c r="AY24" i="2"/>
  <c r="AZ24" i="2" s="1"/>
  <c r="BC24" i="2" s="1"/>
  <c r="AY13" i="24"/>
  <c r="AZ13" i="24" s="1"/>
  <c r="BC13" i="24" s="1"/>
  <c r="AY7" i="23"/>
  <c r="AZ7" i="23" s="1"/>
  <c r="BC7" i="23" s="1"/>
  <c r="AY8" i="24"/>
  <c r="AZ8" i="24" s="1"/>
  <c r="BC8" i="24" s="1"/>
  <c r="K8" i="18"/>
  <c r="L8" i="18" s="1"/>
  <c r="O8" i="18" s="1"/>
  <c r="K25" i="21"/>
  <c r="L25" i="21" s="1"/>
  <c r="O25" i="21" s="1"/>
  <c r="AY26" i="20"/>
  <c r="AZ26" i="20" s="1"/>
  <c r="BC26" i="20" s="1"/>
  <c r="K5" i="8"/>
  <c r="L5" i="8" s="1"/>
  <c r="O5" i="8" s="1"/>
  <c r="BG33" i="25"/>
  <c r="K7" i="53"/>
  <c r="L7" i="53" s="1"/>
  <c r="O7" i="53" s="1"/>
  <c r="K18" i="17"/>
  <c r="L18" i="17" s="1"/>
  <c r="O18" i="17" s="1"/>
  <c r="K7" i="2"/>
  <c r="L7" i="2" s="1"/>
  <c r="O7" i="2" s="1"/>
  <c r="AY21" i="10"/>
  <c r="AZ21" i="10" s="1"/>
  <c r="BC21" i="10" s="1"/>
  <c r="K21" i="20"/>
  <c r="L21" i="20" s="1"/>
  <c r="O21" i="20" s="1"/>
  <c r="AY16" i="22"/>
  <c r="AZ16" i="22" s="1"/>
  <c r="BC16" i="22" s="1"/>
  <c r="K25" i="23"/>
  <c r="L25" i="23" s="1"/>
  <c r="O25" i="23" s="1"/>
  <c r="K5" i="24"/>
  <c r="L5" i="24" s="1"/>
  <c r="O5" i="24" s="1"/>
  <c r="K6" i="22"/>
  <c r="L6" i="22" s="1"/>
  <c r="O6" i="22" s="1"/>
  <c r="K12" i="21"/>
  <c r="L12" i="21" s="1"/>
  <c r="O12" i="21" s="1"/>
  <c r="K6" i="23"/>
  <c r="L6" i="23" s="1"/>
  <c r="O6" i="23" s="1"/>
  <c r="AY10" i="5"/>
  <c r="AZ10" i="5" s="1"/>
  <c r="BC10" i="5" s="1"/>
  <c r="AY12" i="5"/>
  <c r="AZ12" i="5" s="1"/>
  <c r="BC12" i="5" s="1"/>
  <c r="K18" i="15"/>
  <c r="L18" i="15" s="1"/>
  <c r="O18" i="15" s="1"/>
  <c r="AH32" i="18"/>
  <c r="AY18" i="16"/>
  <c r="AZ18" i="16" s="1"/>
  <c r="BC18" i="16" s="1"/>
  <c r="AY17" i="16"/>
  <c r="AZ17" i="16" s="1"/>
  <c r="BC17" i="16" s="1"/>
  <c r="K21" i="18"/>
  <c r="L21" i="18" s="1"/>
  <c r="O21" i="18" s="1"/>
  <c r="AY5" i="14"/>
  <c r="AZ5" i="14" s="1"/>
  <c r="BC5" i="14" s="1"/>
  <c r="K17" i="16"/>
  <c r="L17" i="16" s="1"/>
  <c r="O17" i="16" s="1"/>
  <c r="K15" i="25"/>
  <c r="L15" i="25" s="1"/>
  <c r="O15" i="25" s="1"/>
  <c r="K17" i="20"/>
  <c r="L17" i="20" s="1"/>
  <c r="O17" i="20" s="1"/>
  <c r="AH32" i="21"/>
  <c r="K19" i="16"/>
  <c r="L19" i="16" s="1"/>
  <c r="O19" i="16" s="1"/>
  <c r="AY10" i="6"/>
  <c r="AZ10" i="6" s="1"/>
  <c r="BC10" i="6" s="1"/>
  <c r="AY10" i="8"/>
  <c r="AZ10" i="8" s="1"/>
  <c r="BC10" i="8" s="1"/>
  <c r="K10" i="8"/>
  <c r="L10" i="8" s="1"/>
  <c r="O10" i="8" s="1"/>
  <c r="BG33" i="17"/>
  <c r="AY12" i="13"/>
  <c r="AZ12" i="13" s="1"/>
  <c r="BC12" i="13" s="1"/>
  <c r="AY21" i="7"/>
  <c r="AZ21" i="7" s="1"/>
  <c r="BC21" i="7" s="1"/>
  <c r="AY7" i="17"/>
  <c r="AZ7" i="17" s="1"/>
  <c r="BC7" i="17" s="1"/>
  <c r="AY7" i="6"/>
  <c r="AZ7" i="6" s="1"/>
  <c r="BC7" i="6" s="1"/>
  <c r="AY7" i="22"/>
  <c r="AZ7" i="22" s="1"/>
  <c r="BC7" i="22" s="1"/>
  <c r="AH32" i="22"/>
  <c r="K13" i="23"/>
  <c r="L13" i="23" s="1"/>
  <c r="O13" i="23" s="1"/>
  <c r="K7" i="21"/>
  <c r="L7" i="21" s="1"/>
  <c r="O7" i="21" s="1"/>
  <c r="K21" i="16"/>
  <c r="L21" i="16" s="1"/>
  <c r="O21" i="16" s="1"/>
  <c r="AY5" i="16"/>
  <c r="AZ5" i="16" s="1"/>
  <c r="BC5" i="16" s="1"/>
  <c r="AY13" i="25"/>
  <c r="AZ13" i="25" s="1"/>
  <c r="BC13" i="25" s="1"/>
  <c r="AY26" i="1"/>
  <c r="AZ26" i="1" s="1"/>
  <c r="BC26" i="1" s="1"/>
  <c r="K5" i="11"/>
  <c r="L5" i="11" s="1"/>
  <c r="O5" i="11" s="1"/>
  <c r="AY28" i="6"/>
  <c r="AZ28" i="6" s="1"/>
  <c r="BC28" i="6" s="1"/>
  <c r="AY16" i="9"/>
  <c r="AZ16" i="9" s="1"/>
  <c r="BC16" i="9" s="1"/>
  <c r="K5" i="7"/>
  <c r="L5" i="7" s="1"/>
  <c r="O5" i="7" s="1"/>
  <c r="K22" i="10"/>
  <c r="L22" i="10" s="1"/>
  <c r="O22" i="10" s="1"/>
  <c r="K8" i="10"/>
  <c r="L8" i="10" s="1"/>
  <c r="O8" i="10" s="1"/>
  <c r="AY8" i="1"/>
  <c r="AZ8" i="1" s="1"/>
  <c r="BC8" i="1" s="1"/>
  <c r="AY6" i="23"/>
  <c r="AZ6" i="23" s="1"/>
  <c r="BC6" i="23" s="1"/>
  <c r="AY6" i="1"/>
  <c r="AZ6" i="1" s="1"/>
  <c r="BC6" i="1" s="1"/>
  <c r="K5" i="17"/>
  <c r="L5" i="17" s="1"/>
  <c r="O5" i="17" s="1"/>
  <c r="K28" i="53"/>
  <c r="L28" i="53" s="1"/>
  <c r="O28" i="53" s="1"/>
  <c r="AY25" i="18"/>
  <c r="AZ25" i="18" s="1"/>
  <c r="BC25" i="18" s="1"/>
  <c r="K18" i="25"/>
  <c r="L18" i="25" s="1"/>
  <c r="O18" i="25" s="1"/>
  <c r="AY13" i="1"/>
  <c r="AZ13" i="1" s="1"/>
  <c r="BC13" i="1" s="1"/>
  <c r="AY8" i="6"/>
  <c r="AZ8" i="6" s="1"/>
  <c r="BC8" i="6" s="1"/>
  <c r="K24" i="3"/>
  <c r="L24" i="3" s="1"/>
  <c r="O24" i="3" s="1"/>
  <c r="K16" i="10"/>
  <c r="L16" i="10" s="1"/>
  <c r="O16" i="10" s="1"/>
  <c r="AY26" i="8"/>
  <c r="AZ26" i="8" s="1"/>
  <c r="BC26" i="8" s="1"/>
  <c r="AY10" i="1"/>
  <c r="AZ10" i="1" s="1"/>
  <c r="BC10" i="1" s="1"/>
  <c r="K17" i="8"/>
  <c r="L17" i="8" s="1"/>
  <c r="O17" i="8" s="1"/>
  <c r="AY24" i="1"/>
  <c r="AZ24" i="1" s="1"/>
  <c r="BC24" i="1" s="1"/>
  <c r="AY14" i="21"/>
  <c r="AZ14" i="21" s="1"/>
  <c r="BC14" i="21" s="1"/>
  <c r="K10" i="21"/>
  <c r="L10" i="21" s="1"/>
  <c r="O10" i="21" s="1"/>
  <c r="K6" i="18"/>
  <c r="L6" i="18" s="1"/>
  <c r="O6" i="18" s="1"/>
  <c r="K16" i="21"/>
  <c r="L16" i="21" s="1"/>
  <c r="O16" i="21" s="1"/>
  <c r="AY10" i="24"/>
  <c r="AZ10" i="24" s="1"/>
  <c r="BC10" i="24" s="1"/>
  <c r="K5" i="20"/>
  <c r="L5" i="20" s="1"/>
  <c r="O5" i="20" s="1"/>
  <c r="K22" i="16"/>
  <c r="L22" i="16" s="1"/>
  <c r="O22" i="16" s="1"/>
  <c r="K28" i="6"/>
  <c r="L28" i="6" s="1"/>
  <c r="O28" i="6" s="1"/>
  <c r="K13" i="13"/>
  <c r="L13" i="13" s="1"/>
  <c r="O13" i="13" s="1"/>
  <c r="AY22" i="8"/>
  <c r="AZ22" i="8" s="1"/>
  <c r="BC22" i="8" s="1"/>
  <c r="AY6" i="12"/>
  <c r="AZ6" i="12" s="1"/>
  <c r="BC6" i="12" s="1"/>
  <c r="K24" i="5"/>
  <c r="L24" i="5" s="1"/>
  <c r="O24" i="5" s="1"/>
  <c r="AY28" i="1"/>
  <c r="AZ28" i="1" s="1"/>
  <c r="BC28" i="1" s="1"/>
  <c r="AY25" i="9"/>
  <c r="AZ25" i="9" s="1"/>
  <c r="BC25" i="9" s="1"/>
  <c r="K17" i="10"/>
  <c r="L17" i="10" s="1"/>
  <c r="O17" i="10" s="1"/>
  <c r="K28" i="22"/>
  <c r="L28" i="22" s="1"/>
  <c r="O28" i="22" s="1"/>
  <c r="K19" i="24"/>
  <c r="L19" i="24" s="1"/>
  <c r="O19" i="24" s="1"/>
  <c r="K12" i="53"/>
  <c r="L12" i="53" s="1"/>
  <c r="O12" i="53" s="1"/>
  <c r="K5" i="16"/>
  <c r="L5" i="16" s="1"/>
  <c r="O5" i="16" s="1"/>
  <c r="K6" i="19"/>
  <c r="L6" i="19" s="1"/>
  <c r="O6" i="19" s="1"/>
  <c r="AY17" i="20"/>
  <c r="AZ17" i="20" s="1"/>
  <c r="BC17" i="20" s="1"/>
  <c r="K25" i="1"/>
  <c r="L25" i="1" s="1"/>
  <c r="O25" i="1" s="1"/>
  <c r="AY26" i="5"/>
  <c r="AZ26" i="5" s="1"/>
  <c r="BC26" i="5" s="1"/>
  <c r="AY12" i="17"/>
  <c r="AZ12" i="17" s="1"/>
  <c r="BC12" i="17" s="1"/>
  <c r="K22" i="11"/>
  <c r="L22" i="11" s="1"/>
  <c r="O22" i="11" s="1"/>
  <c r="K6" i="7"/>
  <c r="L6" i="7" s="1"/>
  <c r="O6" i="7" s="1"/>
  <c r="AY16" i="6"/>
  <c r="AZ16" i="6" s="1"/>
  <c r="BC16" i="6" s="1"/>
  <c r="K22" i="4"/>
  <c r="L22" i="4" s="1"/>
  <c r="O22" i="4" s="1"/>
  <c r="K28" i="9"/>
  <c r="L28" i="9" s="1"/>
  <c r="O28" i="9" s="1"/>
  <c r="K18" i="3"/>
  <c r="L18" i="3" s="1"/>
  <c r="O18" i="3" s="1"/>
  <c r="BG33" i="24"/>
  <c r="AY11" i="20"/>
  <c r="AZ11" i="20" s="1"/>
  <c r="BC11" i="20" s="1"/>
  <c r="AY14" i="10"/>
  <c r="AZ14" i="10" s="1"/>
  <c r="BC14" i="10" s="1"/>
  <c r="K14" i="6"/>
  <c r="L14" i="6" s="1"/>
  <c r="O14" i="6" s="1"/>
  <c r="AY18" i="9"/>
  <c r="AZ18" i="9" s="1"/>
  <c r="BC18" i="9" s="1"/>
  <c r="AY20" i="13"/>
  <c r="AZ20" i="13" s="1"/>
  <c r="BC20" i="13" s="1"/>
  <c r="AY23" i="3"/>
  <c r="AZ23" i="3" s="1"/>
  <c r="BC23" i="3" s="1"/>
  <c r="K11" i="14"/>
  <c r="L11" i="14" s="1"/>
  <c r="O11" i="14" s="1"/>
  <c r="K20" i="3"/>
  <c r="L20" i="3" s="1"/>
  <c r="O20" i="3" s="1"/>
  <c r="AY23" i="12"/>
  <c r="AZ23" i="12" s="1"/>
  <c r="BC23" i="12" s="1"/>
  <c r="AY23" i="14"/>
  <c r="AZ23" i="14" s="1"/>
  <c r="BC23" i="14" s="1"/>
  <c r="AY20" i="5"/>
  <c r="AZ20" i="5" s="1"/>
  <c r="BC20" i="5" s="1"/>
  <c r="AY7" i="5"/>
  <c r="AZ7" i="5" s="1"/>
  <c r="BC7" i="5" s="1"/>
  <c r="AY25" i="11"/>
  <c r="AZ25" i="11" s="1"/>
  <c r="BC25" i="11" s="1"/>
  <c r="K5" i="18"/>
  <c r="L5" i="18" s="1"/>
  <c r="O5" i="18" s="1"/>
  <c r="AY21" i="17"/>
  <c r="AZ21" i="17" s="1"/>
  <c r="BC21" i="17" s="1"/>
  <c r="K25" i="24"/>
  <c r="L25" i="24" s="1"/>
  <c r="O25" i="24" s="1"/>
  <c r="AH31" i="20"/>
  <c r="AI31" i="20" s="1"/>
  <c r="AJ31" i="20" s="1"/>
  <c r="K7" i="16"/>
  <c r="L7" i="16" s="1"/>
  <c r="O7" i="16" s="1"/>
  <c r="K26" i="23"/>
  <c r="L26" i="23" s="1"/>
  <c r="O26" i="23" s="1"/>
  <c r="AY28" i="2"/>
  <c r="AZ28" i="2" s="1"/>
  <c r="BC28" i="2" s="1"/>
  <c r="AH31" i="11"/>
  <c r="AI31" i="11" s="1"/>
  <c r="AJ31" i="11" s="1"/>
  <c r="I56" i="15"/>
  <c r="AY28" i="5"/>
  <c r="AZ28" i="5" s="1"/>
  <c r="BC28" i="5" s="1"/>
  <c r="K15" i="2"/>
  <c r="L15" i="2" s="1"/>
  <c r="O15" i="2" s="1"/>
  <c r="AY28" i="8"/>
  <c r="AZ28" i="8" s="1"/>
  <c r="BC28" i="8" s="1"/>
  <c r="K16" i="3"/>
  <c r="L16" i="3" s="1"/>
  <c r="O16" i="3" s="1"/>
  <c r="K22" i="7"/>
  <c r="L22" i="7" s="1"/>
  <c r="O22" i="7" s="1"/>
  <c r="K18" i="14"/>
  <c r="L18" i="14" s="1"/>
  <c r="O18" i="14" s="1"/>
  <c r="AY12" i="53"/>
  <c r="AZ12" i="53" s="1"/>
  <c r="BC12" i="53" s="1"/>
  <c r="AY12" i="19"/>
  <c r="AZ12" i="19" s="1"/>
  <c r="BC12" i="19" s="1"/>
  <c r="K12" i="14"/>
  <c r="L12" i="14" s="1"/>
  <c r="O12" i="14" s="1"/>
  <c r="AY19" i="18"/>
  <c r="AZ19" i="18" s="1"/>
  <c r="BC19" i="18" s="1"/>
  <c r="K16" i="25"/>
  <c r="L16" i="25" s="1"/>
  <c r="O16" i="25" s="1"/>
  <c r="K10" i="19"/>
  <c r="L10" i="19" s="1"/>
  <c r="O10" i="19" s="1"/>
  <c r="AY21" i="1"/>
  <c r="AZ21" i="1" s="1"/>
  <c r="BC21" i="1" s="1"/>
  <c r="K21" i="8"/>
  <c r="L21" i="8" s="1"/>
  <c r="O21" i="8" s="1"/>
  <c r="I56" i="22"/>
  <c r="K10" i="11"/>
  <c r="L10" i="11" s="1"/>
  <c r="O10" i="11" s="1"/>
  <c r="AY10" i="3"/>
  <c r="AZ10" i="3" s="1"/>
  <c r="BC10" i="3" s="1"/>
  <c r="K12" i="5"/>
  <c r="L12" i="5" s="1"/>
  <c r="O12" i="5" s="1"/>
  <c r="K15" i="13"/>
  <c r="L15" i="13" s="1"/>
  <c r="O15" i="13" s="1"/>
  <c r="K10" i="12"/>
  <c r="L10" i="12" s="1"/>
  <c r="O10" i="12" s="1"/>
  <c r="AY7" i="1"/>
  <c r="AZ7" i="1" s="1"/>
  <c r="BC7" i="1" s="1"/>
  <c r="AY25" i="53"/>
  <c r="AZ25" i="53" s="1"/>
  <c r="BC25" i="53" s="1"/>
  <c r="AY28" i="19"/>
  <c r="AZ28" i="19" s="1"/>
  <c r="BC28" i="19" s="1"/>
  <c r="AY16" i="20"/>
  <c r="AZ16" i="20" s="1"/>
  <c r="BC16" i="20" s="1"/>
  <c r="AY13" i="22"/>
  <c r="AZ13" i="22" s="1"/>
  <c r="BC13" i="22" s="1"/>
  <c r="AY10" i="21"/>
  <c r="AZ10" i="21" s="1"/>
  <c r="BC10" i="21" s="1"/>
  <c r="K13" i="15"/>
  <c r="L13" i="15" s="1"/>
  <c r="O13" i="15" s="1"/>
  <c r="K21" i="2"/>
  <c r="L21" i="2" s="1"/>
  <c r="O21" i="2" s="1"/>
  <c r="K21" i="7"/>
  <c r="L21" i="7" s="1"/>
  <c r="O21" i="7" s="1"/>
  <c r="AY24" i="3"/>
  <c r="AZ24" i="3" s="1"/>
  <c r="BC24" i="3" s="1"/>
  <c r="K25" i="11"/>
  <c r="L25" i="11" s="1"/>
  <c r="O25" i="11" s="1"/>
  <c r="K10" i="3"/>
  <c r="L10" i="3" s="1"/>
  <c r="O10" i="3" s="1"/>
  <c r="K16" i="11"/>
  <c r="L16" i="11" s="1"/>
  <c r="O16" i="11" s="1"/>
  <c r="AY28" i="13"/>
  <c r="AZ28" i="13" s="1"/>
  <c r="BC28" i="13" s="1"/>
  <c r="K18" i="13"/>
  <c r="L18" i="13" s="1"/>
  <c r="O18" i="13" s="1"/>
  <c r="AY21" i="53"/>
  <c r="AZ21" i="53" s="1"/>
  <c r="BC21" i="53" s="1"/>
  <c r="K18" i="16"/>
  <c r="L18" i="16" s="1"/>
  <c r="O18" i="16" s="1"/>
  <c r="AY23" i="53"/>
  <c r="AZ23" i="53" s="1"/>
  <c r="BC23" i="53" s="1"/>
  <c r="K14" i="1"/>
  <c r="L14" i="1" s="1"/>
  <c r="O14" i="1" s="1"/>
  <c r="K11" i="7"/>
  <c r="L11" i="7" s="1"/>
  <c r="O11" i="7" s="1"/>
  <c r="K20" i="20"/>
  <c r="L20" i="20" s="1"/>
  <c r="O20" i="20" s="1"/>
  <c r="AY20" i="10"/>
  <c r="AZ20" i="10" s="1"/>
  <c r="BC20" i="10" s="1"/>
  <c r="AY11" i="23"/>
  <c r="AZ11" i="23" s="1"/>
  <c r="BC11" i="23" s="1"/>
  <c r="AY5" i="11"/>
  <c r="AZ5" i="11" s="1"/>
  <c r="BC5" i="11" s="1"/>
  <c r="AY11" i="2"/>
  <c r="AZ11" i="2" s="1"/>
  <c r="BC11" i="2" s="1"/>
  <c r="AY20" i="2"/>
  <c r="AZ20" i="2" s="1"/>
  <c r="BC20" i="2" s="1"/>
  <c r="AY23" i="18"/>
  <c r="AZ23" i="18" s="1"/>
  <c r="BC23" i="18" s="1"/>
  <c r="AY14" i="13"/>
  <c r="AZ14" i="13" s="1"/>
  <c r="BC14" i="13" s="1"/>
  <c r="AH31" i="3"/>
  <c r="AI31" i="3" s="1"/>
  <c r="AJ31" i="3" s="1"/>
  <c r="K10" i="9"/>
  <c r="L10" i="9" s="1"/>
  <c r="O10" i="9" s="1"/>
  <c r="AY8" i="3"/>
  <c r="AZ8" i="3" s="1"/>
  <c r="BC8" i="3" s="1"/>
  <c r="AY25" i="14"/>
  <c r="AZ25" i="14" s="1"/>
  <c r="BC25" i="14" s="1"/>
  <c r="K19" i="19"/>
  <c r="L19" i="19" s="1"/>
  <c r="O19" i="19" s="1"/>
  <c r="AY19" i="21"/>
  <c r="AZ19" i="21" s="1"/>
  <c r="BC19" i="21" s="1"/>
  <c r="AY5" i="24"/>
  <c r="AZ5" i="24" s="1"/>
  <c r="BC5" i="24" s="1"/>
  <c r="AY8" i="18"/>
  <c r="AZ8" i="18" s="1"/>
  <c r="BC8" i="18" s="1"/>
  <c r="K15" i="6"/>
  <c r="L15" i="6" s="1"/>
  <c r="O15" i="6" s="1"/>
  <c r="K17" i="15"/>
  <c r="L17" i="15" s="1"/>
  <c r="O17" i="15" s="1"/>
  <c r="K15" i="18"/>
  <c r="L15" i="18" s="1"/>
  <c r="O15" i="18" s="1"/>
  <c r="AY17" i="7"/>
  <c r="AZ17" i="7" s="1"/>
  <c r="BC17" i="7" s="1"/>
  <c r="K21" i="19"/>
  <c r="L21" i="19" s="1"/>
  <c r="O21" i="19" s="1"/>
  <c r="K16" i="20"/>
  <c r="L16" i="20" s="1"/>
  <c r="O16" i="20" s="1"/>
  <c r="AH31" i="2"/>
  <c r="AI31" i="2" s="1"/>
  <c r="AJ31" i="2" s="1"/>
  <c r="AY19" i="23"/>
  <c r="AZ19" i="23" s="1"/>
  <c r="BC19" i="23" s="1"/>
  <c r="AY13" i="53"/>
  <c r="AZ13" i="53" s="1"/>
  <c r="BC13" i="53" s="1"/>
  <c r="AY12" i="22"/>
  <c r="AZ12" i="22" s="1"/>
  <c r="BC12" i="22" s="1"/>
  <c r="AY12" i="16"/>
  <c r="AZ12" i="16" s="1"/>
  <c r="BC12" i="16" s="1"/>
  <c r="AY16" i="3"/>
  <c r="AZ16" i="3" s="1"/>
  <c r="BC16" i="3" s="1"/>
  <c r="K7" i="10"/>
  <c r="L7" i="10" s="1"/>
  <c r="O7" i="10" s="1"/>
  <c r="AY21" i="2"/>
  <c r="AZ21" i="2" s="1"/>
  <c r="BC21" i="2" s="1"/>
  <c r="AY18" i="7"/>
  <c r="AZ18" i="7" s="1"/>
  <c r="BC18" i="7" s="1"/>
  <c r="AY18" i="1"/>
  <c r="AZ18" i="1" s="1"/>
  <c r="BC18" i="1" s="1"/>
  <c r="AY18" i="24"/>
  <c r="AZ18" i="24" s="1"/>
  <c r="BC18" i="24" s="1"/>
  <c r="K24" i="14"/>
  <c r="L24" i="14" s="1"/>
  <c r="O24" i="14" s="1"/>
  <c r="K28" i="23"/>
  <c r="L28" i="23" s="1"/>
  <c r="O28" i="23" s="1"/>
  <c r="AY5" i="15"/>
  <c r="AZ5" i="15" s="1"/>
  <c r="BC5" i="15" s="1"/>
  <c r="K18" i="23"/>
  <c r="L18" i="23" s="1"/>
  <c r="O18" i="23" s="1"/>
  <c r="AY28" i="53"/>
  <c r="AZ28" i="53" s="1"/>
  <c r="BC28" i="53" s="1"/>
  <c r="K16" i="19"/>
  <c r="L16" i="19" s="1"/>
  <c r="O16" i="19" s="1"/>
  <c r="K26" i="15"/>
  <c r="L26" i="15" s="1"/>
  <c r="O26" i="15" s="1"/>
  <c r="AY8" i="2"/>
  <c r="AZ8" i="2" s="1"/>
  <c r="BC8" i="2" s="1"/>
  <c r="K12" i="8"/>
  <c r="L12" i="8" s="1"/>
  <c r="O12" i="8" s="1"/>
  <c r="AY24" i="11"/>
  <c r="AZ24" i="11" s="1"/>
  <c r="BC24" i="11" s="1"/>
  <c r="AY15" i="16"/>
  <c r="AZ15" i="16" s="1"/>
  <c r="BC15" i="16" s="1"/>
  <c r="K15" i="15"/>
  <c r="L15" i="15" s="1"/>
  <c r="O15" i="15" s="1"/>
  <c r="AY21" i="24"/>
  <c r="AZ21" i="24" s="1"/>
  <c r="BC21" i="24" s="1"/>
  <c r="AY21" i="22"/>
  <c r="AZ21" i="22" s="1"/>
  <c r="BC21" i="22" s="1"/>
  <c r="AY6" i="24"/>
  <c r="AZ6" i="24" s="1"/>
  <c r="BC6" i="24" s="1"/>
  <c r="K25" i="53"/>
  <c r="L25" i="53" s="1"/>
  <c r="O25" i="53" s="1"/>
  <c r="AY5" i="23"/>
  <c r="AZ5" i="23" s="1"/>
  <c r="BC5" i="23" s="1"/>
  <c r="AY24" i="23"/>
  <c r="AZ24" i="23" s="1"/>
  <c r="BC24" i="23" s="1"/>
  <c r="AY12" i="14"/>
  <c r="AZ12" i="14" s="1"/>
  <c r="BC12" i="14" s="1"/>
  <c r="K25" i="15"/>
  <c r="L25" i="15" s="1"/>
  <c r="O25" i="15" s="1"/>
  <c r="AY16" i="1"/>
  <c r="AZ16" i="1" s="1"/>
  <c r="BC16" i="1" s="1"/>
  <c r="AH32" i="11"/>
  <c r="K8" i="8"/>
  <c r="L8" i="8" s="1"/>
  <c r="O8" i="8" s="1"/>
  <c r="AH31" i="5"/>
  <c r="AI31" i="5" s="1"/>
  <c r="AJ31" i="5" s="1"/>
  <c r="K24" i="20"/>
  <c r="L24" i="20" s="1"/>
  <c r="O24" i="20" s="1"/>
  <c r="AY17" i="24"/>
  <c r="AZ17" i="24" s="1"/>
  <c r="BC17" i="24" s="1"/>
  <c r="AY18" i="23"/>
  <c r="AZ18" i="23" s="1"/>
  <c r="BC18" i="23" s="1"/>
  <c r="AY7" i="25"/>
  <c r="AZ7" i="25" s="1"/>
  <c r="BC7" i="25" s="1"/>
  <c r="K7" i="11"/>
  <c r="L7" i="11" s="1"/>
  <c r="O7" i="11" s="1"/>
  <c r="AY16" i="14"/>
  <c r="AZ16" i="14" s="1"/>
  <c r="BC16" i="14" s="1"/>
  <c r="AY16" i="16"/>
  <c r="AZ16" i="16" s="1"/>
  <c r="BC16" i="16" s="1"/>
  <c r="AY17" i="25"/>
  <c r="AZ17" i="25" s="1"/>
  <c r="BC17" i="25" s="1"/>
  <c r="K12" i="22"/>
  <c r="L12" i="22" s="1"/>
  <c r="O12" i="22" s="1"/>
  <c r="AY19" i="53"/>
  <c r="AZ19" i="53" s="1"/>
  <c r="BC19" i="53" s="1"/>
  <c r="AY25" i="16"/>
  <c r="AZ25" i="16" s="1"/>
  <c r="BC25" i="16" s="1"/>
  <c r="K7" i="4"/>
  <c r="L7" i="4" s="1"/>
  <c r="O7" i="4" s="1"/>
  <c r="AY8" i="10"/>
  <c r="AZ8" i="10" s="1"/>
  <c r="BC8" i="10" s="1"/>
  <c r="I56" i="17"/>
  <c r="K21" i="10"/>
  <c r="L21" i="10" s="1"/>
  <c r="O21" i="10" s="1"/>
  <c r="AY18" i="5"/>
  <c r="AZ18" i="5" s="1"/>
  <c r="BC18" i="5" s="1"/>
  <c r="K18" i="10"/>
  <c r="L18" i="10" s="1"/>
  <c r="O18" i="10" s="1"/>
  <c r="AY17" i="9"/>
  <c r="AZ17" i="9" s="1"/>
  <c r="BC17" i="9" s="1"/>
  <c r="K15" i="21"/>
  <c r="L15" i="21" s="1"/>
  <c r="O15" i="21" s="1"/>
  <c r="AY6" i="21"/>
  <c r="AZ6" i="21" s="1"/>
  <c r="BC6" i="21" s="1"/>
  <c r="K13" i="18"/>
  <c r="L13" i="18" s="1"/>
  <c r="O13" i="18" s="1"/>
  <c r="K24" i="25"/>
  <c r="L24" i="25" s="1"/>
  <c r="O24" i="25" s="1"/>
  <c r="K6" i="20"/>
  <c r="L6" i="20" s="1"/>
  <c r="O6" i="20" s="1"/>
  <c r="AY21" i="14"/>
  <c r="AZ21" i="14" s="1"/>
  <c r="BC21" i="14" s="1"/>
  <c r="AY6" i="17"/>
  <c r="AZ6" i="17" s="1"/>
  <c r="BC6" i="17" s="1"/>
  <c r="AY6" i="3"/>
  <c r="AZ6" i="3" s="1"/>
  <c r="BC6" i="3" s="1"/>
  <c r="K17" i="7"/>
  <c r="L17" i="7" s="1"/>
  <c r="O17" i="7" s="1"/>
  <c r="K19" i="12"/>
  <c r="L19" i="12" s="1"/>
  <c r="O19" i="12" s="1"/>
  <c r="K22" i="3"/>
  <c r="L22" i="3" s="1"/>
  <c r="O22" i="3" s="1"/>
  <c r="K12" i="7"/>
  <c r="L12" i="7" s="1"/>
  <c r="O12" i="7" s="1"/>
  <c r="AY24" i="7"/>
  <c r="AZ24" i="7" s="1"/>
  <c r="BC24" i="7" s="1"/>
  <c r="AY16" i="5"/>
  <c r="AZ16" i="5" s="1"/>
  <c r="BC16" i="5" s="1"/>
  <c r="K7" i="6"/>
  <c r="L7" i="6" s="1"/>
  <c r="O7" i="6" s="1"/>
  <c r="AH31" i="15"/>
  <c r="AI31" i="15" s="1"/>
  <c r="AJ31" i="15" s="1"/>
  <c r="AY7" i="19"/>
  <c r="AZ7" i="19" s="1"/>
  <c r="BC7" i="19" s="1"/>
  <c r="AY5" i="53"/>
  <c r="AZ5" i="53" s="1"/>
  <c r="BC5" i="53" s="1"/>
  <c r="AY16" i="19"/>
  <c r="AZ16" i="19" s="1"/>
  <c r="BC16" i="19" s="1"/>
  <c r="K16" i="16"/>
  <c r="L16" i="16" s="1"/>
  <c r="O16" i="16" s="1"/>
  <c r="AY12" i="23"/>
  <c r="AZ12" i="23" s="1"/>
  <c r="BC12" i="23" s="1"/>
  <c r="AH32" i="1"/>
  <c r="AY25" i="3"/>
  <c r="AZ25" i="3" s="1"/>
  <c r="BC25" i="3" s="1"/>
  <c r="AY8" i="19"/>
  <c r="AZ8" i="19" s="1"/>
  <c r="BC8" i="19" s="1"/>
  <c r="K8" i="7"/>
  <c r="L8" i="7" s="1"/>
  <c r="O8" i="7" s="1"/>
  <c r="AY16" i="2"/>
  <c r="AZ16" i="2" s="1"/>
  <c r="BC16" i="2" s="1"/>
  <c r="AY21" i="3"/>
  <c r="AZ21" i="3" s="1"/>
  <c r="BC21" i="3" s="1"/>
  <c r="K16" i="2"/>
  <c r="L16" i="2" s="1"/>
  <c r="O16" i="2" s="1"/>
  <c r="AY15" i="7"/>
  <c r="AZ15" i="7" s="1"/>
  <c r="BC15" i="7" s="1"/>
  <c r="AY7" i="18"/>
  <c r="AZ7" i="18" s="1"/>
  <c r="BC7" i="18" s="1"/>
  <c r="AY28" i="15"/>
  <c r="AZ28" i="15" s="1"/>
  <c r="BC28" i="15" s="1"/>
  <c r="K13" i="21"/>
  <c r="L13" i="21" s="1"/>
  <c r="O13" i="21" s="1"/>
  <c r="K15" i="20"/>
  <c r="L15" i="20" s="1"/>
  <c r="O15" i="20" s="1"/>
  <c r="K17" i="18"/>
  <c r="L17" i="18" s="1"/>
  <c r="O17" i="18" s="1"/>
  <c r="K8" i="17"/>
  <c r="L8" i="17" s="1"/>
  <c r="O8" i="17" s="1"/>
  <c r="K28" i="14"/>
  <c r="L28" i="14" s="1"/>
  <c r="O28" i="14" s="1"/>
  <c r="K7" i="19"/>
  <c r="L7" i="19" s="1"/>
  <c r="O7" i="19" s="1"/>
  <c r="AY26" i="11"/>
  <c r="AZ26" i="11" s="1"/>
  <c r="BC26" i="11" s="1"/>
  <c r="K21" i="1"/>
  <c r="L21" i="1" s="1"/>
  <c r="O21" i="1" s="1"/>
  <c r="AY19" i="8"/>
  <c r="AZ19" i="8" s="1"/>
  <c r="BC19" i="8" s="1"/>
  <c r="AY25" i="1"/>
  <c r="AZ25" i="1" s="1"/>
  <c r="BC25" i="1" s="1"/>
  <c r="AY26" i="7"/>
  <c r="AZ26" i="7" s="1"/>
  <c r="BC26" i="7" s="1"/>
  <c r="AY25" i="10"/>
  <c r="AZ25" i="10" s="1"/>
  <c r="BC25" i="10" s="1"/>
  <c r="K6" i="10"/>
  <c r="L6" i="10" s="1"/>
  <c r="O6" i="10" s="1"/>
  <c r="AY18" i="15"/>
  <c r="AZ18" i="15" s="1"/>
  <c r="BC18" i="15" s="1"/>
  <c r="AY21" i="18"/>
  <c r="AZ21" i="18" s="1"/>
  <c r="BC21" i="18" s="1"/>
  <c r="K20" i="19"/>
  <c r="L20" i="19" s="1"/>
  <c r="O20" i="19" s="1"/>
  <c r="K23" i="5"/>
  <c r="L23" i="5" s="1"/>
  <c r="O23" i="5" s="1"/>
  <c r="K11" i="18"/>
  <c r="L11" i="18" s="1"/>
  <c r="O11" i="18" s="1"/>
  <c r="K14" i="23"/>
  <c r="L14" i="23" s="1"/>
  <c r="O14" i="23" s="1"/>
  <c r="AY14" i="22"/>
  <c r="AZ14" i="22" s="1"/>
  <c r="BC14" i="22" s="1"/>
  <c r="AY11" i="7"/>
  <c r="AZ11" i="7" s="1"/>
  <c r="BC11" i="7" s="1"/>
  <c r="AY24" i="10"/>
  <c r="AZ24" i="10" s="1"/>
  <c r="BC24" i="10" s="1"/>
  <c r="K11" i="5"/>
  <c r="L11" i="5" s="1"/>
  <c r="O11" i="5" s="1"/>
  <c r="AY20" i="11"/>
  <c r="AZ20" i="11" s="1"/>
  <c r="BC20" i="11" s="1"/>
  <c r="K11" i="13"/>
  <c r="L11" i="13" s="1"/>
  <c r="O11" i="13" s="1"/>
  <c r="K8" i="5"/>
  <c r="L8" i="5" s="1"/>
  <c r="O8" i="5" s="1"/>
  <c r="AY6" i="7"/>
  <c r="AZ6" i="7" s="1"/>
  <c r="BC6" i="7" s="1"/>
  <c r="K28" i="1"/>
  <c r="L28" i="1" s="1"/>
  <c r="O28" i="1" s="1"/>
  <c r="AY6" i="15"/>
  <c r="AZ6" i="15" s="1"/>
  <c r="BC6" i="15" s="1"/>
  <c r="AY26" i="25"/>
  <c r="AZ26" i="25" s="1"/>
  <c r="BC26" i="25" s="1"/>
  <c r="K13" i="22"/>
  <c r="L13" i="22" s="1"/>
  <c r="O13" i="22" s="1"/>
  <c r="AY8" i="14"/>
  <c r="AZ8" i="14" s="1"/>
  <c r="BC8" i="14" s="1"/>
  <c r="AH32" i="23"/>
  <c r="AY24" i="25"/>
  <c r="AZ24" i="25" s="1"/>
  <c r="BC24" i="25" s="1"/>
  <c r="K8" i="3"/>
  <c r="L8" i="3" s="1"/>
  <c r="O8" i="3" s="1"/>
  <c r="AY8" i="12"/>
  <c r="AZ8" i="12" s="1"/>
  <c r="BC8" i="12" s="1"/>
  <c r="K25" i="4"/>
  <c r="L25" i="4" s="1"/>
  <c r="O25" i="4" s="1"/>
  <c r="K21" i="12"/>
  <c r="L21" i="12" s="1"/>
  <c r="O21" i="12" s="1"/>
  <c r="K18" i="4"/>
  <c r="L18" i="4" s="1"/>
  <c r="O18" i="4" s="1"/>
  <c r="K12" i="9"/>
  <c r="L12" i="9" s="1"/>
  <c r="O12" i="9" s="1"/>
  <c r="AY19" i="9"/>
  <c r="AZ19" i="9" s="1"/>
  <c r="BC19" i="9" s="1"/>
  <c r="BG33" i="23"/>
  <c r="AY15" i="8"/>
  <c r="AZ15" i="8" s="1"/>
  <c r="BC15" i="8" s="1"/>
  <c r="K19" i="14"/>
  <c r="L19" i="14" s="1"/>
  <c r="O19" i="14" s="1"/>
  <c r="AH32" i="25"/>
  <c r="K5" i="21"/>
  <c r="L5" i="21" s="1"/>
  <c r="O5" i="21" s="1"/>
  <c r="AY17" i="14"/>
  <c r="AZ17" i="14" s="1"/>
  <c r="BC17" i="14" s="1"/>
  <c r="K19" i="18"/>
  <c r="L19" i="18" s="1"/>
  <c r="O19" i="18" s="1"/>
  <c r="K12" i="17"/>
  <c r="L12" i="17" s="1"/>
  <c r="O12" i="17" s="1"/>
  <c r="K26" i="7"/>
  <c r="L26" i="7" s="1"/>
  <c r="O26" i="7" s="1"/>
  <c r="AY24" i="5"/>
  <c r="AZ24" i="5" s="1"/>
  <c r="BC24" i="5" s="1"/>
  <c r="K16" i="4"/>
  <c r="L16" i="4" s="1"/>
  <c r="O16" i="4" s="1"/>
  <c r="K24" i="11"/>
  <c r="L24" i="11" s="1"/>
  <c r="O24" i="11" s="1"/>
  <c r="AY17" i="8"/>
  <c r="AZ17" i="8" s="1"/>
  <c r="BC17" i="8" s="1"/>
  <c r="K13" i="2"/>
  <c r="L13" i="2" s="1"/>
  <c r="O13" i="2" s="1"/>
  <c r="K6" i="13"/>
  <c r="L6" i="13" s="1"/>
  <c r="O6" i="13" s="1"/>
  <c r="K18" i="21"/>
  <c r="L18" i="21" s="1"/>
  <c r="O18" i="21" s="1"/>
  <c r="AY23" i="4"/>
  <c r="AZ23" i="4" s="1"/>
  <c r="BC23" i="4" s="1"/>
  <c r="K28" i="24"/>
  <c r="L28" i="24" s="1"/>
  <c r="O28" i="24" s="1"/>
  <c r="K26" i="22"/>
  <c r="L26" i="22" s="1"/>
  <c r="O26" i="22" s="1"/>
  <c r="K8" i="15"/>
  <c r="L8" i="15" s="1"/>
  <c r="O8" i="15" s="1"/>
  <c r="K10" i="14"/>
  <c r="L10" i="14" s="1"/>
  <c r="O10" i="14" s="1"/>
  <c r="AY28" i="18"/>
  <c r="AZ28" i="18" s="1"/>
  <c r="BC28" i="18" s="1"/>
  <c r="K8" i="53"/>
  <c r="L8" i="53" s="1"/>
  <c r="O8" i="53" s="1"/>
  <c r="K26" i="1"/>
  <c r="L26" i="1" s="1"/>
  <c r="O26" i="1" s="1"/>
  <c r="AY5" i="7"/>
  <c r="AZ5" i="7" s="1"/>
  <c r="BC5" i="7" s="1"/>
  <c r="K26" i="4"/>
  <c r="L26" i="4" s="1"/>
  <c r="O26" i="4" s="1"/>
  <c r="BG33" i="14"/>
  <c r="K13" i="9"/>
  <c r="L13" i="9" s="1"/>
  <c r="O13" i="9" s="1"/>
  <c r="K26" i="2"/>
  <c r="L26" i="2" s="1"/>
  <c r="O26" i="2" s="1"/>
  <c r="AY19" i="13"/>
  <c r="AZ19" i="13" s="1"/>
  <c r="BC19" i="13" s="1"/>
  <c r="K7" i="3"/>
  <c r="L7" i="3" s="1"/>
  <c r="O7" i="3" s="1"/>
  <c r="K23" i="8"/>
  <c r="L23" i="8" s="1"/>
  <c r="O23" i="8" s="1"/>
  <c r="AY14" i="6"/>
  <c r="AZ14" i="6" s="1"/>
  <c r="BC14" i="6" s="1"/>
  <c r="AY20" i="14"/>
  <c r="AZ20" i="14" s="1"/>
  <c r="BC20" i="14" s="1"/>
  <c r="AY11" i="13"/>
  <c r="AZ11" i="13" s="1"/>
  <c r="BC11" i="13" s="1"/>
  <c r="K19" i="11"/>
  <c r="L19" i="11" s="1"/>
  <c r="O19" i="11" s="1"/>
  <c r="AY11" i="14"/>
  <c r="AZ11" i="14" s="1"/>
  <c r="BC11" i="14" s="1"/>
  <c r="AY11" i="53"/>
  <c r="AZ11" i="53" s="1"/>
  <c r="BC11" i="53" s="1"/>
  <c r="AY14" i="16"/>
  <c r="AZ14" i="16" s="1"/>
  <c r="BC14" i="16" s="1"/>
  <c r="K15" i="14"/>
  <c r="L15" i="14" s="1"/>
  <c r="O15" i="14" s="1"/>
  <c r="AY17" i="17"/>
  <c r="AZ17" i="17" s="1"/>
  <c r="BC17" i="17" s="1"/>
  <c r="K15" i="8"/>
  <c r="L15" i="8" s="1"/>
  <c r="O15" i="8" s="1"/>
  <c r="K21" i="15"/>
  <c r="L21" i="15" s="1"/>
  <c r="O21" i="15" s="1"/>
  <c r="K24" i="9"/>
  <c r="L24" i="9" s="1"/>
  <c r="O24" i="9" s="1"/>
  <c r="K17" i="23"/>
  <c r="L17" i="23" s="1"/>
  <c r="O17" i="23" s="1"/>
  <c r="AY17" i="18"/>
  <c r="AZ17" i="18" s="1"/>
  <c r="BC17" i="18" s="1"/>
  <c r="AY22" i="16"/>
  <c r="AZ22" i="16" s="1"/>
  <c r="BC22" i="16" s="1"/>
  <c r="K12" i="24"/>
  <c r="L12" i="24" s="1"/>
  <c r="O12" i="24" s="1"/>
  <c r="K25" i="22"/>
  <c r="L25" i="22" s="1"/>
  <c r="O25" i="22" s="1"/>
  <c r="K26" i="17"/>
  <c r="L26" i="17" s="1"/>
  <c r="O26" i="17" s="1"/>
  <c r="K24" i="4"/>
  <c r="L24" i="4" s="1"/>
  <c r="O24" i="4" s="1"/>
  <c r="I56" i="20"/>
  <c r="K18" i="9"/>
  <c r="L18" i="9" s="1"/>
  <c r="O18" i="9" s="1"/>
  <c r="AY15" i="1"/>
  <c r="AZ15" i="1" s="1"/>
  <c r="BC15" i="1" s="1"/>
  <c r="AY15" i="22"/>
  <c r="AZ15" i="22" s="1"/>
  <c r="BC15" i="22" s="1"/>
  <c r="AY7" i="14"/>
  <c r="AZ7" i="14" s="1"/>
  <c r="BC7" i="14" s="1"/>
  <c r="AY18" i="14"/>
  <c r="AZ18" i="14" s="1"/>
  <c r="BC18" i="14" s="1"/>
  <c r="AY15" i="25"/>
  <c r="AZ15" i="25" s="1"/>
  <c r="BC15" i="25" s="1"/>
  <c r="AH31" i="17"/>
  <c r="AI31" i="17" s="1"/>
  <c r="AJ31" i="17" s="1"/>
  <c r="AY25" i="15"/>
  <c r="AZ25" i="15" s="1"/>
  <c r="BC25" i="15" s="1"/>
  <c r="AY15" i="20"/>
  <c r="AZ15" i="20" s="1"/>
  <c r="BC15" i="20" s="1"/>
  <c r="AY5" i="18"/>
  <c r="AZ5" i="18" s="1"/>
  <c r="BC5" i="18" s="1"/>
  <c r="K5" i="23"/>
  <c r="L5" i="23" s="1"/>
  <c r="O5" i="23" s="1"/>
  <c r="AY17" i="5"/>
  <c r="AZ17" i="5" s="1"/>
  <c r="BC17" i="5" s="1"/>
  <c r="K5" i="5"/>
  <c r="L5" i="5" s="1"/>
  <c r="O5" i="5" s="1"/>
  <c r="AY24" i="22"/>
  <c r="AZ24" i="22" s="1"/>
  <c r="BC24" i="22" s="1"/>
  <c r="AY21" i="25"/>
  <c r="AZ21" i="25" s="1"/>
  <c r="BC21" i="25" s="1"/>
  <c r="K21" i="9"/>
  <c r="L21" i="9" s="1"/>
  <c r="O21" i="9" s="1"/>
  <c r="K18" i="22"/>
  <c r="L18" i="22" s="1"/>
  <c r="O18" i="22" s="1"/>
  <c r="K24" i="1"/>
  <c r="L24" i="1" s="1"/>
  <c r="O24" i="1" s="1"/>
  <c r="K8" i="16"/>
  <c r="L8" i="16" s="1"/>
  <c r="O8" i="16" s="1"/>
  <c r="AY19" i="24"/>
  <c r="AZ19" i="24" s="1"/>
  <c r="BC19" i="24" s="1"/>
  <c r="AY13" i="15"/>
  <c r="AZ13" i="15" s="1"/>
  <c r="BC13" i="15" s="1"/>
  <c r="K6" i="15"/>
  <c r="L6" i="15" s="1"/>
  <c r="O6" i="15" s="1"/>
  <c r="K12" i="20"/>
  <c r="L12" i="20" s="1"/>
  <c r="O12" i="20" s="1"/>
  <c r="AY13" i="5"/>
  <c r="AZ13" i="5" s="1"/>
  <c r="BC13" i="5" s="1"/>
  <c r="AY18" i="6"/>
  <c r="AZ18" i="6" s="1"/>
  <c r="BC18" i="6" s="1"/>
  <c r="AY26" i="3"/>
  <c r="AZ26" i="3" s="1"/>
  <c r="BC26" i="3" s="1"/>
  <c r="AY12" i="6"/>
  <c r="AZ12" i="6" s="1"/>
  <c r="BC12" i="6" s="1"/>
  <c r="AY26" i="4"/>
  <c r="AZ26" i="4" s="1"/>
  <c r="BC26" i="4" s="1"/>
  <c r="K7" i="18"/>
  <c r="L7" i="18" s="1"/>
  <c r="O7" i="18" s="1"/>
  <c r="K24" i="17"/>
  <c r="L24" i="17" s="1"/>
  <c r="O24" i="17" s="1"/>
  <c r="AY15" i="9"/>
  <c r="AZ15" i="9" s="1"/>
  <c r="BC15" i="9" s="1"/>
  <c r="K18" i="19"/>
  <c r="L18" i="19" s="1"/>
  <c r="O18" i="19" s="1"/>
  <c r="AY17" i="6"/>
  <c r="AZ17" i="6" s="1"/>
  <c r="BC17" i="6" s="1"/>
  <c r="K24" i="18"/>
  <c r="L24" i="18" s="1"/>
  <c r="O24" i="18" s="1"/>
  <c r="I56" i="24"/>
  <c r="K12" i="16"/>
  <c r="L12" i="16" s="1"/>
  <c r="O12" i="16" s="1"/>
  <c r="AY24" i="15"/>
  <c r="AZ24" i="15" s="1"/>
  <c r="BC24" i="15" s="1"/>
  <c r="K13" i="53"/>
  <c r="L13" i="53" s="1"/>
  <c r="O13" i="53" s="1"/>
  <c r="K8" i="25"/>
  <c r="L8" i="25" s="1"/>
  <c r="O8" i="25" s="1"/>
  <c r="K13" i="1"/>
  <c r="L13" i="1" s="1"/>
  <c r="O13" i="1" s="1"/>
  <c r="K21" i="11"/>
  <c r="L21" i="11" s="1"/>
  <c r="O21" i="11" s="1"/>
  <c r="AY10" i="9"/>
  <c r="AZ10" i="9" s="1"/>
  <c r="BC10" i="9" s="1"/>
  <c r="K24" i="13"/>
  <c r="L24" i="13" s="1"/>
  <c r="O24" i="13" s="1"/>
  <c r="AY18" i="11"/>
  <c r="AZ18" i="11" s="1"/>
  <c r="BC18" i="11" s="1"/>
  <c r="K17" i="1"/>
  <c r="L17" i="1" s="1"/>
  <c r="O17" i="1" s="1"/>
  <c r="AY10" i="7"/>
  <c r="AZ10" i="7" s="1"/>
  <c r="BC10" i="7" s="1"/>
  <c r="AY10" i="18"/>
  <c r="AZ10" i="18" s="1"/>
  <c r="BC10" i="18" s="1"/>
  <c r="K13" i="19"/>
  <c r="L13" i="19" s="1"/>
  <c r="O13" i="19" s="1"/>
  <c r="K6" i="14"/>
  <c r="L6" i="14" s="1"/>
  <c r="O6" i="14" s="1"/>
  <c r="AY10" i="17"/>
  <c r="AZ10" i="17" s="1"/>
  <c r="BC10" i="17" s="1"/>
  <c r="K10" i="15"/>
  <c r="L10" i="15" s="1"/>
  <c r="O10" i="15" s="1"/>
  <c r="AY12" i="24"/>
  <c r="AZ12" i="24" s="1"/>
  <c r="BC12" i="24" s="1"/>
  <c r="AY19" i="3"/>
  <c r="AZ19" i="3" s="1"/>
  <c r="BC19" i="3" s="1"/>
  <c r="AY25" i="8"/>
  <c r="AZ25" i="8" s="1"/>
  <c r="BC25" i="8" s="1"/>
  <c r="AY21" i="5"/>
  <c r="AZ21" i="5" s="1"/>
  <c r="BC21" i="5" s="1"/>
  <c r="AY19" i="12"/>
  <c r="AZ19" i="12" s="1"/>
  <c r="BC19" i="12" s="1"/>
  <c r="I56" i="18"/>
  <c r="AH32" i="7"/>
  <c r="K6" i="2"/>
  <c r="L6" i="2" s="1"/>
  <c r="O6" i="2" s="1"/>
  <c r="K13" i="12"/>
  <c r="L13" i="12" s="1"/>
  <c r="O13" i="12" s="1"/>
  <c r="AY17" i="2"/>
  <c r="AZ17" i="2" s="1"/>
  <c r="BC17" i="2" s="1"/>
  <c r="AY25" i="22"/>
  <c r="AZ25" i="22" s="1"/>
  <c r="BC25" i="22" s="1"/>
  <c r="AY16" i="21"/>
  <c r="AZ16" i="21" s="1"/>
  <c r="BC16" i="21" s="1"/>
  <c r="K8" i="24"/>
  <c r="L8" i="24" s="1"/>
  <c r="O8" i="24" s="1"/>
  <c r="AY26" i="22"/>
  <c r="AZ26" i="22" s="1"/>
  <c r="BC26" i="22" s="1"/>
  <c r="AY13" i="23"/>
  <c r="AZ13" i="23" s="1"/>
  <c r="BC13" i="23" s="1"/>
  <c r="K8" i="21"/>
  <c r="L8" i="21" s="1"/>
  <c r="O8" i="21" s="1"/>
  <c r="AY18" i="25"/>
  <c r="AZ18" i="25" s="1"/>
  <c r="BC18" i="25" s="1"/>
  <c r="K15" i="12"/>
  <c r="L15" i="12" s="1"/>
  <c r="O15" i="12" s="1"/>
  <c r="AY19" i="5"/>
  <c r="AZ19" i="5" s="1"/>
  <c r="BC19" i="5" s="1"/>
  <c r="AY16" i="8"/>
  <c r="AZ16" i="8" s="1"/>
  <c r="BC16" i="8" s="1"/>
  <c r="AY25" i="5"/>
  <c r="AZ25" i="5" s="1"/>
  <c r="BC25" i="5" s="1"/>
  <c r="AY18" i="10"/>
  <c r="AZ18" i="10" s="1"/>
  <c r="BC18" i="10" s="1"/>
  <c r="AY22" i="9"/>
  <c r="AZ22" i="9" s="1"/>
  <c r="BC22" i="9" s="1"/>
  <c r="K25" i="7"/>
  <c r="L25" i="7" s="1"/>
  <c r="O25" i="7" s="1"/>
  <c r="AY15" i="15"/>
  <c r="AZ15" i="15" s="1"/>
  <c r="BC15" i="15" s="1"/>
  <c r="AY26" i="53"/>
  <c r="AZ26" i="53" s="1"/>
  <c r="BC26" i="53" s="1"/>
  <c r="AH32" i="53"/>
  <c r="K28" i="18"/>
  <c r="L28" i="18" s="1"/>
  <c r="O28" i="18" s="1"/>
  <c r="AY10" i="15"/>
  <c r="AZ10" i="15" s="1"/>
  <c r="BC10" i="15" s="1"/>
  <c r="K10" i="22"/>
  <c r="L10" i="22" s="1"/>
  <c r="O10" i="22" s="1"/>
  <c r="AY17" i="19"/>
  <c r="AZ17" i="19" s="1"/>
  <c r="BC17" i="19" s="1"/>
  <c r="K13" i="5"/>
  <c r="L13" i="5" s="1"/>
  <c r="O13" i="5" s="1"/>
  <c r="AY7" i="12"/>
  <c r="AZ7" i="12" s="1"/>
  <c r="BC7" i="12" s="1"/>
  <c r="AY26" i="2"/>
  <c r="AZ26" i="2" s="1"/>
  <c r="BC26" i="2" s="1"/>
  <c r="K5" i="12"/>
  <c r="L5" i="12" s="1"/>
  <c r="O5" i="12" s="1"/>
  <c r="K18" i="8"/>
  <c r="L18" i="8" s="1"/>
  <c r="O18" i="8" s="1"/>
  <c r="K24" i="6"/>
  <c r="L24" i="6" s="1"/>
  <c r="O24" i="6" s="1"/>
  <c r="K18" i="11"/>
  <c r="L18" i="11" s="1"/>
  <c r="O18" i="11" s="1"/>
  <c r="AY17" i="22"/>
  <c r="AZ17" i="22" s="1"/>
  <c r="BC17" i="22" s="1"/>
  <c r="K20" i="21"/>
  <c r="L20" i="21" s="1"/>
  <c r="O20" i="21" s="1"/>
  <c r="K23" i="19"/>
  <c r="L23" i="19" s="1"/>
  <c r="O23" i="19" s="1"/>
  <c r="AY14" i="1"/>
  <c r="AZ14" i="1" s="1"/>
  <c r="BC14" i="1" s="1"/>
  <c r="AY11" i="16"/>
  <c r="AZ11" i="16" s="1"/>
  <c r="BC11" i="16" s="1"/>
  <c r="AY10" i="4"/>
  <c r="AZ10" i="4" s="1"/>
  <c r="BC10" i="4" s="1"/>
  <c r="K23" i="25"/>
  <c r="L23" i="25" s="1"/>
  <c r="O23" i="25" s="1"/>
  <c r="K11" i="6"/>
  <c r="L11" i="6" s="1"/>
  <c r="O11" i="6" s="1"/>
  <c r="AY23" i="8"/>
  <c r="AZ23" i="8" s="1"/>
  <c r="BC23" i="8" s="1"/>
  <c r="K18" i="24"/>
  <c r="L18" i="24" s="1"/>
  <c r="O18" i="24" s="1"/>
  <c r="K20" i="2"/>
  <c r="L20" i="2" s="1"/>
  <c r="O20" i="2" s="1"/>
  <c r="K17" i="3"/>
  <c r="L17" i="3" s="1"/>
  <c r="O17" i="3" s="1"/>
  <c r="AY11" i="25"/>
  <c r="AZ11" i="25" s="1"/>
  <c r="BC11" i="25" s="1"/>
  <c r="K12" i="12"/>
  <c r="L12" i="12" s="1"/>
  <c r="O12" i="12" s="1"/>
  <c r="AY8" i="13"/>
  <c r="AZ8" i="13" s="1"/>
  <c r="BC8" i="13" s="1"/>
  <c r="AH32" i="3"/>
  <c r="AY6" i="14"/>
  <c r="AZ6" i="14" s="1"/>
  <c r="BC6" i="14" s="1"/>
  <c r="AH32" i="15"/>
  <c r="K17" i="19"/>
  <c r="L17" i="19" s="1"/>
  <c r="O17" i="19" s="1"/>
  <c r="K8" i="20"/>
  <c r="L8" i="20" s="1"/>
  <c r="O8" i="20" s="1"/>
  <c r="K13" i="14"/>
  <c r="L13" i="14" s="1"/>
  <c r="O13" i="14" s="1"/>
  <c r="AY26" i="16"/>
  <c r="AZ26" i="16" s="1"/>
  <c r="BC26" i="16" s="1"/>
  <c r="K10" i="4"/>
  <c r="L10" i="4" s="1"/>
  <c r="O10" i="4" s="1"/>
  <c r="AY12" i="9"/>
  <c r="AZ12" i="9" s="1"/>
  <c r="BC12" i="9" s="1"/>
  <c r="AH31" i="9"/>
  <c r="AI31" i="9" s="1"/>
  <c r="AJ31" i="9" s="1"/>
  <c r="K6" i="11"/>
  <c r="L6" i="11" s="1"/>
  <c r="O6" i="11" s="1"/>
  <c r="K19" i="10"/>
  <c r="L19" i="10" s="1"/>
  <c r="O19" i="10" s="1"/>
  <c r="AY19" i="4"/>
  <c r="AZ19" i="4" s="1"/>
  <c r="BC19" i="4" s="1"/>
  <c r="K16" i="9"/>
  <c r="L16" i="9" s="1"/>
  <c r="O16" i="9" s="1"/>
  <c r="K7" i="24"/>
  <c r="L7" i="24" s="1"/>
  <c r="O7" i="24" s="1"/>
  <c r="K20" i="22"/>
  <c r="L20" i="22" s="1"/>
  <c r="O20" i="22" s="1"/>
  <c r="K22" i="19"/>
  <c r="L22" i="19" s="1"/>
  <c r="O22" i="19" s="1"/>
  <c r="AY16" i="53"/>
  <c r="AZ16" i="53" s="1"/>
  <c r="BC16" i="53" s="1"/>
  <c r="K12" i="19"/>
  <c r="L12" i="19" s="1"/>
  <c r="O12" i="19" s="1"/>
  <c r="K22" i="23"/>
  <c r="L22" i="23" s="1"/>
  <c r="O22" i="23" s="1"/>
  <c r="AY12" i="15"/>
  <c r="AZ12" i="15" s="1"/>
  <c r="BC12" i="15" s="1"/>
  <c r="AY13" i="21"/>
  <c r="AZ13" i="21" s="1"/>
  <c r="BC13" i="21" s="1"/>
  <c r="AY10" i="2"/>
  <c r="AZ10" i="2" s="1"/>
  <c r="BC10" i="2" s="1"/>
  <c r="K17" i="12"/>
  <c r="L17" i="12" s="1"/>
  <c r="O17" i="12" s="1"/>
  <c r="K26" i="9"/>
  <c r="L26" i="9" s="1"/>
  <c r="O26" i="9" s="1"/>
  <c r="AH32" i="13"/>
  <c r="AY25" i="7"/>
  <c r="AZ25" i="7" s="1"/>
  <c r="BC25" i="7" s="1"/>
  <c r="AY6" i="2"/>
  <c r="AZ6" i="2" s="1"/>
  <c r="BC6" i="2" s="1"/>
  <c r="AY6" i="11"/>
  <c r="AZ6" i="11" s="1"/>
  <c r="BC6" i="11" s="1"/>
  <c r="AY15" i="21"/>
  <c r="AZ15" i="21" s="1"/>
  <c r="BC15" i="21" s="1"/>
  <c r="AH32" i="17"/>
  <c r="S34" i="53"/>
  <c r="K26" i="18"/>
  <c r="L26" i="18" s="1"/>
  <c r="O26" i="18" s="1"/>
  <c r="AY8" i="16"/>
  <c r="AZ8" i="16" s="1"/>
  <c r="BC8" i="16" s="1"/>
  <c r="AY24" i="24"/>
  <c r="AZ24" i="24" s="1"/>
  <c r="BC24" i="24" s="1"/>
  <c r="K25" i="20"/>
  <c r="L25" i="20" s="1"/>
  <c r="O25" i="20" s="1"/>
  <c r="K6" i="21"/>
  <c r="L6" i="21" s="1"/>
  <c r="O6" i="21" s="1"/>
  <c r="K24" i="2"/>
  <c r="L24" i="2" s="1"/>
  <c r="O24" i="2" s="1"/>
  <c r="AY12" i="11"/>
  <c r="AZ12" i="11" s="1"/>
  <c r="BC12" i="11" s="1"/>
  <c r="AY12" i="10"/>
  <c r="AZ12" i="10" s="1"/>
  <c r="BC12" i="10" s="1"/>
  <c r="AY15" i="4"/>
  <c r="AZ15" i="4" s="1"/>
  <c r="BC15" i="4" s="1"/>
  <c r="AY18" i="12"/>
  <c r="AZ18" i="12" s="1"/>
  <c r="BC18" i="12" s="1"/>
  <c r="AH31" i="4"/>
  <c r="AI31" i="4" s="1"/>
  <c r="AJ31" i="4" s="1"/>
  <c r="K17" i="11"/>
  <c r="L17" i="11" s="1"/>
  <c r="O17" i="11" s="1"/>
  <c r="AY18" i="53"/>
  <c r="AZ18" i="53" s="1"/>
  <c r="BC18" i="53" s="1"/>
  <c r="AH31" i="7"/>
  <c r="AI31" i="7" s="1"/>
  <c r="AJ31" i="7" s="1"/>
  <c r="AY11" i="18"/>
  <c r="AZ11" i="18" s="1"/>
  <c r="BC11" i="18" s="1"/>
  <c r="AY11" i="8"/>
  <c r="AZ11" i="8" s="1"/>
  <c r="BC11" i="8" s="1"/>
  <c r="K14" i="12"/>
  <c r="L14" i="12" s="1"/>
  <c r="O14" i="12" s="1"/>
  <c r="AY19" i="10"/>
  <c r="AZ19" i="10" s="1"/>
  <c r="BC19" i="10" s="1"/>
  <c r="K20" i="7"/>
  <c r="L20" i="7" s="1"/>
  <c r="O20" i="7" s="1"/>
  <c r="K20" i="13"/>
  <c r="L20" i="13" s="1"/>
  <c r="O20" i="13" s="1"/>
  <c r="AY23" i="23"/>
  <c r="AZ23" i="23" s="1"/>
  <c r="BC23" i="23" s="1"/>
  <c r="K20" i="11"/>
  <c r="L20" i="11" s="1"/>
  <c r="O20" i="11" s="1"/>
  <c r="AY20" i="18"/>
  <c r="AZ20" i="18" s="1"/>
  <c r="BC20" i="18" s="1"/>
  <c r="K23" i="11"/>
  <c r="L23" i="11" s="1"/>
  <c r="O23" i="11" s="1"/>
  <c r="K11" i="15"/>
  <c r="L11" i="15" s="1"/>
  <c r="O11" i="15" s="1"/>
  <c r="K23" i="1"/>
  <c r="L23" i="1" s="1"/>
  <c r="O23" i="1" s="1"/>
  <c r="AY25" i="13"/>
  <c r="AZ25" i="13" s="1"/>
  <c r="BC25" i="13" s="1"/>
  <c r="AY18" i="13"/>
  <c r="AZ18" i="13" s="1"/>
  <c r="BC18" i="13" s="1"/>
  <c r="AH32" i="14"/>
  <c r="K28" i="16"/>
  <c r="L28" i="16" s="1"/>
  <c r="O28" i="16" s="1"/>
  <c r="K22" i="24"/>
  <c r="L22" i="24" s="1"/>
  <c r="O22" i="24" s="1"/>
  <c r="AY5" i="21"/>
  <c r="AZ5" i="21" s="1"/>
  <c r="BC5" i="21" s="1"/>
  <c r="AY21" i="16"/>
  <c r="AZ21" i="16" s="1"/>
  <c r="BC21" i="16" s="1"/>
  <c r="K19" i="23"/>
  <c r="L19" i="23" s="1"/>
  <c r="O19" i="23" s="1"/>
  <c r="AY28" i="3"/>
  <c r="AZ28" i="3" s="1"/>
  <c r="BC28" i="3" s="1"/>
  <c r="K6" i="3"/>
  <c r="L6" i="3" s="1"/>
  <c r="O6" i="3" s="1"/>
  <c r="AY8" i="21"/>
  <c r="AZ8" i="21" s="1"/>
  <c r="BC8" i="21" s="1"/>
  <c r="AY5" i="10"/>
  <c r="AZ5" i="10" s="1"/>
  <c r="BC5" i="10" s="1"/>
  <c r="K22" i="2"/>
  <c r="L22" i="2" s="1"/>
  <c r="O22" i="2" s="1"/>
  <c r="AY15" i="13"/>
  <c r="AZ15" i="13" s="1"/>
  <c r="BC15" i="13" s="1"/>
  <c r="AY18" i="4"/>
  <c r="AZ18" i="4" s="1"/>
  <c r="BC18" i="4" s="1"/>
  <c r="K11" i="22"/>
  <c r="L11" i="22" s="1"/>
  <c r="O11" i="22" s="1"/>
  <c r="K11" i="21"/>
  <c r="L11" i="21" s="1"/>
  <c r="O11" i="21" s="1"/>
  <c r="AY22" i="10"/>
  <c r="AZ22" i="10" s="1"/>
  <c r="BC22" i="10" s="1"/>
  <c r="K6" i="9"/>
  <c r="L6" i="9" s="1"/>
  <c r="O6" i="9" s="1"/>
  <c r="AY5" i="22"/>
  <c r="AZ5" i="22" s="1"/>
  <c r="BC5" i="22" s="1"/>
  <c r="AY8" i="23"/>
  <c r="AZ8" i="23" s="1"/>
  <c r="BC8" i="23" s="1"/>
  <c r="AY28" i="20"/>
  <c r="AZ28" i="20" s="1"/>
  <c r="BC28" i="20" s="1"/>
  <c r="AY22" i="25"/>
  <c r="AZ22" i="25" s="1"/>
  <c r="BC22" i="25" s="1"/>
  <c r="AY28" i="10"/>
  <c r="AZ28" i="10" s="1"/>
  <c r="BC28" i="10" s="1"/>
  <c r="AH31" i="6"/>
  <c r="AI31" i="6" s="1"/>
  <c r="AJ31" i="6" s="1"/>
  <c r="AH31" i="13"/>
  <c r="AI31" i="13" s="1"/>
  <c r="AJ31" i="13" s="1"/>
  <c r="K13" i="11"/>
  <c r="L13" i="11" s="1"/>
  <c r="O13" i="11" s="1"/>
  <c r="AY28" i="12"/>
  <c r="AZ28" i="12" s="1"/>
  <c r="BC28" i="12" s="1"/>
  <c r="AY21" i="11"/>
  <c r="AZ21" i="11" s="1"/>
  <c r="BC21" i="11" s="1"/>
  <c r="AY24" i="9"/>
  <c r="AZ24" i="9" s="1"/>
  <c r="BC24" i="9" s="1"/>
  <c r="AY28" i="24"/>
  <c r="AZ28" i="24" s="1"/>
  <c r="BC28" i="24" s="1"/>
  <c r="AY24" i="18"/>
  <c r="AZ24" i="18" s="1"/>
  <c r="BC24" i="18" s="1"/>
  <c r="AY13" i="19"/>
  <c r="AZ13" i="19" s="1"/>
  <c r="BC13" i="19" s="1"/>
  <c r="K7" i="23"/>
  <c r="L7" i="23" s="1"/>
  <c r="O7" i="23" s="1"/>
  <c r="AY19" i="22"/>
  <c r="AZ19" i="22" s="1"/>
  <c r="BC19" i="22" s="1"/>
  <c r="AY26" i="21"/>
  <c r="AZ26" i="21" s="1"/>
  <c r="BC26" i="21" s="1"/>
  <c r="K22" i="1"/>
  <c r="L22" i="1" s="1"/>
  <c r="O22" i="1" s="1"/>
  <c r="AY16" i="7"/>
  <c r="AZ16" i="7" s="1"/>
  <c r="BC16" i="7" s="1"/>
  <c r="AH32" i="6"/>
  <c r="K22" i="13"/>
  <c r="L22" i="13" s="1"/>
  <c r="O22" i="13" s="1"/>
  <c r="K15" i="11"/>
  <c r="L15" i="11" s="1"/>
  <c r="O15" i="11" s="1"/>
  <c r="K8" i="6"/>
  <c r="L8" i="6" s="1"/>
  <c r="O8" i="6" s="1"/>
  <c r="AY25" i="12"/>
  <c r="AZ25" i="12" s="1"/>
  <c r="BC25" i="12" s="1"/>
  <c r="AY7" i="11"/>
  <c r="AZ7" i="11" s="1"/>
  <c r="BC7" i="11" s="1"/>
  <c r="K7" i="1"/>
  <c r="L7" i="1" s="1"/>
  <c r="O7" i="1" s="1"/>
  <c r="AY8" i="20"/>
  <c r="AZ8" i="20" s="1"/>
  <c r="BC8" i="20" s="1"/>
  <c r="AY8" i="22"/>
  <c r="AZ8" i="22" s="1"/>
  <c r="BC8" i="22" s="1"/>
  <c r="AY25" i="19"/>
  <c r="AZ25" i="19" s="1"/>
  <c r="BC25" i="19" s="1"/>
  <c r="AY5" i="20"/>
  <c r="AZ5" i="20" s="1"/>
  <c r="BC5" i="20" s="1"/>
  <c r="K16" i="22"/>
  <c r="L16" i="22" s="1"/>
  <c r="O16" i="22" s="1"/>
  <c r="K5" i="15"/>
  <c r="L5" i="15" s="1"/>
  <c r="O5" i="15" s="1"/>
  <c r="K8" i="2"/>
  <c r="L8" i="2" s="1"/>
  <c r="O8" i="2" s="1"/>
  <c r="AY12" i="8"/>
  <c r="AZ12" i="8" s="1"/>
  <c r="BC12" i="8" s="1"/>
  <c r="AY5" i="9"/>
  <c r="AZ5" i="9" s="1"/>
  <c r="BC5" i="9" s="1"/>
  <c r="K12" i="13"/>
  <c r="L12" i="13" s="1"/>
  <c r="O12" i="13" s="1"/>
  <c r="K22" i="12"/>
  <c r="L22" i="12" s="1"/>
  <c r="O22" i="12" s="1"/>
  <c r="K6" i="6"/>
  <c r="L6" i="6" s="1"/>
  <c r="O6" i="6" s="1"/>
  <c r="BG33" i="20"/>
  <c r="S32" i="20" s="1"/>
  <c r="BI91" i="61" s="1"/>
  <c r="K18" i="53"/>
  <c r="L18" i="53" s="1"/>
  <c r="O18" i="53" s="1"/>
  <c r="K14" i="16"/>
  <c r="L14" i="16" s="1"/>
  <c r="O14" i="16" s="1"/>
  <c r="AY23" i="6"/>
  <c r="AZ23" i="6" s="1"/>
  <c r="BC23" i="6" s="1"/>
  <c r="AY23" i="22"/>
  <c r="AZ23" i="22" s="1"/>
  <c r="BC23" i="22" s="1"/>
  <c r="K11" i="20"/>
  <c r="L11" i="20" s="1"/>
  <c r="O11" i="20" s="1"/>
  <c r="K7" i="12"/>
  <c r="L7" i="12" s="1"/>
  <c r="O7" i="12" s="1"/>
  <c r="K11" i="12"/>
  <c r="L11" i="12" s="1"/>
  <c r="O11" i="12" s="1"/>
  <c r="AY20" i="7"/>
  <c r="AZ20" i="7" s="1"/>
  <c r="BC20" i="7" s="1"/>
  <c r="K20" i="17"/>
  <c r="L20" i="17" s="1"/>
  <c r="O20" i="17" s="1"/>
  <c r="AY21" i="19"/>
  <c r="AZ21" i="19" s="1"/>
  <c r="BC21" i="19" s="1"/>
  <c r="AY14" i="5"/>
  <c r="AZ14" i="5" s="1"/>
  <c r="BC14" i="5" s="1"/>
  <c r="K20" i="18"/>
  <c r="L20" i="18" s="1"/>
  <c r="O20" i="18" s="1"/>
  <c r="AY23" i="13"/>
  <c r="AZ23" i="13" s="1"/>
  <c r="BC23" i="13" s="1"/>
  <c r="AY23" i="1"/>
  <c r="AZ23" i="1" s="1"/>
  <c r="BC23" i="1" s="1"/>
  <c r="AY14" i="4"/>
  <c r="AZ14" i="4" s="1"/>
  <c r="BC14" i="4" s="1"/>
  <c r="K11" i="10"/>
  <c r="L11" i="10" s="1"/>
  <c r="O11" i="10" s="1"/>
  <c r="AY20" i="4"/>
  <c r="AZ20" i="4" s="1"/>
  <c r="BC20" i="4" s="1"/>
  <c r="K14" i="24"/>
  <c r="L14" i="24" s="1"/>
  <c r="O14" i="24" s="1"/>
  <c r="AY18" i="22"/>
  <c r="AZ18" i="22" s="1"/>
  <c r="BC18" i="22" s="1"/>
  <c r="AY12" i="12"/>
  <c r="AZ12" i="12" s="1"/>
  <c r="BC12" i="12" s="1"/>
  <c r="K8" i="9"/>
  <c r="L8" i="9" s="1"/>
  <c r="O8" i="9" s="1"/>
  <c r="K16" i="6"/>
  <c r="L16" i="6" s="1"/>
  <c r="O16" i="6" s="1"/>
  <c r="K17" i="24"/>
  <c r="L17" i="24" s="1"/>
  <c r="O17" i="24" s="1"/>
  <c r="AY8" i="17"/>
  <c r="AZ8" i="17" s="1"/>
  <c r="BC8" i="17" s="1"/>
  <c r="K25" i="25"/>
  <c r="L25" i="25" s="1"/>
  <c r="O25" i="25" s="1"/>
  <c r="K16" i="23"/>
  <c r="L16" i="23" s="1"/>
  <c r="O16" i="23" s="1"/>
  <c r="AY28" i="22"/>
  <c r="AZ28" i="22" s="1"/>
  <c r="BC28" i="22" s="1"/>
  <c r="AY8" i="25"/>
  <c r="AZ8" i="25" s="1"/>
  <c r="BC8" i="25" s="1"/>
  <c r="AY24" i="6"/>
  <c r="AZ24" i="6" s="1"/>
  <c r="BC24" i="6" s="1"/>
  <c r="AY5" i="3"/>
  <c r="AZ5" i="3" s="1"/>
  <c r="BC5" i="3" s="1"/>
  <c r="K12" i="2"/>
  <c r="L12" i="2" s="1"/>
  <c r="O12" i="2" s="1"/>
  <c r="AY13" i="11"/>
  <c r="AZ13" i="11" s="1"/>
  <c r="BC13" i="11" s="1"/>
  <c r="K26" i="5"/>
  <c r="L26" i="5" s="1"/>
  <c r="O26" i="5" s="1"/>
  <c r="K26" i="20"/>
  <c r="L26" i="20" s="1"/>
  <c r="O26" i="20" s="1"/>
  <c r="AH31" i="12"/>
  <c r="AI31" i="12" s="1"/>
  <c r="AJ31" i="12" s="1"/>
  <c r="K15" i="22"/>
  <c r="L15" i="22" s="1"/>
  <c r="O15" i="22" s="1"/>
  <c r="AY15" i="18"/>
  <c r="AZ15" i="18" s="1"/>
  <c r="BC15" i="18" s="1"/>
  <c r="AY28" i="21"/>
  <c r="AZ28" i="21" s="1"/>
  <c r="BC28" i="21" s="1"/>
  <c r="AY22" i="15"/>
  <c r="AZ22" i="15" s="1"/>
  <c r="BC22" i="15" s="1"/>
  <c r="AY21" i="21"/>
  <c r="AZ21" i="21" s="1"/>
  <c r="BC21" i="21" s="1"/>
  <c r="K17" i="25"/>
  <c r="L17" i="25" s="1"/>
  <c r="O17" i="25" s="1"/>
  <c r="AY7" i="20"/>
  <c r="AZ7" i="20" s="1"/>
  <c r="BC7" i="20" s="1"/>
  <c r="AY16" i="17"/>
  <c r="AZ16" i="17" s="1"/>
  <c r="BC16" i="17" s="1"/>
  <c r="K25" i="5"/>
  <c r="L25" i="5" s="1"/>
  <c r="O25" i="5" s="1"/>
  <c r="AY21" i="13"/>
  <c r="AZ21" i="13" s="1"/>
  <c r="BC21" i="13" s="1"/>
  <c r="K21" i="3"/>
  <c r="L21" i="3" s="1"/>
  <c r="O21" i="3" s="1"/>
  <c r="AY16" i="4"/>
  <c r="AZ16" i="4" s="1"/>
  <c r="BC16" i="4" s="1"/>
  <c r="K28" i="10"/>
  <c r="L28" i="10" s="1"/>
  <c r="O28" i="10" s="1"/>
  <c r="K13" i="7"/>
  <c r="L13" i="7" s="1"/>
  <c r="O13" i="7" s="1"/>
  <c r="AH32" i="10"/>
  <c r="K7" i="17"/>
  <c r="L7" i="17" s="1"/>
  <c r="O7" i="17" s="1"/>
  <c r="AY6" i="22"/>
  <c r="AZ6" i="22" s="1"/>
  <c r="BC6" i="22" s="1"/>
  <c r="AY19" i="19"/>
  <c r="AZ19" i="19" s="1"/>
  <c r="BC19" i="19" s="1"/>
  <c r="AH31" i="25"/>
  <c r="AI31" i="25" s="1"/>
  <c r="AJ31" i="25" s="1"/>
  <c r="K22" i="21"/>
  <c r="L22" i="21" s="1"/>
  <c r="O22" i="21" s="1"/>
  <c r="AY22" i="21"/>
  <c r="AZ22" i="21" s="1"/>
  <c r="BC22" i="21" s="1"/>
  <c r="AY17" i="53"/>
  <c r="AZ17" i="53" s="1"/>
  <c r="BC17" i="53" s="1"/>
  <c r="AY28" i="17"/>
  <c r="AZ28" i="17" s="1"/>
  <c r="BC28" i="17" s="1"/>
  <c r="K25" i="6"/>
  <c r="L25" i="6" s="1"/>
  <c r="O25" i="6" s="1"/>
  <c r="BG33" i="21"/>
  <c r="AY13" i="7"/>
  <c r="AZ13" i="7" s="1"/>
  <c r="BC13" i="7" s="1"/>
  <c r="K5" i="4"/>
  <c r="L5" i="4" s="1"/>
  <c r="O5" i="4" s="1"/>
  <c r="K7" i="5"/>
  <c r="L7" i="5" s="1"/>
  <c r="O7" i="5" s="1"/>
  <c r="AY18" i="2"/>
  <c r="AZ18" i="2" s="1"/>
  <c r="BC18" i="2" s="1"/>
  <c r="K13" i="3"/>
  <c r="L13" i="3" s="1"/>
  <c r="O13" i="3" s="1"/>
  <c r="AY21" i="20"/>
  <c r="AZ21" i="20" s="1"/>
  <c r="BC21" i="20" s="1"/>
  <c r="K28" i="5"/>
  <c r="L28" i="5" s="1"/>
  <c r="O28" i="5" s="1"/>
  <c r="AY11" i="6"/>
  <c r="AZ11" i="6" s="1"/>
  <c r="BC11" i="6" s="1"/>
  <c r="AY23" i="21"/>
  <c r="AZ23" i="21" s="1"/>
  <c r="BC23" i="21" s="1"/>
  <c r="AY23" i="19"/>
  <c r="AZ23" i="19" s="1"/>
  <c r="BC23" i="19" s="1"/>
  <c r="K24" i="22"/>
  <c r="L24" i="22" s="1"/>
  <c r="O24" i="22" s="1"/>
  <c r="AY14" i="25"/>
  <c r="AZ14" i="25" s="1"/>
  <c r="BC14" i="25" s="1"/>
  <c r="K20" i="6"/>
  <c r="L20" i="6" s="1"/>
  <c r="O20" i="6" s="1"/>
  <c r="AY23" i="25"/>
  <c r="AZ23" i="25" s="1"/>
  <c r="BC23" i="25" s="1"/>
  <c r="K14" i="15"/>
  <c r="L14" i="15" s="1"/>
  <c r="O14" i="15" s="1"/>
  <c r="K20" i="4"/>
  <c r="L20" i="4" s="1"/>
  <c r="O20" i="4" s="1"/>
  <c r="AY11" i="22"/>
  <c r="AZ11" i="22" s="1"/>
  <c r="BC11" i="22" s="1"/>
  <c r="AY6" i="5"/>
  <c r="AZ6" i="5" s="1"/>
  <c r="BC6" i="5" s="1"/>
  <c r="AY23" i="7"/>
  <c r="AZ23" i="7" s="1"/>
  <c r="BC23" i="7" s="1"/>
  <c r="K11" i="3"/>
  <c r="L11" i="3" s="1"/>
  <c r="O11" i="3" s="1"/>
  <c r="K14" i="2"/>
  <c r="L14" i="2" s="1"/>
  <c r="O14" i="2" s="1"/>
  <c r="K14" i="11"/>
  <c r="L14" i="11" s="1"/>
  <c r="O14" i="11" s="1"/>
  <c r="AY20" i="1"/>
  <c r="AZ20" i="1" s="1"/>
  <c r="BC20" i="1" s="1"/>
  <c r="K20" i="25"/>
  <c r="L20" i="25" s="1"/>
  <c r="O20" i="25" s="1"/>
  <c r="K11" i="53"/>
  <c r="L11" i="53" s="1"/>
  <c r="O11" i="53" s="1"/>
  <c r="AY27" i="16"/>
  <c r="AZ27" i="16" s="1"/>
  <c r="BC27" i="16" s="1"/>
  <c r="K27" i="3"/>
  <c r="L27" i="3" s="1"/>
  <c r="O27" i="3" s="1"/>
  <c r="K27" i="16"/>
  <c r="L27" i="16" s="1"/>
  <c r="O27" i="16" s="1"/>
  <c r="AY27" i="3"/>
  <c r="AZ27" i="3" s="1"/>
  <c r="BC27" i="3" s="1"/>
  <c r="K27" i="21"/>
  <c r="L27" i="21" s="1"/>
  <c r="O27" i="21" s="1"/>
  <c r="K27" i="4"/>
  <c r="L27" i="4" s="1"/>
  <c r="O27" i="4" s="1"/>
  <c r="AY27" i="17"/>
  <c r="AZ27" i="17" s="1"/>
  <c r="BC27" i="17" s="1"/>
  <c r="K27" i="19"/>
  <c r="L27" i="19" s="1"/>
  <c r="O27" i="19" s="1"/>
  <c r="AY9" i="7"/>
  <c r="AZ9" i="7" s="1"/>
  <c r="BC9" i="7" s="1"/>
  <c r="K9" i="3"/>
  <c r="L9" i="3" s="1"/>
  <c r="O9" i="3" s="1"/>
  <c r="K9" i="5"/>
  <c r="L9" i="5" s="1"/>
  <c r="O9" i="5" s="1"/>
  <c r="K9" i="18"/>
  <c r="L9" i="18" s="1"/>
  <c r="O9" i="18" s="1"/>
  <c r="K9" i="10"/>
  <c r="L9" i="10" s="1"/>
  <c r="O9" i="10" s="1"/>
  <c r="AY9" i="53"/>
  <c r="AZ9" i="53" s="1"/>
  <c r="BC9" i="53" s="1"/>
  <c r="K9" i="16"/>
  <c r="L9" i="16" s="1"/>
  <c r="O9" i="16" s="1"/>
  <c r="AY24" i="53"/>
  <c r="AZ24" i="53" s="1"/>
  <c r="BC24" i="53" s="1"/>
  <c r="K14" i="9"/>
  <c r="L14" i="9" s="1"/>
  <c r="O14" i="9" s="1"/>
  <c r="AY11" i="10"/>
  <c r="AZ11" i="10" s="1"/>
  <c r="BC11" i="10" s="1"/>
  <c r="AY21" i="12"/>
  <c r="AZ21" i="12" s="1"/>
  <c r="BC21" i="12" s="1"/>
  <c r="AY16" i="24"/>
  <c r="AZ16" i="24" s="1"/>
  <c r="BC16" i="24" s="1"/>
  <c r="AY25" i="17"/>
  <c r="AZ25" i="17" s="1"/>
  <c r="BC25" i="17" s="1"/>
  <c r="K6" i="24"/>
  <c r="L6" i="24" s="1"/>
  <c r="O6" i="24" s="1"/>
  <c r="AY24" i="16"/>
  <c r="AZ24" i="16" s="1"/>
  <c r="BC24" i="16" s="1"/>
  <c r="K8" i="12"/>
  <c r="L8" i="12" s="1"/>
  <c r="O8" i="12" s="1"/>
  <c r="K7" i="9"/>
  <c r="L7" i="9" s="1"/>
  <c r="O7" i="9" s="1"/>
  <c r="AY25" i="4"/>
  <c r="AZ25" i="4" s="1"/>
  <c r="BC25" i="4" s="1"/>
  <c r="AY22" i="12"/>
  <c r="AZ22" i="12" s="1"/>
  <c r="BC22" i="12" s="1"/>
  <c r="AY26" i="12"/>
  <c r="AZ26" i="12" s="1"/>
  <c r="BC26" i="12" s="1"/>
  <c r="K7" i="7"/>
  <c r="L7" i="7" s="1"/>
  <c r="O7" i="7" s="1"/>
  <c r="AY17" i="23"/>
  <c r="AZ17" i="23" s="1"/>
  <c r="BC17" i="23" s="1"/>
  <c r="K21" i="17"/>
  <c r="L21" i="17" s="1"/>
  <c r="O21" i="17" s="1"/>
  <c r="K13" i="20"/>
  <c r="L13" i="20" s="1"/>
  <c r="O13" i="20" s="1"/>
  <c r="K19" i="17"/>
  <c r="L19" i="17" s="1"/>
  <c r="O19" i="17" s="1"/>
  <c r="AY25" i="23"/>
  <c r="AZ25" i="23" s="1"/>
  <c r="BC25" i="23" s="1"/>
  <c r="K22" i="14"/>
  <c r="L22" i="14" s="1"/>
  <c r="O22" i="14" s="1"/>
  <c r="AY10" i="19"/>
  <c r="AZ10" i="19" s="1"/>
  <c r="BC10" i="19" s="1"/>
  <c r="AY22" i="3"/>
  <c r="AZ22" i="3" s="1"/>
  <c r="BC22" i="3" s="1"/>
  <c r="AY19" i="7"/>
  <c r="AZ19" i="7" s="1"/>
  <c r="BC19" i="7" s="1"/>
  <c r="K19" i="13"/>
  <c r="L19" i="13" s="1"/>
  <c r="O19" i="13" s="1"/>
  <c r="AY26" i="17"/>
  <c r="AZ26" i="17" s="1"/>
  <c r="BC26" i="17" s="1"/>
  <c r="K26" i="11"/>
  <c r="L26" i="11" s="1"/>
  <c r="O26" i="11" s="1"/>
  <c r="AY6" i="4"/>
  <c r="AZ6" i="4" s="1"/>
  <c r="BC6" i="4" s="1"/>
  <c r="K21" i="13"/>
  <c r="L21" i="13" s="1"/>
  <c r="O21" i="13" s="1"/>
  <c r="K7" i="22"/>
  <c r="L7" i="22" s="1"/>
  <c r="O7" i="22" s="1"/>
  <c r="K22" i="22"/>
  <c r="L22" i="22" s="1"/>
  <c r="O22" i="22" s="1"/>
  <c r="K28" i="21"/>
  <c r="L28" i="21" s="1"/>
  <c r="O28" i="21" s="1"/>
  <c r="K12" i="23"/>
  <c r="L12" i="23" s="1"/>
  <c r="O12" i="23" s="1"/>
  <c r="K10" i="20"/>
  <c r="L10" i="20" s="1"/>
  <c r="O10" i="20" s="1"/>
  <c r="K21" i="22"/>
  <c r="L21" i="22" s="1"/>
  <c r="O21" i="22" s="1"/>
  <c r="AY26" i="15"/>
  <c r="AZ26" i="15" s="1"/>
  <c r="BC26" i="15" s="1"/>
  <c r="AY26" i="19"/>
  <c r="AZ26" i="19" s="1"/>
  <c r="BC26" i="19" s="1"/>
  <c r="K12" i="4"/>
  <c r="L12" i="4" s="1"/>
  <c r="O12" i="4" s="1"/>
  <c r="K12" i="11"/>
  <c r="L12" i="11" s="1"/>
  <c r="O12" i="11" s="1"/>
  <c r="K16" i="5"/>
  <c r="L16" i="5" s="1"/>
  <c r="O16" i="5" s="1"/>
  <c r="AY13" i="3"/>
  <c r="AZ13" i="3" s="1"/>
  <c r="BC13" i="3" s="1"/>
  <c r="AY13" i="12"/>
  <c r="AZ13" i="12" s="1"/>
  <c r="BC13" i="12" s="1"/>
  <c r="K18" i="1"/>
  <c r="L18" i="1" s="1"/>
  <c r="O18" i="1" s="1"/>
  <c r="AH32" i="9"/>
  <c r="AY18" i="19"/>
  <c r="AZ18" i="19" s="1"/>
  <c r="BC18" i="19" s="1"/>
  <c r="AH31" i="8"/>
  <c r="AI31" i="8" s="1"/>
  <c r="AJ31" i="8" s="1"/>
  <c r="K11" i="24"/>
  <c r="L11" i="24" s="1"/>
  <c r="O11" i="24" s="1"/>
  <c r="AY14" i="53"/>
  <c r="AZ14" i="53" s="1"/>
  <c r="BC14" i="53" s="1"/>
  <c r="K20" i="53"/>
  <c r="L20" i="53" s="1"/>
  <c r="O20" i="53" s="1"/>
  <c r="K21" i="24"/>
  <c r="L21" i="24" s="1"/>
  <c r="O21" i="24" s="1"/>
  <c r="AY23" i="20"/>
  <c r="AZ23" i="20" s="1"/>
  <c r="BC23" i="20" s="1"/>
  <c r="K23" i="10"/>
  <c r="L23" i="10" s="1"/>
  <c r="O23" i="10" s="1"/>
  <c r="K14" i="14"/>
  <c r="L14" i="14" s="1"/>
  <c r="O14" i="14" s="1"/>
  <c r="K23" i="18"/>
  <c r="L23" i="18" s="1"/>
  <c r="O23" i="18" s="1"/>
  <c r="K23" i="24"/>
  <c r="L23" i="24" s="1"/>
  <c r="O23" i="24" s="1"/>
  <c r="AY11" i="21"/>
  <c r="AZ11" i="21" s="1"/>
  <c r="BC11" i="21" s="1"/>
  <c r="AY12" i="7"/>
  <c r="AZ12" i="7" s="1"/>
  <c r="BC12" i="7" s="1"/>
  <c r="K20" i="5"/>
  <c r="L20" i="5" s="1"/>
  <c r="O20" i="5" s="1"/>
  <c r="K11" i="2"/>
  <c r="L11" i="2" s="1"/>
  <c r="O11" i="2" s="1"/>
  <c r="AY20" i="22"/>
  <c r="AZ20" i="22" s="1"/>
  <c r="BC20" i="22" s="1"/>
  <c r="AY23" i="15"/>
  <c r="AZ23" i="15" s="1"/>
  <c r="BC23" i="15" s="1"/>
  <c r="AY14" i="17"/>
  <c r="AZ14" i="17" s="1"/>
  <c r="BC14" i="17" s="1"/>
  <c r="K20" i="9"/>
  <c r="L20" i="9" s="1"/>
  <c r="O20" i="9" s="1"/>
  <c r="K26" i="12"/>
  <c r="L26" i="12" s="1"/>
  <c r="O26" i="12" s="1"/>
  <c r="K22" i="5"/>
  <c r="L22" i="5" s="1"/>
  <c r="O22" i="5" s="1"/>
  <c r="I56" i="25"/>
  <c r="S32" i="25" s="1"/>
  <c r="BD91" i="61" s="1"/>
  <c r="K5" i="22"/>
  <c r="L5" i="22" s="1"/>
  <c r="O5" i="22" s="1"/>
  <c r="AY12" i="18"/>
  <c r="AZ12" i="18" s="1"/>
  <c r="BC12" i="18" s="1"/>
  <c r="AY7" i="21"/>
  <c r="AZ7" i="21" s="1"/>
  <c r="BC7" i="21" s="1"/>
  <c r="K19" i="20"/>
  <c r="L19" i="20" s="1"/>
  <c r="O19" i="20" s="1"/>
  <c r="K19" i="15"/>
  <c r="L19" i="15" s="1"/>
  <c r="O19" i="15" s="1"/>
  <c r="K15" i="19"/>
  <c r="L15" i="19" s="1"/>
  <c r="O15" i="19" s="1"/>
  <c r="I56" i="21"/>
  <c r="AY26" i="10"/>
  <c r="AZ26" i="10" s="1"/>
  <c r="BC26" i="10" s="1"/>
  <c r="K7" i="13"/>
  <c r="L7" i="13" s="1"/>
  <c r="O7" i="13" s="1"/>
  <c r="AY22" i="19"/>
  <c r="AZ22" i="19" s="1"/>
  <c r="BC22" i="19" s="1"/>
  <c r="K25" i="3"/>
  <c r="L25" i="3" s="1"/>
  <c r="O25" i="3" s="1"/>
  <c r="AY8" i="4"/>
  <c r="AZ8" i="4" s="1"/>
  <c r="BC8" i="4" s="1"/>
  <c r="AY15" i="12"/>
  <c r="AZ15" i="12" s="1"/>
  <c r="BC15" i="12" s="1"/>
  <c r="K7" i="25"/>
  <c r="L7" i="25" s="1"/>
  <c r="O7" i="25" s="1"/>
  <c r="K25" i="18"/>
  <c r="L25" i="18" s="1"/>
  <c r="O25" i="18" s="1"/>
  <c r="K26" i="16"/>
  <c r="L26" i="16" s="1"/>
  <c r="O26" i="16" s="1"/>
  <c r="AY6" i="53"/>
  <c r="AZ6" i="53" s="1"/>
  <c r="BC6" i="53" s="1"/>
  <c r="AY6" i="18"/>
  <c r="AZ6" i="18" s="1"/>
  <c r="BC6" i="18" s="1"/>
  <c r="AY13" i="17"/>
  <c r="AZ13" i="17" s="1"/>
  <c r="BC13" i="17" s="1"/>
  <c r="AY19" i="14"/>
  <c r="AZ19" i="14" s="1"/>
  <c r="BC19" i="14" s="1"/>
  <c r="K28" i="3"/>
  <c r="L28" i="3" s="1"/>
  <c r="O28" i="3" s="1"/>
  <c r="AY5" i="13"/>
  <c r="AZ5" i="13" s="1"/>
  <c r="BC5" i="13" s="1"/>
  <c r="AY19" i="2"/>
  <c r="AZ19" i="2" s="1"/>
  <c r="BC19" i="2" s="1"/>
  <c r="AY8" i="7"/>
  <c r="AZ8" i="7" s="1"/>
  <c r="BC8" i="7" s="1"/>
  <c r="K26" i="3"/>
  <c r="L26" i="3" s="1"/>
  <c r="O26" i="3" s="1"/>
  <c r="AY16" i="12"/>
  <c r="AZ16" i="12" s="1"/>
  <c r="BC16" i="12" s="1"/>
  <c r="K24" i="7"/>
  <c r="L24" i="7" s="1"/>
  <c r="O24" i="7" s="1"/>
  <c r="AY6" i="10"/>
  <c r="AZ6" i="10" s="1"/>
  <c r="BC6" i="10" s="1"/>
  <c r="AY15" i="17"/>
  <c r="AZ15" i="17" s="1"/>
  <c r="BC15" i="17" s="1"/>
  <c r="K8" i="23"/>
  <c r="L8" i="23" s="1"/>
  <c r="O8" i="23" s="1"/>
  <c r="AY22" i="20"/>
  <c r="AZ22" i="20" s="1"/>
  <c r="BC22" i="20" s="1"/>
  <c r="K10" i="53"/>
  <c r="L10" i="53" s="1"/>
  <c r="O10" i="53" s="1"/>
  <c r="AY16" i="18"/>
  <c r="AZ16" i="18" s="1"/>
  <c r="BC16" i="18" s="1"/>
  <c r="K25" i="19"/>
  <c r="L25" i="19" s="1"/>
  <c r="O25" i="19" s="1"/>
  <c r="K16" i="24"/>
  <c r="L16" i="24" s="1"/>
  <c r="O16" i="24" s="1"/>
  <c r="K18" i="2"/>
  <c r="L18" i="2" s="1"/>
  <c r="O18" i="2" s="1"/>
  <c r="AY16" i="13"/>
  <c r="AZ16" i="13" s="1"/>
  <c r="BC16" i="13" s="1"/>
  <c r="K12" i="6"/>
  <c r="L12" i="6" s="1"/>
  <c r="O12" i="6" s="1"/>
  <c r="K16" i="8"/>
  <c r="L16" i="8" s="1"/>
  <c r="O16" i="8" s="1"/>
  <c r="K17" i="6"/>
  <c r="L17" i="6" s="1"/>
  <c r="O17" i="6" s="1"/>
  <c r="K26" i="10"/>
  <c r="L26" i="10" s="1"/>
  <c r="O26" i="10" s="1"/>
  <c r="AY7" i="9"/>
  <c r="AZ7" i="9" s="1"/>
  <c r="BC7" i="9" s="1"/>
  <c r="BG33" i="16"/>
  <c r="S32" i="16" s="1"/>
  <c r="BM91" i="61" s="1"/>
  <c r="AY18" i="17"/>
  <c r="AZ18" i="17" s="1"/>
  <c r="BC18" i="17" s="1"/>
  <c r="AY21" i="9"/>
  <c r="AZ21" i="9" s="1"/>
  <c r="BC21" i="9" s="1"/>
  <c r="K14" i="10"/>
  <c r="L14" i="10" s="1"/>
  <c r="O14" i="10" s="1"/>
  <c r="K14" i="3"/>
  <c r="L14" i="3" s="1"/>
  <c r="O14" i="3" s="1"/>
  <c r="K20" i="8"/>
  <c r="L20" i="8" s="1"/>
  <c r="O20" i="8" s="1"/>
  <c r="AY20" i="17"/>
  <c r="AZ20" i="17" s="1"/>
  <c r="BC20" i="17" s="1"/>
  <c r="K23" i="3"/>
  <c r="L23" i="3" s="1"/>
  <c r="O23" i="3" s="1"/>
  <c r="K11" i="17"/>
  <c r="L11" i="17" s="1"/>
  <c r="O11" i="17" s="1"/>
  <c r="K12" i="1"/>
  <c r="L12" i="1" s="1"/>
  <c r="O12" i="1" s="1"/>
  <c r="K23" i="13"/>
  <c r="L23" i="13" s="1"/>
  <c r="O23" i="13" s="1"/>
  <c r="AY11" i="9"/>
  <c r="AZ11" i="9" s="1"/>
  <c r="BC11" i="9" s="1"/>
  <c r="AY23" i="17"/>
  <c r="AZ23" i="17" s="1"/>
  <c r="BC23" i="17" s="1"/>
  <c r="BG33" i="15"/>
  <c r="S32" i="15" s="1"/>
  <c r="BN91" i="61" s="1"/>
  <c r="K14" i="17"/>
  <c r="L14" i="17" s="1"/>
  <c r="O14" i="17" s="1"/>
  <c r="K20" i="12"/>
  <c r="L20" i="12" s="1"/>
  <c r="O20" i="12" s="1"/>
  <c r="AY20" i="24"/>
  <c r="AZ20" i="24" s="1"/>
  <c r="BC20" i="24" s="1"/>
  <c r="AY11" i="3"/>
  <c r="AZ11" i="3" s="1"/>
  <c r="BC11" i="3" s="1"/>
  <c r="K23" i="16"/>
  <c r="L23" i="16" s="1"/>
  <c r="O23" i="16" s="1"/>
  <c r="K23" i="2"/>
  <c r="L23" i="2" s="1"/>
  <c r="O23" i="2" s="1"/>
  <c r="AY27" i="20"/>
  <c r="AZ27" i="20" s="1"/>
  <c r="BC27" i="20" s="1"/>
  <c r="AY27" i="22"/>
  <c r="AZ27" i="22" s="1"/>
  <c r="BC27" i="22" s="1"/>
  <c r="K27" i="13"/>
  <c r="L27" i="13" s="1"/>
  <c r="O27" i="13" s="1"/>
  <c r="K27" i="20"/>
  <c r="L27" i="20" s="1"/>
  <c r="O27" i="20" s="1"/>
  <c r="K27" i="22"/>
  <c r="L27" i="22" s="1"/>
  <c r="O27" i="22" s="1"/>
  <c r="AY27" i="13"/>
  <c r="AZ27" i="13" s="1"/>
  <c r="BC27" i="13" s="1"/>
  <c r="K27" i="15"/>
  <c r="L27" i="15" s="1"/>
  <c r="O27" i="15" s="1"/>
  <c r="K27" i="17"/>
  <c r="L27" i="17" s="1"/>
  <c r="O27" i="17" s="1"/>
  <c r="K27" i="25"/>
  <c r="L27" i="25" s="1"/>
  <c r="O27" i="25" s="1"/>
  <c r="AY27" i="11"/>
  <c r="AZ27" i="11" s="1"/>
  <c r="BC27" i="11" s="1"/>
  <c r="K27" i="18"/>
  <c r="L27" i="18" s="1"/>
  <c r="O27" i="18" s="1"/>
  <c r="AY27" i="1"/>
  <c r="AZ27" i="1" s="1"/>
  <c r="BC27" i="1" s="1"/>
  <c r="AY27" i="19"/>
  <c r="AZ27" i="19" s="1"/>
  <c r="BC27" i="19" s="1"/>
  <c r="K9" i="17"/>
  <c r="L9" i="17" s="1"/>
  <c r="O9" i="17" s="1"/>
  <c r="AY9" i="16"/>
  <c r="AZ9" i="16" s="1"/>
  <c r="BC9" i="16" s="1"/>
  <c r="K9" i="14"/>
  <c r="L9" i="14" s="1"/>
  <c r="O9" i="14" s="1"/>
  <c r="K9" i="12"/>
  <c r="L9" i="12" s="1"/>
  <c r="O9" i="12" s="1"/>
  <c r="AY9" i="18"/>
  <c r="AZ9" i="18" s="1"/>
  <c r="BC9" i="18" s="1"/>
  <c r="K9" i="9"/>
  <c r="L9" i="9" s="1"/>
  <c r="O9" i="9" s="1"/>
  <c r="K9" i="20"/>
  <c r="L9" i="20" s="1"/>
  <c r="O9" i="20" s="1"/>
  <c r="AY9" i="22"/>
  <c r="AZ9" i="22" s="1"/>
  <c r="BC9" i="22" s="1"/>
  <c r="K9" i="15"/>
  <c r="L9" i="15" s="1"/>
  <c r="O9" i="15" s="1"/>
  <c r="K9" i="53"/>
  <c r="L9" i="53" s="1"/>
  <c r="O9" i="53" s="1"/>
  <c r="K9" i="2"/>
  <c r="L9" i="2" s="1"/>
  <c r="O9" i="2" s="1"/>
  <c r="K9" i="7"/>
  <c r="L9" i="7" s="1"/>
  <c r="O9" i="7" s="1"/>
  <c r="K9" i="25"/>
  <c r="L9" i="25" s="1"/>
  <c r="O9" i="25" s="1"/>
  <c r="AY27" i="9"/>
  <c r="AZ27" i="9" s="1"/>
  <c r="BC27" i="9" s="1"/>
  <c r="K9" i="23"/>
  <c r="L9" i="23" s="1"/>
  <c r="O9" i="23" s="1"/>
  <c r="K9" i="1"/>
  <c r="L9" i="1" s="1"/>
  <c r="O9" i="1" s="1"/>
  <c r="AY9" i="15"/>
  <c r="AZ9" i="15" s="1"/>
  <c r="BC9" i="15" s="1"/>
  <c r="AY9" i="5"/>
  <c r="AZ9" i="5" s="1"/>
  <c r="BC9" i="5" s="1"/>
  <c r="AY9" i="17"/>
  <c r="AZ9" i="17" s="1"/>
  <c r="BC9" i="17" s="1"/>
  <c r="K23" i="15"/>
  <c r="L23" i="15" s="1"/>
  <c r="O23" i="15" s="1"/>
  <c r="K14" i="18"/>
  <c r="L14" i="18" s="1"/>
  <c r="O14" i="18" s="1"/>
  <c r="K8" i="4"/>
  <c r="L8" i="4" s="1"/>
  <c r="O8" i="4" s="1"/>
  <c r="BG33" i="22"/>
  <c r="S32" i="22" s="1"/>
  <c r="BG91" i="61" s="1"/>
  <c r="AY16" i="25"/>
  <c r="AZ16" i="25" s="1"/>
  <c r="BC16" i="25" s="1"/>
  <c r="K5" i="53"/>
  <c r="L5" i="53" s="1"/>
  <c r="O5" i="53" s="1"/>
  <c r="AY12" i="25"/>
  <c r="AZ12" i="25" s="1"/>
  <c r="BC12" i="25" s="1"/>
  <c r="K12" i="3"/>
  <c r="L12" i="3" s="1"/>
  <c r="O12" i="3" s="1"/>
  <c r="AY24" i="12"/>
  <c r="AZ24" i="12" s="1"/>
  <c r="BC24" i="12" s="1"/>
  <c r="AY13" i="9"/>
  <c r="AZ13" i="9" s="1"/>
  <c r="BC13" i="9" s="1"/>
  <c r="K10" i="7"/>
  <c r="L10" i="7" s="1"/>
  <c r="O10" i="7" s="1"/>
  <c r="I56" i="23"/>
  <c r="K22" i="9"/>
  <c r="L22" i="9" s="1"/>
  <c r="O22" i="9" s="1"/>
  <c r="AY24" i="19"/>
  <c r="AZ24" i="19" s="1"/>
  <c r="BC24" i="19" s="1"/>
  <c r="AY22" i="18"/>
  <c r="AZ22" i="18" s="1"/>
  <c r="BC22" i="18" s="1"/>
  <c r="K8" i="19"/>
  <c r="L8" i="19" s="1"/>
  <c r="O8" i="19" s="1"/>
  <c r="AY22" i="23"/>
  <c r="AZ22" i="23" s="1"/>
  <c r="BC22" i="23" s="1"/>
  <c r="AH31" i="18"/>
  <c r="AI31" i="18" s="1"/>
  <c r="AJ31" i="18" s="1"/>
  <c r="K5" i="19"/>
  <c r="L5" i="19" s="1"/>
  <c r="O5" i="19" s="1"/>
  <c r="AY26" i="24"/>
  <c r="AZ26" i="24" s="1"/>
  <c r="BC26" i="24" s="1"/>
  <c r="K6" i="1"/>
  <c r="L6" i="1" s="1"/>
  <c r="O6" i="1" s="1"/>
  <c r="AH32" i="8"/>
  <c r="AY19" i="6"/>
  <c r="AZ19" i="6" s="1"/>
  <c r="BC19" i="6" s="1"/>
  <c r="AY8" i="11"/>
  <c r="AZ8" i="11" s="1"/>
  <c r="BC8" i="11" s="1"/>
  <c r="K5" i="1"/>
  <c r="L5" i="1" s="1"/>
  <c r="O5" i="1" s="1"/>
  <c r="K17" i="9"/>
  <c r="L17" i="9" s="1"/>
  <c r="O17" i="9" s="1"/>
  <c r="AY22" i="5"/>
  <c r="AZ22" i="5" s="1"/>
  <c r="BC22" i="5" s="1"/>
  <c r="K16" i="13"/>
  <c r="L16" i="13" s="1"/>
  <c r="O16" i="13" s="1"/>
  <c r="AY15" i="23"/>
  <c r="AZ15" i="23" s="1"/>
  <c r="BC15" i="23" s="1"/>
  <c r="K22" i="53"/>
  <c r="L22" i="53" s="1"/>
  <c r="O22" i="53" s="1"/>
  <c r="AY6" i="16"/>
  <c r="AZ6" i="16" s="1"/>
  <c r="BC6" i="16" s="1"/>
  <c r="AY5" i="25"/>
  <c r="AZ5" i="25" s="1"/>
  <c r="BC5" i="25" s="1"/>
  <c r="AH31" i="53"/>
  <c r="AI31" i="53" s="1"/>
  <c r="AJ31" i="53" s="1"/>
  <c r="AY12" i="21"/>
  <c r="AZ12" i="21" s="1"/>
  <c r="BC12" i="21" s="1"/>
  <c r="AY22" i="53"/>
  <c r="AZ22" i="53" s="1"/>
  <c r="BC22" i="53" s="1"/>
  <c r="AY7" i="8"/>
  <c r="AZ7" i="8" s="1"/>
  <c r="BC7" i="8" s="1"/>
  <c r="AY26" i="9"/>
  <c r="AZ26" i="9" s="1"/>
  <c r="BC26" i="9" s="1"/>
  <c r="AY12" i="2"/>
  <c r="AZ12" i="2" s="1"/>
  <c r="BC12" i="2" s="1"/>
  <c r="BG33" i="18"/>
  <c r="S32" i="18" s="1"/>
  <c r="BK91" i="61" s="1"/>
  <c r="K17" i="4"/>
  <c r="L17" i="4" s="1"/>
  <c r="O17" i="4" s="1"/>
  <c r="AH32" i="12"/>
  <c r="AY5" i="6"/>
  <c r="AZ5" i="6" s="1"/>
  <c r="BC5" i="6" s="1"/>
  <c r="K26" i="13"/>
  <c r="L26" i="13" s="1"/>
  <c r="O26" i="13" s="1"/>
  <c r="K7" i="14"/>
  <c r="L7" i="14" s="1"/>
  <c r="O7" i="14" s="1"/>
  <c r="AY7" i="2"/>
  <c r="AZ7" i="2" s="1"/>
  <c r="BC7" i="2" s="1"/>
  <c r="K23" i="21"/>
  <c r="L23" i="21" s="1"/>
  <c r="O23" i="21" s="1"/>
  <c r="K23" i="53"/>
  <c r="L23" i="53" s="1"/>
  <c r="O23" i="53" s="1"/>
  <c r="K14" i="7"/>
  <c r="L14" i="7" s="1"/>
  <c r="O14" i="7" s="1"/>
  <c r="AY14" i="12"/>
  <c r="AZ14" i="12" s="1"/>
  <c r="BC14" i="12" s="1"/>
  <c r="AY20" i="6"/>
  <c r="AZ20" i="6" s="1"/>
  <c r="BC20" i="6" s="1"/>
  <c r="K20" i="10"/>
  <c r="L20" i="10" s="1"/>
  <c r="O20" i="10" s="1"/>
  <c r="AY11" i="4"/>
  <c r="AZ11" i="4" s="1"/>
  <c r="BC11" i="4" s="1"/>
  <c r="AY20" i="15"/>
  <c r="AZ20" i="15" s="1"/>
  <c r="BC20" i="15" s="1"/>
  <c r="AY11" i="12"/>
  <c r="AZ11" i="12" s="1"/>
  <c r="BC11" i="12" s="1"/>
  <c r="K20" i="23"/>
  <c r="L20" i="23" s="1"/>
  <c r="O20" i="23" s="1"/>
  <c r="AY17" i="13"/>
  <c r="AZ17" i="13" s="1"/>
  <c r="BC17" i="13" s="1"/>
  <c r="AY11" i="15"/>
  <c r="AZ11" i="15" s="1"/>
  <c r="BC11" i="15" s="1"/>
  <c r="AY23" i="2"/>
  <c r="AZ23" i="2" s="1"/>
  <c r="BC23" i="2" s="1"/>
  <c r="K14" i="8"/>
  <c r="L14" i="8" s="1"/>
  <c r="O14" i="8" s="1"/>
  <c r="K23" i="17"/>
  <c r="L23" i="17" s="1"/>
  <c r="O23" i="17" s="1"/>
  <c r="K11" i="8"/>
  <c r="L11" i="8" s="1"/>
  <c r="O11" i="8" s="1"/>
  <c r="AY23" i="16"/>
  <c r="AZ23" i="16" s="1"/>
  <c r="BC23" i="16" s="1"/>
  <c r="AY24" i="21"/>
  <c r="AZ24" i="21" s="1"/>
  <c r="BC24" i="21" s="1"/>
  <c r="K25" i="12"/>
  <c r="L25" i="12" s="1"/>
  <c r="O25" i="12" s="1"/>
  <c r="AH31" i="21"/>
  <c r="AI31" i="21" s="1"/>
  <c r="AJ31" i="21" s="1"/>
  <c r="AY28" i="25"/>
  <c r="AZ28" i="25" s="1"/>
  <c r="BC28" i="25" s="1"/>
  <c r="AY8" i="15"/>
  <c r="AZ8" i="15" s="1"/>
  <c r="BC8" i="15" s="1"/>
  <c r="AY6" i="19"/>
  <c r="AZ6" i="19" s="1"/>
  <c r="BC6" i="19" s="1"/>
  <c r="AY10" i="20"/>
  <c r="AZ10" i="20" s="1"/>
  <c r="BC10" i="20" s="1"/>
  <c r="AY25" i="25"/>
  <c r="AZ25" i="25" s="1"/>
  <c r="BC25" i="25" s="1"/>
  <c r="AY6" i="6"/>
  <c r="AZ6" i="6" s="1"/>
  <c r="BC6" i="6" s="1"/>
  <c r="AY28" i="7"/>
  <c r="AZ28" i="7" s="1"/>
  <c r="BC28" i="7" s="1"/>
  <c r="K8" i="1"/>
  <c r="L8" i="1" s="1"/>
  <c r="O8" i="1" s="1"/>
  <c r="K5" i="13"/>
  <c r="L5" i="13" s="1"/>
  <c r="O5" i="13" s="1"/>
  <c r="K21" i="5"/>
  <c r="L21" i="5" s="1"/>
  <c r="O21" i="5" s="1"/>
  <c r="BG34" i="53"/>
  <c r="S61" i="53" s="1"/>
  <c r="K19" i="6"/>
  <c r="L19" i="6" s="1"/>
  <c r="O19" i="6" s="1"/>
  <c r="K10" i="13"/>
  <c r="L10" i="13" s="1"/>
  <c r="O10" i="13" s="1"/>
  <c r="AY24" i="14"/>
  <c r="AZ24" i="14" s="1"/>
  <c r="BC24" i="14" s="1"/>
  <c r="K26" i="14"/>
  <c r="L26" i="14" s="1"/>
  <c r="O26" i="14" s="1"/>
  <c r="K5" i="2"/>
  <c r="L5" i="2" s="1"/>
  <c r="O5" i="2" s="1"/>
  <c r="K26" i="19"/>
  <c r="L26" i="19" s="1"/>
  <c r="O26" i="19" s="1"/>
  <c r="AY25" i="24"/>
  <c r="AZ25" i="24" s="1"/>
  <c r="BC25" i="24" s="1"/>
  <c r="AH31" i="22"/>
  <c r="AI31" i="22" s="1"/>
  <c r="AJ31" i="22" s="1"/>
  <c r="AY25" i="21"/>
  <c r="AZ25" i="21" s="1"/>
  <c r="BC25" i="21" s="1"/>
  <c r="I56" i="19"/>
  <c r="K28" i="12"/>
  <c r="L28" i="12" s="1"/>
  <c r="O28" i="12" s="1"/>
  <c r="AY8" i="8"/>
  <c r="AZ8" i="8" s="1"/>
  <c r="BC8" i="8" s="1"/>
  <c r="AY16" i="11"/>
  <c r="AZ16" i="11" s="1"/>
  <c r="BC16" i="11" s="1"/>
  <c r="K28" i="4"/>
  <c r="L28" i="4" s="1"/>
  <c r="O28" i="4" s="1"/>
  <c r="AY13" i="13"/>
  <c r="AZ13" i="13" s="1"/>
  <c r="BC13" i="13" s="1"/>
  <c r="AH32" i="5"/>
  <c r="AY7" i="53"/>
  <c r="AZ7" i="53" s="1"/>
  <c r="BC7" i="53" s="1"/>
  <c r="AY17" i="15"/>
  <c r="AZ17" i="15" s="1"/>
  <c r="BC17" i="15" s="1"/>
  <c r="AY28" i="23"/>
  <c r="AZ28" i="23" s="1"/>
  <c r="BC28" i="23" s="1"/>
  <c r="K10" i="2"/>
  <c r="L10" i="2" s="1"/>
  <c r="O10" i="2" s="1"/>
  <c r="AY19" i="16"/>
  <c r="AZ19" i="16" s="1"/>
  <c r="BC19" i="16" s="1"/>
  <c r="K26" i="24"/>
  <c r="L26" i="24" s="1"/>
  <c r="O26" i="24" s="1"/>
  <c r="AH31" i="23"/>
  <c r="AI31" i="23" s="1"/>
  <c r="AJ31" i="23" s="1"/>
  <c r="K21" i="21"/>
  <c r="L21" i="21" s="1"/>
  <c r="O21" i="21" s="1"/>
  <c r="AY15" i="2"/>
  <c r="AZ15" i="2" s="1"/>
  <c r="BC15" i="2" s="1"/>
  <c r="AY6" i="13"/>
  <c r="AZ6" i="13" s="1"/>
  <c r="BC6" i="13" s="1"/>
  <c r="AY22" i="1"/>
  <c r="AZ22" i="1" s="1"/>
  <c r="BC22" i="1" s="1"/>
  <c r="K10" i="5"/>
  <c r="L10" i="5" s="1"/>
  <c r="O10" i="5" s="1"/>
  <c r="K15" i="3"/>
  <c r="L15" i="3" s="1"/>
  <c r="O15" i="3" s="1"/>
  <c r="AY5" i="4"/>
  <c r="AZ5" i="4" s="1"/>
  <c r="BC5" i="4" s="1"/>
  <c r="K15" i="7"/>
  <c r="L15" i="7" s="1"/>
  <c r="O15" i="7" s="1"/>
  <c r="K24" i="53"/>
  <c r="L24" i="53" s="1"/>
  <c r="O24" i="53" s="1"/>
  <c r="AY14" i="20"/>
  <c r="AZ14" i="20" s="1"/>
  <c r="BC14" i="20" s="1"/>
  <c r="AY20" i="19"/>
  <c r="AZ20" i="19" s="1"/>
  <c r="BC20" i="19" s="1"/>
  <c r="AY23" i="5"/>
  <c r="AZ23" i="5" s="1"/>
  <c r="BC23" i="5" s="1"/>
  <c r="K23" i="22"/>
  <c r="L23" i="22" s="1"/>
  <c r="O23" i="22" s="1"/>
  <c r="K11" i="11"/>
  <c r="L11" i="11" s="1"/>
  <c r="O11" i="11" s="1"/>
  <c r="AY14" i="14"/>
  <c r="AZ14" i="14" s="1"/>
  <c r="BC14" i="14" s="1"/>
  <c r="AY11" i="24"/>
  <c r="AZ11" i="24" s="1"/>
  <c r="BC11" i="24" s="1"/>
  <c r="AY20" i="21"/>
  <c r="AZ20" i="21" s="1"/>
  <c r="BC20" i="21" s="1"/>
  <c r="K28" i="13"/>
  <c r="L28" i="13" s="1"/>
  <c r="O28" i="13" s="1"/>
  <c r="AY14" i="11"/>
  <c r="AZ14" i="11" s="1"/>
  <c r="BC14" i="11" s="1"/>
  <c r="K14" i="5"/>
  <c r="L14" i="5" s="1"/>
  <c r="O14" i="5" s="1"/>
  <c r="AY20" i="3"/>
  <c r="AZ20" i="3" s="1"/>
  <c r="BC20" i="3" s="1"/>
  <c r="K21" i="53"/>
  <c r="L21" i="53" s="1"/>
  <c r="O21" i="53" s="1"/>
  <c r="K23" i="14"/>
  <c r="L23" i="14" s="1"/>
  <c r="O23" i="14" s="1"/>
  <c r="K14" i="4"/>
  <c r="L14" i="4" s="1"/>
  <c r="O14" i="4" s="1"/>
  <c r="K11" i="16"/>
  <c r="L11" i="16" s="1"/>
  <c r="O11" i="16" s="1"/>
  <c r="AY11" i="1"/>
  <c r="AZ11" i="1" s="1"/>
  <c r="BC11" i="1" s="1"/>
  <c r="AY20" i="16"/>
  <c r="AZ20" i="16" s="1"/>
  <c r="BC20" i="16" s="1"/>
  <c r="K20" i="1"/>
  <c r="L20" i="1" s="1"/>
  <c r="O20" i="1" s="1"/>
  <c r="K27" i="10"/>
  <c r="L27" i="10" s="1"/>
  <c r="O27" i="10" s="1"/>
  <c r="K27" i="7"/>
  <c r="L27" i="7" s="1"/>
  <c r="O27" i="7" s="1"/>
  <c r="K27" i="12"/>
  <c r="L27" i="12" s="1"/>
  <c r="O27" i="12" s="1"/>
  <c r="AY27" i="10"/>
  <c r="AZ27" i="10" s="1"/>
  <c r="BC27" i="10" s="1"/>
  <c r="AY27" i="7"/>
  <c r="AZ27" i="7" s="1"/>
  <c r="BC27" i="7" s="1"/>
  <c r="AY27" i="12"/>
  <c r="AZ27" i="12" s="1"/>
  <c r="BC27" i="12" s="1"/>
  <c r="K27" i="53"/>
  <c r="L27" i="53" s="1"/>
  <c r="O27" i="53" s="1"/>
  <c r="AY27" i="18"/>
  <c r="AZ27" i="18" s="1"/>
  <c r="BC27" i="18" s="1"/>
  <c r="K27" i="1"/>
  <c r="L27" i="1" s="1"/>
  <c r="O27" i="1" s="1"/>
  <c r="K27" i="8"/>
  <c r="L27" i="8" s="1"/>
  <c r="O27" i="8" s="1"/>
  <c r="K27" i="14"/>
  <c r="L27" i="14" s="1"/>
  <c r="O27" i="14" s="1"/>
  <c r="K27" i="6"/>
  <c r="L27" i="6" s="1"/>
  <c r="O27" i="6" s="1"/>
  <c r="AY9" i="13"/>
  <c r="AZ9" i="13" s="1"/>
  <c r="BC9" i="13" s="1"/>
  <c r="K9" i="22"/>
  <c r="L9" i="22" s="1"/>
  <c r="O9" i="22" s="1"/>
  <c r="AY9" i="20"/>
  <c r="AZ9" i="20" s="1"/>
  <c r="BC9" i="20" s="1"/>
  <c r="K9" i="4"/>
  <c r="L9" i="4" s="1"/>
  <c r="O9" i="4" s="1"/>
  <c r="K9" i="8"/>
  <c r="L9" i="8" s="1"/>
  <c r="O9" i="8" s="1"/>
  <c r="AY9" i="14"/>
  <c r="AZ9" i="14" s="1"/>
  <c r="BC9" i="14" s="1"/>
  <c r="AY23" i="9"/>
  <c r="AZ23" i="9" s="1"/>
  <c r="BC23" i="9" s="1"/>
  <c r="K20" i="15"/>
  <c r="L20" i="15" s="1"/>
  <c r="O20" i="15" s="1"/>
  <c r="AH32" i="4"/>
  <c r="K22" i="6"/>
  <c r="L22" i="6" s="1"/>
  <c r="O22" i="6" s="1"/>
  <c r="AH32" i="24"/>
  <c r="K26" i="53"/>
  <c r="L26" i="53" s="1"/>
  <c r="O26" i="53" s="1"/>
  <c r="AY19" i="17"/>
  <c r="AZ19" i="17" s="1"/>
  <c r="BC19" i="17" s="1"/>
  <c r="K5" i="6"/>
  <c r="L5" i="6" s="1"/>
  <c r="O5" i="6" s="1"/>
  <c r="K6" i="5"/>
  <c r="L6" i="5" s="1"/>
  <c r="O6" i="5" s="1"/>
  <c r="K28" i="7"/>
  <c r="L28" i="7" s="1"/>
  <c r="O28" i="7" s="1"/>
  <c r="AY24" i="13"/>
  <c r="AZ24" i="13" s="1"/>
  <c r="BC24" i="13" s="1"/>
  <c r="K17" i="5"/>
  <c r="L17" i="5" s="1"/>
  <c r="O17" i="5" s="1"/>
  <c r="AY10" i="11"/>
  <c r="AZ10" i="11" s="1"/>
  <c r="BC10" i="11" s="1"/>
  <c r="K15" i="1"/>
  <c r="L15" i="1" s="1"/>
  <c r="O15" i="1" s="1"/>
  <c r="AY16" i="15"/>
  <c r="AZ16" i="15" s="1"/>
  <c r="BC16" i="15" s="1"/>
  <c r="AY22" i="17"/>
  <c r="AZ22" i="17" s="1"/>
  <c r="BC22" i="17" s="1"/>
  <c r="K26" i="21"/>
  <c r="L26" i="21" s="1"/>
  <c r="O26" i="21" s="1"/>
  <c r="K5" i="14"/>
  <c r="L5" i="14" s="1"/>
  <c r="O5" i="14" s="1"/>
  <c r="AH31" i="14"/>
  <c r="AI31" i="14" s="1"/>
  <c r="AJ31" i="14" s="1"/>
  <c r="K17" i="17"/>
  <c r="L17" i="17" s="1"/>
  <c r="O17" i="17" s="1"/>
  <c r="K15" i="5"/>
  <c r="L15" i="5" s="1"/>
  <c r="O15" i="5" s="1"/>
  <c r="AY6" i="9"/>
  <c r="AZ6" i="9" s="1"/>
  <c r="BC6" i="9" s="1"/>
  <c r="AY17" i="4"/>
  <c r="AZ17" i="4" s="1"/>
  <c r="BC17" i="4" s="1"/>
  <c r="K25" i="13"/>
  <c r="L25" i="13" s="1"/>
  <c r="O25" i="13" s="1"/>
  <c r="AH32" i="2"/>
  <c r="AY10" i="10"/>
  <c r="AZ10" i="10" s="1"/>
  <c r="BC10" i="10" s="1"/>
  <c r="AY22" i="11"/>
  <c r="AZ22" i="11" s="1"/>
  <c r="BC22" i="11" s="1"/>
  <c r="AY10" i="12"/>
  <c r="AZ10" i="12" s="1"/>
  <c r="BC10" i="12" s="1"/>
  <c r="K24" i="19"/>
  <c r="L24" i="19" s="1"/>
  <c r="O24" i="19" s="1"/>
  <c r="AY19" i="20"/>
  <c r="AZ19" i="20" s="1"/>
  <c r="BC19" i="20" s="1"/>
  <c r="K6" i="17"/>
  <c r="L6" i="17" s="1"/>
  <c r="O6" i="17" s="1"/>
  <c r="AY19" i="15"/>
  <c r="AZ19" i="15" s="1"/>
  <c r="BC19" i="15" s="1"/>
  <c r="K25" i="14"/>
  <c r="L25" i="14" s="1"/>
  <c r="O25" i="14" s="1"/>
  <c r="K26" i="25"/>
  <c r="L26" i="25" s="1"/>
  <c r="O26" i="25" s="1"/>
  <c r="K16" i="53"/>
  <c r="L16" i="53" s="1"/>
  <c r="O16" i="53" s="1"/>
  <c r="K18" i="6"/>
  <c r="L18" i="6" s="1"/>
  <c r="O18" i="6" s="1"/>
  <c r="K25" i="10"/>
  <c r="L25" i="10" s="1"/>
  <c r="O25" i="10" s="1"/>
  <c r="K19" i="5"/>
  <c r="L19" i="5" s="1"/>
  <c r="O19" i="5" s="1"/>
  <c r="K10" i="10"/>
  <c r="L10" i="10" s="1"/>
  <c r="O10" i="10" s="1"/>
  <c r="AY15" i="5"/>
  <c r="AZ15" i="5" s="1"/>
  <c r="BC15" i="5" s="1"/>
  <c r="K24" i="10"/>
  <c r="L24" i="10" s="1"/>
  <c r="O24" i="10" s="1"/>
  <c r="AY8" i="5"/>
  <c r="AZ8" i="5" s="1"/>
  <c r="BC8" i="5" s="1"/>
  <c r="BG33" i="19"/>
  <c r="S32" i="19" s="1"/>
  <c r="BJ91" i="61" s="1"/>
  <c r="K17" i="21"/>
  <c r="L17" i="21" s="1"/>
  <c r="O17" i="21" s="1"/>
  <c r="AY14" i="2"/>
  <c r="AZ14" i="2" s="1"/>
  <c r="BC14" i="2" s="1"/>
  <c r="AY14" i="3"/>
  <c r="AZ14" i="3" s="1"/>
  <c r="BC14" i="3" s="1"/>
  <c r="K20" i="14"/>
  <c r="L20" i="14" s="1"/>
  <c r="O20" i="14" s="1"/>
  <c r="K11" i="23"/>
  <c r="L11" i="23" s="1"/>
  <c r="O11" i="23" s="1"/>
  <c r="K23" i="23"/>
  <c r="L23" i="23" s="1"/>
  <c r="O23" i="23" s="1"/>
  <c r="AY11" i="17"/>
  <c r="AZ11" i="17" s="1"/>
  <c r="BC11" i="17" s="1"/>
  <c r="K14" i="20"/>
  <c r="L14" i="20" s="1"/>
  <c r="O14" i="20" s="1"/>
  <c r="K18" i="12"/>
  <c r="L18" i="12" s="1"/>
  <c r="O18" i="12" s="1"/>
  <c r="K11" i="4"/>
  <c r="L11" i="4" s="1"/>
  <c r="O11" i="4" s="1"/>
  <c r="K23" i="9"/>
  <c r="L23" i="9" s="1"/>
  <c r="O23" i="9" s="1"/>
  <c r="AY14" i="15"/>
  <c r="AZ14" i="15" s="1"/>
  <c r="BC14" i="15" s="1"/>
  <c r="K15" i="16"/>
  <c r="L15" i="16" s="1"/>
  <c r="O15" i="16" s="1"/>
  <c r="AY20" i="12"/>
  <c r="AZ20" i="12" s="1"/>
  <c r="BC20" i="12" s="1"/>
  <c r="AY20" i="9"/>
  <c r="AZ20" i="9" s="1"/>
  <c r="BC20" i="9" s="1"/>
  <c r="K23" i="7"/>
  <c r="L23" i="7" s="1"/>
  <c r="O23" i="7" s="1"/>
  <c r="K20" i="24"/>
  <c r="L20" i="24" s="1"/>
  <c r="O20" i="24" s="1"/>
  <c r="K14" i="13"/>
  <c r="L14" i="13" s="1"/>
  <c r="O14" i="13" s="1"/>
  <c r="K16" i="1"/>
  <c r="L16" i="1" s="1"/>
  <c r="O16" i="1" s="1"/>
  <c r="AY13" i="2"/>
  <c r="AZ13" i="2" s="1"/>
  <c r="BC13" i="2" s="1"/>
  <c r="K10" i="17"/>
  <c r="L10" i="17" s="1"/>
  <c r="O10" i="17" s="1"/>
  <c r="K17" i="14"/>
  <c r="L17" i="14" s="1"/>
  <c r="O17" i="14" s="1"/>
  <c r="K22" i="25"/>
  <c r="L22" i="25" s="1"/>
  <c r="O22" i="25" s="1"/>
  <c r="AY10" i="14"/>
  <c r="AZ10" i="14" s="1"/>
  <c r="BC10" i="14" s="1"/>
  <c r="AY10" i="22"/>
  <c r="AZ10" i="22" s="1"/>
  <c r="BC10" i="22" s="1"/>
  <c r="K6" i="25"/>
  <c r="L6" i="25" s="1"/>
  <c r="O6" i="25" s="1"/>
  <c r="K19" i="25"/>
  <c r="L19" i="25" s="1"/>
  <c r="O19" i="25" s="1"/>
  <c r="K22" i="17"/>
  <c r="L22" i="17" s="1"/>
  <c r="O22" i="17" s="1"/>
  <c r="AY22" i="7"/>
  <c r="AZ22" i="7" s="1"/>
  <c r="BC22" i="7" s="1"/>
  <c r="K7" i="8"/>
  <c r="L7" i="8" s="1"/>
  <c r="O7" i="8" s="1"/>
  <c r="K15" i="10"/>
  <c r="L15" i="10" s="1"/>
  <c r="O15" i="10" s="1"/>
  <c r="K10" i="1"/>
  <c r="L10" i="1" s="1"/>
  <c r="O10" i="1" s="1"/>
  <c r="AY26" i="13"/>
  <c r="AZ26" i="13" s="1"/>
  <c r="BC26" i="13" s="1"/>
  <c r="K19" i="3"/>
  <c r="L19" i="3" s="1"/>
  <c r="O19" i="3" s="1"/>
  <c r="K24" i="12"/>
  <c r="L24" i="12" s="1"/>
  <c r="O24" i="12" s="1"/>
  <c r="K18" i="7"/>
  <c r="L18" i="7" s="1"/>
  <c r="O18" i="7" s="1"/>
  <c r="K8" i="14"/>
  <c r="L8" i="14" s="1"/>
  <c r="O8" i="14" s="1"/>
  <c r="K8" i="22"/>
  <c r="L8" i="22" s="1"/>
  <c r="O8" i="22" s="1"/>
  <c r="K28" i="17"/>
  <c r="L28" i="17" s="1"/>
  <c r="O28" i="17" s="1"/>
  <c r="AY19" i="25"/>
  <c r="AZ19" i="25" s="1"/>
  <c r="BC19" i="25" s="1"/>
  <c r="AY8" i="53"/>
  <c r="AZ8" i="53" s="1"/>
  <c r="BC8" i="53" s="1"/>
  <c r="K28" i="25"/>
  <c r="L28" i="25" s="1"/>
  <c r="O28" i="25" s="1"/>
  <c r="AY22" i="4"/>
  <c r="AZ22" i="4" s="1"/>
  <c r="BC22" i="4" s="1"/>
  <c r="AY13" i="10"/>
  <c r="AZ13" i="10" s="1"/>
  <c r="BC13" i="10" s="1"/>
  <c r="K18" i="5"/>
  <c r="L18" i="5" s="1"/>
  <c r="O18" i="5" s="1"/>
  <c r="AY5" i="12"/>
  <c r="AZ5" i="12" s="1"/>
  <c r="BC5" i="12" s="1"/>
  <c r="AY16" i="10"/>
  <c r="AZ16" i="10" s="1"/>
  <c r="BC16" i="10" s="1"/>
  <c r="K19" i="1"/>
  <c r="L19" i="1" s="1"/>
  <c r="O19" i="1" s="1"/>
  <c r="AY22" i="6"/>
  <c r="AZ22" i="6" s="1"/>
  <c r="BC22" i="6" s="1"/>
  <c r="AY15" i="14"/>
  <c r="AZ15" i="14" s="1"/>
  <c r="BC15" i="14" s="1"/>
  <c r="K18" i="18"/>
  <c r="L18" i="18" s="1"/>
  <c r="O18" i="18" s="1"/>
  <c r="K22" i="15"/>
  <c r="L22" i="15" s="1"/>
  <c r="O22" i="15" s="1"/>
  <c r="K15" i="53"/>
  <c r="L15" i="53" s="1"/>
  <c r="O15" i="53" s="1"/>
  <c r="AY12" i="20"/>
  <c r="AZ12" i="20" s="1"/>
  <c r="BC12" i="20" s="1"/>
  <c r="AY10" i="23"/>
  <c r="AZ10" i="23" s="1"/>
  <c r="BC10" i="23" s="1"/>
  <c r="K10" i="18"/>
  <c r="L10" i="18" s="1"/>
  <c r="O10" i="18" s="1"/>
  <c r="K28" i="19"/>
  <c r="L28" i="19" s="1"/>
  <c r="O28" i="19" s="1"/>
  <c r="AY13" i="4"/>
  <c r="AZ13" i="4" s="1"/>
  <c r="BC13" i="4" s="1"/>
  <c r="K8" i="11"/>
  <c r="L8" i="11" s="1"/>
  <c r="O8" i="11" s="1"/>
  <c r="AY21" i="6"/>
  <c r="AZ21" i="6" s="1"/>
  <c r="BC21" i="6" s="1"/>
  <c r="K15" i="24"/>
  <c r="L15" i="24" s="1"/>
  <c r="O15" i="24" s="1"/>
  <c r="K6" i="12"/>
  <c r="L6" i="12" s="1"/>
  <c r="O6" i="12" s="1"/>
  <c r="I56" i="14"/>
  <c r="K6" i="8"/>
  <c r="L6" i="8" s="1"/>
  <c r="O6" i="8" s="1"/>
  <c r="K7" i="20"/>
  <c r="L7" i="20" s="1"/>
  <c r="O7" i="20" s="1"/>
  <c r="K5" i="3"/>
  <c r="L5" i="3" s="1"/>
  <c r="O5" i="3" s="1"/>
  <c r="AY14" i="7"/>
  <c r="AZ14" i="7" s="1"/>
  <c r="BC14" i="7" s="1"/>
  <c r="K11" i="19"/>
  <c r="L11" i="19" s="1"/>
  <c r="O11" i="19" s="1"/>
  <c r="K14" i="53"/>
  <c r="L14" i="53" s="1"/>
  <c r="O14" i="53" s="1"/>
  <c r="K25" i="9"/>
  <c r="L25" i="9" s="1"/>
  <c r="O25" i="9" s="1"/>
  <c r="K11" i="9"/>
  <c r="L11" i="9" s="1"/>
  <c r="O11" i="9" s="1"/>
  <c r="K23" i="20"/>
  <c r="L23" i="20" s="1"/>
  <c r="O23" i="20" s="1"/>
  <c r="AY14" i="23"/>
  <c r="AZ14" i="23" s="1"/>
  <c r="BC14" i="23" s="1"/>
  <c r="AY18" i="20"/>
  <c r="AZ18" i="20" s="1"/>
  <c r="BC18" i="20" s="1"/>
  <c r="K23" i="12"/>
  <c r="L23" i="12" s="1"/>
  <c r="O23" i="12" s="1"/>
  <c r="AY23" i="24"/>
  <c r="AZ23" i="24" s="1"/>
  <c r="BC23" i="24" s="1"/>
  <c r="AY11" i="5"/>
  <c r="AZ11" i="5" s="1"/>
  <c r="BC11" i="5" s="1"/>
  <c r="AY14" i="8"/>
  <c r="AZ14" i="8" s="1"/>
  <c r="BC14" i="8" s="1"/>
  <c r="K20" i="16"/>
  <c r="L20" i="16" s="1"/>
  <c r="O20" i="16" s="1"/>
  <c r="K11" i="1"/>
  <c r="L11" i="1" s="1"/>
  <c r="O11" i="1" s="1"/>
  <c r="AY14" i="9"/>
  <c r="AZ14" i="9" s="1"/>
  <c r="BC14" i="9" s="1"/>
  <c r="AY7" i="15"/>
  <c r="AZ7" i="15" s="1"/>
  <c r="BC7" i="15" s="1"/>
  <c r="AY20" i="25"/>
  <c r="AZ20" i="25" s="1"/>
  <c r="BC20" i="25" s="1"/>
  <c r="K14" i="21"/>
  <c r="L14" i="21" s="1"/>
  <c r="O14" i="21" s="1"/>
  <c r="K27" i="24"/>
  <c r="L27" i="24" s="1"/>
  <c r="O27" i="24" s="1"/>
  <c r="AY27" i="5"/>
  <c r="AZ27" i="5" s="1"/>
  <c r="BC27" i="5" s="1"/>
  <c r="AY27" i="23"/>
  <c r="AZ27" i="23" s="1"/>
  <c r="BC27" i="23" s="1"/>
  <c r="AY27" i="24"/>
  <c r="AZ27" i="24" s="1"/>
  <c r="BC27" i="24" s="1"/>
  <c r="K27" i="5"/>
  <c r="L27" i="5" s="1"/>
  <c r="O27" i="5" s="1"/>
  <c r="K27" i="23"/>
  <c r="L27" i="23" s="1"/>
  <c r="O27" i="23" s="1"/>
  <c r="AY27" i="6"/>
  <c r="AZ27" i="6" s="1"/>
  <c r="BC27" i="6" s="1"/>
  <c r="AY27" i="14"/>
  <c r="AZ27" i="14" s="1"/>
  <c r="BC27" i="14" s="1"/>
  <c r="K27" i="9"/>
  <c r="L27" i="9" s="1"/>
  <c r="O27" i="9" s="1"/>
  <c r="AY27" i="21"/>
  <c r="AZ27" i="21" s="1"/>
  <c r="BC27" i="21" s="1"/>
  <c r="AY27" i="4"/>
  <c r="AZ27" i="4" s="1"/>
  <c r="BC27" i="4" s="1"/>
  <c r="K27" i="2"/>
  <c r="L27" i="2" s="1"/>
  <c r="O27" i="2" s="1"/>
  <c r="AY27" i="8"/>
  <c r="AZ27" i="8" s="1"/>
  <c r="BC27" i="8" s="1"/>
  <c r="AY9" i="10"/>
  <c r="AZ9" i="10" s="1"/>
  <c r="BC9" i="10" s="1"/>
  <c r="K9" i="11"/>
  <c r="L9" i="11" s="1"/>
  <c r="O9" i="11" s="1"/>
  <c r="AY9" i="25"/>
  <c r="AZ9" i="25" s="1"/>
  <c r="BC9" i="25" s="1"/>
  <c r="AY9" i="4"/>
  <c r="AZ9" i="4" s="1"/>
  <c r="BC9" i="4" s="1"/>
  <c r="AY9" i="8"/>
  <c r="AZ9" i="8" s="1"/>
  <c r="BC9" i="8" s="1"/>
  <c r="K9" i="19"/>
  <c r="L9" i="19" s="1"/>
  <c r="O9" i="19" s="1"/>
  <c r="AY9" i="24"/>
  <c r="AZ9" i="24" s="1"/>
  <c r="BC9" i="24" s="1"/>
  <c r="AY9" i="3"/>
  <c r="AZ9" i="3" s="1"/>
  <c r="BC9" i="3" s="1"/>
  <c r="K9" i="21"/>
  <c r="L9" i="21" s="1"/>
  <c r="O9" i="21" s="1"/>
  <c r="K9" i="13"/>
  <c r="L9" i="13" s="1"/>
  <c r="O9" i="13" s="1"/>
  <c r="AY9" i="23"/>
  <c r="AZ9" i="23" s="1"/>
  <c r="BC9" i="23" s="1"/>
  <c r="AY9" i="1"/>
  <c r="AZ9" i="1" s="1"/>
  <c r="BC9" i="1" s="1"/>
  <c r="AY9" i="19"/>
  <c r="AZ9" i="19" s="1"/>
  <c r="BC9" i="19" s="1"/>
  <c r="AY27" i="15"/>
  <c r="AZ27" i="15" s="1"/>
  <c r="BC27" i="15" s="1"/>
  <c r="AY27" i="53"/>
  <c r="AZ27" i="53" s="1"/>
  <c r="BC27" i="53" s="1"/>
  <c r="AY27" i="2"/>
  <c r="AZ27" i="2" s="1"/>
  <c r="BC27" i="2" s="1"/>
  <c r="AY27" i="25"/>
  <c r="AZ27" i="25" s="1"/>
  <c r="BC27" i="25" s="1"/>
  <c r="K27" i="11"/>
  <c r="L27" i="11" s="1"/>
  <c r="O27" i="11" s="1"/>
  <c r="AY9" i="2"/>
  <c r="AZ9" i="2" s="1"/>
  <c r="BC9" i="2" s="1"/>
  <c r="K9" i="24"/>
  <c r="L9" i="24" s="1"/>
  <c r="O9" i="24" s="1"/>
  <c r="AY9" i="21"/>
  <c r="AZ9" i="21" s="1"/>
  <c r="BC9" i="21" s="1"/>
  <c r="AY9" i="12"/>
  <c r="AZ9" i="12" s="1"/>
  <c r="BC9" i="12" s="1"/>
  <c r="AY9" i="9"/>
  <c r="AZ9" i="9" s="1"/>
  <c r="BC9" i="9" s="1"/>
  <c r="AY9" i="11"/>
  <c r="AZ9" i="11" s="1"/>
  <c r="BC9" i="11" s="1"/>
  <c r="AY9" i="6"/>
  <c r="AZ9" i="6" s="1"/>
  <c r="BC9" i="6" s="1"/>
  <c r="K9" i="6"/>
  <c r="L9" i="6" s="1"/>
  <c r="O9" i="6" s="1"/>
  <c r="BA4" i="8"/>
  <c r="BB4" i="8" s="1"/>
  <c r="BA4" i="7"/>
  <c r="BB4" i="7" s="1"/>
  <c r="BC4" i="2"/>
  <c r="L29" i="14"/>
  <c r="I41" i="14" s="1"/>
  <c r="O4" i="14"/>
  <c r="O29" i="14" s="1"/>
  <c r="I44" i="14" s="1"/>
  <c r="O4" i="12"/>
  <c r="L29" i="15"/>
  <c r="I41" i="15" s="1"/>
  <c r="O4" i="15"/>
  <c r="O29" i="15" s="1"/>
  <c r="I44" i="15" s="1"/>
  <c r="O4" i="9"/>
  <c r="O4" i="5"/>
  <c r="O29" i="5" s="1"/>
  <c r="L29" i="5"/>
  <c r="O4" i="11"/>
  <c r="O4" i="22"/>
  <c r="O29" i="22" s="1"/>
  <c r="I44" i="22" s="1"/>
  <c r="L29" i="22"/>
  <c r="I41" i="22" s="1"/>
  <c r="BC4" i="20"/>
  <c r="BC4" i="10"/>
  <c r="O4" i="24"/>
  <c r="O29" i="24" s="1"/>
  <c r="I44" i="24" s="1"/>
  <c r="M2" i="62"/>
  <c r="C154" i="61" s="1"/>
  <c r="CV28" i="61"/>
  <c r="DC12" i="61"/>
  <c r="CT24" i="61"/>
  <c r="DJ14" i="61"/>
  <c r="CU29" i="61"/>
  <c r="DG12" i="61"/>
  <c r="DB23" i="61"/>
  <c r="DC19" i="61"/>
  <c r="CX25" i="61"/>
  <c r="CM18" i="61"/>
  <c r="DB6" i="61"/>
  <c r="DH13" i="61"/>
  <c r="CV21" i="61"/>
  <c r="DE6" i="61"/>
  <c r="CU26" i="61"/>
  <c r="CV19" i="61"/>
  <c r="CY28" i="61"/>
  <c r="CL22" i="61"/>
  <c r="CN8" i="61"/>
  <c r="CZ9" i="61"/>
  <c r="CO24" i="61"/>
  <c r="CX29" i="61"/>
  <c r="DF11" i="61"/>
  <c r="CN18" i="61"/>
  <c r="CP9" i="61"/>
  <c r="DG16" i="61"/>
  <c r="CZ23" i="61"/>
  <c r="CQ25" i="61"/>
  <c r="CR20" i="61"/>
  <c r="CU13" i="61"/>
  <c r="CQ18" i="61"/>
  <c r="CL16" i="61"/>
  <c r="CW29" i="61"/>
  <c r="CU25" i="61"/>
  <c r="CQ15" i="61"/>
  <c r="DE23" i="61"/>
  <c r="CM29" i="61"/>
  <c r="DH22" i="61"/>
  <c r="CS21" i="61"/>
  <c r="CU28" i="61"/>
  <c r="CP21" i="61"/>
  <c r="DH24" i="61"/>
  <c r="DD7" i="61"/>
  <c r="CQ16" i="61"/>
  <c r="CP20" i="61"/>
  <c r="CU11" i="61"/>
  <c r="CY18" i="61"/>
  <c r="DC18" i="61"/>
  <c r="CO16" i="61"/>
  <c r="DE25" i="61"/>
  <c r="CS16" i="61"/>
  <c r="CT17" i="61"/>
  <c r="CL29" i="61"/>
  <c r="CN9" i="61"/>
  <c r="CV17" i="61"/>
  <c r="CS27" i="61"/>
  <c r="CT21" i="61"/>
  <c r="CV13" i="61"/>
  <c r="DB10" i="61"/>
  <c r="CX15" i="61"/>
  <c r="CS8" i="61"/>
  <c r="CL7" i="61"/>
  <c r="CR21" i="61"/>
  <c r="CT18" i="61"/>
  <c r="CR8" i="61"/>
  <c r="DE9" i="61"/>
  <c r="DC6" i="61"/>
  <c r="DI13" i="61"/>
  <c r="CT20" i="61"/>
  <c r="CS25" i="61"/>
  <c r="CZ17" i="61"/>
  <c r="DA27" i="61"/>
  <c r="DE17" i="61"/>
  <c r="DG23" i="61"/>
  <c r="CO26" i="61"/>
  <c r="DB21" i="61"/>
  <c r="CL11" i="61"/>
  <c r="DH18" i="61"/>
  <c r="CX17" i="61"/>
  <c r="DJ18" i="61"/>
  <c r="CT6" i="61"/>
  <c r="DI16" i="61"/>
  <c r="CY29" i="61"/>
  <c r="CP26" i="61"/>
  <c r="CT23" i="61"/>
  <c r="CY13" i="61"/>
  <c r="CM15" i="61"/>
  <c r="CM10" i="61"/>
  <c r="CZ12" i="61"/>
  <c r="DI10" i="61"/>
  <c r="CU15" i="61"/>
  <c r="DA6" i="61"/>
  <c r="DF22" i="61"/>
  <c r="DA8" i="61"/>
  <c r="CM14" i="61"/>
  <c r="DD25" i="61"/>
  <c r="DD17" i="61"/>
  <c r="CO27" i="61"/>
  <c r="CZ18" i="61"/>
  <c r="CW10" i="61"/>
  <c r="CP10" i="61"/>
  <c r="DD22" i="61"/>
  <c r="CR13" i="61"/>
  <c r="DH16" i="61"/>
  <c r="CS29" i="61"/>
  <c r="CZ22" i="61"/>
  <c r="CN14" i="61"/>
  <c r="DA25" i="61"/>
  <c r="DB25" i="61"/>
  <c r="CM24" i="61"/>
  <c r="DJ11" i="61"/>
  <c r="CY7" i="61"/>
  <c r="CQ26" i="61"/>
  <c r="CM7" i="61"/>
  <c r="CN16" i="61"/>
  <c r="DI6" i="61"/>
  <c r="CX22" i="61"/>
  <c r="CW7" i="61"/>
  <c r="CR19" i="61"/>
  <c r="CW18" i="61"/>
  <c r="DG7" i="61"/>
  <c r="CN28" i="61"/>
  <c r="CU20" i="61"/>
  <c r="CU9" i="61"/>
  <c r="DB14" i="61"/>
  <c r="DB15" i="61"/>
  <c r="CT13" i="61"/>
  <c r="DC8" i="61"/>
  <c r="CO7" i="61"/>
  <c r="CZ29" i="61"/>
  <c r="CQ20" i="61"/>
  <c r="DG13" i="61"/>
  <c r="CT14" i="61"/>
  <c r="CQ17" i="61"/>
  <c r="CQ8" i="61"/>
  <c r="CO6" i="61"/>
  <c r="DD16" i="61"/>
  <c r="CT8" i="61"/>
  <c r="DI12" i="61"/>
  <c r="DA14" i="61"/>
  <c r="CN17" i="61"/>
  <c r="DJ27" i="61"/>
  <c r="DE16" i="61"/>
  <c r="CP7" i="61"/>
  <c r="CS28" i="61"/>
  <c r="CQ23" i="61"/>
  <c r="DC26" i="61"/>
  <c r="CL27" i="61"/>
  <c r="DE15" i="61"/>
  <c r="DH20" i="61"/>
  <c r="DJ20" i="61"/>
  <c r="CW28" i="61"/>
  <c r="DH10" i="61"/>
  <c r="CU24" i="61"/>
  <c r="DA16" i="61"/>
  <c r="CV22" i="61"/>
  <c r="CV27" i="61"/>
  <c r="DD19" i="61"/>
  <c r="CN15" i="61"/>
  <c r="CO17" i="61"/>
  <c r="CW14" i="61"/>
  <c r="CT25" i="61"/>
  <c r="DE12" i="61"/>
  <c r="CU17" i="61"/>
  <c r="CY25" i="61"/>
  <c r="CY24" i="61"/>
  <c r="DA13" i="61"/>
  <c r="CU21" i="61"/>
  <c r="DF19" i="61"/>
  <c r="CP16" i="61"/>
  <c r="DG9" i="61"/>
  <c r="DG15" i="61"/>
  <c r="DE20" i="61"/>
  <c r="CO11" i="61"/>
  <c r="CQ9" i="61"/>
  <c r="DH17" i="61"/>
  <c r="DD28" i="61"/>
  <c r="DE22" i="61"/>
  <c r="CW15" i="61"/>
  <c r="CZ14" i="61"/>
  <c r="CZ24" i="61"/>
  <c r="CQ24" i="61"/>
  <c r="CR16" i="61"/>
  <c r="DE13" i="61"/>
  <c r="CR15" i="61"/>
  <c r="DB11" i="61"/>
  <c r="CU18" i="61"/>
  <c r="CO29" i="61"/>
  <c r="CY14" i="61"/>
  <c r="CM17" i="61"/>
  <c r="CO22" i="61"/>
  <c r="CZ16" i="61"/>
  <c r="DF6" i="61"/>
  <c r="DJ6" i="61"/>
  <c r="CN13" i="61"/>
  <c r="CN24" i="61"/>
  <c r="DI18" i="61"/>
  <c r="DF26" i="61"/>
  <c r="CX18" i="61"/>
  <c r="CR9" i="61"/>
  <c r="CQ21" i="61"/>
  <c r="CU23" i="61"/>
  <c r="DC13" i="61"/>
  <c r="CV11" i="61"/>
  <c r="DD27" i="61"/>
  <c r="CL13" i="61"/>
  <c r="DA18" i="61"/>
  <c r="CS17" i="61"/>
  <c r="DD26" i="61"/>
  <c r="CN12" i="61"/>
  <c r="DB17" i="61"/>
  <c r="CP27" i="61"/>
  <c r="DJ28" i="61"/>
  <c r="DD15" i="61"/>
  <c r="CN25" i="61"/>
  <c r="CY10" i="61"/>
  <c r="CO21" i="61"/>
  <c r="DH11" i="61"/>
  <c r="CQ29" i="61"/>
  <c r="DJ13" i="61"/>
  <c r="DH6" i="61"/>
  <c r="CX24" i="61"/>
  <c r="CT29" i="61"/>
  <c r="DA17" i="61"/>
  <c r="CX12" i="61"/>
  <c r="CO9" i="61"/>
  <c r="CL8" i="61"/>
  <c r="DI9" i="61"/>
  <c r="CY19" i="61"/>
  <c r="CT22" i="61"/>
  <c r="DG11" i="61"/>
  <c r="CL10" i="61"/>
  <c r="CQ22" i="61"/>
  <c r="CL19" i="61"/>
  <c r="CM12" i="61"/>
  <c r="CT16" i="61"/>
  <c r="CN27" i="61"/>
  <c r="DB16" i="61"/>
  <c r="CV7" i="61"/>
  <c r="DI29" i="61"/>
  <c r="DJ24" i="61"/>
  <c r="DC7" i="61"/>
  <c r="CX23" i="61"/>
  <c r="CZ13" i="61"/>
  <c r="CN22" i="61"/>
  <c r="CV25" i="61"/>
  <c r="CV6" i="61"/>
  <c r="CW26" i="61"/>
  <c r="CR23" i="61"/>
  <c r="DJ10" i="61"/>
  <c r="CW12" i="61"/>
  <c r="CP22" i="61"/>
  <c r="DB19" i="61"/>
  <c r="DJ16" i="61"/>
  <c r="DF24" i="61"/>
  <c r="CU8" i="61"/>
  <c r="CP12" i="61"/>
  <c r="CS9" i="61"/>
  <c r="CV12" i="61"/>
  <c r="CL14" i="61"/>
  <c r="CQ10" i="61"/>
  <c r="DC15" i="61"/>
  <c r="DF29" i="61"/>
  <c r="CP6" i="61"/>
  <c r="CU14" i="61"/>
  <c r="CX10" i="61"/>
  <c r="CR11" i="61"/>
  <c r="DF8" i="61"/>
  <c r="CP28" i="61"/>
  <c r="DB26" i="61"/>
  <c r="DD13" i="61"/>
  <c r="CZ19" i="61"/>
  <c r="CT11" i="61"/>
  <c r="CM22" i="61"/>
  <c r="CY27" i="61"/>
  <c r="DI20" i="61"/>
  <c r="CY17" i="61"/>
  <c r="DH14" i="61"/>
  <c r="CM19" i="61"/>
  <c r="DD10" i="61"/>
  <c r="CM16" i="61"/>
  <c r="DG26" i="61"/>
  <c r="DJ21" i="61"/>
  <c r="DG29" i="61"/>
  <c r="DI17" i="61"/>
  <c r="DF12" i="61"/>
  <c r="CZ6" i="61"/>
  <c r="DH8" i="61"/>
  <c r="DF7" i="61"/>
  <c r="CT7" i="61"/>
  <c r="CX27" i="61"/>
  <c r="CV10" i="61"/>
  <c r="CP24" i="61"/>
  <c r="CN20" i="61"/>
  <c r="DA26" i="61"/>
  <c r="DG21" i="61"/>
  <c r="CZ26" i="61"/>
  <c r="DE26" i="61"/>
  <c r="CS22" i="61"/>
  <c r="DE8" i="61"/>
  <c r="DD23" i="61"/>
  <c r="DJ22" i="61"/>
  <c r="CS13" i="61"/>
  <c r="DE11" i="61"/>
  <c r="DE24" i="61"/>
  <c r="CS26" i="61"/>
  <c r="CO12" i="61"/>
  <c r="CN26" i="61"/>
  <c r="DE29" i="61"/>
  <c r="CN19" i="61"/>
  <c r="CU22" i="61"/>
  <c r="DB20" i="61"/>
  <c r="CW11" i="61"/>
  <c r="DC16" i="61"/>
  <c r="CL6" i="61"/>
  <c r="CW19" i="61"/>
  <c r="CX26" i="61"/>
  <c r="DA7" i="61"/>
  <c r="CY8" i="61"/>
  <c r="CY11" i="61"/>
  <c r="CX14" i="61"/>
  <c r="DJ9" i="61"/>
  <c r="DF25" i="61"/>
  <c r="DJ8" i="61"/>
  <c r="CO28" i="61"/>
  <c r="DB29" i="61"/>
  <c r="DG10" i="61"/>
  <c r="CU6" i="61"/>
  <c r="DD11" i="61"/>
  <c r="CW20" i="61"/>
  <c r="DF27" i="61"/>
  <c r="DI7" i="61"/>
  <c r="CZ28" i="61"/>
  <c r="CV14" i="61"/>
  <c r="DH28" i="61"/>
  <c r="CS12" i="61"/>
  <c r="CU10" i="61"/>
  <c r="DJ17" i="61"/>
  <c r="CN10" i="61"/>
  <c r="DE19" i="61"/>
  <c r="DG14" i="61"/>
  <c r="DF18" i="61"/>
  <c r="CS10" i="61"/>
  <c r="CX13" i="61"/>
  <c r="DC23" i="61"/>
  <c r="DJ7" i="61"/>
  <c r="CS18" i="61"/>
  <c r="CO19" i="61"/>
  <c r="DG24" i="61"/>
  <c r="CV29" i="61"/>
  <c r="DG22" i="61"/>
  <c r="CW8" i="61"/>
  <c r="DA15" i="61"/>
  <c r="DB12" i="61"/>
  <c r="CP15" i="61"/>
  <c r="CR14" i="61"/>
  <c r="CZ21" i="61"/>
  <c r="CZ10" i="61"/>
  <c r="CR18" i="61"/>
  <c r="CR17" i="61"/>
  <c r="CS20" i="61"/>
  <c r="CV16" i="61"/>
  <c r="DI23" i="61"/>
  <c r="DJ29" i="61"/>
  <c r="CU19" i="61"/>
  <c r="DD29" i="61"/>
  <c r="DB24" i="61"/>
  <c r="CL15" i="61"/>
  <c r="CN7" i="61"/>
  <c r="CU27" i="61"/>
  <c r="DC29" i="61"/>
  <c r="DI26" i="61"/>
  <c r="CU12" i="61"/>
  <c r="CQ6" i="61"/>
  <c r="DI11" i="61"/>
  <c r="CM23" i="61"/>
  <c r="CX19" i="61"/>
  <c r="DG6" i="61"/>
  <c r="CR12" i="61"/>
  <c r="DI21" i="61"/>
  <c r="CW16" i="61"/>
  <c r="DA23" i="61"/>
  <c r="CZ20" i="61"/>
  <c r="DI25" i="61"/>
  <c r="CT10" i="61"/>
  <c r="CY21" i="61"/>
  <c r="CN29" i="61"/>
  <c r="DG25" i="61"/>
  <c r="CQ11" i="61"/>
  <c r="DD18" i="61"/>
  <c r="CP11" i="61"/>
  <c r="CT26" i="61"/>
  <c r="CV18" i="61"/>
  <c r="DI15" i="61"/>
  <c r="CX16" i="61"/>
  <c r="CQ27" i="61"/>
  <c r="CS6" i="61"/>
  <c r="CL20" i="61"/>
  <c r="DA20" i="61"/>
  <c r="DD14" i="61"/>
  <c r="CX28" i="61"/>
  <c r="DD6" i="61"/>
  <c r="CP8" i="61"/>
  <c r="DF23" i="61"/>
  <c r="DH29" i="61"/>
  <c r="CL17" i="61"/>
  <c r="DB8" i="61"/>
  <c r="DC28" i="61"/>
  <c r="CX21" i="61"/>
  <c r="CQ28" i="61"/>
  <c r="DB28" i="61"/>
  <c r="DA10" i="61"/>
  <c r="CV20" i="61"/>
  <c r="DC21" i="61"/>
  <c r="DC20" i="61"/>
  <c r="CX20" i="61"/>
  <c r="CW13" i="61"/>
  <c r="CS7" i="61"/>
  <c r="CP14" i="61"/>
  <c r="DI14" i="61"/>
  <c r="CY16" i="61"/>
  <c r="CO25" i="61"/>
  <c r="CQ13" i="61"/>
  <c r="DA9" i="61"/>
  <c r="CW22" i="61"/>
  <c r="CZ15" i="61"/>
  <c r="CW6" i="61"/>
  <c r="DB13" i="61"/>
  <c r="CP25" i="61"/>
  <c r="DI22" i="61"/>
  <c r="CZ11" i="61"/>
  <c r="CL26" i="61"/>
  <c r="DD8" i="61"/>
  <c r="DF13" i="61"/>
  <c r="CL28" i="61"/>
  <c r="DE10" i="61"/>
  <c r="CM11" i="61"/>
  <c r="DF14" i="61"/>
  <c r="CR27" i="61"/>
  <c r="DH23" i="61"/>
  <c r="DH15" i="61"/>
  <c r="CP13" i="61"/>
  <c r="DI24" i="61"/>
  <c r="DC24" i="61"/>
  <c r="CM13" i="61"/>
  <c r="DC27" i="61"/>
  <c r="DC22" i="61"/>
  <c r="CM6" i="61"/>
  <c r="DE7" i="61"/>
  <c r="DG19" i="61"/>
  <c r="CR22" i="61"/>
  <c r="CR25" i="61"/>
  <c r="DH27" i="61"/>
  <c r="CU16" i="61"/>
  <c r="CQ12" i="61"/>
  <c r="CL21" i="61"/>
  <c r="CM27" i="61"/>
  <c r="DJ25" i="61"/>
  <c r="CZ25" i="61"/>
  <c r="DB27" i="61"/>
  <c r="CW24" i="61"/>
  <c r="DD12" i="61"/>
  <c r="CR26" i="61"/>
  <c r="CY9" i="61"/>
  <c r="DH9" i="61"/>
  <c r="DH21" i="61"/>
  <c r="CP23" i="61"/>
  <c r="DE27" i="61"/>
  <c r="DC10" i="61"/>
  <c r="CS11" i="61"/>
  <c r="DJ19" i="61"/>
  <c r="CY20" i="61"/>
  <c r="CZ8" i="61"/>
  <c r="CN23" i="61"/>
  <c r="CL18" i="61"/>
  <c r="DF16" i="61"/>
  <c r="CO14" i="61"/>
  <c r="CQ14" i="61"/>
  <c r="DG8" i="61"/>
  <c r="CV9" i="61"/>
  <c r="CW9" i="61"/>
  <c r="CZ7" i="61"/>
  <c r="CW23" i="61"/>
  <c r="DA24" i="61"/>
  <c r="DE28" i="61"/>
  <c r="CY12" i="61"/>
  <c r="DC9" i="61"/>
  <c r="CX9" i="61"/>
  <c r="DC17" i="61"/>
  <c r="CX7" i="61"/>
  <c r="DA28" i="61"/>
  <c r="CR29" i="61"/>
  <c r="CN11" i="61"/>
  <c r="CU7" i="61"/>
  <c r="CM28" i="61"/>
  <c r="DA29" i="61"/>
  <c r="CX11" i="61"/>
  <c r="CX8" i="61"/>
  <c r="CM9" i="61"/>
  <c r="DH7" i="61"/>
  <c r="CY15" i="61"/>
  <c r="DJ23" i="61"/>
  <c r="CR24" i="61"/>
  <c r="CZ27" i="61"/>
  <c r="CN21" i="61"/>
  <c r="DD24" i="61"/>
  <c r="CO18" i="61"/>
  <c r="DH26" i="61"/>
  <c r="DI8" i="61"/>
  <c r="DF17" i="61"/>
  <c r="DE14" i="61"/>
  <c r="CP17" i="61"/>
  <c r="CW27" i="61"/>
  <c r="CO23" i="61"/>
  <c r="DB7" i="61"/>
  <c r="CT19" i="61"/>
  <c r="CM8" i="61"/>
  <c r="CQ7" i="61"/>
  <c r="CP19" i="61"/>
  <c r="DE21" i="61"/>
  <c r="DC25" i="61"/>
  <c r="CM20" i="61"/>
  <c r="CY6" i="61"/>
  <c r="CV23" i="61"/>
  <c r="CO8" i="61"/>
  <c r="CL23" i="61"/>
  <c r="CO13" i="61"/>
  <c r="DJ12" i="61"/>
  <c r="CS23" i="61"/>
  <c r="CY23" i="61"/>
  <c r="CS19" i="61"/>
  <c r="CV8" i="61"/>
  <c r="DH25" i="61"/>
  <c r="CM25" i="61"/>
  <c r="DI19" i="61"/>
  <c r="DB18" i="61"/>
  <c r="DB22" i="61"/>
  <c r="DJ26" i="61"/>
  <c r="DI27" i="61"/>
  <c r="DF10" i="61"/>
  <c r="DC14" i="61"/>
  <c r="CT15" i="61"/>
  <c r="DA21" i="61"/>
  <c r="CR6" i="61"/>
  <c r="CO20" i="61"/>
  <c r="CN6" i="61"/>
  <c r="DI28" i="61"/>
  <c r="DG28" i="61"/>
  <c r="CT9" i="61"/>
  <c r="DH19" i="61"/>
  <c r="CT28" i="61"/>
  <c r="CL12" i="61"/>
  <c r="CP29" i="61"/>
  <c r="DD20" i="61"/>
  <c r="DE18" i="61"/>
  <c r="CM21" i="61"/>
  <c r="CS15" i="61"/>
  <c r="CW25" i="61"/>
  <c r="DG17" i="61"/>
  <c r="DA11" i="61"/>
  <c r="DG18" i="61"/>
  <c r="CY26" i="61"/>
  <c r="CO15" i="61"/>
  <c r="DA12" i="61"/>
  <c r="CV15" i="61"/>
  <c r="CX6" i="61"/>
  <c r="CW21" i="61"/>
  <c r="DD21" i="61"/>
  <c r="DF21" i="61"/>
  <c r="CS24" i="61"/>
  <c r="DA19" i="61"/>
  <c r="CV26" i="61"/>
  <c r="DH12" i="61"/>
  <c r="CO10" i="61"/>
  <c r="CY22" i="61"/>
  <c r="DF15" i="61"/>
  <c r="DA22" i="61"/>
  <c r="CT12" i="61"/>
  <c r="M3" i="62"/>
  <c r="DC11" i="61"/>
  <c r="DD9" i="61"/>
  <c r="DB9" i="61"/>
  <c r="CL25" i="61"/>
  <c r="DF9" i="61"/>
  <c r="CW17" i="61"/>
  <c r="CL24" i="61"/>
  <c r="CP18" i="61"/>
  <c r="DF20" i="61"/>
  <c r="DG20" i="61"/>
  <c r="CT27" i="61"/>
  <c r="CS14" i="61"/>
  <c r="CM26" i="61"/>
  <c r="CQ19" i="61"/>
  <c r="DG27" i="61"/>
  <c r="DF28" i="61"/>
  <c r="CR28" i="61"/>
  <c r="DJ15" i="61"/>
  <c r="CR10" i="61"/>
  <c r="CV24" i="61"/>
  <c r="CR7" i="61"/>
  <c r="CL9" i="61"/>
  <c r="DA5" i="61"/>
  <c r="DH5" i="61"/>
  <c r="CM5" i="61"/>
  <c r="CL5" i="61"/>
  <c r="CR5" i="61"/>
  <c r="CX5" i="61"/>
  <c r="CP5" i="61"/>
  <c r="DI5" i="61"/>
  <c r="CN5" i="61"/>
  <c r="CW5" i="61"/>
  <c r="DD5" i="61"/>
  <c r="CY5" i="61"/>
  <c r="DG5" i="61"/>
  <c r="CV5" i="61"/>
  <c r="CT5" i="61"/>
  <c r="DB5" i="61"/>
  <c r="CS5" i="61"/>
  <c r="DF5" i="61"/>
  <c r="CU5" i="61"/>
  <c r="CZ5" i="61"/>
  <c r="DC5" i="61"/>
  <c r="CO5" i="61"/>
  <c r="DJ5" i="61"/>
  <c r="CQ5" i="61"/>
  <c r="DE5" i="61"/>
  <c r="O4" i="19"/>
  <c r="O29" i="19" s="1"/>
  <c r="I44" i="19" s="1"/>
  <c r="L29" i="19"/>
  <c r="I41" i="19" s="1"/>
  <c r="L29" i="2"/>
  <c r="O4" i="2"/>
  <c r="O29" i="2" s="1"/>
  <c r="BC4" i="14"/>
  <c r="BC4" i="12"/>
  <c r="BC4" i="15"/>
  <c r="BC4" i="9"/>
  <c r="BC4" i="5"/>
  <c r="BC4" i="11"/>
  <c r="BC4" i="22"/>
  <c r="L29" i="20"/>
  <c r="I41" i="20" s="1"/>
  <c r="O4" i="20"/>
  <c r="O29" i="20" s="1"/>
  <c r="I44" i="20" s="1"/>
  <c r="L29" i="10"/>
  <c r="I41" i="10" s="1"/>
  <c r="O4" i="10"/>
  <c r="O29" i="10" s="1"/>
  <c r="I44" i="10" s="1"/>
  <c r="BC4" i="24"/>
  <c r="BC4" i="25"/>
  <c r="BC4" i="19"/>
  <c r="L29" i="21"/>
  <c r="I41" i="21" s="1"/>
  <c r="O4" i="21"/>
  <c r="O29" i="21" s="1"/>
  <c r="I44" i="21" s="1"/>
  <c r="L29" i="23"/>
  <c r="I41" i="23" s="1"/>
  <c r="O4" i="23"/>
  <c r="O29" i="23" s="1"/>
  <c r="I44" i="23" s="1"/>
  <c r="O4" i="7"/>
  <c r="O29" i="7" s="1"/>
  <c r="I44" i="7" s="1"/>
  <c r="L29" i="7"/>
  <c r="I41" i="7" s="1"/>
  <c r="BC4" i="4"/>
  <c r="L29" i="17"/>
  <c r="I41" i="17" s="1"/>
  <c r="O4" i="17"/>
  <c r="O29" i="17" s="1"/>
  <c r="I44" i="17" s="1"/>
  <c r="BC4" i="18"/>
  <c r="O4" i="16"/>
  <c r="O29" i="16" s="1"/>
  <c r="I44" i="16" s="1"/>
  <c r="L29" i="16"/>
  <c r="I41" i="16" s="1"/>
  <c r="O4" i="8"/>
  <c r="O29" i="8" s="1"/>
  <c r="I44" i="8" s="1"/>
  <c r="L29" i="8"/>
  <c r="I41" i="8" s="1"/>
  <c r="L29" i="1"/>
  <c r="O4" i="1"/>
  <c r="O29" i="1" s="1"/>
  <c r="L29" i="6"/>
  <c r="I41" i="6" s="1"/>
  <c r="O4" i="6"/>
  <c r="O29" i="6" s="1"/>
  <c r="I44" i="6" s="1"/>
  <c r="L29" i="3"/>
  <c r="O4" i="3"/>
  <c r="O29" i="3" s="1"/>
  <c r="AZ4" i="53"/>
  <c r="BC4" i="13"/>
  <c r="BC4" i="21"/>
  <c r="BC4" i="23"/>
  <c r="BC4" i="7"/>
  <c r="L29" i="4"/>
  <c r="O4" i="4"/>
  <c r="O29" i="4" s="1"/>
  <c r="BC4" i="17"/>
  <c r="L29" i="18"/>
  <c r="I41" i="18" s="1"/>
  <c r="O4" i="18"/>
  <c r="O29" i="18" s="1"/>
  <c r="I44" i="18" s="1"/>
  <c r="BC4" i="8"/>
  <c r="BC4" i="1"/>
  <c r="BC4" i="6"/>
  <c r="L29" i="25"/>
  <c r="I41" i="25" s="1"/>
  <c r="O4" i="25"/>
  <c r="O29" i="25" s="1"/>
  <c r="I44" i="25" s="1"/>
  <c r="L29" i="53"/>
  <c r="S19" i="53" s="1"/>
  <c r="O4" i="53"/>
  <c r="O29" i="53" s="1"/>
  <c r="S22" i="53" s="1"/>
  <c r="L29" i="13"/>
  <c r="I41" i="13" s="1"/>
  <c r="O4" i="13"/>
  <c r="O29" i="13" s="1"/>
  <c r="I44" i="13" s="1"/>
  <c r="S32" i="17" l="1"/>
  <c r="BL91" i="61" s="1"/>
  <c r="S32" i="23"/>
  <c r="BF91" i="61" s="1"/>
  <c r="S32" i="21"/>
  <c r="BH91" i="61" s="1"/>
  <c r="S32" i="14"/>
  <c r="BO91" i="61" s="1"/>
  <c r="S32" i="24"/>
  <c r="BE91" i="61" s="1"/>
  <c r="O29" i="12"/>
  <c r="I44" i="12" s="1"/>
  <c r="N29" i="19"/>
  <c r="I43" i="19" s="1"/>
  <c r="L29" i="11"/>
  <c r="I41" i="11" s="1"/>
  <c r="O29" i="9"/>
  <c r="I44" i="9" s="1"/>
  <c r="BB29" i="7"/>
  <c r="BG20" i="7" s="1"/>
  <c r="S19" i="7" s="1"/>
  <c r="BV78" i="61" s="1"/>
  <c r="BB29" i="8"/>
  <c r="BG20" i="8" s="1"/>
  <c r="S19" i="8" s="1"/>
  <c r="BU78" i="61" s="1"/>
  <c r="AZ29" i="12"/>
  <c r="BG18" i="12" s="1"/>
  <c r="S17" i="12" s="1"/>
  <c r="BQ76" i="61" s="1"/>
  <c r="BC29" i="17"/>
  <c r="BG21" i="17" s="1"/>
  <c r="S20" i="17" s="1"/>
  <c r="AZ29" i="24"/>
  <c r="BG18" i="24" s="1"/>
  <c r="S17" i="24" s="1"/>
  <c r="BC29" i="3"/>
  <c r="BC29" i="16"/>
  <c r="BG21" i="16" s="1"/>
  <c r="S20" i="16" s="1"/>
  <c r="BG28" i="16" s="1"/>
  <c r="AZ29" i="19"/>
  <c r="BG18" i="19" s="1"/>
  <c r="S17" i="19" s="1"/>
  <c r="BC29" i="21"/>
  <c r="BG21" i="21" s="1"/>
  <c r="S20" i="21" s="1"/>
  <c r="BC29" i="1"/>
  <c r="BC29" i="18"/>
  <c r="BG21" i="18" s="1"/>
  <c r="S20" i="18" s="1"/>
  <c r="AZ29" i="16"/>
  <c r="BG18" i="16" s="1"/>
  <c r="S17" i="16" s="1"/>
  <c r="BC29" i="4"/>
  <c r="BC29" i="7"/>
  <c r="BG21" i="7" s="1"/>
  <c r="S20" i="7" s="1"/>
  <c r="BV79" i="61" s="1"/>
  <c r="AZ29" i="11"/>
  <c r="BG18" i="11" s="1"/>
  <c r="S17" i="11" s="1"/>
  <c r="BR76" i="61" s="1"/>
  <c r="AZ29" i="10"/>
  <c r="BG18" i="10" s="1"/>
  <c r="S17" i="10" s="1"/>
  <c r="BB29" i="19"/>
  <c r="BG20" i="19" s="1"/>
  <c r="S19" i="19" s="1"/>
  <c r="BJ78" i="61" s="1"/>
  <c r="BB29" i="21"/>
  <c r="BG20" i="21" s="1"/>
  <c r="S19" i="21" s="1"/>
  <c r="BH78" i="61" s="1"/>
  <c r="BB29" i="5"/>
  <c r="BB29" i="24"/>
  <c r="BG20" i="24" s="1"/>
  <c r="S19" i="24" s="1"/>
  <c r="BE78" i="61" s="1"/>
  <c r="BB29" i="6"/>
  <c r="BG20" i="6" s="1"/>
  <c r="S19" i="6" s="1"/>
  <c r="BW78" i="61" s="1"/>
  <c r="AZ29" i="9"/>
  <c r="BG18" i="9" s="1"/>
  <c r="S17" i="9" s="1"/>
  <c r="AZ29" i="15"/>
  <c r="BG18" i="15" s="1"/>
  <c r="S17" i="15" s="1"/>
  <c r="I46" i="15" s="1"/>
  <c r="BB29" i="13"/>
  <c r="BG20" i="13" s="1"/>
  <c r="S19" i="13" s="1"/>
  <c r="BP78" i="61" s="1"/>
  <c r="BB29" i="25"/>
  <c r="BG20" i="25" s="1"/>
  <c r="S19" i="25" s="1"/>
  <c r="BD78" i="61" s="1"/>
  <c r="AZ29" i="3"/>
  <c r="AZ29" i="17"/>
  <c r="BG18" i="17" s="1"/>
  <c r="S17" i="17" s="1"/>
  <c r="I42" i="17" s="1"/>
  <c r="AZ29" i="21"/>
  <c r="BG18" i="21" s="1"/>
  <c r="S17" i="21" s="1"/>
  <c r="BC29" i="5"/>
  <c r="BC29" i="6"/>
  <c r="BG21" i="6" s="1"/>
  <c r="S20" i="6" s="1"/>
  <c r="BW79" i="61" s="1"/>
  <c r="BC29" i="8"/>
  <c r="BG21" i="8" s="1"/>
  <c r="S20" i="8" s="1"/>
  <c r="BU79" i="61" s="1"/>
  <c r="AZ29" i="23"/>
  <c r="BG18" i="23" s="1"/>
  <c r="S17" i="23" s="1"/>
  <c r="BC29" i="13"/>
  <c r="BG21" i="13" s="1"/>
  <c r="S20" i="13" s="1"/>
  <c r="AZ29" i="25"/>
  <c r="BG18" i="25" s="1"/>
  <c r="S17" i="25" s="1"/>
  <c r="I45" i="25" s="1"/>
  <c r="AZ29" i="22"/>
  <c r="BG18" i="22" s="1"/>
  <c r="S17" i="22" s="1"/>
  <c r="BG23" i="22" s="1"/>
  <c r="AZ29" i="5"/>
  <c r="BC29" i="15"/>
  <c r="BG21" i="15" s="1"/>
  <c r="S20" i="15" s="1"/>
  <c r="AZ29" i="14"/>
  <c r="BG18" i="14" s="1"/>
  <c r="S17" i="14" s="1"/>
  <c r="I45" i="14" s="1"/>
  <c r="BC29" i="2"/>
  <c r="BB29" i="12"/>
  <c r="BG20" i="12" s="1"/>
  <c r="S19" i="12" s="1"/>
  <c r="BQ78" i="61" s="1"/>
  <c r="BB29" i="3"/>
  <c r="BB29" i="10"/>
  <c r="BG20" i="10" s="1"/>
  <c r="S19" i="10" s="1"/>
  <c r="BS78" i="61" s="1"/>
  <c r="BB29" i="17"/>
  <c r="BG20" i="17" s="1"/>
  <c r="S19" i="17" s="1"/>
  <c r="BL78" i="61" s="1"/>
  <c r="BB29" i="2"/>
  <c r="BB29" i="16"/>
  <c r="BG20" i="16" s="1"/>
  <c r="S19" i="16" s="1"/>
  <c r="BM78" i="61" s="1"/>
  <c r="BB29" i="23"/>
  <c r="BG20" i="23" s="1"/>
  <c r="S19" i="23" s="1"/>
  <c r="BF78" i="61" s="1"/>
  <c r="AZ29" i="1"/>
  <c r="AZ29" i="7"/>
  <c r="BG18" i="7" s="1"/>
  <c r="S17" i="7" s="1"/>
  <c r="BC29" i="25"/>
  <c r="BG21" i="25" s="1"/>
  <c r="S20" i="25" s="1"/>
  <c r="BC29" i="22"/>
  <c r="BG21" i="22" s="1"/>
  <c r="S20" i="22" s="1"/>
  <c r="BC29" i="14"/>
  <c r="BG21" i="14" s="1"/>
  <c r="S20" i="14" s="1"/>
  <c r="BO79" i="61" s="1"/>
  <c r="AZ29" i="6"/>
  <c r="BG18" i="6" s="1"/>
  <c r="S17" i="6" s="1"/>
  <c r="AZ29" i="8"/>
  <c r="BG18" i="8" s="1"/>
  <c r="S17" i="8" s="1"/>
  <c r="BC29" i="23"/>
  <c r="BG21" i="23" s="1"/>
  <c r="S20" i="23" s="1"/>
  <c r="I51" i="23" s="1"/>
  <c r="AZ29" i="13"/>
  <c r="BG18" i="13" s="1"/>
  <c r="S17" i="13" s="1"/>
  <c r="BP76" i="61" s="1"/>
  <c r="AZ29" i="18"/>
  <c r="BG18" i="18" s="1"/>
  <c r="S17" i="18" s="1"/>
  <c r="AZ29" i="4"/>
  <c r="BC29" i="19"/>
  <c r="BG21" i="19" s="1"/>
  <c r="S20" i="19" s="1"/>
  <c r="BG28" i="19" s="1"/>
  <c r="BC29" i="24"/>
  <c r="BG21" i="24" s="1"/>
  <c r="S20" i="24" s="1"/>
  <c r="I51" i="24" s="1"/>
  <c r="BC29" i="11"/>
  <c r="BG21" i="11" s="1"/>
  <c r="S20" i="11" s="1"/>
  <c r="BC29" i="9"/>
  <c r="BG21" i="9" s="1"/>
  <c r="S20" i="9" s="1"/>
  <c r="BC29" i="12"/>
  <c r="BG21" i="12" s="1"/>
  <c r="S20" i="12" s="1"/>
  <c r="BQ79" i="61" s="1"/>
  <c r="BB29" i="20"/>
  <c r="BG20" i="20" s="1"/>
  <c r="S19" i="20" s="1"/>
  <c r="BI78" i="61" s="1"/>
  <c r="BB29" i="18"/>
  <c r="BG20" i="18" s="1"/>
  <c r="S19" i="18" s="1"/>
  <c r="BK78" i="61" s="1"/>
  <c r="BB29" i="22"/>
  <c r="BG20" i="22" s="1"/>
  <c r="S19" i="22" s="1"/>
  <c r="BG78" i="61" s="1"/>
  <c r="BB29" i="4"/>
  <c r="BB29" i="1"/>
  <c r="BC29" i="20"/>
  <c r="BG21" i="20" s="1"/>
  <c r="S20" i="20" s="1"/>
  <c r="BB29" i="14"/>
  <c r="BG20" i="14" s="1"/>
  <c r="S19" i="14" s="1"/>
  <c r="BO78" i="61" s="1"/>
  <c r="BB29" i="15"/>
  <c r="BG20" i="15" s="1"/>
  <c r="S19" i="15" s="1"/>
  <c r="BN78" i="61" s="1"/>
  <c r="BB29" i="11"/>
  <c r="BG20" i="11" s="1"/>
  <c r="S19" i="11" s="1"/>
  <c r="BR78" i="61" s="1"/>
  <c r="L29" i="24"/>
  <c r="I41" i="24" s="1"/>
  <c r="AZ29" i="20"/>
  <c r="BG18" i="20" s="1"/>
  <c r="S17" i="20" s="1"/>
  <c r="O29" i="11"/>
  <c r="I44" i="11" s="1"/>
  <c r="L29" i="9"/>
  <c r="I41" i="9" s="1"/>
  <c r="L29" i="12"/>
  <c r="I41" i="12" s="1"/>
  <c r="AZ29" i="2"/>
  <c r="AI32" i="4"/>
  <c r="AJ32" i="4" s="1"/>
  <c r="AJ33" i="4" s="1"/>
  <c r="AH33" i="4"/>
  <c r="AI32" i="5"/>
  <c r="AJ32" i="5" s="1"/>
  <c r="AJ33" i="5" s="1"/>
  <c r="AH33" i="5"/>
  <c r="AH33" i="9"/>
  <c r="AI32" i="9"/>
  <c r="AJ32" i="9" s="1"/>
  <c r="AJ33" i="9" s="1"/>
  <c r="AI32" i="17"/>
  <c r="AJ32" i="17" s="1"/>
  <c r="AJ33" i="17" s="1"/>
  <c r="AH33" i="17"/>
  <c r="AH33" i="15"/>
  <c r="AI32" i="15"/>
  <c r="AJ32" i="15" s="1"/>
  <c r="AJ33" i="15" s="1"/>
  <c r="AH33" i="19"/>
  <c r="AI32" i="19"/>
  <c r="AJ32" i="19" s="1"/>
  <c r="AJ33" i="19" s="1"/>
  <c r="BB29" i="9"/>
  <c r="BG20" i="9" s="1"/>
  <c r="S19" i="9" s="1"/>
  <c r="BT78" i="61" s="1"/>
  <c r="BC29" i="10"/>
  <c r="BG21" i="10" s="1"/>
  <c r="S20" i="10" s="1"/>
  <c r="BS79" i="61" s="1"/>
  <c r="AH33" i="10"/>
  <c r="AI32" i="10"/>
  <c r="AJ32" i="10" s="1"/>
  <c r="AJ33" i="10" s="1"/>
  <c r="AH33" i="13"/>
  <c r="AI32" i="13"/>
  <c r="AJ32" i="13" s="1"/>
  <c r="AJ33" i="13" s="1"/>
  <c r="AI32" i="53"/>
  <c r="AJ32" i="53" s="1"/>
  <c r="AJ33" i="53" s="1"/>
  <c r="AH33" i="53"/>
  <c r="AH33" i="7"/>
  <c r="AI32" i="7"/>
  <c r="AJ32" i="7" s="1"/>
  <c r="AJ33" i="7" s="1"/>
  <c r="AI32" i="1"/>
  <c r="AJ32" i="1" s="1"/>
  <c r="AJ33" i="1" s="1"/>
  <c r="AH33" i="1"/>
  <c r="AH33" i="21"/>
  <c r="AI32" i="21"/>
  <c r="AJ32" i="21" s="1"/>
  <c r="AJ33" i="21" s="1"/>
  <c r="AI32" i="18"/>
  <c r="AJ32" i="18" s="1"/>
  <c r="AJ33" i="18" s="1"/>
  <c r="AH33" i="18"/>
  <c r="DC43" i="61"/>
  <c r="CO38" i="61"/>
  <c r="DH45" i="61"/>
  <c r="CX50" i="61"/>
  <c r="CP45" i="61"/>
  <c r="CN51" i="61"/>
  <c r="CM50" i="61"/>
  <c r="DG44" i="61"/>
  <c r="DB48" i="61"/>
  <c r="CN50" i="61"/>
  <c r="DE35" i="61"/>
  <c r="CU33" i="61"/>
  <c r="CS44" i="61"/>
  <c r="CU45" i="61"/>
  <c r="CT33" i="61"/>
  <c r="CL45" i="61"/>
  <c r="CW54" i="61"/>
  <c r="CW47" i="61"/>
  <c r="CN37" i="61"/>
  <c r="CP48" i="61"/>
  <c r="DI32" i="61"/>
  <c r="CQ49" i="61"/>
  <c r="DC47" i="61"/>
  <c r="CX41" i="61"/>
  <c r="CO49" i="61"/>
  <c r="CQ35" i="61"/>
  <c r="CS49" i="61"/>
  <c r="CX51" i="61"/>
  <c r="CN41" i="61"/>
  <c r="DC48" i="61"/>
  <c r="DI31" i="61"/>
  <c r="CR47" i="61"/>
  <c r="DB43" i="61"/>
  <c r="DI34" i="61"/>
  <c r="DA50" i="61"/>
  <c r="CV32" i="61"/>
  <c r="CR41" i="61"/>
  <c r="DB36" i="61"/>
  <c r="CP49" i="61"/>
  <c r="CU36" i="61"/>
  <c r="CY49" i="61"/>
  <c r="DI43" i="61"/>
  <c r="DC45" i="61"/>
  <c r="CW32" i="61"/>
  <c r="DB31" i="61"/>
  <c r="CM34" i="61"/>
  <c r="DF49" i="61"/>
  <c r="DG31" i="61"/>
  <c r="CO39" i="61"/>
  <c r="DI49" i="61"/>
  <c r="CS45" i="61"/>
  <c r="DC46" i="61"/>
  <c r="DH48" i="61"/>
  <c r="CV38" i="61"/>
  <c r="CZ52" i="61"/>
  <c r="CV37" i="61"/>
  <c r="CS53" i="61"/>
  <c r="CY53" i="61"/>
  <c r="CX54" i="61"/>
  <c r="DE34" i="61"/>
  <c r="DB44" i="61"/>
  <c r="CQ42" i="61"/>
  <c r="CQ47" i="61"/>
  <c r="CS41" i="61"/>
  <c r="CM32" i="61"/>
  <c r="DI51" i="61"/>
  <c r="CU53" i="61"/>
  <c r="CT46" i="61"/>
  <c r="CZ40" i="61"/>
  <c r="CZ45" i="61"/>
  <c r="CV44" i="61"/>
  <c r="CY40" i="61"/>
  <c r="CX40" i="61"/>
  <c r="DC37" i="61"/>
  <c r="CQ41" i="61"/>
  <c r="CO54" i="61"/>
  <c r="DD54" i="61"/>
  <c r="CZ42" i="61"/>
  <c r="CX35" i="61"/>
  <c r="CY37" i="61"/>
  <c r="DG42" i="61"/>
  <c r="DE31" i="61"/>
  <c r="DJ49" i="61"/>
  <c r="CR49" i="61"/>
  <c r="DA42" i="61"/>
  <c r="DG54" i="61"/>
  <c r="CR54" i="61"/>
  <c r="CT34" i="61"/>
  <c r="CU54" i="61"/>
  <c r="DF37" i="61"/>
  <c r="CR42" i="61"/>
  <c r="CT31" i="61"/>
  <c r="DF41" i="61"/>
  <c r="CR53" i="61"/>
  <c r="CR36" i="61"/>
  <c r="CL41" i="61"/>
  <c r="DJ32" i="61"/>
  <c r="CX52" i="61"/>
  <c r="DH35" i="61"/>
  <c r="CV35" i="61"/>
  <c r="DJ36" i="61"/>
  <c r="CO31" i="61"/>
  <c r="CU32" i="61"/>
  <c r="CM48" i="61"/>
  <c r="CM51" i="61"/>
  <c r="CZ33" i="61"/>
  <c r="CM40" i="61"/>
  <c r="CW39" i="61"/>
  <c r="DA38" i="61"/>
  <c r="CQ33" i="61"/>
  <c r="CV49" i="61"/>
  <c r="DC39" i="61"/>
  <c r="CS54" i="61"/>
  <c r="CS35" i="61"/>
  <c r="CQ30" i="61"/>
  <c r="DF42" i="61"/>
  <c r="DE43" i="61"/>
  <c r="CZ31" i="61"/>
  <c r="CY54" i="61"/>
  <c r="CU46" i="61"/>
  <c r="DI53" i="61"/>
  <c r="CO53" i="61"/>
  <c r="CQ50" i="61"/>
  <c r="DJ48" i="61"/>
  <c r="DF30" i="61"/>
  <c r="CT35" i="61"/>
  <c r="CL46" i="61"/>
  <c r="DG45" i="61"/>
  <c r="DD53" i="61"/>
  <c r="DI41" i="61"/>
  <c r="DC34" i="61"/>
  <c r="CY48" i="61"/>
  <c r="CO48" i="61"/>
  <c r="CP38" i="61"/>
  <c r="CR30" i="61"/>
  <c r="CP34" i="61"/>
  <c r="CN38" i="61"/>
  <c r="CV45" i="61"/>
  <c r="CT41" i="61"/>
  <c r="DF34" i="61"/>
  <c r="CU43" i="61"/>
  <c r="CU44" i="61"/>
  <c r="CQ32" i="61"/>
  <c r="DF31" i="61"/>
  <c r="CX38" i="61"/>
  <c r="DD30" i="61"/>
  <c r="DI30" i="61"/>
  <c r="CW51" i="61"/>
  <c r="CR45" i="61"/>
  <c r="DE32" i="61"/>
  <c r="DH47" i="61"/>
  <c r="CU51" i="61"/>
  <c r="CV51" i="61"/>
  <c r="DB34" i="61"/>
  <c r="CQ37" i="61"/>
  <c r="DD52" i="61"/>
  <c r="CP30" i="61"/>
  <c r="CY31" i="61"/>
  <c r="CN54" i="61"/>
  <c r="DD36" i="61"/>
  <c r="CW50" i="61"/>
  <c r="CY32" i="61"/>
  <c r="CQ46" i="61"/>
  <c r="DJ50" i="61"/>
  <c r="DA33" i="61"/>
  <c r="CQ38" i="61"/>
  <c r="CO34" i="61"/>
  <c r="CZ49" i="61"/>
  <c r="DA46" i="61"/>
  <c r="CR50" i="61"/>
  <c r="CX33" i="61"/>
  <c r="CY38" i="61"/>
  <c r="DH41" i="61"/>
  <c r="DG32" i="61"/>
  <c r="DH42" i="61"/>
  <c r="DB46" i="61"/>
  <c r="CO50" i="61"/>
  <c r="CO35" i="61"/>
  <c r="DD37" i="61"/>
  <c r="CO33" i="61"/>
  <c r="CQ39" i="61"/>
  <c r="CS46" i="61"/>
  <c r="CX45" i="61"/>
  <c r="DE45" i="61"/>
  <c r="DC52" i="61"/>
  <c r="DD33" i="61"/>
  <c r="CN44" i="61"/>
  <c r="CU47" i="61"/>
  <c r="CR31" i="61"/>
  <c r="CN49" i="61"/>
  <c r="DF47" i="61"/>
  <c r="CQ45" i="61"/>
  <c r="CN45" i="61"/>
  <c r="CL53" i="61"/>
  <c r="CT32" i="61"/>
  <c r="DI45" i="61"/>
  <c r="CL40" i="61"/>
  <c r="DA54" i="61"/>
  <c r="DJ42" i="61"/>
  <c r="CQ34" i="61"/>
  <c r="CY45" i="61"/>
  <c r="DH38" i="61"/>
  <c r="CZ34" i="61"/>
  <c r="CS34" i="61"/>
  <c r="CZ54" i="61"/>
  <c r="CQ48" i="61"/>
  <c r="DJ45" i="61"/>
  <c r="CM42" i="61"/>
  <c r="CW53" i="61"/>
  <c r="DD48" i="61"/>
  <c r="CP47" i="61"/>
  <c r="CL37" i="61"/>
  <c r="DJ46" i="61"/>
  <c r="CV52" i="61"/>
  <c r="CQ31" i="61"/>
  <c r="CL54" i="61"/>
  <c r="DC38" i="61"/>
  <c r="DE37" i="61"/>
  <c r="CT40" i="61"/>
  <c r="DA35" i="61"/>
  <c r="CZ46" i="61"/>
  <c r="CV43" i="61"/>
  <c r="CR43" i="61"/>
  <c r="CW52" i="61"/>
  <c r="DJ31" i="61"/>
  <c r="DF45" i="61"/>
  <c r="CP53" i="61"/>
  <c r="DF33" i="61"/>
  <c r="CL49" i="61"/>
  <c r="DA45" i="61"/>
  <c r="DB49" i="61"/>
  <c r="DC49" i="61"/>
  <c r="DE49" i="61"/>
  <c r="CM43" i="61"/>
  <c r="CT42" i="61"/>
  <c r="CY41" i="61"/>
  <c r="CS52" i="61"/>
  <c r="CV50" i="61"/>
  <c r="DE42" i="61"/>
  <c r="DF43" i="61"/>
  <c r="CX53" i="61"/>
  <c r="DH52" i="61"/>
  <c r="CZ41" i="61"/>
  <c r="DA47" i="61"/>
  <c r="CP46" i="61"/>
  <c r="CW46" i="61"/>
  <c r="CR34" i="61"/>
  <c r="DD47" i="61"/>
  <c r="DD39" i="61"/>
  <c r="CQ52" i="61"/>
  <c r="CM53" i="61"/>
  <c r="DC54" i="61"/>
  <c r="CL52" i="61"/>
  <c r="CW31" i="61"/>
  <c r="CT37" i="61"/>
  <c r="CU48" i="61"/>
  <c r="CN42" i="61"/>
  <c r="DB35" i="61"/>
  <c r="CT48" i="61"/>
  <c r="CZ37" i="61"/>
  <c r="CR32" i="61"/>
  <c r="CV54" i="61"/>
  <c r="CW40" i="61"/>
  <c r="DE41" i="61"/>
  <c r="CP33" i="61"/>
  <c r="CP32" i="61"/>
  <c r="CP39" i="61"/>
  <c r="DE54" i="61"/>
  <c r="CX47" i="61"/>
  <c r="DG52" i="61"/>
  <c r="CM54" i="61"/>
  <c r="CX36" i="61"/>
  <c r="DH34" i="61"/>
  <c r="DE46" i="61"/>
  <c r="DB50" i="61"/>
  <c r="CN36" i="61"/>
  <c r="CO47" i="61"/>
  <c r="CX42" i="61"/>
  <c r="CM35" i="61"/>
  <c r="DE47" i="61"/>
  <c r="DB41" i="61"/>
  <c r="CL30" i="61"/>
  <c r="DJ39" i="61"/>
  <c r="DF44" i="61"/>
  <c r="CN43" i="61"/>
  <c r="DJ34" i="61"/>
  <c r="CS37" i="61"/>
  <c r="CU41" i="61"/>
  <c r="DH44" i="61"/>
  <c r="CQ53" i="61"/>
  <c r="DJ43" i="61"/>
  <c r="DC30" i="61"/>
  <c r="CO30" i="61"/>
  <c r="CZ39" i="61"/>
  <c r="DD50" i="61"/>
  <c r="DE50" i="61"/>
  <c r="CQ51" i="61"/>
  <c r="CX46" i="61"/>
  <c r="CT44" i="61"/>
  <c r="CS42" i="61"/>
  <c r="DF35" i="61"/>
  <c r="DC33" i="61"/>
  <c r="CM30" i="61"/>
  <c r="CW48" i="61"/>
  <c r="CR33" i="61"/>
  <c r="CT52" i="61"/>
  <c r="DE38" i="61"/>
  <c r="CP40" i="61"/>
  <c r="DE36" i="61"/>
  <c r="CY50" i="61"/>
  <c r="CP51" i="61"/>
  <c r="CL44" i="61"/>
  <c r="CY30" i="61"/>
  <c r="CX30" i="61"/>
  <c r="DH54" i="61"/>
  <c r="DG39" i="61"/>
  <c r="CX44" i="61"/>
  <c r="CP43" i="61"/>
  <c r="DC35" i="61"/>
  <c r="CR48" i="61"/>
  <c r="CX43" i="61"/>
  <c r="DH39" i="61"/>
  <c r="CV48" i="61"/>
  <c r="DF36" i="61"/>
  <c r="CP52" i="61"/>
  <c r="CU31" i="61"/>
  <c r="CW41" i="61"/>
  <c r="CV33" i="61"/>
  <c r="CW34" i="61"/>
  <c r="CU49" i="61"/>
  <c r="CV36" i="61"/>
  <c r="DC50" i="61"/>
  <c r="DJ44" i="61"/>
  <c r="CS43" i="61"/>
  <c r="CU50" i="61"/>
  <c r="CL33" i="61"/>
  <c r="CS40" i="61"/>
  <c r="CR51" i="61"/>
  <c r="CV40" i="61"/>
  <c r="CY35" i="61"/>
  <c r="CR44" i="61"/>
  <c r="DH53" i="61"/>
  <c r="DG33" i="61"/>
  <c r="CX48" i="61"/>
  <c r="DH32" i="61"/>
  <c r="CT38" i="61"/>
  <c r="CM38" i="61"/>
  <c r="CW35" i="61"/>
  <c r="DB54" i="61"/>
  <c r="DC32" i="61"/>
  <c r="CL43" i="61"/>
  <c r="CZ35" i="61"/>
  <c r="CY33" i="61"/>
  <c r="DA51" i="61"/>
  <c r="CS33" i="61"/>
  <c r="DE39" i="61"/>
  <c r="CM45" i="61"/>
  <c r="CW36" i="61"/>
  <c r="CZ48" i="61"/>
  <c r="CZ50" i="61"/>
  <c r="CY47" i="61"/>
  <c r="CR37" i="61"/>
  <c r="DH46" i="61"/>
  <c r="DF38" i="61"/>
  <c r="CP37" i="61"/>
  <c r="CR40" i="61"/>
  <c r="CQ36" i="61"/>
  <c r="CS50" i="61"/>
  <c r="CM31" i="61"/>
  <c r="DG43" i="61"/>
  <c r="DB42" i="61"/>
  <c r="CO40" i="61"/>
  <c r="DC44" i="61"/>
  <c r="CT47" i="61"/>
  <c r="CW45" i="61"/>
  <c r="DI35" i="61"/>
  <c r="CN53" i="61"/>
  <c r="DA31" i="61"/>
  <c r="DF52" i="61"/>
  <c r="DC41" i="61"/>
  <c r="DE44" i="61"/>
  <c r="DE51" i="61"/>
  <c r="CT36" i="61"/>
  <c r="CL35" i="61"/>
  <c r="DA30" i="61"/>
  <c r="DA37" i="61"/>
  <c r="DG38" i="61"/>
  <c r="DA53" i="61"/>
  <c r="CM46" i="61"/>
  <c r="CT30" i="61"/>
  <c r="DE48" i="61"/>
  <c r="CO51" i="61"/>
  <c r="DG50" i="61"/>
  <c r="CP54" i="61"/>
  <c r="DD42" i="61"/>
  <c r="CQ54" i="61"/>
  <c r="CT49" i="61"/>
  <c r="CX32" i="61"/>
  <c r="CZ32" i="61"/>
  <c r="CZ51" i="61"/>
  <c r="CY36" i="61"/>
  <c r="CS36" i="61"/>
  <c r="DF46" i="61"/>
  <c r="DH51" i="61"/>
  <c r="DB39" i="61"/>
  <c r="DA41" i="61"/>
  <c r="DD41" i="61"/>
  <c r="CM52" i="61"/>
  <c r="CN46" i="61"/>
  <c r="CN48" i="61"/>
  <c r="DB30" i="61"/>
  <c r="CX39" i="61"/>
  <c r="DD31" i="61"/>
  <c r="CN30" i="61"/>
  <c r="CM49" i="61"/>
  <c r="CL34" i="61"/>
  <c r="DJ30" i="61"/>
  <c r="CL39" i="61"/>
  <c r="DH31" i="61"/>
  <c r="CT43" i="61"/>
  <c r="CM41" i="61"/>
  <c r="DH37" i="61"/>
  <c r="DF48" i="61"/>
  <c r="CM33" i="61"/>
  <c r="DF54" i="61"/>
  <c r="DA44" i="61"/>
  <c r="CN31" i="61"/>
  <c r="DI42" i="61"/>
  <c r="CS32" i="61"/>
  <c r="DB32" i="61"/>
  <c r="DI47" i="61"/>
  <c r="DH49" i="61"/>
  <c r="DH50" i="61"/>
  <c r="CZ36" i="61"/>
  <c r="CU40" i="61"/>
  <c r="CZ53" i="61"/>
  <c r="DC40" i="61"/>
  <c r="DD35" i="61"/>
  <c r="DI39" i="61"/>
  <c r="CN52" i="61"/>
  <c r="DE30" i="61"/>
  <c r="CO46" i="61"/>
  <c r="CM36" i="61"/>
  <c r="DF51" i="61"/>
  <c r="CY51" i="61"/>
  <c r="DJ35" i="61"/>
  <c r="CV34" i="61"/>
  <c r="CO37" i="61"/>
  <c r="CX37" i="61"/>
  <c r="CT50" i="61"/>
  <c r="DB38" i="61"/>
  <c r="DI54" i="61"/>
  <c r="CM44" i="61"/>
  <c r="DA36" i="61"/>
  <c r="DJ38" i="61"/>
  <c r="DJ37" i="61"/>
  <c r="CP35" i="61"/>
  <c r="DD44" i="61"/>
  <c r="CR46" i="61"/>
  <c r="DE40" i="61"/>
  <c r="DA49" i="61"/>
  <c r="DG51" i="61"/>
  <c r="DD49" i="61"/>
  <c r="CO32" i="61"/>
  <c r="DD45" i="61"/>
  <c r="CP41" i="61"/>
  <c r="DE53" i="61"/>
  <c r="DB40" i="61"/>
  <c r="CY34" i="61"/>
  <c r="DJ41" i="61"/>
  <c r="DG37" i="61"/>
  <c r="DG40" i="61"/>
  <c r="DG46" i="61"/>
  <c r="CN47" i="61"/>
  <c r="CX34" i="61"/>
  <c r="CW49" i="61"/>
  <c r="DC51" i="61"/>
  <c r="DA48" i="61"/>
  <c r="DJ52" i="61"/>
  <c r="DB45" i="61"/>
  <c r="DF53" i="61"/>
  <c r="DD43" i="61"/>
  <c r="CL47" i="61"/>
  <c r="DI48" i="61"/>
  <c r="DJ53" i="61"/>
  <c r="CR38" i="61"/>
  <c r="DJ54" i="61"/>
  <c r="DB33" i="61"/>
  <c r="DI37" i="61"/>
  <c r="CR52" i="61"/>
  <c r="CU42" i="61"/>
  <c r="DA43" i="61"/>
  <c r="DI52" i="61"/>
  <c r="DB53" i="61"/>
  <c r="DH36" i="61"/>
  <c r="DI44" i="61"/>
  <c r="CV41" i="61"/>
  <c r="CP31" i="61"/>
  <c r="DD32" i="61"/>
  <c r="CW44" i="61"/>
  <c r="CV53" i="61"/>
  <c r="DB47" i="61"/>
  <c r="CU39" i="61"/>
  <c r="DG48" i="61"/>
  <c r="DG34" i="61"/>
  <c r="DG30" i="61"/>
  <c r="CZ30" i="61"/>
  <c r="CZ38" i="61"/>
  <c r="CW30" i="61"/>
  <c r="CZ47" i="61"/>
  <c r="CS51" i="61"/>
  <c r="CM37" i="61"/>
  <c r="R2" i="62"/>
  <c r="AD154" i="61" s="1"/>
  <c r="CO43" i="61"/>
  <c r="DC36" i="61"/>
  <c r="DJ33" i="61"/>
  <c r="CQ40" i="61"/>
  <c r="DA39" i="61"/>
  <c r="CL51" i="61"/>
  <c r="R3" i="62"/>
  <c r="DB52" i="61"/>
  <c r="CO44" i="61"/>
  <c r="CP50" i="61"/>
  <c r="CQ44" i="61"/>
  <c r="CL36" i="61"/>
  <c r="CS47" i="61"/>
  <c r="DA34" i="61"/>
  <c r="CV42" i="61"/>
  <c r="CU37" i="61"/>
  <c r="DG49" i="61"/>
  <c r="CL31" i="61"/>
  <c r="DH43" i="61"/>
  <c r="CW43" i="61"/>
  <c r="DI50" i="61"/>
  <c r="CU35" i="61"/>
  <c r="DI38" i="61"/>
  <c r="CX49" i="61"/>
  <c r="DC42" i="61"/>
  <c r="CM47" i="61"/>
  <c r="CW42" i="61"/>
  <c r="DA32" i="61"/>
  <c r="CO41" i="61"/>
  <c r="CR39" i="61"/>
  <c r="DD38" i="61"/>
  <c r="DG35" i="61"/>
  <c r="CV47" i="61"/>
  <c r="DB51" i="61"/>
  <c r="CP44" i="61"/>
  <c r="CT45" i="61"/>
  <c r="CS38" i="61"/>
  <c r="CU52" i="61"/>
  <c r="DB37" i="61"/>
  <c r="DG53" i="61"/>
  <c r="DF50" i="61"/>
  <c r="CT39" i="61"/>
  <c r="CL38" i="61"/>
  <c r="CL50" i="61"/>
  <c r="DG41" i="61"/>
  <c r="CX31" i="61"/>
  <c r="CY44" i="61"/>
  <c r="CN33" i="61"/>
  <c r="DF40" i="61"/>
  <c r="DA40" i="61"/>
  <c r="CT53" i="61"/>
  <c r="CU30" i="61"/>
  <c r="CY52" i="61"/>
  <c r="DJ51" i="61"/>
  <c r="DI40" i="61"/>
  <c r="CM39" i="61"/>
  <c r="CV30" i="61"/>
  <c r="CS48" i="61"/>
  <c r="CL48" i="61"/>
  <c r="CT51" i="61"/>
  <c r="DD46" i="61"/>
  <c r="CL42" i="61"/>
  <c r="CP42" i="61"/>
  <c r="DI36" i="61"/>
  <c r="CY42" i="61"/>
  <c r="CR35" i="61"/>
  <c r="CV46" i="61"/>
  <c r="DH30" i="61"/>
  <c r="DD40" i="61"/>
  <c r="CO36" i="61"/>
  <c r="DJ40" i="61"/>
  <c r="DI46" i="61"/>
  <c r="CS30" i="61"/>
  <c r="CY46" i="61"/>
  <c r="DH33" i="61"/>
  <c r="CZ44" i="61"/>
  <c r="CN40" i="61"/>
  <c r="CW33" i="61"/>
  <c r="CV39" i="61"/>
  <c r="CN35" i="61"/>
  <c r="DC31" i="61"/>
  <c r="DE33" i="61"/>
  <c r="CS31" i="61"/>
  <c r="CP36" i="61"/>
  <c r="CY39" i="61"/>
  <c r="CO45" i="61"/>
  <c r="CN32" i="61"/>
  <c r="DE52" i="61"/>
  <c r="DI33" i="61"/>
  <c r="CW38" i="61"/>
  <c r="DC53" i="61"/>
  <c r="CT54" i="61"/>
  <c r="DG36" i="61"/>
  <c r="DD51" i="61"/>
  <c r="CN34" i="61"/>
  <c r="DD34" i="61"/>
  <c r="DA52" i="61"/>
  <c r="DH40" i="61"/>
  <c r="CQ43" i="61"/>
  <c r="CS39" i="61"/>
  <c r="CZ43" i="61"/>
  <c r="CO42" i="61"/>
  <c r="CU38" i="61"/>
  <c r="DG47" i="61"/>
  <c r="CU34" i="61"/>
  <c r="CW37" i="61"/>
  <c r="CV31" i="61"/>
  <c r="CO52" i="61"/>
  <c r="CN39" i="61"/>
  <c r="DF39" i="61"/>
  <c r="DF32" i="61"/>
  <c r="CY43" i="61"/>
  <c r="DJ47" i="61"/>
  <c r="CL32" i="61"/>
  <c r="BB29" i="53"/>
  <c r="BG21" i="53" s="1"/>
  <c r="S48" i="53" s="1"/>
  <c r="N29" i="3"/>
  <c r="N29" i="53"/>
  <c r="S21" i="53" s="1"/>
  <c r="AI32" i="2"/>
  <c r="AJ32" i="2" s="1"/>
  <c r="AJ33" i="2" s="1"/>
  <c r="AH33" i="2"/>
  <c r="AI32" i="24"/>
  <c r="AJ32" i="24" s="1"/>
  <c r="AJ33" i="24" s="1"/>
  <c r="AH33" i="24"/>
  <c r="AH33" i="8"/>
  <c r="AI32" i="8"/>
  <c r="AJ32" i="8" s="1"/>
  <c r="AJ33" i="8" s="1"/>
  <c r="AH33" i="6"/>
  <c r="AI32" i="6"/>
  <c r="AJ32" i="6" s="1"/>
  <c r="AJ33" i="6" s="1"/>
  <c r="AI32" i="14"/>
  <c r="AJ32" i="14" s="1"/>
  <c r="AJ33" i="14" s="1"/>
  <c r="AH33" i="14"/>
  <c r="AI32" i="3"/>
  <c r="AJ32" i="3" s="1"/>
  <c r="AJ33" i="3" s="1"/>
  <c r="AH33" i="3"/>
  <c r="AI32" i="22"/>
  <c r="AJ32" i="22" s="1"/>
  <c r="AJ33" i="22" s="1"/>
  <c r="AH33" i="22"/>
  <c r="AH33" i="20"/>
  <c r="AI32" i="20"/>
  <c r="AJ32" i="20" s="1"/>
  <c r="AJ33" i="20" s="1"/>
  <c r="AI32" i="12"/>
  <c r="AJ32" i="12" s="1"/>
  <c r="AJ33" i="12" s="1"/>
  <c r="AH33" i="12"/>
  <c r="AH33" i="25"/>
  <c r="AI32" i="25"/>
  <c r="AJ32" i="25" s="1"/>
  <c r="AJ33" i="25" s="1"/>
  <c r="AH33" i="23"/>
  <c r="AI32" i="23"/>
  <c r="AJ32" i="23" s="1"/>
  <c r="AJ33" i="23" s="1"/>
  <c r="AI32" i="11"/>
  <c r="AJ32" i="11" s="1"/>
  <c r="AJ33" i="11" s="1"/>
  <c r="AH33" i="11"/>
  <c r="AH33" i="16"/>
  <c r="AI32" i="16"/>
  <c r="AJ32" i="16" s="1"/>
  <c r="AJ33" i="16" s="1"/>
  <c r="BL79" i="61"/>
  <c r="BG28" i="7"/>
  <c r="I51" i="7"/>
  <c r="BH79" i="61"/>
  <c r="BG28" i="21"/>
  <c r="I51" i="21"/>
  <c r="BG19" i="16"/>
  <c r="I42" i="16"/>
  <c r="BG23" i="16"/>
  <c r="I55" i="16"/>
  <c r="BG24" i="16"/>
  <c r="BG22" i="16"/>
  <c r="BM76" i="61"/>
  <c r="I46" i="16"/>
  <c r="I45" i="16"/>
  <c r="I47" i="16"/>
  <c r="BG22" i="7"/>
  <c r="BV76" i="61"/>
  <c r="I46" i="7"/>
  <c r="BG19" i="7"/>
  <c r="I45" i="7"/>
  <c r="BG32" i="7"/>
  <c r="I55" i="7"/>
  <c r="BG23" i="7"/>
  <c r="I42" i="7"/>
  <c r="I47" i="7"/>
  <c r="BG24" i="7"/>
  <c r="I55" i="21"/>
  <c r="BG23" i="21"/>
  <c r="I46" i="21"/>
  <c r="BG22" i="21"/>
  <c r="BH76" i="61"/>
  <c r="I42" i="21"/>
  <c r="BG19" i="21"/>
  <c r="I45" i="21"/>
  <c r="BC4" i="53"/>
  <c r="AZ29" i="53"/>
  <c r="BG19" i="53" s="1"/>
  <c r="S46" i="53" s="1"/>
  <c r="BG28" i="18"/>
  <c r="BG23" i="19"/>
  <c r="I42" i="19"/>
  <c r="BG22" i="19"/>
  <c r="BJ76" i="61"/>
  <c r="I46" i="19"/>
  <c r="BG19" i="19"/>
  <c r="S18" i="19" s="1"/>
  <c r="I45" i="19"/>
  <c r="BG24" i="19"/>
  <c r="I55" i="19"/>
  <c r="I47" i="19"/>
  <c r="BG23" i="24"/>
  <c r="I45" i="24"/>
  <c r="BG22" i="24"/>
  <c r="BE76" i="61"/>
  <c r="I55" i="24"/>
  <c r="I42" i="24"/>
  <c r="BG19" i="24"/>
  <c r="I46" i="24"/>
  <c r="I47" i="24"/>
  <c r="BG24" i="24"/>
  <c r="BG32" i="11"/>
  <c r="I45" i="11"/>
  <c r="BG23" i="11"/>
  <c r="I42" i="11"/>
  <c r="BG22" i="11"/>
  <c r="I46" i="11"/>
  <c r="BG19" i="11"/>
  <c r="S18" i="11" s="1"/>
  <c r="I55" i="11"/>
  <c r="I47" i="11"/>
  <c r="BG24" i="11"/>
  <c r="BG19" i="9"/>
  <c r="BG32" i="9"/>
  <c r="I55" i="9"/>
  <c r="I47" i="9"/>
  <c r="BT76" i="61"/>
  <c r="I46" i="9"/>
  <c r="BG24" i="9"/>
  <c r="BG23" i="9"/>
  <c r="I45" i="9"/>
  <c r="BG22" i="9"/>
  <c r="I42" i="9"/>
  <c r="BG22" i="12"/>
  <c r="I45" i="12"/>
  <c r="BG19" i="12"/>
  <c r="I46" i="12"/>
  <c r="BG32" i="12"/>
  <c r="I42" i="12"/>
  <c r="BG23" i="12"/>
  <c r="I55" i="12"/>
  <c r="BG24" i="12"/>
  <c r="I47" i="12"/>
  <c r="BG28" i="10"/>
  <c r="I51" i="10"/>
  <c r="BG28" i="6"/>
  <c r="I51" i="6"/>
  <c r="BG28" i="8"/>
  <c r="I51" i="8"/>
  <c r="BG19" i="23"/>
  <c r="I42" i="23"/>
  <c r="I45" i="23"/>
  <c r="BG23" i="23"/>
  <c r="I46" i="23"/>
  <c r="BG22" i="23"/>
  <c r="BF76" i="61"/>
  <c r="I55" i="23"/>
  <c r="I51" i="13"/>
  <c r="BP79" i="61"/>
  <c r="BG28" i="13"/>
  <c r="BD79" i="61"/>
  <c r="I55" i="15"/>
  <c r="BG22" i="15"/>
  <c r="F158" i="61"/>
  <c r="V158" i="61"/>
  <c r="L166" i="61"/>
  <c r="B165" i="61"/>
  <c r="R165" i="61"/>
  <c r="H179" i="61"/>
  <c r="X179" i="61"/>
  <c r="N170" i="61"/>
  <c r="D168" i="61"/>
  <c r="T168" i="61"/>
  <c r="J176" i="61"/>
  <c r="Z176" i="61"/>
  <c r="Q162" i="61"/>
  <c r="F173" i="61"/>
  <c r="V173" i="61"/>
  <c r="L161" i="61"/>
  <c r="B169" i="61"/>
  <c r="R169" i="61"/>
  <c r="H167" i="61"/>
  <c r="X167" i="61"/>
  <c r="N164" i="61"/>
  <c r="D157" i="61"/>
  <c r="T157" i="61"/>
  <c r="J177" i="61"/>
  <c r="Z177" i="61"/>
  <c r="P174" i="61"/>
  <c r="I175" i="61"/>
  <c r="Y175" i="61"/>
  <c r="N163" i="61"/>
  <c r="B159" i="61"/>
  <c r="R159" i="61"/>
  <c r="H160" i="61"/>
  <c r="X160" i="61"/>
  <c r="O172" i="61"/>
  <c r="G158" i="61"/>
  <c r="W158" i="61"/>
  <c r="Q166" i="61"/>
  <c r="G165" i="61"/>
  <c r="W165" i="61"/>
  <c r="Q179" i="61"/>
  <c r="G170" i="61"/>
  <c r="W170" i="61"/>
  <c r="Q168" i="61"/>
  <c r="G176" i="61"/>
  <c r="W176" i="61"/>
  <c r="N162" i="61"/>
  <c r="C173" i="61"/>
  <c r="S173" i="61"/>
  <c r="M161" i="61"/>
  <c r="C169" i="61"/>
  <c r="S169" i="61"/>
  <c r="M167" i="61"/>
  <c r="C164" i="61"/>
  <c r="S164" i="61"/>
  <c r="M157" i="61"/>
  <c r="J158" i="61"/>
  <c r="Z158" i="61"/>
  <c r="P166" i="61"/>
  <c r="F165" i="61"/>
  <c r="V165" i="61"/>
  <c r="L179" i="61"/>
  <c r="B170" i="61"/>
  <c r="R170" i="61"/>
  <c r="H168" i="61"/>
  <c r="X168" i="61"/>
  <c r="N176" i="61"/>
  <c r="E162" i="61"/>
  <c r="U162" i="61"/>
  <c r="J173" i="61"/>
  <c r="Z173" i="61"/>
  <c r="P161" i="61"/>
  <c r="F169" i="61"/>
  <c r="V169" i="61"/>
  <c r="L167" i="61"/>
  <c r="B164" i="61"/>
  <c r="R164" i="61"/>
  <c r="H157" i="61"/>
  <c r="X157" i="61"/>
  <c r="N177" i="61"/>
  <c r="D174" i="61"/>
  <c r="T174" i="61"/>
  <c r="M175" i="61"/>
  <c r="B163" i="61"/>
  <c r="R163" i="61"/>
  <c r="F159" i="61"/>
  <c r="V159" i="61"/>
  <c r="L160" i="61"/>
  <c r="C172" i="61"/>
  <c r="S172" i="61"/>
  <c r="K158" i="61"/>
  <c r="E166" i="61"/>
  <c r="U166" i="61"/>
  <c r="K165" i="61"/>
  <c r="E179" i="61"/>
  <c r="U179" i="61"/>
  <c r="K170" i="61"/>
  <c r="E168" i="61"/>
  <c r="U168" i="61"/>
  <c r="K176" i="61"/>
  <c r="B162" i="61"/>
  <c r="R162" i="61"/>
  <c r="G173" i="61"/>
  <c r="W173" i="61"/>
  <c r="Q161" i="61"/>
  <c r="G169" i="61"/>
  <c r="W169" i="61"/>
  <c r="Q167" i="61"/>
  <c r="G164" i="61"/>
  <c r="W164" i="61"/>
  <c r="N158" i="61"/>
  <c r="D166" i="61"/>
  <c r="T166" i="61"/>
  <c r="J165" i="61"/>
  <c r="Z165" i="61"/>
  <c r="P179" i="61"/>
  <c r="F170" i="61"/>
  <c r="V170" i="61"/>
  <c r="L168" i="61"/>
  <c r="B176" i="61"/>
  <c r="R176" i="61"/>
  <c r="I162" i="61"/>
  <c r="Y162" i="61"/>
  <c r="N173" i="61"/>
  <c r="D161" i="61"/>
  <c r="T161" i="61"/>
  <c r="J169" i="61"/>
  <c r="Z169" i="61"/>
  <c r="P167" i="61"/>
  <c r="F164" i="61"/>
  <c r="V164" i="61"/>
  <c r="L157" i="61"/>
  <c r="B177" i="61"/>
  <c r="R177" i="61"/>
  <c r="H174" i="61"/>
  <c r="X174" i="61"/>
  <c r="Q175" i="61"/>
  <c r="F163" i="61"/>
  <c r="V163" i="61"/>
  <c r="J159" i="61"/>
  <c r="Z159" i="61"/>
  <c r="P160" i="61"/>
  <c r="G172" i="61"/>
  <c r="W172" i="61"/>
  <c r="O158" i="61"/>
  <c r="I166" i="61"/>
  <c r="Y166" i="61"/>
  <c r="O165" i="61"/>
  <c r="I179" i="61"/>
  <c r="Y179" i="61"/>
  <c r="O170" i="61"/>
  <c r="I168" i="61"/>
  <c r="Y168" i="61"/>
  <c r="O176" i="61"/>
  <c r="F162" i="61"/>
  <c r="V162" i="61"/>
  <c r="K173" i="61"/>
  <c r="E161" i="61"/>
  <c r="U161" i="61"/>
  <c r="K169" i="61"/>
  <c r="E167" i="61"/>
  <c r="U167" i="61"/>
  <c r="K164" i="61"/>
  <c r="E157" i="61"/>
  <c r="U157" i="61"/>
  <c r="K177" i="61"/>
  <c r="E174" i="61"/>
  <c r="U174" i="61"/>
  <c r="J175" i="61"/>
  <c r="Z175" i="61"/>
  <c r="O163" i="61"/>
  <c r="G159" i="61"/>
  <c r="W159" i="61"/>
  <c r="Q160" i="61"/>
  <c r="H158" i="61"/>
  <c r="X158" i="61"/>
  <c r="N166" i="61"/>
  <c r="D165" i="61"/>
  <c r="T165" i="61"/>
  <c r="J179" i="61"/>
  <c r="Z179" i="61"/>
  <c r="B158" i="61"/>
  <c r="R158" i="61"/>
  <c r="H166" i="61"/>
  <c r="X166" i="61"/>
  <c r="N165" i="61"/>
  <c r="D179" i="61"/>
  <c r="T179" i="61"/>
  <c r="J170" i="61"/>
  <c r="Z170" i="61"/>
  <c r="P168" i="61"/>
  <c r="F176" i="61"/>
  <c r="V176" i="61"/>
  <c r="M162" i="61"/>
  <c r="B173" i="61"/>
  <c r="R173" i="61"/>
  <c r="H161" i="61"/>
  <c r="X161" i="61"/>
  <c r="N169" i="61"/>
  <c r="D167" i="61"/>
  <c r="T167" i="61"/>
  <c r="J164" i="61"/>
  <c r="Z164" i="61"/>
  <c r="P157" i="61"/>
  <c r="F177" i="61"/>
  <c r="V177" i="61"/>
  <c r="L174" i="61"/>
  <c r="E175" i="61"/>
  <c r="U175" i="61"/>
  <c r="J163" i="61"/>
  <c r="Z163" i="61"/>
  <c r="N159" i="61"/>
  <c r="D160" i="61"/>
  <c r="T160" i="61"/>
  <c r="K172" i="61"/>
  <c r="C158" i="61"/>
  <c r="S158" i="61"/>
  <c r="M166" i="61"/>
  <c r="C165" i="61"/>
  <c r="S165" i="61"/>
  <c r="M179" i="61"/>
  <c r="C170" i="61"/>
  <c r="S170" i="61"/>
  <c r="M168" i="61"/>
  <c r="C176" i="61"/>
  <c r="S176" i="61"/>
  <c r="J162" i="61"/>
  <c r="Z162" i="61"/>
  <c r="O173" i="61"/>
  <c r="I161" i="61"/>
  <c r="Y161" i="61"/>
  <c r="O169" i="61"/>
  <c r="I167" i="61"/>
  <c r="Y167" i="61"/>
  <c r="O164" i="61"/>
  <c r="I157" i="61"/>
  <c r="Y157" i="61"/>
  <c r="O177" i="61"/>
  <c r="I174" i="61"/>
  <c r="Y174" i="61"/>
  <c r="N175" i="61"/>
  <c r="C163" i="61"/>
  <c r="S163" i="61"/>
  <c r="K159" i="61"/>
  <c r="E160" i="61"/>
  <c r="U160" i="61"/>
  <c r="L158" i="61"/>
  <c r="B166" i="61"/>
  <c r="R166" i="61"/>
  <c r="H165" i="61"/>
  <c r="X165" i="61"/>
  <c r="N179" i="61"/>
  <c r="D170" i="61"/>
  <c r="T170" i="61"/>
  <c r="J168" i="61"/>
  <c r="Z168" i="61"/>
  <c r="P176" i="61"/>
  <c r="C177" i="61"/>
  <c r="M174" i="61"/>
  <c r="R175" i="61"/>
  <c r="W163" i="61"/>
  <c r="I160" i="61"/>
  <c r="P158" i="61"/>
  <c r="V166" i="61"/>
  <c r="B179" i="61"/>
  <c r="H170" i="61"/>
  <c r="B168" i="61"/>
  <c r="V168" i="61"/>
  <c r="T176" i="61"/>
  <c r="K162" i="61"/>
  <c r="D173" i="61"/>
  <c r="T173" i="61"/>
  <c r="J161" i="61"/>
  <c r="Z161" i="61"/>
  <c r="P169" i="61"/>
  <c r="F167" i="61"/>
  <c r="V167" i="61"/>
  <c r="L164" i="61"/>
  <c r="B157" i="61"/>
  <c r="R157" i="61"/>
  <c r="H177" i="61"/>
  <c r="X177" i="61"/>
  <c r="N174" i="61"/>
  <c r="C175" i="61"/>
  <c r="S175" i="61"/>
  <c r="L163" i="61"/>
  <c r="D159" i="61"/>
  <c r="T159" i="61"/>
  <c r="J160" i="61"/>
  <c r="Z160" i="61"/>
  <c r="Q172" i="61"/>
  <c r="M158" i="61"/>
  <c r="C166" i="61"/>
  <c r="S166" i="61"/>
  <c r="M165" i="61"/>
  <c r="C179" i="61"/>
  <c r="S179" i="61"/>
  <c r="M170" i="61"/>
  <c r="C168" i="61"/>
  <c r="S168" i="61"/>
  <c r="M176" i="61"/>
  <c r="D162" i="61"/>
  <c r="T162" i="61"/>
  <c r="M173" i="61"/>
  <c r="C161" i="61"/>
  <c r="S161" i="61"/>
  <c r="M169" i="61"/>
  <c r="C167" i="61"/>
  <c r="S167" i="61"/>
  <c r="M164" i="61"/>
  <c r="C157" i="61"/>
  <c r="S157" i="61"/>
  <c r="M177" i="61"/>
  <c r="C174" i="61"/>
  <c r="S174" i="61"/>
  <c r="L175" i="61"/>
  <c r="E163" i="61"/>
  <c r="U163" i="61"/>
  <c r="M159" i="61"/>
  <c r="C160" i="61"/>
  <c r="S160" i="61"/>
  <c r="J172" i="61"/>
  <c r="Z172" i="61"/>
  <c r="K171" i="61"/>
  <c r="C178" i="61"/>
  <c r="S178" i="61"/>
  <c r="M180" i="61"/>
  <c r="D172" i="61"/>
  <c r="L171" i="61"/>
  <c r="D178" i="61"/>
  <c r="T178" i="61"/>
  <c r="J180" i="61"/>
  <c r="Z180" i="61"/>
  <c r="I171" i="61"/>
  <c r="Y171" i="61"/>
  <c r="Q178" i="61"/>
  <c r="G180" i="61"/>
  <c r="W180" i="61"/>
  <c r="F171" i="61"/>
  <c r="V171" i="61"/>
  <c r="J178" i="61"/>
  <c r="Z178" i="61"/>
  <c r="P180" i="61"/>
  <c r="G177" i="61"/>
  <c r="Q174" i="61"/>
  <c r="V175" i="61"/>
  <c r="C159" i="61"/>
  <c r="M160" i="61"/>
  <c r="T158" i="61"/>
  <c r="Z166" i="61"/>
  <c r="F179" i="61"/>
  <c r="L170" i="61"/>
  <c r="F168" i="61"/>
  <c r="D176" i="61"/>
  <c r="X176" i="61"/>
  <c r="O162" i="61"/>
  <c r="H173" i="61"/>
  <c r="X173" i="61"/>
  <c r="N161" i="61"/>
  <c r="D169" i="61"/>
  <c r="T169" i="61"/>
  <c r="J167" i="61"/>
  <c r="Z167" i="61"/>
  <c r="P164" i="61"/>
  <c r="F157" i="61"/>
  <c r="V157" i="61"/>
  <c r="L177" i="61"/>
  <c r="B174" i="61"/>
  <c r="R174" i="61"/>
  <c r="G175" i="61"/>
  <c r="W175" i="61"/>
  <c r="P163" i="61"/>
  <c r="H159" i="61"/>
  <c r="X159" i="61"/>
  <c r="N160" i="61"/>
  <c r="E172" i="61"/>
  <c r="U172" i="61"/>
  <c r="Q158" i="61"/>
  <c r="G166" i="61"/>
  <c r="W166" i="61"/>
  <c r="Q165" i="61"/>
  <c r="G179" i="61"/>
  <c r="W179" i="61"/>
  <c r="Q170" i="61"/>
  <c r="G168" i="61"/>
  <c r="W168" i="61"/>
  <c r="Q176" i="61"/>
  <c r="H162" i="61"/>
  <c r="X162" i="61"/>
  <c r="Q173" i="61"/>
  <c r="G161" i="61"/>
  <c r="W161" i="61"/>
  <c r="Q169" i="61"/>
  <c r="G167" i="61"/>
  <c r="W167" i="61"/>
  <c r="Q164" i="61"/>
  <c r="G157" i="61"/>
  <c r="W157" i="61"/>
  <c r="Q177" i="61"/>
  <c r="G174" i="61"/>
  <c r="W174" i="61"/>
  <c r="P175" i="61"/>
  <c r="I163" i="61"/>
  <c r="Y163" i="61"/>
  <c r="Q159" i="61"/>
  <c r="G160" i="61"/>
  <c r="W160" i="61"/>
  <c r="N172" i="61"/>
  <c r="P172" i="61"/>
  <c r="O171" i="61"/>
  <c r="G178" i="61"/>
  <c r="W178" i="61"/>
  <c r="Q180" i="61"/>
  <c r="T172" i="61"/>
  <c r="P171" i="61"/>
  <c r="H178" i="61"/>
  <c r="X178" i="61"/>
  <c r="N180" i="61"/>
  <c r="H172" i="61"/>
  <c r="M171" i="61"/>
  <c r="E178" i="61"/>
  <c r="U178" i="61"/>
  <c r="K180" i="61"/>
  <c r="L172" i="61"/>
  <c r="J171" i="61"/>
  <c r="Z171" i="61"/>
  <c r="N178" i="61"/>
  <c r="D180" i="61"/>
  <c r="T180" i="61"/>
  <c r="S177" i="61"/>
  <c r="B175" i="61"/>
  <c r="G163" i="61"/>
  <c r="O159" i="61"/>
  <c r="Y160" i="61"/>
  <c r="F166" i="61"/>
  <c r="L165" i="61"/>
  <c r="R179" i="61"/>
  <c r="P170" i="61"/>
  <c r="N168" i="61"/>
  <c r="H176" i="61"/>
  <c r="C162" i="61"/>
  <c r="S162" i="61"/>
  <c r="L173" i="61"/>
  <c r="B161" i="61"/>
  <c r="R161" i="61"/>
  <c r="H169" i="61"/>
  <c r="X169" i="61"/>
  <c r="N167" i="61"/>
  <c r="D164" i="61"/>
  <c r="T164" i="61"/>
  <c r="J157" i="61"/>
  <c r="Z157" i="61"/>
  <c r="P177" i="61"/>
  <c r="F174" i="61"/>
  <c r="V174" i="61"/>
  <c r="K175" i="61"/>
  <c r="D163" i="61"/>
  <c r="T163" i="61"/>
  <c r="L159" i="61"/>
  <c r="B160" i="61"/>
  <c r="R160" i="61"/>
  <c r="I172" i="61"/>
  <c r="E158" i="61"/>
  <c r="U158" i="61"/>
  <c r="K166" i="61"/>
  <c r="E165" i="61"/>
  <c r="U165" i="61"/>
  <c r="K179" i="61"/>
  <c r="E170" i="61"/>
  <c r="U170" i="61"/>
  <c r="K168" i="61"/>
  <c r="E176" i="61"/>
  <c r="U176" i="61"/>
  <c r="L162" i="61"/>
  <c r="E173" i="61"/>
  <c r="U173" i="61"/>
  <c r="K161" i="61"/>
  <c r="E169" i="61"/>
  <c r="U169" i="61"/>
  <c r="K167" i="61"/>
  <c r="E164" i="61"/>
  <c r="U164" i="61"/>
  <c r="K157" i="61"/>
  <c r="E177" i="61"/>
  <c r="U177" i="61"/>
  <c r="K174" i="61"/>
  <c r="D175" i="61"/>
  <c r="T175" i="61"/>
  <c r="M163" i="61"/>
  <c r="E159" i="61"/>
  <c r="U159" i="61"/>
  <c r="K160" i="61"/>
  <c r="B172" i="61"/>
  <c r="R172" i="61"/>
  <c r="C171" i="61"/>
  <c r="S171" i="61"/>
  <c r="K178" i="61"/>
  <c r="E180" i="61"/>
  <c r="U180" i="61"/>
  <c r="D171" i="61"/>
  <c r="T171" i="61"/>
  <c r="L178" i="61"/>
  <c r="B180" i="61"/>
  <c r="R180" i="61"/>
  <c r="X172" i="61"/>
  <c r="Q171" i="61"/>
  <c r="I178" i="61"/>
  <c r="Y178" i="61"/>
  <c r="O180" i="61"/>
  <c r="Y172" i="61"/>
  <c r="N171" i="61"/>
  <c r="B178" i="61"/>
  <c r="R178" i="61"/>
  <c r="H180" i="61"/>
  <c r="X180" i="61"/>
  <c r="Q157" i="61"/>
  <c r="W177" i="61"/>
  <c r="F175" i="61"/>
  <c r="K163" i="61"/>
  <c r="S159" i="61"/>
  <c r="D158" i="61"/>
  <c r="J166" i="61"/>
  <c r="P165" i="61"/>
  <c r="V179" i="61"/>
  <c r="X170" i="61"/>
  <c r="R168" i="61"/>
  <c r="L176" i="61"/>
  <c r="G162" i="61"/>
  <c r="W162" i="61"/>
  <c r="P173" i="61"/>
  <c r="F161" i="61"/>
  <c r="V161" i="61"/>
  <c r="L169" i="61"/>
  <c r="B167" i="61"/>
  <c r="R167" i="61"/>
  <c r="H164" i="61"/>
  <c r="X164" i="61"/>
  <c r="N157" i="61"/>
  <c r="D177" i="61"/>
  <c r="T177" i="61"/>
  <c r="J174" i="61"/>
  <c r="Z174" i="61"/>
  <c r="O175" i="61"/>
  <c r="H163" i="61"/>
  <c r="X163" i="61"/>
  <c r="P159" i="61"/>
  <c r="F160" i="61"/>
  <c r="V160" i="61"/>
  <c r="M172" i="61"/>
  <c r="I158" i="61"/>
  <c r="Y158" i="61"/>
  <c r="O166" i="61"/>
  <c r="I165" i="61"/>
  <c r="Y165" i="61"/>
  <c r="O179" i="61"/>
  <c r="I170" i="61"/>
  <c r="Y170" i="61"/>
  <c r="O168" i="61"/>
  <c r="I176" i="61"/>
  <c r="Y176" i="61"/>
  <c r="P162" i="61"/>
  <c r="I173" i="61"/>
  <c r="Y173" i="61"/>
  <c r="O161" i="61"/>
  <c r="I169" i="61"/>
  <c r="Y169" i="61"/>
  <c r="O167" i="61"/>
  <c r="I164" i="61"/>
  <c r="Y164" i="61"/>
  <c r="O157" i="61"/>
  <c r="I177" i="61"/>
  <c r="Y177" i="61"/>
  <c r="O174" i="61"/>
  <c r="H175" i="61"/>
  <c r="X175" i="61"/>
  <c r="Q163" i="61"/>
  <c r="I159" i="61"/>
  <c r="Y159" i="61"/>
  <c r="O160" i="61"/>
  <c r="F172" i="61"/>
  <c r="V172" i="61"/>
  <c r="G171" i="61"/>
  <c r="W171" i="61"/>
  <c r="O178" i="61"/>
  <c r="I180" i="61"/>
  <c r="Y180" i="61"/>
  <c r="H171" i="61"/>
  <c r="X171" i="61"/>
  <c r="P178" i="61"/>
  <c r="F180" i="61"/>
  <c r="V180" i="61"/>
  <c r="E171" i="61"/>
  <c r="U171" i="61"/>
  <c r="M178" i="61"/>
  <c r="C180" i="61"/>
  <c r="S180" i="61"/>
  <c r="B171" i="61"/>
  <c r="R171" i="61"/>
  <c r="F178" i="61"/>
  <c r="V178" i="61"/>
  <c r="L180" i="61"/>
  <c r="P156" i="61"/>
  <c r="S156" i="61"/>
  <c r="E156" i="61"/>
  <c r="Z156" i="61"/>
  <c r="G156" i="61"/>
  <c r="U156" i="61"/>
  <c r="Q156" i="61"/>
  <c r="X156" i="61"/>
  <c r="C156" i="61"/>
  <c r="B156" i="61"/>
  <c r="H156" i="61"/>
  <c r="N156" i="61"/>
  <c r="F156" i="61"/>
  <c r="Y156" i="61"/>
  <c r="D156" i="61"/>
  <c r="M156" i="61"/>
  <c r="T156" i="61"/>
  <c r="O156" i="61"/>
  <c r="W156" i="61"/>
  <c r="L156" i="61"/>
  <c r="J156" i="61"/>
  <c r="R156" i="61"/>
  <c r="I156" i="61"/>
  <c r="V156" i="61"/>
  <c r="K156" i="61"/>
  <c r="BG24" i="10"/>
  <c r="I47" i="10"/>
  <c r="BG23" i="10"/>
  <c r="I55" i="10"/>
  <c r="BG22" i="10"/>
  <c r="BS76" i="61"/>
  <c r="I42" i="10"/>
  <c r="BG19" i="10"/>
  <c r="I45" i="10"/>
  <c r="BG32" i="10"/>
  <c r="I46" i="10"/>
  <c r="BG24" i="6"/>
  <c r="I47" i="6"/>
  <c r="BG22" i="6"/>
  <c r="BG19" i="6"/>
  <c r="I55" i="6"/>
  <c r="I46" i="6"/>
  <c r="BW76" i="61"/>
  <c r="BG32" i="6"/>
  <c r="I45" i="6"/>
  <c r="BG23" i="6"/>
  <c r="S22" i="6" s="1"/>
  <c r="BW81" i="61" s="1"/>
  <c r="I42" i="6"/>
  <c r="BG22" i="8"/>
  <c r="BU76" i="61"/>
  <c r="I55" i="8"/>
  <c r="BG24" i="8"/>
  <c r="BG19" i="8"/>
  <c r="I46" i="8"/>
  <c r="BG32" i="8"/>
  <c r="S31" i="8" s="1"/>
  <c r="I45" i="8"/>
  <c r="BG23" i="8"/>
  <c r="I42" i="8"/>
  <c r="I47" i="8"/>
  <c r="I47" i="13"/>
  <c r="BG24" i="13"/>
  <c r="BG32" i="13"/>
  <c r="I46" i="13"/>
  <c r="BG23" i="13"/>
  <c r="I55" i="13"/>
  <c r="BG22" i="13"/>
  <c r="I42" i="13"/>
  <c r="BG19" i="13"/>
  <c r="I45" i="13"/>
  <c r="I47" i="25"/>
  <c r="I42" i="22"/>
  <c r="BG76" i="61"/>
  <c r="BN79" i="61"/>
  <c r="BG28" i="15"/>
  <c r="I51" i="15"/>
  <c r="BI79" i="61"/>
  <c r="I46" i="18"/>
  <c r="I47" i="18"/>
  <c r="BG23" i="18"/>
  <c r="I45" i="18"/>
  <c r="BG24" i="18"/>
  <c r="BG22" i="18"/>
  <c r="BK76" i="61"/>
  <c r="I42" i="18"/>
  <c r="BG19" i="18"/>
  <c r="I55" i="18"/>
  <c r="BG28" i="24"/>
  <c r="I51" i="11"/>
  <c r="BR79" i="61"/>
  <c r="BG28" i="11"/>
  <c r="I51" i="9"/>
  <c r="BT79" i="61"/>
  <c r="BG28" i="9"/>
  <c r="BG28" i="12"/>
  <c r="I51" i="12"/>
  <c r="I42" i="20"/>
  <c r="BG22" i="20"/>
  <c r="BG24" i="17" l="1"/>
  <c r="BL76" i="61"/>
  <c r="BG23" i="17"/>
  <c r="BG28" i="17"/>
  <c r="I51" i="18"/>
  <c r="I51" i="16"/>
  <c r="I42" i="15"/>
  <c r="BK79" i="61"/>
  <c r="BG19" i="22"/>
  <c r="BG19" i="15"/>
  <c r="I45" i="17"/>
  <c r="BM79" i="61"/>
  <c r="BE79" i="61"/>
  <c r="I55" i="22"/>
  <c r="I45" i="22"/>
  <c r="S22" i="13"/>
  <c r="BP81" i="61" s="1"/>
  <c r="I45" i="15"/>
  <c r="BG23" i="15"/>
  <c r="S22" i="15" s="1"/>
  <c r="BN81" i="61" s="1"/>
  <c r="S31" i="9"/>
  <c r="S21" i="11"/>
  <c r="BR80" i="61" s="1"/>
  <c r="BG19" i="17"/>
  <c r="I47" i="17"/>
  <c r="I51" i="17"/>
  <c r="BG22" i="22"/>
  <c r="S21" i="22" s="1"/>
  <c r="BG80" i="61" s="1"/>
  <c r="S22" i="8"/>
  <c r="BU81" i="61" s="1"/>
  <c r="BG22" i="17"/>
  <c r="I46" i="22"/>
  <c r="S22" i="22" s="1"/>
  <c r="BG81" i="61" s="1"/>
  <c r="BN76" i="61"/>
  <c r="S22" i="7"/>
  <c r="BV81" i="61" s="1"/>
  <c r="I46" i="17"/>
  <c r="I55" i="17"/>
  <c r="S27" i="24"/>
  <c r="BE86" i="61" s="1"/>
  <c r="S23" i="11"/>
  <c r="S22" i="24"/>
  <c r="BE81" i="61" s="1"/>
  <c r="S18" i="8"/>
  <c r="BU77" i="61" s="1"/>
  <c r="S31" i="6"/>
  <c r="S23" i="10"/>
  <c r="BG19" i="14"/>
  <c r="BD76" i="61"/>
  <c r="S21" i="9"/>
  <c r="BT80" i="61" s="1"/>
  <c r="S18" i="24"/>
  <c r="S21" i="24"/>
  <c r="BE80" i="61" s="1"/>
  <c r="BJ79" i="61"/>
  <c r="S22" i="18"/>
  <c r="BK81" i="61" s="1"/>
  <c r="I42" i="14"/>
  <c r="S27" i="15"/>
  <c r="BN86" i="61" s="1"/>
  <c r="BG24" i="25"/>
  <c r="S21" i="6"/>
  <c r="BW80" i="61" s="1"/>
  <c r="S31" i="10"/>
  <c r="BG24" i="23"/>
  <c r="S18" i="23"/>
  <c r="S21" i="12"/>
  <c r="BQ80" i="61" s="1"/>
  <c r="S22" i="9"/>
  <c r="BT81" i="61" s="1"/>
  <c r="S27" i="18"/>
  <c r="BK86" i="61" s="1"/>
  <c r="I47" i="21"/>
  <c r="S18" i="7"/>
  <c r="S27" i="7"/>
  <c r="BV86" i="61" s="1"/>
  <c r="S21" i="18"/>
  <c r="BK80" i="61" s="1"/>
  <c r="BG23" i="14"/>
  <c r="S31" i="13"/>
  <c r="S27" i="13"/>
  <c r="BP86" i="61" s="1"/>
  <c r="S18" i="21"/>
  <c r="S23" i="7"/>
  <c r="S23" i="17"/>
  <c r="S21" i="13"/>
  <c r="BP80" i="61" s="1"/>
  <c r="S21" i="10"/>
  <c r="BS80" i="61" s="1"/>
  <c r="S22" i="23"/>
  <c r="BF81" i="61" s="1"/>
  <c r="S27" i="6"/>
  <c r="BW86" i="61" s="1"/>
  <c r="S27" i="10"/>
  <c r="BS86" i="61" s="1"/>
  <c r="S22" i="12"/>
  <c r="BQ81" i="61" s="1"/>
  <c r="S18" i="12"/>
  <c r="S23" i="9"/>
  <c r="S22" i="17"/>
  <c r="BL81" i="61" s="1"/>
  <c r="S22" i="16"/>
  <c r="BM81" i="61" s="1"/>
  <c r="S27" i="21"/>
  <c r="BH86" i="61" s="1"/>
  <c r="S27" i="12"/>
  <c r="BQ86" i="61" s="1"/>
  <c r="S27" i="11"/>
  <c r="BR86" i="61" s="1"/>
  <c r="S18" i="18"/>
  <c r="I52" i="18" s="1"/>
  <c r="S23" i="18"/>
  <c r="S18" i="14"/>
  <c r="S18" i="13"/>
  <c r="BP77" i="61" s="1"/>
  <c r="S23" i="13"/>
  <c r="S23" i="6"/>
  <c r="S18" i="10"/>
  <c r="S21" i="15"/>
  <c r="BN80" i="61" s="1"/>
  <c r="S31" i="11"/>
  <c r="S22" i="19"/>
  <c r="BJ81" i="61" s="1"/>
  <c r="S22" i="21"/>
  <c r="BH81" i="61" s="1"/>
  <c r="S31" i="7"/>
  <c r="BV90" i="61" s="1"/>
  <c r="S21" i="17"/>
  <c r="BL80" i="61" s="1"/>
  <c r="S21" i="16"/>
  <c r="BM80" i="61" s="1"/>
  <c r="S27" i="17"/>
  <c r="BL86" i="61" s="1"/>
  <c r="S27" i="16"/>
  <c r="BM86" i="61" s="1"/>
  <c r="S27" i="9"/>
  <c r="BT86" i="61" s="1"/>
  <c r="S21" i="8"/>
  <c r="BU80" i="61" s="1"/>
  <c r="S18" i="6"/>
  <c r="S22" i="10"/>
  <c r="BS81" i="61" s="1"/>
  <c r="S18" i="15"/>
  <c r="S21" i="23"/>
  <c r="BF80" i="61" s="1"/>
  <c r="S27" i="8"/>
  <c r="BU86" i="61" s="1"/>
  <c r="S23" i="12"/>
  <c r="BQ82" i="61" s="1"/>
  <c r="S31" i="12"/>
  <c r="S18" i="9"/>
  <c r="S23" i="24"/>
  <c r="S23" i="19"/>
  <c r="S21" i="7"/>
  <c r="BV80" i="61" s="1"/>
  <c r="S18" i="17"/>
  <c r="S23" i="16"/>
  <c r="S18" i="16"/>
  <c r="S18" i="22"/>
  <c r="S23" i="25"/>
  <c r="S23" i="8"/>
  <c r="S22" i="11"/>
  <c r="BR81" i="61" s="1"/>
  <c r="S21" i="19"/>
  <c r="BJ80" i="61" s="1"/>
  <c r="S21" i="21"/>
  <c r="BH80" i="61" s="1"/>
  <c r="BG28" i="22"/>
  <c r="BG28" i="23"/>
  <c r="S27" i="23" s="1"/>
  <c r="BF86" i="61" s="1"/>
  <c r="I51" i="20"/>
  <c r="BG23" i="20"/>
  <c r="BG24" i="22"/>
  <c r="BI76" i="61"/>
  <c r="I47" i="20"/>
  <c r="BG28" i="20"/>
  <c r="I47" i="22"/>
  <c r="BG24" i="20"/>
  <c r="I45" i="20"/>
  <c r="S21" i="20" s="1"/>
  <c r="I46" i="20"/>
  <c r="I55" i="20"/>
  <c r="BG19" i="20"/>
  <c r="S18" i="20" s="1"/>
  <c r="BI77" i="61" s="1"/>
  <c r="I51" i="22"/>
  <c r="I51" i="19"/>
  <c r="S27" i="19" s="1"/>
  <c r="BJ86" i="61" s="1"/>
  <c r="BO76" i="61"/>
  <c r="BG24" i="14"/>
  <c r="I47" i="14"/>
  <c r="BG22" i="25"/>
  <c r="S21" i="25" s="1"/>
  <c r="BD80" i="61" s="1"/>
  <c r="I55" i="25"/>
  <c r="BF79" i="61"/>
  <c r="I51" i="14"/>
  <c r="I51" i="25"/>
  <c r="BG24" i="21"/>
  <c r="S23" i="21" s="1"/>
  <c r="I46" i="14"/>
  <c r="S22" i="14" s="1"/>
  <c r="I42" i="25"/>
  <c r="BG19" i="25"/>
  <c r="BG28" i="14"/>
  <c r="BG79" i="61"/>
  <c r="BG28" i="25"/>
  <c r="BG22" i="14"/>
  <c r="S21" i="14" s="1"/>
  <c r="BO80" i="61" s="1"/>
  <c r="I55" i="14"/>
  <c r="I46" i="25"/>
  <c r="BG23" i="25"/>
  <c r="BG24" i="15"/>
  <c r="I47" i="15"/>
  <c r="I47" i="23"/>
  <c r="S23" i="23" s="1"/>
  <c r="BG8" i="25"/>
  <c r="BH8" i="25"/>
  <c r="BH8" i="8"/>
  <c r="BG8" i="8"/>
  <c r="BG31" i="8" s="1"/>
  <c r="S30" i="8" s="1"/>
  <c r="BU89" i="61" s="1"/>
  <c r="BG8" i="21"/>
  <c r="BH8" i="21"/>
  <c r="BH8" i="7"/>
  <c r="BG8" i="7"/>
  <c r="BG31" i="7" s="1"/>
  <c r="S30" i="7" s="1"/>
  <c r="BV89" i="61" s="1"/>
  <c r="BH8" i="13"/>
  <c r="BG8" i="13"/>
  <c r="BG31" i="13" s="1"/>
  <c r="S30" i="13" s="1"/>
  <c r="BP89" i="61" s="1"/>
  <c r="BG8" i="15"/>
  <c r="BH8" i="15"/>
  <c r="BG8" i="9"/>
  <c r="BG31" i="9" s="1"/>
  <c r="S30" i="9" s="1"/>
  <c r="BT89" i="61" s="1"/>
  <c r="BH8" i="9"/>
  <c r="BG8" i="11"/>
  <c r="BG31" i="11" s="1"/>
  <c r="S30" i="11" s="1"/>
  <c r="BR89" i="61" s="1"/>
  <c r="BH8" i="11"/>
  <c r="BH8" i="22"/>
  <c r="BG8" i="22"/>
  <c r="BH8" i="14"/>
  <c r="BG8" i="14"/>
  <c r="BG8" i="2"/>
  <c r="BH8" i="2"/>
  <c r="AW170" i="61"/>
  <c r="AL169" i="61"/>
  <c r="AO165" i="61"/>
  <c r="BA163" i="61"/>
  <c r="AM180" i="61"/>
  <c r="BA162" i="61"/>
  <c r="AR170" i="61"/>
  <c r="AG169" i="61"/>
  <c r="AS178" i="61"/>
  <c r="AR163" i="61"/>
  <c r="AW168" i="61"/>
  <c r="AD179" i="61"/>
  <c r="AT164" i="61"/>
  <c r="AL161" i="61"/>
  <c r="AD173" i="61"/>
  <c r="AQ177" i="61"/>
  <c r="AD163" i="61"/>
  <c r="AT168" i="61"/>
  <c r="AM179" i="61"/>
  <c r="AY164" i="61"/>
  <c r="AM161" i="61"/>
  <c r="AK170" i="61"/>
  <c r="AZ165" i="61"/>
  <c r="AC165" i="61"/>
  <c r="AO163" i="61"/>
  <c r="BA158" i="61"/>
  <c r="AO162" i="61"/>
  <c r="AF170" i="61"/>
  <c r="AU165" i="61"/>
  <c r="AG178" i="61"/>
  <c r="AS180" i="61"/>
  <c r="AK168" i="61"/>
  <c r="AS174" i="61"/>
  <c r="AH164" i="61"/>
  <c r="AZ176" i="61"/>
  <c r="AQ166" i="61"/>
  <c r="AE177" i="61"/>
  <c r="AR171" i="61"/>
  <c r="AH168" i="61"/>
  <c r="AX174" i="61"/>
  <c r="AM164" i="61"/>
  <c r="BA176" i="61"/>
  <c r="AN166" i="61"/>
  <c r="AF177" i="61"/>
  <c r="AH178" i="61"/>
  <c r="AE175" i="61"/>
  <c r="AV179" i="61"/>
  <c r="AK160" i="61"/>
  <c r="AE162" i="61"/>
  <c r="AH170" i="61"/>
  <c r="AW165" i="61"/>
  <c r="AI178" i="61"/>
  <c r="AU180" i="61"/>
  <c r="AH165" i="61"/>
  <c r="AZ170" i="61"/>
  <c r="AO169" i="61"/>
  <c r="BA178" i="61"/>
  <c r="AD178" i="61"/>
  <c r="AC175" i="61"/>
  <c r="AL179" i="61"/>
  <c r="AE160" i="61"/>
  <c r="AT161" i="61"/>
  <c r="AL173" i="61"/>
  <c r="AY177" i="61"/>
  <c r="AT163" i="61"/>
  <c r="AD175" i="61"/>
  <c r="AU179" i="61"/>
  <c r="AJ160" i="61"/>
  <c r="AU161" i="61"/>
  <c r="AC170" i="61"/>
  <c r="AR165" i="61"/>
  <c r="AV162" i="61"/>
  <c r="AG163" i="61"/>
  <c r="AS158" i="61"/>
  <c r="AG162" i="61"/>
  <c r="AV169" i="61"/>
  <c r="AM165" i="61"/>
  <c r="AY163" i="61"/>
  <c r="AK180" i="61"/>
  <c r="AC168" i="61"/>
  <c r="AK174" i="61"/>
  <c r="AZ167" i="61"/>
  <c r="AR176" i="61"/>
  <c r="AI166" i="61"/>
  <c r="AW172" i="61"/>
  <c r="AJ171" i="61"/>
  <c r="AZ180" i="61"/>
  <c r="AP174" i="61"/>
  <c r="AE164" i="61"/>
  <c r="AS176" i="61"/>
  <c r="AF166" i="61"/>
  <c r="AT172" i="61"/>
  <c r="AN163" i="61"/>
  <c r="AU168" i="61"/>
  <c r="AN179" i="61"/>
  <c r="AC160" i="61"/>
  <c r="AR161" i="61"/>
  <c r="AX172" i="61"/>
  <c r="AY168" i="61"/>
  <c r="AG160" i="61"/>
  <c r="AG166" i="61"/>
  <c r="AU172" i="61"/>
  <c r="AH158" i="61"/>
  <c r="AV175" i="61"/>
  <c r="AD160" i="61"/>
  <c r="AG173" i="61"/>
  <c r="AH171" i="61"/>
  <c r="AM156" i="61"/>
  <c r="AP178" i="61"/>
  <c r="AZ179" i="61"/>
  <c r="AV161" i="61"/>
  <c r="AR173" i="61"/>
  <c r="AX169" i="61"/>
  <c r="AR168" i="61"/>
  <c r="AG179" i="61"/>
  <c r="AS164" i="61"/>
  <c r="AG161" i="61"/>
  <c r="AT166" i="61"/>
  <c r="AH177" i="61"/>
  <c r="AY171" i="61"/>
  <c r="AM157" i="61"/>
  <c r="AH156" i="61"/>
  <c r="AK179" i="61"/>
  <c r="AK161" i="61"/>
  <c r="AL177" i="61"/>
  <c r="AD171" i="61"/>
  <c r="AZ166" i="61"/>
  <c r="AF158" i="61"/>
  <c r="AH167" i="61"/>
  <c r="AZ161" i="61"/>
  <c r="AV173" i="61"/>
  <c r="AM162" i="61"/>
  <c r="AP170" i="61"/>
  <c r="AE169" i="61"/>
  <c r="AQ178" i="61"/>
  <c r="AE170" i="61"/>
  <c r="AP165" i="61"/>
  <c r="AH162" i="61"/>
  <c r="AW169" i="61"/>
  <c r="AI158" i="61"/>
  <c r="AT178" i="61"/>
  <c r="AK175" i="61"/>
  <c r="AT179" i="61"/>
  <c r="AM160" i="61"/>
  <c r="AF159" i="61"/>
  <c r="AT173" i="61"/>
  <c r="AG157" i="61"/>
  <c r="AN178" i="61"/>
  <c r="AL175" i="61"/>
  <c r="AC167" i="61"/>
  <c r="AR160" i="61"/>
  <c r="AC159" i="61"/>
  <c r="BA170" i="61"/>
  <c r="AD170" i="61"/>
  <c r="AS165" i="61"/>
  <c r="AE178" i="61"/>
  <c r="AQ180" i="61"/>
  <c r="AD165" i="61"/>
  <c r="AV170" i="61"/>
  <c r="AK169" i="61"/>
  <c r="AW178" i="61"/>
  <c r="AZ163" i="61"/>
  <c r="BA168" i="61"/>
  <c r="AH179" i="61"/>
  <c r="AX164" i="61"/>
  <c r="AP161" i="61"/>
  <c r="AH173" i="61"/>
  <c r="AU177" i="61"/>
  <c r="AL163" i="61"/>
  <c r="AX168" i="61"/>
  <c r="AQ179" i="61"/>
  <c r="AF160" i="61"/>
  <c r="AQ161" i="61"/>
  <c r="AE173" i="61"/>
  <c r="AV177" i="61"/>
  <c r="AN158" i="61"/>
  <c r="AU175" i="61"/>
  <c r="AL167" i="61"/>
  <c r="BA160" i="61"/>
  <c r="AU162" i="61"/>
  <c r="AX170" i="61"/>
  <c r="AM169" i="61"/>
  <c r="AY178" i="61"/>
  <c r="AM170" i="61"/>
  <c r="AX165" i="61"/>
  <c r="AP162" i="61"/>
  <c r="AE163" i="61"/>
  <c r="AQ158" i="61"/>
  <c r="AR158" i="61"/>
  <c r="AS175" i="61"/>
  <c r="AF167" i="61"/>
  <c r="AU160" i="61"/>
  <c r="AN159" i="61"/>
  <c r="AC172" i="61"/>
  <c r="AO157" i="61"/>
  <c r="AD158" i="61"/>
  <c r="AT175" i="61"/>
  <c r="AK167" i="61"/>
  <c r="AZ160" i="61"/>
  <c r="AK159" i="61"/>
  <c r="AS170" i="61"/>
  <c r="AH169" i="61"/>
  <c r="AK165" i="61"/>
  <c r="AW163" i="61"/>
  <c r="AI180" i="61"/>
  <c r="AW162" i="61"/>
  <c r="AN170" i="61"/>
  <c r="AC169" i="61"/>
  <c r="AO178" i="61"/>
  <c r="AJ163" i="61"/>
  <c r="AS168" i="61"/>
  <c r="BA174" i="61"/>
  <c r="AP164" i="61"/>
  <c r="AH161" i="61"/>
  <c r="AY166" i="61"/>
  <c r="AM177" i="61"/>
  <c r="AP169" i="61"/>
  <c r="AP168" i="61"/>
  <c r="AI179" i="61"/>
  <c r="AU164" i="61"/>
  <c r="AI161" i="61"/>
  <c r="AV166" i="61"/>
  <c r="AN177" i="61"/>
  <c r="AX178" i="61"/>
  <c r="AM175" i="61"/>
  <c r="AD167" i="61"/>
  <c r="AS160" i="61"/>
  <c r="AH159" i="61"/>
  <c r="AH157" i="61"/>
  <c r="AI174" i="61"/>
  <c r="AL176" i="61"/>
  <c r="AW166" i="61"/>
  <c r="AK177" i="61"/>
  <c r="AN180" i="61"/>
  <c r="AC179" i="61"/>
  <c r="AM176" i="61"/>
  <c r="AN172" i="61"/>
  <c r="AZ171" i="61"/>
  <c r="AY173" i="61"/>
  <c r="BA180" i="61"/>
  <c r="AJ164" i="61"/>
  <c r="AP159" i="61"/>
  <c r="AI172" i="61"/>
  <c r="AJ178" i="61"/>
  <c r="AJ175" i="61"/>
  <c r="AW179" i="61"/>
  <c r="AH160" i="61"/>
  <c r="AW161" i="61"/>
  <c r="AK173" i="61"/>
  <c r="AX177" i="61"/>
  <c r="AW171" i="61"/>
  <c r="BA171" i="61"/>
  <c r="AE156" i="61"/>
  <c r="AQ167" i="61"/>
  <c r="AQ159" i="61"/>
  <c r="AV157" i="61"/>
  <c r="AT156" i="61"/>
  <c r="AH172" i="61"/>
  <c r="AI168" i="61"/>
  <c r="AR164" i="61"/>
  <c r="AT159" i="61"/>
  <c r="AM172" i="61"/>
  <c r="AF165" i="61"/>
  <c r="AJ162" i="61"/>
  <c r="AU169" i="61"/>
  <c r="AG158" i="61"/>
  <c r="AU170" i="61"/>
  <c r="AJ169" i="61"/>
  <c r="AX162" i="61"/>
  <c r="AM163" i="61"/>
  <c r="AY158" i="61"/>
  <c r="AH180" i="61"/>
  <c r="BA175" i="61"/>
  <c r="AN167" i="61"/>
  <c r="AF176" i="61"/>
  <c r="AV159" i="61"/>
  <c r="AK172" i="61"/>
  <c r="AW157" i="61"/>
  <c r="AT158" i="61"/>
  <c r="AD174" i="61"/>
  <c r="AS167" i="61"/>
  <c r="AG176" i="61"/>
  <c r="AS159" i="61"/>
  <c r="AQ162" i="61"/>
  <c r="AT170" i="61"/>
  <c r="AI169" i="61"/>
  <c r="AU178" i="61"/>
  <c r="AI170" i="61"/>
  <c r="AT165" i="61"/>
  <c r="AL162" i="61"/>
  <c r="BA169" i="61"/>
  <c r="AM158" i="61"/>
  <c r="AJ158" i="61"/>
  <c r="AO175" i="61"/>
  <c r="AX179" i="61"/>
  <c r="AQ160" i="61"/>
  <c r="AJ159" i="61"/>
  <c r="AX173" i="61"/>
  <c r="AK157" i="61"/>
  <c r="AV178" i="61"/>
  <c r="AP175" i="61"/>
  <c r="AG167" i="61"/>
  <c r="AV160" i="61"/>
  <c r="AG159" i="61"/>
  <c r="AU173" i="61"/>
  <c r="AL157" i="61"/>
  <c r="AT180" i="61"/>
  <c r="AM174" i="61"/>
  <c r="AF164" i="61"/>
  <c r="AP176" i="61"/>
  <c r="AN165" i="61"/>
  <c r="AR162" i="61"/>
  <c r="AC163" i="61"/>
  <c r="AO158" i="61"/>
  <c r="AC162" i="61"/>
  <c r="AR169" i="61"/>
  <c r="AI165" i="61"/>
  <c r="AU163" i="61"/>
  <c r="AG180" i="61"/>
  <c r="AX180" i="61"/>
  <c r="AG174" i="61"/>
  <c r="AV167" i="61"/>
  <c r="AN176" i="61"/>
  <c r="AE166" i="61"/>
  <c r="AS172" i="61"/>
  <c r="AF171" i="61"/>
  <c r="AR180" i="61"/>
  <c r="AL174" i="61"/>
  <c r="BA167" i="61"/>
  <c r="AO176" i="61"/>
  <c r="BA159" i="61"/>
  <c r="AI162" i="61"/>
  <c r="AL170" i="61"/>
  <c r="BA165" i="61"/>
  <c r="AM178" i="61"/>
  <c r="AY180" i="61"/>
  <c r="AL165" i="61"/>
  <c r="AD162" i="61"/>
  <c r="AS169" i="61"/>
  <c r="AE158" i="61"/>
  <c r="AL178" i="61"/>
  <c r="AG175" i="61"/>
  <c r="AP179" i="61"/>
  <c r="AI160" i="61"/>
  <c r="AX161" i="61"/>
  <c r="AP173" i="61"/>
  <c r="AC157" i="61"/>
  <c r="AF178" i="61"/>
  <c r="AH175" i="61"/>
  <c r="AY179" i="61"/>
  <c r="AN160" i="61"/>
  <c r="AY161" i="61"/>
  <c r="AM173" i="61"/>
  <c r="AD157" i="61"/>
  <c r="AD180" i="61"/>
  <c r="AE174" i="61"/>
  <c r="AT167" i="61"/>
  <c r="AH176" i="61"/>
  <c r="AX159" i="61"/>
  <c r="AV163" i="61"/>
  <c r="AR179" i="61"/>
  <c r="AN161" i="61"/>
  <c r="AN173" i="61"/>
  <c r="BA177" i="61"/>
  <c r="AN168" i="61"/>
  <c r="AS179" i="61"/>
  <c r="AS161" i="61"/>
  <c r="AT177" i="61"/>
  <c r="AJ156" i="61"/>
  <c r="AJ177" i="61"/>
  <c r="AI175" i="61"/>
  <c r="AO160" i="61"/>
  <c r="AK166" i="61"/>
  <c r="AY172" i="61"/>
  <c r="AP158" i="61"/>
  <c r="AZ175" i="61"/>
  <c r="AM167" i="61"/>
  <c r="AX160" i="61"/>
  <c r="AM159" i="61"/>
  <c r="BA173" i="61"/>
  <c r="AR157" i="61"/>
  <c r="AP171" i="61"/>
  <c r="AX156" i="61"/>
  <c r="AQ156" i="61"/>
  <c r="AW164" i="61"/>
  <c r="AX166" i="61"/>
  <c r="AQ157" i="61"/>
  <c r="AN156" i="61"/>
  <c r="AR177" i="61"/>
  <c r="AQ175" i="61"/>
  <c r="AW160" i="61"/>
  <c r="AO166" i="61"/>
  <c r="AC177" i="61"/>
  <c r="AX158" i="61"/>
  <c r="AF174" i="61"/>
  <c r="AL160" i="61"/>
  <c r="AO173" i="61"/>
  <c r="AE157" i="61"/>
  <c r="AZ156" i="61"/>
  <c r="AF163" i="61"/>
  <c r="AJ179" i="61"/>
  <c r="AJ161" i="61"/>
  <c r="AJ173" i="61"/>
  <c r="AW177" i="61"/>
  <c r="AJ168" i="61"/>
  <c r="AZ174" i="61"/>
  <c r="AK164" i="61"/>
  <c r="AY176" i="61"/>
  <c r="AL166" i="61"/>
  <c r="AZ172" i="61"/>
  <c r="AQ171" i="61"/>
  <c r="AS171" i="61"/>
  <c r="AK156" i="61"/>
  <c r="AN174" i="61"/>
  <c r="AC161" i="61"/>
  <c r="AD177" i="61"/>
  <c r="AY157" i="61"/>
  <c r="AL156" i="61"/>
  <c r="AG170" i="61"/>
  <c r="AV165" i="61"/>
  <c r="AZ162" i="61"/>
  <c r="AK163" i="61"/>
  <c r="AW158" i="61"/>
  <c r="AK162" i="61"/>
  <c r="AZ169" i="61"/>
  <c r="AQ165" i="61"/>
  <c r="AC178" i="61"/>
  <c r="AO180" i="61"/>
  <c r="AG168" i="61"/>
  <c r="AO174" i="61"/>
  <c r="AD164" i="61"/>
  <c r="AV176" i="61"/>
  <c r="AM166" i="61"/>
  <c r="BA172" i="61"/>
  <c r="AN171" i="61"/>
  <c r="AD168" i="61"/>
  <c r="AT174" i="61"/>
  <c r="AI164" i="61"/>
  <c r="AW176" i="61"/>
  <c r="AJ166" i="61"/>
  <c r="AJ165" i="61"/>
  <c r="AN162" i="61"/>
  <c r="AY169" i="61"/>
  <c r="AK158" i="61"/>
  <c r="AY170" i="61"/>
  <c r="AN169" i="61"/>
  <c r="AE165" i="61"/>
  <c r="AQ163" i="61"/>
  <c r="AC180" i="61"/>
  <c r="AP180" i="61"/>
  <c r="AC174" i="61"/>
  <c r="AR167" i="61"/>
  <c r="AJ176" i="61"/>
  <c r="AZ159" i="61"/>
  <c r="AO172" i="61"/>
  <c r="BA157" i="61"/>
  <c r="AK176" i="61"/>
  <c r="AM168" i="61"/>
  <c r="AD169" i="61"/>
  <c r="AS162" i="61"/>
  <c r="AW180" i="61"/>
  <c r="AD161" i="61"/>
  <c r="AL168" i="61"/>
  <c r="AR166" i="61"/>
  <c r="AC158" i="61"/>
  <c r="AI163" i="61"/>
  <c r="AJ167" i="61"/>
  <c r="AS157" i="61"/>
  <c r="AC176" i="61"/>
  <c r="AE168" i="61"/>
  <c r="AQ173" i="61"/>
  <c r="AE172" i="61"/>
  <c r="AY159" i="61"/>
  <c r="AQ174" i="61"/>
  <c r="AV180" i="61"/>
  <c r="AD166" i="61"/>
  <c r="AV156" i="61"/>
  <c r="AX171" i="61"/>
  <c r="AF161" i="61"/>
  <c r="AR178" i="61"/>
  <c r="AV174" i="61"/>
  <c r="BA161" i="61"/>
  <c r="AM171" i="61"/>
  <c r="AI173" i="61"/>
  <c r="AQ168" i="61"/>
  <c r="AD176" i="61"/>
  <c r="AZ173" i="61"/>
  <c r="AZ178" i="61"/>
  <c r="AJ174" i="61"/>
  <c r="BA164" i="61"/>
  <c r="AE159" i="61"/>
  <c r="AJ172" i="61"/>
  <c r="AG171" i="61"/>
  <c r="AU156" i="61"/>
  <c r="AP156" i="61"/>
  <c r="AI159" i="61"/>
  <c r="AE171" i="61"/>
  <c r="AY156" i="61"/>
  <c r="AJ180" i="61"/>
  <c r="AW159" i="61"/>
  <c r="AF179" i="61"/>
  <c r="AG165" i="61"/>
  <c r="AJ170" i="61"/>
  <c r="AO168" i="61"/>
  <c r="AU166" i="61"/>
  <c r="AE179" i="61"/>
  <c r="AY162" i="61"/>
  <c r="AQ170" i="61"/>
  <c r="AU158" i="61"/>
  <c r="AY160" i="61"/>
  <c r="AL158" i="61"/>
  <c r="AO159" i="61"/>
  <c r="AU174" i="61"/>
  <c r="AL180" i="61"/>
  <c r="AX163" i="61"/>
  <c r="AU171" i="61"/>
  <c r="AT176" i="61"/>
  <c r="AR174" i="61"/>
  <c r="AR172" i="61"/>
  <c r="AS156" i="61"/>
  <c r="BA156" i="61"/>
  <c r="AF173" i="61"/>
  <c r="AF168" i="61"/>
  <c r="BA179" i="61"/>
  <c r="AH166" i="61"/>
  <c r="AK171" i="61"/>
  <c r="AP172" i="61"/>
  <c r="AY175" i="61"/>
  <c r="AD159" i="61"/>
  <c r="AQ172" i="61"/>
  <c r="AF180" i="61"/>
  <c r="AO179" i="61"/>
  <c r="AP160" i="61"/>
  <c r="AU159" i="61"/>
  <c r="AP177" i="61"/>
  <c r="AU157" i="61"/>
  <c r="AD156" i="61"/>
  <c r="AI167" i="61"/>
  <c r="AP166" i="61"/>
  <c r="AO171" i="61"/>
  <c r="AF156" i="61"/>
  <c r="AH174" i="61"/>
  <c r="AL172" i="61"/>
  <c r="AV164" i="61"/>
  <c r="AS163" i="61"/>
  <c r="AY165" i="61"/>
  <c r="AW174" i="61"/>
  <c r="AI177" i="61"/>
  <c r="AQ164" i="61"/>
  <c r="AF162" i="61"/>
  <c r="AF169" i="61"/>
  <c r="AZ158" i="61"/>
  <c r="AR159" i="61"/>
  <c r="AX175" i="61"/>
  <c r="AD172" i="61"/>
  <c r="AN164" i="61"/>
  <c r="AX167" i="61"/>
  <c r="AF175" i="61"/>
  <c r="AR156" i="61"/>
  <c r="BA166" i="61"/>
  <c r="AC164" i="61"/>
  <c r="AI171" i="61"/>
  <c r="AE176" i="61"/>
  <c r="AX157" i="61"/>
  <c r="AS177" i="61"/>
  <c r="AV168" i="61"/>
  <c r="AG164" i="61"/>
  <c r="AV172" i="61"/>
  <c r="AI156" i="61"/>
  <c r="AZ177" i="61"/>
  <c r="AP167" i="61"/>
  <c r="AC166" i="61"/>
  <c r="AG177" i="61"/>
  <c r="AZ168" i="61"/>
  <c r="AE167" i="61"/>
  <c r="AI176" i="61"/>
  <c r="AC173" i="61"/>
  <c r="AJ157" i="61"/>
  <c r="AI157" i="61"/>
  <c r="AG156" i="61"/>
  <c r="AO164" i="61"/>
  <c r="AW173" i="61"/>
  <c r="AT171" i="61"/>
  <c r="AW167" i="61"/>
  <c r="AT169" i="61"/>
  <c r="AO170" i="61"/>
  <c r="AE180" i="61"/>
  <c r="AK178" i="61"/>
  <c r="AL164" i="61"/>
  <c r="AV171" i="61"/>
  <c r="AE161" i="61"/>
  <c r="AQ169" i="61"/>
  <c r="AT162" i="61"/>
  <c r="AW175" i="61"/>
  <c r="AG172" i="61"/>
  <c r="AO167" i="61"/>
  <c r="AT157" i="61"/>
  <c r="AX176" i="61"/>
  <c r="AL159" i="61"/>
  <c r="AY167" i="61"/>
  <c r="AP157" i="61"/>
  <c r="AO177" i="61"/>
  <c r="AQ176" i="61"/>
  <c r="AC171" i="61"/>
  <c r="AF172" i="61"/>
  <c r="AY174" i="61"/>
  <c r="AH163" i="61"/>
  <c r="AN175" i="61"/>
  <c r="AU176" i="61"/>
  <c r="AF157" i="61"/>
  <c r="AW156" i="61"/>
  <c r="AV158" i="61"/>
  <c r="AZ164" i="61"/>
  <c r="AS166" i="61"/>
  <c r="AP163" i="61"/>
  <c r="AR175" i="61"/>
  <c r="AU167" i="61"/>
  <c r="AO161" i="61"/>
  <c r="AS173" i="61"/>
  <c r="AZ157" i="61"/>
  <c r="AL171" i="61"/>
  <c r="AO156" i="61"/>
  <c r="AT160" i="61"/>
  <c r="AN157" i="61"/>
  <c r="AC156" i="61"/>
  <c r="BH8" i="4"/>
  <c r="BG8" i="4"/>
  <c r="BH8" i="16"/>
  <c r="BG8" i="16"/>
  <c r="BG29" i="16" s="1"/>
  <c r="BH8" i="23"/>
  <c r="BG8" i="23"/>
  <c r="BG29" i="23" s="1"/>
  <c r="BG8" i="20"/>
  <c r="BH8" i="20"/>
  <c r="BG8" i="6"/>
  <c r="BG31" i="6" s="1"/>
  <c r="S30" i="6" s="1"/>
  <c r="BW89" i="61" s="1"/>
  <c r="BH8" i="6"/>
  <c r="BG8" i="10"/>
  <c r="BG31" i="10" s="1"/>
  <c r="S30" i="10" s="1"/>
  <c r="BS89" i="61" s="1"/>
  <c r="BH8" i="10"/>
  <c r="BG8" i="19"/>
  <c r="BG29" i="19" s="1"/>
  <c r="BH8" i="19"/>
  <c r="BH8" i="12"/>
  <c r="BG8" i="12"/>
  <c r="BG31" i="12" s="1"/>
  <c r="S30" i="12" s="1"/>
  <c r="BQ89" i="61" s="1"/>
  <c r="BG8" i="3"/>
  <c r="BH8" i="3"/>
  <c r="BG8" i="24"/>
  <c r="BG29" i="24" s="1"/>
  <c r="BH8" i="24"/>
  <c r="BG8" i="18"/>
  <c r="BG29" i="18" s="1"/>
  <c r="BH8" i="18"/>
  <c r="BH8" i="1"/>
  <c r="BG8" i="1"/>
  <c r="BG10" i="53"/>
  <c r="BG9" i="53"/>
  <c r="BG33" i="53" s="1"/>
  <c r="BH8" i="17"/>
  <c r="BG8" i="17"/>
  <c r="BG29" i="17" s="1"/>
  <c r="BG8" i="5"/>
  <c r="BH8" i="5"/>
  <c r="BG26" i="18"/>
  <c r="I48" i="18"/>
  <c r="BK82" i="61"/>
  <c r="BG25" i="18"/>
  <c r="I49" i="18"/>
  <c r="BG77" i="61"/>
  <c r="BD82" i="61"/>
  <c r="BW82" i="61"/>
  <c r="BG25" i="6"/>
  <c r="I49" i="6"/>
  <c r="BG26" i="6"/>
  <c r="I48" i="6"/>
  <c r="BS77" i="61"/>
  <c r="BG29" i="10"/>
  <c r="I52" i="10"/>
  <c r="L18" i="62"/>
  <c r="L9" i="62"/>
  <c r="L20" i="62"/>
  <c r="BT90" i="61"/>
  <c r="BG34" i="9"/>
  <c r="I57" i="9"/>
  <c r="BG34" i="11"/>
  <c r="I57" i="11"/>
  <c r="BR90" i="61"/>
  <c r="BE77" i="61"/>
  <c r="I52" i="24"/>
  <c r="BG34" i="7"/>
  <c r="I57" i="7"/>
  <c r="BL82" i="61"/>
  <c r="BG25" i="17"/>
  <c r="I48" i="17"/>
  <c r="BG26" i="17"/>
  <c r="I49" i="17"/>
  <c r="BG29" i="13"/>
  <c r="I52" i="13"/>
  <c r="BS82" i="61"/>
  <c r="BG25" i="10"/>
  <c r="I49" i="10"/>
  <c r="BG26" i="10"/>
  <c r="I48" i="10"/>
  <c r="BP90" i="61"/>
  <c r="BG34" i="13"/>
  <c r="I57" i="13"/>
  <c r="BG29" i="8"/>
  <c r="I52" i="8"/>
  <c r="I57" i="6"/>
  <c r="BW90" i="61"/>
  <c r="BG34" i="6"/>
  <c r="BW77" i="61"/>
  <c r="BG29" i="6"/>
  <c r="I52" i="6"/>
  <c r="L22" i="62"/>
  <c r="L23" i="62"/>
  <c r="L30" i="62"/>
  <c r="L28" i="62"/>
  <c r="L13" i="62"/>
  <c r="L16" i="62"/>
  <c r="BG25" i="12"/>
  <c r="I49" i="12"/>
  <c r="BG26" i="12"/>
  <c r="I48" i="12"/>
  <c r="I57" i="12"/>
  <c r="BQ90" i="61"/>
  <c r="BG34" i="12"/>
  <c r="I52" i="9"/>
  <c r="BT77" i="61"/>
  <c r="BG29" i="9"/>
  <c r="I52" i="11"/>
  <c r="BR77" i="61"/>
  <c r="BG29" i="11"/>
  <c r="BE82" i="61"/>
  <c r="BG25" i="24"/>
  <c r="I48" i="24"/>
  <c r="BG26" i="24"/>
  <c r="I49" i="24"/>
  <c r="BJ77" i="61"/>
  <c r="I52" i="19"/>
  <c r="BH77" i="61"/>
  <c r="BG26" i="13"/>
  <c r="I49" i="13"/>
  <c r="BP82" i="61"/>
  <c r="BG25" i="13"/>
  <c r="I48" i="13"/>
  <c r="BG26" i="8"/>
  <c r="I49" i="8"/>
  <c r="BU82" i="61"/>
  <c r="BG25" i="8"/>
  <c r="I48" i="8"/>
  <c r="BG34" i="10"/>
  <c r="I57" i="10"/>
  <c r="BS90" i="61"/>
  <c r="L29" i="62"/>
  <c r="L11" i="62"/>
  <c r="L12" i="62"/>
  <c r="L25" i="62"/>
  <c r="L17" i="62"/>
  <c r="L27" i="62"/>
  <c r="L14" i="62"/>
  <c r="L15" i="62"/>
  <c r="BN77" i="61"/>
  <c r="I52" i="15"/>
  <c r="BF77" i="61"/>
  <c r="I52" i="23"/>
  <c r="BG26" i="11"/>
  <c r="I48" i="11"/>
  <c r="BR82" i="61"/>
  <c r="BG25" i="11"/>
  <c r="I49" i="11"/>
  <c r="BG24" i="53"/>
  <c r="S33" i="53"/>
  <c r="BG23" i="53"/>
  <c r="S20" i="53"/>
  <c r="S25" i="53"/>
  <c r="BG20" i="53"/>
  <c r="S23" i="53"/>
  <c r="BG25" i="53"/>
  <c r="S24" i="53"/>
  <c r="BH82" i="61"/>
  <c r="BG25" i="21"/>
  <c r="I48" i="21"/>
  <c r="BG26" i="21"/>
  <c r="S25" i="21" s="1"/>
  <c r="BH84" i="61" s="1"/>
  <c r="I49" i="21"/>
  <c r="BV77" i="61"/>
  <c r="BG29" i="7"/>
  <c r="I52" i="7"/>
  <c r="BL77" i="61"/>
  <c r="I52" i="17"/>
  <c r="BO77" i="61"/>
  <c r="I52" i="14"/>
  <c r="BG34" i="8"/>
  <c r="I57" i="8"/>
  <c r="BU90" i="61"/>
  <c r="L7" i="62"/>
  <c r="L31" i="62"/>
  <c r="L26" i="62"/>
  <c r="L8" i="62"/>
  <c r="L19" i="62"/>
  <c r="L24" i="62"/>
  <c r="L21" i="62"/>
  <c r="L10" i="62"/>
  <c r="BG29" i="12"/>
  <c r="S28" i="12" s="1"/>
  <c r="BQ87" i="61" s="1"/>
  <c r="I52" i="12"/>
  <c r="BQ77" i="61"/>
  <c r="BT82" i="61"/>
  <c r="BG25" i="9"/>
  <c r="S24" i="9" s="1"/>
  <c r="BT83" i="61" s="1"/>
  <c r="I48" i="9"/>
  <c r="BG26" i="9"/>
  <c r="I49" i="9"/>
  <c r="I49" i="19"/>
  <c r="BG25" i="19"/>
  <c r="BC29" i="53"/>
  <c r="BG22" i="53" s="1"/>
  <c r="S49" i="53" s="1"/>
  <c r="BG29" i="53" s="1"/>
  <c r="BG25" i="7"/>
  <c r="BV82" i="61"/>
  <c r="I49" i="7"/>
  <c r="BG26" i="7"/>
  <c r="I48" i="7"/>
  <c r="BG26" i="16"/>
  <c r="I49" i="16"/>
  <c r="BM82" i="61"/>
  <c r="I48" i="16"/>
  <c r="I52" i="16" l="1"/>
  <c r="BG26" i="19"/>
  <c r="S24" i="13"/>
  <c r="BP83" i="61" s="1"/>
  <c r="S28" i="11"/>
  <c r="BR87" i="61" s="1"/>
  <c r="S27" i="14"/>
  <c r="BO86" i="61" s="1"/>
  <c r="I52" i="21"/>
  <c r="BJ82" i="61"/>
  <c r="BK77" i="61"/>
  <c r="BM77" i="61"/>
  <c r="BG25" i="16"/>
  <c r="I48" i="19"/>
  <c r="S24" i="19" s="1"/>
  <c r="BJ83" i="61" s="1"/>
  <c r="S33" i="11"/>
  <c r="BR92" i="61" s="1"/>
  <c r="S28" i="10"/>
  <c r="BS87" i="61" s="1"/>
  <c r="I52" i="22"/>
  <c r="BG29" i="15"/>
  <c r="BG29" i="21"/>
  <c r="S27" i="25"/>
  <c r="BD86" i="61" s="1"/>
  <c r="BI80" i="61"/>
  <c r="I52" i="20"/>
  <c r="S25" i="16"/>
  <c r="BM84" i="61" s="1"/>
  <c r="S24" i="12"/>
  <c r="BQ83" i="61" s="1"/>
  <c r="S25" i="10"/>
  <c r="BS84" i="61" s="1"/>
  <c r="S24" i="17"/>
  <c r="BL83" i="61" s="1"/>
  <c r="S23" i="14"/>
  <c r="BO82" i="61" s="1"/>
  <c r="S23" i="20"/>
  <c r="S27" i="22"/>
  <c r="BG86" i="61" s="1"/>
  <c r="S25" i="7"/>
  <c r="BV84" i="61" s="1"/>
  <c r="S24" i="8"/>
  <c r="BU83" i="61" s="1"/>
  <c r="S25" i="13"/>
  <c r="BP84" i="61" s="1"/>
  <c r="S24" i="24"/>
  <c r="BE83" i="61" s="1"/>
  <c r="S33" i="13"/>
  <c r="BP92" i="61" s="1"/>
  <c r="S24" i="6"/>
  <c r="BW83" i="61" s="1"/>
  <c r="S18" i="25"/>
  <c r="BD77" i="61" s="1"/>
  <c r="S28" i="9"/>
  <c r="BT87" i="61" s="1"/>
  <c r="S33" i="6"/>
  <c r="BW92" i="61" s="1"/>
  <c r="BF82" i="61"/>
  <c r="BG25" i="23"/>
  <c r="BG26" i="23"/>
  <c r="I48" i="23"/>
  <c r="I49" i="23"/>
  <c r="BO81" i="61"/>
  <c r="S51" i="53"/>
  <c r="S24" i="16"/>
  <c r="BM83" i="61" s="1"/>
  <c r="S25" i="9"/>
  <c r="BT84" i="61" s="1"/>
  <c r="S33" i="10"/>
  <c r="BS92" i="61" s="1"/>
  <c r="S25" i="19"/>
  <c r="BJ84" i="61" s="1"/>
  <c r="S24" i="21"/>
  <c r="BH83" i="61" s="1"/>
  <c r="S50" i="53"/>
  <c r="S24" i="11"/>
  <c r="BR83" i="61" s="1"/>
  <c r="S25" i="8"/>
  <c r="BU84" i="61" s="1"/>
  <c r="S28" i="8"/>
  <c r="BU87" i="61" s="1"/>
  <c r="S33" i="7"/>
  <c r="BV92" i="61" s="1"/>
  <c r="S33" i="9"/>
  <c r="BT92" i="61" s="1"/>
  <c r="S25" i="18"/>
  <c r="BK84" i="61" s="1"/>
  <c r="S28" i="24"/>
  <c r="BE87" i="61" s="1"/>
  <c r="BG29" i="20"/>
  <c r="BG29" i="22"/>
  <c r="S28" i="22" s="1"/>
  <c r="BG87" i="61" s="1"/>
  <c r="S23" i="15"/>
  <c r="BG25" i="15" s="1"/>
  <c r="S27" i="20"/>
  <c r="BI86" i="61" s="1"/>
  <c r="S22" i="20"/>
  <c r="BI81" i="61" s="1"/>
  <c r="S24" i="7"/>
  <c r="BV83" i="61" s="1"/>
  <c r="S28" i="7"/>
  <c r="BV87" i="61" s="1"/>
  <c r="S28" i="15"/>
  <c r="BN87" i="61" s="1"/>
  <c r="S25" i="24"/>
  <c r="BE84" i="61" s="1"/>
  <c r="S28" i="16"/>
  <c r="BM87" i="61" s="1"/>
  <c r="S33" i="8"/>
  <c r="BU92" i="61" s="1"/>
  <c r="S33" i="12"/>
  <c r="BQ92" i="61" s="1"/>
  <c r="S25" i="12"/>
  <c r="BQ84" i="61" s="1"/>
  <c r="S28" i="6"/>
  <c r="BW87" i="61" s="1"/>
  <c r="S25" i="6"/>
  <c r="BW84" i="61" s="1"/>
  <c r="S24" i="18"/>
  <c r="BK83" i="61" s="1"/>
  <c r="S60" i="53"/>
  <c r="S28" i="23"/>
  <c r="BF87" i="61" s="1"/>
  <c r="S28" i="21"/>
  <c r="BH87" i="61" s="1"/>
  <c r="S22" i="25"/>
  <c r="BD81" i="61" s="1"/>
  <c r="S24" i="10"/>
  <c r="BS83" i="61" s="1"/>
  <c r="S28" i="18"/>
  <c r="BK87" i="61" s="1"/>
  <c r="S28" i="19"/>
  <c r="BJ87" i="61" s="1"/>
  <c r="S52" i="53"/>
  <c r="BG26" i="53" s="1"/>
  <c r="S25" i="11"/>
  <c r="BR84" i="61" s="1"/>
  <c r="S28" i="13"/>
  <c r="BP87" i="61" s="1"/>
  <c r="S25" i="17"/>
  <c r="BL84" i="61" s="1"/>
  <c r="S28" i="17"/>
  <c r="BL87" i="61" s="1"/>
  <c r="S23" i="22"/>
  <c r="I49" i="15"/>
  <c r="BG26" i="25"/>
  <c r="I52" i="25"/>
  <c r="I49" i="25"/>
  <c r="P7" i="62"/>
  <c r="BG29" i="14"/>
  <c r="S28" i="14" s="1"/>
  <c r="BO87" i="61" s="1"/>
  <c r="BG29" i="25"/>
  <c r="S28" i="25" s="1"/>
  <c r="BD87" i="61" s="1"/>
  <c r="BG31" i="24"/>
  <c r="S30" i="24" s="1"/>
  <c r="BE89" i="61" s="1"/>
  <c r="BG32" i="24"/>
  <c r="S31" i="24" s="1"/>
  <c r="BG31" i="19"/>
  <c r="S30" i="19" s="1"/>
  <c r="BJ89" i="61" s="1"/>
  <c r="BG32" i="19"/>
  <c r="S31" i="19" s="1"/>
  <c r="P25" i="62"/>
  <c r="P29" i="62"/>
  <c r="P12" i="62"/>
  <c r="P8" i="62"/>
  <c r="P13" i="62"/>
  <c r="P30" i="62"/>
  <c r="P26" i="62"/>
  <c r="BG31" i="15"/>
  <c r="S30" i="15" s="1"/>
  <c r="BN89" i="61" s="1"/>
  <c r="BG32" i="15"/>
  <c r="S31" i="15" s="1"/>
  <c r="Q5" i="60" a="1"/>
  <c r="BG32" i="53"/>
  <c r="S59" i="53" s="1"/>
  <c r="BG31" i="16"/>
  <c r="S30" i="16" s="1"/>
  <c r="BM89" i="61" s="1"/>
  <c r="BG32" i="16"/>
  <c r="S31" i="16" s="1"/>
  <c r="P23" i="62"/>
  <c r="P18" i="62"/>
  <c r="P21" i="62"/>
  <c r="BG31" i="14"/>
  <c r="S30" i="14" s="1"/>
  <c r="BO89" i="61" s="1"/>
  <c r="BG32" i="14"/>
  <c r="S31" i="14" s="1"/>
  <c r="A5" i="60" a="1"/>
  <c r="N32" i="60" s="1"/>
  <c r="BG31" i="18"/>
  <c r="S30" i="18" s="1"/>
  <c r="BK89" i="61" s="1"/>
  <c r="BG32" i="18"/>
  <c r="S31" i="18" s="1"/>
  <c r="BG31" i="20"/>
  <c r="S30" i="20" s="1"/>
  <c r="BI89" i="61" s="1"/>
  <c r="BG32" i="20"/>
  <c r="S31" i="20" s="1"/>
  <c r="P24" i="62"/>
  <c r="P15" i="62"/>
  <c r="P27" i="62"/>
  <c r="P9" i="62"/>
  <c r="P31" i="62"/>
  <c r="P28" i="62"/>
  <c r="P14" i="62"/>
  <c r="BG31" i="21"/>
  <c r="S30" i="21" s="1"/>
  <c r="BH89" i="61" s="1"/>
  <c r="BG32" i="21"/>
  <c r="S31" i="21" s="1"/>
  <c r="BG31" i="25"/>
  <c r="S30" i="25" s="1"/>
  <c r="BD89" i="61" s="1"/>
  <c r="BG32" i="25"/>
  <c r="S31" i="25" s="1"/>
  <c r="BG31" i="17"/>
  <c r="S30" i="17" s="1"/>
  <c r="BL89" i="61" s="1"/>
  <c r="BG32" i="17"/>
  <c r="S31" i="17" s="1"/>
  <c r="BG31" i="23"/>
  <c r="S30" i="23" s="1"/>
  <c r="BF89" i="61" s="1"/>
  <c r="BG32" i="23"/>
  <c r="S31" i="23" s="1"/>
  <c r="P22" i="62"/>
  <c r="P17" i="62"/>
  <c r="P20" i="62"/>
  <c r="P10" i="62"/>
  <c r="P11" i="62"/>
  <c r="P19" i="62"/>
  <c r="P16" i="62"/>
  <c r="BG31" i="22"/>
  <c r="S30" i="22" s="1"/>
  <c r="BG89" i="61" s="1"/>
  <c r="BG32" i="22"/>
  <c r="S31" i="22" s="1"/>
  <c r="BG35" i="53"/>
  <c r="S35" i="53"/>
  <c r="BG27" i="53"/>
  <c r="S29" i="53"/>
  <c r="S56" i="53" s="1"/>
  <c r="S47" i="53"/>
  <c r="S28" i="20" l="1"/>
  <c r="BI87" i="61" s="1"/>
  <c r="I49" i="14"/>
  <c r="I48" i="14"/>
  <c r="S25" i="25"/>
  <c r="BD84" i="61" s="1"/>
  <c r="BG25" i="25"/>
  <c r="BN82" i="61"/>
  <c r="BG25" i="20"/>
  <c r="S24" i="20" s="1"/>
  <c r="BI83" i="61" s="1"/>
  <c r="BG26" i="14"/>
  <c r="S25" i="14" s="1"/>
  <c r="BO84" i="61" s="1"/>
  <c r="I48" i="20"/>
  <c r="S26" i="53"/>
  <c r="S27" i="53"/>
  <c r="S54" i="53" s="1"/>
  <c r="I48" i="25"/>
  <c r="BG25" i="14"/>
  <c r="S24" i="23"/>
  <c r="BF83" i="61" s="1"/>
  <c r="BG26" i="20"/>
  <c r="I49" i="20"/>
  <c r="BI82" i="61"/>
  <c r="S53" i="53"/>
  <c r="S62" i="53"/>
  <c r="BG26" i="22"/>
  <c r="S25" i="22" s="1"/>
  <c r="BG84" i="61" s="1"/>
  <c r="I49" i="22"/>
  <c r="BG25" i="22"/>
  <c r="BG82" i="61"/>
  <c r="I48" i="22"/>
  <c r="S24" i="14"/>
  <c r="BO83" i="61" s="1"/>
  <c r="S25" i="23"/>
  <c r="BF84" i="61" s="1"/>
  <c r="I48" i="15"/>
  <c r="S24" i="15" s="1"/>
  <c r="BN83" i="61" s="1"/>
  <c r="BG26" i="15"/>
  <c r="S25" i="15" s="1"/>
  <c r="BN84" i="61" s="1"/>
  <c r="B11" i="60"/>
  <c r="H6" i="60"/>
  <c r="P9" i="60"/>
  <c r="E11" i="60"/>
  <c r="A5" i="60"/>
  <c r="K5" i="60"/>
  <c r="B7" i="60"/>
  <c r="L5" i="60"/>
  <c r="J11" i="60"/>
  <c r="D6" i="60"/>
  <c r="L6" i="60"/>
  <c r="B6" i="60"/>
  <c r="J9" i="60"/>
  <c r="E5" i="60"/>
  <c r="A9" i="60"/>
  <c r="I13" i="60"/>
  <c r="I6" i="60"/>
  <c r="M13" i="60"/>
  <c r="E6" i="60"/>
  <c r="A8" i="60"/>
  <c r="P6" i="60"/>
  <c r="N17" i="60"/>
  <c r="B5" i="60"/>
  <c r="L8" i="60"/>
  <c r="I10" i="60"/>
  <c r="N5" i="60"/>
  <c r="K6" i="60"/>
  <c r="P7" i="60"/>
  <c r="I8" i="60"/>
  <c r="A7" i="60"/>
  <c r="N8" i="60"/>
  <c r="D8" i="60"/>
  <c r="G11" i="60"/>
  <c r="P14" i="60"/>
  <c r="H9" i="60"/>
  <c r="G8" i="60"/>
  <c r="P5" i="60"/>
  <c r="I11" i="60"/>
  <c r="I14" i="60"/>
  <c r="N12" i="60"/>
  <c r="E9" i="60"/>
  <c r="N13" i="60"/>
  <c r="I5" i="60"/>
  <c r="I7" i="60"/>
  <c r="K7" i="60"/>
  <c r="C8" i="60"/>
  <c r="A6" i="60"/>
  <c r="C6" i="60"/>
  <c r="H12" i="60"/>
  <c r="N10" i="60"/>
  <c r="M6" i="60"/>
  <c r="K8" i="60"/>
  <c r="M5" i="60"/>
  <c r="L14" i="60"/>
  <c r="O13" i="60"/>
  <c r="F5" i="60"/>
  <c r="J5" i="60"/>
  <c r="C11" i="60"/>
  <c r="G6" i="60"/>
  <c r="A10" i="60"/>
  <c r="D7" i="60"/>
  <c r="C5" i="60"/>
  <c r="L7" i="60"/>
  <c r="J7" i="60"/>
  <c r="D13" i="60"/>
  <c r="D5" i="60"/>
  <c r="O5" i="60"/>
  <c r="O8" i="60"/>
  <c r="I9" i="60"/>
  <c r="H5" i="60"/>
  <c r="H13" i="60"/>
  <c r="G7" i="60"/>
  <c r="G15" i="60"/>
  <c r="N6" i="60"/>
  <c r="G5" i="60"/>
  <c r="O6" i="60"/>
  <c r="J6" i="60"/>
  <c r="N15" i="60"/>
  <c r="P8" i="60"/>
  <c r="F7" i="60"/>
  <c r="K22" i="60"/>
  <c r="O12" i="60"/>
  <c r="G10" i="60"/>
  <c r="M12" i="60"/>
  <c r="D22" i="60"/>
  <c r="H14" i="60"/>
  <c r="A17" i="60"/>
  <c r="L13" i="60"/>
  <c r="A15" i="60"/>
  <c r="D14" i="60"/>
  <c r="M11" i="60"/>
  <c r="B15" i="60"/>
  <c r="M18" i="60"/>
  <c r="B14" i="60"/>
  <c r="L23" i="60"/>
  <c r="L10" i="60"/>
  <c r="P13" i="60"/>
  <c r="H11" i="60"/>
  <c r="B23" i="60"/>
  <c r="J8" i="60"/>
  <c r="H7" i="60"/>
  <c r="M10" i="60"/>
  <c r="E12" i="60"/>
  <c r="O9" i="60"/>
  <c r="E20" i="60"/>
  <c r="L9" i="60"/>
  <c r="J12" i="60"/>
  <c r="M8" i="60"/>
  <c r="O16" i="60"/>
  <c r="B9" i="60"/>
  <c r="P19" i="60"/>
  <c r="O10" i="60"/>
  <c r="A11" i="60"/>
  <c r="L24" i="60"/>
  <c r="F10" i="60"/>
  <c r="M23" i="60"/>
  <c r="P20" i="60"/>
  <c r="P23" i="60"/>
  <c r="O22" i="60"/>
  <c r="P17" i="60"/>
  <c r="L25" i="60"/>
  <c r="F8" i="60"/>
  <c r="F6" i="60"/>
  <c r="A12" i="60"/>
  <c r="C13" i="60"/>
  <c r="D19" i="60"/>
  <c r="E8" i="60"/>
  <c r="L21" i="60"/>
  <c r="N21" i="60"/>
  <c r="F11" i="60"/>
  <c r="B21" i="60"/>
  <c r="F12" i="60"/>
  <c r="D12" i="60"/>
  <c r="G21" i="60"/>
  <c r="I18" i="60"/>
  <c r="G12" i="60"/>
  <c r="G24" i="60"/>
  <c r="A13" i="60"/>
  <c r="C18" i="60"/>
  <c r="J10" i="60"/>
  <c r="H10" i="60"/>
  <c r="C10" i="60"/>
  <c r="G23" i="60"/>
  <c r="K24" i="60"/>
  <c r="B12" i="60"/>
  <c r="M9" i="60"/>
  <c r="B10" i="60"/>
  <c r="F23" i="60"/>
  <c r="L18" i="60"/>
  <c r="F21" i="60"/>
  <c r="H24" i="60"/>
  <c r="C23" i="60"/>
  <c r="D16" i="60"/>
  <c r="J13" i="60"/>
  <c r="K14" i="60"/>
  <c r="F9" i="60"/>
  <c r="D10" i="60"/>
  <c r="K13" i="60"/>
  <c r="K10" i="60"/>
  <c r="G9" i="60"/>
  <c r="J20" i="60"/>
  <c r="M14" i="60"/>
  <c r="N11" i="60"/>
  <c r="O7" i="60"/>
  <c r="N9" i="60"/>
  <c r="E14" i="60"/>
  <c r="K11" i="60"/>
  <c r="L12" i="60"/>
  <c r="D9" i="60"/>
  <c r="C9" i="60"/>
  <c r="E7" i="60"/>
  <c r="H18" i="60"/>
  <c r="F16" i="60"/>
  <c r="H8" i="60"/>
  <c r="N7" i="60"/>
  <c r="M7" i="60"/>
  <c r="K9" i="60"/>
  <c r="C12" i="60"/>
  <c r="C7" i="60"/>
  <c r="F13" i="60"/>
  <c r="B8" i="60"/>
  <c r="L17" i="60"/>
  <c r="I12" i="60"/>
  <c r="I19" i="60"/>
  <c r="F30" i="60"/>
  <c r="L32" i="60"/>
  <c r="F37" i="60"/>
  <c r="N27" i="60"/>
  <c r="K31" i="60"/>
  <c r="B27" i="60"/>
  <c r="K27" i="60"/>
  <c r="F28" i="60"/>
  <c r="J27" i="60"/>
  <c r="P24" i="60"/>
  <c r="E21" i="60"/>
  <c r="J28" i="60"/>
  <c r="H19" i="60"/>
  <c r="E19" i="60"/>
  <c r="P16" i="60"/>
  <c r="C32" i="60"/>
  <c r="F27" i="60"/>
  <c r="D20" i="60"/>
  <c r="P21" i="60"/>
  <c r="E23" i="60"/>
  <c r="B35" i="60"/>
  <c r="J23" i="60"/>
  <c r="B25" i="60"/>
  <c r="C22" i="60"/>
  <c r="K18" i="60"/>
  <c r="P36" i="60"/>
  <c r="A21" i="60"/>
  <c r="G28" i="60"/>
  <c r="C15" i="60"/>
  <c r="H26" i="60"/>
  <c r="E24" i="60"/>
  <c r="J25" i="60"/>
  <c r="J22" i="60"/>
  <c r="N25" i="60"/>
  <c r="F17" i="60"/>
  <c r="C21" i="60"/>
  <c r="E16" i="60"/>
  <c r="I17" i="60"/>
  <c r="F18" i="60"/>
  <c r="K35" i="60"/>
  <c r="A14" i="60"/>
  <c r="E22" i="60"/>
  <c r="M32" i="60"/>
  <c r="N18" i="60"/>
  <c r="D24" i="60"/>
  <c r="O25" i="60"/>
  <c r="L15" i="60"/>
  <c r="O14" i="60"/>
  <c r="M15" i="60"/>
  <c r="C14" i="60"/>
  <c r="E15" i="60"/>
  <c r="O24" i="60"/>
  <c r="E18" i="60"/>
  <c r="F14" i="60"/>
  <c r="H17" i="60"/>
  <c r="P25" i="60"/>
  <c r="C36" i="60"/>
  <c r="M21" i="60"/>
  <c r="D17" i="60"/>
  <c r="A36" i="60"/>
  <c r="E13" i="60"/>
  <c r="K23" i="60"/>
  <c r="P10" i="60"/>
  <c r="G19" i="60"/>
  <c r="K12" i="60"/>
  <c r="A22" i="60"/>
  <c r="A16" i="60"/>
  <c r="O21" i="60"/>
  <c r="P11" i="60"/>
  <c r="K16" i="60"/>
  <c r="P12" i="60"/>
  <c r="P22" i="60"/>
  <c r="O23" i="60"/>
  <c r="C26" i="60"/>
  <c r="O18" i="60"/>
  <c r="G18" i="60"/>
  <c r="G27" i="60"/>
  <c r="C27" i="60"/>
  <c r="B18" i="60"/>
  <c r="M26" i="60"/>
  <c r="P18" i="60"/>
  <c r="A19" i="60"/>
  <c r="J33" i="60"/>
  <c r="N19" i="60"/>
  <c r="H20" i="60"/>
  <c r="N35" i="60"/>
  <c r="O17" i="60"/>
  <c r="K20" i="60"/>
  <c r="F22" i="60"/>
  <c r="J21" i="60"/>
  <c r="M16" i="60"/>
  <c r="L20" i="60"/>
  <c r="I25" i="60"/>
  <c r="L19" i="60"/>
  <c r="I22" i="60"/>
  <c r="K17" i="60"/>
  <c r="L22" i="60"/>
  <c r="A25" i="60"/>
  <c r="H15" i="60"/>
  <c r="J17" i="60"/>
  <c r="P28" i="60"/>
  <c r="J14" i="60"/>
  <c r="B17" i="60"/>
  <c r="G13" i="60"/>
  <c r="M22" i="60"/>
  <c r="J32" i="60"/>
  <c r="I32" i="60"/>
  <c r="K15" i="60"/>
  <c r="D29" i="60"/>
  <c r="I31" i="60"/>
  <c r="G35" i="60"/>
  <c r="M29" i="60"/>
  <c r="O32" i="60"/>
  <c r="P31" i="60"/>
  <c r="B28" i="60"/>
  <c r="P34" i="60"/>
  <c r="M24" i="60"/>
  <c r="G26" i="60"/>
  <c r="F29" i="60"/>
  <c r="N36" i="60"/>
  <c r="E29" i="60"/>
  <c r="D23" i="60"/>
  <c r="A20" i="60"/>
  <c r="C20" i="60"/>
  <c r="D32" i="60"/>
  <c r="H21" i="60"/>
  <c r="I26" i="60"/>
  <c r="F20" i="60"/>
  <c r="C16" i="60"/>
  <c r="H25" i="60"/>
  <c r="F32" i="60"/>
  <c r="O27" i="60"/>
  <c r="O19" i="60"/>
  <c r="J15" i="60"/>
  <c r="J18" i="60"/>
  <c r="N23" i="60"/>
  <c r="F19" i="60"/>
  <c r="C24" i="60"/>
  <c r="O31" i="60"/>
  <c r="M25" i="60"/>
  <c r="I24" i="60"/>
  <c r="K28" i="60"/>
  <c r="G16" i="60"/>
  <c r="H16" i="60"/>
  <c r="A18" i="60"/>
  <c r="I20" i="60"/>
  <c r="I15" i="60"/>
  <c r="D18" i="60"/>
  <c r="G25" i="60"/>
  <c r="A23" i="60"/>
  <c r="O15" i="60"/>
  <c r="B26" i="60"/>
  <c r="A26" i="60"/>
  <c r="D36" i="60"/>
  <c r="F15" i="60"/>
  <c r="M20" i="60"/>
  <c r="M17" i="60"/>
  <c r="D27" i="60"/>
  <c r="N14" i="60"/>
  <c r="N20" i="60"/>
  <c r="E32" i="60"/>
  <c r="G14" i="60"/>
  <c r="K19" i="60"/>
  <c r="G17" i="60"/>
  <c r="E26" i="60"/>
  <c r="C17" i="60"/>
  <c r="B19" i="60"/>
  <c r="C25" i="60"/>
  <c r="L28" i="60"/>
  <c r="J24" i="60"/>
  <c r="O35" i="60"/>
  <c r="B20" i="60"/>
  <c r="N16" i="60"/>
  <c r="E34" i="60"/>
  <c r="B16" i="60"/>
  <c r="C19" i="60"/>
  <c r="A28" i="60"/>
  <c r="M31" i="60"/>
  <c r="L16" i="60"/>
  <c r="F24" i="60"/>
  <c r="P15" i="60"/>
  <c r="O11" i="60"/>
  <c r="D11" i="60"/>
  <c r="E17" i="60"/>
  <c r="L11" i="60"/>
  <c r="D15" i="60"/>
  <c r="I16" i="60"/>
  <c r="J16" i="60"/>
  <c r="E10" i="60"/>
  <c r="B13" i="60"/>
  <c r="B24" i="60"/>
  <c r="M19" i="60"/>
  <c r="O34" i="60"/>
  <c r="E31" i="60"/>
  <c r="D25" i="60"/>
  <c r="A27" i="60"/>
  <c r="B31" i="60"/>
  <c r="A35" i="60"/>
  <c r="G32" i="60"/>
  <c r="H23" i="60"/>
  <c r="I28" i="60"/>
  <c r="H32" i="60"/>
  <c r="G36" i="60"/>
  <c r="B30" i="60"/>
  <c r="M36" i="60"/>
  <c r="F34" i="60"/>
  <c r="H28" i="60"/>
  <c r="H29" i="60"/>
  <c r="J34" i="60"/>
  <c r="K36" i="60"/>
  <c r="D26" i="60"/>
  <c r="N28" i="60"/>
  <c r="J26" i="60"/>
  <c r="C29" i="60"/>
  <c r="K21" i="60"/>
  <c r="B33" i="60"/>
  <c r="K32" i="60"/>
  <c r="A29" i="60"/>
  <c r="P35" i="60"/>
  <c r="D28" i="60"/>
  <c r="M37" i="60"/>
  <c r="L30" i="60"/>
  <c r="O33" i="60"/>
  <c r="P27" i="60"/>
  <c r="I37" i="60"/>
  <c r="D31" i="60"/>
  <c r="E36" i="60"/>
  <c r="F25" i="60"/>
  <c r="F31" i="60"/>
  <c r="G29" i="60"/>
  <c r="L31" i="60"/>
  <c r="C35" i="60"/>
  <c r="L26" i="60"/>
  <c r="D34" i="60"/>
  <c r="B22" i="60"/>
  <c r="N22" i="60"/>
  <c r="H22" i="60"/>
  <c r="D21" i="60"/>
  <c r="D30" i="60"/>
  <c r="C30" i="60"/>
  <c r="O20" i="60"/>
  <c r="I23" i="60"/>
  <c r="I21" i="60"/>
  <c r="K26" i="60"/>
  <c r="I34" i="60"/>
  <c r="G20" i="60"/>
  <c r="N34" i="60"/>
  <c r="D35" i="60"/>
  <c r="C33" i="60"/>
  <c r="N33" i="60"/>
  <c r="A31" i="60"/>
  <c r="A24" i="60"/>
  <c r="J19" i="60"/>
  <c r="M27" i="60"/>
  <c r="A34" i="60"/>
  <c r="H31" i="60"/>
  <c r="H34" i="60"/>
  <c r="B34" i="60"/>
  <c r="K25" i="60"/>
  <c r="N24" i="60"/>
  <c r="E30" i="60"/>
  <c r="E27" i="60"/>
  <c r="G22" i="60"/>
  <c r="I35" i="60"/>
  <c r="O28" i="60"/>
  <c r="B37" i="60"/>
  <c r="E25" i="60"/>
  <c r="BG90" i="61"/>
  <c r="BG34" i="22"/>
  <c r="I57" i="22"/>
  <c r="I57" i="25"/>
  <c r="BD90" i="61"/>
  <c r="BG34" i="25"/>
  <c r="BJ90" i="61"/>
  <c r="BG34" i="19"/>
  <c r="I57" i="19"/>
  <c r="L37" i="60"/>
  <c r="BG34" i="23"/>
  <c r="I57" i="23"/>
  <c r="BF90" i="61"/>
  <c r="C37" i="60"/>
  <c r="L33" i="60"/>
  <c r="O37" i="60"/>
  <c r="H30" i="60"/>
  <c r="N30" i="60"/>
  <c r="G33" i="60"/>
  <c r="F35" i="60"/>
  <c r="K29" i="60"/>
  <c r="P29" i="60"/>
  <c r="G31" i="60"/>
  <c r="I30" i="60"/>
  <c r="H35" i="60"/>
  <c r="N29" i="60"/>
  <c r="F36" i="60"/>
  <c r="L29" i="60"/>
  <c r="M28" i="60"/>
  <c r="A37" i="60"/>
  <c r="C28" i="60"/>
  <c r="J29" i="60"/>
  <c r="E35" i="60"/>
  <c r="K33" i="60"/>
  <c r="P30" i="60"/>
  <c r="F26" i="60"/>
  <c r="E28" i="60"/>
  <c r="P26" i="60"/>
  <c r="N26" i="60"/>
  <c r="G37" i="60"/>
  <c r="P32" i="60"/>
  <c r="G34" i="60"/>
  <c r="I33" i="60"/>
  <c r="H37" i="60"/>
  <c r="J30" i="60"/>
  <c r="O26" i="60"/>
  <c r="I36" i="60"/>
  <c r="E33" i="60"/>
  <c r="O36" i="60"/>
  <c r="H36" i="60"/>
  <c r="L35" i="60"/>
  <c r="A33" i="60"/>
  <c r="H27" i="60"/>
  <c r="BH90" i="61"/>
  <c r="BG34" i="21"/>
  <c r="S33" i="21" s="1"/>
  <c r="BH92" i="61" s="1"/>
  <c r="I57" i="21"/>
  <c r="BO90" i="61"/>
  <c r="BG34" i="14"/>
  <c r="I57" i="14"/>
  <c r="R10" i="60"/>
  <c r="S10" i="60"/>
  <c r="S11" i="60"/>
  <c r="R6" i="60"/>
  <c r="R9" i="60"/>
  <c r="R7" i="60"/>
  <c r="S6" i="60"/>
  <c r="S12" i="60"/>
  <c r="Q7" i="60"/>
  <c r="R12" i="60"/>
  <c r="Q12" i="60"/>
  <c r="S8" i="60"/>
  <c r="Q10" i="60"/>
  <c r="Q9" i="60"/>
  <c r="Q8" i="60"/>
  <c r="R11" i="60"/>
  <c r="R5" i="60"/>
  <c r="S7" i="60"/>
  <c r="S5" i="60"/>
  <c r="S9" i="60"/>
  <c r="Q11" i="60"/>
  <c r="R8" i="60"/>
  <c r="Q5" i="60"/>
  <c r="Q6" i="60"/>
  <c r="BG34" i="24"/>
  <c r="I57" i="24"/>
  <c r="BE90" i="61"/>
  <c r="P37" i="60"/>
  <c r="BK90" i="61"/>
  <c r="BG34" i="18"/>
  <c r="I57" i="18"/>
  <c r="J35" i="60"/>
  <c r="O30" i="60"/>
  <c r="F33" i="60"/>
  <c r="M30" i="60"/>
  <c r="J36" i="60"/>
  <c r="J37" i="60"/>
  <c r="J31" i="60"/>
  <c r="M35" i="60"/>
  <c r="M34" i="60"/>
  <c r="B32" i="60"/>
  <c r="L36" i="60"/>
  <c r="C34" i="60"/>
  <c r="D33" i="60"/>
  <c r="G30" i="60"/>
  <c r="N37" i="60"/>
  <c r="B29" i="60"/>
  <c r="I29" i="60"/>
  <c r="P33" i="60"/>
  <c r="O29" i="60"/>
  <c r="D37" i="60"/>
  <c r="C31" i="60"/>
  <c r="M33" i="60"/>
  <c r="L27" i="60"/>
  <c r="N31" i="60"/>
  <c r="B36" i="60"/>
  <c r="K30" i="60"/>
  <c r="K37" i="60"/>
  <c r="K34" i="60"/>
  <c r="I27" i="60"/>
  <c r="A32" i="60"/>
  <c r="L34" i="60"/>
  <c r="A30" i="60"/>
  <c r="E37" i="60"/>
  <c r="H33" i="60"/>
  <c r="BL90" i="61"/>
  <c r="BG34" i="17"/>
  <c r="I57" i="17"/>
  <c r="BG34" i="20"/>
  <c r="I57" i="20"/>
  <c r="BI90" i="61"/>
  <c r="BM90" i="61"/>
  <c r="BG34" i="16"/>
  <c r="I57" i="16"/>
  <c r="BN90" i="61"/>
  <c r="BG34" i="15"/>
  <c r="I57" i="15"/>
  <c r="S30" i="53"/>
  <c r="BG30" i="53"/>
  <c r="S33" i="25" l="1"/>
  <c r="BD92" i="61" s="1"/>
  <c r="S24" i="25"/>
  <c r="BD83" i="61" s="1"/>
  <c r="S33" i="17"/>
  <c r="BL92" i="61" s="1"/>
  <c r="S33" i="14"/>
  <c r="BO92" i="61" s="1"/>
  <c r="S33" i="22"/>
  <c r="BG92" i="61" s="1"/>
  <c r="S25" i="20"/>
  <c r="BI84" i="61" s="1"/>
  <c r="S33" i="18"/>
  <c r="BK92" i="61" s="1"/>
  <c r="S33" i="16"/>
  <c r="BM92" i="61" s="1"/>
  <c r="S33" i="20"/>
  <c r="BI92" i="61" s="1"/>
  <c r="S33" i="24"/>
  <c r="BE92" i="61" s="1"/>
  <c r="S33" i="19"/>
  <c r="BJ92" i="61" s="1"/>
  <c r="S33" i="15"/>
  <c r="BN92" i="61" s="1"/>
  <c r="S33" i="23"/>
  <c r="BF92" i="61" s="1"/>
  <c r="S24" i="22"/>
  <c r="BG83" i="61" s="1"/>
  <c r="A3" i="56" a="1"/>
  <c r="I23" i="56" s="1"/>
  <c r="S57" i="53"/>
  <c r="S15" i="60" a="1"/>
  <c r="F23" i="56" l="1"/>
  <c r="G23" i="56"/>
  <c r="I25" i="56"/>
  <c r="K23" i="56"/>
  <c r="H25" i="56"/>
  <c r="K25" i="56"/>
  <c r="M25" i="56"/>
  <c r="H23" i="56"/>
  <c r="C25" i="56"/>
  <c r="E25" i="56"/>
  <c r="C23" i="56"/>
  <c r="B23" i="56"/>
  <c r="D25" i="56"/>
  <c r="E23" i="56"/>
  <c r="K18" i="56"/>
  <c r="P8" i="56"/>
  <c r="V16" i="56"/>
  <c r="I22" i="56"/>
  <c r="Y10" i="56"/>
  <c r="W18" i="56"/>
  <c r="B5" i="56"/>
  <c r="F5" i="56"/>
  <c r="A13" i="56"/>
  <c r="W22" i="56"/>
  <c r="Z22" i="56"/>
  <c r="M22" i="56"/>
  <c r="L4" i="56"/>
  <c r="V20" i="56"/>
  <c r="L21" i="56"/>
  <c r="Z14" i="56"/>
  <c r="Q8" i="56"/>
  <c r="T3" i="56"/>
  <c r="R7" i="56"/>
  <c r="E24" i="56"/>
  <c r="D7" i="56"/>
  <c r="M3" i="56"/>
  <c r="N22" i="56"/>
  <c r="B8" i="56"/>
  <c r="Y3" i="56"/>
  <c r="N6" i="56"/>
  <c r="W10" i="56"/>
  <c r="D6" i="56"/>
  <c r="K8" i="56"/>
  <c r="Q22" i="56"/>
  <c r="A7" i="56"/>
  <c r="T21" i="56"/>
  <c r="S21" i="56"/>
  <c r="S24" i="56"/>
  <c r="Q6" i="56"/>
  <c r="B6" i="56"/>
  <c r="A23" i="56"/>
  <c r="K4" i="56"/>
  <c r="Z6" i="56"/>
  <c r="X24" i="56"/>
  <c r="W14" i="56"/>
  <c r="W8" i="56"/>
  <c r="X3" i="56"/>
  <c r="F7" i="56"/>
  <c r="O21" i="56"/>
  <c r="F3" i="56"/>
  <c r="C18" i="56"/>
  <c r="V22" i="56"/>
  <c r="X13" i="56"/>
  <c r="O8" i="56"/>
  <c r="C4" i="56"/>
  <c r="A15" i="56"/>
  <c r="W24" i="56"/>
  <c r="Y5" i="56"/>
  <c r="Z25" i="56"/>
  <c r="T24" i="56"/>
  <c r="W12" i="56"/>
  <c r="V21" i="56"/>
  <c r="X7" i="56"/>
  <c r="W13" i="56"/>
  <c r="I4" i="56"/>
  <c r="O3" i="56"/>
  <c r="R5" i="56"/>
  <c r="X8" i="56"/>
  <c r="V15" i="56"/>
  <c r="I7" i="56"/>
  <c r="X14" i="56"/>
  <c r="K21" i="56"/>
  <c r="M18" i="56"/>
  <c r="J18" i="56"/>
  <c r="H5" i="56"/>
  <c r="X19" i="56"/>
  <c r="Y11" i="56"/>
  <c r="A6" i="56"/>
  <c r="X22" i="56"/>
  <c r="X25" i="56"/>
  <c r="Y18" i="56"/>
  <c r="Y4" i="56"/>
  <c r="Y25" i="56"/>
  <c r="J5" i="56"/>
  <c r="W15" i="56"/>
  <c r="S7" i="56"/>
  <c r="S3" i="56"/>
  <c r="F21" i="56"/>
  <c r="K3" i="56"/>
  <c r="J8" i="56"/>
  <c r="F22" i="56"/>
  <c r="W20" i="56"/>
  <c r="P21" i="56"/>
  <c r="W17" i="56"/>
  <c r="P7" i="56"/>
  <c r="L18" i="56"/>
  <c r="W7" i="56"/>
  <c r="P6" i="56"/>
  <c r="U18" i="56"/>
  <c r="C22" i="56"/>
  <c r="A4" i="56"/>
  <c r="Y22" i="56"/>
  <c r="O22" i="56"/>
  <c r="Z21" i="56"/>
  <c r="B22" i="56"/>
  <c r="Y19" i="56"/>
  <c r="I18" i="56"/>
  <c r="M24" i="56"/>
  <c r="X20" i="56"/>
  <c r="K6" i="56"/>
  <c r="B3" i="56"/>
  <c r="Z15" i="56"/>
  <c r="V25" i="56"/>
  <c r="M6" i="56"/>
  <c r="U5" i="56"/>
  <c r="D24" i="56"/>
  <c r="C3" i="56"/>
  <c r="Z7" i="56"/>
  <c r="N7" i="56"/>
  <c r="Q5" i="56"/>
  <c r="E8" i="56"/>
  <c r="Y20" i="56"/>
  <c r="H21" i="56"/>
  <c r="F24" i="56"/>
  <c r="X15" i="56"/>
  <c r="U7" i="56"/>
  <c r="K5" i="56"/>
  <c r="L7" i="56"/>
  <c r="C5" i="56"/>
  <c r="D4" i="56"/>
  <c r="X9" i="56"/>
  <c r="V6" i="56"/>
  <c r="Z16" i="56"/>
  <c r="O18" i="56"/>
  <c r="V8" i="56"/>
  <c r="X16" i="56"/>
  <c r="R21" i="56"/>
  <c r="K22" i="56"/>
  <c r="E7" i="56"/>
  <c r="Z4" i="56"/>
  <c r="V18" i="56"/>
  <c r="W19" i="56"/>
  <c r="W9" i="56"/>
  <c r="Y17" i="56"/>
  <c r="T8" i="56"/>
  <c r="Z18" i="56"/>
  <c r="U21" i="56"/>
  <c r="Z8" i="56"/>
  <c r="I6" i="56"/>
  <c r="R24" i="56"/>
  <c r="A10" i="56"/>
  <c r="E21" i="56"/>
  <c r="C21" i="56"/>
  <c r="A14" i="56"/>
  <c r="L6" i="56"/>
  <c r="T6" i="56"/>
  <c r="V7" i="56"/>
  <c r="U3" i="56"/>
  <c r="J21" i="56"/>
  <c r="C8" i="56"/>
  <c r="A20" i="56"/>
  <c r="B7" i="56"/>
  <c r="Q24" i="56"/>
  <c r="P4" i="56"/>
  <c r="I5" i="56"/>
  <c r="N18" i="56"/>
  <c r="V13" i="56"/>
  <c r="I24" i="56"/>
  <c r="W16" i="56"/>
  <c r="H6" i="56"/>
  <c r="S6" i="56"/>
  <c r="H24" i="56"/>
  <c r="Y6" i="56"/>
  <c r="T18" i="56"/>
  <c r="O5" i="56"/>
  <c r="V12" i="56"/>
  <c r="M8" i="56"/>
  <c r="B18" i="56"/>
  <c r="X11" i="56"/>
  <c r="A19" i="56"/>
  <c r="Q18" i="56"/>
  <c r="H7" i="56"/>
  <c r="C7" i="56"/>
  <c r="V5" i="56"/>
  <c r="E3" i="56"/>
  <c r="A17" i="56"/>
  <c r="V4" i="56"/>
  <c r="Y12" i="56"/>
  <c r="W11" i="56"/>
  <c r="Z12" i="56"/>
  <c r="B21" i="56"/>
  <c r="R22" i="56"/>
  <c r="A5" i="56"/>
  <c r="J22" i="56"/>
  <c r="I8" i="56"/>
  <c r="L3" i="56"/>
  <c r="V3" i="56"/>
  <c r="L24" i="56"/>
  <c r="N3" i="56"/>
  <c r="T5" i="56"/>
  <c r="Y14" i="56"/>
  <c r="A24" i="56"/>
  <c r="X23" i="56"/>
  <c r="W5" i="56"/>
  <c r="T7" i="56"/>
  <c r="U24" i="56"/>
  <c r="A21" i="56"/>
  <c r="B24" i="56"/>
  <c r="D8" i="56"/>
  <c r="E6" i="56"/>
  <c r="J4" i="56"/>
  <c r="I3" i="56"/>
  <c r="N4" i="56"/>
  <c r="V24" i="56"/>
  <c r="P22" i="56"/>
  <c r="D18" i="56"/>
  <c r="R4" i="56"/>
  <c r="N21" i="56"/>
  <c r="Y13" i="56"/>
  <c r="A12" i="56"/>
  <c r="U8" i="56"/>
  <c r="K7" i="56"/>
  <c r="V23" i="56"/>
  <c r="G5" i="56"/>
  <c r="F6" i="56"/>
  <c r="T4" i="56"/>
  <c r="E5" i="56"/>
  <c r="Q3" i="56"/>
  <c r="M4" i="56"/>
  <c r="D5" i="56"/>
  <c r="Q4" i="56"/>
  <c r="G8" i="56"/>
  <c r="X17" i="56"/>
  <c r="Y7" i="56"/>
  <c r="Z10" i="56"/>
  <c r="Z13" i="56"/>
  <c r="V10" i="56"/>
  <c r="U22" i="56"/>
  <c r="A18" i="56"/>
  <c r="Y16" i="56"/>
  <c r="P5" i="56"/>
  <c r="X18" i="56"/>
  <c r="Q21" i="56"/>
  <c r="R3" i="56"/>
  <c r="Y9" i="56"/>
  <c r="H4" i="56"/>
  <c r="Z24" i="56"/>
  <c r="O7" i="56"/>
  <c r="X12" i="56"/>
  <c r="M5" i="56"/>
  <c r="B4" i="56"/>
  <c r="Y24" i="56"/>
  <c r="J6" i="56"/>
  <c r="N5" i="56"/>
  <c r="W6" i="56"/>
  <c r="P3" i="56"/>
  <c r="G4" i="56"/>
  <c r="W25" i="56"/>
  <c r="H3" i="56"/>
  <c r="R18" i="56"/>
  <c r="X10" i="56"/>
  <c r="E22" i="56"/>
  <c r="F4" i="56"/>
  <c r="S5" i="56"/>
  <c r="V11" i="56"/>
  <c r="S22" i="56"/>
  <c r="J24" i="56"/>
  <c r="R6" i="56"/>
  <c r="V19" i="56"/>
  <c r="J3" i="56"/>
  <c r="A3" i="56"/>
  <c r="S18" i="56"/>
  <c r="Z23" i="56"/>
  <c r="W4" i="56"/>
  <c r="F18" i="56"/>
  <c r="Y21" i="56"/>
  <c r="U4" i="56"/>
  <c r="Z11" i="56"/>
  <c r="A25" i="56"/>
  <c r="Z5" i="56"/>
  <c r="F8" i="56"/>
  <c r="G18" i="56"/>
  <c r="L5" i="56"/>
  <c r="W3" i="56"/>
  <c r="O6" i="56"/>
  <c r="P24" i="56"/>
  <c r="G6" i="56"/>
  <c r="Z17" i="56"/>
  <c r="E4" i="56"/>
  <c r="D3" i="56"/>
  <c r="C6" i="56"/>
  <c r="G3" i="56"/>
  <c r="V9" i="56"/>
  <c r="P18" i="56"/>
  <c r="H18" i="56"/>
  <c r="X4" i="56"/>
  <c r="Y23" i="56"/>
  <c r="H22" i="56"/>
  <c r="H8" i="56"/>
  <c r="A16" i="56"/>
  <c r="J7" i="56"/>
  <c r="A11" i="56"/>
  <c r="X21" i="56"/>
  <c r="Q7" i="56"/>
  <c r="Y8" i="56"/>
  <c r="X6" i="56"/>
  <c r="R8" i="56"/>
  <c r="M7" i="56"/>
  <c r="X5" i="56"/>
  <c r="W21" i="56"/>
  <c r="N8" i="56"/>
  <c r="I21" i="56"/>
  <c r="L22" i="56"/>
  <c r="L8" i="56"/>
  <c r="G24" i="56"/>
  <c r="W23" i="56"/>
  <c r="U6" i="56"/>
  <c r="Y15" i="56"/>
  <c r="A9" i="56"/>
  <c r="Z9" i="56"/>
  <c r="S8" i="56"/>
  <c r="G21" i="56"/>
  <c r="O24" i="56"/>
  <c r="G7" i="56"/>
  <c r="D22" i="56"/>
  <c r="O4" i="56"/>
  <c r="M21" i="56"/>
  <c r="Z3" i="56"/>
  <c r="V17" i="56"/>
  <c r="Z20" i="56"/>
  <c r="D21" i="56"/>
  <c r="Z19" i="56"/>
  <c r="C24" i="56"/>
  <c r="G22" i="56"/>
  <c r="V14" i="56"/>
  <c r="K24" i="56"/>
  <c r="N24" i="56"/>
  <c r="S4" i="56"/>
  <c r="E18" i="56"/>
  <c r="A8" i="56"/>
  <c r="T22" i="56"/>
  <c r="A22" i="56"/>
  <c r="M11" i="56"/>
  <c r="C11" i="56"/>
  <c r="J11" i="56"/>
  <c r="E11" i="56"/>
  <c r="L11" i="56"/>
  <c r="S11" i="56"/>
  <c r="U11" i="56"/>
  <c r="N11" i="56"/>
  <c r="B11" i="56"/>
  <c r="K11" i="56"/>
  <c r="P11" i="56"/>
  <c r="H11" i="56"/>
  <c r="O11" i="56"/>
  <c r="D11" i="56"/>
  <c r="G11" i="56"/>
  <c r="F11" i="56"/>
  <c r="Q11" i="56"/>
  <c r="T11" i="56"/>
  <c r="I11" i="56"/>
  <c r="C12" i="56"/>
  <c r="N13" i="56"/>
  <c r="Q14" i="56"/>
  <c r="N19" i="56"/>
  <c r="R9" i="56"/>
  <c r="J13" i="56"/>
  <c r="T12" i="56"/>
  <c r="L12" i="56"/>
  <c r="U9" i="56"/>
  <c r="L13" i="56"/>
  <c r="R14" i="56"/>
  <c r="T14" i="56"/>
  <c r="K19" i="56"/>
  <c r="M9" i="56"/>
  <c r="G19" i="56"/>
  <c r="N14" i="56"/>
  <c r="E12" i="56"/>
  <c r="U19" i="56"/>
  <c r="C14" i="56"/>
  <c r="K12" i="56"/>
  <c r="C19" i="56"/>
  <c r="H12" i="56"/>
  <c r="N9" i="56"/>
  <c r="U12" i="56"/>
  <c r="H13" i="56"/>
  <c r="J9" i="56"/>
  <c r="M14" i="56"/>
  <c r="D12" i="56"/>
  <c r="L9" i="56"/>
  <c r="S19" i="56"/>
  <c r="C13" i="56"/>
  <c r="K9" i="56"/>
  <c r="E14" i="56"/>
  <c r="U13" i="56"/>
  <c r="N12" i="56"/>
  <c r="P14" i="56"/>
  <c r="K13" i="56"/>
  <c r="O19" i="56"/>
  <c r="R19" i="56"/>
  <c r="M13" i="56"/>
  <c r="U14" i="56"/>
  <c r="B19" i="56"/>
  <c r="Q19" i="56"/>
  <c r="H9" i="56"/>
  <c r="G14" i="56"/>
  <c r="I13" i="56"/>
  <c r="G12" i="56"/>
  <c r="S9" i="56"/>
  <c r="R13" i="56"/>
  <c r="I19" i="56"/>
  <c r="J14" i="56"/>
  <c r="L19" i="56"/>
  <c r="S14" i="56"/>
  <c r="L14" i="56"/>
  <c r="Q12" i="56"/>
  <c r="I12" i="56"/>
  <c r="K14" i="56"/>
  <c r="B14" i="56"/>
  <c r="Q9" i="56"/>
  <c r="D14" i="56"/>
  <c r="H14" i="56"/>
  <c r="F12" i="56"/>
  <c r="R11" i="56"/>
  <c r="O12" i="56"/>
  <c r="P12" i="56"/>
  <c r="B9" i="56"/>
  <c r="Q13" i="56"/>
  <c r="D9" i="56"/>
  <c r="O14" i="56"/>
  <c r="F9" i="56"/>
  <c r="H19" i="56"/>
  <c r="G13" i="56"/>
  <c r="E9" i="56"/>
  <c r="B12" i="56"/>
  <c r="P13" i="56"/>
  <c r="F13" i="56"/>
  <c r="T19" i="56"/>
  <c r="E13" i="56"/>
  <c r="S13" i="56"/>
  <c r="E19" i="56"/>
  <c r="O9" i="56"/>
  <c r="T13" i="56"/>
  <c r="F19" i="56"/>
  <c r="P19" i="56"/>
  <c r="D19" i="56"/>
  <c r="M19" i="56"/>
  <c r="O13" i="56"/>
  <c r="F14" i="56"/>
  <c r="J19" i="56"/>
  <c r="I9" i="56"/>
  <c r="I14" i="56"/>
  <c r="M12" i="56"/>
  <c r="S12" i="56"/>
  <c r="P9" i="56"/>
  <c r="J12" i="56"/>
  <c r="G9" i="56"/>
  <c r="R12" i="56"/>
  <c r="B13" i="56"/>
  <c r="D13" i="56"/>
  <c r="C9" i="56"/>
  <c r="T9" i="56"/>
  <c r="R17" i="56"/>
  <c r="L20" i="56"/>
  <c r="H20" i="56"/>
  <c r="D16" i="56"/>
  <c r="B20" i="56"/>
  <c r="R25" i="56"/>
  <c r="H16" i="56"/>
  <c r="T16" i="56"/>
  <c r="T10" i="56"/>
  <c r="L10" i="56"/>
  <c r="C17" i="56"/>
  <c r="D15" i="56"/>
  <c r="Q16" i="56"/>
  <c r="R23" i="56"/>
  <c r="I17" i="56"/>
  <c r="O20" i="56"/>
  <c r="F15" i="56"/>
  <c r="N17" i="56"/>
  <c r="S20" i="56"/>
  <c r="N10" i="56"/>
  <c r="Q20" i="56"/>
  <c r="M17" i="56"/>
  <c r="K17" i="56"/>
  <c r="F17" i="56"/>
  <c r="C16" i="56"/>
  <c r="U20" i="56"/>
  <c r="E15" i="56"/>
  <c r="C10" i="56"/>
  <c r="I15" i="56"/>
  <c r="M20" i="56"/>
  <c r="C20" i="56"/>
  <c r="T17" i="56"/>
  <c r="L16" i="56"/>
  <c r="Q25" i="56"/>
  <c r="C15" i="56"/>
  <c r="U10" i="56"/>
  <c r="G17" i="56"/>
  <c r="U15" i="56"/>
  <c r="K16" i="56"/>
  <c r="O10" i="56"/>
  <c r="H15" i="56"/>
  <c r="F16" i="56"/>
  <c r="S17" i="56"/>
  <c r="P20" i="56"/>
  <c r="U25" i="56"/>
  <c r="N20" i="56"/>
  <c r="U17" i="56"/>
  <c r="S25" i="56"/>
  <c r="D10" i="56"/>
  <c r="P10" i="56"/>
  <c r="G15" i="56"/>
  <c r="T25" i="56"/>
  <c r="B15" i="56"/>
  <c r="R15" i="56"/>
  <c r="P17" i="56"/>
  <c r="O25" i="56"/>
  <c r="B10" i="56"/>
  <c r="E16" i="56"/>
  <c r="Q10" i="56"/>
  <c r="I10" i="56"/>
  <c r="O15" i="56"/>
  <c r="Q15" i="56"/>
  <c r="I16" i="56"/>
  <c r="L17" i="56"/>
  <c r="S15" i="56"/>
  <c r="O17" i="56"/>
  <c r="Q17" i="56"/>
  <c r="J16" i="56"/>
  <c r="U16" i="56"/>
  <c r="M16" i="56"/>
  <c r="K10" i="56"/>
  <c r="T20" i="56"/>
  <c r="N15" i="56"/>
  <c r="R20" i="56"/>
  <c r="S10" i="56"/>
  <c r="J15" i="56"/>
  <c r="E20" i="56"/>
  <c r="H17" i="56"/>
  <c r="S23" i="56"/>
  <c r="L15" i="56"/>
  <c r="P15" i="56"/>
  <c r="F10" i="56"/>
  <c r="R10" i="56"/>
  <c r="N23" i="56"/>
  <c r="E17" i="56"/>
  <c r="B17" i="56"/>
  <c r="T15" i="56"/>
  <c r="P16" i="56"/>
  <c r="F20" i="56"/>
  <c r="O23" i="56"/>
  <c r="N25" i="56"/>
  <c r="P23" i="56"/>
  <c r="M15" i="56"/>
  <c r="K15" i="56"/>
  <c r="K20" i="56"/>
  <c r="J20" i="56"/>
  <c r="D20" i="56"/>
  <c r="H10" i="56"/>
  <c r="O16" i="56"/>
  <c r="G16" i="56"/>
  <c r="J17" i="56"/>
  <c r="E10" i="56"/>
  <c r="R16" i="56"/>
  <c r="J10" i="56"/>
  <c r="S16" i="56"/>
  <c r="U23" i="56"/>
  <c r="G20" i="56"/>
  <c r="P25" i="56"/>
  <c r="I20" i="56"/>
  <c r="M10" i="56"/>
  <c r="N16" i="56"/>
  <c r="D17" i="56"/>
  <c r="G10" i="56"/>
  <c r="T23" i="56"/>
  <c r="B16" i="56"/>
  <c r="Q23" i="56"/>
  <c r="L23" i="56"/>
  <c r="L25" i="56"/>
  <c r="D23" i="56"/>
  <c r="B25" i="56"/>
  <c r="J25" i="56"/>
  <c r="M23" i="56"/>
  <c r="F25" i="56"/>
  <c r="J23" i="56"/>
  <c r="G25" i="56"/>
  <c r="S22" i="60"/>
  <c r="S19" i="60"/>
  <c r="S33" i="60"/>
  <c r="S36" i="60"/>
  <c r="S21" i="60"/>
  <c r="S20" i="60"/>
  <c r="S31" i="60"/>
  <c r="S34" i="60"/>
  <c r="S23" i="60"/>
  <c r="S25" i="60"/>
  <c r="S28" i="60"/>
  <c r="S30" i="60"/>
  <c r="S26" i="60"/>
  <c r="S27" i="60"/>
  <c r="S15" i="60"/>
  <c r="S16" i="60"/>
  <c r="S37" i="60"/>
  <c r="S17" i="60"/>
  <c r="S35" i="60"/>
  <c r="S29" i="60"/>
  <c r="S32" i="60"/>
  <c r="S18" i="60"/>
  <c r="S24" i="60"/>
  <c r="D53" i="61" l="1"/>
  <c r="K8" i="51" s="1"/>
  <c r="C196" i="61"/>
  <c r="C198" i="61"/>
  <c r="C188" i="61"/>
  <c r="C194" i="61"/>
  <c r="C193" i="61"/>
  <c r="C205" i="61"/>
  <c r="A191" i="61"/>
  <c r="C187" i="61"/>
  <c r="AD187" i="61" s="1"/>
  <c r="A188" i="61"/>
  <c r="B188" i="61"/>
  <c r="A202" i="61"/>
  <c r="C209" i="61"/>
  <c r="M233" i="61" s="1"/>
  <c r="B194" i="61"/>
  <c r="A194" i="61"/>
  <c r="A203" i="61"/>
  <c r="B203" i="61"/>
  <c r="B196" i="61"/>
  <c r="A196" i="61"/>
  <c r="C202" i="61"/>
  <c r="Y202" i="61" s="1"/>
  <c r="C191" i="61"/>
  <c r="J215" i="61" s="1"/>
  <c r="C207" i="61"/>
  <c r="B207" i="61"/>
  <c r="A207" i="61"/>
  <c r="C199" i="61"/>
  <c r="A200" i="61"/>
  <c r="C197" i="61"/>
  <c r="C200" i="61"/>
  <c r="M200" i="61" s="1"/>
  <c r="B199" i="61"/>
  <c r="A199" i="61"/>
  <c r="A204" i="61"/>
  <c r="B201" i="61"/>
  <c r="A201" i="61"/>
  <c r="B193" i="61"/>
  <c r="A193" i="61"/>
  <c r="A208" i="61"/>
  <c r="B208" i="61"/>
  <c r="A205" i="61"/>
  <c r="B205" i="61"/>
  <c r="A189" i="61"/>
  <c r="B189" i="61"/>
  <c r="A187" i="61"/>
  <c r="H187" i="61"/>
  <c r="F211" i="61"/>
  <c r="C206" i="61"/>
  <c r="C201" i="61"/>
  <c r="B197" i="61"/>
  <c r="A197" i="61"/>
  <c r="B198" i="61"/>
  <c r="A198" i="61"/>
  <c r="B195" i="61"/>
  <c r="A195" i="61"/>
  <c r="Z211" i="61"/>
  <c r="C208" i="61"/>
  <c r="Q187" i="61"/>
  <c r="A192" i="61"/>
  <c r="A206" i="61"/>
  <c r="B206" i="61"/>
  <c r="C190" i="61"/>
  <c r="H214" i="61" s="1"/>
  <c r="C192" i="61"/>
  <c r="M216" i="61" s="1"/>
  <c r="X233" i="61"/>
  <c r="C204" i="61"/>
  <c r="K228" i="61" s="1"/>
  <c r="C203" i="61"/>
  <c r="C195" i="61"/>
  <c r="A190" i="61"/>
  <c r="D54" i="61"/>
  <c r="K9" i="51" s="1"/>
  <c r="D58" i="61"/>
  <c r="K13" i="51" s="1"/>
  <c r="D55" i="61"/>
  <c r="K10" i="51" s="1"/>
  <c r="D51" i="61"/>
  <c r="K6" i="51" s="1"/>
  <c r="D57" i="61"/>
  <c r="K12" i="51" s="1"/>
  <c r="D60" i="61" s="1"/>
  <c r="K3" i="51" s="1"/>
  <c r="D59" i="61"/>
  <c r="K14" i="51" s="1"/>
  <c r="D56" i="61"/>
  <c r="K11" i="51" s="1"/>
  <c r="D52" i="61"/>
  <c r="K7" i="51" s="1"/>
  <c r="M187" i="61"/>
  <c r="K211" i="61"/>
  <c r="S191" i="61"/>
  <c r="C189" i="61"/>
  <c r="I209" i="61"/>
  <c r="G233" i="61"/>
  <c r="F233" i="61"/>
  <c r="H209" i="61"/>
  <c r="A209" i="61"/>
  <c r="K233" i="61"/>
  <c r="M209" i="61"/>
  <c r="Q215" i="61" l="1"/>
  <c r="H233" i="61"/>
  <c r="T211" i="61"/>
  <c r="O211" i="61"/>
  <c r="V187" i="61"/>
  <c r="Z214" i="61"/>
  <c r="P209" i="61"/>
  <c r="AC209" i="61"/>
  <c r="AC211" i="61"/>
  <c r="Y211" i="61"/>
  <c r="Z209" i="61"/>
  <c r="N187" i="61"/>
  <c r="L187" i="61"/>
  <c r="O233" i="61"/>
  <c r="T215" i="61"/>
  <c r="P233" i="61"/>
  <c r="N233" i="61"/>
  <c r="K191" i="61"/>
  <c r="O215" i="61"/>
  <c r="S211" i="61"/>
  <c r="P215" i="61"/>
  <c r="W209" i="61"/>
  <c r="N211" i="61"/>
  <c r="T233" i="61"/>
  <c r="O209" i="61"/>
  <c r="AA233" i="61"/>
  <c r="Q191" i="61"/>
  <c r="U211" i="61"/>
  <c r="J211" i="61"/>
  <c r="H211" i="61"/>
  <c r="T191" i="61"/>
  <c r="X224" i="61"/>
  <c r="W202" i="61"/>
  <c r="O224" i="61"/>
  <c r="Y224" i="61"/>
  <c r="AB226" i="61"/>
  <c r="R215" i="61"/>
  <c r="L191" i="61"/>
  <c r="J187" i="61"/>
  <c r="J209" i="61"/>
  <c r="I215" i="61"/>
  <c r="L211" i="61"/>
  <c r="W187" i="61"/>
  <c r="U187" i="61"/>
  <c r="AB187" i="61"/>
  <c r="R191" i="61"/>
  <c r="AE187" i="61"/>
  <c r="V209" i="61"/>
  <c r="R209" i="61"/>
  <c r="P187" i="61"/>
  <c r="AA187" i="61"/>
  <c r="L216" i="61"/>
  <c r="K226" i="61"/>
  <c r="V224" i="61"/>
  <c r="Q202" i="61"/>
  <c r="AD200" i="61"/>
  <c r="V190" i="61"/>
  <c r="H226" i="61"/>
  <c r="O226" i="61"/>
  <c r="I202" i="61"/>
  <c r="T214" i="61"/>
  <c r="AB190" i="61"/>
  <c r="I226" i="61"/>
  <c r="J202" i="61"/>
  <c r="Q200" i="61"/>
  <c r="Z200" i="61"/>
  <c r="AC200" i="61"/>
  <c r="Z215" i="61"/>
  <c r="W211" i="61"/>
  <c r="AA200" i="61"/>
  <c r="K202" i="61"/>
  <c r="M202" i="61"/>
  <c r="X200" i="61"/>
  <c r="AA224" i="61"/>
  <c r="G226" i="61"/>
  <c r="AB224" i="61"/>
  <c r="U226" i="61"/>
  <c r="V191" i="61"/>
  <c r="U233" i="61"/>
  <c r="I224" i="61"/>
  <c r="Q209" i="61"/>
  <c r="AA209" i="61"/>
  <c r="R187" i="61"/>
  <c r="V226" i="61"/>
  <c r="P224" i="61"/>
  <c r="Y233" i="61"/>
  <c r="Y215" i="61"/>
  <c r="AB211" i="61"/>
  <c r="R211" i="61"/>
  <c r="X202" i="61"/>
  <c r="O191" i="61"/>
  <c r="W215" i="61"/>
  <c r="J214" i="61"/>
  <c r="J200" i="61"/>
  <c r="I211" i="61"/>
  <c r="I191" i="61"/>
  <c r="K200" i="61"/>
  <c r="R202" i="61"/>
  <c r="V202" i="61"/>
  <c r="S209" i="61"/>
  <c r="U216" i="61"/>
  <c r="I190" i="61"/>
  <c r="R200" i="61"/>
  <c r="T200" i="61"/>
  <c r="H224" i="61"/>
  <c r="K209" i="61"/>
  <c r="L233" i="61"/>
  <c r="M211" i="61"/>
  <c r="N226" i="61"/>
  <c r="O202" i="61"/>
  <c r="F214" i="61"/>
  <c r="E214" i="61"/>
  <c r="P228" i="61"/>
  <c r="AE200" i="61"/>
  <c r="L224" i="61"/>
  <c r="Q224" i="61"/>
  <c r="X211" i="61"/>
  <c r="G211" i="61"/>
  <c r="T209" i="61"/>
  <c r="L190" i="61"/>
  <c r="G204" i="61"/>
  <c r="K204" i="61"/>
  <c r="G190" i="61"/>
  <c r="Y190" i="61"/>
  <c r="W204" i="61"/>
  <c r="N190" i="61"/>
  <c r="AB200" i="61"/>
  <c r="K190" i="61"/>
  <c r="G200" i="61"/>
  <c r="Y226" i="61"/>
  <c r="AB202" i="61"/>
  <c r="S233" i="61"/>
  <c r="Y214" i="61"/>
  <c r="W190" i="61"/>
  <c r="AB214" i="61"/>
  <c r="N224" i="61"/>
  <c r="H190" i="61"/>
  <c r="G214" i="61"/>
  <c r="Z228" i="61"/>
  <c r="W200" i="61"/>
  <c r="V200" i="61"/>
  <c r="R226" i="61"/>
  <c r="X209" i="61"/>
  <c r="F216" i="61"/>
  <c r="K216" i="61"/>
  <c r="Y195" i="61"/>
  <c r="N192" i="61"/>
  <c r="M192" i="61"/>
  <c r="Q216" i="61"/>
  <c r="I228" i="61"/>
  <c r="E216" i="61"/>
  <c r="W214" i="61"/>
  <c r="R204" i="61"/>
  <c r="U228" i="61"/>
  <c r="P192" i="61"/>
  <c r="AD202" i="61"/>
  <c r="AB191" i="61"/>
  <c r="W216" i="61"/>
  <c r="Z224" i="61"/>
  <c r="R192" i="61"/>
  <c r="Y191" i="61"/>
  <c r="X216" i="61"/>
  <c r="M214" i="61"/>
  <c r="R214" i="61"/>
  <c r="X214" i="61"/>
  <c r="F228" i="61"/>
  <c r="I199" i="61"/>
  <c r="T223" i="61"/>
  <c r="Z199" i="61"/>
  <c r="Y199" i="61"/>
  <c r="F223" i="61"/>
  <c r="N223" i="61"/>
  <c r="M199" i="61"/>
  <c r="W199" i="61"/>
  <c r="E223" i="61"/>
  <c r="Q199" i="61"/>
  <c r="AA199" i="61"/>
  <c r="AC223" i="61"/>
  <c r="AB199" i="61"/>
  <c r="O199" i="61"/>
  <c r="Z223" i="61"/>
  <c r="T199" i="61"/>
  <c r="K199" i="61"/>
  <c r="J223" i="61"/>
  <c r="N199" i="61"/>
  <c r="I223" i="61"/>
  <c r="P223" i="61"/>
  <c r="AC199" i="61"/>
  <c r="L223" i="61"/>
  <c r="V223" i="61"/>
  <c r="G199" i="61"/>
  <c r="R223" i="61"/>
  <c r="K223" i="61"/>
  <c r="U199" i="61"/>
  <c r="AE199" i="61"/>
  <c r="Y223" i="61"/>
  <c r="X223" i="61"/>
  <c r="X199" i="61"/>
  <c r="L199" i="61"/>
  <c r="P199" i="61"/>
  <c r="AD199" i="61"/>
  <c r="AA223" i="61"/>
  <c r="O223" i="61"/>
  <c r="R199" i="61"/>
  <c r="M223" i="61"/>
  <c r="H223" i="61"/>
  <c r="V199" i="61"/>
  <c r="AB223" i="61"/>
  <c r="W223" i="61"/>
  <c r="J199" i="61"/>
  <c r="U223" i="61"/>
  <c r="G223" i="61"/>
  <c r="S199" i="61"/>
  <c r="H199" i="61"/>
  <c r="Q223" i="61"/>
  <c r="S223" i="61"/>
  <c r="Q233" i="61"/>
  <c r="R224" i="61"/>
  <c r="S200" i="61"/>
  <c r="I233" i="61"/>
  <c r="F224" i="61"/>
  <c r="L228" i="61"/>
  <c r="L207" i="61"/>
  <c r="O207" i="61"/>
  <c r="Q231" i="61"/>
  <c r="M207" i="61"/>
  <c r="G231" i="61"/>
  <c r="U231" i="61"/>
  <c r="Q207" i="61"/>
  <c r="AA231" i="61"/>
  <c r="T231" i="61"/>
  <c r="Y207" i="61"/>
  <c r="AE207" i="61"/>
  <c r="P207" i="61"/>
  <c r="M231" i="61"/>
  <c r="AC207" i="61"/>
  <c r="Z207" i="61"/>
  <c r="G207" i="61"/>
  <c r="E231" i="61"/>
  <c r="H207" i="61"/>
  <c r="I207" i="61"/>
  <c r="AC231" i="61"/>
  <c r="W231" i="61"/>
  <c r="R207" i="61"/>
  <c r="P231" i="61"/>
  <c r="Y231" i="61"/>
  <c r="J231" i="61"/>
  <c r="V207" i="61"/>
  <c r="I231" i="61"/>
  <c r="L231" i="61"/>
  <c r="Z231" i="61"/>
  <c r="U207" i="61"/>
  <c r="AA207" i="61"/>
  <c r="N231" i="61"/>
  <c r="V231" i="61"/>
  <c r="S207" i="61"/>
  <c r="W207" i="61"/>
  <c r="AD207" i="61"/>
  <c r="H231" i="61"/>
  <c r="K207" i="61"/>
  <c r="N207" i="61"/>
  <c r="R231" i="61"/>
  <c r="X231" i="61"/>
  <c r="AB231" i="61"/>
  <c r="X207" i="61"/>
  <c r="O231" i="61"/>
  <c r="S231" i="61"/>
  <c r="K231" i="61"/>
  <c r="F231" i="61"/>
  <c r="J207" i="61"/>
  <c r="T207" i="61"/>
  <c r="AB207" i="61"/>
  <c r="V192" i="61"/>
  <c r="AA202" i="61"/>
  <c r="K224" i="61"/>
  <c r="J228" i="61"/>
  <c r="T228" i="61"/>
  <c r="Z226" i="61"/>
  <c r="Y187" i="61"/>
  <c r="S190" i="61"/>
  <c r="K187" i="61"/>
  <c r="T187" i="61"/>
  <c r="M226" i="61"/>
  <c r="O192" i="61"/>
  <c r="P190" i="61"/>
  <c r="AE191" i="61"/>
  <c r="Z191" i="61"/>
  <c r="AC226" i="61"/>
  <c r="G191" i="61"/>
  <c r="K214" i="61"/>
  <c r="E226" i="61"/>
  <c r="J190" i="61"/>
  <c r="AB215" i="61"/>
  <c r="Z233" i="61"/>
  <c r="L202" i="61"/>
  <c r="S226" i="61"/>
  <c r="O216" i="61"/>
  <c r="L196" i="61"/>
  <c r="N196" i="61"/>
  <c r="K196" i="61"/>
  <c r="T220" i="61"/>
  <c r="Q196" i="61"/>
  <c r="AA220" i="61"/>
  <c r="W220" i="61"/>
  <c r="U196" i="61"/>
  <c r="J220" i="61"/>
  <c r="F220" i="61"/>
  <c r="I196" i="61"/>
  <c r="L220" i="61"/>
  <c r="Q220" i="61"/>
  <c r="V220" i="61"/>
  <c r="M220" i="61"/>
  <c r="X196" i="61"/>
  <c r="Z220" i="61"/>
  <c r="X220" i="61"/>
  <c r="AB196" i="61"/>
  <c r="H220" i="61"/>
  <c r="AC220" i="61"/>
  <c r="P196" i="61"/>
  <c r="AD196" i="61"/>
  <c r="AB220" i="61"/>
  <c r="AA196" i="61"/>
  <c r="R196" i="61"/>
  <c r="N220" i="61"/>
  <c r="T196" i="61"/>
  <c r="O196" i="61"/>
  <c r="G196" i="61"/>
  <c r="O220" i="61"/>
  <c r="S196" i="61"/>
  <c r="J196" i="61"/>
  <c r="P220" i="61"/>
  <c r="H196" i="61"/>
  <c r="Y196" i="61"/>
  <c r="E220" i="61"/>
  <c r="R220" i="61"/>
  <c r="M196" i="61"/>
  <c r="G220" i="61"/>
  <c r="S220" i="61"/>
  <c r="AE196" i="61"/>
  <c r="V196" i="61"/>
  <c r="I220" i="61"/>
  <c r="Z196" i="61"/>
  <c r="K220" i="61"/>
  <c r="W196" i="61"/>
  <c r="Y220" i="61"/>
  <c r="AC196" i="61"/>
  <c r="U220" i="61"/>
  <c r="I200" i="61"/>
  <c r="T204" i="61"/>
  <c r="S228" i="61"/>
  <c r="Y209" i="61"/>
  <c r="M224" i="61"/>
  <c r="S224" i="61"/>
  <c r="J224" i="61"/>
  <c r="G209" i="61"/>
  <c r="F209" i="61" s="1"/>
  <c r="AE190" i="61"/>
  <c r="F226" i="61"/>
  <c r="AA215" i="61"/>
  <c r="V211" i="61"/>
  <c r="Z202" i="61"/>
  <c r="G187" i="61"/>
  <c r="F187" i="61" s="1"/>
  <c r="J191" i="61"/>
  <c r="V214" i="61"/>
  <c r="AA216" i="61"/>
  <c r="J192" i="61"/>
  <c r="G216" i="61"/>
  <c r="K192" i="61"/>
  <c r="X192" i="61"/>
  <c r="T225" i="61"/>
  <c r="V201" i="61"/>
  <c r="Q225" i="61"/>
  <c r="AC201" i="61"/>
  <c r="I225" i="61"/>
  <c r="K225" i="61"/>
  <c r="N201" i="61"/>
  <c r="P225" i="61"/>
  <c r="R225" i="61"/>
  <c r="R201" i="61"/>
  <c r="S225" i="61"/>
  <c r="Z225" i="61"/>
  <c r="U201" i="61"/>
  <c r="AC225" i="61"/>
  <c r="U225" i="61"/>
  <c r="Z201" i="61"/>
  <c r="N225" i="61"/>
  <c r="AB225" i="61"/>
  <c r="O201" i="61"/>
  <c r="Q201" i="61"/>
  <c r="V225" i="61"/>
  <c r="S201" i="61"/>
  <c r="AB201" i="61"/>
  <c r="O225" i="61"/>
  <c r="H201" i="61"/>
  <c r="Y201" i="61"/>
  <c r="G225" i="61"/>
  <c r="M225" i="61"/>
  <c r="X201" i="61"/>
  <c r="J225" i="61"/>
  <c r="AA225" i="61"/>
  <c r="M201" i="61"/>
  <c r="X225" i="61"/>
  <c r="T201" i="61"/>
  <c r="AE201" i="61"/>
  <c r="AD201" i="61"/>
  <c r="F225" i="61"/>
  <c r="J201" i="61"/>
  <c r="L201" i="61"/>
  <c r="E225" i="61"/>
  <c r="W201" i="61"/>
  <c r="I201" i="61"/>
  <c r="Y225" i="61"/>
  <c r="K201" i="61"/>
  <c r="G201" i="61"/>
  <c r="F201" i="61" s="1"/>
  <c r="L225" i="61"/>
  <c r="H225" i="61"/>
  <c r="W225" i="61"/>
  <c r="P201" i="61"/>
  <c r="AA201" i="61"/>
  <c r="P204" i="61"/>
  <c r="Q214" i="61"/>
  <c r="S214" i="61"/>
  <c r="R190" i="61"/>
  <c r="AD204" i="61"/>
  <c r="M190" i="61"/>
  <c r="P191" i="61"/>
  <c r="AA226" i="61"/>
  <c r="AA214" i="61"/>
  <c r="AE204" i="61"/>
  <c r="AC203" i="61"/>
  <c r="U227" i="61"/>
  <c r="S227" i="61"/>
  <c r="Q203" i="61"/>
  <c r="Q227" i="61"/>
  <c r="I227" i="61"/>
  <c r="AE203" i="61"/>
  <c r="J203" i="61"/>
  <c r="H227" i="61"/>
  <c r="I203" i="61"/>
  <c r="R203" i="61"/>
  <c r="G227" i="61"/>
  <c r="M227" i="61"/>
  <c r="W227" i="61"/>
  <c r="H203" i="61"/>
  <c r="G203" i="61"/>
  <c r="AC227" i="61"/>
  <c r="R227" i="61"/>
  <c r="L203" i="61"/>
  <c r="F227" i="61"/>
  <c r="AA227" i="61"/>
  <c r="U203" i="61"/>
  <c r="J227" i="61"/>
  <c r="V227" i="61"/>
  <c r="Y203" i="61"/>
  <c r="AB227" i="61"/>
  <c r="P227" i="61"/>
  <c r="W203" i="61"/>
  <c r="P203" i="61"/>
  <c r="X227" i="61"/>
  <c r="K203" i="61"/>
  <c r="N203" i="61"/>
  <c r="T227" i="61"/>
  <c r="O227" i="61"/>
  <c r="T203" i="61"/>
  <c r="N227" i="61"/>
  <c r="AB203" i="61"/>
  <c r="E227" i="61"/>
  <c r="M203" i="61"/>
  <c r="Z203" i="61"/>
  <c r="K227" i="61"/>
  <c r="AA203" i="61"/>
  <c r="X203" i="61"/>
  <c r="L227" i="61"/>
  <c r="O203" i="61"/>
  <c r="V203" i="61"/>
  <c r="Y227" i="61"/>
  <c r="S203" i="61"/>
  <c r="AD203" i="61"/>
  <c r="Z227" i="61"/>
  <c r="Y200" i="61"/>
  <c r="W228" i="61"/>
  <c r="M228" i="61"/>
  <c r="AC214" i="61"/>
  <c r="H202" i="61"/>
  <c r="AC233" i="61"/>
  <c r="AD209" i="61"/>
  <c r="S215" i="61"/>
  <c r="L226" i="61"/>
  <c r="H215" i="61"/>
  <c r="X190" i="61"/>
  <c r="AE206" i="61"/>
  <c r="T206" i="61"/>
  <c r="L206" i="61"/>
  <c r="AD206" i="61"/>
  <c r="M206" i="61"/>
  <c r="AC230" i="61"/>
  <c r="V206" i="61"/>
  <c r="Z206" i="61"/>
  <c r="Z230" i="61"/>
  <c r="G230" i="61"/>
  <c r="E230" i="61"/>
  <c r="X230" i="61"/>
  <c r="I206" i="61"/>
  <c r="AA206" i="61"/>
  <c r="O230" i="61"/>
  <c r="O206" i="61"/>
  <c r="J230" i="61"/>
  <c r="L230" i="61"/>
  <c r="U206" i="61"/>
  <c r="K230" i="61"/>
  <c r="R206" i="61"/>
  <c r="R230" i="61"/>
  <c r="N230" i="61"/>
  <c r="W206" i="61"/>
  <c r="H230" i="61"/>
  <c r="N206" i="61"/>
  <c r="S230" i="61"/>
  <c r="P206" i="61"/>
  <c r="W230" i="61"/>
  <c r="I230" i="61"/>
  <c r="Q206" i="61"/>
  <c r="AA230" i="61"/>
  <c r="H206" i="61"/>
  <c r="AB206" i="61"/>
  <c r="G206" i="61"/>
  <c r="U230" i="61"/>
  <c r="Y206" i="61"/>
  <c r="T230" i="61"/>
  <c r="P230" i="61"/>
  <c r="AC206" i="61"/>
  <c r="Y230" i="61"/>
  <c r="X206" i="61"/>
  <c r="J206" i="61"/>
  <c r="Q230" i="61"/>
  <c r="F230" i="61"/>
  <c r="AB230" i="61"/>
  <c r="K206" i="61"/>
  <c r="V230" i="61"/>
  <c r="M230" i="61"/>
  <c r="S206" i="61"/>
  <c r="L192" i="61"/>
  <c r="I195" i="61"/>
  <c r="Z219" i="61"/>
  <c r="T195" i="61"/>
  <c r="N219" i="61"/>
  <c r="T219" i="61"/>
  <c r="K219" i="61"/>
  <c r="AB195" i="61"/>
  <c r="W219" i="61"/>
  <c r="F219" i="61"/>
  <c r="P195" i="61"/>
  <c r="J219" i="61"/>
  <c r="O219" i="61"/>
  <c r="AA195" i="61"/>
  <c r="E219" i="61"/>
  <c r="H219" i="61"/>
  <c r="R195" i="61"/>
  <c r="S195" i="61"/>
  <c r="P219" i="61"/>
  <c r="K195" i="61"/>
  <c r="Y219" i="61"/>
  <c r="I219" i="61"/>
  <c r="Z195" i="61"/>
  <c r="AA219" i="61"/>
  <c r="Q219" i="61"/>
  <c r="G195" i="61"/>
  <c r="AD195" i="61"/>
  <c r="G219" i="61"/>
  <c r="AE195" i="61"/>
  <c r="V195" i="61"/>
  <c r="AC219" i="61"/>
  <c r="U195" i="61"/>
  <c r="V219" i="61"/>
  <c r="N195" i="61"/>
  <c r="AC195" i="61"/>
  <c r="U219" i="61"/>
  <c r="X195" i="61"/>
  <c r="O195" i="61"/>
  <c r="H195" i="61"/>
  <c r="R219" i="61"/>
  <c r="AB219" i="61"/>
  <c r="Q195" i="61"/>
  <c r="J195" i="61"/>
  <c r="L219" i="61"/>
  <c r="X219" i="61"/>
  <c r="S219" i="61"/>
  <c r="L195" i="61"/>
  <c r="M195" i="61"/>
  <c r="M219" i="61"/>
  <c r="W195" i="61"/>
  <c r="P197" i="61"/>
  <c r="S221" i="61"/>
  <c r="P221" i="61"/>
  <c r="AA197" i="61"/>
  <c r="AC221" i="61"/>
  <c r="E221" i="61"/>
  <c r="O197" i="61"/>
  <c r="U221" i="61"/>
  <c r="V221" i="61"/>
  <c r="AD197" i="61"/>
  <c r="U197" i="61"/>
  <c r="W221" i="61"/>
  <c r="L221" i="61"/>
  <c r="M197" i="61"/>
  <c r="J197" i="61"/>
  <c r="Y221" i="61"/>
  <c r="L197" i="61"/>
  <c r="R197" i="61"/>
  <c r="I197" i="61"/>
  <c r="AB221" i="61"/>
  <c r="G197" i="61"/>
  <c r="T197" i="61"/>
  <c r="AA221" i="61"/>
  <c r="I221" i="61"/>
  <c r="AE197" i="61"/>
  <c r="N221" i="61"/>
  <c r="H221" i="61"/>
  <c r="S197" i="61"/>
  <c r="G221" i="61"/>
  <c r="Q221" i="61"/>
  <c r="H197" i="61"/>
  <c r="Y197" i="61"/>
  <c r="V197" i="61"/>
  <c r="R221" i="61"/>
  <c r="X197" i="61"/>
  <c r="T221" i="61"/>
  <c r="K221" i="61"/>
  <c r="W197" i="61"/>
  <c r="J221" i="61"/>
  <c r="O221" i="61"/>
  <c r="K197" i="61"/>
  <c r="AC197" i="61"/>
  <c r="Z221" i="61"/>
  <c r="Z197" i="61"/>
  <c r="Q197" i="61"/>
  <c r="F221" i="61"/>
  <c r="N197" i="61"/>
  <c r="AB197" i="61"/>
  <c r="X221" i="61"/>
  <c r="M221" i="61"/>
  <c r="W192" i="61"/>
  <c r="E228" i="61"/>
  <c r="H228" i="61"/>
  <c r="I204" i="61"/>
  <c r="AC192" i="61"/>
  <c r="AB204" i="61"/>
  <c r="AA190" i="61"/>
  <c r="AC216" i="61"/>
  <c r="H192" i="61"/>
  <c r="J216" i="61"/>
  <c r="U214" i="61"/>
  <c r="Q204" i="61"/>
  <c r="X228" i="61"/>
  <c r="Q228" i="61"/>
  <c r="P226" i="61"/>
  <c r="AA228" i="61"/>
  <c r="H216" i="61"/>
  <c r="AC224" i="61"/>
  <c r="L214" i="61"/>
  <c r="AA191" i="61"/>
  <c r="AD190" i="61"/>
  <c r="T226" i="61"/>
  <c r="I192" i="61"/>
  <c r="I214" i="61"/>
  <c r="I216" i="61"/>
  <c r="M215" i="61"/>
  <c r="V216" i="61"/>
  <c r="O193" i="61"/>
  <c r="O217" i="61"/>
  <c r="AC217" i="61"/>
  <c r="AD193" i="61"/>
  <c r="U193" i="61"/>
  <c r="S217" i="61"/>
  <c r="H193" i="61"/>
  <c r="Y193" i="61"/>
  <c r="N217" i="61"/>
  <c r="V193" i="61"/>
  <c r="M193" i="61"/>
  <c r="R217" i="61"/>
  <c r="J193" i="61"/>
  <c r="I217" i="61"/>
  <c r="L193" i="61"/>
  <c r="F217" i="61"/>
  <c r="T217" i="61"/>
  <c r="V217" i="61"/>
  <c r="AE193" i="61"/>
  <c r="H217" i="61"/>
  <c r="Q217" i="61"/>
  <c r="S193" i="61"/>
  <c r="AB217" i="61"/>
  <c r="G217" i="61"/>
  <c r="W193" i="61"/>
  <c r="J217" i="61"/>
  <c r="P217" i="61"/>
  <c r="K193" i="61"/>
  <c r="AC193" i="61"/>
  <c r="U217" i="61"/>
  <c r="X193" i="61"/>
  <c r="Y217" i="61"/>
  <c r="E217" i="61"/>
  <c r="P193" i="61"/>
  <c r="AA193" i="61"/>
  <c r="K217" i="61"/>
  <c r="Z193" i="61"/>
  <c r="Q193" i="61"/>
  <c r="Z217" i="61"/>
  <c r="N193" i="61"/>
  <c r="AB193" i="61"/>
  <c r="M217" i="61"/>
  <c r="R193" i="61"/>
  <c r="I193" i="61"/>
  <c r="X217" i="61"/>
  <c r="G193" i="61"/>
  <c r="T193" i="61"/>
  <c r="W217" i="61"/>
  <c r="L217" i="61"/>
  <c r="AA217" i="61"/>
  <c r="X204" i="61"/>
  <c r="H204" i="61"/>
  <c r="F204" i="61" s="1"/>
  <c r="N200" i="61"/>
  <c r="N228" i="61"/>
  <c r="U224" i="61"/>
  <c r="E224" i="61"/>
  <c r="N209" i="61"/>
  <c r="P202" i="61"/>
  <c r="G215" i="61"/>
  <c r="AB216" i="61"/>
  <c r="P200" i="61"/>
  <c r="T224" i="61"/>
  <c r="U192" i="61"/>
  <c r="AA204" i="61"/>
  <c r="P211" i="61"/>
  <c r="Z216" i="61"/>
  <c r="T192" i="61"/>
  <c r="L215" i="61"/>
  <c r="V215" i="61"/>
  <c r="U190" i="61"/>
  <c r="P214" i="61"/>
  <c r="AB228" i="61"/>
  <c r="T202" i="61"/>
  <c r="Z187" i="61"/>
  <c r="Q226" i="61"/>
  <c r="W226" i="61"/>
  <c r="K215" i="61"/>
  <c r="N215" i="61"/>
  <c r="AC202" i="61"/>
  <c r="O187" i="61"/>
  <c r="I187" i="61"/>
  <c r="AC190" i="61"/>
  <c r="AC228" i="61"/>
  <c r="W224" i="61"/>
  <c r="V194" i="61"/>
  <c r="AB218" i="61"/>
  <c r="AB194" i="61"/>
  <c r="L194" i="61"/>
  <c r="J218" i="61"/>
  <c r="O194" i="61"/>
  <c r="E218" i="61"/>
  <c r="J194" i="61"/>
  <c r="M194" i="61"/>
  <c r="F218" i="61"/>
  <c r="H218" i="61"/>
  <c r="R218" i="61"/>
  <c r="AD194" i="61"/>
  <c r="AC218" i="61"/>
  <c r="I194" i="61"/>
  <c r="M218" i="61"/>
  <c r="K194" i="61"/>
  <c r="Y218" i="61"/>
  <c r="Y194" i="61"/>
  <c r="N194" i="61"/>
  <c r="T218" i="61"/>
  <c r="H194" i="61"/>
  <c r="P194" i="61"/>
  <c r="Q194" i="61"/>
  <c r="V218" i="61"/>
  <c r="Z194" i="61"/>
  <c r="L218" i="61"/>
  <c r="G218" i="61"/>
  <c r="P218" i="61"/>
  <c r="I218" i="61"/>
  <c r="AE194" i="61"/>
  <c r="N218" i="61"/>
  <c r="Z218" i="61"/>
  <c r="O218" i="61"/>
  <c r="G194" i="61"/>
  <c r="U218" i="61"/>
  <c r="S218" i="61"/>
  <c r="R194" i="61"/>
  <c r="W218" i="61"/>
  <c r="AA218" i="61"/>
  <c r="T194" i="61"/>
  <c r="K218" i="61"/>
  <c r="U194" i="61"/>
  <c r="AC194" i="61"/>
  <c r="AA194" i="61"/>
  <c r="W194" i="61"/>
  <c r="Q218" i="61"/>
  <c r="X194" i="61"/>
  <c r="X218" i="61"/>
  <c r="S194" i="61"/>
  <c r="V233" i="61"/>
  <c r="R233" i="61"/>
  <c r="Y204" i="61"/>
  <c r="O204" i="61"/>
  <c r="U209" i="61"/>
  <c r="U215" i="61"/>
  <c r="AA211" i="61"/>
  <c r="AE209" i="61"/>
  <c r="AB233" i="61"/>
  <c r="U191" i="61"/>
  <c r="N202" i="61"/>
  <c r="Y216" i="61"/>
  <c r="Q190" i="61"/>
  <c r="H191" i="61"/>
  <c r="Q211" i="61"/>
  <c r="L209" i="61"/>
  <c r="AE192" i="61"/>
  <c r="S192" i="61"/>
  <c r="J204" i="61"/>
  <c r="G228" i="61"/>
  <c r="G192" i="61"/>
  <c r="X198" i="61"/>
  <c r="R222" i="61"/>
  <c r="AB198" i="61"/>
  <c r="E222" i="61"/>
  <c r="S222" i="61"/>
  <c r="AD198" i="61"/>
  <c r="AA198" i="61"/>
  <c r="H222" i="61"/>
  <c r="G198" i="61"/>
  <c r="S198" i="61"/>
  <c r="O222" i="61"/>
  <c r="P222" i="61"/>
  <c r="M198" i="61"/>
  <c r="T222" i="61"/>
  <c r="Q198" i="61"/>
  <c r="M222" i="61"/>
  <c r="U222" i="61"/>
  <c r="U198" i="61"/>
  <c r="AB222" i="61"/>
  <c r="X222" i="61"/>
  <c r="I198" i="61"/>
  <c r="Q222" i="61"/>
  <c r="V222" i="61"/>
  <c r="T198" i="61"/>
  <c r="Z222" i="61"/>
  <c r="AC222" i="61"/>
  <c r="O198" i="61"/>
  <c r="J198" i="61"/>
  <c r="H198" i="61"/>
  <c r="Y198" i="61"/>
  <c r="K222" i="61"/>
  <c r="AA222" i="61"/>
  <c r="G222" i="61"/>
  <c r="AE198" i="61"/>
  <c r="V198" i="61"/>
  <c r="F222" i="61"/>
  <c r="L198" i="61"/>
  <c r="Z198" i="61"/>
  <c r="I222" i="61"/>
  <c r="W198" i="61"/>
  <c r="N198" i="61"/>
  <c r="N222" i="61"/>
  <c r="K198" i="61"/>
  <c r="AC198" i="61"/>
  <c r="J222" i="61"/>
  <c r="L222" i="61"/>
  <c r="W222" i="61"/>
  <c r="P198" i="61"/>
  <c r="Y222" i="61"/>
  <c r="R198" i="61"/>
  <c r="O228" i="61"/>
  <c r="Z204" i="61"/>
  <c r="S204" i="61"/>
  <c r="N216" i="61"/>
  <c r="AC204" i="61"/>
  <c r="L189" i="61"/>
  <c r="R213" i="61"/>
  <c r="P213" i="61"/>
  <c r="AA189" i="61"/>
  <c r="AC189" i="61"/>
  <c r="J213" i="61"/>
  <c r="AE189" i="61"/>
  <c r="Z213" i="61"/>
  <c r="V213" i="61"/>
  <c r="I213" i="61"/>
  <c r="H213" i="61"/>
  <c r="N189" i="61"/>
  <c r="W189" i="61"/>
  <c r="Z189" i="61"/>
  <c r="Q189" i="61"/>
  <c r="Y213" i="61"/>
  <c r="N213" i="61"/>
  <c r="K213" i="61"/>
  <c r="AD189" i="61"/>
  <c r="G213" i="61"/>
  <c r="U213" i="61"/>
  <c r="J189" i="61"/>
  <c r="X189" i="61"/>
  <c r="O189" i="61"/>
  <c r="E213" i="61"/>
  <c r="AC213" i="61"/>
  <c r="O213" i="61"/>
  <c r="K189" i="61"/>
  <c r="I189" i="61"/>
  <c r="G189" i="61"/>
  <c r="T213" i="61"/>
  <c r="V189" i="61"/>
  <c r="AB189" i="61"/>
  <c r="M213" i="61"/>
  <c r="W213" i="61"/>
  <c r="AA213" i="61"/>
  <c r="M189" i="61"/>
  <c r="X213" i="61"/>
  <c r="S189" i="61"/>
  <c r="P189" i="61"/>
  <c r="F213" i="61"/>
  <c r="AB213" i="61"/>
  <c r="S213" i="61"/>
  <c r="Q213" i="61"/>
  <c r="H189" i="61"/>
  <c r="Y189" i="61"/>
  <c r="U189" i="61"/>
  <c r="R189" i="61"/>
  <c r="T189" i="61"/>
  <c r="L213" i="61"/>
  <c r="Y192" i="61"/>
  <c r="Y205" i="61"/>
  <c r="AB205" i="61"/>
  <c r="U205" i="61"/>
  <c r="AC205" i="61"/>
  <c r="U229" i="61"/>
  <c r="Z205" i="61"/>
  <c r="N205" i="61"/>
  <c r="T205" i="61"/>
  <c r="X229" i="61"/>
  <c r="V229" i="61"/>
  <c r="I205" i="61"/>
  <c r="S205" i="61"/>
  <c r="E229" i="61"/>
  <c r="W205" i="61"/>
  <c r="Z229" i="61"/>
  <c r="J229" i="61"/>
  <c r="AB229" i="61"/>
  <c r="M229" i="61"/>
  <c r="H205" i="61"/>
  <c r="F229" i="61"/>
  <c r="R205" i="61"/>
  <c r="O205" i="61"/>
  <c r="AA205" i="61"/>
  <c r="AE205" i="61"/>
  <c r="P205" i="61"/>
  <c r="X205" i="61"/>
  <c r="K229" i="61"/>
  <c r="W229" i="61"/>
  <c r="AA229" i="61"/>
  <c r="S229" i="61"/>
  <c r="L205" i="61"/>
  <c r="AC229" i="61"/>
  <c r="Y229" i="61"/>
  <c r="K205" i="61"/>
  <c r="N229" i="61"/>
  <c r="P229" i="61"/>
  <c r="R229" i="61"/>
  <c r="Q229" i="61"/>
  <c r="H229" i="61"/>
  <c r="T229" i="61"/>
  <c r="I229" i="61"/>
  <c r="G229" i="61"/>
  <c r="O229" i="61"/>
  <c r="G205" i="61"/>
  <c r="M205" i="61"/>
  <c r="AD205" i="61"/>
  <c r="Q205" i="61"/>
  <c r="L229" i="61"/>
  <c r="V205" i="61"/>
  <c r="J205" i="61"/>
  <c r="P216" i="61"/>
  <c r="Z192" i="61"/>
  <c r="O190" i="61"/>
  <c r="T190" i="61"/>
  <c r="Z190" i="61"/>
  <c r="AB208" i="61"/>
  <c r="T232" i="61"/>
  <c r="AE208" i="61"/>
  <c r="AC232" i="61"/>
  <c r="M208" i="61"/>
  <c r="S208" i="61"/>
  <c r="H208" i="61"/>
  <c r="S232" i="61"/>
  <c r="N232" i="61"/>
  <c r="Z232" i="61"/>
  <c r="V232" i="61"/>
  <c r="L232" i="61"/>
  <c r="Z208" i="61"/>
  <c r="O208" i="61"/>
  <c r="P208" i="61"/>
  <c r="R232" i="61"/>
  <c r="J208" i="61"/>
  <c r="X232" i="61"/>
  <c r="E232" i="61"/>
  <c r="W232" i="61"/>
  <c r="U208" i="61"/>
  <c r="K208" i="61"/>
  <c r="AA232" i="61"/>
  <c r="AC208" i="61"/>
  <c r="N208" i="61"/>
  <c r="Y208" i="61"/>
  <c r="X208" i="61"/>
  <c r="F232" i="61"/>
  <c r="G232" i="61"/>
  <c r="R208" i="61"/>
  <c r="K232" i="61"/>
  <c r="T208" i="61"/>
  <c r="AB232" i="61"/>
  <c r="H232" i="61"/>
  <c r="Y232" i="61"/>
  <c r="L208" i="61"/>
  <c r="G208" i="61"/>
  <c r="J232" i="61"/>
  <c r="Q208" i="61"/>
  <c r="I232" i="61"/>
  <c r="V208" i="61"/>
  <c r="W208" i="61"/>
  <c r="Q232" i="61"/>
  <c r="M232" i="61"/>
  <c r="O232" i="61"/>
  <c r="P232" i="61"/>
  <c r="AA208" i="61"/>
  <c r="I208" i="61"/>
  <c r="U232" i="61"/>
  <c r="AD208" i="61"/>
  <c r="M204" i="61"/>
  <c r="V228" i="61"/>
  <c r="H200" i="61"/>
  <c r="F200" i="61" s="1"/>
  <c r="N204" i="61"/>
  <c r="T216" i="61"/>
  <c r="AD192" i="61"/>
  <c r="L204" i="61"/>
  <c r="V204" i="61"/>
  <c r="S216" i="61"/>
  <c r="Y228" i="61"/>
  <c r="AB192" i="61"/>
  <c r="R216" i="61"/>
  <c r="N191" i="61"/>
  <c r="X191" i="61"/>
  <c r="N214" i="61"/>
  <c r="AC215" i="61"/>
  <c r="X215" i="61"/>
  <c r="AE202" i="61"/>
  <c r="E215" i="61"/>
  <c r="S202" i="61"/>
  <c r="G202" i="61"/>
  <c r="M191" i="61"/>
  <c r="AD191" i="61"/>
  <c r="AB209" i="61"/>
  <c r="J226" i="61"/>
  <c r="U202" i="61"/>
  <c r="Q192" i="61"/>
  <c r="G224" i="61"/>
  <c r="R228" i="61"/>
  <c r="U204" i="61"/>
  <c r="W233" i="61"/>
  <c r="O200" i="61"/>
  <c r="U200" i="61"/>
  <c r="L200" i="61"/>
  <c r="E233" i="61"/>
  <c r="W191" i="61"/>
  <c r="AC187" i="61"/>
  <c r="U212" i="61"/>
  <c r="H212" i="61"/>
  <c r="G212" i="61"/>
  <c r="W212" i="61"/>
  <c r="N212" i="61"/>
  <c r="O212" i="61"/>
  <c r="K188" i="61"/>
  <c r="V188" i="61"/>
  <c r="Z212" i="61"/>
  <c r="P188" i="61"/>
  <c r="P212" i="61"/>
  <c r="I212" i="61"/>
  <c r="L212" i="61"/>
  <c r="AC212" i="61"/>
  <c r="Z188" i="61"/>
  <c r="L188" i="61"/>
  <c r="Q188" i="61"/>
  <c r="R188" i="61"/>
  <c r="AB188" i="61"/>
  <c r="O188" i="61"/>
  <c r="J188" i="61"/>
  <c r="AE188" i="61"/>
  <c r="M188" i="61"/>
  <c r="K212" i="61"/>
  <c r="X188" i="61"/>
  <c r="Y212" i="61"/>
  <c r="Q212" i="61"/>
  <c r="F212" i="61"/>
  <c r="V212" i="61"/>
  <c r="N188" i="61"/>
  <c r="T188" i="61"/>
  <c r="U188" i="61"/>
  <c r="AD188" i="61"/>
  <c r="X212" i="61"/>
  <c r="M212" i="61"/>
  <c r="R212" i="61"/>
  <c r="J212" i="61"/>
  <c r="T212" i="61"/>
  <c r="H188" i="61"/>
  <c r="S212" i="61"/>
  <c r="AA188" i="61"/>
  <c r="Y188" i="61"/>
  <c r="AB212" i="61"/>
  <c r="I188" i="61"/>
  <c r="W188" i="61"/>
  <c r="E212" i="61"/>
  <c r="AC188" i="61"/>
  <c r="S188" i="61"/>
  <c r="G188" i="61"/>
  <c r="AA212" i="61"/>
  <c r="AC191" i="61"/>
  <c r="X187" i="61"/>
  <c r="X226" i="61"/>
  <c r="E211" i="61"/>
  <c r="AA192" i="61"/>
  <c r="O214" i="61"/>
  <c r="F215" i="61"/>
  <c r="S187" i="61"/>
  <c r="J233" i="61"/>
  <c r="F208" i="61" l="1"/>
  <c r="F192" i="61"/>
  <c r="F202" i="61"/>
  <c r="CE76" i="61" s="1"/>
  <c r="F193" i="61"/>
  <c r="F188" i="61"/>
  <c r="CD74" i="61" s="1"/>
  <c r="F189" i="61"/>
  <c r="CE78" i="61"/>
  <c r="F197" i="61"/>
  <c r="F190" i="61"/>
  <c r="CD76" i="61" s="1"/>
  <c r="CD78" i="61"/>
  <c r="F194" i="61"/>
  <c r="CD80" i="61" s="1"/>
  <c r="F195" i="61"/>
  <c r="CD81" i="61" s="1"/>
  <c r="CE83" i="61"/>
  <c r="F196" i="61"/>
  <c r="CD82" i="61" s="1"/>
  <c r="F199" i="61"/>
  <c r="CE73" i="61" s="1"/>
  <c r="CD79" i="61"/>
  <c r="F206" i="61"/>
  <c r="CE80" i="61" s="1"/>
  <c r="CE75" i="61"/>
  <c r="F207" i="61"/>
  <c r="CE81" i="61" s="1"/>
  <c r="CE74" i="61"/>
  <c r="CE82" i="61"/>
  <c r="F205" i="61"/>
  <c r="CE79" i="61" s="1"/>
  <c r="F203" i="61"/>
  <c r="CE77" i="61" s="1"/>
  <c r="CD73" i="61"/>
  <c r="F191" i="61"/>
  <c r="CD77" i="61" s="1"/>
  <c r="CD75" i="61"/>
  <c r="F198" i="61"/>
  <c r="CE72" i="61" s="1"/>
  <c r="CD83" i="61"/>
</calcChain>
</file>

<file path=xl/comments1.xml><?xml version="1.0" encoding="utf-8"?>
<comments xmlns="http://schemas.openxmlformats.org/spreadsheetml/2006/main">
  <authors>
    <author>Abdul Rahim Ovingal</author>
  </authors>
  <commentList>
    <comment ref="E4" authorId="0">
      <text>
        <r>
          <rPr>
            <b/>
            <sz val="9"/>
            <color indexed="81"/>
            <rFont val="Tahoma"/>
            <family val="2"/>
          </rPr>
          <t>Breadth:</t>
        </r>
        <r>
          <rPr>
            <sz val="9"/>
            <color indexed="81"/>
            <rFont val="Tahoma"/>
            <family val="2"/>
          </rPr>
          <t xml:space="preserve">
(Automatically adjusted with offset)</t>
        </r>
      </text>
    </comment>
  </commentList>
</comments>
</file>

<file path=xl/sharedStrings.xml><?xml version="1.0" encoding="utf-8"?>
<sst xmlns="http://schemas.openxmlformats.org/spreadsheetml/2006/main" count="20011" uniqueCount="379">
  <si>
    <t>WL</t>
  </si>
  <si>
    <t>WL Count</t>
  </si>
  <si>
    <t>UPPER</t>
  </si>
  <si>
    <t>LOWER(FWD)</t>
  </si>
  <si>
    <t>Full</t>
  </si>
  <si>
    <t>Table 1</t>
  </si>
  <si>
    <t>Table 2</t>
  </si>
  <si>
    <t>Waterline Spacing (t)</t>
  </si>
  <si>
    <t>m</t>
  </si>
  <si>
    <t>STN</t>
  </si>
  <si>
    <t>1/2 Ord</t>
  </si>
  <si>
    <t>SM</t>
  </si>
  <si>
    <t>f(A)</t>
  </si>
  <si>
    <t>Lever</t>
  </si>
  <si>
    <t>f(M)</t>
  </si>
  <si>
    <t>f(IL)</t>
  </si>
  <si>
    <r>
      <t>(1/2 Ord)</t>
    </r>
    <r>
      <rPr>
        <b/>
        <sz val="11"/>
        <color theme="1"/>
        <rFont val="Calibri"/>
        <family val="2"/>
      </rPr>
      <t>³</t>
    </r>
  </si>
  <si>
    <r>
      <t>f(I</t>
    </r>
    <r>
      <rPr>
        <b/>
        <sz val="6"/>
        <color theme="1"/>
        <rFont val="Calibri"/>
        <family val="2"/>
        <scheme val="minor"/>
      </rPr>
      <t>T</t>
    </r>
    <r>
      <rPr>
        <b/>
        <sz val="11"/>
        <color theme="1"/>
        <rFont val="Calibri"/>
        <family val="2"/>
        <scheme val="minor"/>
      </rPr>
      <t>)</t>
    </r>
  </si>
  <si>
    <t>Area</t>
  </si>
  <si>
    <t>f(V)</t>
  </si>
  <si>
    <t>Moment</t>
  </si>
  <si>
    <t>f(MT)</t>
  </si>
  <si>
    <t>f(ML)</t>
  </si>
  <si>
    <t>Station Spacing (h)</t>
  </si>
  <si>
    <t>Half</t>
  </si>
  <si>
    <t>1/2 STNS</t>
  </si>
  <si>
    <t>LBP</t>
  </si>
  <si>
    <t>B</t>
  </si>
  <si>
    <t>D</t>
  </si>
  <si>
    <t>Current B</t>
  </si>
  <si>
    <r>
      <t>L</t>
    </r>
    <r>
      <rPr>
        <b/>
        <vertAlign val="subscript"/>
        <sz val="8"/>
        <rFont val="Arial"/>
        <family val="2"/>
      </rPr>
      <t>WL</t>
    </r>
  </si>
  <si>
    <t>Particulars</t>
  </si>
  <si>
    <t>Formula</t>
  </si>
  <si>
    <t>Value</t>
  </si>
  <si>
    <r>
      <t>A</t>
    </r>
    <r>
      <rPr>
        <sz val="8"/>
        <color theme="1"/>
        <rFont val="Calibri"/>
        <family val="2"/>
        <scheme val="minor"/>
      </rPr>
      <t>WP</t>
    </r>
  </si>
  <si>
    <r>
      <t>2/3*h*</t>
    </r>
    <r>
      <rPr>
        <sz val="9"/>
        <color indexed="8"/>
        <rFont val="Calibri"/>
        <family val="2"/>
      </rPr>
      <t>∑F</t>
    </r>
    <r>
      <rPr>
        <sz val="9"/>
        <color indexed="8"/>
        <rFont val="Calibri"/>
        <family val="2"/>
      </rPr>
      <t>(A)</t>
    </r>
  </si>
  <si>
    <r>
      <t>M</t>
    </r>
    <r>
      <rPr>
        <sz val="8"/>
        <color theme="1"/>
        <rFont val="Calibri"/>
        <family val="2"/>
        <scheme val="minor"/>
      </rPr>
      <t>mid</t>
    </r>
  </si>
  <si>
    <r>
      <t>2/3*h</t>
    </r>
    <r>
      <rPr>
        <vertAlign val="superscript"/>
        <sz val="9"/>
        <color indexed="8"/>
        <rFont val="Calibri"/>
        <family val="2"/>
      </rPr>
      <t>2</t>
    </r>
    <r>
      <rPr>
        <sz val="9"/>
        <color indexed="8"/>
        <rFont val="Calibri"/>
        <family val="2"/>
      </rPr>
      <t>*</t>
    </r>
    <r>
      <rPr>
        <sz val="9"/>
        <color indexed="8"/>
        <rFont val="Calibri"/>
        <family val="2"/>
      </rPr>
      <t>∑</t>
    </r>
    <r>
      <rPr>
        <sz val="9"/>
        <color indexed="8"/>
        <rFont val="Calibri"/>
        <family val="2"/>
      </rPr>
      <t>F(M)</t>
    </r>
  </si>
  <si>
    <r>
      <t>2*h*</t>
    </r>
    <r>
      <rPr>
        <sz val="9"/>
        <color indexed="8"/>
        <rFont val="Calibri"/>
        <family val="2"/>
      </rPr>
      <t>∑F</t>
    </r>
    <r>
      <rPr>
        <sz val="9"/>
        <color indexed="8"/>
        <rFont val="Calibri"/>
        <family val="2"/>
      </rPr>
      <t>(A)</t>
    </r>
  </si>
  <si>
    <t>LCF (FROM MIDSHIP)</t>
  </si>
  <si>
    <t>M mid / Awp</t>
  </si>
  <si>
    <r>
      <t>2*h</t>
    </r>
    <r>
      <rPr>
        <vertAlign val="superscript"/>
        <sz val="9"/>
        <color indexed="8"/>
        <rFont val="Calibri"/>
        <family val="2"/>
      </rPr>
      <t>2</t>
    </r>
    <r>
      <rPr>
        <sz val="9"/>
        <color indexed="8"/>
        <rFont val="Calibri"/>
        <family val="2"/>
      </rPr>
      <t>*</t>
    </r>
    <r>
      <rPr>
        <sz val="9"/>
        <color indexed="8"/>
        <rFont val="Calibri"/>
        <family val="2"/>
      </rPr>
      <t>∑</t>
    </r>
    <r>
      <rPr>
        <sz val="9"/>
        <color indexed="8"/>
        <rFont val="Calibri"/>
        <family val="2"/>
      </rPr>
      <t>F(M)</t>
    </r>
  </si>
  <si>
    <r>
      <t>I</t>
    </r>
    <r>
      <rPr>
        <b/>
        <vertAlign val="subscript"/>
        <sz val="8"/>
        <rFont val="Arial"/>
        <family val="2"/>
      </rPr>
      <t>L</t>
    </r>
  </si>
  <si>
    <r>
      <t>2/3*h</t>
    </r>
    <r>
      <rPr>
        <vertAlign val="superscript"/>
        <sz val="9"/>
        <color indexed="8"/>
        <rFont val="Calibri"/>
        <family val="2"/>
      </rPr>
      <t>3</t>
    </r>
    <r>
      <rPr>
        <sz val="9"/>
        <color indexed="8"/>
        <rFont val="Calibri"/>
        <family val="2"/>
      </rPr>
      <t>*</t>
    </r>
    <r>
      <rPr>
        <sz val="9"/>
        <color indexed="8"/>
        <rFont val="Calibri"/>
        <family val="2"/>
      </rPr>
      <t>∑</t>
    </r>
    <r>
      <rPr>
        <sz val="9"/>
        <color indexed="8"/>
        <rFont val="Calibri"/>
        <family val="2"/>
      </rPr>
      <t>F(I</t>
    </r>
    <r>
      <rPr>
        <vertAlign val="subscript"/>
        <sz val="9"/>
        <color indexed="8"/>
        <rFont val="Calibri"/>
        <family val="2"/>
      </rPr>
      <t>L</t>
    </r>
    <r>
      <rPr>
        <sz val="9"/>
        <color indexed="8"/>
        <rFont val="Calibri"/>
        <family val="2"/>
      </rPr>
      <t>)</t>
    </r>
  </si>
  <si>
    <r>
      <rPr>
        <b/>
        <sz val="8"/>
        <rFont val="Arial"/>
        <family val="2"/>
      </rPr>
      <t>I</t>
    </r>
    <r>
      <rPr>
        <b/>
        <vertAlign val="subscript"/>
        <sz val="8"/>
        <rFont val="Arial"/>
        <family val="2"/>
      </rPr>
      <t>T</t>
    </r>
  </si>
  <si>
    <r>
      <t>2/9*h*</t>
    </r>
    <r>
      <rPr>
        <sz val="9"/>
        <color indexed="8"/>
        <rFont val="Calibri"/>
        <family val="2"/>
      </rPr>
      <t>∑</t>
    </r>
    <r>
      <rPr>
        <sz val="9"/>
        <color indexed="8"/>
        <rFont val="Calibri"/>
        <family val="2"/>
      </rPr>
      <t>F(I</t>
    </r>
    <r>
      <rPr>
        <vertAlign val="subscript"/>
        <sz val="9"/>
        <color indexed="8"/>
        <rFont val="Calibri"/>
        <family val="2"/>
      </rPr>
      <t>T</t>
    </r>
    <r>
      <rPr>
        <sz val="9"/>
        <color indexed="8"/>
        <rFont val="Calibri"/>
        <family val="2"/>
      </rPr>
      <t>)</t>
    </r>
  </si>
  <si>
    <r>
      <t>2*h</t>
    </r>
    <r>
      <rPr>
        <vertAlign val="superscript"/>
        <sz val="9"/>
        <color indexed="8"/>
        <rFont val="Calibri"/>
        <family val="2"/>
      </rPr>
      <t>3</t>
    </r>
    <r>
      <rPr>
        <sz val="9"/>
        <color indexed="8"/>
        <rFont val="Calibri"/>
        <family val="2"/>
      </rPr>
      <t>*</t>
    </r>
    <r>
      <rPr>
        <sz val="9"/>
        <color indexed="8"/>
        <rFont val="Calibri"/>
        <family val="2"/>
      </rPr>
      <t>∑</t>
    </r>
    <r>
      <rPr>
        <sz val="9"/>
        <color indexed="8"/>
        <rFont val="Calibri"/>
        <family val="2"/>
      </rPr>
      <t>F(I</t>
    </r>
    <r>
      <rPr>
        <vertAlign val="subscript"/>
        <sz val="9"/>
        <color indexed="8"/>
        <rFont val="Calibri"/>
        <family val="2"/>
      </rPr>
      <t>L</t>
    </r>
    <r>
      <rPr>
        <sz val="9"/>
        <color indexed="8"/>
        <rFont val="Calibri"/>
        <family val="2"/>
      </rPr>
      <t>)</t>
    </r>
  </si>
  <si>
    <r>
      <t>I</t>
    </r>
    <r>
      <rPr>
        <b/>
        <vertAlign val="subscript"/>
        <sz val="8"/>
        <rFont val="Arial"/>
        <family val="2"/>
      </rPr>
      <t>F</t>
    </r>
  </si>
  <si>
    <r>
      <t>I</t>
    </r>
    <r>
      <rPr>
        <vertAlign val="subscript"/>
        <sz val="9"/>
        <color indexed="8"/>
        <rFont val="Calibri"/>
        <family val="2"/>
      </rPr>
      <t>L</t>
    </r>
    <r>
      <rPr>
        <sz val="9"/>
        <color indexed="8"/>
        <rFont val="Calibri"/>
        <family val="2"/>
      </rPr>
      <t>- Awp *(LCF)</t>
    </r>
    <r>
      <rPr>
        <vertAlign val="superscript"/>
        <sz val="9"/>
        <color indexed="8"/>
        <rFont val="Calibri"/>
        <family val="2"/>
      </rPr>
      <t>2</t>
    </r>
  </si>
  <si>
    <r>
      <t>2/3*h*</t>
    </r>
    <r>
      <rPr>
        <sz val="9"/>
        <color indexed="8"/>
        <rFont val="Calibri"/>
        <family val="2"/>
      </rPr>
      <t>∑F(I</t>
    </r>
    <r>
      <rPr>
        <vertAlign val="subscript"/>
        <sz val="9"/>
        <color indexed="8"/>
        <rFont val="Calibri"/>
        <family val="2"/>
      </rPr>
      <t>T</t>
    </r>
    <r>
      <rPr>
        <sz val="9"/>
        <color indexed="8"/>
        <rFont val="Calibri"/>
        <family val="2"/>
      </rPr>
      <t>)</t>
    </r>
  </si>
  <si>
    <t>▼</t>
  </si>
  <si>
    <r>
      <t>1/3*h*</t>
    </r>
    <r>
      <rPr>
        <sz val="9"/>
        <color indexed="8"/>
        <rFont val="Calibri"/>
        <family val="2"/>
      </rPr>
      <t>∑</t>
    </r>
    <r>
      <rPr>
        <sz val="9"/>
        <color indexed="8"/>
        <rFont val="Calibri"/>
        <family val="2"/>
      </rPr>
      <t>F(V)</t>
    </r>
  </si>
  <si>
    <t>▲</t>
  </si>
  <si>
    <t>▼*1.006*1.025</t>
  </si>
  <si>
    <r>
      <t>h*</t>
    </r>
    <r>
      <rPr>
        <sz val="9"/>
        <color indexed="8"/>
        <rFont val="Calibri"/>
        <family val="2"/>
      </rPr>
      <t>∑</t>
    </r>
    <r>
      <rPr>
        <sz val="9"/>
        <color indexed="8"/>
        <rFont val="Calibri"/>
        <family val="2"/>
      </rPr>
      <t>F(V)</t>
    </r>
  </si>
  <si>
    <r>
      <t>M</t>
    </r>
    <r>
      <rPr>
        <b/>
        <vertAlign val="subscript"/>
        <sz val="8"/>
        <rFont val="Arial"/>
        <family val="2"/>
      </rPr>
      <t>T</t>
    </r>
  </si>
  <si>
    <r>
      <t>1/3*h*</t>
    </r>
    <r>
      <rPr>
        <sz val="9"/>
        <color indexed="8"/>
        <rFont val="Calibri"/>
        <family val="2"/>
      </rPr>
      <t>∑</t>
    </r>
    <r>
      <rPr>
        <sz val="9"/>
        <color indexed="8"/>
        <rFont val="Calibri"/>
        <family val="2"/>
      </rPr>
      <t>F(M</t>
    </r>
    <r>
      <rPr>
        <vertAlign val="subscript"/>
        <sz val="9"/>
        <color indexed="8"/>
        <rFont val="Calibri"/>
        <family val="2"/>
      </rPr>
      <t>T</t>
    </r>
    <r>
      <rPr>
        <sz val="9"/>
        <color indexed="8"/>
        <rFont val="Calibri"/>
        <family val="2"/>
      </rPr>
      <t>)</t>
    </r>
  </si>
  <si>
    <r>
      <t>M</t>
    </r>
    <r>
      <rPr>
        <b/>
        <vertAlign val="subscript"/>
        <sz val="8"/>
        <rFont val="Arial"/>
        <family val="2"/>
      </rPr>
      <t>L</t>
    </r>
  </si>
  <si>
    <r>
      <t>1/3*h</t>
    </r>
    <r>
      <rPr>
        <vertAlign val="superscript"/>
        <sz val="9"/>
        <color indexed="8"/>
        <rFont val="Calibri"/>
        <family val="2"/>
      </rPr>
      <t>2</t>
    </r>
    <r>
      <rPr>
        <sz val="9"/>
        <color indexed="8"/>
        <rFont val="Calibri"/>
        <family val="2"/>
      </rPr>
      <t>*</t>
    </r>
    <r>
      <rPr>
        <sz val="9"/>
        <color indexed="8"/>
        <rFont val="Calibri"/>
        <family val="2"/>
      </rPr>
      <t>∑</t>
    </r>
    <r>
      <rPr>
        <sz val="9"/>
        <color indexed="8"/>
        <rFont val="Calibri"/>
        <family val="2"/>
      </rPr>
      <t>F(M</t>
    </r>
    <r>
      <rPr>
        <vertAlign val="subscript"/>
        <sz val="9"/>
        <color indexed="8"/>
        <rFont val="Calibri"/>
        <family val="2"/>
      </rPr>
      <t>L</t>
    </r>
    <r>
      <rPr>
        <sz val="9"/>
        <color indexed="8"/>
        <rFont val="Calibri"/>
        <family val="2"/>
      </rPr>
      <t>)</t>
    </r>
  </si>
  <si>
    <r>
      <t>h*</t>
    </r>
    <r>
      <rPr>
        <sz val="9"/>
        <color indexed="8"/>
        <rFont val="Calibri"/>
        <family val="2"/>
      </rPr>
      <t>∑</t>
    </r>
    <r>
      <rPr>
        <sz val="9"/>
        <color indexed="8"/>
        <rFont val="Calibri"/>
        <family val="2"/>
      </rPr>
      <t>F(M</t>
    </r>
    <r>
      <rPr>
        <vertAlign val="subscript"/>
        <sz val="9"/>
        <color indexed="8"/>
        <rFont val="Calibri"/>
        <family val="2"/>
      </rPr>
      <t>T</t>
    </r>
    <r>
      <rPr>
        <sz val="9"/>
        <color indexed="8"/>
        <rFont val="Calibri"/>
        <family val="2"/>
      </rPr>
      <t>)</t>
    </r>
  </si>
  <si>
    <r>
      <t>BM</t>
    </r>
    <r>
      <rPr>
        <b/>
        <vertAlign val="subscript"/>
        <sz val="8"/>
        <rFont val="Arial"/>
        <family val="2"/>
      </rPr>
      <t>L</t>
    </r>
  </si>
  <si>
    <r>
      <t>I</t>
    </r>
    <r>
      <rPr>
        <vertAlign val="subscript"/>
        <sz val="9"/>
        <color indexed="8"/>
        <rFont val="Calibri"/>
        <family val="2"/>
      </rPr>
      <t>F</t>
    </r>
    <r>
      <rPr>
        <sz val="9"/>
        <color indexed="8"/>
        <rFont val="Calibri"/>
        <family val="2"/>
      </rPr>
      <t>/▼</t>
    </r>
  </si>
  <si>
    <r>
      <t>h</t>
    </r>
    <r>
      <rPr>
        <vertAlign val="superscript"/>
        <sz val="9"/>
        <color indexed="8"/>
        <rFont val="Calibri"/>
        <family val="2"/>
      </rPr>
      <t>2</t>
    </r>
    <r>
      <rPr>
        <sz val="9"/>
        <color indexed="8"/>
        <rFont val="Calibri"/>
        <family val="2"/>
      </rPr>
      <t>*</t>
    </r>
    <r>
      <rPr>
        <sz val="9"/>
        <color indexed="8"/>
        <rFont val="Calibri"/>
        <family val="2"/>
      </rPr>
      <t>∑</t>
    </r>
    <r>
      <rPr>
        <sz val="9"/>
        <color indexed="8"/>
        <rFont val="Calibri"/>
        <family val="2"/>
      </rPr>
      <t>F(M</t>
    </r>
    <r>
      <rPr>
        <vertAlign val="subscript"/>
        <sz val="9"/>
        <color indexed="8"/>
        <rFont val="Calibri"/>
        <family val="2"/>
      </rPr>
      <t>L</t>
    </r>
    <r>
      <rPr>
        <sz val="9"/>
        <color indexed="8"/>
        <rFont val="Calibri"/>
        <family val="2"/>
      </rPr>
      <t>)</t>
    </r>
  </si>
  <si>
    <r>
      <t>BM</t>
    </r>
    <r>
      <rPr>
        <b/>
        <vertAlign val="subscript"/>
        <sz val="8"/>
        <rFont val="Arial"/>
        <family val="2"/>
      </rPr>
      <t>T</t>
    </r>
  </si>
  <si>
    <r>
      <t>I</t>
    </r>
    <r>
      <rPr>
        <vertAlign val="subscript"/>
        <sz val="9"/>
        <color indexed="8"/>
        <rFont val="Calibri"/>
        <family val="2"/>
      </rPr>
      <t>T</t>
    </r>
    <r>
      <rPr>
        <sz val="9"/>
        <color indexed="8"/>
        <rFont val="Calibri"/>
        <family val="2"/>
      </rPr>
      <t>/▼</t>
    </r>
  </si>
  <si>
    <t xml:space="preserve">KB </t>
  </si>
  <si>
    <r>
      <t>M</t>
    </r>
    <r>
      <rPr>
        <vertAlign val="subscript"/>
        <sz val="9"/>
        <color indexed="8"/>
        <rFont val="Calibri"/>
        <family val="2"/>
      </rPr>
      <t>T</t>
    </r>
    <r>
      <rPr>
        <sz val="9"/>
        <color indexed="8"/>
        <rFont val="Calibri"/>
        <family val="2"/>
      </rPr>
      <t>/▼</t>
    </r>
  </si>
  <si>
    <r>
      <t>KM</t>
    </r>
    <r>
      <rPr>
        <b/>
        <vertAlign val="subscript"/>
        <sz val="8"/>
        <rFont val="Arial"/>
        <family val="2"/>
      </rPr>
      <t>T</t>
    </r>
  </si>
  <si>
    <r>
      <t>KB+BM</t>
    </r>
    <r>
      <rPr>
        <vertAlign val="subscript"/>
        <sz val="9"/>
        <color indexed="8"/>
        <rFont val="Calibri"/>
        <family val="2"/>
      </rPr>
      <t>T</t>
    </r>
  </si>
  <si>
    <r>
      <t>KM</t>
    </r>
    <r>
      <rPr>
        <b/>
        <vertAlign val="subscript"/>
        <sz val="8"/>
        <rFont val="Arial"/>
        <family val="2"/>
      </rPr>
      <t>L</t>
    </r>
  </si>
  <si>
    <r>
      <t>KB+BM</t>
    </r>
    <r>
      <rPr>
        <vertAlign val="subscript"/>
        <sz val="9"/>
        <color indexed="8"/>
        <rFont val="Calibri"/>
        <family val="2"/>
      </rPr>
      <t>L</t>
    </r>
  </si>
  <si>
    <t>TPC</t>
  </si>
  <si>
    <r>
      <t>A</t>
    </r>
    <r>
      <rPr>
        <vertAlign val="subscript"/>
        <sz val="9"/>
        <color indexed="8"/>
        <rFont val="Calibri"/>
        <family val="2"/>
      </rPr>
      <t>WP</t>
    </r>
    <r>
      <rPr>
        <sz val="9"/>
        <color indexed="8"/>
        <rFont val="Calibri"/>
        <family val="2"/>
      </rPr>
      <t>*ρ/100</t>
    </r>
  </si>
  <si>
    <t>LCB</t>
  </si>
  <si>
    <r>
      <t>M</t>
    </r>
    <r>
      <rPr>
        <vertAlign val="subscript"/>
        <sz val="9"/>
        <color indexed="8"/>
        <rFont val="Calibri"/>
        <family val="2"/>
      </rPr>
      <t>L</t>
    </r>
    <r>
      <rPr>
        <sz val="9"/>
        <color indexed="8"/>
        <rFont val="Calibri"/>
        <family val="2"/>
      </rPr>
      <t>/▼</t>
    </r>
  </si>
  <si>
    <r>
      <t>MCT</t>
    </r>
    <r>
      <rPr>
        <b/>
        <vertAlign val="subscript"/>
        <sz val="10"/>
        <rFont val="Arial"/>
        <family val="2"/>
      </rPr>
      <t>1cm</t>
    </r>
  </si>
  <si>
    <r>
      <t>▲*BM</t>
    </r>
    <r>
      <rPr>
        <vertAlign val="subscript"/>
        <sz val="8"/>
        <color indexed="8"/>
        <rFont val="Calibri"/>
        <family val="2"/>
      </rPr>
      <t>L</t>
    </r>
    <r>
      <rPr>
        <sz val="8"/>
        <color indexed="8"/>
        <rFont val="Calibri"/>
        <family val="2"/>
      </rPr>
      <t>/100*LBP</t>
    </r>
  </si>
  <si>
    <t>Total</t>
  </si>
  <si>
    <t>T</t>
  </si>
  <si>
    <t>t*w</t>
  </si>
  <si>
    <r>
      <t>C</t>
    </r>
    <r>
      <rPr>
        <b/>
        <vertAlign val="subscript"/>
        <sz val="8"/>
        <rFont val="Arial"/>
        <family val="2"/>
      </rPr>
      <t>W</t>
    </r>
  </si>
  <si>
    <r>
      <t>A</t>
    </r>
    <r>
      <rPr>
        <vertAlign val="subscript"/>
        <sz val="9"/>
        <color indexed="8"/>
        <rFont val="Calibri"/>
        <family val="2"/>
      </rPr>
      <t>wp</t>
    </r>
    <r>
      <rPr>
        <sz val="9"/>
        <color indexed="8"/>
        <rFont val="Calibri"/>
        <family val="2"/>
      </rPr>
      <t xml:space="preserve"> /LBP*B</t>
    </r>
  </si>
  <si>
    <r>
      <t>C</t>
    </r>
    <r>
      <rPr>
        <b/>
        <vertAlign val="subscript"/>
        <sz val="8"/>
        <rFont val="Arial"/>
        <family val="2"/>
      </rPr>
      <t>B</t>
    </r>
  </si>
  <si>
    <t>▼/(LBP*B*T)</t>
  </si>
  <si>
    <t>Aft Blank:</t>
  </si>
  <si>
    <r>
      <t>C</t>
    </r>
    <r>
      <rPr>
        <b/>
        <vertAlign val="subscript"/>
        <sz val="8"/>
        <rFont val="Arial"/>
        <family val="2"/>
      </rPr>
      <t>M</t>
    </r>
  </si>
  <si>
    <r>
      <t>A</t>
    </r>
    <r>
      <rPr>
        <vertAlign val="subscript"/>
        <sz val="9"/>
        <color indexed="8"/>
        <rFont val="Calibri"/>
        <family val="2"/>
      </rPr>
      <t>mid</t>
    </r>
    <r>
      <rPr>
        <sz val="9"/>
        <color indexed="8"/>
        <rFont val="Calibri"/>
        <family val="2"/>
      </rPr>
      <t xml:space="preserve"> /B*T</t>
    </r>
  </si>
  <si>
    <t>Fwd Blank:</t>
  </si>
  <si>
    <r>
      <t>C</t>
    </r>
    <r>
      <rPr>
        <b/>
        <vertAlign val="subscript"/>
        <sz val="8"/>
        <rFont val="Arial"/>
        <family val="2"/>
      </rPr>
      <t>P</t>
    </r>
  </si>
  <si>
    <r>
      <t>C</t>
    </r>
    <r>
      <rPr>
        <vertAlign val="subscript"/>
        <sz val="9"/>
        <color indexed="8"/>
        <rFont val="Calibri"/>
        <family val="2"/>
      </rPr>
      <t>B</t>
    </r>
    <r>
      <rPr>
        <sz val="9"/>
        <color indexed="8"/>
        <rFont val="Calibri"/>
        <family val="2"/>
      </rPr>
      <t>/C</t>
    </r>
    <r>
      <rPr>
        <vertAlign val="subscript"/>
        <sz val="9"/>
        <color indexed="8"/>
        <rFont val="Calibri"/>
        <family val="2"/>
      </rPr>
      <t>M</t>
    </r>
  </si>
  <si>
    <t>Station No:</t>
  </si>
  <si>
    <t>Rise of keel:</t>
  </si>
  <si>
    <t>Station_Count:</t>
  </si>
  <si>
    <t>h=</t>
  </si>
  <si>
    <t>UPTO 4TH UWL</t>
  </si>
  <si>
    <t>y</t>
  </si>
  <si>
    <t>Rise of keel calculations</t>
  </si>
  <si>
    <t>Current only</t>
  </si>
  <si>
    <t>Previous</t>
  </si>
  <si>
    <t>Upto current</t>
  </si>
  <si>
    <t>Rise</t>
  </si>
  <si>
    <t>1st_UWL</t>
  </si>
  <si>
    <t>2nd_UWL</t>
  </si>
  <si>
    <t>IF-ve-&gt;trapezoidal</t>
  </si>
  <si>
    <t>3rd_UWL</t>
  </si>
  <si>
    <t>4th_UWL</t>
  </si>
  <si>
    <t>5th_UWL</t>
  </si>
  <si>
    <t>6th_UWL</t>
  </si>
  <si>
    <t>7th_UWL</t>
  </si>
  <si>
    <t>Upto 3rd UWL</t>
  </si>
  <si>
    <t>Area below Ist UWL</t>
  </si>
  <si>
    <t>Area below 2nd UWL</t>
  </si>
  <si>
    <t>Rise….</t>
  </si>
  <si>
    <t>1,4,1 rule</t>
  </si>
  <si>
    <t>5,8,-1 rule</t>
  </si>
  <si>
    <t>Trapezoid</t>
  </si>
  <si>
    <t>Final</t>
  </si>
  <si>
    <t>-</t>
  </si>
  <si>
    <t>Main particulars</t>
  </si>
  <si>
    <t>Rise of Keel</t>
  </si>
  <si>
    <t>Station:</t>
  </si>
  <si>
    <t>Rise (in meters)</t>
  </si>
  <si>
    <t>STN SPACING</t>
  </si>
  <si>
    <t>S</t>
  </si>
  <si>
    <r>
      <t>A</t>
    </r>
    <r>
      <rPr>
        <vertAlign val="subscript"/>
        <sz val="11"/>
        <color theme="1"/>
        <rFont val="Calibri"/>
        <family val="2"/>
        <scheme val="minor"/>
      </rPr>
      <t>MID</t>
    </r>
  </si>
  <si>
    <r>
      <t>A</t>
    </r>
    <r>
      <rPr>
        <vertAlign val="subscript"/>
        <sz val="11"/>
        <color theme="1"/>
        <rFont val="Calibri"/>
        <family val="2"/>
        <scheme val="minor"/>
      </rPr>
      <t>BT</t>
    </r>
  </si>
  <si>
    <t>WL SPACING</t>
  </si>
  <si>
    <t>MCT1cm</t>
  </si>
  <si>
    <r>
      <t>C</t>
    </r>
    <r>
      <rPr>
        <vertAlign val="subscript"/>
        <sz val="11"/>
        <color theme="1"/>
        <rFont val="Calibri"/>
        <family val="2"/>
        <scheme val="minor"/>
      </rPr>
      <t>B</t>
    </r>
  </si>
  <si>
    <r>
      <t>C</t>
    </r>
    <r>
      <rPr>
        <vertAlign val="subscript"/>
        <sz val="11"/>
        <color theme="1"/>
        <rFont val="Calibri"/>
        <family val="2"/>
        <scheme val="minor"/>
      </rPr>
      <t>M</t>
    </r>
  </si>
  <si>
    <r>
      <t>C</t>
    </r>
    <r>
      <rPr>
        <vertAlign val="subscript"/>
        <sz val="11"/>
        <color theme="1"/>
        <rFont val="Calibri"/>
        <family val="2"/>
        <scheme val="minor"/>
      </rPr>
      <t>P</t>
    </r>
  </si>
  <si>
    <t>This workbook may contain errors</t>
  </si>
  <si>
    <t>Please help to correct mistakes, if any</t>
  </si>
  <si>
    <t>STN/WL</t>
  </si>
  <si>
    <t>LWL</t>
  </si>
  <si>
    <t>MDK</t>
  </si>
  <si>
    <t xml:space="preserve">     </t>
  </si>
  <si>
    <t>Hydros</t>
  </si>
  <si>
    <r>
      <t>Select calculation method:</t>
    </r>
    <r>
      <rPr>
        <b/>
        <sz val="9"/>
        <rFont val="Calibri"/>
        <family val="2"/>
      </rPr>
      <t>→</t>
    </r>
  </si>
  <si>
    <t>Use 141 rule only</t>
  </si>
  <si>
    <t>Lines plan Grid</t>
  </si>
  <si>
    <t>Bonjean Grid</t>
  </si>
  <si>
    <t>Bonjean Area</t>
  </si>
  <si>
    <t>Bonjean Moment</t>
  </si>
  <si>
    <t>Hydrostatic Curves</t>
  </si>
  <si>
    <t>No. of buttocks:</t>
  </si>
  <si>
    <t>Station Scale in x:</t>
  </si>
  <si>
    <t>*Station Spacing</t>
  </si>
  <si>
    <t xml:space="preserve">Bonjean Area  Scale:  </t>
  </si>
  <si>
    <t>/</t>
  </si>
  <si>
    <t xml:space="preserve">Bonjean Moment Scale:  </t>
  </si>
  <si>
    <t>Horz. Length:=20x</t>
  </si>
  <si>
    <t>Y-scale of WL:</t>
  </si>
  <si>
    <t>*WL Spacing</t>
  </si>
  <si>
    <t xml:space="preserve">(Preferred/default scale:)  </t>
  </si>
  <si>
    <t xml:space="preserve">Clearance (in %): </t>
  </si>
  <si>
    <t>%</t>
  </si>
  <si>
    <t>Half-breadth splines</t>
  </si>
  <si>
    <t>Body plan splines</t>
  </si>
  <si>
    <t xml:space="preserve"> </t>
  </si>
  <si>
    <t>Hydros Grid</t>
  </si>
  <si>
    <t>X axis: *</t>
  </si>
  <si>
    <t>Select Station:</t>
  </si>
  <si>
    <t>Enter required station number above</t>
  </si>
  <si>
    <r>
      <t>SM</t>
    </r>
    <r>
      <rPr>
        <vertAlign val="subscript"/>
        <sz val="11"/>
        <color theme="1"/>
        <rFont val="Calibri"/>
        <family val="2"/>
        <scheme val="minor"/>
      </rPr>
      <t>1</t>
    </r>
  </si>
  <si>
    <r>
      <t>f(a)=y*SM</t>
    </r>
    <r>
      <rPr>
        <vertAlign val="subscript"/>
        <sz val="11"/>
        <color theme="1"/>
        <rFont val="Calibri"/>
        <family val="2"/>
        <scheme val="minor"/>
      </rPr>
      <t>1</t>
    </r>
  </si>
  <si>
    <r>
      <t>SM</t>
    </r>
    <r>
      <rPr>
        <vertAlign val="subscript"/>
        <sz val="11"/>
        <color theme="1"/>
        <rFont val="Calibri"/>
        <family val="2"/>
        <scheme val="minor"/>
      </rPr>
      <t>2</t>
    </r>
  </si>
  <si>
    <r>
      <t>f(m)=y*SM</t>
    </r>
    <r>
      <rPr>
        <vertAlign val="subscript"/>
        <sz val="11"/>
        <color theme="1"/>
        <rFont val="Calibri"/>
        <family val="2"/>
        <scheme val="minor"/>
      </rPr>
      <t>2</t>
    </r>
  </si>
  <si>
    <t xml:space="preserve">    </t>
  </si>
  <si>
    <t>f(a)*lever</t>
  </si>
  <si>
    <t>Rise to 1st</t>
  </si>
  <si>
    <t>Current</t>
  </si>
  <si>
    <t>Σ=</t>
  </si>
  <si>
    <r>
      <t>TM</t>
    </r>
    <r>
      <rPr>
        <vertAlign val="subscript"/>
        <sz val="11"/>
        <color theme="1"/>
        <rFont val="Calibri"/>
        <family val="2"/>
        <scheme val="minor"/>
      </rPr>
      <t>1</t>
    </r>
  </si>
  <si>
    <r>
      <t>y*TM</t>
    </r>
    <r>
      <rPr>
        <vertAlign val="subscript"/>
        <sz val="11"/>
        <color theme="1"/>
        <rFont val="Calibri"/>
        <family val="2"/>
        <scheme val="minor"/>
      </rPr>
      <t>1</t>
    </r>
  </si>
  <si>
    <r>
      <t>TM</t>
    </r>
    <r>
      <rPr>
        <vertAlign val="subscript"/>
        <sz val="11"/>
        <color theme="1"/>
        <rFont val="Calibri"/>
        <family val="2"/>
        <scheme val="minor"/>
      </rPr>
      <t>2</t>
    </r>
  </si>
  <si>
    <r>
      <t>y*TM</t>
    </r>
    <r>
      <rPr>
        <vertAlign val="subscript"/>
        <sz val="11"/>
        <color theme="1"/>
        <rFont val="Calibri"/>
        <family val="2"/>
        <scheme val="minor"/>
      </rPr>
      <t>2</t>
    </r>
  </si>
  <si>
    <t>Rise to 2nd</t>
  </si>
  <si>
    <t>Rise to 3rd</t>
  </si>
  <si>
    <t>Rise to 4th</t>
  </si>
  <si>
    <t>1st 141</t>
  </si>
  <si>
    <t>1st 58-1</t>
  </si>
  <si>
    <t>1st trapezoid</t>
  </si>
  <si>
    <r>
      <t>f(a)=y*TM</t>
    </r>
    <r>
      <rPr>
        <vertAlign val="subscript"/>
        <sz val="11"/>
        <color theme="1"/>
        <rFont val="Calibri"/>
        <family val="2"/>
        <scheme val="minor"/>
      </rPr>
      <t>1</t>
    </r>
  </si>
  <si>
    <r>
      <t>f(m)=y*TM</t>
    </r>
    <r>
      <rPr>
        <vertAlign val="subscript"/>
        <sz val="11"/>
        <color theme="1"/>
        <rFont val="Calibri"/>
        <family val="2"/>
        <scheme val="minor"/>
      </rPr>
      <t>2</t>
    </r>
  </si>
  <si>
    <t>Hydros Calculations</t>
  </si>
  <si>
    <t>Use 141 and 1331 rules</t>
  </si>
  <si>
    <t>AWP</t>
  </si>
  <si>
    <t>Mmid</t>
  </si>
  <si>
    <r>
      <t>I</t>
    </r>
    <r>
      <rPr>
        <b/>
        <vertAlign val="subscript"/>
        <sz val="8"/>
        <rFont val="Calibri"/>
        <family val="2"/>
        <scheme val="minor"/>
      </rPr>
      <t>L</t>
    </r>
  </si>
  <si>
    <r>
      <rPr>
        <b/>
        <sz val="8"/>
        <rFont val="Calibri"/>
        <family val="2"/>
        <scheme val="minor"/>
      </rPr>
      <t>I</t>
    </r>
    <r>
      <rPr>
        <b/>
        <vertAlign val="subscript"/>
        <sz val="8"/>
        <rFont val="Calibri"/>
        <family val="2"/>
        <scheme val="minor"/>
      </rPr>
      <t>T</t>
    </r>
  </si>
  <si>
    <r>
      <t>I</t>
    </r>
    <r>
      <rPr>
        <b/>
        <vertAlign val="subscript"/>
        <sz val="8"/>
        <rFont val="Calibri"/>
        <family val="2"/>
        <scheme val="minor"/>
      </rPr>
      <t>F</t>
    </r>
  </si>
  <si>
    <r>
      <t>M</t>
    </r>
    <r>
      <rPr>
        <b/>
        <vertAlign val="subscript"/>
        <sz val="8"/>
        <rFont val="Calibri"/>
        <family val="2"/>
        <scheme val="minor"/>
      </rPr>
      <t>T</t>
    </r>
  </si>
  <si>
    <r>
      <t>M</t>
    </r>
    <r>
      <rPr>
        <b/>
        <vertAlign val="subscript"/>
        <sz val="8"/>
        <rFont val="Calibri"/>
        <family val="2"/>
        <scheme val="minor"/>
      </rPr>
      <t>L</t>
    </r>
  </si>
  <si>
    <r>
      <t>BM</t>
    </r>
    <r>
      <rPr>
        <b/>
        <vertAlign val="subscript"/>
        <sz val="8"/>
        <rFont val="Calibri"/>
        <family val="2"/>
        <scheme val="minor"/>
      </rPr>
      <t>L</t>
    </r>
  </si>
  <si>
    <r>
      <t>I</t>
    </r>
    <r>
      <rPr>
        <vertAlign val="subscript"/>
        <sz val="8"/>
        <color indexed="8"/>
        <rFont val="Calibri"/>
        <family val="2"/>
      </rPr>
      <t>F</t>
    </r>
    <r>
      <rPr>
        <sz val="8"/>
        <color indexed="8"/>
        <rFont val="Calibri"/>
        <family val="2"/>
      </rPr>
      <t>/▼</t>
    </r>
  </si>
  <si>
    <r>
      <t>BM</t>
    </r>
    <r>
      <rPr>
        <b/>
        <vertAlign val="subscript"/>
        <sz val="8"/>
        <rFont val="Calibri"/>
        <family val="2"/>
        <scheme val="minor"/>
      </rPr>
      <t>T</t>
    </r>
  </si>
  <si>
    <r>
      <t>I</t>
    </r>
    <r>
      <rPr>
        <vertAlign val="subscript"/>
        <sz val="8"/>
        <color indexed="8"/>
        <rFont val="Calibri"/>
        <family val="2"/>
      </rPr>
      <t>T</t>
    </r>
    <r>
      <rPr>
        <sz val="8"/>
        <color indexed="8"/>
        <rFont val="Calibri"/>
        <family val="2"/>
      </rPr>
      <t>/▼</t>
    </r>
  </si>
  <si>
    <r>
      <t>M</t>
    </r>
    <r>
      <rPr>
        <vertAlign val="subscript"/>
        <sz val="8"/>
        <color indexed="8"/>
        <rFont val="Calibri"/>
        <family val="2"/>
      </rPr>
      <t>T</t>
    </r>
    <r>
      <rPr>
        <sz val="8"/>
        <color indexed="8"/>
        <rFont val="Calibri"/>
        <family val="2"/>
      </rPr>
      <t>/▼</t>
    </r>
  </si>
  <si>
    <r>
      <t>KM</t>
    </r>
    <r>
      <rPr>
        <b/>
        <vertAlign val="subscript"/>
        <sz val="8"/>
        <rFont val="Calibri"/>
        <family val="2"/>
        <scheme val="minor"/>
      </rPr>
      <t>T</t>
    </r>
  </si>
  <si>
    <r>
      <t>KB+BM</t>
    </r>
    <r>
      <rPr>
        <vertAlign val="subscript"/>
        <sz val="8"/>
        <color indexed="8"/>
        <rFont val="Calibri"/>
        <family val="2"/>
      </rPr>
      <t>T</t>
    </r>
  </si>
  <si>
    <r>
      <t>KM</t>
    </r>
    <r>
      <rPr>
        <b/>
        <vertAlign val="subscript"/>
        <sz val="8"/>
        <rFont val="Calibri"/>
        <family val="2"/>
        <scheme val="minor"/>
      </rPr>
      <t>L</t>
    </r>
  </si>
  <si>
    <r>
      <t>KB+BM</t>
    </r>
    <r>
      <rPr>
        <vertAlign val="subscript"/>
        <sz val="8"/>
        <color indexed="8"/>
        <rFont val="Calibri"/>
        <family val="2"/>
      </rPr>
      <t>L</t>
    </r>
  </si>
  <si>
    <r>
      <t>A</t>
    </r>
    <r>
      <rPr>
        <vertAlign val="subscript"/>
        <sz val="8"/>
        <color indexed="8"/>
        <rFont val="Calibri"/>
        <family val="2"/>
      </rPr>
      <t>WP</t>
    </r>
    <r>
      <rPr>
        <sz val="8"/>
        <color indexed="8"/>
        <rFont val="Calibri"/>
        <family val="2"/>
      </rPr>
      <t>*ρ/100</t>
    </r>
  </si>
  <si>
    <r>
      <t>M</t>
    </r>
    <r>
      <rPr>
        <vertAlign val="subscript"/>
        <sz val="8"/>
        <color indexed="8"/>
        <rFont val="Calibri"/>
        <family val="2"/>
      </rPr>
      <t>L</t>
    </r>
    <r>
      <rPr>
        <sz val="8"/>
        <color indexed="8"/>
        <rFont val="Calibri"/>
        <family val="2"/>
      </rPr>
      <t>/▼</t>
    </r>
  </si>
  <si>
    <r>
      <t>MCT</t>
    </r>
    <r>
      <rPr>
        <b/>
        <vertAlign val="subscript"/>
        <sz val="8"/>
        <rFont val="Calibri"/>
        <family val="2"/>
        <scheme val="minor"/>
      </rPr>
      <t>1cm</t>
    </r>
  </si>
  <si>
    <r>
      <t>C</t>
    </r>
    <r>
      <rPr>
        <b/>
        <vertAlign val="subscript"/>
        <sz val="8"/>
        <rFont val="Calibri"/>
        <family val="2"/>
        <scheme val="minor"/>
      </rPr>
      <t>W</t>
    </r>
  </si>
  <si>
    <r>
      <t>A</t>
    </r>
    <r>
      <rPr>
        <vertAlign val="subscript"/>
        <sz val="8"/>
        <color indexed="8"/>
        <rFont val="Calibri"/>
        <family val="2"/>
      </rPr>
      <t>wp</t>
    </r>
    <r>
      <rPr>
        <sz val="8"/>
        <color indexed="8"/>
        <rFont val="Calibri"/>
        <family val="2"/>
      </rPr>
      <t xml:space="preserve"> /LBP*B</t>
    </r>
  </si>
  <si>
    <r>
      <t>C</t>
    </r>
    <r>
      <rPr>
        <b/>
        <vertAlign val="subscript"/>
        <sz val="8"/>
        <rFont val="Calibri"/>
        <family val="2"/>
        <scheme val="minor"/>
      </rPr>
      <t>B</t>
    </r>
  </si>
  <si>
    <r>
      <t>C</t>
    </r>
    <r>
      <rPr>
        <b/>
        <vertAlign val="subscript"/>
        <sz val="8"/>
        <rFont val="Calibri"/>
        <family val="2"/>
        <scheme val="minor"/>
      </rPr>
      <t>M</t>
    </r>
  </si>
  <si>
    <r>
      <t>A</t>
    </r>
    <r>
      <rPr>
        <vertAlign val="subscript"/>
        <sz val="8"/>
        <color indexed="8"/>
        <rFont val="Calibri"/>
        <family val="2"/>
      </rPr>
      <t>mid</t>
    </r>
    <r>
      <rPr>
        <sz val="8"/>
        <color indexed="8"/>
        <rFont val="Calibri"/>
        <family val="2"/>
      </rPr>
      <t xml:space="preserve"> /B*T</t>
    </r>
  </si>
  <si>
    <r>
      <t>C</t>
    </r>
    <r>
      <rPr>
        <b/>
        <vertAlign val="subscript"/>
        <sz val="8"/>
        <rFont val="Calibri"/>
        <family val="2"/>
        <scheme val="minor"/>
      </rPr>
      <t>P</t>
    </r>
  </si>
  <si>
    <r>
      <t>C</t>
    </r>
    <r>
      <rPr>
        <vertAlign val="subscript"/>
        <sz val="8"/>
        <color indexed="8"/>
        <rFont val="Calibri"/>
        <family val="2"/>
      </rPr>
      <t>B</t>
    </r>
    <r>
      <rPr>
        <sz val="8"/>
        <color indexed="8"/>
        <rFont val="Calibri"/>
        <family val="2"/>
      </rPr>
      <t>/C</t>
    </r>
    <r>
      <rPr>
        <vertAlign val="subscript"/>
        <sz val="8"/>
        <color indexed="8"/>
        <rFont val="Calibri"/>
        <family val="2"/>
      </rPr>
      <t>M</t>
    </r>
  </si>
  <si>
    <t>Lwl, mdk corrected-----&gt;</t>
  </si>
  <si>
    <t>12751 IS THE MAX CONCATENATED TEXT</t>
  </si>
  <si>
    <t>(Entry check)</t>
  </si>
  <si>
    <t>Shallow-water resistance calculations</t>
  </si>
  <si>
    <t>Splines Bonjean/Scale Calculation</t>
  </si>
  <si>
    <t>Bulbous bow:</t>
  </si>
  <si>
    <t>Offset</t>
  </si>
  <si>
    <t>Velocity (in knots)</t>
  </si>
  <si>
    <t xml:space="preserve">LBP, </t>
  </si>
  <si>
    <t>Shallow water depth</t>
  </si>
  <si>
    <t xml:space="preserve">Breadth, </t>
  </si>
  <si>
    <t xml:space="preserve">Depth, </t>
  </si>
  <si>
    <t>Entry check statement:</t>
  </si>
  <si>
    <t>Total Grids To Concatenate</t>
  </si>
  <si>
    <t>half breadth</t>
  </si>
  <si>
    <t xml:space="preserve">Draft, </t>
  </si>
  <si>
    <t>y shift:</t>
  </si>
  <si>
    <t>body plan</t>
  </si>
  <si>
    <t/>
  </si>
  <si>
    <t xml:space="preserve">Waterline Spacing, </t>
  </si>
  <si>
    <t>Horizontal lines</t>
  </si>
  <si>
    <t>Diagonal</t>
  </si>
  <si>
    <t>X SHIFT:</t>
  </si>
  <si>
    <t>Vertical</t>
  </si>
  <si>
    <t>profile</t>
  </si>
  <si>
    <t>Central</t>
  </si>
  <si>
    <t>CL:</t>
  </si>
  <si>
    <t>KEEL</t>
  </si>
  <si>
    <t>No. of Buttocks(excluding CL and endline)</t>
  </si>
  <si>
    <t>n=</t>
  </si>
  <si>
    <t>Transpose of wl  No.s</t>
  </si>
  <si>
    <t>Vertical lines</t>
  </si>
  <si>
    <t>Left</t>
  </si>
  <si>
    <t>Right</t>
  </si>
  <si>
    <t>Horizontal Lines</t>
  </si>
  <si>
    <t>Main Particulars</t>
  </si>
  <si>
    <t>Form Controls</t>
  </si>
  <si>
    <t>No. of long. Divisions</t>
  </si>
  <si>
    <t>Max. WL count</t>
  </si>
  <si>
    <t>Max. STN count</t>
  </si>
  <si>
    <t xml:space="preserve">   </t>
  </si>
  <si>
    <t>CL</t>
  </si>
  <si>
    <t>x</t>
  </si>
  <si>
    <t>Hydros scaled</t>
  </si>
  <si>
    <t>Scale Factor</t>
  </si>
  <si>
    <t>Box:</t>
  </si>
  <si>
    <t>x origin</t>
  </si>
  <si>
    <t>Draft</t>
  </si>
  <si>
    <r>
      <t>A</t>
    </r>
    <r>
      <rPr>
        <vertAlign val="subscript"/>
        <sz val="11"/>
        <color rgb="FF000000"/>
        <rFont val="Calibri"/>
        <family val="2"/>
        <scheme val="minor"/>
      </rPr>
      <t>WP</t>
    </r>
  </si>
  <si>
    <r>
      <t>M</t>
    </r>
    <r>
      <rPr>
        <vertAlign val="subscript"/>
        <sz val="11"/>
        <color rgb="FF000000"/>
        <rFont val="Calibri"/>
        <family val="2"/>
        <scheme val="minor"/>
      </rPr>
      <t>Mid</t>
    </r>
  </si>
  <si>
    <r>
      <t>I</t>
    </r>
    <r>
      <rPr>
        <vertAlign val="subscript"/>
        <sz val="8"/>
        <color theme="1"/>
        <rFont val="Arial"/>
        <family val="2"/>
      </rPr>
      <t>L</t>
    </r>
  </si>
  <si>
    <t>Body plan</t>
  </si>
  <si>
    <t>Body plan Splines</t>
  </si>
  <si>
    <r>
      <t>I</t>
    </r>
    <r>
      <rPr>
        <vertAlign val="subscript"/>
        <sz val="8"/>
        <color theme="1"/>
        <rFont val="Arial"/>
        <family val="2"/>
      </rPr>
      <t>T</t>
    </r>
  </si>
  <si>
    <r>
      <t>I</t>
    </r>
    <r>
      <rPr>
        <vertAlign val="subscript"/>
        <sz val="8"/>
        <color theme="1"/>
        <rFont val="Arial"/>
        <family val="2"/>
      </rPr>
      <t>F</t>
    </r>
  </si>
  <si>
    <r>
      <t>M</t>
    </r>
    <r>
      <rPr>
        <vertAlign val="subscript"/>
        <sz val="8"/>
        <color theme="1"/>
        <rFont val="Arial"/>
        <family val="2"/>
      </rPr>
      <t>T</t>
    </r>
  </si>
  <si>
    <r>
      <t>M</t>
    </r>
    <r>
      <rPr>
        <vertAlign val="subscript"/>
        <sz val="8"/>
        <color theme="1"/>
        <rFont val="Arial"/>
        <family val="2"/>
      </rPr>
      <t>L</t>
    </r>
  </si>
  <si>
    <r>
      <t>BM</t>
    </r>
    <r>
      <rPr>
        <vertAlign val="subscript"/>
        <sz val="8"/>
        <color theme="1"/>
        <rFont val="Arial"/>
        <family val="2"/>
      </rPr>
      <t>L</t>
    </r>
  </si>
  <si>
    <r>
      <t>BM</t>
    </r>
    <r>
      <rPr>
        <vertAlign val="subscript"/>
        <sz val="8"/>
        <color theme="1"/>
        <rFont val="Arial"/>
        <family val="2"/>
      </rPr>
      <t>T</t>
    </r>
  </si>
  <si>
    <r>
      <t>KM</t>
    </r>
    <r>
      <rPr>
        <vertAlign val="subscript"/>
        <sz val="8"/>
        <color theme="1"/>
        <rFont val="Arial"/>
        <family val="2"/>
      </rPr>
      <t>T</t>
    </r>
  </si>
  <si>
    <r>
      <t>KM</t>
    </r>
    <r>
      <rPr>
        <vertAlign val="subscript"/>
        <sz val="8"/>
        <color theme="1"/>
        <rFont val="Arial"/>
        <family val="2"/>
      </rPr>
      <t>L</t>
    </r>
  </si>
  <si>
    <r>
      <t>MCT</t>
    </r>
    <r>
      <rPr>
        <vertAlign val="subscript"/>
        <sz val="8"/>
        <color theme="1"/>
        <rFont val="Arial"/>
        <family val="2"/>
      </rPr>
      <t>1cm</t>
    </r>
  </si>
  <si>
    <r>
      <t>C</t>
    </r>
    <r>
      <rPr>
        <vertAlign val="subscript"/>
        <sz val="8"/>
        <color theme="1"/>
        <rFont val="Arial"/>
        <family val="2"/>
      </rPr>
      <t>W</t>
    </r>
  </si>
  <si>
    <r>
      <t>C</t>
    </r>
    <r>
      <rPr>
        <vertAlign val="subscript"/>
        <sz val="8"/>
        <color theme="1"/>
        <rFont val="Arial"/>
        <family val="2"/>
      </rPr>
      <t>B</t>
    </r>
  </si>
  <si>
    <r>
      <t>C</t>
    </r>
    <r>
      <rPr>
        <vertAlign val="subscript"/>
        <sz val="8"/>
        <color theme="1"/>
        <rFont val="Arial"/>
        <family val="2"/>
      </rPr>
      <t>M</t>
    </r>
  </si>
  <si>
    <r>
      <t>C</t>
    </r>
    <r>
      <rPr>
        <vertAlign val="subscript"/>
        <sz val="8"/>
        <color theme="1"/>
        <rFont val="Arial"/>
        <family val="2"/>
      </rPr>
      <t>P</t>
    </r>
  </si>
  <si>
    <t>IL</t>
  </si>
  <si>
    <t>IT</t>
  </si>
  <si>
    <t>IF</t>
  </si>
  <si>
    <t>MT</t>
  </si>
  <si>
    <t>Half Breadth Plan</t>
  </si>
  <si>
    <t>Half breadth Plan Splines</t>
  </si>
  <si>
    <t>ML</t>
  </si>
  <si>
    <t>BML</t>
  </si>
  <si>
    <t>BMT</t>
  </si>
  <si>
    <t>KMT</t>
  </si>
  <si>
    <t>KML</t>
  </si>
  <si>
    <t>CW</t>
  </si>
  <si>
    <t>CB</t>
  </si>
  <si>
    <t>CM</t>
  </si>
  <si>
    <t>CP</t>
  </si>
  <si>
    <t>2nd Origin</t>
  </si>
  <si>
    <t>end</t>
  </si>
  <si>
    <t>RISE CALCULATIONS</t>
  </si>
  <si>
    <t>Bonjean Area Spline</t>
  </si>
  <si>
    <t>Bonjean Moment Spline</t>
  </si>
  <si>
    <t>Bonjean Area Scale:</t>
  </si>
  <si>
    <t>*</t>
  </si>
  <si>
    <t>Bonjean Moment Scale:</t>
  </si>
  <si>
    <t xml:space="preserve">Choose method: </t>
  </si>
  <si>
    <t>Enter offset here: (in blue cells)</t>
  </si>
  <si>
    <t xml:space="preserve">#RoyalShippies </t>
  </si>
  <si>
    <t>#CUSAT</t>
  </si>
  <si>
    <t>Max of wl=</t>
  </si>
  <si>
    <t xml:space="preserve">1. Paste offset in the "Offset" tab, in the blue cells, with columns representing each waterline and rows for each stations. </t>
  </si>
  <si>
    <t xml:space="preserve">2. Enter main particulars in the "Main" tab. </t>
  </si>
  <si>
    <t xml:space="preserve">(Note: Always remember to clear/update rise of keel data when required.) </t>
  </si>
  <si>
    <t xml:space="preserve">4. Try to use the initial copy of excel sheet each time, to avoid change of format of cells on copy/cut&amp;paste. </t>
  </si>
  <si>
    <t>Fairing/correction of offset data</t>
  </si>
  <si>
    <t>Hydrostatic &amp; Bonjean data tables &amp; charts</t>
  </si>
  <si>
    <t xml:space="preserve">Tables of Bonjean area, Bonjean moment and Hydrostatic data are shown in "Area", "Moment" and "Hydros" tabs respectively, with concerned curve charts. </t>
  </si>
  <si>
    <t>Display of calculations</t>
  </si>
  <si>
    <t>Auto-CAD</t>
  </si>
  <si>
    <t xml:space="preserve">Bonjean calculation for each station and Hydrostatic calculations for each waterlines can be seen from "Bonjean Calc" and </t>
  </si>
  <si>
    <t xml:space="preserve"> "Hydros Calc" tabs respectively, by choosing required station/waterline from drop-down menu. </t>
  </si>
  <si>
    <t>Directions for use:</t>
  </si>
  <si>
    <t xml:space="preserve">#  Number of buttocks and scales of each plans/charts are to be given. </t>
  </si>
  <si>
    <t>Please forward your valuable suggestions/corrections.</t>
  </si>
  <si>
    <t>←Click here for drop-down menu</t>
  </si>
  <si>
    <t>Choose Waterline:</t>
  </si>
  <si>
    <t xml:space="preserve">    (LBP,B, WL spacing, D and then T)</t>
  </si>
  <si>
    <t>1. Enter offset first</t>
  </si>
  <si>
    <t>2. Then enter the main particulars in order</t>
  </si>
  <si>
    <t>3. Don’t forget to update/clear Rise of keel data</t>
  </si>
  <si>
    <t>Just removed</t>
  </si>
  <si>
    <t>Copy Links:</t>
  </si>
  <si>
    <t xml:space="preserve">   Plans may not be smooth enough as available in CAD.</t>
  </si>
  <si>
    <t xml:space="preserve">Body plan and halfbreadth plan are displayed in the "Offset" tab, which may be helpful to correct offset data or fairing it to a little extent. </t>
  </si>
  <si>
    <t>Long. Pos. m</t>
  </si>
  <si>
    <t>Offset m</t>
  </si>
  <si>
    <t>Height m</t>
  </si>
  <si>
    <t>No. of markers:</t>
  </si>
  <si>
    <t>Station Ind</t>
  </si>
  <si>
    <t>Abdul Rahim O M</t>
  </si>
  <si>
    <t>Maxsurf</t>
  </si>
  <si>
    <t>Maxsurf tab shows the table of marker points (to be copied to Maxsurf Modeller.)</t>
  </si>
  <si>
    <t>Total no. of markers is also displayed there (required in Maxsurf.)</t>
  </si>
  <si>
    <t>Buttons to copy</t>
  </si>
  <si>
    <t xml:space="preserve">Buttons to copy each set of commands (to paste it directly in CAD command box) are available in the same CAD tab, under "Copy links" section. </t>
  </si>
  <si>
    <t xml:space="preserve">3. If necessary, enter the rise of keel for each stations (in meters), in the concerned table in "Offset" tab. Leave blank otherwise. </t>
  </si>
  <si>
    <t>abdulrahimom@outlook.com</t>
  </si>
  <si>
    <t>Concatenated</t>
  </si>
  <si>
    <t xml:space="preserve">0,-0.9,8 0,-2.59,9.7 0,-2.82,10 0,-3.82,12 0,-4.24,13 </t>
  </si>
  <si>
    <t>Spline 0,4.24,13 0,3.82,12 0,2.82,10 0,2.59,9.7 0,0.9,8 0,0,7</t>
  </si>
  <si>
    <t xml:space="preserve">Spline -10,0,0 -20,0,0 t  </t>
  </si>
  <si>
    <t>Use 141 and 1331 rules, Autoadjust LWL</t>
  </si>
  <si>
    <t>Use 141 rule only, Take LBP for LWL</t>
  </si>
  <si>
    <t>Rhinoceros Copy Links:</t>
  </si>
  <si>
    <t>(Works only in perspective mode)</t>
  </si>
  <si>
    <t>SelAll Loft SelAll Mirror x</t>
  </si>
  <si>
    <t>Degree of curves:</t>
  </si>
  <si>
    <t>(Preferred degree=3)</t>
  </si>
  <si>
    <t># CAD tab shows spline/line commands to use in Autocad to draw Hull in 3D, Linesplan grid, Body plan, Halfbreadth plan, Bonjean curves and the grid for that, etc..</t>
  </si>
  <si>
    <t>#  Copy the required set of cells and paste it in the command box in Auto-CAD or use buttons.</t>
  </si>
  <si>
    <t># Hull 3D button can be used to build a 3D hull from offset data. (doesnot include data/hull from stem and stern offset)</t>
  </si>
  <si>
    <t>#  Splines for hydrostatic curves may not be helpful, so removed in this version. ( as each curves are drawn without labels, making it undistinguishable, and less pleasing in look. )</t>
  </si>
  <si>
    <t>Rhinoceros</t>
  </si>
  <si>
    <t># CAD tab shows command button to use in Rhinoceros to draw Hull in 3D.</t>
  </si>
  <si>
    <t># Degree of curves should be entered in the cellprovided. (below the button)</t>
  </si>
  <si>
    <t># Degree of 3 is preferred, higher degrees cause less smooth/faired curves.</t>
  </si>
  <si>
    <t>CREATED BY,</t>
  </si>
  <si>
    <t>ABDUL RAHIM O M</t>
  </si>
  <si>
    <t>Credits</t>
  </si>
  <si>
    <t>Really, Royal is an old term. Too late ….</t>
  </si>
  <si>
    <t>Kiran S</t>
  </si>
  <si>
    <t>#CommonShippiez</t>
  </si>
  <si>
    <t>Najih C H</t>
  </si>
  <si>
    <t>#Shippiez</t>
  </si>
  <si>
    <t>Abdul Basith K P</t>
  </si>
  <si>
    <t>#Siberia</t>
  </si>
  <si>
    <t>Mohamed Rashid P</t>
  </si>
  <si>
    <t>and AlL others</t>
  </si>
  <si>
    <t>Reference:</t>
  </si>
  <si>
    <t>PNA</t>
  </si>
  <si>
    <t>Related excel workbooks created by seniors</t>
  </si>
  <si>
    <t>Teachers and classmates</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</si>
</sst>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00"/>
  </numFmts>
  <fonts count="110" x14ac:knownFonts="1">
    <font>
      <sz val="11"/>
      <color theme="1"/>
      <name val="Calibri"/>
      <family val="2"/>
      <scheme val="minor"/>
    </font>
    <font>
      <sz val="11"/>
      <color theme="1"/>
      <name val="Calibri"/>
      <family val="2"/>
      <scheme val="minor"/>
    </font>
    <font>
      <sz val="11"/>
      <color rgb="FFFF0000"/>
      <name val="Calibri"/>
      <family val="2"/>
      <scheme val="minor"/>
    </font>
    <font>
      <b/>
      <sz val="11"/>
      <color theme="1"/>
      <name val="Calibri"/>
      <family val="2"/>
      <scheme val="minor"/>
    </font>
    <font>
      <sz val="11"/>
      <color theme="0"/>
      <name val="Calibri"/>
      <family val="2"/>
      <scheme val="minor"/>
    </font>
    <font>
      <b/>
      <sz val="11"/>
      <color theme="1"/>
      <name val="Calibri"/>
      <family val="2"/>
    </font>
    <font>
      <b/>
      <sz val="6"/>
      <color theme="1"/>
      <name val="Calibri"/>
      <family val="2"/>
      <scheme val="minor"/>
    </font>
    <font>
      <b/>
      <sz val="10"/>
      <name val="Arial"/>
      <family val="2"/>
    </font>
    <font>
      <sz val="10"/>
      <name val="Calibri"/>
      <family val="2"/>
    </font>
    <font>
      <sz val="11"/>
      <color theme="1"/>
      <name val="Times New Roman"/>
      <family val="1"/>
    </font>
    <font>
      <b/>
      <sz val="11"/>
      <color rgb="FFC00000"/>
      <name val="Calibri"/>
      <family val="2"/>
      <scheme val="minor"/>
    </font>
    <font>
      <sz val="11"/>
      <color rgb="FFC00000"/>
      <name val="Calibri"/>
      <family val="2"/>
      <scheme val="minor"/>
    </font>
    <font>
      <b/>
      <vertAlign val="subscript"/>
      <sz val="8"/>
      <name val="Arial"/>
      <family val="2"/>
    </font>
    <font>
      <sz val="8"/>
      <color theme="1"/>
      <name val="Calibri"/>
      <family val="2"/>
      <scheme val="minor"/>
    </font>
    <font>
      <sz val="9"/>
      <color theme="1"/>
      <name val="Calibri"/>
      <family val="2"/>
      <scheme val="minor"/>
    </font>
    <font>
      <sz val="9"/>
      <color indexed="8"/>
      <name val="Calibri"/>
      <family val="2"/>
    </font>
    <font>
      <vertAlign val="superscript"/>
      <sz val="9"/>
      <color indexed="8"/>
      <name val="Calibri"/>
      <family val="2"/>
    </font>
    <font>
      <b/>
      <sz val="8"/>
      <name val="Arial"/>
      <family val="2"/>
    </font>
    <font>
      <vertAlign val="subscript"/>
      <sz val="9"/>
      <color indexed="8"/>
      <name val="Calibri"/>
      <family val="2"/>
    </font>
    <font>
      <b/>
      <vertAlign val="superscript"/>
      <sz val="8"/>
      <name val="Arial"/>
      <family val="2"/>
    </font>
    <font>
      <b/>
      <vertAlign val="subscript"/>
      <sz val="10"/>
      <name val="Arial"/>
      <family val="2"/>
    </font>
    <font>
      <vertAlign val="subscript"/>
      <sz val="8"/>
      <color indexed="8"/>
      <name val="Calibri"/>
      <family val="2"/>
    </font>
    <font>
      <sz val="8"/>
      <color indexed="8"/>
      <name val="Calibri"/>
      <family val="2"/>
    </font>
    <font>
      <sz val="11"/>
      <name val="Calibri"/>
      <family val="2"/>
      <scheme val="minor"/>
    </font>
    <font>
      <sz val="11"/>
      <color theme="3"/>
      <name val="Calibri"/>
      <family val="2"/>
      <scheme val="minor"/>
    </font>
    <font>
      <sz val="11"/>
      <color theme="4" tint="-0.249977111117893"/>
      <name val="Calibri"/>
      <family val="2"/>
      <scheme val="minor"/>
    </font>
    <font>
      <sz val="11"/>
      <color rgb="FF00B050"/>
      <name val="Calibri"/>
      <family val="2"/>
      <scheme val="minor"/>
    </font>
    <font>
      <sz val="11"/>
      <color theme="4" tint="0.39997558519241921"/>
      <name val="Calibri"/>
      <family val="2"/>
      <scheme val="minor"/>
    </font>
    <font>
      <sz val="11"/>
      <color rgb="FF00B0F0"/>
      <name val="Calibri"/>
      <family val="2"/>
      <scheme val="minor"/>
    </font>
    <font>
      <i/>
      <vertAlign val="superscript"/>
      <sz val="10"/>
      <color rgb="FF16365C"/>
      <name val="Calibri"/>
      <family val="2"/>
    </font>
    <font>
      <sz val="20"/>
      <color theme="1"/>
      <name val="Calibri"/>
      <family val="2"/>
      <scheme val="minor"/>
    </font>
    <font>
      <sz val="11"/>
      <name val="Calibri"/>
      <family val="2"/>
    </font>
    <font>
      <vertAlign val="subscript"/>
      <sz val="11"/>
      <color theme="1"/>
      <name val="Calibri"/>
      <family val="2"/>
      <scheme val="minor"/>
    </font>
    <font>
      <sz val="11"/>
      <color theme="1"/>
      <name val="Berlin Sans FB"/>
      <family val="2"/>
    </font>
    <font>
      <sz val="11"/>
      <color theme="1"/>
      <name val="Calibri"/>
      <family val="2"/>
    </font>
    <font>
      <sz val="8"/>
      <color theme="1"/>
      <name val="Cambria"/>
      <family val="1"/>
      <scheme val="major"/>
    </font>
    <font>
      <sz val="11"/>
      <color theme="1"/>
      <name val="BankGothic Lt BT"/>
      <family val="2"/>
    </font>
    <font>
      <sz val="11"/>
      <color theme="1"/>
      <name val="Goudy Old Style"/>
      <family val="1"/>
    </font>
    <font>
      <i/>
      <sz val="10"/>
      <color rgb="FF16365C"/>
      <name val="Calibri"/>
      <family val="2"/>
      <scheme val="minor"/>
    </font>
    <font>
      <b/>
      <sz val="11"/>
      <color rgb="FF000000"/>
      <name val="Calibri"/>
      <family val="2"/>
    </font>
    <font>
      <b/>
      <sz val="18"/>
      <color theme="1"/>
      <name val="Calibri"/>
      <family val="2"/>
      <scheme val="minor"/>
    </font>
    <font>
      <b/>
      <sz val="18"/>
      <color rgb="FFFF0000"/>
      <name val="Calibri"/>
      <family val="2"/>
      <scheme val="minor"/>
    </font>
    <font>
      <b/>
      <sz val="9"/>
      <color theme="1"/>
      <name val="Calibri"/>
      <family val="2"/>
      <scheme val="minor"/>
    </font>
    <font>
      <b/>
      <sz val="9"/>
      <color rgb="FFFF0000"/>
      <name val="Calibri"/>
      <family val="2"/>
      <scheme val="minor"/>
    </font>
    <font>
      <b/>
      <sz val="9"/>
      <name val="Calibri"/>
      <family val="2"/>
      <scheme val="minor"/>
    </font>
    <font>
      <b/>
      <sz val="9"/>
      <name val="Calibri"/>
      <family val="2"/>
    </font>
    <font>
      <sz val="8"/>
      <color rgb="FF000000"/>
      <name val="Calibri"/>
      <family val="2"/>
      <scheme val="minor"/>
    </font>
    <font>
      <sz val="8"/>
      <color theme="1"/>
      <name val="Arial"/>
      <family val="2"/>
    </font>
    <font>
      <b/>
      <sz val="12"/>
      <color theme="4" tint="-0.249977111117893"/>
      <name val="Calibri"/>
      <family val="2"/>
      <scheme val="minor"/>
    </font>
    <font>
      <sz val="12"/>
      <color theme="1"/>
      <name val="Calibri"/>
      <family val="2"/>
      <scheme val="minor"/>
    </font>
    <font>
      <sz val="14"/>
      <color theme="1"/>
      <name val="Calibri"/>
      <family val="2"/>
      <scheme val="minor"/>
    </font>
    <font>
      <sz val="12"/>
      <color theme="0" tint="-0.499984740745262"/>
      <name val="Calibri"/>
      <family val="2"/>
      <scheme val="minor"/>
    </font>
    <font>
      <b/>
      <sz val="11"/>
      <name val="Calibri"/>
      <family val="2"/>
      <scheme val="minor"/>
    </font>
    <font>
      <b/>
      <sz val="16"/>
      <color theme="4" tint="-0.249977111117893"/>
      <name val="Calibri"/>
      <family val="2"/>
      <scheme val="minor"/>
    </font>
    <font>
      <b/>
      <sz val="14"/>
      <color theme="1"/>
      <name val="Calibri"/>
      <family val="2"/>
      <scheme val="minor"/>
    </font>
    <font>
      <sz val="11"/>
      <color rgb="FFFFC000"/>
      <name val="Calibri"/>
      <family val="2"/>
      <scheme val="minor"/>
    </font>
    <font>
      <b/>
      <u/>
      <sz val="14"/>
      <color theme="1"/>
      <name val="Calibri"/>
      <family val="2"/>
      <scheme val="minor"/>
    </font>
    <font>
      <sz val="8"/>
      <color theme="2" tint="-0.499984740745262"/>
      <name val="Calibri"/>
      <family val="2"/>
      <scheme val="minor"/>
    </font>
    <font>
      <b/>
      <sz val="10"/>
      <color theme="1"/>
      <name val="Calibri"/>
      <family val="2"/>
      <scheme val="minor"/>
    </font>
    <font>
      <b/>
      <sz val="8"/>
      <color theme="1"/>
      <name val="Calibri"/>
      <family val="2"/>
      <scheme val="minor"/>
    </font>
    <font>
      <b/>
      <sz val="8"/>
      <name val="Calibri"/>
      <family val="2"/>
      <scheme val="minor"/>
    </font>
    <font>
      <sz val="8"/>
      <name val="Calibri"/>
      <family val="2"/>
      <scheme val="minor"/>
    </font>
    <font>
      <b/>
      <vertAlign val="subscript"/>
      <sz val="8"/>
      <name val="Calibri"/>
      <family val="2"/>
      <scheme val="minor"/>
    </font>
    <font>
      <b/>
      <vertAlign val="superscript"/>
      <sz val="8"/>
      <name val="Calibri"/>
      <family val="2"/>
      <scheme val="minor"/>
    </font>
    <font>
      <b/>
      <u/>
      <sz val="11"/>
      <color theme="1"/>
      <name val="Calibri"/>
      <family val="2"/>
      <scheme val="minor"/>
    </font>
    <font>
      <b/>
      <sz val="11"/>
      <color rgb="FF00B050"/>
      <name val="Calibri"/>
      <family val="2"/>
      <scheme val="minor"/>
    </font>
    <font>
      <b/>
      <sz val="22"/>
      <color theme="1"/>
      <name val="Calibri"/>
      <family val="2"/>
      <scheme val="minor"/>
    </font>
    <font>
      <b/>
      <sz val="20"/>
      <color rgb="FFFF0000"/>
      <name val="Calibri"/>
      <family val="2"/>
      <scheme val="minor"/>
    </font>
    <font>
      <b/>
      <sz val="20"/>
      <color theme="1"/>
      <name val="Calibri"/>
      <family val="2"/>
      <scheme val="minor"/>
    </font>
    <font>
      <sz val="11"/>
      <color rgb="FF000000"/>
      <name val="Calibri"/>
      <family val="2"/>
      <scheme val="minor"/>
    </font>
    <font>
      <vertAlign val="subscript"/>
      <sz val="11"/>
      <color rgb="FF000000"/>
      <name val="Calibri"/>
      <family val="2"/>
      <scheme val="minor"/>
    </font>
    <font>
      <vertAlign val="subscript"/>
      <sz val="8"/>
      <color theme="1"/>
      <name val="Arial"/>
      <family val="2"/>
    </font>
    <font>
      <b/>
      <sz val="18"/>
      <color theme="4" tint="-0.499984740745262"/>
      <name val="Calibri"/>
      <family val="2"/>
      <scheme val="minor"/>
    </font>
    <font>
      <b/>
      <sz val="18"/>
      <color theme="4" tint="-0.249977111117893"/>
      <name val="Calibri"/>
      <family val="2"/>
      <scheme val="minor"/>
    </font>
    <font>
      <b/>
      <sz val="9"/>
      <color theme="2" tint="-0.749992370372631"/>
      <name val="Calibri"/>
      <family val="2"/>
      <scheme val="minor"/>
    </font>
    <font>
      <sz val="8"/>
      <color theme="1" tint="0.34998626667073579"/>
      <name val="Goudy Old Style"/>
      <family val="1"/>
    </font>
    <font>
      <u/>
      <sz val="11"/>
      <color theme="10"/>
      <name val="Calibri"/>
      <family val="2"/>
      <scheme val="minor"/>
    </font>
    <font>
      <i/>
      <sz val="8"/>
      <color theme="1" tint="0.34998626667073579"/>
      <name val="Calibri"/>
      <family val="2"/>
      <scheme val="minor"/>
    </font>
    <font>
      <i/>
      <sz val="11"/>
      <color theme="1" tint="0.34998626667073579"/>
      <name val="Goudy Old Style"/>
      <family val="1"/>
    </font>
    <font>
      <b/>
      <u/>
      <sz val="12"/>
      <color theme="1"/>
      <name val="Calibri"/>
      <family val="2"/>
      <scheme val="minor"/>
    </font>
    <font>
      <sz val="8"/>
      <color theme="1" tint="0.34998626667073579"/>
      <name val="Calibri"/>
      <family val="2"/>
    </font>
    <font>
      <sz val="9"/>
      <color theme="1" tint="0.499984740745262"/>
      <name val="Calibri"/>
      <family val="2"/>
    </font>
    <font>
      <b/>
      <u/>
      <sz val="12"/>
      <color theme="3"/>
      <name val="Calibri"/>
      <family val="2"/>
      <scheme val="minor"/>
    </font>
    <font>
      <sz val="11"/>
      <color rgb="FF000000"/>
      <name val="Calibri"/>
      <family val="2"/>
    </font>
    <font>
      <sz val="9"/>
      <color indexed="81"/>
      <name val="Tahoma"/>
      <family val="2"/>
    </font>
    <font>
      <b/>
      <sz val="9"/>
      <color indexed="81"/>
      <name val="Tahoma"/>
      <family val="2"/>
    </font>
    <font>
      <sz val="14"/>
      <color theme="0"/>
      <name val="Calibri"/>
      <family val="2"/>
      <scheme val="minor"/>
    </font>
    <font>
      <sz val="7"/>
      <color theme="1" tint="0.34998626667073579"/>
      <name val="Calibri"/>
      <family val="2"/>
      <scheme val="minor"/>
    </font>
    <font>
      <sz val="7"/>
      <color theme="1" tint="0.34998626667073579"/>
      <name val="Cambria"/>
      <family val="1"/>
      <scheme val="major"/>
    </font>
    <font>
      <sz val="10"/>
      <color theme="0" tint="-0.499984740745262"/>
      <name val="Bodoni MT Black"/>
      <family val="1"/>
    </font>
    <font>
      <b/>
      <sz val="16"/>
      <color rgb="FF000000"/>
      <name val="Calibri"/>
      <family val="2"/>
    </font>
    <font>
      <b/>
      <u/>
      <sz val="7"/>
      <color theme="1" tint="0.34998626667073579"/>
      <name val="Calibri"/>
      <family val="2"/>
      <scheme val="minor"/>
    </font>
    <font>
      <b/>
      <u/>
      <sz val="10"/>
      <color theme="4" tint="-0.249977111117893"/>
      <name val="Calibri"/>
      <family val="2"/>
      <scheme val="minor"/>
    </font>
    <font>
      <sz val="8"/>
      <color theme="6" tint="-0.249977111117893"/>
      <name val="Calibri"/>
      <family val="2"/>
      <scheme val="minor"/>
    </font>
    <font>
      <b/>
      <sz val="8"/>
      <color rgb="FFC00000"/>
      <name val="Calibri"/>
      <family val="2"/>
      <scheme val="minor"/>
    </font>
    <font>
      <sz val="9"/>
      <color theme="3" tint="-0.499984740745262"/>
      <name val="Calibri"/>
      <family val="2"/>
      <scheme val="minor"/>
    </font>
    <font>
      <b/>
      <u/>
      <sz val="10"/>
      <color theme="6" tint="-0.499984740745262"/>
      <name val="Calibri"/>
      <family val="2"/>
      <scheme val="minor"/>
    </font>
    <font>
      <sz val="10"/>
      <color theme="6" tint="-0.499984740745262"/>
      <name val="Calibri"/>
      <family val="2"/>
      <scheme val="minor"/>
    </font>
    <font>
      <sz val="8"/>
      <color theme="1" tint="0.34998626667073579"/>
      <name val="Calibri"/>
      <family val="2"/>
      <scheme val="minor"/>
    </font>
    <font>
      <b/>
      <u/>
      <sz val="10"/>
      <color theme="1"/>
      <name val="BankGothic Lt BT"/>
      <family val="2"/>
    </font>
    <font>
      <sz val="10"/>
      <color theme="1"/>
      <name val="BankGothic Lt BT"/>
      <family val="2"/>
    </font>
    <font>
      <b/>
      <u val="double"/>
      <sz val="12"/>
      <color theme="1"/>
      <name val="BankGothic Lt BT"/>
      <family val="2"/>
    </font>
    <font>
      <b/>
      <strike/>
      <sz val="12"/>
      <color theme="1" tint="0.34998626667073579"/>
      <name val="Bodoni MT Black"/>
      <family val="1"/>
    </font>
    <font>
      <b/>
      <sz val="11"/>
      <color theme="1" tint="4.9989318521683403E-2"/>
      <name val="BankGothic Lt BT"/>
      <family val="2"/>
    </font>
    <font>
      <i/>
      <sz val="11"/>
      <color theme="1" tint="0.34998626667073579"/>
      <name val="Calibri"/>
      <family val="2"/>
      <scheme val="minor"/>
    </font>
    <font>
      <sz val="10"/>
      <color theme="1" tint="4.9989318521683403E-2"/>
      <name val="BankGothic Lt BT"/>
      <family val="2"/>
    </font>
    <font>
      <b/>
      <sz val="10"/>
      <color theme="1" tint="4.9989318521683403E-2"/>
      <name val="BankGothic Lt BT"/>
      <family val="2"/>
    </font>
    <font>
      <sz val="8"/>
      <color theme="1"/>
      <name val="BankGothic Lt BT"/>
      <family val="2"/>
    </font>
    <font>
      <sz val="12"/>
      <color theme="1" tint="0.34998626667073579"/>
      <name val="Bodoni MT Black"/>
      <family val="1"/>
    </font>
    <font>
      <sz val="11"/>
      <color theme="1" tint="0.34998626667073579"/>
      <name val="Calibri"/>
      <family val="2"/>
      <scheme val="minor"/>
    </font>
  </fonts>
  <fills count="32">
    <fill>
      <patternFill patternType="none"/>
    </fill>
    <fill>
      <patternFill patternType="gray125"/>
    </fill>
    <fill>
      <patternFill patternType="solid">
        <fgColor theme="8" tint="0.59999389629810485"/>
        <bgColor indexed="65"/>
      </patternFill>
    </fill>
    <fill>
      <patternFill patternType="solid">
        <fgColor theme="4" tint="0.79998168889431442"/>
        <bgColor indexed="64"/>
      </patternFill>
    </fill>
    <fill>
      <patternFill patternType="solid">
        <fgColor theme="6" tint="-0.249977111117893"/>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9" tint="0.39997558519241921"/>
        <bgColor indexed="64"/>
      </patternFill>
    </fill>
    <fill>
      <patternFill patternType="solid">
        <fgColor theme="5" tint="0.39997558519241921"/>
        <bgColor indexed="64"/>
      </patternFill>
    </fill>
    <fill>
      <patternFill patternType="solid">
        <fgColor theme="6" tint="0.79998168889431442"/>
        <bgColor indexed="64"/>
      </patternFill>
    </fill>
    <fill>
      <patternFill patternType="solid">
        <fgColor theme="9" tint="0.79998168889431442"/>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theme="4" tint="0.39997558519241921"/>
        <bgColor indexed="64"/>
      </patternFill>
    </fill>
    <fill>
      <patternFill patternType="solid">
        <fgColor theme="2" tint="-9.9978637043366805E-2"/>
        <bgColor indexed="64"/>
      </patternFill>
    </fill>
    <fill>
      <patternFill patternType="solid">
        <fgColor theme="3" tint="0.79998168889431442"/>
        <bgColor indexed="64"/>
      </patternFill>
    </fill>
    <fill>
      <patternFill patternType="solid">
        <fgColor theme="1" tint="4.9989318521683403E-2"/>
        <bgColor indexed="64"/>
      </patternFill>
    </fill>
    <fill>
      <patternFill patternType="solid">
        <fgColor theme="0"/>
        <bgColor indexed="64"/>
      </patternFill>
    </fill>
    <fill>
      <patternFill patternType="solid">
        <fgColor rgb="FFC4BD97"/>
        <bgColor indexed="64"/>
      </patternFill>
    </fill>
    <fill>
      <patternFill patternType="solid">
        <fgColor theme="5"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theme="9" tint="0.59999389629810485"/>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3" tint="0.39997558519241921"/>
        <bgColor indexed="64"/>
      </patternFill>
    </fill>
    <fill>
      <patternFill patternType="solid">
        <fgColor theme="0" tint="-0.14999847407452621"/>
        <bgColor indexed="64"/>
      </patternFill>
    </fill>
    <fill>
      <patternFill patternType="solid">
        <fgColor theme="2" tint="-0.499984740745262"/>
        <bgColor indexed="64"/>
      </patternFill>
    </fill>
    <fill>
      <patternFill patternType="solid">
        <fgColor theme="0" tint="-0.34998626667073579"/>
        <bgColor indexed="64"/>
      </patternFill>
    </fill>
    <fill>
      <patternFill patternType="solid">
        <fgColor theme="6"/>
        <bgColor indexed="64"/>
      </patternFill>
    </fill>
    <fill>
      <patternFill patternType="solid">
        <fgColor theme="0" tint="-0.249977111117893"/>
        <bgColor indexed="64"/>
      </patternFill>
    </fill>
  </fills>
  <borders count="49">
    <border>
      <left/>
      <right/>
      <top/>
      <bottom/>
      <diagonal/>
    </border>
    <border>
      <left style="thin">
        <color indexed="64"/>
      </left>
      <right/>
      <top style="thin">
        <color indexed="64"/>
      </top>
      <bottom/>
      <diagonal/>
    </border>
    <border>
      <left style="medium">
        <color indexed="64"/>
      </left>
      <right style="medium">
        <color indexed="64"/>
      </right>
      <top style="medium">
        <color indexed="64"/>
      </top>
      <bottom/>
      <diagonal/>
    </border>
    <border>
      <left style="thin">
        <color theme="6" tint="-0.499984740745262"/>
      </left>
      <right/>
      <top style="thin">
        <color theme="6" tint="-0.499984740745262"/>
      </top>
      <bottom style="thin">
        <color theme="6" tint="-0.499984740745262"/>
      </bottom>
      <diagonal/>
    </border>
    <border>
      <left/>
      <right/>
      <top style="thin">
        <color theme="6" tint="-0.499984740745262"/>
      </top>
      <bottom style="thin">
        <color theme="6" tint="-0.499984740745262"/>
      </bottom>
      <diagonal/>
    </border>
    <border>
      <left/>
      <right style="thin">
        <color theme="6" tint="-0.499984740745262"/>
      </right>
      <top style="thin">
        <color theme="6" tint="-0.499984740745262"/>
      </top>
      <bottom style="thin">
        <color theme="6" tint="-0.499984740745262"/>
      </bottom>
      <diagonal/>
    </border>
    <border>
      <left style="thin">
        <color indexed="64"/>
      </left>
      <right style="thin">
        <color indexed="64"/>
      </right>
      <top style="thin">
        <color indexed="64"/>
      </top>
      <bottom style="thin">
        <color indexed="64"/>
      </bottom>
      <diagonal/>
    </border>
    <border>
      <left style="thin">
        <color theme="6" tint="-0.249977111117893"/>
      </left>
      <right style="thin">
        <color theme="6" tint="-0.249977111117893"/>
      </right>
      <top/>
      <bottom/>
      <diagonal/>
    </border>
    <border>
      <left/>
      <right style="thin">
        <color indexed="64"/>
      </right>
      <top/>
      <bottom/>
      <diagonal/>
    </border>
    <border>
      <left style="thin">
        <color indexed="64"/>
      </left>
      <right style="thin">
        <color indexed="64"/>
      </right>
      <top/>
      <bottom/>
      <diagonal/>
    </border>
    <border>
      <left style="thin">
        <color theme="6" tint="-0.249977111117893"/>
      </left>
      <right/>
      <top style="thin">
        <color theme="6" tint="-0.249977111117893"/>
      </top>
      <bottom style="thin">
        <color theme="6" tint="-0.249977111117893"/>
      </bottom>
      <diagonal/>
    </border>
    <border>
      <left style="thin">
        <color theme="6" tint="-0.249977111117893"/>
      </left>
      <right style="thin">
        <color theme="6" tint="-0.249977111117893"/>
      </right>
      <top style="thin">
        <color theme="6" tint="-0.249977111117893"/>
      </top>
      <bottom/>
      <diagonal/>
    </border>
    <border>
      <left/>
      <right style="thin">
        <color theme="6" tint="-0.249977111117893"/>
      </right>
      <top style="thin">
        <color theme="6" tint="-0.249977111117893"/>
      </top>
      <bottom style="thin">
        <color theme="6" tint="-0.249977111117893"/>
      </bottom>
      <diagonal/>
    </border>
    <border>
      <left style="thin">
        <color theme="6" tint="-0.249977111117893"/>
      </left>
      <right style="thin">
        <color theme="6" tint="-0.249977111117893"/>
      </right>
      <top style="thin">
        <color theme="6" tint="-0.249977111117893"/>
      </top>
      <bottom style="thin">
        <color theme="6" tint="-0.249977111117893"/>
      </bottom>
      <diagonal/>
    </border>
    <border>
      <left style="thin">
        <color theme="6" tint="-0.249977111117893"/>
      </left>
      <right/>
      <top style="thin">
        <color theme="6" tint="-0.249977111117893"/>
      </top>
      <bottom/>
      <diagonal/>
    </border>
    <border>
      <left/>
      <right style="thin">
        <color theme="6" tint="-0.249977111117893"/>
      </right>
      <top style="thin">
        <color theme="6" tint="-0.249977111117893"/>
      </top>
      <bottom/>
      <diagonal/>
    </border>
    <border>
      <left style="thin">
        <color theme="6" tint="-0.249977111117893"/>
      </left>
      <right/>
      <top/>
      <bottom style="thin">
        <color theme="6" tint="-0.249977111117893"/>
      </bottom>
      <diagonal/>
    </border>
    <border>
      <left/>
      <right style="thin">
        <color theme="6" tint="-0.249977111117893"/>
      </right>
      <top/>
      <bottom style="thin">
        <color theme="6" tint="-0.249977111117893"/>
      </bottom>
      <diagonal/>
    </border>
    <border>
      <left style="thin">
        <color theme="6" tint="-0.249977111117893"/>
      </left>
      <right/>
      <top/>
      <bottom/>
      <diagonal/>
    </border>
    <border>
      <left/>
      <right style="thin">
        <color theme="6" tint="-0.249977111117893"/>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theme="6" tint="-0.249977111117893"/>
      </left>
      <right style="thin">
        <color theme="6" tint="-0.249977111117893"/>
      </right>
      <top/>
      <bottom style="thin">
        <color theme="6" tint="-0.249977111117893"/>
      </bottom>
      <diagonal/>
    </border>
    <border>
      <left style="medium">
        <color theme="6" tint="-0.249977111117893"/>
      </left>
      <right style="medium">
        <color theme="6" tint="-0.249977111117893"/>
      </right>
      <top style="medium">
        <color theme="6" tint="-0.249977111117893"/>
      </top>
      <bottom style="medium">
        <color theme="6" tint="-0.249977111117893"/>
      </bottom>
      <diagonal/>
    </border>
    <border>
      <left style="thin">
        <color indexed="64"/>
      </left>
      <right/>
      <top/>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bottom style="thin">
        <color theme="6" tint="-0.499984740745262"/>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hair">
        <color indexed="64"/>
      </left>
      <right style="hair">
        <color indexed="64"/>
      </right>
      <top style="hair">
        <color indexed="64"/>
      </top>
      <bottom style="hair">
        <color indexed="64"/>
      </bottom>
      <diagonal/>
    </border>
    <border>
      <left/>
      <right style="hair">
        <color indexed="64"/>
      </right>
      <top/>
      <bottom style="hair">
        <color indexed="64"/>
      </bottom>
      <diagonal/>
    </border>
    <border>
      <left style="hair">
        <color indexed="64"/>
      </left>
      <right style="hair">
        <color indexed="64"/>
      </right>
      <top/>
      <bottom style="hair">
        <color indexed="64"/>
      </bottom>
      <diagonal/>
    </border>
  </borders>
  <cellStyleXfs count="4">
    <xf numFmtId="0" fontId="0" fillId="0" borderId="0"/>
    <xf numFmtId="0" fontId="1" fillId="2" borderId="0" applyNumberFormat="0" applyBorder="0" applyAlignment="0" applyProtection="0"/>
    <xf numFmtId="0" fontId="8" fillId="0" borderId="0">
      <alignment vertical="center"/>
    </xf>
    <xf numFmtId="0" fontId="76" fillId="0" borderId="0" applyNumberFormat="0" applyFill="0" applyBorder="0" applyAlignment="0" applyProtection="0"/>
  </cellStyleXfs>
  <cellXfs count="527">
    <xf numFmtId="0" fontId="0" fillId="0" borderId="0" xfId="0"/>
    <xf numFmtId="164" fontId="3" fillId="0" borderId="1" xfId="0" applyNumberFormat="1" applyFont="1" applyBorder="1" applyAlignment="1">
      <alignment horizontal="left"/>
    </xf>
    <xf numFmtId="0" fontId="3" fillId="0" borderId="0" xfId="0" applyNumberFormat="1" applyFont="1" applyFill="1" applyBorder="1" applyAlignment="1" applyProtection="1">
      <alignment horizontal="left"/>
    </xf>
    <xf numFmtId="164" fontId="2" fillId="0" borderId="0" xfId="0" applyNumberFormat="1" applyFont="1" applyAlignment="1">
      <alignment horizontal="left"/>
    </xf>
    <xf numFmtId="164" fontId="0" fillId="0" borderId="0" xfId="0" applyNumberFormat="1" applyAlignment="1">
      <alignment horizontal="left"/>
    </xf>
    <xf numFmtId="0" fontId="2" fillId="3" borderId="2" xfId="0" applyNumberFormat="1" applyFont="1" applyFill="1" applyBorder="1" applyAlignment="1" applyProtection="1">
      <alignment horizontal="left"/>
      <protection locked="0"/>
    </xf>
    <xf numFmtId="0" fontId="0" fillId="0" borderId="0" xfId="0" applyAlignment="1">
      <alignment horizontal="right"/>
    </xf>
    <xf numFmtId="0" fontId="0" fillId="0" borderId="0" xfId="0" applyAlignment="1">
      <alignment horizontal="center"/>
    </xf>
    <xf numFmtId="164" fontId="3" fillId="4" borderId="6" xfId="0" applyNumberFormat="1" applyFont="1" applyFill="1" applyBorder="1" applyAlignment="1">
      <alignment horizontal="left"/>
    </xf>
    <xf numFmtId="164" fontId="0" fillId="5" borderId="6" xfId="0" applyNumberFormat="1" applyFont="1" applyFill="1" applyBorder="1" applyAlignment="1">
      <alignment horizontal="left"/>
    </xf>
    <xf numFmtId="164" fontId="0" fillId="0" borderId="6" xfId="0" applyNumberFormat="1" applyFont="1" applyBorder="1" applyAlignment="1">
      <alignment horizontal="left"/>
    </xf>
    <xf numFmtId="164" fontId="3" fillId="4" borderId="4" xfId="0" applyNumberFormat="1" applyFont="1" applyFill="1" applyBorder="1" applyAlignment="1"/>
    <xf numFmtId="164" fontId="3" fillId="6" borderId="7" xfId="0" applyNumberFormat="1" applyFont="1" applyFill="1" applyBorder="1" applyAlignment="1">
      <alignment horizontal="left"/>
    </xf>
    <xf numFmtId="164" fontId="3" fillId="6" borderId="8" xfId="0" applyNumberFormat="1" applyFont="1" applyFill="1" applyBorder="1" applyAlignment="1">
      <alignment horizontal="left"/>
    </xf>
    <xf numFmtId="164" fontId="3" fillId="6" borderId="9" xfId="0" applyNumberFormat="1" applyFont="1" applyFill="1" applyBorder="1" applyAlignment="1">
      <alignment horizontal="left"/>
    </xf>
    <xf numFmtId="164" fontId="3" fillId="0" borderId="0" xfId="0" applyNumberFormat="1" applyFont="1" applyAlignment="1">
      <alignment horizontal="left"/>
    </xf>
    <xf numFmtId="164" fontId="7" fillId="4" borderId="6" xfId="0" applyNumberFormat="1" applyFont="1" applyFill="1" applyBorder="1" applyAlignment="1">
      <alignment horizontal="left"/>
    </xf>
    <xf numFmtId="164" fontId="3" fillId="7" borderId="9" xfId="0" applyNumberFormat="1" applyFont="1" applyFill="1" applyBorder="1" applyAlignment="1">
      <alignment horizontal="left"/>
    </xf>
    <xf numFmtId="164" fontId="3" fillId="8" borderId="9" xfId="0" applyNumberFormat="1" applyFont="1" applyFill="1" applyBorder="1" applyAlignment="1">
      <alignment horizontal="left"/>
    </xf>
    <xf numFmtId="164" fontId="3" fillId="6" borderId="8" xfId="0" applyNumberFormat="1" applyFont="1" applyFill="1" applyBorder="1" applyAlignment="1">
      <alignment horizontal="center"/>
    </xf>
    <xf numFmtId="0" fontId="3" fillId="9" borderId="10" xfId="0" applyNumberFormat="1" applyFont="1" applyFill="1" applyBorder="1" applyAlignment="1">
      <alignment horizontal="left"/>
    </xf>
    <xf numFmtId="0" fontId="0" fillId="9" borderId="11" xfId="0" applyFill="1" applyBorder="1"/>
    <xf numFmtId="0" fontId="0" fillId="9" borderId="12" xfId="0" applyNumberFormat="1" applyFill="1" applyBorder="1" applyAlignment="1">
      <alignment horizontal="center"/>
    </xf>
    <xf numFmtId="164" fontId="0" fillId="9" borderId="13" xfId="0" applyNumberFormat="1" applyFill="1" applyBorder="1" applyAlignment="1">
      <alignment horizontal="left"/>
    </xf>
    <xf numFmtId="0" fontId="0" fillId="9" borderId="13" xfId="0" applyNumberFormat="1" applyFill="1" applyBorder="1" applyAlignment="1">
      <alignment horizontal="center"/>
    </xf>
    <xf numFmtId="0" fontId="0" fillId="9" borderId="14" xfId="0" applyFont="1" applyFill="1" applyBorder="1"/>
    <xf numFmtId="0" fontId="8" fillId="9" borderId="15" xfId="0" applyNumberFormat="1" applyFont="1" applyFill="1" applyBorder="1" applyAlignment="1">
      <alignment vertical="center"/>
    </xf>
    <xf numFmtId="164" fontId="0" fillId="9" borderId="12" xfId="0" applyNumberFormat="1" applyFill="1" applyBorder="1" applyAlignment="1">
      <alignment horizontal="left"/>
    </xf>
    <xf numFmtId="0" fontId="9" fillId="0" borderId="6" xfId="0" applyFont="1" applyBorder="1" applyAlignment="1">
      <alignment horizontal="left"/>
    </xf>
    <xf numFmtId="0" fontId="0" fillId="10" borderId="12" xfId="0" applyNumberFormat="1" applyFill="1" applyBorder="1" applyAlignment="1">
      <alignment horizontal="center"/>
    </xf>
    <xf numFmtId="0" fontId="0" fillId="10" borderId="12" xfId="0" applyNumberFormat="1" applyFill="1" applyBorder="1" applyAlignment="1">
      <alignment horizontal="left"/>
    </xf>
    <xf numFmtId="0" fontId="0" fillId="10" borderId="12" xfId="0" applyNumberFormat="1" applyFill="1" applyBorder="1" applyAlignment="1">
      <alignment horizontal="right"/>
    </xf>
    <xf numFmtId="0" fontId="0" fillId="8" borderId="12" xfId="0" applyNumberFormat="1" applyFill="1" applyBorder="1" applyAlignment="1">
      <alignment horizontal="center"/>
    </xf>
    <xf numFmtId="0" fontId="0" fillId="9" borderId="7" xfId="0" applyFill="1" applyBorder="1"/>
    <xf numFmtId="0" fontId="0" fillId="9" borderId="7" xfId="0" applyFill="1" applyBorder="1" applyAlignment="1">
      <alignment horizontal="center"/>
    </xf>
    <xf numFmtId="0" fontId="0" fillId="9" borderId="16" xfId="0" applyFont="1" applyFill="1" applyBorder="1"/>
    <xf numFmtId="0" fontId="8" fillId="9" borderId="17" xfId="0" applyNumberFormat="1" applyFont="1" applyFill="1" applyBorder="1" applyAlignment="1">
      <alignment vertical="center"/>
    </xf>
    <xf numFmtId="0" fontId="0" fillId="9" borderId="18" xfId="0" applyFont="1" applyFill="1" applyBorder="1"/>
    <xf numFmtId="0" fontId="8" fillId="9" borderId="19" xfId="0" applyNumberFormat="1" applyFont="1" applyFill="1" applyBorder="1" applyAlignment="1">
      <alignment vertical="center"/>
    </xf>
    <xf numFmtId="164" fontId="10" fillId="4" borderId="0" xfId="0" applyNumberFormat="1" applyFont="1" applyFill="1" applyBorder="1" applyAlignment="1">
      <alignment horizontal="left"/>
    </xf>
    <xf numFmtId="164" fontId="10" fillId="5" borderId="0" xfId="0" applyNumberFormat="1" applyFont="1" applyFill="1" applyBorder="1" applyAlignment="1">
      <alignment horizontal="left"/>
    </xf>
    <xf numFmtId="164" fontId="11" fillId="0" borderId="0" xfId="0" applyNumberFormat="1" applyFont="1" applyBorder="1" applyAlignment="1">
      <alignment horizontal="left"/>
    </xf>
    <xf numFmtId="164" fontId="0" fillId="0" borderId="0" xfId="0" applyNumberFormat="1" applyBorder="1" applyAlignment="1">
      <alignment horizontal="left"/>
    </xf>
    <xf numFmtId="164" fontId="7" fillId="4" borderId="20" xfId="0" applyNumberFormat="1" applyFont="1" applyFill="1" applyBorder="1" applyAlignment="1">
      <alignment horizontal="center" vertical="center"/>
    </xf>
    <xf numFmtId="164" fontId="3" fillId="4" borderId="20" xfId="0" applyNumberFormat="1" applyFont="1" applyFill="1" applyBorder="1" applyAlignment="1">
      <alignment horizontal="center" vertical="center"/>
    </xf>
    <xf numFmtId="164" fontId="7" fillId="4" borderId="21" xfId="0" applyNumberFormat="1" applyFont="1" applyFill="1" applyBorder="1" applyAlignment="1">
      <alignment horizontal="center" vertical="center"/>
    </xf>
    <xf numFmtId="164" fontId="3" fillId="4" borderId="21" xfId="0" applyNumberFormat="1" applyFont="1" applyFill="1" applyBorder="1" applyAlignment="1">
      <alignment horizontal="center" vertical="center"/>
    </xf>
    <xf numFmtId="0" fontId="0" fillId="6" borderId="6" xfId="1" applyFont="1" applyFill="1" applyBorder="1"/>
    <xf numFmtId="164" fontId="14" fillId="5" borderId="6" xfId="0" applyNumberFormat="1" applyFont="1" applyFill="1" applyBorder="1" applyAlignment="1">
      <alignment horizontal="left"/>
    </xf>
    <xf numFmtId="164" fontId="0" fillId="0" borderId="6" xfId="0" applyNumberFormat="1" applyBorder="1" applyAlignment="1">
      <alignment horizontal="left"/>
    </xf>
    <xf numFmtId="164" fontId="17" fillId="6" borderId="6" xfId="0" applyNumberFormat="1" applyFont="1" applyFill="1" applyBorder="1" applyAlignment="1">
      <alignment horizontal="left"/>
    </xf>
    <xf numFmtId="164" fontId="19" fillId="6" borderId="6" xfId="0" applyNumberFormat="1" applyFont="1" applyFill="1" applyBorder="1" applyAlignment="1">
      <alignment horizontal="left"/>
    </xf>
    <xf numFmtId="0" fontId="0" fillId="9" borderId="22" xfId="0" applyFill="1" applyBorder="1"/>
    <xf numFmtId="164" fontId="0" fillId="9" borderId="11" xfId="0" applyNumberFormat="1" applyFill="1" applyBorder="1" applyAlignment="1">
      <alignment horizontal="left"/>
    </xf>
    <xf numFmtId="164" fontId="0" fillId="9" borderId="15" xfId="0" applyNumberFormat="1" applyFill="1" applyBorder="1" applyAlignment="1">
      <alignment horizontal="left"/>
    </xf>
    <xf numFmtId="164" fontId="13" fillId="5" borderId="6" xfId="0" applyNumberFormat="1" applyFont="1" applyFill="1" applyBorder="1" applyAlignment="1">
      <alignment horizontal="left"/>
    </xf>
    <xf numFmtId="164" fontId="3" fillId="0" borderId="0" xfId="0" applyNumberFormat="1" applyFont="1" applyBorder="1" applyAlignment="1">
      <alignment horizontal="left"/>
    </xf>
    <xf numFmtId="164" fontId="0" fillId="0" borderId="23" xfId="0" applyNumberFormat="1" applyFont="1" applyBorder="1" applyAlignment="1">
      <alignment horizontal="left"/>
    </xf>
    <xf numFmtId="164" fontId="0" fillId="0" borderId="23" xfId="0" applyNumberFormat="1" applyBorder="1" applyAlignment="1">
      <alignment horizontal="left"/>
    </xf>
    <xf numFmtId="164" fontId="3" fillId="0" borderId="0" xfId="0" applyNumberFormat="1" applyFont="1" applyBorder="1" applyAlignment="1">
      <alignment horizontal="center"/>
    </xf>
    <xf numFmtId="0" fontId="0" fillId="9" borderId="0" xfId="0" applyNumberFormat="1" applyFill="1" applyBorder="1" applyAlignment="1">
      <alignment horizontal="center"/>
    </xf>
    <xf numFmtId="0" fontId="0" fillId="11" borderId="0" xfId="0" applyFill="1" applyAlignment="1">
      <alignment horizontal="right"/>
    </xf>
    <xf numFmtId="0" fontId="0" fillId="11" borderId="0" xfId="0" applyFill="1" applyAlignment="1">
      <alignment horizontal="center"/>
    </xf>
    <xf numFmtId="0" fontId="0" fillId="11" borderId="0" xfId="0" applyFill="1"/>
    <xf numFmtId="0" fontId="0" fillId="0" borderId="0" xfId="0" applyNumberFormat="1" applyAlignment="1">
      <alignment horizontal="left"/>
    </xf>
    <xf numFmtId="164" fontId="23" fillId="0" borderId="6" xfId="0" applyNumberFormat="1" applyFont="1" applyFill="1" applyBorder="1" applyAlignment="1">
      <alignment horizontal="left"/>
    </xf>
    <xf numFmtId="0" fontId="24" fillId="0" borderId="24" xfId="0" applyFont="1" applyBorder="1"/>
    <xf numFmtId="0" fontId="24" fillId="0" borderId="0" xfId="0" applyFont="1" applyBorder="1"/>
    <xf numFmtId="0" fontId="0" fillId="0" borderId="20" xfId="0" applyBorder="1"/>
    <xf numFmtId="0" fontId="0" fillId="0" borderId="25" xfId="0" applyBorder="1"/>
    <xf numFmtId="0" fontId="0" fillId="0" borderId="0" xfId="0" applyAlignment="1">
      <alignment horizontal="left"/>
    </xf>
    <xf numFmtId="0" fontId="3" fillId="0" borderId="0" xfId="0" applyFont="1"/>
    <xf numFmtId="0" fontId="3" fillId="0" borderId="26" xfId="0" applyFont="1" applyBorder="1"/>
    <xf numFmtId="0" fontId="3" fillId="0" borderId="27" xfId="0" applyFont="1" applyBorder="1"/>
    <xf numFmtId="0" fontId="3" fillId="0" borderId="28" xfId="0" applyFont="1" applyBorder="1"/>
    <xf numFmtId="0" fontId="0" fillId="0" borderId="0" xfId="0" applyFont="1" applyFill="1" applyBorder="1"/>
    <xf numFmtId="0" fontId="0" fillId="0" borderId="9" xfId="0" applyBorder="1"/>
    <xf numFmtId="0" fontId="0" fillId="0" borderId="8" xfId="0" applyBorder="1"/>
    <xf numFmtId="0" fontId="25" fillId="0" borderId="0" xfId="0" applyFont="1" applyAlignment="1">
      <alignment horizontal="center"/>
    </xf>
    <xf numFmtId="0" fontId="0" fillId="0" borderId="1" xfId="0" applyBorder="1"/>
    <xf numFmtId="0" fontId="0" fillId="0" borderId="24" xfId="0" applyBorder="1"/>
    <xf numFmtId="0" fontId="0" fillId="0" borderId="0" xfId="0" applyBorder="1"/>
    <xf numFmtId="0" fontId="0" fillId="0" borderId="21" xfId="0" applyBorder="1"/>
    <xf numFmtId="0" fontId="0" fillId="0" borderId="29" xfId="0" applyBorder="1"/>
    <xf numFmtId="0" fontId="25" fillId="0" borderId="0" xfId="0" applyFont="1"/>
    <xf numFmtId="0" fontId="25" fillId="0" borderId="0" xfId="0" applyFont="1" applyFill="1"/>
    <xf numFmtId="0" fontId="0" fillId="0" borderId="6" xfId="0" applyFill="1" applyBorder="1"/>
    <xf numFmtId="0" fontId="23" fillId="0" borderId="6" xfId="0" applyFont="1" applyFill="1" applyBorder="1"/>
    <xf numFmtId="0" fontId="0" fillId="0" borderId="30" xfId="0" applyBorder="1"/>
    <xf numFmtId="0" fontId="0" fillId="0" borderId="6" xfId="0" applyBorder="1"/>
    <xf numFmtId="0" fontId="3" fillId="0" borderId="24" xfId="0" applyFont="1" applyBorder="1"/>
    <xf numFmtId="0" fontId="24" fillId="0" borderId="0" xfId="0" applyFont="1"/>
    <xf numFmtId="0" fontId="0" fillId="0" borderId="31" xfId="0" applyBorder="1"/>
    <xf numFmtId="0" fontId="23" fillId="0" borderId="0" xfId="0" applyFont="1"/>
    <xf numFmtId="0" fontId="26" fillId="0" borderId="0" xfId="0" applyFont="1"/>
    <xf numFmtId="0" fontId="23" fillId="0" borderId="1" xfId="0" applyFont="1" applyBorder="1"/>
    <xf numFmtId="0" fontId="0" fillId="0" borderId="26" xfId="0" applyFill="1" applyBorder="1"/>
    <xf numFmtId="0" fontId="3" fillId="0" borderId="0" xfId="0" applyFont="1" applyFill="1" applyBorder="1"/>
    <xf numFmtId="0" fontId="0" fillId="0" borderId="0" xfId="0" applyFill="1" applyBorder="1"/>
    <xf numFmtId="0" fontId="27" fillId="0" borderId="0" xfId="0" applyFont="1"/>
    <xf numFmtId="0" fontId="23" fillId="0" borderId="30" xfId="0" applyFont="1" applyBorder="1"/>
    <xf numFmtId="0" fontId="2" fillId="0" borderId="0" xfId="0" applyFont="1"/>
    <xf numFmtId="0" fontId="0" fillId="0" borderId="32" xfId="0" applyBorder="1"/>
    <xf numFmtId="0" fontId="0" fillId="0" borderId="0" xfId="0" applyBorder="1" applyAlignment="1">
      <alignment horizontal="right"/>
    </xf>
    <xf numFmtId="0" fontId="25" fillId="0" borderId="0" xfId="0" applyFont="1" applyBorder="1" applyAlignment="1">
      <alignment horizontal="center"/>
    </xf>
    <xf numFmtId="0" fontId="25" fillId="0" borderId="0" xfId="0" applyFont="1" applyBorder="1"/>
    <xf numFmtId="0" fontId="28" fillId="0" borderId="0" xfId="0" applyFont="1"/>
    <xf numFmtId="0" fontId="29" fillId="3" borderId="0" xfId="0" applyFont="1" applyFill="1" applyBorder="1" applyAlignment="1">
      <alignment vertical="top"/>
    </xf>
    <xf numFmtId="0" fontId="0" fillId="3" borderId="0" xfId="0" applyFill="1"/>
    <xf numFmtId="0" fontId="31" fillId="0" borderId="0" xfId="0" applyFont="1" applyAlignment="1" applyProtection="1">
      <alignment vertical="center"/>
      <protection locked="0"/>
    </xf>
    <xf numFmtId="0" fontId="3" fillId="12" borderId="20" xfId="0" applyFont="1" applyFill="1" applyBorder="1" applyAlignment="1">
      <alignment horizontal="center"/>
    </xf>
    <xf numFmtId="0" fontId="3" fillId="12" borderId="20" xfId="0" applyFont="1" applyFill="1" applyBorder="1" applyAlignment="1">
      <alignment horizontal="center" vertical="center" wrapText="1"/>
    </xf>
    <xf numFmtId="164" fontId="0" fillId="3" borderId="0" xfId="0" applyNumberFormat="1" applyFill="1" applyProtection="1">
      <protection hidden="1"/>
    </xf>
    <xf numFmtId="0" fontId="3" fillId="14" borderId="0" xfId="0" applyFont="1" applyFill="1" applyBorder="1" applyProtection="1">
      <protection hidden="1"/>
    </xf>
    <xf numFmtId="164" fontId="0" fillId="3" borderId="0" xfId="0" applyNumberFormat="1" applyFill="1" applyAlignment="1" applyProtection="1">
      <alignment shrinkToFit="1"/>
      <protection hidden="1"/>
    </xf>
    <xf numFmtId="0" fontId="33" fillId="3" borderId="0" xfId="0" applyFont="1" applyFill="1" applyAlignment="1">
      <alignment textRotation="45"/>
    </xf>
    <xf numFmtId="0" fontId="33" fillId="3" borderId="0" xfId="0" applyFont="1" applyFill="1" applyAlignment="1">
      <alignment textRotation="20"/>
    </xf>
    <xf numFmtId="0" fontId="34" fillId="3" borderId="0" xfId="0" applyFont="1" applyFill="1"/>
    <xf numFmtId="0" fontId="33" fillId="3" borderId="0" xfId="0" applyFont="1" applyFill="1" applyAlignment="1"/>
    <xf numFmtId="0" fontId="33" fillId="3" borderId="0" xfId="0" applyFont="1" applyFill="1"/>
    <xf numFmtId="0" fontId="35" fillId="3" borderId="0" xfId="0" applyFont="1" applyFill="1" applyAlignment="1"/>
    <xf numFmtId="14" fontId="35" fillId="3" borderId="0" xfId="0" applyNumberFormat="1" applyFont="1" applyFill="1" applyAlignment="1"/>
    <xf numFmtId="0" fontId="3" fillId="14" borderId="0" xfId="0" applyFont="1" applyFill="1" applyBorder="1"/>
    <xf numFmtId="0" fontId="37" fillId="3" borderId="0" xfId="0" applyFont="1" applyFill="1"/>
    <xf numFmtId="0" fontId="38" fillId="3" borderId="0" xfId="0" applyFont="1" applyFill="1" applyBorder="1" applyAlignment="1">
      <alignment vertical="center"/>
    </xf>
    <xf numFmtId="0" fontId="3" fillId="15" borderId="0" xfId="0" applyNumberFormat="1" applyFont="1" applyFill="1" applyAlignment="1" applyProtection="1">
      <alignment shrinkToFit="1"/>
      <protection locked="0"/>
    </xf>
    <xf numFmtId="0" fontId="0" fillId="16" borderId="0" xfId="0" applyFill="1" applyProtection="1"/>
    <xf numFmtId="0" fontId="0" fillId="0" borderId="0" xfId="0" applyAlignment="1" applyProtection="1">
      <alignment vertical="center"/>
      <protection locked="0"/>
    </xf>
    <xf numFmtId="0" fontId="0" fillId="15" borderId="0" xfId="0" applyNumberFormat="1" applyFill="1" applyAlignment="1" applyProtection="1">
      <alignment shrinkToFit="1"/>
      <protection locked="0"/>
    </xf>
    <xf numFmtId="164" fontId="3" fillId="4" borderId="20" xfId="0" applyNumberFormat="1" applyFont="1" applyFill="1" applyBorder="1" applyAlignment="1">
      <alignment vertical="center"/>
    </xf>
    <xf numFmtId="0" fontId="0" fillId="17" borderId="0" xfId="0" applyFill="1" applyProtection="1">
      <protection hidden="1"/>
    </xf>
    <xf numFmtId="0" fontId="3" fillId="17" borderId="0" xfId="0" applyFont="1" applyFill="1" applyProtection="1">
      <protection hidden="1"/>
    </xf>
    <xf numFmtId="0" fontId="0" fillId="0" borderId="0" xfId="0" applyProtection="1">
      <protection hidden="1"/>
    </xf>
    <xf numFmtId="0" fontId="3" fillId="0" borderId="0" xfId="0" applyFont="1" applyFill="1" applyProtection="1">
      <protection hidden="1"/>
    </xf>
    <xf numFmtId="0" fontId="3" fillId="0" borderId="0" xfId="0" applyFont="1" applyProtection="1">
      <protection hidden="1"/>
    </xf>
    <xf numFmtId="0" fontId="43" fillId="17" borderId="0" xfId="0" applyFont="1" applyFill="1" applyAlignment="1" applyProtection="1">
      <protection hidden="1"/>
    </xf>
    <xf numFmtId="0" fontId="14" fillId="0" borderId="0" xfId="0" applyFont="1" applyProtection="1">
      <protection hidden="1"/>
    </xf>
    <xf numFmtId="0" fontId="44" fillId="17" borderId="0" xfId="0" applyFont="1" applyFill="1" applyAlignment="1" applyProtection="1">
      <alignment horizontal="right" vertical="center"/>
      <protection hidden="1"/>
    </xf>
    <xf numFmtId="2" fontId="14" fillId="0" borderId="0" xfId="0" applyNumberFormat="1" applyFont="1" applyAlignment="1" applyProtection="1">
      <protection hidden="1"/>
    </xf>
    <xf numFmtId="2" fontId="13" fillId="0" borderId="29" xfId="0" applyNumberFormat="1" applyFont="1" applyBorder="1" applyAlignment="1" applyProtection="1">
      <protection hidden="1"/>
    </xf>
    <xf numFmtId="0" fontId="13" fillId="0" borderId="0" xfId="0" applyNumberFormat="1" applyFont="1" applyAlignment="1" applyProtection="1">
      <protection hidden="1"/>
    </xf>
    <xf numFmtId="2" fontId="46" fillId="18" borderId="6" xfId="0" applyNumberFormat="1" applyFont="1" applyFill="1" applyBorder="1" applyAlignment="1" applyProtection="1">
      <alignment vertical="center"/>
      <protection hidden="1"/>
    </xf>
    <xf numFmtId="2" fontId="13" fillId="0" borderId="0" xfId="0" applyNumberFormat="1" applyFont="1" applyAlignment="1" applyProtection="1">
      <alignment shrinkToFit="1"/>
      <protection hidden="1"/>
    </xf>
    <xf numFmtId="2" fontId="47" fillId="18" borderId="6" xfId="0" applyNumberFormat="1" applyFont="1" applyFill="1" applyBorder="1" applyAlignment="1" applyProtection="1">
      <alignment vertical="center"/>
      <protection hidden="1"/>
    </xf>
    <xf numFmtId="0" fontId="48" fillId="17" borderId="0" xfId="0" applyFont="1" applyFill="1" applyAlignment="1" applyProtection="1">
      <protection hidden="1"/>
    </xf>
    <xf numFmtId="0" fontId="49" fillId="17" borderId="0" xfId="0" applyFont="1" applyFill="1" applyAlignment="1" applyProtection="1">
      <protection hidden="1"/>
    </xf>
    <xf numFmtId="0" fontId="0" fillId="17" borderId="0" xfId="0" applyFill="1" applyAlignment="1" applyProtection="1">
      <protection hidden="1"/>
    </xf>
    <xf numFmtId="0" fontId="0" fillId="17" borderId="0" xfId="0" applyFill="1" applyBorder="1" applyAlignment="1" applyProtection="1">
      <alignment horizontal="right"/>
      <protection hidden="1"/>
    </xf>
    <xf numFmtId="0" fontId="0" fillId="17" borderId="24" xfId="0" applyFill="1" applyBorder="1" applyAlignment="1" applyProtection="1">
      <protection hidden="1"/>
    </xf>
    <xf numFmtId="0" fontId="0" fillId="0" borderId="0" xfId="0" applyAlignment="1" applyProtection="1">
      <protection hidden="1"/>
    </xf>
    <xf numFmtId="0" fontId="48" fillId="17" borderId="0" xfId="0" applyFont="1" applyFill="1" applyProtection="1">
      <protection hidden="1"/>
    </xf>
    <xf numFmtId="0" fontId="49" fillId="17" borderId="0" xfId="0" applyFont="1" applyFill="1" applyProtection="1">
      <protection hidden="1"/>
    </xf>
    <xf numFmtId="0" fontId="0" fillId="17" borderId="0" xfId="0" applyFill="1" applyBorder="1" applyAlignment="1" applyProtection="1">
      <protection hidden="1"/>
    </xf>
    <xf numFmtId="0" fontId="0" fillId="0" borderId="0" xfId="0" applyBorder="1" applyAlignment="1" applyProtection="1">
      <protection hidden="1"/>
    </xf>
    <xf numFmtId="0" fontId="49" fillId="17" borderId="0" xfId="0" applyFont="1" applyFill="1" applyAlignment="1" applyProtection="1">
      <alignment horizontal="right"/>
      <protection hidden="1"/>
    </xf>
    <xf numFmtId="0" fontId="0" fillId="14" borderId="6" xfId="0" applyFill="1" applyBorder="1" applyAlignment="1" applyProtection="1">
      <protection locked="0" hidden="1"/>
    </xf>
    <xf numFmtId="0" fontId="3" fillId="17" borderId="0" xfId="0" applyFont="1" applyFill="1" applyAlignment="1" applyProtection="1">
      <alignment horizontal="left"/>
      <protection hidden="1"/>
    </xf>
    <xf numFmtId="0" fontId="50" fillId="17" borderId="0" xfId="0" applyFont="1" applyFill="1" applyProtection="1">
      <protection hidden="1"/>
    </xf>
    <xf numFmtId="0" fontId="51" fillId="17" borderId="0" xfId="0" applyFont="1" applyFill="1" applyAlignment="1" applyProtection="1">
      <alignment horizontal="right"/>
      <protection hidden="1"/>
    </xf>
    <xf numFmtId="0" fontId="51" fillId="17" borderId="0" xfId="0" applyFont="1" applyFill="1" applyProtection="1">
      <protection hidden="1"/>
    </xf>
    <xf numFmtId="0" fontId="0" fillId="17" borderId="30" xfId="0" applyFill="1" applyBorder="1" applyAlignment="1" applyProtection="1">
      <protection hidden="1"/>
    </xf>
    <xf numFmtId="0" fontId="3" fillId="17" borderId="0" xfId="0" applyFont="1" applyFill="1" applyAlignment="1" applyProtection="1">
      <alignment horizontal="right"/>
      <protection hidden="1"/>
    </xf>
    <xf numFmtId="0" fontId="0" fillId="15" borderId="1" xfId="0" applyFill="1" applyBorder="1" applyAlignment="1" applyProtection="1">
      <alignment horizontal="left"/>
      <protection hidden="1"/>
    </xf>
    <xf numFmtId="0" fontId="0" fillId="15" borderId="25" xfId="0" applyFill="1" applyBorder="1" applyAlignment="1" applyProtection="1">
      <alignment horizontal="right"/>
      <protection hidden="1"/>
    </xf>
    <xf numFmtId="0" fontId="0" fillId="17" borderId="0" xfId="0" applyFill="1" applyAlignment="1" applyProtection="1">
      <alignment horizontal="right"/>
      <protection hidden="1"/>
    </xf>
    <xf numFmtId="0" fontId="0" fillId="15" borderId="24" xfId="0" applyFill="1" applyBorder="1" applyAlignment="1" applyProtection="1">
      <alignment horizontal="left"/>
      <protection hidden="1"/>
    </xf>
    <xf numFmtId="0" fontId="0" fillId="15" borderId="8" xfId="0" applyFill="1" applyBorder="1" applyAlignment="1" applyProtection="1">
      <alignment horizontal="right"/>
      <protection hidden="1"/>
    </xf>
    <xf numFmtId="0" fontId="52" fillId="17" borderId="0" xfId="0" applyFont="1" applyFill="1" applyBorder="1" applyAlignment="1" applyProtection="1">
      <protection hidden="1"/>
    </xf>
    <xf numFmtId="0" fontId="0" fillId="17" borderId="1" xfId="0" applyFill="1" applyBorder="1" applyAlignment="1" applyProtection="1">
      <protection hidden="1"/>
    </xf>
    <xf numFmtId="0" fontId="0" fillId="15" borderId="25" xfId="0" applyFill="1" applyBorder="1" applyAlignment="1" applyProtection="1">
      <alignment horizontal="left"/>
      <protection hidden="1"/>
    </xf>
    <xf numFmtId="0" fontId="0" fillId="15" borderId="20" xfId="0" applyFill="1" applyBorder="1" applyAlignment="1" applyProtection="1">
      <alignment horizontal="left"/>
      <protection hidden="1"/>
    </xf>
    <xf numFmtId="0" fontId="0" fillId="15" borderId="1" xfId="0" applyFill="1" applyBorder="1" applyProtection="1">
      <protection hidden="1"/>
    </xf>
    <xf numFmtId="0" fontId="0" fillId="15" borderId="8" xfId="0" applyFill="1" applyBorder="1" applyAlignment="1" applyProtection="1">
      <alignment horizontal="left"/>
      <protection hidden="1"/>
    </xf>
    <xf numFmtId="0" fontId="0" fillId="15" borderId="9" xfId="0" applyFill="1" applyBorder="1" applyAlignment="1" applyProtection="1">
      <alignment horizontal="left"/>
      <protection hidden="1"/>
    </xf>
    <xf numFmtId="0" fontId="0" fillId="15" borderId="24" xfId="0" applyFill="1" applyBorder="1" applyProtection="1">
      <protection hidden="1"/>
    </xf>
    <xf numFmtId="0" fontId="0" fillId="15" borderId="24" xfId="0" applyFill="1" applyBorder="1" applyAlignment="1" applyProtection="1">
      <alignment horizontal="right"/>
      <protection hidden="1"/>
    </xf>
    <xf numFmtId="0" fontId="0" fillId="15" borderId="30" xfId="0" applyFill="1" applyBorder="1" applyAlignment="1" applyProtection="1">
      <alignment horizontal="right"/>
      <protection hidden="1"/>
    </xf>
    <xf numFmtId="0" fontId="0" fillId="15" borderId="29" xfId="0" applyFill="1" applyBorder="1" applyAlignment="1" applyProtection="1">
      <alignment horizontal="right"/>
      <protection hidden="1"/>
    </xf>
    <xf numFmtId="0" fontId="0" fillId="15" borderId="30" xfId="0" applyFill="1" applyBorder="1" applyAlignment="1" applyProtection="1">
      <alignment horizontal="left"/>
      <protection hidden="1"/>
    </xf>
    <xf numFmtId="0" fontId="0" fillId="15" borderId="30" xfId="0" applyFill="1" applyBorder="1" applyProtection="1">
      <protection hidden="1"/>
    </xf>
    <xf numFmtId="0" fontId="53" fillId="17" borderId="0" xfId="0" applyFont="1" applyFill="1" applyAlignment="1" applyProtection="1">
      <protection hidden="1"/>
    </xf>
    <xf numFmtId="0" fontId="0" fillId="17" borderId="0" xfId="0" applyFill="1" applyAlignment="1" applyProtection="1">
      <alignment horizontal="left"/>
      <protection hidden="1"/>
    </xf>
    <xf numFmtId="0" fontId="0" fillId="15" borderId="1" xfId="0" applyFill="1" applyBorder="1" applyAlignment="1" applyProtection="1">
      <protection hidden="1"/>
    </xf>
    <xf numFmtId="0" fontId="0" fillId="15" borderId="32" xfId="0" applyFill="1" applyBorder="1" applyAlignment="1" applyProtection="1">
      <protection hidden="1"/>
    </xf>
    <xf numFmtId="0" fontId="0" fillId="15" borderId="30" xfId="0" applyFill="1" applyBorder="1" applyAlignment="1" applyProtection="1">
      <protection hidden="1"/>
    </xf>
    <xf numFmtId="0" fontId="0" fillId="15" borderId="31" xfId="0" applyFill="1" applyBorder="1" applyAlignment="1" applyProtection="1">
      <protection hidden="1"/>
    </xf>
    <xf numFmtId="0" fontId="0" fillId="15" borderId="29" xfId="0" applyFill="1" applyBorder="1" applyAlignment="1" applyProtection="1">
      <protection hidden="1"/>
    </xf>
    <xf numFmtId="0" fontId="0" fillId="15" borderId="29" xfId="0" applyFill="1" applyBorder="1" applyAlignment="1" applyProtection="1">
      <alignment horizontal="left"/>
      <protection hidden="1"/>
    </xf>
    <xf numFmtId="0" fontId="0" fillId="15" borderId="21" xfId="0" applyFill="1" applyBorder="1" applyAlignment="1" applyProtection="1">
      <alignment horizontal="left"/>
      <protection hidden="1"/>
    </xf>
    <xf numFmtId="0" fontId="0" fillId="0" borderId="0" xfId="0" applyAlignment="1" applyProtection="1">
      <alignment horizontal="right"/>
      <protection hidden="1"/>
    </xf>
    <xf numFmtId="0" fontId="0" fillId="17" borderId="0" xfId="0" applyFill="1" applyBorder="1" applyAlignment="1" applyProtection="1">
      <protection locked="0" hidden="1"/>
    </xf>
    <xf numFmtId="0" fontId="54" fillId="19" borderId="6" xfId="0" applyFont="1" applyFill="1" applyBorder="1" applyAlignment="1" applyProtection="1">
      <protection locked="0" hidden="1"/>
    </xf>
    <xf numFmtId="0" fontId="0" fillId="17" borderId="0" xfId="0" applyFill="1" applyAlignment="1" applyProtection="1">
      <alignment horizontal="center"/>
      <protection hidden="1"/>
    </xf>
    <xf numFmtId="0" fontId="0" fillId="3" borderId="36" xfId="0" applyFill="1" applyBorder="1" applyProtection="1">
      <protection locked="0"/>
    </xf>
    <xf numFmtId="0" fontId="55" fillId="0" borderId="0" xfId="0" applyFont="1"/>
    <xf numFmtId="0" fontId="25" fillId="0" borderId="1" xfId="0" applyFont="1" applyBorder="1" applyAlignment="1"/>
    <xf numFmtId="0" fontId="55" fillId="0" borderId="32" xfId="0" applyFont="1" applyBorder="1"/>
    <xf numFmtId="0" fontId="25" fillId="0" borderId="32" xfId="0" applyFont="1" applyBorder="1" applyAlignment="1">
      <alignment horizontal="center"/>
    </xf>
    <xf numFmtId="0" fontId="55" fillId="0" borderId="25" xfId="0" applyFont="1" applyBorder="1"/>
    <xf numFmtId="0" fontId="25" fillId="0" borderId="24" xfId="0" applyFont="1" applyBorder="1"/>
    <xf numFmtId="0" fontId="25" fillId="0" borderId="8" xfId="0" applyFont="1" applyBorder="1"/>
    <xf numFmtId="0" fontId="25" fillId="0" borderId="30" xfId="0" applyFont="1" applyBorder="1"/>
    <xf numFmtId="0" fontId="25" fillId="0" borderId="31" xfId="0" applyFont="1" applyBorder="1"/>
    <xf numFmtId="0" fontId="25" fillId="0" borderId="29" xfId="0" applyFont="1" applyBorder="1"/>
    <xf numFmtId="0" fontId="25" fillId="0" borderId="24" xfId="0" applyFont="1" applyBorder="1" applyAlignment="1"/>
    <xf numFmtId="0" fontId="0" fillId="20" borderId="20" xfId="0" applyFill="1" applyBorder="1"/>
    <xf numFmtId="0" fontId="0" fillId="20" borderId="9" xfId="0" applyFill="1" applyBorder="1"/>
    <xf numFmtId="0" fontId="0" fillId="20" borderId="21" xfId="0" applyFill="1" applyBorder="1"/>
    <xf numFmtId="0" fontId="56" fillId="17" borderId="0" xfId="0" applyFont="1" applyFill="1" applyProtection="1">
      <protection hidden="1"/>
    </xf>
    <xf numFmtId="0" fontId="14" fillId="17" borderId="0" xfId="0" applyFont="1" applyFill="1" applyProtection="1">
      <protection hidden="1"/>
    </xf>
    <xf numFmtId="0" fontId="0" fillId="17" borderId="0" xfId="0" applyFont="1" applyFill="1" applyAlignment="1" applyProtection="1">
      <alignment horizontal="right"/>
      <protection hidden="1"/>
    </xf>
    <xf numFmtId="0" fontId="14" fillId="17" borderId="0" xfId="0" applyFont="1" applyFill="1" applyAlignment="1" applyProtection="1">
      <protection hidden="1"/>
    </xf>
    <xf numFmtId="0" fontId="14" fillId="17" borderId="0" xfId="0" applyFont="1" applyFill="1" applyBorder="1" applyProtection="1">
      <protection hidden="1"/>
    </xf>
    <xf numFmtId="0" fontId="57" fillId="17" borderId="0" xfId="0" applyFont="1" applyFill="1" applyAlignment="1" applyProtection="1">
      <alignment vertical="top"/>
      <protection hidden="1"/>
    </xf>
    <xf numFmtId="2" fontId="0" fillId="17" borderId="0" xfId="0" applyNumberFormat="1" applyFont="1" applyFill="1" applyBorder="1" applyAlignment="1" applyProtection="1">
      <alignment horizontal="center"/>
      <protection hidden="1"/>
    </xf>
    <xf numFmtId="0" fontId="13" fillId="0" borderId="0" xfId="0" applyFont="1" applyProtection="1">
      <protection hidden="1"/>
    </xf>
    <xf numFmtId="0" fontId="13" fillId="17" borderId="0" xfId="0" applyFont="1" applyFill="1" applyProtection="1">
      <protection hidden="1"/>
    </xf>
    <xf numFmtId="0" fontId="13" fillId="6" borderId="0" xfId="0" applyFont="1" applyFill="1" applyAlignment="1" applyProtection="1">
      <alignment horizontal="left"/>
      <protection hidden="1"/>
    </xf>
    <xf numFmtId="0" fontId="13" fillId="6" borderId="0" xfId="0" applyFont="1" applyFill="1" applyAlignment="1" applyProtection="1">
      <alignment horizontal="center"/>
      <protection hidden="1"/>
    </xf>
    <xf numFmtId="0" fontId="13" fillId="17" borderId="0" xfId="0" applyFont="1" applyFill="1" applyAlignment="1" applyProtection="1">
      <alignment horizontal="center"/>
      <protection hidden="1"/>
    </xf>
    <xf numFmtId="0" fontId="59" fillId="9" borderId="10" xfId="0" applyNumberFormat="1" applyFont="1" applyFill="1" applyBorder="1" applyAlignment="1" applyProtection="1">
      <alignment horizontal="left"/>
      <protection hidden="1"/>
    </xf>
    <xf numFmtId="0" fontId="13" fillId="9" borderId="7" xfId="0" applyFont="1" applyFill="1" applyBorder="1" applyProtection="1">
      <protection hidden="1"/>
    </xf>
    <xf numFmtId="0" fontId="13" fillId="9" borderId="13" xfId="0" applyNumberFormat="1" applyFont="1" applyFill="1" applyBorder="1" applyAlignment="1" applyProtection="1">
      <alignment horizontal="center"/>
      <protection hidden="1"/>
    </xf>
    <xf numFmtId="164" fontId="13" fillId="9" borderId="13" xfId="0" applyNumberFormat="1" applyFont="1" applyFill="1" applyBorder="1" applyAlignment="1" applyProtection="1">
      <alignment horizontal="right"/>
      <protection hidden="1"/>
    </xf>
    <xf numFmtId="0" fontId="13" fillId="9" borderId="13" xfId="0" applyNumberFormat="1" applyFont="1" applyFill="1" applyBorder="1" applyAlignment="1" applyProtection="1">
      <alignment horizontal="right"/>
      <protection hidden="1"/>
    </xf>
    <xf numFmtId="164" fontId="13" fillId="9" borderId="11" xfId="0" applyNumberFormat="1" applyFont="1" applyFill="1" applyBorder="1" applyAlignment="1" applyProtection="1">
      <alignment horizontal="right"/>
      <protection hidden="1"/>
    </xf>
    <xf numFmtId="164" fontId="59" fillId="0" borderId="0" xfId="0" applyNumberFormat="1" applyFont="1" applyBorder="1" applyAlignment="1" applyProtection="1">
      <alignment horizontal="left"/>
      <protection hidden="1"/>
    </xf>
    <xf numFmtId="164" fontId="13" fillId="0" borderId="23" xfId="0" applyNumberFormat="1" applyFont="1" applyBorder="1" applyAlignment="1" applyProtection="1">
      <alignment horizontal="right"/>
      <protection hidden="1"/>
    </xf>
    <xf numFmtId="164" fontId="59" fillId="4" borderId="6" xfId="0" applyNumberFormat="1" applyFont="1" applyFill="1" applyBorder="1" applyAlignment="1" applyProtection="1">
      <alignment horizontal="left"/>
      <protection hidden="1"/>
    </xf>
    <xf numFmtId="164" fontId="13" fillId="5" borderId="6" xfId="0" applyNumberFormat="1" applyFont="1" applyFill="1" applyBorder="1" applyAlignment="1" applyProtection="1">
      <alignment horizontal="left"/>
      <protection hidden="1"/>
    </xf>
    <xf numFmtId="0" fontId="13" fillId="9" borderId="6" xfId="0" applyNumberFormat="1" applyFont="1" applyFill="1" applyBorder="1" applyAlignment="1" applyProtection="1">
      <alignment horizontal="right"/>
      <protection hidden="1"/>
    </xf>
    <xf numFmtId="164" fontId="60" fillId="4" borderId="6" xfId="0" applyNumberFormat="1" applyFont="1" applyFill="1" applyBorder="1" applyAlignment="1" applyProtection="1">
      <alignment horizontal="left"/>
      <protection hidden="1"/>
    </xf>
    <xf numFmtId="164" fontId="60" fillId="4" borderId="20" xfId="0" applyNumberFormat="1" applyFont="1" applyFill="1" applyBorder="1" applyAlignment="1" applyProtection="1">
      <alignment horizontal="center" vertical="center"/>
      <protection hidden="1"/>
    </xf>
    <xf numFmtId="0" fontId="59" fillId="6" borderId="6" xfId="1" applyFont="1" applyFill="1" applyBorder="1" applyProtection="1">
      <protection hidden="1"/>
    </xf>
    <xf numFmtId="164" fontId="13" fillId="9" borderId="6" xfId="0" applyNumberFormat="1" applyFont="1" applyFill="1" applyBorder="1" applyAlignment="1" applyProtection="1">
      <alignment horizontal="right"/>
      <protection hidden="1"/>
    </xf>
    <xf numFmtId="164" fontId="61" fillId="9" borderId="6" xfId="0" applyNumberFormat="1" applyFont="1" applyFill="1" applyBorder="1" applyAlignment="1" applyProtection="1">
      <alignment horizontal="right"/>
      <protection hidden="1"/>
    </xf>
    <xf numFmtId="164" fontId="60" fillId="6" borderId="6" xfId="0" applyNumberFormat="1" applyFont="1" applyFill="1" applyBorder="1" applyAlignment="1" applyProtection="1">
      <alignment horizontal="left"/>
      <protection hidden="1"/>
    </xf>
    <xf numFmtId="164" fontId="63" fillId="6" borderId="6" xfId="0" applyNumberFormat="1" applyFont="1" applyFill="1" applyBorder="1" applyAlignment="1" applyProtection="1">
      <alignment horizontal="left"/>
      <protection hidden="1"/>
    </xf>
    <xf numFmtId="164" fontId="13" fillId="5" borderId="6" xfId="0" applyNumberFormat="1" applyFont="1" applyFill="1" applyBorder="1" applyAlignment="1" applyProtection="1">
      <alignment horizontal="left" vertical="center"/>
      <protection hidden="1"/>
    </xf>
    <xf numFmtId="0" fontId="3" fillId="15" borderId="1" xfId="0" applyFont="1" applyFill="1" applyBorder="1" applyProtection="1">
      <protection hidden="1"/>
    </xf>
    <xf numFmtId="0" fontId="3" fillId="15" borderId="32" xfId="0" applyFont="1" applyFill="1" applyBorder="1" applyProtection="1">
      <protection hidden="1"/>
    </xf>
    <xf numFmtId="0" fontId="3" fillId="15" borderId="25" xfId="0" applyFont="1" applyFill="1" applyBorder="1" applyProtection="1">
      <protection hidden="1"/>
    </xf>
    <xf numFmtId="0" fontId="3" fillId="15" borderId="24" xfId="0" applyFont="1" applyFill="1" applyBorder="1" applyProtection="1">
      <protection hidden="1"/>
    </xf>
    <xf numFmtId="0" fontId="0" fillId="15" borderId="0" xfId="0" applyFill="1" applyBorder="1" applyProtection="1">
      <protection hidden="1"/>
    </xf>
    <xf numFmtId="0" fontId="0" fillId="15" borderId="8" xfId="0" applyFill="1" applyBorder="1" applyProtection="1">
      <protection hidden="1"/>
    </xf>
    <xf numFmtId="0" fontId="3" fillId="15" borderId="30" xfId="0" applyFont="1" applyFill="1" applyBorder="1" applyProtection="1">
      <protection hidden="1"/>
    </xf>
    <xf numFmtId="0" fontId="0" fillId="15" borderId="31" xfId="0" applyFill="1" applyBorder="1" applyProtection="1">
      <protection hidden="1"/>
    </xf>
    <xf numFmtId="0" fontId="0" fillId="15" borderId="29" xfId="0" applyFill="1" applyBorder="1" applyProtection="1">
      <protection hidden="1"/>
    </xf>
    <xf numFmtId="0" fontId="0" fillId="15" borderId="0" xfId="0" applyFill="1" applyProtection="1">
      <protection hidden="1"/>
    </xf>
    <xf numFmtId="0" fontId="0" fillId="21" borderId="0" xfId="0" applyFill="1" applyProtection="1">
      <protection hidden="1"/>
    </xf>
    <xf numFmtId="0" fontId="0" fillId="22" borderId="38" xfId="0" applyFill="1" applyBorder="1" applyProtection="1">
      <protection hidden="1"/>
    </xf>
    <xf numFmtId="0" fontId="3" fillId="22" borderId="39" xfId="0" applyFont="1" applyFill="1" applyBorder="1" applyProtection="1">
      <protection hidden="1"/>
    </xf>
    <xf numFmtId="0" fontId="3" fillId="22" borderId="40" xfId="0" applyFont="1" applyFill="1" applyBorder="1" applyProtection="1">
      <protection hidden="1"/>
    </xf>
    <xf numFmtId="0" fontId="3" fillId="21" borderId="1" xfId="0" applyFont="1" applyFill="1" applyBorder="1" applyProtection="1">
      <protection hidden="1"/>
    </xf>
    <xf numFmtId="0" fontId="3" fillId="21" borderId="32" xfId="0" applyFont="1" applyFill="1" applyBorder="1" applyProtection="1">
      <protection hidden="1"/>
    </xf>
    <xf numFmtId="0" fontId="3" fillId="22" borderId="41" xfId="0" applyFont="1" applyFill="1" applyBorder="1" applyProtection="1">
      <protection hidden="1"/>
    </xf>
    <xf numFmtId="0" fontId="3" fillId="22" borderId="0" xfId="0" applyFont="1" applyFill="1" applyBorder="1" applyProtection="1">
      <protection hidden="1"/>
    </xf>
    <xf numFmtId="0" fontId="3" fillId="22" borderId="42" xfId="0" applyFont="1" applyFill="1" applyBorder="1" applyProtection="1">
      <protection hidden="1"/>
    </xf>
    <xf numFmtId="0" fontId="0" fillId="22" borderId="0" xfId="0" applyFill="1" applyBorder="1" applyProtection="1">
      <protection hidden="1"/>
    </xf>
    <xf numFmtId="0" fontId="0" fillId="22" borderId="42" xfId="0" applyFill="1" applyBorder="1" applyProtection="1">
      <protection hidden="1"/>
    </xf>
    <xf numFmtId="0" fontId="3" fillId="22" borderId="43" xfId="0" applyFont="1" applyFill="1" applyBorder="1" applyProtection="1">
      <protection hidden="1"/>
    </xf>
    <xf numFmtId="0" fontId="0" fillId="22" borderId="44" xfId="0" applyFill="1" applyBorder="1" applyProtection="1">
      <protection hidden="1"/>
    </xf>
    <xf numFmtId="0" fontId="0" fillId="22" borderId="45" xfId="0" applyFill="1" applyBorder="1" applyProtection="1">
      <protection hidden="1"/>
    </xf>
    <xf numFmtId="0" fontId="3" fillId="21" borderId="24" xfId="0" applyFont="1" applyFill="1" applyBorder="1" applyProtection="1">
      <protection hidden="1"/>
    </xf>
    <xf numFmtId="0" fontId="0" fillId="21" borderId="0" xfId="0" applyFill="1" applyBorder="1" applyProtection="1">
      <protection hidden="1"/>
    </xf>
    <xf numFmtId="0" fontId="0" fillId="19" borderId="0" xfId="0" applyFill="1" applyProtection="1">
      <protection hidden="1"/>
    </xf>
    <xf numFmtId="0" fontId="0" fillId="19" borderId="1" xfId="0" applyFill="1" applyBorder="1" applyProtection="1">
      <protection hidden="1"/>
    </xf>
    <xf numFmtId="0" fontId="0" fillId="19" borderId="32" xfId="0" applyFill="1" applyBorder="1" applyProtection="1">
      <protection hidden="1"/>
    </xf>
    <xf numFmtId="0" fontId="0" fillId="19" borderId="24" xfId="0" applyFill="1" applyBorder="1" applyProtection="1">
      <protection hidden="1"/>
    </xf>
    <xf numFmtId="0" fontId="0" fillId="19" borderId="0" xfId="0" applyFill="1" applyBorder="1" applyProtection="1">
      <protection hidden="1"/>
    </xf>
    <xf numFmtId="0" fontId="3" fillId="21" borderId="30" xfId="0" applyFont="1" applyFill="1" applyBorder="1" applyProtection="1">
      <protection hidden="1"/>
    </xf>
    <xf numFmtId="0" fontId="3" fillId="21" borderId="0" xfId="0" applyFont="1" applyFill="1" applyBorder="1" applyProtection="1">
      <protection hidden="1"/>
    </xf>
    <xf numFmtId="0" fontId="54" fillId="0" borderId="1" xfId="0" applyFont="1" applyBorder="1" applyProtection="1">
      <protection hidden="1"/>
    </xf>
    <xf numFmtId="0" fontId="0" fillId="0" borderId="32" xfId="0" applyBorder="1" applyProtection="1">
      <protection hidden="1"/>
    </xf>
    <xf numFmtId="0" fontId="0" fillId="0" borderId="25" xfId="0" applyBorder="1" applyProtection="1">
      <protection hidden="1"/>
    </xf>
    <xf numFmtId="0" fontId="56" fillId="0" borderId="1" xfId="0" applyFont="1" applyBorder="1" applyProtection="1">
      <protection hidden="1"/>
    </xf>
    <xf numFmtId="0" fontId="3" fillId="0" borderId="1" xfId="0" applyFont="1" applyBorder="1" applyProtection="1">
      <protection hidden="1"/>
    </xf>
    <xf numFmtId="0" fontId="0" fillId="0" borderId="24" xfId="0" applyBorder="1" applyProtection="1">
      <protection hidden="1"/>
    </xf>
    <xf numFmtId="0" fontId="0" fillId="11" borderId="20" xfId="0" applyFill="1" applyBorder="1" applyProtection="1">
      <protection hidden="1"/>
    </xf>
    <xf numFmtId="0" fontId="0" fillId="0" borderId="8" xfId="0" applyBorder="1" applyProtection="1">
      <protection hidden="1"/>
    </xf>
    <xf numFmtId="0" fontId="0" fillId="0" borderId="0" xfId="0" applyBorder="1" applyProtection="1">
      <protection hidden="1"/>
    </xf>
    <xf numFmtId="0" fontId="0" fillId="23" borderId="8" xfId="0" applyFill="1" applyBorder="1" applyProtection="1">
      <protection hidden="1"/>
    </xf>
    <xf numFmtId="0" fontId="0" fillId="0" borderId="1" xfId="0" applyBorder="1" applyProtection="1">
      <protection hidden="1"/>
    </xf>
    <xf numFmtId="0" fontId="0" fillId="11" borderId="9" xfId="0" applyFill="1" applyBorder="1" applyProtection="1">
      <protection hidden="1"/>
    </xf>
    <xf numFmtId="0" fontId="0" fillId="0" borderId="30" xfId="0" applyBorder="1" applyProtection="1">
      <protection hidden="1"/>
    </xf>
    <xf numFmtId="0" fontId="0" fillId="0" borderId="31" xfId="0" applyBorder="1" applyProtection="1">
      <protection hidden="1"/>
    </xf>
    <xf numFmtId="0" fontId="0" fillId="23" borderId="29" xfId="0" applyFill="1" applyBorder="1" applyProtection="1">
      <protection hidden="1"/>
    </xf>
    <xf numFmtId="0" fontId="0" fillId="0" borderId="31" xfId="0" applyBorder="1" applyAlignment="1" applyProtection="1">
      <alignment horizontal="right"/>
      <protection hidden="1"/>
    </xf>
    <xf numFmtId="0" fontId="0" fillId="11" borderId="31" xfId="0" applyFill="1" applyBorder="1" applyProtection="1">
      <protection hidden="1"/>
    </xf>
    <xf numFmtId="0" fontId="0" fillId="11" borderId="29" xfId="0" applyFill="1" applyBorder="1" applyProtection="1">
      <protection hidden="1"/>
    </xf>
    <xf numFmtId="0" fontId="3" fillId="19" borderId="32" xfId="0" applyFont="1" applyFill="1" applyBorder="1" applyProtection="1">
      <protection hidden="1"/>
    </xf>
    <xf numFmtId="14" fontId="0" fillId="0" borderId="25" xfId="0" applyNumberFormat="1" applyBorder="1" applyProtection="1">
      <protection hidden="1"/>
    </xf>
    <xf numFmtId="0" fontId="0" fillId="0" borderId="8" xfId="0" applyBorder="1" applyAlignment="1">
      <alignment horizontal="right"/>
    </xf>
    <xf numFmtId="0" fontId="0" fillId="0" borderId="29" xfId="0" applyBorder="1" applyProtection="1">
      <protection hidden="1"/>
    </xf>
    <xf numFmtId="0" fontId="3" fillId="0" borderId="0" xfId="0" applyFont="1" applyBorder="1" applyProtection="1">
      <protection hidden="1"/>
    </xf>
    <xf numFmtId="0" fontId="3" fillId="19" borderId="0" xfId="0" applyFont="1" applyFill="1" applyBorder="1" applyProtection="1">
      <protection hidden="1"/>
    </xf>
    <xf numFmtId="0" fontId="0" fillId="11" borderId="21" xfId="0" applyFill="1" applyBorder="1" applyProtection="1">
      <protection hidden="1"/>
    </xf>
    <xf numFmtId="0" fontId="0" fillId="19" borderId="0" xfId="0" applyFill="1" applyBorder="1" applyAlignment="1" applyProtection="1">
      <alignment horizontal="right"/>
      <protection hidden="1"/>
    </xf>
    <xf numFmtId="0" fontId="0" fillId="11" borderId="8" xfId="0" applyFill="1" applyBorder="1" applyProtection="1">
      <protection hidden="1"/>
    </xf>
    <xf numFmtId="0" fontId="64" fillId="24" borderId="0" xfId="0" applyFont="1" applyFill="1" applyBorder="1" applyProtection="1">
      <protection hidden="1"/>
    </xf>
    <xf numFmtId="0" fontId="0" fillId="24" borderId="0" xfId="0" applyFill="1" applyBorder="1" applyProtection="1">
      <protection hidden="1"/>
    </xf>
    <xf numFmtId="0" fontId="64" fillId="0" borderId="0" xfId="0" applyFont="1" applyBorder="1" applyProtection="1">
      <protection hidden="1"/>
    </xf>
    <xf numFmtId="0" fontId="0" fillId="0" borderId="6" xfId="0" applyBorder="1" applyProtection="1">
      <protection hidden="1"/>
    </xf>
    <xf numFmtId="0" fontId="3" fillId="19" borderId="24" xfId="0" applyFont="1" applyFill="1" applyBorder="1" applyProtection="1">
      <protection hidden="1"/>
    </xf>
    <xf numFmtId="0" fontId="3" fillId="24" borderId="0" xfId="0" applyFont="1" applyFill="1" applyBorder="1" applyProtection="1">
      <protection hidden="1"/>
    </xf>
    <xf numFmtId="0" fontId="0" fillId="8" borderId="0" xfId="0" applyFont="1" applyFill="1" applyBorder="1" applyProtection="1">
      <protection hidden="1"/>
    </xf>
    <xf numFmtId="0" fontId="0" fillId="8" borderId="0" xfId="0" applyFont="1" applyFill="1" applyBorder="1" applyAlignment="1" applyProtection="1">
      <alignment horizontal="right"/>
      <protection hidden="1"/>
    </xf>
    <xf numFmtId="0" fontId="0" fillId="0" borderId="20" xfId="0" applyBorder="1" applyProtection="1">
      <protection hidden="1"/>
    </xf>
    <xf numFmtId="0" fontId="0" fillId="0" borderId="9" xfId="0" applyBorder="1" applyProtection="1">
      <protection hidden="1"/>
    </xf>
    <xf numFmtId="0" fontId="0" fillId="0" borderId="21" xfId="0" applyBorder="1" applyProtection="1">
      <protection hidden="1"/>
    </xf>
    <xf numFmtId="0" fontId="0" fillId="19" borderId="24" xfId="0" applyFill="1" applyBorder="1"/>
    <xf numFmtId="0" fontId="0" fillId="19" borderId="0" xfId="0" applyFill="1" applyBorder="1"/>
    <xf numFmtId="0" fontId="0" fillId="24" borderId="0" xfId="0" applyFill="1" applyBorder="1"/>
    <xf numFmtId="0" fontId="0" fillId="24" borderId="0" xfId="0" applyFill="1" applyBorder="1" applyAlignment="1" applyProtection="1">
      <alignment horizontal="right"/>
      <protection hidden="1"/>
    </xf>
    <xf numFmtId="0" fontId="0" fillId="6" borderId="0" xfId="0" applyFont="1" applyFill="1" applyBorder="1" applyProtection="1">
      <protection hidden="1"/>
    </xf>
    <xf numFmtId="0" fontId="0" fillId="6" borderId="0" xfId="0" applyFill="1" applyBorder="1" applyProtection="1">
      <protection hidden="1"/>
    </xf>
    <xf numFmtId="0" fontId="0" fillId="6" borderId="8" xfId="0" applyFont="1" applyFill="1" applyBorder="1" applyAlignment="1" applyProtection="1">
      <alignment horizontal="right"/>
      <protection hidden="1"/>
    </xf>
    <xf numFmtId="14" fontId="0" fillId="0" borderId="0" xfId="0" applyNumberFormat="1" applyProtection="1">
      <protection hidden="1"/>
    </xf>
    <xf numFmtId="0" fontId="3" fillId="0" borderId="6" xfId="0" applyFont="1" applyBorder="1" applyAlignment="1" applyProtection="1">
      <protection locked="0"/>
    </xf>
    <xf numFmtId="0" fontId="3" fillId="0" borderId="0" xfId="0" applyFont="1" applyBorder="1" applyAlignment="1" applyProtection="1">
      <protection locked="0"/>
    </xf>
    <xf numFmtId="0" fontId="0" fillId="3" borderId="0" xfId="0" applyFill="1" applyAlignment="1"/>
    <xf numFmtId="0" fontId="0" fillId="0" borderId="6" xfId="0" applyBorder="1" applyAlignment="1" applyProtection="1">
      <protection locked="0"/>
    </xf>
    <xf numFmtId="0" fontId="0" fillId="0" borderId="0" xfId="0" applyBorder="1" applyAlignment="1" applyProtection="1">
      <protection locked="0"/>
    </xf>
    <xf numFmtId="0" fontId="0" fillId="0" borderId="0" xfId="0" applyFill="1" applyProtection="1">
      <protection locked="0"/>
    </xf>
    <xf numFmtId="14" fontId="0" fillId="19" borderId="0" xfId="0" applyNumberFormat="1" applyFill="1" applyProtection="1">
      <protection hidden="1"/>
    </xf>
    <xf numFmtId="0" fontId="0" fillId="19" borderId="30" xfId="0" applyFill="1" applyBorder="1" applyProtection="1">
      <protection hidden="1"/>
    </xf>
    <xf numFmtId="0" fontId="0" fillId="0" borderId="0" xfId="0" applyBorder="1" applyAlignment="1">
      <alignment vertical="center" wrapText="1"/>
    </xf>
    <xf numFmtId="0" fontId="0" fillId="6" borderId="8" xfId="0" applyFill="1" applyBorder="1" applyAlignment="1" applyProtection="1">
      <alignment horizontal="right"/>
      <protection hidden="1"/>
    </xf>
    <xf numFmtId="0" fontId="3" fillId="19" borderId="0" xfId="0" applyFont="1" applyFill="1" applyProtection="1">
      <protection hidden="1"/>
    </xf>
    <xf numFmtId="0" fontId="0" fillId="19" borderId="30" xfId="0" applyFill="1" applyBorder="1"/>
    <xf numFmtId="0" fontId="0" fillId="19" borderId="31" xfId="0" applyFill="1" applyBorder="1" applyProtection="1">
      <protection hidden="1"/>
    </xf>
    <xf numFmtId="0" fontId="0" fillId="19" borderId="31" xfId="0" applyFill="1" applyBorder="1" applyAlignment="1" applyProtection="1">
      <alignment horizontal="right"/>
      <protection hidden="1"/>
    </xf>
    <xf numFmtId="0" fontId="0" fillId="19" borderId="31" xfId="0" applyFill="1" applyBorder="1"/>
    <xf numFmtId="0" fontId="0" fillId="24" borderId="31" xfId="0" applyFill="1" applyBorder="1"/>
    <xf numFmtId="0" fontId="0" fillId="24" borderId="31" xfId="0" applyFill="1" applyBorder="1" applyProtection="1">
      <protection hidden="1"/>
    </xf>
    <xf numFmtId="0" fontId="0" fillId="24" borderId="31" xfId="0" applyFill="1" applyBorder="1" applyAlignment="1" applyProtection="1">
      <alignment horizontal="right"/>
      <protection hidden="1"/>
    </xf>
    <xf numFmtId="0" fontId="0" fillId="6" borderId="31" xfId="0" applyFill="1" applyBorder="1" applyProtection="1">
      <protection hidden="1"/>
    </xf>
    <xf numFmtId="0" fontId="0" fillId="6" borderId="29" xfId="0" applyFill="1" applyBorder="1" applyAlignment="1" applyProtection="1">
      <alignment horizontal="right"/>
      <protection hidden="1"/>
    </xf>
    <xf numFmtId="0" fontId="64" fillId="25" borderId="0" xfId="0" applyFont="1" applyFill="1" applyProtection="1">
      <protection hidden="1"/>
    </xf>
    <xf numFmtId="0" fontId="0" fillId="25" borderId="0" xfId="0" applyFill="1" applyProtection="1">
      <protection hidden="1"/>
    </xf>
    <xf numFmtId="0" fontId="3" fillId="24" borderId="0" xfId="0" applyFont="1" applyFill="1" applyProtection="1">
      <protection hidden="1"/>
    </xf>
    <xf numFmtId="0" fontId="0" fillId="24" borderId="0" xfId="0" applyFill="1" applyProtection="1">
      <protection hidden="1"/>
    </xf>
    <xf numFmtId="0" fontId="65" fillId="22" borderId="0" xfId="0" applyFont="1" applyFill="1" applyProtection="1">
      <protection hidden="1"/>
    </xf>
    <xf numFmtId="0" fontId="0" fillId="22" borderId="0" xfId="0" applyFill="1" applyProtection="1">
      <protection hidden="1"/>
    </xf>
    <xf numFmtId="0" fontId="3" fillId="25" borderId="0" xfId="0" applyFont="1" applyFill="1" applyProtection="1">
      <protection hidden="1"/>
    </xf>
    <xf numFmtId="0" fontId="0" fillId="22" borderId="29" xfId="0" applyFill="1" applyBorder="1" applyProtection="1">
      <protection hidden="1"/>
    </xf>
    <xf numFmtId="0" fontId="3" fillId="22" borderId="27" xfId="0" applyFont="1" applyFill="1" applyBorder="1" applyProtection="1">
      <protection hidden="1"/>
    </xf>
    <xf numFmtId="0" fontId="0" fillId="22" borderId="21" xfId="1" applyFont="1" applyFill="1" applyBorder="1" applyProtection="1">
      <protection hidden="1"/>
    </xf>
    <xf numFmtId="0" fontId="0" fillId="22" borderId="0" xfId="0" applyFill="1" applyBorder="1" applyAlignment="1" applyProtection="1">
      <alignment horizontal="center"/>
      <protection hidden="1"/>
    </xf>
    <xf numFmtId="0" fontId="0" fillId="22" borderId="6" xfId="1" applyFont="1" applyFill="1" applyBorder="1" applyProtection="1">
      <protection hidden="1"/>
    </xf>
    <xf numFmtId="164" fontId="17" fillId="22" borderId="6" xfId="0" applyNumberFormat="1" applyFont="1" applyFill="1" applyBorder="1" applyAlignment="1" applyProtection="1">
      <alignment horizontal="left"/>
      <protection hidden="1"/>
    </xf>
    <xf numFmtId="164" fontId="19" fillId="22" borderId="6" xfId="0" applyNumberFormat="1" applyFont="1" applyFill="1" applyBorder="1" applyAlignment="1" applyProtection="1">
      <alignment horizontal="left"/>
      <protection hidden="1"/>
    </xf>
    <xf numFmtId="0" fontId="0" fillId="17" borderId="1" xfId="0" applyFill="1" applyBorder="1" applyProtection="1">
      <protection hidden="1"/>
    </xf>
    <xf numFmtId="0" fontId="0" fillId="17" borderId="32" xfId="0" applyFill="1" applyBorder="1" applyProtection="1">
      <protection hidden="1"/>
    </xf>
    <xf numFmtId="0" fontId="67" fillId="17" borderId="32" xfId="0" applyFont="1" applyFill="1" applyBorder="1" applyProtection="1">
      <protection hidden="1"/>
    </xf>
    <xf numFmtId="0" fontId="30" fillId="17" borderId="32" xfId="0" applyFont="1" applyFill="1" applyBorder="1" applyProtection="1">
      <protection hidden="1"/>
    </xf>
    <xf numFmtId="0" fontId="68" fillId="17" borderId="32" xfId="0" applyFont="1" applyFill="1" applyBorder="1" applyProtection="1">
      <protection hidden="1"/>
    </xf>
    <xf numFmtId="0" fontId="0" fillId="17" borderId="25" xfId="0" applyFill="1" applyBorder="1" applyProtection="1">
      <protection hidden="1"/>
    </xf>
    <xf numFmtId="0" fontId="0" fillId="17" borderId="24" xfId="0" applyFill="1" applyBorder="1" applyProtection="1">
      <protection hidden="1"/>
    </xf>
    <xf numFmtId="0" fontId="66" fillId="17" borderId="0" xfId="0" applyFont="1" applyFill="1" applyBorder="1" applyProtection="1">
      <protection hidden="1"/>
    </xf>
    <xf numFmtId="0" fontId="0" fillId="17" borderId="0" xfId="0" applyFill="1" applyBorder="1" applyProtection="1">
      <protection hidden="1"/>
    </xf>
    <xf numFmtId="0" fontId="54" fillId="17" borderId="0" xfId="0" applyFont="1" applyFill="1" applyBorder="1" applyProtection="1">
      <protection hidden="1"/>
    </xf>
    <xf numFmtId="0" fontId="2" fillId="17" borderId="0" xfId="0" applyFont="1" applyFill="1" applyBorder="1" applyProtection="1">
      <protection hidden="1"/>
    </xf>
    <xf numFmtId="0" fontId="3" fillId="17" borderId="0" xfId="0" applyFont="1" applyFill="1" applyBorder="1" applyProtection="1">
      <protection hidden="1"/>
    </xf>
    <xf numFmtId="0" fontId="0" fillId="17" borderId="8" xfId="0" applyFill="1" applyBorder="1" applyProtection="1">
      <protection hidden="1"/>
    </xf>
    <xf numFmtId="0" fontId="0" fillId="23" borderId="24" xfId="0" applyFill="1" applyBorder="1" applyProtection="1">
      <protection hidden="1"/>
    </xf>
    <xf numFmtId="0" fontId="3" fillId="23" borderId="0" xfId="0" applyFont="1" applyFill="1" applyBorder="1" applyAlignment="1" applyProtection="1">
      <alignment horizontal="left"/>
      <protection hidden="1"/>
    </xf>
    <xf numFmtId="0" fontId="3" fillId="23" borderId="0" xfId="0" applyFont="1" applyFill="1" applyBorder="1" applyProtection="1">
      <protection hidden="1"/>
    </xf>
    <xf numFmtId="0" fontId="4" fillId="23" borderId="0" xfId="0" applyFont="1" applyFill="1" applyBorder="1" applyProtection="1">
      <protection hidden="1"/>
    </xf>
    <xf numFmtId="0" fontId="3" fillId="17" borderId="8" xfId="0" applyFont="1" applyFill="1" applyBorder="1" applyProtection="1">
      <protection hidden="1"/>
    </xf>
    <xf numFmtId="0" fontId="0" fillId="17" borderId="0" xfId="0" applyFill="1" applyBorder="1" applyProtection="1">
      <protection locked="0"/>
    </xf>
    <xf numFmtId="0" fontId="0" fillId="17" borderId="0" xfId="0" applyFill="1" applyBorder="1" applyAlignment="1" applyProtection="1">
      <alignment horizontal="left"/>
      <protection hidden="1"/>
    </xf>
    <xf numFmtId="0" fontId="69" fillId="26" borderId="0" xfId="0" applyFont="1" applyFill="1" applyBorder="1" applyAlignment="1" applyProtection="1">
      <alignment vertical="center"/>
      <protection hidden="1"/>
    </xf>
    <xf numFmtId="0" fontId="69" fillId="17" borderId="0" xfId="0" applyFont="1" applyFill="1" applyBorder="1" applyAlignment="1" applyProtection="1">
      <alignment vertical="center"/>
      <protection hidden="1"/>
    </xf>
    <xf numFmtId="0" fontId="47" fillId="26" borderId="0" xfId="0" applyFont="1" applyFill="1" applyBorder="1" applyAlignment="1" applyProtection="1">
      <alignment vertical="center"/>
      <protection hidden="1"/>
    </xf>
    <xf numFmtId="0" fontId="47" fillId="17" borderId="0" xfId="0" applyFont="1" applyFill="1" applyBorder="1" applyAlignment="1" applyProtection="1">
      <alignment vertical="center"/>
      <protection hidden="1"/>
    </xf>
    <xf numFmtId="0" fontId="72" fillId="0" borderId="0" xfId="0" applyFont="1"/>
    <xf numFmtId="0" fontId="3" fillId="5" borderId="0" xfId="0" applyFont="1" applyFill="1" applyProtection="1">
      <protection hidden="1"/>
    </xf>
    <xf numFmtId="0" fontId="73" fillId="0" borderId="0" xfId="0" applyFont="1"/>
    <xf numFmtId="0" fontId="0" fillId="25" borderId="0" xfId="0" applyFill="1"/>
    <xf numFmtId="0" fontId="0" fillId="5" borderId="0" xfId="0" applyFill="1" applyProtection="1">
      <protection hidden="1"/>
    </xf>
    <xf numFmtId="0" fontId="0" fillId="17" borderId="30" xfId="0" applyFill="1" applyBorder="1" applyProtection="1">
      <protection hidden="1"/>
    </xf>
    <xf numFmtId="0" fontId="0" fillId="17" borderId="31" xfId="0" applyFill="1" applyBorder="1" applyProtection="1">
      <protection locked="0"/>
    </xf>
    <xf numFmtId="0" fontId="0" fillId="17" borderId="31" xfId="0" applyFill="1" applyBorder="1" applyAlignment="1" applyProtection="1">
      <alignment horizontal="left"/>
      <protection hidden="1"/>
    </xf>
    <xf numFmtId="0" fontId="47" fillId="26" borderId="31" xfId="0" applyFont="1" applyFill="1" applyBorder="1" applyAlignment="1" applyProtection="1">
      <alignment vertical="center"/>
      <protection hidden="1"/>
    </xf>
    <xf numFmtId="0" fontId="47" fillId="17" borderId="31" xfId="0" applyFont="1" applyFill="1" applyBorder="1" applyAlignment="1" applyProtection="1">
      <alignment vertical="center"/>
      <protection hidden="1"/>
    </xf>
    <xf numFmtId="0" fontId="69" fillId="17" borderId="31" xfId="0" applyFont="1" applyFill="1" applyBorder="1" applyAlignment="1" applyProtection="1">
      <alignment vertical="center"/>
      <protection hidden="1"/>
    </xf>
    <xf numFmtId="0" fontId="0" fillId="17" borderId="31" xfId="0" applyFill="1" applyBorder="1" applyProtection="1">
      <protection hidden="1"/>
    </xf>
    <xf numFmtId="0" fontId="0" fillId="17" borderId="29" xfId="0" applyFill="1" applyBorder="1" applyProtection="1">
      <protection hidden="1"/>
    </xf>
    <xf numFmtId="0" fontId="3" fillId="17" borderId="1" xfId="0" applyFont="1" applyFill="1" applyBorder="1" applyProtection="1">
      <protection hidden="1"/>
    </xf>
    <xf numFmtId="0" fontId="3" fillId="27" borderId="32" xfId="0" applyFont="1" applyFill="1" applyBorder="1" applyProtection="1">
      <protection hidden="1"/>
    </xf>
    <xf numFmtId="0" fontId="0" fillId="26" borderId="24" xfId="0" applyFill="1" applyBorder="1" applyProtection="1">
      <protection hidden="1"/>
    </xf>
    <xf numFmtId="0" fontId="0" fillId="27" borderId="0" xfId="0" applyFill="1" applyBorder="1" applyProtection="1">
      <protection hidden="1"/>
    </xf>
    <xf numFmtId="0" fontId="0" fillId="0" borderId="0" xfId="0" applyProtection="1"/>
    <xf numFmtId="0" fontId="73" fillId="0" borderId="0" xfId="0" applyFont="1" applyProtection="1"/>
    <xf numFmtId="0" fontId="0" fillId="0" borderId="0" xfId="0" applyAlignment="1" applyProtection="1">
      <alignment horizontal="right"/>
    </xf>
    <xf numFmtId="0" fontId="3" fillId="5" borderId="0" xfId="0" applyFont="1" applyFill="1" applyAlignment="1" applyProtection="1">
      <alignment horizontal="right"/>
      <protection hidden="1"/>
    </xf>
    <xf numFmtId="0" fontId="3" fillId="0" borderId="0" xfId="0" applyFont="1" applyProtection="1"/>
    <xf numFmtId="0" fontId="0" fillId="5" borderId="0" xfId="0" applyFill="1" applyAlignment="1" applyProtection="1">
      <alignment horizontal="right"/>
      <protection hidden="1"/>
    </xf>
    <xf numFmtId="0" fontId="0" fillId="15" borderId="0" xfId="0" applyFill="1" applyAlignment="1" applyProtection="1">
      <alignment horizontal="right"/>
      <protection hidden="1"/>
    </xf>
    <xf numFmtId="0" fontId="0" fillId="0" borderId="0" xfId="0" applyFill="1" applyProtection="1">
      <protection hidden="1"/>
    </xf>
    <xf numFmtId="0" fontId="0" fillId="26" borderId="30" xfId="0" applyFill="1" applyBorder="1" applyProtection="1">
      <protection hidden="1"/>
    </xf>
    <xf numFmtId="0" fontId="0" fillId="0" borderId="0" xfId="0" applyFill="1" applyBorder="1" applyProtection="1">
      <protection hidden="1"/>
    </xf>
    <xf numFmtId="0" fontId="0" fillId="0" borderId="31" xfId="0" applyFill="1" applyBorder="1" applyProtection="1">
      <protection hidden="1"/>
    </xf>
    <xf numFmtId="0" fontId="3" fillId="0" borderId="32" xfId="0" applyFont="1" applyBorder="1" applyProtection="1">
      <protection hidden="1"/>
    </xf>
    <xf numFmtId="0" fontId="64" fillId="0" borderId="0" xfId="0" applyFont="1" applyProtection="1">
      <protection hidden="1"/>
    </xf>
    <xf numFmtId="0" fontId="3" fillId="0" borderId="0" xfId="0" applyFont="1" applyAlignment="1" applyProtection="1">
      <alignment horizontal="right"/>
      <protection hidden="1"/>
    </xf>
    <xf numFmtId="0" fontId="0" fillId="0" borderId="0" xfId="0" applyFont="1" applyAlignment="1" applyProtection="1">
      <alignment horizontal="right"/>
      <protection hidden="1"/>
    </xf>
    <xf numFmtId="0" fontId="3" fillId="0" borderId="6" xfId="0" applyFont="1" applyBorder="1" applyProtection="1">
      <protection hidden="1"/>
    </xf>
    <xf numFmtId="0" fontId="3" fillId="28" borderId="0" xfId="0" applyFont="1" applyFill="1" applyProtection="1">
      <protection hidden="1"/>
    </xf>
    <xf numFmtId="0" fontId="3" fillId="28" borderId="0" xfId="0" applyFont="1" applyFill="1" applyAlignment="1" applyProtection="1">
      <protection hidden="1"/>
    </xf>
    <xf numFmtId="0" fontId="0" fillId="28" borderId="0" xfId="0" applyFont="1" applyFill="1" applyProtection="1">
      <protection hidden="1"/>
    </xf>
    <xf numFmtId="0" fontId="0" fillId="14" borderId="0" xfId="0" applyFill="1" applyProtection="1">
      <protection hidden="1"/>
    </xf>
    <xf numFmtId="0" fontId="0" fillId="0" borderId="0" xfId="0" applyProtection="1">
      <protection locked="0" hidden="1"/>
    </xf>
    <xf numFmtId="0" fontId="0" fillId="0" borderId="24" xfId="0" applyBorder="1" applyProtection="1">
      <protection locked="0" hidden="1"/>
    </xf>
    <xf numFmtId="0" fontId="74" fillId="3" borderId="0" xfId="0" applyFont="1" applyFill="1"/>
    <xf numFmtId="0" fontId="39" fillId="0" borderId="0" xfId="0" applyFont="1" applyAlignment="1" applyProtection="1">
      <protection locked="0"/>
    </xf>
    <xf numFmtId="0" fontId="36" fillId="3" borderId="0" xfId="0" applyFont="1" applyFill="1" applyAlignment="1">
      <alignment horizontal="center" vertical="center"/>
    </xf>
    <xf numFmtId="0" fontId="31" fillId="0" borderId="0" xfId="0" applyFont="1" applyAlignment="1" applyProtection="1">
      <alignment vertical="center"/>
    </xf>
    <xf numFmtId="0" fontId="75" fillId="3" borderId="0" xfId="3" applyFont="1" applyFill="1"/>
    <xf numFmtId="0" fontId="77" fillId="3" borderId="0" xfId="3" applyFont="1" applyFill="1" applyAlignment="1">
      <alignment horizontal="left"/>
    </xf>
    <xf numFmtId="0" fontId="0" fillId="17" borderId="0" xfId="0" applyFill="1"/>
    <xf numFmtId="0" fontId="3" fillId="17" borderId="0" xfId="0" applyFont="1" applyFill="1" applyAlignment="1" applyProtection="1">
      <protection hidden="1"/>
    </xf>
    <xf numFmtId="0" fontId="78" fillId="3" borderId="0" xfId="3" applyFont="1" applyFill="1"/>
    <xf numFmtId="0" fontId="78" fillId="3" borderId="0" xfId="3" applyFont="1" applyFill="1" applyAlignment="1">
      <alignment horizontal="left"/>
    </xf>
    <xf numFmtId="0" fontId="80" fillId="17" borderId="0" xfId="0" applyFont="1" applyFill="1" applyProtection="1">
      <protection hidden="1"/>
    </xf>
    <xf numFmtId="0" fontId="81" fillId="17" borderId="0" xfId="0" applyFont="1" applyFill="1" applyProtection="1">
      <protection hidden="1"/>
    </xf>
    <xf numFmtId="0" fontId="0" fillId="29" borderId="0" xfId="0" applyFill="1"/>
    <xf numFmtId="0" fontId="82" fillId="0" borderId="0" xfId="0" applyFont="1"/>
    <xf numFmtId="0" fontId="0" fillId="6" borderId="0" xfId="0" applyFill="1" applyProtection="1">
      <protection hidden="1"/>
    </xf>
    <xf numFmtId="0" fontId="0" fillId="30" borderId="0" xfId="0" applyFill="1" applyProtection="1">
      <protection hidden="1"/>
    </xf>
    <xf numFmtId="0" fontId="0" fillId="9" borderId="6" xfId="0" applyFill="1" applyBorder="1"/>
    <xf numFmtId="0" fontId="58" fillId="9" borderId="6" xfId="0" applyFont="1" applyFill="1" applyBorder="1"/>
    <xf numFmtId="0" fontId="58" fillId="9" borderId="6" xfId="0" applyFont="1" applyFill="1" applyBorder="1" applyAlignment="1">
      <alignment horizontal="center" vertical="center" wrapText="1"/>
    </xf>
    <xf numFmtId="0" fontId="0" fillId="17" borderId="47" xfId="0" applyFill="1" applyBorder="1"/>
    <xf numFmtId="0" fontId="0" fillId="17" borderId="46" xfId="0" applyFill="1" applyBorder="1"/>
    <xf numFmtId="0" fontId="0" fillId="9" borderId="21" xfId="0" applyFill="1" applyBorder="1"/>
    <xf numFmtId="0" fontId="0" fillId="17" borderId="48" xfId="0" applyFill="1" applyBorder="1"/>
    <xf numFmtId="0" fontId="50" fillId="16" borderId="0" xfId="0" applyFont="1" applyFill="1" applyProtection="1"/>
    <xf numFmtId="0" fontId="86" fillId="16" borderId="0" xfId="0" applyFont="1" applyFill="1" applyProtection="1"/>
    <xf numFmtId="0" fontId="87" fillId="3" borderId="0" xfId="3" applyFont="1" applyFill="1" applyAlignment="1"/>
    <xf numFmtId="0" fontId="88" fillId="3" borderId="0" xfId="3" applyFont="1" applyFill="1" applyAlignment="1"/>
    <xf numFmtId="0" fontId="89" fillId="3" borderId="0" xfId="0" applyFont="1" applyFill="1" applyAlignment="1"/>
    <xf numFmtId="0" fontId="56" fillId="31" borderId="0" xfId="0" applyFont="1" applyFill="1"/>
    <xf numFmtId="0" fontId="0" fillId="31" borderId="0" xfId="0" applyFill="1"/>
    <xf numFmtId="0" fontId="79" fillId="31" borderId="0" xfId="0" applyFont="1" applyFill="1"/>
    <xf numFmtId="0" fontId="3" fillId="31" borderId="0" xfId="0" applyFont="1" applyFill="1"/>
    <xf numFmtId="0" fontId="76" fillId="31" borderId="0" xfId="3" applyFill="1"/>
    <xf numFmtId="0" fontId="58" fillId="9" borderId="6" xfId="0" applyFont="1" applyFill="1" applyBorder="1" applyProtection="1">
      <protection hidden="1"/>
    </xf>
    <xf numFmtId="0" fontId="58" fillId="9" borderId="6" xfId="0" applyFont="1" applyFill="1" applyBorder="1" applyAlignment="1" applyProtection="1">
      <alignment horizontal="center" vertical="center" wrapText="1"/>
      <protection hidden="1"/>
    </xf>
    <xf numFmtId="0" fontId="0" fillId="9" borderId="0" xfId="0" applyFill="1" applyProtection="1">
      <protection hidden="1"/>
    </xf>
    <xf numFmtId="0" fontId="0" fillId="9" borderId="21" xfId="0" applyFill="1" applyBorder="1" applyProtection="1">
      <protection hidden="1"/>
    </xf>
    <xf numFmtId="0" fontId="0" fillId="17" borderId="47" xfId="0" applyFill="1" applyBorder="1" applyProtection="1">
      <protection hidden="1"/>
    </xf>
    <xf numFmtId="0" fontId="0" fillId="9" borderId="6" xfId="0" applyFill="1" applyBorder="1" applyProtection="1">
      <protection hidden="1"/>
    </xf>
    <xf numFmtId="0" fontId="3" fillId="9" borderId="0" xfId="0" applyFont="1" applyFill="1" applyAlignment="1" applyProtection="1">
      <alignment horizontal="right"/>
      <protection hidden="1"/>
    </xf>
    <xf numFmtId="0" fontId="3" fillId="9" borderId="0" xfId="0" applyFont="1" applyFill="1" applyProtection="1"/>
    <xf numFmtId="0" fontId="91" fillId="3" borderId="0" xfId="3" applyFont="1" applyFill="1" applyAlignment="1"/>
    <xf numFmtId="0" fontId="92" fillId="31" borderId="0" xfId="3" applyFont="1" applyFill="1"/>
    <xf numFmtId="0" fontId="0" fillId="11" borderId="0" xfId="0" applyFill="1" applyProtection="1">
      <protection hidden="1"/>
    </xf>
    <xf numFmtId="0" fontId="3" fillId="11" borderId="0" xfId="0" applyFont="1" applyFill="1" applyProtection="1">
      <protection hidden="1"/>
    </xf>
    <xf numFmtId="0" fontId="3" fillId="6" borderId="0" xfId="0" applyFont="1" applyFill="1" applyProtection="1">
      <protection hidden="1"/>
    </xf>
    <xf numFmtId="0" fontId="0" fillId="0" borderId="8" xfId="0" applyBorder="1" applyAlignment="1" applyProtection="1">
      <alignment horizontal="left"/>
      <protection hidden="1"/>
    </xf>
    <xf numFmtId="0" fontId="0" fillId="27" borderId="0" xfId="0" applyFill="1" applyProtection="1">
      <protection hidden="1"/>
    </xf>
    <xf numFmtId="0" fontId="3" fillId="27" borderId="0" xfId="0" applyFont="1" applyFill="1" applyProtection="1">
      <protection hidden="1"/>
    </xf>
    <xf numFmtId="0" fontId="0" fillId="7" borderId="0" xfId="0" applyFill="1" applyProtection="1">
      <protection hidden="1"/>
    </xf>
    <xf numFmtId="0" fontId="0" fillId="0" borderId="8" xfId="0" applyBorder="1" applyAlignment="1" applyProtection="1">
      <alignment horizontal="right"/>
      <protection hidden="1"/>
    </xf>
    <xf numFmtId="2" fontId="93" fillId="0" borderId="0" xfId="0" applyNumberFormat="1" applyFont="1" applyAlignment="1" applyProtection="1">
      <alignment vertical="center"/>
      <protection hidden="1"/>
    </xf>
    <xf numFmtId="0" fontId="0" fillId="7" borderId="0" xfId="0" applyFill="1"/>
    <xf numFmtId="0" fontId="0" fillId="29" borderId="6" xfId="0" applyFill="1" applyBorder="1"/>
    <xf numFmtId="0" fontId="0" fillId="29" borderId="8" xfId="0" applyFill="1" applyBorder="1" applyProtection="1">
      <protection hidden="1"/>
    </xf>
    <xf numFmtId="0" fontId="95" fillId="17" borderId="0" xfId="0" applyFont="1" applyFill="1" applyAlignment="1">
      <alignment vertical="top"/>
    </xf>
    <xf numFmtId="0" fontId="82" fillId="17" borderId="0" xfId="0" applyFont="1" applyFill="1"/>
    <xf numFmtId="0" fontId="94" fillId="17" borderId="0" xfId="0" applyFont="1" applyFill="1"/>
    <xf numFmtId="0" fontId="96" fillId="31" borderId="0" xfId="0" applyFont="1" applyFill="1"/>
    <xf numFmtId="0" fontId="97" fillId="31" borderId="0" xfId="0" applyFont="1" applyFill="1"/>
    <xf numFmtId="0" fontId="98" fillId="31" borderId="0" xfId="0" applyFont="1" applyFill="1"/>
    <xf numFmtId="0" fontId="99" fillId="31" borderId="0" xfId="0" applyFont="1" applyFill="1" applyAlignment="1">
      <alignment horizontal="left" indent="1"/>
    </xf>
    <xf numFmtId="0" fontId="100" fillId="31" borderId="0" xfId="0" applyFont="1" applyFill="1" applyAlignment="1">
      <alignment horizontal="left" indent="1"/>
    </xf>
    <xf numFmtId="0" fontId="101" fillId="31" borderId="0" xfId="0" applyFont="1" applyFill="1" applyAlignment="1">
      <alignment horizontal="left" indent="1"/>
    </xf>
    <xf numFmtId="0" fontId="102" fillId="31" borderId="0" xfId="0" applyFont="1" applyFill="1" applyAlignment="1"/>
    <xf numFmtId="0" fontId="103" fillId="31" borderId="0" xfId="0" applyFont="1" applyFill="1" applyAlignment="1"/>
    <xf numFmtId="0" fontId="104" fillId="31" borderId="0" xfId="0" applyFont="1" applyFill="1"/>
    <xf numFmtId="0" fontId="105" fillId="31" borderId="0" xfId="0" applyFont="1" applyFill="1" applyAlignment="1">
      <alignment horizontal="left" indent="1"/>
    </xf>
    <xf numFmtId="0" fontId="106" fillId="31" borderId="0" xfId="0" applyFont="1" applyFill="1" applyAlignment="1"/>
    <xf numFmtId="0" fontId="107" fillId="31" borderId="0" xfId="0" applyFont="1" applyFill="1" applyAlignment="1">
      <alignment horizontal="left"/>
    </xf>
    <xf numFmtId="0" fontId="108" fillId="31" borderId="0" xfId="0" applyFont="1" applyFill="1" applyAlignment="1"/>
    <xf numFmtId="0" fontId="106" fillId="31" borderId="0" xfId="0" applyFont="1" applyFill="1" applyAlignment="1">
      <alignment horizontal="left" indent="1"/>
    </xf>
    <xf numFmtId="0" fontId="47" fillId="31" borderId="0" xfId="0" applyFont="1" applyFill="1" applyAlignment="1">
      <alignment horizontal="left" indent="1"/>
    </xf>
    <xf numFmtId="0" fontId="109" fillId="31" borderId="0" xfId="0" applyFont="1" applyFill="1"/>
    <xf numFmtId="164" fontId="3" fillId="4" borderId="20" xfId="0" applyNumberFormat="1" applyFont="1" applyFill="1" applyBorder="1" applyAlignment="1">
      <alignment horizontal="center" vertical="center"/>
    </xf>
    <xf numFmtId="164" fontId="3" fillId="4" borderId="21" xfId="0" applyNumberFormat="1" applyFont="1" applyFill="1" applyBorder="1" applyAlignment="1">
      <alignment horizontal="center" vertical="center"/>
    </xf>
    <xf numFmtId="164" fontId="3" fillId="4" borderId="3" xfId="0" applyNumberFormat="1" applyFont="1" applyFill="1" applyBorder="1" applyAlignment="1">
      <alignment horizontal="center"/>
    </xf>
    <xf numFmtId="164" fontId="3" fillId="4" borderId="4" xfId="0" applyNumberFormat="1" applyFont="1" applyFill="1" applyBorder="1" applyAlignment="1">
      <alignment horizontal="center"/>
    </xf>
    <xf numFmtId="164" fontId="3" fillId="4" borderId="5" xfId="0" applyNumberFormat="1" applyFont="1" applyFill="1" applyBorder="1" applyAlignment="1">
      <alignment horizontal="center"/>
    </xf>
    <xf numFmtId="0" fontId="0" fillId="0" borderId="0" xfId="0" applyAlignment="1">
      <alignment horizontal="center"/>
    </xf>
    <xf numFmtId="0" fontId="25" fillId="0" borderId="24" xfId="0" applyFont="1" applyBorder="1" applyAlignment="1">
      <alignment horizontal="center"/>
    </xf>
    <xf numFmtId="0" fontId="25" fillId="0" borderId="0" xfId="0" applyFont="1" applyAlignment="1">
      <alignment horizontal="center"/>
    </xf>
    <xf numFmtId="0" fontId="50" fillId="13" borderId="31" xfId="0" applyFont="1" applyFill="1" applyBorder="1" applyAlignment="1">
      <alignment horizontal="center"/>
    </xf>
    <xf numFmtId="0" fontId="0" fillId="3" borderId="0" xfId="0" applyFill="1" applyAlignment="1">
      <alignment horizontal="center"/>
    </xf>
    <xf numFmtId="0" fontId="30" fillId="12" borderId="0" xfId="0" applyFont="1" applyFill="1" applyBorder="1" applyAlignment="1">
      <alignment horizontal="center"/>
    </xf>
    <xf numFmtId="0" fontId="40" fillId="17" borderId="0" xfId="0" applyFont="1" applyFill="1" applyAlignment="1" applyProtection="1">
      <alignment horizontal="center"/>
      <protection hidden="1"/>
    </xf>
    <xf numFmtId="0" fontId="41" fillId="17" borderId="0" xfId="0" applyFont="1" applyFill="1" applyAlignment="1" applyProtection="1">
      <alignment horizontal="left"/>
      <protection hidden="1"/>
    </xf>
    <xf numFmtId="0" fontId="36" fillId="17" borderId="0" xfId="0" applyFont="1" applyFill="1" applyAlignment="1" applyProtection="1">
      <alignment horizontal="center" vertical="center"/>
      <protection hidden="1"/>
    </xf>
    <xf numFmtId="2" fontId="42" fillId="17" borderId="0" xfId="0" applyNumberFormat="1" applyFont="1" applyFill="1" applyAlignment="1" applyProtection="1">
      <alignment horizontal="left"/>
      <protection hidden="1"/>
    </xf>
    <xf numFmtId="0" fontId="54" fillId="17" borderId="0" xfId="0" applyFont="1" applyFill="1" applyAlignment="1" applyProtection="1">
      <alignment horizontal="right"/>
      <protection hidden="1"/>
    </xf>
    <xf numFmtId="0" fontId="49" fillId="14" borderId="33" xfId="0" applyFont="1" applyFill="1" applyBorder="1" applyAlignment="1" applyProtection="1">
      <alignment horizontal="center"/>
      <protection locked="0" hidden="1"/>
    </xf>
    <xf numFmtId="0" fontId="49" fillId="14" borderId="35" xfId="0" applyFont="1" applyFill="1" applyBorder="1" applyAlignment="1" applyProtection="1">
      <alignment horizontal="center"/>
      <protection locked="0" hidden="1"/>
    </xf>
    <xf numFmtId="164" fontId="58" fillId="4" borderId="3" xfId="0" applyNumberFormat="1" applyFont="1" applyFill="1" applyBorder="1" applyAlignment="1" applyProtection="1">
      <alignment horizontal="center" vertical="center"/>
      <protection hidden="1"/>
    </xf>
    <xf numFmtId="164" fontId="58" fillId="4" borderId="4" xfId="0" applyNumberFormat="1" applyFont="1" applyFill="1" applyBorder="1" applyAlignment="1" applyProtection="1">
      <alignment horizontal="center" vertical="center"/>
      <protection hidden="1"/>
    </xf>
    <xf numFmtId="164" fontId="58" fillId="4" borderId="37" xfId="0" applyNumberFormat="1" applyFont="1" applyFill="1" applyBorder="1" applyAlignment="1" applyProtection="1">
      <alignment horizontal="center" vertical="center"/>
      <protection hidden="1"/>
    </xf>
    <xf numFmtId="164" fontId="58" fillId="4" borderId="5" xfId="0" applyNumberFormat="1" applyFont="1" applyFill="1" applyBorder="1" applyAlignment="1" applyProtection="1">
      <alignment horizontal="center" vertical="center"/>
      <protection hidden="1"/>
    </xf>
    <xf numFmtId="164" fontId="42" fillId="4" borderId="3" xfId="0" applyNumberFormat="1" applyFont="1" applyFill="1" applyBorder="1" applyAlignment="1" applyProtection="1">
      <alignment horizontal="center" vertical="center"/>
      <protection hidden="1"/>
    </xf>
    <xf numFmtId="164" fontId="42" fillId="4" borderId="37" xfId="0" applyNumberFormat="1" applyFont="1" applyFill="1" applyBorder="1" applyAlignment="1" applyProtection="1">
      <alignment horizontal="center" vertical="center"/>
      <protection hidden="1"/>
    </xf>
    <xf numFmtId="164" fontId="42" fillId="4" borderId="5" xfId="0" applyNumberFormat="1" applyFont="1" applyFill="1" applyBorder="1" applyAlignment="1" applyProtection="1">
      <alignment horizontal="center" vertical="center"/>
      <protection hidden="1"/>
    </xf>
    <xf numFmtId="0" fontId="66" fillId="17" borderId="32" xfId="0" applyFont="1" applyFill="1" applyBorder="1" applyAlignment="1" applyProtection="1">
      <alignment horizontal="center"/>
      <protection hidden="1"/>
    </xf>
    <xf numFmtId="0" fontId="3" fillId="23" borderId="0" xfId="0" applyFont="1" applyFill="1" applyBorder="1" applyAlignment="1" applyProtection="1">
      <alignment horizontal="center" wrapText="1"/>
      <protection hidden="1"/>
    </xf>
    <xf numFmtId="2" fontId="42" fillId="14" borderId="33" xfId="0" applyNumberFormat="1" applyFont="1" applyFill="1" applyBorder="1" applyAlignment="1" applyProtection="1">
      <alignment horizontal="left"/>
      <protection locked="0" hidden="1"/>
    </xf>
    <xf numFmtId="2" fontId="42" fillId="14" borderId="34" xfId="0" applyNumberFormat="1" applyFont="1" applyFill="1" applyBorder="1" applyAlignment="1" applyProtection="1">
      <alignment horizontal="left"/>
      <protection locked="0" hidden="1"/>
    </xf>
    <xf numFmtId="2" fontId="42" fillId="14" borderId="35" xfId="0" applyNumberFormat="1" applyFont="1" applyFill="1" applyBorder="1" applyAlignment="1" applyProtection="1">
      <alignment horizontal="left"/>
      <protection locked="0" hidden="1"/>
    </xf>
    <xf numFmtId="0" fontId="3" fillId="17" borderId="31" xfId="0" applyFont="1" applyFill="1" applyBorder="1" applyAlignment="1" applyProtection="1">
      <alignment horizontal="center"/>
      <protection hidden="1"/>
    </xf>
    <xf numFmtId="0" fontId="3" fillId="17" borderId="0" xfId="0" applyFont="1" applyFill="1" applyBorder="1" applyAlignment="1" applyProtection="1">
      <alignment horizontal="center"/>
      <protection hidden="1"/>
    </xf>
    <xf numFmtId="0" fontId="0" fillId="15" borderId="1" xfId="0" applyFill="1" applyBorder="1" applyAlignment="1" applyProtection="1">
      <alignment horizontal="left"/>
      <protection hidden="1"/>
    </xf>
    <xf numFmtId="0" fontId="0" fillId="15" borderId="25" xfId="0" applyFill="1" applyBorder="1" applyAlignment="1" applyProtection="1">
      <alignment horizontal="left"/>
      <protection hidden="1"/>
    </xf>
    <xf numFmtId="0" fontId="0" fillId="15" borderId="24" xfId="0" applyFill="1" applyBorder="1" applyAlignment="1" applyProtection="1">
      <alignment horizontal="left"/>
      <protection hidden="1"/>
    </xf>
    <xf numFmtId="0" fontId="0" fillId="15" borderId="8" xfId="0" applyFill="1" applyBorder="1" applyAlignment="1" applyProtection="1">
      <alignment horizontal="left"/>
      <protection hidden="1"/>
    </xf>
    <xf numFmtId="0" fontId="0" fillId="15" borderId="30" xfId="0" applyFill="1" applyBorder="1" applyAlignment="1" applyProtection="1">
      <alignment horizontal="left"/>
      <protection hidden="1"/>
    </xf>
    <xf numFmtId="0" fontId="0" fillId="15" borderId="29" xfId="0" applyFill="1" applyBorder="1" applyAlignment="1" applyProtection="1">
      <alignment horizontal="left"/>
      <protection hidden="1"/>
    </xf>
  </cellXfs>
  <cellStyles count="4">
    <cellStyle name="40% - Accent5" xfId="1" builtinId="47"/>
    <cellStyle name="Hyperlink" xfId="3" builtinId="8"/>
    <cellStyle name="Normal" xfId="0" builtinId="0"/>
    <cellStyle name="Normal 2" xfId="2"/>
  </cellStyles>
  <dxfs count="466">
    <dxf>
      <font>
        <b/>
        <i val="0"/>
        <color theme="0"/>
      </font>
      <fill>
        <patternFill>
          <bgColor rgb="FFFF0000"/>
        </patternFill>
      </fill>
    </dxf>
    <dxf>
      <fill>
        <patternFill>
          <bgColor theme="0"/>
        </patternFill>
      </fill>
      <border>
        <vertical/>
        <horizontal/>
      </border>
    </dxf>
    <dxf>
      <fill>
        <patternFill>
          <bgColor theme="0"/>
        </patternFill>
      </fill>
      <border>
        <vertical/>
        <horizontal/>
      </border>
    </dxf>
    <dxf>
      <fill>
        <patternFill>
          <bgColor theme="0"/>
        </patternFill>
      </fill>
      <border>
        <vertical/>
        <horizontal/>
      </border>
    </dxf>
    <dxf>
      <fill>
        <patternFill>
          <bgColor theme="0"/>
        </patternFill>
      </fill>
      <border>
        <vertical/>
        <horizontal/>
      </border>
    </dxf>
    <dxf>
      <fill>
        <patternFill>
          <bgColor theme="6" tint="0.79998168889431442"/>
        </patternFill>
      </fill>
      <border>
        <left/>
        <right/>
        <top style="thin">
          <color theme="6" tint="0.39994506668294322"/>
        </top>
        <bottom style="thin">
          <color theme="6" tint="0.39994506668294322"/>
        </bottom>
        <vertical/>
        <horizontal/>
      </border>
    </dxf>
    <dxf>
      <fill>
        <patternFill>
          <bgColor theme="3" tint="0.59996337778862885"/>
        </patternFill>
      </fill>
    </dxf>
    <dxf>
      <fill>
        <patternFill>
          <bgColor theme="3" tint="0.3999450666829432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9" tint="0.39994506668294322"/>
        </patternFill>
      </fill>
    </dxf>
    <dxf>
      <font>
        <color rgb="FF00B050"/>
      </font>
      <fill>
        <patternFill>
          <bgColor rgb="FF00B050"/>
        </patternFill>
      </fill>
    </dxf>
    <dxf>
      <border>
        <top style="thin">
          <color auto="1"/>
        </top>
        <vertical/>
        <horizontal/>
      </border>
    </dxf>
    <dxf>
      <fill>
        <patternFill>
          <bgColor theme="5" tint="0.59996337778862885"/>
        </patternFill>
      </fill>
    </dxf>
    <dxf>
      <font>
        <color theme="0"/>
      </font>
      <fill>
        <patternFill>
          <bgColor theme="0"/>
        </patternFill>
      </fill>
    </dxf>
    <dxf>
      <fill>
        <patternFill>
          <bgColor theme="6" tint="0.79998168889431442"/>
        </patternFill>
      </fill>
    </dxf>
    <dxf>
      <fill>
        <patternFill>
          <bgColor theme="2" tint="-0.24994659260841701"/>
        </patternFill>
      </fill>
    </dxf>
    <dxf>
      <fill>
        <patternFill>
          <bgColor theme="0"/>
        </patternFill>
      </fill>
      <border>
        <vertical/>
        <horizontal/>
      </border>
    </dxf>
    <dxf>
      <fill>
        <patternFill>
          <bgColor theme="0"/>
        </patternFill>
      </fill>
      <border>
        <vertical/>
        <horizontal/>
      </border>
    </dxf>
    <dxf>
      <fill>
        <patternFill>
          <bgColor theme="0"/>
        </patternFill>
      </fill>
      <border>
        <vertical/>
        <horizontal/>
      </border>
    </dxf>
    <dxf>
      <fill>
        <patternFill>
          <bgColor theme="0"/>
        </patternFill>
      </fill>
      <border>
        <vertical/>
        <horizontal/>
      </border>
    </dxf>
    <dxf>
      <fill>
        <patternFill>
          <bgColor theme="6" tint="0.79998168889431442"/>
        </patternFill>
      </fill>
    </dxf>
    <dxf>
      <fill>
        <patternFill>
          <bgColor theme="2" tint="-0.24994659260841701"/>
        </patternFill>
      </fill>
    </dxf>
    <dxf>
      <fill>
        <patternFill>
          <bgColor theme="0"/>
        </patternFill>
      </fill>
      <border>
        <vertical/>
        <horizontal/>
      </border>
    </dxf>
    <dxf>
      <fill>
        <patternFill>
          <bgColor theme="2" tint="-0.24994659260841701"/>
        </patternFill>
      </fill>
      <border>
        <left/>
        <right/>
        <top/>
        <bottom/>
        <vertical/>
        <horizontal/>
      </border>
    </dxf>
    <dxf>
      <fill>
        <patternFill>
          <bgColor theme="0"/>
        </patternFill>
      </fill>
      <border>
        <vertical/>
        <horizontal/>
      </border>
    </dxf>
    <dxf>
      <fill>
        <patternFill>
          <bgColor theme="6" tint="0.79998168889431442"/>
        </patternFill>
      </fill>
    </dxf>
    <dxf>
      <fill>
        <patternFill>
          <bgColor theme="2" tint="-0.24994659260841701"/>
        </patternFill>
      </fill>
    </dxf>
    <dxf>
      <fill>
        <patternFill>
          <bgColor theme="2" tint="-0.24994659260841701"/>
        </patternFill>
      </fill>
    </dxf>
    <dxf>
      <fill>
        <patternFill>
          <bgColor theme="0"/>
        </patternFill>
      </fill>
      <border>
        <vertical/>
        <horizontal/>
      </border>
    </dxf>
    <dxf>
      <fill>
        <patternFill>
          <bgColor rgb="FFFF0000"/>
        </patternFill>
      </fill>
    </dxf>
    <dxf>
      <fill>
        <patternFill>
          <bgColor theme="9" tint="0.59996337778862885"/>
        </patternFill>
      </fill>
    </dxf>
    <dxf>
      <fill>
        <patternFill>
          <bgColor rgb="FFFF0000"/>
        </patternFill>
      </fill>
    </dxf>
    <dxf>
      <fill>
        <patternFill>
          <bgColor rgb="FFFF0000"/>
        </patternFill>
      </fill>
    </dxf>
    <dxf>
      <fill>
        <patternFill>
          <bgColor theme="9" tint="0.59996337778862885"/>
        </patternFill>
      </fill>
    </dxf>
    <dxf>
      <fill>
        <patternFill>
          <bgColor rgb="FFFF0000"/>
        </patternFill>
      </fill>
    </dxf>
    <dxf>
      <fill>
        <patternFill>
          <bgColor theme="9" tint="0.59996337778862885"/>
        </patternFill>
      </fill>
    </dxf>
    <dxf>
      <fill>
        <patternFill>
          <bgColor rgb="FFFF0000"/>
        </patternFill>
      </fill>
    </dxf>
    <dxf>
      <fill>
        <patternFill>
          <bgColor theme="9" tint="0.59996337778862885"/>
        </patternFill>
      </fill>
    </dxf>
    <dxf>
      <fill>
        <patternFill>
          <bgColor rgb="FFFF0000"/>
        </patternFill>
      </fill>
    </dxf>
    <dxf>
      <fill>
        <patternFill>
          <bgColor theme="9" tint="0.59996337778862885"/>
        </patternFill>
      </fill>
    </dxf>
    <dxf>
      <fill>
        <patternFill>
          <bgColor rgb="FFFF0000"/>
        </patternFill>
      </fill>
    </dxf>
    <dxf>
      <fill>
        <patternFill>
          <bgColor theme="9" tint="0.59996337778862885"/>
        </patternFill>
      </fill>
    </dxf>
    <dxf>
      <fill>
        <patternFill>
          <bgColor theme="9" tint="0.59996337778862885"/>
        </patternFill>
      </fill>
    </dxf>
    <dxf>
      <fill>
        <patternFill>
          <bgColor rgb="FFFF0000"/>
        </patternFill>
      </fill>
    </dxf>
    <dxf>
      <fill>
        <patternFill>
          <bgColor theme="9" tint="0.59996337778862885"/>
        </patternFill>
      </fill>
    </dxf>
    <dxf>
      <fill>
        <patternFill>
          <bgColor theme="9" tint="0.59996337778862885"/>
        </patternFill>
      </fill>
    </dxf>
    <dxf>
      <fill>
        <patternFill>
          <bgColor rgb="FFFF0000"/>
        </patternFill>
      </fill>
    </dxf>
    <dxf>
      <fill>
        <patternFill>
          <bgColor theme="9" tint="0.59996337778862885"/>
        </patternFill>
      </fill>
    </dxf>
    <dxf>
      <fill>
        <patternFill>
          <bgColor theme="9" tint="0.59996337778862885"/>
        </patternFill>
      </fill>
    </dxf>
    <dxf>
      <fill>
        <patternFill>
          <bgColor rgb="FFFF0000"/>
        </patternFill>
      </fill>
    </dxf>
    <dxf>
      <fill>
        <patternFill>
          <bgColor theme="9" tint="0.59996337778862885"/>
        </patternFill>
      </fill>
    </dxf>
    <dxf>
      <fill>
        <patternFill>
          <bgColor theme="9" tint="0.59996337778862885"/>
        </patternFill>
      </fill>
    </dxf>
    <dxf>
      <fill>
        <patternFill>
          <bgColor rgb="FFFF0000"/>
        </patternFill>
      </fill>
    </dxf>
    <dxf>
      <fill>
        <patternFill>
          <bgColor theme="9" tint="0.59996337778862885"/>
        </patternFill>
      </fill>
    </dxf>
    <dxf>
      <fill>
        <patternFill>
          <bgColor theme="9" tint="0.59996337778862885"/>
        </patternFill>
      </fill>
    </dxf>
    <dxf>
      <fill>
        <patternFill>
          <bgColor rgb="FFFF0000"/>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rgb="FFFF0000"/>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rgb="FFFF0000"/>
        </patternFill>
      </fill>
    </dxf>
    <dxf>
      <fill>
        <patternFill>
          <bgColor theme="9" tint="0.59996337778862885"/>
        </patternFill>
      </fill>
    </dxf>
    <dxf>
      <fill>
        <patternFill>
          <bgColor rgb="FFFF0000"/>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3" tint="0.79998168889431442"/>
        </patternFill>
      </fill>
    </dxf>
    <dxf>
      <fill>
        <patternFill>
          <bgColor theme="3" tint="0.59996337778862885"/>
        </patternFill>
      </fill>
      <border>
        <vertical/>
        <horizontal/>
      </border>
    </dxf>
    <dxf>
      <fill>
        <patternFill>
          <bgColor theme="0" tint="-4.9989318521683403E-2"/>
        </patternFill>
      </fill>
      <border>
        <vertical/>
        <horizontal/>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openxmlformats.org/officeDocument/2006/relationships/worksheet" Target="worksheets/sheet63.xml"/><Relationship Id="rId68" Type="http://schemas.openxmlformats.org/officeDocument/2006/relationships/sharedStrings" Target="sharedString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61" Type="http://schemas.openxmlformats.org/officeDocument/2006/relationships/worksheet" Target="worksheets/sheet6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styles" Target="style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microsoft.com/office/2006/relationships/vbaProject" Target="vbaProject.bin"/></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2.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4.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9.xml.rels><?xml version="1.0" encoding="UTF-8" standalone="yes"?>
<Relationships xmlns="http://schemas.openxmlformats.org/package/2006/relationships"><Relationship Id="rId1" Type="http://schemas.openxmlformats.org/officeDocument/2006/relationships/chartUserShapes" Target="../drawings/drawing9.xml"/></Relationships>
</file>

<file path=xl/charts/_rels/chart11.xml.rels><?xml version="1.0" encoding="UTF-8" standalone="yes"?>
<Relationships xmlns="http://schemas.openxmlformats.org/package/2006/relationships"><Relationship Id="rId1" Type="http://schemas.openxmlformats.org/officeDocument/2006/relationships/chartUserShapes" Target="../drawings/drawing13.xml"/></Relationships>
</file>

<file path=xl/charts/_rels/chart12.xml.rels><?xml version="1.0" encoding="UTF-8" standalone="yes"?>
<Relationships xmlns="http://schemas.openxmlformats.org/package/2006/relationships"><Relationship Id="rId1" Type="http://schemas.openxmlformats.org/officeDocument/2006/relationships/chartUserShapes" Target="../drawings/drawing14.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I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2.5744925213675215E-2"/>
          <c:y val="2.9481493765216402E-2"/>
          <c:w val="0.80844383182797019"/>
          <c:h val="0.81813332636139624"/>
        </c:manualLayout>
      </c:layout>
      <c:scatterChart>
        <c:scatterStyle val="smoothMarker"/>
        <c:varyColors val="0"/>
        <c:ser>
          <c:idx val="0"/>
          <c:order val="0"/>
          <c:tx>
            <c:strRef>
              <c:f>Tools!$CP$62</c:f>
              <c:strCache>
                <c:ptCount val="1"/>
                <c:pt idx="0">
                  <c:v>WL 0</c:v>
                </c:pt>
              </c:strCache>
            </c:strRef>
          </c:tx>
          <c:spPr>
            <a:ln w="3175"/>
          </c:spPr>
          <c:marker>
            <c:symbol val="none"/>
          </c:marker>
          <c:xVal>
            <c:numRef>
              <c:f>Tools!STN_List</c:f>
              <c:numCache>
                <c:formatCode>General</c:formatCode>
                <c:ptCount val="25"/>
                <c:pt idx="0">
                  <c:v>0</c:v>
                </c:pt>
                <c:pt idx="1">
                  <c:v>0.5</c:v>
                </c:pt>
                <c:pt idx="2">
                  <c:v>1</c:v>
                </c:pt>
                <c:pt idx="3">
                  <c:v>1.5</c:v>
                </c:pt>
                <c:pt idx="4">
                  <c:v>2</c:v>
                </c:pt>
                <c:pt idx="5">
                  <c:v>3</c:v>
                </c:pt>
                <c:pt idx="6">
                  <c:v>4</c:v>
                </c:pt>
                <c:pt idx="7">
                  <c:v>5</c:v>
                </c:pt>
                <c:pt idx="8">
                  <c:v>6</c:v>
                </c:pt>
                <c:pt idx="9">
                  <c:v>7</c:v>
                </c:pt>
                <c:pt idx="10">
                  <c:v>8</c:v>
                </c:pt>
                <c:pt idx="11">
                  <c:v>9</c:v>
                </c:pt>
                <c:pt idx="12">
                  <c:v>10</c:v>
                </c:pt>
                <c:pt idx="13">
                  <c:v>11</c:v>
                </c:pt>
                <c:pt idx="14">
                  <c:v>12</c:v>
                </c:pt>
                <c:pt idx="15">
                  <c:v>13</c:v>
                </c:pt>
                <c:pt idx="16">
                  <c:v>14</c:v>
                </c:pt>
                <c:pt idx="17">
                  <c:v>15</c:v>
                </c:pt>
                <c:pt idx="18">
                  <c:v>16</c:v>
                </c:pt>
                <c:pt idx="19">
                  <c:v>17</c:v>
                </c:pt>
                <c:pt idx="20">
                  <c:v>18</c:v>
                </c:pt>
                <c:pt idx="21">
                  <c:v>18.5</c:v>
                </c:pt>
                <c:pt idx="22">
                  <c:v>19</c:v>
                </c:pt>
                <c:pt idx="23">
                  <c:v>19.5</c:v>
                </c:pt>
                <c:pt idx="24">
                  <c:v>20</c:v>
                </c:pt>
              </c:numCache>
            </c:numRef>
          </c:xVal>
          <c:yVal>
            <c:numRef>
              <c:f>Tools!HB_1</c:f>
              <c:numCache>
                <c:formatCode>General</c:formatCode>
                <c:ptCount val="25"/>
                <c:pt idx="0">
                  <c:v>0</c:v>
                </c:pt>
                <c:pt idx="1">
                  <c:v>0.1</c:v>
                </c:pt>
                <c:pt idx="2">
                  <c:v>0.3</c:v>
                </c:pt>
                <c:pt idx="3">
                  <c:v>0.5</c:v>
                </c:pt>
                <c:pt idx="4">
                  <c:v>0.9</c:v>
                </c:pt>
                <c:pt idx="5">
                  <c:v>1.9</c:v>
                </c:pt>
                <c:pt idx="6">
                  <c:v>3.8</c:v>
                </c:pt>
                <c:pt idx="7">
                  <c:v>5.9</c:v>
                </c:pt>
                <c:pt idx="8">
                  <c:v>7.9</c:v>
                </c:pt>
                <c:pt idx="9">
                  <c:v>9</c:v>
                </c:pt>
                <c:pt idx="10">
                  <c:v>9.5</c:v>
                </c:pt>
                <c:pt idx="11">
                  <c:v>9.6999999999999993</c:v>
                </c:pt>
                <c:pt idx="12">
                  <c:v>9.6999999999999993</c:v>
                </c:pt>
                <c:pt idx="13">
                  <c:v>9.6999999999999993</c:v>
                </c:pt>
                <c:pt idx="14">
                  <c:v>9.6999999999999993</c:v>
                </c:pt>
                <c:pt idx="15">
                  <c:v>9.6999999999999993</c:v>
                </c:pt>
                <c:pt idx="16">
                  <c:v>9.5</c:v>
                </c:pt>
                <c:pt idx="17">
                  <c:v>8.9</c:v>
                </c:pt>
                <c:pt idx="18">
                  <c:v>7.6</c:v>
                </c:pt>
                <c:pt idx="19">
                  <c:v>5.6</c:v>
                </c:pt>
                <c:pt idx="20">
                  <c:v>3.5</c:v>
                </c:pt>
                <c:pt idx="21">
                  <c:v>2.2999999999999998</c:v>
                </c:pt>
                <c:pt idx="22">
                  <c:v>1.3</c:v>
                </c:pt>
                <c:pt idx="23">
                  <c:v>0.4</c:v>
                </c:pt>
                <c:pt idx="24">
                  <c:v>0.1</c:v>
                </c:pt>
              </c:numCache>
            </c:numRef>
          </c:yVal>
          <c:smooth val="1"/>
        </c:ser>
        <c:ser>
          <c:idx val="1"/>
          <c:order val="1"/>
          <c:tx>
            <c:strRef>
              <c:f>Tools!$CP$63</c:f>
              <c:strCache>
                <c:ptCount val="1"/>
                <c:pt idx="0">
                  <c:v>WL 0.25</c:v>
                </c:pt>
              </c:strCache>
            </c:strRef>
          </c:tx>
          <c:spPr>
            <a:ln w="3175"/>
          </c:spPr>
          <c:marker>
            <c:symbol val="none"/>
          </c:marker>
          <c:xVal>
            <c:numRef>
              <c:f>Tools!STN_List</c:f>
              <c:numCache>
                <c:formatCode>General</c:formatCode>
                <c:ptCount val="25"/>
                <c:pt idx="0">
                  <c:v>0</c:v>
                </c:pt>
                <c:pt idx="1">
                  <c:v>0.5</c:v>
                </c:pt>
                <c:pt idx="2">
                  <c:v>1</c:v>
                </c:pt>
                <c:pt idx="3">
                  <c:v>1.5</c:v>
                </c:pt>
                <c:pt idx="4">
                  <c:v>2</c:v>
                </c:pt>
                <c:pt idx="5">
                  <c:v>3</c:v>
                </c:pt>
                <c:pt idx="6">
                  <c:v>4</c:v>
                </c:pt>
                <c:pt idx="7">
                  <c:v>5</c:v>
                </c:pt>
                <c:pt idx="8">
                  <c:v>6</c:v>
                </c:pt>
                <c:pt idx="9">
                  <c:v>7</c:v>
                </c:pt>
                <c:pt idx="10">
                  <c:v>8</c:v>
                </c:pt>
                <c:pt idx="11">
                  <c:v>9</c:v>
                </c:pt>
                <c:pt idx="12">
                  <c:v>10</c:v>
                </c:pt>
                <c:pt idx="13">
                  <c:v>11</c:v>
                </c:pt>
                <c:pt idx="14">
                  <c:v>12</c:v>
                </c:pt>
                <c:pt idx="15">
                  <c:v>13</c:v>
                </c:pt>
                <c:pt idx="16">
                  <c:v>14</c:v>
                </c:pt>
                <c:pt idx="17">
                  <c:v>15</c:v>
                </c:pt>
                <c:pt idx="18">
                  <c:v>16</c:v>
                </c:pt>
                <c:pt idx="19">
                  <c:v>17</c:v>
                </c:pt>
                <c:pt idx="20">
                  <c:v>18</c:v>
                </c:pt>
                <c:pt idx="21">
                  <c:v>18.5</c:v>
                </c:pt>
                <c:pt idx="22">
                  <c:v>19</c:v>
                </c:pt>
                <c:pt idx="23">
                  <c:v>19.5</c:v>
                </c:pt>
                <c:pt idx="24">
                  <c:v>20</c:v>
                </c:pt>
              </c:numCache>
            </c:numRef>
          </c:xVal>
          <c:yVal>
            <c:numRef>
              <c:f>Tools!HB_2</c:f>
              <c:numCache>
                <c:formatCode>General</c:formatCode>
                <c:ptCount val="25"/>
                <c:pt idx="0">
                  <c:v>0</c:v>
                </c:pt>
                <c:pt idx="1">
                  <c:v>0.2</c:v>
                </c:pt>
                <c:pt idx="2">
                  <c:v>0.5</c:v>
                </c:pt>
                <c:pt idx="3">
                  <c:v>0.99</c:v>
                </c:pt>
                <c:pt idx="4">
                  <c:v>1.59</c:v>
                </c:pt>
                <c:pt idx="5">
                  <c:v>3.32</c:v>
                </c:pt>
                <c:pt idx="6">
                  <c:v>5.33</c:v>
                </c:pt>
                <c:pt idx="7">
                  <c:v>7.26</c:v>
                </c:pt>
                <c:pt idx="8">
                  <c:v>8.9</c:v>
                </c:pt>
                <c:pt idx="9">
                  <c:v>9.83</c:v>
                </c:pt>
                <c:pt idx="10">
                  <c:v>10.33</c:v>
                </c:pt>
                <c:pt idx="11">
                  <c:v>10.45</c:v>
                </c:pt>
                <c:pt idx="12">
                  <c:v>10.45</c:v>
                </c:pt>
                <c:pt idx="13">
                  <c:v>10.45</c:v>
                </c:pt>
                <c:pt idx="14">
                  <c:v>10.45</c:v>
                </c:pt>
                <c:pt idx="15">
                  <c:v>10.45</c:v>
                </c:pt>
                <c:pt idx="16">
                  <c:v>10.32</c:v>
                </c:pt>
                <c:pt idx="17">
                  <c:v>9.76</c:v>
                </c:pt>
                <c:pt idx="18">
                  <c:v>8.64</c:v>
                </c:pt>
                <c:pt idx="19">
                  <c:v>6.89</c:v>
                </c:pt>
                <c:pt idx="20">
                  <c:v>4.6500000000000004</c:v>
                </c:pt>
                <c:pt idx="21">
                  <c:v>3.43</c:v>
                </c:pt>
                <c:pt idx="22">
                  <c:v>2.2999999999999998</c:v>
                </c:pt>
                <c:pt idx="23">
                  <c:v>1.21</c:v>
                </c:pt>
                <c:pt idx="24">
                  <c:v>0.8</c:v>
                </c:pt>
              </c:numCache>
            </c:numRef>
          </c:yVal>
          <c:smooth val="1"/>
        </c:ser>
        <c:ser>
          <c:idx val="2"/>
          <c:order val="2"/>
          <c:tx>
            <c:strRef>
              <c:f>Tools!$CP$64</c:f>
              <c:strCache>
                <c:ptCount val="1"/>
                <c:pt idx="0">
                  <c:v>WL 0.5</c:v>
                </c:pt>
              </c:strCache>
            </c:strRef>
          </c:tx>
          <c:spPr>
            <a:ln w="3175"/>
          </c:spPr>
          <c:marker>
            <c:symbol val="none"/>
          </c:marker>
          <c:xVal>
            <c:numRef>
              <c:f>Tools!STN_List</c:f>
              <c:numCache>
                <c:formatCode>General</c:formatCode>
                <c:ptCount val="25"/>
                <c:pt idx="0">
                  <c:v>0</c:v>
                </c:pt>
                <c:pt idx="1">
                  <c:v>0.5</c:v>
                </c:pt>
                <c:pt idx="2">
                  <c:v>1</c:v>
                </c:pt>
                <c:pt idx="3">
                  <c:v>1.5</c:v>
                </c:pt>
                <c:pt idx="4">
                  <c:v>2</c:v>
                </c:pt>
                <c:pt idx="5">
                  <c:v>3</c:v>
                </c:pt>
                <c:pt idx="6">
                  <c:v>4</c:v>
                </c:pt>
                <c:pt idx="7">
                  <c:v>5</c:v>
                </c:pt>
                <c:pt idx="8">
                  <c:v>6</c:v>
                </c:pt>
                <c:pt idx="9">
                  <c:v>7</c:v>
                </c:pt>
                <c:pt idx="10">
                  <c:v>8</c:v>
                </c:pt>
                <c:pt idx="11">
                  <c:v>9</c:v>
                </c:pt>
                <c:pt idx="12">
                  <c:v>10</c:v>
                </c:pt>
                <c:pt idx="13">
                  <c:v>11</c:v>
                </c:pt>
                <c:pt idx="14">
                  <c:v>12</c:v>
                </c:pt>
                <c:pt idx="15">
                  <c:v>13</c:v>
                </c:pt>
                <c:pt idx="16">
                  <c:v>14</c:v>
                </c:pt>
                <c:pt idx="17">
                  <c:v>15</c:v>
                </c:pt>
                <c:pt idx="18">
                  <c:v>16</c:v>
                </c:pt>
                <c:pt idx="19">
                  <c:v>17</c:v>
                </c:pt>
                <c:pt idx="20">
                  <c:v>18</c:v>
                </c:pt>
                <c:pt idx="21">
                  <c:v>18.5</c:v>
                </c:pt>
                <c:pt idx="22">
                  <c:v>19</c:v>
                </c:pt>
                <c:pt idx="23">
                  <c:v>19.5</c:v>
                </c:pt>
                <c:pt idx="24">
                  <c:v>20</c:v>
                </c:pt>
              </c:numCache>
            </c:numRef>
          </c:xVal>
          <c:yVal>
            <c:numRef>
              <c:f>Tools!HB_3</c:f>
              <c:numCache>
                <c:formatCode>General</c:formatCode>
                <c:ptCount val="25"/>
                <c:pt idx="0">
                  <c:v>0</c:v>
                </c:pt>
                <c:pt idx="1">
                  <c:v>0.2</c:v>
                </c:pt>
                <c:pt idx="2">
                  <c:v>0.68</c:v>
                </c:pt>
                <c:pt idx="3">
                  <c:v>1.35</c:v>
                </c:pt>
                <c:pt idx="4">
                  <c:v>2.14</c:v>
                </c:pt>
                <c:pt idx="5">
                  <c:v>4.17</c:v>
                </c:pt>
                <c:pt idx="6">
                  <c:v>6.26</c:v>
                </c:pt>
                <c:pt idx="7">
                  <c:v>8.1199999999999992</c:v>
                </c:pt>
                <c:pt idx="8">
                  <c:v>9.5</c:v>
                </c:pt>
                <c:pt idx="9">
                  <c:v>10.3</c:v>
                </c:pt>
                <c:pt idx="10">
                  <c:v>10.67</c:v>
                </c:pt>
                <c:pt idx="11">
                  <c:v>10.75</c:v>
                </c:pt>
                <c:pt idx="12">
                  <c:v>10.75</c:v>
                </c:pt>
                <c:pt idx="13">
                  <c:v>10.75</c:v>
                </c:pt>
                <c:pt idx="14">
                  <c:v>10.75</c:v>
                </c:pt>
                <c:pt idx="15">
                  <c:v>10.75</c:v>
                </c:pt>
                <c:pt idx="16">
                  <c:v>10.66</c:v>
                </c:pt>
                <c:pt idx="17">
                  <c:v>10.199999999999999</c:v>
                </c:pt>
                <c:pt idx="18">
                  <c:v>9.27</c:v>
                </c:pt>
                <c:pt idx="19">
                  <c:v>7.56</c:v>
                </c:pt>
                <c:pt idx="20">
                  <c:v>5.35</c:v>
                </c:pt>
                <c:pt idx="21">
                  <c:v>4.13</c:v>
                </c:pt>
                <c:pt idx="22">
                  <c:v>2.84</c:v>
                </c:pt>
                <c:pt idx="23">
                  <c:v>1.69</c:v>
                </c:pt>
                <c:pt idx="24">
                  <c:v>1.2</c:v>
                </c:pt>
              </c:numCache>
            </c:numRef>
          </c:yVal>
          <c:smooth val="1"/>
        </c:ser>
        <c:ser>
          <c:idx val="3"/>
          <c:order val="3"/>
          <c:tx>
            <c:strRef>
              <c:f>Tools!$CP$65</c:f>
              <c:strCache>
                <c:ptCount val="1"/>
                <c:pt idx="0">
                  <c:v>WL 0.75</c:v>
                </c:pt>
              </c:strCache>
            </c:strRef>
          </c:tx>
          <c:spPr>
            <a:ln w="3175"/>
          </c:spPr>
          <c:marker>
            <c:symbol val="none"/>
          </c:marker>
          <c:xVal>
            <c:numRef>
              <c:f>Tools!STN_List</c:f>
              <c:numCache>
                <c:formatCode>General</c:formatCode>
                <c:ptCount val="25"/>
                <c:pt idx="0">
                  <c:v>0</c:v>
                </c:pt>
                <c:pt idx="1">
                  <c:v>0.5</c:v>
                </c:pt>
                <c:pt idx="2">
                  <c:v>1</c:v>
                </c:pt>
                <c:pt idx="3">
                  <c:v>1.5</c:v>
                </c:pt>
                <c:pt idx="4">
                  <c:v>2</c:v>
                </c:pt>
                <c:pt idx="5">
                  <c:v>3</c:v>
                </c:pt>
                <c:pt idx="6">
                  <c:v>4</c:v>
                </c:pt>
                <c:pt idx="7">
                  <c:v>5</c:v>
                </c:pt>
                <c:pt idx="8">
                  <c:v>6</c:v>
                </c:pt>
                <c:pt idx="9">
                  <c:v>7</c:v>
                </c:pt>
                <c:pt idx="10">
                  <c:v>8</c:v>
                </c:pt>
                <c:pt idx="11">
                  <c:v>9</c:v>
                </c:pt>
                <c:pt idx="12">
                  <c:v>10</c:v>
                </c:pt>
                <c:pt idx="13">
                  <c:v>11</c:v>
                </c:pt>
                <c:pt idx="14">
                  <c:v>12</c:v>
                </c:pt>
                <c:pt idx="15">
                  <c:v>13</c:v>
                </c:pt>
                <c:pt idx="16">
                  <c:v>14</c:v>
                </c:pt>
                <c:pt idx="17">
                  <c:v>15</c:v>
                </c:pt>
                <c:pt idx="18">
                  <c:v>16</c:v>
                </c:pt>
                <c:pt idx="19">
                  <c:v>17</c:v>
                </c:pt>
                <c:pt idx="20">
                  <c:v>18</c:v>
                </c:pt>
                <c:pt idx="21">
                  <c:v>18.5</c:v>
                </c:pt>
                <c:pt idx="22">
                  <c:v>19</c:v>
                </c:pt>
                <c:pt idx="23">
                  <c:v>19.5</c:v>
                </c:pt>
                <c:pt idx="24">
                  <c:v>20</c:v>
                </c:pt>
              </c:numCache>
            </c:numRef>
          </c:xVal>
          <c:yVal>
            <c:numRef>
              <c:f>Tools!HB_4</c:f>
              <c:numCache>
                <c:formatCode>General</c:formatCode>
                <c:ptCount val="25"/>
                <c:pt idx="0">
                  <c:v>0</c:v>
                </c:pt>
                <c:pt idx="1">
                  <c:v>0.21</c:v>
                </c:pt>
                <c:pt idx="2">
                  <c:v>0.83</c:v>
                </c:pt>
                <c:pt idx="3">
                  <c:v>1.65</c:v>
                </c:pt>
                <c:pt idx="4">
                  <c:v>2.59</c:v>
                </c:pt>
                <c:pt idx="5">
                  <c:v>4.72</c:v>
                </c:pt>
                <c:pt idx="6">
                  <c:v>6.83</c:v>
                </c:pt>
                <c:pt idx="7">
                  <c:v>8.6999999999999993</c:v>
                </c:pt>
                <c:pt idx="8">
                  <c:v>9.94</c:v>
                </c:pt>
                <c:pt idx="9">
                  <c:v>10.6</c:v>
                </c:pt>
                <c:pt idx="10">
                  <c:v>10.9</c:v>
                </c:pt>
                <c:pt idx="11">
                  <c:v>10.93</c:v>
                </c:pt>
                <c:pt idx="12">
                  <c:v>10.93</c:v>
                </c:pt>
                <c:pt idx="13">
                  <c:v>10.93</c:v>
                </c:pt>
                <c:pt idx="14">
                  <c:v>10.93</c:v>
                </c:pt>
                <c:pt idx="15">
                  <c:v>10.93</c:v>
                </c:pt>
                <c:pt idx="16">
                  <c:v>10.87</c:v>
                </c:pt>
                <c:pt idx="17">
                  <c:v>10.5</c:v>
                </c:pt>
                <c:pt idx="18">
                  <c:v>9.66</c:v>
                </c:pt>
                <c:pt idx="19">
                  <c:v>8.0399999999999991</c:v>
                </c:pt>
                <c:pt idx="20">
                  <c:v>5.87</c:v>
                </c:pt>
                <c:pt idx="21">
                  <c:v>4.58</c:v>
                </c:pt>
                <c:pt idx="22">
                  <c:v>3.25</c:v>
                </c:pt>
                <c:pt idx="23">
                  <c:v>2.02</c:v>
                </c:pt>
                <c:pt idx="24">
                  <c:v>1.43</c:v>
                </c:pt>
              </c:numCache>
            </c:numRef>
          </c:yVal>
          <c:smooth val="1"/>
        </c:ser>
        <c:ser>
          <c:idx val="4"/>
          <c:order val="4"/>
          <c:tx>
            <c:strRef>
              <c:f>Tools!$CP$66</c:f>
              <c:strCache>
                <c:ptCount val="1"/>
                <c:pt idx="0">
                  <c:v>WL 1</c:v>
                </c:pt>
              </c:strCache>
            </c:strRef>
          </c:tx>
          <c:spPr>
            <a:ln w="3175"/>
          </c:spPr>
          <c:marker>
            <c:symbol val="none"/>
          </c:marker>
          <c:xVal>
            <c:numRef>
              <c:f>Tools!STN_List</c:f>
              <c:numCache>
                <c:formatCode>General</c:formatCode>
                <c:ptCount val="25"/>
                <c:pt idx="0">
                  <c:v>0</c:v>
                </c:pt>
                <c:pt idx="1">
                  <c:v>0.5</c:v>
                </c:pt>
                <c:pt idx="2">
                  <c:v>1</c:v>
                </c:pt>
                <c:pt idx="3">
                  <c:v>1.5</c:v>
                </c:pt>
                <c:pt idx="4">
                  <c:v>2</c:v>
                </c:pt>
                <c:pt idx="5">
                  <c:v>3</c:v>
                </c:pt>
                <c:pt idx="6">
                  <c:v>4</c:v>
                </c:pt>
                <c:pt idx="7">
                  <c:v>5</c:v>
                </c:pt>
                <c:pt idx="8">
                  <c:v>6</c:v>
                </c:pt>
                <c:pt idx="9">
                  <c:v>7</c:v>
                </c:pt>
                <c:pt idx="10">
                  <c:v>8</c:v>
                </c:pt>
                <c:pt idx="11">
                  <c:v>9</c:v>
                </c:pt>
                <c:pt idx="12">
                  <c:v>10</c:v>
                </c:pt>
                <c:pt idx="13">
                  <c:v>11</c:v>
                </c:pt>
                <c:pt idx="14">
                  <c:v>12</c:v>
                </c:pt>
                <c:pt idx="15">
                  <c:v>13</c:v>
                </c:pt>
                <c:pt idx="16">
                  <c:v>14</c:v>
                </c:pt>
                <c:pt idx="17">
                  <c:v>15</c:v>
                </c:pt>
                <c:pt idx="18">
                  <c:v>16</c:v>
                </c:pt>
                <c:pt idx="19">
                  <c:v>17</c:v>
                </c:pt>
                <c:pt idx="20">
                  <c:v>18</c:v>
                </c:pt>
                <c:pt idx="21">
                  <c:v>18.5</c:v>
                </c:pt>
                <c:pt idx="22">
                  <c:v>19</c:v>
                </c:pt>
                <c:pt idx="23">
                  <c:v>19.5</c:v>
                </c:pt>
                <c:pt idx="24">
                  <c:v>20</c:v>
                </c:pt>
              </c:numCache>
            </c:numRef>
          </c:xVal>
          <c:yVal>
            <c:numRef>
              <c:f>Tools!HB_5</c:f>
              <c:numCache>
                <c:formatCode>General</c:formatCode>
                <c:ptCount val="25"/>
                <c:pt idx="0">
                  <c:v>0</c:v>
                </c:pt>
                <c:pt idx="1">
                  <c:v>0.25</c:v>
                </c:pt>
                <c:pt idx="2">
                  <c:v>0.98</c:v>
                </c:pt>
                <c:pt idx="3">
                  <c:v>1.89</c:v>
                </c:pt>
                <c:pt idx="4">
                  <c:v>2.93</c:v>
                </c:pt>
                <c:pt idx="5">
                  <c:v>5.15</c:v>
                </c:pt>
                <c:pt idx="6">
                  <c:v>7.29</c:v>
                </c:pt>
                <c:pt idx="7">
                  <c:v>9.07</c:v>
                </c:pt>
                <c:pt idx="8">
                  <c:v>10.199999999999999</c:v>
                </c:pt>
                <c:pt idx="9">
                  <c:v>10.8</c:v>
                </c:pt>
                <c:pt idx="10">
                  <c:v>11</c:v>
                </c:pt>
                <c:pt idx="11">
                  <c:v>11</c:v>
                </c:pt>
                <c:pt idx="12">
                  <c:v>11</c:v>
                </c:pt>
                <c:pt idx="13">
                  <c:v>11</c:v>
                </c:pt>
                <c:pt idx="14">
                  <c:v>11</c:v>
                </c:pt>
                <c:pt idx="15">
                  <c:v>11</c:v>
                </c:pt>
                <c:pt idx="16">
                  <c:v>11</c:v>
                </c:pt>
                <c:pt idx="17">
                  <c:v>10.7</c:v>
                </c:pt>
                <c:pt idx="18">
                  <c:v>9.91</c:v>
                </c:pt>
                <c:pt idx="19">
                  <c:v>8.42</c:v>
                </c:pt>
                <c:pt idx="20">
                  <c:v>6.21</c:v>
                </c:pt>
                <c:pt idx="21">
                  <c:v>4.91</c:v>
                </c:pt>
                <c:pt idx="22">
                  <c:v>3.53</c:v>
                </c:pt>
                <c:pt idx="23">
                  <c:v>2.29</c:v>
                </c:pt>
                <c:pt idx="24">
                  <c:v>1.53</c:v>
                </c:pt>
              </c:numCache>
            </c:numRef>
          </c:yVal>
          <c:smooth val="1"/>
        </c:ser>
        <c:ser>
          <c:idx val="5"/>
          <c:order val="5"/>
          <c:tx>
            <c:strRef>
              <c:f>Tools!$CP$67</c:f>
              <c:strCache>
                <c:ptCount val="1"/>
                <c:pt idx="0">
                  <c:v>WL 2</c:v>
                </c:pt>
              </c:strCache>
            </c:strRef>
          </c:tx>
          <c:spPr>
            <a:ln w="3175"/>
          </c:spPr>
          <c:marker>
            <c:symbol val="none"/>
          </c:marker>
          <c:xVal>
            <c:numRef>
              <c:f>Tools!STN_List</c:f>
              <c:numCache>
                <c:formatCode>General</c:formatCode>
                <c:ptCount val="25"/>
                <c:pt idx="0">
                  <c:v>0</c:v>
                </c:pt>
                <c:pt idx="1">
                  <c:v>0.5</c:v>
                </c:pt>
                <c:pt idx="2">
                  <c:v>1</c:v>
                </c:pt>
                <c:pt idx="3">
                  <c:v>1.5</c:v>
                </c:pt>
                <c:pt idx="4">
                  <c:v>2</c:v>
                </c:pt>
                <c:pt idx="5">
                  <c:v>3</c:v>
                </c:pt>
                <c:pt idx="6">
                  <c:v>4</c:v>
                </c:pt>
                <c:pt idx="7">
                  <c:v>5</c:v>
                </c:pt>
                <c:pt idx="8">
                  <c:v>6</c:v>
                </c:pt>
                <c:pt idx="9">
                  <c:v>7</c:v>
                </c:pt>
                <c:pt idx="10">
                  <c:v>8</c:v>
                </c:pt>
                <c:pt idx="11">
                  <c:v>9</c:v>
                </c:pt>
                <c:pt idx="12">
                  <c:v>10</c:v>
                </c:pt>
                <c:pt idx="13">
                  <c:v>11</c:v>
                </c:pt>
                <c:pt idx="14">
                  <c:v>12</c:v>
                </c:pt>
                <c:pt idx="15">
                  <c:v>13</c:v>
                </c:pt>
                <c:pt idx="16">
                  <c:v>14</c:v>
                </c:pt>
                <c:pt idx="17">
                  <c:v>15</c:v>
                </c:pt>
                <c:pt idx="18">
                  <c:v>16</c:v>
                </c:pt>
                <c:pt idx="19">
                  <c:v>17</c:v>
                </c:pt>
                <c:pt idx="20">
                  <c:v>18</c:v>
                </c:pt>
                <c:pt idx="21">
                  <c:v>18.5</c:v>
                </c:pt>
                <c:pt idx="22">
                  <c:v>19</c:v>
                </c:pt>
                <c:pt idx="23">
                  <c:v>19.5</c:v>
                </c:pt>
                <c:pt idx="24">
                  <c:v>20</c:v>
                </c:pt>
              </c:numCache>
            </c:numRef>
          </c:xVal>
          <c:yVal>
            <c:numRef>
              <c:f>Tools!HB_6</c:f>
              <c:numCache>
                <c:formatCode>General</c:formatCode>
                <c:ptCount val="25"/>
                <c:pt idx="0">
                  <c:v>0</c:v>
                </c:pt>
                <c:pt idx="1">
                  <c:v>0.33</c:v>
                </c:pt>
                <c:pt idx="2">
                  <c:v>1.44</c:v>
                </c:pt>
                <c:pt idx="3">
                  <c:v>2.81</c:v>
                </c:pt>
                <c:pt idx="4">
                  <c:v>4.17</c:v>
                </c:pt>
                <c:pt idx="5">
                  <c:v>6.67</c:v>
                </c:pt>
                <c:pt idx="6">
                  <c:v>8.61</c:v>
                </c:pt>
                <c:pt idx="7">
                  <c:v>9.9499999999999993</c:v>
                </c:pt>
                <c:pt idx="8">
                  <c:v>10.8</c:v>
                </c:pt>
                <c:pt idx="9">
                  <c:v>11</c:v>
                </c:pt>
                <c:pt idx="10">
                  <c:v>11</c:v>
                </c:pt>
                <c:pt idx="11">
                  <c:v>11</c:v>
                </c:pt>
                <c:pt idx="12">
                  <c:v>11</c:v>
                </c:pt>
                <c:pt idx="13">
                  <c:v>11</c:v>
                </c:pt>
                <c:pt idx="14">
                  <c:v>11</c:v>
                </c:pt>
                <c:pt idx="15">
                  <c:v>11</c:v>
                </c:pt>
                <c:pt idx="16">
                  <c:v>11</c:v>
                </c:pt>
                <c:pt idx="17">
                  <c:v>11</c:v>
                </c:pt>
                <c:pt idx="18">
                  <c:v>10.5</c:v>
                </c:pt>
                <c:pt idx="19">
                  <c:v>9.32</c:v>
                </c:pt>
                <c:pt idx="20">
                  <c:v>7.08</c:v>
                </c:pt>
                <c:pt idx="21">
                  <c:v>5.63</c:v>
                </c:pt>
                <c:pt idx="22">
                  <c:v>4.1100000000000003</c:v>
                </c:pt>
                <c:pt idx="23">
                  <c:v>2.63</c:v>
                </c:pt>
                <c:pt idx="24">
                  <c:v>1.1200000000000001</c:v>
                </c:pt>
              </c:numCache>
            </c:numRef>
          </c:yVal>
          <c:smooth val="1"/>
        </c:ser>
        <c:ser>
          <c:idx val="6"/>
          <c:order val="6"/>
          <c:tx>
            <c:strRef>
              <c:f>Tools!$CP$68</c:f>
              <c:strCache>
                <c:ptCount val="1"/>
                <c:pt idx="0">
                  <c:v>WL 3</c:v>
                </c:pt>
              </c:strCache>
            </c:strRef>
          </c:tx>
          <c:spPr>
            <a:ln w="3175"/>
          </c:spPr>
          <c:marker>
            <c:symbol val="none"/>
          </c:marker>
          <c:xVal>
            <c:numRef>
              <c:f>Tools!STN_List</c:f>
              <c:numCache>
                <c:formatCode>General</c:formatCode>
                <c:ptCount val="25"/>
                <c:pt idx="0">
                  <c:v>0</c:v>
                </c:pt>
                <c:pt idx="1">
                  <c:v>0.5</c:v>
                </c:pt>
                <c:pt idx="2">
                  <c:v>1</c:v>
                </c:pt>
                <c:pt idx="3">
                  <c:v>1.5</c:v>
                </c:pt>
                <c:pt idx="4">
                  <c:v>2</c:v>
                </c:pt>
                <c:pt idx="5">
                  <c:v>3</c:v>
                </c:pt>
                <c:pt idx="6">
                  <c:v>4</c:v>
                </c:pt>
                <c:pt idx="7">
                  <c:v>5</c:v>
                </c:pt>
                <c:pt idx="8">
                  <c:v>6</c:v>
                </c:pt>
                <c:pt idx="9">
                  <c:v>7</c:v>
                </c:pt>
                <c:pt idx="10">
                  <c:v>8</c:v>
                </c:pt>
                <c:pt idx="11">
                  <c:v>9</c:v>
                </c:pt>
                <c:pt idx="12">
                  <c:v>10</c:v>
                </c:pt>
                <c:pt idx="13">
                  <c:v>11</c:v>
                </c:pt>
                <c:pt idx="14">
                  <c:v>12</c:v>
                </c:pt>
                <c:pt idx="15">
                  <c:v>13</c:v>
                </c:pt>
                <c:pt idx="16">
                  <c:v>14</c:v>
                </c:pt>
                <c:pt idx="17">
                  <c:v>15</c:v>
                </c:pt>
                <c:pt idx="18">
                  <c:v>16</c:v>
                </c:pt>
                <c:pt idx="19">
                  <c:v>17</c:v>
                </c:pt>
                <c:pt idx="20">
                  <c:v>18</c:v>
                </c:pt>
                <c:pt idx="21">
                  <c:v>18.5</c:v>
                </c:pt>
                <c:pt idx="22">
                  <c:v>19</c:v>
                </c:pt>
                <c:pt idx="23">
                  <c:v>19.5</c:v>
                </c:pt>
                <c:pt idx="24">
                  <c:v>20</c:v>
                </c:pt>
              </c:numCache>
            </c:numRef>
          </c:xVal>
          <c:yVal>
            <c:numRef>
              <c:f>Tools!HB_7</c:f>
              <c:numCache>
                <c:formatCode>General</c:formatCode>
                <c:ptCount val="25"/>
                <c:pt idx="0">
                  <c:v>0</c:v>
                </c:pt>
                <c:pt idx="1">
                  <c:v>0.66</c:v>
                </c:pt>
                <c:pt idx="2">
                  <c:v>2.27</c:v>
                </c:pt>
                <c:pt idx="3">
                  <c:v>3.86</c:v>
                </c:pt>
                <c:pt idx="4">
                  <c:v>5.28</c:v>
                </c:pt>
                <c:pt idx="5">
                  <c:v>7.76</c:v>
                </c:pt>
                <c:pt idx="6">
                  <c:v>9.4499999999999993</c:v>
                </c:pt>
                <c:pt idx="7">
                  <c:v>10.3</c:v>
                </c:pt>
                <c:pt idx="8">
                  <c:v>10.9</c:v>
                </c:pt>
                <c:pt idx="9">
                  <c:v>11</c:v>
                </c:pt>
                <c:pt idx="10">
                  <c:v>11</c:v>
                </c:pt>
                <c:pt idx="11">
                  <c:v>11</c:v>
                </c:pt>
                <c:pt idx="12">
                  <c:v>11</c:v>
                </c:pt>
                <c:pt idx="13">
                  <c:v>11</c:v>
                </c:pt>
                <c:pt idx="14">
                  <c:v>11</c:v>
                </c:pt>
                <c:pt idx="15">
                  <c:v>11</c:v>
                </c:pt>
                <c:pt idx="16">
                  <c:v>11</c:v>
                </c:pt>
                <c:pt idx="17">
                  <c:v>11</c:v>
                </c:pt>
                <c:pt idx="18">
                  <c:v>10.7</c:v>
                </c:pt>
                <c:pt idx="19">
                  <c:v>9.69</c:v>
                </c:pt>
                <c:pt idx="20">
                  <c:v>7.57</c:v>
                </c:pt>
                <c:pt idx="21">
                  <c:v>6.05</c:v>
                </c:pt>
                <c:pt idx="22">
                  <c:v>4.2300000000000004</c:v>
                </c:pt>
                <c:pt idx="23">
                  <c:v>2.38</c:v>
                </c:pt>
                <c:pt idx="24">
                  <c:v>0.5</c:v>
                </c:pt>
              </c:numCache>
            </c:numRef>
          </c:yVal>
          <c:smooth val="1"/>
        </c:ser>
        <c:ser>
          <c:idx val="7"/>
          <c:order val="7"/>
          <c:tx>
            <c:strRef>
              <c:f>Tools!$CP$69</c:f>
              <c:strCache>
                <c:ptCount val="1"/>
                <c:pt idx="0">
                  <c:v>WL 4</c:v>
                </c:pt>
              </c:strCache>
            </c:strRef>
          </c:tx>
          <c:spPr>
            <a:ln w="3175"/>
          </c:spPr>
          <c:marker>
            <c:symbol val="none"/>
          </c:marker>
          <c:xVal>
            <c:numRef>
              <c:f>Tools!STN_List</c:f>
              <c:numCache>
                <c:formatCode>General</c:formatCode>
                <c:ptCount val="25"/>
                <c:pt idx="0">
                  <c:v>0</c:v>
                </c:pt>
                <c:pt idx="1">
                  <c:v>0.5</c:v>
                </c:pt>
                <c:pt idx="2">
                  <c:v>1</c:v>
                </c:pt>
                <c:pt idx="3">
                  <c:v>1.5</c:v>
                </c:pt>
                <c:pt idx="4">
                  <c:v>2</c:v>
                </c:pt>
                <c:pt idx="5">
                  <c:v>3</c:v>
                </c:pt>
                <c:pt idx="6">
                  <c:v>4</c:v>
                </c:pt>
                <c:pt idx="7">
                  <c:v>5</c:v>
                </c:pt>
                <c:pt idx="8">
                  <c:v>6</c:v>
                </c:pt>
                <c:pt idx="9">
                  <c:v>7</c:v>
                </c:pt>
                <c:pt idx="10">
                  <c:v>8</c:v>
                </c:pt>
                <c:pt idx="11">
                  <c:v>9</c:v>
                </c:pt>
                <c:pt idx="12">
                  <c:v>10</c:v>
                </c:pt>
                <c:pt idx="13">
                  <c:v>11</c:v>
                </c:pt>
                <c:pt idx="14">
                  <c:v>12</c:v>
                </c:pt>
                <c:pt idx="15">
                  <c:v>13</c:v>
                </c:pt>
                <c:pt idx="16">
                  <c:v>14</c:v>
                </c:pt>
                <c:pt idx="17">
                  <c:v>15</c:v>
                </c:pt>
                <c:pt idx="18">
                  <c:v>16</c:v>
                </c:pt>
                <c:pt idx="19">
                  <c:v>17</c:v>
                </c:pt>
                <c:pt idx="20">
                  <c:v>18</c:v>
                </c:pt>
                <c:pt idx="21">
                  <c:v>18.5</c:v>
                </c:pt>
                <c:pt idx="22">
                  <c:v>19</c:v>
                </c:pt>
                <c:pt idx="23">
                  <c:v>19.5</c:v>
                </c:pt>
                <c:pt idx="24">
                  <c:v>20</c:v>
                </c:pt>
              </c:numCache>
            </c:numRef>
          </c:xVal>
          <c:yVal>
            <c:numRef>
              <c:f>Tools!HB_8</c:f>
              <c:numCache>
                <c:formatCode>General</c:formatCode>
                <c:ptCount val="25"/>
                <c:pt idx="0">
                  <c:v>0.9</c:v>
                </c:pt>
                <c:pt idx="1">
                  <c:v>2.4300000000000002</c:v>
                </c:pt>
                <c:pt idx="2">
                  <c:v>4.01</c:v>
                </c:pt>
                <c:pt idx="3">
                  <c:v>5.5</c:v>
                </c:pt>
                <c:pt idx="4">
                  <c:v>6.7</c:v>
                </c:pt>
                <c:pt idx="5">
                  <c:v>8.65</c:v>
                </c:pt>
                <c:pt idx="6">
                  <c:v>10.1</c:v>
                </c:pt>
                <c:pt idx="7">
                  <c:v>10.58</c:v>
                </c:pt>
                <c:pt idx="8">
                  <c:v>11</c:v>
                </c:pt>
                <c:pt idx="9">
                  <c:v>11</c:v>
                </c:pt>
                <c:pt idx="10">
                  <c:v>11</c:v>
                </c:pt>
                <c:pt idx="11">
                  <c:v>11</c:v>
                </c:pt>
                <c:pt idx="12">
                  <c:v>11</c:v>
                </c:pt>
                <c:pt idx="13">
                  <c:v>11</c:v>
                </c:pt>
                <c:pt idx="14">
                  <c:v>11</c:v>
                </c:pt>
                <c:pt idx="15">
                  <c:v>11</c:v>
                </c:pt>
                <c:pt idx="16">
                  <c:v>11</c:v>
                </c:pt>
                <c:pt idx="17">
                  <c:v>11</c:v>
                </c:pt>
                <c:pt idx="18">
                  <c:v>10.8</c:v>
                </c:pt>
                <c:pt idx="19">
                  <c:v>9.99</c:v>
                </c:pt>
                <c:pt idx="20">
                  <c:v>7.9291999999999998</c:v>
                </c:pt>
                <c:pt idx="21">
                  <c:v>6.39</c:v>
                </c:pt>
                <c:pt idx="22">
                  <c:v>4.47</c:v>
                </c:pt>
                <c:pt idx="23">
                  <c:v>2.25</c:v>
                </c:pt>
                <c:pt idx="24">
                  <c:v>0.08</c:v>
                </c:pt>
              </c:numCache>
            </c:numRef>
          </c:yVal>
          <c:smooth val="1"/>
        </c:ser>
        <c:ser>
          <c:idx val="8"/>
          <c:order val="8"/>
          <c:tx>
            <c:strRef>
              <c:f>Tools!$CP$70</c:f>
              <c:strCache>
                <c:ptCount val="1"/>
                <c:pt idx="0">
                  <c:v>WL 4.85</c:v>
                </c:pt>
              </c:strCache>
            </c:strRef>
          </c:tx>
          <c:spPr>
            <a:ln w="3175"/>
          </c:spPr>
          <c:marker>
            <c:symbol val="none"/>
          </c:marker>
          <c:xVal>
            <c:numRef>
              <c:f>Tools!STN_List</c:f>
              <c:numCache>
                <c:formatCode>General</c:formatCode>
                <c:ptCount val="25"/>
                <c:pt idx="0">
                  <c:v>0</c:v>
                </c:pt>
                <c:pt idx="1">
                  <c:v>0.5</c:v>
                </c:pt>
                <c:pt idx="2">
                  <c:v>1</c:v>
                </c:pt>
                <c:pt idx="3">
                  <c:v>1.5</c:v>
                </c:pt>
                <c:pt idx="4">
                  <c:v>2</c:v>
                </c:pt>
                <c:pt idx="5">
                  <c:v>3</c:v>
                </c:pt>
                <c:pt idx="6">
                  <c:v>4</c:v>
                </c:pt>
                <c:pt idx="7">
                  <c:v>5</c:v>
                </c:pt>
                <c:pt idx="8">
                  <c:v>6</c:v>
                </c:pt>
                <c:pt idx="9">
                  <c:v>7</c:v>
                </c:pt>
                <c:pt idx="10">
                  <c:v>8</c:v>
                </c:pt>
                <c:pt idx="11">
                  <c:v>9</c:v>
                </c:pt>
                <c:pt idx="12">
                  <c:v>10</c:v>
                </c:pt>
                <c:pt idx="13">
                  <c:v>11</c:v>
                </c:pt>
                <c:pt idx="14">
                  <c:v>12</c:v>
                </c:pt>
                <c:pt idx="15">
                  <c:v>13</c:v>
                </c:pt>
                <c:pt idx="16">
                  <c:v>14</c:v>
                </c:pt>
                <c:pt idx="17">
                  <c:v>15</c:v>
                </c:pt>
                <c:pt idx="18">
                  <c:v>16</c:v>
                </c:pt>
                <c:pt idx="19">
                  <c:v>17</c:v>
                </c:pt>
                <c:pt idx="20">
                  <c:v>18</c:v>
                </c:pt>
                <c:pt idx="21">
                  <c:v>18.5</c:v>
                </c:pt>
                <c:pt idx="22">
                  <c:v>19</c:v>
                </c:pt>
                <c:pt idx="23">
                  <c:v>19.5</c:v>
                </c:pt>
                <c:pt idx="24">
                  <c:v>20</c:v>
                </c:pt>
              </c:numCache>
            </c:numRef>
          </c:xVal>
          <c:yVal>
            <c:numRef>
              <c:f>Tools!HB_9</c:f>
              <c:numCache>
                <c:formatCode>General</c:formatCode>
                <c:ptCount val="25"/>
                <c:pt idx="0">
                  <c:v>2.59</c:v>
                </c:pt>
                <c:pt idx="1">
                  <c:v>4.18</c:v>
                </c:pt>
                <c:pt idx="2">
                  <c:v>5.57</c:v>
                </c:pt>
                <c:pt idx="3">
                  <c:v>6.82</c:v>
                </c:pt>
                <c:pt idx="4">
                  <c:v>7.89</c:v>
                </c:pt>
                <c:pt idx="5">
                  <c:v>9.43</c:v>
                </c:pt>
                <c:pt idx="6">
                  <c:v>10.45</c:v>
                </c:pt>
                <c:pt idx="7">
                  <c:v>10.72</c:v>
                </c:pt>
                <c:pt idx="8">
                  <c:v>11</c:v>
                </c:pt>
                <c:pt idx="9">
                  <c:v>11</c:v>
                </c:pt>
                <c:pt idx="10">
                  <c:v>11</c:v>
                </c:pt>
                <c:pt idx="11">
                  <c:v>11</c:v>
                </c:pt>
                <c:pt idx="12">
                  <c:v>11</c:v>
                </c:pt>
                <c:pt idx="13">
                  <c:v>11</c:v>
                </c:pt>
                <c:pt idx="14">
                  <c:v>11</c:v>
                </c:pt>
                <c:pt idx="15">
                  <c:v>11</c:v>
                </c:pt>
                <c:pt idx="16">
                  <c:v>11</c:v>
                </c:pt>
                <c:pt idx="17">
                  <c:v>11</c:v>
                </c:pt>
                <c:pt idx="18">
                  <c:v>10.89</c:v>
                </c:pt>
                <c:pt idx="19">
                  <c:v>10.23</c:v>
                </c:pt>
                <c:pt idx="20">
                  <c:v>8.3511000000000006</c:v>
                </c:pt>
                <c:pt idx="21">
                  <c:v>6.82</c:v>
                </c:pt>
                <c:pt idx="22">
                  <c:v>4.87</c:v>
                </c:pt>
                <c:pt idx="23">
                  <c:v>2.42</c:v>
                </c:pt>
                <c:pt idx="24">
                  <c:v>0</c:v>
                </c:pt>
              </c:numCache>
            </c:numRef>
          </c:yVal>
          <c:smooth val="1"/>
        </c:ser>
        <c:ser>
          <c:idx val="9"/>
          <c:order val="9"/>
          <c:tx>
            <c:strRef>
              <c:f>Tools!$CP$71</c:f>
              <c:strCache>
                <c:ptCount val="1"/>
                <c:pt idx="0">
                  <c:v>WL 5</c:v>
                </c:pt>
              </c:strCache>
            </c:strRef>
          </c:tx>
          <c:spPr>
            <a:ln w="3175"/>
          </c:spPr>
          <c:marker>
            <c:symbol val="none"/>
          </c:marker>
          <c:xVal>
            <c:numRef>
              <c:f>Tools!STN_List</c:f>
              <c:numCache>
                <c:formatCode>General</c:formatCode>
                <c:ptCount val="25"/>
                <c:pt idx="0">
                  <c:v>0</c:v>
                </c:pt>
                <c:pt idx="1">
                  <c:v>0.5</c:v>
                </c:pt>
                <c:pt idx="2">
                  <c:v>1</c:v>
                </c:pt>
                <c:pt idx="3">
                  <c:v>1.5</c:v>
                </c:pt>
                <c:pt idx="4">
                  <c:v>2</c:v>
                </c:pt>
                <c:pt idx="5">
                  <c:v>3</c:v>
                </c:pt>
                <c:pt idx="6">
                  <c:v>4</c:v>
                </c:pt>
                <c:pt idx="7">
                  <c:v>5</c:v>
                </c:pt>
                <c:pt idx="8">
                  <c:v>6</c:v>
                </c:pt>
                <c:pt idx="9">
                  <c:v>7</c:v>
                </c:pt>
                <c:pt idx="10">
                  <c:v>8</c:v>
                </c:pt>
                <c:pt idx="11">
                  <c:v>9</c:v>
                </c:pt>
                <c:pt idx="12">
                  <c:v>10</c:v>
                </c:pt>
                <c:pt idx="13">
                  <c:v>11</c:v>
                </c:pt>
                <c:pt idx="14">
                  <c:v>12</c:v>
                </c:pt>
                <c:pt idx="15">
                  <c:v>13</c:v>
                </c:pt>
                <c:pt idx="16">
                  <c:v>14</c:v>
                </c:pt>
                <c:pt idx="17">
                  <c:v>15</c:v>
                </c:pt>
                <c:pt idx="18">
                  <c:v>16</c:v>
                </c:pt>
                <c:pt idx="19">
                  <c:v>17</c:v>
                </c:pt>
                <c:pt idx="20">
                  <c:v>18</c:v>
                </c:pt>
                <c:pt idx="21">
                  <c:v>18.5</c:v>
                </c:pt>
                <c:pt idx="22">
                  <c:v>19</c:v>
                </c:pt>
                <c:pt idx="23">
                  <c:v>19.5</c:v>
                </c:pt>
                <c:pt idx="24">
                  <c:v>20</c:v>
                </c:pt>
              </c:numCache>
            </c:numRef>
          </c:xVal>
          <c:yVal>
            <c:numRef>
              <c:f>Tools!HB_10</c:f>
              <c:numCache>
                <c:formatCode>General</c:formatCode>
                <c:ptCount val="25"/>
                <c:pt idx="0">
                  <c:v>2.82</c:v>
                </c:pt>
                <c:pt idx="1">
                  <c:v>4.3899999999999997</c:v>
                </c:pt>
                <c:pt idx="2">
                  <c:v>5.78</c:v>
                </c:pt>
                <c:pt idx="3">
                  <c:v>7.01</c:v>
                </c:pt>
                <c:pt idx="4">
                  <c:v>8.0399999999999991</c:v>
                </c:pt>
                <c:pt idx="5">
                  <c:v>9.5399999999999991</c:v>
                </c:pt>
                <c:pt idx="6">
                  <c:v>10.5</c:v>
                </c:pt>
                <c:pt idx="7">
                  <c:v>10.74</c:v>
                </c:pt>
                <c:pt idx="8">
                  <c:v>11</c:v>
                </c:pt>
                <c:pt idx="9">
                  <c:v>11</c:v>
                </c:pt>
                <c:pt idx="10">
                  <c:v>11</c:v>
                </c:pt>
                <c:pt idx="11">
                  <c:v>11</c:v>
                </c:pt>
                <c:pt idx="12">
                  <c:v>11</c:v>
                </c:pt>
                <c:pt idx="13">
                  <c:v>11</c:v>
                </c:pt>
                <c:pt idx="14">
                  <c:v>11</c:v>
                </c:pt>
                <c:pt idx="15">
                  <c:v>11</c:v>
                </c:pt>
                <c:pt idx="16">
                  <c:v>11</c:v>
                </c:pt>
                <c:pt idx="17">
                  <c:v>11</c:v>
                </c:pt>
                <c:pt idx="18">
                  <c:v>10.9</c:v>
                </c:pt>
                <c:pt idx="19">
                  <c:v>10.27</c:v>
                </c:pt>
                <c:pt idx="20">
                  <c:v>8.43</c:v>
                </c:pt>
                <c:pt idx="21">
                  <c:v>6.91</c:v>
                </c:pt>
                <c:pt idx="22">
                  <c:v>4.9399999999999995</c:v>
                </c:pt>
                <c:pt idx="23">
                  <c:v>2.4962</c:v>
                </c:pt>
                <c:pt idx="24">
                  <c:v>0.03</c:v>
                </c:pt>
              </c:numCache>
            </c:numRef>
          </c:yVal>
          <c:smooth val="1"/>
        </c:ser>
        <c:ser>
          <c:idx val="10"/>
          <c:order val="10"/>
          <c:tx>
            <c:strRef>
              <c:f>Tools!$CP$72</c:f>
              <c:strCache>
                <c:ptCount val="1"/>
                <c:pt idx="0">
                  <c:v>WL 6</c:v>
                </c:pt>
              </c:strCache>
            </c:strRef>
          </c:tx>
          <c:spPr>
            <a:ln w="3175"/>
          </c:spPr>
          <c:marker>
            <c:symbol val="none"/>
          </c:marker>
          <c:xVal>
            <c:numRef>
              <c:f>Tools!STN_List</c:f>
              <c:numCache>
                <c:formatCode>General</c:formatCode>
                <c:ptCount val="25"/>
                <c:pt idx="0">
                  <c:v>0</c:v>
                </c:pt>
                <c:pt idx="1">
                  <c:v>0.5</c:v>
                </c:pt>
                <c:pt idx="2">
                  <c:v>1</c:v>
                </c:pt>
                <c:pt idx="3">
                  <c:v>1.5</c:v>
                </c:pt>
                <c:pt idx="4">
                  <c:v>2</c:v>
                </c:pt>
                <c:pt idx="5">
                  <c:v>3</c:v>
                </c:pt>
                <c:pt idx="6">
                  <c:v>4</c:v>
                </c:pt>
                <c:pt idx="7">
                  <c:v>5</c:v>
                </c:pt>
                <c:pt idx="8">
                  <c:v>6</c:v>
                </c:pt>
                <c:pt idx="9">
                  <c:v>7</c:v>
                </c:pt>
                <c:pt idx="10">
                  <c:v>8</c:v>
                </c:pt>
                <c:pt idx="11">
                  <c:v>9</c:v>
                </c:pt>
                <c:pt idx="12">
                  <c:v>10</c:v>
                </c:pt>
                <c:pt idx="13">
                  <c:v>11</c:v>
                </c:pt>
                <c:pt idx="14">
                  <c:v>12</c:v>
                </c:pt>
                <c:pt idx="15">
                  <c:v>13</c:v>
                </c:pt>
                <c:pt idx="16">
                  <c:v>14</c:v>
                </c:pt>
                <c:pt idx="17">
                  <c:v>15</c:v>
                </c:pt>
                <c:pt idx="18">
                  <c:v>16</c:v>
                </c:pt>
                <c:pt idx="19">
                  <c:v>17</c:v>
                </c:pt>
                <c:pt idx="20">
                  <c:v>18</c:v>
                </c:pt>
                <c:pt idx="21">
                  <c:v>18.5</c:v>
                </c:pt>
                <c:pt idx="22">
                  <c:v>19</c:v>
                </c:pt>
                <c:pt idx="23">
                  <c:v>19.5</c:v>
                </c:pt>
                <c:pt idx="24">
                  <c:v>20</c:v>
                </c:pt>
              </c:numCache>
            </c:numRef>
          </c:xVal>
          <c:yVal>
            <c:numRef>
              <c:f>Tools!HB_11</c:f>
              <c:numCache>
                <c:formatCode>General</c:formatCode>
                <c:ptCount val="25"/>
                <c:pt idx="0">
                  <c:v>3.82</c:v>
                </c:pt>
                <c:pt idx="1">
                  <c:v>5.43</c:v>
                </c:pt>
                <c:pt idx="2">
                  <c:v>6.8</c:v>
                </c:pt>
                <c:pt idx="3">
                  <c:v>7.98</c:v>
                </c:pt>
                <c:pt idx="4">
                  <c:v>8.94</c:v>
                </c:pt>
                <c:pt idx="5">
                  <c:v>10.1</c:v>
                </c:pt>
                <c:pt idx="6">
                  <c:v>10.8</c:v>
                </c:pt>
                <c:pt idx="7">
                  <c:v>10.9</c:v>
                </c:pt>
                <c:pt idx="8">
                  <c:v>11</c:v>
                </c:pt>
                <c:pt idx="9">
                  <c:v>11</c:v>
                </c:pt>
                <c:pt idx="10">
                  <c:v>11</c:v>
                </c:pt>
                <c:pt idx="11">
                  <c:v>11</c:v>
                </c:pt>
                <c:pt idx="12">
                  <c:v>11</c:v>
                </c:pt>
                <c:pt idx="13">
                  <c:v>11</c:v>
                </c:pt>
                <c:pt idx="14">
                  <c:v>11</c:v>
                </c:pt>
                <c:pt idx="15">
                  <c:v>11</c:v>
                </c:pt>
                <c:pt idx="16">
                  <c:v>11</c:v>
                </c:pt>
                <c:pt idx="17">
                  <c:v>11</c:v>
                </c:pt>
                <c:pt idx="18">
                  <c:v>11</c:v>
                </c:pt>
                <c:pt idx="19">
                  <c:v>10.5</c:v>
                </c:pt>
                <c:pt idx="20">
                  <c:v>8.92</c:v>
                </c:pt>
                <c:pt idx="21">
                  <c:v>7.5</c:v>
                </c:pt>
                <c:pt idx="22">
                  <c:v>5.59</c:v>
                </c:pt>
                <c:pt idx="23">
                  <c:v>3.19</c:v>
                </c:pt>
                <c:pt idx="24">
                  <c:v>0.8</c:v>
                </c:pt>
              </c:numCache>
            </c:numRef>
          </c:yVal>
          <c:smooth val="1"/>
        </c:ser>
        <c:ser>
          <c:idx val="11"/>
          <c:order val="11"/>
          <c:tx>
            <c:strRef>
              <c:f>Tools!$CP$73</c:f>
              <c:strCache>
                <c:ptCount val="1"/>
                <c:pt idx="0">
                  <c:v>WL 6.5</c:v>
                </c:pt>
              </c:strCache>
            </c:strRef>
          </c:tx>
          <c:spPr>
            <a:ln w="3175"/>
          </c:spPr>
          <c:marker>
            <c:symbol val="none"/>
          </c:marker>
          <c:xVal>
            <c:numRef>
              <c:f>Tools!STN_List</c:f>
              <c:numCache>
                <c:formatCode>General</c:formatCode>
                <c:ptCount val="25"/>
                <c:pt idx="0">
                  <c:v>0</c:v>
                </c:pt>
                <c:pt idx="1">
                  <c:v>0.5</c:v>
                </c:pt>
                <c:pt idx="2">
                  <c:v>1</c:v>
                </c:pt>
                <c:pt idx="3">
                  <c:v>1.5</c:v>
                </c:pt>
                <c:pt idx="4">
                  <c:v>2</c:v>
                </c:pt>
                <c:pt idx="5">
                  <c:v>3</c:v>
                </c:pt>
                <c:pt idx="6">
                  <c:v>4</c:v>
                </c:pt>
                <c:pt idx="7">
                  <c:v>5</c:v>
                </c:pt>
                <c:pt idx="8">
                  <c:v>6</c:v>
                </c:pt>
                <c:pt idx="9">
                  <c:v>7</c:v>
                </c:pt>
                <c:pt idx="10">
                  <c:v>8</c:v>
                </c:pt>
                <c:pt idx="11">
                  <c:v>9</c:v>
                </c:pt>
                <c:pt idx="12">
                  <c:v>10</c:v>
                </c:pt>
                <c:pt idx="13">
                  <c:v>11</c:v>
                </c:pt>
                <c:pt idx="14">
                  <c:v>12</c:v>
                </c:pt>
                <c:pt idx="15">
                  <c:v>13</c:v>
                </c:pt>
                <c:pt idx="16">
                  <c:v>14</c:v>
                </c:pt>
                <c:pt idx="17">
                  <c:v>15</c:v>
                </c:pt>
                <c:pt idx="18">
                  <c:v>16</c:v>
                </c:pt>
                <c:pt idx="19">
                  <c:v>17</c:v>
                </c:pt>
                <c:pt idx="20">
                  <c:v>18</c:v>
                </c:pt>
                <c:pt idx="21">
                  <c:v>18.5</c:v>
                </c:pt>
                <c:pt idx="22">
                  <c:v>19</c:v>
                </c:pt>
                <c:pt idx="23">
                  <c:v>19.5</c:v>
                </c:pt>
                <c:pt idx="24">
                  <c:v>20</c:v>
                </c:pt>
              </c:numCache>
            </c:numRef>
          </c:xVal>
          <c:yVal>
            <c:numRef>
              <c:f>Tools!HB_12</c:f>
              <c:numCache>
                <c:formatCode>General</c:formatCode>
                <c:ptCount val="25"/>
                <c:pt idx="0">
                  <c:v>4.24</c:v>
                </c:pt>
                <c:pt idx="1">
                  <c:v>5.85</c:v>
                </c:pt>
                <c:pt idx="2">
                  <c:v>7.27</c:v>
                </c:pt>
                <c:pt idx="3">
                  <c:v>8.42</c:v>
                </c:pt>
                <c:pt idx="4">
                  <c:v>9.3000000000000007</c:v>
                </c:pt>
                <c:pt idx="5">
                  <c:v>10.44</c:v>
                </c:pt>
                <c:pt idx="6">
                  <c:v>10.87</c:v>
                </c:pt>
                <c:pt idx="7">
                  <c:v>11</c:v>
                </c:pt>
                <c:pt idx="8">
                  <c:v>11</c:v>
                </c:pt>
                <c:pt idx="9">
                  <c:v>11</c:v>
                </c:pt>
                <c:pt idx="10">
                  <c:v>11</c:v>
                </c:pt>
                <c:pt idx="11">
                  <c:v>11</c:v>
                </c:pt>
                <c:pt idx="12">
                  <c:v>11</c:v>
                </c:pt>
                <c:pt idx="13">
                  <c:v>11</c:v>
                </c:pt>
                <c:pt idx="14">
                  <c:v>11</c:v>
                </c:pt>
                <c:pt idx="15">
                  <c:v>11</c:v>
                </c:pt>
                <c:pt idx="16">
                  <c:v>11</c:v>
                </c:pt>
                <c:pt idx="17">
                  <c:v>11</c:v>
                </c:pt>
                <c:pt idx="18">
                  <c:v>11</c:v>
                </c:pt>
                <c:pt idx="19">
                  <c:v>10.62</c:v>
                </c:pt>
                <c:pt idx="20">
                  <c:v>9.16</c:v>
                </c:pt>
                <c:pt idx="21">
                  <c:v>7.8</c:v>
                </c:pt>
                <c:pt idx="22">
                  <c:v>5.94</c:v>
                </c:pt>
                <c:pt idx="23">
                  <c:v>3.63</c:v>
                </c:pt>
                <c:pt idx="24">
                  <c:v>1.63</c:v>
                </c:pt>
              </c:numCache>
            </c:numRef>
          </c:yVal>
          <c:smooth val="1"/>
        </c:ser>
        <c:ser>
          <c:idx val="12"/>
          <c:order val="12"/>
          <c:tx>
            <c:strRef>
              <c:f>Tools!$CP$74</c:f>
              <c:strCache>
                <c:ptCount val="1"/>
                <c:pt idx="0">
                  <c:v> </c:v>
                </c:pt>
              </c:strCache>
            </c:strRef>
          </c:tx>
          <c:spPr>
            <a:ln w="3175"/>
          </c:spPr>
          <c:marker>
            <c:symbol val="none"/>
          </c:marker>
          <c:xVal>
            <c:numRef>
              <c:f>Tools!STN_List</c:f>
              <c:numCache>
                <c:formatCode>General</c:formatCode>
                <c:ptCount val="25"/>
                <c:pt idx="0">
                  <c:v>0</c:v>
                </c:pt>
                <c:pt idx="1">
                  <c:v>0.5</c:v>
                </c:pt>
                <c:pt idx="2">
                  <c:v>1</c:v>
                </c:pt>
                <c:pt idx="3">
                  <c:v>1.5</c:v>
                </c:pt>
                <c:pt idx="4">
                  <c:v>2</c:v>
                </c:pt>
                <c:pt idx="5">
                  <c:v>3</c:v>
                </c:pt>
                <c:pt idx="6">
                  <c:v>4</c:v>
                </c:pt>
                <c:pt idx="7">
                  <c:v>5</c:v>
                </c:pt>
                <c:pt idx="8">
                  <c:v>6</c:v>
                </c:pt>
                <c:pt idx="9">
                  <c:v>7</c:v>
                </c:pt>
                <c:pt idx="10">
                  <c:v>8</c:v>
                </c:pt>
                <c:pt idx="11">
                  <c:v>9</c:v>
                </c:pt>
                <c:pt idx="12">
                  <c:v>10</c:v>
                </c:pt>
                <c:pt idx="13">
                  <c:v>11</c:v>
                </c:pt>
                <c:pt idx="14">
                  <c:v>12</c:v>
                </c:pt>
                <c:pt idx="15">
                  <c:v>13</c:v>
                </c:pt>
                <c:pt idx="16">
                  <c:v>14</c:v>
                </c:pt>
                <c:pt idx="17">
                  <c:v>15</c:v>
                </c:pt>
                <c:pt idx="18">
                  <c:v>16</c:v>
                </c:pt>
                <c:pt idx="19">
                  <c:v>17</c:v>
                </c:pt>
                <c:pt idx="20">
                  <c:v>18</c:v>
                </c:pt>
                <c:pt idx="21">
                  <c:v>18.5</c:v>
                </c:pt>
                <c:pt idx="22">
                  <c:v>19</c:v>
                </c:pt>
                <c:pt idx="23">
                  <c:v>19.5</c:v>
                </c:pt>
                <c:pt idx="24">
                  <c:v>20</c:v>
                </c:pt>
              </c:numCache>
            </c:numRef>
          </c:xVal>
          <c:yVal>
            <c:numRef>
              <c:f>Tools!HB_13</c:f>
              <c:numCache>
                <c:formatCode>General</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yVal>
          <c:smooth val="1"/>
        </c:ser>
        <c:ser>
          <c:idx val="13"/>
          <c:order val="13"/>
          <c:tx>
            <c:strRef>
              <c:f>Tools!$CP$75</c:f>
              <c:strCache>
                <c:ptCount val="1"/>
                <c:pt idx="0">
                  <c:v> </c:v>
                </c:pt>
              </c:strCache>
            </c:strRef>
          </c:tx>
          <c:spPr>
            <a:ln w="3175"/>
          </c:spPr>
          <c:marker>
            <c:symbol val="none"/>
          </c:marker>
          <c:xVal>
            <c:numRef>
              <c:f>Tools!STN_List</c:f>
              <c:numCache>
                <c:formatCode>General</c:formatCode>
                <c:ptCount val="25"/>
                <c:pt idx="0">
                  <c:v>0</c:v>
                </c:pt>
                <c:pt idx="1">
                  <c:v>0.5</c:v>
                </c:pt>
                <c:pt idx="2">
                  <c:v>1</c:v>
                </c:pt>
                <c:pt idx="3">
                  <c:v>1.5</c:v>
                </c:pt>
                <c:pt idx="4">
                  <c:v>2</c:v>
                </c:pt>
                <c:pt idx="5">
                  <c:v>3</c:v>
                </c:pt>
                <c:pt idx="6">
                  <c:v>4</c:v>
                </c:pt>
                <c:pt idx="7">
                  <c:v>5</c:v>
                </c:pt>
                <c:pt idx="8">
                  <c:v>6</c:v>
                </c:pt>
                <c:pt idx="9">
                  <c:v>7</c:v>
                </c:pt>
                <c:pt idx="10">
                  <c:v>8</c:v>
                </c:pt>
                <c:pt idx="11">
                  <c:v>9</c:v>
                </c:pt>
                <c:pt idx="12">
                  <c:v>10</c:v>
                </c:pt>
                <c:pt idx="13">
                  <c:v>11</c:v>
                </c:pt>
                <c:pt idx="14">
                  <c:v>12</c:v>
                </c:pt>
                <c:pt idx="15">
                  <c:v>13</c:v>
                </c:pt>
                <c:pt idx="16">
                  <c:v>14</c:v>
                </c:pt>
                <c:pt idx="17">
                  <c:v>15</c:v>
                </c:pt>
                <c:pt idx="18">
                  <c:v>16</c:v>
                </c:pt>
                <c:pt idx="19">
                  <c:v>17</c:v>
                </c:pt>
                <c:pt idx="20">
                  <c:v>18</c:v>
                </c:pt>
                <c:pt idx="21">
                  <c:v>18.5</c:v>
                </c:pt>
                <c:pt idx="22">
                  <c:v>19</c:v>
                </c:pt>
                <c:pt idx="23">
                  <c:v>19.5</c:v>
                </c:pt>
                <c:pt idx="24">
                  <c:v>20</c:v>
                </c:pt>
              </c:numCache>
            </c:numRef>
          </c:xVal>
          <c:yVal>
            <c:numRef>
              <c:f>Tools!HB_14</c:f>
              <c:numCache>
                <c:formatCode>General</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yVal>
          <c:smooth val="1"/>
        </c:ser>
        <c:ser>
          <c:idx val="14"/>
          <c:order val="14"/>
          <c:tx>
            <c:strRef>
              <c:f>Tools!$CP$76</c:f>
              <c:strCache>
                <c:ptCount val="1"/>
                <c:pt idx="0">
                  <c:v> </c:v>
                </c:pt>
              </c:strCache>
            </c:strRef>
          </c:tx>
          <c:spPr>
            <a:ln w="3175"/>
          </c:spPr>
          <c:marker>
            <c:symbol val="none"/>
          </c:marker>
          <c:xVal>
            <c:numRef>
              <c:f>Tools!STN_List</c:f>
              <c:numCache>
                <c:formatCode>General</c:formatCode>
                <c:ptCount val="25"/>
                <c:pt idx="0">
                  <c:v>0</c:v>
                </c:pt>
                <c:pt idx="1">
                  <c:v>0.5</c:v>
                </c:pt>
                <c:pt idx="2">
                  <c:v>1</c:v>
                </c:pt>
                <c:pt idx="3">
                  <c:v>1.5</c:v>
                </c:pt>
                <c:pt idx="4">
                  <c:v>2</c:v>
                </c:pt>
                <c:pt idx="5">
                  <c:v>3</c:v>
                </c:pt>
                <c:pt idx="6">
                  <c:v>4</c:v>
                </c:pt>
                <c:pt idx="7">
                  <c:v>5</c:v>
                </c:pt>
                <c:pt idx="8">
                  <c:v>6</c:v>
                </c:pt>
                <c:pt idx="9">
                  <c:v>7</c:v>
                </c:pt>
                <c:pt idx="10">
                  <c:v>8</c:v>
                </c:pt>
                <c:pt idx="11">
                  <c:v>9</c:v>
                </c:pt>
                <c:pt idx="12">
                  <c:v>10</c:v>
                </c:pt>
                <c:pt idx="13">
                  <c:v>11</c:v>
                </c:pt>
                <c:pt idx="14">
                  <c:v>12</c:v>
                </c:pt>
                <c:pt idx="15">
                  <c:v>13</c:v>
                </c:pt>
                <c:pt idx="16">
                  <c:v>14</c:v>
                </c:pt>
                <c:pt idx="17">
                  <c:v>15</c:v>
                </c:pt>
                <c:pt idx="18">
                  <c:v>16</c:v>
                </c:pt>
                <c:pt idx="19">
                  <c:v>17</c:v>
                </c:pt>
                <c:pt idx="20">
                  <c:v>18</c:v>
                </c:pt>
                <c:pt idx="21">
                  <c:v>18.5</c:v>
                </c:pt>
                <c:pt idx="22">
                  <c:v>19</c:v>
                </c:pt>
                <c:pt idx="23">
                  <c:v>19.5</c:v>
                </c:pt>
                <c:pt idx="24">
                  <c:v>20</c:v>
                </c:pt>
              </c:numCache>
            </c:numRef>
          </c:xVal>
          <c:yVal>
            <c:numRef>
              <c:f>Tools!HB_15</c:f>
              <c:numCache>
                <c:formatCode>General</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yVal>
          <c:smooth val="1"/>
        </c:ser>
        <c:ser>
          <c:idx val="15"/>
          <c:order val="15"/>
          <c:tx>
            <c:strRef>
              <c:f>Tools!$CP$77</c:f>
              <c:strCache>
                <c:ptCount val="1"/>
                <c:pt idx="0">
                  <c:v> </c:v>
                </c:pt>
              </c:strCache>
            </c:strRef>
          </c:tx>
          <c:spPr>
            <a:ln w="3175"/>
          </c:spPr>
          <c:marker>
            <c:symbol val="none"/>
          </c:marker>
          <c:xVal>
            <c:numRef>
              <c:f>Tools!STN_List</c:f>
              <c:numCache>
                <c:formatCode>General</c:formatCode>
                <c:ptCount val="25"/>
                <c:pt idx="0">
                  <c:v>0</c:v>
                </c:pt>
                <c:pt idx="1">
                  <c:v>0.5</c:v>
                </c:pt>
                <c:pt idx="2">
                  <c:v>1</c:v>
                </c:pt>
                <c:pt idx="3">
                  <c:v>1.5</c:v>
                </c:pt>
                <c:pt idx="4">
                  <c:v>2</c:v>
                </c:pt>
                <c:pt idx="5">
                  <c:v>3</c:v>
                </c:pt>
                <c:pt idx="6">
                  <c:v>4</c:v>
                </c:pt>
                <c:pt idx="7">
                  <c:v>5</c:v>
                </c:pt>
                <c:pt idx="8">
                  <c:v>6</c:v>
                </c:pt>
                <c:pt idx="9">
                  <c:v>7</c:v>
                </c:pt>
                <c:pt idx="10">
                  <c:v>8</c:v>
                </c:pt>
                <c:pt idx="11">
                  <c:v>9</c:v>
                </c:pt>
                <c:pt idx="12">
                  <c:v>10</c:v>
                </c:pt>
                <c:pt idx="13">
                  <c:v>11</c:v>
                </c:pt>
                <c:pt idx="14">
                  <c:v>12</c:v>
                </c:pt>
                <c:pt idx="15">
                  <c:v>13</c:v>
                </c:pt>
                <c:pt idx="16">
                  <c:v>14</c:v>
                </c:pt>
                <c:pt idx="17">
                  <c:v>15</c:v>
                </c:pt>
                <c:pt idx="18">
                  <c:v>16</c:v>
                </c:pt>
                <c:pt idx="19">
                  <c:v>17</c:v>
                </c:pt>
                <c:pt idx="20">
                  <c:v>18</c:v>
                </c:pt>
                <c:pt idx="21">
                  <c:v>18.5</c:v>
                </c:pt>
                <c:pt idx="22">
                  <c:v>19</c:v>
                </c:pt>
                <c:pt idx="23">
                  <c:v>19.5</c:v>
                </c:pt>
                <c:pt idx="24">
                  <c:v>20</c:v>
                </c:pt>
              </c:numCache>
            </c:numRef>
          </c:xVal>
          <c:yVal>
            <c:numRef>
              <c:f>Tools!HB_16</c:f>
              <c:numCache>
                <c:formatCode>General</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yVal>
          <c:smooth val="1"/>
        </c:ser>
        <c:ser>
          <c:idx val="16"/>
          <c:order val="16"/>
          <c:tx>
            <c:strRef>
              <c:f>Tools!$CP$78</c:f>
              <c:strCache>
                <c:ptCount val="1"/>
                <c:pt idx="0">
                  <c:v> </c:v>
                </c:pt>
              </c:strCache>
            </c:strRef>
          </c:tx>
          <c:spPr>
            <a:ln w="3175"/>
          </c:spPr>
          <c:marker>
            <c:symbol val="none"/>
          </c:marker>
          <c:xVal>
            <c:numRef>
              <c:f>Tools!STN_List</c:f>
              <c:numCache>
                <c:formatCode>General</c:formatCode>
                <c:ptCount val="25"/>
                <c:pt idx="0">
                  <c:v>0</c:v>
                </c:pt>
                <c:pt idx="1">
                  <c:v>0.5</c:v>
                </c:pt>
                <c:pt idx="2">
                  <c:v>1</c:v>
                </c:pt>
                <c:pt idx="3">
                  <c:v>1.5</c:v>
                </c:pt>
                <c:pt idx="4">
                  <c:v>2</c:v>
                </c:pt>
                <c:pt idx="5">
                  <c:v>3</c:v>
                </c:pt>
                <c:pt idx="6">
                  <c:v>4</c:v>
                </c:pt>
                <c:pt idx="7">
                  <c:v>5</c:v>
                </c:pt>
                <c:pt idx="8">
                  <c:v>6</c:v>
                </c:pt>
                <c:pt idx="9">
                  <c:v>7</c:v>
                </c:pt>
                <c:pt idx="10">
                  <c:v>8</c:v>
                </c:pt>
                <c:pt idx="11">
                  <c:v>9</c:v>
                </c:pt>
                <c:pt idx="12">
                  <c:v>10</c:v>
                </c:pt>
                <c:pt idx="13">
                  <c:v>11</c:v>
                </c:pt>
                <c:pt idx="14">
                  <c:v>12</c:v>
                </c:pt>
                <c:pt idx="15">
                  <c:v>13</c:v>
                </c:pt>
                <c:pt idx="16">
                  <c:v>14</c:v>
                </c:pt>
                <c:pt idx="17">
                  <c:v>15</c:v>
                </c:pt>
                <c:pt idx="18">
                  <c:v>16</c:v>
                </c:pt>
                <c:pt idx="19">
                  <c:v>17</c:v>
                </c:pt>
                <c:pt idx="20">
                  <c:v>18</c:v>
                </c:pt>
                <c:pt idx="21">
                  <c:v>18.5</c:v>
                </c:pt>
                <c:pt idx="22">
                  <c:v>19</c:v>
                </c:pt>
                <c:pt idx="23">
                  <c:v>19.5</c:v>
                </c:pt>
                <c:pt idx="24">
                  <c:v>20</c:v>
                </c:pt>
              </c:numCache>
            </c:numRef>
          </c:xVal>
          <c:yVal>
            <c:numRef>
              <c:f>Tools!HB_17</c:f>
              <c:numCache>
                <c:formatCode>General</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yVal>
          <c:smooth val="1"/>
        </c:ser>
        <c:ser>
          <c:idx val="17"/>
          <c:order val="17"/>
          <c:tx>
            <c:strRef>
              <c:f>Tools!$CP$79</c:f>
              <c:strCache>
                <c:ptCount val="1"/>
                <c:pt idx="0">
                  <c:v> </c:v>
                </c:pt>
              </c:strCache>
            </c:strRef>
          </c:tx>
          <c:spPr>
            <a:ln w="3175"/>
          </c:spPr>
          <c:marker>
            <c:symbol val="none"/>
          </c:marker>
          <c:xVal>
            <c:numRef>
              <c:f>Tools!STN_List</c:f>
              <c:numCache>
                <c:formatCode>General</c:formatCode>
                <c:ptCount val="25"/>
                <c:pt idx="0">
                  <c:v>0</c:v>
                </c:pt>
                <c:pt idx="1">
                  <c:v>0.5</c:v>
                </c:pt>
                <c:pt idx="2">
                  <c:v>1</c:v>
                </c:pt>
                <c:pt idx="3">
                  <c:v>1.5</c:v>
                </c:pt>
                <c:pt idx="4">
                  <c:v>2</c:v>
                </c:pt>
                <c:pt idx="5">
                  <c:v>3</c:v>
                </c:pt>
                <c:pt idx="6">
                  <c:v>4</c:v>
                </c:pt>
                <c:pt idx="7">
                  <c:v>5</c:v>
                </c:pt>
                <c:pt idx="8">
                  <c:v>6</c:v>
                </c:pt>
                <c:pt idx="9">
                  <c:v>7</c:v>
                </c:pt>
                <c:pt idx="10">
                  <c:v>8</c:v>
                </c:pt>
                <c:pt idx="11">
                  <c:v>9</c:v>
                </c:pt>
                <c:pt idx="12">
                  <c:v>10</c:v>
                </c:pt>
                <c:pt idx="13">
                  <c:v>11</c:v>
                </c:pt>
                <c:pt idx="14">
                  <c:v>12</c:v>
                </c:pt>
                <c:pt idx="15">
                  <c:v>13</c:v>
                </c:pt>
                <c:pt idx="16">
                  <c:v>14</c:v>
                </c:pt>
                <c:pt idx="17">
                  <c:v>15</c:v>
                </c:pt>
                <c:pt idx="18">
                  <c:v>16</c:v>
                </c:pt>
                <c:pt idx="19">
                  <c:v>17</c:v>
                </c:pt>
                <c:pt idx="20">
                  <c:v>18</c:v>
                </c:pt>
                <c:pt idx="21">
                  <c:v>18.5</c:v>
                </c:pt>
                <c:pt idx="22">
                  <c:v>19</c:v>
                </c:pt>
                <c:pt idx="23">
                  <c:v>19.5</c:v>
                </c:pt>
                <c:pt idx="24">
                  <c:v>20</c:v>
                </c:pt>
              </c:numCache>
            </c:numRef>
          </c:xVal>
          <c:yVal>
            <c:numRef>
              <c:f>Tools!HB_18</c:f>
              <c:numCache>
                <c:formatCode>General</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yVal>
          <c:smooth val="1"/>
        </c:ser>
        <c:ser>
          <c:idx val="18"/>
          <c:order val="18"/>
          <c:tx>
            <c:strRef>
              <c:f>Tools!$CP$80</c:f>
              <c:strCache>
                <c:ptCount val="1"/>
                <c:pt idx="0">
                  <c:v> </c:v>
                </c:pt>
              </c:strCache>
            </c:strRef>
          </c:tx>
          <c:spPr>
            <a:ln w="3175"/>
          </c:spPr>
          <c:marker>
            <c:symbol val="none"/>
          </c:marker>
          <c:xVal>
            <c:numRef>
              <c:f>Tools!STN_List</c:f>
              <c:numCache>
                <c:formatCode>General</c:formatCode>
                <c:ptCount val="25"/>
                <c:pt idx="0">
                  <c:v>0</c:v>
                </c:pt>
                <c:pt idx="1">
                  <c:v>0.5</c:v>
                </c:pt>
                <c:pt idx="2">
                  <c:v>1</c:v>
                </c:pt>
                <c:pt idx="3">
                  <c:v>1.5</c:v>
                </c:pt>
                <c:pt idx="4">
                  <c:v>2</c:v>
                </c:pt>
                <c:pt idx="5">
                  <c:v>3</c:v>
                </c:pt>
                <c:pt idx="6">
                  <c:v>4</c:v>
                </c:pt>
                <c:pt idx="7">
                  <c:v>5</c:v>
                </c:pt>
                <c:pt idx="8">
                  <c:v>6</c:v>
                </c:pt>
                <c:pt idx="9">
                  <c:v>7</c:v>
                </c:pt>
                <c:pt idx="10">
                  <c:v>8</c:v>
                </c:pt>
                <c:pt idx="11">
                  <c:v>9</c:v>
                </c:pt>
                <c:pt idx="12">
                  <c:v>10</c:v>
                </c:pt>
                <c:pt idx="13">
                  <c:v>11</c:v>
                </c:pt>
                <c:pt idx="14">
                  <c:v>12</c:v>
                </c:pt>
                <c:pt idx="15">
                  <c:v>13</c:v>
                </c:pt>
                <c:pt idx="16">
                  <c:v>14</c:v>
                </c:pt>
                <c:pt idx="17">
                  <c:v>15</c:v>
                </c:pt>
                <c:pt idx="18">
                  <c:v>16</c:v>
                </c:pt>
                <c:pt idx="19">
                  <c:v>17</c:v>
                </c:pt>
                <c:pt idx="20">
                  <c:v>18</c:v>
                </c:pt>
                <c:pt idx="21">
                  <c:v>18.5</c:v>
                </c:pt>
                <c:pt idx="22">
                  <c:v>19</c:v>
                </c:pt>
                <c:pt idx="23">
                  <c:v>19.5</c:v>
                </c:pt>
                <c:pt idx="24">
                  <c:v>20</c:v>
                </c:pt>
              </c:numCache>
            </c:numRef>
          </c:xVal>
          <c:yVal>
            <c:numRef>
              <c:f>Tools!HB_19</c:f>
              <c:numCache>
                <c:formatCode>General</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yVal>
          <c:smooth val="1"/>
        </c:ser>
        <c:ser>
          <c:idx val="19"/>
          <c:order val="19"/>
          <c:tx>
            <c:strRef>
              <c:f>Tools!$CP$81</c:f>
              <c:strCache>
                <c:ptCount val="1"/>
                <c:pt idx="0">
                  <c:v> </c:v>
                </c:pt>
              </c:strCache>
            </c:strRef>
          </c:tx>
          <c:spPr>
            <a:ln w="3175"/>
          </c:spPr>
          <c:marker>
            <c:symbol val="none"/>
          </c:marker>
          <c:xVal>
            <c:numRef>
              <c:f>Tools!STN_List</c:f>
              <c:numCache>
                <c:formatCode>General</c:formatCode>
                <c:ptCount val="25"/>
                <c:pt idx="0">
                  <c:v>0</c:v>
                </c:pt>
                <c:pt idx="1">
                  <c:v>0.5</c:v>
                </c:pt>
                <c:pt idx="2">
                  <c:v>1</c:v>
                </c:pt>
                <c:pt idx="3">
                  <c:v>1.5</c:v>
                </c:pt>
                <c:pt idx="4">
                  <c:v>2</c:v>
                </c:pt>
                <c:pt idx="5">
                  <c:v>3</c:v>
                </c:pt>
                <c:pt idx="6">
                  <c:v>4</c:v>
                </c:pt>
                <c:pt idx="7">
                  <c:v>5</c:v>
                </c:pt>
                <c:pt idx="8">
                  <c:v>6</c:v>
                </c:pt>
                <c:pt idx="9">
                  <c:v>7</c:v>
                </c:pt>
                <c:pt idx="10">
                  <c:v>8</c:v>
                </c:pt>
                <c:pt idx="11">
                  <c:v>9</c:v>
                </c:pt>
                <c:pt idx="12">
                  <c:v>10</c:v>
                </c:pt>
                <c:pt idx="13">
                  <c:v>11</c:v>
                </c:pt>
                <c:pt idx="14">
                  <c:v>12</c:v>
                </c:pt>
                <c:pt idx="15">
                  <c:v>13</c:v>
                </c:pt>
                <c:pt idx="16">
                  <c:v>14</c:v>
                </c:pt>
                <c:pt idx="17">
                  <c:v>15</c:v>
                </c:pt>
                <c:pt idx="18">
                  <c:v>16</c:v>
                </c:pt>
                <c:pt idx="19">
                  <c:v>17</c:v>
                </c:pt>
                <c:pt idx="20">
                  <c:v>18</c:v>
                </c:pt>
                <c:pt idx="21">
                  <c:v>18.5</c:v>
                </c:pt>
                <c:pt idx="22">
                  <c:v>19</c:v>
                </c:pt>
                <c:pt idx="23">
                  <c:v>19.5</c:v>
                </c:pt>
                <c:pt idx="24">
                  <c:v>20</c:v>
                </c:pt>
              </c:numCache>
            </c:numRef>
          </c:xVal>
          <c:yVal>
            <c:numRef>
              <c:f>Tools!HB_20</c:f>
              <c:numCache>
                <c:formatCode>General</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yVal>
          <c:smooth val="1"/>
        </c:ser>
        <c:ser>
          <c:idx val="20"/>
          <c:order val="20"/>
          <c:tx>
            <c:strRef>
              <c:f>Tools!$CP$82</c:f>
              <c:strCache>
                <c:ptCount val="1"/>
                <c:pt idx="0">
                  <c:v> </c:v>
                </c:pt>
              </c:strCache>
            </c:strRef>
          </c:tx>
          <c:spPr>
            <a:ln w="3175"/>
          </c:spPr>
          <c:marker>
            <c:symbol val="none"/>
          </c:marker>
          <c:xVal>
            <c:numRef>
              <c:f>Tools!STN_List</c:f>
              <c:numCache>
                <c:formatCode>General</c:formatCode>
                <c:ptCount val="25"/>
                <c:pt idx="0">
                  <c:v>0</c:v>
                </c:pt>
                <c:pt idx="1">
                  <c:v>0.5</c:v>
                </c:pt>
                <c:pt idx="2">
                  <c:v>1</c:v>
                </c:pt>
                <c:pt idx="3">
                  <c:v>1.5</c:v>
                </c:pt>
                <c:pt idx="4">
                  <c:v>2</c:v>
                </c:pt>
                <c:pt idx="5">
                  <c:v>3</c:v>
                </c:pt>
                <c:pt idx="6">
                  <c:v>4</c:v>
                </c:pt>
                <c:pt idx="7">
                  <c:v>5</c:v>
                </c:pt>
                <c:pt idx="8">
                  <c:v>6</c:v>
                </c:pt>
                <c:pt idx="9">
                  <c:v>7</c:v>
                </c:pt>
                <c:pt idx="10">
                  <c:v>8</c:v>
                </c:pt>
                <c:pt idx="11">
                  <c:v>9</c:v>
                </c:pt>
                <c:pt idx="12">
                  <c:v>10</c:v>
                </c:pt>
                <c:pt idx="13">
                  <c:v>11</c:v>
                </c:pt>
                <c:pt idx="14">
                  <c:v>12</c:v>
                </c:pt>
                <c:pt idx="15">
                  <c:v>13</c:v>
                </c:pt>
                <c:pt idx="16">
                  <c:v>14</c:v>
                </c:pt>
                <c:pt idx="17">
                  <c:v>15</c:v>
                </c:pt>
                <c:pt idx="18">
                  <c:v>16</c:v>
                </c:pt>
                <c:pt idx="19">
                  <c:v>17</c:v>
                </c:pt>
                <c:pt idx="20">
                  <c:v>18</c:v>
                </c:pt>
                <c:pt idx="21">
                  <c:v>18.5</c:v>
                </c:pt>
                <c:pt idx="22">
                  <c:v>19</c:v>
                </c:pt>
                <c:pt idx="23">
                  <c:v>19.5</c:v>
                </c:pt>
                <c:pt idx="24">
                  <c:v>20</c:v>
                </c:pt>
              </c:numCache>
            </c:numRef>
          </c:xVal>
          <c:yVal>
            <c:numRef>
              <c:f>Tools!HB_21</c:f>
              <c:numCache>
                <c:formatCode>General</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yVal>
          <c:smooth val="1"/>
        </c:ser>
        <c:ser>
          <c:idx val="21"/>
          <c:order val="21"/>
          <c:tx>
            <c:strRef>
              <c:f>Tools!$CP$83</c:f>
              <c:strCache>
                <c:ptCount val="1"/>
                <c:pt idx="0">
                  <c:v> </c:v>
                </c:pt>
              </c:strCache>
            </c:strRef>
          </c:tx>
          <c:spPr>
            <a:ln w="3175"/>
          </c:spPr>
          <c:marker>
            <c:symbol val="none"/>
          </c:marker>
          <c:xVal>
            <c:numRef>
              <c:f>Tools!STN_List</c:f>
              <c:numCache>
                <c:formatCode>General</c:formatCode>
                <c:ptCount val="25"/>
                <c:pt idx="0">
                  <c:v>0</c:v>
                </c:pt>
                <c:pt idx="1">
                  <c:v>0.5</c:v>
                </c:pt>
                <c:pt idx="2">
                  <c:v>1</c:v>
                </c:pt>
                <c:pt idx="3">
                  <c:v>1.5</c:v>
                </c:pt>
                <c:pt idx="4">
                  <c:v>2</c:v>
                </c:pt>
                <c:pt idx="5">
                  <c:v>3</c:v>
                </c:pt>
                <c:pt idx="6">
                  <c:v>4</c:v>
                </c:pt>
                <c:pt idx="7">
                  <c:v>5</c:v>
                </c:pt>
                <c:pt idx="8">
                  <c:v>6</c:v>
                </c:pt>
                <c:pt idx="9">
                  <c:v>7</c:v>
                </c:pt>
                <c:pt idx="10">
                  <c:v>8</c:v>
                </c:pt>
                <c:pt idx="11">
                  <c:v>9</c:v>
                </c:pt>
                <c:pt idx="12">
                  <c:v>10</c:v>
                </c:pt>
                <c:pt idx="13">
                  <c:v>11</c:v>
                </c:pt>
                <c:pt idx="14">
                  <c:v>12</c:v>
                </c:pt>
                <c:pt idx="15">
                  <c:v>13</c:v>
                </c:pt>
                <c:pt idx="16">
                  <c:v>14</c:v>
                </c:pt>
                <c:pt idx="17">
                  <c:v>15</c:v>
                </c:pt>
                <c:pt idx="18">
                  <c:v>16</c:v>
                </c:pt>
                <c:pt idx="19">
                  <c:v>17</c:v>
                </c:pt>
                <c:pt idx="20">
                  <c:v>18</c:v>
                </c:pt>
                <c:pt idx="21">
                  <c:v>18.5</c:v>
                </c:pt>
                <c:pt idx="22">
                  <c:v>19</c:v>
                </c:pt>
                <c:pt idx="23">
                  <c:v>19.5</c:v>
                </c:pt>
                <c:pt idx="24">
                  <c:v>20</c:v>
                </c:pt>
              </c:numCache>
            </c:numRef>
          </c:xVal>
          <c:yVal>
            <c:numRef>
              <c:f>Tools!HB_22</c:f>
              <c:numCache>
                <c:formatCode>General</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yVal>
          <c:smooth val="1"/>
        </c:ser>
        <c:ser>
          <c:idx val="22"/>
          <c:order val="22"/>
          <c:tx>
            <c:strRef>
              <c:f>Tools!$CP$84</c:f>
              <c:strCache>
                <c:ptCount val="1"/>
                <c:pt idx="0">
                  <c:v> </c:v>
                </c:pt>
              </c:strCache>
            </c:strRef>
          </c:tx>
          <c:spPr>
            <a:ln w="3175"/>
          </c:spPr>
          <c:marker>
            <c:symbol val="none"/>
          </c:marker>
          <c:xVal>
            <c:numRef>
              <c:f>Tools!STN_List</c:f>
              <c:numCache>
                <c:formatCode>General</c:formatCode>
                <c:ptCount val="25"/>
                <c:pt idx="0">
                  <c:v>0</c:v>
                </c:pt>
                <c:pt idx="1">
                  <c:v>0.5</c:v>
                </c:pt>
                <c:pt idx="2">
                  <c:v>1</c:v>
                </c:pt>
                <c:pt idx="3">
                  <c:v>1.5</c:v>
                </c:pt>
                <c:pt idx="4">
                  <c:v>2</c:v>
                </c:pt>
                <c:pt idx="5">
                  <c:v>3</c:v>
                </c:pt>
                <c:pt idx="6">
                  <c:v>4</c:v>
                </c:pt>
                <c:pt idx="7">
                  <c:v>5</c:v>
                </c:pt>
                <c:pt idx="8">
                  <c:v>6</c:v>
                </c:pt>
                <c:pt idx="9">
                  <c:v>7</c:v>
                </c:pt>
                <c:pt idx="10">
                  <c:v>8</c:v>
                </c:pt>
                <c:pt idx="11">
                  <c:v>9</c:v>
                </c:pt>
                <c:pt idx="12">
                  <c:v>10</c:v>
                </c:pt>
                <c:pt idx="13">
                  <c:v>11</c:v>
                </c:pt>
                <c:pt idx="14">
                  <c:v>12</c:v>
                </c:pt>
                <c:pt idx="15">
                  <c:v>13</c:v>
                </c:pt>
                <c:pt idx="16">
                  <c:v>14</c:v>
                </c:pt>
                <c:pt idx="17">
                  <c:v>15</c:v>
                </c:pt>
                <c:pt idx="18">
                  <c:v>16</c:v>
                </c:pt>
                <c:pt idx="19">
                  <c:v>17</c:v>
                </c:pt>
                <c:pt idx="20">
                  <c:v>18</c:v>
                </c:pt>
                <c:pt idx="21">
                  <c:v>18.5</c:v>
                </c:pt>
                <c:pt idx="22">
                  <c:v>19</c:v>
                </c:pt>
                <c:pt idx="23">
                  <c:v>19.5</c:v>
                </c:pt>
                <c:pt idx="24">
                  <c:v>20</c:v>
                </c:pt>
              </c:numCache>
            </c:numRef>
          </c:xVal>
          <c:yVal>
            <c:numRef>
              <c:f>Tools!HB_23</c:f>
              <c:numCache>
                <c:formatCode>General</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yVal>
          <c:smooth val="1"/>
        </c:ser>
        <c:ser>
          <c:idx val="23"/>
          <c:order val="23"/>
          <c:tx>
            <c:strRef>
              <c:f>Tools!$CP$85</c:f>
              <c:strCache>
                <c:ptCount val="1"/>
                <c:pt idx="0">
                  <c:v> </c:v>
                </c:pt>
              </c:strCache>
            </c:strRef>
          </c:tx>
          <c:spPr>
            <a:ln w="3175"/>
          </c:spPr>
          <c:marker>
            <c:symbol val="none"/>
          </c:marker>
          <c:xVal>
            <c:numRef>
              <c:f>Tools!STN_List</c:f>
              <c:numCache>
                <c:formatCode>General</c:formatCode>
                <c:ptCount val="25"/>
                <c:pt idx="0">
                  <c:v>0</c:v>
                </c:pt>
                <c:pt idx="1">
                  <c:v>0.5</c:v>
                </c:pt>
                <c:pt idx="2">
                  <c:v>1</c:v>
                </c:pt>
                <c:pt idx="3">
                  <c:v>1.5</c:v>
                </c:pt>
                <c:pt idx="4">
                  <c:v>2</c:v>
                </c:pt>
                <c:pt idx="5">
                  <c:v>3</c:v>
                </c:pt>
                <c:pt idx="6">
                  <c:v>4</c:v>
                </c:pt>
                <c:pt idx="7">
                  <c:v>5</c:v>
                </c:pt>
                <c:pt idx="8">
                  <c:v>6</c:v>
                </c:pt>
                <c:pt idx="9">
                  <c:v>7</c:v>
                </c:pt>
                <c:pt idx="10">
                  <c:v>8</c:v>
                </c:pt>
                <c:pt idx="11">
                  <c:v>9</c:v>
                </c:pt>
                <c:pt idx="12">
                  <c:v>10</c:v>
                </c:pt>
                <c:pt idx="13">
                  <c:v>11</c:v>
                </c:pt>
                <c:pt idx="14">
                  <c:v>12</c:v>
                </c:pt>
                <c:pt idx="15">
                  <c:v>13</c:v>
                </c:pt>
                <c:pt idx="16">
                  <c:v>14</c:v>
                </c:pt>
                <c:pt idx="17">
                  <c:v>15</c:v>
                </c:pt>
                <c:pt idx="18">
                  <c:v>16</c:v>
                </c:pt>
                <c:pt idx="19">
                  <c:v>17</c:v>
                </c:pt>
                <c:pt idx="20">
                  <c:v>18</c:v>
                </c:pt>
                <c:pt idx="21">
                  <c:v>18.5</c:v>
                </c:pt>
                <c:pt idx="22">
                  <c:v>19</c:v>
                </c:pt>
                <c:pt idx="23">
                  <c:v>19.5</c:v>
                </c:pt>
                <c:pt idx="24">
                  <c:v>20</c:v>
                </c:pt>
              </c:numCache>
            </c:numRef>
          </c:xVal>
          <c:yVal>
            <c:numRef>
              <c:f>Tools!HB_24</c:f>
              <c:numCache>
                <c:formatCode>General</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yVal>
          <c:smooth val="1"/>
        </c:ser>
        <c:ser>
          <c:idx val="24"/>
          <c:order val="24"/>
          <c:tx>
            <c:strRef>
              <c:f>Tools!$CP$86</c:f>
              <c:strCache>
                <c:ptCount val="1"/>
                <c:pt idx="0">
                  <c:v> </c:v>
                </c:pt>
              </c:strCache>
            </c:strRef>
          </c:tx>
          <c:spPr>
            <a:ln w="3175"/>
          </c:spPr>
          <c:marker>
            <c:symbol val="none"/>
          </c:marker>
          <c:xVal>
            <c:numRef>
              <c:f>Tools!STN_List</c:f>
              <c:numCache>
                <c:formatCode>General</c:formatCode>
                <c:ptCount val="25"/>
                <c:pt idx="0">
                  <c:v>0</c:v>
                </c:pt>
                <c:pt idx="1">
                  <c:v>0.5</c:v>
                </c:pt>
                <c:pt idx="2">
                  <c:v>1</c:v>
                </c:pt>
                <c:pt idx="3">
                  <c:v>1.5</c:v>
                </c:pt>
                <c:pt idx="4">
                  <c:v>2</c:v>
                </c:pt>
                <c:pt idx="5">
                  <c:v>3</c:v>
                </c:pt>
                <c:pt idx="6">
                  <c:v>4</c:v>
                </c:pt>
                <c:pt idx="7">
                  <c:v>5</c:v>
                </c:pt>
                <c:pt idx="8">
                  <c:v>6</c:v>
                </c:pt>
                <c:pt idx="9">
                  <c:v>7</c:v>
                </c:pt>
                <c:pt idx="10">
                  <c:v>8</c:v>
                </c:pt>
                <c:pt idx="11">
                  <c:v>9</c:v>
                </c:pt>
                <c:pt idx="12">
                  <c:v>10</c:v>
                </c:pt>
                <c:pt idx="13">
                  <c:v>11</c:v>
                </c:pt>
                <c:pt idx="14">
                  <c:v>12</c:v>
                </c:pt>
                <c:pt idx="15">
                  <c:v>13</c:v>
                </c:pt>
                <c:pt idx="16">
                  <c:v>14</c:v>
                </c:pt>
                <c:pt idx="17">
                  <c:v>15</c:v>
                </c:pt>
                <c:pt idx="18">
                  <c:v>16</c:v>
                </c:pt>
                <c:pt idx="19">
                  <c:v>17</c:v>
                </c:pt>
                <c:pt idx="20">
                  <c:v>18</c:v>
                </c:pt>
                <c:pt idx="21">
                  <c:v>18.5</c:v>
                </c:pt>
                <c:pt idx="22">
                  <c:v>19</c:v>
                </c:pt>
                <c:pt idx="23">
                  <c:v>19.5</c:v>
                </c:pt>
                <c:pt idx="24">
                  <c:v>20</c:v>
                </c:pt>
              </c:numCache>
            </c:numRef>
          </c:xVal>
          <c:yVal>
            <c:numRef>
              <c:f>Tools!HB_25</c:f>
              <c:numCache>
                <c:formatCode>General</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yVal>
          <c:smooth val="1"/>
        </c:ser>
        <c:ser>
          <c:idx val="25"/>
          <c:order val="25"/>
          <c:tx>
            <c:strRef>
              <c:f>Tools!$CV$76</c:f>
              <c:strCache>
                <c:ptCount val="1"/>
                <c:pt idx="0">
                  <c:v>BTK 1</c:v>
                </c:pt>
              </c:strCache>
            </c:strRef>
          </c:tx>
          <c:spPr>
            <a:ln w="3175">
              <a:solidFill>
                <a:schemeClr val="bg1">
                  <a:lumMod val="75000"/>
                </a:schemeClr>
              </a:solidFill>
            </a:ln>
          </c:spPr>
          <c:marker>
            <c:symbol val="none"/>
          </c:marker>
          <c:xVal>
            <c:numRef>
              <c:f>Tools!$CW$75:$CX$75</c:f>
              <c:numCache>
                <c:formatCode>General</c:formatCode>
                <c:ptCount val="2"/>
                <c:pt idx="0">
                  <c:v>0</c:v>
                </c:pt>
                <c:pt idx="1">
                  <c:v>20</c:v>
                </c:pt>
              </c:numCache>
            </c:numRef>
          </c:xVal>
          <c:yVal>
            <c:numRef>
              <c:f>Tools!$CW$76:$CX$76</c:f>
              <c:numCache>
                <c:formatCode>General</c:formatCode>
                <c:ptCount val="2"/>
                <c:pt idx="0">
                  <c:v>3.6666666666666665</c:v>
                </c:pt>
                <c:pt idx="1">
                  <c:v>3.6666666666666665</c:v>
                </c:pt>
              </c:numCache>
            </c:numRef>
          </c:yVal>
          <c:smooth val="1"/>
        </c:ser>
        <c:ser>
          <c:idx val="26"/>
          <c:order val="26"/>
          <c:tx>
            <c:strRef>
              <c:f>Tools!$CV$77</c:f>
              <c:strCache>
                <c:ptCount val="1"/>
                <c:pt idx="0">
                  <c:v>BTK 2</c:v>
                </c:pt>
              </c:strCache>
            </c:strRef>
          </c:tx>
          <c:spPr>
            <a:ln w="3175">
              <a:solidFill>
                <a:schemeClr val="bg1">
                  <a:lumMod val="75000"/>
                </a:schemeClr>
              </a:solidFill>
            </a:ln>
          </c:spPr>
          <c:marker>
            <c:symbol val="none"/>
          </c:marker>
          <c:xVal>
            <c:numRef>
              <c:f>Tools!$CW$75:$CX$75</c:f>
              <c:numCache>
                <c:formatCode>General</c:formatCode>
                <c:ptCount val="2"/>
                <c:pt idx="0">
                  <c:v>0</c:v>
                </c:pt>
                <c:pt idx="1">
                  <c:v>20</c:v>
                </c:pt>
              </c:numCache>
            </c:numRef>
          </c:xVal>
          <c:yVal>
            <c:numRef>
              <c:f>Tools!$CW$77:$CX$77</c:f>
              <c:numCache>
                <c:formatCode>General</c:formatCode>
                <c:ptCount val="2"/>
                <c:pt idx="0">
                  <c:v>7.333333333333333</c:v>
                </c:pt>
                <c:pt idx="1">
                  <c:v>7.333333333333333</c:v>
                </c:pt>
              </c:numCache>
            </c:numRef>
          </c:yVal>
          <c:smooth val="1"/>
        </c:ser>
        <c:ser>
          <c:idx val="27"/>
          <c:order val="27"/>
          <c:tx>
            <c:strRef>
              <c:f>Tools!$CV$78</c:f>
              <c:strCache>
                <c:ptCount val="1"/>
                <c:pt idx="0">
                  <c:v>SIDE</c:v>
                </c:pt>
              </c:strCache>
            </c:strRef>
          </c:tx>
          <c:spPr>
            <a:ln w="3175">
              <a:solidFill>
                <a:schemeClr val="bg1">
                  <a:lumMod val="75000"/>
                </a:schemeClr>
              </a:solidFill>
            </a:ln>
          </c:spPr>
          <c:marker>
            <c:symbol val="none"/>
          </c:marker>
          <c:xVal>
            <c:numRef>
              <c:f>Tools!$CW$75:$CX$75</c:f>
              <c:numCache>
                <c:formatCode>General</c:formatCode>
                <c:ptCount val="2"/>
                <c:pt idx="0">
                  <c:v>0</c:v>
                </c:pt>
                <c:pt idx="1">
                  <c:v>20</c:v>
                </c:pt>
              </c:numCache>
            </c:numRef>
          </c:xVal>
          <c:yVal>
            <c:numRef>
              <c:f>Tools!$CW$78:$CX$78</c:f>
              <c:numCache>
                <c:formatCode>General</c:formatCode>
                <c:ptCount val="2"/>
                <c:pt idx="0">
                  <c:v>11</c:v>
                </c:pt>
                <c:pt idx="1">
                  <c:v>11</c:v>
                </c:pt>
              </c:numCache>
            </c:numRef>
          </c:yVal>
          <c:smooth val="1"/>
        </c:ser>
        <c:ser>
          <c:idx val="28"/>
          <c:order val="28"/>
          <c:tx>
            <c:strRef>
              <c:f>Tools!$CV$79</c:f>
              <c:strCache>
                <c:ptCount val="1"/>
                <c:pt idx="0">
                  <c:v> </c:v>
                </c:pt>
              </c:strCache>
            </c:strRef>
          </c:tx>
          <c:spPr>
            <a:ln w="3175">
              <a:solidFill>
                <a:schemeClr val="bg1">
                  <a:lumMod val="75000"/>
                </a:schemeClr>
              </a:solidFill>
            </a:ln>
          </c:spPr>
          <c:marker>
            <c:symbol val="none"/>
          </c:marker>
          <c:xVal>
            <c:numRef>
              <c:f>Tools!$CW$75:$CX$75</c:f>
              <c:numCache>
                <c:formatCode>General</c:formatCode>
                <c:ptCount val="2"/>
                <c:pt idx="0">
                  <c:v>0</c:v>
                </c:pt>
                <c:pt idx="1">
                  <c:v>20</c:v>
                </c:pt>
              </c:numCache>
            </c:numRef>
          </c:xVal>
          <c:yVal>
            <c:numRef>
              <c:f>Tools!$CW$79:$CX$79</c:f>
              <c:numCache>
                <c:formatCode>General</c:formatCode>
                <c:ptCount val="2"/>
                <c:pt idx="0">
                  <c:v>0</c:v>
                </c:pt>
                <c:pt idx="1">
                  <c:v>0</c:v>
                </c:pt>
              </c:numCache>
            </c:numRef>
          </c:yVal>
          <c:smooth val="1"/>
        </c:ser>
        <c:ser>
          <c:idx val="29"/>
          <c:order val="29"/>
          <c:tx>
            <c:strRef>
              <c:f>Tools!$CV$80</c:f>
              <c:strCache>
                <c:ptCount val="1"/>
                <c:pt idx="0">
                  <c:v> </c:v>
                </c:pt>
              </c:strCache>
            </c:strRef>
          </c:tx>
          <c:spPr>
            <a:ln w="3175">
              <a:solidFill>
                <a:schemeClr val="bg1">
                  <a:lumMod val="75000"/>
                </a:schemeClr>
              </a:solidFill>
            </a:ln>
          </c:spPr>
          <c:marker>
            <c:symbol val="none"/>
          </c:marker>
          <c:xVal>
            <c:numRef>
              <c:f>Tools!$CW$75:$CX$75</c:f>
              <c:numCache>
                <c:formatCode>General</c:formatCode>
                <c:ptCount val="2"/>
                <c:pt idx="0">
                  <c:v>0</c:v>
                </c:pt>
                <c:pt idx="1">
                  <c:v>20</c:v>
                </c:pt>
              </c:numCache>
            </c:numRef>
          </c:xVal>
          <c:yVal>
            <c:numRef>
              <c:f>Tools!$CW$80:$CX$80</c:f>
              <c:numCache>
                <c:formatCode>General</c:formatCode>
                <c:ptCount val="2"/>
                <c:pt idx="0">
                  <c:v>0</c:v>
                </c:pt>
              </c:numCache>
            </c:numRef>
          </c:yVal>
          <c:smooth val="1"/>
        </c:ser>
        <c:ser>
          <c:idx val="30"/>
          <c:order val="30"/>
          <c:tx>
            <c:strRef>
              <c:f>Tools!$CV$81</c:f>
              <c:strCache>
                <c:ptCount val="1"/>
                <c:pt idx="0">
                  <c:v> </c:v>
                </c:pt>
              </c:strCache>
            </c:strRef>
          </c:tx>
          <c:spPr>
            <a:ln w="3175">
              <a:solidFill>
                <a:schemeClr val="bg1">
                  <a:lumMod val="75000"/>
                </a:schemeClr>
              </a:solidFill>
            </a:ln>
          </c:spPr>
          <c:marker>
            <c:symbol val="none"/>
          </c:marker>
          <c:xVal>
            <c:numRef>
              <c:f>Tools!$CW$75:$CX$75</c:f>
              <c:numCache>
                <c:formatCode>General</c:formatCode>
                <c:ptCount val="2"/>
                <c:pt idx="0">
                  <c:v>0</c:v>
                </c:pt>
                <c:pt idx="1">
                  <c:v>20</c:v>
                </c:pt>
              </c:numCache>
            </c:numRef>
          </c:xVal>
          <c:yVal>
            <c:numRef>
              <c:f>Tools!$CW$81:$CX$81</c:f>
              <c:numCache>
                <c:formatCode>General</c:formatCode>
                <c:ptCount val="2"/>
                <c:pt idx="0">
                  <c:v>0</c:v>
                </c:pt>
              </c:numCache>
            </c:numRef>
          </c:yVal>
          <c:smooth val="1"/>
        </c:ser>
        <c:ser>
          <c:idx val="31"/>
          <c:order val="31"/>
          <c:tx>
            <c:strRef>
              <c:f>Tools!$CV$82</c:f>
              <c:strCache>
                <c:ptCount val="1"/>
                <c:pt idx="0">
                  <c:v> </c:v>
                </c:pt>
              </c:strCache>
            </c:strRef>
          </c:tx>
          <c:spPr>
            <a:ln w="3175">
              <a:solidFill>
                <a:schemeClr val="bg1">
                  <a:lumMod val="75000"/>
                </a:schemeClr>
              </a:solidFill>
            </a:ln>
          </c:spPr>
          <c:marker>
            <c:symbol val="none"/>
          </c:marker>
          <c:xVal>
            <c:numRef>
              <c:f>Tools!$CW$75:$CX$75</c:f>
              <c:numCache>
                <c:formatCode>General</c:formatCode>
                <c:ptCount val="2"/>
                <c:pt idx="0">
                  <c:v>0</c:v>
                </c:pt>
                <c:pt idx="1">
                  <c:v>20</c:v>
                </c:pt>
              </c:numCache>
            </c:numRef>
          </c:xVal>
          <c:yVal>
            <c:numRef>
              <c:f>Tools!$CW$82:$CX$82</c:f>
              <c:numCache>
                <c:formatCode>General</c:formatCode>
                <c:ptCount val="2"/>
                <c:pt idx="0">
                  <c:v>0</c:v>
                </c:pt>
              </c:numCache>
            </c:numRef>
          </c:yVal>
          <c:smooth val="1"/>
        </c:ser>
        <c:ser>
          <c:idx val="32"/>
          <c:order val="32"/>
          <c:tx>
            <c:strRef>
              <c:f>Tools!$CV$83</c:f>
              <c:strCache>
                <c:ptCount val="1"/>
                <c:pt idx="0">
                  <c:v> </c:v>
                </c:pt>
              </c:strCache>
            </c:strRef>
          </c:tx>
          <c:spPr>
            <a:ln w="3175">
              <a:solidFill>
                <a:schemeClr val="bg1">
                  <a:lumMod val="75000"/>
                </a:schemeClr>
              </a:solidFill>
            </a:ln>
          </c:spPr>
          <c:marker>
            <c:symbol val="none"/>
          </c:marker>
          <c:xVal>
            <c:numRef>
              <c:f>Tools!$CW$75:$CX$75</c:f>
              <c:numCache>
                <c:formatCode>General</c:formatCode>
                <c:ptCount val="2"/>
                <c:pt idx="0">
                  <c:v>0</c:v>
                </c:pt>
                <c:pt idx="1">
                  <c:v>20</c:v>
                </c:pt>
              </c:numCache>
            </c:numRef>
          </c:xVal>
          <c:yVal>
            <c:numRef>
              <c:f>Tools!$CW$83:$CX$83</c:f>
              <c:numCache>
                <c:formatCode>General</c:formatCode>
                <c:ptCount val="2"/>
                <c:pt idx="0">
                  <c:v>0</c:v>
                </c:pt>
              </c:numCache>
            </c:numRef>
          </c:yVal>
          <c:smooth val="1"/>
        </c:ser>
        <c:ser>
          <c:idx val="33"/>
          <c:order val="33"/>
          <c:tx>
            <c:strRef>
              <c:f>Tools!$CV$84</c:f>
              <c:strCache>
                <c:ptCount val="1"/>
                <c:pt idx="0">
                  <c:v> </c:v>
                </c:pt>
              </c:strCache>
            </c:strRef>
          </c:tx>
          <c:spPr>
            <a:ln w="3175">
              <a:solidFill>
                <a:schemeClr val="bg1">
                  <a:lumMod val="75000"/>
                </a:schemeClr>
              </a:solidFill>
            </a:ln>
          </c:spPr>
          <c:marker>
            <c:symbol val="none"/>
          </c:marker>
          <c:xVal>
            <c:numRef>
              <c:f>Tools!$CW$75:$CX$75</c:f>
              <c:numCache>
                <c:formatCode>General</c:formatCode>
                <c:ptCount val="2"/>
                <c:pt idx="0">
                  <c:v>0</c:v>
                </c:pt>
                <c:pt idx="1">
                  <c:v>20</c:v>
                </c:pt>
              </c:numCache>
            </c:numRef>
          </c:xVal>
          <c:yVal>
            <c:numRef>
              <c:f>Tools!$CW$84:$CX$84</c:f>
              <c:numCache>
                <c:formatCode>General</c:formatCode>
                <c:ptCount val="2"/>
                <c:pt idx="0">
                  <c:v>0</c:v>
                </c:pt>
              </c:numCache>
            </c:numRef>
          </c:yVal>
          <c:smooth val="1"/>
        </c:ser>
        <c:ser>
          <c:idx val="34"/>
          <c:order val="34"/>
          <c:tx>
            <c:strRef>
              <c:f>Tools!$CV$85</c:f>
              <c:strCache>
                <c:ptCount val="1"/>
                <c:pt idx="0">
                  <c:v> </c:v>
                </c:pt>
              </c:strCache>
            </c:strRef>
          </c:tx>
          <c:spPr>
            <a:ln w="3175">
              <a:solidFill>
                <a:schemeClr val="bg1">
                  <a:lumMod val="75000"/>
                </a:schemeClr>
              </a:solidFill>
            </a:ln>
          </c:spPr>
          <c:marker>
            <c:symbol val="none"/>
          </c:marker>
          <c:xVal>
            <c:numRef>
              <c:f>Tools!$CW$75:$CX$75</c:f>
              <c:numCache>
                <c:formatCode>General</c:formatCode>
                <c:ptCount val="2"/>
                <c:pt idx="0">
                  <c:v>0</c:v>
                </c:pt>
                <c:pt idx="1">
                  <c:v>20</c:v>
                </c:pt>
              </c:numCache>
            </c:numRef>
          </c:xVal>
          <c:yVal>
            <c:numRef>
              <c:f>Tools!$CW$85:$CX$85</c:f>
              <c:numCache>
                <c:formatCode>General</c:formatCode>
                <c:ptCount val="2"/>
                <c:pt idx="0">
                  <c:v>0</c:v>
                </c:pt>
              </c:numCache>
            </c:numRef>
          </c:yVal>
          <c:smooth val="1"/>
        </c:ser>
        <c:ser>
          <c:idx val="35"/>
          <c:order val="35"/>
          <c:tx>
            <c:strRef>
              <c:f>Tools!$DC$62</c:f>
              <c:strCache>
                <c:ptCount val="1"/>
                <c:pt idx="0">
                  <c:v>STN 0</c:v>
                </c:pt>
              </c:strCache>
            </c:strRef>
          </c:tx>
          <c:spPr>
            <a:ln w="3175">
              <a:solidFill>
                <a:sysClr val="windowText" lastClr="000000"/>
              </a:solidFill>
            </a:ln>
          </c:spPr>
          <c:marker>
            <c:symbol val="none"/>
          </c:marker>
          <c:xVal>
            <c:numRef>
              <c:f>Tools!$DD$62:$DE$62</c:f>
              <c:numCache>
                <c:formatCode>General</c:formatCode>
                <c:ptCount val="2"/>
                <c:pt idx="0">
                  <c:v>0</c:v>
                </c:pt>
                <c:pt idx="1">
                  <c:v>0</c:v>
                </c:pt>
              </c:numCache>
            </c:numRef>
          </c:xVal>
          <c:yVal>
            <c:numRef>
              <c:f>Tools!$DD$61:$DE$61</c:f>
              <c:numCache>
                <c:formatCode>General</c:formatCode>
                <c:ptCount val="2"/>
                <c:pt idx="0">
                  <c:v>0</c:v>
                </c:pt>
                <c:pt idx="1">
                  <c:v>11</c:v>
                </c:pt>
              </c:numCache>
            </c:numRef>
          </c:yVal>
          <c:smooth val="1"/>
        </c:ser>
        <c:ser>
          <c:idx val="36"/>
          <c:order val="36"/>
          <c:tx>
            <c:strRef>
              <c:f>Tools!$DC$63</c:f>
              <c:strCache>
                <c:ptCount val="1"/>
                <c:pt idx="0">
                  <c:v>STN 0.5</c:v>
                </c:pt>
              </c:strCache>
            </c:strRef>
          </c:tx>
          <c:spPr>
            <a:ln w="3175">
              <a:solidFill>
                <a:schemeClr val="bg1">
                  <a:lumMod val="50000"/>
                </a:schemeClr>
              </a:solidFill>
            </a:ln>
          </c:spPr>
          <c:marker>
            <c:symbol val="none"/>
          </c:marker>
          <c:xVal>
            <c:numRef>
              <c:f>Tools!$DD$63:$DE$63</c:f>
              <c:numCache>
                <c:formatCode>General</c:formatCode>
                <c:ptCount val="2"/>
                <c:pt idx="0">
                  <c:v>0.5</c:v>
                </c:pt>
                <c:pt idx="1">
                  <c:v>0.5</c:v>
                </c:pt>
              </c:numCache>
            </c:numRef>
          </c:xVal>
          <c:yVal>
            <c:numRef>
              <c:f>Tools!$DD$61:$DE$61</c:f>
              <c:numCache>
                <c:formatCode>General</c:formatCode>
                <c:ptCount val="2"/>
                <c:pt idx="0">
                  <c:v>0</c:v>
                </c:pt>
                <c:pt idx="1">
                  <c:v>11</c:v>
                </c:pt>
              </c:numCache>
            </c:numRef>
          </c:yVal>
          <c:smooth val="1"/>
        </c:ser>
        <c:ser>
          <c:idx val="37"/>
          <c:order val="37"/>
          <c:tx>
            <c:strRef>
              <c:f>Tools!$DC$64</c:f>
              <c:strCache>
                <c:ptCount val="1"/>
                <c:pt idx="0">
                  <c:v>STN 1</c:v>
                </c:pt>
              </c:strCache>
            </c:strRef>
          </c:tx>
          <c:spPr>
            <a:ln w="3175">
              <a:solidFill>
                <a:schemeClr val="bg1">
                  <a:lumMod val="50000"/>
                </a:schemeClr>
              </a:solidFill>
            </a:ln>
          </c:spPr>
          <c:marker>
            <c:symbol val="none"/>
          </c:marker>
          <c:xVal>
            <c:numRef>
              <c:f>Tools!$DD$64:$DE$64</c:f>
              <c:numCache>
                <c:formatCode>General</c:formatCode>
                <c:ptCount val="2"/>
                <c:pt idx="0">
                  <c:v>1</c:v>
                </c:pt>
                <c:pt idx="1">
                  <c:v>1</c:v>
                </c:pt>
              </c:numCache>
            </c:numRef>
          </c:xVal>
          <c:yVal>
            <c:numRef>
              <c:f>Tools!$DD$61:$DE$61</c:f>
              <c:numCache>
                <c:formatCode>General</c:formatCode>
                <c:ptCount val="2"/>
                <c:pt idx="0">
                  <c:v>0</c:v>
                </c:pt>
                <c:pt idx="1">
                  <c:v>11</c:v>
                </c:pt>
              </c:numCache>
            </c:numRef>
          </c:yVal>
          <c:smooth val="1"/>
        </c:ser>
        <c:ser>
          <c:idx val="38"/>
          <c:order val="38"/>
          <c:tx>
            <c:strRef>
              <c:f>Tools!$DC$65</c:f>
              <c:strCache>
                <c:ptCount val="1"/>
                <c:pt idx="0">
                  <c:v>STN 1.5</c:v>
                </c:pt>
              </c:strCache>
            </c:strRef>
          </c:tx>
          <c:spPr>
            <a:ln w="3175">
              <a:solidFill>
                <a:schemeClr val="bg1">
                  <a:lumMod val="50000"/>
                </a:schemeClr>
              </a:solidFill>
            </a:ln>
          </c:spPr>
          <c:marker>
            <c:symbol val="none"/>
          </c:marker>
          <c:xVal>
            <c:numRef>
              <c:f>Tools!$DD$65:$DE$65</c:f>
              <c:numCache>
                <c:formatCode>General</c:formatCode>
                <c:ptCount val="2"/>
                <c:pt idx="0">
                  <c:v>1.5</c:v>
                </c:pt>
                <c:pt idx="1">
                  <c:v>1.5</c:v>
                </c:pt>
              </c:numCache>
            </c:numRef>
          </c:xVal>
          <c:yVal>
            <c:numRef>
              <c:f>Tools!$DD$61:$DE$61</c:f>
              <c:numCache>
                <c:formatCode>General</c:formatCode>
                <c:ptCount val="2"/>
                <c:pt idx="0">
                  <c:v>0</c:v>
                </c:pt>
                <c:pt idx="1">
                  <c:v>11</c:v>
                </c:pt>
              </c:numCache>
            </c:numRef>
          </c:yVal>
          <c:smooth val="1"/>
        </c:ser>
        <c:ser>
          <c:idx val="39"/>
          <c:order val="39"/>
          <c:tx>
            <c:strRef>
              <c:f>Tools!$DC$66</c:f>
              <c:strCache>
                <c:ptCount val="1"/>
                <c:pt idx="0">
                  <c:v>STN 2</c:v>
                </c:pt>
              </c:strCache>
            </c:strRef>
          </c:tx>
          <c:spPr>
            <a:ln w="3175">
              <a:solidFill>
                <a:schemeClr val="bg1">
                  <a:lumMod val="50000"/>
                </a:schemeClr>
              </a:solidFill>
            </a:ln>
          </c:spPr>
          <c:marker>
            <c:symbol val="none"/>
          </c:marker>
          <c:xVal>
            <c:numRef>
              <c:f>Tools!$DD$66:$DE$66</c:f>
              <c:numCache>
                <c:formatCode>General</c:formatCode>
                <c:ptCount val="2"/>
                <c:pt idx="0">
                  <c:v>2</c:v>
                </c:pt>
                <c:pt idx="1">
                  <c:v>2</c:v>
                </c:pt>
              </c:numCache>
            </c:numRef>
          </c:xVal>
          <c:yVal>
            <c:numRef>
              <c:f>Tools!$DD$61:$DE$61</c:f>
              <c:numCache>
                <c:formatCode>General</c:formatCode>
                <c:ptCount val="2"/>
                <c:pt idx="0">
                  <c:v>0</c:v>
                </c:pt>
                <c:pt idx="1">
                  <c:v>11</c:v>
                </c:pt>
              </c:numCache>
            </c:numRef>
          </c:yVal>
          <c:smooth val="1"/>
        </c:ser>
        <c:ser>
          <c:idx val="40"/>
          <c:order val="40"/>
          <c:tx>
            <c:strRef>
              <c:f>Tools!$DC$67</c:f>
              <c:strCache>
                <c:ptCount val="1"/>
                <c:pt idx="0">
                  <c:v>STN 3</c:v>
                </c:pt>
              </c:strCache>
            </c:strRef>
          </c:tx>
          <c:spPr>
            <a:ln w="3175">
              <a:solidFill>
                <a:schemeClr val="bg1">
                  <a:lumMod val="50000"/>
                </a:schemeClr>
              </a:solidFill>
            </a:ln>
          </c:spPr>
          <c:marker>
            <c:symbol val="none"/>
          </c:marker>
          <c:xVal>
            <c:numRef>
              <c:f>Tools!$DD$67:$DE$67</c:f>
              <c:numCache>
                <c:formatCode>General</c:formatCode>
                <c:ptCount val="2"/>
                <c:pt idx="0">
                  <c:v>3</c:v>
                </c:pt>
                <c:pt idx="1">
                  <c:v>3</c:v>
                </c:pt>
              </c:numCache>
            </c:numRef>
          </c:xVal>
          <c:yVal>
            <c:numRef>
              <c:f>Tools!$DD$61:$DE$61</c:f>
              <c:numCache>
                <c:formatCode>General</c:formatCode>
                <c:ptCount val="2"/>
                <c:pt idx="0">
                  <c:v>0</c:v>
                </c:pt>
                <c:pt idx="1">
                  <c:v>11</c:v>
                </c:pt>
              </c:numCache>
            </c:numRef>
          </c:yVal>
          <c:smooth val="1"/>
        </c:ser>
        <c:ser>
          <c:idx val="41"/>
          <c:order val="41"/>
          <c:tx>
            <c:strRef>
              <c:f>Tools!$DC$68</c:f>
              <c:strCache>
                <c:ptCount val="1"/>
                <c:pt idx="0">
                  <c:v>STN 4</c:v>
                </c:pt>
              </c:strCache>
            </c:strRef>
          </c:tx>
          <c:spPr>
            <a:ln w="3175">
              <a:solidFill>
                <a:schemeClr val="bg1">
                  <a:lumMod val="50000"/>
                </a:schemeClr>
              </a:solidFill>
            </a:ln>
          </c:spPr>
          <c:marker>
            <c:symbol val="none"/>
          </c:marker>
          <c:xVal>
            <c:numRef>
              <c:f>Tools!$DD$68:$DE$68</c:f>
              <c:numCache>
                <c:formatCode>General</c:formatCode>
                <c:ptCount val="2"/>
                <c:pt idx="0">
                  <c:v>4</c:v>
                </c:pt>
                <c:pt idx="1">
                  <c:v>4</c:v>
                </c:pt>
              </c:numCache>
            </c:numRef>
          </c:xVal>
          <c:yVal>
            <c:numRef>
              <c:f>Tools!$DD$61:$DE$61</c:f>
              <c:numCache>
                <c:formatCode>General</c:formatCode>
                <c:ptCount val="2"/>
                <c:pt idx="0">
                  <c:v>0</c:v>
                </c:pt>
                <c:pt idx="1">
                  <c:v>11</c:v>
                </c:pt>
              </c:numCache>
            </c:numRef>
          </c:yVal>
          <c:smooth val="1"/>
        </c:ser>
        <c:ser>
          <c:idx val="42"/>
          <c:order val="42"/>
          <c:tx>
            <c:strRef>
              <c:f>Tools!$DC$69</c:f>
              <c:strCache>
                <c:ptCount val="1"/>
                <c:pt idx="0">
                  <c:v>STN 5</c:v>
                </c:pt>
              </c:strCache>
            </c:strRef>
          </c:tx>
          <c:spPr>
            <a:ln w="3175">
              <a:solidFill>
                <a:schemeClr val="bg1">
                  <a:lumMod val="50000"/>
                </a:schemeClr>
              </a:solidFill>
            </a:ln>
          </c:spPr>
          <c:marker>
            <c:symbol val="none"/>
          </c:marker>
          <c:xVal>
            <c:numRef>
              <c:f>Tools!$DD$69:$DE$69</c:f>
              <c:numCache>
                <c:formatCode>General</c:formatCode>
                <c:ptCount val="2"/>
                <c:pt idx="0">
                  <c:v>5</c:v>
                </c:pt>
                <c:pt idx="1">
                  <c:v>5</c:v>
                </c:pt>
              </c:numCache>
            </c:numRef>
          </c:xVal>
          <c:yVal>
            <c:numRef>
              <c:f>Tools!$DD$61:$DE$61</c:f>
              <c:numCache>
                <c:formatCode>General</c:formatCode>
                <c:ptCount val="2"/>
                <c:pt idx="0">
                  <c:v>0</c:v>
                </c:pt>
                <c:pt idx="1">
                  <c:v>11</c:v>
                </c:pt>
              </c:numCache>
            </c:numRef>
          </c:yVal>
          <c:smooth val="1"/>
        </c:ser>
        <c:ser>
          <c:idx val="43"/>
          <c:order val="43"/>
          <c:tx>
            <c:strRef>
              <c:f>Tools!$DC$70</c:f>
              <c:strCache>
                <c:ptCount val="1"/>
                <c:pt idx="0">
                  <c:v>STN 6</c:v>
                </c:pt>
              </c:strCache>
            </c:strRef>
          </c:tx>
          <c:spPr>
            <a:ln w="3175">
              <a:solidFill>
                <a:schemeClr val="bg1">
                  <a:lumMod val="50000"/>
                </a:schemeClr>
              </a:solidFill>
            </a:ln>
          </c:spPr>
          <c:marker>
            <c:symbol val="none"/>
          </c:marker>
          <c:xVal>
            <c:numRef>
              <c:f>Tools!$DD$70:$DE$70</c:f>
              <c:numCache>
                <c:formatCode>General</c:formatCode>
                <c:ptCount val="2"/>
                <c:pt idx="0">
                  <c:v>6</c:v>
                </c:pt>
                <c:pt idx="1">
                  <c:v>6</c:v>
                </c:pt>
              </c:numCache>
            </c:numRef>
          </c:xVal>
          <c:yVal>
            <c:numRef>
              <c:f>Tools!$DD$61:$DE$61</c:f>
              <c:numCache>
                <c:formatCode>General</c:formatCode>
                <c:ptCount val="2"/>
                <c:pt idx="0">
                  <c:v>0</c:v>
                </c:pt>
                <c:pt idx="1">
                  <c:v>11</c:v>
                </c:pt>
              </c:numCache>
            </c:numRef>
          </c:yVal>
          <c:smooth val="1"/>
        </c:ser>
        <c:ser>
          <c:idx val="44"/>
          <c:order val="44"/>
          <c:tx>
            <c:strRef>
              <c:f>Tools!$DC$71</c:f>
              <c:strCache>
                <c:ptCount val="1"/>
                <c:pt idx="0">
                  <c:v>STN 7</c:v>
                </c:pt>
              </c:strCache>
            </c:strRef>
          </c:tx>
          <c:spPr>
            <a:ln w="3175">
              <a:solidFill>
                <a:schemeClr val="bg1">
                  <a:lumMod val="50000"/>
                </a:schemeClr>
              </a:solidFill>
            </a:ln>
          </c:spPr>
          <c:marker>
            <c:symbol val="none"/>
          </c:marker>
          <c:xVal>
            <c:numRef>
              <c:f>Tools!$DD$71:$DE$71</c:f>
              <c:numCache>
                <c:formatCode>General</c:formatCode>
                <c:ptCount val="2"/>
                <c:pt idx="0">
                  <c:v>7</c:v>
                </c:pt>
                <c:pt idx="1">
                  <c:v>7</c:v>
                </c:pt>
              </c:numCache>
            </c:numRef>
          </c:xVal>
          <c:yVal>
            <c:numRef>
              <c:f>Tools!$DD$61:$DE$61</c:f>
              <c:numCache>
                <c:formatCode>General</c:formatCode>
                <c:ptCount val="2"/>
                <c:pt idx="0">
                  <c:v>0</c:v>
                </c:pt>
                <c:pt idx="1">
                  <c:v>11</c:v>
                </c:pt>
              </c:numCache>
            </c:numRef>
          </c:yVal>
          <c:smooth val="1"/>
        </c:ser>
        <c:ser>
          <c:idx val="45"/>
          <c:order val="45"/>
          <c:tx>
            <c:strRef>
              <c:f>Tools!$DC$72</c:f>
              <c:strCache>
                <c:ptCount val="1"/>
                <c:pt idx="0">
                  <c:v>STN 8</c:v>
                </c:pt>
              </c:strCache>
            </c:strRef>
          </c:tx>
          <c:spPr>
            <a:ln w="3175">
              <a:solidFill>
                <a:schemeClr val="bg1">
                  <a:lumMod val="50000"/>
                </a:schemeClr>
              </a:solidFill>
            </a:ln>
          </c:spPr>
          <c:marker>
            <c:symbol val="none"/>
          </c:marker>
          <c:xVal>
            <c:numRef>
              <c:f>Tools!$DD$72:$DE$72</c:f>
              <c:numCache>
                <c:formatCode>General</c:formatCode>
                <c:ptCount val="2"/>
                <c:pt idx="0">
                  <c:v>8</c:v>
                </c:pt>
                <c:pt idx="1">
                  <c:v>8</c:v>
                </c:pt>
              </c:numCache>
            </c:numRef>
          </c:xVal>
          <c:yVal>
            <c:numRef>
              <c:f>Tools!$DD$61:$DE$61</c:f>
              <c:numCache>
                <c:formatCode>General</c:formatCode>
                <c:ptCount val="2"/>
                <c:pt idx="0">
                  <c:v>0</c:v>
                </c:pt>
                <c:pt idx="1">
                  <c:v>11</c:v>
                </c:pt>
              </c:numCache>
            </c:numRef>
          </c:yVal>
          <c:smooth val="1"/>
        </c:ser>
        <c:ser>
          <c:idx val="46"/>
          <c:order val="46"/>
          <c:tx>
            <c:strRef>
              <c:f>Tools!$DC$73</c:f>
              <c:strCache>
                <c:ptCount val="1"/>
                <c:pt idx="0">
                  <c:v>STN 9</c:v>
                </c:pt>
              </c:strCache>
            </c:strRef>
          </c:tx>
          <c:spPr>
            <a:ln w="3175">
              <a:solidFill>
                <a:schemeClr val="bg1">
                  <a:lumMod val="50000"/>
                </a:schemeClr>
              </a:solidFill>
            </a:ln>
          </c:spPr>
          <c:marker>
            <c:symbol val="none"/>
          </c:marker>
          <c:xVal>
            <c:numRef>
              <c:f>Tools!$DD$73:$DE$73</c:f>
              <c:numCache>
                <c:formatCode>General</c:formatCode>
                <c:ptCount val="2"/>
                <c:pt idx="0">
                  <c:v>9</c:v>
                </c:pt>
                <c:pt idx="1">
                  <c:v>9</c:v>
                </c:pt>
              </c:numCache>
            </c:numRef>
          </c:xVal>
          <c:yVal>
            <c:numRef>
              <c:f>Tools!$DD$61:$DE$61</c:f>
              <c:numCache>
                <c:formatCode>General</c:formatCode>
                <c:ptCount val="2"/>
                <c:pt idx="0">
                  <c:v>0</c:v>
                </c:pt>
                <c:pt idx="1">
                  <c:v>11</c:v>
                </c:pt>
              </c:numCache>
            </c:numRef>
          </c:yVal>
          <c:smooth val="1"/>
        </c:ser>
        <c:ser>
          <c:idx val="47"/>
          <c:order val="47"/>
          <c:tx>
            <c:strRef>
              <c:f>Tools!$DC$74</c:f>
              <c:strCache>
                <c:ptCount val="1"/>
                <c:pt idx="0">
                  <c:v>STN 10</c:v>
                </c:pt>
              </c:strCache>
            </c:strRef>
          </c:tx>
          <c:spPr>
            <a:ln w="3175">
              <a:solidFill>
                <a:schemeClr val="bg1">
                  <a:lumMod val="65000"/>
                </a:schemeClr>
              </a:solidFill>
            </a:ln>
          </c:spPr>
          <c:marker>
            <c:symbol val="none"/>
          </c:marker>
          <c:xVal>
            <c:numRef>
              <c:f>Tools!$DD$74:$DE$74</c:f>
              <c:numCache>
                <c:formatCode>General</c:formatCode>
                <c:ptCount val="2"/>
                <c:pt idx="0">
                  <c:v>10</c:v>
                </c:pt>
                <c:pt idx="1">
                  <c:v>10</c:v>
                </c:pt>
              </c:numCache>
            </c:numRef>
          </c:xVal>
          <c:yVal>
            <c:numRef>
              <c:f>Tools!$DD$61:$DE$61</c:f>
              <c:numCache>
                <c:formatCode>General</c:formatCode>
                <c:ptCount val="2"/>
                <c:pt idx="0">
                  <c:v>0</c:v>
                </c:pt>
                <c:pt idx="1">
                  <c:v>11</c:v>
                </c:pt>
              </c:numCache>
            </c:numRef>
          </c:yVal>
          <c:smooth val="1"/>
        </c:ser>
        <c:ser>
          <c:idx val="48"/>
          <c:order val="48"/>
          <c:tx>
            <c:strRef>
              <c:f>Tools!$DC$75</c:f>
              <c:strCache>
                <c:ptCount val="1"/>
                <c:pt idx="0">
                  <c:v>STN 11</c:v>
                </c:pt>
              </c:strCache>
            </c:strRef>
          </c:tx>
          <c:spPr>
            <a:ln w="3175">
              <a:solidFill>
                <a:schemeClr val="tx1">
                  <a:lumMod val="65000"/>
                  <a:lumOff val="35000"/>
                </a:schemeClr>
              </a:solidFill>
            </a:ln>
          </c:spPr>
          <c:marker>
            <c:symbol val="none"/>
          </c:marker>
          <c:xVal>
            <c:numRef>
              <c:f>Tools!$DD$75:$DE$75</c:f>
              <c:numCache>
                <c:formatCode>General</c:formatCode>
                <c:ptCount val="2"/>
                <c:pt idx="0">
                  <c:v>11</c:v>
                </c:pt>
                <c:pt idx="1">
                  <c:v>11</c:v>
                </c:pt>
              </c:numCache>
            </c:numRef>
          </c:xVal>
          <c:yVal>
            <c:numRef>
              <c:f>Tools!$DD$61:$DE$61</c:f>
              <c:numCache>
                <c:formatCode>General</c:formatCode>
                <c:ptCount val="2"/>
                <c:pt idx="0">
                  <c:v>0</c:v>
                </c:pt>
                <c:pt idx="1">
                  <c:v>11</c:v>
                </c:pt>
              </c:numCache>
            </c:numRef>
          </c:yVal>
          <c:smooth val="1"/>
        </c:ser>
        <c:ser>
          <c:idx val="49"/>
          <c:order val="49"/>
          <c:tx>
            <c:strRef>
              <c:f>Tools!$DC$76</c:f>
              <c:strCache>
                <c:ptCount val="1"/>
                <c:pt idx="0">
                  <c:v>STN 12</c:v>
                </c:pt>
              </c:strCache>
            </c:strRef>
          </c:tx>
          <c:spPr>
            <a:ln w="3175">
              <a:solidFill>
                <a:schemeClr val="tx1">
                  <a:lumMod val="65000"/>
                  <a:lumOff val="35000"/>
                </a:schemeClr>
              </a:solidFill>
            </a:ln>
          </c:spPr>
          <c:marker>
            <c:symbol val="none"/>
          </c:marker>
          <c:xVal>
            <c:numRef>
              <c:f>Tools!$DD$76:$DE$76</c:f>
              <c:numCache>
                <c:formatCode>General</c:formatCode>
                <c:ptCount val="2"/>
                <c:pt idx="0">
                  <c:v>12</c:v>
                </c:pt>
                <c:pt idx="1">
                  <c:v>12</c:v>
                </c:pt>
              </c:numCache>
            </c:numRef>
          </c:xVal>
          <c:yVal>
            <c:numRef>
              <c:f>Tools!$DD$61:$DE$61</c:f>
              <c:numCache>
                <c:formatCode>General</c:formatCode>
                <c:ptCount val="2"/>
                <c:pt idx="0">
                  <c:v>0</c:v>
                </c:pt>
                <c:pt idx="1">
                  <c:v>11</c:v>
                </c:pt>
              </c:numCache>
            </c:numRef>
          </c:yVal>
          <c:smooth val="1"/>
        </c:ser>
        <c:ser>
          <c:idx val="50"/>
          <c:order val="50"/>
          <c:tx>
            <c:strRef>
              <c:f>Tools!$DC$77</c:f>
              <c:strCache>
                <c:ptCount val="1"/>
                <c:pt idx="0">
                  <c:v>STN 13</c:v>
                </c:pt>
              </c:strCache>
            </c:strRef>
          </c:tx>
          <c:spPr>
            <a:ln w="3175">
              <a:solidFill>
                <a:schemeClr val="tx1">
                  <a:lumMod val="65000"/>
                  <a:lumOff val="35000"/>
                </a:schemeClr>
              </a:solidFill>
            </a:ln>
          </c:spPr>
          <c:marker>
            <c:symbol val="none"/>
          </c:marker>
          <c:xVal>
            <c:numRef>
              <c:f>Tools!$DD$77:$DE$77</c:f>
              <c:numCache>
                <c:formatCode>General</c:formatCode>
                <c:ptCount val="2"/>
                <c:pt idx="0">
                  <c:v>13</c:v>
                </c:pt>
                <c:pt idx="1">
                  <c:v>13</c:v>
                </c:pt>
              </c:numCache>
            </c:numRef>
          </c:xVal>
          <c:yVal>
            <c:numRef>
              <c:f>Tools!$DD$61:$DE$61</c:f>
              <c:numCache>
                <c:formatCode>General</c:formatCode>
                <c:ptCount val="2"/>
                <c:pt idx="0">
                  <c:v>0</c:v>
                </c:pt>
                <c:pt idx="1">
                  <c:v>11</c:v>
                </c:pt>
              </c:numCache>
            </c:numRef>
          </c:yVal>
          <c:smooth val="1"/>
        </c:ser>
        <c:ser>
          <c:idx val="51"/>
          <c:order val="51"/>
          <c:tx>
            <c:strRef>
              <c:f>Tools!$DC$78</c:f>
              <c:strCache>
                <c:ptCount val="1"/>
                <c:pt idx="0">
                  <c:v>STN 14</c:v>
                </c:pt>
              </c:strCache>
            </c:strRef>
          </c:tx>
          <c:spPr>
            <a:ln w="3175">
              <a:solidFill>
                <a:schemeClr val="tx1">
                  <a:lumMod val="65000"/>
                  <a:lumOff val="35000"/>
                </a:schemeClr>
              </a:solidFill>
            </a:ln>
          </c:spPr>
          <c:marker>
            <c:symbol val="none"/>
          </c:marker>
          <c:xVal>
            <c:numRef>
              <c:f>Tools!$DD$78:$DE$78</c:f>
              <c:numCache>
                <c:formatCode>General</c:formatCode>
                <c:ptCount val="2"/>
                <c:pt idx="0">
                  <c:v>14</c:v>
                </c:pt>
                <c:pt idx="1">
                  <c:v>14</c:v>
                </c:pt>
              </c:numCache>
            </c:numRef>
          </c:xVal>
          <c:yVal>
            <c:numRef>
              <c:f>Tools!$DD$61:$DE$61</c:f>
              <c:numCache>
                <c:formatCode>General</c:formatCode>
                <c:ptCount val="2"/>
                <c:pt idx="0">
                  <c:v>0</c:v>
                </c:pt>
                <c:pt idx="1">
                  <c:v>11</c:v>
                </c:pt>
              </c:numCache>
            </c:numRef>
          </c:yVal>
          <c:smooth val="1"/>
        </c:ser>
        <c:ser>
          <c:idx val="52"/>
          <c:order val="52"/>
          <c:tx>
            <c:strRef>
              <c:f>Tools!$DC$79</c:f>
              <c:strCache>
                <c:ptCount val="1"/>
                <c:pt idx="0">
                  <c:v>STN 15</c:v>
                </c:pt>
              </c:strCache>
            </c:strRef>
          </c:tx>
          <c:spPr>
            <a:ln w="3175">
              <a:solidFill>
                <a:schemeClr val="tx1">
                  <a:lumMod val="65000"/>
                  <a:lumOff val="35000"/>
                </a:schemeClr>
              </a:solidFill>
            </a:ln>
          </c:spPr>
          <c:marker>
            <c:symbol val="none"/>
          </c:marker>
          <c:xVal>
            <c:numRef>
              <c:f>Tools!$DD$79:$DE$79</c:f>
              <c:numCache>
                <c:formatCode>General</c:formatCode>
                <c:ptCount val="2"/>
                <c:pt idx="0">
                  <c:v>15</c:v>
                </c:pt>
                <c:pt idx="1">
                  <c:v>15</c:v>
                </c:pt>
              </c:numCache>
            </c:numRef>
          </c:xVal>
          <c:yVal>
            <c:numRef>
              <c:f>Tools!$DD$61:$DE$61</c:f>
              <c:numCache>
                <c:formatCode>General</c:formatCode>
                <c:ptCount val="2"/>
                <c:pt idx="0">
                  <c:v>0</c:v>
                </c:pt>
                <c:pt idx="1">
                  <c:v>11</c:v>
                </c:pt>
              </c:numCache>
            </c:numRef>
          </c:yVal>
          <c:smooth val="1"/>
        </c:ser>
        <c:ser>
          <c:idx val="53"/>
          <c:order val="53"/>
          <c:tx>
            <c:strRef>
              <c:f>Tools!$DC$80</c:f>
              <c:strCache>
                <c:ptCount val="1"/>
                <c:pt idx="0">
                  <c:v>STN 16</c:v>
                </c:pt>
              </c:strCache>
            </c:strRef>
          </c:tx>
          <c:spPr>
            <a:ln w="3175">
              <a:solidFill>
                <a:schemeClr val="tx1">
                  <a:lumMod val="65000"/>
                  <a:lumOff val="35000"/>
                </a:schemeClr>
              </a:solidFill>
            </a:ln>
          </c:spPr>
          <c:marker>
            <c:symbol val="none"/>
          </c:marker>
          <c:xVal>
            <c:numRef>
              <c:f>Tools!$DD$80:$DE$80</c:f>
              <c:numCache>
                <c:formatCode>General</c:formatCode>
                <c:ptCount val="2"/>
                <c:pt idx="0">
                  <c:v>16</c:v>
                </c:pt>
                <c:pt idx="1">
                  <c:v>16</c:v>
                </c:pt>
              </c:numCache>
            </c:numRef>
          </c:xVal>
          <c:yVal>
            <c:numRef>
              <c:f>Tools!$DD$61:$DE$61</c:f>
              <c:numCache>
                <c:formatCode>General</c:formatCode>
                <c:ptCount val="2"/>
                <c:pt idx="0">
                  <c:v>0</c:v>
                </c:pt>
                <c:pt idx="1">
                  <c:v>11</c:v>
                </c:pt>
              </c:numCache>
            </c:numRef>
          </c:yVal>
          <c:smooth val="1"/>
        </c:ser>
        <c:ser>
          <c:idx val="54"/>
          <c:order val="54"/>
          <c:tx>
            <c:strRef>
              <c:f>Tools!$DC$81</c:f>
              <c:strCache>
                <c:ptCount val="1"/>
                <c:pt idx="0">
                  <c:v>STN 17</c:v>
                </c:pt>
              </c:strCache>
            </c:strRef>
          </c:tx>
          <c:spPr>
            <a:ln w="3175">
              <a:solidFill>
                <a:schemeClr val="tx1">
                  <a:lumMod val="65000"/>
                  <a:lumOff val="35000"/>
                </a:schemeClr>
              </a:solidFill>
            </a:ln>
          </c:spPr>
          <c:marker>
            <c:symbol val="none"/>
          </c:marker>
          <c:xVal>
            <c:numRef>
              <c:f>Tools!$DD$81:$DE$81</c:f>
              <c:numCache>
                <c:formatCode>General</c:formatCode>
                <c:ptCount val="2"/>
                <c:pt idx="0">
                  <c:v>17</c:v>
                </c:pt>
                <c:pt idx="1">
                  <c:v>17</c:v>
                </c:pt>
              </c:numCache>
            </c:numRef>
          </c:xVal>
          <c:yVal>
            <c:numRef>
              <c:f>Tools!$DD$61:$DE$61</c:f>
              <c:numCache>
                <c:formatCode>General</c:formatCode>
                <c:ptCount val="2"/>
                <c:pt idx="0">
                  <c:v>0</c:v>
                </c:pt>
                <c:pt idx="1">
                  <c:v>11</c:v>
                </c:pt>
              </c:numCache>
            </c:numRef>
          </c:yVal>
          <c:smooth val="1"/>
        </c:ser>
        <c:ser>
          <c:idx val="55"/>
          <c:order val="55"/>
          <c:tx>
            <c:strRef>
              <c:f>Tools!$DC$82</c:f>
              <c:strCache>
                <c:ptCount val="1"/>
                <c:pt idx="0">
                  <c:v>STN 18</c:v>
                </c:pt>
              </c:strCache>
            </c:strRef>
          </c:tx>
          <c:spPr>
            <a:ln w="3175">
              <a:solidFill>
                <a:schemeClr val="tx1">
                  <a:lumMod val="65000"/>
                  <a:lumOff val="35000"/>
                </a:schemeClr>
              </a:solidFill>
            </a:ln>
          </c:spPr>
          <c:marker>
            <c:symbol val="none"/>
          </c:marker>
          <c:xVal>
            <c:numRef>
              <c:f>Tools!$DD$82:$DE$82</c:f>
              <c:numCache>
                <c:formatCode>General</c:formatCode>
                <c:ptCount val="2"/>
                <c:pt idx="0">
                  <c:v>18</c:v>
                </c:pt>
                <c:pt idx="1">
                  <c:v>18</c:v>
                </c:pt>
              </c:numCache>
            </c:numRef>
          </c:xVal>
          <c:yVal>
            <c:numRef>
              <c:f>Tools!$DD$61:$DE$61</c:f>
              <c:numCache>
                <c:formatCode>General</c:formatCode>
                <c:ptCount val="2"/>
                <c:pt idx="0">
                  <c:v>0</c:v>
                </c:pt>
                <c:pt idx="1">
                  <c:v>11</c:v>
                </c:pt>
              </c:numCache>
            </c:numRef>
          </c:yVal>
          <c:smooth val="1"/>
        </c:ser>
        <c:ser>
          <c:idx val="56"/>
          <c:order val="56"/>
          <c:tx>
            <c:strRef>
              <c:f>Tools!$DC$83</c:f>
              <c:strCache>
                <c:ptCount val="1"/>
                <c:pt idx="0">
                  <c:v>STN 18.5</c:v>
                </c:pt>
              </c:strCache>
            </c:strRef>
          </c:tx>
          <c:spPr>
            <a:ln w="3175">
              <a:solidFill>
                <a:schemeClr val="tx1">
                  <a:lumMod val="65000"/>
                  <a:lumOff val="35000"/>
                </a:schemeClr>
              </a:solidFill>
            </a:ln>
          </c:spPr>
          <c:marker>
            <c:symbol val="none"/>
          </c:marker>
          <c:xVal>
            <c:numRef>
              <c:f>Tools!$DD$83:$DE$83</c:f>
              <c:numCache>
                <c:formatCode>General</c:formatCode>
                <c:ptCount val="2"/>
                <c:pt idx="0">
                  <c:v>18.5</c:v>
                </c:pt>
                <c:pt idx="1">
                  <c:v>18.5</c:v>
                </c:pt>
              </c:numCache>
            </c:numRef>
          </c:xVal>
          <c:yVal>
            <c:numRef>
              <c:f>Tools!$DD$61:$DE$61</c:f>
              <c:numCache>
                <c:formatCode>General</c:formatCode>
                <c:ptCount val="2"/>
                <c:pt idx="0">
                  <c:v>0</c:v>
                </c:pt>
                <c:pt idx="1">
                  <c:v>11</c:v>
                </c:pt>
              </c:numCache>
            </c:numRef>
          </c:yVal>
          <c:smooth val="1"/>
        </c:ser>
        <c:ser>
          <c:idx val="57"/>
          <c:order val="57"/>
          <c:tx>
            <c:strRef>
              <c:f>Tools!$DC$84</c:f>
              <c:strCache>
                <c:ptCount val="1"/>
                <c:pt idx="0">
                  <c:v>STN 19</c:v>
                </c:pt>
              </c:strCache>
            </c:strRef>
          </c:tx>
          <c:spPr>
            <a:ln w="3175">
              <a:solidFill>
                <a:schemeClr val="tx1">
                  <a:lumMod val="65000"/>
                  <a:lumOff val="35000"/>
                </a:schemeClr>
              </a:solidFill>
            </a:ln>
          </c:spPr>
          <c:marker>
            <c:symbol val="none"/>
          </c:marker>
          <c:xVal>
            <c:numRef>
              <c:f>Tools!$DD$84:$DE$84</c:f>
              <c:numCache>
                <c:formatCode>General</c:formatCode>
                <c:ptCount val="2"/>
                <c:pt idx="0">
                  <c:v>19</c:v>
                </c:pt>
                <c:pt idx="1">
                  <c:v>19</c:v>
                </c:pt>
              </c:numCache>
            </c:numRef>
          </c:xVal>
          <c:yVal>
            <c:numRef>
              <c:f>Tools!$DD$61:$DE$61</c:f>
              <c:numCache>
                <c:formatCode>General</c:formatCode>
                <c:ptCount val="2"/>
                <c:pt idx="0">
                  <c:v>0</c:v>
                </c:pt>
                <c:pt idx="1">
                  <c:v>11</c:v>
                </c:pt>
              </c:numCache>
            </c:numRef>
          </c:yVal>
          <c:smooth val="1"/>
        </c:ser>
        <c:ser>
          <c:idx val="58"/>
          <c:order val="58"/>
          <c:tx>
            <c:strRef>
              <c:f>Tools!$DC$85</c:f>
              <c:strCache>
                <c:ptCount val="1"/>
                <c:pt idx="0">
                  <c:v>STN 19.5</c:v>
                </c:pt>
              </c:strCache>
            </c:strRef>
          </c:tx>
          <c:spPr>
            <a:ln w="3175">
              <a:solidFill>
                <a:schemeClr val="tx1">
                  <a:lumMod val="65000"/>
                  <a:lumOff val="35000"/>
                </a:schemeClr>
              </a:solidFill>
            </a:ln>
          </c:spPr>
          <c:marker>
            <c:symbol val="none"/>
          </c:marker>
          <c:xVal>
            <c:numRef>
              <c:f>Tools!$DD$85:$DE$85</c:f>
              <c:numCache>
                <c:formatCode>General</c:formatCode>
                <c:ptCount val="2"/>
                <c:pt idx="0">
                  <c:v>19.5</c:v>
                </c:pt>
                <c:pt idx="1">
                  <c:v>19.5</c:v>
                </c:pt>
              </c:numCache>
            </c:numRef>
          </c:xVal>
          <c:yVal>
            <c:numRef>
              <c:f>Tools!$DD$61:$DE$61</c:f>
              <c:numCache>
                <c:formatCode>General</c:formatCode>
                <c:ptCount val="2"/>
                <c:pt idx="0">
                  <c:v>0</c:v>
                </c:pt>
                <c:pt idx="1">
                  <c:v>11</c:v>
                </c:pt>
              </c:numCache>
            </c:numRef>
          </c:yVal>
          <c:smooth val="1"/>
        </c:ser>
        <c:ser>
          <c:idx val="59"/>
          <c:order val="59"/>
          <c:tx>
            <c:strRef>
              <c:f>Tools!$DC$86</c:f>
              <c:strCache>
                <c:ptCount val="1"/>
                <c:pt idx="0">
                  <c:v>STN 20</c:v>
                </c:pt>
              </c:strCache>
            </c:strRef>
          </c:tx>
          <c:spPr>
            <a:ln w="3175">
              <a:solidFill>
                <a:schemeClr val="tx1">
                  <a:lumMod val="65000"/>
                  <a:lumOff val="35000"/>
                </a:schemeClr>
              </a:solidFill>
            </a:ln>
          </c:spPr>
          <c:marker>
            <c:symbol val="none"/>
          </c:marker>
          <c:xVal>
            <c:numRef>
              <c:f>Tools!$DD$86:$DE$86</c:f>
              <c:numCache>
                <c:formatCode>General</c:formatCode>
                <c:ptCount val="2"/>
                <c:pt idx="0">
                  <c:v>20</c:v>
                </c:pt>
                <c:pt idx="1">
                  <c:v>20</c:v>
                </c:pt>
              </c:numCache>
            </c:numRef>
          </c:xVal>
          <c:yVal>
            <c:numRef>
              <c:f>Tools!$DD$61:$DE$61</c:f>
              <c:numCache>
                <c:formatCode>General</c:formatCode>
                <c:ptCount val="2"/>
                <c:pt idx="0">
                  <c:v>0</c:v>
                </c:pt>
                <c:pt idx="1">
                  <c:v>11</c:v>
                </c:pt>
              </c:numCache>
            </c:numRef>
          </c:yVal>
          <c:smooth val="1"/>
        </c:ser>
        <c:dLbls>
          <c:showLegendKey val="0"/>
          <c:showVal val="0"/>
          <c:showCatName val="0"/>
          <c:showSerName val="0"/>
          <c:showPercent val="0"/>
          <c:showBubbleSize val="0"/>
        </c:dLbls>
        <c:axId val="952284288"/>
        <c:axId val="952285824"/>
      </c:scatterChart>
      <c:valAx>
        <c:axId val="952284288"/>
        <c:scaling>
          <c:orientation val="minMax"/>
          <c:min val="0"/>
        </c:scaling>
        <c:delete val="0"/>
        <c:axPos val="b"/>
        <c:majorGridlines>
          <c:spPr>
            <a:ln w="19050" cmpd="sng">
              <a:noFill/>
            </a:ln>
          </c:spPr>
        </c:majorGridlines>
        <c:numFmt formatCode="General" sourceLinked="0"/>
        <c:majorTickMark val="out"/>
        <c:minorTickMark val="none"/>
        <c:tickLblPos val="nextTo"/>
        <c:crossAx val="952285824"/>
        <c:crosses val="autoZero"/>
        <c:crossBetween val="midCat"/>
        <c:majorUnit val="1"/>
        <c:minorUnit val="1"/>
      </c:valAx>
      <c:valAx>
        <c:axId val="952285824"/>
        <c:scaling>
          <c:orientation val="minMax"/>
          <c:min val="0"/>
        </c:scaling>
        <c:delete val="0"/>
        <c:axPos val="l"/>
        <c:numFmt formatCode="General" sourceLinked="1"/>
        <c:majorTickMark val="out"/>
        <c:minorTickMark val="none"/>
        <c:tickLblPos val="nextTo"/>
        <c:crossAx val="952284288"/>
        <c:crosses val="autoZero"/>
        <c:crossBetween val="midCat"/>
      </c:valAx>
      <c:spPr>
        <a:noFill/>
        <a:ln>
          <a:noFill/>
        </a:ln>
      </c:spPr>
    </c:plotArea>
    <c:legend>
      <c:legendPos val="r"/>
      <c:legendEntry>
        <c:idx val="25"/>
        <c:txPr>
          <a:bodyPr/>
          <a:lstStyle/>
          <a:p>
            <a:pPr>
              <a:defRPr sz="1400">
                <a:solidFill>
                  <a:schemeClr val="bg1"/>
                </a:solidFill>
              </a:defRPr>
            </a:pPr>
            <a:endParaRPr lang="en-US"/>
          </a:p>
        </c:txPr>
      </c:legendEntry>
      <c:legendEntry>
        <c:idx val="26"/>
        <c:txPr>
          <a:bodyPr/>
          <a:lstStyle/>
          <a:p>
            <a:pPr>
              <a:defRPr sz="1400">
                <a:solidFill>
                  <a:schemeClr val="bg1"/>
                </a:solidFill>
              </a:defRPr>
            </a:pPr>
            <a:endParaRPr lang="en-US"/>
          </a:p>
        </c:txPr>
      </c:legendEntry>
      <c:layout>
        <c:manualLayout>
          <c:xMode val="edge"/>
          <c:yMode val="edge"/>
          <c:x val="0.83963298550509868"/>
          <c:y val="0.10705369321249222"/>
          <c:w val="0.15021834897677019"/>
          <c:h val="0.54332116370345129"/>
        </c:manualLayout>
      </c:layout>
      <c:overlay val="0"/>
      <c:txPr>
        <a:bodyPr/>
        <a:lstStyle/>
        <a:p>
          <a:pPr>
            <a:defRPr sz="1400"/>
          </a:pPr>
          <a:endParaRPr lang="en-US"/>
        </a:p>
      </c:txPr>
    </c:legend>
    <c:plotVisOnly val="1"/>
    <c:dispBlanksAs val="gap"/>
    <c:showDLblsOverMax val="0"/>
  </c:chart>
  <c:spPr>
    <a:solidFill>
      <a:schemeClr val="bg1">
        <a:lumMod val="95000"/>
      </a:schemeClr>
    </a:solidFill>
  </c:spPr>
  <c:printSettings>
    <c:headerFooter/>
    <c:pageMargins b="0.75" l="0.7" r="0.7" t="0.75" header="0.3" footer="0.3"/>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I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1.5565463865013437E-2"/>
          <c:y val="4.8409162862424297E-2"/>
          <c:w val="0.82111491280458926"/>
          <c:h val="0.86951254634026776"/>
        </c:manualLayout>
      </c:layout>
      <c:scatterChart>
        <c:scatterStyle val="smoothMarker"/>
        <c:varyColors val="0"/>
        <c:ser>
          <c:idx val="0"/>
          <c:order val="0"/>
          <c:tx>
            <c:strRef>
              <c:f>Tools!$DC$62</c:f>
              <c:strCache>
                <c:ptCount val="1"/>
                <c:pt idx="0">
                  <c:v>STN 0</c:v>
                </c:pt>
              </c:strCache>
            </c:strRef>
          </c:tx>
          <c:spPr>
            <a:ln w="3175"/>
          </c:spPr>
          <c:marker>
            <c:symbol val="none"/>
          </c:marker>
          <c:xVal>
            <c:numRef>
              <c:f>Tools!$DJ$98:$EI$98</c:f>
              <c:numCache>
                <c:formatCode>General</c:formatCode>
                <c:ptCount val="26"/>
                <c:pt idx="0">
                  <c:v>0</c:v>
                </c:pt>
                <c:pt idx="1">
                  <c:v>#N/A</c:v>
                </c:pt>
                <c:pt idx="2">
                  <c:v>#N/A</c:v>
                </c:pt>
                <c:pt idx="3">
                  <c:v>#N/A</c:v>
                </c:pt>
                <c:pt idx="4">
                  <c:v>#N/A</c:v>
                </c:pt>
                <c:pt idx="5">
                  <c:v>#N/A</c:v>
                </c:pt>
                <c:pt idx="6">
                  <c:v>#N/A</c:v>
                </c:pt>
                <c:pt idx="7">
                  <c:v>#N/A</c:v>
                </c:pt>
                <c:pt idx="8">
                  <c:v>-0.9</c:v>
                </c:pt>
                <c:pt idx="9">
                  <c:v>-2.59</c:v>
                </c:pt>
                <c:pt idx="10">
                  <c:v>-2.82</c:v>
                </c:pt>
                <c:pt idx="11">
                  <c:v>-3.82</c:v>
                </c:pt>
                <c:pt idx="12">
                  <c:v>-4.24</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xVal>
          <c:yVal>
            <c:numRef>
              <c:f>Tools!$EL$98:$FK$98</c:f>
              <c:numCache>
                <c:formatCode>General</c:formatCode>
                <c:ptCount val="26"/>
                <c:pt idx="0">
                  <c:v>7</c:v>
                </c:pt>
                <c:pt idx="1">
                  <c:v>0</c:v>
                </c:pt>
                <c:pt idx="2">
                  <c:v>0.5</c:v>
                </c:pt>
                <c:pt idx="3">
                  <c:v>1</c:v>
                </c:pt>
                <c:pt idx="4">
                  <c:v>1.5</c:v>
                </c:pt>
                <c:pt idx="5">
                  <c:v>2</c:v>
                </c:pt>
                <c:pt idx="6">
                  <c:v>4</c:v>
                </c:pt>
                <c:pt idx="7">
                  <c:v>6</c:v>
                </c:pt>
                <c:pt idx="8">
                  <c:v>8</c:v>
                </c:pt>
                <c:pt idx="9">
                  <c:v>9.6999999999999993</c:v>
                </c:pt>
                <c:pt idx="10">
                  <c:v>10</c:v>
                </c:pt>
                <c:pt idx="11">
                  <c:v>12</c:v>
                </c:pt>
                <c:pt idx="12">
                  <c:v>13</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yVal>
          <c:smooth val="1"/>
        </c:ser>
        <c:ser>
          <c:idx val="1"/>
          <c:order val="1"/>
          <c:tx>
            <c:strRef>
              <c:f>Tools!$DC$63</c:f>
              <c:strCache>
                <c:ptCount val="1"/>
                <c:pt idx="0">
                  <c:v>STN 0.5</c:v>
                </c:pt>
              </c:strCache>
            </c:strRef>
          </c:tx>
          <c:spPr>
            <a:ln w="3175"/>
          </c:spPr>
          <c:marker>
            <c:symbol val="none"/>
          </c:marker>
          <c:xVal>
            <c:numRef>
              <c:f>Tools!$DJ$99:$EI$99</c:f>
              <c:numCache>
                <c:formatCode>General</c:formatCode>
                <c:ptCount val="26"/>
                <c:pt idx="0">
                  <c:v>#N/A</c:v>
                </c:pt>
                <c:pt idx="1">
                  <c:v>-0.1</c:v>
                </c:pt>
                <c:pt idx="2">
                  <c:v>-0.2</c:v>
                </c:pt>
                <c:pt idx="3">
                  <c:v>-0.2</c:v>
                </c:pt>
                <c:pt idx="4">
                  <c:v>-0.21</c:v>
                </c:pt>
                <c:pt idx="5">
                  <c:v>-0.25</c:v>
                </c:pt>
                <c:pt idx="6">
                  <c:v>-0.33</c:v>
                </c:pt>
                <c:pt idx="7">
                  <c:v>-0.66</c:v>
                </c:pt>
                <c:pt idx="8">
                  <c:v>-2.4300000000000002</c:v>
                </c:pt>
                <c:pt idx="9">
                  <c:v>-4.18</c:v>
                </c:pt>
                <c:pt idx="10">
                  <c:v>-4.3899999999999997</c:v>
                </c:pt>
                <c:pt idx="11">
                  <c:v>-5.43</c:v>
                </c:pt>
                <c:pt idx="12">
                  <c:v>-5.85</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xVal>
          <c:yVal>
            <c:numRef>
              <c:f>Tools!$EL$99:$FK$99</c:f>
              <c:numCache>
                <c:formatCode>General</c:formatCode>
                <c:ptCount val="26"/>
                <c:pt idx="0">
                  <c:v>#N/A</c:v>
                </c:pt>
                <c:pt idx="1">
                  <c:v>0</c:v>
                </c:pt>
                <c:pt idx="2">
                  <c:v>0.5</c:v>
                </c:pt>
                <c:pt idx="3">
                  <c:v>1</c:v>
                </c:pt>
                <c:pt idx="4">
                  <c:v>1.5</c:v>
                </c:pt>
                <c:pt idx="5">
                  <c:v>2</c:v>
                </c:pt>
                <c:pt idx="6">
                  <c:v>4</c:v>
                </c:pt>
                <c:pt idx="7">
                  <c:v>6</c:v>
                </c:pt>
                <c:pt idx="8">
                  <c:v>8</c:v>
                </c:pt>
                <c:pt idx="9">
                  <c:v>9.6999999999999993</c:v>
                </c:pt>
                <c:pt idx="10">
                  <c:v>10</c:v>
                </c:pt>
                <c:pt idx="11">
                  <c:v>12</c:v>
                </c:pt>
                <c:pt idx="12">
                  <c:v>13</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yVal>
          <c:smooth val="1"/>
        </c:ser>
        <c:ser>
          <c:idx val="2"/>
          <c:order val="2"/>
          <c:tx>
            <c:strRef>
              <c:f>Tools!$DC$64</c:f>
              <c:strCache>
                <c:ptCount val="1"/>
                <c:pt idx="0">
                  <c:v>STN 1</c:v>
                </c:pt>
              </c:strCache>
            </c:strRef>
          </c:tx>
          <c:spPr>
            <a:ln w="3175"/>
          </c:spPr>
          <c:marker>
            <c:symbol val="none"/>
          </c:marker>
          <c:xVal>
            <c:numRef>
              <c:f>Tools!$DJ$100:$EI$100</c:f>
              <c:numCache>
                <c:formatCode>General</c:formatCode>
                <c:ptCount val="26"/>
                <c:pt idx="0">
                  <c:v>#N/A</c:v>
                </c:pt>
                <c:pt idx="1">
                  <c:v>-0.3</c:v>
                </c:pt>
                <c:pt idx="2">
                  <c:v>-0.5</c:v>
                </c:pt>
                <c:pt idx="3">
                  <c:v>-0.68</c:v>
                </c:pt>
                <c:pt idx="4">
                  <c:v>-0.83</c:v>
                </c:pt>
                <c:pt idx="5">
                  <c:v>-0.98</c:v>
                </c:pt>
                <c:pt idx="6">
                  <c:v>-1.44</c:v>
                </c:pt>
                <c:pt idx="7">
                  <c:v>-2.27</c:v>
                </c:pt>
                <c:pt idx="8">
                  <c:v>-4.01</c:v>
                </c:pt>
                <c:pt idx="9">
                  <c:v>-5.57</c:v>
                </c:pt>
                <c:pt idx="10">
                  <c:v>-5.78</c:v>
                </c:pt>
                <c:pt idx="11">
                  <c:v>-6.8</c:v>
                </c:pt>
                <c:pt idx="12">
                  <c:v>-7.27</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xVal>
          <c:yVal>
            <c:numRef>
              <c:f>Tools!$EL$100:$FK$100</c:f>
              <c:numCache>
                <c:formatCode>General</c:formatCode>
                <c:ptCount val="26"/>
                <c:pt idx="0">
                  <c:v>#N/A</c:v>
                </c:pt>
                <c:pt idx="1">
                  <c:v>0</c:v>
                </c:pt>
                <c:pt idx="2">
                  <c:v>0.5</c:v>
                </c:pt>
                <c:pt idx="3">
                  <c:v>1</c:v>
                </c:pt>
                <c:pt idx="4">
                  <c:v>1.5</c:v>
                </c:pt>
                <c:pt idx="5">
                  <c:v>2</c:v>
                </c:pt>
                <c:pt idx="6">
                  <c:v>4</c:v>
                </c:pt>
                <c:pt idx="7">
                  <c:v>6</c:v>
                </c:pt>
                <c:pt idx="8">
                  <c:v>8</c:v>
                </c:pt>
                <c:pt idx="9">
                  <c:v>9.6999999999999993</c:v>
                </c:pt>
                <c:pt idx="10">
                  <c:v>10</c:v>
                </c:pt>
                <c:pt idx="11">
                  <c:v>12</c:v>
                </c:pt>
                <c:pt idx="12">
                  <c:v>13</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yVal>
          <c:smooth val="1"/>
        </c:ser>
        <c:ser>
          <c:idx val="3"/>
          <c:order val="3"/>
          <c:tx>
            <c:strRef>
              <c:f>Tools!$DC$65</c:f>
              <c:strCache>
                <c:ptCount val="1"/>
                <c:pt idx="0">
                  <c:v>STN 1.5</c:v>
                </c:pt>
              </c:strCache>
            </c:strRef>
          </c:tx>
          <c:spPr>
            <a:ln w="3175"/>
          </c:spPr>
          <c:marker>
            <c:symbol val="none"/>
          </c:marker>
          <c:xVal>
            <c:numRef>
              <c:f>Tools!$DJ$101:$EI$101</c:f>
              <c:numCache>
                <c:formatCode>General</c:formatCode>
                <c:ptCount val="26"/>
                <c:pt idx="0">
                  <c:v>#N/A</c:v>
                </c:pt>
                <c:pt idx="1">
                  <c:v>-0.5</c:v>
                </c:pt>
                <c:pt idx="2">
                  <c:v>-0.99</c:v>
                </c:pt>
                <c:pt idx="3">
                  <c:v>-1.35</c:v>
                </c:pt>
                <c:pt idx="4">
                  <c:v>-1.65</c:v>
                </c:pt>
                <c:pt idx="5">
                  <c:v>-1.89</c:v>
                </c:pt>
                <c:pt idx="6">
                  <c:v>-2.81</c:v>
                </c:pt>
                <c:pt idx="7">
                  <c:v>-3.86</c:v>
                </c:pt>
                <c:pt idx="8">
                  <c:v>-5.5</c:v>
                </c:pt>
                <c:pt idx="9">
                  <c:v>-6.82</c:v>
                </c:pt>
                <c:pt idx="10">
                  <c:v>-7.01</c:v>
                </c:pt>
                <c:pt idx="11">
                  <c:v>-7.98</c:v>
                </c:pt>
                <c:pt idx="12">
                  <c:v>-8.42</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xVal>
          <c:yVal>
            <c:numRef>
              <c:f>Tools!$EL$101:$FK$101</c:f>
              <c:numCache>
                <c:formatCode>General</c:formatCode>
                <c:ptCount val="26"/>
                <c:pt idx="0">
                  <c:v>#N/A</c:v>
                </c:pt>
                <c:pt idx="1">
                  <c:v>0</c:v>
                </c:pt>
                <c:pt idx="2">
                  <c:v>0.5</c:v>
                </c:pt>
                <c:pt idx="3">
                  <c:v>1</c:v>
                </c:pt>
                <c:pt idx="4">
                  <c:v>1.5</c:v>
                </c:pt>
                <c:pt idx="5">
                  <c:v>2</c:v>
                </c:pt>
                <c:pt idx="6">
                  <c:v>4</c:v>
                </c:pt>
                <c:pt idx="7">
                  <c:v>6</c:v>
                </c:pt>
                <c:pt idx="8">
                  <c:v>8</c:v>
                </c:pt>
                <c:pt idx="9">
                  <c:v>9.6999999999999993</c:v>
                </c:pt>
                <c:pt idx="10">
                  <c:v>10</c:v>
                </c:pt>
                <c:pt idx="11">
                  <c:v>12</c:v>
                </c:pt>
                <c:pt idx="12">
                  <c:v>13</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yVal>
          <c:smooth val="1"/>
        </c:ser>
        <c:ser>
          <c:idx val="4"/>
          <c:order val="4"/>
          <c:tx>
            <c:strRef>
              <c:f>Tools!$DC$66</c:f>
              <c:strCache>
                <c:ptCount val="1"/>
                <c:pt idx="0">
                  <c:v>STN 2</c:v>
                </c:pt>
              </c:strCache>
            </c:strRef>
          </c:tx>
          <c:spPr>
            <a:ln w="3175"/>
          </c:spPr>
          <c:marker>
            <c:symbol val="none"/>
          </c:marker>
          <c:xVal>
            <c:numRef>
              <c:f>Tools!$DJ$102:$EI$102</c:f>
              <c:numCache>
                <c:formatCode>General</c:formatCode>
                <c:ptCount val="26"/>
                <c:pt idx="0">
                  <c:v>#N/A</c:v>
                </c:pt>
                <c:pt idx="1">
                  <c:v>-0.9</c:v>
                </c:pt>
                <c:pt idx="2">
                  <c:v>-1.59</c:v>
                </c:pt>
                <c:pt idx="3">
                  <c:v>-2.14</c:v>
                </c:pt>
                <c:pt idx="4">
                  <c:v>-2.59</c:v>
                </c:pt>
                <c:pt idx="5">
                  <c:v>-2.93</c:v>
                </c:pt>
                <c:pt idx="6">
                  <c:v>-4.17</c:v>
                </c:pt>
                <c:pt idx="7">
                  <c:v>-5.28</c:v>
                </c:pt>
                <c:pt idx="8">
                  <c:v>-6.7</c:v>
                </c:pt>
                <c:pt idx="9">
                  <c:v>-7.89</c:v>
                </c:pt>
                <c:pt idx="10">
                  <c:v>-8.0399999999999991</c:v>
                </c:pt>
                <c:pt idx="11">
                  <c:v>-8.94</c:v>
                </c:pt>
                <c:pt idx="12">
                  <c:v>-9.3000000000000007</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xVal>
          <c:yVal>
            <c:numRef>
              <c:f>Tools!$EL$102:$FK$102</c:f>
              <c:numCache>
                <c:formatCode>General</c:formatCode>
                <c:ptCount val="26"/>
                <c:pt idx="0">
                  <c:v>#N/A</c:v>
                </c:pt>
                <c:pt idx="1">
                  <c:v>0</c:v>
                </c:pt>
                <c:pt idx="2">
                  <c:v>0.5</c:v>
                </c:pt>
                <c:pt idx="3">
                  <c:v>1</c:v>
                </c:pt>
                <c:pt idx="4">
                  <c:v>1.5</c:v>
                </c:pt>
                <c:pt idx="5">
                  <c:v>2</c:v>
                </c:pt>
                <c:pt idx="6">
                  <c:v>4</c:v>
                </c:pt>
                <c:pt idx="7">
                  <c:v>6</c:v>
                </c:pt>
                <c:pt idx="8">
                  <c:v>8</c:v>
                </c:pt>
                <c:pt idx="9">
                  <c:v>9.6999999999999993</c:v>
                </c:pt>
                <c:pt idx="10">
                  <c:v>10</c:v>
                </c:pt>
                <c:pt idx="11">
                  <c:v>12</c:v>
                </c:pt>
                <c:pt idx="12">
                  <c:v>13</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yVal>
          <c:smooth val="1"/>
        </c:ser>
        <c:ser>
          <c:idx val="5"/>
          <c:order val="5"/>
          <c:tx>
            <c:strRef>
              <c:f>Tools!$DC$67</c:f>
              <c:strCache>
                <c:ptCount val="1"/>
                <c:pt idx="0">
                  <c:v>STN 3</c:v>
                </c:pt>
              </c:strCache>
            </c:strRef>
          </c:tx>
          <c:spPr>
            <a:ln w="3175"/>
          </c:spPr>
          <c:marker>
            <c:symbol val="none"/>
          </c:marker>
          <c:xVal>
            <c:numRef>
              <c:f>Tools!$DJ$103:$EI$103</c:f>
              <c:numCache>
                <c:formatCode>General</c:formatCode>
                <c:ptCount val="26"/>
                <c:pt idx="0">
                  <c:v>#N/A</c:v>
                </c:pt>
                <c:pt idx="1">
                  <c:v>-1.9</c:v>
                </c:pt>
                <c:pt idx="2">
                  <c:v>-3.32</c:v>
                </c:pt>
                <c:pt idx="3">
                  <c:v>-4.17</c:v>
                </c:pt>
                <c:pt idx="4">
                  <c:v>-4.72</c:v>
                </c:pt>
                <c:pt idx="5">
                  <c:v>-5.15</c:v>
                </c:pt>
                <c:pt idx="6">
                  <c:v>-6.67</c:v>
                </c:pt>
                <c:pt idx="7">
                  <c:v>-7.76</c:v>
                </c:pt>
                <c:pt idx="8">
                  <c:v>-8.65</c:v>
                </c:pt>
                <c:pt idx="9">
                  <c:v>-9.43</c:v>
                </c:pt>
                <c:pt idx="10">
                  <c:v>-9.5399999999999991</c:v>
                </c:pt>
                <c:pt idx="11">
                  <c:v>-10.1</c:v>
                </c:pt>
                <c:pt idx="12">
                  <c:v>-10.44</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xVal>
          <c:yVal>
            <c:numRef>
              <c:f>Tools!$EL$103:$FK$103</c:f>
              <c:numCache>
                <c:formatCode>General</c:formatCode>
                <c:ptCount val="26"/>
                <c:pt idx="0">
                  <c:v>#N/A</c:v>
                </c:pt>
                <c:pt idx="1">
                  <c:v>0</c:v>
                </c:pt>
                <c:pt idx="2">
                  <c:v>0.5</c:v>
                </c:pt>
                <c:pt idx="3">
                  <c:v>1</c:v>
                </c:pt>
                <c:pt idx="4">
                  <c:v>1.5</c:v>
                </c:pt>
                <c:pt idx="5">
                  <c:v>2</c:v>
                </c:pt>
                <c:pt idx="6">
                  <c:v>4</c:v>
                </c:pt>
                <c:pt idx="7">
                  <c:v>6</c:v>
                </c:pt>
                <c:pt idx="8">
                  <c:v>8</c:v>
                </c:pt>
                <c:pt idx="9">
                  <c:v>9.6999999999999993</c:v>
                </c:pt>
                <c:pt idx="10">
                  <c:v>10</c:v>
                </c:pt>
                <c:pt idx="11">
                  <c:v>12</c:v>
                </c:pt>
                <c:pt idx="12">
                  <c:v>13</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yVal>
          <c:smooth val="1"/>
        </c:ser>
        <c:ser>
          <c:idx val="6"/>
          <c:order val="6"/>
          <c:tx>
            <c:strRef>
              <c:f>Tools!$DC$68</c:f>
              <c:strCache>
                <c:ptCount val="1"/>
                <c:pt idx="0">
                  <c:v>STN 4</c:v>
                </c:pt>
              </c:strCache>
            </c:strRef>
          </c:tx>
          <c:spPr>
            <a:ln w="3175"/>
          </c:spPr>
          <c:marker>
            <c:symbol val="none"/>
          </c:marker>
          <c:xVal>
            <c:numRef>
              <c:f>Tools!$DJ$104:$EI$104</c:f>
              <c:numCache>
                <c:formatCode>General</c:formatCode>
                <c:ptCount val="26"/>
                <c:pt idx="0">
                  <c:v>#N/A</c:v>
                </c:pt>
                <c:pt idx="1">
                  <c:v>-3.8</c:v>
                </c:pt>
                <c:pt idx="2">
                  <c:v>-5.33</c:v>
                </c:pt>
                <c:pt idx="3">
                  <c:v>-6.26</c:v>
                </c:pt>
                <c:pt idx="4">
                  <c:v>-6.83</c:v>
                </c:pt>
                <c:pt idx="5">
                  <c:v>-7.29</c:v>
                </c:pt>
                <c:pt idx="6">
                  <c:v>-8.61</c:v>
                </c:pt>
                <c:pt idx="7">
                  <c:v>-9.4499999999999993</c:v>
                </c:pt>
                <c:pt idx="8">
                  <c:v>-10.1</c:v>
                </c:pt>
                <c:pt idx="9">
                  <c:v>-10.45</c:v>
                </c:pt>
                <c:pt idx="10">
                  <c:v>-10.5</c:v>
                </c:pt>
                <c:pt idx="11">
                  <c:v>-10.8</c:v>
                </c:pt>
                <c:pt idx="12">
                  <c:v>-10.87</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xVal>
          <c:yVal>
            <c:numRef>
              <c:f>Tools!$EL$104:$FK$104</c:f>
              <c:numCache>
                <c:formatCode>General</c:formatCode>
                <c:ptCount val="26"/>
                <c:pt idx="0">
                  <c:v>#N/A</c:v>
                </c:pt>
                <c:pt idx="1">
                  <c:v>0</c:v>
                </c:pt>
                <c:pt idx="2">
                  <c:v>0.5</c:v>
                </c:pt>
                <c:pt idx="3">
                  <c:v>1</c:v>
                </c:pt>
                <c:pt idx="4">
                  <c:v>1.5</c:v>
                </c:pt>
                <c:pt idx="5">
                  <c:v>2</c:v>
                </c:pt>
                <c:pt idx="6">
                  <c:v>4</c:v>
                </c:pt>
                <c:pt idx="7">
                  <c:v>6</c:v>
                </c:pt>
                <c:pt idx="8">
                  <c:v>8</c:v>
                </c:pt>
                <c:pt idx="9">
                  <c:v>9.6999999999999993</c:v>
                </c:pt>
                <c:pt idx="10">
                  <c:v>10</c:v>
                </c:pt>
                <c:pt idx="11">
                  <c:v>12</c:v>
                </c:pt>
                <c:pt idx="12">
                  <c:v>13</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yVal>
          <c:smooth val="1"/>
        </c:ser>
        <c:ser>
          <c:idx val="7"/>
          <c:order val="7"/>
          <c:tx>
            <c:strRef>
              <c:f>Tools!$DC$69</c:f>
              <c:strCache>
                <c:ptCount val="1"/>
                <c:pt idx="0">
                  <c:v>STN 5</c:v>
                </c:pt>
              </c:strCache>
            </c:strRef>
          </c:tx>
          <c:spPr>
            <a:ln w="3175"/>
          </c:spPr>
          <c:marker>
            <c:symbol val="none"/>
          </c:marker>
          <c:xVal>
            <c:numRef>
              <c:f>Tools!$DJ$105:$EI$105</c:f>
              <c:numCache>
                <c:formatCode>General</c:formatCode>
                <c:ptCount val="26"/>
                <c:pt idx="0">
                  <c:v>#N/A</c:v>
                </c:pt>
                <c:pt idx="1">
                  <c:v>-5.9</c:v>
                </c:pt>
                <c:pt idx="2">
                  <c:v>-7.26</c:v>
                </c:pt>
                <c:pt idx="3">
                  <c:v>-8.1199999999999992</c:v>
                </c:pt>
                <c:pt idx="4">
                  <c:v>-8.6999999999999993</c:v>
                </c:pt>
                <c:pt idx="5">
                  <c:v>-9.07</c:v>
                </c:pt>
                <c:pt idx="6">
                  <c:v>-9.9499999999999993</c:v>
                </c:pt>
                <c:pt idx="7">
                  <c:v>-10.3</c:v>
                </c:pt>
                <c:pt idx="8">
                  <c:v>-10.58</c:v>
                </c:pt>
                <c:pt idx="9">
                  <c:v>-10.72</c:v>
                </c:pt>
                <c:pt idx="10">
                  <c:v>-10.74</c:v>
                </c:pt>
                <c:pt idx="11">
                  <c:v>-10.9</c:v>
                </c:pt>
                <c:pt idx="12">
                  <c:v>-11</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xVal>
          <c:yVal>
            <c:numRef>
              <c:f>Tools!$EL$105:$FK$105</c:f>
              <c:numCache>
                <c:formatCode>General</c:formatCode>
                <c:ptCount val="26"/>
                <c:pt idx="0">
                  <c:v>#N/A</c:v>
                </c:pt>
                <c:pt idx="1">
                  <c:v>0</c:v>
                </c:pt>
                <c:pt idx="2">
                  <c:v>0.5</c:v>
                </c:pt>
                <c:pt idx="3">
                  <c:v>1</c:v>
                </c:pt>
                <c:pt idx="4">
                  <c:v>1.5</c:v>
                </c:pt>
                <c:pt idx="5">
                  <c:v>2</c:v>
                </c:pt>
                <c:pt idx="6">
                  <c:v>4</c:v>
                </c:pt>
                <c:pt idx="7">
                  <c:v>6</c:v>
                </c:pt>
                <c:pt idx="8">
                  <c:v>8</c:v>
                </c:pt>
                <c:pt idx="9">
                  <c:v>9.6999999999999993</c:v>
                </c:pt>
                <c:pt idx="10">
                  <c:v>10</c:v>
                </c:pt>
                <c:pt idx="11">
                  <c:v>12</c:v>
                </c:pt>
                <c:pt idx="12">
                  <c:v>13</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yVal>
          <c:smooth val="1"/>
        </c:ser>
        <c:ser>
          <c:idx val="8"/>
          <c:order val="8"/>
          <c:tx>
            <c:strRef>
              <c:f>Tools!$DC$70</c:f>
              <c:strCache>
                <c:ptCount val="1"/>
                <c:pt idx="0">
                  <c:v>STN 6</c:v>
                </c:pt>
              </c:strCache>
            </c:strRef>
          </c:tx>
          <c:spPr>
            <a:ln w="3175"/>
          </c:spPr>
          <c:marker>
            <c:symbol val="none"/>
          </c:marker>
          <c:xVal>
            <c:numRef>
              <c:f>Tools!$DJ$106:$EI$106</c:f>
              <c:numCache>
                <c:formatCode>General</c:formatCode>
                <c:ptCount val="26"/>
                <c:pt idx="0">
                  <c:v>#N/A</c:v>
                </c:pt>
                <c:pt idx="1">
                  <c:v>-7.9</c:v>
                </c:pt>
                <c:pt idx="2">
                  <c:v>-8.9</c:v>
                </c:pt>
                <c:pt idx="3">
                  <c:v>-9.5</c:v>
                </c:pt>
                <c:pt idx="4">
                  <c:v>-9.94</c:v>
                </c:pt>
                <c:pt idx="5">
                  <c:v>-10.199999999999999</c:v>
                </c:pt>
                <c:pt idx="6">
                  <c:v>-10.8</c:v>
                </c:pt>
                <c:pt idx="7">
                  <c:v>-10.9</c:v>
                </c:pt>
                <c:pt idx="8">
                  <c:v>-11</c:v>
                </c:pt>
                <c:pt idx="9">
                  <c:v>-11</c:v>
                </c:pt>
                <c:pt idx="10">
                  <c:v>-11</c:v>
                </c:pt>
                <c:pt idx="11">
                  <c:v>-11</c:v>
                </c:pt>
                <c:pt idx="12">
                  <c:v>-11</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xVal>
          <c:yVal>
            <c:numRef>
              <c:f>Tools!$EL$106:$FK$106</c:f>
              <c:numCache>
                <c:formatCode>General</c:formatCode>
                <c:ptCount val="26"/>
                <c:pt idx="0">
                  <c:v>#N/A</c:v>
                </c:pt>
                <c:pt idx="1">
                  <c:v>0</c:v>
                </c:pt>
                <c:pt idx="2">
                  <c:v>0.5</c:v>
                </c:pt>
                <c:pt idx="3">
                  <c:v>1</c:v>
                </c:pt>
                <c:pt idx="4">
                  <c:v>1.5</c:v>
                </c:pt>
                <c:pt idx="5">
                  <c:v>2</c:v>
                </c:pt>
                <c:pt idx="6">
                  <c:v>4</c:v>
                </c:pt>
                <c:pt idx="7">
                  <c:v>6</c:v>
                </c:pt>
                <c:pt idx="8">
                  <c:v>8</c:v>
                </c:pt>
                <c:pt idx="9">
                  <c:v>9.6999999999999993</c:v>
                </c:pt>
                <c:pt idx="10">
                  <c:v>10</c:v>
                </c:pt>
                <c:pt idx="11">
                  <c:v>12</c:v>
                </c:pt>
                <c:pt idx="12">
                  <c:v>13</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yVal>
          <c:smooth val="1"/>
        </c:ser>
        <c:ser>
          <c:idx val="9"/>
          <c:order val="9"/>
          <c:tx>
            <c:strRef>
              <c:f>Tools!$DC$71</c:f>
              <c:strCache>
                <c:ptCount val="1"/>
                <c:pt idx="0">
                  <c:v>STN 7</c:v>
                </c:pt>
              </c:strCache>
            </c:strRef>
          </c:tx>
          <c:spPr>
            <a:ln w="3175"/>
          </c:spPr>
          <c:marker>
            <c:symbol val="none"/>
          </c:marker>
          <c:xVal>
            <c:numRef>
              <c:f>Tools!$DJ$107:$EI$107</c:f>
              <c:numCache>
                <c:formatCode>General</c:formatCode>
                <c:ptCount val="26"/>
                <c:pt idx="0">
                  <c:v>#N/A</c:v>
                </c:pt>
                <c:pt idx="1">
                  <c:v>-9</c:v>
                </c:pt>
                <c:pt idx="2">
                  <c:v>-9.83</c:v>
                </c:pt>
                <c:pt idx="3">
                  <c:v>-10.3</c:v>
                </c:pt>
                <c:pt idx="4">
                  <c:v>-10.6</c:v>
                </c:pt>
                <c:pt idx="5">
                  <c:v>-10.8</c:v>
                </c:pt>
                <c:pt idx="6">
                  <c:v>-11</c:v>
                </c:pt>
                <c:pt idx="7">
                  <c:v>-11</c:v>
                </c:pt>
                <c:pt idx="8">
                  <c:v>-11</c:v>
                </c:pt>
                <c:pt idx="9">
                  <c:v>-11</c:v>
                </c:pt>
                <c:pt idx="10">
                  <c:v>-11</c:v>
                </c:pt>
                <c:pt idx="11">
                  <c:v>-11</c:v>
                </c:pt>
                <c:pt idx="12">
                  <c:v>-11</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xVal>
          <c:yVal>
            <c:numRef>
              <c:f>Tools!$EL$107:$FK$107</c:f>
              <c:numCache>
                <c:formatCode>General</c:formatCode>
                <c:ptCount val="26"/>
                <c:pt idx="0">
                  <c:v>#N/A</c:v>
                </c:pt>
                <c:pt idx="1">
                  <c:v>0</c:v>
                </c:pt>
                <c:pt idx="2">
                  <c:v>0.5</c:v>
                </c:pt>
                <c:pt idx="3">
                  <c:v>1</c:v>
                </c:pt>
                <c:pt idx="4">
                  <c:v>1.5</c:v>
                </c:pt>
                <c:pt idx="5">
                  <c:v>2</c:v>
                </c:pt>
                <c:pt idx="6">
                  <c:v>4</c:v>
                </c:pt>
                <c:pt idx="7">
                  <c:v>6</c:v>
                </c:pt>
                <c:pt idx="8">
                  <c:v>8</c:v>
                </c:pt>
                <c:pt idx="9">
                  <c:v>9.6999999999999993</c:v>
                </c:pt>
                <c:pt idx="10">
                  <c:v>10</c:v>
                </c:pt>
                <c:pt idx="11">
                  <c:v>12</c:v>
                </c:pt>
                <c:pt idx="12">
                  <c:v>13</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yVal>
          <c:smooth val="1"/>
        </c:ser>
        <c:ser>
          <c:idx val="10"/>
          <c:order val="10"/>
          <c:tx>
            <c:strRef>
              <c:f>Tools!$DC$72</c:f>
              <c:strCache>
                <c:ptCount val="1"/>
                <c:pt idx="0">
                  <c:v>STN 8</c:v>
                </c:pt>
              </c:strCache>
            </c:strRef>
          </c:tx>
          <c:spPr>
            <a:ln w="3175">
              <a:solidFill>
                <a:schemeClr val="accent2">
                  <a:lumMod val="75000"/>
                </a:schemeClr>
              </a:solidFill>
            </a:ln>
          </c:spPr>
          <c:marker>
            <c:symbol val="none"/>
          </c:marker>
          <c:xVal>
            <c:numRef>
              <c:f>Tools!$DJ$108:$EI$108</c:f>
              <c:numCache>
                <c:formatCode>General</c:formatCode>
                <c:ptCount val="26"/>
                <c:pt idx="0">
                  <c:v>#N/A</c:v>
                </c:pt>
                <c:pt idx="1">
                  <c:v>-9.5</c:v>
                </c:pt>
                <c:pt idx="2">
                  <c:v>-10.33</c:v>
                </c:pt>
                <c:pt idx="3">
                  <c:v>-10.67</c:v>
                </c:pt>
                <c:pt idx="4">
                  <c:v>-10.9</c:v>
                </c:pt>
                <c:pt idx="5">
                  <c:v>-11</c:v>
                </c:pt>
                <c:pt idx="6">
                  <c:v>-11</c:v>
                </c:pt>
                <c:pt idx="7">
                  <c:v>-11</c:v>
                </c:pt>
                <c:pt idx="8">
                  <c:v>-11</c:v>
                </c:pt>
                <c:pt idx="9">
                  <c:v>-11</c:v>
                </c:pt>
                <c:pt idx="10">
                  <c:v>-11</c:v>
                </c:pt>
                <c:pt idx="11">
                  <c:v>-11</c:v>
                </c:pt>
                <c:pt idx="12">
                  <c:v>-11</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xVal>
          <c:yVal>
            <c:numRef>
              <c:f>Tools!$EL$108:$FK$108</c:f>
              <c:numCache>
                <c:formatCode>General</c:formatCode>
                <c:ptCount val="26"/>
                <c:pt idx="0">
                  <c:v>#N/A</c:v>
                </c:pt>
                <c:pt idx="1">
                  <c:v>0</c:v>
                </c:pt>
                <c:pt idx="2">
                  <c:v>0.5</c:v>
                </c:pt>
                <c:pt idx="3">
                  <c:v>1</c:v>
                </c:pt>
                <c:pt idx="4">
                  <c:v>1.5</c:v>
                </c:pt>
                <c:pt idx="5">
                  <c:v>2</c:v>
                </c:pt>
                <c:pt idx="6">
                  <c:v>4</c:v>
                </c:pt>
                <c:pt idx="7">
                  <c:v>6</c:v>
                </c:pt>
                <c:pt idx="8">
                  <c:v>8</c:v>
                </c:pt>
                <c:pt idx="9">
                  <c:v>9.6999999999999993</c:v>
                </c:pt>
                <c:pt idx="10">
                  <c:v>10</c:v>
                </c:pt>
                <c:pt idx="11">
                  <c:v>12</c:v>
                </c:pt>
                <c:pt idx="12">
                  <c:v>13</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yVal>
          <c:smooth val="1"/>
        </c:ser>
        <c:ser>
          <c:idx val="11"/>
          <c:order val="11"/>
          <c:tx>
            <c:strRef>
              <c:f>Tools!$DC$73</c:f>
              <c:strCache>
                <c:ptCount val="1"/>
                <c:pt idx="0">
                  <c:v>STN 9</c:v>
                </c:pt>
              </c:strCache>
            </c:strRef>
          </c:tx>
          <c:spPr>
            <a:ln w="3175"/>
          </c:spPr>
          <c:marker>
            <c:symbol val="none"/>
          </c:marker>
          <c:xVal>
            <c:numRef>
              <c:f>Tools!$DJ$109:$EI$109</c:f>
              <c:numCache>
                <c:formatCode>General</c:formatCode>
                <c:ptCount val="26"/>
                <c:pt idx="0">
                  <c:v>#N/A</c:v>
                </c:pt>
                <c:pt idx="1">
                  <c:v>-9.6999999999999993</c:v>
                </c:pt>
                <c:pt idx="2">
                  <c:v>-10.45</c:v>
                </c:pt>
                <c:pt idx="3">
                  <c:v>-10.75</c:v>
                </c:pt>
                <c:pt idx="4">
                  <c:v>-10.93</c:v>
                </c:pt>
                <c:pt idx="5">
                  <c:v>-11</c:v>
                </c:pt>
                <c:pt idx="6">
                  <c:v>-11</c:v>
                </c:pt>
                <c:pt idx="7">
                  <c:v>-11</c:v>
                </c:pt>
                <c:pt idx="8">
                  <c:v>-11</c:v>
                </c:pt>
                <c:pt idx="9">
                  <c:v>-11</c:v>
                </c:pt>
                <c:pt idx="10">
                  <c:v>-11</c:v>
                </c:pt>
                <c:pt idx="11">
                  <c:v>-11</c:v>
                </c:pt>
                <c:pt idx="12">
                  <c:v>-11</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xVal>
          <c:yVal>
            <c:numRef>
              <c:f>Tools!$EL$109:$FK$109</c:f>
              <c:numCache>
                <c:formatCode>General</c:formatCode>
                <c:ptCount val="26"/>
                <c:pt idx="0">
                  <c:v>#N/A</c:v>
                </c:pt>
                <c:pt idx="1">
                  <c:v>0</c:v>
                </c:pt>
                <c:pt idx="2">
                  <c:v>0.5</c:v>
                </c:pt>
                <c:pt idx="3">
                  <c:v>1</c:v>
                </c:pt>
                <c:pt idx="4">
                  <c:v>1.5</c:v>
                </c:pt>
                <c:pt idx="5">
                  <c:v>2</c:v>
                </c:pt>
                <c:pt idx="6">
                  <c:v>4</c:v>
                </c:pt>
                <c:pt idx="7">
                  <c:v>6</c:v>
                </c:pt>
                <c:pt idx="8">
                  <c:v>8</c:v>
                </c:pt>
                <c:pt idx="9">
                  <c:v>9.6999999999999993</c:v>
                </c:pt>
                <c:pt idx="10">
                  <c:v>10</c:v>
                </c:pt>
                <c:pt idx="11">
                  <c:v>12</c:v>
                </c:pt>
                <c:pt idx="12">
                  <c:v>13</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yVal>
          <c:smooth val="1"/>
        </c:ser>
        <c:ser>
          <c:idx val="12"/>
          <c:order val="12"/>
          <c:tx>
            <c:strRef>
              <c:f>Tools!$DC$74</c:f>
              <c:strCache>
                <c:ptCount val="1"/>
                <c:pt idx="0">
                  <c:v>STN 10</c:v>
                </c:pt>
              </c:strCache>
            </c:strRef>
          </c:tx>
          <c:spPr>
            <a:ln w="3175"/>
          </c:spPr>
          <c:marker>
            <c:symbol val="none"/>
          </c:marker>
          <c:xVal>
            <c:numRef>
              <c:f>Tools!$DJ$110:$EI$110</c:f>
              <c:numCache>
                <c:formatCode>General</c:formatCode>
                <c:ptCount val="26"/>
                <c:pt idx="0">
                  <c:v>#N/A</c:v>
                </c:pt>
                <c:pt idx="1">
                  <c:v>-9.6999999999999993</c:v>
                </c:pt>
                <c:pt idx="2">
                  <c:v>-10.45</c:v>
                </c:pt>
                <c:pt idx="3">
                  <c:v>-10.75</c:v>
                </c:pt>
                <c:pt idx="4">
                  <c:v>-10.93</c:v>
                </c:pt>
                <c:pt idx="5">
                  <c:v>-11</c:v>
                </c:pt>
                <c:pt idx="6">
                  <c:v>-11</c:v>
                </c:pt>
                <c:pt idx="7">
                  <c:v>-11</c:v>
                </c:pt>
                <c:pt idx="8">
                  <c:v>-11</c:v>
                </c:pt>
                <c:pt idx="9">
                  <c:v>-11</c:v>
                </c:pt>
                <c:pt idx="10">
                  <c:v>-11</c:v>
                </c:pt>
                <c:pt idx="11">
                  <c:v>-11</c:v>
                </c:pt>
                <c:pt idx="12">
                  <c:v>-11</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xVal>
          <c:yVal>
            <c:numRef>
              <c:f>Tools!$EL$110:$FK$110</c:f>
              <c:numCache>
                <c:formatCode>General</c:formatCode>
                <c:ptCount val="26"/>
                <c:pt idx="0">
                  <c:v>#N/A</c:v>
                </c:pt>
                <c:pt idx="1">
                  <c:v>0</c:v>
                </c:pt>
                <c:pt idx="2">
                  <c:v>0.5</c:v>
                </c:pt>
                <c:pt idx="3">
                  <c:v>1</c:v>
                </c:pt>
                <c:pt idx="4">
                  <c:v>1.5</c:v>
                </c:pt>
                <c:pt idx="5">
                  <c:v>2</c:v>
                </c:pt>
                <c:pt idx="6">
                  <c:v>4</c:v>
                </c:pt>
                <c:pt idx="7">
                  <c:v>6</c:v>
                </c:pt>
                <c:pt idx="8">
                  <c:v>8</c:v>
                </c:pt>
                <c:pt idx="9">
                  <c:v>9.6999999999999993</c:v>
                </c:pt>
                <c:pt idx="10">
                  <c:v>10</c:v>
                </c:pt>
                <c:pt idx="11">
                  <c:v>12</c:v>
                </c:pt>
                <c:pt idx="12">
                  <c:v>13</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yVal>
          <c:smooth val="1"/>
        </c:ser>
        <c:ser>
          <c:idx val="13"/>
          <c:order val="13"/>
          <c:tx>
            <c:strRef>
              <c:f>Tools!$DC$75</c:f>
              <c:strCache>
                <c:ptCount val="1"/>
                <c:pt idx="0">
                  <c:v>STN 11</c:v>
                </c:pt>
              </c:strCache>
            </c:strRef>
          </c:tx>
          <c:spPr>
            <a:ln w="3175"/>
          </c:spPr>
          <c:marker>
            <c:symbol val="none"/>
          </c:marker>
          <c:xVal>
            <c:numRef>
              <c:f>Tools!$DJ$111:$EI$111</c:f>
              <c:numCache>
                <c:formatCode>General</c:formatCode>
                <c:ptCount val="26"/>
                <c:pt idx="0">
                  <c:v>#N/A</c:v>
                </c:pt>
                <c:pt idx="1">
                  <c:v>9.6999999999999993</c:v>
                </c:pt>
                <c:pt idx="2">
                  <c:v>10.45</c:v>
                </c:pt>
                <c:pt idx="3">
                  <c:v>10.75</c:v>
                </c:pt>
                <c:pt idx="4">
                  <c:v>10.93</c:v>
                </c:pt>
                <c:pt idx="5">
                  <c:v>11</c:v>
                </c:pt>
                <c:pt idx="6">
                  <c:v>11</c:v>
                </c:pt>
                <c:pt idx="7">
                  <c:v>11</c:v>
                </c:pt>
                <c:pt idx="8">
                  <c:v>11</c:v>
                </c:pt>
                <c:pt idx="9">
                  <c:v>11</c:v>
                </c:pt>
                <c:pt idx="10">
                  <c:v>11</c:v>
                </c:pt>
                <c:pt idx="11">
                  <c:v>11</c:v>
                </c:pt>
                <c:pt idx="12">
                  <c:v>11</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xVal>
          <c:yVal>
            <c:numRef>
              <c:f>Tools!$EL$111:$FK$111</c:f>
              <c:numCache>
                <c:formatCode>General</c:formatCode>
                <c:ptCount val="26"/>
                <c:pt idx="0">
                  <c:v>#N/A</c:v>
                </c:pt>
                <c:pt idx="1">
                  <c:v>0</c:v>
                </c:pt>
                <c:pt idx="2">
                  <c:v>0.5</c:v>
                </c:pt>
                <c:pt idx="3">
                  <c:v>1</c:v>
                </c:pt>
                <c:pt idx="4">
                  <c:v>1.5</c:v>
                </c:pt>
                <c:pt idx="5">
                  <c:v>2</c:v>
                </c:pt>
                <c:pt idx="6">
                  <c:v>4</c:v>
                </c:pt>
                <c:pt idx="7">
                  <c:v>6</c:v>
                </c:pt>
                <c:pt idx="8">
                  <c:v>8</c:v>
                </c:pt>
                <c:pt idx="9">
                  <c:v>9.6999999999999993</c:v>
                </c:pt>
                <c:pt idx="10">
                  <c:v>10</c:v>
                </c:pt>
                <c:pt idx="11">
                  <c:v>12</c:v>
                </c:pt>
                <c:pt idx="12">
                  <c:v>13</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yVal>
          <c:smooth val="1"/>
        </c:ser>
        <c:ser>
          <c:idx val="14"/>
          <c:order val="14"/>
          <c:tx>
            <c:strRef>
              <c:f>Tools!$DC$76</c:f>
              <c:strCache>
                <c:ptCount val="1"/>
                <c:pt idx="0">
                  <c:v>STN 12</c:v>
                </c:pt>
              </c:strCache>
            </c:strRef>
          </c:tx>
          <c:spPr>
            <a:ln w="3175"/>
          </c:spPr>
          <c:marker>
            <c:symbol val="none"/>
          </c:marker>
          <c:xVal>
            <c:numRef>
              <c:f>Tools!$DJ$112:$EI$112</c:f>
              <c:numCache>
                <c:formatCode>General</c:formatCode>
                <c:ptCount val="26"/>
                <c:pt idx="0">
                  <c:v>#N/A</c:v>
                </c:pt>
                <c:pt idx="1">
                  <c:v>9.6999999999999993</c:v>
                </c:pt>
                <c:pt idx="2">
                  <c:v>10.45</c:v>
                </c:pt>
                <c:pt idx="3">
                  <c:v>10.75</c:v>
                </c:pt>
                <c:pt idx="4">
                  <c:v>10.93</c:v>
                </c:pt>
                <c:pt idx="5">
                  <c:v>11</c:v>
                </c:pt>
                <c:pt idx="6">
                  <c:v>11</c:v>
                </c:pt>
                <c:pt idx="7">
                  <c:v>11</c:v>
                </c:pt>
                <c:pt idx="8">
                  <c:v>11</c:v>
                </c:pt>
                <c:pt idx="9">
                  <c:v>11</c:v>
                </c:pt>
                <c:pt idx="10">
                  <c:v>11</c:v>
                </c:pt>
                <c:pt idx="11">
                  <c:v>11</c:v>
                </c:pt>
                <c:pt idx="12">
                  <c:v>11</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xVal>
          <c:yVal>
            <c:numRef>
              <c:f>Tools!$EL$112:$FK$112</c:f>
              <c:numCache>
                <c:formatCode>General</c:formatCode>
                <c:ptCount val="26"/>
                <c:pt idx="0">
                  <c:v>#N/A</c:v>
                </c:pt>
                <c:pt idx="1">
                  <c:v>0</c:v>
                </c:pt>
                <c:pt idx="2">
                  <c:v>0.5</c:v>
                </c:pt>
                <c:pt idx="3">
                  <c:v>1</c:v>
                </c:pt>
                <c:pt idx="4">
                  <c:v>1.5</c:v>
                </c:pt>
                <c:pt idx="5">
                  <c:v>2</c:v>
                </c:pt>
                <c:pt idx="6">
                  <c:v>4</c:v>
                </c:pt>
                <c:pt idx="7">
                  <c:v>6</c:v>
                </c:pt>
                <c:pt idx="8">
                  <c:v>8</c:v>
                </c:pt>
                <c:pt idx="9">
                  <c:v>9.6999999999999993</c:v>
                </c:pt>
                <c:pt idx="10">
                  <c:v>10</c:v>
                </c:pt>
                <c:pt idx="11">
                  <c:v>12</c:v>
                </c:pt>
                <c:pt idx="12">
                  <c:v>13</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yVal>
          <c:smooth val="1"/>
        </c:ser>
        <c:ser>
          <c:idx val="15"/>
          <c:order val="15"/>
          <c:tx>
            <c:strRef>
              <c:f>Tools!$DC$77</c:f>
              <c:strCache>
                <c:ptCount val="1"/>
                <c:pt idx="0">
                  <c:v>STN 13</c:v>
                </c:pt>
              </c:strCache>
            </c:strRef>
          </c:tx>
          <c:spPr>
            <a:ln w="3175">
              <a:solidFill>
                <a:schemeClr val="tx2">
                  <a:lumMod val="60000"/>
                  <a:lumOff val="40000"/>
                </a:schemeClr>
              </a:solidFill>
            </a:ln>
          </c:spPr>
          <c:marker>
            <c:symbol val="none"/>
          </c:marker>
          <c:xVal>
            <c:numRef>
              <c:f>Tools!$DJ$113:$EI$113</c:f>
              <c:numCache>
                <c:formatCode>General</c:formatCode>
                <c:ptCount val="26"/>
                <c:pt idx="0">
                  <c:v>#N/A</c:v>
                </c:pt>
                <c:pt idx="1">
                  <c:v>9.6999999999999993</c:v>
                </c:pt>
                <c:pt idx="2">
                  <c:v>10.45</c:v>
                </c:pt>
                <c:pt idx="3">
                  <c:v>10.75</c:v>
                </c:pt>
                <c:pt idx="4">
                  <c:v>10.93</c:v>
                </c:pt>
                <c:pt idx="5">
                  <c:v>11</c:v>
                </c:pt>
                <c:pt idx="6">
                  <c:v>11</c:v>
                </c:pt>
                <c:pt idx="7">
                  <c:v>11</c:v>
                </c:pt>
                <c:pt idx="8">
                  <c:v>11</c:v>
                </c:pt>
                <c:pt idx="9">
                  <c:v>11</c:v>
                </c:pt>
                <c:pt idx="10">
                  <c:v>11</c:v>
                </c:pt>
                <c:pt idx="11">
                  <c:v>11</c:v>
                </c:pt>
                <c:pt idx="12">
                  <c:v>11</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xVal>
          <c:yVal>
            <c:numRef>
              <c:f>Tools!$EL$113:$FK$113</c:f>
              <c:numCache>
                <c:formatCode>General</c:formatCode>
                <c:ptCount val="26"/>
                <c:pt idx="0">
                  <c:v>#N/A</c:v>
                </c:pt>
                <c:pt idx="1">
                  <c:v>0</c:v>
                </c:pt>
                <c:pt idx="2">
                  <c:v>0.5</c:v>
                </c:pt>
                <c:pt idx="3">
                  <c:v>1</c:v>
                </c:pt>
                <c:pt idx="4">
                  <c:v>1.5</c:v>
                </c:pt>
                <c:pt idx="5">
                  <c:v>2</c:v>
                </c:pt>
                <c:pt idx="6">
                  <c:v>4</c:v>
                </c:pt>
                <c:pt idx="7">
                  <c:v>6</c:v>
                </c:pt>
                <c:pt idx="8">
                  <c:v>8</c:v>
                </c:pt>
                <c:pt idx="9">
                  <c:v>9.6999999999999993</c:v>
                </c:pt>
                <c:pt idx="10">
                  <c:v>10</c:v>
                </c:pt>
                <c:pt idx="11">
                  <c:v>12</c:v>
                </c:pt>
                <c:pt idx="12">
                  <c:v>13</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yVal>
          <c:smooth val="1"/>
        </c:ser>
        <c:ser>
          <c:idx val="16"/>
          <c:order val="16"/>
          <c:tx>
            <c:strRef>
              <c:f>Tools!$DC$78</c:f>
              <c:strCache>
                <c:ptCount val="1"/>
                <c:pt idx="0">
                  <c:v>STN 14</c:v>
                </c:pt>
              </c:strCache>
            </c:strRef>
          </c:tx>
          <c:spPr>
            <a:ln w="3175">
              <a:solidFill>
                <a:schemeClr val="accent4">
                  <a:lumMod val="75000"/>
                </a:schemeClr>
              </a:solidFill>
            </a:ln>
          </c:spPr>
          <c:marker>
            <c:symbol val="none"/>
          </c:marker>
          <c:xVal>
            <c:numRef>
              <c:f>Tools!$DJ$114:$EI$114</c:f>
              <c:numCache>
                <c:formatCode>General</c:formatCode>
                <c:ptCount val="26"/>
                <c:pt idx="0">
                  <c:v>#N/A</c:v>
                </c:pt>
                <c:pt idx="1">
                  <c:v>9.5</c:v>
                </c:pt>
                <c:pt idx="2">
                  <c:v>10.32</c:v>
                </c:pt>
                <c:pt idx="3">
                  <c:v>10.66</c:v>
                </c:pt>
                <c:pt idx="4">
                  <c:v>10.87</c:v>
                </c:pt>
                <c:pt idx="5">
                  <c:v>11</c:v>
                </c:pt>
                <c:pt idx="6">
                  <c:v>11</c:v>
                </c:pt>
                <c:pt idx="7">
                  <c:v>11</c:v>
                </c:pt>
                <c:pt idx="8">
                  <c:v>11</c:v>
                </c:pt>
                <c:pt idx="9">
                  <c:v>11</c:v>
                </c:pt>
                <c:pt idx="10">
                  <c:v>11</c:v>
                </c:pt>
                <c:pt idx="11">
                  <c:v>11</c:v>
                </c:pt>
                <c:pt idx="12">
                  <c:v>11</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xVal>
          <c:yVal>
            <c:numRef>
              <c:f>Tools!$EL$114:$FK$114</c:f>
              <c:numCache>
                <c:formatCode>General</c:formatCode>
                <c:ptCount val="26"/>
                <c:pt idx="0">
                  <c:v>#N/A</c:v>
                </c:pt>
                <c:pt idx="1">
                  <c:v>0</c:v>
                </c:pt>
                <c:pt idx="2">
                  <c:v>0.5</c:v>
                </c:pt>
                <c:pt idx="3">
                  <c:v>1</c:v>
                </c:pt>
                <c:pt idx="4">
                  <c:v>1.5</c:v>
                </c:pt>
                <c:pt idx="5">
                  <c:v>2</c:v>
                </c:pt>
                <c:pt idx="6">
                  <c:v>4</c:v>
                </c:pt>
                <c:pt idx="7">
                  <c:v>6</c:v>
                </c:pt>
                <c:pt idx="8">
                  <c:v>8</c:v>
                </c:pt>
                <c:pt idx="9">
                  <c:v>9.6999999999999993</c:v>
                </c:pt>
                <c:pt idx="10">
                  <c:v>10</c:v>
                </c:pt>
                <c:pt idx="11">
                  <c:v>12</c:v>
                </c:pt>
                <c:pt idx="12">
                  <c:v>13</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yVal>
          <c:smooth val="1"/>
        </c:ser>
        <c:ser>
          <c:idx val="17"/>
          <c:order val="17"/>
          <c:tx>
            <c:strRef>
              <c:f>Tools!$DC$79</c:f>
              <c:strCache>
                <c:ptCount val="1"/>
                <c:pt idx="0">
                  <c:v>STN 15</c:v>
                </c:pt>
              </c:strCache>
            </c:strRef>
          </c:tx>
          <c:spPr>
            <a:ln w="3175">
              <a:solidFill>
                <a:schemeClr val="accent6">
                  <a:lumMod val="75000"/>
                </a:schemeClr>
              </a:solidFill>
            </a:ln>
          </c:spPr>
          <c:marker>
            <c:symbol val="none"/>
          </c:marker>
          <c:xVal>
            <c:numRef>
              <c:f>Tools!$DJ$115:$EI$115</c:f>
              <c:numCache>
                <c:formatCode>General</c:formatCode>
                <c:ptCount val="26"/>
                <c:pt idx="0">
                  <c:v>#N/A</c:v>
                </c:pt>
                <c:pt idx="1">
                  <c:v>8.9</c:v>
                </c:pt>
                <c:pt idx="2">
                  <c:v>9.76</c:v>
                </c:pt>
                <c:pt idx="3">
                  <c:v>10.199999999999999</c:v>
                </c:pt>
                <c:pt idx="4">
                  <c:v>10.5</c:v>
                </c:pt>
                <c:pt idx="5">
                  <c:v>10.7</c:v>
                </c:pt>
                <c:pt idx="6">
                  <c:v>11</c:v>
                </c:pt>
                <c:pt idx="7">
                  <c:v>11</c:v>
                </c:pt>
                <c:pt idx="8">
                  <c:v>11</c:v>
                </c:pt>
                <c:pt idx="9">
                  <c:v>11</c:v>
                </c:pt>
                <c:pt idx="10">
                  <c:v>11</c:v>
                </c:pt>
                <c:pt idx="11">
                  <c:v>11</c:v>
                </c:pt>
                <c:pt idx="12">
                  <c:v>11</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xVal>
          <c:yVal>
            <c:numRef>
              <c:f>Tools!$EL$115:$FK$115</c:f>
              <c:numCache>
                <c:formatCode>General</c:formatCode>
                <c:ptCount val="26"/>
                <c:pt idx="0">
                  <c:v>#N/A</c:v>
                </c:pt>
                <c:pt idx="1">
                  <c:v>0</c:v>
                </c:pt>
                <c:pt idx="2">
                  <c:v>0.5</c:v>
                </c:pt>
                <c:pt idx="3">
                  <c:v>1</c:v>
                </c:pt>
                <c:pt idx="4">
                  <c:v>1.5</c:v>
                </c:pt>
                <c:pt idx="5">
                  <c:v>2</c:v>
                </c:pt>
                <c:pt idx="6">
                  <c:v>4</c:v>
                </c:pt>
                <c:pt idx="7">
                  <c:v>6</c:v>
                </c:pt>
                <c:pt idx="8">
                  <c:v>8</c:v>
                </c:pt>
                <c:pt idx="9">
                  <c:v>9.6999999999999993</c:v>
                </c:pt>
                <c:pt idx="10">
                  <c:v>10</c:v>
                </c:pt>
                <c:pt idx="11">
                  <c:v>12</c:v>
                </c:pt>
                <c:pt idx="12">
                  <c:v>13</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yVal>
          <c:smooth val="1"/>
        </c:ser>
        <c:ser>
          <c:idx val="18"/>
          <c:order val="18"/>
          <c:tx>
            <c:strRef>
              <c:f>Tools!$DC$80</c:f>
              <c:strCache>
                <c:ptCount val="1"/>
                <c:pt idx="0">
                  <c:v>STN 16</c:v>
                </c:pt>
              </c:strCache>
            </c:strRef>
          </c:tx>
          <c:spPr>
            <a:ln w="3175">
              <a:solidFill>
                <a:srgbClr val="FF0000"/>
              </a:solidFill>
            </a:ln>
          </c:spPr>
          <c:marker>
            <c:symbol val="none"/>
          </c:marker>
          <c:xVal>
            <c:numRef>
              <c:f>Tools!$DJ$116:$EI$116</c:f>
              <c:numCache>
                <c:formatCode>General</c:formatCode>
                <c:ptCount val="26"/>
                <c:pt idx="0">
                  <c:v>#N/A</c:v>
                </c:pt>
                <c:pt idx="1">
                  <c:v>7.6</c:v>
                </c:pt>
                <c:pt idx="2">
                  <c:v>8.64</c:v>
                </c:pt>
                <c:pt idx="3">
                  <c:v>9.27</c:v>
                </c:pt>
                <c:pt idx="4">
                  <c:v>9.66</c:v>
                </c:pt>
                <c:pt idx="5">
                  <c:v>9.91</c:v>
                </c:pt>
                <c:pt idx="6">
                  <c:v>10.5</c:v>
                </c:pt>
                <c:pt idx="7">
                  <c:v>10.7</c:v>
                </c:pt>
                <c:pt idx="8">
                  <c:v>10.8</c:v>
                </c:pt>
                <c:pt idx="9">
                  <c:v>10.89</c:v>
                </c:pt>
                <c:pt idx="10">
                  <c:v>10.9</c:v>
                </c:pt>
                <c:pt idx="11">
                  <c:v>11</c:v>
                </c:pt>
                <c:pt idx="12">
                  <c:v>11</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xVal>
          <c:yVal>
            <c:numRef>
              <c:f>Tools!$EL$116:$FK$116</c:f>
              <c:numCache>
                <c:formatCode>General</c:formatCode>
                <c:ptCount val="26"/>
                <c:pt idx="0">
                  <c:v>#N/A</c:v>
                </c:pt>
                <c:pt idx="1">
                  <c:v>0</c:v>
                </c:pt>
                <c:pt idx="2">
                  <c:v>0.5</c:v>
                </c:pt>
                <c:pt idx="3">
                  <c:v>1</c:v>
                </c:pt>
                <c:pt idx="4">
                  <c:v>1.5</c:v>
                </c:pt>
                <c:pt idx="5">
                  <c:v>2</c:v>
                </c:pt>
                <c:pt idx="6">
                  <c:v>4</c:v>
                </c:pt>
                <c:pt idx="7">
                  <c:v>6</c:v>
                </c:pt>
                <c:pt idx="8">
                  <c:v>8</c:v>
                </c:pt>
                <c:pt idx="9">
                  <c:v>9.6999999999999993</c:v>
                </c:pt>
                <c:pt idx="10">
                  <c:v>10</c:v>
                </c:pt>
                <c:pt idx="11">
                  <c:v>12</c:v>
                </c:pt>
                <c:pt idx="12">
                  <c:v>13</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yVal>
          <c:smooth val="1"/>
        </c:ser>
        <c:ser>
          <c:idx val="19"/>
          <c:order val="19"/>
          <c:tx>
            <c:strRef>
              <c:f>Tools!$DC$81</c:f>
              <c:strCache>
                <c:ptCount val="1"/>
                <c:pt idx="0">
                  <c:v>STN 17</c:v>
                </c:pt>
              </c:strCache>
            </c:strRef>
          </c:tx>
          <c:spPr>
            <a:ln w="3175">
              <a:solidFill>
                <a:schemeClr val="tx1"/>
              </a:solidFill>
            </a:ln>
          </c:spPr>
          <c:marker>
            <c:symbol val="none"/>
          </c:marker>
          <c:xVal>
            <c:numRef>
              <c:f>Tools!$DJ$117:$EI$117</c:f>
              <c:numCache>
                <c:formatCode>General</c:formatCode>
                <c:ptCount val="26"/>
                <c:pt idx="0">
                  <c:v>#N/A</c:v>
                </c:pt>
                <c:pt idx="1">
                  <c:v>5.6</c:v>
                </c:pt>
                <c:pt idx="2">
                  <c:v>6.89</c:v>
                </c:pt>
                <c:pt idx="3">
                  <c:v>7.56</c:v>
                </c:pt>
                <c:pt idx="4">
                  <c:v>8.0399999999999991</c:v>
                </c:pt>
                <c:pt idx="5">
                  <c:v>8.42</c:v>
                </c:pt>
                <c:pt idx="6">
                  <c:v>9.32</c:v>
                </c:pt>
                <c:pt idx="7">
                  <c:v>9.69</c:v>
                </c:pt>
                <c:pt idx="8">
                  <c:v>9.99</c:v>
                </c:pt>
                <c:pt idx="9">
                  <c:v>10.23</c:v>
                </c:pt>
                <c:pt idx="10">
                  <c:v>10.27</c:v>
                </c:pt>
                <c:pt idx="11">
                  <c:v>10.5</c:v>
                </c:pt>
                <c:pt idx="12">
                  <c:v>10.62</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xVal>
          <c:yVal>
            <c:numRef>
              <c:f>Tools!$EL$117:$FK$117</c:f>
              <c:numCache>
                <c:formatCode>General</c:formatCode>
                <c:ptCount val="26"/>
                <c:pt idx="0">
                  <c:v>#N/A</c:v>
                </c:pt>
                <c:pt idx="1">
                  <c:v>0</c:v>
                </c:pt>
                <c:pt idx="2">
                  <c:v>0.5</c:v>
                </c:pt>
                <c:pt idx="3">
                  <c:v>1</c:v>
                </c:pt>
                <c:pt idx="4">
                  <c:v>1.5</c:v>
                </c:pt>
                <c:pt idx="5">
                  <c:v>2</c:v>
                </c:pt>
                <c:pt idx="6">
                  <c:v>4</c:v>
                </c:pt>
                <c:pt idx="7">
                  <c:v>6</c:v>
                </c:pt>
                <c:pt idx="8">
                  <c:v>8</c:v>
                </c:pt>
                <c:pt idx="9">
                  <c:v>9.6999999999999993</c:v>
                </c:pt>
                <c:pt idx="10">
                  <c:v>10</c:v>
                </c:pt>
                <c:pt idx="11">
                  <c:v>12</c:v>
                </c:pt>
                <c:pt idx="12">
                  <c:v>13</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yVal>
          <c:smooth val="1"/>
        </c:ser>
        <c:ser>
          <c:idx val="20"/>
          <c:order val="20"/>
          <c:tx>
            <c:strRef>
              <c:f>Tools!$DC$82</c:f>
              <c:strCache>
                <c:ptCount val="1"/>
                <c:pt idx="0">
                  <c:v>STN 18</c:v>
                </c:pt>
              </c:strCache>
            </c:strRef>
          </c:tx>
          <c:spPr>
            <a:ln w="3175">
              <a:solidFill>
                <a:srgbClr val="FF00FF"/>
              </a:solidFill>
            </a:ln>
          </c:spPr>
          <c:marker>
            <c:symbol val="none"/>
          </c:marker>
          <c:xVal>
            <c:numRef>
              <c:f>Tools!$DJ$118:$EI$118</c:f>
              <c:numCache>
                <c:formatCode>General</c:formatCode>
                <c:ptCount val="26"/>
                <c:pt idx="0">
                  <c:v>#N/A</c:v>
                </c:pt>
                <c:pt idx="1">
                  <c:v>3.5</c:v>
                </c:pt>
                <c:pt idx="2">
                  <c:v>4.6500000000000004</c:v>
                </c:pt>
                <c:pt idx="3">
                  <c:v>5.35</c:v>
                </c:pt>
                <c:pt idx="4">
                  <c:v>5.87</c:v>
                </c:pt>
                <c:pt idx="5">
                  <c:v>6.21</c:v>
                </c:pt>
                <c:pt idx="6">
                  <c:v>7.08</c:v>
                </c:pt>
                <c:pt idx="7">
                  <c:v>7.57</c:v>
                </c:pt>
                <c:pt idx="8">
                  <c:v>7.9291999999999998</c:v>
                </c:pt>
                <c:pt idx="9">
                  <c:v>8.3511000000000006</c:v>
                </c:pt>
                <c:pt idx="10">
                  <c:v>8.43</c:v>
                </c:pt>
                <c:pt idx="11">
                  <c:v>8.92</c:v>
                </c:pt>
                <c:pt idx="12">
                  <c:v>9.16</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xVal>
          <c:yVal>
            <c:numRef>
              <c:f>Tools!$EL$118:$FK$118</c:f>
              <c:numCache>
                <c:formatCode>General</c:formatCode>
                <c:ptCount val="26"/>
                <c:pt idx="0">
                  <c:v>#N/A</c:v>
                </c:pt>
                <c:pt idx="1">
                  <c:v>0</c:v>
                </c:pt>
                <c:pt idx="2">
                  <c:v>0.5</c:v>
                </c:pt>
                <c:pt idx="3">
                  <c:v>1</c:v>
                </c:pt>
                <c:pt idx="4">
                  <c:v>1.5</c:v>
                </c:pt>
                <c:pt idx="5">
                  <c:v>2</c:v>
                </c:pt>
                <c:pt idx="6">
                  <c:v>4</c:v>
                </c:pt>
                <c:pt idx="7">
                  <c:v>6</c:v>
                </c:pt>
                <c:pt idx="8">
                  <c:v>8</c:v>
                </c:pt>
                <c:pt idx="9">
                  <c:v>9.6999999999999993</c:v>
                </c:pt>
                <c:pt idx="10">
                  <c:v>10</c:v>
                </c:pt>
                <c:pt idx="11">
                  <c:v>12</c:v>
                </c:pt>
                <c:pt idx="12">
                  <c:v>13</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yVal>
          <c:smooth val="1"/>
        </c:ser>
        <c:ser>
          <c:idx val="21"/>
          <c:order val="21"/>
          <c:tx>
            <c:strRef>
              <c:f>Tools!$DC$83</c:f>
              <c:strCache>
                <c:ptCount val="1"/>
                <c:pt idx="0">
                  <c:v>STN 18.5</c:v>
                </c:pt>
              </c:strCache>
            </c:strRef>
          </c:tx>
          <c:spPr>
            <a:ln w="3175">
              <a:solidFill>
                <a:schemeClr val="accent3">
                  <a:lumMod val="50000"/>
                </a:schemeClr>
              </a:solidFill>
            </a:ln>
          </c:spPr>
          <c:marker>
            <c:symbol val="none"/>
          </c:marker>
          <c:xVal>
            <c:numRef>
              <c:f>Tools!$DJ$119:$EI$119</c:f>
              <c:numCache>
                <c:formatCode>General</c:formatCode>
                <c:ptCount val="26"/>
                <c:pt idx="0">
                  <c:v>#N/A</c:v>
                </c:pt>
                <c:pt idx="1">
                  <c:v>2.2999999999999998</c:v>
                </c:pt>
                <c:pt idx="2">
                  <c:v>3.43</c:v>
                </c:pt>
                <c:pt idx="3">
                  <c:v>4.13</c:v>
                </c:pt>
                <c:pt idx="4">
                  <c:v>4.58</c:v>
                </c:pt>
                <c:pt idx="5">
                  <c:v>4.91</c:v>
                </c:pt>
                <c:pt idx="6">
                  <c:v>5.63</c:v>
                </c:pt>
                <c:pt idx="7">
                  <c:v>6.05</c:v>
                </c:pt>
                <c:pt idx="8">
                  <c:v>6.39</c:v>
                </c:pt>
                <c:pt idx="9">
                  <c:v>6.82</c:v>
                </c:pt>
                <c:pt idx="10">
                  <c:v>6.91</c:v>
                </c:pt>
                <c:pt idx="11">
                  <c:v>7.5</c:v>
                </c:pt>
                <c:pt idx="12">
                  <c:v>7.8</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xVal>
          <c:yVal>
            <c:numRef>
              <c:f>Tools!$EL$119:$FK$119</c:f>
              <c:numCache>
                <c:formatCode>General</c:formatCode>
                <c:ptCount val="26"/>
                <c:pt idx="0">
                  <c:v>#N/A</c:v>
                </c:pt>
                <c:pt idx="1">
                  <c:v>0</c:v>
                </c:pt>
                <c:pt idx="2">
                  <c:v>0.5</c:v>
                </c:pt>
                <c:pt idx="3">
                  <c:v>1</c:v>
                </c:pt>
                <c:pt idx="4">
                  <c:v>1.5</c:v>
                </c:pt>
                <c:pt idx="5">
                  <c:v>2</c:v>
                </c:pt>
                <c:pt idx="6">
                  <c:v>4</c:v>
                </c:pt>
                <c:pt idx="7">
                  <c:v>6</c:v>
                </c:pt>
                <c:pt idx="8">
                  <c:v>8</c:v>
                </c:pt>
                <c:pt idx="9">
                  <c:v>9.6999999999999993</c:v>
                </c:pt>
                <c:pt idx="10">
                  <c:v>10</c:v>
                </c:pt>
                <c:pt idx="11">
                  <c:v>12</c:v>
                </c:pt>
                <c:pt idx="12">
                  <c:v>13</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yVal>
          <c:smooth val="1"/>
        </c:ser>
        <c:ser>
          <c:idx val="22"/>
          <c:order val="22"/>
          <c:tx>
            <c:strRef>
              <c:f>Tools!$DC$84</c:f>
              <c:strCache>
                <c:ptCount val="1"/>
                <c:pt idx="0">
                  <c:v>STN 19</c:v>
                </c:pt>
              </c:strCache>
            </c:strRef>
          </c:tx>
          <c:spPr>
            <a:ln w="3175">
              <a:solidFill>
                <a:srgbClr val="C00000"/>
              </a:solidFill>
            </a:ln>
          </c:spPr>
          <c:marker>
            <c:symbol val="none"/>
          </c:marker>
          <c:xVal>
            <c:numRef>
              <c:f>Tools!$DJ$120:$EI$120</c:f>
              <c:numCache>
                <c:formatCode>General</c:formatCode>
                <c:ptCount val="26"/>
                <c:pt idx="0">
                  <c:v>#N/A</c:v>
                </c:pt>
                <c:pt idx="1">
                  <c:v>1.3</c:v>
                </c:pt>
                <c:pt idx="2">
                  <c:v>2.2999999999999998</c:v>
                </c:pt>
                <c:pt idx="3">
                  <c:v>2.84</c:v>
                </c:pt>
                <c:pt idx="4">
                  <c:v>3.25</c:v>
                </c:pt>
                <c:pt idx="5">
                  <c:v>3.53</c:v>
                </c:pt>
                <c:pt idx="6">
                  <c:v>4.1100000000000003</c:v>
                </c:pt>
                <c:pt idx="7">
                  <c:v>4.2300000000000004</c:v>
                </c:pt>
                <c:pt idx="8">
                  <c:v>4.47</c:v>
                </c:pt>
                <c:pt idx="9">
                  <c:v>4.87</c:v>
                </c:pt>
                <c:pt idx="10">
                  <c:v>4.9399999999999995</c:v>
                </c:pt>
                <c:pt idx="11">
                  <c:v>5.59</c:v>
                </c:pt>
                <c:pt idx="12">
                  <c:v>5.94</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xVal>
          <c:yVal>
            <c:numRef>
              <c:f>Tools!$EL$120:$FK$120</c:f>
              <c:numCache>
                <c:formatCode>General</c:formatCode>
                <c:ptCount val="26"/>
                <c:pt idx="0">
                  <c:v>#N/A</c:v>
                </c:pt>
                <c:pt idx="1">
                  <c:v>0</c:v>
                </c:pt>
                <c:pt idx="2">
                  <c:v>0.5</c:v>
                </c:pt>
                <c:pt idx="3">
                  <c:v>1</c:v>
                </c:pt>
                <c:pt idx="4">
                  <c:v>1.5</c:v>
                </c:pt>
                <c:pt idx="5">
                  <c:v>2</c:v>
                </c:pt>
                <c:pt idx="6">
                  <c:v>4</c:v>
                </c:pt>
                <c:pt idx="7">
                  <c:v>6</c:v>
                </c:pt>
                <c:pt idx="8">
                  <c:v>8</c:v>
                </c:pt>
                <c:pt idx="9">
                  <c:v>9.6999999999999993</c:v>
                </c:pt>
                <c:pt idx="10">
                  <c:v>10</c:v>
                </c:pt>
                <c:pt idx="11">
                  <c:v>12</c:v>
                </c:pt>
                <c:pt idx="12">
                  <c:v>13</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yVal>
          <c:smooth val="1"/>
        </c:ser>
        <c:ser>
          <c:idx val="23"/>
          <c:order val="23"/>
          <c:tx>
            <c:strRef>
              <c:f>Tools!$DC$85</c:f>
              <c:strCache>
                <c:ptCount val="1"/>
                <c:pt idx="0">
                  <c:v>STN 19.5</c:v>
                </c:pt>
              </c:strCache>
            </c:strRef>
          </c:tx>
          <c:spPr>
            <a:ln w="3175">
              <a:solidFill>
                <a:schemeClr val="tx2">
                  <a:lumMod val="75000"/>
                </a:schemeClr>
              </a:solidFill>
            </a:ln>
          </c:spPr>
          <c:marker>
            <c:symbol val="none"/>
          </c:marker>
          <c:xVal>
            <c:numRef>
              <c:f>Tools!$DJ$121:$EI$121</c:f>
              <c:numCache>
                <c:formatCode>General</c:formatCode>
                <c:ptCount val="26"/>
                <c:pt idx="0">
                  <c:v>#N/A</c:v>
                </c:pt>
                <c:pt idx="1">
                  <c:v>0.4</c:v>
                </c:pt>
                <c:pt idx="2">
                  <c:v>1.21</c:v>
                </c:pt>
                <c:pt idx="3">
                  <c:v>1.69</c:v>
                </c:pt>
                <c:pt idx="4">
                  <c:v>2.02</c:v>
                </c:pt>
                <c:pt idx="5">
                  <c:v>2.29</c:v>
                </c:pt>
                <c:pt idx="6">
                  <c:v>2.63</c:v>
                </c:pt>
                <c:pt idx="7">
                  <c:v>2.38</c:v>
                </c:pt>
                <c:pt idx="8">
                  <c:v>2.25</c:v>
                </c:pt>
                <c:pt idx="9">
                  <c:v>2.42</c:v>
                </c:pt>
                <c:pt idx="10">
                  <c:v>2.4962</c:v>
                </c:pt>
                <c:pt idx="11">
                  <c:v>3.19</c:v>
                </c:pt>
                <c:pt idx="12">
                  <c:v>3.63</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xVal>
          <c:yVal>
            <c:numRef>
              <c:f>Tools!$EL$121:$FK$121</c:f>
              <c:numCache>
                <c:formatCode>General</c:formatCode>
                <c:ptCount val="26"/>
                <c:pt idx="0">
                  <c:v>#N/A</c:v>
                </c:pt>
                <c:pt idx="1">
                  <c:v>0</c:v>
                </c:pt>
                <c:pt idx="2">
                  <c:v>0.5</c:v>
                </c:pt>
                <c:pt idx="3">
                  <c:v>1</c:v>
                </c:pt>
                <c:pt idx="4">
                  <c:v>1.5</c:v>
                </c:pt>
                <c:pt idx="5">
                  <c:v>2</c:v>
                </c:pt>
                <c:pt idx="6">
                  <c:v>4</c:v>
                </c:pt>
                <c:pt idx="7">
                  <c:v>6</c:v>
                </c:pt>
                <c:pt idx="8">
                  <c:v>8</c:v>
                </c:pt>
                <c:pt idx="9">
                  <c:v>9.6999999999999993</c:v>
                </c:pt>
                <c:pt idx="10">
                  <c:v>10</c:v>
                </c:pt>
                <c:pt idx="11">
                  <c:v>12</c:v>
                </c:pt>
                <c:pt idx="12">
                  <c:v>13</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yVal>
          <c:smooth val="1"/>
        </c:ser>
        <c:ser>
          <c:idx val="24"/>
          <c:order val="24"/>
          <c:tx>
            <c:strRef>
              <c:f>Tools!$DC$86</c:f>
              <c:strCache>
                <c:ptCount val="1"/>
                <c:pt idx="0">
                  <c:v>STN 20</c:v>
                </c:pt>
              </c:strCache>
            </c:strRef>
          </c:tx>
          <c:spPr>
            <a:ln w="3175">
              <a:solidFill>
                <a:schemeClr val="accent6">
                  <a:lumMod val="75000"/>
                </a:schemeClr>
              </a:solidFill>
            </a:ln>
          </c:spPr>
          <c:marker>
            <c:symbol val="none"/>
          </c:marker>
          <c:xVal>
            <c:numRef>
              <c:f>Tools!$DJ$122:$EI$122</c:f>
              <c:numCache>
                <c:formatCode>General</c:formatCode>
                <c:ptCount val="26"/>
                <c:pt idx="0">
                  <c:v>#N/A</c:v>
                </c:pt>
                <c:pt idx="1">
                  <c:v>0.1</c:v>
                </c:pt>
                <c:pt idx="2">
                  <c:v>0.8</c:v>
                </c:pt>
                <c:pt idx="3">
                  <c:v>1.2</c:v>
                </c:pt>
                <c:pt idx="4">
                  <c:v>1.43</c:v>
                </c:pt>
                <c:pt idx="5">
                  <c:v>1.53</c:v>
                </c:pt>
                <c:pt idx="6">
                  <c:v>1.1200000000000001</c:v>
                </c:pt>
                <c:pt idx="7">
                  <c:v>0.5</c:v>
                </c:pt>
                <c:pt idx="8">
                  <c:v>0.08</c:v>
                </c:pt>
                <c:pt idx="9">
                  <c:v>0</c:v>
                </c:pt>
                <c:pt idx="10">
                  <c:v>0.03</c:v>
                </c:pt>
                <c:pt idx="11">
                  <c:v>0.8</c:v>
                </c:pt>
                <c:pt idx="12">
                  <c:v>1.63</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xVal>
          <c:yVal>
            <c:numRef>
              <c:f>Tools!$EL$122:$FK$122</c:f>
              <c:numCache>
                <c:formatCode>General</c:formatCode>
                <c:ptCount val="26"/>
                <c:pt idx="0">
                  <c:v>#N/A</c:v>
                </c:pt>
                <c:pt idx="1">
                  <c:v>0</c:v>
                </c:pt>
                <c:pt idx="2">
                  <c:v>0.5</c:v>
                </c:pt>
                <c:pt idx="3">
                  <c:v>1</c:v>
                </c:pt>
                <c:pt idx="4">
                  <c:v>1.5</c:v>
                </c:pt>
                <c:pt idx="5">
                  <c:v>2</c:v>
                </c:pt>
                <c:pt idx="6">
                  <c:v>4</c:v>
                </c:pt>
                <c:pt idx="7">
                  <c:v>6</c:v>
                </c:pt>
                <c:pt idx="8">
                  <c:v>8</c:v>
                </c:pt>
                <c:pt idx="9">
                  <c:v>9.6999999999999993</c:v>
                </c:pt>
                <c:pt idx="10">
                  <c:v>10</c:v>
                </c:pt>
                <c:pt idx="11">
                  <c:v>12</c:v>
                </c:pt>
                <c:pt idx="12">
                  <c:v>13</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yVal>
          <c:smooth val="1"/>
        </c:ser>
        <c:ser>
          <c:idx val="25"/>
          <c:order val="25"/>
          <c:tx>
            <c:v>a</c:v>
          </c:tx>
          <c:marker>
            <c:symbol val="none"/>
          </c:marker>
          <c:xVal>
            <c:numRef>
              <c:f>Tools!$E$182</c:f>
              <c:numCache>
                <c:formatCode>General</c:formatCode>
                <c:ptCount val="1"/>
              </c:numCache>
            </c:numRef>
          </c:xVal>
          <c:yVal>
            <c:numRef>
              <c:f>Tools!$F$182</c:f>
              <c:numCache>
                <c:formatCode>General</c:formatCode>
                <c:ptCount val="1"/>
              </c:numCache>
            </c:numRef>
          </c:yVal>
          <c:smooth val="1"/>
        </c:ser>
        <c:ser>
          <c:idx val="26"/>
          <c:order val="26"/>
          <c:tx>
            <c:strRef>
              <c:f>Tools!$CP$62</c:f>
              <c:strCache>
                <c:ptCount val="1"/>
                <c:pt idx="0">
                  <c:v>WL 0</c:v>
                </c:pt>
              </c:strCache>
            </c:strRef>
          </c:tx>
          <c:spPr>
            <a:ln w="3175">
              <a:solidFill>
                <a:schemeClr val="tx1">
                  <a:lumMod val="50000"/>
                  <a:lumOff val="50000"/>
                </a:schemeClr>
              </a:solidFill>
            </a:ln>
          </c:spPr>
          <c:marker>
            <c:symbol val="none"/>
          </c:marker>
          <c:xVal>
            <c:numRef>
              <c:f>Tools!$CQ$61:$CR$61</c:f>
              <c:numCache>
                <c:formatCode>General</c:formatCode>
                <c:ptCount val="2"/>
                <c:pt idx="0">
                  <c:v>-11</c:v>
                </c:pt>
                <c:pt idx="1">
                  <c:v>11</c:v>
                </c:pt>
              </c:numCache>
            </c:numRef>
          </c:xVal>
          <c:yVal>
            <c:numRef>
              <c:f>Tools!$CQ$62:$CR$62</c:f>
              <c:numCache>
                <c:formatCode>General</c:formatCode>
                <c:ptCount val="2"/>
                <c:pt idx="0">
                  <c:v>0</c:v>
                </c:pt>
                <c:pt idx="1">
                  <c:v>0</c:v>
                </c:pt>
              </c:numCache>
            </c:numRef>
          </c:yVal>
          <c:smooth val="1"/>
        </c:ser>
        <c:ser>
          <c:idx val="27"/>
          <c:order val="27"/>
          <c:tx>
            <c:strRef>
              <c:f>Tools!$CP$63</c:f>
              <c:strCache>
                <c:ptCount val="1"/>
                <c:pt idx="0">
                  <c:v>WL 0.25</c:v>
                </c:pt>
              </c:strCache>
            </c:strRef>
          </c:tx>
          <c:spPr>
            <a:ln w="3175">
              <a:solidFill>
                <a:schemeClr val="tx1">
                  <a:lumMod val="50000"/>
                  <a:lumOff val="50000"/>
                </a:schemeClr>
              </a:solidFill>
            </a:ln>
          </c:spPr>
          <c:marker>
            <c:symbol val="none"/>
          </c:marker>
          <c:xVal>
            <c:numRef>
              <c:f>Tools!$CQ$61:$CR$61</c:f>
              <c:numCache>
                <c:formatCode>General</c:formatCode>
                <c:ptCount val="2"/>
                <c:pt idx="0">
                  <c:v>-11</c:v>
                </c:pt>
                <c:pt idx="1">
                  <c:v>11</c:v>
                </c:pt>
              </c:numCache>
            </c:numRef>
          </c:xVal>
          <c:yVal>
            <c:numRef>
              <c:f>Tools!$CQ$63:$CR$63</c:f>
              <c:numCache>
                <c:formatCode>General</c:formatCode>
                <c:ptCount val="2"/>
                <c:pt idx="0">
                  <c:v>0.5</c:v>
                </c:pt>
                <c:pt idx="1">
                  <c:v>0.5</c:v>
                </c:pt>
              </c:numCache>
            </c:numRef>
          </c:yVal>
          <c:smooth val="1"/>
        </c:ser>
        <c:ser>
          <c:idx val="28"/>
          <c:order val="28"/>
          <c:tx>
            <c:strRef>
              <c:f>Tools!$CP$64</c:f>
              <c:strCache>
                <c:ptCount val="1"/>
                <c:pt idx="0">
                  <c:v>WL 0.5</c:v>
                </c:pt>
              </c:strCache>
            </c:strRef>
          </c:tx>
          <c:spPr>
            <a:ln w="3175">
              <a:solidFill>
                <a:schemeClr val="tx1">
                  <a:lumMod val="50000"/>
                  <a:lumOff val="50000"/>
                </a:schemeClr>
              </a:solidFill>
            </a:ln>
          </c:spPr>
          <c:marker>
            <c:symbol val="none"/>
          </c:marker>
          <c:xVal>
            <c:numRef>
              <c:f>Tools!$CQ$61:$CR$61</c:f>
              <c:numCache>
                <c:formatCode>General</c:formatCode>
                <c:ptCount val="2"/>
                <c:pt idx="0">
                  <c:v>-11</c:v>
                </c:pt>
                <c:pt idx="1">
                  <c:v>11</c:v>
                </c:pt>
              </c:numCache>
            </c:numRef>
          </c:xVal>
          <c:yVal>
            <c:numRef>
              <c:f>Tools!$CQ$64:$CR$64</c:f>
              <c:numCache>
                <c:formatCode>General</c:formatCode>
                <c:ptCount val="2"/>
                <c:pt idx="0">
                  <c:v>1</c:v>
                </c:pt>
                <c:pt idx="1">
                  <c:v>1</c:v>
                </c:pt>
              </c:numCache>
            </c:numRef>
          </c:yVal>
          <c:smooth val="1"/>
        </c:ser>
        <c:ser>
          <c:idx val="29"/>
          <c:order val="29"/>
          <c:tx>
            <c:strRef>
              <c:f>Tools!$CP$65</c:f>
              <c:strCache>
                <c:ptCount val="1"/>
                <c:pt idx="0">
                  <c:v>WL 0.75</c:v>
                </c:pt>
              </c:strCache>
            </c:strRef>
          </c:tx>
          <c:spPr>
            <a:ln w="3175">
              <a:solidFill>
                <a:schemeClr val="tx1">
                  <a:lumMod val="50000"/>
                  <a:lumOff val="50000"/>
                </a:schemeClr>
              </a:solidFill>
            </a:ln>
          </c:spPr>
          <c:marker>
            <c:symbol val="none"/>
          </c:marker>
          <c:xVal>
            <c:numRef>
              <c:f>Tools!$CQ$61:$CR$61</c:f>
              <c:numCache>
                <c:formatCode>General</c:formatCode>
                <c:ptCount val="2"/>
                <c:pt idx="0">
                  <c:v>-11</c:v>
                </c:pt>
                <c:pt idx="1">
                  <c:v>11</c:v>
                </c:pt>
              </c:numCache>
            </c:numRef>
          </c:xVal>
          <c:yVal>
            <c:numRef>
              <c:f>Tools!$CQ$65:$CR$65</c:f>
              <c:numCache>
                <c:formatCode>General</c:formatCode>
                <c:ptCount val="2"/>
                <c:pt idx="0">
                  <c:v>1.5</c:v>
                </c:pt>
                <c:pt idx="1">
                  <c:v>1.5</c:v>
                </c:pt>
              </c:numCache>
            </c:numRef>
          </c:yVal>
          <c:smooth val="1"/>
        </c:ser>
        <c:ser>
          <c:idx val="30"/>
          <c:order val="30"/>
          <c:tx>
            <c:strRef>
              <c:f>Tools!$CP$66</c:f>
              <c:strCache>
                <c:ptCount val="1"/>
                <c:pt idx="0">
                  <c:v>WL 1</c:v>
                </c:pt>
              </c:strCache>
            </c:strRef>
          </c:tx>
          <c:spPr>
            <a:ln w="3175">
              <a:solidFill>
                <a:schemeClr val="tx1">
                  <a:lumMod val="50000"/>
                  <a:lumOff val="50000"/>
                </a:schemeClr>
              </a:solidFill>
            </a:ln>
          </c:spPr>
          <c:marker>
            <c:symbol val="none"/>
          </c:marker>
          <c:xVal>
            <c:numRef>
              <c:f>Tools!$CQ$61:$CR$61</c:f>
              <c:numCache>
                <c:formatCode>General</c:formatCode>
                <c:ptCount val="2"/>
                <c:pt idx="0">
                  <c:v>-11</c:v>
                </c:pt>
                <c:pt idx="1">
                  <c:v>11</c:v>
                </c:pt>
              </c:numCache>
            </c:numRef>
          </c:xVal>
          <c:yVal>
            <c:numRef>
              <c:f>Tools!$CQ$66:$CR$66</c:f>
              <c:numCache>
                <c:formatCode>General</c:formatCode>
                <c:ptCount val="2"/>
                <c:pt idx="0">
                  <c:v>2</c:v>
                </c:pt>
                <c:pt idx="1">
                  <c:v>2</c:v>
                </c:pt>
              </c:numCache>
            </c:numRef>
          </c:yVal>
          <c:smooth val="1"/>
        </c:ser>
        <c:ser>
          <c:idx val="31"/>
          <c:order val="31"/>
          <c:tx>
            <c:strRef>
              <c:f>Tools!$CP$67</c:f>
              <c:strCache>
                <c:ptCount val="1"/>
                <c:pt idx="0">
                  <c:v>WL 2</c:v>
                </c:pt>
              </c:strCache>
            </c:strRef>
          </c:tx>
          <c:spPr>
            <a:ln w="3175">
              <a:solidFill>
                <a:schemeClr val="tx1">
                  <a:lumMod val="50000"/>
                  <a:lumOff val="50000"/>
                </a:schemeClr>
              </a:solidFill>
            </a:ln>
          </c:spPr>
          <c:marker>
            <c:symbol val="none"/>
          </c:marker>
          <c:xVal>
            <c:numRef>
              <c:f>Tools!$CQ$61:$CR$61</c:f>
              <c:numCache>
                <c:formatCode>General</c:formatCode>
                <c:ptCount val="2"/>
                <c:pt idx="0">
                  <c:v>-11</c:v>
                </c:pt>
                <c:pt idx="1">
                  <c:v>11</c:v>
                </c:pt>
              </c:numCache>
            </c:numRef>
          </c:xVal>
          <c:yVal>
            <c:numRef>
              <c:f>Tools!$CQ$67:$CR$67</c:f>
              <c:numCache>
                <c:formatCode>General</c:formatCode>
                <c:ptCount val="2"/>
                <c:pt idx="0">
                  <c:v>4</c:v>
                </c:pt>
                <c:pt idx="1">
                  <c:v>4</c:v>
                </c:pt>
              </c:numCache>
            </c:numRef>
          </c:yVal>
          <c:smooth val="1"/>
        </c:ser>
        <c:ser>
          <c:idx val="32"/>
          <c:order val="32"/>
          <c:tx>
            <c:strRef>
              <c:f>Tools!$CP$68</c:f>
              <c:strCache>
                <c:ptCount val="1"/>
                <c:pt idx="0">
                  <c:v>WL 3</c:v>
                </c:pt>
              </c:strCache>
            </c:strRef>
          </c:tx>
          <c:spPr>
            <a:ln w="3175">
              <a:solidFill>
                <a:schemeClr val="tx1">
                  <a:lumMod val="50000"/>
                  <a:lumOff val="50000"/>
                </a:schemeClr>
              </a:solidFill>
            </a:ln>
          </c:spPr>
          <c:marker>
            <c:symbol val="none"/>
          </c:marker>
          <c:xVal>
            <c:numRef>
              <c:f>Tools!$CQ$61:$CR$61</c:f>
              <c:numCache>
                <c:formatCode>General</c:formatCode>
                <c:ptCount val="2"/>
                <c:pt idx="0">
                  <c:v>-11</c:v>
                </c:pt>
                <c:pt idx="1">
                  <c:v>11</c:v>
                </c:pt>
              </c:numCache>
            </c:numRef>
          </c:xVal>
          <c:yVal>
            <c:numRef>
              <c:f>Tools!$CQ$68:$CR$68</c:f>
              <c:numCache>
                <c:formatCode>General</c:formatCode>
                <c:ptCount val="2"/>
                <c:pt idx="0">
                  <c:v>6</c:v>
                </c:pt>
                <c:pt idx="1">
                  <c:v>6</c:v>
                </c:pt>
              </c:numCache>
            </c:numRef>
          </c:yVal>
          <c:smooth val="1"/>
        </c:ser>
        <c:ser>
          <c:idx val="33"/>
          <c:order val="33"/>
          <c:tx>
            <c:strRef>
              <c:f>Tools!$CP$69</c:f>
              <c:strCache>
                <c:ptCount val="1"/>
                <c:pt idx="0">
                  <c:v>WL 4</c:v>
                </c:pt>
              </c:strCache>
            </c:strRef>
          </c:tx>
          <c:spPr>
            <a:ln w="3175">
              <a:solidFill>
                <a:schemeClr val="tx1">
                  <a:lumMod val="50000"/>
                  <a:lumOff val="50000"/>
                </a:schemeClr>
              </a:solidFill>
            </a:ln>
          </c:spPr>
          <c:marker>
            <c:symbol val="none"/>
          </c:marker>
          <c:xVal>
            <c:numRef>
              <c:f>Tools!$CQ$61:$CR$61</c:f>
              <c:numCache>
                <c:formatCode>General</c:formatCode>
                <c:ptCount val="2"/>
                <c:pt idx="0">
                  <c:v>-11</c:v>
                </c:pt>
                <c:pt idx="1">
                  <c:v>11</c:v>
                </c:pt>
              </c:numCache>
            </c:numRef>
          </c:xVal>
          <c:yVal>
            <c:numRef>
              <c:f>Tools!$CQ$69:$CR$69</c:f>
              <c:numCache>
                <c:formatCode>General</c:formatCode>
                <c:ptCount val="2"/>
                <c:pt idx="0">
                  <c:v>8</c:v>
                </c:pt>
                <c:pt idx="1">
                  <c:v>8</c:v>
                </c:pt>
              </c:numCache>
            </c:numRef>
          </c:yVal>
          <c:smooth val="1"/>
        </c:ser>
        <c:ser>
          <c:idx val="34"/>
          <c:order val="34"/>
          <c:tx>
            <c:strRef>
              <c:f>Tools!$CP$70</c:f>
              <c:strCache>
                <c:ptCount val="1"/>
                <c:pt idx="0">
                  <c:v>WL 4.85</c:v>
                </c:pt>
              </c:strCache>
            </c:strRef>
          </c:tx>
          <c:spPr>
            <a:ln w="3175">
              <a:solidFill>
                <a:schemeClr val="tx1">
                  <a:lumMod val="50000"/>
                  <a:lumOff val="50000"/>
                </a:schemeClr>
              </a:solidFill>
            </a:ln>
          </c:spPr>
          <c:marker>
            <c:symbol val="none"/>
          </c:marker>
          <c:xVal>
            <c:numRef>
              <c:f>Tools!$CQ$61:$CR$61</c:f>
              <c:numCache>
                <c:formatCode>General</c:formatCode>
                <c:ptCount val="2"/>
                <c:pt idx="0">
                  <c:v>-11</c:v>
                </c:pt>
                <c:pt idx="1">
                  <c:v>11</c:v>
                </c:pt>
              </c:numCache>
            </c:numRef>
          </c:xVal>
          <c:yVal>
            <c:numRef>
              <c:f>Tools!$CQ$70:$CR$70</c:f>
              <c:numCache>
                <c:formatCode>General</c:formatCode>
                <c:ptCount val="2"/>
                <c:pt idx="0">
                  <c:v>9.6999999999999993</c:v>
                </c:pt>
                <c:pt idx="1">
                  <c:v>9.6999999999999993</c:v>
                </c:pt>
              </c:numCache>
            </c:numRef>
          </c:yVal>
          <c:smooth val="1"/>
        </c:ser>
        <c:ser>
          <c:idx val="35"/>
          <c:order val="35"/>
          <c:tx>
            <c:strRef>
              <c:f>Tools!$CP$71</c:f>
              <c:strCache>
                <c:ptCount val="1"/>
                <c:pt idx="0">
                  <c:v>WL 5</c:v>
                </c:pt>
              </c:strCache>
            </c:strRef>
          </c:tx>
          <c:spPr>
            <a:ln w="3175">
              <a:solidFill>
                <a:schemeClr val="tx1">
                  <a:lumMod val="50000"/>
                  <a:lumOff val="50000"/>
                </a:schemeClr>
              </a:solidFill>
            </a:ln>
          </c:spPr>
          <c:marker>
            <c:symbol val="none"/>
          </c:marker>
          <c:xVal>
            <c:numRef>
              <c:f>Tools!$CQ$61:$CR$61</c:f>
              <c:numCache>
                <c:formatCode>General</c:formatCode>
                <c:ptCount val="2"/>
                <c:pt idx="0">
                  <c:v>-11</c:v>
                </c:pt>
                <c:pt idx="1">
                  <c:v>11</c:v>
                </c:pt>
              </c:numCache>
            </c:numRef>
          </c:xVal>
          <c:yVal>
            <c:numRef>
              <c:f>Tools!$CQ$71:$CR$71</c:f>
              <c:numCache>
                <c:formatCode>General</c:formatCode>
                <c:ptCount val="2"/>
                <c:pt idx="0">
                  <c:v>10</c:v>
                </c:pt>
                <c:pt idx="1">
                  <c:v>10</c:v>
                </c:pt>
              </c:numCache>
            </c:numRef>
          </c:yVal>
          <c:smooth val="1"/>
        </c:ser>
        <c:ser>
          <c:idx val="36"/>
          <c:order val="36"/>
          <c:tx>
            <c:strRef>
              <c:f>Tools!$CP$72</c:f>
              <c:strCache>
                <c:ptCount val="1"/>
                <c:pt idx="0">
                  <c:v>WL 6</c:v>
                </c:pt>
              </c:strCache>
            </c:strRef>
          </c:tx>
          <c:spPr>
            <a:ln w="3175">
              <a:solidFill>
                <a:schemeClr val="tx1">
                  <a:lumMod val="50000"/>
                  <a:lumOff val="50000"/>
                </a:schemeClr>
              </a:solidFill>
            </a:ln>
          </c:spPr>
          <c:marker>
            <c:symbol val="none"/>
          </c:marker>
          <c:xVal>
            <c:numRef>
              <c:f>Tools!$CQ$61:$CR$61</c:f>
              <c:numCache>
                <c:formatCode>General</c:formatCode>
                <c:ptCount val="2"/>
                <c:pt idx="0">
                  <c:v>-11</c:v>
                </c:pt>
                <c:pt idx="1">
                  <c:v>11</c:v>
                </c:pt>
              </c:numCache>
            </c:numRef>
          </c:xVal>
          <c:yVal>
            <c:numRef>
              <c:f>Tools!$CQ$72:$CR$72</c:f>
              <c:numCache>
                <c:formatCode>General</c:formatCode>
                <c:ptCount val="2"/>
                <c:pt idx="0">
                  <c:v>12</c:v>
                </c:pt>
                <c:pt idx="1">
                  <c:v>12</c:v>
                </c:pt>
              </c:numCache>
            </c:numRef>
          </c:yVal>
          <c:smooth val="1"/>
        </c:ser>
        <c:ser>
          <c:idx val="37"/>
          <c:order val="37"/>
          <c:tx>
            <c:strRef>
              <c:f>Tools!$CP$73</c:f>
              <c:strCache>
                <c:ptCount val="1"/>
                <c:pt idx="0">
                  <c:v>WL 6.5</c:v>
                </c:pt>
              </c:strCache>
            </c:strRef>
          </c:tx>
          <c:spPr>
            <a:ln w="3175">
              <a:solidFill>
                <a:schemeClr val="tx1">
                  <a:lumMod val="50000"/>
                  <a:lumOff val="50000"/>
                </a:schemeClr>
              </a:solidFill>
            </a:ln>
          </c:spPr>
          <c:marker>
            <c:symbol val="none"/>
          </c:marker>
          <c:xVal>
            <c:numRef>
              <c:f>Tools!$CQ$61:$CR$61</c:f>
              <c:numCache>
                <c:formatCode>General</c:formatCode>
                <c:ptCount val="2"/>
                <c:pt idx="0">
                  <c:v>-11</c:v>
                </c:pt>
                <c:pt idx="1">
                  <c:v>11</c:v>
                </c:pt>
              </c:numCache>
            </c:numRef>
          </c:xVal>
          <c:yVal>
            <c:numRef>
              <c:f>Tools!$CQ$73:$CR$73</c:f>
              <c:numCache>
                <c:formatCode>General</c:formatCode>
                <c:ptCount val="2"/>
                <c:pt idx="0">
                  <c:v>13</c:v>
                </c:pt>
                <c:pt idx="1">
                  <c:v>13</c:v>
                </c:pt>
              </c:numCache>
            </c:numRef>
          </c:yVal>
          <c:smooth val="1"/>
        </c:ser>
        <c:ser>
          <c:idx val="38"/>
          <c:order val="38"/>
          <c:tx>
            <c:strRef>
              <c:f>Tools!$CP$74</c:f>
              <c:strCache>
                <c:ptCount val="1"/>
                <c:pt idx="0">
                  <c:v> </c:v>
                </c:pt>
              </c:strCache>
            </c:strRef>
          </c:tx>
          <c:spPr>
            <a:ln w="3175">
              <a:solidFill>
                <a:schemeClr val="tx1">
                  <a:lumMod val="50000"/>
                  <a:lumOff val="50000"/>
                </a:schemeClr>
              </a:solidFill>
            </a:ln>
          </c:spPr>
          <c:marker>
            <c:symbol val="none"/>
          </c:marker>
          <c:xVal>
            <c:numRef>
              <c:f>Tools!$CQ$61:$CR$61</c:f>
              <c:numCache>
                <c:formatCode>General</c:formatCode>
                <c:ptCount val="2"/>
                <c:pt idx="0">
                  <c:v>-11</c:v>
                </c:pt>
                <c:pt idx="1">
                  <c:v>11</c:v>
                </c:pt>
              </c:numCache>
            </c:numRef>
          </c:xVal>
          <c:yVal>
            <c:numRef>
              <c:f>Tools!$CQ$74:$CR$74</c:f>
              <c:numCache>
                <c:formatCode>General</c:formatCode>
                <c:ptCount val="2"/>
                <c:pt idx="0">
                  <c:v>0</c:v>
                </c:pt>
                <c:pt idx="1">
                  <c:v>0</c:v>
                </c:pt>
              </c:numCache>
            </c:numRef>
          </c:yVal>
          <c:smooth val="1"/>
        </c:ser>
        <c:ser>
          <c:idx val="39"/>
          <c:order val="39"/>
          <c:tx>
            <c:strRef>
              <c:f>Tools!$CP$75</c:f>
              <c:strCache>
                <c:ptCount val="1"/>
                <c:pt idx="0">
                  <c:v> </c:v>
                </c:pt>
              </c:strCache>
            </c:strRef>
          </c:tx>
          <c:spPr>
            <a:ln w="3175">
              <a:solidFill>
                <a:schemeClr val="tx1">
                  <a:lumMod val="50000"/>
                  <a:lumOff val="50000"/>
                </a:schemeClr>
              </a:solidFill>
            </a:ln>
          </c:spPr>
          <c:marker>
            <c:symbol val="none"/>
          </c:marker>
          <c:xVal>
            <c:numRef>
              <c:f>Tools!$CQ$61:$CR$61</c:f>
              <c:numCache>
                <c:formatCode>General</c:formatCode>
                <c:ptCount val="2"/>
                <c:pt idx="0">
                  <c:v>-11</c:v>
                </c:pt>
                <c:pt idx="1">
                  <c:v>11</c:v>
                </c:pt>
              </c:numCache>
            </c:numRef>
          </c:xVal>
          <c:yVal>
            <c:numRef>
              <c:f>Tools!$CQ$75:$CR$75</c:f>
              <c:numCache>
                <c:formatCode>General</c:formatCode>
                <c:ptCount val="2"/>
                <c:pt idx="0">
                  <c:v>0</c:v>
                </c:pt>
                <c:pt idx="1">
                  <c:v>0</c:v>
                </c:pt>
              </c:numCache>
            </c:numRef>
          </c:yVal>
          <c:smooth val="1"/>
        </c:ser>
        <c:ser>
          <c:idx val="40"/>
          <c:order val="40"/>
          <c:tx>
            <c:strRef>
              <c:f>Tools!$CP$76</c:f>
              <c:strCache>
                <c:ptCount val="1"/>
                <c:pt idx="0">
                  <c:v> </c:v>
                </c:pt>
              </c:strCache>
            </c:strRef>
          </c:tx>
          <c:spPr>
            <a:ln w="3175">
              <a:solidFill>
                <a:schemeClr val="tx1">
                  <a:lumMod val="50000"/>
                  <a:lumOff val="50000"/>
                </a:schemeClr>
              </a:solidFill>
            </a:ln>
          </c:spPr>
          <c:marker>
            <c:symbol val="none"/>
          </c:marker>
          <c:xVal>
            <c:numRef>
              <c:f>Tools!$CQ$61:$CR$61</c:f>
              <c:numCache>
                <c:formatCode>General</c:formatCode>
                <c:ptCount val="2"/>
                <c:pt idx="0">
                  <c:v>-11</c:v>
                </c:pt>
                <c:pt idx="1">
                  <c:v>11</c:v>
                </c:pt>
              </c:numCache>
            </c:numRef>
          </c:xVal>
          <c:yVal>
            <c:numRef>
              <c:f>Tools!$CQ$76:$CR$76</c:f>
              <c:numCache>
                <c:formatCode>General</c:formatCode>
                <c:ptCount val="2"/>
                <c:pt idx="0">
                  <c:v>0</c:v>
                </c:pt>
                <c:pt idx="1">
                  <c:v>0</c:v>
                </c:pt>
              </c:numCache>
            </c:numRef>
          </c:yVal>
          <c:smooth val="1"/>
        </c:ser>
        <c:ser>
          <c:idx val="41"/>
          <c:order val="41"/>
          <c:tx>
            <c:strRef>
              <c:f>Tools!$CP$77</c:f>
              <c:strCache>
                <c:ptCount val="1"/>
                <c:pt idx="0">
                  <c:v> </c:v>
                </c:pt>
              </c:strCache>
            </c:strRef>
          </c:tx>
          <c:spPr>
            <a:ln w="3175">
              <a:solidFill>
                <a:schemeClr val="tx1">
                  <a:lumMod val="50000"/>
                  <a:lumOff val="50000"/>
                </a:schemeClr>
              </a:solidFill>
            </a:ln>
          </c:spPr>
          <c:marker>
            <c:symbol val="none"/>
          </c:marker>
          <c:xVal>
            <c:numRef>
              <c:f>Tools!$CQ$61:$CR$61</c:f>
              <c:numCache>
                <c:formatCode>General</c:formatCode>
                <c:ptCount val="2"/>
                <c:pt idx="0">
                  <c:v>-11</c:v>
                </c:pt>
                <c:pt idx="1">
                  <c:v>11</c:v>
                </c:pt>
              </c:numCache>
            </c:numRef>
          </c:xVal>
          <c:yVal>
            <c:numRef>
              <c:f>Tools!$CQ$77:$CR$77</c:f>
              <c:numCache>
                <c:formatCode>General</c:formatCode>
                <c:ptCount val="2"/>
                <c:pt idx="0">
                  <c:v>0</c:v>
                </c:pt>
                <c:pt idx="1">
                  <c:v>0</c:v>
                </c:pt>
              </c:numCache>
            </c:numRef>
          </c:yVal>
          <c:smooth val="1"/>
        </c:ser>
        <c:ser>
          <c:idx val="42"/>
          <c:order val="42"/>
          <c:tx>
            <c:strRef>
              <c:f>Tools!$CP$78</c:f>
              <c:strCache>
                <c:ptCount val="1"/>
                <c:pt idx="0">
                  <c:v> </c:v>
                </c:pt>
              </c:strCache>
            </c:strRef>
          </c:tx>
          <c:spPr>
            <a:ln w="3175">
              <a:solidFill>
                <a:schemeClr val="tx1">
                  <a:lumMod val="50000"/>
                  <a:lumOff val="50000"/>
                </a:schemeClr>
              </a:solidFill>
            </a:ln>
          </c:spPr>
          <c:marker>
            <c:symbol val="none"/>
          </c:marker>
          <c:xVal>
            <c:numRef>
              <c:f>Tools!$CQ$61:$CR$61</c:f>
              <c:numCache>
                <c:formatCode>General</c:formatCode>
                <c:ptCount val="2"/>
                <c:pt idx="0">
                  <c:v>-11</c:v>
                </c:pt>
                <c:pt idx="1">
                  <c:v>11</c:v>
                </c:pt>
              </c:numCache>
            </c:numRef>
          </c:xVal>
          <c:yVal>
            <c:numRef>
              <c:f>Tools!$CQ$78:$CR$78</c:f>
              <c:numCache>
                <c:formatCode>General</c:formatCode>
                <c:ptCount val="2"/>
                <c:pt idx="0">
                  <c:v>0</c:v>
                </c:pt>
                <c:pt idx="1">
                  <c:v>0</c:v>
                </c:pt>
              </c:numCache>
            </c:numRef>
          </c:yVal>
          <c:smooth val="1"/>
        </c:ser>
        <c:ser>
          <c:idx val="43"/>
          <c:order val="43"/>
          <c:tx>
            <c:strRef>
              <c:f>Tools!$CP$79</c:f>
              <c:strCache>
                <c:ptCount val="1"/>
                <c:pt idx="0">
                  <c:v> </c:v>
                </c:pt>
              </c:strCache>
            </c:strRef>
          </c:tx>
          <c:spPr>
            <a:ln w="3175">
              <a:solidFill>
                <a:schemeClr val="tx1">
                  <a:lumMod val="50000"/>
                  <a:lumOff val="50000"/>
                </a:schemeClr>
              </a:solidFill>
            </a:ln>
          </c:spPr>
          <c:marker>
            <c:symbol val="none"/>
          </c:marker>
          <c:xVal>
            <c:numRef>
              <c:f>Tools!$CQ$61:$CR$61</c:f>
              <c:numCache>
                <c:formatCode>General</c:formatCode>
                <c:ptCount val="2"/>
                <c:pt idx="0">
                  <c:v>-11</c:v>
                </c:pt>
                <c:pt idx="1">
                  <c:v>11</c:v>
                </c:pt>
              </c:numCache>
            </c:numRef>
          </c:xVal>
          <c:yVal>
            <c:numRef>
              <c:f>Tools!$CQ$79:$CR$79</c:f>
              <c:numCache>
                <c:formatCode>General</c:formatCode>
                <c:ptCount val="2"/>
                <c:pt idx="0">
                  <c:v>0</c:v>
                </c:pt>
                <c:pt idx="1">
                  <c:v>0</c:v>
                </c:pt>
              </c:numCache>
            </c:numRef>
          </c:yVal>
          <c:smooth val="1"/>
        </c:ser>
        <c:ser>
          <c:idx val="44"/>
          <c:order val="44"/>
          <c:tx>
            <c:strRef>
              <c:f>Tools!$CP$80</c:f>
              <c:strCache>
                <c:ptCount val="1"/>
                <c:pt idx="0">
                  <c:v> </c:v>
                </c:pt>
              </c:strCache>
            </c:strRef>
          </c:tx>
          <c:spPr>
            <a:ln w="3175">
              <a:solidFill>
                <a:schemeClr val="tx1">
                  <a:lumMod val="50000"/>
                  <a:lumOff val="50000"/>
                </a:schemeClr>
              </a:solidFill>
            </a:ln>
          </c:spPr>
          <c:marker>
            <c:symbol val="none"/>
          </c:marker>
          <c:xVal>
            <c:numRef>
              <c:f>Tools!$CQ$61:$CR$61</c:f>
              <c:numCache>
                <c:formatCode>General</c:formatCode>
                <c:ptCount val="2"/>
                <c:pt idx="0">
                  <c:v>-11</c:v>
                </c:pt>
                <c:pt idx="1">
                  <c:v>11</c:v>
                </c:pt>
              </c:numCache>
            </c:numRef>
          </c:xVal>
          <c:yVal>
            <c:numRef>
              <c:f>Tools!$CQ$80:$CR$80</c:f>
              <c:numCache>
                <c:formatCode>General</c:formatCode>
                <c:ptCount val="2"/>
                <c:pt idx="0">
                  <c:v>0</c:v>
                </c:pt>
                <c:pt idx="1">
                  <c:v>0</c:v>
                </c:pt>
              </c:numCache>
            </c:numRef>
          </c:yVal>
          <c:smooth val="1"/>
        </c:ser>
        <c:ser>
          <c:idx val="45"/>
          <c:order val="45"/>
          <c:tx>
            <c:strRef>
              <c:f>Tools!$CP$81</c:f>
              <c:strCache>
                <c:ptCount val="1"/>
                <c:pt idx="0">
                  <c:v> </c:v>
                </c:pt>
              </c:strCache>
            </c:strRef>
          </c:tx>
          <c:spPr>
            <a:ln w="3175">
              <a:solidFill>
                <a:schemeClr val="tx1">
                  <a:lumMod val="50000"/>
                  <a:lumOff val="50000"/>
                </a:schemeClr>
              </a:solidFill>
            </a:ln>
          </c:spPr>
          <c:marker>
            <c:symbol val="none"/>
          </c:marker>
          <c:xVal>
            <c:numRef>
              <c:f>Tools!$CQ$61:$CR$61</c:f>
              <c:numCache>
                <c:formatCode>General</c:formatCode>
                <c:ptCount val="2"/>
                <c:pt idx="0">
                  <c:v>-11</c:v>
                </c:pt>
                <c:pt idx="1">
                  <c:v>11</c:v>
                </c:pt>
              </c:numCache>
            </c:numRef>
          </c:xVal>
          <c:yVal>
            <c:numRef>
              <c:f>Tools!$CQ$81:$CR$81</c:f>
              <c:numCache>
                <c:formatCode>General</c:formatCode>
                <c:ptCount val="2"/>
                <c:pt idx="0">
                  <c:v>0</c:v>
                </c:pt>
                <c:pt idx="1">
                  <c:v>0</c:v>
                </c:pt>
              </c:numCache>
            </c:numRef>
          </c:yVal>
          <c:smooth val="1"/>
        </c:ser>
        <c:ser>
          <c:idx val="46"/>
          <c:order val="46"/>
          <c:tx>
            <c:strRef>
              <c:f>Tools!$CP$82</c:f>
              <c:strCache>
                <c:ptCount val="1"/>
                <c:pt idx="0">
                  <c:v> </c:v>
                </c:pt>
              </c:strCache>
            </c:strRef>
          </c:tx>
          <c:spPr>
            <a:ln w="3175">
              <a:solidFill>
                <a:schemeClr val="tx1">
                  <a:lumMod val="50000"/>
                  <a:lumOff val="50000"/>
                </a:schemeClr>
              </a:solidFill>
            </a:ln>
          </c:spPr>
          <c:marker>
            <c:symbol val="none"/>
          </c:marker>
          <c:xVal>
            <c:numRef>
              <c:f>Tools!$CQ$61:$CR$61</c:f>
              <c:numCache>
                <c:formatCode>General</c:formatCode>
                <c:ptCount val="2"/>
                <c:pt idx="0">
                  <c:v>-11</c:v>
                </c:pt>
                <c:pt idx="1">
                  <c:v>11</c:v>
                </c:pt>
              </c:numCache>
            </c:numRef>
          </c:xVal>
          <c:yVal>
            <c:numRef>
              <c:f>Tools!$CQ$82:$CR$82</c:f>
              <c:numCache>
                <c:formatCode>General</c:formatCode>
                <c:ptCount val="2"/>
                <c:pt idx="0">
                  <c:v>0</c:v>
                </c:pt>
                <c:pt idx="1">
                  <c:v>0</c:v>
                </c:pt>
              </c:numCache>
            </c:numRef>
          </c:yVal>
          <c:smooth val="1"/>
        </c:ser>
        <c:ser>
          <c:idx val="47"/>
          <c:order val="47"/>
          <c:tx>
            <c:strRef>
              <c:f>Tools!$CP$83</c:f>
              <c:strCache>
                <c:ptCount val="1"/>
                <c:pt idx="0">
                  <c:v> </c:v>
                </c:pt>
              </c:strCache>
            </c:strRef>
          </c:tx>
          <c:spPr>
            <a:ln w="3175">
              <a:solidFill>
                <a:schemeClr val="tx1">
                  <a:lumMod val="50000"/>
                  <a:lumOff val="50000"/>
                </a:schemeClr>
              </a:solidFill>
            </a:ln>
          </c:spPr>
          <c:marker>
            <c:symbol val="none"/>
          </c:marker>
          <c:xVal>
            <c:numRef>
              <c:f>Tools!$CQ$61:$CR$61</c:f>
              <c:numCache>
                <c:formatCode>General</c:formatCode>
                <c:ptCount val="2"/>
                <c:pt idx="0">
                  <c:v>-11</c:v>
                </c:pt>
                <c:pt idx="1">
                  <c:v>11</c:v>
                </c:pt>
              </c:numCache>
            </c:numRef>
          </c:xVal>
          <c:yVal>
            <c:numRef>
              <c:f>Tools!$CQ$83:$CR$83</c:f>
              <c:numCache>
                <c:formatCode>General</c:formatCode>
                <c:ptCount val="2"/>
                <c:pt idx="0">
                  <c:v>0</c:v>
                </c:pt>
                <c:pt idx="1">
                  <c:v>0</c:v>
                </c:pt>
              </c:numCache>
            </c:numRef>
          </c:yVal>
          <c:smooth val="1"/>
        </c:ser>
        <c:ser>
          <c:idx val="48"/>
          <c:order val="48"/>
          <c:tx>
            <c:strRef>
              <c:f>Tools!$CP$84</c:f>
              <c:strCache>
                <c:ptCount val="1"/>
                <c:pt idx="0">
                  <c:v> </c:v>
                </c:pt>
              </c:strCache>
            </c:strRef>
          </c:tx>
          <c:spPr>
            <a:ln w="3175">
              <a:solidFill>
                <a:schemeClr val="tx1">
                  <a:lumMod val="50000"/>
                  <a:lumOff val="50000"/>
                </a:schemeClr>
              </a:solidFill>
            </a:ln>
          </c:spPr>
          <c:marker>
            <c:symbol val="none"/>
          </c:marker>
          <c:xVal>
            <c:numRef>
              <c:f>Tools!$CQ$61:$CR$61</c:f>
              <c:numCache>
                <c:formatCode>General</c:formatCode>
                <c:ptCount val="2"/>
                <c:pt idx="0">
                  <c:v>-11</c:v>
                </c:pt>
                <c:pt idx="1">
                  <c:v>11</c:v>
                </c:pt>
              </c:numCache>
            </c:numRef>
          </c:xVal>
          <c:yVal>
            <c:numRef>
              <c:f>Tools!$CQ$84:$CR$84</c:f>
              <c:numCache>
                <c:formatCode>General</c:formatCode>
                <c:ptCount val="2"/>
                <c:pt idx="0">
                  <c:v>0</c:v>
                </c:pt>
                <c:pt idx="1">
                  <c:v>0</c:v>
                </c:pt>
              </c:numCache>
            </c:numRef>
          </c:yVal>
          <c:smooth val="1"/>
        </c:ser>
        <c:ser>
          <c:idx val="49"/>
          <c:order val="49"/>
          <c:tx>
            <c:strRef>
              <c:f>Tools!$CP$85</c:f>
              <c:strCache>
                <c:ptCount val="1"/>
                <c:pt idx="0">
                  <c:v> </c:v>
                </c:pt>
              </c:strCache>
            </c:strRef>
          </c:tx>
          <c:spPr>
            <a:ln w="3175">
              <a:solidFill>
                <a:schemeClr val="tx1">
                  <a:lumMod val="50000"/>
                  <a:lumOff val="50000"/>
                </a:schemeClr>
              </a:solidFill>
            </a:ln>
          </c:spPr>
          <c:marker>
            <c:symbol val="none"/>
          </c:marker>
          <c:xVal>
            <c:numRef>
              <c:f>Tools!$CQ$61:$CR$61</c:f>
              <c:numCache>
                <c:formatCode>General</c:formatCode>
                <c:ptCount val="2"/>
                <c:pt idx="0">
                  <c:v>-11</c:v>
                </c:pt>
                <c:pt idx="1">
                  <c:v>11</c:v>
                </c:pt>
              </c:numCache>
            </c:numRef>
          </c:xVal>
          <c:yVal>
            <c:numRef>
              <c:f>Tools!$CQ$85:$CR$85</c:f>
              <c:numCache>
                <c:formatCode>General</c:formatCode>
                <c:ptCount val="2"/>
                <c:pt idx="0">
                  <c:v>0</c:v>
                </c:pt>
                <c:pt idx="1">
                  <c:v>0</c:v>
                </c:pt>
              </c:numCache>
            </c:numRef>
          </c:yVal>
          <c:smooth val="1"/>
        </c:ser>
        <c:ser>
          <c:idx val="50"/>
          <c:order val="50"/>
          <c:tx>
            <c:strRef>
              <c:f>Tools!$CP$86</c:f>
              <c:strCache>
                <c:ptCount val="1"/>
                <c:pt idx="0">
                  <c:v> </c:v>
                </c:pt>
              </c:strCache>
            </c:strRef>
          </c:tx>
          <c:spPr>
            <a:ln w="3175">
              <a:solidFill>
                <a:schemeClr val="tx1">
                  <a:lumMod val="50000"/>
                  <a:lumOff val="50000"/>
                </a:schemeClr>
              </a:solidFill>
            </a:ln>
          </c:spPr>
          <c:marker>
            <c:symbol val="none"/>
          </c:marker>
          <c:xVal>
            <c:numRef>
              <c:f>Tools!$CQ$61:$CR$61</c:f>
              <c:numCache>
                <c:formatCode>General</c:formatCode>
                <c:ptCount val="2"/>
                <c:pt idx="0">
                  <c:v>-11</c:v>
                </c:pt>
                <c:pt idx="1">
                  <c:v>11</c:v>
                </c:pt>
              </c:numCache>
            </c:numRef>
          </c:xVal>
          <c:yVal>
            <c:numRef>
              <c:f>Tools!$CQ$86:$CR$86</c:f>
              <c:numCache>
                <c:formatCode>General</c:formatCode>
                <c:ptCount val="2"/>
                <c:pt idx="0">
                  <c:v>0</c:v>
                </c:pt>
                <c:pt idx="1">
                  <c:v>0</c:v>
                </c:pt>
              </c:numCache>
            </c:numRef>
          </c:yVal>
          <c:smooth val="1"/>
        </c:ser>
        <c:ser>
          <c:idx val="51"/>
          <c:order val="51"/>
          <c:tx>
            <c:strRef>
              <c:f>Tools!$CV$62</c:f>
              <c:strCache>
                <c:ptCount val="1"/>
                <c:pt idx="0">
                  <c:v>BTK 1</c:v>
                </c:pt>
              </c:strCache>
            </c:strRef>
          </c:tx>
          <c:spPr>
            <a:ln w="3175">
              <a:solidFill>
                <a:schemeClr val="bg1">
                  <a:lumMod val="75000"/>
                </a:schemeClr>
              </a:solidFill>
            </a:ln>
          </c:spPr>
          <c:marker>
            <c:symbol val="none"/>
          </c:marker>
          <c:xVal>
            <c:numRef>
              <c:f>Tools!$CW$62:$CX$62</c:f>
              <c:numCache>
                <c:formatCode>General</c:formatCode>
                <c:ptCount val="2"/>
                <c:pt idx="0">
                  <c:v>-3.6666666666666665</c:v>
                </c:pt>
                <c:pt idx="1">
                  <c:v>-3.6666666666666665</c:v>
                </c:pt>
              </c:numCache>
            </c:numRef>
          </c:xVal>
          <c:yVal>
            <c:numRef>
              <c:f>Tools!$CW$61:$CX$61</c:f>
              <c:numCache>
                <c:formatCode>General</c:formatCode>
                <c:ptCount val="2"/>
                <c:pt idx="0">
                  <c:v>0</c:v>
                </c:pt>
                <c:pt idx="1">
                  <c:v>13</c:v>
                </c:pt>
              </c:numCache>
            </c:numRef>
          </c:yVal>
          <c:smooth val="1"/>
        </c:ser>
        <c:ser>
          <c:idx val="52"/>
          <c:order val="52"/>
          <c:tx>
            <c:strRef>
              <c:f>Tools!$CV$63</c:f>
              <c:strCache>
                <c:ptCount val="1"/>
                <c:pt idx="0">
                  <c:v>BTK 2</c:v>
                </c:pt>
              </c:strCache>
            </c:strRef>
          </c:tx>
          <c:spPr>
            <a:ln w="3175">
              <a:solidFill>
                <a:schemeClr val="bg1">
                  <a:lumMod val="75000"/>
                </a:schemeClr>
              </a:solidFill>
            </a:ln>
          </c:spPr>
          <c:marker>
            <c:symbol val="none"/>
          </c:marker>
          <c:xVal>
            <c:numRef>
              <c:f>Tools!$CW$63:$CX$63</c:f>
              <c:numCache>
                <c:formatCode>General</c:formatCode>
                <c:ptCount val="2"/>
                <c:pt idx="0">
                  <c:v>-7.333333333333333</c:v>
                </c:pt>
                <c:pt idx="1">
                  <c:v>-7.333333333333333</c:v>
                </c:pt>
              </c:numCache>
            </c:numRef>
          </c:xVal>
          <c:yVal>
            <c:numRef>
              <c:f>Tools!$CW$61:$CX$61</c:f>
              <c:numCache>
                <c:formatCode>General</c:formatCode>
                <c:ptCount val="2"/>
                <c:pt idx="0">
                  <c:v>0</c:v>
                </c:pt>
                <c:pt idx="1">
                  <c:v>13</c:v>
                </c:pt>
              </c:numCache>
            </c:numRef>
          </c:yVal>
          <c:smooth val="1"/>
        </c:ser>
        <c:ser>
          <c:idx val="53"/>
          <c:order val="53"/>
          <c:tx>
            <c:strRef>
              <c:f>Tools!$CV$64</c:f>
              <c:strCache>
                <c:ptCount val="1"/>
                <c:pt idx="0">
                  <c:v>SIDE</c:v>
                </c:pt>
              </c:strCache>
            </c:strRef>
          </c:tx>
          <c:spPr>
            <a:ln w="3175">
              <a:solidFill>
                <a:schemeClr val="bg1">
                  <a:lumMod val="75000"/>
                </a:schemeClr>
              </a:solidFill>
            </a:ln>
          </c:spPr>
          <c:marker>
            <c:symbol val="none"/>
          </c:marker>
          <c:xVal>
            <c:numRef>
              <c:f>Tools!$CW$64:$CX$64</c:f>
              <c:numCache>
                <c:formatCode>General</c:formatCode>
                <c:ptCount val="2"/>
                <c:pt idx="0">
                  <c:v>-11</c:v>
                </c:pt>
                <c:pt idx="1">
                  <c:v>-11</c:v>
                </c:pt>
              </c:numCache>
            </c:numRef>
          </c:xVal>
          <c:yVal>
            <c:numRef>
              <c:f>Tools!$CW$61:$CX$61</c:f>
              <c:numCache>
                <c:formatCode>General</c:formatCode>
                <c:ptCount val="2"/>
                <c:pt idx="0">
                  <c:v>0</c:v>
                </c:pt>
                <c:pt idx="1">
                  <c:v>13</c:v>
                </c:pt>
              </c:numCache>
            </c:numRef>
          </c:yVal>
          <c:smooth val="1"/>
        </c:ser>
        <c:ser>
          <c:idx val="54"/>
          <c:order val="54"/>
          <c:tx>
            <c:strRef>
              <c:f>Tools!$CV$65</c:f>
              <c:strCache>
                <c:ptCount val="1"/>
                <c:pt idx="0">
                  <c:v> </c:v>
                </c:pt>
              </c:strCache>
            </c:strRef>
          </c:tx>
          <c:spPr>
            <a:ln w="3175">
              <a:solidFill>
                <a:schemeClr val="bg1">
                  <a:lumMod val="75000"/>
                </a:schemeClr>
              </a:solidFill>
            </a:ln>
          </c:spPr>
          <c:marker>
            <c:symbol val="none"/>
          </c:marker>
          <c:xVal>
            <c:numRef>
              <c:f>Tools!$CW$65:$CX$65</c:f>
              <c:numCache>
                <c:formatCode>General</c:formatCode>
                <c:ptCount val="2"/>
                <c:pt idx="0">
                  <c:v>0</c:v>
                </c:pt>
                <c:pt idx="1">
                  <c:v>0</c:v>
                </c:pt>
              </c:numCache>
            </c:numRef>
          </c:xVal>
          <c:yVal>
            <c:numRef>
              <c:f>Tools!$CW$61:$CX$61</c:f>
              <c:numCache>
                <c:formatCode>General</c:formatCode>
                <c:ptCount val="2"/>
                <c:pt idx="0">
                  <c:v>0</c:v>
                </c:pt>
                <c:pt idx="1">
                  <c:v>13</c:v>
                </c:pt>
              </c:numCache>
            </c:numRef>
          </c:yVal>
          <c:smooth val="1"/>
        </c:ser>
        <c:ser>
          <c:idx val="55"/>
          <c:order val="55"/>
          <c:tx>
            <c:strRef>
              <c:f>Tools!$CV$66</c:f>
              <c:strCache>
                <c:ptCount val="1"/>
                <c:pt idx="0">
                  <c:v> </c:v>
                </c:pt>
              </c:strCache>
            </c:strRef>
          </c:tx>
          <c:spPr>
            <a:ln w="3175">
              <a:solidFill>
                <a:schemeClr val="bg1">
                  <a:lumMod val="75000"/>
                </a:schemeClr>
              </a:solidFill>
            </a:ln>
          </c:spPr>
          <c:marker>
            <c:symbol val="none"/>
          </c:marker>
          <c:xVal>
            <c:numRef>
              <c:f>Tools!$CW$66:$CX$66</c:f>
              <c:numCache>
                <c:formatCode>General</c:formatCode>
                <c:ptCount val="2"/>
                <c:pt idx="0">
                  <c:v>0</c:v>
                </c:pt>
                <c:pt idx="1">
                  <c:v>0</c:v>
                </c:pt>
              </c:numCache>
            </c:numRef>
          </c:xVal>
          <c:yVal>
            <c:numRef>
              <c:f>Tools!$CW$61:$CX$61</c:f>
              <c:numCache>
                <c:formatCode>General</c:formatCode>
                <c:ptCount val="2"/>
                <c:pt idx="0">
                  <c:v>0</c:v>
                </c:pt>
                <c:pt idx="1">
                  <c:v>13</c:v>
                </c:pt>
              </c:numCache>
            </c:numRef>
          </c:yVal>
          <c:smooth val="1"/>
        </c:ser>
        <c:ser>
          <c:idx val="56"/>
          <c:order val="56"/>
          <c:tx>
            <c:strRef>
              <c:f>Tools!$CV$67</c:f>
              <c:strCache>
                <c:ptCount val="1"/>
                <c:pt idx="0">
                  <c:v> </c:v>
                </c:pt>
              </c:strCache>
            </c:strRef>
          </c:tx>
          <c:spPr>
            <a:ln w="3175">
              <a:solidFill>
                <a:schemeClr val="bg1">
                  <a:lumMod val="75000"/>
                </a:schemeClr>
              </a:solidFill>
            </a:ln>
          </c:spPr>
          <c:marker>
            <c:symbol val="none"/>
          </c:marker>
          <c:xVal>
            <c:numRef>
              <c:f>Tools!$CW$67:$CX$67</c:f>
              <c:numCache>
                <c:formatCode>General</c:formatCode>
                <c:ptCount val="2"/>
                <c:pt idx="0">
                  <c:v>0</c:v>
                </c:pt>
                <c:pt idx="1">
                  <c:v>0</c:v>
                </c:pt>
              </c:numCache>
            </c:numRef>
          </c:xVal>
          <c:yVal>
            <c:numRef>
              <c:f>Tools!$CW$61:$CX$61</c:f>
              <c:numCache>
                <c:formatCode>General</c:formatCode>
                <c:ptCount val="2"/>
                <c:pt idx="0">
                  <c:v>0</c:v>
                </c:pt>
                <c:pt idx="1">
                  <c:v>13</c:v>
                </c:pt>
              </c:numCache>
            </c:numRef>
          </c:yVal>
          <c:smooth val="1"/>
        </c:ser>
        <c:ser>
          <c:idx val="57"/>
          <c:order val="57"/>
          <c:tx>
            <c:strRef>
              <c:f>Tools!$CV$68</c:f>
              <c:strCache>
                <c:ptCount val="1"/>
                <c:pt idx="0">
                  <c:v> </c:v>
                </c:pt>
              </c:strCache>
            </c:strRef>
          </c:tx>
          <c:spPr>
            <a:ln w="3175">
              <a:solidFill>
                <a:schemeClr val="bg1">
                  <a:lumMod val="75000"/>
                </a:schemeClr>
              </a:solidFill>
            </a:ln>
          </c:spPr>
          <c:marker>
            <c:symbol val="none"/>
          </c:marker>
          <c:xVal>
            <c:numRef>
              <c:f>Tools!$CW$68:$CX$68</c:f>
              <c:numCache>
                <c:formatCode>General</c:formatCode>
                <c:ptCount val="2"/>
                <c:pt idx="0">
                  <c:v>0</c:v>
                </c:pt>
                <c:pt idx="1">
                  <c:v>0</c:v>
                </c:pt>
              </c:numCache>
            </c:numRef>
          </c:xVal>
          <c:yVal>
            <c:numRef>
              <c:f>Tools!$CW$61:$CX$61</c:f>
              <c:numCache>
                <c:formatCode>General</c:formatCode>
                <c:ptCount val="2"/>
                <c:pt idx="0">
                  <c:v>0</c:v>
                </c:pt>
                <c:pt idx="1">
                  <c:v>13</c:v>
                </c:pt>
              </c:numCache>
            </c:numRef>
          </c:yVal>
          <c:smooth val="1"/>
        </c:ser>
        <c:ser>
          <c:idx val="58"/>
          <c:order val="58"/>
          <c:tx>
            <c:strRef>
              <c:f>Tools!$CV$69</c:f>
              <c:strCache>
                <c:ptCount val="1"/>
                <c:pt idx="0">
                  <c:v> </c:v>
                </c:pt>
              </c:strCache>
            </c:strRef>
          </c:tx>
          <c:spPr>
            <a:ln w="3175">
              <a:solidFill>
                <a:schemeClr val="bg1">
                  <a:lumMod val="75000"/>
                </a:schemeClr>
              </a:solidFill>
            </a:ln>
          </c:spPr>
          <c:marker>
            <c:symbol val="none"/>
          </c:marker>
          <c:xVal>
            <c:numRef>
              <c:f>Tools!$CW$69:$CX$69</c:f>
              <c:numCache>
                <c:formatCode>General</c:formatCode>
                <c:ptCount val="2"/>
                <c:pt idx="0">
                  <c:v>0</c:v>
                </c:pt>
                <c:pt idx="1">
                  <c:v>0</c:v>
                </c:pt>
              </c:numCache>
            </c:numRef>
          </c:xVal>
          <c:yVal>
            <c:numRef>
              <c:f>Tools!$CW$61:$CX$61</c:f>
              <c:numCache>
                <c:formatCode>General</c:formatCode>
                <c:ptCount val="2"/>
                <c:pt idx="0">
                  <c:v>0</c:v>
                </c:pt>
                <c:pt idx="1">
                  <c:v>13</c:v>
                </c:pt>
              </c:numCache>
            </c:numRef>
          </c:yVal>
          <c:smooth val="1"/>
        </c:ser>
        <c:ser>
          <c:idx val="59"/>
          <c:order val="59"/>
          <c:tx>
            <c:strRef>
              <c:f>Tools!$CV$70</c:f>
              <c:strCache>
                <c:ptCount val="1"/>
                <c:pt idx="0">
                  <c:v> </c:v>
                </c:pt>
              </c:strCache>
            </c:strRef>
          </c:tx>
          <c:spPr>
            <a:ln w="3175">
              <a:solidFill>
                <a:schemeClr val="bg1">
                  <a:lumMod val="75000"/>
                </a:schemeClr>
              </a:solidFill>
            </a:ln>
          </c:spPr>
          <c:marker>
            <c:symbol val="none"/>
          </c:marker>
          <c:xVal>
            <c:numRef>
              <c:f>Tools!$CW$70:$CX$70</c:f>
              <c:numCache>
                <c:formatCode>General</c:formatCode>
                <c:ptCount val="2"/>
                <c:pt idx="0">
                  <c:v>0</c:v>
                </c:pt>
                <c:pt idx="1">
                  <c:v>0</c:v>
                </c:pt>
              </c:numCache>
            </c:numRef>
          </c:xVal>
          <c:yVal>
            <c:numRef>
              <c:f>Tools!$CW$61:$CX$61</c:f>
              <c:numCache>
                <c:formatCode>General</c:formatCode>
                <c:ptCount val="2"/>
                <c:pt idx="0">
                  <c:v>0</c:v>
                </c:pt>
                <c:pt idx="1">
                  <c:v>13</c:v>
                </c:pt>
              </c:numCache>
            </c:numRef>
          </c:yVal>
          <c:smooth val="1"/>
        </c:ser>
        <c:ser>
          <c:idx val="60"/>
          <c:order val="60"/>
          <c:tx>
            <c:strRef>
              <c:f>Tools!$CV$71</c:f>
              <c:strCache>
                <c:ptCount val="1"/>
                <c:pt idx="0">
                  <c:v> </c:v>
                </c:pt>
              </c:strCache>
            </c:strRef>
          </c:tx>
          <c:spPr>
            <a:ln w="3175">
              <a:solidFill>
                <a:schemeClr val="bg1">
                  <a:lumMod val="75000"/>
                </a:schemeClr>
              </a:solidFill>
            </a:ln>
          </c:spPr>
          <c:marker>
            <c:symbol val="none"/>
          </c:marker>
          <c:xVal>
            <c:numRef>
              <c:f>Tools!$CW$71:$CX$71</c:f>
              <c:numCache>
                <c:formatCode>General</c:formatCode>
                <c:ptCount val="2"/>
                <c:pt idx="0">
                  <c:v>0</c:v>
                </c:pt>
                <c:pt idx="1">
                  <c:v>0</c:v>
                </c:pt>
              </c:numCache>
            </c:numRef>
          </c:xVal>
          <c:yVal>
            <c:numRef>
              <c:f>Tools!$CW$61:$CX$61</c:f>
              <c:numCache>
                <c:formatCode>General</c:formatCode>
                <c:ptCount val="2"/>
                <c:pt idx="0">
                  <c:v>0</c:v>
                </c:pt>
                <c:pt idx="1">
                  <c:v>13</c:v>
                </c:pt>
              </c:numCache>
            </c:numRef>
          </c:yVal>
          <c:smooth val="1"/>
        </c:ser>
        <c:ser>
          <c:idx val="61"/>
          <c:order val="61"/>
          <c:tx>
            <c:strRef>
              <c:f>Tools!$CV$72</c:f>
              <c:strCache>
                <c:ptCount val="1"/>
                <c:pt idx="0">
                  <c:v>CL</c:v>
                </c:pt>
              </c:strCache>
            </c:strRef>
          </c:tx>
          <c:spPr>
            <a:ln w="3175">
              <a:solidFill>
                <a:schemeClr val="bg1">
                  <a:lumMod val="75000"/>
                </a:schemeClr>
              </a:solidFill>
            </a:ln>
          </c:spPr>
          <c:marker>
            <c:symbol val="none"/>
          </c:marker>
          <c:xVal>
            <c:numRef>
              <c:f>Tools!$CW$72:$CX$72</c:f>
              <c:numCache>
                <c:formatCode>General</c:formatCode>
                <c:ptCount val="2"/>
                <c:pt idx="0">
                  <c:v>0</c:v>
                </c:pt>
                <c:pt idx="1">
                  <c:v>0</c:v>
                </c:pt>
              </c:numCache>
            </c:numRef>
          </c:xVal>
          <c:yVal>
            <c:numRef>
              <c:f>Tools!$CW$61:$CX$61</c:f>
              <c:numCache>
                <c:formatCode>General</c:formatCode>
                <c:ptCount val="2"/>
                <c:pt idx="0">
                  <c:v>0</c:v>
                </c:pt>
                <c:pt idx="1">
                  <c:v>13</c:v>
                </c:pt>
              </c:numCache>
            </c:numRef>
          </c:yVal>
          <c:smooth val="1"/>
        </c:ser>
        <c:ser>
          <c:idx val="62"/>
          <c:order val="62"/>
          <c:tx>
            <c:strRef>
              <c:f>Tools!$CV$62</c:f>
              <c:strCache>
                <c:ptCount val="1"/>
                <c:pt idx="0">
                  <c:v>BTK 1</c:v>
                </c:pt>
              </c:strCache>
            </c:strRef>
          </c:tx>
          <c:spPr>
            <a:ln w="3175">
              <a:solidFill>
                <a:schemeClr val="bg1">
                  <a:lumMod val="75000"/>
                </a:schemeClr>
              </a:solidFill>
            </a:ln>
          </c:spPr>
          <c:marker>
            <c:symbol val="none"/>
          </c:marker>
          <c:xVal>
            <c:numRef>
              <c:f>Tools!$CY$62:$CZ$62</c:f>
              <c:numCache>
                <c:formatCode>General</c:formatCode>
                <c:ptCount val="2"/>
                <c:pt idx="0">
                  <c:v>3.6666666666666665</c:v>
                </c:pt>
                <c:pt idx="1">
                  <c:v>3.6666666666666665</c:v>
                </c:pt>
              </c:numCache>
            </c:numRef>
          </c:xVal>
          <c:yVal>
            <c:numRef>
              <c:f>Tools!$CW$61:$CX$61</c:f>
              <c:numCache>
                <c:formatCode>General</c:formatCode>
                <c:ptCount val="2"/>
                <c:pt idx="0">
                  <c:v>0</c:v>
                </c:pt>
                <c:pt idx="1">
                  <c:v>13</c:v>
                </c:pt>
              </c:numCache>
            </c:numRef>
          </c:yVal>
          <c:smooth val="1"/>
        </c:ser>
        <c:ser>
          <c:idx val="63"/>
          <c:order val="63"/>
          <c:tx>
            <c:strRef>
              <c:f>Tools!$CV$63</c:f>
              <c:strCache>
                <c:ptCount val="1"/>
                <c:pt idx="0">
                  <c:v>BTK 2</c:v>
                </c:pt>
              </c:strCache>
            </c:strRef>
          </c:tx>
          <c:spPr>
            <a:ln w="3175">
              <a:solidFill>
                <a:schemeClr val="bg1">
                  <a:lumMod val="75000"/>
                </a:schemeClr>
              </a:solidFill>
            </a:ln>
          </c:spPr>
          <c:marker>
            <c:symbol val="none"/>
          </c:marker>
          <c:xVal>
            <c:numRef>
              <c:f>Tools!$CY$63:$CZ$63</c:f>
              <c:numCache>
                <c:formatCode>General</c:formatCode>
                <c:ptCount val="2"/>
                <c:pt idx="0">
                  <c:v>7.333333333333333</c:v>
                </c:pt>
                <c:pt idx="1">
                  <c:v>7.333333333333333</c:v>
                </c:pt>
              </c:numCache>
            </c:numRef>
          </c:xVal>
          <c:yVal>
            <c:numRef>
              <c:f>Tools!$CW$61:$CX$61</c:f>
              <c:numCache>
                <c:formatCode>General</c:formatCode>
                <c:ptCount val="2"/>
                <c:pt idx="0">
                  <c:v>0</c:v>
                </c:pt>
                <c:pt idx="1">
                  <c:v>13</c:v>
                </c:pt>
              </c:numCache>
            </c:numRef>
          </c:yVal>
          <c:smooth val="1"/>
        </c:ser>
        <c:ser>
          <c:idx val="64"/>
          <c:order val="64"/>
          <c:tx>
            <c:strRef>
              <c:f>Tools!$CV$64</c:f>
              <c:strCache>
                <c:ptCount val="1"/>
                <c:pt idx="0">
                  <c:v>SIDE</c:v>
                </c:pt>
              </c:strCache>
            </c:strRef>
          </c:tx>
          <c:spPr>
            <a:ln w="3175">
              <a:solidFill>
                <a:schemeClr val="bg1">
                  <a:lumMod val="75000"/>
                </a:schemeClr>
              </a:solidFill>
            </a:ln>
          </c:spPr>
          <c:marker>
            <c:symbol val="none"/>
          </c:marker>
          <c:xVal>
            <c:numRef>
              <c:f>Tools!$CY$64:$CZ$64</c:f>
              <c:numCache>
                <c:formatCode>General</c:formatCode>
                <c:ptCount val="2"/>
                <c:pt idx="0">
                  <c:v>11</c:v>
                </c:pt>
                <c:pt idx="1">
                  <c:v>11</c:v>
                </c:pt>
              </c:numCache>
            </c:numRef>
          </c:xVal>
          <c:yVal>
            <c:numRef>
              <c:f>Tools!$CW$61:$CX$61</c:f>
              <c:numCache>
                <c:formatCode>General</c:formatCode>
                <c:ptCount val="2"/>
                <c:pt idx="0">
                  <c:v>0</c:v>
                </c:pt>
                <c:pt idx="1">
                  <c:v>13</c:v>
                </c:pt>
              </c:numCache>
            </c:numRef>
          </c:yVal>
          <c:smooth val="1"/>
        </c:ser>
        <c:ser>
          <c:idx val="65"/>
          <c:order val="65"/>
          <c:tx>
            <c:strRef>
              <c:f>Tools!$CV$65</c:f>
              <c:strCache>
                <c:ptCount val="1"/>
                <c:pt idx="0">
                  <c:v> </c:v>
                </c:pt>
              </c:strCache>
            </c:strRef>
          </c:tx>
          <c:spPr>
            <a:ln w="3175">
              <a:solidFill>
                <a:schemeClr val="bg1">
                  <a:lumMod val="75000"/>
                </a:schemeClr>
              </a:solidFill>
            </a:ln>
          </c:spPr>
          <c:marker>
            <c:symbol val="none"/>
          </c:marker>
          <c:xVal>
            <c:numRef>
              <c:f>Tools!$CY$65:$CZ$65</c:f>
              <c:numCache>
                <c:formatCode>General</c:formatCode>
                <c:ptCount val="2"/>
                <c:pt idx="0">
                  <c:v>0</c:v>
                </c:pt>
                <c:pt idx="1">
                  <c:v>0</c:v>
                </c:pt>
              </c:numCache>
            </c:numRef>
          </c:xVal>
          <c:yVal>
            <c:numRef>
              <c:f>Tools!$CW$61:$CX$61</c:f>
              <c:numCache>
                <c:formatCode>General</c:formatCode>
                <c:ptCount val="2"/>
                <c:pt idx="0">
                  <c:v>0</c:v>
                </c:pt>
                <c:pt idx="1">
                  <c:v>13</c:v>
                </c:pt>
              </c:numCache>
            </c:numRef>
          </c:yVal>
          <c:smooth val="1"/>
        </c:ser>
        <c:ser>
          <c:idx val="66"/>
          <c:order val="66"/>
          <c:tx>
            <c:strRef>
              <c:f>Tools!$CV$66</c:f>
              <c:strCache>
                <c:ptCount val="1"/>
                <c:pt idx="0">
                  <c:v> </c:v>
                </c:pt>
              </c:strCache>
            </c:strRef>
          </c:tx>
          <c:spPr>
            <a:ln w="3175">
              <a:solidFill>
                <a:schemeClr val="bg1">
                  <a:lumMod val="75000"/>
                </a:schemeClr>
              </a:solidFill>
            </a:ln>
          </c:spPr>
          <c:marker>
            <c:symbol val="none"/>
          </c:marker>
          <c:xVal>
            <c:numRef>
              <c:f>Tools!$CY$66:$CZ$66</c:f>
              <c:numCache>
                <c:formatCode>General</c:formatCode>
                <c:ptCount val="2"/>
                <c:pt idx="0">
                  <c:v>0</c:v>
                </c:pt>
                <c:pt idx="1">
                  <c:v>0</c:v>
                </c:pt>
              </c:numCache>
            </c:numRef>
          </c:xVal>
          <c:yVal>
            <c:numRef>
              <c:f>Tools!$CW$61:$CX$61</c:f>
              <c:numCache>
                <c:formatCode>General</c:formatCode>
                <c:ptCount val="2"/>
                <c:pt idx="0">
                  <c:v>0</c:v>
                </c:pt>
                <c:pt idx="1">
                  <c:v>13</c:v>
                </c:pt>
              </c:numCache>
            </c:numRef>
          </c:yVal>
          <c:smooth val="1"/>
        </c:ser>
        <c:ser>
          <c:idx val="67"/>
          <c:order val="67"/>
          <c:tx>
            <c:strRef>
              <c:f>Tools!$CV$67</c:f>
              <c:strCache>
                <c:ptCount val="1"/>
                <c:pt idx="0">
                  <c:v> </c:v>
                </c:pt>
              </c:strCache>
            </c:strRef>
          </c:tx>
          <c:spPr>
            <a:ln w="3175">
              <a:solidFill>
                <a:schemeClr val="bg1">
                  <a:lumMod val="75000"/>
                </a:schemeClr>
              </a:solidFill>
            </a:ln>
          </c:spPr>
          <c:marker>
            <c:symbol val="none"/>
          </c:marker>
          <c:xVal>
            <c:numRef>
              <c:f>Tools!$CY$67:$CZ$67</c:f>
              <c:numCache>
                <c:formatCode>General</c:formatCode>
                <c:ptCount val="2"/>
                <c:pt idx="0">
                  <c:v>0</c:v>
                </c:pt>
                <c:pt idx="1">
                  <c:v>0</c:v>
                </c:pt>
              </c:numCache>
            </c:numRef>
          </c:xVal>
          <c:yVal>
            <c:numRef>
              <c:f>Tools!$CW$61:$CX$61</c:f>
              <c:numCache>
                <c:formatCode>General</c:formatCode>
                <c:ptCount val="2"/>
                <c:pt idx="0">
                  <c:v>0</c:v>
                </c:pt>
                <c:pt idx="1">
                  <c:v>13</c:v>
                </c:pt>
              </c:numCache>
            </c:numRef>
          </c:yVal>
          <c:smooth val="1"/>
        </c:ser>
        <c:ser>
          <c:idx val="68"/>
          <c:order val="68"/>
          <c:tx>
            <c:strRef>
              <c:f>Tools!$CV$68</c:f>
              <c:strCache>
                <c:ptCount val="1"/>
                <c:pt idx="0">
                  <c:v> </c:v>
                </c:pt>
              </c:strCache>
            </c:strRef>
          </c:tx>
          <c:spPr>
            <a:ln w="3175">
              <a:solidFill>
                <a:schemeClr val="bg1">
                  <a:lumMod val="75000"/>
                </a:schemeClr>
              </a:solidFill>
            </a:ln>
          </c:spPr>
          <c:marker>
            <c:symbol val="none"/>
          </c:marker>
          <c:xVal>
            <c:numRef>
              <c:f>Tools!$CY$68:$CZ$68</c:f>
              <c:numCache>
                <c:formatCode>General</c:formatCode>
                <c:ptCount val="2"/>
                <c:pt idx="0">
                  <c:v>0</c:v>
                </c:pt>
                <c:pt idx="1">
                  <c:v>0</c:v>
                </c:pt>
              </c:numCache>
            </c:numRef>
          </c:xVal>
          <c:yVal>
            <c:numRef>
              <c:f>Tools!$CW$61:$CX$61</c:f>
              <c:numCache>
                <c:formatCode>General</c:formatCode>
                <c:ptCount val="2"/>
                <c:pt idx="0">
                  <c:v>0</c:v>
                </c:pt>
                <c:pt idx="1">
                  <c:v>13</c:v>
                </c:pt>
              </c:numCache>
            </c:numRef>
          </c:yVal>
          <c:smooth val="1"/>
        </c:ser>
        <c:ser>
          <c:idx val="69"/>
          <c:order val="69"/>
          <c:tx>
            <c:strRef>
              <c:f>Tools!$CV$69</c:f>
              <c:strCache>
                <c:ptCount val="1"/>
                <c:pt idx="0">
                  <c:v> </c:v>
                </c:pt>
              </c:strCache>
            </c:strRef>
          </c:tx>
          <c:spPr>
            <a:ln w="3175">
              <a:solidFill>
                <a:schemeClr val="bg1">
                  <a:lumMod val="75000"/>
                </a:schemeClr>
              </a:solidFill>
            </a:ln>
          </c:spPr>
          <c:marker>
            <c:symbol val="none"/>
          </c:marker>
          <c:xVal>
            <c:numRef>
              <c:f>Tools!$CY$69:$CZ$69</c:f>
              <c:numCache>
                <c:formatCode>General</c:formatCode>
                <c:ptCount val="2"/>
                <c:pt idx="0">
                  <c:v>0</c:v>
                </c:pt>
                <c:pt idx="1">
                  <c:v>0</c:v>
                </c:pt>
              </c:numCache>
            </c:numRef>
          </c:xVal>
          <c:yVal>
            <c:numRef>
              <c:f>Tools!$CW$61:$CX$61</c:f>
              <c:numCache>
                <c:formatCode>General</c:formatCode>
                <c:ptCount val="2"/>
                <c:pt idx="0">
                  <c:v>0</c:v>
                </c:pt>
                <c:pt idx="1">
                  <c:v>13</c:v>
                </c:pt>
              </c:numCache>
            </c:numRef>
          </c:yVal>
          <c:smooth val="1"/>
        </c:ser>
        <c:ser>
          <c:idx val="70"/>
          <c:order val="70"/>
          <c:tx>
            <c:strRef>
              <c:f>Tools!$CV$70</c:f>
              <c:strCache>
                <c:ptCount val="1"/>
                <c:pt idx="0">
                  <c:v> </c:v>
                </c:pt>
              </c:strCache>
            </c:strRef>
          </c:tx>
          <c:spPr>
            <a:ln w="3175">
              <a:solidFill>
                <a:schemeClr val="bg1">
                  <a:lumMod val="75000"/>
                </a:schemeClr>
              </a:solidFill>
            </a:ln>
          </c:spPr>
          <c:marker>
            <c:symbol val="none"/>
          </c:marker>
          <c:xVal>
            <c:numRef>
              <c:f>Tools!$CY$70:$CZ$70</c:f>
              <c:numCache>
                <c:formatCode>General</c:formatCode>
                <c:ptCount val="2"/>
                <c:pt idx="0">
                  <c:v>0</c:v>
                </c:pt>
                <c:pt idx="1">
                  <c:v>0</c:v>
                </c:pt>
              </c:numCache>
            </c:numRef>
          </c:xVal>
          <c:yVal>
            <c:numRef>
              <c:f>Tools!$CW$61:$CX$61</c:f>
              <c:numCache>
                <c:formatCode>General</c:formatCode>
                <c:ptCount val="2"/>
                <c:pt idx="0">
                  <c:v>0</c:v>
                </c:pt>
                <c:pt idx="1">
                  <c:v>13</c:v>
                </c:pt>
              </c:numCache>
            </c:numRef>
          </c:yVal>
          <c:smooth val="1"/>
        </c:ser>
        <c:ser>
          <c:idx val="71"/>
          <c:order val="71"/>
          <c:tx>
            <c:strRef>
              <c:f>Tools!$CV$71</c:f>
              <c:strCache>
                <c:ptCount val="1"/>
                <c:pt idx="0">
                  <c:v> </c:v>
                </c:pt>
              </c:strCache>
            </c:strRef>
          </c:tx>
          <c:spPr>
            <a:ln w="3175">
              <a:solidFill>
                <a:schemeClr val="bg1">
                  <a:lumMod val="75000"/>
                </a:schemeClr>
              </a:solidFill>
            </a:ln>
          </c:spPr>
          <c:marker>
            <c:symbol val="none"/>
          </c:marker>
          <c:xVal>
            <c:numRef>
              <c:f>Tools!$CY$71:$CZ$71</c:f>
              <c:numCache>
                <c:formatCode>General</c:formatCode>
                <c:ptCount val="2"/>
                <c:pt idx="0">
                  <c:v>0</c:v>
                </c:pt>
                <c:pt idx="1">
                  <c:v>0</c:v>
                </c:pt>
              </c:numCache>
            </c:numRef>
          </c:xVal>
          <c:yVal>
            <c:numRef>
              <c:f>Tools!$CW$61:$CX$61</c:f>
              <c:numCache>
                <c:formatCode>General</c:formatCode>
                <c:ptCount val="2"/>
                <c:pt idx="0">
                  <c:v>0</c:v>
                </c:pt>
                <c:pt idx="1">
                  <c:v>13</c:v>
                </c:pt>
              </c:numCache>
            </c:numRef>
          </c:yVal>
          <c:smooth val="1"/>
        </c:ser>
        <c:dLbls>
          <c:showLegendKey val="0"/>
          <c:showVal val="0"/>
          <c:showCatName val="0"/>
          <c:showSerName val="0"/>
          <c:showPercent val="0"/>
          <c:showBubbleSize val="0"/>
        </c:dLbls>
        <c:axId val="952922880"/>
        <c:axId val="952924416"/>
      </c:scatterChart>
      <c:valAx>
        <c:axId val="952922880"/>
        <c:scaling>
          <c:orientation val="minMax"/>
        </c:scaling>
        <c:delete val="1"/>
        <c:axPos val="b"/>
        <c:numFmt formatCode="General" sourceLinked="1"/>
        <c:majorTickMark val="out"/>
        <c:minorTickMark val="none"/>
        <c:tickLblPos val="nextTo"/>
        <c:crossAx val="952924416"/>
        <c:crosses val="autoZero"/>
        <c:crossBetween val="midCat"/>
        <c:majorUnit val="0.1"/>
        <c:minorUnit val="5.000000000000001E-2"/>
      </c:valAx>
      <c:valAx>
        <c:axId val="952924416"/>
        <c:scaling>
          <c:orientation val="minMax"/>
          <c:min val="0"/>
        </c:scaling>
        <c:delete val="0"/>
        <c:axPos val="l"/>
        <c:majorGridlines>
          <c:spPr>
            <a:ln>
              <a:noFill/>
            </a:ln>
          </c:spPr>
        </c:majorGridlines>
        <c:numFmt formatCode="General" sourceLinked="1"/>
        <c:majorTickMark val="out"/>
        <c:minorTickMark val="none"/>
        <c:tickLblPos val="nextTo"/>
        <c:crossAx val="952922880"/>
        <c:crosses val="autoZero"/>
        <c:crossBetween val="midCat"/>
        <c:majorUnit val="1"/>
      </c:valAx>
      <c:spPr>
        <a:noFill/>
        <a:ln>
          <a:noFill/>
        </a:ln>
      </c:spPr>
    </c:plotArea>
    <c:legend>
      <c:legendPos val="r"/>
      <c:legendEntry>
        <c:idx val="25"/>
        <c:txPr>
          <a:bodyPr/>
          <a:lstStyle/>
          <a:p>
            <a:pPr>
              <a:defRPr sz="1400">
                <a:solidFill>
                  <a:schemeClr val="bg1"/>
                </a:solidFill>
              </a:defRPr>
            </a:pPr>
            <a:endParaRPr lang="en-US"/>
          </a:p>
        </c:txPr>
      </c:legendEntry>
      <c:layout>
        <c:manualLayout>
          <c:xMode val="edge"/>
          <c:yMode val="edge"/>
          <c:x val="0.81867932506519137"/>
          <c:y val="2.9591106189184382E-2"/>
          <c:w val="0.15821833515888084"/>
          <c:h val="0.92819782836538001"/>
        </c:manualLayout>
      </c:layout>
      <c:overlay val="0"/>
      <c:txPr>
        <a:bodyPr/>
        <a:lstStyle/>
        <a:p>
          <a:pPr>
            <a:defRPr sz="1400"/>
          </a:pPr>
          <a:endParaRPr lang="en-US"/>
        </a:p>
      </c:txPr>
    </c:legend>
    <c:plotVisOnly val="1"/>
    <c:dispBlanksAs val="gap"/>
    <c:showDLblsOverMax val="0"/>
  </c:chart>
  <c:spPr>
    <a:solidFill>
      <a:schemeClr val="bg1">
        <a:lumMod val="95000"/>
      </a:schemeClr>
    </a:solidFill>
  </c:spPr>
  <c:printSettings>
    <c:headerFooter/>
    <c:pageMargins b="0.75" l="0.7" r="0.7" t="0.75" header="0.3" footer="0.3"/>
    <c:pageSetup/>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I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Area</a:t>
            </a:r>
          </a:p>
        </c:rich>
      </c:tx>
      <c:layout>
        <c:manualLayout>
          <c:xMode val="edge"/>
          <c:yMode val="edge"/>
          <c:x val="0.46243043322009808"/>
          <c:y val="1.7218894452318712E-2"/>
        </c:manualLayout>
      </c:layout>
      <c:overlay val="0"/>
    </c:title>
    <c:autoTitleDeleted val="0"/>
    <c:plotArea>
      <c:layout/>
      <c:scatterChart>
        <c:scatterStyle val="smoothMarker"/>
        <c:varyColors val="0"/>
        <c:ser>
          <c:idx val="0"/>
          <c:order val="0"/>
          <c:tx>
            <c:strRef>
              <c:f>Tools!$DC$62</c:f>
              <c:strCache>
                <c:ptCount val="1"/>
                <c:pt idx="0">
                  <c:v>STN 0</c:v>
                </c:pt>
              </c:strCache>
            </c:strRef>
          </c:tx>
          <c:spPr>
            <a:ln w="3175">
              <a:solidFill>
                <a:schemeClr val="tx2">
                  <a:lumMod val="75000"/>
                </a:schemeClr>
              </a:solidFill>
            </a:ln>
          </c:spPr>
          <c:marker>
            <c:symbol val="none"/>
          </c:marker>
          <c:xVal>
            <c:numRef>
              <c:f>Tools!$B$69:$M$69</c:f>
              <c:numCache>
                <c:formatCode>General</c:formatCode>
                <c:ptCount val="12"/>
                <c:pt idx="0">
                  <c:v>0</c:v>
                </c:pt>
                <c:pt idx="1">
                  <c:v>0.25</c:v>
                </c:pt>
                <c:pt idx="2">
                  <c:v>0.5</c:v>
                </c:pt>
                <c:pt idx="3">
                  <c:v>0.75</c:v>
                </c:pt>
                <c:pt idx="4">
                  <c:v>1</c:v>
                </c:pt>
                <c:pt idx="5">
                  <c:v>2</c:v>
                </c:pt>
                <c:pt idx="6">
                  <c:v>3</c:v>
                </c:pt>
                <c:pt idx="7">
                  <c:v>4</c:v>
                </c:pt>
                <c:pt idx="8">
                  <c:v>4.8499999999999996</c:v>
                </c:pt>
                <c:pt idx="9">
                  <c:v>5</c:v>
                </c:pt>
                <c:pt idx="10">
                  <c:v>6</c:v>
                </c:pt>
                <c:pt idx="11">
                  <c:v>6.5</c:v>
                </c:pt>
              </c:numCache>
            </c:numRef>
          </c:xVal>
          <c:yVal>
            <c:numRef>
              <c:f>Tools!$B$70:$M$70</c:f>
              <c:numCache>
                <c:formatCode>General</c:formatCode>
                <c:ptCount val="12"/>
                <c:pt idx="0">
                  <c:v>0</c:v>
                </c:pt>
                <c:pt idx="1">
                  <c:v>0</c:v>
                </c:pt>
                <c:pt idx="2">
                  <c:v>0</c:v>
                </c:pt>
                <c:pt idx="3">
                  <c:v>0</c:v>
                </c:pt>
                <c:pt idx="4">
                  <c:v>0</c:v>
                </c:pt>
                <c:pt idx="5">
                  <c:v>0</c:v>
                </c:pt>
                <c:pt idx="6">
                  <c:v>0</c:v>
                </c:pt>
                <c:pt idx="7">
                  <c:v>0.9</c:v>
                </c:pt>
                <c:pt idx="8">
                  <c:v>6.8329999999999975</c:v>
                </c:pt>
                <c:pt idx="9">
                  <c:v>8.6466666666666665</c:v>
                </c:pt>
                <c:pt idx="10">
                  <c:v>22.233333333333331</c:v>
                </c:pt>
                <c:pt idx="11">
                  <c:v>30.293333333333329</c:v>
                </c:pt>
              </c:numCache>
            </c:numRef>
          </c:yVal>
          <c:smooth val="1"/>
        </c:ser>
        <c:ser>
          <c:idx val="1"/>
          <c:order val="1"/>
          <c:tx>
            <c:strRef>
              <c:f>Tools!$DC$63</c:f>
              <c:strCache>
                <c:ptCount val="1"/>
                <c:pt idx="0">
                  <c:v>STN 0.5</c:v>
                </c:pt>
              </c:strCache>
            </c:strRef>
          </c:tx>
          <c:spPr>
            <a:ln w="3175">
              <a:solidFill>
                <a:srgbClr val="FF0000"/>
              </a:solidFill>
            </a:ln>
          </c:spPr>
          <c:marker>
            <c:symbol val="none"/>
          </c:marker>
          <c:xVal>
            <c:numRef>
              <c:f>Tools!$B$69:$M$69</c:f>
              <c:numCache>
                <c:formatCode>General</c:formatCode>
                <c:ptCount val="12"/>
                <c:pt idx="0">
                  <c:v>0</c:v>
                </c:pt>
                <c:pt idx="1">
                  <c:v>0.25</c:v>
                </c:pt>
                <c:pt idx="2">
                  <c:v>0.5</c:v>
                </c:pt>
                <c:pt idx="3">
                  <c:v>0.75</c:v>
                </c:pt>
                <c:pt idx="4">
                  <c:v>1</c:v>
                </c:pt>
                <c:pt idx="5">
                  <c:v>2</c:v>
                </c:pt>
                <c:pt idx="6">
                  <c:v>3</c:v>
                </c:pt>
                <c:pt idx="7">
                  <c:v>4</c:v>
                </c:pt>
                <c:pt idx="8">
                  <c:v>4.8499999999999996</c:v>
                </c:pt>
                <c:pt idx="9">
                  <c:v>5</c:v>
                </c:pt>
                <c:pt idx="10">
                  <c:v>6</c:v>
                </c:pt>
                <c:pt idx="11">
                  <c:v>6.5</c:v>
                </c:pt>
              </c:numCache>
            </c:numRef>
          </c:xVal>
          <c:yVal>
            <c:numRef>
              <c:f>Tools!$B$71:$M$71</c:f>
              <c:numCache>
                <c:formatCode>General</c:formatCode>
                <c:ptCount val="12"/>
                <c:pt idx="0">
                  <c:v>0</c:v>
                </c:pt>
                <c:pt idx="1">
                  <c:v>0.15833333333333333</c:v>
                </c:pt>
                <c:pt idx="2">
                  <c:v>0.3666666666666667</c:v>
                </c:pt>
                <c:pt idx="3">
                  <c:v>0.56166666666666665</c:v>
                </c:pt>
                <c:pt idx="4">
                  <c:v>0.79666666666666663</c:v>
                </c:pt>
                <c:pt idx="5">
                  <c:v>1.8733333333333333</c:v>
                </c:pt>
                <c:pt idx="6">
                  <c:v>3.7699999999999996</c:v>
                </c:pt>
                <c:pt idx="7">
                  <c:v>9.0733333333333341</c:v>
                </c:pt>
                <c:pt idx="8">
                  <c:v>20.310333333333329</c:v>
                </c:pt>
                <c:pt idx="9">
                  <c:v>23.463333333333331</c:v>
                </c:pt>
                <c:pt idx="10">
                  <c:v>42.966666666666669</c:v>
                </c:pt>
                <c:pt idx="11">
                  <c:v>54.24666666666667</c:v>
                </c:pt>
              </c:numCache>
            </c:numRef>
          </c:yVal>
          <c:smooth val="1"/>
        </c:ser>
        <c:ser>
          <c:idx val="2"/>
          <c:order val="2"/>
          <c:tx>
            <c:strRef>
              <c:f>Tools!$DC$64</c:f>
              <c:strCache>
                <c:ptCount val="1"/>
                <c:pt idx="0">
                  <c:v>STN 1</c:v>
                </c:pt>
              </c:strCache>
            </c:strRef>
          </c:tx>
          <c:spPr>
            <a:ln w="3175">
              <a:solidFill>
                <a:schemeClr val="accent4">
                  <a:lumMod val="75000"/>
                </a:schemeClr>
              </a:solidFill>
            </a:ln>
          </c:spPr>
          <c:marker>
            <c:symbol val="none"/>
          </c:marker>
          <c:xVal>
            <c:numRef>
              <c:f>Tools!$B$69:$M$69</c:f>
              <c:numCache>
                <c:formatCode>General</c:formatCode>
                <c:ptCount val="12"/>
                <c:pt idx="0">
                  <c:v>0</c:v>
                </c:pt>
                <c:pt idx="1">
                  <c:v>0.25</c:v>
                </c:pt>
                <c:pt idx="2">
                  <c:v>0.5</c:v>
                </c:pt>
                <c:pt idx="3">
                  <c:v>0.75</c:v>
                </c:pt>
                <c:pt idx="4">
                  <c:v>1</c:v>
                </c:pt>
                <c:pt idx="5">
                  <c:v>2</c:v>
                </c:pt>
                <c:pt idx="6">
                  <c:v>3</c:v>
                </c:pt>
                <c:pt idx="7">
                  <c:v>4</c:v>
                </c:pt>
                <c:pt idx="8">
                  <c:v>4.8499999999999996</c:v>
                </c:pt>
                <c:pt idx="9">
                  <c:v>5</c:v>
                </c:pt>
                <c:pt idx="10">
                  <c:v>6</c:v>
                </c:pt>
                <c:pt idx="11">
                  <c:v>6.5</c:v>
                </c:pt>
              </c:numCache>
            </c:numRef>
          </c:xVal>
          <c:yVal>
            <c:numRef>
              <c:f>Tools!$B$72:$M$72</c:f>
              <c:numCache>
                <c:formatCode>General</c:formatCode>
                <c:ptCount val="12"/>
                <c:pt idx="0">
                  <c:v>0</c:v>
                </c:pt>
                <c:pt idx="1">
                  <c:v>0.40166666666666667</c:v>
                </c:pt>
                <c:pt idx="2">
                  <c:v>0.99333333333333329</c:v>
                </c:pt>
                <c:pt idx="3">
                  <c:v>1.7516666666666665</c:v>
                </c:pt>
                <c:pt idx="4">
                  <c:v>2.6533333333333333</c:v>
                </c:pt>
                <c:pt idx="5">
                  <c:v>7.37</c:v>
                </c:pt>
                <c:pt idx="6">
                  <c:v>14.666666666666664</c:v>
                </c:pt>
                <c:pt idx="7">
                  <c:v>26.743333333333332</c:v>
                </c:pt>
                <c:pt idx="8">
                  <c:v>43.029333333333327</c:v>
                </c:pt>
                <c:pt idx="9">
                  <c:v>46.786666666666662</c:v>
                </c:pt>
                <c:pt idx="10">
                  <c:v>71.98333333333332</c:v>
                </c:pt>
                <c:pt idx="11">
                  <c:v>86.053333333333313</c:v>
                </c:pt>
              </c:numCache>
            </c:numRef>
          </c:yVal>
          <c:smooth val="1"/>
        </c:ser>
        <c:ser>
          <c:idx val="3"/>
          <c:order val="3"/>
          <c:tx>
            <c:strRef>
              <c:f>Tools!$DC$65</c:f>
              <c:strCache>
                <c:ptCount val="1"/>
                <c:pt idx="0">
                  <c:v>STN 1.5</c:v>
                </c:pt>
              </c:strCache>
            </c:strRef>
          </c:tx>
          <c:spPr>
            <a:ln w="3175">
              <a:solidFill>
                <a:srgbClr val="00B050"/>
              </a:solidFill>
            </a:ln>
          </c:spPr>
          <c:marker>
            <c:symbol val="none"/>
          </c:marker>
          <c:xVal>
            <c:numRef>
              <c:f>Tools!$B$69:$M$69</c:f>
              <c:numCache>
                <c:formatCode>General</c:formatCode>
                <c:ptCount val="12"/>
                <c:pt idx="0">
                  <c:v>0</c:v>
                </c:pt>
                <c:pt idx="1">
                  <c:v>0.25</c:v>
                </c:pt>
                <c:pt idx="2">
                  <c:v>0.5</c:v>
                </c:pt>
                <c:pt idx="3">
                  <c:v>0.75</c:v>
                </c:pt>
                <c:pt idx="4">
                  <c:v>1</c:v>
                </c:pt>
                <c:pt idx="5">
                  <c:v>2</c:v>
                </c:pt>
                <c:pt idx="6">
                  <c:v>3</c:v>
                </c:pt>
                <c:pt idx="7">
                  <c:v>4</c:v>
                </c:pt>
                <c:pt idx="8">
                  <c:v>4.8499999999999996</c:v>
                </c:pt>
                <c:pt idx="9">
                  <c:v>5</c:v>
                </c:pt>
                <c:pt idx="10">
                  <c:v>6</c:v>
                </c:pt>
                <c:pt idx="11">
                  <c:v>6.5</c:v>
                </c:pt>
              </c:numCache>
            </c:numRef>
          </c:xVal>
          <c:yVal>
            <c:numRef>
              <c:f>Tools!$B$73:$M$73</c:f>
              <c:numCache>
                <c:formatCode>General</c:formatCode>
                <c:ptCount val="12"/>
                <c:pt idx="0">
                  <c:v>0</c:v>
                </c:pt>
                <c:pt idx="1">
                  <c:v>0.75583333333333336</c:v>
                </c:pt>
                <c:pt idx="2">
                  <c:v>1.9366666666666668</c:v>
                </c:pt>
                <c:pt idx="3">
                  <c:v>3.4358333333333335</c:v>
                </c:pt>
                <c:pt idx="4">
                  <c:v>5.2166666666666668</c:v>
                </c:pt>
                <c:pt idx="5">
                  <c:v>14.573333333333332</c:v>
                </c:pt>
                <c:pt idx="6">
                  <c:v>27.870000000000005</c:v>
                </c:pt>
                <c:pt idx="7">
                  <c:v>46.239999999999995</c:v>
                </c:pt>
                <c:pt idx="8">
                  <c:v>67.183999999999983</c:v>
                </c:pt>
                <c:pt idx="9">
                  <c:v>71.696666666666658</c:v>
                </c:pt>
                <c:pt idx="10">
                  <c:v>101.6</c:v>
                </c:pt>
                <c:pt idx="11">
                  <c:v>118</c:v>
                </c:pt>
              </c:numCache>
            </c:numRef>
          </c:yVal>
          <c:smooth val="1"/>
        </c:ser>
        <c:ser>
          <c:idx val="4"/>
          <c:order val="4"/>
          <c:tx>
            <c:strRef>
              <c:f>Tools!$DC$66</c:f>
              <c:strCache>
                <c:ptCount val="1"/>
                <c:pt idx="0">
                  <c:v>STN 2</c:v>
                </c:pt>
              </c:strCache>
            </c:strRef>
          </c:tx>
          <c:spPr>
            <a:ln w="3175"/>
          </c:spPr>
          <c:marker>
            <c:symbol val="none"/>
          </c:marker>
          <c:xVal>
            <c:numRef>
              <c:f>Tools!$B$69:$M$69</c:f>
              <c:numCache>
                <c:formatCode>General</c:formatCode>
                <c:ptCount val="12"/>
                <c:pt idx="0">
                  <c:v>0</c:v>
                </c:pt>
                <c:pt idx="1">
                  <c:v>0.25</c:v>
                </c:pt>
                <c:pt idx="2">
                  <c:v>0.5</c:v>
                </c:pt>
                <c:pt idx="3">
                  <c:v>0.75</c:v>
                </c:pt>
                <c:pt idx="4">
                  <c:v>1</c:v>
                </c:pt>
                <c:pt idx="5">
                  <c:v>2</c:v>
                </c:pt>
                <c:pt idx="6">
                  <c:v>3</c:v>
                </c:pt>
                <c:pt idx="7">
                  <c:v>4</c:v>
                </c:pt>
                <c:pt idx="8">
                  <c:v>4.8499999999999996</c:v>
                </c:pt>
                <c:pt idx="9">
                  <c:v>5</c:v>
                </c:pt>
                <c:pt idx="10">
                  <c:v>6</c:v>
                </c:pt>
                <c:pt idx="11">
                  <c:v>6.5</c:v>
                </c:pt>
              </c:numCache>
            </c:numRef>
          </c:xVal>
          <c:yVal>
            <c:numRef>
              <c:f>Tools!$B$74:$M$74</c:f>
              <c:numCache>
                <c:formatCode>General</c:formatCode>
                <c:ptCount val="12"/>
                <c:pt idx="0">
                  <c:v>0</c:v>
                </c:pt>
                <c:pt idx="1">
                  <c:v>1.2566666666666664</c:v>
                </c:pt>
                <c:pt idx="2">
                  <c:v>3.1333333333333333</c:v>
                </c:pt>
                <c:pt idx="3">
                  <c:v>5.5033333333333321</c:v>
                </c:pt>
                <c:pt idx="4">
                  <c:v>8.2766666666666655</c:v>
                </c:pt>
                <c:pt idx="5">
                  <c:v>22.519999999999996</c:v>
                </c:pt>
                <c:pt idx="6">
                  <c:v>41.463333333333331</c:v>
                </c:pt>
                <c:pt idx="7">
                  <c:v>65.173333333333318</c:v>
                </c:pt>
                <c:pt idx="8">
                  <c:v>89.976333333333315</c:v>
                </c:pt>
                <c:pt idx="9">
                  <c:v>94.956666666666649</c:v>
                </c:pt>
                <c:pt idx="10">
                  <c:v>128.90666666666664</c:v>
                </c:pt>
                <c:pt idx="11">
                  <c:v>147.14666666666665</c:v>
                </c:pt>
              </c:numCache>
            </c:numRef>
          </c:yVal>
          <c:smooth val="1"/>
        </c:ser>
        <c:ser>
          <c:idx val="5"/>
          <c:order val="5"/>
          <c:tx>
            <c:strRef>
              <c:f>Tools!$DC$67</c:f>
              <c:strCache>
                <c:ptCount val="1"/>
                <c:pt idx="0">
                  <c:v>STN 3</c:v>
                </c:pt>
              </c:strCache>
            </c:strRef>
          </c:tx>
          <c:spPr>
            <a:ln w="3175"/>
          </c:spPr>
          <c:marker>
            <c:symbol val="none"/>
          </c:marker>
          <c:xVal>
            <c:numRef>
              <c:f>Tools!$B$69:$M$69</c:f>
              <c:numCache>
                <c:formatCode>General</c:formatCode>
                <c:ptCount val="12"/>
                <c:pt idx="0">
                  <c:v>0</c:v>
                </c:pt>
                <c:pt idx="1">
                  <c:v>0.25</c:v>
                </c:pt>
                <c:pt idx="2">
                  <c:v>0.5</c:v>
                </c:pt>
                <c:pt idx="3">
                  <c:v>0.75</c:v>
                </c:pt>
                <c:pt idx="4">
                  <c:v>1</c:v>
                </c:pt>
                <c:pt idx="5">
                  <c:v>2</c:v>
                </c:pt>
                <c:pt idx="6">
                  <c:v>3</c:v>
                </c:pt>
                <c:pt idx="7">
                  <c:v>4</c:v>
                </c:pt>
                <c:pt idx="8">
                  <c:v>4.8499999999999996</c:v>
                </c:pt>
                <c:pt idx="9">
                  <c:v>5</c:v>
                </c:pt>
                <c:pt idx="10">
                  <c:v>6</c:v>
                </c:pt>
                <c:pt idx="11">
                  <c:v>6.5</c:v>
                </c:pt>
              </c:numCache>
            </c:numRef>
          </c:xVal>
          <c:yVal>
            <c:numRef>
              <c:f>Tools!$B$75:$M$75</c:f>
              <c:numCache>
                <c:formatCode>General</c:formatCode>
                <c:ptCount val="12"/>
                <c:pt idx="0">
                  <c:v>0</c:v>
                </c:pt>
                <c:pt idx="1">
                  <c:v>2.6574999999999998</c:v>
                </c:pt>
                <c:pt idx="2">
                  <c:v>6.45</c:v>
                </c:pt>
                <c:pt idx="3">
                  <c:v>10.897499999999997</c:v>
                </c:pt>
                <c:pt idx="4">
                  <c:v>15.849999999999998</c:v>
                </c:pt>
                <c:pt idx="5">
                  <c:v>39.633333333333326</c:v>
                </c:pt>
                <c:pt idx="6">
                  <c:v>68.636666666666656</c:v>
                </c:pt>
                <c:pt idx="7">
                  <c:v>101.44666666666666</c:v>
                </c:pt>
                <c:pt idx="8">
                  <c:v>132.18266666666665</c:v>
                </c:pt>
                <c:pt idx="9">
                  <c:v>137.83666666666664</c:v>
                </c:pt>
                <c:pt idx="10">
                  <c:v>177.32666666666665</c:v>
                </c:pt>
                <c:pt idx="11">
                  <c:v>197.86666666666665</c:v>
                </c:pt>
              </c:numCache>
            </c:numRef>
          </c:yVal>
          <c:smooth val="1"/>
        </c:ser>
        <c:ser>
          <c:idx val="6"/>
          <c:order val="6"/>
          <c:tx>
            <c:strRef>
              <c:f>Tools!$DC$68</c:f>
              <c:strCache>
                <c:ptCount val="1"/>
                <c:pt idx="0">
                  <c:v>STN 4</c:v>
                </c:pt>
              </c:strCache>
            </c:strRef>
          </c:tx>
          <c:spPr>
            <a:ln w="3175"/>
          </c:spPr>
          <c:marker>
            <c:symbol val="none"/>
          </c:marker>
          <c:xVal>
            <c:numRef>
              <c:f>Tools!$B$69:$M$69</c:f>
              <c:numCache>
                <c:formatCode>General</c:formatCode>
                <c:ptCount val="12"/>
                <c:pt idx="0">
                  <c:v>0</c:v>
                </c:pt>
                <c:pt idx="1">
                  <c:v>0.25</c:v>
                </c:pt>
                <c:pt idx="2">
                  <c:v>0.5</c:v>
                </c:pt>
                <c:pt idx="3">
                  <c:v>0.75</c:v>
                </c:pt>
                <c:pt idx="4">
                  <c:v>1</c:v>
                </c:pt>
                <c:pt idx="5">
                  <c:v>2</c:v>
                </c:pt>
                <c:pt idx="6">
                  <c:v>3</c:v>
                </c:pt>
                <c:pt idx="7">
                  <c:v>4</c:v>
                </c:pt>
                <c:pt idx="8">
                  <c:v>4.8499999999999996</c:v>
                </c:pt>
                <c:pt idx="9">
                  <c:v>5</c:v>
                </c:pt>
                <c:pt idx="10">
                  <c:v>6</c:v>
                </c:pt>
                <c:pt idx="11">
                  <c:v>6.5</c:v>
                </c:pt>
              </c:numCache>
            </c:numRef>
          </c:xVal>
          <c:yVal>
            <c:numRef>
              <c:f>Tools!$B$76:$M$76</c:f>
              <c:numCache>
                <c:formatCode>General</c:formatCode>
                <c:ptCount val="12"/>
                <c:pt idx="0">
                  <c:v>0</c:v>
                </c:pt>
                <c:pt idx="1">
                  <c:v>4.6150000000000002</c:v>
                </c:pt>
                <c:pt idx="2">
                  <c:v>10.46</c:v>
                </c:pt>
                <c:pt idx="3">
                  <c:v>17.015000000000001</c:v>
                </c:pt>
                <c:pt idx="4">
                  <c:v>24.083333333333332</c:v>
                </c:pt>
                <c:pt idx="5">
                  <c:v>56.043333333333329</c:v>
                </c:pt>
                <c:pt idx="6">
                  <c:v>92.323333333333309</c:v>
                </c:pt>
                <c:pt idx="7">
                  <c:v>131.38999999999999</c:v>
                </c:pt>
                <c:pt idx="8">
                  <c:v>166.32499999999996</c:v>
                </c:pt>
                <c:pt idx="9">
                  <c:v>172.78999999999996</c:v>
                </c:pt>
                <c:pt idx="10">
                  <c:v>215.25666666666666</c:v>
                </c:pt>
                <c:pt idx="11">
                  <c:v>236.92666666666668</c:v>
                </c:pt>
              </c:numCache>
            </c:numRef>
          </c:yVal>
          <c:smooth val="1"/>
        </c:ser>
        <c:ser>
          <c:idx val="7"/>
          <c:order val="7"/>
          <c:tx>
            <c:strRef>
              <c:f>Tools!$DC$69</c:f>
              <c:strCache>
                <c:ptCount val="1"/>
                <c:pt idx="0">
                  <c:v>STN 5</c:v>
                </c:pt>
              </c:strCache>
            </c:strRef>
          </c:tx>
          <c:spPr>
            <a:ln w="3175">
              <a:solidFill>
                <a:schemeClr val="accent6">
                  <a:lumMod val="50000"/>
                </a:schemeClr>
              </a:solidFill>
            </a:ln>
          </c:spPr>
          <c:marker>
            <c:symbol val="none"/>
          </c:marker>
          <c:xVal>
            <c:numRef>
              <c:f>Tools!$B$69:$M$69</c:f>
              <c:numCache>
                <c:formatCode>General</c:formatCode>
                <c:ptCount val="12"/>
                <c:pt idx="0">
                  <c:v>0</c:v>
                </c:pt>
                <c:pt idx="1">
                  <c:v>0.25</c:v>
                </c:pt>
                <c:pt idx="2">
                  <c:v>0.5</c:v>
                </c:pt>
                <c:pt idx="3">
                  <c:v>0.75</c:v>
                </c:pt>
                <c:pt idx="4">
                  <c:v>1</c:v>
                </c:pt>
                <c:pt idx="5">
                  <c:v>2</c:v>
                </c:pt>
                <c:pt idx="6">
                  <c:v>3</c:v>
                </c:pt>
                <c:pt idx="7">
                  <c:v>4</c:v>
                </c:pt>
                <c:pt idx="8">
                  <c:v>4.8499999999999996</c:v>
                </c:pt>
                <c:pt idx="9">
                  <c:v>5</c:v>
                </c:pt>
                <c:pt idx="10">
                  <c:v>6</c:v>
                </c:pt>
                <c:pt idx="11">
                  <c:v>6.5</c:v>
                </c:pt>
              </c:numCache>
            </c:numRef>
          </c:xVal>
          <c:yVal>
            <c:numRef>
              <c:f>Tools!$B$77:$M$77</c:f>
              <c:numCache>
                <c:formatCode>General</c:formatCode>
                <c:ptCount val="12"/>
                <c:pt idx="0">
                  <c:v>0</c:v>
                </c:pt>
                <c:pt idx="1">
                  <c:v>6.6216666666666661</c:v>
                </c:pt>
                <c:pt idx="2">
                  <c:v>14.353333333333332</c:v>
                </c:pt>
                <c:pt idx="3">
                  <c:v>22.768333333333331</c:v>
                </c:pt>
                <c:pt idx="4">
                  <c:v>31.68333333333333</c:v>
                </c:pt>
                <c:pt idx="5">
                  <c:v>69.899999999999991</c:v>
                </c:pt>
                <c:pt idx="6">
                  <c:v>110.57666666666665</c:v>
                </c:pt>
                <c:pt idx="7">
                  <c:v>152.20666666666665</c:v>
                </c:pt>
                <c:pt idx="8">
                  <c:v>188.41666666666663</c:v>
                </c:pt>
                <c:pt idx="9">
                  <c:v>195.05666666666667</c:v>
                </c:pt>
                <c:pt idx="10">
                  <c:v>238.12666666666664</c:v>
                </c:pt>
                <c:pt idx="11">
                  <c:v>260.02666666666664</c:v>
                </c:pt>
              </c:numCache>
            </c:numRef>
          </c:yVal>
          <c:smooth val="1"/>
        </c:ser>
        <c:ser>
          <c:idx val="8"/>
          <c:order val="8"/>
          <c:tx>
            <c:strRef>
              <c:f>Tools!$DC$70</c:f>
              <c:strCache>
                <c:ptCount val="1"/>
                <c:pt idx="0">
                  <c:v>STN 6</c:v>
                </c:pt>
              </c:strCache>
            </c:strRef>
          </c:tx>
          <c:spPr>
            <a:ln w="3175">
              <a:solidFill>
                <a:schemeClr val="accent6">
                  <a:lumMod val="75000"/>
                </a:schemeClr>
              </a:solidFill>
            </a:ln>
          </c:spPr>
          <c:marker>
            <c:symbol val="none"/>
          </c:marker>
          <c:xVal>
            <c:numRef>
              <c:f>Tools!$B$69:$M$69</c:f>
              <c:numCache>
                <c:formatCode>General</c:formatCode>
                <c:ptCount val="12"/>
                <c:pt idx="0">
                  <c:v>0</c:v>
                </c:pt>
                <c:pt idx="1">
                  <c:v>0.25</c:v>
                </c:pt>
                <c:pt idx="2">
                  <c:v>0.5</c:v>
                </c:pt>
                <c:pt idx="3">
                  <c:v>0.75</c:v>
                </c:pt>
                <c:pt idx="4">
                  <c:v>1</c:v>
                </c:pt>
                <c:pt idx="5">
                  <c:v>2</c:v>
                </c:pt>
                <c:pt idx="6">
                  <c:v>3</c:v>
                </c:pt>
                <c:pt idx="7">
                  <c:v>4</c:v>
                </c:pt>
                <c:pt idx="8">
                  <c:v>4.8499999999999996</c:v>
                </c:pt>
                <c:pt idx="9">
                  <c:v>5</c:v>
                </c:pt>
                <c:pt idx="10">
                  <c:v>6</c:v>
                </c:pt>
                <c:pt idx="11">
                  <c:v>6.5</c:v>
                </c:pt>
              </c:numCache>
            </c:numRef>
          </c:xVal>
          <c:yVal>
            <c:numRef>
              <c:f>Tools!$B$78:$M$78</c:f>
              <c:numCache>
                <c:formatCode>General</c:formatCode>
                <c:ptCount val="12"/>
                <c:pt idx="0">
                  <c:v>0</c:v>
                </c:pt>
                <c:pt idx="1">
                  <c:v>8.4333333333333336</c:v>
                </c:pt>
                <c:pt idx="2">
                  <c:v>17.666666666666664</c:v>
                </c:pt>
                <c:pt idx="3">
                  <c:v>27.38</c:v>
                </c:pt>
                <c:pt idx="4">
                  <c:v>37.486666666666665</c:v>
                </c:pt>
                <c:pt idx="5">
                  <c:v>79.653333333333336</c:v>
                </c:pt>
                <c:pt idx="6">
                  <c:v>123.22000000000001</c:v>
                </c:pt>
                <c:pt idx="7">
                  <c:v>166.85333333333335</c:v>
                </c:pt>
                <c:pt idx="8">
                  <c:v>204.25333333333333</c:v>
                </c:pt>
                <c:pt idx="9">
                  <c:v>211.0866666666667</c:v>
                </c:pt>
                <c:pt idx="10">
                  <c:v>254.85333333333335</c:v>
                </c:pt>
                <c:pt idx="11">
                  <c:v>276.85333333333335</c:v>
                </c:pt>
              </c:numCache>
            </c:numRef>
          </c:yVal>
          <c:smooth val="1"/>
        </c:ser>
        <c:ser>
          <c:idx val="9"/>
          <c:order val="9"/>
          <c:tx>
            <c:strRef>
              <c:f>Tools!$DC$71</c:f>
              <c:strCache>
                <c:ptCount val="1"/>
                <c:pt idx="0">
                  <c:v>STN 7</c:v>
                </c:pt>
              </c:strCache>
            </c:strRef>
          </c:tx>
          <c:spPr>
            <a:ln w="3175">
              <a:solidFill>
                <a:srgbClr val="FF0000"/>
              </a:solidFill>
            </a:ln>
          </c:spPr>
          <c:marker>
            <c:symbol val="none"/>
          </c:marker>
          <c:xVal>
            <c:numRef>
              <c:f>Tools!$B$69:$M$69</c:f>
              <c:numCache>
                <c:formatCode>General</c:formatCode>
                <c:ptCount val="12"/>
                <c:pt idx="0">
                  <c:v>0</c:v>
                </c:pt>
                <c:pt idx="1">
                  <c:v>0.25</c:v>
                </c:pt>
                <c:pt idx="2">
                  <c:v>0.5</c:v>
                </c:pt>
                <c:pt idx="3">
                  <c:v>0.75</c:v>
                </c:pt>
                <c:pt idx="4">
                  <c:v>1</c:v>
                </c:pt>
                <c:pt idx="5">
                  <c:v>2</c:v>
                </c:pt>
                <c:pt idx="6">
                  <c:v>3</c:v>
                </c:pt>
                <c:pt idx="7">
                  <c:v>4</c:v>
                </c:pt>
                <c:pt idx="8">
                  <c:v>4.8499999999999996</c:v>
                </c:pt>
                <c:pt idx="9">
                  <c:v>5</c:v>
                </c:pt>
                <c:pt idx="10">
                  <c:v>6</c:v>
                </c:pt>
                <c:pt idx="11">
                  <c:v>6.5</c:v>
                </c:pt>
              </c:numCache>
            </c:numRef>
          </c:xVal>
          <c:yVal>
            <c:numRef>
              <c:f>Tools!$B$79:$M$79</c:f>
              <c:numCache>
                <c:formatCode>General</c:formatCode>
                <c:ptCount val="12"/>
                <c:pt idx="0">
                  <c:v>0</c:v>
                </c:pt>
                <c:pt idx="1">
                  <c:v>9.4450000000000003</c:v>
                </c:pt>
                <c:pt idx="2">
                  <c:v>19.54</c:v>
                </c:pt>
                <c:pt idx="3">
                  <c:v>29.988333333333333</c:v>
                </c:pt>
                <c:pt idx="4">
                  <c:v>40.706666666666663</c:v>
                </c:pt>
                <c:pt idx="5">
                  <c:v>84.373333333333335</c:v>
                </c:pt>
                <c:pt idx="6">
                  <c:v>128.44</c:v>
                </c:pt>
                <c:pt idx="7">
                  <c:v>172.37333333333333</c:v>
                </c:pt>
                <c:pt idx="8">
                  <c:v>209.77333333333331</c:v>
                </c:pt>
                <c:pt idx="9">
                  <c:v>216.44</c:v>
                </c:pt>
                <c:pt idx="10">
                  <c:v>260.37333333333333</c:v>
                </c:pt>
                <c:pt idx="11">
                  <c:v>282.37333333333333</c:v>
                </c:pt>
              </c:numCache>
            </c:numRef>
          </c:yVal>
          <c:smooth val="1"/>
        </c:ser>
        <c:ser>
          <c:idx val="10"/>
          <c:order val="10"/>
          <c:tx>
            <c:strRef>
              <c:f>Tools!$DC$72</c:f>
              <c:strCache>
                <c:ptCount val="1"/>
                <c:pt idx="0">
                  <c:v>STN 8</c:v>
                </c:pt>
              </c:strCache>
            </c:strRef>
          </c:tx>
          <c:spPr>
            <a:ln w="3175">
              <a:solidFill>
                <a:srgbClr val="00FF00"/>
              </a:solidFill>
            </a:ln>
          </c:spPr>
          <c:marker>
            <c:symbol val="none"/>
          </c:marker>
          <c:xVal>
            <c:numRef>
              <c:f>Tools!$B$69:$M$69</c:f>
              <c:numCache>
                <c:formatCode>General</c:formatCode>
                <c:ptCount val="12"/>
                <c:pt idx="0">
                  <c:v>0</c:v>
                </c:pt>
                <c:pt idx="1">
                  <c:v>0.25</c:v>
                </c:pt>
                <c:pt idx="2">
                  <c:v>0.5</c:v>
                </c:pt>
                <c:pt idx="3">
                  <c:v>0.75</c:v>
                </c:pt>
                <c:pt idx="4">
                  <c:v>1</c:v>
                </c:pt>
                <c:pt idx="5">
                  <c:v>2</c:v>
                </c:pt>
                <c:pt idx="6">
                  <c:v>3</c:v>
                </c:pt>
                <c:pt idx="7">
                  <c:v>4</c:v>
                </c:pt>
                <c:pt idx="8">
                  <c:v>4.8499999999999996</c:v>
                </c:pt>
                <c:pt idx="9">
                  <c:v>5</c:v>
                </c:pt>
                <c:pt idx="10">
                  <c:v>6</c:v>
                </c:pt>
                <c:pt idx="11">
                  <c:v>6.5</c:v>
                </c:pt>
              </c:numCache>
            </c:numRef>
          </c:xVal>
          <c:yVal>
            <c:numRef>
              <c:f>Tools!$B$80:$M$80</c:f>
              <c:numCache>
                <c:formatCode>General</c:formatCode>
                <c:ptCount val="12"/>
                <c:pt idx="0">
                  <c:v>0</c:v>
                </c:pt>
                <c:pt idx="1">
                  <c:v>9.9558333333333309</c:v>
                </c:pt>
                <c:pt idx="2">
                  <c:v>20.496666666666666</c:v>
                </c:pt>
                <c:pt idx="3">
                  <c:v>31.259166666666662</c:v>
                </c:pt>
                <c:pt idx="4">
                  <c:v>42.25333333333333</c:v>
                </c:pt>
                <c:pt idx="5">
                  <c:v>86.25333333333333</c:v>
                </c:pt>
                <c:pt idx="6">
                  <c:v>130.25333333333333</c:v>
                </c:pt>
                <c:pt idx="7">
                  <c:v>174.25333333333333</c:v>
                </c:pt>
                <c:pt idx="8">
                  <c:v>211.65333333333331</c:v>
                </c:pt>
                <c:pt idx="9">
                  <c:v>218.25333333333333</c:v>
                </c:pt>
                <c:pt idx="10">
                  <c:v>262.25333333333333</c:v>
                </c:pt>
                <c:pt idx="11">
                  <c:v>284.25333333333333</c:v>
                </c:pt>
              </c:numCache>
            </c:numRef>
          </c:yVal>
          <c:smooth val="1"/>
        </c:ser>
        <c:ser>
          <c:idx val="11"/>
          <c:order val="11"/>
          <c:tx>
            <c:strRef>
              <c:f>Tools!$DC$73</c:f>
              <c:strCache>
                <c:ptCount val="1"/>
                <c:pt idx="0">
                  <c:v>STN 9</c:v>
                </c:pt>
              </c:strCache>
            </c:strRef>
          </c:tx>
          <c:spPr>
            <a:ln w="3175">
              <a:solidFill>
                <a:schemeClr val="accent2"/>
              </a:solidFill>
            </a:ln>
          </c:spPr>
          <c:marker>
            <c:symbol val="none"/>
          </c:marker>
          <c:xVal>
            <c:numRef>
              <c:f>Tools!$B$69:$M$69</c:f>
              <c:numCache>
                <c:formatCode>General</c:formatCode>
                <c:ptCount val="12"/>
                <c:pt idx="0">
                  <c:v>0</c:v>
                </c:pt>
                <c:pt idx="1">
                  <c:v>0.25</c:v>
                </c:pt>
                <c:pt idx="2">
                  <c:v>0.5</c:v>
                </c:pt>
                <c:pt idx="3">
                  <c:v>0.75</c:v>
                </c:pt>
                <c:pt idx="4">
                  <c:v>1</c:v>
                </c:pt>
                <c:pt idx="5">
                  <c:v>2</c:v>
                </c:pt>
                <c:pt idx="6">
                  <c:v>3</c:v>
                </c:pt>
                <c:pt idx="7">
                  <c:v>4</c:v>
                </c:pt>
                <c:pt idx="8">
                  <c:v>4.8499999999999996</c:v>
                </c:pt>
                <c:pt idx="9">
                  <c:v>5</c:v>
                </c:pt>
                <c:pt idx="10">
                  <c:v>6</c:v>
                </c:pt>
                <c:pt idx="11">
                  <c:v>6.5</c:v>
                </c:pt>
              </c:numCache>
            </c:numRef>
          </c:xVal>
          <c:yVal>
            <c:numRef>
              <c:f>Tools!$B$81:$M$81</c:f>
              <c:numCache>
                <c:formatCode>General</c:formatCode>
                <c:ptCount val="12"/>
                <c:pt idx="0">
                  <c:v>0</c:v>
                </c:pt>
                <c:pt idx="1">
                  <c:v>10.112499999999999</c:v>
                </c:pt>
                <c:pt idx="2">
                  <c:v>20.75</c:v>
                </c:pt>
                <c:pt idx="3">
                  <c:v>31.572499999999998</c:v>
                </c:pt>
                <c:pt idx="4">
                  <c:v>42.573333333333331</c:v>
                </c:pt>
                <c:pt idx="5">
                  <c:v>86.573333333333323</c:v>
                </c:pt>
                <c:pt idx="6">
                  <c:v>130.57333333333332</c:v>
                </c:pt>
                <c:pt idx="7">
                  <c:v>174.57333333333332</c:v>
                </c:pt>
                <c:pt idx="8">
                  <c:v>211.9733333333333</c:v>
                </c:pt>
                <c:pt idx="9">
                  <c:v>218.57333333333332</c:v>
                </c:pt>
                <c:pt idx="10">
                  <c:v>262.57333333333332</c:v>
                </c:pt>
                <c:pt idx="11">
                  <c:v>284.57333333333332</c:v>
                </c:pt>
              </c:numCache>
            </c:numRef>
          </c:yVal>
          <c:smooth val="1"/>
        </c:ser>
        <c:ser>
          <c:idx val="12"/>
          <c:order val="12"/>
          <c:tx>
            <c:strRef>
              <c:f>Tools!$DC$74</c:f>
              <c:strCache>
                <c:ptCount val="1"/>
                <c:pt idx="0">
                  <c:v>STN 10</c:v>
                </c:pt>
              </c:strCache>
            </c:strRef>
          </c:tx>
          <c:spPr>
            <a:ln w="3175">
              <a:solidFill>
                <a:schemeClr val="tx2"/>
              </a:solidFill>
            </a:ln>
          </c:spPr>
          <c:marker>
            <c:symbol val="none"/>
          </c:marker>
          <c:xVal>
            <c:numRef>
              <c:f>Tools!$B$69:$M$69</c:f>
              <c:numCache>
                <c:formatCode>General</c:formatCode>
                <c:ptCount val="12"/>
                <c:pt idx="0">
                  <c:v>0</c:v>
                </c:pt>
                <c:pt idx="1">
                  <c:v>0.25</c:v>
                </c:pt>
                <c:pt idx="2">
                  <c:v>0.5</c:v>
                </c:pt>
                <c:pt idx="3">
                  <c:v>0.75</c:v>
                </c:pt>
                <c:pt idx="4">
                  <c:v>1</c:v>
                </c:pt>
                <c:pt idx="5">
                  <c:v>2</c:v>
                </c:pt>
                <c:pt idx="6">
                  <c:v>3</c:v>
                </c:pt>
                <c:pt idx="7">
                  <c:v>4</c:v>
                </c:pt>
                <c:pt idx="8">
                  <c:v>4.8499999999999996</c:v>
                </c:pt>
                <c:pt idx="9">
                  <c:v>5</c:v>
                </c:pt>
                <c:pt idx="10">
                  <c:v>6</c:v>
                </c:pt>
                <c:pt idx="11">
                  <c:v>6.5</c:v>
                </c:pt>
              </c:numCache>
            </c:numRef>
          </c:xVal>
          <c:yVal>
            <c:numRef>
              <c:f>Tools!$B$82:$M$82</c:f>
              <c:numCache>
                <c:formatCode>General</c:formatCode>
                <c:ptCount val="12"/>
                <c:pt idx="0">
                  <c:v>0</c:v>
                </c:pt>
                <c:pt idx="1">
                  <c:v>10.112499999999999</c:v>
                </c:pt>
                <c:pt idx="2">
                  <c:v>20.75</c:v>
                </c:pt>
                <c:pt idx="3">
                  <c:v>31.572499999999998</c:v>
                </c:pt>
                <c:pt idx="4">
                  <c:v>42.573333333333331</c:v>
                </c:pt>
                <c:pt idx="5">
                  <c:v>86.573333333333323</c:v>
                </c:pt>
                <c:pt idx="6">
                  <c:v>130.57333333333332</c:v>
                </c:pt>
                <c:pt idx="7">
                  <c:v>174.57333333333332</c:v>
                </c:pt>
                <c:pt idx="8">
                  <c:v>211.9733333333333</c:v>
                </c:pt>
                <c:pt idx="9">
                  <c:v>218.57333333333332</c:v>
                </c:pt>
                <c:pt idx="10">
                  <c:v>262.57333333333332</c:v>
                </c:pt>
                <c:pt idx="11">
                  <c:v>284.57333333333332</c:v>
                </c:pt>
              </c:numCache>
            </c:numRef>
          </c:yVal>
          <c:smooth val="1"/>
        </c:ser>
        <c:ser>
          <c:idx val="13"/>
          <c:order val="13"/>
          <c:tx>
            <c:strRef>
              <c:f>Tools!$DC$75</c:f>
              <c:strCache>
                <c:ptCount val="1"/>
                <c:pt idx="0">
                  <c:v>STN 11</c:v>
                </c:pt>
              </c:strCache>
            </c:strRef>
          </c:tx>
          <c:spPr>
            <a:ln w="3175">
              <a:solidFill>
                <a:schemeClr val="accent3">
                  <a:lumMod val="50000"/>
                </a:schemeClr>
              </a:solidFill>
            </a:ln>
          </c:spPr>
          <c:marker>
            <c:symbol val="none"/>
          </c:marker>
          <c:xVal>
            <c:numRef>
              <c:f>Tools!$B$69:$M$69</c:f>
              <c:numCache>
                <c:formatCode>General</c:formatCode>
                <c:ptCount val="12"/>
                <c:pt idx="0">
                  <c:v>0</c:v>
                </c:pt>
                <c:pt idx="1">
                  <c:v>0.25</c:v>
                </c:pt>
                <c:pt idx="2">
                  <c:v>0.5</c:v>
                </c:pt>
                <c:pt idx="3">
                  <c:v>0.75</c:v>
                </c:pt>
                <c:pt idx="4">
                  <c:v>1</c:v>
                </c:pt>
                <c:pt idx="5">
                  <c:v>2</c:v>
                </c:pt>
                <c:pt idx="6">
                  <c:v>3</c:v>
                </c:pt>
                <c:pt idx="7">
                  <c:v>4</c:v>
                </c:pt>
                <c:pt idx="8">
                  <c:v>4.8499999999999996</c:v>
                </c:pt>
                <c:pt idx="9">
                  <c:v>5</c:v>
                </c:pt>
                <c:pt idx="10">
                  <c:v>6</c:v>
                </c:pt>
                <c:pt idx="11">
                  <c:v>6.5</c:v>
                </c:pt>
              </c:numCache>
            </c:numRef>
          </c:xVal>
          <c:yVal>
            <c:numRef>
              <c:f>Tools!$B$83:$M$83</c:f>
              <c:numCache>
                <c:formatCode>General</c:formatCode>
                <c:ptCount val="12"/>
                <c:pt idx="0">
                  <c:v>0</c:v>
                </c:pt>
                <c:pt idx="1">
                  <c:v>10.112499999999999</c:v>
                </c:pt>
                <c:pt idx="2">
                  <c:v>20.75</c:v>
                </c:pt>
                <c:pt idx="3">
                  <c:v>31.572499999999998</c:v>
                </c:pt>
                <c:pt idx="4">
                  <c:v>42.573333333333331</c:v>
                </c:pt>
                <c:pt idx="5">
                  <c:v>86.573333333333323</c:v>
                </c:pt>
                <c:pt idx="6">
                  <c:v>130.57333333333332</c:v>
                </c:pt>
                <c:pt idx="7">
                  <c:v>174.57333333333332</c:v>
                </c:pt>
                <c:pt idx="8">
                  <c:v>211.9733333333333</c:v>
                </c:pt>
                <c:pt idx="9">
                  <c:v>218.57333333333332</c:v>
                </c:pt>
                <c:pt idx="10">
                  <c:v>262.57333333333332</c:v>
                </c:pt>
                <c:pt idx="11">
                  <c:v>284.57333333333332</c:v>
                </c:pt>
              </c:numCache>
            </c:numRef>
          </c:yVal>
          <c:smooth val="1"/>
        </c:ser>
        <c:ser>
          <c:idx val="14"/>
          <c:order val="14"/>
          <c:tx>
            <c:strRef>
              <c:f>Tools!$DC$76</c:f>
              <c:strCache>
                <c:ptCount val="1"/>
                <c:pt idx="0">
                  <c:v>STN 12</c:v>
                </c:pt>
              </c:strCache>
            </c:strRef>
          </c:tx>
          <c:spPr>
            <a:ln w="3175">
              <a:solidFill>
                <a:schemeClr val="accent5">
                  <a:lumMod val="75000"/>
                </a:schemeClr>
              </a:solidFill>
            </a:ln>
          </c:spPr>
          <c:marker>
            <c:symbol val="none"/>
          </c:marker>
          <c:xVal>
            <c:numRef>
              <c:f>Tools!$B$69:$M$69</c:f>
              <c:numCache>
                <c:formatCode>General</c:formatCode>
                <c:ptCount val="12"/>
                <c:pt idx="0">
                  <c:v>0</c:v>
                </c:pt>
                <c:pt idx="1">
                  <c:v>0.25</c:v>
                </c:pt>
                <c:pt idx="2">
                  <c:v>0.5</c:v>
                </c:pt>
                <c:pt idx="3">
                  <c:v>0.75</c:v>
                </c:pt>
                <c:pt idx="4">
                  <c:v>1</c:v>
                </c:pt>
                <c:pt idx="5">
                  <c:v>2</c:v>
                </c:pt>
                <c:pt idx="6">
                  <c:v>3</c:v>
                </c:pt>
                <c:pt idx="7">
                  <c:v>4</c:v>
                </c:pt>
                <c:pt idx="8">
                  <c:v>4.8499999999999996</c:v>
                </c:pt>
                <c:pt idx="9">
                  <c:v>5</c:v>
                </c:pt>
                <c:pt idx="10">
                  <c:v>6</c:v>
                </c:pt>
                <c:pt idx="11">
                  <c:v>6.5</c:v>
                </c:pt>
              </c:numCache>
            </c:numRef>
          </c:xVal>
          <c:yVal>
            <c:numRef>
              <c:f>Tools!$B$84:$M$84</c:f>
              <c:numCache>
                <c:formatCode>General</c:formatCode>
                <c:ptCount val="12"/>
                <c:pt idx="0">
                  <c:v>0</c:v>
                </c:pt>
                <c:pt idx="1">
                  <c:v>10.112499999999999</c:v>
                </c:pt>
                <c:pt idx="2">
                  <c:v>20.75</c:v>
                </c:pt>
                <c:pt idx="3">
                  <c:v>31.572499999999998</c:v>
                </c:pt>
                <c:pt idx="4">
                  <c:v>42.573333333333331</c:v>
                </c:pt>
                <c:pt idx="5">
                  <c:v>86.573333333333323</c:v>
                </c:pt>
                <c:pt idx="6">
                  <c:v>130.57333333333332</c:v>
                </c:pt>
                <c:pt idx="7">
                  <c:v>174.57333333333332</c:v>
                </c:pt>
                <c:pt idx="8">
                  <c:v>211.9733333333333</c:v>
                </c:pt>
                <c:pt idx="9">
                  <c:v>218.57333333333332</c:v>
                </c:pt>
                <c:pt idx="10">
                  <c:v>262.57333333333332</c:v>
                </c:pt>
                <c:pt idx="11">
                  <c:v>284.57333333333332</c:v>
                </c:pt>
              </c:numCache>
            </c:numRef>
          </c:yVal>
          <c:smooth val="1"/>
        </c:ser>
        <c:ser>
          <c:idx val="15"/>
          <c:order val="15"/>
          <c:tx>
            <c:strRef>
              <c:f>Tools!$DC$77</c:f>
              <c:strCache>
                <c:ptCount val="1"/>
                <c:pt idx="0">
                  <c:v>STN 13</c:v>
                </c:pt>
              </c:strCache>
            </c:strRef>
          </c:tx>
          <c:spPr>
            <a:ln w="3175">
              <a:solidFill>
                <a:schemeClr val="bg2">
                  <a:lumMod val="25000"/>
                </a:schemeClr>
              </a:solidFill>
            </a:ln>
          </c:spPr>
          <c:marker>
            <c:symbol val="none"/>
          </c:marker>
          <c:xVal>
            <c:numRef>
              <c:f>Tools!$B$69:$M$69</c:f>
              <c:numCache>
                <c:formatCode>General</c:formatCode>
                <c:ptCount val="12"/>
                <c:pt idx="0">
                  <c:v>0</c:v>
                </c:pt>
                <c:pt idx="1">
                  <c:v>0.25</c:v>
                </c:pt>
                <c:pt idx="2">
                  <c:v>0.5</c:v>
                </c:pt>
                <c:pt idx="3">
                  <c:v>0.75</c:v>
                </c:pt>
                <c:pt idx="4">
                  <c:v>1</c:v>
                </c:pt>
                <c:pt idx="5">
                  <c:v>2</c:v>
                </c:pt>
                <c:pt idx="6">
                  <c:v>3</c:v>
                </c:pt>
                <c:pt idx="7">
                  <c:v>4</c:v>
                </c:pt>
                <c:pt idx="8">
                  <c:v>4.8499999999999996</c:v>
                </c:pt>
                <c:pt idx="9">
                  <c:v>5</c:v>
                </c:pt>
                <c:pt idx="10">
                  <c:v>6</c:v>
                </c:pt>
                <c:pt idx="11">
                  <c:v>6.5</c:v>
                </c:pt>
              </c:numCache>
            </c:numRef>
          </c:xVal>
          <c:yVal>
            <c:numRef>
              <c:f>Tools!$B$85:$M$85</c:f>
              <c:numCache>
                <c:formatCode>General</c:formatCode>
                <c:ptCount val="12"/>
                <c:pt idx="0">
                  <c:v>0</c:v>
                </c:pt>
                <c:pt idx="1">
                  <c:v>10.112499999999999</c:v>
                </c:pt>
                <c:pt idx="2">
                  <c:v>20.75</c:v>
                </c:pt>
                <c:pt idx="3">
                  <c:v>31.572499999999998</c:v>
                </c:pt>
                <c:pt idx="4">
                  <c:v>42.573333333333331</c:v>
                </c:pt>
                <c:pt idx="5">
                  <c:v>86.573333333333323</c:v>
                </c:pt>
                <c:pt idx="6">
                  <c:v>130.57333333333332</c:v>
                </c:pt>
                <c:pt idx="7">
                  <c:v>174.57333333333332</c:v>
                </c:pt>
                <c:pt idx="8">
                  <c:v>211.9733333333333</c:v>
                </c:pt>
                <c:pt idx="9">
                  <c:v>218.57333333333332</c:v>
                </c:pt>
                <c:pt idx="10">
                  <c:v>262.57333333333332</c:v>
                </c:pt>
                <c:pt idx="11">
                  <c:v>284.57333333333332</c:v>
                </c:pt>
              </c:numCache>
            </c:numRef>
          </c:yVal>
          <c:smooth val="1"/>
        </c:ser>
        <c:ser>
          <c:idx val="16"/>
          <c:order val="16"/>
          <c:tx>
            <c:strRef>
              <c:f>Tools!$DC$78</c:f>
              <c:strCache>
                <c:ptCount val="1"/>
                <c:pt idx="0">
                  <c:v>STN 14</c:v>
                </c:pt>
              </c:strCache>
            </c:strRef>
          </c:tx>
          <c:spPr>
            <a:ln w="3175">
              <a:solidFill>
                <a:schemeClr val="tx2">
                  <a:lumMod val="60000"/>
                  <a:lumOff val="40000"/>
                </a:schemeClr>
              </a:solidFill>
            </a:ln>
          </c:spPr>
          <c:marker>
            <c:symbol val="none"/>
          </c:marker>
          <c:xVal>
            <c:numRef>
              <c:f>Tools!$B$69:$M$69</c:f>
              <c:numCache>
                <c:formatCode>General</c:formatCode>
                <c:ptCount val="12"/>
                <c:pt idx="0">
                  <c:v>0</c:v>
                </c:pt>
                <c:pt idx="1">
                  <c:v>0.25</c:v>
                </c:pt>
                <c:pt idx="2">
                  <c:v>0.5</c:v>
                </c:pt>
                <c:pt idx="3">
                  <c:v>0.75</c:v>
                </c:pt>
                <c:pt idx="4">
                  <c:v>1</c:v>
                </c:pt>
                <c:pt idx="5">
                  <c:v>2</c:v>
                </c:pt>
                <c:pt idx="6">
                  <c:v>3</c:v>
                </c:pt>
                <c:pt idx="7">
                  <c:v>4</c:v>
                </c:pt>
                <c:pt idx="8">
                  <c:v>4.8499999999999996</c:v>
                </c:pt>
                <c:pt idx="9">
                  <c:v>5</c:v>
                </c:pt>
                <c:pt idx="10">
                  <c:v>6</c:v>
                </c:pt>
                <c:pt idx="11">
                  <c:v>6.5</c:v>
                </c:pt>
              </c:numCache>
            </c:numRef>
          </c:xVal>
          <c:yVal>
            <c:numRef>
              <c:f>Tools!$B$86:$M$86</c:f>
              <c:numCache>
                <c:formatCode>General</c:formatCode>
                <c:ptCount val="12"/>
                <c:pt idx="0">
                  <c:v>0</c:v>
                </c:pt>
                <c:pt idx="1">
                  <c:v>9.9499999999999993</c:v>
                </c:pt>
                <c:pt idx="2">
                  <c:v>20.479999999999997</c:v>
                </c:pt>
                <c:pt idx="3">
                  <c:v>31.226666666666663</c:v>
                </c:pt>
                <c:pt idx="4">
                  <c:v>42.193333333333328</c:v>
                </c:pt>
                <c:pt idx="5">
                  <c:v>86.193333333333328</c:v>
                </c:pt>
                <c:pt idx="6">
                  <c:v>130.19333333333333</c:v>
                </c:pt>
                <c:pt idx="7">
                  <c:v>174.19333333333333</c:v>
                </c:pt>
                <c:pt idx="8">
                  <c:v>211.59333333333331</c:v>
                </c:pt>
                <c:pt idx="9">
                  <c:v>218.19333333333333</c:v>
                </c:pt>
                <c:pt idx="10">
                  <c:v>262.19333333333333</c:v>
                </c:pt>
                <c:pt idx="11">
                  <c:v>284.19333333333333</c:v>
                </c:pt>
              </c:numCache>
            </c:numRef>
          </c:yVal>
          <c:smooth val="1"/>
        </c:ser>
        <c:ser>
          <c:idx val="17"/>
          <c:order val="17"/>
          <c:tx>
            <c:strRef>
              <c:f>Tools!$DC$79</c:f>
              <c:strCache>
                <c:ptCount val="1"/>
                <c:pt idx="0">
                  <c:v>STN 15</c:v>
                </c:pt>
              </c:strCache>
            </c:strRef>
          </c:tx>
          <c:spPr>
            <a:ln w="3175">
              <a:solidFill>
                <a:srgbClr val="00B050"/>
              </a:solidFill>
            </a:ln>
          </c:spPr>
          <c:marker>
            <c:symbol val="none"/>
          </c:marker>
          <c:xVal>
            <c:numRef>
              <c:f>Tools!$B$69:$M$69</c:f>
              <c:numCache>
                <c:formatCode>General</c:formatCode>
                <c:ptCount val="12"/>
                <c:pt idx="0">
                  <c:v>0</c:v>
                </c:pt>
                <c:pt idx="1">
                  <c:v>0.25</c:v>
                </c:pt>
                <c:pt idx="2">
                  <c:v>0.5</c:v>
                </c:pt>
                <c:pt idx="3">
                  <c:v>0.75</c:v>
                </c:pt>
                <c:pt idx="4">
                  <c:v>1</c:v>
                </c:pt>
                <c:pt idx="5">
                  <c:v>2</c:v>
                </c:pt>
                <c:pt idx="6">
                  <c:v>3</c:v>
                </c:pt>
                <c:pt idx="7">
                  <c:v>4</c:v>
                </c:pt>
                <c:pt idx="8">
                  <c:v>4.8499999999999996</c:v>
                </c:pt>
                <c:pt idx="9">
                  <c:v>5</c:v>
                </c:pt>
                <c:pt idx="10">
                  <c:v>6</c:v>
                </c:pt>
                <c:pt idx="11">
                  <c:v>6.5</c:v>
                </c:pt>
              </c:numCache>
            </c:numRef>
          </c:xVal>
          <c:yVal>
            <c:numRef>
              <c:f>Tools!$B$87:$M$87</c:f>
              <c:numCache>
                <c:formatCode>General</c:formatCode>
                <c:ptCount val="12"/>
                <c:pt idx="0">
                  <c:v>0</c:v>
                </c:pt>
                <c:pt idx="1">
                  <c:v>9.3649999999999984</c:v>
                </c:pt>
                <c:pt idx="2">
                  <c:v>19.38</c:v>
                </c:pt>
                <c:pt idx="3">
                  <c:v>29.71833333333333</c:v>
                </c:pt>
                <c:pt idx="4">
                  <c:v>40.346666666666664</c:v>
                </c:pt>
                <c:pt idx="5">
                  <c:v>83.846666666666664</c:v>
                </c:pt>
                <c:pt idx="6">
                  <c:v>127.94666666666666</c:v>
                </c:pt>
                <c:pt idx="7">
                  <c:v>171.84666666666666</c:v>
                </c:pt>
                <c:pt idx="8">
                  <c:v>209.24666666666664</c:v>
                </c:pt>
                <c:pt idx="9">
                  <c:v>215.94666666666666</c:v>
                </c:pt>
                <c:pt idx="10">
                  <c:v>259.84666666666669</c:v>
                </c:pt>
                <c:pt idx="11">
                  <c:v>281.84666666666669</c:v>
                </c:pt>
              </c:numCache>
            </c:numRef>
          </c:yVal>
          <c:smooth val="1"/>
        </c:ser>
        <c:ser>
          <c:idx val="18"/>
          <c:order val="18"/>
          <c:tx>
            <c:strRef>
              <c:f>Tools!$DC$80</c:f>
              <c:strCache>
                <c:ptCount val="1"/>
                <c:pt idx="0">
                  <c:v>STN 16</c:v>
                </c:pt>
              </c:strCache>
            </c:strRef>
          </c:tx>
          <c:spPr>
            <a:ln w="3175">
              <a:solidFill>
                <a:schemeClr val="accent6">
                  <a:lumMod val="75000"/>
                </a:schemeClr>
              </a:solidFill>
            </a:ln>
          </c:spPr>
          <c:marker>
            <c:symbol val="none"/>
          </c:marker>
          <c:xVal>
            <c:numRef>
              <c:f>Tools!$B$69:$M$69</c:f>
              <c:numCache>
                <c:formatCode>General</c:formatCode>
                <c:ptCount val="12"/>
                <c:pt idx="0">
                  <c:v>0</c:v>
                </c:pt>
                <c:pt idx="1">
                  <c:v>0.25</c:v>
                </c:pt>
                <c:pt idx="2">
                  <c:v>0.5</c:v>
                </c:pt>
                <c:pt idx="3">
                  <c:v>0.75</c:v>
                </c:pt>
                <c:pt idx="4">
                  <c:v>1</c:v>
                </c:pt>
                <c:pt idx="5">
                  <c:v>2</c:v>
                </c:pt>
                <c:pt idx="6">
                  <c:v>3</c:v>
                </c:pt>
                <c:pt idx="7">
                  <c:v>4</c:v>
                </c:pt>
                <c:pt idx="8">
                  <c:v>4.8499999999999996</c:v>
                </c:pt>
                <c:pt idx="9">
                  <c:v>5</c:v>
                </c:pt>
                <c:pt idx="10">
                  <c:v>6</c:v>
                </c:pt>
                <c:pt idx="11">
                  <c:v>6.5</c:v>
                </c:pt>
              </c:numCache>
            </c:numRef>
          </c:xVal>
          <c:yVal>
            <c:numRef>
              <c:f>Tools!$B$88:$M$88</c:f>
              <c:numCache>
                <c:formatCode>General</c:formatCode>
                <c:ptCount val="12"/>
                <c:pt idx="0">
                  <c:v>0</c:v>
                </c:pt>
                <c:pt idx="1">
                  <c:v>8.1541666666666668</c:v>
                </c:pt>
                <c:pt idx="2">
                  <c:v>17.143333333333334</c:v>
                </c:pt>
                <c:pt idx="3">
                  <c:v>26.614166666666662</c:v>
                </c:pt>
                <c:pt idx="4">
                  <c:v>36.416666666666664</c:v>
                </c:pt>
                <c:pt idx="5">
                  <c:v>77.366666666666674</c:v>
                </c:pt>
                <c:pt idx="6">
                  <c:v>119.89666666666665</c:v>
                </c:pt>
                <c:pt idx="7">
                  <c:v>162.83333333333331</c:v>
                </c:pt>
                <c:pt idx="8">
                  <c:v>199.7063333333333</c:v>
                </c:pt>
                <c:pt idx="9">
                  <c:v>206.29666666666665</c:v>
                </c:pt>
                <c:pt idx="10">
                  <c:v>250.0333333333333</c:v>
                </c:pt>
                <c:pt idx="11">
                  <c:v>272.0333333333333</c:v>
                </c:pt>
              </c:numCache>
            </c:numRef>
          </c:yVal>
          <c:smooth val="1"/>
        </c:ser>
        <c:ser>
          <c:idx val="19"/>
          <c:order val="19"/>
          <c:tx>
            <c:strRef>
              <c:f>Tools!$DC$81</c:f>
              <c:strCache>
                <c:ptCount val="1"/>
                <c:pt idx="0">
                  <c:v>STN 17</c:v>
                </c:pt>
              </c:strCache>
            </c:strRef>
          </c:tx>
          <c:spPr>
            <a:ln w="3175">
              <a:solidFill>
                <a:srgbClr val="7030A0"/>
              </a:solidFill>
            </a:ln>
          </c:spPr>
          <c:marker>
            <c:symbol val="none"/>
          </c:marker>
          <c:xVal>
            <c:numRef>
              <c:f>Tools!$B$69:$M$69</c:f>
              <c:numCache>
                <c:formatCode>General</c:formatCode>
                <c:ptCount val="12"/>
                <c:pt idx="0">
                  <c:v>0</c:v>
                </c:pt>
                <c:pt idx="1">
                  <c:v>0.25</c:v>
                </c:pt>
                <c:pt idx="2">
                  <c:v>0.5</c:v>
                </c:pt>
                <c:pt idx="3">
                  <c:v>0.75</c:v>
                </c:pt>
                <c:pt idx="4">
                  <c:v>1</c:v>
                </c:pt>
                <c:pt idx="5">
                  <c:v>2</c:v>
                </c:pt>
                <c:pt idx="6">
                  <c:v>3</c:v>
                </c:pt>
                <c:pt idx="7">
                  <c:v>4</c:v>
                </c:pt>
                <c:pt idx="8">
                  <c:v>4.8499999999999996</c:v>
                </c:pt>
                <c:pt idx="9">
                  <c:v>5</c:v>
                </c:pt>
                <c:pt idx="10">
                  <c:v>6</c:v>
                </c:pt>
                <c:pt idx="11">
                  <c:v>6.5</c:v>
                </c:pt>
              </c:numCache>
            </c:numRef>
          </c:xVal>
          <c:yVal>
            <c:numRef>
              <c:f>Tools!$B$89:$M$89</c:f>
              <c:numCache>
                <c:formatCode>General</c:formatCode>
                <c:ptCount val="12"/>
                <c:pt idx="0">
                  <c:v>0</c:v>
                </c:pt>
                <c:pt idx="1">
                  <c:v>6.2966666666666669</c:v>
                </c:pt>
                <c:pt idx="2">
                  <c:v>13.573333333333332</c:v>
                </c:pt>
                <c:pt idx="3">
                  <c:v>21.353333333333332</c:v>
                </c:pt>
                <c:pt idx="4">
                  <c:v>29.619999999999997</c:v>
                </c:pt>
                <c:pt idx="5">
                  <c:v>65.276666666666671</c:v>
                </c:pt>
                <c:pt idx="6">
                  <c:v>103.47333333333333</c:v>
                </c:pt>
                <c:pt idx="7">
                  <c:v>142.70333333333332</c:v>
                </c:pt>
                <c:pt idx="8">
                  <c:v>177.07733333333329</c:v>
                </c:pt>
                <c:pt idx="9">
                  <c:v>183.36666666666667</c:v>
                </c:pt>
                <c:pt idx="10">
                  <c:v>224.79666666666665</c:v>
                </c:pt>
                <c:pt idx="11">
                  <c:v>245.91666666666666</c:v>
                </c:pt>
              </c:numCache>
            </c:numRef>
          </c:yVal>
          <c:smooth val="1"/>
        </c:ser>
        <c:ser>
          <c:idx val="20"/>
          <c:order val="20"/>
          <c:tx>
            <c:strRef>
              <c:f>Tools!$DC$82</c:f>
              <c:strCache>
                <c:ptCount val="1"/>
                <c:pt idx="0">
                  <c:v>STN 18</c:v>
                </c:pt>
              </c:strCache>
            </c:strRef>
          </c:tx>
          <c:spPr>
            <a:ln w="3175">
              <a:solidFill>
                <a:schemeClr val="tx1"/>
              </a:solidFill>
            </a:ln>
          </c:spPr>
          <c:marker>
            <c:symbol val="none"/>
          </c:marker>
          <c:xVal>
            <c:numRef>
              <c:f>Tools!$B$69:$M$69</c:f>
              <c:numCache>
                <c:formatCode>General</c:formatCode>
                <c:ptCount val="12"/>
                <c:pt idx="0">
                  <c:v>0</c:v>
                </c:pt>
                <c:pt idx="1">
                  <c:v>0.25</c:v>
                </c:pt>
                <c:pt idx="2">
                  <c:v>0.5</c:v>
                </c:pt>
                <c:pt idx="3">
                  <c:v>0.75</c:v>
                </c:pt>
                <c:pt idx="4">
                  <c:v>1</c:v>
                </c:pt>
                <c:pt idx="5">
                  <c:v>2</c:v>
                </c:pt>
                <c:pt idx="6">
                  <c:v>3</c:v>
                </c:pt>
                <c:pt idx="7">
                  <c:v>4</c:v>
                </c:pt>
                <c:pt idx="8">
                  <c:v>4.8499999999999996</c:v>
                </c:pt>
                <c:pt idx="9">
                  <c:v>5</c:v>
                </c:pt>
                <c:pt idx="10">
                  <c:v>6</c:v>
                </c:pt>
                <c:pt idx="11">
                  <c:v>6.5</c:v>
                </c:pt>
              </c:numCache>
            </c:numRef>
          </c:xVal>
          <c:yVal>
            <c:numRef>
              <c:f>Tools!$B$90:$M$90</c:f>
              <c:numCache>
                <c:formatCode>General</c:formatCode>
                <c:ptCount val="12"/>
                <c:pt idx="0">
                  <c:v>0</c:v>
                </c:pt>
                <c:pt idx="1">
                  <c:v>4.1124999999999998</c:v>
                </c:pt>
                <c:pt idx="2">
                  <c:v>9.15</c:v>
                </c:pt>
                <c:pt idx="3">
                  <c:v>14.752499999999998</c:v>
                </c:pt>
                <c:pt idx="4">
                  <c:v>20.83</c:v>
                </c:pt>
                <c:pt idx="5">
                  <c:v>47.536666666666662</c:v>
                </c:pt>
                <c:pt idx="6">
                  <c:v>76.963333333333338</c:v>
                </c:pt>
                <c:pt idx="7">
                  <c:v>107.92226666666666</c:v>
                </c:pt>
                <c:pt idx="8">
                  <c:v>135.59877666666665</c:v>
                </c:pt>
                <c:pt idx="9">
                  <c:v>140.58573333333334</c:v>
                </c:pt>
                <c:pt idx="10">
                  <c:v>175.34786666666668</c:v>
                </c:pt>
                <c:pt idx="11">
                  <c:v>193.42786666666666</c:v>
                </c:pt>
              </c:numCache>
            </c:numRef>
          </c:yVal>
          <c:smooth val="1"/>
        </c:ser>
        <c:ser>
          <c:idx val="21"/>
          <c:order val="21"/>
          <c:tx>
            <c:strRef>
              <c:f>Tools!$DC$83</c:f>
              <c:strCache>
                <c:ptCount val="1"/>
                <c:pt idx="0">
                  <c:v>STN 18.5</c:v>
                </c:pt>
              </c:strCache>
            </c:strRef>
          </c:tx>
          <c:spPr>
            <a:ln w="3175">
              <a:solidFill>
                <a:schemeClr val="accent2">
                  <a:lumMod val="75000"/>
                </a:schemeClr>
              </a:solidFill>
            </a:ln>
          </c:spPr>
          <c:marker>
            <c:symbol val="none"/>
          </c:marker>
          <c:xVal>
            <c:numRef>
              <c:f>Tools!$B$69:$M$69</c:f>
              <c:numCache>
                <c:formatCode>General</c:formatCode>
                <c:ptCount val="12"/>
                <c:pt idx="0">
                  <c:v>0</c:v>
                </c:pt>
                <c:pt idx="1">
                  <c:v>0.25</c:v>
                </c:pt>
                <c:pt idx="2">
                  <c:v>0.5</c:v>
                </c:pt>
                <c:pt idx="3">
                  <c:v>0.75</c:v>
                </c:pt>
                <c:pt idx="4">
                  <c:v>1</c:v>
                </c:pt>
                <c:pt idx="5">
                  <c:v>2</c:v>
                </c:pt>
                <c:pt idx="6">
                  <c:v>3</c:v>
                </c:pt>
                <c:pt idx="7">
                  <c:v>4</c:v>
                </c:pt>
                <c:pt idx="8">
                  <c:v>4.8499999999999996</c:v>
                </c:pt>
                <c:pt idx="9">
                  <c:v>5</c:v>
                </c:pt>
                <c:pt idx="10">
                  <c:v>6</c:v>
                </c:pt>
                <c:pt idx="11">
                  <c:v>6.5</c:v>
                </c:pt>
              </c:numCache>
            </c:numRef>
          </c:xVal>
          <c:yVal>
            <c:numRef>
              <c:f>Tools!$B$91:$M$91</c:f>
              <c:numCache>
                <c:formatCode>General</c:formatCode>
                <c:ptCount val="12"/>
                <c:pt idx="0">
                  <c:v>0</c:v>
                </c:pt>
                <c:pt idx="1">
                  <c:v>2.9008333333333329</c:v>
                </c:pt>
                <c:pt idx="2">
                  <c:v>6.7166666666666659</c:v>
                </c:pt>
                <c:pt idx="3">
                  <c:v>11.077499999999999</c:v>
                </c:pt>
                <c:pt idx="4">
                  <c:v>15.836666666666666</c:v>
                </c:pt>
                <c:pt idx="5">
                  <c:v>37.016666666666666</c:v>
                </c:pt>
                <c:pt idx="6">
                  <c:v>60.476666666666659</c:v>
                </c:pt>
                <c:pt idx="7">
                  <c:v>85.31</c:v>
                </c:pt>
                <c:pt idx="8">
                  <c:v>107.767</c:v>
                </c:pt>
                <c:pt idx="9">
                  <c:v>111.83666666666664</c:v>
                </c:pt>
                <c:pt idx="10">
                  <c:v>140.68333333333334</c:v>
                </c:pt>
                <c:pt idx="11">
                  <c:v>155.98333333333335</c:v>
                </c:pt>
              </c:numCache>
            </c:numRef>
          </c:yVal>
          <c:smooth val="1"/>
        </c:ser>
        <c:ser>
          <c:idx val="22"/>
          <c:order val="22"/>
          <c:tx>
            <c:strRef>
              <c:f>Tools!$DC$84</c:f>
              <c:strCache>
                <c:ptCount val="1"/>
                <c:pt idx="0">
                  <c:v>STN 19</c:v>
                </c:pt>
              </c:strCache>
            </c:strRef>
          </c:tx>
          <c:spPr>
            <a:ln w="3175">
              <a:solidFill>
                <a:srgbClr val="FF0000"/>
              </a:solidFill>
            </a:ln>
          </c:spPr>
          <c:marker>
            <c:symbol val="none"/>
          </c:marker>
          <c:xVal>
            <c:numRef>
              <c:f>Tools!$B$69:$M$69</c:f>
              <c:numCache>
                <c:formatCode>General</c:formatCode>
                <c:ptCount val="12"/>
                <c:pt idx="0">
                  <c:v>0</c:v>
                </c:pt>
                <c:pt idx="1">
                  <c:v>0.25</c:v>
                </c:pt>
                <c:pt idx="2">
                  <c:v>0.5</c:v>
                </c:pt>
                <c:pt idx="3">
                  <c:v>0.75</c:v>
                </c:pt>
                <c:pt idx="4">
                  <c:v>1</c:v>
                </c:pt>
                <c:pt idx="5">
                  <c:v>2</c:v>
                </c:pt>
                <c:pt idx="6">
                  <c:v>3</c:v>
                </c:pt>
                <c:pt idx="7">
                  <c:v>4</c:v>
                </c:pt>
                <c:pt idx="8">
                  <c:v>4.8499999999999996</c:v>
                </c:pt>
                <c:pt idx="9">
                  <c:v>5</c:v>
                </c:pt>
                <c:pt idx="10">
                  <c:v>6</c:v>
                </c:pt>
                <c:pt idx="11">
                  <c:v>6.5</c:v>
                </c:pt>
              </c:numCache>
            </c:numRef>
          </c:xVal>
          <c:yVal>
            <c:numRef>
              <c:f>Tools!$B$92:$M$92</c:f>
              <c:numCache>
                <c:formatCode>General</c:formatCode>
                <c:ptCount val="12"/>
                <c:pt idx="0">
                  <c:v>0</c:v>
                </c:pt>
                <c:pt idx="1">
                  <c:v>1.8383333333333332</c:v>
                </c:pt>
                <c:pt idx="2">
                  <c:v>4.4466666666666663</c:v>
                </c:pt>
                <c:pt idx="3">
                  <c:v>7.4749999999999996</c:v>
                </c:pt>
                <c:pt idx="4">
                  <c:v>10.903333333333332</c:v>
                </c:pt>
                <c:pt idx="5">
                  <c:v>26.336666666666666</c:v>
                </c:pt>
                <c:pt idx="6">
                  <c:v>43.17</c:v>
                </c:pt>
                <c:pt idx="7">
                  <c:v>60.336666666666666</c:v>
                </c:pt>
                <c:pt idx="8">
                  <c:v>76.214666666666659</c:v>
                </c:pt>
                <c:pt idx="9">
                  <c:v>79.236666666666665</c:v>
                </c:pt>
                <c:pt idx="10">
                  <c:v>100.09666666666666</c:v>
                </c:pt>
                <c:pt idx="11">
                  <c:v>111.62666666666667</c:v>
                </c:pt>
              </c:numCache>
            </c:numRef>
          </c:yVal>
          <c:smooth val="1"/>
        </c:ser>
        <c:ser>
          <c:idx val="23"/>
          <c:order val="23"/>
          <c:tx>
            <c:strRef>
              <c:f>Tools!$DC$85</c:f>
              <c:strCache>
                <c:ptCount val="1"/>
                <c:pt idx="0">
                  <c:v>STN 19.5</c:v>
                </c:pt>
              </c:strCache>
            </c:strRef>
          </c:tx>
          <c:spPr>
            <a:ln w="3175">
              <a:solidFill>
                <a:schemeClr val="tx2"/>
              </a:solidFill>
            </a:ln>
          </c:spPr>
          <c:marker>
            <c:symbol val="none"/>
          </c:marker>
          <c:xVal>
            <c:numRef>
              <c:f>Tools!$B$69:$M$69</c:f>
              <c:numCache>
                <c:formatCode>General</c:formatCode>
                <c:ptCount val="12"/>
                <c:pt idx="0">
                  <c:v>0</c:v>
                </c:pt>
                <c:pt idx="1">
                  <c:v>0.25</c:v>
                </c:pt>
                <c:pt idx="2">
                  <c:v>0.5</c:v>
                </c:pt>
                <c:pt idx="3">
                  <c:v>0.75</c:v>
                </c:pt>
                <c:pt idx="4">
                  <c:v>1</c:v>
                </c:pt>
                <c:pt idx="5">
                  <c:v>2</c:v>
                </c:pt>
                <c:pt idx="6">
                  <c:v>3</c:v>
                </c:pt>
                <c:pt idx="7">
                  <c:v>4</c:v>
                </c:pt>
                <c:pt idx="8">
                  <c:v>4.8499999999999996</c:v>
                </c:pt>
                <c:pt idx="9">
                  <c:v>5</c:v>
                </c:pt>
                <c:pt idx="10">
                  <c:v>6</c:v>
                </c:pt>
                <c:pt idx="11">
                  <c:v>6.5</c:v>
                </c:pt>
              </c:numCache>
            </c:numRef>
          </c:xVal>
          <c:yVal>
            <c:numRef>
              <c:f>Tools!$B$93:$M$93</c:f>
              <c:numCache>
                <c:formatCode>General</c:formatCode>
                <c:ptCount val="12"/>
                <c:pt idx="0">
                  <c:v>0</c:v>
                </c:pt>
                <c:pt idx="1">
                  <c:v>0.83250000000000002</c:v>
                </c:pt>
                <c:pt idx="2">
                  <c:v>2.3099999999999996</c:v>
                </c:pt>
                <c:pt idx="3">
                  <c:v>4.1624999999999996</c:v>
                </c:pt>
                <c:pt idx="4">
                  <c:v>6.3299999999999992</c:v>
                </c:pt>
                <c:pt idx="5">
                  <c:v>16.366666666666664</c:v>
                </c:pt>
                <c:pt idx="6">
                  <c:v>26.583333333333329</c:v>
                </c:pt>
                <c:pt idx="7">
                  <c:v>35.566666666666663</c:v>
                </c:pt>
                <c:pt idx="8">
                  <c:v>43.505666666666656</c:v>
                </c:pt>
                <c:pt idx="9">
                  <c:v>45.084933333333325</c:v>
                </c:pt>
                <c:pt idx="10">
                  <c:v>56.133066666666664</c:v>
                </c:pt>
                <c:pt idx="11">
                  <c:v>62.953066666666665</c:v>
                </c:pt>
              </c:numCache>
            </c:numRef>
          </c:yVal>
          <c:smooth val="1"/>
        </c:ser>
        <c:ser>
          <c:idx val="24"/>
          <c:order val="24"/>
          <c:tx>
            <c:strRef>
              <c:f>Tools!$DC$86</c:f>
              <c:strCache>
                <c:ptCount val="1"/>
                <c:pt idx="0">
                  <c:v>STN 20</c:v>
                </c:pt>
              </c:strCache>
            </c:strRef>
          </c:tx>
          <c:spPr>
            <a:ln w="3175">
              <a:solidFill>
                <a:srgbClr val="00B0F0"/>
              </a:solidFill>
            </a:ln>
          </c:spPr>
          <c:marker>
            <c:symbol val="none"/>
          </c:marker>
          <c:xVal>
            <c:numRef>
              <c:f>Tools!$B$69:$M$69</c:f>
              <c:numCache>
                <c:formatCode>General</c:formatCode>
                <c:ptCount val="12"/>
                <c:pt idx="0">
                  <c:v>0</c:v>
                </c:pt>
                <c:pt idx="1">
                  <c:v>0.25</c:v>
                </c:pt>
                <c:pt idx="2">
                  <c:v>0.5</c:v>
                </c:pt>
                <c:pt idx="3">
                  <c:v>0.75</c:v>
                </c:pt>
                <c:pt idx="4">
                  <c:v>1</c:v>
                </c:pt>
                <c:pt idx="5">
                  <c:v>2</c:v>
                </c:pt>
                <c:pt idx="6">
                  <c:v>3</c:v>
                </c:pt>
                <c:pt idx="7">
                  <c:v>4</c:v>
                </c:pt>
                <c:pt idx="8">
                  <c:v>4.8499999999999996</c:v>
                </c:pt>
                <c:pt idx="9">
                  <c:v>5</c:v>
                </c:pt>
                <c:pt idx="10">
                  <c:v>6</c:v>
                </c:pt>
                <c:pt idx="11">
                  <c:v>6.5</c:v>
                </c:pt>
              </c:numCache>
            </c:numRef>
          </c:xVal>
          <c:yVal>
            <c:numRef>
              <c:f>Tools!$B$94:$M$94</c:f>
              <c:numCache>
                <c:formatCode>General</c:formatCode>
                <c:ptCount val="12"/>
                <c:pt idx="0">
                  <c:v>0</c:v>
                </c:pt>
                <c:pt idx="1">
                  <c:v>0.47499999999999998</c:v>
                </c:pt>
                <c:pt idx="2">
                  <c:v>1.5</c:v>
                </c:pt>
                <c:pt idx="3">
                  <c:v>2.8183333333333329</c:v>
                </c:pt>
                <c:pt idx="4">
                  <c:v>4.3166666666666664</c:v>
                </c:pt>
                <c:pt idx="5">
                  <c:v>9.6866666666666656</c:v>
                </c:pt>
                <c:pt idx="6">
                  <c:v>12.996666666666666</c:v>
                </c:pt>
                <c:pt idx="7">
                  <c:v>13.953333333333333</c:v>
                </c:pt>
                <c:pt idx="8">
                  <c:v>14.089333333333332</c:v>
                </c:pt>
                <c:pt idx="9">
                  <c:v>14.129999999999999</c:v>
                </c:pt>
                <c:pt idx="10">
                  <c:v>15.286666666666667</c:v>
                </c:pt>
                <c:pt idx="11">
                  <c:v>17.716666666666669</c:v>
                </c:pt>
              </c:numCache>
            </c:numRef>
          </c:yVal>
          <c:smooth val="1"/>
        </c:ser>
        <c:dLbls>
          <c:showLegendKey val="0"/>
          <c:showVal val="0"/>
          <c:showCatName val="0"/>
          <c:showSerName val="0"/>
          <c:showPercent val="0"/>
          <c:showBubbleSize val="0"/>
        </c:dLbls>
        <c:axId val="977663488"/>
        <c:axId val="977665024"/>
      </c:scatterChart>
      <c:valAx>
        <c:axId val="977663488"/>
        <c:scaling>
          <c:orientation val="minMax"/>
        </c:scaling>
        <c:delete val="0"/>
        <c:axPos val="b"/>
        <c:numFmt formatCode="General" sourceLinked="1"/>
        <c:majorTickMark val="out"/>
        <c:minorTickMark val="none"/>
        <c:tickLblPos val="nextTo"/>
        <c:crossAx val="977665024"/>
        <c:crosses val="autoZero"/>
        <c:crossBetween val="midCat"/>
      </c:valAx>
      <c:valAx>
        <c:axId val="977665024"/>
        <c:scaling>
          <c:orientation val="minMax"/>
          <c:min val="0"/>
        </c:scaling>
        <c:delete val="0"/>
        <c:axPos val="l"/>
        <c:majorGridlines>
          <c:spPr>
            <a:ln>
              <a:solidFill>
                <a:schemeClr val="tx1">
                  <a:alpha val="10000"/>
                </a:schemeClr>
              </a:solidFill>
            </a:ln>
          </c:spPr>
        </c:majorGridlines>
        <c:numFmt formatCode="General" sourceLinked="1"/>
        <c:majorTickMark val="out"/>
        <c:minorTickMark val="none"/>
        <c:tickLblPos val="nextTo"/>
        <c:crossAx val="977663488"/>
        <c:crosses val="autoZero"/>
        <c:crossBetween val="midCat"/>
      </c:valAx>
    </c:plotArea>
    <c:legend>
      <c:legendPos val="r"/>
      <c:layout>
        <c:manualLayout>
          <c:xMode val="edge"/>
          <c:yMode val="edge"/>
          <c:x val="0.88637615078420773"/>
          <c:y val="3.4194088085244746E-2"/>
          <c:w val="0.10332651022718867"/>
          <c:h val="0.96580591191475529"/>
        </c:manualLayout>
      </c:layout>
      <c:overlay val="0"/>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I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607174103237096E-2"/>
          <c:y val="0.14690772508605254"/>
          <c:w val="0.78913528830424595"/>
          <c:h val="0.7565033495065755"/>
        </c:manualLayout>
      </c:layout>
      <c:scatterChart>
        <c:scatterStyle val="smoothMarker"/>
        <c:varyColors val="0"/>
        <c:ser>
          <c:idx val="0"/>
          <c:order val="0"/>
          <c:tx>
            <c:strRef>
              <c:f>Tools!$B$69</c:f>
              <c:strCache>
                <c:ptCount val="1"/>
                <c:pt idx="0">
                  <c:v>0</c:v>
                </c:pt>
              </c:strCache>
            </c:strRef>
          </c:tx>
          <c:marker>
            <c:symbol val="none"/>
          </c:marker>
          <c:xVal>
            <c:numRef>
              <c:f>Tools!$A$70:$A$94</c:f>
              <c:numCache>
                <c:formatCode>General</c:formatCode>
                <c:ptCount val="25"/>
                <c:pt idx="0">
                  <c:v>0</c:v>
                </c:pt>
                <c:pt idx="1">
                  <c:v>0.5</c:v>
                </c:pt>
                <c:pt idx="2">
                  <c:v>1</c:v>
                </c:pt>
                <c:pt idx="3">
                  <c:v>1.5</c:v>
                </c:pt>
                <c:pt idx="4">
                  <c:v>2</c:v>
                </c:pt>
                <c:pt idx="5">
                  <c:v>3</c:v>
                </c:pt>
                <c:pt idx="6">
                  <c:v>4</c:v>
                </c:pt>
                <c:pt idx="7">
                  <c:v>5</c:v>
                </c:pt>
                <c:pt idx="8">
                  <c:v>6</c:v>
                </c:pt>
                <c:pt idx="9">
                  <c:v>7</c:v>
                </c:pt>
                <c:pt idx="10">
                  <c:v>8</c:v>
                </c:pt>
                <c:pt idx="11">
                  <c:v>9</c:v>
                </c:pt>
                <c:pt idx="12">
                  <c:v>10</c:v>
                </c:pt>
                <c:pt idx="13">
                  <c:v>11</c:v>
                </c:pt>
                <c:pt idx="14">
                  <c:v>12</c:v>
                </c:pt>
                <c:pt idx="15">
                  <c:v>13</c:v>
                </c:pt>
                <c:pt idx="16">
                  <c:v>14</c:v>
                </c:pt>
                <c:pt idx="17">
                  <c:v>15</c:v>
                </c:pt>
                <c:pt idx="18">
                  <c:v>16</c:v>
                </c:pt>
                <c:pt idx="19">
                  <c:v>17</c:v>
                </c:pt>
                <c:pt idx="20">
                  <c:v>18</c:v>
                </c:pt>
                <c:pt idx="21">
                  <c:v>18.5</c:v>
                </c:pt>
                <c:pt idx="22">
                  <c:v>19</c:v>
                </c:pt>
                <c:pt idx="23">
                  <c:v>19.5</c:v>
                </c:pt>
                <c:pt idx="24">
                  <c:v>20</c:v>
                </c:pt>
              </c:numCache>
            </c:numRef>
          </c:xVal>
          <c:yVal>
            <c:numRef>
              <c:f>Tools!$B$70:$B$94</c:f>
              <c:numCache>
                <c:formatCode>General</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yVal>
          <c:smooth val="1"/>
        </c:ser>
        <c:ser>
          <c:idx val="1"/>
          <c:order val="1"/>
          <c:tx>
            <c:strRef>
              <c:f>Tools!$C$69</c:f>
              <c:strCache>
                <c:ptCount val="1"/>
                <c:pt idx="0">
                  <c:v>0.25</c:v>
                </c:pt>
              </c:strCache>
            </c:strRef>
          </c:tx>
          <c:marker>
            <c:symbol val="none"/>
          </c:marker>
          <c:xVal>
            <c:numRef>
              <c:f>Tools!$A$70:$A$94</c:f>
              <c:numCache>
                <c:formatCode>General</c:formatCode>
                <c:ptCount val="25"/>
                <c:pt idx="0">
                  <c:v>0</c:v>
                </c:pt>
                <c:pt idx="1">
                  <c:v>0.5</c:v>
                </c:pt>
                <c:pt idx="2">
                  <c:v>1</c:v>
                </c:pt>
                <c:pt idx="3">
                  <c:v>1.5</c:v>
                </c:pt>
                <c:pt idx="4">
                  <c:v>2</c:v>
                </c:pt>
                <c:pt idx="5">
                  <c:v>3</c:v>
                </c:pt>
                <c:pt idx="6">
                  <c:v>4</c:v>
                </c:pt>
                <c:pt idx="7">
                  <c:v>5</c:v>
                </c:pt>
                <c:pt idx="8">
                  <c:v>6</c:v>
                </c:pt>
                <c:pt idx="9">
                  <c:v>7</c:v>
                </c:pt>
                <c:pt idx="10">
                  <c:v>8</c:v>
                </c:pt>
                <c:pt idx="11">
                  <c:v>9</c:v>
                </c:pt>
                <c:pt idx="12">
                  <c:v>10</c:v>
                </c:pt>
                <c:pt idx="13">
                  <c:v>11</c:v>
                </c:pt>
                <c:pt idx="14">
                  <c:v>12</c:v>
                </c:pt>
                <c:pt idx="15">
                  <c:v>13</c:v>
                </c:pt>
                <c:pt idx="16">
                  <c:v>14</c:v>
                </c:pt>
                <c:pt idx="17">
                  <c:v>15</c:v>
                </c:pt>
                <c:pt idx="18">
                  <c:v>16</c:v>
                </c:pt>
                <c:pt idx="19">
                  <c:v>17</c:v>
                </c:pt>
                <c:pt idx="20">
                  <c:v>18</c:v>
                </c:pt>
                <c:pt idx="21">
                  <c:v>18.5</c:v>
                </c:pt>
                <c:pt idx="22">
                  <c:v>19</c:v>
                </c:pt>
                <c:pt idx="23">
                  <c:v>19.5</c:v>
                </c:pt>
                <c:pt idx="24">
                  <c:v>20</c:v>
                </c:pt>
              </c:numCache>
            </c:numRef>
          </c:xVal>
          <c:yVal>
            <c:numRef>
              <c:f>Tools!$C$70:$C$94</c:f>
              <c:numCache>
                <c:formatCode>General</c:formatCode>
                <c:ptCount val="25"/>
                <c:pt idx="0">
                  <c:v>0</c:v>
                </c:pt>
                <c:pt idx="1">
                  <c:v>0.15833333333333333</c:v>
                </c:pt>
                <c:pt idx="2">
                  <c:v>0.40166666666666667</c:v>
                </c:pt>
                <c:pt idx="3">
                  <c:v>0.75583333333333336</c:v>
                </c:pt>
                <c:pt idx="4">
                  <c:v>1.2566666666666664</c:v>
                </c:pt>
                <c:pt idx="5">
                  <c:v>2.6574999999999998</c:v>
                </c:pt>
                <c:pt idx="6">
                  <c:v>4.6150000000000002</c:v>
                </c:pt>
                <c:pt idx="7">
                  <c:v>6.6216666666666661</c:v>
                </c:pt>
                <c:pt idx="8">
                  <c:v>8.4333333333333336</c:v>
                </c:pt>
                <c:pt idx="9">
                  <c:v>9.4450000000000003</c:v>
                </c:pt>
                <c:pt idx="10">
                  <c:v>9.9558333333333309</c:v>
                </c:pt>
                <c:pt idx="11">
                  <c:v>10.112499999999999</c:v>
                </c:pt>
                <c:pt idx="12">
                  <c:v>10.112499999999999</c:v>
                </c:pt>
                <c:pt idx="13">
                  <c:v>10.112499999999999</c:v>
                </c:pt>
                <c:pt idx="14">
                  <c:v>10.112499999999999</c:v>
                </c:pt>
                <c:pt idx="15">
                  <c:v>10.112499999999999</c:v>
                </c:pt>
                <c:pt idx="16">
                  <c:v>9.9499999999999993</c:v>
                </c:pt>
                <c:pt idx="17">
                  <c:v>9.3649999999999984</c:v>
                </c:pt>
                <c:pt idx="18">
                  <c:v>8.1541666666666668</c:v>
                </c:pt>
                <c:pt idx="19">
                  <c:v>6.2966666666666669</c:v>
                </c:pt>
                <c:pt idx="20">
                  <c:v>4.1124999999999998</c:v>
                </c:pt>
                <c:pt idx="21">
                  <c:v>2.9008333333333329</c:v>
                </c:pt>
                <c:pt idx="22">
                  <c:v>1.8383333333333332</c:v>
                </c:pt>
                <c:pt idx="23">
                  <c:v>0.83250000000000002</c:v>
                </c:pt>
                <c:pt idx="24">
                  <c:v>0.47499999999999998</c:v>
                </c:pt>
              </c:numCache>
            </c:numRef>
          </c:yVal>
          <c:smooth val="1"/>
        </c:ser>
        <c:ser>
          <c:idx val="2"/>
          <c:order val="2"/>
          <c:tx>
            <c:strRef>
              <c:f>Tools!$D$69</c:f>
              <c:strCache>
                <c:ptCount val="1"/>
                <c:pt idx="0">
                  <c:v>0.5</c:v>
                </c:pt>
              </c:strCache>
            </c:strRef>
          </c:tx>
          <c:marker>
            <c:symbol val="none"/>
          </c:marker>
          <c:xVal>
            <c:numRef>
              <c:f>Tools!$A$70:$A$94</c:f>
              <c:numCache>
                <c:formatCode>General</c:formatCode>
                <c:ptCount val="25"/>
                <c:pt idx="0">
                  <c:v>0</c:v>
                </c:pt>
                <c:pt idx="1">
                  <c:v>0.5</c:v>
                </c:pt>
                <c:pt idx="2">
                  <c:v>1</c:v>
                </c:pt>
                <c:pt idx="3">
                  <c:v>1.5</c:v>
                </c:pt>
                <c:pt idx="4">
                  <c:v>2</c:v>
                </c:pt>
                <c:pt idx="5">
                  <c:v>3</c:v>
                </c:pt>
                <c:pt idx="6">
                  <c:v>4</c:v>
                </c:pt>
                <c:pt idx="7">
                  <c:v>5</c:v>
                </c:pt>
                <c:pt idx="8">
                  <c:v>6</c:v>
                </c:pt>
                <c:pt idx="9">
                  <c:v>7</c:v>
                </c:pt>
                <c:pt idx="10">
                  <c:v>8</c:v>
                </c:pt>
                <c:pt idx="11">
                  <c:v>9</c:v>
                </c:pt>
                <c:pt idx="12">
                  <c:v>10</c:v>
                </c:pt>
                <c:pt idx="13">
                  <c:v>11</c:v>
                </c:pt>
                <c:pt idx="14">
                  <c:v>12</c:v>
                </c:pt>
                <c:pt idx="15">
                  <c:v>13</c:v>
                </c:pt>
                <c:pt idx="16">
                  <c:v>14</c:v>
                </c:pt>
                <c:pt idx="17">
                  <c:v>15</c:v>
                </c:pt>
                <c:pt idx="18">
                  <c:v>16</c:v>
                </c:pt>
                <c:pt idx="19">
                  <c:v>17</c:v>
                </c:pt>
                <c:pt idx="20">
                  <c:v>18</c:v>
                </c:pt>
                <c:pt idx="21">
                  <c:v>18.5</c:v>
                </c:pt>
                <c:pt idx="22">
                  <c:v>19</c:v>
                </c:pt>
                <c:pt idx="23">
                  <c:v>19.5</c:v>
                </c:pt>
                <c:pt idx="24">
                  <c:v>20</c:v>
                </c:pt>
              </c:numCache>
            </c:numRef>
          </c:xVal>
          <c:yVal>
            <c:numRef>
              <c:f>Tools!$D$70:$D$94</c:f>
              <c:numCache>
                <c:formatCode>General</c:formatCode>
                <c:ptCount val="25"/>
                <c:pt idx="0">
                  <c:v>0</c:v>
                </c:pt>
                <c:pt idx="1">
                  <c:v>0.3666666666666667</c:v>
                </c:pt>
                <c:pt idx="2">
                  <c:v>0.99333333333333329</c:v>
                </c:pt>
                <c:pt idx="3">
                  <c:v>1.9366666666666668</c:v>
                </c:pt>
                <c:pt idx="4">
                  <c:v>3.1333333333333333</c:v>
                </c:pt>
                <c:pt idx="5">
                  <c:v>6.45</c:v>
                </c:pt>
                <c:pt idx="6">
                  <c:v>10.46</c:v>
                </c:pt>
                <c:pt idx="7">
                  <c:v>14.353333333333332</c:v>
                </c:pt>
                <c:pt idx="8">
                  <c:v>17.666666666666664</c:v>
                </c:pt>
                <c:pt idx="9">
                  <c:v>19.54</c:v>
                </c:pt>
                <c:pt idx="10">
                  <c:v>20.496666666666666</c:v>
                </c:pt>
                <c:pt idx="11">
                  <c:v>20.75</c:v>
                </c:pt>
                <c:pt idx="12">
                  <c:v>20.75</c:v>
                </c:pt>
                <c:pt idx="13">
                  <c:v>20.75</c:v>
                </c:pt>
                <c:pt idx="14">
                  <c:v>20.75</c:v>
                </c:pt>
                <c:pt idx="15">
                  <c:v>20.75</c:v>
                </c:pt>
                <c:pt idx="16">
                  <c:v>20.479999999999997</c:v>
                </c:pt>
                <c:pt idx="17">
                  <c:v>19.38</c:v>
                </c:pt>
                <c:pt idx="18">
                  <c:v>17.143333333333334</c:v>
                </c:pt>
                <c:pt idx="19">
                  <c:v>13.573333333333332</c:v>
                </c:pt>
                <c:pt idx="20">
                  <c:v>9.15</c:v>
                </c:pt>
                <c:pt idx="21">
                  <c:v>6.7166666666666659</c:v>
                </c:pt>
                <c:pt idx="22">
                  <c:v>4.4466666666666663</c:v>
                </c:pt>
                <c:pt idx="23">
                  <c:v>2.3099999999999996</c:v>
                </c:pt>
                <c:pt idx="24">
                  <c:v>1.5</c:v>
                </c:pt>
              </c:numCache>
            </c:numRef>
          </c:yVal>
          <c:smooth val="1"/>
        </c:ser>
        <c:ser>
          <c:idx val="3"/>
          <c:order val="3"/>
          <c:tx>
            <c:strRef>
              <c:f>Tools!$E$69</c:f>
              <c:strCache>
                <c:ptCount val="1"/>
                <c:pt idx="0">
                  <c:v>0.75</c:v>
                </c:pt>
              </c:strCache>
            </c:strRef>
          </c:tx>
          <c:marker>
            <c:symbol val="none"/>
          </c:marker>
          <c:xVal>
            <c:numRef>
              <c:f>Tools!$A$70:$A$94</c:f>
              <c:numCache>
                <c:formatCode>General</c:formatCode>
                <c:ptCount val="25"/>
                <c:pt idx="0">
                  <c:v>0</c:v>
                </c:pt>
                <c:pt idx="1">
                  <c:v>0.5</c:v>
                </c:pt>
                <c:pt idx="2">
                  <c:v>1</c:v>
                </c:pt>
                <c:pt idx="3">
                  <c:v>1.5</c:v>
                </c:pt>
                <c:pt idx="4">
                  <c:v>2</c:v>
                </c:pt>
                <c:pt idx="5">
                  <c:v>3</c:v>
                </c:pt>
                <c:pt idx="6">
                  <c:v>4</c:v>
                </c:pt>
                <c:pt idx="7">
                  <c:v>5</c:v>
                </c:pt>
                <c:pt idx="8">
                  <c:v>6</c:v>
                </c:pt>
                <c:pt idx="9">
                  <c:v>7</c:v>
                </c:pt>
                <c:pt idx="10">
                  <c:v>8</c:v>
                </c:pt>
                <c:pt idx="11">
                  <c:v>9</c:v>
                </c:pt>
                <c:pt idx="12">
                  <c:v>10</c:v>
                </c:pt>
                <c:pt idx="13">
                  <c:v>11</c:v>
                </c:pt>
                <c:pt idx="14">
                  <c:v>12</c:v>
                </c:pt>
                <c:pt idx="15">
                  <c:v>13</c:v>
                </c:pt>
                <c:pt idx="16">
                  <c:v>14</c:v>
                </c:pt>
                <c:pt idx="17">
                  <c:v>15</c:v>
                </c:pt>
                <c:pt idx="18">
                  <c:v>16</c:v>
                </c:pt>
                <c:pt idx="19">
                  <c:v>17</c:v>
                </c:pt>
                <c:pt idx="20">
                  <c:v>18</c:v>
                </c:pt>
                <c:pt idx="21">
                  <c:v>18.5</c:v>
                </c:pt>
                <c:pt idx="22">
                  <c:v>19</c:v>
                </c:pt>
                <c:pt idx="23">
                  <c:v>19.5</c:v>
                </c:pt>
                <c:pt idx="24">
                  <c:v>20</c:v>
                </c:pt>
              </c:numCache>
            </c:numRef>
          </c:xVal>
          <c:yVal>
            <c:numRef>
              <c:f>Tools!$E$70:$E$94</c:f>
              <c:numCache>
                <c:formatCode>General</c:formatCode>
                <c:ptCount val="25"/>
                <c:pt idx="0">
                  <c:v>0</c:v>
                </c:pt>
                <c:pt idx="1">
                  <c:v>0.56166666666666665</c:v>
                </c:pt>
                <c:pt idx="2">
                  <c:v>1.7516666666666665</c:v>
                </c:pt>
                <c:pt idx="3">
                  <c:v>3.4358333333333335</c:v>
                </c:pt>
                <c:pt idx="4">
                  <c:v>5.5033333333333321</c:v>
                </c:pt>
                <c:pt idx="5">
                  <c:v>10.897499999999997</c:v>
                </c:pt>
                <c:pt idx="6">
                  <c:v>17.015000000000001</c:v>
                </c:pt>
                <c:pt idx="7">
                  <c:v>22.768333333333331</c:v>
                </c:pt>
                <c:pt idx="8">
                  <c:v>27.38</c:v>
                </c:pt>
                <c:pt idx="9">
                  <c:v>29.988333333333333</c:v>
                </c:pt>
                <c:pt idx="10">
                  <c:v>31.259166666666662</c:v>
                </c:pt>
                <c:pt idx="11">
                  <c:v>31.572499999999998</c:v>
                </c:pt>
                <c:pt idx="12">
                  <c:v>31.572499999999998</c:v>
                </c:pt>
                <c:pt idx="13">
                  <c:v>31.572499999999998</c:v>
                </c:pt>
                <c:pt idx="14">
                  <c:v>31.572499999999998</c:v>
                </c:pt>
                <c:pt idx="15">
                  <c:v>31.572499999999998</c:v>
                </c:pt>
                <c:pt idx="16">
                  <c:v>31.226666666666663</c:v>
                </c:pt>
                <c:pt idx="17">
                  <c:v>29.71833333333333</c:v>
                </c:pt>
                <c:pt idx="18">
                  <c:v>26.614166666666662</c:v>
                </c:pt>
                <c:pt idx="19">
                  <c:v>21.353333333333332</c:v>
                </c:pt>
                <c:pt idx="20">
                  <c:v>14.752499999999998</c:v>
                </c:pt>
                <c:pt idx="21">
                  <c:v>11.077499999999999</c:v>
                </c:pt>
                <c:pt idx="22">
                  <c:v>7.4749999999999996</c:v>
                </c:pt>
                <c:pt idx="23">
                  <c:v>4.1624999999999996</c:v>
                </c:pt>
                <c:pt idx="24">
                  <c:v>2.8183333333333329</c:v>
                </c:pt>
              </c:numCache>
            </c:numRef>
          </c:yVal>
          <c:smooth val="1"/>
        </c:ser>
        <c:ser>
          <c:idx val="4"/>
          <c:order val="4"/>
          <c:tx>
            <c:strRef>
              <c:f>Tools!$F$69</c:f>
              <c:strCache>
                <c:ptCount val="1"/>
                <c:pt idx="0">
                  <c:v>1</c:v>
                </c:pt>
              </c:strCache>
            </c:strRef>
          </c:tx>
          <c:marker>
            <c:symbol val="none"/>
          </c:marker>
          <c:xVal>
            <c:numRef>
              <c:f>Tools!$A$70:$A$94</c:f>
              <c:numCache>
                <c:formatCode>General</c:formatCode>
                <c:ptCount val="25"/>
                <c:pt idx="0">
                  <c:v>0</c:v>
                </c:pt>
                <c:pt idx="1">
                  <c:v>0.5</c:v>
                </c:pt>
                <c:pt idx="2">
                  <c:v>1</c:v>
                </c:pt>
                <c:pt idx="3">
                  <c:v>1.5</c:v>
                </c:pt>
                <c:pt idx="4">
                  <c:v>2</c:v>
                </c:pt>
                <c:pt idx="5">
                  <c:v>3</c:v>
                </c:pt>
                <c:pt idx="6">
                  <c:v>4</c:v>
                </c:pt>
                <c:pt idx="7">
                  <c:v>5</c:v>
                </c:pt>
                <c:pt idx="8">
                  <c:v>6</c:v>
                </c:pt>
                <c:pt idx="9">
                  <c:v>7</c:v>
                </c:pt>
                <c:pt idx="10">
                  <c:v>8</c:v>
                </c:pt>
                <c:pt idx="11">
                  <c:v>9</c:v>
                </c:pt>
                <c:pt idx="12">
                  <c:v>10</c:v>
                </c:pt>
                <c:pt idx="13">
                  <c:v>11</c:v>
                </c:pt>
                <c:pt idx="14">
                  <c:v>12</c:v>
                </c:pt>
                <c:pt idx="15">
                  <c:v>13</c:v>
                </c:pt>
                <c:pt idx="16">
                  <c:v>14</c:v>
                </c:pt>
                <c:pt idx="17">
                  <c:v>15</c:v>
                </c:pt>
                <c:pt idx="18">
                  <c:v>16</c:v>
                </c:pt>
                <c:pt idx="19">
                  <c:v>17</c:v>
                </c:pt>
                <c:pt idx="20">
                  <c:v>18</c:v>
                </c:pt>
                <c:pt idx="21">
                  <c:v>18.5</c:v>
                </c:pt>
                <c:pt idx="22">
                  <c:v>19</c:v>
                </c:pt>
                <c:pt idx="23">
                  <c:v>19.5</c:v>
                </c:pt>
                <c:pt idx="24">
                  <c:v>20</c:v>
                </c:pt>
              </c:numCache>
            </c:numRef>
          </c:xVal>
          <c:yVal>
            <c:numRef>
              <c:f>Tools!$F$70:$F$94</c:f>
              <c:numCache>
                <c:formatCode>General</c:formatCode>
                <c:ptCount val="25"/>
                <c:pt idx="0">
                  <c:v>0</c:v>
                </c:pt>
                <c:pt idx="1">
                  <c:v>0.79666666666666663</c:v>
                </c:pt>
                <c:pt idx="2">
                  <c:v>2.6533333333333333</c:v>
                </c:pt>
                <c:pt idx="3">
                  <c:v>5.2166666666666668</c:v>
                </c:pt>
                <c:pt idx="4">
                  <c:v>8.2766666666666655</c:v>
                </c:pt>
                <c:pt idx="5">
                  <c:v>15.849999999999998</c:v>
                </c:pt>
                <c:pt idx="6">
                  <c:v>24.083333333333332</c:v>
                </c:pt>
                <c:pt idx="7">
                  <c:v>31.68333333333333</c:v>
                </c:pt>
                <c:pt idx="8">
                  <c:v>37.486666666666665</c:v>
                </c:pt>
                <c:pt idx="9">
                  <c:v>40.706666666666663</c:v>
                </c:pt>
                <c:pt idx="10">
                  <c:v>42.25333333333333</c:v>
                </c:pt>
                <c:pt idx="11">
                  <c:v>42.573333333333331</c:v>
                </c:pt>
                <c:pt idx="12">
                  <c:v>42.573333333333331</c:v>
                </c:pt>
                <c:pt idx="13">
                  <c:v>42.573333333333331</c:v>
                </c:pt>
                <c:pt idx="14">
                  <c:v>42.573333333333331</c:v>
                </c:pt>
                <c:pt idx="15">
                  <c:v>42.573333333333331</c:v>
                </c:pt>
                <c:pt idx="16">
                  <c:v>42.193333333333328</c:v>
                </c:pt>
                <c:pt idx="17">
                  <c:v>40.346666666666664</c:v>
                </c:pt>
                <c:pt idx="18">
                  <c:v>36.416666666666664</c:v>
                </c:pt>
                <c:pt idx="19">
                  <c:v>29.619999999999997</c:v>
                </c:pt>
                <c:pt idx="20">
                  <c:v>20.83</c:v>
                </c:pt>
                <c:pt idx="21">
                  <c:v>15.836666666666666</c:v>
                </c:pt>
                <c:pt idx="22">
                  <c:v>10.903333333333332</c:v>
                </c:pt>
                <c:pt idx="23">
                  <c:v>6.3299999999999992</c:v>
                </c:pt>
                <c:pt idx="24">
                  <c:v>4.3166666666666664</c:v>
                </c:pt>
              </c:numCache>
            </c:numRef>
          </c:yVal>
          <c:smooth val="1"/>
        </c:ser>
        <c:ser>
          <c:idx val="5"/>
          <c:order val="5"/>
          <c:tx>
            <c:strRef>
              <c:f>Tools!$G$69</c:f>
              <c:strCache>
                <c:ptCount val="1"/>
                <c:pt idx="0">
                  <c:v>2</c:v>
                </c:pt>
              </c:strCache>
            </c:strRef>
          </c:tx>
          <c:marker>
            <c:symbol val="none"/>
          </c:marker>
          <c:xVal>
            <c:numRef>
              <c:f>Tools!$A$70:$A$94</c:f>
              <c:numCache>
                <c:formatCode>General</c:formatCode>
                <c:ptCount val="25"/>
                <c:pt idx="0">
                  <c:v>0</c:v>
                </c:pt>
                <c:pt idx="1">
                  <c:v>0.5</c:v>
                </c:pt>
                <c:pt idx="2">
                  <c:v>1</c:v>
                </c:pt>
                <c:pt idx="3">
                  <c:v>1.5</c:v>
                </c:pt>
                <c:pt idx="4">
                  <c:v>2</c:v>
                </c:pt>
                <c:pt idx="5">
                  <c:v>3</c:v>
                </c:pt>
                <c:pt idx="6">
                  <c:v>4</c:v>
                </c:pt>
                <c:pt idx="7">
                  <c:v>5</c:v>
                </c:pt>
                <c:pt idx="8">
                  <c:v>6</c:v>
                </c:pt>
                <c:pt idx="9">
                  <c:v>7</c:v>
                </c:pt>
                <c:pt idx="10">
                  <c:v>8</c:v>
                </c:pt>
                <c:pt idx="11">
                  <c:v>9</c:v>
                </c:pt>
                <c:pt idx="12">
                  <c:v>10</c:v>
                </c:pt>
                <c:pt idx="13">
                  <c:v>11</c:v>
                </c:pt>
                <c:pt idx="14">
                  <c:v>12</c:v>
                </c:pt>
                <c:pt idx="15">
                  <c:v>13</c:v>
                </c:pt>
                <c:pt idx="16">
                  <c:v>14</c:v>
                </c:pt>
                <c:pt idx="17">
                  <c:v>15</c:v>
                </c:pt>
                <c:pt idx="18">
                  <c:v>16</c:v>
                </c:pt>
                <c:pt idx="19">
                  <c:v>17</c:v>
                </c:pt>
                <c:pt idx="20">
                  <c:v>18</c:v>
                </c:pt>
                <c:pt idx="21">
                  <c:v>18.5</c:v>
                </c:pt>
                <c:pt idx="22">
                  <c:v>19</c:v>
                </c:pt>
                <c:pt idx="23">
                  <c:v>19.5</c:v>
                </c:pt>
                <c:pt idx="24">
                  <c:v>20</c:v>
                </c:pt>
              </c:numCache>
            </c:numRef>
          </c:xVal>
          <c:yVal>
            <c:numRef>
              <c:f>Tools!$G$70:$G$94</c:f>
              <c:numCache>
                <c:formatCode>General</c:formatCode>
                <c:ptCount val="25"/>
                <c:pt idx="0">
                  <c:v>0</c:v>
                </c:pt>
                <c:pt idx="1">
                  <c:v>1.8733333333333333</c:v>
                </c:pt>
                <c:pt idx="2">
                  <c:v>7.37</c:v>
                </c:pt>
                <c:pt idx="3">
                  <c:v>14.573333333333332</c:v>
                </c:pt>
                <c:pt idx="4">
                  <c:v>22.519999999999996</c:v>
                </c:pt>
                <c:pt idx="5">
                  <c:v>39.633333333333326</c:v>
                </c:pt>
                <c:pt idx="6">
                  <c:v>56.043333333333329</c:v>
                </c:pt>
                <c:pt idx="7">
                  <c:v>69.899999999999991</c:v>
                </c:pt>
                <c:pt idx="8">
                  <c:v>79.653333333333336</c:v>
                </c:pt>
                <c:pt idx="9">
                  <c:v>84.373333333333335</c:v>
                </c:pt>
                <c:pt idx="10">
                  <c:v>86.25333333333333</c:v>
                </c:pt>
                <c:pt idx="11">
                  <c:v>86.573333333333323</c:v>
                </c:pt>
                <c:pt idx="12">
                  <c:v>86.573333333333323</c:v>
                </c:pt>
                <c:pt idx="13">
                  <c:v>86.573333333333323</c:v>
                </c:pt>
                <c:pt idx="14">
                  <c:v>86.573333333333323</c:v>
                </c:pt>
                <c:pt idx="15">
                  <c:v>86.573333333333323</c:v>
                </c:pt>
                <c:pt idx="16">
                  <c:v>86.193333333333328</c:v>
                </c:pt>
                <c:pt idx="17">
                  <c:v>83.846666666666664</c:v>
                </c:pt>
                <c:pt idx="18">
                  <c:v>77.366666666666674</c:v>
                </c:pt>
                <c:pt idx="19">
                  <c:v>65.276666666666671</c:v>
                </c:pt>
                <c:pt idx="20">
                  <c:v>47.536666666666662</c:v>
                </c:pt>
                <c:pt idx="21">
                  <c:v>37.016666666666666</c:v>
                </c:pt>
                <c:pt idx="22">
                  <c:v>26.336666666666666</c:v>
                </c:pt>
                <c:pt idx="23">
                  <c:v>16.366666666666664</c:v>
                </c:pt>
                <c:pt idx="24">
                  <c:v>9.6866666666666656</c:v>
                </c:pt>
              </c:numCache>
            </c:numRef>
          </c:yVal>
          <c:smooth val="1"/>
        </c:ser>
        <c:ser>
          <c:idx val="6"/>
          <c:order val="6"/>
          <c:tx>
            <c:strRef>
              <c:f>Tools!$H$69</c:f>
              <c:strCache>
                <c:ptCount val="1"/>
                <c:pt idx="0">
                  <c:v>3</c:v>
                </c:pt>
              </c:strCache>
            </c:strRef>
          </c:tx>
          <c:marker>
            <c:symbol val="none"/>
          </c:marker>
          <c:xVal>
            <c:numRef>
              <c:f>Tools!$A$70:$A$94</c:f>
              <c:numCache>
                <c:formatCode>General</c:formatCode>
                <c:ptCount val="25"/>
                <c:pt idx="0">
                  <c:v>0</c:v>
                </c:pt>
                <c:pt idx="1">
                  <c:v>0.5</c:v>
                </c:pt>
                <c:pt idx="2">
                  <c:v>1</c:v>
                </c:pt>
                <c:pt idx="3">
                  <c:v>1.5</c:v>
                </c:pt>
                <c:pt idx="4">
                  <c:v>2</c:v>
                </c:pt>
                <c:pt idx="5">
                  <c:v>3</c:v>
                </c:pt>
                <c:pt idx="6">
                  <c:v>4</c:v>
                </c:pt>
                <c:pt idx="7">
                  <c:v>5</c:v>
                </c:pt>
                <c:pt idx="8">
                  <c:v>6</c:v>
                </c:pt>
                <c:pt idx="9">
                  <c:v>7</c:v>
                </c:pt>
                <c:pt idx="10">
                  <c:v>8</c:v>
                </c:pt>
                <c:pt idx="11">
                  <c:v>9</c:v>
                </c:pt>
                <c:pt idx="12">
                  <c:v>10</c:v>
                </c:pt>
                <c:pt idx="13">
                  <c:v>11</c:v>
                </c:pt>
                <c:pt idx="14">
                  <c:v>12</c:v>
                </c:pt>
                <c:pt idx="15">
                  <c:v>13</c:v>
                </c:pt>
                <c:pt idx="16">
                  <c:v>14</c:v>
                </c:pt>
                <c:pt idx="17">
                  <c:v>15</c:v>
                </c:pt>
                <c:pt idx="18">
                  <c:v>16</c:v>
                </c:pt>
                <c:pt idx="19">
                  <c:v>17</c:v>
                </c:pt>
                <c:pt idx="20">
                  <c:v>18</c:v>
                </c:pt>
                <c:pt idx="21">
                  <c:v>18.5</c:v>
                </c:pt>
                <c:pt idx="22">
                  <c:v>19</c:v>
                </c:pt>
                <c:pt idx="23">
                  <c:v>19.5</c:v>
                </c:pt>
                <c:pt idx="24">
                  <c:v>20</c:v>
                </c:pt>
              </c:numCache>
            </c:numRef>
          </c:xVal>
          <c:yVal>
            <c:numRef>
              <c:f>Tools!$H$70:$H$94</c:f>
              <c:numCache>
                <c:formatCode>General</c:formatCode>
                <c:ptCount val="25"/>
                <c:pt idx="0">
                  <c:v>0</c:v>
                </c:pt>
                <c:pt idx="1">
                  <c:v>3.7699999999999996</c:v>
                </c:pt>
                <c:pt idx="2">
                  <c:v>14.666666666666664</c:v>
                </c:pt>
                <c:pt idx="3">
                  <c:v>27.870000000000005</c:v>
                </c:pt>
                <c:pt idx="4">
                  <c:v>41.463333333333331</c:v>
                </c:pt>
                <c:pt idx="5">
                  <c:v>68.636666666666656</c:v>
                </c:pt>
                <c:pt idx="6">
                  <c:v>92.323333333333309</c:v>
                </c:pt>
                <c:pt idx="7">
                  <c:v>110.57666666666665</c:v>
                </c:pt>
                <c:pt idx="8">
                  <c:v>123.22000000000001</c:v>
                </c:pt>
                <c:pt idx="9">
                  <c:v>128.44</c:v>
                </c:pt>
                <c:pt idx="10">
                  <c:v>130.25333333333333</c:v>
                </c:pt>
                <c:pt idx="11">
                  <c:v>130.57333333333332</c:v>
                </c:pt>
                <c:pt idx="12">
                  <c:v>130.57333333333332</c:v>
                </c:pt>
                <c:pt idx="13">
                  <c:v>130.57333333333332</c:v>
                </c:pt>
                <c:pt idx="14">
                  <c:v>130.57333333333332</c:v>
                </c:pt>
                <c:pt idx="15">
                  <c:v>130.57333333333332</c:v>
                </c:pt>
                <c:pt idx="16">
                  <c:v>130.19333333333333</c:v>
                </c:pt>
                <c:pt idx="17">
                  <c:v>127.94666666666666</c:v>
                </c:pt>
                <c:pt idx="18">
                  <c:v>119.89666666666665</c:v>
                </c:pt>
                <c:pt idx="19">
                  <c:v>103.47333333333333</c:v>
                </c:pt>
                <c:pt idx="20">
                  <c:v>76.963333333333338</c:v>
                </c:pt>
                <c:pt idx="21">
                  <c:v>60.476666666666659</c:v>
                </c:pt>
                <c:pt idx="22">
                  <c:v>43.17</c:v>
                </c:pt>
                <c:pt idx="23">
                  <c:v>26.583333333333329</c:v>
                </c:pt>
                <c:pt idx="24">
                  <c:v>12.996666666666666</c:v>
                </c:pt>
              </c:numCache>
            </c:numRef>
          </c:yVal>
          <c:smooth val="1"/>
        </c:ser>
        <c:ser>
          <c:idx val="7"/>
          <c:order val="7"/>
          <c:tx>
            <c:strRef>
              <c:f>Tools!$I$69</c:f>
              <c:strCache>
                <c:ptCount val="1"/>
                <c:pt idx="0">
                  <c:v>4</c:v>
                </c:pt>
              </c:strCache>
            </c:strRef>
          </c:tx>
          <c:marker>
            <c:symbol val="none"/>
          </c:marker>
          <c:xVal>
            <c:numRef>
              <c:f>Tools!$A$70:$A$94</c:f>
              <c:numCache>
                <c:formatCode>General</c:formatCode>
                <c:ptCount val="25"/>
                <c:pt idx="0">
                  <c:v>0</c:v>
                </c:pt>
                <c:pt idx="1">
                  <c:v>0.5</c:v>
                </c:pt>
                <c:pt idx="2">
                  <c:v>1</c:v>
                </c:pt>
                <c:pt idx="3">
                  <c:v>1.5</c:v>
                </c:pt>
                <c:pt idx="4">
                  <c:v>2</c:v>
                </c:pt>
                <c:pt idx="5">
                  <c:v>3</c:v>
                </c:pt>
                <c:pt idx="6">
                  <c:v>4</c:v>
                </c:pt>
                <c:pt idx="7">
                  <c:v>5</c:v>
                </c:pt>
                <c:pt idx="8">
                  <c:v>6</c:v>
                </c:pt>
                <c:pt idx="9">
                  <c:v>7</c:v>
                </c:pt>
                <c:pt idx="10">
                  <c:v>8</c:v>
                </c:pt>
                <c:pt idx="11">
                  <c:v>9</c:v>
                </c:pt>
                <c:pt idx="12">
                  <c:v>10</c:v>
                </c:pt>
                <c:pt idx="13">
                  <c:v>11</c:v>
                </c:pt>
                <c:pt idx="14">
                  <c:v>12</c:v>
                </c:pt>
                <c:pt idx="15">
                  <c:v>13</c:v>
                </c:pt>
                <c:pt idx="16">
                  <c:v>14</c:v>
                </c:pt>
                <c:pt idx="17">
                  <c:v>15</c:v>
                </c:pt>
                <c:pt idx="18">
                  <c:v>16</c:v>
                </c:pt>
                <c:pt idx="19">
                  <c:v>17</c:v>
                </c:pt>
                <c:pt idx="20">
                  <c:v>18</c:v>
                </c:pt>
                <c:pt idx="21">
                  <c:v>18.5</c:v>
                </c:pt>
                <c:pt idx="22">
                  <c:v>19</c:v>
                </c:pt>
                <c:pt idx="23">
                  <c:v>19.5</c:v>
                </c:pt>
                <c:pt idx="24">
                  <c:v>20</c:v>
                </c:pt>
              </c:numCache>
            </c:numRef>
          </c:xVal>
          <c:yVal>
            <c:numRef>
              <c:f>Tools!$I$70:$I$94</c:f>
              <c:numCache>
                <c:formatCode>General</c:formatCode>
                <c:ptCount val="25"/>
                <c:pt idx="0">
                  <c:v>0.9</c:v>
                </c:pt>
                <c:pt idx="1">
                  <c:v>9.0733333333333341</c:v>
                </c:pt>
                <c:pt idx="2">
                  <c:v>26.743333333333332</c:v>
                </c:pt>
                <c:pt idx="3">
                  <c:v>46.239999999999995</c:v>
                </c:pt>
                <c:pt idx="4">
                  <c:v>65.173333333333318</c:v>
                </c:pt>
                <c:pt idx="5">
                  <c:v>101.44666666666666</c:v>
                </c:pt>
                <c:pt idx="6">
                  <c:v>131.38999999999999</c:v>
                </c:pt>
                <c:pt idx="7">
                  <c:v>152.20666666666665</c:v>
                </c:pt>
                <c:pt idx="8">
                  <c:v>166.85333333333335</c:v>
                </c:pt>
                <c:pt idx="9">
                  <c:v>172.37333333333333</c:v>
                </c:pt>
                <c:pt idx="10">
                  <c:v>174.25333333333333</c:v>
                </c:pt>
                <c:pt idx="11">
                  <c:v>174.57333333333332</c:v>
                </c:pt>
                <c:pt idx="12">
                  <c:v>174.57333333333332</c:v>
                </c:pt>
                <c:pt idx="13">
                  <c:v>174.57333333333332</c:v>
                </c:pt>
                <c:pt idx="14">
                  <c:v>174.57333333333332</c:v>
                </c:pt>
                <c:pt idx="15">
                  <c:v>174.57333333333332</c:v>
                </c:pt>
                <c:pt idx="16">
                  <c:v>174.19333333333333</c:v>
                </c:pt>
                <c:pt idx="17">
                  <c:v>171.84666666666666</c:v>
                </c:pt>
                <c:pt idx="18">
                  <c:v>162.83333333333331</c:v>
                </c:pt>
                <c:pt idx="19">
                  <c:v>142.70333333333332</c:v>
                </c:pt>
                <c:pt idx="20">
                  <c:v>107.92226666666666</c:v>
                </c:pt>
                <c:pt idx="21">
                  <c:v>85.31</c:v>
                </c:pt>
                <c:pt idx="22">
                  <c:v>60.336666666666666</c:v>
                </c:pt>
                <c:pt idx="23">
                  <c:v>35.566666666666663</c:v>
                </c:pt>
                <c:pt idx="24">
                  <c:v>13.953333333333333</c:v>
                </c:pt>
              </c:numCache>
            </c:numRef>
          </c:yVal>
          <c:smooth val="1"/>
        </c:ser>
        <c:ser>
          <c:idx val="8"/>
          <c:order val="8"/>
          <c:tx>
            <c:strRef>
              <c:f>Tools!$J$69</c:f>
              <c:strCache>
                <c:ptCount val="1"/>
                <c:pt idx="0">
                  <c:v>4.85</c:v>
                </c:pt>
              </c:strCache>
            </c:strRef>
          </c:tx>
          <c:marker>
            <c:symbol val="none"/>
          </c:marker>
          <c:xVal>
            <c:numRef>
              <c:f>Tools!$A$70:$A$94</c:f>
              <c:numCache>
                <c:formatCode>General</c:formatCode>
                <c:ptCount val="25"/>
                <c:pt idx="0">
                  <c:v>0</c:v>
                </c:pt>
                <c:pt idx="1">
                  <c:v>0.5</c:v>
                </c:pt>
                <c:pt idx="2">
                  <c:v>1</c:v>
                </c:pt>
                <c:pt idx="3">
                  <c:v>1.5</c:v>
                </c:pt>
                <c:pt idx="4">
                  <c:v>2</c:v>
                </c:pt>
                <c:pt idx="5">
                  <c:v>3</c:v>
                </c:pt>
                <c:pt idx="6">
                  <c:v>4</c:v>
                </c:pt>
                <c:pt idx="7">
                  <c:v>5</c:v>
                </c:pt>
                <c:pt idx="8">
                  <c:v>6</c:v>
                </c:pt>
                <c:pt idx="9">
                  <c:v>7</c:v>
                </c:pt>
                <c:pt idx="10">
                  <c:v>8</c:v>
                </c:pt>
                <c:pt idx="11">
                  <c:v>9</c:v>
                </c:pt>
                <c:pt idx="12">
                  <c:v>10</c:v>
                </c:pt>
                <c:pt idx="13">
                  <c:v>11</c:v>
                </c:pt>
                <c:pt idx="14">
                  <c:v>12</c:v>
                </c:pt>
                <c:pt idx="15">
                  <c:v>13</c:v>
                </c:pt>
                <c:pt idx="16">
                  <c:v>14</c:v>
                </c:pt>
                <c:pt idx="17">
                  <c:v>15</c:v>
                </c:pt>
                <c:pt idx="18">
                  <c:v>16</c:v>
                </c:pt>
                <c:pt idx="19">
                  <c:v>17</c:v>
                </c:pt>
                <c:pt idx="20">
                  <c:v>18</c:v>
                </c:pt>
                <c:pt idx="21">
                  <c:v>18.5</c:v>
                </c:pt>
                <c:pt idx="22">
                  <c:v>19</c:v>
                </c:pt>
                <c:pt idx="23">
                  <c:v>19.5</c:v>
                </c:pt>
                <c:pt idx="24">
                  <c:v>20</c:v>
                </c:pt>
              </c:numCache>
            </c:numRef>
          </c:xVal>
          <c:yVal>
            <c:numRef>
              <c:f>Tools!$J$70:$J$94</c:f>
              <c:numCache>
                <c:formatCode>General</c:formatCode>
                <c:ptCount val="25"/>
                <c:pt idx="0">
                  <c:v>6.8329999999999975</c:v>
                </c:pt>
                <c:pt idx="1">
                  <c:v>20.310333333333329</c:v>
                </c:pt>
                <c:pt idx="2">
                  <c:v>43.029333333333327</c:v>
                </c:pt>
                <c:pt idx="3">
                  <c:v>67.183999999999983</c:v>
                </c:pt>
                <c:pt idx="4">
                  <c:v>89.976333333333315</c:v>
                </c:pt>
                <c:pt idx="5">
                  <c:v>132.18266666666665</c:v>
                </c:pt>
                <c:pt idx="6">
                  <c:v>166.32499999999996</c:v>
                </c:pt>
                <c:pt idx="7">
                  <c:v>188.41666666666663</c:v>
                </c:pt>
                <c:pt idx="8">
                  <c:v>204.25333333333333</c:v>
                </c:pt>
                <c:pt idx="9">
                  <c:v>209.77333333333331</c:v>
                </c:pt>
                <c:pt idx="10">
                  <c:v>211.65333333333331</c:v>
                </c:pt>
                <c:pt idx="11">
                  <c:v>211.9733333333333</c:v>
                </c:pt>
                <c:pt idx="12">
                  <c:v>211.9733333333333</c:v>
                </c:pt>
                <c:pt idx="13">
                  <c:v>211.9733333333333</c:v>
                </c:pt>
                <c:pt idx="14">
                  <c:v>211.9733333333333</c:v>
                </c:pt>
                <c:pt idx="15">
                  <c:v>211.9733333333333</c:v>
                </c:pt>
                <c:pt idx="16">
                  <c:v>211.59333333333331</c:v>
                </c:pt>
                <c:pt idx="17">
                  <c:v>209.24666666666664</c:v>
                </c:pt>
                <c:pt idx="18">
                  <c:v>199.7063333333333</c:v>
                </c:pt>
                <c:pt idx="19">
                  <c:v>177.07733333333329</c:v>
                </c:pt>
                <c:pt idx="20">
                  <c:v>135.59877666666665</c:v>
                </c:pt>
                <c:pt idx="21">
                  <c:v>107.767</c:v>
                </c:pt>
                <c:pt idx="22">
                  <c:v>76.214666666666659</c:v>
                </c:pt>
                <c:pt idx="23">
                  <c:v>43.505666666666656</c:v>
                </c:pt>
                <c:pt idx="24">
                  <c:v>14.089333333333332</c:v>
                </c:pt>
              </c:numCache>
            </c:numRef>
          </c:yVal>
          <c:smooth val="1"/>
        </c:ser>
        <c:ser>
          <c:idx val="9"/>
          <c:order val="9"/>
          <c:tx>
            <c:strRef>
              <c:f>Tools!$K$69</c:f>
              <c:strCache>
                <c:ptCount val="1"/>
                <c:pt idx="0">
                  <c:v>5</c:v>
                </c:pt>
              </c:strCache>
            </c:strRef>
          </c:tx>
          <c:marker>
            <c:symbol val="none"/>
          </c:marker>
          <c:xVal>
            <c:numRef>
              <c:f>Tools!$A$70:$A$94</c:f>
              <c:numCache>
                <c:formatCode>General</c:formatCode>
                <c:ptCount val="25"/>
                <c:pt idx="0">
                  <c:v>0</c:v>
                </c:pt>
                <c:pt idx="1">
                  <c:v>0.5</c:v>
                </c:pt>
                <c:pt idx="2">
                  <c:v>1</c:v>
                </c:pt>
                <c:pt idx="3">
                  <c:v>1.5</c:v>
                </c:pt>
                <c:pt idx="4">
                  <c:v>2</c:v>
                </c:pt>
                <c:pt idx="5">
                  <c:v>3</c:v>
                </c:pt>
                <c:pt idx="6">
                  <c:v>4</c:v>
                </c:pt>
                <c:pt idx="7">
                  <c:v>5</c:v>
                </c:pt>
                <c:pt idx="8">
                  <c:v>6</c:v>
                </c:pt>
                <c:pt idx="9">
                  <c:v>7</c:v>
                </c:pt>
                <c:pt idx="10">
                  <c:v>8</c:v>
                </c:pt>
                <c:pt idx="11">
                  <c:v>9</c:v>
                </c:pt>
                <c:pt idx="12">
                  <c:v>10</c:v>
                </c:pt>
                <c:pt idx="13">
                  <c:v>11</c:v>
                </c:pt>
                <c:pt idx="14">
                  <c:v>12</c:v>
                </c:pt>
                <c:pt idx="15">
                  <c:v>13</c:v>
                </c:pt>
                <c:pt idx="16">
                  <c:v>14</c:v>
                </c:pt>
                <c:pt idx="17">
                  <c:v>15</c:v>
                </c:pt>
                <c:pt idx="18">
                  <c:v>16</c:v>
                </c:pt>
                <c:pt idx="19">
                  <c:v>17</c:v>
                </c:pt>
                <c:pt idx="20">
                  <c:v>18</c:v>
                </c:pt>
                <c:pt idx="21">
                  <c:v>18.5</c:v>
                </c:pt>
                <c:pt idx="22">
                  <c:v>19</c:v>
                </c:pt>
                <c:pt idx="23">
                  <c:v>19.5</c:v>
                </c:pt>
                <c:pt idx="24">
                  <c:v>20</c:v>
                </c:pt>
              </c:numCache>
            </c:numRef>
          </c:xVal>
          <c:yVal>
            <c:numRef>
              <c:f>Tools!$K$70:$K$94</c:f>
              <c:numCache>
                <c:formatCode>General</c:formatCode>
                <c:ptCount val="25"/>
                <c:pt idx="0">
                  <c:v>8.6466666666666665</c:v>
                </c:pt>
                <c:pt idx="1">
                  <c:v>23.463333333333331</c:v>
                </c:pt>
                <c:pt idx="2">
                  <c:v>46.786666666666662</c:v>
                </c:pt>
                <c:pt idx="3">
                  <c:v>71.696666666666658</c:v>
                </c:pt>
                <c:pt idx="4">
                  <c:v>94.956666666666649</c:v>
                </c:pt>
                <c:pt idx="5">
                  <c:v>137.83666666666664</c:v>
                </c:pt>
                <c:pt idx="6">
                  <c:v>172.78999999999996</c:v>
                </c:pt>
                <c:pt idx="7">
                  <c:v>195.05666666666667</c:v>
                </c:pt>
                <c:pt idx="8">
                  <c:v>211.0866666666667</c:v>
                </c:pt>
                <c:pt idx="9">
                  <c:v>216.44</c:v>
                </c:pt>
                <c:pt idx="10">
                  <c:v>218.25333333333333</c:v>
                </c:pt>
                <c:pt idx="11">
                  <c:v>218.57333333333332</c:v>
                </c:pt>
                <c:pt idx="12">
                  <c:v>218.57333333333332</c:v>
                </c:pt>
                <c:pt idx="13">
                  <c:v>218.57333333333332</c:v>
                </c:pt>
                <c:pt idx="14">
                  <c:v>218.57333333333332</c:v>
                </c:pt>
                <c:pt idx="15">
                  <c:v>218.57333333333332</c:v>
                </c:pt>
                <c:pt idx="16">
                  <c:v>218.19333333333333</c:v>
                </c:pt>
                <c:pt idx="17">
                  <c:v>215.94666666666666</c:v>
                </c:pt>
                <c:pt idx="18">
                  <c:v>206.29666666666665</c:v>
                </c:pt>
                <c:pt idx="19">
                  <c:v>183.36666666666667</c:v>
                </c:pt>
                <c:pt idx="20">
                  <c:v>140.58573333333334</c:v>
                </c:pt>
                <c:pt idx="21">
                  <c:v>111.83666666666664</c:v>
                </c:pt>
                <c:pt idx="22">
                  <c:v>79.236666666666665</c:v>
                </c:pt>
                <c:pt idx="23">
                  <c:v>45.084933333333325</c:v>
                </c:pt>
                <c:pt idx="24">
                  <c:v>14.129999999999999</c:v>
                </c:pt>
              </c:numCache>
            </c:numRef>
          </c:yVal>
          <c:smooth val="1"/>
        </c:ser>
        <c:ser>
          <c:idx val="10"/>
          <c:order val="10"/>
          <c:tx>
            <c:strRef>
              <c:f>Tools!$L$69</c:f>
              <c:strCache>
                <c:ptCount val="1"/>
                <c:pt idx="0">
                  <c:v>6</c:v>
                </c:pt>
              </c:strCache>
            </c:strRef>
          </c:tx>
          <c:marker>
            <c:symbol val="none"/>
          </c:marker>
          <c:xVal>
            <c:numRef>
              <c:f>Tools!$A$70:$A$94</c:f>
              <c:numCache>
                <c:formatCode>General</c:formatCode>
                <c:ptCount val="25"/>
                <c:pt idx="0">
                  <c:v>0</c:v>
                </c:pt>
                <c:pt idx="1">
                  <c:v>0.5</c:v>
                </c:pt>
                <c:pt idx="2">
                  <c:v>1</c:v>
                </c:pt>
                <c:pt idx="3">
                  <c:v>1.5</c:v>
                </c:pt>
                <c:pt idx="4">
                  <c:v>2</c:v>
                </c:pt>
                <c:pt idx="5">
                  <c:v>3</c:v>
                </c:pt>
                <c:pt idx="6">
                  <c:v>4</c:v>
                </c:pt>
                <c:pt idx="7">
                  <c:v>5</c:v>
                </c:pt>
                <c:pt idx="8">
                  <c:v>6</c:v>
                </c:pt>
                <c:pt idx="9">
                  <c:v>7</c:v>
                </c:pt>
                <c:pt idx="10">
                  <c:v>8</c:v>
                </c:pt>
                <c:pt idx="11">
                  <c:v>9</c:v>
                </c:pt>
                <c:pt idx="12">
                  <c:v>10</c:v>
                </c:pt>
                <c:pt idx="13">
                  <c:v>11</c:v>
                </c:pt>
                <c:pt idx="14">
                  <c:v>12</c:v>
                </c:pt>
                <c:pt idx="15">
                  <c:v>13</c:v>
                </c:pt>
                <c:pt idx="16">
                  <c:v>14</c:v>
                </c:pt>
                <c:pt idx="17">
                  <c:v>15</c:v>
                </c:pt>
                <c:pt idx="18">
                  <c:v>16</c:v>
                </c:pt>
                <c:pt idx="19">
                  <c:v>17</c:v>
                </c:pt>
                <c:pt idx="20">
                  <c:v>18</c:v>
                </c:pt>
                <c:pt idx="21">
                  <c:v>18.5</c:v>
                </c:pt>
                <c:pt idx="22">
                  <c:v>19</c:v>
                </c:pt>
                <c:pt idx="23">
                  <c:v>19.5</c:v>
                </c:pt>
                <c:pt idx="24">
                  <c:v>20</c:v>
                </c:pt>
              </c:numCache>
            </c:numRef>
          </c:xVal>
          <c:yVal>
            <c:numRef>
              <c:f>Tools!$L$70:$L$94</c:f>
              <c:numCache>
                <c:formatCode>General</c:formatCode>
                <c:ptCount val="25"/>
                <c:pt idx="0">
                  <c:v>22.233333333333331</c:v>
                </c:pt>
                <c:pt idx="1">
                  <c:v>42.966666666666669</c:v>
                </c:pt>
                <c:pt idx="2">
                  <c:v>71.98333333333332</c:v>
                </c:pt>
                <c:pt idx="3">
                  <c:v>101.6</c:v>
                </c:pt>
                <c:pt idx="4">
                  <c:v>128.90666666666664</c:v>
                </c:pt>
                <c:pt idx="5">
                  <c:v>177.32666666666665</c:v>
                </c:pt>
                <c:pt idx="6">
                  <c:v>215.25666666666666</c:v>
                </c:pt>
                <c:pt idx="7">
                  <c:v>238.12666666666664</c:v>
                </c:pt>
                <c:pt idx="8">
                  <c:v>254.85333333333335</c:v>
                </c:pt>
                <c:pt idx="9">
                  <c:v>260.37333333333333</c:v>
                </c:pt>
                <c:pt idx="10">
                  <c:v>262.25333333333333</c:v>
                </c:pt>
                <c:pt idx="11">
                  <c:v>262.57333333333332</c:v>
                </c:pt>
                <c:pt idx="12">
                  <c:v>262.57333333333332</c:v>
                </c:pt>
                <c:pt idx="13">
                  <c:v>262.57333333333332</c:v>
                </c:pt>
                <c:pt idx="14">
                  <c:v>262.57333333333332</c:v>
                </c:pt>
                <c:pt idx="15">
                  <c:v>262.57333333333332</c:v>
                </c:pt>
                <c:pt idx="16">
                  <c:v>262.19333333333333</c:v>
                </c:pt>
                <c:pt idx="17">
                  <c:v>259.84666666666669</c:v>
                </c:pt>
                <c:pt idx="18">
                  <c:v>250.0333333333333</c:v>
                </c:pt>
                <c:pt idx="19">
                  <c:v>224.79666666666665</c:v>
                </c:pt>
                <c:pt idx="20">
                  <c:v>175.34786666666668</c:v>
                </c:pt>
                <c:pt idx="21">
                  <c:v>140.68333333333334</c:v>
                </c:pt>
                <c:pt idx="22">
                  <c:v>100.09666666666666</c:v>
                </c:pt>
                <c:pt idx="23">
                  <c:v>56.133066666666664</c:v>
                </c:pt>
                <c:pt idx="24">
                  <c:v>15.286666666666667</c:v>
                </c:pt>
              </c:numCache>
            </c:numRef>
          </c:yVal>
          <c:smooth val="1"/>
        </c:ser>
        <c:ser>
          <c:idx val="11"/>
          <c:order val="11"/>
          <c:tx>
            <c:strRef>
              <c:f>Tools!$M$69</c:f>
              <c:strCache>
                <c:ptCount val="1"/>
                <c:pt idx="0">
                  <c:v>6.5</c:v>
                </c:pt>
              </c:strCache>
            </c:strRef>
          </c:tx>
          <c:marker>
            <c:symbol val="none"/>
          </c:marker>
          <c:xVal>
            <c:numRef>
              <c:f>Tools!$A$70:$A$94</c:f>
              <c:numCache>
                <c:formatCode>General</c:formatCode>
                <c:ptCount val="25"/>
                <c:pt idx="0">
                  <c:v>0</c:v>
                </c:pt>
                <c:pt idx="1">
                  <c:v>0.5</c:v>
                </c:pt>
                <c:pt idx="2">
                  <c:v>1</c:v>
                </c:pt>
                <c:pt idx="3">
                  <c:v>1.5</c:v>
                </c:pt>
                <c:pt idx="4">
                  <c:v>2</c:v>
                </c:pt>
                <c:pt idx="5">
                  <c:v>3</c:v>
                </c:pt>
                <c:pt idx="6">
                  <c:v>4</c:v>
                </c:pt>
                <c:pt idx="7">
                  <c:v>5</c:v>
                </c:pt>
                <c:pt idx="8">
                  <c:v>6</c:v>
                </c:pt>
                <c:pt idx="9">
                  <c:v>7</c:v>
                </c:pt>
                <c:pt idx="10">
                  <c:v>8</c:v>
                </c:pt>
                <c:pt idx="11">
                  <c:v>9</c:v>
                </c:pt>
                <c:pt idx="12">
                  <c:v>10</c:v>
                </c:pt>
                <c:pt idx="13">
                  <c:v>11</c:v>
                </c:pt>
                <c:pt idx="14">
                  <c:v>12</c:v>
                </c:pt>
                <c:pt idx="15">
                  <c:v>13</c:v>
                </c:pt>
                <c:pt idx="16">
                  <c:v>14</c:v>
                </c:pt>
                <c:pt idx="17">
                  <c:v>15</c:v>
                </c:pt>
                <c:pt idx="18">
                  <c:v>16</c:v>
                </c:pt>
                <c:pt idx="19">
                  <c:v>17</c:v>
                </c:pt>
                <c:pt idx="20">
                  <c:v>18</c:v>
                </c:pt>
                <c:pt idx="21">
                  <c:v>18.5</c:v>
                </c:pt>
                <c:pt idx="22">
                  <c:v>19</c:v>
                </c:pt>
                <c:pt idx="23">
                  <c:v>19.5</c:v>
                </c:pt>
                <c:pt idx="24">
                  <c:v>20</c:v>
                </c:pt>
              </c:numCache>
            </c:numRef>
          </c:xVal>
          <c:yVal>
            <c:numRef>
              <c:f>Tools!$M$70:$M$94</c:f>
              <c:numCache>
                <c:formatCode>General</c:formatCode>
                <c:ptCount val="25"/>
                <c:pt idx="0">
                  <c:v>30.293333333333329</c:v>
                </c:pt>
                <c:pt idx="1">
                  <c:v>54.24666666666667</c:v>
                </c:pt>
                <c:pt idx="2">
                  <c:v>86.053333333333313</c:v>
                </c:pt>
                <c:pt idx="3">
                  <c:v>118</c:v>
                </c:pt>
                <c:pt idx="4">
                  <c:v>147.14666666666665</c:v>
                </c:pt>
                <c:pt idx="5">
                  <c:v>197.86666666666665</c:v>
                </c:pt>
                <c:pt idx="6">
                  <c:v>236.92666666666668</c:v>
                </c:pt>
                <c:pt idx="7">
                  <c:v>260.02666666666664</c:v>
                </c:pt>
                <c:pt idx="8">
                  <c:v>276.85333333333335</c:v>
                </c:pt>
                <c:pt idx="9">
                  <c:v>282.37333333333333</c:v>
                </c:pt>
                <c:pt idx="10">
                  <c:v>284.25333333333333</c:v>
                </c:pt>
                <c:pt idx="11">
                  <c:v>284.57333333333332</c:v>
                </c:pt>
                <c:pt idx="12">
                  <c:v>284.57333333333332</c:v>
                </c:pt>
                <c:pt idx="13">
                  <c:v>284.57333333333332</c:v>
                </c:pt>
                <c:pt idx="14">
                  <c:v>284.57333333333332</c:v>
                </c:pt>
                <c:pt idx="15">
                  <c:v>284.57333333333332</c:v>
                </c:pt>
                <c:pt idx="16">
                  <c:v>284.19333333333333</c:v>
                </c:pt>
                <c:pt idx="17">
                  <c:v>281.84666666666669</c:v>
                </c:pt>
                <c:pt idx="18">
                  <c:v>272.0333333333333</c:v>
                </c:pt>
                <c:pt idx="19">
                  <c:v>245.91666666666666</c:v>
                </c:pt>
                <c:pt idx="20">
                  <c:v>193.42786666666666</c:v>
                </c:pt>
                <c:pt idx="21">
                  <c:v>155.98333333333335</c:v>
                </c:pt>
                <c:pt idx="22">
                  <c:v>111.62666666666667</c:v>
                </c:pt>
                <c:pt idx="23">
                  <c:v>62.953066666666665</c:v>
                </c:pt>
                <c:pt idx="24">
                  <c:v>17.716666666666669</c:v>
                </c:pt>
              </c:numCache>
            </c:numRef>
          </c:yVal>
          <c:smooth val="1"/>
        </c:ser>
        <c:ser>
          <c:idx val="12"/>
          <c:order val="12"/>
          <c:tx>
            <c:strRef>
              <c:f>Tools!$N$69</c:f>
              <c:strCache>
                <c:ptCount val="1"/>
                <c:pt idx="0">
                  <c:v>  </c:v>
                </c:pt>
              </c:strCache>
            </c:strRef>
          </c:tx>
          <c:marker>
            <c:symbol val="none"/>
          </c:marker>
          <c:xVal>
            <c:numRef>
              <c:f>Tools!$A$70:$A$94</c:f>
              <c:numCache>
                <c:formatCode>General</c:formatCode>
                <c:ptCount val="25"/>
                <c:pt idx="0">
                  <c:v>0</c:v>
                </c:pt>
                <c:pt idx="1">
                  <c:v>0.5</c:v>
                </c:pt>
                <c:pt idx="2">
                  <c:v>1</c:v>
                </c:pt>
                <c:pt idx="3">
                  <c:v>1.5</c:v>
                </c:pt>
                <c:pt idx="4">
                  <c:v>2</c:v>
                </c:pt>
                <c:pt idx="5">
                  <c:v>3</c:v>
                </c:pt>
                <c:pt idx="6">
                  <c:v>4</c:v>
                </c:pt>
                <c:pt idx="7">
                  <c:v>5</c:v>
                </c:pt>
                <c:pt idx="8">
                  <c:v>6</c:v>
                </c:pt>
                <c:pt idx="9">
                  <c:v>7</c:v>
                </c:pt>
                <c:pt idx="10">
                  <c:v>8</c:v>
                </c:pt>
                <c:pt idx="11">
                  <c:v>9</c:v>
                </c:pt>
                <c:pt idx="12">
                  <c:v>10</c:v>
                </c:pt>
                <c:pt idx="13">
                  <c:v>11</c:v>
                </c:pt>
                <c:pt idx="14">
                  <c:v>12</c:v>
                </c:pt>
                <c:pt idx="15">
                  <c:v>13</c:v>
                </c:pt>
                <c:pt idx="16">
                  <c:v>14</c:v>
                </c:pt>
                <c:pt idx="17">
                  <c:v>15</c:v>
                </c:pt>
                <c:pt idx="18">
                  <c:v>16</c:v>
                </c:pt>
                <c:pt idx="19">
                  <c:v>17</c:v>
                </c:pt>
                <c:pt idx="20">
                  <c:v>18</c:v>
                </c:pt>
                <c:pt idx="21">
                  <c:v>18.5</c:v>
                </c:pt>
                <c:pt idx="22">
                  <c:v>19</c:v>
                </c:pt>
                <c:pt idx="23">
                  <c:v>19.5</c:v>
                </c:pt>
                <c:pt idx="24">
                  <c:v>20</c:v>
                </c:pt>
              </c:numCache>
            </c:numRef>
          </c:xVal>
          <c:yVal>
            <c:numRef>
              <c:f>Tools!$N$70:$N$94</c:f>
              <c:numCache>
                <c:formatCode>General</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yVal>
          <c:smooth val="1"/>
        </c:ser>
        <c:ser>
          <c:idx val="13"/>
          <c:order val="13"/>
          <c:tx>
            <c:strRef>
              <c:f>Tools!$O$69</c:f>
              <c:strCache>
                <c:ptCount val="1"/>
                <c:pt idx="0">
                  <c:v>  </c:v>
                </c:pt>
              </c:strCache>
            </c:strRef>
          </c:tx>
          <c:marker>
            <c:symbol val="none"/>
          </c:marker>
          <c:xVal>
            <c:numRef>
              <c:f>Tools!$A$70:$A$94</c:f>
              <c:numCache>
                <c:formatCode>General</c:formatCode>
                <c:ptCount val="25"/>
                <c:pt idx="0">
                  <c:v>0</c:v>
                </c:pt>
                <c:pt idx="1">
                  <c:v>0.5</c:v>
                </c:pt>
                <c:pt idx="2">
                  <c:v>1</c:v>
                </c:pt>
                <c:pt idx="3">
                  <c:v>1.5</c:v>
                </c:pt>
                <c:pt idx="4">
                  <c:v>2</c:v>
                </c:pt>
                <c:pt idx="5">
                  <c:v>3</c:v>
                </c:pt>
                <c:pt idx="6">
                  <c:v>4</c:v>
                </c:pt>
                <c:pt idx="7">
                  <c:v>5</c:v>
                </c:pt>
                <c:pt idx="8">
                  <c:v>6</c:v>
                </c:pt>
                <c:pt idx="9">
                  <c:v>7</c:v>
                </c:pt>
                <c:pt idx="10">
                  <c:v>8</c:v>
                </c:pt>
                <c:pt idx="11">
                  <c:v>9</c:v>
                </c:pt>
                <c:pt idx="12">
                  <c:v>10</c:v>
                </c:pt>
                <c:pt idx="13">
                  <c:v>11</c:v>
                </c:pt>
                <c:pt idx="14">
                  <c:v>12</c:v>
                </c:pt>
                <c:pt idx="15">
                  <c:v>13</c:v>
                </c:pt>
                <c:pt idx="16">
                  <c:v>14</c:v>
                </c:pt>
                <c:pt idx="17">
                  <c:v>15</c:v>
                </c:pt>
                <c:pt idx="18">
                  <c:v>16</c:v>
                </c:pt>
                <c:pt idx="19">
                  <c:v>17</c:v>
                </c:pt>
                <c:pt idx="20">
                  <c:v>18</c:v>
                </c:pt>
                <c:pt idx="21">
                  <c:v>18.5</c:v>
                </c:pt>
                <c:pt idx="22">
                  <c:v>19</c:v>
                </c:pt>
                <c:pt idx="23">
                  <c:v>19.5</c:v>
                </c:pt>
                <c:pt idx="24">
                  <c:v>20</c:v>
                </c:pt>
              </c:numCache>
            </c:numRef>
          </c:xVal>
          <c:yVal>
            <c:numRef>
              <c:f>Tools!$O$70:$O$94</c:f>
              <c:numCache>
                <c:formatCode>General</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yVal>
          <c:smooth val="1"/>
        </c:ser>
        <c:ser>
          <c:idx val="14"/>
          <c:order val="14"/>
          <c:tx>
            <c:strRef>
              <c:f>Tools!$P$69</c:f>
              <c:strCache>
                <c:ptCount val="1"/>
                <c:pt idx="0">
                  <c:v>  </c:v>
                </c:pt>
              </c:strCache>
            </c:strRef>
          </c:tx>
          <c:marker>
            <c:symbol val="none"/>
          </c:marker>
          <c:xVal>
            <c:numRef>
              <c:f>Tools!$A$70:$A$94</c:f>
              <c:numCache>
                <c:formatCode>General</c:formatCode>
                <c:ptCount val="25"/>
                <c:pt idx="0">
                  <c:v>0</c:v>
                </c:pt>
                <c:pt idx="1">
                  <c:v>0.5</c:v>
                </c:pt>
                <c:pt idx="2">
                  <c:v>1</c:v>
                </c:pt>
                <c:pt idx="3">
                  <c:v>1.5</c:v>
                </c:pt>
                <c:pt idx="4">
                  <c:v>2</c:v>
                </c:pt>
                <c:pt idx="5">
                  <c:v>3</c:v>
                </c:pt>
                <c:pt idx="6">
                  <c:v>4</c:v>
                </c:pt>
                <c:pt idx="7">
                  <c:v>5</c:v>
                </c:pt>
                <c:pt idx="8">
                  <c:v>6</c:v>
                </c:pt>
                <c:pt idx="9">
                  <c:v>7</c:v>
                </c:pt>
                <c:pt idx="10">
                  <c:v>8</c:v>
                </c:pt>
                <c:pt idx="11">
                  <c:v>9</c:v>
                </c:pt>
                <c:pt idx="12">
                  <c:v>10</c:v>
                </c:pt>
                <c:pt idx="13">
                  <c:v>11</c:v>
                </c:pt>
                <c:pt idx="14">
                  <c:v>12</c:v>
                </c:pt>
                <c:pt idx="15">
                  <c:v>13</c:v>
                </c:pt>
                <c:pt idx="16">
                  <c:v>14</c:v>
                </c:pt>
                <c:pt idx="17">
                  <c:v>15</c:v>
                </c:pt>
                <c:pt idx="18">
                  <c:v>16</c:v>
                </c:pt>
                <c:pt idx="19">
                  <c:v>17</c:v>
                </c:pt>
                <c:pt idx="20">
                  <c:v>18</c:v>
                </c:pt>
                <c:pt idx="21">
                  <c:v>18.5</c:v>
                </c:pt>
                <c:pt idx="22">
                  <c:v>19</c:v>
                </c:pt>
                <c:pt idx="23">
                  <c:v>19.5</c:v>
                </c:pt>
                <c:pt idx="24">
                  <c:v>20</c:v>
                </c:pt>
              </c:numCache>
            </c:numRef>
          </c:xVal>
          <c:yVal>
            <c:numRef>
              <c:f>Tools!$P$70:$P$94</c:f>
              <c:numCache>
                <c:formatCode>General</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yVal>
          <c:smooth val="1"/>
        </c:ser>
        <c:ser>
          <c:idx val="15"/>
          <c:order val="15"/>
          <c:tx>
            <c:strRef>
              <c:f>Tools!$Q$69</c:f>
              <c:strCache>
                <c:ptCount val="1"/>
                <c:pt idx="0">
                  <c:v>  </c:v>
                </c:pt>
              </c:strCache>
            </c:strRef>
          </c:tx>
          <c:marker>
            <c:symbol val="none"/>
          </c:marker>
          <c:xVal>
            <c:numRef>
              <c:f>Tools!$A$70:$A$94</c:f>
              <c:numCache>
                <c:formatCode>General</c:formatCode>
                <c:ptCount val="25"/>
                <c:pt idx="0">
                  <c:v>0</c:v>
                </c:pt>
                <c:pt idx="1">
                  <c:v>0.5</c:v>
                </c:pt>
                <c:pt idx="2">
                  <c:v>1</c:v>
                </c:pt>
                <c:pt idx="3">
                  <c:v>1.5</c:v>
                </c:pt>
                <c:pt idx="4">
                  <c:v>2</c:v>
                </c:pt>
                <c:pt idx="5">
                  <c:v>3</c:v>
                </c:pt>
                <c:pt idx="6">
                  <c:v>4</c:v>
                </c:pt>
                <c:pt idx="7">
                  <c:v>5</c:v>
                </c:pt>
                <c:pt idx="8">
                  <c:v>6</c:v>
                </c:pt>
                <c:pt idx="9">
                  <c:v>7</c:v>
                </c:pt>
                <c:pt idx="10">
                  <c:v>8</c:v>
                </c:pt>
                <c:pt idx="11">
                  <c:v>9</c:v>
                </c:pt>
                <c:pt idx="12">
                  <c:v>10</c:v>
                </c:pt>
                <c:pt idx="13">
                  <c:v>11</c:v>
                </c:pt>
                <c:pt idx="14">
                  <c:v>12</c:v>
                </c:pt>
                <c:pt idx="15">
                  <c:v>13</c:v>
                </c:pt>
                <c:pt idx="16">
                  <c:v>14</c:v>
                </c:pt>
                <c:pt idx="17">
                  <c:v>15</c:v>
                </c:pt>
                <c:pt idx="18">
                  <c:v>16</c:v>
                </c:pt>
                <c:pt idx="19">
                  <c:v>17</c:v>
                </c:pt>
                <c:pt idx="20">
                  <c:v>18</c:v>
                </c:pt>
                <c:pt idx="21">
                  <c:v>18.5</c:v>
                </c:pt>
                <c:pt idx="22">
                  <c:v>19</c:v>
                </c:pt>
                <c:pt idx="23">
                  <c:v>19.5</c:v>
                </c:pt>
                <c:pt idx="24">
                  <c:v>20</c:v>
                </c:pt>
              </c:numCache>
            </c:numRef>
          </c:xVal>
          <c:yVal>
            <c:numRef>
              <c:f>Tools!$Q$70:$Q$94</c:f>
              <c:numCache>
                <c:formatCode>General</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yVal>
          <c:smooth val="1"/>
        </c:ser>
        <c:ser>
          <c:idx val="16"/>
          <c:order val="16"/>
          <c:tx>
            <c:strRef>
              <c:f>Tools!$R$69</c:f>
              <c:strCache>
                <c:ptCount val="1"/>
                <c:pt idx="0">
                  <c:v>  </c:v>
                </c:pt>
              </c:strCache>
            </c:strRef>
          </c:tx>
          <c:marker>
            <c:symbol val="none"/>
          </c:marker>
          <c:xVal>
            <c:numRef>
              <c:f>Tools!$A$70:$A$94</c:f>
              <c:numCache>
                <c:formatCode>General</c:formatCode>
                <c:ptCount val="25"/>
                <c:pt idx="0">
                  <c:v>0</c:v>
                </c:pt>
                <c:pt idx="1">
                  <c:v>0.5</c:v>
                </c:pt>
                <c:pt idx="2">
                  <c:v>1</c:v>
                </c:pt>
                <c:pt idx="3">
                  <c:v>1.5</c:v>
                </c:pt>
                <c:pt idx="4">
                  <c:v>2</c:v>
                </c:pt>
                <c:pt idx="5">
                  <c:v>3</c:v>
                </c:pt>
                <c:pt idx="6">
                  <c:v>4</c:v>
                </c:pt>
                <c:pt idx="7">
                  <c:v>5</c:v>
                </c:pt>
                <c:pt idx="8">
                  <c:v>6</c:v>
                </c:pt>
                <c:pt idx="9">
                  <c:v>7</c:v>
                </c:pt>
                <c:pt idx="10">
                  <c:v>8</c:v>
                </c:pt>
                <c:pt idx="11">
                  <c:v>9</c:v>
                </c:pt>
                <c:pt idx="12">
                  <c:v>10</c:v>
                </c:pt>
                <c:pt idx="13">
                  <c:v>11</c:v>
                </c:pt>
                <c:pt idx="14">
                  <c:v>12</c:v>
                </c:pt>
                <c:pt idx="15">
                  <c:v>13</c:v>
                </c:pt>
                <c:pt idx="16">
                  <c:v>14</c:v>
                </c:pt>
                <c:pt idx="17">
                  <c:v>15</c:v>
                </c:pt>
                <c:pt idx="18">
                  <c:v>16</c:v>
                </c:pt>
                <c:pt idx="19">
                  <c:v>17</c:v>
                </c:pt>
                <c:pt idx="20">
                  <c:v>18</c:v>
                </c:pt>
                <c:pt idx="21">
                  <c:v>18.5</c:v>
                </c:pt>
                <c:pt idx="22">
                  <c:v>19</c:v>
                </c:pt>
                <c:pt idx="23">
                  <c:v>19.5</c:v>
                </c:pt>
                <c:pt idx="24">
                  <c:v>20</c:v>
                </c:pt>
              </c:numCache>
            </c:numRef>
          </c:xVal>
          <c:yVal>
            <c:numRef>
              <c:f>Tools!$R$70:$R$94</c:f>
              <c:numCache>
                <c:formatCode>General</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yVal>
          <c:smooth val="1"/>
        </c:ser>
        <c:ser>
          <c:idx val="17"/>
          <c:order val="17"/>
          <c:tx>
            <c:strRef>
              <c:f>Tools!$S$69</c:f>
              <c:strCache>
                <c:ptCount val="1"/>
                <c:pt idx="0">
                  <c:v>  </c:v>
                </c:pt>
              </c:strCache>
            </c:strRef>
          </c:tx>
          <c:marker>
            <c:symbol val="none"/>
          </c:marker>
          <c:xVal>
            <c:numRef>
              <c:f>Tools!$A$70:$A$94</c:f>
              <c:numCache>
                <c:formatCode>General</c:formatCode>
                <c:ptCount val="25"/>
                <c:pt idx="0">
                  <c:v>0</c:v>
                </c:pt>
                <c:pt idx="1">
                  <c:v>0.5</c:v>
                </c:pt>
                <c:pt idx="2">
                  <c:v>1</c:v>
                </c:pt>
                <c:pt idx="3">
                  <c:v>1.5</c:v>
                </c:pt>
                <c:pt idx="4">
                  <c:v>2</c:v>
                </c:pt>
                <c:pt idx="5">
                  <c:v>3</c:v>
                </c:pt>
                <c:pt idx="6">
                  <c:v>4</c:v>
                </c:pt>
                <c:pt idx="7">
                  <c:v>5</c:v>
                </c:pt>
                <c:pt idx="8">
                  <c:v>6</c:v>
                </c:pt>
                <c:pt idx="9">
                  <c:v>7</c:v>
                </c:pt>
                <c:pt idx="10">
                  <c:v>8</c:v>
                </c:pt>
                <c:pt idx="11">
                  <c:v>9</c:v>
                </c:pt>
                <c:pt idx="12">
                  <c:v>10</c:v>
                </c:pt>
                <c:pt idx="13">
                  <c:v>11</c:v>
                </c:pt>
                <c:pt idx="14">
                  <c:v>12</c:v>
                </c:pt>
                <c:pt idx="15">
                  <c:v>13</c:v>
                </c:pt>
                <c:pt idx="16">
                  <c:v>14</c:v>
                </c:pt>
                <c:pt idx="17">
                  <c:v>15</c:v>
                </c:pt>
                <c:pt idx="18">
                  <c:v>16</c:v>
                </c:pt>
                <c:pt idx="19">
                  <c:v>17</c:v>
                </c:pt>
                <c:pt idx="20">
                  <c:v>18</c:v>
                </c:pt>
                <c:pt idx="21">
                  <c:v>18.5</c:v>
                </c:pt>
                <c:pt idx="22">
                  <c:v>19</c:v>
                </c:pt>
                <c:pt idx="23">
                  <c:v>19.5</c:v>
                </c:pt>
                <c:pt idx="24">
                  <c:v>20</c:v>
                </c:pt>
              </c:numCache>
            </c:numRef>
          </c:xVal>
          <c:yVal>
            <c:numRef>
              <c:f>Tools!$S$70:$S$94</c:f>
              <c:numCache>
                <c:formatCode>General</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yVal>
          <c:smooth val="1"/>
        </c:ser>
        <c:ser>
          <c:idx val="18"/>
          <c:order val="18"/>
          <c:tx>
            <c:strRef>
              <c:f>Tools!$T$69</c:f>
              <c:strCache>
                <c:ptCount val="1"/>
                <c:pt idx="0">
                  <c:v>  </c:v>
                </c:pt>
              </c:strCache>
            </c:strRef>
          </c:tx>
          <c:marker>
            <c:symbol val="none"/>
          </c:marker>
          <c:xVal>
            <c:numRef>
              <c:f>Tools!$A$70:$A$94</c:f>
              <c:numCache>
                <c:formatCode>General</c:formatCode>
                <c:ptCount val="25"/>
                <c:pt idx="0">
                  <c:v>0</c:v>
                </c:pt>
                <c:pt idx="1">
                  <c:v>0.5</c:v>
                </c:pt>
                <c:pt idx="2">
                  <c:v>1</c:v>
                </c:pt>
                <c:pt idx="3">
                  <c:v>1.5</c:v>
                </c:pt>
                <c:pt idx="4">
                  <c:v>2</c:v>
                </c:pt>
                <c:pt idx="5">
                  <c:v>3</c:v>
                </c:pt>
                <c:pt idx="6">
                  <c:v>4</c:v>
                </c:pt>
                <c:pt idx="7">
                  <c:v>5</c:v>
                </c:pt>
                <c:pt idx="8">
                  <c:v>6</c:v>
                </c:pt>
                <c:pt idx="9">
                  <c:v>7</c:v>
                </c:pt>
                <c:pt idx="10">
                  <c:v>8</c:v>
                </c:pt>
                <c:pt idx="11">
                  <c:v>9</c:v>
                </c:pt>
                <c:pt idx="12">
                  <c:v>10</c:v>
                </c:pt>
                <c:pt idx="13">
                  <c:v>11</c:v>
                </c:pt>
                <c:pt idx="14">
                  <c:v>12</c:v>
                </c:pt>
                <c:pt idx="15">
                  <c:v>13</c:v>
                </c:pt>
                <c:pt idx="16">
                  <c:v>14</c:v>
                </c:pt>
                <c:pt idx="17">
                  <c:v>15</c:v>
                </c:pt>
                <c:pt idx="18">
                  <c:v>16</c:v>
                </c:pt>
                <c:pt idx="19">
                  <c:v>17</c:v>
                </c:pt>
                <c:pt idx="20">
                  <c:v>18</c:v>
                </c:pt>
                <c:pt idx="21">
                  <c:v>18.5</c:v>
                </c:pt>
                <c:pt idx="22">
                  <c:v>19</c:v>
                </c:pt>
                <c:pt idx="23">
                  <c:v>19.5</c:v>
                </c:pt>
                <c:pt idx="24">
                  <c:v>20</c:v>
                </c:pt>
              </c:numCache>
            </c:numRef>
          </c:xVal>
          <c:yVal>
            <c:numRef>
              <c:f>Tools!$T$70:$T$94</c:f>
              <c:numCache>
                <c:formatCode>General</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yVal>
          <c:smooth val="1"/>
        </c:ser>
        <c:ser>
          <c:idx val="19"/>
          <c:order val="19"/>
          <c:tx>
            <c:strRef>
              <c:f>Tools!$U$69</c:f>
              <c:strCache>
                <c:ptCount val="1"/>
                <c:pt idx="0">
                  <c:v>  </c:v>
                </c:pt>
              </c:strCache>
            </c:strRef>
          </c:tx>
          <c:marker>
            <c:symbol val="none"/>
          </c:marker>
          <c:xVal>
            <c:numRef>
              <c:f>Tools!$A$70:$A$94</c:f>
              <c:numCache>
                <c:formatCode>General</c:formatCode>
                <c:ptCount val="25"/>
                <c:pt idx="0">
                  <c:v>0</c:v>
                </c:pt>
                <c:pt idx="1">
                  <c:v>0.5</c:v>
                </c:pt>
                <c:pt idx="2">
                  <c:v>1</c:v>
                </c:pt>
                <c:pt idx="3">
                  <c:v>1.5</c:v>
                </c:pt>
                <c:pt idx="4">
                  <c:v>2</c:v>
                </c:pt>
                <c:pt idx="5">
                  <c:v>3</c:v>
                </c:pt>
                <c:pt idx="6">
                  <c:v>4</c:v>
                </c:pt>
                <c:pt idx="7">
                  <c:v>5</c:v>
                </c:pt>
                <c:pt idx="8">
                  <c:v>6</c:v>
                </c:pt>
                <c:pt idx="9">
                  <c:v>7</c:v>
                </c:pt>
                <c:pt idx="10">
                  <c:v>8</c:v>
                </c:pt>
                <c:pt idx="11">
                  <c:v>9</c:v>
                </c:pt>
                <c:pt idx="12">
                  <c:v>10</c:v>
                </c:pt>
                <c:pt idx="13">
                  <c:v>11</c:v>
                </c:pt>
                <c:pt idx="14">
                  <c:v>12</c:v>
                </c:pt>
                <c:pt idx="15">
                  <c:v>13</c:v>
                </c:pt>
                <c:pt idx="16">
                  <c:v>14</c:v>
                </c:pt>
                <c:pt idx="17">
                  <c:v>15</c:v>
                </c:pt>
                <c:pt idx="18">
                  <c:v>16</c:v>
                </c:pt>
                <c:pt idx="19">
                  <c:v>17</c:v>
                </c:pt>
                <c:pt idx="20">
                  <c:v>18</c:v>
                </c:pt>
                <c:pt idx="21">
                  <c:v>18.5</c:v>
                </c:pt>
                <c:pt idx="22">
                  <c:v>19</c:v>
                </c:pt>
                <c:pt idx="23">
                  <c:v>19.5</c:v>
                </c:pt>
                <c:pt idx="24">
                  <c:v>20</c:v>
                </c:pt>
              </c:numCache>
            </c:numRef>
          </c:xVal>
          <c:yVal>
            <c:numRef>
              <c:f>Tools!$U$70:$U$94</c:f>
              <c:numCache>
                <c:formatCode>General</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yVal>
          <c:smooth val="1"/>
        </c:ser>
        <c:ser>
          <c:idx val="20"/>
          <c:order val="20"/>
          <c:tx>
            <c:strRef>
              <c:f>Tools!$V$69</c:f>
              <c:strCache>
                <c:ptCount val="1"/>
                <c:pt idx="0">
                  <c:v>  </c:v>
                </c:pt>
              </c:strCache>
            </c:strRef>
          </c:tx>
          <c:marker>
            <c:symbol val="none"/>
          </c:marker>
          <c:xVal>
            <c:numRef>
              <c:f>Tools!$A$70:$A$94</c:f>
              <c:numCache>
                <c:formatCode>General</c:formatCode>
                <c:ptCount val="25"/>
                <c:pt idx="0">
                  <c:v>0</c:v>
                </c:pt>
                <c:pt idx="1">
                  <c:v>0.5</c:v>
                </c:pt>
                <c:pt idx="2">
                  <c:v>1</c:v>
                </c:pt>
                <c:pt idx="3">
                  <c:v>1.5</c:v>
                </c:pt>
                <c:pt idx="4">
                  <c:v>2</c:v>
                </c:pt>
                <c:pt idx="5">
                  <c:v>3</c:v>
                </c:pt>
                <c:pt idx="6">
                  <c:v>4</c:v>
                </c:pt>
                <c:pt idx="7">
                  <c:v>5</c:v>
                </c:pt>
                <c:pt idx="8">
                  <c:v>6</c:v>
                </c:pt>
                <c:pt idx="9">
                  <c:v>7</c:v>
                </c:pt>
                <c:pt idx="10">
                  <c:v>8</c:v>
                </c:pt>
                <c:pt idx="11">
                  <c:v>9</c:v>
                </c:pt>
                <c:pt idx="12">
                  <c:v>10</c:v>
                </c:pt>
                <c:pt idx="13">
                  <c:v>11</c:v>
                </c:pt>
                <c:pt idx="14">
                  <c:v>12</c:v>
                </c:pt>
                <c:pt idx="15">
                  <c:v>13</c:v>
                </c:pt>
                <c:pt idx="16">
                  <c:v>14</c:v>
                </c:pt>
                <c:pt idx="17">
                  <c:v>15</c:v>
                </c:pt>
                <c:pt idx="18">
                  <c:v>16</c:v>
                </c:pt>
                <c:pt idx="19">
                  <c:v>17</c:v>
                </c:pt>
                <c:pt idx="20">
                  <c:v>18</c:v>
                </c:pt>
                <c:pt idx="21">
                  <c:v>18.5</c:v>
                </c:pt>
                <c:pt idx="22">
                  <c:v>19</c:v>
                </c:pt>
                <c:pt idx="23">
                  <c:v>19.5</c:v>
                </c:pt>
                <c:pt idx="24">
                  <c:v>20</c:v>
                </c:pt>
              </c:numCache>
            </c:numRef>
          </c:xVal>
          <c:yVal>
            <c:numRef>
              <c:f>Tools!$V$70:$V$94</c:f>
              <c:numCache>
                <c:formatCode>General</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yVal>
          <c:smooth val="1"/>
        </c:ser>
        <c:ser>
          <c:idx val="21"/>
          <c:order val="21"/>
          <c:tx>
            <c:strRef>
              <c:f>Tools!$W$69</c:f>
              <c:strCache>
                <c:ptCount val="1"/>
                <c:pt idx="0">
                  <c:v>  </c:v>
                </c:pt>
              </c:strCache>
            </c:strRef>
          </c:tx>
          <c:marker>
            <c:symbol val="none"/>
          </c:marker>
          <c:xVal>
            <c:numRef>
              <c:f>Tools!$A$70:$A$94</c:f>
              <c:numCache>
                <c:formatCode>General</c:formatCode>
                <c:ptCount val="25"/>
                <c:pt idx="0">
                  <c:v>0</c:v>
                </c:pt>
                <c:pt idx="1">
                  <c:v>0.5</c:v>
                </c:pt>
                <c:pt idx="2">
                  <c:v>1</c:v>
                </c:pt>
                <c:pt idx="3">
                  <c:v>1.5</c:v>
                </c:pt>
                <c:pt idx="4">
                  <c:v>2</c:v>
                </c:pt>
                <c:pt idx="5">
                  <c:v>3</c:v>
                </c:pt>
                <c:pt idx="6">
                  <c:v>4</c:v>
                </c:pt>
                <c:pt idx="7">
                  <c:v>5</c:v>
                </c:pt>
                <c:pt idx="8">
                  <c:v>6</c:v>
                </c:pt>
                <c:pt idx="9">
                  <c:v>7</c:v>
                </c:pt>
                <c:pt idx="10">
                  <c:v>8</c:v>
                </c:pt>
                <c:pt idx="11">
                  <c:v>9</c:v>
                </c:pt>
                <c:pt idx="12">
                  <c:v>10</c:v>
                </c:pt>
                <c:pt idx="13">
                  <c:v>11</c:v>
                </c:pt>
                <c:pt idx="14">
                  <c:v>12</c:v>
                </c:pt>
                <c:pt idx="15">
                  <c:v>13</c:v>
                </c:pt>
                <c:pt idx="16">
                  <c:v>14</c:v>
                </c:pt>
                <c:pt idx="17">
                  <c:v>15</c:v>
                </c:pt>
                <c:pt idx="18">
                  <c:v>16</c:v>
                </c:pt>
                <c:pt idx="19">
                  <c:v>17</c:v>
                </c:pt>
                <c:pt idx="20">
                  <c:v>18</c:v>
                </c:pt>
                <c:pt idx="21">
                  <c:v>18.5</c:v>
                </c:pt>
                <c:pt idx="22">
                  <c:v>19</c:v>
                </c:pt>
                <c:pt idx="23">
                  <c:v>19.5</c:v>
                </c:pt>
                <c:pt idx="24">
                  <c:v>20</c:v>
                </c:pt>
              </c:numCache>
            </c:numRef>
          </c:xVal>
          <c:yVal>
            <c:numRef>
              <c:f>Tools!$W$70:$W$94</c:f>
              <c:numCache>
                <c:formatCode>General</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yVal>
          <c:smooth val="1"/>
        </c:ser>
        <c:ser>
          <c:idx val="22"/>
          <c:order val="22"/>
          <c:tx>
            <c:strRef>
              <c:f>Tools!$X$69</c:f>
              <c:strCache>
                <c:ptCount val="1"/>
                <c:pt idx="0">
                  <c:v>  </c:v>
                </c:pt>
              </c:strCache>
            </c:strRef>
          </c:tx>
          <c:marker>
            <c:symbol val="none"/>
          </c:marker>
          <c:xVal>
            <c:numRef>
              <c:f>Tools!$A$70:$A$94</c:f>
              <c:numCache>
                <c:formatCode>General</c:formatCode>
                <c:ptCount val="25"/>
                <c:pt idx="0">
                  <c:v>0</c:v>
                </c:pt>
                <c:pt idx="1">
                  <c:v>0.5</c:v>
                </c:pt>
                <c:pt idx="2">
                  <c:v>1</c:v>
                </c:pt>
                <c:pt idx="3">
                  <c:v>1.5</c:v>
                </c:pt>
                <c:pt idx="4">
                  <c:v>2</c:v>
                </c:pt>
                <c:pt idx="5">
                  <c:v>3</c:v>
                </c:pt>
                <c:pt idx="6">
                  <c:v>4</c:v>
                </c:pt>
                <c:pt idx="7">
                  <c:v>5</c:v>
                </c:pt>
                <c:pt idx="8">
                  <c:v>6</c:v>
                </c:pt>
                <c:pt idx="9">
                  <c:v>7</c:v>
                </c:pt>
                <c:pt idx="10">
                  <c:v>8</c:v>
                </c:pt>
                <c:pt idx="11">
                  <c:v>9</c:v>
                </c:pt>
                <c:pt idx="12">
                  <c:v>10</c:v>
                </c:pt>
                <c:pt idx="13">
                  <c:v>11</c:v>
                </c:pt>
                <c:pt idx="14">
                  <c:v>12</c:v>
                </c:pt>
                <c:pt idx="15">
                  <c:v>13</c:v>
                </c:pt>
                <c:pt idx="16">
                  <c:v>14</c:v>
                </c:pt>
                <c:pt idx="17">
                  <c:v>15</c:v>
                </c:pt>
                <c:pt idx="18">
                  <c:v>16</c:v>
                </c:pt>
                <c:pt idx="19">
                  <c:v>17</c:v>
                </c:pt>
                <c:pt idx="20">
                  <c:v>18</c:v>
                </c:pt>
                <c:pt idx="21">
                  <c:v>18.5</c:v>
                </c:pt>
                <c:pt idx="22">
                  <c:v>19</c:v>
                </c:pt>
                <c:pt idx="23">
                  <c:v>19.5</c:v>
                </c:pt>
                <c:pt idx="24">
                  <c:v>20</c:v>
                </c:pt>
              </c:numCache>
            </c:numRef>
          </c:xVal>
          <c:yVal>
            <c:numRef>
              <c:f>Tools!$X$70:$X$94</c:f>
              <c:numCache>
                <c:formatCode>General</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yVal>
          <c:smooth val="1"/>
        </c:ser>
        <c:ser>
          <c:idx val="23"/>
          <c:order val="23"/>
          <c:tx>
            <c:strRef>
              <c:f>Tools!$Y$69</c:f>
              <c:strCache>
                <c:ptCount val="1"/>
                <c:pt idx="0">
                  <c:v>  </c:v>
                </c:pt>
              </c:strCache>
            </c:strRef>
          </c:tx>
          <c:marker>
            <c:symbol val="none"/>
          </c:marker>
          <c:xVal>
            <c:numRef>
              <c:f>Tools!$A$70:$A$94</c:f>
              <c:numCache>
                <c:formatCode>General</c:formatCode>
                <c:ptCount val="25"/>
                <c:pt idx="0">
                  <c:v>0</c:v>
                </c:pt>
                <c:pt idx="1">
                  <c:v>0.5</c:v>
                </c:pt>
                <c:pt idx="2">
                  <c:v>1</c:v>
                </c:pt>
                <c:pt idx="3">
                  <c:v>1.5</c:v>
                </c:pt>
                <c:pt idx="4">
                  <c:v>2</c:v>
                </c:pt>
                <c:pt idx="5">
                  <c:v>3</c:v>
                </c:pt>
                <c:pt idx="6">
                  <c:v>4</c:v>
                </c:pt>
                <c:pt idx="7">
                  <c:v>5</c:v>
                </c:pt>
                <c:pt idx="8">
                  <c:v>6</c:v>
                </c:pt>
                <c:pt idx="9">
                  <c:v>7</c:v>
                </c:pt>
                <c:pt idx="10">
                  <c:v>8</c:v>
                </c:pt>
                <c:pt idx="11">
                  <c:v>9</c:v>
                </c:pt>
                <c:pt idx="12">
                  <c:v>10</c:v>
                </c:pt>
                <c:pt idx="13">
                  <c:v>11</c:v>
                </c:pt>
                <c:pt idx="14">
                  <c:v>12</c:v>
                </c:pt>
                <c:pt idx="15">
                  <c:v>13</c:v>
                </c:pt>
                <c:pt idx="16">
                  <c:v>14</c:v>
                </c:pt>
                <c:pt idx="17">
                  <c:v>15</c:v>
                </c:pt>
                <c:pt idx="18">
                  <c:v>16</c:v>
                </c:pt>
                <c:pt idx="19">
                  <c:v>17</c:v>
                </c:pt>
                <c:pt idx="20">
                  <c:v>18</c:v>
                </c:pt>
                <c:pt idx="21">
                  <c:v>18.5</c:v>
                </c:pt>
                <c:pt idx="22">
                  <c:v>19</c:v>
                </c:pt>
                <c:pt idx="23">
                  <c:v>19.5</c:v>
                </c:pt>
                <c:pt idx="24">
                  <c:v>20</c:v>
                </c:pt>
              </c:numCache>
            </c:numRef>
          </c:xVal>
          <c:yVal>
            <c:numRef>
              <c:f>Tools!$Y$70:$Y$94</c:f>
              <c:numCache>
                <c:formatCode>General</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yVal>
          <c:smooth val="1"/>
        </c:ser>
        <c:ser>
          <c:idx val="24"/>
          <c:order val="24"/>
          <c:tx>
            <c:strRef>
              <c:f>Tools!$Z$69</c:f>
              <c:strCache>
                <c:ptCount val="1"/>
                <c:pt idx="0">
                  <c:v>  </c:v>
                </c:pt>
              </c:strCache>
            </c:strRef>
          </c:tx>
          <c:marker>
            <c:symbol val="none"/>
          </c:marker>
          <c:xVal>
            <c:numRef>
              <c:f>Tools!$A$70:$A$94</c:f>
              <c:numCache>
                <c:formatCode>General</c:formatCode>
                <c:ptCount val="25"/>
                <c:pt idx="0">
                  <c:v>0</c:v>
                </c:pt>
                <c:pt idx="1">
                  <c:v>0.5</c:v>
                </c:pt>
                <c:pt idx="2">
                  <c:v>1</c:v>
                </c:pt>
                <c:pt idx="3">
                  <c:v>1.5</c:v>
                </c:pt>
                <c:pt idx="4">
                  <c:v>2</c:v>
                </c:pt>
                <c:pt idx="5">
                  <c:v>3</c:v>
                </c:pt>
                <c:pt idx="6">
                  <c:v>4</c:v>
                </c:pt>
                <c:pt idx="7">
                  <c:v>5</c:v>
                </c:pt>
                <c:pt idx="8">
                  <c:v>6</c:v>
                </c:pt>
                <c:pt idx="9">
                  <c:v>7</c:v>
                </c:pt>
                <c:pt idx="10">
                  <c:v>8</c:v>
                </c:pt>
                <c:pt idx="11">
                  <c:v>9</c:v>
                </c:pt>
                <c:pt idx="12">
                  <c:v>10</c:v>
                </c:pt>
                <c:pt idx="13">
                  <c:v>11</c:v>
                </c:pt>
                <c:pt idx="14">
                  <c:v>12</c:v>
                </c:pt>
                <c:pt idx="15">
                  <c:v>13</c:v>
                </c:pt>
                <c:pt idx="16">
                  <c:v>14</c:v>
                </c:pt>
                <c:pt idx="17">
                  <c:v>15</c:v>
                </c:pt>
                <c:pt idx="18">
                  <c:v>16</c:v>
                </c:pt>
                <c:pt idx="19">
                  <c:v>17</c:v>
                </c:pt>
                <c:pt idx="20">
                  <c:v>18</c:v>
                </c:pt>
                <c:pt idx="21">
                  <c:v>18.5</c:v>
                </c:pt>
                <c:pt idx="22">
                  <c:v>19</c:v>
                </c:pt>
                <c:pt idx="23">
                  <c:v>19.5</c:v>
                </c:pt>
                <c:pt idx="24">
                  <c:v>20</c:v>
                </c:pt>
              </c:numCache>
            </c:numRef>
          </c:xVal>
          <c:yVal>
            <c:numRef>
              <c:f>Tools!$Z$70:$Z$94</c:f>
              <c:numCache>
                <c:formatCode>General</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yVal>
          <c:smooth val="1"/>
        </c:ser>
        <c:dLbls>
          <c:showLegendKey val="0"/>
          <c:showVal val="0"/>
          <c:showCatName val="0"/>
          <c:showSerName val="0"/>
          <c:showPercent val="0"/>
          <c:showBubbleSize val="0"/>
        </c:dLbls>
        <c:axId val="977746560"/>
        <c:axId val="977748352"/>
      </c:scatterChart>
      <c:valAx>
        <c:axId val="977746560"/>
        <c:scaling>
          <c:orientation val="minMax"/>
          <c:min val="0"/>
        </c:scaling>
        <c:delete val="0"/>
        <c:axPos val="b"/>
        <c:numFmt formatCode="General" sourceLinked="1"/>
        <c:majorTickMark val="out"/>
        <c:minorTickMark val="none"/>
        <c:tickLblPos val="nextTo"/>
        <c:crossAx val="977748352"/>
        <c:crosses val="autoZero"/>
        <c:crossBetween val="midCat"/>
        <c:majorUnit val="1"/>
        <c:minorUnit val="0.5"/>
      </c:valAx>
      <c:valAx>
        <c:axId val="977748352"/>
        <c:scaling>
          <c:orientation val="minMax"/>
        </c:scaling>
        <c:delete val="0"/>
        <c:axPos val="l"/>
        <c:majorGridlines>
          <c:spPr>
            <a:ln>
              <a:solidFill>
                <a:schemeClr val="tx1">
                  <a:alpha val="15000"/>
                </a:schemeClr>
              </a:solidFill>
            </a:ln>
          </c:spPr>
        </c:majorGridlines>
        <c:numFmt formatCode="General" sourceLinked="1"/>
        <c:majorTickMark val="out"/>
        <c:minorTickMark val="none"/>
        <c:tickLblPos val="nextTo"/>
        <c:crossAx val="977746560"/>
        <c:crosses val="autoZero"/>
        <c:crossBetween val="midCat"/>
      </c:valAx>
    </c:plotArea>
    <c:legend>
      <c:legendPos val="r"/>
      <c:layout>
        <c:manualLayout>
          <c:xMode val="edge"/>
          <c:yMode val="edge"/>
          <c:x val="0.89346699425867493"/>
          <c:y val="8.4220769885766739E-2"/>
          <c:w val="9.4246793839843301E-2"/>
          <c:h val="0.89228999427055355"/>
        </c:manualLayout>
      </c:layout>
      <c:overlay val="0"/>
    </c:legend>
    <c:plotVisOnly val="1"/>
    <c:dispBlanksAs val="gap"/>
    <c:showDLblsOverMax val="0"/>
  </c:chart>
  <c:printSettings>
    <c:headerFooter/>
    <c:pageMargins b="0.75" l="0.7" r="0.7" t="0.75" header="0.3" footer="0.3"/>
    <c:pageSetup/>
  </c:printSettings>
  <c:userShapes r:id="rId1"/>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I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Bonjean Area</a:t>
            </a:r>
          </a:p>
        </c:rich>
      </c:tx>
      <c:layout>
        <c:manualLayout>
          <c:xMode val="edge"/>
          <c:yMode val="edge"/>
          <c:x val="0.47756684615683975"/>
          <c:y val="3.1272206835516986E-2"/>
        </c:manualLayout>
      </c:layout>
      <c:overlay val="0"/>
    </c:title>
    <c:autoTitleDeleted val="0"/>
    <c:plotArea>
      <c:layout>
        <c:manualLayout>
          <c:layoutTarget val="inner"/>
          <c:xMode val="edge"/>
          <c:yMode val="edge"/>
          <c:x val="1.1993482053380604E-2"/>
          <c:y val="9.0155667319992347E-2"/>
          <c:w val="0.97876077016654528"/>
          <c:h val="0.84038805710785291"/>
        </c:manualLayout>
      </c:layout>
      <c:scatterChart>
        <c:scatterStyle val="smoothMarker"/>
        <c:varyColors val="0"/>
        <c:ser>
          <c:idx val="0"/>
          <c:order val="0"/>
          <c:tx>
            <c:strRef>
              <c:f>Tools!$CK$5</c:f>
              <c:strCache>
                <c:ptCount val="1"/>
                <c:pt idx="0">
                  <c:v>0</c:v>
                </c:pt>
              </c:strCache>
            </c:strRef>
          </c:tx>
          <c:spPr>
            <a:ln w="3175">
              <a:solidFill>
                <a:schemeClr val="accent5">
                  <a:lumMod val="75000"/>
                </a:schemeClr>
              </a:solidFill>
            </a:ln>
          </c:spPr>
          <c:marker>
            <c:symbol val="none"/>
          </c:marker>
          <c:xVal>
            <c:numRef>
              <c:f>Tools!$CL$5:$DJ$5</c:f>
              <c:numCache>
                <c:formatCode>General</c:formatCode>
                <c:ptCount val="25"/>
                <c:pt idx="0">
                  <c:v>0</c:v>
                </c:pt>
                <c:pt idx="1">
                  <c:v>0</c:v>
                </c:pt>
                <c:pt idx="2">
                  <c:v>0</c:v>
                </c:pt>
                <c:pt idx="3">
                  <c:v>0</c:v>
                </c:pt>
                <c:pt idx="4">
                  <c:v>0</c:v>
                </c:pt>
                <c:pt idx="5">
                  <c:v>0</c:v>
                </c:pt>
                <c:pt idx="6">
                  <c:v>0</c:v>
                </c:pt>
                <c:pt idx="7">
                  <c:v>2.4623803009575927E-3</c:v>
                </c:pt>
                <c:pt idx="8">
                  <c:v>1.869493844049247E-2</c:v>
                </c:pt>
                <c:pt idx="9">
                  <c:v>2.3657090743274056E-2</c:v>
                </c:pt>
                <c:pt idx="10">
                  <c:v>6.0829913360693107E-2</c:v>
                </c:pt>
                <c:pt idx="11">
                  <c:v>8.2881896944824424E-2</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xVal>
          <c:yVal>
            <c:numRef>
              <c:f>Tools!$CL$4:$DJ$4</c:f>
              <c:numCache>
                <c:formatCode>General</c:formatCode>
                <c:ptCount val="25"/>
                <c:pt idx="0">
                  <c:v>0</c:v>
                </c:pt>
                <c:pt idx="1">
                  <c:v>0.25</c:v>
                </c:pt>
                <c:pt idx="2">
                  <c:v>0.5</c:v>
                </c:pt>
                <c:pt idx="3">
                  <c:v>0.75</c:v>
                </c:pt>
                <c:pt idx="4">
                  <c:v>1</c:v>
                </c:pt>
                <c:pt idx="5">
                  <c:v>2</c:v>
                </c:pt>
                <c:pt idx="6">
                  <c:v>3</c:v>
                </c:pt>
                <c:pt idx="7">
                  <c:v>4</c:v>
                </c:pt>
                <c:pt idx="8">
                  <c:v>4.8499999999999996</c:v>
                </c:pt>
                <c:pt idx="9">
                  <c:v>5</c:v>
                </c:pt>
                <c:pt idx="10">
                  <c:v>6</c:v>
                </c:pt>
                <c:pt idx="11">
                  <c:v>6.5</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yVal>
          <c:smooth val="1"/>
        </c:ser>
        <c:ser>
          <c:idx val="1"/>
          <c:order val="1"/>
          <c:tx>
            <c:strRef>
              <c:f>Tools!$CK$6</c:f>
              <c:strCache>
                <c:ptCount val="1"/>
                <c:pt idx="0">
                  <c:v>0.5</c:v>
                </c:pt>
              </c:strCache>
            </c:strRef>
          </c:tx>
          <c:spPr>
            <a:ln w="3175">
              <a:solidFill>
                <a:schemeClr val="accent5">
                  <a:lumMod val="75000"/>
                </a:schemeClr>
              </a:solidFill>
            </a:ln>
          </c:spPr>
          <c:marker>
            <c:symbol val="none"/>
          </c:marker>
          <c:xVal>
            <c:numRef>
              <c:f>Tools!$CL$6:$DJ$6</c:f>
              <c:numCache>
                <c:formatCode>General</c:formatCode>
                <c:ptCount val="25"/>
                <c:pt idx="0">
                  <c:v>0.5</c:v>
                </c:pt>
                <c:pt idx="1">
                  <c:v>0.50043319653442775</c:v>
                </c:pt>
                <c:pt idx="2">
                  <c:v>0.50100319197446419</c:v>
                </c:pt>
                <c:pt idx="3">
                  <c:v>0.5015367077063384</c:v>
                </c:pt>
                <c:pt idx="4">
                  <c:v>0.50217966256269952</c:v>
                </c:pt>
                <c:pt idx="5">
                  <c:v>0.50512539899680797</c:v>
                </c:pt>
                <c:pt idx="6">
                  <c:v>0.51031463748290018</c:v>
                </c:pt>
                <c:pt idx="7">
                  <c:v>0.52482444140446882</c:v>
                </c:pt>
                <c:pt idx="8">
                  <c:v>0.55556862745098035</c:v>
                </c:pt>
                <c:pt idx="9">
                  <c:v>0.56419516643866852</c:v>
                </c:pt>
                <c:pt idx="10">
                  <c:v>0.61755585955312364</c:v>
                </c:pt>
                <c:pt idx="11">
                  <c:v>0.64841769265845872</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xVal>
          <c:yVal>
            <c:numRef>
              <c:f>Tools!$CL$4:$DJ$4</c:f>
              <c:numCache>
                <c:formatCode>General</c:formatCode>
                <c:ptCount val="25"/>
                <c:pt idx="0">
                  <c:v>0</c:v>
                </c:pt>
                <c:pt idx="1">
                  <c:v>0.25</c:v>
                </c:pt>
                <c:pt idx="2">
                  <c:v>0.5</c:v>
                </c:pt>
                <c:pt idx="3">
                  <c:v>0.75</c:v>
                </c:pt>
                <c:pt idx="4">
                  <c:v>1</c:v>
                </c:pt>
                <c:pt idx="5">
                  <c:v>2</c:v>
                </c:pt>
                <c:pt idx="6">
                  <c:v>3</c:v>
                </c:pt>
                <c:pt idx="7">
                  <c:v>4</c:v>
                </c:pt>
                <c:pt idx="8">
                  <c:v>4.8499999999999996</c:v>
                </c:pt>
                <c:pt idx="9">
                  <c:v>5</c:v>
                </c:pt>
                <c:pt idx="10">
                  <c:v>6</c:v>
                </c:pt>
                <c:pt idx="11">
                  <c:v>6.5</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yVal>
          <c:smooth val="1"/>
        </c:ser>
        <c:ser>
          <c:idx val="2"/>
          <c:order val="2"/>
          <c:tx>
            <c:strRef>
              <c:f>Tools!$CK$7</c:f>
              <c:strCache>
                <c:ptCount val="1"/>
                <c:pt idx="0">
                  <c:v>1</c:v>
                </c:pt>
              </c:strCache>
            </c:strRef>
          </c:tx>
          <c:spPr>
            <a:ln w="3175">
              <a:solidFill>
                <a:schemeClr val="accent5">
                  <a:lumMod val="75000"/>
                </a:schemeClr>
              </a:solidFill>
            </a:ln>
          </c:spPr>
          <c:marker>
            <c:symbol val="none"/>
          </c:marker>
          <c:xVal>
            <c:numRef>
              <c:f>Tools!$CL$7:$DJ$7</c:f>
              <c:numCache>
                <c:formatCode>General</c:formatCode>
                <c:ptCount val="25"/>
                <c:pt idx="0">
                  <c:v>1</c:v>
                </c:pt>
                <c:pt idx="1">
                  <c:v>1.0010989512083903</c:v>
                </c:pt>
                <c:pt idx="2">
                  <c:v>1.0027177382580938</c:v>
                </c:pt>
                <c:pt idx="3">
                  <c:v>1.0047925216598268</c:v>
                </c:pt>
                <c:pt idx="4">
                  <c:v>1.0072594619243047</c:v>
                </c:pt>
                <c:pt idx="5">
                  <c:v>1.0201641586867305</c:v>
                </c:pt>
                <c:pt idx="6">
                  <c:v>1.0401276789785681</c:v>
                </c:pt>
                <c:pt idx="7">
                  <c:v>1.0731691746466028</c:v>
                </c:pt>
                <c:pt idx="8">
                  <c:v>1.1177273141814865</c:v>
                </c:pt>
                <c:pt idx="9">
                  <c:v>1.1280072959416325</c:v>
                </c:pt>
                <c:pt idx="10">
                  <c:v>1.1969448244414045</c:v>
                </c:pt>
                <c:pt idx="11">
                  <c:v>1.2354400364797082</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xVal>
          <c:yVal>
            <c:numRef>
              <c:f>Tools!$CL$4:$DJ$4</c:f>
              <c:numCache>
                <c:formatCode>General</c:formatCode>
                <c:ptCount val="25"/>
                <c:pt idx="0">
                  <c:v>0</c:v>
                </c:pt>
                <c:pt idx="1">
                  <c:v>0.25</c:v>
                </c:pt>
                <c:pt idx="2">
                  <c:v>0.5</c:v>
                </c:pt>
                <c:pt idx="3">
                  <c:v>0.75</c:v>
                </c:pt>
                <c:pt idx="4">
                  <c:v>1</c:v>
                </c:pt>
                <c:pt idx="5">
                  <c:v>2</c:v>
                </c:pt>
                <c:pt idx="6">
                  <c:v>3</c:v>
                </c:pt>
                <c:pt idx="7">
                  <c:v>4</c:v>
                </c:pt>
                <c:pt idx="8">
                  <c:v>4.8499999999999996</c:v>
                </c:pt>
                <c:pt idx="9">
                  <c:v>5</c:v>
                </c:pt>
                <c:pt idx="10">
                  <c:v>6</c:v>
                </c:pt>
                <c:pt idx="11">
                  <c:v>6.5</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yVal>
          <c:smooth val="1"/>
        </c:ser>
        <c:ser>
          <c:idx val="3"/>
          <c:order val="3"/>
          <c:tx>
            <c:strRef>
              <c:f>Tools!$CK$8</c:f>
              <c:strCache>
                <c:ptCount val="1"/>
                <c:pt idx="0">
                  <c:v>1.5</c:v>
                </c:pt>
              </c:strCache>
            </c:strRef>
          </c:tx>
          <c:spPr>
            <a:ln w="3175">
              <a:solidFill>
                <a:schemeClr val="accent5">
                  <a:lumMod val="75000"/>
                </a:schemeClr>
              </a:solidFill>
            </a:ln>
          </c:spPr>
          <c:marker>
            <c:symbol val="none"/>
          </c:marker>
          <c:xVal>
            <c:numRef>
              <c:f>Tools!$CL$8:$DJ$8</c:f>
              <c:numCache>
                <c:formatCode>General</c:formatCode>
                <c:ptCount val="25"/>
                <c:pt idx="0">
                  <c:v>1.5</c:v>
                </c:pt>
                <c:pt idx="1">
                  <c:v>1.5020679434564523</c:v>
                </c:pt>
                <c:pt idx="2">
                  <c:v>1.505298677610579</c:v>
                </c:pt>
                <c:pt idx="3">
                  <c:v>1.5094003647970817</c:v>
                </c:pt>
                <c:pt idx="4">
                  <c:v>1.5142726858185134</c:v>
                </c:pt>
                <c:pt idx="5">
                  <c:v>1.5398723210214318</c:v>
                </c:pt>
                <c:pt idx="6">
                  <c:v>1.57625170998632</c:v>
                </c:pt>
                <c:pt idx="7">
                  <c:v>1.6265116279069767</c:v>
                </c:pt>
                <c:pt idx="8">
                  <c:v>1.683813953488372</c:v>
                </c:pt>
                <c:pt idx="9">
                  <c:v>1.6961605107159143</c:v>
                </c:pt>
                <c:pt idx="10">
                  <c:v>1.7779753761969905</c:v>
                </c:pt>
                <c:pt idx="11">
                  <c:v>1.8228454172366622</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xVal>
          <c:yVal>
            <c:numRef>
              <c:f>Tools!$CL$4:$DJ$4</c:f>
              <c:numCache>
                <c:formatCode>General</c:formatCode>
                <c:ptCount val="25"/>
                <c:pt idx="0">
                  <c:v>0</c:v>
                </c:pt>
                <c:pt idx="1">
                  <c:v>0.25</c:v>
                </c:pt>
                <c:pt idx="2">
                  <c:v>0.5</c:v>
                </c:pt>
                <c:pt idx="3">
                  <c:v>0.75</c:v>
                </c:pt>
                <c:pt idx="4">
                  <c:v>1</c:v>
                </c:pt>
                <c:pt idx="5">
                  <c:v>2</c:v>
                </c:pt>
                <c:pt idx="6">
                  <c:v>3</c:v>
                </c:pt>
                <c:pt idx="7">
                  <c:v>4</c:v>
                </c:pt>
                <c:pt idx="8">
                  <c:v>4.8499999999999996</c:v>
                </c:pt>
                <c:pt idx="9">
                  <c:v>5</c:v>
                </c:pt>
                <c:pt idx="10">
                  <c:v>6</c:v>
                </c:pt>
                <c:pt idx="11">
                  <c:v>6.5</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yVal>
          <c:smooth val="1"/>
        </c:ser>
        <c:ser>
          <c:idx val="4"/>
          <c:order val="4"/>
          <c:tx>
            <c:strRef>
              <c:f>Tools!$CK$9</c:f>
              <c:strCache>
                <c:ptCount val="1"/>
                <c:pt idx="0">
                  <c:v>2</c:v>
                </c:pt>
              </c:strCache>
            </c:strRef>
          </c:tx>
          <c:spPr>
            <a:ln w="3175">
              <a:solidFill>
                <a:schemeClr val="accent5">
                  <a:lumMod val="75000"/>
                </a:schemeClr>
              </a:solidFill>
            </a:ln>
          </c:spPr>
          <c:marker>
            <c:symbol val="none"/>
          </c:marker>
          <c:xVal>
            <c:numRef>
              <c:f>Tools!$CL$9:$DJ$9</c:f>
              <c:numCache>
                <c:formatCode>General</c:formatCode>
                <c:ptCount val="25"/>
                <c:pt idx="0">
                  <c:v>2</c:v>
                </c:pt>
                <c:pt idx="1">
                  <c:v>2.0034382124943</c:v>
                </c:pt>
                <c:pt idx="2">
                  <c:v>2.0085727314181487</c:v>
                </c:pt>
                <c:pt idx="3">
                  <c:v>2.0150569995440035</c:v>
                </c:pt>
                <c:pt idx="4">
                  <c:v>2.0226447788417694</c:v>
                </c:pt>
                <c:pt idx="5">
                  <c:v>2.0616142270861832</c:v>
                </c:pt>
                <c:pt idx="6">
                  <c:v>2.1134427724578204</c:v>
                </c:pt>
                <c:pt idx="7">
                  <c:v>2.1783128134974921</c:v>
                </c:pt>
                <c:pt idx="8">
                  <c:v>2.2461732786137709</c:v>
                </c:pt>
                <c:pt idx="9">
                  <c:v>2.2597993616051073</c:v>
                </c:pt>
                <c:pt idx="10">
                  <c:v>2.3526858185134518</c:v>
                </c:pt>
                <c:pt idx="11">
                  <c:v>2.4025900592795257</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xVal>
          <c:yVal>
            <c:numRef>
              <c:f>Tools!$CL$4:$DJ$4</c:f>
              <c:numCache>
                <c:formatCode>General</c:formatCode>
                <c:ptCount val="25"/>
                <c:pt idx="0">
                  <c:v>0</c:v>
                </c:pt>
                <c:pt idx="1">
                  <c:v>0.25</c:v>
                </c:pt>
                <c:pt idx="2">
                  <c:v>0.5</c:v>
                </c:pt>
                <c:pt idx="3">
                  <c:v>0.75</c:v>
                </c:pt>
                <c:pt idx="4">
                  <c:v>1</c:v>
                </c:pt>
                <c:pt idx="5">
                  <c:v>2</c:v>
                </c:pt>
                <c:pt idx="6">
                  <c:v>3</c:v>
                </c:pt>
                <c:pt idx="7">
                  <c:v>4</c:v>
                </c:pt>
                <c:pt idx="8">
                  <c:v>4.8499999999999996</c:v>
                </c:pt>
                <c:pt idx="9">
                  <c:v>5</c:v>
                </c:pt>
                <c:pt idx="10">
                  <c:v>6</c:v>
                </c:pt>
                <c:pt idx="11">
                  <c:v>6.5</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yVal>
          <c:smooth val="1"/>
        </c:ser>
        <c:ser>
          <c:idx val="5"/>
          <c:order val="5"/>
          <c:tx>
            <c:strRef>
              <c:f>Tools!$CK$10</c:f>
              <c:strCache>
                <c:ptCount val="1"/>
                <c:pt idx="0">
                  <c:v>3</c:v>
                </c:pt>
              </c:strCache>
            </c:strRef>
          </c:tx>
          <c:spPr>
            <a:ln w="3175">
              <a:solidFill>
                <a:schemeClr val="accent5">
                  <a:lumMod val="75000"/>
                </a:schemeClr>
              </a:solidFill>
            </a:ln>
          </c:spPr>
          <c:marker>
            <c:symbol val="none"/>
          </c:marker>
          <c:xVal>
            <c:numRef>
              <c:f>Tools!$CL$10:$DJ$10</c:f>
              <c:numCache>
                <c:formatCode>General</c:formatCode>
                <c:ptCount val="25"/>
                <c:pt idx="0">
                  <c:v>3</c:v>
                </c:pt>
                <c:pt idx="1">
                  <c:v>3.0072708618331054</c:v>
                </c:pt>
                <c:pt idx="2">
                  <c:v>3.0176470588235293</c:v>
                </c:pt>
                <c:pt idx="3">
                  <c:v>3.0298153214774284</c:v>
                </c:pt>
                <c:pt idx="4">
                  <c:v>3.0433652530779756</c:v>
                </c:pt>
                <c:pt idx="5">
                  <c:v>3.1084359325125397</c:v>
                </c:pt>
                <c:pt idx="6">
                  <c:v>3.1877884176926585</c:v>
                </c:pt>
                <c:pt idx="7">
                  <c:v>3.2775558595531233</c:v>
                </c:pt>
                <c:pt idx="8">
                  <c:v>3.3616488828089377</c:v>
                </c:pt>
                <c:pt idx="9">
                  <c:v>3.3771181030551753</c:v>
                </c:pt>
                <c:pt idx="10">
                  <c:v>3.4851618787049703</c:v>
                </c:pt>
                <c:pt idx="11">
                  <c:v>3.5413588691290467</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xVal>
          <c:yVal>
            <c:numRef>
              <c:f>Tools!$CL$4:$DJ$4</c:f>
              <c:numCache>
                <c:formatCode>General</c:formatCode>
                <c:ptCount val="25"/>
                <c:pt idx="0">
                  <c:v>0</c:v>
                </c:pt>
                <c:pt idx="1">
                  <c:v>0.25</c:v>
                </c:pt>
                <c:pt idx="2">
                  <c:v>0.5</c:v>
                </c:pt>
                <c:pt idx="3">
                  <c:v>0.75</c:v>
                </c:pt>
                <c:pt idx="4">
                  <c:v>1</c:v>
                </c:pt>
                <c:pt idx="5">
                  <c:v>2</c:v>
                </c:pt>
                <c:pt idx="6">
                  <c:v>3</c:v>
                </c:pt>
                <c:pt idx="7">
                  <c:v>4</c:v>
                </c:pt>
                <c:pt idx="8">
                  <c:v>4.8499999999999996</c:v>
                </c:pt>
                <c:pt idx="9">
                  <c:v>5</c:v>
                </c:pt>
                <c:pt idx="10">
                  <c:v>6</c:v>
                </c:pt>
                <c:pt idx="11">
                  <c:v>6.5</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yVal>
          <c:smooth val="1"/>
        </c:ser>
        <c:ser>
          <c:idx val="6"/>
          <c:order val="6"/>
          <c:tx>
            <c:strRef>
              <c:f>Tools!$CK$11</c:f>
              <c:strCache>
                <c:ptCount val="1"/>
                <c:pt idx="0">
                  <c:v>4</c:v>
                </c:pt>
              </c:strCache>
            </c:strRef>
          </c:tx>
          <c:spPr>
            <a:ln w="3175"/>
          </c:spPr>
          <c:marker>
            <c:symbol val="none"/>
          </c:marker>
          <c:xVal>
            <c:numRef>
              <c:f>Tools!$CL$11:$DJ$11</c:f>
              <c:numCache>
                <c:formatCode>General</c:formatCode>
                <c:ptCount val="25"/>
                <c:pt idx="0">
                  <c:v>4</c:v>
                </c:pt>
                <c:pt idx="1">
                  <c:v>4.0126265389876883</c:v>
                </c:pt>
                <c:pt idx="2">
                  <c:v>4.0286183310533517</c:v>
                </c:pt>
                <c:pt idx="3">
                  <c:v>4.0465526675786592</c:v>
                </c:pt>
                <c:pt idx="4">
                  <c:v>4.0658914728682172</c:v>
                </c:pt>
                <c:pt idx="5">
                  <c:v>4.1533333333333333</c:v>
                </c:pt>
                <c:pt idx="6">
                  <c:v>4.2525946192430464</c:v>
                </c:pt>
                <c:pt idx="7">
                  <c:v>4.3594801641586871</c:v>
                </c:pt>
                <c:pt idx="8">
                  <c:v>4.4550615595075236</c:v>
                </c:pt>
                <c:pt idx="9">
                  <c:v>4.4727496580027362</c:v>
                </c:pt>
                <c:pt idx="10">
                  <c:v>4.5889375284997715</c:v>
                </c:pt>
                <c:pt idx="11">
                  <c:v>4.6482261741906061</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xVal>
          <c:yVal>
            <c:numRef>
              <c:f>Tools!$CL$4:$DJ$4</c:f>
              <c:numCache>
                <c:formatCode>General</c:formatCode>
                <c:ptCount val="25"/>
                <c:pt idx="0">
                  <c:v>0</c:v>
                </c:pt>
                <c:pt idx="1">
                  <c:v>0.25</c:v>
                </c:pt>
                <c:pt idx="2">
                  <c:v>0.5</c:v>
                </c:pt>
                <c:pt idx="3">
                  <c:v>0.75</c:v>
                </c:pt>
                <c:pt idx="4">
                  <c:v>1</c:v>
                </c:pt>
                <c:pt idx="5">
                  <c:v>2</c:v>
                </c:pt>
                <c:pt idx="6">
                  <c:v>3</c:v>
                </c:pt>
                <c:pt idx="7">
                  <c:v>4</c:v>
                </c:pt>
                <c:pt idx="8">
                  <c:v>4.8499999999999996</c:v>
                </c:pt>
                <c:pt idx="9">
                  <c:v>5</c:v>
                </c:pt>
                <c:pt idx="10">
                  <c:v>6</c:v>
                </c:pt>
                <c:pt idx="11">
                  <c:v>6.5</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yVal>
          <c:smooth val="1"/>
        </c:ser>
        <c:ser>
          <c:idx val="7"/>
          <c:order val="7"/>
          <c:tx>
            <c:strRef>
              <c:f>Tools!$CK$12</c:f>
              <c:strCache>
                <c:ptCount val="1"/>
                <c:pt idx="0">
                  <c:v>5</c:v>
                </c:pt>
              </c:strCache>
            </c:strRef>
          </c:tx>
          <c:spPr>
            <a:ln w="3175">
              <a:solidFill>
                <a:schemeClr val="accent5">
                  <a:lumMod val="75000"/>
                </a:schemeClr>
              </a:solidFill>
            </a:ln>
          </c:spPr>
          <c:marker>
            <c:symbol val="none"/>
          </c:marker>
          <c:xVal>
            <c:numRef>
              <c:f>Tools!$CL$12:$DJ$12</c:f>
              <c:numCache>
                <c:formatCode>General</c:formatCode>
                <c:ptCount val="25"/>
                <c:pt idx="0">
                  <c:v>5</c:v>
                </c:pt>
                <c:pt idx="1">
                  <c:v>5.0181167350661191</c:v>
                </c:pt>
                <c:pt idx="2">
                  <c:v>5.0392704058367537</c:v>
                </c:pt>
                <c:pt idx="3">
                  <c:v>5.062293661650707</c:v>
                </c:pt>
                <c:pt idx="4">
                  <c:v>5.0866849065207482</c:v>
                </c:pt>
                <c:pt idx="5">
                  <c:v>5.1912448700410394</c:v>
                </c:pt>
                <c:pt idx="6">
                  <c:v>5.3025353397172825</c:v>
                </c:pt>
                <c:pt idx="7">
                  <c:v>5.4164341085271319</c:v>
                </c:pt>
                <c:pt idx="8">
                  <c:v>5.5155038759689923</c:v>
                </c:pt>
                <c:pt idx="9">
                  <c:v>5.5336707706338348</c:v>
                </c:pt>
                <c:pt idx="10">
                  <c:v>5.6515093479252165</c:v>
                </c:pt>
                <c:pt idx="11">
                  <c:v>5.7114272685818515</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xVal>
          <c:yVal>
            <c:numRef>
              <c:f>Tools!$CL$4:$DJ$4</c:f>
              <c:numCache>
                <c:formatCode>General</c:formatCode>
                <c:ptCount val="25"/>
                <c:pt idx="0">
                  <c:v>0</c:v>
                </c:pt>
                <c:pt idx="1">
                  <c:v>0.25</c:v>
                </c:pt>
                <c:pt idx="2">
                  <c:v>0.5</c:v>
                </c:pt>
                <c:pt idx="3">
                  <c:v>0.75</c:v>
                </c:pt>
                <c:pt idx="4">
                  <c:v>1</c:v>
                </c:pt>
                <c:pt idx="5">
                  <c:v>2</c:v>
                </c:pt>
                <c:pt idx="6">
                  <c:v>3</c:v>
                </c:pt>
                <c:pt idx="7">
                  <c:v>4</c:v>
                </c:pt>
                <c:pt idx="8">
                  <c:v>4.8499999999999996</c:v>
                </c:pt>
                <c:pt idx="9">
                  <c:v>5</c:v>
                </c:pt>
                <c:pt idx="10">
                  <c:v>6</c:v>
                </c:pt>
                <c:pt idx="11">
                  <c:v>6.5</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yVal>
          <c:smooth val="1"/>
        </c:ser>
        <c:ser>
          <c:idx val="8"/>
          <c:order val="8"/>
          <c:tx>
            <c:strRef>
              <c:f>Tools!$CK$13</c:f>
              <c:strCache>
                <c:ptCount val="1"/>
                <c:pt idx="0">
                  <c:v>6</c:v>
                </c:pt>
              </c:strCache>
            </c:strRef>
          </c:tx>
          <c:spPr>
            <a:ln w="3175">
              <a:solidFill>
                <a:schemeClr val="accent5">
                  <a:lumMod val="75000"/>
                </a:schemeClr>
              </a:solidFill>
            </a:ln>
          </c:spPr>
          <c:marker>
            <c:symbol val="none"/>
          </c:marker>
          <c:xVal>
            <c:numRef>
              <c:f>Tools!$CL$13:$DJ$13</c:f>
              <c:numCache>
                <c:formatCode>General</c:formatCode>
                <c:ptCount val="25"/>
                <c:pt idx="0">
                  <c:v>6</c:v>
                </c:pt>
                <c:pt idx="1">
                  <c:v>6.0230734154126768</c:v>
                </c:pt>
                <c:pt idx="2">
                  <c:v>6.0483356133150936</c:v>
                </c:pt>
                <c:pt idx="3">
                  <c:v>6.0749110807113542</c:v>
                </c:pt>
                <c:pt idx="4">
                  <c:v>6.1025626994984039</c:v>
                </c:pt>
                <c:pt idx="5">
                  <c:v>6.2179297765617871</c:v>
                </c:pt>
                <c:pt idx="6">
                  <c:v>6.3371272229822164</c:v>
                </c:pt>
                <c:pt idx="7">
                  <c:v>6.4565070679434564</c:v>
                </c:pt>
                <c:pt idx="8">
                  <c:v>6.5588326493388056</c:v>
                </c:pt>
                <c:pt idx="9">
                  <c:v>6.5775284997720016</c:v>
                </c:pt>
                <c:pt idx="10">
                  <c:v>6.6972731418148657</c:v>
                </c:pt>
                <c:pt idx="11">
                  <c:v>6.757464660282718</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xVal>
          <c:yVal>
            <c:numRef>
              <c:f>Tools!$CL$4:$DJ$4</c:f>
              <c:numCache>
                <c:formatCode>General</c:formatCode>
                <c:ptCount val="25"/>
                <c:pt idx="0">
                  <c:v>0</c:v>
                </c:pt>
                <c:pt idx="1">
                  <c:v>0.25</c:v>
                </c:pt>
                <c:pt idx="2">
                  <c:v>0.5</c:v>
                </c:pt>
                <c:pt idx="3">
                  <c:v>0.75</c:v>
                </c:pt>
                <c:pt idx="4">
                  <c:v>1</c:v>
                </c:pt>
                <c:pt idx="5">
                  <c:v>2</c:v>
                </c:pt>
                <c:pt idx="6">
                  <c:v>3</c:v>
                </c:pt>
                <c:pt idx="7">
                  <c:v>4</c:v>
                </c:pt>
                <c:pt idx="8">
                  <c:v>4.8499999999999996</c:v>
                </c:pt>
                <c:pt idx="9">
                  <c:v>5</c:v>
                </c:pt>
                <c:pt idx="10">
                  <c:v>6</c:v>
                </c:pt>
                <c:pt idx="11">
                  <c:v>6.5</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yVal>
          <c:smooth val="1"/>
        </c:ser>
        <c:ser>
          <c:idx val="9"/>
          <c:order val="9"/>
          <c:tx>
            <c:strRef>
              <c:f>Tools!$CK$14</c:f>
              <c:strCache>
                <c:ptCount val="1"/>
                <c:pt idx="0">
                  <c:v>7</c:v>
                </c:pt>
              </c:strCache>
            </c:strRef>
          </c:tx>
          <c:spPr>
            <a:ln w="3175">
              <a:solidFill>
                <a:schemeClr val="accent5">
                  <a:lumMod val="75000"/>
                </a:schemeClr>
              </a:solidFill>
            </a:ln>
          </c:spPr>
          <c:marker>
            <c:symbol val="none"/>
          </c:marker>
          <c:xVal>
            <c:numRef>
              <c:f>Tools!$CL$14:$DJ$14</c:f>
              <c:numCache>
                <c:formatCode>General</c:formatCode>
                <c:ptCount val="25"/>
                <c:pt idx="0">
                  <c:v>7</c:v>
                </c:pt>
                <c:pt idx="1">
                  <c:v>7.0258413132694937</c:v>
                </c:pt>
                <c:pt idx="2">
                  <c:v>7.0534610123119013</c:v>
                </c:pt>
                <c:pt idx="3">
                  <c:v>7.0820474236206108</c:v>
                </c:pt>
                <c:pt idx="4">
                  <c:v>7.1113725490196078</c:v>
                </c:pt>
                <c:pt idx="5">
                  <c:v>7.2308435932512536</c:v>
                </c:pt>
                <c:pt idx="6">
                  <c:v>7.3514090287277698</c:v>
                </c:pt>
                <c:pt idx="7">
                  <c:v>7.4716096671226628</c:v>
                </c:pt>
                <c:pt idx="8">
                  <c:v>7.573935248518012</c:v>
                </c:pt>
                <c:pt idx="9">
                  <c:v>7.592175102599179</c:v>
                </c:pt>
                <c:pt idx="10">
                  <c:v>7.7123757409940721</c:v>
                </c:pt>
                <c:pt idx="11">
                  <c:v>7.7725672594619244</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xVal>
          <c:yVal>
            <c:numRef>
              <c:f>Tools!$CL$4:$DJ$4</c:f>
              <c:numCache>
                <c:formatCode>General</c:formatCode>
                <c:ptCount val="25"/>
                <c:pt idx="0">
                  <c:v>0</c:v>
                </c:pt>
                <c:pt idx="1">
                  <c:v>0.25</c:v>
                </c:pt>
                <c:pt idx="2">
                  <c:v>0.5</c:v>
                </c:pt>
                <c:pt idx="3">
                  <c:v>0.75</c:v>
                </c:pt>
                <c:pt idx="4">
                  <c:v>1</c:v>
                </c:pt>
                <c:pt idx="5">
                  <c:v>2</c:v>
                </c:pt>
                <c:pt idx="6">
                  <c:v>3</c:v>
                </c:pt>
                <c:pt idx="7">
                  <c:v>4</c:v>
                </c:pt>
                <c:pt idx="8">
                  <c:v>4.8499999999999996</c:v>
                </c:pt>
                <c:pt idx="9">
                  <c:v>5</c:v>
                </c:pt>
                <c:pt idx="10">
                  <c:v>6</c:v>
                </c:pt>
                <c:pt idx="11">
                  <c:v>6.5</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yVal>
          <c:smooth val="1"/>
        </c:ser>
        <c:ser>
          <c:idx val="10"/>
          <c:order val="10"/>
          <c:tx>
            <c:strRef>
              <c:f>Tools!$CK$15</c:f>
              <c:strCache>
                <c:ptCount val="1"/>
                <c:pt idx="0">
                  <c:v>8</c:v>
                </c:pt>
              </c:strCache>
            </c:strRef>
          </c:tx>
          <c:spPr>
            <a:ln w="3175"/>
          </c:spPr>
          <c:marker>
            <c:symbol val="none"/>
          </c:marker>
          <c:xVal>
            <c:numRef>
              <c:f>Tools!$CL$15:$DJ$15</c:f>
              <c:numCache>
                <c:formatCode>General</c:formatCode>
                <c:ptCount val="25"/>
                <c:pt idx="0">
                  <c:v>8</c:v>
                </c:pt>
                <c:pt idx="1">
                  <c:v>8.0272389420884629</c:v>
                </c:pt>
                <c:pt idx="2">
                  <c:v>8.0560784313725495</c:v>
                </c:pt>
                <c:pt idx="3">
                  <c:v>8.0855243958048337</c:v>
                </c:pt>
                <c:pt idx="4">
                  <c:v>8.1156041951664388</c:v>
                </c:pt>
                <c:pt idx="5">
                  <c:v>8.2359872321021435</c:v>
                </c:pt>
                <c:pt idx="6">
                  <c:v>8.3563702690378481</c:v>
                </c:pt>
                <c:pt idx="7">
                  <c:v>8.4767533059735527</c:v>
                </c:pt>
                <c:pt idx="8">
                  <c:v>8.579078887368901</c:v>
                </c:pt>
                <c:pt idx="9">
                  <c:v>8.5971363429092573</c:v>
                </c:pt>
                <c:pt idx="10">
                  <c:v>8.7175193798449619</c:v>
                </c:pt>
                <c:pt idx="11">
                  <c:v>8.7777108983128134</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xVal>
          <c:yVal>
            <c:numRef>
              <c:f>Tools!$CL$4:$DJ$4</c:f>
              <c:numCache>
                <c:formatCode>General</c:formatCode>
                <c:ptCount val="25"/>
                <c:pt idx="0">
                  <c:v>0</c:v>
                </c:pt>
                <c:pt idx="1">
                  <c:v>0.25</c:v>
                </c:pt>
                <c:pt idx="2">
                  <c:v>0.5</c:v>
                </c:pt>
                <c:pt idx="3">
                  <c:v>0.75</c:v>
                </c:pt>
                <c:pt idx="4">
                  <c:v>1</c:v>
                </c:pt>
                <c:pt idx="5">
                  <c:v>2</c:v>
                </c:pt>
                <c:pt idx="6">
                  <c:v>3</c:v>
                </c:pt>
                <c:pt idx="7">
                  <c:v>4</c:v>
                </c:pt>
                <c:pt idx="8">
                  <c:v>4.8499999999999996</c:v>
                </c:pt>
                <c:pt idx="9">
                  <c:v>5</c:v>
                </c:pt>
                <c:pt idx="10">
                  <c:v>6</c:v>
                </c:pt>
                <c:pt idx="11">
                  <c:v>6.5</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yVal>
          <c:smooth val="1"/>
        </c:ser>
        <c:ser>
          <c:idx val="11"/>
          <c:order val="11"/>
          <c:tx>
            <c:strRef>
              <c:f>Tools!$CK$16</c:f>
              <c:strCache>
                <c:ptCount val="1"/>
                <c:pt idx="0">
                  <c:v>9</c:v>
                </c:pt>
              </c:strCache>
            </c:strRef>
          </c:tx>
          <c:spPr>
            <a:ln w="3175">
              <a:solidFill>
                <a:schemeClr val="accent5">
                  <a:lumMod val="75000"/>
                </a:schemeClr>
              </a:solidFill>
            </a:ln>
          </c:spPr>
          <c:marker>
            <c:symbol val="none"/>
          </c:marker>
          <c:xVal>
            <c:numRef>
              <c:f>Tools!$CL$16:$DJ$16</c:f>
              <c:numCache>
                <c:formatCode>General</c:formatCode>
                <c:ptCount val="25"/>
                <c:pt idx="0">
                  <c:v>9</c:v>
                </c:pt>
                <c:pt idx="1">
                  <c:v>9.0276675786593703</c:v>
                </c:pt>
                <c:pt idx="2">
                  <c:v>9.0567715458276332</c:v>
                </c:pt>
                <c:pt idx="3">
                  <c:v>9.0863816689466486</c:v>
                </c:pt>
                <c:pt idx="4">
                  <c:v>9.1164797081623341</c:v>
                </c:pt>
                <c:pt idx="5">
                  <c:v>9.2368627450980387</c:v>
                </c:pt>
                <c:pt idx="6">
                  <c:v>9.3572457820337434</c:v>
                </c:pt>
                <c:pt idx="7">
                  <c:v>9.477628818969448</c:v>
                </c:pt>
                <c:pt idx="8">
                  <c:v>9.5799544003647963</c:v>
                </c:pt>
                <c:pt idx="9">
                  <c:v>9.5980118559051526</c:v>
                </c:pt>
                <c:pt idx="10">
                  <c:v>9.7183948928408572</c:v>
                </c:pt>
                <c:pt idx="11">
                  <c:v>9.7785864113087104</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xVal>
          <c:yVal>
            <c:numRef>
              <c:f>Tools!$CL$4:$DJ$4</c:f>
              <c:numCache>
                <c:formatCode>General</c:formatCode>
                <c:ptCount val="25"/>
                <c:pt idx="0">
                  <c:v>0</c:v>
                </c:pt>
                <c:pt idx="1">
                  <c:v>0.25</c:v>
                </c:pt>
                <c:pt idx="2">
                  <c:v>0.5</c:v>
                </c:pt>
                <c:pt idx="3">
                  <c:v>0.75</c:v>
                </c:pt>
                <c:pt idx="4">
                  <c:v>1</c:v>
                </c:pt>
                <c:pt idx="5">
                  <c:v>2</c:v>
                </c:pt>
                <c:pt idx="6">
                  <c:v>3</c:v>
                </c:pt>
                <c:pt idx="7">
                  <c:v>4</c:v>
                </c:pt>
                <c:pt idx="8">
                  <c:v>4.8499999999999996</c:v>
                </c:pt>
                <c:pt idx="9">
                  <c:v>5</c:v>
                </c:pt>
                <c:pt idx="10">
                  <c:v>6</c:v>
                </c:pt>
                <c:pt idx="11">
                  <c:v>6.5</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yVal>
          <c:smooth val="1"/>
        </c:ser>
        <c:ser>
          <c:idx val="12"/>
          <c:order val="12"/>
          <c:tx>
            <c:strRef>
              <c:f>Tools!$CK$17</c:f>
              <c:strCache>
                <c:ptCount val="1"/>
                <c:pt idx="0">
                  <c:v>10</c:v>
                </c:pt>
              </c:strCache>
            </c:strRef>
          </c:tx>
          <c:spPr>
            <a:ln w="3175">
              <a:solidFill>
                <a:schemeClr val="accent5">
                  <a:lumMod val="75000"/>
                </a:schemeClr>
              </a:solidFill>
            </a:ln>
          </c:spPr>
          <c:marker>
            <c:symbol val="none"/>
          </c:marker>
          <c:xVal>
            <c:numRef>
              <c:f>Tools!$CL$17:$DJ$17</c:f>
              <c:numCache>
                <c:formatCode>General</c:formatCode>
                <c:ptCount val="25"/>
                <c:pt idx="0">
                  <c:v>10</c:v>
                </c:pt>
                <c:pt idx="1">
                  <c:v>10.02766757865937</c:v>
                </c:pt>
                <c:pt idx="2">
                  <c:v>10.056771545827633</c:v>
                </c:pt>
                <c:pt idx="3">
                  <c:v>10.086381668946649</c:v>
                </c:pt>
                <c:pt idx="4">
                  <c:v>10.116479708162334</c:v>
                </c:pt>
                <c:pt idx="5">
                  <c:v>10.236862745098039</c:v>
                </c:pt>
                <c:pt idx="6">
                  <c:v>10.357245782033743</c:v>
                </c:pt>
                <c:pt idx="7">
                  <c:v>10.477628818969448</c:v>
                </c:pt>
                <c:pt idx="8">
                  <c:v>10.579954400364796</c:v>
                </c:pt>
                <c:pt idx="9">
                  <c:v>10.598011855905153</c:v>
                </c:pt>
                <c:pt idx="10">
                  <c:v>10.718394892840857</c:v>
                </c:pt>
                <c:pt idx="11">
                  <c:v>10.77858641130871</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xVal>
          <c:yVal>
            <c:numRef>
              <c:f>Tools!$CL$4:$DJ$4</c:f>
              <c:numCache>
                <c:formatCode>General</c:formatCode>
                <c:ptCount val="25"/>
                <c:pt idx="0">
                  <c:v>0</c:v>
                </c:pt>
                <c:pt idx="1">
                  <c:v>0.25</c:v>
                </c:pt>
                <c:pt idx="2">
                  <c:v>0.5</c:v>
                </c:pt>
                <c:pt idx="3">
                  <c:v>0.75</c:v>
                </c:pt>
                <c:pt idx="4">
                  <c:v>1</c:v>
                </c:pt>
                <c:pt idx="5">
                  <c:v>2</c:v>
                </c:pt>
                <c:pt idx="6">
                  <c:v>3</c:v>
                </c:pt>
                <c:pt idx="7">
                  <c:v>4</c:v>
                </c:pt>
                <c:pt idx="8">
                  <c:v>4.8499999999999996</c:v>
                </c:pt>
                <c:pt idx="9">
                  <c:v>5</c:v>
                </c:pt>
                <c:pt idx="10">
                  <c:v>6</c:v>
                </c:pt>
                <c:pt idx="11">
                  <c:v>6.5</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yVal>
          <c:smooth val="1"/>
        </c:ser>
        <c:ser>
          <c:idx val="13"/>
          <c:order val="13"/>
          <c:tx>
            <c:strRef>
              <c:f>Tools!$CK$18</c:f>
              <c:strCache>
                <c:ptCount val="1"/>
                <c:pt idx="0">
                  <c:v>11</c:v>
                </c:pt>
              </c:strCache>
            </c:strRef>
          </c:tx>
          <c:spPr>
            <a:ln w="3175">
              <a:solidFill>
                <a:schemeClr val="accent5">
                  <a:lumMod val="75000"/>
                </a:schemeClr>
              </a:solidFill>
            </a:ln>
          </c:spPr>
          <c:marker>
            <c:symbol val="none"/>
          </c:marker>
          <c:xVal>
            <c:numRef>
              <c:f>Tools!$CL$18:$DJ$18</c:f>
              <c:numCache>
                <c:formatCode>General</c:formatCode>
                <c:ptCount val="25"/>
                <c:pt idx="0">
                  <c:v>11</c:v>
                </c:pt>
                <c:pt idx="1">
                  <c:v>11.02766757865937</c:v>
                </c:pt>
                <c:pt idx="2">
                  <c:v>11.056771545827633</c:v>
                </c:pt>
                <c:pt idx="3">
                  <c:v>11.086381668946649</c:v>
                </c:pt>
                <c:pt idx="4">
                  <c:v>11.116479708162334</c:v>
                </c:pt>
                <c:pt idx="5">
                  <c:v>11.236862745098039</c:v>
                </c:pt>
                <c:pt idx="6">
                  <c:v>11.357245782033743</c:v>
                </c:pt>
                <c:pt idx="7">
                  <c:v>11.477628818969448</c:v>
                </c:pt>
                <c:pt idx="8">
                  <c:v>11.579954400364796</c:v>
                </c:pt>
                <c:pt idx="9">
                  <c:v>11.598011855905153</c:v>
                </c:pt>
                <c:pt idx="10">
                  <c:v>11.718394892840857</c:v>
                </c:pt>
                <c:pt idx="11">
                  <c:v>11.77858641130871</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xVal>
          <c:yVal>
            <c:numRef>
              <c:f>Tools!$CL$4:$DJ$4</c:f>
              <c:numCache>
                <c:formatCode>General</c:formatCode>
                <c:ptCount val="25"/>
                <c:pt idx="0">
                  <c:v>0</c:v>
                </c:pt>
                <c:pt idx="1">
                  <c:v>0.25</c:v>
                </c:pt>
                <c:pt idx="2">
                  <c:v>0.5</c:v>
                </c:pt>
                <c:pt idx="3">
                  <c:v>0.75</c:v>
                </c:pt>
                <c:pt idx="4">
                  <c:v>1</c:v>
                </c:pt>
                <c:pt idx="5">
                  <c:v>2</c:v>
                </c:pt>
                <c:pt idx="6">
                  <c:v>3</c:v>
                </c:pt>
                <c:pt idx="7">
                  <c:v>4</c:v>
                </c:pt>
                <c:pt idx="8">
                  <c:v>4.8499999999999996</c:v>
                </c:pt>
                <c:pt idx="9">
                  <c:v>5</c:v>
                </c:pt>
                <c:pt idx="10">
                  <c:v>6</c:v>
                </c:pt>
                <c:pt idx="11">
                  <c:v>6.5</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yVal>
          <c:smooth val="1"/>
        </c:ser>
        <c:ser>
          <c:idx val="14"/>
          <c:order val="14"/>
          <c:tx>
            <c:strRef>
              <c:f>Tools!$CK$19</c:f>
              <c:strCache>
                <c:ptCount val="1"/>
                <c:pt idx="0">
                  <c:v>12</c:v>
                </c:pt>
              </c:strCache>
            </c:strRef>
          </c:tx>
          <c:spPr>
            <a:ln w="3175">
              <a:solidFill>
                <a:schemeClr val="accent5">
                  <a:lumMod val="75000"/>
                </a:schemeClr>
              </a:solidFill>
            </a:ln>
          </c:spPr>
          <c:marker>
            <c:symbol val="none"/>
          </c:marker>
          <c:xVal>
            <c:numRef>
              <c:f>Tools!$CL$19:$DJ$19</c:f>
              <c:numCache>
                <c:formatCode>General</c:formatCode>
                <c:ptCount val="25"/>
                <c:pt idx="0">
                  <c:v>12</c:v>
                </c:pt>
                <c:pt idx="1">
                  <c:v>12.02766757865937</c:v>
                </c:pt>
                <c:pt idx="2">
                  <c:v>12.056771545827633</c:v>
                </c:pt>
                <c:pt idx="3">
                  <c:v>12.086381668946649</c:v>
                </c:pt>
                <c:pt idx="4">
                  <c:v>12.116479708162334</c:v>
                </c:pt>
                <c:pt idx="5">
                  <c:v>12.236862745098039</c:v>
                </c:pt>
                <c:pt idx="6">
                  <c:v>12.357245782033743</c:v>
                </c:pt>
                <c:pt idx="7">
                  <c:v>12.477628818969448</c:v>
                </c:pt>
                <c:pt idx="8">
                  <c:v>12.579954400364796</c:v>
                </c:pt>
                <c:pt idx="9">
                  <c:v>12.598011855905153</c:v>
                </c:pt>
                <c:pt idx="10">
                  <c:v>12.718394892840857</c:v>
                </c:pt>
                <c:pt idx="11">
                  <c:v>12.77858641130871</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xVal>
          <c:yVal>
            <c:numRef>
              <c:f>Tools!$CL$4:$DJ$4</c:f>
              <c:numCache>
                <c:formatCode>General</c:formatCode>
                <c:ptCount val="25"/>
                <c:pt idx="0">
                  <c:v>0</c:v>
                </c:pt>
                <c:pt idx="1">
                  <c:v>0.25</c:v>
                </c:pt>
                <c:pt idx="2">
                  <c:v>0.5</c:v>
                </c:pt>
                <c:pt idx="3">
                  <c:v>0.75</c:v>
                </c:pt>
                <c:pt idx="4">
                  <c:v>1</c:v>
                </c:pt>
                <c:pt idx="5">
                  <c:v>2</c:v>
                </c:pt>
                <c:pt idx="6">
                  <c:v>3</c:v>
                </c:pt>
                <c:pt idx="7">
                  <c:v>4</c:v>
                </c:pt>
                <c:pt idx="8">
                  <c:v>4.8499999999999996</c:v>
                </c:pt>
                <c:pt idx="9">
                  <c:v>5</c:v>
                </c:pt>
                <c:pt idx="10">
                  <c:v>6</c:v>
                </c:pt>
                <c:pt idx="11">
                  <c:v>6.5</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yVal>
          <c:smooth val="1"/>
        </c:ser>
        <c:ser>
          <c:idx val="15"/>
          <c:order val="15"/>
          <c:tx>
            <c:strRef>
              <c:f>Tools!$CK$20</c:f>
              <c:strCache>
                <c:ptCount val="1"/>
                <c:pt idx="0">
                  <c:v>13</c:v>
                </c:pt>
              </c:strCache>
            </c:strRef>
          </c:tx>
          <c:spPr>
            <a:ln w="3175">
              <a:solidFill>
                <a:schemeClr val="accent5">
                  <a:lumMod val="75000"/>
                </a:schemeClr>
              </a:solidFill>
            </a:ln>
          </c:spPr>
          <c:marker>
            <c:symbol val="none"/>
          </c:marker>
          <c:xVal>
            <c:numRef>
              <c:f>Tools!$CL$20:$DJ$20</c:f>
              <c:numCache>
                <c:formatCode>General</c:formatCode>
                <c:ptCount val="25"/>
                <c:pt idx="0">
                  <c:v>13</c:v>
                </c:pt>
                <c:pt idx="1">
                  <c:v>13.02766757865937</c:v>
                </c:pt>
                <c:pt idx="2">
                  <c:v>13.056771545827633</c:v>
                </c:pt>
                <c:pt idx="3">
                  <c:v>13.086381668946649</c:v>
                </c:pt>
                <c:pt idx="4">
                  <c:v>13.116479708162334</c:v>
                </c:pt>
                <c:pt idx="5">
                  <c:v>13.236862745098039</c:v>
                </c:pt>
                <c:pt idx="6">
                  <c:v>13.357245782033743</c:v>
                </c:pt>
                <c:pt idx="7">
                  <c:v>13.477628818969448</c:v>
                </c:pt>
                <c:pt idx="8">
                  <c:v>13.579954400364796</c:v>
                </c:pt>
                <c:pt idx="9">
                  <c:v>13.598011855905153</c:v>
                </c:pt>
                <c:pt idx="10">
                  <c:v>13.718394892840857</c:v>
                </c:pt>
                <c:pt idx="11">
                  <c:v>13.77858641130871</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xVal>
          <c:yVal>
            <c:numRef>
              <c:f>Tools!$CL$4:$DJ$4</c:f>
              <c:numCache>
                <c:formatCode>General</c:formatCode>
                <c:ptCount val="25"/>
                <c:pt idx="0">
                  <c:v>0</c:v>
                </c:pt>
                <c:pt idx="1">
                  <c:v>0.25</c:v>
                </c:pt>
                <c:pt idx="2">
                  <c:v>0.5</c:v>
                </c:pt>
                <c:pt idx="3">
                  <c:v>0.75</c:v>
                </c:pt>
                <c:pt idx="4">
                  <c:v>1</c:v>
                </c:pt>
                <c:pt idx="5">
                  <c:v>2</c:v>
                </c:pt>
                <c:pt idx="6">
                  <c:v>3</c:v>
                </c:pt>
                <c:pt idx="7">
                  <c:v>4</c:v>
                </c:pt>
                <c:pt idx="8">
                  <c:v>4.8499999999999996</c:v>
                </c:pt>
                <c:pt idx="9">
                  <c:v>5</c:v>
                </c:pt>
                <c:pt idx="10">
                  <c:v>6</c:v>
                </c:pt>
                <c:pt idx="11">
                  <c:v>6.5</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yVal>
          <c:smooth val="1"/>
        </c:ser>
        <c:ser>
          <c:idx val="16"/>
          <c:order val="16"/>
          <c:tx>
            <c:strRef>
              <c:f>Tools!$CK$21</c:f>
              <c:strCache>
                <c:ptCount val="1"/>
                <c:pt idx="0">
                  <c:v>14</c:v>
                </c:pt>
              </c:strCache>
            </c:strRef>
          </c:tx>
          <c:spPr>
            <a:ln w="3175">
              <a:solidFill>
                <a:schemeClr val="accent5">
                  <a:lumMod val="75000"/>
                </a:schemeClr>
              </a:solidFill>
            </a:ln>
          </c:spPr>
          <c:marker>
            <c:symbol val="none"/>
          </c:marker>
          <c:xVal>
            <c:numRef>
              <c:f>Tools!$CL$21:$DJ$21</c:f>
              <c:numCache>
                <c:formatCode>General</c:formatCode>
                <c:ptCount val="25"/>
                <c:pt idx="0">
                  <c:v>14</c:v>
                </c:pt>
                <c:pt idx="1">
                  <c:v>14.027222982216141</c:v>
                </c:pt>
                <c:pt idx="2">
                  <c:v>14.056032831737346</c:v>
                </c:pt>
                <c:pt idx="3">
                  <c:v>14.085435476516189</c:v>
                </c:pt>
                <c:pt idx="4">
                  <c:v>14.115440036479708</c:v>
                </c:pt>
                <c:pt idx="5">
                  <c:v>14.235823073415412</c:v>
                </c:pt>
                <c:pt idx="6">
                  <c:v>14.356206110351117</c:v>
                </c:pt>
                <c:pt idx="7">
                  <c:v>14.476589147286822</c:v>
                </c:pt>
                <c:pt idx="8">
                  <c:v>14.57891472868217</c:v>
                </c:pt>
                <c:pt idx="9">
                  <c:v>14.596972184222526</c:v>
                </c:pt>
                <c:pt idx="10">
                  <c:v>14.717355221158231</c:v>
                </c:pt>
                <c:pt idx="11">
                  <c:v>14.777546739626082</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xVal>
          <c:yVal>
            <c:numRef>
              <c:f>Tools!$CL$4:$DJ$4</c:f>
              <c:numCache>
                <c:formatCode>General</c:formatCode>
                <c:ptCount val="25"/>
                <c:pt idx="0">
                  <c:v>0</c:v>
                </c:pt>
                <c:pt idx="1">
                  <c:v>0.25</c:v>
                </c:pt>
                <c:pt idx="2">
                  <c:v>0.5</c:v>
                </c:pt>
                <c:pt idx="3">
                  <c:v>0.75</c:v>
                </c:pt>
                <c:pt idx="4">
                  <c:v>1</c:v>
                </c:pt>
                <c:pt idx="5">
                  <c:v>2</c:v>
                </c:pt>
                <c:pt idx="6">
                  <c:v>3</c:v>
                </c:pt>
                <c:pt idx="7">
                  <c:v>4</c:v>
                </c:pt>
                <c:pt idx="8">
                  <c:v>4.8499999999999996</c:v>
                </c:pt>
                <c:pt idx="9">
                  <c:v>5</c:v>
                </c:pt>
                <c:pt idx="10">
                  <c:v>6</c:v>
                </c:pt>
                <c:pt idx="11">
                  <c:v>6.5</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yVal>
          <c:smooth val="1"/>
        </c:ser>
        <c:ser>
          <c:idx val="17"/>
          <c:order val="17"/>
          <c:tx>
            <c:strRef>
              <c:f>Tools!$CK$22</c:f>
              <c:strCache>
                <c:ptCount val="1"/>
                <c:pt idx="0">
                  <c:v>15</c:v>
                </c:pt>
              </c:strCache>
            </c:strRef>
          </c:tx>
          <c:spPr>
            <a:ln w="3175">
              <a:solidFill>
                <a:schemeClr val="accent5">
                  <a:lumMod val="75000"/>
                </a:schemeClr>
              </a:solidFill>
            </a:ln>
          </c:spPr>
          <c:marker>
            <c:symbol val="none"/>
          </c:marker>
          <c:xVal>
            <c:numRef>
              <c:f>Tools!$CL$22:$DJ$22</c:f>
              <c:numCache>
                <c:formatCode>General</c:formatCode>
                <c:ptCount val="25"/>
                <c:pt idx="0">
                  <c:v>15</c:v>
                </c:pt>
                <c:pt idx="1">
                  <c:v>15.025622435020519</c:v>
                </c:pt>
                <c:pt idx="2">
                  <c:v>15.053023255813953</c:v>
                </c:pt>
                <c:pt idx="3">
                  <c:v>15.081308709530324</c:v>
                </c:pt>
                <c:pt idx="4">
                  <c:v>15.110387596899225</c:v>
                </c:pt>
                <c:pt idx="5">
                  <c:v>15.229402644778842</c:v>
                </c:pt>
                <c:pt idx="6">
                  <c:v>15.350059279525764</c:v>
                </c:pt>
                <c:pt idx="7">
                  <c:v>15.470168718650251</c:v>
                </c:pt>
                <c:pt idx="8">
                  <c:v>15.5724943000456</c:v>
                </c:pt>
                <c:pt idx="9">
                  <c:v>15.590825353397173</c:v>
                </c:pt>
                <c:pt idx="10">
                  <c:v>15.710934792521661</c:v>
                </c:pt>
                <c:pt idx="11">
                  <c:v>15.771126310989512</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xVal>
          <c:yVal>
            <c:numRef>
              <c:f>Tools!$CL$4:$DJ$4</c:f>
              <c:numCache>
                <c:formatCode>General</c:formatCode>
                <c:ptCount val="25"/>
                <c:pt idx="0">
                  <c:v>0</c:v>
                </c:pt>
                <c:pt idx="1">
                  <c:v>0.25</c:v>
                </c:pt>
                <c:pt idx="2">
                  <c:v>0.5</c:v>
                </c:pt>
                <c:pt idx="3">
                  <c:v>0.75</c:v>
                </c:pt>
                <c:pt idx="4">
                  <c:v>1</c:v>
                </c:pt>
                <c:pt idx="5">
                  <c:v>2</c:v>
                </c:pt>
                <c:pt idx="6">
                  <c:v>3</c:v>
                </c:pt>
                <c:pt idx="7">
                  <c:v>4</c:v>
                </c:pt>
                <c:pt idx="8">
                  <c:v>4.8499999999999996</c:v>
                </c:pt>
                <c:pt idx="9">
                  <c:v>5</c:v>
                </c:pt>
                <c:pt idx="10">
                  <c:v>6</c:v>
                </c:pt>
                <c:pt idx="11">
                  <c:v>6.5</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yVal>
          <c:smooth val="1"/>
        </c:ser>
        <c:ser>
          <c:idx val="18"/>
          <c:order val="18"/>
          <c:tx>
            <c:strRef>
              <c:f>Tools!$CK$23</c:f>
              <c:strCache>
                <c:ptCount val="1"/>
                <c:pt idx="0">
                  <c:v>16</c:v>
                </c:pt>
              </c:strCache>
            </c:strRef>
          </c:tx>
          <c:spPr>
            <a:ln w="3175">
              <a:solidFill>
                <a:schemeClr val="accent5">
                  <a:lumMod val="75000"/>
                </a:schemeClr>
              </a:solidFill>
            </a:ln>
          </c:spPr>
          <c:marker>
            <c:symbol val="none"/>
          </c:marker>
          <c:xVal>
            <c:numRef>
              <c:f>Tools!$CL$23:$DJ$23</c:f>
              <c:numCache>
                <c:formatCode>General</c:formatCode>
                <c:ptCount val="25"/>
                <c:pt idx="0">
                  <c:v>16</c:v>
                </c:pt>
                <c:pt idx="1">
                  <c:v>16.022309621523029</c:v>
                </c:pt>
                <c:pt idx="2">
                  <c:v>16.046903784769722</c:v>
                </c:pt>
                <c:pt idx="3">
                  <c:v>16.072815777473782</c:v>
                </c:pt>
                <c:pt idx="4">
                  <c:v>16.099635202918378</c:v>
                </c:pt>
                <c:pt idx="5">
                  <c:v>16.211673506611948</c:v>
                </c:pt>
                <c:pt idx="6">
                  <c:v>16.328034655722753</c:v>
                </c:pt>
                <c:pt idx="7">
                  <c:v>16.445508435932513</c:v>
                </c:pt>
                <c:pt idx="8">
                  <c:v>16.546392156862744</c:v>
                </c:pt>
                <c:pt idx="9">
                  <c:v>16.564423164614684</c:v>
                </c:pt>
                <c:pt idx="10">
                  <c:v>16.68408572731418</c:v>
                </c:pt>
                <c:pt idx="11">
                  <c:v>16.744277245782033</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xVal>
          <c:yVal>
            <c:numRef>
              <c:f>Tools!$CL$4:$DJ$4</c:f>
              <c:numCache>
                <c:formatCode>General</c:formatCode>
                <c:ptCount val="25"/>
                <c:pt idx="0">
                  <c:v>0</c:v>
                </c:pt>
                <c:pt idx="1">
                  <c:v>0.25</c:v>
                </c:pt>
                <c:pt idx="2">
                  <c:v>0.5</c:v>
                </c:pt>
                <c:pt idx="3">
                  <c:v>0.75</c:v>
                </c:pt>
                <c:pt idx="4">
                  <c:v>1</c:v>
                </c:pt>
                <c:pt idx="5">
                  <c:v>2</c:v>
                </c:pt>
                <c:pt idx="6">
                  <c:v>3</c:v>
                </c:pt>
                <c:pt idx="7">
                  <c:v>4</c:v>
                </c:pt>
                <c:pt idx="8">
                  <c:v>4.8499999999999996</c:v>
                </c:pt>
                <c:pt idx="9">
                  <c:v>5</c:v>
                </c:pt>
                <c:pt idx="10">
                  <c:v>6</c:v>
                </c:pt>
                <c:pt idx="11">
                  <c:v>6.5</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yVal>
          <c:smooth val="1"/>
        </c:ser>
        <c:ser>
          <c:idx val="19"/>
          <c:order val="19"/>
          <c:tx>
            <c:strRef>
              <c:f>Tools!$CK$24</c:f>
              <c:strCache>
                <c:ptCount val="1"/>
                <c:pt idx="0">
                  <c:v>17</c:v>
                </c:pt>
              </c:strCache>
            </c:strRef>
          </c:tx>
          <c:spPr>
            <a:ln w="3175">
              <a:solidFill>
                <a:schemeClr val="accent5">
                  <a:lumMod val="75000"/>
                </a:schemeClr>
              </a:solidFill>
            </a:ln>
          </c:spPr>
          <c:marker>
            <c:symbol val="none"/>
          </c:marker>
          <c:xVal>
            <c:numRef>
              <c:f>Tools!$CL$24:$DJ$24</c:f>
              <c:numCache>
                <c:formatCode>General</c:formatCode>
                <c:ptCount val="25"/>
                <c:pt idx="0">
                  <c:v>17</c:v>
                </c:pt>
                <c:pt idx="1">
                  <c:v>17.017227542179661</c:v>
                </c:pt>
                <c:pt idx="2">
                  <c:v>17.037136342909257</c:v>
                </c:pt>
                <c:pt idx="3">
                  <c:v>17.05842225262198</c:v>
                </c:pt>
                <c:pt idx="4">
                  <c:v>17.081039671682628</c:v>
                </c:pt>
                <c:pt idx="5">
                  <c:v>17.17859553123575</c:v>
                </c:pt>
                <c:pt idx="6">
                  <c:v>17.283100775193798</c:v>
                </c:pt>
                <c:pt idx="7">
                  <c:v>17.390433196534428</c:v>
                </c:pt>
                <c:pt idx="8">
                  <c:v>17.484479708162336</c:v>
                </c:pt>
                <c:pt idx="9">
                  <c:v>17.501687186502508</c:v>
                </c:pt>
                <c:pt idx="10">
                  <c:v>17.615038759689924</c:v>
                </c:pt>
                <c:pt idx="11">
                  <c:v>17.672822617419062</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xVal>
          <c:yVal>
            <c:numRef>
              <c:f>Tools!$CL$4:$DJ$4</c:f>
              <c:numCache>
                <c:formatCode>General</c:formatCode>
                <c:ptCount val="25"/>
                <c:pt idx="0">
                  <c:v>0</c:v>
                </c:pt>
                <c:pt idx="1">
                  <c:v>0.25</c:v>
                </c:pt>
                <c:pt idx="2">
                  <c:v>0.5</c:v>
                </c:pt>
                <c:pt idx="3">
                  <c:v>0.75</c:v>
                </c:pt>
                <c:pt idx="4">
                  <c:v>1</c:v>
                </c:pt>
                <c:pt idx="5">
                  <c:v>2</c:v>
                </c:pt>
                <c:pt idx="6">
                  <c:v>3</c:v>
                </c:pt>
                <c:pt idx="7">
                  <c:v>4</c:v>
                </c:pt>
                <c:pt idx="8">
                  <c:v>4.8499999999999996</c:v>
                </c:pt>
                <c:pt idx="9">
                  <c:v>5</c:v>
                </c:pt>
                <c:pt idx="10">
                  <c:v>6</c:v>
                </c:pt>
                <c:pt idx="11">
                  <c:v>6.5</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yVal>
          <c:smooth val="1"/>
        </c:ser>
        <c:ser>
          <c:idx val="20"/>
          <c:order val="20"/>
          <c:tx>
            <c:strRef>
              <c:f>Tools!$CK$25</c:f>
              <c:strCache>
                <c:ptCount val="1"/>
                <c:pt idx="0">
                  <c:v>18</c:v>
                </c:pt>
              </c:strCache>
            </c:strRef>
          </c:tx>
          <c:spPr>
            <a:ln w="3175">
              <a:solidFill>
                <a:schemeClr val="accent5">
                  <a:lumMod val="75000"/>
                </a:schemeClr>
              </a:solidFill>
            </a:ln>
          </c:spPr>
          <c:marker>
            <c:symbol val="none"/>
          </c:marker>
          <c:xVal>
            <c:numRef>
              <c:f>Tools!$CL$25:$DJ$25</c:f>
              <c:numCache>
                <c:formatCode>General</c:formatCode>
                <c:ptCount val="25"/>
                <c:pt idx="0">
                  <c:v>18</c:v>
                </c:pt>
                <c:pt idx="1">
                  <c:v>18.011251709986322</c:v>
                </c:pt>
                <c:pt idx="2">
                  <c:v>18.025034199726402</c:v>
                </c:pt>
                <c:pt idx="3">
                  <c:v>18.040362517099862</c:v>
                </c:pt>
                <c:pt idx="4">
                  <c:v>18.056990424076606</c:v>
                </c:pt>
                <c:pt idx="5">
                  <c:v>18.130059279525764</c:v>
                </c:pt>
                <c:pt idx="6">
                  <c:v>18.210569995440036</c:v>
                </c:pt>
                <c:pt idx="7">
                  <c:v>18.295272959416323</c:v>
                </c:pt>
                <c:pt idx="8">
                  <c:v>18.370995284997718</c:v>
                </c:pt>
                <c:pt idx="9">
                  <c:v>18.384639489284087</c:v>
                </c:pt>
                <c:pt idx="10">
                  <c:v>18.4797479252166</c:v>
                </c:pt>
                <c:pt idx="11">
                  <c:v>18.529214409484723</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xVal>
          <c:yVal>
            <c:numRef>
              <c:f>Tools!$CL$4:$DJ$4</c:f>
              <c:numCache>
                <c:formatCode>General</c:formatCode>
                <c:ptCount val="25"/>
                <c:pt idx="0">
                  <c:v>0</c:v>
                </c:pt>
                <c:pt idx="1">
                  <c:v>0.25</c:v>
                </c:pt>
                <c:pt idx="2">
                  <c:v>0.5</c:v>
                </c:pt>
                <c:pt idx="3">
                  <c:v>0.75</c:v>
                </c:pt>
                <c:pt idx="4">
                  <c:v>1</c:v>
                </c:pt>
                <c:pt idx="5">
                  <c:v>2</c:v>
                </c:pt>
                <c:pt idx="6">
                  <c:v>3</c:v>
                </c:pt>
                <c:pt idx="7">
                  <c:v>4</c:v>
                </c:pt>
                <c:pt idx="8">
                  <c:v>4.8499999999999996</c:v>
                </c:pt>
                <c:pt idx="9">
                  <c:v>5</c:v>
                </c:pt>
                <c:pt idx="10">
                  <c:v>6</c:v>
                </c:pt>
                <c:pt idx="11">
                  <c:v>6.5</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yVal>
          <c:smooth val="1"/>
        </c:ser>
        <c:ser>
          <c:idx val="21"/>
          <c:order val="21"/>
          <c:tx>
            <c:strRef>
              <c:f>Tools!$CK$26</c:f>
              <c:strCache>
                <c:ptCount val="1"/>
                <c:pt idx="0">
                  <c:v>18.5</c:v>
                </c:pt>
              </c:strCache>
            </c:strRef>
          </c:tx>
          <c:spPr>
            <a:ln w="3175">
              <a:solidFill>
                <a:schemeClr val="accent5">
                  <a:lumMod val="75000"/>
                </a:schemeClr>
              </a:solidFill>
            </a:ln>
          </c:spPr>
          <c:marker>
            <c:symbol val="none"/>
          </c:marker>
          <c:xVal>
            <c:numRef>
              <c:f>Tools!$CL$26:$DJ$26</c:f>
              <c:numCache>
                <c:formatCode>General</c:formatCode>
                <c:ptCount val="25"/>
                <c:pt idx="0">
                  <c:v>18.5</c:v>
                </c:pt>
                <c:pt idx="1">
                  <c:v>18.507936616507067</c:v>
                </c:pt>
                <c:pt idx="2">
                  <c:v>18.518376652986777</c:v>
                </c:pt>
                <c:pt idx="3">
                  <c:v>18.53030779753762</c:v>
                </c:pt>
                <c:pt idx="4">
                  <c:v>18.543328773369812</c:v>
                </c:pt>
                <c:pt idx="5">
                  <c:v>18.601276789785683</c:v>
                </c:pt>
                <c:pt idx="6">
                  <c:v>18.665462836297309</c:v>
                </c:pt>
                <c:pt idx="7">
                  <c:v>18.73340629274966</c:v>
                </c:pt>
                <c:pt idx="8">
                  <c:v>18.794848153214776</c:v>
                </c:pt>
                <c:pt idx="9">
                  <c:v>18.805982672138622</c:v>
                </c:pt>
                <c:pt idx="10">
                  <c:v>18.884906520747833</c:v>
                </c:pt>
                <c:pt idx="11">
                  <c:v>18.926766985864113</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xVal>
          <c:yVal>
            <c:numRef>
              <c:f>Tools!$CL$4:$DJ$4</c:f>
              <c:numCache>
                <c:formatCode>General</c:formatCode>
                <c:ptCount val="25"/>
                <c:pt idx="0">
                  <c:v>0</c:v>
                </c:pt>
                <c:pt idx="1">
                  <c:v>0.25</c:v>
                </c:pt>
                <c:pt idx="2">
                  <c:v>0.5</c:v>
                </c:pt>
                <c:pt idx="3">
                  <c:v>0.75</c:v>
                </c:pt>
                <c:pt idx="4">
                  <c:v>1</c:v>
                </c:pt>
                <c:pt idx="5">
                  <c:v>2</c:v>
                </c:pt>
                <c:pt idx="6">
                  <c:v>3</c:v>
                </c:pt>
                <c:pt idx="7">
                  <c:v>4</c:v>
                </c:pt>
                <c:pt idx="8">
                  <c:v>4.8499999999999996</c:v>
                </c:pt>
                <c:pt idx="9">
                  <c:v>5</c:v>
                </c:pt>
                <c:pt idx="10">
                  <c:v>6</c:v>
                </c:pt>
                <c:pt idx="11">
                  <c:v>6.5</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yVal>
          <c:smooth val="1"/>
        </c:ser>
        <c:ser>
          <c:idx val="22"/>
          <c:order val="22"/>
          <c:tx>
            <c:strRef>
              <c:f>Tools!$CK$27</c:f>
              <c:strCache>
                <c:ptCount val="1"/>
                <c:pt idx="0">
                  <c:v>19</c:v>
                </c:pt>
              </c:strCache>
            </c:strRef>
          </c:tx>
          <c:spPr>
            <a:ln w="3175">
              <a:solidFill>
                <a:schemeClr val="accent5">
                  <a:lumMod val="75000"/>
                </a:schemeClr>
              </a:solidFill>
            </a:ln>
          </c:spPr>
          <c:marker>
            <c:symbol val="none"/>
          </c:marker>
          <c:xVal>
            <c:numRef>
              <c:f>Tools!$CL$27:$DJ$27</c:f>
              <c:numCache>
                <c:formatCode>General</c:formatCode>
                <c:ptCount val="25"/>
                <c:pt idx="0">
                  <c:v>19</c:v>
                </c:pt>
                <c:pt idx="1">
                  <c:v>19.005029639762881</c:v>
                </c:pt>
                <c:pt idx="2">
                  <c:v>19.012165982672137</c:v>
                </c:pt>
                <c:pt idx="3">
                  <c:v>19.020451436388509</c:v>
                </c:pt>
                <c:pt idx="4">
                  <c:v>19.02983128134975</c:v>
                </c:pt>
                <c:pt idx="5">
                  <c:v>19.072056543547653</c:v>
                </c:pt>
                <c:pt idx="6">
                  <c:v>19.118112175102599</c:v>
                </c:pt>
                <c:pt idx="7">
                  <c:v>19.165079799361607</c:v>
                </c:pt>
                <c:pt idx="8">
                  <c:v>19.208521659826722</c:v>
                </c:pt>
                <c:pt idx="9">
                  <c:v>19.216789785681716</c:v>
                </c:pt>
                <c:pt idx="10">
                  <c:v>19.273862289101686</c:v>
                </c:pt>
                <c:pt idx="11">
                  <c:v>19.305408116735066</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xVal>
          <c:yVal>
            <c:numRef>
              <c:f>Tools!$CL$4:$DJ$4</c:f>
              <c:numCache>
                <c:formatCode>General</c:formatCode>
                <c:ptCount val="25"/>
                <c:pt idx="0">
                  <c:v>0</c:v>
                </c:pt>
                <c:pt idx="1">
                  <c:v>0.25</c:v>
                </c:pt>
                <c:pt idx="2">
                  <c:v>0.5</c:v>
                </c:pt>
                <c:pt idx="3">
                  <c:v>0.75</c:v>
                </c:pt>
                <c:pt idx="4">
                  <c:v>1</c:v>
                </c:pt>
                <c:pt idx="5">
                  <c:v>2</c:v>
                </c:pt>
                <c:pt idx="6">
                  <c:v>3</c:v>
                </c:pt>
                <c:pt idx="7">
                  <c:v>4</c:v>
                </c:pt>
                <c:pt idx="8">
                  <c:v>4.8499999999999996</c:v>
                </c:pt>
                <c:pt idx="9">
                  <c:v>5</c:v>
                </c:pt>
                <c:pt idx="10">
                  <c:v>6</c:v>
                </c:pt>
                <c:pt idx="11">
                  <c:v>6.5</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yVal>
          <c:smooth val="1"/>
        </c:ser>
        <c:ser>
          <c:idx val="23"/>
          <c:order val="23"/>
          <c:tx>
            <c:strRef>
              <c:f>Tools!$CK$28</c:f>
              <c:strCache>
                <c:ptCount val="1"/>
                <c:pt idx="0">
                  <c:v>19.5</c:v>
                </c:pt>
              </c:strCache>
            </c:strRef>
          </c:tx>
          <c:spPr>
            <a:ln w="3175">
              <a:solidFill>
                <a:schemeClr val="accent5">
                  <a:lumMod val="75000"/>
                </a:schemeClr>
              </a:solidFill>
            </a:ln>
          </c:spPr>
          <c:marker>
            <c:symbol val="none"/>
          </c:marker>
          <c:xVal>
            <c:numRef>
              <c:f>Tools!$CL$28:$DJ$28</c:f>
              <c:numCache>
                <c:formatCode>General</c:formatCode>
                <c:ptCount val="25"/>
                <c:pt idx="0">
                  <c:v>19.5</c:v>
                </c:pt>
                <c:pt idx="1">
                  <c:v>19.502277701778386</c:v>
                </c:pt>
                <c:pt idx="2">
                  <c:v>19.506320109439123</c:v>
                </c:pt>
                <c:pt idx="3">
                  <c:v>19.51138850889193</c:v>
                </c:pt>
                <c:pt idx="4">
                  <c:v>19.517318741450069</c:v>
                </c:pt>
                <c:pt idx="5">
                  <c:v>19.544778841769265</c:v>
                </c:pt>
                <c:pt idx="6">
                  <c:v>19.572731418148656</c:v>
                </c:pt>
                <c:pt idx="7">
                  <c:v>19.597309621523028</c:v>
                </c:pt>
                <c:pt idx="8">
                  <c:v>19.619030551755586</c:v>
                </c:pt>
                <c:pt idx="9">
                  <c:v>19.623351390788873</c:v>
                </c:pt>
                <c:pt idx="10">
                  <c:v>19.653578841769267</c:v>
                </c:pt>
                <c:pt idx="11">
                  <c:v>19.6722382124943</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xVal>
          <c:yVal>
            <c:numRef>
              <c:f>Tools!$CL$4:$DJ$4</c:f>
              <c:numCache>
                <c:formatCode>General</c:formatCode>
                <c:ptCount val="25"/>
                <c:pt idx="0">
                  <c:v>0</c:v>
                </c:pt>
                <c:pt idx="1">
                  <c:v>0.25</c:v>
                </c:pt>
                <c:pt idx="2">
                  <c:v>0.5</c:v>
                </c:pt>
                <c:pt idx="3">
                  <c:v>0.75</c:v>
                </c:pt>
                <c:pt idx="4">
                  <c:v>1</c:v>
                </c:pt>
                <c:pt idx="5">
                  <c:v>2</c:v>
                </c:pt>
                <c:pt idx="6">
                  <c:v>3</c:v>
                </c:pt>
                <c:pt idx="7">
                  <c:v>4</c:v>
                </c:pt>
                <c:pt idx="8">
                  <c:v>4.8499999999999996</c:v>
                </c:pt>
                <c:pt idx="9">
                  <c:v>5</c:v>
                </c:pt>
                <c:pt idx="10">
                  <c:v>6</c:v>
                </c:pt>
                <c:pt idx="11">
                  <c:v>6.5</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yVal>
          <c:smooth val="1"/>
        </c:ser>
        <c:ser>
          <c:idx val="24"/>
          <c:order val="24"/>
          <c:tx>
            <c:strRef>
              <c:f>Tools!$CK$29</c:f>
              <c:strCache>
                <c:ptCount val="1"/>
                <c:pt idx="0">
                  <c:v>20</c:v>
                </c:pt>
              </c:strCache>
            </c:strRef>
          </c:tx>
          <c:spPr>
            <a:ln w="3175">
              <a:solidFill>
                <a:schemeClr val="accent5">
                  <a:lumMod val="75000"/>
                </a:schemeClr>
              </a:solidFill>
            </a:ln>
          </c:spPr>
          <c:marker>
            <c:symbol val="none"/>
          </c:marker>
          <c:xVal>
            <c:numRef>
              <c:f>Tools!$CL$29:$DJ$29</c:f>
              <c:numCache>
                <c:formatCode>General</c:formatCode>
                <c:ptCount val="25"/>
                <c:pt idx="0">
                  <c:v>20</c:v>
                </c:pt>
                <c:pt idx="1">
                  <c:v>20.001299589603285</c:v>
                </c:pt>
                <c:pt idx="2">
                  <c:v>20.004103967168263</c:v>
                </c:pt>
                <c:pt idx="3">
                  <c:v>20.007710898312812</c:v>
                </c:pt>
                <c:pt idx="4">
                  <c:v>20.011810305517557</c:v>
                </c:pt>
                <c:pt idx="5">
                  <c:v>20.026502507979938</c:v>
                </c:pt>
                <c:pt idx="6">
                  <c:v>20.035558595531235</c:v>
                </c:pt>
                <c:pt idx="7">
                  <c:v>20.038176014591883</c:v>
                </c:pt>
                <c:pt idx="8">
                  <c:v>20.038548107615139</c:v>
                </c:pt>
                <c:pt idx="9">
                  <c:v>20.038659370725036</c:v>
                </c:pt>
                <c:pt idx="10">
                  <c:v>20.041823985408115</c:v>
                </c:pt>
                <c:pt idx="11">
                  <c:v>20.048472412220701</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xVal>
          <c:yVal>
            <c:numRef>
              <c:f>Tools!$CL$4:$DJ$4</c:f>
              <c:numCache>
                <c:formatCode>General</c:formatCode>
                <c:ptCount val="25"/>
                <c:pt idx="0">
                  <c:v>0</c:v>
                </c:pt>
                <c:pt idx="1">
                  <c:v>0.25</c:v>
                </c:pt>
                <c:pt idx="2">
                  <c:v>0.5</c:v>
                </c:pt>
                <c:pt idx="3">
                  <c:v>0.75</c:v>
                </c:pt>
                <c:pt idx="4">
                  <c:v>1</c:v>
                </c:pt>
                <c:pt idx="5">
                  <c:v>2</c:v>
                </c:pt>
                <c:pt idx="6">
                  <c:v>3</c:v>
                </c:pt>
                <c:pt idx="7">
                  <c:v>4</c:v>
                </c:pt>
                <c:pt idx="8">
                  <c:v>4.8499999999999996</c:v>
                </c:pt>
                <c:pt idx="9">
                  <c:v>5</c:v>
                </c:pt>
                <c:pt idx="10">
                  <c:v>6</c:v>
                </c:pt>
                <c:pt idx="11">
                  <c:v>6.5</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yVal>
          <c:smooth val="1"/>
        </c:ser>
        <c:ser>
          <c:idx val="50"/>
          <c:order val="25"/>
          <c:tx>
            <c:strRef>
              <c:f>Tools!$CG$5</c:f>
              <c:strCache>
                <c:ptCount val="1"/>
                <c:pt idx="0">
                  <c:v>0</c:v>
                </c:pt>
              </c:strCache>
            </c:strRef>
          </c:tx>
          <c:spPr>
            <a:ln w="3175">
              <a:solidFill>
                <a:sysClr val="windowText" lastClr="000000"/>
              </a:solidFill>
            </a:ln>
          </c:spPr>
          <c:marker>
            <c:symbol val="none"/>
          </c:marker>
          <c:xVal>
            <c:numRef>
              <c:f>Tools!$CH$5:$CI$5</c:f>
              <c:numCache>
                <c:formatCode>General</c:formatCode>
                <c:ptCount val="2"/>
                <c:pt idx="0">
                  <c:v>0</c:v>
                </c:pt>
                <c:pt idx="1">
                  <c:v>0</c:v>
                </c:pt>
              </c:numCache>
            </c:numRef>
          </c:xVal>
          <c:yVal>
            <c:numRef>
              <c:f>Tools!$CH$4:$CI$4</c:f>
              <c:numCache>
                <c:formatCode>General</c:formatCode>
                <c:ptCount val="2"/>
                <c:pt idx="0">
                  <c:v>0</c:v>
                </c:pt>
                <c:pt idx="1">
                  <c:v>6.5</c:v>
                </c:pt>
              </c:numCache>
            </c:numRef>
          </c:yVal>
          <c:smooth val="1"/>
        </c:ser>
        <c:ser>
          <c:idx val="51"/>
          <c:order val="26"/>
          <c:tx>
            <c:strRef>
              <c:f>Tools!$CG$6</c:f>
              <c:strCache>
                <c:ptCount val="1"/>
                <c:pt idx="0">
                  <c:v>0.5</c:v>
                </c:pt>
              </c:strCache>
            </c:strRef>
          </c:tx>
          <c:spPr>
            <a:ln w="3175">
              <a:solidFill>
                <a:sysClr val="windowText" lastClr="000000"/>
              </a:solidFill>
            </a:ln>
          </c:spPr>
          <c:marker>
            <c:symbol val="none"/>
          </c:marker>
          <c:xVal>
            <c:numRef>
              <c:f>Tools!$CH$6:$CI$6</c:f>
              <c:numCache>
                <c:formatCode>General</c:formatCode>
                <c:ptCount val="2"/>
                <c:pt idx="0">
                  <c:v>0.5</c:v>
                </c:pt>
                <c:pt idx="1">
                  <c:v>0.5</c:v>
                </c:pt>
              </c:numCache>
            </c:numRef>
          </c:xVal>
          <c:yVal>
            <c:numRef>
              <c:f>Tools!$CH$4:$CI$4</c:f>
              <c:numCache>
                <c:formatCode>General</c:formatCode>
                <c:ptCount val="2"/>
                <c:pt idx="0">
                  <c:v>0</c:v>
                </c:pt>
                <c:pt idx="1">
                  <c:v>6.5</c:v>
                </c:pt>
              </c:numCache>
            </c:numRef>
          </c:yVal>
          <c:smooth val="1"/>
        </c:ser>
        <c:ser>
          <c:idx val="52"/>
          <c:order val="27"/>
          <c:tx>
            <c:strRef>
              <c:f>Tools!$CG$7</c:f>
              <c:strCache>
                <c:ptCount val="1"/>
                <c:pt idx="0">
                  <c:v>1</c:v>
                </c:pt>
              </c:strCache>
            </c:strRef>
          </c:tx>
          <c:spPr>
            <a:ln w="3175">
              <a:solidFill>
                <a:sysClr val="windowText" lastClr="000000"/>
              </a:solidFill>
            </a:ln>
          </c:spPr>
          <c:marker>
            <c:symbol val="none"/>
          </c:marker>
          <c:xVal>
            <c:numRef>
              <c:f>Tools!$CH$7:$CI$7</c:f>
              <c:numCache>
                <c:formatCode>General</c:formatCode>
                <c:ptCount val="2"/>
                <c:pt idx="0">
                  <c:v>1</c:v>
                </c:pt>
                <c:pt idx="1">
                  <c:v>1</c:v>
                </c:pt>
              </c:numCache>
            </c:numRef>
          </c:xVal>
          <c:yVal>
            <c:numRef>
              <c:f>Tools!$CH$4:$CI$4</c:f>
              <c:numCache>
                <c:formatCode>General</c:formatCode>
                <c:ptCount val="2"/>
                <c:pt idx="0">
                  <c:v>0</c:v>
                </c:pt>
                <c:pt idx="1">
                  <c:v>6.5</c:v>
                </c:pt>
              </c:numCache>
            </c:numRef>
          </c:yVal>
          <c:smooth val="1"/>
        </c:ser>
        <c:ser>
          <c:idx val="53"/>
          <c:order val="28"/>
          <c:tx>
            <c:strRef>
              <c:f>Tools!$CG$8</c:f>
              <c:strCache>
                <c:ptCount val="1"/>
                <c:pt idx="0">
                  <c:v>1.5</c:v>
                </c:pt>
              </c:strCache>
            </c:strRef>
          </c:tx>
          <c:spPr>
            <a:ln w="3175">
              <a:solidFill>
                <a:sysClr val="windowText" lastClr="000000"/>
              </a:solidFill>
            </a:ln>
          </c:spPr>
          <c:marker>
            <c:symbol val="none"/>
          </c:marker>
          <c:xVal>
            <c:numRef>
              <c:f>Tools!$CH$8:$CI$8</c:f>
              <c:numCache>
                <c:formatCode>General</c:formatCode>
                <c:ptCount val="2"/>
                <c:pt idx="0">
                  <c:v>1.5</c:v>
                </c:pt>
                <c:pt idx="1">
                  <c:v>1.5</c:v>
                </c:pt>
              </c:numCache>
            </c:numRef>
          </c:xVal>
          <c:yVal>
            <c:numRef>
              <c:f>Tools!$CH$4:$CI$4</c:f>
              <c:numCache>
                <c:formatCode>General</c:formatCode>
                <c:ptCount val="2"/>
                <c:pt idx="0">
                  <c:v>0</c:v>
                </c:pt>
                <c:pt idx="1">
                  <c:v>6.5</c:v>
                </c:pt>
              </c:numCache>
            </c:numRef>
          </c:yVal>
          <c:smooth val="1"/>
        </c:ser>
        <c:ser>
          <c:idx val="54"/>
          <c:order val="29"/>
          <c:tx>
            <c:strRef>
              <c:f>Tools!$CG$9</c:f>
              <c:strCache>
                <c:ptCount val="1"/>
                <c:pt idx="0">
                  <c:v>2</c:v>
                </c:pt>
              </c:strCache>
            </c:strRef>
          </c:tx>
          <c:spPr>
            <a:ln w="3175">
              <a:solidFill>
                <a:sysClr val="windowText" lastClr="000000"/>
              </a:solidFill>
            </a:ln>
          </c:spPr>
          <c:marker>
            <c:symbol val="none"/>
          </c:marker>
          <c:xVal>
            <c:numRef>
              <c:f>Tools!$CH$9:$CI$9</c:f>
              <c:numCache>
                <c:formatCode>General</c:formatCode>
                <c:ptCount val="2"/>
                <c:pt idx="0">
                  <c:v>2</c:v>
                </c:pt>
                <c:pt idx="1">
                  <c:v>2</c:v>
                </c:pt>
              </c:numCache>
            </c:numRef>
          </c:xVal>
          <c:yVal>
            <c:numRef>
              <c:f>Tools!$CH$4:$CI$4</c:f>
              <c:numCache>
                <c:formatCode>General</c:formatCode>
                <c:ptCount val="2"/>
                <c:pt idx="0">
                  <c:v>0</c:v>
                </c:pt>
                <c:pt idx="1">
                  <c:v>6.5</c:v>
                </c:pt>
              </c:numCache>
            </c:numRef>
          </c:yVal>
          <c:smooth val="1"/>
        </c:ser>
        <c:ser>
          <c:idx val="55"/>
          <c:order val="30"/>
          <c:tx>
            <c:strRef>
              <c:f>Tools!$CG$10</c:f>
              <c:strCache>
                <c:ptCount val="1"/>
                <c:pt idx="0">
                  <c:v>3</c:v>
                </c:pt>
              </c:strCache>
            </c:strRef>
          </c:tx>
          <c:spPr>
            <a:ln w="3175">
              <a:solidFill>
                <a:sysClr val="windowText" lastClr="000000"/>
              </a:solidFill>
            </a:ln>
          </c:spPr>
          <c:marker>
            <c:symbol val="none"/>
          </c:marker>
          <c:xVal>
            <c:numRef>
              <c:f>Tools!$CH$10:$CI$10</c:f>
              <c:numCache>
                <c:formatCode>General</c:formatCode>
                <c:ptCount val="2"/>
                <c:pt idx="0">
                  <c:v>3</c:v>
                </c:pt>
                <c:pt idx="1">
                  <c:v>3</c:v>
                </c:pt>
              </c:numCache>
            </c:numRef>
          </c:xVal>
          <c:yVal>
            <c:numRef>
              <c:f>Tools!$CH$4:$CI$4</c:f>
              <c:numCache>
                <c:formatCode>General</c:formatCode>
                <c:ptCount val="2"/>
                <c:pt idx="0">
                  <c:v>0</c:v>
                </c:pt>
                <c:pt idx="1">
                  <c:v>6.5</c:v>
                </c:pt>
              </c:numCache>
            </c:numRef>
          </c:yVal>
          <c:smooth val="1"/>
        </c:ser>
        <c:ser>
          <c:idx val="56"/>
          <c:order val="31"/>
          <c:tx>
            <c:strRef>
              <c:f>Tools!$CG$11</c:f>
              <c:strCache>
                <c:ptCount val="1"/>
                <c:pt idx="0">
                  <c:v>4</c:v>
                </c:pt>
              </c:strCache>
            </c:strRef>
          </c:tx>
          <c:spPr>
            <a:ln w="3175">
              <a:solidFill>
                <a:sysClr val="windowText" lastClr="000000"/>
              </a:solidFill>
            </a:ln>
          </c:spPr>
          <c:marker>
            <c:symbol val="none"/>
          </c:marker>
          <c:xVal>
            <c:numRef>
              <c:f>Tools!$CH$11:$CI$11</c:f>
              <c:numCache>
                <c:formatCode>General</c:formatCode>
                <c:ptCount val="2"/>
                <c:pt idx="0">
                  <c:v>4</c:v>
                </c:pt>
                <c:pt idx="1">
                  <c:v>4</c:v>
                </c:pt>
              </c:numCache>
            </c:numRef>
          </c:xVal>
          <c:yVal>
            <c:numRef>
              <c:f>Tools!$CH$4:$CI$4</c:f>
              <c:numCache>
                <c:formatCode>General</c:formatCode>
                <c:ptCount val="2"/>
                <c:pt idx="0">
                  <c:v>0</c:v>
                </c:pt>
                <c:pt idx="1">
                  <c:v>6.5</c:v>
                </c:pt>
              </c:numCache>
            </c:numRef>
          </c:yVal>
          <c:smooth val="1"/>
        </c:ser>
        <c:ser>
          <c:idx val="57"/>
          <c:order val="32"/>
          <c:tx>
            <c:strRef>
              <c:f>Tools!$CG$12</c:f>
              <c:strCache>
                <c:ptCount val="1"/>
                <c:pt idx="0">
                  <c:v>5</c:v>
                </c:pt>
              </c:strCache>
            </c:strRef>
          </c:tx>
          <c:spPr>
            <a:ln w="3175">
              <a:solidFill>
                <a:sysClr val="windowText" lastClr="000000"/>
              </a:solidFill>
            </a:ln>
          </c:spPr>
          <c:marker>
            <c:symbol val="none"/>
          </c:marker>
          <c:xVal>
            <c:numRef>
              <c:f>Tools!$CH$12:$CI$12</c:f>
              <c:numCache>
                <c:formatCode>General</c:formatCode>
                <c:ptCount val="2"/>
                <c:pt idx="0">
                  <c:v>5</c:v>
                </c:pt>
                <c:pt idx="1">
                  <c:v>5</c:v>
                </c:pt>
              </c:numCache>
            </c:numRef>
          </c:xVal>
          <c:yVal>
            <c:numRef>
              <c:f>Tools!$CH$4:$CI$4</c:f>
              <c:numCache>
                <c:formatCode>General</c:formatCode>
                <c:ptCount val="2"/>
                <c:pt idx="0">
                  <c:v>0</c:v>
                </c:pt>
                <c:pt idx="1">
                  <c:v>6.5</c:v>
                </c:pt>
              </c:numCache>
            </c:numRef>
          </c:yVal>
          <c:smooth val="1"/>
        </c:ser>
        <c:ser>
          <c:idx val="58"/>
          <c:order val="33"/>
          <c:tx>
            <c:strRef>
              <c:f>Tools!$CG$13</c:f>
              <c:strCache>
                <c:ptCount val="1"/>
                <c:pt idx="0">
                  <c:v>6</c:v>
                </c:pt>
              </c:strCache>
            </c:strRef>
          </c:tx>
          <c:spPr>
            <a:ln w="3175">
              <a:solidFill>
                <a:sysClr val="windowText" lastClr="000000"/>
              </a:solidFill>
            </a:ln>
          </c:spPr>
          <c:marker>
            <c:symbol val="none"/>
          </c:marker>
          <c:xVal>
            <c:numRef>
              <c:f>Tools!$CH$13:$CI$13</c:f>
              <c:numCache>
                <c:formatCode>General</c:formatCode>
                <c:ptCount val="2"/>
                <c:pt idx="0">
                  <c:v>6</c:v>
                </c:pt>
                <c:pt idx="1">
                  <c:v>6</c:v>
                </c:pt>
              </c:numCache>
            </c:numRef>
          </c:xVal>
          <c:yVal>
            <c:numRef>
              <c:f>Tools!$CH$4:$CI$4</c:f>
              <c:numCache>
                <c:formatCode>General</c:formatCode>
                <c:ptCount val="2"/>
                <c:pt idx="0">
                  <c:v>0</c:v>
                </c:pt>
                <c:pt idx="1">
                  <c:v>6.5</c:v>
                </c:pt>
              </c:numCache>
            </c:numRef>
          </c:yVal>
          <c:smooth val="1"/>
        </c:ser>
        <c:ser>
          <c:idx val="59"/>
          <c:order val="34"/>
          <c:tx>
            <c:strRef>
              <c:f>Tools!$CG$14</c:f>
              <c:strCache>
                <c:ptCount val="1"/>
                <c:pt idx="0">
                  <c:v>7</c:v>
                </c:pt>
              </c:strCache>
            </c:strRef>
          </c:tx>
          <c:spPr>
            <a:ln w="3175">
              <a:solidFill>
                <a:sysClr val="windowText" lastClr="000000"/>
              </a:solidFill>
            </a:ln>
          </c:spPr>
          <c:marker>
            <c:symbol val="none"/>
          </c:marker>
          <c:xVal>
            <c:numRef>
              <c:f>Tools!$CH$14:$CI$14</c:f>
              <c:numCache>
                <c:formatCode>General</c:formatCode>
                <c:ptCount val="2"/>
                <c:pt idx="0">
                  <c:v>7</c:v>
                </c:pt>
                <c:pt idx="1">
                  <c:v>7</c:v>
                </c:pt>
              </c:numCache>
            </c:numRef>
          </c:xVal>
          <c:yVal>
            <c:numRef>
              <c:f>Tools!$CH$4:$CI$4</c:f>
              <c:numCache>
                <c:formatCode>General</c:formatCode>
                <c:ptCount val="2"/>
                <c:pt idx="0">
                  <c:v>0</c:v>
                </c:pt>
                <c:pt idx="1">
                  <c:v>6.5</c:v>
                </c:pt>
              </c:numCache>
            </c:numRef>
          </c:yVal>
          <c:smooth val="1"/>
        </c:ser>
        <c:ser>
          <c:idx val="60"/>
          <c:order val="35"/>
          <c:tx>
            <c:strRef>
              <c:f>Tools!$CG$15</c:f>
              <c:strCache>
                <c:ptCount val="1"/>
                <c:pt idx="0">
                  <c:v>8</c:v>
                </c:pt>
              </c:strCache>
            </c:strRef>
          </c:tx>
          <c:spPr>
            <a:ln w="3175">
              <a:solidFill>
                <a:sysClr val="windowText" lastClr="000000"/>
              </a:solidFill>
            </a:ln>
          </c:spPr>
          <c:marker>
            <c:symbol val="none"/>
          </c:marker>
          <c:xVal>
            <c:numRef>
              <c:f>Tools!$CH$15:$CI$15</c:f>
              <c:numCache>
                <c:formatCode>General</c:formatCode>
                <c:ptCount val="2"/>
                <c:pt idx="0">
                  <c:v>8</c:v>
                </c:pt>
                <c:pt idx="1">
                  <c:v>8</c:v>
                </c:pt>
              </c:numCache>
            </c:numRef>
          </c:xVal>
          <c:yVal>
            <c:numRef>
              <c:f>Tools!$CH$4:$CI$4</c:f>
              <c:numCache>
                <c:formatCode>General</c:formatCode>
                <c:ptCount val="2"/>
                <c:pt idx="0">
                  <c:v>0</c:v>
                </c:pt>
                <c:pt idx="1">
                  <c:v>6.5</c:v>
                </c:pt>
              </c:numCache>
            </c:numRef>
          </c:yVal>
          <c:smooth val="1"/>
        </c:ser>
        <c:ser>
          <c:idx val="61"/>
          <c:order val="36"/>
          <c:tx>
            <c:strRef>
              <c:f>Tools!$CG$16</c:f>
              <c:strCache>
                <c:ptCount val="1"/>
                <c:pt idx="0">
                  <c:v>9</c:v>
                </c:pt>
              </c:strCache>
            </c:strRef>
          </c:tx>
          <c:spPr>
            <a:ln w="3175">
              <a:solidFill>
                <a:sysClr val="windowText" lastClr="000000"/>
              </a:solidFill>
            </a:ln>
          </c:spPr>
          <c:marker>
            <c:symbol val="none"/>
          </c:marker>
          <c:xVal>
            <c:numRef>
              <c:f>Tools!$CH$16:$CI$16</c:f>
              <c:numCache>
                <c:formatCode>General</c:formatCode>
                <c:ptCount val="2"/>
                <c:pt idx="0">
                  <c:v>9</c:v>
                </c:pt>
                <c:pt idx="1">
                  <c:v>9</c:v>
                </c:pt>
              </c:numCache>
            </c:numRef>
          </c:xVal>
          <c:yVal>
            <c:numRef>
              <c:f>Tools!$CH$4:$CI$4</c:f>
              <c:numCache>
                <c:formatCode>General</c:formatCode>
                <c:ptCount val="2"/>
                <c:pt idx="0">
                  <c:v>0</c:v>
                </c:pt>
                <c:pt idx="1">
                  <c:v>6.5</c:v>
                </c:pt>
              </c:numCache>
            </c:numRef>
          </c:yVal>
          <c:smooth val="1"/>
        </c:ser>
        <c:ser>
          <c:idx val="62"/>
          <c:order val="37"/>
          <c:tx>
            <c:strRef>
              <c:f>Tools!$CG$17</c:f>
              <c:strCache>
                <c:ptCount val="1"/>
                <c:pt idx="0">
                  <c:v>10</c:v>
                </c:pt>
              </c:strCache>
            </c:strRef>
          </c:tx>
          <c:spPr>
            <a:ln w="3175">
              <a:solidFill>
                <a:sysClr val="windowText" lastClr="000000"/>
              </a:solidFill>
            </a:ln>
          </c:spPr>
          <c:marker>
            <c:symbol val="none"/>
          </c:marker>
          <c:xVal>
            <c:numRef>
              <c:f>Tools!$CH$17:$CI$17</c:f>
              <c:numCache>
                <c:formatCode>General</c:formatCode>
                <c:ptCount val="2"/>
                <c:pt idx="0">
                  <c:v>10</c:v>
                </c:pt>
                <c:pt idx="1">
                  <c:v>10</c:v>
                </c:pt>
              </c:numCache>
            </c:numRef>
          </c:xVal>
          <c:yVal>
            <c:numRef>
              <c:f>Tools!$CH$4:$CI$4</c:f>
              <c:numCache>
                <c:formatCode>General</c:formatCode>
                <c:ptCount val="2"/>
                <c:pt idx="0">
                  <c:v>0</c:v>
                </c:pt>
                <c:pt idx="1">
                  <c:v>6.5</c:v>
                </c:pt>
              </c:numCache>
            </c:numRef>
          </c:yVal>
          <c:smooth val="1"/>
        </c:ser>
        <c:ser>
          <c:idx val="63"/>
          <c:order val="38"/>
          <c:tx>
            <c:strRef>
              <c:f>Tools!$CG$18</c:f>
              <c:strCache>
                <c:ptCount val="1"/>
                <c:pt idx="0">
                  <c:v>11</c:v>
                </c:pt>
              </c:strCache>
            </c:strRef>
          </c:tx>
          <c:spPr>
            <a:ln w="3175">
              <a:solidFill>
                <a:sysClr val="windowText" lastClr="000000"/>
              </a:solidFill>
            </a:ln>
          </c:spPr>
          <c:marker>
            <c:symbol val="none"/>
          </c:marker>
          <c:xVal>
            <c:numRef>
              <c:f>Tools!$CH$18:$CI$18</c:f>
              <c:numCache>
                <c:formatCode>General</c:formatCode>
                <c:ptCount val="2"/>
                <c:pt idx="0">
                  <c:v>11</c:v>
                </c:pt>
                <c:pt idx="1">
                  <c:v>11</c:v>
                </c:pt>
              </c:numCache>
            </c:numRef>
          </c:xVal>
          <c:yVal>
            <c:numRef>
              <c:f>Tools!$CH$4:$CI$4</c:f>
              <c:numCache>
                <c:formatCode>General</c:formatCode>
                <c:ptCount val="2"/>
                <c:pt idx="0">
                  <c:v>0</c:v>
                </c:pt>
                <c:pt idx="1">
                  <c:v>6.5</c:v>
                </c:pt>
              </c:numCache>
            </c:numRef>
          </c:yVal>
          <c:smooth val="1"/>
        </c:ser>
        <c:ser>
          <c:idx val="64"/>
          <c:order val="39"/>
          <c:tx>
            <c:strRef>
              <c:f>Tools!$CG$19</c:f>
              <c:strCache>
                <c:ptCount val="1"/>
                <c:pt idx="0">
                  <c:v>12</c:v>
                </c:pt>
              </c:strCache>
            </c:strRef>
          </c:tx>
          <c:spPr>
            <a:ln w="3175">
              <a:solidFill>
                <a:sysClr val="windowText" lastClr="000000"/>
              </a:solidFill>
            </a:ln>
          </c:spPr>
          <c:marker>
            <c:symbol val="none"/>
          </c:marker>
          <c:xVal>
            <c:numRef>
              <c:f>Tools!$CH$19:$CI$19</c:f>
              <c:numCache>
                <c:formatCode>General</c:formatCode>
                <c:ptCount val="2"/>
                <c:pt idx="0">
                  <c:v>12</c:v>
                </c:pt>
                <c:pt idx="1">
                  <c:v>12</c:v>
                </c:pt>
              </c:numCache>
            </c:numRef>
          </c:xVal>
          <c:yVal>
            <c:numRef>
              <c:f>Tools!$CH$4:$CI$4</c:f>
              <c:numCache>
                <c:formatCode>General</c:formatCode>
                <c:ptCount val="2"/>
                <c:pt idx="0">
                  <c:v>0</c:v>
                </c:pt>
                <c:pt idx="1">
                  <c:v>6.5</c:v>
                </c:pt>
              </c:numCache>
            </c:numRef>
          </c:yVal>
          <c:smooth val="1"/>
        </c:ser>
        <c:ser>
          <c:idx val="65"/>
          <c:order val="40"/>
          <c:tx>
            <c:strRef>
              <c:f>Tools!$CG$20</c:f>
              <c:strCache>
                <c:ptCount val="1"/>
                <c:pt idx="0">
                  <c:v>13</c:v>
                </c:pt>
              </c:strCache>
            </c:strRef>
          </c:tx>
          <c:spPr>
            <a:ln w="3175">
              <a:solidFill>
                <a:sysClr val="windowText" lastClr="000000"/>
              </a:solidFill>
            </a:ln>
          </c:spPr>
          <c:marker>
            <c:symbol val="none"/>
          </c:marker>
          <c:xVal>
            <c:numRef>
              <c:f>Tools!$CH$20:$CI$20</c:f>
              <c:numCache>
                <c:formatCode>General</c:formatCode>
                <c:ptCount val="2"/>
                <c:pt idx="0">
                  <c:v>13</c:v>
                </c:pt>
                <c:pt idx="1">
                  <c:v>13</c:v>
                </c:pt>
              </c:numCache>
            </c:numRef>
          </c:xVal>
          <c:yVal>
            <c:numRef>
              <c:f>Tools!$CH$4:$CI$4</c:f>
              <c:numCache>
                <c:formatCode>General</c:formatCode>
                <c:ptCount val="2"/>
                <c:pt idx="0">
                  <c:v>0</c:v>
                </c:pt>
                <c:pt idx="1">
                  <c:v>6.5</c:v>
                </c:pt>
              </c:numCache>
            </c:numRef>
          </c:yVal>
          <c:smooth val="1"/>
        </c:ser>
        <c:ser>
          <c:idx val="66"/>
          <c:order val="41"/>
          <c:tx>
            <c:strRef>
              <c:f>Tools!$CG$21</c:f>
              <c:strCache>
                <c:ptCount val="1"/>
                <c:pt idx="0">
                  <c:v>14</c:v>
                </c:pt>
              </c:strCache>
            </c:strRef>
          </c:tx>
          <c:spPr>
            <a:ln w="3175">
              <a:solidFill>
                <a:sysClr val="windowText" lastClr="000000"/>
              </a:solidFill>
            </a:ln>
          </c:spPr>
          <c:marker>
            <c:symbol val="none"/>
          </c:marker>
          <c:xVal>
            <c:numRef>
              <c:f>Tools!$CH$21:$CI$21</c:f>
              <c:numCache>
                <c:formatCode>General</c:formatCode>
                <c:ptCount val="2"/>
                <c:pt idx="0">
                  <c:v>14</c:v>
                </c:pt>
                <c:pt idx="1">
                  <c:v>14</c:v>
                </c:pt>
              </c:numCache>
            </c:numRef>
          </c:xVal>
          <c:yVal>
            <c:numRef>
              <c:f>Tools!$CH$4:$CI$4</c:f>
              <c:numCache>
                <c:formatCode>General</c:formatCode>
                <c:ptCount val="2"/>
                <c:pt idx="0">
                  <c:v>0</c:v>
                </c:pt>
                <c:pt idx="1">
                  <c:v>6.5</c:v>
                </c:pt>
              </c:numCache>
            </c:numRef>
          </c:yVal>
          <c:smooth val="1"/>
        </c:ser>
        <c:ser>
          <c:idx val="67"/>
          <c:order val="42"/>
          <c:tx>
            <c:strRef>
              <c:f>Tools!$CG$22</c:f>
              <c:strCache>
                <c:ptCount val="1"/>
                <c:pt idx="0">
                  <c:v>15</c:v>
                </c:pt>
              </c:strCache>
            </c:strRef>
          </c:tx>
          <c:spPr>
            <a:ln w="3175">
              <a:solidFill>
                <a:sysClr val="windowText" lastClr="000000"/>
              </a:solidFill>
            </a:ln>
          </c:spPr>
          <c:marker>
            <c:symbol val="none"/>
          </c:marker>
          <c:xVal>
            <c:numRef>
              <c:f>Tools!$CH$22:$CI$22</c:f>
              <c:numCache>
                <c:formatCode>General</c:formatCode>
                <c:ptCount val="2"/>
                <c:pt idx="0">
                  <c:v>15</c:v>
                </c:pt>
                <c:pt idx="1">
                  <c:v>15</c:v>
                </c:pt>
              </c:numCache>
            </c:numRef>
          </c:xVal>
          <c:yVal>
            <c:numRef>
              <c:f>Tools!$CH$4:$CI$4</c:f>
              <c:numCache>
                <c:formatCode>General</c:formatCode>
                <c:ptCount val="2"/>
                <c:pt idx="0">
                  <c:v>0</c:v>
                </c:pt>
                <c:pt idx="1">
                  <c:v>6.5</c:v>
                </c:pt>
              </c:numCache>
            </c:numRef>
          </c:yVal>
          <c:smooth val="1"/>
        </c:ser>
        <c:ser>
          <c:idx val="68"/>
          <c:order val="43"/>
          <c:tx>
            <c:strRef>
              <c:f>Tools!$CG$23</c:f>
              <c:strCache>
                <c:ptCount val="1"/>
                <c:pt idx="0">
                  <c:v>16</c:v>
                </c:pt>
              </c:strCache>
            </c:strRef>
          </c:tx>
          <c:spPr>
            <a:ln w="3175">
              <a:solidFill>
                <a:sysClr val="windowText" lastClr="000000"/>
              </a:solidFill>
            </a:ln>
          </c:spPr>
          <c:marker>
            <c:symbol val="none"/>
          </c:marker>
          <c:xVal>
            <c:numRef>
              <c:f>Tools!$CH$23:$CI$23</c:f>
              <c:numCache>
                <c:formatCode>General</c:formatCode>
                <c:ptCount val="2"/>
                <c:pt idx="0">
                  <c:v>16</c:v>
                </c:pt>
                <c:pt idx="1">
                  <c:v>16</c:v>
                </c:pt>
              </c:numCache>
            </c:numRef>
          </c:xVal>
          <c:yVal>
            <c:numRef>
              <c:f>Tools!$CH$4:$CI$4</c:f>
              <c:numCache>
                <c:formatCode>General</c:formatCode>
                <c:ptCount val="2"/>
                <c:pt idx="0">
                  <c:v>0</c:v>
                </c:pt>
                <c:pt idx="1">
                  <c:v>6.5</c:v>
                </c:pt>
              </c:numCache>
            </c:numRef>
          </c:yVal>
          <c:smooth val="1"/>
        </c:ser>
        <c:ser>
          <c:idx val="69"/>
          <c:order val="44"/>
          <c:tx>
            <c:strRef>
              <c:f>Tools!$CG$24</c:f>
              <c:strCache>
                <c:ptCount val="1"/>
                <c:pt idx="0">
                  <c:v>17</c:v>
                </c:pt>
              </c:strCache>
            </c:strRef>
          </c:tx>
          <c:spPr>
            <a:ln w="3175">
              <a:solidFill>
                <a:sysClr val="windowText" lastClr="000000"/>
              </a:solidFill>
            </a:ln>
          </c:spPr>
          <c:marker>
            <c:symbol val="none"/>
          </c:marker>
          <c:xVal>
            <c:numRef>
              <c:f>Tools!$CH$24:$CI$24</c:f>
              <c:numCache>
                <c:formatCode>General</c:formatCode>
                <c:ptCount val="2"/>
                <c:pt idx="0">
                  <c:v>17</c:v>
                </c:pt>
                <c:pt idx="1">
                  <c:v>17</c:v>
                </c:pt>
              </c:numCache>
            </c:numRef>
          </c:xVal>
          <c:yVal>
            <c:numRef>
              <c:f>Tools!$CH$4:$CI$4</c:f>
              <c:numCache>
                <c:formatCode>General</c:formatCode>
                <c:ptCount val="2"/>
                <c:pt idx="0">
                  <c:v>0</c:v>
                </c:pt>
                <c:pt idx="1">
                  <c:v>6.5</c:v>
                </c:pt>
              </c:numCache>
            </c:numRef>
          </c:yVal>
          <c:smooth val="1"/>
        </c:ser>
        <c:ser>
          <c:idx val="70"/>
          <c:order val="45"/>
          <c:tx>
            <c:strRef>
              <c:f>Tools!$CG$25</c:f>
              <c:strCache>
                <c:ptCount val="1"/>
                <c:pt idx="0">
                  <c:v>18</c:v>
                </c:pt>
              </c:strCache>
            </c:strRef>
          </c:tx>
          <c:spPr>
            <a:ln w="3175">
              <a:solidFill>
                <a:sysClr val="windowText" lastClr="000000"/>
              </a:solidFill>
            </a:ln>
          </c:spPr>
          <c:marker>
            <c:symbol val="none"/>
          </c:marker>
          <c:xVal>
            <c:numRef>
              <c:f>Tools!$CH$25:$CI$25</c:f>
              <c:numCache>
                <c:formatCode>General</c:formatCode>
                <c:ptCount val="2"/>
                <c:pt idx="0">
                  <c:v>18</c:v>
                </c:pt>
                <c:pt idx="1">
                  <c:v>18</c:v>
                </c:pt>
              </c:numCache>
            </c:numRef>
          </c:xVal>
          <c:yVal>
            <c:numRef>
              <c:f>Tools!$CH$4:$CI$4</c:f>
              <c:numCache>
                <c:formatCode>General</c:formatCode>
                <c:ptCount val="2"/>
                <c:pt idx="0">
                  <c:v>0</c:v>
                </c:pt>
                <c:pt idx="1">
                  <c:v>6.5</c:v>
                </c:pt>
              </c:numCache>
            </c:numRef>
          </c:yVal>
          <c:smooth val="1"/>
        </c:ser>
        <c:ser>
          <c:idx val="71"/>
          <c:order val="46"/>
          <c:tx>
            <c:strRef>
              <c:f>Tools!$CG$26</c:f>
              <c:strCache>
                <c:ptCount val="1"/>
                <c:pt idx="0">
                  <c:v>18.5</c:v>
                </c:pt>
              </c:strCache>
            </c:strRef>
          </c:tx>
          <c:spPr>
            <a:ln w="3175">
              <a:solidFill>
                <a:sysClr val="windowText" lastClr="000000"/>
              </a:solidFill>
            </a:ln>
          </c:spPr>
          <c:marker>
            <c:symbol val="none"/>
          </c:marker>
          <c:xVal>
            <c:numRef>
              <c:f>Tools!$CH$26:$CI$26</c:f>
              <c:numCache>
                <c:formatCode>General</c:formatCode>
                <c:ptCount val="2"/>
                <c:pt idx="0">
                  <c:v>18.5</c:v>
                </c:pt>
                <c:pt idx="1">
                  <c:v>18.5</c:v>
                </c:pt>
              </c:numCache>
            </c:numRef>
          </c:xVal>
          <c:yVal>
            <c:numRef>
              <c:f>Tools!$CH$4:$CI$4</c:f>
              <c:numCache>
                <c:formatCode>General</c:formatCode>
                <c:ptCount val="2"/>
                <c:pt idx="0">
                  <c:v>0</c:v>
                </c:pt>
                <c:pt idx="1">
                  <c:v>6.5</c:v>
                </c:pt>
              </c:numCache>
            </c:numRef>
          </c:yVal>
          <c:smooth val="1"/>
        </c:ser>
        <c:ser>
          <c:idx val="72"/>
          <c:order val="47"/>
          <c:tx>
            <c:strRef>
              <c:f>Tools!$CG$27</c:f>
              <c:strCache>
                <c:ptCount val="1"/>
                <c:pt idx="0">
                  <c:v>19</c:v>
                </c:pt>
              </c:strCache>
            </c:strRef>
          </c:tx>
          <c:spPr>
            <a:ln w="3175">
              <a:solidFill>
                <a:sysClr val="windowText" lastClr="000000"/>
              </a:solidFill>
            </a:ln>
          </c:spPr>
          <c:marker>
            <c:symbol val="none"/>
          </c:marker>
          <c:xVal>
            <c:numRef>
              <c:f>Tools!$CH$27:$CI$27</c:f>
              <c:numCache>
                <c:formatCode>General</c:formatCode>
                <c:ptCount val="2"/>
                <c:pt idx="0">
                  <c:v>19</c:v>
                </c:pt>
                <c:pt idx="1">
                  <c:v>19</c:v>
                </c:pt>
              </c:numCache>
            </c:numRef>
          </c:xVal>
          <c:yVal>
            <c:numRef>
              <c:f>Tools!$CH$4:$CI$4</c:f>
              <c:numCache>
                <c:formatCode>General</c:formatCode>
                <c:ptCount val="2"/>
                <c:pt idx="0">
                  <c:v>0</c:v>
                </c:pt>
                <c:pt idx="1">
                  <c:v>6.5</c:v>
                </c:pt>
              </c:numCache>
            </c:numRef>
          </c:yVal>
          <c:smooth val="1"/>
        </c:ser>
        <c:ser>
          <c:idx val="73"/>
          <c:order val="48"/>
          <c:tx>
            <c:strRef>
              <c:f>Tools!$CG$28</c:f>
              <c:strCache>
                <c:ptCount val="1"/>
                <c:pt idx="0">
                  <c:v>19.5</c:v>
                </c:pt>
              </c:strCache>
            </c:strRef>
          </c:tx>
          <c:spPr>
            <a:ln w="3175">
              <a:solidFill>
                <a:sysClr val="windowText" lastClr="000000"/>
              </a:solidFill>
            </a:ln>
          </c:spPr>
          <c:marker>
            <c:symbol val="none"/>
          </c:marker>
          <c:xVal>
            <c:numRef>
              <c:f>Tools!$CH$28:$CI$28</c:f>
              <c:numCache>
                <c:formatCode>General</c:formatCode>
                <c:ptCount val="2"/>
                <c:pt idx="0">
                  <c:v>19.5</c:v>
                </c:pt>
                <c:pt idx="1">
                  <c:v>19.5</c:v>
                </c:pt>
              </c:numCache>
            </c:numRef>
          </c:xVal>
          <c:yVal>
            <c:numRef>
              <c:f>Tools!$CH$4:$CI$4</c:f>
              <c:numCache>
                <c:formatCode>General</c:formatCode>
                <c:ptCount val="2"/>
                <c:pt idx="0">
                  <c:v>0</c:v>
                </c:pt>
                <c:pt idx="1">
                  <c:v>6.5</c:v>
                </c:pt>
              </c:numCache>
            </c:numRef>
          </c:yVal>
          <c:smooth val="1"/>
        </c:ser>
        <c:ser>
          <c:idx val="74"/>
          <c:order val="49"/>
          <c:tx>
            <c:strRef>
              <c:f>Tools!$CG$29</c:f>
              <c:strCache>
                <c:ptCount val="1"/>
                <c:pt idx="0">
                  <c:v>20</c:v>
                </c:pt>
              </c:strCache>
            </c:strRef>
          </c:tx>
          <c:spPr>
            <a:ln w="3175">
              <a:solidFill>
                <a:sysClr val="windowText" lastClr="000000"/>
              </a:solidFill>
            </a:ln>
          </c:spPr>
          <c:marker>
            <c:symbol val="none"/>
          </c:marker>
          <c:xVal>
            <c:numRef>
              <c:f>Tools!$CH$29:$CI$29</c:f>
              <c:numCache>
                <c:formatCode>General</c:formatCode>
                <c:ptCount val="2"/>
                <c:pt idx="0">
                  <c:v>20</c:v>
                </c:pt>
                <c:pt idx="1">
                  <c:v>20</c:v>
                </c:pt>
              </c:numCache>
            </c:numRef>
          </c:xVal>
          <c:yVal>
            <c:numRef>
              <c:f>Tools!$CH$4:$CI$4</c:f>
              <c:numCache>
                <c:formatCode>General</c:formatCode>
                <c:ptCount val="2"/>
                <c:pt idx="0">
                  <c:v>0</c:v>
                </c:pt>
                <c:pt idx="1">
                  <c:v>6.5</c:v>
                </c:pt>
              </c:numCache>
            </c:numRef>
          </c:yVal>
          <c:smooth val="1"/>
        </c:ser>
        <c:ser>
          <c:idx val="75"/>
          <c:order val="50"/>
          <c:tx>
            <c:strRef>
              <c:f>Tools!$CG$31</c:f>
              <c:strCache>
                <c:ptCount val="1"/>
                <c:pt idx="0">
                  <c:v>MDK</c:v>
                </c:pt>
              </c:strCache>
            </c:strRef>
          </c:tx>
          <c:spPr>
            <a:ln w="3175">
              <a:solidFill>
                <a:schemeClr val="tx2">
                  <a:lumMod val="60000"/>
                  <a:lumOff val="40000"/>
                </a:schemeClr>
              </a:solidFill>
            </a:ln>
          </c:spPr>
          <c:marker>
            <c:symbol val="none"/>
          </c:marker>
          <c:xVal>
            <c:numRef>
              <c:f>Tools!$CH$31:$CI$31</c:f>
              <c:numCache>
                <c:formatCode>General</c:formatCode>
                <c:ptCount val="2"/>
                <c:pt idx="0">
                  <c:v>0</c:v>
                </c:pt>
                <c:pt idx="1">
                  <c:v>20</c:v>
                </c:pt>
              </c:numCache>
            </c:numRef>
          </c:xVal>
          <c:yVal>
            <c:numRef>
              <c:f>Tools!$CH$32:$CI$32</c:f>
              <c:numCache>
                <c:formatCode>General</c:formatCode>
                <c:ptCount val="2"/>
                <c:pt idx="0">
                  <c:v>6.5</c:v>
                </c:pt>
                <c:pt idx="1">
                  <c:v>6.5</c:v>
                </c:pt>
              </c:numCache>
            </c:numRef>
          </c:yVal>
          <c:smooth val="1"/>
        </c:ser>
        <c:ser>
          <c:idx val="76"/>
          <c:order val="51"/>
          <c:tx>
            <c:strRef>
              <c:f>Tools!$CG$34</c:f>
              <c:strCache>
                <c:ptCount val="1"/>
                <c:pt idx="0">
                  <c:v>LWL</c:v>
                </c:pt>
              </c:strCache>
            </c:strRef>
          </c:tx>
          <c:spPr>
            <a:ln w="3175">
              <a:solidFill>
                <a:schemeClr val="accent4">
                  <a:lumMod val="75000"/>
                </a:schemeClr>
              </a:solidFill>
            </a:ln>
          </c:spPr>
          <c:marker>
            <c:symbol val="none"/>
          </c:marker>
          <c:xVal>
            <c:numRef>
              <c:f>Tools!$CH$34:$CI$34</c:f>
              <c:numCache>
                <c:formatCode>General</c:formatCode>
                <c:ptCount val="2"/>
                <c:pt idx="0">
                  <c:v>0</c:v>
                </c:pt>
                <c:pt idx="1">
                  <c:v>20</c:v>
                </c:pt>
              </c:numCache>
            </c:numRef>
          </c:xVal>
          <c:yVal>
            <c:numRef>
              <c:f>Tools!$CH$35:$CI$35</c:f>
              <c:numCache>
                <c:formatCode>General</c:formatCode>
                <c:ptCount val="2"/>
                <c:pt idx="0">
                  <c:v>4.8499999999999996</c:v>
                </c:pt>
                <c:pt idx="1">
                  <c:v>4.8499999999999996</c:v>
                </c:pt>
              </c:numCache>
            </c:numRef>
          </c:yVal>
          <c:smooth val="1"/>
        </c:ser>
        <c:ser>
          <c:idx val="77"/>
          <c:order val="52"/>
          <c:tx>
            <c:strRef>
              <c:f>Tools!$CG$37</c:f>
              <c:strCache>
                <c:ptCount val="1"/>
                <c:pt idx="0">
                  <c:v>KEEL</c:v>
                </c:pt>
              </c:strCache>
            </c:strRef>
          </c:tx>
          <c:spPr>
            <a:ln w="3175">
              <a:solidFill>
                <a:sysClr val="windowText" lastClr="000000"/>
              </a:solidFill>
            </a:ln>
          </c:spPr>
          <c:marker>
            <c:symbol val="none"/>
          </c:marker>
          <c:xVal>
            <c:numRef>
              <c:f>Tools!$CH$37:$CI$37</c:f>
              <c:numCache>
                <c:formatCode>General</c:formatCode>
                <c:ptCount val="2"/>
                <c:pt idx="0">
                  <c:v>0</c:v>
                </c:pt>
                <c:pt idx="1">
                  <c:v>20</c:v>
                </c:pt>
              </c:numCache>
            </c:numRef>
          </c:xVal>
          <c:yVal>
            <c:numRef>
              <c:f>Tools!$CH$38:$CI$38</c:f>
              <c:numCache>
                <c:formatCode>General</c:formatCode>
                <c:ptCount val="2"/>
                <c:pt idx="0">
                  <c:v>3.2500000000000001E-2</c:v>
                </c:pt>
                <c:pt idx="1">
                  <c:v>3.2500000000000001E-2</c:v>
                </c:pt>
              </c:numCache>
            </c:numRef>
          </c:yVal>
          <c:smooth val="1"/>
        </c:ser>
        <c:dLbls>
          <c:showLegendKey val="0"/>
          <c:showVal val="0"/>
          <c:showCatName val="0"/>
          <c:showSerName val="0"/>
          <c:showPercent val="0"/>
          <c:showBubbleSize val="0"/>
        </c:dLbls>
        <c:axId val="978069376"/>
        <c:axId val="978070912"/>
      </c:scatterChart>
      <c:valAx>
        <c:axId val="978069376"/>
        <c:scaling>
          <c:orientation val="minMax"/>
          <c:max val="21"/>
          <c:min val="0"/>
        </c:scaling>
        <c:delete val="0"/>
        <c:axPos val="b"/>
        <c:numFmt formatCode="General" sourceLinked="1"/>
        <c:majorTickMark val="out"/>
        <c:minorTickMark val="none"/>
        <c:tickLblPos val="nextTo"/>
        <c:spPr>
          <a:ln>
            <a:solidFill>
              <a:schemeClr val="bg1"/>
            </a:solidFill>
          </a:ln>
        </c:spPr>
        <c:crossAx val="978070912"/>
        <c:crosses val="autoZero"/>
        <c:crossBetween val="midCat"/>
        <c:majorUnit val="1"/>
        <c:minorUnit val="1"/>
      </c:valAx>
      <c:valAx>
        <c:axId val="978070912"/>
        <c:scaling>
          <c:orientation val="minMax"/>
        </c:scaling>
        <c:delete val="0"/>
        <c:axPos val="l"/>
        <c:majorGridlines>
          <c:spPr>
            <a:ln>
              <a:solidFill>
                <a:schemeClr val="tx1">
                  <a:alpha val="7000"/>
                </a:schemeClr>
              </a:solidFill>
            </a:ln>
          </c:spPr>
        </c:majorGridlines>
        <c:numFmt formatCode="General" sourceLinked="1"/>
        <c:majorTickMark val="out"/>
        <c:minorTickMark val="none"/>
        <c:tickLblPos val="nextTo"/>
        <c:spPr>
          <a:ln>
            <a:solidFill>
              <a:schemeClr val="accent1">
                <a:lumMod val="40000"/>
                <a:lumOff val="60000"/>
                <a:alpha val="12000"/>
              </a:schemeClr>
            </a:solidFill>
          </a:ln>
        </c:spPr>
        <c:crossAx val="978069376"/>
        <c:crossesAt val="0"/>
        <c:crossBetween val="midCat"/>
      </c:valAx>
      <c:spPr>
        <a:ln>
          <a:solidFill>
            <a:schemeClr val="bg1"/>
          </a:solidFill>
        </a:ln>
      </c:spPr>
    </c:plotArea>
    <c:plotVisOnly val="1"/>
    <c:dispBlanksAs val="span"/>
    <c:showDLblsOverMax val="0"/>
  </c:chart>
  <c:txPr>
    <a:bodyPr/>
    <a:lstStyle/>
    <a:p>
      <a:pPr>
        <a:defRPr sz="900"/>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I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b="1"/>
            </a:pPr>
            <a:r>
              <a:rPr lang="en-US" b="1"/>
              <a:t>Moment</a:t>
            </a:r>
          </a:p>
        </c:rich>
      </c:tx>
      <c:layout>
        <c:manualLayout>
          <c:xMode val="edge"/>
          <c:yMode val="edge"/>
          <c:x val="0.46243043322009808"/>
          <c:y val="1.7218894452318712E-2"/>
        </c:manualLayout>
      </c:layout>
      <c:overlay val="0"/>
    </c:title>
    <c:autoTitleDeleted val="0"/>
    <c:plotArea>
      <c:layout/>
      <c:scatterChart>
        <c:scatterStyle val="smoothMarker"/>
        <c:varyColors val="0"/>
        <c:ser>
          <c:idx val="0"/>
          <c:order val="0"/>
          <c:tx>
            <c:strRef>
              <c:f>Tools!$DC$62</c:f>
              <c:strCache>
                <c:ptCount val="1"/>
                <c:pt idx="0">
                  <c:v>STN 0</c:v>
                </c:pt>
              </c:strCache>
            </c:strRef>
          </c:tx>
          <c:spPr>
            <a:ln w="3175">
              <a:solidFill>
                <a:schemeClr val="tx2">
                  <a:lumMod val="75000"/>
                </a:schemeClr>
              </a:solidFill>
            </a:ln>
          </c:spPr>
          <c:marker>
            <c:symbol val="none"/>
          </c:marker>
          <c:xVal>
            <c:numRef>
              <c:f>Tools!$AC$69:$AN$69</c:f>
              <c:numCache>
                <c:formatCode>General</c:formatCode>
                <c:ptCount val="12"/>
                <c:pt idx="0">
                  <c:v>0</c:v>
                </c:pt>
                <c:pt idx="1">
                  <c:v>0.25</c:v>
                </c:pt>
                <c:pt idx="2">
                  <c:v>0.5</c:v>
                </c:pt>
                <c:pt idx="3">
                  <c:v>0.75</c:v>
                </c:pt>
                <c:pt idx="4">
                  <c:v>1</c:v>
                </c:pt>
                <c:pt idx="5">
                  <c:v>2</c:v>
                </c:pt>
                <c:pt idx="6">
                  <c:v>3</c:v>
                </c:pt>
                <c:pt idx="7">
                  <c:v>4</c:v>
                </c:pt>
                <c:pt idx="8">
                  <c:v>4.8499999999999996</c:v>
                </c:pt>
                <c:pt idx="9">
                  <c:v>5</c:v>
                </c:pt>
                <c:pt idx="10">
                  <c:v>6</c:v>
                </c:pt>
                <c:pt idx="11">
                  <c:v>6.5</c:v>
                </c:pt>
              </c:numCache>
            </c:numRef>
          </c:xVal>
          <c:yVal>
            <c:numRef>
              <c:f>Tools!$AC$70:$AN$70</c:f>
              <c:numCache>
                <c:formatCode>General</c:formatCode>
                <c:ptCount val="12"/>
                <c:pt idx="0">
                  <c:v>0</c:v>
                </c:pt>
                <c:pt idx="1">
                  <c:v>0</c:v>
                </c:pt>
                <c:pt idx="2">
                  <c:v>0</c:v>
                </c:pt>
                <c:pt idx="3">
                  <c:v>0</c:v>
                </c:pt>
                <c:pt idx="4">
                  <c:v>0</c:v>
                </c:pt>
                <c:pt idx="5">
                  <c:v>0</c:v>
                </c:pt>
                <c:pt idx="6">
                  <c:v>0</c:v>
                </c:pt>
                <c:pt idx="7">
                  <c:v>6.8999999999999995</c:v>
                </c:pt>
                <c:pt idx="8">
                  <c:v>60.221066666666637</c:v>
                </c:pt>
                <c:pt idx="9">
                  <c:v>77.900000000000006</c:v>
                </c:pt>
                <c:pt idx="10">
                  <c:v>228.02</c:v>
                </c:pt>
                <c:pt idx="11">
                  <c:v>328.84000000000003</c:v>
                </c:pt>
              </c:numCache>
            </c:numRef>
          </c:yVal>
          <c:smooth val="1"/>
        </c:ser>
        <c:ser>
          <c:idx val="1"/>
          <c:order val="1"/>
          <c:tx>
            <c:strRef>
              <c:f>Tools!$DC$63</c:f>
              <c:strCache>
                <c:ptCount val="1"/>
                <c:pt idx="0">
                  <c:v>STN 0.5</c:v>
                </c:pt>
              </c:strCache>
            </c:strRef>
          </c:tx>
          <c:spPr>
            <a:ln w="3175">
              <a:solidFill>
                <a:srgbClr val="FF0000"/>
              </a:solidFill>
            </a:ln>
          </c:spPr>
          <c:marker>
            <c:symbol val="none"/>
          </c:marker>
          <c:xVal>
            <c:numRef>
              <c:f>Tools!$AC$69:$AN$69</c:f>
              <c:numCache>
                <c:formatCode>General</c:formatCode>
                <c:ptCount val="12"/>
                <c:pt idx="0">
                  <c:v>0</c:v>
                </c:pt>
                <c:pt idx="1">
                  <c:v>0.25</c:v>
                </c:pt>
                <c:pt idx="2">
                  <c:v>0.5</c:v>
                </c:pt>
                <c:pt idx="3">
                  <c:v>0.75</c:v>
                </c:pt>
                <c:pt idx="4">
                  <c:v>1</c:v>
                </c:pt>
                <c:pt idx="5">
                  <c:v>2</c:v>
                </c:pt>
                <c:pt idx="6">
                  <c:v>3</c:v>
                </c:pt>
                <c:pt idx="7">
                  <c:v>4</c:v>
                </c:pt>
                <c:pt idx="8">
                  <c:v>4.8499999999999996</c:v>
                </c:pt>
                <c:pt idx="9">
                  <c:v>5</c:v>
                </c:pt>
                <c:pt idx="10">
                  <c:v>6</c:v>
                </c:pt>
                <c:pt idx="11">
                  <c:v>6.5</c:v>
                </c:pt>
              </c:numCache>
            </c:numRef>
          </c:xVal>
          <c:yVal>
            <c:numRef>
              <c:f>Tools!$AC$71:$AN$71</c:f>
              <c:numCache>
                <c:formatCode>General</c:formatCode>
                <c:ptCount val="12"/>
                <c:pt idx="0">
                  <c:v>0</c:v>
                </c:pt>
                <c:pt idx="1">
                  <c:v>4.374999999999999E-2</c:v>
                </c:pt>
                <c:pt idx="2">
                  <c:v>0.2</c:v>
                </c:pt>
                <c:pt idx="3">
                  <c:v>0.44875000000000004</c:v>
                </c:pt>
                <c:pt idx="4">
                  <c:v>0.85333333333333328</c:v>
                </c:pt>
                <c:pt idx="5">
                  <c:v>4.1366666666666667</c:v>
                </c:pt>
                <c:pt idx="6">
                  <c:v>13.84</c:v>
                </c:pt>
                <c:pt idx="7">
                  <c:v>52.936666666666667</c:v>
                </c:pt>
                <c:pt idx="8">
                  <c:v>153.22703333333328</c:v>
                </c:pt>
                <c:pt idx="9">
                  <c:v>181.33333333333334</c:v>
                </c:pt>
                <c:pt idx="10">
                  <c:v>399.86999999999995</c:v>
                </c:pt>
                <c:pt idx="11">
                  <c:v>540.93999999999994</c:v>
                </c:pt>
              </c:numCache>
            </c:numRef>
          </c:yVal>
          <c:smooth val="1"/>
        </c:ser>
        <c:ser>
          <c:idx val="2"/>
          <c:order val="2"/>
          <c:tx>
            <c:strRef>
              <c:f>Tools!$DC$64</c:f>
              <c:strCache>
                <c:ptCount val="1"/>
                <c:pt idx="0">
                  <c:v>STN 1</c:v>
                </c:pt>
              </c:strCache>
            </c:strRef>
          </c:tx>
          <c:spPr>
            <a:ln w="3175">
              <a:solidFill>
                <a:schemeClr val="accent4">
                  <a:lumMod val="75000"/>
                </a:schemeClr>
              </a:solidFill>
            </a:ln>
          </c:spPr>
          <c:marker>
            <c:symbol val="none"/>
          </c:marker>
          <c:xVal>
            <c:numRef>
              <c:f>Tools!$AC$69:$AN$69</c:f>
              <c:numCache>
                <c:formatCode>General</c:formatCode>
                <c:ptCount val="12"/>
                <c:pt idx="0">
                  <c:v>0</c:v>
                </c:pt>
                <c:pt idx="1">
                  <c:v>0.25</c:v>
                </c:pt>
                <c:pt idx="2">
                  <c:v>0.5</c:v>
                </c:pt>
                <c:pt idx="3">
                  <c:v>0.75</c:v>
                </c:pt>
                <c:pt idx="4">
                  <c:v>1</c:v>
                </c:pt>
                <c:pt idx="5">
                  <c:v>2</c:v>
                </c:pt>
                <c:pt idx="6">
                  <c:v>3</c:v>
                </c:pt>
                <c:pt idx="7">
                  <c:v>4</c:v>
                </c:pt>
                <c:pt idx="8">
                  <c:v>4.8499999999999996</c:v>
                </c:pt>
                <c:pt idx="9">
                  <c:v>5</c:v>
                </c:pt>
                <c:pt idx="10">
                  <c:v>6</c:v>
                </c:pt>
                <c:pt idx="11">
                  <c:v>6.5</c:v>
                </c:pt>
              </c:numCache>
            </c:numRef>
          </c:xVal>
          <c:yVal>
            <c:numRef>
              <c:f>Tools!$AC$72:$AN$72</c:f>
              <c:numCache>
                <c:formatCode>General</c:formatCode>
                <c:ptCount val="12"/>
                <c:pt idx="0">
                  <c:v>0</c:v>
                </c:pt>
                <c:pt idx="1">
                  <c:v>0.10875000000000001</c:v>
                </c:pt>
                <c:pt idx="2">
                  <c:v>0.56000000000000005</c:v>
                </c:pt>
                <c:pt idx="3">
                  <c:v>1.5137499999999999</c:v>
                </c:pt>
                <c:pt idx="4">
                  <c:v>3.0999999999999996</c:v>
                </c:pt>
                <c:pt idx="5">
                  <c:v>17.556666666666665</c:v>
                </c:pt>
                <c:pt idx="6">
                  <c:v>54.593333333333341</c:v>
                </c:pt>
                <c:pt idx="7">
                  <c:v>140.64999999999998</c:v>
                </c:pt>
                <c:pt idx="8">
                  <c:v>285.53249999999991</c:v>
                </c:pt>
                <c:pt idx="9">
                  <c:v>320.91333333333336</c:v>
                </c:pt>
                <c:pt idx="10">
                  <c:v>600.49</c:v>
                </c:pt>
                <c:pt idx="11">
                  <c:v>776.44333333333338</c:v>
                </c:pt>
              </c:numCache>
            </c:numRef>
          </c:yVal>
          <c:smooth val="1"/>
        </c:ser>
        <c:ser>
          <c:idx val="3"/>
          <c:order val="3"/>
          <c:tx>
            <c:strRef>
              <c:f>Tools!$DC$65</c:f>
              <c:strCache>
                <c:ptCount val="1"/>
                <c:pt idx="0">
                  <c:v>STN 1.5</c:v>
                </c:pt>
              </c:strCache>
            </c:strRef>
          </c:tx>
          <c:spPr>
            <a:ln w="3175">
              <a:solidFill>
                <a:srgbClr val="00B050"/>
              </a:solidFill>
            </a:ln>
          </c:spPr>
          <c:marker>
            <c:symbol val="none"/>
          </c:marker>
          <c:xVal>
            <c:numRef>
              <c:f>Tools!$AC$69:$AN$69</c:f>
              <c:numCache>
                <c:formatCode>General</c:formatCode>
                <c:ptCount val="12"/>
                <c:pt idx="0">
                  <c:v>0</c:v>
                </c:pt>
                <c:pt idx="1">
                  <c:v>0.25</c:v>
                </c:pt>
                <c:pt idx="2">
                  <c:v>0.5</c:v>
                </c:pt>
                <c:pt idx="3">
                  <c:v>0.75</c:v>
                </c:pt>
                <c:pt idx="4">
                  <c:v>1</c:v>
                </c:pt>
                <c:pt idx="5">
                  <c:v>2</c:v>
                </c:pt>
                <c:pt idx="6">
                  <c:v>3</c:v>
                </c:pt>
                <c:pt idx="7">
                  <c:v>4</c:v>
                </c:pt>
                <c:pt idx="8">
                  <c:v>4.8499999999999996</c:v>
                </c:pt>
                <c:pt idx="9">
                  <c:v>5</c:v>
                </c:pt>
                <c:pt idx="10">
                  <c:v>6</c:v>
                </c:pt>
                <c:pt idx="11">
                  <c:v>6.5</c:v>
                </c:pt>
              </c:numCache>
            </c:numRef>
          </c:xVal>
          <c:yVal>
            <c:numRef>
              <c:f>Tools!$AC$73:$AN$73</c:f>
              <c:numCache>
                <c:formatCode>General</c:formatCode>
                <c:ptCount val="12"/>
                <c:pt idx="0">
                  <c:v>0</c:v>
                </c:pt>
                <c:pt idx="1">
                  <c:v>0.20937500000000001</c:v>
                </c:pt>
                <c:pt idx="2">
                  <c:v>1.1099999999999999</c:v>
                </c:pt>
                <c:pt idx="3">
                  <c:v>2.9993750000000001</c:v>
                </c:pt>
                <c:pt idx="4">
                  <c:v>6.1199999999999992</c:v>
                </c:pt>
                <c:pt idx="5">
                  <c:v>34.803333333333327</c:v>
                </c:pt>
                <c:pt idx="6">
                  <c:v>101.98666666666668</c:v>
                </c:pt>
                <c:pt idx="7">
                  <c:v>231.97666666666663</c:v>
                </c:pt>
                <c:pt idx="8">
                  <c:v>417.96686666666653</c:v>
                </c:pt>
                <c:pt idx="9">
                  <c:v>461</c:v>
                </c:pt>
                <c:pt idx="10">
                  <c:v>792.18999999999983</c:v>
                </c:pt>
                <c:pt idx="11">
                  <c:v>997.26333333333309</c:v>
                </c:pt>
              </c:numCache>
            </c:numRef>
          </c:yVal>
          <c:smooth val="1"/>
        </c:ser>
        <c:ser>
          <c:idx val="4"/>
          <c:order val="4"/>
          <c:tx>
            <c:strRef>
              <c:f>Tools!$DC$66</c:f>
              <c:strCache>
                <c:ptCount val="1"/>
                <c:pt idx="0">
                  <c:v>STN 2</c:v>
                </c:pt>
              </c:strCache>
            </c:strRef>
          </c:tx>
          <c:spPr>
            <a:ln w="3175"/>
          </c:spPr>
          <c:marker>
            <c:symbol val="none"/>
          </c:marker>
          <c:xVal>
            <c:numRef>
              <c:f>Tools!$AC$69:$AN$69</c:f>
              <c:numCache>
                <c:formatCode>General</c:formatCode>
                <c:ptCount val="12"/>
                <c:pt idx="0">
                  <c:v>0</c:v>
                </c:pt>
                <c:pt idx="1">
                  <c:v>0.25</c:v>
                </c:pt>
                <c:pt idx="2">
                  <c:v>0.5</c:v>
                </c:pt>
                <c:pt idx="3">
                  <c:v>0.75</c:v>
                </c:pt>
                <c:pt idx="4">
                  <c:v>1</c:v>
                </c:pt>
                <c:pt idx="5">
                  <c:v>2</c:v>
                </c:pt>
                <c:pt idx="6">
                  <c:v>3</c:v>
                </c:pt>
                <c:pt idx="7">
                  <c:v>4</c:v>
                </c:pt>
                <c:pt idx="8">
                  <c:v>4.8499999999999996</c:v>
                </c:pt>
                <c:pt idx="9">
                  <c:v>5</c:v>
                </c:pt>
                <c:pt idx="10">
                  <c:v>6</c:v>
                </c:pt>
                <c:pt idx="11">
                  <c:v>6.5</c:v>
                </c:pt>
              </c:numCache>
            </c:numRef>
          </c:xVal>
          <c:yVal>
            <c:numRef>
              <c:f>Tools!$AC$74:$AN$74</c:f>
              <c:numCache>
                <c:formatCode>General</c:formatCode>
                <c:ptCount val="12"/>
                <c:pt idx="0">
                  <c:v>0</c:v>
                </c:pt>
                <c:pt idx="1">
                  <c:v>0.34291666666666665</c:v>
                </c:pt>
                <c:pt idx="2">
                  <c:v>1.7733333333333334</c:v>
                </c:pt>
                <c:pt idx="3">
                  <c:v>4.7562499999999996</c:v>
                </c:pt>
                <c:pt idx="4">
                  <c:v>9.6199999999999992</c:v>
                </c:pt>
                <c:pt idx="5">
                  <c:v>53.176666666666662</c:v>
                </c:pt>
                <c:pt idx="6">
                  <c:v>148.63333333333333</c:v>
                </c:pt>
                <c:pt idx="7">
                  <c:v>315.84333333333331</c:v>
                </c:pt>
                <c:pt idx="8">
                  <c:v>535.9230666666665</c:v>
                </c:pt>
                <c:pt idx="9">
                  <c:v>583.94000000000005</c:v>
                </c:pt>
                <c:pt idx="10">
                  <c:v>959.14999999999986</c:v>
                </c:pt>
                <c:pt idx="11">
                  <c:v>1187.2099999999998</c:v>
                </c:pt>
              </c:numCache>
            </c:numRef>
          </c:yVal>
          <c:smooth val="1"/>
        </c:ser>
        <c:ser>
          <c:idx val="5"/>
          <c:order val="5"/>
          <c:tx>
            <c:strRef>
              <c:f>Tools!$DC$67</c:f>
              <c:strCache>
                <c:ptCount val="1"/>
                <c:pt idx="0">
                  <c:v>STN 3</c:v>
                </c:pt>
              </c:strCache>
            </c:strRef>
          </c:tx>
          <c:spPr>
            <a:ln w="3175"/>
          </c:spPr>
          <c:marker>
            <c:symbol val="none"/>
          </c:marker>
          <c:xVal>
            <c:numRef>
              <c:f>Tools!$AC$69:$AN$69</c:f>
              <c:numCache>
                <c:formatCode>General</c:formatCode>
                <c:ptCount val="12"/>
                <c:pt idx="0">
                  <c:v>0</c:v>
                </c:pt>
                <c:pt idx="1">
                  <c:v>0.25</c:v>
                </c:pt>
                <c:pt idx="2">
                  <c:v>0.5</c:v>
                </c:pt>
                <c:pt idx="3">
                  <c:v>0.75</c:v>
                </c:pt>
                <c:pt idx="4">
                  <c:v>1</c:v>
                </c:pt>
                <c:pt idx="5">
                  <c:v>2</c:v>
                </c:pt>
                <c:pt idx="6">
                  <c:v>3</c:v>
                </c:pt>
                <c:pt idx="7">
                  <c:v>4</c:v>
                </c:pt>
                <c:pt idx="8">
                  <c:v>4.8499999999999996</c:v>
                </c:pt>
                <c:pt idx="9">
                  <c:v>5</c:v>
                </c:pt>
                <c:pt idx="10">
                  <c:v>6</c:v>
                </c:pt>
                <c:pt idx="11">
                  <c:v>6.5</c:v>
                </c:pt>
              </c:numCache>
            </c:numRef>
          </c:xVal>
          <c:yVal>
            <c:numRef>
              <c:f>Tools!$AC$75:$AN$75</c:f>
              <c:numCache>
                <c:formatCode>General</c:formatCode>
                <c:ptCount val="12"/>
                <c:pt idx="0">
                  <c:v>0</c:v>
                </c:pt>
                <c:pt idx="1">
                  <c:v>0.72354166666666642</c:v>
                </c:pt>
                <c:pt idx="2">
                  <c:v>3.6033333333333326</c:v>
                </c:pt>
                <c:pt idx="3">
                  <c:v>9.1968749999999986</c:v>
                </c:pt>
                <c:pt idx="4">
                  <c:v>17.866666666666667</c:v>
                </c:pt>
                <c:pt idx="5">
                  <c:v>90.22999999999999</c:v>
                </c:pt>
                <c:pt idx="6">
                  <c:v>235.9733333333333</c:v>
                </c:pt>
                <c:pt idx="7">
                  <c:v>466.39</c:v>
                </c:pt>
                <c:pt idx="8">
                  <c:v>738.77929999999981</c:v>
                </c:pt>
                <c:pt idx="9">
                  <c:v>794.31999999999994</c:v>
                </c:pt>
                <c:pt idx="10">
                  <c:v>1229.0566666666666</c:v>
                </c:pt>
                <c:pt idx="11">
                  <c:v>1485.8633333333332</c:v>
                </c:pt>
              </c:numCache>
            </c:numRef>
          </c:yVal>
          <c:smooth val="1"/>
        </c:ser>
        <c:ser>
          <c:idx val="6"/>
          <c:order val="6"/>
          <c:tx>
            <c:strRef>
              <c:f>Tools!$DC$68</c:f>
              <c:strCache>
                <c:ptCount val="1"/>
                <c:pt idx="0">
                  <c:v>STN 4</c:v>
                </c:pt>
              </c:strCache>
            </c:strRef>
          </c:tx>
          <c:spPr>
            <a:ln w="3175"/>
          </c:spPr>
          <c:marker>
            <c:symbol val="none"/>
          </c:marker>
          <c:xVal>
            <c:numRef>
              <c:f>Tools!$AC$69:$AN$69</c:f>
              <c:numCache>
                <c:formatCode>General</c:formatCode>
                <c:ptCount val="12"/>
                <c:pt idx="0">
                  <c:v>0</c:v>
                </c:pt>
                <c:pt idx="1">
                  <c:v>0.25</c:v>
                </c:pt>
                <c:pt idx="2">
                  <c:v>0.5</c:v>
                </c:pt>
                <c:pt idx="3">
                  <c:v>0.75</c:v>
                </c:pt>
                <c:pt idx="4">
                  <c:v>1</c:v>
                </c:pt>
                <c:pt idx="5">
                  <c:v>2</c:v>
                </c:pt>
                <c:pt idx="6">
                  <c:v>3</c:v>
                </c:pt>
                <c:pt idx="7">
                  <c:v>4</c:v>
                </c:pt>
                <c:pt idx="8">
                  <c:v>4.8499999999999996</c:v>
                </c:pt>
                <c:pt idx="9">
                  <c:v>5</c:v>
                </c:pt>
                <c:pt idx="10">
                  <c:v>6</c:v>
                </c:pt>
                <c:pt idx="11">
                  <c:v>6.5</c:v>
                </c:pt>
              </c:numCache>
            </c:numRef>
          </c:xVal>
          <c:yVal>
            <c:numRef>
              <c:f>Tools!$AC$76:$AN$76</c:f>
              <c:numCache>
                <c:formatCode>General</c:formatCode>
                <c:ptCount val="12"/>
                <c:pt idx="0">
                  <c:v>0</c:v>
                </c:pt>
                <c:pt idx="1">
                  <c:v>1.2174999999999998</c:v>
                </c:pt>
                <c:pt idx="2">
                  <c:v>5.6400000000000006</c:v>
                </c:pt>
                <c:pt idx="3">
                  <c:v>13.8675</c:v>
                </c:pt>
                <c:pt idx="4">
                  <c:v>26.246666666666666</c:v>
                </c:pt>
                <c:pt idx="5">
                  <c:v>123.00666666666666</c:v>
                </c:pt>
                <c:pt idx="6">
                  <c:v>304.96666666666664</c:v>
                </c:pt>
                <c:pt idx="7">
                  <c:v>579.05999999999995</c:v>
                </c:pt>
                <c:pt idx="8">
                  <c:v>888.40333333333308</c:v>
                </c:pt>
                <c:pt idx="9">
                  <c:v>951.5</c:v>
                </c:pt>
                <c:pt idx="10">
                  <c:v>1419.5933333333332</c:v>
                </c:pt>
                <c:pt idx="11">
                  <c:v>1690.48</c:v>
                </c:pt>
              </c:numCache>
            </c:numRef>
          </c:yVal>
          <c:smooth val="1"/>
        </c:ser>
        <c:ser>
          <c:idx val="7"/>
          <c:order val="7"/>
          <c:tx>
            <c:strRef>
              <c:f>Tools!$DC$69</c:f>
              <c:strCache>
                <c:ptCount val="1"/>
                <c:pt idx="0">
                  <c:v>STN 5</c:v>
                </c:pt>
              </c:strCache>
            </c:strRef>
          </c:tx>
          <c:spPr>
            <a:ln w="3175">
              <a:solidFill>
                <a:schemeClr val="accent6">
                  <a:lumMod val="50000"/>
                </a:schemeClr>
              </a:solidFill>
            </a:ln>
          </c:spPr>
          <c:marker>
            <c:symbol val="none"/>
          </c:marker>
          <c:xVal>
            <c:numRef>
              <c:f>Tools!$AC$69:$AN$69</c:f>
              <c:numCache>
                <c:formatCode>General</c:formatCode>
                <c:ptCount val="12"/>
                <c:pt idx="0">
                  <c:v>0</c:v>
                </c:pt>
                <c:pt idx="1">
                  <c:v>0.25</c:v>
                </c:pt>
                <c:pt idx="2">
                  <c:v>0.5</c:v>
                </c:pt>
                <c:pt idx="3">
                  <c:v>0.75</c:v>
                </c:pt>
                <c:pt idx="4">
                  <c:v>1</c:v>
                </c:pt>
                <c:pt idx="5">
                  <c:v>2</c:v>
                </c:pt>
                <c:pt idx="6">
                  <c:v>3</c:v>
                </c:pt>
                <c:pt idx="7">
                  <c:v>4</c:v>
                </c:pt>
                <c:pt idx="8">
                  <c:v>4.8499999999999996</c:v>
                </c:pt>
                <c:pt idx="9">
                  <c:v>5</c:v>
                </c:pt>
                <c:pt idx="10">
                  <c:v>6</c:v>
                </c:pt>
                <c:pt idx="11">
                  <c:v>6.5</c:v>
                </c:pt>
              </c:numCache>
            </c:numRef>
          </c:xVal>
          <c:yVal>
            <c:numRef>
              <c:f>Tools!$AC$77:$AN$77</c:f>
              <c:numCache>
                <c:formatCode>General</c:formatCode>
                <c:ptCount val="12"/>
                <c:pt idx="0">
                  <c:v>0</c:v>
                </c:pt>
                <c:pt idx="1">
                  <c:v>1.7120833333333332</c:v>
                </c:pt>
                <c:pt idx="2">
                  <c:v>7.5466666666666669</c:v>
                </c:pt>
                <c:pt idx="3">
                  <c:v>18.098749999999995</c:v>
                </c:pt>
                <c:pt idx="4">
                  <c:v>33.699999999999996</c:v>
                </c:pt>
                <c:pt idx="5">
                  <c:v>148.93666666666664</c:v>
                </c:pt>
                <c:pt idx="6">
                  <c:v>352.55333333333328</c:v>
                </c:pt>
                <c:pt idx="7">
                  <c:v>644.45666666666659</c:v>
                </c:pt>
                <c:pt idx="8">
                  <c:v>964.98259999999982</c:v>
                </c:pt>
                <c:pt idx="9">
                  <c:v>1029.5666666666666</c:v>
                </c:pt>
                <c:pt idx="10">
                  <c:v>1504.5099999999998</c:v>
                </c:pt>
                <c:pt idx="11">
                  <c:v>1778.2766666666664</c:v>
                </c:pt>
              </c:numCache>
            </c:numRef>
          </c:yVal>
          <c:smooth val="1"/>
        </c:ser>
        <c:ser>
          <c:idx val="8"/>
          <c:order val="8"/>
          <c:tx>
            <c:strRef>
              <c:f>Tools!$DC$70</c:f>
              <c:strCache>
                <c:ptCount val="1"/>
                <c:pt idx="0">
                  <c:v>STN 6</c:v>
                </c:pt>
              </c:strCache>
            </c:strRef>
          </c:tx>
          <c:spPr>
            <a:ln w="3175">
              <a:solidFill>
                <a:schemeClr val="accent6">
                  <a:lumMod val="75000"/>
                </a:schemeClr>
              </a:solidFill>
            </a:ln>
          </c:spPr>
          <c:marker>
            <c:symbol val="none"/>
          </c:marker>
          <c:xVal>
            <c:numRef>
              <c:f>Tools!$AC$69:$AN$69</c:f>
              <c:numCache>
                <c:formatCode>General</c:formatCode>
                <c:ptCount val="12"/>
                <c:pt idx="0">
                  <c:v>0</c:v>
                </c:pt>
                <c:pt idx="1">
                  <c:v>0.25</c:v>
                </c:pt>
                <c:pt idx="2">
                  <c:v>0.5</c:v>
                </c:pt>
                <c:pt idx="3">
                  <c:v>0.75</c:v>
                </c:pt>
                <c:pt idx="4">
                  <c:v>1</c:v>
                </c:pt>
                <c:pt idx="5">
                  <c:v>2</c:v>
                </c:pt>
                <c:pt idx="6">
                  <c:v>3</c:v>
                </c:pt>
                <c:pt idx="7">
                  <c:v>4</c:v>
                </c:pt>
                <c:pt idx="8">
                  <c:v>4.8499999999999996</c:v>
                </c:pt>
                <c:pt idx="9">
                  <c:v>5</c:v>
                </c:pt>
                <c:pt idx="10">
                  <c:v>6</c:v>
                </c:pt>
                <c:pt idx="11">
                  <c:v>6.5</c:v>
                </c:pt>
              </c:numCache>
            </c:numRef>
          </c:xVal>
          <c:yVal>
            <c:numRef>
              <c:f>Tools!$AC$78:$AN$78</c:f>
              <c:numCache>
                <c:formatCode>General</c:formatCode>
                <c:ptCount val="12"/>
                <c:pt idx="0">
                  <c:v>0</c:v>
                </c:pt>
                <c:pt idx="1">
                  <c:v>2.15</c:v>
                </c:pt>
                <c:pt idx="2">
                  <c:v>9.1</c:v>
                </c:pt>
                <c:pt idx="3">
                  <c:v>21.269999999999996</c:v>
                </c:pt>
                <c:pt idx="4">
                  <c:v>38.946666666666665</c:v>
                </c:pt>
                <c:pt idx="5">
                  <c:v>165.84666666666666</c:v>
                </c:pt>
                <c:pt idx="6">
                  <c:v>383.74666666666667</c:v>
                </c:pt>
                <c:pt idx="7">
                  <c:v>689.58</c:v>
                </c:pt>
                <c:pt idx="8">
                  <c:v>1020.5699999999999</c:v>
                </c:pt>
                <c:pt idx="9">
                  <c:v>1086.9466666666667</c:v>
                </c:pt>
                <c:pt idx="10">
                  <c:v>1569.58</c:v>
                </c:pt>
                <c:pt idx="11">
                  <c:v>1844.58</c:v>
                </c:pt>
              </c:numCache>
            </c:numRef>
          </c:yVal>
          <c:smooth val="1"/>
        </c:ser>
        <c:ser>
          <c:idx val="9"/>
          <c:order val="9"/>
          <c:tx>
            <c:strRef>
              <c:f>Tools!$DC$71</c:f>
              <c:strCache>
                <c:ptCount val="1"/>
                <c:pt idx="0">
                  <c:v>STN 7</c:v>
                </c:pt>
              </c:strCache>
            </c:strRef>
          </c:tx>
          <c:spPr>
            <a:ln w="3175">
              <a:solidFill>
                <a:srgbClr val="FF0000"/>
              </a:solidFill>
            </a:ln>
          </c:spPr>
          <c:marker>
            <c:symbol val="none"/>
          </c:marker>
          <c:xVal>
            <c:numRef>
              <c:f>Tools!$AC$69:$AN$69</c:f>
              <c:numCache>
                <c:formatCode>General</c:formatCode>
                <c:ptCount val="12"/>
                <c:pt idx="0">
                  <c:v>0</c:v>
                </c:pt>
                <c:pt idx="1">
                  <c:v>0.25</c:v>
                </c:pt>
                <c:pt idx="2">
                  <c:v>0.5</c:v>
                </c:pt>
                <c:pt idx="3">
                  <c:v>0.75</c:v>
                </c:pt>
                <c:pt idx="4">
                  <c:v>1</c:v>
                </c:pt>
                <c:pt idx="5">
                  <c:v>2</c:v>
                </c:pt>
                <c:pt idx="6">
                  <c:v>3</c:v>
                </c:pt>
                <c:pt idx="7">
                  <c:v>4</c:v>
                </c:pt>
                <c:pt idx="8">
                  <c:v>4.8499999999999996</c:v>
                </c:pt>
                <c:pt idx="9">
                  <c:v>5</c:v>
                </c:pt>
                <c:pt idx="10">
                  <c:v>6</c:v>
                </c:pt>
                <c:pt idx="11">
                  <c:v>6.5</c:v>
                </c:pt>
              </c:numCache>
            </c:numRef>
          </c:xVal>
          <c:yVal>
            <c:numRef>
              <c:f>Tools!$AC$79:$AN$79</c:f>
              <c:numCache>
                <c:formatCode>General</c:formatCode>
                <c:ptCount val="12"/>
                <c:pt idx="0">
                  <c:v>0</c:v>
                </c:pt>
                <c:pt idx="1">
                  <c:v>2.395833333333333</c:v>
                </c:pt>
                <c:pt idx="2">
                  <c:v>9.9866666666666664</c:v>
                </c:pt>
                <c:pt idx="3">
                  <c:v>23.067499999999999</c:v>
                </c:pt>
                <c:pt idx="4">
                  <c:v>41.82</c:v>
                </c:pt>
                <c:pt idx="5">
                  <c:v>172.95333333333332</c:v>
                </c:pt>
                <c:pt idx="6">
                  <c:v>393.28666666666669</c:v>
                </c:pt>
                <c:pt idx="7">
                  <c:v>700.95333333333338</c:v>
                </c:pt>
                <c:pt idx="8">
                  <c:v>1031.9433333333332</c:v>
                </c:pt>
                <c:pt idx="9">
                  <c:v>1097.2866666666666</c:v>
                </c:pt>
                <c:pt idx="10">
                  <c:v>1580.9533333333334</c:v>
                </c:pt>
                <c:pt idx="11">
                  <c:v>1855.9533333333334</c:v>
                </c:pt>
              </c:numCache>
            </c:numRef>
          </c:yVal>
          <c:smooth val="1"/>
        </c:ser>
        <c:ser>
          <c:idx val="10"/>
          <c:order val="10"/>
          <c:tx>
            <c:strRef>
              <c:f>Tools!$DC$72</c:f>
              <c:strCache>
                <c:ptCount val="1"/>
                <c:pt idx="0">
                  <c:v>STN 8</c:v>
                </c:pt>
              </c:strCache>
            </c:strRef>
          </c:tx>
          <c:spPr>
            <a:ln w="3175">
              <a:solidFill>
                <a:srgbClr val="00FF00"/>
              </a:solidFill>
            </a:ln>
          </c:spPr>
          <c:marker>
            <c:symbol val="none"/>
          </c:marker>
          <c:xVal>
            <c:numRef>
              <c:f>Tools!$AC$69:$AN$69</c:f>
              <c:numCache>
                <c:formatCode>General</c:formatCode>
                <c:ptCount val="12"/>
                <c:pt idx="0">
                  <c:v>0</c:v>
                </c:pt>
                <c:pt idx="1">
                  <c:v>0.25</c:v>
                </c:pt>
                <c:pt idx="2">
                  <c:v>0.5</c:v>
                </c:pt>
                <c:pt idx="3">
                  <c:v>0.75</c:v>
                </c:pt>
                <c:pt idx="4">
                  <c:v>1</c:v>
                </c:pt>
                <c:pt idx="5">
                  <c:v>2</c:v>
                </c:pt>
                <c:pt idx="6">
                  <c:v>3</c:v>
                </c:pt>
                <c:pt idx="7">
                  <c:v>4</c:v>
                </c:pt>
                <c:pt idx="8">
                  <c:v>4.8499999999999996</c:v>
                </c:pt>
                <c:pt idx="9">
                  <c:v>5</c:v>
                </c:pt>
                <c:pt idx="10">
                  <c:v>6</c:v>
                </c:pt>
                <c:pt idx="11">
                  <c:v>6.5</c:v>
                </c:pt>
              </c:numCache>
            </c:numRef>
          </c:xVal>
          <c:yVal>
            <c:numRef>
              <c:f>Tools!$AC$80:$AN$80</c:f>
              <c:numCache>
                <c:formatCode>General</c:formatCode>
                <c:ptCount val="12"/>
                <c:pt idx="0">
                  <c:v>0</c:v>
                </c:pt>
                <c:pt idx="1">
                  <c:v>2.5235416666666666</c:v>
                </c:pt>
                <c:pt idx="2">
                  <c:v>10.443333333333332</c:v>
                </c:pt>
                <c:pt idx="3">
                  <c:v>23.921874999999996</c:v>
                </c:pt>
                <c:pt idx="4">
                  <c:v>43.133333333333326</c:v>
                </c:pt>
                <c:pt idx="5">
                  <c:v>175.13333333333333</c:v>
                </c:pt>
                <c:pt idx="6">
                  <c:v>395.13333333333333</c:v>
                </c:pt>
                <c:pt idx="7">
                  <c:v>703.13333333333333</c:v>
                </c:pt>
                <c:pt idx="8">
                  <c:v>1034.1233333333332</c:v>
                </c:pt>
                <c:pt idx="9">
                  <c:v>1099.1333333333332</c:v>
                </c:pt>
                <c:pt idx="10">
                  <c:v>1583.1333333333332</c:v>
                </c:pt>
                <c:pt idx="11">
                  <c:v>1858.1333333333332</c:v>
                </c:pt>
              </c:numCache>
            </c:numRef>
          </c:yVal>
          <c:smooth val="1"/>
        </c:ser>
        <c:ser>
          <c:idx val="11"/>
          <c:order val="11"/>
          <c:tx>
            <c:strRef>
              <c:f>Tools!$DC$73</c:f>
              <c:strCache>
                <c:ptCount val="1"/>
                <c:pt idx="0">
                  <c:v>STN 9</c:v>
                </c:pt>
              </c:strCache>
            </c:strRef>
          </c:tx>
          <c:spPr>
            <a:ln w="3175">
              <a:solidFill>
                <a:schemeClr val="accent2"/>
              </a:solidFill>
            </a:ln>
          </c:spPr>
          <c:marker>
            <c:symbol val="none"/>
          </c:marker>
          <c:xVal>
            <c:numRef>
              <c:f>Tools!$AC$69:$AN$69</c:f>
              <c:numCache>
                <c:formatCode>General</c:formatCode>
                <c:ptCount val="12"/>
                <c:pt idx="0">
                  <c:v>0</c:v>
                </c:pt>
                <c:pt idx="1">
                  <c:v>0.25</c:v>
                </c:pt>
                <c:pt idx="2">
                  <c:v>0.5</c:v>
                </c:pt>
                <c:pt idx="3">
                  <c:v>0.75</c:v>
                </c:pt>
                <c:pt idx="4">
                  <c:v>1</c:v>
                </c:pt>
                <c:pt idx="5">
                  <c:v>2</c:v>
                </c:pt>
                <c:pt idx="6">
                  <c:v>3</c:v>
                </c:pt>
                <c:pt idx="7">
                  <c:v>4</c:v>
                </c:pt>
                <c:pt idx="8">
                  <c:v>4.8499999999999996</c:v>
                </c:pt>
                <c:pt idx="9">
                  <c:v>5</c:v>
                </c:pt>
                <c:pt idx="10">
                  <c:v>6</c:v>
                </c:pt>
                <c:pt idx="11">
                  <c:v>6.5</c:v>
                </c:pt>
              </c:numCache>
            </c:numRef>
          </c:xVal>
          <c:yVal>
            <c:numRef>
              <c:f>Tools!$AC$81:$AN$81</c:f>
              <c:numCache>
                <c:formatCode>General</c:formatCode>
                <c:ptCount val="12"/>
                <c:pt idx="0">
                  <c:v>0</c:v>
                </c:pt>
                <c:pt idx="1">
                  <c:v>2.5593749999999997</c:v>
                </c:pt>
                <c:pt idx="2">
                  <c:v>10.549999999999999</c:v>
                </c:pt>
                <c:pt idx="3">
                  <c:v>24.099374999999998</c:v>
                </c:pt>
                <c:pt idx="4">
                  <c:v>43.326666666666661</c:v>
                </c:pt>
                <c:pt idx="5">
                  <c:v>175.32666666666665</c:v>
                </c:pt>
                <c:pt idx="6">
                  <c:v>395.32666666666665</c:v>
                </c:pt>
                <c:pt idx="7">
                  <c:v>703.3266666666666</c:v>
                </c:pt>
                <c:pt idx="8">
                  <c:v>1034.3166666666664</c:v>
                </c:pt>
                <c:pt idx="9">
                  <c:v>1099.3266666666666</c:v>
                </c:pt>
                <c:pt idx="10">
                  <c:v>1583.3266666666666</c:v>
                </c:pt>
                <c:pt idx="11">
                  <c:v>1858.3266666666666</c:v>
                </c:pt>
              </c:numCache>
            </c:numRef>
          </c:yVal>
          <c:smooth val="1"/>
        </c:ser>
        <c:ser>
          <c:idx val="12"/>
          <c:order val="12"/>
          <c:tx>
            <c:strRef>
              <c:f>Tools!$DC$74</c:f>
              <c:strCache>
                <c:ptCount val="1"/>
                <c:pt idx="0">
                  <c:v>STN 10</c:v>
                </c:pt>
              </c:strCache>
            </c:strRef>
          </c:tx>
          <c:spPr>
            <a:ln w="3175">
              <a:solidFill>
                <a:schemeClr val="tx2"/>
              </a:solidFill>
            </a:ln>
          </c:spPr>
          <c:marker>
            <c:symbol val="none"/>
          </c:marker>
          <c:xVal>
            <c:numRef>
              <c:f>Tools!$AC$69:$AN$69</c:f>
              <c:numCache>
                <c:formatCode>General</c:formatCode>
                <c:ptCount val="12"/>
                <c:pt idx="0">
                  <c:v>0</c:v>
                </c:pt>
                <c:pt idx="1">
                  <c:v>0.25</c:v>
                </c:pt>
                <c:pt idx="2">
                  <c:v>0.5</c:v>
                </c:pt>
                <c:pt idx="3">
                  <c:v>0.75</c:v>
                </c:pt>
                <c:pt idx="4">
                  <c:v>1</c:v>
                </c:pt>
                <c:pt idx="5">
                  <c:v>2</c:v>
                </c:pt>
                <c:pt idx="6">
                  <c:v>3</c:v>
                </c:pt>
                <c:pt idx="7">
                  <c:v>4</c:v>
                </c:pt>
                <c:pt idx="8">
                  <c:v>4.8499999999999996</c:v>
                </c:pt>
                <c:pt idx="9">
                  <c:v>5</c:v>
                </c:pt>
                <c:pt idx="10">
                  <c:v>6</c:v>
                </c:pt>
                <c:pt idx="11">
                  <c:v>6.5</c:v>
                </c:pt>
              </c:numCache>
            </c:numRef>
          </c:xVal>
          <c:yVal>
            <c:numRef>
              <c:f>Tools!$AC$82:$AN$82</c:f>
              <c:numCache>
                <c:formatCode>General</c:formatCode>
                <c:ptCount val="12"/>
                <c:pt idx="0">
                  <c:v>0</c:v>
                </c:pt>
                <c:pt idx="1">
                  <c:v>2.5593749999999997</c:v>
                </c:pt>
                <c:pt idx="2">
                  <c:v>10.549999999999999</c:v>
                </c:pt>
                <c:pt idx="3">
                  <c:v>24.099374999999998</c:v>
                </c:pt>
                <c:pt idx="4">
                  <c:v>43.326666666666661</c:v>
                </c:pt>
                <c:pt idx="5">
                  <c:v>175.32666666666665</c:v>
                </c:pt>
                <c:pt idx="6">
                  <c:v>395.32666666666665</c:v>
                </c:pt>
                <c:pt idx="7">
                  <c:v>703.3266666666666</c:v>
                </c:pt>
                <c:pt idx="8">
                  <c:v>1034.3166666666664</c:v>
                </c:pt>
                <c:pt idx="9">
                  <c:v>1099.3266666666666</c:v>
                </c:pt>
                <c:pt idx="10">
                  <c:v>1583.3266666666666</c:v>
                </c:pt>
                <c:pt idx="11">
                  <c:v>1858.3266666666666</c:v>
                </c:pt>
              </c:numCache>
            </c:numRef>
          </c:yVal>
          <c:smooth val="1"/>
        </c:ser>
        <c:ser>
          <c:idx val="13"/>
          <c:order val="13"/>
          <c:tx>
            <c:strRef>
              <c:f>Tools!$DC$75</c:f>
              <c:strCache>
                <c:ptCount val="1"/>
                <c:pt idx="0">
                  <c:v>STN 11</c:v>
                </c:pt>
              </c:strCache>
            </c:strRef>
          </c:tx>
          <c:spPr>
            <a:ln w="3175">
              <a:solidFill>
                <a:schemeClr val="accent3">
                  <a:lumMod val="50000"/>
                </a:schemeClr>
              </a:solidFill>
            </a:ln>
          </c:spPr>
          <c:marker>
            <c:symbol val="none"/>
          </c:marker>
          <c:xVal>
            <c:numRef>
              <c:f>Tools!$AC$69:$AN$69</c:f>
              <c:numCache>
                <c:formatCode>General</c:formatCode>
                <c:ptCount val="12"/>
                <c:pt idx="0">
                  <c:v>0</c:v>
                </c:pt>
                <c:pt idx="1">
                  <c:v>0.25</c:v>
                </c:pt>
                <c:pt idx="2">
                  <c:v>0.5</c:v>
                </c:pt>
                <c:pt idx="3">
                  <c:v>0.75</c:v>
                </c:pt>
                <c:pt idx="4">
                  <c:v>1</c:v>
                </c:pt>
                <c:pt idx="5">
                  <c:v>2</c:v>
                </c:pt>
                <c:pt idx="6">
                  <c:v>3</c:v>
                </c:pt>
                <c:pt idx="7">
                  <c:v>4</c:v>
                </c:pt>
                <c:pt idx="8">
                  <c:v>4.8499999999999996</c:v>
                </c:pt>
                <c:pt idx="9">
                  <c:v>5</c:v>
                </c:pt>
                <c:pt idx="10">
                  <c:v>6</c:v>
                </c:pt>
                <c:pt idx="11">
                  <c:v>6.5</c:v>
                </c:pt>
              </c:numCache>
            </c:numRef>
          </c:xVal>
          <c:yVal>
            <c:numRef>
              <c:f>Tools!$AC$83:$AN$83</c:f>
              <c:numCache>
                <c:formatCode>General</c:formatCode>
                <c:ptCount val="12"/>
                <c:pt idx="0">
                  <c:v>0</c:v>
                </c:pt>
                <c:pt idx="1">
                  <c:v>2.5593749999999997</c:v>
                </c:pt>
                <c:pt idx="2">
                  <c:v>10.549999999999999</c:v>
                </c:pt>
                <c:pt idx="3">
                  <c:v>24.099374999999998</c:v>
                </c:pt>
                <c:pt idx="4">
                  <c:v>43.326666666666661</c:v>
                </c:pt>
                <c:pt idx="5">
                  <c:v>175.32666666666665</c:v>
                </c:pt>
                <c:pt idx="6">
                  <c:v>395.32666666666665</c:v>
                </c:pt>
                <c:pt idx="7">
                  <c:v>703.3266666666666</c:v>
                </c:pt>
                <c:pt idx="8">
                  <c:v>1034.3166666666664</c:v>
                </c:pt>
                <c:pt idx="9">
                  <c:v>1099.3266666666666</c:v>
                </c:pt>
                <c:pt idx="10">
                  <c:v>1583.3266666666666</c:v>
                </c:pt>
                <c:pt idx="11">
                  <c:v>1858.3266666666666</c:v>
                </c:pt>
              </c:numCache>
            </c:numRef>
          </c:yVal>
          <c:smooth val="1"/>
        </c:ser>
        <c:ser>
          <c:idx val="14"/>
          <c:order val="14"/>
          <c:tx>
            <c:strRef>
              <c:f>Tools!$DC$76</c:f>
              <c:strCache>
                <c:ptCount val="1"/>
                <c:pt idx="0">
                  <c:v>STN 12</c:v>
                </c:pt>
              </c:strCache>
            </c:strRef>
          </c:tx>
          <c:spPr>
            <a:ln w="3175">
              <a:solidFill>
                <a:schemeClr val="accent5">
                  <a:lumMod val="75000"/>
                </a:schemeClr>
              </a:solidFill>
            </a:ln>
          </c:spPr>
          <c:marker>
            <c:symbol val="none"/>
          </c:marker>
          <c:xVal>
            <c:numRef>
              <c:f>Tools!$AC$69:$AN$69</c:f>
              <c:numCache>
                <c:formatCode>General</c:formatCode>
                <c:ptCount val="12"/>
                <c:pt idx="0">
                  <c:v>0</c:v>
                </c:pt>
                <c:pt idx="1">
                  <c:v>0.25</c:v>
                </c:pt>
                <c:pt idx="2">
                  <c:v>0.5</c:v>
                </c:pt>
                <c:pt idx="3">
                  <c:v>0.75</c:v>
                </c:pt>
                <c:pt idx="4">
                  <c:v>1</c:v>
                </c:pt>
                <c:pt idx="5">
                  <c:v>2</c:v>
                </c:pt>
                <c:pt idx="6">
                  <c:v>3</c:v>
                </c:pt>
                <c:pt idx="7">
                  <c:v>4</c:v>
                </c:pt>
                <c:pt idx="8">
                  <c:v>4.8499999999999996</c:v>
                </c:pt>
                <c:pt idx="9">
                  <c:v>5</c:v>
                </c:pt>
                <c:pt idx="10">
                  <c:v>6</c:v>
                </c:pt>
                <c:pt idx="11">
                  <c:v>6.5</c:v>
                </c:pt>
              </c:numCache>
            </c:numRef>
          </c:xVal>
          <c:yVal>
            <c:numRef>
              <c:f>Tools!$AC$84:$AN$84</c:f>
              <c:numCache>
                <c:formatCode>General</c:formatCode>
                <c:ptCount val="12"/>
                <c:pt idx="0">
                  <c:v>0</c:v>
                </c:pt>
                <c:pt idx="1">
                  <c:v>2.5593749999999997</c:v>
                </c:pt>
                <c:pt idx="2">
                  <c:v>10.549999999999999</c:v>
                </c:pt>
                <c:pt idx="3">
                  <c:v>24.099374999999998</c:v>
                </c:pt>
                <c:pt idx="4">
                  <c:v>43.326666666666661</c:v>
                </c:pt>
                <c:pt idx="5">
                  <c:v>175.32666666666665</c:v>
                </c:pt>
                <c:pt idx="6">
                  <c:v>395.32666666666665</c:v>
                </c:pt>
                <c:pt idx="7">
                  <c:v>703.3266666666666</c:v>
                </c:pt>
                <c:pt idx="8">
                  <c:v>1034.3166666666664</c:v>
                </c:pt>
                <c:pt idx="9">
                  <c:v>1099.3266666666666</c:v>
                </c:pt>
                <c:pt idx="10">
                  <c:v>1583.3266666666666</c:v>
                </c:pt>
                <c:pt idx="11">
                  <c:v>1858.3266666666666</c:v>
                </c:pt>
              </c:numCache>
            </c:numRef>
          </c:yVal>
          <c:smooth val="1"/>
        </c:ser>
        <c:ser>
          <c:idx val="15"/>
          <c:order val="15"/>
          <c:tx>
            <c:strRef>
              <c:f>Tools!$DC$77</c:f>
              <c:strCache>
                <c:ptCount val="1"/>
                <c:pt idx="0">
                  <c:v>STN 13</c:v>
                </c:pt>
              </c:strCache>
            </c:strRef>
          </c:tx>
          <c:spPr>
            <a:ln w="3175">
              <a:solidFill>
                <a:schemeClr val="bg2">
                  <a:lumMod val="25000"/>
                </a:schemeClr>
              </a:solidFill>
            </a:ln>
          </c:spPr>
          <c:marker>
            <c:symbol val="none"/>
          </c:marker>
          <c:xVal>
            <c:numRef>
              <c:f>Tools!$AC$69:$AN$69</c:f>
              <c:numCache>
                <c:formatCode>General</c:formatCode>
                <c:ptCount val="12"/>
                <c:pt idx="0">
                  <c:v>0</c:v>
                </c:pt>
                <c:pt idx="1">
                  <c:v>0.25</c:v>
                </c:pt>
                <c:pt idx="2">
                  <c:v>0.5</c:v>
                </c:pt>
                <c:pt idx="3">
                  <c:v>0.75</c:v>
                </c:pt>
                <c:pt idx="4">
                  <c:v>1</c:v>
                </c:pt>
                <c:pt idx="5">
                  <c:v>2</c:v>
                </c:pt>
                <c:pt idx="6">
                  <c:v>3</c:v>
                </c:pt>
                <c:pt idx="7">
                  <c:v>4</c:v>
                </c:pt>
                <c:pt idx="8">
                  <c:v>4.8499999999999996</c:v>
                </c:pt>
                <c:pt idx="9">
                  <c:v>5</c:v>
                </c:pt>
                <c:pt idx="10">
                  <c:v>6</c:v>
                </c:pt>
                <c:pt idx="11">
                  <c:v>6.5</c:v>
                </c:pt>
              </c:numCache>
            </c:numRef>
          </c:xVal>
          <c:yVal>
            <c:numRef>
              <c:f>Tools!$AC$85:$AN$85</c:f>
              <c:numCache>
                <c:formatCode>General</c:formatCode>
                <c:ptCount val="12"/>
                <c:pt idx="0">
                  <c:v>0</c:v>
                </c:pt>
                <c:pt idx="1">
                  <c:v>2.5593749999999997</c:v>
                </c:pt>
                <c:pt idx="2">
                  <c:v>10.549999999999999</c:v>
                </c:pt>
                <c:pt idx="3">
                  <c:v>24.099374999999998</c:v>
                </c:pt>
                <c:pt idx="4">
                  <c:v>43.326666666666661</c:v>
                </c:pt>
                <c:pt idx="5">
                  <c:v>175.32666666666665</c:v>
                </c:pt>
                <c:pt idx="6">
                  <c:v>395.32666666666665</c:v>
                </c:pt>
                <c:pt idx="7">
                  <c:v>703.3266666666666</c:v>
                </c:pt>
                <c:pt idx="8">
                  <c:v>1034.3166666666664</c:v>
                </c:pt>
                <c:pt idx="9">
                  <c:v>1099.3266666666666</c:v>
                </c:pt>
                <c:pt idx="10">
                  <c:v>1583.3266666666666</c:v>
                </c:pt>
                <c:pt idx="11">
                  <c:v>1858.3266666666666</c:v>
                </c:pt>
              </c:numCache>
            </c:numRef>
          </c:yVal>
          <c:smooth val="1"/>
        </c:ser>
        <c:ser>
          <c:idx val="16"/>
          <c:order val="16"/>
          <c:tx>
            <c:strRef>
              <c:f>Tools!$DC$78</c:f>
              <c:strCache>
                <c:ptCount val="1"/>
                <c:pt idx="0">
                  <c:v>STN 14</c:v>
                </c:pt>
              </c:strCache>
            </c:strRef>
          </c:tx>
          <c:spPr>
            <a:ln w="3175">
              <a:solidFill>
                <a:schemeClr val="tx2">
                  <a:lumMod val="60000"/>
                  <a:lumOff val="40000"/>
                </a:schemeClr>
              </a:solidFill>
            </a:ln>
          </c:spPr>
          <c:marker>
            <c:symbol val="none"/>
          </c:marker>
          <c:xVal>
            <c:numRef>
              <c:f>Tools!$AC$69:$AN$69</c:f>
              <c:numCache>
                <c:formatCode>General</c:formatCode>
                <c:ptCount val="12"/>
                <c:pt idx="0">
                  <c:v>0</c:v>
                </c:pt>
                <c:pt idx="1">
                  <c:v>0.25</c:v>
                </c:pt>
                <c:pt idx="2">
                  <c:v>0.5</c:v>
                </c:pt>
                <c:pt idx="3">
                  <c:v>0.75</c:v>
                </c:pt>
                <c:pt idx="4">
                  <c:v>1</c:v>
                </c:pt>
                <c:pt idx="5">
                  <c:v>2</c:v>
                </c:pt>
                <c:pt idx="6">
                  <c:v>3</c:v>
                </c:pt>
                <c:pt idx="7">
                  <c:v>4</c:v>
                </c:pt>
                <c:pt idx="8">
                  <c:v>4.8499999999999996</c:v>
                </c:pt>
                <c:pt idx="9">
                  <c:v>5</c:v>
                </c:pt>
                <c:pt idx="10">
                  <c:v>6</c:v>
                </c:pt>
                <c:pt idx="11">
                  <c:v>6.5</c:v>
                </c:pt>
              </c:numCache>
            </c:numRef>
          </c:xVal>
          <c:yVal>
            <c:numRef>
              <c:f>Tools!$AC$86:$AN$86</c:f>
              <c:numCache>
                <c:formatCode>General</c:formatCode>
                <c:ptCount val="12"/>
                <c:pt idx="0">
                  <c:v>0</c:v>
                </c:pt>
                <c:pt idx="1">
                  <c:v>2.5216666666666665</c:v>
                </c:pt>
                <c:pt idx="2">
                  <c:v>10.433333333333334</c:v>
                </c:pt>
                <c:pt idx="3">
                  <c:v>23.889999999999993</c:v>
                </c:pt>
                <c:pt idx="4">
                  <c:v>43.06</c:v>
                </c:pt>
                <c:pt idx="5">
                  <c:v>175.06</c:v>
                </c:pt>
                <c:pt idx="6">
                  <c:v>395.06</c:v>
                </c:pt>
                <c:pt idx="7">
                  <c:v>703.06</c:v>
                </c:pt>
                <c:pt idx="8">
                  <c:v>1034.0499999999997</c:v>
                </c:pt>
                <c:pt idx="9">
                  <c:v>1099.06</c:v>
                </c:pt>
                <c:pt idx="10">
                  <c:v>1583.06</c:v>
                </c:pt>
                <c:pt idx="11">
                  <c:v>1858.06</c:v>
                </c:pt>
              </c:numCache>
            </c:numRef>
          </c:yVal>
          <c:smooth val="1"/>
        </c:ser>
        <c:ser>
          <c:idx val="17"/>
          <c:order val="17"/>
          <c:tx>
            <c:strRef>
              <c:f>Tools!$DC$79</c:f>
              <c:strCache>
                <c:ptCount val="1"/>
                <c:pt idx="0">
                  <c:v>STN 15</c:v>
                </c:pt>
              </c:strCache>
            </c:strRef>
          </c:tx>
          <c:spPr>
            <a:ln w="3175">
              <a:solidFill>
                <a:srgbClr val="00B050"/>
              </a:solidFill>
            </a:ln>
          </c:spPr>
          <c:marker>
            <c:symbol val="none"/>
          </c:marker>
          <c:xVal>
            <c:numRef>
              <c:f>Tools!$AC$69:$AN$69</c:f>
              <c:numCache>
                <c:formatCode>General</c:formatCode>
                <c:ptCount val="12"/>
                <c:pt idx="0">
                  <c:v>0</c:v>
                </c:pt>
                <c:pt idx="1">
                  <c:v>0.25</c:v>
                </c:pt>
                <c:pt idx="2">
                  <c:v>0.5</c:v>
                </c:pt>
                <c:pt idx="3">
                  <c:v>0.75</c:v>
                </c:pt>
                <c:pt idx="4">
                  <c:v>1</c:v>
                </c:pt>
                <c:pt idx="5">
                  <c:v>2</c:v>
                </c:pt>
                <c:pt idx="6">
                  <c:v>3</c:v>
                </c:pt>
                <c:pt idx="7">
                  <c:v>4</c:v>
                </c:pt>
                <c:pt idx="8">
                  <c:v>4.8499999999999996</c:v>
                </c:pt>
                <c:pt idx="9">
                  <c:v>5</c:v>
                </c:pt>
                <c:pt idx="10">
                  <c:v>6</c:v>
                </c:pt>
                <c:pt idx="11">
                  <c:v>6.5</c:v>
                </c:pt>
              </c:numCache>
            </c:numRef>
          </c:xVal>
          <c:yVal>
            <c:numRef>
              <c:f>Tools!$AC$87:$AN$87</c:f>
              <c:numCache>
                <c:formatCode>General</c:formatCode>
                <c:ptCount val="12"/>
                <c:pt idx="0">
                  <c:v>0</c:v>
                </c:pt>
                <c:pt idx="1">
                  <c:v>2.3770833333333332</c:v>
                </c:pt>
                <c:pt idx="2">
                  <c:v>9.9066666666666663</c:v>
                </c:pt>
                <c:pt idx="3">
                  <c:v>22.853749999999998</c:v>
                </c:pt>
                <c:pt idx="4">
                  <c:v>41.44</c:v>
                </c:pt>
                <c:pt idx="5">
                  <c:v>172.14</c:v>
                </c:pt>
                <c:pt idx="6">
                  <c:v>392.63999999999993</c:v>
                </c:pt>
                <c:pt idx="7">
                  <c:v>700.14</c:v>
                </c:pt>
                <c:pt idx="8">
                  <c:v>1031.1299999999999</c:v>
                </c:pt>
                <c:pt idx="9">
                  <c:v>1096.6399999999999</c:v>
                </c:pt>
                <c:pt idx="10">
                  <c:v>1580.1399999999999</c:v>
                </c:pt>
                <c:pt idx="11">
                  <c:v>1855.1399999999999</c:v>
                </c:pt>
              </c:numCache>
            </c:numRef>
          </c:yVal>
          <c:smooth val="1"/>
        </c:ser>
        <c:ser>
          <c:idx val="18"/>
          <c:order val="18"/>
          <c:tx>
            <c:strRef>
              <c:f>Tools!$DC$80</c:f>
              <c:strCache>
                <c:ptCount val="1"/>
                <c:pt idx="0">
                  <c:v>STN 16</c:v>
                </c:pt>
              </c:strCache>
            </c:strRef>
          </c:tx>
          <c:spPr>
            <a:ln w="3175">
              <a:solidFill>
                <a:schemeClr val="accent6">
                  <a:lumMod val="75000"/>
                </a:schemeClr>
              </a:solidFill>
            </a:ln>
          </c:spPr>
          <c:marker>
            <c:symbol val="none"/>
          </c:marker>
          <c:xVal>
            <c:numRef>
              <c:f>Tools!$AC$69:$AN$69</c:f>
              <c:numCache>
                <c:formatCode>General</c:formatCode>
                <c:ptCount val="12"/>
                <c:pt idx="0">
                  <c:v>0</c:v>
                </c:pt>
                <c:pt idx="1">
                  <c:v>0.25</c:v>
                </c:pt>
                <c:pt idx="2">
                  <c:v>0.5</c:v>
                </c:pt>
                <c:pt idx="3">
                  <c:v>0.75</c:v>
                </c:pt>
                <c:pt idx="4">
                  <c:v>1</c:v>
                </c:pt>
                <c:pt idx="5">
                  <c:v>2</c:v>
                </c:pt>
                <c:pt idx="6">
                  <c:v>3</c:v>
                </c:pt>
                <c:pt idx="7">
                  <c:v>4</c:v>
                </c:pt>
                <c:pt idx="8">
                  <c:v>4.8499999999999996</c:v>
                </c:pt>
                <c:pt idx="9">
                  <c:v>5</c:v>
                </c:pt>
                <c:pt idx="10">
                  <c:v>6</c:v>
                </c:pt>
                <c:pt idx="11">
                  <c:v>6.5</c:v>
                </c:pt>
              </c:numCache>
            </c:numRef>
          </c:xVal>
          <c:yVal>
            <c:numRef>
              <c:f>Tools!$AC$88:$AN$88</c:f>
              <c:numCache>
                <c:formatCode>General</c:formatCode>
                <c:ptCount val="12"/>
                <c:pt idx="0">
                  <c:v>0</c:v>
                </c:pt>
                <c:pt idx="1">
                  <c:v>2.0818750000000001</c:v>
                </c:pt>
                <c:pt idx="2">
                  <c:v>8.85</c:v>
                </c:pt>
                <c:pt idx="3">
                  <c:v>20.711874999999999</c:v>
                </c:pt>
                <c:pt idx="4">
                  <c:v>37.866666666666667</c:v>
                </c:pt>
                <c:pt idx="5">
                  <c:v>161.11000000000001</c:v>
                </c:pt>
                <c:pt idx="6">
                  <c:v>373.89333333333332</c:v>
                </c:pt>
                <c:pt idx="7">
                  <c:v>674.70999999999992</c:v>
                </c:pt>
                <c:pt idx="8">
                  <c:v>1001.0793999999997</c:v>
                </c:pt>
                <c:pt idx="9">
                  <c:v>1065.6266666666666</c:v>
                </c:pt>
                <c:pt idx="10">
                  <c:v>1547.2433333333333</c:v>
                </c:pt>
                <c:pt idx="11">
                  <c:v>1822.2433333333333</c:v>
                </c:pt>
              </c:numCache>
            </c:numRef>
          </c:yVal>
          <c:smooth val="1"/>
        </c:ser>
        <c:ser>
          <c:idx val="19"/>
          <c:order val="19"/>
          <c:tx>
            <c:strRef>
              <c:f>Tools!$DC$81</c:f>
              <c:strCache>
                <c:ptCount val="1"/>
                <c:pt idx="0">
                  <c:v>STN 17</c:v>
                </c:pt>
              </c:strCache>
            </c:strRef>
          </c:tx>
          <c:spPr>
            <a:ln w="3175">
              <a:solidFill>
                <a:srgbClr val="7030A0"/>
              </a:solidFill>
            </a:ln>
          </c:spPr>
          <c:marker>
            <c:symbol val="none"/>
          </c:marker>
          <c:xVal>
            <c:numRef>
              <c:f>Tools!$AC$69:$AN$69</c:f>
              <c:numCache>
                <c:formatCode>General</c:formatCode>
                <c:ptCount val="12"/>
                <c:pt idx="0">
                  <c:v>0</c:v>
                </c:pt>
                <c:pt idx="1">
                  <c:v>0.25</c:v>
                </c:pt>
                <c:pt idx="2">
                  <c:v>0.5</c:v>
                </c:pt>
                <c:pt idx="3">
                  <c:v>0.75</c:v>
                </c:pt>
                <c:pt idx="4">
                  <c:v>1</c:v>
                </c:pt>
                <c:pt idx="5">
                  <c:v>2</c:v>
                </c:pt>
                <c:pt idx="6">
                  <c:v>3</c:v>
                </c:pt>
                <c:pt idx="7">
                  <c:v>4</c:v>
                </c:pt>
                <c:pt idx="8">
                  <c:v>4.8499999999999996</c:v>
                </c:pt>
                <c:pt idx="9">
                  <c:v>5</c:v>
                </c:pt>
                <c:pt idx="10">
                  <c:v>6</c:v>
                </c:pt>
                <c:pt idx="11">
                  <c:v>6.5</c:v>
                </c:pt>
              </c:numCache>
            </c:numRef>
          </c:xVal>
          <c:yVal>
            <c:numRef>
              <c:f>Tools!$AC$89:$AN$89</c:f>
              <c:numCache>
                <c:formatCode>General</c:formatCode>
                <c:ptCount val="12"/>
                <c:pt idx="0">
                  <c:v>0</c:v>
                </c:pt>
                <c:pt idx="1">
                  <c:v>1.6279166666666662</c:v>
                </c:pt>
                <c:pt idx="2">
                  <c:v>7.1133333333333333</c:v>
                </c:pt>
                <c:pt idx="3">
                  <c:v>16.876249999999995</c:v>
                </c:pt>
                <c:pt idx="4">
                  <c:v>31.326666666666664</c:v>
                </c:pt>
                <c:pt idx="5">
                  <c:v>138.89666666666665</c:v>
                </c:pt>
                <c:pt idx="6">
                  <c:v>330.12666666666667</c:v>
                </c:pt>
                <c:pt idx="7">
                  <c:v>605.24333333333334</c:v>
                </c:pt>
                <c:pt idx="8">
                  <c:v>909.56883333333315</c:v>
                </c:pt>
                <c:pt idx="9">
                  <c:v>970.81999999999994</c:v>
                </c:pt>
                <c:pt idx="10">
                  <c:v>1427.5366666666666</c:v>
                </c:pt>
                <c:pt idx="11">
                  <c:v>1691.5566666666666</c:v>
                </c:pt>
              </c:numCache>
            </c:numRef>
          </c:yVal>
          <c:smooth val="1"/>
        </c:ser>
        <c:ser>
          <c:idx val="20"/>
          <c:order val="20"/>
          <c:tx>
            <c:strRef>
              <c:f>Tools!$DC$82</c:f>
              <c:strCache>
                <c:ptCount val="1"/>
                <c:pt idx="0">
                  <c:v>STN 18</c:v>
                </c:pt>
              </c:strCache>
            </c:strRef>
          </c:tx>
          <c:spPr>
            <a:ln w="3175">
              <a:solidFill>
                <a:schemeClr val="tx1"/>
              </a:solidFill>
            </a:ln>
          </c:spPr>
          <c:marker>
            <c:symbol val="none"/>
          </c:marker>
          <c:xVal>
            <c:numRef>
              <c:f>Tools!$AC$69:$AN$69</c:f>
              <c:numCache>
                <c:formatCode>General</c:formatCode>
                <c:ptCount val="12"/>
                <c:pt idx="0">
                  <c:v>0</c:v>
                </c:pt>
                <c:pt idx="1">
                  <c:v>0.25</c:v>
                </c:pt>
                <c:pt idx="2">
                  <c:v>0.5</c:v>
                </c:pt>
                <c:pt idx="3">
                  <c:v>0.75</c:v>
                </c:pt>
                <c:pt idx="4">
                  <c:v>1</c:v>
                </c:pt>
                <c:pt idx="5">
                  <c:v>2</c:v>
                </c:pt>
                <c:pt idx="6">
                  <c:v>3</c:v>
                </c:pt>
                <c:pt idx="7">
                  <c:v>4</c:v>
                </c:pt>
                <c:pt idx="8">
                  <c:v>4.8499999999999996</c:v>
                </c:pt>
                <c:pt idx="9">
                  <c:v>5</c:v>
                </c:pt>
                <c:pt idx="10">
                  <c:v>6</c:v>
                </c:pt>
                <c:pt idx="11">
                  <c:v>6.5</c:v>
                </c:pt>
              </c:numCache>
            </c:numRef>
          </c:xVal>
          <c:yVal>
            <c:numRef>
              <c:f>Tools!$AC$90:$AN$90</c:f>
              <c:numCache>
                <c:formatCode>General</c:formatCode>
                <c:ptCount val="12"/>
                <c:pt idx="0">
                  <c:v>0</c:v>
                </c:pt>
                <c:pt idx="1">
                  <c:v>1.0760416666666666</c:v>
                </c:pt>
                <c:pt idx="2">
                  <c:v>4.8833333333333329</c:v>
                </c:pt>
                <c:pt idx="3">
                  <c:v>11.919375</c:v>
                </c:pt>
                <c:pt idx="4">
                  <c:v>22.546666666666667</c:v>
                </c:pt>
                <c:pt idx="5">
                  <c:v>103.24666666666666</c:v>
                </c:pt>
                <c:pt idx="6">
                  <c:v>250.70666666666665</c:v>
                </c:pt>
                <c:pt idx="7">
                  <c:v>467.82479999999998</c:v>
                </c:pt>
                <c:pt idx="8">
                  <c:v>712.96512866666649</c:v>
                </c:pt>
                <c:pt idx="9">
                  <c:v>761.97919999999999</c:v>
                </c:pt>
                <c:pt idx="10">
                  <c:v>1144.7229333333332</c:v>
                </c:pt>
                <c:pt idx="11">
                  <c:v>1370.7629333333332</c:v>
                </c:pt>
              </c:numCache>
            </c:numRef>
          </c:yVal>
          <c:smooth val="1"/>
        </c:ser>
        <c:ser>
          <c:idx val="21"/>
          <c:order val="21"/>
          <c:tx>
            <c:strRef>
              <c:f>Tools!$DC$83</c:f>
              <c:strCache>
                <c:ptCount val="1"/>
                <c:pt idx="0">
                  <c:v>STN 18.5</c:v>
                </c:pt>
              </c:strCache>
            </c:strRef>
          </c:tx>
          <c:spPr>
            <a:ln w="3175">
              <a:solidFill>
                <a:schemeClr val="accent2">
                  <a:lumMod val="75000"/>
                </a:schemeClr>
              </a:solidFill>
            </a:ln>
          </c:spPr>
          <c:marker>
            <c:symbol val="none"/>
          </c:marker>
          <c:xVal>
            <c:numRef>
              <c:f>Tools!$AC$69:$AN$69</c:f>
              <c:numCache>
                <c:formatCode>General</c:formatCode>
                <c:ptCount val="12"/>
                <c:pt idx="0">
                  <c:v>0</c:v>
                </c:pt>
                <c:pt idx="1">
                  <c:v>0.25</c:v>
                </c:pt>
                <c:pt idx="2">
                  <c:v>0.5</c:v>
                </c:pt>
                <c:pt idx="3">
                  <c:v>0.75</c:v>
                </c:pt>
                <c:pt idx="4">
                  <c:v>1</c:v>
                </c:pt>
                <c:pt idx="5">
                  <c:v>2</c:v>
                </c:pt>
                <c:pt idx="6">
                  <c:v>3</c:v>
                </c:pt>
                <c:pt idx="7">
                  <c:v>4</c:v>
                </c:pt>
                <c:pt idx="8">
                  <c:v>4.8499999999999996</c:v>
                </c:pt>
                <c:pt idx="9">
                  <c:v>5</c:v>
                </c:pt>
                <c:pt idx="10">
                  <c:v>6</c:v>
                </c:pt>
                <c:pt idx="11">
                  <c:v>6.5</c:v>
                </c:pt>
              </c:numCache>
            </c:numRef>
          </c:xVal>
          <c:yVal>
            <c:numRef>
              <c:f>Tools!$AC$91:$AN$91</c:f>
              <c:numCache>
                <c:formatCode>General</c:formatCode>
                <c:ptCount val="12"/>
                <c:pt idx="0">
                  <c:v>0</c:v>
                </c:pt>
                <c:pt idx="1">
                  <c:v>0.7722916666666666</c:v>
                </c:pt>
                <c:pt idx="2">
                  <c:v>3.6633333333333331</c:v>
                </c:pt>
                <c:pt idx="3">
                  <c:v>9.1406249999999982</c:v>
                </c:pt>
                <c:pt idx="4">
                  <c:v>17.473333333333333</c:v>
                </c:pt>
                <c:pt idx="5">
                  <c:v>81.493333333333325</c:v>
                </c:pt>
                <c:pt idx="6">
                  <c:v>199.0733333333333</c:v>
                </c:pt>
                <c:pt idx="7">
                  <c:v>373.28</c:v>
                </c:pt>
                <c:pt idx="8">
                  <c:v>572.23156666666659</c:v>
                </c:pt>
                <c:pt idx="9">
                  <c:v>612.24666666666656</c:v>
                </c:pt>
                <c:pt idx="10">
                  <c:v>929.97333333333324</c:v>
                </c:pt>
                <c:pt idx="11">
                  <c:v>1121.2733333333333</c:v>
                </c:pt>
              </c:numCache>
            </c:numRef>
          </c:yVal>
          <c:smooth val="1"/>
        </c:ser>
        <c:ser>
          <c:idx val="22"/>
          <c:order val="22"/>
          <c:tx>
            <c:strRef>
              <c:f>Tools!$DC$84</c:f>
              <c:strCache>
                <c:ptCount val="1"/>
                <c:pt idx="0">
                  <c:v>STN 19</c:v>
                </c:pt>
              </c:strCache>
            </c:strRef>
          </c:tx>
          <c:spPr>
            <a:ln w="3175">
              <a:solidFill>
                <a:srgbClr val="FF0000"/>
              </a:solidFill>
            </a:ln>
          </c:spPr>
          <c:marker>
            <c:symbol val="none"/>
          </c:marker>
          <c:xVal>
            <c:numRef>
              <c:f>Tools!$AC$69:$AN$69</c:f>
              <c:numCache>
                <c:formatCode>General</c:formatCode>
                <c:ptCount val="12"/>
                <c:pt idx="0">
                  <c:v>0</c:v>
                </c:pt>
                <c:pt idx="1">
                  <c:v>0.25</c:v>
                </c:pt>
                <c:pt idx="2">
                  <c:v>0.5</c:v>
                </c:pt>
                <c:pt idx="3">
                  <c:v>0.75</c:v>
                </c:pt>
                <c:pt idx="4">
                  <c:v>1</c:v>
                </c:pt>
                <c:pt idx="5">
                  <c:v>2</c:v>
                </c:pt>
                <c:pt idx="6">
                  <c:v>3</c:v>
                </c:pt>
                <c:pt idx="7">
                  <c:v>4</c:v>
                </c:pt>
                <c:pt idx="8">
                  <c:v>4.8499999999999996</c:v>
                </c:pt>
                <c:pt idx="9">
                  <c:v>5</c:v>
                </c:pt>
                <c:pt idx="10">
                  <c:v>6</c:v>
                </c:pt>
                <c:pt idx="11">
                  <c:v>6.5</c:v>
                </c:pt>
              </c:numCache>
            </c:numRef>
          </c:xVal>
          <c:yVal>
            <c:numRef>
              <c:f>Tools!$AC$92:$AN$92</c:f>
              <c:numCache>
                <c:formatCode>General</c:formatCode>
                <c:ptCount val="12"/>
                <c:pt idx="0">
                  <c:v>0</c:v>
                </c:pt>
                <c:pt idx="1">
                  <c:v>0.50124999999999997</c:v>
                </c:pt>
                <c:pt idx="2">
                  <c:v>2.4799999999999995</c:v>
                </c:pt>
                <c:pt idx="3">
                  <c:v>6.2962499999999988</c:v>
                </c:pt>
                <c:pt idx="4">
                  <c:v>12.279999999999998</c:v>
                </c:pt>
                <c:pt idx="5">
                  <c:v>58.966666666666654</c:v>
                </c:pt>
                <c:pt idx="6">
                  <c:v>143.21333333333334</c:v>
                </c:pt>
                <c:pt idx="7">
                  <c:v>263.92666666666662</c:v>
                </c:pt>
                <c:pt idx="8">
                  <c:v>404.63963333333322</c:v>
                </c:pt>
                <c:pt idx="9">
                  <c:v>433.64</c:v>
                </c:pt>
                <c:pt idx="10">
                  <c:v>664.51333333333321</c:v>
                </c:pt>
                <c:pt idx="11">
                  <c:v>808.69666666666649</c:v>
                </c:pt>
              </c:numCache>
            </c:numRef>
          </c:yVal>
          <c:smooth val="1"/>
        </c:ser>
        <c:ser>
          <c:idx val="23"/>
          <c:order val="23"/>
          <c:tx>
            <c:strRef>
              <c:f>Tools!$DC$85</c:f>
              <c:strCache>
                <c:ptCount val="1"/>
                <c:pt idx="0">
                  <c:v>STN 19.5</c:v>
                </c:pt>
              </c:strCache>
            </c:strRef>
          </c:tx>
          <c:spPr>
            <a:ln w="3175">
              <a:solidFill>
                <a:schemeClr val="tx2"/>
              </a:solidFill>
            </a:ln>
          </c:spPr>
          <c:marker>
            <c:symbol val="none"/>
          </c:marker>
          <c:xVal>
            <c:numRef>
              <c:f>Tools!$AC$69:$AN$69</c:f>
              <c:numCache>
                <c:formatCode>General</c:formatCode>
                <c:ptCount val="12"/>
                <c:pt idx="0">
                  <c:v>0</c:v>
                </c:pt>
                <c:pt idx="1">
                  <c:v>0.25</c:v>
                </c:pt>
                <c:pt idx="2">
                  <c:v>0.5</c:v>
                </c:pt>
                <c:pt idx="3">
                  <c:v>0.75</c:v>
                </c:pt>
                <c:pt idx="4">
                  <c:v>1</c:v>
                </c:pt>
                <c:pt idx="5">
                  <c:v>2</c:v>
                </c:pt>
                <c:pt idx="6">
                  <c:v>3</c:v>
                </c:pt>
                <c:pt idx="7">
                  <c:v>4</c:v>
                </c:pt>
                <c:pt idx="8">
                  <c:v>4.8499999999999996</c:v>
                </c:pt>
                <c:pt idx="9">
                  <c:v>5</c:v>
                </c:pt>
                <c:pt idx="10">
                  <c:v>6</c:v>
                </c:pt>
                <c:pt idx="11">
                  <c:v>6.5</c:v>
                </c:pt>
              </c:numCache>
            </c:numRef>
          </c:xVal>
          <c:yVal>
            <c:numRef>
              <c:f>Tools!$AC$93:$AN$93</c:f>
              <c:numCache>
                <c:formatCode>General</c:formatCode>
                <c:ptCount val="12"/>
                <c:pt idx="0">
                  <c:v>0</c:v>
                </c:pt>
                <c:pt idx="1">
                  <c:v>0.24187500000000001</c:v>
                </c:pt>
                <c:pt idx="2">
                  <c:v>1.3699999999999997</c:v>
                </c:pt>
                <c:pt idx="3">
                  <c:v>3.7068749999999997</c:v>
                </c:pt>
                <c:pt idx="4">
                  <c:v>7.5</c:v>
                </c:pt>
                <c:pt idx="5">
                  <c:v>37.836666666666659</c:v>
                </c:pt>
                <c:pt idx="6">
                  <c:v>88.75333333333333</c:v>
                </c:pt>
                <c:pt idx="7">
                  <c:v>152.02333333333331</c:v>
                </c:pt>
                <c:pt idx="8">
                  <c:v>222.3653666666666</c:v>
                </c:pt>
                <c:pt idx="9">
                  <c:v>237.07599999999999</c:v>
                </c:pt>
                <c:pt idx="10">
                  <c:v>360.19399999999996</c:v>
                </c:pt>
                <c:pt idx="11">
                  <c:v>445.51733333333328</c:v>
                </c:pt>
              </c:numCache>
            </c:numRef>
          </c:yVal>
          <c:smooth val="1"/>
        </c:ser>
        <c:ser>
          <c:idx val="24"/>
          <c:order val="24"/>
          <c:tx>
            <c:strRef>
              <c:f>Tools!$DC$86</c:f>
              <c:strCache>
                <c:ptCount val="1"/>
                <c:pt idx="0">
                  <c:v>STN 20</c:v>
                </c:pt>
              </c:strCache>
            </c:strRef>
          </c:tx>
          <c:spPr>
            <a:ln w="3175">
              <a:solidFill>
                <a:srgbClr val="00B0F0"/>
              </a:solidFill>
            </a:ln>
          </c:spPr>
          <c:marker>
            <c:symbol val="none"/>
          </c:marker>
          <c:xVal>
            <c:numRef>
              <c:f>Tools!$AC$69:$AN$69</c:f>
              <c:numCache>
                <c:formatCode>General</c:formatCode>
                <c:ptCount val="12"/>
                <c:pt idx="0">
                  <c:v>0</c:v>
                </c:pt>
                <c:pt idx="1">
                  <c:v>0.25</c:v>
                </c:pt>
                <c:pt idx="2">
                  <c:v>0.5</c:v>
                </c:pt>
                <c:pt idx="3">
                  <c:v>0.75</c:v>
                </c:pt>
                <c:pt idx="4">
                  <c:v>1</c:v>
                </c:pt>
                <c:pt idx="5">
                  <c:v>2</c:v>
                </c:pt>
                <c:pt idx="6">
                  <c:v>3</c:v>
                </c:pt>
                <c:pt idx="7">
                  <c:v>4</c:v>
                </c:pt>
                <c:pt idx="8">
                  <c:v>4.8499999999999996</c:v>
                </c:pt>
                <c:pt idx="9">
                  <c:v>5</c:v>
                </c:pt>
                <c:pt idx="10">
                  <c:v>6</c:v>
                </c:pt>
                <c:pt idx="11">
                  <c:v>6.5</c:v>
                </c:pt>
              </c:numCache>
            </c:numRef>
          </c:xVal>
          <c:yVal>
            <c:numRef>
              <c:f>Tools!$AC$94:$AN$94</c:f>
              <c:numCache>
                <c:formatCode>General</c:formatCode>
                <c:ptCount val="12"/>
                <c:pt idx="0">
                  <c:v>0</c:v>
                </c:pt>
                <c:pt idx="1">
                  <c:v>0.14791666666666667</c:v>
                </c:pt>
                <c:pt idx="2">
                  <c:v>0.93333333333333324</c:v>
                </c:pt>
                <c:pt idx="3">
                  <c:v>2.5962499999999999</c:v>
                </c:pt>
                <c:pt idx="4">
                  <c:v>5.2133333333333329</c:v>
                </c:pt>
                <c:pt idx="5">
                  <c:v>21.049999999999997</c:v>
                </c:pt>
                <c:pt idx="6">
                  <c:v>37.186666666666667</c:v>
                </c:pt>
                <c:pt idx="7">
                  <c:v>43.876666666666665</c:v>
                </c:pt>
                <c:pt idx="8">
                  <c:v>45.041733333333333</c:v>
                </c:pt>
                <c:pt idx="9">
                  <c:v>45</c:v>
                </c:pt>
                <c:pt idx="10">
                  <c:v>59.129999999999995</c:v>
                </c:pt>
                <c:pt idx="11">
                  <c:v>89.643333333333317</c:v>
                </c:pt>
              </c:numCache>
            </c:numRef>
          </c:yVal>
          <c:smooth val="1"/>
        </c:ser>
        <c:dLbls>
          <c:showLegendKey val="0"/>
          <c:showVal val="0"/>
          <c:showCatName val="0"/>
          <c:showSerName val="0"/>
          <c:showPercent val="0"/>
          <c:showBubbleSize val="0"/>
        </c:dLbls>
        <c:axId val="990104960"/>
        <c:axId val="990106752"/>
      </c:scatterChart>
      <c:valAx>
        <c:axId val="990104960"/>
        <c:scaling>
          <c:orientation val="minMax"/>
        </c:scaling>
        <c:delete val="0"/>
        <c:axPos val="b"/>
        <c:numFmt formatCode="General" sourceLinked="1"/>
        <c:majorTickMark val="out"/>
        <c:minorTickMark val="none"/>
        <c:tickLblPos val="nextTo"/>
        <c:crossAx val="990106752"/>
        <c:crosses val="autoZero"/>
        <c:crossBetween val="midCat"/>
      </c:valAx>
      <c:valAx>
        <c:axId val="990106752"/>
        <c:scaling>
          <c:orientation val="minMax"/>
          <c:min val="0"/>
        </c:scaling>
        <c:delete val="0"/>
        <c:axPos val="l"/>
        <c:majorGridlines>
          <c:spPr>
            <a:ln>
              <a:solidFill>
                <a:schemeClr val="tx1">
                  <a:alpha val="10000"/>
                </a:schemeClr>
              </a:solidFill>
            </a:ln>
          </c:spPr>
        </c:majorGridlines>
        <c:numFmt formatCode="General" sourceLinked="1"/>
        <c:majorTickMark val="out"/>
        <c:minorTickMark val="none"/>
        <c:tickLblPos val="nextTo"/>
        <c:crossAx val="990104960"/>
        <c:crosses val="autoZero"/>
        <c:crossBetween val="midCat"/>
      </c:valAx>
    </c:plotArea>
    <c:legend>
      <c:legendPos val="r"/>
      <c:layout>
        <c:manualLayout>
          <c:xMode val="edge"/>
          <c:yMode val="edge"/>
          <c:x val="0.89155818460347191"/>
          <c:y val="3.1393557623478889E-2"/>
          <c:w val="9.9394965178531039E-2"/>
          <c:h val="0.94442510140777858"/>
        </c:manualLayout>
      </c:layout>
      <c:overlay val="0"/>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I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3.2805996392929297E-2"/>
          <c:y val="0.14690772508605254"/>
          <c:w val="0.83944443639751942"/>
          <c:h val="0.7565033495065755"/>
        </c:manualLayout>
      </c:layout>
      <c:scatterChart>
        <c:scatterStyle val="smoothMarker"/>
        <c:varyColors val="0"/>
        <c:ser>
          <c:idx val="0"/>
          <c:order val="0"/>
          <c:tx>
            <c:strRef>
              <c:f>Tools!$AC$69</c:f>
              <c:strCache>
                <c:ptCount val="1"/>
                <c:pt idx="0">
                  <c:v>0</c:v>
                </c:pt>
              </c:strCache>
            </c:strRef>
          </c:tx>
          <c:marker>
            <c:symbol val="none"/>
          </c:marker>
          <c:xVal>
            <c:numRef>
              <c:f>Tools!$AB$70:$AB$94</c:f>
              <c:numCache>
                <c:formatCode>General</c:formatCode>
                <c:ptCount val="25"/>
                <c:pt idx="0">
                  <c:v>0</c:v>
                </c:pt>
                <c:pt idx="1">
                  <c:v>0.5</c:v>
                </c:pt>
                <c:pt idx="2">
                  <c:v>1</c:v>
                </c:pt>
                <c:pt idx="3">
                  <c:v>1.5</c:v>
                </c:pt>
                <c:pt idx="4">
                  <c:v>2</c:v>
                </c:pt>
                <c:pt idx="5">
                  <c:v>3</c:v>
                </c:pt>
                <c:pt idx="6">
                  <c:v>4</c:v>
                </c:pt>
                <c:pt idx="7">
                  <c:v>5</c:v>
                </c:pt>
                <c:pt idx="8">
                  <c:v>6</c:v>
                </c:pt>
                <c:pt idx="9">
                  <c:v>7</c:v>
                </c:pt>
                <c:pt idx="10">
                  <c:v>8</c:v>
                </c:pt>
                <c:pt idx="11">
                  <c:v>9</c:v>
                </c:pt>
                <c:pt idx="12">
                  <c:v>10</c:v>
                </c:pt>
                <c:pt idx="13">
                  <c:v>11</c:v>
                </c:pt>
                <c:pt idx="14">
                  <c:v>12</c:v>
                </c:pt>
                <c:pt idx="15">
                  <c:v>13</c:v>
                </c:pt>
                <c:pt idx="16">
                  <c:v>14</c:v>
                </c:pt>
                <c:pt idx="17">
                  <c:v>15</c:v>
                </c:pt>
                <c:pt idx="18">
                  <c:v>16</c:v>
                </c:pt>
                <c:pt idx="19">
                  <c:v>17</c:v>
                </c:pt>
                <c:pt idx="20">
                  <c:v>18</c:v>
                </c:pt>
                <c:pt idx="21">
                  <c:v>18.5</c:v>
                </c:pt>
                <c:pt idx="22">
                  <c:v>19</c:v>
                </c:pt>
                <c:pt idx="23">
                  <c:v>19.5</c:v>
                </c:pt>
                <c:pt idx="24">
                  <c:v>20</c:v>
                </c:pt>
              </c:numCache>
            </c:numRef>
          </c:xVal>
          <c:yVal>
            <c:numRef>
              <c:f>Tools!$AC$70:$AC$94</c:f>
              <c:numCache>
                <c:formatCode>General</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yVal>
          <c:smooth val="1"/>
        </c:ser>
        <c:ser>
          <c:idx val="1"/>
          <c:order val="1"/>
          <c:tx>
            <c:strRef>
              <c:f>Tools!$AD$69</c:f>
              <c:strCache>
                <c:ptCount val="1"/>
                <c:pt idx="0">
                  <c:v>0.25</c:v>
                </c:pt>
              </c:strCache>
            </c:strRef>
          </c:tx>
          <c:marker>
            <c:symbol val="none"/>
          </c:marker>
          <c:xVal>
            <c:numRef>
              <c:f>Tools!$AB$70:$AB$94</c:f>
              <c:numCache>
                <c:formatCode>General</c:formatCode>
                <c:ptCount val="25"/>
                <c:pt idx="0">
                  <c:v>0</c:v>
                </c:pt>
                <c:pt idx="1">
                  <c:v>0.5</c:v>
                </c:pt>
                <c:pt idx="2">
                  <c:v>1</c:v>
                </c:pt>
                <c:pt idx="3">
                  <c:v>1.5</c:v>
                </c:pt>
                <c:pt idx="4">
                  <c:v>2</c:v>
                </c:pt>
                <c:pt idx="5">
                  <c:v>3</c:v>
                </c:pt>
                <c:pt idx="6">
                  <c:v>4</c:v>
                </c:pt>
                <c:pt idx="7">
                  <c:v>5</c:v>
                </c:pt>
                <c:pt idx="8">
                  <c:v>6</c:v>
                </c:pt>
                <c:pt idx="9">
                  <c:v>7</c:v>
                </c:pt>
                <c:pt idx="10">
                  <c:v>8</c:v>
                </c:pt>
                <c:pt idx="11">
                  <c:v>9</c:v>
                </c:pt>
                <c:pt idx="12">
                  <c:v>10</c:v>
                </c:pt>
                <c:pt idx="13">
                  <c:v>11</c:v>
                </c:pt>
                <c:pt idx="14">
                  <c:v>12</c:v>
                </c:pt>
                <c:pt idx="15">
                  <c:v>13</c:v>
                </c:pt>
                <c:pt idx="16">
                  <c:v>14</c:v>
                </c:pt>
                <c:pt idx="17">
                  <c:v>15</c:v>
                </c:pt>
                <c:pt idx="18">
                  <c:v>16</c:v>
                </c:pt>
                <c:pt idx="19">
                  <c:v>17</c:v>
                </c:pt>
                <c:pt idx="20">
                  <c:v>18</c:v>
                </c:pt>
                <c:pt idx="21">
                  <c:v>18.5</c:v>
                </c:pt>
                <c:pt idx="22">
                  <c:v>19</c:v>
                </c:pt>
                <c:pt idx="23">
                  <c:v>19.5</c:v>
                </c:pt>
                <c:pt idx="24">
                  <c:v>20</c:v>
                </c:pt>
              </c:numCache>
            </c:numRef>
          </c:xVal>
          <c:yVal>
            <c:numRef>
              <c:f>Tools!$AD$70:$AD$94</c:f>
              <c:numCache>
                <c:formatCode>General</c:formatCode>
                <c:ptCount val="25"/>
                <c:pt idx="0">
                  <c:v>0</c:v>
                </c:pt>
                <c:pt idx="1">
                  <c:v>4.374999999999999E-2</c:v>
                </c:pt>
                <c:pt idx="2">
                  <c:v>0.10875000000000001</c:v>
                </c:pt>
                <c:pt idx="3">
                  <c:v>0.20937500000000001</c:v>
                </c:pt>
                <c:pt idx="4">
                  <c:v>0.34291666666666665</c:v>
                </c:pt>
                <c:pt idx="5">
                  <c:v>0.72354166666666642</c:v>
                </c:pt>
                <c:pt idx="6">
                  <c:v>1.2174999999999998</c:v>
                </c:pt>
                <c:pt idx="7">
                  <c:v>1.7120833333333332</c:v>
                </c:pt>
                <c:pt idx="8">
                  <c:v>2.15</c:v>
                </c:pt>
                <c:pt idx="9">
                  <c:v>2.395833333333333</c:v>
                </c:pt>
                <c:pt idx="10">
                  <c:v>2.5235416666666666</c:v>
                </c:pt>
                <c:pt idx="11">
                  <c:v>2.5593749999999997</c:v>
                </c:pt>
                <c:pt idx="12">
                  <c:v>2.5593749999999997</c:v>
                </c:pt>
                <c:pt idx="13">
                  <c:v>2.5593749999999997</c:v>
                </c:pt>
                <c:pt idx="14">
                  <c:v>2.5593749999999997</c:v>
                </c:pt>
                <c:pt idx="15">
                  <c:v>2.5593749999999997</c:v>
                </c:pt>
                <c:pt idx="16">
                  <c:v>2.5216666666666665</c:v>
                </c:pt>
                <c:pt idx="17">
                  <c:v>2.3770833333333332</c:v>
                </c:pt>
                <c:pt idx="18">
                  <c:v>2.0818750000000001</c:v>
                </c:pt>
                <c:pt idx="19">
                  <c:v>1.6279166666666662</c:v>
                </c:pt>
                <c:pt idx="20">
                  <c:v>1.0760416666666666</c:v>
                </c:pt>
                <c:pt idx="21">
                  <c:v>0.7722916666666666</c:v>
                </c:pt>
                <c:pt idx="22">
                  <c:v>0.50124999999999997</c:v>
                </c:pt>
                <c:pt idx="23">
                  <c:v>0.24187500000000001</c:v>
                </c:pt>
                <c:pt idx="24">
                  <c:v>0.14791666666666667</c:v>
                </c:pt>
              </c:numCache>
            </c:numRef>
          </c:yVal>
          <c:smooth val="1"/>
        </c:ser>
        <c:ser>
          <c:idx val="2"/>
          <c:order val="2"/>
          <c:tx>
            <c:strRef>
              <c:f>Tools!$AE$69</c:f>
              <c:strCache>
                <c:ptCount val="1"/>
                <c:pt idx="0">
                  <c:v>0.5</c:v>
                </c:pt>
              </c:strCache>
            </c:strRef>
          </c:tx>
          <c:marker>
            <c:symbol val="none"/>
          </c:marker>
          <c:xVal>
            <c:numRef>
              <c:f>Tools!$AB$70:$AB$94</c:f>
              <c:numCache>
                <c:formatCode>General</c:formatCode>
                <c:ptCount val="25"/>
                <c:pt idx="0">
                  <c:v>0</c:v>
                </c:pt>
                <c:pt idx="1">
                  <c:v>0.5</c:v>
                </c:pt>
                <c:pt idx="2">
                  <c:v>1</c:v>
                </c:pt>
                <c:pt idx="3">
                  <c:v>1.5</c:v>
                </c:pt>
                <c:pt idx="4">
                  <c:v>2</c:v>
                </c:pt>
                <c:pt idx="5">
                  <c:v>3</c:v>
                </c:pt>
                <c:pt idx="6">
                  <c:v>4</c:v>
                </c:pt>
                <c:pt idx="7">
                  <c:v>5</c:v>
                </c:pt>
                <c:pt idx="8">
                  <c:v>6</c:v>
                </c:pt>
                <c:pt idx="9">
                  <c:v>7</c:v>
                </c:pt>
                <c:pt idx="10">
                  <c:v>8</c:v>
                </c:pt>
                <c:pt idx="11">
                  <c:v>9</c:v>
                </c:pt>
                <c:pt idx="12">
                  <c:v>10</c:v>
                </c:pt>
                <c:pt idx="13">
                  <c:v>11</c:v>
                </c:pt>
                <c:pt idx="14">
                  <c:v>12</c:v>
                </c:pt>
                <c:pt idx="15">
                  <c:v>13</c:v>
                </c:pt>
                <c:pt idx="16">
                  <c:v>14</c:v>
                </c:pt>
                <c:pt idx="17">
                  <c:v>15</c:v>
                </c:pt>
                <c:pt idx="18">
                  <c:v>16</c:v>
                </c:pt>
                <c:pt idx="19">
                  <c:v>17</c:v>
                </c:pt>
                <c:pt idx="20">
                  <c:v>18</c:v>
                </c:pt>
                <c:pt idx="21">
                  <c:v>18.5</c:v>
                </c:pt>
                <c:pt idx="22">
                  <c:v>19</c:v>
                </c:pt>
                <c:pt idx="23">
                  <c:v>19.5</c:v>
                </c:pt>
                <c:pt idx="24">
                  <c:v>20</c:v>
                </c:pt>
              </c:numCache>
            </c:numRef>
          </c:xVal>
          <c:yVal>
            <c:numRef>
              <c:f>Tools!$AE$70:$AE$94</c:f>
              <c:numCache>
                <c:formatCode>General</c:formatCode>
                <c:ptCount val="25"/>
                <c:pt idx="0">
                  <c:v>0</c:v>
                </c:pt>
                <c:pt idx="1">
                  <c:v>0.2</c:v>
                </c:pt>
                <c:pt idx="2">
                  <c:v>0.56000000000000005</c:v>
                </c:pt>
                <c:pt idx="3">
                  <c:v>1.1099999999999999</c:v>
                </c:pt>
                <c:pt idx="4">
                  <c:v>1.7733333333333334</c:v>
                </c:pt>
                <c:pt idx="5">
                  <c:v>3.6033333333333326</c:v>
                </c:pt>
                <c:pt idx="6">
                  <c:v>5.6400000000000006</c:v>
                </c:pt>
                <c:pt idx="7">
                  <c:v>7.5466666666666669</c:v>
                </c:pt>
                <c:pt idx="8">
                  <c:v>9.1</c:v>
                </c:pt>
                <c:pt idx="9">
                  <c:v>9.9866666666666664</c:v>
                </c:pt>
                <c:pt idx="10">
                  <c:v>10.443333333333332</c:v>
                </c:pt>
                <c:pt idx="11">
                  <c:v>10.549999999999999</c:v>
                </c:pt>
                <c:pt idx="12">
                  <c:v>10.549999999999999</c:v>
                </c:pt>
                <c:pt idx="13">
                  <c:v>10.549999999999999</c:v>
                </c:pt>
                <c:pt idx="14">
                  <c:v>10.549999999999999</c:v>
                </c:pt>
                <c:pt idx="15">
                  <c:v>10.549999999999999</c:v>
                </c:pt>
                <c:pt idx="16">
                  <c:v>10.433333333333334</c:v>
                </c:pt>
                <c:pt idx="17">
                  <c:v>9.9066666666666663</c:v>
                </c:pt>
                <c:pt idx="18">
                  <c:v>8.85</c:v>
                </c:pt>
                <c:pt idx="19">
                  <c:v>7.1133333333333333</c:v>
                </c:pt>
                <c:pt idx="20">
                  <c:v>4.8833333333333329</c:v>
                </c:pt>
                <c:pt idx="21">
                  <c:v>3.6633333333333331</c:v>
                </c:pt>
                <c:pt idx="22">
                  <c:v>2.4799999999999995</c:v>
                </c:pt>
                <c:pt idx="23">
                  <c:v>1.3699999999999997</c:v>
                </c:pt>
                <c:pt idx="24">
                  <c:v>0.93333333333333324</c:v>
                </c:pt>
              </c:numCache>
            </c:numRef>
          </c:yVal>
          <c:smooth val="1"/>
        </c:ser>
        <c:ser>
          <c:idx val="3"/>
          <c:order val="3"/>
          <c:tx>
            <c:strRef>
              <c:f>Tools!$AF$69</c:f>
              <c:strCache>
                <c:ptCount val="1"/>
                <c:pt idx="0">
                  <c:v>0.75</c:v>
                </c:pt>
              </c:strCache>
            </c:strRef>
          </c:tx>
          <c:marker>
            <c:symbol val="none"/>
          </c:marker>
          <c:xVal>
            <c:numRef>
              <c:f>Tools!$AB$70:$AB$94</c:f>
              <c:numCache>
                <c:formatCode>General</c:formatCode>
                <c:ptCount val="25"/>
                <c:pt idx="0">
                  <c:v>0</c:v>
                </c:pt>
                <c:pt idx="1">
                  <c:v>0.5</c:v>
                </c:pt>
                <c:pt idx="2">
                  <c:v>1</c:v>
                </c:pt>
                <c:pt idx="3">
                  <c:v>1.5</c:v>
                </c:pt>
                <c:pt idx="4">
                  <c:v>2</c:v>
                </c:pt>
                <c:pt idx="5">
                  <c:v>3</c:v>
                </c:pt>
                <c:pt idx="6">
                  <c:v>4</c:v>
                </c:pt>
                <c:pt idx="7">
                  <c:v>5</c:v>
                </c:pt>
                <c:pt idx="8">
                  <c:v>6</c:v>
                </c:pt>
                <c:pt idx="9">
                  <c:v>7</c:v>
                </c:pt>
                <c:pt idx="10">
                  <c:v>8</c:v>
                </c:pt>
                <c:pt idx="11">
                  <c:v>9</c:v>
                </c:pt>
                <c:pt idx="12">
                  <c:v>10</c:v>
                </c:pt>
                <c:pt idx="13">
                  <c:v>11</c:v>
                </c:pt>
                <c:pt idx="14">
                  <c:v>12</c:v>
                </c:pt>
                <c:pt idx="15">
                  <c:v>13</c:v>
                </c:pt>
                <c:pt idx="16">
                  <c:v>14</c:v>
                </c:pt>
                <c:pt idx="17">
                  <c:v>15</c:v>
                </c:pt>
                <c:pt idx="18">
                  <c:v>16</c:v>
                </c:pt>
                <c:pt idx="19">
                  <c:v>17</c:v>
                </c:pt>
                <c:pt idx="20">
                  <c:v>18</c:v>
                </c:pt>
                <c:pt idx="21">
                  <c:v>18.5</c:v>
                </c:pt>
                <c:pt idx="22">
                  <c:v>19</c:v>
                </c:pt>
                <c:pt idx="23">
                  <c:v>19.5</c:v>
                </c:pt>
                <c:pt idx="24">
                  <c:v>20</c:v>
                </c:pt>
              </c:numCache>
            </c:numRef>
          </c:xVal>
          <c:yVal>
            <c:numRef>
              <c:f>Tools!$AF$70:$AF$94</c:f>
              <c:numCache>
                <c:formatCode>General</c:formatCode>
                <c:ptCount val="25"/>
                <c:pt idx="0">
                  <c:v>0</c:v>
                </c:pt>
                <c:pt idx="1">
                  <c:v>0.44875000000000004</c:v>
                </c:pt>
                <c:pt idx="2">
                  <c:v>1.5137499999999999</c:v>
                </c:pt>
                <c:pt idx="3">
                  <c:v>2.9993750000000001</c:v>
                </c:pt>
                <c:pt idx="4">
                  <c:v>4.7562499999999996</c:v>
                </c:pt>
                <c:pt idx="5">
                  <c:v>9.1968749999999986</c:v>
                </c:pt>
                <c:pt idx="6">
                  <c:v>13.8675</c:v>
                </c:pt>
                <c:pt idx="7">
                  <c:v>18.098749999999995</c:v>
                </c:pt>
                <c:pt idx="8">
                  <c:v>21.269999999999996</c:v>
                </c:pt>
                <c:pt idx="9">
                  <c:v>23.067499999999999</c:v>
                </c:pt>
                <c:pt idx="10">
                  <c:v>23.921874999999996</c:v>
                </c:pt>
                <c:pt idx="11">
                  <c:v>24.099374999999998</c:v>
                </c:pt>
                <c:pt idx="12">
                  <c:v>24.099374999999998</c:v>
                </c:pt>
                <c:pt idx="13">
                  <c:v>24.099374999999998</c:v>
                </c:pt>
                <c:pt idx="14">
                  <c:v>24.099374999999998</c:v>
                </c:pt>
                <c:pt idx="15">
                  <c:v>24.099374999999998</c:v>
                </c:pt>
                <c:pt idx="16">
                  <c:v>23.889999999999993</c:v>
                </c:pt>
                <c:pt idx="17">
                  <c:v>22.853749999999998</c:v>
                </c:pt>
                <c:pt idx="18">
                  <c:v>20.711874999999999</c:v>
                </c:pt>
                <c:pt idx="19">
                  <c:v>16.876249999999995</c:v>
                </c:pt>
                <c:pt idx="20">
                  <c:v>11.919375</c:v>
                </c:pt>
                <c:pt idx="21">
                  <c:v>9.1406249999999982</c:v>
                </c:pt>
                <c:pt idx="22">
                  <c:v>6.2962499999999988</c:v>
                </c:pt>
                <c:pt idx="23">
                  <c:v>3.7068749999999997</c:v>
                </c:pt>
                <c:pt idx="24">
                  <c:v>2.5962499999999999</c:v>
                </c:pt>
              </c:numCache>
            </c:numRef>
          </c:yVal>
          <c:smooth val="1"/>
        </c:ser>
        <c:ser>
          <c:idx val="4"/>
          <c:order val="4"/>
          <c:tx>
            <c:strRef>
              <c:f>Tools!$AG$69</c:f>
              <c:strCache>
                <c:ptCount val="1"/>
                <c:pt idx="0">
                  <c:v>1</c:v>
                </c:pt>
              </c:strCache>
            </c:strRef>
          </c:tx>
          <c:marker>
            <c:symbol val="none"/>
          </c:marker>
          <c:xVal>
            <c:numRef>
              <c:f>Tools!$AB$70:$AB$94</c:f>
              <c:numCache>
                <c:formatCode>General</c:formatCode>
                <c:ptCount val="25"/>
                <c:pt idx="0">
                  <c:v>0</c:v>
                </c:pt>
                <c:pt idx="1">
                  <c:v>0.5</c:v>
                </c:pt>
                <c:pt idx="2">
                  <c:v>1</c:v>
                </c:pt>
                <c:pt idx="3">
                  <c:v>1.5</c:v>
                </c:pt>
                <c:pt idx="4">
                  <c:v>2</c:v>
                </c:pt>
                <c:pt idx="5">
                  <c:v>3</c:v>
                </c:pt>
                <c:pt idx="6">
                  <c:v>4</c:v>
                </c:pt>
                <c:pt idx="7">
                  <c:v>5</c:v>
                </c:pt>
                <c:pt idx="8">
                  <c:v>6</c:v>
                </c:pt>
                <c:pt idx="9">
                  <c:v>7</c:v>
                </c:pt>
                <c:pt idx="10">
                  <c:v>8</c:v>
                </c:pt>
                <c:pt idx="11">
                  <c:v>9</c:v>
                </c:pt>
                <c:pt idx="12">
                  <c:v>10</c:v>
                </c:pt>
                <c:pt idx="13">
                  <c:v>11</c:v>
                </c:pt>
                <c:pt idx="14">
                  <c:v>12</c:v>
                </c:pt>
                <c:pt idx="15">
                  <c:v>13</c:v>
                </c:pt>
                <c:pt idx="16">
                  <c:v>14</c:v>
                </c:pt>
                <c:pt idx="17">
                  <c:v>15</c:v>
                </c:pt>
                <c:pt idx="18">
                  <c:v>16</c:v>
                </c:pt>
                <c:pt idx="19">
                  <c:v>17</c:v>
                </c:pt>
                <c:pt idx="20">
                  <c:v>18</c:v>
                </c:pt>
                <c:pt idx="21">
                  <c:v>18.5</c:v>
                </c:pt>
                <c:pt idx="22">
                  <c:v>19</c:v>
                </c:pt>
                <c:pt idx="23">
                  <c:v>19.5</c:v>
                </c:pt>
                <c:pt idx="24">
                  <c:v>20</c:v>
                </c:pt>
              </c:numCache>
            </c:numRef>
          </c:xVal>
          <c:yVal>
            <c:numRef>
              <c:f>Tools!$AG$70:$AG$94</c:f>
              <c:numCache>
                <c:formatCode>General</c:formatCode>
                <c:ptCount val="25"/>
                <c:pt idx="0">
                  <c:v>0</c:v>
                </c:pt>
                <c:pt idx="1">
                  <c:v>0.85333333333333328</c:v>
                </c:pt>
                <c:pt idx="2">
                  <c:v>3.0999999999999996</c:v>
                </c:pt>
                <c:pt idx="3">
                  <c:v>6.1199999999999992</c:v>
                </c:pt>
                <c:pt idx="4">
                  <c:v>9.6199999999999992</c:v>
                </c:pt>
                <c:pt idx="5">
                  <c:v>17.866666666666667</c:v>
                </c:pt>
                <c:pt idx="6">
                  <c:v>26.246666666666666</c:v>
                </c:pt>
                <c:pt idx="7">
                  <c:v>33.699999999999996</c:v>
                </c:pt>
                <c:pt idx="8">
                  <c:v>38.946666666666665</c:v>
                </c:pt>
                <c:pt idx="9">
                  <c:v>41.82</c:v>
                </c:pt>
                <c:pt idx="10">
                  <c:v>43.133333333333326</c:v>
                </c:pt>
                <c:pt idx="11">
                  <c:v>43.326666666666661</c:v>
                </c:pt>
                <c:pt idx="12">
                  <c:v>43.326666666666661</c:v>
                </c:pt>
                <c:pt idx="13">
                  <c:v>43.326666666666661</c:v>
                </c:pt>
                <c:pt idx="14">
                  <c:v>43.326666666666661</c:v>
                </c:pt>
                <c:pt idx="15">
                  <c:v>43.326666666666661</c:v>
                </c:pt>
                <c:pt idx="16">
                  <c:v>43.06</c:v>
                </c:pt>
                <c:pt idx="17">
                  <c:v>41.44</c:v>
                </c:pt>
                <c:pt idx="18">
                  <c:v>37.866666666666667</c:v>
                </c:pt>
                <c:pt idx="19">
                  <c:v>31.326666666666664</c:v>
                </c:pt>
                <c:pt idx="20">
                  <c:v>22.546666666666667</c:v>
                </c:pt>
                <c:pt idx="21">
                  <c:v>17.473333333333333</c:v>
                </c:pt>
                <c:pt idx="22">
                  <c:v>12.279999999999998</c:v>
                </c:pt>
                <c:pt idx="23">
                  <c:v>7.5</c:v>
                </c:pt>
                <c:pt idx="24">
                  <c:v>5.2133333333333329</c:v>
                </c:pt>
              </c:numCache>
            </c:numRef>
          </c:yVal>
          <c:smooth val="1"/>
        </c:ser>
        <c:ser>
          <c:idx val="5"/>
          <c:order val="5"/>
          <c:tx>
            <c:strRef>
              <c:f>Tools!$AH$69</c:f>
              <c:strCache>
                <c:ptCount val="1"/>
                <c:pt idx="0">
                  <c:v>2</c:v>
                </c:pt>
              </c:strCache>
            </c:strRef>
          </c:tx>
          <c:marker>
            <c:symbol val="none"/>
          </c:marker>
          <c:xVal>
            <c:numRef>
              <c:f>Tools!$AB$70:$AB$94</c:f>
              <c:numCache>
                <c:formatCode>General</c:formatCode>
                <c:ptCount val="25"/>
                <c:pt idx="0">
                  <c:v>0</c:v>
                </c:pt>
                <c:pt idx="1">
                  <c:v>0.5</c:v>
                </c:pt>
                <c:pt idx="2">
                  <c:v>1</c:v>
                </c:pt>
                <c:pt idx="3">
                  <c:v>1.5</c:v>
                </c:pt>
                <c:pt idx="4">
                  <c:v>2</c:v>
                </c:pt>
                <c:pt idx="5">
                  <c:v>3</c:v>
                </c:pt>
                <c:pt idx="6">
                  <c:v>4</c:v>
                </c:pt>
                <c:pt idx="7">
                  <c:v>5</c:v>
                </c:pt>
                <c:pt idx="8">
                  <c:v>6</c:v>
                </c:pt>
                <c:pt idx="9">
                  <c:v>7</c:v>
                </c:pt>
                <c:pt idx="10">
                  <c:v>8</c:v>
                </c:pt>
                <c:pt idx="11">
                  <c:v>9</c:v>
                </c:pt>
                <c:pt idx="12">
                  <c:v>10</c:v>
                </c:pt>
                <c:pt idx="13">
                  <c:v>11</c:v>
                </c:pt>
                <c:pt idx="14">
                  <c:v>12</c:v>
                </c:pt>
                <c:pt idx="15">
                  <c:v>13</c:v>
                </c:pt>
                <c:pt idx="16">
                  <c:v>14</c:v>
                </c:pt>
                <c:pt idx="17">
                  <c:v>15</c:v>
                </c:pt>
                <c:pt idx="18">
                  <c:v>16</c:v>
                </c:pt>
                <c:pt idx="19">
                  <c:v>17</c:v>
                </c:pt>
                <c:pt idx="20">
                  <c:v>18</c:v>
                </c:pt>
                <c:pt idx="21">
                  <c:v>18.5</c:v>
                </c:pt>
                <c:pt idx="22">
                  <c:v>19</c:v>
                </c:pt>
                <c:pt idx="23">
                  <c:v>19.5</c:v>
                </c:pt>
                <c:pt idx="24">
                  <c:v>20</c:v>
                </c:pt>
              </c:numCache>
            </c:numRef>
          </c:xVal>
          <c:yVal>
            <c:numRef>
              <c:f>Tools!$AH$70:$AH$94</c:f>
              <c:numCache>
                <c:formatCode>General</c:formatCode>
                <c:ptCount val="25"/>
                <c:pt idx="0">
                  <c:v>0</c:v>
                </c:pt>
                <c:pt idx="1">
                  <c:v>4.1366666666666667</c:v>
                </c:pt>
                <c:pt idx="2">
                  <c:v>17.556666666666665</c:v>
                </c:pt>
                <c:pt idx="3">
                  <c:v>34.803333333333327</c:v>
                </c:pt>
                <c:pt idx="4">
                  <c:v>53.176666666666662</c:v>
                </c:pt>
                <c:pt idx="5">
                  <c:v>90.22999999999999</c:v>
                </c:pt>
                <c:pt idx="6">
                  <c:v>123.00666666666666</c:v>
                </c:pt>
                <c:pt idx="7">
                  <c:v>148.93666666666664</c:v>
                </c:pt>
                <c:pt idx="8">
                  <c:v>165.84666666666666</c:v>
                </c:pt>
                <c:pt idx="9">
                  <c:v>172.95333333333332</c:v>
                </c:pt>
                <c:pt idx="10">
                  <c:v>175.13333333333333</c:v>
                </c:pt>
                <c:pt idx="11">
                  <c:v>175.32666666666665</c:v>
                </c:pt>
                <c:pt idx="12">
                  <c:v>175.32666666666665</c:v>
                </c:pt>
                <c:pt idx="13">
                  <c:v>175.32666666666665</c:v>
                </c:pt>
                <c:pt idx="14">
                  <c:v>175.32666666666665</c:v>
                </c:pt>
                <c:pt idx="15">
                  <c:v>175.32666666666665</c:v>
                </c:pt>
                <c:pt idx="16">
                  <c:v>175.06</c:v>
                </c:pt>
                <c:pt idx="17">
                  <c:v>172.14</c:v>
                </c:pt>
                <c:pt idx="18">
                  <c:v>161.11000000000001</c:v>
                </c:pt>
                <c:pt idx="19">
                  <c:v>138.89666666666665</c:v>
                </c:pt>
                <c:pt idx="20">
                  <c:v>103.24666666666666</c:v>
                </c:pt>
                <c:pt idx="21">
                  <c:v>81.493333333333325</c:v>
                </c:pt>
                <c:pt idx="22">
                  <c:v>58.966666666666654</c:v>
                </c:pt>
                <c:pt idx="23">
                  <c:v>37.836666666666659</c:v>
                </c:pt>
                <c:pt idx="24">
                  <c:v>21.049999999999997</c:v>
                </c:pt>
              </c:numCache>
            </c:numRef>
          </c:yVal>
          <c:smooth val="1"/>
        </c:ser>
        <c:ser>
          <c:idx val="6"/>
          <c:order val="6"/>
          <c:tx>
            <c:strRef>
              <c:f>Tools!$AI$69</c:f>
              <c:strCache>
                <c:ptCount val="1"/>
                <c:pt idx="0">
                  <c:v>3</c:v>
                </c:pt>
              </c:strCache>
            </c:strRef>
          </c:tx>
          <c:marker>
            <c:symbol val="none"/>
          </c:marker>
          <c:xVal>
            <c:numRef>
              <c:f>Tools!$AB$70:$AB$94</c:f>
              <c:numCache>
                <c:formatCode>General</c:formatCode>
                <c:ptCount val="25"/>
                <c:pt idx="0">
                  <c:v>0</c:v>
                </c:pt>
                <c:pt idx="1">
                  <c:v>0.5</c:v>
                </c:pt>
                <c:pt idx="2">
                  <c:v>1</c:v>
                </c:pt>
                <c:pt idx="3">
                  <c:v>1.5</c:v>
                </c:pt>
                <c:pt idx="4">
                  <c:v>2</c:v>
                </c:pt>
                <c:pt idx="5">
                  <c:v>3</c:v>
                </c:pt>
                <c:pt idx="6">
                  <c:v>4</c:v>
                </c:pt>
                <c:pt idx="7">
                  <c:v>5</c:v>
                </c:pt>
                <c:pt idx="8">
                  <c:v>6</c:v>
                </c:pt>
                <c:pt idx="9">
                  <c:v>7</c:v>
                </c:pt>
                <c:pt idx="10">
                  <c:v>8</c:v>
                </c:pt>
                <c:pt idx="11">
                  <c:v>9</c:v>
                </c:pt>
                <c:pt idx="12">
                  <c:v>10</c:v>
                </c:pt>
                <c:pt idx="13">
                  <c:v>11</c:v>
                </c:pt>
                <c:pt idx="14">
                  <c:v>12</c:v>
                </c:pt>
                <c:pt idx="15">
                  <c:v>13</c:v>
                </c:pt>
                <c:pt idx="16">
                  <c:v>14</c:v>
                </c:pt>
                <c:pt idx="17">
                  <c:v>15</c:v>
                </c:pt>
                <c:pt idx="18">
                  <c:v>16</c:v>
                </c:pt>
                <c:pt idx="19">
                  <c:v>17</c:v>
                </c:pt>
                <c:pt idx="20">
                  <c:v>18</c:v>
                </c:pt>
                <c:pt idx="21">
                  <c:v>18.5</c:v>
                </c:pt>
                <c:pt idx="22">
                  <c:v>19</c:v>
                </c:pt>
                <c:pt idx="23">
                  <c:v>19.5</c:v>
                </c:pt>
                <c:pt idx="24">
                  <c:v>20</c:v>
                </c:pt>
              </c:numCache>
            </c:numRef>
          </c:xVal>
          <c:yVal>
            <c:numRef>
              <c:f>Tools!$AI$70:$AI$94</c:f>
              <c:numCache>
                <c:formatCode>General</c:formatCode>
                <c:ptCount val="25"/>
                <c:pt idx="0">
                  <c:v>0</c:v>
                </c:pt>
                <c:pt idx="1">
                  <c:v>13.84</c:v>
                </c:pt>
                <c:pt idx="2">
                  <c:v>54.593333333333341</c:v>
                </c:pt>
                <c:pt idx="3">
                  <c:v>101.98666666666668</c:v>
                </c:pt>
                <c:pt idx="4">
                  <c:v>148.63333333333333</c:v>
                </c:pt>
                <c:pt idx="5">
                  <c:v>235.9733333333333</c:v>
                </c:pt>
                <c:pt idx="6">
                  <c:v>304.96666666666664</c:v>
                </c:pt>
                <c:pt idx="7">
                  <c:v>352.55333333333328</c:v>
                </c:pt>
                <c:pt idx="8">
                  <c:v>383.74666666666667</c:v>
                </c:pt>
                <c:pt idx="9">
                  <c:v>393.28666666666669</c:v>
                </c:pt>
                <c:pt idx="10">
                  <c:v>395.13333333333333</c:v>
                </c:pt>
                <c:pt idx="11">
                  <c:v>395.32666666666665</c:v>
                </c:pt>
                <c:pt idx="12">
                  <c:v>395.32666666666665</c:v>
                </c:pt>
                <c:pt idx="13">
                  <c:v>395.32666666666665</c:v>
                </c:pt>
                <c:pt idx="14">
                  <c:v>395.32666666666665</c:v>
                </c:pt>
                <c:pt idx="15">
                  <c:v>395.32666666666665</c:v>
                </c:pt>
                <c:pt idx="16">
                  <c:v>395.06</c:v>
                </c:pt>
                <c:pt idx="17">
                  <c:v>392.63999999999993</c:v>
                </c:pt>
                <c:pt idx="18">
                  <c:v>373.89333333333332</c:v>
                </c:pt>
                <c:pt idx="19">
                  <c:v>330.12666666666667</c:v>
                </c:pt>
                <c:pt idx="20">
                  <c:v>250.70666666666665</c:v>
                </c:pt>
                <c:pt idx="21">
                  <c:v>199.0733333333333</c:v>
                </c:pt>
                <c:pt idx="22">
                  <c:v>143.21333333333334</c:v>
                </c:pt>
                <c:pt idx="23">
                  <c:v>88.75333333333333</c:v>
                </c:pt>
                <c:pt idx="24">
                  <c:v>37.186666666666667</c:v>
                </c:pt>
              </c:numCache>
            </c:numRef>
          </c:yVal>
          <c:smooth val="1"/>
        </c:ser>
        <c:ser>
          <c:idx val="7"/>
          <c:order val="7"/>
          <c:tx>
            <c:strRef>
              <c:f>Tools!$AJ$69</c:f>
              <c:strCache>
                <c:ptCount val="1"/>
                <c:pt idx="0">
                  <c:v>4</c:v>
                </c:pt>
              </c:strCache>
            </c:strRef>
          </c:tx>
          <c:marker>
            <c:symbol val="none"/>
          </c:marker>
          <c:xVal>
            <c:numRef>
              <c:f>Tools!$AB$70:$AB$94</c:f>
              <c:numCache>
                <c:formatCode>General</c:formatCode>
                <c:ptCount val="25"/>
                <c:pt idx="0">
                  <c:v>0</c:v>
                </c:pt>
                <c:pt idx="1">
                  <c:v>0.5</c:v>
                </c:pt>
                <c:pt idx="2">
                  <c:v>1</c:v>
                </c:pt>
                <c:pt idx="3">
                  <c:v>1.5</c:v>
                </c:pt>
                <c:pt idx="4">
                  <c:v>2</c:v>
                </c:pt>
                <c:pt idx="5">
                  <c:v>3</c:v>
                </c:pt>
                <c:pt idx="6">
                  <c:v>4</c:v>
                </c:pt>
                <c:pt idx="7">
                  <c:v>5</c:v>
                </c:pt>
                <c:pt idx="8">
                  <c:v>6</c:v>
                </c:pt>
                <c:pt idx="9">
                  <c:v>7</c:v>
                </c:pt>
                <c:pt idx="10">
                  <c:v>8</c:v>
                </c:pt>
                <c:pt idx="11">
                  <c:v>9</c:v>
                </c:pt>
                <c:pt idx="12">
                  <c:v>10</c:v>
                </c:pt>
                <c:pt idx="13">
                  <c:v>11</c:v>
                </c:pt>
                <c:pt idx="14">
                  <c:v>12</c:v>
                </c:pt>
                <c:pt idx="15">
                  <c:v>13</c:v>
                </c:pt>
                <c:pt idx="16">
                  <c:v>14</c:v>
                </c:pt>
                <c:pt idx="17">
                  <c:v>15</c:v>
                </c:pt>
                <c:pt idx="18">
                  <c:v>16</c:v>
                </c:pt>
                <c:pt idx="19">
                  <c:v>17</c:v>
                </c:pt>
                <c:pt idx="20">
                  <c:v>18</c:v>
                </c:pt>
                <c:pt idx="21">
                  <c:v>18.5</c:v>
                </c:pt>
                <c:pt idx="22">
                  <c:v>19</c:v>
                </c:pt>
                <c:pt idx="23">
                  <c:v>19.5</c:v>
                </c:pt>
                <c:pt idx="24">
                  <c:v>20</c:v>
                </c:pt>
              </c:numCache>
            </c:numRef>
          </c:xVal>
          <c:yVal>
            <c:numRef>
              <c:f>Tools!$AJ$70:$AJ$94</c:f>
              <c:numCache>
                <c:formatCode>General</c:formatCode>
                <c:ptCount val="25"/>
                <c:pt idx="0">
                  <c:v>6.8999999999999995</c:v>
                </c:pt>
                <c:pt idx="1">
                  <c:v>52.936666666666667</c:v>
                </c:pt>
                <c:pt idx="2">
                  <c:v>140.64999999999998</c:v>
                </c:pt>
                <c:pt idx="3">
                  <c:v>231.97666666666663</c:v>
                </c:pt>
                <c:pt idx="4">
                  <c:v>315.84333333333331</c:v>
                </c:pt>
                <c:pt idx="5">
                  <c:v>466.39</c:v>
                </c:pt>
                <c:pt idx="6">
                  <c:v>579.05999999999995</c:v>
                </c:pt>
                <c:pt idx="7">
                  <c:v>644.45666666666659</c:v>
                </c:pt>
                <c:pt idx="8">
                  <c:v>689.58</c:v>
                </c:pt>
                <c:pt idx="9">
                  <c:v>700.95333333333338</c:v>
                </c:pt>
                <c:pt idx="10">
                  <c:v>703.13333333333333</c:v>
                </c:pt>
                <c:pt idx="11">
                  <c:v>703.3266666666666</c:v>
                </c:pt>
                <c:pt idx="12">
                  <c:v>703.3266666666666</c:v>
                </c:pt>
                <c:pt idx="13">
                  <c:v>703.3266666666666</c:v>
                </c:pt>
                <c:pt idx="14">
                  <c:v>703.3266666666666</c:v>
                </c:pt>
                <c:pt idx="15">
                  <c:v>703.3266666666666</c:v>
                </c:pt>
                <c:pt idx="16">
                  <c:v>703.06</c:v>
                </c:pt>
                <c:pt idx="17">
                  <c:v>700.14</c:v>
                </c:pt>
                <c:pt idx="18">
                  <c:v>674.70999999999992</c:v>
                </c:pt>
                <c:pt idx="19">
                  <c:v>605.24333333333334</c:v>
                </c:pt>
                <c:pt idx="20">
                  <c:v>467.82479999999998</c:v>
                </c:pt>
                <c:pt idx="21">
                  <c:v>373.28</c:v>
                </c:pt>
                <c:pt idx="22">
                  <c:v>263.92666666666662</c:v>
                </c:pt>
                <c:pt idx="23">
                  <c:v>152.02333333333331</c:v>
                </c:pt>
                <c:pt idx="24">
                  <c:v>43.876666666666665</c:v>
                </c:pt>
              </c:numCache>
            </c:numRef>
          </c:yVal>
          <c:smooth val="1"/>
        </c:ser>
        <c:ser>
          <c:idx val="8"/>
          <c:order val="8"/>
          <c:tx>
            <c:strRef>
              <c:f>Tools!$AK$69</c:f>
              <c:strCache>
                <c:ptCount val="1"/>
                <c:pt idx="0">
                  <c:v>4.85</c:v>
                </c:pt>
              </c:strCache>
            </c:strRef>
          </c:tx>
          <c:marker>
            <c:symbol val="none"/>
          </c:marker>
          <c:xVal>
            <c:numRef>
              <c:f>Tools!$AB$70:$AB$94</c:f>
              <c:numCache>
                <c:formatCode>General</c:formatCode>
                <c:ptCount val="25"/>
                <c:pt idx="0">
                  <c:v>0</c:v>
                </c:pt>
                <c:pt idx="1">
                  <c:v>0.5</c:v>
                </c:pt>
                <c:pt idx="2">
                  <c:v>1</c:v>
                </c:pt>
                <c:pt idx="3">
                  <c:v>1.5</c:v>
                </c:pt>
                <c:pt idx="4">
                  <c:v>2</c:v>
                </c:pt>
                <c:pt idx="5">
                  <c:v>3</c:v>
                </c:pt>
                <c:pt idx="6">
                  <c:v>4</c:v>
                </c:pt>
                <c:pt idx="7">
                  <c:v>5</c:v>
                </c:pt>
                <c:pt idx="8">
                  <c:v>6</c:v>
                </c:pt>
                <c:pt idx="9">
                  <c:v>7</c:v>
                </c:pt>
                <c:pt idx="10">
                  <c:v>8</c:v>
                </c:pt>
                <c:pt idx="11">
                  <c:v>9</c:v>
                </c:pt>
                <c:pt idx="12">
                  <c:v>10</c:v>
                </c:pt>
                <c:pt idx="13">
                  <c:v>11</c:v>
                </c:pt>
                <c:pt idx="14">
                  <c:v>12</c:v>
                </c:pt>
                <c:pt idx="15">
                  <c:v>13</c:v>
                </c:pt>
                <c:pt idx="16">
                  <c:v>14</c:v>
                </c:pt>
                <c:pt idx="17">
                  <c:v>15</c:v>
                </c:pt>
                <c:pt idx="18">
                  <c:v>16</c:v>
                </c:pt>
                <c:pt idx="19">
                  <c:v>17</c:v>
                </c:pt>
                <c:pt idx="20">
                  <c:v>18</c:v>
                </c:pt>
                <c:pt idx="21">
                  <c:v>18.5</c:v>
                </c:pt>
                <c:pt idx="22">
                  <c:v>19</c:v>
                </c:pt>
                <c:pt idx="23">
                  <c:v>19.5</c:v>
                </c:pt>
                <c:pt idx="24">
                  <c:v>20</c:v>
                </c:pt>
              </c:numCache>
            </c:numRef>
          </c:xVal>
          <c:yVal>
            <c:numRef>
              <c:f>Tools!$AK$70:$AK$94</c:f>
              <c:numCache>
                <c:formatCode>General</c:formatCode>
                <c:ptCount val="25"/>
                <c:pt idx="0">
                  <c:v>60.221066666666637</c:v>
                </c:pt>
                <c:pt idx="1">
                  <c:v>153.22703333333328</c:v>
                </c:pt>
                <c:pt idx="2">
                  <c:v>285.53249999999991</c:v>
                </c:pt>
                <c:pt idx="3">
                  <c:v>417.96686666666653</c:v>
                </c:pt>
                <c:pt idx="4">
                  <c:v>535.9230666666665</c:v>
                </c:pt>
                <c:pt idx="5">
                  <c:v>738.77929999999981</c:v>
                </c:pt>
                <c:pt idx="6">
                  <c:v>888.40333333333308</c:v>
                </c:pt>
                <c:pt idx="7">
                  <c:v>964.98259999999982</c:v>
                </c:pt>
                <c:pt idx="8">
                  <c:v>1020.5699999999999</c:v>
                </c:pt>
                <c:pt idx="9">
                  <c:v>1031.9433333333332</c:v>
                </c:pt>
                <c:pt idx="10">
                  <c:v>1034.1233333333332</c:v>
                </c:pt>
                <c:pt idx="11">
                  <c:v>1034.3166666666664</c:v>
                </c:pt>
                <c:pt idx="12">
                  <c:v>1034.3166666666664</c:v>
                </c:pt>
                <c:pt idx="13">
                  <c:v>1034.3166666666664</c:v>
                </c:pt>
                <c:pt idx="14">
                  <c:v>1034.3166666666664</c:v>
                </c:pt>
                <c:pt idx="15">
                  <c:v>1034.3166666666664</c:v>
                </c:pt>
                <c:pt idx="16">
                  <c:v>1034.0499999999997</c:v>
                </c:pt>
                <c:pt idx="17">
                  <c:v>1031.1299999999999</c:v>
                </c:pt>
                <c:pt idx="18">
                  <c:v>1001.0793999999997</c:v>
                </c:pt>
                <c:pt idx="19">
                  <c:v>909.56883333333315</c:v>
                </c:pt>
                <c:pt idx="20">
                  <c:v>712.96512866666649</c:v>
                </c:pt>
                <c:pt idx="21">
                  <c:v>572.23156666666659</c:v>
                </c:pt>
                <c:pt idx="22">
                  <c:v>404.63963333333322</c:v>
                </c:pt>
                <c:pt idx="23">
                  <c:v>222.3653666666666</c:v>
                </c:pt>
                <c:pt idx="24">
                  <c:v>45.041733333333333</c:v>
                </c:pt>
              </c:numCache>
            </c:numRef>
          </c:yVal>
          <c:smooth val="1"/>
        </c:ser>
        <c:ser>
          <c:idx val="9"/>
          <c:order val="9"/>
          <c:tx>
            <c:strRef>
              <c:f>Tools!$AL$69</c:f>
              <c:strCache>
                <c:ptCount val="1"/>
                <c:pt idx="0">
                  <c:v>5</c:v>
                </c:pt>
              </c:strCache>
            </c:strRef>
          </c:tx>
          <c:marker>
            <c:symbol val="none"/>
          </c:marker>
          <c:xVal>
            <c:numRef>
              <c:f>Tools!$AB$70:$AB$94</c:f>
              <c:numCache>
                <c:formatCode>General</c:formatCode>
                <c:ptCount val="25"/>
                <c:pt idx="0">
                  <c:v>0</c:v>
                </c:pt>
                <c:pt idx="1">
                  <c:v>0.5</c:v>
                </c:pt>
                <c:pt idx="2">
                  <c:v>1</c:v>
                </c:pt>
                <c:pt idx="3">
                  <c:v>1.5</c:v>
                </c:pt>
                <c:pt idx="4">
                  <c:v>2</c:v>
                </c:pt>
                <c:pt idx="5">
                  <c:v>3</c:v>
                </c:pt>
                <c:pt idx="6">
                  <c:v>4</c:v>
                </c:pt>
                <c:pt idx="7">
                  <c:v>5</c:v>
                </c:pt>
                <c:pt idx="8">
                  <c:v>6</c:v>
                </c:pt>
                <c:pt idx="9">
                  <c:v>7</c:v>
                </c:pt>
                <c:pt idx="10">
                  <c:v>8</c:v>
                </c:pt>
                <c:pt idx="11">
                  <c:v>9</c:v>
                </c:pt>
                <c:pt idx="12">
                  <c:v>10</c:v>
                </c:pt>
                <c:pt idx="13">
                  <c:v>11</c:v>
                </c:pt>
                <c:pt idx="14">
                  <c:v>12</c:v>
                </c:pt>
                <c:pt idx="15">
                  <c:v>13</c:v>
                </c:pt>
                <c:pt idx="16">
                  <c:v>14</c:v>
                </c:pt>
                <c:pt idx="17">
                  <c:v>15</c:v>
                </c:pt>
                <c:pt idx="18">
                  <c:v>16</c:v>
                </c:pt>
                <c:pt idx="19">
                  <c:v>17</c:v>
                </c:pt>
                <c:pt idx="20">
                  <c:v>18</c:v>
                </c:pt>
                <c:pt idx="21">
                  <c:v>18.5</c:v>
                </c:pt>
                <c:pt idx="22">
                  <c:v>19</c:v>
                </c:pt>
                <c:pt idx="23">
                  <c:v>19.5</c:v>
                </c:pt>
                <c:pt idx="24">
                  <c:v>20</c:v>
                </c:pt>
              </c:numCache>
            </c:numRef>
          </c:xVal>
          <c:yVal>
            <c:numRef>
              <c:f>Tools!$AL$70:$AL$94</c:f>
              <c:numCache>
                <c:formatCode>General</c:formatCode>
                <c:ptCount val="25"/>
                <c:pt idx="0">
                  <c:v>77.900000000000006</c:v>
                </c:pt>
                <c:pt idx="1">
                  <c:v>181.33333333333334</c:v>
                </c:pt>
                <c:pt idx="2">
                  <c:v>320.91333333333336</c:v>
                </c:pt>
                <c:pt idx="3">
                  <c:v>461</c:v>
                </c:pt>
                <c:pt idx="4">
                  <c:v>583.94000000000005</c:v>
                </c:pt>
                <c:pt idx="5">
                  <c:v>794.31999999999994</c:v>
                </c:pt>
                <c:pt idx="6">
                  <c:v>951.5</c:v>
                </c:pt>
                <c:pt idx="7">
                  <c:v>1029.5666666666666</c:v>
                </c:pt>
                <c:pt idx="8">
                  <c:v>1086.9466666666667</c:v>
                </c:pt>
                <c:pt idx="9">
                  <c:v>1097.2866666666666</c:v>
                </c:pt>
                <c:pt idx="10">
                  <c:v>1099.1333333333332</c:v>
                </c:pt>
                <c:pt idx="11">
                  <c:v>1099.3266666666666</c:v>
                </c:pt>
                <c:pt idx="12">
                  <c:v>1099.3266666666666</c:v>
                </c:pt>
                <c:pt idx="13">
                  <c:v>1099.3266666666666</c:v>
                </c:pt>
                <c:pt idx="14">
                  <c:v>1099.3266666666666</c:v>
                </c:pt>
                <c:pt idx="15">
                  <c:v>1099.3266666666666</c:v>
                </c:pt>
                <c:pt idx="16">
                  <c:v>1099.06</c:v>
                </c:pt>
                <c:pt idx="17">
                  <c:v>1096.6399999999999</c:v>
                </c:pt>
                <c:pt idx="18">
                  <c:v>1065.6266666666666</c:v>
                </c:pt>
                <c:pt idx="19">
                  <c:v>970.81999999999994</c:v>
                </c:pt>
                <c:pt idx="20">
                  <c:v>761.97919999999999</c:v>
                </c:pt>
                <c:pt idx="21">
                  <c:v>612.24666666666656</c:v>
                </c:pt>
                <c:pt idx="22">
                  <c:v>433.64</c:v>
                </c:pt>
                <c:pt idx="23">
                  <c:v>237.07599999999999</c:v>
                </c:pt>
                <c:pt idx="24">
                  <c:v>45</c:v>
                </c:pt>
              </c:numCache>
            </c:numRef>
          </c:yVal>
          <c:smooth val="1"/>
        </c:ser>
        <c:ser>
          <c:idx val="10"/>
          <c:order val="10"/>
          <c:tx>
            <c:strRef>
              <c:f>Tools!$AM$69</c:f>
              <c:strCache>
                <c:ptCount val="1"/>
                <c:pt idx="0">
                  <c:v>6</c:v>
                </c:pt>
              </c:strCache>
            </c:strRef>
          </c:tx>
          <c:marker>
            <c:symbol val="none"/>
          </c:marker>
          <c:xVal>
            <c:numRef>
              <c:f>Tools!$AB$70:$AB$94</c:f>
              <c:numCache>
                <c:formatCode>General</c:formatCode>
                <c:ptCount val="25"/>
                <c:pt idx="0">
                  <c:v>0</c:v>
                </c:pt>
                <c:pt idx="1">
                  <c:v>0.5</c:v>
                </c:pt>
                <c:pt idx="2">
                  <c:v>1</c:v>
                </c:pt>
                <c:pt idx="3">
                  <c:v>1.5</c:v>
                </c:pt>
                <c:pt idx="4">
                  <c:v>2</c:v>
                </c:pt>
                <c:pt idx="5">
                  <c:v>3</c:v>
                </c:pt>
                <c:pt idx="6">
                  <c:v>4</c:v>
                </c:pt>
                <c:pt idx="7">
                  <c:v>5</c:v>
                </c:pt>
                <c:pt idx="8">
                  <c:v>6</c:v>
                </c:pt>
                <c:pt idx="9">
                  <c:v>7</c:v>
                </c:pt>
                <c:pt idx="10">
                  <c:v>8</c:v>
                </c:pt>
                <c:pt idx="11">
                  <c:v>9</c:v>
                </c:pt>
                <c:pt idx="12">
                  <c:v>10</c:v>
                </c:pt>
                <c:pt idx="13">
                  <c:v>11</c:v>
                </c:pt>
                <c:pt idx="14">
                  <c:v>12</c:v>
                </c:pt>
                <c:pt idx="15">
                  <c:v>13</c:v>
                </c:pt>
                <c:pt idx="16">
                  <c:v>14</c:v>
                </c:pt>
                <c:pt idx="17">
                  <c:v>15</c:v>
                </c:pt>
                <c:pt idx="18">
                  <c:v>16</c:v>
                </c:pt>
                <c:pt idx="19">
                  <c:v>17</c:v>
                </c:pt>
                <c:pt idx="20">
                  <c:v>18</c:v>
                </c:pt>
                <c:pt idx="21">
                  <c:v>18.5</c:v>
                </c:pt>
                <c:pt idx="22">
                  <c:v>19</c:v>
                </c:pt>
                <c:pt idx="23">
                  <c:v>19.5</c:v>
                </c:pt>
                <c:pt idx="24">
                  <c:v>20</c:v>
                </c:pt>
              </c:numCache>
            </c:numRef>
          </c:xVal>
          <c:yVal>
            <c:numRef>
              <c:f>Tools!$AM$70:$AM$94</c:f>
              <c:numCache>
                <c:formatCode>General</c:formatCode>
                <c:ptCount val="25"/>
                <c:pt idx="0">
                  <c:v>228.02</c:v>
                </c:pt>
                <c:pt idx="1">
                  <c:v>399.86999999999995</c:v>
                </c:pt>
                <c:pt idx="2">
                  <c:v>600.49</c:v>
                </c:pt>
                <c:pt idx="3">
                  <c:v>792.18999999999983</c:v>
                </c:pt>
                <c:pt idx="4">
                  <c:v>959.14999999999986</c:v>
                </c:pt>
                <c:pt idx="5">
                  <c:v>1229.0566666666666</c:v>
                </c:pt>
                <c:pt idx="6">
                  <c:v>1419.5933333333332</c:v>
                </c:pt>
                <c:pt idx="7">
                  <c:v>1504.5099999999998</c:v>
                </c:pt>
                <c:pt idx="8">
                  <c:v>1569.58</c:v>
                </c:pt>
                <c:pt idx="9">
                  <c:v>1580.9533333333334</c:v>
                </c:pt>
                <c:pt idx="10">
                  <c:v>1583.1333333333332</c:v>
                </c:pt>
                <c:pt idx="11">
                  <c:v>1583.3266666666666</c:v>
                </c:pt>
                <c:pt idx="12">
                  <c:v>1583.3266666666666</c:v>
                </c:pt>
                <c:pt idx="13">
                  <c:v>1583.3266666666666</c:v>
                </c:pt>
                <c:pt idx="14">
                  <c:v>1583.3266666666666</c:v>
                </c:pt>
                <c:pt idx="15">
                  <c:v>1583.3266666666666</c:v>
                </c:pt>
                <c:pt idx="16">
                  <c:v>1583.06</c:v>
                </c:pt>
                <c:pt idx="17">
                  <c:v>1580.1399999999999</c:v>
                </c:pt>
                <c:pt idx="18">
                  <c:v>1547.2433333333333</c:v>
                </c:pt>
                <c:pt idx="19">
                  <c:v>1427.5366666666666</c:v>
                </c:pt>
                <c:pt idx="20">
                  <c:v>1144.7229333333332</c:v>
                </c:pt>
                <c:pt idx="21">
                  <c:v>929.97333333333324</c:v>
                </c:pt>
                <c:pt idx="22">
                  <c:v>664.51333333333321</c:v>
                </c:pt>
                <c:pt idx="23">
                  <c:v>360.19399999999996</c:v>
                </c:pt>
                <c:pt idx="24">
                  <c:v>59.129999999999995</c:v>
                </c:pt>
              </c:numCache>
            </c:numRef>
          </c:yVal>
          <c:smooth val="1"/>
        </c:ser>
        <c:ser>
          <c:idx val="11"/>
          <c:order val="11"/>
          <c:tx>
            <c:strRef>
              <c:f>Tools!$AN$69</c:f>
              <c:strCache>
                <c:ptCount val="1"/>
                <c:pt idx="0">
                  <c:v>6.5</c:v>
                </c:pt>
              </c:strCache>
            </c:strRef>
          </c:tx>
          <c:marker>
            <c:symbol val="none"/>
          </c:marker>
          <c:xVal>
            <c:numRef>
              <c:f>Tools!$AB$70:$AB$94</c:f>
              <c:numCache>
                <c:formatCode>General</c:formatCode>
                <c:ptCount val="25"/>
                <c:pt idx="0">
                  <c:v>0</c:v>
                </c:pt>
                <c:pt idx="1">
                  <c:v>0.5</c:v>
                </c:pt>
                <c:pt idx="2">
                  <c:v>1</c:v>
                </c:pt>
                <c:pt idx="3">
                  <c:v>1.5</c:v>
                </c:pt>
                <c:pt idx="4">
                  <c:v>2</c:v>
                </c:pt>
                <c:pt idx="5">
                  <c:v>3</c:v>
                </c:pt>
                <c:pt idx="6">
                  <c:v>4</c:v>
                </c:pt>
                <c:pt idx="7">
                  <c:v>5</c:v>
                </c:pt>
                <c:pt idx="8">
                  <c:v>6</c:v>
                </c:pt>
                <c:pt idx="9">
                  <c:v>7</c:v>
                </c:pt>
                <c:pt idx="10">
                  <c:v>8</c:v>
                </c:pt>
                <c:pt idx="11">
                  <c:v>9</c:v>
                </c:pt>
                <c:pt idx="12">
                  <c:v>10</c:v>
                </c:pt>
                <c:pt idx="13">
                  <c:v>11</c:v>
                </c:pt>
                <c:pt idx="14">
                  <c:v>12</c:v>
                </c:pt>
                <c:pt idx="15">
                  <c:v>13</c:v>
                </c:pt>
                <c:pt idx="16">
                  <c:v>14</c:v>
                </c:pt>
                <c:pt idx="17">
                  <c:v>15</c:v>
                </c:pt>
                <c:pt idx="18">
                  <c:v>16</c:v>
                </c:pt>
                <c:pt idx="19">
                  <c:v>17</c:v>
                </c:pt>
                <c:pt idx="20">
                  <c:v>18</c:v>
                </c:pt>
                <c:pt idx="21">
                  <c:v>18.5</c:v>
                </c:pt>
                <c:pt idx="22">
                  <c:v>19</c:v>
                </c:pt>
                <c:pt idx="23">
                  <c:v>19.5</c:v>
                </c:pt>
                <c:pt idx="24">
                  <c:v>20</c:v>
                </c:pt>
              </c:numCache>
            </c:numRef>
          </c:xVal>
          <c:yVal>
            <c:numRef>
              <c:f>Tools!$AN$70:$AN$94</c:f>
              <c:numCache>
                <c:formatCode>General</c:formatCode>
                <c:ptCount val="25"/>
                <c:pt idx="0">
                  <c:v>328.84000000000003</c:v>
                </c:pt>
                <c:pt idx="1">
                  <c:v>540.93999999999994</c:v>
                </c:pt>
                <c:pt idx="2">
                  <c:v>776.44333333333338</c:v>
                </c:pt>
                <c:pt idx="3">
                  <c:v>997.26333333333309</c:v>
                </c:pt>
                <c:pt idx="4">
                  <c:v>1187.2099999999998</c:v>
                </c:pt>
                <c:pt idx="5">
                  <c:v>1485.8633333333332</c:v>
                </c:pt>
                <c:pt idx="6">
                  <c:v>1690.48</c:v>
                </c:pt>
                <c:pt idx="7">
                  <c:v>1778.2766666666664</c:v>
                </c:pt>
                <c:pt idx="8">
                  <c:v>1844.58</c:v>
                </c:pt>
                <c:pt idx="9">
                  <c:v>1855.9533333333334</c:v>
                </c:pt>
                <c:pt idx="10">
                  <c:v>1858.1333333333332</c:v>
                </c:pt>
                <c:pt idx="11">
                  <c:v>1858.3266666666666</c:v>
                </c:pt>
                <c:pt idx="12">
                  <c:v>1858.3266666666666</c:v>
                </c:pt>
                <c:pt idx="13">
                  <c:v>1858.3266666666666</c:v>
                </c:pt>
                <c:pt idx="14">
                  <c:v>1858.3266666666666</c:v>
                </c:pt>
                <c:pt idx="15">
                  <c:v>1858.3266666666666</c:v>
                </c:pt>
                <c:pt idx="16">
                  <c:v>1858.06</c:v>
                </c:pt>
                <c:pt idx="17">
                  <c:v>1855.1399999999999</c:v>
                </c:pt>
                <c:pt idx="18">
                  <c:v>1822.2433333333333</c:v>
                </c:pt>
                <c:pt idx="19">
                  <c:v>1691.5566666666666</c:v>
                </c:pt>
                <c:pt idx="20">
                  <c:v>1370.7629333333332</c:v>
                </c:pt>
                <c:pt idx="21">
                  <c:v>1121.2733333333333</c:v>
                </c:pt>
                <c:pt idx="22">
                  <c:v>808.69666666666649</c:v>
                </c:pt>
                <c:pt idx="23">
                  <c:v>445.51733333333328</c:v>
                </c:pt>
                <c:pt idx="24">
                  <c:v>89.643333333333317</c:v>
                </c:pt>
              </c:numCache>
            </c:numRef>
          </c:yVal>
          <c:smooth val="1"/>
        </c:ser>
        <c:ser>
          <c:idx val="12"/>
          <c:order val="12"/>
          <c:tx>
            <c:strRef>
              <c:f>Tools!$AO$69</c:f>
              <c:strCache>
                <c:ptCount val="1"/>
                <c:pt idx="0">
                  <c:v>  </c:v>
                </c:pt>
              </c:strCache>
            </c:strRef>
          </c:tx>
          <c:marker>
            <c:symbol val="none"/>
          </c:marker>
          <c:xVal>
            <c:numRef>
              <c:f>Tools!$AB$70:$AB$94</c:f>
              <c:numCache>
                <c:formatCode>General</c:formatCode>
                <c:ptCount val="25"/>
                <c:pt idx="0">
                  <c:v>0</c:v>
                </c:pt>
                <c:pt idx="1">
                  <c:v>0.5</c:v>
                </c:pt>
                <c:pt idx="2">
                  <c:v>1</c:v>
                </c:pt>
                <c:pt idx="3">
                  <c:v>1.5</c:v>
                </c:pt>
                <c:pt idx="4">
                  <c:v>2</c:v>
                </c:pt>
                <c:pt idx="5">
                  <c:v>3</c:v>
                </c:pt>
                <c:pt idx="6">
                  <c:v>4</c:v>
                </c:pt>
                <c:pt idx="7">
                  <c:v>5</c:v>
                </c:pt>
                <c:pt idx="8">
                  <c:v>6</c:v>
                </c:pt>
                <c:pt idx="9">
                  <c:v>7</c:v>
                </c:pt>
                <c:pt idx="10">
                  <c:v>8</c:v>
                </c:pt>
                <c:pt idx="11">
                  <c:v>9</c:v>
                </c:pt>
                <c:pt idx="12">
                  <c:v>10</c:v>
                </c:pt>
                <c:pt idx="13">
                  <c:v>11</c:v>
                </c:pt>
                <c:pt idx="14">
                  <c:v>12</c:v>
                </c:pt>
                <c:pt idx="15">
                  <c:v>13</c:v>
                </c:pt>
                <c:pt idx="16">
                  <c:v>14</c:v>
                </c:pt>
                <c:pt idx="17">
                  <c:v>15</c:v>
                </c:pt>
                <c:pt idx="18">
                  <c:v>16</c:v>
                </c:pt>
                <c:pt idx="19">
                  <c:v>17</c:v>
                </c:pt>
                <c:pt idx="20">
                  <c:v>18</c:v>
                </c:pt>
                <c:pt idx="21">
                  <c:v>18.5</c:v>
                </c:pt>
                <c:pt idx="22">
                  <c:v>19</c:v>
                </c:pt>
                <c:pt idx="23">
                  <c:v>19.5</c:v>
                </c:pt>
                <c:pt idx="24">
                  <c:v>20</c:v>
                </c:pt>
              </c:numCache>
            </c:numRef>
          </c:xVal>
          <c:yVal>
            <c:numRef>
              <c:f>Tools!$AO$70:$AO$94</c:f>
              <c:numCache>
                <c:formatCode>General</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yVal>
          <c:smooth val="1"/>
        </c:ser>
        <c:ser>
          <c:idx val="13"/>
          <c:order val="13"/>
          <c:tx>
            <c:strRef>
              <c:f>Tools!$AP$69</c:f>
              <c:strCache>
                <c:ptCount val="1"/>
                <c:pt idx="0">
                  <c:v>  </c:v>
                </c:pt>
              </c:strCache>
            </c:strRef>
          </c:tx>
          <c:marker>
            <c:symbol val="none"/>
          </c:marker>
          <c:xVal>
            <c:numRef>
              <c:f>Tools!$AB$70:$AB$94</c:f>
              <c:numCache>
                <c:formatCode>General</c:formatCode>
                <c:ptCount val="25"/>
                <c:pt idx="0">
                  <c:v>0</c:v>
                </c:pt>
                <c:pt idx="1">
                  <c:v>0.5</c:v>
                </c:pt>
                <c:pt idx="2">
                  <c:v>1</c:v>
                </c:pt>
                <c:pt idx="3">
                  <c:v>1.5</c:v>
                </c:pt>
                <c:pt idx="4">
                  <c:v>2</c:v>
                </c:pt>
                <c:pt idx="5">
                  <c:v>3</c:v>
                </c:pt>
                <c:pt idx="6">
                  <c:v>4</c:v>
                </c:pt>
                <c:pt idx="7">
                  <c:v>5</c:v>
                </c:pt>
                <c:pt idx="8">
                  <c:v>6</c:v>
                </c:pt>
                <c:pt idx="9">
                  <c:v>7</c:v>
                </c:pt>
                <c:pt idx="10">
                  <c:v>8</c:v>
                </c:pt>
                <c:pt idx="11">
                  <c:v>9</c:v>
                </c:pt>
                <c:pt idx="12">
                  <c:v>10</c:v>
                </c:pt>
                <c:pt idx="13">
                  <c:v>11</c:v>
                </c:pt>
                <c:pt idx="14">
                  <c:v>12</c:v>
                </c:pt>
                <c:pt idx="15">
                  <c:v>13</c:v>
                </c:pt>
                <c:pt idx="16">
                  <c:v>14</c:v>
                </c:pt>
                <c:pt idx="17">
                  <c:v>15</c:v>
                </c:pt>
                <c:pt idx="18">
                  <c:v>16</c:v>
                </c:pt>
                <c:pt idx="19">
                  <c:v>17</c:v>
                </c:pt>
                <c:pt idx="20">
                  <c:v>18</c:v>
                </c:pt>
                <c:pt idx="21">
                  <c:v>18.5</c:v>
                </c:pt>
                <c:pt idx="22">
                  <c:v>19</c:v>
                </c:pt>
                <c:pt idx="23">
                  <c:v>19.5</c:v>
                </c:pt>
                <c:pt idx="24">
                  <c:v>20</c:v>
                </c:pt>
              </c:numCache>
            </c:numRef>
          </c:xVal>
          <c:yVal>
            <c:numRef>
              <c:f>Tools!$AP$70:$AP$94</c:f>
              <c:numCache>
                <c:formatCode>General</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yVal>
          <c:smooth val="1"/>
        </c:ser>
        <c:ser>
          <c:idx val="14"/>
          <c:order val="14"/>
          <c:tx>
            <c:strRef>
              <c:f>Tools!$AQ$69</c:f>
              <c:strCache>
                <c:ptCount val="1"/>
                <c:pt idx="0">
                  <c:v>  </c:v>
                </c:pt>
              </c:strCache>
            </c:strRef>
          </c:tx>
          <c:marker>
            <c:symbol val="none"/>
          </c:marker>
          <c:xVal>
            <c:numRef>
              <c:f>Tools!$AB$70:$AB$94</c:f>
              <c:numCache>
                <c:formatCode>General</c:formatCode>
                <c:ptCount val="25"/>
                <c:pt idx="0">
                  <c:v>0</c:v>
                </c:pt>
                <c:pt idx="1">
                  <c:v>0.5</c:v>
                </c:pt>
                <c:pt idx="2">
                  <c:v>1</c:v>
                </c:pt>
                <c:pt idx="3">
                  <c:v>1.5</c:v>
                </c:pt>
                <c:pt idx="4">
                  <c:v>2</c:v>
                </c:pt>
                <c:pt idx="5">
                  <c:v>3</c:v>
                </c:pt>
                <c:pt idx="6">
                  <c:v>4</c:v>
                </c:pt>
                <c:pt idx="7">
                  <c:v>5</c:v>
                </c:pt>
                <c:pt idx="8">
                  <c:v>6</c:v>
                </c:pt>
                <c:pt idx="9">
                  <c:v>7</c:v>
                </c:pt>
                <c:pt idx="10">
                  <c:v>8</c:v>
                </c:pt>
                <c:pt idx="11">
                  <c:v>9</c:v>
                </c:pt>
                <c:pt idx="12">
                  <c:v>10</c:v>
                </c:pt>
                <c:pt idx="13">
                  <c:v>11</c:v>
                </c:pt>
                <c:pt idx="14">
                  <c:v>12</c:v>
                </c:pt>
                <c:pt idx="15">
                  <c:v>13</c:v>
                </c:pt>
                <c:pt idx="16">
                  <c:v>14</c:v>
                </c:pt>
                <c:pt idx="17">
                  <c:v>15</c:v>
                </c:pt>
                <c:pt idx="18">
                  <c:v>16</c:v>
                </c:pt>
                <c:pt idx="19">
                  <c:v>17</c:v>
                </c:pt>
                <c:pt idx="20">
                  <c:v>18</c:v>
                </c:pt>
                <c:pt idx="21">
                  <c:v>18.5</c:v>
                </c:pt>
                <c:pt idx="22">
                  <c:v>19</c:v>
                </c:pt>
                <c:pt idx="23">
                  <c:v>19.5</c:v>
                </c:pt>
                <c:pt idx="24">
                  <c:v>20</c:v>
                </c:pt>
              </c:numCache>
            </c:numRef>
          </c:xVal>
          <c:yVal>
            <c:numRef>
              <c:f>Tools!$AQ$70:$AQ$94</c:f>
              <c:numCache>
                <c:formatCode>General</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yVal>
          <c:smooth val="1"/>
        </c:ser>
        <c:ser>
          <c:idx val="15"/>
          <c:order val="15"/>
          <c:tx>
            <c:strRef>
              <c:f>Tools!$AR$69</c:f>
              <c:strCache>
                <c:ptCount val="1"/>
                <c:pt idx="0">
                  <c:v>  </c:v>
                </c:pt>
              </c:strCache>
            </c:strRef>
          </c:tx>
          <c:marker>
            <c:symbol val="none"/>
          </c:marker>
          <c:xVal>
            <c:numRef>
              <c:f>Tools!$AB$70:$AB$94</c:f>
              <c:numCache>
                <c:formatCode>General</c:formatCode>
                <c:ptCount val="25"/>
                <c:pt idx="0">
                  <c:v>0</c:v>
                </c:pt>
                <c:pt idx="1">
                  <c:v>0.5</c:v>
                </c:pt>
                <c:pt idx="2">
                  <c:v>1</c:v>
                </c:pt>
                <c:pt idx="3">
                  <c:v>1.5</c:v>
                </c:pt>
                <c:pt idx="4">
                  <c:v>2</c:v>
                </c:pt>
                <c:pt idx="5">
                  <c:v>3</c:v>
                </c:pt>
                <c:pt idx="6">
                  <c:v>4</c:v>
                </c:pt>
                <c:pt idx="7">
                  <c:v>5</c:v>
                </c:pt>
                <c:pt idx="8">
                  <c:v>6</c:v>
                </c:pt>
                <c:pt idx="9">
                  <c:v>7</c:v>
                </c:pt>
                <c:pt idx="10">
                  <c:v>8</c:v>
                </c:pt>
                <c:pt idx="11">
                  <c:v>9</c:v>
                </c:pt>
                <c:pt idx="12">
                  <c:v>10</c:v>
                </c:pt>
                <c:pt idx="13">
                  <c:v>11</c:v>
                </c:pt>
                <c:pt idx="14">
                  <c:v>12</c:v>
                </c:pt>
                <c:pt idx="15">
                  <c:v>13</c:v>
                </c:pt>
                <c:pt idx="16">
                  <c:v>14</c:v>
                </c:pt>
                <c:pt idx="17">
                  <c:v>15</c:v>
                </c:pt>
                <c:pt idx="18">
                  <c:v>16</c:v>
                </c:pt>
                <c:pt idx="19">
                  <c:v>17</c:v>
                </c:pt>
                <c:pt idx="20">
                  <c:v>18</c:v>
                </c:pt>
                <c:pt idx="21">
                  <c:v>18.5</c:v>
                </c:pt>
                <c:pt idx="22">
                  <c:v>19</c:v>
                </c:pt>
                <c:pt idx="23">
                  <c:v>19.5</c:v>
                </c:pt>
                <c:pt idx="24">
                  <c:v>20</c:v>
                </c:pt>
              </c:numCache>
            </c:numRef>
          </c:xVal>
          <c:yVal>
            <c:numRef>
              <c:f>Tools!$AR$70:$AR$94</c:f>
              <c:numCache>
                <c:formatCode>General</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yVal>
          <c:smooth val="1"/>
        </c:ser>
        <c:ser>
          <c:idx val="16"/>
          <c:order val="16"/>
          <c:tx>
            <c:strRef>
              <c:f>Tools!$AS$69</c:f>
              <c:strCache>
                <c:ptCount val="1"/>
                <c:pt idx="0">
                  <c:v>  </c:v>
                </c:pt>
              </c:strCache>
            </c:strRef>
          </c:tx>
          <c:marker>
            <c:symbol val="none"/>
          </c:marker>
          <c:xVal>
            <c:numRef>
              <c:f>Tools!$AB$70:$AB$94</c:f>
              <c:numCache>
                <c:formatCode>General</c:formatCode>
                <c:ptCount val="25"/>
                <c:pt idx="0">
                  <c:v>0</c:v>
                </c:pt>
                <c:pt idx="1">
                  <c:v>0.5</c:v>
                </c:pt>
                <c:pt idx="2">
                  <c:v>1</c:v>
                </c:pt>
                <c:pt idx="3">
                  <c:v>1.5</c:v>
                </c:pt>
                <c:pt idx="4">
                  <c:v>2</c:v>
                </c:pt>
                <c:pt idx="5">
                  <c:v>3</c:v>
                </c:pt>
                <c:pt idx="6">
                  <c:v>4</c:v>
                </c:pt>
                <c:pt idx="7">
                  <c:v>5</c:v>
                </c:pt>
                <c:pt idx="8">
                  <c:v>6</c:v>
                </c:pt>
                <c:pt idx="9">
                  <c:v>7</c:v>
                </c:pt>
                <c:pt idx="10">
                  <c:v>8</c:v>
                </c:pt>
                <c:pt idx="11">
                  <c:v>9</c:v>
                </c:pt>
                <c:pt idx="12">
                  <c:v>10</c:v>
                </c:pt>
                <c:pt idx="13">
                  <c:v>11</c:v>
                </c:pt>
                <c:pt idx="14">
                  <c:v>12</c:v>
                </c:pt>
                <c:pt idx="15">
                  <c:v>13</c:v>
                </c:pt>
                <c:pt idx="16">
                  <c:v>14</c:v>
                </c:pt>
                <c:pt idx="17">
                  <c:v>15</c:v>
                </c:pt>
                <c:pt idx="18">
                  <c:v>16</c:v>
                </c:pt>
                <c:pt idx="19">
                  <c:v>17</c:v>
                </c:pt>
                <c:pt idx="20">
                  <c:v>18</c:v>
                </c:pt>
                <c:pt idx="21">
                  <c:v>18.5</c:v>
                </c:pt>
                <c:pt idx="22">
                  <c:v>19</c:v>
                </c:pt>
                <c:pt idx="23">
                  <c:v>19.5</c:v>
                </c:pt>
                <c:pt idx="24">
                  <c:v>20</c:v>
                </c:pt>
              </c:numCache>
            </c:numRef>
          </c:xVal>
          <c:yVal>
            <c:numRef>
              <c:f>Tools!$AS$70:$AS$94</c:f>
              <c:numCache>
                <c:formatCode>General</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yVal>
          <c:smooth val="1"/>
        </c:ser>
        <c:ser>
          <c:idx val="17"/>
          <c:order val="17"/>
          <c:tx>
            <c:strRef>
              <c:f>Tools!$AT$69</c:f>
              <c:strCache>
                <c:ptCount val="1"/>
                <c:pt idx="0">
                  <c:v>  </c:v>
                </c:pt>
              </c:strCache>
            </c:strRef>
          </c:tx>
          <c:marker>
            <c:symbol val="none"/>
          </c:marker>
          <c:xVal>
            <c:numRef>
              <c:f>Tools!$AB$70:$AB$94</c:f>
              <c:numCache>
                <c:formatCode>General</c:formatCode>
                <c:ptCount val="25"/>
                <c:pt idx="0">
                  <c:v>0</c:v>
                </c:pt>
                <c:pt idx="1">
                  <c:v>0.5</c:v>
                </c:pt>
                <c:pt idx="2">
                  <c:v>1</c:v>
                </c:pt>
                <c:pt idx="3">
                  <c:v>1.5</c:v>
                </c:pt>
                <c:pt idx="4">
                  <c:v>2</c:v>
                </c:pt>
                <c:pt idx="5">
                  <c:v>3</c:v>
                </c:pt>
                <c:pt idx="6">
                  <c:v>4</c:v>
                </c:pt>
                <c:pt idx="7">
                  <c:v>5</c:v>
                </c:pt>
                <c:pt idx="8">
                  <c:v>6</c:v>
                </c:pt>
                <c:pt idx="9">
                  <c:v>7</c:v>
                </c:pt>
                <c:pt idx="10">
                  <c:v>8</c:v>
                </c:pt>
                <c:pt idx="11">
                  <c:v>9</c:v>
                </c:pt>
                <c:pt idx="12">
                  <c:v>10</c:v>
                </c:pt>
                <c:pt idx="13">
                  <c:v>11</c:v>
                </c:pt>
                <c:pt idx="14">
                  <c:v>12</c:v>
                </c:pt>
                <c:pt idx="15">
                  <c:v>13</c:v>
                </c:pt>
                <c:pt idx="16">
                  <c:v>14</c:v>
                </c:pt>
                <c:pt idx="17">
                  <c:v>15</c:v>
                </c:pt>
                <c:pt idx="18">
                  <c:v>16</c:v>
                </c:pt>
                <c:pt idx="19">
                  <c:v>17</c:v>
                </c:pt>
                <c:pt idx="20">
                  <c:v>18</c:v>
                </c:pt>
                <c:pt idx="21">
                  <c:v>18.5</c:v>
                </c:pt>
                <c:pt idx="22">
                  <c:v>19</c:v>
                </c:pt>
                <c:pt idx="23">
                  <c:v>19.5</c:v>
                </c:pt>
                <c:pt idx="24">
                  <c:v>20</c:v>
                </c:pt>
              </c:numCache>
            </c:numRef>
          </c:xVal>
          <c:yVal>
            <c:numRef>
              <c:f>Tools!$AT$70:$AT$94</c:f>
              <c:numCache>
                <c:formatCode>General</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yVal>
          <c:smooth val="1"/>
        </c:ser>
        <c:ser>
          <c:idx val="18"/>
          <c:order val="18"/>
          <c:tx>
            <c:strRef>
              <c:f>Tools!$AU$69</c:f>
              <c:strCache>
                <c:ptCount val="1"/>
                <c:pt idx="0">
                  <c:v>  </c:v>
                </c:pt>
              </c:strCache>
            </c:strRef>
          </c:tx>
          <c:marker>
            <c:symbol val="none"/>
          </c:marker>
          <c:xVal>
            <c:numRef>
              <c:f>Tools!$AB$70:$AB$94</c:f>
              <c:numCache>
                <c:formatCode>General</c:formatCode>
                <c:ptCount val="25"/>
                <c:pt idx="0">
                  <c:v>0</c:v>
                </c:pt>
                <c:pt idx="1">
                  <c:v>0.5</c:v>
                </c:pt>
                <c:pt idx="2">
                  <c:v>1</c:v>
                </c:pt>
                <c:pt idx="3">
                  <c:v>1.5</c:v>
                </c:pt>
                <c:pt idx="4">
                  <c:v>2</c:v>
                </c:pt>
                <c:pt idx="5">
                  <c:v>3</c:v>
                </c:pt>
                <c:pt idx="6">
                  <c:v>4</c:v>
                </c:pt>
                <c:pt idx="7">
                  <c:v>5</c:v>
                </c:pt>
                <c:pt idx="8">
                  <c:v>6</c:v>
                </c:pt>
                <c:pt idx="9">
                  <c:v>7</c:v>
                </c:pt>
                <c:pt idx="10">
                  <c:v>8</c:v>
                </c:pt>
                <c:pt idx="11">
                  <c:v>9</c:v>
                </c:pt>
                <c:pt idx="12">
                  <c:v>10</c:v>
                </c:pt>
                <c:pt idx="13">
                  <c:v>11</c:v>
                </c:pt>
                <c:pt idx="14">
                  <c:v>12</c:v>
                </c:pt>
                <c:pt idx="15">
                  <c:v>13</c:v>
                </c:pt>
                <c:pt idx="16">
                  <c:v>14</c:v>
                </c:pt>
                <c:pt idx="17">
                  <c:v>15</c:v>
                </c:pt>
                <c:pt idx="18">
                  <c:v>16</c:v>
                </c:pt>
                <c:pt idx="19">
                  <c:v>17</c:v>
                </c:pt>
                <c:pt idx="20">
                  <c:v>18</c:v>
                </c:pt>
                <c:pt idx="21">
                  <c:v>18.5</c:v>
                </c:pt>
                <c:pt idx="22">
                  <c:v>19</c:v>
                </c:pt>
                <c:pt idx="23">
                  <c:v>19.5</c:v>
                </c:pt>
                <c:pt idx="24">
                  <c:v>20</c:v>
                </c:pt>
              </c:numCache>
            </c:numRef>
          </c:xVal>
          <c:yVal>
            <c:numRef>
              <c:f>Tools!$AU$70:$AU$94</c:f>
              <c:numCache>
                <c:formatCode>General</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yVal>
          <c:smooth val="1"/>
        </c:ser>
        <c:ser>
          <c:idx val="19"/>
          <c:order val="19"/>
          <c:tx>
            <c:strRef>
              <c:f>Tools!$AV$69</c:f>
              <c:strCache>
                <c:ptCount val="1"/>
                <c:pt idx="0">
                  <c:v>  </c:v>
                </c:pt>
              </c:strCache>
            </c:strRef>
          </c:tx>
          <c:marker>
            <c:symbol val="none"/>
          </c:marker>
          <c:xVal>
            <c:numRef>
              <c:f>Tools!$AB$70:$AB$94</c:f>
              <c:numCache>
                <c:formatCode>General</c:formatCode>
                <c:ptCount val="25"/>
                <c:pt idx="0">
                  <c:v>0</c:v>
                </c:pt>
                <c:pt idx="1">
                  <c:v>0.5</c:v>
                </c:pt>
                <c:pt idx="2">
                  <c:v>1</c:v>
                </c:pt>
                <c:pt idx="3">
                  <c:v>1.5</c:v>
                </c:pt>
                <c:pt idx="4">
                  <c:v>2</c:v>
                </c:pt>
                <c:pt idx="5">
                  <c:v>3</c:v>
                </c:pt>
                <c:pt idx="6">
                  <c:v>4</c:v>
                </c:pt>
                <c:pt idx="7">
                  <c:v>5</c:v>
                </c:pt>
                <c:pt idx="8">
                  <c:v>6</c:v>
                </c:pt>
                <c:pt idx="9">
                  <c:v>7</c:v>
                </c:pt>
                <c:pt idx="10">
                  <c:v>8</c:v>
                </c:pt>
                <c:pt idx="11">
                  <c:v>9</c:v>
                </c:pt>
                <c:pt idx="12">
                  <c:v>10</c:v>
                </c:pt>
                <c:pt idx="13">
                  <c:v>11</c:v>
                </c:pt>
                <c:pt idx="14">
                  <c:v>12</c:v>
                </c:pt>
                <c:pt idx="15">
                  <c:v>13</c:v>
                </c:pt>
                <c:pt idx="16">
                  <c:v>14</c:v>
                </c:pt>
                <c:pt idx="17">
                  <c:v>15</c:v>
                </c:pt>
                <c:pt idx="18">
                  <c:v>16</c:v>
                </c:pt>
                <c:pt idx="19">
                  <c:v>17</c:v>
                </c:pt>
                <c:pt idx="20">
                  <c:v>18</c:v>
                </c:pt>
                <c:pt idx="21">
                  <c:v>18.5</c:v>
                </c:pt>
                <c:pt idx="22">
                  <c:v>19</c:v>
                </c:pt>
                <c:pt idx="23">
                  <c:v>19.5</c:v>
                </c:pt>
                <c:pt idx="24">
                  <c:v>20</c:v>
                </c:pt>
              </c:numCache>
            </c:numRef>
          </c:xVal>
          <c:yVal>
            <c:numRef>
              <c:f>Tools!$AV$70:$AV$94</c:f>
              <c:numCache>
                <c:formatCode>General</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yVal>
          <c:smooth val="1"/>
        </c:ser>
        <c:ser>
          <c:idx val="20"/>
          <c:order val="20"/>
          <c:tx>
            <c:strRef>
              <c:f>Tools!$AW$69</c:f>
              <c:strCache>
                <c:ptCount val="1"/>
                <c:pt idx="0">
                  <c:v>  </c:v>
                </c:pt>
              </c:strCache>
            </c:strRef>
          </c:tx>
          <c:marker>
            <c:symbol val="none"/>
          </c:marker>
          <c:xVal>
            <c:numRef>
              <c:f>Tools!$AB$70:$AB$94</c:f>
              <c:numCache>
                <c:formatCode>General</c:formatCode>
                <c:ptCount val="25"/>
                <c:pt idx="0">
                  <c:v>0</c:v>
                </c:pt>
                <c:pt idx="1">
                  <c:v>0.5</c:v>
                </c:pt>
                <c:pt idx="2">
                  <c:v>1</c:v>
                </c:pt>
                <c:pt idx="3">
                  <c:v>1.5</c:v>
                </c:pt>
                <c:pt idx="4">
                  <c:v>2</c:v>
                </c:pt>
                <c:pt idx="5">
                  <c:v>3</c:v>
                </c:pt>
                <c:pt idx="6">
                  <c:v>4</c:v>
                </c:pt>
                <c:pt idx="7">
                  <c:v>5</c:v>
                </c:pt>
                <c:pt idx="8">
                  <c:v>6</c:v>
                </c:pt>
                <c:pt idx="9">
                  <c:v>7</c:v>
                </c:pt>
                <c:pt idx="10">
                  <c:v>8</c:v>
                </c:pt>
                <c:pt idx="11">
                  <c:v>9</c:v>
                </c:pt>
                <c:pt idx="12">
                  <c:v>10</c:v>
                </c:pt>
                <c:pt idx="13">
                  <c:v>11</c:v>
                </c:pt>
                <c:pt idx="14">
                  <c:v>12</c:v>
                </c:pt>
                <c:pt idx="15">
                  <c:v>13</c:v>
                </c:pt>
                <c:pt idx="16">
                  <c:v>14</c:v>
                </c:pt>
                <c:pt idx="17">
                  <c:v>15</c:v>
                </c:pt>
                <c:pt idx="18">
                  <c:v>16</c:v>
                </c:pt>
                <c:pt idx="19">
                  <c:v>17</c:v>
                </c:pt>
                <c:pt idx="20">
                  <c:v>18</c:v>
                </c:pt>
                <c:pt idx="21">
                  <c:v>18.5</c:v>
                </c:pt>
                <c:pt idx="22">
                  <c:v>19</c:v>
                </c:pt>
                <c:pt idx="23">
                  <c:v>19.5</c:v>
                </c:pt>
                <c:pt idx="24">
                  <c:v>20</c:v>
                </c:pt>
              </c:numCache>
            </c:numRef>
          </c:xVal>
          <c:yVal>
            <c:numRef>
              <c:f>Tools!$AW$70:$AW$94</c:f>
              <c:numCache>
                <c:formatCode>General</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yVal>
          <c:smooth val="1"/>
        </c:ser>
        <c:ser>
          <c:idx val="21"/>
          <c:order val="21"/>
          <c:tx>
            <c:strRef>
              <c:f>Tools!$AX$69</c:f>
              <c:strCache>
                <c:ptCount val="1"/>
                <c:pt idx="0">
                  <c:v>  </c:v>
                </c:pt>
              </c:strCache>
            </c:strRef>
          </c:tx>
          <c:marker>
            <c:symbol val="none"/>
          </c:marker>
          <c:xVal>
            <c:numRef>
              <c:f>Tools!$AB$70:$AB$94</c:f>
              <c:numCache>
                <c:formatCode>General</c:formatCode>
                <c:ptCount val="25"/>
                <c:pt idx="0">
                  <c:v>0</c:v>
                </c:pt>
                <c:pt idx="1">
                  <c:v>0.5</c:v>
                </c:pt>
                <c:pt idx="2">
                  <c:v>1</c:v>
                </c:pt>
                <c:pt idx="3">
                  <c:v>1.5</c:v>
                </c:pt>
                <c:pt idx="4">
                  <c:v>2</c:v>
                </c:pt>
                <c:pt idx="5">
                  <c:v>3</c:v>
                </c:pt>
                <c:pt idx="6">
                  <c:v>4</c:v>
                </c:pt>
                <c:pt idx="7">
                  <c:v>5</c:v>
                </c:pt>
                <c:pt idx="8">
                  <c:v>6</c:v>
                </c:pt>
                <c:pt idx="9">
                  <c:v>7</c:v>
                </c:pt>
                <c:pt idx="10">
                  <c:v>8</c:v>
                </c:pt>
                <c:pt idx="11">
                  <c:v>9</c:v>
                </c:pt>
                <c:pt idx="12">
                  <c:v>10</c:v>
                </c:pt>
                <c:pt idx="13">
                  <c:v>11</c:v>
                </c:pt>
                <c:pt idx="14">
                  <c:v>12</c:v>
                </c:pt>
                <c:pt idx="15">
                  <c:v>13</c:v>
                </c:pt>
                <c:pt idx="16">
                  <c:v>14</c:v>
                </c:pt>
                <c:pt idx="17">
                  <c:v>15</c:v>
                </c:pt>
                <c:pt idx="18">
                  <c:v>16</c:v>
                </c:pt>
                <c:pt idx="19">
                  <c:v>17</c:v>
                </c:pt>
                <c:pt idx="20">
                  <c:v>18</c:v>
                </c:pt>
                <c:pt idx="21">
                  <c:v>18.5</c:v>
                </c:pt>
                <c:pt idx="22">
                  <c:v>19</c:v>
                </c:pt>
                <c:pt idx="23">
                  <c:v>19.5</c:v>
                </c:pt>
                <c:pt idx="24">
                  <c:v>20</c:v>
                </c:pt>
              </c:numCache>
            </c:numRef>
          </c:xVal>
          <c:yVal>
            <c:numRef>
              <c:f>Tools!$AX$70:$AX$94</c:f>
              <c:numCache>
                <c:formatCode>General</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yVal>
          <c:smooth val="1"/>
        </c:ser>
        <c:ser>
          <c:idx val="22"/>
          <c:order val="22"/>
          <c:tx>
            <c:strRef>
              <c:f>Tools!$AY$69</c:f>
              <c:strCache>
                <c:ptCount val="1"/>
                <c:pt idx="0">
                  <c:v>  </c:v>
                </c:pt>
              </c:strCache>
            </c:strRef>
          </c:tx>
          <c:marker>
            <c:symbol val="none"/>
          </c:marker>
          <c:xVal>
            <c:numRef>
              <c:f>Tools!$AB$70:$AB$94</c:f>
              <c:numCache>
                <c:formatCode>General</c:formatCode>
                <c:ptCount val="25"/>
                <c:pt idx="0">
                  <c:v>0</c:v>
                </c:pt>
                <c:pt idx="1">
                  <c:v>0.5</c:v>
                </c:pt>
                <c:pt idx="2">
                  <c:v>1</c:v>
                </c:pt>
                <c:pt idx="3">
                  <c:v>1.5</c:v>
                </c:pt>
                <c:pt idx="4">
                  <c:v>2</c:v>
                </c:pt>
                <c:pt idx="5">
                  <c:v>3</c:v>
                </c:pt>
                <c:pt idx="6">
                  <c:v>4</c:v>
                </c:pt>
                <c:pt idx="7">
                  <c:v>5</c:v>
                </c:pt>
                <c:pt idx="8">
                  <c:v>6</c:v>
                </c:pt>
                <c:pt idx="9">
                  <c:v>7</c:v>
                </c:pt>
                <c:pt idx="10">
                  <c:v>8</c:v>
                </c:pt>
                <c:pt idx="11">
                  <c:v>9</c:v>
                </c:pt>
                <c:pt idx="12">
                  <c:v>10</c:v>
                </c:pt>
                <c:pt idx="13">
                  <c:v>11</c:v>
                </c:pt>
                <c:pt idx="14">
                  <c:v>12</c:v>
                </c:pt>
                <c:pt idx="15">
                  <c:v>13</c:v>
                </c:pt>
                <c:pt idx="16">
                  <c:v>14</c:v>
                </c:pt>
                <c:pt idx="17">
                  <c:v>15</c:v>
                </c:pt>
                <c:pt idx="18">
                  <c:v>16</c:v>
                </c:pt>
                <c:pt idx="19">
                  <c:v>17</c:v>
                </c:pt>
                <c:pt idx="20">
                  <c:v>18</c:v>
                </c:pt>
                <c:pt idx="21">
                  <c:v>18.5</c:v>
                </c:pt>
                <c:pt idx="22">
                  <c:v>19</c:v>
                </c:pt>
                <c:pt idx="23">
                  <c:v>19.5</c:v>
                </c:pt>
                <c:pt idx="24">
                  <c:v>20</c:v>
                </c:pt>
              </c:numCache>
            </c:numRef>
          </c:xVal>
          <c:yVal>
            <c:numRef>
              <c:f>Tools!$AY$70:$AY$94</c:f>
              <c:numCache>
                <c:formatCode>General</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yVal>
          <c:smooth val="1"/>
        </c:ser>
        <c:ser>
          <c:idx val="23"/>
          <c:order val="23"/>
          <c:tx>
            <c:strRef>
              <c:f>Tools!$AZ$69</c:f>
              <c:strCache>
                <c:ptCount val="1"/>
                <c:pt idx="0">
                  <c:v>  </c:v>
                </c:pt>
              </c:strCache>
            </c:strRef>
          </c:tx>
          <c:marker>
            <c:symbol val="none"/>
          </c:marker>
          <c:xVal>
            <c:numRef>
              <c:f>Tools!$AB$70:$AB$94</c:f>
              <c:numCache>
                <c:formatCode>General</c:formatCode>
                <c:ptCount val="25"/>
                <c:pt idx="0">
                  <c:v>0</c:v>
                </c:pt>
                <c:pt idx="1">
                  <c:v>0.5</c:v>
                </c:pt>
                <c:pt idx="2">
                  <c:v>1</c:v>
                </c:pt>
                <c:pt idx="3">
                  <c:v>1.5</c:v>
                </c:pt>
                <c:pt idx="4">
                  <c:v>2</c:v>
                </c:pt>
                <c:pt idx="5">
                  <c:v>3</c:v>
                </c:pt>
                <c:pt idx="6">
                  <c:v>4</c:v>
                </c:pt>
                <c:pt idx="7">
                  <c:v>5</c:v>
                </c:pt>
                <c:pt idx="8">
                  <c:v>6</c:v>
                </c:pt>
                <c:pt idx="9">
                  <c:v>7</c:v>
                </c:pt>
                <c:pt idx="10">
                  <c:v>8</c:v>
                </c:pt>
                <c:pt idx="11">
                  <c:v>9</c:v>
                </c:pt>
                <c:pt idx="12">
                  <c:v>10</c:v>
                </c:pt>
                <c:pt idx="13">
                  <c:v>11</c:v>
                </c:pt>
                <c:pt idx="14">
                  <c:v>12</c:v>
                </c:pt>
                <c:pt idx="15">
                  <c:v>13</c:v>
                </c:pt>
                <c:pt idx="16">
                  <c:v>14</c:v>
                </c:pt>
                <c:pt idx="17">
                  <c:v>15</c:v>
                </c:pt>
                <c:pt idx="18">
                  <c:v>16</c:v>
                </c:pt>
                <c:pt idx="19">
                  <c:v>17</c:v>
                </c:pt>
                <c:pt idx="20">
                  <c:v>18</c:v>
                </c:pt>
                <c:pt idx="21">
                  <c:v>18.5</c:v>
                </c:pt>
                <c:pt idx="22">
                  <c:v>19</c:v>
                </c:pt>
                <c:pt idx="23">
                  <c:v>19.5</c:v>
                </c:pt>
                <c:pt idx="24">
                  <c:v>20</c:v>
                </c:pt>
              </c:numCache>
            </c:numRef>
          </c:xVal>
          <c:yVal>
            <c:numRef>
              <c:f>Tools!$AZ$70:$AZ$94</c:f>
              <c:numCache>
                <c:formatCode>General</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yVal>
          <c:smooth val="1"/>
        </c:ser>
        <c:ser>
          <c:idx val="24"/>
          <c:order val="24"/>
          <c:tx>
            <c:strRef>
              <c:f>Tools!$BA$69</c:f>
              <c:strCache>
                <c:ptCount val="1"/>
                <c:pt idx="0">
                  <c:v>  </c:v>
                </c:pt>
              </c:strCache>
            </c:strRef>
          </c:tx>
          <c:marker>
            <c:symbol val="none"/>
          </c:marker>
          <c:xVal>
            <c:numRef>
              <c:f>Tools!$AB$70:$AB$94</c:f>
              <c:numCache>
                <c:formatCode>General</c:formatCode>
                <c:ptCount val="25"/>
                <c:pt idx="0">
                  <c:v>0</c:v>
                </c:pt>
                <c:pt idx="1">
                  <c:v>0.5</c:v>
                </c:pt>
                <c:pt idx="2">
                  <c:v>1</c:v>
                </c:pt>
                <c:pt idx="3">
                  <c:v>1.5</c:v>
                </c:pt>
                <c:pt idx="4">
                  <c:v>2</c:v>
                </c:pt>
                <c:pt idx="5">
                  <c:v>3</c:v>
                </c:pt>
                <c:pt idx="6">
                  <c:v>4</c:v>
                </c:pt>
                <c:pt idx="7">
                  <c:v>5</c:v>
                </c:pt>
                <c:pt idx="8">
                  <c:v>6</c:v>
                </c:pt>
                <c:pt idx="9">
                  <c:v>7</c:v>
                </c:pt>
                <c:pt idx="10">
                  <c:v>8</c:v>
                </c:pt>
                <c:pt idx="11">
                  <c:v>9</c:v>
                </c:pt>
                <c:pt idx="12">
                  <c:v>10</c:v>
                </c:pt>
                <c:pt idx="13">
                  <c:v>11</c:v>
                </c:pt>
                <c:pt idx="14">
                  <c:v>12</c:v>
                </c:pt>
                <c:pt idx="15">
                  <c:v>13</c:v>
                </c:pt>
                <c:pt idx="16">
                  <c:v>14</c:v>
                </c:pt>
                <c:pt idx="17">
                  <c:v>15</c:v>
                </c:pt>
                <c:pt idx="18">
                  <c:v>16</c:v>
                </c:pt>
                <c:pt idx="19">
                  <c:v>17</c:v>
                </c:pt>
                <c:pt idx="20">
                  <c:v>18</c:v>
                </c:pt>
                <c:pt idx="21">
                  <c:v>18.5</c:v>
                </c:pt>
                <c:pt idx="22">
                  <c:v>19</c:v>
                </c:pt>
                <c:pt idx="23">
                  <c:v>19.5</c:v>
                </c:pt>
                <c:pt idx="24">
                  <c:v>20</c:v>
                </c:pt>
              </c:numCache>
            </c:numRef>
          </c:xVal>
          <c:yVal>
            <c:numRef>
              <c:f>Tools!$BA$70:$BA$94</c:f>
              <c:numCache>
                <c:formatCode>General</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yVal>
          <c:smooth val="1"/>
        </c:ser>
        <c:dLbls>
          <c:showLegendKey val="0"/>
          <c:showVal val="0"/>
          <c:showCatName val="0"/>
          <c:showSerName val="0"/>
          <c:showPercent val="0"/>
          <c:showBubbleSize val="0"/>
        </c:dLbls>
        <c:axId val="990228864"/>
        <c:axId val="990230400"/>
      </c:scatterChart>
      <c:valAx>
        <c:axId val="990228864"/>
        <c:scaling>
          <c:orientation val="minMax"/>
          <c:min val="0"/>
        </c:scaling>
        <c:delete val="0"/>
        <c:axPos val="b"/>
        <c:numFmt formatCode="General" sourceLinked="1"/>
        <c:majorTickMark val="out"/>
        <c:minorTickMark val="none"/>
        <c:tickLblPos val="nextTo"/>
        <c:crossAx val="990230400"/>
        <c:crosses val="autoZero"/>
        <c:crossBetween val="midCat"/>
        <c:majorUnit val="1"/>
        <c:minorUnit val="1"/>
      </c:valAx>
      <c:valAx>
        <c:axId val="990230400"/>
        <c:scaling>
          <c:orientation val="minMax"/>
        </c:scaling>
        <c:delete val="0"/>
        <c:axPos val="l"/>
        <c:majorGridlines>
          <c:spPr>
            <a:ln>
              <a:solidFill>
                <a:schemeClr val="tx1">
                  <a:alpha val="11000"/>
                </a:schemeClr>
              </a:solidFill>
            </a:ln>
          </c:spPr>
        </c:majorGridlines>
        <c:numFmt formatCode="General" sourceLinked="1"/>
        <c:majorTickMark val="out"/>
        <c:minorTickMark val="none"/>
        <c:tickLblPos val="nextTo"/>
        <c:crossAx val="990228864"/>
        <c:crosses val="autoZero"/>
        <c:crossBetween val="midCat"/>
      </c:valAx>
    </c:plotArea>
    <c:legend>
      <c:legendPos val="r"/>
      <c:layout>
        <c:manualLayout>
          <c:xMode val="edge"/>
          <c:yMode val="edge"/>
          <c:x val="0.9066310630636949"/>
          <c:y val="4.3541578730922181E-2"/>
          <c:w val="7.5620495118003311E-2"/>
          <c:h val="0.87160202050925872"/>
        </c:manualLayout>
      </c:layout>
      <c:overlay val="0"/>
    </c:legend>
    <c:plotVisOnly val="1"/>
    <c:dispBlanksAs val="gap"/>
    <c:showDLblsOverMax val="0"/>
  </c:chart>
  <c:printSettings>
    <c:headerFooter/>
    <c:pageMargins b="0.75" l="0.7" r="0.7" t="0.75" header="0.3" footer="0.3"/>
    <c:pageSetup/>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I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Bonjean Moment</a:t>
            </a:r>
          </a:p>
        </c:rich>
      </c:tx>
      <c:layout>
        <c:manualLayout>
          <c:xMode val="edge"/>
          <c:yMode val="edge"/>
          <c:x val="0.46939603726276541"/>
          <c:y val="1.9407609151691079E-2"/>
        </c:manualLayout>
      </c:layout>
      <c:overlay val="0"/>
    </c:title>
    <c:autoTitleDeleted val="0"/>
    <c:plotArea>
      <c:layout>
        <c:manualLayout>
          <c:layoutTarget val="inner"/>
          <c:xMode val="edge"/>
          <c:yMode val="edge"/>
          <c:x val="1.1993482053380604E-2"/>
          <c:y val="9.0155667319992347E-2"/>
          <c:w val="0.97876077016654528"/>
          <c:h val="0.84038805710785291"/>
        </c:manualLayout>
      </c:layout>
      <c:scatterChart>
        <c:scatterStyle val="smoothMarker"/>
        <c:varyColors val="0"/>
        <c:ser>
          <c:idx val="25"/>
          <c:order val="0"/>
          <c:tx>
            <c:strRef>
              <c:f>Tools!$CK$30</c:f>
              <c:strCache>
                <c:ptCount val="1"/>
                <c:pt idx="0">
                  <c:v>0</c:v>
                </c:pt>
              </c:strCache>
            </c:strRef>
          </c:tx>
          <c:spPr>
            <a:ln w="3175">
              <a:solidFill>
                <a:schemeClr val="accent6">
                  <a:lumMod val="75000"/>
                </a:schemeClr>
              </a:solidFill>
            </a:ln>
          </c:spPr>
          <c:marker>
            <c:symbol val="none"/>
          </c:marker>
          <c:xVal>
            <c:numRef>
              <c:f>Tools!$CL$30:$DJ$30</c:f>
              <c:numCache>
                <c:formatCode>General</c:formatCode>
                <c:ptCount val="25"/>
                <c:pt idx="0">
                  <c:v>0</c:v>
                </c:pt>
                <c:pt idx="1">
                  <c:v>0</c:v>
                </c:pt>
                <c:pt idx="2">
                  <c:v>0</c:v>
                </c:pt>
                <c:pt idx="3">
                  <c:v>0</c:v>
                </c:pt>
                <c:pt idx="4">
                  <c:v>0</c:v>
                </c:pt>
                <c:pt idx="5">
                  <c:v>0</c:v>
                </c:pt>
                <c:pt idx="6">
                  <c:v>0</c:v>
                </c:pt>
                <c:pt idx="7">
                  <c:v>3.1463748290013679E-3</c:v>
                </c:pt>
                <c:pt idx="8">
                  <c:v>2.7460586715306268E-2</c:v>
                </c:pt>
                <c:pt idx="9">
                  <c:v>3.5522115823073422E-2</c:v>
                </c:pt>
                <c:pt idx="10">
                  <c:v>0.10397628818969448</c:v>
                </c:pt>
                <c:pt idx="11">
                  <c:v>0.14994984040127682</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xVal>
          <c:yVal>
            <c:numRef>
              <c:f>Tools!$CL$4:$DJ$4</c:f>
              <c:numCache>
                <c:formatCode>General</c:formatCode>
                <c:ptCount val="25"/>
                <c:pt idx="0">
                  <c:v>0</c:v>
                </c:pt>
                <c:pt idx="1">
                  <c:v>0.25</c:v>
                </c:pt>
                <c:pt idx="2">
                  <c:v>0.5</c:v>
                </c:pt>
                <c:pt idx="3">
                  <c:v>0.75</c:v>
                </c:pt>
                <c:pt idx="4">
                  <c:v>1</c:v>
                </c:pt>
                <c:pt idx="5">
                  <c:v>2</c:v>
                </c:pt>
                <c:pt idx="6">
                  <c:v>3</c:v>
                </c:pt>
                <c:pt idx="7">
                  <c:v>4</c:v>
                </c:pt>
                <c:pt idx="8">
                  <c:v>4.8499999999999996</c:v>
                </c:pt>
                <c:pt idx="9">
                  <c:v>5</c:v>
                </c:pt>
                <c:pt idx="10">
                  <c:v>6</c:v>
                </c:pt>
                <c:pt idx="11">
                  <c:v>6.5</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yVal>
          <c:smooth val="1"/>
        </c:ser>
        <c:ser>
          <c:idx val="26"/>
          <c:order val="1"/>
          <c:tx>
            <c:strRef>
              <c:f>Tools!$CK$31</c:f>
              <c:strCache>
                <c:ptCount val="1"/>
                <c:pt idx="0">
                  <c:v>0.5</c:v>
                </c:pt>
              </c:strCache>
            </c:strRef>
          </c:tx>
          <c:spPr>
            <a:ln w="3175">
              <a:solidFill>
                <a:schemeClr val="accent6">
                  <a:lumMod val="75000"/>
                </a:schemeClr>
              </a:solidFill>
            </a:ln>
          </c:spPr>
          <c:marker>
            <c:symbol val="none"/>
          </c:marker>
          <c:xVal>
            <c:numRef>
              <c:f>Tools!$CL$31:$DJ$31</c:f>
              <c:numCache>
                <c:formatCode>General</c:formatCode>
                <c:ptCount val="25"/>
                <c:pt idx="0">
                  <c:v>0.5</c:v>
                </c:pt>
                <c:pt idx="1">
                  <c:v>0.50001994984040132</c:v>
                </c:pt>
                <c:pt idx="2">
                  <c:v>0.5000911992704058</c:v>
                </c:pt>
                <c:pt idx="3">
                  <c:v>0.50020462836297308</c:v>
                </c:pt>
                <c:pt idx="4">
                  <c:v>0.50038911688706489</c:v>
                </c:pt>
                <c:pt idx="5">
                  <c:v>0.50188630490956077</c:v>
                </c:pt>
                <c:pt idx="6">
                  <c:v>0.50631098951208386</c:v>
                </c:pt>
                <c:pt idx="7">
                  <c:v>0.52413892688858488</c:v>
                </c:pt>
                <c:pt idx="8">
                  <c:v>0.56987096823225414</c:v>
                </c:pt>
                <c:pt idx="9">
                  <c:v>0.58268733850129195</c:v>
                </c:pt>
                <c:pt idx="10">
                  <c:v>0.68233926128590972</c:v>
                </c:pt>
                <c:pt idx="11">
                  <c:v>0.74666666666666659</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xVal>
          <c:yVal>
            <c:numRef>
              <c:f>Tools!$CL$4:$DJ$4</c:f>
              <c:numCache>
                <c:formatCode>General</c:formatCode>
                <c:ptCount val="25"/>
                <c:pt idx="0">
                  <c:v>0</c:v>
                </c:pt>
                <c:pt idx="1">
                  <c:v>0.25</c:v>
                </c:pt>
                <c:pt idx="2">
                  <c:v>0.5</c:v>
                </c:pt>
                <c:pt idx="3">
                  <c:v>0.75</c:v>
                </c:pt>
                <c:pt idx="4">
                  <c:v>1</c:v>
                </c:pt>
                <c:pt idx="5">
                  <c:v>2</c:v>
                </c:pt>
                <c:pt idx="6">
                  <c:v>3</c:v>
                </c:pt>
                <c:pt idx="7">
                  <c:v>4</c:v>
                </c:pt>
                <c:pt idx="8">
                  <c:v>4.8499999999999996</c:v>
                </c:pt>
                <c:pt idx="9">
                  <c:v>5</c:v>
                </c:pt>
                <c:pt idx="10">
                  <c:v>6</c:v>
                </c:pt>
                <c:pt idx="11">
                  <c:v>6.5</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yVal>
          <c:smooth val="1"/>
        </c:ser>
        <c:ser>
          <c:idx val="27"/>
          <c:order val="2"/>
          <c:tx>
            <c:strRef>
              <c:f>Tools!$CK$32</c:f>
              <c:strCache>
                <c:ptCount val="1"/>
                <c:pt idx="0">
                  <c:v>1</c:v>
                </c:pt>
              </c:strCache>
            </c:strRef>
          </c:tx>
          <c:spPr>
            <a:ln w="3175">
              <a:solidFill>
                <a:schemeClr val="accent6">
                  <a:lumMod val="75000"/>
                </a:schemeClr>
              </a:solidFill>
            </a:ln>
          </c:spPr>
          <c:marker>
            <c:symbol val="none"/>
          </c:marker>
          <c:xVal>
            <c:numRef>
              <c:f>Tools!$CL$32:$DJ$32</c:f>
              <c:numCache>
                <c:formatCode>General</c:formatCode>
                <c:ptCount val="25"/>
                <c:pt idx="0">
                  <c:v>1</c:v>
                </c:pt>
                <c:pt idx="1">
                  <c:v>1.0000495896032833</c:v>
                </c:pt>
                <c:pt idx="2">
                  <c:v>1.0002553579571363</c:v>
                </c:pt>
                <c:pt idx="3">
                  <c:v>1.0006902644778841</c:v>
                </c:pt>
                <c:pt idx="4">
                  <c:v>1.0014135886912905</c:v>
                </c:pt>
                <c:pt idx="5">
                  <c:v>1.0080057759537924</c:v>
                </c:pt>
                <c:pt idx="6">
                  <c:v>1.0248943608451133</c:v>
                </c:pt>
                <c:pt idx="7">
                  <c:v>1.0641358869129047</c:v>
                </c:pt>
                <c:pt idx="8">
                  <c:v>1.130201778385773</c:v>
                </c:pt>
                <c:pt idx="9">
                  <c:v>1.1463353093175255</c:v>
                </c:pt>
                <c:pt idx="10">
                  <c:v>1.2738212494300045</c:v>
                </c:pt>
                <c:pt idx="11">
                  <c:v>1.3540553275573797</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xVal>
          <c:yVal>
            <c:numRef>
              <c:f>Tools!$CL$4:$DJ$4</c:f>
              <c:numCache>
                <c:formatCode>General</c:formatCode>
                <c:ptCount val="25"/>
                <c:pt idx="0">
                  <c:v>0</c:v>
                </c:pt>
                <c:pt idx="1">
                  <c:v>0.25</c:v>
                </c:pt>
                <c:pt idx="2">
                  <c:v>0.5</c:v>
                </c:pt>
                <c:pt idx="3">
                  <c:v>0.75</c:v>
                </c:pt>
                <c:pt idx="4">
                  <c:v>1</c:v>
                </c:pt>
                <c:pt idx="5">
                  <c:v>2</c:v>
                </c:pt>
                <c:pt idx="6">
                  <c:v>3</c:v>
                </c:pt>
                <c:pt idx="7">
                  <c:v>4</c:v>
                </c:pt>
                <c:pt idx="8">
                  <c:v>4.8499999999999996</c:v>
                </c:pt>
                <c:pt idx="9">
                  <c:v>5</c:v>
                </c:pt>
                <c:pt idx="10">
                  <c:v>6</c:v>
                </c:pt>
                <c:pt idx="11">
                  <c:v>6.5</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yVal>
          <c:smooth val="1"/>
        </c:ser>
        <c:ser>
          <c:idx val="28"/>
          <c:order val="3"/>
          <c:tx>
            <c:strRef>
              <c:f>Tools!$CK$33</c:f>
              <c:strCache>
                <c:ptCount val="1"/>
                <c:pt idx="0">
                  <c:v>1.5</c:v>
                </c:pt>
              </c:strCache>
            </c:strRef>
          </c:tx>
          <c:spPr>
            <a:ln w="3175">
              <a:solidFill>
                <a:schemeClr val="accent6">
                  <a:lumMod val="75000"/>
                </a:schemeClr>
              </a:solidFill>
            </a:ln>
          </c:spPr>
          <c:marker>
            <c:symbol val="none"/>
          </c:marker>
          <c:xVal>
            <c:numRef>
              <c:f>Tools!$CL$33:$DJ$33</c:f>
              <c:numCache>
                <c:formatCode>General</c:formatCode>
                <c:ptCount val="25"/>
                <c:pt idx="0">
                  <c:v>1.5</c:v>
                </c:pt>
                <c:pt idx="1">
                  <c:v>1.500095474236206</c:v>
                </c:pt>
                <c:pt idx="2">
                  <c:v>1.5005061559507524</c:v>
                </c:pt>
                <c:pt idx="3">
                  <c:v>1.5013677040583675</c:v>
                </c:pt>
                <c:pt idx="4">
                  <c:v>1.5027906976744185</c:v>
                </c:pt>
                <c:pt idx="5">
                  <c:v>1.5158701930384557</c:v>
                </c:pt>
                <c:pt idx="6">
                  <c:v>1.5465055479556165</c:v>
                </c:pt>
                <c:pt idx="7">
                  <c:v>1.60578051375589</c:v>
                </c:pt>
                <c:pt idx="8">
                  <c:v>1.6905913664690682</c:v>
                </c:pt>
                <c:pt idx="9">
                  <c:v>1.7102143182854537</c:v>
                </c:pt>
                <c:pt idx="10">
                  <c:v>1.8612357501139991</c:v>
                </c:pt>
                <c:pt idx="11">
                  <c:v>1.9547484420124639</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xVal>
          <c:yVal>
            <c:numRef>
              <c:f>Tools!$CL$4:$DJ$4</c:f>
              <c:numCache>
                <c:formatCode>General</c:formatCode>
                <c:ptCount val="25"/>
                <c:pt idx="0">
                  <c:v>0</c:v>
                </c:pt>
                <c:pt idx="1">
                  <c:v>0.25</c:v>
                </c:pt>
                <c:pt idx="2">
                  <c:v>0.5</c:v>
                </c:pt>
                <c:pt idx="3">
                  <c:v>0.75</c:v>
                </c:pt>
                <c:pt idx="4">
                  <c:v>1</c:v>
                </c:pt>
                <c:pt idx="5">
                  <c:v>2</c:v>
                </c:pt>
                <c:pt idx="6">
                  <c:v>3</c:v>
                </c:pt>
                <c:pt idx="7">
                  <c:v>4</c:v>
                </c:pt>
                <c:pt idx="8">
                  <c:v>4.8499999999999996</c:v>
                </c:pt>
                <c:pt idx="9">
                  <c:v>5</c:v>
                </c:pt>
                <c:pt idx="10">
                  <c:v>6</c:v>
                </c:pt>
                <c:pt idx="11">
                  <c:v>6.5</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yVal>
          <c:smooth val="1"/>
        </c:ser>
        <c:ser>
          <c:idx val="29"/>
          <c:order val="4"/>
          <c:tx>
            <c:strRef>
              <c:f>Tools!$CK$34</c:f>
              <c:strCache>
                <c:ptCount val="1"/>
                <c:pt idx="0">
                  <c:v>2</c:v>
                </c:pt>
              </c:strCache>
            </c:strRef>
          </c:tx>
          <c:spPr>
            <a:ln w="3175">
              <a:solidFill>
                <a:schemeClr val="accent6">
                  <a:lumMod val="75000"/>
                </a:schemeClr>
              </a:solidFill>
            </a:ln>
          </c:spPr>
          <c:marker>
            <c:symbol val="none"/>
          </c:marker>
          <c:xVal>
            <c:numRef>
              <c:f>Tools!$CL$34:$DJ$34</c:f>
              <c:numCache>
                <c:formatCode>General</c:formatCode>
                <c:ptCount val="25"/>
                <c:pt idx="0">
                  <c:v>2</c:v>
                </c:pt>
                <c:pt idx="1">
                  <c:v>2.00015636874905</c:v>
                </c:pt>
                <c:pt idx="2">
                  <c:v>2.0008086335309319</c:v>
                </c:pt>
                <c:pt idx="3">
                  <c:v>2.002168832649339</c:v>
                </c:pt>
                <c:pt idx="4">
                  <c:v>2.0043866849065206</c:v>
                </c:pt>
                <c:pt idx="5">
                  <c:v>2.0242483660130719</c:v>
                </c:pt>
                <c:pt idx="6">
                  <c:v>2.0677762577899377</c:v>
                </c:pt>
                <c:pt idx="7">
                  <c:v>2.1440234078127376</c:v>
                </c:pt>
                <c:pt idx="8">
                  <c:v>2.2443789633682929</c:v>
                </c:pt>
                <c:pt idx="9">
                  <c:v>2.2662745098039214</c:v>
                </c:pt>
                <c:pt idx="10">
                  <c:v>2.4373689010487913</c:v>
                </c:pt>
                <c:pt idx="11">
                  <c:v>2.5413634290925673</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xVal>
          <c:yVal>
            <c:numRef>
              <c:f>Tools!$CL$4:$DJ$4</c:f>
              <c:numCache>
                <c:formatCode>General</c:formatCode>
                <c:ptCount val="25"/>
                <c:pt idx="0">
                  <c:v>0</c:v>
                </c:pt>
                <c:pt idx="1">
                  <c:v>0.25</c:v>
                </c:pt>
                <c:pt idx="2">
                  <c:v>0.5</c:v>
                </c:pt>
                <c:pt idx="3">
                  <c:v>0.75</c:v>
                </c:pt>
                <c:pt idx="4">
                  <c:v>1</c:v>
                </c:pt>
                <c:pt idx="5">
                  <c:v>2</c:v>
                </c:pt>
                <c:pt idx="6">
                  <c:v>3</c:v>
                </c:pt>
                <c:pt idx="7">
                  <c:v>4</c:v>
                </c:pt>
                <c:pt idx="8">
                  <c:v>4.8499999999999996</c:v>
                </c:pt>
                <c:pt idx="9">
                  <c:v>5</c:v>
                </c:pt>
                <c:pt idx="10">
                  <c:v>6</c:v>
                </c:pt>
                <c:pt idx="11">
                  <c:v>6.5</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yVal>
          <c:smooth val="1"/>
        </c:ser>
        <c:ser>
          <c:idx val="30"/>
          <c:order val="5"/>
          <c:tx>
            <c:strRef>
              <c:f>Tools!$CK$36</c:f>
              <c:strCache>
                <c:ptCount val="1"/>
                <c:pt idx="0">
                  <c:v>4</c:v>
                </c:pt>
              </c:strCache>
            </c:strRef>
          </c:tx>
          <c:spPr>
            <a:ln w="3175">
              <a:solidFill>
                <a:schemeClr val="accent6">
                  <a:lumMod val="75000"/>
                </a:schemeClr>
              </a:solidFill>
            </a:ln>
          </c:spPr>
          <c:marker>
            <c:symbol val="none"/>
          </c:marker>
          <c:xVal>
            <c:numRef>
              <c:f>Tools!$CL$36:$DJ$36</c:f>
              <c:numCache>
                <c:formatCode>General</c:formatCode>
                <c:ptCount val="25"/>
                <c:pt idx="0">
                  <c:v>4</c:v>
                </c:pt>
                <c:pt idx="1">
                  <c:v>4.0005551755585955</c:v>
                </c:pt>
                <c:pt idx="2">
                  <c:v>4.0025718194254445</c:v>
                </c:pt>
                <c:pt idx="3">
                  <c:v>4.0063235294117643</c:v>
                </c:pt>
                <c:pt idx="4">
                  <c:v>4.0119683842529259</c:v>
                </c:pt>
                <c:pt idx="5">
                  <c:v>4.0560905912752698</c:v>
                </c:pt>
                <c:pt idx="6">
                  <c:v>4.1390636874905002</c:v>
                </c:pt>
                <c:pt idx="7">
                  <c:v>4.2640492476060192</c:v>
                </c:pt>
                <c:pt idx="8">
                  <c:v>4.4051086791305671</c:v>
                </c:pt>
                <c:pt idx="9">
                  <c:v>4.4338805289557683</c:v>
                </c:pt>
                <c:pt idx="10">
                  <c:v>4.6473293813649494</c:v>
                </c:pt>
                <c:pt idx="11">
                  <c:v>4.7708527131782947</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xVal>
          <c:yVal>
            <c:numRef>
              <c:f>Tools!$CL$4:$DJ$4</c:f>
              <c:numCache>
                <c:formatCode>General</c:formatCode>
                <c:ptCount val="25"/>
                <c:pt idx="0">
                  <c:v>0</c:v>
                </c:pt>
                <c:pt idx="1">
                  <c:v>0.25</c:v>
                </c:pt>
                <c:pt idx="2">
                  <c:v>0.5</c:v>
                </c:pt>
                <c:pt idx="3">
                  <c:v>0.75</c:v>
                </c:pt>
                <c:pt idx="4">
                  <c:v>1</c:v>
                </c:pt>
                <c:pt idx="5">
                  <c:v>2</c:v>
                </c:pt>
                <c:pt idx="6">
                  <c:v>3</c:v>
                </c:pt>
                <c:pt idx="7">
                  <c:v>4</c:v>
                </c:pt>
                <c:pt idx="8">
                  <c:v>4.8499999999999996</c:v>
                </c:pt>
                <c:pt idx="9">
                  <c:v>5</c:v>
                </c:pt>
                <c:pt idx="10">
                  <c:v>6</c:v>
                </c:pt>
                <c:pt idx="11">
                  <c:v>6.5</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yVal>
          <c:smooth val="1"/>
        </c:ser>
        <c:ser>
          <c:idx val="31"/>
          <c:order val="6"/>
          <c:tx>
            <c:strRef>
              <c:f>Tools!$CK$37</c:f>
              <c:strCache>
                <c:ptCount val="1"/>
                <c:pt idx="0">
                  <c:v>5</c:v>
                </c:pt>
              </c:strCache>
            </c:strRef>
          </c:tx>
          <c:spPr>
            <a:ln w="3175">
              <a:solidFill>
                <a:schemeClr val="accent6">
                  <a:lumMod val="75000"/>
                </a:schemeClr>
              </a:solidFill>
            </a:ln>
          </c:spPr>
          <c:marker>
            <c:symbol val="none"/>
          </c:marker>
          <c:xVal>
            <c:numRef>
              <c:f>Tools!$CL$37:$DJ$37</c:f>
              <c:numCache>
                <c:formatCode>General</c:formatCode>
                <c:ptCount val="25"/>
                <c:pt idx="0">
                  <c:v>5</c:v>
                </c:pt>
                <c:pt idx="1">
                  <c:v>5.0007807037543701</c:v>
                </c:pt>
                <c:pt idx="2">
                  <c:v>5.0034412524699805</c:v>
                </c:pt>
                <c:pt idx="3">
                  <c:v>5.0082529639762878</c:v>
                </c:pt>
                <c:pt idx="4">
                  <c:v>5.0153670770633836</c:v>
                </c:pt>
                <c:pt idx="5">
                  <c:v>5.0679145766833864</c:v>
                </c:pt>
                <c:pt idx="6">
                  <c:v>5.1607630338957291</c:v>
                </c:pt>
                <c:pt idx="7">
                  <c:v>5.293869889040888</c:v>
                </c:pt>
                <c:pt idx="8">
                  <c:v>5.4400285453716366</c:v>
                </c:pt>
                <c:pt idx="9">
                  <c:v>5.4694786441708469</c:v>
                </c:pt>
                <c:pt idx="10">
                  <c:v>5.686051071591427</c:v>
                </c:pt>
                <c:pt idx="11">
                  <c:v>5.810887672898617</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xVal>
          <c:yVal>
            <c:numRef>
              <c:f>Tools!$CL$4:$DJ$4</c:f>
              <c:numCache>
                <c:formatCode>General</c:formatCode>
                <c:ptCount val="25"/>
                <c:pt idx="0">
                  <c:v>0</c:v>
                </c:pt>
                <c:pt idx="1">
                  <c:v>0.25</c:v>
                </c:pt>
                <c:pt idx="2">
                  <c:v>0.5</c:v>
                </c:pt>
                <c:pt idx="3">
                  <c:v>0.75</c:v>
                </c:pt>
                <c:pt idx="4">
                  <c:v>1</c:v>
                </c:pt>
                <c:pt idx="5">
                  <c:v>2</c:v>
                </c:pt>
                <c:pt idx="6">
                  <c:v>3</c:v>
                </c:pt>
                <c:pt idx="7">
                  <c:v>4</c:v>
                </c:pt>
                <c:pt idx="8">
                  <c:v>4.8499999999999996</c:v>
                </c:pt>
                <c:pt idx="9">
                  <c:v>5</c:v>
                </c:pt>
                <c:pt idx="10">
                  <c:v>6</c:v>
                </c:pt>
                <c:pt idx="11">
                  <c:v>6.5</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yVal>
          <c:smooth val="1"/>
        </c:ser>
        <c:ser>
          <c:idx val="32"/>
          <c:order val="7"/>
          <c:tx>
            <c:strRef>
              <c:f>Tools!$CK$38</c:f>
              <c:strCache>
                <c:ptCount val="1"/>
                <c:pt idx="0">
                  <c:v>6</c:v>
                </c:pt>
              </c:strCache>
            </c:strRef>
          </c:tx>
          <c:spPr>
            <a:ln w="3175">
              <a:solidFill>
                <a:schemeClr val="accent6">
                  <a:lumMod val="75000"/>
                </a:schemeClr>
              </a:solidFill>
            </a:ln>
          </c:spPr>
          <c:marker>
            <c:symbol val="none"/>
          </c:marker>
          <c:xVal>
            <c:numRef>
              <c:f>Tools!$CL$38:$DJ$38</c:f>
              <c:numCache>
                <c:formatCode>General</c:formatCode>
                <c:ptCount val="25"/>
                <c:pt idx="0">
                  <c:v>6</c:v>
                </c:pt>
                <c:pt idx="1">
                  <c:v>6.0009803921568627</c:v>
                </c:pt>
                <c:pt idx="2">
                  <c:v>6.0041495668034655</c:v>
                </c:pt>
                <c:pt idx="3">
                  <c:v>6.0096990424076608</c:v>
                </c:pt>
                <c:pt idx="4">
                  <c:v>6.0177595379236966</c:v>
                </c:pt>
                <c:pt idx="5">
                  <c:v>6.0756254749962002</c:v>
                </c:pt>
                <c:pt idx="6">
                  <c:v>6.1749870801033593</c:v>
                </c:pt>
                <c:pt idx="7">
                  <c:v>6.3144459644322843</c:v>
                </c:pt>
                <c:pt idx="8">
                  <c:v>6.465376196990424</c:v>
                </c:pt>
                <c:pt idx="9">
                  <c:v>6.4956437148502815</c:v>
                </c:pt>
                <c:pt idx="10">
                  <c:v>6.7157227542179658</c:v>
                </c:pt>
                <c:pt idx="11">
                  <c:v>6.8411217510259918</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xVal>
          <c:yVal>
            <c:numRef>
              <c:f>Tools!$CL$4:$DJ$4</c:f>
              <c:numCache>
                <c:formatCode>General</c:formatCode>
                <c:ptCount val="25"/>
                <c:pt idx="0">
                  <c:v>0</c:v>
                </c:pt>
                <c:pt idx="1">
                  <c:v>0.25</c:v>
                </c:pt>
                <c:pt idx="2">
                  <c:v>0.5</c:v>
                </c:pt>
                <c:pt idx="3">
                  <c:v>0.75</c:v>
                </c:pt>
                <c:pt idx="4">
                  <c:v>1</c:v>
                </c:pt>
                <c:pt idx="5">
                  <c:v>2</c:v>
                </c:pt>
                <c:pt idx="6">
                  <c:v>3</c:v>
                </c:pt>
                <c:pt idx="7">
                  <c:v>4</c:v>
                </c:pt>
                <c:pt idx="8">
                  <c:v>4.8499999999999996</c:v>
                </c:pt>
                <c:pt idx="9">
                  <c:v>5</c:v>
                </c:pt>
                <c:pt idx="10">
                  <c:v>6</c:v>
                </c:pt>
                <c:pt idx="11">
                  <c:v>6.5</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yVal>
          <c:smooth val="1"/>
        </c:ser>
        <c:ser>
          <c:idx val="33"/>
          <c:order val="8"/>
          <c:tx>
            <c:strRef>
              <c:f>Tools!$CK$39</c:f>
              <c:strCache>
                <c:ptCount val="1"/>
                <c:pt idx="0">
                  <c:v>7</c:v>
                </c:pt>
              </c:strCache>
            </c:strRef>
          </c:tx>
          <c:spPr>
            <a:ln w="3175">
              <a:solidFill>
                <a:schemeClr val="accent6">
                  <a:lumMod val="75000"/>
                </a:schemeClr>
              </a:solidFill>
            </a:ln>
          </c:spPr>
          <c:marker>
            <c:symbol val="none"/>
          </c:marker>
          <c:xVal>
            <c:numRef>
              <c:f>Tools!$CL$39:$DJ$39</c:f>
              <c:numCache>
                <c:formatCode>General</c:formatCode>
                <c:ptCount val="25"/>
                <c:pt idx="0">
                  <c:v>7</c:v>
                </c:pt>
                <c:pt idx="1">
                  <c:v>7.0010924912600698</c:v>
                </c:pt>
                <c:pt idx="2">
                  <c:v>7.0045538835689314</c:v>
                </c:pt>
                <c:pt idx="3">
                  <c:v>7.0105186958504335</c:v>
                </c:pt>
                <c:pt idx="4">
                  <c:v>7.0190697674418603</c:v>
                </c:pt>
                <c:pt idx="5">
                  <c:v>7.0788660890712878</c:v>
                </c:pt>
                <c:pt idx="6">
                  <c:v>7.1793372853017177</c:v>
                </c:pt>
                <c:pt idx="7">
                  <c:v>7.3196321629426961</c:v>
                </c:pt>
                <c:pt idx="8">
                  <c:v>7.4705623955008358</c:v>
                </c:pt>
                <c:pt idx="9">
                  <c:v>7.500358717130263</c:v>
                </c:pt>
                <c:pt idx="10">
                  <c:v>7.7209089527283785</c:v>
                </c:pt>
                <c:pt idx="11">
                  <c:v>7.8463079495364036</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xVal>
          <c:yVal>
            <c:numRef>
              <c:f>Tools!$CL$4:$DJ$4</c:f>
              <c:numCache>
                <c:formatCode>General</c:formatCode>
                <c:ptCount val="25"/>
                <c:pt idx="0">
                  <c:v>0</c:v>
                </c:pt>
                <c:pt idx="1">
                  <c:v>0.25</c:v>
                </c:pt>
                <c:pt idx="2">
                  <c:v>0.5</c:v>
                </c:pt>
                <c:pt idx="3">
                  <c:v>0.75</c:v>
                </c:pt>
                <c:pt idx="4">
                  <c:v>1</c:v>
                </c:pt>
                <c:pt idx="5">
                  <c:v>2</c:v>
                </c:pt>
                <c:pt idx="6">
                  <c:v>3</c:v>
                </c:pt>
                <c:pt idx="7">
                  <c:v>4</c:v>
                </c:pt>
                <c:pt idx="8">
                  <c:v>4.8499999999999996</c:v>
                </c:pt>
                <c:pt idx="9">
                  <c:v>5</c:v>
                </c:pt>
                <c:pt idx="10">
                  <c:v>6</c:v>
                </c:pt>
                <c:pt idx="11">
                  <c:v>6.5</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yVal>
          <c:smooth val="1"/>
        </c:ser>
        <c:ser>
          <c:idx val="34"/>
          <c:order val="9"/>
          <c:tx>
            <c:strRef>
              <c:f>Tools!$CK$40</c:f>
              <c:strCache>
                <c:ptCount val="1"/>
                <c:pt idx="0">
                  <c:v>8</c:v>
                </c:pt>
              </c:strCache>
            </c:strRef>
          </c:tx>
          <c:spPr>
            <a:ln w="3175">
              <a:solidFill>
                <a:schemeClr val="accent6">
                  <a:lumMod val="75000"/>
                </a:schemeClr>
              </a:solidFill>
            </a:ln>
          </c:spPr>
          <c:marker>
            <c:symbol val="none"/>
          </c:marker>
          <c:xVal>
            <c:numRef>
              <c:f>Tools!$CL$40:$DJ$40</c:f>
              <c:numCache>
                <c:formatCode>General</c:formatCode>
                <c:ptCount val="25"/>
                <c:pt idx="0">
                  <c:v>8</c:v>
                </c:pt>
                <c:pt idx="1">
                  <c:v>8.0011507257941936</c:v>
                </c:pt>
                <c:pt idx="2">
                  <c:v>8.0047621219030241</c:v>
                </c:pt>
                <c:pt idx="3">
                  <c:v>8.0109082877336988</c:v>
                </c:pt>
                <c:pt idx="4">
                  <c:v>8.0196686426508581</c:v>
                </c:pt>
                <c:pt idx="5">
                  <c:v>8.0798601611187113</c:v>
                </c:pt>
                <c:pt idx="6">
                  <c:v>8.1801793585651321</c:v>
                </c:pt>
                <c:pt idx="7">
                  <c:v>8.3206262349901206</c:v>
                </c:pt>
                <c:pt idx="8">
                  <c:v>8.4715564675482593</c:v>
                </c:pt>
                <c:pt idx="9">
                  <c:v>8.5012007903936766</c:v>
                </c:pt>
                <c:pt idx="10">
                  <c:v>8.721903024775802</c:v>
                </c:pt>
                <c:pt idx="11">
                  <c:v>8.8473020215838272</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xVal>
          <c:yVal>
            <c:numRef>
              <c:f>Tools!$CL$4:$DJ$4</c:f>
              <c:numCache>
                <c:formatCode>General</c:formatCode>
                <c:ptCount val="25"/>
                <c:pt idx="0">
                  <c:v>0</c:v>
                </c:pt>
                <c:pt idx="1">
                  <c:v>0.25</c:v>
                </c:pt>
                <c:pt idx="2">
                  <c:v>0.5</c:v>
                </c:pt>
                <c:pt idx="3">
                  <c:v>0.75</c:v>
                </c:pt>
                <c:pt idx="4">
                  <c:v>1</c:v>
                </c:pt>
                <c:pt idx="5">
                  <c:v>2</c:v>
                </c:pt>
                <c:pt idx="6">
                  <c:v>3</c:v>
                </c:pt>
                <c:pt idx="7">
                  <c:v>4</c:v>
                </c:pt>
                <c:pt idx="8">
                  <c:v>4.8499999999999996</c:v>
                </c:pt>
                <c:pt idx="9">
                  <c:v>5</c:v>
                </c:pt>
                <c:pt idx="10">
                  <c:v>6</c:v>
                </c:pt>
                <c:pt idx="11">
                  <c:v>6.5</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yVal>
          <c:smooth val="1"/>
        </c:ser>
        <c:ser>
          <c:idx val="35"/>
          <c:order val="10"/>
          <c:tx>
            <c:strRef>
              <c:f>Tools!$CK$41</c:f>
              <c:strCache>
                <c:ptCount val="1"/>
                <c:pt idx="0">
                  <c:v>9</c:v>
                </c:pt>
              </c:strCache>
            </c:strRef>
          </c:tx>
          <c:spPr>
            <a:ln w="3175">
              <a:solidFill>
                <a:schemeClr val="accent6">
                  <a:lumMod val="75000"/>
                </a:schemeClr>
              </a:solidFill>
            </a:ln>
          </c:spPr>
          <c:marker>
            <c:symbol val="none"/>
          </c:marker>
          <c:xVal>
            <c:numRef>
              <c:f>Tools!$CL$41:$DJ$41</c:f>
              <c:numCache>
                <c:formatCode>General</c:formatCode>
                <c:ptCount val="25"/>
                <c:pt idx="0">
                  <c:v>9</c:v>
                </c:pt>
                <c:pt idx="1">
                  <c:v>9.0011670656634752</c:v>
                </c:pt>
                <c:pt idx="2">
                  <c:v>9.004810761513907</c:v>
                </c:pt>
                <c:pt idx="3">
                  <c:v>9.0109892270861831</c:v>
                </c:pt>
                <c:pt idx="4">
                  <c:v>9.0197568019455847</c:v>
                </c:pt>
                <c:pt idx="5">
                  <c:v>9.0799483204134361</c:v>
                </c:pt>
                <c:pt idx="6">
                  <c:v>9.180267517859857</c:v>
                </c:pt>
                <c:pt idx="7">
                  <c:v>9.3207143942848454</c:v>
                </c:pt>
                <c:pt idx="8">
                  <c:v>9.4716446268429859</c:v>
                </c:pt>
                <c:pt idx="9">
                  <c:v>9.5012889496884032</c:v>
                </c:pt>
                <c:pt idx="10">
                  <c:v>9.7219911840705269</c:v>
                </c:pt>
                <c:pt idx="11">
                  <c:v>9.8473901808785538</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xVal>
          <c:yVal>
            <c:numRef>
              <c:f>Tools!$CL$4:$DJ$4</c:f>
              <c:numCache>
                <c:formatCode>General</c:formatCode>
                <c:ptCount val="25"/>
                <c:pt idx="0">
                  <c:v>0</c:v>
                </c:pt>
                <c:pt idx="1">
                  <c:v>0.25</c:v>
                </c:pt>
                <c:pt idx="2">
                  <c:v>0.5</c:v>
                </c:pt>
                <c:pt idx="3">
                  <c:v>0.75</c:v>
                </c:pt>
                <c:pt idx="4">
                  <c:v>1</c:v>
                </c:pt>
                <c:pt idx="5">
                  <c:v>2</c:v>
                </c:pt>
                <c:pt idx="6">
                  <c:v>3</c:v>
                </c:pt>
                <c:pt idx="7">
                  <c:v>4</c:v>
                </c:pt>
                <c:pt idx="8">
                  <c:v>4.8499999999999996</c:v>
                </c:pt>
                <c:pt idx="9">
                  <c:v>5</c:v>
                </c:pt>
                <c:pt idx="10">
                  <c:v>6</c:v>
                </c:pt>
                <c:pt idx="11">
                  <c:v>6.5</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yVal>
          <c:smooth val="1"/>
        </c:ser>
        <c:ser>
          <c:idx val="36"/>
          <c:order val="11"/>
          <c:tx>
            <c:strRef>
              <c:f>Tools!$CK$42</c:f>
              <c:strCache>
                <c:ptCount val="1"/>
                <c:pt idx="0">
                  <c:v>10</c:v>
                </c:pt>
              </c:strCache>
            </c:strRef>
          </c:tx>
          <c:spPr>
            <a:ln w="3175">
              <a:solidFill>
                <a:schemeClr val="accent6">
                  <a:lumMod val="75000"/>
                </a:schemeClr>
              </a:solidFill>
            </a:ln>
          </c:spPr>
          <c:marker>
            <c:symbol val="none"/>
          </c:marker>
          <c:xVal>
            <c:numRef>
              <c:f>Tools!$CL$42:$DJ$42</c:f>
              <c:numCache>
                <c:formatCode>General</c:formatCode>
                <c:ptCount val="25"/>
                <c:pt idx="0">
                  <c:v>10</c:v>
                </c:pt>
                <c:pt idx="1">
                  <c:v>10.001167065663475</c:v>
                </c:pt>
                <c:pt idx="2">
                  <c:v>10.004810761513907</c:v>
                </c:pt>
                <c:pt idx="3">
                  <c:v>10.010989227086183</c:v>
                </c:pt>
                <c:pt idx="4">
                  <c:v>10.019756801945585</c:v>
                </c:pt>
                <c:pt idx="5">
                  <c:v>10.079948320413436</c:v>
                </c:pt>
                <c:pt idx="6">
                  <c:v>10.180267517859857</c:v>
                </c:pt>
                <c:pt idx="7">
                  <c:v>10.320714394284845</c:v>
                </c:pt>
                <c:pt idx="8">
                  <c:v>10.471644626842986</c:v>
                </c:pt>
                <c:pt idx="9">
                  <c:v>10.501288949688403</c:v>
                </c:pt>
                <c:pt idx="10">
                  <c:v>10.721991184070527</c:v>
                </c:pt>
                <c:pt idx="11">
                  <c:v>10.847390180878554</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xVal>
          <c:yVal>
            <c:numRef>
              <c:f>Tools!$CL$4:$DJ$4</c:f>
              <c:numCache>
                <c:formatCode>General</c:formatCode>
                <c:ptCount val="25"/>
                <c:pt idx="0">
                  <c:v>0</c:v>
                </c:pt>
                <c:pt idx="1">
                  <c:v>0.25</c:v>
                </c:pt>
                <c:pt idx="2">
                  <c:v>0.5</c:v>
                </c:pt>
                <c:pt idx="3">
                  <c:v>0.75</c:v>
                </c:pt>
                <c:pt idx="4">
                  <c:v>1</c:v>
                </c:pt>
                <c:pt idx="5">
                  <c:v>2</c:v>
                </c:pt>
                <c:pt idx="6">
                  <c:v>3</c:v>
                </c:pt>
                <c:pt idx="7">
                  <c:v>4</c:v>
                </c:pt>
                <c:pt idx="8">
                  <c:v>4.8499999999999996</c:v>
                </c:pt>
                <c:pt idx="9">
                  <c:v>5</c:v>
                </c:pt>
                <c:pt idx="10">
                  <c:v>6</c:v>
                </c:pt>
                <c:pt idx="11">
                  <c:v>6.5</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yVal>
          <c:smooth val="1"/>
        </c:ser>
        <c:ser>
          <c:idx val="37"/>
          <c:order val="12"/>
          <c:tx>
            <c:strRef>
              <c:f>Tools!$CK$43</c:f>
              <c:strCache>
                <c:ptCount val="1"/>
                <c:pt idx="0">
                  <c:v>11</c:v>
                </c:pt>
              </c:strCache>
            </c:strRef>
          </c:tx>
          <c:spPr>
            <a:ln w="3175">
              <a:solidFill>
                <a:schemeClr val="accent6">
                  <a:lumMod val="75000"/>
                </a:schemeClr>
              </a:solidFill>
            </a:ln>
          </c:spPr>
          <c:marker>
            <c:symbol val="none"/>
          </c:marker>
          <c:xVal>
            <c:numRef>
              <c:f>Tools!$CL$43:$DJ$43</c:f>
              <c:numCache>
                <c:formatCode>General</c:formatCode>
                <c:ptCount val="25"/>
                <c:pt idx="0">
                  <c:v>11</c:v>
                </c:pt>
                <c:pt idx="1">
                  <c:v>11.001167065663475</c:v>
                </c:pt>
                <c:pt idx="2">
                  <c:v>11.004810761513907</c:v>
                </c:pt>
                <c:pt idx="3">
                  <c:v>11.010989227086183</c:v>
                </c:pt>
                <c:pt idx="4">
                  <c:v>11.019756801945585</c:v>
                </c:pt>
                <c:pt idx="5">
                  <c:v>11.079948320413436</c:v>
                </c:pt>
                <c:pt idx="6">
                  <c:v>11.180267517859857</c:v>
                </c:pt>
                <c:pt idx="7">
                  <c:v>11.320714394284845</c:v>
                </c:pt>
                <c:pt idx="8">
                  <c:v>11.471644626842986</c:v>
                </c:pt>
                <c:pt idx="9">
                  <c:v>11.501288949688403</c:v>
                </c:pt>
                <c:pt idx="10">
                  <c:v>11.721991184070527</c:v>
                </c:pt>
                <c:pt idx="11">
                  <c:v>11.847390180878554</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xVal>
          <c:yVal>
            <c:numRef>
              <c:f>Tools!$CL$4:$DJ$4</c:f>
              <c:numCache>
                <c:formatCode>General</c:formatCode>
                <c:ptCount val="25"/>
                <c:pt idx="0">
                  <c:v>0</c:v>
                </c:pt>
                <c:pt idx="1">
                  <c:v>0.25</c:v>
                </c:pt>
                <c:pt idx="2">
                  <c:v>0.5</c:v>
                </c:pt>
                <c:pt idx="3">
                  <c:v>0.75</c:v>
                </c:pt>
                <c:pt idx="4">
                  <c:v>1</c:v>
                </c:pt>
                <c:pt idx="5">
                  <c:v>2</c:v>
                </c:pt>
                <c:pt idx="6">
                  <c:v>3</c:v>
                </c:pt>
                <c:pt idx="7">
                  <c:v>4</c:v>
                </c:pt>
                <c:pt idx="8">
                  <c:v>4.8499999999999996</c:v>
                </c:pt>
                <c:pt idx="9">
                  <c:v>5</c:v>
                </c:pt>
                <c:pt idx="10">
                  <c:v>6</c:v>
                </c:pt>
                <c:pt idx="11">
                  <c:v>6.5</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yVal>
          <c:smooth val="1"/>
        </c:ser>
        <c:ser>
          <c:idx val="38"/>
          <c:order val="13"/>
          <c:tx>
            <c:strRef>
              <c:f>Tools!$CK$44</c:f>
              <c:strCache>
                <c:ptCount val="1"/>
                <c:pt idx="0">
                  <c:v>12</c:v>
                </c:pt>
              </c:strCache>
            </c:strRef>
          </c:tx>
          <c:spPr>
            <a:ln w="3175">
              <a:solidFill>
                <a:schemeClr val="accent6">
                  <a:lumMod val="75000"/>
                </a:schemeClr>
              </a:solidFill>
            </a:ln>
          </c:spPr>
          <c:marker>
            <c:symbol val="none"/>
          </c:marker>
          <c:xVal>
            <c:numRef>
              <c:f>Tools!$CL$44:$DJ$44</c:f>
              <c:numCache>
                <c:formatCode>General</c:formatCode>
                <c:ptCount val="25"/>
                <c:pt idx="0">
                  <c:v>12</c:v>
                </c:pt>
                <c:pt idx="1">
                  <c:v>12.001167065663475</c:v>
                </c:pt>
                <c:pt idx="2">
                  <c:v>12.004810761513907</c:v>
                </c:pt>
                <c:pt idx="3">
                  <c:v>12.010989227086183</c:v>
                </c:pt>
                <c:pt idx="4">
                  <c:v>12.019756801945585</c:v>
                </c:pt>
                <c:pt idx="5">
                  <c:v>12.079948320413436</c:v>
                </c:pt>
                <c:pt idx="6">
                  <c:v>12.180267517859857</c:v>
                </c:pt>
                <c:pt idx="7">
                  <c:v>12.320714394284845</c:v>
                </c:pt>
                <c:pt idx="8">
                  <c:v>12.471644626842986</c:v>
                </c:pt>
                <c:pt idx="9">
                  <c:v>12.501288949688403</c:v>
                </c:pt>
                <c:pt idx="10">
                  <c:v>12.721991184070527</c:v>
                </c:pt>
                <c:pt idx="11">
                  <c:v>12.847390180878554</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xVal>
          <c:yVal>
            <c:numRef>
              <c:f>Tools!$CL$4:$DJ$4</c:f>
              <c:numCache>
                <c:formatCode>General</c:formatCode>
                <c:ptCount val="25"/>
                <c:pt idx="0">
                  <c:v>0</c:v>
                </c:pt>
                <c:pt idx="1">
                  <c:v>0.25</c:v>
                </c:pt>
                <c:pt idx="2">
                  <c:v>0.5</c:v>
                </c:pt>
                <c:pt idx="3">
                  <c:v>0.75</c:v>
                </c:pt>
                <c:pt idx="4">
                  <c:v>1</c:v>
                </c:pt>
                <c:pt idx="5">
                  <c:v>2</c:v>
                </c:pt>
                <c:pt idx="6">
                  <c:v>3</c:v>
                </c:pt>
                <c:pt idx="7">
                  <c:v>4</c:v>
                </c:pt>
                <c:pt idx="8">
                  <c:v>4.8499999999999996</c:v>
                </c:pt>
                <c:pt idx="9">
                  <c:v>5</c:v>
                </c:pt>
                <c:pt idx="10">
                  <c:v>6</c:v>
                </c:pt>
                <c:pt idx="11">
                  <c:v>6.5</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yVal>
          <c:smooth val="1"/>
        </c:ser>
        <c:ser>
          <c:idx val="39"/>
          <c:order val="14"/>
          <c:tx>
            <c:strRef>
              <c:f>Tools!$CK$45</c:f>
              <c:strCache>
                <c:ptCount val="1"/>
                <c:pt idx="0">
                  <c:v>13</c:v>
                </c:pt>
              </c:strCache>
            </c:strRef>
          </c:tx>
          <c:spPr>
            <a:ln w="3175">
              <a:solidFill>
                <a:schemeClr val="accent6">
                  <a:lumMod val="75000"/>
                </a:schemeClr>
              </a:solidFill>
            </a:ln>
          </c:spPr>
          <c:marker>
            <c:symbol val="none"/>
          </c:marker>
          <c:xVal>
            <c:numRef>
              <c:f>Tools!$CL$45:$DJ$45</c:f>
              <c:numCache>
                <c:formatCode>General</c:formatCode>
                <c:ptCount val="25"/>
                <c:pt idx="0">
                  <c:v>13</c:v>
                </c:pt>
                <c:pt idx="1">
                  <c:v>13.001167065663475</c:v>
                </c:pt>
                <c:pt idx="2">
                  <c:v>13.004810761513907</c:v>
                </c:pt>
                <c:pt idx="3">
                  <c:v>13.010989227086183</c:v>
                </c:pt>
                <c:pt idx="4">
                  <c:v>13.019756801945585</c:v>
                </c:pt>
                <c:pt idx="5">
                  <c:v>13.079948320413436</c:v>
                </c:pt>
                <c:pt idx="6">
                  <c:v>13.180267517859857</c:v>
                </c:pt>
                <c:pt idx="7">
                  <c:v>13.320714394284845</c:v>
                </c:pt>
                <c:pt idx="8">
                  <c:v>13.471644626842986</c:v>
                </c:pt>
                <c:pt idx="9">
                  <c:v>13.501288949688403</c:v>
                </c:pt>
                <c:pt idx="10">
                  <c:v>13.721991184070527</c:v>
                </c:pt>
                <c:pt idx="11">
                  <c:v>13.847390180878554</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xVal>
          <c:yVal>
            <c:numRef>
              <c:f>Tools!$CL$4:$DJ$4</c:f>
              <c:numCache>
                <c:formatCode>General</c:formatCode>
                <c:ptCount val="25"/>
                <c:pt idx="0">
                  <c:v>0</c:v>
                </c:pt>
                <c:pt idx="1">
                  <c:v>0.25</c:v>
                </c:pt>
                <c:pt idx="2">
                  <c:v>0.5</c:v>
                </c:pt>
                <c:pt idx="3">
                  <c:v>0.75</c:v>
                </c:pt>
                <c:pt idx="4">
                  <c:v>1</c:v>
                </c:pt>
                <c:pt idx="5">
                  <c:v>2</c:v>
                </c:pt>
                <c:pt idx="6">
                  <c:v>3</c:v>
                </c:pt>
                <c:pt idx="7">
                  <c:v>4</c:v>
                </c:pt>
                <c:pt idx="8">
                  <c:v>4.8499999999999996</c:v>
                </c:pt>
                <c:pt idx="9">
                  <c:v>5</c:v>
                </c:pt>
                <c:pt idx="10">
                  <c:v>6</c:v>
                </c:pt>
                <c:pt idx="11">
                  <c:v>6.5</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yVal>
          <c:smooth val="1"/>
        </c:ser>
        <c:ser>
          <c:idx val="40"/>
          <c:order val="15"/>
          <c:tx>
            <c:strRef>
              <c:f>Tools!$CK$46</c:f>
              <c:strCache>
                <c:ptCount val="1"/>
                <c:pt idx="0">
                  <c:v>14</c:v>
                </c:pt>
              </c:strCache>
            </c:strRef>
          </c:tx>
          <c:spPr>
            <a:ln w="3175">
              <a:solidFill>
                <a:schemeClr val="accent6">
                  <a:lumMod val="75000"/>
                </a:schemeClr>
              </a:solidFill>
            </a:ln>
          </c:spPr>
          <c:marker>
            <c:symbol val="none"/>
          </c:marker>
          <c:xVal>
            <c:numRef>
              <c:f>Tools!$CL$46:$DJ$46</c:f>
              <c:numCache>
                <c:formatCode>General</c:formatCode>
                <c:ptCount val="25"/>
                <c:pt idx="0">
                  <c:v>14</c:v>
                </c:pt>
                <c:pt idx="1">
                  <c:v>14.001149870801033</c:v>
                </c:pt>
                <c:pt idx="2">
                  <c:v>14.004757561939504</c:v>
                </c:pt>
                <c:pt idx="3">
                  <c:v>14.010893752849977</c:v>
                </c:pt>
                <c:pt idx="4">
                  <c:v>14.019635202918376</c:v>
                </c:pt>
                <c:pt idx="5">
                  <c:v>14.07982672138623</c:v>
                </c:pt>
                <c:pt idx="6">
                  <c:v>14.180145918832649</c:v>
                </c:pt>
                <c:pt idx="7">
                  <c:v>14.320592795257639</c:v>
                </c:pt>
                <c:pt idx="8">
                  <c:v>14.471523027815778</c:v>
                </c:pt>
                <c:pt idx="9">
                  <c:v>14.501167350661195</c:v>
                </c:pt>
                <c:pt idx="10">
                  <c:v>14.72186958504332</c:v>
                </c:pt>
                <c:pt idx="11">
                  <c:v>14.847268581851345</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xVal>
          <c:yVal>
            <c:numRef>
              <c:f>Tools!$CL$4:$DJ$4</c:f>
              <c:numCache>
                <c:formatCode>General</c:formatCode>
                <c:ptCount val="25"/>
                <c:pt idx="0">
                  <c:v>0</c:v>
                </c:pt>
                <c:pt idx="1">
                  <c:v>0.25</c:v>
                </c:pt>
                <c:pt idx="2">
                  <c:v>0.5</c:v>
                </c:pt>
                <c:pt idx="3">
                  <c:v>0.75</c:v>
                </c:pt>
                <c:pt idx="4">
                  <c:v>1</c:v>
                </c:pt>
                <c:pt idx="5">
                  <c:v>2</c:v>
                </c:pt>
                <c:pt idx="6">
                  <c:v>3</c:v>
                </c:pt>
                <c:pt idx="7">
                  <c:v>4</c:v>
                </c:pt>
                <c:pt idx="8">
                  <c:v>4.8499999999999996</c:v>
                </c:pt>
                <c:pt idx="9">
                  <c:v>5</c:v>
                </c:pt>
                <c:pt idx="10">
                  <c:v>6</c:v>
                </c:pt>
                <c:pt idx="11">
                  <c:v>6.5</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yVal>
          <c:smooth val="1"/>
        </c:ser>
        <c:ser>
          <c:idx val="41"/>
          <c:order val="16"/>
          <c:tx>
            <c:strRef>
              <c:f>Tools!$CK$47</c:f>
              <c:strCache>
                <c:ptCount val="1"/>
                <c:pt idx="0">
                  <c:v>15</c:v>
                </c:pt>
              </c:strCache>
            </c:strRef>
          </c:tx>
          <c:spPr>
            <a:ln w="3175">
              <a:solidFill>
                <a:schemeClr val="accent6">
                  <a:lumMod val="75000"/>
                </a:schemeClr>
              </a:solidFill>
            </a:ln>
          </c:spPr>
          <c:marker>
            <c:symbol val="none"/>
          </c:marker>
          <c:xVal>
            <c:numRef>
              <c:f>Tools!$CL$47:$DJ$47</c:f>
              <c:numCache>
                <c:formatCode>General</c:formatCode>
                <c:ptCount val="25"/>
                <c:pt idx="0">
                  <c:v>15</c:v>
                </c:pt>
                <c:pt idx="1">
                  <c:v>15.001083941328469</c:v>
                </c:pt>
                <c:pt idx="2">
                  <c:v>15.004517403860769</c:v>
                </c:pt>
                <c:pt idx="3">
                  <c:v>15.010421226630188</c:v>
                </c:pt>
                <c:pt idx="4">
                  <c:v>15.018896488828089</c:v>
                </c:pt>
                <c:pt idx="5">
                  <c:v>15.078495212038304</c:v>
                </c:pt>
                <c:pt idx="6">
                  <c:v>15.179042407660738</c:v>
                </c:pt>
                <c:pt idx="7">
                  <c:v>15.319261285909713</c:v>
                </c:pt>
                <c:pt idx="8">
                  <c:v>15.470191518467852</c:v>
                </c:pt>
                <c:pt idx="9">
                  <c:v>15.500063839489284</c:v>
                </c:pt>
                <c:pt idx="10">
                  <c:v>15.720538075695394</c:v>
                </c:pt>
                <c:pt idx="11">
                  <c:v>15.845937072503419</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xVal>
          <c:yVal>
            <c:numRef>
              <c:f>Tools!$CL$4:$DJ$4</c:f>
              <c:numCache>
                <c:formatCode>General</c:formatCode>
                <c:ptCount val="25"/>
                <c:pt idx="0">
                  <c:v>0</c:v>
                </c:pt>
                <c:pt idx="1">
                  <c:v>0.25</c:v>
                </c:pt>
                <c:pt idx="2">
                  <c:v>0.5</c:v>
                </c:pt>
                <c:pt idx="3">
                  <c:v>0.75</c:v>
                </c:pt>
                <c:pt idx="4">
                  <c:v>1</c:v>
                </c:pt>
                <c:pt idx="5">
                  <c:v>2</c:v>
                </c:pt>
                <c:pt idx="6">
                  <c:v>3</c:v>
                </c:pt>
                <c:pt idx="7">
                  <c:v>4</c:v>
                </c:pt>
                <c:pt idx="8">
                  <c:v>4.8499999999999996</c:v>
                </c:pt>
                <c:pt idx="9">
                  <c:v>5</c:v>
                </c:pt>
                <c:pt idx="10">
                  <c:v>6</c:v>
                </c:pt>
                <c:pt idx="11">
                  <c:v>6.5</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yVal>
          <c:smooth val="1"/>
        </c:ser>
        <c:ser>
          <c:idx val="42"/>
          <c:order val="17"/>
          <c:tx>
            <c:strRef>
              <c:f>Tools!$CK$48</c:f>
              <c:strCache>
                <c:ptCount val="1"/>
                <c:pt idx="0">
                  <c:v>16</c:v>
                </c:pt>
              </c:strCache>
            </c:strRef>
          </c:tx>
          <c:spPr>
            <a:ln w="3175">
              <a:solidFill>
                <a:schemeClr val="accent6">
                  <a:lumMod val="75000"/>
                </a:schemeClr>
              </a:solidFill>
            </a:ln>
          </c:spPr>
          <c:marker>
            <c:symbol val="none"/>
          </c:marker>
          <c:xVal>
            <c:numRef>
              <c:f>Tools!$CL$48:$DJ$48</c:f>
              <c:numCache>
                <c:formatCode>General</c:formatCode>
                <c:ptCount val="25"/>
                <c:pt idx="0">
                  <c:v>16</c:v>
                </c:pt>
                <c:pt idx="1">
                  <c:v>16.00094932740538</c:v>
                </c:pt>
                <c:pt idx="2">
                  <c:v>16.004035567715459</c:v>
                </c:pt>
                <c:pt idx="3">
                  <c:v>16.009444539443685</c:v>
                </c:pt>
                <c:pt idx="4">
                  <c:v>16.017267061863507</c:v>
                </c:pt>
                <c:pt idx="5">
                  <c:v>16.07346557227542</c:v>
                </c:pt>
                <c:pt idx="6">
                  <c:v>16.17049399604803</c:v>
                </c:pt>
                <c:pt idx="7">
                  <c:v>16.307665298677609</c:v>
                </c:pt>
                <c:pt idx="8">
                  <c:v>16.456488554491564</c:v>
                </c:pt>
                <c:pt idx="9">
                  <c:v>16.485921872625021</c:v>
                </c:pt>
                <c:pt idx="10">
                  <c:v>16.705537315701473</c:v>
                </c:pt>
                <c:pt idx="11">
                  <c:v>16.8309363125095</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xVal>
          <c:yVal>
            <c:numRef>
              <c:f>Tools!$CL$4:$DJ$4</c:f>
              <c:numCache>
                <c:formatCode>General</c:formatCode>
                <c:ptCount val="25"/>
                <c:pt idx="0">
                  <c:v>0</c:v>
                </c:pt>
                <c:pt idx="1">
                  <c:v>0.25</c:v>
                </c:pt>
                <c:pt idx="2">
                  <c:v>0.5</c:v>
                </c:pt>
                <c:pt idx="3">
                  <c:v>0.75</c:v>
                </c:pt>
                <c:pt idx="4">
                  <c:v>1</c:v>
                </c:pt>
                <c:pt idx="5">
                  <c:v>2</c:v>
                </c:pt>
                <c:pt idx="6">
                  <c:v>3</c:v>
                </c:pt>
                <c:pt idx="7">
                  <c:v>4</c:v>
                </c:pt>
                <c:pt idx="8">
                  <c:v>4.8499999999999996</c:v>
                </c:pt>
                <c:pt idx="9">
                  <c:v>5</c:v>
                </c:pt>
                <c:pt idx="10">
                  <c:v>6</c:v>
                </c:pt>
                <c:pt idx="11">
                  <c:v>6.5</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yVal>
          <c:smooth val="1"/>
        </c:ser>
        <c:ser>
          <c:idx val="43"/>
          <c:order val="18"/>
          <c:tx>
            <c:strRef>
              <c:f>Tools!$CK$49</c:f>
              <c:strCache>
                <c:ptCount val="1"/>
                <c:pt idx="0">
                  <c:v>17</c:v>
                </c:pt>
              </c:strCache>
            </c:strRef>
          </c:tx>
          <c:spPr>
            <a:ln w="3175">
              <a:solidFill>
                <a:schemeClr val="accent6">
                  <a:lumMod val="75000"/>
                </a:schemeClr>
              </a:solidFill>
            </a:ln>
          </c:spPr>
          <c:marker>
            <c:symbol val="none"/>
          </c:marker>
          <c:xVal>
            <c:numRef>
              <c:f>Tools!$CL$49:$DJ$49</c:f>
              <c:numCache>
                <c:formatCode>General</c:formatCode>
                <c:ptCount val="25"/>
                <c:pt idx="0">
                  <c:v>17</c:v>
                </c:pt>
                <c:pt idx="1">
                  <c:v>17.000742324061406</c:v>
                </c:pt>
                <c:pt idx="2">
                  <c:v>17.003243654050767</c:v>
                </c:pt>
                <c:pt idx="3">
                  <c:v>17.007695508435933</c:v>
                </c:pt>
                <c:pt idx="4">
                  <c:v>17.014284845721235</c:v>
                </c:pt>
                <c:pt idx="5">
                  <c:v>17.063336373309014</c:v>
                </c:pt>
                <c:pt idx="6">
                  <c:v>17.150536555707554</c:v>
                </c:pt>
                <c:pt idx="7">
                  <c:v>17.275988752089983</c:v>
                </c:pt>
                <c:pt idx="8">
                  <c:v>17.414760069919442</c:v>
                </c:pt>
                <c:pt idx="9">
                  <c:v>17.442690378476971</c:v>
                </c:pt>
                <c:pt idx="10">
                  <c:v>17.650951512387902</c:v>
                </c:pt>
                <c:pt idx="11">
                  <c:v>17.771343669250648</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xVal>
          <c:yVal>
            <c:numRef>
              <c:f>Tools!$CL$4:$DJ$4</c:f>
              <c:numCache>
                <c:formatCode>General</c:formatCode>
                <c:ptCount val="25"/>
                <c:pt idx="0">
                  <c:v>0</c:v>
                </c:pt>
                <c:pt idx="1">
                  <c:v>0.25</c:v>
                </c:pt>
                <c:pt idx="2">
                  <c:v>0.5</c:v>
                </c:pt>
                <c:pt idx="3">
                  <c:v>0.75</c:v>
                </c:pt>
                <c:pt idx="4">
                  <c:v>1</c:v>
                </c:pt>
                <c:pt idx="5">
                  <c:v>2</c:v>
                </c:pt>
                <c:pt idx="6">
                  <c:v>3</c:v>
                </c:pt>
                <c:pt idx="7">
                  <c:v>4</c:v>
                </c:pt>
                <c:pt idx="8">
                  <c:v>4.8499999999999996</c:v>
                </c:pt>
                <c:pt idx="9">
                  <c:v>5</c:v>
                </c:pt>
                <c:pt idx="10">
                  <c:v>6</c:v>
                </c:pt>
                <c:pt idx="11">
                  <c:v>6.5</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yVal>
          <c:smooth val="1"/>
        </c:ser>
        <c:ser>
          <c:idx val="44"/>
          <c:order val="19"/>
          <c:tx>
            <c:strRef>
              <c:f>Tools!$CK$50</c:f>
              <c:strCache>
                <c:ptCount val="1"/>
                <c:pt idx="0">
                  <c:v>18</c:v>
                </c:pt>
              </c:strCache>
            </c:strRef>
          </c:tx>
          <c:spPr>
            <a:ln w="3175">
              <a:solidFill>
                <a:schemeClr val="accent6">
                  <a:lumMod val="75000"/>
                </a:schemeClr>
              </a:solidFill>
            </a:ln>
          </c:spPr>
          <c:marker>
            <c:symbol val="none"/>
          </c:marker>
          <c:xVal>
            <c:numRef>
              <c:f>Tools!$CL$50:$DJ$50</c:f>
              <c:numCache>
                <c:formatCode>General</c:formatCode>
                <c:ptCount val="25"/>
                <c:pt idx="0">
                  <c:v>18</c:v>
                </c:pt>
                <c:pt idx="1">
                  <c:v>18.00049067107463</c:v>
                </c:pt>
                <c:pt idx="2">
                  <c:v>18.002226782185744</c:v>
                </c:pt>
                <c:pt idx="3">
                  <c:v>18.005435191518469</c:v>
                </c:pt>
                <c:pt idx="4">
                  <c:v>18.01028119775042</c:v>
                </c:pt>
                <c:pt idx="5">
                  <c:v>18.047080103359175</c:v>
                </c:pt>
                <c:pt idx="6">
                  <c:v>18.114321325429398</c:v>
                </c:pt>
                <c:pt idx="7">
                  <c:v>18.213326402188784</c:v>
                </c:pt>
                <c:pt idx="8">
                  <c:v>18.325109497796017</c:v>
                </c:pt>
                <c:pt idx="9">
                  <c:v>18.347459735522115</c:v>
                </c:pt>
                <c:pt idx="10">
                  <c:v>18.521989481684148</c:v>
                </c:pt>
                <c:pt idx="11">
                  <c:v>18.625062897096822</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xVal>
          <c:yVal>
            <c:numRef>
              <c:f>Tools!$CL$4:$DJ$4</c:f>
              <c:numCache>
                <c:formatCode>General</c:formatCode>
                <c:ptCount val="25"/>
                <c:pt idx="0">
                  <c:v>0</c:v>
                </c:pt>
                <c:pt idx="1">
                  <c:v>0.25</c:v>
                </c:pt>
                <c:pt idx="2">
                  <c:v>0.5</c:v>
                </c:pt>
                <c:pt idx="3">
                  <c:v>0.75</c:v>
                </c:pt>
                <c:pt idx="4">
                  <c:v>1</c:v>
                </c:pt>
                <c:pt idx="5">
                  <c:v>2</c:v>
                </c:pt>
                <c:pt idx="6">
                  <c:v>3</c:v>
                </c:pt>
                <c:pt idx="7">
                  <c:v>4</c:v>
                </c:pt>
                <c:pt idx="8">
                  <c:v>4.8499999999999996</c:v>
                </c:pt>
                <c:pt idx="9">
                  <c:v>5</c:v>
                </c:pt>
                <c:pt idx="10">
                  <c:v>6</c:v>
                </c:pt>
                <c:pt idx="11">
                  <c:v>6.5</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yVal>
          <c:smooth val="1"/>
        </c:ser>
        <c:ser>
          <c:idx val="45"/>
          <c:order val="20"/>
          <c:tx>
            <c:strRef>
              <c:f>Tools!$CK$51</c:f>
              <c:strCache>
                <c:ptCount val="1"/>
                <c:pt idx="0">
                  <c:v>18.5</c:v>
                </c:pt>
              </c:strCache>
            </c:strRef>
          </c:tx>
          <c:spPr>
            <a:ln w="3175">
              <a:solidFill>
                <a:schemeClr val="accent6">
                  <a:lumMod val="75000"/>
                </a:schemeClr>
              </a:solidFill>
            </a:ln>
          </c:spPr>
          <c:marker>
            <c:symbol val="none"/>
          </c:marker>
          <c:xVal>
            <c:numRef>
              <c:f>Tools!$CL$51:$DJ$51</c:f>
              <c:numCache>
                <c:formatCode>General</c:formatCode>
                <c:ptCount val="25"/>
                <c:pt idx="0">
                  <c:v>18.5</c:v>
                </c:pt>
                <c:pt idx="1">
                  <c:v>18.500352162182704</c:v>
                </c:pt>
                <c:pt idx="2">
                  <c:v>18.501670466636266</c:v>
                </c:pt>
                <c:pt idx="3">
                  <c:v>18.504168091655266</c:v>
                </c:pt>
                <c:pt idx="4">
                  <c:v>18.507967776257789</c:v>
                </c:pt>
                <c:pt idx="5">
                  <c:v>18.537160662714697</c:v>
                </c:pt>
                <c:pt idx="6">
                  <c:v>18.59077671378629</c:v>
                </c:pt>
                <c:pt idx="7">
                  <c:v>18.670214318285453</c:v>
                </c:pt>
                <c:pt idx="8">
                  <c:v>18.760935506915946</c:v>
                </c:pt>
                <c:pt idx="9">
                  <c:v>18.779182246542028</c:v>
                </c:pt>
                <c:pt idx="10">
                  <c:v>18.924064447484419</c:v>
                </c:pt>
                <c:pt idx="11">
                  <c:v>19.011296549627602</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xVal>
          <c:yVal>
            <c:numRef>
              <c:f>Tools!$CL$4:$DJ$4</c:f>
              <c:numCache>
                <c:formatCode>General</c:formatCode>
                <c:ptCount val="25"/>
                <c:pt idx="0">
                  <c:v>0</c:v>
                </c:pt>
                <c:pt idx="1">
                  <c:v>0.25</c:v>
                </c:pt>
                <c:pt idx="2">
                  <c:v>0.5</c:v>
                </c:pt>
                <c:pt idx="3">
                  <c:v>0.75</c:v>
                </c:pt>
                <c:pt idx="4">
                  <c:v>1</c:v>
                </c:pt>
                <c:pt idx="5">
                  <c:v>2</c:v>
                </c:pt>
                <c:pt idx="6">
                  <c:v>3</c:v>
                </c:pt>
                <c:pt idx="7">
                  <c:v>4</c:v>
                </c:pt>
                <c:pt idx="8">
                  <c:v>4.8499999999999996</c:v>
                </c:pt>
                <c:pt idx="9">
                  <c:v>5</c:v>
                </c:pt>
                <c:pt idx="10">
                  <c:v>6</c:v>
                </c:pt>
                <c:pt idx="11">
                  <c:v>6.5</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yVal>
          <c:smooth val="1"/>
        </c:ser>
        <c:ser>
          <c:idx val="46"/>
          <c:order val="21"/>
          <c:tx>
            <c:strRef>
              <c:f>Tools!$CK$52</c:f>
              <c:strCache>
                <c:ptCount val="1"/>
                <c:pt idx="0">
                  <c:v>19</c:v>
                </c:pt>
              </c:strCache>
            </c:strRef>
          </c:tx>
          <c:spPr>
            <a:ln w="3175">
              <a:solidFill>
                <a:schemeClr val="accent6">
                  <a:lumMod val="75000"/>
                </a:schemeClr>
              </a:solidFill>
            </a:ln>
          </c:spPr>
          <c:marker>
            <c:symbol val="none"/>
          </c:marker>
          <c:xVal>
            <c:numRef>
              <c:f>Tools!$CL$52:$DJ$52</c:f>
              <c:numCache>
                <c:formatCode>General</c:formatCode>
                <c:ptCount val="25"/>
                <c:pt idx="0">
                  <c:v>19</c:v>
                </c:pt>
                <c:pt idx="1">
                  <c:v>19.000228568171455</c:v>
                </c:pt>
                <c:pt idx="2">
                  <c:v>19.001130870953034</c:v>
                </c:pt>
                <c:pt idx="3">
                  <c:v>19.002871067031464</c:v>
                </c:pt>
                <c:pt idx="4">
                  <c:v>19.00559963520292</c:v>
                </c:pt>
                <c:pt idx="5">
                  <c:v>19.026888584891321</c:v>
                </c:pt>
                <c:pt idx="6">
                  <c:v>19.06530475756194</c:v>
                </c:pt>
                <c:pt idx="7">
                  <c:v>19.120349597203223</c:v>
                </c:pt>
                <c:pt idx="8">
                  <c:v>19.184514196686425</c:v>
                </c:pt>
                <c:pt idx="9">
                  <c:v>19.197738258093935</c:v>
                </c:pt>
                <c:pt idx="10">
                  <c:v>19.303015655874752</c:v>
                </c:pt>
                <c:pt idx="11">
                  <c:v>19.368762729898162</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xVal>
          <c:yVal>
            <c:numRef>
              <c:f>Tools!$CL$4:$DJ$4</c:f>
              <c:numCache>
                <c:formatCode>General</c:formatCode>
                <c:ptCount val="25"/>
                <c:pt idx="0">
                  <c:v>0</c:v>
                </c:pt>
                <c:pt idx="1">
                  <c:v>0.25</c:v>
                </c:pt>
                <c:pt idx="2">
                  <c:v>0.5</c:v>
                </c:pt>
                <c:pt idx="3">
                  <c:v>0.75</c:v>
                </c:pt>
                <c:pt idx="4">
                  <c:v>1</c:v>
                </c:pt>
                <c:pt idx="5">
                  <c:v>2</c:v>
                </c:pt>
                <c:pt idx="6">
                  <c:v>3</c:v>
                </c:pt>
                <c:pt idx="7">
                  <c:v>4</c:v>
                </c:pt>
                <c:pt idx="8">
                  <c:v>4.8499999999999996</c:v>
                </c:pt>
                <c:pt idx="9">
                  <c:v>5</c:v>
                </c:pt>
                <c:pt idx="10">
                  <c:v>6</c:v>
                </c:pt>
                <c:pt idx="11">
                  <c:v>6.5</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yVal>
          <c:smooth val="1"/>
        </c:ser>
        <c:ser>
          <c:idx val="47"/>
          <c:order val="22"/>
          <c:tx>
            <c:strRef>
              <c:f>Tools!$CK$53</c:f>
              <c:strCache>
                <c:ptCount val="1"/>
                <c:pt idx="0">
                  <c:v>19.5</c:v>
                </c:pt>
              </c:strCache>
            </c:strRef>
          </c:tx>
          <c:spPr>
            <a:ln w="3175">
              <a:solidFill>
                <a:schemeClr val="accent6">
                  <a:lumMod val="75000"/>
                </a:schemeClr>
              </a:solidFill>
            </a:ln>
          </c:spPr>
          <c:marker>
            <c:symbol val="none"/>
          </c:marker>
          <c:xVal>
            <c:numRef>
              <c:f>Tools!$CL$53:$DJ$53</c:f>
              <c:numCache>
                <c:formatCode>General</c:formatCode>
                <c:ptCount val="25"/>
                <c:pt idx="0">
                  <c:v>19.5</c:v>
                </c:pt>
                <c:pt idx="1">
                  <c:v>19.500110294117647</c:v>
                </c:pt>
                <c:pt idx="2">
                  <c:v>19.500624715002282</c:v>
                </c:pt>
                <c:pt idx="3">
                  <c:v>19.50169032147743</c:v>
                </c:pt>
                <c:pt idx="4">
                  <c:v>19.50341997264022</c:v>
                </c:pt>
                <c:pt idx="5">
                  <c:v>19.517253381972946</c:v>
                </c:pt>
                <c:pt idx="6">
                  <c:v>19.540471196230431</c:v>
                </c:pt>
                <c:pt idx="7">
                  <c:v>19.569322085423316</c:v>
                </c:pt>
                <c:pt idx="8">
                  <c:v>19.601397796017633</c:v>
                </c:pt>
                <c:pt idx="9">
                  <c:v>19.608105791153672</c:v>
                </c:pt>
                <c:pt idx="10">
                  <c:v>19.664247150022799</c:v>
                </c:pt>
                <c:pt idx="11">
                  <c:v>19.703154278765769</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xVal>
          <c:yVal>
            <c:numRef>
              <c:f>Tools!$CL$4:$DJ$4</c:f>
              <c:numCache>
                <c:formatCode>General</c:formatCode>
                <c:ptCount val="25"/>
                <c:pt idx="0">
                  <c:v>0</c:v>
                </c:pt>
                <c:pt idx="1">
                  <c:v>0.25</c:v>
                </c:pt>
                <c:pt idx="2">
                  <c:v>0.5</c:v>
                </c:pt>
                <c:pt idx="3">
                  <c:v>0.75</c:v>
                </c:pt>
                <c:pt idx="4">
                  <c:v>1</c:v>
                </c:pt>
                <c:pt idx="5">
                  <c:v>2</c:v>
                </c:pt>
                <c:pt idx="6">
                  <c:v>3</c:v>
                </c:pt>
                <c:pt idx="7">
                  <c:v>4</c:v>
                </c:pt>
                <c:pt idx="8">
                  <c:v>4.8499999999999996</c:v>
                </c:pt>
                <c:pt idx="9">
                  <c:v>5</c:v>
                </c:pt>
                <c:pt idx="10">
                  <c:v>6</c:v>
                </c:pt>
                <c:pt idx="11">
                  <c:v>6.5</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yVal>
          <c:smooth val="1"/>
        </c:ser>
        <c:ser>
          <c:idx val="48"/>
          <c:order val="23"/>
          <c:tx>
            <c:strRef>
              <c:f>Tools!$CK$54</c:f>
              <c:strCache>
                <c:ptCount val="1"/>
                <c:pt idx="0">
                  <c:v>20</c:v>
                </c:pt>
              </c:strCache>
            </c:strRef>
          </c:tx>
          <c:spPr>
            <a:ln w="3175">
              <a:solidFill>
                <a:schemeClr val="accent6">
                  <a:lumMod val="75000"/>
                </a:schemeClr>
              </a:solidFill>
            </a:ln>
          </c:spPr>
          <c:marker>
            <c:symbol val="none"/>
          </c:marker>
          <c:xVal>
            <c:numRef>
              <c:f>Tools!$CL$54:$DJ$54</c:f>
              <c:numCache>
                <c:formatCode>General</c:formatCode>
                <c:ptCount val="25"/>
                <c:pt idx="0">
                  <c:v>20</c:v>
                </c:pt>
                <c:pt idx="1">
                  <c:v>20.000067449460403</c:v>
                </c:pt>
                <c:pt idx="2">
                  <c:v>20.000425596595228</c:v>
                </c:pt>
                <c:pt idx="3">
                  <c:v>20.001183880528956</c:v>
                </c:pt>
                <c:pt idx="4">
                  <c:v>20.002377260981913</c:v>
                </c:pt>
                <c:pt idx="5">
                  <c:v>20.009598723210214</c:v>
                </c:pt>
                <c:pt idx="6">
                  <c:v>20.016956984344127</c:v>
                </c:pt>
                <c:pt idx="7">
                  <c:v>20.020007599939202</c:v>
                </c:pt>
                <c:pt idx="8">
                  <c:v>20.020538866089073</c:v>
                </c:pt>
                <c:pt idx="9">
                  <c:v>20.020519835841313</c:v>
                </c:pt>
                <c:pt idx="10">
                  <c:v>20.026963064295487</c:v>
                </c:pt>
                <c:pt idx="11">
                  <c:v>20.040877032983737</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xVal>
          <c:yVal>
            <c:numRef>
              <c:f>Tools!$CL$4:$DJ$4</c:f>
              <c:numCache>
                <c:formatCode>General</c:formatCode>
                <c:ptCount val="25"/>
                <c:pt idx="0">
                  <c:v>0</c:v>
                </c:pt>
                <c:pt idx="1">
                  <c:v>0.25</c:v>
                </c:pt>
                <c:pt idx="2">
                  <c:v>0.5</c:v>
                </c:pt>
                <c:pt idx="3">
                  <c:v>0.75</c:v>
                </c:pt>
                <c:pt idx="4">
                  <c:v>1</c:v>
                </c:pt>
                <c:pt idx="5">
                  <c:v>2</c:v>
                </c:pt>
                <c:pt idx="6">
                  <c:v>3</c:v>
                </c:pt>
                <c:pt idx="7">
                  <c:v>4</c:v>
                </c:pt>
                <c:pt idx="8">
                  <c:v>4.8499999999999996</c:v>
                </c:pt>
                <c:pt idx="9">
                  <c:v>5</c:v>
                </c:pt>
                <c:pt idx="10">
                  <c:v>6</c:v>
                </c:pt>
                <c:pt idx="11">
                  <c:v>6.5</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yVal>
          <c:smooth val="1"/>
        </c:ser>
        <c:ser>
          <c:idx val="49"/>
          <c:order val="24"/>
          <c:tx>
            <c:strRef>
              <c:f>Tools!$CK$35</c:f>
              <c:strCache>
                <c:ptCount val="1"/>
                <c:pt idx="0">
                  <c:v>3</c:v>
                </c:pt>
              </c:strCache>
            </c:strRef>
          </c:tx>
          <c:spPr>
            <a:ln w="3175">
              <a:solidFill>
                <a:schemeClr val="accent6">
                  <a:lumMod val="75000"/>
                </a:schemeClr>
              </a:solidFill>
            </a:ln>
          </c:spPr>
          <c:marker>
            <c:symbol val="none"/>
          </c:marker>
          <c:xVal>
            <c:numRef>
              <c:f>Tools!$CL$35:$DJ$35</c:f>
              <c:numCache>
                <c:formatCode>General</c:formatCode>
                <c:ptCount val="25"/>
                <c:pt idx="0">
                  <c:v>3</c:v>
                </c:pt>
                <c:pt idx="1">
                  <c:v>3.000329932360541</c:v>
                </c:pt>
                <c:pt idx="2">
                  <c:v>3.0016431068551452</c:v>
                </c:pt>
                <c:pt idx="3">
                  <c:v>3.0041937414500683</c:v>
                </c:pt>
                <c:pt idx="4">
                  <c:v>3.0081471348229214</c:v>
                </c:pt>
                <c:pt idx="5">
                  <c:v>3.041144550843593</c:v>
                </c:pt>
                <c:pt idx="6">
                  <c:v>3.1076029791761668</c:v>
                </c:pt>
                <c:pt idx="7">
                  <c:v>3.2126721386228909</c:v>
                </c:pt>
                <c:pt idx="8">
                  <c:v>3.3368806657546739</c:v>
                </c:pt>
                <c:pt idx="9">
                  <c:v>3.3622070223438212</c:v>
                </c:pt>
                <c:pt idx="10">
                  <c:v>3.5604453564371483</c:v>
                </c:pt>
                <c:pt idx="11">
                  <c:v>3.6775482596139231</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xVal>
          <c:yVal>
            <c:numRef>
              <c:f>Tools!$CL$4:$DJ$4</c:f>
              <c:numCache>
                <c:formatCode>General</c:formatCode>
                <c:ptCount val="25"/>
                <c:pt idx="0">
                  <c:v>0</c:v>
                </c:pt>
                <c:pt idx="1">
                  <c:v>0.25</c:v>
                </c:pt>
                <c:pt idx="2">
                  <c:v>0.5</c:v>
                </c:pt>
                <c:pt idx="3">
                  <c:v>0.75</c:v>
                </c:pt>
                <c:pt idx="4">
                  <c:v>1</c:v>
                </c:pt>
                <c:pt idx="5">
                  <c:v>2</c:v>
                </c:pt>
                <c:pt idx="6">
                  <c:v>3</c:v>
                </c:pt>
                <c:pt idx="7">
                  <c:v>4</c:v>
                </c:pt>
                <c:pt idx="8">
                  <c:v>4.8499999999999996</c:v>
                </c:pt>
                <c:pt idx="9">
                  <c:v>5</c:v>
                </c:pt>
                <c:pt idx="10">
                  <c:v>6</c:v>
                </c:pt>
                <c:pt idx="11">
                  <c:v>6.5</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yVal>
          <c:smooth val="1"/>
        </c:ser>
        <c:ser>
          <c:idx val="50"/>
          <c:order val="25"/>
          <c:tx>
            <c:strRef>
              <c:f>Tools!$CG$5</c:f>
              <c:strCache>
                <c:ptCount val="1"/>
                <c:pt idx="0">
                  <c:v>0</c:v>
                </c:pt>
              </c:strCache>
            </c:strRef>
          </c:tx>
          <c:spPr>
            <a:ln w="3175">
              <a:solidFill>
                <a:sysClr val="windowText" lastClr="000000"/>
              </a:solidFill>
            </a:ln>
          </c:spPr>
          <c:marker>
            <c:symbol val="none"/>
          </c:marker>
          <c:xVal>
            <c:numRef>
              <c:f>Tools!$CH$5:$CI$5</c:f>
              <c:numCache>
                <c:formatCode>General</c:formatCode>
                <c:ptCount val="2"/>
                <c:pt idx="0">
                  <c:v>0</c:v>
                </c:pt>
                <c:pt idx="1">
                  <c:v>0</c:v>
                </c:pt>
              </c:numCache>
            </c:numRef>
          </c:xVal>
          <c:yVal>
            <c:numRef>
              <c:f>Tools!$CH$4:$CI$4</c:f>
              <c:numCache>
                <c:formatCode>General</c:formatCode>
                <c:ptCount val="2"/>
                <c:pt idx="0">
                  <c:v>0</c:v>
                </c:pt>
                <c:pt idx="1">
                  <c:v>6.5</c:v>
                </c:pt>
              </c:numCache>
            </c:numRef>
          </c:yVal>
          <c:smooth val="1"/>
        </c:ser>
        <c:ser>
          <c:idx val="51"/>
          <c:order val="26"/>
          <c:tx>
            <c:strRef>
              <c:f>Tools!$CG$6</c:f>
              <c:strCache>
                <c:ptCount val="1"/>
                <c:pt idx="0">
                  <c:v>0.5</c:v>
                </c:pt>
              </c:strCache>
            </c:strRef>
          </c:tx>
          <c:spPr>
            <a:ln w="3175">
              <a:solidFill>
                <a:sysClr val="windowText" lastClr="000000"/>
              </a:solidFill>
            </a:ln>
          </c:spPr>
          <c:marker>
            <c:symbol val="none"/>
          </c:marker>
          <c:xVal>
            <c:numRef>
              <c:f>Tools!$CH$6:$CI$6</c:f>
              <c:numCache>
                <c:formatCode>General</c:formatCode>
                <c:ptCount val="2"/>
                <c:pt idx="0">
                  <c:v>0.5</c:v>
                </c:pt>
                <c:pt idx="1">
                  <c:v>0.5</c:v>
                </c:pt>
              </c:numCache>
            </c:numRef>
          </c:xVal>
          <c:yVal>
            <c:numRef>
              <c:f>Tools!$CH$4:$CI$4</c:f>
              <c:numCache>
                <c:formatCode>General</c:formatCode>
                <c:ptCount val="2"/>
                <c:pt idx="0">
                  <c:v>0</c:v>
                </c:pt>
                <c:pt idx="1">
                  <c:v>6.5</c:v>
                </c:pt>
              </c:numCache>
            </c:numRef>
          </c:yVal>
          <c:smooth val="1"/>
        </c:ser>
        <c:ser>
          <c:idx val="52"/>
          <c:order val="27"/>
          <c:tx>
            <c:strRef>
              <c:f>Tools!$CG$7</c:f>
              <c:strCache>
                <c:ptCount val="1"/>
                <c:pt idx="0">
                  <c:v>1</c:v>
                </c:pt>
              </c:strCache>
            </c:strRef>
          </c:tx>
          <c:spPr>
            <a:ln w="3175">
              <a:solidFill>
                <a:sysClr val="windowText" lastClr="000000"/>
              </a:solidFill>
            </a:ln>
          </c:spPr>
          <c:marker>
            <c:symbol val="none"/>
          </c:marker>
          <c:xVal>
            <c:numRef>
              <c:f>Tools!$CH$7:$CI$7</c:f>
              <c:numCache>
                <c:formatCode>General</c:formatCode>
                <c:ptCount val="2"/>
                <c:pt idx="0">
                  <c:v>1</c:v>
                </c:pt>
                <c:pt idx="1">
                  <c:v>1</c:v>
                </c:pt>
              </c:numCache>
            </c:numRef>
          </c:xVal>
          <c:yVal>
            <c:numRef>
              <c:f>Tools!$CH$4:$CI$4</c:f>
              <c:numCache>
                <c:formatCode>General</c:formatCode>
                <c:ptCount val="2"/>
                <c:pt idx="0">
                  <c:v>0</c:v>
                </c:pt>
                <c:pt idx="1">
                  <c:v>6.5</c:v>
                </c:pt>
              </c:numCache>
            </c:numRef>
          </c:yVal>
          <c:smooth val="1"/>
        </c:ser>
        <c:ser>
          <c:idx val="53"/>
          <c:order val="28"/>
          <c:tx>
            <c:strRef>
              <c:f>Tools!$CG$8</c:f>
              <c:strCache>
                <c:ptCount val="1"/>
                <c:pt idx="0">
                  <c:v>1.5</c:v>
                </c:pt>
              </c:strCache>
            </c:strRef>
          </c:tx>
          <c:spPr>
            <a:ln w="3175">
              <a:solidFill>
                <a:sysClr val="windowText" lastClr="000000"/>
              </a:solidFill>
            </a:ln>
          </c:spPr>
          <c:marker>
            <c:symbol val="none"/>
          </c:marker>
          <c:xVal>
            <c:numRef>
              <c:f>Tools!$CH$8:$CI$8</c:f>
              <c:numCache>
                <c:formatCode>General</c:formatCode>
                <c:ptCount val="2"/>
                <c:pt idx="0">
                  <c:v>1.5</c:v>
                </c:pt>
                <c:pt idx="1">
                  <c:v>1.5</c:v>
                </c:pt>
              </c:numCache>
            </c:numRef>
          </c:xVal>
          <c:yVal>
            <c:numRef>
              <c:f>Tools!$CH$4:$CI$4</c:f>
              <c:numCache>
                <c:formatCode>General</c:formatCode>
                <c:ptCount val="2"/>
                <c:pt idx="0">
                  <c:v>0</c:v>
                </c:pt>
                <c:pt idx="1">
                  <c:v>6.5</c:v>
                </c:pt>
              </c:numCache>
            </c:numRef>
          </c:yVal>
          <c:smooth val="1"/>
        </c:ser>
        <c:ser>
          <c:idx val="54"/>
          <c:order val="29"/>
          <c:tx>
            <c:strRef>
              <c:f>Tools!$CG$9</c:f>
              <c:strCache>
                <c:ptCount val="1"/>
                <c:pt idx="0">
                  <c:v>2</c:v>
                </c:pt>
              </c:strCache>
            </c:strRef>
          </c:tx>
          <c:spPr>
            <a:ln w="3175">
              <a:solidFill>
                <a:sysClr val="windowText" lastClr="000000"/>
              </a:solidFill>
            </a:ln>
          </c:spPr>
          <c:marker>
            <c:symbol val="none"/>
          </c:marker>
          <c:xVal>
            <c:numRef>
              <c:f>Tools!$CH$9:$CI$9</c:f>
              <c:numCache>
                <c:formatCode>General</c:formatCode>
                <c:ptCount val="2"/>
                <c:pt idx="0">
                  <c:v>2</c:v>
                </c:pt>
                <c:pt idx="1">
                  <c:v>2</c:v>
                </c:pt>
              </c:numCache>
            </c:numRef>
          </c:xVal>
          <c:yVal>
            <c:numRef>
              <c:f>Tools!$CH$4:$CI$4</c:f>
              <c:numCache>
                <c:formatCode>General</c:formatCode>
                <c:ptCount val="2"/>
                <c:pt idx="0">
                  <c:v>0</c:v>
                </c:pt>
                <c:pt idx="1">
                  <c:v>6.5</c:v>
                </c:pt>
              </c:numCache>
            </c:numRef>
          </c:yVal>
          <c:smooth val="1"/>
        </c:ser>
        <c:ser>
          <c:idx val="55"/>
          <c:order val="30"/>
          <c:tx>
            <c:strRef>
              <c:f>Tools!$CG$10</c:f>
              <c:strCache>
                <c:ptCount val="1"/>
                <c:pt idx="0">
                  <c:v>3</c:v>
                </c:pt>
              </c:strCache>
            </c:strRef>
          </c:tx>
          <c:spPr>
            <a:ln w="3175">
              <a:solidFill>
                <a:sysClr val="windowText" lastClr="000000"/>
              </a:solidFill>
            </a:ln>
          </c:spPr>
          <c:marker>
            <c:symbol val="none"/>
          </c:marker>
          <c:xVal>
            <c:numRef>
              <c:f>Tools!$CH$10:$CI$10</c:f>
              <c:numCache>
                <c:formatCode>General</c:formatCode>
                <c:ptCount val="2"/>
                <c:pt idx="0">
                  <c:v>3</c:v>
                </c:pt>
                <c:pt idx="1">
                  <c:v>3</c:v>
                </c:pt>
              </c:numCache>
            </c:numRef>
          </c:xVal>
          <c:yVal>
            <c:numRef>
              <c:f>Tools!$CH$4:$CI$4</c:f>
              <c:numCache>
                <c:formatCode>General</c:formatCode>
                <c:ptCount val="2"/>
                <c:pt idx="0">
                  <c:v>0</c:v>
                </c:pt>
                <c:pt idx="1">
                  <c:v>6.5</c:v>
                </c:pt>
              </c:numCache>
            </c:numRef>
          </c:yVal>
          <c:smooth val="1"/>
        </c:ser>
        <c:ser>
          <c:idx val="56"/>
          <c:order val="31"/>
          <c:tx>
            <c:strRef>
              <c:f>Tools!$CG$11</c:f>
              <c:strCache>
                <c:ptCount val="1"/>
                <c:pt idx="0">
                  <c:v>4</c:v>
                </c:pt>
              </c:strCache>
            </c:strRef>
          </c:tx>
          <c:spPr>
            <a:ln w="3175">
              <a:solidFill>
                <a:sysClr val="windowText" lastClr="000000"/>
              </a:solidFill>
            </a:ln>
          </c:spPr>
          <c:marker>
            <c:symbol val="none"/>
          </c:marker>
          <c:xVal>
            <c:numRef>
              <c:f>Tools!$CH$11:$CI$11</c:f>
              <c:numCache>
                <c:formatCode>General</c:formatCode>
                <c:ptCount val="2"/>
                <c:pt idx="0">
                  <c:v>4</c:v>
                </c:pt>
                <c:pt idx="1">
                  <c:v>4</c:v>
                </c:pt>
              </c:numCache>
            </c:numRef>
          </c:xVal>
          <c:yVal>
            <c:numRef>
              <c:f>Tools!$CH$4:$CI$4</c:f>
              <c:numCache>
                <c:formatCode>General</c:formatCode>
                <c:ptCount val="2"/>
                <c:pt idx="0">
                  <c:v>0</c:v>
                </c:pt>
                <c:pt idx="1">
                  <c:v>6.5</c:v>
                </c:pt>
              </c:numCache>
            </c:numRef>
          </c:yVal>
          <c:smooth val="1"/>
        </c:ser>
        <c:ser>
          <c:idx val="57"/>
          <c:order val="32"/>
          <c:tx>
            <c:strRef>
              <c:f>Tools!$CG$12</c:f>
              <c:strCache>
                <c:ptCount val="1"/>
                <c:pt idx="0">
                  <c:v>5</c:v>
                </c:pt>
              </c:strCache>
            </c:strRef>
          </c:tx>
          <c:spPr>
            <a:ln w="3175">
              <a:solidFill>
                <a:sysClr val="windowText" lastClr="000000"/>
              </a:solidFill>
            </a:ln>
          </c:spPr>
          <c:marker>
            <c:symbol val="none"/>
          </c:marker>
          <c:xVal>
            <c:numRef>
              <c:f>Tools!$CH$12:$CI$12</c:f>
              <c:numCache>
                <c:formatCode>General</c:formatCode>
                <c:ptCount val="2"/>
                <c:pt idx="0">
                  <c:v>5</c:v>
                </c:pt>
                <c:pt idx="1">
                  <c:v>5</c:v>
                </c:pt>
              </c:numCache>
            </c:numRef>
          </c:xVal>
          <c:yVal>
            <c:numRef>
              <c:f>Tools!$CH$4:$CI$4</c:f>
              <c:numCache>
                <c:formatCode>General</c:formatCode>
                <c:ptCount val="2"/>
                <c:pt idx="0">
                  <c:v>0</c:v>
                </c:pt>
                <c:pt idx="1">
                  <c:v>6.5</c:v>
                </c:pt>
              </c:numCache>
            </c:numRef>
          </c:yVal>
          <c:smooth val="1"/>
        </c:ser>
        <c:ser>
          <c:idx val="58"/>
          <c:order val="33"/>
          <c:tx>
            <c:strRef>
              <c:f>Tools!$CG$13</c:f>
              <c:strCache>
                <c:ptCount val="1"/>
                <c:pt idx="0">
                  <c:v>6</c:v>
                </c:pt>
              </c:strCache>
            </c:strRef>
          </c:tx>
          <c:spPr>
            <a:ln w="3175">
              <a:solidFill>
                <a:sysClr val="windowText" lastClr="000000"/>
              </a:solidFill>
            </a:ln>
          </c:spPr>
          <c:marker>
            <c:symbol val="none"/>
          </c:marker>
          <c:xVal>
            <c:numRef>
              <c:f>Tools!$CH$13:$CI$13</c:f>
              <c:numCache>
                <c:formatCode>General</c:formatCode>
                <c:ptCount val="2"/>
                <c:pt idx="0">
                  <c:v>6</c:v>
                </c:pt>
                <c:pt idx="1">
                  <c:v>6</c:v>
                </c:pt>
              </c:numCache>
            </c:numRef>
          </c:xVal>
          <c:yVal>
            <c:numRef>
              <c:f>Tools!$CH$4:$CI$4</c:f>
              <c:numCache>
                <c:formatCode>General</c:formatCode>
                <c:ptCount val="2"/>
                <c:pt idx="0">
                  <c:v>0</c:v>
                </c:pt>
                <c:pt idx="1">
                  <c:v>6.5</c:v>
                </c:pt>
              </c:numCache>
            </c:numRef>
          </c:yVal>
          <c:smooth val="1"/>
        </c:ser>
        <c:ser>
          <c:idx val="59"/>
          <c:order val="34"/>
          <c:tx>
            <c:strRef>
              <c:f>Tools!$CG$14</c:f>
              <c:strCache>
                <c:ptCount val="1"/>
                <c:pt idx="0">
                  <c:v>7</c:v>
                </c:pt>
              </c:strCache>
            </c:strRef>
          </c:tx>
          <c:spPr>
            <a:ln w="3175">
              <a:solidFill>
                <a:sysClr val="windowText" lastClr="000000"/>
              </a:solidFill>
            </a:ln>
          </c:spPr>
          <c:marker>
            <c:symbol val="none"/>
          </c:marker>
          <c:xVal>
            <c:numRef>
              <c:f>Tools!$CH$14:$CI$14</c:f>
              <c:numCache>
                <c:formatCode>General</c:formatCode>
                <c:ptCount val="2"/>
                <c:pt idx="0">
                  <c:v>7</c:v>
                </c:pt>
                <c:pt idx="1">
                  <c:v>7</c:v>
                </c:pt>
              </c:numCache>
            </c:numRef>
          </c:xVal>
          <c:yVal>
            <c:numRef>
              <c:f>Tools!$CH$4:$CI$4</c:f>
              <c:numCache>
                <c:formatCode>General</c:formatCode>
                <c:ptCount val="2"/>
                <c:pt idx="0">
                  <c:v>0</c:v>
                </c:pt>
                <c:pt idx="1">
                  <c:v>6.5</c:v>
                </c:pt>
              </c:numCache>
            </c:numRef>
          </c:yVal>
          <c:smooth val="1"/>
        </c:ser>
        <c:ser>
          <c:idx val="60"/>
          <c:order val="35"/>
          <c:tx>
            <c:strRef>
              <c:f>Tools!$CG$15</c:f>
              <c:strCache>
                <c:ptCount val="1"/>
                <c:pt idx="0">
                  <c:v>8</c:v>
                </c:pt>
              </c:strCache>
            </c:strRef>
          </c:tx>
          <c:spPr>
            <a:ln w="3175">
              <a:solidFill>
                <a:sysClr val="windowText" lastClr="000000"/>
              </a:solidFill>
            </a:ln>
          </c:spPr>
          <c:marker>
            <c:symbol val="none"/>
          </c:marker>
          <c:xVal>
            <c:numRef>
              <c:f>Tools!$CH$15:$CI$15</c:f>
              <c:numCache>
                <c:formatCode>General</c:formatCode>
                <c:ptCount val="2"/>
                <c:pt idx="0">
                  <c:v>8</c:v>
                </c:pt>
                <c:pt idx="1">
                  <c:v>8</c:v>
                </c:pt>
              </c:numCache>
            </c:numRef>
          </c:xVal>
          <c:yVal>
            <c:numRef>
              <c:f>Tools!$CH$4:$CI$4</c:f>
              <c:numCache>
                <c:formatCode>General</c:formatCode>
                <c:ptCount val="2"/>
                <c:pt idx="0">
                  <c:v>0</c:v>
                </c:pt>
                <c:pt idx="1">
                  <c:v>6.5</c:v>
                </c:pt>
              </c:numCache>
            </c:numRef>
          </c:yVal>
          <c:smooth val="1"/>
        </c:ser>
        <c:ser>
          <c:idx val="61"/>
          <c:order val="36"/>
          <c:tx>
            <c:strRef>
              <c:f>Tools!$CG$16</c:f>
              <c:strCache>
                <c:ptCount val="1"/>
                <c:pt idx="0">
                  <c:v>9</c:v>
                </c:pt>
              </c:strCache>
            </c:strRef>
          </c:tx>
          <c:spPr>
            <a:ln w="3175">
              <a:solidFill>
                <a:sysClr val="windowText" lastClr="000000"/>
              </a:solidFill>
            </a:ln>
          </c:spPr>
          <c:marker>
            <c:symbol val="none"/>
          </c:marker>
          <c:xVal>
            <c:numRef>
              <c:f>Tools!$CH$16:$CI$16</c:f>
              <c:numCache>
                <c:formatCode>General</c:formatCode>
                <c:ptCount val="2"/>
                <c:pt idx="0">
                  <c:v>9</c:v>
                </c:pt>
                <c:pt idx="1">
                  <c:v>9</c:v>
                </c:pt>
              </c:numCache>
            </c:numRef>
          </c:xVal>
          <c:yVal>
            <c:numRef>
              <c:f>Tools!$CH$4:$CI$4</c:f>
              <c:numCache>
                <c:formatCode>General</c:formatCode>
                <c:ptCount val="2"/>
                <c:pt idx="0">
                  <c:v>0</c:v>
                </c:pt>
                <c:pt idx="1">
                  <c:v>6.5</c:v>
                </c:pt>
              </c:numCache>
            </c:numRef>
          </c:yVal>
          <c:smooth val="1"/>
        </c:ser>
        <c:ser>
          <c:idx val="62"/>
          <c:order val="37"/>
          <c:tx>
            <c:strRef>
              <c:f>Tools!$CG$17</c:f>
              <c:strCache>
                <c:ptCount val="1"/>
                <c:pt idx="0">
                  <c:v>10</c:v>
                </c:pt>
              </c:strCache>
            </c:strRef>
          </c:tx>
          <c:spPr>
            <a:ln w="3175">
              <a:solidFill>
                <a:sysClr val="windowText" lastClr="000000"/>
              </a:solidFill>
            </a:ln>
          </c:spPr>
          <c:marker>
            <c:symbol val="none"/>
          </c:marker>
          <c:xVal>
            <c:numRef>
              <c:f>Tools!$CH$17:$CI$17</c:f>
              <c:numCache>
                <c:formatCode>General</c:formatCode>
                <c:ptCount val="2"/>
                <c:pt idx="0">
                  <c:v>10</c:v>
                </c:pt>
                <c:pt idx="1">
                  <c:v>10</c:v>
                </c:pt>
              </c:numCache>
            </c:numRef>
          </c:xVal>
          <c:yVal>
            <c:numRef>
              <c:f>Tools!$CH$4:$CI$4</c:f>
              <c:numCache>
                <c:formatCode>General</c:formatCode>
                <c:ptCount val="2"/>
                <c:pt idx="0">
                  <c:v>0</c:v>
                </c:pt>
                <c:pt idx="1">
                  <c:v>6.5</c:v>
                </c:pt>
              </c:numCache>
            </c:numRef>
          </c:yVal>
          <c:smooth val="1"/>
        </c:ser>
        <c:ser>
          <c:idx val="63"/>
          <c:order val="38"/>
          <c:tx>
            <c:strRef>
              <c:f>Tools!$CG$18</c:f>
              <c:strCache>
                <c:ptCount val="1"/>
                <c:pt idx="0">
                  <c:v>11</c:v>
                </c:pt>
              </c:strCache>
            </c:strRef>
          </c:tx>
          <c:spPr>
            <a:ln w="3175">
              <a:solidFill>
                <a:sysClr val="windowText" lastClr="000000"/>
              </a:solidFill>
            </a:ln>
          </c:spPr>
          <c:marker>
            <c:symbol val="none"/>
          </c:marker>
          <c:xVal>
            <c:numRef>
              <c:f>Tools!$CH$18:$CI$18</c:f>
              <c:numCache>
                <c:formatCode>General</c:formatCode>
                <c:ptCount val="2"/>
                <c:pt idx="0">
                  <c:v>11</c:v>
                </c:pt>
                <c:pt idx="1">
                  <c:v>11</c:v>
                </c:pt>
              </c:numCache>
            </c:numRef>
          </c:xVal>
          <c:yVal>
            <c:numRef>
              <c:f>Tools!$CH$4:$CI$4</c:f>
              <c:numCache>
                <c:formatCode>General</c:formatCode>
                <c:ptCount val="2"/>
                <c:pt idx="0">
                  <c:v>0</c:v>
                </c:pt>
                <c:pt idx="1">
                  <c:v>6.5</c:v>
                </c:pt>
              </c:numCache>
            </c:numRef>
          </c:yVal>
          <c:smooth val="1"/>
        </c:ser>
        <c:ser>
          <c:idx val="64"/>
          <c:order val="39"/>
          <c:tx>
            <c:strRef>
              <c:f>Tools!$CG$19</c:f>
              <c:strCache>
                <c:ptCount val="1"/>
                <c:pt idx="0">
                  <c:v>12</c:v>
                </c:pt>
              </c:strCache>
            </c:strRef>
          </c:tx>
          <c:spPr>
            <a:ln w="3175">
              <a:solidFill>
                <a:sysClr val="windowText" lastClr="000000"/>
              </a:solidFill>
            </a:ln>
          </c:spPr>
          <c:marker>
            <c:symbol val="none"/>
          </c:marker>
          <c:xVal>
            <c:numRef>
              <c:f>Tools!$CH$19:$CI$19</c:f>
              <c:numCache>
                <c:formatCode>General</c:formatCode>
                <c:ptCount val="2"/>
                <c:pt idx="0">
                  <c:v>12</c:v>
                </c:pt>
                <c:pt idx="1">
                  <c:v>12</c:v>
                </c:pt>
              </c:numCache>
            </c:numRef>
          </c:xVal>
          <c:yVal>
            <c:numRef>
              <c:f>Tools!$CH$4:$CI$4</c:f>
              <c:numCache>
                <c:formatCode>General</c:formatCode>
                <c:ptCount val="2"/>
                <c:pt idx="0">
                  <c:v>0</c:v>
                </c:pt>
                <c:pt idx="1">
                  <c:v>6.5</c:v>
                </c:pt>
              </c:numCache>
            </c:numRef>
          </c:yVal>
          <c:smooth val="1"/>
        </c:ser>
        <c:ser>
          <c:idx val="65"/>
          <c:order val="40"/>
          <c:tx>
            <c:strRef>
              <c:f>Tools!$CG$20</c:f>
              <c:strCache>
                <c:ptCount val="1"/>
                <c:pt idx="0">
                  <c:v>13</c:v>
                </c:pt>
              </c:strCache>
            </c:strRef>
          </c:tx>
          <c:spPr>
            <a:ln w="3175">
              <a:solidFill>
                <a:sysClr val="windowText" lastClr="000000"/>
              </a:solidFill>
            </a:ln>
          </c:spPr>
          <c:marker>
            <c:symbol val="none"/>
          </c:marker>
          <c:xVal>
            <c:numRef>
              <c:f>Tools!$CH$20:$CI$20</c:f>
              <c:numCache>
                <c:formatCode>General</c:formatCode>
                <c:ptCount val="2"/>
                <c:pt idx="0">
                  <c:v>13</c:v>
                </c:pt>
                <c:pt idx="1">
                  <c:v>13</c:v>
                </c:pt>
              </c:numCache>
            </c:numRef>
          </c:xVal>
          <c:yVal>
            <c:numRef>
              <c:f>Tools!$CH$4:$CI$4</c:f>
              <c:numCache>
                <c:formatCode>General</c:formatCode>
                <c:ptCount val="2"/>
                <c:pt idx="0">
                  <c:v>0</c:v>
                </c:pt>
                <c:pt idx="1">
                  <c:v>6.5</c:v>
                </c:pt>
              </c:numCache>
            </c:numRef>
          </c:yVal>
          <c:smooth val="1"/>
        </c:ser>
        <c:ser>
          <c:idx val="66"/>
          <c:order val="41"/>
          <c:tx>
            <c:strRef>
              <c:f>Tools!$CG$21</c:f>
              <c:strCache>
                <c:ptCount val="1"/>
                <c:pt idx="0">
                  <c:v>14</c:v>
                </c:pt>
              </c:strCache>
            </c:strRef>
          </c:tx>
          <c:spPr>
            <a:ln w="3175">
              <a:solidFill>
                <a:sysClr val="windowText" lastClr="000000"/>
              </a:solidFill>
            </a:ln>
          </c:spPr>
          <c:marker>
            <c:symbol val="none"/>
          </c:marker>
          <c:xVal>
            <c:numRef>
              <c:f>Tools!$CH$21:$CI$21</c:f>
              <c:numCache>
                <c:formatCode>General</c:formatCode>
                <c:ptCount val="2"/>
                <c:pt idx="0">
                  <c:v>14</c:v>
                </c:pt>
                <c:pt idx="1">
                  <c:v>14</c:v>
                </c:pt>
              </c:numCache>
            </c:numRef>
          </c:xVal>
          <c:yVal>
            <c:numRef>
              <c:f>Tools!$CH$4:$CI$4</c:f>
              <c:numCache>
                <c:formatCode>General</c:formatCode>
                <c:ptCount val="2"/>
                <c:pt idx="0">
                  <c:v>0</c:v>
                </c:pt>
                <c:pt idx="1">
                  <c:v>6.5</c:v>
                </c:pt>
              </c:numCache>
            </c:numRef>
          </c:yVal>
          <c:smooth val="1"/>
        </c:ser>
        <c:ser>
          <c:idx val="67"/>
          <c:order val="42"/>
          <c:tx>
            <c:strRef>
              <c:f>Tools!$CG$22</c:f>
              <c:strCache>
                <c:ptCount val="1"/>
                <c:pt idx="0">
                  <c:v>15</c:v>
                </c:pt>
              </c:strCache>
            </c:strRef>
          </c:tx>
          <c:spPr>
            <a:ln w="3175">
              <a:solidFill>
                <a:sysClr val="windowText" lastClr="000000"/>
              </a:solidFill>
            </a:ln>
          </c:spPr>
          <c:marker>
            <c:symbol val="none"/>
          </c:marker>
          <c:xVal>
            <c:numRef>
              <c:f>Tools!$CH$22:$CI$22</c:f>
              <c:numCache>
                <c:formatCode>General</c:formatCode>
                <c:ptCount val="2"/>
                <c:pt idx="0">
                  <c:v>15</c:v>
                </c:pt>
                <c:pt idx="1">
                  <c:v>15</c:v>
                </c:pt>
              </c:numCache>
            </c:numRef>
          </c:xVal>
          <c:yVal>
            <c:numRef>
              <c:f>Tools!$CH$4:$CI$4</c:f>
              <c:numCache>
                <c:formatCode>General</c:formatCode>
                <c:ptCount val="2"/>
                <c:pt idx="0">
                  <c:v>0</c:v>
                </c:pt>
                <c:pt idx="1">
                  <c:v>6.5</c:v>
                </c:pt>
              </c:numCache>
            </c:numRef>
          </c:yVal>
          <c:smooth val="1"/>
        </c:ser>
        <c:ser>
          <c:idx val="68"/>
          <c:order val="43"/>
          <c:tx>
            <c:strRef>
              <c:f>Tools!$CG$23</c:f>
              <c:strCache>
                <c:ptCount val="1"/>
                <c:pt idx="0">
                  <c:v>16</c:v>
                </c:pt>
              </c:strCache>
            </c:strRef>
          </c:tx>
          <c:spPr>
            <a:ln w="3175">
              <a:solidFill>
                <a:sysClr val="windowText" lastClr="000000"/>
              </a:solidFill>
            </a:ln>
          </c:spPr>
          <c:marker>
            <c:symbol val="none"/>
          </c:marker>
          <c:xVal>
            <c:numRef>
              <c:f>Tools!$CH$23:$CI$23</c:f>
              <c:numCache>
                <c:formatCode>General</c:formatCode>
                <c:ptCount val="2"/>
                <c:pt idx="0">
                  <c:v>16</c:v>
                </c:pt>
                <c:pt idx="1">
                  <c:v>16</c:v>
                </c:pt>
              </c:numCache>
            </c:numRef>
          </c:xVal>
          <c:yVal>
            <c:numRef>
              <c:f>Tools!$CH$4:$CI$4</c:f>
              <c:numCache>
                <c:formatCode>General</c:formatCode>
                <c:ptCount val="2"/>
                <c:pt idx="0">
                  <c:v>0</c:v>
                </c:pt>
                <c:pt idx="1">
                  <c:v>6.5</c:v>
                </c:pt>
              </c:numCache>
            </c:numRef>
          </c:yVal>
          <c:smooth val="1"/>
        </c:ser>
        <c:ser>
          <c:idx val="69"/>
          <c:order val="44"/>
          <c:tx>
            <c:strRef>
              <c:f>Tools!$CG$24</c:f>
              <c:strCache>
                <c:ptCount val="1"/>
                <c:pt idx="0">
                  <c:v>17</c:v>
                </c:pt>
              </c:strCache>
            </c:strRef>
          </c:tx>
          <c:spPr>
            <a:ln w="3175">
              <a:solidFill>
                <a:sysClr val="windowText" lastClr="000000"/>
              </a:solidFill>
            </a:ln>
          </c:spPr>
          <c:marker>
            <c:symbol val="none"/>
          </c:marker>
          <c:xVal>
            <c:numRef>
              <c:f>Tools!$CH$24:$CI$24</c:f>
              <c:numCache>
                <c:formatCode>General</c:formatCode>
                <c:ptCount val="2"/>
                <c:pt idx="0">
                  <c:v>17</c:v>
                </c:pt>
                <c:pt idx="1">
                  <c:v>17</c:v>
                </c:pt>
              </c:numCache>
            </c:numRef>
          </c:xVal>
          <c:yVal>
            <c:numRef>
              <c:f>Tools!$CH$4:$CI$4</c:f>
              <c:numCache>
                <c:formatCode>General</c:formatCode>
                <c:ptCount val="2"/>
                <c:pt idx="0">
                  <c:v>0</c:v>
                </c:pt>
                <c:pt idx="1">
                  <c:v>6.5</c:v>
                </c:pt>
              </c:numCache>
            </c:numRef>
          </c:yVal>
          <c:smooth val="1"/>
        </c:ser>
        <c:ser>
          <c:idx val="70"/>
          <c:order val="45"/>
          <c:tx>
            <c:strRef>
              <c:f>Tools!$CG$25</c:f>
              <c:strCache>
                <c:ptCount val="1"/>
                <c:pt idx="0">
                  <c:v>18</c:v>
                </c:pt>
              </c:strCache>
            </c:strRef>
          </c:tx>
          <c:spPr>
            <a:ln w="3175">
              <a:solidFill>
                <a:sysClr val="windowText" lastClr="000000"/>
              </a:solidFill>
            </a:ln>
          </c:spPr>
          <c:marker>
            <c:symbol val="none"/>
          </c:marker>
          <c:xVal>
            <c:numRef>
              <c:f>Tools!$CH$25:$CI$25</c:f>
              <c:numCache>
                <c:formatCode>General</c:formatCode>
                <c:ptCount val="2"/>
                <c:pt idx="0">
                  <c:v>18</c:v>
                </c:pt>
                <c:pt idx="1">
                  <c:v>18</c:v>
                </c:pt>
              </c:numCache>
            </c:numRef>
          </c:xVal>
          <c:yVal>
            <c:numRef>
              <c:f>Tools!$CH$4:$CI$4</c:f>
              <c:numCache>
                <c:formatCode>General</c:formatCode>
                <c:ptCount val="2"/>
                <c:pt idx="0">
                  <c:v>0</c:v>
                </c:pt>
                <c:pt idx="1">
                  <c:v>6.5</c:v>
                </c:pt>
              </c:numCache>
            </c:numRef>
          </c:yVal>
          <c:smooth val="1"/>
        </c:ser>
        <c:ser>
          <c:idx val="71"/>
          <c:order val="46"/>
          <c:tx>
            <c:strRef>
              <c:f>Tools!$CG$26</c:f>
              <c:strCache>
                <c:ptCount val="1"/>
                <c:pt idx="0">
                  <c:v>18.5</c:v>
                </c:pt>
              </c:strCache>
            </c:strRef>
          </c:tx>
          <c:spPr>
            <a:ln w="3175">
              <a:solidFill>
                <a:sysClr val="windowText" lastClr="000000"/>
              </a:solidFill>
            </a:ln>
          </c:spPr>
          <c:marker>
            <c:symbol val="none"/>
          </c:marker>
          <c:xVal>
            <c:numRef>
              <c:f>Tools!$CH$26:$CI$26</c:f>
              <c:numCache>
                <c:formatCode>General</c:formatCode>
                <c:ptCount val="2"/>
                <c:pt idx="0">
                  <c:v>18.5</c:v>
                </c:pt>
                <c:pt idx="1">
                  <c:v>18.5</c:v>
                </c:pt>
              </c:numCache>
            </c:numRef>
          </c:xVal>
          <c:yVal>
            <c:numRef>
              <c:f>Tools!$CH$4:$CI$4</c:f>
              <c:numCache>
                <c:formatCode>General</c:formatCode>
                <c:ptCount val="2"/>
                <c:pt idx="0">
                  <c:v>0</c:v>
                </c:pt>
                <c:pt idx="1">
                  <c:v>6.5</c:v>
                </c:pt>
              </c:numCache>
            </c:numRef>
          </c:yVal>
          <c:smooth val="1"/>
        </c:ser>
        <c:ser>
          <c:idx val="72"/>
          <c:order val="47"/>
          <c:tx>
            <c:strRef>
              <c:f>Tools!$CG$27</c:f>
              <c:strCache>
                <c:ptCount val="1"/>
                <c:pt idx="0">
                  <c:v>19</c:v>
                </c:pt>
              </c:strCache>
            </c:strRef>
          </c:tx>
          <c:spPr>
            <a:ln w="3175">
              <a:solidFill>
                <a:sysClr val="windowText" lastClr="000000"/>
              </a:solidFill>
            </a:ln>
          </c:spPr>
          <c:marker>
            <c:symbol val="none"/>
          </c:marker>
          <c:xVal>
            <c:numRef>
              <c:f>Tools!$CH$27:$CI$27</c:f>
              <c:numCache>
                <c:formatCode>General</c:formatCode>
                <c:ptCount val="2"/>
                <c:pt idx="0">
                  <c:v>19</c:v>
                </c:pt>
                <c:pt idx="1">
                  <c:v>19</c:v>
                </c:pt>
              </c:numCache>
            </c:numRef>
          </c:xVal>
          <c:yVal>
            <c:numRef>
              <c:f>Tools!$CH$4:$CI$4</c:f>
              <c:numCache>
                <c:formatCode>General</c:formatCode>
                <c:ptCount val="2"/>
                <c:pt idx="0">
                  <c:v>0</c:v>
                </c:pt>
                <c:pt idx="1">
                  <c:v>6.5</c:v>
                </c:pt>
              </c:numCache>
            </c:numRef>
          </c:yVal>
          <c:smooth val="1"/>
        </c:ser>
        <c:ser>
          <c:idx val="73"/>
          <c:order val="48"/>
          <c:tx>
            <c:strRef>
              <c:f>Tools!$CG$28</c:f>
              <c:strCache>
                <c:ptCount val="1"/>
                <c:pt idx="0">
                  <c:v>19.5</c:v>
                </c:pt>
              </c:strCache>
            </c:strRef>
          </c:tx>
          <c:spPr>
            <a:ln w="3175">
              <a:solidFill>
                <a:sysClr val="windowText" lastClr="000000"/>
              </a:solidFill>
            </a:ln>
          </c:spPr>
          <c:marker>
            <c:symbol val="none"/>
          </c:marker>
          <c:xVal>
            <c:numRef>
              <c:f>Tools!$CH$28:$CI$28</c:f>
              <c:numCache>
                <c:formatCode>General</c:formatCode>
                <c:ptCount val="2"/>
                <c:pt idx="0">
                  <c:v>19.5</c:v>
                </c:pt>
                <c:pt idx="1">
                  <c:v>19.5</c:v>
                </c:pt>
              </c:numCache>
            </c:numRef>
          </c:xVal>
          <c:yVal>
            <c:numRef>
              <c:f>Tools!$CH$4:$CI$4</c:f>
              <c:numCache>
                <c:formatCode>General</c:formatCode>
                <c:ptCount val="2"/>
                <c:pt idx="0">
                  <c:v>0</c:v>
                </c:pt>
                <c:pt idx="1">
                  <c:v>6.5</c:v>
                </c:pt>
              </c:numCache>
            </c:numRef>
          </c:yVal>
          <c:smooth val="1"/>
        </c:ser>
        <c:ser>
          <c:idx val="74"/>
          <c:order val="49"/>
          <c:tx>
            <c:strRef>
              <c:f>Tools!$CG$29</c:f>
              <c:strCache>
                <c:ptCount val="1"/>
                <c:pt idx="0">
                  <c:v>20</c:v>
                </c:pt>
              </c:strCache>
            </c:strRef>
          </c:tx>
          <c:spPr>
            <a:ln w="3175">
              <a:solidFill>
                <a:sysClr val="windowText" lastClr="000000"/>
              </a:solidFill>
            </a:ln>
          </c:spPr>
          <c:marker>
            <c:symbol val="none"/>
          </c:marker>
          <c:xVal>
            <c:numRef>
              <c:f>Tools!$CH$29:$CI$29</c:f>
              <c:numCache>
                <c:formatCode>General</c:formatCode>
                <c:ptCount val="2"/>
                <c:pt idx="0">
                  <c:v>20</c:v>
                </c:pt>
                <c:pt idx="1">
                  <c:v>20</c:v>
                </c:pt>
              </c:numCache>
            </c:numRef>
          </c:xVal>
          <c:yVal>
            <c:numRef>
              <c:f>Tools!$CH$4:$CI$4</c:f>
              <c:numCache>
                <c:formatCode>General</c:formatCode>
                <c:ptCount val="2"/>
                <c:pt idx="0">
                  <c:v>0</c:v>
                </c:pt>
                <c:pt idx="1">
                  <c:v>6.5</c:v>
                </c:pt>
              </c:numCache>
            </c:numRef>
          </c:yVal>
          <c:smooth val="1"/>
        </c:ser>
        <c:ser>
          <c:idx val="75"/>
          <c:order val="50"/>
          <c:tx>
            <c:strRef>
              <c:f>Tools!$CG$31</c:f>
              <c:strCache>
                <c:ptCount val="1"/>
                <c:pt idx="0">
                  <c:v>MDK</c:v>
                </c:pt>
              </c:strCache>
            </c:strRef>
          </c:tx>
          <c:spPr>
            <a:ln w="3175">
              <a:solidFill>
                <a:schemeClr val="tx2">
                  <a:lumMod val="60000"/>
                  <a:lumOff val="40000"/>
                </a:schemeClr>
              </a:solidFill>
            </a:ln>
          </c:spPr>
          <c:marker>
            <c:symbol val="none"/>
          </c:marker>
          <c:xVal>
            <c:numRef>
              <c:f>Tools!$CH$31:$CI$31</c:f>
              <c:numCache>
                <c:formatCode>General</c:formatCode>
                <c:ptCount val="2"/>
                <c:pt idx="0">
                  <c:v>0</c:v>
                </c:pt>
                <c:pt idx="1">
                  <c:v>20</c:v>
                </c:pt>
              </c:numCache>
            </c:numRef>
          </c:xVal>
          <c:yVal>
            <c:numRef>
              <c:f>Tools!$CH$32:$CI$32</c:f>
              <c:numCache>
                <c:formatCode>General</c:formatCode>
                <c:ptCount val="2"/>
                <c:pt idx="0">
                  <c:v>6.5</c:v>
                </c:pt>
                <c:pt idx="1">
                  <c:v>6.5</c:v>
                </c:pt>
              </c:numCache>
            </c:numRef>
          </c:yVal>
          <c:smooth val="1"/>
        </c:ser>
        <c:ser>
          <c:idx val="76"/>
          <c:order val="51"/>
          <c:tx>
            <c:strRef>
              <c:f>Tools!$CG$34</c:f>
              <c:strCache>
                <c:ptCount val="1"/>
                <c:pt idx="0">
                  <c:v>LWL</c:v>
                </c:pt>
              </c:strCache>
            </c:strRef>
          </c:tx>
          <c:spPr>
            <a:ln w="3175">
              <a:solidFill>
                <a:schemeClr val="accent4">
                  <a:lumMod val="75000"/>
                </a:schemeClr>
              </a:solidFill>
            </a:ln>
          </c:spPr>
          <c:marker>
            <c:symbol val="none"/>
          </c:marker>
          <c:xVal>
            <c:numRef>
              <c:f>Tools!$CH$34:$CI$34</c:f>
              <c:numCache>
                <c:formatCode>General</c:formatCode>
                <c:ptCount val="2"/>
                <c:pt idx="0">
                  <c:v>0</c:v>
                </c:pt>
                <c:pt idx="1">
                  <c:v>20</c:v>
                </c:pt>
              </c:numCache>
            </c:numRef>
          </c:xVal>
          <c:yVal>
            <c:numRef>
              <c:f>Tools!$CH$35:$CI$35</c:f>
              <c:numCache>
                <c:formatCode>General</c:formatCode>
                <c:ptCount val="2"/>
                <c:pt idx="0">
                  <c:v>4.8499999999999996</c:v>
                </c:pt>
                <c:pt idx="1">
                  <c:v>4.8499999999999996</c:v>
                </c:pt>
              </c:numCache>
            </c:numRef>
          </c:yVal>
          <c:smooth val="1"/>
        </c:ser>
        <c:ser>
          <c:idx val="77"/>
          <c:order val="52"/>
          <c:tx>
            <c:strRef>
              <c:f>Tools!$CG$37</c:f>
              <c:strCache>
                <c:ptCount val="1"/>
                <c:pt idx="0">
                  <c:v>KEEL</c:v>
                </c:pt>
              </c:strCache>
            </c:strRef>
          </c:tx>
          <c:spPr>
            <a:ln w="3175">
              <a:solidFill>
                <a:sysClr val="windowText" lastClr="000000"/>
              </a:solidFill>
            </a:ln>
          </c:spPr>
          <c:marker>
            <c:symbol val="none"/>
          </c:marker>
          <c:xVal>
            <c:numRef>
              <c:f>Tools!$CH$37:$CI$37</c:f>
              <c:numCache>
                <c:formatCode>General</c:formatCode>
                <c:ptCount val="2"/>
                <c:pt idx="0">
                  <c:v>0</c:v>
                </c:pt>
                <c:pt idx="1">
                  <c:v>20</c:v>
                </c:pt>
              </c:numCache>
            </c:numRef>
          </c:xVal>
          <c:yVal>
            <c:numRef>
              <c:f>Tools!$CH$38:$CI$38</c:f>
              <c:numCache>
                <c:formatCode>General</c:formatCode>
                <c:ptCount val="2"/>
                <c:pt idx="0">
                  <c:v>3.2500000000000001E-2</c:v>
                </c:pt>
                <c:pt idx="1">
                  <c:v>3.2500000000000001E-2</c:v>
                </c:pt>
              </c:numCache>
            </c:numRef>
          </c:yVal>
          <c:smooth val="1"/>
        </c:ser>
        <c:dLbls>
          <c:showLegendKey val="0"/>
          <c:showVal val="0"/>
          <c:showCatName val="0"/>
          <c:showSerName val="0"/>
          <c:showPercent val="0"/>
          <c:showBubbleSize val="0"/>
        </c:dLbls>
        <c:axId val="990686208"/>
        <c:axId val="990692096"/>
      </c:scatterChart>
      <c:valAx>
        <c:axId val="990686208"/>
        <c:scaling>
          <c:orientation val="minMax"/>
          <c:max val="21"/>
          <c:min val="0"/>
        </c:scaling>
        <c:delete val="0"/>
        <c:axPos val="b"/>
        <c:numFmt formatCode="General" sourceLinked="1"/>
        <c:majorTickMark val="out"/>
        <c:minorTickMark val="none"/>
        <c:tickLblPos val="nextTo"/>
        <c:spPr>
          <a:ln>
            <a:solidFill>
              <a:schemeClr val="bg1"/>
            </a:solidFill>
          </a:ln>
        </c:spPr>
        <c:crossAx val="990692096"/>
        <c:crosses val="autoZero"/>
        <c:crossBetween val="midCat"/>
        <c:majorUnit val="1"/>
        <c:minorUnit val="1"/>
      </c:valAx>
      <c:valAx>
        <c:axId val="990692096"/>
        <c:scaling>
          <c:orientation val="minMax"/>
        </c:scaling>
        <c:delete val="0"/>
        <c:axPos val="l"/>
        <c:majorGridlines>
          <c:spPr>
            <a:ln>
              <a:solidFill>
                <a:schemeClr val="tx1">
                  <a:alpha val="7000"/>
                </a:schemeClr>
              </a:solidFill>
            </a:ln>
          </c:spPr>
        </c:majorGridlines>
        <c:numFmt formatCode="General" sourceLinked="1"/>
        <c:majorTickMark val="out"/>
        <c:minorTickMark val="none"/>
        <c:tickLblPos val="nextTo"/>
        <c:spPr>
          <a:ln>
            <a:solidFill>
              <a:schemeClr val="accent1">
                <a:lumMod val="40000"/>
                <a:lumOff val="60000"/>
                <a:alpha val="12000"/>
              </a:schemeClr>
            </a:solidFill>
          </a:ln>
        </c:spPr>
        <c:crossAx val="990686208"/>
        <c:crossesAt val="0"/>
        <c:crossBetween val="midCat"/>
      </c:valAx>
      <c:spPr>
        <a:ln>
          <a:solidFill>
            <a:schemeClr val="bg1"/>
          </a:solidFill>
        </a:ln>
      </c:spPr>
    </c:plotArea>
    <c:plotVisOnly val="1"/>
    <c:dispBlanksAs val="span"/>
    <c:showDLblsOverMax val="0"/>
  </c:chart>
  <c:txPr>
    <a:bodyPr/>
    <a:lstStyle/>
    <a:p>
      <a:pPr>
        <a:defRPr sz="900"/>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I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2.1426086508188016E-2"/>
          <c:y val="9.9085606599000189E-2"/>
          <c:w val="0.81325907121528207"/>
          <c:h val="0.84052251702291791"/>
        </c:manualLayout>
      </c:layout>
      <c:scatterChart>
        <c:scatterStyle val="smoothMarker"/>
        <c:varyColors val="0"/>
        <c:ser>
          <c:idx val="0"/>
          <c:order val="0"/>
          <c:tx>
            <c:strRef>
              <c:f>Tools!$D$211</c:f>
              <c:strCache>
                <c:ptCount val="1"/>
                <c:pt idx="0">
                  <c:v>AWP</c:v>
                </c:pt>
              </c:strCache>
            </c:strRef>
          </c:tx>
          <c:spPr>
            <a:ln w="3175"/>
          </c:spPr>
          <c:marker>
            <c:symbol val="none"/>
          </c:marker>
          <c:xVal>
            <c:numRef>
              <c:f>Tools!$E$211:$AC$211</c:f>
              <c:numCache>
                <c:formatCode>General</c:formatCode>
                <c:ptCount val="25"/>
                <c:pt idx="0">
                  <c:v>11.811999999999999</c:v>
                </c:pt>
                <c:pt idx="1">
                  <c:v>12.079000000000001</c:v>
                </c:pt>
                <c:pt idx="2">
                  <c:v>12.222999999999999</c:v>
                </c:pt>
                <c:pt idx="3">
                  <c:v>12.318999999999999</c:v>
                </c:pt>
                <c:pt idx="4">
                  <c:v>12.382999999999999</c:v>
                </c:pt>
                <c:pt idx="5">
                  <c:v>12.521000000000001</c:v>
                </c:pt>
                <c:pt idx="6">
                  <c:v>12.597999999999999</c:v>
                </c:pt>
                <c:pt idx="7">
                  <c:v>12.693999999999999</c:v>
                </c:pt>
                <c:pt idx="8">
                  <c:v>12.782</c:v>
                </c:pt>
                <c:pt idx="9">
                  <c:v>12.795</c:v>
                </c:pt>
                <c:pt idx="10">
                  <c:v>12.872</c:v>
                </c:pt>
                <c:pt idx="11">
                  <c:v>12.91</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xVal>
          <c:yVal>
            <c:numRef>
              <c:f>Tools!$E$210:$AC$210</c:f>
              <c:numCache>
                <c:formatCode>General</c:formatCode>
                <c:ptCount val="25"/>
                <c:pt idx="0">
                  <c:v>0</c:v>
                </c:pt>
                <c:pt idx="1">
                  <c:v>0.5</c:v>
                </c:pt>
                <c:pt idx="2">
                  <c:v>1</c:v>
                </c:pt>
                <c:pt idx="3">
                  <c:v>1.5</c:v>
                </c:pt>
                <c:pt idx="4">
                  <c:v>2</c:v>
                </c:pt>
                <c:pt idx="5">
                  <c:v>4</c:v>
                </c:pt>
                <c:pt idx="6">
                  <c:v>6</c:v>
                </c:pt>
                <c:pt idx="7">
                  <c:v>8</c:v>
                </c:pt>
                <c:pt idx="8">
                  <c:v>9.6999999999999993</c:v>
                </c:pt>
                <c:pt idx="9">
                  <c:v>10</c:v>
                </c:pt>
                <c:pt idx="10">
                  <c:v>12</c:v>
                </c:pt>
                <c:pt idx="11">
                  <c:v>13</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yVal>
          <c:smooth val="1"/>
        </c:ser>
        <c:ser>
          <c:idx val="1"/>
          <c:order val="1"/>
          <c:tx>
            <c:strRef>
              <c:f>Tools!$D$212</c:f>
              <c:strCache>
                <c:ptCount val="1"/>
                <c:pt idx="0">
                  <c:v>Mmid</c:v>
                </c:pt>
              </c:strCache>
            </c:strRef>
          </c:tx>
          <c:spPr>
            <a:ln w="3175"/>
          </c:spPr>
          <c:marker>
            <c:symbol val="none"/>
          </c:marker>
          <c:xVal>
            <c:numRef>
              <c:f>Tools!$E$212:$AC$212</c:f>
              <c:numCache>
                <c:formatCode>General</c:formatCode>
                <c:ptCount val="25"/>
                <c:pt idx="0">
                  <c:v>11.098000000000001</c:v>
                </c:pt>
                <c:pt idx="1">
                  <c:v>11.163</c:v>
                </c:pt>
                <c:pt idx="2">
                  <c:v>11.166</c:v>
                </c:pt>
                <c:pt idx="3">
                  <c:v>11.164999999999999</c:v>
                </c:pt>
                <c:pt idx="4">
                  <c:v>11.156000000000001</c:v>
                </c:pt>
                <c:pt idx="5">
                  <c:v>10.981999999999999</c:v>
                </c:pt>
                <c:pt idx="6">
                  <c:v>10.717000000000001</c:v>
                </c:pt>
                <c:pt idx="7">
                  <c:v>10.288</c:v>
                </c:pt>
                <c:pt idx="8">
                  <c:v>9.9510000000000005</c:v>
                </c:pt>
                <c:pt idx="9">
                  <c:v>9.9139999999999997</c:v>
                </c:pt>
                <c:pt idx="10">
                  <c:v>9.7810000000000006</c:v>
                </c:pt>
                <c:pt idx="11">
                  <c:v>9.7409999999999997</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xVal>
          <c:yVal>
            <c:numRef>
              <c:f>Tools!$E$210:$AC$210</c:f>
              <c:numCache>
                <c:formatCode>General</c:formatCode>
                <c:ptCount val="25"/>
                <c:pt idx="0">
                  <c:v>0</c:v>
                </c:pt>
                <c:pt idx="1">
                  <c:v>0.5</c:v>
                </c:pt>
                <c:pt idx="2">
                  <c:v>1</c:v>
                </c:pt>
                <c:pt idx="3">
                  <c:v>1.5</c:v>
                </c:pt>
                <c:pt idx="4">
                  <c:v>2</c:v>
                </c:pt>
                <c:pt idx="5">
                  <c:v>4</c:v>
                </c:pt>
                <c:pt idx="6">
                  <c:v>6</c:v>
                </c:pt>
                <c:pt idx="7">
                  <c:v>8</c:v>
                </c:pt>
                <c:pt idx="8">
                  <c:v>9.6999999999999993</c:v>
                </c:pt>
                <c:pt idx="9">
                  <c:v>10</c:v>
                </c:pt>
                <c:pt idx="10">
                  <c:v>12</c:v>
                </c:pt>
                <c:pt idx="11">
                  <c:v>13</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yVal>
          <c:smooth val="1"/>
        </c:ser>
        <c:ser>
          <c:idx val="2"/>
          <c:order val="2"/>
          <c:spPr>
            <a:ln w="3175"/>
          </c:spPr>
          <c:marker>
            <c:symbol val="none"/>
          </c:marker>
          <c:xVal>
            <c:numRef>
              <c:f>Tools!$E$213:$AC$213</c:f>
              <c:numCache>
                <c:formatCode>General</c:formatCode>
                <c:ptCount val="25"/>
                <c:pt idx="0">
                  <c:v>16.059000000000001</c:v>
                </c:pt>
                <c:pt idx="1">
                  <c:v>15.594000000000001</c:v>
                </c:pt>
                <c:pt idx="2">
                  <c:v>15.242000000000001</c:v>
                </c:pt>
                <c:pt idx="3">
                  <c:v>15.022</c:v>
                </c:pt>
                <c:pt idx="4">
                  <c:v>14.85</c:v>
                </c:pt>
                <c:pt idx="5">
                  <c:v>13.895</c:v>
                </c:pt>
                <c:pt idx="6">
                  <c:v>12.762</c:v>
                </c:pt>
                <c:pt idx="7">
                  <c:v>11.068999999999999</c:v>
                </c:pt>
                <c:pt idx="8">
                  <c:v>9.8219999999999992</c:v>
                </c:pt>
                <c:pt idx="9">
                  <c:v>9.6929999999999996</c:v>
                </c:pt>
                <c:pt idx="10">
                  <c:v>9.2390000000000008</c:v>
                </c:pt>
                <c:pt idx="11">
                  <c:v>9.109</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xVal>
          <c:yVal>
            <c:numRef>
              <c:f>Tools!$E$210:$AC$210</c:f>
              <c:numCache>
                <c:formatCode>General</c:formatCode>
                <c:ptCount val="25"/>
                <c:pt idx="0">
                  <c:v>0</c:v>
                </c:pt>
                <c:pt idx="1">
                  <c:v>0.5</c:v>
                </c:pt>
                <c:pt idx="2">
                  <c:v>1</c:v>
                </c:pt>
                <c:pt idx="3">
                  <c:v>1.5</c:v>
                </c:pt>
                <c:pt idx="4">
                  <c:v>2</c:v>
                </c:pt>
                <c:pt idx="5">
                  <c:v>4</c:v>
                </c:pt>
                <c:pt idx="6">
                  <c:v>6</c:v>
                </c:pt>
                <c:pt idx="7">
                  <c:v>8</c:v>
                </c:pt>
                <c:pt idx="8">
                  <c:v>9.6999999999999993</c:v>
                </c:pt>
                <c:pt idx="9">
                  <c:v>10</c:v>
                </c:pt>
                <c:pt idx="10">
                  <c:v>12</c:v>
                </c:pt>
                <c:pt idx="11">
                  <c:v>13</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yVal>
          <c:smooth val="1"/>
        </c:ser>
        <c:ser>
          <c:idx val="3"/>
          <c:order val="3"/>
          <c:tx>
            <c:strRef>
              <c:f>Tools!$D$214</c:f>
              <c:strCache>
                <c:ptCount val="1"/>
                <c:pt idx="0">
                  <c:v>IL</c:v>
                </c:pt>
              </c:strCache>
            </c:strRef>
          </c:tx>
          <c:spPr>
            <a:ln w="3175">
              <a:solidFill>
                <a:srgbClr val="FF0000"/>
              </a:solidFill>
            </a:ln>
          </c:spPr>
          <c:marker>
            <c:symbol val="none"/>
          </c:marker>
          <c:xVal>
            <c:numRef>
              <c:f>Tools!$E$214:$AC$214</c:f>
              <c:numCache>
                <c:formatCode>General</c:formatCode>
                <c:ptCount val="25"/>
                <c:pt idx="0">
                  <c:v>11.635999999999999</c:v>
                </c:pt>
                <c:pt idx="1">
                  <c:v>12.1</c:v>
                </c:pt>
                <c:pt idx="2">
                  <c:v>12.371</c:v>
                </c:pt>
                <c:pt idx="3">
                  <c:v>12.559000000000001</c:v>
                </c:pt>
                <c:pt idx="4">
                  <c:v>12.699</c:v>
                </c:pt>
                <c:pt idx="5">
                  <c:v>13.045999999999999</c:v>
                </c:pt>
                <c:pt idx="6">
                  <c:v>13.260999999999999</c:v>
                </c:pt>
                <c:pt idx="7">
                  <c:v>13.588000000000001</c:v>
                </c:pt>
                <c:pt idx="8">
                  <c:v>13.911</c:v>
                </c:pt>
                <c:pt idx="9">
                  <c:v>13.959</c:v>
                </c:pt>
                <c:pt idx="10">
                  <c:v>14.244</c:v>
                </c:pt>
                <c:pt idx="11">
                  <c:v>14.388999999999999</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xVal>
          <c:yVal>
            <c:numRef>
              <c:f>Tools!$E$210:$AC$210</c:f>
              <c:numCache>
                <c:formatCode>General</c:formatCode>
                <c:ptCount val="25"/>
                <c:pt idx="0">
                  <c:v>0</c:v>
                </c:pt>
                <c:pt idx="1">
                  <c:v>0.5</c:v>
                </c:pt>
                <c:pt idx="2">
                  <c:v>1</c:v>
                </c:pt>
                <c:pt idx="3">
                  <c:v>1.5</c:v>
                </c:pt>
                <c:pt idx="4">
                  <c:v>2</c:v>
                </c:pt>
                <c:pt idx="5">
                  <c:v>4</c:v>
                </c:pt>
                <c:pt idx="6">
                  <c:v>6</c:v>
                </c:pt>
                <c:pt idx="7">
                  <c:v>8</c:v>
                </c:pt>
                <c:pt idx="8">
                  <c:v>9.6999999999999993</c:v>
                </c:pt>
                <c:pt idx="9">
                  <c:v>10</c:v>
                </c:pt>
                <c:pt idx="10">
                  <c:v>12</c:v>
                </c:pt>
                <c:pt idx="11">
                  <c:v>13</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yVal>
          <c:smooth val="1"/>
        </c:ser>
        <c:ser>
          <c:idx val="4"/>
          <c:order val="4"/>
          <c:tx>
            <c:strRef>
              <c:f>Tools!$D$215</c:f>
              <c:strCache>
                <c:ptCount val="1"/>
                <c:pt idx="0">
                  <c:v>IT</c:v>
                </c:pt>
              </c:strCache>
            </c:strRef>
          </c:tx>
          <c:spPr>
            <a:ln w="3175"/>
          </c:spPr>
          <c:marker>
            <c:symbol val="none"/>
          </c:marker>
          <c:xVal>
            <c:numRef>
              <c:f>Tools!$E$215:$AC$215</c:f>
              <c:numCache>
                <c:formatCode>General</c:formatCode>
                <c:ptCount val="25"/>
                <c:pt idx="0">
                  <c:v>10.445</c:v>
                </c:pt>
                <c:pt idx="1">
                  <c:v>10.592000000000001</c:v>
                </c:pt>
                <c:pt idx="2">
                  <c:v>10.678000000000001</c:v>
                </c:pt>
                <c:pt idx="3">
                  <c:v>10.74</c:v>
                </c:pt>
                <c:pt idx="4">
                  <c:v>10.78</c:v>
                </c:pt>
                <c:pt idx="5">
                  <c:v>10.859</c:v>
                </c:pt>
                <c:pt idx="6">
                  <c:v>10.9</c:v>
                </c:pt>
                <c:pt idx="7">
                  <c:v>10.943999999999999</c:v>
                </c:pt>
                <c:pt idx="8">
                  <c:v>10.986000000000001</c:v>
                </c:pt>
                <c:pt idx="9">
                  <c:v>10.993</c:v>
                </c:pt>
                <c:pt idx="10">
                  <c:v>11.039</c:v>
                </c:pt>
                <c:pt idx="11">
                  <c:v>11.063000000000001</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xVal>
          <c:yVal>
            <c:numRef>
              <c:f>Tools!$E$210:$AC$210</c:f>
              <c:numCache>
                <c:formatCode>General</c:formatCode>
                <c:ptCount val="25"/>
                <c:pt idx="0">
                  <c:v>0</c:v>
                </c:pt>
                <c:pt idx="1">
                  <c:v>0.5</c:v>
                </c:pt>
                <c:pt idx="2">
                  <c:v>1</c:v>
                </c:pt>
                <c:pt idx="3">
                  <c:v>1.5</c:v>
                </c:pt>
                <c:pt idx="4">
                  <c:v>2</c:v>
                </c:pt>
                <c:pt idx="5">
                  <c:v>4</c:v>
                </c:pt>
                <c:pt idx="6">
                  <c:v>6</c:v>
                </c:pt>
                <c:pt idx="7">
                  <c:v>8</c:v>
                </c:pt>
                <c:pt idx="8">
                  <c:v>9.6999999999999993</c:v>
                </c:pt>
                <c:pt idx="9">
                  <c:v>10</c:v>
                </c:pt>
                <c:pt idx="10">
                  <c:v>12</c:v>
                </c:pt>
                <c:pt idx="11">
                  <c:v>13</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yVal>
          <c:smooth val="1"/>
        </c:ser>
        <c:ser>
          <c:idx val="5"/>
          <c:order val="5"/>
          <c:tx>
            <c:strRef>
              <c:f>Tools!$D$216</c:f>
              <c:strCache>
                <c:ptCount val="1"/>
                <c:pt idx="0">
                  <c:v>IF</c:v>
                </c:pt>
              </c:strCache>
            </c:strRef>
          </c:tx>
          <c:spPr>
            <a:ln w="3175">
              <a:solidFill>
                <a:srgbClr val="00FF00"/>
              </a:solidFill>
            </a:ln>
          </c:spPr>
          <c:marker>
            <c:symbol val="none"/>
          </c:marker>
          <c:xVal>
            <c:numRef>
              <c:f>Tools!$E$216:$AC$216</c:f>
              <c:numCache>
                <c:formatCode>General</c:formatCode>
                <c:ptCount val="25"/>
                <c:pt idx="0">
                  <c:v>11.57</c:v>
                </c:pt>
                <c:pt idx="1">
                  <c:v>12.035</c:v>
                </c:pt>
                <c:pt idx="2">
                  <c:v>12.31</c:v>
                </c:pt>
                <c:pt idx="3">
                  <c:v>12.500999999999999</c:v>
                </c:pt>
                <c:pt idx="4">
                  <c:v>12.641999999999999</c:v>
                </c:pt>
                <c:pt idx="5">
                  <c:v>13.007999999999999</c:v>
                </c:pt>
                <c:pt idx="6">
                  <c:v>13.241</c:v>
                </c:pt>
                <c:pt idx="7">
                  <c:v>13.585000000000001</c:v>
                </c:pt>
                <c:pt idx="8">
                  <c:v>13.911</c:v>
                </c:pt>
                <c:pt idx="9">
                  <c:v>13.959</c:v>
                </c:pt>
                <c:pt idx="10">
                  <c:v>14.243</c:v>
                </c:pt>
                <c:pt idx="11">
                  <c:v>14.385999999999999</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xVal>
          <c:yVal>
            <c:numRef>
              <c:f>Tools!$E$210:$AC$210</c:f>
              <c:numCache>
                <c:formatCode>General</c:formatCode>
                <c:ptCount val="25"/>
                <c:pt idx="0">
                  <c:v>0</c:v>
                </c:pt>
                <c:pt idx="1">
                  <c:v>0.5</c:v>
                </c:pt>
                <c:pt idx="2">
                  <c:v>1</c:v>
                </c:pt>
                <c:pt idx="3">
                  <c:v>1.5</c:v>
                </c:pt>
                <c:pt idx="4">
                  <c:v>2</c:v>
                </c:pt>
                <c:pt idx="5">
                  <c:v>4</c:v>
                </c:pt>
                <c:pt idx="6">
                  <c:v>6</c:v>
                </c:pt>
                <c:pt idx="7">
                  <c:v>8</c:v>
                </c:pt>
                <c:pt idx="8">
                  <c:v>9.6999999999999993</c:v>
                </c:pt>
                <c:pt idx="9">
                  <c:v>10</c:v>
                </c:pt>
                <c:pt idx="10">
                  <c:v>12</c:v>
                </c:pt>
                <c:pt idx="11">
                  <c:v>13</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yVal>
          <c:smooth val="1"/>
        </c:ser>
        <c:ser>
          <c:idx val="6"/>
          <c:order val="6"/>
          <c:tx>
            <c:strRef>
              <c:f>Tools!$D$217</c:f>
              <c:strCache>
                <c:ptCount val="1"/>
                <c:pt idx="0">
                  <c:v>▼</c:v>
                </c:pt>
              </c:strCache>
            </c:strRef>
          </c:tx>
          <c:spPr>
            <a:ln w="3175"/>
          </c:spPr>
          <c:marker>
            <c:symbol val="none"/>
          </c:marker>
          <c:xVal>
            <c:numRef>
              <c:f>Tools!$E$217:$AC$217</c:f>
              <c:numCache>
                <c:formatCode>General</c:formatCode>
                <c:ptCount val="25"/>
                <c:pt idx="0">
                  <c:v>0</c:v>
                </c:pt>
                <c:pt idx="1">
                  <c:v>9.8000000000000004E-2</c:v>
                </c:pt>
                <c:pt idx="2">
                  <c:v>0.20599999999999999</c:v>
                </c:pt>
                <c:pt idx="3">
                  <c:v>0.31900000000000001</c:v>
                </c:pt>
                <c:pt idx="4">
                  <c:v>0.437</c:v>
                </c:pt>
                <c:pt idx="5">
                  <c:v>0.92900000000000005</c:v>
                </c:pt>
                <c:pt idx="6">
                  <c:v>1.4419999999999999</c:v>
                </c:pt>
                <c:pt idx="7">
                  <c:v>1.9690000000000001</c:v>
                </c:pt>
                <c:pt idx="8">
                  <c:v>2.4340000000000002</c:v>
                </c:pt>
                <c:pt idx="9">
                  <c:v>2.5190000000000001</c:v>
                </c:pt>
                <c:pt idx="10">
                  <c:v>3.085</c:v>
                </c:pt>
                <c:pt idx="11">
                  <c:v>3.3740000000000001</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xVal>
          <c:yVal>
            <c:numRef>
              <c:f>Tools!$E$210:$AC$210</c:f>
              <c:numCache>
                <c:formatCode>General</c:formatCode>
                <c:ptCount val="25"/>
                <c:pt idx="0">
                  <c:v>0</c:v>
                </c:pt>
                <c:pt idx="1">
                  <c:v>0.5</c:v>
                </c:pt>
                <c:pt idx="2">
                  <c:v>1</c:v>
                </c:pt>
                <c:pt idx="3">
                  <c:v>1.5</c:v>
                </c:pt>
                <c:pt idx="4">
                  <c:v>2</c:v>
                </c:pt>
                <c:pt idx="5">
                  <c:v>4</c:v>
                </c:pt>
                <c:pt idx="6">
                  <c:v>6</c:v>
                </c:pt>
                <c:pt idx="7">
                  <c:v>8</c:v>
                </c:pt>
                <c:pt idx="8">
                  <c:v>9.6999999999999993</c:v>
                </c:pt>
                <c:pt idx="9">
                  <c:v>10</c:v>
                </c:pt>
                <c:pt idx="10">
                  <c:v>12</c:v>
                </c:pt>
                <c:pt idx="11">
                  <c:v>13</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yVal>
          <c:smooth val="1"/>
        </c:ser>
        <c:ser>
          <c:idx val="7"/>
          <c:order val="7"/>
          <c:tx>
            <c:strRef>
              <c:f>Tools!$D$218</c:f>
              <c:strCache>
                <c:ptCount val="1"/>
                <c:pt idx="0">
                  <c:v>▲</c:v>
                </c:pt>
              </c:strCache>
            </c:strRef>
          </c:tx>
          <c:spPr>
            <a:ln w="3175"/>
          </c:spPr>
          <c:marker>
            <c:symbol val="none"/>
          </c:marker>
          <c:xVal>
            <c:numRef>
              <c:f>Tools!$E$218:$AC$218</c:f>
              <c:numCache>
                <c:formatCode>General</c:formatCode>
                <c:ptCount val="25"/>
                <c:pt idx="0">
                  <c:v>0</c:v>
                </c:pt>
                <c:pt idx="1">
                  <c:v>0.10100000000000001</c:v>
                </c:pt>
                <c:pt idx="2">
                  <c:v>0.21199999999999999</c:v>
                </c:pt>
                <c:pt idx="3">
                  <c:v>0.32900000000000001</c:v>
                </c:pt>
                <c:pt idx="4">
                  <c:v>0.45100000000000001</c:v>
                </c:pt>
                <c:pt idx="5">
                  <c:v>0.95799999999999996</c:v>
                </c:pt>
                <c:pt idx="6">
                  <c:v>1.4870000000000001</c:v>
                </c:pt>
                <c:pt idx="7">
                  <c:v>2.0299999999999998</c:v>
                </c:pt>
                <c:pt idx="8">
                  <c:v>2.5099999999999998</c:v>
                </c:pt>
                <c:pt idx="9">
                  <c:v>2.5979999999999999</c:v>
                </c:pt>
                <c:pt idx="10">
                  <c:v>3.181</c:v>
                </c:pt>
                <c:pt idx="11">
                  <c:v>3.48</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xVal>
          <c:yVal>
            <c:numRef>
              <c:f>Tools!$E$210:$AC$210</c:f>
              <c:numCache>
                <c:formatCode>General</c:formatCode>
                <c:ptCount val="25"/>
                <c:pt idx="0">
                  <c:v>0</c:v>
                </c:pt>
                <c:pt idx="1">
                  <c:v>0.5</c:v>
                </c:pt>
                <c:pt idx="2">
                  <c:v>1</c:v>
                </c:pt>
                <c:pt idx="3">
                  <c:v>1.5</c:v>
                </c:pt>
                <c:pt idx="4">
                  <c:v>2</c:v>
                </c:pt>
                <c:pt idx="5">
                  <c:v>4</c:v>
                </c:pt>
                <c:pt idx="6">
                  <c:v>6</c:v>
                </c:pt>
                <c:pt idx="7">
                  <c:v>8</c:v>
                </c:pt>
                <c:pt idx="8">
                  <c:v>9.6999999999999993</c:v>
                </c:pt>
                <c:pt idx="9">
                  <c:v>10</c:v>
                </c:pt>
                <c:pt idx="10">
                  <c:v>12</c:v>
                </c:pt>
                <c:pt idx="11">
                  <c:v>13</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yVal>
          <c:smooth val="1"/>
        </c:ser>
        <c:ser>
          <c:idx val="8"/>
          <c:order val="8"/>
          <c:tx>
            <c:strRef>
              <c:f>Tools!$D$219</c:f>
              <c:strCache>
                <c:ptCount val="1"/>
                <c:pt idx="0">
                  <c:v>MT</c:v>
                </c:pt>
              </c:strCache>
            </c:strRef>
          </c:tx>
          <c:spPr>
            <a:ln w="3175">
              <a:solidFill>
                <a:schemeClr val="tx2">
                  <a:lumMod val="75000"/>
                </a:schemeClr>
              </a:solidFill>
            </a:ln>
          </c:spPr>
          <c:marker>
            <c:symbol val="none"/>
          </c:marker>
          <c:xVal>
            <c:numRef>
              <c:f>Tools!$E$219:$AC$219</c:f>
              <c:numCache>
                <c:formatCode>General</c:formatCode>
                <c:ptCount val="25"/>
                <c:pt idx="0">
                  <c:v>0</c:v>
                </c:pt>
                <c:pt idx="1">
                  <c:v>3.0000000000000001E-3</c:v>
                </c:pt>
                <c:pt idx="2">
                  <c:v>1.0999999999999999E-2</c:v>
                </c:pt>
                <c:pt idx="3">
                  <c:v>2.5000000000000001E-2</c:v>
                </c:pt>
                <c:pt idx="4">
                  <c:v>4.4999999999999998E-2</c:v>
                </c:pt>
                <c:pt idx="5">
                  <c:v>0.193</c:v>
                </c:pt>
                <c:pt idx="6">
                  <c:v>0.45</c:v>
                </c:pt>
                <c:pt idx="7">
                  <c:v>0.82</c:v>
                </c:pt>
                <c:pt idx="8">
                  <c:v>1.232</c:v>
                </c:pt>
                <c:pt idx="9">
                  <c:v>1.3149999999999999</c:v>
                </c:pt>
                <c:pt idx="10">
                  <c:v>1.9390000000000001</c:v>
                </c:pt>
                <c:pt idx="11">
                  <c:v>2.2999999999999998</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xVal>
          <c:yVal>
            <c:numRef>
              <c:f>Tools!$E$210:$AC$210</c:f>
              <c:numCache>
                <c:formatCode>General</c:formatCode>
                <c:ptCount val="25"/>
                <c:pt idx="0">
                  <c:v>0</c:v>
                </c:pt>
                <c:pt idx="1">
                  <c:v>0.5</c:v>
                </c:pt>
                <c:pt idx="2">
                  <c:v>1</c:v>
                </c:pt>
                <c:pt idx="3">
                  <c:v>1.5</c:v>
                </c:pt>
                <c:pt idx="4">
                  <c:v>2</c:v>
                </c:pt>
                <c:pt idx="5">
                  <c:v>4</c:v>
                </c:pt>
                <c:pt idx="6">
                  <c:v>6</c:v>
                </c:pt>
                <c:pt idx="7">
                  <c:v>8</c:v>
                </c:pt>
                <c:pt idx="8">
                  <c:v>9.6999999999999993</c:v>
                </c:pt>
                <c:pt idx="9">
                  <c:v>10</c:v>
                </c:pt>
                <c:pt idx="10">
                  <c:v>12</c:v>
                </c:pt>
                <c:pt idx="11">
                  <c:v>13</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yVal>
          <c:smooth val="1"/>
        </c:ser>
        <c:ser>
          <c:idx val="9"/>
          <c:order val="9"/>
          <c:tx>
            <c:strRef>
              <c:f>Tools!$D$220</c:f>
              <c:strCache>
                <c:ptCount val="1"/>
                <c:pt idx="0">
                  <c:v>ML</c:v>
                </c:pt>
              </c:strCache>
            </c:strRef>
          </c:tx>
          <c:spPr>
            <a:ln w="3175"/>
          </c:spPr>
          <c:marker>
            <c:symbol val="none"/>
          </c:marker>
          <c:xVal>
            <c:numRef>
              <c:f>Tools!$E$220:$AC$220</c:f>
              <c:numCache>
                <c:formatCode>General</c:formatCode>
                <c:ptCount val="25"/>
                <c:pt idx="0">
                  <c:v>0</c:v>
                </c:pt>
                <c:pt idx="1">
                  <c:v>0.56799999999999995</c:v>
                </c:pt>
                <c:pt idx="2">
                  <c:v>1.153</c:v>
                </c:pt>
                <c:pt idx="3">
                  <c:v>1.7330000000000001</c:v>
                </c:pt>
                <c:pt idx="4">
                  <c:v>2.3159999999999998</c:v>
                </c:pt>
                <c:pt idx="5">
                  <c:v>4.4690000000000003</c:v>
                </c:pt>
                <c:pt idx="6">
                  <c:v>6.1840000000000002</c:v>
                </c:pt>
                <c:pt idx="7">
                  <c:v>7.2309999999999999</c:v>
                </c:pt>
                <c:pt idx="8">
                  <c:v>7.4340000000000002</c:v>
                </c:pt>
                <c:pt idx="9">
                  <c:v>7.3719999999999999</c:v>
                </c:pt>
                <c:pt idx="10">
                  <c:v>7.0490000000000004</c:v>
                </c:pt>
                <c:pt idx="11">
                  <c:v>6.81</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xVal>
          <c:yVal>
            <c:numRef>
              <c:f>Tools!$E$210:$AC$210</c:f>
              <c:numCache>
                <c:formatCode>General</c:formatCode>
                <c:ptCount val="25"/>
                <c:pt idx="0">
                  <c:v>0</c:v>
                </c:pt>
                <c:pt idx="1">
                  <c:v>0.5</c:v>
                </c:pt>
                <c:pt idx="2">
                  <c:v>1</c:v>
                </c:pt>
                <c:pt idx="3">
                  <c:v>1.5</c:v>
                </c:pt>
                <c:pt idx="4">
                  <c:v>2</c:v>
                </c:pt>
                <c:pt idx="5">
                  <c:v>4</c:v>
                </c:pt>
                <c:pt idx="6">
                  <c:v>6</c:v>
                </c:pt>
                <c:pt idx="7">
                  <c:v>8</c:v>
                </c:pt>
                <c:pt idx="8">
                  <c:v>9.6999999999999993</c:v>
                </c:pt>
                <c:pt idx="9">
                  <c:v>10</c:v>
                </c:pt>
                <c:pt idx="10">
                  <c:v>12</c:v>
                </c:pt>
                <c:pt idx="11">
                  <c:v>13</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yVal>
          <c:smooth val="1"/>
        </c:ser>
        <c:ser>
          <c:idx val="10"/>
          <c:order val="10"/>
          <c:tx>
            <c:strRef>
              <c:f>Tools!$D$221</c:f>
              <c:strCache>
                <c:ptCount val="1"/>
                <c:pt idx="0">
                  <c:v>BML</c:v>
                </c:pt>
              </c:strCache>
            </c:strRef>
          </c:tx>
          <c:spPr>
            <a:ln w="3175"/>
          </c:spPr>
          <c:marker>
            <c:symbol val="none"/>
          </c:marker>
          <c:xVal>
            <c:numRef>
              <c:f>Tools!$F$221:$AC$221</c:f>
              <c:numCache>
                <c:formatCode>General</c:formatCode>
                <c:ptCount val="24"/>
                <c:pt idx="0">
                  <c:v>2.08</c:v>
                </c:pt>
                <c:pt idx="1">
                  <c:v>1.1220000000000001</c:v>
                </c:pt>
                <c:pt idx="2">
                  <c:v>0.78300000000000003</c:v>
                </c:pt>
                <c:pt idx="3">
                  <c:v>0.60399999999999998</c:v>
                </c:pt>
                <c:pt idx="4">
                  <c:v>0.32400000000000001</c:v>
                </c:pt>
                <c:pt idx="5">
                  <c:v>0.22500000000000001</c:v>
                </c:pt>
                <c:pt idx="6">
                  <c:v>0.182</c:v>
                </c:pt>
                <c:pt idx="7">
                  <c:v>0.161</c:v>
                </c:pt>
                <c:pt idx="8">
                  <c:v>0.157</c:v>
                </c:pt>
                <c:pt idx="9">
                  <c:v>0.13800000000000001</c:v>
                </c:pt>
                <c:pt idx="10">
                  <c:v>0.13</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numCache>
            </c:numRef>
          </c:xVal>
          <c:yVal>
            <c:numRef>
              <c:f>Tools!$F$210:$AC$210</c:f>
              <c:numCache>
                <c:formatCode>General</c:formatCode>
                <c:ptCount val="24"/>
                <c:pt idx="0">
                  <c:v>0.5</c:v>
                </c:pt>
                <c:pt idx="1">
                  <c:v>1</c:v>
                </c:pt>
                <c:pt idx="2">
                  <c:v>1.5</c:v>
                </c:pt>
                <c:pt idx="3">
                  <c:v>2</c:v>
                </c:pt>
                <c:pt idx="4">
                  <c:v>4</c:v>
                </c:pt>
                <c:pt idx="5">
                  <c:v>6</c:v>
                </c:pt>
                <c:pt idx="6">
                  <c:v>8</c:v>
                </c:pt>
                <c:pt idx="7">
                  <c:v>9.6999999999999993</c:v>
                </c:pt>
                <c:pt idx="8">
                  <c:v>10</c:v>
                </c:pt>
                <c:pt idx="9">
                  <c:v>12</c:v>
                </c:pt>
                <c:pt idx="10">
                  <c:v>13</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numCache>
            </c:numRef>
          </c:yVal>
          <c:smooth val="1"/>
        </c:ser>
        <c:ser>
          <c:idx val="11"/>
          <c:order val="11"/>
          <c:tx>
            <c:strRef>
              <c:f>Tools!$D$222</c:f>
              <c:strCache>
                <c:ptCount val="1"/>
                <c:pt idx="0">
                  <c:v>BMT</c:v>
                </c:pt>
              </c:strCache>
            </c:strRef>
          </c:tx>
          <c:spPr>
            <a:ln w="3175"/>
          </c:spPr>
          <c:marker>
            <c:symbol val="none"/>
          </c:marker>
          <c:xVal>
            <c:numRef>
              <c:f>Tools!$F$222:$AC$222</c:f>
              <c:numCache>
                <c:formatCode>General</c:formatCode>
                <c:ptCount val="24"/>
                <c:pt idx="0">
                  <c:v>6.05</c:v>
                </c:pt>
                <c:pt idx="1">
                  <c:v>3.2919999999999998</c:v>
                </c:pt>
                <c:pt idx="2">
                  <c:v>2.3180000000000001</c:v>
                </c:pt>
                <c:pt idx="3">
                  <c:v>1.7849999999999999</c:v>
                </c:pt>
                <c:pt idx="4">
                  <c:v>0.92500000000000004</c:v>
                </c:pt>
                <c:pt idx="5">
                  <c:v>0.624</c:v>
                </c:pt>
                <c:pt idx="6">
                  <c:v>0.47899999999999998</c:v>
                </c:pt>
                <c:pt idx="7">
                  <c:v>0.40500000000000003</c:v>
                </c:pt>
                <c:pt idx="8">
                  <c:v>0.39400000000000002</c:v>
                </c:pt>
                <c:pt idx="9">
                  <c:v>0.33700000000000002</c:v>
                </c:pt>
                <c:pt idx="10">
                  <c:v>0.315</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numCache>
            </c:numRef>
          </c:xVal>
          <c:yVal>
            <c:numRef>
              <c:f>Tools!$F$210:$AC$210</c:f>
              <c:numCache>
                <c:formatCode>General</c:formatCode>
                <c:ptCount val="24"/>
                <c:pt idx="0">
                  <c:v>0.5</c:v>
                </c:pt>
                <c:pt idx="1">
                  <c:v>1</c:v>
                </c:pt>
                <c:pt idx="2">
                  <c:v>1.5</c:v>
                </c:pt>
                <c:pt idx="3">
                  <c:v>2</c:v>
                </c:pt>
                <c:pt idx="4">
                  <c:v>4</c:v>
                </c:pt>
                <c:pt idx="5">
                  <c:v>6</c:v>
                </c:pt>
                <c:pt idx="6">
                  <c:v>8</c:v>
                </c:pt>
                <c:pt idx="7">
                  <c:v>9.6999999999999993</c:v>
                </c:pt>
                <c:pt idx="8">
                  <c:v>10</c:v>
                </c:pt>
                <c:pt idx="9">
                  <c:v>12</c:v>
                </c:pt>
                <c:pt idx="10">
                  <c:v>13</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numCache>
            </c:numRef>
          </c:yVal>
          <c:smooth val="1"/>
        </c:ser>
        <c:ser>
          <c:idx val="12"/>
          <c:order val="12"/>
          <c:tx>
            <c:strRef>
              <c:f>Tools!$D$223</c:f>
              <c:strCache>
                <c:ptCount val="1"/>
                <c:pt idx="0">
                  <c:v>KB </c:v>
                </c:pt>
              </c:strCache>
            </c:strRef>
          </c:tx>
          <c:spPr>
            <a:ln w="3175">
              <a:solidFill>
                <a:srgbClr val="C00000"/>
              </a:solidFill>
            </a:ln>
          </c:spPr>
          <c:marker>
            <c:symbol val="none"/>
          </c:marker>
          <c:xVal>
            <c:numRef>
              <c:f>Tools!$F$223:$AC$223</c:f>
              <c:numCache>
                <c:formatCode>General</c:formatCode>
                <c:ptCount val="24"/>
                <c:pt idx="0">
                  <c:v>0.25600000000000001</c:v>
                </c:pt>
                <c:pt idx="1">
                  <c:v>0.51700000000000002</c:v>
                </c:pt>
                <c:pt idx="2">
                  <c:v>0.77800000000000002</c:v>
                </c:pt>
                <c:pt idx="3">
                  <c:v>1.04</c:v>
                </c:pt>
                <c:pt idx="4">
                  <c:v>2.0819999999999999</c:v>
                </c:pt>
                <c:pt idx="5">
                  <c:v>3.1219999999999999</c:v>
                </c:pt>
                <c:pt idx="6">
                  <c:v>4.1639999999999997</c:v>
                </c:pt>
                <c:pt idx="7">
                  <c:v>5.0599999999999996</c:v>
                </c:pt>
                <c:pt idx="8">
                  <c:v>5.2190000000000003</c:v>
                </c:pt>
                <c:pt idx="9">
                  <c:v>6.2830000000000004</c:v>
                </c:pt>
                <c:pt idx="10">
                  <c:v>6.8159999999999998</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numCache>
            </c:numRef>
          </c:xVal>
          <c:yVal>
            <c:numRef>
              <c:f>Tools!$F$210:$AC$210</c:f>
              <c:numCache>
                <c:formatCode>General</c:formatCode>
                <c:ptCount val="24"/>
                <c:pt idx="0">
                  <c:v>0.5</c:v>
                </c:pt>
                <c:pt idx="1">
                  <c:v>1</c:v>
                </c:pt>
                <c:pt idx="2">
                  <c:v>1.5</c:v>
                </c:pt>
                <c:pt idx="3">
                  <c:v>2</c:v>
                </c:pt>
                <c:pt idx="4">
                  <c:v>4</c:v>
                </c:pt>
                <c:pt idx="5">
                  <c:v>6</c:v>
                </c:pt>
                <c:pt idx="6">
                  <c:v>8</c:v>
                </c:pt>
                <c:pt idx="7">
                  <c:v>9.6999999999999993</c:v>
                </c:pt>
                <c:pt idx="8">
                  <c:v>10</c:v>
                </c:pt>
                <c:pt idx="9">
                  <c:v>12</c:v>
                </c:pt>
                <c:pt idx="10">
                  <c:v>13</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numCache>
            </c:numRef>
          </c:yVal>
          <c:smooth val="1"/>
        </c:ser>
        <c:ser>
          <c:idx val="13"/>
          <c:order val="13"/>
          <c:tx>
            <c:strRef>
              <c:f>Tools!$D$224</c:f>
              <c:strCache>
                <c:ptCount val="1"/>
                <c:pt idx="0">
                  <c:v>KMT</c:v>
                </c:pt>
              </c:strCache>
            </c:strRef>
          </c:tx>
          <c:spPr>
            <a:ln w="3175"/>
          </c:spPr>
          <c:marker>
            <c:symbol val="none"/>
          </c:marker>
          <c:xVal>
            <c:numRef>
              <c:f>Tools!$F$224:$AC$224</c:f>
              <c:numCache>
                <c:formatCode>General</c:formatCode>
                <c:ptCount val="24"/>
                <c:pt idx="0">
                  <c:v>6.0750000000000002</c:v>
                </c:pt>
                <c:pt idx="1">
                  <c:v>3.3439999999999999</c:v>
                </c:pt>
                <c:pt idx="2">
                  <c:v>2.3959999999999999</c:v>
                </c:pt>
                <c:pt idx="3">
                  <c:v>1.889</c:v>
                </c:pt>
                <c:pt idx="4">
                  <c:v>1.133</c:v>
                </c:pt>
                <c:pt idx="5">
                  <c:v>0.93700000000000006</c:v>
                </c:pt>
                <c:pt idx="6">
                  <c:v>0.89600000000000002</c:v>
                </c:pt>
                <c:pt idx="7">
                  <c:v>0.91100000000000003</c:v>
                </c:pt>
                <c:pt idx="8">
                  <c:v>0.91600000000000004</c:v>
                </c:pt>
                <c:pt idx="9">
                  <c:v>0.96499999999999997</c:v>
                </c:pt>
                <c:pt idx="10">
                  <c:v>0.997</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numCache>
            </c:numRef>
          </c:xVal>
          <c:yVal>
            <c:numRef>
              <c:f>Tools!$F$210:$AC$210</c:f>
              <c:numCache>
                <c:formatCode>General</c:formatCode>
                <c:ptCount val="24"/>
                <c:pt idx="0">
                  <c:v>0.5</c:v>
                </c:pt>
                <c:pt idx="1">
                  <c:v>1</c:v>
                </c:pt>
                <c:pt idx="2">
                  <c:v>1.5</c:v>
                </c:pt>
                <c:pt idx="3">
                  <c:v>2</c:v>
                </c:pt>
                <c:pt idx="4">
                  <c:v>4</c:v>
                </c:pt>
                <c:pt idx="5">
                  <c:v>6</c:v>
                </c:pt>
                <c:pt idx="6">
                  <c:v>8</c:v>
                </c:pt>
                <c:pt idx="7">
                  <c:v>9.6999999999999993</c:v>
                </c:pt>
                <c:pt idx="8">
                  <c:v>10</c:v>
                </c:pt>
                <c:pt idx="9">
                  <c:v>12</c:v>
                </c:pt>
                <c:pt idx="10">
                  <c:v>13</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numCache>
            </c:numRef>
          </c:yVal>
          <c:smooth val="1"/>
        </c:ser>
        <c:ser>
          <c:idx val="14"/>
          <c:order val="14"/>
          <c:tx>
            <c:strRef>
              <c:f>Tools!$D$225</c:f>
              <c:strCache>
                <c:ptCount val="1"/>
                <c:pt idx="0">
                  <c:v>KML</c:v>
                </c:pt>
              </c:strCache>
            </c:strRef>
          </c:tx>
          <c:spPr>
            <a:ln w="3175">
              <a:solidFill>
                <a:schemeClr val="accent6">
                  <a:lumMod val="75000"/>
                </a:schemeClr>
              </a:solidFill>
            </a:ln>
          </c:spPr>
          <c:marker>
            <c:symbol val="none"/>
          </c:marker>
          <c:xVal>
            <c:numRef>
              <c:f>Tools!$F$225:$AC$225</c:f>
              <c:numCache>
                <c:formatCode>General</c:formatCode>
                <c:ptCount val="24"/>
                <c:pt idx="0">
                  <c:v>2.081</c:v>
                </c:pt>
                <c:pt idx="1">
                  <c:v>1.123</c:v>
                </c:pt>
                <c:pt idx="2">
                  <c:v>0.78400000000000003</c:v>
                </c:pt>
                <c:pt idx="3">
                  <c:v>0.60499999999999998</c:v>
                </c:pt>
                <c:pt idx="4">
                  <c:v>0.32600000000000001</c:v>
                </c:pt>
                <c:pt idx="5">
                  <c:v>0.22800000000000001</c:v>
                </c:pt>
                <c:pt idx="6">
                  <c:v>0.186</c:v>
                </c:pt>
                <c:pt idx="7">
                  <c:v>0.16600000000000001</c:v>
                </c:pt>
                <c:pt idx="8">
                  <c:v>0.16200000000000001</c:v>
                </c:pt>
                <c:pt idx="9">
                  <c:v>0.14399999999999999</c:v>
                </c:pt>
                <c:pt idx="10">
                  <c:v>0.13700000000000001</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numCache>
            </c:numRef>
          </c:xVal>
          <c:yVal>
            <c:numRef>
              <c:f>Tools!$F$210:$AC$210</c:f>
              <c:numCache>
                <c:formatCode>General</c:formatCode>
                <c:ptCount val="24"/>
                <c:pt idx="0">
                  <c:v>0.5</c:v>
                </c:pt>
                <c:pt idx="1">
                  <c:v>1</c:v>
                </c:pt>
                <c:pt idx="2">
                  <c:v>1.5</c:v>
                </c:pt>
                <c:pt idx="3">
                  <c:v>2</c:v>
                </c:pt>
                <c:pt idx="4">
                  <c:v>4</c:v>
                </c:pt>
                <c:pt idx="5">
                  <c:v>6</c:v>
                </c:pt>
                <c:pt idx="6">
                  <c:v>8</c:v>
                </c:pt>
                <c:pt idx="7">
                  <c:v>9.6999999999999993</c:v>
                </c:pt>
                <c:pt idx="8">
                  <c:v>10</c:v>
                </c:pt>
                <c:pt idx="9">
                  <c:v>12</c:v>
                </c:pt>
                <c:pt idx="10">
                  <c:v>13</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numCache>
            </c:numRef>
          </c:yVal>
          <c:smooth val="1"/>
        </c:ser>
        <c:ser>
          <c:idx val="15"/>
          <c:order val="15"/>
          <c:tx>
            <c:strRef>
              <c:f>Tools!$D$226</c:f>
              <c:strCache>
                <c:ptCount val="1"/>
                <c:pt idx="0">
                  <c:v>TPC</c:v>
                </c:pt>
              </c:strCache>
            </c:strRef>
          </c:tx>
          <c:spPr>
            <a:ln w="3175"/>
          </c:spPr>
          <c:marker>
            <c:symbol val="none"/>
          </c:marker>
          <c:xVal>
            <c:numRef>
              <c:f>Tools!$E$226:$AC$226</c:f>
              <c:numCache>
                <c:formatCode>General</c:formatCode>
                <c:ptCount val="25"/>
                <c:pt idx="0">
                  <c:v>11.856999999999999</c:v>
                </c:pt>
                <c:pt idx="1">
                  <c:v>12.131</c:v>
                </c:pt>
                <c:pt idx="2">
                  <c:v>12.279</c:v>
                </c:pt>
                <c:pt idx="3">
                  <c:v>12.376999999999999</c:v>
                </c:pt>
                <c:pt idx="4">
                  <c:v>12.443</c:v>
                </c:pt>
                <c:pt idx="5">
                  <c:v>12.584</c:v>
                </c:pt>
                <c:pt idx="6">
                  <c:v>12.663</c:v>
                </c:pt>
                <c:pt idx="7">
                  <c:v>12.760999999999999</c:v>
                </c:pt>
                <c:pt idx="8">
                  <c:v>12.850999999999999</c:v>
                </c:pt>
                <c:pt idx="9">
                  <c:v>12.865</c:v>
                </c:pt>
                <c:pt idx="10">
                  <c:v>12.943999999999999</c:v>
                </c:pt>
                <c:pt idx="11">
                  <c:v>12.983000000000001</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xVal>
          <c:yVal>
            <c:numRef>
              <c:f>Tools!$E$210:$AC$210</c:f>
              <c:numCache>
                <c:formatCode>General</c:formatCode>
                <c:ptCount val="25"/>
                <c:pt idx="0">
                  <c:v>0</c:v>
                </c:pt>
                <c:pt idx="1">
                  <c:v>0.5</c:v>
                </c:pt>
                <c:pt idx="2">
                  <c:v>1</c:v>
                </c:pt>
                <c:pt idx="3">
                  <c:v>1.5</c:v>
                </c:pt>
                <c:pt idx="4">
                  <c:v>2</c:v>
                </c:pt>
                <c:pt idx="5">
                  <c:v>4</c:v>
                </c:pt>
                <c:pt idx="6">
                  <c:v>6</c:v>
                </c:pt>
                <c:pt idx="7">
                  <c:v>8</c:v>
                </c:pt>
                <c:pt idx="8">
                  <c:v>9.6999999999999993</c:v>
                </c:pt>
                <c:pt idx="9">
                  <c:v>10</c:v>
                </c:pt>
                <c:pt idx="10">
                  <c:v>12</c:v>
                </c:pt>
                <c:pt idx="11">
                  <c:v>13</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yVal>
          <c:smooth val="1"/>
        </c:ser>
        <c:ser>
          <c:idx val="16"/>
          <c:order val="16"/>
          <c:tx>
            <c:strRef>
              <c:f>Tools!$D$227</c:f>
              <c:strCache>
                <c:ptCount val="1"/>
                <c:pt idx="0">
                  <c:v>LCB</c:v>
                </c:pt>
              </c:strCache>
            </c:strRef>
          </c:tx>
          <c:spPr>
            <a:ln w="3175"/>
          </c:spPr>
          <c:marker>
            <c:symbol val="none"/>
          </c:marker>
          <c:xVal>
            <c:numRef>
              <c:f>Tools!$F$227:$AC$227</c:f>
              <c:numCache>
                <c:formatCode>General</c:formatCode>
                <c:ptCount val="24"/>
                <c:pt idx="0">
                  <c:v>5.8070000000000004</c:v>
                </c:pt>
                <c:pt idx="1">
                  <c:v>5.5990000000000002</c:v>
                </c:pt>
                <c:pt idx="2">
                  <c:v>5.4269999999999996</c:v>
                </c:pt>
                <c:pt idx="3">
                  <c:v>5.2969999999999997</c:v>
                </c:pt>
                <c:pt idx="4">
                  <c:v>4.8120000000000003</c:v>
                </c:pt>
                <c:pt idx="5">
                  <c:v>4.2889999999999997</c:v>
                </c:pt>
                <c:pt idx="6">
                  <c:v>3.6720000000000002</c:v>
                </c:pt>
                <c:pt idx="7">
                  <c:v>3.0539999999999998</c:v>
                </c:pt>
                <c:pt idx="8">
                  <c:v>2.9260000000000002</c:v>
                </c:pt>
                <c:pt idx="9">
                  <c:v>2.2850000000000001</c:v>
                </c:pt>
                <c:pt idx="10">
                  <c:v>2.0179999999999998</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numCache>
            </c:numRef>
          </c:xVal>
          <c:yVal>
            <c:numRef>
              <c:f>Tools!$F$210:$AC$210</c:f>
              <c:numCache>
                <c:formatCode>General</c:formatCode>
                <c:ptCount val="24"/>
                <c:pt idx="0">
                  <c:v>0.5</c:v>
                </c:pt>
                <c:pt idx="1">
                  <c:v>1</c:v>
                </c:pt>
                <c:pt idx="2">
                  <c:v>1.5</c:v>
                </c:pt>
                <c:pt idx="3">
                  <c:v>2</c:v>
                </c:pt>
                <c:pt idx="4">
                  <c:v>4</c:v>
                </c:pt>
                <c:pt idx="5">
                  <c:v>6</c:v>
                </c:pt>
                <c:pt idx="6">
                  <c:v>8</c:v>
                </c:pt>
                <c:pt idx="7">
                  <c:v>9.6999999999999993</c:v>
                </c:pt>
                <c:pt idx="8">
                  <c:v>10</c:v>
                </c:pt>
                <c:pt idx="9">
                  <c:v>12</c:v>
                </c:pt>
                <c:pt idx="10">
                  <c:v>13</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numCache>
            </c:numRef>
          </c:yVal>
          <c:smooth val="1"/>
        </c:ser>
        <c:ser>
          <c:idx val="17"/>
          <c:order val="17"/>
          <c:tx>
            <c:strRef>
              <c:f>Tools!$D$228</c:f>
              <c:strCache>
                <c:ptCount val="1"/>
                <c:pt idx="0">
                  <c:v>MCT1cm</c:v>
                </c:pt>
              </c:strCache>
            </c:strRef>
          </c:tx>
          <c:spPr>
            <a:ln w="3175">
              <a:solidFill>
                <a:srgbClr val="00B0F0"/>
              </a:solidFill>
            </a:ln>
          </c:spPr>
          <c:marker>
            <c:symbol val="none"/>
          </c:marker>
          <c:xVal>
            <c:numRef>
              <c:f>Tools!$F$228:$AC$228</c:f>
              <c:numCache>
                <c:formatCode>General</c:formatCode>
                <c:ptCount val="24"/>
                <c:pt idx="0">
                  <c:v>11.435</c:v>
                </c:pt>
                <c:pt idx="1">
                  <c:v>11.629999999999999</c:v>
                </c:pt>
                <c:pt idx="2">
                  <c:v>11.763999999999999</c:v>
                </c:pt>
                <c:pt idx="3">
                  <c:v>11.864000000000001</c:v>
                </c:pt>
                <c:pt idx="4">
                  <c:v>12.122</c:v>
                </c:pt>
                <c:pt idx="5">
                  <c:v>12.286</c:v>
                </c:pt>
                <c:pt idx="6">
                  <c:v>12.529</c:v>
                </c:pt>
                <c:pt idx="7">
                  <c:v>12.757999999999999</c:v>
                </c:pt>
                <c:pt idx="8">
                  <c:v>12.792</c:v>
                </c:pt>
                <c:pt idx="9">
                  <c:v>12.992000000000001</c:v>
                </c:pt>
                <c:pt idx="10">
                  <c:v>13.093999999999999</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numCache>
            </c:numRef>
          </c:xVal>
          <c:yVal>
            <c:numRef>
              <c:f>Tools!$F$210:$AC$210</c:f>
              <c:numCache>
                <c:formatCode>General</c:formatCode>
                <c:ptCount val="24"/>
                <c:pt idx="0">
                  <c:v>0.5</c:v>
                </c:pt>
                <c:pt idx="1">
                  <c:v>1</c:v>
                </c:pt>
                <c:pt idx="2">
                  <c:v>1.5</c:v>
                </c:pt>
                <c:pt idx="3">
                  <c:v>2</c:v>
                </c:pt>
                <c:pt idx="4">
                  <c:v>4</c:v>
                </c:pt>
                <c:pt idx="5">
                  <c:v>6</c:v>
                </c:pt>
                <c:pt idx="6">
                  <c:v>8</c:v>
                </c:pt>
                <c:pt idx="7">
                  <c:v>9.6999999999999993</c:v>
                </c:pt>
                <c:pt idx="8">
                  <c:v>10</c:v>
                </c:pt>
                <c:pt idx="9">
                  <c:v>12</c:v>
                </c:pt>
                <c:pt idx="10">
                  <c:v>13</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numCache>
            </c:numRef>
          </c:yVal>
          <c:smooth val="1"/>
        </c:ser>
        <c:ser>
          <c:idx val="18"/>
          <c:order val="18"/>
          <c:tx>
            <c:strRef>
              <c:f>Tools!$D$229</c:f>
              <c:strCache>
                <c:ptCount val="1"/>
                <c:pt idx="0">
                  <c:v>T</c:v>
                </c:pt>
              </c:strCache>
            </c:strRef>
          </c:tx>
          <c:spPr>
            <a:ln w="3175">
              <a:solidFill>
                <a:srgbClr val="00B050"/>
              </a:solidFill>
            </a:ln>
          </c:spPr>
          <c:marker>
            <c:symbol val="none"/>
          </c:marker>
          <c:xVal>
            <c:numRef>
              <c:f>Tools!$E$229:$AC$229</c:f>
              <c:numCache>
                <c:formatCode>General</c:formatCode>
                <c:ptCount val="25"/>
                <c:pt idx="0">
                  <c:v>0</c:v>
                </c:pt>
                <c:pt idx="1">
                  <c:v>0.05</c:v>
                </c:pt>
                <c:pt idx="2">
                  <c:v>0.1</c:v>
                </c:pt>
                <c:pt idx="3">
                  <c:v>0.15</c:v>
                </c:pt>
                <c:pt idx="4">
                  <c:v>0.2</c:v>
                </c:pt>
                <c:pt idx="5">
                  <c:v>0.4</c:v>
                </c:pt>
                <c:pt idx="6">
                  <c:v>0.6</c:v>
                </c:pt>
                <c:pt idx="7">
                  <c:v>0.8</c:v>
                </c:pt>
                <c:pt idx="8">
                  <c:v>0.97</c:v>
                </c:pt>
                <c:pt idx="9">
                  <c:v>1</c:v>
                </c:pt>
                <c:pt idx="10">
                  <c:v>1.2</c:v>
                </c:pt>
                <c:pt idx="11">
                  <c:v>1.3</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xVal>
          <c:yVal>
            <c:numRef>
              <c:f>Tools!$E$210:$AC$210</c:f>
              <c:numCache>
                <c:formatCode>General</c:formatCode>
                <c:ptCount val="25"/>
                <c:pt idx="0">
                  <c:v>0</c:v>
                </c:pt>
                <c:pt idx="1">
                  <c:v>0.5</c:v>
                </c:pt>
                <c:pt idx="2">
                  <c:v>1</c:v>
                </c:pt>
                <c:pt idx="3">
                  <c:v>1.5</c:v>
                </c:pt>
                <c:pt idx="4">
                  <c:v>2</c:v>
                </c:pt>
                <c:pt idx="5">
                  <c:v>4</c:v>
                </c:pt>
                <c:pt idx="6">
                  <c:v>6</c:v>
                </c:pt>
                <c:pt idx="7">
                  <c:v>8</c:v>
                </c:pt>
                <c:pt idx="8">
                  <c:v>9.6999999999999993</c:v>
                </c:pt>
                <c:pt idx="9">
                  <c:v>10</c:v>
                </c:pt>
                <c:pt idx="10">
                  <c:v>12</c:v>
                </c:pt>
                <c:pt idx="11">
                  <c:v>13</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yVal>
          <c:smooth val="1"/>
        </c:ser>
        <c:ser>
          <c:idx val="19"/>
          <c:order val="19"/>
          <c:tx>
            <c:strRef>
              <c:f>Tools!$D$230</c:f>
              <c:strCache>
                <c:ptCount val="1"/>
                <c:pt idx="0">
                  <c:v>CW</c:v>
                </c:pt>
              </c:strCache>
            </c:strRef>
          </c:tx>
          <c:spPr>
            <a:ln w="3175">
              <a:solidFill>
                <a:schemeClr val="tx2">
                  <a:lumMod val="60000"/>
                  <a:lumOff val="40000"/>
                </a:schemeClr>
              </a:solidFill>
            </a:ln>
          </c:spPr>
          <c:marker>
            <c:symbol val="none"/>
          </c:marker>
          <c:xVal>
            <c:numRef>
              <c:f>Tools!$E$230:$AC$230</c:f>
              <c:numCache>
                <c:formatCode>General</c:formatCode>
                <c:ptCount val="25"/>
                <c:pt idx="0">
                  <c:v>6.3890000000000002</c:v>
                </c:pt>
                <c:pt idx="1">
                  <c:v>6.8049999999999997</c:v>
                </c:pt>
                <c:pt idx="2">
                  <c:v>7.0730000000000004</c:v>
                </c:pt>
                <c:pt idx="3">
                  <c:v>7.2569999999999997</c:v>
                </c:pt>
                <c:pt idx="4">
                  <c:v>7.4089999999999998</c:v>
                </c:pt>
                <c:pt idx="5">
                  <c:v>7.8390000000000004</c:v>
                </c:pt>
                <c:pt idx="6">
                  <c:v>8.0760000000000005</c:v>
                </c:pt>
                <c:pt idx="7">
                  <c:v>8.375</c:v>
                </c:pt>
                <c:pt idx="8">
                  <c:v>8.6479999999999997</c:v>
                </c:pt>
                <c:pt idx="9">
                  <c:v>8.6890000000000001</c:v>
                </c:pt>
                <c:pt idx="10">
                  <c:v>8.9290000000000003</c:v>
                </c:pt>
                <c:pt idx="11">
                  <c:v>9.0489999999999995</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xVal>
          <c:yVal>
            <c:numRef>
              <c:f>Tools!$E$210:$AC$210</c:f>
              <c:numCache>
                <c:formatCode>General</c:formatCode>
                <c:ptCount val="25"/>
                <c:pt idx="0">
                  <c:v>0</c:v>
                </c:pt>
                <c:pt idx="1">
                  <c:v>0.5</c:v>
                </c:pt>
                <c:pt idx="2">
                  <c:v>1</c:v>
                </c:pt>
                <c:pt idx="3">
                  <c:v>1.5</c:v>
                </c:pt>
                <c:pt idx="4">
                  <c:v>2</c:v>
                </c:pt>
                <c:pt idx="5">
                  <c:v>4</c:v>
                </c:pt>
                <c:pt idx="6">
                  <c:v>6</c:v>
                </c:pt>
                <c:pt idx="7">
                  <c:v>8</c:v>
                </c:pt>
                <c:pt idx="8">
                  <c:v>9.6999999999999993</c:v>
                </c:pt>
                <c:pt idx="9">
                  <c:v>10</c:v>
                </c:pt>
                <c:pt idx="10">
                  <c:v>12</c:v>
                </c:pt>
                <c:pt idx="11">
                  <c:v>13</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yVal>
          <c:smooth val="1"/>
        </c:ser>
        <c:ser>
          <c:idx val="20"/>
          <c:order val="20"/>
          <c:tx>
            <c:strRef>
              <c:f>Tools!$D$231</c:f>
              <c:strCache>
                <c:ptCount val="1"/>
                <c:pt idx="0">
                  <c:v>CB</c:v>
                </c:pt>
              </c:strCache>
            </c:strRef>
          </c:tx>
          <c:spPr>
            <a:ln w="3175">
              <a:solidFill>
                <a:srgbClr val="FF0000"/>
              </a:solidFill>
            </a:ln>
          </c:spPr>
          <c:marker>
            <c:symbol val="none"/>
          </c:marker>
          <c:xVal>
            <c:numRef>
              <c:f>Tools!$F$231:$AC$231</c:f>
              <c:numCache>
                <c:formatCode>General</c:formatCode>
                <c:ptCount val="24"/>
                <c:pt idx="0">
                  <c:v>6.4020000000000001</c:v>
                </c:pt>
                <c:pt idx="1">
                  <c:v>6.55</c:v>
                </c:pt>
                <c:pt idx="2">
                  <c:v>6.6609999999999996</c:v>
                </c:pt>
                <c:pt idx="3">
                  <c:v>6.798</c:v>
                </c:pt>
                <c:pt idx="4">
                  <c:v>7.2190000000000003</c:v>
                </c:pt>
                <c:pt idx="5">
                  <c:v>7.47</c:v>
                </c:pt>
                <c:pt idx="6">
                  <c:v>7.6529999999999996</c:v>
                </c:pt>
                <c:pt idx="7">
                  <c:v>7.8029999999999999</c:v>
                </c:pt>
                <c:pt idx="8">
                  <c:v>7.8330000000000002</c:v>
                </c:pt>
                <c:pt idx="9">
                  <c:v>7.9939999999999998</c:v>
                </c:pt>
                <c:pt idx="10">
                  <c:v>8.07</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numCache>
            </c:numRef>
          </c:xVal>
          <c:yVal>
            <c:numRef>
              <c:f>Tools!$F$210:$AC$210</c:f>
              <c:numCache>
                <c:formatCode>General</c:formatCode>
                <c:ptCount val="24"/>
                <c:pt idx="0">
                  <c:v>0.5</c:v>
                </c:pt>
                <c:pt idx="1">
                  <c:v>1</c:v>
                </c:pt>
                <c:pt idx="2">
                  <c:v>1.5</c:v>
                </c:pt>
                <c:pt idx="3">
                  <c:v>2</c:v>
                </c:pt>
                <c:pt idx="4">
                  <c:v>4</c:v>
                </c:pt>
                <c:pt idx="5">
                  <c:v>6</c:v>
                </c:pt>
                <c:pt idx="6">
                  <c:v>8</c:v>
                </c:pt>
                <c:pt idx="7">
                  <c:v>9.6999999999999993</c:v>
                </c:pt>
                <c:pt idx="8">
                  <c:v>10</c:v>
                </c:pt>
                <c:pt idx="9">
                  <c:v>12</c:v>
                </c:pt>
                <c:pt idx="10">
                  <c:v>13</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numCache>
            </c:numRef>
          </c:yVal>
          <c:smooth val="1"/>
        </c:ser>
        <c:ser>
          <c:idx val="21"/>
          <c:order val="21"/>
          <c:tx>
            <c:strRef>
              <c:f>Tools!$D$232</c:f>
              <c:strCache>
                <c:ptCount val="1"/>
                <c:pt idx="0">
                  <c:v>CM</c:v>
                </c:pt>
              </c:strCache>
            </c:strRef>
          </c:tx>
          <c:spPr>
            <a:ln w="3175">
              <a:solidFill>
                <a:srgbClr val="00B050"/>
              </a:solidFill>
            </a:ln>
          </c:spPr>
          <c:marker>
            <c:symbol val="none"/>
          </c:marker>
          <c:xVal>
            <c:numRef>
              <c:f>Tools!$F$232:$AC$232</c:f>
              <c:numCache>
                <c:formatCode>General</c:formatCode>
                <c:ptCount val="24"/>
                <c:pt idx="0">
                  <c:v>9.6769999999999996</c:v>
                </c:pt>
                <c:pt idx="1">
                  <c:v>9.6509999999999998</c:v>
                </c:pt>
                <c:pt idx="2">
                  <c:v>9.6289999999999996</c:v>
                </c:pt>
                <c:pt idx="3">
                  <c:v>9.6760000000000002</c:v>
                </c:pt>
                <c:pt idx="4">
                  <c:v>9.8379999999999992</c:v>
                </c:pt>
                <c:pt idx="5">
                  <c:v>9.8919999999999995</c:v>
                </c:pt>
                <c:pt idx="6">
                  <c:v>9.9190000000000005</c:v>
                </c:pt>
                <c:pt idx="7">
                  <c:v>9.9329999999999998</c:v>
                </c:pt>
                <c:pt idx="8">
                  <c:v>9.9350000000000005</c:v>
                </c:pt>
                <c:pt idx="9">
                  <c:v>9.9459999999999997</c:v>
                </c:pt>
                <c:pt idx="10">
                  <c:v>9.9499999999999993</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numCache>
            </c:numRef>
          </c:xVal>
          <c:yVal>
            <c:numRef>
              <c:f>Tools!$F$210:$AC$210</c:f>
              <c:numCache>
                <c:formatCode>General</c:formatCode>
                <c:ptCount val="24"/>
                <c:pt idx="0">
                  <c:v>0.5</c:v>
                </c:pt>
                <c:pt idx="1">
                  <c:v>1</c:v>
                </c:pt>
                <c:pt idx="2">
                  <c:v>1.5</c:v>
                </c:pt>
                <c:pt idx="3">
                  <c:v>2</c:v>
                </c:pt>
                <c:pt idx="4">
                  <c:v>4</c:v>
                </c:pt>
                <c:pt idx="5">
                  <c:v>6</c:v>
                </c:pt>
                <c:pt idx="6">
                  <c:v>8</c:v>
                </c:pt>
                <c:pt idx="7">
                  <c:v>9.6999999999999993</c:v>
                </c:pt>
                <c:pt idx="8">
                  <c:v>10</c:v>
                </c:pt>
                <c:pt idx="9">
                  <c:v>12</c:v>
                </c:pt>
                <c:pt idx="10">
                  <c:v>13</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numCache>
            </c:numRef>
          </c:yVal>
          <c:smooth val="1"/>
        </c:ser>
        <c:ser>
          <c:idx val="22"/>
          <c:order val="22"/>
          <c:tx>
            <c:strRef>
              <c:f>Tools!$D$233</c:f>
              <c:strCache>
                <c:ptCount val="1"/>
                <c:pt idx="0">
                  <c:v>CP</c:v>
                </c:pt>
              </c:strCache>
            </c:strRef>
          </c:tx>
          <c:spPr>
            <a:ln w="3175">
              <a:solidFill>
                <a:schemeClr val="tx2">
                  <a:lumMod val="50000"/>
                </a:schemeClr>
              </a:solidFill>
            </a:ln>
          </c:spPr>
          <c:marker>
            <c:symbol val="none"/>
          </c:marker>
          <c:xVal>
            <c:numRef>
              <c:f>Tools!$F$233:$AC$233</c:f>
              <c:numCache>
                <c:formatCode>General</c:formatCode>
                <c:ptCount val="24"/>
                <c:pt idx="0">
                  <c:v>16.615000000000002</c:v>
                </c:pt>
                <c:pt idx="1">
                  <c:v>16.786999999999999</c:v>
                </c:pt>
                <c:pt idx="2">
                  <c:v>16.917999999999999</c:v>
                </c:pt>
                <c:pt idx="3">
                  <c:v>17.026</c:v>
                </c:pt>
                <c:pt idx="4">
                  <c:v>17.338000000000001</c:v>
                </c:pt>
                <c:pt idx="5">
                  <c:v>17.552</c:v>
                </c:pt>
                <c:pt idx="6">
                  <c:v>17.715</c:v>
                </c:pt>
                <c:pt idx="7">
                  <c:v>17.856000000000002</c:v>
                </c:pt>
                <c:pt idx="8">
                  <c:v>17.884</c:v>
                </c:pt>
                <c:pt idx="9">
                  <c:v>18.036999999999999</c:v>
                </c:pt>
                <c:pt idx="10">
                  <c:v>18.111000000000001</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numCache>
            </c:numRef>
          </c:xVal>
          <c:yVal>
            <c:numRef>
              <c:f>Tools!$F$210:$AC$210</c:f>
              <c:numCache>
                <c:formatCode>General</c:formatCode>
                <c:ptCount val="24"/>
                <c:pt idx="0">
                  <c:v>0.5</c:v>
                </c:pt>
                <c:pt idx="1">
                  <c:v>1</c:v>
                </c:pt>
                <c:pt idx="2">
                  <c:v>1.5</c:v>
                </c:pt>
                <c:pt idx="3">
                  <c:v>2</c:v>
                </c:pt>
                <c:pt idx="4">
                  <c:v>4</c:v>
                </c:pt>
                <c:pt idx="5">
                  <c:v>6</c:v>
                </c:pt>
                <c:pt idx="6">
                  <c:v>8</c:v>
                </c:pt>
                <c:pt idx="7">
                  <c:v>9.6999999999999993</c:v>
                </c:pt>
                <c:pt idx="8">
                  <c:v>10</c:v>
                </c:pt>
                <c:pt idx="9">
                  <c:v>12</c:v>
                </c:pt>
                <c:pt idx="10">
                  <c:v>13</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numCache>
            </c:numRef>
          </c:yVal>
          <c:smooth val="1"/>
        </c:ser>
        <c:ser>
          <c:idx val="25"/>
          <c:order val="23"/>
          <c:tx>
            <c:strRef>
              <c:f>Tools!$N$234</c:f>
              <c:strCache>
                <c:ptCount val="1"/>
                <c:pt idx="0">
                  <c:v>MDK</c:v>
                </c:pt>
              </c:strCache>
            </c:strRef>
          </c:tx>
          <c:spPr>
            <a:ln w="3175">
              <a:solidFill>
                <a:sysClr val="windowText" lastClr="000000"/>
              </a:solidFill>
            </a:ln>
          </c:spPr>
          <c:marker>
            <c:symbol val="none"/>
          </c:marker>
          <c:xVal>
            <c:numRef>
              <c:f>Tools!$O$234:$P$234</c:f>
              <c:numCache>
                <c:formatCode>General</c:formatCode>
                <c:ptCount val="2"/>
                <c:pt idx="0">
                  <c:v>0</c:v>
                </c:pt>
                <c:pt idx="1">
                  <c:v>20</c:v>
                </c:pt>
              </c:numCache>
            </c:numRef>
          </c:xVal>
          <c:yVal>
            <c:numRef>
              <c:f>Tools!$O$235:$P$235</c:f>
              <c:numCache>
                <c:formatCode>General</c:formatCode>
                <c:ptCount val="2"/>
                <c:pt idx="0">
                  <c:v>13</c:v>
                </c:pt>
                <c:pt idx="1">
                  <c:v>13</c:v>
                </c:pt>
              </c:numCache>
            </c:numRef>
          </c:yVal>
          <c:smooth val="1"/>
        </c:ser>
        <c:ser>
          <c:idx val="26"/>
          <c:order val="24"/>
          <c:tx>
            <c:strRef>
              <c:f>Tools!$R$234</c:f>
              <c:strCache>
                <c:ptCount val="1"/>
                <c:pt idx="0">
                  <c:v>LWL</c:v>
                </c:pt>
              </c:strCache>
            </c:strRef>
          </c:tx>
          <c:spPr>
            <a:ln w="3175">
              <a:solidFill>
                <a:sysClr val="windowText" lastClr="000000"/>
              </a:solidFill>
            </a:ln>
          </c:spPr>
          <c:marker>
            <c:symbol val="none"/>
          </c:marker>
          <c:xVal>
            <c:numRef>
              <c:f>Tools!$S$234:$T$234</c:f>
              <c:numCache>
                <c:formatCode>General</c:formatCode>
                <c:ptCount val="2"/>
                <c:pt idx="0">
                  <c:v>0</c:v>
                </c:pt>
                <c:pt idx="1">
                  <c:v>20</c:v>
                </c:pt>
              </c:numCache>
            </c:numRef>
          </c:xVal>
          <c:yVal>
            <c:numRef>
              <c:f>Tools!$S$235:$T$235</c:f>
              <c:numCache>
                <c:formatCode>General</c:formatCode>
                <c:ptCount val="2"/>
                <c:pt idx="0">
                  <c:v>9.6999999999999993</c:v>
                </c:pt>
                <c:pt idx="1">
                  <c:v>9.6999999999999993</c:v>
                </c:pt>
              </c:numCache>
            </c:numRef>
          </c:yVal>
          <c:smooth val="1"/>
        </c:ser>
        <c:ser>
          <c:idx val="23"/>
          <c:order val="25"/>
          <c:tx>
            <c:strRef>
              <c:f>Tools!$F$234</c:f>
              <c:strCache>
                <c:ptCount val="1"/>
                <c:pt idx="0">
                  <c:v>2nd Origin</c:v>
                </c:pt>
              </c:strCache>
            </c:strRef>
          </c:tx>
          <c:spPr>
            <a:ln w="3175">
              <a:solidFill>
                <a:sysClr val="windowText" lastClr="000000"/>
              </a:solidFill>
            </a:ln>
          </c:spPr>
          <c:marker>
            <c:symbol val="none"/>
          </c:marker>
          <c:xVal>
            <c:numRef>
              <c:f>Tools!$G$234:$H$234</c:f>
              <c:numCache>
                <c:formatCode>General</c:formatCode>
                <c:ptCount val="2"/>
                <c:pt idx="0">
                  <c:v>10</c:v>
                </c:pt>
                <c:pt idx="1">
                  <c:v>10</c:v>
                </c:pt>
              </c:numCache>
            </c:numRef>
          </c:xVal>
          <c:yVal>
            <c:numRef>
              <c:f>Tools!$G$235:$H$235</c:f>
              <c:numCache>
                <c:formatCode>General</c:formatCode>
                <c:ptCount val="2"/>
                <c:pt idx="0">
                  <c:v>0</c:v>
                </c:pt>
                <c:pt idx="1">
                  <c:v>13</c:v>
                </c:pt>
              </c:numCache>
            </c:numRef>
          </c:yVal>
          <c:smooth val="1"/>
        </c:ser>
        <c:ser>
          <c:idx val="24"/>
          <c:order val="26"/>
          <c:tx>
            <c:strRef>
              <c:f>Tools!$J$234</c:f>
              <c:strCache>
                <c:ptCount val="1"/>
                <c:pt idx="0">
                  <c:v>end</c:v>
                </c:pt>
              </c:strCache>
            </c:strRef>
          </c:tx>
          <c:spPr>
            <a:ln w="3175">
              <a:solidFill>
                <a:sysClr val="windowText" lastClr="000000"/>
              </a:solidFill>
            </a:ln>
          </c:spPr>
          <c:marker>
            <c:symbol val="none"/>
          </c:marker>
          <c:xVal>
            <c:numRef>
              <c:f>Tools!$K$234:$L$234</c:f>
              <c:numCache>
                <c:formatCode>General</c:formatCode>
                <c:ptCount val="2"/>
                <c:pt idx="0">
                  <c:v>20</c:v>
                </c:pt>
                <c:pt idx="1">
                  <c:v>20</c:v>
                </c:pt>
              </c:numCache>
            </c:numRef>
          </c:xVal>
          <c:yVal>
            <c:numRef>
              <c:f>Tools!$K$235:$L$235</c:f>
              <c:numCache>
                <c:formatCode>General</c:formatCode>
                <c:ptCount val="2"/>
                <c:pt idx="0">
                  <c:v>0</c:v>
                </c:pt>
                <c:pt idx="1">
                  <c:v>13</c:v>
                </c:pt>
              </c:numCache>
            </c:numRef>
          </c:yVal>
          <c:smooth val="1"/>
        </c:ser>
        <c:dLbls>
          <c:showLegendKey val="0"/>
          <c:showVal val="0"/>
          <c:showCatName val="0"/>
          <c:showSerName val="0"/>
          <c:showPercent val="0"/>
          <c:showBubbleSize val="0"/>
        </c:dLbls>
        <c:axId val="990855936"/>
        <c:axId val="990857472"/>
      </c:scatterChart>
      <c:valAx>
        <c:axId val="990855936"/>
        <c:scaling>
          <c:orientation val="minMax"/>
          <c:max val="20.2"/>
          <c:min val="0"/>
        </c:scaling>
        <c:delete val="0"/>
        <c:axPos val="b"/>
        <c:numFmt formatCode="General" sourceLinked="1"/>
        <c:majorTickMark val="out"/>
        <c:minorTickMark val="none"/>
        <c:tickLblPos val="nextTo"/>
        <c:txPr>
          <a:bodyPr/>
          <a:lstStyle/>
          <a:p>
            <a:pPr>
              <a:defRPr>
                <a:solidFill>
                  <a:schemeClr val="bg1"/>
                </a:solidFill>
              </a:defRPr>
            </a:pPr>
            <a:endParaRPr lang="en-US"/>
          </a:p>
        </c:txPr>
        <c:crossAx val="990857472"/>
        <c:crosses val="autoZero"/>
        <c:crossBetween val="midCat"/>
        <c:majorUnit val="1"/>
      </c:valAx>
      <c:valAx>
        <c:axId val="990857472"/>
        <c:scaling>
          <c:orientation val="minMax"/>
        </c:scaling>
        <c:delete val="0"/>
        <c:axPos val="l"/>
        <c:majorGridlines>
          <c:spPr>
            <a:ln>
              <a:solidFill>
                <a:schemeClr val="bg1">
                  <a:lumMod val="85000"/>
                </a:schemeClr>
              </a:solidFill>
            </a:ln>
          </c:spPr>
        </c:majorGridlines>
        <c:numFmt formatCode="General" sourceLinked="1"/>
        <c:majorTickMark val="out"/>
        <c:minorTickMark val="none"/>
        <c:tickLblPos val="nextTo"/>
        <c:crossAx val="990855936"/>
        <c:crosses val="autoZero"/>
        <c:crossBetween val="midCat"/>
      </c:valAx>
    </c:plotArea>
    <c:legend>
      <c:legendPos val="r"/>
      <c:legendEntry>
        <c:idx val="26"/>
        <c:txPr>
          <a:bodyPr/>
          <a:lstStyle/>
          <a:p>
            <a:pPr>
              <a:defRPr sz="1000">
                <a:solidFill>
                  <a:schemeClr val="bg1"/>
                </a:solidFill>
              </a:defRPr>
            </a:pPr>
            <a:endParaRPr lang="en-US"/>
          </a:p>
        </c:txPr>
      </c:legendEntry>
      <c:layout>
        <c:manualLayout>
          <c:xMode val="edge"/>
          <c:yMode val="edge"/>
          <c:x val="0.84695929473912412"/>
          <c:y val="0.14136211784265951"/>
          <c:w val="0.14808009873181413"/>
          <c:h val="0.68705131253841345"/>
        </c:manualLayout>
      </c:layout>
      <c:overlay val="0"/>
      <c:txPr>
        <a:bodyPr/>
        <a:lstStyle/>
        <a:p>
          <a:pPr>
            <a:defRPr sz="1000"/>
          </a:pPr>
          <a:endParaRPr lang="en-US"/>
        </a:p>
      </c:txPr>
    </c:legend>
    <c:plotVisOnly val="1"/>
    <c:dispBlanksAs val="gap"/>
    <c:showDLblsOverMax val="0"/>
  </c:chart>
  <c:printSettings>
    <c:headerFooter/>
    <c:pageMargins b="0.75" l="0.7" r="0.7" t="0.75" header="0.3" footer="0.3"/>
    <c:pageSetup/>
  </c:printSettings>
  <c:userShapes r:id="rId1"/>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I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Bonjean Area &amp; Moment</a:t>
            </a:r>
          </a:p>
        </c:rich>
      </c:tx>
      <c:layout>
        <c:manualLayout>
          <c:xMode val="edge"/>
          <c:yMode val="edge"/>
          <c:x val="0.42948604779516442"/>
          <c:y val="1.940765818769585E-2"/>
        </c:manualLayout>
      </c:layout>
      <c:overlay val="0"/>
    </c:title>
    <c:autoTitleDeleted val="0"/>
    <c:plotArea>
      <c:layout>
        <c:manualLayout>
          <c:layoutTarget val="inner"/>
          <c:xMode val="edge"/>
          <c:yMode val="edge"/>
          <c:x val="1.1993482053380604E-2"/>
          <c:y val="9.0155667319992347E-2"/>
          <c:w val="0.97876077016654528"/>
          <c:h val="0.84038805710785291"/>
        </c:manualLayout>
      </c:layout>
      <c:scatterChart>
        <c:scatterStyle val="smoothMarker"/>
        <c:varyColors val="0"/>
        <c:ser>
          <c:idx val="0"/>
          <c:order val="0"/>
          <c:tx>
            <c:strRef>
              <c:f>Tools!$CK$5</c:f>
              <c:strCache>
                <c:ptCount val="1"/>
                <c:pt idx="0">
                  <c:v>0</c:v>
                </c:pt>
              </c:strCache>
            </c:strRef>
          </c:tx>
          <c:spPr>
            <a:ln w="3175">
              <a:solidFill>
                <a:schemeClr val="accent5">
                  <a:lumMod val="75000"/>
                </a:schemeClr>
              </a:solidFill>
            </a:ln>
          </c:spPr>
          <c:marker>
            <c:symbol val="none"/>
          </c:marker>
          <c:xVal>
            <c:numRef>
              <c:f>Tools!$CL$5:$DJ$5</c:f>
              <c:numCache>
                <c:formatCode>General</c:formatCode>
                <c:ptCount val="25"/>
                <c:pt idx="0">
                  <c:v>0</c:v>
                </c:pt>
                <c:pt idx="1">
                  <c:v>0</c:v>
                </c:pt>
                <c:pt idx="2">
                  <c:v>0</c:v>
                </c:pt>
                <c:pt idx="3">
                  <c:v>0</c:v>
                </c:pt>
                <c:pt idx="4">
                  <c:v>0</c:v>
                </c:pt>
                <c:pt idx="5">
                  <c:v>0</c:v>
                </c:pt>
                <c:pt idx="6">
                  <c:v>0</c:v>
                </c:pt>
                <c:pt idx="7">
                  <c:v>2.4623803009575927E-3</c:v>
                </c:pt>
                <c:pt idx="8">
                  <c:v>1.869493844049247E-2</c:v>
                </c:pt>
                <c:pt idx="9">
                  <c:v>2.3657090743274056E-2</c:v>
                </c:pt>
                <c:pt idx="10">
                  <c:v>6.0829913360693107E-2</c:v>
                </c:pt>
                <c:pt idx="11">
                  <c:v>8.2881896944824424E-2</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xVal>
          <c:yVal>
            <c:numRef>
              <c:f>Tools!$CL$4:$DJ$4</c:f>
              <c:numCache>
                <c:formatCode>General</c:formatCode>
                <c:ptCount val="25"/>
                <c:pt idx="0">
                  <c:v>0</c:v>
                </c:pt>
                <c:pt idx="1">
                  <c:v>0.25</c:v>
                </c:pt>
                <c:pt idx="2">
                  <c:v>0.5</c:v>
                </c:pt>
                <c:pt idx="3">
                  <c:v>0.75</c:v>
                </c:pt>
                <c:pt idx="4">
                  <c:v>1</c:v>
                </c:pt>
                <c:pt idx="5">
                  <c:v>2</c:v>
                </c:pt>
                <c:pt idx="6">
                  <c:v>3</c:v>
                </c:pt>
                <c:pt idx="7">
                  <c:v>4</c:v>
                </c:pt>
                <c:pt idx="8">
                  <c:v>4.8499999999999996</c:v>
                </c:pt>
                <c:pt idx="9">
                  <c:v>5</c:v>
                </c:pt>
                <c:pt idx="10">
                  <c:v>6</c:v>
                </c:pt>
                <c:pt idx="11">
                  <c:v>6.5</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yVal>
          <c:smooth val="1"/>
        </c:ser>
        <c:ser>
          <c:idx val="1"/>
          <c:order val="1"/>
          <c:tx>
            <c:strRef>
              <c:f>Tools!$CK$6</c:f>
              <c:strCache>
                <c:ptCount val="1"/>
                <c:pt idx="0">
                  <c:v>0.5</c:v>
                </c:pt>
              </c:strCache>
            </c:strRef>
          </c:tx>
          <c:spPr>
            <a:ln w="3175">
              <a:solidFill>
                <a:schemeClr val="accent5">
                  <a:lumMod val="75000"/>
                </a:schemeClr>
              </a:solidFill>
            </a:ln>
          </c:spPr>
          <c:marker>
            <c:symbol val="none"/>
          </c:marker>
          <c:xVal>
            <c:numRef>
              <c:f>Tools!$CL$6:$DJ$6</c:f>
              <c:numCache>
                <c:formatCode>General</c:formatCode>
                <c:ptCount val="25"/>
                <c:pt idx="0">
                  <c:v>0.5</c:v>
                </c:pt>
                <c:pt idx="1">
                  <c:v>0.50043319653442775</c:v>
                </c:pt>
                <c:pt idx="2">
                  <c:v>0.50100319197446419</c:v>
                </c:pt>
                <c:pt idx="3">
                  <c:v>0.5015367077063384</c:v>
                </c:pt>
                <c:pt idx="4">
                  <c:v>0.50217966256269952</c:v>
                </c:pt>
                <c:pt idx="5">
                  <c:v>0.50512539899680797</c:v>
                </c:pt>
                <c:pt idx="6">
                  <c:v>0.51031463748290018</c:v>
                </c:pt>
                <c:pt idx="7">
                  <c:v>0.52482444140446882</c:v>
                </c:pt>
                <c:pt idx="8">
                  <c:v>0.55556862745098035</c:v>
                </c:pt>
                <c:pt idx="9">
                  <c:v>0.56419516643866852</c:v>
                </c:pt>
                <c:pt idx="10">
                  <c:v>0.61755585955312364</c:v>
                </c:pt>
                <c:pt idx="11">
                  <c:v>0.64841769265845872</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xVal>
          <c:yVal>
            <c:numRef>
              <c:f>Tools!$CL$4:$DJ$4</c:f>
              <c:numCache>
                <c:formatCode>General</c:formatCode>
                <c:ptCount val="25"/>
                <c:pt idx="0">
                  <c:v>0</c:v>
                </c:pt>
                <c:pt idx="1">
                  <c:v>0.25</c:v>
                </c:pt>
                <c:pt idx="2">
                  <c:v>0.5</c:v>
                </c:pt>
                <c:pt idx="3">
                  <c:v>0.75</c:v>
                </c:pt>
                <c:pt idx="4">
                  <c:v>1</c:v>
                </c:pt>
                <c:pt idx="5">
                  <c:v>2</c:v>
                </c:pt>
                <c:pt idx="6">
                  <c:v>3</c:v>
                </c:pt>
                <c:pt idx="7">
                  <c:v>4</c:v>
                </c:pt>
                <c:pt idx="8">
                  <c:v>4.8499999999999996</c:v>
                </c:pt>
                <c:pt idx="9">
                  <c:v>5</c:v>
                </c:pt>
                <c:pt idx="10">
                  <c:v>6</c:v>
                </c:pt>
                <c:pt idx="11">
                  <c:v>6.5</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yVal>
          <c:smooth val="1"/>
        </c:ser>
        <c:ser>
          <c:idx val="2"/>
          <c:order val="2"/>
          <c:tx>
            <c:strRef>
              <c:f>Tools!$CK$7</c:f>
              <c:strCache>
                <c:ptCount val="1"/>
                <c:pt idx="0">
                  <c:v>1</c:v>
                </c:pt>
              </c:strCache>
            </c:strRef>
          </c:tx>
          <c:spPr>
            <a:ln w="3175">
              <a:solidFill>
                <a:schemeClr val="accent5">
                  <a:lumMod val="75000"/>
                </a:schemeClr>
              </a:solidFill>
            </a:ln>
          </c:spPr>
          <c:marker>
            <c:symbol val="none"/>
          </c:marker>
          <c:xVal>
            <c:numRef>
              <c:f>Tools!$CL$7:$DJ$7</c:f>
              <c:numCache>
                <c:formatCode>General</c:formatCode>
                <c:ptCount val="25"/>
                <c:pt idx="0">
                  <c:v>1</c:v>
                </c:pt>
                <c:pt idx="1">
                  <c:v>1.0010989512083903</c:v>
                </c:pt>
                <c:pt idx="2">
                  <c:v>1.0027177382580938</c:v>
                </c:pt>
                <c:pt idx="3">
                  <c:v>1.0047925216598268</c:v>
                </c:pt>
                <c:pt idx="4">
                  <c:v>1.0072594619243047</c:v>
                </c:pt>
                <c:pt idx="5">
                  <c:v>1.0201641586867305</c:v>
                </c:pt>
                <c:pt idx="6">
                  <c:v>1.0401276789785681</c:v>
                </c:pt>
                <c:pt idx="7">
                  <c:v>1.0731691746466028</c:v>
                </c:pt>
                <c:pt idx="8">
                  <c:v>1.1177273141814865</c:v>
                </c:pt>
                <c:pt idx="9">
                  <c:v>1.1280072959416325</c:v>
                </c:pt>
                <c:pt idx="10">
                  <c:v>1.1969448244414045</c:v>
                </c:pt>
                <c:pt idx="11">
                  <c:v>1.2354400364797082</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xVal>
          <c:yVal>
            <c:numRef>
              <c:f>Tools!$CL$4:$DJ$4</c:f>
              <c:numCache>
                <c:formatCode>General</c:formatCode>
                <c:ptCount val="25"/>
                <c:pt idx="0">
                  <c:v>0</c:v>
                </c:pt>
                <c:pt idx="1">
                  <c:v>0.25</c:v>
                </c:pt>
                <c:pt idx="2">
                  <c:v>0.5</c:v>
                </c:pt>
                <c:pt idx="3">
                  <c:v>0.75</c:v>
                </c:pt>
                <c:pt idx="4">
                  <c:v>1</c:v>
                </c:pt>
                <c:pt idx="5">
                  <c:v>2</c:v>
                </c:pt>
                <c:pt idx="6">
                  <c:v>3</c:v>
                </c:pt>
                <c:pt idx="7">
                  <c:v>4</c:v>
                </c:pt>
                <c:pt idx="8">
                  <c:v>4.8499999999999996</c:v>
                </c:pt>
                <c:pt idx="9">
                  <c:v>5</c:v>
                </c:pt>
                <c:pt idx="10">
                  <c:v>6</c:v>
                </c:pt>
                <c:pt idx="11">
                  <c:v>6.5</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yVal>
          <c:smooth val="1"/>
        </c:ser>
        <c:ser>
          <c:idx val="3"/>
          <c:order val="3"/>
          <c:tx>
            <c:strRef>
              <c:f>Tools!$CK$8</c:f>
              <c:strCache>
                <c:ptCount val="1"/>
                <c:pt idx="0">
                  <c:v>1.5</c:v>
                </c:pt>
              </c:strCache>
            </c:strRef>
          </c:tx>
          <c:spPr>
            <a:ln w="3175">
              <a:solidFill>
                <a:schemeClr val="accent5">
                  <a:lumMod val="75000"/>
                </a:schemeClr>
              </a:solidFill>
            </a:ln>
          </c:spPr>
          <c:marker>
            <c:symbol val="none"/>
          </c:marker>
          <c:xVal>
            <c:numRef>
              <c:f>Tools!$CL$8:$DJ$8</c:f>
              <c:numCache>
                <c:formatCode>General</c:formatCode>
                <c:ptCount val="25"/>
                <c:pt idx="0">
                  <c:v>1.5</c:v>
                </c:pt>
                <c:pt idx="1">
                  <c:v>1.5020679434564523</c:v>
                </c:pt>
                <c:pt idx="2">
                  <c:v>1.505298677610579</c:v>
                </c:pt>
                <c:pt idx="3">
                  <c:v>1.5094003647970817</c:v>
                </c:pt>
                <c:pt idx="4">
                  <c:v>1.5142726858185134</c:v>
                </c:pt>
                <c:pt idx="5">
                  <c:v>1.5398723210214318</c:v>
                </c:pt>
                <c:pt idx="6">
                  <c:v>1.57625170998632</c:v>
                </c:pt>
                <c:pt idx="7">
                  <c:v>1.6265116279069767</c:v>
                </c:pt>
                <c:pt idx="8">
                  <c:v>1.683813953488372</c:v>
                </c:pt>
                <c:pt idx="9">
                  <c:v>1.6961605107159143</c:v>
                </c:pt>
                <c:pt idx="10">
                  <c:v>1.7779753761969905</c:v>
                </c:pt>
                <c:pt idx="11">
                  <c:v>1.8228454172366622</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xVal>
          <c:yVal>
            <c:numRef>
              <c:f>Tools!$CL$4:$DJ$4</c:f>
              <c:numCache>
                <c:formatCode>General</c:formatCode>
                <c:ptCount val="25"/>
                <c:pt idx="0">
                  <c:v>0</c:v>
                </c:pt>
                <c:pt idx="1">
                  <c:v>0.25</c:v>
                </c:pt>
                <c:pt idx="2">
                  <c:v>0.5</c:v>
                </c:pt>
                <c:pt idx="3">
                  <c:v>0.75</c:v>
                </c:pt>
                <c:pt idx="4">
                  <c:v>1</c:v>
                </c:pt>
                <c:pt idx="5">
                  <c:v>2</c:v>
                </c:pt>
                <c:pt idx="6">
                  <c:v>3</c:v>
                </c:pt>
                <c:pt idx="7">
                  <c:v>4</c:v>
                </c:pt>
                <c:pt idx="8">
                  <c:v>4.8499999999999996</c:v>
                </c:pt>
                <c:pt idx="9">
                  <c:v>5</c:v>
                </c:pt>
                <c:pt idx="10">
                  <c:v>6</c:v>
                </c:pt>
                <c:pt idx="11">
                  <c:v>6.5</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yVal>
          <c:smooth val="1"/>
        </c:ser>
        <c:ser>
          <c:idx val="4"/>
          <c:order val="4"/>
          <c:tx>
            <c:strRef>
              <c:f>Tools!$CK$9</c:f>
              <c:strCache>
                <c:ptCount val="1"/>
                <c:pt idx="0">
                  <c:v>2</c:v>
                </c:pt>
              </c:strCache>
            </c:strRef>
          </c:tx>
          <c:spPr>
            <a:ln w="3175">
              <a:solidFill>
                <a:schemeClr val="accent5">
                  <a:lumMod val="75000"/>
                </a:schemeClr>
              </a:solidFill>
            </a:ln>
          </c:spPr>
          <c:marker>
            <c:symbol val="none"/>
          </c:marker>
          <c:xVal>
            <c:numRef>
              <c:f>Tools!$CL$9:$DJ$9</c:f>
              <c:numCache>
                <c:formatCode>General</c:formatCode>
                <c:ptCount val="25"/>
                <c:pt idx="0">
                  <c:v>2</c:v>
                </c:pt>
                <c:pt idx="1">
                  <c:v>2.0034382124943</c:v>
                </c:pt>
                <c:pt idx="2">
                  <c:v>2.0085727314181487</c:v>
                </c:pt>
                <c:pt idx="3">
                  <c:v>2.0150569995440035</c:v>
                </c:pt>
                <c:pt idx="4">
                  <c:v>2.0226447788417694</c:v>
                </c:pt>
                <c:pt idx="5">
                  <c:v>2.0616142270861832</c:v>
                </c:pt>
                <c:pt idx="6">
                  <c:v>2.1134427724578204</c:v>
                </c:pt>
                <c:pt idx="7">
                  <c:v>2.1783128134974921</c:v>
                </c:pt>
                <c:pt idx="8">
                  <c:v>2.2461732786137709</c:v>
                </c:pt>
                <c:pt idx="9">
                  <c:v>2.2597993616051073</c:v>
                </c:pt>
                <c:pt idx="10">
                  <c:v>2.3526858185134518</c:v>
                </c:pt>
                <c:pt idx="11">
                  <c:v>2.4025900592795257</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xVal>
          <c:yVal>
            <c:numRef>
              <c:f>Tools!$CL$4:$DJ$4</c:f>
              <c:numCache>
                <c:formatCode>General</c:formatCode>
                <c:ptCount val="25"/>
                <c:pt idx="0">
                  <c:v>0</c:v>
                </c:pt>
                <c:pt idx="1">
                  <c:v>0.25</c:v>
                </c:pt>
                <c:pt idx="2">
                  <c:v>0.5</c:v>
                </c:pt>
                <c:pt idx="3">
                  <c:v>0.75</c:v>
                </c:pt>
                <c:pt idx="4">
                  <c:v>1</c:v>
                </c:pt>
                <c:pt idx="5">
                  <c:v>2</c:v>
                </c:pt>
                <c:pt idx="6">
                  <c:v>3</c:v>
                </c:pt>
                <c:pt idx="7">
                  <c:v>4</c:v>
                </c:pt>
                <c:pt idx="8">
                  <c:v>4.8499999999999996</c:v>
                </c:pt>
                <c:pt idx="9">
                  <c:v>5</c:v>
                </c:pt>
                <c:pt idx="10">
                  <c:v>6</c:v>
                </c:pt>
                <c:pt idx="11">
                  <c:v>6.5</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yVal>
          <c:smooth val="1"/>
        </c:ser>
        <c:ser>
          <c:idx val="5"/>
          <c:order val="5"/>
          <c:tx>
            <c:strRef>
              <c:f>Tools!$CK$10</c:f>
              <c:strCache>
                <c:ptCount val="1"/>
                <c:pt idx="0">
                  <c:v>3</c:v>
                </c:pt>
              </c:strCache>
            </c:strRef>
          </c:tx>
          <c:spPr>
            <a:ln w="3175">
              <a:solidFill>
                <a:schemeClr val="accent5">
                  <a:lumMod val="75000"/>
                </a:schemeClr>
              </a:solidFill>
            </a:ln>
          </c:spPr>
          <c:marker>
            <c:symbol val="none"/>
          </c:marker>
          <c:xVal>
            <c:numRef>
              <c:f>Tools!$CL$10:$DJ$10</c:f>
              <c:numCache>
                <c:formatCode>General</c:formatCode>
                <c:ptCount val="25"/>
                <c:pt idx="0">
                  <c:v>3</c:v>
                </c:pt>
                <c:pt idx="1">
                  <c:v>3.0072708618331054</c:v>
                </c:pt>
                <c:pt idx="2">
                  <c:v>3.0176470588235293</c:v>
                </c:pt>
                <c:pt idx="3">
                  <c:v>3.0298153214774284</c:v>
                </c:pt>
                <c:pt idx="4">
                  <c:v>3.0433652530779756</c:v>
                </c:pt>
                <c:pt idx="5">
                  <c:v>3.1084359325125397</c:v>
                </c:pt>
                <c:pt idx="6">
                  <c:v>3.1877884176926585</c:v>
                </c:pt>
                <c:pt idx="7">
                  <c:v>3.2775558595531233</c:v>
                </c:pt>
                <c:pt idx="8">
                  <c:v>3.3616488828089377</c:v>
                </c:pt>
                <c:pt idx="9">
                  <c:v>3.3771181030551753</c:v>
                </c:pt>
                <c:pt idx="10">
                  <c:v>3.4851618787049703</c:v>
                </c:pt>
                <c:pt idx="11">
                  <c:v>3.5413588691290467</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xVal>
          <c:yVal>
            <c:numRef>
              <c:f>Tools!$CL$4:$DJ$4</c:f>
              <c:numCache>
                <c:formatCode>General</c:formatCode>
                <c:ptCount val="25"/>
                <c:pt idx="0">
                  <c:v>0</c:v>
                </c:pt>
                <c:pt idx="1">
                  <c:v>0.25</c:v>
                </c:pt>
                <c:pt idx="2">
                  <c:v>0.5</c:v>
                </c:pt>
                <c:pt idx="3">
                  <c:v>0.75</c:v>
                </c:pt>
                <c:pt idx="4">
                  <c:v>1</c:v>
                </c:pt>
                <c:pt idx="5">
                  <c:v>2</c:v>
                </c:pt>
                <c:pt idx="6">
                  <c:v>3</c:v>
                </c:pt>
                <c:pt idx="7">
                  <c:v>4</c:v>
                </c:pt>
                <c:pt idx="8">
                  <c:v>4.8499999999999996</c:v>
                </c:pt>
                <c:pt idx="9">
                  <c:v>5</c:v>
                </c:pt>
                <c:pt idx="10">
                  <c:v>6</c:v>
                </c:pt>
                <c:pt idx="11">
                  <c:v>6.5</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yVal>
          <c:smooth val="1"/>
        </c:ser>
        <c:ser>
          <c:idx val="6"/>
          <c:order val="6"/>
          <c:tx>
            <c:strRef>
              <c:f>Tools!$CK$11</c:f>
              <c:strCache>
                <c:ptCount val="1"/>
                <c:pt idx="0">
                  <c:v>4</c:v>
                </c:pt>
              </c:strCache>
            </c:strRef>
          </c:tx>
          <c:spPr>
            <a:ln w="3175"/>
          </c:spPr>
          <c:marker>
            <c:symbol val="none"/>
          </c:marker>
          <c:xVal>
            <c:numRef>
              <c:f>Tools!$CL$11:$DJ$11</c:f>
              <c:numCache>
                <c:formatCode>General</c:formatCode>
                <c:ptCount val="25"/>
                <c:pt idx="0">
                  <c:v>4</c:v>
                </c:pt>
                <c:pt idx="1">
                  <c:v>4.0126265389876883</c:v>
                </c:pt>
                <c:pt idx="2">
                  <c:v>4.0286183310533517</c:v>
                </c:pt>
                <c:pt idx="3">
                  <c:v>4.0465526675786592</c:v>
                </c:pt>
                <c:pt idx="4">
                  <c:v>4.0658914728682172</c:v>
                </c:pt>
                <c:pt idx="5">
                  <c:v>4.1533333333333333</c:v>
                </c:pt>
                <c:pt idx="6">
                  <c:v>4.2525946192430464</c:v>
                </c:pt>
                <c:pt idx="7">
                  <c:v>4.3594801641586871</c:v>
                </c:pt>
                <c:pt idx="8">
                  <c:v>4.4550615595075236</c:v>
                </c:pt>
                <c:pt idx="9">
                  <c:v>4.4727496580027362</c:v>
                </c:pt>
                <c:pt idx="10">
                  <c:v>4.5889375284997715</c:v>
                </c:pt>
                <c:pt idx="11">
                  <c:v>4.6482261741906061</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xVal>
          <c:yVal>
            <c:numRef>
              <c:f>Tools!$CL$4:$DJ$4</c:f>
              <c:numCache>
                <c:formatCode>General</c:formatCode>
                <c:ptCount val="25"/>
                <c:pt idx="0">
                  <c:v>0</c:v>
                </c:pt>
                <c:pt idx="1">
                  <c:v>0.25</c:v>
                </c:pt>
                <c:pt idx="2">
                  <c:v>0.5</c:v>
                </c:pt>
                <c:pt idx="3">
                  <c:v>0.75</c:v>
                </c:pt>
                <c:pt idx="4">
                  <c:v>1</c:v>
                </c:pt>
                <c:pt idx="5">
                  <c:v>2</c:v>
                </c:pt>
                <c:pt idx="6">
                  <c:v>3</c:v>
                </c:pt>
                <c:pt idx="7">
                  <c:v>4</c:v>
                </c:pt>
                <c:pt idx="8">
                  <c:v>4.8499999999999996</c:v>
                </c:pt>
                <c:pt idx="9">
                  <c:v>5</c:v>
                </c:pt>
                <c:pt idx="10">
                  <c:v>6</c:v>
                </c:pt>
                <c:pt idx="11">
                  <c:v>6.5</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yVal>
          <c:smooth val="1"/>
        </c:ser>
        <c:ser>
          <c:idx val="7"/>
          <c:order val="7"/>
          <c:tx>
            <c:strRef>
              <c:f>Tools!$CK$12</c:f>
              <c:strCache>
                <c:ptCount val="1"/>
                <c:pt idx="0">
                  <c:v>5</c:v>
                </c:pt>
              </c:strCache>
            </c:strRef>
          </c:tx>
          <c:spPr>
            <a:ln w="3175">
              <a:solidFill>
                <a:schemeClr val="accent5">
                  <a:lumMod val="75000"/>
                </a:schemeClr>
              </a:solidFill>
            </a:ln>
          </c:spPr>
          <c:marker>
            <c:symbol val="none"/>
          </c:marker>
          <c:xVal>
            <c:numRef>
              <c:f>Tools!$CL$12:$DJ$12</c:f>
              <c:numCache>
                <c:formatCode>General</c:formatCode>
                <c:ptCount val="25"/>
                <c:pt idx="0">
                  <c:v>5</c:v>
                </c:pt>
                <c:pt idx="1">
                  <c:v>5.0181167350661191</c:v>
                </c:pt>
                <c:pt idx="2">
                  <c:v>5.0392704058367537</c:v>
                </c:pt>
                <c:pt idx="3">
                  <c:v>5.062293661650707</c:v>
                </c:pt>
                <c:pt idx="4">
                  <c:v>5.0866849065207482</c:v>
                </c:pt>
                <c:pt idx="5">
                  <c:v>5.1912448700410394</c:v>
                </c:pt>
                <c:pt idx="6">
                  <c:v>5.3025353397172825</c:v>
                </c:pt>
                <c:pt idx="7">
                  <c:v>5.4164341085271319</c:v>
                </c:pt>
                <c:pt idx="8">
                  <c:v>5.5155038759689923</c:v>
                </c:pt>
                <c:pt idx="9">
                  <c:v>5.5336707706338348</c:v>
                </c:pt>
                <c:pt idx="10">
                  <c:v>5.6515093479252165</c:v>
                </c:pt>
                <c:pt idx="11">
                  <c:v>5.7114272685818515</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xVal>
          <c:yVal>
            <c:numRef>
              <c:f>Tools!$CL$4:$DJ$4</c:f>
              <c:numCache>
                <c:formatCode>General</c:formatCode>
                <c:ptCount val="25"/>
                <c:pt idx="0">
                  <c:v>0</c:v>
                </c:pt>
                <c:pt idx="1">
                  <c:v>0.25</c:v>
                </c:pt>
                <c:pt idx="2">
                  <c:v>0.5</c:v>
                </c:pt>
                <c:pt idx="3">
                  <c:v>0.75</c:v>
                </c:pt>
                <c:pt idx="4">
                  <c:v>1</c:v>
                </c:pt>
                <c:pt idx="5">
                  <c:v>2</c:v>
                </c:pt>
                <c:pt idx="6">
                  <c:v>3</c:v>
                </c:pt>
                <c:pt idx="7">
                  <c:v>4</c:v>
                </c:pt>
                <c:pt idx="8">
                  <c:v>4.8499999999999996</c:v>
                </c:pt>
                <c:pt idx="9">
                  <c:v>5</c:v>
                </c:pt>
                <c:pt idx="10">
                  <c:v>6</c:v>
                </c:pt>
                <c:pt idx="11">
                  <c:v>6.5</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yVal>
          <c:smooth val="1"/>
        </c:ser>
        <c:ser>
          <c:idx val="8"/>
          <c:order val="8"/>
          <c:tx>
            <c:strRef>
              <c:f>Tools!$CK$13</c:f>
              <c:strCache>
                <c:ptCount val="1"/>
                <c:pt idx="0">
                  <c:v>6</c:v>
                </c:pt>
              </c:strCache>
            </c:strRef>
          </c:tx>
          <c:spPr>
            <a:ln w="3175">
              <a:solidFill>
                <a:schemeClr val="accent5">
                  <a:lumMod val="75000"/>
                </a:schemeClr>
              </a:solidFill>
            </a:ln>
          </c:spPr>
          <c:marker>
            <c:symbol val="none"/>
          </c:marker>
          <c:xVal>
            <c:numRef>
              <c:f>Tools!$CL$13:$DJ$13</c:f>
              <c:numCache>
                <c:formatCode>General</c:formatCode>
                <c:ptCount val="25"/>
                <c:pt idx="0">
                  <c:v>6</c:v>
                </c:pt>
                <c:pt idx="1">
                  <c:v>6.0230734154126768</c:v>
                </c:pt>
                <c:pt idx="2">
                  <c:v>6.0483356133150936</c:v>
                </c:pt>
                <c:pt idx="3">
                  <c:v>6.0749110807113542</c:v>
                </c:pt>
                <c:pt idx="4">
                  <c:v>6.1025626994984039</c:v>
                </c:pt>
                <c:pt idx="5">
                  <c:v>6.2179297765617871</c:v>
                </c:pt>
                <c:pt idx="6">
                  <c:v>6.3371272229822164</c:v>
                </c:pt>
                <c:pt idx="7">
                  <c:v>6.4565070679434564</c:v>
                </c:pt>
                <c:pt idx="8">
                  <c:v>6.5588326493388056</c:v>
                </c:pt>
                <c:pt idx="9">
                  <c:v>6.5775284997720016</c:v>
                </c:pt>
                <c:pt idx="10">
                  <c:v>6.6972731418148657</c:v>
                </c:pt>
                <c:pt idx="11">
                  <c:v>6.757464660282718</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xVal>
          <c:yVal>
            <c:numRef>
              <c:f>Tools!$CL$4:$DJ$4</c:f>
              <c:numCache>
                <c:formatCode>General</c:formatCode>
                <c:ptCount val="25"/>
                <c:pt idx="0">
                  <c:v>0</c:v>
                </c:pt>
                <c:pt idx="1">
                  <c:v>0.25</c:v>
                </c:pt>
                <c:pt idx="2">
                  <c:v>0.5</c:v>
                </c:pt>
                <c:pt idx="3">
                  <c:v>0.75</c:v>
                </c:pt>
                <c:pt idx="4">
                  <c:v>1</c:v>
                </c:pt>
                <c:pt idx="5">
                  <c:v>2</c:v>
                </c:pt>
                <c:pt idx="6">
                  <c:v>3</c:v>
                </c:pt>
                <c:pt idx="7">
                  <c:v>4</c:v>
                </c:pt>
                <c:pt idx="8">
                  <c:v>4.8499999999999996</c:v>
                </c:pt>
                <c:pt idx="9">
                  <c:v>5</c:v>
                </c:pt>
                <c:pt idx="10">
                  <c:v>6</c:v>
                </c:pt>
                <c:pt idx="11">
                  <c:v>6.5</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yVal>
          <c:smooth val="1"/>
        </c:ser>
        <c:ser>
          <c:idx val="9"/>
          <c:order val="9"/>
          <c:tx>
            <c:strRef>
              <c:f>Tools!$CK$14</c:f>
              <c:strCache>
                <c:ptCount val="1"/>
                <c:pt idx="0">
                  <c:v>7</c:v>
                </c:pt>
              </c:strCache>
            </c:strRef>
          </c:tx>
          <c:spPr>
            <a:ln w="3175">
              <a:solidFill>
                <a:schemeClr val="accent5">
                  <a:lumMod val="75000"/>
                </a:schemeClr>
              </a:solidFill>
            </a:ln>
          </c:spPr>
          <c:marker>
            <c:symbol val="none"/>
          </c:marker>
          <c:xVal>
            <c:numRef>
              <c:f>Tools!$CL$14:$DJ$14</c:f>
              <c:numCache>
                <c:formatCode>General</c:formatCode>
                <c:ptCount val="25"/>
                <c:pt idx="0">
                  <c:v>7</c:v>
                </c:pt>
                <c:pt idx="1">
                  <c:v>7.0258413132694937</c:v>
                </c:pt>
                <c:pt idx="2">
                  <c:v>7.0534610123119013</c:v>
                </c:pt>
                <c:pt idx="3">
                  <c:v>7.0820474236206108</c:v>
                </c:pt>
                <c:pt idx="4">
                  <c:v>7.1113725490196078</c:v>
                </c:pt>
                <c:pt idx="5">
                  <c:v>7.2308435932512536</c:v>
                </c:pt>
                <c:pt idx="6">
                  <c:v>7.3514090287277698</c:v>
                </c:pt>
                <c:pt idx="7">
                  <c:v>7.4716096671226628</c:v>
                </c:pt>
                <c:pt idx="8">
                  <c:v>7.573935248518012</c:v>
                </c:pt>
                <c:pt idx="9">
                  <c:v>7.592175102599179</c:v>
                </c:pt>
                <c:pt idx="10">
                  <c:v>7.7123757409940721</c:v>
                </c:pt>
                <c:pt idx="11">
                  <c:v>7.7725672594619244</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xVal>
          <c:yVal>
            <c:numRef>
              <c:f>Tools!$CL$4:$DJ$4</c:f>
              <c:numCache>
                <c:formatCode>General</c:formatCode>
                <c:ptCount val="25"/>
                <c:pt idx="0">
                  <c:v>0</c:v>
                </c:pt>
                <c:pt idx="1">
                  <c:v>0.25</c:v>
                </c:pt>
                <c:pt idx="2">
                  <c:v>0.5</c:v>
                </c:pt>
                <c:pt idx="3">
                  <c:v>0.75</c:v>
                </c:pt>
                <c:pt idx="4">
                  <c:v>1</c:v>
                </c:pt>
                <c:pt idx="5">
                  <c:v>2</c:v>
                </c:pt>
                <c:pt idx="6">
                  <c:v>3</c:v>
                </c:pt>
                <c:pt idx="7">
                  <c:v>4</c:v>
                </c:pt>
                <c:pt idx="8">
                  <c:v>4.8499999999999996</c:v>
                </c:pt>
                <c:pt idx="9">
                  <c:v>5</c:v>
                </c:pt>
                <c:pt idx="10">
                  <c:v>6</c:v>
                </c:pt>
                <c:pt idx="11">
                  <c:v>6.5</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yVal>
          <c:smooth val="1"/>
        </c:ser>
        <c:ser>
          <c:idx val="10"/>
          <c:order val="10"/>
          <c:tx>
            <c:strRef>
              <c:f>Tools!$CK$15</c:f>
              <c:strCache>
                <c:ptCount val="1"/>
                <c:pt idx="0">
                  <c:v>8</c:v>
                </c:pt>
              </c:strCache>
            </c:strRef>
          </c:tx>
          <c:spPr>
            <a:ln w="3175"/>
          </c:spPr>
          <c:marker>
            <c:symbol val="none"/>
          </c:marker>
          <c:xVal>
            <c:numRef>
              <c:f>Tools!$CL$15:$DJ$15</c:f>
              <c:numCache>
                <c:formatCode>General</c:formatCode>
                <c:ptCount val="25"/>
                <c:pt idx="0">
                  <c:v>8</c:v>
                </c:pt>
                <c:pt idx="1">
                  <c:v>8.0272389420884629</c:v>
                </c:pt>
                <c:pt idx="2">
                  <c:v>8.0560784313725495</c:v>
                </c:pt>
                <c:pt idx="3">
                  <c:v>8.0855243958048337</c:v>
                </c:pt>
                <c:pt idx="4">
                  <c:v>8.1156041951664388</c:v>
                </c:pt>
                <c:pt idx="5">
                  <c:v>8.2359872321021435</c:v>
                </c:pt>
                <c:pt idx="6">
                  <c:v>8.3563702690378481</c:v>
                </c:pt>
                <c:pt idx="7">
                  <c:v>8.4767533059735527</c:v>
                </c:pt>
                <c:pt idx="8">
                  <c:v>8.579078887368901</c:v>
                </c:pt>
                <c:pt idx="9">
                  <c:v>8.5971363429092573</c:v>
                </c:pt>
                <c:pt idx="10">
                  <c:v>8.7175193798449619</c:v>
                </c:pt>
                <c:pt idx="11">
                  <c:v>8.7777108983128134</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xVal>
          <c:yVal>
            <c:numRef>
              <c:f>Tools!$CL$4:$DJ$4</c:f>
              <c:numCache>
                <c:formatCode>General</c:formatCode>
                <c:ptCount val="25"/>
                <c:pt idx="0">
                  <c:v>0</c:v>
                </c:pt>
                <c:pt idx="1">
                  <c:v>0.25</c:v>
                </c:pt>
                <c:pt idx="2">
                  <c:v>0.5</c:v>
                </c:pt>
                <c:pt idx="3">
                  <c:v>0.75</c:v>
                </c:pt>
                <c:pt idx="4">
                  <c:v>1</c:v>
                </c:pt>
                <c:pt idx="5">
                  <c:v>2</c:v>
                </c:pt>
                <c:pt idx="6">
                  <c:v>3</c:v>
                </c:pt>
                <c:pt idx="7">
                  <c:v>4</c:v>
                </c:pt>
                <c:pt idx="8">
                  <c:v>4.8499999999999996</c:v>
                </c:pt>
                <c:pt idx="9">
                  <c:v>5</c:v>
                </c:pt>
                <c:pt idx="10">
                  <c:v>6</c:v>
                </c:pt>
                <c:pt idx="11">
                  <c:v>6.5</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yVal>
          <c:smooth val="1"/>
        </c:ser>
        <c:ser>
          <c:idx val="11"/>
          <c:order val="11"/>
          <c:tx>
            <c:strRef>
              <c:f>Tools!$CK$16</c:f>
              <c:strCache>
                <c:ptCount val="1"/>
                <c:pt idx="0">
                  <c:v>9</c:v>
                </c:pt>
              </c:strCache>
            </c:strRef>
          </c:tx>
          <c:spPr>
            <a:ln w="3175">
              <a:solidFill>
                <a:schemeClr val="accent5">
                  <a:lumMod val="75000"/>
                </a:schemeClr>
              </a:solidFill>
            </a:ln>
          </c:spPr>
          <c:marker>
            <c:symbol val="none"/>
          </c:marker>
          <c:xVal>
            <c:numRef>
              <c:f>Tools!$CL$16:$DJ$16</c:f>
              <c:numCache>
                <c:formatCode>General</c:formatCode>
                <c:ptCount val="25"/>
                <c:pt idx="0">
                  <c:v>9</c:v>
                </c:pt>
                <c:pt idx="1">
                  <c:v>9.0276675786593703</c:v>
                </c:pt>
                <c:pt idx="2">
                  <c:v>9.0567715458276332</c:v>
                </c:pt>
                <c:pt idx="3">
                  <c:v>9.0863816689466486</c:v>
                </c:pt>
                <c:pt idx="4">
                  <c:v>9.1164797081623341</c:v>
                </c:pt>
                <c:pt idx="5">
                  <c:v>9.2368627450980387</c:v>
                </c:pt>
                <c:pt idx="6">
                  <c:v>9.3572457820337434</c:v>
                </c:pt>
                <c:pt idx="7">
                  <c:v>9.477628818969448</c:v>
                </c:pt>
                <c:pt idx="8">
                  <c:v>9.5799544003647963</c:v>
                </c:pt>
                <c:pt idx="9">
                  <c:v>9.5980118559051526</c:v>
                </c:pt>
                <c:pt idx="10">
                  <c:v>9.7183948928408572</c:v>
                </c:pt>
                <c:pt idx="11">
                  <c:v>9.7785864113087104</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xVal>
          <c:yVal>
            <c:numRef>
              <c:f>Tools!$CL$4:$DJ$4</c:f>
              <c:numCache>
                <c:formatCode>General</c:formatCode>
                <c:ptCount val="25"/>
                <c:pt idx="0">
                  <c:v>0</c:v>
                </c:pt>
                <c:pt idx="1">
                  <c:v>0.25</c:v>
                </c:pt>
                <c:pt idx="2">
                  <c:v>0.5</c:v>
                </c:pt>
                <c:pt idx="3">
                  <c:v>0.75</c:v>
                </c:pt>
                <c:pt idx="4">
                  <c:v>1</c:v>
                </c:pt>
                <c:pt idx="5">
                  <c:v>2</c:v>
                </c:pt>
                <c:pt idx="6">
                  <c:v>3</c:v>
                </c:pt>
                <c:pt idx="7">
                  <c:v>4</c:v>
                </c:pt>
                <c:pt idx="8">
                  <c:v>4.8499999999999996</c:v>
                </c:pt>
                <c:pt idx="9">
                  <c:v>5</c:v>
                </c:pt>
                <c:pt idx="10">
                  <c:v>6</c:v>
                </c:pt>
                <c:pt idx="11">
                  <c:v>6.5</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yVal>
          <c:smooth val="1"/>
        </c:ser>
        <c:ser>
          <c:idx val="12"/>
          <c:order val="12"/>
          <c:tx>
            <c:strRef>
              <c:f>Tools!$CK$17</c:f>
              <c:strCache>
                <c:ptCount val="1"/>
                <c:pt idx="0">
                  <c:v>10</c:v>
                </c:pt>
              </c:strCache>
            </c:strRef>
          </c:tx>
          <c:spPr>
            <a:ln w="3175">
              <a:solidFill>
                <a:schemeClr val="accent5">
                  <a:lumMod val="75000"/>
                </a:schemeClr>
              </a:solidFill>
            </a:ln>
          </c:spPr>
          <c:marker>
            <c:symbol val="none"/>
          </c:marker>
          <c:xVal>
            <c:numRef>
              <c:f>Tools!$CL$17:$DJ$17</c:f>
              <c:numCache>
                <c:formatCode>General</c:formatCode>
                <c:ptCount val="25"/>
                <c:pt idx="0">
                  <c:v>10</c:v>
                </c:pt>
                <c:pt idx="1">
                  <c:v>10.02766757865937</c:v>
                </c:pt>
                <c:pt idx="2">
                  <c:v>10.056771545827633</c:v>
                </c:pt>
                <c:pt idx="3">
                  <c:v>10.086381668946649</c:v>
                </c:pt>
                <c:pt idx="4">
                  <c:v>10.116479708162334</c:v>
                </c:pt>
                <c:pt idx="5">
                  <c:v>10.236862745098039</c:v>
                </c:pt>
                <c:pt idx="6">
                  <c:v>10.357245782033743</c:v>
                </c:pt>
                <c:pt idx="7">
                  <c:v>10.477628818969448</c:v>
                </c:pt>
                <c:pt idx="8">
                  <c:v>10.579954400364796</c:v>
                </c:pt>
                <c:pt idx="9">
                  <c:v>10.598011855905153</c:v>
                </c:pt>
                <c:pt idx="10">
                  <c:v>10.718394892840857</c:v>
                </c:pt>
                <c:pt idx="11">
                  <c:v>10.77858641130871</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xVal>
          <c:yVal>
            <c:numRef>
              <c:f>Tools!$CL$4:$DJ$4</c:f>
              <c:numCache>
                <c:formatCode>General</c:formatCode>
                <c:ptCount val="25"/>
                <c:pt idx="0">
                  <c:v>0</c:v>
                </c:pt>
                <c:pt idx="1">
                  <c:v>0.25</c:v>
                </c:pt>
                <c:pt idx="2">
                  <c:v>0.5</c:v>
                </c:pt>
                <c:pt idx="3">
                  <c:v>0.75</c:v>
                </c:pt>
                <c:pt idx="4">
                  <c:v>1</c:v>
                </c:pt>
                <c:pt idx="5">
                  <c:v>2</c:v>
                </c:pt>
                <c:pt idx="6">
                  <c:v>3</c:v>
                </c:pt>
                <c:pt idx="7">
                  <c:v>4</c:v>
                </c:pt>
                <c:pt idx="8">
                  <c:v>4.8499999999999996</c:v>
                </c:pt>
                <c:pt idx="9">
                  <c:v>5</c:v>
                </c:pt>
                <c:pt idx="10">
                  <c:v>6</c:v>
                </c:pt>
                <c:pt idx="11">
                  <c:v>6.5</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yVal>
          <c:smooth val="1"/>
        </c:ser>
        <c:ser>
          <c:idx val="13"/>
          <c:order val="13"/>
          <c:tx>
            <c:strRef>
              <c:f>Tools!$CK$18</c:f>
              <c:strCache>
                <c:ptCount val="1"/>
                <c:pt idx="0">
                  <c:v>11</c:v>
                </c:pt>
              </c:strCache>
            </c:strRef>
          </c:tx>
          <c:spPr>
            <a:ln w="3175">
              <a:solidFill>
                <a:schemeClr val="accent5">
                  <a:lumMod val="75000"/>
                </a:schemeClr>
              </a:solidFill>
            </a:ln>
          </c:spPr>
          <c:marker>
            <c:symbol val="none"/>
          </c:marker>
          <c:xVal>
            <c:numRef>
              <c:f>Tools!$CL$18:$DJ$18</c:f>
              <c:numCache>
                <c:formatCode>General</c:formatCode>
                <c:ptCount val="25"/>
                <c:pt idx="0">
                  <c:v>11</c:v>
                </c:pt>
                <c:pt idx="1">
                  <c:v>11.02766757865937</c:v>
                </c:pt>
                <c:pt idx="2">
                  <c:v>11.056771545827633</c:v>
                </c:pt>
                <c:pt idx="3">
                  <c:v>11.086381668946649</c:v>
                </c:pt>
                <c:pt idx="4">
                  <c:v>11.116479708162334</c:v>
                </c:pt>
                <c:pt idx="5">
                  <c:v>11.236862745098039</c:v>
                </c:pt>
                <c:pt idx="6">
                  <c:v>11.357245782033743</c:v>
                </c:pt>
                <c:pt idx="7">
                  <c:v>11.477628818969448</c:v>
                </c:pt>
                <c:pt idx="8">
                  <c:v>11.579954400364796</c:v>
                </c:pt>
                <c:pt idx="9">
                  <c:v>11.598011855905153</c:v>
                </c:pt>
                <c:pt idx="10">
                  <c:v>11.718394892840857</c:v>
                </c:pt>
                <c:pt idx="11">
                  <c:v>11.77858641130871</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xVal>
          <c:yVal>
            <c:numRef>
              <c:f>Tools!$CL$4:$DJ$4</c:f>
              <c:numCache>
                <c:formatCode>General</c:formatCode>
                <c:ptCount val="25"/>
                <c:pt idx="0">
                  <c:v>0</c:v>
                </c:pt>
                <c:pt idx="1">
                  <c:v>0.25</c:v>
                </c:pt>
                <c:pt idx="2">
                  <c:v>0.5</c:v>
                </c:pt>
                <c:pt idx="3">
                  <c:v>0.75</c:v>
                </c:pt>
                <c:pt idx="4">
                  <c:v>1</c:v>
                </c:pt>
                <c:pt idx="5">
                  <c:v>2</c:v>
                </c:pt>
                <c:pt idx="6">
                  <c:v>3</c:v>
                </c:pt>
                <c:pt idx="7">
                  <c:v>4</c:v>
                </c:pt>
                <c:pt idx="8">
                  <c:v>4.8499999999999996</c:v>
                </c:pt>
                <c:pt idx="9">
                  <c:v>5</c:v>
                </c:pt>
                <c:pt idx="10">
                  <c:v>6</c:v>
                </c:pt>
                <c:pt idx="11">
                  <c:v>6.5</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yVal>
          <c:smooth val="1"/>
        </c:ser>
        <c:ser>
          <c:idx val="14"/>
          <c:order val="14"/>
          <c:tx>
            <c:strRef>
              <c:f>Tools!$CK$19</c:f>
              <c:strCache>
                <c:ptCount val="1"/>
                <c:pt idx="0">
                  <c:v>12</c:v>
                </c:pt>
              </c:strCache>
            </c:strRef>
          </c:tx>
          <c:spPr>
            <a:ln w="3175">
              <a:solidFill>
                <a:schemeClr val="accent5">
                  <a:lumMod val="75000"/>
                </a:schemeClr>
              </a:solidFill>
            </a:ln>
          </c:spPr>
          <c:marker>
            <c:symbol val="none"/>
          </c:marker>
          <c:xVal>
            <c:numRef>
              <c:f>Tools!$CL$19:$DJ$19</c:f>
              <c:numCache>
                <c:formatCode>General</c:formatCode>
                <c:ptCount val="25"/>
                <c:pt idx="0">
                  <c:v>12</c:v>
                </c:pt>
                <c:pt idx="1">
                  <c:v>12.02766757865937</c:v>
                </c:pt>
                <c:pt idx="2">
                  <c:v>12.056771545827633</c:v>
                </c:pt>
                <c:pt idx="3">
                  <c:v>12.086381668946649</c:v>
                </c:pt>
                <c:pt idx="4">
                  <c:v>12.116479708162334</c:v>
                </c:pt>
                <c:pt idx="5">
                  <c:v>12.236862745098039</c:v>
                </c:pt>
                <c:pt idx="6">
                  <c:v>12.357245782033743</c:v>
                </c:pt>
                <c:pt idx="7">
                  <c:v>12.477628818969448</c:v>
                </c:pt>
                <c:pt idx="8">
                  <c:v>12.579954400364796</c:v>
                </c:pt>
                <c:pt idx="9">
                  <c:v>12.598011855905153</c:v>
                </c:pt>
                <c:pt idx="10">
                  <c:v>12.718394892840857</c:v>
                </c:pt>
                <c:pt idx="11">
                  <c:v>12.77858641130871</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xVal>
          <c:yVal>
            <c:numRef>
              <c:f>Tools!$CL$4:$DJ$4</c:f>
              <c:numCache>
                <c:formatCode>General</c:formatCode>
                <c:ptCount val="25"/>
                <c:pt idx="0">
                  <c:v>0</c:v>
                </c:pt>
                <c:pt idx="1">
                  <c:v>0.25</c:v>
                </c:pt>
                <c:pt idx="2">
                  <c:v>0.5</c:v>
                </c:pt>
                <c:pt idx="3">
                  <c:v>0.75</c:v>
                </c:pt>
                <c:pt idx="4">
                  <c:v>1</c:v>
                </c:pt>
                <c:pt idx="5">
                  <c:v>2</c:v>
                </c:pt>
                <c:pt idx="6">
                  <c:v>3</c:v>
                </c:pt>
                <c:pt idx="7">
                  <c:v>4</c:v>
                </c:pt>
                <c:pt idx="8">
                  <c:v>4.8499999999999996</c:v>
                </c:pt>
                <c:pt idx="9">
                  <c:v>5</c:v>
                </c:pt>
                <c:pt idx="10">
                  <c:v>6</c:v>
                </c:pt>
                <c:pt idx="11">
                  <c:v>6.5</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yVal>
          <c:smooth val="1"/>
        </c:ser>
        <c:ser>
          <c:idx val="15"/>
          <c:order val="15"/>
          <c:tx>
            <c:strRef>
              <c:f>Tools!$CK$20</c:f>
              <c:strCache>
                <c:ptCount val="1"/>
                <c:pt idx="0">
                  <c:v>13</c:v>
                </c:pt>
              </c:strCache>
            </c:strRef>
          </c:tx>
          <c:spPr>
            <a:ln w="3175">
              <a:solidFill>
                <a:schemeClr val="accent5">
                  <a:lumMod val="75000"/>
                </a:schemeClr>
              </a:solidFill>
            </a:ln>
          </c:spPr>
          <c:marker>
            <c:symbol val="none"/>
          </c:marker>
          <c:xVal>
            <c:numRef>
              <c:f>Tools!$CL$20:$DJ$20</c:f>
              <c:numCache>
                <c:formatCode>General</c:formatCode>
                <c:ptCount val="25"/>
                <c:pt idx="0">
                  <c:v>13</c:v>
                </c:pt>
                <c:pt idx="1">
                  <c:v>13.02766757865937</c:v>
                </c:pt>
                <c:pt idx="2">
                  <c:v>13.056771545827633</c:v>
                </c:pt>
                <c:pt idx="3">
                  <c:v>13.086381668946649</c:v>
                </c:pt>
                <c:pt idx="4">
                  <c:v>13.116479708162334</c:v>
                </c:pt>
                <c:pt idx="5">
                  <c:v>13.236862745098039</c:v>
                </c:pt>
                <c:pt idx="6">
                  <c:v>13.357245782033743</c:v>
                </c:pt>
                <c:pt idx="7">
                  <c:v>13.477628818969448</c:v>
                </c:pt>
                <c:pt idx="8">
                  <c:v>13.579954400364796</c:v>
                </c:pt>
                <c:pt idx="9">
                  <c:v>13.598011855905153</c:v>
                </c:pt>
                <c:pt idx="10">
                  <c:v>13.718394892840857</c:v>
                </c:pt>
                <c:pt idx="11">
                  <c:v>13.77858641130871</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xVal>
          <c:yVal>
            <c:numRef>
              <c:f>Tools!$CL$4:$DJ$4</c:f>
              <c:numCache>
                <c:formatCode>General</c:formatCode>
                <c:ptCount val="25"/>
                <c:pt idx="0">
                  <c:v>0</c:v>
                </c:pt>
                <c:pt idx="1">
                  <c:v>0.25</c:v>
                </c:pt>
                <c:pt idx="2">
                  <c:v>0.5</c:v>
                </c:pt>
                <c:pt idx="3">
                  <c:v>0.75</c:v>
                </c:pt>
                <c:pt idx="4">
                  <c:v>1</c:v>
                </c:pt>
                <c:pt idx="5">
                  <c:v>2</c:v>
                </c:pt>
                <c:pt idx="6">
                  <c:v>3</c:v>
                </c:pt>
                <c:pt idx="7">
                  <c:v>4</c:v>
                </c:pt>
                <c:pt idx="8">
                  <c:v>4.8499999999999996</c:v>
                </c:pt>
                <c:pt idx="9">
                  <c:v>5</c:v>
                </c:pt>
                <c:pt idx="10">
                  <c:v>6</c:v>
                </c:pt>
                <c:pt idx="11">
                  <c:v>6.5</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yVal>
          <c:smooth val="1"/>
        </c:ser>
        <c:ser>
          <c:idx val="16"/>
          <c:order val="16"/>
          <c:tx>
            <c:strRef>
              <c:f>Tools!$CK$21</c:f>
              <c:strCache>
                <c:ptCount val="1"/>
                <c:pt idx="0">
                  <c:v>14</c:v>
                </c:pt>
              </c:strCache>
            </c:strRef>
          </c:tx>
          <c:spPr>
            <a:ln w="3175">
              <a:solidFill>
                <a:schemeClr val="accent5">
                  <a:lumMod val="75000"/>
                </a:schemeClr>
              </a:solidFill>
            </a:ln>
          </c:spPr>
          <c:marker>
            <c:symbol val="none"/>
          </c:marker>
          <c:xVal>
            <c:numRef>
              <c:f>Tools!$CL$21:$DJ$21</c:f>
              <c:numCache>
                <c:formatCode>General</c:formatCode>
                <c:ptCount val="25"/>
                <c:pt idx="0">
                  <c:v>14</c:v>
                </c:pt>
                <c:pt idx="1">
                  <c:v>14.027222982216141</c:v>
                </c:pt>
                <c:pt idx="2">
                  <c:v>14.056032831737346</c:v>
                </c:pt>
                <c:pt idx="3">
                  <c:v>14.085435476516189</c:v>
                </c:pt>
                <c:pt idx="4">
                  <c:v>14.115440036479708</c:v>
                </c:pt>
                <c:pt idx="5">
                  <c:v>14.235823073415412</c:v>
                </c:pt>
                <c:pt idx="6">
                  <c:v>14.356206110351117</c:v>
                </c:pt>
                <c:pt idx="7">
                  <c:v>14.476589147286822</c:v>
                </c:pt>
                <c:pt idx="8">
                  <c:v>14.57891472868217</c:v>
                </c:pt>
                <c:pt idx="9">
                  <c:v>14.596972184222526</c:v>
                </c:pt>
                <c:pt idx="10">
                  <c:v>14.717355221158231</c:v>
                </c:pt>
                <c:pt idx="11">
                  <c:v>14.777546739626082</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xVal>
          <c:yVal>
            <c:numRef>
              <c:f>Tools!$CL$4:$DJ$4</c:f>
              <c:numCache>
                <c:formatCode>General</c:formatCode>
                <c:ptCount val="25"/>
                <c:pt idx="0">
                  <c:v>0</c:v>
                </c:pt>
                <c:pt idx="1">
                  <c:v>0.25</c:v>
                </c:pt>
                <c:pt idx="2">
                  <c:v>0.5</c:v>
                </c:pt>
                <c:pt idx="3">
                  <c:v>0.75</c:v>
                </c:pt>
                <c:pt idx="4">
                  <c:v>1</c:v>
                </c:pt>
                <c:pt idx="5">
                  <c:v>2</c:v>
                </c:pt>
                <c:pt idx="6">
                  <c:v>3</c:v>
                </c:pt>
                <c:pt idx="7">
                  <c:v>4</c:v>
                </c:pt>
                <c:pt idx="8">
                  <c:v>4.8499999999999996</c:v>
                </c:pt>
                <c:pt idx="9">
                  <c:v>5</c:v>
                </c:pt>
                <c:pt idx="10">
                  <c:v>6</c:v>
                </c:pt>
                <c:pt idx="11">
                  <c:v>6.5</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yVal>
          <c:smooth val="1"/>
        </c:ser>
        <c:ser>
          <c:idx val="17"/>
          <c:order val="17"/>
          <c:tx>
            <c:strRef>
              <c:f>Tools!$CK$22</c:f>
              <c:strCache>
                <c:ptCount val="1"/>
                <c:pt idx="0">
                  <c:v>15</c:v>
                </c:pt>
              </c:strCache>
            </c:strRef>
          </c:tx>
          <c:spPr>
            <a:ln w="3175">
              <a:solidFill>
                <a:schemeClr val="accent5">
                  <a:lumMod val="75000"/>
                </a:schemeClr>
              </a:solidFill>
            </a:ln>
          </c:spPr>
          <c:marker>
            <c:symbol val="none"/>
          </c:marker>
          <c:xVal>
            <c:numRef>
              <c:f>Tools!$CL$22:$DJ$22</c:f>
              <c:numCache>
                <c:formatCode>General</c:formatCode>
                <c:ptCount val="25"/>
                <c:pt idx="0">
                  <c:v>15</c:v>
                </c:pt>
                <c:pt idx="1">
                  <c:v>15.025622435020519</c:v>
                </c:pt>
                <c:pt idx="2">
                  <c:v>15.053023255813953</c:v>
                </c:pt>
                <c:pt idx="3">
                  <c:v>15.081308709530324</c:v>
                </c:pt>
                <c:pt idx="4">
                  <c:v>15.110387596899225</c:v>
                </c:pt>
                <c:pt idx="5">
                  <c:v>15.229402644778842</c:v>
                </c:pt>
                <c:pt idx="6">
                  <c:v>15.350059279525764</c:v>
                </c:pt>
                <c:pt idx="7">
                  <c:v>15.470168718650251</c:v>
                </c:pt>
                <c:pt idx="8">
                  <c:v>15.5724943000456</c:v>
                </c:pt>
                <c:pt idx="9">
                  <c:v>15.590825353397173</c:v>
                </c:pt>
                <c:pt idx="10">
                  <c:v>15.710934792521661</c:v>
                </c:pt>
                <c:pt idx="11">
                  <c:v>15.771126310989512</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xVal>
          <c:yVal>
            <c:numRef>
              <c:f>Tools!$CL$4:$DJ$4</c:f>
              <c:numCache>
                <c:formatCode>General</c:formatCode>
                <c:ptCount val="25"/>
                <c:pt idx="0">
                  <c:v>0</c:v>
                </c:pt>
                <c:pt idx="1">
                  <c:v>0.25</c:v>
                </c:pt>
                <c:pt idx="2">
                  <c:v>0.5</c:v>
                </c:pt>
                <c:pt idx="3">
                  <c:v>0.75</c:v>
                </c:pt>
                <c:pt idx="4">
                  <c:v>1</c:v>
                </c:pt>
                <c:pt idx="5">
                  <c:v>2</c:v>
                </c:pt>
                <c:pt idx="6">
                  <c:v>3</c:v>
                </c:pt>
                <c:pt idx="7">
                  <c:v>4</c:v>
                </c:pt>
                <c:pt idx="8">
                  <c:v>4.8499999999999996</c:v>
                </c:pt>
                <c:pt idx="9">
                  <c:v>5</c:v>
                </c:pt>
                <c:pt idx="10">
                  <c:v>6</c:v>
                </c:pt>
                <c:pt idx="11">
                  <c:v>6.5</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yVal>
          <c:smooth val="1"/>
        </c:ser>
        <c:ser>
          <c:idx val="18"/>
          <c:order val="18"/>
          <c:tx>
            <c:strRef>
              <c:f>Tools!$CK$23</c:f>
              <c:strCache>
                <c:ptCount val="1"/>
                <c:pt idx="0">
                  <c:v>16</c:v>
                </c:pt>
              </c:strCache>
            </c:strRef>
          </c:tx>
          <c:spPr>
            <a:ln w="3175">
              <a:solidFill>
                <a:schemeClr val="accent5">
                  <a:lumMod val="75000"/>
                </a:schemeClr>
              </a:solidFill>
            </a:ln>
          </c:spPr>
          <c:marker>
            <c:symbol val="none"/>
          </c:marker>
          <c:xVal>
            <c:numRef>
              <c:f>Tools!$CL$23:$DJ$23</c:f>
              <c:numCache>
                <c:formatCode>General</c:formatCode>
                <c:ptCount val="25"/>
                <c:pt idx="0">
                  <c:v>16</c:v>
                </c:pt>
                <c:pt idx="1">
                  <c:v>16.022309621523029</c:v>
                </c:pt>
                <c:pt idx="2">
                  <c:v>16.046903784769722</c:v>
                </c:pt>
                <c:pt idx="3">
                  <c:v>16.072815777473782</c:v>
                </c:pt>
                <c:pt idx="4">
                  <c:v>16.099635202918378</c:v>
                </c:pt>
                <c:pt idx="5">
                  <c:v>16.211673506611948</c:v>
                </c:pt>
                <c:pt idx="6">
                  <c:v>16.328034655722753</c:v>
                </c:pt>
                <c:pt idx="7">
                  <c:v>16.445508435932513</c:v>
                </c:pt>
                <c:pt idx="8">
                  <c:v>16.546392156862744</c:v>
                </c:pt>
                <c:pt idx="9">
                  <c:v>16.564423164614684</c:v>
                </c:pt>
                <c:pt idx="10">
                  <c:v>16.68408572731418</c:v>
                </c:pt>
                <c:pt idx="11">
                  <c:v>16.744277245782033</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xVal>
          <c:yVal>
            <c:numRef>
              <c:f>Tools!$CL$4:$DJ$4</c:f>
              <c:numCache>
                <c:formatCode>General</c:formatCode>
                <c:ptCount val="25"/>
                <c:pt idx="0">
                  <c:v>0</c:v>
                </c:pt>
                <c:pt idx="1">
                  <c:v>0.25</c:v>
                </c:pt>
                <c:pt idx="2">
                  <c:v>0.5</c:v>
                </c:pt>
                <c:pt idx="3">
                  <c:v>0.75</c:v>
                </c:pt>
                <c:pt idx="4">
                  <c:v>1</c:v>
                </c:pt>
                <c:pt idx="5">
                  <c:v>2</c:v>
                </c:pt>
                <c:pt idx="6">
                  <c:v>3</c:v>
                </c:pt>
                <c:pt idx="7">
                  <c:v>4</c:v>
                </c:pt>
                <c:pt idx="8">
                  <c:v>4.8499999999999996</c:v>
                </c:pt>
                <c:pt idx="9">
                  <c:v>5</c:v>
                </c:pt>
                <c:pt idx="10">
                  <c:v>6</c:v>
                </c:pt>
                <c:pt idx="11">
                  <c:v>6.5</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yVal>
          <c:smooth val="1"/>
        </c:ser>
        <c:ser>
          <c:idx val="19"/>
          <c:order val="19"/>
          <c:tx>
            <c:strRef>
              <c:f>Tools!$CK$24</c:f>
              <c:strCache>
                <c:ptCount val="1"/>
                <c:pt idx="0">
                  <c:v>17</c:v>
                </c:pt>
              </c:strCache>
            </c:strRef>
          </c:tx>
          <c:spPr>
            <a:ln w="3175">
              <a:solidFill>
                <a:schemeClr val="accent5">
                  <a:lumMod val="75000"/>
                </a:schemeClr>
              </a:solidFill>
            </a:ln>
          </c:spPr>
          <c:marker>
            <c:symbol val="none"/>
          </c:marker>
          <c:xVal>
            <c:numRef>
              <c:f>Tools!$CL$24:$DJ$24</c:f>
              <c:numCache>
                <c:formatCode>General</c:formatCode>
                <c:ptCount val="25"/>
                <c:pt idx="0">
                  <c:v>17</c:v>
                </c:pt>
                <c:pt idx="1">
                  <c:v>17.017227542179661</c:v>
                </c:pt>
                <c:pt idx="2">
                  <c:v>17.037136342909257</c:v>
                </c:pt>
                <c:pt idx="3">
                  <c:v>17.05842225262198</c:v>
                </c:pt>
                <c:pt idx="4">
                  <c:v>17.081039671682628</c:v>
                </c:pt>
                <c:pt idx="5">
                  <c:v>17.17859553123575</c:v>
                </c:pt>
                <c:pt idx="6">
                  <c:v>17.283100775193798</c:v>
                </c:pt>
                <c:pt idx="7">
                  <c:v>17.390433196534428</c:v>
                </c:pt>
                <c:pt idx="8">
                  <c:v>17.484479708162336</c:v>
                </c:pt>
                <c:pt idx="9">
                  <c:v>17.501687186502508</c:v>
                </c:pt>
                <c:pt idx="10">
                  <c:v>17.615038759689924</c:v>
                </c:pt>
                <c:pt idx="11">
                  <c:v>17.672822617419062</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xVal>
          <c:yVal>
            <c:numRef>
              <c:f>Tools!$CL$4:$DJ$4</c:f>
              <c:numCache>
                <c:formatCode>General</c:formatCode>
                <c:ptCount val="25"/>
                <c:pt idx="0">
                  <c:v>0</c:v>
                </c:pt>
                <c:pt idx="1">
                  <c:v>0.25</c:v>
                </c:pt>
                <c:pt idx="2">
                  <c:v>0.5</c:v>
                </c:pt>
                <c:pt idx="3">
                  <c:v>0.75</c:v>
                </c:pt>
                <c:pt idx="4">
                  <c:v>1</c:v>
                </c:pt>
                <c:pt idx="5">
                  <c:v>2</c:v>
                </c:pt>
                <c:pt idx="6">
                  <c:v>3</c:v>
                </c:pt>
                <c:pt idx="7">
                  <c:v>4</c:v>
                </c:pt>
                <c:pt idx="8">
                  <c:v>4.8499999999999996</c:v>
                </c:pt>
                <c:pt idx="9">
                  <c:v>5</c:v>
                </c:pt>
                <c:pt idx="10">
                  <c:v>6</c:v>
                </c:pt>
                <c:pt idx="11">
                  <c:v>6.5</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yVal>
          <c:smooth val="1"/>
        </c:ser>
        <c:ser>
          <c:idx val="20"/>
          <c:order val="20"/>
          <c:tx>
            <c:strRef>
              <c:f>Tools!$CK$25</c:f>
              <c:strCache>
                <c:ptCount val="1"/>
                <c:pt idx="0">
                  <c:v>18</c:v>
                </c:pt>
              </c:strCache>
            </c:strRef>
          </c:tx>
          <c:spPr>
            <a:ln w="3175">
              <a:solidFill>
                <a:schemeClr val="accent5">
                  <a:lumMod val="75000"/>
                </a:schemeClr>
              </a:solidFill>
            </a:ln>
          </c:spPr>
          <c:marker>
            <c:symbol val="none"/>
          </c:marker>
          <c:xVal>
            <c:numRef>
              <c:f>Tools!$CL$25:$DJ$25</c:f>
              <c:numCache>
                <c:formatCode>General</c:formatCode>
                <c:ptCount val="25"/>
                <c:pt idx="0">
                  <c:v>18</c:v>
                </c:pt>
                <c:pt idx="1">
                  <c:v>18.011251709986322</c:v>
                </c:pt>
                <c:pt idx="2">
                  <c:v>18.025034199726402</c:v>
                </c:pt>
                <c:pt idx="3">
                  <c:v>18.040362517099862</c:v>
                </c:pt>
                <c:pt idx="4">
                  <c:v>18.056990424076606</c:v>
                </c:pt>
                <c:pt idx="5">
                  <c:v>18.130059279525764</c:v>
                </c:pt>
                <c:pt idx="6">
                  <c:v>18.210569995440036</c:v>
                </c:pt>
                <c:pt idx="7">
                  <c:v>18.295272959416323</c:v>
                </c:pt>
                <c:pt idx="8">
                  <c:v>18.370995284997718</c:v>
                </c:pt>
                <c:pt idx="9">
                  <c:v>18.384639489284087</c:v>
                </c:pt>
                <c:pt idx="10">
                  <c:v>18.4797479252166</c:v>
                </c:pt>
                <c:pt idx="11">
                  <c:v>18.529214409484723</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xVal>
          <c:yVal>
            <c:numRef>
              <c:f>Tools!$CL$4:$DJ$4</c:f>
              <c:numCache>
                <c:formatCode>General</c:formatCode>
                <c:ptCount val="25"/>
                <c:pt idx="0">
                  <c:v>0</c:v>
                </c:pt>
                <c:pt idx="1">
                  <c:v>0.25</c:v>
                </c:pt>
                <c:pt idx="2">
                  <c:v>0.5</c:v>
                </c:pt>
                <c:pt idx="3">
                  <c:v>0.75</c:v>
                </c:pt>
                <c:pt idx="4">
                  <c:v>1</c:v>
                </c:pt>
                <c:pt idx="5">
                  <c:v>2</c:v>
                </c:pt>
                <c:pt idx="6">
                  <c:v>3</c:v>
                </c:pt>
                <c:pt idx="7">
                  <c:v>4</c:v>
                </c:pt>
                <c:pt idx="8">
                  <c:v>4.8499999999999996</c:v>
                </c:pt>
                <c:pt idx="9">
                  <c:v>5</c:v>
                </c:pt>
                <c:pt idx="10">
                  <c:v>6</c:v>
                </c:pt>
                <c:pt idx="11">
                  <c:v>6.5</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yVal>
          <c:smooth val="1"/>
        </c:ser>
        <c:ser>
          <c:idx val="21"/>
          <c:order val="21"/>
          <c:tx>
            <c:strRef>
              <c:f>Tools!$CK$26</c:f>
              <c:strCache>
                <c:ptCount val="1"/>
                <c:pt idx="0">
                  <c:v>18.5</c:v>
                </c:pt>
              </c:strCache>
            </c:strRef>
          </c:tx>
          <c:spPr>
            <a:ln w="3175">
              <a:solidFill>
                <a:schemeClr val="accent5">
                  <a:lumMod val="75000"/>
                </a:schemeClr>
              </a:solidFill>
            </a:ln>
          </c:spPr>
          <c:marker>
            <c:symbol val="none"/>
          </c:marker>
          <c:xVal>
            <c:numRef>
              <c:f>Tools!$CL$26:$DJ$26</c:f>
              <c:numCache>
                <c:formatCode>General</c:formatCode>
                <c:ptCount val="25"/>
                <c:pt idx="0">
                  <c:v>18.5</c:v>
                </c:pt>
                <c:pt idx="1">
                  <c:v>18.507936616507067</c:v>
                </c:pt>
                <c:pt idx="2">
                  <c:v>18.518376652986777</c:v>
                </c:pt>
                <c:pt idx="3">
                  <c:v>18.53030779753762</c:v>
                </c:pt>
                <c:pt idx="4">
                  <c:v>18.543328773369812</c:v>
                </c:pt>
                <c:pt idx="5">
                  <c:v>18.601276789785683</c:v>
                </c:pt>
                <c:pt idx="6">
                  <c:v>18.665462836297309</c:v>
                </c:pt>
                <c:pt idx="7">
                  <c:v>18.73340629274966</c:v>
                </c:pt>
                <c:pt idx="8">
                  <c:v>18.794848153214776</c:v>
                </c:pt>
                <c:pt idx="9">
                  <c:v>18.805982672138622</c:v>
                </c:pt>
                <c:pt idx="10">
                  <c:v>18.884906520747833</c:v>
                </c:pt>
                <c:pt idx="11">
                  <c:v>18.926766985864113</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xVal>
          <c:yVal>
            <c:numRef>
              <c:f>Tools!$CL$4:$DJ$4</c:f>
              <c:numCache>
                <c:formatCode>General</c:formatCode>
                <c:ptCount val="25"/>
                <c:pt idx="0">
                  <c:v>0</c:v>
                </c:pt>
                <c:pt idx="1">
                  <c:v>0.25</c:v>
                </c:pt>
                <c:pt idx="2">
                  <c:v>0.5</c:v>
                </c:pt>
                <c:pt idx="3">
                  <c:v>0.75</c:v>
                </c:pt>
                <c:pt idx="4">
                  <c:v>1</c:v>
                </c:pt>
                <c:pt idx="5">
                  <c:v>2</c:v>
                </c:pt>
                <c:pt idx="6">
                  <c:v>3</c:v>
                </c:pt>
                <c:pt idx="7">
                  <c:v>4</c:v>
                </c:pt>
                <c:pt idx="8">
                  <c:v>4.8499999999999996</c:v>
                </c:pt>
                <c:pt idx="9">
                  <c:v>5</c:v>
                </c:pt>
                <c:pt idx="10">
                  <c:v>6</c:v>
                </c:pt>
                <c:pt idx="11">
                  <c:v>6.5</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yVal>
          <c:smooth val="1"/>
        </c:ser>
        <c:ser>
          <c:idx val="22"/>
          <c:order val="22"/>
          <c:tx>
            <c:strRef>
              <c:f>Tools!$CK$27</c:f>
              <c:strCache>
                <c:ptCount val="1"/>
                <c:pt idx="0">
                  <c:v>19</c:v>
                </c:pt>
              </c:strCache>
            </c:strRef>
          </c:tx>
          <c:spPr>
            <a:ln w="3175">
              <a:solidFill>
                <a:schemeClr val="accent5">
                  <a:lumMod val="75000"/>
                </a:schemeClr>
              </a:solidFill>
            </a:ln>
          </c:spPr>
          <c:marker>
            <c:symbol val="none"/>
          </c:marker>
          <c:xVal>
            <c:numRef>
              <c:f>Tools!$CL$27:$DJ$27</c:f>
              <c:numCache>
                <c:formatCode>General</c:formatCode>
                <c:ptCount val="25"/>
                <c:pt idx="0">
                  <c:v>19</c:v>
                </c:pt>
                <c:pt idx="1">
                  <c:v>19.005029639762881</c:v>
                </c:pt>
                <c:pt idx="2">
                  <c:v>19.012165982672137</c:v>
                </c:pt>
                <c:pt idx="3">
                  <c:v>19.020451436388509</c:v>
                </c:pt>
                <c:pt idx="4">
                  <c:v>19.02983128134975</c:v>
                </c:pt>
                <c:pt idx="5">
                  <c:v>19.072056543547653</c:v>
                </c:pt>
                <c:pt idx="6">
                  <c:v>19.118112175102599</c:v>
                </c:pt>
                <c:pt idx="7">
                  <c:v>19.165079799361607</c:v>
                </c:pt>
                <c:pt idx="8">
                  <c:v>19.208521659826722</c:v>
                </c:pt>
                <c:pt idx="9">
                  <c:v>19.216789785681716</c:v>
                </c:pt>
                <c:pt idx="10">
                  <c:v>19.273862289101686</c:v>
                </c:pt>
                <c:pt idx="11">
                  <c:v>19.305408116735066</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xVal>
          <c:yVal>
            <c:numRef>
              <c:f>Tools!$CL$4:$DJ$4</c:f>
              <c:numCache>
                <c:formatCode>General</c:formatCode>
                <c:ptCount val="25"/>
                <c:pt idx="0">
                  <c:v>0</c:v>
                </c:pt>
                <c:pt idx="1">
                  <c:v>0.25</c:v>
                </c:pt>
                <c:pt idx="2">
                  <c:v>0.5</c:v>
                </c:pt>
                <c:pt idx="3">
                  <c:v>0.75</c:v>
                </c:pt>
                <c:pt idx="4">
                  <c:v>1</c:v>
                </c:pt>
                <c:pt idx="5">
                  <c:v>2</c:v>
                </c:pt>
                <c:pt idx="6">
                  <c:v>3</c:v>
                </c:pt>
                <c:pt idx="7">
                  <c:v>4</c:v>
                </c:pt>
                <c:pt idx="8">
                  <c:v>4.8499999999999996</c:v>
                </c:pt>
                <c:pt idx="9">
                  <c:v>5</c:v>
                </c:pt>
                <c:pt idx="10">
                  <c:v>6</c:v>
                </c:pt>
                <c:pt idx="11">
                  <c:v>6.5</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yVal>
          <c:smooth val="1"/>
        </c:ser>
        <c:ser>
          <c:idx val="23"/>
          <c:order val="23"/>
          <c:tx>
            <c:strRef>
              <c:f>Tools!$CK$28</c:f>
              <c:strCache>
                <c:ptCount val="1"/>
                <c:pt idx="0">
                  <c:v>19.5</c:v>
                </c:pt>
              </c:strCache>
            </c:strRef>
          </c:tx>
          <c:spPr>
            <a:ln w="3175">
              <a:solidFill>
                <a:schemeClr val="accent5">
                  <a:lumMod val="75000"/>
                </a:schemeClr>
              </a:solidFill>
            </a:ln>
          </c:spPr>
          <c:marker>
            <c:symbol val="none"/>
          </c:marker>
          <c:xVal>
            <c:numRef>
              <c:f>Tools!$CL$28:$DJ$28</c:f>
              <c:numCache>
                <c:formatCode>General</c:formatCode>
                <c:ptCount val="25"/>
                <c:pt idx="0">
                  <c:v>19.5</c:v>
                </c:pt>
                <c:pt idx="1">
                  <c:v>19.502277701778386</c:v>
                </c:pt>
                <c:pt idx="2">
                  <c:v>19.506320109439123</c:v>
                </c:pt>
                <c:pt idx="3">
                  <c:v>19.51138850889193</c:v>
                </c:pt>
                <c:pt idx="4">
                  <c:v>19.517318741450069</c:v>
                </c:pt>
                <c:pt idx="5">
                  <c:v>19.544778841769265</c:v>
                </c:pt>
                <c:pt idx="6">
                  <c:v>19.572731418148656</c:v>
                </c:pt>
                <c:pt idx="7">
                  <c:v>19.597309621523028</c:v>
                </c:pt>
                <c:pt idx="8">
                  <c:v>19.619030551755586</c:v>
                </c:pt>
                <c:pt idx="9">
                  <c:v>19.623351390788873</c:v>
                </c:pt>
                <c:pt idx="10">
                  <c:v>19.653578841769267</c:v>
                </c:pt>
                <c:pt idx="11">
                  <c:v>19.6722382124943</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xVal>
          <c:yVal>
            <c:numRef>
              <c:f>Tools!$CL$4:$DJ$4</c:f>
              <c:numCache>
                <c:formatCode>General</c:formatCode>
                <c:ptCount val="25"/>
                <c:pt idx="0">
                  <c:v>0</c:v>
                </c:pt>
                <c:pt idx="1">
                  <c:v>0.25</c:v>
                </c:pt>
                <c:pt idx="2">
                  <c:v>0.5</c:v>
                </c:pt>
                <c:pt idx="3">
                  <c:v>0.75</c:v>
                </c:pt>
                <c:pt idx="4">
                  <c:v>1</c:v>
                </c:pt>
                <c:pt idx="5">
                  <c:v>2</c:v>
                </c:pt>
                <c:pt idx="6">
                  <c:v>3</c:v>
                </c:pt>
                <c:pt idx="7">
                  <c:v>4</c:v>
                </c:pt>
                <c:pt idx="8">
                  <c:v>4.8499999999999996</c:v>
                </c:pt>
                <c:pt idx="9">
                  <c:v>5</c:v>
                </c:pt>
                <c:pt idx="10">
                  <c:v>6</c:v>
                </c:pt>
                <c:pt idx="11">
                  <c:v>6.5</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yVal>
          <c:smooth val="1"/>
        </c:ser>
        <c:ser>
          <c:idx val="24"/>
          <c:order val="24"/>
          <c:tx>
            <c:strRef>
              <c:f>Tools!$CK$29</c:f>
              <c:strCache>
                <c:ptCount val="1"/>
                <c:pt idx="0">
                  <c:v>20</c:v>
                </c:pt>
              </c:strCache>
            </c:strRef>
          </c:tx>
          <c:spPr>
            <a:ln w="3175">
              <a:solidFill>
                <a:schemeClr val="accent5">
                  <a:lumMod val="75000"/>
                </a:schemeClr>
              </a:solidFill>
            </a:ln>
          </c:spPr>
          <c:marker>
            <c:symbol val="none"/>
          </c:marker>
          <c:xVal>
            <c:numRef>
              <c:f>Tools!$CL$29:$DJ$29</c:f>
              <c:numCache>
                <c:formatCode>General</c:formatCode>
                <c:ptCount val="25"/>
                <c:pt idx="0">
                  <c:v>20</c:v>
                </c:pt>
                <c:pt idx="1">
                  <c:v>20.001299589603285</c:v>
                </c:pt>
                <c:pt idx="2">
                  <c:v>20.004103967168263</c:v>
                </c:pt>
                <c:pt idx="3">
                  <c:v>20.007710898312812</c:v>
                </c:pt>
                <c:pt idx="4">
                  <c:v>20.011810305517557</c:v>
                </c:pt>
                <c:pt idx="5">
                  <c:v>20.026502507979938</c:v>
                </c:pt>
                <c:pt idx="6">
                  <c:v>20.035558595531235</c:v>
                </c:pt>
                <c:pt idx="7">
                  <c:v>20.038176014591883</c:v>
                </c:pt>
                <c:pt idx="8">
                  <c:v>20.038548107615139</c:v>
                </c:pt>
                <c:pt idx="9">
                  <c:v>20.038659370725036</c:v>
                </c:pt>
                <c:pt idx="10">
                  <c:v>20.041823985408115</c:v>
                </c:pt>
                <c:pt idx="11">
                  <c:v>20.048472412220701</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xVal>
          <c:yVal>
            <c:numRef>
              <c:f>Tools!$CL$4:$DJ$4</c:f>
              <c:numCache>
                <c:formatCode>General</c:formatCode>
                <c:ptCount val="25"/>
                <c:pt idx="0">
                  <c:v>0</c:v>
                </c:pt>
                <c:pt idx="1">
                  <c:v>0.25</c:v>
                </c:pt>
                <c:pt idx="2">
                  <c:v>0.5</c:v>
                </c:pt>
                <c:pt idx="3">
                  <c:v>0.75</c:v>
                </c:pt>
                <c:pt idx="4">
                  <c:v>1</c:v>
                </c:pt>
                <c:pt idx="5">
                  <c:v>2</c:v>
                </c:pt>
                <c:pt idx="6">
                  <c:v>3</c:v>
                </c:pt>
                <c:pt idx="7">
                  <c:v>4</c:v>
                </c:pt>
                <c:pt idx="8">
                  <c:v>4.8499999999999996</c:v>
                </c:pt>
                <c:pt idx="9">
                  <c:v>5</c:v>
                </c:pt>
                <c:pt idx="10">
                  <c:v>6</c:v>
                </c:pt>
                <c:pt idx="11">
                  <c:v>6.5</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yVal>
          <c:smooth val="1"/>
        </c:ser>
        <c:ser>
          <c:idx val="25"/>
          <c:order val="25"/>
          <c:tx>
            <c:strRef>
              <c:f>Tools!$CK$30</c:f>
              <c:strCache>
                <c:ptCount val="1"/>
                <c:pt idx="0">
                  <c:v>0</c:v>
                </c:pt>
              </c:strCache>
            </c:strRef>
          </c:tx>
          <c:spPr>
            <a:ln w="3175">
              <a:solidFill>
                <a:schemeClr val="accent6">
                  <a:lumMod val="75000"/>
                </a:schemeClr>
              </a:solidFill>
            </a:ln>
          </c:spPr>
          <c:marker>
            <c:symbol val="none"/>
          </c:marker>
          <c:xVal>
            <c:numRef>
              <c:f>Tools!$CL$30:$DJ$30</c:f>
              <c:numCache>
                <c:formatCode>General</c:formatCode>
                <c:ptCount val="25"/>
                <c:pt idx="0">
                  <c:v>0</c:v>
                </c:pt>
                <c:pt idx="1">
                  <c:v>0</c:v>
                </c:pt>
                <c:pt idx="2">
                  <c:v>0</c:v>
                </c:pt>
                <c:pt idx="3">
                  <c:v>0</c:v>
                </c:pt>
                <c:pt idx="4">
                  <c:v>0</c:v>
                </c:pt>
                <c:pt idx="5">
                  <c:v>0</c:v>
                </c:pt>
                <c:pt idx="6">
                  <c:v>0</c:v>
                </c:pt>
                <c:pt idx="7">
                  <c:v>3.1463748290013679E-3</c:v>
                </c:pt>
                <c:pt idx="8">
                  <c:v>2.7460586715306268E-2</c:v>
                </c:pt>
                <c:pt idx="9">
                  <c:v>3.5522115823073422E-2</c:v>
                </c:pt>
                <c:pt idx="10">
                  <c:v>0.10397628818969448</c:v>
                </c:pt>
                <c:pt idx="11">
                  <c:v>0.14994984040127682</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xVal>
          <c:yVal>
            <c:numRef>
              <c:f>Tools!$CL$4:$DJ$4</c:f>
              <c:numCache>
                <c:formatCode>General</c:formatCode>
                <c:ptCount val="25"/>
                <c:pt idx="0">
                  <c:v>0</c:v>
                </c:pt>
                <c:pt idx="1">
                  <c:v>0.25</c:v>
                </c:pt>
                <c:pt idx="2">
                  <c:v>0.5</c:v>
                </c:pt>
                <c:pt idx="3">
                  <c:v>0.75</c:v>
                </c:pt>
                <c:pt idx="4">
                  <c:v>1</c:v>
                </c:pt>
                <c:pt idx="5">
                  <c:v>2</c:v>
                </c:pt>
                <c:pt idx="6">
                  <c:v>3</c:v>
                </c:pt>
                <c:pt idx="7">
                  <c:v>4</c:v>
                </c:pt>
                <c:pt idx="8">
                  <c:v>4.8499999999999996</c:v>
                </c:pt>
                <c:pt idx="9">
                  <c:v>5</c:v>
                </c:pt>
                <c:pt idx="10">
                  <c:v>6</c:v>
                </c:pt>
                <c:pt idx="11">
                  <c:v>6.5</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yVal>
          <c:smooth val="1"/>
        </c:ser>
        <c:ser>
          <c:idx val="26"/>
          <c:order val="26"/>
          <c:tx>
            <c:strRef>
              <c:f>Tools!$CK$31</c:f>
              <c:strCache>
                <c:ptCount val="1"/>
                <c:pt idx="0">
                  <c:v>0.5</c:v>
                </c:pt>
              </c:strCache>
            </c:strRef>
          </c:tx>
          <c:spPr>
            <a:ln w="3175">
              <a:solidFill>
                <a:schemeClr val="accent6">
                  <a:lumMod val="75000"/>
                </a:schemeClr>
              </a:solidFill>
            </a:ln>
          </c:spPr>
          <c:marker>
            <c:symbol val="none"/>
          </c:marker>
          <c:xVal>
            <c:numRef>
              <c:f>Tools!$CL$31:$DJ$31</c:f>
              <c:numCache>
                <c:formatCode>General</c:formatCode>
                <c:ptCount val="25"/>
                <c:pt idx="0">
                  <c:v>0.5</c:v>
                </c:pt>
                <c:pt idx="1">
                  <c:v>0.50001994984040132</c:v>
                </c:pt>
                <c:pt idx="2">
                  <c:v>0.5000911992704058</c:v>
                </c:pt>
                <c:pt idx="3">
                  <c:v>0.50020462836297308</c:v>
                </c:pt>
                <c:pt idx="4">
                  <c:v>0.50038911688706489</c:v>
                </c:pt>
                <c:pt idx="5">
                  <c:v>0.50188630490956077</c:v>
                </c:pt>
                <c:pt idx="6">
                  <c:v>0.50631098951208386</c:v>
                </c:pt>
                <c:pt idx="7">
                  <c:v>0.52413892688858488</c:v>
                </c:pt>
                <c:pt idx="8">
                  <c:v>0.56987096823225414</c:v>
                </c:pt>
                <c:pt idx="9">
                  <c:v>0.58268733850129195</c:v>
                </c:pt>
                <c:pt idx="10">
                  <c:v>0.68233926128590972</c:v>
                </c:pt>
                <c:pt idx="11">
                  <c:v>0.74666666666666659</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xVal>
          <c:yVal>
            <c:numRef>
              <c:f>Tools!$CL$4:$DJ$4</c:f>
              <c:numCache>
                <c:formatCode>General</c:formatCode>
                <c:ptCount val="25"/>
                <c:pt idx="0">
                  <c:v>0</c:v>
                </c:pt>
                <c:pt idx="1">
                  <c:v>0.25</c:v>
                </c:pt>
                <c:pt idx="2">
                  <c:v>0.5</c:v>
                </c:pt>
                <c:pt idx="3">
                  <c:v>0.75</c:v>
                </c:pt>
                <c:pt idx="4">
                  <c:v>1</c:v>
                </c:pt>
                <c:pt idx="5">
                  <c:v>2</c:v>
                </c:pt>
                <c:pt idx="6">
                  <c:v>3</c:v>
                </c:pt>
                <c:pt idx="7">
                  <c:v>4</c:v>
                </c:pt>
                <c:pt idx="8">
                  <c:v>4.8499999999999996</c:v>
                </c:pt>
                <c:pt idx="9">
                  <c:v>5</c:v>
                </c:pt>
                <c:pt idx="10">
                  <c:v>6</c:v>
                </c:pt>
                <c:pt idx="11">
                  <c:v>6.5</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yVal>
          <c:smooth val="1"/>
        </c:ser>
        <c:ser>
          <c:idx val="27"/>
          <c:order val="27"/>
          <c:tx>
            <c:strRef>
              <c:f>Tools!$CK$32</c:f>
              <c:strCache>
                <c:ptCount val="1"/>
                <c:pt idx="0">
                  <c:v>1</c:v>
                </c:pt>
              </c:strCache>
            </c:strRef>
          </c:tx>
          <c:spPr>
            <a:ln w="3175">
              <a:solidFill>
                <a:schemeClr val="accent6">
                  <a:lumMod val="75000"/>
                </a:schemeClr>
              </a:solidFill>
            </a:ln>
          </c:spPr>
          <c:marker>
            <c:symbol val="none"/>
          </c:marker>
          <c:xVal>
            <c:numRef>
              <c:f>Tools!$CL$32:$DJ$32</c:f>
              <c:numCache>
                <c:formatCode>General</c:formatCode>
                <c:ptCount val="25"/>
                <c:pt idx="0">
                  <c:v>1</c:v>
                </c:pt>
                <c:pt idx="1">
                  <c:v>1.0000495896032833</c:v>
                </c:pt>
                <c:pt idx="2">
                  <c:v>1.0002553579571363</c:v>
                </c:pt>
                <c:pt idx="3">
                  <c:v>1.0006902644778841</c:v>
                </c:pt>
                <c:pt idx="4">
                  <c:v>1.0014135886912905</c:v>
                </c:pt>
                <c:pt idx="5">
                  <c:v>1.0080057759537924</c:v>
                </c:pt>
                <c:pt idx="6">
                  <c:v>1.0248943608451133</c:v>
                </c:pt>
                <c:pt idx="7">
                  <c:v>1.0641358869129047</c:v>
                </c:pt>
                <c:pt idx="8">
                  <c:v>1.130201778385773</c:v>
                </c:pt>
                <c:pt idx="9">
                  <c:v>1.1463353093175255</c:v>
                </c:pt>
                <c:pt idx="10">
                  <c:v>1.2738212494300045</c:v>
                </c:pt>
                <c:pt idx="11">
                  <c:v>1.3540553275573797</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xVal>
          <c:yVal>
            <c:numRef>
              <c:f>Tools!$CL$4:$DJ$4</c:f>
              <c:numCache>
                <c:formatCode>General</c:formatCode>
                <c:ptCount val="25"/>
                <c:pt idx="0">
                  <c:v>0</c:v>
                </c:pt>
                <c:pt idx="1">
                  <c:v>0.25</c:v>
                </c:pt>
                <c:pt idx="2">
                  <c:v>0.5</c:v>
                </c:pt>
                <c:pt idx="3">
                  <c:v>0.75</c:v>
                </c:pt>
                <c:pt idx="4">
                  <c:v>1</c:v>
                </c:pt>
                <c:pt idx="5">
                  <c:v>2</c:v>
                </c:pt>
                <c:pt idx="6">
                  <c:v>3</c:v>
                </c:pt>
                <c:pt idx="7">
                  <c:v>4</c:v>
                </c:pt>
                <c:pt idx="8">
                  <c:v>4.8499999999999996</c:v>
                </c:pt>
                <c:pt idx="9">
                  <c:v>5</c:v>
                </c:pt>
                <c:pt idx="10">
                  <c:v>6</c:v>
                </c:pt>
                <c:pt idx="11">
                  <c:v>6.5</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yVal>
          <c:smooth val="1"/>
        </c:ser>
        <c:ser>
          <c:idx val="28"/>
          <c:order val="28"/>
          <c:tx>
            <c:strRef>
              <c:f>Tools!$CK$33</c:f>
              <c:strCache>
                <c:ptCount val="1"/>
                <c:pt idx="0">
                  <c:v>1.5</c:v>
                </c:pt>
              </c:strCache>
            </c:strRef>
          </c:tx>
          <c:spPr>
            <a:ln w="3175">
              <a:solidFill>
                <a:schemeClr val="accent6">
                  <a:lumMod val="75000"/>
                </a:schemeClr>
              </a:solidFill>
            </a:ln>
          </c:spPr>
          <c:marker>
            <c:symbol val="none"/>
          </c:marker>
          <c:xVal>
            <c:numRef>
              <c:f>Tools!$CL$33:$DJ$33</c:f>
              <c:numCache>
                <c:formatCode>General</c:formatCode>
                <c:ptCount val="25"/>
                <c:pt idx="0">
                  <c:v>1.5</c:v>
                </c:pt>
                <c:pt idx="1">
                  <c:v>1.500095474236206</c:v>
                </c:pt>
                <c:pt idx="2">
                  <c:v>1.5005061559507524</c:v>
                </c:pt>
                <c:pt idx="3">
                  <c:v>1.5013677040583675</c:v>
                </c:pt>
                <c:pt idx="4">
                  <c:v>1.5027906976744185</c:v>
                </c:pt>
                <c:pt idx="5">
                  <c:v>1.5158701930384557</c:v>
                </c:pt>
                <c:pt idx="6">
                  <c:v>1.5465055479556165</c:v>
                </c:pt>
                <c:pt idx="7">
                  <c:v>1.60578051375589</c:v>
                </c:pt>
                <c:pt idx="8">
                  <c:v>1.6905913664690682</c:v>
                </c:pt>
                <c:pt idx="9">
                  <c:v>1.7102143182854537</c:v>
                </c:pt>
                <c:pt idx="10">
                  <c:v>1.8612357501139991</c:v>
                </c:pt>
                <c:pt idx="11">
                  <c:v>1.9547484420124639</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xVal>
          <c:yVal>
            <c:numRef>
              <c:f>Tools!$CL$4:$DJ$4</c:f>
              <c:numCache>
                <c:formatCode>General</c:formatCode>
                <c:ptCount val="25"/>
                <c:pt idx="0">
                  <c:v>0</c:v>
                </c:pt>
                <c:pt idx="1">
                  <c:v>0.25</c:v>
                </c:pt>
                <c:pt idx="2">
                  <c:v>0.5</c:v>
                </c:pt>
                <c:pt idx="3">
                  <c:v>0.75</c:v>
                </c:pt>
                <c:pt idx="4">
                  <c:v>1</c:v>
                </c:pt>
                <c:pt idx="5">
                  <c:v>2</c:v>
                </c:pt>
                <c:pt idx="6">
                  <c:v>3</c:v>
                </c:pt>
                <c:pt idx="7">
                  <c:v>4</c:v>
                </c:pt>
                <c:pt idx="8">
                  <c:v>4.8499999999999996</c:v>
                </c:pt>
                <c:pt idx="9">
                  <c:v>5</c:v>
                </c:pt>
                <c:pt idx="10">
                  <c:v>6</c:v>
                </c:pt>
                <c:pt idx="11">
                  <c:v>6.5</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yVal>
          <c:smooth val="1"/>
        </c:ser>
        <c:ser>
          <c:idx val="29"/>
          <c:order val="29"/>
          <c:tx>
            <c:strRef>
              <c:f>Tools!$CK$34</c:f>
              <c:strCache>
                <c:ptCount val="1"/>
                <c:pt idx="0">
                  <c:v>2</c:v>
                </c:pt>
              </c:strCache>
            </c:strRef>
          </c:tx>
          <c:spPr>
            <a:ln w="3175">
              <a:solidFill>
                <a:schemeClr val="accent6">
                  <a:lumMod val="75000"/>
                </a:schemeClr>
              </a:solidFill>
            </a:ln>
          </c:spPr>
          <c:marker>
            <c:symbol val="none"/>
          </c:marker>
          <c:xVal>
            <c:numRef>
              <c:f>Tools!$CL$34:$DJ$34</c:f>
              <c:numCache>
                <c:formatCode>General</c:formatCode>
                <c:ptCount val="25"/>
                <c:pt idx="0">
                  <c:v>2</c:v>
                </c:pt>
                <c:pt idx="1">
                  <c:v>2.00015636874905</c:v>
                </c:pt>
                <c:pt idx="2">
                  <c:v>2.0008086335309319</c:v>
                </c:pt>
                <c:pt idx="3">
                  <c:v>2.002168832649339</c:v>
                </c:pt>
                <c:pt idx="4">
                  <c:v>2.0043866849065206</c:v>
                </c:pt>
                <c:pt idx="5">
                  <c:v>2.0242483660130719</c:v>
                </c:pt>
                <c:pt idx="6">
                  <c:v>2.0677762577899377</c:v>
                </c:pt>
                <c:pt idx="7">
                  <c:v>2.1440234078127376</c:v>
                </c:pt>
                <c:pt idx="8">
                  <c:v>2.2443789633682929</c:v>
                </c:pt>
                <c:pt idx="9">
                  <c:v>2.2662745098039214</c:v>
                </c:pt>
                <c:pt idx="10">
                  <c:v>2.4373689010487913</c:v>
                </c:pt>
                <c:pt idx="11">
                  <c:v>2.5413634290925673</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xVal>
          <c:yVal>
            <c:numRef>
              <c:f>Tools!$CL$4:$DJ$4</c:f>
              <c:numCache>
                <c:formatCode>General</c:formatCode>
                <c:ptCount val="25"/>
                <c:pt idx="0">
                  <c:v>0</c:v>
                </c:pt>
                <c:pt idx="1">
                  <c:v>0.25</c:v>
                </c:pt>
                <c:pt idx="2">
                  <c:v>0.5</c:v>
                </c:pt>
                <c:pt idx="3">
                  <c:v>0.75</c:v>
                </c:pt>
                <c:pt idx="4">
                  <c:v>1</c:v>
                </c:pt>
                <c:pt idx="5">
                  <c:v>2</c:v>
                </c:pt>
                <c:pt idx="6">
                  <c:v>3</c:v>
                </c:pt>
                <c:pt idx="7">
                  <c:v>4</c:v>
                </c:pt>
                <c:pt idx="8">
                  <c:v>4.8499999999999996</c:v>
                </c:pt>
                <c:pt idx="9">
                  <c:v>5</c:v>
                </c:pt>
                <c:pt idx="10">
                  <c:v>6</c:v>
                </c:pt>
                <c:pt idx="11">
                  <c:v>6.5</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yVal>
          <c:smooth val="1"/>
        </c:ser>
        <c:ser>
          <c:idx val="30"/>
          <c:order val="30"/>
          <c:tx>
            <c:strRef>
              <c:f>Tools!$CK$36</c:f>
              <c:strCache>
                <c:ptCount val="1"/>
                <c:pt idx="0">
                  <c:v>4</c:v>
                </c:pt>
              </c:strCache>
            </c:strRef>
          </c:tx>
          <c:spPr>
            <a:ln w="3175">
              <a:solidFill>
                <a:schemeClr val="accent6">
                  <a:lumMod val="75000"/>
                </a:schemeClr>
              </a:solidFill>
            </a:ln>
          </c:spPr>
          <c:marker>
            <c:symbol val="none"/>
          </c:marker>
          <c:xVal>
            <c:numRef>
              <c:f>Tools!$CL$36:$DJ$36</c:f>
              <c:numCache>
                <c:formatCode>General</c:formatCode>
                <c:ptCount val="25"/>
                <c:pt idx="0">
                  <c:v>4</c:v>
                </c:pt>
                <c:pt idx="1">
                  <c:v>4.0005551755585955</c:v>
                </c:pt>
                <c:pt idx="2">
                  <c:v>4.0025718194254445</c:v>
                </c:pt>
                <c:pt idx="3">
                  <c:v>4.0063235294117643</c:v>
                </c:pt>
                <c:pt idx="4">
                  <c:v>4.0119683842529259</c:v>
                </c:pt>
                <c:pt idx="5">
                  <c:v>4.0560905912752698</c:v>
                </c:pt>
                <c:pt idx="6">
                  <c:v>4.1390636874905002</c:v>
                </c:pt>
                <c:pt idx="7">
                  <c:v>4.2640492476060192</c:v>
                </c:pt>
                <c:pt idx="8">
                  <c:v>4.4051086791305671</c:v>
                </c:pt>
                <c:pt idx="9">
                  <c:v>4.4338805289557683</c:v>
                </c:pt>
                <c:pt idx="10">
                  <c:v>4.6473293813649494</c:v>
                </c:pt>
                <c:pt idx="11">
                  <c:v>4.7708527131782947</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xVal>
          <c:yVal>
            <c:numRef>
              <c:f>Tools!$CL$4:$DJ$4</c:f>
              <c:numCache>
                <c:formatCode>General</c:formatCode>
                <c:ptCount val="25"/>
                <c:pt idx="0">
                  <c:v>0</c:v>
                </c:pt>
                <c:pt idx="1">
                  <c:v>0.25</c:v>
                </c:pt>
                <c:pt idx="2">
                  <c:v>0.5</c:v>
                </c:pt>
                <c:pt idx="3">
                  <c:v>0.75</c:v>
                </c:pt>
                <c:pt idx="4">
                  <c:v>1</c:v>
                </c:pt>
                <c:pt idx="5">
                  <c:v>2</c:v>
                </c:pt>
                <c:pt idx="6">
                  <c:v>3</c:v>
                </c:pt>
                <c:pt idx="7">
                  <c:v>4</c:v>
                </c:pt>
                <c:pt idx="8">
                  <c:v>4.8499999999999996</c:v>
                </c:pt>
                <c:pt idx="9">
                  <c:v>5</c:v>
                </c:pt>
                <c:pt idx="10">
                  <c:v>6</c:v>
                </c:pt>
                <c:pt idx="11">
                  <c:v>6.5</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yVal>
          <c:smooth val="1"/>
        </c:ser>
        <c:ser>
          <c:idx val="31"/>
          <c:order val="31"/>
          <c:tx>
            <c:strRef>
              <c:f>Tools!$CK$37</c:f>
              <c:strCache>
                <c:ptCount val="1"/>
                <c:pt idx="0">
                  <c:v>5</c:v>
                </c:pt>
              </c:strCache>
            </c:strRef>
          </c:tx>
          <c:spPr>
            <a:ln w="3175">
              <a:solidFill>
                <a:schemeClr val="accent6">
                  <a:lumMod val="75000"/>
                </a:schemeClr>
              </a:solidFill>
            </a:ln>
          </c:spPr>
          <c:marker>
            <c:symbol val="none"/>
          </c:marker>
          <c:xVal>
            <c:numRef>
              <c:f>Tools!$CL$37:$DJ$37</c:f>
              <c:numCache>
                <c:formatCode>General</c:formatCode>
                <c:ptCount val="25"/>
                <c:pt idx="0">
                  <c:v>5</c:v>
                </c:pt>
                <c:pt idx="1">
                  <c:v>5.0007807037543701</c:v>
                </c:pt>
                <c:pt idx="2">
                  <c:v>5.0034412524699805</c:v>
                </c:pt>
                <c:pt idx="3">
                  <c:v>5.0082529639762878</c:v>
                </c:pt>
                <c:pt idx="4">
                  <c:v>5.0153670770633836</c:v>
                </c:pt>
                <c:pt idx="5">
                  <c:v>5.0679145766833864</c:v>
                </c:pt>
                <c:pt idx="6">
                  <c:v>5.1607630338957291</c:v>
                </c:pt>
                <c:pt idx="7">
                  <c:v>5.293869889040888</c:v>
                </c:pt>
                <c:pt idx="8">
                  <c:v>5.4400285453716366</c:v>
                </c:pt>
                <c:pt idx="9">
                  <c:v>5.4694786441708469</c:v>
                </c:pt>
                <c:pt idx="10">
                  <c:v>5.686051071591427</c:v>
                </c:pt>
                <c:pt idx="11">
                  <c:v>5.810887672898617</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xVal>
          <c:yVal>
            <c:numRef>
              <c:f>Tools!$CL$4:$DJ$4</c:f>
              <c:numCache>
                <c:formatCode>General</c:formatCode>
                <c:ptCount val="25"/>
                <c:pt idx="0">
                  <c:v>0</c:v>
                </c:pt>
                <c:pt idx="1">
                  <c:v>0.25</c:v>
                </c:pt>
                <c:pt idx="2">
                  <c:v>0.5</c:v>
                </c:pt>
                <c:pt idx="3">
                  <c:v>0.75</c:v>
                </c:pt>
                <c:pt idx="4">
                  <c:v>1</c:v>
                </c:pt>
                <c:pt idx="5">
                  <c:v>2</c:v>
                </c:pt>
                <c:pt idx="6">
                  <c:v>3</c:v>
                </c:pt>
                <c:pt idx="7">
                  <c:v>4</c:v>
                </c:pt>
                <c:pt idx="8">
                  <c:v>4.8499999999999996</c:v>
                </c:pt>
                <c:pt idx="9">
                  <c:v>5</c:v>
                </c:pt>
                <c:pt idx="10">
                  <c:v>6</c:v>
                </c:pt>
                <c:pt idx="11">
                  <c:v>6.5</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yVal>
          <c:smooth val="1"/>
        </c:ser>
        <c:ser>
          <c:idx val="32"/>
          <c:order val="32"/>
          <c:tx>
            <c:strRef>
              <c:f>Tools!$CK$38</c:f>
              <c:strCache>
                <c:ptCount val="1"/>
                <c:pt idx="0">
                  <c:v>6</c:v>
                </c:pt>
              </c:strCache>
            </c:strRef>
          </c:tx>
          <c:spPr>
            <a:ln w="3175">
              <a:solidFill>
                <a:schemeClr val="accent6">
                  <a:lumMod val="75000"/>
                </a:schemeClr>
              </a:solidFill>
            </a:ln>
          </c:spPr>
          <c:marker>
            <c:symbol val="none"/>
          </c:marker>
          <c:xVal>
            <c:numRef>
              <c:f>Tools!$CL$38:$DJ$38</c:f>
              <c:numCache>
                <c:formatCode>General</c:formatCode>
                <c:ptCount val="25"/>
                <c:pt idx="0">
                  <c:v>6</c:v>
                </c:pt>
                <c:pt idx="1">
                  <c:v>6.0009803921568627</c:v>
                </c:pt>
                <c:pt idx="2">
                  <c:v>6.0041495668034655</c:v>
                </c:pt>
                <c:pt idx="3">
                  <c:v>6.0096990424076608</c:v>
                </c:pt>
                <c:pt idx="4">
                  <c:v>6.0177595379236966</c:v>
                </c:pt>
                <c:pt idx="5">
                  <c:v>6.0756254749962002</c:v>
                </c:pt>
                <c:pt idx="6">
                  <c:v>6.1749870801033593</c:v>
                </c:pt>
                <c:pt idx="7">
                  <c:v>6.3144459644322843</c:v>
                </c:pt>
                <c:pt idx="8">
                  <c:v>6.465376196990424</c:v>
                </c:pt>
                <c:pt idx="9">
                  <c:v>6.4956437148502815</c:v>
                </c:pt>
                <c:pt idx="10">
                  <c:v>6.7157227542179658</c:v>
                </c:pt>
                <c:pt idx="11">
                  <c:v>6.8411217510259918</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xVal>
          <c:yVal>
            <c:numRef>
              <c:f>Tools!$CL$4:$DJ$4</c:f>
              <c:numCache>
                <c:formatCode>General</c:formatCode>
                <c:ptCount val="25"/>
                <c:pt idx="0">
                  <c:v>0</c:v>
                </c:pt>
                <c:pt idx="1">
                  <c:v>0.25</c:v>
                </c:pt>
                <c:pt idx="2">
                  <c:v>0.5</c:v>
                </c:pt>
                <c:pt idx="3">
                  <c:v>0.75</c:v>
                </c:pt>
                <c:pt idx="4">
                  <c:v>1</c:v>
                </c:pt>
                <c:pt idx="5">
                  <c:v>2</c:v>
                </c:pt>
                <c:pt idx="6">
                  <c:v>3</c:v>
                </c:pt>
                <c:pt idx="7">
                  <c:v>4</c:v>
                </c:pt>
                <c:pt idx="8">
                  <c:v>4.8499999999999996</c:v>
                </c:pt>
                <c:pt idx="9">
                  <c:v>5</c:v>
                </c:pt>
                <c:pt idx="10">
                  <c:v>6</c:v>
                </c:pt>
                <c:pt idx="11">
                  <c:v>6.5</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yVal>
          <c:smooth val="1"/>
        </c:ser>
        <c:ser>
          <c:idx val="33"/>
          <c:order val="33"/>
          <c:tx>
            <c:strRef>
              <c:f>Tools!$CK$39</c:f>
              <c:strCache>
                <c:ptCount val="1"/>
                <c:pt idx="0">
                  <c:v>7</c:v>
                </c:pt>
              </c:strCache>
            </c:strRef>
          </c:tx>
          <c:spPr>
            <a:ln w="3175">
              <a:solidFill>
                <a:schemeClr val="accent6">
                  <a:lumMod val="75000"/>
                </a:schemeClr>
              </a:solidFill>
            </a:ln>
          </c:spPr>
          <c:marker>
            <c:symbol val="none"/>
          </c:marker>
          <c:xVal>
            <c:numRef>
              <c:f>Tools!$CL$39:$DJ$39</c:f>
              <c:numCache>
                <c:formatCode>General</c:formatCode>
                <c:ptCount val="25"/>
                <c:pt idx="0">
                  <c:v>7</c:v>
                </c:pt>
                <c:pt idx="1">
                  <c:v>7.0010924912600698</c:v>
                </c:pt>
                <c:pt idx="2">
                  <c:v>7.0045538835689314</c:v>
                </c:pt>
                <c:pt idx="3">
                  <c:v>7.0105186958504335</c:v>
                </c:pt>
                <c:pt idx="4">
                  <c:v>7.0190697674418603</c:v>
                </c:pt>
                <c:pt idx="5">
                  <c:v>7.0788660890712878</c:v>
                </c:pt>
                <c:pt idx="6">
                  <c:v>7.1793372853017177</c:v>
                </c:pt>
                <c:pt idx="7">
                  <c:v>7.3196321629426961</c:v>
                </c:pt>
                <c:pt idx="8">
                  <c:v>7.4705623955008358</c:v>
                </c:pt>
                <c:pt idx="9">
                  <c:v>7.500358717130263</c:v>
                </c:pt>
                <c:pt idx="10">
                  <c:v>7.7209089527283785</c:v>
                </c:pt>
                <c:pt idx="11">
                  <c:v>7.8463079495364036</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xVal>
          <c:yVal>
            <c:numRef>
              <c:f>Tools!$CL$4:$DJ$4</c:f>
              <c:numCache>
                <c:formatCode>General</c:formatCode>
                <c:ptCount val="25"/>
                <c:pt idx="0">
                  <c:v>0</c:v>
                </c:pt>
                <c:pt idx="1">
                  <c:v>0.25</c:v>
                </c:pt>
                <c:pt idx="2">
                  <c:v>0.5</c:v>
                </c:pt>
                <c:pt idx="3">
                  <c:v>0.75</c:v>
                </c:pt>
                <c:pt idx="4">
                  <c:v>1</c:v>
                </c:pt>
                <c:pt idx="5">
                  <c:v>2</c:v>
                </c:pt>
                <c:pt idx="6">
                  <c:v>3</c:v>
                </c:pt>
                <c:pt idx="7">
                  <c:v>4</c:v>
                </c:pt>
                <c:pt idx="8">
                  <c:v>4.8499999999999996</c:v>
                </c:pt>
                <c:pt idx="9">
                  <c:v>5</c:v>
                </c:pt>
                <c:pt idx="10">
                  <c:v>6</c:v>
                </c:pt>
                <c:pt idx="11">
                  <c:v>6.5</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yVal>
          <c:smooth val="1"/>
        </c:ser>
        <c:ser>
          <c:idx val="34"/>
          <c:order val="34"/>
          <c:tx>
            <c:strRef>
              <c:f>Tools!$CK$40</c:f>
              <c:strCache>
                <c:ptCount val="1"/>
                <c:pt idx="0">
                  <c:v>8</c:v>
                </c:pt>
              </c:strCache>
            </c:strRef>
          </c:tx>
          <c:spPr>
            <a:ln w="3175">
              <a:solidFill>
                <a:schemeClr val="accent6">
                  <a:lumMod val="75000"/>
                </a:schemeClr>
              </a:solidFill>
            </a:ln>
          </c:spPr>
          <c:marker>
            <c:symbol val="none"/>
          </c:marker>
          <c:xVal>
            <c:numRef>
              <c:f>Tools!$CL$40:$DJ$40</c:f>
              <c:numCache>
                <c:formatCode>General</c:formatCode>
                <c:ptCount val="25"/>
                <c:pt idx="0">
                  <c:v>8</c:v>
                </c:pt>
                <c:pt idx="1">
                  <c:v>8.0011507257941936</c:v>
                </c:pt>
                <c:pt idx="2">
                  <c:v>8.0047621219030241</c:v>
                </c:pt>
                <c:pt idx="3">
                  <c:v>8.0109082877336988</c:v>
                </c:pt>
                <c:pt idx="4">
                  <c:v>8.0196686426508581</c:v>
                </c:pt>
                <c:pt idx="5">
                  <c:v>8.0798601611187113</c:v>
                </c:pt>
                <c:pt idx="6">
                  <c:v>8.1801793585651321</c:v>
                </c:pt>
                <c:pt idx="7">
                  <c:v>8.3206262349901206</c:v>
                </c:pt>
                <c:pt idx="8">
                  <c:v>8.4715564675482593</c:v>
                </c:pt>
                <c:pt idx="9">
                  <c:v>8.5012007903936766</c:v>
                </c:pt>
                <c:pt idx="10">
                  <c:v>8.721903024775802</c:v>
                </c:pt>
                <c:pt idx="11">
                  <c:v>8.8473020215838272</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xVal>
          <c:yVal>
            <c:numRef>
              <c:f>Tools!$CL$4:$DJ$4</c:f>
              <c:numCache>
                <c:formatCode>General</c:formatCode>
                <c:ptCount val="25"/>
                <c:pt idx="0">
                  <c:v>0</c:v>
                </c:pt>
                <c:pt idx="1">
                  <c:v>0.25</c:v>
                </c:pt>
                <c:pt idx="2">
                  <c:v>0.5</c:v>
                </c:pt>
                <c:pt idx="3">
                  <c:v>0.75</c:v>
                </c:pt>
                <c:pt idx="4">
                  <c:v>1</c:v>
                </c:pt>
                <c:pt idx="5">
                  <c:v>2</c:v>
                </c:pt>
                <c:pt idx="6">
                  <c:v>3</c:v>
                </c:pt>
                <c:pt idx="7">
                  <c:v>4</c:v>
                </c:pt>
                <c:pt idx="8">
                  <c:v>4.8499999999999996</c:v>
                </c:pt>
                <c:pt idx="9">
                  <c:v>5</c:v>
                </c:pt>
                <c:pt idx="10">
                  <c:v>6</c:v>
                </c:pt>
                <c:pt idx="11">
                  <c:v>6.5</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yVal>
          <c:smooth val="1"/>
        </c:ser>
        <c:ser>
          <c:idx val="35"/>
          <c:order val="35"/>
          <c:tx>
            <c:strRef>
              <c:f>Tools!$CK$41</c:f>
              <c:strCache>
                <c:ptCount val="1"/>
                <c:pt idx="0">
                  <c:v>9</c:v>
                </c:pt>
              </c:strCache>
            </c:strRef>
          </c:tx>
          <c:spPr>
            <a:ln w="3175">
              <a:solidFill>
                <a:schemeClr val="accent6">
                  <a:lumMod val="75000"/>
                </a:schemeClr>
              </a:solidFill>
            </a:ln>
          </c:spPr>
          <c:marker>
            <c:symbol val="none"/>
          </c:marker>
          <c:xVal>
            <c:numRef>
              <c:f>Tools!$CL$41:$DJ$41</c:f>
              <c:numCache>
                <c:formatCode>General</c:formatCode>
                <c:ptCount val="25"/>
                <c:pt idx="0">
                  <c:v>9</c:v>
                </c:pt>
                <c:pt idx="1">
                  <c:v>9.0011670656634752</c:v>
                </c:pt>
                <c:pt idx="2">
                  <c:v>9.004810761513907</c:v>
                </c:pt>
                <c:pt idx="3">
                  <c:v>9.0109892270861831</c:v>
                </c:pt>
                <c:pt idx="4">
                  <c:v>9.0197568019455847</c:v>
                </c:pt>
                <c:pt idx="5">
                  <c:v>9.0799483204134361</c:v>
                </c:pt>
                <c:pt idx="6">
                  <c:v>9.180267517859857</c:v>
                </c:pt>
                <c:pt idx="7">
                  <c:v>9.3207143942848454</c:v>
                </c:pt>
                <c:pt idx="8">
                  <c:v>9.4716446268429859</c:v>
                </c:pt>
                <c:pt idx="9">
                  <c:v>9.5012889496884032</c:v>
                </c:pt>
                <c:pt idx="10">
                  <c:v>9.7219911840705269</c:v>
                </c:pt>
                <c:pt idx="11">
                  <c:v>9.8473901808785538</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xVal>
          <c:yVal>
            <c:numRef>
              <c:f>Tools!$CL$4:$DJ$4</c:f>
              <c:numCache>
                <c:formatCode>General</c:formatCode>
                <c:ptCount val="25"/>
                <c:pt idx="0">
                  <c:v>0</c:v>
                </c:pt>
                <c:pt idx="1">
                  <c:v>0.25</c:v>
                </c:pt>
                <c:pt idx="2">
                  <c:v>0.5</c:v>
                </c:pt>
                <c:pt idx="3">
                  <c:v>0.75</c:v>
                </c:pt>
                <c:pt idx="4">
                  <c:v>1</c:v>
                </c:pt>
                <c:pt idx="5">
                  <c:v>2</c:v>
                </c:pt>
                <c:pt idx="6">
                  <c:v>3</c:v>
                </c:pt>
                <c:pt idx="7">
                  <c:v>4</c:v>
                </c:pt>
                <c:pt idx="8">
                  <c:v>4.8499999999999996</c:v>
                </c:pt>
                <c:pt idx="9">
                  <c:v>5</c:v>
                </c:pt>
                <c:pt idx="10">
                  <c:v>6</c:v>
                </c:pt>
                <c:pt idx="11">
                  <c:v>6.5</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yVal>
          <c:smooth val="1"/>
        </c:ser>
        <c:ser>
          <c:idx val="36"/>
          <c:order val="36"/>
          <c:tx>
            <c:strRef>
              <c:f>Tools!$CK$42</c:f>
              <c:strCache>
                <c:ptCount val="1"/>
                <c:pt idx="0">
                  <c:v>10</c:v>
                </c:pt>
              </c:strCache>
            </c:strRef>
          </c:tx>
          <c:spPr>
            <a:ln w="3175">
              <a:solidFill>
                <a:schemeClr val="accent6">
                  <a:lumMod val="75000"/>
                </a:schemeClr>
              </a:solidFill>
            </a:ln>
          </c:spPr>
          <c:marker>
            <c:symbol val="none"/>
          </c:marker>
          <c:xVal>
            <c:numRef>
              <c:f>Tools!$CL$42:$DJ$42</c:f>
              <c:numCache>
                <c:formatCode>General</c:formatCode>
                <c:ptCount val="25"/>
                <c:pt idx="0">
                  <c:v>10</c:v>
                </c:pt>
                <c:pt idx="1">
                  <c:v>10.001167065663475</c:v>
                </c:pt>
                <c:pt idx="2">
                  <c:v>10.004810761513907</c:v>
                </c:pt>
                <c:pt idx="3">
                  <c:v>10.010989227086183</c:v>
                </c:pt>
                <c:pt idx="4">
                  <c:v>10.019756801945585</c:v>
                </c:pt>
                <c:pt idx="5">
                  <c:v>10.079948320413436</c:v>
                </c:pt>
                <c:pt idx="6">
                  <c:v>10.180267517859857</c:v>
                </c:pt>
                <c:pt idx="7">
                  <c:v>10.320714394284845</c:v>
                </c:pt>
                <c:pt idx="8">
                  <c:v>10.471644626842986</c:v>
                </c:pt>
                <c:pt idx="9">
                  <c:v>10.501288949688403</c:v>
                </c:pt>
                <c:pt idx="10">
                  <c:v>10.721991184070527</c:v>
                </c:pt>
                <c:pt idx="11">
                  <c:v>10.847390180878554</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xVal>
          <c:yVal>
            <c:numRef>
              <c:f>Tools!$CL$4:$DJ$4</c:f>
              <c:numCache>
                <c:formatCode>General</c:formatCode>
                <c:ptCount val="25"/>
                <c:pt idx="0">
                  <c:v>0</c:v>
                </c:pt>
                <c:pt idx="1">
                  <c:v>0.25</c:v>
                </c:pt>
                <c:pt idx="2">
                  <c:v>0.5</c:v>
                </c:pt>
                <c:pt idx="3">
                  <c:v>0.75</c:v>
                </c:pt>
                <c:pt idx="4">
                  <c:v>1</c:v>
                </c:pt>
                <c:pt idx="5">
                  <c:v>2</c:v>
                </c:pt>
                <c:pt idx="6">
                  <c:v>3</c:v>
                </c:pt>
                <c:pt idx="7">
                  <c:v>4</c:v>
                </c:pt>
                <c:pt idx="8">
                  <c:v>4.8499999999999996</c:v>
                </c:pt>
                <c:pt idx="9">
                  <c:v>5</c:v>
                </c:pt>
                <c:pt idx="10">
                  <c:v>6</c:v>
                </c:pt>
                <c:pt idx="11">
                  <c:v>6.5</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yVal>
          <c:smooth val="1"/>
        </c:ser>
        <c:ser>
          <c:idx val="37"/>
          <c:order val="37"/>
          <c:tx>
            <c:strRef>
              <c:f>Tools!$CK$43</c:f>
              <c:strCache>
                <c:ptCount val="1"/>
                <c:pt idx="0">
                  <c:v>11</c:v>
                </c:pt>
              </c:strCache>
            </c:strRef>
          </c:tx>
          <c:spPr>
            <a:ln w="3175">
              <a:solidFill>
                <a:schemeClr val="accent6">
                  <a:lumMod val="75000"/>
                </a:schemeClr>
              </a:solidFill>
            </a:ln>
          </c:spPr>
          <c:marker>
            <c:symbol val="none"/>
          </c:marker>
          <c:xVal>
            <c:numRef>
              <c:f>Tools!$CL$43:$DJ$43</c:f>
              <c:numCache>
                <c:formatCode>General</c:formatCode>
                <c:ptCount val="25"/>
                <c:pt idx="0">
                  <c:v>11</c:v>
                </c:pt>
                <c:pt idx="1">
                  <c:v>11.001167065663475</c:v>
                </c:pt>
                <c:pt idx="2">
                  <c:v>11.004810761513907</c:v>
                </c:pt>
                <c:pt idx="3">
                  <c:v>11.010989227086183</c:v>
                </c:pt>
                <c:pt idx="4">
                  <c:v>11.019756801945585</c:v>
                </c:pt>
                <c:pt idx="5">
                  <c:v>11.079948320413436</c:v>
                </c:pt>
                <c:pt idx="6">
                  <c:v>11.180267517859857</c:v>
                </c:pt>
                <c:pt idx="7">
                  <c:v>11.320714394284845</c:v>
                </c:pt>
                <c:pt idx="8">
                  <c:v>11.471644626842986</c:v>
                </c:pt>
                <c:pt idx="9">
                  <c:v>11.501288949688403</c:v>
                </c:pt>
                <c:pt idx="10">
                  <c:v>11.721991184070527</c:v>
                </c:pt>
                <c:pt idx="11">
                  <c:v>11.847390180878554</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xVal>
          <c:yVal>
            <c:numRef>
              <c:f>Tools!$CL$4:$DJ$4</c:f>
              <c:numCache>
                <c:formatCode>General</c:formatCode>
                <c:ptCount val="25"/>
                <c:pt idx="0">
                  <c:v>0</c:v>
                </c:pt>
                <c:pt idx="1">
                  <c:v>0.25</c:v>
                </c:pt>
                <c:pt idx="2">
                  <c:v>0.5</c:v>
                </c:pt>
                <c:pt idx="3">
                  <c:v>0.75</c:v>
                </c:pt>
                <c:pt idx="4">
                  <c:v>1</c:v>
                </c:pt>
                <c:pt idx="5">
                  <c:v>2</c:v>
                </c:pt>
                <c:pt idx="6">
                  <c:v>3</c:v>
                </c:pt>
                <c:pt idx="7">
                  <c:v>4</c:v>
                </c:pt>
                <c:pt idx="8">
                  <c:v>4.8499999999999996</c:v>
                </c:pt>
                <c:pt idx="9">
                  <c:v>5</c:v>
                </c:pt>
                <c:pt idx="10">
                  <c:v>6</c:v>
                </c:pt>
                <c:pt idx="11">
                  <c:v>6.5</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yVal>
          <c:smooth val="1"/>
        </c:ser>
        <c:ser>
          <c:idx val="38"/>
          <c:order val="38"/>
          <c:tx>
            <c:strRef>
              <c:f>Tools!$CK$44</c:f>
              <c:strCache>
                <c:ptCount val="1"/>
                <c:pt idx="0">
                  <c:v>12</c:v>
                </c:pt>
              </c:strCache>
            </c:strRef>
          </c:tx>
          <c:spPr>
            <a:ln w="3175">
              <a:solidFill>
                <a:schemeClr val="accent6">
                  <a:lumMod val="75000"/>
                </a:schemeClr>
              </a:solidFill>
            </a:ln>
          </c:spPr>
          <c:marker>
            <c:symbol val="none"/>
          </c:marker>
          <c:xVal>
            <c:numRef>
              <c:f>Tools!$CL$44:$DJ$44</c:f>
              <c:numCache>
                <c:formatCode>General</c:formatCode>
                <c:ptCount val="25"/>
                <c:pt idx="0">
                  <c:v>12</c:v>
                </c:pt>
                <c:pt idx="1">
                  <c:v>12.001167065663475</c:v>
                </c:pt>
                <c:pt idx="2">
                  <c:v>12.004810761513907</c:v>
                </c:pt>
                <c:pt idx="3">
                  <c:v>12.010989227086183</c:v>
                </c:pt>
                <c:pt idx="4">
                  <c:v>12.019756801945585</c:v>
                </c:pt>
                <c:pt idx="5">
                  <c:v>12.079948320413436</c:v>
                </c:pt>
                <c:pt idx="6">
                  <c:v>12.180267517859857</c:v>
                </c:pt>
                <c:pt idx="7">
                  <c:v>12.320714394284845</c:v>
                </c:pt>
                <c:pt idx="8">
                  <c:v>12.471644626842986</c:v>
                </c:pt>
                <c:pt idx="9">
                  <c:v>12.501288949688403</c:v>
                </c:pt>
                <c:pt idx="10">
                  <c:v>12.721991184070527</c:v>
                </c:pt>
                <c:pt idx="11">
                  <c:v>12.847390180878554</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xVal>
          <c:yVal>
            <c:numRef>
              <c:f>Tools!$CL$4:$DJ$4</c:f>
              <c:numCache>
                <c:formatCode>General</c:formatCode>
                <c:ptCount val="25"/>
                <c:pt idx="0">
                  <c:v>0</c:v>
                </c:pt>
                <c:pt idx="1">
                  <c:v>0.25</c:v>
                </c:pt>
                <c:pt idx="2">
                  <c:v>0.5</c:v>
                </c:pt>
                <c:pt idx="3">
                  <c:v>0.75</c:v>
                </c:pt>
                <c:pt idx="4">
                  <c:v>1</c:v>
                </c:pt>
                <c:pt idx="5">
                  <c:v>2</c:v>
                </c:pt>
                <c:pt idx="6">
                  <c:v>3</c:v>
                </c:pt>
                <c:pt idx="7">
                  <c:v>4</c:v>
                </c:pt>
                <c:pt idx="8">
                  <c:v>4.8499999999999996</c:v>
                </c:pt>
                <c:pt idx="9">
                  <c:v>5</c:v>
                </c:pt>
                <c:pt idx="10">
                  <c:v>6</c:v>
                </c:pt>
                <c:pt idx="11">
                  <c:v>6.5</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yVal>
          <c:smooth val="1"/>
        </c:ser>
        <c:ser>
          <c:idx val="39"/>
          <c:order val="39"/>
          <c:tx>
            <c:strRef>
              <c:f>Tools!$CK$45</c:f>
              <c:strCache>
                <c:ptCount val="1"/>
                <c:pt idx="0">
                  <c:v>13</c:v>
                </c:pt>
              </c:strCache>
            </c:strRef>
          </c:tx>
          <c:spPr>
            <a:ln w="3175">
              <a:solidFill>
                <a:schemeClr val="accent6">
                  <a:lumMod val="75000"/>
                </a:schemeClr>
              </a:solidFill>
            </a:ln>
          </c:spPr>
          <c:marker>
            <c:symbol val="none"/>
          </c:marker>
          <c:xVal>
            <c:numRef>
              <c:f>Tools!$CL$45:$DJ$45</c:f>
              <c:numCache>
                <c:formatCode>General</c:formatCode>
                <c:ptCount val="25"/>
                <c:pt idx="0">
                  <c:v>13</c:v>
                </c:pt>
                <c:pt idx="1">
                  <c:v>13.001167065663475</c:v>
                </c:pt>
                <c:pt idx="2">
                  <c:v>13.004810761513907</c:v>
                </c:pt>
                <c:pt idx="3">
                  <c:v>13.010989227086183</c:v>
                </c:pt>
                <c:pt idx="4">
                  <c:v>13.019756801945585</c:v>
                </c:pt>
                <c:pt idx="5">
                  <c:v>13.079948320413436</c:v>
                </c:pt>
                <c:pt idx="6">
                  <c:v>13.180267517859857</c:v>
                </c:pt>
                <c:pt idx="7">
                  <c:v>13.320714394284845</c:v>
                </c:pt>
                <c:pt idx="8">
                  <c:v>13.471644626842986</c:v>
                </c:pt>
                <c:pt idx="9">
                  <c:v>13.501288949688403</c:v>
                </c:pt>
                <c:pt idx="10">
                  <c:v>13.721991184070527</c:v>
                </c:pt>
                <c:pt idx="11">
                  <c:v>13.847390180878554</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xVal>
          <c:yVal>
            <c:numRef>
              <c:f>Tools!$CL$4:$DJ$4</c:f>
              <c:numCache>
                <c:formatCode>General</c:formatCode>
                <c:ptCount val="25"/>
                <c:pt idx="0">
                  <c:v>0</c:v>
                </c:pt>
                <c:pt idx="1">
                  <c:v>0.25</c:v>
                </c:pt>
                <c:pt idx="2">
                  <c:v>0.5</c:v>
                </c:pt>
                <c:pt idx="3">
                  <c:v>0.75</c:v>
                </c:pt>
                <c:pt idx="4">
                  <c:v>1</c:v>
                </c:pt>
                <c:pt idx="5">
                  <c:v>2</c:v>
                </c:pt>
                <c:pt idx="6">
                  <c:v>3</c:v>
                </c:pt>
                <c:pt idx="7">
                  <c:v>4</c:v>
                </c:pt>
                <c:pt idx="8">
                  <c:v>4.8499999999999996</c:v>
                </c:pt>
                <c:pt idx="9">
                  <c:v>5</c:v>
                </c:pt>
                <c:pt idx="10">
                  <c:v>6</c:v>
                </c:pt>
                <c:pt idx="11">
                  <c:v>6.5</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yVal>
          <c:smooth val="1"/>
        </c:ser>
        <c:ser>
          <c:idx val="40"/>
          <c:order val="40"/>
          <c:tx>
            <c:strRef>
              <c:f>Tools!$CK$46</c:f>
              <c:strCache>
                <c:ptCount val="1"/>
                <c:pt idx="0">
                  <c:v>14</c:v>
                </c:pt>
              </c:strCache>
            </c:strRef>
          </c:tx>
          <c:spPr>
            <a:ln w="3175">
              <a:solidFill>
                <a:schemeClr val="accent6">
                  <a:lumMod val="75000"/>
                </a:schemeClr>
              </a:solidFill>
            </a:ln>
          </c:spPr>
          <c:marker>
            <c:symbol val="none"/>
          </c:marker>
          <c:xVal>
            <c:numRef>
              <c:f>Tools!$CL$46:$DJ$46</c:f>
              <c:numCache>
                <c:formatCode>General</c:formatCode>
                <c:ptCount val="25"/>
                <c:pt idx="0">
                  <c:v>14</c:v>
                </c:pt>
                <c:pt idx="1">
                  <c:v>14.001149870801033</c:v>
                </c:pt>
                <c:pt idx="2">
                  <c:v>14.004757561939504</c:v>
                </c:pt>
                <c:pt idx="3">
                  <c:v>14.010893752849977</c:v>
                </c:pt>
                <c:pt idx="4">
                  <c:v>14.019635202918376</c:v>
                </c:pt>
                <c:pt idx="5">
                  <c:v>14.07982672138623</c:v>
                </c:pt>
                <c:pt idx="6">
                  <c:v>14.180145918832649</c:v>
                </c:pt>
                <c:pt idx="7">
                  <c:v>14.320592795257639</c:v>
                </c:pt>
                <c:pt idx="8">
                  <c:v>14.471523027815778</c:v>
                </c:pt>
                <c:pt idx="9">
                  <c:v>14.501167350661195</c:v>
                </c:pt>
                <c:pt idx="10">
                  <c:v>14.72186958504332</c:v>
                </c:pt>
                <c:pt idx="11">
                  <c:v>14.847268581851345</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xVal>
          <c:yVal>
            <c:numRef>
              <c:f>Tools!$CL$4:$DJ$4</c:f>
              <c:numCache>
                <c:formatCode>General</c:formatCode>
                <c:ptCount val="25"/>
                <c:pt idx="0">
                  <c:v>0</c:v>
                </c:pt>
                <c:pt idx="1">
                  <c:v>0.25</c:v>
                </c:pt>
                <c:pt idx="2">
                  <c:v>0.5</c:v>
                </c:pt>
                <c:pt idx="3">
                  <c:v>0.75</c:v>
                </c:pt>
                <c:pt idx="4">
                  <c:v>1</c:v>
                </c:pt>
                <c:pt idx="5">
                  <c:v>2</c:v>
                </c:pt>
                <c:pt idx="6">
                  <c:v>3</c:v>
                </c:pt>
                <c:pt idx="7">
                  <c:v>4</c:v>
                </c:pt>
                <c:pt idx="8">
                  <c:v>4.8499999999999996</c:v>
                </c:pt>
                <c:pt idx="9">
                  <c:v>5</c:v>
                </c:pt>
                <c:pt idx="10">
                  <c:v>6</c:v>
                </c:pt>
                <c:pt idx="11">
                  <c:v>6.5</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yVal>
          <c:smooth val="1"/>
        </c:ser>
        <c:ser>
          <c:idx val="41"/>
          <c:order val="41"/>
          <c:tx>
            <c:strRef>
              <c:f>Tools!$CK$47</c:f>
              <c:strCache>
                <c:ptCount val="1"/>
                <c:pt idx="0">
                  <c:v>15</c:v>
                </c:pt>
              </c:strCache>
            </c:strRef>
          </c:tx>
          <c:spPr>
            <a:ln w="3175">
              <a:solidFill>
                <a:schemeClr val="accent6">
                  <a:lumMod val="75000"/>
                </a:schemeClr>
              </a:solidFill>
            </a:ln>
          </c:spPr>
          <c:marker>
            <c:symbol val="none"/>
          </c:marker>
          <c:xVal>
            <c:numRef>
              <c:f>Tools!$CL$47:$DJ$47</c:f>
              <c:numCache>
                <c:formatCode>General</c:formatCode>
                <c:ptCount val="25"/>
                <c:pt idx="0">
                  <c:v>15</c:v>
                </c:pt>
                <c:pt idx="1">
                  <c:v>15.001083941328469</c:v>
                </c:pt>
                <c:pt idx="2">
                  <c:v>15.004517403860769</c:v>
                </c:pt>
                <c:pt idx="3">
                  <c:v>15.010421226630188</c:v>
                </c:pt>
                <c:pt idx="4">
                  <c:v>15.018896488828089</c:v>
                </c:pt>
                <c:pt idx="5">
                  <c:v>15.078495212038304</c:v>
                </c:pt>
                <c:pt idx="6">
                  <c:v>15.179042407660738</c:v>
                </c:pt>
                <c:pt idx="7">
                  <c:v>15.319261285909713</c:v>
                </c:pt>
                <c:pt idx="8">
                  <c:v>15.470191518467852</c:v>
                </c:pt>
                <c:pt idx="9">
                  <c:v>15.500063839489284</c:v>
                </c:pt>
                <c:pt idx="10">
                  <c:v>15.720538075695394</c:v>
                </c:pt>
                <c:pt idx="11">
                  <c:v>15.845937072503419</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xVal>
          <c:yVal>
            <c:numRef>
              <c:f>Tools!$CL$4:$DJ$4</c:f>
              <c:numCache>
                <c:formatCode>General</c:formatCode>
                <c:ptCount val="25"/>
                <c:pt idx="0">
                  <c:v>0</c:v>
                </c:pt>
                <c:pt idx="1">
                  <c:v>0.25</c:v>
                </c:pt>
                <c:pt idx="2">
                  <c:v>0.5</c:v>
                </c:pt>
                <c:pt idx="3">
                  <c:v>0.75</c:v>
                </c:pt>
                <c:pt idx="4">
                  <c:v>1</c:v>
                </c:pt>
                <c:pt idx="5">
                  <c:v>2</c:v>
                </c:pt>
                <c:pt idx="6">
                  <c:v>3</c:v>
                </c:pt>
                <c:pt idx="7">
                  <c:v>4</c:v>
                </c:pt>
                <c:pt idx="8">
                  <c:v>4.8499999999999996</c:v>
                </c:pt>
                <c:pt idx="9">
                  <c:v>5</c:v>
                </c:pt>
                <c:pt idx="10">
                  <c:v>6</c:v>
                </c:pt>
                <c:pt idx="11">
                  <c:v>6.5</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yVal>
          <c:smooth val="1"/>
        </c:ser>
        <c:ser>
          <c:idx val="42"/>
          <c:order val="42"/>
          <c:tx>
            <c:strRef>
              <c:f>Tools!$CK$48</c:f>
              <c:strCache>
                <c:ptCount val="1"/>
                <c:pt idx="0">
                  <c:v>16</c:v>
                </c:pt>
              </c:strCache>
            </c:strRef>
          </c:tx>
          <c:spPr>
            <a:ln w="3175">
              <a:solidFill>
                <a:schemeClr val="accent6">
                  <a:lumMod val="75000"/>
                </a:schemeClr>
              </a:solidFill>
            </a:ln>
          </c:spPr>
          <c:marker>
            <c:symbol val="none"/>
          </c:marker>
          <c:xVal>
            <c:numRef>
              <c:f>Tools!$CL$48:$DJ$48</c:f>
              <c:numCache>
                <c:formatCode>General</c:formatCode>
                <c:ptCount val="25"/>
                <c:pt idx="0">
                  <c:v>16</c:v>
                </c:pt>
                <c:pt idx="1">
                  <c:v>16.00094932740538</c:v>
                </c:pt>
                <c:pt idx="2">
                  <c:v>16.004035567715459</c:v>
                </c:pt>
                <c:pt idx="3">
                  <c:v>16.009444539443685</c:v>
                </c:pt>
                <c:pt idx="4">
                  <c:v>16.017267061863507</c:v>
                </c:pt>
                <c:pt idx="5">
                  <c:v>16.07346557227542</c:v>
                </c:pt>
                <c:pt idx="6">
                  <c:v>16.17049399604803</c:v>
                </c:pt>
                <c:pt idx="7">
                  <c:v>16.307665298677609</c:v>
                </c:pt>
                <c:pt idx="8">
                  <c:v>16.456488554491564</c:v>
                </c:pt>
                <c:pt idx="9">
                  <c:v>16.485921872625021</c:v>
                </c:pt>
                <c:pt idx="10">
                  <c:v>16.705537315701473</c:v>
                </c:pt>
                <c:pt idx="11">
                  <c:v>16.8309363125095</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xVal>
          <c:yVal>
            <c:numRef>
              <c:f>Tools!$CL$4:$DJ$4</c:f>
              <c:numCache>
                <c:formatCode>General</c:formatCode>
                <c:ptCount val="25"/>
                <c:pt idx="0">
                  <c:v>0</c:v>
                </c:pt>
                <c:pt idx="1">
                  <c:v>0.25</c:v>
                </c:pt>
                <c:pt idx="2">
                  <c:v>0.5</c:v>
                </c:pt>
                <c:pt idx="3">
                  <c:v>0.75</c:v>
                </c:pt>
                <c:pt idx="4">
                  <c:v>1</c:v>
                </c:pt>
                <c:pt idx="5">
                  <c:v>2</c:v>
                </c:pt>
                <c:pt idx="6">
                  <c:v>3</c:v>
                </c:pt>
                <c:pt idx="7">
                  <c:v>4</c:v>
                </c:pt>
                <c:pt idx="8">
                  <c:v>4.8499999999999996</c:v>
                </c:pt>
                <c:pt idx="9">
                  <c:v>5</c:v>
                </c:pt>
                <c:pt idx="10">
                  <c:v>6</c:v>
                </c:pt>
                <c:pt idx="11">
                  <c:v>6.5</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yVal>
          <c:smooth val="1"/>
        </c:ser>
        <c:ser>
          <c:idx val="43"/>
          <c:order val="43"/>
          <c:tx>
            <c:strRef>
              <c:f>Tools!$CK$49</c:f>
              <c:strCache>
                <c:ptCount val="1"/>
                <c:pt idx="0">
                  <c:v>17</c:v>
                </c:pt>
              </c:strCache>
            </c:strRef>
          </c:tx>
          <c:spPr>
            <a:ln w="3175">
              <a:solidFill>
                <a:schemeClr val="accent6">
                  <a:lumMod val="75000"/>
                </a:schemeClr>
              </a:solidFill>
            </a:ln>
          </c:spPr>
          <c:marker>
            <c:symbol val="none"/>
          </c:marker>
          <c:xVal>
            <c:numRef>
              <c:f>Tools!$CL$49:$DJ$49</c:f>
              <c:numCache>
                <c:formatCode>General</c:formatCode>
                <c:ptCount val="25"/>
                <c:pt idx="0">
                  <c:v>17</c:v>
                </c:pt>
                <c:pt idx="1">
                  <c:v>17.000742324061406</c:v>
                </c:pt>
                <c:pt idx="2">
                  <c:v>17.003243654050767</c:v>
                </c:pt>
                <c:pt idx="3">
                  <c:v>17.007695508435933</c:v>
                </c:pt>
                <c:pt idx="4">
                  <c:v>17.014284845721235</c:v>
                </c:pt>
                <c:pt idx="5">
                  <c:v>17.063336373309014</c:v>
                </c:pt>
                <c:pt idx="6">
                  <c:v>17.150536555707554</c:v>
                </c:pt>
                <c:pt idx="7">
                  <c:v>17.275988752089983</c:v>
                </c:pt>
                <c:pt idx="8">
                  <c:v>17.414760069919442</c:v>
                </c:pt>
                <c:pt idx="9">
                  <c:v>17.442690378476971</c:v>
                </c:pt>
                <c:pt idx="10">
                  <c:v>17.650951512387902</c:v>
                </c:pt>
                <c:pt idx="11">
                  <c:v>17.771343669250648</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xVal>
          <c:yVal>
            <c:numRef>
              <c:f>Tools!$CL$4:$DJ$4</c:f>
              <c:numCache>
                <c:formatCode>General</c:formatCode>
                <c:ptCount val="25"/>
                <c:pt idx="0">
                  <c:v>0</c:v>
                </c:pt>
                <c:pt idx="1">
                  <c:v>0.25</c:v>
                </c:pt>
                <c:pt idx="2">
                  <c:v>0.5</c:v>
                </c:pt>
                <c:pt idx="3">
                  <c:v>0.75</c:v>
                </c:pt>
                <c:pt idx="4">
                  <c:v>1</c:v>
                </c:pt>
                <c:pt idx="5">
                  <c:v>2</c:v>
                </c:pt>
                <c:pt idx="6">
                  <c:v>3</c:v>
                </c:pt>
                <c:pt idx="7">
                  <c:v>4</c:v>
                </c:pt>
                <c:pt idx="8">
                  <c:v>4.8499999999999996</c:v>
                </c:pt>
                <c:pt idx="9">
                  <c:v>5</c:v>
                </c:pt>
                <c:pt idx="10">
                  <c:v>6</c:v>
                </c:pt>
                <c:pt idx="11">
                  <c:v>6.5</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yVal>
          <c:smooth val="1"/>
        </c:ser>
        <c:ser>
          <c:idx val="44"/>
          <c:order val="44"/>
          <c:tx>
            <c:strRef>
              <c:f>Tools!$CK$50</c:f>
              <c:strCache>
                <c:ptCount val="1"/>
                <c:pt idx="0">
                  <c:v>18</c:v>
                </c:pt>
              </c:strCache>
            </c:strRef>
          </c:tx>
          <c:spPr>
            <a:ln w="3175">
              <a:solidFill>
                <a:schemeClr val="accent6">
                  <a:lumMod val="75000"/>
                </a:schemeClr>
              </a:solidFill>
            </a:ln>
          </c:spPr>
          <c:marker>
            <c:symbol val="none"/>
          </c:marker>
          <c:xVal>
            <c:numRef>
              <c:f>Tools!$CL$50:$DJ$50</c:f>
              <c:numCache>
                <c:formatCode>General</c:formatCode>
                <c:ptCount val="25"/>
                <c:pt idx="0">
                  <c:v>18</c:v>
                </c:pt>
                <c:pt idx="1">
                  <c:v>18.00049067107463</c:v>
                </c:pt>
                <c:pt idx="2">
                  <c:v>18.002226782185744</c:v>
                </c:pt>
                <c:pt idx="3">
                  <c:v>18.005435191518469</c:v>
                </c:pt>
                <c:pt idx="4">
                  <c:v>18.01028119775042</c:v>
                </c:pt>
                <c:pt idx="5">
                  <c:v>18.047080103359175</c:v>
                </c:pt>
                <c:pt idx="6">
                  <c:v>18.114321325429398</c:v>
                </c:pt>
                <c:pt idx="7">
                  <c:v>18.213326402188784</c:v>
                </c:pt>
                <c:pt idx="8">
                  <c:v>18.325109497796017</c:v>
                </c:pt>
                <c:pt idx="9">
                  <c:v>18.347459735522115</c:v>
                </c:pt>
                <c:pt idx="10">
                  <c:v>18.521989481684148</c:v>
                </c:pt>
                <c:pt idx="11">
                  <c:v>18.625062897096822</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xVal>
          <c:yVal>
            <c:numRef>
              <c:f>Tools!$CL$4:$DJ$4</c:f>
              <c:numCache>
                <c:formatCode>General</c:formatCode>
                <c:ptCount val="25"/>
                <c:pt idx="0">
                  <c:v>0</c:v>
                </c:pt>
                <c:pt idx="1">
                  <c:v>0.25</c:v>
                </c:pt>
                <c:pt idx="2">
                  <c:v>0.5</c:v>
                </c:pt>
                <c:pt idx="3">
                  <c:v>0.75</c:v>
                </c:pt>
                <c:pt idx="4">
                  <c:v>1</c:v>
                </c:pt>
                <c:pt idx="5">
                  <c:v>2</c:v>
                </c:pt>
                <c:pt idx="6">
                  <c:v>3</c:v>
                </c:pt>
                <c:pt idx="7">
                  <c:v>4</c:v>
                </c:pt>
                <c:pt idx="8">
                  <c:v>4.8499999999999996</c:v>
                </c:pt>
                <c:pt idx="9">
                  <c:v>5</c:v>
                </c:pt>
                <c:pt idx="10">
                  <c:v>6</c:v>
                </c:pt>
                <c:pt idx="11">
                  <c:v>6.5</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yVal>
          <c:smooth val="1"/>
        </c:ser>
        <c:ser>
          <c:idx val="45"/>
          <c:order val="45"/>
          <c:tx>
            <c:strRef>
              <c:f>Tools!$CK$51</c:f>
              <c:strCache>
                <c:ptCount val="1"/>
                <c:pt idx="0">
                  <c:v>18.5</c:v>
                </c:pt>
              </c:strCache>
            </c:strRef>
          </c:tx>
          <c:spPr>
            <a:ln w="3175">
              <a:solidFill>
                <a:schemeClr val="accent6">
                  <a:lumMod val="75000"/>
                </a:schemeClr>
              </a:solidFill>
            </a:ln>
          </c:spPr>
          <c:marker>
            <c:symbol val="none"/>
          </c:marker>
          <c:xVal>
            <c:numRef>
              <c:f>Tools!$CL$51:$DJ$51</c:f>
              <c:numCache>
                <c:formatCode>General</c:formatCode>
                <c:ptCount val="25"/>
                <c:pt idx="0">
                  <c:v>18.5</c:v>
                </c:pt>
                <c:pt idx="1">
                  <c:v>18.500352162182704</c:v>
                </c:pt>
                <c:pt idx="2">
                  <c:v>18.501670466636266</c:v>
                </c:pt>
                <c:pt idx="3">
                  <c:v>18.504168091655266</c:v>
                </c:pt>
                <c:pt idx="4">
                  <c:v>18.507967776257789</c:v>
                </c:pt>
                <c:pt idx="5">
                  <c:v>18.537160662714697</c:v>
                </c:pt>
                <c:pt idx="6">
                  <c:v>18.59077671378629</c:v>
                </c:pt>
                <c:pt idx="7">
                  <c:v>18.670214318285453</c:v>
                </c:pt>
                <c:pt idx="8">
                  <c:v>18.760935506915946</c:v>
                </c:pt>
                <c:pt idx="9">
                  <c:v>18.779182246542028</c:v>
                </c:pt>
                <c:pt idx="10">
                  <c:v>18.924064447484419</c:v>
                </c:pt>
                <c:pt idx="11">
                  <c:v>19.011296549627602</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xVal>
          <c:yVal>
            <c:numRef>
              <c:f>Tools!$CL$4:$DJ$4</c:f>
              <c:numCache>
                <c:formatCode>General</c:formatCode>
                <c:ptCount val="25"/>
                <c:pt idx="0">
                  <c:v>0</c:v>
                </c:pt>
                <c:pt idx="1">
                  <c:v>0.25</c:v>
                </c:pt>
                <c:pt idx="2">
                  <c:v>0.5</c:v>
                </c:pt>
                <c:pt idx="3">
                  <c:v>0.75</c:v>
                </c:pt>
                <c:pt idx="4">
                  <c:v>1</c:v>
                </c:pt>
                <c:pt idx="5">
                  <c:v>2</c:v>
                </c:pt>
                <c:pt idx="6">
                  <c:v>3</c:v>
                </c:pt>
                <c:pt idx="7">
                  <c:v>4</c:v>
                </c:pt>
                <c:pt idx="8">
                  <c:v>4.8499999999999996</c:v>
                </c:pt>
                <c:pt idx="9">
                  <c:v>5</c:v>
                </c:pt>
                <c:pt idx="10">
                  <c:v>6</c:v>
                </c:pt>
                <c:pt idx="11">
                  <c:v>6.5</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yVal>
          <c:smooth val="1"/>
        </c:ser>
        <c:ser>
          <c:idx val="46"/>
          <c:order val="46"/>
          <c:tx>
            <c:strRef>
              <c:f>Tools!$CK$52</c:f>
              <c:strCache>
                <c:ptCount val="1"/>
                <c:pt idx="0">
                  <c:v>19</c:v>
                </c:pt>
              </c:strCache>
            </c:strRef>
          </c:tx>
          <c:spPr>
            <a:ln w="3175">
              <a:solidFill>
                <a:schemeClr val="accent6">
                  <a:lumMod val="75000"/>
                </a:schemeClr>
              </a:solidFill>
            </a:ln>
          </c:spPr>
          <c:marker>
            <c:symbol val="none"/>
          </c:marker>
          <c:xVal>
            <c:numRef>
              <c:f>Tools!$CL$52:$DJ$52</c:f>
              <c:numCache>
                <c:formatCode>General</c:formatCode>
                <c:ptCount val="25"/>
                <c:pt idx="0">
                  <c:v>19</c:v>
                </c:pt>
                <c:pt idx="1">
                  <c:v>19.000228568171455</c:v>
                </c:pt>
                <c:pt idx="2">
                  <c:v>19.001130870953034</c:v>
                </c:pt>
                <c:pt idx="3">
                  <c:v>19.002871067031464</c:v>
                </c:pt>
                <c:pt idx="4">
                  <c:v>19.00559963520292</c:v>
                </c:pt>
                <c:pt idx="5">
                  <c:v>19.026888584891321</c:v>
                </c:pt>
                <c:pt idx="6">
                  <c:v>19.06530475756194</c:v>
                </c:pt>
                <c:pt idx="7">
                  <c:v>19.120349597203223</c:v>
                </c:pt>
                <c:pt idx="8">
                  <c:v>19.184514196686425</c:v>
                </c:pt>
                <c:pt idx="9">
                  <c:v>19.197738258093935</c:v>
                </c:pt>
                <c:pt idx="10">
                  <c:v>19.303015655874752</c:v>
                </c:pt>
                <c:pt idx="11">
                  <c:v>19.368762729898162</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xVal>
          <c:yVal>
            <c:numRef>
              <c:f>Tools!$CL$4:$DJ$4</c:f>
              <c:numCache>
                <c:formatCode>General</c:formatCode>
                <c:ptCount val="25"/>
                <c:pt idx="0">
                  <c:v>0</c:v>
                </c:pt>
                <c:pt idx="1">
                  <c:v>0.25</c:v>
                </c:pt>
                <c:pt idx="2">
                  <c:v>0.5</c:v>
                </c:pt>
                <c:pt idx="3">
                  <c:v>0.75</c:v>
                </c:pt>
                <c:pt idx="4">
                  <c:v>1</c:v>
                </c:pt>
                <c:pt idx="5">
                  <c:v>2</c:v>
                </c:pt>
                <c:pt idx="6">
                  <c:v>3</c:v>
                </c:pt>
                <c:pt idx="7">
                  <c:v>4</c:v>
                </c:pt>
                <c:pt idx="8">
                  <c:v>4.8499999999999996</c:v>
                </c:pt>
                <c:pt idx="9">
                  <c:v>5</c:v>
                </c:pt>
                <c:pt idx="10">
                  <c:v>6</c:v>
                </c:pt>
                <c:pt idx="11">
                  <c:v>6.5</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yVal>
          <c:smooth val="1"/>
        </c:ser>
        <c:ser>
          <c:idx val="47"/>
          <c:order val="47"/>
          <c:tx>
            <c:strRef>
              <c:f>Tools!$CK$53</c:f>
              <c:strCache>
                <c:ptCount val="1"/>
                <c:pt idx="0">
                  <c:v>19.5</c:v>
                </c:pt>
              </c:strCache>
            </c:strRef>
          </c:tx>
          <c:spPr>
            <a:ln w="3175">
              <a:solidFill>
                <a:schemeClr val="accent6">
                  <a:lumMod val="75000"/>
                </a:schemeClr>
              </a:solidFill>
            </a:ln>
          </c:spPr>
          <c:marker>
            <c:symbol val="none"/>
          </c:marker>
          <c:xVal>
            <c:numRef>
              <c:f>Tools!$CL$53:$DJ$53</c:f>
              <c:numCache>
                <c:formatCode>General</c:formatCode>
                <c:ptCount val="25"/>
                <c:pt idx="0">
                  <c:v>19.5</c:v>
                </c:pt>
                <c:pt idx="1">
                  <c:v>19.500110294117647</c:v>
                </c:pt>
                <c:pt idx="2">
                  <c:v>19.500624715002282</c:v>
                </c:pt>
                <c:pt idx="3">
                  <c:v>19.50169032147743</c:v>
                </c:pt>
                <c:pt idx="4">
                  <c:v>19.50341997264022</c:v>
                </c:pt>
                <c:pt idx="5">
                  <c:v>19.517253381972946</c:v>
                </c:pt>
                <c:pt idx="6">
                  <c:v>19.540471196230431</c:v>
                </c:pt>
                <c:pt idx="7">
                  <c:v>19.569322085423316</c:v>
                </c:pt>
                <c:pt idx="8">
                  <c:v>19.601397796017633</c:v>
                </c:pt>
                <c:pt idx="9">
                  <c:v>19.608105791153672</c:v>
                </c:pt>
                <c:pt idx="10">
                  <c:v>19.664247150022799</c:v>
                </c:pt>
                <c:pt idx="11">
                  <c:v>19.703154278765769</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xVal>
          <c:yVal>
            <c:numRef>
              <c:f>Tools!$CL$4:$DJ$4</c:f>
              <c:numCache>
                <c:formatCode>General</c:formatCode>
                <c:ptCount val="25"/>
                <c:pt idx="0">
                  <c:v>0</c:v>
                </c:pt>
                <c:pt idx="1">
                  <c:v>0.25</c:v>
                </c:pt>
                <c:pt idx="2">
                  <c:v>0.5</c:v>
                </c:pt>
                <c:pt idx="3">
                  <c:v>0.75</c:v>
                </c:pt>
                <c:pt idx="4">
                  <c:v>1</c:v>
                </c:pt>
                <c:pt idx="5">
                  <c:v>2</c:v>
                </c:pt>
                <c:pt idx="6">
                  <c:v>3</c:v>
                </c:pt>
                <c:pt idx="7">
                  <c:v>4</c:v>
                </c:pt>
                <c:pt idx="8">
                  <c:v>4.8499999999999996</c:v>
                </c:pt>
                <c:pt idx="9">
                  <c:v>5</c:v>
                </c:pt>
                <c:pt idx="10">
                  <c:v>6</c:v>
                </c:pt>
                <c:pt idx="11">
                  <c:v>6.5</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yVal>
          <c:smooth val="1"/>
        </c:ser>
        <c:ser>
          <c:idx val="48"/>
          <c:order val="48"/>
          <c:tx>
            <c:strRef>
              <c:f>Tools!$CK$54</c:f>
              <c:strCache>
                <c:ptCount val="1"/>
                <c:pt idx="0">
                  <c:v>20</c:v>
                </c:pt>
              </c:strCache>
            </c:strRef>
          </c:tx>
          <c:spPr>
            <a:ln w="3175">
              <a:solidFill>
                <a:schemeClr val="accent6">
                  <a:lumMod val="75000"/>
                </a:schemeClr>
              </a:solidFill>
            </a:ln>
          </c:spPr>
          <c:marker>
            <c:symbol val="none"/>
          </c:marker>
          <c:xVal>
            <c:numRef>
              <c:f>Tools!$CL$54:$DJ$54</c:f>
              <c:numCache>
                <c:formatCode>General</c:formatCode>
                <c:ptCount val="25"/>
                <c:pt idx="0">
                  <c:v>20</c:v>
                </c:pt>
                <c:pt idx="1">
                  <c:v>20.000067449460403</c:v>
                </c:pt>
                <c:pt idx="2">
                  <c:v>20.000425596595228</c:v>
                </c:pt>
                <c:pt idx="3">
                  <c:v>20.001183880528956</c:v>
                </c:pt>
                <c:pt idx="4">
                  <c:v>20.002377260981913</c:v>
                </c:pt>
                <c:pt idx="5">
                  <c:v>20.009598723210214</c:v>
                </c:pt>
                <c:pt idx="6">
                  <c:v>20.016956984344127</c:v>
                </c:pt>
                <c:pt idx="7">
                  <c:v>20.020007599939202</c:v>
                </c:pt>
                <c:pt idx="8">
                  <c:v>20.020538866089073</c:v>
                </c:pt>
                <c:pt idx="9">
                  <c:v>20.020519835841313</c:v>
                </c:pt>
                <c:pt idx="10">
                  <c:v>20.026963064295487</c:v>
                </c:pt>
                <c:pt idx="11">
                  <c:v>20.040877032983737</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xVal>
          <c:yVal>
            <c:numRef>
              <c:f>Tools!$CL$4:$DJ$4</c:f>
              <c:numCache>
                <c:formatCode>General</c:formatCode>
                <c:ptCount val="25"/>
                <c:pt idx="0">
                  <c:v>0</c:v>
                </c:pt>
                <c:pt idx="1">
                  <c:v>0.25</c:v>
                </c:pt>
                <c:pt idx="2">
                  <c:v>0.5</c:v>
                </c:pt>
                <c:pt idx="3">
                  <c:v>0.75</c:v>
                </c:pt>
                <c:pt idx="4">
                  <c:v>1</c:v>
                </c:pt>
                <c:pt idx="5">
                  <c:v>2</c:v>
                </c:pt>
                <c:pt idx="6">
                  <c:v>3</c:v>
                </c:pt>
                <c:pt idx="7">
                  <c:v>4</c:v>
                </c:pt>
                <c:pt idx="8">
                  <c:v>4.8499999999999996</c:v>
                </c:pt>
                <c:pt idx="9">
                  <c:v>5</c:v>
                </c:pt>
                <c:pt idx="10">
                  <c:v>6</c:v>
                </c:pt>
                <c:pt idx="11">
                  <c:v>6.5</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yVal>
          <c:smooth val="1"/>
        </c:ser>
        <c:ser>
          <c:idx val="49"/>
          <c:order val="49"/>
          <c:tx>
            <c:strRef>
              <c:f>Tools!$CK$35</c:f>
              <c:strCache>
                <c:ptCount val="1"/>
                <c:pt idx="0">
                  <c:v>3</c:v>
                </c:pt>
              </c:strCache>
            </c:strRef>
          </c:tx>
          <c:spPr>
            <a:ln w="3175">
              <a:solidFill>
                <a:schemeClr val="accent6">
                  <a:lumMod val="75000"/>
                </a:schemeClr>
              </a:solidFill>
            </a:ln>
          </c:spPr>
          <c:marker>
            <c:symbol val="none"/>
          </c:marker>
          <c:xVal>
            <c:numRef>
              <c:f>Tools!$CL$35:$DJ$35</c:f>
              <c:numCache>
                <c:formatCode>General</c:formatCode>
                <c:ptCount val="25"/>
                <c:pt idx="0">
                  <c:v>3</c:v>
                </c:pt>
                <c:pt idx="1">
                  <c:v>3.000329932360541</c:v>
                </c:pt>
                <c:pt idx="2">
                  <c:v>3.0016431068551452</c:v>
                </c:pt>
                <c:pt idx="3">
                  <c:v>3.0041937414500683</c:v>
                </c:pt>
                <c:pt idx="4">
                  <c:v>3.0081471348229214</c:v>
                </c:pt>
                <c:pt idx="5">
                  <c:v>3.041144550843593</c:v>
                </c:pt>
                <c:pt idx="6">
                  <c:v>3.1076029791761668</c:v>
                </c:pt>
                <c:pt idx="7">
                  <c:v>3.2126721386228909</c:v>
                </c:pt>
                <c:pt idx="8">
                  <c:v>3.3368806657546739</c:v>
                </c:pt>
                <c:pt idx="9">
                  <c:v>3.3622070223438212</c:v>
                </c:pt>
                <c:pt idx="10">
                  <c:v>3.5604453564371483</c:v>
                </c:pt>
                <c:pt idx="11">
                  <c:v>3.6775482596139231</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xVal>
          <c:yVal>
            <c:numRef>
              <c:f>Tools!$CL$4:$DJ$4</c:f>
              <c:numCache>
                <c:formatCode>General</c:formatCode>
                <c:ptCount val="25"/>
                <c:pt idx="0">
                  <c:v>0</c:v>
                </c:pt>
                <c:pt idx="1">
                  <c:v>0.25</c:v>
                </c:pt>
                <c:pt idx="2">
                  <c:v>0.5</c:v>
                </c:pt>
                <c:pt idx="3">
                  <c:v>0.75</c:v>
                </c:pt>
                <c:pt idx="4">
                  <c:v>1</c:v>
                </c:pt>
                <c:pt idx="5">
                  <c:v>2</c:v>
                </c:pt>
                <c:pt idx="6">
                  <c:v>3</c:v>
                </c:pt>
                <c:pt idx="7">
                  <c:v>4</c:v>
                </c:pt>
                <c:pt idx="8">
                  <c:v>4.8499999999999996</c:v>
                </c:pt>
                <c:pt idx="9">
                  <c:v>5</c:v>
                </c:pt>
                <c:pt idx="10">
                  <c:v>6</c:v>
                </c:pt>
                <c:pt idx="11">
                  <c:v>6.5</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yVal>
          <c:smooth val="1"/>
        </c:ser>
        <c:ser>
          <c:idx val="50"/>
          <c:order val="50"/>
          <c:tx>
            <c:strRef>
              <c:f>Tools!$CG$5</c:f>
              <c:strCache>
                <c:ptCount val="1"/>
                <c:pt idx="0">
                  <c:v>0</c:v>
                </c:pt>
              </c:strCache>
            </c:strRef>
          </c:tx>
          <c:spPr>
            <a:ln w="3175">
              <a:solidFill>
                <a:sysClr val="windowText" lastClr="000000"/>
              </a:solidFill>
            </a:ln>
          </c:spPr>
          <c:marker>
            <c:symbol val="none"/>
          </c:marker>
          <c:xVal>
            <c:numRef>
              <c:f>Tools!$CH$5:$CI$5</c:f>
              <c:numCache>
                <c:formatCode>General</c:formatCode>
                <c:ptCount val="2"/>
                <c:pt idx="0">
                  <c:v>0</c:v>
                </c:pt>
                <c:pt idx="1">
                  <c:v>0</c:v>
                </c:pt>
              </c:numCache>
            </c:numRef>
          </c:xVal>
          <c:yVal>
            <c:numRef>
              <c:f>Tools!$CH$4:$CI$4</c:f>
              <c:numCache>
                <c:formatCode>General</c:formatCode>
                <c:ptCount val="2"/>
                <c:pt idx="0">
                  <c:v>0</c:v>
                </c:pt>
                <c:pt idx="1">
                  <c:v>6.5</c:v>
                </c:pt>
              </c:numCache>
            </c:numRef>
          </c:yVal>
          <c:smooth val="1"/>
        </c:ser>
        <c:ser>
          <c:idx val="51"/>
          <c:order val="51"/>
          <c:tx>
            <c:strRef>
              <c:f>Tools!$CG$6</c:f>
              <c:strCache>
                <c:ptCount val="1"/>
                <c:pt idx="0">
                  <c:v>0.5</c:v>
                </c:pt>
              </c:strCache>
            </c:strRef>
          </c:tx>
          <c:spPr>
            <a:ln w="3175">
              <a:solidFill>
                <a:sysClr val="windowText" lastClr="000000"/>
              </a:solidFill>
            </a:ln>
          </c:spPr>
          <c:marker>
            <c:symbol val="none"/>
          </c:marker>
          <c:xVal>
            <c:numRef>
              <c:f>Tools!$CH$6:$CI$6</c:f>
              <c:numCache>
                <c:formatCode>General</c:formatCode>
                <c:ptCount val="2"/>
                <c:pt idx="0">
                  <c:v>0.5</c:v>
                </c:pt>
                <c:pt idx="1">
                  <c:v>0.5</c:v>
                </c:pt>
              </c:numCache>
            </c:numRef>
          </c:xVal>
          <c:yVal>
            <c:numRef>
              <c:f>Tools!$CH$4:$CI$4</c:f>
              <c:numCache>
                <c:formatCode>General</c:formatCode>
                <c:ptCount val="2"/>
                <c:pt idx="0">
                  <c:v>0</c:v>
                </c:pt>
                <c:pt idx="1">
                  <c:v>6.5</c:v>
                </c:pt>
              </c:numCache>
            </c:numRef>
          </c:yVal>
          <c:smooth val="1"/>
        </c:ser>
        <c:ser>
          <c:idx val="52"/>
          <c:order val="52"/>
          <c:tx>
            <c:strRef>
              <c:f>Tools!$CG$7</c:f>
              <c:strCache>
                <c:ptCount val="1"/>
                <c:pt idx="0">
                  <c:v>1</c:v>
                </c:pt>
              </c:strCache>
            </c:strRef>
          </c:tx>
          <c:spPr>
            <a:ln w="3175">
              <a:solidFill>
                <a:sysClr val="windowText" lastClr="000000"/>
              </a:solidFill>
            </a:ln>
          </c:spPr>
          <c:marker>
            <c:symbol val="none"/>
          </c:marker>
          <c:xVal>
            <c:numRef>
              <c:f>Tools!$CH$7:$CI$7</c:f>
              <c:numCache>
                <c:formatCode>General</c:formatCode>
                <c:ptCount val="2"/>
                <c:pt idx="0">
                  <c:v>1</c:v>
                </c:pt>
                <c:pt idx="1">
                  <c:v>1</c:v>
                </c:pt>
              </c:numCache>
            </c:numRef>
          </c:xVal>
          <c:yVal>
            <c:numRef>
              <c:f>Tools!$CH$4:$CI$4</c:f>
              <c:numCache>
                <c:formatCode>General</c:formatCode>
                <c:ptCount val="2"/>
                <c:pt idx="0">
                  <c:v>0</c:v>
                </c:pt>
                <c:pt idx="1">
                  <c:v>6.5</c:v>
                </c:pt>
              </c:numCache>
            </c:numRef>
          </c:yVal>
          <c:smooth val="1"/>
        </c:ser>
        <c:ser>
          <c:idx val="53"/>
          <c:order val="53"/>
          <c:tx>
            <c:strRef>
              <c:f>Tools!$CG$8</c:f>
              <c:strCache>
                <c:ptCount val="1"/>
                <c:pt idx="0">
                  <c:v>1.5</c:v>
                </c:pt>
              </c:strCache>
            </c:strRef>
          </c:tx>
          <c:spPr>
            <a:ln w="3175">
              <a:solidFill>
                <a:sysClr val="windowText" lastClr="000000"/>
              </a:solidFill>
            </a:ln>
          </c:spPr>
          <c:marker>
            <c:symbol val="none"/>
          </c:marker>
          <c:xVal>
            <c:numRef>
              <c:f>Tools!$CH$8:$CI$8</c:f>
              <c:numCache>
                <c:formatCode>General</c:formatCode>
                <c:ptCount val="2"/>
                <c:pt idx="0">
                  <c:v>1.5</c:v>
                </c:pt>
                <c:pt idx="1">
                  <c:v>1.5</c:v>
                </c:pt>
              </c:numCache>
            </c:numRef>
          </c:xVal>
          <c:yVal>
            <c:numRef>
              <c:f>Tools!$CH$4:$CI$4</c:f>
              <c:numCache>
                <c:formatCode>General</c:formatCode>
                <c:ptCount val="2"/>
                <c:pt idx="0">
                  <c:v>0</c:v>
                </c:pt>
                <c:pt idx="1">
                  <c:v>6.5</c:v>
                </c:pt>
              </c:numCache>
            </c:numRef>
          </c:yVal>
          <c:smooth val="1"/>
        </c:ser>
        <c:ser>
          <c:idx val="54"/>
          <c:order val="54"/>
          <c:tx>
            <c:strRef>
              <c:f>Tools!$CG$9</c:f>
              <c:strCache>
                <c:ptCount val="1"/>
                <c:pt idx="0">
                  <c:v>2</c:v>
                </c:pt>
              </c:strCache>
            </c:strRef>
          </c:tx>
          <c:spPr>
            <a:ln w="3175">
              <a:solidFill>
                <a:sysClr val="windowText" lastClr="000000"/>
              </a:solidFill>
            </a:ln>
          </c:spPr>
          <c:marker>
            <c:symbol val="none"/>
          </c:marker>
          <c:xVal>
            <c:numRef>
              <c:f>Tools!$CH$9:$CI$9</c:f>
              <c:numCache>
                <c:formatCode>General</c:formatCode>
                <c:ptCount val="2"/>
                <c:pt idx="0">
                  <c:v>2</c:v>
                </c:pt>
                <c:pt idx="1">
                  <c:v>2</c:v>
                </c:pt>
              </c:numCache>
            </c:numRef>
          </c:xVal>
          <c:yVal>
            <c:numRef>
              <c:f>Tools!$CH$4:$CI$4</c:f>
              <c:numCache>
                <c:formatCode>General</c:formatCode>
                <c:ptCount val="2"/>
                <c:pt idx="0">
                  <c:v>0</c:v>
                </c:pt>
                <c:pt idx="1">
                  <c:v>6.5</c:v>
                </c:pt>
              </c:numCache>
            </c:numRef>
          </c:yVal>
          <c:smooth val="1"/>
        </c:ser>
        <c:ser>
          <c:idx val="55"/>
          <c:order val="55"/>
          <c:tx>
            <c:strRef>
              <c:f>Tools!$CG$10</c:f>
              <c:strCache>
                <c:ptCount val="1"/>
                <c:pt idx="0">
                  <c:v>3</c:v>
                </c:pt>
              </c:strCache>
            </c:strRef>
          </c:tx>
          <c:spPr>
            <a:ln w="3175">
              <a:solidFill>
                <a:sysClr val="windowText" lastClr="000000"/>
              </a:solidFill>
            </a:ln>
          </c:spPr>
          <c:marker>
            <c:symbol val="none"/>
          </c:marker>
          <c:xVal>
            <c:numRef>
              <c:f>Tools!$CH$10:$CI$10</c:f>
              <c:numCache>
                <c:formatCode>General</c:formatCode>
                <c:ptCount val="2"/>
                <c:pt idx="0">
                  <c:v>3</c:v>
                </c:pt>
                <c:pt idx="1">
                  <c:v>3</c:v>
                </c:pt>
              </c:numCache>
            </c:numRef>
          </c:xVal>
          <c:yVal>
            <c:numRef>
              <c:f>Tools!$CH$4:$CI$4</c:f>
              <c:numCache>
                <c:formatCode>General</c:formatCode>
                <c:ptCount val="2"/>
                <c:pt idx="0">
                  <c:v>0</c:v>
                </c:pt>
                <c:pt idx="1">
                  <c:v>6.5</c:v>
                </c:pt>
              </c:numCache>
            </c:numRef>
          </c:yVal>
          <c:smooth val="1"/>
        </c:ser>
        <c:ser>
          <c:idx val="56"/>
          <c:order val="56"/>
          <c:tx>
            <c:strRef>
              <c:f>Tools!$CG$11</c:f>
              <c:strCache>
                <c:ptCount val="1"/>
                <c:pt idx="0">
                  <c:v>4</c:v>
                </c:pt>
              </c:strCache>
            </c:strRef>
          </c:tx>
          <c:spPr>
            <a:ln w="3175">
              <a:solidFill>
                <a:sysClr val="windowText" lastClr="000000"/>
              </a:solidFill>
            </a:ln>
          </c:spPr>
          <c:marker>
            <c:symbol val="none"/>
          </c:marker>
          <c:xVal>
            <c:numRef>
              <c:f>Tools!$CH$11:$CI$11</c:f>
              <c:numCache>
                <c:formatCode>General</c:formatCode>
                <c:ptCount val="2"/>
                <c:pt idx="0">
                  <c:v>4</c:v>
                </c:pt>
                <c:pt idx="1">
                  <c:v>4</c:v>
                </c:pt>
              </c:numCache>
            </c:numRef>
          </c:xVal>
          <c:yVal>
            <c:numRef>
              <c:f>Tools!$CH$4:$CI$4</c:f>
              <c:numCache>
                <c:formatCode>General</c:formatCode>
                <c:ptCount val="2"/>
                <c:pt idx="0">
                  <c:v>0</c:v>
                </c:pt>
                <c:pt idx="1">
                  <c:v>6.5</c:v>
                </c:pt>
              </c:numCache>
            </c:numRef>
          </c:yVal>
          <c:smooth val="1"/>
        </c:ser>
        <c:ser>
          <c:idx val="57"/>
          <c:order val="57"/>
          <c:tx>
            <c:strRef>
              <c:f>Tools!$CG$12</c:f>
              <c:strCache>
                <c:ptCount val="1"/>
                <c:pt idx="0">
                  <c:v>5</c:v>
                </c:pt>
              </c:strCache>
            </c:strRef>
          </c:tx>
          <c:spPr>
            <a:ln w="3175">
              <a:solidFill>
                <a:sysClr val="windowText" lastClr="000000"/>
              </a:solidFill>
            </a:ln>
          </c:spPr>
          <c:marker>
            <c:symbol val="none"/>
          </c:marker>
          <c:xVal>
            <c:numRef>
              <c:f>Tools!$CH$12:$CI$12</c:f>
              <c:numCache>
                <c:formatCode>General</c:formatCode>
                <c:ptCount val="2"/>
                <c:pt idx="0">
                  <c:v>5</c:v>
                </c:pt>
                <c:pt idx="1">
                  <c:v>5</c:v>
                </c:pt>
              </c:numCache>
            </c:numRef>
          </c:xVal>
          <c:yVal>
            <c:numRef>
              <c:f>Tools!$CH$4:$CI$4</c:f>
              <c:numCache>
                <c:formatCode>General</c:formatCode>
                <c:ptCount val="2"/>
                <c:pt idx="0">
                  <c:v>0</c:v>
                </c:pt>
                <c:pt idx="1">
                  <c:v>6.5</c:v>
                </c:pt>
              </c:numCache>
            </c:numRef>
          </c:yVal>
          <c:smooth val="1"/>
        </c:ser>
        <c:ser>
          <c:idx val="58"/>
          <c:order val="58"/>
          <c:tx>
            <c:strRef>
              <c:f>Tools!$CG$13</c:f>
              <c:strCache>
                <c:ptCount val="1"/>
                <c:pt idx="0">
                  <c:v>6</c:v>
                </c:pt>
              </c:strCache>
            </c:strRef>
          </c:tx>
          <c:spPr>
            <a:ln w="3175">
              <a:solidFill>
                <a:sysClr val="windowText" lastClr="000000"/>
              </a:solidFill>
            </a:ln>
          </c:spPr>
          <c:marker>
            <c:symbol val="none"/>
          </c:marker>
          <c:xVal>
            <c:numRef>
              <c:f>Tools!$CH$13:$CI$13</c:f>
              <c:numCache>
                <c:formatCode>General</c:formatCode>
                <c:ptCount val="2"/>
                <c:pt idx="0">
                  <c:v>6</c:v>
                </c:pt>
                <c:pt idx="1">
                  <c:v>6</c:v>
                </c:pt>
              </c:numCache>
            </c:numRef>
          </c:xVal>
          <c:yVal>
            <c:numRef>
              <c:f>Tools!$CH$4:$CI$4</c:f>
              <c:numCache>
                <c:formatCode>General</c:formatCode>
                <c:ptCount val="2"/>
                <c:pt idx="0">
                  <c:v>0</c:v>
                </c:pt>
                <c:pt idx="1">
                  <c:v>6.5</c:v>
                </c:pt>
              </c:numCache>
            </c:numRef>
          </c:yVal>
          <c:smooth val="1"/>
        </c:ser>
        <c:ser>
          <c:idx val="59"/>
          <c:order val="59"/>
          <c:tx>
            <c:strRef>
              <c:f>Tools!$CG$14</c:f>
              <c:strCache>
                <c:ptCount val="1"/>
                <c:pt idx="0">
                  <c:v>7</c:v>
                </c:pt>
              </c:strCache>
            </c:strRef>
          </c:tx>
          <c:spPr>
            <a:ln w="3175">
              <a:solidFill>
                <a:sysClr val="windowText" lastClr="000000"/>
              </a:solidFill>
            </a:ln>
          </c:spPr>
          <c:marker>
            <c:symbol val="none"/>
          </c:marker>
          <c:xVal>
            <c:numRef>
              <c:f>Tools!$CH$14:$CI$14</c:f>
              <c:numCache>
                <c:formatCode>General</c:formatCode>
                <c:ptCount val="2"/>
                <c:pt idx="0">
                  <c:v>7</c:v>
                </c:pt>
                <c:pt idx="1">
                  <c:v>7</c:v>
                </c:pt>
              </c:numCache>
            </c:numRef>
          </c:xVal>
          <c:yVal>
            <c:numRef>
              <c:f>Tools!$CH$4:$CI$4</c:f>
              <c:numCache>
                <c:formatCode>General</c:formatCode>
                <c:ptCount val="2"/>
                <c:pt idx="0">
                  <c:v>0</c:v>
                </c:pt>
                <c:pt idx="1">
                  <c:v>6.5</c:v>
                </c:pt>
              </c:numCache>
            </c:numRef>
          </c:yVal>
          <c:smooth val="1"/>
        </c:ser>
        <c:ser>
          <c:idx val="60"/>
          <c:order val="60"/>
          <c:tx>
            <c:strRef>
              <c:f>Tools!$CG$15</c:f>
              <c:strCache>
                <c:ptCount val="1"/>
                <c:pt idx="0">
                  <c:v>8</c:v>
                </c:pt>
              </c:strCache>
            </c:strRef>
          </c:tx>
          <c:spPr>
            <a:ln w="3175">
              <a:solidFill>
                <a:sysClr val="windowText" lastClr="000000"/>
              </a:solidFill>
            </a:ln>
          </c:spPr>
          <c:marker>
            <c:symbol val="none"/>
          </c:marker>
          <c:xVal>
            <c:numRef>
              <c:f>Tools!$CH$15:$CI$15</c:f>
              <c:numCache>
                <c:formatCode>General</c:formatCode>
                <c:ptCount val="2"/>
                <c:pt idx="0">
                  <c:v>8</c:v>
                </c:pt>
                <c:pt idx="1">
                  <c:v>8</c:v>
                </c:pt>
              </c:numCache>
            </c:numRef>
          </c:xVal>
          <c:yVal>
            <c:numRef>
              <c:f>Tools!$CH$4:$CI$4</c:f>
              <c:numCache>
                <c:formatCode>General</c:formatCode>
                <c:ptCount val="2"/>
                <c:pt idx="0">
                  <c:v>0</c:v>
                </c:pt>
                <c:pt idx="1">
                  <c:v>6.5</c:v>
                </c:pt>
              </c:numCache>
            </c:numRef>
          </c:yVal>
          <c:smooth val="1"/>
        </c:ser>
        <c:ser>
          <c:idx val="61"/>
          <c:order val="61"/>
          <c:tx>
            <c:strRef>
              <c:f>Tools!$CG$16</c:f>
              <c:strCache>
                <c:ptCount val="1"/>
                <c:pt idx="0">
                  <c:v>9</c:v>
                </c:pt>
              </c:strCache>
            </c:strRef>
          </c:tx>
          <c:spPr>
            <a:ln w="3175">
              <a:solidFill>
                <a:sysClr val="windowText" lastClr="000000"/>
              </a:solidFill>
            </a:ln>
          </c:spPr>
          <c:marker>
            <c:symbol val="none"/>
          </c:marker>
          <c:xVal>
            <c:numRef>
              <c:f>Tools!$CH$16:$CI$16</c:f>
              <c:numCache>
                <c:formatCode>General</c:formatCode>
                <c:ptCount val="2"/>
                <c:pt idx="0">
                  <c:v>9</c:v>
                </c:pt>
                <c:pt idx="1">
                  <c:v>9</c:v>
                </c:pt>
              </c:numCache>
            </c:numRef>
          </c:xVal>
          <c:yVal>
            <c:numRef>
              <c:f>Tools!$CH$4:$CI$4</c:f>
              <c:numCache>
                <c:formatCode>General</c:formatCode>
                <c:ptCount val="2"/>
                <c:pt idx="0">
                  <c:v>0</c:v>
                </c:pt>
                <c:pt idx="1">
                  <c:v>6.5</c:v>
                </c:pt>
              </c:numCache>
            </c:numRef>
          </c:yVal>
          <c:smooth val="1"/>
        </c:ser>
        <c:ser>
          <c:idx val="62"/>
          <c:order val="62"/>
          <c:tx>
            <c:strRef>
              <c:f>Tools!$CG$17</c:f>
              <c:strCache>
                <c:ptCount val="1"/>
                <c:pt idx="0">
                  <c:v>10</c:v>
                </c:pt>
              </c:strCache>
            </c:strRef>
          </c:tx>
          <c:spPr>
            <a:ln w="3175">
              <a:solidFill>
                <a:sysClr val="windowText" lastClr="000000"/>
              </a:solidFill>
            </a:ln>
          </c:spPr>
          <c:marker>
            <c:symbol val="none"/>
          </c:marker>
          <c:xVal>
            <c:numRef>
              <c:f>Tools!$CH$17:$CI$17</c:f>
              <c:numCache>
                <c:formatCode>General</c:formatCode>
                <c:ptCount val="2"/>
                <c:pt idx="0">
                  <c:v>10</c:v>
                </c:pt>
                <c:pt idx="1">
                  <c:v>10</c:v>
                </c:pt>
              </c:numCache>
            </c:numRef>
          </c:xVal>
          <c:yVal>
            <c:numRef>
              <c:f>Tools!$CH$4:$CI$4</c:f>
              <c:numCache>
                <c:formatCode>General</c:formatCode>
                <c:ptCount val="2"/>
                <c:pt idx="0">
                  <c:v>0</c:v>
                </c:pt>
                <c:pt idx="1">
                  <c:v>6.5</c:v>
                </c:pt>
              </c:numCache>
            </c:numRef>
          </c:yVal>
          <c:smooth val="1"/>
        </c:ser>
        <c:ser>
          <c:idx val="63"/>
          <c:order val="63"/>
          <c:tx>
            <c:strRef>
              <c:f>Tools!$CG$18</c:f>
              <c:strCache>
                <c:ptCount val="1"/>
                <c:pt idx="0">
                  <c:v>11</c:v>
                </c:pt>
              </c:strCache>
            </c:strRef>
          </c:tx>
          <c:spPr>
            <a:ln w="3175">
              <a:solidFill>
                <a:sysClr val="windowText" lastClr="000000"/>
              </a:solidFill>
            </a:ln>
          </c:spPr>
          <c:marker>
            <c:symbol val="none"/>
          </c:marker>
          <c:xVal>
            <c:numRef>
              <c:f>Tools!$CH$18:$CI$18</c:f>
              <c:numCache>
                <c:formatCode>General</c:formatCode>
                <c:ptCount val="2"/>
                <c:pt idx="0">
                  <c:v>11</c:v>
                </c:pt>
                <c:pt idx="1">
                  <c:v>11</c:v>
                </c:pt>
              </c:numCache>
            </c:numRef>
          </c:xVal>
          <c:yVal>
            <c:numRef>
              <c:f>Tools!$CH$4:$CI$4</c:f>
              <c:numCache>
                <c:formatCode>General</c:formatCode>
                <c:ptCount val="2"/>
                <c:pt idx="0">
                  <c:v>0</c:v>
                </c:pt>
                <c:pt idx="1">
                  <c:v>6.5</c:v>
                </c:pt>
              </c:numCache>
            </c:numRef>
          </c:yVal>
          <c:smooth val="1"/>
        </c:ser>
        <c:ser>
          <c:idx val="64"/>
          <c:order val="64"/>
          <c:tx>
            <c:strRef>
              <c:f>Tools!$CG$19</c:f>
              <c:strCache>
                <c:ptCount val="1"/>
                <c:pt idx="0">
                  <c:v>12</c:v>
                </c:pt>
              </c:strCache>
            </c:strRef>
          </c:tx>
          <c:spPr>
            <a:ln w="3175">
              <a:solidFill>
                <a:sysClr val="windowText" lastClr="000000"/>
              </a:solidFill>
            </a:ln>
          </c:spPr>
          <c:marker>
            <c:symbol val="none"/>
          </c:marker>
          <c:xVal>
            <c:numRef>
              <c:f>Tools!$CH$19:$CI$19</c:f>
              <c:numCache>
                <c:formatCode>General</c:formatCode>
                <c:ptCount val="2"/>
                <c:pt idx="0">
                  <c:v>12</c:v>
                </c:pt>
                <c:pt idx="1">
                  <c:v>12</c:v>
                </c:pt>
              </c:numCache>
            </c:numRef>
          </c:xVal>
          <c:yVal>
            <c:numRef>
              <c:f>Tools!$CH$4:$CI$4</c:f>
              <c:numCache>
                <c:formatCode>General</c:formatCode>
                <c:ptCount val="2"/>
                <c:pt idx="0">
                  <c:v>0</c:v>
                </c:pt>
                <c:pt idx="1">
                  <c:v>6.5</c:v>
                </c:pt>
              </c:numCache>
            </c:numRef>
          </c:yVal>
          <c:smooth val="1"/>
        </c:ser>
        <c:ser>
          <c:idx val="65"/>
          <c:order val="65"/>
          <c:tx>
            <c:strRef>
              <c:f>Tools!$CG$20</c:f>
              <c:strCache>
                <c:ptCount val="1"/>
                <c:pt idx="0">
                  <c:v>13</c:v>
                </c:pt>
              </c:strCache>
            </c:strRef>
          </c:tx>
          <c:spPr>
            <a:ln w="3175">
              <a:solidFill>
                <a:sysClr val="windowText" lastClr="000000"/>
              </a:solidFill>
            </a:ln>
          </c:spPr>
          <c:marker>
            <c:symbol val="none"/>
          </c:marker>
          <c:xVal>
            <c:numRef>
              <c:f>Tools!$CH$20:$CI$20</c:f>
              <c:numCache>
                <c:formatCode>General</c:formatCode>
                <c:ptCount val="2"/>
                <c:pt idx="0">
                  <c:v>13</c:v>
                </c:pt>
                <c:pt idx="1">
                  <c:v>13</c:v>
                </c:pt>
              </c:numCache>
            </c:numRef>
          </c:xVal>
          <c:yVal>
            <c:numRef>
              <c:f>Tools!$CH$4:$CI$4</c:f>
              <c:numCache>
                <c:formatCode>General</c:formatCode>
                <c:ptCount val="2"/>
                <c:pt idx="0">
                  <c:v>0</c:v>
                </c:pt>
                <c:pt idx="1">
                  <c:v>6.5</c:v>
                </c:pt>
              </c:numCache>
            </c:numRef>
          </c:yVal>
          <c:smooth val="1"/>
        </c:ser>
        <c:ser>
          <c:idx val="66"/>
          <c:order val="66"/>
          <c:tx>
            <c:strRef>
              <c:f>Tools!$CG$21</c:f>
              <c:strCache>
                <c:ptCount val="1"/>
                <c:pt idx="0">
                  <c:v>14</c:v>
                </c:pt>
              </c:strCache>
            </c:strRef>
          </c:tx>
          <c:spPr>
            <a:ln w="3175">
              <a:solidFill>
                <a:sysClr val="windowText" lastClr="000000"/>
              </a:solidFill>
            </a:ln>
          </c:spPr>
          <c:marker>
            <c:symbol val="none"/>
          </c:marker>
          <c:xVal>
            <c:numRef>
              <c:f>Tools!$CH$21:$CI$21</c:f>
              <c:numCache>
                <c:formatCode>General</c:formatCode>
                <c:ptCount val="2"/>
                <c:pt idx="0">
                  <c:v>14</c:v>
                </c:pt>
                <c:pt idx="1">
                  <c:v>14</c:v>
                </c:pt>
              </c:numCache>
            </c:numRef>
          </c:xVal>
          <c:yVal>
            <c:numRef>
              <c:f>Tools!$CH$4:$CI$4</c:f>
              <c:numCache>
                <c:formatCode>General</c:formatCode>
                <c:ptCount val="2"/>
                <c:pt idx="0">
                  <c:v>0</c:v>
                </c:pt>
                <c:pt idx="1">
                  <c:v>6.5</c:v>
                </c:pt>
              </c:numCache>
            </c:numRef>
          </c:yVal>
          <c:smooth val="1"/>
        </c:ser>
        <c:ser>
          <c:idx val="67"/>
          <c:order val="67"/>
          <c:tx>
            <c:strRef>
              <c:f>Tools!$CG$22</c:f>
              <c:strCache>
                <c:ptCount val="1"/>
                <c:pt idx="0">
                  <c:v>15</c:v>
                </c:pt>
              </c:strCache>
            </c:strRef>
          </c:tx>
          <c:spPr>
            <a:ln w="3175">
              <a:solidFill>
                <a:sysClr val="windowText" lastClr="000000"/>
              </a:solidFill>
            </a:ln>
          </c:spPr>
          <c:marker>
            <c:symbol val="none"/>
          </c:marker>
          <c:xVal>
            <c:numRef>
              <c:f>Tools!$CH$22:$CI$22</c:f>
              <c:numCache>
                <c:formatCode>General</c:formatCode>
                <c:ptCount val="2"/>
                <c:pt idx="0">
                  <c:v>15</c:v>
                </c:pt>
                <c:pt idx="1">
                  <c:v>15</c:v>
                </c:pt>
              </c:numCache>
            </c:numRef>
          </c:xVal>
          <c:yVal>
            <c:numRef>
              <c:f>Tools!$CH$4:$CI$4</c:f>
              <c:numCache>
                <c:formatCode>General</c:formatCode>
                <c:ptCount val="2"/>
                <c:pt idx="0">
                  <c:v>0</c:v>
                </c:pt>
                <c:pt idx="1">
                  <c:v>6.5</c:v>
                </c:pt>
              </c:numCache>
            </c:numRef>
          </c:yVal>
          <c:smooth val="1"/>
        </c:ser>
        <c:ser>
          <c:idx val="68"/>
          <c:order val="68"/>
          <c:tx>
            <c:strRef>
              <c:f>Tools!$CG$23</c:f>
              <c:strCache>
                <c:ptCount val="1"/>
                <c:pt idx="0">
                  <c:v>16</c:v>
                </c:pt>
              </c:strCache>
            </c:strRef>
          </c:tx>
          <c:spPr>
            <a:ln w="3175">
              <a:solidFill>
                <a:sysClr val="windowText" lastClr="000000"/>
              </a:solidFill>
            </a:ln>
          </c:spPr>
          <c:marker>
            <c:symbol val="none"/>
          </c:marker>
          <c:xVal>
            <c:numRef>
              <c:f>Tools!$CH$23:$CI$23</c:f>
              <c:numCache>
                <c:formatCode>General</c:formatCode>
                <c:ptCount val="2"/>
                <c:pt idx="0">
                  <c:v>16</c:v>
                </c:pt>
                <c:pt idx="1">
                  <c:v>16</c:v>
                </c:pt>
              </c:numCache>
            </c:numRef>
          </c:xVal>
          <c:yVal>
            <c:numRef>
              <c:f>Tools!$CH$4:$CI$4</c:f>
              <c:numCache>
                <c:formatCode>General</c:formatCode>
                <c:ptCount val="2"/>
                <c:pt idx="0">
                  <c:v>0</c:v>
                </c:pt>
                <c:pt idx="1">
                  <c:v>6.5</c:v>
                </c:pt>
              </c:numCache>
            </c:numRef>
          </c:yVal>
          <c:smooth val="1"/>
        </c:ser>
        <c:ser>
          <c:idx val="69"/>
          <c:order val="69"/>
          <c:tx>
            <c:strRef>
              <c:f>Tools!$CG$24</c:f>
              <c:strCache>
                <c:ptCount val="1"/>
                <c:pt idx="0">
                  <c:v>17</c:v>
                </c:pt>
              </c:strCache>
            </c:strRef>
          </c:tx>
          <c:spPr>
            <a:ln w="3175">
              <a:solidFill>
                <a:sysClr val="windowText" lastClr="000000"/>
              </a:solidFill>
            </a:ln>
          </c:spPr>
          <c:marker>
            <c:symbol val="none"/>
          </c:marker>
          <c:xVal>
            <c:numRef>
              <c:f>Tools!$CH$24:$CI$24</c:f>
              <c:numCache>
                <c:formatCode>General</c:formatCode>
                <c:ptCount val="2"/>
                <c:pt idx="0">
                  <c:v>17</c:v>
                </c:pt>
                <c:pt idx="1">
                  <c:v>17</c:v>
                </c:pt>
              </c:numCache>
            </c:numRef>
          </c:xVal>
          <c:yVal>
            <c:numRef>
              <c:f>Tools!$CH$4:$CI$4</c:f>
              <c:numCache>
                <c:formatCode>General</c:formatCode>
                <c:ptCount val="2"/>
                <c:pt idx="0">
                  <c:v>0</c:v>
                </c:pt>
                <c:pt idx="1">
                  <c:v>6.5</c:v>
                </c:pt>
              </c:numCache>
            </c:numRef>
          </c:yVal>
          <c:smooth val="1"/>
        </c:ser>
        <c:ser>
          <c:idx val="70"/>
          <c:order val="70"/>
          <c:tx>
            <c:strRef>
              <c:f>Tools!$CG$25</c:f>
              <c:strCache>
                <c:ptCount val="1"/>
                <c:pt idx="0">
                  <c:v>18</c:v>
                </c:pt>
              </c:strCache>
            </c:strRef>
          </c:tx>
          <c:spPr>
            <a:ln w="3175">
              <a:solidFill>
                <a:sysClr val="windowText" lastClr="000000"/>
              </a:solidFill>
            </a:ln>
          </c:spPr>
          <c:marker>
            <c:symbol val="none"/>
          </c:marker>
          <c:xVal>
            <c:numRef>
              <c:f>Tools!$CH$25:$CI$25</c:f>
              <c:numCache>
                <c:formatCode>General</c:formatCode>
                <c:ptCount val="2"/>
                <c:pt idx="0">
                  <c:v>18</c:v>
                </c:pt>
                <c:pt idx="1">
                  <c:v>18</c:v>
                </c:pt>
              </c:numCache>
            </c:numRef>
          </c:xVal>
          <c:yVal>
            <c:numRef>
              <c:f>Tools!$CH$4:$CI$4</c:f>
              <c:numCache>
                <c:formatCode>General</c:formatCode>
                <c:ptCount val="2"/>
                <c:pt idx="0">
                  <c:v>0</c:v>
                </c:pt>
                <c:pt idx="1">
                  <c:v>6.5</c:v>
                </c:pt>
              </c:numCache>
            </c:numRef>
          </c:yVal>
          <c:smooth val="1"/>
        </c:ser>
        <c:ser>
          <c:idx val="71"/>
          <c:order val="71"/>
          <c:tx>
            <c:strRef>
              <c:f>Tools!$CG$26</c:f>
              <c:strCache>
                <c:ptCount val="1"/>
                <c:pt idx="0">
                  <c:v>18.5</c:v>
                </c:pt>
              </c:strCache>
            </c:strRef>
          </c:tx>
          <c:spPr>
            <a:ln w="3175">
              <a:solidFill>
                <a:sysClr val="windowText" lastClr="000000"/>
              </a:solidFill>
            </a:ln>
          </c:spPr>
          <c:marker>
            <c:symbol val="none"/>
          </c:marker>
          <c:xVal>
            <c:numRef>
              <c:f>Tools!$CH$26:$CI$26</c:f>
              <c:numCache>
                <c:formatCode>General</c:formatCode>
                <c:ptCount val="2"/>
                <c:pt idx="0">
                  <c:v>18.5</c:v>
                </c:pt>
                <c:pt idx="1">
                  <c:v>18.5</c:v>
                </c:pt>
              </c:numCache>
            </c:numRef>
          </c:xVal>
          <c:yVal>
            <c:numRef>
              <c:f>Tools!$CH$4:$CI$4</c:f>
              <c:numCache>
                <c:formatCode>General</c:formatCode>
                <c:ptCount val="2"/>
                <c:pt idx="0">
                  <c:v>0</c:v>
                </c:pt>
                <c:pt idx="1">
                  <c:v>6.5</c:v>
                </c:pt>
              </c:numCache>
            </c:numRef>
          </c:yVal>
          <c:smooth val="1"/>
        </c:ser>
        <c:ser>
          <c:idx val="72"/>
          <c:order val="72"/>
          <c:tx>
            <c:strRef>
              <c:f>Tools!$CG$27</c:f>
              <c:strCache>
                <c:ptCount val="1"/>
                <c:pt idx="0">
                  <c:v>19</c:v>
                </c:pt>
              </c:strCache>
            </c:strRef>
          </c:tx>
          <c:spPr>
            <a:ln w="3175">
              <a:solidFill>
                <a:sysClr val="windowText" lastClr="000000"/>
              </a:solidFill>
            </a:ln>
          </c:spPr>
          <c:marker>
            <c:symbol val="none"/>
          </c:marker>
          <c:xVal>
            <c:numRef>
              <c:f>Tools!$CH$27:$CI$27</c:f>
              <c:numCache>
                <c:formatCode>General</c:formatCode>
                <c:ptCount val="2"/>
                <c:pt idx="0">
                  <c:v>19</c:v>
                </c:pt>
                <c:pt idx="1">
                  <c:v>19</c:v>
                </c:pt>
              </c:numCache>
            </c:numRef>
          </c:xVal>
          <c:yVal>
            <c:numRef>
              <c:f>Tools!$CH$4:$CI$4</c:f>
              <c:numCache>
                <c:formatCode>General</c:formatCode>
                <c:ptCount val="2"/>
                <c:pt idx="0">
                  <c:v>0</c:v>
                </c:pt>
                <c:pt idx="1">
                  <c:v>6.5</c:v>
                </c:pt>
              </c:numCache>
            </c:numRef>
          </c:yVal>
          <c:smooth val="1"/>
        </c:ser>
        <c:ser>
          <c:idx val="73"/>
          <c:order val="73"/>
          <c:tx>
            <c:strRef>
              <c:f>Tools!$CG$28</c:f>
              <c:strCache>
                <c:ptCount val="1"/>
                <c:pt idx="0">
                  <c:v>19.5</c:v>
                </c:pt>
              </c:strCache>
            </c:strRef>
          </c:tx>
          <c:spPr>
            <a:ln w="3175">
              <a:solidFill>
                <a:sysClr val="windowText" lastClr="000000"/>
              </a:solidFill>
            </a:ln>
          </c:spPr>
          <c:marker>
            <c:symbol val="none"/>
          </c:marker>
          <c:xVal>
            <c:numRef>
              <c:f>Tools!$CH$28:$CI$28</c:f>
              <c:numCache>
                <c:formatCode>General</c:formatCode>
                <c:ptCount val="2"/>
                <c:pt idx="0">
                  <c:v>19.5</c:v>
                </c:pt>
                <c:pt idx="1">
                  <c:v>19.5</c:v>
                </c:pt>
              </c:numCache>
            </c:numRef>
          </c:xVal>
          <c:yVal>
            <c:numRef>
              <c:f>Tools!$CH$4:$CI$4</c:f>
              <c:numCache>
                <c:formatCode>General</c:formatCode>
                <c:ptCount val="2"/>
                <c:pt idx="0">
                  <c:v>0</c:v>
                </c:pt>
                <c:pt idx="1">
                  <c:v>6.5</c:v>
                </c:pt>
              </c:numCache>
            </c:numRef>
          </c:yVal>
          <c:smooth val="1"/>
        </c:ser>
        <c:ser>
          <c:idx val="74"/>
          <c:order val="74"/>
          <c:tx>
            <c:strRef>
              <c:f>Tools!$CG$29</c:f>
              <c:strCache>
                <c:ptCount val="1"/>
                <c:pt idx="0">
                  <c:v>20</c:v>
                </c:pt>
              </c:strCache>
            </c:strRef>
          </c:tx>
          <c:spPr>
            <a:ln w="3175">
              <a:solidFill>
                <a:sysClr val="windowText" lastClr="000000"/>
              </a:solidFill>
            </a:ln>
          </c:spPr>
          <c:marker>
            <c:symbol val="none"/>
          </c:marker>
          <c:xVal>
            <c:numRef>
              <c:f>Tools!$CH$29:$CI$29</c:f>
              <c:numCache>
                <c:formatCode>General</c:formatCode>
                <c:ptCount val="2"/>
                <c:pt idx="0">
                  <c:v>20</c:v>
                </c:pt>
                <c:pt idx="1">
                  <c:v>20</c:v>
                </c:pt>
              </c:numCache>
            </c:numRef>
          </c:xVal>
          <c:yVal>
            <c:numRef>
              <c:f>Tools!$CH$4:$CI$4</c:f>
              <c:numCache>
                <c:formatCode>General</c:formatCode>
                <c:ptCount val="2"/>
                <c:pt idx="0">
                  <c:v>0</c:v>
                </c:pt>
                <c:pt idx="1">
                  <c:v>6.5</c:v>
                </c:pt>
              </c:numCache>
            </c:numRef>
          </c:yVal>
          <c:smooth val="1"/>
        </c:ser>
        <c:ser>
          <c:idx val="75"/>
          <c:order val="75"/>
          <c:tx>
            <c:strRef>
              <c:f>Tools!$CG$31</c:f>
              <c:strCache>
                <c:ptCount val="1"/>
                <c:pt idx="0">
                  <c:v>MDK</c:v>
                </c:pt>
              </c:strCache>
            </c:strRef>
          </c:tx>
          <c:spPr>
            <a:ln w="3175">
              <a:solidFill>
                <a:schemeClr val="tx2">
                  <a:lumMod val="60000"/>
                  <a:lumOff val="40000"/>
                </a:schemeClr>
              </a:solidFill>
            </a:ln>
          </c:spPr>
          <c:marker>
            <c:symbol val="none"/>
          </c:marker>
          <c:xVal>
            <c:numRef>
              <c:f>Tools!$CH$31:$CI$31</c:f>
              <c:numCache>
                <c:formatCode>General</c:formatCode>
                <c:ptCount val="2"/>
                <c:pt idx="0">
                  <c:v>0</c:v>
                </c:pt>
                <c:pt idx="1">
                  <c:v>20</c:v>
                </c:pt>
              </c:numCache>
            </c:numRef>
          </c:xVal>
          <c:yVal>
            <c:numRef>
              <c:f>Tools!$CH$32:$CI$32</c:f>
              <c:numCache>
                <c:formatCode>General</c:formatCode>
                <c:ptCount val="2"/>
                <c:pt idx="0">
                  <c:v>6.5</c:v>
                </c:pt>
                <c:pt idx="1">
                  <c:v>6.5</c:v>
                </c:pt>
              </c:numCache>
            </c:numRef>
          </c:yVal>
          <c:smooth val="1"/>
        </c:ser>
        <c:ser>
          <c:idx val="76"/>
          <c:order val="76"/>
          <c:tx>
            <c:strRef>
              <c:f>Tools!$CG$34</c:f>
              <c:strCache>
                <c:ptCount val="1"/>
                <c:pt idx="0">
                  <c:v>LWL</c:v>
                </c:pt>
              </c:strCache>
            </c:strRef>
          </c:tx>
          <c:spPr>
            <a:ln w="3175">
              <a:solidFill>
                <a:schemeClr val="accent4">
                  <a:lumMod val="75000"/>
                </a:schemeClr>
              </a:solidFill>
            </a:ln>
          </c:spPr>
          <c:marker>
            <c:symbol val="none"/>
          </c:marker>
          <c:xVal>
            <c:numRef>
              <c:f>Tools!$CH$34:$CI$34</c:f>
              <c:numCache>
                <c:formatCode>General</c:formatCode>
                <c:ptCount val="2"/>
                <c:pt idx="0">
                  <c:v>0</c:v>
                </c:pt>
                <c:pt idx="1">
                  <c:v>20</c:v>
                </c:pt>
              </c:numCache>
            </c:numRef>
          </c:xVal>
          <c:yVal>
            <c:numRef>
              <c:f>Tools!$CH$35:$CI$35</c:f>
              <c:numCache>
                <c:formatCode>General</c:formatCode>
                <c:ptCount val="2"/>
                <c:pt idx="0">
                  <c:v>4.8499999999999996</c:v>
                </c:pt>
                <c:pt idx="1">
                  <c:v>4.8499999999999996</c:v>
                </c:pt>
              </c:numCache>
            </c:numRef>
          </c:yVal>
          <c:smooth val="1"/>
        </c:ser>
        <c:ser>
          <c:idx val="77"/>
          <c:order val="77"/>
          <c:tx>
            <c:strRef>
              <c:f>Tools!$CG$37</c:f>
              <c:strCache>
                <c:ptCount val="1"/>
                <c:pt idx="0">
                  <c:v>KEEL</c:v>
                </c:pt>
              </c:strCache>
            </c:strRef>
          </c:tx>
          <c:spPr>
            <a:ln w="3175">
              <a:solidFill>
                <a:sysClr val="windowText" lastClr="000000"/>
              </a:solidFill>
            </a:ln>
          </c:spPr>
          <c:marker>
            <c:symbol val="none"/>
          </c:marker>
          <c:xVal>
            <c:numRef>
              <c:f>Tools!$CH$37:$CI$37</c:f>
              <c:numCache>
                <c:formatCode>General</c:formatCode>
                <c:ptCount val="2"/>
                <c:pt idx="0">
                  <c:v>0</c:v>
                </c:pt>
                <c:pt idx="1">
                  <c:v>20</c:v>
                </c:pt>
              </c:numCache>
            </c:numRef>
          </c:xVal>
          <c:yVal>
            <c:numRef>
              <c:f>Tools!$CH$38:$CI$38</c:f>
              <c:numCache>
                <c:formatCode>General</c:formatCode>
                <c:ptCount val="2"/>
                <c:pt idx="0">
                  <c:v>3.2500000000000001E-2</c:v>
                </c:pt>
                <c:pt idx="1">
                  <c:v>3.2500000000000001E-2</c:v>
                </c:pt>
              </c:numCache>
            </c:numRef>
          </c:yVal>
          <c:smooth val="1"/>
        </c:ser>
        <c:dLbls>
          <c:showLegendKey val="0"/>
          <c:showVal val="0"/>
          <c:showCatName val="0"/>
          <c:showSerName val="0"/>
          <c:showPercent val="0"/>
          <c:showBubbleSize val="0"/>
        </c:dLbls>
        <c:axId val="1003300352"/>
        <c:axId val="1003301888"/>
      </c:scatterChart>
      <c:valAx>
        <c:axId val="1003300352"/>
        <c:scaling>
          <c:orientation val="minMax"/>
          <c:max val="21"/>
          <c:min val="0"/>
        </c:scaling>
        <c:delete val="0"/>
        <c:axPos val="b"/>
        <c:numFmt formatCode="General" sourceLinked="1"/>
        <c:majorTickMark val="out"/>
        <c:minorTickMark val="none"/>
        <c:tickLblPos val="nextTo"/>
        <c:spPr>
          <a:ln>
            <a:solidFill>
              <a:schemeClr val="bg1"/>
            </a:solidFill>
          </a:ln>
        </c:spPr>
        <c:crossAx val="1003301888"/>
        <c:crosses val="autoZero"/>
        <c:crossBetween val="midCat"/>
        <c:majorUnit val="1"/>
        <c:minorUnit val="1"/>
      </c:valAx>
      <c:valAx>
        <c:axId val="1003301888"/>
        <c:scaling>
          <c:orientation val="minMax"/>
        </c:scaling>
        <c:delete val="0"/>
        <c:axPos val="l"/>
        <c:majorGridlines>
          <c:spPr>
            <a:ln>
              <a:solidFill>
                <a:schemeClr val="tx1">
                  <a:alpha val="7000"/>
                </a:schemeClr>
              </a:solidFill>
            </a:ln>
          </c:spPr>
        </c:majorGridlines>
        <c:numFmt formatCode="General" sourceLinked="1"/>
        <c:majorTickMark val="out"/>
        <c:minorTickMark val="none"/>
        <c:tickLblPos val="nextTo"/>
        <c:spPr>
          <a:ln>
            <a:solidFill>
              <a:schemeClr val="accent1">
                <a:lumMod val="40000"/>
                <a:lumOff val="60000"/>
                <a:alpha val="12000"/>
              </a:schemeClr>
            </a:solidFill>
          </a:ln>
        </c:spPr>
        <c:crossAx val="1003300352"/>
        <c:crossesAt val="0"/>
        <c:crossBetween val="midCat"/>
      </c:valAx>
      <c:spPr>
        <a:ln>
          <a:solidFill>
            <a:schemeClr val="bg1"/>
          </a:solidFill>
        </a:ln>
      </c:spPr>
    </c:plotArea>
    <c:plotVisOnly val="1"/>
    <c:dispBlanksAs val="span"/>
    <c:showDLblsOverMax val="0"/>
  </c:chart>
  <c:txPr>
    <a:bodyPr/>
    <a:lstStyle/>
    <a:p>
      <a:pPr>
        <a:defRPr sz="900"/>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I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1.5565463865013437E-2"/>
          <c:y val="4.8409162862424297E-2"/>
          <c:w val="0.82111491280458926"/>
          <c:h val="0.86951254634026776"/>
        </c:manualLayout>
      </c:layout>
      <c:scatterChart>
        <c:scatterStyle val="smoothMarker"/>
        <c:varyColors val="0"/>
        <c:ser>
          <c:idx val="0"/>
          <c:order val="0"/>
          <c:tx>
            <c:strRef>
              <c:f>Tools!$DC$62</c:f>
              <c:strCache>
                <c:ptCount val="1"/>
                <c:pt idx="0">
                  <c:v>STN 0</c:v>
                </c:pt>
              </c:strCache>
            </c:strRef>
          </c:tx>
          <c:spPr>
            <a:ln w="3175"/>
          </c:spPr>
          <c:marker>
            <c:symbol val="none"/>
          </c:marker>
          <c:xVal>
            <c:numRef>
              <c:f>Tools!$DJ$98:$EI$98</c:f>
              <c:numCache>
                <c:formatCode>General</c:formatCode>
                <c:ptCount val="26"/>
                <c:pt idx="0">
                  <c:v>0</c:v>
                </c:pt>
                <c:pt idx="1">
                  <c:v>#N/A</c:v>
                </c:pt>
                <c:pt idx="2">
                  <c:v>#N/A</c:v>
                </c:pt>
                <c:pt idx="3">
                  <c:v>#N/A</c:v>
                </c:pt>
                <c:pt idx="4">
                  <c:v>#N/A</c:v>
                </c:pt>
                <c:pt idx="5">
                  <c:v>#N/A</c:v>
                </c:pt>
                <c:pt idx="6">
                  <c:v>#N/A</c:v>
                </c:pt>
                <c:pt idx="7">
                  <c:v>#N/A</c:v>
                </c:pt>
                <c:pt idx="8">
                  <c:v>-0.9</c:v>
                </c:pt>
                <c:pt idx="9">
                  <c:v>-2.59</c:v>
                </c:pt>
                <c:pt idx="10">
                  <c:v>-2.82</c:v>
                </c:pt>
                <c:pt idx="11">
                  <c:v>-3.82</c:v>
                </c:pt>
                <c:pt idx="12">
                  <c:v>-4.24</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xVal>
          <c:yVal>
            <c:numRef>
              <c:f>Tools!$EL$98:$FK$98</c:f>
              <c:numCache>
                <c:formatCode>General</c:formatCode>
                <c:ptCount val="26"/>
                <c:pt idx="0">
                  <c:v>7</c:v>
                </c:pt>
                <c:pt idx="1">
                  <c:v>0</c:v>
                </c:pt>
                <c:pt idx="2">
                  <c:v>0.5</c:v>
                </c:pt>
                <c:pt idx="3">
                  <c:v>1</c:v>
                </c:pt>
                <c:pt idx="4">
                  <c:v>1.5</c:v>
                </c:pt>
                <c:pt idx="5">
                  <c:v>2</c:v>
                </c:pt>
                <c:pt idx="6">
                  <c:v>4</c:v>
                </c:pt>
                <c:pt idx="7">
                  <c:v>6</c:v>
                </c:pt>
                <c:pt idx="8">
                  <c:v>8</c:v>
                </c:pt>
                <c:pt idx="9">
                  <c:v>9.6999999999999993</c:v>
                </c:pt>
                <c:pt idx="10">
                  <c:v>10</c:v>
                </c:pt>
                <c:pt idx="11">
                  <c:v>12</c:v>
                </c:pt>
                <c:pt idx="12">
                  <c:v>13</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yVal>
          <c:smooth val="1"/>
        </c:ser>
        <c:ser>
          <c:idx val="1"/>
          <c:order val="1"/>
          <c:tx>
            <c:strRef>
              <c:f>Tools!$DC$63</c:f>
              <c:strCache>
                <c:ptCount val="1"/>
                <c:pt idx="0">
                  <c:v>STN 0.5</c:v>
                </c:pt>
              </c:strCache>
            </c:strRef>
          </c:tx>
          <c:spPr>
            <a:ln w="3175"/>
          </c:spPr>
          <c:marker>
            <c:symbol val="none"/>
          </c:marker>
          <c:xVal>
            <c:numRef>
              <c:f>Tools!$DJ$99:$EI$99</c:f>
              <c:numCache>
                <c:formatCode>General</c:formatCode>
                <c:ptCount val="26"/>
                <c:pt idx="0">
                  <c:v>#N/A</c:v>
                </c:pt>
                <c:pt idx="1">
                  <c:v>-0.1</c:v>
                </c:pt>
                <c:pt idx="2">
                  <c:v>-0.2</c:v>
                </c:pt>
                <c:pt idx="3">
                  <c:v>-0.2</c:v>
                </c:pt>
                <c:pt idx="4">
                  <c:v>-0.21</c:v>
                </c:pt>
                <c:pt idx="5">
                  <c:v>-0.25</c:v>
                </c:pt>
                <c:pt idx="6">
                  <c:v>-0.33</c:v>
                </c:pt>
                <c:pt idx="7">
                  <c:v>-0.66</c:v>
                </c:pt>
                <c:pt idx="8">
                  <c:v>-2.4300000000000002</c:v>
                </c:pt>
                <c:pt idx="9">
                  <c:v>-4.18</c:v>
                </c:pt>
                <c:pt idx="10">
                  <c:v>-4.3899999999999997</c:v>
                </c:pt>
                <c:pt idx="11">
                  <c:v>-5.43</c:v>
                </c:pt>
                <c:pt idx="12">
                  <c:v>-5.85</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xVal>
          <c:yVal>
            <c:numRef>
              <c:f>Tools!$EL$99:$FK$99</c:f>
              <c:numCache>
                <c:formatCode>General</c:formatCode>
                <c:ptCount val="26"/>
                <c:pt idx="0">
                  <c:v>#N/A</c:v>
                </c:pt>
                <c:pt idx="1">
                  <c:v>0</c:v>
                </c:pt>
                <c:pt idx="2">
                  <c:v>0.5</c:v>
                </c:pt>
                <c:pt idx="3">
                  <c:v>1</c:v>
                </c:pt>
                <c:pt idx="4">
                  <c:v>1.5</c:v>
                </c:pt>
                <c:pt idx="5">
                  <c:v>2</c:v>
                </c:pt>
                <c:pt idx="6">
                  <c:v>4</c:v>
                </c:pt>
                <c:pt idx="7">
                  <c:v>6</c:v>
                </c:pt>
                <c:pt idx="8">
                  <c:v>8</c:v>
                </c:pt>
                <c:pt idx="9">
                  <c:v>9.6999999999999993</c:v>
                </c:pt>
                <c:pt idx="10">
                  <c:v>10</c:v>
                </c:pt>
                <c:pt idx="11">
                  <c:v>12</c:v>
                </c:pt>
                <c:pt idx="12">
                  <c:v>13</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yVal>
          <c:smooth val="1"/>
        </c:ser>
        <c:ser>
          <c:idx val="2"/>
          <c:order val="2"/>
          <c:tx>
            <c:strRef>
              <c:f>Tools!$DC$64</c:f>
              <c:strCache>
                <c:ptCount val="1"/>
                <c:pt idx="0">
                  <c:v>STN 1</c:v>
                </c:pt>
              </c:strCache>
            </c:strRef>
          </c:tx>
          <c:spPr>
            <a:ln w="3175"/>
          </c:spPr>
          <c:marker>
            <c:symbol val="none"/>
          </c:marker>
          <c:xVal>
            <c:numRef>
              <c:f>Tools!$DJ$100:$EI$100</c:f>
              <c:numCache>
                <c:formatCode>General</c:formatCode>
                <c:ptCount val="26"/>
                <c:pt idx="0">
                  <c:v>#N/A</c:v>
                </c:pt>
                <c:pt idx="1">
                  <c:v>-0.3</c:v>
                </c:pt>
                <c:pt idx="2">
                  <c:v>-0.5</c:v>
                </c:pt>
                <c:pt idx="3">
                  <c:v>-0.68</c:v>
                </c:pt>
                <c:pt idx="4">
                  <c:v>-0.83</c:v>
                </c:pt>
                <c:pt idx="5">
                  <c:v>-0.98</c:v>
                </c:pt>
                <c:pt idx="6">
                  <c:v>-1.44</c:v>
                </c:pt>
                <c:pt idx="7">
                  <c:v>-2.27</c:v>
                </c:pt>
                <c:pt idx="8">
                  <c:v>-4.01</c:v>
                </c:pt>
                <c:pt idx="9">
                  <c:v>-5.57</c:v>
                </c:pt>
                <c:pt idx="10">
                  <c:v>-5.78</c:v>
                </c:pt>
                <c:pt idx="11">
                  <c:v>-6.8</c:v>
                </c:pt>
                <c:pt idx="12">
                  <c:v>-7.27</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xVal>
          <c:yVal>
            <c:numRef>
              <c:f>Tools!$EL$100:$FK$100</c:f>
              <c:numCache>
                <c:formatCode>General</c:formatCode>
                <c:ptCount val="26"/>
                <c:pt idx="0">
                  <c:v>#N/A</c:v>
                </c:pt>
                <c:pt idx="1">
                  <c:v>0</c:v>
                </c:pt>
                <c:pt idx="2">
                  <c:v>0.5</c:v>
                </c:pt>
                <c:pt idx="3">
                  <c:v>1</c:v>
                </c:pt>
                <c:pt idx="4">
                  <c:v>1.5</c:v>
                </c:pt>
                <c:pt idx="5">
                  <c:v>2</c:v>
                </c:pt>
                <c:pt idx="6">
                  <c:v>4</c:v>
                </c:pt>
                <c:pt idx="7">
                  <c:v>6</c:v>
                </c:pt>
                <c:pt idx="8">
                  <c:v>8</c:v>
                </c:pt>
                <c:pt idx="9">
                  <c:v>9.6999999999999993</c:v>
                </c:pt>
                <c:pt idx="10">
                  <c:v>10</c:v>
                </c:pt>
                <c:pt idx="11">
                  <c:v>12</c:v>
                </c:pt>
                <c:pt idx="12">
                  <c:v>13</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yVal>
          <c:smooth val="1"/>
        </c:ser>
        <c:ser>
          <c:idx val="3"/>
          <c:order val="3"/>
          <c:tx>
            <c:strRef>
              <c:f>Tools!$DC$65</c:f>
              <c:strCache>
                <c:ptCount val="1"/>
                <c:pt idx="0">
                  <c:v>STN 1.5</c:v>
                </c:pt>
              </c:strCache>
            </c:strRef>
          </c:tx>
          <c:spPr>
            <a:ln w="3175"/>
          </c:spPr>
          <c:marker>
            <c:symbol val="none"/>
          </c:marker>
          <c:xVal>
            <c:numRef>
              <c:f>Tools!$DJ$101:$EI$101</c:f>
              <c:numCache>
                <c:formatCode>General</c:formatCode>
                <c:ptCount val="26"/>
                <c:pt idx="0">
                  <c:v>#N/A</c:v>
                </c:pt>
                <c:pt idx="1">
                  <c:v>-0.5</c:v>
                </c:pt>
                <c:pt idx="2">
                  <c:v>-0.99</c:v>
                </c:pt>
                <c:pt idx="3">
                  <c:v>-1.35</c:v>
                </c:pt>
                <c:pt idx="4">
                  <c:v>-1.65</c:v>
                </c:pt>
                <c:pt idx="5">
                  <c:v>-1.89</c:v>
                </c:pt>
                <c:pt idx="6">
                  <c:v>-2.81</c:v>
                </c:pt>
                <c:pt idx="7">
                  <c:v>-3.86</c:v>
                </c:pt>
                <c:pt idx="8">
                  <c:v>-5.5</c:v>
                </c:pt>
                <c:pt idx="9">
                  <c:v>-6.82</c:v>
                </c:pt>
                <c:pt idx="10">
                  <c:v>-7.01</c:v>
                </c:pt>
                <c:pt idx="11">
                  <c:v>-7.98</c:v>
                </c:pt>
                <c:pt idx="12">
                  <c:v>-8.42</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xVal>
          <c:yVal>
            <c:numRef>
              <c:f>Tools!$EL$101:$FK$101</c:f>
              <c:numCache>
                <c:formatCode>General</c:formatCode>
                <c:ptCount val="26"/>
                <c:pt idx="0">
                  <c:v>#N/A</c:v>
                </c:pt>
                <c:pt idx="1">
                  <c:v>0</c:v>
                </c:pt>
                <c:pt idx="2">
                  <c:v>0.5</c:v>
                </c:pt>
                <c:pt idx="3">
                  <c:v>1</c:v>
                </c:pt>
                <c:pt idx="4">
                  <c:v>1.5</c:v>
                </c:pt>
                <c:pt idx="5">
                  <c:v>2</c:v>
                </c:pt>
                <c:pt idx="6">
                  <c:v>4</c:v>
                </c:pt>
                <c:pt idx="7">
                  <c:v>6</c:v>
                </c:pt>
                <c:pt idx="8">
                  <c:v>8</c:v>
                </c:pt>
                <c:pt idx="9">
                  <c:v>9.6999999999999993</c:v>
                </c:pt>
                <c:pt idx="10">
                  <c:v>10</c:v>
                </c:pt>
                <c:pt idx="11">
                  <c:v>12</c:v>
                </c:pt>
                <c:pt idx="12">
                  <c:v>13</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yVal>
          <c:smooth val="1"/>
        </c:ser>
        <c:ser>
          <c:idx val="4"/>
          <c:order val="4"/>
          <c:tx>
            <c:strRef>
              <c:f>Tools!$DC$66</c:f>
              <c:strCache>
                <c:ptCount val="1"/>
                <c:pt idx="0">
                  <c:v>STN 2</c:v>
                </c:pt>
              </c:strCache>
            </c:strRef>
          </c:tx>
          <c:spPr>
            <a:ln w="3175"/>
          </c:spPr>
          <c:marker>
            <c:symbol val="none"/>
          </c:marker>
          <c:xVal>
            <c:numRef>
              <c:f>Tools!$DJ$102:$EI$102</c:f>
              <c:numCache>
                <c:formatCode>General</c:formatCode>
                <c:ptCount val="26"/>
                <c:pt idx="0">
                  <c:v>#N/A</c:v>
                </c:pt>
                <c:pt idx="1">
                  <c:v>-0.9</c:v>
                </c:pt>
                <c:pt idx="2">
                  <c:v>-1.59</c:v>
                </c:pt>
                <c:pt idx="3">
                  <c:v>-2.14</c:v>
                </c:pt>
                <c:pt idx="4">
                  <c:v>-2.59</c:v>
                </c:pt>
                <c:pt idx="5">
                  <c:v>-2.93</c:v>
                </c:pt>
                <c:pt idx="6">
                  <c:v>-4.17</c:v>
                </c:pt>
                <c:pt idx="7">
                  <c:v>-5.28</c:v>
                </c:pt>
                <c:pt idx="8">
                  <c:v>-6.7</c:v>
                </c:pt>
                <c:pt idx="9">
                  <c:v>-7.89</c:v>
                </c:pt>
                <c:pt idx="10">
                  <c:v>-8.0399999999999991</c:v>
                </c:pt>
                <c:pt idx="11">
                  <c:v>-8.94</c:v>
                </c:pt>
                <c:pt idx="12">
                  <c:v>-9.3000000000000007</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xVal>
          <c:yVal>
            <c:numRef>
              <c:f>Tools!$EL$102:$FK$102</c:f>
              <c:numCache>
                <c:formatCode>General</c:formatCode>
                <c:ptCount val="26"/>
                <c:pt idx="0">
                  <c:v>#N/A</c:v>
                </c:pt>
                <c:pt idx="1">
                  <c:v>0</c:v>
                </c:pt>
                <c:pt idx="2">
                  <c:v>0.5</c:v>
                </c:pt>
                <c:pt idx="3">
                  <c:v>1</c:v>
                </c:pt>
                <c:pt idx="4">
                  <c:v>1.5</c:v>
                </c:pt>
                <c:pt idx="5">
                  <c:v>2</c:v>
                </c:pt>
                <c:pt idx="6">
                  <c:v>4</c:v>
                </c:pt>
                <c:pt idx="7">
                  <c:v>6</c:v>
                </c:pt>
                <c:pt idx="8">
                  <c:v>8</c:v>
                </c:pt>
                <c:pt idx="9">
                  <c:v>9.6999999999999993</c:v>
                </c:pt>
                <c:pt idx="10">
                  <c:v>10</c:v>
                </c:pt>
                <c:pt idx="11">
                  <c:v>12</c:v>
                </c:pt>
                <c:pt idx="12">
                  <c:v>13</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yVal>
          <c:smooth val="1"/>
        </c:ser>
        <c:ser>
          <c:idx val="5"/>
          <c:order val="5"/>
          <c:tx>
            <c:strRef>
              <c:f>Tools!$DC$67</c:f>
              <c:strCache>
                <c:ptCount val="1"/>
                <c:pt idx="0">
                  <c:v>STN 3</c:v>
                </c:pt>
              </c:strCache>
            </c:strRef>
          </c:tx>
          <c:spPr>
            <a:ln w="3175"/>
          </c:spPr>
          <c:marker>
            <c:symbol val="none"/>
          </c:marker>
          <c:xVal>
            <c:numRef>
              <c:f>Tools!$DJ$103:$EI$103</c:f>
              <c:numCache>
                <c:formatCode>General</c:formatCode>
                <c:ptCount val="26"/>
                <c:pt idx="0">
                  <c:v>#N/A</c:v>
                </c:pt>
                <c:pt idx="1">
                  <c:v>-1.9</c:v>
                </c:pt>
                <c:pt idx="2">
                  <c:v>-3.32</c:v>
                </c:pt>
                <c:pt idx="3">
                  <c:v>-4.17</c:v>
                </c:pt>
                <c:pt idx="4">
                  <c:v>-4.72</c:v>
                </c:pt>
                <c:pt idx="5">
                  <c:v>-5.15</c:v>
                </c:pt>
                <c:pt idx="6">
                  <c:v>-6.67</c:v>
                </c:pt>
                <c:pt idx="7">
                  <c:v>-7.76</c:v>
                </c:pt>
                <c:pt idx="8">
                  <c:v>-8.65</c:v>
                </c:pt>
                <c:pt idx="9">
                  <c:v>-9.43</c:v>
                </c:pt>
                <c:pt idx="10">
                  <c:v>-9.5399999999999991</c:v>
                </c:pt>
                <c:pt idx="11">
                  <c:v>-10.1</c:v>
                </c:pt>
                <c:pt idx="12">
                  <c:v>-10.44</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xVal>
          <c:yVal>
            <c:numRef>
              <c:f>Tools!$EL$103:$FK$103</c:f>
              <c:numCache>
                <c:formatCode>General</c:formatCode>
                <c:ptCount val="26"/>
                <c:pt idx="0">
                  <c:v>#N/A</c:v>
                </c:pt>
                <c:pt idx="1">
                  <c:v>0</c:v>
                </c:pt>
                <c:pt idx="2">
                  <c:v>0.5</c:v>
                </c:pt>
                <c:pt idx="3">
                  <c:v>1</c:v>
                </c:pt>
                <c:pt idx="4">
                  <c:v>1.5</c:v>
                </c:pt>
                <c:pt idx="5">
                  <c:v>2</c:v>
                </c:pt>
                <c:pt idx="6">
                  <c:v>4</c:v>
                </c:pt>
                <c:pt idx="7">
                  <c:v>6</c:v>
                </c:pt>
                <c:pt idx="8">
                  <c:v>8</c:v>
                </c:pt>
                <c:pt idx="9">
                  <c:v>9.6999999999999993</c:v>
                </c:pt>
                <c:pt idx="10">
                  <c:v>10</c:v>
                </c:pt>
                <c:pt idx="11">
                  <c:v>12</c:v>
                </c:pt>
                <c:pt idx="12">
                  <c:v>13</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yVal>
          <c:smooth val="1"/>
        </c:ser>
        <c:ser>
          <c:idx val="6"/>
          <c:order val="6"/>
          <c:tx>
            <c:strRef>
              <c:f>Tools!$DC$68</c:f>
              <c:strCache>
                <c:ptCount val="1"/>
                <c:pt idx="0">
                  <c:v>STN 4</c:v>
                </c:pt>
              </c:strCache>
            </c:strRef>
          </c:tx>
          <c:spPr>
            <a:ln w="3175"/>
          </c:spPr>
          <c:marker>
            <c:symbol val="none"/>
          </c:marker>
          <c:xVal>
            <c:numRef>
              <c:f>Tools!$DJ$104:$EI$104</c:f>
              <c:numCache>
                <c:formatCode>General</c:formatCode>
                <c:ptCount val="26"/>
                <c:pt idx="0">
                  <c:v>#N/A</c:v>
                </c:pt>
                <c:pt idx="1">
                  <c:v>-3.8</c:v>
                </c:pt>
                <c:pt idx="2">
                  <c:v>-5.33</c:v>
                </c:pt>
                <c:pt idx="3">
                  <c:v>-6.26</c:v>
                </c:pt>
                <c:pt idx="4">
                  <c:v>-6.83</c:v>
                </c:pt>
                <c:pt idx="5">
                  <c:v>-7.29</c:v>
                </c:pt>
                <c:pt idx="6">
                  <c:v>-8.61</c:v>
                </c:pt>
                <c:pt idx="7">
                  <c:v>-9.4499999999999993</c:v>
                </c:pt>
                <c:pt idx="8">
                  <c:v>-10.1</c:v>
                </c:pt>
                <c:pt idx="9">
                  <c:v>-10.45</c:v>
                </c:pt>
                <c:pt idx="10">
                  <c:v>-10.5</c:v>
                </c:pt>
                <c:pt idx="11">
                  <c:v>-10.8</c:v>
                </c:pt>
                <c:pt idx="12">
                  <c:v>-10.87</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xVal>
          <c:yVal>
            <c:numRef>
              <c:f>Tools!$EL$104:$FK$104</c:f>
              <c:numCache>
                <c:formatCode>General</c:formatCode>
                <c:ptCount val="26"/>
                <c:pt idx="0">
                  <c:v>#N/A</c:v>
                </c:pt>
                <c:pt idx="1">
                  <c:v>0</c:v>
                </c:pt>
                <c:pt idx="2">
                  <c:v>0.5</c:v>
                </c:pt>
                <c:pt idx="3">
                  <c:v>1</c:v>
                </c:pt>
                <c:pt idx="4">
                  <c:v>1.5</c:v>
                </c:pt>
                <c:pt idx="5">
                  <c:v>2</c:v>
                </c:pt>
                <c:pt idx="6">
                  <c:v>4</c:v>
                </c:pt>
                <c:pt idx="7">
                  <c:v>6</c:v>
                </c:pt>
                <c:pt idx="8">
                  <c:v>8</c:v>
                </c:pt>
                <c:pt idx="9">
                  <c:v>9.6999999999999993</c:v>
                </c:pt>
                <c:pt idx="10">
                  <c:v>10</c:v>
                </c:pt>
                <c:pt idx="11">
                  <c:v>12</c:v>
                </c:pt>
                <c:pt idx="12">
                  <c:v>13</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yVal>
          <c:smooth val="1"/>
        </c:ser>
        <c:ser>
          <c:idx val="7"/>
          <c:order val="7"/>
          <c:tx>
            <c:strRef>
              <c:f>Tools!$DC$69</c:f>
              <c:strCache>
                <c:ptCount val="1"/>
                <c:pt idx="0">
                  <c:v>STN 5</c:v>
                </c:pt>
              </c:strCache>
            </c:strRef>
          </c:tx>
          <c:spPr>
            <a:ln w="3175"/>
          </c:spPr>
          <c:marker>
            <c:symbol val="none"/>
          </c:marker>
          <c:xVal>
            <c:numRef>
              <c:f>Tools!$DJ$105:$EI$105</c:f>
              <c:numCache>
                <c:formatCode>General</c:formatCode>
                <c:ptCount val="26"/>
                <c:pt idx="0">
                  <c:v>#N/A</c:v>
                </c:pt>
                <c:pt idx="1">
                  <c:v>-5.9</c:v>
                </c:pt>
                <c:pt idx="2">
                  <c:v>-7.26</c:v>
                </c:pt>
                <c:pt idx="3">
                  <c:v>-8.1199999999999992</c:v>
                </c:pt>
                <c:pt idx="4">
                  <c:v>-8.6999999999999993</c:v>
                </c:pt>
                <c:pt idx="5">
                  <c:v>-9.07</c:v>
                </c:pt>
                <c:pt idx="6">
                  <c:v>-9.9499999999999993</c:v>
                </c:pt>
                <c:pt idx="7">
                  <c:v>-10.3</c:v>
                </c:pt>
                <c:pt idx="8">
                  <c:v>-10.58</c:v>
                </c:pt>
                <c:pt idx="9">
                  <c:v>-10.72</c:v>
                </c:pt>
                <c:pt idx="10">
                  <c:v>-10.74</c:v>
                </c:pt>
                <c:pt idx="11">
                  <c:v>-10.9</c:v>
                </c:pt>
                <c:pt idx="12">
                  <c:v>-11</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xVal>
          <c:yVal>
            <c:numRef>
              <c:f>Tools!$EL$105:$FK$105</c:f>
              <c:numCache>
                <c:formatCode>General</c:formatCode>
                <c:ptCount val="26"/>
                <c:pt idx="0">
                  <c:v>#N/A</c:v>
                </c:pt>
                <c:pt idx="1">
                  <c:v>0</c:v>
                </c:pt>
                <c:pt idx="2">
                  <c:v>0.5</c:v>
                </c:pt>
                <c:pt idx="3">
                  <c:v>1</c:v>
                </c:pt>
                <c:pt idx="4">
                  <c:v>1.5</c:v>
                </c:pt>
                <c:pt idx="5">
                  <c:v>2</c:v>
                </c:pt>
                <c:pt idx="6">
                  <c:v>4</c:v>
                </c:pt>
                <c:pt idx="7">
                  <c:v>6</c:v>
                </c:pt>
                <c:pt idx="8">
                  <c:v>8</c:v>
                </c:pt>
                <c:pt idx="9">
                  <c:v>9.6999999999999993</c:v>
                </c:pt>
                <c:pt idx="10">
                  <c:v>10</c:v>
                </c:pt>
                <c:pt idx="11">
                  <c:v>12</c:v>
                </c:pt>
                <c:pt idx="12">
                  <c:v>13</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yVal>
          <c:smooth val="1"/>
        </c:ser>
        <c:ser>
          <c:idx val="8"/>
          <c:order val="8"/>
          <c:tx>
            <c:strRef>
              <c:f>Tools!$DC$70</c:f>
              <c:strCache>
                <c:ptCount val="1"/>
                <c:pt idx="0">
                  <c:v>STN 6</c:v>
                </c:pt>
              </c:strCache>
            </c:strRef>
          </c:tx>
          <c:spPr>
            <a:ln w="3175"/>
          </c:spPr>
          <c:marker>
            <c:symbol val="none"/>
          </c:marker>
          <c:xVal>
            <c:numRef>
              <c:f>Tools!$DJ$106:$EI$106</c:f>
              <c:numCache>
                <c:formatCode>General</c:formatCode>
                <c:ptCount val="26"/>
                <c:pt idx="0">
                  <c:v>#N/A</c:v>
                </c:pt>
                <c:pt idx="1">
                  <c:v>-7.9</c:v>
                </c:pt>
                <c:pt idx="2">
                  <c:v>-8.9</c:v>
                </c:pt>
                <c:pt idx="3">
                  <c:v>-9.5</c:v>
                </c:pt>
                <c:pt idx="4">
                  <c:v>-9.94</c:v>
                </c:pt>
                <c:pt idx="5">
                  <c:v>-10.199999999999999</c:v>
                </c:pt>
                <c:pt idx="6">
                  <c:v>-10.8</c:v>
                </c:pt>
                <c:pt idx="7">
                  <c:v>-10.9</c:v>
                </c:pt>
                <c:pt idx="8">
                  <c:v>-11</c:v>
                </c:pt>
                <c:pt idx="9">
                  <c:v>-11</c:v>
                </c:pt>
                <c:pt idx="10">
                  <c:v>-11</c:v>
                </c:pt>
                <c:pt idx="11">
                  <c:v>-11</c:v>
                </c:pt>
                <c:pt idx="12">
                  <c:v>-11</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xVal>
          <c:yVal>
            <c:numRef>
              <c:f>Tools!$EL$106:$FK$106</c:f>
              <c:numCache>
                <c:formatCode>General</c:formatCode>
                <c:ptCount val="26"/>
                <c:pt idx="0">
                  <c:v>#N/A</c:v>
                </c:pt>
                <c:pt idx="1">
                  <c:v>0</c:v>
                </c:pt>
                <c:pt idx="2">
                  <c:v>0.5</c:v>
                </c:pt>
                <c:pt idx="3">
                  <c:v>1</c:v>
                </c:pt>
                <c:pt idx="4">
                  <c:v>1.5</c:v>
                </c:pt>
                <c:pt idx="5">
                  <c:v>2</c:v>
                </c:pt>
                <c:pt idx="6">
                  <c:v>4</c:v>
                </c:pt>
                <c:pt idx="7">
                  <c:v>6</c:v>
                </c:pt>
                <c:pt idx="8">
                  <c:v>8</c:v>
                </c:pt>
                <c:pt idx="9">
                  <c:v>9.6999999999999993</c:v>
                </c:pt>
                <c:pt idx="10">
                  <c:v>10</c:v>
                </c:pt>
                <c:pt idx="11">
                  <c:v>12</c:v>
                </c:pt>
                <c:pt idx="12">
                  <c:v>13</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yVal>
          <c:smooth val="1"/>
        </c:ser>
        <c:ser>
          <c:idx val="9"/>
          <c:order val="9"/>
          <c:tx>
            <c:strRef>
              <c:f>Tools!$DC$71</c:f>
              <c:strCache>
                <c:ptCount val="1"/>
                <c:pt idx="0">
                  <c:v>STN 7</c:v>
                </c:pt>
              </c:strCache>
            </c:strRef>
          </c:tx>
          <c:spPr>
            <a:ln w="3175"/>
          </c:spPr>
          <c:marker>
            <c:symbol val="none"/>
          </c:marker>
          <c:xVal>
            <c:numRef>
              <c:f>Tools!$DJ$107:$EI$107</c:f>
              <c:numCache>
                <c:formatCode>General</c:formatCode>
                <c:ptCount val="26"/>
                <c:pt idx="0">
                  <c:v>#N/A</c:v>
                </c:pt>
                <c:pt idx="1">
                  <c:v>-9</c:v>
                </c:pt>
                <c:pt idx="2">
                  <c:v>-9.83</c:v>
                </c:pt>
                <c:pt idx="3">
                  <c:v>-10.3</c:v>
                </c:pt>
                <c:pt idx="4">
                  <c:v>-10.6</c:v>
                </c:pt>
                <c:pt idx="5">
                  <c:v>-10.8</c:v>
                </c:pt>
                <c:pt idx="6">
                  <c:v>-11</c:v>
                </c:pt>
                <c:pt idx="7">
                  <c:v>-11</c:v>
                </c:pt>
                <c:pt idx="8">
                  <c:v>-11</c:v>
                </c:pt>
                <c:pt idx="9">
                  <c:v>-11</c:v>
                </c:pt>
                <c:pt idx="10">
                  <c:v>-11</c:v>
                </c:pt>
                <c:pt idx="11">
                  <c:v>-11</c:v>
                </c:pt>
                <c:pt idx="12">
                  <c:v>-11</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xVal>
          <c:yVal>
            <c:numRef>
              <c:f>Tools!$EL$107:$FK$107</c:f>
              <c:numCache>
                <c:formatCode>General</c:formatCode>
                <c:ptCount val="26"/>
                <c:pt idx="0">
                  <c:v>#N/A</c:v>
                </c:pt>
                <c:pt idx="1">
                  <c:v>0</c:v>
                </c:pt>
                <c:pt idx="2">
                  <c:v>0.5</c:v>
                </c:pt>
                <c:pt idx="3">
                  <c:v>1</c:v>
                </c:pt>
                <c:pt idx="4">
                  <c:v>1.5</c:v>
                </c:pt>
                <c:pt idx="5">
                  <c:v>2</c:v>
                </c:pt>
                <c:pt idx="6">
                  <c:v>4</c:v>
                </c:pt>
                <c:pt idx="7">
                  <c:v>6</c:v>
                </c:pt>
                <c:pt idx="8">
                  <c:v>8</c:v>
                </c:pt>
                <c:pt idx="9">
                  <c:v>9.6999999999999993</c:v>
                </c:pt>
                <c:pt idx="10">
                  <c:v>10</c:v>
                </c:pt>
                <c:pt idx="11">
                  <c:v>12</c:v>
                </c:pt>
                <c:pt idx="12">
                  <c:v>13</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yVal>
          <c:smooth val="1"/>
        </c:ser>
        <c:ser>
          <c:idx val="10"/>
          <c:order val="10"/>
          <c:tx>
            <c:strRef>
              <c:f>Tools!$DC$72</c:f>
              <c:strCache>
                <c:ptCount val="1"/>
                <c:pt idx="0">
                  <c:v>STN 8</c:v>
                </c:pt>
              </c:strCache>
            </c:strRef>
          </c:tx>
          <c:spPr>
            <a:ln w="3175">
              <a:solidFill>
                <a:schemeClr val="accent2">
                  <a:lumMod val="75000"/>
                </a:schemeClr>
              </a:solidFill>
            </a:ln>
          </c:spPr>
          <c:marker>
            <c:symbol val="none"/>
          </c:marker>
          <c:xVal>
            <c:numRef>
              <c:f>Tools!$DJ$108:$EI$108</c:f>
              <c:numCache>
                <c:formatCode>General</c:formatCode>
                <c:ptCount val="26"/>
                <c:pt idx="0">
                  <c:v>#N/A</c:v>
                </c:pt>
                <c:pt idx="1">
                  <c:v>-9.5</c:v>
                </c:pt>
                <c:pt idx="2">
                  <c:v>-10.33</c:v>
                </c:pt>
                <c:pt idx="3">
                  <c:v>-10.67</c:v>
                </c:pt>
                <c:pt idx="4">
                  <c:v>-10.9</c:v>
                </c:pt>
                <c:pt idx="5">
                  <c:v>-11</c:v>
                </c:pt>
                <c:pt idx="6">
                  <c:v>-11</c:v>
                </c:pt>
                <c:pt idx="7">
                  <c:v>-11</c:v>
                </c:pt>
                <c:pt idx="8">
                  <c:v>-11</c:v>
                </c:pt>
                <c:pt idx="9">
                  <c:v>-11</c:v>
                </c:pt>
                <c:pt idx="10">
                  <c:v>-11</c:v>
                </c:pt>
                <c:pt idx="11">
                  <c:v>-11</c:v>
                </c:pt>
                <c:pt idx="12">
                  <c:v>-11</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xVal>
          <c:yVal>
            <c:numRef>
              <c:f>Tools!$EL$108:$FK$108</c:f>
              <c:numCache>
                <c:formatCode>General</c:formatCode>
                <c:ptCount val="26"/>
                <c:pt idx="0">
                  <c:v>#N/A</c:v>
                </c:pt>
                <c:pt idx="1">
                  <c:v>0</c:v>
                </c:pt>
                <c:pt idx="2">
                  <c:v>0.5</c:v>
                </c:pt>
                <c:pt idx="3">
                  <c:v>1</c:v>
                </c:pt>
                <c:pt idx="4">
                  <c:v>1.5</c:v>
                </c:pt>
                <c:pt idx="5">
                  <c:v>2</c:v>
                </c:pt>
                <c:pt idx="6">
                  <c:v>4</c:v>
                </c:pt>
                <c:pt idx="7">
                  <c:v>6</c:v>
                </c:pt>
                <c:pt idx="8">
                  <c:v>8</c:v>
                </c:pt>
                <c:pt idx="9">
                  <c:v>9.6999999999999993</c:v>
                </c:pt>
                <c:pt idx="10">
                  <c:v>10</c:v>
                </c:pt>
                <c:pt idx="11">
                  <c:v>12</c:v>
                </c:pt>
                <c:pt idx="12">
                  <c:v>13</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yVal>
          <c:smooth val="1"/>
        </c:ser>
        <c:ser>
          <c:idx val="11"/>
          <c:order val="11"/>
          <c:tx>
            <c:strRef>
              <c:f>Tools!$DC$73</c:f>
              <c:strCache>
                <c:ptCount val="1"/>
                <c:pt idx="0">
                  <c:v>STN 9</c:v>
                </c:pt>
              </c:strCache>
            </c:strRef>
          </c:tx>
          <c:spPr>
            <a:ln w="3175"/>
          </c:spPr>
          <c:marker>
            <c:symbol val="none"/>
          </c:marker>
          <c:xVal>
            <c:numRef>
              <c:f>Tools!$DJ$109:$EI$109</c:f>
              <c:numCache>
                <c:formatCode>General</c:formatCode>
                <c:ptCount val="26"/>
                <c:pt idx="0">
                  <c:v>#N/A</c:v>
                </c:pt>
                <c:pt idx="1">
                  <c:v>-9.6999999999999993</c:v>
                </c:pt>
                <c:pt idx="2">
                  <c:v>-10.45</c:v>
                </c:pt>
                <c:pt idx="3">
                  <c:v>-10.75</c:v>
                </c:pt>
                <c:pt idx="4">
                  <c:v>-10.93</c:v>
                </c:pt>
                <c:pt idx="5">
                  <c:v>-11</c:v>
                </c:pt>
                <c:pt idx="6">
                  <c:v>-11</c:v>
                </c:pt>
                <c:pt idx="7">
                  <c:v>-11</c:v>
                </c:pt>
                <c:pt idx="8">
                  <c:v>-11</c:v>
                </c:pt>
                <c:pt idx="9">
                  <c:v>-11</c:v>
                </c:pt>
                <c:pt idx="10">
                  <c:v>-11</c:v>
                </c:pt>
                <c:pt idx="11">
                  <c:v>-11</c:v>
                </c:pt>
                <c:pt idx="12">
                  <c:v>-11</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xVal>
          <c:yVal>
            <c:numRef>
              <c:f>Tools!$EL$109:$FK$109</c:f>
              <c:numCache>
                <c:formatCode>General</c:formatCode>
                <c:ptCount val="26"/>
                <c:pt idx="0">
                  <c:v>#N/A</c:v>
                </c:pt>
                <c:pt idx="1">
                  <c:v>0</c:v>
                </c:pt>
                <c:pt idx="2">
                  <c:v>0.5</c:v>
                </c:pt>
                <c:pt idx="3">
                  <c:v>1</c:v>
                </c:pt>
                <c:pt idx="4">
                  <c:v>1.5</c:v>
                </c:pt>
                <c:pt idx="5">
                  <c:v>2</c:v>
                </c:pt>
                <c:pt idx="6">
                  <c:v>4</c:v>
                </c:pt>
                <c:pt idx="7">
                  <c:v>6</c:v>
                </c:pt>
                <c:pt idx="8">
                  <c:v>8</c:v>
                </c:pt>
                <c:pt idx="9">
                  <c:v>9.6999999999999993</c:v>
                </c:pt>
                <c:pt idx="10">
                  <c:v>10</c:v>
                </c:pt>
                <c:pt idx="11">
                  <c:v>12</c:v>
                </c:pt>
                <c:pt idx="12">
                  <c:v>13</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yVal>
          <c:smooth val="1"/>
        </c:ser>
        <c:ser>
          <c:idx val="12"/>
          <c:order val="12"/>
          <c:tx>
            <c:strRef>
              <c:f>Tools!$DC$74</c:f>
              <c:strCache>
                <c:ptCount val="1"/>
                <c:pt idx="0">
                  <c:v>STN 10</c:v>
                </c:pt>
              </c:strCache>
            </c:strRef>
          </c:tx>
          <c:spPr>
            <a:ln w="3175"/>
          </c:spPr>
          <c:marker>
            <c:symbol val="none"/>
          </c:marker>
          <c:xVal>
            <c:numRef>
              <c:f>Tools!$DJ$110:$EI$110</c:f>
              <c:numCache>
                <c:formatCode>General</c:formatCode>
                <c:ptCount val="26"/>
                <c:pt idx="0">
                  <c:v>#N/A</c:v>
                </c:pt>
                <c:pt idx="1">
                  <c:v>-9.6999999999999993</c:v>
                </c:pt>
                <c:pt idx="2">
                  <c:v>-10.45</c:v>
                </c:pt>
                <c:pt idx="3">
                  <c:v>-10.75</c:v>
                </c:pt>
                <c:pt idx="4">
                  <c:v>-10.93</c:v>
                </c:pt>
                <c:pt idx="5">
                  <c:v>-11</c:v>
                </c:pt>
                <c:pt idx="6">
                  <c:v>-11</c:v>
                </c:pt>
                <c:pt idx="7">
                  <c:v>-11</c:v>
                </c:pt>
                <c:pt idx="8">
                  <c:v>-11</c:v>
                </c:pt>
                <c:pt idx="9">
                  <c:v>-11</c:v>
                </c:pt>
                <c:pt idx="10">
                  <c:v>-11</c:v>
                </c:pt>
                <c:pt idx="11">
                  <c:v>-11</c:v>
                </c:pt>
                <c:pt idx="12">
                  <c:v>-11</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xVal>
          <c:yVal>
            <c:numRef>
              <c:f>Tools!$EL$110:$FK$110</c:f>
              <c:numCache>
                <c:formatCode>General</c:formatCode>
                <c:ptCount val="26"/>
                <c:pt idx="0">
                  <c:v>#N/A</c:v>
                </c:pt>
                <c:pt idx="1">
                  <c:v>0</c:v>
                </c:pt>
                <c:pt idx="2">
                  <c:v>0.5</c:v>
                </c:pt>
                <c:pt idx="3">
                  <c:v>1</c:v>
                </c:pt>
                <c:pt idx="4">
                  <c:v>1.5</c:v>
                </c:pt>
                <c:pt idx="5">
                  <c:v>2</c:v>
                </c:pt>
                <c:pt idx="6">
                  <c:v>4</c:v>
                </c:pt>
                <c:pt idx="7">
                  <c:v>6</c:v>
                </c:pt>
                <c:pt idx="8">
                  <c:v>8</c:v>
                </c:pt>
                <c:pt idx="9">
                  <c:v>9.6999999999999993</c:v>
                </c:pt>
                <c:pt idx="10">
                  <c:v>10</c:v>
                </c:pt>
                <c:pt idx="11">
                  <c:v>12</c:v>
                </c:pt>
                <c:pt idx="12">
                  <c:v>13</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yVal>
          <c:smooth val="1"/>
        </c:ser>
        <c:ser>
          <c:idx val="13"/>
          <c:order val="13"/>
          <c:tx>
            <c:strRef>
              <c:f>Tools!$DC$75</c:f>
              <c:strCache>
                <c:ptCount val="1"/>
                <c:pt idx="0">
                  <c:v>STN 11</c:v>
                </c:pt>
              </c:strCache>
            </c:strRef>
          </c:tx>
          <c:spPr>
            <a:ln w="3175"/>
          </c:spPr>
          <c:marker>
            <c:symbol val="none"/>
          </c:marker>
          <c:xVal>
            <c:numRef>
              <c:f>Tools!$DJ$111:$EI$111</c:f>
              <c:numCache>
                <c:formatCode>General</c:formatCode>
                <c:ptCount val="26"/>
                <c:pt idx="0">
                  <c:v>#N/A</c:v>
                </c:pt>
                <c:pt idx="1">
                  <c:v>9.6999999999999993</c:v>
                </c:pt>
                <c:pt idx="2">
                  <c:v>10.45</c:v>
                </c:pt>
                <c:pt idx="3">
                  <c:v>10.75</c:v>
                </c:pt>
                <c:pt idx="4">
                  <c:v>10.93</c:v>
                </c:pt>
                <c:pt idx="5">
                  <c:v>11</c:v>
                </c:pt>
                <c:pt idx="6">
                  <c:v>11</c:v>
                </c:pt>
                <c:pt idx="7">
                  <c:v>11</c:v>
                </c:pt>
                <c:pt idx="8">
                  <c:v>11</c:v>
                </c:pt>
                <c:pt idx="9">
                  <c:v>11</c:v>
                </c:pt>
                <c:pt idx="10">
                  <c:v>11</c:v>
                </c:pt>
                <c:pt idx="11">
                  <c:v>11</c:v>
                </c:pt>
                <c:pt idx="12">
                  <c:v>11</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xVal>
          <c:yVal>
            <c:numRef>
              <c:f>Tools!$EL$111:$FK$111</c:f>
              <c:numCache>
                <c:formatCode>General</c:formatCode>
                <c:ptCount val="26"/>
                <c:pt idx="0">
                  <c:v>#N/A</c:v>
                </c:pt>
                <c:pt idx="1">
                  <c:v>0</c:v>
                </c:pt>
                <c:pt idx="2">
                  <c:v>0.5</c:v>
                </c:pt>
                <c:pt idx="3">
                  <c:v>1</c:v>
                </c:pt>
                <c:pt idx="4">
                  <c:v>1.5</c:v>
                </c:pt>
                <c:pt idx="5">
                  <c:v>2</c:v>
                </c:pt>
                <c:pt idx="6">
                  <c:v>4</c:v>
                </c:pt>
                <c:pt idx="7">
                  <c:v>6</c:v>
                </c:pt>
                <c:pt idx="8">
                  <c:v>8</c:v>
                </c:pt>
                <c:pt idx="9">
                  <c:v>9.6999999999999993</c:v>
                </c:pt>
                <c:pt idx="10">
                  <c:v>10</c:v>
                </c:pt>
                <c:pt idx="11">
                  <c:v>12</c:v>
                </c:pt>
                <c:pt idx="12">
                  <c:v>13</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yVal>
          <c:smooth val="1"/>
        </c:ser>
        <c:ser>
          <c:idx val="14"/>
          <c:order val="14"/>
          <c:tx>
            <c:strRef>
              <c:f>Tools!$DC$76</c:f>
              <c:strCache>
                <c:ptCount val="1"/>
                <c:pt idx="0">
                  <c:v>STN 12</c:v>
                </c:pt>
              </c:strCache>
            </c:strRef>
          </c:tx>
          <c:spPr>
            <a:ln w="3175"/>
          </c:spPr>
          <c:marker>
            <c:symbol val="none"/>
          </c:marker>
          <c:xVal>
            <c:numRef>
              <c:f>Tools!$DJ$112:$EI$112</c:f>
              <c:numCache>
                <c:formatCode>General</c:formatCode>
                <c:ptCount val="26"/>
                <c:pt idx="0">
                  <c:v>#N/A</c:v>
                </c:pt>
                <c:pt idx="1">
                  <c:v>9.6999999999999993</c:v>
                </c:pt>
                <c:pt idx="2">
                  <c:v>10.45</c:v>
                </c:pt>
                <c:pt idx="3">
                  <c:v>10.75</c:v>
                </c:pt>
                <c:pt idx="4">
                  <c:v>10.93</c:v>
                </c:pt>
                <c:pt idx="5">
                  <c:v>11</c:v>
                </c:pt>
                <c:pt idx="6">
                  <c:v>11</c:v>
                </c:pt>
                <c:pt idx="7">
                  <c:v>11</c:v>
                </c:pt>
                <c:pt idx="8">
                  <c:v>11</c:v>
                </c:pt>
                <c:pt idx="9">
                  <c:v>11</c:v>
                </c:pt>
                <c:pt idx="10">
                  <c:v>11</c:v>
                </c:pt>
                <c:pt idx="11">
                  <c:v>11</c:v>
                </c:pt>
                <c:pt idx="12">
                  <c:v>11</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xVal>
          <c:yVal>
            <c:numRef>
              <c:f>Tools!$EL$112:$FK$112</c:f>
              <c:numCache>
                <c:formatCode>General</c:formatCode>
                <c:ptCount val="26"/>
                <c:pt idx="0">
                  <c:v>#N/A</c:v>
                </c:pt>
                <c:pt idx="1">
                  <c:v>0</c:v>
                </c:pt>
                <c:pt idx="2">
                  <c:v>0.5</c:v>
                </c:pt>
                <c:pt idx="3">
                  <c:v>1</c:v>
                </c:pt>
                <c:pt idx="4">
                  <c:v>1.5</c:v>
                </c:pt>
                <c:pt idx="5">
                  <c:v>2</c:v>
                </c:pt>
                <c:pt idx="6">
                  <c:v>4</c:v>
                </c:pt>
                <c:pt idx="7">
                  <c:v>6</c:v>
                </c:pt>
                <c:pt idx="8">
                  <c:v>8</c:v>
                </c:pt>
                <c:pt idx="9">
                  <c:v>9.6999999999999993</c:v>
                </c:pt>
                <c:pt idx="10">
                  <c:v>10</c:v>
                </c:pt>
                <c:pt idx="11">
                  <c:v>12</c:v>
                </c:pt>
                <c:pt idx="12">
                  <c:v>13</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yVal>
          <c:smooth val="1"/>
        </c:ser>
        <c:ser>
          <c:idx val="15"/>
          <c:order val="15"/>
          <c:tx>
            <c:strRef>
              <c:f>Tools!$DC$77</c:f>
              <c:strCache>
                <c:ptCount val="1"/>
                <c:pt idx="0">
                  <c:v>STN 13</c:v>
                </c:pt>
              </c:strCache>
            </c:strRef>
          </c:tx>
          <c:spPr>
            <a:ln w="3175">
              <a:solidFill>
                <a:schemeClr val="tx2">
                  <a:lumMod val="60000"/>
                  <a:lumOff val="40000"/>
                </a:schemeClr>
              </a:solidFill>
            </a:ln>
          </c:spPr>
          <c:marker>
            <c:symbol val="none"/>
          </c:marker>
          <c:xVal>
            <c:numRef>
              <c:f>Tools!$DJ$113:$EI$113</c:f>
              <c:numCache>
                <c:formatCode>General</c:formatCode>
                <c:ptCount val="26"/>
                <c:pt idx="0">
                  <c:v>#N/A</c:v>
                </c:pt>
                <c:pt idx="1">
                  <c:v>9.6999999999999993</c:v>
                </c:pt>
                <c:pt idx="2">
                  <c:v>10.45</c:v>
                </c:pt>
                <c:pt idx="3">
                  <c:v>10.75</c:v>
                </c:pt>
                <c:pt idx="4">
                  <c:v>10.93</c:v>
                </c:pt>
                <c:pt idx="5">
                  <c:v>11</c:v>
                </c:pt>
                <c:pt idx="6">
                  <c:v>11</c:v>
                </c:pt>
                <c:pt idx="7">
                  <c:v>11</c:v>
                </c:pt>
                <c:pt idx="8">
                  <c:v>11</c:v>
                </c:pt>
                <c:pt idx="9">
                  <c:v>11</c:v>
                </c:pt>
                <c:pt idx="10">
                  <c:v>11</c:v>
                </c:pt>
                <c:pt idx="11">
                  <c:v>11</c:v>
                </c:pt>
                <c:pt idx="12">
                  <c:v>11</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xVal>
          <c:yVal>
            <c:numRef>
              <c:f>Tools!$EL$113:$FK$113</c:f>
              <c:numCache>
                <c:formatCode>General</c:formatCode>
                <c:ptCount val="26"/>
                <c:pt idx="0">
                  <c:v>#N/A</c:v>
                </c:pt>
                <c:pt idx="1">
                  <c:v>0</c:v>
                </c:pt>
                <c:pt idx="2">
                  <c:v>0.5</c:v>
                </c:pt>
                <c:pt idx="3">
                  <c:v>1</c:v>
                </c:pt>
                <c:pt idx="4">
                  <c:v>1.5</c:v>
                </c:pt>
                <c:pt idx="5">
                  <c:v>2</c:v>
                </c:pt>
                <c:pt idx="6">
                  <c:v>4</c:v>
                </c:pt>
                <c:pt idx="7">
                  <c:v>6</c:v>
                </c:pt>
                <c:pt idx="8">
                  <c:v>8</c:v>
                </c:pt>
                <c:pt idx="9">
                  <c:v>9.6999999999999993</c:v>
                </c:pt>
                <c:pt idx="10">
                  <c:v>10</c:v>
                </c:pt>
                <c:pt idx="11">
                  <c:v>12</c:v>
                </c:pt>
                <c:pt idx="12">
                  <c:v>13</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yVal>
          <c:smooth val="1"/>
        </c:ser>
        <c:ser>
          <c:idx val="16"/>
          <c:order val="16"/>
          <c:tx>
            <c:strRef>
              <c:f>Tools!$DC$78</c:f>
              <c:strCache>
                <c:ptCount val="1"/>
                <c:pt idx="0">
                  <c:v>STN 14</c:v>
                </c:pt>
              </c:strCache>
            </c:strRef>
          </c:tx>
          <c:spPr>
            <a:ln w="3175">
              <a:solidFill>
                <a:schemeClr val="accent4">
                  <a:lumMod val="75000"/>
                </a:schemeClr>
              </a:solidFill>
            </a:ln>
          </c:spPr>
          <c:marker>
            <c:symbol val="none"/>
          </c:marker>
          <c:xVal>
            <c:numRef>
              <c:f>Tools!$DJ$114:$EI$114</c:f>
              <c:numCache>
                <c:formatCode>General</c:formatCode>
                <c:ptCount val="26"/>
                <c:pt idx="0">
                  <c:v>#N/A</c:v>
                </c:pt>
                <c:pt idx="1">
                  <c:v>9.5</c:v>
                </c:pt>
                <c:pt idx="2">
                  <c:v>10.32</c:v>
                </c:pt>
                <c:pt idx="3">
                  <c:v>10.66</c:v>
                </c:pt>
                <c:pt idx="4">
                  <c:v>10.87</c:v>
                </c:pt>
                <c:pt idx="5">
                  <c:v>11</c:v>
                </c:pt>
                <c:pt idx="6">
                  <c:v>11</c:v>
                </c:pt>
                <c:pt idx="7">
                  <c:v>11</c:v>
                </c:pt>
                <c:pt idx="8">
                  <c:v>11</c:v>
                </c:pt>
                <c:pt idx="9">
                  <c:v>11</c:v>
                </c:pt>
                <c:pt idx="10">
                  <c:v>11</c:v>
                </c:pt>
                <c:pt idx="11">
                  <c:v>11</c:v>
                </c:pt>
                <c:pt idx="12">
                  <c:v>11</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xVal>
          <c:yVal>
            <c:numRef>
              <c:f>Tools!$EL$114:$FK$114</c:f>
              <c:numCache>
                <c:formatCode>General</c:formatCode>
                <c:ptCount val="26"/>
                <c:pt idx="0">
                  <c:v>#N/A</c:v>
                </c:pt>
                <c:pt idx="1">
                  <c:v>0</c:v>
                </c:pt>
                <c:pt idx="2">
                  <c:v>0.5</c:v>
                </c:pt>
                <c:pt idx="3">
                  <c:v>1</c:v>
                </c:pt>
                <c:pt idx="4">
                  <c:v>1.5</c:v>
                </c:pt>
                <c:pt idx="5">
                  <c:v>2</c:v>
                </c:pt>
                <c:pt idx="6">
                  <c:v>4</c:v>
                </c:pt>
                <c:pt idx="7">
                  <c:v>6</c:v>
                </c:pt>
                <c:pt idx="8">
                  <c:v>8</c:v>
                </c:pt>
                <c:pt idx="9">
                  <c:v>9.6999999999999993</c:v>
                </c:pt>
                <c:pt idx="10">
                  <c:v>10</c:v>
                </c:pt>
                <c:pt idx="11">
                  <c:v>12</c:v>
                </c:pt>
                <c:pt idx="12">
                  <c:v>13</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yVal>
          <c:smooth val="1"/>
        </c:ser>
        <c:ser>
          <c:idx val="17"/>
          <c:order val="17"/>
          <c:tx>
            <c:strRef>
              <c:f>Tools!$DC$79</c:f>
              <c:strCache>
                <c:ptCount val="1"/>
                <c:pt idx="0">
                  <c:v>STN 15</c:v>
                </c:pt>
              </c:strCache>
            </c:strRef>
          </c:tx>
          <c:spPr>
            <a:ln w="3175">
              <a:solidFill>
                <a:schemeClr val="accent6">
                  <a:lumMod val="75000"/>
                </a:schemeClr>
              </a:solidFill>
            </a:ln>
          </c:spPr>
          <c:marker>
            <c:symbol val="none"/>
          </c:marker>
          <c:xVal>
            <c:numRef>
              <c:f>Tools!$DJ$115:$EI$115</c:f>
              <c:numCache>
                <c:formatCode>General</c:formatCode>
                <c:ptCount val="26"/>
                <c:pt idx="0">
                  <c:v>#N/A</c:v>
                </c:pt>
                <c:pt idx="1">
                  <c:v>8.9</c:v>
                </c:pt>
                <c:pt idx="2">
                  <c:v>9.76</c:v>
                </c:pt>
                <c:pt idx="3">
                  <c:v>10.199999999999999</c:v>
                </c:pt>
                <c:pt idx="4">
                  <c:v>10.5</c:v>
                </c:pt>
                <c:pt idx="5">
                  <c:v>10.7</c:v>
                </c:pt>
                <c:pt idx="6">
                  <c:v>11</c:v>
                </c:pt>
                <c:pt idx="7">
                  <c:v>11</c:v>
                </c:pt>
                <c:pt idx="8">
                  <c:v>11</c:v>
                </c:pt>
                <c:pt idx="9">
                  <c:v>11</c:v>
                </c:pt>
                <c:pt idx="10">
                  <c:v>11</c:v>
                </c:pt>
                <c:pt idx="11">
                  <c:v>11</c:v>
                </c:pt>
                <c:pt idx="12">
                  <c:v>11</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xVal>
          <c:yVal>
            <c:numRef>
              <c:f>Tools!$EL$115:$FK$115</c:f>
              <c:numCache>
                <c:formatCode>General</c:formatCode>
                <c:ptCount val="26"/>
                <c:pt idx="0">
                  <c:v>#N/A</c:v>
                </c:pt>
                <c:pt idx="1">
                  <c:v>0</c:v>
                </c:pt>
                <c:pt idx="2">
                  <c:v>0.5</c:v>
                </c:pt>
                <c:pt idx="3">
                  <c:v>1</c:v>
                </c:pt>
                <c:pt idx="4">
                  <c:v>1.5</c:v>
                </c:pt>
                <c:pt idx="5">
                  <c:v>2</c:v>
                </c:pt>
                <c:pt idx="6">
                  <c:v>4</c:v>
                </c:pt>
                <c:pt idx="7">
                  <c:v>6</c:v>
                </c:pt>
                <c:pt idx="8">
                  <c:v>8</c:v>
                </c:pt>
                <c:pt idx="9">
                  <c:v>9.6999999999999993</c:v>
                </c:pt>
                <c:pt idx="10">
                  <c:v>10</c:v>
                </c:pt>
                <c:pt idx="11">
                  <c:v>12</c:v>
                </c:pt>
                <c:pt idx="12">
                  <c:v>13</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yVal>
          <c:smooth val="1"/>
        </c:ser>
        <c:ser>
          <c:idx val="18"/>
          <c:order val="18"/>
          <c:tx>
            <c:strRef>
              <c:f>Tools!$DC$80</c:f>
              <c:strCache>
                <c:ptCount val="1"/>
                <c:pt idx="0">
                  <c:v>STN 16</c:v>
                </c:pt>
              </c:strCache>
            </c:strRef>
          </c:tx>
          <c:spPr>
            <a:ln w="3175">
              <a:solidFill>
                <a:srgbClr val="FF0000"/>
              </a:solidFill>
            </a:ln>
          </c:spPr>
          <c:marker>
            <c:symbol val="none"/>
          </c:marker>
          <c:xVal>
            <c:numRef>
              <c:f>Tools!$DJ$116:$EI$116</c:f>
              <c:numCache>
                <c:formatCode>General</c:formatCode>
                <c:ptCount val="26"/>
                <c:pt idx="0">
                  <c:v>#N/A</c:v>
                </c:pt>
                <c:pt idx="1">
                  <c:v>7.6</c:v>
                </c:pt>
                <c:pt idx="2">
                  <c:v>8.64</c:v>
                </c:pt>
                <c:pt idx="3">
                  <c:v>9.27</c:v>
                </c:pt>
                <c:pt idx="4">
                  <c:v>9.66</c:v>
                </c:pt>
                <c:pt idx="5">
                  <c:v>9.91</c:v>
                </c:pt>
                <c:pt idx="6">
                  <c:v>10.5</c:v>
                </c:pt>
                <c:pt idx="7">
                  <c:v>10.7</c:v>
                </c:pt>
                <c:pt idx="8">
                  <c:v>10.8</c:v>
                </c:pt>
                <c:pt idx="9">
                  <c:v>10.89</c:v>
                </c:pt>
                <c:pt idx="10">
                  <c:v>10.9</c:v>
                </c:pt>
                <c:pt idx="11">
                  <c:v>11</c:v>
                </c:pt>
                <c:pt idx="12">
                  <c:v>11</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xVal>
          <c:yVal>
            <c:numRef>
              <c:f>Tools!$EL$116:$FK$116</c:f>
              <c:numCache>
                <c:formatCode>General</c:formatCode>
                <c:ptCount val="26"/>
                <c:pt idx="0">
                  <c:v>#N/A</c:v>
                </c:pt>
                <c:pt idx="1">
                  <c:v>0</c:v>
                </c:pt>
                <c:pt idx="2">
                  <c:v>0.5</c:v>
                </c:pt>
                <c:pt idx="3">
                  <c:v>1</c:v>
                </c:pt>
                <c:pt idx="4">
                  <c:v>1.5</c:v>
                </c:pt>
                <c:pt idx="5">
                  <c:v>2</c:v>
                </c:pt>
                <c:pt idx="6">
                  <c:v>4</c:v>
                </c:pt>
                <c:pt idx="7">
                  <c:v>6</c:v>
                </c:pt>
                <c:pt idx="8">
                  <c:v>8</c:v>
                </c:pt>
                <c:pt idx="9">
                  <c:v>9.6999999999999993</c:v>
                </c:pt>
                <c:pt idx="10">
                  <c:v>10</c:v>
                </c:pt>
                <c:pt idx="11">
                  <c:v>12</c:v>
                </c:pt>
                <c:pt idx="12">
                  <c:v>13</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yVal>
          <c:smooth val="1"/>
        </c:ser>
        <c:ser>
          <c:idx val="19"/>
          <c:order val="19"/>
          <c:tx>
            <c:strRef>
              <c:f>Tools!$DC$81</c:f>
              <c:strCache>
                <c:ptCount val="1"/>
                <c:pt idx="0">
                  <c:v>STN 17</c:v>
                </c:pt>
              </c:strCache>
            </c:strRef>
          </c:tx>
          <c:spPr>
            <a:ln w="3175">
              <a:solidFill>
                <a:schemeClr val="tx1"/>
              </a:solidFill>
            </a:ln>
          </c:spPr>
          <c:marker>
            <c:symbol val="none"/>
          </c:marker>
          <c:xVal>
            <c:numRef>
              <c:f>Tools!$DJ$117:$EI$117</c:f>
              <c:numCache>
                <c:formatCode>General</c:formatCode>
                <c:ptCount val="26"/>
                <c:pt idx="0">
                  <c:v>#N/A</c:v>
                </c:pt>
                <c:pt idx="1">
                  <c:v>5.6</c:v>
                </c:pt>
                <c:pt idx="2">
                  <c:v>6.89</c:v>
                </c:pt>
                <c:pt idx="3">
                  <c:v>7.56</c:v>
                </c:pt>
                <c:pt idx="4">
                  <c:v>8.0399999999999991</c:v>
                </c:pt>
                <c:pt idx="5">
                  <c:v>8.42</c:v>
                </c:pt>
                <c:pt idx="6">
                  <c:v>9.32</c:v>
                </c:pt>
                <c:pt idx="7">
                  <c:v>9.69</c:v>
                </c:pt>
                <c:pt idx="8">
                  <c:v>9.99</c:v>
                </c:pt>
                <c:pt idx="9">
                  <c:v>10.23</c:v>
                </c:pt>
                <c:pt idx="10">
                  <c:v>10.27</c:v>
                </c:pt>
                <c:pt idx="11">
                  <c:v>10.5</c:v>
                </c:pt>
                <c:pt idx="12">
                  <c:v>10.62</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xVal>
          <c:yVal>
            <c:numRef>
              <c:f>Tools!$EL$117:$FK$117</c:f>
              <c:numCache>
                <c:formatCode>General</c:formatCode>
                <c:ptCount val="26"/>
                <c:pt idx="0">
                  <c:v>#N/A</c:v>
                </c:pt>
                <c:pt idx="1">
                  <c:v>0</c:v>
                </c:pt>
                <c:pt idx="2">
                  <c:v>0.5</c:v>
                </c:pt>
                <c:pt idx="3">
                  <c:v>1</c:v>
                </c:pt>
                <c:pt idx="4">
                  <c:v>1.5</c:v>
                </c:pt>
                <c:pt idx="5">
                  <c:v>2</c:v>
                </c:pt>
                <c:pt idx="6">
                  <c:v>4</c:v>
                </c:pt>
                <c:pt idx="7">
                  <c:v>6</c:v>
                </c:pt>
                <c:pt idx="8">
                  <c:v>8</c:v>
                </c:pt>
                <c:pt idx="9">
                  <c:v>9.6999999999999993</c:v>
                </c:pt>
                <c:pt idx="10">
                  <c:v>10</c:v>
                </c:pt>
                <c:pt idx="11">
                  <c:v>12</c:v>
                </c:pt>
                <c:pt idx="12">
                  <c:v>13</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yVal>
          <c:smooth val="1"/>
        </c:ser>
        <c:ser>
          <c:idx val="20"/>
          <c:order val="20"/>
          <c:tx>
            <c:strRef>
              <c:f>Tools!$DC$82</c:f>
              <c:strCache>
                <c:ptCount val="1"/>
                <c:pt idx="0">
                  <c:v>STN 18</c:v>
                </c:pt>
              </c:strCache>
            </c:strRef>
          </c:tx>
          <c:spPr>
            <a:ln w="3175">
              <a:solidFill>
                <a:srgbClr val="FF00FF"/>
              </a:solidFill>
            </a:ln>
          </c:spPr>
          <c:marker>
            <c:symbol val="none"/>
          </c:marker>
          <c:xVal>
            <c:numRef>
              <c:f>Tools!$DJ$118:$EI$118</c:f>
              <c:numCache>
                <c:formatCode>General</c:formatCode>
                <c:ptCount val="26"/>
                <c:pt idx="0">
                  <c:v>#N/A</c:v>
                </c:pt>
                <c:pt idx="1">
                  <c:v>3.5</c:v>
                </c:pt>
                <c:pt idx="2">
                  <c:v>4.6500000000000004</c:v>
                </c:pt>
                <c:pt idx="3">
                  <c:v>5.35</c:v>
                </c:pt>
                <c:pt idx="4">
                  <c:v>5.87</c:v>
                </c:pt>
                <c:pt idx="5">
                  <c:v>6.21</c:v>
                </c:pt>
                <c:pt idx="6">
                  <c:v>7.08</c:v>
                </c:pt>
                <c:pt idx="7">
                  <c:v>7.57</c:v>
                </c:pt>
                <c:pt idx="8">
                  <c:v>7.9291999999999998</c:v>
                </c:pt>
                <c:pt idx="9">
                  <c:v>8.3511000000000006</c:v>
                </c:pt>
                <c:pt idx="10">
                  <c:v>8.43</c:v>
                </c:pt>
                <c:pt idx="11">
                  <c:v>8.92</c:v>
                </c:pt>
                <c:pt idx="12">
                  <c:v>9.16</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xVal>
          <c:yVal>
            <c:numRef>
              <c:f>Tools!$EL$118:$FK$118</c:f>
              <c:numCache>
                <c:formatCode>General</c:formatCode>
                <c:ptCount val="26"/>
                <c:pt idx="0">
                  <c:v>#N/A</c:v>
                </c:pt>
                <c:pt idx="1">
                  <c:v>0</c:v>
                </c:pt>
                <c:pt idx="2">
                  <c:v>0.5</c:v>
                </c:pt>
                <c:pt idx="3">
                  <c:v>1</c:v>
                </c:pt>
                <c:pt idx="4">
                  <c:v>1.5</c:v>
                </c:pt>
                <c:pt idx="5">
                  <c:v>2</c:v>
                </c:pt>
                <c:pt idx="6">
                  <c:v>4</c:v>
                </c:pt>
                <c:pt idx="7">
                  <c:v>6</c:v>
                </c:pt>
                <c:pt idx="8">
                  <c:v>8</c:v>
                </c:pt>
                <c:pt idx="9">
                  <c:v>9.6999999999999993</c:v>
                </c:pt>
                <c:pt idx="10">
                  <c:v>10</c:v>
                </c:pt>
                <c:pt idx="11">
                  <c:v>12</c:v>
                </c:pt>
                <c:pt idx="12">
                  <c:v>13</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yVal>
          <c:smooth val="1"/>
        </c:ser>
        <c:ser>
          <c:idx val="21"/>
          <c:order val="21"/>
          <c:tx>
            <c:strRef>
              <c:f>Tools!$DC$83</c:f>
              <c:strCache>
                <c:ptCount val="1"/>
                <c:pt idx="0">
                  <c:v>STN 18.5</c:v>
                </c:pt>
              </c:strCache>
            </c:strRef>
          </c:tx>
          <c:spPr>
            <a:ln w="3175">
              <a:solidFill>
                <a:schemeClr val="accent3">
                  <a:lumMod val="50000"/>
                </a:schemeClr>
              </a:solidFill>
            </a:ln>
          </c:spPr>
          <c:marker>
            <c:symbol val="none"/>
          </c:marker>
          <c:xVal>
            <c:numRef>
              <c:f>Tools!$DJ$119:$EI$119</c:f>
              <c:numCache>
                <c:formatCode>General</c:formatCode>
                <c:ptCount val="26"/>
                <c:pt idx="0">
                  <c:v>#N/A</c:v>
                </c:pt>
                <c:pt idx="1">
                  <c:v>2.2999999999999998</c:v>
                </c:pt>
                <c:pt idx="2">
                  <c:v>3.43</c:v>
                </c:pt>
                <c:pt idx="3">
                  <c:v>4.13</c:v>
                </c:pt>
                <c:pt idx="4">
                  <c:v>4.58</c:v>
                </c:pt>
                <c:pt idx="5">
                  <c:v>4.91</c:v>
                </c:pt>
                <c:pt idx="6">
                  <c:v>5.63</c:v>
                </c:pt>
                <c:pt idx="7">
                  <c:v>6.05</c:v>
                </c:pt>
                <c:pt idx="8">
                  <c:v>6.39</c:v>
                </c:pt>
                <c:pt idx="9">
                  <c:v>6.82</c:v>
                </c:pt>
                <c:pt idx="10">
                  <c:v>6.91</c:v>
                </c:pt>
                <c:pt idx="11">
                  <c:v>7.5</c:v>
                </c:pt>
                <c:pt idx="12">
                  <c:v>7.8</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xVal>
          <c:yVal>
            <c:numRef>
              <c:f>Tools!$EL$119:$FK$119</c:f>
              <c:numCache>
                <c:formatCode>General</c:formatCode>
                <c:ptCount val="26"/>
                <c:pt idx="0">
                  <c:v>#N/A</c:v>
                </c:pt>
                <c:pt idx="1">
                  <c:v>0</c:v>
                </c:pt>
                <c:pt idx="2">
                  <c:v>0.5</c:v>
                </c:pt>
                <c:pt idx="3">
                  <c:v>1</c:v>
                </c:pt>
                <c:pt idx="4">
                  <c:v>1.5</c:v>
                </c:pt>
                <c:pt idx="5">
                  <c:v>2</c:v>
                </c:pt>
                <c:pt idx="6">
                  <c:v>4</c:v>
                </c:pt>
                <c:pt idx="7">
                  <c:v>6</c:v>
                </c:pt>
                <c:pt idx="8">
                  <c:v>8</c:v>
                </c:pt>
                <c:pt idx="9">
                  <c:v>9.6999999999999993</c:v>
                </c:pt>
                <c:pt idx="10">
                  <c:v>10</c:v>
                </c:pt>
                <c:pt idx="11">
                  <c:v>12</c:v>
                </c:pt>
                <c:pt idx="12">
                  <c:v>13</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yVal>
          <c:smooth val="1"/>
        </c:ser>
        <c:ser>
          <c:idx val="22"/>
          <c:order val="22"/>
          <c:tx>
            <c:strRef>
              <c:f>Tools!$DC$84</c:f>
              <c:strCache>
                <c:ptCount val="1"/>
                <c:pt idx="0">
                  <c:v>STN 19</c:v>
                </c:pt>
              </c:strCache>
            </c:strRef>
          </c:tx>
          <c:spPr>
            <a:ln w="3175">
              <a:solidFill>
                <a:srgbClr val="C00000"/>
              </a:solidFill>
            </a:ln>
          </c:spPr>
          <c:marker>
            <c:symbol val="none"/>
          </c:marker>
          <c:xVal>
            <c:numRef>
              <c:f>Tools!$DJ$20:$EI$20</c:f>
              <c:numCache>
                <c:formatCode>General</c:formatCode>
                <c:ptCount val="26"/>
                <c:pt idx="0">
                  <c:v>0</c:v>
                </c:pt>
              </c:numCache>
            </c:numRef>
          </c:xVal>
          <c:yVal>
            <c:numRef>
              <c:f>Tools!$EL$120:$FK$120</c:f>
              <c:numCache>
                <c:formatCode>General</c:formatCode>
                <c:ptCount val="26"/>
                <c:pt idx="0">
                  <c:v>#N/A</c:v>
                </c:pt>
                <c:pt idx="1">
                  <c:v>0</c:v>
                </c:pt>
                <c:pt idx="2">
                  <c:v>0.5</c:v>
                </c:pt>
                <c:pt idx="3">
                  <c:v>1</c:v>
                </c:pt>
                <c:pt idx="4">
                  <c:v>1.5</c:v>
                </c:pt>
                <c:pt idx="5">
                  <c:v>2</c:v>
                </c:pt>
                <c:pt idx="6">
                  <c:v>4</c:v>
                </c:pt>
                <c:pt idx="7">
                  <c:v>6</c:v>
                </c:pt>
                <c:pt idx="8">
                  <c:v>8</c:v>
                </c:pt>
                <c:pt idx="9">
                  <c:v>9.6999999999999993</c:v>
                </c:pt>
                <c:pt idx="10">
                  <c:v>10</c:v>
                </c:pt>
                <c:pt idx="11">
                  <c:v>12</c:v>
                </c:pt>
                <c:pt idx="12">
                  <c:v>13</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yVal>
          <c:smooth val="1"/>
        </c:ser>
        <c:ser>
          <c:idx val="23"/>
          <c:order val="23"/>
          <c:tx>
            <c:strRef>
              <c:f>Tools!$DC$85</c:f>
              <c:strCache>
                <c:ptCount val="1"/>
                <c:pt idx="0">
                  <c:v>STN 19.5</c:v>
                </c:pt>
              </c:strCache>
            </c:strRef>
          </c:tx>
          <c:spPr>
            <a:ln w="3175">
              <a:solidFill>
                <a:schemeClr val="tx2">
                  <a:lumMod val="75000"/>
                </a:schemeClr>
              </a:solidFill>
            </a:ln>
          </c:spPr>
          <c:marker>
            <c:symbol val="none"/>
          </c:marker>
          <c:xVal>
            <c:numRef>
              <c:f>Tools!$DJ$121:$EI$121</c:f>
              <c:numCache>
                <c:formatCode>General</c:formatCode>
                <c:ptCount val="26"/>
                <c:pt idx="0">
                  <c:v>#N/A</c:v>
                </c:pt>
                <c:pt idx="1">
                  <c:v>0.4</c:v>
                </c:pt>
                <c:pt idx="2">
                  <c:v>1.21</c:v>
                </c:pt>
                <c:pt idx="3">
                  <c:v>1.69</c:v>
                </c:pt>
                <c:pt idx="4">
                  <c:v>2.02</c:v>
                </c:pt>
                <c:pt idx="5">
                  <c:v>2.29</c:v>
                </c:pt>
                <c:pt idx="6">
                  <c:v>2.63</c:v>
                </c:pt>
                <c:pt idx="7">
                  <c:v>2.38</c:v>
                </c:pt>
                <c:pt idx="8">
                  <c:v>2.25</c:v>
                </c:pt>
                <c:pt idx="9">
                  <c:v>2.42</c:v>
                </c:pt>
                <c:pt idx="10">
                  <c:v>2.4962</c:v>
                </c:pt>
                <c:pt idx="11">
                  <c:v>3.19</c:v>
                </c:pt>
                <c:pt idx="12">
                  <c:v>3.63</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xVal>
          <c:yVal>
            <c:numRef>
              <c:f>Tools!$EL$121:$FK$121</c:f>
              <c:numCache>
                <c:formatCode>General</c:formatCode>
                <c:ptCount val="26"/>
                <c:pt idx="0">
                  <c:v>#N/A</c:v>
                </c:pt>
                <c:pt idx="1">
                  <c:v>0</c:v>
                </c:pt>
                <c:pt idx="2">
                  <c:v>0.5</c:v>
                </c:pt>
                <c:pt idx="3">
                  <c:v>1</c:v>
                </c:pt>
                <c:pt idx="4">
                  <c:v>1.5</c:v>
                </c:pt>
                <c:pt idx="5">
                  <c:v>2</c:v>
                </c:pt>
                <c:pt idx="6">
                  <c:v>4</c:v>
                </c:pt>
                <c:pt idx="7">
                  <c:v>6</c:v>
                </c:pt>
                <c:pt idx="8">
                  <c:v>8</c:v>
                </c:pt>
                <c:pt idx="9">
                  <c:v>9.6999999999999993</c:v>
                </c:pt>
                <c:pt idx="10">
                  <c:v>10</c:v>
                </c:pt>
                <c:pt idx="11">
                  <c:v>12</c:v>
                </c:pt>
                <c:pt idx="12">
                  <c:v>13</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yVal>
          <c:smooth val="1"/>
        </c:ser>
        <c:ser>
          <c:idx val="24"/>
          <c:order val="24"/>
          <c:tx>
            <c:strRef>
              <c:f>Tools!$DC$86</c:f>
              <c:strCache>
                <c:ptCount val="1"/>
                <c:pt idx="0">
                  <c:v>STN 20</c:v>
                </c:pt>
              </c:strCache>
            </c:strRef>
          </c:tx>
          <c:spPr>
            <a:ln w="3175">
              <a:solidFill>
                <a:schemeClr val="accent6">
                  <a:lumMod val="75000"/>
                </a:schemeClr>
              </a:solidFill>
            </a:ln>
          </c:spPr>
          <c:marker>
            <c:symbol val="none"/>
          </c:marker>
          <c:xVal>
            <c:numRef>
              <c:f>Tools!$DJ$122:$EI$122</c:f>
              <c:numCache>
                <c:formatCode>General</c:formatCode>
                <c:ptCount val="26"/>
                <c:pt idx="0">
                  <c:v>#N/A</c:v>
                </c:pt>
                <c:pt idx="1">
                  <c:v>0.1</c:v>
                </c:pt>
                <c:pt idx="2">
                  <c:v>0.8</c:v>
                </c:pt>
                <c:pt idx="3">
                  <c:v>1.2</c:v>
                </c:pt>
                <c:pt idx="4">
                  <c:v>1.43</c:v>
                </c:pt>
                <c:pt idx="5">
                  <c:v>1.53</c:v>
                </c:pt>
                <c:pt idx="6">
                  <c:v>1.1200000000000001</c:v>
                </c:pt>
                <c:pt idx="7">
                  <c:v>0.5</c:v>
                </c:pt>
                <c:pt idx="8">
                  <c:v>0.08</c:v>
                </c:pt>
                <c:pt idx="9">
                  <c:v>0</c:v>
                </c:pt>
                <c:pt idx="10">
                  <c:v>0.03</c:v>
                </c:pt>
                <c:pt idx="11">
                  <c:v>0.8</c:v>
                </c:pt>
                <c:pt idx="12">
                  <c:v>1.63</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xVal>
          <c:yVal>
            <c:numRef>
              <c:f>Tools!$EL$122:$FK$122</c:f>
              <c:numCache>
                <c:formatCode>General</c:formatCode>
                <c:ptCount val="26"/>
                <c:pt idx="0">
                  <c:v>#N/A</c:v>
                </c:pt>
                <c:pt idx="1">
                  <c:v>0</c:v>
                </c:pt>
                <c:pt idx="2">
                  <c:v>0.5</c:v>
                </c:pt>
                <c:pt idx="3">
                  <c:v>1</c:v>
                </c:pt>
                <c:pt idx="4">
                  <c:v>1.5</c:v>
                </c:pt>
                <c:pt idx="5">
                  <c:v>2</c:v>
                </c:pt>
                <c:pt idx="6">
                  <c:v>4</c:v>
                </c:pt>
                <c:pt idx="7">
                  <c:v>6</c:v>
                </c:pt>
                <c:pt idx="8">
                  <c:v>8</c:v>
                </c:pt>
                <c:pt idx="9">
                  <c:v>9.6999999999999993</c:v>
                </c:pt>
                <c:pt idx="10">
                  <c:v>10</c:v>
                </c:pt>
                <c:pt idx="11">
                  <c:v>12</c:v>
                </c:pt>
                <c:pt idx="12">
                  <c:v>13</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yVal>
          <c:smooth val="1"/>
        </c:ser>
        <c:ser>
          <c:idx val="25"/>
          <c:order val="25"/>
          <c:tx>
            <c:v>a</c:v>
          </c:tx>
          <c:marker>
            <c:symbol val="none"/>
          </c:marker>
          <c:xVal>
            <c:numRef>
              <c:f>Tools!$E$182</c:f>
              <c:numCache>
                <c:formatCode>General</c:formatCode>
                <c:ptCount val="1"/>
              </c:numCache>
            </c:numRef>
          </c:xVal>
          <c:yVal>
            <c:numRef>
              <c:f>Tools!$F$182</c:f>
              <c:numCache>
                <c:formatCode>General</c:formatCode>
                <c:ptCount val="1"/>
              </c:numCache>
            </c:numRef>
          </c:yVal>
          <c:smooth val="1"/>
        </c:ser>
        <c:ser>
          <c:idx val="26"/>
          <c:order val="26"/>
          <c:tx>
            <c:strRef>
              <c:f>Tools!$CP$62</c:f>
              <c:strCache>
                <c:ptCount val="1"/>
                <c:pt idx="0">
                  <c:v>WL 0</c:v>
                </c:pt>
              </c:strCache>
            </c:strRef>
          </c:tx>
          <c:spPr>
            <a:ln w="3175">
              <a:solidFill>
                <a:schemeClr val="tx1">
                  <a:lumMod val="50000"/>
                  <a:lumOff val="50000"/>
                </a:schemeClr>
              </a:solidFill>
            </a:ln>
          </c:spPr>
          <c:marker>
            <c:symbol val="none"/>
          </c:marker>
          <c:xVal>
            <c:numRef>
              <c:f>Tools!$CQ$61:$CR$61</c:f>
              <c:numCache>
                <c:formatCode>General</c:formatCode>
                <c:ptCount val="2"/>
                <c:pt idx="0">
                  <c:v>-11</c:v>
                </c:pt>
                <c:pt idx="1">
                  <c:v>11</c:v>
                </c:pt>
              </c:numCache>
            </c:numRef>
          </c:xVal>
          <c:yVal>
            <c:numRef>
              <c:f>Tools!$CQ$62:$CR$62</c:f>
              <c:numCache>
                <c:formatCode>General</c:formatCode>
                <c:ptCount val="2"/>
                <c:pt idx="0">
                  <c:v>0</c:v>
                </c:pt>
                <c:pt idx="1">
                  <c:v>0</c:v>
                </c:pt>
              </c:numCache>
            </c:numRef>
          </c:yVal>
          <c:smooth val="1"/>
        </c:ser>
        <c:ser>
          <c:idx val="27"/>
          <c:order val="27"/>
          <c:tx>
            <c:strRef>
              <c:f>Tools!$CP$63</c:f>
              <c:strCache>
                <c:ptCount val="1"/>
                <c:pt idx="0">
                  <c:v>WL 0.25</c:v>
                </c:pt>
              </c:strCache>
            </c:strRef>
          </c:tx>
          <c:spPr>
            <a:ln w="3175">
              <a:solidFill>
                <a:schemeClr val="tx1">
                  <a:lumMod val="50000"/>
                  <a:lumOff val="50000"/>
                </a:schemeClr>
              </a:solidFill>
            </a:ln>
          </c:spPr>
          <c:marker>
            <c:symbol val="none"/>
          </c:marker>
          <c:xVal>
            <c:numRef>
              <c:f>Tools!$CQ$61:$CR$61</c:f>
              <c:numCache>
                <c:formatCode>General</c:formatCode>
                <c:ptCount val="2"/>
                <c:pt idx="0">
                  <c:v>-11</c:v>
                </c:pt>
                <c:pt idx="1">
                  <c:v>11</c:v>
                </c:pt>
              </c:numCache>
            </c:numRef>
          </c:xVal>
          <c:yVal>
            <c:numRef>
              <c:f>Tools!$CQ$63:$CR$63</c:f>
              <c:numCache>
                <c:formatCode>General</c:formatCode>
                <c:ptCount val="2"/>
                <c:pt idx="0">
                  <c:v>0.5</c:v>
                </c:pt>
                <c:pt idx="1">
                  <c:v>0.5</c:v>
                </c:pt>
              </c:numCache>
            </c:numRef>
          </c:yVal>
          <c:smooth val="1"/>
        </c:ser>
        <c:ser>
          <c:idx val="28"/>
          <c:order val="28"/>
          <c:tx>
            <c:strRef>
              <c:f>Tools!$CP$64</c:f>
              <c:strCache>
                <c:ptCount val="1"/>
                <c:pt idx="0">
                  <c:v>WL 0.5</c:v>
                </c:pt>
              </c:strCache>
            </c:strRef>
          </c:tx>
          <c:spPr>
            <a:ln w="3175">
              <a:solidFill>
                <a:schemeClr val="tx1">
                  <a:lumMod val="50000"/>
                  <a:lumOff val="50000"/>
                </a:schemeClr>
              </a:solidFill>
            </a:ln>
          </c:spPr>
          <c:marker>
            <c:symbol val="none"/>
          </c:marker>
          <c:xVal>
            <c:numRef>
              <c:f>Tools!$CQ$61:$CR$61</c:f>
              <c:numCache>
                <c:formatCode>General</c:formatCode>
                <c:ptCount val="2"/>
                <c:pt idx="0">
                  <c:v>-11</c:v>
                </c:pt>
                <c:pt idx="1">
                  <c:v>11</c:v>
                </c:pt>
              </c:numCache>
            </c:numRef>
          </c:xVal>
          <c:yVal>
            <c:numRef>
              <c:f>Tools!$CQ$64:$CR$64</c:f>
              <c:numCache>
                <c:formatCode>General</c:formatCode>
                <c:ptCount val="2"/>
                <c:pt idx="0">
                  <c:v>1</c:v>
                </c:pt>
                <c:pt idx="1">
                  <c:v>1</c:v>
                </c:pt>
              </c:numCache>
            </c:numRef>
          </c:yVal>
          <c:smooth val="1"/>
        </c:ser>
        <c:ser>
          <c:idx val="29"/>
          <c:order val="29"/>
          <c:tx>
            <c:strRef>
              <c:f>Tools!$CP$65</c:f>
              <c:strCache>
                <c:ptCount val="1"/>
                <c:pt idx="0">
                  <c:v>WL 0.75</c:v>
                </c:pt>
              </c:strCache>
            </c:strRef>
          </c:tx>
          <c:spPr>
            <a:ln w="3175">
              <a:solidFill>
                <a:schemeClr val="tx1">
                  <a:lumMod val="50000"/>
                  <a:lumOff val="50000"/>
                </a:schemeClr>
              </a:solidFill>
            </a:ln>
          </c:spPr>
          <c:marker>
            <c:symbol val="none"/>
          </c:marker>
          <c:xVal>
            <c:numRef>
              <c:f>Tools!$CQ$61:$CR$61</c:f>
              <c:numCache>
                <c:formatCode>General</c:formatCode>
                <c:ptCount val="2"/>
                <c:pt idx="0">
                  <c:v>-11</c:v>
                </c:pt>
                <c:pt idx="1">
                  <c:v>11</c:v>
                </c:pt>
              </c:numCache>
            </c:numRef>
          </c:xVal>
          <c:yVal>
            <c:numRef>
              <c:f>Tools!$CQ$65:$CR$65</c:f>
              <c:numCache>
                <c:formatCode>General</c:formatCode>
                <c:ptCount val="2"/>
                <c:pt idx="0">
                  <c:v>1.5</c:v>
                </c:pt>
                <c:pt idx="1">
                  <c:v>1.5</c:v>
                </c:pt>
              </c:numCache>
            </c:numRef>
          </c:yVal>
          <c:smooth val="1"/>
        </c:ser>
        <c:ser>
          <c:idx val="30"/>
          <c:order val="30"/>
          <c:tx>
            <c:strRef>
              <c:f>Tools!$CP$66</c:f>
              <c:strCache>
                <c:ptCount val="1"/>
                <c:pt idx="0">
                  <c:v>WL 1</c:v>
                </c:pt>
              </c:strCache>
            </c:strRef>
          </c:tx>
          <c:spPr>
            <a:ln w="3175">
              <a:solidFill>
                <a:schemeClr val="tx1">
                  <a:lumMod val="50000"/>
                  <a:lumOff val="50000"/>
                </a:schemeClr>
              </a:solidFill>
            </a:ln>
          </c:spPr>
          <c:marker>
            <c:symbol val="none"/>
          </c:marker>
          <c:xVal>
            <c:numRef>
              <c:f>Tools!$CQ$61:$CR$61</c:f>
              <c:numCache>
                <c:formatCode>General</c:formatCode>
                <c:ptCount val="2"/>
                <c:pt idx="0">
                  <c:v>-11</c:v>
                </c:pt>
                <c:pt idx="1">
                  <c:v>11</c:v>
                </c:pt>
              </c:numCache>
            </c:numRef>
          </c:xVal>
          <c:yVal>
            <c:numRef>
              <c:f>Tools!$CQ$66:$CR$66</c:f>
              <c:numCache>
                <c:formatCode>General</c:formatCode>
                <c:ptCount val="2"/>
                <c:pt idx="0">
                  <c:v>2</c:v>
                </c:pt>
                <c:pt idx="1">
                  <c:v>2</c:v>
                </c:pt>
              </c:numCache>
            </c:numRef>
          </c:yVal>
          <c:smooth val="1"/>
        </c:ser>
        <c:ser>
          <c:idx val="31"/>
          <c:order val="31"/>
          <c:tx>
            <c:strRef>
              <c:f>Tools!$CP$67</c:f>
              <c:strCache>
                <c:ptCount val="1"/>
                <c:pt idx="0">
                  <c:v>WL 2</c:v>
                </c:pt>
              </c:strCache>
            </c:strRef>
          </c:tx>
          <c:spPr>
            <a:ln w="3175">
              <a:solidFill>
                <a:schemeClr val="tx1">
                  <a:lumMod val="50000"/>
                  <a:lumOff val="50000"/>
                </a:schemeClr>
              </a:solidFill>
            </a:ln>
          </c:spPr>
          <c:marker>
            <c:symbol val="none"/>
          </c:marker>
          <c:xVal>
            <c:numRef>
              <c:f>Tools!$CQ$61:$CR$61</c:f>
              <c:numCache>
                <c:formatCode>General</c:formatCode>
                <c:ptCount val="2"/>
                <c:pt idx="0">
                  <c:v>-11</c:v>
                </c:pt>
                <c:pt idx="1">
                  <c:v>11</c:v>
                </c:pt>
              </c:numCache>
            </c:numRef>
          </c:xVal>
          <c:yVal>
            <c:numRef>
              <c:f>Tools!$CQ$67:$CR$67</c:f>
              <c:numCache>
                <c:formatCode>General</c:formatCode>
                <c:ptCount val="2"/>
                <c:pt idx="0">
                  <c:v>4</c:v>
                </c:pt>
                <c:pt idx="1">
                  <c:v>4</c:v>
                </c:pt>
              </c:numCache>
            </c:numRef>
          </c:yVal>
          <c:smooth val="1"/>
        </c:ser>
        <c:ser>
          <c:idx val="32"/>
          <c:order val="32"/>
          <c:tx>
            <c:strRef>
              <c:f>Tools!$CP$68</c:f>
              <c:strCache>
                <c:ptCount val="1"/>
                <c:pt idx="0">
                  <c:v>WL 3</c:v>
                </c:pt>
              </c:strCache>
            </c:strRef>
          </c:tx>
          <c:spPr>
            <a:ln w="3175">
              <a:solidFill>
                <a:schemeClr val="tx1">
                  <a:lumMod val="50000"/>
                  <a:lumOff val="50000"/>
                </a:schemeClr>
              </a:solidFill>
            </a:ln>
          </c:spPr>
          <c:marker>
            <c:symbol val="none"/>
          </c:marker>
          <c:xVal>
            <c:numRef>
              <c:f>Tools!$CQ$61:$CR$61</c:f>
              <c:numCache>
                <c:formatCode>General</c:formatCode>
                <c:ptCount val="2"/>
                <c:pt idx="0">
                  <c:v>-11</c:v>
                </c:pt>
                <c:pt idx="1">
                  <c:v>11</c:v>
                </c:pt>
              </c:numCache>
            </c:numRef>
          </c:xVal>
          <c:yVal>
            <c:numRef>
              <c:f>Tools!$CQ$68:$CR$68</c:f>
              <c:numCache>
                <c:formatCode>General</c:formatCode>
                <c:ptCount val="2"/>
                <c:pt idx="0">
                  <c:v>6</c:v>
                </c:pt>
                <c:pt idx="1">
                  <c:v>6</c:v>
                </c:pt>
              </c:numCache>
            </c:numRef>
          </c:yVal>
          <c:smooth val="1"/>
        </c:ser>
        <c:ser>
          <c:idx val="33"/>
          <c:order val="33"/>
          <c:tx>
            <c:strRef>
              <c:f>Tools!$CP$69</c:f>
              <c:strCache>
                <c:ptCount val="1"/>
                <c:pt idx="0">
                  <c:v>WL 4</c:v>
                </c:pt>
              </c:strCache>
            </c:strRef>
          </c:tx>
          <c:spPr>
            <a:ln w="3175">
              <a:solidFill>
                <a:schemeClr val="tx1">
                  <a:lumMod val="50000"/>
                  <a:lumOff val="50000"/>
                </a:schemeClr>
              </a:solidFill>
            </a:ln>
          </c:spPr>
          <c:marker>
            <c:symbol val="none"/>
          </c:marker>
          <c:xVal>
            <c:numRef>
              <c:f>Tools!$CQ$61:$CR$61</c:f>
              <c:numCache>
                <c:formatCode>General</c:formatCode>
                <c:ptCount val="2"/>
                <c:pt idx="0">
                  <c:v>-11</c:v>
                </c:pt>
                <c:pt idx="1">
                  <c:v>11</c:v>
                </c:pt>
              </c:numCache>
            </c:numRef>
          </c:xVal>
          <c:yVal>
            <c:numRef>
              <c:f>Tools!$CQ$69:$CR$69</c:f>
              <c:numCache>
                <c:formatCode>General</c:formatCode>
                <c:ptCount val="2"/>
                <c:pt idx="0">
                  <c:v>8</c:v>
                </c:pt>
                <c:pt idx="1">
                  <c:v>8</c:v>
                </c:pt>
              </c:numCache>
            </c:numRef>
          </c:yVal>
          <c:smooth val="1"/>
        </c:ser>
        <c:ser>
          <c:idx val="34"/>
          <c:order val="34"/>
          <c:tx>
            <c:strRef>
              <c:f>Tools!$CP$70</c:f>
              <c:strCache>
                <c:ptCount val="1"/>
                <c:pt idx="0">
                  <c:v>WL 4.85</c:v>
                </c:pt>
              </c:strCache>
            </c:strRef>
          </c:tx>
          <c:spPr>
            <a:ln w="3175">
              <a:solidFill>
                <a:schemeClr val="tx1">
                  <a:lumMod val="50000"/>
                  <a:lumOff val="50000"/>
                </a:schemeClr>
              </a:solidFill>
            </a:ln>
          </c:spPr>
          <c:marker>
            <c:symbol val="none"/>
          </c:marker>
          <c:xVal>
            <c:numRef>
              <c:f>Tools!$CQ$61:$CR$61</c:f>
              <c:numCache>
                <c:formatCode>General</c:formatCode>
                <c:ptCount val="2"/>
                <c:pt idx="0">
                  <c:v>-11</c:v>
                </c:pt>
                <c:pt idx="1">
                  <c:v>11</c:v>
                </c:pt>
              </c:numCache>
            </c:numRef>
          </c:xVal>
          <c:yVal>
            <c:numRef>
              <c:f>Tools!$CQ$70:$CR$70</c:f>
              <c:numCache>
                <c:formatCode>General</c:formatCode>
                <c:ptCount val="2"/>
                <c:pt idx="0">
                  <c:v>9.6999999999999993</c:v>
                </c:pt>
                <c:pt idx="1">
                  <c:v>9.6999999999999993</c:v>
                </c:pt>
              </c:numCache>
            </c:numRef>
          </c:yVal>
          <c:smooth val="1"/>
        </c:ser>
        <c:ser>
          <c:idx val="35"/>
          <c:order val="35"/>
          <c:tx>
            <c:strRef>
              <c:f>Tools!$CP$71</c:f>
              <c:strCache>
                <c:ptCount val="1"/>
                <c:pt idx="0">
                  <c:v>WL 5</c:v>
                </c:pt>
              </c:strCache>
            </c:strRef>
          </c:tx>
          <c:spPr>
            <a:ln w="3175">
              <a:solidFill>
                <a:schemeClr val="tx1">
                  <a:lumMod val="50000"/>
                  <a:lumOff val="50000"/>
                </a:schemeClr>
              </a:solidFill>
            </a:ln>
          </c:spPr>
          <c:marker>
            <c:symbol val="none"/>
          </c:marker>
          <c:xVal>
            <c:numRef>
              <c:f>Tools!$CQ$61:$CR$61</c:f>
              <c:numCache>
                <c:formatCode>General</c:formatCode>
                <c:ptCount val="2"/>
                <c:pt idx="0">
                  <c:v>-11</c:v>
                </c:pt>
                <c:pt idx="1">
                  <c:v>11</c:v>
                </c:pt>
              </c:numCache>
            </c:numRef>
          </c:xVal>
          <c:yVal>
            <c:numRef>
              <c:f>Tools!$CQ$71:$CR$71</c:f>
              <c:numCache>
                <c:formatCode>General</c:formatCode>
                <c:ptCount val="2"/>
                <c:pt idx="0">
                  <c:v>10</c:v>
                </c:pt>
                <c:pt idx="1">
                  <c:v>10</c:v>
                </c:pt>
              </c:numCache>
            </c:numRef>
          </c:yVal>
          <c:smooth val="1"/>
        </c:ser>
        <c:ser>
          <c:idx val="36"/>
          <c:order val="36"/>
          <c:tx>
            <c:strRef>
              <c:f>Tools!$CP$72</c:f>
              <c:strCache>
                <c:ptCount val="1"/>
                <c:pt idx="0">
                  <c:v>WL 6</c:v>
                </c:pt>
              </c:strCache>
            </c:strRef>
          </c:tx>
          <c:spPr>
            <a:ln w="3175">
              <a:solidFill>
                <a:schemeClr val="tx1">
                  <a:lumMod val="50000"/>
                  <a:lumOff val="50000"/>
                </a:schemeClr>
              </a:solidFill>
            </a:ln>
          </c:spPr>
          <c:marker>
            <c:symbol val="none"/>
          </c:marker>
          <c:xVal>
            <c:numRef>
              <c:f>Tools!$CQ$61:$CR$61</c:f>
              <c:numCache>
                <c:formatCode>General</c:formatCode>
                <c:ptCount val="2"/>
                <c:pt idx="0">
                  <c:v>-11</c:v>
                </c:pt>
                <c:pt idx="1">
                  <c:v>11</c:v>
                </c:pt>
              </c:numCache>
            </c:numRef>
          </c:xVal>
          <c:yVal>
            <c:numRef>
              <c:f>Tools!$CQ$72:$CR$72</c:f>
              <c:numCache>
                <c:formatCode>General</c:formatCode>
                <c:ptCount val="2"/>
                <c:pt idx="0">
                  <c:v>12</c:v>
                </c:pt>
                <c:pt idx="1">
                  <c:v>12</c:v>
                </c:pt>
              </c:numCache>
            </c:numRef>
          </c:yVal>
          <c:smooth val="1"/>
        </c:ser>
        <c:ser>
          <c:idx val="37"/>
          <c:order val="37"/>
          <c:tx>
            <c:strRef>
              <c:f>Tools!$CP$73</c:f>
              <c:strCache>
                <c:ptCount val="1"/>
                <c:pt idx="0">
                  <c:v>WL 6.5</c:v>
                </c:pt>
              </c:strCache>
            </c:strRef>
          </c:tx>
          <c:spPr>
            <a:ln w="3175">
              <a:solidFill>
                <a:schemeClr val="tx1">
                  <a:lumMod val="50000"/>
                  <a:lumOff val="50000"/>
                </a:schemeClr>
              </a:solidFill>
            </a:ln>
          </c:spPr>
          <c:marker>
            <c:symbol val="none"/>
          </c:marker>
          <c:xVal>
            <c:numRef>
              <c:f>Tools!$CQ$61:$CR$61</c:f>
              <c:numCache>
                <c:formatCode>General</c:formatCode>
                <c:ptCount val="2"/>
                <c:pt idx="0">
                  <c:v>-11</c:v>
                </c:pt>
                <c:pt idx="1">
                  <c:v>11</c:v>
                </c:pt>
              </c:numCache>
            </c:numRef>
          </c:xVal>
          <c:yVal>
            <c:numRef>
              <c:f>Tools!$CQ$73:$CR$73</c:f>
              <c:numCache>
                <c:formatCode>General</c:formatCode>
                <c:ptCount val="2"/>
                <c:pt idx="0">
                  <c:v>13</c:v>
                </c:pt>
                <c:pt idx="1">
                  <c:v>13</c:v>
                </c:pt>
              </c:numCache>
            </c:numRef>
          </c:yVal>
          <c:smooth val="1"/>
        </c:ser>
        <c:ser>
          <c:idx val="38"/>
          <c:order val="38"/>
          <c:tx>
            <c:strRef>
              <c:f>Tools!$CP$74</c:f>
              <c:strCache>
                <c:ptCount val="1"/>
                <c:pt idx="0">
                  <c:v> </c:v>
                </c:pt>
              </c:strCache>
            </c:strRef>
          </c:tx>
          <c:spPr>
            <a:ln w="3175">
              <a:solidFill>
                <a:schemeClr val="tx1">
                  <a:lumMod val="50000"/>
                  <a:lumOff val="50000"/>
                </a:schemeClr>
              </a:solidFill>
            </a:ln>
          </c:spPr>
          <c:marker>
            <c:symbol val="none"/>
          </c:marker>
          <c:xVal>
            <c:numRef>
              <c:f>Tools!$CQ$61:$CR$61</c:f>
              <c:numCache>
                <c:formatCode>General</c:formatCode>
                <c:ptCount val="2"/>
                <c:pt idx="0">
                  <c:v>-11</c:v>
                </c:pt>
                <c:pt idx="1">
                  <c:v>11</c:v>
                </c:pt>
              </c:numCache>
            </c:numRef>
          </c:xVal>
          <c:yVal>
            <c:numRef>
              <c:f>Tools!$CQ$74:$CR$74</c:f>
              <c:numCache>
                <c:formatCode>General</c:formatCode>
                <c:ptCount val="2"/>
                <c:pt idx="0">
                  <c:v>0</c:v>
                </c:pt>
                <c:pt idx="1">
                  <c:v>0</c:v>
                </c:pt>
              </c:numCache>
            </c:numRef>
          </c:yVal>
          <c:smooth val="1"/>
        </c:ser>
        <c:ser>
          <c:idx val="39"/>
          <c:order val="39"/>
          <c:tx>
            <c:strRef>
              <c:f>Tools!$CP$75</c:f>
              <c:strCache>
                <c:ptCount val="1"/>
                <c:pt idx="0">
                  <c:v> </c:v>
                </c:pt>
              </c:strCache>
            </c:strRef>
          </c:tx>
          <c:spPr>
            <a:ln w="3175">
              <a:solidFill>
                <a:schemeClr val="tx1">
                  <a:lumMod val="50000"/>
                  <a:lumOff val="50000"/>
                </a:schemeClr>
              </a:solidFill>
            </a:ln>
          </c:spPr>
          <c:marker>
            <c:symbol val="none"/>
          </c:marker>
          <c:xVal>
            <c:numRef>
              <c:f>Tools!$CQ$61:$CR$61</c:f>
              <c:numCache>
                <c:formatCode>General</c:formatCode>
                <c:ptCount val="2"/>
                <c:pt idx="0">
                  <c:v>-11</c:v>
                </c:pt>
                <c:pt idx="1">
                  <c:v>11</c:v>
                </c:pt>
              </c:numCache>
            </c:numRef>
          </c:xVal>
          <c:yVal>
            <c:numRef>
              <c:f>Tools!$CQ$75:$CR$75</c:f>
              <c:numCache>
                <c:formatCode>General</c:formatCode>
                <c:ptCount val="2"/>
                <c:pt idx="0">
                  <c:v>0</c:v>
                </c:pt>
                <c:pt idx="1">
                  <c:v>0</c:v>
                </c:pt>
              </c:numCache>
            </c:numRef>
          </c:yVal>
          <c:smooth val="1"/>
        </c:ser>
        <c:ser>
          <c:idx val="40"/>
          <c:order val="40"/>
          <c:tx>
            <c:strRef>
              <c:f>Tools!$CP$76</c:f>
              <c:strCache>
                <c:ptCount val="1"/>
                <c:pt idx="0">
                  <c:v> </c:v>
                </c:pt>
              </c:strCache>
            </c:strRef>
          </c:tx>
          <c:spPr>
            <a:ln w="3175">
              <a:solidFill>
                <a:schemeClr val="tx1">
                  <a:lumMod val="50000"/>
                  <a:lumOff val="50000"/>
                </a:schemeClr>
              </a:solidFill>
            </a:ln>
          </c:spPr>
          <c:marker>
            <c:symbol val="none"/>
          </c:marker>
          <c:xVal>
            <c:numRef>
              <c:f>Tools!$CQ$61:$CR$61</c:f>
              <c:numCache>
                <c:formatCode>General</c:formatCode>
                <c:ptCount val="2"/>
                <c:pt idx="0">
                  <c:v>-11</c:v>
                </c:pt>
                <c:pt idx="1">
                  <c:v>11</c:v>
                </c:pt>
              </c:numCache>
            </c:numRef>
          </c:xVal>
          <c:yVal>
            <c:numRef>
              <c:f>Tools!$CQ$76:$CR$76</c:f>
              <c:numCache>
                <c:formatCode>General</c:formatCode>
                <c:ptCount val="2"/>
                <c:pt idx="0">
                  <c:v>0</c:v>
                </c:pt>
                <c:pt idx="1">
                  <c:v>0</c:v>
                </c:pt>
              </c:numCache>
            </c:numRef>
          </c:yVal>
          <c:smooth val="1"/>
        </c:ser>
        <c:ser>
          <c:idx val="41"/>
          <c:order val="41"/>
          <c:tx>
            <c:strRef>
              <c:f>Tools!$CP$77</c:f>
              <c:strCache>
                <c:ptCount val="1"/>
                <c:pt idx="0">
                  <c:v> </c:v>
                </c:pt>
              </c:strCache>
            </c:strRef>
          </c:tx>
          <c:spPr>
            <a:ln w="3175">
              <a:solidFill>
                <a:schemeClr val="tx1">
                  <a:lumMod val="50000"/>
                  <a:lumOff val="50000"/>
                </a:schemeClr>
              </a:solidFill>
            </a:ln>
          </c:spPr>
          <c:marker>
            <c:symbol val="none"/>
          </c:marker>
          <c:xVal>
            <c:numRef>
              <c:f>Tools!$CQ$61:$CR$61</c:f>
              <c:numCache>
                <c:formatCode>General</c:formatCode>
                <c:ptCount val="2"/>
                <c:pt idx="0">
                  <c:v>-11</c:v>
                </c:pt>
                <c:pt idx="1">
                  <c:v>11</c:v>
                </c:pt>
              </c:numCache>
            </c:numRef>
          </c:xVal>
          <c:yVal>
            <c:numRef>
              <c:f>Tools!$CQ$77:$CR$77</c:f>
              <c:numCache>
                <c:formatCode>General</c:formatCode>
                <c:ptCount val="2"/>
                <c:pt idx="0">
                  <c:v>0</c:v>
                </c:pt>
                <c:pt idx="1">
                  <c:v>0</c:v>
                </c:pt>
              </c:numCache>
            </c:numRef>
          </c:yVal>
          <c:smooth val="1"/>
        </c:ser>
        <c:ser>
          <c:idx val="42"/>
          <c:order val="42"/>
          <c:tx>
            <c:strRef>
              <c:f>Tools!$CP$78</c:f>
              <c:strCache>
                <c:ptCount val="1"/>
                <c:pt idx="0">
                  <c:v> </c:v>
                </c:pt>
              </c:strCache>
            </c:strRef>
          </c:tx>
          <c:spPr>
            <a:ln w="3175">
              <a:solidFill>
                <a:schemeClr val="tx1">
                  <a:lumMod val="50000"/>
                  <a:lumOff val="50000"/>
                </a:schemeClr>
              </a:solidFill>
            </a:ln>
          </c:spPr>
          <c:marker>
            <c:symbol val="none"/>
          </c:marker>
          <c:xVal>
            <c:numRef>
              <c:f>Tools!$CQ$61:$CR$61</c:f>
              <c:numCache>
                <c:formatCode>General</c:formatCode>
                <c:ptCount val="2"/>
                <c:pt idx="0">
                  <c:v>-11</c:v>
                </c:pt>
                <c:pt idx="1">
                  <c:v>11</c:v>
                </c:pt>
              </c:numCache>
            </c:numRef>
          </c:xVal>
          <c:yVal>
            <c:numRef>
              <c:f>Tools!$CQ$78:$CR$78</c:f>
              <c:numCache>
                <c:formatCode>General</c:formatCode>
                <c:ptCount val="2"/>
                <c:pt idx="0">
                  <c:v>0</c:v>
                </c:pt>
                <c:pt idx="1">
                  <c:v>0</c:v>
                </c:pt>
              </c:numCache>
            </c:numRef>
          </c:yVal>
          <c:smooth val="1"/>
        </c:ser>
        <c:ser>
          <c:idx val="43"/>
          <c:order val="43"/>
          <c:tx>
            <c:strRef>
              <c:f>Tools!$CP$79</c:f>
              <c:strCache>
                <c:ptCount val="1"/>
                <c:pt idx="0">
                  <c:v> </c:v>
                </c:pt>
              </c:strCache>
            </c:strRef>
          </c:tx>
          <c:spPr>
            <a:ln w="3175">
              <a:solidFill>
                <a:schemeClr val="tx1">
                  <a:lumMod val="50000"/>
                  <a:lumOff val="50000"/>
                </a:schemeClr>
              </a:solidFill>
            </a:ln>
          </c:spPr>
          <c:marker>
            <c:symbol val="none"/>
          </c:marker>
          <c:xVal>
            <c:numRef>
              <c:f>Tools!$CQ$61:$CR$61</c:f>
              <c:numCache>
                <c:formatCode>General</c:formatCode>
                <c:ptCount val="2"/>
                <c:pt idx="0">
                  <c:v>-11</c:v>
                </c:pt>
                <c:pt idx="1">
                  <c:v>11</c:v>
                </c:pt>
              </c:numCache>
            </c:numRef>
          </c:xVal>
          <c:yVal>
            <c:numRef>
              <c:f>Tools!$CQ$79:$CR$79</c:f>
              <c:numCache>
                <c:formatCode>General</c:formatCode>
                <c:ptCount val="2"/>
                <c:pt idx="0">
                  <c:v>0</c:v>
                </c:pt>
                <c:pt idx="1">
                  <c:v>0</c:v>
                </c:pt>
              </c:numCache>
            </c:numRef>
          </c:yVal>
          <c:smooth val="1"/>
        </c:ser>
        <c:ser>
          <c:idx val="44"/>
          <c:order val="44"/>
          <c:tx>
            <c:strRef>
              <c:f>Tools!$CP$80</c:f>
              <c:strCache>
                <c:ptCount val="1"/>
                <c:pt idx="0">
                  <c:v> </c:v>
                </c:pt>
              </c:strCache>
            </c:strRef>
          </c:tx>
          <c:spPr>
            <a:ln w="3175">
              <a:solidFill>
                <a:schemeClr val="tx1">
                  <a:lumMod val="50000"/>
                  <a:lumOff val="50000"/>
                </a:schemeClr>
              </a:solidFill>
            </a:ln>
          </c:spPr>
          <c:marker>
            <c:symbol val="none"/>
          </c:marker>
          <c:xVal>
            <c:numRef>
              <c:f>Tools!$CQ$61:$CR$61</c:f>
              <c:numCache>
                <c:formatCode>General</c:formatCode>
                <c:ptCount val="2"/>
                <c:pt idx="0">
                  <c:v>-11</c:v>
                </c:pt>
                <c:pt idx="1">
                  <c:v>11</c:v>
                </c:pt>
              </c:numCache>
            </c:numRef>
          </c:xVal>
          <c:yVal>
            <c:numRef>
              <c:f>Tools!$CQ$80:$CR$80</c:f>
              <c:numCache>
                <c:formatCode>General</c:formatCode>
                <c:ptCount val="2"/>
                <c:pt idx="0">
                  <c:v>0</c:v>
                </c:pt>
                <c:pt idx="1">
                  <c:v>0</c:v>
                </c:pt>
              </c:numCache>
            </c:numRef>
          </c:yVal>
          <c:smooth val="1"/>
        </c:ser>
        <c:ser>
          <c:idx val="45"/>
          <c:order val="45"/>
          <c:tx>
            <c:strRef>
              <c:f>Tools!$CP$81</c:f>
              <c:strCache>
                <c:ptCount val="1"/>
                <c:pt idx="0">
                  <c:v> </c:v>
                </c:pt>
              </c:strCache>
            </c:strRef>
          </c:tx>
          <c:spPr>
            <a:ln w="3175">
              <a:solidFill>
                <a:schemeClr val="tx1">
                  <a:lumMod val="50000"/>
                  <a:lumOff val="50000"/>
                </a:schemeClr>
              </a:solidFill>
            </a:ln>
          </c:spPr>
          <c:marker>
            <c:symbol val="none"/>
          </c:marker>
          <c:xVal>
            <c:numRef>
              <c:f>Tools!$CQ$61:$CR$61</c:f>
              <c:numCache>
                <c:formatCode>General</c:formatCode>
                <c:ptCount val="2"/>
                <c:pt idx="0">
                  <c:v>-11</c:v>
                </c:pt>
                <c:pt idx="1">
                  <c:v>11</c:v>
                </c:pt>
              </c:numCache>
            </c:numRef>
          </c:xVal>
          <c:yVal>
            <c:numRef>
              <c:f>Tools!$CQ$81:$CR$81</c:f>
              <c:numCache>
                <c:formatCode>General</c:formatCode>
                <c:ptCount val="2"/>
                <c:pt idx="0">
                  <c:v>0</c:v>
                </c:pt>
                <c:pt idx="1">
                  <c:v>0</c:v>
                </c:pt>
              </c:numCache>
            </c:numRef>
          </c:yVal>
          <c:smooth val="1"/>
        </c:ser>
        <c:ser>
          <c:idx val="46"/>
          <c:order val="46"/>
          <c:tx>
            <c:strRef>
              <c:f>Tools!$CP$82</c:f>
              <c:strCache>
                <c:ptCount val="1"/>
                <c:pt idx="0">
                  <c:v> </c:v>
                </c:pt>
              </c:strCache>
            </c:strRef>
          </c:tx>
          <c:spPr>
            <a:ln w="3175">
              <a:solidFill>
                <a:schemeClr val="tx1">
                  <a:lumMod val="50000"/>
                  <a:lumOff val="50000"/>
                </a:schemeClr>
              </a:solidFill>
            </a:ln>
          </c:spPr>
          <c:marker>
            <c:symbol val="none"/>
          </c:marker>
          <c:xVal>
            <c:numRef>
              <c:f>Tools!$CQ$61:$CR$61</c:f>
              <c:numCache>
                <c:formatCode>General</c:formatCode>
                <c:ptCount val="2"/>
                <c:pt idx="0">
                  <c:v>-11</c:v>
                </c:pt>
                <c:pt idx="1">
                  <c:v>11</c:v>
                </c:pt>
              </c:numCache>
            </c:numRef>
          </c:xVal>
          <c:yVal>
            <c:numRef>
              <c:f>Tools!$CQ$82:$CR$82</c:f>
              <c:numCache>
                <c:formatCode>General</c:formatCode>
                <c:ptCount val="2"/>
                <c:pt idx="0">
                  <c:v>0</c:v>
                </c:pt>
                <c:pt idx="1">
                  <c:v>0</c:v>
                </c:pt>
              </c:numCache>
            </c:numRef>
          </c:yVal>
          <c:smooth val="1"/>
        </c:ser>
        <c:ser>
          <c:idx val="47"/>
          <c:order val="47"/>
          <c:tx>
            <c:strRef>
              <c:f>Tools!$CP$83</c:f>
              <c:strCache>
                <c:ptCount val="1"/>
                <c:pt idx="0">
                  <c:v> </c:v>
                </c:pt>
              </c:strCache>
            </c:strRef>
          </c:tx>
          <c:spPr>
            <a:ln w="3175">
              <a:solidFill>
                <a:schemeClr val="tx1">
                  <a:lumMod val="50000"/>
                  <a:lumOff val="50000"/>
                </a:schemeClr>
              </a:solidFill>
            </a:ln>
          </c:spPr>
          <c:marker>
            <c:symbol val="none"/>
          </c:marker>
          <c:xVal>
            <c:numRef>
              <c:f>Tools!$CQ$61:$CR$61</c:f>
              <c:numCache>
                <c:formatCode>General</c:formatCode>
                <c:ptCount val="2"/>
                <c:pt idx="0">
                  <c:v>-11</c:v>
                </c:pt>
                <c:pt idx="1">
                  <c:v>11</c:v>
                </c:pt>
              </c:numCache>
            </c:numRef>
          </c:xVal>
          <c:yVal>
            <c:numRef>
              <c:f>Tools!$CQ$83:$CR$83</c:f>
              <c:numCache>
                <c:formatCode>General</c:formatCode>
                <c:ptCount val="2"/>
                <c:pt idx="0">
                  <c:v>0</c:v>
                </c:pt>
                <c:pt idx="1">
                  <c:v>0</c:v>
                </c:pt>
              </c:numCache>
            </c:numRef>
          </c:yVal>
          <c:smooth val="1"/>
        </c:ser>
        <c:ser>
          <c:idx val="48"/>
          <c:order val="48"/>
          <c:tx>
            <c:strRef>
              <c:f>Tools!$CP$84</c:f>
              <c:strCache>
                <c:ptCount val="1"/>
                <c:pt idx="0">
                  <c:v> </c:v>
                </c:pt>
              </c:strCache>
            </c:strRef>
          </c:tx>
          <c:spPr>
            <a:ln w="3175">
              <a:solidFill>
                <a:schemeClr val="tx1">
                  <a:lumMod val="50000"/>
                  <a:lumOff val="50000"/>
                </a:schemeClr>
              </a:solidFill>
            </a:ln>
          </c:spPr>
          <c:marker>
            <c:symbol val="none"/>
          </c:marker>
          <c:xVal>
            <c:numRef>
              <c:f>Tools!$CQ$61:$CR$61</c:f>
              <c:numCache>
                <c:formatCode>General</c:formatCode>
                <c:ptCount val="2"/>
                <c:pt idx="0">
                  <c:v>-11</c:v>
                </c:pt>
                <c:pt idx="1">
                  <c:v>11</c:v>
                </c:pt>
              </c:numCache>
            </c:numRef>
          </c:xVal>
          <c:yVal>
            <c:numRef>
              <c:f>Tools!$CQ$84:$CR$84</c:f>
              <c:numCache>
                <c:formatCode>General</c:formatCode>
                <c:ptCount val="2"/>
                <c:pt idx="0">
                  <c:v>0</c:v>
                </c:pt>
                <c:pt idx="1">
                  <c:v>0</c:v>
                </c:pt>
              </c:numCache>
            </c:numRef>
          </c:yVal>
          <c:smooth val="1"/>
        </c:ser>
        <c:ser>
          <c:idx val="49"/>
          <c:order val="49"/>
          <c:tx>
            <c:strRef>
              <c:f>Tools!$CP$85</c:f>
              <c:strCache>
                <c:ptCount val="1"/>
                <c:pt idx="0">
                  <c:v> </c:v>
                </c:pt>
              </c:strCache>
            </c:strRef>
          </c:tx>
          <c:spPr>
            <a:ln w="3175">
              <a:solidFill>
                <a:schemeClr val="tx1">
                  <a:lumMod val="50000"/>
                  <a:lumOff val="50000"/>
                </a:schemeClr>
              </a:solidFill>
            </a:ln>
          </c:spPr>
          <c:marker>
            <c:symbol val="none"/>
          </c:marker>
          <c:xVal>
            <c:numRef>
              <c:f>Tools!$CQ$61:$CR$61</c:f>
              <c:numCache>
                <c:formatCode>General</c:formatCode>
                <c:ptCount val="2"/>
                <c:pt idx="0">
                  <c:v>-11</c:v>
                </c:pt>
                <c:pt idx="1">
                  <c:v>11</c:v>
                </c:pt>
              </c:numCache>
            </c:numRef>
          </c:xVal>
          <c:yVal>
            <c:numRef>
              <c:f>Tools!$CQ$85:$CR$85</c:f>
              <c:numCache>
                <c:formatCode>General</c:formatCode>
                <c:ptCount val="2"/>
                <c:pt idx="0">
                  <c:v>0</c:v>
                </c:pt>
                <c:pt idx="1">
                  <c:v>0</c:v>
                </c:pt>
              </c:numCache>
            </c:numRef>
          </c:yVal>
          <c:smooth val="1"/>
        </c:ser>
        <c:ser>
          <c:idx val="50"/>
          <c:order val="50"/>
          <c:tx>
            <c:strRef>
              <c:f>Tools!$CP$86</c:f>
              <c:strCache>
                <c:ptCount val="1"/>
                <c:pt idx="0">
                  <c:v> </c:v>
                </c:pt>
              </c:strCache>
            </c:strRef>
          </c:tx>
          <c:spPr>
            <a:ln w="3175">
              <a:solidFill>
                <a:schemeClr val="tx1">
                  <a:lumMod val="50000"/>
                  <a:lumOff val="50000"/>
                </a:schemeClr>
              </a:solidFill>
            </a:ln>
          </c:spPr>
          <c:marker>
            <c:symbol val="none"/>
          </c:marker>
          <c:xVal>
            <c:numRef>
              <c:f>Tools!$CQ$61:$CR$61</c:f>
              <c:numCache>
                <c:formatCode>General</c:formatCode>
                <c:ptCount val="2"/>
                <c:pt idx="0">
                  <c:v>-11</c:v>
                </c:pt>
                <c:pt idx="1">
                  <c:v>11</c:v>
                </c:pt>
              </c:numCache>
            </c:numRef>
          </c:xVal>
          <c:yVal>
            <c:numRef>
              <c:f>Tools!$CQ$86:$CR$86</c:f>
              <c:numCache>
                <c:formatCode>General</c:formatCode>
                <c:ptCount val="2"/>
                <c:pt idx="0">
                  <c:v>0</c:v>
                </c:pt>
                <c:pt idx="1">
                  <c:v>0</c:v>
                </c:pt>
              </c:numCache>
            </c:numRef>
          </c:yVal>
          <c:smooth val="1"/>
        </c:ser>
        <c:ser>
          <c:idx val="51"/>
          <c:order val="51"/>
          <c:tx>
            <c:strRef>
              <c:f>Tools!$CV$62</c:f>
              <c:strCache>
                <c:ptCount val="1"/>
                <c:pt idx="0">
                  <c:v>BTK 1</c:v>
                </c:pt>
              </c:strCache>
            </c:strRef>
          </c:tx>
          <c:spPr>
            <a:ln w="3175">
              <a:solidFill>
                <a:schemeClr val="bg1">
                  <a:lumMod val="75000"/>
                </a:schemeClr>
              </a:solidFill>
            </a:ln>
          </c:spPr>
          <c:marker>
            <c:symbol val="none"/>
          </c:marker>
          <c:xVal>
            <c:numRef>
              <c:f>Tools!$CW$62:$CX$62</c:f>
              <c:numCache>
                <c:formatCode>General</c:formatCode>
                <c:ptCount val="2"/>
                <c:pt idx="0">
                  <c:v>-3.6666666666666665</c:v>
                </c:pt>
                <c:pt idx="1">
                  <c:v>-3.6666666666666665</c:v>
                </c:pt>
              </c:numCache>
            </c:numRef>
          </c:xVal>
          <c:yVal>
            <c:numRef>
              <c:f>Tools!$CW$61:$CX$61</c:f>
              <c:numCache>
                <c:formatCode>General</c:formatCode>
                <c:ptCount val="2"/>
                <c:pt idx="0">
                  <c:v>0</c:v>
                </c:pt>
                <c:pt idx="1">
                  <c:v>13</c:v>
                </c:pt>
              </c:numCache>
            </c:numRef>
          </c:yVal>
          <c:smooth val="1"/>
        </c:ser>
        <c:ser>
          <c:idx val="52"/>
          <c:order val="52"/>
          <c:tx>
            <c:strRef>
              <c:f>Tools!$CV$63</c:f>
              <c:strCache>
                <c:ptCount val="1"/>
                <c:pt idx="0">
                  <c:v>BTK 2</c:v>
                </c:pt>
              </c:strCache>
            </c:strRef>
          </c:tx>
          <c:spPr>
            <a:ln w="3175">
              <a:solidFill>
                <a:schemeClr val="bg1">
                  <a:lumMod val="75000"/>
                </a:schemeClr>
              </a:solidFill>
            </a:ln>
          </c:spPr>
          <c:marker>
            <c:symbol val="none"/>
          </c:marker>
          <c:xVal>
            <c:numRef>
              <c:f>Tools!$CW$63:$CX$63</c:f>
              <c:numCache>
                <c:formatCode>General</c:formatCode>
                <c:ptCount val="2"/>
                <c:pt idx="0">
                  <c:v>-7.333333333333333</c:v>
                </c:pt>
                <c:pt idx="1">
                  <c:v>-7.333333333333333</c:v>
                </c:pt>
              </c:numCache>
            </c:numRef>
          </c:xVal>
          <c:yVal>
            <c:numRef>
              <c:f>Tools!$CW$61:$CX$61</c:f>
              <c:numCache>
                <c:formatCode>General</c:formatCode>
                <c:ptCount val="2"/>
                <c:pt idx="0">
                  <c:v>0</c:v>
                </c:pt>
                <c:pt idx="1">
                  <c:v>13</c:v>
                </c:pt>
              </c:numCache>
            </c:numRef>
          </c:yVal>
          <c:smooth val="1"/>
        </c:ser>
        <c:ser>
          <c:idx val="53"/>
          <c:order val="53"/>
          <c:tx>
            <c:strRef>
              <c:f>Tools!$CV$64</c:f>
              <c:strCache>
                <c:ptCount val="1"/>
                <c:pt idx="0">
                  <c:v>SIDE</c:v>
                </c:pt>
              </c:strCache>
            </c:strRef>
          </c:tx>
          <c:spPr>
            <a:ln w="3175">
              <a:solidFill>
                <a:schemeClr val="bg1">
                  <a:lumMod val="75000"/>
                </a:schemeClr>
              </a:solidFill>
            </a:ln>
          </c:spPr>
          <c:marker>
            <c:symbol val="none"/>
          </c:marker>
          <c:xVal>
            <c:numRef>
              <c:f>Tools!$CW$64:$CX$64</c:f>
              <c:numCache>
                <c:formatCode>General</c:formatCode>
                <c:ptCount val="2"/>
                <c:pt idx="0">
                  <c:v>-11</c:v>
                </c:pt>
                <c:pt idx="1">
                  <c:v>-11</c:v>
                </c:pt>
              </c:numCache>
            </c:numRef>
          </c:xVal>
          <c:yVal>
            <c:numRef>
              <c:f>Tools!$CW$61:$CX$61</c:f>
              <c:numCache>
                <c:formatCode>General</c:formatCode>
                <c:ptCount val="2"/>
                <c:pt idx="0">
                  <c:v>0</c:v>
                </c:pt>
                <c:pt idx="1">
                  <c:v>13</c:v>
                </c:pt>
              </c:numCache>
            </c:numRef>
          </c:yVal>
          <c:smooth val="1"/>
        </c:ser>
        <c:ser>
          <c:idx val="54"/>
          <c:order val="54"/>
          <c:tx>
            <c:strRef>
              <c:f>Tools!$CV$65</c:f>
              <c:strCache>
                <c:ptCount val="1"/>
                <c:pt idx="0">
                  <c:v> </c:v>
                </c:pt>
              </c:strCache>
            </c:strRef>
          </c:tx>
          <c:spPr>
            <a:ln w="3175">
              <a:solidFill>
                <a:schemeClr val="bg1">
                  <a:lumMod val="75000"/>
                </a:schemeClr>
              </a:solidFill>
            </a:ln>
          </c:spPr>
          <c:marker>
            <c:symbol val="none"/>
          </c:marker>
          <c:xVal>
            <c:numRef>
              <c:f>Tools!$CW$65:$CX$65</c:f>
              <c:numCache>
                <c:formatCode>General</c:formatCode>
                <c:ptCount val="2"/>
                <c:pt idx="0">
                  <c:v>0</c:v>
                </c:pt>
                <c:pt idx="1">
                  <c:v>0</c:v>
                </c:pt>
              </c:numCache>
            </c:numRef>
          </c:xVal>
          <c:yVal>
            <c:numRef>
              <c:f>Tools!$CW$61:$CX$61</c:f>
              <c:numCache>
                <c:formatCode>General</c:formatCode>
                <c:ptCount val="2"/>
                <c:pt idx="0">
                  <c:v>0</c:v>
                </c:pt>
                <c:pt idx="1">
                  <c:v>13</c:v>
                </c:pt>
              </c:numCache>
            </c:numRef>
          </c:yVal>
          <c:smooth val="1"/>
        </c:ser>
        <c:ser>
          <c:idx val="55"/>
          <c:order val="55"/>
          <c:tx>
            <c:strRef>
              <c:f>Tools!$CV$66</c:f>
              <c:strCache>
                <c:ptCount val="1"/>
                <c:pt idx="0">
                  <c:v> </c:v>
                </c:pt>
              </c:strCache>
            </c:strRef>
          </c:tx>
          <c:spPr>
            <a:ln w="3175">
              <a:solidFill>
                <a:schemeClr val="bg1">
                  <a:lumMod val="75000"/>
                </a:schemeClr>
              </a:solidFill>
            </a:ln>
          </c:spPr>
          <c:marker>
            <c:symbol val="none"/>
          </c:marker>
          <c:xVal>
            <c:numRef>
              <c:f>Tools!$CW$66:$CX$66</c:f>
              <c:numCache>
                <c:formatCode>General</c:formatCode>
                <c:ptCount val="2"/>
                <c:pt idx="0">
                  <c:v>0</c:v>
                </c:pt>
                <c:pt idx="1">
                  <c:v>0</c:v>
                </c:pt>
              </c:numCache>
            </c:numRef>
          </c:xVal>
          <c:yVal>
            <c:numRef>
              <c:f>Tools!$CW$61:$CX$61</c:f>
              <c:numCache>
                <c:formatCode>General</c:formatCode>
                <c:ptCount val="2"/>
                <c:pt idx="0">
                  <c:v>0</c:v>
                </c:pt>
                <c:pt idx="1">
                  <c:v>13</c:v>
                </c:pt>
              </c:numCache>
            </c:numRef>
          </c:yVal>
          <c:smooth val="1"/>
        </c:ser>
        <c:ser>
          <c:idx val="56"/>
          <c:order val="56"/>
          <c:tx>
            <c:strRef>
              <c:f>Tools!$CV$67</c:f>
              <c:strCache>
                <c:ptCount val="1"/>
                <c:pt idx="0">
                  <c:v> </c:v>
                </c:pt>
              </c:strCache>
            </c:strRef>
          </c:tx>
          <c:spPr>
            <a:ln w="3175">
              <a:solidFill>
                <a:schemeClr val="bg1">
                  <a:lumMod val="75000"/>
                </a:schemeClr>
              </a:solidFill>
            </a:ln>
          </c:spPr>
          <c:marker>
            <c:symbol val="none"/>
          </c:marker>
          <c:xVal>
            <c:numRef>
              <c:f>Tools!$CW$67:$CX$67</c:f>
              <c:numCache>
                <c:formatCode>General</c:formatCode>
                <c:ptCount val="2"/>
                <c:pt idx="0">
                  <c:v>0</c:v>
                </c:pt>
                <c:pt idx="1">
                  <c:v>0</c:v>
                </c:pt>
              </c:numCache>
            </c:numRef>
          </c:xVal>
          <c:yVal>
            <c:numRef>
              <c:f>Tools!$CW$61:$CX$61</c:f>
              <c:numCache>
                <c:formatCode>General</c:formatCode>
                <c:ptCount val="2"/>
                <c:pt idx="0">
                  <c:v>0</c:v>
                </c:pt>
                <c:pt idx="1">
                  <c:v>13</c:v>
                </c:pt>
              </c:numCache>
            </c:numRef>
          </c:yVal>
          <c:smooth val="1"/>
        </c:ser>
        <c:ser>
          <c:idx val="57"/>
          <c:order val="57"/>
          <c:tx>
            <c:strRef>
              <c:f>Tools!$CV$68</c:f>
              <c:strCache>
                <c:ptCount val="1"/>
                <c:pt idx="0">
                  <c:v> </c:v>
                </c:pt>
              </c:strCache>
            </c:strRef>
          </c:tx>
          <c:spPr>
            <a:ln w="3175">
              <a:solidFill>
                <a:schemeClr val="bg1">
                  <a:lumMod val="75000"/>
                </a:schemeClr>
              </a:solidFill>
            </a:ln>
          </c:spPr>
          <c:marker>
            <c:symbol val="none"/>
          </c:marker>
          <c:xVal>
            <c:numRef>
              <c:f>Tools!$CW$68:$CX$68</c:f>
              <c:numCache>
                <c:formatCode>General</c:formatCode>
                <c:ptCount val="2"/>
                <c:pt idx="0">
                  <c:v>0</c:v>
                </c:pt>
                <c:pt idx="1">
                  <c:v>0</c:v>
                </c:pt>
              </c:numCache>
            </c:numRef>
          </c:xVal>
          <c:yVal>
            <c:numRef>
              <c:f>Tools!$CW$61:$CX$61</c:f>
              <c:numCache>
                <c:formatCode>General</c:formatCode>
                <c:ptCount val="2"/>
                <c:pt idx="0">
                  <c:v>0</c:v>
                </c:pt>
                <c:pt idx="1">
                  <c:v>13</c:v>
                </c:pt>
              </c:numCache>
            </c:numRef>
          </c:yVal>
          <c:smooth val="1"/>
        </c:ser>
        <c:ser>
          <c:idx val="58"/>
          <c:order val="58"/>
          <c:tx>
            <c:strRef>
              <c:f>Tools!$CV$69</c:f>
              <c:strCache>
                <c:ptCount val="1"/>
                <c:pt idx="0">
                  <c:v> </c:v>
                </c:pt>
              </c:strCache>
            </c:strRef>
          </c:tx>
          <c:spPr>
            <a:ln w="3175">
              <a:solidFill>
                <a:schemeClr val="bg1">
                  <a:lumMod val="75000"/>
                </a:schemeClr>
              </a:solidFill>
            </a:ln>
          </c:spPr>
          <c:marker>
            <c:symbol val="none"/>
          </c:marker>
          <c:xVal>
            <c:numRef>
              <c:f>Tools!$CW$69:$CX$69</c:f>
              <c:numCache>
                <c:formatCode>General</c:formatCode>
                <c:ptCount val="2"/>
                <c:pt idx="0">
                  <c:v>0</c:v>
                </c:pt>
                <c:pt idx="1">
                  <c:v>0</c:v>
                </c:pt>
              </c:numCache>
            </c:numRef>
          </c:xVal>
          <c:yVal>
            <c:numRef>
              <c:f>Tools!$CW$61:$CX$61</c:f>
              <c:numCache>
                <c:formatCode>General</c:formatCode>
                <c:ptCount val="2"/>
                <c:pt idx="0">
                  <c:v>0</c:v>
                </c:pt>
                <c:pt idx="1">
                  <c:v>13</c:v>
                </c:pt>
              </c:numCache>
            </c:numRef>
          </c:yVal>
          <c:smooth val="1"/>
        </c:ser>
        <c:ser>
          <c:idx val="59"/>
          <c:order val="59"/>
          <c:tx>
            <c:strRef>
              <c:f>Tools!$CV$70</c:f>
              <c:strCache>
                <c:ptCount val="1"/>
                <c:pt idx="0">
                  <c:v> </c:v>
                </c:pt>
              </c:strCache>
            </c:strRef>
          </c:tx>
          <c:spPr>
            <a:ln w="3175">
              <a:solidFill>
                <a:schemeClr val="bg1">
                  <a:lumMod val="75000"/>
                </a:schemeClr>
              </a:solidFill>
            </a:ln>
          </c:spPr>
          <c:marker>
            <c:symbol val="none"/>
          </c:marker>
          <c:xVal>
            <c:numRef>
              <c:f>Tools!$CW$70:$CX$70</c:f>
              <c:numCache>
                <c:formatCode>General</c:formatCode>
                <c:ptCount val="2"/>
                <c:pt idx="0">
                  <c:v>0</c:v>
                </c:pt>
                <c:pt idx="1">
                  <c:v>0</c:v>
                </c:pt>
              </c:numCache>
            </c:numRef>
          </c:xVal>
          <c:yVal>
            <c:numRef>
              <c:f>Tools!$CW$61:$CX$61</c:f>
              <c:numCache>
                <c:formatCode>General</c:formatCode>
                <c:ptCount val="2"/>
                <c:pt idx="0">
                  <c:v>0</c:v>
                </c:pt>
                <c:pt idx="1">
                  <c:v>13</c:v>
                </c:pt>
              </c:numCache>
            </c:numRef>
          </c:yVal>
          <c:smooth val="1"/>
        </c:ser>
        <c:ser>
          <c:idx val="60"/>
          <c:order val="60"/>
          <c:tx>
            <c:strRef>
              <c:f>Tools!$CV$71</c:f>
              <c:strCache>
                <c:ptCount val="1"/>
                <c:pt idx="0">
                  <c:v> </c:v>
                </c:pt>
              </c:strCache>
            </c:strRef>
          </c:tx>
          <c:spPr>
            <a:ln w="3175">
              <a:solidFill>
                <a:schemeClr val="bg1">
                  <a:lumMod val="75000"/>
                </a:schemeClr>
              </a:solidFill>
            </a:ln>
          </c:spPr>
          <c:marker>
            <c:symbol val="none"/>
          </c:marker>
          <c:xVal>
            <c:numRef>
              <c:f>Tools!$CW$71:$CX$71</c:f>
              <c:numCache>
                <c:formatCode>General</c:formatCode>
                <c:ptCount val="2"/>
                <c:pt idx="0">
                  <c:v>0</c:v>
                </c:pt>
                <c:pt idx="1">
                  <c:v>0</c:v>
                </c:pt>
              </c:numCache>
            </c:numRef>
          </c:xVal>
          <c:yVal>
            <c:numRef>
              <c:f>Tools!$CW$61:$CX$61</c:f>
              <c:numCache>
                <c:formatCode>General</c:formatCode>
                <c:ptCount val="2"/>
                <c:pt idx="0">
                  <c:v>0</c:v>
                </c:pt>
                <c:pt idx="1">
                  <c:v>13</c:v>
                </c:pt>
              </c:numCache>
            </c:numRef>
          </c:yVal>
          <c:smooth val="1"/>
        </c:ser>
        <c:ser>
          <c:idx val="61"/>
          <c:order val="61"/>
          <c:tx>
            <c:strRef>
              <c:f>Tools!$CV$72</c:f>
              <c:strCache>
                <c:ptCount val="1"/>
                <c:pt idx="0">
                  <c:v>CL</c:v>
                </c:pt>
              </c:strCache>
            </c:strRef>
          </c:tx>
          <c:spPr>
            <a:ln w="3175">
              <a:solidFill>
                <a:schemeClr val="bg1">
                  <a:lumMod val="75000"/>
                </a:schemeClr>
              </a:solidFill>
            </a:ln>
          </c:spPr>
          <c:marker>
            <c:symbol val="none"/>
          </c:marker>
          <c:xVal>
            <c:numRef>
              <c:f>Tools!$CW$72:$CX$72</c:f>
              <c:numCache>
                <c:formatCode>General</c:formatCode>
                <c:ptCount val="2"/>
                <c:pt idx="0">
                  <c:v>0</c:v>
                </c:pt>
                <c:pt idx="1">
                  <c:v>0</c:v>
                </c:pt>
              </c:numCache>
            </c:numRef>
          </c:xVal>
          <c:yVal>
            <c:numRef>
              <c:f>Tools!$CW$61:$CX$61</c:f>
              <c:numCache>
                <c:formatCode>General</c:formatCode>
                <c:ptCount val="2"/>
                <c:pt idx="0">
                  <c:v>0</c:v>
                </c:pt>
                <c:pt idx="1">
                  <c:v>13</c:v>
                </c:pt>
              </c:numCache>
            </c:numRef>
          </c:yVal>
          <c:smooth val="1"/>
        </c:ser>
        <c:ser>
          <c:idx val="62"/>
          <c:order val="62"/>
          <c:tx>
            <c:strRef>
              <c:f>Tools!$CV$62</c:f>
              <c:strCache>
                <c:ptCount val="1"/>
                <c:pt idx="0">
                  <c:v>BTK 1</c:v>
                </c:pt>
              </c:strCache>
            </c:strRef>
          </c:tx>
          <c:spPr>
            <a:ln w="3175">
              <a:solidFill>
                <a:schemeClr val="bg1">
                  <a:lumMod val="75000"/>
                </a:schemeClr>
              </a:solidFill>
            </a:ln>
          </c:spPr>
          <c:marker>
            <c:symbol val="none"/>
          </c:marker>
          <c:xVal>
            <c:numRef>
              <c:f>Tools!$CY$62:$CZ$62</c:f>
              <c:numCache>
                <c:formatCode>General</c:formatCode>
                <c:ptCount val="2"/>
                <c:pt idx="0">
                  <c:v>3.6666666666666665</c:v>
                </c:pt>
                <c:pt idx="1">
                  <c:v>3.6666666666666665</c:v>
                </c:pt>
              </c:numCache>
            </c:numRef>
          </c:xVal>
          <c:yVal>
            <c:numRef>
              <c:f>Tools!$CW$61:$CX$61</c:f>
              <c:numCache>
                <c:formatCode>General</c:formatCode>
                <c:ptCount val="2"/>
                <c:pt idx="0">
                  <c:v>0</c:v>
                </c:pt>
                <c:pt idx="1">
                  <c:v>13</c:v>
                </c:pt>
              </c:numCache>
            </c:numRef>
          </c:yVal>
          <c:smooth val="1"/>
        </c:ser>
        <c:ser>
          <c:idx val="63"/>
          <c:order val="63"/>
          <c:tx>
            <c:strRef>
              <c:f>Tools!$CV$63</c:f>
              <c:strCache>
                <c:ptCount val="1"/>
                <c:pt idx="0">
                  <c:v>BTK 2</c:v>
                </c:pt>
              </c:strCache>
            </c:strRef>
          </c:tx>
          <c:spPr>
            <a:ln w="3175">
              <a:solidFill>
                <a:schemeClr val="bg1">
                  <a:lumMod val="75000"/>
                </a:schemeClr>
              </a:solidFill>
            </a:ln>
          </c:spPr>
          <c:marker>
            <c:symbol val="none"/>
          </c:marker>
          <c:xVal>
            <c:numRef>
              <c:f>Tools!$CY$63:$CZ$63</c:f>
              <c:numCache>
                <c:formatCode>General</c:formatCode>
                <c:ptCount val="2"/>
                <c:pt idx="0">
                  <c:v>7.333333333333333</c:v>
                </c:pt>
                <c:pt idx="1">
                  <c:v>7.333333333333333</c:v>
                </c:pt>
              </c:numCache>
            </c:numRef>
          </c:xVal>
          <c:yVal>
            <c:numRef>
              <c:f>Tools!$CW$61:$CX$61</c:f>
              <c:numCache>
                <c:formatCode>General</c:formatCode>
                <c:ptCount val="2"/>
                <c:pt idx="0">
                  <c:v>0</c:v>
                </c:pt>
                <c:pt idx="1">
                  <c:v>13</c:v>
                </c:pt>
              </c:numCache>
            </c:numRef>
          </c:yVal>
          <c:smooth val="1"/>
        </c:ser>
        <c:ser>
          <c:idx val="64"/>
          <c:order val="64"/>
          <c:tx>
            <c:strRef>
              <c:f>Tools!$CV$64</c:f>
              <c:strCache>
                <c:ptCount val="1"/>
                <c:pt idx="0">
                  <c:v>SIDE</c:v>
                </c:pt>
              </c:strCache>
            </c:strRef>
          </c:tx>
          <c:spPr>
            <a:ln w="3175">
              <a:solidFill>
                <a:schemeClr val="bg1">
                  <a:lumMod val="75000"/>
                </a:schemeClr>
              </a:solidFill>
            </a:ln>
          </c:spPr>
          <c:marker>
            <c:symbol val="none"/>
          </c:marker>
          <c:xVal>
            <c:numRef>
              <c:f>Tools!$CY$64:$CZ$64</c:f>
              <c:numCache>
                <c:formatCode>General</c:formatCode>
                <c:ptCount val="2"/>
                <c:pt idx="0">
                  <c:v>11</c:v>
                </c:pt>
                <c:pt idx="1">
                  <c:v>11</c:v>
                </c:pt>
              </c:numCache>
            </c:numRef>
          </c:xVal>
          <c:yVal>
            <c:numRef>
              <c:f>Tools!$CW$61:$CX$61</c:f>
              <c:numCache>
                <c:formatCode>General</c:formatCode>
                <c:ptCount val="2"/>
                <c:pt idx="0">
                  <c:v>0</c:v>
                </c:pt>
                <c:pt idx="1">
                  <c:v>13</c:v>
                </c:pt>
              </c:numCache>
            </c:numRef>
          </c:yVal>
          <c:smooth val="1"/>
        </c:ser>
        <c:ser>
          <c:idx val="65"/>
          <c:order val="65"/>
          <c:tx>
            <c:strRef>
              <c:f>Tools!$CV$65</c:f>
              <c:strCache>
                <c:ptCount val="1"/>
                <c:pt idx="0">
                  <c:v> </c:v>
                </c:pt>
              </c:strCache>
            </c:strRef>
          </c:tx>
          <c:spPr>
            <a:ln w="3175">
              <a:solidFill>
                <a:schemeClr val="bg1">
                  <a:lumMod val="75000"/>
                </a:schemeClr>
              </a:solidFill>
            </a:ln>
          </c:spPr>
          <c:marker>
            <c:symbol val="none"/>
          </c:marker>
          <c:xVal>
            <c:numRef>
              <c:f>Tools!$CY$65:$CZ$65</c:f>
              <c:numCache>
                <c:formatCode>General</c:formatCode>
                <c:ptCount val="2"/>
                <c:pt idx="0">
                  <c:v>0</c:v>
                </c:pt>
                <c:pt idx="1">
                  <c:v>0</c:v>
                </c:pt>
              </c:numCache>
            </c:numRef>
          </c:xVal>
          <c:yVal>
            <c:numRef>
              <c:f>Tools!$CW$61:$CX$61</c:f>
              <c:numCache>
                <c:formatCode>General</c:formatCode>
                <c:ptCount val="2"/>
                <c:pt idx="0">
                  <c:v>0</c:v>
                </c:pt>
                <c:pt idx="1">
                  <c:v>13</c:v>
                </c:pt>
              </c:numCache>
            </c:numRef>
          </c:yVal>
          <c:smooth val="1"/>
        </c:ser>
        <c:ser>
          <c:idx val="66"/>
          <c:order val="66"/>
          <c:tx>
            <c:strRef>
              <c:f>Tools!$CV$66</c:f>
              <c:strCache>
                <c:ptCount val="1"/>
                <c:pt idx="0">
                  <c:v> </c:v>
                </c:pt>
              </c:strCache>
            </c:strRef>
          </c:tx>
          <c:spPr>
            <a:ln w="3175">
              <a:solidFill>
                <a:schemeClr val="bg1">
                  <a:lumMod val="75000"/>
                </a:schemeClr>
              </a:solidFill>
            </a:ln>
          </c:spPr>
          <c:marker>
            <c:symbol val="none"/>
          </c:marker>
          <c:xVal>
            <c:numRef>
              <c:f>Tools!$CY$66:$CZ$66</c:f>
              <c:numCache>
                <c:formatCode>General</c:formatCode>
                <c:ptCount val="2"/>
                <c:pt idx="0">
                  <c:v>0</c:v>
                </c:pt>
                <c:pt idx="1">
                  <c:v>0</c:v>
                </c:pt>
              </c:numCache>
            </c:numRef>
          </c:xVal>
          <c:yVal>
            <c:numRef>
              <c:f>Tools!$CW$61:$CX$61</c:f>
              <c:numCache>
                <c:formatCode>General</c:formatCode>
                <c:ptCount val="2"/>
                <c:pt idx="0">
                  <c:v>0</c:v>
                </c:pt>
                <c:pt idx="1">
                  <c:v>13</c:v>
                </c:pt>
              </c:numCache>
            </c:numRef>
          </c:yVal>
          <c:smooth val="1"/>
        </c:ser>
        <c:ser>
          <c:idx val="67"/>
          <c:order val="67"/>
          <c:tx>
            <c:strRef>
              <c:f>Tools!$CV$67</c:f>
              <c:strCache>
                <c:ptCount val="1"/>
                <c:pt idx="0">
                  <c:v> </c:v>
                </c:pt>
              </c:strCache>
            </c:strRef>
          </c:tx>
          <c:spPr>
            <a:ln w="3175">
              <a:solidFill>
                <a:schemeClr val="bg1">
                  <a:lumMod val="75000"/>
                </a:schemeClr>
              </a:solidFill>
            </a:ln>
          </c:spPr>
          <c:marker>
            <c:symbol val="none"/>
          </c:marker>
          <c:xVal>
            <c:numRef>
              <c:f>Tools!$CY$67:$CZ$67</c:f>
              <c:numCache>
                <c:formatCode>General</c:formatCode>
                <c:ptCount val="2"/>
                <c:pt idx="0">
                  <c:v>0</c:v>
                </c:pt>
                <c:pt idx="1">
                  <c:v>0</c:v>
                </c:pt>
              </c:numCache>
            </c:numRef>
          </c:xVal>
          <c:yVal>
            <c:numRef>
              <c:f>Tools!$CW$61:$CX$61</c:f>
              <c:numCache>
                <c:formatCode>General</c:formatCode>
                <c:ptCount val="2"/>
                <c:pt idx="0">
                  <c:v>0</c:v>
                </c:pt>
                <c:pt idx="1">
                  <c:v>13</c:v>
                </c:pt>
              </c:numCache>
            </c:numRef>
          </c:yVal>
          <c:smooth val="1"/>
        </c:ser>
        <c:ser>
          <c:idx val="68"/>
          <c:order val="68"/>
          <c:tx>
            <c:strRef>
              <c:f>Tools!$CV$68</c:f>
              <c:strCache>
                <c:ptCount val="1"/>
                <c:pt idx="0">
                  <c:v> </c:v>
                </c:pt>
              </c:strCache>
            </c:strRef>
          </c:tx>
          <c:spPr>
            <a:ln w="3175">
              <a:solidFill>
                <a:schemeClr val="bg1">
                  <a:lumMod val="75000"/>
                </a:schemeClr>
              </a:solidFill>
            </a:ln>
          </c:spPr>
          <c:marker>
            <c:symbol val="none"/>
          </c:marker>
          <c:xVal>
            <c:numRef>
              <c:f>Tools!$CY$68:$CZ$68</c:f>
              <c:numCache>
                <c:formatCode>General</c:formatCode>
                <c:ptCount val="2"/>
                <c:pt idx="0">
                  <c:v>0</c:v>
                </c:pt>
                <c:pt idx="1">
                  <c:v>0</c:v>
                </c:pt>
              </c:numCache>
            </c:numRef>
          </c:xVal>
          <c:yVal>
            <c:numRef>
              <c:f>Tools!$CW$61:$CX$61</c:f>
              <c:numCache>
                <c:formatCode>General</c:formatCode>
                <c:ptCount val="2"/>
                <c:pt idx="0">
                  <c:v>0</c:v>
                </c:pt>
                <c:pt idx="1">
                  <c:v>13</c:v>
                </c:pt>
              </c:numCache>
            </c:numRef>
          </c:yVal>
          <c:smooth val="1"/>
        </c:ser>
        <c:ser>
          <c:idx val="69"/>
          <c:order val="69"/>
          <c:tx>
            <c:strRef>
              <c:f>Tools!$CV$69</c:f>
              <c:strCache>
                <c:ptCount val="1"/>
                <c:pt idx="0">
                  <c:v> </c:v>
                </c:pt>
              </c:strCache>
            </c:strRef>
          </c:tx>
          <c:spPr>
            <a:ln w="3175">
              <a:solidFill>
                <a:schemeClr val="bg1">
                  <a:lumMod val="75000"/>
                </a:schemeClr>
              </a:solidFill>
            </a:ln>
          </c:spPr>
          <c:marker>
            <c:symbol val="none"/>
          </c:marker>
          <c:xVal>
            <c:numRef>
              <c:f>Tools!$CY$69:$CZ$69</c:f>
              <c:numCache>
                <c:formatCode>General</c:formatCode>
                <c:ptCount val="2"/>
                <c:pt idx="0">
                  <c:v>0</c:v>
                </c:pt>
                <c:pt idx="1">
                  <c:v>0</c:v>
                </c:pt>
              </c:numCache>
            </c:numRef>
          </c:xVal>
          <c:yVal>
            <c:numRef>
              <c:f>Tools!$CW$61:$CX$61</c:f>
              <c:numCache>
                <c:formatCode>General</c:formatCode>
                <c:ptCount val="2"/>
                <c:pt idx="0">
                  <c:v>0</c:v>
                </c:pt>
                <c:pt idx="1">
                  <c:v>13</c:v>
                </c:pt>
              </c:numCache>
            </c:numRef>
          </c:yVal>
          <c:smooth val="1"/>
        </c:ser>
        <c:ser>
          <c:idx val="70"/>
          <c:order val="70"/>
          <c:tx>
            <c:strRef>
              <c:f>Tools!$CV$70</c:f>
              <c:strCache>
                <c:ptCount val="1"/>
                <c:pt idx="0">
                  <c:v> </c:v>
                </c:pt>
              </c:strCache>
            </c:strRef>
          </c:tx>
          <c:spPr>
            <a:ln w="3175">
              <a:solidFill>
                <a:schemeClr val="bg1">
                  <a:lumMod val="75000"/>
                </a:schemeClr>
              </a:solidFill>
            </a:ln>
          </c:spPr>
          <c:marker>
            <c:symbol val="none"/>
          </c:marker>
          <c:xVal>
            <c:numRef>
              <c:f>Tools!$CY$70:$CZ$70</c:f>
              <c:numCache>
                <c:formatCode>General</c:formatCode>
                <c:ptCount val="2"/>
                <c:pt idx="0">
                  <c:v>0</c:v>
                </c:pt>
                <c:pt idx="1">
                  <c:v>0</c:v>
                </c:pt>
              </c:numCache>
            </c:numRef>
          </c:xVal>
          <c:yVal>
            <c:numRef>
              <c:f>Tools!$CW$61:$CX$61</c:f>
              <c:numCache>
                <c:formatCode>General</c:formatCode>
                <c:ptCount val="2"/>
                <c:pt idx="0">
                  <c:v>0</c:v>
                </c:pt>
                <c:pt idx="1">
                  <c:v>13</c:v>
                </c:pt>
              </c:numCache>
            </c:numRef>
          </c:yVal>
          <c:smooth val="1"/>
        </c:ser>
        <c:ser>
          <c:idx val="71"/>
          <c:order val="71"/>
          <c:tx>
            <c:strRef>
              <c:f>Tools!$CV$71</c:f>
              <c:strCache>
                <c:ptCount val="1"/>
                <c:pt idx="0">
                  <c:v> </c:v>
                </c:pt>
              </c:strCache>
            </c:strRef>
          </c:tx>
          <c:spPr>
            <a:ln w="3175">
              <a:solidFill>
                <a:schemeClr val="bg1">
                  <a:lumMod val="75000"/>
                </a:schemeClr>
              </a:solidFill>
            </a:ln>
          </c:spPr>
          <c:marker>
            <c:symbol val="none"/>
          </c:marker>
          <c:xVal>
            <c:numRef>
              <c:f>Tools!$CY$71:$CZ$71</c:f>
              <c:numCache>
                <c:formatCode>General</c:formatCode>
                <c:ptCount val="2"/>
                <c:pt idx="0">
                  <c:v>0</c:v>
                </c:pt>
                <c:pt idx="1">
                  <c:v>0</c:v>
                </c:pt>
              </c:numCache>
            </c:numRef>
          </c:xVal>
          <c:yVal>
            <c:numRef>
              <c:f>Tools!$CW$61:$CX$61</c:f>
              <c:numCache>
                <c:formatCode>General</c:formatCode>
                <c:ptCount val="2"/>
                <c:pt idx="0">
                  <c:v>0</c:v>
                </c:pt>
                <c:pt idx="1">
                  <c:v>13</c:v>
                </c:pt>
              </c:numCache>
            </c:numRef>
          </c:yVal>
          <c:smooth val="1"/>
        </c:ser>
        <c:dLbls>
          <c:showLegendKey val="0"/>
          <c:showVal val="0"/>
          <c:showCatName val="0"/>
          <c:showSerName val="0"/>
          <c:showPercent val="0"/>
          <c:showBubbleSize val="0"/>
        </c:dLbls>
        <c:axId val="1016221056"/>
        <c:axId val="1016226944"/>
      </c:scatterChart>
      <c:valAx>
        <c:axId val="1016221056"/>
        <c:scaling>
          <c:orientation val="minMax"/>
        </c:scaling>
        <c:delete val="1"/>
        <c:axPos val="b"/>
        <c:numFmt formatCode="General" sourceLinked="1"/>
        <c:majorTickMark val="out"/>
        <c:minorTickMark val="none"/>
        <c:tickLblPos val="nextTo"/>
        <c:crossAx val="1016226944"/>
        <c:crosses val="autoZero"/>
        <c:crossBetween val="midCat"/>
        <c:majorUnit val="0.1"/>
        <c:minorUnit val="5.000000000000001E-2"/>
      </c:valAx>
      <c:valAx>
        <c:axId val="1016226944"/>
        <c:scaling>
          <c:orientation val="minMax"/>
          <c:min val="0"/>
        </c:scaling>
        <c:delete val="0"/>
        <c:axPos val="l"/>
        <c:majorGridlines>
          <c:spPr>
            <a:ln>
              <a:noFill/>
            </a:ln>
          </c:spPr>
        </c:majorGridlines>
        <c:numFmt formatCode="General" sourceLinked="1"/>
        <c:majorTickMark val="out"/>
        <c:minorTickMark val="none"/>
        <c:tickLblPos val="nextTo"/>
        <c:crossAx val="1016221056"/>
        <c:crosses val="autoZero"/>
        <c:crossBetween val="midCat"/>
        <c:majorUnit val="1"/>
      </c:valAx>
      <c:spPr>
        <a:noFill/>
        <a:ln>
          <a:noFill/>
        </a:ln>
      </c:spPr>
    </c:plotArea>
    <c:legend>
      <c:legendPos val="r"/>
      <c:legendEntry>
        <c:idx val="25"/>
        <c:txPr>
          <a:bodyPr/>
          <a:lstStyle/>
          <a:p>
            <a:pPr>
              <a:defRPr sz="1400">
                <a:solidFill>
                  <a:schemeClr val="bg1"/>
                </a:solidFill>
              </a:defRPr>
            </a:pPr>
            <a:endParaRPr lang="en-US"/>
          </a:p>
        </c:txPr>
      </c:legendEntry>
      <c:layout>
        <c:manualLayout>
          <c:xMode val="edge"/>
          <c:yMode val="edge"/>
          <c:x val="0.81867932506519137"/>
          <c:y val="2.9591106189184382E-2"/>
          <c:w val="0.18132067493480877"/>
          <c:h val="0.95350286467109902"/>
        </c:manualLayout>
      </c:layout>
      <c:overlay val="0"/>
      <c:txPr>
        <a:bodyPr/>
        <a:lstStyle/>
        <a:p>
          <a:pPr>
            <a:defRPr sz="1400"/>
          </a:pPr>
          <a:endParaRPr lang="en-US"/>
        </a:p>
      </c:txPr>
    </c:legend>
    <c:plotVisOnly val="1"/>
    <c:dispBlanksAs val="gap"/>
    <c:showDLblsOverMax val="0"/>
  </c:chart>
  <c:printSettings>
    <c:headerFooter/>
    <c:pageMargins b="0.75" l="0.7" r="0.7" t="0.75" header="0.3" footer="0.3"/>
    <c:pageSetup/>
  </c:printSettings>
  <c:userShapes r:id="rId1"/>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I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1.5565463865013437E-2"/>
          <c:y val="4.8409162862424297E-2"/>
          <c:w val="0.82111491280458926"/>
          <c:h val="0.86951254634026776"/>
        </c:manualLayout>
      </c:layout>
      <c:scatterChart>
        <c:scatterStyle val="smoothMarker"/>
        <c:varyColors val="0"/>
        <c:ser>
          <c:idx val="0"/>
          <c:order val="0"/>
          <c:tx>
            <c:strRef>
              <c:f>Tools!$DC$62</c:f>
              <c:strCache>
                <c:ptCount val="1"/>
                <c:pt idx="0">
                  <c:v>STN 0</c:v>
                </c:pt>
              </c:strCache>
            </c:strRef>
          </c:tx>
          <c:spPr>
            <a:ln w="3175"/>
          </c:spPr>
          <c:marker>
            <c:symbol val="none"/>
          </c:marker>
          <c:xVal>
            <c:numRef>
              <c:f>Tools!BP_1</c:f>
              <c:numCache>
                <c:formatCode>General</c:formatCode>
                <c:ptCount val="12"/>
                <c:pt idx="0">
                  <c:v>#N/A</c:v>
                </c:pt>
                <c:pt idx="1">
                  <c:v>#N/A</c:v>
                </c:pt>
                <c:pt idx="2">
                  <c:v>#N/A</c:v>
                </c:pt>
                <c:pt idx="3">
                  <c:v>#N/A</c:v>
                </c:pt>
                <c:pt idx="4">
                  <c:v>#N/A</c:v>
                </c:pt>
                <c:pt idx="5">
                  <c:v>#N/A</c:v>
                </c:pt>
                <c:pt idx="6">
                  <c:v>#N/A</c:v>
                </c:pt>
                <c:pt idx="7">
                  <c:v>-0.9</c:v>
                </c:pt>
                <c:pt idx="8">
                  <c:v>-2.59</c:v>
                </c:pt>
                <c:pt idx="9">
                  <c:v>-2.82</c:v>
                </c:pt>
                <c:pt idx="10">
                  <c:v>-3.82</c:v>
                </c:pt>
                <c:pt idx="11">
                  <c:v>-4.24</c:v>
                </c:pt>
              </c:numCache>
            </c:numRef>
          </c:xVal>
          <c:yVal>
            <c:numRef>
              <c:f>Tools!WL_List</c:f>
              <c:numCache>
                <c:formatCode>General</c:formatCode>
                <c:ptCount val="12"/>
                <c:pt idx="0">
                  <c:v>0</c:v>
                </c:pt>
                <c:pt idx="1">
                  <c:v>0.5</c:v>
                </c:pt>
                <c:pt idx="2">
                  <c:v>1</c:v>
                </c:pt>
                <c:pt idx="3">
                  <c:v>1.5</c:v>
                </c:pt>
                <c:pt idx="4">
                  <c:v>2</c:v>
                </c:pt>
                <c:pt idx="5">
                  <c:v>4</c:v>
                </c:pt>
                <c:pt idx="6">
                  <c:v>6</c:v>
                </c:pt>
                <c:pt idx="7">
                  <c:v>8</c:v>
                </c:pt>
                <c:pt idx="8">
                  <c:v>9.6999999999999993</c:v>
                </c:pt>
                <c:pt idx="9">
                  <c:v>10</c:v>
                </c:pt>
                <c:pt idx="10">
                  <c:v>12</c:v>
                </c:pt>
                <c:pt idx="11">
                  <c:v>13</c:v>
                </c:pt>
              </c:numCache>
            </c:numRef>
          </c:yVal>
          <c:smooth val="1"/>
        </c:ser>
        <c:ser>
          <c:idx val="1"/>
          <c:order val="1"/>
          <c:tx>
            <c:strRef>
              <c:f>Tools!$DC$63</c:f>
              <c:strCache>
                <c:ptCount val="1"/>
                <c:pt idx="0">
                  <c:v>STN 0.5</c:v>
                </c:pt>
              </c:strCache>
            </c:strRef>
          </c:tx>
          <c:spPr>
            <a:ln w="3175"/>
          </c:spPr>
          <c:marker>
            <c:symbol val="none"/>
          </c:marker>
          <c:xVal>
            <c:numRef>
              <c:f>Tools!BP_2</c:f>
              <c:numCache>
                <c:formatCode>General</c:formatCode>
                <c:ptCount val="12"/>
                <c:pt idx="0">
                  <c:v>-0.1</c:v>
                </c:pt>
                <c:pt idx="1">
                  <c:v>-0.2</c:v>
                </c:pt>
                <c:pt idx="2">
                  <c:v>-0.2</c:v>
                </c:pt>
                <c:pt idx="3">
                  <c:v>-0.21</c:v>
                </c:pt>
                <c:pt idx="4">
                  <c:v>-0.25</c:v>
                </c:pt>
                <c:pt idx="5">
                  <c:v>-0.33</c:v>
                </c:pt>
                <c:pt idx="6">
                  <c:v>-0.66</c:v>
                </c:pt>
                <c:pt idx="7">
                  <c:v>-2.4300000000000002</c:v>
                </c:pt>
                <c:pt idx="8">
                  <c:v>-4.18</c:v>
                </c:pt>
                <c:pt idx="9">
                  <c:v>-4.3899999999999997</c:v>
                </c:pt>
                <c:pt idx="10">
                  <c:v>-5.43</c:v>
                </c:pt>
                <c:pt idx="11">
                  <c:v>-5.85</c:v>
                </c:pt>
              </c:numCache>
            </c:numRef>
          </c:xVal>
          <c:yVal>
            <c:numRef>
              <c:f>Tools!WL_List</c:f>
              <c:numCache>
                <c:formatCode>General</c:formatCode>
                <c:ptCount val="12"/>
                <c:pt idx="0">
                  <c:v>0</c:v>
                </c:pt>
                <c:pt idx="1">
                  <c:v>0.5</c:v>
                </c:pt>
                <c:pt idx="2">
                  <c:v>1</c:v>
                </c:pt>
                <c:pt idx="3">
                  <c:v>1.5</c:v>
                </c:pt>
                <c:pt idx="4">
                  <c:v>2</c:v>
                </c:pt>
                <c:pt idx="5">
                  <c:v>4</c:v>
                </c:pt>
                <c:pt idx="6">
                  <c:v>6</c:v>
                </c:pt>
                <c:pt idx="7">
                  <c:v>8</c:v>
                </c:pt>
                <c:pt idx="8">
                  <c:v>9.6999999999999993</c:v>
                </c:pt>
                <c:pt idx="9">
                  <c:v>10</c:v>
                </c:pt>
                <c:pt idx="10">
                  <c:v>12</c:v>
                </c:pt>
                <c:pt idx="11">
                  <c:v>13</c:v>
                </c:pt>
              </c:numCache>
            </c:numRef>
          </c:yVal>
          <c:smooth val="1"/>
        </c:ser>
        <c:ser>
          <c:idx val="2"/>
          <c:order val="2"/>
          <c:tx>
            <c:strRef>
              <c:f>Tools!$DC$64</c:f>
              <c:strCache>
                <c:ptCount val="1"/>
                <c:pt idx="0">
                  <c:v>STN 1</c:v>
                </c:pt>
              </c:strCache>
            </c:strRef>
          </c:tx>
          <c:spPr>
            <a:ln w="3175"/>
          </c:spPr>
          <c:marker>
            <c:symbol val="none"/>
          </c:marker>
          <c:xVal>
            <c:numRef>
              <c:f>Tools!BP_3</c:f>
              <c:numCache>
                <c:formatCode>General</c:formatCode>
                <c:ptCount val="12"/>
                <c:pt idx="0">
                  <c:v>-0.3</c:v>
                </c:pt>
                <c:pt idx="1">
                  <c:v>-0.5</c:v>
                </c:pt>
                <c:pt idx="2">
                  <c:v>-0.68</c:v>
                </c:pt>
                <c:pt idx="3">
                  <c:v>-0.83</c:v>
                </c:pt>
                <c:pt idx="4">
                  <c:v>-0.98</c:v>
                </c:pt>
                <c:pt idx="5">
                  <c:v>-1.44</c:v>
                </c:pt>
                <c:pt idx="6">
                  <c:v>-2.27</c:v>
                </c:pt>
                <c:pt idx="7">
                  <c:v>-4.01</c:v>
                </c:pt>
                <c:pt idx="8">
                  <c:v>-5.57</c:v>
                </c:pt>
                <c:pt idx="9">
                  <c:v>-5.78</c:v>
                </c:pt>
                <c:pt idx="10">
                  <c:v>-6.8</c:v>
                </c:pt>
                <c:pt idx="11">
                  <c:v>-7.27</c:v>
                </c:pt>
              </c:numCache>
            </c:numRef>
          </c:xVal>
          <c:yVal>
            <c:numRef>
              <c:f>Tools!WL_List</c:f>
              <c:numCache>
                <c:formatCode>General</c:formatCode>
                <c:ptCount val="12"/>
                <c:pt idx="0">
                  <c:v>0</c:v>
                </c:pt>
                <c:pt idx="1">
                  <c:v>0.5</c:v>
                </c:pt>
                <c:pt idx="2">
                  <c:v>1</c:v>
                </c:pt>
                <c:pt idx="3">
                  <c:v>1.5</c:v>
                </c:pt>
                <c:pt idx="4">
                  <c:v>2</c:v>
                </c:pt>
                <c:pt idx="5">
                  <c:v>4</c:v>
                </c:pt>
                <c:pt idx="6">
                  <c:v>6</c:v>
                </c:pt>
                <c:pt idx="7">
                  <c:v>8</c:v>
                </c:pt>
                <c:pt idx="8">
                  <c:v>9.6999999999999993</c:v>
                </c:pt>
                <c:pt idx="9">
                  <c:v>10</c:v>
                </c:pt>
                <c:pt idx="10">
                  <c:v>12</c:v>
                </c:pt>
                <c:pt idx="11">
                  <c:v>13</c:v>
                </c:pt>
              </c:numCache>
            </c:numRef>
          </c:yVal>
          <c:smooth val="1"/>
        </c:ser>
        <c:ser>
          <c:idx val="3"/>
          <c:order val="3"/>
          <c:tx>
            <c:strRef>
              <c:f>Tools!$DC$65</c:f>
              <c:strCache>
                <c:ptCount val="1"/>
                <c:pt idx="0">
                  <c:v>STN 1.5</c:v>
                </c:pt>
              </c:strCache>
            </c:strRef>
          </c:tx>
          <c:spPr>
            <a:ln w="3175"/>
          </c:spPr>
          <c:marker>
            <c:symbol val="none"/>
          </c:marker>
          <c:xVal>
            <c:numRef>
              <c:f>Tools!BP_4</c:f>
              <c:numCache>
                <c:formatCode>General</c:formatCode>
                <c:ptCount val="12"/>
                <c:pt idx="0">
                  <c:v>-0.5</c:v>
                </c:pt>
                <c:pt idx="1">
                  <c:v>-0.99</c:v>
                </c:pt>
                <c:pt idx="2">
                  <c:v>-1.35</c:v>
                </c:pt>
                <c:pt idx="3">
                  <c:v>-1.65</c:v>
                </c:pt>
                <c:pt idx="4">
                  <c:v>-1.89</c:v>
                </c:pt>
                <c:pt idx="5">
                  <c:v>-2.81</c:v>
                </c:pt>
                <c:pt idx="6">
                  <c:v>-3.86</c:v>
                </c:pt>
                <c:pt idx="7">
                  <c:v>-5.5</c:v>
                </c:pt>
                <c:pt idx="8">
                  <c:v>-6.82</c:v>
                </c:pt>
                <c:pt idx="9">
                  <c:v>-7.01</c:v>
                </c:pt>
                <c:pt idx="10">
                  <c:v>-7.98</c:v>
                </c:pt>
                <c:pt idx="11">
                  <c:v>-8.42</c:v>
                </c:pt>
              </c:numCache>
            </c:numRef>
          </c:xVal>
          <c:yVal>
            <c:numRef>
              <c:f>Tools!WL_List</c:f>
              <c:numCache>
                <c:formatCode>General</c:formatCode>
                <c:ptCount val="12"/>
                <c:pt idx="0">
                  <c:v>0</c:v>
                </c:pt>
                <c:pt idx="1">
                  <c:v>0.5</c:v>
                </c:pt>
                <c:pt idx="2">
                  <c:v>1</c:v>
                </c:pt>
                <c:pt idx="3">
                  <c:v>1.5</c:v>
                </c:pt>
                <c:pt idx="4">
                  <c:v>2</c:v>
                </c:pt>
                <c:pt idx="5">
                  <c:v>4</c:v>
                </c:pt>
                <c:pt idx="6">
                  <c:v>6</c:v>
                </c:pt>
                <c:pt idx="7">
                  <c:v>8</c:v>
                </c:pt>
                <c:pt idx="8">
                  <c:v>9.6999999999999993</c:v>
                </c:pt>
                <c:pt idx="9">
                  <c:v>10</c:v>
                </c:pt>
                <c:pt idx="10">
                  <c:v>12</c:v>
                </c:pt>
                <c:pt idx="11">
                  <c:v>13</c:v>
                </c:pt>
              </c:numCache>
            </c:numRef>
          </c:yVal>
          <c:smooth val="1"/>
        </c:ser>
        <c:ser>
          <c:idx val="4"/>
          <c:order val="4"/>
          <c:tx>
            <c:strRef>
              <c:f>Tools!$DC$66</c:f>
              <c:strCache>
                <c:ptCount val="1"/>
                <c:pt idx="0">
                  <c:v>STN 2</c:v>
                </c:pt>
              </c:strCache>
            </c:strRef>
          </c:tx>
          <c:spPr>
            <a:ln w="3175"/>
          </c:spPr>
          <c:marker>
            <c:symbol val="none"/>
          </c:marker>
          <c:xVal>
            <c:numRef>
              <c:f>Tools!BP_5</c:f>
              <c:numCache>
                <c:formatCode>General</c:formatCode>
                <c:ptCount val="12"/>
                <c:pt idx="0">
                  <c:v>-0.9</c:v>
                </c:pt>
                <c:pt idx="1">
                  <c:v>-1.59</c:v>
                </c:pt>
                <c:pt idx="2">
                  <c:v>-2.14</c:v>
                </c:pt>
                <c:pt idx="3">
                  <c:v>-2.59</c:v>
                </c:pt>
                <c:pt idx="4">
                  <c:v>-2.93</c:v>
                </c:pt>
                <c:pt idx="5">
                  <c:v>-4.17</c:v>
                </c:pt>
                <c:pt idx="6">
                  <c:v>-5.28</c:v>
                </c:pt>
                <c:pt idx="7">
                  <c:v>-6.7</c:v>
                </c:pt>
                <c:pt idx="8">
                  <c:v>-7.89</c:v>
                </c:pt>
                <c:pt idx="9">
                  <c:v>-8.0399999999999991</c:v>
                </c:pt>
                <c:pt idx="10">
                  <c:v>-8.94</c:v>
                </c:pt>
                <c:pt idx="11">
                  <c:v>-9.3000000000000007</c:v>
                </c:pt>
              </c:numCache>
            </c:numRef>
          </c:xVal>
          <c:yVal>
            <c:numRef>
              <c:f>Tools!WL_List</c:f>
              <c:numCache>
                <c:formatCode>General</c:formatCode>
                <c:ptCount val="12"/>
                <c:pt idx="0">
                  <c:v>0</c:v>
                </c:pt>
                <c:pt idx="1">
                  <c:v>0.5</c:v>
                </c:pt>
                <c:pt idx="2">
                  <c:v>1</c:v>
                </c:pt>
                <c:pt idx="3">
                  <c:v>1.5</c:v>
                </c:pt>
                <c:pt idx="4">
                  <c:v>2</c:v>
                </c:pt>
                <c:pt idx="5">
                  <c:v>4</c:v>
                </c:pt>
                <c:pt idx="6">
                  <c:v>6</c:v>
                </c:pt>
                <c:pt idx="7">
                  <c:v>8</c:v>
                </c:pt>
                <c:pt idx="8">
                  <c:v>9.6999999999999993</c:v>
                </c:pt>
                <c:pt idx="9">
                  <c:v>10</c:v>
                </c:pt>
                <c:pt idx="10">
                  <c:v>12</c:v>
                </c:pt>
                <c:pt idx="11">
                  <c:v>13</c:v>
                </c:pt>
              </c:numCache>
            </c:numRef>
          </c:yVal>
          <c:smooth val="1"/>
        </c:ser>
        <c:ser>
          <c:idx val="5"/>
          <c:order val="5"/>
          <c:tx>
            <c:strRef>
              <c:f>Tools!$DC$67</c:f>
              <c:strCache>
                <c:ptCount val="1"/>
                <c:pt idx="0">
                  <c:v>STN 3</c:v>
                </c:pt>
              </c:strCache>
            </c:strRef>
          </c:tx>
          <c:spPr>
            <a:ln w="3175"/>
          </c:spPr>
          <c:marker>
            <c:symbol val="none"/>
          </c:marker>
          <c:xVal>
            <c:numRef>
              <c:f>Tools!BP_6</c:f>
              <c:numCache>
                <c:formatCode>General</c:formatCode>
                <c:ptCount val="12"/>
                <c:pt idx="0">
                  <c:v>-1.9</c:v>
                </c:pt>
                <c:pt idx="1">
                  <c:v>-3.32</c:v>
                </c:pt>
                <c:pt idx="2">
                  <c:v>-4.17</c:v>
                </c:pt>
                <c:pt idx="3">
                  <c:v>-4.72</c:v>
                </c:pt>
                <c:pt idx="4">
                  <c:v>-5.15</c:v>
                </c:pt>
                <c:pt idx="5">
                  <c:v>-6.67</c:v>
                </c:pt>
                <c:pt idx="6">
                  <c:v>-7.76</c:v>
                </c:pt>
                <c:pt idx="7">
                  <c:v>-8.65</c:v>
                </c:pt>
                <c:pt idx="8">
                  <c:v>-9.43</c:v>
                </c:pt>
                <c:pt idx="9">
                  <c:v>-9.5399999999999991</c:v>
                </c:pt>
                <c:pt idx="10">
                  <c:v>-10.1</c:v>
                </c:pt>
                <c:pt idx="11">
                  <c:v>-10.44</c:v>
                </c:pt>
              </c:numCache>
            </c:numRef>
          </c:xVal>
          <c:yVal>
            <c:numRef>
              <c:f>Tools!WL_List</c:f>
              <c:numCache>
                <c:formatCode>General</c:formatCode>
                <c:ptCount val="12"/>
                <c:pt idx="0">
                  <c:v>0</c:v>
                </c:pt>
                <c:pt idx="1">
                  <c:v>0.5</c:v>
                </c:pt>
                <c:pt idx="2">
                  <c:v>1</c:v>
                </c:pt>
                <c:pt idx="3">
                  <c:v>1.5</c:v>
                </c:pt>
                <c:pt idx="4">
                  <c:v>2</c:v>
                </c:pt>
                <c:pt idx="5">
                  <c:v>4</c:v>
                </c:pt>
                <c:pt idx="6">
                  <c:v>6</c:v>
                </c:pt>
                <c:pt idx="7">
                  <c:v>8</c:v>
                </c:pt>
                <c:pt idx="8">
                  <c:v>9.6999999999999993</c:v>
                </c:pt>
                <c:pt idx="9">
                  <c:v>10</c:v>
                </c:pt>
                <c:pt idx="10">
                  <c:v>12</c:v>
                </c:pt>
                <c:pt idx="11">
                  <c:v>13</c:v>
                </c:pt>
              </c:numCache>
            </c:numRef>
          </c:yVal>
          <c:smooth val="1"/>
        </c:ser>
        <c:ser>
          <c:idx val="6"/>
          <c:order val="6"/>
          <c:tx>
            <c:strRef>
              <c:f>Tools!$DC$68</c:f>
              <c:strCache>
                <c:ptCount val="1"/>
                <c:pt idx="0">
                  <c:v>STN 4</c:v>
                </c:pt>
              </c:strCache>
            </c:strRef>
          </c:tx>
          <c:spPr>
            <a:ln w="3175"/>
          </c:spPr>
          <c:marker>
            <c:symbol val="none"/>
          </c:marker>
          <c:xVal>
            <c:numRef>
              <c:f>Tools!BP_7</c:f>
              <c:numCache>
                <c:formatCode>General</c:formatCode>
                <c:ptCount val="12"/>
                <c:pt idx="0">
                  <c:v>-3.8</c:v>
                </c:pt>
                <c:pt idx="1">
                  <c:v>-5.33</c:v>
                </c:pt>
                <c:pt idx="2">
                  <c:v>-6.26</c:v>
                </c:pt>
                <c:pt idx="3">
                  <c:v>-6.83</c:v>
                </c:pt>
                <c:pt idx="4">
                  <c:v>-7.29</c:v>
                </c:pt>
                <c:pt idx="5">
                  <c:v>-8.61</c:v>
                </c:pt>
                <c:pt idx="6">
                  <c:v>-9.4499999999999993</c:v>
                </c:pt>
                <c:pt idx="7">
                  <c:v>-10.1</c:v>
                </c:pt>
                <c:pt idx="8">
                  <c:v>-10.45</c:v>
                </c:pt>
                <c:pt idx="9">
                  <c:v>-10.5</c:v>
                </c:pt>
                <c:pt idx="10">
                  <c:v>-10.8</c:v>
                </c:pt>
                <c:pt idx="11">
                  <c:v>-10.87</c:v>
                </c:pt>
              </c:numCache>
            </c:numRef>
          </c:xVal>
          <c:yVal>
            <c:numRef>
              <c:f>Tools!WL_List</c:f>
              <c:numCache>
                <c:formatCode>General</c:formatCode>
                <c:ptCount val="12"/>
                <c:pt idx="0">
                  <c:v>0</c:v>
                </c:pt>
                <c:pt idx="1">
                  <c:v>0.5</c:v>
                </c:pt>
                <c:pt idx="2">
                  <c:v>1</c:v>
                </c:pt>
                <c:pt idx="3">
                  <c:v>1.5</c:v>
                </c:pt>
                <c:pt idx="4">
                  <c:v>2</c:v>
                </c:pt>
                <c:pt idx="5">
                  <c:v>4</c:v>
                </c:pt>
                <c:pt idx="6">
                  <c:v>6</c:v>
                </c:pt>
                <c:pt idx="7">
                  <c:v>8</c:v>
                </c:pt>
                <c:pt idx="8">
                  <c:v>9.6999999999999993</c:v>
                </c:pt>
                <c:pt idx="9">
                  <c:v>10</c:v>
                </c:pt>
                <c:pt idx="10">
                  <c:v>12</c:v>
                </c:pt>
                <c:pt idx="11">
                  <c:v>13</c:v>
                </c:pt>
              </c:numCache>
            </c:numRef>
          </c:yVal>
          <c:smooth val="1"/>
        </c:ser>
        <c:ser>
          <c:idx val="7"/>
          <c:order val="7"/>
          <c:tx>
            <c:strRef>
              <c:f>Tools!$DC$69</c:f>
              <c:strCache>
                <c:ptCount val="1"/>
                <c:pt idx="0">
                  <c:v>STN 5</c:v>
                </c:pt>
              </c:strCache>
            </c:strRef>
          </c:tx>
          <c:spPr>
            <a:ln w="3175"/>
          </c:spPr>
          <c:marker>
            <c:symbol val="none"/>
          </c:marker>
          <c:xVal>
            <c:numRef>
              <c:f>Tools!BP_8</c:f>
              <c:numCache>
                <c:formatCode>General</c:formatCode>
                <c:ptCount val="12"/>
                <c:pt idx="0">
                  <c:v>-5.9</c:v>
                </c:pt>
                <c:pt idx="1">
                  <c:v>-7.26</c:v>
                </c:pt>
                <c:pt idx="2">
                  <c:v>-8.1199999999999992</c:v>
                </c:pt>
                <c:pt idx="3">
                  <c:v>-8.6999999999999993</c:v>
                </c:pt>
                <c:pt idx="4">
                  <c:v>-9.07</c:v>
                </c:pt>
                <c:pt idx="5">
                  <c:v>-9.9499999999999993</c:v>
                </c:pt>
                <c:pt idx="6">
                  <c:v>-10.3</c:v>
                </c:pt>
                <c:pt idx="7">
                  <c:v>-10.58</c:v>
                </c:pt>
                <c:pt idx="8">
                  <c:v>-10.72</c:v>
                </c:pt>
                <c:pt idx="9">
                  <c:v>-10.74</c:v>
                </c:pt>
                <c:pt idx="10">
                  <c:v>-10.9</c:v>
                </c:pt>
                <c:pt idx="11">
                  <c:v>-11</c:v>
                </c:pt>
              </c:numCache>
            </c:numRef>
          </c:xVal>
          <c:yVal>
            <c:numRef>
              <c:f>Tools!WL_List</c:f>
              <c:numCache>
                <c:formatCode>General</c:formatCode>
                <c:ptCount val="12"/>
                <c:pt idx="0">
                  <c:v>0</c:v>
                </c:pt>
                <c:pt idx="1">
                  <c:v>0.5</c:v>
                </c:pt>
                <c:pt idx="2">
                  <c:v>1</c:v>
                </c:pt>
                <c:pt idx="3">
                  <c:v>1.5</c:v>
                </c:pt>
                <c:pt idx="4">
                  <c:v>2</c:v>
                </c:pt>
                <c:pt idx="5">
                  <c:v>4</c:v>
                </c:pt>
                <c:pt idx="6">
                  <c:v>6</c:v>
                </c:pt>
                <c:pt idx="7">
                  <c:v>8</c:v>
                </c:pt>
                <c:pt idx="8">
                  <c:v>9.6999999999999993</c:v>
                </c:pt>
                <c:pt idx="9">
                  <c:v>10</c:v>
                </c:pt>
                <c:pt idx="10">
                  <c:v>12</c:v>
                </c:pt>
                <c:pt idx="11">
                  <c:v>13</c:v>
                </c:pt>
              </c:numCache>
            </c:numRef>
          </c:yVal>
          <c:smooth val="1"/>
        </c:ser>
        <c:ser>
          <c:idx val="8"/>
          <c:order val="8"/>
          <c:tx>
            <c:strRef>
              <c:f>Tools!$DC$70</c:f>
              <c:strCache>
                <c:ptCount val="1"/>
                <c:pt idx="0">
                  <c:v>STN 6</c:v>
                </c:pt>
              </c:strCache>
            </c:strRef>
          </c:tx>
          <c:spPr>
            <a:ln w="3175"/>
          </c:spPr>
          <c:marker>
            <c:symbol val="none"/>
          </c:marker>
          <c:xVal>
            <c:numRef>
              <c:f>Tools!BP_9</c:f>
              <c:numCache>
                <c:formatCode>General</c:formatCode>
                <c:ptCount val="12"/>
                <c:pt idx="0">
                  <c:v>-7.9</c:v>
                </c:pt>
                <c:pt idx="1">
                  <c:v>-8.9</c:v>
                </c:pt>
                <c:pt idx="2">
                  <c:v>-9.5</c:v>
                </c:pt>
                <c:pt idx="3">
                  <c:v>-9.94</c:v>
                </c:pt>
                <c:pt idx="4">
                  <c:v>-10.199999999999999</c:v>
                </c:pt>
                <c:pt idx="5">
                  <c:v>-10.8</c:v>
                </c:pt>
                <c:pt idx="6">
                  <c:v>-10.9</c:v>
                </c:pt>
                <c:pt idx="7">
                  <c:v>-11</c:v>
                </c:pt>
                <c:pt idx="8">
                  <c:v>-11</c:v>
                </c:pt>
                <c:pt idx="9">
                  <c:v>-11</c:v>
                </c:pt>
                <c:pt idx="10">
                  <c:v>-11</c:v>
                </c:pt>
                <c:pt idx="11">
                  <c:v>-11</c:v>
                </c:pt>
              </c:numCache>
            </c:numRef>
          </c:xVal>
          <c:yVal>
            <c:numRef>
              <c:f>Tools!WL_List</c:f>
              <c:numCache>
                <c:formatCode>General</c:formatCode>
                <c:ptCount val="12"/>
                <c:pt idx="0">
                  <c:v>0</c:v>
                </c:pt>
                <c:pt idx="1">
                  <c:v>0.5</c:v>
                </c:pt>
                <c:pt idx="2">
                  <c:v>1</c:v>
                </c:pt>
                <c:pt idx="3">
                  <c:v>1.5</c:v>
                </c:pt>
                <c:pt idx="4">
                  <c:v>2</c:v>
                </c:pt>
                <c:pt idx="5">
                  <c:v>4</c:v>
                </c:pt>
                <c:pt idx="6">
                  <c:v>6</c:v>
                </c:pt>
                <c:pt idx="7">
                  <c:v>8</c:v>
                </c:pt>
                <c:pt idx="8">
                  <c:v>9.6999999999999993</c:v>
                </c:pt>
                <c:pt idx="9">
                  <c:v>10</c:v>
                </c:pt>
                <c:pt idx="10">
                  <c:v>12</c:v>
                </c:pt>
                <c:pt idx="11">
                  <c:v>13</c:v>
                </c:pt>
              </c:numCache>
            </c:numRef>
          </c:yVal>
          <c:smooth val="1"/>
        </c:ser>
        <c:ser>
          <c:idx val="9"/>
          <c:order val="9"/>
          <c:tx>
            <c:strRef>
              <c:f>Tools!$DC$71</c:f>
              <c:strCache>
                <c:ptCount val="1"/>
                <c:pt idx="0">
                  <c:v>STN 7</c:v>
                </c:pt>
              </c:strCache>
            </c:strRef>
          </c:tx>
          <c:spPr>
            <a:ln w="3175"/>
          </c:spPr>
          <c:marker>
            <c:symbol val="none"/>
          </c:marker>
          <c:xVal>
            <c:numRef>
              <c:f>Tools!BP_10</c:f>
              <c:numCache>
                <c:formatCode>General</c:formatCode>
                <c:ptCount val="12"/>
                <c:pt idx="0">
                  <c:v>-9</c:v>
                </c:pt>
                <c:pt idx="1">
                  <c:v>-9.83</c:v>
                </c:pt>
                <c:pt idx="2">
                  <c:v>-10.3</c:v>
                </c:pt>
                <c:pt idx="3">
                  <c:v>-10.6</c:v>
                </c:pt>
                <c:pt idx="4">
                  <c:v>-10.8</c:v>
                </c:pt>
                <c:pt idx="5">
                  <c:v>-11</c:v>
                </c:pt>
                <c:pt idx="6">
                  <c:v>-11</c:v>
                </c:pt>
                <c:pt idx="7">
                  <c:v>-11</c:v>
                </c:pt>
                <c:pt idx="8">
                  <c:v>-11</c:v>
                </c:pt>
                <c:pt idx="9">
                  <c:v>-11</c:v>
                </c:pt>
                <c:pt idx="10">
                  <c:v>-11</c:v>
                </c:pt>
                <c:pt idx="11">
                  <c:v>-11</c:v>
                </c:pt>
              </c:numCache>
            </c:numRef>
          </c:xVal>
          <c:yVal>
            <c:numRef>
              <c:f>Tools!WL_List</c:f>
              <c:numCache>
                <c:formatCode>General</c:formatCode>
                <c:ptCount val="12"/>
                <c:pt idx="0">
                  <c:v>0</c:v>
                </c:pt>
                <c:pt idx="1">
                  <c:v>0.5</c:v>
                </c:pt>
                <c:pt idx="2">
                  <c:v>1</c:v>
                </c:pt>
                <c:pt idx="3">
                  <c:v>1.5</c:v>
                </c:pt>
                <c:pt idx="4">
                  <c:v>2</c:v>
                </c:pt>
                <c:pt idx="5">
                  <c:v>4</c:v>
                </c:pt>
                <c:pt idx="6">
                  <c:v>6</c:v>
                </c:pt>
                <c:pt idx="7">
                  <c:v>8</c:v>
                </c:pt>
                <c:pt idx="8">
                  <c:v>9.6999999999999993</c:v>
                </c:pt>
                <c:pt idx="9">
                  <c:v>10</c:v>
                </c:pt>
                <c:pt idx="10">
                  <c:v>12</c:v>
                </c:pt>
                <c:pt idx="11">
                  <c:v>13</c:v>
                </c:pt>
              </c:numCache>
            </c:numRef>
          </c:yVal>
          <c:smooth val="1"/>
        </c:ser>
        <c:ser>
          <c:idx val="10"/>
          <c:order val="10"/>
          <c:tx>
            <c:strRef>
              <c:f>Tools!$DC$72</c:f>
              <c:strCache>
                <c:ptCount val="1"/>
                <c:pt idx="0">
                  <c:v>STN 8</c:v>
                </c:pt>
              </c:strCache>
            </c:strRef>
          </c:tx>
          <c:spPr>
            <a:ln w="3175">
              <a:solidFill>
                <a:schemeClr val="accent2">
                  <a:lumMod val="75000"/>
                </a:schemeClr>
              </a:solidFill>
            </a:ln>
          </c:spPr>
          <c:marker>
            <c:symbol val="none"/>
          </c:marker>
          <c:xVal>
            <c:numRef>
              <c:f>Tools!BP_11</c:f>
              <c:numCache>
                <c:formatCode>General</c:formatCode>
                <c:ptCount val="12"/>
                <c:pt idx="0">
                  <c:v>-9.5</c:v>
                </c:pt>
                <c:pt idx="1">
                  <c:v>-10.33</c:v>
                </c:pt>
                <c:pt idx="2">
                  <c:v>-10.67</c:v>
                </c:pt>
                <c:pt idx="3">
                  <c:v>-10.9</c:v>
                </c:pt>
                <c:pt idx="4">
                  <c:v>-11</c:v>
                </c:pt>
                <c:pt idx="5">
                  <c:v>-11</c:v>
                </c:pt>
                <c:pt idx="6">
                  <c:v>-11</c:v>
                </c:pt>
                <c:pt idx="7">
                  <c:v>-11</c:v>
                </c:pt>
                <c:pt idx="8">
                  <c:v>-11</c:v>
                </c:pt>
                <c:pt idx="9">
                  <c:v>-11</c:v>
                </c:pt>
                <c:pt idx="10">
                  <c:v>-11</c:v>
                </c:pt>
                <c:pt idx="11">
                  <c:v>-11</c:v>
                </c:pt>
              </c:numCache>
            </c:numRef>
          </c:xVal>
          <c:yVal>
            <c:numRef>
              <c:f>Tools!WL_List</c:f>
              <c:numCache>
                <c:formatCode>General</c:formatCode>
                <c:ptCount val="12"/>
                <c:pt idx="0">
                  <c:v>0</c:v>
                </c:pt>
                <c:pt idx="1">
                  <c:v>0.5</c:v>
                </c:pt>
                <c:pt idx="2">
                  <c:v>1</c:v>
                </c:pt>
                <c:pt idx="3">
                  <c:v>1.5</c:v>
                </c:pt>
                <c:pt idx="4">
                  <c:v>2</c:v>
                </c:pt>
                <c:pt idx="5">
                  <c:v>4</c:v>
                </c:pt>
                <c:pt idx="6">
                  <c:v>6</c:v>
                </c:pt>
                <c:pt idx="7">
                  <c:v>8</c:v>
                </c:pt>
                <c:pt idx="8">
                  <c:v>9.6999999999999993</c:v>
                </c:pt>
                <c:pt idx="9">
                  <c:v>10</c:v>
                </c:pt>
                <c:pt idx="10">
                  <c:v>12</c:v>
                </c:pt>
                <c:pt idx="11">
                  <c:v>13</c:v>
                </c:pt>
              </c:numCache>
            </c:numRef>
          </c:yVal>
          <c:smooth val="1"/>
        </c:ser>
        <c:ser>
          <c:idx val="11"/>
          <c:order val="11"/>
          <c:tx>
            <c:strRef>
              <c:f>Tools!$DC$73</c:f>
              <c:strCache>
                <c:ptCount val="1"/>
                <c:pt idx="0">
                  <c:v>STN 9</c:v>
                </c:pt>
              </c:strCache>
            </c:strRef>
          </c:tx>
          <c:spPr>
            <a:ln w="3175"/>
          </c:spPr>
          <c:marker>
            <c:symbol val="none"/>
          </c:marker>
          <c:xVal>
            <c:numRef>
              <c:f>Tools!BP_12</c:f>
              <c:numCache>
                <c:formatCode>General</c:formatCode>
                <c:ptCount val="12"/>
                <c:pt idx="0">
                  <c:v>-9.6999999999999993</c:v>
                </c:pt>
                <c:pt idx="1">
                  <c:v>-10.45</c:v>
                </c:pt>
                <c:pt idx="2">
                  <c:v>-10.75</c:v>
                </c:pt>
                <c:pt idx="3">
                  <c:v>-10.93</c:v>
                </c:pt>
                <c:pt idx="4">
                  <c:v>-11</c:v>
                </c:pt>
                <c:pt idx="5">
                  <c:v>-11</c:v>
                </c:pt>
                <c:pt idx="6">
                  <c:v>-11</c:v>
                </c:pt>
                <c:pt idx="7">
                  <c:v>-11</c:v>
                </c:pt>
                <c:pt idx="8">
                  <c:v>-11</c:v>
                </c:pt>
                <c:pt idx="9">
                  <c:v>-11</c:v>
                </c:pt>
                <c:pt idx="10">
                  <c:v>-11</c:v>
                </c:pt>
                <c:pt idx="11">
                  <c:v>-11</c:v>
                </c:pt>
              </c:numCache>
            </c:numRef>
          </c:xVal>
          <c:yVal>
            <c:numRef>
              <c:f>Tools!WL_List</c:f>
              <c:numCache>
                <c:formatCode>General</c:formatCode>
                <c:ptCount val="12"/>
                <c:pt idx="0">
                  <c:v>0</c:v>
                </c:pt>
                <c:pt idx="1">
                  <c:v>0.5</c:v>
                </c:pt>
                <c:pt idx="2">
                  <c:v>1</c:v>
                </c:pt>
                <c:pt idx="3">
                  <c:v>1.5</c:v>
                </c:pt>
                <c:pt idx="4">
                  <c:v>2</c:v>
                </c:pt>
                <c:pt idx="5">
                  <c:v>4</c:v>
                </c:pt>
                <c:pt idx="6">
                  <c:v>6</c:v>
                </c:pt>
                <c:pt idx="7">
                  <c:v>8</c:v>
                </c:pt>
                <c:pt idx="8">
                  <c:v>9.6999999999999993</c:v>
                </c:pt>
                <c:pt idx="9">
                  <c:v>10</c:v>
                </c:pt>
                <c:pt idx="10">
                  <c:v>12</c:v>
                </c:pt>
                <c:pt idx="11">
                  <c:v>13</c:v>
                </c:pt>
              </c:numCache>
            </c:numRef>
          </c:yVal>
          <c:smooth val="1"/>
        </c:ser>
        <c:ser>
          <c:idx val="12"/>
          <c:order val="12"/>
          <c:tx>
            <c:strRef>
              <c:f>Tools!$DC$74</c:f>
              <c:strCache>
                <c:ptCount val="1"/>
                <c:pt idx="0">
                  <c:v>STN 10</c:v>
                </c:pt>
              </c:strCache>
            </c:strRef>
          </c:tx>
          <c:spPr>
            <a:ln w="3175"/>
          </c:spPr>
          <c:marker>
            <c:symbol val="none"/>
          </c:marker>
          <c:xVal>
            <c:numRef>
              <c:f>Tools!BP_13</c:f>
              <c:numCache>
                <c:formatCode>General</c:formatCode>
                <c:ptCount val="12"/>
                <c:pt idx="0">
                  <c:v>-9.6999999999999993</c:v>
                </c:pt>
                <c:pt idx="1">
                  <c:v>-10.45</c:v>
                </c:pt>
                <c:pt idx="2">
                  <c:v>-10.75</c:v>
                </c:pt>
                <c:pt idx="3">
                  <c:v>-10.93</c:v>
                </c:pt>
                <c:pt idx="4">
                  <c:v>-11</c:v>
                </c:pt>
                <c:pt idx="5">
                  <c:v>-11</c:v>
                </c:pt>
                <c:pt idx="6">
                  <c:v>-11</c:v>
                </c:pt>
                <c:pt idx="7">
                  <c:v>-11</c:v>
                </c:pt>
                <c:pt idx="8">
                  <c:v>-11</c:v>
                </c:pt>
                <c:pt idx="9">
                  <c:v>-11</c:v>
                </c:pt>
                <c:pt idx="10">
                  <c:v>-11</c:v>
                </c:pt>
                <c:pt idx="11">
                  <c:v>-11</c:v>
                </c:pt>
              </c:numCache>
            </c:numRef>
          </c:xVal>
          <c:yVal>
            <c:numRef>
              <c:f>Tools!WL_List</c:f>
              <c:numCache>
                <c:formatCode>General</c:formatCode>
                <c:ptCount val="12"/>
                <c:pt idx="0">
                  <c:v>0</c:v>
                </c:pt>
                <c:pt idx="1">
                  <c:v>0.5</c:v>
                </c:pt>
                <c:pt idx="2">
                  <c:v>1</c:v>
                </c:pt>
                <c:pt idx="3">
                  <c:v>1.5</c:v>
                </c:pt>
                <c:pt idx="4">
                  <c:v>2</c:v>
                </c:pt>
                <c:pt idx="5">
                  <c:v>4</c:v>
                </c:pt>
                <c:pt idx="6">
                  <c:v>6</c:v>
                </c:pt>
                <c:pt idx="7">
                  <c:v>8</c:v>
                </c:pt>
                <c:pt idx="8">
                  <c:v>9.6999999999999993</c:v>
                </c:pt>
                <c:pt idx="9">
                  <c:v>10</c:v>
                </c:pt>
                <c:pt idx="10">
                  <c:v>12</c:v>
                </c:pt>
                <c:pt idx="11">
                  <c:v>13</c:v>
                </c:pt>
              </c:numCache>
            </c:numRef>
          </c:yVal>
          <c:smooth val="1"/>
        </c:ser>
        <c:ser>
          <c:idx val="13"/>
          <c:order val="13"/>
          <c:tx>
            <c:strRef>
              <c:f>Tools!$DC$75</c:f>
              <c:strCache>
                <c:ptCount val="1"/>
                <c:pt idx="0">
                  <c:v>STN 11</c:v>
                </c:pt>
              </c:strCache>
            </c:strRef>
          </c:tx>
          <c:spPr>
            <a:ln w="3175"/>
          </c:spPr>
          <c:marker>
            <c:symbol val="none"/>
          </c:marker>
          <c:xVal>
            <c:numRef>
              <c:f>Tools!BP_14</c:f>
              <c:numCache>
                <c:formatCode>General</c:formatCode>
                <c:ptCount val="12"/>
                <c:pt idx="0">
                  <c:v>9.6999999999999993</c:v>
                </c:pt>
                <c:pt idx="1">
                  <c:v>10.45</c:v>
                </c:pt>
                <c:pt idx="2">
                  <c:v>10.75</c:v>
                </c:pt>
                <c:pt idx="3">
                  <c:v>10.93</c:v>
                </c:pt>
                <c:pt idx="4">
                  <c:v>11</c:v>
                </c:pt>
                <c:pt idx="5">
                  <c:v>11</c:v>
                </c:pt>
                <c:pt idx="6">
                  <c:v>11</c:v>
                </c:pt>
                <c:pt idx="7">
                  <c:v>11</c:v>
                </c:pt>
                <c:pt idx="8">
                  <c:v>11</c:v>
                </c:pt>
                <c:pt idx="9">
                  <c:v>11</c:v>
                </c:pt>
                <c:pt idx="10">
                  <c:v>11</c:v>
                </c:pt>
                <c:pt idx="11">
                  <c:v>11</c:v>
                </c:pt>
              </c:numCache>
            </c:numRef>
          </c:xVal>
          <c:yVal>
            <c:numRef>
              <c:f>Tools!WL_List</c:f>
              <c:numCache>
                <c:formatCode>General</c:formatCode>
                <c:ptCount val="12"/>
                <c:pt idx="0">
                  <c:v>0</c:v>
                </c:pt>
                <c:pt idx="1">
                  <c:v>0.5</c:v>
                </c:pt>
                <c:pt idx="2">
                  <c:v>1</c:v>
                </c:pt>
                <c:pt idx="3">
                  <c:v>1.5</c:v>
                </c:pt>
                <c:pt idx="4">
                  <c:v>2</c:v>
                </c:pt>
                <c:pt idx="5">
                  <c:v>4</c:v>
                </c:pt>
                <c:pt idx="6">
                  <c:v>6</c:v>
                </c:pt>
                <c:pt idx="7">
                  <c:v>8</c:v>
                </c:pt>
                <c:pt idx="8">
                  <c:v>9.6999999999999993</c:v>
                </c:pt>
                <c:pt idx="9">
                  <c:v>10</c:v>
                </c:pt>
                <c:pt idx="10">
                  <c:v>12</c:v>
                </c:pt>
                <c:pt idx="11">
                  <c:v>13</c:v>
                </c:pt>
              </c:numCache>
            </c:numRef>
          </c:yVal>
          <c:smooth val="1"/>
        </c:ser>
        <c:ser>
          <c:idx val="14"/>
          <c:order val="14"/>
          <c:tx>
            <c:strRef>
              <c:f>Tools!$DC$76</c:f>
              <c:strCache>
                <c:ptCount val="1"/>
                <c:pt idx="0">
                  <c:v>STN 12</c:v>
                </c:pt>
              </c:strCache>
            </c:strRef>
          </c:tx>
          <c:spPr>
            <a:ln w="3175"/>
          </c:spPr>
          <c:marker>
            <c:symbol val="none"/>
          </c:marker>
          <c:xVal>
            <c:numRef>
              <c:f>Tools!BP_15</c:f>
              <c:numCache>
                <c:formatCode>General</c:formatCode>
                <c:ptCount val="12"/>
                <c:pt idx="0">
                  <c:v>9.6999999999999993</c:v>
                </c:pt>
                <c:pt idx="1">
                  <c:v>10.45</c:v>
                </c:pt>
                <c:pt idx="2">
                  <c:v>10.75</c:v>
                </c:pt>
                <c:pt idx="3">
                  <c:v>10.93</c:v>
                </c:pt>
                <c:pt idx="4">
                  <c:v>11</c:v>
                </c:pt>
                <c:pt idx="5">
                  <c:v>11</c:v>
                </c:pt>
                <c:pt idx="6">
                  <c:v>11</c:v>
                </c:pt>
                <c:pt idx="7">
                  <c:v>11</c:v>
                </c:pt>
                <c:pt idx="8">
                  <c:v>11</c:v>
                </c:pt>
                <c:pt idx="9">
                  <c:v>11</c:v>
                </c:pt>
                <c:pt idx="10">
                  <c:v>11</c:v>
                </c:pt>
                <c:pt idx="11">
                  <c:v>11</c:v>
                </c:pt>
              </c:numCache>
            </c:numRef>
          </c:xVal>
          <c:yVal>
            <c:numRef>
              <c:f>Tools!WL_List</c:f>
              <c:numCache>
                <c:formatCode>General</c:formatCode>
                <c:ptCount val="12"/>
                <c:pt idx="0">
                  <c:v>0</c:v>
                </c:pt>
                <c:pt idx="1">
                  <c:v>0.5</c:v>
                </c:pt>
                <c:pt idx="2">
                  <c:v>1</c:v>
                </c:pt>
                <c:pt idx="3">
                  <c:v>1.5</c:v>
                </c:pt>
                <c:pt idx="4">
                  <c:v>2</c:v>
                </c:pt>
                <c:pt idx="5">
                  <c:v>4</c:v>
                </c:pt>
                <c:pt idx="6">
                  <c:v>6</c:v>
                </c:pt>
                <c:pt idx="7">
                  <c:v>8</c:v>
                </c:pt>
                <c:pt idx="8">
                  <c:v>9.6999999999999993</c:v>
                </c:pt>
                <c:pt idx="9">
                  <c:v>10</c:v>
                </c:pt>
                <c:pt idx="10">
                  <c:v>12</c:v>
                </c:pt>
                <c:pt idx="11">
                  <c:v>13</c:v>
                </c:pt>
              </c:numCache>
            </c:numRef>
          </c:yVal>
          <c:smooth val="1"/>
        </c:ser>
        <c:ser>
          <c:idx val="15"/>
          <c:order val="15"/>
          <c:tx>
            <c:strRef>
              <c:f>Tools!$DC$77</c:f>
              <c:strCache>
                <c:ptCount val="1"/>
                <c:pt idx="0">
                  <c:v>STN 13</c:v>
                </c:pt>
              </c:strCache>
            </c:strRef>
          </c:tx>
          <c:spPr>
            <a:ln w="3175">
              <a:solidFill>
                <a:schemeClr val="tx2">
                  <a:lumMod val="60000"/>
                  <a:lumOff val="40000"/>
                </a:schemeClr>
              </a:solidFill>
            </a:ln>
          </c:spPr>
          <c:marker>
            <c:symbol val="none"/>
          </c:marker>
          <c:xVal>
            <c:numRef>
              <c:f>Tools!BP_16</c:f>
              <c:numCache>
                <c:formatCode>General</c:formatCode>
                <c:ptCount val="12"/>
                <c:pt idx="0">
                  <c:v>9.6999999999999993</c:v>
                </c:pt>
                <c:pt idx="1">
                  <c:v>10.45</c:v>
                </c:pt>
                <c:pt idx="2">
                  <c:v>10.75</c:v>
                </c:pt>
                <c:pt idx="3">
                  <c:v>10.93</c:v>
                </c:pt>
                <c:pt idx="4">
                  <c:v>11</c:v>
                </c:pt>
                <c:pt idx="5">
                  <c:v>11</c:v>
                </c:pt>
                <c:pt idx="6">
                  <c:v>11</c:v>
                </c:pt>
                <c:pt idx="7">
                  <c:v>11</c:v>
                </c:pt>
                <c:pt idx="8">
                  <c:v>11</c:v>
                </c:pt>
                <c:pt idx="9">
                  <c:v>11</c:v>
                </c:pt>
                <c:pt idx="10">
                  <c:v>11</c:v>
                </c:pt>
                <c:pt idx="11">
                  <c:v>11</c:v>
                </c:pt>
              </c:numCache>
            </c:numRef>
          </c:xVal>
          <c:yVal>
            <c:numRef>
              <c:f>Tools!WL_List</c:f>
              <c:numCache>
                <c:formatCode>General</c:formatCode>
                <c:ptCount val="12"/>
                <c:pt idx="0">
                  <c:v>0</c:v>
                </c:pt>
                <c:pt idx="1">
                  <c:v>0.5</c:v>
                </c:pt>
                <c:pt idx="2">
                  <c:v>1</c:v>
                </c:pt>
                <c:pt idx="3">
                  <c:v>1.5</c:v>
                </c:pt>
                <c:pt idx="4">
                  <c:v>2</c:v>
                </c:pt>
                <c:pt idx="5">
                  <c:v>4</c:v>
                </c:pt>
                <c:pt idx="6">
                  <c:v>6</c:v>
                </c:pt>
                <c:pt idx="7">
                  <c:v>8</c:v>
                </c:pt>
                <c:pt idx="8">
                  <c:v>9.6999999999999993</c:v>
                </c:pt>
                <c:pt idx="9">
                  <c:v>10</c:v>
                </c:pt>
                <c:pt idx="10">
                  <c:v>12</c:v>
                </c:pt>
                <c:pt idx="11">
                  <c:v>13</c:v>
                </c:pt>
              </c:numCache>
            </c:numRef>
          </c:yVal>
          <c:smooth val="1"/>
        </c:ser>
        <c:ser>
          <c:idx val="16"/>
          <c:order val="16"/>
          <c:tx>
            <c:strRef>
              <c:f>Tools!$DC$78</c:f>
              <c:strCache>
                <c:ptCount val="1"/>
                <c:pt idx="0">
                  <c:v>STN 14</c:v>
                </c:pt>
              </c:strCache>
            </c:strRef>
          </c:tx>
          <c:spPr>
            <a:ln w="3175">
              <a:solidFill>
                <a:schemeClr val="accent4">
                  <a:lumMod val="75000"/>
                </a:schemeClr>
              </a:solidFill>
            </a:ln>
          </c:spPr>
          <c:marker>
            <c:symbol val="none"/>
          </c:marker>
          <c:xVal>
            <c:numRef>
              <c:f>Tools!BP_17</c:f>
              <c:numCache>
                <c:formatCode>General</c:formatCode>
                <c:ptCount val="12"/>
                <c:pt idx="0">
                  <c:v>9.5</c:v>
                </c:pt>
                <c:pt idx="1">
                  <c:v>10.32</c:v>
                </c:pt>
                <c:pt idx="2">
                  <c:v>10.66</c:v>
                </c:pt>
                <c:pt idx="3">
                  <c:v>10.87</c:v>
                </c:pt>
                <c:pt idx="4">
                  <c:v>11</c:v>
                </c:pt>
                <c:pt idx="5">
                  <c:v>11</c:v>
                </c:pt>
                <c:pt idx="6">
                  <c:v>11</c:v>
                </c:pt>
                <c:pt idx="7">
                  <c:v>11</c:v>
                </c:pt>
                <c:pt idx="8">
                  <c:v>11</c:v>
                </c:pt>
                <c:pt idx="9">
                  <c:v>11</c:v>
                </c:pt>
                <c:pt idx="10">
                  <c:v>11</c:v>
                </c:pt>
                <c:pt idx="11">
                  <c:v>11</c:v>
                </c:pt>
              </c:numCache>
            </c:numRef>
          </c:xVal>
          <c:yVal>
            <c:numRef>
              <c:f>Tools!WL_List</c:f>
              <c:numCache>
                <c:formatCode>General</c:formatCode>
                <c:ptCount val="12"/>
                <c:pt idx="0">
                  <c:v>0</c:v>
                </c:pt>
                <c:pt idx="1">
                  <c:v>0.5</c:v>
                </c:pt>
                <c:pt idx="2">
                  <c:v>1</c:v>
                </c:pt>
                <c:pt idx="3">
                  <c:v>1.5</c:v>
                </c:pt>
                <c:pt idx="4">
                  <c:v>2</c:v>
                </c:pt>
                <c:pt idx="5">
                  <c:v>4</c:v>
                </c:pt>
                <c:pt idx="6">
                  <c:v>6</c:v>
                </c:pt>
                <c:pt idx="7">
                  <c:v>8</c:v>
                </c:pt>
                <c:pt idx="8">
                  <c:v>9.6999999999999993</c:v>
                </c:pt>
                <c:pt idx="9">
                  <c:v>10</c:v>
                </c:pt>
                <c:pt idx="10">
                  <c:v>12</c:v>
                </c:pt>
                <c:pt idx="11">
                  <c:v>13</c:v>
                </c:pt>
              </c:numCache>
            </c:numRef>
          </c:yVal>
          <c:smooth val="1"/>
        </c:ser>
        <c:ser>
          <c:idx val="17"/>
          <c:order val="17"/>
          <c:tx>
            <c:strRef>
              <c:f>Tools!$DC$79</c:f>
              <c:strCache>
                <c:ptCount val="1"/>
                <c:pt idx="0">
                  <c:v>STN 15</c:v>
                </c:pt>
              </c:strCache>
            </c:strRef>
          </c:tx>
          <c:spPr>
            <a:ln w="3175">
              <a:solidFill>
                <a:schemeClr val="accent6">
                  <a:lumMod val="75000"/>
                </a:schemeClr>
              </a:solidFill>
            </a:ln>
          </c:spPr>
          <c:marker>
            <c:symbol val="none"/>
          </c:marker>
          <c:xVal>
            <c:numRef>
              <c:f>Tools!BP_18</c:f>
              <c:numCache>
                <c:formatCode>General</c:formatCode>
                <c:ptCount val="12"/>
                <c:pt idx="0">
                  <c:v>8.9</c:v>
                </c:pt>
                <c:pt idx="1">
                  <c:v>9.76</c:v>
                </c:pt>
                <c:pt idx="2">
                  <c:v>10.199999999999999</c:v>
                </c:pt>
                <c:pt idx="3">
                  <c:v>10.5</c:v>
                </c:pt>
                <c:pt idx="4">
                  <c:v>10.7</c:v>
                </c:pt>
                <c:pt idx="5">
                  <c:v>11</c:v>
                </c:pt>
                <c:pt idx="6">
                  <c:v>11</c:v>
                </c:pt>
                <c:pt idx="7">
                  <c:v>11</c:v>
                </c:pt>
                <c:pt idx="8">
                  <c:v>11</c:v>
                </c:pt>
                <c:pt idx="9">
                  <c:v>11</c:v>
                </c:pt>
                <c:pt idx="10">
                  <c:v>11</c:v>
                </c:pt>
                <c:pt idx="11">
                  <c:v>11</c:v>
                </c:pt>
              </c:numCache>
            </c:numRef>
          </c:xVal>
          <c:yVal>
            <c:numRef>
              <c:f>Tools!WL_List</c:f>
              <c:numCache>
                <c:formatCode>General</c:formatCode>
                <c:ptCount val="12"/>
                <c:pt idx="0">
                  <c:v>0</c:v>
                </c:pt>
                <c:pt idx="1">
                  <c:v>0.5</c:v>
                </c:pt>
                <c:pt idx="2">
                  <c:v>1</c:v>
                </c:pt>
                <c:pt idx="3">
                  <c:v>1.5</c:v>
                </c:pt>
                <c:pt idx="4">
                  <c:v>2</c:v>
                </c:pt>
                <c:pt idx="5">
                  <c:v>4</c:v>
                </c:pt>
                <c:pt idx="6">
                  <c:v>6</c:v>
                </c:pt>
                <c:pt idx="7">
                  <c:v>8</c:v>
                </c:pt>
                <c:pt idx="8">
                  <c:v>9.6999999999999993</c:v>
                </c:pt>
                <c:pt idx="9">
                  <c:v>10</c:v>
                </c:pt>
                <c:pt idx="10">
                  <c:v>12</c:v>
                </c:pt>
                <c:pt idx="11">
                  <c:v>13</c:v>
                </c:pt>
              </c:numCache>
            </c:numRef>
          </c:yVal>
          <c:smooth val="1"/>
        </c:ser>
        <c:ser>
          <c:idx val="18"/>
          <c:order val="18"/>
          <c:tx>
            <c:strRef>
              <c:f>Tools!$DC$80</c:f>
              <c:strCache>
                <c:ptCount val="1"/>
                <c:pt idx="0">
                  <c:v>STN 16</c:v>
                </c:pt>
              </c:strCache>
            </c:strRef>
          </c:tx>
          <c:spPr>
            <a:ln w="3175">
              <a:solidFill>
                <a:srgbClr val="FF0000"/>
              </a:solidFill>
            </a:ln>
          </c:spPr>
          <c:marker>
            <c:symbol val="none"/>
          </c:marker>
          <c:xVal>
            <c:numRef>
              <c:f>Tools!BP_19</c:f>
              <c:numCache>
                <c:formatCode>General</c:formatCode>
                <c:ptCount val="12"/>
                <c:pt idx="0">
                  <c:v>7.6</c:v>
                </c:pt>
                <c:pt idx="1">
                  <c:v>8.64</c:v>
                </c:pt>
                <c:pt idx="2">
                  <c:v>9.27</c:v>
                </c:pt>
                <c:pt idx="3">
                  <c:v>9.66</c:v>
                </c:pt>
                <c:pt idx="4">
                  <c:v>9.91</c:v>
                </c:pt>
                <c:pt idx="5">
                  <c:v>10.5</c:v>
                </c:pt>
                <c:pt idx="6">
                  <c:v>10.7</c:v>
                </c:pt>
                <c:pt idx="7">
                  <c:v>10.8</c:v>
                </c:pt>
                <c:pt idx="8">
                  <c:v>10.89</c:v>
                </c:pt>
                <c:pt idx="9">
                  <c:v>10.9</c:v>
                </c:pt>
                <c:pt idx="10">
                  <c:v>11</c:v>
                </c:pt>
                <c:pt idx="11">
                  <c:v>11</c:v>
                </c:pt>
              </c:numCache>
            </c:numRef>
          </c:xVal>
          <c:yVal>
            <c:numRef>
              <c:f>Tools!WL_List</c:f>
              <c:numCache>
                <c:formatCode>General</c:formatCode>
                <c:ptCount val="12"/>
                <c:pt idx="0">
                  <c:v>0</c:v>
                </c:pt>
                <c:pt idx="1">
                  <c:v>0.5</c:v>
                </c:pt>
                <c:pt idx="2">
                  <c:v>1</c:v>
                </c:pt>
                <c:pt idx="3">
                  <c:v>1.5</c:v>
                </c:pt>
                <c:pt idx="4">
                  <c:v>2</c:v>
                </c:pt>
                <c:pt idx="5">
                  <c:v>4</c:v>
                </c:pt>
                <c:pt idx="6">
                  <c:v>6</c:v>
                </c:pt>
                <c:pt idx="7">
                  <c:v>8</c:v>
                </c:pt>
                <c:pt idx="8">
                  <c:v>9.6999999999999993</c:v>
                </c:pt>
                <c:pt idx="9">
                  <c:v>10</c:v>
                </c:pt>
                <c:pt idx="10">
                  <c:v>12</c:v>
                </c:pt>
                <c:pt idx="11">
                  <c:v>13</c:v>
                </c:pt>
              </c:numCache>
            </c:numRef>
          </c:yVal>
          <c:smooth val="1"/>
        </c:ser>
        <c:ser>
          <c:idx val="19"/>
          <c:order val="19"/>
          <c:tx>
            <c:strRef>
              <c:f>Tools!$DC$81</c:f>
              <c:strCache>
                <c:ptCount val="1"/>
                <c:pt idx="0">
                  <c:v>STN 17</c:v>
                </c:pt>
              </c:strCache>
            </c:strRef>
          </c:tx>
          <c:spPr>
            <a:ln w="3175">
              <a:solidFill>
                <a:schemeClr val="tx1"/>
              </a:solidFill>
            </a:ln>
          </c:spPr>
          <c:marker>
            <c:symbol val="none"/>
          </c:marker>
          <c:xVal>
            <c:numRef>
              <c:f>Tools!BP_20</c:f>
              <c:numCache>
                <c:formatCode>General</c:formatCode>
                <c:ptCount val="12"/>
                <c:pt idx="0">
                  <c:v>5.6</c:v>
                </c:pt>
                <c:pt idx="1">
                  <c:v>6.89</c:v>
                </c:pt>
                <c:pt idx="2">
                  <c:v>7.56</c:v>
                </c:pt>
                <c:pt idx="3">
                  <c:v>8.0399999999999991</c:v>
                </c:pt>
                <c:pt idx="4">
                  <c:v>8.42</c:v>
                </c:pt>
                <c:pt idx="5">
                  <c:v>9.32</c:v>
                </c:pt>
                <c:pt idx="6">
                  <c:v>9.69</c:v>
                </c:pt>
                <c:pt idx="7">
                  <c:v>9.99</c:v>
                </c:pt>
                <c:pt idx="8">
                  <c:v>10.23</c:v>
                </c:pt>
                <c:pt idx="9">
                  <c:v>10.27</c:v>
                </c:pt>
                <c:pt idx="10">
                  <c:v>10.5</c:v>
                </c:pt>
                <c:pt idx="11">
                  <c:v>10.62</c:v>
                </c:pt>
              </c:numCache>
            </c:numRef>
          </c:xVal>
          <c:yVal>
            <c:numRef>
              <c:f>Tools!WL_List</c:f>
              <c:numCache>
                <c:formatCode>General</c:formatCode>
                <c:ptCount val="12"/>
                <c:pt idx="0">
                  <c:v>0</c:v>
                </c:pt>
                <c:pt idx="1">
                  <c:v>0.5</c:v>
                </c:pt>
                <c:pt idx="2">
                  <c:v>1</c:v>
                </c:pt>
                <c:pt idx="3">
                  <c:v>1.5</c:v>
                </c:pt>
                <c:pt idx="4">
                  <c:v>2</c:v>
                </c:pt>
                <c:pt idx="5">
                  <c:v>4</c:v>
                </c:pt>
                <c:pt idx="6">
                  <c:v>6</c:v>
                </c:pt>
                <c:pt idx="7">
                  <c:v>8</c:v>
                </c:pt>
                <c:pt idx="8">
                  <c:v>9.6999999999999993</c:v>
                </c:pt>
                <c:pt idx="9">
                  <c:v>10</c:v>
                </c:pt>
                <c:pt idx="10">
                  <c:v>12</c:v>
                </c:pt>
                <c:pt idx="11">
                  <c:v>13</c:v>
                </c:pt>
              </c:numCache>
            </c:numRef>
          </c:yVal>
          <c:smooth val="1"/>
        </c:ser>
        <c:ser>
          <c:idx val="20"/>
          <c:order val="20"/>
          <c:tx>
            <c:strRef>
              <c:f>Tools!$DC$82</c:f>
              <c:strCache>
                <c:ptCount val="1"/>
                <c:pt idx="0">
                  <c:v>STN 18</c:v>
                </c:pt>
              </c:strCache>
            </c:strRef>
          </c:tx>
          <c:spPr>
            <a:ln w="3175">
              <a:solidFill>
                <a:srgbClr val="FF00FF"/>
              </a:solidFill>
            </a:ln>
          </c:spPr>
          <c:marker>
            <c:symbol val="none"/>
          </c:marker>
          <c:xVal>
            <c:numRef>
              <c:f>Tools!BP_21</c:f>
              <c:numCache>
                <c:formatCode>General</c:formatCode>
                <c:ptCount val="12"/>
                <c:pt idx="0">
                  <c:v>3.5</c:v>
                </c:pt>
                <c:pt idx="1">
                  <c:v>4.6500000000000004</c:v>
                </c:pt>
                <c:pt idx="2">
                  <c:v>5.35</c:v>
                </c:pt>
                <c:pt idx="3">
                  <c:v>5.87</c:v>
                </c:pt>
                <c:pt idx="4">
                  <c:v>6.21</c:v>
                </c:pt>
                <c:pt idx="5">
                  <c:v>7.08</c:v>
                </c:pt>
                <c:pt idx="6">
                  <c:v>7.57</c:v>
                </c:pt>
                <c:pt idx="7">
                  <c:v>7.9291999999999998</c:v>
                </c:pt>
                <c:pt idx="8">
                  <c:v>8.3511000000000006</c:v>
                </c:pt>
                <c:pt idx="9">
                  <c:v>8.43</c:v>
                </c:pt>
                <c:pt idx="10">
                  <c:v>8.92</c:v>
                </c:pt>
                <c:pt idx="11">
                  <c:v>9.16</c:v>
                </c:pt>
              </c:numCache>
            </c:numRef>
          </c:xVal>
          <c:yVal>
            <c:numRef>
              <c:f>Tools!WL_List</c:f>
              <c:numCache>
                <c:formatCode>General</c:formatCode>
                <c:ptCount val="12"/>
                <c:pt idx="0">
                  <c:v>0</c:v>
                </c:pt>
                <c:pt idx="1">
                  <c:v>0.5</c:v>
                </c:pt>
                <c:pt idx="2">
                  <c:v>1</c:v>
                </c:pt>
                <c:pt idx="3">
                  <c:v>1.5</c:v>
                </c:pt>
                <c:pt idx="4">
                  <c:v>2</c:v>
                </c:pt>
                <c:pt idx="5">
                  <c:v>4</c:v>
                </c:pt>
                <c:pt idx="6">
                  <c:v>6</c:v>
                </c:pt>
                <c:pt idx="7">
                  <c:v>8</c:v>
                </c:pt>
                <c:pt idx="8">
                  <c:v>9.6999999999999993</c:v>
                </c:pt>
                <c:pt idx="9">
                  <c:v>10</c:v>
                </c:pt>
                <c:pt idx="10">
                  <c:v>12</c:v>
                </c:pt>
                <c:pt idx="11">
                  <c:v>13</c:v>
                </c:pt>
              </c:numCache>
            </c:numRef>
          </c:yVal>
          <c:smooth val="1"/>
        </c:ser>
        <c:ser>
          <c:idx val="21"/>
          <c:order val="21"/>
          <c:tx>
            <c:strRef>
              <c:f>Tools!$DC$83</c:f>
              <c:strCache>
                <c:ptCount val="1"/>
                <c:pt idx="0">
                  <c:v>STN 18.5</c:v>
                </c:pt>
              </c:strCache>
            </c:strRef>
          </c:tx>
          <c:spPr>
            <a:ln w="3175">
              <a:solidFill>
                <a:schemeClr val="accent3">
                  <a:lumMod val="50000"/>
                </a:schemeClr>
              </a:solidFill>
            </a:ln>
          </c:spPr>
          <c:marker>
            <c:symbol val="none"/>
          </c:marker>
          <c:xVal>
            <c:numRef>
              <c:f>Tools!BP_22</c:f>
              <c:numCache>
                <c:formatCode>General</c:formatCode>
                <c:ptCount val="12"/>
                <c:pt idx="0">
                  <c:v>2.2999999999999998</c:v>
                </c:pt>
                <c:pt idx="1">
                  <c:v>3.43</c:v>
                </c:pt>
                <c:pt idx="2">
                  <c:v>4.13</c:v>
                </c:pt>
                <c:pt idx="3">
                  <c:v>4.58</c:v>
                </c:pt>
                <c:pt idx="4">
                  <c:v>4.91</c:v>
                </c:pt>
                <c:pt idx="5">
                  <c:v>5.63</c:v>
                </c:pt>
                <c:pt idx="6">
                  <c:v>6.05</c:v>
                </c:pt>
                <c:pt idx="7">
                  <c:v>6.39</c:v>
                </c:pt>
                <c:pt idx="8">
                  <c:v>6.82</c:v>
                </c:pt>
                <c:pt idx="9">
                  <c:v>6.91</c:v>
                </c:pt>
                <c:pt idx="10">
                  <c:v>7.5</c:v>
                </c:pt>
                <c:pt idx="11">
                  <c:v>7.8</c:v>
                </c:pt>
              </c:numCache>
            </c:numRef>
          </c:xVal>
          <c:yVal>
            <c:numRef>
              <c:f>Tools!WL_List</c:f>
              <c:numCache>
                <c:formatCode>General</c:formatCode>
                <c:ptCount val="12"/>
                <c:pt idx="0">
                  <c:v>0</c:v>
                </c:pt>
                <c:pt idx="1">
                  <c:v>0.5</c:v>
                </c:pt>
                <c:pt idx="2">
                  <c:v>1</c:v>
                </c:pt>
                <c:pt idx="3">
                  <c:v>1.5</c:v>
                </c:pt>
                <c:pt idx="4">
                  <c:v>2</c:v>
                </c:pt>
                <c:pt idx="5">
                  <c:v>4</c:v>
                </c:pt>
                <c:pt idx="6">
                  <c:v>6</c:v>
                </c:pt>
                <c:pt idx="7">
                  <c:v>8</c:v>
                </c:pt>
                <c:pt idx="8">
                  <c:v>9.6999999999999993</c:v>
                </c:pt>
                <c:pt idx="9">
                  <c:v>10</c:v>
                </c:pt>
                <c:pt idx="10">
                  <c:v>12</c:v>
                </c:pt>
                <c:pt idx="11">
                  <c:v>13</c:v>
                </c:pt>
              </c:numCache>
            </c:numRef>
          </c:yVal>
          <c:smooth val="1"/>
        </c:ser>
        <c:ser>
          <c:idx val="22"/>
          <c:order val="22"/>
          <c:tx>
            <c:strRef>
              <c:f>Tools!$DC$84</c:f>
              <c:strCache>
                <c:ptCount val="1"/>
                <c:pt idx="0">
                  <c:v>STN 19</c:v>
                </c:pt>
              </c:strCache>
            </c:strRef>
          </c:tx>
          <c:spPr>
            <a:ln w="3175">
              <a:solidFill>
                <a:srgbClr val="C00000"/>
              </a:solidFill>
            </a:ln>
          </c:spPr>
          <c:marker>
            <c:symbol val="none"/>
          </c:marker>
          <c:xVal>
            <c:numRef>
              <c:f>Tools!BP_23</c:f>
              <c:numCache>
                <c:formatCode>General</c:formatCode>
                <c:ptCount val="12"/>
                <c:pt idx="0">
                  <c:v>1.3</c:v>
                </c:pt>
                <c:pt idx="1">
                  <c:v>2.2999999999999998</c:v>
                </c:pt>
                <c:pt idx="2">
                  <c:v>2.84</c:v>
                </c:pt>
                <c:pt idx="3">
                  <c:v>3.25</c:v>
                </c:pt>
                <c:pt idx="4">
                  <c:v>3.53</c:v>
                </c:pt>
                <c:pt idx="5">
                  <c:v>4.1100000000000003</c:v>
                </c:pt>
                <c:pt idx="6">
                  <c:v>4.2300000000000004</c:v>
                </c:pt>
                <c:pt idx="7">
                  <c:v>4.47</c:v>
                </c:pt>
                <c:pt idx="8">
                  <c:v>4.87</c:v>
                </c:pt>
                <c:pt idx="9">
                  <c:v>4.9399999999999995</c:v>
                </c:pt>
                <c:pt idx="10">
                  <c:v>5.59</c:v>
                </c:pt>
                <c:pt idx="11">
                  <c:v>5.94</c:v>
                </c:pt>
              </c:numCache>
            </c:numRef>
          </c:xVal>
          <c:yVal>
            <c:numRef>
              <c:f>Tools!WL_List</c:f>
              <c:numCache>
                <c:formatCode>General</c:formatCode>
                <c:ptCount val="12"/>
                <c:pt idx="0">
                  <c:v>0</c:v>
                </c:pt>
                <c:pt idx="1">
                  <c:v>0.5</c:v>
                </c:pt>
                <c:pt idx="2">
                  <c:v>1</c:v>
                </c:pt>
                <c:pt idx="3">
                  <c:v>1.5</c:v>
                </c:pt>
                <c:pt idx="4">
                  <c:v>2</c:v>
                </c:pt>
                <c:pt idx="5">
                  <c:v>4</c:v>
                </c:pt>
                <c:pt idx="6">
                  <c:v>6</c:v>
                </c:pt>
                <c:pt idx="7">
                  <c:v>8</c:v>
                </c:pt>
                <c:pt idx="8">
                  <c:v>9.6999999999999993</c:v>
                </c:pt>
                <c:pt idx="9">
                  <c:v>10</c:v>
                </c:pt>
                <c:pt idx="10">
                  <c:v>12</c:v>
                </c:pt>
                <c:pt idx="11">
                  <c:v>13</c:v>
                </c:pt>
              </c:numCache>
            </c:numRef>
          </c:yVal>
          <c:smooth val="1"/>
        </c:ser>
        <c:ser>
          <c:idx val="23"/>
          <c:order val="23"/>
          <c:tx>
            <c:strRef>
              <c:f>Tools!$DC$85</c:f>
              <c:strCache>
                <c:ptCount val="1"/>
                <c:pt idx="0">
                  <c:v>STN 19.5</c:v>
                </c:pt>
              </c:strCache>
            </c:strRef>
          </c:tx>
          <c:spPr>
            <a:ln w="3175">
              <a:solidFill>
                <a:schemeClr val="tx2">
                  <a:lumMod val="75000"/>
                </a:schemeClr>
              </a:solidFill>
            </a:ln>
          </c:spPr>
          <c:marker>
            <c:symbol val="none"/>
          </c:marker>
          <c:xVal>
            <c:numRef>
              <c:f>Tools!BP_24</c:f>
              <c:numCache>
                <c:formatCode>General</c:formatCode>
                <c:ptCount val="12"/>
                <c:pt idx="0">
                  <c:v>0.4</c:v>
                </c:pt>
                <c:pt idx="1">
                  <c:v>1.21</c:v>
                </c:pt>
                <c:pt idx="2">
                  <c:v>1.69</c:v>
                </c:pt>
                <c:pt idx="3">
                  <c:v>2.02</c:v>
                </c:pt>
                <c:pt idx="4">
                  <c:v>2.29</c:v>
                </c:pt>
                <c:pt idx="5">
                  <c:v>2.63</c:v>
                </c:pt>
                <c:pt idx="6">
                  <c:v>2.38</c:v>
                </c:pt>
                <c:pt idx="7">
                  <c:v>2.25</c:v>
                </c:pt>
                <c:pt idx="8">
                  <c:v>2.42</c:v>
                </c:pt>
                <c:pt idx="9">
                  <c:v>2.4962</c:v>
                </c:pt>
                <c:pt idx="10">
                  <c:v>3.19</c:v>
                </c:pt>
                <c:pt idx="11">
                  <c:v>3.63</c:v>
                </c:pt>
              </c:numCache>
            </c:numRef>
          </c:xVal>
          <c:yVal>
            <c:numRef>
              <c:f>Tools!WL_List</c:f>
              <c:numCache>
                <c:formatCode>General</c:formatCode>
                <c:ptCount val="12"/>
                <c:pt idx="0">
                  <c:v>0</c:v>
                </c:pt>
                <c:pt idx="1">
                  <c:v>0.5</c:v>
                </c:pt>
                <c:pt idx="2">
                  <c:v>1</c:v>
                </c:pt>
                <c:pt idx="3">
                  <c:v>1.5</c:v>
                </c:pt>
                <c:pt idx="4">
                  <c:v>2</c:v>
                </c:pt>
                <c:pt idx="5">
                  <c:v>4</c:v>
                </c:pt>
                <c:pt idx="6">
                  <c:v>6</c:v>
                </c:pt>
                <c:pt idx="7">
                  <c:v>8</c:v>
                </c:pt>
                <c:pt idx="8">
                  <c:v>9.6999999999999993</c:v>
                </c:pt>
                <c:pt idx="9">
                  <c:v>10</c:v>
                </c:pt>
                <c:pt idx="10">
                  <c:v>12</c:v>
                </c:pt>
                <c:pt idx="11">
                  <c:v>13</c:v>
                </c:pt>
              </c:numCache>
            </c:numRef>
          </c:yVal>
          <c:smooth val="1"/>
        </c:ser>
        <c:ser>
          <c:idx val="24"/>
          <c:order val="24"/>
          <c:tx>
            <c:strRef>
              <c:f>Tools!$DC$86</c:f>
              <c:strCache>
                <c:ptCount val="1"/>
                <c:pt idx="0">
                  <c:v>STN 20</c:v>
                </c:pt>
              </c:strCache>
            </c:strRef>
          </c:tx>
          <c:spPr>
            <a:ln w="3175">
              <a:solidFill>
                <a:schemeClr val="accent6">
                  <a:lumMod val="75000"/>
                </a:schemeClr>
              </a:solidFill>
            </a:ln>
          </c:spPr>
          <c:marker>
            <c:symbol val="none"/>
          </c:marker>
          <c:xVal>
            <c:numRef>
              <c:f>Tools!BP_25</c:f>
              <c:numCache>
                <c:formatCode>General</c:formatCode>
                <c:ptCount val="12"/>
                <c:pt idx="0">
                  <c:v>0.1</c:v>
                </c:pt>
                <c:pt idx="1">
                  <c:v>0.8</c:v>
                </c:pt>
                <c:pt idx="2">
                  <c:v>1.2</c:v>
                </c:pt>
                <c:pt idx="3">
                  <c:v>1.43</c:v>
                </c:pt>
                <c:pt idx="4">
                  <c:v>1.53</c:v>
                </c:pt>
                <c:pt idx="5">
                  <c:v>1.1200000000000001</c:v>
                </c:pt>
                <c:pt idx="6">
                  <c:v>0.5</c:v>
                </c:pt>
                <c:pt idx="7">
                  <c:v>0.08</c:v>
                </c:pt>
                <c:pt idx="8">
                  <c:v>0</c:v>
                </c:pt>
                <c:pt idx="9">
                  <c:v>0.03</c:v>
                </c:pt>
                <c:pt idx="10">
                  <c:v>0.8</c:v>
                </c:pt>
                <c:pt idx="11">
                  <c:v>1.63</c:v>
                </c:pt>
              </c:numCache>
            </c:numRef>
          </c:xVal>
          <c:yVal>
            <c:numRef>
              <c:f>Tools!WL_List</c:f>
              <c:numCache>
                <c:formatCode>General</c:formatCode>
                <c:ptCount val="12"/>
                <c:pt idx="0">
                  <c:v>0</c:v>
                </c:pt>
                <c:pt idx="1">
                  <c:v>0.5</c:v>
                </c:pt>
                <c:pt idx="2">
                  <c:v>1</c:v>
                </c:pt>
                <c:pt idx="3">
                  <c:v>1.5</c:v>
                </c:pt>
                <c:pt idx="4">
                  <c:v>2</c:v>
                </c:pt>
                <c:pt idx="5">
                  <c:v>4</c:v>
                </c:pt>
                <c:pt idx="6">
                  <c:v>6</c:v>
                </c:pt>
                <c:pt idx="7">
                  <c:v>8</c:v>
                </c:pt>
                <c:pt idx="8">
                  <c:v>9.6999999999999993</c:v>
                </c:pt>
                <c:pt idx="9">
                  <c:v>10</c:v>
                </c:pt>
                <c:pt idx="10">
                  <c:v>12</c:v>
                </c:pt>
                <c:pt idx="11">
                  <c:v>13</c:v>
                </c:pt>
              </c:numCache>
            </c:numRef>
          </c:yVal>
          <c:smooth val="1"/>
        </c:ser>
        <c:ser>
          <c:idx val="25"/>
          <c:order val="25"/>
          <c:tx>
            <c:v>a</c:v>
          </c:tx>
          <c:marker>
            <c:symbol val="none"/>
          </c:marker>
          <c:xVal>
            <c:numRef>
              <c:f>Tools!$E$182</c:f>
              <c:numCache>
                <c:formatCode>General</c:formatCode>
                <c:ptCount val="1"/>
              </c:numCache>
            </c:numRef>
          </c:xVal>
          <c:yVal>
            <c:numRef>
              <c:f>Tools!$F$182</c:f>
              <c:numCache>
                <c:formatCode>General</c:formatCode>
                <c:ptCount val="1"/>
              </c:numCache>
            </c:numRef>
          </c:yVal>
          <c:smooth val="1"/>
        </c:ser>
        <c:ser>
          <c:idx val="26"/>
          <c:order val="26"/>
          <c:tx>
            <c:strRef>
              <c:f>Tools!$CP$62</c:f>
              <c:strCache>
                <c:ptCount val="1"/>
                <c:pt idx="0">
                  <c:v>WL 0</c:v>
                </c:pt>
              </c:strCache>
            </c:strRef>
          </c:tx>
          <c:spPr>
            <a:ln w="3175">
              <a:solidFill>
                <a:schemeClr val="tx1">
                  <a:lumMod val="50000"/>
                  <a:lumOff val="50000"/>
                </a:schemeClr>
              </a:solidFill>
            </a:ln>
          </c:spPr>
          <c:marker>
            <c:symbol val="none"/>
          </c:marker>
          <c:xVal>
            <c:numRef>
              <c:f>Tools!$CQ$61:$CR$61</c:f>
              <c:numCache>
                <c:formatCode>General</c:formatCode>
                <c:ptCount val="2"/>
                <c:pt idx="0">
                  <c:v>-11</c:v>
                </c:pt>
                <c:pt idx="1">
                  <c:v>11</c:v>
                </c:pt>
              </c:numCache>
            </c:numRef>
          </c:xVal>
          <c:yVal>
            <c:numRef>
              <c:f>Tools!$CQ$62:$CR$62</c:f>
              <c:numCache>
                <c:formatCode>General</c:formatCode>
                <c:ptCount val="2"/>
                <c:pt idx="0">
                  <c:v>0</c:v>
                </c:pt>
                <c:pt idx="1">
                  <c:v>0</c:v>
                </c:pt>
              </c:numCache>
            </c:numRef>
          </c:yVal>
          <c:smooth val="1"/>
        </c:ser>
        <c:ser>
          <c:idx val="27"/>
          <c:order val="27"/>
          <c:tx>
            <c:strRef>
              <c:f>Tools!$CP$63</c:f>
              <c:strCache>
                <c:ptCount val="1"/>
                <c:pt idx="0">
                  <c:v>WL 0.25</c:v>
                </c:pt>
              </c:strCache>
            </c:strRef>
          </c:tx>
          <c:spPr>
            <a:ln w="3175">
              <a:solidFill>
                <a:schemeClr val="tx1">
                  <a:lumMod val="50000"/>
                  <a:lumOff val="50000"/>
                </a:schemeClr>
              </a:solidFill>
            </a:ln>
          </c:spPr>
          <c:marker>
            <c:symbol val="none"/>
          </c:marker>
          <c:xVal>
            <c:numRef>
              <c:f>Tools!$CQ$61:$CR$61</c:f>
              <c:numCache>
                <c:formatCode>General</c:formatCode>
                <c:ptCount val="2"/>
                <c:pt idx="0">
                  <c:v>-11</c:v>
                </c:pt>
                <c:pt idx="1">
                  <c:v>11</c:v>
                </c:pt>
              </c:numCache>
            </c:numRef>
          </c:xVal>
          <c:yVal>
            <c:numRef>
              <c:f>Tools!$CQ$63:$CR$63</c:f>
              <c:numCache>
                <c:formatCode>General</c:formatCode>
                <c:ptCount val="2"/>
                <c:pt idx="0">
                  <c:v>0.5</c:v>
                </c:pt>
                <c:pt idx="1">
                  <c:v>0.5</c:v>
                </c:pt>
              </c:numCache>
            </c:numRef>
          </c:yVal>
          <c:smooth val="1"/>
        </c:ser>
        <c:ser>
          <c:idx val="28"/>
          <c:order val="28"/>
          <c:tx>
            <c:strRef>
              <c:f>Tools!$CP$64</c:f>
              <c:strCache>
                <c:ptCount val="1"/>
                <c:pt idx="0">
                  <c:v>WL 0.5</c:v>
                </c:pt>
              </c:strCache>
            </c:strRef>
          </c:tx>
          <c:spPr>
            <a:ln w="3175">
              <a:solidFill>
                <a:schemeClr val="tx1">
                  <a:lumMod val="50000"/>
                  <a:lumOff val="50000"/>
                </a:schemeClr>
              </a:solidFill>
            </a:ln>
          </c:spPr>
          <c:marker>
            <c:symbol val="none"/>
          </c:marker>
          <c:xVal>
            <c:numRef>
              <c:f>Tools!$CQ$61:$CR$61</c:f>
              <c:numCache>
                <c:formatCode>General</c:formatCode>
                <c:ptCount val="2"/>
                <c:pt idx="0">
                  <c:v>-11</c:v>
                </c:pt>
                <c:pt idx="1">
                  <c:v>11</c:v>
                </c:pt>
              </c:numCache>
            </c:numRef>
          </c:xVal>
          <c:yVal>
            <c:numRef>
              <c:f>Tools!$CQ$64:$CR$64</c:f>
              <c:numCache>
                <c:formatCode>General</c:formatCode>
                <c:ptCount val="2"/>
                <c:pt idx="0">
                  <c:v>1</c:v>
                </c:pt>
                <c:pt idx="1">
                  <c:v>1</c:v>
                </c:pt>
              </c:numCache>
            </c:numRef>
          </c:yVal>
          <c:smooth val="1"/>
        </c:ser>
        <c:ser>
          <c:idx val="29"/>
          <c:order val="29"/>
          <c:tx>
            <c:strRef>
              <c:f>Tools!$CP$65</c:f>
              <c:strCache>
                <c:ptCount val="1"/>
                <c:pt idx="0">
                  <c:v>WL 0.75</c:v>
                </c:pt>
              </c:strCache>
            </c:strRef>
          </c:tx>
          <c:spPr>
            <a:ln w="3175">
              <a:solidFill>
                <a:schemeClr val="tx1">
                  <a:lumMod val="50000"/>
                  <a:lumOff val="50000"/>
                </a:schemeClr>
              </a:solidFill>
            </a:ln>
          </c:spPr>
          <c:marker>
            <c:symbol val="none"/>
          </c:marker>
          <c:xVal>
            <c:numRef>
              <c:f>Tools!$CQ$61:$CR$61</c:f>
              <c:numCache>
                <c:formatCode>General</c:formatCode>
                <c:ptCount val="2"/>
                <c:pt idx="0">
                  <c:v>-11</c:v>
                </c:pt>
                <c:pt idx="1">
                  <c:v>11</c:v>
                </c:pt>
              </c:numCache>
            </c:numRef>
          </c:xVal>
          <c:yVal>
            <c:numRef>
              <c:f>Tools!$CQ$65:$CR$65</c:f>
              <c:numCache>
                <c:formatCode>General</c:formatCode>
                <c:ptCount val="2"/>
                <c:pt idx="0">
                  <c:v>1.5</c:v>
                </c:pt>
                <c:pt idx="1">
                  <c:v>1.5</c:v>
                </c:pt>
              </c:numCache>
            </c:numRef>
          </c:yVal>
          <c:smooth val="1"/>
        </c:ser>
        <c:ser>
          <c:idx val="30"/>
          <c:order val="30"/>
          <c:tx>
            <c:strRef>
              <c:f>Tools!$CP$66</c:f>
              <c:strCache>
                <c:ptCount val="1"/>
                <c:pt idx="0">
                  <c:v>WL 1</c:v>
                </c:pt>
              </c:strCache>
            </c:strRef>
          </c:tx>
          <c:spPr>
            <a:ln w="3175">
              <a:solidFill>
                <a:schemeClr val="tx1">
                  <a:lumMod val="50000"/>
                  <a:lumOff val="50000"/>
                </a:schemeClr>
              </a:solidFill>
            </a:ln>
          </c:spPr>
          <c:marker>
            <c:symbol val="none"/>
          </c:marker>
          <c:xVal>
            <c:numRef>
              <c:f>Tools!$CQ$61:$CR$61</c:f>
              <c:numCache>
                <c:formatCode>General</c:formatCode>
                <c:ptCount val="2"/>
                <c:pt idx="0">
                  <c:v>-11</c:v>
                </c:pt>
                <c:pt idx="1">
                  <c:v>11</c:v>
                </c:pt>
              </c:numCache>
            </c:numRef>
          </c:xVal>
          <c:yVal>
            <c:numRef>
              <c:f>Tools!$CQ$66:$CR$66</c:f>
              <c:numCache>
                <c:formatCode>General</c:formatCode>
                <c:ptCount val="2"/>
                <c:pt idx="0">
                  <c:v>2</c:v>
                </c:pt>
                <c:pt idx="1">
                  <c:v>2</c:v>
                </c:pt>
              </c:numCache>
            </c:numRef>
          </c:yVal>
          <c:smooth val="1"/>
        </c:ser>
        <c:ser>
          <c:idx val="31"/>
          <c:order val="31"/>
          <c:tx>
            <c:strRef>
              <c:f>Tools!$CP$67</c:f>
              <c:strCache>
                <c:ptCount val="1"/>
                <c:pt idx="0">
                  <c:v>WL 2</c:v>
                </c:pt>
              </c:strCache>
            </c:strRef>
          </c:tx>
          <c:spPr>
            <a:ln w="3175">
              <a:solidFill>
                <a:schemeClr val="tx1">
                  <a:lumMod val="50000"/>
                  <a:lumOff val="50000"/>
                </a:schemeClr>
              </a:solidFill>
            </a:ln>
          </c:spPr>
          <c:marker>
            <c:symbol val="none"/>
          </c:marker>
          <c:xVal>
            <c:numRef>
              <c:f>Tools!$CQ$61:$CR$61</c:f>
              <c:numCache>
                <c:formatCode>General</c:formatCode>
                <c:ptCount val="2"/>
                <c:pt idx="0">
                  <c:v>-11</c:v>
                </c:pt>
                <c:pt idx="1">
                  <c:v>11</c:v>
                </c:pt>
              </c:numCache>
            </c:numRef>
          </c:xVal>
          <c:yVal>
            <c:numRef>
              <c:f>Tools!$CQ$67:$CR$67</c:f>
              <c:numCache>
                <c:formatCode>General</c:formatCode>
                <c:ptCount val="2"/>
                <c:pt idx="0">
                  <c:v>4</c:v>
                </c:pt>
                <c:pt idx="1">
                  <c:v>4</c:v>
                </c:pt>
              </c:numCache>
            </c:numRef>
          </c:yVal>
          <c:smooth val="1"/>
        </c:ser>
        <c:ser>
          <c:idx val="32"/>
          <c:order val="32"/>
          <c:tx>
            <c:strRef>
              <c:f>Tools!$CP$68</c:f>
              <c:strCache>
                <c:ptCount val="1"/>
                <c:pt idx="0">
                  <c:v>WL 3</c:v>
                </c:pt>
              </c:strCache>
            </c:strRef>
          </c:tx>
          <c:spPr>
            <a:ln w="3175">
              <a:solidFill>
                <a:schemeClr val="tx1">
                  <a:lumMod val="50000"/>
                  <a:lumOff val="50000"/>
                </a:schemeClr>
              </a:solidFill>
            </a:ln>
          </c:spPr>
          <c:marker>
            <c:symbol val="none"/>
          </c:marker>
          <c:xVal>
            <c:numRef>
              <c:f>Tools!$CQ$61:$CR$61</c:f>
              <c:numCache>
                <c:formatCode>General</c:formatCode>
                <c:ptCount val="2"/>
                <c:pt idx="0">
                  <c:v>-11</c:v>
                </c:pt>
                <c:pt idx="1">
                  <c:v>11</c:v>
                </c:pt>
              </c:numCache>
            </c:numRef>
          </c:xVal>
          <c:yVal>
            <c:numRef>
              <c:f>Tools!$CQ$68:$CR$68</c:f>
              <c:numCache>
                <c:formatCode>General</c:formatCode>
                <c:ptCount val="2"/>
                <c:pt idx="0">
                  <c:v>6</c:v>
                </c:pt>
                <c:pt idx="1">
                  <c:v>6</c:v>
                </c:pt>
              </c:numCache>
            </c:numRef>
          </c:yVal>
          <c:smooth val="1"/>
        </c:ser>
        <c:ser>
          <c:idx val="33"/>
          <c:order val="33"/>
          <c:tx>
            <c:strRef>
              <c:f>Tools!$CP$69</c:f>
              <c:strCache>
                <c:ptCount val="1"/>
                <c:pt idx="0">
                  <c:v>WL 4</c:v>
                </c:pt>
              </c:strCache>
            </c:strRef>
          </c:tx>
          <c:spPr>
            <a:ln w="3175">
              <a:solidFill>
                <a:schemeClr val="tx1">
                  <a:lumMod val="50000"/>
                  <a:lumOff val="50000"/>
                </a:schemeClr>
              </a:solidFill>
            </a:ln>
          </c:spPr>
          <c:marker>
            <c:symbol val="none"/>
          </c:marker>
          <c:xVal>
            <c:numRef>
              <c:f>Tools!$CQ$61:$CR$61</c:f>
              <c:numCache>
                <c:formatCode>General</c:formatCode>
                <c:ptCount val="2"/>
                <c:pt idx="0">
                  <c:v>-11</c:v>
                </c:pt>
                <c:pt idx="1">
                  <c:v>11</c:v>
                </c:pt>
              </c:numCache>
            </c:numRef>
          </c:xVal>
          <c:yVal>
            <c:numRef>
              <c:f>Tools!$CQ$69:$CR$69</c:f>
              <c:numCache>
                <c:formatCode>General</c:formatCode>
                <c:ptCount val="2"/>
                <c:pt idx="0">
                  <c:v>8</c:v>
                </c:pt>
                <c:pt idx="1">
                  <c:v>8</c:v>
                </c:pt>
              </c:numCache>
            </c:numRef>
          </c:yVal>
          <c:smooth val="1"/>
        </c:ser>
        <c:ser>
          <c:idx val="34"/>
          <c:order val="34"/>
          <c:tx>
            <c:strRef>
              <c:f>Tools!$CP$70</c:f>
              <c:strCache>
                <c:ptCount val="1"/>
                <c:pt idx="0">
                  <c:v>WL 4.85</c:v>
                </c:pt>
              </c:strCache>
            </c:strRef>
          </c:tx>
          <c:spPr>
            <a:ln w="3175">
              <a:solidFill>
                <a:schemeClr val="tx1">
                  <a:lumMod val="50000"/>
                  <a:lumOff val="50000"/>
                </a:schemeClr>
              </a:solidFill>
            </a:ln>
          </c:spPr>
          <c:marker>
            <c:symbol val="none"/>
          </c:marker>
          <c:xVal>
            <c:numRef>
              <c:f>Tools!$CQ$61:$CR$61</c:f>
              <c:numCache>
                <c:formatCode>General</c:formatCode>
                <c:ptCount val="2"/>
                <c:pt idx="0">
                  <c:v>-11</c:v>
                </c:pt>
                <c:pt idx="1">
                  <c:v>11</c:v>
                </c:pt>
              </c:numCache>
            </c:numRef>
          </c:xVal>
          <c:yVal>
            <c:numRef>
              <c:f>Tools!$CQ$70:$CR$70</c:f>
              <c:numCache>
                <c:formatCode>General</c:formatCode>
                <c:ptCount val="2"/>
                <c:pt idx="0">
                  <c:v>9.6999999999999993</c:v>
                </c:pt>
                <c:pt idx="1">
                  <c:v>9.6999999999999993</c:v>
                </c:pt>
              </c:numCache>
            </c:numRef>
          </c:yVal>
          <c:smooth val="1"/>
        </c:ser>
        <c:ser>
          <c:idx val="35"/>
          <c:order val="35"/>
          <c:tx>
            <c:strRef>
              <c:f>Tools!$CP$71</c:f>
              <c:strCache>
                <c:ptCount val="1"/>
                <c:pt idx="0">
                  <c:v>WL 5</c:v>
                </c:pt>
              </c:strCache>
            </c:strRef>
          </c:tx>
          <c:spPr>
            <a:ln w="3175">
              <a:solidFill>
                <a:schemeClr val="tx1">
                  <a:lumMod val="50000"/>
                  <a:lumOff val="50000"/>
                </a:schemeClr>
              </a:solidFill>
            </a:ln>
          </c:spPr>
          <c:marker>
            <c:symbol val="none"/>
          </c:marker>
          <c:xVal>
            <c:numRef>
              <c:f>Tools!$CQ$61:$CR$61</c:f>
              <c:numCache>
                <c:formatCode>General</c:formatCode>
                <c:ptCount val="2"/>
                <c:pt idx="0">
                  <c:v>-11</c:v>
                </c:pt>
                <c:pt idx="1">
                  <c:v>11</c:v>
                </c:pt>
              </c:numCache>
            </c:numRef>
          </c:xVal>
          <c:yVal>
            <c:numRef>
              <c:f>Tools!$CQ$71:$CR$71</c:f>
              <c:numCache>
                <c:formatCode>General</c:formatCode>
                <c:ptCount val="2"/>
                <c:pt idx="0">
                  <c:v>10</c:v>
                </c:pt>
                <c:pt idx="1">
                  <c:v>10</c:v>
                </c:pt>
              </c:numCache>
            </c:numRef>
          </c:yVal>
          <c:smooth val="1"/>
        </c:ser>
        <c:ser>
          <c:idx val="36"/>
          <c:order val="36"/>
          <c:tx>
            <c:strRef>
              <c:f>Tools!$CP$72</c:f>
              <c:strCache>
                <c:ptCount val="1"/>
                <c:pt idx="0">
                  <c:v>WL 6</c:v>
                </c:pt>
              </c:strCache>
            </c:strRef>
          </c:tx>
          <c:spPr>
            <a:ln w="3175">
              <a:solidFill>
                <a:schemeClr val="tx1">
                  <a:lumMod val="50000"/>
                  <a:lumOff val="50000"/>
                </a:schemeClr>
              </a:solidFill>
            </a:ln>
          </c:spPr>
          <c:marker>
            <c:symbol val="none"/>
          </c:marker>
          <c:xVal>
            <c:numRef>
              <c:f>Tools!$CQ$61:$CR$61</c:f>
              <c:numCache>
                <c:formatCode>General</c:formatCode>
                <c:ptCount val="2"/>
                <c:pt idx="0">
                  <c:v>-11</c:v>
                </c:pt>
                <c:pt idx="1">
                  <c:v>11</c:v>
                </c:pt>
              </c:numCache>
            </c:numRef>
          </c:xVal>
          <c:yVal>
            <c:numRef>
              <c:f>Tools!$CQ$72:$CR$72</c:f>
              <c:numCache>
                <c:formatCode>General</c:formatCode>
                <c:ptCount val="2"/>
                <c:pt idx="0">
                  <c:v>12</c:v>
                </c:pt>
                <c:pt idx="1">
                  <c:v>12</c:v>
                </c:pt>
              </c:numCache>
            </c:numRef>
          </c:yVal>
          <c:smooth val="1"/>
        </c:ser>
        <c:ser>
          <c:idx val="37"/>
          <c:order val="37"/>
          <c:tx>
            <c:strRef>
              <c:f>Tools!$CP$73</c:f>
              <c:strCache>
                <c:ptCount val="1"/>
                <c:pt idx="0">
                  <c:v>WL 6.5</c:v>
                </c:pt>
              </c:strCache>
            </c:strRef>
          </c:tx>
          <c:spPr>
            <a:ln w="3175">
              <a:solidFill>
                <a:schemeClr val="tx1">
                  <a:lumMod val="50000"/>
                  <a:lumOff val="50000"/>
                </a:schemeClr>
              </a:solidFill>
            </a:ln>
          </c:spPr>
          <c:marker>
            <c:symbol val="none"/>
          </c:marker>
          <c:xVal>
            <c:numRef>
              <c:f>Tools!$CQ$61:$CR$61</c:f>
              <c:numCache>
                <c:formatCode>General</c:formatCode>
                <c:ptCount val="2"/>
                <c:pt idx="0">
                  <c:v>-11</c:v>
                </c:pt>
                <c:pt idx="1">
                  <c:v>11</c:v>
                </c:pt>
              </c:numCache>
            </c:numRef>
          </c:xVal>
          <c:yVal>
            <c:numRef>
              <c:f>Tools!$CQ$73:$CR$73</c:f>
              <c:numCache>
                <c:formatCode>General</c:formatCode>
                <c:ptCount val="2"/>
                <c:pt idx="0">
                  <c:v>13</c:v>
                </c:pt>
                <c:pt idx="1">
                  <c:v>13</c:v>
                </c:pt>
              </c:numCache>
            </c:numRef>
          </c:yVal>
          <c:smooth val="1"/>
        </c:ser>
        <c:ser>
          <c:idx val="38"/>
          <c:order val="38"/>
          <c:tx>
            <c:strRef>
              <c:f>Tools!$CP$74</c:f>
              <c:strCache>
                <c:ptCount val="1"/>
                <c:pt idx="0">
                  <c:v> </c:v>
                </c:pt>
              </c:strCache>
            </c:strRef>
          </c:tx>
          <c:spPr>
            <a:ln w="3175">
              <a:solidFill>
                <a:schemeClr val="tx1">
                  <a:lumMod val="50000"/>
                  <a:lumOff val="50000"/>
                </a:schemeClr>
              </a:solidFill>
            </a:ln>
          </c:spPr>
          <c:marker>
            <c:symbol val="none"/>
          </c:marker>
          <c:xVal>
            <c:numRef>
              <c:f>Tools!$CQ$61:$CR$61</c:f>
              <c:numCache>
                <c:formatCode>General</c:formatCode>
                <c:ptCount val="2"/>
                <c:pt idx="0">
                  <c:v>-11</c:v>
                </c:pt>
                <c:pt idx="1">
                  <c:v>11</c:v>
                </c:pt>
              </c:numCache>
            </c:numRef>
          </c:xVal>
          <c:yVal>
            <c:numRef>
              <c:f>Tools!$CQ$74:$CR$74</c:f>
              <c:numCache>
                <c:formatCode>General</c:formatCode>
                <c:ptCount val="2"/>
                <c:pt idx="0">
                  <c:v>0</c:v>
                </c:pt>
                <c:pt idx="1">
                  <c:v>0</c:v>
                </c:pt>
              </c:numCache>
            </c:numRef>
          </c:yVal>
          <c:smooth val="1"/>
        </c:ser>
        <c:ser>
          <c:idx val="39"/>
          <c:order val="39"/>
          <c:tx>
            <c:strRef>
              <c:f>Tools!$CP$75</c:f>
              <c:strCache>
                <c:ptCount val="1"/>
                <c:pt idx="0">
                  <c:v> </c:v>
                </c:pt>
              </c:strCache>
            </c:strRef>
          </c:tx>
          <c:spPr>
            <a:ln w="3175">
              <a:solidFill>
                <a:schemeClr val="tx1">
                  <a:lumMod val="50000"/>
                  <a:lumOff val="50000"/>
                </a:schemeClr>
              </a:solidFill>
            </a:ln>
          </c:spPr>
          <c:marker>
            <c:symbol val="none"/>
          </c:marker>
          <c:xVal>
            <c:numRef>
              <c:f>Tools!$CQ$61:$CR$61</c:f>
              <c:numCache>
                <c:formatCode>General</c:formatCode>
                <c:ptCount val="2"/>
                <c:pt idx="0">
                  <c:v>-11</c:v>
                </c:pt>
                <c:pt idx="1">
                  <c:v>11</c:v>
                </c:pt>
              </c:numCache>
            </c:numRef>
          </c:xVal>
          <c:yVal>
            <c:numRef>
              <c:f>Tools!$CQ$75:$CR$75</c:f>
              <c:numCache>
                <c:formatCode>General</c:formatCode>
                <c:ptCount val="2"/>
                <c:pt idx="0">
                  <c:v>0</c:v>
                </c:pt>
                <c:pt idx="1">
                  <c:v>0</c:v>
                </c:pt>
              </c:numCache>
            </c:numRef>
          </c:yVal>
          <c:smooth val="1"/>
        </c:ser>
        <c:ser>
          <c:idx val="40"/>
          <c:order val="40"/>
          <c:tx>
            <c:strRef>
              <c:f>Tools!$CP$76</c:f>
              <c:strCache>
                <c:ptCount val="1"/>
                <c:pt idx="0">
                  <c:v> </c:v>
                </c:pt>
              </c:strCache>
            </c:strRef>
          </c:tx>
          <c:spPr>
            <a:ln w="3175">
              <a:solidFill>
                <a:schemeClr val="tx1">
                  <a:lumMod val="50000"/>
                  <a:lumOff val="50000"/>
                </a:schemeClr>
              </a:solidFill>
            </a:ln>
          </c:spPr>
          <c:marker>
            <c:symbol val="none"/>
          </c:marker>
          <c:xVal>
            <c:numRef>
              <c:f>Tools!$CQ$61:$CR$61</c:f>
              <c:numCache>
                <c:formatCode>General</c:formatCode>
                <c:ptCount val="2"/>
                <c:pt idx="0">
                  <c:v>-11</c:v>
                </c:pt>
                <c:pt idx="1">
                  <c:v>11</c:v>
                </c:pt>
              </c:numCache>
            </c:numRef>
          </c:xVal>
          <c:yVal>
            <c:numRef>
              <c:f>Tools!$CQ$76:$CR$76</c:f>
              <c:numCache>
                <c:formatCode>General</c:formatCode>
                <c:ptCount val="2"/>
                <c:pt idx="0">
                  <c:v>0</c:v>
                </c:pt>
                <c:pt idx="1">
                  <c:v>0</c:v>
                </c:pt>
              </c:numCache>
            </c:numRef>
          </c:yVal>
          <c:smooth val="1"/>
        </c:ser>
        <c:ser>
          <c:idx val="41"/>
          <c:order val="41"/>
          <c:tx>
            <c:strRef>
              <c:f>Tools!$CP$77</c:f>
              <c:strCache>
                <c:ptCount val="1"/>
                <c:pt idx="0">
                  <c:v> </c:v>
                </c:pt>
              </c:strCache>
            </c:strRef>
          </c:tx>
          <c:spPr>
            <a:ln w="3175">
              <a:solidFill>
                <a:schemeClr val="tx1">
                  <a:lumMod val="50000"/>
                  <a:lumOff val="50000"/>
                </a:schemeClr>
              </a:solidFill>
            </a:ln>
          </c:spPr>
          <c:marker>
            <c:symbol val="none"/>
          </c:marker>
          <c:xVal>
            <c:numRef>
              <c:f>Tools!$CQ$61:$CR$61</c:f>
              <c:numCache>
                <c:formatCode>General</c:formatCode>
                <c:ptCount val="2"/>
                <c:pt idx="0">
                  <c:v>-11</c:v>
                </c:pt>
                <c:pt idx="1">
                  <c:v>11</c:v>
                </c:pt>
              </c:numCache>
            </c:numRef>
          </c:xVal>
          <c:yVal>
            <c:numRef>
              <c:f>Tools!$CQ$77:$CR$77</c:f>
              <c:numCache>
                <c:formatCode>General</c:formatCode>
                <c:ptCount val="2"/>
                <c:pt idx="0">
                  <c:v>0</c:v>
                </c:pt>
                <c:pt idx="1">
                  <c:v>0</c:v>
                </c:pt>
              </c:numCache>
            </c:numRef>
          </c:yVal>
          <c:smooth val="1"/>
        </c:ser>
        <c:ser>
          <c:idx val="42"/>
          <c:order val="42"/>
          <c:tx>
            <c:strRef>
              <c:f>Tools!$CP$78</c:f>
              <c:strCache>
                <c:ptCount val="1"/>
                <c:pt idx="0">
                  <c:v> </c:v>
                </c:pt>
              </c:strCache>
            </c:strRef>
          </c:tx>
          <c:spPr>
            <a:ln w="3175">
              <a:solidFill>
                <a:schemeClr val="tx1">
                  <a:lumMod val="50000"/>
                  <a:lumOff val="50000"/>
                </a:schemeClr>
              </a:solidFill>
            </a:ln>
          </c:spPr>
          <c:marker>
            <c:symbol val="none"/>
          </c:marker>
          <c:xVal>
            <c:numRef>
              <c:f>Tools!$CQ$61:$CR$61</c:f>
              <c:numCache>
                <c:formatCode>General</c:formatCode>
                <c:ptCount val="2"/>
                <c:pt idx="0">
                  <c:v>-11</c:v>
                </c:pt>
                <c:pt idx="1">
                  <c:v>11</c:v>
                </c:pt>
              </c:numCache>
            </c:numRef>
          </c:xVal>
          <c:yVal>
            <c:numRef>
              <c:f>Tools!$CQ$78:$CR$78</c:f>
              <c:numCache>
                <c:formatCode>General</c:formatCode>
                <c:ptCount val="2"/>
                <c:pt idx="0">
                  <c:v>0</c:v>
                </c:pt>
                <c:pt idx="1">
                  <c:v>0</c:v>
                </c:pt>
              </c:numCache>
            </c:numRef>
          </c:yVal>
          <c:smooth val="1"/>
        </c:ser>
        <c:ser>
          <c:idx val="43"/>
          <c:order val="43"/>
          <c:tx>
            <c:strRef>
              <c:f>Tools!$CP$79</c:f>
              <c:strCache>
                <c:ptCount val="1"/>
                <c:pt idx="0">
                  <c:v> </c:v>
                </c:pt>
              </c:strCache>
            </c:strRef>
          </c:tx>
          <c:spPr>
            <a:ln w="3175">
              <a:solidFill>
                <a:schemeClr val="tx1">
                  <a:lumMod val="50000"/>
                  <a:lumOff val="50000"/>
                </a:schemeClr>
              </a:solidFill>
            </a:ln>
          </c:spPr>
          <c:marker>
            <c:symbol val="none"/>
          </c:marker>
          <c:xVal>
            <c:numRef>
              <c:f>Tools!$CQ$61:$CR$61</c:f>
              <c:numCache>
                <c:formatCode>General</c:formatCode>
                <c:ptCount val="2"/>
                <c:pt idx="0">
                  <c:v>-11</c:v>
                </c:pt>
                <c:pt idx="1">
                  <c:v>11</c:v>
                </c:pt>
              </c:numCache>
            </c:numRef>
          </c:xVal>
          <c:yVal>
            <c:numRef>
              <c:f>Tools!$CQ$79:$CR$79</c:f>
              <c:numCache>
                <c:formatCode>General</c:formatCode>
                <c:ptCount val="2"/>
                <c:pt idx="0">
                  <c:v>0</c:v>
                </c:pt>
                <c:pt idx="1">
                  <c:v>0</c:v>
                </c:pt>
              </c:numCache>
            </c:numRef>
          </c:yVal>
          <c:smooth val="1"/>
        </c:ser>
        <c:ser>
          <c:idx val="44"/>
          <c:order val="44"/>
          <c:tx>
            <c:strRef>
              <c:f>Tools!$CP$80</c:f>
              <c:strCache>
                <c:ptCount val="1"/>
                <c:pt idx="0">
                  <c:v> </c:v>
                </c:pt>
              </c:strCache>
            </c:strRef>
          </c:tx>
          <c:spPr>
            <a:ln w="3175">
              <a:solidFill>
                <a:schemeClr val="tx1">
                  <a:lumMod val="50000"/>
                  <a:lumOff val="50000"/>
                </a:schemeClr>
              </a:solidFill>
            </a:ln>
          </c:spPr>
          <c:marker>
            <c:symbol val="none"/>
          </c:marker>
          <c:xVal>
            <c:numRef>
              <c:f>Tools!$CQ$61:$CR$61</c:f>
              <c:numCache>
                <c:formatCode>General</c:formatCode>
                <c:ptCount val="2"/>
                <c:pt idx="0">
                  <c:v>-11</c:v>
                </c:pt>
                <c:pt idx="1">
                  <c:v>11</c:v>
                </c:pt>
              </c:numCache>
            </c:numRef>
          </c:xVal>
          <c:yVal>
            <c:numRef>
              <c:f>Tools!$CQ$80:$CR$80</c:f>
              <c:numCache>
                <c:formatCode>General</c:formatCode>
                <c:ptCount val="2"/>
                <c:pt idx="0">
                  <c:v>0</c:v>
                </c:pt>
                <c:pt idx="1">
                  <c:v>0</c:v>
                </c:pt>
              </c:numCache>
            </c:numRef>
          </c:yVal>
          <c:smooth val="1"/>
        </c:ser>
        <c:ser>
          <c:idx val="45"/>
          <c:order val="45"/>
          <c:tx>
            <c:strRef>
              <c:f>Tools!$CP$81</c:f>
              <c:strCache>
                <c:ptCount val="1"/>
                <c:pt idx="0">
                  <c:v> </c:v>
                </c:pt>
              </c:strCache>
            </c:strRef>
          </c:tx>
          <c:spPr>
            <a:ln w="3175">
              <a:solidFill>
                <a:schemeClr val="tx1">
                  <a:lumMod val="50000"/>
                  <a:lumOff val="50000"/>
                </a:schemeClr>
              </a:solidFill>
            </a:ln>
          </c:spPr>
          <c:marker>
            <c:symbol val="none"/>
          </c:marker>
          <c:xVal>
            <c:numRef>
              <c:f>Tools!$CQ$61:$CR$61</c:f>
              <c:numCache>
                <c:formatCode>General</c:formatCode>
                <c:ptCount val="2"/>
                <c:pt idx="0">
                  <c:v>-11</c:v>
                </c:pt>
                <c:pt idx="1">
                  <c:v>11</c:v>
                </c:pt>
              </c:numCache>
            </c:numRef>
          </c:xVal>
          <c:yVal>
            <c:numRef>
              <c:f>Tools!$CQ$81:$CR$81</c:f>
              <c:numCache>
                <c:formatCode>General</c:formatCode>
                <c:ptCount val="2"/>
                <c:pt idx="0">
                  <c:v>0</c:v>
                </c:pt>
                <c:pt idx="1">
                  <c:v>0</c:v>
                </c:pt>
              </c:numCache>
            </c:numRef>
          </c:yVal>
          <c:smooth val="1"/>
        </c:ser>
        <c:ser>
          <c:idx val="46"/>
          <c:order val="46"/>
          <c:tx>
            <c:strRef>
              <c:f>Tools!$CP$82</c:f>
              <c:strCache>
                <c:ptCount val="1"/>
                <c:pt idx="0">
                  <c:v> </c:v>
                </c:pt>
              </c:strCache>
            </c:strRef>
          </c:tx>
          <c:spPr>
            <a:ln w="3175">
              <a:solidFill>
                <a:schemeClr val="tx1">
                  <a:lumMod val="50000"/>
                  <a:lumOff val="50000"/>
                </a:schemeClr>
              </a:solidFill>
            </a:ln>
          </c:spPr>
          <c:marker>
            <c:symbol val="none"/>
          </c:marker>
          <c:xVal>
            <c:numRef>
              <c:f>Tools!$CQ$61:$CR$61</c:f>
              <c:numCache>
                <c:formatCode>General</c:formatCode>
                <c:ptCount val="2"/>
                <c:pt idx="0">
                  <c:v>-11</c:v>
                </c:pt>
                <c:pt idx="1">
                  <c:v>11</c:v>
                </c:pt>
              </c:numCache>
            </c:numRef>
          </c:xVal>
          <c:yVal>
            <c:numRef>
              <c:f>Tools!$CQ$82:$CR$82</c:f>
              <c:numCache>
                <c:formatCode>General</c:formatCode>
                <c:ptCount val="2"/>
                <c:pt idx="0">
                  <c:v>0</c:v>
                </c:pt>
                <c:pt idx="1">
                  <c:v>0</c:v>
                </c:pt>
              </c:numCache>
            </c:numRef>
          </c:yVal>
          <c:smooth val="1"/>
        </c:ser>
        <c:ser>
          <c:idx val="47"/>
          <c:order val="47"/>
          <c:tx>
            <c:strRef>
              <c:f>Tools!$CP$83</c:f>
              <c:strCache>
                <c:ptCount val="1"/>
                <c:pt idx="0">
                  <c:v> </c:v>
                </c:pt>
              </c:strCache>
            </c:strRef>
          </c:tx>
          <c:spPr>
            <a:ln w="3175">
              <a:solidFill>
                <a:schemeClr val="tx1">
                  <a:lumMod val="50000"/>
                  <a:lumOff val="50000"/>
                </a:schemeClr>
              </a:solidFill>
            </a:ln>
          </c:spPr>
          <c:marker>
            <c:symbol val="none"/>
          </c:marker>
          <c:xVal>
            <c:numRef>
              <c:f>Tools!$CQ$61:$CR$61</c:f>
              <c:numCache>
                <c:formatCode>General</c:formatCode>
                <c:ptCount val="2"/>
                <c:pt idx="0">
                  <c:v>-11</c:v>
                </c:pt>
                <c:pt idx="1">
                  <c:v>11</c:v>
                </c:pt>
              </c:numCache>
            </c:numRef>
          </c:xVal>
          <c:yVal>
            <c:numRef>
              <c:f>Tools!$CQ$83:$CR$83</c:f>
              <c:numCache>
                <c:formatCode>General</c:formatCode>
                <c:ptCount val="2"/>
                <c:pt idx="0">
                  <c:v>0</c:v>
                </c:pt>
                <c:pt idx="1">
                  <c:v>0</c:v>
                </c:pt>
              </c:numCache>
            </c:numRef>
          </c:yVal>
          <c:smooth val="1"/>
        </c:ser>
        <c:ser>
          <c:idx val="48"/>
          <c:order val="48"/>
          <c:tx>
            <c:strRef>
              <c:f>Tools!$CP$84</c:f>
              <c:strCache>
                <c:ptCount val="1"/>
                <c:pt idx="0">
                  <c:v> </c:v>
                </c:pt>
              </c:strCache>
            </c:strRef>
          </c:tx>
          <c:spPr>
            <a:ln w="3175">
              <a:solidFill>
                <a:schemeClr val="tx1">
                  <a:lumMod val="50000"/>
                  <a:lumOff val="50000"/>
                </a:schemeClr>
              </a:solidFill>
            </a:ln>
          </c:spPr>
          <c:marker>
            <c:symbol val="none"/>
          </c:marker>
          <c:xVal>
            <c:numRef>
              <c:f>Tools!$CQ$61:$CR$61</c:f>
              <c:numCache>
                <c:formatCode>General</c:formatCode>
                <c:ptCount val="2"/>
                <c:pt idx="0">
                  <c:v>-11</c:v>
                </c:pt>
                <c:pt idx="1">
                  <c:v>11</c:v>
                </c:pt>
              </c:numCache>
            </c:numRef>
          </c:xVal>
          <c:yVal>
            <c:numRef>
              <c:f>Tools!$CQ$84:$CR$84</c:f>
              <c:numCache>
                <c:formatCode>General</c:formatCode>
                <c:ptCount val="2"/>
                <c:pt idx="0">
                  <c:v>0</c:v>
                </c:pt>
                <c:pt idx="1">
                  <c:v>0</c:v>
                </c:pt>
              </c:numCache>
            </c:numRef>
          </c:yVal>
          <c:smooth val="1"/>
        </c:ser>
        <c:ser>
          <c:idx val="49"/>
          <c:order val="49"/>
          <c:tx>
            <c:strRef>
              <c:f>Tools!$CP$85</c:f>
              <c:strCache>
                <c:ptCount val="1"/>
                <c:pt idx="0">
                  <c:v> </c:v>
                </c:pt>
              </c:strCache>
            </c:strRef>
          </c:tx>
          <c:spPr>
            <a:ln w="3175">
              <a:solidFill>
                <a:schemeClr val="tx1">
                  <a:lumMod val="50000"/>
                  <a:lumOff val="50000"/>
                </a:schemeClr>
              </a:solidFill>
            </a:ln>
          </c:spPr>
          <c:marker>
            <c:symbol val="none"/>
          </c:marker>
          <c:xVal>
            <c:numRef>
              <c:f>Tools!$CQ$61:$CR$61</c:f>
              <c:numCache>
                <c:formatCode>General</c:formatCode>
                <c:ptCount val="2"/>
                <c:pt idx="0">
                  <c:v>-11</c:v>
                </c:pt>
                <c:pt idx="1">
                  <c:v>11</c:v>
                </c:pt>
              </c:numCache>
            </c:numRef>
          </c:xVal>
          <c:yVal>
            <c:numRef>
              <c:f>Tools!$CQ$85:$CR$85</c:f>
              <c:numCache>
                <c:formatCode>General</c:formatCode>
                <c:ptCount val="2"/>
                <c:pt idx="0">
                  <c:v>0</c:v>
                </c:pt>
                <c:pt idx="1">
                  <c:v>0</c:v>
                </c:pt>
              </c:numCache>
            </c:numRef>
          </c:yVal>
          <c:smooth val="1"/>
        </c:ser>
        <c:ser>
          <c:idx val="50"/>
          <c:order val="50"/>
          <c:tx>
            <c:strRef>
              <c:f>Tools!$CP$86</c:f>
              <c:strCache>
                <c:ptCount val="1"/>
                <c:pt idx="0">
                  <c:v> </c:v>
                </c:pt>
              </c:strCache>
            </c:strRef>
          </c:tx>
          <c:spPr>
            <a:ln w="3175">
              <a:solidFill>
                <a:schemeClr val="tx1">
                  <a:lumMod val="50000"/>
                  <a:lumOff val="50000"/>
                </a:schemeClr>
              </a:solidFill>
            </a:ln>
          </c:spPr>
          <c:marker>
            <c:symbol val="none"/>
          </c:marker>
          <c:xVal>
            <c:numRef>
              <c:f>Tools!$CQ$61:$CR$61</c:f>
              <c:numCache>
                <c:formatCode>General</c:formatCode>
                <c:ptCount val="2"/>
                <c:pt idx="0">
                  <c:v>-11</c:v>
                </c:pt>
                <c:pt idx="1">
                  <c:v>11</c:v>
                </c:pt>
              </c:numCache>
            </c:numRef>
          </c:xVal>
          <c:yVal>
            <c:numRef>
              <c:f>Tools!$CQ$86:$CR$86</c:f>
              <c:numCache>
                <c:formatCode>General</c:formatCode>
                <c:ptCount val="2"/>
                <c:pt idx="0">
                  <c:v>0</c:v>
                </c:pt>
                <c:pt idx="1">
                  <c:v>0</c:v>
                </c:pt>
              </c:numCache>
            </c:numRef>
          </c:yVal>
          <c:smooth val="1"/>
        </c:ser>
        <c:ser>
          <c:idx val="51"/>
          <c:order val="51"/>
          <c:tx>
            <c:strRef>
              <c:f>Tools!$CV$62</c:f>
              <c:strCache>
                <c:ptCount val="1"/>
                <c:pt idx="0">
                  <c:v>BTK 1</c:v>
                </c:pt>
              </c:strCache>
            </c:strRef>
          </c:tx>
          <c:spPr>
            <a:ln w="3175">
              <a:solidFill>
                <a:schemeClr val="bg1">
                  <a:lumMod val="75000"/>
                </a:schemeClr>
              </a:solidFill>
            </a:ln>
          </c:spPr>
          <c:marker>
            <c:symbol val="none"/>
          </c:marker>
          <c:xVal>
            <c:numRef>
              <c:f>Tools!$CW$62:$CX$62</c:f>
              <c:numCache>
                <c:formatCode>General</c:formatCode>
                <c:ptCount val="2"/>
                <c:pt idx="0">
                  <c:v>-3.6666666666666665</c:v>
                </c:pt>
                <c:pt idx="1">
                  <c:v>-3.6666666666666665</c:v>
                </c:pt>
              </c:numCache>
            </c:numRef>
          </c:xVal>
          <c:yVal>
            <c:numRef>
              <c:f>Tools!$CW$61:$CX$61</c:f>
              <c:numCache>
                <c:formatCode>General</c:formatCode>
                <c:ptCount val="2"/>
                <c:pt idx="0">
                  <c:v>0</c:v>
                </c:pt>
                <c:pt idx="1">
                  <c:v>13</c:v>
                </c:pt>
              </c:numCache>
            </c:numRef>
          </c:yVal>
          <c:smooth val="1"/>
        </c:ser>
        <c:ser>
          <c:idx val="52"/>
          <c:order val="52"/>
          <c:tx>
            <c:strRef>
              <c:f>Tools!$CV$63</c:f>
              <c:strCache>
                <c:ptCount val="1"/>
                <c:pt idx="0">
                  <c:v>BTK 2</c:v>
                </c:pt>
              </c:strCache>
            </c:strRef>
          </c:tx>
          <c:spPr>
            <a:ln w="3175">
              <a:solidFill>
                <a:schemeClr val="bg1">
                  <a:lumMod val="75000"/>
                </a:schemeClr>
              </a:solidFill>
            </a:ln>
          </c:spPr>
          <c:marker>
            <c:symbol val="none"/>
          </c:marker>
          <c:xVal>
            <c:numRef>
              <c:f>Tools!$CW$63:$CX$63</c:f>
              <c:numCache>
                <c:formatCode>General</c:formatCode>
                <c:ptCount val="2"/>
                <c:pt idx="0">
                  <c:v>-7.333333333333333</c:v>
                </c:pt>
                <c:pt idx="1">
                  <c:v>-7.333333333333333</c:v>
                </c:pt>
              </c:numCache>
            </c:numRef>
          </c:xVal>
          <c:yVal>
            <c:numRef>
              <c:f>Tools!$CW$61:$CX$61</c:f>
              <c:numCache>
                <c:formatCode>General</c:formatCode>
                <c:ptCount val="2"/>
                <c:pt idx="0">
                  <c:v>0</c:v>
                </c:pt>
                <c:pt idx="1">
                  <c:v>13</c:v>
                </c:pt>
              </c:numCache>
            </c:numRef>
          </c:yVal>
          <c:smooth val="1"/>
        </c:ser>
        <c:ser>
          <c:idx val="53"/>
          <c:order val="53"/>
          <c:tx>
            <c:strRef>
              <c:f>Tools!$CV$64</c:f>
              <c:strCache>
                <c:ptCount val="1"/>
                <c:pt idx="0">
                  <c:v>SIDE</c:v>
                </c:pt>
              </c:strCache>
            </c:strRef>
          </c:tx>
          <c:spPr>
            <a:ln w="3175">
              <a:solidFill>
                <a:schemeClr val="bg1">
                  <a:lumMod val="75000"/>
                </a:schemeClr>
              </a:solidFill>
            </a:ln>
          </c:spPr>
          <c:marker>
            <c:symbol val="none"/>
          </c:marker>
          <c:xVal>
            <c:numRef>
              <c:f>Tools!$CW$64:$CX$64</c:f>
              <c:numCache>
                <c:formatCode>General</c:formatCode>
                <c:ptCount val="2"/>
                <c:pt idx="0">
                  <c:v>-11</c:v>
                </c:pt>
                <c:pt idx="1">
                  <c:v>-11</c:v>
                </c:pt>
              </c:numCache>
            </c:numRef>
          </c:xVal>
          <c:yVal>
            <c:numRef>
              <c:f>Tools!$CW$61:$CX$61</c:f>
              <c:numCache>
                <c:formatCode>General</c:formatCode>
                <c:ptCount val="2"/>
                <c:pt idx="0">
                  <c:v>0</c:v>
                </c:pt>
                <c:pt idx="1">
                  <c:v>13</c:v>
                </c:pt>
              </c:numCache>
            </c:numRef>
          </c:yVal>
          <c:smooth val="1"/>
        </c:ser>
        <c:ser>
          <c:idx val="54"/>
          <c:order val="54"/>
          <c:tx>
            <c:strRef>
              <c:f>Tools!$CV$65</c:f>
              <c:strCache>
                <c:ptCount val="1"/>
                <c:pt idx="0">
                  <c:v> </c:v>
                </c:pt>
              </c:strCache>
            </c:strRef>
          </c:tx>
          <c:spPr>
            <a:ln w="3175">
              <a:solidFill>
                <a:schemeClr val="bg1">
                  <a:lumMod val="75000"/>
                </a:schemeClr>
              </a:solidFill>
            </a:ln>
          </c:spPr>
          <c:marker>
            <c:symbol val="none"/>
          </c:marker>
          <c:xVal>
            <c:numRef>
              <c:f>Tools!$CW$65:$CX$65</c:f>
              <c:numCache>
                <c:formatCode>General</c:formatCode>
                <c:ptCount val="2"/>
                <c:pt idx="0">
                  <c:v>0</c:v>
                </c:pt>
                <c:pt idx="1">
                  <c:v>0</c:v>
                </c:pt>
              </c:numCache>
            </c:numRef>
          </c:xVal>
          <c:yVal>
            <c:numRef>
              <c:f>Tools!$CW$61:$CX$61</c:f>
              <c:numCache>
                <c:formatCode>General</c:formatCode>
                <c:ptCount val="2"/>
                <c:pt idx="0">
                  <c:v>0</c:v>
                </c:pt>
                <c:pt idx="1">
                  <c:v>13</c:v>
                </c:pt>
              </c:numCache>
            </c:numRef>
          </c:yVal>
          <c:smooth val="1"/>
        </c:ser>
        <c:ser>
          <c:idx val="55"/>
          <c:order val="55"/>
          <c:tx>
            <c:strRef>
              <c:f>Tools!$CV$66</c:f>
              <c:strCache>
                <c:ptCount val="1"/>
                <c:pt idx="0">
                  <c:v> </c:v>
                </c:pt>
              </c:strCache>
            </c:strRef>
          </c:tx>
          <c:spPr>
            <a:ln w="3175">
              <a:solidFill>
                <a:schemeClr val="bg1">
                  <a:lumMod val="75000"/>
                </a:schemeClr>
              </a:solidFill>
            </a:ln>
          </c:spPr>
          <c:marker>
            <c:symbol val="none"/>
          </c:marker>
          <c:xVal>
            <c:numRef>
              <c:f>Tools!$CW$66:$CX$66</c:f>
              <c:numCache>
                <c:formatCode>General</c:formatCode>
                <c:ptCount val="2"/>
                <c:pt idx="0">
                  <c:v>0</c:v>
                </c:pt>
                <c:pt idx="1">
                  <c:v>0</c:v>
                </c:pt>
              </c:numCache>
            </c:numRef>
          </c:xVal>
          <c:yVal>
            <c:numRef>
              <c:f>Tools!$CW$61:$CX$61</c:f>
              <c:numCache>
                <c:formatCode>General</c:formatCode>
                <c:ptCount val="2"/>
                <c:pt idx="0">
                  <c:v>0</c:v>
                </c:pt>
                <c:pt idx="1">
                  <c:v>13</c:v>
                </c:pt>
              </c:numCache>
            </c:numRef>
          </c:yVal>
          <c:smooth val="1"/>
        </c:ser>
        <c:ser>
          <c:idx val="56"/>
          <c:order val="56"/>
          <c:tx>
            <c:strRef>
              <c:f>Tools!$CV$67</c:f>
              <c:strCache>
                <c:ptCount val="1"/>
                <c:pt idx="0">
                  <c:v> </c:v>
                </c:pt>
              </c:strCache>
            </c:strRef>
          </c:tx>
          <c:spPr>
            <a:ln w="3175">
              <a:solidFill>
                <a:schemeClr val="bg1">
                  <a:lumMod val="75000"/>
                </a:schemeClr>
              </a:solidFill>
            </a:ln>
          </c:spPr>
          <c:marker>
            <c:symbol val="none"/>
          </c:marker>
          <c:xVal>
            <c:numRef>
              <c:f>Tools!$CW$67:$CX$67</c:f>
              <c:numCache>
                <c:formatCode>General</c:formatCode>
                <c:ptCount val="2"/>
                <c:pt idx="0">
                  <c:v>0</c:v>
                </c:pt>
                <c:pt idx="1">
                  <c:v>0</c:v>
                </c:pt>
              </c:numCache>
            </c:numRef>
          </c:xVal>
          <c:yVal>
            <c:numRef>
              <c:f>Tools!$CW$61:$CX$61</c:f>
              <c:numCache>
                <c:formatCode>General</c:formatCode>
                <c:ptCount val="2"/>
                <c:pt idx="0">
                  <c:v>0</c:v>
                </c:pt>
                <c:pt idx="1">
                  <c:v>13</c:v>
                </c:pt>
              </c:numCache>
            </c:numRef>
          </c:yVal>
          <c:smooth val="1"/>
        </c:ser>
        <c:ser>
          <c:idx val="57"/>
          <c:order val="57"/>
          <c:tx>
            <c:strRef>
              <c:f>Tools!$CV$68</c:f>
              <c:strCache>
                <c:ptCount val="1"/>
                <c:pt idx="0">
                  <c:v> </c:v>
                </c:pt>
              </c:strCache>
            </c:strRef>
          </c:tx>
          <c:spPr>
            <a:ln w="3175">
              <a:solidFill>
                <a:schemeClr val="bg1">
                  <a:lumMod val="75000"/>
                </a:schemeClr>
              </a:solidFill>
            </a:ln>
          </c:spPr>
          <c:marker>
            <c:symbol val="none"/>
          </c:marker>
          <c:xVal>
            <c:numRef>
              <c:f>Tools!$CW$68:$CX$68</c:f>
              <c:numCache>
                <c:formatCode>General</c:formatCode>
                <c:ptCount val="2"/>
                <c:pt idx="0">
                  <c:v>0</c:v>
                </c:pt>
                <c:pt idx="1">
                  <c:v>0</c:v>
                </c:pt>
              </c:numCache>
            </c:numRef>
          </c:xVal>
          <c:yVal>
            <c:numRef>
              <c:f>Tools!$CW$61:$CX$61</c:f>
              <c:numCache>
                <c:formatCode>General</c:formatCode>
                <c:ptCount val="2"/>
                <c:pt idx="0">
                  <c:v>0</c:v>
                </c:pt>
                <c:pt idx="1">
                  <c:v>13</c:v>
                </c:pt>
              </c:numCache>
            </c:numRef>
          </c:yVal>
          <c:smooth val="1"/>
        </c:ser>
        <c:ser>
          <c:idx val="58"/>
          <c:order val="58"/>
          <c:tx>
            <c:strRef>
              <c:f>Tools!$CV$69</c:f>
              <c:strCache>
                <c:ptCount val="1"/>
                <c:pt idx="0">
                  <c:v> </c:v>
                </c:pt>
              </c:strCache>
            </c:strRef>
          </c:tx>
          <c:spPr>
            <a:ln w="3175">
              <a:solidFill>
                <a:schemeClr val="bg1">
                  <a:lumMod val="75000"/>
                </a:schemeClr>
              </a:solidFill>
            </a:ln>
          </c:spPr>
          <c:marker>
            <c:symbol val="none"/>
          </c:marker>
          <c:xVal>
            <c:numRef>
              <c:f>Tools!$CW$69:$CX$69</c:f>
              <c:numCache>
                <c:formatCode>General</c:formatCode>
                <c:ptCount val="2"/>
                <c:pt idx="0">
                  <c:v>0</c:v>
                </c:pt>
                <c:pt idx="1">
                  <c:v>0</c:v>
                </c:pt>
              </c:numCache>
            </c:numRef>
          </c:xVal>
          <c:yVal>
            <c:numRef>
              <c:f>Tools!$CW$61:$CX$61</c:f>
              <c:numCache>
                <c:formatCode>General</c:formatCode>
                <c:ptCount val="2"/>
                <c:pt idx="0">
                  <c:v>0</c:v>
                </c:pt>
                <c:pt idx="1">
                  <c:v>13</c:v>
                </c:pt>
              </c:numCache>
            </c:numRef>
          </c:yVal>
          <c:smooth val="1"/>
        </c:ser>
        <c:ser>
          <c:idx val="59"/>
          <c:order val="59"/>
          <c:tx>
            <c:strRef>
              <c:f>Tools!$CV$70</c:f>
              <c:strCache>
                <c:ptCount val="1"/>
                <c:pt idx="0">
                  <c:v> </c:v>
                </c:pt>
              </c:strCache>
            </c:strRef>
          </c:tx>
          <c:spPr>
            <a:ln w="3175">
              <a:solidFill>
                <a:schemeClr val="bg1">
                  <a:lumMod val="75000"/>
                </a:schemeClr>
              </a:solidFill>
            </a:ln>
          </c:spPr>
          <c:marker>
            <c:symbol val="none"/>
          </c:marker>
          <c:xVal>
            <c:numRef>
              <c:f>Tools!$CW$70:$CX$70</c:f>
              <c:numCache>
                <c:formatCode>General</c:formatCode>
                <c:ptCount val="2"/>
                <c:pt idx="0">
                  <c:v>0</c:v>
                </c:pt>
                <c:pt idx="1">
                  <c:v>0</c:v>
                </c:pt>
              </c:numCache>
            </c:numRef>
          </c:xVal>
          <c:yVal>
            <c:numRef>
              <c:f>Tools!$CW$61:$CX$61</c:f>
              <c:numCache>
                <c:formatCode>General</c:formatCode>
                <c:ptCount val="2"/>
                <c:pt idx="0">
                  <c:v>0</c:v>
                </c:pt>
                <c:pt idx="1">
                  <c:v>13</c:v>
                </c:pt>
              </c:numCache>
            </c:numRef>
          </c:yVal>
          <c:smooth val="1"/>
        </c:ser>
        <c:ser>
          <c:idx val="60"/>
          <c:order val="60"/>
          <c:tx>
            <c:strRef>
              <c:f>Tools!$CV$71</c:f>
              <c:strCache>
                <c:ptCount val="1"/>
                <c:pt idx="0">
                  <c:v> </c:v>
                </c:pt>
              </c:strCache>
            </c:strRef>
          </c:tx>
          <c:spPr>
            <a:ln w="3175">
              <a:solidFill>
                <a:schemeClr val="bg1">
                  <a:lumMod val="75000"/>
                </a:schemeClr>
              </a:solidFill>
            </a:ln>
          </c:spPr>
          <c:marker>
            <c:symbol val="none"/>
          </c:marker>
          <c:xVal>
            <c:numRef>
              <c:f>Tools!$CW$71:$CX$71</c:f>
              <c:numCache>
                <c:formatCode>General</c:formatCode>
                <c:ptCount val="2"/>
                <c:pt idx="0">
                  <c:v>0</c:v>
                </c:pt>
                <c:pt idx="1">
                  <c:v>0</c:v>
                </c:pt>
              </c:numCache>
            </c:numRef>
          </c:xVal>
          <c:yVal>
            <c:numRef>
              <c:f>Tools!$CW$61:$CX$61</c:f>
              <c:numCache>
                <c:formatCode>General</c:formatCode>
                <c:ptCount val="2"/>
                <c:pt idx="0">
                  <c:v>0</c:v>
                </c:pt>
                <c:pt idx="1">
                  <c:v>13</c:v>
                </c:pt>
              </c:numCache>
            </c:numRef>
          </c:yVal>
          <c:smooth val="1"/>
        </c:ser>
        <c:ser>
          <c:idx val="61"/>
          <c:order val="61"/>
          <c:tx>
            <c:strRef>
              <c:f>Tools!$CV$72</c:f>
              <c:strCache>
                <c:ptCount val="1"/>
                <c:pt idx="0">
                  <c:v>CL</c:v>
                </c:pt>
              </c:strCache>
            </c:strRef>
          </c:tx>
          <c:spPr>
            <a:ln w="3175">
              <a:solidFill>
                <a:schemeClr val="bg1">
                  <a:lumMod val="75000"/>
                </a:schemeClr>
              </a:solidFill>
            </a:ln>
          </c:spPr>
          <c:marker>
            <c:symbol val="none"/>
          </c:marker>
          <c:xVal>
            <c:numRef>
              <c:f>Tools!$CW$72:$CX$72</c:f>
              <c:numCache>
                <c:formatCode>General</c:formatCode>
                <c:ptCount val="2"/>
                <c:pt idx="0">
                  <c:v>0</c:v>
                </c:pt>
                <c:pt idx="1">
                  <c:v>0</c:v>
                </c:pt>
              </c:numCache>
            </c:numRef>
          </c:xVal>
          <c:yVal>
            <c:numRef>
              <c:f>Tools!$CW$61:$CX$61</c:f>
              <c:numCache>
                <c:formatCode>General</c:formatCode>
                <c:ptCount val="2"/>
                <c:pt idx="0">
                  <c:v>0</c:v>
                </c:pt>
                <c:pt idx="1">
                  <c:v>13</c:v>
                </c:pt>
              </c:numCache>
            </c:numRef>
          </c:yVal>
          <c:smooth val="1"/>
        </c:ser>
        <c:ser>
          <c:idx val="62"/>
          <c:order val="62"/>
          <c:tx>
            <c:strRef>
              <c:f>Tools!$CV$62</c:f>
              <c:strCache>
                <c:ptCount val="1"/>
                <c:pt idx="0">
                  <c:v>BTK 1</c:v>
                </c:pt>
              </c:strCache>
            </c:strRef>
          </c:tx>
          <c:spPr>
            <a:ln w="3175">
              <a:solidFill>
                <a:schemeClr val="bg1">
                  <a:lumMod val="75000"/>
                </a:schemeClr>
              </a:solidFill>
            </a:ln>
          </c:spPr>
          <c:marker>
            <c:symbol val="none"/>
          </c:marker>
          <c:xVal>
            <c:numRef>
              <c:f>Tools!$CY$62:$CZ$62</c:f>
              <c:numCache>
                <c:formatCode>General</c:formatCode>
                <c:ptCount val="2"/>
                <c:pt idx="0">
                  <c:v>3.6666666666666665</c:v>
                </c:pt>
                <c:pt idx="1">
                  <c:v>3.6666666666666665</c:v>
                </c:pt>
              </c:numCache>
            </c:numRef>
          </c:xVal>
          <c:yVal>
            <c:numRef>
              <c:f>Tools!$CW$61:$CX$61</c:f>
              <c:numCache>
                <c:formatCode>General</c:formatCode>
                <c:ptCount val="2"/>
                <c:pt idx="0">
                  <c:v>0</c:v>
                </c:pt>
                <c:pt idx="1">
                  <c:v>13</c:v>
                </c:pt>
              </c:numCache>
            </c:numRef>
          </c:yVal>
          <c:smooth val="1"/>
        </c:ser>
        <c:ser>
          <c:idx val="63"/>
          <c:order val="63"/>
          <c:tx>
            <c:strRef>
              <c:f>Tools!$CV$63</c:f>
              <c:strCache>
                <c:ptCount val="1"/>
                <c:pt idx="0">
                  <c:v>BTK 2</c:v>
                </c:pt>
              </c:strCache>
            </c:strRef>
          </c:tx>
          <c:spPr>
            <a:ln w="3175">
              <a:solidFill>
                <a:schemeClr val="bg1">
                  <a:lumMod val="75000"/>
                </a:schemeClr>
              </a:solidFill>
            </a:ln>
          </c:spPr>
          <c:marker>
            <c:symbol val="none"/>
          </c:marker>
          <c:xVal>
            <c:numRef>
              <c:f>Tools!$CY$63:$CZ$63</c:f>
              <c:numCache>
                <c:formatCode>General</c:formatCode>
                <c:ptCount val="2"/>
                <c:pt idx="0">
                  <c:v>7.333333333333333</c:v>
                </c:pt>
                <c:pt idx="1">
                  <c:v>7.333333333333333</c:v>
                </c:pt>
              </c:numCache>
            </c:numRef>
          </c:xVal>
          <c:yVal>
            <c:numRef>
              <c:f>Tools!$CW$61:$CX$61</c:f>
              <c:numCache>
                <c:formatCode>General</c:formatCode>
                <c:ptCount val="2"/>
                <c:pt idx="0">
                  <c:v>0</c:v>
                </c:pt>
                <c:pt idx="1">
                  <c:v>13</c:v>
                </c:pt>
              </c:numCache>
            </c:numRef>
          </c:yVal>
          <c:smooth val="1"/>
        </c:ser>
        <c:ser>
          <c:idx val="64"/>
          <c:order val="64"/>
          <c:tx>
            <c:strRef>
              <c:f>Tools!$CV$64</c:f>
              <c:strCache>
                <c:ptCount val="1"/>
                <c:pt idx="0">
                  <c:v>SIDE</c:v>
                </c:pt>
              </c:strCache>
            </c:strRef>
          </c:tx>
          <c:spPr>
            <a:ln w="3175">
              <a:solidFill>
                <a:schemeClr val="bg1">
                  <a:lumMod val="75000"/>
                </a:schemeClr>
              </a:solidFill>
            </a:ln>
          </c:spPr>
          <c:marker>
            <c:symbol val="none"/>
          </c:marker>
          <c:xVal>
            <c:numRef>
              <c:f>Tools!$CY$64:$CZ$64</c:f>
              <c:numCache>
                <c:formatCode>General</c:formatCode>
                <c:ptCount val="2"/>
                <c:pt idx="0">
                  <c:v>11</c:v>
                </c:pt>
                <c:pt idx="1">
                  <c:v>11</c:v>
                </c:pt>
              </c:numCache>
            </c:numRef>
          </c:xVal>
          <c:yVal>
            <c:numRef>
              <c:f>Tools!$CW$61:$CX$61</c:f>
              <c:numCache>
                <c:formatCode>General</c:formatCode>
                <c:ptCount val="2"/>
                <c:pt idx="0">
                  <c:v>0</c:v>
                </c:pt>
                <c:pt idx="1">
                  <c:v>13</c:v>
                </c:pt>
              </c:numCache>
            </c:numRef>
          </c:yVal>
          <c:smooth val="1"/>
        </c:ser>
        <c:ser>
          <c:idx val="65"/>
          <c:order val="65"/>
          <c:tx>
            <c:strRef>
              <c:f>Tools!$CV$65</c:f>
              <c:strCache>
                <c:ptCount val="1"/>
                <c:pt idx="0">
                  <c:v> </c:v>
                </c:pt>
              </c:strCache>
            </c:strRef>
          </c:tx>
          <c:spPr>
            <a:ln w="3175">
              <a:solidFill>
                <a:schemeClr val="bg1">
                  <a:lumMod val="75000"/>
                </a:schemeClr>
              </a:solidFill>
            </a:ln>
          </c:spPr>
          <c:marker>
            <c:symbol val="none"/>
          </c:marker>
          <c:xVal>
            <c:numRef>
              <c:f>Tools!$CY$65:$CZ$65</c:f>
              <c:numCache>
                <c:formatCode>General</c:formatCode>
                <c:ptCount val="2"/>
                <c:pt idx="0">
                  <c:v>0</c:v>
                </c:pt>
                <c:pt idx="1">
                  <c:v>0</c:v>
                </c:pt>
              </c:numCache>
            </c:numRef>
          </c:xVal>
          <c:yVal>
            <c:numRef>
              <c:f>Tools!$CW$61:$CX$61</c:f>
              <c:numCache>
                <c:formatCode>General</c:formatCode>
                <c:ptCount val="2"/>
                <c:pt idx="0">
                  <c:v>0</c:v>
                </c:pt>
                <c:pt idx="1">
                  <c:v>13</c:v>
                </c:pt>
              </c:numCache>
            </c:numRef>
          </c:yVal>
          <c:smooth val="1"/>
        </c:ser>
        <c:ser>
          <c:idx val="66"/>
          <c:order val="66"/>
          <c:tx>
            <c:strRef>
              <c:f>Tools!$CV$66</c:f>
              <c:strCache>
                <c:ptCount val="1"/>
                <c:pt idx="0">
                  <c:v> </c:v>
                </c:pt>
              </c:strCache>
            </c:strRef>
          </c:tx>
          <c:spPr>
            <a:ln w="3175">
              <a:solidFill>
                <a:schemeClr val="bg1">
                  <a:lumMod val="75000"/>
                </a:schemeClr>
              </a:solidFill>
            </a:ln>
          </c:spPr>
          <c:marker>
            <c:symbol val="none"/>
          </c:marker>
          <c:xVal>
            <c:numRef>
              <c:f>Tools!$CY$66:$CZ$66</c:f>
              <c:numCache>
                <c:formatCode>General</c:formatCode>
                <c:ptCount val="2"/>
                <c:pt idx="0">
                  <c:v>0</c:v>
                </c:pt>
                <c:pt idx="1">
                  <c:v>0</c:v>
                </c:pt>
              </c:numCache>
            </c:numRef>
          </c:xVal>
          <c:yVal>
            <c:numRef>
              <c:f>Tools!$CW$61:$CX$61</c:f>
              <c:numCache>
                <c:formatCode>General</c:formatCode>
                <c:ptCount val="2"/>
                <c:pt idx="0">
                  <c:v>0</c:v>
                </c:pt>
                <c:pt idx="1">
                  <c:v>13</c:v>
                </c:pt>
              </c:numCache>
            </c:numRef>
          </c:yVal>
          <c:smooth val="1"/>
        </c:ser>
        <c:ser>
          <c:idx val="67"/>
          <c:order val="67"/>
          <c:tx>
            <c:strRef>
              <c:f>Tools!$CV$67</c:f>
              <c:strCache>
                <c:ptCount val="1"/>
                <c:pt idx="0">
                  <c:v> </c:v>
                </c:pt>
              </c:strCache>
            </c:strRef>
          </c:tx>
          <c:spPr>
            <a:ln w="3175">
              <a:solidFill>
                <a:schemeClr val="bg1">
                  <a:lumMod val="75000"/>
                </a:schemeClr>
              </a:solidFill>
            </a:ln>
          </c:spPr>
          <c:marker>
            <c:symbol val="none"/>
          </c:marker>
          <c:xVal>
            <c:numRef>
              <c:f>Tools!$CY$67:$CZ$67</c:f>
              <c:numCache>
                <c:formatCode>General</c:formatCode>
                <c:ptCount val="2"/>
                <c:pt idx="0">
                  <c:v>0</c:v>
                </c:pt>
                <c:pt idx="1">
                  <c:v>0</c:v>
                </c:pt>
              </c:numCache>
            </c:numRef>
          </c:xVal>
          <c:yVal>
            <c:numRef>
              <c:f>Tools!$CW$61:$CX$61</c:f>
              <c:numCache>
                <c:formatCode>General</c:formatCode>
                <c:ptCount val="2"/>
                <c:pt idx="0">
                  <c:v>0</c:v>
                </c:pt>
                <c:pt idx="1">
                  <c:v>13</c:v>
                </c:pt>
              </c:numCache>
            </c:numRef>
          </c:yVal>
          <c:smooth val="1"/>
        </c:ser>
        <c:ser>
          <c:idx val="68"/>
          <c:order val="68"/>
          <c:tx>
            <c:strRef>
              <c:f>Tools!$CV$68</c:f>
              <c:strCache>
                <c:ptCount val="1"/>
                <c:pt idx="0">
                  <c:v> </c:v>
                </c:pt>
              </c:strCache>
            </c:strRef>
          </c:tx>
          <c:spPr>
            <a:ln w="3175">
              <a:solidFill>
                <a:schemeClr val="bg1">
                  <a:lumMod val="75000"/>
                </a:schemeClr>
              </a:solidFill>
            </a:ln>
          </c:spPr>
          <c:marker>
            <c:symbol val="none"/>
          </c:marker>
          <c:xVal>
            <c:numRef>
              <c:f>Tools!$CY$68:$CZ$68</c:f>
              <c:numCache>
                <c:formatCode>General</c:formatCode>
                <c:ptCount val="2"/>
                <c:pt idx="0">
                  <c:v>0</c:v>
                </c:pt>
                <c:pt idx="1">
                  <c:v>0</c:v>
                </c:pt>
              </c:numCache>
            </c:numRef>
          </c:xVal>
          <c:yVal>
            <c:numRef>
              <c:f>Tools!$CW$61:$CX$61</c:f>
              <c:numCache>
                <c:formatCode>General</c:formatCode>
                <c:ptCount val="2"/>
                <c:pt idx="0">
                  <c:v>0</c:v>
                </c:pt>
                <c:pt idx="1">
                  <c:v>13</c:v>
                </c:pt>
              </c:numCache>
            </c:numRef>
          </c:yVal>
          <c:smooth val="1"/>
        </c:ser>
        <c:ser>
          <c:idx val="69"/>
          <c:order val="69"/>
          <c:tx>
            <c:strRef>
              <c:f>Tools!$CV$69</c:f>
              <c:strCache>
                <c:ptCount val="1"/>
                <c:pt idx="0">
                  <c:v> </c:v>
                </c:pt>
              </c:strCache>
            </c:strRef>
          </c:tx>
          <c:spPr>
            <a:ln w="3175">
              <a:solidFill>
                <a:schemeClr val="bg1">
                  <a:lumMod val="75000"/>
                </a:schemeClr>
              </a:solidFill>
            </a:ln>
          </c:spPr>
          <c:marker>
            <c:symbol val="none"/>
          </c:marker>
          <c:xVal>
            <c:numRef>
              <c:f>Tools!$CY$69:$CZ$69</c:f>
              <c:numCache>
                <c:formatCode>General</c:formatCode>
                <c:ptCount val="2"/>
                <c:pt idx="0">
                  <c:v>0</c:v>
                </c:pt>
                <c:pt idx="1">
                  <c:v>0</c:v>
                </c:pt>
              </c:numCache>
            </c:numRef>
          </c:xVal>
          <c:yVal>
            <c:numRef>
              <c:f>Tools!$CW$61:$CX$61</c:f>
              <c:numCache>
                <c:formatCode>General</c:formatCode>
                <c:ptCount val="2"/>
                <c:pt idx="0">
                  <c:v>0</c:v>
                </c:pt>
                <c:pt idx="1">
                  <c:v>13</c:v>
                </c:pt>
              </c:numCache>
            </c:numRef>
          </c:yVal>
          <c:smooth val="1"/>
        </c:ser>
        <c:ser>
          <c:idx val="70"/>
          <c:order val="70"/>
          <c:tx>
            <c:strRef>
              <c:f>Tools!$CV$70</c:f>
              <c:strCache>
                <c:ptCount val="1"/>
                <c:pt idx="0">
                  <c:v> </c:v>
                </c:pt>
              </c:strCache>
            </c:strRef>
          </c:tx>
          <c:spPr>
            <a:ln w="3175">
              <a:solidFill>
                <a:schemeClr val="bg1">
                  <a:lumMod val="75000"/>
                </a:schemeClr>
              </a:solidFill>
            </a:ln>
          </c:spPr>
          <c:marker>
            <c:symbol val="none"/>
          </c:marker>
          <c:xVal>
            <c:numRef>
              <c:f>Tools!$CY$70:$CZ$70</c:f>
              <c:numCache>
                <c:formatCode>General</c:formatCode>
                <c:ptCount val="2"/>
                <c:pt idx="0">
                  <c:v>0</c:v>
                </c:pt>
                <c:pt idx="1">
                  <c:v>0</c:v>
                </c:pt>
              </c:numCache>
            </c:numRef>
          </c:xVal>
          <c:yVal>
            <c:numRef>
              <c:f>Tools!$CW$61:$CX$61</c:f>
              <c:numCache>
                <c:formatCode>General</c:formatCode>
                <c:ptCount val="2"/>
                <c:pt idx="0">
                  <c:v>0</c:v>
                </c:pt>
                <c:pt idx="1">
                  <c:v>13</c:v>
                </c:pt>
              </c:numCache>
            </c:numRef>
          </c:yVal>
          <c:smooth val="1"/>
        </c:ser>
        <c:ser>
          <c:idx val="71"/>
          <c:order val="71"/>
          <c:tx>
            <c:strRef>
              <c:f>Tools!$CV$71</c:f>
              <c:strCache>
                <c:ptCount val="1"/>
                <c:pt idx="0">
                  <c:v> </c:v>
                </c:pt>
              </c:strCache>
            </c:strRef>
          </c:tx>
          <c:spPr>
            <a:ln w="3175">
              <a:solidFill>
                <a:schemeClr val="bg1">
                  <a:lumMod val="75000"/>
                </a:schemeClr>
              </a:solidFill>
            </a:ln>
          </c:spPr>
          <c:marker>
            <c:symbol val="none"/>
          </c:marker>
          <c:xVal>
            <c:numRef>
              <c:f>Tools!$CY$71:$CZ$71</c:f>
              <c:numCache>
                <c:formatCode>General</c:formatCode>
                <c:ptCount val="2"/>
                <c:pt idx="0">
                  <c:v>0</c:v>
                </c:pt>
                <c:pt idx="1">
                  <c:v>0</c:v>
                </c:pt>
              </c:numCache>
            </c:numRef>
          </c:xVal>
          <c:yVal>
            <c:numRef>
              <c:f>Tools!$CW$61:$CX$61</c:f>
              <c:numCache>
                <c:formatCode>General</c:formatCode>
                <c:ptCount val="2"/>
                <c:pt idx="0">
                  <c:v>0</c:v>
                </c:pt>
                <c:pt idx="1">
                  <c:v>13</c:v>
                </c:pt>
              </c:numCache>
            </c:numRef>
          </c:yVal>
          <c:smooth val="1"/>
        </c:ser>
        <c:dLbls>
          <c:showLegendKey val="0"/>
          <c:showVal val="0"/>
          <c:showCatName val="0"/>
          <c:showSerName val="0"/>
          <c:showPercent val="0"/>
          <c:showBubbleSize val="0"/>
        </c:dLbls>
        <c:axId val="1026377984"/>
        <c:axId val="1026396160"/>
      </c:scatterChart>
      <c:valAx>
        <c:axId val="1026377984"/>
        <c:scaling>
          <c:orientation val="minMax"/>
        </c:scaling>
        <c:delete val="1"/>
        <c:axPos val="b"/>
        <c:numFmt formatCode="General" sourceLinked="1"/>
        <c:majorTickMark val="out"/>
        <c:minorTickMark val="none"/>
        <c:tickLblPos val="nextTo"/>
        <c:crossAx val="1026396160"/>
        <c:crosses val="autoZero"/>
        <c:crossBetween val="midCat"/>
        <c:majorUnit val="0.1"/>
        <c:minorUnit val="5.000000000000001E-2"/>
      </c:valAx>
      <c:valAx>
        <c:axId val="1026396160"/>
        <c:scaling>
          <c:orientation val="minMax"/>
          <c:min val="0"/>
        </c:scaling>
        <c:delete val="0"/>
        <c:axPos val="l"/>
        <c:majorGridlines>
          <c:spPr>
            <a:ln>
              <a:noFill/>
            </a:ln>
          </c:spPr>
        </c:majorGridlines>
        <c:numFmt formatCode="General" sourceLinked="1"/>
        <c:majorTickMark val="out"/>
        <c:minorTickMark val="none"/>
        <c:tickLblPos val="nextTo"/>
        <c:crossAx val="1026377984"/>
        <c:crosses val="autoZero"/>
        <c:crossBetween val="midCat"/>
        <c:majorUnit val="1"/>
      </c:valAx>
      <c:spPr>
        <a:noFill/>
        <a:ln>
          <a:noFill/>
        </a:ln>
      </c:spPr>
    </c:plotArea>
    <c:legend>
      <c:legendPos val="r"/>
      <c:legendEntry>
        <c:idx val="25"/>
        <c:txPr>
          <a:bodyPr/>
          <a:lstStyle/>
          <a:p>
            <a:pPr>
              <a:defRPr sz="1400">
                <a:solidFill>
                  <a:schemeClr val="bg1"/>
                </a:solidFill>
              </a:defRPr>
            </a:pPr>
            <a:endParaRPr lang="en-US"/>
          </a:p>
        </c:txPr>
      </c:legendEntry>
      <c:layout>
        <c:manualLayout>
          <c:xMode val="edge"/>
          <c:yMode val="edge"/>
          <c:x val="0.81867932506519137"/>
          <c:y val="2.9591106189184382E-2"/>
          <c:w val="0.18132067493480877"/>
          <c:h val="0.95350286467109902"/>
        </c:manualLayout>
      </c:layout>
      <c:overlay val="0"/>
      <c:txPr>
        <a:bodyPr/>
        <a:lstStyle/>
        <a:p>
          <a:pPr>
            <a:defRPr sz="1400"/>
          </a:pPr>
          <a:endParaRPr lang="en-US"/>
        </a:p>
      </c:txPr>
    </c:legend>
    <c:plotVisOnly val="1"/>
    <c:dispBlanksAs val="gap"/>
    <c:showDLblsOverMax val="0"/>
  </c:chart>
  <c:printSettings>
    <c:headerFooter/>
    <c:pageMargins b="0.75" l="0.7" r="0.7" t="0.75" header="0.3" footer="0.3"/>
    <c:pageSetup/>
  </c:printSettings>
  <c:userShapes r:id="rId1"/>
</c:chartSpace>
</file>

<file path=xl/ctrlProps/ctrlProp1.xml><?xml version="1.0" encoding="utf-8"?>
<formControlPr xmlns="http://schemas.microsoft.com/office/spreadsheetml/2009/9/main" objectType="Drop" dropStyle="combo" dx="16" fmlaLink="Tools!$L$55" fmlaRange="Tools!$L$62:$L$63" noThreeD="1" val="0"/>
</file>

<file path=xl/ctrlProps/ctrlProp2.xml><?xml version="1.0" encoding="utf-8"?>
<formControlPr xmlns="http://schemas.microsoft.com/office/spreadsheetml/2009/9/main" objectType="Drop" dropStyle="combo" dx="16" fmlaLink="Tools!$L$55" fmlaRange="Tools!$L$62:$L$63" noThreeD="1" val="0"/>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s>
</file>

<file path=xl/drawings/_rels/drawing8.xml.rels><?xml version="1.0" encoding="UTF-8" standalone="yes"?>
<Relationships xmlns="http://schemas.openxmlformats.org/package/2006/relationships"><Relationship Id="rId1" Type="http://schemas.openxmlformats.org/officeDocument/2006/relationships/chart" Target="../charts/chart9.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12.xml"/><Relationship Id="rId1" Type="http://schemas.openxmlformats.org/officeDocument/2006/relationships/chart" Target="../charts/chart11.xml"/></Relationships>
</file>

<file path=xl/drawings/drawing1.xml><?xml version="1.0" encoding="utf-8"?>
<xdr:wsDr xmlns:xdr="http://schemas.openxmlformats.org/drawingml/2006/spreadsheetDrawing" xmlns:a="http://schemas.openxmlformats.org/drawingml/2006/main">
  <xdr:twoCellAnchor editAs="oneCell">
    <xdr:from>
      <xdr:col>0</xdr:col>
      <xdr:colOff>108857</xdr:colOff>
      <xdr:row>27</xdr:row>
      <xdr:rowOff>100631</xdr:rowOff>
    </xdr:from>
    <xdr:to>
      <xdr:col>43</xdr:col>
      <xdr:colOff>0</xdr:colOff>
      <xdr:row>46</xdr:row>
      <xdr:rowOff>0</xdr:rowOff>
    </xdr:to>
    <xdr:graphicFrame macro="">
      <xdr:nvGraphicFramePr>
        <xdr:cNvPr id="5" name="Chart 4"/>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95251</xdr:colOff>
      <xdr:row>0</xdr:row>
      <xdr:rowOff>68034</xdr:rowOff>
    </xdr:from>
    <xdr:to>
      <xdr:col>15</xdr:col>
      <xdr:colOff>517072</xdr:colOff>
      <xdr:row>27</xdr:row>
      <xdr:rowOff>95249</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c:userShapes xmlns:c="http://schemas.openxmlformats.org/drawingml/2006/chart">
  <cdr:relSizeAnchor xmlns:cdr="http://schemas.openxmlformats.org/drawingml/2006/chartDrawing">
    <cdr:from>
      <cdr:x>0.34263</cdr:x>
      <cdr:y>0.71166</cdr:y>
    </cdr:from>
    <cdr:to>
      <cdr:x>0.51257</cdr:x>
      <cdr:y>1</cdr:y>
    </cdr:to>
    <cdr:sp macro="" textlink="">
      <cdr:nvSpPr>
        <cdr:cNvPr id="2" name="TextBox 1"/>
        <cdr:cNvSpPr txBox="1"/>
      </cdr:nvSpPr>
      <cdr:spPr>
        <a:xfrm xmlns:a="http://schemas.openxmlformats.org/drawingml/2006/main">
          <a:off x="8480564" y="2504238"/>
          <a:ext cx="4206252" cy="1014631"/>
        </a:xfrm>
        <a:prstGeom xmlns:a="http://schemas.openxmlformats.org/drawingml/2006/main" prst="rect">
          <a:avLst/>
        </a:prstGeom>
      </cdr:spPr>
      <cdr:txBody>
        <a:bodyPr xmlns:a="http://schemas.openxmlformats.org/drawingml/2006/main" vertOverflow="clip" wrap="none" rtlCol="0" anchor="b"/>
        <a:lstStyle xmlns:a="http://schemas.openxmlformats.org/drawingml/2006/main"/>
        <a:p xmlns:a="http://schemas.openxmlformats.org/drawingml/2006/main">
          <a:pPr algn="ctr"/>
          <a:r>
            <a:rPr lang="en-IN" sz="2000" b="0"/>
            <a:t>Halfbreadth Plan</a:t>
          </a:r>
        </a:p>
      </cdr:txBody>
    </cdr:sp>
  </cdr:relSizeAnchor>
  <cdr:relSizeAnchor xmlns:cdr="http://schemas.openxmlformats.org/drawingml/2006/chartDrawing">
    <cdr:from>
      <cdr:x>0.28092</cdr:x>
      <cdr:y>0.01394</cdr:y>
    </cdr:from>
    <cdr:to>
      <cdr:x>0.31941</cdr:x>
      <cdr:y>0.08741</cdr:y>
    </cdr:to>
    <cdr:sp macro="" textlink="">
      <cdr:nvSpPr>
        <cdr:cNvPr id="3" name="TextBox 2"/>
        <cdr:cNvSpPr txBox="1"/>
      </cdr:nvSpPr>
      <cdr:spPr>
        <a:xfrm xmlns:a="http://schemas.openxmlformats.org/drawingml/2006/main">
          <a:off x="6953250" y="49048"/>
          <a:ext cx="952500" cy="258536"/>
        </a:xfrm>
        <a:prstGeom xmlns:a="http://schemas.openxmlformats.org/drawingml/2006/main" prst="rect">
          <a:avLst/>
        </a:prstGeom>
      </cdr:spPr>
      <cdr:txBody>
        <a:bodyPr xmlns:a="http://schemas.openxmlformats.org/drawingml/2006/main" vertOverflow="clip" wrap="none" rtlCol="0" anchor="t"/>
        <a:lstStyle xmlns:a="http://schemas.openxmlformats.org/drawingml/2006/main"/>
        <a:p xmlns:a="http://schemas.openxmlformats.org/drawingml/2006/main">
          <a:r>
            <a:rPr lang="en-IN" sz="1200">
              <a:solidFill>
                <a:srgbClr val="C00000"/>
              </a:solidFill>
            </a:rPr>
            <a:t>(Length &amp; breadth</a:t>
          </a:r>
          <a:r>
            <a:rPr lang="en-IN" sz="1200" baseline="0">
              <a:solidFill>
                <a:srgbClr val="C00000"/>
              </a:solidFill>
            </a:rPr>
            <a:t> </a:t>
          </a:r>
          <a:r>
            <a:rPr lang="en-IN" sz="1200">
              <a:solidFill>
                <a:srgbClr val="C00000"/>
              </a:solidFill>
            </a:rPr>
            <a:t>are not uniformly scaled)</a:t>
          </a:r>
        </a:p>
      </cdr:txBody>
    </cdr:sp>
  </cdr:relSizeAnchor>
</c:userShapes>
</file>

<file path=xl/drawings/drawing3.xml><?xml version="1.0" encoding="utf-8"?>
<c:userShapes xmlns:c="http://schemas.openxmlformats.org/drawingml/2006/chart">
  <cdr:relSizeAnchor xmlns:cdr="http://schemas.openxmlformats.org/drawingml/2006/chartDrawing">
    <cdr:from>
      <cdr:x>0.32846</cdr:x>
      <cdr:y>0.80969</cdr:y>
    </cdr:from>
    <cdr:to>
      <cdr:x>0.4152</cdr:x>
      <cdr:y>0.99646</cdr:y>
    </cdr:to>
    <cdr:sp macro="" textlink="">
      <cdr:nvSpPr>
        <cdr:cNvPr id="2" name="TextBox 1"/>
        <cdr:cNvSpPr txBox="1"/>
      </cdr:nvSpPr>
      <cdr:spPr>
        <a:xfrm xmlns:a="http://schemas.openxmlformats.org/drawingml/2006/main">
          <a:off x="3462771" y="3964132"/>
          <a:ext cx="914400" cy="914400"/>
        </a:xfrm>
        <a:prstGeom xmlns:a="http://schemas.openxmlformats.org/drawingml/2006/main" prst="rect">
          <a:avLst/>
        </a:prstGeom>
      </cdr:spPr>
      <cdr:txBody>
        <a:bodyPr xmlns:a="http://schemas.openxmlformats.org/drawingml/2006/main" vertOverflow="clip" wrap="none" rtlCol="0" anchor="b"/>
        <a:lstStyle xmlns:a="http://schemas.openxmlformats.org/drawingml/2006/main"/>
        <a:p xmlns:a="http://schemas.openxmlformats.org/drawingml/2006/main">
          <a:pPr algn="ctr"/>
          <a:r>
            <a:rPr lang="en-IN" sz="2000"/>
            <a:t>Body</a:t>
          </a:r>
          <a:r>
            <a:rPr lang="en-IN" sz="2000" baseline="0"/>
            <a:t> Plan</a:t>
          </a:r>
          <a:endParaRPr lang="en-IN" sz="2000"/>
        </a:p>
      </cdr:txBody>
    </cdr:sp>
  </cdr:relSizeAnchor>
  <cdr:relSizeAnchor xmlns:cdr="http://schemas.openxmlformats.org/drawingml/2006/chartDrawing">
    <cdr:from>
      <cdr:x>0.5363</cdr:x>
      <cdr:y>0.94221</cdr:y>
    </cdr:from>
    <cdr:to>
      <cdr:x>0.66623</cdr:x>
      <cdr:y>0.99246</cdr:y>
    </cdr:to>
    <cdr:sp macro="" textlink="">
      <cdr:nvSpPr>
        <cdr:cNvPr id="3" name="TextBox 1"/>
        <cdr:cNvSpPr txBox="1"/>
      </cdr:nvSpPr>
      <cdr:spPr>
        <a:xfrm xmlns:a="http://schemas.openxmlformats.org/drawingml/2006/main">
          <a:off x="4422320" y="5102680"/>
          <a:ext cx="1071336" cy="272142"/>
        </a:xfrm>
        <a:prstGeom xmlns:a="http://schemas.openxmlformats.org/drawingml/2006/main" prst="rect">
          <a:avLst/>
        </a:prstGeom>
      </cdr:spPr>
      <cdr:txBody>
        <a:bodyPr xmlns:a="http://schemas.openxmlformats.org/drawingml/2006/main" wrap="none" rtlCol="0" anchor="b"/>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IN" sz="1200">
              <a:solidFill>
                <a:srgbClr val="C00000"/>
              </a:solidFill>
            </a:rPr>
            <a:t>(Breadth &amp; depth are not uniformly scaled)</a:t>
          </a:r>
        </a:p>
      </cdr:txBody>
    </cdr:sp>
  </cdr:relSizeAnchor>
</c:userShapes>
</file>

<file path=xl/drawings/drawing4.xml><?xml version="1.0" encoding="utf-8"?>
<xdr:wsDr xmlns:xdr="http://schemas.openxmlformats.org/drawingml/2006/spreadsheetDrawing" xmlns:a="http://schemas.openxmlformats.org/drawingml/2006/main">
  <xdr:twoCellAnchor>
    <xdr:from>
      <xdr:col>0</xdr:col>
      <xdr:colOff>54428</xdr:colOff>
      <xdr:row>0</xdr:row>
      <xdr:rowOff>81642</xdr:rowOff>
    </xdr:from>
    <xdr:to>
      <xdr:col>13</xdr:col>
      <xdr:colOff>544285</xdr:colOff>
      <xdr:row>27</xdr:row>
      <xdr:rowOff>54428</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176893</xdr:colOff>
      <xdr:row>48</xdr:row>
      <xdr:rowOff>1</xdr:rowOff>
    </xdr:from>
    <xdr:to>
      <xdr:col>34</xdr:col>
      <xdr:colOff>255074</xdr:colOff>
      <xdr:row>67</xdr:row>
      <xdr:rowOff>40823</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149678</xdr:colOff>
      <xdr:row>29</xdr:row>
      <xdr:rowOff>0</xdr:rowOff>
    </xdr:from>
    <xdr:to>
      <xdr:col>29</xdr:col>
      <xdr:colOff>340178</xdr:colOff>
      <xdr:row>45</xdr:row>
      <xdr:rowOff>163286</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5.xml><?xml version="1.0" encoding="utf-8"?>
<c:userShapes xmlns:c="http://schemas.openxmlformats.org/drawingml/2006/chart">
  <cdr:relSizeAnchor xmlns:cdr="http://schemas.openxmlformats.org/drawingml/2006/chartDrawing">
    <cdr:from>
      <cdr:x>0.40909</cdr:x>
      <cdr:y>0.02629</cdr:y>
    </cdr:from>
    <cdr:to>
      <cdr:x>0.60909</cdr:x>
      <cdr:y>0.30389</cdr:y>
    </cdr:to>
    <cdr:sp macro="" textlink="">
      <cdr:nvSpPr>
        <cdr:cNvPr id="2" name="TextBox 1"/>
        <cdr:cNvSpPr txBox="1"/>
      </cdr:nvSpPr>
      <cdr:spPr>
        <a:xfrm xmlns:a="http://schemas.openxmlformats.org/drawingml/2006/main">
          <a:off x="1870364" y="86591"/>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IN" sz="1600"/>
            <a:t>Area</a:t>
          </a:r>
        </a:p>
      </cdr:txBody>
    </cdr:sp>
  </cdr:relSizeAnchor>
</c:userShapes>
</file>

<file path=xl/drawings/drawing6.xml><?xml version="1.0" encoding="utf-8"?>
<xdr:wsDr xmlns:xdr="http://schemas.openxmlformats.org/drawingml/2006/spreadsheetDrawing" xmlns:a="http://schemas.openxmlformats.org/drawingml/2006/main">
  <xdr:twoCellAnchor>
    <xdr:from>
      <xdr:col>0</xdr:col>
      <xdr:colOff>13607</xdr:colOff>
      <xdr:row>0</xdr:row>
      <xdr:rowOff>27215</xdr:rowOff>
    </xdr:from>
    <xdr:to>
      <xdr:col>13</xdr:col>
      <xdr:colOff>530678</xdr:colOff>
      <xdr:row>26</xdr:row>
      <xdr:rowOff>176893</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48</xdr:row>
      <xdr:rowOff>0</xdr:rowOff>
    </xdr:from>
    <xdr:to>
      <xdr:col>33</xdr:col>
      <xdr:colOff>298120</xdr:colOff>
      <xdr:row>75</xdr:row>
      <xdr:rowOff>103911</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244929</xdr:colOff>
      <xdr:row>28</xdr:row>
      <xdr:rowOff>40821</xdr:rowOff>
    </xdr:from>
    <xdr:to>
      <xdr:col>30</xdr:col>
      <xdr:colOff>13607</xdr:colOff>
      <xdr:row>47</xdr:row>
      <xdr:rowOff>68035</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0.40909</cdr:x>
      <cdr:y>0.02629</cdr:y>
    </cdr:from>
    <cdr:to>
      <cdr:x>0.60909</cdr:x>
      <cdr:y>0.30389</cdr:y>
    </cdr:to>
    <cdr:sp macro="" textlink="">
      <cdr:nvSpPr>
        <cdr:cNvPr id="2" name="TextBox 1"/>
        <cdr:cNvSpPr txBox="1"/>
      </cdr:nvSpPr>
      <cdr:spPr>
        <a:xfrm xmlns:a="http://schemas.openxmlformats.org/drawingml/2006/main">
          <a:off x="1870364" y="86591"/>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IN" sz="1600"/>
            <a:t>Moment</a:t>
          </a:r>
        </a:p>
      </cdr:txBody>
    </cdr:sp>
  </cdr:relSizeAnchor>
</c:userShapes>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12</xdr:col>
          <xdr:colOff>247650</xdr:colOff>
          <xdr:row>0</xdr:row>
          <xdr:rowOff>180975</xdr:rowOff>
        </xdr:to>
        <xdr:sp macro="" textlink="">
          <xdr:nvSpPr>
            <xdr:cNvPr id="4099" name="Drop Down 3" hidden="1">
              <a:extLst>
                <a:ext uri="{63B3BB69-23CF-44E3-9099-C40C66FF867C}">
                  <a14:compatExt spid="_x0000_s4099"/>
                </a:ext>
              </a:extLst>
            </xdr:cNvPr>
            <xdr:cNvSpPr/>
          </xdr:nvSpPr>
          <xdr:spPr>
            <a:xfrm>
              <a:off x="0" y="0"/>
              <a:ext cx="0" cy="0"/>
            </a:xfrm>
            <a:prstGeom prst="rect">
              <a:avLst/>
            </a:prstGeom>
          </xdr:spPr>
        </xdr:sp>
        <xdr:clientData/>
      </xdr:twoCellAnchor>
    </mc:Choice>
    <mc:Fallback/>
  </mc:AlternateContent>
  <xdr:twoCellAnchor>
    <xdr:from>
      <xdr:col>0</xdr:col>
      <xdr:colOff>28575</xdr:colOff>
      <xdr:row>25</xdr:row>
      <xdr:rowOff>104775</xdr:rowOff>
    </xdr:from>
    <xdr:to>
      <xdr:col>19</xdr:col>
      <xdr:colOff>56592</xdr:colOff>
      <xdr:row>42</xdr:row>
      <xdr:rowOff>176892</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c:userShapes xmlns:c="http://schemas.openxmlformats.org/drawingml/2006/chart">
  <cdr:relSizeAnchor xmlns:cdr="http://schemas.openxmlformats.org/drawingml/2006/chartDrawing">
    <cdr:from>
      <cdr:x>0.47238</cdr:x>
      <cdr:y>0</cdr:y>
    </cdr:from>
    <cdr:to>
      <cdr:x>0.53191</cdr:x>
      <cdr:y>0.17357</cdr:y>
    </cdr:to>
    <cdr:sp macro="" textlink="">
      <cdr:nvSpPr>
        <cdr:cNvPr id="2" name="TextBox 1"/>
        <cdr:cNvSpPr txBox="1"/>
      </cdr:nvSpPr>
      <cdr:spPr>
        <a:xfrm xmlns:a="http://schemas.openxmlformats.org/drawingml/2006/main">
          <a:off x="7256318" y="0"/>
          <a:ext cx="914400" cy="914400"/>
        </a:xfrm>
        <a:prstGeom xmlns:a="http://schemas.openxmlformats.org/drawingml/2006/main" prst="rect">
          <a:avLst/>
        </a:prstGeom>
      </cdr:spPr>
      <cdr:txBody>
        <a:bodyPr xmlns:a="http://schemas.openxmlformats.org/drawingml/2006/main" vertOverflow="clip" wrap="none" rtlCol="0" anchor="t"/>
        <a:lstStyle xmlns:a="http://schemas.openxmlformats.org/drawingml/2006/main"/>
        <a:p xmlns:a="http://schemas.openxmlformats.org/drawingml/2006/main">
          <a:pPr algn="ctr"/>
          <a:r>
            <a:rPr lang="en-IN" sz="1400"/>
            <a:t>Hydrostatic Curves</a:t>
          </a:r>
        </a:p>
      </cdr:txBody>
    </cdr:sp>
  </cdr:relSizeAnchor>
</c:userShapes>
</file>

<file path=xl/drawings/drawing10.xml><?xml version="1.0" encoding="utf-8"?>
<xdr:wsDr xmlns:xdr="http://schemas.openxmlformats.org/drawingml/2006/spreadsheetDrawing" xmlns:a="http://schemas.openxmlformats.org/drawingml/2006/main">
  <xdr:twoCellAnchor>
    <xdr:from>
      <xdr:col>0</xdr:col>
      <xdr:colOff>219075</xdr:colOff>
      <xdr:row>0</xdr:row>
      <xdr:rowOff>123825</xdr:rowOff>
    </xdr:from>
    <xdr:to>
      <xdr:col>19</xdr:col>
      <xdr:colOff>219075</xdr:colOff>
      <xdr:row>12</xdr:row>
      <xdr:rowOff>180974</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47625</xdr:colOff>
          <xdr:row>1</xdr:row>
          <xdr:rowOff>0</xdr:rowOff>
        </xdr:from>
        <xdr:to>
          <xdr:col>14</xdr:col>
          <xdr:colOff>600075</xdr:colOff>
          <xdr:row>1</xdr:row>
          <xdr:rowOff>209550</xdr:rowOff>
        </xdr:to>
        <xdr:sp macro="" textlink="">
          <xdr:nvSpPr>
            <xdr:cNvPr id="7170" name="Drop Down 2" hidden="1">
              <a:extLst>
                <a:ext uri="{63B3BB69-23CF-44E3-9099-C40C66FF867C}">
                  <a14:compatExt spid="_x0000_s7170"/>
                </a:ext>
              </a:extLst>
            </xdr:cNvPr>
            <xdr:cNvSpPr/>
          </xdr:nvSpPr>
          <xdr:spPr>
            <a:xfrm>
              <a:off x="0" y="0"/>
              <a:ext cx="0" cy="0"/>
            </a:xfrm>
            <a:prstGeom prst="rect">
              <a:avLst/>
            </a:prstGeom>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84</xdr:col>
      <xdr:colOff>415637</xdr:colOff>
      <xdr:row>154</xdr:row>
      <xdr:rowOff>60614</xdr:rowOff>
    </xdr:from>
    <xdr:to>
      <xdr:col>98</xdr:col>
      <xdr:colOff>632114</xdr:colOff>
      <xdr:row>184</xdr:row>
      <xdr:rowOff>8660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71</xdr:col>
      <xdr:colOff>0</xdr:colOff>
      <xdr:row>154</xdr:row>
      <xdr:rowOff>0</xdr:rowOff>
    </xdr:from>
    <xdr:to>
      <xdr:col>82</xdr:col>
      <xdr:colOff>351250</xdr:colOff>
      <xdr:row>180</xdr:row>
      <xdr:rowOff>69274</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c:userShapes xmlns:c="http://schemas.openxmlformats.org/drawingml/2006/chart">
  <cdr:relSizeAnchor xmlns:cdr="http://schemas.openxmlformats.org/drawingml/2006/chartDrawing">
    <cdr:from>
      <cdr:x>0.32846</cdr:x>
      <cdr:y>0.80969</cdr:y>
    </cdr:from>
    <cdr:to>
      <cdr:x>0.4152</cdr:x>
      <cdr:y>0.99646</cdr:y>
    </cdr:to>
    <cdr:sp macro="" textlink="">
      <cdr:nvSpPr>
        <cdr:cNvPr id="2" name="TextBox 1"/>
        <cdr:cNvSpPr txBox="1"/>
      </cdr:nvSpPr>
      <cdr:spPr>
        <a:xfrm xmlns:a="http://schemas.openxmlformats.org/drawingml/2006/main">
          <a:off x="3462771" y="3964132"/>
          <a:ext cx="914400" cy="914400"/>
        </a:xfrm>
        <a:prstGeom xmlns:a="http://schemas.openxmlformats.org/drawingml/2006/main" prst="rect">
          <a:avLst/>
        </a:prstGeom>
      </cdr:spPr>
      <cdr:txBody>
        <a:bodyPr xmlns:a="http://schemas.openxmlformats.org/drawingml/2006/main" vertOverflow="clip" wrap="none" rtlCol="0" anchor="b"/>
        <a:lstStyle xmlns:a="http://schemas.openxmlformats.org/drawingml/2006/main"/>
        <a:p xmlns:a="http://schemas.openxmlformats.org/drawingml/2006/main">
          <a:pPr algn="ctr"/>
          <a:r>
            <a:rPr lang="en-IN" sz="2000"/>
            <a:t>Body</a:t>
          </a:r>
          <a:r>
            <a:rPr lang="en-IN" sz="2000" baseline="0"/>
            <a:t> Plan</a:t>
          </a:r>
          <a:endParaRPr lang="en-IN" sz="2000"/>
        </a:p>
      </cdr:txBody>
    </cdr:sp>
  </cdr:relSizeAnchor>
</c:userShapes>
</file>

<file path=xl/drawings/drawing14.xml><?xml version="1.0" encoding="utf-8"?>
<c:userShapes xmlns:c="http://schemas.openxmlformats.org/drawingml/2006/chart">
  <cdr:relSizeAnchor xmlns:cdr="http://schemas.openxmlformats.org/drawingml/2006/chartDrawing">
    <cdr:from>
      <cdr:x>0.32846</cdr:x>
      <cdr:y>0.80969</cdr:y>
    </cdr:from>
    <cdr:to>
      <cdr:x>0.4152</cdr:x>
      <cdr:y>0.99646</cdr:y>
    </cdr:to>
    <cdr:sp macro="" textlink="">
      <cdr:nvSpPr>
        <cdr:cNvPr id="2" name="TextBox 1"/>
        <cdr:cNvSpPr txBox="1"/>
      </cdr:nvSpPr>
      <cdr:spPr>
        <a:xfrm xmlns:a="http://schemas.openxmlformats.org/drawingml/2006/main">
          <a:off x="3462771" y="3964132"/>
          <a:ext cx="914400" cy="914400"/>
        </a:xfrm>
        <a:prstGeom xmlns:a="http://schemas.openxmlformats.org/drawingml/2006/main" prst="rect">
          <a:avLst/>
        </a:prstGeom>
      </cdr:spPr>
      <cdr:txBody>
        <a:bodyPr xmlns:a="http://schemas.openxmlformats.org/drawingml/2006/main" vertOverflow="clip" wrap="none" rtlCol="0" anchor="b"/>
        <a:lstStyle xmlns:a="http://schemas.openxmlformats.org/drawingml/2006/main"/>
        <a:p xmlns:a="http://schemas.openxmlformats.org/drawingml/2006/main">
          <a:pPr algn="ctr"/>
          <a:r>
            <a:rPr lang="en-IN" sz="2000"/>
            <a:t>Body</a:t>
          </a:r>
          <a:r>
            <a:rPr lang="en-IN" sz="2000" baseline="0"/>
            <a:t> Plan</a:t>
          </a:r>
          <a:endParaRPr lang="en-IN" sz="2000"/>
        </a:p>
      </cdr:txBody>
    </cdr:sp>
  </cdr:relSizeAnchor>
</c:userShapes>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6</xdr:row>
          <xdr:rowOff>0</xdr:rowOff>
        </xdr:from>
        <xdr:to>
          <xdr:col>2</xdr:col>
          <xdr:colOff>219075</xdr:colOff>
          <xdr:row>7</xdr:row>
          <xdr:rowOff>28575</xdr:rowOff>
        </xdr:to>
        <xdr:sp macro="" textlink="">
          <xdr:nvSpPr>
            <xdr:cNvPr id="63490" name="Button 2" hidden="1">
              <a:extLst>
                <a:ext uri="{63B3BB69-23CF-44E3-9099-C40C66FF867C}">
                  <a14:compatExt spid="_x0000_s6349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IN" sz="1100" b="0" i="0" u="none" strike="noStrike" baseline="0">
                  <a:solidFill>
                    <a:srgbClr val="000000"/>
                  </a:solidFill>
                  <a:latin typeface="Calibri"/>
                  <a:cs typeface="Calibri"/>
                </a:rPr>
                <a:t>Linesplan Grid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7</xdr:row>
          <xdr:rowOff>95250</xdr:rowOff>
        </xdr:from>
        <xdr:to>
          <xdr:col>2</xdr:col>
          <xdr:colOff>219075</xdr:colOff>
          <xdr:row>8</xdr:row>
          <xdr:rowOff>123825</xdr:rowOff>
        </xdr:to>
        <xdr:sp macro="" textlink="">
          <xdr:nvSpPr>
            <xdr:cNvPr id="63491" name="Button 3" hidden="1">
              <a:extLst>
                <a:ext uri="{63B3BB69-23CF-44E3-9099-C40C66FF867C}">
                  <a14:compatExt spid="_x0000_s63491"/>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IN" sz="1100" b="0" i="0" u="none" strike="noStrike" baseline="0">
                  <a:solidFill>
                    <a:srgbClr val="000000"/>
                  </a:solidFill>
                  <a:latin typeface="Calibri"/>
                  <a:cs typeface="Calibri"/>
                </a:rPr>
                <a:t>Halfbreadth Splines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9</xdr:row>
          <xdr:rowOff>0</xdr:rowOff>
        </xdr:from>
        <xdr:to>
          <xdr:col>2</xdr:col>
          <xdr:colOff>219075</xdr:colOff>
          <xdr:row>10</xdr:row>
          <xdr:rowOff>28575</xdr:rowOff>
        </xdr:to>
        <xdr:sp macro="" textlink="">
          <xdr:nvSpPr>
            <xdr:cNvPr id="63492" name="Button 4" hidden="1">
              <a:extLst>
                <a:ext uri="{63B3BB69-23CF-44E3-9099-C40C66FF867C}">
                  <a14:compatExt spid="_x0000_s63492"/>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IN" sz="1100" b="0" i="0" u="none" strike="noStrike" baseline="0">
                  <a:solidFill>
                    <a:srgbClr val="000000"/>
                  </a:solidFill>
                  <a:latin typeface="Calibri"/>
                  <a:cs typeface="Calibri"/>
                </a:rPr>
                <a:t>Bodyplan Splines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10</xdr:row>
          <xdr:rowOff>85725</xdr:rowOff>
        </xdr:from>
        <xdr:to>
          <xdr:col>2</xdr:col>
          <xdr:colOff>219075</xdr:colOff>
          <xdr:row>11</xdr:row>
          <xdr:rowOff>114300</xdr:rowOff>
        </xdr:to>
        <xdr:sp macro="" textlink="">
          <xdr:nvSpPr>
            <xdr:cNvPr id="63493" name="Button 5" hidden="1">
              <a:extLst>
                <a:ext uri="{63B3BB69-23CF-44E3-9099-C40C66FF867C}">
                  <a14:compatExt spid="_x0000_s6349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IN" sz="1100" b="0" i="0" u="none" strike="noStrike" baseline="0">
                  <a:solidFill>
                    <a:srgbClr val="000000"/>
                  </a:solidFill>
                  <a:latin typeface="Calibri"/>
                  <a:cs typeface="Calibri"/>
                </a:rPr>
                <a:t>Bonjean Grid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11</xdr:row>
          <xdr:rowOff>171450</xdr:rowOff>
        </xdr:from>
        <xdr:to>
          <xdr:col>2</xdr:col>
          <xdr:colOff>219075</xdr:colOff>
          <xdr:row>13</xdr:row>
          <xdr:rowOff>9525</xdr:rowOff>
        </xdr:to>
        <xdr:sp macro="" textlink="">
          <xdr:nvSpPr>
            <xdr:cNvPr id="63494" name="Button 6" hidden="1">
              <a:extLst>
                <a:ext uri="{63B3BB69-23CF-44E3-9099-C40C66FF867C}">
                  <a14:compatExt spid="_x0000_s6349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IN" sz="1100" b="0" i="0" u="none" strike="noStrike" baseline="0">
                  <a:solidFill>
                    <a:srgbClr val="000000"/>
                  </a:solidFill>
                  <a:latin typeface="Calibri"/>
                  <a:cs typeface="Calibri"/>
                </a:rPr>
                <a:t>Bonj Area Splines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13</xdr:row>
          <xdr:rowOff>66675</xdr:rowOff>
        </xdr:from>
        <xdr:to>
          <xdr:col>2</xdr:col>
          <xdr:colOff>219075</xdr:colOff>
          <xdr:row>14</xdr:row>
          <xdr:rowOff>95250</xdr:rowOff>
        </xdr:to>
        <xdr:sp macro="" textlink="">
          <xdr:nvSpPr>
            <xdr:cNvPr id="63495" name="Button 7" hidden="1">
              <a:extLst>
                <a:ext uri="{63B3BB69-23CF-44E3-9099-C40C66FF867C}">
                  <a14:compatExt spid="_x0000_s6349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IN" sz="1100" b="0" i="0" u="none" strike="noStrike" baseline="0">
                  <a:solidFill>
                    <a:srgbClr val="000000"/>
                  </a:solidFill>
                  <a:latin typeface="Calibri"/>
                  <a:cs typeface="Calibri"/>
                </a:rPr>
                <a:t>Bonj Moment Splines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14</xdr:row>
          <xdr:rowOff>152400</xdr:rowOff>
        </xdr:from>
        <xdr:to>
          <xdr:col>2</xdr:col>
          <xdr:colOff>228600</xdr:colOff>
          <xdr:row>15</xdr:row>
          <xdr:rowOff>180975</xdr:rowOff>
        </xdr:to>
        <xdr:sp macro="" textlink="">
          <xdr:nvSpPr>
            <xdr:cNvPr id="63497" name="Button 9" hidden="1">
              <a:extLst>
                <a:ext uri="{63B3BB69-23CF-44E3-9099-C40C66FF867C}">
                  <a14:compatExt spid="_x0000_s6349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IN" sz="1100" b="0" i="0" u="none" strike="noStrike" baseline="0">
                  <a:solidFill>
                    <a:srgbClr val="000000"/>
                  </a:solidFill>
                  <a:latin typeface="Calibri"/>
                  <a:cs typeface="Calibri"/>
                </a:rPr>
                <a:t>3D Hull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21</xdr:row>
          <xdr:rowOff>0</xdr:rowOff>
        </xdr:from>
        <xdr:to>
          <xdr:col>3</xdr:col>
          <xdr:colOff>0</xdr:colOff>
          <xdr:row>21</xdr:row>
          <xdr:rowOff>180975</xdr:rowOff>
        </xdr:to>
        <xdr:sp macro="" textlink="">
          <xdr:nvSpPr>
            <xdr:cNvPr id="63498" name="Button 10" hidden="1">
              <a:extLst>
                <a:ext uri="{63B3BB69-23CF-44E3-9099-C40C66FF867C}">
                  <a14:compatExt spid="_x0000_s6349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IN" sz="1100" b="0" i="0" u="none" strike="noStrike" baseline="0">
                  <a:solidFill>
                    <a:srgbClr val="000000"/>
                  </a:solidFill>
                  <a:latin typeface="Calibri"/>
                  <a:cs typeface="Calibri"/>
                </a:rPr>
                <a:t>3D Hull (Rhino)</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304800</xdr:colOff>
          <xdr:row>6</xdr:row>
          <xdr:rowOff>0</xdr:rowOff>
        </xdr:from>
        <xdr:to>
          <xdr:col>10</xdr:col>
          <xdr:colOff>0</xdr:colOff>
          <xdr:row>8</xdr:row>
          <xdr:rowOff>0</xdr:rowOff>
        </xdr:to>
        <xdr:sp macro="" textlink="">
          <xdr:nvSpPr>
            <xdr:cNvPr id="64517" name="Button 5" hidden="1">
              <a:extLst>
                <a:ext uri="{63B3BB69-23CF-44E3-9099-C40C66FF867C}">
                  <a14:compatExt spid="_x0000_s64517"/>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en-IN" sz="1600" b="1" i="0" u="none" strike="noStrike" baseline="0">
                  <a:solidFill>
                    <a:srgbClr val="000000"/>
                  </a:solidFill>
                  <a:latin typeface="Calibri"/>
                  <a:cs typeface="Calibri"/>
                </a:rPr>
                <a:t>Copy table</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9525</xdr:colOff>
          <xdr:row>3</xdr:row>
          <xdr:rowOff>85725</xdr:rowOff>
        </xdr:from>
        <xdr:to>
          <xdr:col>16</xdr:col>
          <xdr:colOff>228600</xdr:colOff>
          <xdr:row>4</xdr:row>
          <xdr:rowOff>114300</xdr:rowOff>
        </xdr:to>
        <xdr:sp macro="" textlink="">
          <xdr:nvSpPr>
            <xdr:cNvPr id="65537" name="Button 1" hidden="1">
              <a:extLst>
                <a:ext uri="{63B3BB69-23CF-44E3-9099-C40C66FF867C}">
                  <a14:compatExt spid="_x0000_s6553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IN" sz="1100" b="0" i="0" u="none" strike="noStrike" baseline="0">
                  <a:solidFill>
                    <a:srgbClr val="000000"/>
                  </a:solidFill>
                  <a:latin typeface="Calibri"/>
                  <a:cs typeface="Calibri"/>
                </a:rPr>
                <a:t>3D Hull</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51.bin"/></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3" Type="http://schemas.openxmlformats.org/officeDocument/2006/relationships/printerSettings" Target="../printerSettings/printerSettings53.bin"/><Relationship Id="rId2" Type="http://schemas.openxmlformats.org/officeDocument/2006/relationships/hyperlink" Target="mailto:abdulrahimom@outlook.com" TargetMode="External"/><Relationship Id="rId1" Type="http://schemas.openxmlformats.org/officeDocument/2006/relationships/hyperlink" Target="mailto:abdupalakkad@yahoo.com" TargetMode="External"/><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5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8.xml"/><Relationship Id="rId1" Type="http://schemas.openxmlformats.org/officeDocument/2006/relationships/printerSettings" Target="../printerSettings/printerSettings56.bin"/><Relationship Id="rId4" Type="http://schemas.openxmlformats.org/officeDocument/2006/relationships/ctrlProp" Target="../ctrlProps/ctrlProp1.xml"/></Relationships>
</file>

<file path=xl/worksheets/_rels/sheet57.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1" Type="http://schemas.openxmlformats.org/officeDocument/2006/relationships/printerSettings" Target="../printerSettings/printerSettings58.bin"/></Relationships>
</file>

<file path=xl/worksheets/_rels/sheet59.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3.vml"/><Relationship Id="rId1" Type="http://schemas.openxmlformats.org/officeDocument/2006/relationships/drawing" Target="../drawings/drawing11.xml"/></Relationships>
</file>

<file path=xl/worksheets/_rels/sheet60.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59.bin"/></Relationships>
</file>

<file path=xl/worksheets/_rels/sheet61.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vmlDrawing" Target="../drawings/vmlDrawing4.vml"/><Relationship Id="rId7" Type="http://schemas.openxmlformats.org/officeDocument/2006/relationships/ctrlProp" Target="../ctrlProps/ctrlProp6.xml"/><Relationship Id="rId2" Type="http://schemas.openxmlformats.org/officeDocument/2006/relationships/drawing" Target="../drawings/drawing15.xml"/><Relationship Id="rId1" Type="http://schemas.openxmlformats.org/officeDocument/2006/relationships/printerSettings" Target="../printerSettings/printerSettings60.bin"/><Relationship Id="rId6" Type="http://schemas.openxmlformats.org/officeDocument/2006/relationships/ctrlProp" Target="../ctrlProps/ctrlProp5.xml"/><Relationship Id="rId11" Type="http://schemas.openxmlformats.org/officeDocument/2006/relationships/ctrlProp" Target="../ctrlProps/ctrlProp10.xml"/><Relationship Id="rId5" Type="http://schemas.openxmlformats.org/officeDocument/2006/relationships/ctrlProp" Target="../ctrlProps/ctrlProp4.xml"/><Relationship Id="rId10" Type="http://schemas.openxmlformats.org/officeDocument/2006/relationships/ctrlProp" Target="../ctrlProps/ctrlProp9.xml"/><Relationship Id="rId4" Type="http://schemas.openxmlformats.org/officeDocument/2006/relationships/ctrlProp" Target="../ctrlProps/ctrlProp3.xml"/><Relationship Id="rId9" Type="http://schemas.openxmlformats.org/officeDocument/2006/relationships/ctrlProp" Target="../ctrlProps/ctrlProp8.xml"/></Relationships>
</file>

<file path=xl/worksheets/_rels/sheet63.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6.xml"/><Relationship Id="rId1" Type="http://schemas.openxmlformats.org/officeDocument/2006/relationships/printerSettings" Target="../printerSettings/printerSettings61.bin"/><Relationship Id="rId4" Type="http://schemas.openxmlformats.org/officeDocument/2006/relationships/ctrlProp" Target="../ctrlProps/ctrlProp11.xml"/></Relationships>
</file>

<file path=xl/worksheets/_rels/sheet64.xml.rels><?xml version="1.0" encoding="UTF-8" standalone="yes"?>
<Relationships xmlns="http://schemas.openxmlformats.org/package/2006/relationships"><Relationship Id="rId2" Type="http://schemas.openxmlformats.org/officeDocument/2006/relationships/printerSettings" Target="../printerSettings/printerSettings62.bin"/><Relationship Id="rId1" Type="http://schemas.openxmlformats.org/officeDocument/2006/relationships/hyperlink" Target="mailto:abdulrahimom@outlook.com" TargetMode="External"/></Relationships>
</file>

<file path=xl/worksheets/_rels/sheet65.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6.vml"/><Relationship Id="rId1" Type="http://schemas.openxmlformats.org/officeDocument/2006/relationships/drawing" Target="../drawings/drawing1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4" tint="0.79998168889431442"/>
  </sheetPr>
  <dimension ref="A1:BH57"/>
  <sheetViews>
    <sheetView zoomScale="55" zoomScaleNormal="55" workbookViewId="0">
      <pane ySplit="1" topLeftCell="A2" activePane="bottomLeft" state="frozen"/>
      <selection activeCell="AG8" sqref="AG8:AG10"/>
      <selection pane="bottomLeft" activeCell="A5" sqref="A5"/>
    </sheetView>
  </sheetViews>
  <sheetFormatPr defaultRowHeight="15" x14ac:dyDescent="0.25"/>
  <cols>
    <col min="1" max="1" width="8.28515625" customWidth="1"/>
    <col min="2" max="2" width="7.28515625" customWidth="1"/>
    <col min="4" max="4" width="6.5703125" customWidth="1"/>
    <col min="7" max="7" width="24" customWidth="1"/>
    <col min="8" max="8" width="30.5703125" customWidth="1"/>
    <col min="9" max="9" width="26.5703125" customWidth="1"/>
    <col min="10" max="10" width="10.5703125" bestFit="1" customWidth="1"/>
    <col min="11" max="11" width="9.140625" customWidth="1"/>
    <col min="13" max="13" width="7.85546875" customWidth="1"/>
    <col min="17" max="17" width="19.5703125" customWidth="1"/>
    <col min="18" max="18" width="11.85546875" customWidth="1"/>
    <col min="19" max="19" width="16.5703125" customWidth="1"/>
    <col min="20" max="20" width="14.140625" customWidth="1"/>
    <col min="35" max="35" width="14" customWidth="1"/>
    <col min="36" max="37" width="12" customWidth="1"/>
    <col min="39" max="39" width="19" customWidth="1"/>
    <col min="43" max="43" width="18" style="7" customWidth="1"/>
    <col min="49" max="49" width="11.28515625" customWidth="1"/>
    <col min="52" max="52" width="12" customWidth="1"/>
    <col min="54" max="54" width="10.7109375" bestFit="1" customWidth="1"/>
    <col min="56" max="56" width="4.5703125" customWidth="1"/>
    <col min="57" max="57" width="21.28515625" customWidth="1"/>
    <col min="58" max="58" width="15.42578125" customWidth="1"/>
    <col min="59" max="59" width="19.28515625" customWidth="1"/>
    <col min="61" max="61" width="5.7109375" customWidth="1"/>
    <col min="62" max="62" width="13" customWidth="1"/>
    <col min="63" max="63" width="17.42578125" customWidth="1"/>
  </cols>
  <sheetData>
    <row r="1" spans="1:60" x14ac:dyDescent="0.25">
      <c r="A1" s="1" t="s">
        <v>0</v>
      </c>
      <c r="B1" s="2" t="str">
        <f>VLOOKUP(Stn_WL,OFFSET_A,Count_WL+1,FALSE)</f>
        <v xml:space="preserve">  </v>
      </c>
      <c r="C1" s="3"/>
      <c r="D1" s="4"/>
      <c r="E1" s="4" t="s">
        <v>1</v>
      </c>
      <c r="F1" s="5">
        <v>25</v>
      </c>
      <c r="G1" s="4"/>
      <c r="H1" s="4"/>
      <c r="I1" s="4"/>
      <c r="J1" s="4"/>
      <c r="K1" s="4"/>
      <c r="L1" s="4"/>
      <c r="M1" s="4"/>
      <c r="N1" s="4"/>
      <c r="O1" s="4"/>
      <c r="P1" s="4"/>
      <c r="Q1" s="4"/>
      <c r="R1" s="4"/>
      <c r="S1" s="4"/>
      <c r="V1" t="s">
        <v>2</v>
      </c>
      <c r="W1">
        <f ca="1">COUNTIF(OFFSET(Z4,,,ROUNDDOWN(Max_STN_count/2+1,0),1),TRUE)</f>
        <v>5</v>
      </c>
      <c r="X1">
        <f ca="1">COUNTIF(OFFSET(AA4,,,ROUNDDOWN(Max_STN_count/2+1,0),1),TRUE)</f>
        <v>5</v>
      </c>
      <c r="Y1">
        <f ca="1">W1-X1</f>
        <v>0</v>
      </c>
      <c r="AB1" s="6" t="s">
        <v>3</v>
      </c>
      <c r="AC1">
        <f ca="1">COUNTIF(OFFSET(Z4,ROUNDUP(Max_STN_count/2,0),,ROUNDDOWN(Max_STN_count/2,0),1),TRUE)</f>
        <v>5</v>
      </c>
      <c r="AD1">
        <f ca="1">COUNTIF(OFFSET(AA4,ROUNDUP(Max_STN_count/2,0),,ROUNDDOWN(Max_STN_count/2,0),1),TRUE)</f>
        <v>5</v>
      </c>
      <c r="AE1">
        <f ca="1">AC1-AD1</f>
        <v>0</v>
      </c>
      <c r="AG1" t="s">
        <v>4</v>
      </c>
      <c r="AH1">
        <f>COUNTIF(AG4:AG28,TRUE)</f>
        <v>17</v>
      </c>
      <c r="AI1">
        <f ca="1">COUNTIF(OFFSET(AG4,,,ROUNDUP(Max_STN_count/2,0),1),FALSE)</f>
        <v>4</v>
      </c>
      <c r="AW1">
        <f ca="1">COUNTIF(OFFSET(AG4,,,Max_STN_count,1),TRUE)</f>
        <v>17</v>
      </c>
    </row>
    <row r="2" spans="1:60" x14ac:dyDescent="0.25">
      <c r="A2" s="491" t="s">
        <v>5</v>
      </c>
      <c r="B2" s="492"/>
      <c r="C2" s="492"/>
      <c r="D2" s="492"/>
      <c r="E2" s="492"/>
      <c r="F2" s="492"/>
      <c r="G2" s="492"/>
      <c r="H2" s="492"/>
      <c r="I2" s="493"/>
      <c r="J2" s="4"/>
      <c r="K2" s="491" t="s">
        <v>6</v>
      </c>
      <c r="L2" s="492"/>
      <c r="M2" s="492"/>
      <c r="N2" s="492"/>
      <c r="O2" s="493"/>
      <c r="P2" s="4"/>
      <c r="Q2" s="8" t="s">
        <v>7</v>
      </c>
      <c r="R2" s="9" t="s">
        <v>8</v>
      </c>
      <c r="S2" s="10">
        <f>WLS</f>
        <v>2</v>
      </c>
      <c r="V2" s="11"/>
      <c r="W2" s="11"/>
      <c r="X2" s="11"/>
      <c r="Y2" s="11"/>
      <c r="Z2" s="11"/>
      <c r="AA2" s="11"/>
      <c r="AB2" s="11"/>
      <c r="AC2" s="11"/>
      <c r="AD2" s="11"/>
      <c r="AE2" s="11"/>
      <c r="AF2" s="11"/>
      <c r="AG2" s="11"/>
      <c r="AH2" s="11"/>
      <c r="AI2" s="11"/>
      <c r="AJ2" s="11"/>
      <c r="AK2" s="11"/>
      <c r="AL2" s="11"/>
      <c r="AM2" s="11"/>
      <c r="AN2" s="11"/>
      <c r="AO2" s="491" t="s">
        <v>5</v>
      </c>
      <c r="AP2" s="492"/>
      <c r="AQ2" s="492"/>
      <c r="AR2" s="492"/>
      <c r="AS2" s="492"/>
      <c r="AT2" s="492"/>
      <c r="AU2" s="492"/>
      <c r="AV2" s="492"/>
      <c r="AW2" s="493"/>
      <c r="AY2" s="491" t="s">
        <v>6</v>
      </c>
      <c r="AZ2" s="492"/>
      <c r="BA2" s="492"/>
      <c r="BB2" s="492"/>
      <c r="BC2" s="493"/>
      <c r="BE2" s="8" t="s">
        <v>7</v>
      </c>
      <c r="BF2" s="9" t="s">
        <v>8</v>
      </c>
      <c r="BG2" s="10">
        <f>WLS</f>
        <v>2</v>
      </c>
    </row>
    <row r="3" spans="1:60" x14ac:dyDescent="0.25">
      <c r="A3" s="12" t="s">
        <v>9</v>
      </c>
      <c r="B3" s="13" t="s">
        <v>10</v>
      </c>
      <c r="C3" s="14" t="s">
        <v>11</v>
      </c>
      <c r="D3" s="14" t="s">
        <v>12</v>
      </c>
      <c r="E3" s="14" t="s">
        <v>13</v>
      </c>
      <c r="F3" s="14" t="s">
        <v>14</v>
      </c>
      <c r="G3" s="14" t="s">
        <v>15</v>
      </c>
      <c r="H3" s="14" t="s">
        <v>16</v>
      </c>
      <c r="I3" s="14" t="s">
        <v>17</v>
      </c>
      <c r="J3" s="15"/>
      <c r="K3" s="14" t="s">
        <v>18</v>
      </c>
      <c r="L3" s="14" t="s">
        <v>19</v>
      </c>
      <c r="M3" s="14" t="s">
        <v>20</v>
      </c>
      <c r="N3" s="14" t="s">
        <v>21</v>
      </c>
      <c r="O3" s="14" t="s">
        <v>22</v>
      </c>
      <c r="P3" s="15"/>
      <c r="Q3" s="16" t="s">
        <v>23</v>
      </c>
      <c r="R3" s="9" t="s">
        <v>8</v>
      </c>
      <c r="S3" s="10">
        <f>STN_GAP</f>
        <v>7.31</v>
      </c>
      <c r="W3" s="17" t="s">
        <v>11</v>
      </c>
      <c r="X3" s="17"/>
      <c r="Y3" s="17"/>
      <c r="Z3" s="17" t="s">
        <v>24</v>
      </c>
      <c r="AA3" s="17"/>
      <c r="AB3" s="17"/>
      <c r="AC3" s="17"/>
      <c r="AD3" s="17"/>
      <c r="AE3" s="17"/>
      <c r="AF3" s="17"/>
      <c r="AG3" s="17" t="s">
        <v>4</v>
      </c>
      <c r="AH3" s="17"/>
      <c r="AI3" s="17" t="s">
        <v>25</v>
      </c>
      <c r="AJ3" s="17"/>
      <c r="AK3" s="17"/>
      <c r="AL3" s="17"/>
      <c r="AM3" s="18" t="s">
        <v>11</v>
      </c>
      <c r="AO3" s="12" t="s">
        <v>9</v>
      </c>
      <c r="AP3" s="13" t="s">
        <v>10</v>
      </c>
      <c r="AQ3" s="19"/>
      <c r="AR3" s="14" t="s">
        <v>12</v>
      </c>
      <c r="AS3" s="14" t="s">
        <v>13</v>
      </c>
      <c r="AT3" s="14" t="s">
        <v>14</v>
      </c>
      <c r="AU3" s="14" t="s">
        <v>15</v>
      </c>
      <c r="AV3" s="14" t="s">
        <v>16</v>
      </c>
      <c r="AW3" s="14" t="s">
        <v>17</v>
      </c>
      <c r="AY3" s="14" t="s">
        <v>18</v>
      </c>
      <c r="AZ3" s="14" t="s">
        <v>19</v>
      </c>
      <c r="BA3" s="14" t="s">
        <v>20</v>
      </c>
      <c r="BB3" s="14" t="s">
        <v>21</v>
      </c>
      <c r="BC3" s="14" t="s">
        <v>22</v>
      </c>
      <c r="BE3" s="16" t="s">
        <v>23</v>
      </c>
      <c r="BF3" s="9" t="s">
        <v>8</v>
      </c>
      <c r="BG3" s="10">
        <f>STN_GAP</f>
        <v>7.31</v>
      </c>
    </row>
    <row r="4" spans="1:60" x14ac:dyDescent="0.25">
      <c r="A4" s="20">
        <f>Tools!$AD3</f>
        <v>0</v>
      </c>
      <c r="B4" s="21" t="str">
        <f t="shared" ref="B4:B28" si="0">VLOOKUP(A4,OFFSET_A,Count_WL+1,FALSE)</f>
        <v xml:space="preserve">  </v>
      </c>
      <c r="C4" s="22">
        <f>IF(A4="  ","  ",IF(A5="  ","?",1*(A5-A4)))</f>
        <v>0.5</v>
      </c>
      <c r="D4" s="23" t="str">
        <f>IFERROR(B4*C4,"  ")</f>
        <v xml:space="preserve">  </v>
      </c>
      <c r="E4" s="24">
        <f t="shared" ref="E4:E28" si="1">IFERROR(A4-(Long_Div/2),"  ")</f>
        <v>-10</v>
      </c>
      <c r="F4" s="23" t="str">
        <f>IFERROR(D4*E4,"  ")</f>
        <v xml:space="preserve">  </v>
      </c>
      <c r="G4" s="23" t="str">
        <f>IFERROR(F4*E4,"  ")</f>
        <v xml:space="preserve">  </v>
      </c>
      <c r="H4" s="23" t="str">
        <f>IFERROR(B4^3,"  ")</f>
        <v xml:space="preserve">  </v>
      </c>
      <c r="I4" s="23" t="str">
        <f>IFERROR(H4*C4,"  ")</f>
        <v xml:space="preserve">  </v>
      </c>
      <c r="J4" s="4"/>
      <c r="K4" s="25" t="str">
        <f t="shared" ref="K4:K28" si="2">VLOOKUP(A4,AREA_TABLE,Count_WL+1,FALSE)</f>
        <v xml:space="preserve"> </v>
      </c>
      <c r="L4" s="23" t="str">
        <f>IFERROR(K4*C4,"  ")</f>
        <v xml:space="preserve">  </v>
      </c>
      <c r="M4" s="26" t="str">
        <f t="shared" ref="M4:M28" si="3">VLOOKUP(A4,MOMENT_TABLE,Count_WL+1,FALSE)</f>
        <v xml:space="preserve"> </v>
      </c>
      <c r="N4" s="27" t="str">
        <f>IFERROR(M4*C4,"  ")</f>
        <v xml:space="preserve">  </v>
      </c>
      <c r="O4" s="23" t="str">
        <f>IFERROR(L4*E4,"  ")</f>
        <v xml:space="preserve">  </v>
      </c>
      <c r="P4" s="4"/>
      <c r="Q4" s="16" t="s">
        <v>26</v>
      </c>
      <c r="R4" s="9" t="s">
        <v>8</v>
      </c>
      <c r="S4" s="28">
        <f>LBP</f>
        <v>146.19999999999999</v>
      </c>
      <c r="W4" s="29">
        <f>IF(AO4="  ","  ",IF(AO5="  ","?",1*(AO5-AO4)))</f>
        <v>0.5</v>
      </c>
      <c r="X4" s="30" t="str">
        <f t="shared" ref="X4:X28" si="4">IF(Y4=0,"--",CONCATENATE(IF(AO4=0,"-",IF(Y3=0,"-",IF(AO4-AO3=0.5,"D",IF(AO4-AO3=1,"W","-")))),IF(AO4=Long_Div,"-",IF(Y5=0,"-",IF(AO5-AO4=0.5,"D",IF(AO5-AO4=1,"W","-"))))))</f>
        <v>-D</v>
      </c>
      <c r="Y4" s="30" t="str">
        <f t="shared" ref="Y4:Y28" si="5">IF(ISNUMBER(AO4),IF(AO4=Long_Div/2,"-",IF(AND(AO4=Long_Div,$AP4=0,$AP3=0),0,IF(AND(AO4=0,$AP4=0,$AP5=0),0,IF($AO4&lt;Long_Div/2,IF(AND(Y3=0,$AP4=0,$AP5=0),0,"-"),IF(AND(Y5=0,$AP4=0,$AP3=0),0,"-")))))," ")</f>
        <v>-</v>
      </c>
      <c r="Z4" s="29" t="b">
        <f t="shared" ref="Z4:Z28" si="6">IF(ISNUMBER(AO4),IF(AO4=0,IF(AO5=0.5,TRUE,FALSE),IF(AO4=Long_Div,IF(AO3=Long_Div-0.5,TRUE,FALSE),IF(OR(AO5-AO4=0.5,AO4-AO3=0.5),TRUE,FALSE)))," ")</f>
        <v>1</v>
      </c>
      <c r="AA4" s="29" t="b">
        <f t="shared" ref="AA4:AA28" si="7">IF(ISNUMBER(AO4),IF(Y4=0," ",IF(AO4=0,IF(AO5=0.5,TRUE,"-"),IF(AO4=Long_Div,IF(AO3=Long_Div-0.5,TRUE,"-"),IF(OR(AO5-AO4=0.5,AO4-AO3=0.5),TRUE,FALSE))))," ")</f>
        <v>1</v>
      </c>
      <c r="AB4" s="29" t="str">
        <f t="shared" ref="AB4:AB28" ca="1" si="8">IF(AO4&lt;=Long_Div/2,IF(ISNUMBER(AO4),IF($X$1=0,"---",IF($X$1=1,"##",IF($X$1=2,IF(AD4=1,"141-4",IF(OR(AD4=0,AD4=2),"141-1","**")),IF(AC4&lt;=($Y$1),"--",IF(AC4&gt;$W$1,"++",IF(ISODD($X$1),IF(OR(AD4=1,AD4=$X$1),"141-1",IF(ISODD(AD4),"141-2",IF(ISEVEN(AD4),"141-4","+"))),IF(ISEVEN($X$1),IF(AD4=1,"1331-1",IF(OR(AD4=2,AD4=3),"1331-3",IF(AD4=4,IF($X$1=4,"1331-1","1331-1,141-1"),IF(AD4=$X$1,"141-1",IF(AD4&lt;=4,"??",IF(ISODD(AD4),"141-4",IF(ISEVEN(AD4),"141-2","SS"))))))))))))))," "),IF(AO4&gt;Long_Div/2,IF(ISNUMBER(AO4),IF($AD$1=0,"---",IF($AD$1=1,"##",IF($AD$1=2,IF(AD4=1,"141-4",IF(OR(AD4=0,AD4=2),"141-1","**")),IF(AC4&lt;=($AE$1),"--",IF(AC4&gt;$AC$1,"++",IF(ISODD($AD$1),IF(OR(AD4=1,AD4=$AD$1),"141-1",IF(ISODD(AD4),"141-2",IF(ISEVEN(AD4),"141-4","+"))),IF(ISEVEN($AD$1),IF(AD4=1,"1331-1",IF(OR(AD4=2,AD4=3),"1331-3",IF(AD4=4,IF($AD$1=4,"1331-1","1331-1,141-1"),IF(AD4=$AD$1,"141-1",IF(AD4&lt;=4,"??",IF(ISODD(AD4),"141-4",IF(ISEVEN(AD4),"141-2","SS"))))))))))))))," "),"@"))</f>
        <v>141-1</v>
      </c>
      <c r="AC4" s="29">
        <f>IF(ISNUMBER(AO4),IF(ISNUMBER(AO4),IF(OR(AO4=0,AO4=Long_Div),1,IF(AO4&gt;Long_Div/2,AC5+1,IF(AO4&lt;=Long_Div/2,AE3+1,"?")))," --")," ")</f>
        <v>1</v>
      </c>
      <c r="AD4" s="29">
        <f t="shared" ref="AD4:AD28" ca="1" si="9">IF(ISNUMBER(AO4),IF(AO4&gt;Long_Div/2,4-ROW(AD4)+Max_STN_count-$AE$1,ROW(AD4)-3-$Y$1)," ")</f>
        <v>1</v>
      </c>
      <c r="AE4" s="29">
        <v>1</v>
      </c>
      <c r="AF4" s="31" t="str">
        <f t="shared" ref="AF4:AF8" si="10">IF(AND(AG4=TRUE,OR(NOT(AG3=TRUE),AG3="Full")),1,IF(ISNUMBER(AF3),AF3+1," "))</f>
        <v xml:space="preserve"> </v>
      </c>
      <c r="AG4" s="29" t="b">
        <f t="shared" ref="AG4:AG28" si="11">IF(ISNUMBER(AO4),IF(AA4=" "," ",IF(AO4=0,IF(AO5-AO4=1,TRUE,FALSE),IF(AO4=Long_Div,IF(AO4-AO3=1,TRUE,FALSE),IF(OR(AO5-AO4=1,AO4-AO3=1),TRUE,FALSE))))," ")</f>
        <v>0</v>
      </c>
      <c r="AH4" s="30" t="str">
        <f t="shared" ref="AH4:AH13" si="12">IF(AND(AG4=TRUE,$AH$1=1),"141-4",IF(AG4=" ",IF(AND($AH$1=2,AF4=3),"141-1","-"),IF(OR(AG4=FALSE,AG4=" "),"-",IF(AG4=TRUE,IF(AND($AH$1=2,AF4=1),"141-1",IF(AND($AH$1=2,AF4=2),"141-4",IF(OR(ISODD($AH$1),AF4&gt;4),IF(AF4=1,"141-1",IF(OR(AB4="141-1",AB4="1331-1",AB4="1331-1,141-1"),"141-1",IF(AG5=" ","141-1",IF(OR(AH3="141-1",AH3="141-2",AH3="1331-1,141-1"),"141-4",IF(AH3="141-4","141-2","$$"))))),IF(ISEVEN($AH$1),IF(AF4=1,"1331-1",IF(OR(AF4=2,AF4=3),"1331-3",IF(AF4=4,IF($AH$1=4,"1331-1","1331-1,141-1"),"")))))))))))</f>
        <v>-</v>
      </c>
      <c r="AI4" s="30" t="str">
        <f t="shared" ref="AI4:AI28" ca="1" si="13">IF(OR(AB4="1331-1",AB4="1331-1,141-1"),"(1/2)*(3/8)",IF(AB4="1331-3","(1/2)*(9/8)",IF(AB4="141-1","(1/2)*(1/3)",IF(AB4="141-2","(1/2)*(2/3)",IF(AB4="141-4","(1/2)*(4/3)","")))))</f>
        <v>(1/2)*(1/3)</v>
      </c>
      <c r="AJ4" s="29">
        <f t="shared" ref="AJ4:AJ28" ca="1" si="14">IF(OR(AB4="1331-1",AB4="1331-1,141-1"),(1/2)*(3/8),IF(AB4="1331-3",(1/2)*(9/8),IF(AB4="141-1",(1/2)*(1/3),IF(AB4="141-2",(1/2)*(2/3),IF(AB4="141-4",(1/2)*(4/3),0)))))</f>
        <v>0.16666666666666666</v>
      </c>
      <c r="AK4" s="29" t="str">
        <f t="shared" ref="AK4:AK28" si="15">IF(AH4="1331-1,141-1","(1*3/8)+(1/3)",IF(LEFT(AH4,4)="141-",CONCATENATE(RIGHT(AH4,1),"/3"),IF(LEFT(AH4,4)="1331",CONCATENATE(RIGHT(AH4,1),"*3/8"),"")))</f>
        <v/>
      </c>
      <c r="AL4" s="29">
        <f t="shared" ref="AL4:AL28" si="16">IF(AH4="1331-1,141-1",(1*3/8)+(1/3),IF(LEFT(AH4,4)="141-",(RIGHT(AH4,1)/3),IF(LEFT(AH4,4)="1331",RIGHT(AH4,1)*3/8,0)))</f>
        <v>0</v>
      </c>
      <c r="AM4" s="32">
        <f ca="1">IF(AQ4=""," ",AJ4+AL4)</f>
        <v>0.16666666666666666</v>
      </c>
      <c r="AO4" s="20">
        <f>Tools!$AD3</f>
        <v>0</v>
      </c>
      <c r="AP4" s="33" t="str">
        <f t="shared" ref="AP4" si="17">VLOOKUP(AO4,OFFSET_A,Count_WL+1,FALSE)</f>
        <v xml:space="preserve">  </v>
      </c>
      <c r="AQ4" s="34" t="str">
        <f t="shared" ref="AQ4:AQ28" ca="1" si="18">CONCATENATE(AI4,IF(NOT(OR(AI4="",AK4="")),"+",""),AK4)</f>
        <v>(1/2)*(1/3)</v>
      </c>
      <c r="AR4" s="23" t="str">
        <f t="shared" ref="AR4:AR28" ca="1" si="19">IFERROR(AP4*AM4,"  ")</f>
        <v xml:space="preserve">  </v>
      </c>
      <c r="AS4" s="24">
        <f t="shared" ref="AS4:AS28" si="20">IFERROR(AO4-(Long_Div/2),"  ")</f>
        <v>-10</v>
      </c>
      <c r="AT4" s="23" t="str">
        <f ca="1">IFERROR(AR4*AS4,"  ")</f>
        <v xml:space="preserve">  </v>
      </c>
      <c r="AU4" s="23" t="str">
        <f ca="1">IFERROR(AT4*AS4,"  ")</f>
        <v xml:space="preserve">  </v>
      </c>
      <c r="AV4" s="23" t="str">
        <f t="shared" ref="AV4:AV28" si="21">IFERROR(AP4^3,"  ")</f>
        <v xml:space="preserve">  </v>
      </c>
      <c r="AW4" s="23" t="str">
        <f t="shared" ref="AW4:AW28" ca="1" si="22">IFERROR(AV4*AM4,"  ")</f>
        <v xml:space="preserve">  </v>
      </c>
      <c r="AY4" s="35" t="str">
        <f t="shared" ref="AY4:AY28" si="23">IF(ROW(AY4)-3&gt;Max_STN_count," ",VLOOKUP(AO4,AREA_TABLE,Count_WL+1,FALSE))</f>
        <v xml:space="preserve"> </v>
      </c>
      <c r="AZ4" s="23" t="str">
        <f t="shared" ref="AZ4:AZ7" ca="1" si="24">IFERROR(AY4*AM4,"  ")</f>
        <v xml:space="preserve">  </v>
      </c>
      <c r="BA4" s="36" t="str">
        <f t="shared" ref="BA4:BA28" si="25">IF(ROW(AY4)-3&gt;Max_STN_count," ",VLOOKUP(AO4,MOMENT_TABLE,Count_WL+1,FALSE))</f>
        <v xml:space="preserve"> </v>
      </c>
      <c r="BB4" s="27" t="str">
        <f ca="1">IFERROR(BA4*AM4,"  ")</f>
        <v xml:space="preserve">  </v>
      </c>
      <c r="BC4" s="23" t="str">
        <f ca="1">IFERROR(AZ4*AS4,"  ")</f>
        <v xml:space="preserve">  </v>
      </c>
      <c r="BE4" s="16" t="s">
        <v>26</v>
      </c>
      <c r="BF4" s="9" t="s">
        <v>8</v>
      </c>
      <c r="BG4" s="28">
        <f>LBP</f>
        <v>146.19999999999999</v>
      </c>
    </row>
    <row r="5" spans="1:60" x14ac:dyDescent="0.25">
      <c r="A5" s="20">
        <f>Tools!$AD4</f>
        <v>0.5</v>
      </c>
      <c r="B5" s="33" t="str">
        <f t="shared" si="0"/>
        <v xml:space="preserve">  </v>
      </c>
      <c r="C5" s="22">
        <f>IF(A5="  ","  ",IF(AND(A4="  ",A6="  "),"?",IF(A4="  ",2*(A6-A5),IF(A6="  ",2*(A5-A4),2*(A6-A4)))))</f>
        <v>2</v>
      </c>
      <c r="D5" s="23" t="str">
        <f t="shared" ref="D5:D28" si="26">IFERROR(B5*C5,"  ")</f>
        <v xml:space="preserve">  </v>
      </c>
      <c r="E5" s="24">
        <f t="shared" si="1"/>
        <v>-9.5</v>
      </c>
      <c r="F5" s="23" t="str">
        <f t="shared" ref="F5:F28" si="27">IFERROR(D5*E5,"  ")</f>
        <v xml:space="preserve">  </v>
      </c>
      <c r="G5" s="23" t="str">
        <f t="shared" ref="G5:G28" si="28">IFERROR(F5*E5,"  ")</f>
        <v xml:space="preserve">  </v>
      </c>
      <c r="H5" s="23" t="str">
        <f t="shared" ref="H5:H28" si="29">IFERROR(B5^3,"  ")</f>
        <v xml:space="preserve">  </v>
      </c>
      <c r="I5" s="23" t="str">
        <f t="shared" ref="I5:I28" si="30">IFERROR(H5*C5,"  ")</f>
        <v xml:space="preserve">  </v>
      </c>
      <c r="J5" s="4"/>
      <c r="K5" s="37" t="str">
        <f t="shared" si="2"/>
        <v xml:space="preserve"> </v>
      </c>
      <c r="L5" s="23" t="str">
        <f t="shared" ref="L5:L28" si="31">IFERROR(K5*C5,"  ")</f>
        <v xml:space="preserve">  </v>
      </c>
      <c r="M5" s="38" t="str">
        <f t="shared" si="3"/>
        <v xml:space="preserve"> </v>
      </c>
      <c r="N5" s="27" t="str">
        <f t="shared" ref="N5:N28" si="32">IFERROR(M5*C5,"  ")</f>
        <v xml:space="preserve">  </v>
      </c>
      <c r="O5" s="23" t="str">
        <f t="shared" ref="O5:O28" si="33">IFERROR(L5*E5,"  ")</f>
        <v xml:space="preserve">  </v>
      </c>
      <c r="P5" s="4"/>
      <c r="Q5" s="8" t="s">
        <v>27</v>
      </c>
      <c r="R5" s="9" t="s">
        <v>8</v>
      </c>
      <c r="S5" s="10">
        <f>BREADTH</f>
        <v>22</v>
      </c>
      <c r="W5" s="29">
        <f>IF(AO5="  ","  ",IF(AND(AO4="  ",AO6="  "),"?",IF(AO4="  ",2*(AO6-AO5),IF(AO6="  ",2*(AO5-AO4),2*(AO6-AO4)))))</f>
        <v>2</v>
      </c>
      <c r="X5" s="30" t="str">
        <f t="shared" si="4"/>
        <v>DD</v>
      </c>
      <c r="Y5" s="30" t="str">
        <f t="shared" si="5"/>
        <v>-</v>
      </c>
      <c r="Z5" s="29" t="b">
        <f t="shared" si="6"/>
        <v>1</v>
      </c>
      <c r="AA5" s="29" t="b">
        <f t="shared" si="7"/>
        <v>1</v>
      </c>
      <c r="AB5" s="29" t="str">
        <f t="shared" ca="1" si="8"/>
        <v>141-4</v>
      </c>
      <c r="AC5" s="29">
        <f t="shared" ref="AC5:AC27" si="34">IF(ISNUMBER(AO5),IF(ISNUMBER(AO5),IF(OR(AO5=0,AO5=Long_Div),1,IF(AO5&gt;Long_Div/2,AC6+1,IF(AO5&lt;=Long_Div/2,AC4+1,"?")))," --")," ")</f>
        <v>2</v>
      </c>
      <c r="AD5" s="29">
        <f t="shared" ca="1" si="9"/>
        <v>2</v>
      </c>
      <c r="AE5" s="29">
        <v>2</v>
      </c>
      <c r="AF5" s="31" t="str">
        <f t="shared" si="10"/>
        <v xml:space="preserve"> </v>
      </c>
      <c r="AG5" s="29" t="b">
        <f t="shared" si="11"/>
        <v>0</v>
      </c>
      <c r="AH5" s="30" t="str">
        <f t="shared" si="12"/>
        <v>-</v>
      </c>
      <c r="AI5" s="30" t="str">
        <f t="shared" ca="1" si="13"/>
        <v>(1/2)*(4/3)</v>
      </c>
      <c r="AJ5" s="29">
        <f t="shared" ca="1" si="14"/>
        <v>0.66666666666666663</v>
      </c>
      <c r="AK5" s="29" t="str">
        <f t="shared" si="15"/>
        <v/>
      </c>
      <c r="AL5" s="29">
        <f t="shared" si="16"/>
        <v>0</v>
      </c>
      <c r="AM5" s="32">
        <f t="shared" ref="AM5:AM28" ca="1" si="35">IF(AQ5=""," ",AJ5+AL5)</f>
        <v>0.66666666666666663</v>
      </c>
      <c r="AO5" s="20">
        <f>Tools!$AD4</f>
        <v>0.5</v>
      </c>
      <c r="AP5" s="33" t="str">
        <f t="shared" ref="AP5:AP26" si="36">VLOOKUP(AO5,OFFSET_A,Count_WL+1,FALSE)</f>
        <v xml:space="preserve">  </v>
      </c>
      <c r="AQ5" s="34" t="str">
        <f t="shared" ca="1" si="18"/>
        <v>(1/2)*(4/3)</v>
      </c>
      <c r="AR5" s="23" t="str">
        <f t="shared" ca="1" si="19"/>
        <v xml:space="preserve">  </v>
      </c>
      <c r="AS5" s="24">
        <f t="shared" si="20"/>
        <v>-9.5</v>
      </c>
      <c r="AT5" s="23" t="str">
        <f t="shared" ref="AT5:AT28" ca="1" si="37">IFERROR(AR5*AS5,"  ")</f>
        <v xml:space="preserve">  </v>
      </c>
      <c r="AU5" s="23" t="str">
        <f ca="1">IFERROR(AT5*AS5,"  ")</f>
        <v xml:space="preserve">  </v>
      </c>
      <c r="AV5" s="23" t="str">
        <f t="shared" si="21"/>
        <v xml:space="preserve">  </v>
      </c>
      <c r="AW5" s="23" t="str">
        <f t="shared" ca="1" si="22"/>
        <v xml:space="preserve">  </v>
      </c>
      <c r="AY5" s="35" t="str">
        <f t="shared" si="23"/>
        <v xml:space="preserve"> </v>
      </c>
      <c r="AZ5" s="23" t="str">
        <f t="shared" ca="1" si="24"/>
        <v xml:space="preserve">  </v>
      </c>
      <c r="BA5" s="36" t="str">
        <f t="shared" si="25"/>
        <v xml:space="preserve"> </v>
      </c>
      <c r="BB5" s="27" t="str">
        <f t="shared" ref="BB5:BB28" ca="1" si="38">IFERROR(BA5*AM5,"  ")</f>
        <v xml:space="preserve">  </v>
      </c>
      <c r="BC5" s="23" t="str">
        <f t="shared" ref="BC5:BC28" ca="1" si="39">IFERROR(AZ5*AS5,"  ")</f>
        <v xml:space="preserve">  </v>
      </c>
      <c r="BE5" s="8" t="s">
        <v>27</v>
      </c>
      <c r="BF5" s="9" t="s">
        <v>8</v>
      </c>
      <c r="BG5" s="10">
        <f>BREADTH</f>
        <v>22</v>
      </c>
    </row>
    <row r="6" spans="1:60" x14ac:dyDescent="0.25">
      <c r="A6" s="20">
        <f>Tools!$AD5</f>
        <v>1</v>
      </c>
      <c r="B6" s="33" t="str">
        <f t="shared" si="0"/>
        <v xml:space="preserve">  </v>
      </c>
      <c r="C6" s="22">
        <f>IF(A6="  ","  ",IF(AND(A5="  ",A7="  "),"?",IF(A5="  ",1*(A7-A6),IF(A7="  ",1*(A6-A5),1*(A7-A5)))))</f>
        <v>1</v>
      </c>
      <c r="D6" s="23" t="str">
        <f t="shared" si="26"/>
        <v xml:space="preserve">  </v>
      </c>
      <c r="E6" s="24">
        <f t="shared" si="1"/>
        <v>-9</v>
      </c>
      <c r="F6" s="23" t="str">
        <f t="shared" si="27"/>
        <v xml:space="preserve">  </v>
      </c>
      <c r="G6" s="23" t="str">
        <f t="shared" si="28"/>
        <v xml:space="preserve">  </v>
      </c>
      <c r="H6" s="23" t="str">
        <f t="shared" si="29"/>
        <v xml:space="preserve">  </v>
      </c>
      <c r="I6" s="23" t="str">
        <f t="shared" si="30"/>
        <v xml:space="preserve">  </v>
      </c>
      <c r="J6" s="4"/>
      <c r="K6" s="37" t="str">
        <f t="shared" si="2"/>
        <v xml:space="preserve"> </v>
      </c>
      <c r="L6" s="23" t="str">
        <f t="shared" si="31"/>
        <v xml:space="preserve">  </v>
      </c>
      <c r="M6" s="38" t="str">
        <f t="shared" si="3"/>
        <v xml:space="preserve"> </v>
      </c>
      <c r="N6" s="27" t="str">
        <f t="shared" si="32"/>
        <v xml:space="preserve">  </v>
      </c>
      <c r="O6" s="23" t="str">
        <f t="shared" si="33"/>
        <v xml:space="preserve">  </v>
      </c>
      <c r="P6" s="4"/>
      <c r="Q6" s="8" t="s">
        <v>28</v>
      </c>
      <c r="R6" s="9" t="s">
        <v>8</v>
      </c>
      <c r="S6" s="10">
        <f>DEPTH</f>
        <v>13</v>
      </c>
      <c r="W6" s="29">
        <f>IF(AO6="  ","  ",IF(AND(AO5="  ",AO7="  "),"?",IF(AO5="  ",1*(AO7-AO6),IF(AO7="  ",1*(AO6-AO5),1*(AO7-AO5)))))</f>
        <v>1</v>
      </c>
      <c r="X6" s="30" t="str">
        <f t="shared" si="4"/>
        <v>DD</v>
      </c>
      <c r="Y6" s="30" t="str">
        <f t="shared" si="5"/>
        <v>-</v>
      </c>
      <c r="Z6" s="29" t="b">
        <f t="shared" si="6"/>
        <v>1</v>
      </c>
      <c r="AA6" s="29" t="b">
        <f t="shared" si="7"/>
        <v>1</v>
      </c>
      <c r="AB6" s="29" t="str">
        <f t="shared" ca="1" si="8"/>
        <v>141-2</v>
      </c>
      <c r="AC6" s="29">
        <f t="shared" si="34"/>
        <v>3</v>
      </c>
      <c r="AD6" s="29">
        <f t="shared" ca="1" si="9"/>
        <v>3</v>
      </c>
      <c r="AE6" s="29">
        <v>3</v>
      </c>
      <c r="AF6" s="31" t="str">
        <f t="shared" si="10"/>
        <v xml:space="preserve"> </v>
      </c>
      <c r="AG6" s="29" t="b">
        <f t="shared" si="11"/>
        <v>0</v>
      </c>
      <c r="AH6" s="30" t="str">
        <f t="shared" si="12"/>
        <v>-</v>
      </c>
      <c r="AI6" s="30" t="str">
        <f t="shared" ca="1" si="13"/>
        <v>(1/2)*(2/3)</v>
      </c>
      <c r="AJ6" s="29">
        <f t="shared" ca="1" si="14"/>
        <v>0.33333333333333331</v>
      </c>
      <c r="AK6" s="29" t="str">
        <f t="shared" si="15"/>
        <v/>
      </c>
      <c r="AL6" s="29">
        <f t="shared" si="16"/>
        <v>0</v>
      </c>
      <c r="AM6" s="32">
        <f t="shared" ca="1" si="35"/>
        <v>0.33333333333333331</v>
      </c>
      <c r="AO6" s="20">
        <f>Tools!$AD5</f>
        <v>1</v>
      </c>
      <c r="AP6" s="33" t="str">
        <f t="shared" si="36"/>
        <v xml:space="preserve">  </v>
      </c>
      <c r="AQ6" s="34" t="str">
        <f t="shared" ca="1" si="18"/>
        <v>(1/2)*(2/3)</v>
      </c>
      <c r="AR6" s="23" t="str">
        <f t="shared" ca="1" si="19"/>
        <v xml:space="preserve">  </v>
      </c>
      <c r="AS6" s="24">
        <f t="shared" si="20"/>
        <v>-9</v>
      </c>
      <c r="AT6" s="23" t="str">
        <f t="shared" ca="1" si="37"/>
        <v xml:space="preserve">  </v>
      </c>
      <c r="AU6" s="23" t="str">
        <f ca="1">IFERROR(AT6*AS6,"  ")</f>
        <v xml:space="preserve">  </v>
      </c>
      <c r="AV6" s="23" t="str">
        <f t="shared" si="21"/>
        <v xml:space="preserve">  </v>
      </c>
      <c r="AW6" s="23" t="str">
        <f t="shared" ca="1" si="22"/>
        <v xml:space="preserve">  </v>
      </c>
      <c r="AY6" s="35" t="str">
        <f t="shared" si="23"/>
        <v xml:space="preserve"> </v>
      </c>
      <c r="AZ6" s="23" t="str">
        <f t="shared" ca="1" si="24"/>
        <v xml:space="preserve">  </v>
      </c>
      <c r="BA6" s="36" t="str">
        <f t="shared" si="25"/>
        <v xml:space="preserve"> </v>
      </c>
      <c r="BB6" s="27" t="str">
        <f t="shared" ca="1" si="38"/>
        <v xml:space="preserve">  </v>
      </c>
      <c r="BC6" s="23" t="str">
        <f t="shared" ca="1" si="39"/>
        <v xml:space="preserve">  </v>
      </c>
      <c r="BE6" s="8" t="s">
        <v>28</v>
      </c>
      <c r="BF6" s="9" t="s">
        <v>8</v>
      </c>
      <c r="BG6" s="10">
        <f>DEPTH</f>
        <v>13</v>
      </c>
    </row>
    <row r="7" spans="1:60" x14ac:dyDescent="0.25">
      <c r="A7" s="20">
        <f>Tools!$AD6</f>
        <v>1.5</v>
      </c>
      <c r="B7" s="33" t="str">
        <f t="shared" si="0"/>
        <v xml:space="preserve">  </v>
      </c>
      <c r="C7" s="22">
        <f>IF(A7="  ","  ",IF(AND(A6="  ",A8="  "),"?",IF(A6="  ",2*(A8-A7),IF(A8="  ",2*(A7-A6),2*(A8-A6)))))</f>
        <v>2</v>
      </c>
      <c r="D7" s="23" t="str">
        <f t="shared" si="26"/>
        <v xml:space="preserve">  </v>
      </c>
      <c r="E7" s="24">
        <f t="shared" si="1"/>
        <v>-8.5</v>
      </c>
      <c r="F7" s="23" t="str">
        <f t="shared" si="27"/>
        <v xml:space="preserve">  </v>
      </c>
      <c r="G7" s="23" t="str">
        <f t="shared" si="28"/>
        <v xml:space="preserve">  </v>
      </c>
      <c r="H7" s="23" t="str">
        <f t="shared" si="29"/>
        <v xml:space="preserve">  </v>
      </c>
      <c r="I7" s="23" t="str">
        <f t="shared" si="30"/>
        <v xml:space="preserve">  </v>
      </c>
      <c r="J7" s="4"/>
      <c r="K7" s="37" t="str">
        <f t="shared" si="2"/>
        <v xml:space="preserve"> </v>
      </c>
      <c r="L7" s="23" t="str">
        <f t="shared" si="31"/>
        <v xml:space="preserve">  </v>
      </c>
      <c r="M7" s="38" t="str">
        <f t="shared" si="3"/>
        <v xml:space="preserve"> </v>
      </c>
      <c r="N7" s="27" t="str">
        <f t="shared" si="32"/>
        <v xml:space="preserve">  </v>
      </c>
      <c r="O7" s="23" t="str">
        <f t="shared" si="33"/>
        <v xml:space="preserve">  </v>
      </c>
      <c r="P7" s="4"/>
      <c r="Q7" s="39" t="s">
        <v>29</v>
      </c>
      <c r="R7" s="40" t="s">
        <v>8</v>
      </c>
      <c r="S7" s="41" t="str">
        <f>IF(MAX(B4:B28)=0," ",2*MAX(B4:B28))</f>
        <v xml:space="preserve"> </v>
      </c>
      <c r="W7" s="29">
        <f>IF(AO7="  ","  ",IF(AND(AO6="  ",AO8="  "),"?",IF(AO6="  ",2*(AO8-AO7),IF(AO8="  ",2*(AO7-AO6),2*(AO8-AO6)))))</f>
        <v>2</v>
      </c>
      <c r="X7" s="30" t="str">
        <f t="shared" si="4"/>
        <v>DD</v>
      </c>
      <c r="Y7" s="30" t="str">
        <f t="shared" si="5"/>
        <v>-</v>
      </c>
      <c r="Z7" s="29" t="b">
        <f t="shared" si="6"/>
        <v>1</v>
      </c>
      <c r="AA7" s="29" t="b">
        <f t="shared" si="7"/>
        <v>1</v>
      </c>
      <c r="AB7" s="29" t="str">
        <f t="shared" ca="1" si="8"/>
        <v>141-4</v>
      </c>
      <c r="AC7" s="29">
        <f t="shared" si="34"/>
        <v>4</v>
      </c>
      <c r="AD7" s="29">
        <f t="shared" ca="1" si="9"/>
        <v>4</v>
      </c>
      <c r="AE7" s="29">
        <v>4</v>
      </c>
      <c r="AF7" s="31" t="str">
        <f t="shared" si="10"/>
        <v xml:space="preserve"> </v>
      </c>
      <c r="AG7" s="29" t="b">
        <f t="shared" si="11"/>
        <v>0</v>
      </c>
      <c r="AH7" s="30" t="str">
        <f t="shared" si="12"/>
        <v>-</v>
      </c>
      <c r="AI7" s="30" t="str">
        <f t="shared" ca="1" si="13"/>
        <v>(1/2)*(4/3)</v>
      </c>
      <c r="AJ7" s="29">
        <f t="shared" ca="1" si="14"/>
        <v>0.66666666666666663</v>
      </c>
      <c r="AK7" s="29" t="str">
        <f t="shared" si="15"/>
        <v/>
      </c>
      <c r="AL7" s="29">
        <f t="shared" si="16"/>
        <v>0</v>
      </c>
      <c r="AM7" s="32">
        <f t="shared" ca="1" si="35"/>
        <v>0.66666666666666663</v>
      </c>
      <c r="AO7" s="20">
        <f>Tools!$AD6</f>
        <v>1.5</v>
      </c>
      <c r="AP7" s="33" t="str">
        <f t="shared" si="36"/>
        <v xml:space="preserve">  </v>
      </c>
      <c r="AQ7" s="34" t="str">
        <f t="shared" ca="1" si="18"/>
        <v>(1/2)*(4/3)</v>
      </c>
      <c r="AR7" s="23" t="str">
        <f t="shared" ca="1" si="19"/>
        <v xml:space="preserve">  </v>
      </c>
      <c r="AS7" s="24">
        <f t="shared" si="20"/>
        <v>-8.5</v>
      </c>
      <c r="AT7" s="23" t="str">
        <f t="shared" ca="1" si="37"/>
        <v xml:space="preserve">  </v>
      </c>
      <c r="AU7" s="23" t="str">
        <f t="shared" ref="AU7:AU28" ca="1" si="40">IFERROR(AT7*AS7,"  ")</f>
        <v xml:space="preserve">  </v>
      </c>
      <c r="AV7" s="23" t="str">
        <f t="shared" si="21"/>
        <v xml:space="preserve">  </v>
      </c>
      <c r="AW7" s="23" t="str">
        <f t="shared" ca="1" si="22"/>
        <v xml:space="preserve">  </v>
      </c>
      <c r="AY7" s="35" t="str">
        <f t="shared" si="23"/>
        <v xml:space="preserve"> </v>
      </c>
      <c r="AZ7" s="23" t="str">
        <f t="shared" ca="1" si="24"/>
        <v xml:space="preserve">  </v>
      </c>
      <c r="BA7" s="36" t="str">
        <f t="shared" si="25"/>
        <v xml:space="preserve"> </v>
      </c>
      <c r="BB7" s="27" t="str">
        <f t="shared" ca="1" si="38"/>
        <v xml:space="preserve">  </v>
      </c>
      <c r="BC7" s="23" t="str">
        <f t="shared" ca="1" si="39"/>
        <v xml:space="preserve">  </v>
      </c>
      <c r="BE7" s="8" t="s">
        <v>29</v>
      </c>
      <c r="BF7" s="9" t="s">
        <v>8</v>
      </c>
      <c r="BG7" s="10" t="str">
        <f>IF(MAX(AP4:AP28)=0," ",2*MAX(AP4:AP28))</f>
        <v xml:space="preserve"> </v>
      </c>
    </row>
    <row r="8" spans="1:60" x14ac:dyDescent="0.25">
      <c r="A8" s="20">
        <f>Tools!$AD7</f>
        <v>2</v>
      </c>
      <c r="B8" s="33" t="str">
        <f t="shared" si="0"/>
        <v xml:space="preserve">  </v>
      </c>
      <c r="C8" s="22">
        <f>IF(A8="  ","  ",IF(AND(A7="  ",A9="  "),"?",IF(A7="  ",1*(A9-A8),IF(A9="  ",1*(A8-A7),1*(A9-A7)))))</f>
        <v>1.5</v>
      </c>
      <c r="D8" s="23" t="str">
        <f t="shared" si="26"/>
        <v xml:space="preserve">  </v>
      </c>
      <c r="E8" s="24">
        <f t="shared" si="1"/>
        <v>-8</v>
      </c>
      <c r="F8" s="23" t="str">
        <f t="shared" si="27"/>
        <v xml:space="preserve">  </v>
      </c>
      <c r="G8" s="23" t="str">
        <f t="shared" si="28"/>
        <v xml:space="preserve">  </v>
      </c>
      <c r="H8" s="23" t="str">
        <f t="shared" si="29"/>
        <v xml:space="preserve">  </v>
      </c>
      <c r="I8" s="23" t="str">
        <f t="shared" si="30"/>
        <v xml:space="preserve">  </v>
      </c>
      <c r="J8" s="4"/>
      <c r="K8" s="37" t="str">
        <f t="shared" si="2"/>
        <v xml:space="preserve"> </v>
      </c>
      <c r="L8" s="23" t="str">
        <f t="shared" si="31"/>
        <v xml:space="preserve">  </v>
      </c>
      <c r="M8" s="38" t="str">
        <f t="shared" si="3"/>
        <v xml:space="preserve"> </v>
      </c>
      <c r="N8" s="27" t="str">
        <f t="shared" si="32"/>
        <v xml:space="preserve">  </v>
      </c>
      <c r="O8" s="23" t="str">
        <f t="shared" si="33"/>
        <v xml:space="preserve">  </v>
      </c>
      <c r="P8" s="4"/>
      <c r="Q8" s="42"/>
      <c r="R8" s="42"/>
      <c r="S8" s="42"/>
      <c r="W8" s="29">
        <f>IF(AO8="  ","  ",IF(AND(AO7="  ",AO9="  "),"?",IF(AO7="  ",1*(AO9-AO8),IF(AO9="  ",1*(AO8-AO7),1*(AO9-AO7)))))</f>
        <v>1.5</v>
      </c>
      <c r="X8" s="30" t="str">
        <f t="shared" si="4"/>
        <v>DW</v>
      </c>
      <c r="Y8" s="30" t="str">
        <f t="shared" si="5"/>
        <v>-</v>
      </c>
      <c r="Z8" s="29" t="b">
        <f t="shared" si="6"/>
        <v>1</v>
      </c>
      <c r="AA8" s="29" t="b">
        <f t="shared" si="7"/>
        <v>1</v>
      </c>
      <c r="AB8" s="29" t="str">
        <f t="shared" ca="1" si="8"/>
        <v>141-1</v>
      </c>
      <c r="AC8" s="29">
        <f t="shared" si="34"/>
        <v>5</v>
      </c>
      <c r="AD8" s="29">
        <f t="shared" ca="1" si="9"/>
        <v>5</v>
      </c>
      <c r="AE8" s="29">
        <v>5</v>
      </c>
      <c r="AF8" s="31">
        <f t="shared" si="10"/>
        <v>1</v>
      </c>
      <c r="AG8" s="29" t="b">
        <f t="shared" si="11"/>
        <v>1</v>
      </c>
      <c r="AH8" s="30" t="str">
        <f t="shared" si="12"/>
        <v>141-1</v>
      </c>
      <c r="AI8" s="30" t="str">
        <f t="shared" ca="1" si="13"/>
        <v>(1/2)*(1/3)</v>
      </c>
      <c r="AJ8" s="29">
        <f t="shared" ca="1" si="14"/>
        <v>0.16666666666666666</v>
      </c>
      <c r="AK8" s="29" t="str">
        <f t="shared" si="15"/>
        <v>1/3</v>
      </c>
      <c r="AL8" s="29">
        <f t="shared" si="16"/>
        <v>0.33333333333333331</v>
      </c>
      <c r="AM8" s="32">
        <f t="shared" ca="1" si="35"/>
        <v>0.5</v>
      </c>
      <c r="AO8" s="20">
        <f>Tools!$AD7</f>
        <v>2</v>
      </c>
      <c r="AP8" s="33" t="str">
        <f t="shared" si="36"/>
        <v xml:space="preserve">  </v>
      </c>
      <c r="AQ8" s="34" t="str">
        <f t="shared" ca="1" si="18"/>
        <v>(1/2)*(1/3)+1/3</v>
      </c>
      <c r="AR8" s="23" t="str">
        <f t="shared" ca="1" si="19"/>
        <v xml:space="preserve">  </v>
      </c>
      <c r="AS8" s="24">
        <f t="shared" si="20"/>
        <v>-8</v>
      </c>
      <c r="AT8" s="23" t="str">
        <f t="shared" ca="1" si="37"/>
        <v xml:space="preserve">  </v>
      </c>
      <c r="AU8" s="23" t="str">
        <f t="shared" ca="1" si="40"/>
        <v xml:space="preserve">  </v>
      </c>
      <c r="AV8" s="23" t="str">
        <f t="shared" si="21"/>
        <v xml:space="preserve">  </v>
      </c>
      <c r="AW8" s="23" t="str">
        <f t="shared" ca="1" si="22"/>
        <v xml:space="preserve">  </v>
      </c>
      <c r="AY8" s="35" t="str">
        <f t="shared" si="23"/>
        <v xml:space="preserve"> </v>
      </c>
      <c r="AZ8" s="23" t="str">
        <f ca="1">IFERROR(AY8*AM8,"  ")</f>
        <v xml:space="preserve">  </v>
      </c>
      <c r="BA8" s="36" t="str">
        <f t="shared" si="25"/>
        <v xml:space="preserve"> </v>
      </c>
      <c r="BB8" s="27" t="str">
        <f t="shared" ca="1" si="38"/>
        <v xml:space="preserve">  </v>
      </c>
      <c r="BC8" s="23" t="str">
        <f t="shared" ca="1" si="39"/>
        <v xml:space="preserve">  </v>
      </c>
      <c r="BE8" s="8" t="s">
        <v>30</v>
      </c>
      <c r="BF8" s="9" t="s">
        <v>8</v>
      </c>
      <c r="BG8" s="10">
        <f ca="1">LBP-AJ33</f>
        <v>146.19999999999999</v>
      </c>
      <c r="BH8" t="str">
        <f ca="1">IF(AJ33&gt;0,CONCATENATE("(LWL is assumed between stations ",$AH$31," and ",$AH$33," as offset values extreme to these stations are zeros.)"),"")</f>
        <v/>
      </c>
    </row>
    <row r="9" spans="1:60" x14ac:dyDescent="0.25">
      <c r="A9" s="20">
        <f>Tools!$AD8</f>
        <v>3</v>
      </c>
      <c r="B9" s="33" t="str">
        <f t="shared" si="0"/>
        <v xml:space="preserve">  </v>
      </c>
      <c r="C9" s="22">
        <f>IF(A9="  ","  ",IF(AND(A8="  ",A10="  "),"?",IF(A8="  ",2*(A10-A9),IF(A10="  ",2*(A9-A8),2*(A10-A8)))))</f>
        <v>4</v>
      </c>
      <c r="D9" s="23" t="str">
        <f t="shared" si="26"/>
        <v xml:space="preserve">  </v>
      </c>
      <c r="E9" s="24">
        <f t="shared" si="1"/>
        <v>-7</v>
      </c>
      <c r="F9" s="23" t="str">
        <f t="shared" si="27"/>
        <v xml:space="preserve">  </v>
      </c>
      <c r="G9" s="23" t="str">
        <f t="shared" si="28"/>
        <v xml:space="preserve">  </v>
      </c>
      <c r="H9" s="23" t="str">
        <f t="shared" si="29"/>
        <v xml:space="preserve">  </v>
      </c>
      <c r="I9" s="23" t="str">
        <f t="shared" si="30"/>
        <v xml:space="preserve">  </v>
      </c>
      <c r="J9" s="4"/>
      <c r="K9" s="37" t="str">
        <f t="shared" si="2"/>
        <v xml:space="preserve"> </v>
      </c>
      <c r="L9" s="23" t="str">
        <f t="shared" si="31"/>
        <v xml:space="preserve">  </v>
      </c>
      <c r="M9" s="38" t="str">
        <f t="shared" si="3"/>
        <v xml:space="preserve"> </v>
      </c>
      <c r="N9" s="27" t="str">
        <f t="shared" si="32"/>
        <v xml:space="preserve">  </v>
      </c>
      <c r="O9" s="23" t="str">
        <f t="shared" si="33"/>
        <v xml:space="preserve">  </v>
      </c>
      <c r="P9" s="4"/>
      <c r="Q9" s="43" t="s">
        <v>31</v>
      </c>
      <c r="R9" s="44" t="s">
        <v>32</v>
      </c>
      <c r="S9" s="489" t="s">
        <v>33</v>
      </c>
      <c r="W9" s="29">
        <f>IF(AO9="  ","  ",IF(AND(AO8="  ",AO10="  "),"?",IF(AO8="  ",2*(AO10-AO9),IF(AO10="  ",2*(AO9-AO8),2*(AO10-AO8)))))</f>
        <v>4</v>
      </c>
      <c r="X9" s="30" t="str">
        <f t="shared" si="4"/>
        <v>WW</v>
      </c>
      <c r="Y9" s="30" t="str">
        <f t="shared" si="5"/>
        <v>-</v>
      </c>
      <c r="Z9" s="29" t="b">
        <f t="shared" si="6"/>
        <v>0</v>
      </c>
      <c r="AA9" s="29" t="b">
        <f t="shared" si="7"/>
        <v>0</v>
      </c>
      <c r="AB9" s="29" t="str">
        <f t="shared" ca="1" si="8"/>
        <v>++</v>
      </c>
      <c r="AC9" s="29">
        <f t="shared" si="34"/>
        <v>6</v>
      </c>
      <c r="AD9" s="29">
        <f t="shared" ca="1" si="9"/>
        <v>6</v>
      </c>
      <c r="AE9" s="29">
        <v>6</v>
      </c>
      <c r="AF9" s="31">
        <f>IF(AND(AG9=TRUE,OR(NOT(AG8=TRUE),AG8="Full")),1,IF(ISNUMBER(AF8),AF8+1," "))</f>
        <v>2</v>
      </c>
      <c r="AG9" s="29" t="b">
        <f t="shared" si="11"/>
        <v>1</v>
      </c>
      <c r="AH9" s="30" t="str">
        <f t="shared" ca="1" si="12"/>
        <v>141-4</v>
      </c>
      <c r="AI9" s="30" t="str">
        <f t="shared" ca="1" si="13"/>
        <v/>
      </c>
      <c r="AJ9" s="29">
        <f t="shared" ca="1" si="14"/>
        <v>0</v>
      </c>
      <c r="AK9" s="29" t="str">
        <f t="shared" ca="1" si="15"/>
        <v>4/3</v>
      </c>
      <c r="AL9" s="29">
        <f t="shared" ca="1" si="16"/>
        <v>1.3333333333333333</v>
      </c>
      <c r="AM9" s="32">
        <f t="shared" ca="1" si="35"/>
        <v>1.3333333333333333</v>
      </c>
      <c r="AO9" s="20">
        <f>Tools!$AD8</f>
        <v>3</v>
      </c>
      <c r="AP9" s="33" t="str">
        <f t="shared" si="36"/>
        <v xml:space="preserve">  </v>
      </c>
      <c r="AQ9" s="34" t="str">
        <f t="shared" ca="1" si="18"/>
        <v>4/3</v>
      </c>
      <c r="AR9" s="23" t="str">
        <f t="shared" ca="1" si="19"/>
        <v xml:space="preserve">  </v>
      </c>
      <c r="AS9" s="24">
        <f t="shared" si="20"/>
        <v>-7</v>
      </c>
      <c r="AT9" s="23" t="str">
        <f t="shared" ca="1" si="37"/>
        <v xml:space="preserve">  </v>
      </c>
      <c r="AU9" s="23" t="str">
        <f t="shared" ca="1" si="40"/>
        <v xml:space="preserve">  </v>
      </c>
      <c r="AV9" s="23" t="str">
        <f t="shared" si="21"/>
        <v xml:space="preserve">  </v>
      </c>
      <c r="AW9" s="23" t="str">
        <f t="shared" ca="1" si="22"/>
        <v xml:space="preserve">  </v>
      </c>
      <c r="AY9" s="35" t="str">
        <f t="shared" si="23"/>
        <v xml:space="preserve"> </v>
      </c>
      <c r="AZ9" s="23" t="str">
        <f t="shared" ref="AZ9:AZ28" ca="1" si="41">IFERROR(AY9*AM9,"  ")</f>
        <v xml:space="preserve">  </v>
      </c>
      <c r="BA9" s="36" t="str">
        <f t="shared" si="25"/>
        <v xml:space="preserve"> </v>
      </c>
      <c r="BB9" s="27" t="str">
        <f t="shared" ca="1" si="38"/>
        <v xml:space="preserve">  </v>
      </c>
      <c r="BC9" s="23" t="str">
        <f t="shared" ca="1" si="39"/>
        <v xml:space="preserve">  </v>
      </c>
    </row>
    <row r="10" spans="1:60" x14ac:dyDescent="0.25">
      <c r="A10" s="20">
        <f>Tools!$AD9</f>
        <v>4</v>
      </c>
      <c r="B10" s="33" t="str">
        <f t="shared" si="0"/>
        <v xml:space="preserve">  </v>
      </c>
      <c r="C10" s="22">
        <f>IF(A10="  ","  ",IF(AND(A9="  ",A11="  "),"?",IF(A9="  ",1*(A11-A10),IF(A11="  ",1*(A10-A9),1*(A11-A9)))))</f>
        <v>2</v>
      </c>
      <c r="D10" s="23" t="str">
        <f t="shared" si="26"/>
        <v xml:space="preserve">  </v>
      </c>
      <c r="E10" s="24">
        <f t="shared" si="1"/>
        <v>-6</v>
      </c>
      <c r="F10" s="23" t="str">
        <f t="shared" si="27"/>
        <v xml:space="preserve">  </v>
      </c>
      <c r="G10" s="23" t="str">
        <f t="shared" si="28"/>
        <v xml:space="preserve">  </v>
      </c>
      <c r="H10" s="23" t="str">
        <f t="shared" si="29"/>
        <v xml:space="preserve">  </v>
      </c>
      <c r="I10" s="23" t="str">
        <f>IFERROR(H10*C10,"  ")</f>
        <v xml:space="preserve">  </v>
      </c>
      <c r="J10" s="4"/>
      <c r="K10" s="37" t="str">
        <f t="shared" si="2"/>
        <v xml:space="preserve"> </v>
      </c>
      <c r="L10" s="23" t="str">
        <f t="shared" si="31"/>
        <v xml:space="preserve">  </v>
      </c>
      <c r="M10" s="38" t="str">
        <f t="shared" si="3"/>
        <v xml:space="preserve"> </v>
      </c>
      <c r="N10" s="27" t="str">
        <f t="shared" si="32"/>
        <v xml:space="preserve">  </v>
      </c>
      <c r="O10" s="23" t="str">
        <f t="shared" si="33"/>
        <v xml:space="preserve">  </v>
      </c>
      <c r="P10" s="4"/>
      <c r="Q10" s="45"/>
      <c r="R10" s="46"/>
      <c r="S10" s="490"/>
      <c r="W10" s="29">
        <f>IF(AO10="  ","  ",IF(AND(AO9="  ",AO11="  "),"?",IF(AO9="  ",1*(AO11-AO10),IF(AO11="  ",1*(AO10-AO9),1*(AO11-AO9)))))</f>
        <v>2</v>
      </c>
      <c r="X10" s="30" t="str">
        <f t="shared" si="4"/>
        <v>WW</v>
      </c>
      <c r="Y10" s="30" t="str">
        <f t="shared" si="5"/>
        <v>-</v>
      </c>
      <c r="Z10" s="29" t="b">
        <f t="shared" si="6"/>
        <v>0</v>
      </c>
      <c r="AA10" s="29" t="b">
        <f t="shared" si="7"/>
        <v>0</v>
      </c>
      <c r="AB10" s="29" t="str">
        <f t="shared" ca="1" si="8"/>
        <v>++</v>
      </c>
      <c r="AC10" s="29">
        <f t="shared" si="34"/>
        <v>7</v>
      </c>
      <c r="AD10" s="29">
        <f t="shared" ca="1" si="9"/>
        <v>7</v>
      </c>
      <c r="AE10" s="29">
        <v>7</v>
      </c>
      <c r="AF10" s="31">
        <f t="shared" ref="AF10:AF28" si="42">IF(AND(AG10=TRUE,OR(NOT(AG9=TRUE),AG9="Full")),1,IF(ISNUMBER(AF9),AF9+1," "))</f>
        <v>3</v>
      </c>
      <c r="AG10" s="29" t="b">
        <f t="shared" si="11"/>
        <v>1</v>
      </c>
      <c r="AH10" s="30" t="str">
        <f t="shared" ca="1" si="12"/>
        <v>141-2</v>
      </c>
      <c r="AI10" s="30" t="str">
        <f t="shared" ca="1" si="13"/>
        <v/>
      </c>
      <c r="AJ10" s="29">
        <f t="shared" ca="1" si="14"/>
        <v>0</v>
      </c>
      <c r="AK10" s="29" t="str">
        <f t="shared" ca="1" si="15"/>
        <v>2/3</v>
      </c>
      <c r="AL10" s="29">
        <f t="shared" ca="1" si="16"/>
        <v>0.66666666666666663</v>
      </c>
      <c r="AM10" s="32">
        <f t="shared" ca="1" si="35"/>
        <v>0.66666666666666663</v>
      </c>
      <c r="AO10" s="20">
        <f>Tools!$AD9</f>
        <v>4</v>
      </c>
      <c r="AP10" s="33" t="str">
        <f t="shared" si="36"/>
        <v xml:space="preserve">  </v>
      </c>
      <c r="AQ10" s="34" t="str">
        <f t="shared" ca="1" si="18"/>
        <v>2/3</v>
      </c>
      <c r="AR10" s="23" t="str">
        <f t="shared" ca="1" si="19"/>
        <v xml:space="preserve">  </v>
      </c>
      <c r="AS10" s="24">
        <f t="shared" si="20"/>
        <v>-6</v>
      </c>
      <c r="AT10" s="23" t="str">
        <f t="shared" ca="1" si="37"/>
        <v xml:space="preserve">  </v>
      </c>
      <c r="AU10" s="23" t="str">
        <f ca="1">IFERROR(AT10*AS10,"  ")</f>
        <v xml:space="preserve">  </v>
      </c>
      <c r="AV10" s="23" t="str">
        <f t="shared" si="21"/>
        <v xml:space="preserve">  </v>
      </c>
      <c r="AW10" s="23" t="str">
        <f t="shared" ca="1" si="22"/>
        <v xml:space="preserve">  </v>
      </c>
      <c r="AY10" s="35" t="str">
        <f t="shared" si="23"/>
        <v xml:space="preserve"> </v>
      </c>
      <c r="AZ10" s="23" t="str">
        <f t="shared" ca="1" si="41"/>
        <v xml:space="preserve">  </v>
      </c>
      <c r="BA10" s="36" t="str">
        <f t="shared" si="25"/>
        <v xml:space="preserve"> </v>
      </c>
      <c r="BB10" s="27" t="str">
        <f t="shared" ca="1" si="38"/>
        <v xml:space="preserve">  </v>
      </c>
      <c r="BC10" s="23" t="str">
        <f t="shared" ca="1" si="39"/>
        <v xml:space="preserve">  </v>
      </c>
      <c r="BE10" s="43" t="s">
        <v>31</v>
      </c>
      <c r="BF10" s="44" t="s">
        <v>32</v>
      </c>
      <c r="BG10" s="489" t="s">
        <v>33</v>
      </c>
    </row>
    <row r="11" spans="1:60" x14ac:dyDescent="0.25">
      <c r="A11" s="20">
        <f>Tools!$AD10</f>
        <v>5</v>
      </c>
      <c r="B11" s="33" t="str">
        <f t="shared" si="0"/>
        <v xml:space="preserve">  </v>
      </c>
      <c r="C11" s="22">
        <f>IF(A11="  ","  ",IF(AND(A10="  ",A12="  "),"?",IF(A10="  ",2*(A12-A11),IF(A12="  ",2*(A11-A10),2*(A12-A10)))))</f>
        <v>4</v>
      </c>
      <c r="D11" s="23" t="str">
        <f t="shared" si="26"/>
        <v xml:space="preserve">  </v>
      </c>
      <c r="E11" s="24">
        <f t="shared" si="1"/>
        <v>-5</v>
      </c>
      <c r="F11" s="23" t="str">
        <f t="shared" si="27"/>
        <v xml:space="preserve">  </v>
      </c>
      <c r="G11" s="23" t="str">
        <f t="shared" si="28"/>
        <v xml:space="preserve">  </v>
      </c>
      <c r="H11" s="23" t="str">
        <f t="shared" si="29"/>
        <v xml:space="preserve">  </v>
      </c>
      <c r="I11" s="23" t="str">
        <f t="shared" si="30"/>
        <v xml:space="preserve">  </v>
      </c>
      <c r="J11" s="4"/>
      <c r="K11" s="37" t="str">
        <f t="shared" si="2"/>
        <v xml:space="preserve"> </v>
      </c>
      <c r="L11" s="23" t="str">
        <f t="shared" si="31"/>
        <v xml:space="preserve">  </v>
      </c>
      <c r="M11" s="38" t="str">
        <f t="shared" si="3"/>
        <v xml:space="preserve"> </v>
      </c>
      <c r="N11" s="27" t="str">
        <f t="shared" si="32"/>
        <v xml:space="preserve">  </v>
      </c>
      <c r="O11" s="23" t="str">
        <f t="shared" si="33"/>
        <v xml:space="preserve">  </v>
      </c>
      <c r="P11" s="4"/>
      <c r="Q11" s="47" t="s">
        <v>34</v>
      </c>
      <c r="R11" s="48" t="s">
        <v>35</v>
      </c>
      <c r="S11" t="str">
        <f>IF(Tools!$L$49="Use 141 rule only",I35,IF(Tools!$L$49="Use 141 and 1331 rules",BG12," "))</f>
        <v xml:space="preserve">  </v>
      </c>
      <c r="W11" s="29">
        <f>IF(AO11="  ","  ",IF(AND(AO10="  ",AO12="  "),"?",IF(AO10="  ",2*(AO12-AO11),IF(AO12="  ",2*(AO11-AO10),2*(AO12-AO10)))))</f>
        <v>4</v>
      </c>
      <c r="X11" s="30" t="str">
        <f t="shared" si="4"/>
        <v>WW</v>
      </c>
      <c r="Y11" s="30" t="str">
        <f t="shared" si="5"/>
        <v>-</v>
      </c>
      <c r="Z11" s="29" t="b">
        <f t="shared" si="6"/>
        <v>0</v>
      </c>
      <c r="AA11" s="29" t="b">
        <f t="shared" si="7"/>
        <v>0</v>
      </c>
      <c r="AB11" s="29" t="str">
        <f t="shared" ca="1" si="8"/>
        <v>++</v>
      </c>
      <c r="AC11" s="29">
        <f t="shared" si="34"/>
        <v>8</v>
      </c>
      <c r="AD11" s="29">
        <f t="shared" ca="1" si="9"/>
        <v>8</v>
      </c>
      <c r="AE11" s="29">
        <v>8</v>
      </c>
      <c r="AF11" s="31">
        <f t="shared" si="42"/>
        <v>4</v>
      </c>
      <c r="AG11" s="29" t="b">
        <f t="shared" si="11"/>
        <v>1</v>
      </c>
      <c r="AH11" s="30" t="str">
        <f t="shared" ca="1" si="12"/>
        <v>141-4</v>
      </c>
      <c r="AI11" s="30" t="str">
        <f t="shared" ca="1" si="13"/>
        <v/>
      </c>
      <c r="AJ11" s="29">
        <f t="shared" ca="1" si="14"/>
        <v>0</v>
      </c>
      <c r="AK11" s="29" t="str">
        <f t="shared" ca="1" si="15"/>
        <v>4/3</v>
      </c>
      <c r="AL11" s="29">
        <f t="shared" ca="1" si="16"/>
        <v>1.3333333333333333</v>
      </c>
      <c r="AM11" s="32">
        <f t="shared" ca="1" si="35"/>
        <v>1.3333333333333333</v>
      </c>
      <c r="AO11" s="20">
        <f>Tools!$AD10</f>
        <v>5</v>
      </c>
      <c r="AP11" s="33" t="str">
        <f t="shared" si="36"/>
        <v xml:space="preserve">  </v>
      </c>
      <c r="AQ11" s="34" t="str">
        <f t="shared" ca="1" si="18"/>
        <v>4/3</v>
      </c>
      <c r="AR11" s="23" t="str">
        <f t="shared" ca="1" si="19"/>
        <v xml:space="preserve">  </v>
      </c>
      <c r="AS11" s="24">
        <f t="shared" si="20"/>
        <v>-5</v>
      </c>
      <c r="AT11" s="23" t="str">
        <f t="shared" ca="1" si="37"/>
        <v xml:space="preserve">  </v>
      </c>
      <c r="AU11" s="23" t="str">
        <f t="shared" ca="1" si="40"/>
        <v xml:space="preserve">  </v>
      </c>
      <c r="AV11" s="23" t="str">
        <f t="shared" si="21"/>
        <v xml:space="preserve">  </v>
      </c>
      <c r="AW11" s="23" t="str">
        <f t="shared" ca="1" si="22"/>
        <v xml:space="preserve">  </v>
      </c>
      <c r="AY11" s="35" t="str">
        <f t="shared" si="23"/>
        <v xml:space="preserve"> </v>
      </c>
      <c r="AZ11" s="23" t="str">
        <f t="shared" ca="1" si="41"/>
        <v xml:space="preserve">  </v>
      </c>
      <c r="BA11" s="36" t="str">
        <f t="shared" si="25"/>
        <v xml:space="preserve"> </v>
      </c>
      <c r="BB11" s="27" t="str">
        <f t="shared" ca="1" si="38"/>
        <v xml:space="preserve">  </v>
      </c>
      <c r="BC11" s="23" t="str">
        <f ca="1">IFERROR(AZ11*AS11,"  ")</f>
        <v xml:space="preserve">  </v>
      </c>
      <c r="BE11" s="45"/>
      <c r="BF11" s="46"/>
      <c r="BG11" s="490"/>
    </row>
    <row r="12" spans="1:60" x14ac:dyDescent="0.25">
      <c r="A12" s="20">
        <f>Tools!$AD11</f>
        <v>6</v>
      </c>
      <c r="B12" s="33" t="str">
        <f t="shared" si="0"/>
        <v xml:space="preserve">  </v>
      </c>
      <c r="C12" s="22">
        <f>IF(A12="  ","  ",IF(AND(A11="  ",A13="  "),"?",IF(A11="  ",1*(A13-A12),IF(A13="  ",1*(A12-A11),1*(A13-A11)))))</f>
        <v>2</v>
      </c>
      <c r="D12" s="23" t="str">
        <f t="shared" si="26"/>
        <v xml:space="preserve">  </v>
      </c>
      <c r="E12" s="24">
        <f t="shared" si="1"/>
        <v>-4</v>
      </c>
      <c r="F12" s="23" t="str">
        <f t="shared" si="27"/>
        <v xml:space="preserve">  </v>
      </c>
      <c r="G12" s="23" t="str">
        <f t="shared" si="28"/>
        <v xml:space="preserve">  </v>
      </c>
      <c r="H12" s="23" t="str">
        <f t="shared" si="29"/>
        <v xml:space="preserve">  </v>
      </c>
      <c r="I12" s="23" t="str">
        <f t="shared" si="30"/>
        <v xml:space="preserve">  </v>
      </c>
      <c r="J12" s="4"/>
      <c r="K12" s="37" t="str">
        <f t="shared" si="2"/>
        <v xml:space="preserve"> </v>
      </c>
      <c r="L12" s="23" t="str">
        <f t="shared" si="31"/>
        <v xml:space="preserve">  </v>
      </c>
      <c r="M12" s="38" t="str">
        <f t="shared" si="3"/>
        <v xml:space="preserve"> </v>
      </c>
      <c r="N12" s="27" t="str">
        <f t="shared" si="32"/>
        <v xml:space="preserve">  </v>
      </c>
      <c r="O12" s="23" t="str">
        <f t="shared" si="33"/>
        <v xml:space="preserve">  </v>
      </c>
      <c r="P12" s="4"/>
      <c r="Q12" s="47" t="s">
        <v>36</v>
      </c>
      <c r="R12" s="48" t="s">
        <v>37</v>
      </c>
      <c r="S12" t="str">
        <f>IF(Tools!$L$49="Use 141 rule only",I36,IF(Tools!$L$49="Use 141 and 1331 rules",BG13," "))</f>
        <v xml:space="preserve">  </v>
      </c>
      <c r="W12" s="29">
        <f>IF(AO12="  ","  ",IF(AND(AO11="  ",AO13="  "),"?",IF(AO11="  ",1*(AO13-AO12),IF(AO13="  ",1*(AO12-AO11),1*(AO13-AO11)))))</f>
        <v>2</v>
      </c>
      <c r="X12" s="30" t="str">
        <f t="shared" si="4"/>
        <v>WW</v>
      </c>
      <c r="Y12" s="30" t="str">
        <f t="shared" si="5"/>
        <v>-</v>
      </c>
      <c r="Z12" s="29" t="b">
        <f t="shared" si="6"/>
        <v>0</v>
      </c>
      <c r="AA12" s="29" t="b">
        <f t="shared" si="7"/>
        <v>0</v>
      </c>
      <c r="AB12" s="29" t="str">
        <f t="shared" ca="1" si="8"/>
        <v>++</v>
      </c>
      <c r="AC12" s="29">
        <f t="shared" si="34"/>
        <v>9</v>
      </c>
      <c r="AD12" s="29">
        <f t="shared" ca="1" si="9"/>
        <v>9</v>
      </c>
      <c r="AE12" s="29">
        <v>9</v>
      </c>
      <c r="AF12" s="31">
        <f t="shared" si="42"/>
        <v>5</v>
      </c>
      <c r="AG12" s="29" t="b">
        <f t="shared" si="11"/>
        <v>1</v>
      </c>
      <c r="AH12" s="30" t="str">
        <f t="shared" ca="1" si="12"/>
        <v>141-2</v>
      </c>
      <c r="AI12" s="30" t="str">
        <f t="shared" ca="1" si="13"/>
        <v/>
      </c>
      <c r="AJ12" s="29">
        <f t="shared" ca="1" si="14"/>
        <v>0</v>
      </c>
      <c r="AK12" s="29" t="str">
        <f t="shared" ca="1" si="15"/>
        <v>2/3</v>
      </c>
      <c r="AL12" s="29">
        <f t="shared" ca="1" si="16"/>
        <v>0.66666666666666663</v>
      </c>
      <c r="AM12" s="32">
        <f t="shared" ca="1" si="35"/>
        <v>0.66666666666666663</v>
      </c>
      <c r="AO12" s="20">
        <f>Tools!$AD11</f>
        <v>6</v>
      </c>
      <c r="AP12" s="33" t="str">
        <f t="shared" si="36"/>
        <v xml:space="preserve">  </v>
      </c>
      <c r="AQ12" s="34" t="str">
        <f t="shared" ca="1" si="18"/>
        <v>2/3</v>
      </c>
      <c r="AR12" s="23" t="str">
        <f t="shared" ca="1" si="19"/>
        <v xml:space="preserve">  </v>
      </c>
      <c r="AS12" s="24">
        <f t="shared" si="20"/>
        <v>-4</v>
      </c>
      <c r="AT12" s="23" t="str">
        <f t="shared" ca="1" si="37"/>
        <v xml:space="preserve">  </v>
      </c>
      <c r="AU12" s="23" t="str">
        <f t="shared" ca="1" si="40"/>
        <v xml:space="preserve">  </v>
      </c>
      <c r="AV12" s="23" t="str">
        <f t="shared" si="21"/>
        <v xml:space="preserve">  </v>
      </c>
      <c r="AW12" s="23" t="str">
        <f t="shared" ca="1" si="22"/>
        <v xml:space="preserve">  </v>
      </c>
      <c r="AY12" s="35" t="str">
        <f t="shared" si="23"/>
        <v xml:space="preserve"> </v>
      </c>
      <c r="AZ12" s="23" t="str">
        <f t="shared" ca="1" si="41"/>
        <v xml:space="preserve">  </v>
      </c>
      <c r="BA12" s="36" t="str">
        <f t="shared" si="25"/>
        <v xml:space="preserve"> </v>
      </c>
      <c r="BB12" s="27" t="str">
        <f t="shared" ca="1" si="38"/>
        <v xml:space="preserve">  </v>
      </c>
      <c r="BC12" s="23" t="str">
        <f t="shared" ca="1" si="39"/>
        <v xml:space="preserve">  </v>
      </c>
      <c r="BE12" s="47" t="s">
        <v>34</v>
      </c>
      <c r="BF12" s="48" t="s">
        <v>38</v>
      </c>
      <c r="BG12" s="49" t="str">
        <f>IF(WL_No="  ","  ",2*h*$AR$29)</f>
        <v xml:space="preserve">  </v>
      </c>
    </row>
    <row r="13" spans="1:60" x14ac:dyDescent="0.25">
      <c r="A13" s="20">
        <f>Tools!$AD12</f>
        <v>7</v>
      </c>
      <c r="B13" s="33" t="str">
        <f t="shared" si="0"/>
        <v xml:space="preserve">  </v>
      </c>
      <c r="C13" s="22">
        <f>IF(A13="  ","  ",IF(AND(A12="  ",A14="  "),"?",IF(A12="  ",2*(A14-A13),IF(A14="  ",2*(A13-A12),2*(A14-A12)))))</f>
        <v>4</v>
      </c>
      <c r="D13" s="23" t="str">
        <f t="shared" si="26"/>
        <v xml:space="preserve">  </v>
      </c>
      <c r="E13" s="24">
        <f t="shared" si="1"/>
        <v>-3</v>
      </c>
      <c r="F13" s="23" t="str">
        <f t="shared" si="27"/>
        <v xml:space="preserve">  </v>
      </c>
      <c r="G13" s="23" t="str">
        <f t="shared" si="28"/>
        <v xml:space="preserve">  </v>
      </c>
      <c r="H13" s="23" t="str">
        <f t="shared" si="29"/>
        <v xml:space="preserve">  </v>
      </c>
      <c r="I13" s="23" t="str">
        <f t="shared" si="30"/>
        <v xml:space="preserve">  </v>
      </c>
      <c r="J13" s="4"/>
      <c r="K13" s="37" t="str">
        <f t="shared" si="2"/>
        <v xml:space="preserve"> </v>
      </c>
      <c r="L13" s="23" t="str">
        <f t="shared" si="31"/>
        <v xml:space="preserve">  </v>
      </c>
      <c r="M13" s="38" t="str">
        <f t="shared" si="3"/>
        <v xml:space="preserve"> </v>
      </c>
      <c r="N13" s="27" t="str">
        <f t="shared" si="32"/>
        <v xml:space="preserve">  </v>
      </c>
      <c r="O13" s="23" t="str">
        <f t="shared" si="33"/>
        <v xml:space="preserve">  </v>
      </c>
      <c r="P13" s="4"/>
      <c r="Q13" s="50" t="s">
        <v>39</v>
      </c>
      <c r="R13" s="48" t="s">
        <v>40</v>
      </c>
      <c r="S13" t="str">
        <f>IF(Tools!$L$49="Use 141 rule only",I37,IF(Tools!$L$49="Use 141 and 1331 rules",BG14," "))</f>
        <v xml:space="preserve">  </v>
      </c>
      <c r="W13" s="29">
        <f>IF(AO13="  ","  ",IF(AND(AO12="  ",AO14="  "),"?",IF(AO12="  ",2*(AO14-AO13),IF(AO14="  ",2*(AO13-AO12),2*(AO14-AO12)))))</f>
        <v>4</v>
      </c>
      <c r="X13" s="30" t="str">
        <f t="shared" si="4"/>
        <v>WW</v>
      </c>
      <c r="Y13" s="30" t="str">
        <f t="shared" si="5"/>
        <v>-</v>
      </c>
      <c r="Z13" s="29" t="b">
        <f t="shared" si="6"/>
        <v>0</v>
      </c>
      <c r="AA13" s="29" t="b">
        <f t="shared" si="7"/>
        <v>0</v>
      </c>
      <c r="AB13" s="29" t="str">
        <f t="shared" ca="1" si="8"/>
        <v>++</v>
      </c>
      <c r="AC13" s="29">
        <f t="shared" si="34"/>
        <v>10</v>
      </c>
      <c r="AD13" s="29">
        <f t="shared" ca="1" si="9"/>
        <v>10</v>
      </c>
      <c r="AE13" s="29">
        <v>10</v>
      </c>
      <c r="AF13" s="31">
        <f t="shared" si="42"/>
        <v>6</v>
      </c>
      <c r="AG13" s="29" t="b">
        <f t="shared" si="11"/>
        <v>1</v>
      </c>
      <c r="AH13" s="30" t="str">
        <f t="shared" ca="1" si="12"/>
        <v>141-4</v>
      </c>
      <c r="AI13" s="30" t="str">
        <f t="shared" ca="1" si="13"/>
        <v/>
      </c>
      <c r="AJ13" s="29">
        <f t="shared" ca="1" si="14"/>
        <v>0</v>
      </c>
      <c r="AK13" s="29" t="str">
        <f t="shared" ca="1" si="15"/>
        <v>4/3</v>
      </c>
      <c r="AL13" s="29">
        <f t="shared" ca="1" si="16"/>
        <v>1.3333333333333333</v>
      </c>
      <c r="AM13" s="32">
        <f t="shared" ca="1" si="35"/>
        <v>1.3333333333333333</v>
      </c>
      <c r="AO13" s="20">
        <f>Tools!$AD12</f>
        <v>7</v>
      </c>
      <c r="AP13" s="33" t="str">
        <f t="shared" si="36"/>
        <v xml:space="preserve">  </v>
      </c>
      <c r="AQ13" s="34" t="str">
        <f t="shared" ca="1" si="18"/>
        <v>4/3</v>
      </c>
      <c r="AR13" s="23" t="str">
        <f t="shared" ca="1" si="19"/>
        <v xml:space="preserve">  </v>
      </c>
      <c r="AS13" s="24">
        <f t="shared" si="20"/>
        <v>-3</v>
      </c>
      <c r="AT13" s="23" t="str">
        <f t="shared" ca="1" si="37"/>
        <v xml:space="preserve">  </v>
      </c>
      <c r="AU13" s="23" t="str">
        <f t="shared" ca="1" si="40"/>
        <v xml:space="preserve">  </v>
      </c>
      <c r="AV13" s="23" t="str">
        <f t="shared" si="21"/>
        <v xml:space="preserve">  </v>
      </c>
      <c r="AW13" s="23" t="str">
        <f t="shared" ca="1" si="22"/>
        <v xml:space="preserve">  </v>
      </c>
      <c r="AY13" s="35" t="str">
        <f t="shared" si="23"/>
        <v xml:space="preserve"> </v>
      </c>
      <c r="AZ13" s="23" t="str">
        <f t="shared" ca="1" si="41"/>
        <v xml:space="preserve">  </v>
      </c>
      <c r="BA13" s="36" t="str">
        <f t="shared" si="25"/>
        <v xml:space="preserve"> </v>
      </c>
      <c r="BB13" s="27" t="str">
        <f t="shared" ca="1" si="38"/>
        <v xml:space="preserve">  </v>
      </c>
      <c r="BC13" s="23" t="str">
        <f t="shared" ca="1" si="39"/>
        <v xml:space="preserve">  </v>
      </c>
      <c r="BE13" s="47" t="s">
        <v>36</v>
      </c>
      <c r="BF13" s="48" t="s">
        <v>41</v>
      </c>
      <c r="BG13" s="49" t="str">
        <f>IF(WL_No="  ","  ",2*(h^2)*$AT$29)</f>
        <v xml:space="preserve">  </v>
      </c>
    </row>
    <row r="14" spans="1:60" x14ac:dyDescent="0.25">
      <c r="A14" s="20">
        <f>Tools!$AD13</f>
        <v>8</v>
      </c>
      <c r="B14" s="33" t="str">
        <f t="shared" si="0"/>
        <v xml:space="preserve">  </v>
      </c>
      <c r="C14" s="22">
        <f>IF(A14="  ","  ",IF(AND(A13="  ",A15="  "),"?",IF(A13="  ",1*(A15-A14),IF(A15="  ",1*(A14-A13),1*(A15-A13)))))</f>
        <v>2</v>
      </c>
      <c r="D14" s="23" t="str">
        <f t="shared" si="26"/>
        <v xml:space="preserve">  </v>
      </c>
      <c r="E14" s="24">
        <f t="shared" si="1"/>
        <v>-2</v>
      </c>
      <c r="F14" s="23" t="str">
        <f t="shared" si="27"/>
        <v xml:space="preserve">  </v>
      </c>
      <c r="G14" s="23" t="str">
        <f t="shared" si="28"/>
        <v xml:space="preserve">  </v>
      </c>
      <c r="H14" s="23" t="str">
        <f t="shared" si="29"/>
        <v xml:space="preserve">  </v>
      </c>
      <c r="I14" s="23" t="str">
        <f t="shared" si="30"/>
        <v xml:space="preserve">  </v>
      </c>
      <c r="J14" s="4"/>
      <c r="K14" s="37" t="str">
        <f t="shared" si="2"/>
        <v xml:space="preserve"> </v>
      </c>
      <c r="L14" s="23" t="str">
        <f t="shared" si="31"/>
        <v xml:space="preserve">  </v>
      </c>
      <c r="M14" s="38" t="str">
        <f t="shared" si="3"/>
        <v xml:space="preserve"> </v>
      </c>
      <c r="N14" s="27" t="str">
        <f t="shared" si="32"/>
        <v xml:space="preserve">  </v>
      </c>
      <c r="O14" s="23" t="str">
        <f t="shared" si="33"/>
        <v xml:space="preserve">  </v>
      </c>
      <c r="P14" s="4"/>
      <c r="Q14" s="50" t="s">
        <v>42</v>
      </c>
      <c r="R14" s="48" t="s">
        <v>43</v>
      </c>
      <c r="S14" t="str">
        <f>IF(Tools!$L$49="Use 141 rule only",I38,IF(Tools!$L$49="Use 141 and 1331 rules",BG15," "))</f>
        <v xml:space="preserve">  </v>
      </c>
      <c r="W14" s="29">
        <f>IF(AO14="  ","  ",IF(AND(AO13="  ",AO15="  "),"?",IF(AO13="  ",1*(AO15-AO14),IF(AO15="  ",1*(AO14-AO13),1*(AO15-AO13)))))</f>
        <v>2</v>
      </c>
      <c r="X14" s="30" t="str">
        <f t="shared" si="4"/>
        <v>WW</v>
      </c>
      <c r="Y14" s="30" t="str">
        <f t="shared" si="5"/>
        <v>-</v>
      </c>
      <c r="Z14" s="29" t="b">
        <f t="shared" si="6"/>
        <v>0</v>
      </c>
      <c r="AA14" s="29" t="b">
        <f t="shared" si="7"/>
        <v>0</v>
      </c>
      <c r="AB14" s="29" t="str">
        <f t="shared" ca="1" si="8"/>
        <v>++</v>
      </c>
      <c r="AC14" s="29">
        <f t="shared" si="34"/>
        <v>11</v>
      </c>
      <c r="AD14" s="29">
        <f t="shared" ca="1" si="9"/>
        <v>11</v>
      </c>
      <c r="AE14" s="29">
        <v>11</v>
      </c>
      <c r="AF14" s="31">
        <f t="shared" si="42"/>
        <v>7</v>
      </c>
      <c r="AG14" s="29" t="b">
        <f t="shared" si="11"/>
        <v>1</v>
      </c>
      <c r="AH14" s="30" t="str">
        <f ca="1">IF(AND(AG14=TRUE,$AH$1=1),"141-4",IF(AG14=" ",IF(AND($AH$1=2,AF14=3),"141-1","-"),IF(OR(AG14=FALSE,AG14=" "),"-",IF(AG14=TRUE,IF(AND($AH$1=2,AF14=1),"141-1",IF(AND($AH$1=2,AF14=2),"141-4",IF(OR(ISODD($AH$1),AF14&gt;4),IF(AF14=1,"141-1",IF(OR(AB14="141-1",AB14="1331-1",AB14="1331-1,141-1"),"141-1",IF(AG15=" ","141-1",IF(OR(AH13="141-1",AH13="141-2",AH13="1331-1,141-1"),"141-4",IF(AH13="141-4","141-2","$$"))))),IF(ISEVEN($AH$1),IF(AF14=1,"1331-1",IF(OR(AF14=2,AF14=3),"1331-3",IF(AF14=4,IF($AH$1=4,"1331-1","1331-1,141-1"),"")))))))))))</f>
        <v>141-2</v>
      </c>
      <c r="AI14" s="30" t="str">
        <f t="shared" ca="1" si="13"/>
        <v/>
      </c>
      <c r="AJ14" s="29">
        <f t="shared" ca="1" si="14"/>
        <v>0</v>
      </c>
      <c r="AK14" s="29" t="str">
        <f t="shared" ca="1" si="15"/>
        <v>2/3</v>
      </c>
      <c r="AL14" s="29">
        <f t="shared" ca="1" si="16"/>
        <v>0.66666666666666663</v>
      </c>
      <c r="AM14" s="32">
        <f t="shared" ca="1" si="35"/>
        <v>0.66666666666666663</v>
      </c>
      <c r="AO14" s="20">
        <f>Tools!$AD13</f>
        <v>8</v>
      </c>
      <c r="AP14" s="33" t="str">
        <f t="shared" si="36"/>
        <v xml:space="preserve">  </v>
      </c>
      <c r="AQ14" s="34" t="str">
        <f t="shared" ca="1" si="18"/>
        <v>2/3</v>
      </c>
      <c r="AR14" s="23" t="str">
        <f t="shared" ca="1" si="19"/>
        <v xml:space="preserve">  </v>
      </c>
      <c r="AS14" s="24">
        <f t="shared" si="20"/>
        <v>-2</v>
      </c>
      <c r="AT14" s="23" t="str">
        <f t="shared" ca="1" si="37"/>
        <v xml:space="preserve">  </v>
      </c>
      <c r="AU14" s="23" t="str">
        <f t="shared" ca="1" si="40"/>
        <v xml:space="preserve">  </v>
      </c>
      <c r="AV14" s="23" t="str">
        <f t="shared" si="21"/>
        <v xml:space="preserve">  </v>
      </c>
      <c r="AW14" s="23" t="str">
        <f t="shared" ca="1" si="22"/>
        <v xml:space="preserve">  </v>
      </c>
      <c r="AY14" s="35" t="str">
        <f t="shared" si="23"/>
        <v xml:space="preserve"> </v>
      </c>
      <c r="AZ14" s="23" t="str">
        <f t="shared" ca="1" si="41"/>
        <v xml:space="preserve">  </v>
      </c>
      <c r="BA14" s="36" t="str">
        <f t="shared" si="25"/>
        <v xml:space="preserve"> </v>
      </c>
      <c r="BB14" s="27" t="str">
        <f t="shared" ca="1" si="38"/>
        <v xml:space="preserve">  </v>
      </c>
      <c r="BC14" s="23" t="str">
        <f t="shared" ca="1" si="39"/>
        <v xml:space="preserve">  </v>
      </c>
      <c r="BE14" s="50" t="s">
        <v>39</v>
      </c>
      <c r="BF14" s="48" t="s">
        <v>40</v>
      </c>
      <c r="BG14" s="49" t="str">
        <f>IF(WL_No="  ","  ",Mmid/AWP)</f>
        <v xml:space="preserve">  </v>
      </c>
    </row>
    <row r="15" spans="1:60" x14ac:dyDescent="0.25">
      <c r="A15" s="20">
        <f>Tools!$AD14</f>
        <v>9</v>
      </c>
      <c r="B15" s="33" t="str">
        <f t="shared" si="0"/>
        <v xml:space="preserve">  </v>
      </c>
      <c r="C15" s="22">
        <f>IF(A15="  ","  ",IF(AND(A14="  ",A16="  "),"?",IF(A14="  ",2*(A16-A15),IF(A16="  ",2*(A15-A14),2*(A16-A14)))))</f>
        <v>4</v>
      </c>
      <c r="D15" s="23" t="str">
        <f t="shared" si="26"/>
        <v xml:space="preserve">  </v>
      </c>
      <c r="E15" s="24">
        <f t="shared" si="1"/>
        <v>-1</v>
      </c>
      <c r="F15" s="23" t="str">
        <f t="shared" si="27"/>
        <v xml:space="preserve">  </v>
      </c>
      <c r="G15" s="23" t="str">
        <f t="shared" si="28"/>
        <v xml:space="preserve">  </v>
      </c>
      <c r="H15" s="23" t="str">
        <f t="shared" si="29"/>
        <v xml:space="preserve">  </v>
      </c>
      <c r="I15" s="23" t="str">
        <f t="shared" si="30"/>
        <v xml:space="preserve">  </v>
      </c>
      <c r="J15" s="4"/>
      <c r="K15" s="37" t="str">
        <f t="shared" si="2"/>
        <v xml:space="preserve"> </v>
      </c>
      <c r="L15" s="23" t="str">
        <f t="shared" si="31"/>
        <v xml:space="preserve">  </v>
      </c>
      <c r="M15" s="38" t="str">
        <f t="shared" si="3"/>
        <v xml:space="preserve"> </v>
      </c>
      <c r="N15" s="27" t="str">
        <f t="shared" si="32"/>
        <v xml:space="preserve">  </v>
      </c>
      <c r="O15" s="23" t="str">
        <f t="shared" si="33"/>
        <v xml:space="preserve">  </v>
      </c>
      <c r="P15" s="4"/>
      <c r="Q15" s="51" t="s">
        <v>44</v>
      </c>
      <c r="R15" s="48" t="s">
        <v>45</v>
      </c>
      <c r="S15" t="str">
        <f>IF(Tools!$L$49="Use 141 rule only",I39,IF(Tools!$L$49="Use 141 and 1331 rules",BG16," "))</f>
        <v xml:space="preserve">  </v>
      </c>
      <c r="W15" s="29">
        <f>IF(AO15="  ","  ",IF(AND(AO14="  ",AO16="  "),"?",IF(AO14="  ",2*(AO16-AO15),IF(AO16="  ",2*(AO15-AO14),2*(AO16-AO14)))))</f>
        <v>4</v>
      </c>
      <c r="X15" s="30" t="str">
        <f t="shared" si="4"/>
        <v>WW</v>
      </c>
      <c r="Y15" s="30" t="str">
        <f t="shared" si="5"/>
        <v>-</v>
      </c>
      <c r="Z15" s="29" t="b">
        <f t="shared" si="6"/>
        <v>0</v>
      </c>
      <c r="AA15" s="29" t="b">
        <f t="shared" si="7"/>
        <v>0</v>
      </c>
      <c r="AB15" s="29" t="str">
        <f t="shared" ca="1" si="8"/>
        <v>++</v>
      </c>
      <c r="AC15" s="29">
        <f t="shared" si="34"/>
        <v>12</v>
      </c>
      <c r="AD15" s="29">
        <f t="shared" ca="1" si="9"/>
        <v>12</v>
      </c>
      <c r="AE15" s="29">
        <v>12</v>
      </c>
      <c r="AF15" s="31">
        <f t="shared" si="42"/>
        <v>8</v>
      </c>
      <c r="AG15" s="29" t="b">
        <f t="shared" si="11"/>
        <v>1</v>
      </c>
      <c r="AH15" s="30" t="str">
        <f t="shared" ref="AH15:AH28" ca="1" si="43">IF(AND(AG15=TRUE,$AH$1=1),"141-4",IF(AG15=" ",IF(AND($AH$1=2,AF15=3),"141-1","-"),IF(OR(AG15=FALSE,AG15=" "),"-",IF(AG15=TRUE,IF(AND($AH$1=2,AF15=1),"141-1",IF(AND($AH$1=2,AF15=2),"141-4",IF(OR(ISODD($AH$1),AF15&gt;4),IF(AF15=1,"141-1",IF(OR(AB15="141-1",AB15="1331-1",AB15="1331-1,141-1"),"141-1",IF(AG16=" ","141-1",IF(OR(AH14="141-1",AH14="141-2",AH14="1331-1,141-1"),"141-4",IF(AH14="141-4","141-2","$$"))))),IF(ISEVEN($AH$1),IF(AF15=1,"1331-1",IF(OR(AF15=2,AF15=3),"1331-3",IF(AF15=4,IF($AH$1=4,"1331-1","1331-1,141-1"),"")))))))))))</f>
        <v>141-4</v>
      </c>
      <c r="AI15" s="30" t="str">
        <f t="shared" ca="1" si="13"/>
        <v/>
      </c>
      <c r="AJ15" s="29">
        <f t="shared" ca="1" si="14"/>
        <v>0</v>
      </c>
      <c r="AK15" s="29" t="str">
        <f t="shared" ca="1" si="15"/>
        <v>4/3</v>
      </c>
      <c r="AL15" s="29">
        <f t="shared" ca="1" si="16"/>
        <v>1.3333333333333333</v>
      </c>
      <c r="AM15" s="32">
        <f t="shared" ca="1" si="35"/>
        <v>1.3333333333333333</v>
      </c>
      <c r="AO15" s="20">
        <f>Tools!$AD14</f>
        <v>9</v>
      </c>
      <c r="AP15" s="33" t="str">
        <f t="shared" si="36"/>
        <v xml:space="preserve">  </v>
      </c>
      <c r="AQ15" s="34" t="str">
        <f t="shared" ca="1" si="18"/>
        <v>4/3</v>
      </c>
      <c r="AR15" s="23" t="str">
        <f t="shared" ca="1" si="19"/>
        <v xml:space="preserve">  </v>
      </c>
      <c r="AS15" s="24">
        <f t="shared" si="20"/>
        <v>-1</v>
      </c>
      <c r="AT15" s="23" t="str">
        <f t="shared" ca="1" si="37"/>
        <v xml:space="preserve">  </v>
      </c>
      <c r="AU15" s="23" t="str">
        <f t="shared" ca="1" si="40"/>
        <v xml:space="preserve">  </v>
      </c>
      <c r="AV15" s="23" t="str">
        <f t="shared" si="21"/>
        <v xml:space="preserve">  </v>
      </c>
      <c r="AW15" s="23" t="str">
        <f t="shared" ca="1" si="22"/>
        <v xml:space="preserve">  </v>
      </c>
      <c r="AY15" s="35" t="str">
        <f t="shared" si="23"/>
        <v xml:space="preserve"> </v>
      </c>
      <c r="AZ15" s="23" t="str">
        <f t="shared" ca="1" si="41"/>
        <v xml:space="preserve">  </v>
      </c>
      <c r="BA15" s="36" t="str">
        <f t="shared" si="25"/>
        <v xml:space="preserve"> </v>
      </c>
      <c r="BB15" s="27" t="str">
        <f ca="1">IFERROR(BA15*AM15,"  ")</f>
        <v xml:space="preserve">  </v>
      </c>
      <c r="BC15" s="23" t="str">
        <f t="shared" ca="1" si="39"/>
        <v xml:space="preserve">  </v>
      </c>
      <c r="BE15" s="50" t="s">
        <v>42</v>
      </c>
      <c r="BF15" s="48" t="s">
        <v>46</v>
      </c>
      <c r="BG15" s="49" t="str">
        <f>IF(WL_No="  ","  ",2*(h^3)*$AU$29)</f>
        <v xml:space="preserve">  </v>
      </c>
    </row>
    <row r="16" spans="1:60" x14ac:dyDescent="0.25">
      <c r="A16" s="20">
        <f>Tools!$AD15</f>
        <v>10</v>
      </c>
      <c r="B16" s="33" t="str">
        <f t="shared" si="0"/>
        <v xml:space="preserve">  </v>
      </c>
      <c r="C16" s="22">
        <f>IF(A16="  ","  ",IF(AND(A15="  ",A17="  "),"?",IF(A15="  ",1*(A17-A16),IF(A17="  ",1*(A16-A15),1*(A17-A15)))))</f>
        <v>2</v>
      </c>
      <c r="D16" s="23" t="str">
        <f t="shared" si="26"/>
        <v xml:space="preserve">  </v>
      </c>
      <c r="E16" s="24">
        <f t="shared" si="1"/>
        <v>0</v>
      </c>
      <c r="F16" s="23" t="str">
        <f t="shared" si="27"/>
        <v xml:space="preserve">  </v>
      </c>
      <c r="G16" s="23" t="str">
        <f t="shared" si="28"/>
        <v xml:space="preserve">  </v>
      </c>
      <c r="H16" s="23" t="str">
        <f t="shared" si="29"/>
        <v xml:space="preserve">  </v>
      </c>
      <c r="I16" s="23" t="str">
        <f t="shared" si="30"/>
        <v xml:space="preserve">  </v>
      </c>
      <c r="J16" s="4"/>
      <c r="K16" s="37" t="str">
        <f t="shared" si="2"/>
        <v xml:space="preserve"> </v>
      </c>
      <c r="L16" s="23" t="str">
        <f t="shared" si="31"/>
        <v xml:space="preserve">  </v>
      </c>
      <c r="M16" s="38" t="str">
        <f t="shared" si="3"/>
        <v xml:space="preserve"> </v>
      </c>
      <c r="N16" s="27" t="str">
        <f t="shared" si="32"/>
        <v xml:space="preserve">  </v>
      </c>
      <c r="O16" s="23" t="str">
        <f t="shared" si="33"/>
        <v xml:space="preserve">  </v>
      </c>
      <c r="P16" s="4"/>
      <c r="Q16" s="50" t="s">
        <v>47</v>
      </c>
      <c r="R16" s="48" t="s">
        <v>48</v>
      </c>
      <c r="S16" t="str">
        <f>IF(Tools!$L$49="Use 141 rule only",I40,IF(Tools!$L$49="Use 141 and 1331 rules",BG17," "))</f>
        <v xml:space="preserve">  </v>
      </c>
      <c r="W16" s="29">
        <f>IF(AO16="  ","  ",IF(AND(AO15="  ",AO17="  "),"?",IF(AO15="  ",1*(AO17-AO16),IF(AO17="  ",1*(AO16-AO15),1*(AO17-AO15)))))</f>
        <v>2</v>
      </c>
      <c r="X16" s="30" t="str">
        <f t="shared" si="4"/>
        <v>WW</v>
      </c>
      <c r="Y16" s="30" t="str">
        <f t="shared" si="5"/>
        <v>-</v>
      </c>
      <c r="Z16" s="29" t="b">
        <f t="shared" si="6"/>
        <v>0</v>
      </c>
      <c r="AA16" s="29" t="b">
        <f t="shared" si="7"/>
        <v>0</v>
      </c>
      <c r="AB16" s="29" t="str">
        <f t="shared" ca="1" si="8"/>
        <v>++</v>
      </c>
      <c r="AC16" s="29">
        <f t="shared" si="34"/>
        <v>13</v>
      </c>
      <c r="AD16" s="29">
        <f t="shared" ca="1" si="9"/>
        <v>13</v>
      </c>
      <c r="AE16" s="29">
        <v>13</v>
      </c>
      <c r="AF16" s="31">
        <f t="shared" si="42"/>
        <v>9</v>
      </c>
      <c r="AG16" s="29" t="b">
        <f t="shared" si="11"/>
        <v>1</v>
      </c>
      <c r="AH16" s="30" t="str">
        <f t="shared" ca="1" si="43"/>
        <v>141-2</v>
      </c>
      <c r="AI16" s="30" t="str">
        <f t="shared" ca="1" si="13"/>
        <v/>
      </c>
      <c r="AJ16" s="29">
        <f t="shared" ca="1" si="14"/>
        <v>0</v>
      </c>
      <c r="AK16" s="29" t="str">
        <f t="shared" ca="1" si="15"/>
        <v>2/3</v>
      </c>
      <c r="AL16" s="29">
        <f t="shared" ca="1" si="16"/>
        <v>0.66666666666666663</v>
      </c>
      <c r="AM16" s="32">
        <f t="shared" ca="1" si="35"/>
        <v>0.66666666666666663</v>
      </c>
      <c r="AO16" s="20">
        <f>Tools!$AD15</f>
        <v>10</v>
      </c>
      <c r="AP16" s="33" t="str">
        <f t="shared" si="36"/>
        <v xml:space="preserve">  </v>
      </c>
      <c r="AQ16" s="34" t="str">
        <f t="shared" ca="1" si="18"/>
        <v>2/3</v>
      </c>
      <c r="AR16" s="23" t="str">
        <f t="shared" ca="1" si="19"/>
        <v xml:space="preserve">  </v>
      </c>
      <c r="AS16" s="24">
        <f t="shared" si="20"/>
        <v>0</v>
      </c>
      <c r="AT16" s="23" t="str">
        <f t="shared" ca="1" si="37"/>
        <v xml:space="preserve">  </v>
      </c>
      <c r="AU16" s="23" t="str">
        <f t="shared" ca="1" si="40"/>
        <v xml:space="preserve">  </v>
      </c>
      <c r="AV16" s="23" t="str">
        <f t="shared" si="21"/>
        <v xml:space="preserve">  </v>
      </c>
      <c r="AW16" s="23" t="str">
        <f t="shared" ca="1" si="22"/>
        <v xml:space="preserve">  </v>
      </c>
      <c r="AY16" s="35" t="str">
        <f t="shared" si="23"/>
        <v xml:space="preserve"> </v>
      </c>
      <c r="AZ16" s="23" t="str">
        <f t="shared" ca="1" si="41"/>
        <v xml:space="preserve">  </v>
      </c>
      <c r="BA16" s="36" t="str">
        <f t="shared" si="25"/>
        <v xml:space="preserve"> </v>
      </c>
      <c r="BB16" s="27" t="str">
        <f t="shared" ca="1" si="38"/>
        <v xml:space="preserve">  </v>
      </c>
      <c r="BC16" s="23" t="str">
        <f ca="1">IFERROR(AZ16*AS16,"  ")</f>
        <v xml:space="preserve">  </v>
      </c>
      <c r="BE16" s="51" t="s">
        <v>44</v>
      </c>
      <c r="BF16" s="48" t="s">
        <v>49</v>
      </c>
      <c r="BG16" s="49" t="str">
        <f>IF(WL_No="  ","  ",2/3*h*$AW$29)</f>
        <v xml:space="preserve">  </v>
      </c>
    </row>
    <row r="17" spans="1:59" x14ac:dyDescent="0.25">
      <c r="A17" s="20">
        <f>Tools!$AD16</f>
        <v>11</v>
      </c>
      <c r="B17" s="33" t="str">
        <f t="shared" si="0"/>
        <v xml:space="preserve">  </v>
      </c>
      <c r="C17" s="22">
        <f>IF(A17="  ","  ",IF(AND(A16="  ",A18="  "),"?",IF(A16="  ",2*(A18-A17),IF(A18="  ",2*(A17-A16),2*(A18-A16)))))</f>
        <v>4</v>
      </c>
      <c r="D17" s="23" t="str">
        <f t="shared" si="26"/>
        <v xml:space="preserve">  </v>
      </c>
      <c r="E17" s="24">
        <f t="shared" si="1"/>
        <v>1</v>
      </c>
      <c r="F17" s="23" t="str">
        <f t="shared" si="27"/>
        <v xml:space="preserve">  </v>
      </c>
      <c r="G17" s="23" t="str">
        <f t="shared" si="28"/>
        <v xml:space="preserve">  </v>
      </c>
      <c r="H17" s="23" t="str">
        <f t="shared" si="29"/>
        <v xml:space="preserve">  </v>
      </c>
      <c r="I17" s="23" t="str">
        <f t="shared" si="30"/>
        <v xml:space="preserve">  </v>
      </c>
      <c r="J17" s="4"/>
      <c r="K17" s="37" t="str">
        <f t="shared" si="2"/>
        <v xml:space="preserve"> </v>
      </c>
      <c r="L17" s="23" t="str">
        <f t="shared" si="31"/>
        <v xml:space="preserve">  </v>
      </c>
      <c r="M17" s="38" t="str">
        <f t="shared" si="3"/>
        <v xml:space="preserve"> </v>
      </c>
      <c r="N17" s="27" t="str">
        <f t="shared" si="32"/>
        <v xml:space="preserve">  </v>
      </c>
      <c r="O17" s="23" t="str">
        <f t="shared" si="33"/>
        <v xml:space="preserve">  </v>
      </c>
      <c r="P17" s="4"/>
      <c r="Q17" s="50" t="s">
        <v>50</v>
      </c>
      <c r="R17" s="48" t="s">
        <v>51</v>
      </c>
      <c r="S17" t="str">
        <f>IF(Tools!$L$49="Use 141 rule only",I41,IF(Tools!$L$49="Use 141 and 1331 rules",BG18," "))</f>
        <v xml:space="preserve">  </v>
      </c>
      <c r="W17" s="29">
        <f>IF(AO17="  ","  ",IF(AND(AO16="  ",AO18="  "),"?",IF(AO16="  ",2*(AO18-AO17),IF(AO18="  ",2*(AO17-AO16),2*(AO18-AO16)))))</f>
        <v>4</v>
      </c>
      <c r="X17" s="30" t="str">
        <f t="shared" si="4"/>
        <v>WW</v>
      </c>
      <c r="Y17" s="30" t="str">
        <f t="shared" si="5"/>
        <v>-</v>
      </c>
      <c r="Z17" s="29" t="b">
        <f t="shared" si="6"/>
        <v>0</v>
      </c>
      <c r="AA17" s="29" t="b">
        <f t="shared" si="7"/>
        <v>0</v>
      </c>
      <c r="AB17" s="29" t="str">
        <f t="shared" ca="1" si="8"/>
        <v>++</v>
      </c>
      <c r="AC17" s="29">
        <f t="shared" si="34"/>
        <v>12</v>
      </c>
      <c r="AD17" s="29">
        <f t="shared" ca="1" si="9"/>
        <v>12</v>
      </c>
      <c r="AE17" s="29">
        <v>14</v>
      </c>
      <c r="AF17" s="31">
        <f t="shared" si="42"/>
        <v>10</v>
      </c>
      <c r="AG17" s="29" t="b">
        <f t="shared" si="11"/>
        <v>1</v>
      </c>
      <c r="AH17" s="30" t="str">
        <f t="shared" ca="1" si="43"/>
        <v>141-4</v>
      </c>
      <c r="AI17" s="30" t="str">
        <f t="shared" ca="1" si="13"/>
        <v/>
      </c>
      <c r="AJ17" s="29">
        <f t="shared" ca="1" si="14"/>
        <v>0</v>
      </c>
      <c r="AK17" s="29" t="str">
        <f t="shared" ca="1" si="15"/>
        <v>4/3</v>
      </c>
      <c r="AL17" s="29">
        <f t="shared" ca="1" si="16"/>
        <v>1.3333333333333333</v>
      </c>
      <c r="AM17" s="32">
        <f t="shared" ca="1" si="35"/>
        <v>1.3333333333333333</v>
      </c>
      <c r="AO17" s="20">
        <f>Tools!$AD16</f>
        <v>11</v>
      </c>
      <c r="AP17" s="33" t="str">
        <f t="shared" si="36"/>
        <v xml:space="preserve">  </v>
      </c>
      <c r="AQ17" s="34" t="str">
        <f t="shared" ca="1" si="18"/>
        <v>4/3</v>
      </c>
      <c r="AR17" s="23" t="str">
        <f t="shared" ca="1" si="19"/>
        <v xml:space="preserve">  </v>
      </c>
      <c r="AS17" s="24">
        <f t="shared" si="20"/>
        <v>1</v>
      </c>
      <c r="AT17" s="23" t="str">
        <f t="shared" ca="1" si="37"/>
        <v xml:space="preserve">  </v>
      </c>
      <c r="AU17" s="23" t="str">
        <f t="shared" ca="1" si="40"/>
        <v xml:space="preserve">  </v>
      </c>
      <c r="AV17" s="23" t="str">
        <f t="shared" si="21"/>
        <v xml:space="preserve">  </v>
      </c>
      <c r="AW17" s="23" t="str">
        <f t="shared" ca="1" si="22"/>
        <v xml:space="preserve">  </v>
      </c>
      <c r="AY17" s="35" t="str">
        <f t="shared" si="23"/>
        <v xml:space="preserve"> </v>
      </c>
      <c r="AZ17" s="23" t="str">
        <f t="shared" ca="1" si="41"/>
        <v xml:space="preserve">  </v>
      </c>
      <c r="BA17" s="36" t="str">
        <f t="shared" si="25"/>
        <v xml:space="preserve"> </v>
      </c>
      <c r="BB17" s="27" t="str">
        <f t="shared" ca="1" si="38"/>
        <v xml:space="preserve">  </v>
      </c>
      <c r="BC17" s="23" t="str">
        <f t="shared" ca="1" si="39"/>
        <v xml:space="preserve">  </v>
      </c>
      <c r="BE17" s="50" t="s">
        <v>47</v>
      </c>
      <c r="BF17" s="48" t="s">
        <v>48</v>
      </c>
      <c r="BG17" s="49" t="str">
        <f>IF(WL_No="  ","  ",IL-AWP*(LCF^2))</f>
        <v xml:space="preserve">  </v>
      </c>
    </row>
    <row r="18" spans="1:59" x14ac:dyDescent="0.25">
      <c r="A18" s="20">
        <f>Tools!$AD17</f>
        <v>12</v>
      </c>
      <c r="B18" s="33" t="str">
        <f t="shared" si="0"/>
        <v xml:space="preserve">  </v>
      </c>
      <c r="C18" s="22">
        <f>IF(A18="  ","  ",IF(AND(A17="  ",A19="  "),"?",IF(A17="  ",1*(A19-A18),IF(A19="  ",1*(A18-A17),1*(A19-A17)))))</f>
        <v>2</v>
      </c>
      <c r="D18" s="23" t="str">
        <f t="shared" si="26"/>
        <v xml:space="preserve">  </v>
      </c>
      <c r="E18" s="24">
        <f t="shared" si="1"/>
        <v>2</v>
      </c>
      <c r="F18" s="23" t="str">
        <f t="shared" si="27"/>
        <v xml:space="preserve">  </v>
      </c>
      <c r="G18" s="23" t="str">
        <f t="shared" si="28"/>
        <v xml:space="preserve">  </v>
      </c>
      <c r="H18" s="23" t="str">
        <f t="shared" si="29"/>
        <v xml:space="preserve">  </v>
      </c>
      <c r="I18" s="23" t="str">
        <f t="shared" si="30"/>
        <v xml:space="preserve">  </v>
      </c>
      <c r="J18" s="4"/>
      <c r="K18" s="37" t="str">
        <f t="shared" si="2"/>
        <v xml:space="preserve"> </v>
      </c>
      <c r="L18" s="23" t="str">
        <f t="shared" si="31"/>
        <v xml:space="preserve">  </v>
      </c>
      <c r="M18" s="38" t="str">
        <f t="shared" si="3"/>
        <v xml:space="preserve"> </v>
      </c>
      <c r="N18" s="27" t="str">
        <f t="shared" si="32"/>
        <v xml:space="preserve">  </v>
      </c>
      <c r="O18" s="23" t="str">
        <f t="shared" si="33"/>
        <v xml:space="preserve">  </v>
      </c>
      <c r="P18" s="4"/>
      <c r="Q18" s="50" t="s">
        <v>52</v>
      </c>
      <c r="R18" s="48" t="s">
        <v>53</v>
      </c>
      <c r="S18" t="str">
        <f>IF(Tools!$L$49="Use 141 rule only",I42,IF(Tools!$L$49="Use 141 and 1331 rules",BG19," "))</f>
        <v xml:space="preserve">  </v>
      </c>
      <c r="W18" s="29">
        <f>IF(AO18="  ","  ",IF(AND(AO17="  ",AO19="  "),"?",IF(AO17="  ",1*(AO19-AO18),IF(AO19="  ",1*(AO18-AO17),1*(AO19-AO17)))))</f>
        <v>2</v>
      </c>
      <c r="X18" s="30" t="str">
        <f t="shared" si="4"/>
        <v>WW</v>
      </c>
      <c r="Y18" s="30" t="str">
        <f t="shared" si="5"/>
        <v>-</v>
      </c>
      <c r="Z18" s="29" t="b">
        <f t="shared" si="6"/>
        <v>0</v>
      </c>
      <c r="AA18" s="29" t="b">
        <f t="shared" si="7"/>
        <v>0</v>
      </c>
      <c r="AB18" s="29" t="str">
        <f t="shared" ca="1" si="8"/>
        <v>++</v>
      </c>
      <c r="AC18" s="29">
        <f t="shared" si="34"/>
        <v>11</v>
      </c>
      <c r="AD18" s="29">
        <f t="shared" ca="1" si="9"/>
        <v>11</v>
      </c>
      <c r="AE18" s="29">
        <v>15</v>
      </c>
      <c r="AF18" s="31">
        <f t="shared" si="42"/>
        <v>11</v>
      </c>
      <c r="AG18" s="29" t="b">
        <f t="shared" si="11"/>
        <v>1</v>
      </c>
      <c r="AH18" s="30" t="str">
        <f t="shared" ca="1" si="43"/>
        <v>141-2</v>
      </c>
      <c r="AI18" s="30" t="str">
        <f t="shared" ca="1" si="13"/>
        <v/>
      </c>
      <c r="AJ18" s="29">
        <f t="shared" ca="1" si="14"/>
        <v>0</v>
      </c>
      <c r="AK18" s="29" t="str">
        <f t="shared" ca="1" si="15"/>
        <v>2/3</v>
      </c>
      <c r="AL18" s="29">
        <f t="shared" ca="1" si="16"/>
        <v>0.66666666666666663</v>
      </c>
      <c r="AM18" s="32">
        <f t="shared" ca="1" si="35"/>
        <v>0.66666666666666663</v>
      </c>
      <c r="AO18" s="20">
        <f>Tools!$AD17</f>
        <v>12</v>
      </c>
      <c r="AP18" s="33" t="str">
        <f t="shared" si="36"/>
        <v xml:space="preserve">  </v>
      </c>
      <c r="AQ18" s="34" t="str">
        <f t="shared" ca="1" si="18"/>
        <v>2/3</v>
      </c>
      <c r="AR18" s="23" t="str">
        <f t="shared" ca="1" si="19"/>
        <v xml:space="preserve">  </v>
      </c>
      <c r="AS18" s="24">
        <f t="shared" si="20"/>
        <v>2</v>
      </c>
      <c r="AT18" s="23" t="str">
        <f t="shared" ca="1" si="37"/>
        <v xml:space="preserve">  </v>
      </c>
      <c r="AU18" s="23" t="str">
        <f t="shared" ca="1" si="40"/>
        <v xml:space="preserve">  </v>
      </c>
      <c r="AV18" s="23" t="str">
        <f t="shared" si="21"/>
        <v xml:space="preserve">  </v>
      </c>
      <c r="AW18" s="23" t="str">
        <f t="shared" ca="1" si="22"/>
        <v xml:space="preserve">  </v>
      </c>
      <c r="AY18" s="35" t="str">
        <f t="shared" si="23"/>
        <v xml:space="preserve"> </v>
      </c>
      <c r="AZ18" s="23" t="str">
        <f t="shared" ca="1" si="41"/>
        <v xml:space="preserve">  </v>
      </c>
      <c r="BA18" s="36" t="str">
        <f t="shared" si="25"/>
        <v xml:space="preserve"> </v>
      </c>
      <c r="BB18" s="27" t="str">
        <f t="shared" ca="1" si="38"/>
        <v xml:space="preserve">  </v>
      </c>
      <c r="BC18" s="23" t="str">
        <f t="shared" ca="1" si="39"/>
        <v xml:space="preserve">  </v>
      </c>
      <c r="BE18" s="50" t="s">
        <v>50</v>
      </c>
      <c r="BF18" s="48" t="s">
        <v>54</v>
      </c>
      <c r="BG18" s="49" t="str">
        <f>IF(WL_No="  ","  ",h*$AZ$29)</f>
        <v xml:space="preserve">  </v>
      </c>
    </row>
    <row r="19" spans="1:59" x14ac:dyDescent="0.25">
      <c r="A19" s="20">
        <f>Tools!$AD18</f>
        <v>13</v>
      </c>
      <c r="B19" s="33" t="str">
        <f t="shared" si="0"/>
        <v xml:space="preserve">  </v>
      </c>
      <c r="C19" s="22">
        <f>IF(A19="  ","  ",IF(AND(A18="  ",A20="  "),"?",IF(A18="  ",2*(A20-A19),IF(A20="  ",2*(A19-A18),2*(A20-A18)))))</f>
        <v>4</v>
      </c>
      <c r="D19" s="23" t="str">
        <f t="shared" si="26"/>
        <v xml:space="preserve">  </v>
      </c>
      <c r="E19" s="24">
        <f t="shared" si="1"/>
        <v>3</v>
      </c>
      <c r="F19" s="23" t="str">
        <f t="shared" si="27"/>
        <v xml:space="preserve">  </v>
      </c>
      <c r="G19" s="23" t="str">
        <f t="shared" si="28"/>
        <v xml:space="preserve">  </v>
      </c>
      <c r="H19" s="23" t="str">
        <f t="shared" si="29"/>
        <v xml:space="preserve">  </v>
      </c>
      <c r="I19" s="23" t="str">
        <f t="shared" si="30"/>
        <v xml:space="preserve">  </v>
      </c>
      <c r="J19" s="4"/>
      <c r="K19" s="37" t="str">
        <f t="shared" si="2"/>
        <v xml:space="preserve"> </v>
      </c>
      <c r="L19" s="23" t="str">
        <f t="shared" si="31"/>
        <v xml:space="preserve">  </v>
      </c>
      <c r="M19" s="38" t="str">
        <f t="shared" si="3"/>
        <v xml:space="preserve"> </v>
      </c>
      <c r="N19" s="27" t="str">
        <f t="shared" si="32"/>
        <v xml:space="preserve">  </v>
      </c>
      <c r="O19" s="23" t="str">
        <f t="shared" si="33"/>
        <v xml:space="preserve">  </v>
      </c>
      <c r="P19" s="4"/>
      <c r="Q19" s="50" t="s">
        <v>55</v>
      </c>
      <c r="R19" s="48" t="s">
        <v>56</v>
      </c>
      <c r="S19" t="str">
        <f>IF(Tools!$L$49="Use 141 rule only",I43,IF(Tools!$L$49="Use 141 and 1331 rules",BG20," "))</f>
        <v xml:space="preserve">  </v>
      </c>
      <c r="W19" s="29">
        <f>IF(AO19="  ","  ",IF(AND(AO18="  ",AO20="  "),"?",IF(AO18="  ",2*(AO20-AO19),IF(AO20="  ",2*(AO19-AO18),2*(AO20-AO18)))))</f>
        <v>4</v>
      </c>
      <c r="X19" s="30" t="str">
        <f t="shared" si="4"/>
        <v>WW</v>
      </c>
      <c r="Y19" s="30" t="str">
        <f t="shared" si="5"/>
        <v>-</v>
      </c>
      <c r="Z19" s="29" t="b">
        <f t="shared" si="6"/>
        <v>0</v>
      </c>
      <c r="AA19" s="29" t="b">
        <f t="shared" si="7"/>
        <v>0</v>
      </c>
      <c r="AB19" s="29" t="str">
        <f t="shared" ca="1" si="8"/>
        <v>++</v>
      </c>
      <c r="AC19" s="29">
        <f t="shared" si="34"/>
        <v>10</v>
      </c>
      <c r="AD19" s="29">
        <f t="shared" ca="1" si="9"/>
        <v>10</v>
      </c>
      <c r="AE19" s="29">
        <v>16</v>
      </c>
      <c r="AF19" s="31">
        <f t="shared" si="42"/>
        <v>12</v>
      </c>
      <c r="AG19" s="29" t="b">
        <f t="shared" si="11"/>
        <v>1</v>
      </c>
      <c r="AH19" s="30" t="str">
        <f t="shared" ca="1" si="43"/>
        <v>141-4</v>
      </c>
      <c r="AI19" s="30" t="str">
        <f t="shared" ca="1" si="13"/>
        <v/>
      </c>
      <c r="AJ19" s="29">
        <f t="shared" ca="1" si="14"/>
        <v>0</v>
      </c>
      <c r="AK19" s="29" t="str">
        <f t="shared" ca="1" si="15"/>
        <v>4/3</v>
      </c>
      <c r="AL19" s="29">
        <f t="shared" ca="1" si="16"/>
        <v>1.3333333333333333</v>
      </c>
      <c r="AM19" s="32">
        <f t="shared" ca="1" si="35"/>
        <v>1.3333333333333333</v>
      </c>
      <c r="AO19" s="20">
        <f>Tools!$AD18</f>
        <v>13</v>
      </c>
      <c r="AP19" s="33" t="str">
        <f t="shared" si="36"/>
        <v xml:space="preserve">  </v>
      </c>
      <c r="AQ19" s="34" t="str">
        <f t="shared" ca="1" si="18"/>
        <v>4/3</v>
      </c>
      <c r="AR19" s="23" t="str">
        <f t="shared" ca="1" si="19"/>
        <v xml:space="preserve">  </v>
      </c>
      <c r="AS19" s="24">
        <f t="shared" si="20"/>
        <v>3</v>
      </c>
      <c r="AT19" s="23" t="str">
        <f t="shared" ca="1" si="37"/>
        <v xml:space="preserve">  </v>
      </c>
      <c r="AU19" s="23" t="str">
        <f t="shared" ca="1" si="40"/>
        <v xml:space="preserve">  </v>
      </c>
      <c r="AV19" s="23" t="str">
        <f t="shared" si="21"/>
        <v xml:space="preserve">  </v>
      </c>
      <c r="AW19" s="23" t="str">
        <f t="shared" ca="1" si="22"/>
        <v xml:space="preserve">  </v>
      </c>
      <c r="AY19" s="35" t="str">
        <f t="shared" si="23"/>
        <v xml:space="preserve"> </v>
      </c>
      <c r="AZ19" s="23" t="str">
        <f t="shared" ca="1" si="41"/>
        <v xml:space="preserve">  </v>
      </c>
      <c r="BA19" s="36" t="str">
        <f t="shared" si="25"/>
        <v xml:space="preserve"> </v>
      </c>
      <c r="BB19" s="27" t="str">
        <f t="shared" ca="1" si="38"/>
        <v xml:space="preserve">  </v>
      </c>
      <c r="BC19" s="23" t="str">
        <f t="shared" ca="1" si="39"/>
        <v xml:space="preserve">  </v>
      </c>
      <c r="BE19" s="50" t="s">
        <v>52</v>
      </c>
      <c r="BF19" s="48" t="s">
        <v>53</v>
      </c>
      <c r="BG19" s="49" t="str">
        <f>IF(WL_No="  ","  ",V_Disp*1.025*1.006)</f>
        <v xml:space="preserve">  </v>
      </c>
    </row>
    <row r="20" spans="1:59" x14ac:dyDescent="0.25">
      <c r="A20" s="20">
        <f>Tools!$AD19</f>
        <v>14</v>
      </c>
      <c r="B20" s="33" t="str">
        <f t="shared" si="0"/>
        <v xml:space="preserve">  </v>
      </c>
      <c r="C20" s="22">
        <f>IF(A20="  ","  ",IF(AND(A19="  ",A21="  "),"?",IF(A19="  ",1*(A21-A20),IF(A21="  ",1*(A20-A19),1*(A21-A19)))))</f>
        <v>2</v>
      </c>
      <c r="D20" s="23" t="str">
        <f t="shared" si="26"/>
        <v xml:space="preserve">  </v>
      </c>
      <c r="E20" s="24">
        <f t="shared" si="1"/>
        <v>4</v>
      </c>
      <c r="F20" s="23" t="str">
        <f t="shared" si="27"/>
        <v xml:space="preserve">  </v>
      </c>
      <c r="G20" s="23" t="str">
        <f t="shared" si="28"/>
        <v xml:space="preserve">  </v>
      </c>
      <c r="H20" s="23" t="str">
        <f t="shared" si="29"/>
        <v xml:space="preserve">  </v>
      </c>
      <c r="I20" s="23" t="str">
        <f t="shared" si="30"/>
        <v xml:space="preserve">  </v>
      </c>
      <c r="J20" s="4"/>
      <c r="K20" s="37" t="str">
        <f t="shared" si="2"/>
        <v xml:space="preserve"> </v>
      </c>
      <c r="L20" s="23" t="str">
        <f t="shared" si="31"/>
        <v xml:space="preserve">  </v>
      </c>
      <c r="M20" s="38" t="str">
        <f t="shared" si="3"/>
        <v xml:space="preserve"> </v>
      </c>
      <c r="N20" s="27" t="str">
        <f t="shared" si="32"/>
        <v xml:space="preserve">  </v>
      </c>
      <c r="O20" s="23" t="str">
        <f t="shared" si="33"/>
        <v xml:space="preserve">  </v>
      </c>
      <c r="P20" s="4"/>
      <c r="Q20" s="50" t="s">
        <v>57</v>
      </c>
      <c r="R20" s="48" t="s">
        <v>58</v>
      </c>
      <c r="S20" t="str">
        <f>IF(Tools!$L$49="Use 141 rule only",I44,IF(Tools!$L$49="Use 141 and 1331 rules",BG21," "))</f>
        <v xml:space="preserve">  </v>
      </c>
      <c r="W20" s="29">
        <f>IF(AO20="  ","  ",IF(AND(AO19="  ",AO21="  "),"?",IF(AO19="  ",1*(AO21-AO20),IF(AO21="  ",1*(AO20-AO19),1*(AO21-AO19)))))</f>
        <v>2</v>
      </c>
      <c r="X20" s="30" t="str">
        <f t="shared" si="4"/>
        <v>WW</v>
      </c>
      <c r="Y20" s="30" t="str">
        <f t="shared" si="5"/>
        <v>-</v>
      </c>
      <c r="Z20" s="29" t="b">
        <f t="shared" si="6"/>
        <v>0</v>
      </c>
      <c r="AA20" s="29" t="b">
        <f t="shared" si="7"/>
        <v>0</v>
      </c>
      <c r="AB20" s="29" t="str">
        <f t="shared" ca="1" si="8"/>
        <v>++</v>
      </c>
      <c r="AC20" s="29">
        <f t="shared" si="34"/>
        <v>9</v>
      </c>
      <c r="AD20" s="29">
        <f t="shared" ca="1" si="9"/>
        <v>9</v>
      </c>
      <c r="AE20" s="29">
        <v>17</v>
      </c>
      <c r="AF20" s="31">
        <f t="shared" si="42"/>
        <v>13</v>
      </c>
      <c r="AG20" s="29" t="b">
        <f t="shared" si="11"/>
        <v>1</v>
      </c>
      <c r="AH20" s="30" t="str">
        <f t="shared" ca="1" si="43"/>
        <v>141-2</v>
      </c>
      <c r="AI20" s="30" t="str">
        <f t="shared" ca="1" si="13"/>
        <v/>
      </c>
      <c r="AJ20" s="29">
        <f t="shared" ca="1" si="14"/>
        <v>0</v>
      </c>
      <c r="AK20" s="29" t="str">
        <f t="shared" ca="1" si="15"/>
        <v>2/3</v>
      </c>
      <c r="AL20" s="29">
        <f t="shared" ca="1" si="16"/>
        <v>0.66666666666666663</v>
      </c>
      <c r="AM20" s="32">
        <f t="shared" ca="1" si="35"/>
        <v>0.66666666666666663</v>
      </c>
      <c r="AO20" s="20">
        <f>Tools!$AD19</f>
        <v>14</v>
      </c>
      <c r="AP20" s="33" t="str">
        <f t="shared" si="36"/>
        <v xml:space="preserve">  </v>
      </c>
      <c r="AQ20" s="34" t="str">
        <f t="shared" ca="1" si="18"/>
        <v>2/3</v>
      </c>
      <c r="AR20" s="23" t="str">
        <f t="shared" ca="1" si="19"/>
        <v xml:space="preserve">  </v>
      </c>
      <c r="AS20" s="24">
        <f t="shared" si="20"/>
        <v>4</v>
      </c>
      <c r="AT20" s="23" t="str">
        <f t="shared" ca="1" si="37"/>
        <v xml:space="preserve">  </v>
      </c>
      <c r="AU20" s="23" t="str">
        <f t="shared" ca="1" si="40"/>
        <v xml:space="preserve">  </v>
      </c>
      <c r="AV20" s="23" t="str">
        <f t="shared" si="21"/>
        <v xml:space="preserve">  </v>
      </c>
      <c r="AW20" s="23" t="str">
        <f t="shared" ca="1" si="22"/>
        <v xml:space="preserve">  </v>
      </c>
      <c r="AY20" s="35" t="str">
        <f t="shared" si="23"/>
        <v xml:space="preserve"> </v>
      </c>
      <c r="AZ20" s="23" t="str">
        <f t="shared" ca="1" si="41"/>
        <v xml:space="preserve">  </v>
      </c>
      <c r="BA20" s="36" t="str">
        <f t="shared" si="25"/>
        <v xml:space="preserve"> </v>
      </c>
      <c r="BB20" s="27" t="str">
        <f t="shared" ca="1" si="38"/>
        <v xml:space="preserve">  </v>
      </c>
      <c r="BC20" s="23" t="str">
        <f t="shared" ca="1" si="39"/>
        <v xml:space="preserve">  </v>
      </c>
      <c r="BE20" s="50" t="s">
        <v>55</v>
      </c>
      <c r="BF20" s="48" t="s">
        <v>59</v>
      </c>
      <c r="BG20" s="49" t="str">
        <f>IF(WL_No="  ","  ",h*$BB$29)</f>
        <v xml:space="preserve">  </v>
      </c>
    </row>
    <row r="21" spans="1:59" x14ac:dyDescent="0.25">
      <c r="A21" s="20">
        <f>Tools!$AD20</f>
        <v>15</v>
      </c>
      <c r="B21" s="33" t="str">
        <f t="shared" si="0"/>
        <v xml:space="preserve">  </v>
      </c>
      <c r="C21" s="22">
        <f>IF(A21="  ","  ",IF(AND(A20="  ",A22="  "),"?",IF(A20="  ",2*(A22-A21),IF(A22="  ",2*(A21-A20),2*(A22-A20)))))</f>
        <v>4</v>
      </c>
      <c r="D21" s="23" t="str">
        <f t="shared" si="26"/>
        <v xml:space="preserve">  </v>
      </c>
      <c r="E21" s="24">
        <f t="shared" si="1"/>
        <v>5</v>
      </c>
      <c r="F21" s="23" t="str">
        <f t="shared" si="27"/>
        <v xml:space="preserve">  </v>
      </c>
      <c r="G21" s="23" t="str">
        <f t="shared" si="28"/>
        <v xml:space="preserve">  </v>
      </c>
      <c r="H21" s="23" t="str">
        <f t="shared" si="29"/>
        <v xml:space="preserve">  </v>
      </c>
      <c r="I21" s="23" t="str">
        <f t="shared" si="30"/>
        <v xml:space="preserve">  </v>
      </c>
      <c r="J21" s="4"/>
      <c r="K21" s="37" t="str">
        <f t="shared" si="2"/>
        <v xml:space="preserve"> </v>
      </c>
      <c r="L21" s="23" t="str">
        <f t="shared" si="31"/>
        <v xml:space="preserve">  </v>
      </c>
      <c r="M21" s="38" t="str">
        <f t="shared" si="3"/>
        <v xml:space="preserve"> </v>
      </c>
      <c r="N21" s="27" t="str">
        <f t="shared" si="32"/>
        <v xml:space="preserve">  </v>
      </c>
      <c r="O21" s="23" t="str">
        <f t="shared" si="33"/>
        <v xml:space="preserve">  </v>
      </c>
      <c r="P21" s="4"/>
      <c r="Q21" s="50" t="s">
        <v>60</v>
      </c>
      <c r="R21" s="48" t="s">
        <v>61</v>
      </c>
      <c r="S21" t="str">
        <f>IF(Tools!$L$49="Use 141 rule only",I45,IF(Tools!$L$49="Use 141 and 1331 rules",BG22," "))</f>
        <v xml:space="preserve">  </v>
      </c>
      <c r="W21" s="29">
        <f>IF(AO21="  ","  ",IF(AND(AO20="  ",AO22="  "),"?",IF(AO20="  ",2*(AO22-AO21),IF(AO22="  ",2*(AO21-AO20),2*(AO22-AO20)))))</f>
        <v>4</v>
      </c>
      <c r="X21" s="30" t="str">
        <f t="shared" si="4"/>
        <v>WW</v>
      </c>
      <c r="Y21" s="30" t="str">
        <f t="shared" si="5"/>
        <v>-</v>
      </c>
      <c r="Z21" s="29" t="b">
        <f t="shared" si="6"/>
        <v>0</v>
      </c>
      <c r="AA21" s="29" t="b">
        <f t="shared" si="7"/>
        <v>0</v>
      </c>
      <c r="AB21" s="29" t="str">
        <f t="shared" ca="1" si="8"/>
        <v>++</v>
      </c>
      <c r="AC21" s="29">
        <f t="shared" si="34"/>
        <v>8</v>
      </c>
      <c r="AD21" s="29">
        <f t="shared" ca="1" si="9"/>
        <v>8</v>
      </c>
      <c r="AE21" s="29">
        <v>18</v>
      </c>
      <c r="AF21" s="31">
        <f t="shared" si="42"/>
        <v>14</v>
      </c>
      <c r="AG21" s="29" t="b">
        <f t="shared" si="11"/>
        <v>1</v>
      </c>
      <c r="AH21" s="30" t="str">
        <f t="shared" ca="1" si="43"/>
        <v>141-4</v>
      </c>
      <c r="AI21" s="30" t="str">
        <f t="shared" ca="1" si="13"/>
        <v/>
      </c>
      <c r="AJ21" s="29">
        <f t="shared" ca="1" si="14"/>
        <v>0</v>
      </c>
      <c r="AK21" s="29" t="str">
        <f t="shared" ca="1" si="15"/>
        <v>4/3</v>
      </c>
      <c r="AL21" s="29">
        <f t="shared" ca="1" si="16"/>
        <v>1.3333333333333333</v>
      </c>
      <c r="AM21" s="32">
        <f t="shared" ca="1" si="35"/>
        <v>1.3333333333333333</v>
      </c>
      <c r="AO21" s="20">
        <f>Tools!$AD20</f>
        <v>15</v>
      </c>
      <c r="AP21" s="33" t="str">
        <f t="shared" si="36"/>
        <v xml:space="preserve">  </v>
      </c>
      <c r="AQ21" s="34" t="str">
        <f t="shared" ca="1" si="18"/>
        <v>4/3</v>
      </c>
      <c r="AR21" s="23" t="str">
        <f t="shared" ca="1" si="19"/>
        <v xml:space="preserve">  </v>
      </c>
      <c r="AS21" s="24">
        <f t="shared" si="20"/>
        <v>5</v>
      </c>
      <c r="AT21" s="23" t="str">
        <f t="shared" ca="1" si="37"/>
        <v xml:space="preserve">  </v>
      </c>
      <c r="AU21" s="23" t="str">
        <f t="shared" ca="1" si="40"/>
        <v xml:space="preserve">  </v>
      </c>
      <c r="AV21" s="23" t="str">
        <f t="shared" si="21"/>
        <v xml:space="preserve">  </v>
      </c>
      <c r="AW21" s="23" t="str">
        <f t="shared" ca="1" si="22"/>
        <v xml:space="preserve">  </v>
      </c>
      <c r="AY21" s="35" t="str">
        <f t="shared" si="23"/>
        <v xml:space="preserve"> </v>
      </c>
      <c r="AZ21" s="23" t="str">
        <f t="shared" ca="1" si="41"/>
        <v xml:space="preserve">  </v>
      </c>
      <c r="BA21" s="36" t="str">
        <f t="shared" si="25"/>
        <v xml:space="preserve"> </v>
      </c>
      <c r="BB21" s="27" t="str">
        <f t="shared" ca="1" si="38"/>
        <v xml:space="preserve">  </v>
      </c>
      <c r="BC21" s="23" t="str">
        <f t="shared" ca="1" si="39"/>
        <v xml:space="preserve">  </v>
      </c>
      <c r="BE21" s="50" t="s">
        <v>57</v>
      </c>
      <c r="BF21" s="48" t="s">
        <v>62</v>
      </c>
      <c r="BG21" s="49" t="str">
        <f>IF(WL_No="  ","  ",(h^2)*$BC$29)</f>
        <v xml:space="preserve">  </v>
      </c>
    </row>
    <row r="22" spans="1:59" x14ac:dyDescent="0.25">
      <c r="A22" s="20">
        <f>Tools!$AD21</f>
        <v>16</v>
      </c>
      <c r="B22" s="33" t="str">
        <f t="shared" si="0"/>
        <v xml:space="preserve">  </v>
      </c>
      <c r="C22" s="22">
        <f>IF(A22="  ","  ",IF(AND(A21="  ",A23="  "),"?",IF(A21="  ",1*(A23-A22),IF(A23="  ",1*(A22-A21),1*(A23-A21)))))</f>
        <v>2</v>
      </c>
      <c r="D22" s="23" t="str">
        <f t="shared" si="26"/>
        <v xml:space="preserve">  </v>
      </c>
      <c r="E22" s="24">
        <f t="shared" si="1"/>
        <v>6</v>
      </c>
      <c r="F22" s="23" t="str">
        <f t="shared" si="27"/>
        <v xml:space="preserve">  </v>
      </c>
      <c r="G22" s="23" t="str">
        <f t="shared" si="28"/>
        <v xml:space="preserve">  </v>
      </c>
      <c r="H22" s="23" t="str">
        <f t="shared" si="29"/>
        <v xml:space="preserve">  </v>
      </c>
      <c r="I22" s="23" t="str">
        <f t="shared" si="30"/>
        <v xml:space="preserve">  </v>
      </c>
      <c r="J22" s="4"/>
      <c r="K22" s="37" t="str">
        <f t="shared" si="2"/>
        <v xml:space="preserve"> </v>
      </c>
      <c r="L22" s="23" t="str">
        <f t="shared" si="31"/>
        <v xml:space="preserve">  </v>
      </c>
      <c r="M22" s="38" t="str">
        <f t="shared" si="3"/>
        <v xml:space="preserve"> </v>
      </c>
      <c r="N22" s="27" t="str">
        <f t="shared" si="32"/>
        <v xml:space="preserve">  </v>
      </c>
      <c r="O22" s="23" t="str">
        <f t="shared" si="33"/>
        <v xml:space="preserve">  </v>
      </c>
      <c r="P22" s="4"/>
      <c r="Q22" s="50" t="s">
        <v>63</v>
      </c>
      <c r="R22" s="48" t="s">
        <v>64</v>
      </c>
      <c r="S22" t="str">
        <f>IF(Tools!$L$49="Use 141 rule only",I46,IF(Tools!$L$49="Use 141 and 1331 rules",BG23," "))</f>
        <v xml:space="preserve">  </v>
      </c>
      <c r="W22" s="29">
        <f>IF(AO22="  ","  ",IF(AND(AO21="  ",AO23="  "),"?",IF(AO21="  ",1*(AO23-AO22),IF(AO23="  ",1*(AO22-AO21),1*(AO23-AO21)))))</f>
        <v>2</v>
      </c>
      <c r="X22" s="30" t="str">
        <f t="shared" si="4"/>
        <v>WW</v>
      </c>
      <c r="Y22" s="30" t="str">
        <f t="shared" si="5"/>
        <v>-</v>
      </c>
      <c r="Z22" s="29" t="b">
        <f t="shared" si="6"/>
        <v>0</v>
      </c>
      <c r="AA22" s="29" t="b">
        <f t="shared" si="7"/>
        <v>0</v>
      </c>
      <c r="AB22" s="29" t="str">
        <f t="shared" ca="1" si="8"/>
        <v>++</v>
      </c>
      <c r="AC22" s="29">
        <f t="shared" si="34"/>
        <v>7</v>
      </c>
      <c r="AD22" s="29">
        <f t="shared" ca="1" si="9"/>
        <v>7</v>
      </c>
      <c r="AE22" s="29">
        <v>19</v>
      </c>
      <c r="AF22" s="31">
        <f t="shared" si="42"/>
        <v>15</v>
      </c>
      <c r="AG22" s="29" t="b">
        <f t="shared" si="11"/>
        <v>1</v>
      </c>
      <c r="AH22" s="30" t="str">
        <f t="shared" ca="1" si="43"/>
        <v>141-2</v>
      </c>
      <c r="AI22" s="30" t="str">
        <f t="shared" ca="1" si="13"/>
        <v/>
      </c>
      <c r="AJ22" s="29">
        <f t="shared" ca="1" si="14"/>
        <v>0</v>
      </c>
      <c r="AK22" s="29" t="str">
        <f t="shared" ca="1" si="15"/>
        <v>2/3</v>
      </c>
      <c r="AL22" s="29">
        <f t="shared" ca="1" si="16"/>
        <v>0.66666666666666663</v>
      </c>
      <c r="AM22" s="32">
        <f t="shared" ca="1" si="35"/>
        <v>0.66666666666666663</v>
      </c>
      <c r="AO22" s="20">
        <f>Tools!$AD21</f>
        <v>16</v>
      </c>
      <c r="AP22" s="33" t="str">
        <f t="shared" si="36"/>
        <v xml:space="preserve">  </v>
      </c>
      <c r="AQ22" s="34" t="str">
        <f t="shared" ca="1" si="18"/>
        <v>2/3</v>
      </c>
      <c r="AR22" s="23" t="str">
        <f t="shared" ca="1" si="19"/>
        <v xml:space="preserve">  </v>
      </c>
      <c r="AS22" s="24">
        <f t="shared" si="20"/>
        <v>6</v>
      </c>
      <c r="AT22" s="23" t="str">
        <f t="shared" ca="1" si="37"/>
        <v xml:space="preserve">  </v>
      </c>
      <c r="AU22" s="23" t="str">
        <f t="shared" ca="1" si="40"/>
        <v xml:space="preserve">  </v>
      </c>
      <c r="AV22" s="23" t="str">
        <f t="shared" si="21"/>
        <v xml:space="preserve">  </v>
      </c>
      <c r="AW22" s="23" t="str">
        <f t="shared" ca="1" si="22"/>
        <v xml:space="preserve">  </v>
      </c>
      <c r="AY22" s="35" t="str">
        <f t="shared" si="23"/>
        <v xml:space="preserve"> </v>
      </c>
      <c r="AZ22" s="23" t="str">
        <f t="shared" ca="1" si="41"/>
        <v xml:space="preserve">  </v>
      </c>
      <c r="BA22" s="36" t="str">
        <f t="shared" si="25"/>
        <v xml:space="preserve"> </v>
      </c>
      <c r="BB22" s="27" t="str">
        <f t="shared" ca="1" si="38"/>
        <v xml:space="preserve">  </v>
      </c>
      <c r="BC22" s="23" t="str">
        <f t="shared" ca="1" si="39"/>
        <v xml:space="preserve">  </v>
      </c>
      <c r="BE22" s="50" t="s">
        <v>60</v>
      </c>
      <c r="BF22" s="48" t="s">
        <v>61</v>
      </c>
      <c r="BG22" s="49" t="str">
        <f>IF(WL_No="  ","  ",IF/V_Disp)</f>
        <v xml:space="preserve">  </v>
      </c>
    </row>
    <row r="23" spans="1:59" x14ac:dyDescent="0.25">
      <c r="A23" s="20">
        <f>Tools!$AD22</f>
        <v>17</v>
      </c>
      <c r="B23" s="33" t="str">
        <f t="shared" si="0"/>
        <v xml:space="preserve">  </v>
      </c>
      <c r="C23" s="22">
        <f>IF(A23="  ","  ",IF(AND(A22="  ",A24="  "),"?",IF(A22="  ",2*(A24-A23),IF(A24="  ",2*(A23-A22),2*(A24-A22)))))</f>
        <v>4</v>
      </c>
      <c r="D23" s="23" t="str">
        <f t="shared" si="26"/>
        <v xml:space="preserve">  </v>
      </c>
      <c r="E23" s="24">
        <f t="shared" si="1"/>
        <v>7</v>
      </c>
      <c r="F23" s="23" t="str">
        <f t="shared" si="27"/>
        <v xml:space="preserve">  </v>
      </c>
      <c r="G23" s="23" t="str">
        <f t="shared" si="28"/>
        <v xml:space="preserve">  </v>
      </c>
      <c r="H23" s="23" t="str">
        <f t="shared" si="29"/>
        <v xml:space="preserve">  </v>
      </c>
      <c r="I23" s="23" t="str">
        <f t="shared" si="30"/>
        <v xml:space="preserve">  </v>
      </c>
      <c r="J23" s="4"/>
      <c r="K23" s="37" t="str">
        <f t="shared" si="2"/>
        <v xml:space="preserve"> </v>
      </c>
      <c r="L23" s="23" t="str">
        <f t="shared" si="31"/>
        <v xml:space="preserve">  </v>
      </c>
      <c r="M23" s="38" t="str">
        <f t="shared" si="3"/>
        <v xml:space="preserve"> </v>
      </c>
      <c r="N23" s="27" t="str">
        <f t="shared" si="32"/>
        <v xml:space="preserve">  </v>
      </c>
      <c r="O23" s="23" t="str">
        <f t="shared" si="33"/>
        <v xml:space="preserve">  </v>
      </c>
      <c r="P23" s="4"/>
      <c r="Q23" s="50" t="s">
        <v>65</v>
      </c>
      <c r="R23" s="48" t="s">
        <v>66</v>
      </c>
      <c r="S23" t="str">
        <f>IF(Tools!$L$49="Use 141 rule only",I47,IF(Tools!$L$49="Use 141 and 1331 rules",BG24," "))</f>
        <v xml:space="preserve">  </v>
      </c>
      <c r="W23" s="29">
        <f>IF(AO23="  ","  ",IF(AND(AO22="  ",AO24="  "),"?",IF(AO22="  ",2*(AO24-AO23),IF(AO24="  ",2*(AO23-AO22),2*(AO24-AO22)))))</f>
        <v>4</v>
      </c>
      <c r="X23" s="30" t="str">
        <f t="shared" si="4"/>
        <v>WW</v>
      </c>
      <c r="Y23" s="30" t="str">
        <f t="shared" si="5"/>
        <v>-</v>
      </c>
      <c r="Z23" s="29" t="b">
        <f t="shared" si="6"/>
        <v>0</v>
      </c>
      <c r="AA23" s="29" t="b">
        <f t="shared" si="7"/>
        <v>0</v>
      </c>
      <c r="AB23" s="29" t="str">
        <f t="shared" ca="1" si="8"/>
        <v>++</v>
      </c>
      <c r="AC23" s="29">
        <f t="shared" si="34"/>
        <v>6</v>
      </c>
      <c r="AD23" s="29">
        <f t="shared" ca="1" si="9"/>
        <v>6</v>
      </c>
      <c r="AE23" s="29">
        <v>20</v>
      </c>
      <c r="AF23" s="31">
        <f t="shared" si="42"/>
        <v>16</v>
      </c>
      <c r="AG23" s="29" t="b">
        <f t="shared" si="11"/>
        <v>1</v>
      </c>
      <c r="AH23" s="30" t="str">
        <f t="shared" ca="1" si="43"/>
        <v>141-4</v>
      </c>
      <c r="AI23" s="30" t="str">
        <f t="shared" ca="1" si="13"/>
        <v/>
      </c>
      <c r="AJ23" s="29">
        <f t="shared" ca="1" si="14"/>
        <v>0</v>
      </c>
      <c r="AK23" s="29" t="str">
        <f t="shared" ca="1" si="15"/>
        <v>4/3</v>
      </c>
      <c r="AL23" s="29">
        <f t="shared" ca="1" si="16"/>
        <v>1.3333333333333333</v>
      </c>
      <c r="AM23" s="32">
        <f t="shared" ca="1" si="35"/>
        <v>1.3333333333333333</v>
      </c>
      <c r="AO23" s="20">
        <f>Tools!$AD22</f>
        <v>17</v>
      </c>
      <c r="AP23" s="33" t="str">
        <f t="shared" si="36"/>
        <v xml:space="preserve">  </v>
      </c>
      <c r="AQ23" s="34" t="str">
        <f t="shared" ca="1" si="18"/>
        <v>4/3</v>
      </c>
      <c r="AR23" s="23" t="str">
        <f t="shared" ca="1" si="19"/>
        <v xml:space="preserve">  </v>
      </c>
      <c r="AS23" s="24">
        <f t="shared" si="20"/>
        <v>7</v>
      </c>
      <c r="AT23" s="23" t="str">
        <f t="shared" ca="1" si="37"/>
        <v xml:space="preserve">  </v>
      </c>
      <c r="AU23" s="23" t="str">
        <f t="shared" ca="1" si="40"/>
        <v xml:space="preserve">  </v>
      </c>
      <c r="AV23" s="23" t="str">
        <f t="shared" si="21"/>
        <v xml:space="preserve">  </v>
      </c>
      <c r="AW23" s="23" t="str">
        <f t="shared" ca="1" si="22"/>
        <v xml:space="preserve">  </v>
      </c>
      <c r="AY23" s="35" t="str">
        <f t="shared" si="23"/>
        <v xml:space="preserve"> </v>
      </c>
      <c r="AZ23" s="23" t="str">
        <f t="shared" ca="1" si="41"/>
        <v xml:space="preserve">  </v>
      </c>
      <c r="BA23" s="36" t="str">
        <f t="shared" si="25"/>
        <v xml:space="preserve"> </v>
      </c>
      <c r="BB23" s="27" t="str">
        <f t="shared" ca="1" si="38"/>
        <v xml:space="preserve">  </v>
      </c>
      <c r="BC23" s="23" t="str">
        <f t="shared" ca="1" si="39"/>
        <v xml:space="preserve">  </v>
      </c>
      <c r="BE23" s="50" t="s">
        <v>63</v>
      </c>
      <c r="BF23" s="48" t="s">
        <v>64</v>
      </c>
      <c r="BG23" s="49" t="str">
        <f>IF(WL_No="  ","  ",IT/V_Disp)</f>
        <v xml:space="preserve">  </v>
      </c>
    </row>
    <row r="24" spans="1:59" x14ac:dyDescent="0.25">
      <c r="A24" s="20">
        <f>Tools!$AD23</f>
        <v>18</v>
      </c>
      <c r="B24" s="33" t="str">
        <f t="shared" si="0"/>
        <v xml:space="preserve">  </v>
      </c>
      <c r="C24" s="22">
        <f>IF(A24="  ","  ",IF(AND(A23="  ",A25="  "),"?",IF(A23="  ",1*(A25-A24),IF(A25="  ",1*(A24-A23),1*(A25-A23)))))</f>
        <v>1.5</v>
      </c>
      <c r="D24" s="23" t="str">
        <f t="shared" si="26"/>
        <v xml:space="preserve">  </v>
      </c>
      <c r="E24" s="24">
        <f t="shared" si="1"/>
        <v>8</v>
      </c>
      <c r="F24" s="23" t="str">
        <f t="shared" si="27"/>
        <v xml:space="preserve">  </v>
      </c>
      <c r="G24" s="23" t="str">
        <f t="shared" si="28"/>
        <v xml:space="preserve">  </v>
      </c>
      <c r="H24" s="23" t="str">
        <f t="shared" si="29"/>
        <v xml:space="preserve">  </v>
      </c>
      <c r="I24" s="23" t="str">
        <f t="shared" si="30"/>
        <v xml:space="preserve">  </v>
      </c>
      <c r="J24" s="4"/>
      <c r="K24" s="37" t="str">
        <f t="shared" si="2"/>
        <v xml:space="preserve"> </v>
      </c>
      <c r="L24" s="23" t="str">
        <f t="shared" si="31"/>
        <v xml:space="preserve">  </v>
      </c>
      <c r="M24" s="38" t="str">
        <f t="shared" si="3"/>
        <v xml:space="preserve"> </v>
      </c>
      <c r="N24" s="27" t="str">
        <f t="shared" si="32"/>
        <v xml:space="preserve">  </v>
      </c>
      <c r="O24" s="23" t="str">
        <f t="shared" si="33"/>
        <v xml:space="preserve">  </v>
      </c>
      <c r="P24" s="4"/>
      <c r="Q24" s="50" t="s">
        <v>67</v>
      </c>
      <c r="R24" s="48" t="s">
        <v>68</v>
      </c>
      <c r="S24" t="str">
        <f>IF(Tools!$L$49="Use 141 rule only",I48,IF(Tools!$L$49="Use 141 and 1331 rules",BG25," "))</f>
        <v xml:space="preserve">  </v>
      </c>
      <c r="W24" s="29">
        <f>IF(AO24="  ","  ",IF(AND(AO23="  ",AO25="  "),"?",IF(AO23="  ",1*(AO25-AO24),IF(AO25="  ",1*(AO24-AO23),1*(AO25-AO23)))))</f>
        <v>1.5</v>
      </c>
      <c r="X24" s="30" t="str">
        <f t="shared" si="4"/>
        <v>WD</v>
      </c>
      <c r="Y24" s="30" t="str">
        <f t="shared" si="5"/>
        <v>-</v>
      </c>
      <c r="Z24" s="29" t="b">
        <f t="shared" si="6"/>
        <v>1</v>
      </c>
      <c r="AA24" s="29" t="b">
        <f t="shared" si="7"/>
        <v>1</v>
      </c>
      <c r="AB24" s="29" t="str">
        <f t="shared" ca="1" si="8"/>
        <v>141-1</v>
      </c>
      <c r="AC24" s="29">
        <f t="shared" si="34"/>
        <v>5</v>
      </c>
      <c r="AD24" s="29">
        <f t="shared" ca="1" si="9"/>
        <v>5</v>
      </c>
      <c r="AE24" s="29">
        <v>21</v>
      </c>
      <c r="AF24" s="31">
        <f t="shared" si="42"/>
        <v>17</v>
      </c>
      <c r="AG24" s="29" t="b">
        <f t="shared" si="11"/>
        <v>1</v>
      </c>
      <c r="AH24" s="30" t="str">
        <f t="shared" ca="1" si="43"/>
        <v>141-1</v>
      </c>
      <c r="AI24" s="30" t="str">
        <f t="shared" ca="1" si="13"/>
        <v>(1/2)*(1/3)</v>
      </c>
      <c r="AJ24" s="29">
        <f t="shared" ca="1" si="14"/>
        <v>0.16666666666666666</v>
      </c>
      <c r="AK24" s="29" t="str">
        <f t="shared" ca="1" si="15"/>
        <v>1/3</v>
      </c>
      <c r="AL24" s="29">
        <f t="shared" ca="1" si="16"/>
        <v>0.33333333333333331</v>
      </c>
      <c r="AM24" s="32">
        <f t="shared" ca="1" si="35"/>
        <v>0.5</v>
      </c>
      <c r="AO24" s="20">
        <f>Tools!$AD23</f>
        <v>18</v>
      </c>
      <c r="AP24" s="33" t="str">
        <f t="shared" si="36"/>
        <v xml:space="preserve">  </v>
      </c>
      <c r="AQ24" s="34" t="str">
        <f t="shared" ca="1" si="18"/>
        <v>(1/2)*(1/3)+1/3</v>
      </c>
      <c r="AR24" s="23" t="str">
        <f t="shared" ca="1" si="19"/>
        <v xml:space="preserve">  </v>
      </c>
      <c r="AS24" s="24">
        <f t="shared" si="20"/>
        <v>8</v>
      </c>
      <c r="AT24" s="23" t="str">
        <f t="shared" ca="1" si="37"/>
        <v xml:space="preserve">  </v>
      </c>
      <c r="AU24" s="23" t="str">
        <f t="shared" ca="1" si="40"/>
        <v xml:space="preserve">  </v>
      </c>
      <c r="AV24" s="23" t="str">
        <f t="shared" si="21"/>
        <v xml:space="preserve">  </v>
      </c>
      <c r="AW24" s="23" t="str">
        <f t="shared" ca="1" si="22"/>
        <v xml:space="preserve">  </v>
      </c>
      <c r="AY24" s="35" t="str">
        <f t="shared" si="23"/>
        <v xml:space="preserve"> </v>
      </c>
      <c r="AZ24" s="23" t="str">
        <f t="shared" ca="1" si="41"/>
        <v xml:space="preserve">  </v>
      </c>
      <c r="BA24" s="36" t="str">
        <f t="shared" si="25"/>
        <v xml:space="preserve"> </v>
      </c>
      <c r="BB24" s="27" t="str">
        <f t="shared" ca="1" si="38"/>
        <v xml:space="preserve">  </v>
      </c>
      <c r="BC24" s="23" t="str">
        <f t="shared" ca="1" si="39"/>
        <v xml:space="preserve">  </v>
      </c>
      <c r="BE24" s="50" t="s">
        <v>65</v>
      </c>
      <c r="BF24" s="48" t="s">
        <v>66</v>
      </c>
      <c r="BG24" s="49" t="str">
        <f>IF(WL_No="  ","  ",MT/V_Disp)</f>
        <v xml:space="preserve">  </v>
      </c>
    </row>
    <row r="25" spans="1:59" x14ac:dyDescent="0.25">
      <c r="A25" s="20">
        <f>Tools!$AD24</f>
        <v>18.5</v>
      </c>
      <c r="B25" s="33" t="str">
        <f t="shared" si="0"/>
        <v xml:space="preserve">  </v>
      </c>
      <c r="C25" s="22">
        <f>IF(A25="  ","  ",IF(AND(A24="  ",A26="  "),"?",IF(A24="  ",2*(A26-A25),IF(A26="  ",2*(A25-A24),2*(A26-A24)))))</f>
        <v>2</v>
      </c>
      <c r="D25" s="23" t="str">
        <f t="shared" si="26"/>
        <v xml:space="preserve">  </v>
      </c>
      <c r="E25" s="24">
        <f t="shared" si="1"/>
        <v>8.5</v>
      </c>
      <c r="F25" s="23" t="str">
        <f t="shared" si="27"/>
        <v xml:space="preserve">  </v>
      </c>
      <c r="G25" s="23" t="str">
        <f t="shared" si="28"/>
        <v xml:space="preserve">  </v>
      </c>
      <c r="H25" s="23" t="str">
        <f t="shared" si="29"/>
        <v xml:space="preserve">  </v>
      </c>
      <c r="I25" s="23" t="str">
        <f t="shared" si="30"/>
        <v xml:space="preserve">  </v>
      </c>
      <c r="J25" s="4"/>
      <c r="K25" s="37" t="str">
        <f t="shared" si="2"/>
        <v xml:space="preserve"> </v>
      </c>
      <c r="L25" s="23" t="str">
        <f t="shared" si="31"/>
        <v xml:space="preserve">  </v>
      </c>
      <c r="M25" s="38" t="str">
        <f t="shared" si="3"/>
        <v xml:space="preserve"> </v>
      </c>
      <c r="N25" s="27" t="str">
        <f t="shared" si="32"/>
        <v xml:space="preserve">  </v>
      </c>
      <c r="O25" s="23" t="str">
        <f t="shared" si="33"/>
        <v xml:space="preserve">  </v>
      </c>
      <c r="P25" s="4"/>
      <c r="Q25" s="50" t="s">
        <v>69</v>
      </c>
      <c r="R25" s="48" t="s">
        <v>70</v>
      </c>
      <c r="S25" t="str">
        <f>IF(Tools!$L$49="Use 141 rule only",I49,IF(Tools!$L$49="Use 141 and 1331 rules",BG26," "))</f>
        <v xml:space="preserve">  </v>
      </c>
      <c r="W25" s="29">
        <f>IF(AO25="  ","  ",IF(AND(AO24="  ",AO26="  "),"?",IF(AO24="  ",2*(AO26-AO25),IF(AO26="  ",2*(AO25-AO24),2*(AO26-AO24)))))</f>
        <v>2</v>
      </c>
      <c r="X25" s="30" t="str">
        <f t="shared" si="4"/>
        <v>DD</v>
      </c>
      <c r="Y25" s="30" t="str">
        <f t="shared" si="5"/>
        <v>-</v>
      </c>
      <c r="Z25" s="29" t="b">
        <f t="shared" si="6"/>
        <v>1</v>
      </c>
      <c r="AA25" s="29" t="b">
        <f t="shared" si="7"/>
        <v>1</v>
      </c>
      <c r="AB25" s="29" t="str">
        <f t="shared" ca="1" si="8"/>
        <v>141-4</v>
      </c>
      <c r="AC25" s="29">
        <f t="shared" si="34"/>
        <v>4</v>
      </c>
      <c r="AD25" s="29">
        <f t="shared" ca="1" si="9"/>
        <v>4</v>
      </c>
      <c r="AE25" s="29">
        <v>22</v>
      </c>
      <c r="AF25" s="31">
        <f t="shared" si="42"/>
        <v>18</v>
      </c>
      <c r="AG25" s="29" t="b">
        <f t="shared" si="11"/>
        <v>0</v>
      </c>
      <c r="AH25" s="30" t="str">
        <f t="shared" si="43"/>
        <v>-</v>
      </c>
      <c r="AI25" s="30" t="str">
        <f t="shared" ca="1" si="13"/>
        <v>(1/2)*(4/3)</v>
      </c>
      <c r="AJ25" s="29">
        <f t="shared" ca="1" si="14"/>
        <v>0.66666666666666663</v>
      </c>
      <c r="AK25" s="29" t="str">
        <f t="shared" si="15"/>
        <v/>
      </c>
      <c r="AL25" s="29">
        <f t="shared" si="16"/>
        <v>0</v>
      </c>
      <c r="AM25" s="32">
        <f t="shared" ca="1" si="35"/>
        <v>0.66666666666666663</v>
      </c>
      <c r="AO25" s="20">
        <f>Tools!$AD24</f>
        <v>18.5</v>
      </c>
      <c r="AP25" s="33" t="str">
        <f t="shared" si="36"/>
        <v xml:space="preserve">  </v>
      </c>
      <c r="AQ25" s="34" t="str">
        <f t="shared" ca="1" si="18"/>
        <v>(1/2)*(4/3)</v>
      </c>
      <c r="AR25" s="23" t="str">
        <f t="shared" ca="1" si="19"/>
        <v xml:space="preserve">  </v>
      </c>
      <c r="AS25" s="24">
        <f t="shared" si="20"/>
        <v>8.5</v>
      </c>
      <c r="AT25" s="23" t="str">
        <f t="shared" ca="1" si="37"/>
        <v xml:space="preserve">  </v>
      </c>
      <c r="AU25" s="23" t="str">
        <f t="shared" ca="1" si="40"/>
        <v xml:space="preserve">  </v>
      </c>
      <c r="AV25" s="23" t="str">
        <f t="shared" si="21"/>
        <v xml:space="preserve">  </v>
      </c>
      <c r="AW25" s="23" t="str">
        <f t="shared" ca="1" si="22"/>
        <v xml:space="preserve">  </v>
      </c>
      <c r="AY25" s="35" t="str">
        <f t="shared" si="23"/>
        <v xml:space="preserve"> </v>
      </c>
      <c r="AZ25" s="23" t="str">
        <f t="shared" ca="1" si="41"/>
        <v xml:space="preserve">  </v>
      </c>
      <c r="BA25" s="36" t="str">
        <f t="shared" si="25"/>
        <v xml:space="preserve"> </v>
      </c>
      <c r="BB25" s="27" t="str">
        <f t="shared" ca="1" si="38"/>
        <v xml:space="preserve">  </v>
      </c>
      <c r="BC25" s="23" t="str">
        <f t="shared" ca="1" si="39"/>
        <v xml:space="preserve">  </v>
      </c>
      <c r="BE25" s="50" t="s">
        <v>67</v>
      </c>
      <c r="BF25" s="48" t="s">
        <v>68</v>
      </c>
      <c r="BG25" s="49" t="str">
        <f>IF(WL_No="  ","  ",KB+BMT)</f>
        <v xml:space="preserve">  </v>
      </c>
    </row>
    <row r="26" spans="1:59" x14ac:dyDescent="0.25">
      <c r="A26" s="20">
        <f>Tools!$AD25</f>
        <v>19</v>
      </c>
      <c r="B26" s="33" t="str">
        <f t="shared" si="0"/>
        <v xml:space="preserve">  </v>
      </c>
      <c r="C26" s="22">
        <f>IF(A26="  ","  ",IF(AND(A25="  ",A27="  "),"?",IF(A25="  ",1*(A27-A26),IF(A27="  ",1*(A26-A25),1*(A27-A25)))))</f>
        <v>1</v>
      </c>
      <c r="D26" s="23" t="str">
        <f t="shared" si="26"/>
        <v xml:space="preserve">  </v>
      </c>
      <c r="E26" s="24">
        <f t="shared" si="1"/>
        <v>9</v>
      </c>
      <c r="F26" s="23" t="str">
        <f t="shared" si="27"/>
        <v xml:space="preserve">  </v>
      </c>
      <c r="G26" s="23" t="str">
        <f t="shared" si="28"/>
        <v xml:space="preserve">  </v>
      </c>
      <c r="H26" s="23" t="str">
        <f t="shared" si="29"/>
        <v xml:space="preserve">  </v>
      </c>
      <c r="I26" s="23" t="str">
        <f t="shared" si="30"/>
        <v xml:space="preserve">  </v>
      </c>
      <c r="J26" s="4"/>
      <c r="K26" s="37" t="str">
        <f t="shared" si="2"/>
        <v xml:space="preserve"> </v>
      </c>
      <c r="L26" s="23" t="str">
        <f t="shared" si="31"/>
        <v xml:space="preserve">  </v>
      </c>
      <c r="M26" s="38" t="str">
        <f t="shared" si="3"/>
        <v xml:space="preserve"> </v>
      </c>
      <c r="N26" s="27" t="str">
        <f t="shared" si="32"/>
        <v xml:space="preserve">  </v>
      </c>
      <c r="O26" s="23" t="str">
        <f t="shared" si="33"/>
        <v xml:space="preserve">  </v>
      </c>
      <c r="P26" s="4"/>
      <c r="Q26" s="50" t="s">
        <v>71</v>
      </c>
      <c r="R26" s="48" t="s">
        <v>72</v>
      </c>
      <c r="S26" t="str">
        <f>IF(Tools!$L$49="Use 141 rule only",I50,IF(Tools!$L$49="Use 141 and 1331 rules",BG27," "))</f>
        <v xml:space="preserve">  </v>
      </c>
      <c r="W26" s="29">
        <f>IF(AO26="  ","  ",IF(AND(AO25="  ",AO27="  "),"?",IF(AO25="  ",1*(AO27-AO26),IF(AO27="  ",1*(AO26-AO25),1*(AO27-AO25)))))</f>
        <v>1</v>
      </c>
      <c r="X26" s="30" t="str">
        <f t="shared" si="4"/>
        <v>DD</v>
      </c>
      <c r="Y26" s="30" t="str">
        <f t="shared" si="5"/>
        <v>-</v>
      </c>
      <c r="Z26" s="29" t="b">
        <f t="shared" si="6"/>
        <v>1</v>
      </c>
      <c r="AA26" s="29" t="b">
        <f t="shared" si="7"/>
        <v>1</v>
      </c>
      <c r="AB26" s="29" t="str">
        <f t="shared" ca="1" si="8"/>
        <v>141-2</v>
      </c>
      <c r="AC26" s="29">
        <f t="shared" si="34"/>
        <v>3</v>
      </c>
      <c r="AD26" s="29">
        <f t="shared" ca="1" si="9"/>
        <v>3</v>
      </c>
      <c r="AE26" s="29">
        <v>23</v>
      </c>
      <c r="AF26" s="31">
        <f t="shared" si="42"/>
        <v>19</v>
      </c>
      <c r="AG26" s="29" t="b">
        <f t="shared" si="11"/>
        <v>0</v>
      </c>
      <c r="AH26" s="30" t="str">
        <f t="shared" si="43"/>
        <v>-</v>
      </c>
      <c r="AI26" s="30" t="str">
        <f t="shared" ca="1" si="13"/>
        <v>(1/2)*(2/3)</v>
      </c>
      <c r="AJ26" s="29">
        <f t="shared" ca="1" si="14"/>
        <v>0.33333333333333331</v>
      </c>
      <c r="AK26" s="29" t="str">
        <f t="shared" si="15"/>
        <v/>
      </c>
      <c r="AL26" s="29">
        <f t="shared" si="16"/>
        <v>0</v>
      </c>
      <c r="AM26" s="32">
        <f t="shared" ca="1" si="35"/>
        <v>0.33333333333333331</v>
      </c>
      <c r="AO26" s="20">
        <f>Tools!$AD25</f>
        <v>19</v>
      </c>
      <c r="AP26" s="33" t="str">
        <f t="shared" si="36"/>
        <v xml:space="preserve">  </v>
      </c>
      <c r="AQ26" s="34" t="str">
        <f t="shared" ca="1" si="18"/>
        <v>(1/2)*(2/3)</v>
      </c>
      <c r="AR26" s="23" t="str">
        <f t="shared" ca="1" si="19"/>
        <v xml:space="preserve">  </v>
      </c>
      <c r="AS26" s="24">
        <f t="shared" si="20"/>
        <v>9</v>
      </c>
      <c r="AT26" s="23" t="str">
        <f t="shared" ca="1" si="37"/>
        <v xml:space="preserve">  </v>
      </c>
      <c r="AU26" s="23" t="str">
        <f t="shared" ca="1" si="40"/>
        <v xml:space="preserve">  </v>
      </c>
      <c r="AV26" s="23" t="str">
        <f t="shared" si="21"/>
        <v xml:space="preserve">  </v>
      </c>
      <c r="AW26" s="23" t="str">
        <f t="shared" ca="1" si="22"/>
        <v xml:space="preserve">  </v>
      </c>
      <c r="AY26" s="35" t="str">
        <f t="shared" si="23"/>
        <v xml:space="preserve"> </v>
      </c>
      <c r="AZ26" s="23" t="str">
        <f t="shared" ca="1" si="41"/>
        <v xml:space="preserve">  </v>
      </c>
      <c r="BA26" s="36" t="str">
        <f t="shared" si="25"/>
        <v xml:space="preserve"> </v>
      </c>
      <c r="BB26" s="27" t="str">
        <f t="shared" ca="1" si="38"/>
        <v xml:space="preserve">  </v>
      </c>
      <c r="BC26" s="23" t="str">
        <f t="shared" ca="1" si="39"/>
        <v xml:space="preserve">  </v>
      </c>
      <c r="BE26" s="50" t="s">
        <v>69</v>
      </c>
      <c r="BF26" s="48" t="s">
        <v>70</v>
      </c>
      <c r="BG26" s="49" t="str">
        <f>IF(WL_No="  ","  ",KB+BML)</f>
        <v xml:space="preserve">  </v>
      </c>
    </row>
    <row r="27" spans="1:59" x14ac:dyDescent="0.25">
      <c r="A27" s="20">
        <f>Tools!$AD26</f>
        <v>19.5</v>
      </c>
      <c r="B27" s="33" t="str">
        <f t="shared" si="0"/>
        <v xml:space="preserve">  </v>
      </c>
      <c r="C27" s="22">
        <f>IF(A27="  ","  ",IF(AND(A26="  ",A28="  "),"?",IF(A26="  ",2*(A28-A27),IF(A28="  ",2*(A27-A26),2*(A28-A26)))))</f>
        <v>2</v>
      </c>
      <c r="D27" s="23" t="str">
        <f t="shared" si="26"/>
        <v xml:space="preserve">  </v>
      </c>
      <c r="E27" s="24">
        <f t="shared" si="1"/>
        <v>9.5</v>
      </c>
      <c r="F27" s="23" t="str">
        <f t="shared" si="27"/>
        <v xml:space="preserve">  </v>
      </c>
      <c r="G27" s="23" t="str">
        <f t="shared" si="28"/>
        <v xml:space="preserve">  </v>
      </c>
      <c r="H27" s="23" t="str">
        <f t="shared" si="29"/>
        <v xml:space="preserve">  </v>
      </c>
      <c r="I27" s="23" t="str">
        <f t="shared" si="30"/>
        <v xml:space="preserve">  </v>
      </c>
      <c r="J27" s="4"/>
      <c r="K27" s="37" t="str">
        <f t="shared" si="2"/>
        <v xml:space="preserve"> </v>
      </c>
      <c r="L27" s="23" t="str">
        <f t="shared" si="31"/>
        <v xml:space="preserve">  </v>
      </c>
      <c r="M27" s="38" t="str">
        <f t="shared" si="3"/>
        <v xml:space="preserve"> </v>
      </c>
      <c r="N27" s="27" t="str">
        <f t="shared" si="32"/>
        <v xml:space="preserve">  </v>
      </c>
      <c r="O27" s="23" t="str">
        <f t="shared" si="33"/>
        <v xml:space="preserve">  </v>
      </c>
      <c r="P27" s="4"/>
      <c r="Q27" s="50" t="s">
        <v>73</v>
      </c>
      <c r="R27" s="48" t="s">
        <v>74</v>
      </c>
      <c r="S27" t="str">
        <f>IF(Tools!$L$49="Use 141 rule only",I51,IF(Tools!$L$49="Use 141 and 1331 rules",BG28," "))</f>
        <v xml:space="preserve">  </v>
      </c>
      <c r="W27" s="29">
        <f>IF(AO27="  ","  ",IF(AND(AO26="  ",AO28="  "),"?",IF(AO26="  ",2*(AO28-AO27),IF(AO28="  ",2*(AO27-AO26),2*(AO28-AO26)))))</f>
        <v>2</v>
      </c>
      <c r="X27" s="30" t="str">
        <f t="shared" si="4"/>
        <v>DD</v>
      </c>
      <c r="Y27" s="30" t="str">
        <f t="shared" si="5"/>
        <v>-</v>
      </c>
      <c r="Z27" s="29" t="b">
        <f t="shared" si="6"/>
        <v>1</v>
      </c>
      <c r="AA27" s="29" t="b">
        <f t="shared" si="7"/>
        <v>1</v>
      </c>
      <c r="AB27" s="29" t="str">
        <f t="shared" ca="1" si="8"/>
        <v>141-4</v>
      </c>
      <c r="AC27" s="29">
        <f t="shared" si="34"/>
        <v>2</v>
      </c>
      <c r="AD27" s="29">
        <f t="shared" ca="1" si="9"/>
        <v>2</v>
      </c>
      <c r="AE27" s="29">
        <v>24</v>
      </c>
      <c r="AF27" s="31">
        <f t="shared" si="42"/>
        <v>20</v>
      </c>
      <c r="AG27" s="29" t="b">
        <f t="shared" si="11"/>
        <v>0</v>
      </c>
      <c r="AH27" s="30" t="str">
        <f t="shared" si="43"/>
        <v>-</v>
      </c>
      <c r="AI27" s="30" t="str">
        <f t="shared" ca="1" si="13"/>
        <v>(1/2)*(4/3)</v>
      </c>
      <c r="AJ27" s="29">
        <f t="shared" ca="1" si="14"/>
        <v>0.66666666666666663</v>
      </c>
      <c r="AK27" s="29" t="str">
        <f t="shared" si="15"/>
        <v/>
      </c>
      <c r="AL27" s="29">
        <f t="shared" si="16"/>
        <v>0</v>
      </c>
      <c r="AM27" s="32">
        <f t="shared" ca="1" si="35"/>
        <v>0.66666666666666663</v>
      </c>
      <c r="AO27" s="20">
        <f>Tools!$AD26</f>
        <v>19.5</v>
      </c>
      <c r="AP27" s="33" t="str">
        <f t="shared" ref="AP27:AP28" si="44">VLOOKUP(AO27,OFFSET_A,Count_WL+1,FALSE)</f>
        <v xml:space="preserve">  </v>
      </c>
      <c r="AQ27" s="34" t="str">
        <f t="shared" ca="1" si="18"/>
        <v>(1/2)*(4/3)</v>
      </c>
      <c r="AR27" s="23" t="str">
        <f t="shared" ca="1" si="19"/>
        <v xml:space="preserve">  </v>
      </c>
      <c r="AS27" s="24">
        <f t="shared" si="20"/>
        <v>9.5</v>
      </c>
      <c r="AT27" s="23" t="str">
        <f t="shared" ca="1" si="37"/>
        <v xml:space="preserve">  </v>
      </c>
      <c r="AU27" s="23" t="str">
        <f t="shared" ca="1" si="40"/>
        <v xml:space="preserve">  </v>
      </c>
      <c r="AV27" s="23" t="str">
        <f t="shared" si="21"/>
        <v xml:space="preserve">  </v>
      </c>
      <c r="AW27" s="23" t="str">
        <f t="shared" ca="1" si="22"/>
        <v xml:space="preserve">  </v>
      </c>
      <c r="AY27" s="35" t="str">
        <f t="shared" si="23"/>
        <v xml:space="preserve"> </v>
      </c>
      <c r="AZ27" s="23" t="str">
        <f t="shared" ca="1" si="41"/>
        <v xml:space="preserve">  </v>
      </c>
      <c r="BA27" s="36" t="str">
        <f t="shared" si="25"/>
        <v xml:space="preserve"> </v>
      </c>
      <c r="BB27" s="27" t="str">
        <f t="shared" ca="1" si="38"/>
        <v xml:space="preserve">  </v>
      </c>
      <c r="BC27" s="23" t="str">
        <f t="shared" ca="1" si="39"/>
        <v xml:space="preserve">  </v>
      </c>
      <c r="BE27" s="50" t="s">
        <v>71</v>
      </c>
      <c r="BF27" s="48" t="s">
        <v>72</v>
      </c>
      <c r="BG27" s="49" t="str">
        <f>IF(WL_No="  ","  ",AWP*1.025/100)</f>
        <v xml:space="preserve">  </v>
      </c>
    </row>
    <row r="28" spans="1:59" ht="15.75" thickBot="1" x14ac:dyDescent="0.3">
      <c r="A28" s="20">
        <f>Tools!$AD27</f>
        <v>20</v>
      </c>
      <c r="B28" s="52" t="str">
        <f t="shared" si="0"/>
        <v xml:space="preserve">  </v>
      </c>
      <c r="C28" s="22">
        <f>IF(A28="  ","  ",IF(A27="  ","?",1*(A28-A27)))</f>
        <v>0.5</v>
      </c>
      <c r="D28" s="53" t="str">
        <f t="shared" si="26"/>
        <v xml:space="preserve">  </v>
      </c>
      <c r="E28" s="24">
        <f t="shared" si="1"/>
        <v>10</v>
      </c>
      <c r="F28" s="53" t="str">
        <f t="shared" si="27"/>
        <v xml:space="preserve">  </v>
      </c>
      <c r="G28" s="53" t="str">
        <f t="shared" si="28"/>
        <v xml:space="preserve">  </v>
      </c>
      <c r="H28" s="23" t="str">
        <f t="shared" si="29"/>
        <v xml:space="preserve">  </v>
      </c>
      <c r="I28" s="53" t="str">
        <f t="shared" si="30"/>
        <v xml:space="preserve">  </v>
      </c>
      <c r="J28" s="4"/>
      <c r="K28" s="35" t="str">
        <f t="shared" si="2"/>
        <v xml:space="preserve"> </v>
      </c>
      <c r="L28" s="53" t="str">
        <f t="shared" si="31"/>
        <v xml:space="preserve">  </v>
      </c>
      <c r="M28" s="36" t="str">
        <f t="shared" si="3"/>
        <v xml:space="preserve"> </v>
      </c>
      <c r="N28" s="54" t="str">
        <f t="shared" si="32"/>
        <v xml:space="preserve">  </v>
      </c>
      <c r="O28" s="53" t="str">
        <f t="shared" si="33"/>
        <v xml:space="preserve">  </v>
      </c>
      <c r="P28" s="4"/>
      <c r="Q28" s="50" t="s">
        <v>75</v>
      </c>
      <c r="R28" s="55" t="s">
        <v>76</v>
      </c>
      <c r="S28" t="str">
        <f>IF(Tools!$L$49="Use 141 rule only",I52,IF(Tools!$L$49="Use 141 and 1331 rules",BG29," "))</f>
        <v xml:space="preserve">  </v>
      </c>
      <c r="W28" s="29">
        <f>IF(AO28="  ","  ",IF(AO27="  ","?",1*(AO28-AO27)))</f>
        <v>0.5</v>
      </c>
      <c r="X28" s="30" t="str">
        <f t="shared" si="4"/>
        <v>D-</v>
      </c>
      <c r="Y28" s="30" t="str">
        <f t="shared" si="5"/>
        <v>-</v>
      </c>
      <c r="Z28" s="29" t="b">
        <f t="shared" si="6"/>
        <v>1</v>
      </c>
      <c r="AA28" s="29" t="b">
        <f t="shared" si="7"/>
        <v>1</v>
      </c>
      <c r="AB28" s="29" t="str">
        <f t="shared" ca="1" si="8"/>
        <v>141-1</v>
      </c>
      <c r="AC28" s="29">
        <f>IF(ISNUMBER(AO28),IF(ISNUMBER(AO28),IF(OR(AO28=0,AO28=Long_Div),1,IF(AO28&gt;Long_Div/2,AF29+1,IF(AO28&lt;=Long_Div/2,AC27+1,"?")))," --")," ")</f>
        <v>1</v>
      </c>
      <c r="AD28" s="29">
        <f t="shared" ca="1" si="9"/>
        <v>1</v>
      </c>
      <c r="AE28" s="29">
        <v>25</v>
      </c>
      <c r="AF28" s="31">
        <f t="shared" si="42"/>
        <v>21</v>
      </c>
      <c r="AG28" s="29" t="b">
        <f t="shared" si="11"/>
        <v>0</v>
      </c>
      <c r="AH28" s="30" t="str">
        <f t="shared" si="43"/>
        <v>-</v>
      </c>
      <c r="AI28" s="30" t="str">
        <f t="shared" ca="1" si="13"/>
        <v>(1/2)*(1/3)</v>
      </c>
      <c r="AJ28" s="29">
        <f t="shared" ca="1" si="14"/>
        <v>0.16666666666666666</v>
      </c>
      <c r="AK28" s="29" t="str">
        <f t="shared" si="15"/>
        <v/>
      </c>
      <c r="AL28" s="29">
        <f t="shared" si="16"/>
        <v>0</v>
      </c>
      <c r="AM28" s="32">
        <f t="shared" ca="1" si="35"/>
        <v>0.16666666666666666</v>
      </c>
      <c r="AO28" s="20">
        <f>Tools!$AD27</f>
        <v>20</v>
      </c>
      <c r="AP28" s="33" t="str">
        <f t="shared" si="44"/>
        <v xml:space="preserve">  </v>
      </c>
      <c r="AQ28" s="34" t="str">
        <f t="shared" ca="1" si="18"/>
        <v>(1/2)*(1/3)</v>
      </c>
      <c r="AR28" s="23" t="str">
        <f t="shared" ca="1" si="19"/>
        <v xml:space="preserve">  </v>
      </c>
      <c r="AS28" s="24">
        <f t="shared" si="20"/>
        <v>10</v>
      </c>
      <c r="AT28" s="53" t="str">
        <f t="shared" ca="1" si="37"/>
        <v xml:space="preserve">  </v>
      </c>
      <c r="AU28" s="53" t="str">
        <f t="shared" ca="1" si="40"/>
        <v xml:space="preserve">  </v>
      </c>
      <c r="AV28" s="23" t="str">
        <f t="shared" si="21"/>
        <v xml:space="preserve">  </v>
      </c>
      <c r="AW28" s="23" t="str">
        <f t="shared" ca="1" si="22"/>
        <v xml:space="preserve">  </v>
      </c>
      <c r="AY28" s="35" t="str">
        <f t="shared" si="23"/>
        <v xml:space="preserve"> </v>
      </c>
      <c r="AZ28" s="23" t="str">
        <f t="shared" ca="1" si="41"/>
        <v xml:space="preserve">  </v>
      </c>
      <c r="BA28" s="36" t="str">
        <f t="shared" si="25"/>
        <v xml:space="preserve"> </v>
      </c>
      <c r="BB28" s="27" t="str">
        <f t="shared" ca="1" si="38"/>
        <v xml:space="preserve">  </v>
      </c>
      <c r="BC28" s="53" t="str">
        <f t="shared" ca="1" si="39"/>
        <v xml:space="preserve">  </v>
      </c>
      <c r="BE28" s="50" t="s">
        <v>73</v>
      </c>
      <c r="BF28" s="48" t="s">
        <v>74</v>
      </c>
      <c r="BG28" s="49" t="str">
        <f>IF(WL_No="  ","  ",ML/V_Disp)</f>
        <v xml:space="preserve">  </v>
      </c>
    </row>
    <row r="29" spans="1:59" ht="15.75" thickBot="1" x14ac:dyDescent="0.3">
      <c r="A29" s="56" t="s">
        <v>77</v>
      </c>
      <c r="B29" s="56"/>
      <c r="C29" s="56"/>
      <c r="D29" s="57">
        <f>SUM(D4:D28)</f>
        <v>0</v>
      </c>
      <c r="E29" s="42"/>
      <c r="F29" s="58">
        <f>SUM(F4:F28)</f>
        <v>0</v>
      </c>
      <c r="G29" s="58">
        <f>SUM(G4:G28)</f>
        <v>0</v>
      </c>
      <c r="H29" s="42"/>
      <c r="I29" s="58">
        <f>SUM(I4:I28)</f>
        <v>0</v>
      </c>
      <c r="J29" s="4"/>
      <c r="K29" s="42"/>
      <c r="L29" s="58">
        <f>SUM(L4:L28)</f>
        <v>0</v>
      </c>
      <c r="M29" s="42"/>
      <c r="N29" s="58">
        <f>SUM(N4:N28)</f>
        <v>0</v>
      </c>
      <c r="O29" s="58">
        <f>SUM(O4:O28)</f>
        <v>0</v>
      </c>
      <c r="P29" s="4"/>
      <c r="Q29" s="50" t="s">
        <v>78</v>
      </c>
      <c r="R29" s="48" t="s">
        <v>79</v>
      </c>
      <c r="S29" t="str">
        <f>IF(Tools!$L$49="Use 141 rule only",I53,IF(Tools!$L$49="Use 141 and 1331 rules",BG30," "))</f>
        <v xml:space="preserve">  </v>
      </c>
      <c r="W29" s="56"/>
      <c r="X29" s="56"/>
      <c r="Y29" s="56"/>
      <c r="Z29" s="56"/>
      <c r="AA29" s="56"/>
      <c r="AB29" s="56"/>
      <c r="AC29" s="56"/>
      <c r="AD29" s="56"/>
      <c r="AE29" s="56"/>
      <c r="AF29" s="56"/>
      <c r="AG29" s="56"/>
      <c r="AH29" s="56"/>
      <c r="AI29" s="56"/>
      <c r="AJ29" s="56"/>
      <c r="AK29" s="56"/>
      <c r="AL29" s="56"/>
      <c r="AM29" s="56"/>
      <c r="AN29" s="56"/>
      <c r="AO29" s="56" t="s">
        <v>77</v>
      </c>
      <c r="AP29" s="56"/>
      <c r="AQ29" s="59"/>
      <c r="AR29" s="57">
        <f ca="1">SUM(AR4:AR28)</f>
        <v>0</v>
      </c>
      <c r="AS29" s="42"/>
      <c r="AT29" s="58">
        <f ca="1">SUM(AT4:AT28)</f>
        <v>0</v>
      </c>
      <c r="AU29" s="58">
        <f ca="1">SUM(AU4:AU28)</f>
        <v>0</v>
      </c>
      <c r="AV29" s="42"/>
      <c r="AW29" s="58">
        <f ca="1">SUM(AW4:AW28)</f>
        <v>0</v>
      </c>
      <c r="AY29" s="42"/>
      <c r="AZ29" s="58">
        <f ca="1">SUM(AZ4:AZ28)</f>
        <v>0</v>
      </c>
      <c r="BA29" s="42"/>
      <c r="BB29" s="58">
        <f ca="1">SUM(BB4:BB28)</f>
        <v>0</v>
      </c>
      <c r="BC29" s="58">
        <f ca="1">SUM(BC4:BC28)</f>
        <v>0</v>
      </c>
      <c r="BE29" s="50" t="s">
        <v>75</v>
      </c>
      <c r="BF29" s="55" t="s">
        <v>76</v>
      </c>
      <c r="BG29" s="49" t="str">
        <f>IF(WL_No="  ","  ",M_Disp*BML/100/BG8)</f>
        <v xml:space="preserve">  </v>
      </c>
    </row>
    <row r="30" spans="1:59" x14ac:dyDescent="0.25">
      <c r="A30" s="15"/>
      <c r="B30" s="4"/>
      <c r="C30" s="4"/>
      <c r="D30" s="42"/>
      <c r="E30" s="4"/>
      <c r="F30" s="4"/>
      <c r="G30" s="4"/>
      <c r="H30" s="4"/>
      <c r="I30" s="4"/>
      <c r="J30" s="4"/>
      <c r="K30" s="4"/>
      <c r="L30" s="4"/>
      <c r="M30" s="4"/>
      <c r="N30" s="4"/>
      <c r="O30" s="4"/>
      <c r="P30" s="4"/>
      <c r="Q30" s="50" t="s">
        <v>80</v>
      </c>
      <c r="R30" s="48" t="s">
        <v>81</v>
      </c>
      <c r="S30" t="str">
        <f>IF(Tools!$L$49="Use 141 rule only",I54,IF(Tools!$L$49="Use 141 and 1331 rules",BG31," "))</f>
        <v xml:space="preserve">  </v>
      </c>
      <c r="AA30" s="60"/>
      <c r="AB30" s="60"/>
      <c r="BE30" s="50" t="s">
        <v>78</v>
      </c>
      <c r="BF30" s="48" t="s">
        <v>79</v>
      </c>
      <c r="BG30" s="49" t="str">
        <f>IF(WL_No="  ","  ",WLS*WL_No)</f>
        <v xml:space="preserve">  </v>
      </c>
    </row>
    <row r="31" spans="1:59" x14ac:dyDescent="0.25">
      <c r="A31" s="15"/>
      <c r="B31" s="4"/>
      <c r="C31" s="4"/>
      <c r="D31" s="4"/>
      <c r="E31" s="4"/>
      <c r="F31" s="4"/>
      <c r="G31" s="4"/>
      <c r="H31" s="4"/>
      <c r="I31" s="4"/>
      <c r="J31" s="4"/>
      <c r="K31" s="4"/>
      <c r="L31" s="4"/>
      <c r="M31" s="4"/>
      <c r="N31" s="4"/>
      <c r="O31" s="4"/>
      <c r="P31" s="4"/>
      <c r="Q31" s="50" t="s">
        <v>82</v>
      </c>
      <c r="R31" s="48" t="s">
        <v>83</v>
      </c>
      <c r="S31" t="str">
        <f>IF(Tools!$L$49="Use 141 rule only",I55,IF(Tools!$L$49="Use 141 and 1331 rules",BG32," "))</f>
        <v xml:space="preserve">  </v>
      </c>
      <c r="AF31" s="61" t="s">
        <v>84</v>
      </c>
      <c r="AG31" s="62">
        <f ca="1">COUNTIF(OFFSET(AQ4,,,ROUNDUP(Max_STN_count/2,0),1),"")</f>
        <v>0</v>
      </c>
      <c r="AH31" s="63">
        <f ca="1">HLOOKUP(Stn_WL,AREA_TABLE,AG31+2,FALSE)</f>
        <v>0</v>
      </c>
      <c r="AI31" s="63">
        <f ca="1">IF(AH31&gt;Long_Div/2,Long_Div/2,AH31)</f>
        <v>0</v>
      </c>
      <c r="AJ31" s="63">
        <f ca="1">AI31*STN_GAP</f>
        <v>0</v>
      </c>
      <c r="BE31" s="50" t="s">
        <v>80</v>
      </c>
      <c r="BF31" s="48" t="s">
        <v>81</v>
      </c>
      <c r="BG31" s="49" t="str">
        <f>IF(WL_No="  ","  ",AWP/(BG8*B_current))</f>
        <v xml:space="preserve">  </v>
      </c>
    </row>
    <row r="32" spans="1:59" x14ac:dyDescent="0.25">
      <c r="A32" s="15"/>
      <c r="B32" s="4"/>
      <c r="C32" s="4"/>
      <c r="D32" s="4"/>
      <c r="E32" s="4"/>
      <c r="F32" s="4"/>
      <c r="G32" s="4"/>
      <c r="H32" s="4"/>
      <c r="I32" s="4"/>
      <c r="J32" s="64"/>
      <c r="K32" s="4"/>
      <c r="L32" s="4"/>
      <c r="M32" s="4"/>
      <c r="N32" s="4"/>
      <c r="O32" s="4"/>
      <c r="P32" s="4"/>
      <c r="Q32" s="50" t="s">
        <v>85</v>
      </c>
      <c r="R32" s="48" t="s">
        <v>86</v>
      </c>
      <c r="S32" t="str">
        <f>IF(Tools!$L$49="Use 141 rule only",I56,IF(Tools!$L$49="Use 141 and 1331 rules",BG33," "))</f>
        <v xml:space="preserve">  </v>
      </c>
      <c r="AF32" s="61" t="s">
        <v>87</v>
      </c>
      <c r="AG32" s="62">
        <f ca="1">COUNTIF(OFFSET(AQ4,ROUNDUP(Max_STN_count/2,0),,ROUNDDOWN(Max_STN_count/2,0),1),"")</f>
        <v>0</v>
      </c>
      <c r="AH32" s="63">
        <f ca="1">HLOOKUP(Stn_WL,AREA_TABLE,AG32+2,FALSE)</f>
        <v>0</v>
      </c>
      <c r="AI32" s="63">
        <f ca="1">IF(AH32&gt;Long_Div/2,Long_Div/2,AH32)</f>
        <v>0</v>
      </c>
      <c r="AJ32" s="63">
        <f ca="1">AI32*STN_GAP</f>
        <v>0</v>
      </c>
      <c r="BE32" s="50" t="s">
        <v>82</v>
      </c>
      <c r="BF32" s="48" t="s">
        <v>83</v>
      </c>
      <c r="BG32" s="49" t="str">
        <f>IF(WL_No="  ","  ",V_Disp/(BG8*B_current*T))</f>
        <v xml:space="preserve">  </v>
      </c>
    </row>
    <row r="33" spans="1:59" x14ac:dyDescent="0.25">
      <c r="A33" s="15"/>
      <c r="B33" s="4"/>
      <c r="C33" s="4"/>
      <c r="D33" s="4"/>
      <c r="E33" s="4"/>
      <c r="F33" s="4"/>
      <c r="G33" s="43" t="s">
        <v>31</v>
      </c>
      <c r="H33" s="44" t="s">
        <v>32</v>
      </c>
      <c r="I33" s="489" t="s">
        <v>33</v>
      </c>
      <c r="J33" s="4"/>
      <c r="K33" s="4"/>
      <c r="L33" s="4"/>
      <c r="M33" s="4"/>
      <c r="N33" s="4"/>
      <c r="O33" s="4"/>
      <c r="P33" s="4"/>
      <c r="Q33" s="50" t="s">
        <v>88</v>
      </c>
      <c r="R33" s="48" t="s">
        <v>89</v>
      </c>
      <c r="S33" t="str">
        <f>IF(Tools!$L$49="Use 141 rule only",I57,IF(Tools!$L$49="Use 141 and 1331 rules",BG34," "))</f>
        <v xml:space="preserve">  </v>
      </c>
      <c r="AF33" s="63"/>
      <c r="AG33" s="63"/>
      <c r="AH33" s="63">
        <f ca="1">Long_Div-AH32</f>
        <v>20</v>
      </c>
      <c r="AI33" s="63"/>
      <c r="AJ33" s="63">
        <f ca="1">AJ32+AJ31</f>
        <v>0</v>
      </c>
      <c r="BE33" s="50" t="s">
        <v>85</v>
      </c>
      <c r="BF33" s="48" t="s">
        <v>86</v>
      </c>
      <c r="BG33" s="65" t="str">
        <f>IFERROR(IF(WL_No="  ","  ",(VLOOKUP(Long_Div/2,AREA_TABLE,Count_WL+1,FALSE))/(B_current*T)),"-")</f>
        <v xml:space="preserve">  </v>
      </c>
    </row>
    <row r="34" spans="1:59" x14ac:dyDescent="0.25">
      <c r="G34" s="45"/>
      <c r="H34" s="46"/>
      <c r="I34" s="490"/>
      <c r="BE34" s="50" t="s">
        <v>88</v>
      </c>
      <c r="BF34" s="48" t="s">
        <v>89</v>
      </c>
      <c r="BG34" s="49" t="str">
        <f>IF(WL_No="  ","  ",CB/CM)</f>
        <v xml:space="preserve">  </v>
      </c>
    </row>
    <row r="35" spans="1:59" x14ac:dyDescent="0.25">
      <c r="G35" s="47" t="s">
        <v>34</v>
      </c>
      <c r="H35" s="48" t="s">
        <v>35</v>
      </c>
      <c r="I35" s="49" t="str">
        <f>IF(WL_No="  ","  ",2/3*h*$D$29)</f>
        <v xml:space="preserve">  </v>
      </c>
    </row>
    <row r="36" spans="1:59" x14ac:dyDescent="0.25">
      <c r="G36" s="47" t="s">
        <v>36</v>
      </c>
      <c r="H36" s="48" t="s">
        <v>37</v>
      </c>
      <c r="I36" s="49" t="str">
        <f>IF(WL_No="  ","  ",2/3*(h^2)*$F$29)</f>
        <v xml:space="preserve">  </v>
      </c>
    </row>
    <row r="37" spans="1:59" x14ac:dyDescent="0.25">
      <c r="G37" s="50" t="s">
        <v>39</v>
      </c>
      <c r="H37" s="48" t="s">
        <v>40</v>
      </c>
      <c r="I37" s="49" t="str">
        <f>IF(WL_No="  ","  ",Mmid/AWP)</f>
        <v xml:space="preserve">  </v>
      </c>
    </row>
    <row r="38" spans="1:59" x14ac:dyDescent="0.25">
      <c r="G38" s="50" t="s">
        <v>42</v>
      </c>
      <c r="H38" s="48" t="s">
        <v>43</v>
      </c>
      <c r="I38" s="49" t="str">
        <f>IF(WL_No="  ","  ",2/3*(h^3)*$G$29)</f>
        <v xml:space="preserve">  </v>
      </c>
    </row>
    <row r="39" spans="1:59" x14ac:dyDescent="0.25">
      <c r="G39" s="51" t="s">
        <v>44</v>
      </c>
      <c r="H39" s="48" t="s">
        <v>45</v>
      </c>
      <c r="I39" s="49" t="str">
        <f>IF(WL_No="  ","  ",2/9*h*$I$29)</f>
        <v xml:space="preserve">  </v>
      </c>
    </row>
    <row r="40" spans="1:59" x14ac:dyDescent="0.25">
      <c r="G40" s="50" t="s">
        <v>47</v>
      </c>
      <c r="H40" s="48" t="s">
        <v>48</v>
      </c>
      <c r="I40" s="49" t="str">
        <f>IF(WL_No="  ","  ",IL-AWP*(LCF^2))</f>
        <v xml:space="preserve">  </v>
      </c>
    </row>
    <row r="41" spans="1:59" x14ac:dyDescent="0.25">
      <c r="G41" s="50" t="s">
        <v>50</v>
      </c>
      <c r="H41" s="48" t="s">
        <v>51</v>
      </c>
      <c r="I41" s="49" t="str">
        <f>IF(WL_No="  ","  ",h/3*$L$29)</f>
        <v xml:space="preserve">  </v>
      </c>
    </row>
    <row r="42" spans="1:59" x14ac:dyDescent="0.25">
      <c r="G42" s="50" t="s">
        <v>52</v>
      </c>
      <c r="H42" s="48" t="s">
        <v>53</v>
      </c>
      <c r="I42" s="49" t="str">
        <f>IF(WL_No="  ","  ",V_Disp*1.025*1.006)</f>
        <v xml:space="preserve">  </v>
      </c>
    </row>
    <row r="43" spans="1:59" x14ac:dyDescent="0.25">
      <c r="G43" s="50" t="s">
        <v>55</v>
      </c>
      <c r="H43" s="48" t="s">
        <v>56</v>
      </c>
      <c r="I43" s="49" t="str">
        <f>IF(WL_No="  ","  ",h/3*$N$29)</f>
        <v xml:space="preserve">  </v>
      </c>
    </row>
    <row r="44" spans="1:59" x14ac:dyDescent="0.25">
      <c r="G44" s="50" t="s">
        <v>57</v>
      </c>
      <c r="H44" s="48" t="s">
        <v>58</v>
      </c>
      <c r="I44" s="49" t="str">
        <f>IF(WL_No="  ","  ",(h^2)/3*$O$29)</f>
        <v xml:space="preserve">  </v>
      </c>
    </row>
    <row r="45" spans="1:59" x14ac:dyDescent="0.25">
      <c r="G45" s="50" t="s">
        <v>60</v>
      </c>
      <c r="H45" s="48" t="s">
        <v>61</v>
      </c>
      <c r="I45" s="49" t="str">
        <f>IF(WL_No="  ","  ",IF/V_Disp)</f>
        <v xml:space="preserve">  </v>
      </c>
    </row>
    <row r="46" spans="1:59" x14ac:dyDescent="0.25">
      <c r="G46" s="50" t="s">
        <v>63</v>
      </c>
      <c r="H46" s="48" t="s">
        <v>64</v>
      </c>
      <c r="I46" s="49" t="str">
        <f>IF(WL_No="  ","  ",IT/V_Disp)</f>
        <v xml:space="preserve">  </v>
      </c>
    </row>
    <row r="47" spans="1:59" x14ac:dyDescent="0.25">
      <c r="G47" s="50" t="s">
        <v>65</v>
      </c>
      <c r="H47" s="48" t="s">
        <v>66</v>
      </c>
      <c r="I47" s="49" t="str">
        <f>IF(WL_No="  ","  ",MT/V_Disp)</f>
        <v xml:space="preserve">  </v>
      </c>
    </row>
    <row r="48" spans="1:59" x14ac:dyDescent="0.25">
      <c r="G48" s="50" t="s">
        <v>67</v>
      </c>
      <c r="H48" s="48" t="s">
        <v>68</v>
      </c>
      <c r="I48" s="49" t="str">
        <f>IF(WL_No="  ","  ",KB+BMT)</f>
        <v xml:space="preserve">  </v>
      </c>
    </row>
    <row r="49" spans="7:9" x14ac:dyDescent="0.25">
      <c r="G49" s="50" t="s">
        <v>69</v>
      </c>
      <c r="H49" s="48" t="s">
        <v>70</v>
      </c>
      <c r="I49" s="49" t="str">
        <f>IF(WL_No="  ","  ",KB+BML)</f>
        <v xml:space="preserve">  </v>
      </c>
    </row>
    <row r="50" spans="7:9" x14ac:dyDescent="0.25">
      <c r="G50" s="50" t="s">
        <v>71</v>
      </c>
      <c r="H50" s="48" t="s">
        <v>72</v>
      </c>
      <c r="I50" s="49" t="str">
        <f>IF(WL_No="  ","  ",AWP*1.025/100)</f>
        <v xml:space="preserve">  </v>
      </c>
    </row>
    <row r="51" spans="7:9" x14ac:dyDescent="0.25">
      <c r="G51" s="50" t="s">
        <v>73</v>
      </c>
      <c r="H51" s="48" t="s">
        <v>74</v>
      </c>
      <c r="I51" s="49" t="str">
        <f>IF(WL_No="  ","  ",ML/V_Disp)</f>
        <v xml:space="preserve">  </v>
      </c>
    </row>
    <row r="52" spans="7:9" x14ac:dyDescent="0.25">
      <c r="G52" s="50" t="s">
        <v>75</v>
      </c>
      <c r="H52" s="55" t="s">
        <v>76</v>
      </c>
      <c r="I52" s="49" t="str">
        <f>IF(WL_No="  ","  ",M_Disp*BML/100/LBP)</f>
        <v xml:space="preserve">  </v>
      </c>
    </row>
    <row r="53" spans="7:9" x14ac:dyDescent="0.25">
      <c r="G53" s="50" t="s">
        <v>78</v>
      </c>
      <c r="H53" s="48" t="s">
        <v>79</v>
      </c>
      <c r="I53" s="49" t="str">
        <f>IF(WL_No="  ","  ",WLS*WL_No)</f>
        <v xml:space="preserve">  </v>
      </c>
    </row>
    <row r="54" spans="7:9" x14ac:dyDescent="0.25">
      <c r="G54" s="50" t="s">
        <v>80</v>
      </c>
      <c r="H54" s="48" t="s">
        <v>81</v>
      </c>
      <c r="I54" s="49" t="str">
        <f>IF(WL_No="  ","  ",AWP/(LBP*B_current))</f>
        <v xml:space="preserve">  </v>
      </c>
    </row>
    <row r="55" spans="7:9" x14ac:dyDescent="0.25">
      <c r="G55" s="50" t="s">
        <v>82</v>
      </c>
      <c r="H55" s="48" t="s">
        <v>83</v>
      </c>
      <c r="I55" s="49" t="str">
        <f>IF(WL_No="  ","  ",V_Disp/(LBP*B_current*T))</f>
        <v xml:space="preserve">  </v>
      </c>
    </row>
    <row r="56" spans="7:9" x14ac:dyDescent="0.25">
      <c r="G56" s="50" t="s">
        <v>85</v>
      </c>
      <c r="H56" s="48" t="s">
        <v>86</v>
      </c>
      <c r="I56" s="65" t="str">
        <f>IF(WL_No="  ","  ",(VLOOKUP(Long_Div/2,AREA_TABLE,Count_WL+1,FALSE))/(B_current*T))</f>
        <v xml:space="preserve">  </v>
      </c>
    </row>
    <row r="57" spans="7:9" x14ac:dyDescent="0.25">
      <c r="G57" s="50" t="s">
        <v>88</v>
      </c>
      <c r="H57" s="48" t="s">
        <v>89</v>
      </c>
      <c r="I57" s="49" t="str">
        <f>IF(WL_No="  ","  ",CB/CM)</f>
        <v xml:space="preserve">  </v>
      </c>
    </row>
  </sheetData>
  <sheetProtection password="CB5D" sheet="1" objects="1" scenarios="1"/>
  <mergeCells count="7">
    <mergeCell ref="BG10:BG11"/>
    <mergeCell ref="I33:I34"/>
    <mergeCell ref="A2:I2"/>
    <mergeCell ref="K2:O2"/>
    <mergeCell ref="AO2:AW2"/>
    <mergeCell ref="AY2:BC2"/>
    <mergeCell ref="S9:S10"/>
  </mergeCells>
  <conditionalFormatting sqref="CB4:XFD30 BW4:BW28 BS4:BT28 W29:AX29 A33:F57 J33:R33 A11:R32 A2:T10 V2:AO2 AX2 BP29:BW29 A63:XFD1048576 T12:T37 U35:XFD37 BD2:BD29 BM31:XFD33 BM30:BW30 BH29:BI33 BH2:XFD3 U30:BD30 AR31:BD31 W3:AM28 A58:BD62 BH38:XFD62 J34:S37 BH34:XFD34 A1:AN1 AV1:XFD1 AO31:AP31 U33:BD34 AM31 U31:AG32 AK32:BD32 AO3:AX26 J43:BD57 J42:M42 O42:BD42 J38:BD41 AO27:AO28 AQ27:AX28">
    <cfRule type="containsErrors" dxfId="465" priority="14">
      <formula>ISERROR(A1)</formula>
    </cfRule>
  </conditionalFormatting>
  <conditionalFormatting sqref="G33:I34 G35:H57">
    <cfRule type="containsErrors" dxfId="464" priority="13">
      <formula>ISERROR(G33)</formula>
    </cfRule>
  </conditionalFormatting>
  <conditionalFormatting sqref="T12:T33">
    <cfRule type="containsErrors" dxfId="463" priority="12">
      <formula>ISERROR(T12)</formula>
    </cfRule>
  </conditionalFormatting>
  <conditionalFormatting sqref="I35:I57">
    <cfRule type="containsErrors" dxfId="462" priority="11">
      <formula>ISERROR(I35)</formula>
    </cfRule>
  </conditionalFormatting>
  <conditionalFormatting sqref="AY2:BC29">
    <cfRule type="containsErrors" dxfId="461" priority="8">
      <formula>ISERROR(AY2)</formula>
    </cfRule>
  </conditionalFormatting>
  <conditionalFormatting sqref="BE10:BG11 BE12:BF34">
    <cfRule type="containsErrors" dxfId="460" priority="10">
      <formula>ISERROR(BE10)</formula>
    </cfRule>
  </conditionalFormatting>
  <conditionalFormatting sqref="BG12:BG28 BG34">
    <cfRule type="containsErrors" dxfId="459" priority="9">
      <formula>ISERROR(BG12)</formula>
    </cfRule>
  </conditionalFormatting>
  <conditionalFormatting sqref="BE2:BG6">
    <cfRule type="containsErrors" dxfId="458" priority="7">
      <formula>ISERROR(BE2)</formula>
    </cfRule>
  </conditionalFormatting>
  <conditionalFormatting sqref="BF7:BG8">
    <cfRule type="containsErrors" dxfId="457" priority="5">
      <formula>ISERROR(BF7)</formula>
    </cfRule>
  </conditionalFormatting>
  <conditionalFormatting sqref="BE7:BE8">
    <cfRule type="containsErrors" dxfId="456" priority="6">
      <formula>ISERROR(BE7)</formula>
    </cfRule>
  </conditionalFormatting>
  <conditionalFormatting sqref="S30:S33">
    <cfRule type="containsErrors" dxfId="455" priority="4">
      <formula>ISERROR(S30)</formula>
    </cfRule>
  </conditionalFormatting>
  <conditionalFormatting sqref="AP27:AP28">
    <cfRule type="containsErrors" dxfId="454" priority="3">
      <formula>ISERROR(AP27)</formula>
    </cfRule>
  </conditionalFormatting>
  <conditionalFormatting sqref="BG29:BG32">
    <cfRule type="containsErrors" dxfId="453" priority="2">
      <formula>ISERROR(BG29)</formula>
    </cfRule>
  </conditionalFormatting>
  <conditionalFormatting sqref="BG33">
    <cfRule type="containsErrors" dxfId="452" priority="1">
      <formula>ISERROR(BG33)</formula>
    </cfRule>
  </conditionalFormatting>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4" tint="0.79998168889431442"/>
  </sheetPr>
  <dimension ref="A1:BH57"/>
  <sheetViews>
    <sheetView topLeftCell="AG1" zoomScale="55" zoomScaleNormal="55" workbookViewId="0">
      <pane ySplit="1" topLeftCell="A29" activePane="bottomLeft" state="frozen"/>
      <selection activeCell="AG8" sqref="AG8:AG10"/>
      <selection pane="bottomLeft" activeCell="AG8" sqref="AG8:AG10"/>
    </sheetView>
  </sheetViews>
  <sheetFormatPr defaultRowHeight="15" x14ac:dyDescent="0.25"/>
  <cols>
    <col min="1" max="1" width="8.28515625" customWidth="1"/>
    <col min="2" max="2" width="7.28515625" customWidth="1"/>
    <col min="4" max="4" width="6.5703125" customWidth="1"/>
    <col min="7" max="7" width="24" customWidth="1"/>
    <col min="8" max="8" width="30.5703125" customWidth="1"/>
    <col min="9" max="9" width="26.5703125" customWidth="1"/>
    <col min="10" max="10" width="10.5703125" bestFit="1" customWidth="1"/>
    <col min="11" max="11" width="9.140625" customWidth="1"/>
    <col min="13" max="13" width="7.85546875" customWidth="1"/>
    <col min="17" max="17" width="19.5703125" customWidth="1"/>
    <col min="18" max="18" width="11.85546875" customWidth="1"/>
    <col min="19" max="19" width="16.5703125" customWidth="1"/>
    <col min="20" max="20" width="14.140625" customWidth="1"/>
    <col min="35" max="35" width="14" customWidth="1"/>
    <col min="36" max="37" width="12" customWidth="1"/>
    <col min="39" max="39" width="19" customWidth="1"/>
    <col min="43" max="43" width="18" style="7" customWidth="1"/>
    <col min="49" max="49" width="11.28515625" customWidth="1"/>
    <col min="52" max="52" width="12" customWidth="1"/>
    <col min="54" max="54" width="10.7109375" bestFit="1" customWidth="1"/>
    <col min="56" max="56" width="4.5703125" customWidth="1"/>
    <col min="57" max="57" width="21.28515625" customWidth="1"/>
    <col min="58" max="58" width="15.42578125" customWidth="1"/>
    <col min="59" max="59" width="19.28515625" customWidth="1"/>
    <col min="61" max="61" width="5.7109375" customWidth="1"/>
    <col min="62" max="62" width="13" customWidth="1"/>
    <col min="63" max="63" width="17.42578125" customWidth="1"/>
  </cols>
  <sheetData>
    <row r="1" spans="1:60" x14ac:dyDescent="0.25">
      <c r="A1" s="1" t="s">
        <v>0</v>
      </c>
      <c r="B1" s="2" t="str">
        <f>VLOOKUP(Stn_WL,OFFSET_A,Count_WL+1,FALSE)</f>
        <v xml:space="preserve">  </v>
      </c>
      <c r="C1" s="3"/>
      <c r="D1" s="4"/>
      <c r="E1" s="4" t="s">
        <v>1</v>
      </c>
      <c r="F1" s="5">
        <v>24</v>
      </c>
      <c r="G1" s="4"/>
      <c r="H1" s="4"/>
      <c r="I1" s="4"/>
      <c r="J1" s="4"/>
      <c r="K1" s="4"/>
      <c r="L1" s="4"/>
      <c r="M1" s="4"/>
      <c r="N1" s="4"/>
      <c r="O1" s="4"/>
      <c r="P1" s="4"/>
      <c r="Q1" s="4"/>
      <c r="R1" s="4"/>
      <c r="S1" s="4"/>
      <c r="V1" t="s">
        <v>2</v>
      </c>
      <c r="W1">
        <f ca="1">COUNTIF(OFFSET(Z4,,,ROUNDDOWN(Max_STN_count/2+1,0),1),TRUE)</f>
        <v>5</v>
      </c>
      <c r="X1">
        <f ca="1">COUNTIF(OFFSET(AA4,,,ROUNDDOWN(Max_STN_count/2+1,0),1),TRUE)</f>
        <v>5</v>
      </c>
      <c r="Y1">
        <f ca="1">W1-X1</f>
        <v>0</v>
      </c>
      <c r="AB1" s="6" t="s">
        <v>3</v>
      </c>
      <c r="AC1">
        <f ca="1">COUNTIF(OFFSET(Z4,ROUNDUP(Max_STN_count/2,0),,ROUNDDOWN(Max_STN_count/2,0),1),TRUE)</f>
        <v>5</v>
      </c>
      <c r="AD1">
        <f ca="1">COUNTIF(OFFSET(AA4,ROUNDUP(Max_STN_count/2,0),,ROUNDDOWN(Max_STN_count/2,0),1),TRUE)</f>
        <v>5</v>
      </c>
      <c r="AE1">
        <f ca="1">AC1-AD1</f>
        <v>0</v>
      </c>
      <c r="AG1" t="s">
        <v>4</v>
      </c>
      <c r="AH1">
        <f>COUNTIF(AG4:AG28,TRUE)</f>
        <v>17</v>
      </c>
      <c r="AI1">
        <f ca="1">COUNTIF(OFFSET(AG4,,,ROUNDUP(Max_STN_count/2,0),1),FALSE)</f>
        <v>4</v>
      </c>
      <c r="AW1">
        <f ca="1">COUNTIF(OFFSET(AG4,,,Max_STN_count,1),TRUE)</f>
        <v>17</v>
      </c>
    </row>
    <row r="2" spans="1:60" x14ac:dyDescent="0.25">
      <c r="A2" s="491" t="s">
        <v>5</v>
      </c>
      <c r="B2" s="492"/>
      <c r="C2" s="492"/>
      <c r="D2" s="492"/>
      <c r="E2" s="492"/>
      <c r="F2" s="492"/>
      <c r="G2" s="492"/>
      <c r="H2" s="492"/>
      <c r="I2" s="493"/>
      <c r="J2" s="4"/>
      <c r="K2" s="491" t="s">
        <v>6</v>
      </c>
      <c r="L2" s="492"/>
      <c r="M2" s="492"/>
      <c r="N2" s="492"/>
      <c r="O2" s="493"/>
      <c r="P2" s="4"/>
      <c r="Q2" s="8" t="s">
        <v>7</v>
      </c>
      <c r="R2" s="9" t="s">
        <v>8</v>
      </c>
      <c r="S2" s="10">
        <f>WLS</f>
        <v>2</v>
      </c>
      <c r="V2" s="11"/>
      <c r="W2" s="11"/>
      <c r="X2" s="11"/>
      <c r="Y2" s="11"/>
      <c r="Z2" s="11"/>
      <c r="AA2" s="11"/>
      <c r="AB2" s="11"/>
      <c r="AC2" s="11"/>
      <c r="AD2" s="11"/>
      <c r="AE2" s="11"/>
      <c r="AF2" s="11"/>
      <c r="AG2" s="11"/>
      <c r="AH2" s="11"/>
      <c r="AI2" s="11"/>
      <c r="AJ2" s="11"/>
      <c r="AK2" s="11"/>
      <c r="AL2" s="11"/>
      <c r="AM2" s="11"/>
      <c r="AN2" s="11"/>
      <c r="AO2" s="491" t="s">
        <v>5</v>
      </c>
      <c r="AP2" s="492"/>
      <c r="AQ2" s="492"/>
      <c r="AR2" s="492"/>
      <c r="AS2" s="492"/>
      <c r="AT2" s="492"/>
      <c r="AU2" s="492"/>
      <c r="AV2" s="492"/>
      <c r="AW2" s="493"/>
      <c r="AY2" s="491" t="s">
        <v>6</v>
      </c>
      <c r="AZ2" s="492"/>
      <c r="BA2" s="492"/>
      <c r="BB2" s="492"/>
      <c r="BC2" s="493"/>
      <c r="BE2" s="8" t="s">
        <v>7</v>
      </c>
      <c r="BF2" s="9" t="s">
        <v>8</v>
      </c>
      <c r="BG2" s="10">
        <f>WLS</f>
        <v>2</v>
      </c>
    </row>
    <row r="3" spans="1:60" x14ac:dyDescent="0.25">
      <c r="A3" s="12" t="s">
        <v>9</v>
      </c>
      <c r="B3" s="13" t="s">
        <v>10</v>
      </c>
      <c r="C3" s="14" t="s">
        <v>11</v>
      </c>
      <c r="D3" s="14" t="s">
        <v>12</v>
      </c>
      <c r="E3" s="14" t="s">
        <v>13</v>
      </c>
      <c r="F3" s="14" t="s">
        <v>14</v>
      </c>
      <c r="G3" s="14" t="s">
        <v>15</v>
      </c>
      <c r="H3" s="14" t="s">
        <v>16</v>
      </c>
      <c r="I3" s="14" t="s">
        <v>17</v>
      </c>
      <c r="J3" s="15"/>
      <c r="K3" s="14" t="s">
        <v>18</v>
      </c>
      <c r="L3" s="14" t="s">
        <v>19</v>
      </c>
      <c r="M3" s="14" t="s">
        <v>20</v>
      </c>
      <c r="N3" s="14" t="s">
        <v>21</v>
      </c>
      <c r="O3" s="14" t="s">
        <v>22</v>
      </c>
      <c r="P3" s="15"/>
      <c r="Q3" s="16" t="s">
        <v>23</v>
      </c>
      <c r="R3" s="9" t="s">
        <v>8</v>
      </c>
      <c r="S3" s="10">
        <f>STN_GAP</f>
        <v>7.31</v>
      </c>
      <c r="W3" s="17" t="s">
        <v>11</v>
      </c>
      <c r="X3" s="17"/>
      <c r="Y3" s="17"/>
      <c r="Z3" s="17" t="s">
        <v>24</v>
      </c>
      <c r="AA3" s="17"/>
      <c r="AB3" s="17"/>
      <c r="AC3" s="17"/>
      <c r="AD3" s="17"/>
      <c r="AE3" s="17"/>
      <c r="AF3" s="17"/>
      <c r="AG3" s="17" t="s">
        <v>4</v>
      </c>
      <c r="AH3" s="17"/>
      <c r="AI3" s="17" t="s">
        <v>25</v>
      </c>
      <c r="AJ3" s="17"/>
      <c r="AK3" s="17"/>
      <c r="AL3" s="17"/>
      <c r="AM3" s="18" t="s">
        <v>11</v>
      </c>
      <c r="AO3" s="12" t="s">
        <v>9</v>
      </c>
      <c r="AP3" s="13" t="s">
        <v>10</v>
      </c>
      <c r="AQ3" s="19"/>
      <c r="AR3" s="14" t="s">
        <v>12</v>
      </c>
      <c r="AS3" s="14" t="s">
        <v>13</v>
      </c>
      <c r="AT3" s="14" t="s">
        <v>14</v>
      </c>
      <c r="AU3" s="14" t="s">
        <v>15</v>
      </c>
      <c r="AV3" s="14" t="s">
        <v>16</v>
      </c>
      <c r="AW3" s="14" t="s">
        <v>17</v>
      </c>
      <c r="AY3" s="14" t="s">
        <v>18</v>
      </c>
      <c r="AZ3" s="14" t="s">
        <v>19</v>
      </c>
      <c r="BA3" s="14" t="s">
        <v>20</v>
      </c>
      <c r="BB3" s="14" t="s">
        <v>21</v>
      </c>
      <c r="BC3" s="14" t="s">
        <v>22</v>
      </c>
      <c r="BE3" s="16" t="s">
        <v>23</v>
      </c>
      <c r="BF3" s="9" t="s">
        <v>8</v>
      </c>
      <c r="BG3" s="10">
        <f>STN_GAP</f>
        <v>7.31</v>
      </c>
    </row>
    <row r="4" spans="1:60" x14ac:dyDescent="0.25">
      <c r="A4" s="20">
        <f>Tools!$AD3</f>
        <v>0</v>
      </c>
      <c r="B4" s="21" t="str">
        <f t="shared" ref="B4:B28" si="0">VLOOKUP(A4,OFFSET_A,Count_WL+1,FALSE)</f>
        <v xml:space="preserve">  </v>
      </c>
      <c r="C4" s="22">
        <f>IF(A4="  ","  ",IF(A5="  ","?",1*(A5-A4)))</f>
        <v>0.5</v>
      </c>
      <c r="D4" s="23" t="str">
        <f>IFERROR(B4*C4,"  ")</f>
        <v xml:space="preserve">  </v>
      </c>
      <c r="E4" s="24">
        <f t="shared" ref="E4:E28" si="1">IFERROR(A4-(Long_Div/2),"  ")</f>
        <v>-10</v>
      </c>
      <c r="F4" s="23" t="str">
        <f>IFERROR(D4*E4,"  ")</f>
        <v xml:space="preserve">  </v>
      </c>
      <c r="G4" s="23" t="str">
        <f>IFERROR(F4*E4,"  ")</f>
        <v xml:space="preserve">  </v>
      </c>
      <c r="H4" s="23" t="str">
        <f>IFERROR(B4^3,"  ")</f>
        <v xml:space="preserve">  </v>
      </c>
      <c r="I4" s="23" t="str">
        <f>IFERROR(H4*C4,"  ")</f>
        <v xml:space="preserve">  </v>
      </c>
      <c r="J4" s="4"/>
      <c r="K4" s="25" t="str">
        <f t="shared" ref="K4:K28" si="2">VLOOKUP(A4,AREA_TABLE,Count_WL+1,FALSE)</f>
        <v xml:space="preserve"> </v>
      </c>
      <c r="L4" s="23" t="str">
        <f>IFERROR(K4*C4,"  ")</f>
        <v xml:space="preserve">  </v>
      </c>
      <c r="M4" s="26" t="str">
        <f t="shared" ref="M4:M28" si="3">VLOOKUP(A4,MOMENT_TABLE,Count_WL+1,FALSE)</f>
        <v xml:space="preserve"> </v>
      </c>
      <c r="N4" s="27" t="str">
        <f>IFERROR(M4*C4,"  ")</f>
        <v xml:space="preserve">  </v>
      </c>
      <c r="O4" s="23" t="str">
        <f>IFERROR(L4*E4,"  ")</f>
        <v xml:space="preserve">  </v>
      </c>
      <c r="P4" s="4"/>
      <c r="Q4" s="16" t="s">
        <v>26</v>
      </c>
      <c r="R4" s="9" t="s">
        <v>8</v>
      </c>
      <c r="S4" s="28">
        <f>LBP</f>
        <v>146.19999999999999</v>
      </c>
      <c r="W4" s="29">
        <f>IF(AO4="  ","  ",IF(AO5="  ","?",1*(AO5-AO4)))</f>
        <v>0.5</v>
      </c>
      <c r="X4" s="30" t="str">
        <f t="shared" ref="X4:X28" si="4">IF(Y4=0,"--",CONCATENATE(IF(AO4=0,"-",IF(Y3=0,"-",IF(AO4-AO3=0.5,"D",IF(AO4-AO3=1,"W","-")))),IF(AO4=Long_Div,"-",IF(Y5=0,"-",IF(AO5-AO4=0.5,"D",IF(AO5-AO4=1,"W","-"))))))</f>
        <v>-D</v>
      </c>
      <c r="Y4" s="30" t="str">
        <f t="shared" ref="Y4:Y28" si="5">IF(ISNUMBER(AO4),IF(AO4=Long_Div/2,"-",IF(AND(AO4=Long_Div,$AP4=0,$AP3=0),0,IF(AND(AO4=0,$AP4=0,$AP5=0),0,IF($AO4&lt;Long_Div/2,IF(AND(Y3=0,$AP4=0,$AP5=0),0,"-"),IF(AND(Y5=0,$AP4=0,$AP3=0),0,"-")))))," ")</f>
        <v>-</v>
      </c>
      <c r="Z4" s="29" t="b">
        <f t="shared" ref="Z4:Z28" si="6">IF(ISNUMBER(AO4),IF(AO4=0,IF(AO5=0.5,TRUE,FALSE),IF(AO4=Long_Div,IF(AO3=Long_Div-0.5,TRUE,FALSE),IF(OR(AO5-AO4=0.5,AO4-AO3=0.5),TRUE,FALSE)))," ")</f>
        <v>1</v>
      </c>
      <c r="AA4" s="29" t="b">
        <f t="shared" ref="AA4:AA28" si="7">IF(ISNUMBER(AO4),IF(Y4=0," ",IF(AO4=0,IF(AO5=0.5,TRUE,"-"),IF(AO4=Long_Div,IF(AO3=Long_Div-0.5,TRUE,"-"),IF(OR(AO5-AO4=0.5,AO4-AO3=0.5),TRUE,FALSE))))," ")</f>
        <v>1</v>
      </c>
      <c r="AB4" s="29" t="str">
        <f t="shared" ref="AB4:AB28" ca="1" si="8">IF(AO4&lt;=Long_Div/2,IF(ISNUMBER(AO4),IF($X$1=0,"---",IF($X$1=1,"##",IF($X$1=2,IF(AD4=1,"141-4",IF(OR(AD4=0,AD4=2),"141-1","**")),IF(AC4&lt;=($Y$1),"--",IF(AC4&gt;$W$1,"++",IF(ISODD($X$1),IF(OR(AD4=1,AD4=$X$1),"141-1",IF(ISODD(AD4),"141-2",IF(ISEVEN(AD4),"141-4","+"))),IF(ISEVEN($X$1),IF(AD4=1,"1331-1",IF(OR(AD4=2,AD4=3),"1331-3",IF(AD4=4,IF($X$1=4,"1331-1","1331-1,141-1"),IF(AD4=$X$1,"141-1",IF(AD4&lt;=4,"??",IF(ISODD(AD4),"141-4",IF(ISEVEN(AD4),"141-2","SS"))))))))))))))," "),IF(AO4&gt;Long_Div/2,IF(ISNUMBER(AO4),IF($AD$1=0,"---",IF($AD$1=1,"##",IF($AD$1=2,IF(AD4=1,"141-4",IF(OR(AD4=0,AD4=2),"141-1","**")),IF(AC4&lt;=($AE$1),"--",IF(AC4&gt;$AC$1,"++",IF(ISODD($AD$1),IF(OR(AD4=1,AD4=$AD$1),"141-1",IF(ISODD(AD4),"141-2",IF(ISEVEN(AD4),"141-4","+"))),IF(ISEVEN($AD$1),IF(AD4=1,"1331-1",IF(OR(AD4=2,AD4=3),"1331-3",IF(AD4=4,IF($AD$1=4,"1331-1","1331-1,141-1"),IF(AD4=$AD$1,"141-1",IF(AD4&lt;=4,"??",IF(ISODD(AD4),"141-4",IF(ISEVEN(AD4),"141-2","SS"))))))))))))))," "),"@"))</f>
        <v>141-1</v>
      </c>
      <c r="AC4" s="29">
        <f>IF(ISNUMBER(AO4),IF(ISNUMBER(AO4),IF(OR(AO4=0,AO4=Long_Div),1,IF(AO4&gt;Long_Div/2,AC5+1,IF(AO4&lt;=Long_Div/2,AE3+1,"?")))," --")," ")</f>
        <v>1</v>
      </c>
      <c r="AD4" s="29">
        <f t="shared" ref="AD4:AD28" ca="1" si="9">IF(ISNUMBER(AO4),IF(AO4&gt;Long_Div/2,4-ROW(AD4)+Max_STN_count-$AE$1,ROW(AD4)-3-$Y$1)," ")</f>
        <v>1</v>
      </c>
      <c r="AE4" s="29">
        <v>1</v>
      </c>
      <c r="AF4" s="31" t="str">
        <f t="shared" ref="AF4:AF8" si="10">IF(AND(AG4=TRUE,OR(NOT(AG3=TRUE),AG3="Full")),1,IF(ISNUMBER(AF3),AF3+1," "))</f>
        <v xml:space="preserve"> </v>
      </c>
      <c r="AG4" s="29" t="b">
        <f t="shared" ref="AG4:AG28" si="11">IF(ISNUMBER(AO4),IF(AA4=" "," ",IF(AO4=0,IF(AO5-AO4=1,TRUE,FALSE),IF(AO4=Long_Div,IF(AO4-AO3=1,TRUE,FALSE),IF(OR(AO5-AO4=1,AO4-AO3=1),TRUE,FALSE))))," ")</f>
        <v>0</v>
      </c>
      <c r="AH4" s="30" t="str">
        <f t="shared" ref="AH4:AH13" si="12">IF(AND(AG4=TRUE,$AH$1=1),"141-4",IF(AG4=" ",IF(AND($AH$1=2,AF4=3),"141-1","-"),IF(OR(AG4=FALSE,AG4=" "),"-",IF(AG4=TRUE,IF(AND($AH$1=2,AF4=1),"141-1",IF(AND($AH$1=2,AF4=2),"141-4",IF(OR(ISODD($AH$1),AF4&gt;4),IF(AF4=1,"141-1",IF(OR(AB4="141-1",AB4="1331-1",AB4="1331-1,141-1"),"141-1",IF(AG5=" ","141-1",IF(OR(AH3="141-1",AH3="141-2",AH3="1331-1,141-1"),"141-4",IF(AH3="141-4","141-2","$$"))))),IF(ISEVEN($AH$1),IF(AF4=1,"1331-1",IF(OR(AF4=2,AF4=3),"1331-3",IF(AF4=4,IF($AH$1=4,"1331-1","1331-1,141-1"),"")))))))))))</f>
        <v>-</v>
      </c>
      <c r="AI4" s="30" t="str">
        <f t="shared" ref="AI4:AI28" ca="1" si="13">IF(OR(AB4="1331-1",AB4="1331-1,141-1"),"(1/2)*(3/8)",IF(AB4="1331-3","(1/2)*(9/8)",IF(AB4="141-1","(1/2)*(1/3)",IF(AB4="141-2","(1/2)*(2/3)",IF(AB4="141-4","(1/2)*(4/3)","")))))</f>
        <v>(1/2)*(1/3)</v>
      </c>
      <c r="AJ4" s="29">
        <f t="shared" ref="AJ4:AJ28" ca="1" si="14">IF(OR(AB4="1331-1",AB4="1331-1,141-1"),(1/2)*(3/8),IF(AB4="1331-3",(1/2)*(9/8),IF(AB4="141-1",(1/2)*(1/3),IF(AB4="141-2",(1/2)*(2/3),IF(AB4="141-4",(1/2)*(4/3),0)))))</f>
        <v>0.16666666666666666</v>
      </c>
      <c r="AK4" s="29" t="str">
        <f t="shared" ref="AK4:AK28" si="15">IF(AH4="1331-1,141-1","(1*3/8)+(1/3)",IF(LEFT(AH4,4)="141-",CONCATENATE(RIGHT(AH4,1),"/3"),IF(LEFT(AH4,4)="1331",CONCATENATE(RIGHT(AH4,1),"*3/8"),"")))</f>
        <v/>
      </c>
      <c r="AL4" s="29">
        <f t="shared" ref="AL4:AL28" si="16">IF(AH4="1331-1,141-1",(1*3/8)+(1/3),IF(LEFT(AH4,4)="141-",(RIGHT(AH4,1)/3),IF(LEFT(AH4,4)="1331",RIGHT(AH4,1)*3/8,0)))</f>
        <v>0</v>
      </c>
      <c r="AM4" s="32">
        <f ca="1">IF(AQ4=""," ",AJ4+AL4)</f>
        <v>0.16666666666666666</v>
      </c>
      <c r="AO4" s="20">
        <f>Tools!$AD3</f>
        <v>0</v>
      </c>
      <c r="AP4" s="33" t="str">
        <f t="shared" ref="AP4" si="17">VLOOKUP(AO4,OFFSET_A,Count_WL+1,FALSE)</f>
        <v xml:space="preserve">  </v>
      </c>
      <c r="AQ4" s="34" t="str">
        <f t="shared" ref="AQ4:AQ28" ca="1" si="18">CONCATENATE(AI4,IF(NOT(OR(AI4="",AK4="")),"+",""),AK4)</f>
        <v>(1/2)*(1/3)</v>
      </c>
      <c r="AR4" s="23" t="str">
        <f t="shared" ref="AR4:AR28" ca="1" si="19">IFERROR(AP4*AM4,"  ")</f>
        <v xml:space="preserve">  </v>
      </c>
      <c r="AS4" s="24">
        <f t="shared" ref="AS4:AS28" si="20">IFERROR(AO4-(Long_Div/2),"  ")</f>
        <v>-10</v>
      </c>
      <c r="AT4" s="23" t="str">
        <f ca="1">IFERROR(AR4*AS4,"  ")</f>
        <v xml:space="preserve">  </v>
      </c>
      <c r="AU4" s="23" t="str">
        <f ca="1">IFERROR(AT4*AS4,"  ")</f>
        <v xml:space="preserve">  </v>
      </c>
      <c r="AV4" s="23" t="str">
        <f t="shared" ref="AV4:AV28" si="21">IFERROR(AP4^3,"  ")</f>
        <v xml:space="preserve">  </v>
      </c>
      <c r="AW4" s="23" t="str">
        <f t="shared" ref="AW4:AW28" ca="1" si="22">IFERROR(AV4*AM4,"  ")</f>
        <v xml:space="preserve">  </v>
      </c>
      <c r="AY4" s="35" t="str">
        <f t="shared" ref="AY4:AY28" si="23">IF(ROW(AY4)-3&gt;Max_STN_count," ",VLOOKUP(AO4,AREA_TABLE,Count_WL+1,FALSE))</f>
        <v xml:space="preserve"> </v>
      </c>
      <c r="AZ4" s="23" t="str">
        <f t="shared" ref="AZ4:AZ7" ca="1" si="24">IFERROR(AY4*AM4,"  ")</f>
        <v xml:space="preserve">  </v>
      </c>
      <c r="BA4" s="36" t="str">
        <f t="shared" ref="BA4:BA28" si="25">IF(ROW(AY4)-3&gt;Max_STN_count," ",VLOOKUP(AO4,MOMENT_TABLE,Count_WL+1,FALSE))</f>
        <v xml:space="preserve"> </v>
      </c>
      <c r="BB4" s="27" t="str">
        <f ca="1">IFERROR(BA4*AM4,"  ")</f>
        <v xml:space="preserve">  </v>
      </c>
      <c r="BC4" s="23" t="str">
        <f ca="1">IFERROR(AZ4*AS4,"  ")</f>
        <v xml:space="preserve">  </v>
      </c>
      <c r="BE4" s="16" t="s">
        <v>26</v>
      </c>
      <c r="BF4" s="9" t="s">
        <v>8</v>
      </c>
      <c r="BG4" s="28">
        <f>LBP</f>
        <v>146.19999999999999</v>
      </c>
    </row>
    <row r="5" spans="1:60" x14ac:dyDescent="0.25">
      <c r="A5" s="20">
        <f>Tools!$AD4</f>
        <v>0.5</v>
      </c>
      <c r="B5" s="33" t="str">
        <f t="shared" si="0"/>
        <v xml:space="preserve">  </v>
      </c>
      <c r="C5" s="22">
        <f>IF(A5="  ","  ",IF(AND(A4="  ",A6="  "),"?",IF(A4="  ",2*(A6-A5),IF(A6="  ",2*(A5-A4),2*(A6-A4)))))</f>
        <v>2</v>
      </c>
      <c r="D5" s="23" t="str">
        <f t="shared" ref="D5:D28" si="26">IFERROR(B5*C5,"  ")</f>
        <v xml:space="preserve">  </v>
      </c>
      <c r="E5" s="24">
        <f t="shared" si="1"/>
        <v>-9.5</v>
      </c>
      <c r="F5" s="23" t="str">
        <f t="shared" ref="F5:F28" si="27">IFERROR(D5*E5,"  ")</f>
        <v xml:space="preserve">  </v>
      </c>
      <c r="G5" s="23" t="str">
        <f t="shared" ref="G5:G28" si="28">IFERROR(F5*E5,"  ")</f>
        <v xml:space="preserve">  </v>
      </c>
      <c r="H5" s="23" t="str">
        <f t="shared" ref="H5:H28" si="29">IFERROR(B5^3,"  ")</f>
        <v xml:space="preserve">  </v>
      </c>
      <c r="I5" s="23" t="str">
        <f t="shared" ref="I5:I28" si="30">IFERROR(H5*C5,"  ")</f>
        <v xml:space="preserve">  </v>
      </c>
      <c r="J5" s="4"/>
      <c r="K5" s="37" t="str">
        <f t="shared" si="2"/>
        <v xml:space="preserve"> </v>
      </c>
      <c r="L5" s="23" t="str">
        <f t="shared" ref="L5:L28" si="31">IFERROR(K5*C5,"  ")</f>
        <v xml:space="preserve">  </v>
      </c>
      <c r="M5" s="38" t="str">
        <f t="shared" si="3"/>
        <v xml:space="preserve"> </v>
      </c>
      <c r="N5" s="27" t="str">
        <f t="shared" ref="N5:N28" si="32">IFERROR(M5*C5,"  ")</f>
        <v xml:space="preserve">  </v>
      </c>
      <c r="O5" s="23" t="str">
        <f t="shared" ref="O5:O28" si="33">IFERROR(L5*E5,"  ")</f>
        <v xml:space="preserve">  </v>
      </c>
      <c r="P5" s="4"/>
      <c r="Q5" s="8" t="s">
        <v>27</v>
      </c>
      <c r="R5" s="9" t="s">
        <v>8</v>
      </c>
      <c r="S5" s="10">
        <f>BREADTH</f>
        <v>22</v>
      </c>
      <c r="W5" s="29">
        <f>IF(AO5="  ","  ",IF(AND(AO4="  ",AO6="  "),"?",IF(AO4="  ",2*(AO6-AO5),IF(AO6="  ",2*(AO5-AO4),2*(AO6-AO4)))))</f>
        <v>2</v>
      </c>
      <c r="X5" s="30" t="str">
        <f t="shared" si="4"/>
        <v>DD</v>
      </c>
      <c r="Y5" s="30" t="str">
        <f t="shared" si="5"/>
        <v>-</v>
      </c>
      <c r="Z5" s="29" t="b">
        <f t="shared" si="6"/>
        <v>1</v>
      </c>
      <c r="AA5" s="29" t="b">
        <f t="shared" si="7"/>
        <v>1</v>
      </c>
      <c r="AB5" s="29" t="str">
        <f t="shared" ca="1" si="8"/>
        <v>141-4</v>
      </c>
      <c r="AC5" s="29">
        <f t="shared" ref="AC5:AC27" si="34">IF(ISNUMBER(AO5),IF(ISNUMBER(AO5),IF(OR(AO5=0,AO5=Long_Div),1,IF(AO5&gt;Long_Div/2,AC6+1,IF(AO5&lt;=Long_Div/2,AC4+1,"?")))," --")," ")</f>
        <v>2</v>
      </c>
      <c r="AD5" s="29">
        <f t="shared" ca="1" si="9"/>
        <v>2</v>
      </c>
      <c r="AE5" s="29">
        <v>2</v>
      </c>
      <c r="AF5" s="31" t="str">
        <f t="shared" si="10"/>
        <v xml:space="preserve"> </v>
      </c>
      <c r="AG5" s="29" t="b">
        <f t="shared" si="11"/>
        <v>0</v>
      </c>
      <c r="AH5" s="30" t="str">
        <f t="shared" si="12"/>
        <v>-</v>
      </c>
      <c r="AI5" s="30" t="str">
        <f t="shared" ca="1" si="13"/>
        <v>(1/2)*(4/3)</v>
      </c>
      <c r="AJ5" s="29">
        <f t="shared" ca="1" si="14"/>
        <v>0.66666666666666663</v>
      </c>
      <c r="AK5" s="29" t="str">
        <f t="shared" si="15"/>
        <v/>
      </c>
      <c r="AL5" s="29">
        <f t="shared" si="16"/>
        <v>0</v>
      </c>
      <c r="AM5" s="32">
        <f t="shared" ref="AM5:AM28" ca="1" si="35">IF(AQ5=""," ",AJ5+AL5)</f>
        <v>0.66666666666666663</v>
      </c>
      <c r="AO5" s="20">
        <f>Tools!$AD4</f>
        <v>0.5</v>
      </c>
      <c r="AP5" s="33" t="str">
        <f t="shared" ref="AP5:AP26" si="36">VLOOKUP(AO5,OFFSET_A,Count_WL+1,FALSE)</f>
        <v xml:space="preserve">  </v>
      </c>
      <c r="AQ5" s="34" t="str">
        <f t="shared" ca="1" si="18"/>
        <v>(1/2)*(4/3)</v>
      </c>
      <c r="AR5" s="23" t="str">
        <f t="shared" ca="1" si="19"/>
        <v xml:space="preserve">  </v>
      </c>
      <c r="AS5" s="24">
        <f t="shared" si="20"/>
        <v>-9.5</v>
      </c>
      <c r="AT5" s="23" t="str">
        <f t="shared" ref="AT5:AT28" ca="1" si="37">IFERROR(AR5*AS5,"  ")</f>
        <v xml:space="preserve">  </v>
      </c>
      <c r="AU5" s="23" t="str">
        <f ca="1">IFERROR(AT5*AS5,"  ")</f>
        <v xml:space="preserve">  </v>
      </c>
      <c r="AV5" s="23" t="str">
        <f t="shared" si="21"/>
        <v xml:space="preserve">  </v>
      </c>
      <c r="AW5" s="23" t="str">
        <f t="shared" ca="1" si="22"/>
        <v xml:space="preserve">  </v>
      </c>
      <c r="AY5" s="35" t="str">
        <f t="shared" si="23"/>
        <v xml:space="preserve"> </v>
      </c>
      <c r="AZ5" s="23" t="str">
        <f t="shared" ca="1" si="24"/>
        <v xml:space="preserve">  </v>
      </c>
      <c r="BA5" s="36" t="str">
        <f t="shared" si="25"/>
        <v xml:space="preserve"> </v>
      </c>
      <c r="BB5" s="27" t="str">
        <f t="shared" ref="BB5:BB28" ca="1" si="38">IFERROR(BA5*AM5,"  ")</f>
        <v xml:space="preserve">  </v>
      </c>
      <c r="BC5" s="23" t="str">
        <f t="shared" ref="BC5:BC28" ca="1" si="39">IFERROR(AZ5*AS5,"  ")</f>
        <v xml:space="preserve">  </v>
      </c>
      <c r="BE5" s="8" t="s">
        <v>27</v>
      </c>
      <c r="BF5" s="9" t="s">
        <v>8</v>
      </c>
      <c r="BG5" s="10">
        <f>BREADTH</f>
        <v>22</v>
      </c>
    </row>
    <row r="6" spans="1:60" x14ac:dyDescent="0.25">
      <c r="A6" s="20">
        <f>Tools!$AD5</f>
        <v>1</v>
      </c>
      <c r="B6" s="33" t="str">
        <f t="shared" si="0"/>
        <v xml:space="preserve">  </v>
      </c>
      <c r="C6" s="22">
        <f>IF(A6="  ","  ",IF(AND(A5="  ",A7="  "),"?",IF(A5="  ",1*(A7-A6),IF(A7="  ",1*(A6-A5),1*(A7-A5)))))</f>
        <v>1</v>
      </c>
      <c r="D6" s="23" t="str">
        <f t="shared" si="26"/>
        <v xml:space="preserve">  </v>
      </c>
      <c r="E6" s="24">
        <f t="shared" si="1"/>
        <v>-9</v>
      </c>
      <c r="F6" s="23" t="str">
        <f t="shared" si="27"/>
        <v xml:space="preserve">  </v>
      </c>
      <c r="G6" s="23" t="str">
        <f t="shared" si="28"/>
        <v xml:space="preserve">  </v>
      </c>
      <c r="H6" s="23" t="str">
        <f t="shared" si="29"/>
        <v xml:space="preserve">  </v>
      </c>
      <c r="I6" s="23" t="str">
        <f t="shared" si="30"/>
        <v xml:space="preserve">  </v>
      </c>
      <c r="J6" s="4"/>
      <c r="K6" s="37" t="str">
        <f t="shared" si="2"/>
        <v xml:space="preserve"> </v>
      </c>
      <c r="L6" s="23" t="str">
        <f t="shared" si="31"/>
        <v xml:space="preserve">  </v>
      </c>
      <c r="M6" s="38" t="str">
        <f t="shared" si="3"/>
        <v xml:space="preserve"> </v>
      </c>
      <c r="N6" s="27" t="str">
        <f t="shared" si="32"/>
        <v xml:space="preserve">  </v>
      </c>
      <c r="O6" s="23" t="str">
        <f t="shared" si="33"/>
        <v xml:space="preserve">  </v>
      </c>
      <c r="P6" s="4"/>
      <c r="Q6" s="8" t="s">
        <v>28</v>
      </c>
      <c r="R6" s="9" t="s">
        <v>8</v>
      </c>
      <c r="S6" s="10">
        <f>DEPTH</f>
        <v>13</v>
      </c>
      <c r="W6" s="29">
        <f>IF(AO6="  ","  ",IF(AND(AO5="  ",AO7="  "),"?",IF(AO5="  ",1*(AO7-AO6),IF(AO7="  ",1*(AO6-AO5),1*(AO7-AO5)))))</f>
        <v>1</v>
      </c>
      <c r="X6" s="30" t="str">
        <f t="shared" si="4"/>
        <v>DD</v>
      </c>
      <c r="Y6" s="30" t="str">
        <f t="shared" si="5"/>
        <v>-</v>
      </c>
      <c r="Z6" s="29" t="b">
        <f t="shared" si="6"/>
        <v>1</v>
      </c>
      <c r="AA6" s="29" t="b">
        <f t="shared" si="7"/>
        <v>1</v>
      </c>
      <c r="AB6" s="29" t="str">
        <f t="shared" ca="1" si="8"/>
        <v>141-2</v>
      </c>
      <c r="AC6" s="29">
        <f t="shared" si="34"/>
        <v>3</v>
      </c>
      <c r="AD6" s="29">
        <f t="shared" ca="1" si="9"/>
        <v>3</v>
      </c>
      <c r="AE6" s="29">
        <v>3</v>
      </c>
      <c r="AF6" s="31" t="str">
        <f t="shared" si="10"/>
        <v xml:space="preserve"> </v>
      </c>
      <c r="AG6" s="29" t="b">
        <f t="shared" si="11"/>
        <v>0</v>
      </c>
      <c r="AH6" s="30" t="str">
        <f t="shared" si="12"/>
        <v>-</v>
      </c>
      <c r="AI6" s="30" t="str">
        <f t="shared" ca="1" si="13"/>
        <v>(1/2)*(2/3)</v>
      </c>
      <c r="AJ6" s="29">
        <f t="shared" ca="1" si="14"/>
        <v>0.33333333333333331</v>
      </c>
      <c r="AK6" s="29" t="str">
        <f t="shared" si="15"/>
        <v/>
      </c>
      <c r="AL6" s="29">
        <f t="shared" si="16"/>
        <v>0</v>
      </c>
      <c r="AM6" s="32">
        <f t="shared" ca="1" si="35"/>
        <v>0.33333333333333331</v>
      </c>
      <c r="AO6" s="20">
        <f>Tools!$AD5</f>
        <v>1</v>
      </c>
      <c r="AP6" s="33" t="str">
        <f t="shared" si="36"/>
        <v xml:space="preserve">  </v>
      </c>
      <c r="AQ6" s="34" t="str">
        <f t="shared" ca="1" si="18"/>
        <v>(1/2)*(2/3)</v>
      </c>
      <c r="AR6" s="23" t="str">
        <f t="shared" ca="1" si="19"/>
        <v xml:space="preserve">  </v>
      </c>
      <c r="AS6" s="24">
        <f t="shared" si="20"/>
        <v>-9</v>
      </c>
      <c r="AT6" s="23" t="str">
        <f t="shared" ca="1" si="37"/>
        <v xml:space="preserve">  </v>
      </c>
      <c r="AU6" s="23" t="str">
        <f ca="1">IFERROR(AT6*AS6,"  ")</f>
        <v xml:space="preserve">  </v>
      </c>
      <c r="AV6" s="23" t="str">
        <f t="shared" si="21"/>
        <v xml:space="preserve">  </v>
      </c>
      <c r="AW6" s="23" t="str">
        <f t="shared" ca="1" si="22"/>
        <v xml:space="preserve">  </v>
      </c>
      <c r="AY6" s="35" t="str">
        <f t="shared" si="23"/>
        <v xml:space="preserve"> </v>
      </c>
      <c r="AZ6" s="23" t="str">
        <f t="shared" ca="1" si="24"/>
        <v xml:space="preserve">  </v>
      </c>
      <c r="BA6" s="36" t="str">
        <f t="shared" si="25"/>
        <v xml:space="preserve"> </v>
      </c>
      <c r="BB6" s="27" t="str">
        <f t="shared" ca="1" si="38"/>
        <v xml:space="preserve">  </v>
      </c>
      <c r="BC6" s="23" t="str">
        <f t="shared" ca="1" si="39"/>
        <v xml:space="preserve">  </v>
      </c>
      <c r="BE6" s="8" t="s">
        <v>28</v>
      </c>
      <c r="BF6" s="9" t="s">
        <v>8</v>
      </c>
      <c r="BG6" s="10">
        <f>DEPTH</f>
        <v>13</v>
      </c>
    </row>
    <row r="7" spans="1:60" x14ac:dyDescent="0.25">
      <c r="A7" s="20">
        <f>Tools!$AD6</f>
        <v>1.5</v>
      </c>
      <c r="B7" s="33" t="str">
        <f t="shared" si="0"/>
        <v xml:space="preserve">  </v>
      </c>
      <c r="C7" s="22">
        <f>IF(A7="  ","  ",IF(AND(A6="  ",A8="  "),"?",IF(A6="  ",2*(A8-A7),IF(A8="  ",2*(A7-A6),2*(A8-A6)))))</f>
        <v>2</v>
      </c>
      <c r="D7" s="23" t="str">
        <f t="shared" si="26"/>
        <v xml:space="preserve">  </v>
      </c>
      <c r="E7" s="24">
        <f t="shared" si="1"/>
        <v>-8.5</v>
      </c>
      <c r="F7" s="23" t="str">
        <f t="shared" si="27"/>
        <v xml:space="preserve">  </v>
      </c>
      <c r="G7" s="23" t="str">
        <f t="shared" si="28"/>
        <v xml:space="preserve">  </v>
      </c>
      <c r="H7" s="23" t="str">
        <f t="shared" si="29"/>
        <v xml:space="preserve">  </v>
      </c>
      <c r="I7" s="23" t="str">
        <f t="shared" si="30"/>
        <v xml:space="preserve">  </v>
      </c>
      <c r="J7" s="4"/>
      <c r="K7" s="37" t="str">
        <f t="shared" si="2"/>
        <v xml:space="preserve"> </v>
      </c>
      <c r="L7" s="23" t="str">
        <f t="shared" si="31"/>
        <v xml:space="preserve">  </v>
      </c>
      <c r="M7" s="38" t="str">
        <f t="shared" si="3"/>
        <v xml:space="preserve"> </v>
      </c>
      <c r="N7" s="27" t="str">
        <f t="shared" si="32"/>
        <v xml:space="preserve">  </v>
      </c>
      <c r="O7" s="23" t="str">
        <f t="shared" si="33"/>
        <v xml:space="preserve">  </v>
      </c>
      <c r="P7" s="4"/>
      <c r="Q7" s="39" t="s">
        <v>29</v>
      </c>
      <c r="R7" s="40" t="s">
        <v>8</v>
      </c>
      <c r="S7" s="41" t="str">
        <f>IF(MAX(B4:B28)=0," ",2*MAX(B4:B28))</f>
        <v xml:space="preserve"> </v>
      </c>
      <c r="W7" s="29">
        <f>IF(AO7="  ","  ",IF(AND(AO6="  ",AO8="  "),"?",IF(AO6="  ",2*(AO8-AO7),IF(AO8="  ",2*(AO7-AO6),2*(AO8-AO6)))))</f>
        <v>2</v>
      </c>
      <c r="X7" s="30" t="str">
        <f t="shared" si="4"/>
        <v>DD</v>
      </c>
      <c r="Y7" s="30" t="str">
        <f t="shared" si="5"/>
        <v>-</v>
      </c>
      <c r="Z7" s="29" t="b">
        <f t="shared" si="6"/>
        <v>1</v>
      </c>
      <c r="AA7" s="29" t="b">
        <f t="shared" si="7"/>
        <v>1</v>
      </c>
      <c r="AB7" s="29" t="str">
        <f t="shared" ca="1" si="8"/>
        <v>141-4</v>
      </c>
      <c r="AC7" s="29">
        <f t="shared" si="34"/>
        <v>4</v>
      </c>
      <c r="AD7" s="29">
        <f t="shared" ca="1" si="9"/>
        <v>4</v>
      </c>
      <c r="AE7" s="29">
        <v>4</v>
      </c>
      <c r="AF7" s="31" t="str">
        <f t="shared" si="10"/>
        <v xml:space="preserve"> </v>
      </c>
      <c r="AG7" s="29" t="b">
        <f t="shared" si="11"/>
        <v>0</v>
      </c>
      <c r="AH7" s="30" t="str">
        <f t="shared" si="12"/>
        <v>-</v>
      </c>
      <c r="AI7" s="30" t="str">
        <f t="shared" ca="1" si="13"/>
        <v>(1/2)*(4/3)</v>
      </c>
      <c r="AJ7" s="29">
        <f t="shared" ca="1" si="14"/>
        <v>0.66666666666666663</v>
      </c>
      <c r="AK7" s="29" t="str">
        <f t="shared" si="15"/>
        <v/>
      </c>
      <c r="AL7" s="29">
        <f t="shared" si="16"/>
        <v>0</v>
      </c>
      <c r="AM7" s="32">
        <f t="shared" ca="1" si="35"/>
        <v>0.66666666666666663</v>
      </c>
      <c r="AO7" s="20">
        <f>Tools!$AD6</f>
        <v>1.5</v>
      </c>
      <c r="AP7" s="33" t="str">
        <f t="shared" si="36"/>
        <v xml:space="preserve">  </v>
      </c>
      <c r="AQ7" s="34" t="str">
        <f t="shared" ca="1" si="18"/>
        <v>(1/2)*(4/3)</v>
      </c>
      <c r="AR7" s="23" t="str">
        <f t="shared" ca="1" si="19"/>
        <v xml:space="preserve">  </v>
      </c>
      <c r="AS7" s="24">
        <f t="shared" si="20"/>
        <v>-8.5</v>
      </c>
      <c r="AT7" s="23" t="str">
        <f t="shared" ca="1" si="37"/>
        <v xml:space="preserve">  </v>
      </c>
      <c r="AU7" s="23" t="str">
        <f t="shared" ref="AU7:AU28" ca="1" si="40">IFERROR(AT7*AS7,"  ")</f>
        <v xml:space="preserve">  </v>
      </c>
      <c r="AV7" s="23" t="str">
        <f t="shared" si="21"/>
        <v xml:space="preserve">  </v>
      </c>
      <c r="AW7" s="23" t="str">
        <f t="shared" ca="1" si="22"/>
        <v xml:space="preserve">  </v>
      </c>
      <c r="AY7" s="35" t="str">
        <f t="shared" si="23"/>
        <v xml:space="preserve"> </v>
      </c>
      <c r="AZ7" s="23" t="str">
        <f t="shared" ca="1" si="24"/>
        <v xml:space="preserve">  </v>
      </c>
      <c r="BA7" s="36" t="str">
        <f t="shared" si="25"/>
        <v xml:space="preserve"> </v>
      </c>
      <c r="BB7" s="27" t="str">
        <f t="shared" ca="1" si="38"/>
        <v xml:space="preserve">  </v>
      </c>
      <c r="BC7" s="23" t="str">
        <f t="shared" ca="1" si="39"/>
        <v xml:space="preserve">  </v>
      </c>
      <c r="BE7" s="8" t="s">
        <v>29</v>
      </c>
      <c r="BF7" s="9" t="s">
        <v>8</v>
      </c>
      <c r="BG7" s="10" t="str">
        <f>IF(MAX(AP4:AP28)=0," ",2*MAX(AP4:AP28))</f>
        <v xml:space="preserve"> </v>
      </c>
    </row>
    <row r="8" spans="1:60" x14ac:dyDescent="0.25">
      <c r="A8" s="20">
        <f>Tools!$AD7</f>
        <v>2</v>
      </c>
      <c r="B8" s="33" t="str">
        <f t="shared" si="0"/>
        <v xml:space="preserve">  </v>
      </c>
      <c r="C8" s="22">
        <f>IF(A8="  ","  ",IF(AND(A7="  ",A9="  "),"?",IF(A7="  ",1*(A9-A8),IF(A9="  ",1*(A8-A7),1*(A9-A7)))))</f>
        <v>1.5</v>
      </c>
      <c r="D8" s="23" t="str">
        <f t="shared" si="26"/>
        <v xml:space="preserve">  </v>
      </c>
      <c r="E8" s="24">
        <f t="shared" si="1"/>
        <v>-8</v>
      </c>
      <c r="F8" s="23" t="str">
        <f t="shared" si="27"/>
        <v xml:space="preserve">  </v>
      </c>
      <c r="G8" s="23" t="str">
        <f t="shared" si="28"/>
        <v xml:space="preserve">  </v>
      </c>
      <c r="H8" s="23" t="str">
        <f t="shared" si="29"/>
        <v xml:space="preserve">  </v>
      </c>
      <c r="I8" s="23" t="str">
        <f t="shared" si="30"/>
        <v xml:space="preserve">  </v>
      </c>
      <c r="J8" s="4"/>
      <c r="K8" s="37" t="str">
        <f t="shared" si="2"/>
        <v xml:space="preserve"> </v>
      </c>
      <c r="L8" s="23" t="str">
        <f t="shared" si="31"/>
        <v xml:space="preserve">  </v>
      </c>
      <c r="M8" s="38" t="str">
        <f t="shared" si="3"/>
        <v xml:space="preserve"> </v>
      </c>
      <c r="N8" s="27" t="str">
        <f t="shared" si="32"/>
        <v xml:space="preserve">  </v>
      </c>
      <c r="O8" s="23" t="str">
        <f t="shared" si="33"/>
        <v xml:space="preserve">  </v>
      </c>
      <c r="P8" s="4"/>
      <c r="Q8" s="42"/>
      <c r="R8" s="42"/>
      <c r="S8" s="42"/>
      <c r="W8" s="29">
        <f>IF(AO8="  ","  ",IF(AND(AO7="  ",AO9="  "),"?",IF(AO7="  ",1*(AO9-AO8),IF(AO9="  ",1*(AO8-AO7),1*(AO9-AO7)))))</f>
        <v>1.5</v>
      </c>
      <c r="X8" s="30" t="str">
        <f t="shared" si="4"/>
        <v>DW</v>
      </c>
      <c r="Y8" s="30" t="str">
        <f t="shared" si="5"/>
        <v>-</v>
      </c>
      <c r="Z8" s="29" t="b">
        <f t="shared" si="6"/>
        <v>1</v>
      </c>
      <c r="AA8" s="29" t="b">
        <f t="shared" si="7"/>
        <v>1</v>
      </c>
      <c r="AB8" s="29" t="str">
        <f t="shared" ca="1" si="8"/>
        <v>141-1</v>
      </c>
      <c r="AC8" s="29">
        <f t="shared" si="34"/>
        <v>5</v>
      </c>
      <c r="AD8" s="29">
        <f t="shared" ca="1" si="9"/>
        <v>5</v>
      </c>
      <c r="AE8" s="29">
        <v>5</v>
      </c>
      <c r="AF8" s="31">
        <f t="shared" si="10"/>
        <v>1</v>
      </c>
      <c r="AG8" s="29" t="b">
        <f t="shared" si="11"/>
        <v>1</v>
      </c>
      <c r="AH8" s="30" t="str">
        <f t="shared" si="12"/>
        <v>141-1</v>
      </c>
      <c r="AI8" s="30" t="str">
        <f t="shared" ca="1" si="13"/>
        <v>(1/2)*(1/3)</v>
      </c>
      <c r="AJ8" s="29">
        <f t="shared" ca="1" si="14"/>
        <v>0.16666666666666666</v>
      </c>
      <c r="AK8" s="29" t="str">
        <f t="shared" si="15"/>
        <v>1/3</v>
      </c>
      <c r="AL8" s="29">
        <f t="shared" si="16"/>
        <v>0.33333333333333331</v>
      </c>
      <c r="AM8" s="32">
        <f t="shared" ca="1" si="35"/>
        <v>0.5</v>
      </c>
      <c r="AO8" s="20">
        <f>Tools!$AD7</f>
        <v>2</v>
      </c>
      <c r="AP8" s="33" t="str">
        <f t="shared" si="36"/>
        <v xml:space="preserve">  </v>
      </c>
      <c r="AQ8" s="34" t="str">
        <f t="shared" ca="1" si="18"/>
        <v>(1/2)*(1/3)+1/3</v>
      </c>
      <c r="AR8" s="23" t="str">
        <f t="shared" ca="1" si="19"/>
        <v xml:space="preserve">  </v>
      </c>
      <c r="AS8" s="24">
        <f t="shared" si="20"/>
        <v>-8</v>
      </c>
      <c r="AT8" s="23" t="str">
        <f t="shared" ca="1" si="37"/>
        <v xml:space="preserve">  </v>
      </c>
      <c r="AU8" s="23" t="str">
        <f t="shared" ca="1" si="40"/>
        <v xml:space="preserve">  </v>
      </c>
      <c r="AV8" s="23" t="str">
        <f t="shared" si="21"/>
        <v xml:space="preserve">  </v>
      </c>
      <c r="AW8" s="23" t="str">
        <f t="shared" ca="1" si="22"/>
        <v xml:space="preserve">  </v>
      </c>
      <c r="AY8" s="35" t="str">
        <f t="shared" si="23"/>
        <v xml:space="preserve"> </v>
      </c>
      <c r="AZ8" s="23" t="str">
        <f ca="1">IFERROR(AY8*AM8,"  ")</f>
        <v xml:space="preserve">  </v>
      </c>
      <c r="BA8" s="36" t="str">
        <f t="shared" si="25"/>
        <v xml:space="preserve"> </v>
      </c>
      <c r="BB8" s="27" t="str">
        <f t="shared" ca="1" si="38"/>
        <v xml:space="preserve">  </v>
      </c>
      <c r="BC8" s="23" t="str">
        <f t="shared" ca="1" si="39"/>
        <v xml:space="preserve">  </v>
      </c>
      <c r="BE8" s="8" t="s">
        <v>30</v>
      </c>
      <c r="BF8" s="9" t="s">
        <v>8</v>
      </c>
      <c r="BG8" s="10">
        <f ca="1">LBP-AJ33</f>
        <v>146.19999999999999</v>
      </c>
      <c r="BH8" t="str">
        <f ca="1">IF(AJ33&gt;0,CONCATENATE("(LWL is assumed between stations ",$AH$31," and ",$AH$33," as offset values extreme to these stations are zeros.)"),"")</f>
        <v/>
      </c>
    </row>
    <row r="9" spans="1:60" x14ac:dyDescent="0.25">
      <c r="A9" s="20">
        <f>Tools!$AD8</f>
        <v>3</v>
      </c>
      <c r="B9" s="33" t="str">
        <f t="shared" si="0"/>
        <v xml:space="preserve">  </v>
      </c>
      <c r="C9" s="22">
        <f>IF(A9="  ","  ",IF(AND(A8="  ",A10="  "),"?",IF(A8="  ",2*(A10-A9),IF(A10="  ",2*(A9-A8),2*(A10-A8)))))</f>
        <v>4</v>
      </c>
      <c r="D9" s="23" t="str">
        <f t="shared" si="26"/>
        <v xml:space="preserve">  </v>
      </c>
      <c r="E9" s="24">
        <f t="shared" si="1"/>
        <v>-7</v>
      </c>
      <c r="F9" s="23" t="str">
        <f t="shared" si="27"/>
        <v xml:space="preserve">  </v>
      </c>
      <c r="G9" s="23" t="str">
        <f t="shared" si="28"/>
        <v xml:space="preserve">  </v>
      </c>
      <c r="H9" s="23" t="str">
        <f t="shared" si="29"/>
        <v xml:space="preserve">  </v>
      </c>
      <c r="I9" s="23" t="str">
        <f t="shared" si="30"/>
        <v xml:space="preserve">  </v>
      </c>
      <c r="J9" s="4"/>
      <c r="K9" s="37" t="str">
        <f t="shared" si="2"/>
        <v xml:space="preserve"> </v>
      </c>
      <c r="L9" s="23" t="str">
        <f t="shared" si="31"/>
        <v xml:space="preserve">  </v>
      </c>
      <c r="M9" s="38" t="str">
        <f t="shared" si="3"/>
        <v xml:space="preserve"> </v>
      </c>
      <c r="N9" s="27" t="str">
        <f t="shared" si="32"/>
        <v xml:space="preserve">  </v>
      </c>
      <c r="O9" s="23" t="str">
        <f t="shared" si="33"/>
        <v xml:space="preserve">  </v>
      </c>
      <c r="P9" s="4"/>
      <c r="Q9" s="43" t="s">
        <v>31</v>
      </c>
      <c r="R9" s="44" t="s">
        <v>32</v>
      </c>
      <c r="S9" s="489" t="s">
        <v>33</v>
      </c>
      <c r="W9" s="29">
        <f>IF(AO9="  ","  ",IF(AND(AO8="  ",AO10="  "),"?",IF(AO8="  ",2*(AO10-AO9),IF(AO10="  ",2*(AO9-AO8),2*(AO10-AO8)))))</f>
        <v>4</v>
      </c>
      <c r="X9" s="30" t="str">
        <f t="shared" si="4"/>
        <v>WW</v>
      </c>
      <c r="Y9" s="30" t="str">
        <f t="shared" si="5"/>
        <v>-</v>
      </c>
      <c r="Z9" s="29" t="b">
        <f t="shared" si="6"/>
        <v>0</v>
      </c>
      <c r="AA9" s="29" t="b">
        <f t="shared" si="7"/>
        <v>0</v>
      </c>
      <c r="AB9" s="29" t="str">
        <f t="shared" ca="1" si="8"/>
        <v>++</v>
      </c>
      <c r="AC9" s="29">
        <f t="shared" si="34"/>
        <v>6</v>
      </c>
      <c r="AD9" s="29">
        <f t="shared" ca="1" si="9"/>
        <v>6</v>
      </c>
      <c r="AE9" s="29">
        <v>6</v>
      </c>
      <c r="AF9" s="31">
        <f>IF(AND(AG9=TRUE,OR(NOT(AG8=TRUE),AG8="Full")),1,IF(ISNUMBER(AF8),AF8+1," "))</f>
        <v>2</v>
      </c>
      <c r="AG9" s="29" t="b">
        <f t="shared" si="11"/>
        <v>1</v>
      </c>
      <c r="AH9" s="30" t="str">
        <f t="shared" ca="1" si="12"/>
        <v>141-4</v>
      </c>
      <c r="AI9" s="30" t="str">
        <f t="shared" ca="1" si="13"/>
        <v/>
      </c>
      <c r="AJ9" s="29">
        <f t="shared" ca="1" si="14"/>
        <v>0</v>
      </c>
      <c r="AK9" s="29" t="str">
        <f t="shared" ca="1" si="15"/>
        <v>4/3</v>
      </c>
      <c r="AL9" s="29">
        <f t="shared" ca="1" si="16"/>
        <v>1.3333333333333333</v>
      </c>
      <c r="AM9" s="32">
        <f t="shared" ca="1" si="35"/>
        <v>1.3333333333333333</v>
      </c>
      <c r="AO9" s="20">
        <f>Tools!$AD8</f>
        <v>3</v>
      </c>
      <c r="AP9" s="33" t="str">
        <f t="shared" si="36"/>
        <v xml:space="preserve">  </v>
      </c>
      <c r="AQ9" s="34" t="str">
        <f t="shared" ca="1" si="18"/>
        <v>4/3</v>
      </c>
      <c r="AR9" s="23" t="str">
        <f t="shared" ca="1" si="19"/>
        <v xml:space="preserve">  </v>
      </c>
      <c r="AS9" s="24">
        <f t="shared" si="20"/>
        <v>-7</v>
      </c>
      <c r="AT9" s="23" t="str">
        <f t="shared" ca="1" si="37"/>
        <v xml:space="preserve">  </v>
      </c>
      <c r="AU9" s="23" t="str">
        <f t="shared" ca="1" si="40"/>
        <v xml:space="preserve">  </v>
      </c>
      <c r="AV9" s="23" t="str">
        <f t="shared" si="21"/>
        <v xml:space="preserve">  </v>
      </c>
      <c r="AW9" s="23" t="str">
        <f t="shared" ca="1" si="22"/>
        <v xml:space="preserve">  </v>
      </c>
      <c r="AY9" s="35" t="str">
        <f t="shared" si="23"/>
        <v xml:space="preserve"> </v>
      </c>
      <c r="AZ9" s="23" t="str">
        <f t="shared" ref="AZ9:AZ28" ca="1" si="41">IFERROR(AY9*AM9,"  ")</f>
        <v xml:space="preserve">  </v>
      </c>
      <c r="BA9" s="36" t="str">
        <f t="shared" si="25"/>
        <v xml:space="preserve"> </v>
      </c>
      <c r="BB9" s="27" t="str">
        <f t="shared" ca="1" si="38"/>
        <v xml:space="preserve">  </v>
      </c>
      <c r="BC9" s="23" t="str">
        <f t="shared" ca="1" si="39"/>
        <v xml:space="preserve">  </v>
      </c>
    </row>
    <row r="10" spans="1:60" x14ac:dyDescent="0.25">
      <c r="A10" s="20">
        <f>Tools!$AD9</f>
        <v>4</v>
      </c>
      <c r="B10" s="33" t="str">
        <f t="shared" si="0"/>
        <v xml:space="preserve">  </v>
      </c>
      <c r="C10" s="22">
        <f>IF(A10="  ","  ",IF(AND(A9="  ",A11="  "),"?",IF(A9="  ",1*(A11-A10),IF(A11="  ",1*(A10-A9),1*(A11-A9)))))</f>
        <v>2</v>
      </c>
      <c r="D10" s="23" t="str">
        <f t="shared" si="26"/>
        <v xml:space="preserve">  </v>
      </c>
      <c r="E10" s="24">
        <f t="shared" si="1"/>
        <v>-6</v>
      </c>
      <c r="F10" s="23" t="str">
        <f t="shared" si="27"/>
        <v xml:space="preserve">  </v>
      </c>
      <c r="G10" s="23" t="str">
        <f t="shared" si="28"/>
        <v xml:space="preserve">  </v>
      </c>
      <c r="H10" s="23" t="str">
        <f t="shared" si="29"/>
        <v xml:space="preserve">  </v>
      </c>
      <c r="I10" s="23" t="str">
        <f>IFERROR(H10*C10,"  ")</f>
        <v xml:space="preserve">  </v>
      </c>
      <c r="J10" s="4"/>
      <c r="K10" s="37" t="str">
        <f t="shared" si="2"/>
        <v xml:space="preserve"> </v>
      </c>
      <c r="L10" s="23" t="str">
        <f t="shared" si="31"/>
        <v xml:space="preserve">  </v>
      </c>
      <c r="M10" s="38" t="str">
        <f t="shared" si="3"/>
        <v xml:space="preserve"> </v>
      </c>
      <c r="N10" s="27" t="str">
        <f t="shared" si="32"/>
        <v xml:space="preserve">  </v>
      </c>
      <c r="O10" s="23" t="str">
        <f t="shared" si="33"/>
        <v xml:space="preserve">  </v>
      </c>
      <c r="P10" s="4"/>
      <c r="Q10" s="45"/>
      <c r="R10" s="46"/>
      <c r="S10" s="490"/>
      <c r="W10" s="29">
        <f>IF(AO10="  ","  ",IF(AND(AO9="  ",AO11="  "),"?",IF(AO9="  ",1*(AO11-AO10),IF(AO11="  ",1*(AO10-AO9),1*(AO11-AO9)))))</f>
        <v>2</v>
      </c>
      <c r="X10" s="30" t="str">
        <f t="shared" si="4"/>
        <v>WW</v>
      </c>
      <c r="Y10" s="30" t="str">
        <f t="shared" si="5"/>
        <v>-</v>
      </c>
      <c r="Z10" s="29" t="b">
        <f t="shared" si="6"/>
        <v>0</v>
      </c>
      <c r="AA10" s="29" t="b">
        <f t="shared" si="7"/>
        <v>0</v>
      </c>
      <c r="AB10" s="29" t="str">
        <f t="shared" ca="1" si="8"/>
        <v>++</v>
      </c>
      <c r="AC10" s="29">
        <f t="shared" si="34"/>
        <v>7</v>
      </c>
      <c r="AD10" s="29">
        <f t="shared" ca="1" si="9"/>
        <v>7</v>
      </c>
      <c r="AE10" s="29">
        <v>7</v>
      </c>
      <c r="AF10" s="31">
        <f t="shared" ref="AF10:AF28" si="42">IF(AND(AG10=TRUE,OR(NOT(AG9=TRUE),AG9="Full")),1,IF(ISNUMBER(AF9),AF9+1," "))</f>
        <v>3</v>
      </c>
      <c r="AG10" s="29" t="b">
        <f t="shared" si="11"/>
        <v>1</v>
      </c>
      <c r="AH10" s="30" t="str">
        <f t="shared" ca="1" si="12"/>
        <v>141-2</v>
      </c>
      <c r="AI10" s="30" t="str">
        <f t="shared" ca="1" si="13"/>
        <v/>
      </c>
      <c r="AJ10" s="29">
        <f t="shared" ca="1" si="14"/>
        <v>0</v>
      </c>
      <c r="AK10" s="29" t="str">
        <f t="shared" ca="1" si="15"/>
        <v>2/3</v>
      </c>
      <c r="AL10" s="29">
        <f t="shared" ca="1" si="16"/>
        <v>0.66666666666666663</v>
      </c>
      <c r="AM10" s="32">
        <f t="shared" ca="1" si="35"/>
        <v>0.66666666666666663</v>
      </c>
      <c r="AO10" s="20">
        <f>Tools!$AD9</f>
        <v>4</v>
      </c>
      <c r="AP10" s="33" t="str">
        <f t="shared" si="36"/>
        <v xml:space="preserve">  </v>
      </c>
      <c r="AQ10" s="34" t="str">
        <f t="shared" ca="1" si="18"/>
        <v>2/3</v>
      </c>
      <c r="AR10" s="23" t="str">
        <f t="shared" ca="1" si="19"/>
        <v xml:space="preserve">  </v>
      </c>
      <c r="AS10" s="24">
        <f t="shared" si="20"/>
        <v>-6</v>
      </c>
      <c r="AT10" s="23" t="str">
        <f t="shared" ca="1" si="37"/>
        <v xml:space="preserve">  </v>
      </c>
      <c r="AU10" s="23" t="str">
        <f ca="1">IFERROR(AT10*AS10,"  ")</f>
        <v xml:space="preserve">  </v>
      </c>
      <c r="AV10" s="23" t="str">
        <f t="shared" si="21"/>
        <v xml:space="preserve">  </v>
      </c>
      <c r="AW10" s="23" t="str">
        <f t="shared" ca="1" si="22"/>
        <v xml:space="preserve">  </v>
      </c>
      <c r="AY10" s="35" t="str">
        <f t="shared" si="23"/>
        <v xml:space="preserve"> </v>
      </c>
      <c r="AZ10" s="23" t="str">
        <f t="shared" ca="1" si="41"/>
        <v xml:space="preserve">  </v>
      </c>
      <c r="BA10" s="36" t="str">
        <f t="shared" si="25"/>
        <v xml:space="preserve"> </v>
      </c>
      <c r="BB10" s="27" t="str">
        <f t="shared" ca="1" si="38"/>
        <v xml:space="preserve">  </v>
      </c>
      <c r="BC10" s="23" t="str">
        <f t="shared" ca="1" si="39"/>
        <v xml:space="preserve">  </v>
      </c>
      <c r="BE10" s="43" t="s">
        <v>31</v>
      </c>
      <c r="BF10" s="44" t="s">
        <v>32</v>
      </c>
      <c r="BG10" s="489" t="s">
        <v>33</v>
      </c>
    </row>
    <row r="11" spans="1:60" x14ac:dyDescent="0.25">
      <c r="A11" s="20">
        <f>Tools!$AD10</f>
        <v>5</v>
      </c>
      <c r="B11" s="33" t="str">
        <f t="shared" si="0"/>
        <v xml:space="preserve">  </v>
      </c>
      <c r="C11" s="22">
        <f>IF(A11="  ","  ",IF(AND(A10="  ",A12="  "),"?",IF(A10="  ",2*(A12-A11),IF(A12="  ",2*(A11-A10),2*(A12-A10)))))</f>
        <v>4</v>
      </c>
      <c r="D11" s="23" t="str">
        <f t="shared" si="26"/>
        <v xml:space="preserve">  </v>
      </c>
      <c r="E11" s="24">
        <f t="shared" si="1"/>
        <v>-5</v>
      </c>
      <c r="F11" s="23" t="str">
        <f t="shared" si="27"/>
        <v xml:space="preserve">  </v>
      </c>
      <c r="G11" s="23" t="str">
        <f t="shared" si="28"/>
        <v xml:space="preserve">  </v>
      </c>
      <c r="H11" s="23" t="str">
        <f t="shared" si="29"/>
        <v xml:space="preserve">  </v>
      </c>
      <c r="I11" s="23" t="str">
        <f t="shared" si="30"/>
        <v xml:space="preserve">  </v>
      </c>
      <c r="J11" s="4"/>
      <c r="K11" s="37" t="str">
        <f t="shared" si="2"/>
        <v xml:space="preserve"> </v>
      </c>
      <c r="L11" s="23" t="str">
        <f t="shared" si="31"/>
        <v xml:space="preserve">  </v>
      </c>
      <c r="M11" s="38" t="str">
        <f t="shared" si="3"/>
        <v xml:space="preserve"> </v>
      </c>
      <c r="N11" s="27" t="str">
        <f t="shared" si="32"/>
        <v xml:space="preserve">  </v>
      </c>
      <c r="O11" s="23" t="str">
        <f t="shared" si="33"/>
        <v xml:space="preserve">  </v>
      </c>
      <c r="P11" s="4"/>
      <c r="Q11" s="47" t="s">
        <v>34</v>
      </c>
      <c r="R11" s="48" t="s">
        <v>35</v>
      </c>
      <c r="S11" t="str">
        <f>IF(Tools!$L$49="Use 141 rule only",I35,IF(Tools!$L$49="Use 141 and 1331 rules",BG12," "))</f>
        <v xml:space="preserve">  </v>
      </c>
      <c r="W11" s="29">
        <f>IF(AO11="  ","  ",IF(AND(AO10="  ",AO12="  "),"?",IF(AO10="  ",2*(AO12-AO11),IF(AO12="  ",2*(AO11-AO10),2*(AO12-AO10)))))</f>
        <v>4</v>
      </c>
      <c r="X11" s="30" t="str">
        <f t="shared" si="4"/>
        <v>WW</v>
      </c>
      <c r="Y11" s="30" t="str">
        <f t="shared" si="5"/>
        <v>-</v>
      </c>
      <c r="Z11" s="29" t="b">
        <f t="shared" si="6"/>
        <v>0</v>
      </c>
      <c r="AA11" s="29" t="b">
        <f t="shared" si="7"/>
        <v>0</v>
      </c>
      <c r="AB11" s="29" t="str">
        <f t="shared" ca="1" si="8"/>
        <v>++</v>
      </c>
      <c r="AC11" s="29">
        <f t="shared" si="34"/>
        <v>8</v>
      </c>
      <c r="AD11" s="29">
        <f t="shared" ca="1" si="9"/>
        <v>8</v>
      </c>
      <c r="AE11" s="29">
        <v>8</v>
      </c>
      <c r="AF11" s="31">
        <f t="shared" si="42"/>
        <v>4</v>
      </c>
      <c r="AG11" s="29" t="b">
        <f t="shared" si="11"/>
        <v>1</v>
      </c>
      <c r="AH11" s="30" t="str">
        <f t="shared" ca="1" si="12"/>
        <v>141-4</v>
      </c>
      <c r="AI11" s="30" t="str">
        <f t="shared" ca="1" si="13"/>
        <v/>
      </c>
      <c r="AJ11" s="29">
        <f t="shared" ca="1" si="14"/>
        <v>0</v>
      </c>
      <c r="AK11" s="29" t="str">
        <f t="shared" ca="1" si="15"/>
        <v>4/3</v>
      </c>
      <c r="AL11" s="29">
        <f t="shared" ca="1" si="16"/>
        <v>1.3333333333333333</v>
      </c>
      <c r="AM11" s="32">
        <f t="shared" ca="1" si="35"/>
        <v>1.3333333333333333</v>
      </c>
      <c r="AO11" s="20">
        <f>Tools!$AD10</f>
        <v>5</v>
      </c>
      <c r="AP11" s="33" t="str">
        <f t="shared" si="36"/>
        <v xml:space="preserve">  </v>
      </c>
      <c r="AQ11" s="34" t="str">
        <f t="shared" ca="1" si="18"/>
        <v>4/3</v>
      </c>
      <c r="AR11" s="23" t="str">
        <f t="shared" ca="1" si="19"/>
        <v xml:space="preserve">  </v>
      </c>
      <c r="AS11" s="24">
        <f t="shared" si="20"/>
        <v>-5</v>
      </c>
      <c r="AT11" s="23" t="str">
        <f t="shared" ca="1" si="37"/>
        <v xml:space="preserve">  </v>
      </c>
      <c r="AU11" s="23" t="str">
        <f t="shared" ca="1" si="40"/>
        <v xml:space="preserve">  </v>
      </c>
      <c r="AV11" s="23" t="str">
        <f t="shared" si="21"/>
        <v xml:space="preserve">  </v>
      </c>
      <c r="AW11" s="23" t="str">
        <f t="shared" ca="1" si="22"/>
        <v xml:space="preserve">  </v>
      </c>
      <c r="AY11" s="35" t="str">
        <f t="shared" si="23"/>
        <v xml:space="preserve"> </v>
      </c>
      <c r="AZ11" s="23" t="str">
        <f t="shared" ca="1" si="41"/>
        <v xml:space="preserve">  </v>
      </c>
      <c r="BA11" s="36" t="str">
        <f t="shared" si="25"/>
        <v xml:space="preserve"> </v>
      </c>
      <c r="BB11" s="27" t="str">
        <f t="shared" ca="1" si="38"/>
        <v xml:space="preserve">  </v>
      </c>
      <c r="BC11" s="23" t="str">
        <f ca="1">IFERROR(AZ11*AS11,"  ")</f>
        <v xml:space="preserve">  </v>
      </c>
      <c r="BE11" s="45"/>
      <c r="BF11" s="46"/>
      <c r="BG11" s="490"/>
    </row>
    <row r="12" spans="1:60" x14ac:dyDescent="0.25">
      <c r="A12" s="20">
        <f>Tools!$AD11</f>
        <v>6</v>
      </c>
      <c r="B12" s="33" t="str">
        <f t="shared" si="0"/>
        <v xml:space="preserve">  </v>
      </c>
      <c r="C12" s="22">
        <f>IF(A12="  ","  ",IF(AND(A11="  ",A13="  "),"?",IF(A11="  ",1*(A13-A12),IF(A13="  ",1*(A12-A11),1*(A13-A11)))))</f>
        <v>2</v>
      </c>
      <c r="D12" s="23" t="str">
        <f t="shared" si="26"/>
        <v xml:space="preserve">  </v>
      </c>
      <c r="E12" s="24">
        <f t="shared" si="1"/>
        <v>-4</v>
      </c>
      <c r="F12" s="23" t="str">
        <f t="shared" si="27"/>
        <v xml:space="preserve">  </v>
      </c>
      <c r="G12" s="23" t="str">
        <f t="shared" si="28"/>
        <v xml:space="preserve">  </v>
      </c>
      <c r="H12" s="23" t="str">
        <f t="shared" si="29"/>
        <v xml:space="preserve">  </v>
      </c>
      <c r="I12" s="23" t="str">
        <f t="shared" si="30"/>
        <v xml:space="preserve">  </v>
      </c>
      <c r="J12" s="4"/>
      <c r="K12" s="37" t="str">
        <f t="shared" si="2"/>
        <v xml:space="preserve"> </v>
      </c>
      <c r="L12" s="23" t="str">
        <f t="shared" si="31"/>
        <v xml:space="preserve">  </v>
      </c>
      <c r="M12" s="38" t="str">
        <f t="shared" si="3"/>
        <v xml:space="preserve"> </v>
      </c>
      <c r="N12" s="27" t="str">
        <f t="shared" si="32"/>
        <v xml:space="preserve">  </v>
      </c>
      <c r="O12" s="23" t="str">
        <f t="shared" si="33"/>
        <v xml:space="preserve">  </v>
      </c>
      <c r="P12" s="4"/>
      <c r="Q12" s="47" t="s">
        <v>36</v>
      </c>
      <c r="R12" s="48" t="s">
        <v>37</v>
      </c>
      <c r="S12" t="str">
        <f>IF(Tools!$L$49="Use 141 rule only",I36,IF(Tools!$L$49="Use 141 and 1331 rules",BG13," "))</f>
        <v xml:space="preserve">  </v>
      </c>
      <c r="W12" s="29">
        <f>IF(AO12="  ","  ",IF(AND(AO11="  ",AO13="  "),"?",IF(AO11="  ",1*(AO13-AO12),IF(AO13="  ",1*(AO12-AO11),1*(AO13-AO11)))))</f>
        <v>2</v>
      </c>
      <c r="X12" s="30" t="str">
        <f t="shared" si="4"/>
        <v>WW</v>
      </c>
      <c r="Y12" s="30" t="str">
        <f t="shared" si="5"/>
        <v>-</v>
      </c>
      <c r="Z12" s="29" t="b">
        <f t="shared" si="6"/>
        <v>0</v>
      </c>
      <c r="AA12" s="29" t="b">
        <f t="shared" si="7"/>
        <v>0</v>
      </c>
      <c r="AB12" s="29" t="str">
        <f t="shared" ca="1" si="8"/>
        <v>++</v>
      </c>
      <c r="AC12" s="29">
        <f t="shared" si="34"/>
        <v>9</v>
      </c>
      <c r="AD12" s="29">
        <f t="shared" ca="1" si="9"/>
        <v>9</v>
      </c>
      <c r="AE12" s="29">
        <v>9</v>
      </c>
      <c r="AF12" s="31">
        <f t="shared" si="42"/>
        <v>5</v>
      </c>
      <c r="AG12" s="29" t="b">
        <f t="shared" si="11"/>
        <v>1</v>
      </c>
      <c r="AH12" s="30" t="str">
        <f t="shared" ca="1" si="12"/>
        <v>141-2</v>
      </c>
      <c r="AI12" s="30" t="str">
        <f t="shared" ca="1" si="13"/>
        <v/>
      </c>
      <c r="AJ12" s="29">
        <f t="shared" ca="1" si="14"/>
        <v>0</v>
      </c>
      <c r="AK12" s="29" t="str">
        <f t="shared" ca="1" si="15"/>
        <v>2/3</v>
      </c>
      <c r="AL12" s="29">
        <f t="shared" ca="1" si="16"/>
        <v>0.66666666666666663</v>
      </c>
      <c r="AM12" s="32">
        <f t="shared" ca="1" si="35"/>
        <v>0.66666666666666663</v>
      </c>
      <c r="AO12" s="20">
        <f>Tools!$AD11</f>
        <v>6</v>
      </c>
      <c r="AP12" s="33" t="str">
        <f t="shared" si="36"/>
        <v xml:space="preserve">  </v>
      </c>
      <c r="AQ12" s="34" t="str">
        <f t="shared" ca="1" si="18"/>
        <v>2/3</v>
      </c>
      <c r="AR12" s="23" t="str">
        <f t="shared" ca="1" si="19"/>
        <v xml:space="preserve">  </v>
      </c>
      <c r="AS12" s="24">
        <f t="shared" si="20"/>
        <v>-4</v>
      </c>
      <c r="AT12" s="23" t="str">
        <f t="shared" ca="1" si="37"/>
        <v xml:space="preserve">  </v>
      </c>
      <c r="AU12" s="23" t="str">
        <f t="shared" ca="1" si="40"/>
        <v xml:space="preserve">  </v>
      </c>
      <c r="AV12" s="23" t="str">
        <f t="shared" si="21"/>
        <v xml:space="preserve">  </v>
      </c>
      <c r="AW12" s="23" t="str">
        <f t="shared" ca="1" si="22"/>
        <v xml:space="preserve">  </v>
      </c>
      <c r="AY12" s="35" t="str">
        <f t="shared" si="23"/>
        <v xml:space="preserve"> </v>
      </c>
      <c r="AZ12" s="23" t="str">
        <f t="shared" ca="1" si="41"/>
        <v xml:space="preserve">  </v>
      </c>
      <c r="BA12" s="36" t="str">
        <f t="shared" si="25"/>
        <v xml:space="preserve"> </v>
      </c>
      <c r="BB12" s="27" t="str">
        <f t="shared" ca="1" si="38"/>
        <v xml:space="preserve">  </v>
      </c>
      <c r="BC12" s="23" t="str">
        <f t="shared" ca="1" si="39"/>
        <v xml:space="preserve">  </v>
      </c>
      <c r="BE12" s="47" t="s">
        <v>34</v>
      </c>
      <c r="BF12" s="48" t="s">
        <v>38</v>
      </c>
      <c r="BG12" s="49" t="str">
        <f>IF(WL_No="  ","  ",2*h*$AR$29)</f>
        <v xml:space="preserve">  </v>
      </c>
    </row>
    <row r="13" spans="1:60" x14ac:dyDescent="0.25">
      <c r="A13" s="20">
        <f>Tools!$AD12</f>
        <v>7</v>
      </c>
      <c r="B13" s="33" t="str">
        <f t="shared" si="0"/>
        <v xml:space="preserve">  </v>
      </c>
      <c r="C13" s="22">
        <f>IF(A13="  ","  ",IF(AND(A12="  ",A14="  "),"?",IF(A12="  ",2*(A14-A13),IF(A14="  ",2*(A13-A12),2*(A14-A12)))))</f>
        <v>4</v>
      </c>
      <c r="D13" s="23" t="str">
        <f t="shared" si="26"/>
        <v xml:space="preserve">  </v>
      </c>
      <c r="E13" s="24">
        <f t="shared" si="1"/>
        <v>-3</v>
      </c>
      <c r="F13" s="23" t="str">
        <f t="shared" si="27"/>
        <v xml:space="preserve">  </v>
      </c>
      <c r="G13" s="23" t="str">
        <f t="shared" si="28"/>
        <v xml:space="preserve">  </v>
      </c>
      <c r="H13" s="23" t="str">
        <f t="shared" si="29"/>
        <v xml:space="preserve">  </v>
      </c>
      <c r="I13" s="23" t="str">
        <f t="shared" si="30"/>
        <v xml:space="preserve">  </v>
      </c>
      <c r="J13" s="4"/>
      <c r="K13" s="37" t="str">
        <f t="shared" si="2"/>
        <v xml:space="preserve"> </v>
      </c>
      <c r="L13" s="23" t="str">
        <f t="shared" si="31"/>
        <v xml:space="preserve">  </v>
      </c>
      <c r="M13" s="38" t="str">
        <f t="shared" si="3"/>
        <v xml:space="preserve"> </v>
      </c>
      <c r="N13" s="27" t="str">
        <f t="shared" si="32"/>
        <v xml:space="preserve">  </v>
      </c>
      <c r="O13" s="23" t="str">
        <f t="shared" si="33"/>
        <v xml:space="preserve">  </v>
      </c>
      <c r="P13" s="4"/>
      <c r="Q13" s="50" t="s">
        <v>39</v>
      </c>
      <c r="R13" s="48" t="s">
        <v>40</v>
      </c>
      <c r="S13" t="str">
        <f>IF(Tools!$L$49="Use 141 rule only",I37,IF(Tools!$L$49="Use 141 and 1331 rules",BG14," "))</f>
        <v xml:space="preserve">  </v>
      </c>
      <c r="W13" s="29">
        <f>IF(AO13="  ","  ",IF(AND(AO12="  ",AO14="  "),"?",IF(AO12="  ",2*(AO14-AO13),IF(AO14="  ",2*(AO13-AO12),2*(AO14-AO12)))))</f>
        <v>4</v>
      </c>
      <c r="X13" s="30" t="str">
        <f t="shared" si="4"/>
        <v>WW</v>
      </c>
      <c r="Y13" s="30" t="str">
        <f t="shared" si="5"/>
        <v>-</v>
      </c>
      <c r="Z13" s="29" t="b">
        <f t="shared" si="6"/>
        <v>0</v>
      </c>
      <c r="AA13" s="29" t="b">
        <f t="shared" si="7"/>
        <v>0</v>
      </c>
      <c r="AB13" s="29" t="str">
        <f t="shared" ca="1" si="8"/>
        <v>++</v>
      </c>
      <c r="AC13" s="29">
        <f t="shared" si="34"/>
        <v>10</v>
      </c>
      <c r="AD13" s="29">
        <f t="shared" ca="1" si="9"/>
        <v>10</v>
      </c>
      <c r="AE13" s="29">
        <v>10</v>
      </c>
      <c r="AF13" s="31">
        <f t="shared" si="42"/>
        <v>6</v>
      </c>
      <c r="AG13" s="29" t="b">
        <f t="shared" si="11"/>
        <v>1</v>
      </c>
      <c r="AH13" s="30" t="str">
        <f t="shared" ca="1" si="12"/>
        <v>141-4</v>
      </c>
      <c r="AI13" s="30" t="str">
        <f t="shared" ca="1" si="13"/>
        <v/>
      </c>
      <c r="AJ13" s="29">
        <f t="shared" ca="1" si="14"/>
        <v>0</v>
      </c>
      <c r="AK13" s="29" t="str">
        <f t="shared" ca="1" si="15"/>
        <v>4/3</v>
      </c>
      <c r="AL13" s="29">
        <f t="shared" ca="1" si="16"/>
        <v>1.3333333333333333</v>
      </c>
      <c r="AM13" s="32">
        <f t="shared" ca="1" si="35"/>
        <v>1.3333333333333333</v>
      </c>
      <c r="AO13" s="20">
        <f>Tools!$AD12</f>
        <v>7</v>
      </c>
      <c r="AP13" s="33" t="str">
        <f t="shared" si="36"/>
        <v xml:space="preserve">  </v>
      </c>
      <c r="AQ13" s="34" t="str">
        <f t="shared" ca="1" si="18"/>
        <v>4/3</v>
      </c>
      <c r="AR13" s="23" t="str">
        <f t="shared" ca="1" si="19"/>
        <v xml:space="preserve">  </v>
      </c>
      <c r="AS13" s="24">
        <f t="shared" si="20"/>
        <v>-3</v>
      </c>
      <c r="AT13" s="23" t="str">
        <f t="shared" ca="1" si="37"/>
        <v xml:space="preserve">  </v>
      </c>
      <c r="AU13" s="23" t="str">
        <f t="shared" ca="1" si="40"/>
        <v xml:space="preserve">  </v>
      </c>
      <c r="AV13" s="23" t="str">
        <f t="shared" si="21"/>
        <v xml:space="preserve">  </v>
      </c>
      <c r="AW13" s="23" t="str">
        <f t="shared" ca="1" si="22"/>
        <v xml:space="preserve">  </v>
      </c>
      <c r="AY13" s="35" t="str">
        <f t="shared" si="23"/>
        <v xml:space="preserve"> </v>
      </c>
      <c r="AZ13" s="23" t="str">
        <f t="shared" ca="1" si="41"/>
        <v xml:space="preserve">  </v>
      </c>
      <c r="BA13" s="36" t="str">
        <f t="shared" si="25"/>
        <v xml:space="preserve"> </v>
      </c>
      <c r="BB13" s="27" t="str">
        <f t="shared" ca="1" si="38"/>
        <v xml:space="preserve">  </v>
      </c>
      <c r="BC13" s="23" t="str">
        <f t="shared" ca="1" si="39"/>
        <v xml:space="preserve">  </v>
      </c>
      <c r="BE13" s="47" t="s">
        <v>36</v>
      </c>
      <c r="BF13" s="48" t="s">
        <v>41</v>
      </c>
      <c r="BG13" s="49" t="str">
        <f>IF(WL_No="  ","  ",2*(h^2)*$AT$29)</f>
        <v xml:space="preserve">  </v>
      </c>
    </row>
    <row r="14" spans="1:60" x14ac:dyDescent="0.25">
      <c r="A14" s="20">
        <f>Tools!$AD13</f>
        <v>8</v>
      </c>
      <c r="B14" s="33" t="str">
        <f t="shared" si="0"/>
        <v xml:space="preserve">  </v>
      </c>
      <c r="C14" s="22">
        <f>IF(A14="  ","  ",IF(AND(A13="  ",A15="  "),"?",IF(A13="  ",1*(A15-A14),IF(A15="  ",1*(A14-A13),1*(A15-A13)))))</f>
        <v>2</v>
      </c>
      <c r="D14" s="23" t="str">
        <f t="shared" si="26"/>
        <v xml:space="preserve">  </v>
      </c>
      <c r="E14" s="24">
        <f t="shared" si="1"/>
        <v>-2</v>
      </c>
      <c r="F14" s="23" t="str">
        <f t="shared" si="27"/>
        <v xml:space="preserve">  </v>
      </c>
      <c r="G14" s="23" t="str">
        <f t="shared" si="28"/>
        <v xml:space="preserve">  </v>
      </c>
      <c r="H14" s="23" t="str">
        <f t="shared" si="29"/>
        <v xml:space="preserve">  </v>
      </c>
      <c r="I14" s="23" t="str">
        <f t="shared" si="30"/>
        <v xml:space="preserve">  </v>
      </c>
      <c r="J14" s="4"/>
      <c r="K14" s="37" t="str">
        <f t="shared" si="2"/>
        <v xml:space="preserve"> </v>
      </c>
      <c r="L14" s="23" t="str">
        <f t="shared" si="31"/>
        <v xml:space="preserve">  </v>
      </c>
      <c r="M14" s="38" t="str">
        <f t="shared" si="3"/>
        <v xml:space="preserve"> </v>
      </c>
      <c r="N14" s="27" t="str">
        <f t="shared" si="32"/>
        <v xml:space="preserve">  </v>
      </c>
      <c r="O14" s="23" t="str">
        <f t="shared" si="33"/>
        <v xml:space="preserve">  </v>
      </c>
      <c r="P14" s="4"/>
      <c r="Q14" s="50" t="s">
        <v>42</v>
      </c>
      <c r="R14" s="48" t="s">
        <v>43</v>
      </c>
      <c r="S14" t="str">
        <f>IF(Tools!$L$49="Use 141 rule only",I38,IF(Tools!$L$49="Use 141 and 1331 rules",BG15," "))</f>
        <v xml:space="preserve">  </v>
      </c>
      <c r="W14" s="29">
        <f>IF(AO14="  ","  ",IF(AND(AO13="  ",AO15="  "),"?",IF(AO13="  ",1*(AO15-AO14),IF(AO15="  ",1*(AO14-AO13),1*(AO15-AO13)))))</f>
        <v>2</v>
      </c>
      <c r="X14" s="30" t="str">
        <f t="shared" si="4"/>
        <v>WW</v>
      </c>
      <c r="Y14" s="30" t="str">
        <f t="shared" si="5"/>
        <v>-</v>
      </c>
      <c r="Z14" s="29" t="b">
        <f t="shared" si="6"/>
        <v>0</v>
      </c>
      <c r="AA14" s="29" t="b">
        <f t="shared" si="7"/>
        <v>0</v>
      </c>
      <c r="AB14" s="29" t="str">
        <f t="shared" ca="1" si="8"/>
        <v>++</v>
      </c>
      <c r="AC14" s="29">
        <f t="shared" si="34"/>
        <v>11</v>
      </c>
      <c r="AD14" s="29">
        <f t="shared" ca="1" si="9"/>
        <v>11</v>
      </c>
      <c r="AE14" s="29">
        <v>11</v>
      </c>
      <c r="AF14" s="31">
        <f t="shared" si="42"/>
        <v>7</v>
      </c>
      <c r="AG14" s="29" t="b">
        <f t="shared" si="11"/>
        <v>1</v>
      </c>
      <c r="AH14" s="30" t="str">
        <f ca="1">IF(AND(AG14=TRUE,$AH$1=1),"141-4",IF(AG14=" ",IF(AND($AH$1=2,AF14=3),"141-1","-"),IF(OR(AG14=FALSE,AG14=" "),"-",IF(AG14=TRUE,IF(AND($AH$1=2,AF14=1),"141-1",IF(AND($AH$1=2,AF14=2),"141-4",IF(OR(ISODD($AH$1),AF14&gt;4),IF(AF14=1,"141-1",IF(OR(AB14="141-1",AB14="1331-1",AB14="1331-1,141-1"),"141-1",IF(AG15=" ","141-1",IF(OR(AH13="141-1",AH13="141-2",AH13="1331-1,141-1"),"141-4",IF(AH13="141-4","141-2","$$"))))),IF(ISEVEN($AH$1),IF(AF14=1,"1331-1",IF(OR(AF14=2,AF14=3),"1331-3",IF(AF14=4,IF($AH$1=4,"1331-1","1331-1,141-1"),"")))))))))))</f>
        <v>141-2</v>
      </c>
      <c r="AI14" s="30" t="str">
        <f t="shared" ca="1" si="13"/>
        <v/>
      </c>
      <c r="AJ14" s="29">
        <f t="shared" ca="1" si="14"/>
        <v>0</v>
      </c>
      <c r="AK14" s="29" t="str">
        <f t="shared" ca="1" si="15"/>
        <v>2/3</v>
      </c>
      <c r="AL14" s="29">
        <f t="shared" ca="1" si="16"/>
        <v>0.66666666666666663</v>
      </c>
      <c r="AM14" s="32">
        <f t="shared" ca="1" si="35"/>
        <v>0.66666666666666663</v>
      </c>
      <c r="AO14" s="20">
        <f>Tools!$AD13</f>
        <v>8</v>
      </c>
      <c r="AP14" s="33" t="str">
        <f t="shared" si="36"/>
        <v xml:space="preserve">  </v>
      </c>
      <c r="AQ14" s="34" t="str">
        <f t="shared" ca="1" si="18"/>
        <v>2/3</v>
      </c>
      <c r="AR14" s="23" t="str">
        <f t="shared" ca="1" si="19"/>
        <v xml:space="preserve">  </v>
      </c>
      <c r="AS14" s="24">
        <f t="shared" si="20"/>
        <v>-2</v>
      </c>
      <c r="AT14" s="23" t="str">
        <f t="shared" ca="1" si="37"/>
        <v xml:space="preserve">  </v>
      </c>
      <c r="AU14" s="23" t="str">
        <f t="shared" ca="1" si="40"/>
        <v xml:space="preserve">  </v>
      </c>
      <c r="AV14" s="23" t="str">
        <f t="shared" si="21"/>
        <v xml:space="preserve">  </v>
      </c>
      <c r="AW14" s="23" t="str">
        <f t="shared" ca="1" si="22"/>
        <v xml:space="preserve">  </v>
      </c>
      <c r="AY14" s="35" t="str">
        <f t="shared" si="23"/>
        <v xml:space="preserve"> </v>
      </c>
      <c r="AZ14" s="23" t="str">
        <f t="shared" ca="1" si="41"/>
        <v xml:space="preserve">  </v>
      </c>
      <c r="BA14" s="36" t="str">
        <f t="shared" si="25"/>
        <v xml:space="preserve"> </v>
      </c>
      <c r="BB14" s="27" t="str">
        <f t="shared" ca="1" si="38"/>
        <v xml:space="preserve">  </v>
      </c>
      <c r="BC14" s="23" t="str">
        <f t="shared" ca="1" si="39"/>
        <v xml:space="preserve">  </v>
      </c>
      <c r="BE14" s="50" t="s">
        <v>39</v>
      </c>
      <c r="BF14" s="48" t="s">
        <v>40</v>
      </c>
      <c r="BG14" s="49" t="str">
        <f>IF(WL_No="  ","  ",Mmid/AWP)</f>
        <v xml:space="preserve">  </v>
      </c>
    </row>
    <row r="15" spans="1:60" x14ac:dyDescent="0.25">
      <c r="A15" s="20">
        <f>Tools!$AD14</f>
        <v>9</v>
      </c>
      <c r="B15" s="33" t="str">
        <f t="shared" si="0"/>
        <v xml:space="preserve">  </v>
      </c>
      <c r="C15" s="22">
        <f>IF(A15="  ","  ",IF(AND(A14="  ",A16="  "),"?",IF(A14="  ",2*(A16-A15),IF(A16="  ",2*(A15-A14),2*(A16-A14)))))</f>
        <v>4</v>
      </c>
      <c r="D15" s="23" t="str">
        <f t="shared" si="26"/>
        <v xml:space="preserve">  </v>
      </c>
      <c r="E15" s="24">
        <f t="shared" si="1"/>
        <v>-1</v>
      </c>
      <c r="F15" s="23" t="str">
        <f t="shared" si="27"/>
        <v xml:space="preserve">  </v>
      </c>
      <c r="G15" s="23" t="str">
        <f t="shared" si="28"/>
        <v xml:space="preserve">  </v>
      </c>
      <c r="H15" s="23" t="str">
        <f t="shared" si="29"/>
        <v xml:space="preserve">  </v>
      </c>
      <c r="I15" s="23" t="str">
        <f t="shared" si="30"/>
        <v xml:space="preserve">  </v>
      </c>
      <c r="J15" s="4"/>
      <c r="K15" s="37" t="str">
        <f t="shared" si="2"/>
        <v xml:space="preserve"> </v>
      </c>
      <c r="L15" s="23" t="str">
        <f t="shared" si="31"/>
        <v xml:space="preserve">  </v>
      </c>
      <c r="M15" s="38" t="str">
        <f t="shared" si="3"/>
        <v xml:space="preserve"> </v>
      </c>
      <c r="N15" s="27" t="str">
        <f t="shared" si="32"/>
        <v xml:space="preserve">  </v>
      </c>
      <c r="O15" s="23" t="str">
        <f t="shared" si="33"/>
        <v xml:space="preserve">  </v>
      </c>
      <c r="P15" s="4"/>
      <c r="Q15" s="51" t="s">
        <v>44</v>
      </c>
      <c r="R15" s="48" t="s">
        <v>45</v>
      </c>
      <c r="S15" t="str">
        <f>IF(Tools!$L$49="Use 141 rule only",I39,IF(Tools!$L$49="Use 141 and 1331 rules",BG16," "))</f>
        <v xml:space="preserve">  </v>
      </c>
      <c r="W15" s="29">
        <f>IF(AO15="  ","  ",IF(AND(AO14="  ",AO16="  "),"?",IF(AO14="  ",2*(AO16-AO15),IF(AO16="  ",2*(AO15-AO14),2*(AO16-AO14)))))</f>
        <v>4</v>
      </c>
      <c r="X15" s="30" t="str">
        <f t="shared" si="4"/>
        <v>WW</v>
      </c>
      <c r="Y15" s="30" t="str">
        <f t="shared" si="5"/>
        <v>-</v>
      </c>
      <c r="Z15" s="29" t="b">
        <f t="shared" si="6"/>
        <v>0</v>
      </c>
      <c r="AA15" s="29" t="b">
        <f t="shared" si="7"/>
        <v>0</v>
      </c>
      <c r="AB15" s="29" t="str">
        <f t="shared" ca="1" si="8"/>
        <v>++</v>
      </c>
      <c r="AC15" s="29">
        <f t="shared" si="34"/>
        <v>12</v>
      </c>
      <c r="AD15" s="29">
        <f t="shared" ca="1" si="9"/>
        <v>12</v>
      </c>
      <c r="AE15" s="29">
        <v>12</v>
      </c>
      <c r="AF15" s="31">
        <f t="shared" si="42"/>
        <v>8</v>
      </c>
      <c r="AG15" s="29" t="b">
        <f t="shared" si="11"/>
        <v>1</v>
      </c>
      <c r="AH15" s="30" t="str">
        <f t="shared" ref="AH15:AH28" ca="1" si="43">IF(AND(AG15=TRUE,$AH$1=1),"141-4",IF(AG15=" ",IF(AND($AH$1=2,AF15=3),"141-1","-"),IF(OR(AG15=FALSE,AG15=" "),"-",IF(AG15=TRUE,IF(AND($AH$1=2,AF15=1),"141-1",IF(AND($AH$1=2,AF15=2),"141-4",IF(OR(ISODD($AH$1),AF15&gt;4),IF(AF15=1,"141-1",IF(OR(AB15="141-1",AB15="1331-1",AB15="1331-1,141-1"),"141-1",IF(AG16=" ","141-1",IF(OR(AH14="141-1",AH14="141-2",AH14="1331-1,141-1"),"141-4",IF(AH14="141-4","141-2","$$"))))),IF(ISEVEN($AH$1),IF(AF15=1,"1331-1",IF(OR(AF15=2,AF15=3),"1331-3",IF(AF15=4,IF($AH$1=4,"1331-1","1331-1,141-1"),"")))))))))))</f>
        <v>141-4</v>
      </c>
      <c r="AI15" s="30" t="str">
        <f t="shared" ca="1" si="13"/>
        <v/>
      </c>
      <c r="AJ15" s="29">
        <f t="shared" ca="1" si="14"/>
        <v>0</v>
      </c>
      <c r="AK15" s="29" t="str">
        <f t="shared" ca="1" si="15"/>
        <v>4/3</v>
      </c>
      <c r="AL15" s="29">
        <f t="shared" ca="1" si="16"/>
        <v>1.3333333333333333</v>
      </c>
      <c r="AM15" s="32">
        <f t="shared" ca="1" si="35"/>
        <v>1.3333333333333333</v>
      </c>
      <c r="AO15" s="20">
        <f>Tools!$AD14</f>
        <v>9</v>
      </c>
      <c r="AP15" s="33" t="str">
        <f t="shared" si="36"/>
        <v xml:space="preserve">  </v>
      </c>
      <c r="AQ15" s="34" t="str">
        <f t="shared" ca="1" si="18"/>
        <v>4/3</v>
      </c>
      <c r="AR15" s="23" t="str">
        <f t="shared" ca="1" si="19"/>
        <v xml:space="preserve">  </v>
      </c>
      <c r="AS15" s="24">
        <f t="shared" si="20"/>
        <v>-1</v>
      </c>
      <c r="AT15" s="23" t="str">
        <f t="shared" ca="1" si="37"/>
        <v xml:space="preserve">  </v>
      </c>
      <c r="AU15" s="23" t="str">
        <f t="shared" ca="1" si="40"/>
        <v xml:space="preserve">  </v>
      </c>
      <c r="AV15" s="23" t="str">
        <f t="shared" si="21"/>
        <v xml:space="preserve">  </v>
      </c>
      <c r="AW15" s="23" t="str">
        <f t="shared" ca="1" si="22"/>
        <v xml:space="preserve">  </v>
      </c>
      <c r="AY15" s="35" t="str">
        <f t="shared" si="23"/>
        <v xml:space="preserve"> </v>
      </c>
      <c r="AZ15" s="23" t="str">
        <f t="shared" ca="1" si="41"/>
        <v xml:space="preserve">  </v>
      </c>
      <c r="BA15" s="36" t="str">
        <f t="shared" si="25"/>
        <v xml:space="preserve"> </v>
      </c>
      <c r="BB15" s="27" t="str">
        <f ca="1">IFERROR(BA15*AM15,"  ")</f>
        <v xml:space="preserve">  </v>
      </c>
      <c r="BC15" s="23" t="str">
        <f t="shared" ca="1" si="39"/>
        <v xml:space="preserve">  </v>
      </c>
      <c r="BE15" s="50" t="s">
        <v>42</v>
      </c>
      <c r="BF15" s="48" t="s">
        <v>46</v>
      </c>
      <c r="BG15" s="49" t="str">
        <f>IF(WL_No="  ","  ",2*(h^3)*$AU$29)</f>
        <v xml:space="preserve">  </v>
      </c>
    </row>
    <row r="16" spans="1:60" x14ac:dyDescent="0.25">
      <c r="A16" s="20">
        <f>Tools!$AD15</f>
        <v>10</v>
      </c>
      <c r="B16" s="33" t="str">
        <f t="shared" si="0"/>
        <v xml:space="preserve">  </v>
      </c>
      <c r="C16" s="22">
        <f>IF(A16="  ","  ",IF(AND(A15="  ",A17="  "),"?",IF(A15="  ",1*(A17-A16),IF(A17="  ",1*(A16-A15),1*(A17-A15)))))</f>
        <v>2</v>
      </c>
      <c r="D16" s="23" t="str">
        <f t="shared" si="26"/>
        <v xml:space="preserve">  </v>
      </c>
      <c r="E16" s="24">
        <f t="shared" si="1"/>
        <v>0</v>
      </c>
      <c r="F16" s="23" t="str">
        <f t="shared" si="27"/>
        <v xml:space="preserve">  </v>
      </c>
      <c r="G16" s="23" t="str">
        <f t="shared" si="28"/>
        <v xml:space="preserve">  </v>
      </c>
      <c r="H16" s="23" t="str">
        <f t="shared" si="29"/>
        <v xml:space="preserve">  </v>
      </c>
      <c r="I16" s="23" t="str">
        <f t="shared" si="30"/>
        <v xml:space="preserve">  </v>
      </c>
      <c r="J16" s="4"/>
      <c r="K16" s="37" t="str">
        <f t="shared" si="2"/>
        <v xml:space="preserve"> </v>
      </c>
      <c r="L16" s="23" t="str">
        <f t="shared" si="31"/>
        <v xml:space="preserve">  </v>
      </c>
      <c r="M16" s="38" t="str">
        <f t="shared" si="3"/>
        <v xml:space="preserve"> </v>
      </c>
      <c r="N16" s="27" t="str">
        <f t="shared" si="32"/>
        <v xml:space="preserve">  </v>
      </c>
      <c r="O16" s="23" t="str">
        <f t="shared" si="33"/>
        <v xml:space="preserve">  </v>
      </c>
      <c r="P16" s="4"/>
      <c r="Q16" s="50" t="s">
        <v>47</v>
      </c>
      <c r="R16" s="48" t="s">
        <v>48</v>
      </c>
      <c r="S16" t="str">
        <f>IF(Tools!$L$49="Use 141 rule only",I40,IF(Tools!$L$49="Use 141 and 1331 rules",BG17," "))</f>
        <v xml:space="preserve">  </v>
      </c>
      <c r="W16" s="29">
        <f>IF(AO16="  ","  ",IF(AND(AO15="  ",AO17="  "),"?",IF(AO15="  ",1*(AO17-AO16),IF(AO17="  ",1*(AO16-AO15),1*(AO17-AO15)))))</f>
        <v>2</v>
      </c>
      <c r="X16" s="30" t="str">
        <f t="shared" si="4"/>
        <v>WW</v>
      </c>
      <c r="Y16" s="30" t="str">
        <f t="shared" si="5"/>
        <v>-</v>
      </c>
      <c r="Z16" s="29" t="b">
        <f t="shared" si="6"/>
        <v>0</v>
      </c>
      <c r="AA16" s="29" t="b">
        <f t="shared" si="7"/>
        <v>0</v>
      </c>
      <c r="AB16" s="29" t="str">
        <f t="shared" ca="1" si="8"/>
        <v>++</v>
      </c>
      <c r="AC16" s="29">
        <f t="shared" si="34"/>
        <v>13</v>
      </c>
      <c r="AD16" s="29">
        <f t="shared" ca="1" si="9"/>
        <v>13</v>
      </c>
      <c r="AE16" s="29">
        <v>13</v>
      </c>
      <c r="AF16" s="31">
        <f t="shared" si="42"/>
        <v>9</v>
      </c>
      <c r="AG16" s="29" t="b">
        <f t="shared" si="11"/>
        <v>1</v>
      </c>
      <c r="AH16" s="30" t="str">
        <f t="shared" ca="1" si="43"/>
        <v>141-2</v>
      </c>
      <c r="AI16" s="30" t="str">
        <f t="shared" ca="1" si="13"/>
        <v/>
      </c>
      <c r="AJ16" s="29">
        <f t="shared" ca="1" si="14"/>
        <v>0</v>
      </c>
      <c r="AK16" s="29" t="str">
        <f t="shared" ca="1" si="15"/>
        <v>2/3</v>
      </c>
      <c r="AL16" s="29">
        <f t="shared" ca="1" si="16"/>
        <v>0.66666666666666663</v>
      </c>
      <c r="AM16" s="32">
        <f t="shared" ca="1" si="35"/>
        <v>0.66666666666666663</v>
      </c>
      <c r="AO16" s="20">
        <f>Tools!$AD15</f>
        <v>10</v>
      </c>
      <c r="AP16" s="33" t="str">
        <f t="shared" si="36"/>
        <v xml:space="preserve">  </v>
      </c>
      <c r="AQ16" s="34" t="str">
        <f t="shared" ca="1" si="18"/>
        <v>2/3</v>
      </c>
      <c r="AR16" s="23" t="str">
        <f t="shared" ca="1" si="19"/>
        <v xml:space="preserve">  </v>
      </c>
      <c r="AS16" s="24">
        <f t="shared" si="20"/>
        <v>0</v>
      </c>
      <c r="AT16" s="23" t="str">
        <f t="shared" ca="1" si="37"/>
        <v xml:space="preserve">  </v>
      </c>
      <c r="AU16" s="23" t="str">
        <f t="shared" ca="1" si="40"/>
        <v xml:space="preserve">  </v>
      </c>
      <c r="AV16" s="23" t="str">
        <f t="shared" si="21"/>
        <v xml:space="preserve">  </v>
      </c>
      <c r="AW16" s="23" t="str">
        <f t="shared" ca="1" si="22"/>
        <v xml:space="preserve">  </v>
      </c>
      <c r="AY16" s="35" t="str">
        <f t="shared" si="23"/>
        <v xml:space="preserve"> </v>
      </c>
      <c r="AZ16" s="23" t="str">
        <f t="shared" ca="1" si="41"/>
        <v xml:space="preserve">  </v>
      </c>
      <c r="BA16" s="36" t="str">
        <f t="shared" si="25"/>
        <v xml:space="preserve"> </v>
      </c>
      <c r="BB16" s="27" t="str">
        <f t="shared" ca="1" si="38"/>
        <v xml:space="preserve">  </v>
      </c>
      <c r="BC16" s="23" t="str">
        <f ca="1">IFERROR(AZ16*AS16,"  ")</f>
        <v xml:space="preserve">  </v>
      </c>
      <c r="BE16" s="51" t="s">
        <v>44</v>
      </c>
      <c r="BF16" s="48" t="s">
        <v>49</v>
      </c>
      <c r="BG16" s="49" t="str">
        <f>IF(WL_No="  ","  ",2/3*h*$AW$29)</f>
        <v xml:space="preserve">  </v>
      </c>
    </row>
    <row r="17" spans="1:59" x14ac:dyDescent="0.25">
      <c r="A17" s="20">
        <f>Tools!$AD16</f>
        <v>11</v>
      </c>
      <c r="B17" s="33" t="str">
        <f t="shared" si="0"/>
        <v xml:space="preserve">  </v>
      </c>
      <c r="C17" s="22">
        <f>IF(A17="  ","  ",IF(AND(A16="  ",A18="  "),"?",IF(A16="  ",2*(A18-A17),IF(A18="  ",2*(A17-A16),2*(A18-A16)))))</f>
        <v>4</v>
      </c>
      <c r="D17" s="23" t="str">
        <f t="shared" si="26"/>
        <v xml:space="preserve">  </v>
      </c>
      <c r="E17" s="24">
        <f t="shared" si="1"/>
        <v>1</v>
      </c>
      <c r="F17" s="23" t="str">
        <f t="shared" si="27"/>
        <v xml:space="preserve">  </v>
      </c>
      <c r="G17" s="23" t="str">
        <f t="shared" si="28"/>
        <v xml:space="preserve">  </v>
      </c>
      <c r="H17" s="23" t="str">
        <f t="shared" si="29"/>
        <v xml:space="preserve">  </v>
      </c>
      <c r="I17" s="23" t="str">
        <f t="shared" si="30"/>
        <v xml:space="preserve">  </v>
      </c>
      <c r="J17" s="4"/>
      <c r="K17" s="37" t="str">
        <f t="shared" si="2"/>
        <v xml:space="preserve"> </v>
      </c>
      <c r="L17" s="23" t="str">
        <f t="shared" si="31"/>
        <v xml:space="preserve">  </v>
      </c>
      <c r="M17" s="38" t="str">
        <f t="shared" si="3"/>
        <v xml:space="preserve"> </v>
      </c>
      <c r="N17" s="27" t="str">
        <f t="shared" si="32"/>
        <v xml:space="preserve">  </v>
      </c>
      <c r="O17" s="23" t="str">
        <f t="shared" si="33"/>
        <v xml:space="preserve">  </v>
      </c>
      <c r="P17" s="4"/>
      <c r="Q17" s="50" t="s">
        <v>50</v>
      </c>
      <c r="R17" s="48" t="s">
        <v>51</v>
      </c>
      <c r="S17" t="str">
        <f>IF(Tools!$L$49="Use 141 rule only",I41,IF(Tools!$L$49="Use 141 and 1331 rules",BG18," "))</f>
        <v xml:space="preserve">  </v>
      </c>
      <c r="W17" s="29">
        <f>IF(AO17="  ","  ",IF(AND(AO16="  ",AO18="  "),"?",IF(AO16="  ",2*(AO18-AO17),IF(AO18="  ",2*(AO17-AO16),2*(AO18-AO16)))))</f>
        <v>4</v>
      </c>
      <c r="X17" s="30" t="str">
        <f t="shared" si="4"/>
        <v>WW</v>
      </c>
      <c r="Y17" s="30" t="str">
        <f t="shared" si="5"/>
        <v>-</v>
      </c>
      <c r="Z17" s="29" t="b">
        <f t="shared" si="6"/>
        <v>0</v>
      </c>
      <c r="AA17" s="29" t="b">
        <f t="shared" si="7"/>
        <v>0</v>
      </c>
      <c r="AB17" s="29" t="str">
        <f t="shared" ca="1" si="8"/>
        <v>++</v>
      </c>
      <c r="AC17" s="29">
        <f t="shared" si="34"/>
        <v>12</v>
      </c>
      <c r="AD17" s="29">
        <f t="shared" ca="1" si="9"/>
        <v>12</v>
      </c>
      <c r="AE17" s="29">
        <v>14</v>
      </c>
      <c r="AF17" s="31">
        <f t="shared" si="42"/>
        <v>10</v>
      </c>
      <c r="AG17" s="29" t="b">
        <f t="shared" si="11"/>
        <v>1</v>
      </c>
      <c r="AH17" s="30" t="str">
        <f t="shared" ca="1" si="43"/>
        <v>141-4</v>
      </c>
      <c r="AI17" s="30" t="str">
        <f t="shared" ca="1" si="13"/>
        <v/>
      </c>
      <c r="AJ17" s="29">
        <f t="shared" ca="1" si="14"/>
        <v>0</v>
      </c>
      <c r="AK17" s="29" t="str">
        <f t="shared" ca="1" si="15"/>
        <v>4/3</v>
      </c>
      <c r="AL17" s="29">
        <f t="shared" ca="1" si="16"/>
        <v>1.3333333333333333</v>
      </c>
      <c r="AM17" s="32">
        <f t="shared" ca="1" si="35"/>
        <v>1.3333333333333333</v>
      </c>
      <c r="AO17" s="20">
        <f>Tools!$AD16</f>
        <v>11</v>
      </c>
      <c r="AP17" s="33" t="str">
        <f t="shared" si="36"/>
        <v xml:space="preserve">  </v>
      </c>
      <c r="AQ17" s="34" t="str">
        <f t="shared" ca="1" si="18"/>
        <v>4/3</v>
      </c>
      <c r="AR17" s="23" t="str">
        <f t="shared" ca="1" si="19"/>
        <v xml:space="preserve">  </v>
      </c>
      <c r="AS17" s="24">
        <f t="shared" si="20"/>
        <v>1</v>
      </c>
      <c r="AT17" s="23" t="str">
        <f t="shared" ca="1" si="37"/>
        <v xml:space="preserve">  </v>
      </c>
      <c r="AU17" s="23" t="str">
        <f t="shared" ca="1" si="40"/>
        <v xml:space="preserve">  </v>
      </c>
      <c r="AV17" s="23" t="str">
        <f t="shared" si="21"/>
        <v xml:space="preserve">  </v>
      </c>
      <c r="AW17" s="23" t="str">
        <f t="shared" ca="1" si="22"/>
        <v xml:space="preserve">  </v>
      </c>
      <c r="AY17" s="35" t="str">
        <f t="shared" si="23"/>
        <v xml:space="preserve"> </v>
      </c>
      <c r="AZ17" s="23" t="str">
        <f t="shared" ca="1" si="41"/>
        <v xml:space="preserve">  </v>
      </c>
      <c r="BA17" s="36" t="str">
        <f t="shared" si="25"/>
        <v xml:space="preserve"> </v>
      </c>
      <c r="BB17" s="27" t="str">
        <f t="shared" ca="1" si="38"/>
        <v xml:space="preserve">  </v>
      </c>
      <c r="BC17" s="23" t="str">
        <f t="shared" ca="1" si="39"/>
        <v xml:space="preserve">  </v>
      </c>
      <c r="BE17" s="50" t="s">
        <v>47</v>
      </c>
      <c r="BF17" s="48" t="s">
        <v>48</v>
      </c>
      <c r="BG17" s="49" t="str">
        <f>IF(WL_No="  ","  ",IL-AWP*(LCF^2))</f>
        <v xml:space="preserve">  </v>
      </c>
    </row>
    <row r="18" spans="1:59" x14ac:dyDescent="0.25">
      <c r="A18" s="20">
        <f>Tools!$AD17</f>
        <v>12</v>
      </c>
      <c r="B18" s="33" t="str">
        <f t="shared" si="0"/>
        <v xml:space="preserve">  </v>
      </c>
      <c r="C18" s="22">
        <f>IF(A18="  ","  ",IF(AND(A17="  ",A19="  "),"?",IF(A17="  ",1*(A19-A18),IF(A19="  ",1*(A18-A17),1*(A19-A17)))))</f>
        <v>2</v>
      </c>
      <c r="D18" s="23" t="str">
        <f t="shared" si="26"/>
        <v xml:space="preserve">  </v>
      </c>
      <c r="E18" s="24">
        <f t="shared" si="1"/>
        <v>2</v>
      </c>
      <c r="F18" s="23" t="str">
        <f t="shared" si="27"/>
        <v xml:space="preserve">  </v>
      </c>
      <c r="G18" s="23" t="str">
        <f t="shared" si="28"/>
        <v xml:space="preserve">  </v>
      </c>
      <c r="H18" s="23" t="str">
        <f t="shared" si="29"/>
        <v xml:space="preserve">  </v>
      </c>
      <c r="I18" s="23" t="str">
        <f t="shared" si="30"/>
        <v xml:space="preserve">  </v>
      </c>
      <c r="J18" s="4"/>
      <c r="K18" s="37" t="str">
        <f t="shared" si="2"/>
        <v xml:space="preserve"> </v>
      </c>
      <c r="L18" s="23" t="str">
        <f t="shared" si="31"/>
        <v xml:space="preserve">  </v>
      </c>
      <c r="M18" s="38" t="str">
        <f t="shared" si="3"/>
        <v xml:space="preserve"> </v>
      </c>
      <c r="N18" s="27" t="str">
        <f t="shared" si="32"/>
        <v xml:space="preserve">  </v>
      </c>
      <c r="O18" s="23" t="str">
        <f t="shared" si="33"/>
        <v xml:space="preserve">  </v>
      </c>
      <c r="P18" s="4"/>
      <c r="Q18" s="50" t="s">
        <v>52</v>
      </c>
      <c r="R18" s="48" t="s">
        <v>53</v>
      </c>
      <c r="S18" t="str">
        <f>IF(Tools!$L$49="Use 141 rule only",I42,IF(Tools!$L$49="Use 141 and 1331 rules",BG19," "))</f>
        <v xml:space="preserve">  </v>
      </c>
      <c r="W18" s="29">
        <f>IF(AO18="  ","  ",IF(AND(AO17="  ",AO19="  "),"?",IF(AO17="  ",1*(AO19-AO18),IF(AO19="  ",1*(AO18-AO17),1*(AO19-AO17)))))</f>
        <v>2</v>
      </c>
      <c r="X18" s="30" t="str">
        <f t="shared" si="4"/>
        <v>WW</v>
      </c>
      <c r="Y18" s="30" t="str">
        <f t="shared" si="5"/>
        <v>-</v>
      </c>
      <c r="Z18" s="29" t="b">
        <f t="shared" si="6"/>
        <v>0</v>
      </c>
      <c r="AA18" s="29" t="b">
        <f t="shared" si="7"/>
        <v>0</v>
      </c>
      <c r="AB18" s="29" t="str">
        <f t="shared" ca="1" si="8"/>
        <v>++</v>
      </c>
      <c r="AC18" s="29">
        <f t="shared" si="34"/>
        <v>11</v>
      </c>
      <c r="AD18" s="29">
        <f t="shared" ca="1" si="9"/>
        <v>11</v>
      </c>
      <c r="AE18" s="29">
        <v>15</v>
      </c>
      <c r="AF18" s="31">
        <f t="shared" si="42"/>
        <v>11</v>
      </c>
      <c r="AG18" s="29" t="b">
        <f t="shared" si="11"/>
        <v>1</v>
      </c>
      <c r="AH18" s="30" t="str">
        <f t="shared" ca="1" si="43"/>
        <v>141-2</v>
      </c>
      <c r="AI18" s="30" t="str">
        <f t="shared" ca="1" si="13"/>
        <v/>
      </c>
      <c r="AJ18" s="29">
        <f t="shared" ca="1" si="14"/>
        <v>0</v>
      </c>
      <c r="AK18" s="29" t="str">
        <f t="shared" ca="1" si="15"/>
        <v>2/3</v>
      </c>
      <c r="AL18" s="29">
        <f t="shared" ca="1" si="16"/>
        <v>0.66666666666666663</v>
      </c>
      <c r="AM18" s="32">
        <f t="shared" ca="1" si="35"/>
        <v>0.66666666666666663</v>
      </c>
      <c r="AO18" s="20">
        <f>Tools!$AD17</f>
        <v>12</v>
      </c>
      <c r="AP18" s="33" t="str">
        <f t="shared" si="36"/>
        <v xml:space="preserve">  </v>
      </c>
      <c r="AQ18" s="34" t="str">
        <f t="shared" ca="1" si="18"/>
        <v>2/3</v>
      </c>
      <c r="AR18" s="23" t="str">
        <f t="shared" ca="1" si="19"/>
        <v xml:space="preserve">  </v>
      </c>
      <c r="AS18" s="24">
        <f t="shared" si="20"/>
        <v>2</v>
      </c>
      <c r="AT18" s="23" t="str">
        <f t="shared" ca="1" si="37"/>
        <v xml:space="preserve">  </v>
      </c>
      <c r="AU18" s="23" t="str">
        <f t="shared" ca="1" si="40"/>
        <v xml:space="preserve">  </v>
      </c>
      <c r="AV18" s="23" t="str">
        <f t="shared" si="21"/>
        <v xml:space="preserve">  </v>
      </c>
      <c r="AW18" s="23" t="str">
        <f t="shared" ca="1" si="22"/>
        <v xml:space="preserve">  </v>
      </c>
      <c r="AY18" s="35" t="str">
        <f t="shared" si="23"/>
        <v xml:space="preserve"> </v>
      </c>
      <c r="AZ18" s="23" t="str">
        <f t="shared" ca="1" si="41"/>
        <v xml:space="preserve">  </v>
      </c>
      <c r="BA18" s="36" t="str">
        <f t="shared" si="25"/>
        <v xml:space="preserve"> </v>
      </c>
      <c r="BB18" s="27" t="str">
        <f t="shared" ca="1" si="38"/>
        <v xml:space="preserve">  </v>
      </c>
      <c r="BC18" s="23" t="str">
        <f t="shared" ca="1" si="39"/>
        <v xml:space="preserve">  </v>
      </c>
      <c r="BE18" s="50" t="s">
        <v>50</v>
      </c>
      <c r="BF18" s="48" t="s">
        <v>54</v>
      </c>
      <c r="BG18" s="49" t="str">
        <f>IF(WL_No="  ","  ",h*$AZ$29)</f>
        <v xml:space="preserve">  </v>
      </c>
    </row>
    <row r="19" spans="1:59" x14ac:dyDescent="0.25">
      <c r="A19" s="20">
        <f>Tools!$AD18</f>
        <v>13</v>
      </c>
      <c r="B19" s="33" t="str">
        <f t="shared" si="0"/>
        <v xml:space="preserve">  </v>
      </c>
      <c r="C19" s="22">
        <f>IF(A19="  ","  ",IF(AND(A18="  ",A20="  "),"?",IF(A18="  ",2*(A20-A19),IF(A20="  ",2*(A19-A18),2*(A20-A18)))))</f>
        <v>4</v>
      </c>
      <c r="D19" s="23" t="str">
        <f t="shared" si="26"/>
        <v xml:space="preserve">  </v>
      </c>
      <c r="E19" s="24">
        <f t="shared" si="1"/>
        <v>3</v>
      </c>
      <c r="F19" s="23" t="str">
        <f t="shared" si="27"/>
        <v xml:space="preserve">  </v>
      </c>
      <c r="G19" s="23" t="str">
        <f t="shared" si="28"/>
        <v xml:space="preserve">  </v>
      </c>
      <c r="H19" s="23" t="str">
        <f t="shared" si="29"/>
        <v xml:space="preserve">  </v>
      </c>
      <c r="I19" s="23" t="str">
        <f t="shared" si="30"/>
        <v xml:space="preserve">  </v>
      </c>
      <c r="J19" s="4"/>
      <c r="K19" s="37" t="str">
        <f t="shared" si="2"/>
        <v xml:space="preserve"> </v>
      </c>
      <c r="L19" s="23" t="str">
        <f t="shared" si="31"/>
        <v xml:space="preserve">  </v>
      </c>
      <c r="M19" s="38" t="str">
        <f t="shared" si="3"/>
        <v xml:space="preserve"> </v>
      </c>
      <c r="N19" s="27" t="str">
        <f t="shared" si="32"/>
        <v xml:space="preserve">  </v>
      </c>
      <c r="O19" s="23" t="str">
        <f t="shared" si="33"/>
        <v xml:space="preserve">  </v>
      </c>
      <c r="P19" s="4"/>
      <c r="Q19" s="50" t="s">
        <v>55</v>
      </c>
      <c r="R19" s="48" t="s">
        <v>56</v>
      </c>
      <c r="S19" t="str">
        <f>IF(Tools!$L$49="Use 141 rule only",I43,IF(Tools!$L$49="Use 141 and 1331 rules",BG20," "))</f>
        <v xml:space="preserve">  </v>
      </c>
      <c r="W19" s="29">
        <f>IF(AO19="  ","  ",IF(AND(AO18="  ",AO20="  "),"?",IF(AO18="  ",2*(AO20-AO19),IF(AO20="  ",2*(AO19-AO18),2*(AO20-AO18)))))</f>
        <v>4</v>
      </c>
      <c r="X19" s="30" t="str">
        <f t="shared" si="4"/>
        <v>WW</v>
      </c>
      <c r="Y19" s="30" t="str">
        <f t="shared" si="5"/>
        <v>-</v>
      </c>
      <c r="Z19" s="29" t="b">
        <f t="shared" si="6"/>
        <v>0</v>
      </c>
      <c r="AA19" s="29" t="b">
        <f t="shared" si="7"/>
        <v>0</v>
      </c>
      <c r="AB19" s="29" t="str">
        <f t="shared" ca="1" si="8"/>
        <v>++</v>
      </c>
      <c r="AC19" s="29">
        <f t="shared" si="34"/>
        <v>10</v>
      </c>
      <c r="AD19" s="29">
        <f t="shared" ca="1" si="9"/>
        <v>10</v>
      </c>
      <c r="AE19" s="29">
        <v>16</v>
      </c>
      <c r="AF19" s="31">
        <f t="shared" si="42"/>
        <v>12</v>
      </c>
      <c r="AG19" s="29" t="b">
        <f t="shared" si="11"/>
        <v>1</v>
      </c>
      <c r="AH19" s="30" t="str">
        <f t="shared" ca="1" si="43"/>
        <v>141-4</v>
      </c>
      <c r="AI19" s="30" t="str">
        <f t="shared" ca="1" si="13"/>
        <v/>
      </c>
      <c r="AJ19" s="29">
        <f t="shared" ca="1" si="14"/>
        <v>0</v>
      </c>
      <c r="AK19" s="29" t="str">
        <f t="shared" ca="1" si="15"/>
        <v>4/3</v>
      </c>
      <c r="AL19" s="29">
        <f t="shared" ca="1" si="16"/>
        <v>1.3333333333333333</v>
      </c>
      <c r="AM19" s="32">
        <f t="shared" ca="1" si="35"/>
        <v>1.3333333333333333</v>
      </c>
      <c r="AO19" s="20">
        <f>Tools!$AD18</f>
        <v>13</v>
      </c>
      <c r="AP19" s="33" t="str">
        <f t="shared" si="36"/>
        <v xml:space="preserve">  </v>
      </c>
      <c r="AQ19" s="34" t="str">
        <f t="shared" ca="1" si="18"/>
        <v>4/3</v>
      </c>
      <c r="AR19" s="23" t="str">
        <f t="shared" ca="1" si="19"/>
        <v xml:space="preserve">  </v>
      </c>
      <c r="AS19" s="24">
        <f t="shared" si="20"/>
        <v>3</v>
      </c>
      <c r="AT19" s="23" t="str">
        <f t="shared" ca="1" si="37"/>
        <v xml:space="preserve">  </v>
      </c>
      <c r="AU19" s="23" t="str">
        <f t="shared" ca="1" si="40"/>
        <v xml:space="preserve">  </v>
      </c>
      <c r="AV19" s="23" t="str">
        <f t="shared" si="21"/>
        <v xml:space="preserve">  </v>
      </c>
      <c r="AW19" s="23" t="str">
        <f t="shared" ca="1" si="22"/>
        <v xml:space="preserve">  </v>
      </c>
      <c r="AY19" s="35" t="str">
        <f t="shared" si="23"/>
        <v xml:space="preserve"> </v>
      </c>
      <c r="AZ19" s="23" t="str">
        <f t="shared" ca="1" si="41"/>
        <v xml:space="preserve">  </v>
      </c>
      <c r="BA19" s="36" t="str">
        <f t="shared" si="25"/>
        <v xml:space="preserve"> </v>
      </c>
      <c r="BB19" s="27" t="str">
        <f t="shared" ca="1" si="38"/>
        <v xml:space="preserve">  </v>
      </c>
      <c r="BC19" s="23" t="str">
        <f t="shared" ca="1" si="39"/>
        <v xml:space="preserve">  </v>
      </c>
      <c r="BE19" s="50" t="s">
        <v>52</v>
      </c>
      <c r="BF19" s="48" t="s">
        <v>53</v>
      </c>
      <c r="BG19" s="49" t="str">
        <f>IF(WL_No="  ","  ",V_Disp*1.025*1.006)</f>
        <v xml:space="preserve">  </v>
      </c>
    </row>
    <row r="20" spans="1:59" x14ac:dyDescent="0.25">
      <c r="A20" s="20">
        <f>Tools!$AD19</f>
        <v>14</v>
      </c>
      <c r="B20" s="33" t="str">
        <f t="shared" si="0"/>
        <v xml:space="preserve">  </v>
      </c>
      <c r="C20" s="22">
        <f>IF(A20="  ","  ",IF(AND(A19="  ",A21="  "),"?",IF(A19="  ",1*(A21-A20),IF(A21="  ",1*(A20-A19),1*(A21-A19)))))</f>
        <v>2</v>
      </c>
      <c r="D20" s="23" t="str">
        <f t="shared" si="26"/>
        <v xml:space="preserve">  </v>
      </c>
      <c r="E20" s="24">
        <f t="shared" si="1"/>
        <v>4</v>
      </c>
      <c r="F20" s="23" t="str">
        <f t="shared" si="27"/>
        <v xml:space="preserve">  </v>
      </c>
      <c r="G20" s="23" t="str">
        <f t="shared" si="28"/>
        <v xml:space="preserve">  </v>
      </c>
      <c r="H20" s="23" t="str">
        <f t="shared" si="29"/>
        <v xml:space="preserve">  </v>
      </c>
      <c r="I20" s="23" t="str">
        <f t="shared" si="30"/>
        <v xml:space="preserve">  </v>
      </c>
      <c r="J20" s="4"/>
      <c r="K20" s="37" t="str">
        <f t="shared" si="2"/>
        <v xml:space="preserve"> </v>
      </c>
      <c r="L20" s="23" t="str">
        <f t="shared" si="31"/>
        <v xml:space="preserve">  </v>
      </c>
      <c r="M20" s="38" t="str">
        <f t="shared" si="3"/>
        <v xml:space="preserve"> </v>
      </c>
      <c r="N20" s="27" t="str">
        <f t="shared" si="32"/>
        <v xml:space="preserve">  </v>
      </c>
      <c r="O20" s="23" t="str">
        <f t="shared" si="33"/>
        <v xml:space="preserve">  </v>
      </c>
      <c r="P20" s="4"/>
      <c r="Q20" s="50" t="s">
        <v>57</v>
      </c>
      <c r="R20" s="48" t="s">
        <v>58</v>
      </c>
      <c r="S20" t="str">
        <f>IF(Tools!$L$49="Use 141 rule only",I44,IF(Tools!$L$49="Use 141 and 1331 rules",BG21," "))</f>
        <v xml:space="preserve">  </v>
      </c>
      <c r="W20" s="29">
        <f>IF(AO20="  ","  ",IF(AND(AO19="  ",AO21="  "),"?",IF(AO19="  ",1*(AO21-AO20),IF(AO21="  ",1*(AO20-AO19),1*(AO21-AO19)))))</f>
        <v>2</v>
      </c>
      <c r="X20" s="30" t="str">
        <f t="shared" si="4"/>
        <v>WW</v>
      </c>
      <c r="Y20" s="30" t="str">
        <f t="shared" si="5"/>
        <v>-</v>
      </c>
      <c r="Z20" s="29" t="b">
        <f t="shared" si="6"/>
        <v>0</v>
      </c>
      <c r="AA20" s="29" t="b">
        <f t="shared" si="7"/>
        <v>0</v>
      </c>
      <c r="AB20" s="29" t="str">
        <f t="shared" ca="1" si="8"/>
        <v>++</v>
      </c>
      <c r="AC20" s="29">
        <f t="shared" si="34"/>
        <v>9</v>
      </c>
      <c r="AD20" s="29">
        <f t="shared" ca="1" si="9"/>
        <v>9</v>
      </c>
      <c r="AE20" s="29">
        <v>17</v>
      </c>
      <c r="AF20" s="31">
        <f t="shared" si="42"/>
        <v>13</v>
      </c>
      <c r="AG20" s="29" t="b">
        <f t="shared" si="11"/>
        <v>1</v>
      </c>
      <c r="AH20" s="30" t="str">
        <f t="shared" ca="1" si="43"/>
        <v>141-2</v>
      </c>
      <c r="AI20" s="30" t="str">
        <f t="shared" ca="1" si="13"/>
        <v/>
      </c>
      <c r="AJ20" s="29">
        <f t="shared" ca="1" si="14"/>
        <v>0</v>
      </c>
      <c r="AK20" s="29" t="str">
        <f t="shared" ca="1" si="15"/>
        <v>2/3</v>
      </c>
      <c r="AL20" s="29">
        <f t="shared" ca="1" si="16"/>
        <v>0.66666666666666663</v>
      </c>
      <c r="AM20" s="32">
        <f t="shared" ca="1" si="35"/>
        <v>0.66666666666666663</v>
      </c>
      <c r="AO20" s="20">
        <f>Tools!$AD19</f>
        <v>14</v>
      </c>
      <c r="AP20" s="33" t="str">
        <f t="shared" si="36"/>
        <v xml:space="preserve">  </v>
      </c>
      <c r="AQ20" s="34" t="str">
        <f t="shared" ca="1" si="18"/>
        <v>2/3</v>
      </c>
      <c r="AR20" s="23" t="str">
        <f t="shared" ca="1" si="19"/>
        <v xml:space="preserve">  </v>
      </c>
      <c r="AS20" s="24">
        <f t="shared" si="20"/>
        <v>4</v>
      </c>
      <c r="AT20" s="23" t="str">
        <f t="shared" ca="1" si="37"/>
        <v xml:space="preserve">  </v>
      </c>
      <c r="AU20" s="23" t="str">
        <f t="shared" ca="1" si="40"/>
        <v xml:space="preserve">  </v>
      </c>
      <c r="AV20" s="23" t="str">
        <f t="shared" si="21"/>
        <v xml:space="preserve">  </v>
      </c>
      <c r="AW20" s="23" t="str">
        <f t="shared" ca="1" si="22"/>
        <v xml:space="preserve">  </v>
      </c>
      <c r="AY20" s="35" t="str">
        <f t="shared" si="23"/>
        <v xml:space="preserve"> </v>
      </c>
      <c r="AZ20" s="23" t="str">
        <f t="shared" ca="1" si="41"/>
        <v xml:space="preserve">  </v>
      </c>
      <c r="BA20" s="36" t="str">
        <f t="shared" si="25"/>
        <v xml:space="preserve"> </v>
      </c>
      <c r="BB20" s="27" t="str">
        <f t="shared" ca="1" si="38"/>
        <v xml:space="preserve">  </v>
      </c>
      <c r="BC20" s="23" t="str">
        <f t="shared" ca="1" si="39"/>
        <v xml:space="preserve">  </v>
      </c>
      <c r="BE20" s="50" t="s">
        <v>55</v>
      </c>
      <c r="BF20" s="48" t="s">
        <v>59</v>
      </c>
      <c r="BG20" s="49" t="str">
        <f>IF(WL_No="  ","  ",h*$BB$29)</f>
        <v xml:space="preserve">  </v>
      </c>
    </row>
    <row r="21" spans="1:59" x14ac:dyDescent="0.25">
      <c r="A21" s="20">
        <f>Tools!$AD20</f>
        <v>15</v>
      </c>
      <c r="B21" s="33" t="str">
        <f t="shared" si="0"/>
        <v xml:space="preserve">  </v>
      </c>
      <c r="C21" s="22">
        <f>IF(A21="  ","  ",IF(AND(A20="  ",A22="  "),"?",IF(A20="  ",2*(A22-A21),IF(A22="  ",2*(A21-A20),2*(A22-A20)))))</f>
        <v>4</v>
      </c>
      <c r="D21" s="23" t="str">
        <f t="shared" si="26"/>
        <v xml:space="preserve">  </v>
      </c>
      <c r="E21" s="24">
        <f t="shared" si="1"/>
        <v>5</v>
      </c>
      <c r="F21" s="23" t="str">
        <f t="shared" si="27"/>
        <v xml:space="preserve">  </v>
      </c>
      <c r="G21" s="23" t="str">
        <f t="shared" si="28"/>
        <v xml:space="preserve">  </v>
      </c>
      <c r="H21" s="23" t="str">
        <f t="shared" si="29"/>
        <v xml:space="preserve">  </v>
      </c>
      <c r="I21" s="23" t="str">
        <f t="shared" si="30"/>
        <v xml:space="preserve">  </v>
      </c>
      <c r="J21" s="4"/>
      <c r="K21" s="37" t="str">
        <f t="shared" si="2"/>
        <v xml:space="preserve"> </v>
      </c>
      <c r="L21" s="23" t="str">
        <f t="shared" si="31"/>
        <v xml:space="preserve">  </v>
      </c>
      <c r="M21" s="38" t="str">
        <f t="shared" si="3"/>
        <v xml:space="preserve"> </v>
      </c>
      <c r="N21" s="27" t="str">
        <f t="shared" si="32"/>
        <v xml:space="preserve">  </v>
      </c>
      <c r="O21" s="23" t="str">
        <f t="shared" si="33"/>
        <v xml:space="preserve">  </v>
      </c>
      <c r="P21" s="4"/>
      <c r="Q21" s="50" t="s">
        <v>60</v>
      </c>
      <c r="R21" s="48" t="s">
        <v>61</v>
      </c>
      <c r="S21" t="str">
        <f>IF(Tools!$L$49="Use 141 rule only",I45,IF(Tools!$L$49="Use 141 and 1331 rules",BG22," "))</f>
        <v xml:space="preserve">  </v>
      </c>
      <c r="W21" s="29">
        <f>IF(AO21="  ","  ",IF(AND(AO20="  ",AO22="  "),"?",IF(AO20="  ",2*(AO22-AO21),IF(AO22="  ",2*(AO21-AO20),2*(AO22-AO20)))))</f>
        <v>4</v>
      </c>
      <c r="X21" s="30" t="str">
        <f t="shared" si="4"/>
        <v>WW</v>
      </c>
      <c r="Y21" s="30" t="str">
        <f t="shared" si="5"/>
        <v>-</v>
      </c>
      <c r="Z21" s="29" t="b">
        <f t="shared" si="6"/>
        <v>0</v>
      </c>
      <c r="AA21" s="29" t="b">
        <f t="shared" si="7"/>
        <v>0</v>
      </c>
      <c r="AB21" s="29" t="str">
        <f t="shared" ca="1" si="8"/>
        <v>++</v>
      </c>
      <c r="AC21" s="29">
        <f t="shared" si="34"/>
        <v>8</v>
      </c>
      <c r="AD21" s="29">
        <f t="shared" ca="1" si="9"/>
        <v>8</v>
      </c>
      <c r="AE21" s="29">
        <v>18</v>
      </c>
      <c r="AF21" s="31">
        <f t="shared" si="42"/>
        <v>14</v>
      </c>
      <c r="AG21" s="29" t="b">
        <f t="shared" si="11"/>
        <v>1</v>
      </c>
      <c r="AH21" s="30" t="str">
        <f t="shared" ca="1" si="43"/>
        <v>141-4</v>
      </c>
      <c r="AI21" s="30" t="str">
        <f t="shared" ca="1" si="13"/>
        <v/>
      </c>
      <c r="AJ21" s="29">
        <f t="shared" ca="1" si="14"/>
        <v>0</v>
      </c>
      <c r="AK21" s="29" t="str">
        <f t="shared" ca="1" si="15"/>
        <v>4/3</v>
      </c>
      <c r="AL21" s="29">
        <f t="shared" ca="1" si="16"/>
        <v>1.3333333333333333</v>
      </c>
      <c r="AM21" s="32">
        <f t="shared" ca="1" si="35"/>
        <v>1.3333333333333333</v>
      </c>
      <c r="AO21" s="20">
        <f>Tools!$AD20</f>
        <v>15</v>
      </c>
      <c r="AP21" s="33" t="str">
        <f t="shared" si="36"/>
        <v xml:space="preserve">  </v>
      </c>
      <c r="AQ21" s="34" t="str">
        <f t="shared" ca="1" si="18"/>
        <v>4/3</v>
      </c>
      <c r="AR21" s="23" t="str">
        <f t="shared" ca="1" si="19"/>
        <v xml:space="preserve">  </v>
      </c>
      <c r="AS21" s="24">
        <f t="shared" si="20"/>
        <v>5</v>
      </c>
      <c r="AT21" s="23" t="str">
        <f t="shared" ca="1" si="37"/>
        <v xml:space="preserve">  </v>
      </c>
      <c r="AU21" s="23" t="str">
        <f t="shared" ca="1" si="40"/>
        <v xml:space="preserve">  </v>
      </c>
      <c r="AV21" s="23" t="str">
        <f t="shared" si="21"/>
        <v xml:space="preserve">  </v>
      </c>
      <c r="AW21" s="23" t="str">
        <f t="shared" ca="1" si="22"/>
        <v xml:space="preserve">  </v>
      </c>
      <c r="AY21" s="35" t="str">
        <f t="shared" si="23"/>
        <v xml:space="preserve"> </v>
      </c>
      <c r="AZ21" s="23" t="str">
        <f t="shared" ca="1" si="41"/>
        <v xml:space="preserve">  </v>
      </c>
      <c r="BA21" s="36" t="str">
        <f t="shared" si="25"/>
        <v xml:space="preserve"> </v>
      </c>
      <c r="BB21" s="27" t="str">
        <f t="shared" ca="1" si="38"/>
        <v xml:space="preserve">  </v>
      </c>
      <c r="BC21" s="23" t="str">
        <f t="shared" ca="1" si="39"/>
        <v xml:space="preserve">  </v>
      </c>
      <c r="BE21" s="50" t="s">
        <v>57</v>
      </c>
      <c r="BF21" s="48" t="s">
        <v>62</v>
      </c>
      <c r="BG21" s="49" t="str">
        <f>IF(WL_No="  ","  ",(h^2)*$BC$29)</f>
        <v xml:space="preserve">  </v>
      </c>
    </row>
    <row r="22" spans="1:59" x14ac:dyDescent="0.25">
      <c r="A22" s="20">
        <f>Tools!$AD21</f>
        <v>16</v>
      </c>
      <c r="B22" s="33" t="str">
        <f t="shared" si="0"/>
        <v xml:space="preserve">  </v>
      </c>
      <c r="C22" s="22">
        <f>IF(A22="  ","  ",IF(AND(A21="  ",A23="  "),"?",IF(A21="  ",1*(A23-A22),IF(A23="  ",1*(A22-A21),1*(A23-A21)))))</f>
        <v>2</v>
      </c>
      <c r="D22" s="23" t="str">
        <f t="shared" si="26"/>
        <v xml:space="preserve">  </v>
      </c>
      <c r="E22" s="24">
        <f t="shared" si="1"/>
        <v>6</v>
      </c>
      <c r="F22" s="23" t="str">
        <f t="shared" si="27"/>
        <v xml:space="preserve">  </v>
      </c>
      <c r="G22" s="23" t="str">
        <f t="shared" si="28"/>
        <v xml:space="preserve">  </v>
      </c>
      <c r="H22" s="23" t="str">
        <f t="shared" si="29"/>
        <v xml:space="preserve">  </v>
      </c>
      <c r="I22" s="23" t="str">
        <f t="shared" si="30"/>
        <v xml:space="preserve">  </v>
      </c>
      <c r="J22" s="4"/>
      <c r="K22" s="37" t="str">
        <f t="shared" si="2"/>
        <v xml:space="preserve"> </v>
      </c>
      <c r="L22" s="23" t="str">
        <f t="shared" si="31"/>
        <v xml:space="preserve">  </v>
      </c>
      <c r="M22" s="38" t="str">
        <f t="shared" si="3"/>
        <v xml:space="preserve"> </v>
      </c>
      <c r="N22" s="27" t="str">
        <f t="shared" si="32"/>
        <v xml:space="preserve">  </v>
      </c>
      <c r="O22" s="23" t="str">
        <f t="shared" si="33"/>
        <v xml:space="preserve">  </v>
      </c>
      <c r="P22" s="4"/>
      <c r="Q22" s="50" t="s">
        <v>63</v>
      </c>
      <c r="R22" s="48" t="s">
        <v>64</v>
      </c>
      <c r="S22" t="str">
        <f>IF(Tools!$L$49="Use 141 rule only",I46,IF(Tools!$L$49="Use 141 and 1331 rules",BG23," "))</f>
        <v xml:space="preserve">  </v>
      </c>
      <c r="W22" s="29">
        <f>IF(AO22="  ","  ",IF(AND(AO21="  ",AO23="  "),"?",IF(AO21="  ",1*(AO23-AO22),IF(AO23="  ",1*(AO22-AO21),1*(AO23-AO21)))))</f>
        <v>2</v>
      </c>
      <c r="X22" s="30" t="str">
        <f t="shared" si="4"/>
        <v>WW</v>
      </c>
      <c r="Y22" s="30" t="str">
        <f t="shared" si="5"/>
        <v>-</v>
      </c>
      <c r="Z22" s="29" t="b">
        <f t="shared" si="6"/>
        <v>0</v>
      </c>
      <c r="AA22" s="29" t="b">
        <f t="shared" si="7"/>
        <v>0</v>
      </c>
      <c r="AB22" s="29" t="str">
        <f t="shared" ca="1" si="8"/>
        <v>++</v>
      </c>
      <c r="AC22" s="29">
        <f t="shared" si="34"/>
        <v>7</v>
      </c>
      <c r="AD22" s="29">
        <f t="shared" ca="1" si="9"/>
        <v>7</v>
      </c>
      <c r="AE22" s="29">
        <v>19</v>
      </c>
      <c r="AF22" s="31">
        <f t="shared" si="42"/>
        <v>15</v>
      </c>
      <c r="AG22" s="29" t="b">
        <f t="shared" si="11"/>
        <v>1</v>
      </c>
      <c r="AH22" s="30" t="str">
        <f t="shared" ca="1" si="43"/>
        <v>141-2</v>
      </c>
      <c r="AI22" s="30" t="str">
        <f t="shared" ca="1" si="13"/>
        <v/>
      </c>
      <c r="AJ22" s="29">
        <f t="shared" ca="1" si="14"/>
        <v>0</v>
      </c>
      <c r="AK22" s="29" t="str">
        <f t="shared" ca="1" si="15"/>
        <v>2/3</v>
      </c>
      <c r="AL22" s="29">
        <f t="shared" ca="1" si="16"/>
        <v>0.66666666666666663</v>
      </c>
      <c r="AM22" s="32">
        <f t="shared" ca="1" si="35"/>
        <v>0.66666666666666663</v>
      </c>
      <c r="AO22" s="20">
        <f>Tools!$AD21</f>
        <v>16</v>
      </c>
      <c r="AP22" s="33" t="str">
        <f t="shared" si="36"/>
        <v xml:space="preserve">  </v>
      </c>
      <c r="AQ22" s="34" t="str">
        <f t="shared" ca="1" si="18"/>
        <v>2/3</v>
      </c>
      <c r="AR22" s="23" t="str">
        <f t="shared" ca="1" si="19"/>
        <v xml:space="preserve">  </v>
      </c>
      <c r="AS22" s="24">
        <f t="shared" si="20"/>
        <v>6</v>
      </c>
      <c r="AT22" s="23" t="str">
        <f t="shared" ca="1" si="37"/>
        <v xml:space="preserve">  </v>
      </c>
      <c r="AU22" s="23" t="str">
        <f t="shared" ca="1" si="40"/>
        <v xml:space="preserve">  </v>
      </c>
      <c r="AV22" s="23" t="str">
        <f t="shared" si="21"/>
        <v xml:space="preserve">  </v>
      </c>
      <c r="AW22" s="23" t="str">
        <f t="shared" ca="1" si="22"/>
        <v xml:space="preserve">  </v>
      </c>
      <c r="AY22" s="35" t="str">
        <f t="shared" si="23"/>
        <v xml:space="preserve"> </v>
      </c>
      <c r="AZ22" s="23" t="str">
        <f t="shared" ca="1" si="41"/>
        <v xml:space="preserve">  </v>
      </c>
      <c r="BA22" s="36" t="str">
        <f t="shared" si="25"/>
        <v xml:space="preserve"> </v>
      </c>
      <c r="BB22" s="27" t="str">
        <f t="shared" ca="1" si="38"/>
        <v xml:space="preserve">  </v>
      </c>
      <c r="BC22" s="23" t="str">
        <f t="shared" ca="1" si="39"/>
        <v xml:space="preserve">  </v>
      </c>
      <c r="BE22" s="50" t="s">
        <v>60</v>
      </c>
      <c r="BF22" s="48" t="s">
        <v>61</v>
      </c>
      <c r="BG22" s="49" t="str">
        <f>IF(WL_No="  ","  ",IF/V_Disp)</f>
        <v xml:space="preserve">  </v>
      </c>
    </row>
    <row r="23" spans="1:59" x14ac:dyDescent="0.25">
      <c r="A23" s="20">
        <f>Tools!$AD22</f>
        <v>17</v>
      </c>
      <c r="B23" s="33" t="str">
        <f t="shared" si="0"/>
        <v xml:space="preserve">  </v>
      </c>
      <c r="C23" s="22">
        <f>IF(A23="  ","  ",IF(AND(A22="  ",A24="  "),"?",IF(A22="  ",2*(A24-A23),IF(A24="  ",2*(A23-A22),2*(A24-A22)))))</f>
        <v>4</v>
      </c>
      <c r="D23" s="23" t="str">
        <f t="shared" si="26"/>
        <v xml:space="preserve">  </v>
      </c>
      <c r="E23" s="24">
        <f t="shared" si="1"/>
        <v>7</v>
      </c>
      <c r="F23" s="23" t="str">
        <f t="shared" si="27"/>
        <v xml:space="preserve">  </v>
      </c>
      <c r="G23" s="23" t="str">
        <f t="shared" si="28"/>
        <v xml:space="preserve">  </v>
      </c>
      <c r="H23" s="23" t="str">
        <f t="shared" si="29"/>
        <v xml:space="preserve">  </v>
      </c>
      <c r="I23" s="23" t="str">
        <f t="shared" si="30"/>
        <v xml:space="preserve">  </v>
      </c>
      <c r="J23" s="4"/>
      <c r="K23" s="37" t="str">
        <f t="shared" si="2"/>
        <v xml:space="preserve"> </v>
      </c>
      <c r="L23" s="23" t="str">
        <f t="shared" si="31"/>
        <v xml:space="preserve">  </v>
      </c>
      <c r="M23" s="38" t="str">
        <f t="shared" si="3"/>
        <v xml:space="preserve"> </v>
      </c>
      <c r="N23" s="27" t="str">
        <f t="shared" si="32"/>
        <v xml:space="preserve">  </v>
      </c>
      <c r="O23" s="23" t="str">
        <f t="shared" si="33"/>
        <v xml:space="preserve">  </v>
      </c>
      <c r="P23" s="4"/>
      <c r="Q23" s="50" t="s">
        <v>65</v>
      </c>
      <c r="R23" s="48" t="s">
        <v>66</v>
      </c>
      <c r="S23" t="str">
        <f>IF(Tools!$L$49="Use 141 rule only",I47,IF(Tools!$L$49="Use 141 and 1331 rules",BG24," "))</f>
        <v xml:space="preserve">  </v>
      </c>
      <c r="W23" s="29">
        <f>IF(AO23="  ","  ",IF(AND(AO22="  ",AO24="  "),"?",IF(AO22="  ",2*(AO24-AO23),IF(AO24="  ",2*(AO23-AO22),2*(AO24-AO22)))))</f>
        <v>4</v>
      </c>
      <c r="X23" s="30" t="str">
        <f t="shared" si="4"/>
        <v>WW</v>
      </c>
      <c r="Y23" s="30" t="str">
        <f t="shared" si="5"/>
        <v>-</v>
      </c>
      <c r="Z23" s="29" t="b">
        <f t="shared" si="6"/>
        <v>0</v>
      </c>
      <c r="AA23" s="29" t="b">
        <f t="shared" si="7"/>
        <v>0</v>
      </c>
      <c r="AB23" s="29" t="str">
        <f t="shared" ca="1" si="8"/>
        <v>++</v>
      </c>
      <c r="AC23" s="29">
        <f t="shared" si="34"/>
        <v>6</v>
      </c>
      <c r="AD23" s="29">
        <f t="shared" ca="1" si="9"/>
        <v>6</v>
      </c>
      <c r="AE23" s="29">
        <v>20</v>
      </c>
      <c r="AF23" s="31">
        <f t="shared" si="42"/>
        <v>16</v>
      </c>
      <c r="AG23" s="29" t="b">
        <f t="shared" si="11"/>
        <v>1</v>
      </c>
      <c r="AH23" s="30" t="str">
        <f t="shared" ca="1" si="43"/>
        <v>141-4</v>
      </c>
      <c r="AI23" s="30" t="str">
        <f t="shared" ca="1" si="13"/>
        <v/>
      </c>
      <c r="AJ23" s="29">
        <f t="shared" ca="1" si="14"/>
        <v>0</v>
      </c>
      <c r="AK23" s="29" t="str">
        <f t="shared" ca="1" si="15"/>
        <v>4/3</v>
      </c>
      <c r="AL23" s="29">
        <f t="shared" ca="1" si="16"/>
        <v>1.3333333333333333</v>
      </c>
      <c r="AM23" s="32">
        <f t="shared" ca="1" si="35"/>
        <v>1.3333333333333333</v>
      </c>
      <c r="AO23" s="20">
        <f>Tools!$AD22</f>
        <v>17</v>
      </c>
      <c r="AP23" s="33" t="str">
        <f t="shared" si="36"/>
        <v xml:space="preserve">  </v>
      </c>
      <c r="AQ23" s="34" t="str">
        <f t="shared" ca="1" si="18"/>
        <v>4/3</v>
      </c>
      <c r="AR23" s="23" t="str">
        <f t="shared" ca="1" si="19"/>
        <v xml:space="preserve">  </v>
      </c>
      <c r="AS23" s="24">
        <f t="shared" si="20"/>
        <v>7</v>
      </c>
      <c r="AT23" s="23" t="str">
        <f t="shared" ca="1" si="37"/>
        <v xml:space="preserve">  </v>
      </c>
      <c r="AU23" s="23" t="str">
        <f t="shared" ca="1" si="40"/>
        <v xml:space="preserve">  </v>
      </c>
      <c r="AV23" s="23" t="str">
        <f t="shared" si="21"/>
        <v xml:space="preserve">  </v>
      </c>
      <c r="AW23" s="23" t="str">
        <f t="shared" ca="1" si="22"/>
        <v xml:space="preserve">  </v>
      </c>
      <c r="AY23" s="35" t="str">
        <f t="shared" si="23"/>
        <v xml:space="preserve"> </v>
      </c>
      <c r="AZ23" s="23" t="str">
        <f t="shared" ca="1" si="41"/>
        <v xml:space="preserve">  </v>
      </c>
      <c r="BA23" s="36" t="str">
        <f t="shared" si="25"/>
        <v xml:space="preserve"> </v>
      </c>
      <c r="BB23" s="27" t="str">
        <f t="shared" ca="1" si="38"/>
        <v xml:space="preserve">  </v>
      </c>
      <c r="BC23" s="23" t="str">
        <f t="shared" ca="1" si="39"/>
        <v xml:space="preserve">  </v>
      </c>
      <c r="BE23" s="50" t="s">
        <v>63</v>
      </c>
      <c r="BF23" s="48" t="s">
        <v>64</v>
      </c>
      <c r="BG23" s="49" t="str">
        <f>IF(WL_No="  ","  ",IT/V_Disp)</f>
        <v xml:space="preserve">  </v>
      </c>
    </row>
    <row r="24" spans="1:59" x14ac:dyDescent="0.25">
      <c r="A24" s="20">
        <f>Tools!$AD23</f>
        <v>18</v>
      </c>
      <c r="B24" s="33" t="str">
        <f t="shared" si="0"/>
        <v xml:space="preserve">  </v>
      </c>
      <c r="C24" s="22">
        <f>IF(A24="  ","  ",IF(AND(A23="  ",A25="  "),"?",IF(A23="  ",1*(A25-A24),IF(A25="  ",1*(A24-A23),1*(A25-A23)))))</f>
        <v>1.5</v>
      </c>
      <c r="D24" s="23" t="str">
        <f t="shared" si="26"/>
        <v xml:space="preserve">  </v>
      </c>
      <c r="E24" s="24">
        <f t="shared" si="1"/>
        <v>8</v>
      </c>
      <c r="F24" s="23" t="str">
        <f t="shared" si="27"/>
        <v xml:space="preserve">  </v>
      </c>
      <c r="G24" s="23" t="str">
        <f t="shared" si="28"/>
        <v xml:space="preserve">  </v>
      </c>
      <c r="H24" s="23" t="str">
        <f t="shared" si="29"/>
        <v xml:space="preserve">  </v>
      </c>
      <c r="I24" s="23" t="str">
        <f t="shared" si="30"/>
        <v xml:space="preserve">  </v>
      </c>
      <c r="J24" s="4"/>
      <c r="K24" s="37" t="str">
        <f t="shared" si="2"/>
        <v xml:space="preserve"> </v>
      </c>
      <c r="L24" s="23" t="str">
        <f t="shared" si="31"/>
        <v xml:space="preserve">  </v>
      </c>
      <c r="M24" s="38" t="str">
        <f t="shared" si="3"/>
        <v xml:space="preserve"> </v>
      </c>
      <c r="N24" s="27" t="str">
        <f t="shared" si="32"/>
        <v xml:space="preserve">  </v>
      </c>
      <c r="O24" s="23" t="str">
        <f t="shared" si="33"/>
        <v xml:space="preserve">  </v>
      </c>
      <c r="P24" s="4"/>
      <c r="Q24" s="50" t="s">
        <v>67</v>
      </c>
      <c r="R24" s="48" t="s">
        <v>68</v>
      </c>
      <c r="S24" t="str">
        <f>IF(Tools!$L$49="Use 141 rule only",I48,IF(Tools!$L$49="Use 141 and 1331 rules",BG25," "))</f>
        <v xml:space="preserve">  </v>
      </c>
      <c r="W24" s="29">
        <f>IF(AO24="  ","  ",IF(AND(AO23="  ",AO25="  "),"?",IF(AO23="  ",1*(AO25-AO24),IF(AO25="  ",1*(AO24-AO23),1*(AO25-AO23)))))</f>
        <v>1.5</v>
      </c>
      <c r="X24" s="30" t="str">
        <f t="shared" si="4"/>
        <v>WD</v>
      </c>
      <c r="Y24" s="30" t="str">
        <f t="shared" si="5"/>
        <v>-</v>
      </c>
      <c r="Z24" s="29" t="b">
        <f t="shared" si="6"/>
        <v>1</v>
      </c>
      <c r="AA24" s="29" t="b">
        <f t="shared" si="7"/>
        <v>1</v>
      </c>
      <c r="AB24" s="29" t="str">
        <f t="shared" ca="1" si="8"/>
        <v>141-1</v>
      </c>
      <c r="AC24" s="29">
        <f t="shared" si="34"/>
        <v>5</v>
      </c>
      <c r="AD24" s="29">
        <f t="shared" ca="1" si="9"/>
        <v>5</v>
      </c>
      <c r="AE24" s="29">
        <v>21</v>
      </c>
      <c r="AF24" s="31">
        <f t="shared" si="42"/>
        <v>17</v>
      </c>
      <c r="AG24" s="29" t="b">
        <f t="shared" si="11"/>
        <v>1</v>
      </c>
      <c r="AH24" s="30" t="str">
        <f t="shared" ca="1" si="43"/>
        <v>141-1</v>
      </c>
      <c r="AI24" s="30" t="str">
        <f t="shared" ca="1" si="13"/>
        <v>(1/2)*(1/3)</v>
      </c>
      <c r="AJ24" s="29">
        <f t="shared" ca="1" si="14"/>
        <v>0.16666666666666666</v>
      </c>
      <c r="AK24" s="29" t="str">
        <f t="shared" ca="1" si="15"/>
        <v>1/3</v>
      </c>
      <c r="AL24" s="29">
        <f t="shared" ca="1" si="16"/>
        <v>0.33333333333333331</v>
      </c>
      <c r="AM24" s="32">
        <f t="shared" ca="1" si="35"/>
        <v>0.5</v>
      </c>
      <c r="AO24" s="20">
        <f>Tools!$AD23</f>
        <v>18</v>
      </c>
      <c r="AP24" s="33" t="str">
        <f t="shared" si="36"/>
        <v xml:space="preserve">  </v>
      </c>
      <c r="AQ24" s="34" t="str">
        <f t="shared" ca="1" si="18"/>
        <v>(1/2)*(1/3)+1/3</v>
      </c>
      <c r="AR24" s="23" t="str">
        <f t="shared" ca="1" si="19"/>
        <v xml:space="preserve">  </v>
      </c>
      <c r="AS24" s="24">
        <f t="shared" si="20"/>
        <v>8</v>
      </c>
      <c r="AT24" s="23" t="str">
        <f t="shared" ca="1" si="37"/>
        <v xml:space="preserve">  </v>
      </c>
      <c r="AU24" s="23" t="str">
        <f t="shared" ca="1" si="40"/>
        <v xml:space="preserve">  </v>
      </c>
      <c r="AV24" s="23" t="str">
        <f t="shared" si="21"/>
        <v xml:space="preserve">  </v>
      </c>
      <c r="AW24" s="23" t="str">
        <f t="shared" ca="1" si="22"/>
        <v xml:space="preserve">  </v>
      </c>
      <c r="AY24" s="35" t="str">
        <f t="shared" si="23"/>
        <v xml:space="preserve"> </v>
      </c>
      <c r="AZ24" s="23" t="str">
        <f t="shared" ca="1" si="41"/>
        <v xml:space="preserve">  </v>
      </c>
      <c r="BA24" s="36" t="str">
        <f t="shared" si="25"/>
        <v xml:space="preserve"> </v>
      </c>
      <c r="BB24" s="27" t="str">
        <f t="shared" ca="1" si="38"/>
        <v xml:space="preserve">  </v>
      </c>
      <c r="BC24" s="23" t="str">
        <f t="shared" ca="1" si="39"/>
        <v xml:space="preserve">  </v>
      </c>
      <c r="BE24" s="50" t="s">
        <v>65</v>
      </c>
      <c r="BF24" s="48" t="s">
        <v>66</v>
      </c>
      <c r="BG24" s="49" t="str">
        <f>IF(WL_No="  ","  ",MT/V_Disp)</f>
        <v xml:space="preserve">  </v>
      </c>
    </row>
    <row r="25" spans="1:59" x14ac:dyDescent="0.25">
      <c r="A25" s="20">
        <f>Tools!$AD24</f>
        <v>18.5</v>
      </c>
      <c r="B25" s="33" t="str">
        <f t="shared" si="0"/>
        <v xml:space="preserve">  </v>
      </c>
      <c r="C25" s="22">
        <f>IF(A25="  ","  ",IF(AND(A24="  ",A26="  "),"?",IF(A24="  ",2*(A26-A25),IF(A26="  ",2*(A25-A24),2*(A26-A24)))))</f>
        <v>2</v>
      </c>
      <c r="D25" s="23" t="str">
        <f t="shared" si="26"/>
        <v xml:space="preserve">  </v>
      </c>
      <c r="E25" s="24">
        <f t="shared" si="1"/>
        <v>8.5</v>
      </c>
      <c r="F25" s="23" t="str">
        <f t="shared" si="27"/>
        <v xml:space="preserve">  </v>
      </c>
      <c r="G25" s="23" t="str">
        <f t="shared" si="28"/>
        <v xml:space="preserve">  </v>
      </c>
      <c r="H25" s="23" t="str">
        <f t="shared" si="29"/>
        <v xml:space="preserve">  </v>
      </c>
      <c r="I25" s="23" t="str">
        <f t="shared" si="30"/>
        <v xml:space="preserve">  </v>
      </c>
      <c r="J25" s="4"/>
      <c r="K25" s="37" t="str">
        <f t="shared" si="2"/>
        <v xml:space="preserve"> </v>
      </c>
      <c r="L25" s="23" t="str">
        <f t="shared" si="31"/>
        <v xml:space="preserve">  </v>
      </c>
      <c r="M25" s="38" t="str">
        <f t="shared" si="3"/>
        <v xml:space="preserve"> </v>
      </c>
      <c r="N25" s="27" t="str">
        <f t="shared" si="32"/>
        <v xml:space="preserve">  </v>
      </c>
      <c r="O25" s="23" t="str">
        <f t="shared" si="33"/>
        <v xml:space="preserve">  </v>
      </c>
      <c r="P25" s="4"/>
      <c r="Q25" s="50" t="s">
        <v>69</v>
      </c>
      <c r="R25" s="48" t="s">
        <v>70</v>
      </c>
      <c r="S25" t="str">
        <f>IF(Tools!$L$49="Use 141 rule only",I49,IF(Tools!$L$49="Use 141 and 1331 rules",BG26," "))</f>
        <v xml:space="preserve">  </v>
      </c>
      <c r="W25" s="29">
        <f>IF(AO25="  ","  ",IF(AND(AO24="  ",AO26="  "),"?",IF(AO24="  ",2*(AO26-AO25),IF(AO26="  ",2*(AO25-AO24),2*(AO26-AO24)))))</f>
        <v>2</v>
      </c>
      <c r="X25" s="30" t="str">
        <f t="shared" si="4"/>
        <v>DD</v>
      </c>
      <c r="Y25" s="30" t="str">
        <f t="shared" si="5"/>
        <v>-</v>
      </c>
      <c r="Z25" s="29" t="b">
        <f t="shared" si="6"/>
        <v>1</v>
      </c>
      <c r="AA25" s="29" t="b">
        <f t="shared" si="7"/>
        <v>1</v>
      </c>
      <c r="AB25" s="29" t="str">
        <f t="shared" ca="1" si="8"/>
        <v>141-4</v>
      </c>
      <c r="AC25" s="29">
        <f t="shared" si="34"/>
        <v>4</v>
      </c>
      <c r="AD25" s="29">
        <f t="shared" ca="1" si="9"/>
        <v>4</v>
      </c>
      <c r="AE25" s="29">
        <v>22</v>
      </c>
      <c r="AF25" s="31">
        <f t="shared" si="42"/>
        <v>18</v>
      </c>
      <c r="AG25" s="29" t="b">
        <f t="shared" si="11"/>
        <v>0</v>
      </c>
      <c r="AH25" s="30" t="str">
        <f t="shared" si="43"/>
        <v>-</v>
      </c>
      <c r="AI25" s="30" t="str">
        <f t="shared" ca="1" si="13"/>
        <v>(1/2)*(4/3)</v>
      </c>
      <c r="AJ25" s="29">
        <f t="shared" ca="1" si="14"/>
        <v>0.66666666666666663</v>
      </c>
      <c r="AK25" s="29" t="str">
        <f t="shared" si="15"/>
        <v/>
      </c>
      <c r="AL25" s="29">
        <f t="shared" si="16"/>
        <v>0</v>
      </c>
      <c r="AM25" s="32">
        <f t="shared" ca="1" si="35"/>
        <v>0.66666666666666663</v>
      </c>
      <c r="AO25" s="20">
        <f>Tools!$AD24</f>
        <v>18.5</v>
      </c>
      <c r="AP25" s="33" t="str">
        <f t="shared" si="36"/>
        <v xml:space="preserve">  </v>
      </c>
      <c r="AQ25" s="34" t="str">
        <f t="shared" ca="1" si="18"/>
        <v>(1/2)*(4/3)</v>
      </c>
      <c r="AR25" s="23" t="str">
        <f t="shared" ca="1" si="19"/>
        <v xml:space="preserve">  </v>
      </c>
      <c r="AS25" s="24">
        <f t="shared" si="20"/>
        <v>8.5</v>
      </c>
      <c r="AT25" s="23" t="str">
        <f t="shared" ca="1" si="37"/>
        <v xml:space="preserve">  </v>
      </c>
      <c r="AU25" s="23" t="str">
        <f t="shared" ca="1" si="40"/>
        <v xml:space="preserve">  </v>
      </c>
      <c r="AV25" s="23" t="str">
        <f t="shared" si="21"/>
        <v xml:space="preserve">  </v>
      </c>
      <c r="AW25" s="23" t="str">
        <f t="shared" ca="1" si="22"/>
        <v xml:space="preserve">  </v>
      </c>
      <c r="AY25" s="35" t="str">
        <f t="shared" si="23"/>
        <v xml:space="preserve"> </v>
      </c>
      <c r="AZ25" s="23" t="str">
        <f t="shared" ca="1" si="41"/>
        <v xml:space="preserve">  </v>
      </c>
      <c r="BA25" s="36" t="str">
        <f t="shared" si="25"/>
        <v xml:space="preserve"> </v>
      </c>
      <c r="BB25" s="27" t="str">
        <f t="shared" ca="1" si="38"/>
        <v xml:space="preserve">  </v>
      </c>
      <c r="BC25" s="23" t="str">
        <f t="shared" ca="1" si="39"/>
        <v xml:space="preserve">  </v>
      </c>
      <c r="BE25" s="50" t="s">
        <v>67</v>
      </c>
      <c r="BF25" s="48" t="s">
        <v>68</v>
      </c>
      <c r="BG25" s="49" t="str">
        <f>IF(WL_No="  ","  ",KB+BMT)</f>
        <v xml:space="preserve">  </v>
      </c>
    </row>
    <row r="26" spans="1:59" x14ac:dyDescent="0.25">
      <c r="A26" s="20">
        <f>Tools!$AD25</f>
        <v>19</v>
      </c>
      <c r="B26" s="33" t="str">
        <f t="shared" si="0"/>
        <v xml:space="preserve">  </v>
      </c>
      <c r="C26" s="22">
        <f>IF(A26="  ","  ",IF(AND(A25="  ",A27="  "),"?",IF(A25="  ",1*(A27-A26),IF(A27="  ",1*(A26-A25),1*(A27-A25)))))</f>
        <v>1</v>
      </c>
      <c r="D26" s="23" t="str">
        <f t="shared" si="26"/>
        <v xml:space="preserve">  </v>
      </c>
      <c r="E26" s="24">
        <f t="shared" si="1"/>
        <v>9</v>
      </c>
      <c r="F26" s="23" t="str">
        <f t="shared" si="27"/>
        <v xml:space="preserve">  </v>
      </c>
      <c r="G26" s="23" t="str">
        <f t="shared" si="28"/>
        <v xml:space="preserve">  </v>
      </c>
      <c r="H26" s="23" t="str">
        <f t="shared" si="29"/>
        <v xml:space="preserve">  </v>
      </c>
      <c r="I26" s="23" t="str">
        <f t="shared" si="30"/>
        <v xml:space="preserve">  </v>
      </c>
      <c r="J26" s="4"/>
      <c r="K26" s="37" t="str">
        <f t="shared" si="2"/>
        <v xml:space="preserve"> </v>
      </c>
      <c r="L26" s="23" t="str">
        <f t="shared" si="31"/>
        <v xml:space="preserve">  </v>
      </c>
      <c r="M26" s="38" t="str">
        <f t="shared" si="3"/>
        <v xml:space="preserve"> </v>
      </c>
      <c r="N26" s="27" t="str">
        <f t="shared" si="32"/>
        <v xml:space="preserve">  </v>
      </c>
      <c r="O26" s="23" t="str">
        <f t="shared" si="33"/>
        <v xml:space="preserve">  </v>
      </c>
      <c r="P26" s="4"/>
      <c r="Q26" s="50" t="s">
        <v>71</v>
      </c>
      <c r="R26" s="48" t="s">
        <v>72</v>
      </c>
      <c r="S26" t="str">
        <f>IF(Tools!$L$49="Use 141 rule only",I50,IF(Tools!$L$49="Use 141 and 1331 rules",BG27," "))</f>
        <v xml:space="preserve">  </v>
      </c>
      <c r="W26" s="29">
        <f>IF(AO26="  ","  ",IF(AND(AO25="  ",AO27="  "),"?",IF(AO25="  ",1*(AO27-AO26),IF(AO27="  ",1*(AO26-AO25),1*(AO27-AO25)))))</f>
        <v>1</v>
      </c>
      <c r="X26" s="30" t="str">
        <f t="shared" si="4"/>
        <v>DD</v>
      </c>
      <c r="Y26" s="30" t="str">
        <f t="shared" si="5"/>
        <v>-</v>
      </c>
      <c r="Z26" s="29" t="b">
        <f t="shared" si="6"/>
        <v>1</v>
      </c>
      <c r="AA26" s="29" t="b">
        <f t="shared" si="7"/>
        <v>1</v>
      </c>
      <c r="AB26" s="29" t="str">
        <f t="shared" ca="1" si="8"/>
        <v>141-2</v>
      </c>
      <c r="AC26" s="29">
        <f t="shared" si="34"/>
        <v>3</v>
      </c>
      <c r="AD26" s="29">
        <f t="shared" ca="1" si="9"/>
        <v>3</v>
      </c>
      <c r="AE26" s="29">
        <v>23</v>
      </c>
      <c r="AF26" s="31">
        <f t="shared" si="42"/>
        <v>19</v>
      </c>
      <c r="AG26" s="29" t="b">
        <f t="shared" si="11"/>
        <v>0</v>
      </c>
      <c r="AH26" s="30" t="str">
        <f t="shared" si="43"/>
        <v>-</v>
      </c>
      <c r="AI26" s="30" t="str">
        <f t="shared" ca="1" si="13"/>
        <v>(1/2)*(2/3)</v>
      </c>
      <c r="AJ26" s="29">
        <f t="shared" ca="1" si="14"/>
        <v>0.33333333333333331</v>
      </c>
      <c r="AK26" s="29" t="str">
        <f t="shared" si="15"/>
        <v/>
      </c>
      <c r="AL26" s="29">
        <f t="shared" si="16"/>
        <v>0</v>
      </c>
      <c r="AM26" s="32">
        <f t="shared" ca="1" si="35"/>
        <v>0.33333333333333331</v>
      </c>
      <c r="AO26" s="20">
        <f>Tools!$AD25</f>
        <v>19</v>
      </c>
      <c r="AP26" s="33" t="str">
        <f t="shared" si="36"/>
        <v xml:space="preserve">  </v>
      </c>
      <c r="AQ26" s="34" t="str">
        <f t="shared" ca="1" si="18"/>
        <v>(1/2)*(2/3)</v>
      </c>
      <c r="AR26" s="23" t="str">
        <f t="shared" ca="1" si="19"/>
        <v xml:space="preserve">  </v>
      </c>
      <c r="AS26" s="24">
        <f t="shared" si="20"/>
        <v>9</v>
      </c>
      <c r="AT26" s="23" t="str">
        <f t="shared" ca="1" si="37"/>
        <v xml:space="preserve">  </v>
      </c>
      <c r="AU26" s="23" t="str">
        <f t="shared" ca="1" si="40"/>
        <v xml:space="preserve">  </v>
      </c>
      <c r="AV26" s="23" t="str">
        <f t="shared" si="21"/>
        <v xml:space="preserve">  </v>
      </c>
      <c r="AW26" s="23" t="str">
        <f t="shared" ca="1" si="22"/>
        <v xml:space="preserve">  </v>
      </c>
      <c r="AY26" s="35" t="str">
        <f t="shared" si="23"/>
        <v xml:space="preserve"> </v>
      </c>
      <c r="AZ26" s="23" t="str">
        <f t="shared" ca="1" si="41"/>
        <v xml:space="preserve">  </v>
      </c>
      <c r="BA26" s="36" t="str">
        <f t="shared" si="25"/>
        <v xml:space="preserve"> </v>
      </c>
      <c r="BB26" s="27" t="str">
        <f t="shared" ca="1" si="38"/>
        <v xml:space="preserve">  </v>
      </c>
      <c r="BC26" s="23" t="str">
        <f t="shared" ca="1" si="39"/>
        <v xml:space="preserve">  </v>
      </c>
      <c r="BE26" s="50" t="s">
        <v>69</v>
      </c>
      <c r="BF26" s="48" t="s">
        <v>70</v>
      </c>
      <c r="BG26" s="49" t="str">
        <f>IF(WL_No="  ","  ",KB+BML)</f>
        <v xml:space="preserve">  </v>
      </c>
    </row>
    <row r="27" spans="1:59" x14ac:dyDescent="0.25">
      <c r="A27" s="20">
        <f>Tools!$AD26</f>
        <v>19.5</v>
      </c>
      <c r="B27" s="33" t="str">
        <f t="shared" si="0"/>
        <v xml:space="preserve">  </v>
      </c>
      <c r="C27" s="22">
        <f>IF(A27="  ","  ",IF(AND(A26="  ",A28="  "),"?",IF(A26="  ",2*(A28-A27),IF(A28="  ",2*(A27-A26),2*(A28-A26)))))</f>
        <v>2</v>
      </c>
      <c r="D27" s="23" t="str">
        <f t="shared" si="26"/>
        <v xml:space="preserve">  </v>
      </c>
      <c r="E27" s="24">
        <f t="shared" si="1"/>
        <v>9.5</v>
      </c>
      <c r="F27" s="23" t="str">
        <f t="shared" si="27"/>
        <v xml:space="preserve">  </v>
      </c>
      <c r="G27" s="23" t="str">
        <f t="shared" si="28"/>
        <v xml:space="preserve">  </v>
      </c>
      <c r="H27" s="23" t="str">
        <f t="shared" si="29"/>
        <v xml:space="preserve">  </v>
      </c>
      <c r="I27" s="23" t="str">
        <f t="shared" si="30"/>
        <v xml:space="preserve">  </v>
      </c>
      <c r="J27" s="4"/>
      <c r="K27" s="37" t="str">
        <f t="shared" si="2"/>
        <v xml:space="preserve"> </v>
      </c>
      <c r="L27" s="23" t="str">
        <f t="shared" si="31"/>
        <v xml:space="preserve">  </v>
      </c>
      <c r="M27" s="38" t="str">
        <f t="shared" si="3"/>
        <v xml:space="preserve"> </v>
      </c>
      <c r="N27" s="27" t="str">
        <f t="shared" si="32"/>
        <v xml:space="preserve">  </v>
      </c>
      <c r="O27" s="23" t="str">
        <f t="shared" si="33"/>
        <v xml:space="preserve">  </v>
      </c>
      <c r="P27" s="4"/>
      <c r="Q27" s="50" t="s">
        <v>73</v>
      </c>
      <c r="R27" s="48" t="s">
        <v>74</v>
      </c>
      <c r="S27" t="str">
        <f>IF(Tools!$L$49="Use 141 rule only",I51,IF(Tools!$L$49="Use 141 and 1331 rules",BG28," "))</f>
        <v xml:space="preserve">  </v>
      </c>
      <c r="W27" s="29">
        <f>IF(AO27="  ","  ",IF(AND(AO26="  ",AO28="  "),"?",IF(AO26="  ",2*(AO28-AO27),IF(AO28="  ",2*(AO27-AO26),2*(AO28-AO26)))))</f>
        <v>2</v>
      </c>
      <c r="X27" s="30" t="str">
        <f t="shared" si="4"/>
        <v>DD</v>
      </c>
      <c r="Y27" s="30" t="str">
        <f t="shared" si="5"/>
        <v>-</v>
      </c>
      <c r="Z27" s="29" t="b">
        <f t="shared" si="6"/>
        <v>1</v>
      </c>
      <c r="AA27" s="29" t="b">
        <f t="shared" si="7"/>
        <v>1</v>
      </c>
      <c r="AB27" s="29" t="str">
        <f t="shared" ca="1" si="8"/>
        <v>141-4</v>
      </c>
      <c r="AC27" s="29">
        <f t="shared" si="34"/>
        <v>2</v>
      </c>
      <c r="AD27" s="29">
        <f t="shared" ca="1" si="9"/>
        <v>2</v>
      </c>
      <c r="AE27" s="29">
        <v>24</v>
      </c>
      <c r="AF27" s="31">
        <f t="shared" si="42"/>
        <v>20</v>
      </c>
      <c r="AG27" s="29" t="b">
        <f t="shared" si="11"/>
        <v>0</v>
      </c>
      <c r="AH27" s="30" t="str">
        <f t="shared" si="43"/>
        <v>-</v>
      </c>
      <c r="AI27" s="30" t="str">
        <f t="shared" ca="1" si="13"/>
        <v>(1/2)*(4/3)</v>
      </c>
      <c r="AJ27" s="29">
        <f t="shared" ca="1" si="14"/>
        <v>0.66666666666666663</v>
      </c>
      <c r="AK27" s="29" t="str">
        <f t="shared" si="15"/>
        <v/>
      </c>
      <c r="AL27" s="29">
        <f t="shared" si="16"/>
        <v>0</v>
      </c>
      <c r="AM27" s="32">
        <f t="shared" ca="1" si="35"/>
        <v>0.66666666666666663</v>
      </c>
      <c r="AO27" s="20">
        <f>Tools!$AD26</f>
        <v>19.5</v>
      </c>
      <c r="AP27" s="33" t="str">
        <f t="shared" ref="AP27:AP28" si="44">VLOOKUP(AO27,OFFSET_A,Count_WL+1,FALSE)</f>
        <v xml:space="preserve">  </v>
      </c>
      <c r="AQ27" s="34" t="str">
        <f t="shared" ca="1" si="18"/>
        <v>(1/2)*(4/3)</v>
      </c>
      <c r="AR27" s="23" t="str">
        <f t="shared" ca="1" si="19"/>
        <v xml:space="preserve">  </v>
      </c>
      <c r="AS27" s="24">
        <f t="shared" si="20"/>
        <v>9.5</v>
      </c>
      <c r="AT27" s="23" t="str">
        <f t="shared" ca="1" si="37"/>
        <v xml:space="preserve">  </v>
      </c>
      <c r="AU27" s="23" t="str">
        <f t="shared" ca="1" si="40"/>
        <v xml:space="preserve">  </v>
      </c>
      <c r="AV27" s="23" t="str">
        <f t="shared" si="21"/>
        <v xml:space="preserve">  </v>
      </c>
      <c r="AW27" s="23" t="str">
        <f t="shared" ca="1" si="22"/>
        <v xml:space="preserve">  </v>
      </c>
      <c r="AY27" s="35" t="str">
        <f t="shared" si="23"/>
        <v xml:space="preserve"> </v>
      </c>
      <c r="AZ27" s="23" t="str">
        <f t="shared" ca="1" si="41"/>
        <v xml:space="preserve">  </v>
      </c>
      <c r="BA27" s="36" t="str">
        <f t="shared" si="25"/>
        <v xml:space="preserve"> </v>
      </c>
      <c r="BB27" s="27" t="str">
        <f t="shared" ca="1" si="38"/>
        <v xml:space="preserve">  </v>
      </c>
      <c r="BC27" s="23" t="str">
        <f t="shared" ca="1" si="39"/>
        <v xml:space="preserve">  </v>
      </c>
      <c r="BE27" s="50" t="s">
        <v>71</v>
      </c>
      <c r="BF27" s="48" t="s">
        <v>72</v>
      </c>
      <c r="BG27" s="49" t="str">
        <f>IF(WL_No="  ","  ",AWP*1.025/100)</f>
        <v xml:space="preserve">  </v>
      </c>
    </row>
    <row r="28" spans="1:59" ht="15.75" thickBot="1" x14ac:dyDescent="0.3">
      <c r="A28" s="20">
        <f>Tools!$AD27</f>
        <v>20</v>
      </c>
      <c r="B28" s="52" t="str">
        <f t="shared" si="0"/>
        <v xml:space="preserve">  </v>
      </c>
      <c r="C28" s="22">
        <f>IF(A28="  ","  ",IF(A27="  ","?",1*(A28-A27)))</f>
        <v>0.5</v>
      </c>
      <c r="D28" s="53" t="str">
        <f t="shared" si="26"/>
        <v xml:space="preserve">  </v>
      </c>
      <c r="E28" s="24">
        <f t="shared" si="1"/>
        <v>10</v>
      </c>
      <c r="F28" s="53" t="str">
        <f t="shared" si="27"/>
        <v xml:space="preserve">  </v>
      </c>
      <c r="G28" s="53" t="str">
        <f t="shared" si="28"/>
        <v xml:space="preserve">  </v>
      </c>
      <c r="H28" s="23" t="str">
        <f t="shared" si="29"/>
        <v xml:space="preserve">  </v>
      </c>
      <c r="I28" s="53" t="str">
        <f t="shared" si="30"/>
        <v xml:space="preserve">  </v>
      </c>
      <c r="J28" s="4"/>
      <c r="K28" s="35" t="str">
        <f t="shared" si="2"/>
        <v xml:space="preserve"> </v>
      </c>
      <c r="L28" s="53" t="str">
        <f t="shared" si="31"/>
        <v xml:space="preserve">  </v>
      </c>
      <c r="M28" s="36" t="str">
        <f t="shared" si="3"/>
        <v xml:space="preserve"> </v>
      </c>
      <c r="N28" s="54" t="str">
        <f t="shared" si="32"/>
        <v xml:space="preserve">  </v>
      </c>
      <c r="O28" s="53" t="str">
        <f t="shared" si="33"/>
        <v xml:space="preserve">  </v>
      </c>
      <c r="P28" s="4"/>
      <c r="Q28" s="50" t="s">
        <v>75</v>
      </c>
      <c r="R28" s="55" t="s">
        <v>76</v>
      </c>
      <c r="S28" t="str">
        <f>IF(Tools!$L$49="Use 141 rule only",I52,IF(Tools!$L$49="Use 141 and 1331 rules",BG29," "))</f>
        <v xml:space="preserve">  </v>
      </c>
      <c r="W28" s="29">
        <f>IF(AO28="  ","  ",IF(AO27="  ","?",1*(AO28-AO27)))</f>
        <v>0.5</v>
      </c>
      <c r="X28" s="30" t="str">
        <f t="shared" si="4"/>
        <v>D-</v>
      </c>
      <c r="Y28" s="30" t="str">
        <f t="shared" si="5"/>
        <v>-</v>
      </c>
      <c r="Z28" s="29" t="b">
        <f t="shared" si="6"/>
        <v>1</v>
      </c>
      <c r="AA28" s="29" t="b">
        <f t="shared" si="7"/>
        <v>1</v>
      </c>
      <c r="AB28" s="29" t="str">
        <f t="shared" ca="1" si="8"/>
        <v>141-1</v>
      </c>
      <c r="AC28" s="29">
        <f>IF(ISNUMBER(AO28),IF(ISNUMBER(AO28),IF(OR(AO28=0,AO28=Long_Div),1,IF(AO28&gt;Long_Div/2,AF29+1,IF(AO28&lt;=Long_Div/2,AC27+1,"?")))," --")," ")</f>
        <v>1</v>
      </c>
      <c r="AD28" s="29">
        <f t="shared" ca="1" si="9"/>
        <v>1</v>
      </c>
      <c r="AE28" s="29">
        <v>25</v>
      </c>
      <c r="AF28" s="31">
        <f t="shared" si="42"/>
        <v>21</v>
      </c>
      <c r="AG28" s="29" t="b">
        <f t="shared" si="11"/>
        <v>0</v>
      </c>
      <c r="AH28" s="30" t="str">
        <f t="shared" si="43"/>
        <v>-</v>
      </c>
      <c r="AI28" s="30" t="str">
        <f t="shared" ca="1" si="13"/>
        <v>(1/2)*(1/3)</v>
      </c>
      <c r="AJ28" s="29">
        <f t="shared" ca="1" si="14"/>
        <v>0.16666666666666666</v>
      </c>
      <c r="AK28" s="29" t="str">
        <f t="shared" si="15"/>
        <v/>
      </c>
      <c r="AL28" s="29">
        <f t="shared" si="16"/>
        <v>0</v>
      </c>
      <c r="AM28" s="32">
        <f t="shared" ca="1" si="35"/>
        <v>0.16666666666666666</v>
      </c>
      <c r="AO28" s="20">
        <f>Tools!$AD27</f>
        <v>20</v>
      </c>
      <c r="AP28" s="33" t="str">
        <f t="shared" si="44"/>
        <v xml:space="preserve">  </v>
      </c>
      <c r="AQ28" s="34" t="str">
        <f t="shared" ca="1" si="18"/>
        <v>(1/2)*(1/3)</v>
      </c>
      <c r="AR28" s="23" t="str">
        <f t="shared" ca="1" si="19"/>
        <v xml:space="preserve">  </v>
      </c>
      <c r="AS28" s="24">
        <f t="shared" si="20"/>
        <v>10</v>
      </c>
      <c r="AT28" s="53" t="str">
        <f t="shared" ca="1" si="37"/>
        <v xml:space="preserve">  </v>
      </c>
      <c r="AU28" s="53" t="str">
        <f t="shared" ca="1" si="40"/>
        <v xml:space="preserve">  </v>
      </c>
      <c r="AV28" s="23" t="str">
        <f t="shared" si="21"/>
        <v xml:space="preserve">  </v>
      </c>
      <c r="AW28" s="23" t="str">
        <f t="shared" ca="1" si="22"/>
        <v xml:space="preserve">  </v>
      </c>
      <c r="AY28" s="35" t="str">
        <f t="shared" si="23"/>
        <v xml:space="preserve"> </v>
      </c>
      <c r="AZ28" s="23" t="str">
        <f t="shared" ca="1" si="41"/>
        <v xml:space="preserve">  </v>
      </c>
      <c r="BA28" s="36" t="str">
        <f t="shared" si="25"/>
        <v xml:space="preserve"> </v>
      </c>
      <c r="BB28" s="27" t="str">
        <f t="shared" ca="1" si="38"/>
        <v xml:space="preserve">  </v>
      </c>
      <c r="BC28" s="53" t="str">
        <f t="shared" ca="1" si="39"/>
        <v xml:space="preserve">  </v>
      </c>
      <c r="BE28" s="50" t="s">
        <v>73</v>
      </c>
      <c r="BF28" s="48" t="s">
        <v>74</v>
      </c>
      <c r="BG28" s="49" t="str">
        <f>IF(WL_No="  ","  ",ML/V_Disp)</f>
        <v xml:space="preserve">  </v>
      </c>
    </row>
    <row r="29" spans="1:59" ht="15.75" thickBot="1" x14ac:dyDescent="0.3">
      <c r="A29" s="56" t="s">
        <v>77</v>
      </c>
      <c r="B29" s="56"/>
      <c r="C29" s="56"/>
      <c r="D29" s="57">
        <f>SUM(D4:D28)</f>
        <v>0</v>
      </c>
      <c r="E29" s="42"/>
      <c r="F29" s="58">
        <f>SUM(F4:F28)</f>
        <v>0</v>
      </c>
      <c r="G29" s="58">
        <f>SUM(G4:G28)</f>
        <v>0</v>
      </c>
      <c r="H29" s="42"/>
      <c r="I29" s="58">
        <f>SUM(I4:I28)</f>
        <v>0</v>
      </c>
      <c r="J29" s="4"/>
      <c r="K29" s="42"/>
      <c r="L29" s="58">
        <f>SUM(L4:L28)</f>
        <v>0</v>
      </c>
      <c r="M29" s="42"/>
      <c r="N29" s="58">
        <f>SUM(N4:N28)</f>
        <v>0</v>
      </c>
      <c r="O29" s="58">
        <f>SUM(O4:O28)</f>
        <v>0</v>
      </c>
      <c r="P29" s="4"/>
      <c r="Q29" s="50" t="s">
        <v>78</v>
      </c>
      <c r="R29" s="48" t="s">
        <v>79</v>
      </c>
      <c r="S29" t="str">
        <f>IF(Tools!$L$49="Use 141 rule only",I53,IF(Tools!$L$49="Use 141 and 1331 rules",BG30," "))</f>
        <v xml:space="preserve">  </v>
      </c>
      <c r="W29" s="56"/>
      <c r="X29" s="56"/>
      <c r="Y29" s="56"/>
      <c r="Z29" s="56"/>
      <c r="AA29" s="56"/>
      <c r="AB29" s="56"/>
      <c r="AC29" s="56"/>
      <c r="AD29" s="56"/>
      <c r="AE29" s="56"/>
      <c r="AF29" s="56"/>
      <c r="AG29" s="56"/>
      <c r="AH29" s="56"/>
      <c r="AI29" s="56"/>
      <c r="AJ29" s="56"/>
      <c r="AK29" s="56"/>
      <c r="AL29" s="56"/>
      <c r="AM29" s="56"/>
      <c r="AN29" s="56"/>
      <c r="AO29" s="56" t="s">
        <v>77</v>
      </c>
      <c r="AP29" s="56"/>
      <c r="AQ29" s="59"/>
      <c r="AR29" s="57">
        <f ca="1">SUM(AR4:AR28)</f>
        <v>0</v>
      </c>
      <c r="AS29" s="42"/>
      <c r="AT29" s="58">
        <f ca="1">SUM(AT4:AT28)</f>
        <v>0</v>
      </c>
      <c r="AU29" s="58">
        <f ca="1">SUM(AU4:AU28)</f>
        <v>0</v>
      </c>
      <c r="AV29" s="42"/>
      <c r="AW29" s="58">
        <f ca="1">SUM(AW4:AW28)</f>
        <v>0</v>
      </c>
      <c r="AY29" s="42"/>
      <c r="AZ29" s="58">
        <f ca="1">SUM(AZ4:AZ28)</f>
        <v>0</v>
      </c>
      <c r="BA29" s="42"/>
      <c r="BB29" s="58">
        <f ca="1">SUM(BB4:BB28)</f>
        <v>0</v>
      </c>
      <c r="BC29" s="58">
        <f ca="1">SUM(BC4:BC28)</f>
        <v>0</v>
      </c>
      <c r="BE29" s="50" t="s">
        <v>75</v>
      </c>
      <c r="BF29" s="55" t="s">
        <v>76</v>
      </c>
      <c r="BG29" s="49" t="str">
        <f>IF(WL_No="  ","  ",M_Disp*BML/100/BG8)</f>
        <v xml:space="preserve">  </v>
      </c>
    </row>
    <row r="30" spans="1:59" x14ac:dyDescent="0.25">
      <c r="A30" s="15"/>
      <c r="B30" s="4"/>
      <c r="C30" s="4"/>
      <c r="D30" s="42"/>
      <c r="E30" s="4"/>
      <c r="F30" s="4"/>
      <c r="G30" s="4"/>
      <c r="H30" s="4"/>
      <c r="I30" s="4"/>
      <c r="J30" s="4"/>
      <c r="K30" s="4"/>
      <c r="L30" s="4"/>
      <c r="M30" s="4"/>
      <c r="N30" s="4"/>
      <c r="O30" s="4"/>
      <c r="P30" s="4"/>
      <c r="Q30" s="50" t="s">
        <v>80</v>
      </c>
      <c r="R30" s="48" t="s">
        <v>81</v>
      </c>
      <c r="S30" t="str">
        <f>IF(Tools!$L$49="Use 141 rule only",I54,IF(Tools!$L$49="Use 141 and 1331 rules",BG31," "))</f>
        <v xml:space="preserve">  </v>
      </c>
      <c r="AA30" s="60"/>
      <c r="AB30" s="60"/>
      <c r="BE30" s="50" t="s">
        <v>78</v>
      </c>
      <c r="BF30" s="48" t="s">
        <v>79</v>
      </c>
      <c r="BG30" s="49" t="str">
        <f>IF(WL_No="  ","  ",WLS*WL_No)</f>
        <v xml:space="preserve">  </v>
      </c>
    </row>
    <row r="31" spans="1:59" x14ac:dyDescent="0.25">
      <c r="A31" s="15"/>
      <c r="B31" s="4"/>
      <c r="C31" s="4"/>
      <c r="D31" s="4"/>
      <c r="E31" s="4"/>
      <c r="F31" s="4"/>
      <c r="G31" s="4"/>
      <c r="H31" s="4"/>
      <c r="I31" s="4"/>
      <c r="J31" s="4"/>
      <c r="K31" s="4"/>
      <c r="L31" s="4"/>
      <c r="M31" s="4"/>
      <c r="N31" s="4"/>
      <c r="O31" s="4"/>
      <c r="P31" s="4"/>
      <c r="Q31" s="50" t="s">
        <v>82</v>
      </c>
      <c r="R31" s="48" t="s">
        <v>83</v>
      </c>
      <c r="S31" t="str">
        <f>IF(Tools!$L$49="Use 141 rule only",I55,IF(Tools!$L$49="Use 141 and 1331 rules",BG32," "))</f>
        <v xml:space="preserve">  </v>
      </c>
      <c r="AF31" s="61" t="s">
        <v>84</v>
      </c>
      <c r="AG31" s="62">
        <f ca="1">COUNTIF(OFFSET(AQ4,,,ROUNDUP(Max_STN_count/2,0),1),"")</f>
        <v>0</v>
      </c>
      <c r="AH31" s="63">
        <f ca="1">HLOOKUP(Stn_WL,AREA_TABLE,AG31+2,FALSE)</f>
        <v>0</v>
      </c>
      <c r="AI31" s="63">
        <f ca="1">IF(AH31&gt;Long_Div/2,Long_Div/2,AH31)</f>
        <v>0</v>
      </c>
      <c r="AJ31" s="63">
        <f ca="1">AI31*STN_GAP</f>
        <v>0</v>
      </c>
      <c r="BE31" s="50" t="s">
        <v>80</v>
      </c>
      <c r="BF31" s="48" t="s">
        <v>81</v>
      </c>
      <c r="BG31" s="49" t="str">
        <f>IF(WL_No="  ","  ",AWP/(BG8*B_current))</f>
        <v xml:space="preserve">  </v>
      </c>
    </row>
    <row r="32" spans="1:59" x14ac:dyDescent="0.25">
      <c r="A32" s="15"/>
      <c r="B32" s="4"/>
      <c r="C32" s="4"/>
      <c r="D32" s="4"/>
      <c r="E32" s="4"/>
      <c r="F32" s="4"/>
      <c r="G32" s="4"/>
      <c r="H32" s="4"/>
      <c r="I32" s="4"/>
      <c r="J32" s="64"/>
      <c r="K32" s="4"/>
      <c r="L32" s="4"/>
      <c r="M32" s="4"/>
      <c r="N32" s="4"/>
      <c r="O32" s="4"/>
      <c r="P32" s="4"/>
      <c r="Q32" s="50" t="s">
        <v>85</v>
      </c>
      <c r="R32" s="48" t="s">
        <v>86</v>
      </c>
      <c r="S32" t="str">
        <f>IF(Tools!$L$49="Use 141 rule only",I56,IF(Tools!$L$49="Use 141 and 1331 rules",BG33," "))</f>
        <v xml:space="preserve">  </v>
      </c>
      <c r="AF32" s="61" t="s">
        <v>87</v>
      </c>
      <c r="AG32" s="62">
        <f ca="1">COUNTIF(OFFSET(AQ4,ROUNDUP(Max_STN_count/2,0),,ROUNDDOWN(Max_STN_count/2,0),1),"")</f>
        <v>0</v>
      </c>
      <c r="AH32" s="63">
        <f ca="1">HLOOKUP(Stn_WL,AREA_TABLE,AG32+2,FALSE)</f>
        <v>0</v>
      </c>
      <c r="AI32" s="63">
        <f ca="1">IF(AH32&gt;Long_Div/2,Long_Div/2,AH32)</f>
        <v>0</v>
      </c>
      <c r="AJ32" s="63">
        <f ca="1">AI32*STN_GAP</f>
        <v>0</v>
      </c>
      <c r="BE32" s="50" t="s">
        <v>82</v>
      </c>
      <c r="BF32" s="48" t="s">
        <v>83</v>
      </c>
      <c r="BG32" s="49" t="str">
        <f>IF(WL_No="  ","  ",V_Disp/(BG8*B_current*T))</f>
        <v xml:space="preserve">  </v>
      </c>
    </row>
    <row r="33" spans="1:59" x14ac:dyDescent="0.25">
      <c r="A33" s="15"/>
      <c r="B33" s="4"/>
      <c r="C33" s="4"/>
      <c r="D33" s="4"/>
      <c r="E33" s="4"/>
      <c r="F33" s="4"/>
      <c r="G33" s="43" t="s">
        <v>31</v>
      </c>
      <c r="H33" s="44" t="s">
        <v>32</v>
      </c>
      <c r="I33" s="489" t="s">
        <v>33</v>
      </c>
      <c r="J33" s="4"/>
      <c r="K33" s="4"/>
      <c r="L33" s="4"/>
      <c r="M33" s="4"/>
      <c r="N33" s="4"/>
      <c r="O33" s="4"/>
      <c r="P33" s="4"/>
      <c r="Q33" s="50" t="s">
        <v>88</v>
      </c>
      <c r="R33" s="48" t="s">
        <v>89</v>
      </c>
      <c r="S33" t="str">
        <f>IF(Tools!$L$49="Use 141 rule only",I57,IF(Tools!$L$49="Use 141 and 1331 rules",BG34," "))</f>
        <v xml:space="preserve">  </v>
      </c>
      <c r="AF33" s="63"/>
      <c r="AG33" s="63"/>
      <c r="AH33" s="63">
        <f ca="1">Long_Div-AH32</f>
        <v>20</v>
      </c>
      <c r="AI33" s="63"/>
      <c r="AJ33" s="63">
        <f ca="1">AJ32+AJ31</f>
        <v>0</v>
      </c>
      <c r="BE33" s="50" t="s">
        <v>85</v>
      </c>
      <c r="BF33" s="48" t="s">
        <v>86</v>
      </c>
      <c r="BG33" s="65" t="str">
        <f>IFERROR(IF(WL_No="  ","  ",(VLOOKUP(Long_Div/2,AREA_TABLE,Count_WL+1,FALSE))/(B_current*T)),"-")</f>
        <v xml:space="preserve">  </v>
      </c>
    </row>
    <row r="34" spans="1:59" x14ac:dyDescent="0.25">
      <c r="G34" s="45"/>
      <c r="H34" s="46"/>
      <c r="I34" s="490"/>
      <c r="BE34" s="50" t="s">
        <v>88</v>
      </c>
      <c r="BF34" s="48" t="s">
        <v>89</v>
      </c>
      <c r="BG34" s="49" t="str">
        <f>IF(WL_No="  ","  ",CB/CM)</f>
        <v xml:space="preserve">  </v>
      </c>
    </row>
    <row r="35" spans="1:59" x14ac:dyDescent="0.25">
      <c r="G35" s="47" t="s">
        <v>34</v>
      </c>
      <c r="H35" s="48" t="s">
        <v>35</v>
      </c>
      <c r="I35" s="49" t="str">
        <f>IF(WL_No="  ","  ",2/3*h*$D$29)</f>
        <v xml:space="preserve">  </v>
      </c>
    </row>
    <row r="36" spans="1:59" x14ac:dyDescent="0.25">
      <c r="G36" s="47" t="s">
        <v>36</v>
      </c>
      <c r="H36" s="48" t="s">
        <v>37</v>
      </c>
      <c r="I36" s="49" t="str">
        <f>IF(WL_No="  ","  ",2/3*(h^2)*$F$29)</f>
        <v xml:space="preserve">  </v>
      </c>
    </row>
    <row r="37" spans="1:59" x14ac:dyDescent="0.25">
      <c r="G37" s="50" t="s">
        <v>39</v>
      </c>
      <c r="H37" s="48" t="s">
        <v>40</v>
      </c>
      <c r="I37" s="49" t="str">
        <f>IF(WL_No="  ","  ",Mmid/AWP)</f>
        <v xml:space="preserve">  </v>
      </c>
    </row>
    <row r="38" spans="1:59" x14ac:dyDescent="0.25">
      <c r="G38" s="50" t="s">
        <v>42</v>
      </c>
      <c r="H38" s="48" t="s">
        <v>43</v>
      </c>
      <c r="I38" s="49" t="str">
        <f>IF(WL_No="  ","  ",2/3*(h^3)*$G$29)</f>
        <v xml:space="preserve">  </v>
      </c>
    </row>
    <row r="39" spans="1:59" x14ac:dyDescent="0.25">
      <c r="G39" s="51" t="s">
        <v>44</v>
      </c>
      <c r="H39" s="48" t="s">
        <v>45</v>
      </c>
      <c r="I39" s="49" t="str">
        <f>IF(WL_No="  ","  ",2/9*h*$I$29)</f>
        <v xml:space="preserve">  </v>
      </c>
    </row>
    <row r="40" spans="1:59" x14ac:dyDescent="0.25">
      <c r="G40" s="50" t="s">
        <v>47</v>
      </c>
      <c r="H40" s="48" t="s">
        <v>48</v>
      </c>
      <c r="I40" s="49" t="str">
        <f>IF(WL_No="  ","  ",IL-AWP*(LCF^2))</f>
        <v xml:space="preserve">  </v>
      </c>
    </row>
    <row r="41" spans="1:59" x14ac:dyDescent="0.25">
      <c r="G41" s="50" t="s">
        <v>50</v>
      </c>
      <c r="H41" s="48" t="s">
        <v>51</v>
      </c>
      <c r="I41" s="49" t="str">
        <f>IF(WL_No="  ","  ",h/3*$L$29)</f>
        <v xml:space="preserve">  </v>
      </c>
    </row>
    <row r="42" spans="1:59" x14ac:dyDescent="0.25">
      <c r="G42" s="50" t="s">
        <v>52</v>
      </c>
      <c r="H42" s="48" t="s">
        <v>53</v>
      </c>
      <c r="I42" s="49" t="str">
        <f>IF(WL_No="  ","  ",V_Disp*1.025*1.006)</f>
        <v xml:space="preserve">  </v>
      </c>
    </row>
    <row r="43" spans="1:59" x14ac:dyDescent="0.25">
      <c r="G43" s="50" t="s">
        <v>55</v>
      </c>
      <c r="H43" s="48" t="s">
        <v>56</v>
      </c>
      <c r="I43" s="49" t="str">
        <f>IF(WL_No="  ","  ",h/3*$N$29)</f>
        <v xml:space="preserve">  </v>
      </c>
    </row>
    <row r="44" spans="1:59" x14ac:dyDescent="0.25">
      <c r="G44" s="50" t="s">
        <v>57</v>
      </c>
      <c r="H44" s="48" t="s">
        <v>58</v>
      </c>
      <c r="I44" s="49" t="str">
        <f>IF(WL_No="  ","  ",(h^2)/3*$O$29)</f>
        <v xml:space="preserve">  </v>
      </c>
    </row>
    <row r="45" spans="1:59" x14ac:dyDescent="0.25">
      <c r="G45" s="50" t="s">
        <v>60</v>
      </c>
      <c r="H45" s="48" t="s">
        <v>61</v>
      </c>
      <c r="I45" s="49" t="str">
        <f>IF(WL_No="  ","  ",IF/V_Disp)</f>
        <v xml:space="preserve">  </v>
      </c>
    </row>
    <row r="46" spans="1:59" x14ac:dyDescent="0.25">
      <c r="G46" s="50" t="s">
        <v>63</v>
      </c>
      <c r="H46" s="48" t="s">
        <v>64</v>
      </c>
      <c r="I46" s="49" t="str">
        <f>IF(WL_No="  ","  ",IT/V_Disp)</f>
        <v xml:space="preserve">  </v>
      </c>
    </row>
    <row r="47" spans="1:59" x14ac:dyDescent="0.25">
      <c r="G47" s="50" t="s">
        <v>65</v>
      </c>
      <c r="H47" s="48" t="s">
        <v>66</v>
      </c>
      <c r="I47" s="49" t="str">
        <f>IF(WL_No="  ","  ",MT/V_Disp)</f>
        <v xml:space="preserve">  </v>
      </c>
    </row>
    <row r="48" spans="1:59" x14ac:dyDescent="0.25">
      <c r="G48" s="50" t="s">
        <v>67</v>
      </c>
      <c r="H48" s="48" t="s">
        <v>68</v>
      </c>
      <c r="I48" s="49" t="str">
        <f>IF(WL_No="  ","  ",KB+BMT)</f>
        <v xml:space="preserve">  </v>
      </c>
    </row>
    <row r="49" spans="7:9" x14ac:dyDescent="0.25">
      <c r="G49" s="50" t="s">
        <v>69</v>
      </c>
      <c r="H49" s="48" t="s">
        <v>70</v>
      </c>
      <c r="I49" s="49" t="str">
        <f>IF(WL_No="  ","  ",KB+BML)</f>
        <v xml:space="preserve">  </v>
      </c>
    </row>
    <row r="50" spans="7:9" x14ac:dyDescent="0.25">
      <c r="G50" s="50" t="s">
        <v>71</v>
      </c>
      <c r="H50" s="48" t="s">
        <v>72</v>
      </c>
      <c r="I50" s="49" t="str">
        <f>IF(WL_No="  ","  ",AWP*1.025/100)</f>
        <v xml:space="preserve">  </v>
      </c>
    </row>
    <row r="51" spans="7:9" x14ac:dyDescent="0.25">
      <c r="G51" s="50" t="s">
        <v>73</v>
      </c>
      <c r="H51" s="48" t="s">
        <v>74</v>
      </c>
      <c r="I51" s="49" t="str">
        <f>IF(WL_No="  ","  ",ML/V_Disp)</f>
        <v xml:space="preserve">  </v>
      </c>
    </row>
    <row r="52" spans="7:9" x14ac:dyDescent="0.25">
      <c r="G52" s="50" t="s">
        <v>75</v>
      </c>
      <c r="H52" s="55" t="s">
        <v>76</v>
      </c>
      <c r="I52" s="49" t="str">
        <f>IF(WL_No="  ","  ",M_Disp*BML/100/LBP)</f>
        <v xml:space="preserve">  </v>
      </c>
    </row>
    <row r="53" spans="7:9" x14ac:dyDescent="0.25">
      <c r="G53" s="50" t="s">
        <v>78</v>
      </c>
      <c r="H53" s="48" t="s">
        <v>79</v>
      </c>
      <c r="I53" s="49" t="str">
        <f>IF(WL_No="  ","  ",WLS*WL_No)</f>
        <v xml:space="preserve">  </v>
      </c>
    </row>
    <row r="54" spans="7:9" x14ac:dyDescent="0.25">
      <c r="G54" s="50" t="s">
        <v>80</v>
      </c>
      <c r="H54" s="48" t="s">
        <v>81</v>
      </c>
      <c r="I54" s="49" t="str">
        <f>IF(WL_No="  ","  ",AWP/(LBP*B_current))</f>
        <v xml:space="preserve">  </v>
      </c>
    </row>
    <row r="55" spans="7:9" x14ac:dyDescent="0.25">
      <c r="G55" s="50" t="s">
        <v>82</v>
      </c>
      <c r="H55" s="48" t="s">
        <v>83</v>
      </c>
      <c r="I55" s="49" t="str">
        <f>IF(WL_No="  ","  ",V_Disp/(LBP*B_current*T))</f>
        <v xml:space="preserve">  </v>
      </c>
    </row>
    <row r="56" spans="7:9" x14ac:dyDescent="0.25">
      <c r="G56" s="50" t="s">
        <v>85</v>
      </c>
      <c r="H56" s="48" t="s">
        <v>86</v>
      </c>
      <c r="I56" s="65" t="str">
        <f>IF(WL_No="  ","  ",(VLOOKUP(Long_Div/2,AREA_TABLE,Count_WL+1,FALSE))/(B_current*T))</f>
        <v xml:space="preserve">  </v>
      </c>
    </row>
    <row r="57" spans="7:9" x14ac:dyDescent="0.25">
      <c r="G57" s="50" t="s">
        <v>88</v>
      </c>
      <c r="H57" s="48" t="s">
        <v>89</v>
      </c>
      <c r="I57" s="49" t="str">
        <f>IF(WL_No="  ","  ",CB/CM)</f>
        <v xml:space="preserve">  </v>
      </c>
    </row>
  </sheetData>
  <mergeCells count="7">
    <mergeCell ref="BG10:BG11"/>
    <mergeCell ref="I33:I34"/>
    <mergeCell ref="A2:I2"/>
    <mergeCell ref="K2:O2"/>
    <mergeCell ref="AO2:AW2"/>
    <mergeCell ref="AY2:BC2"/>
    <mergeCell ref="S9:S10"/>
  </mergeCells>
  <conditionalFormatting sqref="CB4:XFD30 BW4:BW28 BS4:BT28 W29:AX29 A33:F57 J33:R33 A11:R32 A2:T10 V2:AO2 AX2 BP29:BW29 A63:XFD1048576 T12:T37 U35:XFD37 BD2:BD29 BM31:XFD33 BM30:BW30 BH29:BI33 BH2:XFD3 U30:BD30 AR31:BD31 W3:AM28 A58:BD62 BH38:XFD62 J34:S37 BH34:XFD34 A1:AN1 AV1:XFD1 AO31:AP31 U33:BD34 AM31 U31:AG32 AK32:BD32 AO3:AX26 J43:BD57 J42:M42 O42:BD42 J38:BD41 AO27:AO28 AQ27:AX28">
    <cfRule type="containsErrors" dxfId="451" priority="14">
      <formula>ISERROR(A1)</formula>
    </cfRule>
  </conditionalFormatting>
  <conditionalFormatting sqref="G33:I34 G35:H57">
    <cfRule type="containsErrors" dxfId="450" priority="13">
      <formula>ISERROR(G33)</formula>
    </cfRule>
  </conditionalFormatting>
  <conditionalFormatting sqref="T12:T33">
    <cfRule type="containsErrors" dxfId="449" priority="12">
      <formula>ISERROR(T12)</formula>
    </cfRule>
  </conditionalFormatting>
  <conditionalFormatting sqref="I35:I57">
    <cfRule type="containsErrors" dxfId="448" priority="11">
      <formula>ISERROR(I35)</formula>
    </cfRule>
  </conditionalFormatting>
  <conditionalFormatting sqref="AY2:BC29">
    <cfRule type="containsErrors" dxfId="447" priority="8">
      <formula>ISERROR(AY2)</formula>
    </cfRule>
  </conditionalFormatting>
  <conditionalFormatting sqref="BE10:BG11 BE12:BF34">
    <cfRule type="containsErrors" dxfId="446" priority="10">
      <formula>ISERROR(BE10)</formula>
    </cfRule>
  </conditionalFormatting>
  <conditionalFormatting sqref="BG12:BG28 BG34">
    <cfRule type="containsErrors" dxfId="445" priority="9">
      <formula>ISERROR(BG12)</formula>
    </cfRule>
  </conditionalFormatting>
  <conditionalFormatting sqref="BE2:BG6">
    <cfRule type="containsErrors" dxfId="444" priority="7">
      <formula>ISERROR(BE2)</formula>
    </cfRule>
  </conditionalFormatting>
  <conditionalFormatting sqref="BF7:BG8">
    <cfRule type="containsErrors" dxfId="443" priority="5">
      <formula>ISERROR(BF7)</formula>
    </cfRule>
  </conditionalFormatting>
  <conditionalFormatting sqref="BE7:BE8">
    <cfRule type="containsErrors" dxfId="442" priority="6">
      <formula>ISERROR(BE7)</formula>
    </cfRule>
  </conditionalFormatting>
  <conditionalFormatting sqref="S30:S33">
    <cfRule type="containsErrors" dxfId="441" priority="4">
      <formula>ISERROR(S30)</formula>
    </cfRule>
  </conditionalFormatting>
  <conditionalFormatting sqref="AP27:AP28">
    <cfRule type="containsErrors" dxfId="440" priority="3">
      <formula>ISERROR(AP27)</formula>
    </cfRule>
  </conditionalFormatting>
  <conditionalFormatting sqref="BG29:BG32">
    <cfRule type="containsErrors" dxfId="439" priority="2">
      <formula>ISERROR(BG29)</formula>
    </cfRule>
  </conditionalFormatting>
  <conditionalFormatting sqref="BG33">
    <cfRule type="containsErrors" dxfId="438" priority="1">
      <formula>ISERROR(BG33)</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4" tint="0.79998168889431442"/>
  </sheetPr>
  <dimension ref="A1:BH57"/>
  <sheetViews>
    <sheetView topLeftCell="AG1" zoomScale="55" zoomScaleNormal="55" workbookViewId="0">
      <pane ySplit="1" topLeftCell="A29" activePane="bottomLeft" state="frozen"/>
      <selection activeCell="AG8" sqref="AG8:AG10"/>
      <selection pane="bottomLeft" activeCell="AG8" sqref="AG8:AG10"/>
    </sheetView>
  </sheetViews>
  <sheetFormatPr defaultRowHeight="15" x14ac:dyDescent="0.25"/>
  <cols>
    <col min="1" max="1" width="8.28515625" customWidth="1"/>
    <col min="2" max="2" width="7.28515625" customWidth="1"/>
    <col min="4" max="4" width="6.5703125" customWidth="1"/>
    <col min="7" max="7" width="24" customWidth="1"/>
    <col min="8" max="8" width="30.5703125" customWidth="1"/>
    <col min="9" max="9" width="26.5703125" customWidth="1"/>
    <col min="10" max="10" width="10.5703125" bestFit="1" customWidth="1"/>
    <col min="11" max="11" width="9.140625" customWidth="1"/>
    <col min="13" max="13" width="7.85546875" customWidth="1"/>
    <col min="17" max="17" width="19.5703125" customWidth="1"/>
    <col min="18" max="18" width="11.85546875" customWidth="1"/>
    <col min="19" max="19" width="16.5703125" customWidth="1"/>
    <col min="20" max="20" width="14.140625" customWidth="1"/>
    <col min="35" max="35" width="14" customWidth="1"/>
    <col min="36" max="37" width="12" customWidth="1"/>
    <col min="39" max="39" width="19" customWidth="1"/>
    <col min="43" max="43" width="18" style="7" customWidth="1"/>
    <col min="49" max="49" width="11.28515625" customWidth="1"/>
    <col min="52" max="52" width="12" customWidth="1"/>
    <col min="54" max="54" width="10.7109375" bestFit="1" customWidth="1"/>
    <col min="56" max="56" width="4.5703125" customWidth="1"/>
    <col min="57" max="57" width="21.28515625" customWidth="1"/>
    <col min="58" max="58" width="15.42578125" customWidth="1"/>
    <col min="59" max="59" width="19.28515625" customWidth="1"/>
    <col min="61" max="61" width="5.7109375" customWidth="1"/>
    <col min="62" max="62" width="13" customWidth="1"/>
    <col min="63" max="63" width="17.42578125" customWidth="1"/>
  </cols>
  <sheetData>
    <row r="1" spans="1:60" x14ac:dyDescent="0.25">
      <c r="A1" s="1" t="s">
        <v>0</v>
      </c>
      <c r="B1" s="2" t="str">
        <f>VLOOKUP(Stn_WL,OFFSET_A,Count_WL+1,FALSE)</f>
        <v xml:space="preserve">  </v>
      </c>
      <c r="C1" s="3"/>
      <c r="D1" s="4"/>
      <c r="E1" s="4" t="s">
        <v>1</v>
      </c>
      <c r="F1" s="5">
        <v>23</v>
      </c>
      <c r="G1" s="4"/>
      <c r="H1" s="4"/>
      <c r="I1" s="4"/>
      <c r="J1" s="4"/>
      <c r="K1" s="4"/>
      <c r="L1" s="4"/>
      <c r="M1" s="4"/>
      <c r="N1" s="4"/>
      <c r="O1" s="4"/>
      <c r="P1" s="4"/>
      <c r="Q1" s="4"/>
      <c r="R1" s="4"/>
      <c r="S1" s="4"/>
      <c r="V1" t="s">
        <v>2</v>
      </c>
      <c r="W1">
        <f ca="1">COUNTIF(OFFSET(Z4,,,ROUNDDOWN(Max_STN_count/2+1,0),1),TRUE)</f>
        <v>5</v>
      </c>
      <c r="X1">
        <f ca="1">COUNTIF(OFFSET(AA4,,,ROUNDDOWN(Max_STN_count/2+1,0),1),TRUE)</f>
        <v>5</v>
      </c>
      <c r="Y1">
        <f ca="1">W1-X1</f>
        <v>0</v>
      </c>
      <c r="AB1" s="6" t="s">
        <v>3</v>
      </c>
      <c r="AC1">
        <f ca="1">COUNTIF(OFFSET(Z4,ROUNDUP(Max_STN_count/2,0),,ROUNDDOWN(Max_STN_count/2,0),1),TRUE)</f>
        <v>5</v>
      </c>
      <c r="AD1">
        <f ca="1">COUNTIF(OFFSET(AA4,ROUNDUP(Max_STN_count/2,0),,ROUNDDOWN(Max_STN_count/2,0),1),TRUE)</f>
        <v>5</v>
      </c>
      <c r="AE1">
        <f ca="1">AC1-AD1</f>
        <v>0</v>
      </c>
      <c r="AG1" t="s">
        <v>4</v>
      </c>
      <c r="AH1">
        <f>COUNTIF(AG4:AG28,TRUE)</f>
        <v>17</v>
      </c>
      <c r="AI1">
        <f ca="1">COUNTIF(OFFSET(AG4,,,ROUNDUP(Max_STN_count/2,0),1),FALSE)</f>
        <v>4</v>
      </c>
      <c r="AW1">
        <f ca="1">COUNTIF(OFFSET(AG4,,,Max_STN_count,1),TRUE)</f>
        <v>17</v>
      </c>
    </row>
    <row r="2" spans="1:60" x14ac:dyDescent="0.25">
      <c r="A2" s="491" t="s">
        <v>5</v>
      </c>
      <c r="B2" s="492"/>
      <c r="C2" s="492"/>
      <c r="D2" s="492"/>
      <c r="E2" s="492"/>
      <c r="F2" s="492"/>
      <c r="G2" s="492"/>
      <c r="H2" s="492"/>
      <c r="I2" s="493"/>
      <c r="J2" s="4"/>
      <c r="K2" s="491" t="s">
        <v>6</v>
      </c>
      <c r="L2" s="492"/>
      <c r="M2" s="492"/>
      <c r="N2" s="492"/>
      <c r="O2" s="493"/>
      <c r="P2" s="4"/>
      <c r="Q2" s="8" t="s">
        <v>7</v>
      </c>
      <c r="R2" s="9" t="s">
        <v>8</v>
      </c>
      <c r="S2" s="10">
        <f>WLS</f>
        <v>2</v>
      </c>
      <c r="V2" s="11"/>
      <c r="W2" s="11"/>
      <c r="X2" s="11"/>
      <c r="Y2" s="11"/>
      <c r="Z2" s="11"/>
      <c r="AA2" s="11"/>
      <c r="AB2" s="11"/>
      <c r="AC2" s="11"/>
      <c r="AD2" s="11"/>
      <c r="AE2" s="11"/>
      <c r="AF2" s="11"/>
      <c r="AG2" s="11"/>
      <c r="AH2" s="11"/>
      <c r="AI2" s="11"/>
      <c r="AJ2" s="11"/>
      <c r="AK2" s="11"/>
      <c r="AL2" s="11"/>
      <c r="AM2" s="11"/>
      <c r="AN2" s="11"/>
      <c r="AO2" s="491" t="s">
        <v>5</v>
      </c>
      <c r="AP2" s="492"/>
      <c r="AQ2" s="492"/>
      <c r="AR2" s="492"/>
      <c r="AS2" s="492"/>
      <c r="AT2" s="492"/>
      <c r="AU2" s="492"/>
      <c r="AV2" s="492"/>
      <c r="AW2" s="493"/>
      <c r="AY2" s="491" t="s">
        <v>6</v>
      </c>
      <c r="AZ2" s="492"/>
      <c r="BA2" s="492"/>
      <c r="BB2" s="492"/>
      <c r="BC2" s="493"/>
      <c r="BE2" s="8" t="s">
        <v>7</v>
      </c>
      <c r="BF2" s="9" t="s">
        <v>8</v>
      </c>
      <c r="BG2" s="10">
        <f>WLS</f>
        <v>2</v>
      </c>
    </row>
    <row r="3" spans="1:60" x14ac:dyDescent="0.25">
      <c r="A3" s="12" t="s">
        <v>9</v>
      </c>
      <c r="B3" s="13" t="s">
        <v>10</v>
      </c>
      <c r="C3" s="14" t="s">
        <v>11</v>
      </c>
      <c r="D3" s="14" t="s">
        <v>12</v>
      </c>
      <c r="E3" s="14" t="s">
        <v>13</v>
      </c>
      <c r="F3" s="14" t="s">
        <v>14</v>
      </c>
      <c r="G3" s="14" t="s">
        <v>15</v>
      </c>
      <c r="H3" s="14" t="s">
        <v>16</v>
      </c>
      <c r="I3" s="14" t="s">
        <v>17</v>
      </c>
      <c r="J3" s="15"/>
      <c r="K3" s="14" t="s">
        <v>18</v>
      </c>
      <c r="L3" s="14" t="s">
        <v>19</v>
      </c>
      <c r="M3" s="14" t="s">
        <v>20</v>
      </c>
      <c r="N3" s="14" t="s">
        <v>21</v>
      </c>
      <c r="O3" s="14" t="s">
        <v>22</v>
      </c>
      <c r="P3" s="15"/>
      <c r="Q3" s="16" t="s">
        <v>23</v>
      </c>
      <c r="R3" s="9" t="s">
        <v>8</v>
      </c>
      <c r="S3" s="10">
        <f>STN_GAP</f>
        <v>7.31</v>
      </c>
      <c r="W3" s="17" t="s">
        <v>11</v>
      </c>
      <c r="X3" s="17"/>
      <c r="Y3" s="17"/>
      <c r="Z3" s="17" t="s">
        <v>24</v>
      </c>
      <c r="AA3" s="17"/>
      <c r="AB3" s="17"/>
      <c r="AC3" s="17"/>
      <c r="AD3" s="17"/>
      <c r="AE3" s="17"/>
      <c r="AF3" s="17"/>
      <c r="AG3" s="17" t="s">
        <v>4</v>
      </c>
      <c r="AH3" s="17"/>
      <c r="AI3" s="17" t="s">
        <v>25</v>
      </c>
      <c r="AJ3" s="17"/>
      <c r="AK3" s="17"/>
      <c r="AL3" s="17"/>
      <c r="AM3" s="18" t="s">
        <v>11</v>
      </c>
      <c r="AO3" s="12" t="s">
        <v>9</v>
      </c>
      <c r="AP3" s="13" t="s">
        <v>10</v>
      </c>
      <c r="AQ3" s="19"/>
      <c r="AR3" s="14" t="s">
        <v>12</v>
      </c>
      <c r="AS3" s="14" t="s">
        <v>13</v>
      </c>
      <c r="AT3" s="14" t="s">
        <v>14</v>
      </c>
      <c r="AU3" s="14" t="s">
        <v>15</v>
      </c>
      <c r="AV3" s="14" t="s">
        <v>16</v>
      </c>
      <c r="AW3" s="14" t="s">
        <v>17</v>
      </c>
      <c r="AY3" s="14" t="s">
        <v>18</v>
      </c>
      <c r="AZ3" s="14" t="s">
        <v>19</v>
      </c>
      <c r="BA3" s="14" t="s">
        <v>20</v>
      </c>
      <c r="BB3" s="14" t="s">
        <v>21</v>
      </c>
      <c r="BC3" s="14" t="s">
        <v>22</v>
      </c>
      <c r="BE3" s="16" t="s">
        <v>23</v>
      </c>
      <c r="BF3" s="9" t="s">
        <v>8</v>
      </c>
      <c r="BG3" s="10">
        <f>STN_GAP</f>
        <v>7.31</v>
      </c>
    </row>
    <row r="4" spans="1:60" x14ac:dyDescent="0.25">
      <c r="A4" s="20">
        <f>Tools!$AD3</f>
        <v>0</v>
      </c>
      <c r="B4" s="21" t="str">
        <f t="shared" ref="B4:B28" si="0">VLOOKUP(A4,OFFSET_A,Count_WL+1,FALSE)</f>
        <v xml:space="preserve">  </v>
      </c>
      <c r="C4" s="22">
        <f>IF(A4="  ","  ",IF(A5="  ","?",1*(A5-A4)))</f>
        <v>0.5</v>
      </c>
      <c r="D4" s="23" t="str">
        <f>IFERROR(B4*C4,"  ")</f>
        <v xml:space="preserve">  </v>
      </c>
      <c r="E4" s="24">
        <f t="shared" ref="E4:E28" si="1">IFERROR(A4-(Long_Div/2),"  ")</f>
        <v>-10</v>
      </c>
      <c r="F4" s="23" t="str">
        <f>IFERROR(D4*E4,"  ")</f>
        <v xml:space="preserve">  </v>
      </c>
      <c r="G4" s="23" t="str">
        <f>IFERROR(F4*E4,"  ")</f>
        <v xml:space="preserve">  </v>
      </c>
      <c r="H4" s="23" t="str">
        <f>IFERROR(B4^3,"  ")</f>
        <v xml:space="preserve">  </v>
      </c>
      <c r="I4" s="23" t="str">
        <f>IFERROR(H4*C4,"  ")</f>
        <v xml:space="preserve">  </v>
      </c>
      <c r="J4" s="4"/>
      <c r="K4" s="25" t="str">
        <f t="shared" ref="K4:K28" si="2">VLOOKUP(A4,AREA_TABLE,Count_WL+1,FALSE)</f>
        <v xml:space="preserve"> </v>
      </c>
      <c r="L4" s="23" t="str">
        <f>IFERROR(K4*C4,"  ")</f>
        <v xml:space="preserve">  </v>
      </c>
      <c r="M4" s="26" t="str">
        <f t="shared" ref="M4:M28" si="3">VLOOKUP(A4,MOMENT_TABLE,Count_WL+1,FALSE)</f>
        <v xml:space="preserve"> </v>
      </c>
      <c r="N4" s="27" t="str">
        <f>IFERROR(M4*C4,"  ")</f>
        <v xml:space="preserve">  </v>
      </c>
      <c r="O4" s="23" t="str">
        <f>IFERROR(L4*E4,"  ")</f>
        <v xml:space="preserve">  </v>
      </c>
      <c r="P4" s="4"/>
      <c r="Q4" s="16" t="s">
        <v>26</v>
      </c>
      <c r="R4" s="9" t="s">
        <v>8</v>
      </c>
      <c r="S4" s="28">
        <f>LBP</f>
        <v>146.19999999999999</v>
      </c>
      <c r="W4" s="29">
        <f>IF(AO4="  ","  ",IF(AO5="  ","?",1*(AO5-AO4)))</f>
        <v>0.5</v>
      </c>
      <c r="X4" s="30" t="str">
        <f t="shared" ref="X4:X28" si="4">IF(Y4=0,"--",CONCATENATE(IF(AO4=0,"-",IF(Y3=0,"-",IF(AO4-AO3=0.5,"D",IF(AO4-AO3=1,"W","-")))),IF(AO4=Long_Div,"-",IF(Y5=0,"-",IF(AO5-AO4=0.5,"D",IF(AO5-AO4=1,"W","-"))))))</f>
        <v>-D</v>
      </c>
      <c r="Y4" s="30" t="str">
        <f t="shared" ref="Y4:Y28" si="5">IF(ISNUMBER(AO4),IF(AO4=Long_Div/2,"-",IF(AND(AO4=Long_Div,$AP4=0,$AP3=0),0,IF(AND(AO4=0,$AP4=0,$AP5=0),0,IF($AO4&lt;Long_Div/2,IF(AND(Y3=0,$AP4=0,$AP5=0),0,"-"),IF(AND(Y5=0,$AP4=0,$AP3=0),0,"-")))))," ")</f>
        <v>-</v>
      </c>
      <c r="Z4" s="29" t="b">
        <f t="shared" ref="Z4:Z28" si="6">IF(ISNUMBER(AO4),IF(AO4=0,IF(AO5=0.5,TRUE,FALSE),IF(AO4=Long_Div,IF(AO3=Long_Div-0.5,TRUE,FALSE),IF(OR(AO5-AO4=0.5,AO4-AO3=0.5),TRUE,FALSE)))," ")</f>
        <v>1</v>
      </c>
      <c r="AA4" s="29" t="b">
        <f t="shared" ref="AA4:AA28" si="7">IF(ISNUMBER(AO4),IF(Y4=0," ",IF(AO4=0,IF(AO5=0.5,TRUE,"-"),IF(AO4=Long_Div,IF(AO3=Long_Div-0.5,TRUE,"-"),IF(OR(AO5-AO4=0.5,AO4-AO3=0.5),TRUE,FALSE))))," ")</f>
        <v>1</v>
      </c>
      <c r="AB4" s="29" t="str">
        <f t="shared" ref="AB4:AB28" ca="1" si="8">IF(AO4&lt;=Long_Div/2,IF(ISNUMBER(AO4),IF($X$1=0,"---",IF($X$1=1,"##",IF($X$1=2,IF(AD4=1,"141-4",IF(OR(AD4=0,AD4=2),"141-1","**")),IF(AC4&lt;=($Y$1),"--",IF(AC4&gt;$W$1,"++",IF(ISODD($X$1),IF(OR(AD4=1,AD4=$X$1),"141-1",IF(ISODD(AD4),"141-2",IF(ISEVEN(AD4),"141-4","+"))),IF(ISEVEN($X$1),IF(AD4=1,"1331-1",IF(OR(AD4=2,AD4=3),"1331-3",IF(AD4=4,IF($X$1=4,"1331-1","1331-1,141-1"),IF(AD4=$X$1,"141-1",IF(AD4&lt;=4,"??",IF(ISODD(AD4),"141-4",IF(ISEVEN(AD4),"141-2","SS"))))))))))))))," "),IF(AO4&gt;Long_Div/2,IF(ISNUMBER(AO4),IF($AD$1=0,"---",IF($AD$1=1,"##",IF($AD$1=2,IF(AD4=1,"141-4",IF(OR(AD4=0,AD4=2),"141-1","**")),IF(AC4&lt;=($AE$1),"--",IF(AC4&gt;$AC$1,"++",IF(ISODD($AD$1),IF(OR(AD4=1,AD4=$AD$1),"141-1",IF(ISODD(AD4),"141-2",IF(ISEVEN(AD4),"141-4","+"))),IF(ISEVEN($AD$1),IF(AD4=1,"1331-1",IF(OR(AD4=2,AD4=3),"1331-3",IF(AD4=4,IF($AD$1=4,"1331-1","1331-1,141-1"),IF(AD4=$AD$1,"141-1",IF(AD4&lt;=4,"??",IF(ISODD(AD4),"141-4",IF(ISEVEN(AD4),"141-2","SS"))))))))))))))," "),"@"))</f>
        <v>141-1</v>
      </c>
      <c r="AC4" s="29">
        <f>IF(ISNUMBER(AO4),IF(ISNUMBER(AO4),IF(OR(AO4=0,AO4=Long_Div),1,IF(AO4&gt;Long_Div/2,AC5+1,IF(AO4&lt;=Long_Div/2,AE3+1,"?")))," --")," ")</f>
        <v>1</v>
      </c>
      <c r="AD4" s="29">
        <f t="shared" ref="AD4:AD28" ca="1" si="9">IF(ISNUMBER(AO4),IF(AO4&gt;Long_Div/2,4-ROW(AD4)+Max_STN_count-$AE$1,ROW(AD4)-3-$Y$1)," ")</f>
        <v>1</v>
      </c>
      <c r="AE4" s="29">
        <v>1</v>
      </c>
      <c r="AF4" s="31" t="str">
        <f t="shared" ref="AF4:AF8" si="10">IF(AND(AG4=TRUE,OR(NOT(AG3=TRUE),AG3="Full")),1,IF(ISNUMBER(AF3),AF3+1," "))</f>
        <v xml:space="preserve"> </v>
      </c>
      <c r="AG4" s="29" t="b">
        <f t="shared" ref="AG4:AG28" si="11">IF(ISNUMBER(AO4),IF(AA4=" "," ",IF(AO4=0,IF(AO5-AO4=1,TRUE,FALSE),IF(AO4=Long_Div,IF(AO4-AO3=1,TRUE,FALSE),IF(OR(AO5-AO4=1,AO4-AO3=1),TRUE,FALSE))))," ")</f>
        <v>0</v>
      </c>
      <c r="AH4" s="30" t="str">
        <f t="shared" ref="AH4:AH13" si="12">IF(AND(AG4=TRUE,$AH$1=1),"141-4",IF(AG4=" ",IF(AND($AH$1=2,AF4=3),"141-1","-"),IF(OR(AG4=FALSE,AG4=" "),"-",IF(AG4=TRUE,IF(AND($AH$1=2,AF4=1),"141-1",IF(AND($AH$1=2,AF4=2),"141-4",IF(OR(ISODD($AH$1),AF4&gt;4),IF(AF4=1,"141-1",IF(OR(AB4="141-1",AB4="1331-1",AB4="1331-1,141-1"),"141-1",IF(AG5=" ","141-1",IF(OR(AH3="141-1",AH3="141-2",AH3="1331-1,141-1"),"141-4",IF(AH3="141-4","141-2","$$"))))),IF(ISEVEN($AH$1),IF(AF4=1,"1331-1",IF(OR(AF4=2,AF4=3),"1331-3",IF(AF4=4,IF($AH$1=4,"1331-1","1331-1,141-1"),"")))))))))))</f>
        <v>-</v>
      </c>
      <c r="AI4" s="30" t="str">
        <f t="shared" ref="AI4:AI28" ca="1" si="13">IF(OR(AB4="1331-1",AB4="1331-1,141-1"),"(1/2)*(3/8)",IF(AB4="1331-3","(1/2)*(9/8)",IF(AB4="141-1","(1/2)*(1/3)",IF(AB4="141-2","(1/2)*(2/3)",IF(AB4="141-4","(1/2)*(4/3)","")))))</f>
        <v>(1/2)*(1/3)</v>
      </c>
      <c r="AJ4" s="29">
        <f t="shared" ref="AJ4:AJ28" ca="1" si="14">IF(OR(AB4="1331-1",AB4="1331-1,141-1"),(1/2)*(3/8),IF(AB4="1331-3",(1/2)*(9/8),IF(AB4="141-1",(1/2)*(1/3),IF(AB4="141-2",(1/2)*(2/3),IF(AB4="141-4",(1/2)*(4/3),0)))))</f>
        <v>0.16666666666666666</v>
      </c>
      <c r="AK4" s="29" t="str">
        <f t="shared" ref="AK4:AK28" si="15">IF(AH4="1331-1,141-1","(1*3/8)+(1/3)",IF(LEFT(AH4,4)="141-",CONCATENATE(RIGHT(AH4,1),"/3"),IF(LEFT(AH4,4)="1331",CONCATENATE(RIGHT(AH4,1),"*3/8"),"")))</f>
        <v/>
      </c>
      <c r="AL4" s="29">
        <f t="shared" ref="AL4:AL28" si="16">IF(AH4="1331-1,141-1",(1*3/8)+(1/3),IF(LEFT(AH4,4)="141-",(RIGHT(AH4,1)/3),IF(LEFT(AH4,4)="1331",RIGHT(AH4,1)*3/8,0)))</f>
        <v>0</v>
      </c>
      <c r="AM4" s="32">
        <f ca="1">IF(AQ4=""," ",AJ4+AL4)</f>
        <v>0.16666666666666666</v>
      </c>
      <c r="AO4" s="20">
        <f>Tools!$AD3</f>
        <v>0</v>
      </c>
      <c r="AP4" s="33" t="str">
        <f t="shared" ref="AP4" si="17">VLOOKUP(AO4,OFFSET_A,Count_WL+1,FALSE)</f>
        <v xml:space="preserve">  </v>
      </c>
      <c r="AQ4" s="34" t="str">
        <f t="shared" ref="AQ4:AQ28" ca="1" si="18">CONCATENATE(AI4,IF(NOT(OR(AI4="",AK4="")),"+",""),AK4)</f>
        <v>(1/2)*(1/3)</v>
      </c>
      <c r="AR4" s="23" t="str">
        <f t="shared" ref="AR4:AR28" ca="1" si="19">IFERROR(AP4*AM4,"  ")</f>
        <v xml:space="preserve">  </v>
      </c>
      <c r="AS4" s="24">
        <f t="shared" ref="AS4:AS28" si="20">IFERROR(AO4-(Long_Div/2),"  ")</f>
        <v>-10</v>
      </c>
      <c r="AT4" s="23" t="str">
        <f ca="1">IFERROR(AR4*AS4,"  ")</f>
        <v xml:space="preserve">  </v>
      </c>
      <c r="AU4" s="23" t="str">
        <f ca="1">IFERROR(AT4*AS4,"  ")</f>
        <v xml:space="preserve">  </v>
      </c>
      <c r="AV4" s="23" t="str">
        <f t="shared" ref="AV4:AV28" si="21">IFERROR(AP4^3,"  ")</f>
        <v xml:space="preserve">  </v>
      </c>
      <c r="AW4" s="23" t="str">
        <f t="shared" ref="AW4:AW28" ca="1" si="22">IFERROR(AV4*AM4,"  ")</f>
        <v xml:space="preserve">  </v>
      </c>
      <c r="AY4" s="35" t="str">
        <f t="shared" ref="AY4:AY28" si="23">IF(ROW(AY4)-3&gt;Max_STN_count," ",VLOOKUP(AO4,AREA_TABLE,Count_WL+1,FALSE))</f>
        <v xml:space="preserve"> </v>
      </c>
      <c r="AZ4" s="23" t="str">
        <f t="shared" ref="AZ4:AZ7" ca="1" si="24">IFERROR(AY4*AM4,"  ")</f>
        <v xml:space="preserve">  </v>
      </c>
      <c r="BA4" s="36" t="str">
        <f t="shared" ref="BA4:BA28" si="25">IF(ROW(AY4)-3&gt;Max_STN_count," ",VLOOKUP(AO4,MOMENT_TABLE,Count_WL+1,FALSE))</f>
        <v xml:space="preserve"> </v>
      </c>
      <c r="BB4" s="27" t="str">
        <f ca="1">IFERROR(BA4*AM4,"  ")</f>
        <v xml:space="preserve">  </v>
      </c>
      <c r="BC4" s="23" t="str">
        <f ca="1">IFERROR(AZ4*AS4,"  ")</f>
        <v xml:space="preserve">  </v>
      </c>
      <c r="BE4" s="16" t="s">
        <v>26</v>
      </c>
      <c r="BF4" s="9" t="s">
        <v>8</v>
      </c>
      <c r="BG4" s="28">
        <f>LBP</f>
        <v>146.19999999999999</v>
      </c>
    </row>
    <row r="5" spans="1:60" x14ac:dyDescent="0.25">
      <c r="A5" s="20">
        <f>Tools!$AD4</f>
        <v>0.5</v>
      </c>
      <c r="B5" s="33" t="str">
        <f t="shared" si="0"/>
        <v xml:space="preserve">  </v>
      </c>
      <c r="C5" s="22">
        <f>IF(A5="  ","  ",IF(AND(A4="  ",A6="  "),"?",IF(A4="  ",2*(A6-A5),IF(A6="  ",2*(A5-A4),2*(A6-A4)))))</f>
        <v>2</v>
      </c>
      <c r="D5" s="23" t="str">
        <f t="shared" ref="D5:D28" si="26">IFERROR(B5*C5,"  ")</f>
        <v xml:space="preserve">  </v>
      </c>
      <c r="E5" s="24">
        <f t="shared" si="1"/>
        <v>-9.5</v>
      </c>
      <c r="F5" s="23" t="str">
        <f t="shared" ref="F5:F28" si="27">IFERROR(D5*E5,"  ")</f>
        <v xml:space="preserve">  </v>
      </c>
      <c r="G5" s="23" t="str">
        <f t="shared" ref="G5:G28" si="28">IFERROR(F5*E5,"  ")</f>
        <v xml:space="preserve">  </v>
      </c>
      <c r="H5" s="23" t="str">
        <f t="shared" ref="H5:H28" si="29">IFERROR(B5^3,"  ")</f>
        <v xml:space="preserve">  </v>
      </c>
      <c r="I5" s="23" t="str">
        <f t="shared" ref="I5:I28" si="30">IFERROR(H5*C5,"  ")</f>
        <v xml:space="preserve">  </v>
      </c>
      <c r="J5" s="4"/>
      <c r="K5" s="37" t="str">
        <f t="shared" si="2"/>
        <v xml:space="preserve"> </v>
      </c>
      <c r="L5" s="23" t="str">
        <f t="shared" ref="L5:L28" si="31">IFERROR(K5*C5,"  ")</f>
        <v xml:space="preserve">  </v>
      </c>
      <c r="M5" s="38" t="str">
        <f t="shared" si="3"/>
        <v xml:space="preserve"> </v>
      </c>
      <c r="N5" s="27" t="str">
        <f t="shared" ref="N5:N28" si="32">IFERROR(M5*C5,"  ")</f>
        <v xml:space="preserve">  </v>
      </c>
      <c r="O5" s="23" t="str">
        <f t="shared" ref="O5:O28" si="33">IFERROR(L5*E5,"  ")</f>
        <v xml:space="preserve">  </v>
      </c>
      <c r="P5" s="4"/>
      <c r="Q5" s="8" t="s">
        <v>27</v>
      </c>
      <c r="R5" s="9" t="s">
        <v>8</v>
      </c>
      <c r="S5" s="10">
        <f>BREADTH</f>
        <v>22</v>
      </c>
      <c r="W5" s="29">
        <f>IF(AO5="  ","  ",IF(AND(AO4="  ",AO6="  "),"?",IF(AO4="  ",2*(AO6-AO5),IF(AO6="  ",2*(AO5-AO4),2*(AO6-AO4)))))</f>
        <v>2</v>
      </c>
      <c r="X5" s="30" t="str">
        <f t="shared" si="4"/>
        <v>DD</v>
      </c>
      <c r="Y5" s="30" t="str">
        <f t="shared" si="5"/>
        <v>-</v>
      </c>
      <c r="Z5" s="29" t="b">
        <f t="shared" si="6"/>
        <v>1</v>
      </c>
      <c r="AA5" s="29" t="b">
        <f t="shared" si="7"/>
        <v>1</v>
      </c>
      <c r="AB5" s="29" t="str">
        <f t="shared" ca="1" si="8"/>
        <v>141-4</v>
      </c>
      <c r="AC5" s="29">
        <f t="shared" ref="AC5:AC27" si="34">IF(ISNUMBER(AO5),IF(ISNUMBER(AO5),IF(OR(AO5=0,AO5=Long_Div),1,IF(AO5&gt;Long_Div/2,AC6+1,IF(AO5&lt;=Long_Div/2,AC4+1,"?")))," --")," ")</f>
        <v>2</v>
      </c>
      <c r="AD5" s="29">
        <f t="shared" ca="1" si="9"/>
        <v>2</v>
      </c>
      <c r="AE5" s="29">
        <v>2</v>
      </c>
      <c r="AF5" s="31" t="str">
        <f t="shared" si="10"/>
        <v xml:space="preserve"> </v>
      </c>
      <c r="AG5" s="29" t="b">
        <f t="shared" si="11"/>
        <v>0</v>
      </c>
      <c r="AH5" s="30" t="str">
        <f t="shared" si="12"/>
        <v>-</v>
      </c>
      <c r="AI5" s="30" t="str">
        <f t="shared" ca="1" si="13"/>
        <v>(1/2)*(4/3)</v>
      </c>
      <c r="AJ5" s="29">
        <f t="shared" ca="1" si="14"/>
        <v>0.66666666666666663</v>
      </c>
      <c r="AK5" s="29" t="str">
        <f t="shared" si="15"/>
        <v/>
      </c>
      <c r="AL5" s="29">
        <f t="shared" si="16"/>
        <v>0</v>
      </c>
      <c r="AM5" s="32">
        <f t="shared" ref="AM5:AM28" ca="1" si="35">IF(AQ5=""," ",AJ5+AL5)</f>
        <v>0.66666666666666663</v>
      </c>
      <c r="AO5" s="20">
        <f>Tools!$AD4</f>
        <v>0.5</v>
      </c>
      <c r="AP5" s="33" t="str">
        <f t="shared" ref="AP5:AP26" si="36">VLOOKUP(AO5,OFFSET_A,Count_WL+1,FALSE)</f>
        <v xml:space="preserve">  </v>
      </c>
      <c r="AQ5" s="34" t="str">
        <f t="shared" ca="1" si="18"/>
        <v>(1/2)*(4/3)</v>
      </c>
      <c r="AR5" s="23" t="str">
        <f t="shared" ca="1" si="19"/>
        <v xml:space="preserve">  </v>
      </c>
      <c r="AS5" s="24">
        <f t="shared" si="20"/>
        <v>-9.5</v>
      </c>
      <c r="AT5" s="23" t="str">
        <f t="shared" ref="AT5:AT28" ca="1" si="37">IFERROR(AR5*AS5,"  ")</f>
        <v xml:space="preserve">  </v>
      </c>
      <c r="AU5" s="23" t="str">
        <f ca="1">IFERROR(AT5*AS5,"  ")</f>
        <v xml:space="preserve">  </v>
      </c>
      <c r="AV5" s="23" t="str">
        <f t="shared" si="21"/>
        <v xml:space="preserve">  </v>
      </c>
      <c r="AW5" s="23" t="str">
        <f t="shared" ca="1" si="22"/>
        <v xml:space="preserve">  </v>
      </c>
      <c r="AY5" s="35" t="str">
        <f t="shared" si="23"/>
        <v xml:space="preserve"> </v>
      </c>
      <c r="AZ5" s="23" t="str">
        <f t="shared" ca="1" si="24"/>
        <v xml:space="preserve">  </v>
      </c>
      <c r="BA5" s="36" t="str">
        <f t="shared" si="25"/>
        <v xml:space="preserve"> </v>
      </c>
      <c r="BB5" s="27" t="str">
        <f t="shared" ref="BB5:BB28" ca="1" si="38">IFERROR(BA5*AM5,"  ")</f>
        <v xml:space="preserve">  </v>
      </c>
      <c r="BC5" s="23" t="str">
        <f t="shared" ref="BC5:BC28" ca="1" si="39">IFERROR(AZ5*AS5,"  ")</f>
        <v xml:space="preserve">  </v>
      </c>
      <c r="BE5" s="8" t="s">
        <v>27</v>
      </c>
      <c r="BF5" s="9" t="s">
        <v>8</v>
      </c>
      <c r="BG5" s="10">
        <f>BREADTH</f>
        <v>22</v>
      </c>
    </row>
    <row r="6" spans="1:60" x14ac:dyDescent="0.25">
      <c r="A6" s="20">
        <f>Tools!$AD5</f>
        <v>1</v>
      </c>
      <c r="B6" s="33" t="str">
        <f t="shared" si="0"/>
        <v xml:space="preserve">  </v>
      </c>
      <c r="C6" s="22">
        <f>IF(A6="  ","  ",IF(AND(A5="  ",A7="  "),"?",IF(A5="  ",1*(A7-A6),IF(A7="  ",1*(A6-A5),1*(A7-A5)))))</f>
        <v>1</v>
      </c>
      <c r="D6" s="23" t="str">
        <f t="shared" si="26"/>
        <v xml:space="preserve">  </v>
      </c>
      <c r="E6" s="24">
        <f t="shared" si="1"/>
        <v>-9</v>
      </c>
      <c r="F6" s="23" t="str">
        <f t="shared" si="27"/>
        <v xml:space="preserve">  </v>
      </c>
      <c r="G6" s="23" t="str">
        <f t="shared" si="28"/>
        <v xml:space="preserve">  </v>
      </c>
      <c r="H6" s="23" t="str">
        <f t="shared" si="29"/>
        <v xml:space="preserve">  </v>
      </c>
      <c r="I6" s="23" t="str">
        <f t="shared" si="30"/>
        <v xml:space="preserve">  </v>
      </c>
      <c r="J6" s="4"/>
      <c r="K6" s="37" t="str">
        <f t="shared" si="2"/>
        <v xml:space="preserve"> </v>
      </c>
      <c r="L6" s="23" t="str">
        <f t="shared" si="31"/>
        <v xml:space="preserve">  </v>
      </c>
      <c r="M6" s="38" t="str">
        <f t="shared" si="3"/>
        <v xml:space="preserve"> </v>
      </c>
      <c r="N6" s="27" t="str">
        <f t="shared" si="32"/>
        <v xml:space="preserve">  </v>
      </c>
      <c r="O6" s="23" t="str">
        <f t="shared" si="33"/>
        <v xml:space="preserve">  </v>
      </c>
      <c r="P6" s="4"/>
      <c r="Q6" s="8" t="s">
        <v>28</v>
      </c>
      <c r="R6" s="9" t="s">
        <v>8</v>
      </c>
      <c r="S6" s="10">
        <f>DEPTH</f>
        <v>13</v>
      </c>
      <c r="W6" s="29">
        <f>IF(AO6="  ","  ",IF(AND(AO5="  ",AO7="  "),"?",IF(AO5="  ",1*(AO7-AO6),IF(AO7="  ",1*(AO6-AO5),1*(AO7-AO5)))))</f>
        <v>1</v>
      </c>
      <c r="X6" s="30" t="str">
        <f t="shared" si="4"/>
        <v>DD</v>
      </c>
      <c r="Y6" s="30" t="str">
        <f t="shared" si="5"/>
        <v>-</v>
      </c>
      <c r="Z6" s="29" t="b">
        <f t="shared" si="6"/>
        <v>1</v>
      </c>
      <c r="AA6" s="29" t="b">
        <f t="shared" si="7"/>
        <v>1</v>
      </c>
      <c r="AB6" s="29" t="str">
        <f t="shared" ca="1" si="8"/>
        <v>141-2</v>
      </c>
      <c r="AC6" s="29">
        <f t="shared" si="34"/>
        <v>3</v>
      </c>
      <c r="AD6" s="29">
        <f t="shared" ca="1" si="9"/>
        <v>3</v>
      </c>
      <c r="AE6" s="29">
        <v>3</v>
      </c>
      <c r="AF6" s="31" t="str">
        <f t="shared" si="10"/>
        <v xml:space="preserve"> </v>
      </c>
      <c r="AG6" s="29" t="b">
        <f t="shared" si="11"/>
        <v>0</v>
      </c>
      <c r="AH6" s="30" t="str">
        <f t="shared" si="12"/>
        <v>-</v>
      </c>
      <c r="AI6" s="30" t="str">
        <f t="shared" ca="1" si="13"/>
        <v>(1/2)*(2/3)</v>
      </c>
      <c r="AJ6" s="29">
        <f t="shared" ca="1" si="14"/>
        <v>0.33333333333333331</v>
      </c>
      <c r="AK6" s="29" t="str">
        <f t="shared" si="15"/>
        <v/>
      </c>
      <c r="AL6" s="29">
        <f t="shared" si="16"/>
        <v>0</v>
      </c>
      <c r="AM6" s="32">
        <f t="shared" ca="1" si="35"/>
        <v>0.33333333333333331</v>
      </c>
      <c r="AO6" s="20">
        <f>Tools!$AD5</f>
        <v>1</v>
      </c>
      <c r="AP6" s="33" t="str">
        <f t="shared" si="36"/>
        <v xml:space="preserve">  </v>
      </c>
      <c r="AQ6" s="34" t="str">
        <f t="shared" ca="1" si="18"/>
        <v>(1/2)*(2/3)</v>
      </c>
      <c r="AR6" s="23" t="str">
        <f t="shared" ca="1" si="19"/>
        <v xml:space="preserve">  </v>
      </c>
      <c r="AS6" s="24">
        <f t="shared" si="20"/>
        <v>-9</v>
      </c>
      <c r="AT6" s="23" t="str">
        <f t="shared" ca="1" si="37"/>
        <v xml:space="preserve">  </v>
      </c>
      <c r="AU6" s="23" t="str">
        <f ca="1">IFERROR(AT6*AS6,"  ")</f>
        <v xml:space="preserve">  </v>
      </c>
      <c r="AV6" s="23" t="str">
        <f t="shared" si="21"/>
        <v xml:space="preserve">  </v>
      </c>
      <c r="AW6" s="23" t="str">
        <f t="shared" ca="1" si="22"/>
        <v xml:space="preserve">  </v>
      </c>
      <c r="AY6" s="35" t="str">
        <f t="shared" si="23"/>
        <v xml:space="preserve"> </v>
      </c>
      <c r="AZ6" s="23" t="str">
        <f t="shared" ca="1" si="24"/>
        <v xml:space="preserve">  </v>
      </c>
      <c r="BA6" s="36" t="str">
        <f t="shared" si="25"/>
        <v xml:space="preserve"> </v>
      </c>
      <c r="BB6" s="27" t="str">
        <f t="shared" ca="1" si="38"/>
        <v xml:space="preserve">  </v>
      </c>
      <c r="BC6" s="23" t="str">
        <f t="shared" ca="1" si="39"/>
        <v xml:space="preserve">  </v>
      </c>
      <c r="BE6" s="8" t="s">
        <v>28</v>
      </c>
      <c r="BF6" s="9" t="s">
        <v>8</v>
      </c>
      <c r="BG6" s="10">
        <f>DEPTH</f>
        <v>13</v>
      </c>
    </row>
    <row r="7" spans="1:60" x14ac:dyDescent="0.25">
      <c r="A7" s="20">
        <f>Tools!$AD6</f>
        <v>1.5</v>
      </c>
      <c r="B7" s="33" t="str">
        <f t="shared" si="0"/>
        <v xml:space="preserve">  </v>
      </c>
      <c r="C7" s="22">
        <f>IF(A7="  ","  ",IF(AND(A6="  ",A8="  "),"?",IF(A6="  ",2*(A8-A7),IF(A8="  ",2*(A7-A6),2*(A8-A6)))))</f>
        <v>2</v>
      </c>
      <c r="D7" s="23" t="str">
        <f t="shared" si="26"/>
        <v xml:space="preserve">  </v>
      </c>
      <c r="E7" s="24">
        <f t="shared" si="1"/>
        <v>-8.5</v>
      </c>
      <c r="F7" s="23" t="str">
        <f t="shared" si="27"/>
        <v xml:space="preserve">  </v>
      </c>
      <c r="G7" s="23" t="str">
        <f t="shared" si="28"/>
        <v xml:space="preserve">  </v>
      </c>
      <c r="H7" s="23" t="str">
        <f t="shared" si="29"/>
        <v xml:space="preserve">  </v>
      </c>
      <c r="I7" s="23" t="str">
        <f t="shared" si="30"/>
        <v xml:space="preserve">  </v>
      </c>
      <c r="J7" s="4"/>
      <c r="K7" s="37" t="str">
        <f t="shared" si="2"/>
        <v xml:space="preserve"> </v>
      </c>
      <c r="L7" s="23" t="str">
        <f t="shared" si="31"/>
        <v xml:space="preserve">  </v>
      </c>
      <c r="M7" s="38" t="str">
        <f t="shared" si="3"/>
        <v xml:space="preserve"> </v>
      </c>
      <c r="N7" s="27" t="str">
        <f t="shared" si="32"/>
        <v xml:space="preserve">  </v>
      </c>
      <c r="O7" s="23" t="str">
        <f t="shared" si="33"/>
        <v xml:space="preserve">  </v>
      </c>
      <c r="P7" s="4"/>
      <c r="Q7" s="39" t="s">
        <v>29</v>
      </c>
      <c r="R7" s="40" t="s">
        <v>8</v>
      </c>
      <c r="S7" s="41" t="str">
        <f>IF(MAX(B4:B28)=0," ",2*MAX(B4:B28))</f>
        <v xml:space="preserve"> </v>
      </c>
      <c r="W7" s="29">
        <f>IF(AO7="  ","  ",IF(AND(AO6="  ",AO8="  "),"?",IF(AO6="  ",2*(AO8-AO7),IF(AO8="  ",2*(AO7-AO6),2*(AO8-AO6)))))</f>
        <v>2</v>
      </c>
      <c r="X7" s="30" t="str">
        <f t="shared" si="4"/>
        <v>DD</v>
      </c>
      <c r="Y7" s="30" t="str">
        <f t="shared" si="5"/>
        <v>-</v>
      </c>
      <c r="Z7" s="29" t="b">
        <f t="shared" si="6"/>
        <v>1</v>
      </c>
      <c r="AA7" s="29" t="b">
        <f t="shared" si="7"/>
        <v>1</v>
      </c>
      <c r="AB7" s="29" t="str">
        <f t="shared" ca="1" si="8"/>
        <v>141-4</v>
      </c>
      <c r="AC7" s="29">
        <f t="shared" si="34"/>
        <v>4</v>
      </c>
      <c r="AD7" s="29">
        <f t="shared" ca="1" si="9"/>
        <v>4</v>
      </c>
      <c r="AE7" s="29">
        <v>4</v>
      </c>
      <c r="AF7" s="31" t="str">
        <f t="shared" si="10"/>
        <v xml:space="preserve"> </v>
      </c>
      <c r="AG7" s="29" t="b">
        <f t="shared" si="11"/>
        <v>0</v>
      </c>
      <c r="AH7" s="30" t="str">
        <f t="shared" si="12"/>
        <v>-</v>
      </c>
      <c r="AI7" s="30" t="str">
        <f t="shared" ca="1" si="13"/>
        <v>(1/2)*(4/3)</v>
      </c>
      <c r="AJ7" s="29">
        <f t="shared" ca="1" si="14"/>
        <v>0.66666666666666663</v>
      </c>
      <c r="AK7" s="29" t="str">
        <f t="shared" si="15"/>
        <v/>
      </c>
      <c r="AL7" s="29">
        <f t="shared" si="16"/>
        <v>0</v>
      </c>
      <c r="AM7" s="32">
        <f t="shared" ca="1" si="35"/>
        <v>0.66666666666666663</v>
      </c>
      <c r="AO7" s="20">
        <f>Tools!$AD6</f>
        <v>1.5</v>
      </c>
      <c r="AP7" s="33" t="str">
        <f t="shared" si="36"/>
        <v xml:space="preserve">  </v>
      </c>
      <c r="AQ7" s="34" t="str">
        <f t="shared" ca="1" si="18"/>
        <v>(1/2)*(4/3)</v>
      </c>
      <c r="AR7" s="23" t="str">
        <f t="shared" ca="1" si="19"/>
        <v xml:space="preserve">  </v>
      </c>
      <c r="AS7" s="24">
        <f t="shared" si="20"/>
        <v>-8.5</v>
      </c>
      <c r="AT7" s="23" t="str">
        <f t="shared" ca="1" si="37"/>
        <v xml:space="preserve">  </v>
      </c>
      <c r="AU7" s="23" t="str">
        <f t="shared" ref="AU7:AU28" ca="1" si="40">IFERROR(AT7*AS7,"  ")</f>
        <v xml:space="preserve">  </v>
      </c>
      <c r="AV7" s="23" t="str">
        <f t="shared" si="21"/>
        <v xml:space="preserve">  </v>
      </c>
      <c r="AW7" s="23" t="str">
        <f t="shared" ca="1" si="22"/>
        <v xml:space="preserve">  </v>
      </c>
      <c r="AY7" s="35" t="str">
        <f t="shared" si="23"/>
        <v xml:space="preserve"> </v>
      </c>
      <c r="AZ7" s="23" t="str">
        <f t="shared" ca="1" si="24"/>
        <v xml:space="preserve">  </v>
      </c>
      <c r="BA7" s="36" t="str">
        <f t="shared" si="25"/>
        <v xml:space="preserve"> </v>
      </c>
      <c r="BB7" s="27" t="str">
        <f t="shared" ca="1" si="38"/>
        <v xml:space="preserve">  </v>
      </c>
      <c r="BC7" s="23" t="str">
        <f t="shared" ca="1" si="39"/>
        <v xml:space="preserve">  </v>
      </c>
      <c r="BE7" s="8" t="s">
        <v>29</v>
      </c>
      <c r="BF7" s="9" t="s">
        <v>8</v>
      </c>
      <c r="BG7" s="10" t="str">
        <f>IF(MAX(AP4:AP28)=0," ",2*MAX(AP4:AP28))</f>
        <v xml:space="preserve"> </v>
      </c>
    </row>
    <row r="8" spans="1:60" x14ac:dyDescent="0.25">
      <c r="A8" s="20">
        <f>Tools!$AD7</f>
        <v>2</v>
      </c>
      <c r="B8" s="33" t="str">
        <f t="shared" si="0"/>
        <v xml:space="preserve">  </v>
      </c>
      <c r="C8" s="22">
        <f>IF(A8="  ","  ",IF(AND(A7="  ",A9="  "),"?",IF(A7="  ",1*(A9-A8),IF(A9="  ",1*(A8-A7),1*(A9-A7)))))</f>
        <v>1.5</v>
      </c>
      <c r="D8" s="23" t="str">
        <f t="shared" si="26"/>
        <v xml:space="preserve">  </v>
      </c>
      <c r="E8" s="24">
        <f t="shared" si="1"/>
        <v>-8</v>
      </c>
      <c r="F8" s="23" t="str">
        <f t="shared" si="27"/>
        <v xml:space="preserve">  </v>
      </c>
      <c r="G8" s="23" t="str">
        <f t="shared" si="28"/>
        <v xml:space="preserve">  </v>
      </c>
      <c r="H8" s="23" t="str">
        <f t="shared" si="29"/>
        <v xml:space="preserve">  </v>
      </c>
      <c r="I8" s="23" t="str">
        <f t="shared" si="30"/>
        <v xml:space="preserve">  </v>
      </c>
      <c r="J8" s="4"/>
      <c r="K8" s="37" t="str">
        <f t="shared" si="2"/>
        <v xml:space="preserve"> </v>
      </c>
      <c r="L8" s="23" t="str">
        <f t="shared" si="31"/>
        <v xml:space="preserve">  </v>
      </c>
      <c r="M8" s="38" t="str">
        <f t="shared" si="3"/>
        <v xml:space="preserve"> </v>
      </c>
      <c r="N8" s="27" t="str">
        <f t="shared" si="32"/>
        <v xml:space="preserve">  </v>
      </c>
      <c r="O8" s="23" t="str">
        <f t="shared" si="33"/>
        <v xml:space="preserve">  </v>
      </c>
      <c r="P8" s="4"/>
      <c r="Q8" s="42"/>
      <c r="R8" s="42"/>
      <c r="S8" s="42"/>
      <c r="W8" s="29">
        <f>IF(AO8="  ","  ",IF(AND(AO7="  ",AO9="  "),"?",IF(AO7="  ",1*(AO9-AO8),IF(AO9="  ",1*(AO8-AO7),1*(AO9-AO7)))))</f>
        <v>1.5</v>
      </c>
      <c r="X8" s="30" t="str">
        <f t="shared" si="4"/>
        <v>DW</v>
      </c>
      <c r="Y8" s="30" t="str">
        <f t="shared" si="5"/>
        <v>-</v>
      </c>
      <c r="Z8" s="29" t="b">
        <f t="shared" si="6"/>
        <v>1</v>
      </c>
      <c r="AA8" s="29" t="b">
        <f t="shared" si="7"/>
        <v>1</v>
      </c>
      <c r="AB8" s="29" t="str">
        <f t="shared" ca="1" si="8"/>
        <v>141-1</v>
      </c>
      <c r="AC8" s="29">
        <f t="shared" si="34"/>
        <v>5</v>
      </c>
      <c r="AD8" s="29">
        <f t="shared" ca="1" si="9"/>
        <v>5</v>
      </c>
      <c r="AE8" s="29">
        <v>5</v>
      </c>
      <c r="AF8" s="31">
        <f t="shared" si="10"/>
        <v>1</v>
      </c>
      <c r="AG8" s="29" t="b">
        <f t="shared" si="11"/>
        <v>1</v>
      </c>
      <c r="AH8" s="30" t="str">
        <f t="shared" si="12"/>
        <v>141-1</v>
      </c>
      <c r="AI8" s="30" t="str">
        <f t="shared" ca="1" si="13"/>
        <v>(1/2)*(1/3)</v>
      </c>
      <c r="AJ8" s="29">
        <f t="shared" ca="1" si="14"/>
        <v>0.16666666666666666</v>
      </c>
      <c r="AK8" s="29" t="str">
        <f t="shared" si="15"/>
        <v>1/3</v>
      </c>
      <c r="AL8" s="29">
        <f t="shared" si="16"/>
        <v>0.33333333333333331</v>
      </c>
      <c r="AM8" s="32">
        <f t="shared" ca="1" si="35"/>
        <v>0.5</v>
      </c>
      <c r="AO8" s="20">
        <f>Tools!$AD7</f>
        <v>2</v>
      </c>
      <c r="AP8" s="33" t="str">
        <f t="shared" si="36"/>
        <v xml:space="preserve">  </v>
      </c>
      <c r="AQ8" s="34" t="str">
        <f t="shared" ca="1" si="18"/>
        <v>(1/2)*(1/3)+1/3</v>
      </c>
      <c r="AR8" s="23" t="str">
        <f t="shared" ca="1" si="19"/>
        <v xml:space="preserve">  </v>
      </c>
      <c r="AS8" s="24">
        <f t="shared" si="20"/>
        <v>-8</v>
      </c>
      <c r="AT8" s="23" t="str">
        <f t="shared" ca="1" si="37"/>
        <v xml:space="preserve">  </v>
      </c>
      <c r="AU8" s="23" t="str">
        <f t="shared" ca="1" si="40"/>
        <v xml:space="preserve">  </v>
      </c>
      <c r="AV8" s="23" t="str">
        <f t="shared" si="21"/>
        <v xml:space="preserve">  </v>
      </c>
      <c r="AW8" s="23" t="str">
        <f t="shared" ca="1" si="22"/>
        <v xml:space="preserve">  </v>
      </c>
      <c r="AY8" s="35" t="str">
        <f t="shared" si="23"/>
        <v xml:space="preserve"> </v>
      </c>
      <c r="AZ8" s="23" t="str">
        <f ca="1">IFERROR(AY8*AM8,"  ")</f>
        <v xml:space="preserve">  </v>
      </c>
      <c r="BA8" s="36" t="str">
        <f t="shared" si="25"/>
        <v xml:space="preserve"> </v>
      </c>
      <c r="BB8" s="27" t="str">
        <f t="shared" ca="1" si="38"/>
        <v xml:space="preserve">  </v>
      </c>
      <c r="BC8" s="23" t="str">
        <f t="shared" ca="1" si="39"/>
        <v xml:space="preserve">  </v>
      </c>
      <c r="BE8" s="8" t="s">
        <v>30</v>
      </c>
      <c r="BF8" s="9" t="s">
        <v>8</v>
      </c>
      <c r="BG8" s="10">
        <f ca="1">LBP-AJ33</f>
        <v>146.19999999999999</v>
      </c>
      <c r="BH8" t="str">
        <f ca="1">IF(AJ33&gt;0,CONCATENATE("(LWL is assumed between stations ",$AH$31," and ",$AH$33," as offset values extreme to these stations are zeros.)"),"")</f>
        <v/>
      </c>
    </row>
    <row r="9" spans="1:60" x14ac:dyDescent="0.25">
      <c r="A9" s="20">
        <f>Tools!$AD8</f>
        <v>3</v>
      </c>
      <c r="B9" s="33" t="str">
        <f t="shared" si="0"/>
        <v xml:space="preserve">  </v>
      </c>
      <c r="C9" s="22">
        <f>IF(A9="  ","  ",IF(AND(A8="  ",A10="  "),"?",IF(A8="  ",2*(A10-A9),IF(A10="  ",2*(A9-A8),2*(A10-A8)))))</f>
        <v>4</v>
      </c>
      <c r="D9" s="23" t="str">
        <f t="shared" si="26"/>
        <v xml:space="preserve">  </v>
      </c>
      <c r="E9" s="24">
        <f t="shared" si="1"/>
        <v>-7</v>
      </c>
      <c r="F9" s="23" t="str">
        <f t="shared" si="27"/>
        <v xml:space="preserve">  </v>
      </c>
      <c r="G9" s="23" t="str">
        <f t="shared" si="28"/>
        <v xml:space="preserve">  </v>
      </c>
      <c r="H9" s="23" t="str">
        <f t="shared" si="29"/>
        <v xml:space="preserve">  </v>
      </c>
      <c r="I9" s="23" t="str">
        <f t="shared" si="30"/>
        <v xml:space="preserve">  </v>
      </c>
      <c r="J9" s="4"/>
      <c r="K9" s="37" t="str">
        <f t="shared" si="2"/>
        <v xml:space="preserve"> </v>
      </c>
      <c r="L9" s="23" t="str">
        <f t="shared" si="31"/>
        <v xml:space="preserve">  </v>
      </c>
      <c r="M9" s="38" t="str">
        <f t="shared" si="3"/>
        <v xml:space="preserve"> </v>
      </c>
      <c r="N9" s="27" t="str">
        <f t="shared" si="32"/>
        <v xml:space="preserve">  </v>
      </c>
      <c r="O9" s="23" t="str">
        <f t="shared" si="33"/>
        <v xml:space="preserve">  </v>
      </c>
      <c r="P9" s="4"/>
      <c r="Q9" s="43" t="s">
        <v>31</v>
      </c>
      <c r="R9" s="44" t="s">
        <v>32</v>
      </c>
      <c r="S9" s="489" t="s">
        <v>33</v>
      </c>
      <c r="W9" s="29">
        <f>IF(AO9="  ","  ",IF(AND(AO8="  ",AO10="  "),"?",IF(AO8="  ",2*(AO10-AO9),IF(AO10="  ",2*(AO9-AO8),2*(AO10-AO8)))))</f>
        <v>4</v>
      </c>
      <c r="X9" s="30" t="str">
        <f t="shared" si="4"/>
        <v>WW</v>
      </c>
      <c r="Y9" s="30" t="str">
        <f t="shared" si="5"/>
        <v>-</v>
      </c>
      <c r="Z9" s="29" t="b">
        <f t="shared" si="6"/>
        <v>0</v>
      </c>
      <c r="AA9" s="29" t="b">
        <f t="shared" si="7"/>
        <v>0</v>
      </c>
      <c r="AB9" s="29" t="str">
        <f t="shared" ca="1" si="8"/>
        <v>++</v>
      </c>
      <c r="AC9" s="29">
        <f t="shared" si="34"/>
        <v>6</v>
      </c>
      <c r="AD9" s="29">
        <f t="shared" ca="1" si="9"/>
        <v>6</v>
      </c>
      <c r="AE9" s="29">
        <v>6</v>
      </c>
      <c r="AF9" s="31">
        <f>IF(AND(AG9=TRUE,OR(NOT(AG8=TRUE),AG8="Full")),1,IF(ISNUMBER(AF8),AF8+1," "))</f>
        <v>2</v>
      </c>
      <c r="AG9" s="29" t="b">
        <f t="shared" si="11"/>
        <v>1</v>
      </c>
      <c r="AH9" s="30" t="str">
        <f t="shared" ca="1" si="12"/>
        <v>141-4</v>
      </c>
      <c r="AI9" s="30" t="str">
        <f t="shared" ca="1" si="13"/>
        <v/>
      </c>
      <c r="AJ9" s="29">
        <f t="shared" ca="1" si="14"/>
        <v>0</v>
      </c>
      <c r="AK9" s="29" t="str">
        <f t="shared" ca="1" si="15"/>
        <v>4/3</v>
      </c>
      <c r="AL9" s="29">
        <f t="shared" ca="1" si="16"/>
        <v>1.3333333333333333</v>
      </c>
      <c r="AM9" s="32">
        <f t="shared" ca="1" si="35"/>
        <v>1.3333333333333333</v>
      </c>
      <c r="AO9" s="20">
        <f>Tools!$AD8</f>
        <v>3</v>
      </c>
      <c r="AP9" s="33" t="str">
        <f t="shared" si="36"/>
        <v xml:space="preserve">  </v>
      </c>
      <c r="AQ9" s="34" t="str">
        <f t="shared" ca="1" si="18"/>
        <v>4/3</v>
      </c>
      <c r="AR9" s="23" t="str">
        <f t="shared" ca="1" si="19"/>
        <v xml:space="preserve">  </v>
      </c>
      <c r="AS9" s="24">
        <f t="shared" si="20"/>
        <v>-7</v>
      </c>
      <c r="AT9" s="23" t="str">
        <f t="shared" ca="1" si="37"/>
        <v xml:space="preserve">  </v>
      </c>
      <c r="AU9" s="23" t="str">
        <f t="shared" ca="1" si="40"/>
        <v xml:space="preserve">  </v>
      </c>
      <c r="AV9" s="23" t="str">
        <f t="shared" si="21"/>
        <v xml:space="preserve">  </v>
      </c>
      <c r="AW9" s="23" t="str">
        <f t="shared" ca="1" si="22"/>
        <v xml:space="preserve">  </v>
      </c>
      <c r="AY9" s="35" t="str">
        <f t="shared" si="23"/>
        <v xml:space="preserve"> </v>
      </c>
      <c r="AZ9" s="23" t="str">
        <f t="shared" ref="AZ9:AZ28" ca="1" si="41">IFERROR(AY9*AM9,"  ")</f>
        <v xml:space="preserve">  </v>
      </c>
      <c r="BA9" s="36" t="str">
        <f t="shared" si="25"/>
        <v xml:space="preserve"> </v>
      </c>
      <c r="BB9" s="27" t="str">
        <f t="shared" ca="1" si="38"/>
        <v xml:space="preserve">  </v>
      </c>
      <c r="BC9" s="23" t="str">
        <f t="shared" ca="1" si="39"/>
        <v xml:space="preserve">  </v>
      </c>
    </row>
    <row r="10" spans="1:60" x14ac:dyDescent="0.25">
      <c r="A10" s="20">
        <f>Tools!$AD9</f>
        <v>4</v>
      </c>
      <c r="B10" s="33" t="str">
        <f t="shared" si="0"/>
        <v xml:space="preserve">  </v>
      </c>
      <c r="C10" s="22">
        <f>IF(A10="  ","  ",IF(AND(A9="  ",A11="  "),"?",IF(A9="  ",1*(A11-A10),IF(A11="  ",1*(A10-A9),1*(A11-A9)))))</f>
        <v>2</v>
      </c>
      <c r="D10" s="23" t="str">
        <f t="shared" si="26"/>
        <v xml:space="preserve">  </v>
      </c>
      <c r="E10" s="24">
        <f t="shared" si="1"/>
        <v>-6</v>
      </c>
      <c r="F10" s="23" t="str">
        <f t="shared" si="27"/>
        <v xml:space="preserve">  </v>
      </c>
      <c r="G10" s="23" t="str">
        <f t="shared" si="28"/>
        <v xml:space="preserve">  </v>
      </c>
      <c r="H10" s="23" t="str">
        <f t="shared" si="29"/>
        <v xml:space="preserve">  </v>
      </c>
      <c r="I10" s="23" t="str">
        <f>IFERROR(H10*C10,"  ")</f>
        <v xml:space="preserve">  </v>
      </c>
      <c r="J10" s="4"/>
      <c r="K10" s="37" t="str">
        <f t="shared" si="2"/>
        <v xml:space="preserve"> </v>
      </c>
      <c r="L10" s="23" t="str">
        <f t="shared" si="31"/>
        <v xml:space="preserve">  </v>
      </c>
      <c r="M10" s="38" t="str">
        <f t="shared" si="3"/>
        <v xml:space="preserve"> </v>
      </c>
      <c r="N10" s="27" t="str">
        <f t="shared" si="32"/>
        <v xml:space="preserve">  </v>
      </c>
      <c r="O10" s="23" t="str">
        <f t="shared" si="33"/>
        <v xml:space="preserve">  </v>
      </c>
      <c r="P10" s="4"/>
      <c r="Q10" s="45"/>
      <c r="R10" s="46"/>
      <c r="S10" s="490"/>
      <c r="W10" s="29">
        <f>IF(AO10="  ","  ",IF(AND(AO9="  ",AO11="  "),"?",IF(AO9="  ",1*(AO11-AO10),IF(AO11="  ",1*(AO10-AO9),1*(AO11-AO9)))))</f>
        <v>2</v>
      </c>
      <c r="X10" s="30" t="str">
        <f t="shared" si="4"/>
        <v>WW</v>
      </c>
      <c r="Y10" s="30" t="str">
        <f t="shared" si="5"/>
        <v>-</v>
      </c>
      <c r="Z10" s="29" t="b">
        <f t="shared" si="6"/>
        <v>0</v>
      </c>
      <c r="AA10" s="29" t="b">
        <f t="shared" si="7"/>
        <v>0</v>
      </c>
      <c r="AB10" s="29" t="str">
        <f t="shared" ca="1" si="8"/>
        <v>++</v>
      </c>
      <c r="AC10" s="29">
        <f t="shared" si="34"/>
        <v>7</v>
      </c>
      <c r="AD10" s="29">
        <f t="shared" ca="1" si="9"/>
        <v>7</v>
      </c>
      <c r="AE10" s="29">
        <v>7</v>
      </c>
      <c r="AF10" s="31">
        <f t="shared" ref="AF10:AF28" si="42">IF(AND(AG10=TRUE,OR(NOT(AG9=TRUE),AG9="Full")),1,IF(ISNUMBER(AF9),AF9+1," "))</f>
        <v>3</v>
      </c>
      <c r="AG10" s="29" t="b">
        <f t="shared" si="11"/>
        <v>1</v>
      </c>
      <c r="AH10" s="30" t="str">
        <f t="shared" ca="1" si="12"/>
        <v>141-2</v>
      </c>
      <c r="AI10" s="30" t="str">
        <f t="shared" ca="1" si="13"/>
        <v/>
      </c>
      <c r="AJ10" s="29">
        <f t="shared" ca="1" si="14"/>
        <v>0</v>
      </c>
      <c r="AK10" s="29" t="str">
        <f t="shared" ca="1" si="15"/>
        <v>2/3</v>
      </c>
      <c r="AL10" s="29">
        <f t="shared" ca="1" si="16"/>
        <v>0.66666666666666663</v>
      </c>
      <c r="AM10" s="32">
        <f t="shared" ca="1" si="35"/>
        <v>0.66666666666666663</v>
      </c>
      <c r="AO10" s="20">
        <f>Tools!$AD9</f>
        <v>4</v>
      </c>
      <c r="AP10" s="33" t="str">
        <f t="shared" si="36"/>
        <v xml:space="preserve">  </v>
      </c>
      <c r="AQ10" s="34" t="str">
        <f t="shared" ca="1" si="18"/>
        <v>2/3</v>
      </c>
      <c r="AR10" s="23" t="str">
        <f t="shared" ca="1" si="19"/>
        <v xml:space="preserve">  </v>
      </c>
      <c r="AS10" s="24">
        <f t="shared" si="20"/>
        <v>-6</v>
      </c>
      <c r="AT10" s="23" t="str">
        <f t="shared" ca="1" si="37"/>
        <v xml:space="preserve">  </v>
      </c>
      <c r="AU10" s="23" t="str">
        <f ca="1">IFERROR(AT10*AS10,"  ")</f>
        <v xml:space="preserve">  </v>
      </c>
      <c r="AV10" s="23" t="str">
        <f t="shared" si="21"/>
        <v xml:space="preserve">  </v>
      </c>
      <c r="AW10" s="23" t="str">
        <f t="shared" ca="1" si="22"/>
        <v xml:space="preserve">  </v>
      </c>
      <c r="AY10" s="35" t="str">
        <f t="shared" si="23"/>
        <v xml:space="preserve"> </v>
      </c>
      <c r="AZ10" s="23" t="str">
        <f t="shared" ca="1" si="41"/>
        <v xml:space="preserve">  </v>
      </c>
      <c r="BA10" s="36" t="str">
        <f t="shared" si="25"/>
        <v xml:space="preserve"> </v>
      </c>
      <c r="BB10" s="27" t="str">
        <f t="shared" ca="1" si="38"/>
        <v xml:space="preserve">  </v>
      </c>
      <c r="BC10" s="23" t="str">
        <f t="shared" ca="1" si="39"/>
        <v xml:space="preserve">  </v>
      </c>
      <c r="BE10" s="43" t="s">
        <v>31</v>
      </c>
      <c r="BF10" s="44" t="s">
        <v>32</v>
      </c>
      <c r="BG10" s="489" t="s">
        <v>33</v>
      </c>
    </row>
    <row r="11" spans="1:60" x14ac:dyDescent="0.25">
      <c r="A11" s="20">
        <f>Tools!$AD10</f>
        <v>5</v>
      </c>
      <c r="B11" s="33" t="str">
        <f t="shared" si="0"/>
        <v xml:space="preserve">  </v>
      </c>
      <c r="C11" s="22">
        <f>IF(A11="  ","  ",IF(AND(A10="  ",A12="  "),"?",IF(A10="  ",2*(A12-A11),IF(A12="  ",2*(A11-A10),2*(A12-A10)))))</f>
        <v>4</v>
      </c>
      <c r="D11" s="23" t="str">
        <f t="shared" si="26"/>
        <v xml:space="preserve">  </v>
      </c>
      <c r="E11" s="24">
        <f t="shared" si="1"/>
        <v>-5</v>
      </c>
      <c r="F11" s="23" t="str">
        <f t="shared" si="27"/>
        <v xml:space="preserve">  </v>
      </c>
      <c r="G11" s="23" t="str">
        <f t="shared" si="28"/>
        <v xml:space="preserve">  </v>
      </c>
      <c r="H11" s="23" t="str">
        <f t="shared" si="29"/>
        <v xml:space="preserve">  </v>
      </c>
      <c r="I11" s="23" t="str">
        <f t="shared" si="30"/>
        <v xml:space="preserve">  </v>
      </c>
      <c r="J11" s="4"/>
      <c r="K11" s="37" t="str">
        <f t="shared" si="2"/>
        <v xml:space="preserve"> </v>
      </c>
      <c r="L11" s="23" t="str">
        <f t="shared" si="31"/>
        <v xml:space="preserve">  </v>
      </c>
      <c r="M11" s="38" t="str">
        <f t="shared" si="3"/>
        <v xml:space="preserve"> </v>
      </c>
      <c r="N11" s="27" t="str">
        <f t="shared" si="32"/>
        <v xml:space="preserve">  </v>
      </c>
      <c r="O11" s="23" t="str">
        <f t="shared" si="33"/>
        <v xml:space="preserve">  </v>
      </c>
      <c r="P11" s="4"/>
      <c r="Q11" s="47" t="s">
        <v>34</v>
      </c>
      <c r="R11" s="48" t="s">
        <v>35</v>
      </c>
      <c r="S11" t="str">
        <f>IF(Tools!$L$49="Use 141 rule only",I35,IF(Tools!$L$49="Use 141 and 1331 rules",BG12," "))</f>
        <v xml:space="preserve">  </v>
      </c>
      <c r="W11" s="29">
        <f>IF(AO11="  ","  ",IF(AND(AO10="  ",AO12="  "),"?",IF(AO10="  ",2*(AO12-AO11),IF(AO12="  ",2*(AO11-AO10),2*(AO12-AO10)))))</f>
        <v>4</v>
      </c>
      <c r="X11" s="30" t="str">
        <f t="shared" si="4"/>
        <v>WW</v>
      </c>
      <c r="Y11" s="30" t="str">
        <f t="shared" si="5"/>
        <v>-</v>
      </c>
      <c r="Z11" s="29" t="b">
        <f t="shared" si="6"/>
        <v>0</v>
      </c>
      <c r="AA11" s="29" t="b">
        <f t="shared" si="7"/>
        <v>0</v>
      </c>
      <c r="AB11" s="29" t="str">
        <f t="shared" ca="1" si="8"/>
        <v>++</v>
      </c>
      <c r="AC11" s="29">
        <f t="shared" si="34"/>
        <v>8</v>
      </c>
      <c r="AD11" s="29">
        <f t="shared" ca="1" si="9"/>
        <v>8</v>
      </c>
      <c r="AE11" s="29">
        <v>8</v>
      </c>
      <c r="AF11" s="31">
        <f t="shared" si="42"/>
        <v>4</v>
      </c>
      <c r="AG11" s="29" t="b">
        <f t="shared" si="11"/>
        <v>1</v>
      </c>
      <c r="AH11" s="30" t="str">
        <f t="shared" ca="1" si="12"/>
        <v>141-4</v>
      </c>
      <c r="AI11" s="30" t="str">
        <f t="shared" ca="1" si="13"/>
        <v/>
      </c>
      <c r="AJ11" s="29">
        <f t="shared" ca="1" si="14"/>
        <v>0</v>
      </c>
      <c r="AK11" s="29" t="str">
        <f t="shared" ca="1" si="15"/>
        <v>4/3</v>
      </c>
      <c r="AL11" s="29">
        <f t="shared" ca="1" si="16"/>
        <v>1.3333333333333333</v>
      </c>
      <c r="AM11" s="32">
        <f t="shared" ca="1" si="35"/>
        <v>1.3333333333333333</v>
      </c>
      <c r="AO11" s="20">
        <f>Tools!$AD10</f>
        <v>5</v>
      </c>
      <c r="AP11" s="33" t="str">
        <f t="shared" si="36"/>
        <v xml:space="preserve">  </v>
      </c>
      <c r="AQ11" s="34" t="str">
        <f t="shared" ca="1" si="18"/>
        <v>4/3</v>
      </c>
      <c r="AR11" s="23" t="str">
        <f t="shared" ca="1" si="19"/>
        <v xml:space="preserve">  </v>
      </c>
      <c r="AS11" s="24">
        <f t="shared" si="20"/>
        <v>-5</v>
      </c>
      <c r="AT11" s="23" t="str">
        <f t="shared" ca="1" si="37"/>
        <v xml:space="preserve">  </v>
      </c>
      <c r="AU11" s="23" t="str">
        <f t="shared" ca="1" si="40"/>
        <v xml:space="preserve">  </v>
      </c>
      <c r="AV11" s="23" t="str">
        <f t="shared" si="21"/>
        <v xml:space="preserve">  </v>
      </c>
      <c r="AW11" s="23" t="str">
        <f t="shared" ca="1" si="22"/>
        <v xml:space="preserve">  </v>
      </c>
      <c r="AY11" s="35" t="str">
        <f t="shared" si="23"/>
        <v xml:space="preserve"> </v>
      </c>
      <c r="AZ11" s="23" t="str">
        <f t="shared" ca="1" si="41"/>
        <v xml:space="preserve">  </v>
      </c>
      <c r="BA11" s="36" t="str">
        <f t="shared" si="25"/>
        <v xml:space="preserve"> </v>
      </c>
      <c r="BB11" s="27" t="str">
        <f t="shared" ca="1" si="38"/>
        <v xml:space="preserve">  </v>
      </c>
      <c r="BC11" s="23" t="str">
        <f ca="1">IFERROR(AZ11*AS11,"  ")</f>
        <v xml:space="preserve">  </v>
      </c>
      <c r="BE11" s="45"/>
      <c r="BF11" s="46"/>
      <c r="BG11" s="490"/>
    </row>
    <row r="12" spans="1:60" x14ac:dyDescent="0.25">
      <c r="A12" s="20">
        <f>Tools!$AD11</f>
        <v>6</v>
      </c>
      <c r="B12" s="33" t="str">
        <f t="shared" si="0"/>
        <v xml:space="preserve">  </v>
      </c>
      <c r="C12" s="22">
        <f>IF(A12="  ","  ",IF(AND(A11="  ",A13="  "),"?",IF(A11="  ",1*(A13-A12),IF(A13="  ",1*(A12-A11),1*(A13-A11)))))</f>
        <v>2</v>
      </c>
      <c r="D12" s="23" t="str">
        <f t="shared" si="26"/>
        <v xml:space="preserve">  </v>
      </c>
      <c r="E12" s="24">
        <f t="shared" si="1"/>
        <v>-4</v>
      </c>
      <c r="F12" s="23" t="str">
        <f t="shared" si="27"/>
        <v xml:space="preserve">  </v>
      </c>
      <c r="G12" s="23" t="str">
        <f t="shared" si="28"/>
        <v xml:space="preserve">  </v>
      </c>
      <c r="H12" s="23" t="str">
        <f t="shared" si="29"/>
        <v xml:space="preserve">  </v>
      </c>
      <c r="I12" s="23" t="str">
        <f t="shared" si="30"/>
        <v xml:space="preserve">  </v>
      </c>
      <c r="J12" s="4"/>
      <c r="K12" s="37" t="str">
        <f t="shared" si="2"/>
        <v xml:space="preserve"> </v>
      </c>
      <c r="L12" s="23" t="str">
        <f t="shared" si="31"/>
        <v xml:space="preserve">  </v>
      </c>
      <c r="M12" s="38" t="str">
        <f t="shared" si="3"/>
        <v xml:space="preserve"> </v>
      </c>
      <c r="N12" s="27" t="str">
        <f t="shared" si="32"/>
        <v xml:space="preserve">  </v>
      </c>
      <c r="O12" s="23" t="str">
        <f t="shared" si="33"/>
        <v xml:space="preserve">  </v>
      </c>
      <c r="P12" s="4"/>
      <c r="Q12" s="47" t="s">
        <v>36</v>
      </c>
      <c r="R12" s="48" t="s">
        <v>37</v>
      </c>
      <c r="S12" t="str">
        <f>IF(Tools!$L$49="Use 141 rule only",I36,IF(Tools!$L$49="Use 141 and 1331 rules",BG13," "))</f>
        <v xml:space="preserve">  </v>
      </c>
      <c r="W12" s="29">
        <f>IF(AO12="  ","  ",IF(AND(AO11="  ",AO13="  "),"?",IF(AO11="  ",1*(AO13-AO12),IF(AO13="  ",1*(AO12-AO11),1*(AO13-AO11)))))</f>
        <v>2</v>
      </c>
      <c r="X12" s="30" t="str">
        <f t="shared" si="4"/>
        <v>WW</v>
      </c>
      <c r="Y12" s="30" t="str">
        <f t="shared" si="5"/>
        <v>-</v>
      </c>
      <c r="Z12" s="29" t="b">
        <f t="shared" si="6"/>
        <v>0</v>
      </c>
      <c r="AA12" s="29" t="b">
        <f t="shared" si="7"/>
        <v>0</v>
      </c>
      <c r="AB12" s="29" t="str">
        <f t="shared" ca="1" si="8"/>
        <v>++</v>
      </c>
      <c r="AC12" s="29">
        <f t="shared" si="34"/>
        <v>9</v>
      </c>
      <c r="AD12" s="29">
        <f t="shared" ca="1" si="9"/>
        <v>9</v>
      </c>
      <c r="AE12" s="29">
        <v>9</v>
      </c>
      <c r="AF12" s="31">
        <f t="shared" si="42"/>
        <v>5</v>
      </c>
      <c r="AG12" s="29" t="b">
        <f t="shared" si="11"/>
        <v>1</v>
      </c>
      <c r="AH12" s="30" t="str">
        <f t="shared" ca="1" si="12"/>
        <v>141-2</v>
      </c>
      <c r="AI12" s="30" t="str">
        <f t="shared" ca="1" si="13"/>
        <v/>
      </c>
      <c r="AJ12" s="29">
        <f t="shared" ca="1" si="14"/>
        <v>0</v>
      </c>
      <c r="AK12" s="29" t="str">
        <f t="shared" ca="1" si="15"/>
        <v>2/3</v>
      </c>
      <c r="AL12" s="29">
        <f t="shared" ca="1" si="16"/>
        <v>0.66666666666666663</v>
      </c>
      <c r="AM12" s="32">
        <f t="shared" ca="1" si="35"/>
        <v>0.66666666666666663</v>
      </c>
      <c r="AO12" s="20">
        <f>Tools!$AD11</f>
        <v>6</v>
      </c>
      <c r="AP12" s="33" t="str">
        <f t="shared" si="36"/>
        <v xml:space="preserve">  </v>
      </c>
      <c r="AQ12" s="34" t="str">
        <f t="shared" ca="1" si="18"/>
        <v>2/3</v>
      </c>
      <c r="AR12" s="23" t="str">
        <f t="shared" ca="1" si="19"/>
        <v xml:space="preserve">  </v>
      </c>
      <c r="AS12" s="24">
        <f t="shared" si="20"/>
        <v>-4</v>
      </c>
      <c r="AT12" s="23" t="str">
        <f t="shared" ca="1" si="37"/>
        <v xml:space="preserve">  </v>
      </c>
      <c r="AU12" s="23" t="str">
        <f t="shared" ca="1" si="40"/>
        <v xml:space="preserve">  </v>
      </c>
      <c r="AV12" s="23" t="str">
        <f t="shared" si="21"/>
        <v xml:space="preserve">  </v>
      </c>
      <c r="AW12" s="23" t="str">
        <f t="shared" ca="1" si="22"/>
        <v xml:space="preserve">  </v>
      </c>
      <c r="AY12" s="35" t="str">
        <f t="shared" si="23"/>
        <v xml:space="preserve"> </v>
      </c>
      <c r="AZ12" s="23" t="str">
        <f t="shared" ca="1" si="41"/>
        <v xml:space="preserve">  </v>
      </c>
      <c r="BA12" s="36" t="str">
        <f t="shared" si="25"/>
        <v xml:space="preserve"> </v>
      </c>
      <c r="BB12" s="27" t="str">
        <f t="shared" ca="1" si="38"/>
        <v xml:space="preserve">  </v>
      </c>
      <c r="BC12" s="23" t="str">
        <f t="shared" ca="1" si="39"/>
        <v xml:space="preserve">  </v>
      </c>
      <c r="BE12" s="47" t="s">
        <v>34</v>
      </c>
      <c r="BF12" s="48" t="s">
        <v>38</v>
      </c>
      <c r="BG12" s="49" t="str">
        <f>IF(WL_No="  ","  ",2*h*$AR$29)</f>
        <v xml:space="preserve">  </v>
      </c>
    </row>
    <row r="13" spans="1:60" x14ac:dyDescent="0.25">
      <c r="A13" s="20">
        <f>Tools!$AD12</f>
        <v>7</v>
      </c>
      <c r="B13" s="33" t="str">
        <f t="shared" si="0"/>
        <v xml:space="preserve">  </v>
      </c>
      <c r="C13" s="22">
        <f>IF(A13="  ","  ",IF(AND(A12="  ",A14="  "),"?",IF(A12="  ",2*(A14-A13),IF(A14="  ",2*(A13-A12),2*(A14-A12)))))</f>
        <v>4</v>
      </c>
      <c r="D13" s="23" t="str">
        <f t="shared" si="26"/>
        <v xml:space="preserve">  </v>
      </c>
      <c r="E13" s="24">
        <f t="shared" si="1"/>
        <v>-3</v>
      </c>
      <c r="F13" s="23" t="str">
        <f t="shared" si="27"/>
        <v xml:space="preserve">  </v>
      </c>
      <c r="G13" s="23" t="str">
        <f t="shared" si="28"/>
        <v xml:space="preserve">  </v>
      </c>
      <c r="H13" s="23" t="str">
        <f t="shared" si="29"/>
        <v xml:space="preserve">  </v>
      </c>
      <c r="I13" s="23" t="str">
        <f t="shared" si="30"/>
        <v xml:space="preserve">  </v>
      </c>
      <c r="J13" s="4"/>
      <c r="K13" s="37" t="str">
        <f t="shared" si="2"/>
        <v xml:space="preserve"> </v>
      </c>
      <c r="L13" s="23" t="str">
        <f t="shared" si="31"/>
        <v xml:space="preserve">  </v>
      </c>
      <c r="M13" s="38" t="str">
        <f t="shared" si="3"/>
        <v xml:space="preserve"> </v>
      </c>
      <c r="N13" s="27" t="str">
        <f t="shared" si="32"/>
        <v xml:space="preserve">  </v>
      </c>
      <c r="O13" s="23" t="str">
        <f t="shared" si="33"/>
        <v xml:space="preserve">  </v>
      </c>
      <c r="P13" s="4"/>
      <c r="Q13" s="50" t="s">
        <v>39</v>
      </c>
      <c r="R13" s="48" t="s">
        <v>40</v>
      </c>
      <c r="S13" t="str">
        <f>IF(Tools!$L$49="Use 141 rule only",I37,IF(Tools!$L$49="Use 141 and 1331 rules",BG14," "))</f>
        <v xml:space="preserve">  </v>
      </c>
      <c r="W13" s="29">
        <f>IF(AO13="  ","  ",IF(AND(AO12="  ",AO14="  "),"?",IF(AO12="  ",2*(AO14-AO13),IF(AO14="  ",2*(AO13-AO12),2*(AO14-AO12)))))</f>
        <v>4</v>
      </c>
      <c r="X13" s="30" t="str">
        <f t="shared" si="4"/>
        <v>WW</v>
      </c>
      <c r="Y13" s="30" t="str">
        <f t="shared" si="5"/>
        <v>-</v>
      </c>
      <c r="Z13" s="29" t="b">
        <f t="shared" si="6"/>
        <v>0</v>
      </c>
      <c r="AA13" s="29" t="b">
        <f t="shared" si="7"/>
        <v>0</v>
      </c>
      <c r="AB13" s="29" t="str">
        <f t="shared" ca="1" si="8"/>
        <v>++</v>
      </c>
      <c r="AC13" s="29">
        <f t="shared" si="34"/>
        <v>10</v>
      </c>
      <c r="AD13" s="29">
        <f t="shared" ca="1" si="9"/>
        <v>10</v>
      </c>
      <c r="AE13" s="29">
        <v>10</v>
      </c>
      <c r="AF13" s="31">
        <f t="shared" si="42"/>
        <v>6</v>
      </c>
      <c r="AG13" s="29" t="b">
        <f t="shared" si="11"/>
        <v>1</v>
      </c>
      <c r="AH13" s="30" t="str">
        <f t="shared" ca="1" si="12"/>
        <v>141-4</v>
      </c>
      <c r="AI13" s="30" t="str">
        <f t="shared" ca="1" si="13"/>
        <v/>
      </c>
      <c r="AJ13" s="29">
        <f t="shared" ca="1" si="14"/>
        <v>0</v>
      </c>
      <c r="AK13" s="29" t="str">
        <f t="shared" ca="1" si="15"/>
        <v>4/3</v>
      </c>
      <c r="AL13" s="29">
        <f t="shared" ca="1" si="16"/>
        <v>1.3333333333333333</v>
      </c>
      <c r="AM13" s="32">
        <f t="shared" ca="1" si="35"/>
        <v>1.3333333333333333</v>
      </c>
      <c r="AO13" s="20">
        <f>Tools!$AD12</f>
        <v>7</v>
      </c>
      <c r="AP13" s="33" t="str">
        <f t="shared" si="36"/>
        <v xml:space="preserve">  </v>
      </c>
      <c r="AQ13" s="34" t="str">
        <f t="shared" ca="1" si="18"/>
        <v>4/3</v>
      </c>
      <c r="AR13" s="23" t="str">
        <f t="shared" ca="1" si="19"/>
        <v xml:space="preserve">  </v>
      </c>
      <c r="AS13" s="24">
        <f t="shared" si="20"/>
        <v>-3</v>
      </c>
      <c r="AT13" s="23" t="str">
        <f t="shared" ca="1" si="37"/>
        <v xml:space="preserve">  </v>
      </c>
      <c r="AU13" s="23" t="str">
        <f t="shared" ca="1" si="40"/>
        <v xml:space="preserve">  </v>
      </c>
      <c r="AV13" s="23" t="str">
        <f t="shared" si="21"/>
        <v xml:space="preserve">  </v>
      </c>
      <c r="AW13" s="23" t="str">
        <f t="shared" ca="1" si="22"/>
        <v xml:space="preserve">  </v>
      </c>
      <c r="AY13" s="35" t="str">
        <f t="shared" si="23"/>
        <v xml:space="preserve"> </v>
      </c>
      <c r="AZ13" s="23" t="str">
        <f t="shared" ca="1" si="41"/>
        <v xml:space="preserve">  </v>
      </c>
      <c r="BA13" s="36" t="str">
        <f t="shared" si="25"/>
        <v xml:space="preserve"> </v>
      </c>
      <c r="BB13" s="27" t="str">
        <f t="shared" ca="1" si="38"/>
        <v xml:space="preserve">  </v>
      </c>
      <c r="BC13" s="23" t="str">
        <f t="shared" ca="1" si="39"/>
        <v xml:space="preserve">  </v>
      </c>
      <c r="BE13" s="47" t="s">
        <v>36</v>
      </c>
      <c r="BF13" s="48" t="s">
        <v>41</v>
      </c>
      <c r="BG13" s="49" t="str">
        <f>IF(WL_No="  ","  ",2*(h^2)*$AT$29)</f>
        <v xml:space="preserve">  </v>
      </c>
    </row>
    <row r="14" spans="1:60" x14ac:dyDescent="0.25">
      <c r="A14" s="20">
        <f>Tools!$AD13</f>
        <v>8</v>
      </c>
      <c r="B14" s="33" t="str">
        <f t="shared" si="0"/>
        <v xml:space="preserve">  </v>
      </c>
      <c r="C14" s="22">
        <f>IF(A14="  ","  ",IF(AND(A13="  ",A15="  "),"?",IF(A13="  ",1*(A15-A14),IF(A15="  ",1*(A14-A13),1*(A15-A13)))))</f>
        <v>2</v>
      </c>
      <c r="D14" s="23" t="str">
        <f t="shared" si="26"/>
        <v xml:space="preserve">  </v>
      </c>
      <c r="E14" s="24">
        <f t="shared" si="1"/>
        <v>-2</v>
      </c>
      <c r="F14" s="23" t="str">
        <f t="shared" si="27"/>
        <v xml:space="preserve">  </v>
      </c>
      <c r="G14" s="23" t="str">
        <f t="shared" si="28"/>
        <v xml:space="preserve">  </v>
      </c>
      <c r="H14" s="23" t="str">
        <f t="shared" si="29"/>
        <v xml:space="preserve">  </v>
      </c>
      <c r="I14" s="23" t="str">
        <f t="shared" si="30"/>
        <v xml:space="preserve">  </v>
      </c>
      <c r="J14" s="4"/>
      <c r="K14" s="37" t="str">
        <f t="shared" si="2"/>
        <v xml:space="preserve"> </v>
      </c>
      <c r="L14" s="23" t="str">
        <f t="shared" si="31"/>
        <v xml:space="preserve">  </v>
      </c>
      <c r="M14" s="38" t="str">
        <f t="shared" si="3"/>
        <v xml:space="preserve"> </v>
      </c>
      <c r="N14" s="27" t="str">
        <f t="shared" si="32"/>
        <v xml:space="preserve">  </v>
      </c>
      <c r="O14" s="23" t="str">
        <f t="shared" si="33"/>
        <v xml:space="preserve">  </v>
      </c>
      <c r="P14" s="4"/>
      <c r="Q14" s="50" t="s">
        <v>42</v>
      </c>
      <c r="R14" s="48" t="s">
        <v>43</v>
      </c>
      <c r="S14" t="str">
        <f>IF(Tools!$L$49="Use 141 rule only",I38,IF(Tools!$L$49="Use 141 and 1331 rules",BG15," "))</f>
        <v xml:space="preserve">  </v>
      </c>
      <c r="W14" s="29">
        <f>IF(AO14="  ","  ",IF(AND(AO13="  ",AO15="  "),"?",IF(AO13="  ",1*(AO15-AO14),IF(AO15="  ",1*(AO14-AO13),1*(AO15-AO13)))))</f>
        <v>2</v>
      </c>
      <c r="X14" s="30" t="str">
        <f t="shared" si="4"/>
        <v>WW</v>
      </c>
      <c r="Y14" s="30" t="str">
        <f t="shared" si="5"/>
        <v>-</v>
      </c>
      <c r="Z14" s="29" t="b">
        <f t="shared" si="6"/>
        <v>0</v>
      </c>
      <c r="AA14" s="29" t="b">
        <f t="shared" si="7"/>
        <v>0</v>
      </c>
      <c r="AB14" s="29" t="str">
        <f t="shared" ca="1" si="8"/>
        <v>++</v>
      </c>
      <c r="AC14" s="29">
        <f t="shared" si="34"/>
        <v>11</v>
      </c>
      <c r="AD14" s="29">
        <f t="shared" ca="1" si="9"/>
        <v>11</v>
      </c>
      <c r="AE14" s="29">
        <v>11</v>
      </c>
      <c r="AF14" s="31">
        <f t="shared" si="42"/>
        <v>7</v>
      </c>
      <c r="AG14" s="29" t="b">
        <f t="shared" si="11"/>
        <v>1</v>
      </c>
      <c r="AH14" s="30" t="str">
        <f ca="1">IF(AND(AG14=TRUE,$AH$1=1),"141-4",IF(AG14=" ",IF(AND($AH$1=2,AF14=3),"141-1","-"),IF(OR(AG14=FALSE,AG14=" "),"-",IF(AG14=TRUE,IF(AND($AH$1=2,AF14=1),"141-1",IF(AND($AH$1=2,AF14=2),"141-4",IF(OR(ISODD($AH$1),AF14&gt;4),IF(AF14=1,"141-1",IF(OR(AB14="141-1",AB14="1331-1",AB14="1331-1,141-1"),"141-1",IF(AG15=" ","141-1",IF(OR(AH13="141-1",AH13="141-2",AH13="1331-1,141-1"),"141-4",IF(AH13="141-4","141-2","$$"))))),IF(ISEVEN($AH$1),IF(AF14=1,"1331-1",IF(OR(AF14=2,AF14=3),"1331-3",IF(AF14=4,IF($AH$1=4,"1331-1","1331-1,141-1"),"")))))))))))</f>
        <v>141-2</v>
      </c>
      <c r="AI14" s="30" t="str">
        <f t="shared" ca="1" si="13"/>
        <v/>
      </c>
      <c r="AJ14" s="29">
        <f t="shared" ca="1" si="14"/>
        <v>0</v>
      </c>
      <c r="AK14" s="29" t="str">
        <f t="shared" ca="1" si="15"/>
        <v>2/3</v>
      </c>
      <c r="AL14" s="29">
        <f t="shared" ca="1" si="16"/>
        <v>0.66666666666666663</v>
      </c>
      <c r="AM14" s="32">
        <f t="shared" ca="1" si="35"/>
        <v>0.66666666666666663</v>
      </c>
      <c r="AO14" s="20">
        <f>Tools!$AD13</f>
        <v>8</v>
      </c>
      <c r="AP14" s="33" t="str">
        <f t="shared" si="36"/>
        <v xml:space="preserve">  </v>
      </c>
      <c r="AQ14" s="34" t="str">
        <f t="shared" ca="1" si="18"/>
        <v>2/3</v>
      </c>
      <c r="AR14" s="23" t="str">
        <f t="shared" ca="1" si="19"/>
        <v xml:space="preserve">  </v>
      </c>
      <c r="AS14" s="24">
        <f t="shared" si="20"/>
        <v>-2</v>
      </c>
      <c r="AT14" s="23" t="str">
        <f t="shared" ca="1" si="37"/>
        <v xml:space="preserve">  </v>
      </c>
      <c r="AU14" s="23" t="str">
        <f t="shared" ca="1" si="40"/>
        <v xml:space="preserve">  </v>
      </c>
      <c r="AV14" s="23" t="str">
        <f t="shared" si="21"/>
        <v xml:space="preserve">  </v>
      </c>
      <c r="AW14" s="23" t="str">
        <f t="shared" ca="1" si="22"/>
        <v xml:space="preserve">  </v>
      </c>
      <c r="AY14" s="35" t="str">
        <f t="shared" si="23"/>
        <v xml:space="preserve"> </v>
      </c>
      <c r="AZ14" s="23" t="str">
        <f t="shared" ca="1" si="41"/>
        <v xml:space="preserve">  </v>
      </c>
      <c r="BA14" s="36" t="str">
        <f t="shared" si="25"/>
        <v xml:space="preserve"> </v>
      </c>
      <c r="BB14" s="27" t="str">
        <f t="shared" ca="1" si="38"/>
        <v xml:space="preserve">  </v>
      </c>
      <c r="BC14" s="23" t="str">
        <f t="shared" ca="1" si="39"/>
        <v xml:space="preserve">  </v>
      </c>
      <c r="BE14" s="50" t="s">
        <v>39</v>
      </c>
      <c r="BF14" s="48" t="s">
        <v>40</v>
      </c>
      <c r="BG14" s="49" t="str">
        <f>IF(WL_No="  ","  ",Mmid/AWP)</f>
        <v xml:space="preserve">  </v>
      </c>
    </row>
    <row r="15" spans="1:60" x14ac:dyDescent="0.25">
      <c r="A15" s="20">
        <f>Tools!$AD14</f>
        <v>9</v>
      </c>
      <c r="B15" s="33" t="str">
        <f t="shared" si="0"/>
        <v xml:space="preserve">  </v>
      </c>
      <c r="C15" s="22">
        <f>IF(A15="  ","  ",IF(AND(A14="  ",A16="  "),"?",IF(A14="  ",2*(A16-A15),IF(A16="  ",2*(A15-A14),2*(A16-A14)))))</f>
        <v>4</v>
      </c>
      <c r="D15" s="23" t="str">
        <f t="shared" si="26"/>
        <v xml:space="preserve">  </v>
      </c>
      <c r="E15" s="24">
        <f t="shared" si="1"/>
        <v>-1</v>
      </c>
      <c r="F15" s="23" t="str">
        <f t="shared" si="27"/>
        <v xml:space="preserve">  </v>
      </c>
      <c r="G15" s="23" t="str">
        <f t="shared" si="28"/>
        <v xml:space="preserve">  </v>
      </c>
      <c r="H15" s="23" t="str">
        <f t="shared" si="29"/>
        <v xml:space="preserve">  </v>
      </c>
      <c r="I15" s="23" t="str">
        <f t="shared" si="30"/>
        <v xml:space="preserve">  </v>
      </c>
      <c r="J15" s="4"/>
      <c r="K15" s="37" t="str">
        <f t="shared" si="2"/>
        <v xml:space="preserve"> </v>
      </c>
      <c r="L15" s="23" t="str">
        <f t="shared" si="31"/>
        <v xml:space="preserve">  </v>
      </c>
      <c r="M15" s="38" t="str">
        <f t="shared" si="3"/>
        <v xml:space="preserve"> </v>
      </c>
      <c r="N15" s="27" t="str">
        <f t="shared" si="32"/>
        <v xml:space="preserve">  </v>
      </c>
      <c r="O15" s="23" t="str">
        <f t="shared" si="33"/>
        <v xml:space="preserve">  </v>
      </c>
      <c r="P15" s="4"/>
      <c r="Q15" s="51" t="s">
        <v>44</v>
      </c>
      <c r="R15" s="48" t="s">
        <v>45</v>
      </c>
      <c r="S15" t="str">
        <f>IF(Tools!$L$49="Use 141 rule only",I39,IF(Tools!$L$49="Use 141 and 1331 rules",BG16," "))</f>
        <v xml:space="preserve">  </v>
      </c>
      <c r="W15" s="29">
        <f>IF(AO15="  ","  ",IF(AND(AO14="  ",AO16="  "),"?",IF(AO14="  ",2*(AO16-AO15),IF(AO16="  ",2*(AO15-AO14),2*(AO16-AO14)))))</f>
        <v>4</v>
      </c>
      <c r="X15" s="30" t="str">
        <f t="shared" si="4"/>
        <v>WW</v>
      </c>
      <c r="Y15" s="30" t="str">
        <f t="shared" si="5"/>
        <v>-</v>
      </c>
      <c r="Z15" s="29" t="b">
        <f t="shared" si="6"/>
        <v>0</v>
      </c>
      <c r="AA15" s="29" t="b">
        <f t="shared" si="7"/>
        <v>0</v>
      </c>
      <c r="AB15" s="29" t="str">
        <f t="shared" ca="1" si="8"/>
        <v>++</v>
      </c>
      <c r="AC15" s="29">
        <f t="shared" si="34"/>
        <v>12</v>
      </c>
      <c r="AD15" s="29">
        <f t="shared" ca="1" si="9"/>
        <v>12</v>
      </c>
      <c r="AE15" s="29">
        <v>12</v>
      </c>
      <c r="AF15" s="31">
        <f t="shared" si="42"/>
        <v>8</v>
      </c>
      <c r="AG15" s="29" t="b">
        <f t="shared" si="11"/>
        <v>1</v>
      </c>
      <c r="AH15" s="30" t="str">
        <f t="shared" ref="AH15:AH28" ca="1" si="43">IF(AND(AG15=TRUE,$AH$1=1),"141-4",IF(AG15=" ",IF(AND($AH$1=2,AF15=3),"141-1","-"),IF(OR(AG15=FALSE,AG15=" "),"-",IF(AG15=TRUE,IF(AND($AH$1=2,AF15=1),"141-1",IF(AND($AH$1=2,AF15=2),"141-4",IF(OR(ISODD($AH$1),AF15&gt;4),IF(AF15=1,"141-1",IF(OR(AB15="141-1",AB15="1331-1",AB15="1331-1,141-1"),"141-1",IF(AG16=" ","141-1",IF(OR(AH14="141-1",AH14="141-2",AH14="1331-1,141-1"),"141-4",IF(AH14="141-4","141-2","$$"))))),IF(ISEVEN($AH$1),IF(AF15=1,"1331-1",IF(OR(AF15=2,AF15=3),"1331-3",IF(AF15=4,IF($AH$1=4,"1331-1","1331-1,141-1"),"")))))))))))</f>
        <v>141-4</v>
      </c>
      <c r="AI15" s="30" t="str">
        <f t="shared" ca="1" si="13"/>
        <v/>
      </c>
      <c r="AJ15" s="29">
        <f t="shared" ca="1" si="14"/>
        <v>0</v>
      </c>
      <c r="AK15" s="29" t="str">
        <f t="shared" ca="1" si="15"/>
        <v>4/3</v>
      </c>
      <c r="AL15" s="29">
        <f t="shared" ca="1" si="16"/>
        <v>1.3333333333333333</v>
      </c>
      <c r="AM15" s="32">
        <f t="shared" ca="1" si="35"/>
        <v>1.3333333333333333</v>
      </c>
      <c r="AO15" s="20">
        <f>Tools!$AD14</f>
        <v>9</v>
      </c>
      <c r="AP15" s="33" t="str">
        <f t="shared" si="36"/>
        <v xml:space="preserve">  </v>
      </c>
      <c r="AQ15" s="34" t="str">
        <f t="shared" ca="1" si="18"/>
        <v>4/3</v>
      </c>
      <c r="AR15" s="23" t="str">
        <f t="shared" ca="1" si="19"/>
        <v xml:space="preserve">  </v>
      </c>
      <c r="AS15" s="24">
        <f t="shared" si="20"/>
        <v>-1</v>
      </c>
      <c r="AT15" s="23" t="str">
        <f t="shared" ca="1" si="37"/>
        <v xml:space="preserve">  </v>
      </c>
      <c r="AU15" s="23" t="str">
        <f t="shared" ca="1" si="40"/>
        <v xml:space="preserve">  </v>
      </c>
      <c r="AV15" s="23" t="str">
        <f t="shared" si="21"/>
        <v xml:space="preserve">  </v>
      </c>
      <c r="AW15" s="23" t="str">
        <f t="shared" ca="1" si="22"/>
        <v xml:space="preserve">  </v>
      </c>
      <c r="AY15" s="35" t="str">
        <f t="shared" si="23"/>
        <v xml:space="preserve"> </v>
      </c>
      <c r="AZ15" s="23" t="str">
        <f t="shared" ca="1" si="41"/>
        <v xml:space="preserve">  </v>
      </c>
      <c r="BA15" s="36" t="str">
        <f t="shared" si="25"/>
        <v xml:space="preserve"> </v>
      </c>
      <c r="BB15" s="27" t="str">
        <f ca="1">IFERROR(BA15*AM15,"  ")</f>
        <v xml:space="preserve">  </v>
      </c>
      <c r="BC15" s="23" t="str">
        <f t="shared" ca="1" si="39"/>
        <v xml:space="preserve">  </v>
      </c>
      <c r="BE15" s="50" t="s">
        <v>42</v>
      </c>
      <c r="BF15" s="48" t="s">
        <v>46</v>
      </c>
      <c r="BG15" s="49" t="str">
        <f>IF(WL_No="  ","  ",2*(h^3)*$AU$29)</f>
        <v xml:space="preserve">  </v>
      </c>
    </row>
    <row r="16" spans="1:60" x14ac:dyDescent="0.25">
      <c r="A16" s="20">
        <f>Tools!$AD15</f>
        <v>10</v>
      </c>
      <c r="B16" s="33" t="str">
        <f t="shared" si="0"/>
        <v xml:space="preserve">  </v>
      </c>
      <c r="C16" s="22">
        <f>IF(A16="  ","  ",IF(AND(A15="  ",A17="  "),"?",IF(A15="  ",1*(A17-A16),IF(A17="  ",1*(A16-A15),1*(A17-A15)))))</f>
        <v>2</v>
      </c>
      <c r="D16" s="23" t="str">
        <f t="shared" si="26"/>
        <v xml:space="preserve">  </v>
      </c>
      <c r="E16" s="24">
        <f t="shared" si="1"/>
        <v>0</v>
      </c>
      <c r="F16" s="23" t="str">
        <f t="shared" si="27"/>
        <v xml:space="preserve">  </v>
      </c>
      <c r="G16" s="23" t="str">
        <f t="shared" si="28"/>
        <v xml:space="preserve">  </v>
      </c>
      <c r="H16" s="23" t="str">
        <f t="shared" si="29"/>
        <v xml:space="preserve">  </v>
      </c>
      <c r="I16" s="23" t="str">
        <f t="shared" si="30"/>
        <v xml:space="preserve">  </v>
      </c>
      <c r="J16" s="4"/>
      <c r="K16" s="37" t="str">
        <f t="shared" si="2"/>
        <v xml:space="preserve"> </v>
      </c>
      <c r="L16" s="23" t="str">
        <f t="shared" si="31"/>
        <v xml:space="preserve">  </v>
      </c>
      <c r="M16" s="38" t="str">
        <f t="shared" si="3"/>
        <v xml:space="preserve"> </v>
      </c>
      <c r="N16" s="27" t="str">
        <f t="shared" si="32"/>
        <v xml:space="preserve">  </v>
      </c>
      <c r="O16" s="23" t="str">
        <f t="shared" si="33"/>
        <v xml:space="preserve">  </v>
      </c>
      <c r="P16" s="4"/>
      <c r="Q16" s="50" t="s">
        <v>47</v>
      </c>
      <c r="R16" s="48" t="s">
        <v>48</v>
      </c>
      <c r="S16" t="str">
        <f>IF(Tools!$L$49="Use 141 rule only",I40,IF(Tools!$L$49="Use 141 and 1331 rules",BG17," "))</f>
        <v xml:space="preserve">  </v>
      </c>
      <c r="W16" s="29">
        <f>IF(AO16="  ","  ",IF(AND(AO15="  ",AO17="  "),"?",IF(AO15="  ",1*(AO17-AO16),IF(AO17="  ",1*(AO16-AO15),1*(AO17-AO15)))))</f>
        <v>2</v>
      </c>
      <c r="X16" s="30" t="str">
        <f t="shared" si="4"/>
        <v>WW</v>
      </c>
      <c r="Y16" s="30" t="str">
        <f t="shared" si="5"/>
        <v>-</v>
      </c>
      <c r="Z16" s="29" t="b">
        <f t="shared" si="6"/>
        <v>0</v>
      </c>
      <c r="AA16" s="29" t="b">
        <f t="shared" si="7"/>
        <v>0</v>
      </c>
      <c r="AB16" s="29" t="str">
        <f t="shared" ca="1" si="8"/>
        <v>++</v>
      </c>
      <c r="AC16" s="29">
        <f t="shared" si="34"/>
        <v>13</v>
      </c>
      <c r="AD16" s="29">
        <f t="shared" ca="1" si="9"/>
        <v>13</v>
      </c>
      <c r="AE16" s="29">
        <v>13</v>
      </c>
      <c r="AF16" s="31">
        <f t="shared" si="42"/>
        <v>9</v>
      </c>
      <c r="AG16" s="29" t="b">
        <f t="shared" si="11"/>
        <v>1</v>
      </c>
      <c r="AH16" s="30" t="str">
        <f t="shared" ca="1" si="43"/>
        <v>141-2</v>
      </c>
      <c r="AI16" s="30" t="str">
        <f t="shared" ca="1" si="13"/>
        <v/>
      </c>
      <c r="AJ16" s="29">
        <f t="shared" ca="1" si="14"/>
        <v>0</v>
      </c>
      <c r="AK16" s="29" t="str">
        <f t="shared" ca="1" si="15"/>
        <v>2/3</v>
      </c>
      <c r="AL16" s="29">
        <f t="shared" ca="1" si="16"/>
        <v>0.66666666666666663</v>
      </c>
      <c r="AM16" s="32">
        <f t="shared" ca="1" si="35"/>
        <v>0.66666666666666663</v>
      </c>
      <c r="AO16" s="20">
        <f>Tools!$AD15</f>
        <v>10</v>
      </c>
      <c r="AP16" s="33" t="str">
        <f t="shared" si="36"/>
        <v xml:space="preserve">  </v>
      </c>
      <c r="AQ16" s="34" t="str">
        <f t="shared" ca="1" si="18"/>
        <v>2/3</v>
      </c>
      <c r="AR16" s="23" t="str">
        <f t="shared" ca="1" si="19"/>
        <v xml:space="preserve">  </v>
      </c>
      <c r="AS16" s="24">
        <f t="shared" si="20"/>
        <v>0</v>
      </c>
      <c r="AT16" s="23" t="str">
        <f t="shared" ca="1" si="37"/>
        <v xml:space="preserve">  </v>
      </c>
      <c r="AU16" s="23" t="str">
        <f t="shared" ca="1" si="40"/>
        <v xml:space="preserve">  </v>
      </c>
      <c r="AV16" s="23" t="str">
        <f t="shared" si="21"/>
        <v xml:space="preserve">  </v>
      </c>
      <c r="AW16" s="23" t="str">
        <f t="shared" ca="1" si="22"/>
        <v xml:space="preserve">  </v>
      </c>
      <c r="AY16" s="35" t="str">
        <f t="shared" si="23"/>
        <v xml:space="preserve"> </v>
      </c>
      <c r="AZ16" s="23" t="str">
        <f t="shared" ca="1" si="41"/>
        <v xml:space="preserve">  </v>
      </c>
      <c r="BA16" s="36" t="str">
        <f t="shared" si="25"/>
        <v xml:space="preserve"> </v>
      </c>
      <c r="BB16" s="27" t="str">
        <f t="shared" ca="1" si="38"/>
        <v xml:space="preserve">  </v>
      </c>
      <c r="BC16" s="23" t="str">
        <f ca="1">IFERROR(AZ16*AS16,"  ")</f>
        <v xml:space="preserve">  </v>
      </c>
      <c r="BE16" s="51" t="s">
        <v>44</v>
      </c>
      <c r="BF16" s="48" t="s">
        <v>49</v>
      </c>
      <c r="BG16" s="49" t="str">
        <f>IF(WL_No="  ","  ",2/3*h*$AW$29)</f>
        <v xml:space="preserve">  </v>
      </c>
    </row>
    <row r="17" spans="1:59" x14ac:dyDescent="0.25">
      <c r="A17" s="20">
        <f>Tools!$AD16</f>
        <v>11</v>
      </c>
      <c r="B17" s="33" t="str">
        <f t="shared" si="0"/>
        <v xml:space="preserve">  </v>
      </c>
      <c r="C17" s="22">
        <f>IF(A17="  ","  ",IF(AND(A16="  ",A18="  "),"?",IF(A16="  ",2*(A18-A17),IF(A18="  ",2*(A17-A16),2*(A18-A16)))))</f>
        <v>4</v>
      </c>
      <c r="D17" s="23" t="str">
        <f t="shared" si="26"/>
        <v xml:space="preserve">  </v>
      </c>
      <c r="E17" s="24">
        <f t="shared" si="1"/>
        <v>1</v>
      </c>
      <c r="F17" s="23" t="str">
        <f t="shared" si="27"/>
        <v xml:space="preserve">  </v>
      </c>
      <c r="G17" s="23" t="str">
        <f t="shared" si="28"/>
        <v xml:space="preserve">  </v>
      </c>
      <c r="H17" s="23" t="str">
        <f t="shared" si="29"/>
        <v xml:space="preserve">  </v>
      </c>
      <c r="I17" s="23" t="str">
        <f t="shared" si="30"/>
        <v xml:space="preserve">  </v>
      </c>
      <c r="J17" s="4"/>
      <c r="K17" s="37" t="str">
        <f t="shared" si="2"/>
        <v xml:space="preserve"> </v>
      </c>
      <c r="L17" s="23" t="str">
        <f t="shared" si="31"/>
        <v xml:space="preserve">  </v>
      </c>
      <c r="M17" s="38" t="str">
        <f t="shared" si="3"/>
        <v xml:space="preserve"> </v>
      </c>
      <c r="N17" s="27" t="str">
        <f t="shared" si="32"/>
        <v xml:space="preserve">  </v>
      </c>
      <c r="O17" s="23" t="str">
        <f t="shared" si="33"/>
        <v xml:space="preserve">  </v>
      </c>
      <c r="P17" s="4"/>
      <c r="Q17" s="50" t="s">
        <v>50</v>
      </c>
      <c r="R17" s="48" t="s">
        <v>51</v>
      </c>
      <c r="S17" t="str">
        <f>IF(Tools!$L$49="Use 141 rule only",I41,IF(Tools!$L$49="Use 141 and 1331 rules",BG18," "))</f>
        <v xml:space="preserve">  </v>
      </c>
      <c r="W17" s="29">
        <f>IF(AO17="  ","  ",IF(AND(AO16="  ",AO18="  "),"?",IF(AO16="  ",2*(AO18-AO17),IF(AO18="  ",2*(AO17-AO16),2*(AO18-AO16)))))</f>
        <v>4</v>
      </c>
      <c r="X17" s="30" t="str">
        <f t="shared" si="4"/>
        <v>WW</v>
      </c>
      <c r="Y17" s="30" t="str">
        <f t="shared" si="5"/>
        <v>-</v>
      </c>
      <c r="Z17" s="29" t="b">
        <f t="shared" si="6"/>
        <v>0</v>
      </c>
      <c r="AA17" s="29" t="b">
        <f t="shared" si="7"/>
        <v>0</v>
      </c>
      <c r="AB17" s="29" t="str">
        <f t="shared" ca="1" si="8"/>
        <v>++</v>
      </c>
      <c r="AC17" s="29">
        <f t="shared" si="34"/>
        <v>12</v>
      </c>
      <c r="AD17" s="29">
        <f t="shared" ca="1" si="9"/>
        <v>12</v>
      </c>
      <c r="AE17" s="29">
        <v>14</v>
      </c>
      <c r="AF17" s="31">
        <f t="shared" si="42"/>
        <v>10</v>
      </c>
      <c r="AG17" s="29" t="b">
        <f t="shared" si="11"/>
        <v>1</v>
      </c>
      <c r="AH17" s="30" t="str">
        <f t="shared" ca="1" si="43"/>
        <v>141-4</v>
      </c>
      <c r="AI17" s="30" t="str">
        <f t="shared" ca="1" si="13"/>
        <v/>
      </c>
      <c r="AJ17" s="29">
        <f t="shared" ca="1" si="14"/>
        <v>0</v>
      </c>
      <c r="AK17" s="29" t="str">
        <f t="shared" ca="1" si="15"/>
        <v>4/3</v>
      </c>
      <c r="AL17" s="29">
        <f t="shared" ca="1" si="16"/>
        <v>1.3333333333333333</v>
      </c>
      <c r="AM17" s="32">
        <f t="shared" ca="1" si="35"/>
        <v>1.3333333333333333</v>
      </c>
      <c r="AO17" s="20">
        <f>Tools!$AD16</f>
        <v>11</v>
      </c>
      <c r="AP17" s="33" t="str">
        <f t="shared" si="36"/>
        <v xml:space="preserve">  </v>
      </c>
      <c r="AQ17" s="34" t="str">
        <f t="shared" ca="1" si="18"/>
        <v>4/3</v>
      </c>
      <c r="AR17" s="23" t="str">
        <f t="shared" ca="1" si="19"/>
        <v xml:space="preserve">  </v>
      </c>
      <c r="AS17" s="24">
        <f t="shared" si="20"/>
        <v>1</v>
      </c>
      <c r="AT17" s="23" t="str">
        <f t="shared" ca="1" si="37"/>
        <v xml:space="preserve">  </v>
      </c>
      <c r="AU17" s="23" t="str">
        <f t="shared" ca="1" si="40"/>
        <v xml:space="preserve">  </v>
      </c>
      <c r="AV17" s="23" t="str">
        <f t="shared" si="21"/>
        <v xml:space="preserve">  </v>
      </c>
      <c r="AW17" s="23" t="str">
        <f t="shared" ca="1" si="22"/>
        <v xml:space="preserve">  </v>
      </c>
      <c r="AY17" s="35" t="str">
        <f t="shared" si="23"/>
        <v xml:space="preserve"> </v>
      </c>
      <c r="AZ17" s="23" t="str">
        <f t="shared" ca="1" si="41"/>
        <v xml:space="preserve">  </v>
      </c>
      <c r="BA17" s="36" t="str">
        <f t="shared" si="25"/>
        <v xml:space="preserve"> </v>
      </c>
      <c r="BB17" s="27" t="str">
        <f t="shared" ca="1" si="38"/>
        <v xml:space="preserve">  </v>
      </c>
      <c r="BC17" s="23" t="str">
        <f t="shared" ca="1" si="39"/>
        <v xml:space="preserve">  </v>
      </c>
      <c r="BE17" s="50" t="s">
        <v>47</v>
      </c>
      <c r="BF17" s="48" t="s">
        <v>48</v>
      </c>
      <c r="BG17" s="49" t="str">
        <f>IF(WL_No="  ","  ",IL-AWP*(LCF^2))</f>
        <v xml:space="preserve">  </v>
      </c>
    </row>
    <row r="18" spans="1:59" x14ac:dyDescent="0.25">
      <c r="A18" s="20">
        <f>Tools!$AD17</f>
        <v>12</v>
      </c>
      <c r="B18" s="33" t="str">
        <f t="shared" si="0"/>
        <v xml:space="preserve">  </v>
      </c>
      <c r="C18" s="22">
        <f>IF(A18="  ","  ",IF(AND(A17="  ",A19="  "),"?",IF(A17="  ",1*(A19-A18),IF(A19="  ",1*(A18-A17),1*(A19-A17)))))</f>
        <v>2</v>
      </c>
      <c r="D18" s="23" t="str">
        <f t="shared" si="26"/>
        <v xml:space="preserve">  </v>
      </c>
      <c r="E18" s="24">
        <f t="shared" si="1"/>
        <v>2</v>
      </c>
      <c r="F18" s="23" t="str">
        <f t="shared" si="27"/>
        <v xml:space="preserve">  </v>
      </c>
      <c r="G18" s="23" t="str">
        <f t="shared" si="28"/>
        <v xml:space="preserve">  </v>
      </c>
      <c r="H18" s="23" t="str">
        <f t="shared" si="29"/>
        <v xml:space="preserve">  </v>
      </c>
      <c r="I18" s="23" t="str">
        <f t="shared" si="30"/>
        <v xml:space="preserve">  </v>
      </c>
      <c r="J18" s="4"/>
      <c r="K18" s="37" t="str">
        <f t="shared" si="2"/>
        <v xml:space="preserve"> </v>
      </c>
      <c r="L18" s="23" t="str">
        <f t="shared" si="31"/>
        <v xml:space="preserve">  </v>
      </c>
      <c r="M18" s="38" t="str">
        <f t="shared" si="3"/>
        <v xml:space="preserve"> </v>
      </c>
      <c r="N18" s="27" t="str">
        <f t="shared" si="32"/>
        <v xml:space="preserve">  </v>
      </c>
      <c r="O18" s="23" t="str">
        <f t="shared" si="33"/>
        <v xml:space="preserve">  </v>
      </c>
      <c r="P18" s="4"/>
      <c r="Q18" s="50" t="s">
        <v>52</v>
      </c>
      <c r="R18" s="48" t="s">
        <v>53</v>
      </c>
      <c r="S18" t="str">
        <f>IF(Tools!$L$49="Use 141 rule only",I42,IF(Tools!$L$49="Use 141 and 1331 rules",BG19," "))</f>
        <v xml:space="preserve">  </v>
      </c>
      <c r="W18" s="29">
        <f>IF(AO18="  ","  ",IF(AND(AO17="  ",AO19="  "),"?",IF(AO17="  ",1*(AO19-AO18),IF(AO19="  ",1*(AO18-AO17),1*(AO19-AO17)))))</f>
        <v>2</v>
      </c>
      <c r="X18" s="30" t="str">
        <f t="shared" si="4"/>
        <v>WW</v>
      </c>
      <c r="Y18" s="30" t="str">
        <f t="shared" si="5"/>
        <v>-</v>
      </c>
      <c r="Z18" s="29" t="b">
        <f t="shared" si="6"/>
        <v>0</v>
      </c>
      <c r="AA18" s="29" t="b">
        <f t="shared" si="7"/>
        <v>0</v>
      </c>
      <c r="AB18" s="29" t="str">
        <f t="shared" ca="1" si="8"/>
        <v>++</v>
      </c>
      <c r="AC18" s="29">
        <f t="shared" si="34"/>
        <v>11</v>
      </c>
      <c r="AD18" s="29">
        <f t="shared" ca="1" si="9"/>
        <v>11</v>
      </c>
      <c r="AE18" s="29">
        <v>15</v>
      </c>
      <c r="AF18" s="31">
        <f t="shared" si="42"/>
        <v>11</v>
      </c>
      <c r="AG18" s="29" t="b">
        <f t="shared" si="11"/>
        <v>1</v>
      </c>
      <c r="AH18" s="30" t="str">
        <f t="shared" ca="1" si="43"/>
        <v>141-2</v>
      </c>
      <c r="AI18" s="30" t="str">
        <f t="shared" ca="1" si="13"/>
        <v/>
      </c>
      <c r="AJ18" s="29">
        <f t="shared" ca="1" si="14"/>
        <v>0</v>
      </c>
      <c r="AK18" s="29" t="str">
        <f t="shared" ca="1" si="15"/>
        <v>2/3</v>
      </c>
      <c r="AL18" s="29">
        <f t="shared" ca="1" si="16"/>
        <v>0.66666666666666663</v>
      </c>
      <c r="AM18" s="32">
        <f t="shared" ca="1" si="35"/>
        <v>0.66666666666666663</v>
      </c>
      <c r="AO18" s="20">
        <f>Tools!$AD17</f>
        <v>12</v>
      </c>
      <c r="AP18" s="33" t="str">
        <f t="shared" si="36"/>
        <v xml:space="preserve">  </v>
      </c>
      <c r="AQ18" s="34" t="str">
        <f t="shared" ca="1" si="18"/>
        <v>2/3</v>
      </c>
      <c r="AR18" s="23" t="str">
        <f t="shared" ca="1" si="19"/>
        <v xml:space="preserve">  </v>
      </c>
      <c r="AS18" s="24">
        <f t="shared" si="20"/>
        <v>2</v>
      </c>
      <c r="AT18" s="23" t="str">
        <f t="shared" ca="1" si="37"/>
        <v xml:space="preserve">  </v>
      </c>
      <c r="AU18" s="23" t="str">
        <f t="shared" ca="1" si="40"/>
        <v xml:space="preserve">  </v>
      </c>
      <c r="AV18" s="23" t="str">
        <f t="shared" si="21"/>
        <v xml:space="preserve">  </v>
      </c>
      <c r="AW18" s="23" t="str">
        <f t="shared" ca="1" si="22"/>
        <v xml:space="preserve">  </v>
      </c>
      <c r="AY18" s="35" t="str">
        <f t="shared" si="23"/>
        <v xml:space="preserve"> </v>
      </c>
      <c r="AZ18" s="23" t="str">
        <f t="shared" ca="1" si="41"/>
        <v xml:space="preserve">  </v>
      </c>
      <c r="BA18" s="36" t="str">
        <f t="shared" si="25"/>
        <v xml:space="preserve"> </v>
      </c>
      <c r="BB18" s="27" t="str">
        <f t="shared" ca="1" si="38"/>
        <v xml:space="preserve">  </v>
      </c>
      <c r="BC18" s="23" t="str">
        <f t="shared" ca="1" si="39"/>
        <v xml:space="preserve">  </v>
      </c>
      <c r="BE18" s="50" t="s">
        <v>50</v>
      </c>
      <c r="BF18" s="48" t="s">
        <v>54</v>
      </c>
      <c r="BG18" s="49" t="str">
        <f>IF(WL_No="  ","  ",h*$AZ$29)</f>
        <v xml:space="preserve">  </v>
      </c>
    </row>
    <row r="19" spans="1:59" x14ac:dyDescent="0.25">
      <c r="A19" s="20">
        <f>Tools!$AD18</f>
        <v>13</v>
      </c>
      <c r="B19" s="33" t="str">
        <f t="shared" si="0"/>
        <v xml:space="preserve">  </v>
      </c>
      <c r="C19" s="22">
        <f>IF(A19="  ","  ",IF(AND(A18="  ",A20="  "),"?",IF(A18="  ",2*(A20-A19),IF(A20="  ",2*(A19-A18),2*(A20-A18)))))</f>
        <v>4</v>
      </c>
      <c r="D19" s="23" t="str">
        <f t="shared" si="26"/>
        <v xml:space="preserve">  </v>
      </c>
      <c r="E19" s="24">
        <f t="shared" si="1"/>
        <v>3</v>
      </c>
      <c r="F19" s="23" t="str">
        <f t="shared" si="27"/>
        <v xml:space="preserve">  </v>
      </c>
      <c r="G19" s="23" t="str">
        <f t="shared" si="28"/>
        <v xml:space="preserve">  </v>
      </c>
      <c r="H19" s="23" t="str">
        <f t="shared" si="29"/>
        <v xml:space="preserve">  </v>
      </c>
      <c r="I19" s="23" t="str">
        <f t="shared" si="30"/>
        <v xml:space="preserve">  </v>
      </c>
      <c r="J19" s="4"/>
      <c r="K19" s="37" t="str">
        <f t="shared" si="2"/>
        <v xml:space="preserve"> </v>
      </c>
      <c r="L19" s="23" t="str">
        <f t="shared" si="31"/>
        <v xml:space="preserve">  </v>
      </c>
      <c r="M19" s="38" t="str">
        <f t="shared" si="3"/>
        <v xml:space="preserve"> </v>
      </c>
      <c r="N19" s="27" t="str">
        <f t="shared" si="32"/>
        <v xml:space="preserve">  </v>
      </c>
      <c r="O19" s="23" t="str">
        <f t="shared" si="33"/>
        <v xml:space="preserve">  </v>
      </c>
      <c r="P19" s="4"/>
      <c r="Q19" s="50" t="s">
        <v>55</v>
      </c>
      <c r="R19" s="48" t="s">
        <v>56</v>
      </c>
      <c r="S19" t="str">
        <f>IF(Tools!$L$49="Use 141 rule only",I43,IF(Tools!$L$49="Use 141 and 1331 rules",BG20," "))</f>
        <v xml:space="preserve">  </v>
      </c>
      <c r="W19" s="29">
        <f>IF(AO19="  ","  ",IF(AND(AO18="  ",AO20="  "),"?",IF(AO18="  ",2*(AO20-AO19),IF(AO20="  ",2*(AO19-AO18),2*(AO20-AO18)))))</f>
        <v>4</v>
      </c>
      <c r="X19" s="30" t="str">
        <f t="shared" si="4"/>
        <v>WW</v>
      </c>
      <c r="Y19" s="30" t="str">
        <f t="shared" si="5"/>
        <v>-</v>
      </c>
      <c r="Z19" s="29" t="b">
        <f t="shared" si="6"/>
        <v>0</v>
      </c>
      <c r="AA19" s="29" t="b">
        <f t="shared" si="7"/>
        <v>0</v>
      </c>
      <c r="AB19" s="29" t="str">
        <f t="shared" ca="1" si="8"/>
        <v>++</v>
      </c>
      <c r="AC19" s="29">
        <f t="shared" si="34"/>
        <v>10</v>
      </c>
      <c r="AD19" s="29">
        <f t="shared" ca="1" si="9"/>
        <v>10</v>
      </c>
      <c r="AE19" s="29">
        <v>16</v>
      </c>
      <c r="AF19" s="31">
        <f t="shared" si="42"/>
        <v>12</v>
      </c>
      <c r="AG19" s="29" t="b">
        <f t="shared" si="11"/>
        <v>1</v>
      </c>
      <c r="AH19" s="30" t="str">
        <f t="shared" ca="1" si="43"/>
        <v>141-4</v>
      </c>
      <c r="AI19" s="30" t="str">
        <f t="shared" ca="1" si="13"/>
        <v/>
      </c>
      <c r="AJ19" s="29">
        <f t="shared" ca="1" si="14"/>
        <v>0</v>
      </c>
      <c r="AK19" s="29" t="str">
        <f t="shared" ca="1" si="15"/>
        <v>4/3</v>
      </c>
      <c r="AL19" s="29">
        <f t="shared" ca="1" si="16"/>
        <v>1.3333333333333333</v>
      </c>
      <c r="AM19" s="32">
        <f t="shared" ca="1" si="35"/>
        <v>1.3333333333333333</v>
      </c>
      <c r="AO19" s="20">
        <f>Tools!$AD18</f>
        <v>13</v>
      </c>
      <c r="AP19" s="33" t="str">
        <f t="shared" si="36"/>
        <v xml:space="preserve">  </v>
      </c>
      <c r="AQ19" s="34" t="str">
        <f t="shared" ca="1" si="18"/>
        <v>4/3</v>
      </c>
      <c r="AR19" s="23" t="str">
        <f t="shared" ca="1" si="19"/>
        <v xml:space="preserve">  </v>
      </c>
      <c r="AS19" s="24">
        <f t="shared" si="20"/>
        <v>3</v>
      </c>
      <c r="AT19" s="23" t="str">
        <f t="shared" ca="1" si="37"/>
        <v xml:space="preserve">  </v>
      </c>
      <c r="AU19" s="23" t="str">
        <f t="shared" ca="1" si="40"/>
        <v xml:space="preserve">  </v>
      </c>
      <c r="AV19" s="23" t="str">
        <f t="shared" si="21"/>
        <v xml:space="preserve">  </v>
      </c>
      <c r="AW19" s="23" t="str">
        <f t="shared" ca="1" si="22"/>
        <v xml:space="preserve">  </v>
      </c>
      <c r="AY19" s="35" t="str">
        <f t="shared" si="23"/>
        <v xml:space="preserve"> </v>
      </c>
      <c r="AZ19" s="23" t="str">
        <f t="shared" ca="1" si="41"/>
        <v xml:space="preserve">  </v>
      </c>
      <c r="BA19" s="36" t="str">
        <f t="shared" si="25"/>
        <v xml:space="preserve"> </v>
      </c>
      <c r="BB19" s="27" t="str">
        <f t="shared" ca="1" si="38"/>
        <v xml:space="preserve">  </v>
      </c>
      <c r="BC19" s="23" t="str">
        <f t="shared" ca="1" si="39"/>
        <v xml:space="preserve">  </v>
      </c>
      <c r="BE19" s="50" t="s">
        <v>52</v>
      </c>
      <c r="BF19" s="48" t="s">
        <v>53</v>
      </c>
      <c r="BG19" s="49" t="str">
        <f>IF(WL_No="  ","  ",V_Disp*1.025*1.006)</f>
        <v xml:space="preserve">  </v>
      </c>
    </row>
    <row r="20" spans="1:59" x14ac:dyDescent="0.25">
      <c r="A20" s="20">
        <f>Tools!$AD19</f>
        <v>14</v>
      </c>
      <c r="B20" s="33" t="str">
        <f t="shared" si="0"/>
        <v xml:space="preserve">  </v>
      </c>
      <c r="C20" s="22">
        <f>IF(A20="  ","  ",IF(AND(A19="  ",A21="  "),"?",IF(A19="  ",1*(A21-A20),IF(A21="  ",1*(A20-A19),1*(A21-A19)))))</f>
        <v>2</v>
      </c>
      <c r="D20" s="23" t="str">
        <f t="shared" si="26"/>
        <v xml:space="preserve">  </v>
      </c>
      <c r="E20" s="24">
        <f t="shared" si="1"/>
        <v>4</v>
      </c>
      <c r="F20" s="23" t="str">
        <f t="shared" si="27"/>
        <v xml:space="preserve">  </v>
      </c>
      <c r="G20" s="23" t="str">
        <f t="shared" si="28"/>
        <v xml:space="preserve">  </v>
      </c>
      <c r="H20" s="23" t="str">
        <f t="shared" si="29"/>
        <v xml:space="preserve">  </v>
      </c>
      <c r="I20" s="23" t="str">
        <f t="shared" si="30"/>
        <v xml:space="preserve">  </v>
      </c>
      <c r="J20" s="4"/>
      <c r="K20" s="37" t="str">
        <f t="shared" si="2"/>
        <v xml:space="preserve"> </v>
      </c>
      <c r="L20" s="23" t="str">
        <f t="shared" si="31"/>
        <v xml:space="preserve">  </v>
      </c>
      <c r="M20" s="38" t="str">
        <f t="shared" si="3"/>
        <v xml:space="preserve"> </v>
      </c>
      <c r="N20" s="27" t="str">
        <f t="shared" si="32"/>
        <v xml:space="preserve">  </v>
      </c>
      <c r="O20" s="23" t="str">
        <f t="shared" si="33"/>
        <v xml:space="preserve">  </v>
      </c>
      <c r="P20" s="4"/>
      <c r="Q20" s="50" t="s">
        <v>57</v>
      </c>
      <c r="R20" s="48" t="s">
        <v>58</v>
      </c>
      <c r="S20" t="str">
        <f>IF(Tools!$L$49="Use 141 rule only",I44,IF(Tools!$L$49="Use 141 and 1331 rules",BG21," "))</f>
        <v xml:space="preserve">  </v>
      </c>
      <c r="W20" s="29">
        <f>IF(AO20="  ","  ",IF(AND(AO19="  ",AO21="  "),"?",IF(AO19="  ",1*(AO21-AO20),IF(AO21="  ",1*(AO20-AO19),1*(AO21-AO19)))))</f>
        <v>2</v>
      </c>
      <c r="X20" s="30" t="str">
        <f t="shared" si="4"/>
        <v>WW</v>
      </c>
      <c r="Y20" s="30" t="str">
        <f t="shared" si="5"/>
        <v>-</v>
      </c>
      <c r="Z20" s="29" t="b">
        <f t="shared" si="6"/>
        <v>0</v>
      </c>
      <c r="AA20" s="29" t="b">
        <f t="shared" si="7"/>
        <v>0</v>
      </c>
      <c r="AB20" s="29" t="str">
        <f t="shared" ca="1" si="8"/>
        <v>++</v>
      </c>
      <c r="AC20" s="29">
        <f t="shared" si="34"/>
        <v>9</v>
      </c>
      <c r="AD20" s="29">
        <f t="shared" ca="1" si="9"/>
        <v>9</v>
      </c>
      <c r="AE20" s="29">
        <v>17</v>
      </c>
      <c r="AF20" s="31">
        <f t="shared" si="42"/>
        <v>13</v>
      </c>
      <c r="AG20" s="29" t="b">
        <f t="shared" si="11"/>
        <v>1</v>
      </c>
      <c r="AH20" s="30" t="str">
        <f t="shared" ca="1" si="43"/>
        <v>141-2</v>
      </c>
      <c r="AI20" s="30" t="str">
        <f t="shared" ca="1" si="13"/>
        <v/>
      </c>
      <c r="AJ20" s="29">
        <f t="shared" ca="1" si="14"/>
        <v>0</v>
      </c>
      <c r="AK20" s="29" t="str">
        <f t="shared" ca="1" si="15"/>
        <v>2/3</v>
      </c>
      <c r="AL20" s="29">
        <f t="shared" ca="1" si="16"/>
        <v>0.66666666666666663</v>
      </c>
      <c r="AM20" s="32">
        <f t="shared" ca="1" si="35"/>
        <v>0.66666666666666663</v>
      </c>
      <c r="AO20" s="20">
        <f>Tools!$AD19</f>
        <v>14</v>
      </c>
      <c r="AP20" s="33" t="str">
        <f t="shared" si="36"/>
        <v xml:space="preserve">  </v>
      </c>
      <c r="AQ20" s="34" t="str">
        <f t="shared" ca="1" si="18"/>
        <v>2/3</v>
      </c>
      <c r="AR20" s="23" t="str">
        <f t="shared" ca="1" si="19"/>
        <v xml:space="preserve">  </v>
      </c>
      <c r="AS20" s="24">
        <f t="shared" si="20"/>
        <v>4</v>
      </c>
      <c r="AT20" s="23" t="str">
        <f t="shared" ca="1" si="37"/>
        <v xml:space="preserve">  </v>
      </c>
      <c r="AU20" s="23" t="str">
        <f t="shared" ca="1" si="40"/>
        <v xml:space="preserve">  </v>
      </c>
      <c r="AV20" s="23" t="str">
        <f t="shared" si="21"/>
        <v xml:space="preserve">  </v>
      </c>
      <c r="AW20" s="23" t="str">
        <f t="shared" ca="1" si="22"/>
        <v xml:space="preserve">  </v>
      </c>
      <c r="AY20" s="35" t="str">
        <f t="shared" si="23"/>
        <v xml:space="preserve"> </v>
      </c>
      <c r="AZ20" s="23" t="str">
        <f t="shared" ca="1" si="41"/>
        <v xml:space="preserve">  </v>
      </c>
      <c r="BA20" s="36" t="str">
        <f t="shared" si="25"/>
        <v xml:space="preserve"> </v>
      </c>
      <c r="BB20" s="27" t="str">
        <f t="shared" ca="1" si="38"/>
        <v xml:space="preserve">  </v>
      </c>
      <c r="BC20" s="23" t="str">
        <f t="shared" ca="1" si="39"/>
        <v xml:space="preserve">  </v>
      </c>
      <c r="BE20" s="50" t="s">
        <v>55</v>
      </c>
      <c r="BF20" s="48" t="s">
        <v>59</v>
      </c>
      <c r="BG20" s="49" t="str">
        <f>IF(WL_No="  ","  ",h*$BB$29)</f>
        <v xml:space="preserve">  </v>
      </c>
    </row>
    <row r="21" spans="1:59" x14ac:dyDescent="0.25">
      <c r="A21" s="20">
        <f>Tools!$AD20</f>
        <v>15</v>
      </c>
      <c r="B21" s="33" t="str">
        <f t="shared" si="0"/>
        <v xml:space="preserve">  </v>
      </c>
      <c r="C21" s="22">
        <f>IF(A21="  ","  ",IF(AND(A20="  ",A22="  "),"?",IF(A20="  ",2*(A22-A21),IF(A22="  ",2*(A21-A20),2*(A22-A20)))))</f>
        <v>4</v>
      </c>
      <c r="D21" s="23" t="str">
        <f t="shared" si="26"/>
        <v xml:space="preserve">  </v>
      </c>
      <c r="E21" s="24">
        <f t="shared" si="1"/>
        <v>5</v>
      </c>
      <c r="F21" s="23" t="str">
        <f t="shared" si="27"/>
        <v xml:space="preserve">  </v>
      </c>
      <c r="G21" s="23" t="str">
        <f t="shared" si="28"/>
        <v xml:space="preserve">  </v>
      </c>
      <c r="H21" s="23" t="str">
        <f t="shared" si="29"/>
        <v xml:space="preserve">  </v>
      </c>
      <c r="I21" s="23" t="str">
        <f t="shared" si="30"/>
        <v xml:space="preserve">  </v>
      </c>
      <c r="J21" s="4"/>
      <c r="K21" s="37" t="str">
        <f t="shared" si="2"/>
        <v xml:space="preserve"> </v>
      </c>
      <c r="L21" s="23" t="str">
        <f t="shared" si="31"/>
        <v xml:space="preserve">  </v>
      </c>
      <c r="M21" s="38" t="str">
        <f t="shared" si="3"/>
        <v xml:space="preserve"> </v>
      </c>
      <c r="N21" s="27" t="str">
        <f t="shared" si="32"/>
        <v xml:space="preserve">  </v>
      </c>
      <c r="O21" s="23" t="str">
        <f t="shared" si="33"/>
        <v xml:space="preserve">  </v>
      </c>
      <c r="P21" s="4"/>
      <c r="Q21" s="50" t="s">
        <v>60</v>
      </c>
      <c r="R21" s="48" t="s">
        <v>61</v>
      </c>
      <c r="S21" t="str">
        <f>IF(Tools!$L$49="Use 141 rule only",I45,IF(Tools!$L$49="Use 141 and 1331 rules",BG22," "))</f>
        <v xml:space="preserve">  </v>
      </c>
      <c r="W21" s="29">
        <f>IF(AO21="  ","  ",IF(AND(AO20="  ",AO22="  "),"?",IF(AO20="  ",2*(AO22-AO21),IF(AO22="  ",2*(AO21-AO20),2*(AO22-AO20)))))</f>
        <v>4</v>
      </c>
      <c r="X21" s="30" t="str">
        <f t="shared" si="4"/>
        <v>WW</v>
      </c>
      <c r="Y21" s="30" t="str">
        <f t="shared" si="5"/>
        <v>-</v>
      </c>
      <c r="Z21" s="29" t="b">
        <f t="shared" si="6"/>
        <v>0</v>
      </c>
      <c r="AA21" s="29" t="b">
        <f t="shared" si="7"/>
        <v>0</v>
      </c>
      <c r="AB21" s="29" t="str">
        <f t="shared" ca="1" si="8"/>
        <v>++</v>
      </c>
      <c r="AC21" s="29">
        <f t="shared" si="34"/>
        <v>8</v>
      </c>
      <c r="AD21" s="29">
        <f t="shared" ca="1" si="9"/>
        <v>8</v>
      </c>
      <c r="AE21" s="29">
        <v>18</v>
      </c>
      <c r="AF21" s="31">
        <f t="shared" si="42"/>
        <v>14</v>
      </c>
      <c r="AG21" s="29" t="b">
        <f t="shared" si="11"/>
        <v>1</v>
      </c>
      <c r="AH21" s="30" t="str">
        <f t="shared" ca="1" si="43"/>
        <v>141-4</v>
      </c>
      <c r="AI21" s="30" t="str">
        <f t="shared" ca="1" si="13"/>
        <v/>
      </c>
      <c r="AJ21" s="29">
        <f t="shared" ca="1" si="14"/>
        <v>0</v>
      </c>
      <c r="AK21" s="29" t="str">
        <f t="shared" ca="1" si="15"/>
        <v>4/3</v>
      </c>
      <c r="AL21" s="29">
        <f t="shared" ca="1" si="16"/>
        <v>1.3333333333333333</v>
      </c>
      <c r="AM21" s="32">
        <f t="shared" ca="1" si="35"/>
        <v>1.3333333333333333</v>
      </c>
      <c r="AO21" s="20">
        <f>Tools!$AD20</f>
        <v>15</v>
      </c>
      <c r="AP21" s="33" t="str">
        <f t="shared" si="36"/>
        <v xml:space="preserve">  </v>
      </c>
      <c r="AQ21" s="34" t="str">
        <f t="shared" ca="1" si="18"/>
        <v>4/3</v>
      </c>
      <c r="AR21" s="23" t="str">
        <f t="shared" ca="1" si="19"/>
        <v xml:space="preserve">  </v>
      </c>
      <c r="AS21" s="24">
        <f t="shared" si="20"/>
        <v>5</v>
      </c>
      <c r="AT21" s="23" t="str">
        <f t="shared" ca="1" si="37"/>
        <v xml:space="preserve">  </v>
      </c>
      <c r="AU21" s="23" t="str">
        <f t="shared" ca="1" si="40"/>
        <v xml:space="preserve">  </v>
      </c>
      <c r="AV21" s="23" t="str">
        <f t="shared" si="21"/>
        <v xml:space="preserve">  </v>
      </c>
      <c r="AW21" s="23" t="str">
        <f t="shared" ca="1" si="22"/>
        <v xml:space="preserve">  </v>
      </c>
      <c r="AY21" s="35" t="str">
        <f t="shared" si="23"/>
        <v xml:space="preserve"> </v>
      </c>
      <c r="AZ21" s="23" t="str">
        <f t="shared" ca="1" si="41"/>
        <v xml:space="preserve">  </v>
      </c>
      <c r="BA21" s="36" t="str">
        <f t="shared" si="25"/>
        <v xml:space="preserve"> </v>
      </c>
      <c r="BB21" s="27" t="str">
        <f t="shared" ca="1" si="38"/>
        <v xml:space="preserve">  </v>
      </c>
      <c r="BC21" s="23" t="str">
        <f t="shared" ca="1" si="39"/>
        <v xml:space="preserve">  </v>
      </c>
      <c r="BE21" s="50" t="s">
        <v>57</v>
      </c>
      <c r="BF21" s="48" t="s">
        <v>62</v>
      </c>
      <c r="BG21" s="49" t="str">
        <f>IF(WL_No="  ","  ",(h^2)*$BC$29)</f>
        <v xml:space="preserve">  </v>
      </c>
    </row>
    <row r="22" spans="1:59" x14ac:dyDescent="0.25">
      <c r="A22" s="20">
        <f>Tools!$AD21</f>
        <v>16</v>
      </c>
      <c r="B22" s="33" t="str">
        <f t="shared" si="0"/>
        <v xml:space="preserve">  </v>
      </c>
      <c r="C22" s="22">
        <f>IF(A22="  ","  ",IF(AND(A21="  ",A23="  "),"?",IF(A21="  ",1*(A23-A22),IF(A23="  ",1*(A22-A21),1*(A23-A21)))))</f>
        <v>2</v>
      </c>
      <c r="D22" s="23" t="str">
        <f t="shared" si="26"/>
        <v xml:space="preserve">  </v>
      </c>
      <c r="E22" s="24">
        <f t="shared" si="1"/>
        <v>6</v>
      </c>
      <c r="F22" s="23" t="str">
        <f t="shared" si="27"/>
        <v xml:space="preserve">  </v>
      </c>
      <c r="G22" s="23" t="str">
        <f t="shared" si="28"/>
        <v xml:space="preserve">  </v>
      </c>
      <c r="H22" s="23" t="str">
        <f t="shared" si="29"/>
        <v xml:space="preserve">  </v>
      </c>
      <c r="I22" s="23" t="str">
        <f t="shared" si="30"/>
        <v xml:space="preserve">  </v>
      </c>
      <c r="J22" s="4"/>
      <c r="K22" s="37" t="str">
        <f t="shared" si="2"/>
        <v xml:space="preserve"> </v>
      </c>
      <c r="L22" s="23" t="str">
        <f t="shared" si="31"/>
        <v xml:space="preserve">  </v>
      </c>
      <c r="M22" s="38" t="str">
        <f t="shared" si="3"/>
        <v xml:space="preserve"> </v>
      </c>
      <c r="N22" s="27" t="str">
        <f t="shared" si="32"/>
        <v xml:space="preserve">  </v>
      </c>
      <c r="O22" s="23" t="str">
        <f t="shared" si="33"/>
        <v xml:space="preserve">  </v>
      </c>
      <c r="P22" s="4"/>
      <c r="Q22" s="50" t="s">
        <v>63</v>
      </c>
      <c r="R22" s="48" t="s">
        <v>64</v>
      </c>
      <c r="S22" t="str">
        <f>IF(Tools!$L$49="Use 141 rule only",I46,IF(Tools!$L$49="Use 141 and 1331 rules",BG23," "))</f>
        <v xml:space="preserve">  </v>
      </c>
      <c r="W22" s="29">
        <f>IF(AO22="  ","  ",IF(AND(AO21="  ",AO23="  "),"?",IF(AO21="  ",1*(AO23-AO22),IF(AO23="  ",1*(AO22-AO21),1*(AO23-AO21)))))</f>
        <v>2</v>
      </c>
      <c r="X22" s="30" t="str">
        <f t="shared" si="4"/>
        <v>WW</v>
      </c>
      <c r="Y22" s="30" t="str">
        <f t="shared" si="5"/>
        <v>-</v>
      </c>
      <c r="Z22" s="29" t="b">
        <f t="shared" si="6"/>
        <v>0</v>
      </c>
      <c r="AA22" s="29" t="b">
        <f t="shared" si="7"/>
        <v>0</v>
      </c>
      <c r="AB22" s="29" t="str">
        <f t="shared" ca="1" si="8"/>
        <v>++</v>
      </c>
      <c r="AC22" s="29">
        <f t="shared" si="34"/>
        <v>7</v>
      </c>
      <c r="AD22" s="29">
        <f t="shared" ca="1" si="9"/>
        <v>7</v>
      </c>
      <c r="AE22" s="29">
        <v>19</v>
      </c>
      <c r="AF22" s="31">
        <f t="shared" si="42"/>
        <v>15</v>
      </c>
      <c r="AG22" s="29" t="b">
        <f t="shared" si="11"/>
        <v>1</v>
      </c>
      <c r="AH22" s="30" t="str">
        <f t="shared" ca="1" si="43"/>
        <v>141-2</v>
      </c>
      <c r="AI22" s="30" t="str">
        <f t="shared" ca="1" si="13"/>
        <v/>
      </c>
      <c r="AJ22" s="29">
        <f t="shared" ca="1" si="14"/>
        <v>0</v>
      </c>
      <c r="AK22" s="29" t="str">
        <f t="shared" ca="1" si="15"/>
        <v>2/3</v>
      </c>
      <c r="AL22" s="29">
        <f t="shared" ca="1" si="16"/>
        <v>0.66666666666666663</v>
      </c>
      <c r="AM22" s="32">
        <f t="shared" ca="1" si="35"/>
        <v>0.66666666666666663</v>
      </c>
      <c r="AO22" s="20">
        <f>Tools!$AD21</f>
        <v>16</v>
      </c>
      <c r="AP22" s="33" t="str">
        <f t="shared" si="36"/>
        <v xml:space="preserve">  </v>
      </c>
      <c r="AQ22" s="34" t="str">
        <f t="shared" ca="1" si="18"/>
        <v>2/3</v>
      </c>
      <c r="AR22" s="23" t="str">
        <f t="shared" ca="1" si="19"/>
        <v xml:space="preserve">  </v>
      </c>
      <c r="AS22" s="24">
        <f t="shared" si="20"/>
        <v>6</v>
      </c>
      <c r="AT22" s="23" t="str">
        <f t="shared" ca="1" si="37"/>
        <v xml:space="preserve">  </v>
      </c>
      <c r="AU22" s="23" t="str">
        <f t="shared" ca="1" si="40"/>
        <v xml:space="preserve">  </v>
      </c>
      <c r="AV22" s="23" t="str">
        <f t="shared" si="21"/>
        <v xml:space="preserve">  </v>
      </c>
      <c r="AW22" s="23" t="str">
        <f t="shared" ca="1" si="22"/>
        <v xml:space="preserve">  </v>
      </c>
      <c r="AY22" s="35" t="str">
        <f t="shared" si="23"/>
        <v xml:space="preserve"> </v>
      </c>
      <c r="AZ22" s="23" t="str">
        <f t="shared" ca="1" si="41"/>
        <v xml:space="preserve">  </v>
      </c>
      <c r="BA22" s="36" t="str">
        <f t="shared" si="25"/>
        <v xml:space="preserve"> </v>
      </c>
      <c r="BB22" s="27" t="str">
        <f t="shared" ca="1" si="38"/>
        <v xml:space="preserve">  </v>
      </c>
      <c r="BC22" s="23" t="str">
        <f t="shared" ca="1" si="39"/>
        <v xml:space="preserve">  </v>
      </c>
      <c r="BE22" s="50" t="s">
        <v>60</v>
      </c>
      <c r="BF22" s="48" t="s">
        <v>61</v>
      </c>
      <c r="BG22" s="49" t="str">
        <f>IF(WL_No="  ","  ",IF/V_Disp)</f>
        <v xml:space="preserve">  </v>
      </c>
    </row>
    <row r="23" spans="1:59" x14ac:dyDescent="0.25">
      <c r="A23" s="20">
        <f>Tools!$AD22</f>
        <v>17</v>
      </c>
      <c r="B23" s="33" t="str">
        <f t="shared" si="0"/>
        <v xml:space="preserve">  </v>
      </c>
      <c r="C23" s="22">
        <f>IF(A23="  ","  ",IF(AND(A22="  ",A24="  "),"?",IF(A22="  ",2*(A24-A23),IF(A24="  ",2*(A23-A22),2*(A24-A22)))))</f>
        <v>4</v>
      </c>
      <c r="D23" s="23" t="str">
        <f t="shared" si="26"/>
        <v xml:space="preserve">  </v>
      </c>
      <c r="E23" s="24">
        <f t="shared" si="1"/>
        <v>7</v>
      </c>
      <c r="F23" s="23" t="str">
        <f t="shared" si="27"/>
        <v xml:space="preserve">  </v>
      </c>
      <c r="G23" s="23" t="str">
        <f t="shared" si="28"/>
        <v xml:space="preserve">  </v>
      </c>
      <c r="H23" s="23" t="str">
        <f t="shared" si="29"/>
        <v xml:space="preserve">  </v>
      </c>
      <c r="I23" s="23" t="str">
        <f t="shared" si="30"/>
        <v xml:space="preserve">  </v>
      </c>
      <c r="J23" s="4"/>
      <c r="K23" s="37" t="str">
        <f t="shared" si="2"/>
        <v xml:space="preserve"> </v>
      </c>
      <c r="L23" s="23" t="str">
        <f t="shared" si="31"/>
        <v xml:space="preserve">  </v>
      </c>
      <c r="M23" s="38" t="str">
        <f t="shared" si="3"/>
        <v xml:space="preserve"> </v>
      </c>
      <c r="N23" s="27" t="str">
        <f t="shared" si="32"/>
        <v xml:space="preserve">  </v>
      </c>
      <c r="O23" s="23" t="str">
        <f t="shared" si="33"/>
        <v xml:space="preserve">  </v>
      </c>
      <c r="P23" s="4"/>
      <c r="Q23" s="50" t="s">
        <v>65</v>
      </c>
      <c r="R23" s="48" t="s">
        <v>66</v>
      </c>
      <c r="S23" t="str">
        <f>IF(Tools!$L$49="Use 141 rule only",I47,IF(Tools!$L$49="Use 141 and 1331 rules",BG24," "))</f>
        <v xml:space="preserve">  </v>
      </c>
      <c r="W23" s="29">
        <f>IF(AO23="  ","  ",IF(AND(AO22="  ",AO24="  "),"?",IF(AO22="  ",2*(AO24-AO23),IF(AO24="  ",2*(AO23-AO22),2*(AO24-AO22)))))</f>
        <v>4</v>
      </c>
      <c r="X23" s="30" t="str">
        <f t="shared" si="4"/>
        <v>WW</v>
      </c>
      <c r="Y23" s="30" t="str">
        <f t="shared" si="5"/>
        <v>-</v>
      </c>
      <c r="Z23" s="29" t="b">
        <f t="shared" si="6"/>
        <v>0</v>
      </c>
      <c r="AA23" s="29" t="b">
        <f t="shared" si="7"/>
        <v>0</v>
      </c>
      <c r="AB23" s="29" t="str">
        <f t="shared" ca="1" si="8"/>
        <v>++</v>
      </c>
      <c r="AC23" s="29">
        <f t="shared" si="34"/>
        <v>6</v>
      </c>
      <c r="AD23" s="29">
        <f t="shared" ca="1" si="9"/>
        <v>6</v>
      </c>
      <c r="AE23" s="29">
        <v>20</v>
      </c>
      <c r="AF23" s="31">
        <f t="shared" si="42"/>
        <v>16</v>
      </c>
      <c r="AG23" s="29" t="b">
        <f t="shared" si="11"/>
        <v>1</v>
      </c>
      <c r="AH23" s="30" t="str">
        <f t="shared" ca="1" si="43"/>
        <v>141-4</v>
      </c>
      <c r="AI23" s="30" t="str">
        <f t="shared" ca="1" si="13"/>
        <v/>
      </c>
      <c r="AJ23" s="29">
        <f t="shared" ca="1" si="14"/>
        <v>0</v>
      </c>
      <c r="AK23" s="29" t="str">
        <f t="shared" ca="1" si="15"/>
        <v>4/3</v>
      </c>
      <c r="AL23" s="29">
        <f t="shared" ca="1" si="16"/>
        <v>1.3333333333333333</v>
      </c>
      <c r="AM23" s="32">
        <f t="shared" ca="1" si="35"/>
        <v>1.3333333333333333</v>
      </c>
      <c r="AO23" s="20">
        <f>Tools!$AD22</f>
        <v>17</v>
      </c>
      <c r="AP23" s="33" t="str">
        <f t="shared" si="36"/>
        <v xml:space="preserve">  </v>
      </c>
      <c r="AQ23" s="34" t="str">
        <f t="shared" ca="1" si="18"/>
        <v>4/3</v>
      </c>
      <c r="AR23" s="23" t="str">
        <f t="shared" ca="1" si="19"/>
        <v xml:space="preserve">  </v>
      </c>
      <c r="AS23" s="24">
        <f t="shared" si="20"/>
        <v>7</v>
      </c>
      <c r="AT23" s="23" t="str">
        <f t="shared" ca="1" si="37"/>
        <v xml:space="preserve">  </v>
      </c>
      <c r="AU23" s="23" t="str">
        <f t="shared" ca="1" si="40"/>
        <v xml:space="preserve">  </v>
      </c>
      <c r="AV23" s="23" t="str">
        <f t="shared" si="21"/>
        <v xml:space="preserve">  </v>
      </c>
      <c r="AW23" s="23" t="str">
        <f t="shared" ca="1" si="22"/>
        <v xml:space="preserve">  </v>
      </c>
      <c r="AY23" s="35" t="str">
        <f t="shared" si="23"/>
        <v xml:space="preserve"> </v>
      </c>
      <c r="AZ23" s="23" t="str">
        <f t="shared" ca="1" si="41"/>
        <v xml:space="preserve">  </v>
      </c>
      <c r="BA23" s="36" t="str">
        <f t="shared" si="25"/>
        <v xml:space="preserve"> </v>
      </c>
      <c r="BB23" s="27" t="str">
        <f t="shared" ca="1" si="38"/>
        <v xml:space="preserve">  </v>
      </c>
      <c r="BC23" s="23" t="str">
        <f t="shared" ca="1" si="39"/>
        <v xml:space="preserve">  </v>
      </c>
      <c r="BE23" s="50" t="s">
        <v>63</v>
      </c>
      <c r="BF23" s="48" t="s">
        <v>64</v>
      </c>
      <c r="BG23" s="49" t="str">
        <f>IF(WL_No="  ","  ",IT/V_Disp)</f>
        <v xml:space="preserve">  </v>
      </c>
    </row>
    <row r="24" spans="1:59" x14ac:dyDescent="0.25">
      <c r="A24" s="20">
        <f>Tools!$AD23</f>
        <v>18</v>
      </c>
      <c r="B24" s="33" t="str">
        <f t="shared" si="0"/>
        <v xml:space="preserve">  </v>
      </c>
      <c r="C24" s="22">
        <f>IF(A24="  ","  ",IF(AND(A23="  ",A25="  "),"?",IF(A23="  ",1*(A25-A24),IF(A25="  ",1*(A24-A23),1*(A25-A23)))))</f>
        <v>1.5</v>
      </c>
      <c r="D24" s="23" t="str">
        <f t="shared" si="26"/>
        <v xml:space="preserve">  </v>
      </c>
      <c r="E24" s="24">
        <f t="shared" si="1"/>
        <v>8</v>
      </c>
      <c r="F24" s="23" t="str">
        <f t="shared" si="27"/>
        <v xml:space="preserve">  </v>
      </c>
      <c r="G24" s="23" t="str">
        <f t="shared" si="28"/>
        <v xml:space="preserve">  </v>
      </c>
      <c r="H24" s="23" t="str">
        <f t="shared" si="29"/>
        <v xml:space="preserve">  </v>
      </c>
      <c r="I24" s="23" t="str">
        <f t="shared" si="30"/>
        <v xml:space="preserve">  </v>
      </c>
      <c r="J24" s="4"/>
      <c r="K24" s="37" t="str">
        <f t="shared" si="2"/>
        <v xml:space="preserve"> </v>
      </c>
      <c r="L24" s="23" t="str">
        <f t="shared" si="31"/>
        <v xml:space="preserve">  </v>
      </c>
      <c r="M24" s="38" t="str">
        <f t="shared" si="3"/>
        <v xml:space="preserve"> </v>
      </c>
      <c r="N24" s="27" t="str">
        <f t="shared" si="32"/>
        <v xml:space="preserve">  </v>
      </c>
      <c r="O24" s="23" t="str">
        <f t="shared" si="33"/>
        <v xml:space="preserve">  </v>
      </c>
      <c r="P24" s="4"/>
      <c r="Q24" s="50" t="s">
        <v>67</v>
      </c>
      <c r="R24" s="48" t="s">
        <v>68</v>
      </c>
      <c r="S24" t="str">
        <f>IF(Tools!$L$49="Use 141 rule only",I48,IF(Tools!$L$49="Use 141 and 1331 rules",BG25," "))</f>
        <v xml:space="preserve">  </v>
      </c>
      <c r="W24" s="29">
        <f>IF(AO24="  ","  ",IF(AND(AO23="  ",AO25="  "),"?",IF(AO23="  ",1*(AO25-AO24),IF(AO25="  ",1*(AO24-AO23),1*(AO25-AO23)))))</f>
        <v>1.5</v>
      </c>
      <c r="X24" s="30" t="str">
        <f t="shared" si="4"/>
        <v>WD</v>
      </c>
      <c r="Y24" s="30" t="str">
        <f t="shared" si="5"/>
        <v>-</v>
      </c>
      <c r="Z24" s="29" t="b">
        <f t="shared" si="6"/>
        <v>1</v>
      </c>
      <c r="AA24" s="29" t="b">
        <f t="shared" si="7"/>
        <v>1</v>
      </c>
      <c r="AB24" s="29" t="str">
        <f t="shared" ca="1" si="8"/>
        <v>141-1</v>
      </c>
      <c r="AC24" s="29">
        <f t="shared" si="34"/>
        <v>5</v>
      </c>
      <c r="AD24" s="29">
        <f t="shared" ca="1" si="9"/>
        <v>5</v>
      </c>
      <c r="AE24" s="29">
        <v>21</v>
      </c>
      <c r="AF24" s="31">
        <f t="shared" si="42"/>
        <v>17</v>
      </c>
      <c r="AG24" s="29" t="b">
        <f t="shared" si="11"/>
        <v>1</v>
      </c>
      <c r="AH24" s="30" t="str">
        <f t="shared" ca="1" si="43"/>
        <v>141-1</v>
      </c>
      <c r="AI24" s="30" t="str">
        <f t="shared" ca="1" si="13"/>
        <v>(1/2)*(1/3)</v>
      </c>
      <c r="AJ24" s="29">
        <f t="shared" ca="1" si="14"/>
        <v>0.16666666666666666</v>
      </c>
      <c r="AK24" s="29" t="str">
        <f t="shared" ca="1" si="15"/>
        <v>1/3</v>
      </c>
      <c r="AL24" s="29">
        <f t="shared" ca="1" si="16"/>
        <v>0.33333333333333331</v>
      </c>
      <c r="AM24" s="32">
        <f t="shared" ca="1" si="35"/>
        <v>0.5</v>
      </c>
      <c r="AO24" s="20">
        <f>Tools!$AD23</f>
        <v>18</v>
      </c>
      <c r="AP24" s="33" t="str">
        <f t="shared" si="36"/>
        <v xml:space="preserve">  </v>
      </c>
      <c r="AQ24" s="34" t="str">
        <f t="shared" ca="1" si="18"/>
        <v>(1/2)*(1/3)+1/3</v>
      </c>
      <c r="AR24" s="23" t="str">
        <f t="shared" ca="1" si="19"/>
        <v xml:space="preserve">  </v>
      </c>
      <c r="AS24" s="24">
        <f t="shared" si="20"/>
        <v>8</v>
      </c>
      <c r="AT24" s="23" t="str">
        <f t="shared" ca="1" si="37"/>
        <v xml:space="preserve">  </v>
      </c>
      <c r="AU24" s="23" t="str">
        <f t="shared" ca="1" si="40"/>
        <v xml:space="preserve">  </v>
      </c>
      <c r="AV24" s="23" t="str">
        <f t="shared" si="21"/>
        <v xml:space="preserve">  </v>
      </c>
      <c r="AW24" s="23" t="str">
        <f t="shared" ca="1" si="22"/>
        <v xml:space="preserve">  </v>
      </c>
      <c r="AY24" s="35" t="str">
        <f t="shared" si="23"/>
        <v xml:space="preserve"> </v>
      </c>
      <c r="AZ24" s="23" t="str">
        <f t="shared" ca="1" si="41"/>
        <v xml:space="preserve">  </v>
      </c>
      <c r="BA24" s="36" t="str">
        <f t="shared" si="25"/>
        <v xml:space="preserve"> </v>
      </c>
      <c r="BB24" s="27" t="str">
        <f t="shared" ca="1" si="38"/>
        <v xml:space="preserve">  </v>
      </c>
      <c r="BC24" s="23" t="str">
        <f t="shared" ca="1" si="39"/>
        <v xml:space="preserve">  </v>
      </c>
      <c r="BE24" s="50" t="s">
        <v>65</v>
      </c>
      <c r="BF24" s="48" t="s">
        <v>66</v>
      </c>
      <c r="BG24" s="49" t="str">
        <f>IF(WL_No="  ","  ",MT/V_Disp)</f>
        <v xml:space="preserve">  </v>
      </c>
    </row>
    <row r="25" spans="1:59" x14ac:dyDescent="0.25">
      <c r="A25" s="20">
        <f>Tools!$AD24</f>
        <v>18.5</v>
      </c>
      <c r="B25" s="33" t="str">
        <f t="shared" si="0"/>
        <v xml:space="preserve">  </v>
      </c>
      <c r="C25" s="22">
        <f>IF(A25="  ","  ",IF(AND(A24="  ",A26="  "),"?",IF(A24="  ",2*(A26-A25),IF(A26="  ",2*(A25-A24),2*(A26-A24)))))</f>
        <v>2</v>
      </c>
      <c r="D25" s="23" t="str">
        <f t="shared" si="26"/>
        <v xml:space="preserve">  </v>
      </c>
      <c r="E25" s="24">
        <f t="shared" si="1"/>
        <v>8.5</v>
      </c>
      <c r="F25" s="23" t="str">
        <f t="shared" si="27"/>
        <v xml:space="preserve">  </v>
      </c>
      <c r="G25" s="23" t="str">
        <f t="shared" si="28"/>
        <v xml:space="preserve">  </v>
      </c>
      <c r="H25" s="23" t="str">
        <f t="shared" si="29"/>
        <v xml:space="preserve">  </v>
      </c>
      <c r="I25" s="23" t="str">
        <f t="shared" si="30"/>
        <v xml:space="preserve">  </v>
      </c>
      <c r="J25" s="4"/>
      <c r="K25" s="37" t="str">
        <f t="shared" si="2"/>
        <v xml:space="preserve"> </v>
      </c>
      <c r="L25" s="23" t="str">
        <f t="shared" si="31"/>
        <v xml:space="preserve">  </v>
      </c>
      <c r="M25" s="38" t="str">
        <f t="shared" si="3"/>
        <v xml:space="preserve"> </v>
      </c>
      <c r="N25" s="27" t="str">
        <f t="shared" si="32"/>
        <v xml:space="preserve">  </v>
      </c>
      <c r="O25" s="23" t="str">
        <f t="shared" si="33"/>
        <v xml:space="preserve">  </v>
      </c>
      <c r="P25" s="4"/>
      <c r="Q25" s="50" t="s">
        <v>69</v>
      </c>
      <c r="R25" s="48" t="s">
        <v>70</v>
      </c>
      <c r="S25" t="str">
        <f>IF(Tools!$L$49="Use 141 rule only",I49,IF(Tools!$L$49="Use 141 and 1331 rules",BG26," "))</f>
        <v xml:space="preserve">  </v>
      </c>
      <c r="W25" s="29">
        <f>IF(AO25="  ","  ",IF(AND(AO24="  ",AO26="  "),"?",IF(AO24="  ",2*(AO26-AO25),IF(AO26="  ",2*(AO25-AO24),2*(AO26-AO24)))))</f>
        <v>2</v>
      </c>
      <c r="X25" s="30" t="str">
        <f t="shared" si="4"/>
        <v>DD</v>
      </c>
      <c r="Y25" s="30" t="str">
        <f t="shared" si="5"/>
        <v>-</v>
      </c>
      <c r="Z25" s="29" t="b">
        <f t="shared" si="6"/>
        <v>1</v>
      </c>
      <c r="AA25" s="29" t="b">
        <f t="shared" si="7"/>
        <v>1</v>
      </c>
      <c r="AB25" s="29" t="str">
        <f t="shared" ca="1" si="8"/>
        <v>141-4</v>
      </c>
      <c r="AC25" s="29">
        <f t="shared" si="34"/>
        <v>4</v>
      </c>
      <c r="AD25" s="29">
        <f t="shared" ca="1" si="9"/>
        <v>4</v>
      </c>
      <c r="AE25" s="29">
        <v>22</v>
      </c>
      <c r="AF25" s="31">
        <f t="shared" si="42"/>
        <v>18</v>
      </c>
      <c r="AG25" s="29" t="b">
        <f t="shared" si="11"/>
        <v>0</v>
      </c>
      <c r="AH25" s="30" t="str">
        <f t="shared" si="43"/>
        <v>-</v>
      </c>
      <c r="AI25" s="30" t="str">
        <f t="shared" ca="1" si="13"/>
        <v>(1/2)*(4/3)</v>
      </c>
      <c r="AJ25" s="29">
        <f t="shared" ca="1" si="14"/>
        <v>0.66666666666666663</v>
      </c>
      <c r="AK25" s="29" t="str">
        <f t="shared" si="15"/>
        <v/>
      </c>
      <c r="AL25" s="29">
        <f t="shared" si="16"/>
        <v>0</v>
      </c>
      <c r="AM25" s="32">
        <f t="shared" ca="1" si="35"/>
        <v>0.66666666666666663</v>
      </c>
      <c r="AO25" s="20">
        <f>Tools!$AD24</f>
        <v>18.5</v>
      </c>
      <c r="AP25" s="33" t="str">
        <f t="shared" si="36"/>
        <v xml:space="preserve">  </v>
      </c>
      <c r="AQ25" s="34" t="str">
        <f t="shared" ca="1" si="18"/>
        <v>(1/2)*(4/3)</v>
      </c>
      <c r="AR25" s="23" t="str">
        <f t="shared" ca="1" si="19"/>
        <v xml:space="preserve">  </v>
      </c>
      <c r="AS25" s="24">
        <f t="shared" si="20"/>
        <v>8.5</v>
      </c>
      <c r="AT25" s="23" t="str">
        <f t="shared" ca="1" si="37"/>
        <v xml:space="preserve">  </v>
      </c>
      <c r="AU25" s="23" t="str">
        <f t="shared" ca="1" si="40"/>
        <v xml:space="preserve">  </v>
      </c>
      <c r="AV25" s="23" t="str">
        <f t="shared" si="21"/>
        <v xml:space="preserve">  </v>
      </c>
      <c r="AW25" s="23" t="str">
        <f t="shared" ca="1" si="22"/>
        <v xml:space="preserve">  </v>
      </c>
      <c r="AY25" s="35" t="str">
        <f t="shared" si="23"/>
        <v xml:space="preserve"> </v>
      </c>
      <c r="AZ25" s="23" t="str">
        <f t="shared" ca="1" si="41"/>
        <v xml:space="preserve">  </v>
      </c>
      <c r="BA25" s="36" t="str">
        <f t="shared" si="25"/>
        <v xml:space="preserve"> </v>
      </c>
      <c r="BB25" s="27" t="str">
        <f t="shared" ca="1" si="38"/>
        <v xml:space="preserve">  </v>
      </c>
      <c r="BC25" s="23" t="str">
        <f t="shared" ca="1" si="39"/>
        <v xml:space="preserve">  </v>
      </c>
      <c r="BE25" s="50" t="s">
        <v>67</v>
      </c>
      <c r="BF25" s="48" t="s">
        <v>68</v>
      </c>
      <c r="BG25" s="49" t="str">
        <f>IF(WL_No="  ","  ",KB+BMT)</f>
        <v xml:space="preserve">  </v>
      </c>
    </row>
    <row r="26" spans="1:59" x14ac:dyDescent="0.25">
      <c r="A26" s="20">
        <f>Tools!$AD25</f>
        <v>19</v>
      </c>
      <c r="B26" s="33" t="str">
        <f t="shared" si="0"/>
        <v xml:space="preserve">  </v>
      </c>
      <c r="C26" s="22">
        <f>IF(A26="  ","  ",IF(AND(A25="  ",A27="  "),"?",IF(A25="  ",1*(A27-A26),IF(A27="  ",1*(A26-A25),1*(A27-A25)))))</f>
        <v>1</v>
      </c>
      <c r="D26" s="23" t="str">
        <f t="shared" si="26"/>
        <v xml:space="preserve">  </v>
      </c>
      <c r="E26" s="24">
        <f t="shared" si="1"/>
        <v>9</v>
      </c>
      <c r="F26" s="23" t="str">
        <f t="shared" si="27"/>
        <v xml:space="preserve">  </v>
      </c>
      <c r="G26" s="23" t="str">
        <f t="shared" si="28"/>
        <v xml:space="preserve">  </v>
      </c>
      <c r="H26" s="23" t="str">
        <f t="shared" si="29"/>
        <v xml:space="preserve">  </v>
      </c>
      <c r="I26" s="23" t="str">
        <f t="shared" si="30"/>
        <v xml:space="preserve">  </v>
      </c>
      <c r="J26" s="4"/>
      <c r="K26" s="37" t="str">
        <f t="shared" si="2"/>
        <v xml:space="preserve"> </v>
      </c>
      <c r="L26" s="23" t="str">
        <f t="shared" si="31"/>
        <v xml:space="preserve">  </v>
      </c>
      <c r="M26" s="38" t="str">
        <f t="shared" si="3"/>
        <v xml:space="preserve"> </v>
      </c>
      <c r="N26" s="27" t="str">
        <f t="shared" si="32"/>
        <v xml:space="preserve">  </v>
      </c>
      <c r="O26" s="23" t="str">
        <f t="shared" si="33"/>
        <v xml:space="preserve">  </v>
      </c>
      <c r="P26" s="4"/>
      <c r="Q26" s="50" t="s">
        <v>71</v>
      </c>
      <c r="R26" s="48" t="s">
        <v>72</v>
      </c>
      <c r="S26" t="str">
        <f>IF(Tools!$L$49="Use 141 rule only",I50,IF(Tools!$L$49="Use 141 and 1331 rules",BG27," "))</f>
        <v xml:space="preserve">  </v>
      </c>
      <c r="W26" s="29">
        <f>IF(AO26="  ","  ",IF(AND(AO25="  ",AO27="  "),"?",IF(AO25="  ",1*(AO27-AO26),IF(AO27="  ",1*(AO26-AO25),1*(AO27-AO25)))))</f>
        <v>1</v>
      </c>
      <c r="X26" s="30" t="str">
        <f t="shared" si="4"/>
        <v>DD</v>
      </c>
      <c r="Y26" s="30" t="str">
        <f t="shared" si="5"/>
        <v>-</v>
      </c>
      <c r="Z26" s="29" t="b">
        <f t="shared" si="6"/>
        <v>1</v>
      </c>
      <c r="AA26" s="29" t="b">
        <f t="shared" si="7"/>
        <v>1</v>
      </c>
      <c r="AB26" s="29" t="str">
        <f t="shared" ca="1" si="8"/>
        <v>141-2</v>
      </c>
      <c r="AC26" s="29">
        <f t="shared" si="34"/>
        <v>3</v>
      </c>
      <c r="AD26" s="29">
        <f t="shared" ca="1" si="9"/>
        <v>3</v>
      </c>
      <c r="AE26" s="29">
        <v>23</v>
      </c>
      <c r="AF26" s="31">
        <f t="shared" si="42"/>
        <v>19</v>
      </c>
      <c r="AG26" s="29" t="b">
        <f t="shared" si="11"/>
        <v>0</v>
      </c>
      <c r="AH26" s="30" t="str">
        <f t="shared" si="43"/>
        <v>-</v>
      </c>
      <c r="AI26" s="30" t="str">
        <f t="shared" ca="1" si="13"/>
        <v>(1/2)*(2/3)</v>
      </c>
      <c r="AJ26" s="29">
        <f t="shared" ca="1" si="14"/>
        <v>0.33333333333333331</v>
      </c>
      <c r="AK26" s="29" t="str">
        <f t="shared" si="15"/>
        <v/>
      </c>
      <c r="AL26" s="29">
        <f t="shared" si="16"/>
        <v>0</v>
      </c>
      <c r="AM26" s="32">
        <f t="shared" ca="1" si="35"/>
        <v>0.33333333333333331</v>
      </c>
      <c r="AO26" s="20">
        <f>Tools!$AD25</f>
        <v>19</v>
      </c>
      <c r="AP26" s="33" t="str">
        <f t="shared" si="36"/>
        <v xml:space="preserve">  </v>
      </c>
      <c r="AQ26" s="34" t="str">
        <f t="shared" ca="1" si="18"/>
        <v>(1/2)*(2/3)</v>
      </c>
      <c r="AR26" s="23" t="str">
        <f t="shared" ca="1" si="19"/>
        <v xml:space="preserve">  </v>
      </c>
      <c r="AS26" s="24">
        <f t="shared" si="20"/>
        <v>9</v>
      </c>
      <c r="AT26" s="23" t="str">
        <f t="shared" ca="1" si="37"/>
        <v xml:space="preserve">  </v>
      </c>
      <c r="AU26" s="23" t="str">
        <f t="shared" ca="1" si="40"/>
        <v xml:space="preserve">  </v>
      </c>
      <c r="AV26" s="23" t="str">
        <f t="shared" si="21"/>
        <v xml:space="preserve">  </v>
      </c>
      <c r="AW26" s="23" t="str">
        <f t="shared" ca="1" si="22"/>
        <v xml:space="preserve">  </v>
      </c>
      <c r="AY26" s="35" t="str">
        <f t="shared" si="23"/>
        <v xml:space="preserve"> </v>
      </c>
      <c r="AZ26" s="23" t="str">
        <f t="shared" ca="1" si="41"/>
        <v xml:space="preserve">  </v>
      </c>
      <c r="BA26" s="36" t="str">
        <f t="shared" si="25"/>
        <v xml:space="preserve"> </v>
      </c>
      <c r="BB26" s="27" t="str">
        <f t="shared" ca="1" si="38"/>
        <v xml:space="preserve">  </v>
      </c>
      <c r="BC26" s="23" t="str">
        <f t="shared" ca="1" si="39"/>
        <v xml:space="preserve">  </v>
      </c>
      <c r="BE26" s="50" t="s">
        <v>69</v>
      </c>
      <c r="BF26" s="48" t="s">
        <v>70</v>
      </c>
      <c r="BG26" s="49" t="str">
        <f>IF(WL_No="  ","  ",KB+BML)</f>
        <v xml:space="preserve">  </v>
      </c>
    </row>
    <row r="27" spans="1:59" x14ac:dyDescent="0.25">
      <c r="A27" s="20">
        <f>Tools!$AD26</f>
        <v>19.5</v>
      </c>
      <c r="B27" s="33" t="str">
        <f t="shared" si="0"/>
        <v xml:space="preserve">  </v>
      </c>
      <c r="C27" s="22">
        <f>IF(A27="  ","  ",IF(AND(A26="  ",A28="  "),"?",IF(A26="  ",2*(A28-A27),IF(A28="  ",2*(A27-A26),2*(A28-A26)))))</f>
        <v>2</v>
      </c>
      <c r="D27" s="23" t="str">
        <f t="shared" si="26"/>
        <v xml:space="preserve">  </v>
      </c>
      <c r="E27" s="24">
        <f t="shared" si="1"/>
        <v>9.5</v>
      </c>
      <c r="F27" s="23" t="str">
        <f t="shared" si="27"/>
        <v xml:space="preserve">  </v>
      </c>
      <c r="G27" s="23" t="str">
        <f t="shared" si="28"/>
        <v xml:space="preserve">  </v>
      </c>
      <c r="H27" s="23" t="str">
        <f t="shared" si="29"/>
        <v xml:space="preserve">  </v>
      </c>
      <c r="I27" s="23" t="str">
        <f t="shared" si="30"/>
        <v xml:space="preserve">  </v>
      </c>
      <c r="J27" s="4"/>
      <c r="K27" s="37" t="str">
        <f t="shared" si="2"/>
        <v xml:space="preserve"> </v>
      </c>
      <c r="L27" s="23" t="str">
        <f t="shared" si="31"/>
        <v xml:space="preserve">  </v>
      </c>
      <c r="M27" s="38" t="str">
        <f t="shared" si="3"/>
        <v xml:space="preserve"> </v>
      </c>
      <c r="N27" s="27" t="str">
        <f t="shared" si="32"/>
        <v xml:space="preserve">  </v>
      </c>
      <c r="O27" s="23" t="str">
        <f t="shared" si="33"/>
        <v xml:space="preserve">  </v>
      </c>
      <c r="P27" s="4"/>
      <c r="Q27" s="50" t="s">
        <v>73</v>
      </c>
      <c r="R27" s="48" t="s">
        <v>74</v>
      </c>
      <c r="S27" t="str">
        <f>IF(Tools!$L$49="Use 141 rule only",I51,IF(Tools!$L$49="Use 141 and 1331 rules",BG28," "))</f>
        <v xml:space="preserve">  </v>
      </c>
      <c r="W27" s="29">
        <f>IF(AO27="  ","  ",IF(AND(AO26="  ",AO28="  "),"?",IF(AO26="  ",2*(AO28-AO27),IF(AO28="  ",2*(AO27-AO26),2*(AO28-AO26)))))</f>
        <v>2</v>
      </c>
      <c r="X27" s="30" t="str">
        <f t="shared" si="4"/>
        <v>DD</v>
      </c>
      <c r="Y27" s="30" t="str">
        <f t="shared" si="5"/>
        <v>-</v>
      </c>
      <c r="Z27" s="29" t="b">
        <f t="shared" si="6"/>
        <v>1</v>
      </c>
      <c r="AA27" s="29" t="b">
        <f t="shared" si="7"/>
        <v>1</v>
      </c>
      <c r="AB27" s="29" t="str">
        <f t="shared" ca="1" si="8"/>
        <v>141-4</v>
      </c>
      <c r="AC27" s="29">
        <f t="shared" si="34"/>
        <v>2</v>
      </c>
      <c r="AD27" s="29">
        <f t="shared" ca="1" si="9"/>
        <v>2</v>
      </c>
      <c r="AE27" s="29">
        <v>24</v>
      </c>
      <c r="AF27" s="31">
        <f t="shared" si="42"/>
        <v>20</v>
      </c>
      <c r="AG27" s="29" t="b">
        <f t="shared" si="11"/>
        <v>0</v>
      </c>
      <c r="AH27" s="30" t="str">
        <f t="shared" si="43"/>
        <v>-</v>
      </c>
      <c r="AI27" s="30" t="str">
        <f t="shared" ca="1" si="13"/>
        <v>(1/2)*(4/3)</v>
      </c>
      <c r="AJ27" s="29">
        <f t="shared" ca="1" si="14"/>
        <v>0.66666666666666663</v>
      </c>
      <c r="AK27" s="29" t="str">
        <f t="shared" si="15"/>
        <v/>
      </c>
      <c r="AL27" s="29">
        <f t="shared" si="16"/>
        <v>0</v>
      </c>
      <c r="AM27" s="32">
        <f t="shared" ca="1" si="35"/>
        <v>0.66666666666666663</v>
      </c>
      <c r="AO27" s="20">
        <f>Tools!$AD26</f>
        <v>19.5</v>
      </c>
      <c r="AP27" s="33" t="str">
        <f t="shared" ref="AP27:AP28" si="44">VLOOKUP(AO27,OFFSET_A,Count_WL+1,FALSE)</f>
        <v xml:space="preserve">  </v>
      </c>
      <c r="AQ27" s="34" t="str">
        <f t="shared" ca="1" si="18"/>
        <v>(1/2)*(4/3)</v>
      </c>
      <c r="AR27" s="23" t="str">
        <f t="shared" ca="1" si="19"/>
        <v xml:space="preserve">  </v>
      </c>
      <c r="AS27" s="24">
        <f t="shared" si="20"/>
        <v>9.5</v>
      </c>
      <c r="AT27" s="23" t="str">
        <f t="shared" ca="1" si="37"/>
        <v xml:space="preserve">  </v>
      </c>
      <c r="AU27" s="23" t="str">
        <f t="shared" ca="1" si="40"/>
        <v xml:space="preserve">  </v>
      </c>
      <c r="AV27" s="23" t="str">
        <f t="shared" si="21"/>
        <v xml:space="preserve">  </v>
      </c>
      <c r="AW27" s="23" t="str">
        <f t="shared" ca="1" si="22"/>
        <v xml:space="preserve">  </v>
      </c>
      <c r="AY27" s="35" t="str">
        <f t="shared" si="23"/>
        <v xml:space="preserve"> </v>
      </c>
      <c r="AZ27" s="23" t="str">
        <f t="shared" ca="1" si="41"/>
        <v xml:space="preserve">  </v>
      </c>
      <c r="BA27" s="36" t="str">
        <f t="shared" si="25"/>
        <v xml:space="preserve"> </v>
      </c>
      <c r="BB27" s="27" t="str">
        <f t="shared" ca="1" si="38"/>
        <v xml:space="preserve">  </v>
      </c>
      <c r="BC27" s="23" t="str">
        <f t="shared" ca="1" si="39"/>
        <v xml:space="preserve">  </v>
      </c>
      <c r="BE27" s="50" t="s">
        <v>71</v>
      </c>
      <c r="BF27" s="48" t="s">
        <v>72</v>
      </c>
      <c r="BG27" s="49" t="str">
        <f>IF(WL_No="  ","  ",AWP*1.025/100)</f>
        <v xml:space="preserve">  </v>
      </c>
    </row>
    <row r="28" spans="1:59" ht="15.75" thickBot="1" x14ac:dyDescent="0.3">
      <c r="A28" s="20">
        <f>Tools!$AD27</f>
        <v>20</v>
      </c>
      <c r="B28" s="52" t="str">
        <f t="shared" si="0"/>
        <v xml:space="preserve">  </v>
      </c>
      <c r="C28" s="22">
        <f>IF(A28="  ","  ",IF(A27="  ","?",1*(A28-A27)))</f>
        <v>0.5</v>
      </c>
      <c r="D28" s="53" t="str">
        <f t="shared" si="26"/>
        <v xml:space="preserve">  </v>
      </c>
      <c r="E28" s="24">
        <f t="shared" si="1"/>
        <v>10</v>
      </c>
      <c r="F28" s="53" t="str">
        <f t="shared" si="27"/>
        <v xml:space="preserve">  </v>
      </c>
      <c r="G28" s="53" t="str">
        <f t="shared" si="28"/>
        <v xml:space="preserve">  </v>
      </c>
      <c r="H28" s="23" t="str">
        <f t="shared" si="29"/>
        <v xml:space="preserve">  </v>
      </c>
      <c r="I28" s="53" t="str">
        <f t="shared" si="30"/>
        <v xml:space="preserve">  </v>
      </c>
      <c r="J28" s="4"/>
      <c r="K28" s="35" t="str">
        <f t="shared" si="2"/>
        <v xml:space="preserve"> </v>
      </c>
      <c r="L28" s="53" t="str">
        <f t="shared" si="31"/>
        <v xml:space="preserve">  </v>
      </c>
      <c r="M28" s="36" t="str">
        <f t="shared" si="3"/>
        <v xml:space="preserve"> </v>
      </c>
      <c r="N28" s="54" t="str">
        <f t="shared" si="32"/>
        <v xml:space="preserve">  </v>
      </c>
      <c r="O28" s="53" t="str">
        <f t="shared" si="33"/>
        <v xml:space="preserve">  </v>
      </c>
      <c r="P28" s="4"/>
      <c r="Q28" s="50" t="s">
        <v>75</v>
      </c>
      <c r="R28" s="55" t="s">
        <v>76</v>
      </c>
      <c r="S28" t="str">
        <f>IF(Tools!$L$49="Use 141 rule only",I52,IF(Tools!$L$49="Use 141 and 1331 rules",BG29," "))</f>
        <v xml:space="preserve">  </v>
      </c>
      <c r="W28" s="29">
        <f>IF(AO28="  ","  ",IF(AO27="  ","?",1*(AO28-AO27)))</f>
        <v>0.5</v>
      </c>
      <c r="X28" s="30" t="str">
        <f t="shared" si="4"/>
        <v>D-</v>
      </c>
      <c r="Y28" s="30" t="str">
        <f t="shared" si="5"/>
        <v>-</v>
      </c>
      <c r="Z28" s="29" t="b">
        <f t="shared" si="6"/>
        <v>1</v>
      </c>
      <c r="AA28" s="29" t="b">
        <f t="shared" si="7"/>
        <v>1</v>
      </c>
      <c r="AB28" s="29" t="str">
        <f t="shared" ca="1" si="8"/>
        <v>141-1</v>
      </c>
      <c r="AC28" s="29">
        <f>IF(ISNUMBER(AO28),IF(ISNUMBER(AO28),IF(OR(AO28=0,AO28=Long_Div),1,IF(AO28&gt;Long_Div/2,AF29+1,IF(AO28&lt;=Long_Div/2,AC27+1,"?")))," --")," ")</f>
        <v>1</v>
      </c>
      <c r="AD28" s="29">
        <f t="shared" ca="1" si="9"/>
        <v>1</v>
      </c>
      <c r="AE28" s="29">
        <v>25</v>
      </c>
      <c r="AF28" s="31">
        <f t="shared" si="42"/>
        <v>21</v>
      </c>
      <c r="AG28" s="29" t="b">
        <f t="shared" si="11"/>
        <v>0</v>
      </c>
      <c r="AH28" s="30" t="str">
        <f t="shared" si="43"/>
        <v>-</v>
      </c>
      <c r="AI28" s="30" t="str">
        <f t="shared" ca="1" si="13"/>
        <v>(1/2)*(1/3)</v>
      </c>
      <c r="AJ28" s="29">
        <f t="shared" ca="1" si="14"/>
        <v>0.16666666666666666</v>
      </c>
      <c r="AK28" s="29" t="str">
        <f t="shared" si="15"/>
        <v/>
      </c>
      <c r="AL28" s="29">
        <f t="shared" si="16"/>
        <v>0</v>
      </c>
      <c r="AM28" s="32">
        <f t="shared" ca="1" si="35"/>
        <v>0.16666666666666666</v>
      </c>
      <c r="AO28" s="20">
        <f>Tools!$AD27</f>
        <v>20</v>
      </c>
      <c r="AP28" s="33" t="str">
        <f t="shared" si="44"/>
        <v xml:space="preserve">  </v>
      </c>
      <c r="AQ28" s="34" t="str">
        <f t="shared" ca="1" si="18"/>
        <v>(1/2)*(1/3)</v>
      </c>
      <c r="AR28" s="23" t="str">
        <f t="shared" ca="1" si="19"/>
        <v xml:space="preserve">  </v>
      </c>
      <c r="AS28" s="24">
        <f t="shared" si="20"/>
        <v>10</v>
      </c>
      <c r="AT28" s="53" t="str">
        <f t="shared" ca="1" si="37"/>
        <v xml:space="preserve">  </v>
      </c>
      <c r="AU28" s="53" t="str">
        <f t="shared" ca="1" si="40"/>
        <v xml:space="preserve">  </v>
      </c>
      <c r="AV28" s="23" t="str">
        <f t="shared" si="21"/>
        <v xml:space="preserve">  </v>
      </c>
      <c r="AW28" s="23" t="str">
        <f t="shared" ca="1" si="22"/>
        <v xml:space="preserve">  </v>
      </c>
      <c r="AY28" s="35" t="str">
        <f t="shared" si="23"/>
        <v xml:space="preserve"> </v>
      </c>
      <c r="AZ28" s="23" t="str">
        <f t="shared" ca="1" si="41"/>
        <v xml:space="preserve">  </v>
      </c>
      <c r="BA28" s="36" t="str">
        <f t="shared" si="25"/>
        <v xml:space="preserve"> </v>
      </c>
      <c r="BB28" s="27" t="str">
        <f t="shared" ca="1" si="38"/>
        <v xml:space="preserve">  </v>
      </c>
      <c r="BC28" s="53" t="str">
        <f t="shared" ca="1" si="39"/>
        <v xml:space="preserve">  </v>
      </c>
      <c r="BE28" s="50" t="s">
        <v>73</v>
      </c>
      <c r="BF28" s="48" t="s">
        <v>74</v>
      </c>
      <c r="BG28" s="49" t="str">
        <f>IF(WL_No="  ","  ",ML/V_Disp)</f>
        <v xml:space="preserve">  </v>
      </c>
    </row>
    <row r="29" spans="1:59" ht="15.75" thickBot="1" x14ac:dyDescent="0.3">
      <c r="A29" s="56" t="s">
        <v>77</v>
      </c>
      <c r="B29" s="56"/>
      <c r="C29" s="56"/>
      <c r="D29" s="57">
        <f>SUM(D4:D28)</f>
        <v>0</v>
      </c>
      <c r="E29" s="42"/>
      <c r="F29" s="58">
        <f>SUM(F4:F28)</f>
        <v>0</v>
      </c>
      <c r="G29" s="58">
        <f>SUM(G4:G28)</f>
        <v>0</v>
      </c>
      <c r="H29" s="42"/>
      <c r="I29" s="58">
        <f>SUM(I4:I28)</f>
        <v>0</v>
      </c>
      <c r="J29" s="4"/>
      <c r="K29" s="42"/>
      <c r="L29" s="58">
        <f>SUM(L4:L28)</f>
        <v>0</v>
      </c>
      <c r="M29" s="42"/>
      <c r="N29" s="58">
        <f>SUM(N4:N28)</f>
        <v>0</v>
      </c>
      <c r="O29" s="58">
        <f>SUM(O4:O28)</f>
        <v>0</v>
      </c>
      <c r="P29" s="4"/>
      <c r="Q29" s="50" t="s">
        <v>78</v>
      </c>
      <c r="R29" s="48" t="s">
        <v>79</v>
      </c>
      <c r="S29" t="str">
        <f>IF(Tools!$L$49="Use 141 rule only",I53,IF(Tools!$L$49="Use 141 and 1331 rules",BG30," "))</f>
        <v xml:space="preserve">  </v>
      </c>
      <c r="W29" s="56"/>
      <c r="X29" s="56"/>
      <c r="Y29" s="56"/>
      <c r="Z29" s="56"/>
      <c r="AA29" s="56"/>
      <c r="AB29" s="56"/>
      <c r="AC29" s="56"/>
      <c r="AD29" s="56"/>
      <c r="AE29" s="56"/>
      <c r="AF29" s="56"/>
      <c r="AG29" s="56"/>
      <c r="AH29" s="56"/>
      <c r="AI29" s="56"/>
      <c r="AJ29" s="56"/>
      <c r="AK29" s="56"/>
      <c r="AL29" s="56"/>
      <c r="AM29" s="56"/>
      <c r="AN29" s="56"/>
      <c r="AO29" s="56" t="s">
        <v>77</v>
      </c>
      <c r="AP29" s="56"/>
      <c r="AQ29" s="59"/>
      <c r="AR29" s="57">
        <f ca="1">SUM(AR4:AR28)</f>
        <v>0</v>
      </c>
      <c r="AS29" s="42"/>
      <c r="AT29" s="58">
        <f ca="1">SUM(AT4:AT28)</f>
        <v>0</v>
      </c>
      <c r="AU29" s="58">
        <f ca="1">SUM(AU4:AU28)</f>
        <v>0</v>
      </c>
      <c r="AV29" s="42"/>
      <c r="AW29" s="58">
        <f ca="1">SUM(AW4:AW28)</f>
        <v>0</v>
      </c>
      <c r="AY29" s="42"/>
      <c r="AZ29" s="58">
        <f ca="1">SUM(AZ4:AZ28)</f>
        <v>0</v>
      </c>
      <c r="BA29" s="42"/>
      <c r="BB29" s="58">
        <f ca="1">SUM(BB4:BB28)</f>
        <v>0</v>
      </c>
      <c r="BC29" s="58">
        <f ca="1">SUM(BC4:BC28)</f>
        <v>0</v>
      </c>
      <c r="BE29" s="50" t="s">
        <v>75</v>
      </c>
      <c r="BF29" s="55" t="s">
        <v>76</v>
      </c>
      <c r="BG29" s="49" t="str">
        <f>IF(WL_No="  ","  ",M_Disp*BML/100/BG8)</f>
        <v xml:space="preserve">  </v>
      </c>
    </row>
    <row r="30" spans="1:59" x14ac:dyDescent="0.25">
      <c r="A30" s="15"/>
      <c r="B30" s="4"/>
      <c r="C30" s="4"/>
      <c r="D30" s="42"/>
      <c r="E30" s="4"/>
      <c r="F30" s="4"/>
      <c r="G30" s="4"/>
      <c r="H30" s="4"/>
      <c r="I30" s="4"/>
      <c r="J30" s="4"/>
      <c r="K30" s="4"/>
      <c r="L30" s="4"/>
      <c r="M30" s="4"/>
      <c r="N30" s="4"/>
      <c r="O30" s="4"/>
      <c r="P30" s="4"/>
      <c r="Q30" s="50" t="s">
        <v>80</v>
      </c>
      <c r="R30" s="48" t="s">
        <v>81</v>
      </c>
      <c r="S30" t="str">
        <f>IF(Tools!$L$49="Use 141 rule only",I54,IF(Tools!$L$49="Use 141 and 1331 rules",BG31," "))</f>
        <v xml:space="preserve">  </v>
      </c>
      <c r="AA30" s="60"/>
      <c r="AB30" s="60"/>
      <c r="BE30" s="50" t="s">
        <v>78</v>
      </c>
      <c r="BF30" s="48" t="s">
        <v>79</v>
      </c>
      <c r="BG30" s="49" t="str">
        <f>IF(WL_No="  ","  ",WLS*WL_No)</f>
        <v xml:space="preserve">  </v>
      </c>
    </row>
    <row r="31" spans="1:59" x14ac:dyDescent="0.25">
      <c r="A31" s="15"/>
      <c r="B31" s="4"/>
      <c r="C31" s="4"/>
      <c r="D31" s="4"/>
      <c r="E31" s="4"/>
      <c r="F31" s="4"/>
      <c r="G31" s="4"/>
      <c r="H31" s="4"/>
      <c r="I31" s="4"/>
      <c r="J31" s="4"/>
      <c r="K31" s="4"/>
      <c r="L31" s="4"/>
      <c r="M31" s="4"/>
      <c r="N31" s="4"/>
      <c r="O31" s="4"/>
      <c r="P31" s="4"/>
      <c r="Q31" s="50" t="s">
        <v>82</v>
      </c>
      <c r="R31" s="48" t="s">
        <v>83</v>
      </c>
      <c r="S31" t="str">
        <f>IF(Tools!$L$49="Use 141 rule only",I55,IF(Tools!$L$49="Use 141 and 1331 rules",BG32," "))</f>
        <v xml:space="preserve">  </v>
      </c>
      <c r="AF31" s="61" t="s">
        <v>84</v>
      </c>
      <c r="AG31" s="62">
        <f ca="1">COUNTIF(OFFSET(AQ4,,,ROUNDUP(Max_STN_count/2,0),1),"")</f>
        <v>0</v>
      </c>
      <c r="AH31" s="63">
        <f ca="1">HLOOKUP(Stn_WL,AREA_TABLE,AG31+2,FALSE)</f>
        <v>0</v>
      </c>
      <c r="AI31" s="63">
        <f ca="1">IF(AH31&gt;Long_Div/2,Long_Div/2,AH31)</f>
        <v>0</v>
      </c>
      <c r="AJ31" s="63">
        <f ca="1">AI31*STN_GAP</f>
        <v>0</v>
      </c>
      <c r="BE31" s="50" t="s">
        <v>80</v>
      </c>
      <c r="BF31" s="48" t="s">
        <v>81</v>
      </c>
      <c r="BG31" s="49" t="str">
        <f>IF(WL_No="  ","  ",AWP/(BG8*B_current))</f>
        <v xml:space="preserve">  </v>
      </c>
    </row>
    <row r="32" spans="1:59" x14ac:dyDescent="0.25">
      <c r="A32" s="15"/>
      <c r="B32" s="4"/>
      <c r="C32" s="4"/>
      <c r="D32" s="4"/>
      <c r="E32" s="4"/>
      <c r="F32" s="4"/>
      <c r="G32" s="4"/>
      <c r="H32" s="4"/>
      <c r="I32" s="4"/>
      <c r="J32" s="64"/>
      <c r="K32" s="4"/>
      <c r="L32" s="4"/>
      <c r="M32" s="4"/>
      <c r="N32" s="4"/>
      <c r="O32" s="4"/>
      <c r="P32" s="4"/>
      <c r="Q32" s="50" t="s">
        <v>85</v>
      </c>
      <c r="R32" s="48" t="s">
        <v>86</v>
      </c>
      <c r="S32" t="str">
        <f>IF(Tools!$L$49="Use 141 rule only",I56,IF(Tools!$L$49="Use 141 and 1331 rules",BG33," "))</f>
        <v xml:space="preserve">  </v>
      </c>
      <c r="AF32" s="61" t="s">
        <v>87</v>
      </c>
      <c r="AG32" s="62">
        <f ca="1">COUNTIF(OFFSET(AQ4,ROUNDUP(Max_STN_count/2,0),,ROUNDDOWN(Max_STN_count/2,0),1),"")</f>
        <v>0</v>
      </c>
      <c r="AH32" s="63">
        <f ca="1">HLOOKUP(Stn_WL,AREA_TABLE,AG32+2,FALSE)</f>
        <v>0</v>
      </c>
      <c r="AI32" s="63">
        <f ca="1">IF(AH32&gt;Long_Div/2,Long_Div/2,AH32)</f>
        <v>0</v>
      </c>
      <c r="AJ32" s="63">
        <f ca="1">AI32*STN_GAP</f>
        <v>0</v>
      </c>
      <c r="BE32" s="50" t="s">
        <v>82</v>
      </c>
      <c r="BF32" s="48" t="s">
        <v>83</v>
      </c>
      <c r="BG32" s="49" t="str">
        <f>IF(WL_No="  ","  ",V_Disp/(BG8*B_current*T))</f>
        <v xml:space="preserve">  </v>
      </c>
    </row>
    <row r="33" spans="1:59" x14ac:dyDescent="0.25">
      <c r="A33" s="15"/>
      <c r="B33" s="4"/>
      <c r="C33" s="4"/>
      <c r="D33" s="4"/>
      <c r="E33" s="4"/>
      <c r="F33" s="4"/>
      <c r="G33" s="43" t="s">
        <v>31</v>
      </c>
      <c r="H33" s="44" t="s">
        <v>32</v>
      </c>
      <c r="I33" s="489" t="s">
        <v>33</v>
      </c>
      <c r="J33" s="4"/>
      <c r="K33" s="4"/>
      <c r="L33" s="4"/>
      <c r="M33" s="4"/>
      <c r="N33" s="4"/>
      <c r="O33" s="4"/>
      <c r="P33" s="4"/>
      <c r="Q33" s="50" t="s">
        <v>88</v>
      </c>
      <c r="R33" s="48" t="s">
        <v>89</v>
      </c>
      <c r="S33" t="str">
        <f>IF(Tools!$L$49="Use 141 rule only",I57,IF(Tools!$L$49="Use 141 and 1331 rules",BG34," "))</f>
        <v xml:space="preserve">  </v>
      </c>
      <c r="AF33" s="63"/>
      <c r="AG33" s="63"/>
      <c r="AH33" s="63">
        <f ca="1">Long_Div-AH32</f>
        <v>20</v>
      </c>
      <c r="AI33" s="63"/>
      <c r="AJ33" s="63">
        <f ca="1">AJ32+AJ31</f>
        <v>0</v>
      </c>
      <c r="BE33" s="50" t="s">
        <v>85</v>
      </c>
      <c r="BF33" s="48" t="s">
        <v>86</v>
      </c>
      <c r="BG33" s="65" t="str">
        <f>IFERROR(IF(WL_No="  ","  ",(VLOOKUP(Long_Div/2,AREA_TABLE,Count_WL+1,FALSE))/(B_current*T)),"-")</f>
        <v xml:space="preserve">  </v>
      </c>
    </row>
    <row r="34" spans="1:59" x14ac:dyDescent="0.25">
      <c r="G34" s="45"/>
      <c r="H34" s="46"/>
      <c r="I34" s="490"/>
      <c r="BE34" s="50" t="s">
        <v>88</v>
      </c>
      <c r="BF34" s="48" t="s">
        <v>89</v>
      </c>
      <c r="BG34" s="49" t="str">
        <f>IF(WL_No="  ","  ",CB/CM)</f>
        <v xml:space="preserve">  </v>
      </c>
    </row>
    <row r="35" spans="1:59" x14ac:dyDescent="0.25">
      <c r="G35" s="47" t="s">
        <v>34</v>
      </c>
      <c r="H35" s="48" t="s">
        <v>35</v>
      </c>
      <c r="I35" s="49" t="str">
        <f>IF(WL_No="  ","  ",2/3*h*$D$29)</f>
        <v xml:space="preserve">  </v>
      </c>
    </row>
    <row r="36" spans="1:59" x14ac:dyDescent="0.25">
      <c r="G36" s="47" t="s">
        <v>36</v>
      </c>
      <c r="H36" s="48" t="s">
        <v>37</v>
      </c>
      <c r="I36" s="49" t="str">
        <f>IF(WL_No="  ","  ",2/3*(h^2)*$F$29)</f>
        <v xml:space="preserve">  </v>
      </c>
    </row>
    <row r="37" spans="1:59" x14ac:dyDescent="0.25">
      <c r="G37" s="50" t="s">
        <v>39</v>
      </c>
      <c r="H37" s="48" t="s">
        <v>40</v>
      </c>
      <c r="I37" s="49" t="str">
        <f>IF(WL_No="  ","  ",Mmid/AWP)</f>
        <v xml:space="preserve">  </v>
      </c>
    </row>
    <row r="38" spans="1:59" x14ac:dyDescent="0.25">
      <c r="G38" s="50" t="s">
        <v>42</v>
      </c>
      <c r="H38" s="48" t="s">
        <v>43</v>
      </c>
      <c r="I38" s="49" t="str">
        <f>IF(WL_No="  ","  ",2/3*(h^3)*$G$29)</f>
        <v xml:space="preserve">  </v>
      </c>
    </row>
    <row r="39" spans="1:59" x14ac:dyDescent="0.25">
      <c r="G39" s="51" t="s">
        <v>44</v>
      </c>
      <c r="H39" s="48" t="s">
        <v>45</v>
      </c>
      <c r="I39" s="49" t="str">
        <f>IF(WL_No="  ","  ",2/9*h*$I$29)</f>
        <v xml:space="preserve">  </v>
      </c>
    </row>
    <row r="40" spans="1:59" x14ac:dyDescent="0.25">
      <c r="G40" s="50" t="s">
        <v>47</v>
      </c>
      <c r="H40" s="48" t="s">
        <v>48</v>
      </c>
      <c r="I40" s="49" t="str">
        <f>IF(WL_No="  ","  ",IL-AWP*(LCF^2))</f>
        <v xml:space="preserve">  </v>
      </c>
    </row>
    <row r="41" spans="1:59" x14ac:dyDescent="0.25">
      <c r="G41" s="50" t="s">
        <v>50</v>
      </c>
      <c r="H41" s="48" t="s">
        <v>51</v>
      </c>
      <c r="I41" s="49" t="str">
        <f>IF(WL_No="  ","  ",h/3*$L$29)</f>
        <v xml:space="preserve">  </v>
      </c>
    </row>
    <row r="42" spans="1:59" x14ac:dyDescent="0.25">
      <c r="G42" s="50" t="s">
        <v>52</v>
      </c>
      <c r="H42" s="48" t="s">
        <v>53</v>
      </c>
      <c r="I42" s="49" t="str">
        <f>IF(WL_No="  ","  ",V_Disp*1.025*1.006)</f>
        <v xml:space="preserve">  </v>
      </c>
    </row>
    <row r="43" spans="1:59" x14ac:dyDescent="0.25">
      <c r="G43" s="50" t="s">
        <v>55</v>
      </c>
      <c r="H43" s="48" t="s">
        <v>56</v>
      </c>
      <c r="I43" s="49" t="str">
        <f>IF(WL_No="  ","  ",h/3*$N$29)</f>
        <v xml:space="preserve">  </v>
      </c>
    </row>
    <row r="44" spans="1:59" x14ac:dyDescent="0.25">
      <c r="G44" s="50" t="s">
        <v>57</v>
      </c>
      <c r="H44" s="48" t="s">
        <v>58</v>
      </c>
      <c r="I44" s="49" t="str">
        <f>IF(WL_No="  ","  ",(h^2)/3*$O$29)</f>
        <v xml:space="preserve">  </v>
      </c>
    </row>
    <row r="45" spans="1:59" x14ac:dyDescent="0.25">
      <c r="G45" s="50" t="s">
        <v>60</v>
      </c>
      <c r="H45" s="48" t="s">
        <v>61</v>
      </c>
      <c r="I45" s="49" t="str">
        <f>IF(WL_No="  ","  ",IF/V_Disp)</f>
        <v xml:space="preserve">  </v>
      </c>
    </row>
    <row r="46" spans="1:59" x14ac:dyDescent="0.25">
      <c r="G46" s="50" t="s">
        <v>63</v>
      </c>
      <c r="H46" s="48" t="s">
        <v>64</v>
      </c>
      <c r="I46" s="49" t="str">
        <f>IF(WL_No="  ","  ",IT/V_Disp)</f>
        <v xml:space="preserve">  </v>
      </c>
    </row>
    <row r="47" spans="1:59" x14ac:dyDescent="0.25">
      <c r="G47" s="50" t="s">
        <v>65</v>
      </c>
      <c r="H47" s="48" t="s">
        <v>66</v>
      </c>
      <c r="I47" s="49" t="str">
        <f>IF(WL_No="  ","  ",MT/V_Disp)</f>
        <v xml:space="preserve">  </v>
      </c>
    </row>
    <row r="48" spans="1:59" x14ac:dyDescent="0.25">
      <c r="G48" s="50" t="s">
        <v>67</v>
      </c>
      <c r="H48" s="48" t="s">
        <v>68</v>
      </c>
      <c r="I48" s="49" t="str">
        <f>IF(WL_No="  ","  ",KB+BMT)</f>
        <v xml:space="preserve">  </v>
      </c>
    </row>
    <row r="49" spans="7:9" x14ac:dyDescent="0.25">
      <c r="G49" s="50" t="s">
        <v>69</v>
      </c>
      <c r="H49" s="48" t="s">
        <v>70</v>
      </c>
      <c r="I49" s="49" t="str">
        <f>IF(WL_No="  ","  ",KB+BML)</f>
        <v xml:space="preserve">  </v>
      </c>
    </row>
    <row r="50" spans="7:9" x14ac:dyDescent="0.25">
      <c r="G50" s="50" t="s">
        <v>71</v>
      </c>
      <c r="H50" s="48" t="s">
        <v>72</v>
      </c>
      <c r="I50" s="49" t="str">
        <f>IF(WL_No="  ","  ",AWP*1.025/100)</f>
        <v xml:space="preserve">  </v>
      </c>
    </row>
    <row r="51" spans="7:9" x14ac:dyDescent="0.25">
      <c r="G51" s="50" t="s">
        <v>73</v>
      </c>
      <c r="H51" s="48" t="s">
        <v>74</v>
      </c>
      <c r="I51" s="49" t="str">
        <f>IF(WL_No="  ","  ",ML/V_Disp)</f>
        <v xml:space="preserve">  </v>
      </c>
    </row>
    <row r="52" spans="7:9" x14ac:dyDescent="0.25">
      <c r="G52" s="50" t="s">
        <v>75</v>
      </c>
      <c r="H52" s="55" t="s">
        <v>76</v>
      </c>
      <c r="I52" s="49" t="str">
        <f>IF(WL_No="  ","  ",M_Disp*BML/100/LBP)</f>
        <v xml:space="preserve">  </v>
      </c>
    </row>
    <row r="53" spans="7:9" x14ac:dyDescent="0.25">
      <c r="G53" s="50" t="s">
        <v>78</v>
      </c>
      <c r="H53" s="48" t="s">
        <v>79</v>
      </c>
      <c r="I53" s="49" t="str">
        <f>IF(WL_No="  ","  ",WLS*WL_No)</f>
        <v xml:space="preserve">  </v>
      </c>
    </row>
    <row r="54" spans="7:9" x14ac:dyDescent="0.25">
      <c r="G54" s="50" t="s">
        <v>80</v>
      </c>
      <c r="H54" s="48" t="s">
        <v>81</v>
      </c>
      <c r="I54" s="49" t="str">
        <f>IF(WL_No="  ","  ",AWP/(LBP*B_current))</f>
        <v xml:space="preserve">  </v>
      </c>
    </row>
    <row r="55" spans="7:9" x14ac:dyDescent="0.25">
      <c r="G55" s="50" t="s">
        <v>82</v>
      </c>
      <c r="H55" s="48" t="s">
        <v>83</v>
      </c>
      <c r="I55" s="49" t="str">
        <f>IF(WL_No="  ","  ",V_Disp/(LBP*B_current*T))</f>
        <v xml:space="preserve">  </v>
      </c>
    </row>
    <row r="56" spans="7:9" x14ac:dyDescent="0.25">
      <c r="G56" s="50" t="s">
        <v>85</v>
      </c>
      <c r="H56" s="48" t="s">
        <v>86</v>
      </c>
      <c r="I56" s="65" t="str">
        <f>IF(WL_No="  ","  ",(VLOOKUP(Long_Div/2,AREA_TABLE,Count_WL+1,FALSE))/(B_current*T))</f>
        <v xml:space="preserve">  </v>
      </c>
    </row>
    <row r="57" spans="7:9" x14ac:dyDescent="0.25">
      <c r="G57" s="50" t="s">
        <v>88</v>
      </c>
      <c r="H57" s="48" t="s">
        <v>89</v>
      </c>
      <c r="I57" s="49" t="str">
        <f>IF(WL_No="  ","  ",CB/CM)</f>
        <v xml:space="preserve">  </v>
      </c>
    </row>
  </sheetData>
  <mergeCells count="7">
    <mergeCell ref="BG10:BG11"/>
    <mergeCell ref="I33:I34"/>
    <mergeCell ref="A2:I2"/>
    <mergeCell ref="K2:O2"/>
    <mergeCell ref="AO2:AW2"/>
    <mergeCell ref="AY2:BC2"/>
    <mergeCell ref="S9:S10"/>
  </mergeCells>
  <conditionalFormatting sqref="CB4:XFD30 BW4:BW28 BS4:BT28 W29:AX29 A33:F57 J33:R33 A11:R32 A2:T10 V2:AO2 AX2 BP29:BW29 A63:XFD1048576 T12:T37 U35:XFD37 BD2:BD29 BM31:XFD33 BM30:BW30 BH29:BI33 BH2:XFD3 U30:BD30 AR31:BD31 W3:AM28 A58:BD62 BH38:XFD62 J34:S37 BH34:XFD34 A1:AN1 AV1:XFD1 AO31:AP31 U33:BD34 AM31 U31:AG32 AK32:BD32 AO3:AX26 J43:BD57 J42:M42 O42:BD42 J38:BD41 AO27:AO28 AQ27:AX28">
    <cfRule type="containsErrors" dxfId="437" priority="14">
      <formula>ISERROR(A1)</formula>
    </cfRule>
  </conditionalFormatting>
  <conditionalFormatting sqref="G33:I34 G35:H57">
    <cfRule type="containsErrors" dxfId="436" priority="13">
      <formula>ISERROR(G33)</formula>
    </cfRule>
  </conditionalFormatting>
  <conditionalFormatting sqref="T12:T33">
    <cfRule type="containsErrors" dxfId="435" priority="12">
      <formula>ISERROR(T12)</formula>
    </cfRule>
  </conditionalFormatting>
  <conditionalFormatting sqref="I35:I57">
    <cfRule type="containsErrors" dxfId="434" priority="11">
      <formula>ISERROR(I35)</formula>
    </cfRule>
  </conditionalFormatting>
  <conditionalFormatting sqref="AY2:BC29">
    <cfRule type="containsErrors" dxfId="433" priority="8">
      <formula>ISERROR(AY2)</formula>
    </cfRule>
  </conditionalFormatting>
  <conditionalFormatting sqref="BE10:BG11 BE12:BF34">
    <cfRule type="containsErrors" dxfId="432" priority="10">
      <formula>ISERROR(BE10)</formula>
    </cfRule>
  </conditionalFormatting>
  <conditionalFormatting sqref="BG12:BG28 BG34">
    <cfRule type="containsErrors" dxfId="431" priority="9">
      <formula>ISERROR(BG12)</formula>
    </cfRule>
  </conditionalFormatting>
  <conditionalFormatting sqref="BE2:BG6">
    <cfRule type="containsErrors" dxfId="430" priority="7">
      <formula>ISERROR(BE2)</formula>
    </cfRule>
  </conditionalFormatting>
  <conditionalFormatting sqref="BF7:BG8">
    <cfRule type="containsErrors" dxfId="429" priority="5">
      <formula>ISERROR(BF7)</formula>
    </cfRule>
  </conditionalFormatting>
  <conditionalFormatting sqref="BE7:BE8">
    <cfRule type="containsErrors" dxfId="428" priority="6">
      <formula>ISERROR(BE7)</formula>
    </cfRule>
  </conditionalFormatting>
  <conditionalFormatting sqref="S30:S33">
    <cfRule type="containsErrors" dxfId="427" priority="4">
      <formula>ISERROR(S30)</formula>
    </cfRule>
  </conditionalFormatting>
  <conditionalFormatting sqref="AP27:AP28">
    <cfRule type="containsErrors" dxfId="426" priority="3">
      <formula>ISERROR(AP27)</formula>
    </cfRule>
  </conditionalFormatting>
  <conditionalFormatting sqref="BG29:BG32">
    <cfRule type="containsErrors" dxfId="425" priority="2">
      <formula>ISERROR(BG29)</formula>
    </cfRule>
  </conditionalFormatting>
  <conditionalFormatting sqref="BG33">
    <cfRule type="containsErrors" dxfId="424" priority="1">
      <formula>ISERROR(BG33)</formula>
    </cfRule>
  </conditionalFormatting>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4" tint="0.79998168889431442"/>
  </sheetPr>
  <dimension ref="A1:BH57"/>
  <sheetViews>
    <sheetView topLeftCell="AG1" zoomScale="55" zoomScaleNormal="55" workbookViewId="0">
      <pane ySplit="1" topLeftCell="A29" activePane="bottomLeft" state="frozen"/>
      <selection activeCell="AG8" sqref="AG8:AG10"/>
      <selection pane="bottomLeft" activeCell="AG8" sqref="AG8:AG10"/>
    </sheetView>
  </sheetViews>
  <sheetFormatPr defaultRowHeight="15" x14ac:dyDescent="0.25"/>
  <cols>
    <col min="1" max="1" width="8.28515625" customWidth="1"/>
    <col min="2" max="2" width="7.28515625" customWidth="1"/>
    <col min="4" max="4" width="6.5703125" customWidth="1"/>
    <col min="7" max="7" width="24" customWidth="1"/>
    <col min="8" max="8" width="30.5703125" customWidth="1"/>
    <col min="9" max="9" width="26.5703125" customWidth="1"/>
    <col min="10" max="10" width="10.5703125" bestFit="1" customWidth="1"/>
    <col min="11" max="11" width="9.140625" customWidth="1"/>
    <col min="13" max="13" width="7.85546875" customWidth="1"/>
    <col min="17" max="17" width="19.5703125" customWidth="1"/>
    <col min="18" max="18" width="11.85546875" customWidth="1"/>
    <col min="19" max="19" width="16.5703125" customWidth="1"/>
    <col min="20" max="20" width="14.140625" customWidth="1"/>
    <col min="35" max="35" width="14" customWidth="1"/>
    <col min="36" max="37" width="12" customWidth="1"/>
    <col min="39" max="39" width="19" customWidth="1"/>
    <col min="43" max="43" width="18" style="7" customWidth="1"/>
    <col min="49" max="49" width="11.28515625" customWidth="1"/>
    <col min="52" max="52" width="12" customWidth="1"/>
    <col min="54" max="54" width="10.7109375" bestFit="1" customWidth="1"/>
    <col min="56" max="56" width="4.5703125" customWidth="1"/>
    <col min="57" max="57" width="21.28515625" customWidth="1"/>
    <col min="58" max="58" width="15.42578125" customWidth="1"/>
    <col min="59" max="59" width="19.28515625" customWidth="1"/>
    <col min="61" max="61" width="5.7109375" customWidth="1"/>
    <col min="62" max="62" width="13" customWidth="1"/>
    <col min="63" max="63" width="17.42578125" customWidth="1"/>
  </cols>
  <sheetData>
    <row r="1" spans="1:60" x14ac:dyDescent="0.25">
      <c r="A1" s="1" t="s">
        <v>0</v>
      </c>
      <c r="B1" s="2" t="str">
        <f>VLOOKUP(Stn_WL,OFFSET_A,Count_WL+1,FALSE)</f>
        <v xml:space="preserve">  </v>
      </c>
      <c r="C1" s="3"/>
      <c r="D1" s="4"/>
      <c r="E1" s="4" t="s">
        <v>1</v>
      </c>
      <c r="F1" s="5">
        <v>22</v>
      </c>
      <c r="G1" s="4"/>
      <c r="H1" s="4"/>
      <c r="I1" s="4"/>
      <c r="J1" s="4"/>
      <c r="K1" s="4"/>
      <c r="L1" s="4"/>
      <c r="M1" s="4"/>
      <c r="N1" s="4"/>
      <c r="O1" s="4"/>
      <c r="P1" s="4"/>
      <c r="Q1" s="4"/>
      <c r="R1" s="4"/>
      <c r="S1" s="4"/>
      <c r="V1" t="s">
        <v>2</v>
      </c>
      <c r="W1">
        <f ca="1">COUNTIF(OFFSET(Z4,,,ROUNDDOWN(Max_STN_count/2+1,0),1),TRUE)</f>
        <v>5</v>
      </c>
      <c r="X1">
        <f ca="1">COUNTIF(OFFSET(AA4,,,ROUNDDOWN(Max_STN_count/2+1,0),1),TRUE)</f>
        <v>5</v>
      </c>
      <c r="Y1">
        <f ca="1">W1-X1</f>
        <v>0</v>
      </c>
      <c r="AB1" s="6" t="s">
        <v>3</v>
      </c>
      <c r="AC1">
        <f ca="1">COUNTIF(OFFSET(Z4,ROUNDUP(Max_STN_count/2,0),,ROUNDDOWN(Max_STN_count/2,0),1),TRUE)</f>
        <v>5</v>
      </c>
      <c r="AD1">
        <f ca="1">COUNTIF(OFFSET(AA4,ROUNDUP(Max_STN_count/2,0),,ROUNDDOWN(Max_STN_count/2,0),1),TRUE)</f>
        <v>5</v>
      </c>
      <c r="AE1">
        <f ca="1">AC1-AD1</f>
        <v>0</v>
      </c>
      <c r="AG1" t="s">
        <v>4</v>
      </c>
      <c r="AH1">
        <f>COUNTIF(AG4:AG28,TRUE)</f>
        <v>17</v>
      </c>
      <c r="AI1">
        <f ca="1">COUNTIF(OFFSET(AG4,,,ROUNDUP(Max_STN_count/2,0),1),FALSE)</f>
        <v>4</v>
      </c>
      <c r="AW1">
        <f ca="1">COUNTIF(OFFSET(AG4,,,Max_STN_count,1),TRUE)</f>
        <v>17</v>
      </c>
    </row>
    <row r="2" spans="1:60" x14ac:dyDescent="0.25">
      <c r="A2" s="491" t="s">
        <v>5</v>
      </c>
      <c r="B2" s="492"/>
      <c r="C2" s="492"/>
      <c r="D2" s="492"/>
      <c r="E2" s="492"/>
      <c r="F2" s="492"/>
      <c r="G2" s="492"/>
      <c r="H2" s="492"/>
      <c r="I2" s="493"/>
      <c r="J2" s="4"/>
      <c r="K2" s="491" t="s">
        <v>6</v>
      </c>
      <c r="L2" s="492"/>
      <c r="M2" s="492"/>
      <c r="N2" s="492"/>
      <c r="O2" s="493"/>
      <c r="P2" s="4"/>
      <c r="Q2" s="8" t="s">
        <v>7</v>
      </c>
      <c r="R2" s="9" t="s">
        <v>8</v>
      </c>
      <c r="S2" s="10">
        <f>WLS</f>
        <v>2</v>
      </c>
      <c r="V2" s="11"/>
      <c r="W2" s="11"/>
      <c r="X2" s="11"/>
      <c r="Y2" s="11"/>
      <c r="Z2" s="11"/>
      <c r="AA2" s="11"/>
      <c r="AB2" s="11"/>
      <c r="AC2" s="11"/>
      <c r="AD2" s="11"/>
      <c r="AE2" s="11"/>
      <c r="AF2" s="11"/>
      <c r="AG2" s="11"/>
      <c r="AH2" s="11"/>
      <c r="AI2" s="11"/>
      <c r="AJ2" s="11"/>
      <c r="AK2" s="11"/>
      <c r="AL2" s="11"/>
      <c r="AM2" s="11"/>
      <c r="AN2" s="11"/>
      <c r="AO2" s="491" t="s">
        <v>5</v>
      </c>
      <c r="AP2" s="492"/>
      <c r="AQ2" s="492"/>
      <c r="AR2" s="492"/>
      <c r="AS2" s="492"/>
      <c r="AT2" s="492"/>
      <c r="AU2" s="492"/>
      <c r="AV2" s="492"/>
      <c r="AW2" s="493"/>
      <c r="AY2" s="491" t="s">
        <v>6</v>
      </c>
      <c r="AZ2" s="492"/>
      <c r="BA2" s="492"/>
      <c r="BB2" s="492"/>
      <c r="BC2" s="493"/>
      <c r="BE2" s="8" t="s">
        <v>7</v>
      </c>
      <c r="BF2" s="9" t="s">
        <v>8</v>
      </c>
      <c r="BG2" s="10">
        <f>WLS</f>
        <v>2</v>
      </c>
    </row>
    <row r="3" spans="1:60" x14ac:dyDescent="0.25">
      <c r="A3" s="12" t="s">
        <v>9</v>
      </c>
      <c r="B3" s="13" t="s">
        <v>10</v>
      </c>
      <c r="C3" s="14" t="s">
        <v>11</v>
      </c>
      <c r="D3" s="14" t="s">
        <v>12</v>
      </c>
      <c r="E3" s="14" t="s">
        <v>13</v>
      </c>
      <c r="F3" s="14" t="s">
        <v>14</v>
      </c>
      <c r="G3" s="14" t="s">
        <v>15</v>
      </c>
      <c r="H3" s="14" t="s">
        <v>16</v>
      </c>
      <c r="I3" s="14" t="s">
        <v>17</v>
      </c>
      <c r="J3" s="15"/>
      <c r="K3" s="14" t="s">
        <v>18</v>
      </c>
      <c r="L3" s="14" t="s">
        <v>19</v>
      </c>
      <c r="M3" s="14" t="s">
        <v>20</v>
      </c>
      <c r="N3" s="14" t="s">
        <v>21</v>
      </c>
      <c r="O3" s="14" t="s">
        <v>22</v>
      </c>
      <c r="P3" s="15"/>
      <c r="Q3" s="16" t="s">
        <v>23</v>
      </c>
      <c r="R3" s="9" t="s">
        <v>8</v>
      </c>
      <c r="S3" s="10">
        <f>STN_GAP</f>
        <v>7.31</v>
      </c>
      <c r="W3" s="17" t="s">
        <v>11</v>
      </c>
      <c r="X3" s="17"/>
      <c r="Y3" s="17"/>
      <c r="Z3" s="17" t="s">
        <v>24</v>
      </c>
      <c r="AA3" s="17"/>
      <c r="AB3" s="17"/>
      <c r="AC3" s="17"/>
      <c r="AD3" s="17"/>
      <c r="AE3" s="17"/>
      <c r="AF3" s="17"/>
      <c r="AG3" s="17" t="s">
        <v>4</v>
      </c>
      <c r="AH3" s="17"/>
      <c r="AI3" s="17" t="s">
        <v>25</v>
      </c>
      <c r="AJ3" s="17"/>
      <c r="AK3" s="17"/>
      <c r="AL3" s="17"/>
      <c r="AM3" s="18" t="s">
        <v>11</v>
      </c>
      <c r="AO3" s="12" t="s">
        <v>9</v>
      </c>
      <c r="AP3" s="13" t="s">
        <v>10</v>
      </c>
      <c r="AQ3" s="19"/>
      <c r="AR3" s="14" t="s">
        <v>12</v>
      </c>
      <c r="AS3" s="14" t="s">
        <v>13</v>
      </c>
      <c r="AT3" s="14" t="s">
        <v>14</v>
      </c>
      <c r="AU3" s="14" t="s">
        <v>15</v>
      </c>
      <c r="AV3" s="14" t="s">
        <v>16</v>
      </c>
      <c r="AW3" s="14" t="s">
        <v>17</v>
      </c>
      <c r="AY3" s="14" t="s">
        <v>18</v>
      </c>
      <c r="AZ3" s="14" t="s">
        <v>19</v>
      </c>
      <c r="BA3" s="14" t="s">
        <v>20</v>
      </c>
      <c r="BB3" s="14" t="s">
        <v>21</v>
      </c>
      <c r="BC3" s="14" t="s">
        <v>22</v>
      </c>
      <c r="BE3" s="16" t="s">
        <v>23</v>
      </c>
      <c r="BF3" s="9" t="s">
        <v>8</v>
      </c>
      <c r="BG3" s="10">
        <f>STN_GAP</f>
        <v>7.31</v>
      </c>
    </row>
    <row r="4" spans="1:60" x14ac:dyDescent="0.25">
      <c r="A4" s="20">
        <f>Tools!$AD3</f>
        <v>0</v>
      </c>
      <c r="B4" s="21" t="str">
        <f t="shared" ref="B4:B28" si="0">VLOOKUP(A4,OFFSET_A,Count_WL+1,FALSE)</f>
        <v xml:space="preserve">  </v>
      </c>
      <c r="C4" s="22">
        <f>IF(A4="  ","  ",IF(A5="  ","?",1*(A5-A4)))</f>
        <v>0.5</v>
      </c>
      <c r="D4" s="23" t="str">
        <f>IFERROR(B4*C4,"  ")</f>
        <v xml:space="preserve">  </v>
      </c>
      <c r="E4" s="24">
        <f t="shared" ref="E4:E28" si="1">IFERROR(A4-(Long_Div/2),"  ")</f>
        <v>-10</v>
      </c>
      <c r="F4" s="23" t="str">
        <f>IFERROR(D4*E4,"  ")</f>
        <v xml:space="preserve">  </v>
      </c>
      <c r="G4" s="23" t="str">
        <f>IFERROR(F4*E4,"  ")</f>
        <v xml:space="preserve">  </v>
      </c>
      <c r="H4" s="23" t="str">
        <f>IFERROR(B4^3,"  ")</f>
        <v xml:space="preserve">  </v>
      </c>
      <c r="I4" s="23" t="str">
        <f>IFERROR(H4*C4,"  ")</f>
        <v xml:space="preserve">  </v>
      </c>
      <c r="J4" s="4"/>
      <c r="K4" s="25" t="str">
        <f t="shared" ref="K4:K28" si="2">VLOOKUP(A4,AREA_TABLE,Count_WL+1,FALSE)</f>
        <v xml:space="preserve"> </v>
      </c>
      <c r="L4" s="23" t="str">
        <f>IFERROR(K4*C4,"  ")</f>
        <v xml:space="preserve">  </v>
      </c>
      <c r="M4" s="26" t="str">
        <f t="shared" ref="M4:M28" si="3">VLOOKUP(A4,MOMENT_TABLE,Count_WL+1,FALSE)</f>
        <v xml:space="preserve"> </v>
      </c>
      <c r="N4" s="27" t="str">
        <f>IFERROR(M4*C4,"  ")</f>
        <v xml:space="preserve">  </v>
      </c>
      <c r="O4" s="23" t="str">
        <f>IFERROR(L4*E4,"  ")</f>
        <v xml:space="preserve">  </v>
      </c>
      <c r="P4" s="4"/>
      <c r="Q4" s="16" t="s">
        <v>26</v>
      </c>
      <c r="R4" s="9" t="s">
        <v>8</v>
      </c>
      <c r="S4" s="28">
        <f>LBP</f>
        <v>146.19999999999999</v>
      </c>
      <c r="W4" s="29">
        <f>IF(AO4="  ","  ",IF(AO5="  ","?",1*(AO5-AO4)))</f>
        <v>0.5</v>
      </c>
      <c r="X4" s="30" t="str">
        <f t="shared" ref="X4:X28" si="4">IF(Y4=0,"--",CONCATENATE(IF(AO4=0,"-",IF(Y3=0,"-",IF(AO4-AO3=0.5,"D",IF(AO4-AO3=1,"W","-")))),IF(AO4=Long_Div,"-",IF(Y5=0,"-",IF(AO5-AO4=0.5,"D",IF(AO5-AO4=1,"W","-"))))))</f>
        <v>-D</v>
      </c>
      <c r="Y4" s="30" t="str">
        <f t="shared" ref="Y4:Y28" si="5">IF(ISNUMBER(AO4),IF(AO4=Long_Div/2,"-",IF(AND(AO4=Long_Div,$AP4=0,$AP3=0),0,IF(AND(AO4=0,$AP4=0,$AP5=0),0,IF($AO4&lt;Long_Div/2,IF(AND(Y3=0,$AP4=0,$AP5=0),0,"-"),IF(AND(Y5=0,$AP4=0,$AP3=0),0,"-")))))," ")</f>
        <v>-</v>
      </c>
      <c r="Z4" s="29" t="b">
        <f t="shared" ref="Z4:Z28" si="6">IF(ISNUMBER(AO4),IF(AO4=0,IF(AO5=0.5,TRUE,FALSE),IF(AO4=Long_Div,IF(AO3=Long_Div-0.5,TRUE,FALSE),IF(OR(AO5-AO4=0.5,AO4-AO3=0.5),TRUE,FALSE)))," ")</f>
        <v>1</v>
      </c>
      <c r="AA4" s="29" t="b">
        <f t="shared" ref="AA4:AA28" si="7">IF(ISNUMBER(AO4),IF(Y4=0," ",IF(AO4=0,IF(AO5=0.5,TRUE,"-"),IF(AO4=Long_Div,IF(AO3=Long_Div-0.5,TRUE,"-"),IF(OR(AO5-AO4=0.5,AO4-AO3=0.5),TRUE,FALSE))))," ")</f>
        <v>1</v>
      </c>
      <c r="AB4" s="29" t="str">
        <f t="shared" ref="AB4:AB28" ca="1" si="8">IF(AO4&lt;=Long_Div/2,IF(ISNUMBER(AO4),IF($X$1=0,"---",IF($X$1=1,"##",IF($X$1=2,IF(AD4=1,"141-4",IF(OR(AD4=0,AD4=2),"141-1","**")),IF(AC4&lt;=($Y$1),"--",IF(AC4&gt;$W$1,"++",IF(ISODD($X$1),IF(OR(AD4=1,AD4=$X$1),"141-1",IF(ISODD(AD4),"141-2",IF(ISEVEN(AD4),"141-4","+"))),IF(ISEVEN($X$1),IF(AD4=1,"1331-1",IF(OR(AD4=2,AD4=3),"1331-3",IF(AD4=4,IF($X$1=4,"1331-1","1331-1,141-1"),IF(AD4=$X$1,"141-1",IF(AD4&lt;=4,"??",IF(ISODD(AD4),"141-4",IF(ISEVEN(AD4),"141-2","SS"))))))))))))))," "),IF(AO4&gt;Long_Div/2,IF(ISNUMBER(AO4),IF($AD$1=0,"---",IF($AD$1=1,"##",IF($AD$1=2,IF(AD4=1,"141-4",IF(OR(AD4=0,AD4=2),"141-1","**")),IF(AC4&lt;=($AE$1),"--",IF(AC4&gt;$AC$1,"++",IF(ISODD($AD$1),IF(OR(AD4=1,AD4=$AD$1),"141-1",IF(ISODD(AD4),"141-2",IF(ISEVEN(AD4),"141-4","+"))),IF(ISEVEN($AD$1),IF(AD4=1,"1331-1",IF(OR(AD4=2,AD4=3),"1331-3",IF(AD4=4,IF($AD$1=4,"1331-1","1331-1,141-1"),IF(AD4=$AD$1,"141-1",IF(AD4&lt;=4,"??",IF(ISODD(AD4),"141-4",IF(ISEVEN(AD4),"141-2","SS"))))))))))))))," "),"@"))</f>
        <v>141-1</v>
      </c>
      <c r="AC4" s="29">
        <f>IF(ISNUMBER(AO4),IF(ISNUMBER(AO4),IF(OR(AO4=0,AO4=Long_Div),1,IF(AO4&gt;Long_Div/2,AC5+1,IF(AO4&lt;=Long_Div/2,AE3+1,"?")))," --")," ")</f>
        <v>1</v>
      </c>
      <c r="AD4" s="29">
        <f t="shared" ref="AD4:AD28" ca="1" si="9">IF(ISNUMBER(AO4),IF(AO4&gt;Long_Div/2,4-ROW(AD4)+Max_STN_count-$AE$1,ROW(AD4)-3-$Y$1)," ")</f>
        <v>1</v>
      </c>
      <c r="AE4" s="29">
        <v>1</v>
      </c>
      <c r="AF4" s="31" t="str">
        <f t="shared" ref="AF4:AF8" si="10">IF(AND(AG4=TRUE,OR(NOT(AG3=TRUE),AG3="Full")),1,IF(ISNUMBER(AF3),AF3+1," "))</f>
        <v xml:space="preserve"> </v>
      </c>
      <c r="AG4" s="29" t="b">
        <f t="shared" ref="AG4:AG28" si="11">IF(ISNUMBER(AO4),IF(AA4=" "," ",IF(AO4=0,IF(AO5-AO4=1,TRUE,FALSE),IF(AO4=Long_Div,IF(AO4-AO3=1,TRUE,FALSE),IF(OR(AO5-AO4=1,AO4-AO3=1),TRUE,FALSE))))," ")</f>
        <v>0</v>
      </c>
      <c r="AH4" s="30" t="str">
        <f t="shared" ref="AH4:AH13" si="12">IF(AND(AG4=TRUE,$AH$1=1),"141-4",IF(AG4=" ",IF(AND($AH$1=2,AF4=3),"141-1","-"),IF(OR(AG4=FALSE,AG4=" "),"-",IF(AG4=TRUE,IF(AND($AH$1=2,AF4=1),"141-1",IF(AND($AH$1=2,AF4=2),"141-4",IF(OR(ISODD($AH$1),AF4&gt;4),IF(AF4=1,"141-1",IF(OR(AB4="141-1",AB4="1331-1",AB4="1331-1,141-1"),"141-1",IF(AG5=" ","141-1",IF(OR(AH3="141-1",AH3="141-2",AH3="1331-1,141-1"),"141-4",IF(AH3="141-4","141-2","$$"))))),IF(ISEVEN($AH$1),IF(AF4=1,"1331-1",IF(OR(AF4=2,AF4=3),"1331-3",IF(AF4=4,IF($AH$1=4,"1331-1","1331-1,141-1"),"")))))))))))</f>
        <v>-</v>
      </c>
      <c r="AI4" s="30" t="str">
        <f t="shared" ref="AI4:AI28" ca="1" si="13">IF(OR(AB4="1331-1",AB4="1331-1,141-1"),"(1/2)*(3/8)",IF(AB4="1331-3","(1/2)*(9/8)",IF(AB4="141-1","(1/2)*(1/3)",IF(AB4="141-2","(1/2)*(2/3)",IF(AB4="141-4","(1/2)*(4/3)","")))))</f>
        <v>(1/2)*(1/3)</v>
      </c>
      <c r="AJ4" s="29">
        <f t="shared" ref="AJ4:AJ28" ca="1" si="14">IF(OR(AB4="1331-1",AB4="1331-1,141-1"),(1/2)*(3/8),IF(AB4="1331-3",(1/2)*(9/8),IF(AB4="141-1",(1/2)*(1/3),IF(AB4="141-2",(1/2)*(2/3),IF(AB4="141-4",(1/2)*(4/3),0)))))</f>
        <v>0.16666666666666666</v>
      </c>
      <c r="AK4" s="29" t="str">
        <f t="shared" ref="AK4:AK28" si="15">IF(AH4="1331-1,141-1","(1*3/8)+(1/3)",IF(LEFT(AH4,4)="141-",CONCATENATE(RIGHT(AH4,1),"/3"),IF(LEFT(AH4,4)="1331",CONCATENATE(RIGHT(AH4,1),"*3/8"),"")))</f>
        <v/>
      </c>
      <c r="AL4" s="29">
        <f t="shared" ref="AL4:AL28" si="16">IF(AH4="1331-1,141-1",(1*3/8)+(1/3),IF(LEFT(AH4,4)="141-",(RIGHT(AH4,1)/3),IF(LEFT(AH4,4)="1331",RIGHT(AH4,1)*3/8,0)))</f>
        <v>0</v>
      </c>
      <c r="AM4" s="32">
        <f ca="1">IF(AQ4=""," ",AJ4+AL4)</f>
        <v>0.16666666666666666</v>
      </c>
      <c r="AO4" s="20">
        <f>Tools!$AD3</f>
        <v>0</v>
      </c>
      <c r="AP4" s="33" t="str">
        <f t="shared" ref="AP4" si="17">VLOOKUP(AO4,OFFSET_A,Count_WL+1,FALSE)</f>
        <v xml:space="preserve">  </v>
      </c>
      <c r="AQ4" s="34" t="str">
        <f t="shared" ref="AQ4:AQ28" ca="1" si="18">CONCATENATE(AI4,IF(NOT(OR(AI4="",AK4="")),"+",""),AK4)</f>
        <v>(1/2)*(1/3)</v>
      </c>
      <c r="AR4" s="23" t="str">
        <f t="shared" ref="AR4:AR28" ca="1" si="19">IFERROR(AP4*AM4,"  ")</f>
        <v xml:space="preserve">  </v>
      </c>
      <c r="AS4" s="24">
        <f t="shared" ref="AS4:AS28" si="20">IFERROR(AO4-(Long_Div/2),"  ")</f>
        <v>-10</v>
      </c>
      <c r="AT4" s="23" t="str">
        <f ca="1">IFERROR(AR4*AS4,"  ")</f>
        <v xml:space="preserve">  </v>
      </c>
      <c r="AU4" s="23" t="str">
        <f ca="1">IFERROR(AT4*AS4,"  ")</f>
        <v xml:space="preserve">  </v>
      </c>
      <c r="AV4" s="23" t="str">
        <f t="shared" ref="AV4:AV28" si="21">IFERROR(AP4^3,"  ")</f>
        <v xml:space="preserve">  </v>
      </c>
      <c r="AW4" s="23" t="str">
        <f t="shared" ref="AW4:AW28" ca="1" si="22">IFERROR(AV4*AM4,"  ")</f>
        <v xml:space="preserve">  </v>
      </c>
      <c r="AY4" s="35" t="str">
        <f t="shared" ref="AY4:AY28" si="23">IF(ROW(AY4)-3&gt;Max_STN_count," ",VLOOKUP(AO4,AREA_TABLE,Count_WL+1,FALSE))</f>
        <v xml:space="preserve"> </v>
      </c>
      <c r="AZ4" s="23" t="str">
        <f t="shared" ref="AZ4:AZ7" ca="1" si="24">IFERROR(AY4*AM4,"  ")</f>
        <v xml:space="preserve">  </v>
      </c>
      <c r="BA4" s="36" t="str">
        <f t="shared" ref="BA4:BA28" si="25">IF(ROW(AY4)-3&gt;Max_STN_count," ",VLOOKUP(AO4,MOMENT_TABLE,Count_WL+1,FALSE))</f>
        <v xml:space="preserve"> </v>
      </c>
      <c r="BB4" s="27" t="str">
        <f ca="1">IFERROR(BA4*AM4,"  ")</f>
        <v xml:space="preserve">  </v>
      </c>
      <c r="BC4" s="23" t="str">
        <f ca="1">IFERROR(AZ4*AS4,"  ")</f>
        <v xml:space="preserve">  </v>
      </c>
      <c r="BE4" s="16" t="s">
        <v>26</v>
      </c>
      <c r="BF4" s="9" t="s">
        <v>8</v>
      </c>
      <c r="BG4" s="28">
        <f>LBP</f>
        <v>146.19999999999999</v>
      </c>
    </row>
    <row r="5" spans="1:60" x14ac:dyDescent="0.25">
      <c r="A5" s="20">
        <f>Tools!$AD4</f>
        <v>0.5</v>
      </c>
      <c r="B5" s="33" t="str">
        <f t="shared" si="0"/>
        <v xml:space="preserve">  </v>
      </c>
      <c r="C5" s="22">
        <f>IF(A5="  ","  ",IF(AND(A4="  ",A6="  "),"?",IF(A4="  ",2*(A6-A5),IF(A6="  ",2*(A5-A4),2*(A6-A4)))))</f>
        <v>2</v>
      </c>
      <c r="D5" s="23" t="str">
        <f t="shared" ref="D5:D28" si="26">IFERROR(B5*C5,"  ")</f>
        <v xml:space="preserve">  </v>
      </c>
      <c r="E5" s="24">
        <f t="shared" si="1"/>
        <v>-9.5</v>
      </c>
      <c r="F5" s="23" t="str">
        <f t="shared" ref="F5:F28" si="27">IFERROR(D5*E5,"  ")</f>
        <v xml:space="preserve">  </v>
      </c>
      <c r="G5" s="23" t="str">
        <f t="shared" ref="G5:G28" si="28">IFERROR(F5*E5,"  ")</f>
        <v xml:space="preserve">  </v>
      </c>
      <c r="H5" s="23" t="str">
        <f t="shared" ref="H5:H28" si="29">IFERROR(B5^3,"  ")</f>
        <v xml:space="preserve">  </v>
      </c>
      <c r="I5" s="23" t="str">
        <f t="shared" ref="I5:I28" si="30">IFERROR(H5*C5,"  ")</f>
        <v xml:space="preserve">  </v>
      </c>
      <c r="J5" s="4"/>
      <c r="K5" s="37" t="str">
        <f t="shared" si="2"/>
        <v xml:space="preserve"> </v>
      </c>
      <c r="L5" s="23" t="str">
        <f t="shared" ref="L5:L28" si="31">IFERROR(K5*C5,"  ")</f>
        <v xml:space="preserve">  </v>
      </c>
      <c r="M5" s="38" t="str">
        <f t="shared" si="3"/>
        <v xml:space="preserve"> </v>
      </c>
      <c r="N5" s="27" t="str">
        <f t="shared" ref="N5:N28" si="32">IFERROR(M5*C5,"  ")</f>
        <v xml:space="preserve">  </v>
      </c>
      <c r="O5" s="23" t="str">
        <f t="shared" ref="O5:O28" si="33">IFERROR(L5*E5,"  ")</f>
        <v xml:space="preserve">  </v>
      </c>
      <c r="P5" s="4"/>
      <c r="Q5" s="8" t="s">
        <v>27</v>
      </c>
      <c r="R5" s="9" t="s">
        <v>8</v>
      </c>
      <c r="S5" s="10">
        <f>BREADTH</f>
        <v>22</v>
      </c>
      <c r="W5" s="29">
        <f>IF(AO5="  ","  ",IF(AND(AO4="  ",AO6="  "),"?",IF(AO4="  ",2*(AO6-AO5),IF(AO6="  ",2*(AO5-AO4),2*(AO6-AO4)))))</f>
        <v>2</v>
      </c>
      <c r="X5" s="30" t="str">
        <f t="shared" si="4"/>
        <v>DD</v>
      </c>
      <c r="Y5" s="30" t="str">
        <f t="shared" si="5"/>
        <v>-</v>
      </c>
      <c r="Z5" s="29" t="b">
        <f t="shared" si="6"/>
        <v>1</v>
      </c>
      <c r="AA5" s="29" t="b">
        <f t="shared" si="7"/>
        <v>1</v>
      </c>
      <c r="AB5" s="29" t="str">
        <f t="shared" ca="1" si="8"/>
        <v>141-4</v>
      </c>
      <c r="AC5" s="29">
        <f t="shared" ref="AC5:AC27" si="34">IF(ISNUMBER(AO5),IF(ISNUMBER(AO5),IF(OR(AO5=0,AO5=Long_Div),1,IF(AO5&gt;Long_Div/2,AC6+1,IF(AO5&lt;=Long_Div/2,AC4+1,"?")))," --")," ")</f>
        <v>2</v>
      </c>
      <c r="AD5" s="29">
        <f t="shared" ca="1" si="9"/>
        <v>2</v>
      </c>
      <c r="AE5" s="29">
        <v>2</v>
      </c>
      <c r="AF5" s="31" t="str">
        <f t="shared" si="10"/>
        <v xml:space="preserve"> </v>
      </c>
      <c r="AG5" s="29" t="b">
        <f t="shared" si="11"/>
        <v>0</v>
      </c>
      <c r="AH5" s="30" t="str">
        <f t="shared" si="12"/>
        <v>-</v>
      </c>
      <c r="AI5" s="30" t="str">
        <f t="shared" ca="1" si="13"/>
        <v>(1/2)*(4/3)</v>
      </c>
      <c r="AJ5" s="29">
        <f t="shared" ca="1" si="14"/>
        <v>0.66666666666666663</v>
      </c>
      <c r="AK5" s="29" t="str">
        <f t="shared" si="15"/>
        <v/>
      </c>
      <c r="AL5" s="29">
        <f t="shared" si="16"/>
        <v>0</v>
      </c>
      <c r="AM5" s="32">
        <f t="shared" ref="AM5:AM28" ca="1" si="35">IF(AQ5=""," ",AJ5+AL5)</f>
        <v>0.66666666666666663</v>
      </c>
      <c r="AO5" s="20">
        <f>Tools!$AD4</f>
        <v>0.5</v>
      </c>
      <c r="AP5" s="33" t="str">
        <f t="shared" ref="AP5:AP26" si="36">VLOOKUP(AO5,OFFSET_A,Count_WL+1,FALSE)</f>
        <v xml:space="preserve">  </v>
      </c>
      <c r="AQ5" s="34" t="str">
        <f t="shared" ca="1" si="18"/>
        <v>(1/2)*(4/3)</v>
      </c>
      <c r="AR5" s="23" t="str">
        <f t="shared" ca="1" si="19"/>
        <v xml:space="preserve">  </v>
      </c>
      <c r="AS5" s="24">
        <f t="shared" si="20"/>
        <v>-9.5</v>
      </c>
      <c r="AT5" s="23" t="str">
        <f t="shared" ref="AT5:AT28" ca="1" si="37">IFERROR(AR5*AS5,"  ")</f>
        <v xml:space="preserve">  </v>
      </c>
      <c r="AU5" s="23" t="str">
        <f ca="1">IFERROR(AT5*AS5,"  ")</f>
        <v xml:space="preserve">  </v>
      </c>
      <c r="AV5" s="23" t="str">
        <f t="shared" si="21"/>
        <v xml:space="preserve">  </v>
      </c>
      <c r="AW5" s="23" t="str">
        <f t="shared" ca="1" si="22"/>
        <v xml:space="preserve">  </v>
      </c>
      <c r="AY5" s="35" t="str">
        <f t="shared" si="23"/>
        <v xml:space="preserve"> </v>
      </c>
      <c r="AZ5" s="23" t="str">
        <f t="shared" ca="1" si="24"/>
        <v xml:space="preserve">  </v>
      </c>
      <c r="BA5" s="36" t="str">
        <f t="shared" si="25"/>
        <v xml:space="preserve"> </v>
      </c>
      <c r="BB5" s="27" t="str">
        <f t="shared" ref="BB5:BB28" ca="1" si="38">IFERROR(BA5*AM5,"  ")</f>
        <v xml:space="preserve">  </v>
      </c>
      <c r="BC5" s="23" t="str">
        <f t="shared" ref="BC5:BC28" ca="1" si="39">IFERROR(AZ5*AS5,"  ")</f>
        <v xml:space="preserve">  </v>
      </c>
      <c r="BE5" s="8" t="s">
        <v>27</v>
      </c>
      <c r="BF5" s="9" t="s">
        <v>8</v>
      </c>
      <c r="BG5" s="10">
        <f>BREADTH</f>
        <v>22</v>
      </c>
    </row>
    <row r="6" spans="1:60" x14ac:dyDescent="0.25">
      <c r="A6" s="20">
        <f>Tools!$AD5</f>
        <v>1</v>
      </c>
      <c r="B6" s="33" t="str">
        <f t="shared" si="0"/>
        <v xml:space="preserve">  </v>
      </c>
      <c r="C6" s="22">
        <f>IF(A6="  ","  ",IF(AND(A5="  ",A7="  "),"?",IF(A5="  ",1*(A7-A6),IF(A7="  ",1*(A6-A5),1*(A7-A5)))))</f>
        <v>1</v>
      </c>
      <c r="D6" s="23" t="str">
        <f t="shared" si="26"/>
        <v xml:space="preserve">  </v>
      </c>
      <c r="E6" s="24">
        <f t="shared" si="1"/>
        <v>-9</v>
      </c>
      <c r="F6" s="23" t="str">
        <f t="shared" si="27"/>
        <v xml:space="preserve">  </v>
      </c>
      <c r="G6" s="23" t="str">
        <f t="shared" si="28"/>
        <v xml:space="preserve">  </v>
      </c>
      <c r="H6" s="23" t="str">
        <f t="shared" si="29"/>
        <v xml:space="preserve">  </v>
      </c>
      <c r="I6" s="23" t="str">
        <f t="shared" si="30"/>
        <v xml:space="preserve">  </v>
      </c>
      <c r="J6" s="4"/>
      <c r="K6" s="37" t="str">
        <f t="shared" si="2"/>
        <v xml:space="preserve"> </v>
      </c>
      <c r="L6" s="23" t="str">
        <f t="shared" si="31"/>
        <v xml:space="preserve">  </v>
      </c>
      <c r="M6" s="38" t="str">
        <f t="shared" si="3"/>
        <v xml:space="preserve"> </v>
      </c>
      <c r="N6" s="27" t="str">
        <f t="shared" si="32"/>
        <v xml:space="preserve">  </v>
      </c>
      <c r="O6" s="23" t="str">
        <f t="shared" si="33"/>
        <v xml:space="preserve">  </v>
      </c>
      <c r="P6" s="4"/>
      <c r="Q6" s="8" t="s">
        <v>28</v>
      </c>
      <c r="R6" s="9" t="s">
        <v>8</v>
      </c>
      <c r="S6" s="10">
        <f>DEPTH</f>
        <v>13</v>
      </c>
      <c r="W6" s="29">
        <f>IF(AO6="  ","  ",IF(AND(AO5="  ",AO7="  "),"?",IF(AO5="  ",1*(AO7-AO6),IF(AO7="  ",1*(AO6-AO5),1*(AO7-AO5)))))</f>
        <v>1</v>
      </c>
      <c r="X6" s="30" t="str">
        <f t="shared" si="4"/>
        <v>DD</v>
      </c>
      <c r="Y6" s="30" t="str">
        <f t="shared" si="5"/>
        <v>-</v>
      </c>
      <c r="Z6" s="29" t="b">
        <f t="shared" si="6"/>
        <v>1</v>
      </c>
      <c r="AA6" s="29" t="b">
        <f t="shared" si="7"/>
        <v>1</v>
      </c>
      <c r="AB6" s="29" t="str">
        <f t="shared" ca="1" si="8"/>
        <v>141-2</v>
      </c>
      <c r="AC6" s="29">
        <f t="shared" si="34"/>
        <v>3</v>
      </c>
      <c r="AD6" s="29">
        <f t="shared" ca="1" si="9"/>
        <v>3</v>
      </c>
      <c r="AE6" s="29">
        <v>3</v>
      </c>
      <c r="AF6" s="31" t="str">
        <f t="shared" si="10"/>
        <v xml:space="preserve"> </v>
      </c>
      <c r="AG6" s="29" t="b">
        <f t="shared" si="11"/>
        <v>0</v>
      </c>
      <c r="AH6" s="30" t="str">
        <f t="shared" si="12"/>
        <v>-</v>
      </c>
      <c r="AI6" s="30" t="str">
        <f t="shared" ca="1" si="13"/>
        <v>(1/2)*(2/3)</v>
      </c>
      <c r="AJ6" s="29">
        <f t="shared" ca="1" si="14"/>
        <v>0.33333333333333331</v>
      </c>
      <c r="AK6" s="29" t="str">
        <f t="shared" si="15"/>
        <v/>
      </c>
      <c r="AL6" s="29">
        <f t="shared" si="16"/>
        <v>0</v>
      </c>
      <c r="AM6" s="32">
        <f t="shared" ca="1" si="35"/>
        <v>0.33333333333333331</v>
      </c>
      <c r="AO6" s="20">
        <f>Tools!$AD5</f>
        <v>1</v>
      </c>
      <c r="AP6" s="33" t="str">
        <f t="shared" si="36"/>
        <v xml:space="preserve">  </v>
      </c>
      <c r="AQ6" s="34" t="str">
        <f t="shared" ca="1" si="18"/>
        <v>(1/2)*(2/3)</v>
      </c>
      <c r="AR6" s="23" t="str">
        <f t="shared" ca="1" si="19"/>
        <v xml:space="preserve">  </v>
      </c>
      <c r="AS6" s="24">
        <f t="shared" si="20"/>
        <v>-9</v>
      </c>
      <c r="AT6" s="23" t="str">
        <f t="shared" ca="1" si="37"/>
        <v xml:space="preserve">  </v>
      </c>
      <c r="AU6" s="23" t="str">
        <f ca="1">IFERROR(AT6*AS6,"  ")</f>
        <v xml:space="preserve">  </v>
      </c>
      <c r="AV6" s="23" t="str">
        <f t="shared" si="21"/>
        <v xml:space="preserve">  </v>
      </c>
      <c r="AW6" s="23" t="str">
        <f t="shared" ca="1" si="22"/>
        <v xml:space="preserve">  </v>
      </c>
      <c r="AY6" s="35" t="str">
        <f t="shared" si="23"/>
        <v xml:space="preserve"> </v>
      </c>
      <c r="AZ6" s="23" t="str">
        <f t="shared" ca="1" si="24"/>
        <v xml:space="preserve">  </v>
      </c>
      <c r="BA6" s="36" t="str">
        <f t="shared" si="25"/>
        <v xml:space="preserve"> </v>
      </c>
      <c r="BB6" s="27" t="str">
        <f t="shared" ca="1" si="38"/>
        <v xml:space="preserve">  </v>
      </c>
      <c r="BC6" s="23" t="str">
        <f t="shared" ca="1" si="39"/>
        <v xml:space="preserve">  </v>
      </c>
      <c r="BE6" s="8" t="s">
        <v>28</v>
      </c>
      <c r="BF6" s="9" t="s">
        <v>8</v>
      </c>
      <c r="BG6" s="10">
        <f>DEPTH</f>
        <v>13</v>
      </c>
    </row>
    <row r="7" spans="1:60" x14ac:dyDescent="0.25">
      <c r="A7" s="20">
        <f>Tools!$AD6</f>
        <v>1.5</v>
      </c>
      <c r="B7" s="33" t="str">
        <f t="shared" si="0"/>
        <v xml:space="preserve">  </v>
      </c>
      <c r="C7" s="22">
        <f>IF(A7="  ","  ",IF(AND(A6="  ",A8="  "),"?",IF(A6="  ",2*(A8-A7),IF(A8="  ",2*(A7-A6),2*(A8-A6)))))</f>
        <v>2</v>
      </c>
      <c r="D7" s="23" t="str">
        <f t="shared" si="26"/>
        <v xml:space="preserve">  </v>
      </c>
      <c r="E7" s="24">
        <f t="shared" si="1"/>
        <v>-8.5</v>
      </c>
      <c r="F7" s="23" t="str">
        <f t="shared" si="27"/>
        <v xml:space="preserve">  </v>
      </c>
      <c r="G7" s="23" t="str">
        <f t="shared" si="28"/>
        <v xml:space="preserve">  </v>
      </c>
      <c r="H7" s="23" t="str">
        <f t="shared" si="29"/>
        <v xml:space="preserve">  </v>
      </c>
      <c r="I7" s="23" t="str">
        <f t="shared" si="30"/>
        <v xml:space="preserve">  </v>
      </c>
      <c r="J7" s="4"/>
      <c r="K7" s="37" t="str">
        <f t="shared" si="2"/>
        <v xml:space="preserve"> </v>
      </c>
      <c r="L7" s="23" t="str">
        <f t="shared" si="31"/>
        <v xml:space="preserve">  </v>
      </c>
      <c r="M7" s="38" t="str">
        <f t="shared" si="3"/>
        <v xml:space="preserve"> </v>
      </c>
      <c r="N7" s="27" t="str">
        <f t="shared" si="32"/>
        <v xml:space="preserve">  </v>
      </c>
      <c r="O7" s="23" t="str">
        <f t="shared" si="33"/>
        <v xml:space="preserve">  </v>
      </c>
      <c r="P7" s="4"/>
      <c r="Q7" s="39" t="s">
        <v>29</v>
      </c>
      <c r="R7" s="40" t="s">
        <v>8</v>
      </c>
      <c r="S7" s="41" t="str">
        <f>IF(MAX(B4:B28)=0," ",2*MAX(B4:B28))</f>
        <v xml:space="preserve"> </v>
      </c>
      <c r="W7" s="29">
        <f>IF(AO7="  ","  ",IF(AND(AO6="  ",AO8="  "),"?",IF(AO6="  ",2*(AO8-AO7),IF(AO8="  ",2*(AO7-AO6),2*(AO8-AO6)))))</f>
        <v>2</v>
      </c>
      <c r="X7" s="30" t="str">
        <f t="shared" si="4"/>
        <v>DD</v>
      </c>
      <c r="Y7" s="30" t="str">
        <f t="shared" si="5"/>
        <v>-</v>
      </c>
      <c r="Z7" s="29" t="b">
        <f t="shared" si="6"/>
        <v>1</v>
      </c>
      <c r="AA7" s="29" t="b">
        <f t="shared" si="7"/>
        <v>1</v>
      </c>
      <c r="AB7" s="29" t="str">
        <f t="shared" ca="1" si="8"/>
        <v>141-4</v>
      </c>
      <c r="AC7" s="29">
        <f t="shared" si="34"/>
        <v>4</v>
      </c>
      <c r="AD7" s="29">
        <f t="shared" ca="1" si="9"/>
        <v>4</v>
      </c>
      <c r="AE7" s="29">
        <v>4</v>
      </c>
      <c r="AF7" s="31" t="str">
        <f t="shared" si="10"/>
        <v xml:space="preserve"> </v>
      </c>
      <c r="AG7" s="29" t="b">
        <f t="shared" si="11"/>
        <v>0</v>
      </c>
      <c r="AH7" s="30" t="str">
        <f t="shared" si="12"/>
        <v>-</v>
      </c>
      <c r="AI7" s="30" t="str">
        <f t="shared" ca="1" si="13"/>
        <v>(1/2)*(4/3)</v>
      </c>
      <c r="AJ7" s="29">
        <f t="shared" ca="1" si="14"/>
        <v>0.66666666666666663</v>
      </c>
      <c r="AK7" s="29" t="str">
        <f t="shared" si="15"/>
        <v/>
      </c>
      <c r="AL7" s="29">
        <f t="shared" si="16"/>
        <v>0</v>
      </c>
      <c r="AM7" s="32">
        <f t="shared" ca="1" si="35"/>
        <v>0.66666666666666663</v>
      </c>
      <c r="AO7" s="20">
        <f>Tools!$AD6</f>
        <v>1.5</v>
      </c>
      <c r="AP7" s="33" t="str">
        <f t="shared" si="36"/>
        <v xml:space="preserve">  </v>
      </c>
      <c r="AQ7" s="34" t="str">
        <f t="shared" ca="1" si="18"/>
        <v>(1/2)*(4/3)</v>
      </c>
      <c r="AR7" s="23" t="str">
        <f t="shared" ca="1" si="19"/>
        <v xml:space="preserve">  </v>
      </c>
      <c r="AS7" s="24">
        <f t="shared" si="20"/>
        <v>-8.5</v>
      </c>
      <c r="AT7" s="23" t="str">
        <f t="shared" ca="1" si="37"/>
        <v xml:space="preserve">  </v>
      </c>
      <c r="AU7" s="23" t="str">
        <f t="shared" ref="AU7:AU28" ca="1" si="40">IFERROR(AT7*AS7,"  ")</f>
        <v xml:space="preserve">  </v>
      </c>
      <c r="AV7" s="23" t="str">
        <f t="shared" si="21"/>
        <v xml:space="preserve">  </v>
      </c>
      <c r="AW7" s="23" t="str">
        <f t="shared" ca="1" si="22"/>
        <v xml:space="preserve">  </v>
      </c>
      <c r="AY7" s="35" t="str">
        <f t="shared" si="23"/>
        <v xml:space="preserve"> </v>
      </c>
      <c r="AZ7" s="23" t="str">
        <f t="shared" ca="1" si="24"/>
        <v xml:space="preserve">  </v>
      </c>
      <c r="BA7" s="36" t="str">
        <f t="shared" si="25"/>
        <v xml:space="preserve"> </v>
      </c>
      <c r="BB7" s="27" t="str">
        <f t="shared" ca="1" si="38"/>
        <v xml:space="preserve">  </v>
      </c>
      <c r="BC7" s="23" t="str">
        <f t="shared" ca="1" si="39"/>
        <v xml:space="preserve">  </v>
      </c>
      <c r="BE7" s="8" t="s">
        <v>29</v>
      </c>
      <c r="BF7" s="9" t="s">
        <v>8</v>
      </c>
      <c r="BG7" s="10" t="str">
        <f>IF(MAX(AP4:AP28)=0," ",2*MAX(AP4:AP28))</f>
        <v xml:space="preserve"> </v>
      </c>
    </row>
    <row r="8" spans="1:60" x14ac:dyDescent="0.25">
      <c r="A8" s="20">
        <f>Tools!$AD7</f>
        <v>2</v>
      </c>
      <c r="B8" s="33" t="str">
        <f t="shared" si="0"/>
        <v xml:space="preserve">  </v>
      </c>
      <c r="C8" s="22">
        <f>IF(A8="  ","  ",IF(AND(A7="  ",A9="  "),"?",IF(A7="  ",1*(A9-A8),IF(A9="  ",1*(A8-A7),1*(A9-A7)))))</f>
        <v>1.5</v>
      </c>
      <c r="D8" s="23" t="str">
        <f t="shared" si="26"/>
        <v xml:space="preserve">  </v>
      </c>
      <c r="E8" s="24">
        <f t="shared" si="1"/>
        <v>-8</v>
      </c>
      <c r="F8" s="23" t="str">
        <f t="shared" si="27"/>
        <v xml:space="preserve">  </v>
      </c>
      <c r="G8" s="23" t="str">
        <f t="shared" si="28"/>
        <v xml:space="preserve">  </v>
      </c>
      <c r="H8" s="23" t="str">
        <f t="shared" si="29"/>
        <v xml:space="preserve">  </v>
      </c>
      <c r="I8" s="23" t="str">
        <f t="shared" si="30"/>
        <v xml:space="preserve">  </v>
      </c>
      <c r="J8" s="4"/>
      <c r="K8" s="37" t="str">
        <f t="shared" si="2"/>
        <v xml:space="preserve"> </v>
      </c>
      <c r="L8" s="23" t="str">
        <f t="shared" si="31"/>
        <v xml:space="preserve">  </v>
      </c>
      <c r="M8" s="38" t="str">
        <f t="shared" si="3"/>
        <v xml:space="preserve"> </v>
      </c>
      <c r="N8" s="27" t="str">
        <f t="shared" si="32"/>
        <v xml:space="preserve">  </v>
      </c>
      <c r="O8" s="23" t="str">
        <f t="shared" si="33"/>
        <v xml:space="preserve">  </v>
      </c>
      <c r="P8" s="4"/>
      <c r="Q8" s="42"/>
      <c r="R8" s="42"/>
      <c r="S8" s="42"/>
      <c r="W8" s="29">
        <f>IF(AO8="  ","  ",IF(AND(AO7="  ",AO9="  "),"?",IF(AO7="  ",1*(AO9-AO8),IF(AO9="  ",1*(AO8-AO7),1*(AO9-AO7)))))</f>
        <v>1.5</v>
      </c>
      <c r="X8" s="30" t="str">
        <f t="shared" si="4"/>
        <v>DW</v>
      </c>
      <c r="Y8" s="30" t="str">
        <f t="shared" si="5"/>
        <v>-</v>
      </c>
      <c r="Z8" s="29" t="b">
        <f t="shared" si="6"/>
        <v>1</v>
      </c>
      <c r="AA8" s="29" t="b">
        <f t="shared" si="7"/>
        <v>1</v>
      </c>
      <c r="AB8" s="29" t="str">
        <f t="shared" ca="1" si="8"/>
        <v>141-1</v>
      </c>
      <c r="AC8" s="29">
        <f t="shared" si="34"/>
        <v>5</v>
      </c>
      <c r="AD8" s="29">
        <f t="shared" ca="1" si="9"/>
        <v>5</v>
      </c>
      <c r="AE8" s="29">
        <v>5</v>
      </c>
      <c r="AF8" s="31">
        <f t="shared" si="10"/>
        <v>1</v>
      </c>
      <c r="AG8" s="29" t="b">
        <f t="shared" si="11"/>
        <v>1</v>
      </c>
      <c r="AH8" s="30" t="str">
        <f t="shared" si="12"/>
        <v>141-1</v>
      </c>
      <c r="AI8" s="30" t="str">
        <f t="shared" ca="1" si="13"/>
        <v>(1/2)*(1/3)</v>
      </c>
      <c r="AJ8" s="29">
        <f t="shared" ca="1" si="14"/>
        <v>0.16666666666666666</v>
      </c>
      <c r="AK8" s="29" t="str">
        <f t="shared" si="15"/>
        <v>1/3</v>
      </c>
      <c r="AL8" s="29">
        <f t="shared" si="16"/>
        <v>0.33333333333333331</v>
      </c>
      <c r="AM8" s="32">
        <f t="shared" ca="1" si="35"/>
        <v>0.5</v>
      </c>
      <c r="AO8" s="20">
        <f>Tools!$AD7</f>
        <v>2</v>
      </c>
      <c r="AP8" s="33" t="str">
        <f t="shared" si="36"/>
        <v xml:space="preserve">  </v>
      </c>
      <c r="AQ8" s="34" t="str">
        <f t="shared" ca="1" si="18"/>
        <v>(1/2)*(1/3)+1/3</v>
      </c>
      <c r="AR8" s="23" t="str">
        <f t="shared" ca="1" si="19"/>
        <v xml:space="preserve">  </v>
      </c>
      <c r="AS8" s="24">
        <f t="shared" si="20"/>
        <v>-8</v>
      </c>
      <c r="AT8" s="23" t="str">
        <f t="shared" ca="1" si="37"/>
        <v xml:space="preserve">  </v>
      </c>
      <c r="AU8" s="23" t="str">
        <f t="shared" ca="1" si="40"/>
        <v xml:space="preserve">  </v>
      </c>
      <c r="AV8" s="23" t="str">
        <f t="shared" si="21"/>
        <v xml:space="preserve">  </v>
      </c>
      <c r="AW8" s="23" t="str">
        <f t="shared" ca="1" si="22"/>
        <v xml:space="preserve">  </v>
      </c>
      <c r="AY8" s="35" t="str">
        <f t="shared" si="23"/>
        <v xml:space="preserve"> </v>
      </c>
      <c r="AZ8" s="23" t="str">
        <f ca="1">IFERROR(AY8*AM8,"  ")</f>
        <v xml:space="preserve">  </v>
      </c>
      <c r="BA8" s="36" t="str">
        <f t="shared" si="25"/>
        <v xml:space="preserve"> </v>
      </c>
      <c r="BB8" s="27" t="str">
        <f t="shared" ca="1" si="38"/>
        <v xml:space="preserve">  </v>
      </c>
      <c r="BC8" s="23" t="str">
        <f t="shared" ca="1" si="39"/>
        <v xml:space="preserve">  </v>
      </c>
      <c r="BE8" s="8" t="s">
        <v>30</v>
      </c>
      <c r="BF8" s="9" t="s">
        <v>8</v>
      </c>
      <c r="BG8" s="10">
        <f ca="1">LBP-AJ33</f>
        <v>146.19999999999999</v>
      </c>
      <c r="BH8" t="str">
        <f ca="1">IF(AJ33&gt;0,CONCATENATE("(LWL is assumed between stations ",$AH$31," and ",$AH$33," as offset values extreme to these stations are zeros.)"),"")</f>
        <v/>
      </c>
    </row>
    <row r="9" spans="1:60" x14ac:dyDescent="0.25">
      <c r="A9" s="20">
        <f>Tools!$AD8</f>
        <v>3</v>
      </c>
      <c r="B9" s="33" t="str">
        <f t="shared" si="0"/>
        <v xml:space="preserve">  </v>
      </c>
      <c r="C9" s="22">
        <f>IF(A9="  ","  ",IF(AND(A8="  ",A10="  "),"?",IF(A8="  ",2*(A10-A9),IF(A10="  ",2*(A9-A8),2*(A10-A8)))))</f>
        <v>4</v>
      </c>
      <c r="D9" s="23" t="str">
        <f t="shared" si="26"/>
        <v xml:space="preserve">  </v>
      </c>
      <c r="E9" s="24">
        <f t="shared" si="1"/>
        <v>-7</v>
      </c>
      <c r="F9" s="23" t="str">
        <f t="shared" si="27"/>
        <v xml:space="preserve">  </v>
      </c>
      <c r="G9" s="23" t="str">
        <f t="shared" si="28"/>
        <v xml:space="preserve">  </v>
      </c>
      <c r="H9" s="23" t="str">
        <f t="shared" si="29"/>
        <v xml:space="preserve">  </v>
      </c>
      <c r="I9" s="23" t="str">
        <f t="shared" si="30"/>
        <v xml:space="preserve">  </v>
      </c>
      <c r="J9" s="4"/>
      <c r="K9" s="37" t="str">
        <f t="shared" si="2"/>
        <v xml:space="preserve"> </v>
      </c>
      <c r="L9" s="23" t="str">
        <f t="shared" si="31"/>
        <v xml:space="preserve">  </v>
      </c>
      <c r="M9" s="38" t="str">
        <f t="shared" si="3"/>
        <v xml:space="preserve"> </v>
      </c>
      <c r="N9" s="27" t="str">
        <f t="shared" si="32"/>
        <v xml:space="preserve">  </v>
      </c>
      <c r="O9" s="23" t="str">
        <f t="shared" si="33"/>
        <v xml:space="preserve">  </v>
      </c>
      <c r="P9" s="4"/>
      <c r="Q9" s="43" t="s">
        <v>31</v>
      </c>
      <c r="R9" s="44" t="s">
        <v>32</v>
      </c>
      <c r="S9" s="489" t="s">
        <v>33</v>
      </c>
      <c r="W9" s="29">
        <f>IF(AO9="  ","  ",IF(AND(AO8="  ",AO10="  "),"?",IF(AO8="  ",2*(AO10-AO9),IF(AO10="  ",2*(AO9-AO8),2*(AO10-AO8)))))</f>
        <v>4</v>
      </c>
      <c r="X9" s="30" t="str">
        <f t="shared" si="4"/>
        <v>WW</v>
      </c>
      <c r="Y9" s="30" t="str">
        <f t="shared" si="5"/>
        <v>-</v>
      </c>
      <c r="Z9" s="29" t="b">
        <f t="shared" si="6"/>
        <v>0</v>
      </c>
      <c r="AA9" s="29" t="b">
        <f t="shared" si="7"/>
        <v>0</v>
      </c>
      <c r="AB9" s="29" t="str">
        <f t="shared" ca="1" si="8"/>
        <v>++</v>
      </c>
      <c r="AC9" s="29">
        <f t="shared" si="34"/>
        <v>6</v>
      </c>
      <c r="AD9" s="29">
        <f t="shared" ca="1" si="9"/>
        <v>6</v>
      </c>
      <c r="AE9" s="29">
        <v>6</v>
      </c>
      <c r="AF9" s="31">
        <f>IF(AND(AG9=TRUE,OR(NOT(AG8=TRUE),AG8="Full")),1,IF(ISNUMBER(AF8),AF8+1," "))</f>
        <v>2</v>
      </c>
      <c r="AG9" s="29" t="b">
        <f t="shared" si="11"/>
        <v>1</v>
      </c>
      <c r="AH9" s="30" t="str">
        <f t="shared" ca="1" si="12"/>
        <v>141-4</v>
      </c>
      <c r="AI9" s="30" t="str">
        <f t="shared" ca="1" si="13"/>
        <v/>
      </c>
      <c r="AJ9" s="29">
        <f t="shared" ca="1" si="14"/>
        <v>0</v>
      </c>
      <c r="AK9" s="29" t="str">
        <f t="shared" ca="1" si="15"/>
        <v>4/3</v>
      </c>
      <c r="AL9" s="29">
        <f t="shared" ca="1" si="16"/>
        <v>1.3333333333333333</v>
      </c>
      <c r="AM9" s="32">
        <f t="shared" ca="1" si="35"/>
        <v>1.3333333333333333</v>
      </c>
      <c r="AO9" s="20">
        <f>Tools!$AD8</f>
        <v>3</v>
      </c>
      <c r="AP9" s="33" t="str">
        <f t="shared" si="36"/>
        <v xml:space="preserve">  </v>
      </c>
      <c r="AQ9" s="34" t="str">
        <f t="shared" ca="1" si="18"/>
        <v>4/3</v>
      </c>
      <c r="AR9" s="23" t="str">
        <f t="shared" ca="1" si="19"/>
        <v xml:space="preserve">  </v>
      </c>
      <c r="AS9" s="24">
        <f t="shared" si="20"/>
        <v>-7</v>
      </c>
      <c r="AT9" s="23" t="str">
        <f t="shared" ca="1" si="37"/>
        <v xml:space="preserve">  </v>
      </c>
      <c r="AU9" s="23" t="str">
        <f t="shared" ca="1" si="40"/>
        <v xml:space="preserve">  </v>
      </c>
      <c r="AV9" s="23" t="str">
        <f t="shared" si="21"/>
        <v xml:space="preserve">  </v>
      </c>
      <c r="AW9" s="23" t="str">
        <f t="shared" ca="1" si="22"/>
        <v xml:space="preserve">  </v>
      </c>
      <c r="AY9" s="35" t="str">
        <f t="shared" si="23"/>
        <v xml:space="preserve"> </v>
      </c>
      <c r="AZ9" s="23" t="str">
        <f t="shared" ref="AZ9:AZ28" ca="1" si="41">IFERROR(AY9*AM9,"  ")</f>
        <v xml:space="preserve">  </v>
      </c>
      <c r="BA9" s="36" t="str">
        <f t="shared" si="25"/>
        <v xml:space="preserve"> </v>
      </c>
      <c r="BB9" s="27" t="str">
        <f t="shared" ca="1" si="38"/>
        <v xml:space="preserve">  </v>
      </c>
      <c r="BC9" s="23" t="str">
        <f t="shared" ca="1" si="39"/>
        <v xml:space="preserve">  </v>
      </c>
    </row>
    <row r="10" spans="1:60" x14ac:dyDescent="0.25">
      <c r="A10" s="20">
        <f>Tools!$AD9</f>
        <v>4</v>
      </c>
      <c r="B10" s="33" t="str">
        <f t="shared" si="0"/>
        <v xml:space="preserve">  </v>
      </c>
      <c r="C10" s="22">
        <f>IF(A10="  ","  ",IF(AND(A9="  ",A11="  "),"?",IF(A9="  ",1*(A11-A10),IF(A11="  ",1*(A10-A9),1*(A11-A9)))))</f>
        <v>2</v>
      </c>
      <c r="D10" s="23" t="str">
        <f t="shared" si="26"/>
        <v xml:space="preserve">  </v>
      </c>
      <c r="E10" s="24">
        <f t="shared" si="1"/>
        <v>-6</v>
      </c>
      <c r="F10" s="23" t="str">
        <f t="shared" si="27"/>
        <v xml:space="preserve">  </v>
      </c>
      <c r="G10" s="23" t="str">
        <f t="shared" si="28"/>
        <v xml:space="preserve">  </v>
      </c>
      <c r="H10" s="23" t="str">
        <f t="shared" si="29"/>
        <v xml:space="preserve">  </v>
      </c>
      <c r="I10" s="23" t="str">
        <f>IFERROR(H10*C10,"  ")</f>
        <v xml:space="preserve">  </v>
      </c>
      <c r="J10" s="4"/>
      <c r="K10" s="37" t="str">
        <f t="shared" si="2"/>
        <v xml:space="preserve"> </v>
      </c>
      <c r="L10" s="23" t="str">
        <f t="shared" si="31"/>
        <v xml:space="preserve">  </v>
      </c>
      <c r="M10" s="38" t="str">
        <f t="shared" si="3"/>
        <v xml:space="preserve"> </v>
      </c>
      <c r="N10" s="27" t="str">
        <f t="shared" si="32"/>
        <v xml:space="preserve">  </v>
      </c>
      <c r="O10" s="23" t="str">
        <f t="shared" si="33"/>
        <v xml:space="preserve">  </v>
      </c>
      <c r="P10" s="4"/>
      <c r="Q10" s="45"/>
      <c r="R10" s="46"/>
      <c r="S10" s="490"/>
      <c r="W10" s="29">
        <f>IF(AO10="  ","  ",IF(AND(AO9="  ",AO11="  "),"?",IF(AO9="  ",1*(AO11-AO10),IF(AO11="  ",1*(AO10-AO9),1*(AO11-AO9)))))</f>
        <v>2</v>
      </c>
      <c r="X10" s="30" t="str">
        <f t="shared" si="4"/>
        <v>WW</v>
      </c>
      <c r="Y10" s="30" t="str">
        <f t="shared" si="5"/>
        <v>-</v>
      </c>
      <c r="Z10" s="29" t="b">
        <f t="shared" si="6"/>
        <v>0</v>
      </c>
      <c r="AA10" s="29" t="b">
        <f t="shared" si="7"/>
        <v>0</v>
      </c>
      <c r="AB10" s="29" t="str">
        <f t="shared" ca="1" si="8"/>
        <v>++</v>
      </c>
      <c r="AC10" s="29">
        <f t="shared" si="34"/>
        <v>7</v>
      </c>
      <c r="AD10" s="29">
        <f t="shared" ca="1" si="9"/>
        <v>7</v>
      </c>
      <c r="AE10" s="29">
        <v>7</v>
      </c>
      <c r="AF10" s="31">
        <f t="shared" ref="AF10:AF28" si="42">IF(AND(AG10=TRUE,OR(NOT(AG9=TRUE),AG9="Full")),1,IF(ISNUMBER(AF9),AF9+1," "))</f>
        <v>3</v>
      </c>
      <c r="AG10" s="29" t="b">
        <f t="shared" si="11"/>
        <v>1</v>
      </c>
      <c r="AH10" s="30" t="str">
        <f t="shared" ca="1" si="12"/>
        <v>141-2</v>
      </c>
      <c r="AI10" s="30" t="str">
        <f t="shared" ca="1" si="13"/>
        <v/>
      </c>
      <c r="AJ10" s="29">
        <f t="shared" ca="1" si="14"/>
        <v>0</v>
      </c>
      <c r="AK10" s="29" t="str">
        <f t="shared" ca="1" si="15"/>
        <v>2/3</v>
      </c>
      <c r="AL10" s="29">
        <f t="shared" ca="1" si="16"/>
        <v>0.66666666666666663</v>
      </c>
      <c r="AM10" s="32">
        <f t="shared" ca="1" si="35"/>
        <v>0.66666666666666663</v>
      </c>
      <c r="AO10" s="20">
        <f>Tools!$AD9</f>
        <v>4</v>
      </c>
      <c r="AP10" s="33" t="str">
        <f t="shared" si="36"/>
        <v xml:space="preserve">  </v>
      </c>
      <c r="AQ10" s="34" t="str">
        <f t="shared" ca="1" si="18"/>
        <v>2/3</v>
      </c>
      <c r="AR10" s="23" t="str">
        <f t="shared" ca="1" si="19"/>
        <v xml:space="preserve">  </v>
      </c>
      <c r="AS10" s="24">
        <f t="shared" si="20"/>
        <v>-6</v>
      </c>
      <c r="AT10" s="23" t="str">
        <f t="shared" ca="1" si="37"/>
        <v xml:space="preserve">  </v>
      </c>
      <c r="AU10" s="23" t="str">
        <f ca="1">IFERROR(AT10*AS10,"  ")</f>
        <v xml:space="preserve">  </v>
      </c>
      <c r="AV10" s="23" t="str">
        <f t="shared" si="21"/>
        <v xml:space="preserve">  </v>
      </c>
      <c r="AW10" s="23" t="str">
        <f t="shared" ca="1" si="22"/>
        <v xml:space="preserve">  </v>
      </c>
      <c r="AY10" s="35" t="str">
        <f t="shared" si="23"/>
        <v xml:space="preserve"> </v>
      </c>
      <c r="AZ10" s="23" t="str">
        <f t="shared" ca="1" si="41"/>
        <v xml:space="preserve">  </v>
      </c>
      <c r="BA10" s="36" t="str">
        <f t="shared" si="25"/>
        <v xml:space="preserve"> </v>
      </c>
      <c r="BB10" s="27" t="str">
        <f t="shared" ca="1" si="38"/>
        <v xml:space="preserve">  </v>
      </c>
      <c r="BC10" s="23" t="str">
        <f t="shared" ca="1" si="39"/>
        <v xml:space="preserve">  </v>
      </c>
      <c r="BE10" s="43" t="s">
        <v>31</v>
      </c>
      <c r="BF10" s="44" t="s">
        <v>32</v>
      </c>
      <c r="BG10" s="489" t="s">
        <v>33</v>
      </c>
    </row>
    <row r="11" spans="1:60" x14ac:dyDescent="0.25">
      <c r="A11" s="20">
        <f>Tools!$AD10</f>
        <v>5</v>
      </c>
      <c r="B11" s="33" t="str">
        <f t="shared" si="0"/>
        <v xml:space="preserve">  </v>
      </c>
      <c r="C11" s="22">
        <f>IF(A11="  ","  ",IF(AND(A10="  ",A12="  "),"?",IF(A10="  ",2*(A12-A11),IF(A12="  ",2*(A11-A10),2*(A12-A10)))))</f>
        <v>4</v>
      </c>
      <c r="D11" s="23" t="str">
        <f t="shared" si="26"/>
        <v xml:space="preserve">  </v>
      </c>
      <c r="E11" s="24">
        <f t="shared" si="1"/>
        <v>-5</v>
      </c>
      <c r="F11" s="23" t="str">
        <f t="shared" si="27"/>
        <v xml:space="preserve">  </v>
      </c>
      <c r="G11" s="23" t="str">
        <f t="shared" si="28"/>
        <v xml:space="preserve">  </v>
      </c>
      <c r="H11" s="23" t="str">
        <f t="shared" si="29"/>
        <v xml:space="preserve">  </v>
      </c>
      <c r="I11" s="23" t="str">
        <f t="shared" si="30"/>
        <v xml:space="preserve">  </v>
      </c>
      <c r="J11" s="4"/>
      <c r="K11" s="37" t="str">
        <f t="shared" si="2"/>
        <v xml:space="preserve"> </v>
      </c>
      <c r="L11" s="23" t="str">
        <f t="shared" si="31"/>
        <v xml:space="preserve">  </v>
      </c>
      <c r="M11" s="38" t="str">
        <f t="shared" si="3"/>
        <v xml:space="preserve"> </v>
      </c>
      <c r="N11" s="27" t="str">
        <f t="shared" si="32"/>
        <v xml:space="preserve">  </v>
      </c>
      <c r="O11" s="23" t="str">
        <f t="shared" si="33"/>
        <v xml:space="preserve">  </v>
      </c>
      <c r="P11" s="4"/>
      <c r="Q11" s="47" t="s">
        <v>34</v>
      </c>
      <c r="R11" s="48" t="s">
        <v>35</v>
      </c>
      <c r="S11" t="str">
        <f>IF(Tools!$L$49="Use 141 rule only",I35,IF(Tools!$L$49="Use 141 and 1331 rules",BG12," "))</f>
        <v xml:space="preserve">  </v>
      </c>
      <c r="W11" s="29">
        <f>IF(AO11="  ","  ",IF(AND(AO10="  ",AO12="  "),"?",IF(AO10="  ",2*(AO12-AO11),IF(AO12="  ",2*(AO11-AO10),2*(AO12-AO10)))))</f>
        <v>4</v>
      </c>
      <c r="X11" s="30" t="str">
        <f t="shared" si="4"/>
        <v>WW</v>
      </c>
      <c r="Y11" s="30" t="str">
        <f t="shared" si="5"/>
        <v>-</v>
      </c>
      <c r="Z11" s="29" t="b">
        <f t="shared" si="6"/>
        <v>0</v>
      </c>
      <c r="AA11" s="29" t="b">
        <f t="shared" si="7"/>
        <v>0</v>
      </c>
      <c r="AB11" s="29" t="str">
        <f t="shared" ca="1" si="8"/>
        <v>++</v>
      </c>
      <c r="AC11" s="29">
        <f t="shared" si="34"/>
        <v>8</v>
      </c>
      <c r="AD11" s="29">
        <f t="shared" ca="1" si="9"/>
        <v>8</v>
      </c>
      <c r="AE11" s="29">
        <v>8</v>
      </c>
      <c r="AF11" s="31">
        <f t="shared" si="42"/>
        <v>4</v>
      </c>
      <c r="AG11" s="29" t="b">
        <f t="shared" si="11"/>
        <v>1</v>
      </c>
      <c r="AH11" s="30" t="str">
        <f t="shared" ca="1" si="12"/>
        <v>141-4</v>
      </c>
      <c r="AI11" s="30" t="str">
        <f t="shared" ca="1" si="13"/>
        <v/>
      </c>
      <c r="AJ11" s="29">
        <f t="shared" ca="1" si="14"/>
        <v>0</v>
      </c>
      <c r="AK11" s="29" t="str">
        <f t="shared" ca="1" si="15"/>
        <v>4/3</v>
      </c>
      <c r="AL11" s="29">
        <f t="shared" ca="1" si="16"/>
        <v>1.3333333333333333</v>
      </c>
      <c r="AM11" s="32">
        <f t="shared" ca="1" si="35"/>
        <v>1.3333333333333333</v>
      </c>
      <c r="AO11" s="20">
        <f>Tools!$AD10</f>
        <v>5</v>
      </c>
      <c r="AP11" s="33" t="str">
        <f t="shared" si="36"/>
        <v xml:space="preserve">  </v>
      </c>
      <c r="AQ11" s="34" t="str">
        <f t="shared" ca="1" si="18"/>
        <v>4/3</v>
      </c>
      <c r="AR11" s="23" t="str">
        <f t="shared" ca="1" si="19"/>
        <v xml:space="preserve">  </v>
      </c>
      <c r="AS11" s="24">
        <f t="shared" si="20"/>
        <v>-5</v>
      </c>
      <c r="AT11" s="23" t="str">
        <f t="shared" ca="1" si="37"/>
        <v xml:space="preserve">  </v>
      </c>
      <c r="AU11" s="23" t="str">
        <f t="shared" ca="1" si="40"/>
        <v xml:space="preserve">  </v>
      </c>
      <c r="AV11" s="23" t="str">
        <f t="shared" si="21"/>
        <v xml:space="preserve">  </v>
      </c>
      <c r="AW11" s="23" t="str">
        <f t="shared" ca="1" si="22"/>
        <v xml:space="preserve">  </v>
      </c>
      <c r="AY11" s="35" t="str">
        <f t="shared" si="23"/>
        <v xml:space="preserve"> </v>
      </c>
      <c r="AZ11" s="23" t="str">
        <f t="shared" ca="1" si="41"/>
        <v xml:space="preserve">  </v>
      </c>
      <c r="BA11" s="36" t="str">
        <f t="shared" si="25"/>
        <v xml:space="preserve"> </v>
      </c>
      <c r="BB11" s="27" t="str">
        <f t="shared" ca="1" si="38"/>
        <v xml:space="preserve">  </v>
      </c>
      <c r="BC11" s="23" t="str">
        <f ca="1">IFERROR(AZ11*AS11,"  ")</f>
        <v xml:space="preserve">  </v>
      </c>
      <c r="BE11" s="45"/>
      <c r="BF11" s="46"/>
      <c r="BG11" s="490"/>
    </row>
    <row r="12" spans="1:60" x14ac:dyDescent="0.25">
      <c r="A12" s="20">
        <f>Tools!$AD11</f>
        <v>6</v>
      </c>
      <c r="B12" s="33" t="str">
        <f t="shared" si="0"/>
        <v xml:space="preserve">  </v>
      </c>
      <c r="C12" s="22">
        <f>IF(A12="  ","  ",IF(AND(A11="  ",A13="  "),"?",IF(A11="  ",1*(A13-A12),IF(A13="  ",1*(A12-A11),1*(A13-A11)))))</f>
        <v>2</v>
      </c>
      <c r="D12" s="23" t="str">
        <f t="shared" si="26"/>
        <v xml:space="preserve">  </v>
      </c>
      <c r="E12" s="24">
        <f t="shared" si="1"/>
        <v>-4</v>
      </c>
      <c r="F12" s="23" t="str">
        <f t="shared" si="27"/>
        <v xml:space="preserve">  </v>
      </c>
      <c r="G12" s="23" t="str">
        <f t="shared" si="28"/>
        <v xml:space="preserve">  </v>
      </c>
      <c r="H12" s="23" t="str">
        <f t="shared" si="29"/>
        <v xml:space="preserve">  </v>
      </c>
      <c r="I12" s="23" t="str">
        <f t="shared" si="30"/>
        <v xml:space="preserve">  </v>
      </c>
      <c r="J12" s="4"/>
      <c r="K12" s="37" t="str">
        <f t="shared" si="2"/>
        <v xml:space="preserve"> </v>
      </c>
      <c r="L12" s="23" t="str">
        <f t="shared" si="31"/>
        <v xml:space="preserve">  </v>
      </c>
      <c r="M12" s="38" t="str">
        <f t="shared" si="3"/>
        <v xml:space="preserve"> </v>
      </c>
      <c r="N12" s="27" t="str">
        <f t="shared" si="32"/>
        <v xml:space="preserve">  </v>
      </c>
      <c r="O12" s="23" t="str">
        <f t="shared" si="33"/>
        <v xml:space="preserve">  </v>
      </c>
      <c r="P12" s="4"/>
      <c r="Q12" s="47" t="s">
        <v>36</v>
      </c>
      <c r="R12" s="48" t="s">
        <v>37</v>
      </c>
      <c r="S12" t="str">
        <f>IF(Tools!$L$49="Use 141 rule only",I36,IF(Tools!$L$49="Use 141 and 1331 rules",BG13," "))</f>
        <v xml:space="preserve">  </v>
      </c>
      <c r="W12" s="29">
        <f>IF(AO12="  ","  ",IF(AND(AO11="  ",AO13="  "),"?",IF(AO11="  ",1*(AO13-AO12),IF(AO13="  ",1*(AO12-AO11),1*(AO13-AO11)))))</f>
        <v>2</v>
      </c>
      <c r="X12" s="30" t="str">
        <f t="shared" si="4"/>
        <v>WW</v>
      </c>
      <c r="Y12" s="30" t="str">
        <f t="shared" si="5"/>
        <v>-</v>
      </c>
      <c r="Z12" s="29" t="b">
        <f t="shared" si="6"/>
        <v>0</v>
      </c>
      <c r="AA12" s="29" t="b">
        <f t="shared" si="7"/>
        <v>0</v>
      </c>
      <c r="AB12" s="29" t="str">
        <f t="shared" ca="1" si="8"/>
        <v>++</v>
      </c>
      <c r="AC12" s="29">
        <f t="shared" si="34"/>
        <v>9</v>
      </c>
      <c r="AD12" s="29">
        <f t="shared" ca="1" si="9"/>
        <v>9</v>
      </c>
      <c r="AE12" s="29">
        <v>9</v>
      </c>
      <c r="AF12" s="31">
        <f t="shared" si="42"/>
        <v>5</v>
      </c>
      <c r="AG12" s="29" t="b">
        <f t="shared" si="11"/>
        <v>1</v>
      </c>
      <c r="AH12" s="30" t="str">
        <f t="shared" ca="1" si="12"/>
        <v>141-2</v>
      </c>
      <c r="AI12" s="30" t="str">
        <f t="shared" ca="1" si="13"/>
        <v/>
      </c>
      <c r="AJ12" s="29">
        <f t="shared" ca="1" si="14"/>
        <v>0</v>
      </c>
      <c r="AK12" s="29" t="str">
        <f t="shared" ca="1" si="15"/>
        <v>2/3</v>
      </c>
      <c r="AL12" s="29">
        <f t="shared" ca="1" si="16"/>
        <v>0.66666666666666663</v>
      </c>
      <c r="AM12" s="32">
        <f t="shared" ca="1" si="35"/>
        <v>0.66666666666666663</v>
      </c>
      <c r="AO12" s="20">
        <f>Tools!$AD11</f>
        <v>6</v>
      </c>
      <c r="AP12" s="33" t="str">
        <f t="shared" si="36"/>
        <v xml:space="preserve">  </v>
      </c>
      <c r="AQ12" s="34" t="str">
        <f t="shared" ca="1" si="18"/>
        <v>2/3</v>
      </c>
      <c r="AR12" s="23" t="str">
        <f t="shared" ca="1" si="19"/>
        <v xml:space="preserve">  </v>
      </c>
      <c r="AS12" s="24">
        <f t="shared" si="20"/>
        <v>-4</v>
      </c>
      <c r="AT12" s="23" t="str">
        <f t="shared" ca="1" si="37"/>
        <v xml:space="preserve">  </v>
      </c>
      <c r="AU12" s="23" t="str">
        <f t="shared" ca="1" si="40"/>
        <v xml:space="preserve">  </v>
      </c>
      <c r="AV12" s="23" t="str">
        <f t="shared" si="21"/>
        <v xml:space="preserve">  </v>
      </c>
      <c r="AW12" s="23" t="str">
        <f t="shared" ca="1" si="22"/>
        <v xml:space="preserve">  </v>
      </c>
      <c r="AY12" s="35" t="str">
        <f t="shared" si="23"/>
        <v xml:space="preserve"> </v>
      </c>
      <c r="AZ12" s="23" t="str">
        <f t="shared" ca="1" si="41"/>
        <v xml:space="preserve">  </v>
      </c>
      <c r="BA12" s="36" t="str">
        <f t="shared" si="25"/>
        <v xml:space="preserve"> </v>
      </c>
      <c r="BB12" s="27" t="str">
        <f t="shared" ca="1" si="38"/>
        <v xml:space="preserve">  </v>
      </c>
      <c r="BC12" s="23" t="str">
        <f t="shared" ca="1" si="39"/>
        <v xml:space="preserve">  </v>
      </c>
      <c r="BE12" s="47" t="s">
        <v>34</v>
      </c>
      <c r="BF12" s="48" t="s">
        <v>38</v>
      </c>
      <c r="BG12" s="49" t="str">
        <f>IF(WL_No="  ","  ",2*h*$AR$29)</f>
        <v xml:space="preserve">  </v>
      </c>
    </row>
    <row r="13" spans="1:60" x14ac:dyDescent="0.25">
      <c r="A13" s="20">
        <f>Tools!$AD12</f>
        <v>7</v>
      </c>
      <c r="B13" s="33" t="str">
        <f t="shared" si="0"/>
        <v xml:space="preserve">  </v>
      </c>
      <c r="C13" s="22">
        <f>IF(A13="  ","  ",IF(AND(A12="  ",A14="  "),"?",IF(A12="  ",2*(A14-A13),IF(A14="  ",2*(A13-A12),2*(A14-A12)))))</f>
        <v>4</v>
      </c>
      <c r="D13" s="23" t="str">
        <f t="shared" si="26"/>
        <v xml:space="preserve">  </v>
      </c>
      <c r="E13" s="24">
        <f t="shared" si="1"/>
        <v>-3</v>
      </c>
      <c r="F13" s="23" t="str">
        <f t="shared" si="27"/>
        <v xml:space="preserve">  </v>
      </c>
      <c r="G13" s="23" t="str">
        <f t="shared" si="28"/>
        <v xml:space="preserve">  </v>
      </c>
      <c r="H13" s="23" t="str">
        <f t="shared" si="29"/>
        <v xml:space="preserve">  </v>
      </c>
      <c r="I13" s="23" t="str">
        <f t="shared" si="30"/>
        <v xml:space="preserve">  </v>
      </c>
      <c r="J13" s="4"/>
      <c r="K13" s="37" t="str">
        <f t="shared" si="2"/>
        <v xml:space="preserve"> </v>
      </c>
      <c r="L13" s="23" t="str">
        <f t="shared" si="31"/>
        <v xml:space="preserve">  </v>
      </c>
      <c r="M13" s="38" t="str">
        <f t="shared" si="3"/>
        <v xml:space="preserve"> </v>
      </c>
      <c r="N13" s="27" t="str">
        <f t="shared" si="32"/>
        <v xml:space="preserve">  </v>
      </c>
      <c r="O13" s="23" t="str">
        <f t="shared" si="33"/>
        <v xml:space="preserve">  </v>
      </c>
      <c r="P13" s="4"/>
      <c r="Q13" s="50" t="s">
        <v>39</v>
      </c>
      <c r="R13" s="48" t="s">
        <v>40</v>
      </c>
      <c r="S13" t="str">
        <f>IF(Tools!$L$49="Use 141 rule only",I37,IF(Tools!$L$49="Use 141 and 1331 rules",BG14," "))</f>
        <v xml:space="preserve">  </v>
      </c>
      <c r="W13" s="29">
        <f>IF(AO13="  ","  ",IF(AND(AO12="  ",AO14="  "),"?",IF(AO12="  ",2*(AO14-AO13),IF(AO14="  ",2*(AO13-AO12),2*(AO14-AO12)))))</f>
        <v>4</v>
      </c>
      <c r="X13" s="30" t="str">
        <f t="shared" si="4"/>
        <v>WW</v>
      </c>
      <c r="Y13" s="30" t="str">
        <f t="shared" si="5"/>
        <v>-</v>
      </c>
      <c r="Z13" s="29" t="b">
        <f t="shared" si="6"/>
        <v>0</v>
      </c>
      <c r="AA13" s="29" t="b">
        <f t="shared" si="7"/>
        <v>0</v>
      </c>
      <c r="AB13" s="29" t="str">
        <f t="shared" ca="1" si="8"/>
        <v>++</v>
      </c>
      <c r="AC13" s="29">
        <f t="shared" si="34"/>
        <v>10</v>
      </c>
      <c r="AD13" s="29">
        <f t="shared" ca="1" si="9"/>
        <v>10</v>
      </c>
      <c r="AE13" s="29">
        <v>10</v>
      </c>
      <c r="AF13" s="31">
        <f t="shared" si="42"/>
        <v>6</v>
      </c>
      <c r="AG13" s="29" t="b">
        <f t="shared" si="11"/>
        <v>1</v>
      </c>
      <c r="AH13" s="30" t="str">
        <f t="shared" ca="1" si="12"/>
        <v>141-4</v>
      </c>
      <c r="AI13" s="30" t="str">
        <f t="shared" ca="1" si="13"/>
        <v/>
      </c>
      <c r="AJ13" s="29">
        <f t="shared" ca="1" si="14"/>
        <v>0</v>
      </c>
      <c r="AK13" s="29" t="str">
        <f t="shared" ca="1" si="15"/>
        <v>4/3</v>
      </c>
      <c r="AL13" s="29">
        <f t="shared" ca="1" si="16"/>
        <v>1.3333333333333333</v>
      </c>
      <c r="AM13" s="32">
        <f t="shared" ca="1" si="35"/>
        <v>1.3333333333333333</v>
      </c>
      <c r="AO13" s="20">
        <f>Tools!$AD12</f>
        <v>7</v>
      </c>
      <c r="AP13" s="33" t="str">
        <f t="shared" si="36"/>
        <v xml:space="preserve">  </v>
      </c>
      <c r="AQ13" s="34" t="str">
        <f t="shared" ca="1" si="18"/>
        <v>4/3</v>
      </c>
      <c r="AR13" s="23" t="str">
        <f t="shared" ca="1" si="19"/>
        <v xml:space="preserve">  </v>
      </c>
      <c r="AS13" s="24">
        <f t="shared" si="20"/>
        <v>-3</v>
      </c>
      <c r="AT13" s="23" t="str">
        <f t="shared" ca="1" si="37"/>
        <v xml:space="preserve">  </v>
      </c>
      <c r="AU13" s="23" t="str">
        <f t="shared" ca="1" si="40"/>
        <v xml:space="preserve">  </v>
      </c>
      <c r="AV13" s="23" t="str">
        <f t="shared" si="21"/>
        <v xml:space="preserve">  </v>
      </c>
      <c r="AW13" s="23" t="str">
        <f t="shared" ca="1" si="22"/>
        <v xml:space="preserve">  </v>
      </c>
      <c r="AY13" s="35" t="str">
        <f t="shared" si="23"/>
        <v xml:space="preserve"> </v>
      </c>
      <c r="AZ13" s="23" t="str">
        <f t="shared" ca="1" si="41"/>
        <v xml:space="preserve">  </v>
      </c>
      <c r="BA13" s="36" t="str">
        <f t="shared" si="25"/>
        <v xml:space="preserve"> </v>
      </c>
      <c r="BB13" s="27" t="str">
        <f t="shared" ca="1" si="38"/>
        <v xml:space="preserve">  </v>
      </c>
      <c r="BC13" s="23" t="str">
        <f t="shared" ca="1" si="39"/>
        <v xml:space="preserve">  </v>
      </c>
      <c r="BE13" s="47" t="s">
        <v>36</v>
      </c>
      <c r="BF13" s="48" t="s">
        <v>41</v>
      </c>
      <c r="BG13" s="49" t="str">
        <f>IF(WL_No="  ","  ",2*(h^2)*$AT$29)</f>
        <v xml:space="preserve">  </v>
      </c>
    </row>
    <row r="14" spans="1:60" x14ac:dyDescent="0.25">
      <c r="A14" s="20">
        <f>Tools!$AD13</f>
        <v>8</v>
      </c>
      <c r="B14" s="33" t="str">
        <f t="shared" si="0"/>
        <v xml:space="preserve">  </v>
      </c>
      <c r="C14" s="22">
        <f>IF(A14="  ","  ",IF(AND(A13="  ",A15="  "),"?",IF(A13="  ",1*(A15-A14),IF(A15="  ",1*(A14-A13),1*(A15-A13)))))</f>
        <v>2</v>
      </c>
      <c r="D14" s="23" t="str">
        <f t="shared" si="26"/>
        <v xml:space="preserve">  </v>
      </c>
      <c r="E14" s="24">
        <f t="shared" si="1"/>
        <v>-2</v>
      </c>
      <c r="F14" s="23" t="str">
        <f t="shared" si="27"/>
        <v xml:space="preserve">  </v>
      </c>
      <c r="G14" s="23" t="str">
        <f t="shared" si="28"/>
        <v xml:space="preserve">  </v>
      </c>
      <c r="H14" s="23" t="str">
        <f t="shared" si="29"/>
        <v xml:space="preserve">  </v>
      </c>
      <c r="I14" s="23" t="str">
        <f t="shared" si="30"/>
        <v xml:space="preserve">  </v>
      </c>
      <c r="J14" s="4"/>
      <c r="K14" s="37" t="str">
        <f t="shared" si="2"/>
        <v xml:space="preserve"> </v>
      </c>
      <c r="L14" s="23" t="str">
        <f t="shared" si="31"/>
        <v xml:space="preserve">  </v>
      </c>
      <c r="M14" s="38" t="str">
        <f t="shared" si="3"/>
        <v xml:space="preserve"> </v>
      </c>
      <c r="N14" s="27" t="str">
        <f t="shared" si="32"/>
        <v xml:space="preserve">  </v>
      </c>
      <c r="O14" s="23" t="str">
        <f t="shared" si="33"/>
        <v xml:space="preserve">  </v>
      </c>
      <c r="P14" s="4"/>
      <c r="Q14" s="50" t="s">
        <v>42</v>
      </c>
      <c r="R14" s="48" t="s">
        <v>43</v>
      </c>
      <c r="S14" t="str">
        <f>IF(Tools!$L$49="Use 141 rule only",I38,IF(Tools!$L$49="Use 141 and 1331 rules",BG15," "))</f>
        <v xml:space="preserve">  </v>
      </c>
      <c r="W14" s="29">
        <f>IF(AO14="  ","  ",IF(AND(AO13="  ",AO15="  "),"?",IF(AO13="  ",1*(AO15-AO14),IF(AO15="  ",1*(AO14-AO13),1*(AO15-AO13)))))</f>
        <v>2</v>
      </c>
      <c r="X14" s="30" t="str">
        <f t="shared" si="4"/>
        <v>WW</v>
      </c>
      <c r="Y14" s="30" t="str">
        <f t="shared" si="5"/>
        <v>-</v>
      </c>
      <c r="Z14" s="29" t="b">
        <f t="shared" si="6"/>
        <v>0</v>
      </c>
      <c r="AA14" s="29" t="b">
        <f t="shared" si="7"/>
        <v>0</v>
      </c>
      <c r="AB14" s="29" t="str">
        <f t="shared" ca="1" si="8"/>
        <v>++</v>
      </c>
      <c r="AC14" s="29">
        <f t="shared" si="34"/>
        <v>11</v>
      </c>
      <c r="AD14" s="29">
        <f t="shared" ca="1" si="9"/>
        <v>11</v>
      </c>
      <c r="AE14" s="29">
        <v>11</v>
      </c>
      <c r="AF14" s="31">
        <f t="shared" si="42"/>
        <v>7</v>
      </c>
      <c r="AG14" s="29" t="b">
        <f t="shared" si="11"/>
        <v>1</v>
      </c>
      <c r="AH14" s="30" t="str">
        <f ca="1">IF(AND(AG14=TRUE,$AH$1=1),"141-4",IF(AG14=" ",IF(AND($AH$1=2,AF14=3),"141-1","-"),IF(OR(AG14=FALSE,AG14=" "),"-",IF(AG14=TRUE,IF(AND($AH$1=2,AF14=1),"141-1",IF(AND($AH$1=2,AF14=2),"141-4",IF(OR(ISODD($AH$1),AF14&gt;4),IF(AF14=1,"141-1",IF(OR(AB14="141-1",AB14="1331-1",AB14="1331-1,141-1"),"141-1",IF(AG15=" ","141-1",IF(OR(AH13="141-1",AH13="141-2",AH13="1331-1,141-1"),"141-4",IF(AH13="141-4","141-2","$$"))))),IF(ISEVEN($AH$1),IF(AF14=1,"1331-1",IF(OR(AF14=2,AF14=3),"1331-3",IF(AF14=4,IF($AH$1=4,"1331-1","1331-1,141-1"),"")))))))))))</f>
        <v>141-2</v>
      </c>
      <c r="AI14" s="30" t="str">
        <f t="shared" ca="1" si="13"/>
        <v/>
      </c>
      <c r="AJ14" s="29">
        <f t="shared" ca="1" si="14"/>
        <v>0</v>
      </c>
      <c r="AK14" s="29" t="str">
        <f t="shared" ca="1" si="15"/>
        <v>2/3</v>
      </c>
      <c r="AL14" s="29">
        <f t="shared" ca="1" si="16"/>
        <v>0.66666666666666663</v>
      </c>
      <c r="AM14" s="32">
        <f t="shared" ca="1" si="35"/>
        <v>0.66666666666666663</v>
      </c>
      <c r="AO14" s="20">
        <f>Tools!$AD13</f>
        <v>8</v>
      </c>
      <c r="AP14" s="33" t="str">
        <f t="shared" si="36"/>
        <v xml:space="preserve">  </v>
      </c>
      <c r="AQ14" s="34" t="str">
        <f t="shared" ca="1" si="18"/>
        <v>2/3</v>
      </c>
      <c r="AR14" s="23" t="str">
        <f t="shared" ca="1" si="19"/>
        <v xml:space="preserve">  </v>
      </c>
      <c r="AS14" s="24">
        <f t="shared" si="20"/>
        <v>-2</v>
      </c>
      <c r="AT14" s="23" t="str">
        <f t="shared" ca="1" si="37"/>
        <v xml:space="preserve">  </v>
      </c>
      <c r="AU14" s="23" t="str">
        <f t="shared" ca="1" si="40"/>
        <v xml:space="preserve">  </v>
      </c>
      <c r="AV14" s="23" t="str">
        <f t="shared" si="21"/>
        <v xml:space="preserve">  </v>
      </c>
      <c r="AW14" s="23" t="str">
        <f t="shared" ca="1" si="22"/>
        <v xml:space="preserve">  </v>
      </c>
      <c r="AY14" s="35" t="str">
        <f t="shared" si="23"/>
        <v xml:space="preserve"> </v>
      </c>
      <c r="AZ14" s="23" t="str">
        <f t="shared" ca="1" si="41"/>
        <v xml:space="preserve">  </v>
      </c>
      <c r="BA14" s="36" t="str">
        <f t="shared" si="25"/>
        <v xml:space="preserve"> </v>
      </c>
      <c r="BB14" s="27" t="str">
        <f t="shared" ca="1" si="38"/>
        <v xml:space="preserve">  </v>
      </c>
      <c r="BC14" s="23" t="str">
        <f t="shared" ca="1" si="39"/>
        <v xml:space="preserve">  </v>
      </c>
      <c r="BE14" s="50" t="s">
        <v>39</v>
      </c>
      <c r="BF14" s="48" t="s">
        <v>40</v>
      </c>
      <c r="BG14" s="49" t="str">
        <f>IF(WL_No="  ","  ",Mmid/AWP)</f>
        <v xml:space="preserve">  </v>
      </c>
    </row>
    <row r="15" spans="1:60" x14ac:dyDescent="0.25">
      <c r="A15" s="20">
        <f>Tools!$AD14</f>
        <v>9</v>
      </c>
      <c r="B15" s="33" t="str">
        <f t="shared" si="0"/>
        <v xml:space="preserve">  </v>
      </c>
      <c r="C15" s="22">
        <f>IF(A15="  ","  ",IF(AND(A14="  ",A16="  "),"?",IF(A14="  ",2*(A16-A15),IF(A16="  ",2*(A15-A14),2*(A16-A14)))))</f>
        <v>4</v>
      </c>
      <c r="D15" s="23" t="str">
        <f t="shared" si="26"/>
        <v xml:space="preserve">  </v>
      </c>
      <c r="E15" s="24">
        <f t="shared" si="1"/>
        <v>-1</v>
      </c>
      <c r="F15" s="23" t="str">
        <f t="shared" si="27"/>
        <v xml:space="preserve">  </v>
      </c>
      <c r="G15" s="23" t="str">
        <f t="shared" si="28"/>
        <v xml:space="preserve">  </v>
      </c>
      <c r="H15" s="23" t="str">
        <f t="shared" si="29"/>
        <v xml:space="preserve">  </v>
      </c>
      <c r="I15" s="23" t="str">
        <f t="shared" si="30"/>
        <v xml:space="preserve">  </v>
      </c>
      <c r="J15" s="4"/>
      <c r="K15" s="37" t="str">
        <f t="shared" si="2"/>
        <v xml:space="preserve"> </v>
      </c>
      <c r="L15" s="23" t="str">
        <f t="shared" si="31"/>
        <v xml:space="preserve">  </v>
      </c>
      <c r="M15" s="38" t="str">
        <f t="shared" si="3"/>
        <v xml:space="preserve"> </v>
      </c>
      <c r="N15" s="27" t="str">
        <f t="shared" si="32"/>
        <v xml:space="preserve">  </v>
      </c>
      <c r="O15" s="23" t="str">
        <f t="shared" si="33"/>
        <v xml:space="preserve">  </v>
      </c>
      <c r="P15" s="4"/>
      <c r="Q15" s="51" t="s">
        <v>44</v>
      </c>
      <c r="R15" s="48" t="s">
        <v>45</v>
      </c>
      <c r="S15" t="str">
        <f>IF(Tools!$L$49="Use 141 rule only",I39,IF(Tools!$L$49="Use 141 and 1331 rules",BG16," "))</f>
        <v xml:space="preserve">  </v>
      </c>
      <c r="W15" s="29">
        <f>IF(AO15="  ","  ",IF(AND(AO14="  ",AO16="  "),"?",IF(AO14="  ",2*(AO16-AO15),IF(AO16="  ",2*(AO15-AO14),2*(AO16-AO14)))))</f>
        <v>4</v>
      </c>
      <c r="X15" s="30" t="str">
        <f t="shared" si="4"/>
        <v>WW</v>
      </c>
      <c r="Y15" s="30" t="str">
        <f t="shared" si="5"/>
        <v>-</v>
      </c>
      <c r="Z15" s="29" t="b">
        <f t="shared" si="6"/>
        <v>0</v>
      </c>
      <c r="AA15" s="29" t="b">
        <f t="shared" si="7"/>
        <v>0</v>
      </c>
      <c r="AB15" s="29" t="str">
        <f t="shared" ca="1" si="8"/>
        <v>++</v>
      </c>
      <c r="AC15" s="29">
        <f t="shared" si="34"/>
        <v>12</v>
      </c>
      <c r="AD15" s="29">
        <f t="shared" ca="1" si="9"/>
        <v>12</v>
      </c>
      <c r="AE15" s="29">
        <v>12</v>
      </c>
      <c r="AF15" s="31">
        <f t="shared" si="42"/>
        <v>8</v>
      </c>
      <c r="AG15" s="29" t="b">
        <f t="shared" si="11"/>
        <v>1</v>
      </c>
      <c r="AH15" s="30" t="str">
        <f t="shared" ref="AH15:AH28" ca="1" si="43">IF(AND(AG15=TRUE,$AH$1=1),"141-4",IF(AG15=" ",IF(AND($AH$1=2,AF15=3),"141-1","-"),IF(OR(AG15=FALSE,AG15=" "),"-",IF(AG15=TRUE,IF(AND($AH$1=2,AF15=1),"141-1",IF(AND($AH$1=2,AF15=2),"141-4",IF(OR(ISODD($AH$1),AF15&gt;4),IF(AF15=1,"141-1",IF(OR(AB15="141-1",AB15="1331-1",AB15="1331-1,141-1"),"141-1",IF(AG16=" ","141-1",IF(OR(AH14="141-1",AH14="141-2",AH14="1331-1,141-1"),"141-4",IF(AH14="141-4","141-2","$$"))))),IF(ISEVEN($AH$1),IF(AF15=1,"1331-1",IF(OR(AF15=2,AF15=3),"1331-3",IF(AF15=4,IF($AH$1=4,"1331-1","1331-1,141-1"),"")))))))))))</f>
        <v>141-4</v>
      </c>
      <c r="AI15" s="30" t="str">
        <f t="shared" ca="1" si="13"/>
        <v/>
      </c>
      <c r="AJ15" s="29">
        <f t="shared" ca="1" si="14"/>
        <v>0</v>
      </c>
      <c r="AK15" s="29" t="str">
        <f t="shared" ca="1" si="15"/>
        <v>4/3</v>
      </c>
      <c r="AL15" s="29">
        <f t="shared" ca="1" si="16"/>
        <v>1.3333333333333333</v>
      </c>
      <c r="AM15" s="32">
        <f t="shared" ca="1" si="35"/>
        <v>1.3333333333333333</v>
      </c>
      <c r="AO15" s="20">
        <f>Tools!$AD14</f>
        <v>9</v>
      </c>
      <c r="AP15" s="33" t="str">
        <f t="shared" si="36"/>
        <v xml:space="preserve">  </v>
      </c>
      <c r="AQ15" s="34" t="str">
        <f t="shared" ca="1" si="18"/>
        <v>4/3</v>
      </c>
      <c r="AR15" s="23" t="str">
        <f t="shared" ca="1" si="19"/>
        <v xml:space="preserve">  </v>
      </c>
      <c r="AS15" s="24">
        <f t="shared" si="20"/>
        <v>-1</v>
      </c>
      <c r="AT15" s="23" t="str">
        <f t="shared" ca="1" si="37"/>
        <v xml:space="preserve">  </v>
      </c>
      <c r="AU15" s="23" t="str">
        <f t="shared" ca="1" si="40"/>
        <v xml:space="preserve">  </v>
      </c>
      <c r="AV15" s="23" t="str">
        <f t="shared" si="21"/>
        <v xml:space="preserve">  </v>
      </c>
      <c r="AW15" s="23" t="str">
        <f t="shared" ca="1" si="22"/>
        <v xml:space="preserve">  </v>
      </c>
      <c r="AY15" s="35" t="str">
        <f t="shared" si="23"/>
        <v xml:space="preserve"> </v>
      </c>
      <c r="AZ15" s="23" t="str">
        <f t="shared" ca="1" si="41"/>
        <v xml:space="preserve">  </v>
      </c>
      <c r="BA15" s="36" t="str">
        <f t="shared" si="25"/>
        <v xml:space="preserve"> </v>
      </c>
      <c r="BB15" s="27" t="str">
        <f ca="1">IFERROR(BA15*AM15,"  ")</f>
        <v xml:space="preserve">  </v>
      </c>
      <c r="BC15" s="23" t="str">
        <f t="shared" ca="1" si="39"/>
        <v xml:space="preserve">  </v>
      </c>
      <c r="BE15" s="50" t="s">
        <v>42</v>
      </c>
      <c r="BF15" s="48" t="s">
        <v>46</v>
      </c>
      <c r="BG15" s="49" t="str">
        <f>IF(WL_No="  ","  ",2*(h^3)*$AU$29)</f>
        <v xml:space="preserve">  </v>
      </c>
    </row>
    <row r="16" spans="1:60" x14ac:dyDescent="0.25">
      <c r="A16" s="20">
        <f>Tools!$AD15</f>
        <v>10</v>
      </c>
      <c r="B16" s="33" t="str">
        <f t="shared" si="0"/>
        <v xml:space="preserve">  </v>
      </c>
      <c r="C16" s="22">
        <f>IF(A16="  ","  ",IF(AND(A15="  ",A17="  "),"?",IF(A15="  ",1*(A17-A16),IF(A17="  ",1*(A16-A15),1*(A17-A15)))))</f>
        <v>2</v>
      </c>
      <c r="D16" s="23" t="str">
        <f t="shared" si="26"/>
        <v xml:space="preserve">  </v>
      </c>
      <c r="E16" s="24">
        <f t="shared" si="1"/>
        <v>0</v>
      </c>
      <c r="F16" s="23" t="str">
        <f t="shared" si="27"/>
        <v xml:space="preserve">  </v>
      </c>
      <c r="G16" s="23" t="str">
        <f t="shared" si="28"/>
        <v xml:space="preserve">  </v>
      </c>
      <c r="H16" s="23" t="str">
        <f t="shared" si="29"/>
        <v xml:space="preserve">  </v>
      </c>
      <c r="I16" s="23" t="str">
        <f t="shared" si="30"/>
        <v xml:space="preserve">  </v>
      </c>
      <c r="J16" s="4"/>
      <c r="K16" s="37" t="str">
        <f t="shared" si="2"/>
        <v xml:space="preserve"> </v>
      </c>
      <c r="L16" s="23" t="str">
        <f t="shared" si="31"/>
        <v xml:space="preserve">  </v>
      </c>
      <c r="M16" s="38" t="str">
        <f t="shared" si="3"/>
        <v xml:space="preserve"> </v>
      </c>
      <c r="N16" s="27" t="str">
        <f t="shared" si="32"/>
        <v xml:space="preserve">  </v>
      </c>
      <c r="O16" s="23" t="str">
        <f t="shared" si="33"/>
        <v xml:space="preserve">  </v>
      </c>
      <c r="P16" s="4"/>
      <c r="Q16" s="50" t="s">
        <v>47</v>
      </c>
      <c r="R16" s="48" t="s">
        <v>48</v>
      </c>
      <c r="S16" t="str">
        <f>IF(Tools!$L$49="Use 141 rule only",I40,IF(Tools!$L$49="Use 141 and 1331 rules",BG17," "))</f>
        <v xml:space="preserve">  </v>
      </c>
      <c r="W16" s="29">
        <f>IF(AO16="  ","  ",IF(AND(AO15="  ",AO17="  "),"?",IF(AO15="  ",1*(AO17-AO16),IF(AO17="  ",1*(AO16-AO15),1*(AO17-AO15)))))</f>
        <v>2</v>
      </c>
      <c r="X16" s="30" t="str">
        <f t="shared" si="4"/>
        <v>WW</v>
      </c>
      <c r="Y16" s="30" t="str">
        <f t="shared" si="5"/>
        <v>-</v>
      </c>
      <c r="Z16" s="29" t="b">
        <f t="shared" si="6"/>
        <v>0</v>
      </c>
      <c r="AA16" s="29" t="b">
        <f t="shared" si="7"/>
        <v>0</v>
      </c>
      <c r="AB16" s="29" t="str">
        <f t="shared" ca="1" si="8"/>
        <v>++</v>
      </c>
      <c r="AC16" s="29">
        <f t="shared" si="34"/>
        <v>13</v>
      </c>
      <c r="AD16" s="29">
        <f t="shared" ca="1" si="9"/>
        <v>13</v>
      </c>
      <c r="AE16" s="29">
        <v>13</v>
      </c>
      <c r="AF16" s="31">
        <f t="shared" si="42"/>
        <v>9</v>
      </c>
      <c r="AG16" s="29" t="b">
        <f t="shared" si="11"/>
        <v>1</v>
      </c>
      <c r="AH16" s="30" t="str">
        <f t="shared" ca="1" si="43"/>
        <v>141-2</v>
      </c>
      <c r="AI16" s="30" t="str">
        <f t="shared" ca="1" si="13"/>
        <v/>
      </c>
      <c r="AJ16" s="29">
        <f t="shared" ca="1" si="14"/>
        <v>0</v>
      </c>
      <c r="AK16" s="29" t="str">
        <f t="shared" ca="1" si="15"/>
        <v>2/3</v>
      </c>
      <c r="AL16" s="29">
        <f t="shared" ca="1" si="16"/>
        <v>0.66666666666666663</v>
      </c>
      <c r="AM16" s="32">
        <f t="shared" ca="1" si="35"/>
        <v>0.66666666666666663</v>
      </c>
      <c r="AO16" s="20">
        <f>Tools!$AD15</f>
        <v>10</v>
      </c>
      <c r="AP16" s="33" t="str">
        <f t="shared" si="36"/>
        <v xml:space="preserve">  </v>
      </c>
      <c r="AQ16" s="34" t="str">
        <f t="shared" ca="1" si="18"/>
        <v>2/3</v>
      </c>
      <c r="AR16" s="23" t="str">
        <f t="shared" ca="1" si="19"/>
        <v xml:space="preserve">  </v>
      </c>
      <c r="AS16" s="24">
        <f t="shared" si="20"/>
        <v>0</v>
      </c>
      <c r="AT16" s="23" t="str">
        <f t="shared" ca="1" si="37"/>
        <v xml:space="preserve">  </v>
      </c>
      <c r="AU16" s="23" t="str">
        <f t="shared" ca="1" si="40"/>
        <v xml:space="preserve">  </v>
      </c>
      <c r="AV16" s="23" t="str">
        <f t="shared" si="21"/>
        <v xml:space="preserve">  </v>
      </c>
      <c r="AW16" s="23" t="str">
        <f t="shared" ca="1" si="22"/>
        <v xml:space="preserve">  </v>
      </c>
      <c r="AY16" s="35" t="str">
        <f t="shared" si="23"/>
        <v xml:space="preserve"> </v>
      </c>
      <c r="AZ16" s="23" t="str">
        <f t="shared" ca="1" si="41"/>
        <v xml:space="preserve">  </v>
      </c>
      <c r="BA16" s="36" t="str">
        <f t="shared" si="25"/>
        <v xml:space="preserve"> </v>
      </c>
      <c r="BB16" s="27" t="str">
        <f t="shared" ca="1" si="38"/>
        <v xml:space="preserve">  </v>
      </c>
      <c r="BC16" s="23" t="str">
        <f ca="1">IFERROR(AZ16*AS16,"  ")</f>
        <v xml:space="preserve">  </v>
      </c>
      <c r="BE16" s="51" t="s">
        <v>44</v>
      </c>
      <c r="BF16" s="48" t="s">
        <v>49</v>
      </c>
      <c r="BG16" s="49" t="str">
        <f>IF(WL_No="  ","  ",2/3*h*$AW$29)</f>
        <v xml:space="preserve">  </v>
      </c>
    </row>
    <row r="17" spans="1:59" x14ac:dyDescent="0.25">
      <c r="A17" s="20">
        <f>Tools!$AD16</f>
        <v>11</v>
      </c>
      <c r="B17" s="33" t="str">
        <f t="shared" si="0"/>
        <v xml:space="preserve">  </v>
      </c>
      <c r="C17" s="22">
        <f>IF(A17="  ","  ",IF(AND(A16="  ",A18="  "),"?",IF(A16="  ",2*(A18-A17),IF(A18="  ",2*(A17-A16),2*(A18-A16)))))</f>
        <v>4</v>
      </c>
      <c r="D17" s="23" t="str">
        <f t="shared" si="26"/>
        <v xml:space="preserve">  </v>
      </c>
      <c r="E17" s="24">
        <f t="shared" si="1"/>
        <v>1</v>
      </c>
      <c r="F17" s="23" t="str">
        <f t="shared" si="27"/>
        <v xml:space="preserve">  </v>
      </c>
      <c r="G17" s="23" t="str">
        <f t="shared" si="28"/>
        <v xml:space="preserve">  </v>
      </c>
      <c r="H17" s="23" t="str">
        <f t="shared" si="29"/>
        <v xml:space="preserve">  </v>
      </c>
      <c r="I17" s="23" t="str">
        <f t="shared" si="30"/>
        <v xml:space="preserve">  </v>
      </c>
      <c r="J17" s="4"/>
      <c r="K17" s="37" t="str">
        <f t="shared" si="2"/>
        <v xml:space="preserve"> </v>
      </c>
      <c r="L17" s="23" t="str">
        <f t="shared" si="31"/>
        <v xml:space="preserve">  </v>
      </c>
      <c r="M17" s="38" t="str">
        <f t="shared" si="3"/>
        <v xml:space="preserve"> </v>
      </c>
      <c r="N17" s="27" t="str">
        <f t="shared" si="32"/>
        <v xml:space="preserve">  </v>
      </c>
      <c r="O17" s="23" t="str">
        <f t="shared" si="33"/>
        <v xml:space="preserve">  </v>
      </c>
      <c r="P17" s="4"/>
      <c r="Q17" s="50" t="s">
        <v>50</v>
      </c>
      <c r="R17" s="48" t="s">
        <v>51</v>
      </c>
      <c r="S17" t="str">
        <f>IF(Tools!$L$49="Use 141 rule only",I41,IF(Tools!$L$49="Use 141 and 1331 rules",BG18," "))</f>
        <v xml:space="preserve">  </v>
      </c>
      <c r="W17" s="29">
        <f>IF(AO17="  ","  ",IF(AND(AO16="  ",AO18="  "),"?",IF(AO16="  ",2*(AO18-AO17),IF(AO18="  ",2*(AO17-AO16),2*(AO18-AO16)))))</f>
        <v>4</v>
      </c>
      <c r="X17" s="30" t="str">
        <f t="shared" si="4"/>
        <v>WW</v>
      </c>
      <c r="Y17" s="30" t="str">
        <f t="shared" si="5"/>
        <v>-</v>
      </c>
      <c r="Z17" s="29" t="b">
        <f t="shared" si="6"/>
        <v>0</v>
      </c>
      <c r="AA17" s="29" t="b">
        <f t="shared" si="7"/>
        <v>0</v>
      </c>
      <c r="AB17" s="29" t="str">
        <f t="shared" ca="1" si="8"/>
        <v>++</v>
      </c>
      <c r="AC17" s="29">
        <f t="shared" si="34"/>
        <v>12</v>
      </c>
      <c r="AD17" s="29">
        <f t="shared" ca="1" si="9"/>
        <v>12</v>
      </c>
      <c r="AE17" s="29">
        <v>14</v>
      </c>
      <c r="AF17" s="31">
        <f t="shared" si="42"/>
        <v>10</v>
      </c>
      <c r="AG17" s="29" t="b">
        <f t="shared" si="11"/>
        <v>1</v>
      </c>
      <c r="AH17" s="30" t="str">
        <f t="shared" ca="1" si="43"/>
        <v>141-4</v>
      </c>
      <c r="AI17" s="30" t="str">
        <f t="shared" ca="1" si="13"/>
        <v/>
      </c>
      <c r="AJ17" s="29">
        <f t="shared" ca="1" si="14"/>
        <v>0</v>
      </c>
      <c r="AK17" s="29" t="str">
        <f t="shared" ca="1" si="15"/>
        <v>4/3</v>
      </c>
      <c r="AL17" s="29">
        <f t="shared" ca="1" si="16"/>
        <v>1.3333333333333333</v>
      </c>
      <c r="AM17" s="32">
        <f t="shared" ca="1" si="35"/>
        <v>1.3333333333333333</v>
      </c>
      <c r="AO17" s="20">
        <f>Tools!$AD16</f>
        <v>11</v>
      </c>
      <c r="AP17" s="33" t="str">
        <f t="shared" si="36"/>
        <v xml:space="preserve">  </v>
      </c>
      <c r="AQ17" s="34" t="str">
        <f t="shared" ca="1" si="18"/>
        <v>4/3</v>
      </c>
      <c r="AR17" s="23" t="str">
        <f t="shared" ca="1" si="19"/>
        <v xml:space="preserve">  </v>
      </c>
      <c r="AS17" s="24">
        <f t="shared" si="20"/>
        <v>1</v>
      </c>
      <c r="AT17" s="23" t="str">
        <f t="shared" ca="1" si="37"/>
        <v xml:space="preserve">  </v>
      </c>
      <c r="AU17" s="23" t="str">
        <f t="shared" ca="1" si="40"/>
        <v xml:space="preserve">  </v>
      </c>
      <c r="AV17" s="23" t="str">
        <f t="shared" si="21"/>
        <v xml:space="preserve">  </v>
      </c>
      <c r="AW17" s="23" t="str">
        <f t="shared" ca="1" si="22"/>
        <v xml:space="preserve">  </v>
      </c>
      <c r="AY17" s="35" t="str">
        <f t="shared" si="23"/>
        <v xml:space="preserve"> </v>
      </c>
      <c r="AZ17" s="23" t="str">
        <f t="shared" ca="1" si="41"/>
        <v xml:space="preserve">  </v>
      </c>
      <c r="BA17" s="36" t="str">
        <f t="shared" si="25"/>
        <v xml:space="preserve"> </v>
      </c>
      <c r="BB17" s="27" t="str">
        <f t="shared" ca="1" si="38"/>
        <v xml:space="preserve">  </v>
      </c>
      <c r="BC17" s="23" t="str">
        <f t="shared" ca="1" si="39"/>
        <v xml:space="preserve">  </v>
      </c>
      <c r="BE17" s="50" t="s">
        <v>47</v>
      </c>
      <c r="BF17" s="48" t="s">
        <v>48</v>
      </c>
      <c r="BG17" s="49" t="str">
        <f>IF(WL_No="  ","  ",IL-AWP*(LCF^2))</f>
        <v xml:space="preserve">  </v>
      </c>
    </row>
    <row r="18" spans="1:59" x14ac:dyDescent="0.25">
      <c r="A18" s="20">
        <f>Tools!$AD17</f>
        <v>12</v>
      </c>
      <c r="B18" s="33" t="str">
        <f t="shared" si="0"/>
        <v xml:space="preserve">  </v>
      </c>
      <c r="C18" s="22">
        <f>IF(A18="  ","  ",IF(AND(A17="  ",A19="  "),"?",IF(A17="  ",1*(A19-A18),IF(A19="  ",1*(A18-A17),1*(A19-A17)))))</f>
        <v>2</v>
      </c>
      <c r="D18" s="23" t="str">
        <f t="shared" si="26"/>
        <v xml:space="preserve">  </v>
      </c>
      <c r="E18" s="24">
        <f t="shared" si="1"/>
        <v>2</v>
      </c>
      <c r="F18" s="23" t="str">
        <f t="shared" si="27"/>
        <v xml:space="preserve">  </v>
      </c>
      <c r="G18" s="23" t="str">
        <f t="shared" si="28"/>
        <v xml:space="preserve">  </v>
      </c>
      <c r="H18" s="23" t="str">
        <f t="shared" si="29"/>
        <v xml:space="preserve">  </v>
      </c>
      <c r="I18" s="23" t="str">
        <f t="shared" si="30"/>
        <v xml:space="preserve">  </v>
      </c>
      <c r="J18" s="4"/>
      <c r="K18" s="37" t="str">
        <f t="shared" si="2"/>
        <v xml:space="preserve"> </v>
      </c>
      <c r="L18" s="23" t="str">
        <f t="shared" si="31"/>
        <v xml:space="preserve">  </v>
      </c>
      <c r="M18" s="38" t="str">
        <f t="shared" si="3"/>
        <v xml:space="preserve"> </v>
      </c>
      <c r="N18" s="27" t="str">
        <f t="shared" si="32"/>
        <v xml:space="preserve">  </v>
      </c>
      <c r="O18" s="23" t="str">
        <f t="shared" si="33"/>
        <v xml:space="preserve">  </v>
      </c>
      <c r="P18" s="4"/>
      <c r="Q18" s="50" t="s">
        <v>52</v>
      </c>
      <c r="R18" s="48" t="s">
        <v>53</v>
      </c>
      <c r="S18" t="str">
        <f>IF(Tools!$L$49="Use 141 rule only",I42,IF(Tools!$L$49="Use 141 and 1331 rules",BG19," "))</f>
        <v xml:space="preserve">  </v>
      </c>
      <c r="W18" s="29">
        <f>IF(AO18="  ","  ",IF(AND(AO17="  ",AO19="  "),"?",IF(AO17="  ",1*(AO19-AO18),IF(AO19="  ",1*(AO18-AO17),1*(AO19-AO17)))))</f>
        <v>2</v>
      </c>
      <c r="X18" s="30" t="str">
        <f t="shared" si="4"/>
        <v>WW</v>
      </c>
      <c r="Y18" s="30" t="str">
        <f t="shared" si="5"/>
        <v>-</v>
      </c>
      <c r="Z18" s="29" t="b">
        <f t="shared" si="6"/>
        <v>0</v>
      </c>
      <c r="AA18" s="29" t="b">
        <f t="shared" si="7"/>
        <v>0</v>
      </c>
      <c r="AB18" s="29" t="str">
        <f t="shared" ca="1" si="8"/>
        <v>++</v>
      </c>
      <c r="AC18" s="29">
        <f t="shared" si="34"/>
        <v>11</v>
      </c>
      <c r="AD18" s="29">
        <f t="shared" ca="1" si="9"/>
        <v>11</v>
      </c>
      <c r="AE18" s="29">
        <v>15</v>
      </c>
      <c r="AF18" s="31">
        <f t="shared" si="42"/>
        <v>11</v>
      </c>
      <c r="AG18" s="29" t="b">
        <f t="shared" si="11"/>
        <v>1</v>
      </c>
      <c r="AH18" s="30" t="str">
        <f t="shared" ca="1" si="43"/>
        <v>141-2</v>
      </c>
      <c r="AI18" s="30" t="str">
        <f t="shared" ca="1" si="13"/>
        <v/>
      </c>
      <c r="AJ18" s="29">
        <f t="shared" ca="1" si="14"/>
        <v>0</v>
      </c>
      <c r="AK18" s="29" t="str">
        <f t="shared" ca="1" si="15"/>
        <v>2/3</v>
      </c>
      <c r="AL18" s="29">
        <f t="shared" ca="1" si="16"/>
        <v>0.66666666666666663</v>
      </c>
      <c r="AM18" s="32">
        <f t="shared" ca="1" si="35"/>
        <v>0.66666666666666663</v>
      </c>
      <c r="AO18" s="20">
        <f>Tools!$AD17</f>
        <v>12</v>
      </c>
      <c r="AP18" s="33" t="str">
        <f t="shared" si="36"/>
        <v xml:space="preserve">  </v>
      </c>
      <c r="AQ18" s="34" t="str">
        <f t="shared" ca="1" si="18"/>
        <v>2/3</v>
      </c>
      <c r="AR18" s="23" t="str">
        <f t="shared" ca="1" si="19"/>
        <v xml:space="preserve">  </v>
      </c>
      <c r="AS18" s="24">
        <f t="shared" si="20"/>
        <v>2</v>
      </c>
      <c r="AT18" s="23" t="str">
        <f t="shared" ca="1" si="37"/>
        <v xml:space="preserve">  </v>
      </c>
      <c r="AU18" s="23" t="str">
        <f t="shared" ca="1" si="40"/>
        <v xml:space="preserve">  </v>
      </c>
      <c r="AV18" s="23" t="str">
        <f t="shared" si="21"/>
        <v xml:space="preserve">  </v>
      </c>
      <c r="AW18" s="23" t="str">
        <f t="shared" ca="1" si="22"/>
        <v xml:space="preserve">  </v>
      </c>
      <c r="AY18" s="35" t="str">
        <f t="shared" si="23"/>
        <v xml:space="preserve"> </v>
      </c>
      <c r="AZ18" s="23" t="str">
        <f t="shared" ca="1" si="41"/>
        <v xml:space="preserve">  </v>
      </c>
      <c r="BA18" s="36" t="str">
        <f t="shared" si="25"/>
        <v xml:space="preserve"> </v>
      </c>
      <c r="BB18" s="27" t="str">
        <f t="shared" ca="1" si="38"/>
        <v xml:space="preserve">  </v>
      </c>
      <c r="BC18" s="23" t="str">
        <f t="shared" ca="1" si="39"/>
        <v xml:space="preserve">  </v>
      </c>
      <c r="BE18" s="50" t="s">
        <v>50</v>
      </c>
      <c r="BF18" s="48" t="s">
        <v>54</v>
      </c>
      <c r="BG18" s="49" t="str">
        <f>IF(WL_No="  ","  ",h*$AZ$29)</f>
        <v xml:space="preserve">  </v>
      </c>
    </row>
    <row r="19" spans="1:59" x14ac:dyDescent="0.25">
      <c r="A19" s="20">
        <f>Tools!$AD18</f>
        <v>13</v>
      </c>
      <c r="B19" s="33" t="str">
        <f t="shared" si="0"/>
        <v xml:space="preserve">  </v>
      </c>
      <c r="C19" s="22">
        <f>IF(A19="  ","  ",IF(AND(A18="  ",A20="  "),"?",IF(A18="  ",2*(A20-A19),IF(A20="  ",2*(A19-A18),2*(A20-A18)))))</f>
        <v>4</v>
      </c>
      <c r="D19" s="23" t="str">
        <f t="shared" si="26"/>
        <v xml:space="preserve">  </v>
      </c>
      <c r="E19" s="24">
        <f t="shared" si="1"/>
        <v>3</v>
      </c>
      <c r="F19" s="23" t="str">
        <f t="shared" si="27"/>
        <v xml:space="preserve">  </v>
      </c>
      <c r="G19" s="23" t="str">
        <f t="shared" si="28"/>
        <v xml:space="preserve">  </v>
      </c>
      <c r="H19" s="23" t="str">
        <f t="shared" si="29"/>
        <v xml:space="preserve">  </v>
      </c>
      <c r="I19" s="23" t="str">
        <f t="shared" si="30"/>
        <v xml:space="preserve">  </v>
      </c>
      <c r="J19" s="4"/>
      <c r="K19" s="37" t="str">
        <f t="shared" si="2"/>
        <v xml:space="preserve"> </v>
      </c>
      <c r="L19" s="23" t="str">
        <f t="shared" si="31"/>
        <v xml:space="preserve">  </v>
      </c>
      <c r="M19" s="38" t="str">
        <f t="shared" si="3"/>
        <v xml:space="preserve"> </v>
      </c>
      <c r="N19" s="27" t="str">
        <f t="shared" si="32"/>
        <v xml:space="preserve">  </v>
      </c>
      <c r="O19" s="23" t="str">
        <f t="shared" si="33"/>
        <v xml:space="preserve">  </v>
      </c>
      <c r="P19" s="4"/>
      <c r="Q19" s="50" t="s">
        <v>55</v>
      </c>
      <c r="R19" s="48" t="s">
        <v>56</v>
      </c>
      <c r="S19" t="str">
        <f>IF(Tools!$L$49="Use 141 rule only",I43,IF(Tools!$L$49="Use 141 and 1331 rules",BG20," "))</f>
        <v xml:space="preserve">  </v>
      </c>
      <c r="W19" s="29">
        <f>IF(AO19="  ","  ",IF(AND(AO18="  ",AO20="  "),"?",IF(AO18="  ",2*(AO20-AO19),IF(AO20="  ",2*(AO19-AO18),2*(AO20-AO18)))))</f>
        <v>4</v>
      </c>
      <c r="X19" s="30" t="str">
        <f t="shared" si="4"/>
        <v>WW</v>
      </c>
      <c r="Y19" s="30" t="str">
        <f t="shared" si="5"/>
        <v>-</v>
      </c>
      <c r="Z19" s="29" t="b">
        <f t="shared" si="6"/>
        <v>0</v>
      </c>
      <c r="AA19" s="29" t="b">
        <f t="shared" si="7"/>
        <v>0</v>
      </c>
      <c r="AB19" s="29" t="str">
        <f t="shared" ca="1" si="8"/>
        <v>++</v>
      </c>
      <c r="AC19" s="29">
        <f t="shared" si="34"/>
        <v>10</v>
      </c>
      <c r="AD19" s="29">
        <f t="shared" ca="1" si="9"/>
        <v>10</v>
      </c>
      <c r="AE19" s="29">
        <v>16</v>
      </c>
      <c r="AF19" s="31">
        <f t="shared" si="42"/>
        <v>12</v>
      </c>
      <c r="AG19" s="29" t="b">
        <f t="shared" si="11"/>
        <v>1</v>
      </c>
      <c r="AH19" s="30" t="str">
        <f t="shared" ca="1" si="43"/>
        <v>141-4</v>
      </c>
      <c r="AI19" s="30" t="str">
        <f t="shared" ca="1" si="13"/>
        <v/>
      </c>
      <c r="AJ19" s="29">
        <f t="shared" ca="1" si="14"/>
        <v>0</v>
      </c>
      <c r="AK19" s="29" t="str">
        <f t="shared" ca="1" si="15"/>
        <v>4/3</v>
      </c>
      <c r="AL19" s="29">
        <f t="shared" ca="1" si="16"/>
        <v>1.3333333333333333</v>
      </c>
      <c r="AM19" s="32">
        <f t="shared" ca="1" si="35"/>
        <v>1.3333333333333333</v>
      </c>
      <c r="AO19" s="20">
        <f>Tools!$AD18</f>
        <v>13</v>
      </c>
      <c r="AP19" s="33" t="str">
        <f t="shared" si="36"/>
        <v xml:space="preserve">  </v>
      </c>
      <c r="AQ19" s="34" t="str">
        <f t="shared" ca="1" si="18"/>
        <v>4/3</v>
      </c>
      <c r="AR19" s="23" t="str">
        <f t="shared" ca="1" si="19"/>
        <v xml:space="preserve">  </v>
      </c>
      <c r="AS19" s="24">
        <f t="shared" si="20"/>
        <v>3</v>
      </c>
      <c r="AT19" s="23" t="str">
        <f t="shared" ca="1" si="37"/>
        <v xml:space="preserve">  </v>
      </c>
      <c r="AU19" s="23" t="str">
        <f t="shared" ca="1" si="40"/>
        <v xml:space="preserve">  </v>
      </c>
      <c r="AV19" s="23" t="str">
        <f t="shared" si="21"/>
        <v xml:space="preserve">  </v>
      </c>
      <c r="AW19" s="23" t="str">
        <f t="shared" ca="1" si="22"/>
        <v xml:space="preserve">  </v>
      </c>
      <c r="AY19" s="35" t="str">
        <f t="shared" si="23"/>
        <v xml:space="preserve"> </v>
      </c>
      <c r="AZ19" s="23" t="str">
        <f t="shared" ca="1" si="41"/>
        <v xml:space="preserve">  </v>
      </c>
      <c r="BA19" s="36" t="str">
        <f t="shared" si="25"/>
        <v xml:space="preserve"> </v>
      </c>
      <c r="BB19" s="27" t="str">
        <f t="shared" ca="1" si="38"/>
        <v xml:space="preserve">  </v>
      </c>
      <c r="BC19" s="23" t="str">
        <f t="shared" ca="1" si="39"/>
        <v xml:space="preserve">  </v>
      </c>
      <c r="BE19" s="50" t="s">
        <v>52</v>
      </c>
      <c r="BF19" s="48" t="s">
        <v>53</v>
      </c>
      <c r="BG19" s="49" t="str">
        <f>IF(WL_No="  ","  ",V_Disp*1.025*1.006)</f>
        <v xml:space="preserve">  </v>
      </c>
    </row>
    <row r="20" spans="1:59" x14ac:dyDescent="0.25">
      <c r="A20" s="20">
        <f>Tools!$AD19</f>
        <v>14</v>
      </c>
      <c r="B20" s="33" t="str">
        <f t="shared" si="0"/>
        <v xml:space="preserve">  </v>
      </c>
      <c r="C20" s="22">
        <f>IF(A20="  ","  ",IF(AND(A19="  ",A21="  "),"?",IF(A19="  ",1*(A21-A20),IF(A21="  ",1*(A20-A19),1*(A21-A19)))))</f>
        <v>2</v>
      </c>
      <c r="D20" s="23" t="str">
        <f t="shared" si="26"/>
        <v xml:space="preserve">  </v>
      </c>
      <c r="E20" s="24">
        <f t="shared" si="1"/>
        <v>4</v>
      </c>
      <c r="F20" s="23" t="str">
        <f t="shared" si="27"/>
        <v xml:space="preserve">  </v>
      </c>
      <c r="G20" s="23" t="str">
        <f t="shared" si="28"/>
        <v xml:space="preserve">  </v>
      </c>
      <c r="H20" s="23" t="str">
        <f t="shared" si="29"/>
        <v xml:space="preserve">  </v>
      </c>
      <c r="I20" s="23" t="str">
        <f t="shared" si="30"/>
        <v xml:space="preserve">  </v>
      </c>
      <c r="J20" s="4"/>
      <c r="K20" s="37" t="str">
        <f t="shared" si="2"/>
        <v xml:space="preserve"> </v>
      </c>
      <c r="L20" s="23" t="str">
        <f t="shared" si="31"/>
        <v xml:space="preserve">  </v>
      </c>
      <c r="M20" s="38" t="str">
        <f t="shared" si="3"/>
        <v xml:space="preserve"> </v>
      </c>
      <c r="N20" s="27" t="str">
        <f t="shared" si="32"/>
        <v xml:space="preserve">  </v>
      </c>
      <c r="O20" s="23" t="str">
        <f t="shared" si="33"/>
        <v xml:space="preserve">  </v>
      </c>
      <c r="P20" s="4"/>
      <c r="Q20" s="50" t="s">
        <v>57</v>
      </c>
      <c r="R20" s="48" t="s">
        <v>58</v>
      </c>
      <c r="S20" t="str">
        <f>IF(Tools!$L$49="Use 141 rule only",I44,IF(Tools!$L$49="Use 141 and 1331 rules",BG21," "))</f>
        <v xml:space="preserve">  </v>
      </c>
      <c r="W20" s="29">
        <f>IF(AO20="  ","  ",IF(AND(AO19="  ",AO21="  "),"?",IF(AO19="  ",1*(AO21-AO20),IF(AO21="  ",1*(AO20-AO19),1*(AO21-AO19)))))</f>
        <v>2</v>
      </c>
      <c r="X20" s="30" t="str">
        <f t="shared" si="4"/>
        <v>WW</v>
      </c>
      <c r="Y20" s="30" t="str">
        <f t="shared" si="5"/>
        <v>-</v>
      </c>
      <c r="Z20" s="29" t="b">
        <f t="shared" si="6"/>
        <v>0</v>
      </c>
      <c r="AA20" s="29" t="b">
        <f t="shared" si="7"/>
        <v>0</v>
      </c>
      <c r="AB20" s="29" t="str">
        <f t="shared" ca="1" si="8"/>
        <v>++</v>
      </c>
      <c r="AC20" s="29">
        <f t="shared" si="34"/>
        <v>9</v>
      </c>
      <c r="AD20" s="29">
        <f t="shared" ca="1" si="9"/>
        <v>9</v>
      </c>
      <c r="AE20" s="29">
        <v>17</v>
      </c>
      <c r="AF20" s="31">
        <f t="shared" si="42"/>
        <v>13</v>
      </c>
      <c r="AG20" s="29" t="b">
        <f t="shared" si="11"/>
        <v>1</v>
      </c>
      <c r="AH20" s="30" t="str">
        <f t="shared" ca="1" si="43"/>
        <v>141-2</v>
      </c>
      <c r="AI20" s="30" t="str">
        <f t="shared" ca="1" si="13"/>
        <v/>
      </c>
      <c r="AJ20" s="29">
        <f t="shared" ca="1" si="14"/>
        <v>0</v>
      </c>
      <c r="AK20" s="29" t="str">
        <f t="shared" ca="1" si="15"/>
        <v>2/3</v>
      </c>
      <c r="AL20" s="29">
        <f t="shared" ca="1" si="16"/>
        <v>0.66666666666666663</v>
      </c>
      <c r="AM20" s="32">
        <f t="shared" ca="1" si="35"/>
        <v>0.66666666666666663</v>
      </c>
      <c r="AO20" s="20">
        <f>Tools!$AD19</f>
        <v>14</v>
      </c>
      <c r="AP20" s="33" t="str">
        <f t="shared" si="36"/>
        <v xml:space="preserve">  </v>
      </c>
      <c r="AQ20" s="34" t="str">
        <f t="shared" ca="1" si="18"/>
        <v>2/3</v>
      </c>
      <c r="AR20" s="23" t="str">
        <f t="shared" ca="1" si="19"/>
        <v xml:space="preserve">  </v>
      </c>
      <c r="AS20" s="24">
        <f t="shared" si="20"/>
        <v>4</v>
      </c>
      <c r="AT20" s="23" t="str">
        <f t="shared" ca="1" si="37"/>
        <v xml:space="preserve">  </v>
      </c>
      <c r="AU20" s="23" t="str">
        <f t="shared" ca="1" si="40"/>
        <v xml:space="preserve">  </v>
      </c>
      <c r="AV20" s="23" t="str">
        <f t="shared" si="21"/>
        <v xml:space="preserve">  </v>
      </c>
      <c r="AW20" s="23" t="str">
        <f t="shared" ca="1" si="22"/>
        <v xml:space="preserve">  </v>
      </c>
      <c r="AY20" s="35" t="str">
        <f t="shared" si="23"/>
        <v xml:space="preserve"> </v>
      </c>
      <c r="AZ20" s="23" t="str">
        <f t="shared" ca="1" si="41"/>
        <v xml:space="preserve">  </v>
      </c>
      <c r="BA20" s="36" t="str">
        <f t="shared" si="25"/>
        <v xml:space="preserve"> </v>
      </c>
      <c r="BB20" s="27" t="str">
        <f t="shared" ca="1" si="38"/>
        <v xml:space="preserve">  </v>
      </c>
      <c r="BC20" s="23" t="str">
        <f t="shared" ca="1" si="39"/>
        <v xml:space="preserve">  </v>
      </c>
      <c r="BE20" s="50" t="s">
        <v>55</v>
      </c>
      <c r="BF20" s="48" t="s">
        <v>59</v>
      </c>
      <c r="BG20" s="49" t="str">
        <f>IF(WL_No="  ","  ",h*$BB$29)</f>
        <v xml:space="preserve">  </v>
      </c>
    </row>
    <row r="21" spans="1:59" x14ac:dyDescent="0.25">
      <c r="A21" s="20">
        <f>Tools!$AD20</f>
        <v>15</v>
      </c>
      <c r="B21" s="33" t="str">
        <f t="shared" si="0"/>
        <v xml:space="preserve">  </v>
      </c>
      <c r="C21" s="22">
        <f>IF(A21="  ","  ",IF(AND(A20="  ",A22="  "),"?",IF(A20="  ",2*(A22-A21),IF(A22="  ",2*(A21-A20),2*(A22-A20)))))</f>
        <v>4</v>
      </c>
      <c r="D21" s="23" t="str">
        <f t="shared" si="26"/>
        <v xml:space="preserve">  </v>
      </c>
      <c r="E21" s="24">
        <f t="shared" si="1"/>
        <v>5</v>
      </c>
      <c r="F21" s="23" t="str">
        <f t="shared" si="27"/>
        <v xml:space="preserve">  </v>
      </c>
      <c r="G21" s="23" t="str">
        <f t="shared" si="28"/>
        <v xml:space="preserve">  </v>
      </c>
      <c r="H21" s="23" t="str">
        <f t="shared" si="29"/>
        <v xml:space="preserve">  </v>
      </c>
      <c r="I21" s="23" t="str">
        <f t="shared" si="30"/>
        <v xml:space="preserve">  </v>
      </c>
      <c r="J21" s="4"/>
      <c r="K21" s="37" t="str">
        <f t="shared" si="2"/>
        <v xml:space="preserve"> </v>
      </c>
      <c r="L21" s="23" t="str">
        <f t="shared" si="31"/>
        <v xml:space="preserve">  </v>
      </c>
      <c r="M21" s="38" t="str">
        <f t="shared" si="3"/>
        <v xml:space="preserve"> </v>
      </c>
      <c r="N21" s="27" t="str">
        <f t="shared" si="32"/>
        <v xml:space="preserve">  </v>
      </c>
      <c r="O21" s="23" t="str">
        <f t="shared" si="33"/>
        <v xml:space="preserve">  </v>
      </c>
      <c r="P21" s="4"/>
      <c r="Q21" s="50" t="s">
        <v>60</v>
      </c>
      <c r="R21" s="48" t="s">
        <v>61</v>
      </c>
      <c r="S21" t="str">
        <f>IF(Tools!$L$49="Use 141 rule only",I45,IF(Tools!$L$49="Use 141 and 1331 rules",BG22," "))</f>
        <v xml:space="preserve">  </v>
      </c>
      <c r="W21" s="29">
        <f>IF(AO21="  ","  ",IF(AND(AO20="  ",AO22="  "),"?",IF(AO20="  ",2*(AO22-AO21),IF(AO22="  ",2*(AO21-AO20),2*(AO22-AO20)))))</f>
        <v>4</v>
      </c>
      <c r="X21" s="30" t="str">
        <f t="shared" si="4"/>
        <v>WW</v>
      </c>
      <c r="Y21" s="30" t="str">
        <f t="shared" si="5"/>
        <v>-</v>
      </c>
      <c r="Z21" s="29" t="b">
        <f t="shared" si="6"/>
        <v>0</v>
      </c>
      <c r="AA21" s="29" t="b">
        <f t="shared" si="7"/>
        <v>0</v>
      </c>
      <c r="AB21" s="29" t="str">
        <f t="shared" ca="1" si="8"/>
        <v>++</v>
      </c>
      <c r="AC21" s="29">
        <f t="shared" si="34"/>
        <v>8</v>
      </c>
      <c r="AD21" s="29">
        <f t="shared" ca="1" si="9"/>
        <v>8</v>
      </c>
      <c r="AE21" s="29">
        <v>18</v>
      </c>
      <c r="AF21" s="31">
        <f t="shared" si="42"/>
        <v>14</v>
      </c>
      <c r="AG21" s="29" t="b">
        <f t="shared" si="11"/>
        <v>1</v>
      </c>
      <c r="AH21" s="30" t="str">
        <f t="shared" ca="1" si="43"/>
        <v>141-4</v>
      </c>
      <c r="AI21" s="30" t="str">
        <f t="shared" ca="1" si="13"/>
        <v/>
      </c>
      <c r="AJ21" s="29">
        <f t="shared" ca="1" si="14"/>
        <v>0</v>
      </c>
      <c r="AK21" s="29" t="str">
        <f t="shared" ca="1" si="15"/>
        <v>4/3</v>
      </c>
      <c r="AL21" s="29">
        <f t="shared" ca="1" si="16"/>
        <v>1.3333333333333333</v>
      </c>
      <c r="AM21" s="32">
        <f t="shared" ca="1" si="35"/>
        <v>1.3333333333333333</v>
      </c>
      <c r="AO21" s="20">
        <f>Tools!$AD20</f>
        <v>15</v>
      </c>
      <c r="AP21" s="33" t="str">
        <f t="shared" si="36"/>
        <v xml:space="preserve">  </v>
      </c>
      <c r="AQ21" s="34" t="str">
        <f t="shared" ca="1" si="18"/>
        <v>4/3</v>
      </c>
      <c r="AR21" s="23" t="str">
        <f t="shared" ca="1" si="19"/>
        <v xml:space="preserve">  </v>
      </c>
      <c r="AS21" s="24">
        <f t="shared" si="20"/>
        <v>5</v>
      </c>
      <c r="AT21" s="23" t="str">
        <f t="shared" ca="1" si="37"/>
        <v xml:space="preserve">  </v>
      </c>
      <c r="AU21" s="23" t="str">
        <f t="shared" ca="1" si="40"/>
        <v xml:space="preserve">  </v>
      </c>
      <c r="AV21" s="23" t="str">
        <f t="shared" si="21"/>
        <v xml:space="preserve">  </v>
      </c>
      <c r="AW21" s="23" t="str">
        <f t="shared" ca="1" si="22"/>
        <v xml:space="preserve">  </v>
      </c>
      <c r="AY21" s="35" t="str">
        <f t="shared" si="23"/>
        <v xml:space="preserve"> </v>
      </c>
      <c r="AZ21" s="23" t="str">
        <f t="shared" ca="1" si="41"/>
        <v xml:space="preserve">  </v>
      </c>
      <c r="BA21" s="36" t="str">
        <f t="shared" si="25"/>
        <v xml:space="preserve"> </v>
      </c>
      <c r="BB21" s="27" t="str">
        <f t="shared" ca="1" si="38"/>
        <v xml:space="preserve">  </v>
      </c>
      <c r="BC21" s="23" t="str">
        <f t="shared" ca="1" si="39"/>
        <v xml:space="preserve">  </v>
      </c>
      <c r="BE21" s="50" t="s">
        <v>57</v>
      </c>
      <c r="BF21" s="48" t="s">
        <v>62</v>
      </c>
      <c r="BG21" s="49" t="str">
        <f>IF(WL_No="  ","  ",(h^2)*$BC$29)</f>
        <v xml:space="preserve">  </v>
      </c>
    </row>
    <row r="22" spans="1:59" x14ac:dyDescent="0.25">
      <c r="A22" s="20">
        <f>Tools!$AD21</f>
        <v>16</v>
      </c>
      <c r="B22" s="33" t="str">
        <f t="shared" si="0"/>
        <v xml:space="preserve">  </v>
      </c>
      <c r="C22" s="22">
        <f>IF(A22="  ","  ",IF(AND(A21="  ",A23="  "),"?",IF(A21="  ",1*(A23-A22),IF(A23="  ",1*(A22-A21),1*(A23-A21)))))</f>
        <v>2</v>
      </c>
      <c r="D22" s="23" t="str">
        <f t="shared" si="26"/>
        <v xml:space="preserve">  </v>
      </c>
      <c r="E22" s="24">
        <f t="shared" si="1"/>
        <v>6</v>
      </c>
      <c r="F22" s="23" t="str">
        <f t="shared" si="27"/>
        <v xml:space="preserve">  </v>
      </c>
      <c r="G22" s="23" t="str">
        <f t="shared" si="28"/>
        <v xml:space="preserve">  </v>
      </c>
      <c r="H22" s="23" t="str">
        <f t="shared" si="29"/>
        <v xml:space="preserve">  </v>
      </c>
      <c r="I22" s="23" t="str">
        <f t="shared" si="30"/>
        <v xml:space="preserve">  </v>
      </c>
      <c r="J22" s="4"/>
      <c r="K22" s="37" t="str">
        <f t="shared" si="2"/>
        <v xml:space="preserve"> </v>
      </c>
      <c r="L22" s="23" t="str">
        <f t="shared" si="31"/>
        <v xml:space="preserve">  </v>
      </c>
      <c r="M22" s="38" t="str">
        <f t="shared" si="3"/>
        <v xml:space="preserve"> </v>
      </c>
      <c r="N22" s="27" t="str">
        <f t="shared" si="32"/>
        <v xml:space="preserve">  </v>
      </c>
      <c r="O22" s="23" t="str">
        <f t="shared" si="33"/>
        <v xml:space="preserve">  </v>
      </c>
      <c r="P22" s="4"/>
      <c r="Q22" s="50" t="s">
        <v>63</v>
      </c>
      <c r="R22" s="48" t="s">
        <v>64</v>
      </c>
      <c r="S22" t="str">
        <f>IF(Tools!$L$49="Use 141 rule only",I46,IF(Tools!$L$49="Use 141 and 1331 rules",BG23," "))</f>
        <v xml:space="preserve">  </v>
      </c>
      <c r="W22" s="29">
        <f>IF(AO22="  ","  ",IF(AND(AO21="  ",AO23="  "),"?",IF(AO21="  ",1*(AO23-AO22),IF(AO23="  ",1*(AO22-AO21),1*(AO23-AO21)))))</f>
        <v>2</v>
      </c>
      <c r="X22" s="30" t="str">
        <f t="shared" si="4"/>
        <v>WW</v>
      </c>
      <c r="Y22" s="30" t="str">
        <f t="shared" si="5"/>
        <v>-</v>
      </c>
      <c r="Z22" s="29" t="b">
        <f t="shared" si="6"/>
        <v>0</v>
      </c>
      <c r="AA22" s="29" t="b">
        <f t="shared" si="7"/>
        <v>0</v>
      </c>
      <c r="AB22" s="29" t="str">
        <f t="shared" ca="1" si="8"/>
        <v>++</v>
      </c>
      <c r="AC22" s="29">
        <f t="shared" si="34"/>
        <v>7</v>
      </c>
      <c r="AD22" s="29">
        <f t="shared" ca="1" si="9"/>
        <v>7</v>
      </c>
      <c r="AE22" s="29">
        <v>19</v>
      </c>
      <c r="AF22" s="31">
        <f t="shared" si="42"/>
        <v>15</v>
      </c>
      <c r="AG22" s="29" t="b">
        <f t="shared" si="11"/>
        <v>1</v>
      </c>
      <c r="AH22" s="30" t="str">
        <f t="shared" ca="1" si="43"/>
        <v>141-2</v>
      </c>
      <c r="AI22" s="30" t="str">
        <f t="shared" ca="1" si="13"/>
        <v/>
      </c>
      <c r="AJ22" s="29">
        <f t="shared" ca="1" si="14"/>
        <v>0</v>
      </c>
      <c r="AK22" s="29" t="str">
        <f t="shared" ca="1" si="15"/>
        <v>2/3</v>
      </c>
      <c r="AL22" s="29">
        <f t="shared" ca="1" si="16"/>
        <v>0.66666666666666663</v>
      </c>
      <c r="AM22" s="32">
        <f t="shared" ca="1" si="35"/>
        <v>0.66666666666666663</v>
      </c>
      <c r="AO22" s="20">
        <f>Tools!$AD21</f>
        <v>16</v>
      </c>
      <c r="AP22" s="33" t="str">
        <f t="shared" si="36"/>
        <v xml:space="preserve">  </v>
      </c>
      <c r="AQ22" s="34" t="str">
        <f t="shared" ca="1" si="18"/>
        <v>2/3</v>
      </c>
      <c r="AR22" s="23" t="str">
        <f t="shared" ca="1" si="19"/>
        <v xml:space="preserve">  </v>
      </c>
      <c r="AS22" s="24">
        <f t="shared" si="20"/>
        <v>6</v>
      </c>
      <c r="AT22" s="23" t="str">
        <f t="shared" ca="1" si="37"/>
        <v xml:space="preserve">  </v>
      </c>
      <c r="AU22" s="23" t="str">
        <f t="shared" ca="1" si="40"/>
        <v xml:space="preserve">  </v>
      </c>
      <c r="AV22" s="23" t="str">
        <f t="shared" si="21"/>
        <v xml:space="preserve">  </v>
      </c>
      <c r="AW22" s="23" t="str">
        <f t="shared" ca="1" si="22"/>
        <v xml:space="preserve">  </v>
      </c>
      <c r="AY22" s="35" t="str">
        <f t="shared" si="23"/>
        <v xml:space="preserve"> </v>
      </c>
      <c r="AZ22" s="23" t="str">
        <f t="shared" ca="1" si="41"/>
        <v xml:space="preserve">  </v>
      </c>
      <c r="BA22" s="36" t="str">
        <f t="shared" si="25"/>
        <v xml:space="preserve"> </v>
      </c>
      <c r="BB22" s="27" t="str">
        <f t="shared" ca="1" si="38"/>
        <v xml:space="preserve">  </v>
      </c>
      <c r="BC22" s="23" t="str">
        <f t="shared" ca="1" si="39"/>
        <v xml:space="preserve">  </v>
      </c>
      <c r="BE22" s="50" t="s">
        <v>60</v>
      </c>
      <c r="BF22" s="48" t="s">
        <v>61</v>
      </c>
      <c r="BG22" s="49" t="str">
        <f>IF(WL_No="  ","  ",IF/V_Disp)</f>
        <v xml:space="preserve">  </v>
      </c>
    </row>
    <row r="23" spans="1:59" x14ac:dyDescent="0.25">
      <c r="A23" s="20">
        <f>Tools!$AD22</f>
        <v>17</v>
      </c>
      <c r="B23" s="33" t="str">
        <f t="shared" si="0"/>
        <v xml:space="preserve">  </v>
      </c>
      <c r="C23" s="22">
        <f>IF(A23="  ","  ",IF(AND(A22="  ",A24="  "),"?",IF(A22="  ",2*(A24-A23),IF(A24="  ",2*(A23-A22),2*(A24-A22)))))</f>
        <v>4</v>
      </c>
      <c r="D23" s="23" t="str">
        <f t="shared" si="26"/>
        <v xml:space="preserve">  </v>
      </c>
      <c r="E23" s="24">
        <f t="shared" si="1"/>
        <v>7</v>
      </c>
      <c r="F23" s="23" t="str">
        <f t="shared" si="27"/>
        <v xml:space="preserve">  </v>
      </c>
      <c r="G23" s="23" t="str">
        <f t="shared" si="28"/>
        <v xml:space="preserve">  </v>
      </c>
      <c r="H23" s="23" t="str">
        <f t="shared" si="29"/>
        <v xml:space="preserve">  </v>
      </c>
      <c r="I23" s="23" t="str">
        <f t="shared" si="30"/>
        <v xml:space="preserve">  </v>
      </c>
      <c r="J23" s="4"/>
      <c r="K23" s="37" t="str">
        <f t="shared" si="2"/>
        <v xml:space="preserve"> </v>
      </c>
      <c r="L23" s="23" t="str">
        <f t="shared" si="31"/>
        <v xml:space="preserve">  </v>
      </c>
      <c r="M23" s="38" t="str">
        <f t="shared" si="3"/>
        <v xml:space="preserve"> </v>
      </c>
      <c r="N23" s="27" t="str">
        <f t="shared" si="32"/>
        <v xml:space="preserve">  </v>
      </c>
      <c r="O23" s="23" t="str">
        <f t="shared" si="33"/>
        <v xml:space="preserve">  </v>
      </c>
      <c r="P23" s="4"/>
      <c r="Q23" s="50" t="s">
        <v>65</v>
      </c>
      <c r="R23" s="48" t="s">
        <v>66</v>
      </c>
      <c r="S23" t="str">
        <f>IF(Tools!$L$49="Use 141 rule only",I47,IF(Tools!$L$49="Use 141 and 1331 rules",BG24," "))</f>
        <v xml:space="preserve">  </v>
      </c>
      <c r="W23" s="29">
        <f>IF(AO23="  ","  ",IF(AND(AO22="  ",AO24="  "),"?",IF(AO22="  ",2*(AO24-AO23),IF(AO24="  ",2*(AO23-AO22),2*(AO24-AO22)))))</f>
        <v>4</v>
      </c>
      <c r="X23" s="30" t="str">
        <f t="shared" si="4"/>
        <v>WW</v>
      </c>
      <c r="Y23" s="30" t="str">
        <f t="shared" si="5"/>
        <v>-</v>
      </c>
      <c r="Z23" s="29" t="b">
        <f t="shared" si="6"/>
        <v>0</v>
      </c>
      <c r="AA23" s="29" t="b">
        <f t="shared" si="7"/>
        <v>0</v>
      </c>
      <c r="AB23" s="29" t="str">
        <f t="shared" ca="1" si="8"/>
        <v>++</v>
      </c>
      <c r="AC23" s="29">
        <f t="shared" si="34"/>
        <v>6</v>
      </c>
      <c r="AD23" s="29">
        <f t="shared" ca="1" si="9"/>
        <v>6</v>
      </c>
      <c r="AE23" s="29">
        <v>20</v>
      </c>
      <c r="AF23" s="31">
        <f t="shared" si="42"/>
        <v>16</v>
      </c>
      <c r="AG23" s="29" t="b">
        <f t="shared" si="11"/>
        <v>1</v>
      </c>
      <c r="AH23" s="30" t="str">
        <f t="shared" ca="1" si="43"/>
        <v>141-4</v>
      </c>
      <c r="AI23" s="30" t="str">
        <f t="shared" ca="1" si="13"/>
        <v/>
      </c>
      <c r="AJ23" s="29">
        <f t="shared" ca="1" si="14"/>
        <v>0</v>
      </c>
      <c r="AK23" s="29" t="str">
        <f t="shared" ca="1" si="15"/>
        <v>4/3</v>
      </c>
      <c r="AL23" s="29">
        <f t="shared" ca="1" si="16"/>
        <v>1.3333333333333333</v>
      </c>
      <c r="AM23" s="32">
        <f t="shared" ca="1" si="35"/>
        <v>1.3333333333333333</v>
      </c>
      <c r="AO23" s="20">
        <f>Tools!$AD22</f>
        <v>17</v>
      </c>
      <c r="AP23" s="33" t="str">
        <f t="shared" si="36"/>
        <v xml:space="preserve">  </v>
      </c>
      <c r="AQ23" s="34" t="str">
        <f t="shared" ca="1" si="18"/>
        <v>4/3</v>
      </c>
      <c r="AR23" s="23" t="str">
        <f t="shared" ca="1" si="19"/>
        <v xml:space="preserve">  </v>
      </c>
      <c r="AS23" s="24">
        <f t="shared" si="20"/>
        <v>7</v>
      </c>
      <c r="AT23" s="23" t="str">
        <f t="shared" ca="1" si="37"/>
        <v xml:space="preserve">  </v>
      </c>
      <c r="AU23" s="23" t="str">
        <f t="shared" ca="1" si="40"/>
        <v xml:space="preserve">  </v>
      </c>
      <c r="AV23" s="23" t="str">
        <f t="shared" si="21"/>
        <v xml:space="preserve">  </v>
      </c>
      <c r="AW23" s="23" t="str">
        <f t="shared" ca="1" si="22"/>
        <v xml:space="preserve">  </v>
      </c>
      <c r="AY23" s="35" t="str">
        <f t="shared" si="23"/>
        <v xml:space="preserve"> </v>
      </c>
      <c r="AZ23" s="23" t="str">
        <f t="shared" ca="1" si="41"/>
        <v xml:space="preserve">  </v>
      </c>
      <c r="BA23" s="36" t="str">
        <f t="shared" si="25"/>
        <v xml:space="preserve"> </v>
      </c>
      <c r="BB23" s="27" t="str">
        <f t="shared" ca="1" si="38"/>
        <v xml:space="preserve">  </v>
      </c>
      <c r="BC23" s="23" t="str">
        <f t="shared" ca="1" si="39"/>
        <v xml:space="preserve">  </v>
      </c>
      <c r="BE23" s="50" t="s">
        <v>63</v>
      </c>
      <c r="BF23" s="48" t="s">
        <v>64</v>
      </c>
      <c r="BG23" s="49" t="str">
        <f>IF(WL_No="  ","  ",IT/V_Disp)</f>
        <v xml:space="preserve">  </v>
      </c>
    </row>
    <row r="24" spans="1:59" x14ac:dyDescent="0.25">
      <c r="A24" s="20">
        <f>Tools!$AD23</f>
        <v>18</v>
      </c>
      <c r="B24" s="33" t="str">
        <f t="shared" si="0"/>
        <v xml:space="preserve">  </v>
      </c>
      <c r="C24" s="22">
        <f>IF(A24="  ","  ",IF(AND(A23="  ",A25="  "),"?",IF(A23="  ",1*(A25-A24),IF(A25="  ",1*(A24-A23),1*(A25-A23)))))</f>
        <v>1.5</v>
      </c>
      <c r="D24" s="23" t="str">
        <f t="shared" si="26"/>
        <v xml:space="preserve">  </v>
      </c>
      <c r="E24" s="24">
        <f t="shared" si="1"/>
        <v>8</v>
      </c>
      <c r="F24" s="23" t="str">
        <f t="shared" si="27"/>
        <v xml:space="preserve">  </v>
      </c>
      <c r="G24" s="23" t="str">
        <f t="shared" si="28"/>
        <v xml:space="preserve">  </v>
      </c>
      <c r="H24" s="23" t="str">
        <f t="shared" si="29"/>
        <v xml:space="preserve">  </v>
      </c>
      <c r="I24" s="23" t="str">
        <f t="shared" si="30"/>
        <v xml:space="preserve">  </v>
      </c>
      <c r="J24" s="4"/>
      <c r="K24" s="37" t="str">
        <f t="shared" si="2"/>
        <v xml:space="preserve"> </v>
      </c>
      <c r="L24" s="23" t="str">
        <f t="shared" si="31"/>
        <v xml:space="preserve">  </v>
      </c>
      <c r="M24" s="38" t="str">
        <f t="shared" si="3"/>
        <v xml:space="preserve"> </v>
      </c>
      <c r="N24" s="27" t="str">
        <f t="shared" si="32"/>
        <v xml:space="preserve">  </v>
      </c>
      <c r="O24" s="23" t="str">
        <f t="shared" si="33"/>
        <v xml:space="preserve">  </v>
      </c>
      <c r="P24" s="4"/>
      <c r="Q24" s="50" t="s">
        <v>67</v>
      </c>
      <c r="R24" s="48" t="s">
        <v>68</v>
      </c>
      <c r="S24" t="str">
        <f>IF(Tools!$L$49="Use 141 rule only",I48,IF(Tools!$L$49="Use 141 and 1331 rules",BG25," "))</f>
        <v xml:space="preserve">  </v>
      </c>
      <c r="W24" s="29">
        <f>IF(AO24="  ","  ",IF(AND(AO23="  ",AO25="  "),"?",IF(AO23="  ",1*(AO25-AO24),IF(AO25="  ",1*(AO24-AO23),1*(AO25-AO23)))))</f>
        <v>1.5</v>
      </c>
      <c r="X24" s="30" t="str">
        <f t="shared" si="4"/>
        <v>WD</v>
      </c>
      <c r="Y24" s="30" t="str">
        <f t="shared" si="5"/>
        <v>-</v>
      </c>
      <c r="Z24" s="29" t="b">
        <f t="shared" si="6"/>
        <v>1</v>
      </c>
      <c r="AA24" s="29" t="b">
        <f t="shared" si="7"/>
        <v>1</v>
      </c>
      <c r="AB24" s="29" t="str">
        <f t="shared" ca="1" si="8"/>
        <v>141-1</v>
      </c>
      <c r="AC24" s="29">
        <f t="shared" si="34"/>
        <v>5</v>
      </c>
      <c r="AD24" s="29">
        <f t="shared" ca="1" si="9"/>
        <v>5</v>
      </c>
      <c r="AE24" s="29">
        <v>21</v>
      </c>
      <c r="AF24" s="31">
        <f t="shared" si="42"/>
        <v>17</v>
      </c>
      <c r="AG24" s="29" t="b">
        <f t="shared" si="11"/>
        <v>1</v>
      </c>
      <c r="AH24" s="30" t="str">
        <f t="shared" ca="1" si="43"/>
        <v>141-1</v>
      </c>
      <c r="AI24" s="30" t="str">
        <f t="shared" ca="1" si="13"/>
        <v>(1/2)*(1/3)</v>
      </c>
      <c r="AJ24" s="29">
        <f t="shared" ca="1" si="14"/>
        <v>0.16666666666666666</v>
      </c>
      <c r="AK24" s="29" t="str">
        <f t="shared" ca="1" si="15"/>
        <v>1/3</v>
      </c>
      <c r="AL24" s="29">
        <f t="shared" ca="1" si="16"/>
        <v>0.33333333333333331</v>
      </c>
      <c r="AM24" s="32">
        <f t="shared" ca="1" si="35"/>
        <v>0.5</v>
      </c>
      <c r="AO24" s="20">
        <f>Tools!$AD23</f>
        <v>18</v>
      </c>
      <c r="AP24" s="33" t="str">
        <f t="shared" si="36"/>
        <v xml:space="preserve">  </v>
      </c>
      <c r="AQ24" s="34" t="str">
        <f t="shared" ca="1" si="18"/>
        <v>(1/2)*(1/3)+1/3</v>
      </c>
      <c r="AR24" s="23" t="str">
        <f t="shared" ca="1" si="19"/>
        <v xml:space="preserve">  </v>
      </c>
      <c r="AS24" s="24">
        <f t="shared" si="20"/>
        <v>8</v>
      </c>
      <c r="AT24" s="23" t="str">
        <f t="shared" ca="1" si="37"/>
        <v xml:space="preserve">  </v>
      </c>
      <c r="AU24" s="23" t="str">
        <f t="shared" ca="1" si="40"/>
        <v xml:space="preserve">  </v>
      </c>
      <c r="AV24" s="23" t="str">
        <f t="shared" si="21"/>
        <v xml:space="preserve">  </v>
      </c>
      <c r="AW24" s="23" t="str">
        <f t="shared" ca="1" si="22"/>
        <v xml:space="preserve">  </v>
      </c>
      <c r="AY24" s="35" t="str">
        <f t="shared" si="23"/>
        <v xml:space="preserve"> </v>
      </c>
      <c r="AZ24" s="23" t="str">
        <f t="shared" ca="1" si="41"/>
        <v xml:space="preserve">  </v>
      </c>
      <c r="BA24" s="36" t="str">
        <f t="shared" si="25"/>
        <v xml:space="preserve"> </v>
      </c>
      <c r="BB24" s="27" t="str">
        <f t="shared" ca="1" si="38"/>
        <v xml:space="preserve">  </v>
      </c>
      <c r="BC24" s="23" t="str">
        <f t="shared" ca="1" si="39"/>
        <v xml:space="preserve">  </v>
      </c>
      <c r="BE24" s="50" t="s">
        <v>65</v>
      </c>
      <c r="BF24" s="48" t="s">
        <v>66</v>
      </c>
      <c r="BG24" s="49" t="str">
        <f>IF(WL_No="  ","  ",MT/V_Disp)</f>
        <v xml:space="preserve">  </v>
      </c>
    </row>
    <row r="25" spans="1:59" x14ac:dyDescent="0.25">
      <c r="A25" s="20">
        <f>Tools!$AD24</f>
        <v>18.5</v>
      </c>
      <c r="B25" s="33" t="str">
        <f t="shared" si="0"/>
        <v xml:space="preserve">  </v>
      </c>
      <c r="C25" s="22">
        <f>IF(A25="  ","  ",IF(AND(A24="  ",A26="  "),"?",IF(A24="  ",2*(A26-A25),IF(A26="  ",2*(A25-A24),2*(A26-A24)))))</f>
        <v>2</v>
      </c>
      <c r="D25" s="23" t="str">
        <f t="shared" si="26"/>
        <v xml:space="preserve">  </v>
      </c>
      <c r="E25" s="24">
        <f t="shared" si="1"/>
        <v>8.5</v>
      </c>
      <c r="F25" s="23" t="str">
        <f t="shared" si="27"/>
        <v xml:space="preserve">  </v>
      </c>
      <c r="G25" s="23" t="str">
        <f t="shared" si="28"/>
        <v xml:space="preserve">  </v>
      </c>
      <c r="H25" s="23" t="str">
        <f t="shared" si="29"/>
        <v xml:space="preserve">  </v>
      </c>
      <c r="I25" s="23" t="str">
        <f t="shared" si="30"/>
        <v xml:space="preserve">  </v>
      </c>
      <c r="J25" s="4"/>
      <c r="K25" s="37" t="str">
        <f t="shared" si="2"/>
        <v xml:space="preserve"> </v>
      </c>
      <c r="L25" s="23" t="str">
        <f t="shared" si="31"/>
        <v xml:space="preserve">  </v>
      </c>
      <c r="M25" s="38" t="str">
        <f t="shared" si="3"/>
        <v xml:space="preserve"> </v>
      </c>
      <c r="N25" s="27" t="str">
        <f t="shared" si="32"/>
        <v xml:space="preserve">  </v>
      </c>
      <c r="O25" s="23" t="str">
        <f t="shared" si="33"/>
        <v xml:space="preserve">  </v>
      </c>
      <c r="P25" s="4"/>
      <c r="Q25" s="50" t="s">
        <v>69</v>
      </c>
      <c r="R25" s="48" t="s">
        <v>70</v>
      </c>
      <c r="S25" t="str">
        <f>IF(Tools!$L$49="Use 141 rule only",I49,IF(Tools!$L$49="Use 141 and 1331 rules",BG26," "))</f>
        <v xml:space="preserve">  </v>
      </c>
      <c r="W25" s="29">
        <f>IF(AO25="  ","  ",IF(AND(AO24="  ",AO26="  "),"?",IF(AO24="  ",2*(AO26-AO25),IF(AO26="  ",2*(AO25-AO24),2*(AO26-AO24)))))</f>
        <v>2</v>
      </c>
      <c r="X25" s="30" t="str">
        <f t="shared" si="4"/>
        <v>DD</v>
      </c>
      <c r="Y25" s="30" t="str">
        <f t="shared" si="5"/>
        <v>-</v>
      </c>
      <c r="Z25" s="29" t="b">
        <f t="shared" si="6"/>
        <v>1</v>
      </c>
      <c r="AA25" s="29" t="b">
        <f t="shared" si="7"/>
        <v>1</v>
      </c>
      <c r="AB25" s="29" t="str">
        <f t="shared" ca="1" si="8"/>
        <v>141-4</v>
      </c>
      <c r="AC25" s="29">
        <f t="shared" si="34"/>
        <v>4</v>
      </c>
      <c r="AD25" s="29">
        <f t="shared" ca="1" si="9"/>
        <v>4</v>
      </c>
      <c r="AE25" s="29">
        <v>22</v>
      </c>
      <c r="AF25" s="31">
        <f t="shared" si="42"/>
        <v>18</v>
      </c>
      <c r="AG25" s="29" t="b">
        <f t="shared" si="11"/>
        <v>0</v>
      </c>
      <c r="AH25" s="30" t="str">
        <f t="shared" si="43"/>
        <v>-</v>
      </c>
      <c r="AI25" s="30" t="str">
        <f t="shared" ca="1" si="13"/>
        <v>(1/2)*(4/3)</v>
      </c>
      <c r="AJ25" s="29">
        <f t="shared" ca="1" si="14"/>
        <v>0.66666666666666663</v>
      </c>
      <c r="AK25" s="29" t="str">
        <f t="shared" si="15"/>
        <v/>
      </c>
      <c r="AL25" s="29">
        <f t="shared" si="16"/>
        <v>0</v>
      </c>
      <c r="AM25" s="32">
        <f t="shared" ca="1" si="35"/>
        <v>0.66666666666666663</v>
      </c>
      <c r="AO25" s="20">
        <f>Tools!$AD24</f>
        <v>18.5</v>
      </c>
      <c r="AP25" s="33" t="str">
        <f t="shared" si="36"/>
        <v xml:space="preserve">  </v>
      </c>
      <c r="AQ25" s="34" t="str">
        <f t="shared" ca="1" si="18"/>
        <v>(1/2)*(4/3)</v>
      </c>
      <c r="AR25" s="23" t="str">
        <f t="shared" ca="1" si="19"/>
        <v xml:space="preserve">  </v>
      </c>
      <c r="AS25" s="24">
        <f t="shared" si="20"/>
        <v>8.5</v>
      </c>
      <c r="AT25" s="23" t="str">
        <f t="shared" ca="1" si="37"/>
        <v xml:space="preserve">  </v>
      </c>
      <c r="AU25" s="23" t="str">
        <f t="shared" ca="1" si="40"/>
        <v xml:space="preserve">  </v>
      </c>
      <c r="AV25" s="23" t="str">
        <f t="shared" si="21"/>
        <v xml:space="preserve">  </v>
      </c>
      <c r="AW25" s="23" t="str">
        <f t="shared" ca="1" si="22"/>
        <v xml:space="preserve">  </v>
      </c>
      <c r="AY25" s="35" t="str">
        <f t="shared" si="23"/>
        <v xml:space="preserve"> </v>
      </c>
      <c r="AZ25" s="23" t="str">
        <f t="shared" ca="1" si="41"/>
        <v xml:space="preserve">  </v>
      </c>
      <c r="BA25" s="36" t="str">
        <f t="shared" si="25"/>
        <v xml:space="preserve"> </v>
      </c>
      <c r="BB25" s="27" t="str">
        <f t="shared" ca="1" si="38"/>
        <v xml:space="preserve">  </v>
      </c>
      <c r="BC25" s="23" t="str">
        <f t="shared" ca="1" si="39"/>
        <v xml:space="preserve">  </v>
      </c>
      <c r="BE25" s="50" t="s">
        <v>67</v>
      </c>
      <c r="BF25" s="48" t="s">
        <v>68</v>
      </c>
      <c r="BG25" s="49" t="str">
        <f>IF(WL_No="  ","  ",KB+BMT)</f>
        <v xml:space="preserve">  </v>
      </c>
    </row>
    <row r="26" spans="1:59" x14ac:dyDescent="0.25">
      <c r="A26" s="20">
        <f>Tools!$AD25</f>
        <v>19</v>
      </c>
      <c r="B26" s="33" t="str">
        <f t="shared" si="0"/>
        <v xml:space="preserve">  </v>
      </c>
      <c r="C26" s="22">
        <f>IF(A26="  ","  ",IF(AND(A25="  ",A27="  "),"?",IF(A25="  ",1*(A27-A26),IF(A27="  ",1*(A26-A25),1*(A27-A25)))))</f>
        <v>1</v>
      </c>
      <c r="D26" s="23" t="str">
        <f t="shared" si="26"/>
        <v xml:space="preserve">  </v>
      </c>
      <c r="E26" s="24">
        <f t="shared" si="1"/>
        <v>9</v>
      </c>
      <c r="F26" s="23" t="str">
        <f t="shared" si="27"/>
        <v xml:space="preserve">  </v>
      </c>
      <c r="G26" s="23" t="str">
        <f t="shared" si="28"/>
        <v xml:space="preserve">  </v>
      </c>
      <c r="H26" s="23" t="str">
        <f t="shared" si="29"/>
        <v xml:space="preserve">  </v>
      </c>
      <c r="I26" s="23" t="str">
        <f t="shared" si="30"/>
        <v xml:space="preserve">  </v>
      </c>
      <c r="J26" s="4"/>
      <c r="K26" s="37" t="str">
        <f t="shared" si="2"/>
        <v xml:space="preserve"> </v>
      </c>
      <c r="L26" s="23" t="str">
        <f t="shared" si="31"/>
        <v xml:space="preserve">  </v>
      </c>
      <c r="M26" s="38" t="str">
        <f t="shared" si="3"/>
        <v xml:space="preserve"> </v>
      </c>
      <c r="N26" s="27" t="str">
        <f t="shared" si="32"/>
        <v xml:space="preserve">  </v>
      </c>
      <c r="O26" s="23" t="str">
        <f t="shared" si="33"/>
        <v xml:space="preserve">  </v>
      </c>
      <c r="P26" s="4"/>
      <c r="Q26" s="50" t="s">
        <v>71</v>
      </c>
      <c r="R26" s="48" t="s">
        <v>72</v>
      </c>
      <c r="S26" t="str">
        <f>IF(Tools!$L$49="Use 141 rule only",I50,IF(Tools!$L$49="Use 141 and 1331 rules",BG27," "))</f>
        <v xml:space="preserve">  </v>
      </c>
      <c r="W26" s="29">
        <f>IF(AO26="  ","  ",IF(AND(AO25="  ",AO27="  "),"?",IF(AO25="  ",1*(AO27-AO26),IF(AO27="  ",1*(AO26-AO25),1*(AO27-AO25)))))</f>
        <v>1</v>
      </c>
      <c r="X26" s="30" t="str">
        <f t="shared" si="4"/>
        <v>DD</v>
      </c>
      <c r="Y26" s="30" t="str">
        <f t="shared" si="5"/>
        <v>-</v>
      </c>
      <c r="Z26" s="29" t="b">
        <f t="shared" si="6"/>
        <v>1</v>
      </c>
      <c r="AA26" s="29" t="b">
        <f t="shared" si="7"/>
        <v>1</v>
      </c>
      <c r="AB26" s="29" t="str">
        <f t="shared" ca="1" si="8"/>
        <v>141-2</v>
      </c>
      <c r="AC26" s="29">
        <f t="shared" si="34"/>
        <v>3</v>
      </c>
      <c r="AD26" s="29">
        <f t="shared" ca="1" si="9"/>
        <v>3</v>
      </c>
      <c r="AE26" s="29">
        <v>23</v>
      </c>
      <c r="AF26" s="31">
        <f t="shared" si="42"/>
        <v>19</v>
      </c>
      <c r="AG26" s="29" t="b">
        <f t="shared" si="11"/>
        <v>0</v>
      </c>
      <c r="AH26" s="30" t="str">
        <f t="shared" si="43"/>
        <v>-</v>
      </c>
      <c r="AI26" s="30" t="str">
        <f t="shared" ca="1" si="13"/>
        <v>(1/2)*(2/3)</v>
      </c>
      <c r="AJ26" s="29">
        <f t="shared" ca="1" si="14"/>
        <v>0.33333333333333331</v>
      </c>
      <c r="AK26" s="29" t="str">
        <f t="shared" si="15"/>
        <v/>
      </c>
      <c r="AL26" s="29">
        <f t="shared" si="16"/>
        <v>0</v>
      </c>
      <c r="AM26" s="32">
        <f t="shared" ca="1" si="35"/>
        <v>0.33333333333333331</v>
      </c>
      <c r="AO26" s="20">
        <f>Tools!$AD25</f>
        <v>19</v>
      </c>
      <c r="AP26" s="33" t="str">
        <f t="shared" si="36"/>
        <v xml:space="preserve">  </v>
      </c>
      <c r="AQ26" s="34" t="str">
        <f t="shared" ca="1" si="18"/>
        <v>(1/2)*(2/3)</v>
      </c>
      <c r="AR26" s="23" t="str">
        <f t="shared" ca="1" si="19"/>
        <v xml:space="preserve">  </v>
      </c>
      <c r="AS26" s="24">
        <f t="shared" si="20"/>
        <v>9</v>
      </c>
      <c r="AT26" s="23" t="str">
        <f t="shared" ca="1" si="37"/>
        <v xml:space="preserve">  </v>
      </c>
      <c r="AU26" s="23" t="str">
        <f t="shared" ca="1" si="40"/>
        <v xml:space="preserve">  </v>
      </c>
      <c r="AV26" s="23" t="str">
        <f t="shared" si="21"/>
        <v xml:space="preserve">  </v>
      </c>
      <c r="AW26" s="23" t="str">
        <f t="shared" ca="1" si="22"/>
        <v xml:space="preserve">  </v>
      </c>
      <c r="AY26" s="35" t="str">
        <f t="shared" si="23"/>
        <v xml:space="preserve"> </v>
      </c>
      <c r="AZ26" s="23" t="str">
        <f t="shared" ca="1" si="41"/>
        <v xml:space="preserve">  </v>
      </c>
      <c r="BA26" s="36" t="str">
        <f t="shared" si="25"/>
        <v xml:space="preserve"> </v>
      </c>
      <c r="BB26" s="27" t="str">
        <f t="shared" ca="1" si="38"/>
        <v xml:space="preserve">  </v>
      </c>
      <c r="BC26" s="23" t="str">
        <f t="shared" ca="1" si="39"/>
        <v xml:space="preserve">  </v>
      </c>
      <c r="BE26" s="50" t="s">
        <v>69</v>
      </c>
      <c r="BF26" s="48" t="s">
        <v>70</v>
      </c>
      <c r="BG26" s="49" t="str">
        <f>IF(WL_No="  ","  ",KB+BML)</f>
        <v xml:space="preserve">  </v>
      </c>
    </row>
    <row r="27" spans="1:59" x14ac:dyDescent="0.25">
      <c r="A27" s="20">
        <f>Tools!$AD26</f>
        <v>19.5</v>
      </c>
      <c r="B27" s="33" t="str">
        <f t="shared" si="0"/>
        <v xml:space="preserve">  </v>
      </c>
      <c r="C27" s="22">
        <f>IF(A27="  ","  ",IF(AND(A26="  ",A28="  "),"?",IF(A26="  ",2*(A28-A27),IF(A28="  ",2*(A27-A26),2*(A28-A26)))))</f>
        <v>2</v>
      </c>
      <c r="D27" s="23" t="str">
        <f t="shared" si="26"/>
        <v xml:space="preserve">  </v>
      </c>
      <c r="E27" s="24">
        <f t="shared" si="1"/>
        <v>9.5</v>
      </c>
      <c r="F27" s="23" t="str">
        <f t="shared" si="27"/>
        <v xml:space="preserve">  </v>
      </c>
      <c r="G27" s="23" t="str">
        <f t="shared" si="28"/>
        <v xml:space="preserve">  </v>
      </c>
      <c r="H27" s="23" t="str">
        <f t="shared" si="29"/>
        <v xml:space="preserve">  </v>
      </c>
      <c r="I27" s="23" t="str">
        <f t="shared" si="30"/>
        <v xml:space="preserve">  </v>
      </c>
      <c r="J27" s="4"/>
      <c r="K27" s="37" t="str">
        <f t="shared" si="2"/>
        <v xml:space="preserve"> </v>
      </c>
      <c r="L27" s="23" t="str">
        <f t="shared" si="31"/>
        <v xml:space="preserve">  </v>
      </c>
      <c r="M27" s="38" t="str">
        <f t="shared" si="3"/>
        <v xml:space="preserve"> </v>
      </c>
      <c r="N27" s="27" t="str">
        <f t="shared" si="32"/>
        <v xml:space="preserve">  </v>
      </c>
      <c r="O27" s="23" t="str">
        <f t="shared" si="33"/>
        <v xml:space="preserve">  </v>
      </c>
      <c r="P27" s="4"/>
      <c r="Q27" s="50" t="s">
        <v>73</v>
      </c>
      <c r="R27" s="48" t="s">
        <v>74</v>
      </c>
      <c r="S27" t="str">
        <f>IF(Tools!$L$49="Use 141 rule only",I51,IF(Tools!$L$49="Use 141 and 1331 rules",BG28," "))</f>
        <v xml:space="preserve">  </v>
      </c>
      <c r="W27" s="29">
        <f>IF(AO27="  ","  ",IF(AND(AO26="  ",AO28="  "),"?",IF(AO26="  ",2*(AO28-AO27),IF(AO28="  ",2*(AO27-AO26),2*(AO28-AO26)))))</f>
        <v>2</v>
      </c>
      <c r="X27" s="30" t="str">
        <f t="shared" si="4"/>
        <v>DD</v>
      </c>
      <c r="Y27" s="30" t="str">
        <f t="shared" si="5"/>
        <v>-</v>
      </c>
      <c r="Z27" s="29" t="b">
        <f t="shared" si="6"/>
        <v>1</v>
      </c>
      <c r="AA27" s="29" t="b">
        <f t="shared" si="7"/>
        <v>1</v>
      </c>
      <c r="AB27" s="29" t="str">
        <f t="shared" ca="1" si="8"/>
        <v>141-4</v>
      </c>
      <c r="AC27" s="29">
        <f t="shared" si="34"/>
        <v>2</v>
      </c>
      <c r="AD27" s="29">
        <f t="shared" ca="1" si="9"/>
        <v>2</v>
      </c>
      <c r="AE27" s="29">
        <v>24</v>
      </c>
      <c r="AF27" s="31">
        <f t="shared" si="42"/>
        <v>20</v>
      </c>
      <c r="AG27" s="29" t="b">
        <f t="shared" si="11"/>
        <v>0</v>
      </c>
      <c r="AH27" s="30" t="str">
        <f t="shared" si="43"/>
        <v>-</v>
      </c>
      <c r="AI27" s="30" t="str">
        <f t="shared" ca="1" si="13"/>
        <v>(1/2)*(4/3)</v>
      </c>
      <c r="AJ27" s="29">
        <f t="shared" ca="1" si="14"/>
        <v>0.66666666666666663</v>
      </c>
      <c r="AK27" s="29" t="str">
        <f t="shared" si="15"/>
        <v/>
      </c>
      <c r="AL27" s="29">
        <f t="shared" si="16"/>
        <v>0</v>
      </c>
      <c r="AM27" s="32">
        <f t="shared" ca="1" si="35"/>
        <v>0.66666666666666663</v>
      </c>
      <c r="AO27" s="20">
        <f>Tools!$AD26</f>
        <v>19.5</v>
      </c>
      <c r="AP27" s="33" t="str">
        <f t="shared" ref="AP27:AP28" si="44">VLOOKUP(AO27,OFFSET_A,Count_WL+1,FALSE)</f>
        <v xml:space="preserve">  </v>
      </c>
      <c r="AQ27" s="34" t="str">
        <f t="shared" ca="1" si="18"/>
        <v>(1/2)*(4/3)</v>
      </c>
      <c r="AR27" s="23" t="str">
        <f t="shared" ca="1" si="19"/>
        <v xml:space="preserve">  </v>
      </c>
      <c r="AS27" s="24">
        <f t="shared" si="20"/>
        <v>9.5</v>
      </c>
      <c r="AT27" s="23" t="str">
        <f t="shared" ca="1" si="37"/>
        <v xml:space="preserve">  </v>
      </c>
      <c r="AU27" s="23" t="str">
        <f t="shared" ca="1" si="40"/>
        <v xml:space="preserve">  </v>
      </c>
      <c r="AV27" s="23" t="str">
        <f t="shared" si="21"/>
        <v xml:space="preserve">  </v>
      </c>
      <c r="AW27" s="23" t="str">
        <f t="shared" ca="1" si="22"/>
        <v xml:space="preserve">  </v>
      </c>
      <c r="AY27" s="35" t="str">
        <f t="shared" si="23"/>
        <v xml:space="preserve"> </v>
      </c>
      <c r="AZ27" s="23" t="str">
        <f t="shared" ca="1" si="41"/>
        <v xml:space="preserve">  </v>
      </c>
      <c r="BA27" s="36" t="str">
        <f t="shared" si="25"/>
        <v xml:space="preserve"> </v>
      </c>
      <c r="BB27" s="27" t="str">
        <f t="shared" ca="1" si="38"/>
        <v xml:space="preserve">  </v>
      </c>
      <c r="BC27" s="23" t="str">
        <f t="shared" ca="1" si="39"/>
        <v xml:space="preserve">  </v>
      </c>
      <c r="BE27" s="50" t="s">
        <v>71</v>
      </c>
      <c r="BF27" s="48" t="s">
        <v>72</v>
      </c>
      <c r="BG27" s="49" t="str">
        <f>IF(WL_No="  ","  ",AWP*1.025/100)</f>
        <v xml:space="preserve">  </v>
      </c>
    </row>
    <row r="28" spans="1:59" ht="15.75" thickBot="1" x14ac:dyDescent="0.3">
      <c r="A28" s="20">
        <f>Tools!$AD27</f>
        <v>20</v>
      </c>
      <c r="B28" s="52" t="str">
        <f t="shared" si="0"/>
        <v xml:space="preserve">  </v>
      </c>
      <c r="C28" s="22">
        <f>IF(A28="  ","  ",IF(A27="  ","?",1*(A28-A27)))</f>
        <v>0.5</v>
      </c>
      <c r="D28" s="53" t="str">
        <f t="shared" si="26"/>
        <v xml:space="preserve">  </v>
      </c>
      <c r="E28" s="24">
        <f t="shared" si="1"/>
        <v>10</v>
      </c>
      <c r="F28" s="53" t="str">
        <f t="shared" si="27"/>
        <v xml:space="preserve">  </v>
      </c>
      <c r="G28" s="53" t="str">
        <f t="shared" si="28"/>
        <v xml:space="preserve">  </v>
      </c>
      <c r="H28" s="23" t="str">
        <f t="shared" si="29"/>
        <v xml:space="preserve">  </v>
      </c>
      <c r="I28" s="53" t="str">
        <f t="shared" si="30"/>
        <v xml:space="preserve">  </v>
      </c>
      <c r="J28" s="4"/>
      <c r="K28" s="35" t="str">
        <f t="shared" si="2"/>
        <v xml:space="preserve"> </v>
      </c>
      <c r="L28" s="53" t="str">
        <f t="shared" si="31"/>
        <v xml:space="preserve">  </v>
      </c>
      <c r="M28" s="36" t="str">
        <f t="shared" si="3"/>
        <v xml:space="preserve"> </v>
      </c>
      <c r="N28" s="54" t="str">
        <f t="shared" si="32"/>
        <v xml:space="preserve">  </v>
      </c>
      <c r="O28" s="53" t="str">
        <f t="shared" si="33"/>
        <v xml:space="preserve">  </v>
      </c>
      <c r="P28" s="4"/>
      <c r="Q28" s="50" t="s">
        <v>75</v>
      </c>
      <c r="R28" s="55" t="s">
        <v>76</v>
      </c>
      <c r="S28" t="str">
        <f>IF(Tools!$L$49="Use 141 rule only",I52,IF(Tools!$L$49="Use 141 and 1331 rules",BG29," "))</f>
        <v xml:space="preserve">  </v>
      </c>
      <c r="W28" s="29">
        <f>IF(AO28="  ","  ",IF(AO27="  ","?",1*(AO28-AO27)))</f>
        <v>0.5</v>
      </c>
      <c r="X28" s="30" t="str">
        <f t="shared" si="4"/>
        <v>D-</v>
      </c>
      <c r="Y28" s="30" t="str">
        <f t="shared" si="5"/>
        <v>-</v>
      </c>
      <c r="Z28" s="29" t="b">
        <f t="shared" si="6"/>
        <v>1</v>
      </c>
      <c r="AA28" s="29" t="b">
        <f t="shared" si="7"/>
        <v>1</v>
      </c>
      <c r="AB28" s="29" t="str">
        <f t="shared" ca="1" si="8"/>
        <v>141-1</v>
      </c>
      <c r="AC28" s="29">
        <f>IF(ISNUMBER(AO28),IF(ISNUMBER(AO28),IF(OR(AO28=0,AO28=Long_Div),1,IF(AO28&gt;Long_Div/2,AF29+1,IF(AO28&lt;=Long_Div/2,AC27+1,"?")))," --")," ")</f>
        <v>1</v>
      </c>
      <c r="AD28" s="29">
        <f t="shared" ca="1" si="9"/>
        <v>1</v>
      </c>
      <c r="AE28" s="29">
        <v>25</v>
      </c>
      <c r="AF28" s="31">
        <f t="shared" si="42"/>
        <v>21</v>
      </c>
      <c r="AG28" s="29" t="b">
        <f t="shared" si="11"/>
        <v>0</v>
      </c>
      <c r="AH28" s="30" t="str">
        <f t="shared" si="43"/>
        <v>-</v>
      </c>
      <c r="AI28" s="30" t="str">
        <f t="shared" ca="1" si="13"/>
        <v>(1/2)*(1/3)</v>
      </c>
      <c r="AJ28" s="29">
        <f t="shared" ca="1" si="14"/>
        <v>0.16666666666666666</v>
      </c>
      <c r="AK28" s="29" t="str">
        <f t="shared" si="15"/>
        <v/>
      </c>
      <c r="AL28" s="29">
        <f t="shared" si="16"/>
        <v>0</v>
      </c>
      <c r="AM28" s="32">
        <f t="shared" ca="1" si="35"/>
        <v>0.16666666666666666</v>
      </c>
      <c r="AO28" s="20">
        <f>Tools!$AD27</f>
        <v>20</v>
      </c>
      <c r="AP28" s="33" t="str">
        <f t="shared" si="44"/>
        <v xml:space="preserve">  </v>
      </c>
      <c r="AQ28" s="34" t="str">
        <f t="shared" ca="1" si="18"/>
        <v>(1/2)*(1/3)</v>
      </c>
      <c r="AR28" s="23" t="str">
        <f t="shared" ca="1" si="19"/>
        <v xml:space="preserve">  </v>
      </c>
      <c r="AS28" s="24">
        <f t="shared" si="20"/>
        <v>10</v>
      </c>
      <c r="AT28" s="53" t="str">
        <f t="shared" ca="1" si="37"/>
        <v xml:space="preserve">  </v>
      </c>
      <c r="AU28" s="53" t="str">
        <f t="shared" ca="1" si="40"/>
        <v xml:space="preserve">  </v>
      </c>
      <c r="AV28" s="23" t="str">
        <f t="shared" si="21"/>
        <v xml:space="preserve">  </v>
      </c>
      <c r="AW28" s="23" t="str">
        <f t="shared" ca="1" si="22"/>
        <v xml:space="preserve">  </v>
      </c>
      <c r="AY28" s="35" t="str">
        <f t="shared" si="23"/>
        <v xml:space="preserve"> </v>
      </c>
      <c r="AZ28" s="23" t="str">
        <f t="shared" ca="1" si="41"/>
        <v xml:space="preserve">  </v>
      </c>
      <c r="BA28" s="36" t="str">
        <f t="shared" si="25"/>
        <v xml:space="preserve"> </v>
      </c>
      <c r="BB28" s="27" t="str">
        <f t="shared" ca="1" si="38"/>
        <v xml:space="preserve">  </v>
      </c>
      <c r="BC28" s="53" t="str">
        <f t="shared" ca="1" si="39"/>
        <v xml:space="preserve">  </v>
      </c>
      <c r="BE28" s="50" t="s">
        <v>73</v>
      </c>
      <c r="BF28" s="48" t="s">
        <v>74</v>
      </c>
      <c r="BG28" s="49" t="str">
        <f>IF(WL_No="  ","  ",ML/V_Disp)</f>
        <v xml:space="preserve">  </v>
      </c>
    </row>
    <row r="29" spans="1:59" ht="15.75" thickBot="1" x14ac:dyDescent="0.3">
      <c r="A29" s="56" t="s">
        <v>77</v>
      </c>
      <c r="B29" s="56"/>
      <c r="C29" s="56"/>
      <c r="D29" s="57">
        <f>SUM(D4:D28)</f>
        <v>0</v>
      </c>
      <c r="E29" s="42"/>
      <c r="F29" s="58">
        <f>SUM(F4:F28)</f>
        <v>0</v>
      </c>
      <c r="G29" s="58">
        <f>SUM(G4:G28)</f>
        <v>0</v>
      </c>
      <c r="H29" s="42"/>
      <c r="I29" s="58">
        <f>SUM(I4:I28)</f>
        <v>0</v>
      </c>
      <c r="J29" s="4"/>
      <c r="K29" s="42"/>
      <c r="L29" s="58">
        <f>SUM(L4:L28)</f>
        <v>0</v>
      </c>
      <c r="M29" s="42"/>
      <c r="N29" s="58">
        <f>SUM(N4:N28)</f>
        <v>0</v>
      </c>
      <c r="O29" s="58">
        <f>SUM(O4:O28)</f>
        <v>0</v>
      </c>
      <c r="P29" s="4"/>
      <c r="Q29" s="50" t="s">
        <v>78</v>
      </c>
      <c r="R29" s="48" t="s">
        <v>79</v>
      </c>
      <c r="S29" t="str">
        <f>IF(Tools!$L$49="Use 141 rule only",I53,IF(Tools!$L$49="Use 141 and 1331 rules",BG30," "))</f>
        <v xml:space="preserve">  </v>
      </c>
      <c r="W29" s="56"/>
      <c r="X29" s="56"/>
      <c r="Y29" s="56"/>
      <c r="Z29" s="56"/>
      <c r="AA29" s="56"/>
      <c r="AB29" s="56"/>
      <c r="AC29" s="56"/>
      <c r="AD29" s="56"/>
      <c r="AE29" s="56"/>
      <c r="AF29" s="56"/>
      <c r="AG29" s="56"/>
      <c r="AH29" s="56"/>
      <c r="AI29" s="56"/>
      <c r="AJ29" s="56"/>
      <c r="AK29" s="56"/>
      <c r="AL29" s="56"/>
      <c r="AM29" s="56"/>
      <c r="AN29" s="56"/>
      <c r="AO29" s="56" t="s">
        <v>77</v>
      </c>
      <c r="AP29" s="56"/>
      <c r="AQ29" s="59"/>
      <c r="AR29" s="57">
        <f ca="1">SUM(AR4:AR28)</f>
        <v>0</v>
      </c>
      <c r="AS29" s="42"/>
      <c r="AT29" s="58">
        <f ca="1">SUM(AT4:AT28)</f>
        <v>0</v>
      </c>
      <c r="AU29" s="58">
        <f ca="1">SUM(AU4:AU28)</f>
        <v>0</v>
      </c>
      <c r="AV29" s="42"/>
      <c r="AW29" s="58">
        <f ca="1">SUM(AW4:AW28)</f>
        <v>0</v>
      </c>
      <c r="AY29" s="42"/>
      <c r="AZ29" s="58">
        <f ca="1">SUM(AZ4:AZ28)</f>
        <v>0</v>
      </c>
      <c r="BA29" s="42"/>
      <c r="BB29" s="58">
        <f ca="1">SUM(BB4:BB28)</f>
        <v>0</v>
      </c>
      <c r="BC29" s="58">
        <f ca="1">SUM(BC4:BC28)</f>
        <v>0</v>
      </c>
      <c r="BE29" s="50" t="s">
        <v>75</v>
      </c>
      <c r="BF29" s="55" t="s">
        <v>76</v>
      </c>
      <c r="BG29" s="49" t="str">
        <f>IF(WL_No="  ","  ",M_Disp*BML/100/BG8)</f>
        <v xml:space="preserve">  </v>
      </c>
    </row>
    <row r="30" spans="1:59" x14ac:dyDescent="0.25">
      <c r="A30" s="15"/>
      <c r="B30" s="4"/>
      <c r="C30" s="4"/>
      <c r="D30" s="42"/>
      <c r="E30" s="4"/>
      <c r="F30" s="4"/>
      <c r="G30" s="4"/>
      <c r="H30" s="4"/>
      <c r="I30" s="4"/>
      <c r="J30" s="4"/>
      <c r="K30" s="4"/>
      <c r="L30" s="4"/>
      <c r="M30" s="4"/>
      <c r="N30" s="4"/>
      <c r="O30" s="4"/>
      <c r="P30" s="4"/>
      <c r="Q30" s="50" t="s">
        <v>80</v>
      </c>
      <c r="R30" s="48" t="s">
        <v>81</v>
      </c>
      <c r="S30" t="str">
        <f>IF(Tools!$L$49="Use 141 rule only",I54,IF(Tools!$L$49="Use 141 and 1331 rules",BG31," "))</f>
        <v xml:space="preserve">  </v>
      </c>
      <c r="AA30" s="60"/>
      <c r="AB30" s="60"/>
      <c r="BE30" s="50" t="s">
        <v>78</v>
      </c>
      <c r="BF30" s="48" t="s">
        <v>79</v>
      </c>
      <c r="BG30" s="49" t="str">
        <f>IF(WL_No="  ","  ",WLS*WL_No)</f>
        <v xml:space="preserve">  </v>
      </c>
    </row>
    <row r="31" spans="1:59" x14ac:dyDescent="0.25">
      <c r="A31" s="15"/>
      <c r="B31" s="4"/>
      <c r="C31" s="4"/>
      <c r="D31" s="4"/>
      <c r="E31" s="4"/>
      <c r="F31" s="4"/>
      <c r="G31" s="4"/>
      <c r="H31" s="4"/>
      <c r="I31" s="4"/>
      <c r="J31" s="4"/>
      <c r="K31" s="4"/>
      <c r="L31" s="4"/>
      <c r="M31" s="4"/>
      <c r="N31" s="4"/>
      <c r="O31" s="4"/>
      <c r="P31" s="4"/>
      <c r="Q31" s="50" t="s">
        <v>82</v>
      </c>
      <c r="R31" s="48" t="s">
        <v>83</v>
      </c>
      <c r="S31" t="str">
        <f>IF(Tools!$L$49="Use 141 rule only",I55,IF(Tools!$L$49="Use 141 and 1331 rules",BG32," "))</f>
        <v xml:space="preserve">  </v>
      </c>
      <c r="AF31" s="61" t="s">
        <v>84</v>
      </c>
      <c r="AG31" s="62">
        <f ca="1">COUNTIF(OFFSET(AQ4,,,ROUNDUP(Max_STN_count/2,0),1),"")</f>
        <v>0</v>
      </c>
      <c r="AH31" s="63">
        <f ca="1">HLOOKUP(Stn_WL,AREA_TABLE,AG31+2,FALSE)</f>
        <v>0</v>
      </c>
      <c r="AI31" s="63">
        <f ca="1">IF(AH31&gt;Long_Div/2,Long_Div/2,AH31)</f>
        <v>0</v>
      </c>
      <c r="AJ31" s="63">
        <f ca="1">AI31*STN_GAP</f>
        <v>0</v>
      </c>
      <c r="BE31" s="50" t="s">
        <v>80</v>
      </c>
      <c r="BF31" s="48" t="s">
        <v>81</v>
      </c>
      <c r="BG31" s="49" t="str">
        <f>IF(WL_No="  ","  ",AWP/(BG8*B_current))</f>
        <v xml:space="preserve">  </v>
      </c>
    </row>
    <row r="32" spans="1:59" x14ac:dyDescent="0.25">
      <c r="A32" s="15"/>
      <c r="B32" s="4"/>
      <c r="C32" s="4"/>
      <c r="D32" s="4"/>
      <c r="E32" s="4"/>
      <c r="F32" s="4"/>
      <c r="G32" s="4"/>
      <c r="H32" s="4"/>
      <c r="I32" s="4"/>
      <c r="J32" s="64"/>
      <c r="K32" s="4"/>
      <c r="L32" s="4"/>
      <c r="M32" s="4"/>
      <c r="N32" s="4"/>
      <c r="O32" s="4"/>
      <c r="P32" s="4"/>
      <c r="Q32" s="50" t="s">
        <v>85</v>
      </c>
      <c r="R32" s="48" t="s">
        <v>86</v>
      </c>
      <c r="S32" t="str">
        <f>IF(Tools!$L$49="Use 141 rule only",I56,IF(Tools!$L$49="Use 141 and 1331 rules",BG33," "))</f>
        <v xml:space="preserve">  </v>
      </c>
      <c r="AF32" s="61" t="s">
        <v>87</v>
      </c>
      <c r="AG32" s="62">
        <f ca="1">COUNTIF(OFFSET(AQ4,ROUNDUP(Max_STN_count/2,0),,ROUNDDOWN(Max_STN_count/2,0),1),"")</f>
        <v>0</v>
      </c>
      <c r="AH32" s="63">
        <f ca="1">HLOOKUP(Stn_WL,AREA_TABLE,AG32+2,FALSE)</f>
        <v>0</v>
      </c>
      <c r="AI32" s="63">
        <f ca="1">IF(AH32&gt;Long_Div/2,Long_Div/2,AH32)</f>
        <v>0</v>
      </c>
      <c r="AJ32" s="63">
        <f ca="1">AI32*STN_GAP</f>
        <v>0</v>
      </c>
      <c r="BE32" s="50" t="s">
        <v>82</v>
      </c>
      <c r="BF32" s="48" t="s">
        <v>83</v>
      </c>
      <c r="BG32" s="49" t="str">
        <f>IF(WL_No="  ","  ",V_Disp/(BG8*B_current*T))</f>
        <v xml:space="preserve">  </v>
      </c>
    </row>
    <row r="33" spans="1:59" x14ac:dyDescent="0.25">
      <c r="A33" s="15"/>
      <c r="B33" s="4"/>
      <c r="C33" s="4"/>
      <c r="D33" s="4"/>
      <c r="E33" s="4"/>
      <c r="F33" s="4"/>
      <c r="G33" s="43" t="s">
        <v>31</v>
      </c>
      <c r="H33" s="44" t="s">
        <v>32</v>
      </c>
      <c r="I33" s="489" t="s">
        <v>33</v>
      </c>
      <c r="J33" s="4"/>
      <c r="K33" s="4"/>
      <c r="L33" s="4"/>
      <c r="M33" s="4"/>
      <c r="N33" s="4"/>
      <c r="O33" s="4"/>
      <c r="P33" s="4"/>
      <c r="Q33" s="50" t="s">
        <v>88</v>
      </c>
      <c r="R33" s="48" t="s">
        <v>89</v>
      </c>
      <c r="S33" t="str">
        <f>IF(Tools!$L$49="Use 141 rule only",I57,IF(Tools!$L$49="Use 141 and 1331 rules",BG34," "))</f>
        <v xml:space="preserve">  </v>
      </c>
      <c r="AF33" s="63"/>
      <c r="AG33" s="63"/>
      <c r="AH33" s="63">
        <f ca="1">Long_Div-AH32</f>
        <v>20</v>
      </c>
      <c r="AI33" s="63"/>
      <c r="AJ33" s="63">
        <f ca="1">AJ32+AJ31</f>
        <v>0</v>
      </c>
      <c r="BE33" s="50" t="s">
        <v>85</v>
      </c>
      <c r="BF33" s="48" t="s">
        <v>86</v>
      </c>
      <c r="BG33" s="65" t="str">
        <f>IFERROR(IF(WL_No="  ","  ",(VLOOKUP(Long_Div/2,AREA_TABLE,Count_WL+1,FALSE))/(B_current*T)),"-")</f>
        <v xml:space="preserve">  </v>
      </c>
    </row>
    <row r="34" spans="1:59" x14ac:dyDescent="0.25">
      <c r="G34" s="45"/>
      <c r="H34" s="46"/>
      <c r="I34" s="490"/>
      <c r="BE34" s="50" t="s">
        <v>88</v>
      </c>
      <c r="BF34" s="48" t="s">
        <v>89</v>
      </c>
      <c r="BG34" s="49" t="str">
        <f>IF(WL_No="  ","  ",CB/CM)</f>
        <v xml:space="preserve">  </v>
      </c>
    </row>
    <row r="35" spans="1:59" x14ac:dyDescent="0.25">
      <c r="G35" s="47" t="s">
        <v>34</v>
      </c>
      <c r="H35" s="48" t="s">
        <v>35</v>
      </c>
      <c r="I35" s="49" t="str">
        <f>IF(WL_No="  ","  ",2/3*h*$D$29)</f>
        <v xml:space="preserve">  </v>
      </c>
    </row>
    <row r="36" spans="1:59" x14ac:dyDescent="0.25">
      <c r="G36" s="47" t="s">
        <v>36</v>
      </c>
      <c r="H36" s="48" t="s">
        <v>37</v>
      </c>
      <c r="I36" s="49" t="str">
        <f>IF(WL_No="  ","  ",2/3*(h^2)*$F$29)</f>
        <v xml:space="preserve">  </v>
      </c>
    </row>
    <row r="37" spans="1:59" x14ac:dyDescent="0.25">
      <c r="G37" s="50" t="s">
        <v>39</v>
      </c>
      <c r="H37" s="48" t="s">
        <v>40</v>
      </c>
      <c r="I37" s="49" t="str">
        <f>IF(WL_No="  ","  ",Mmid/AWP)</f>
        <v xml:space="preserve">  </v>
      </c>
    </row>
    <row r="38" spans="1:59" x14ac:dyDescent="0.25">
      <c r="G38" s="50" t="s">
        <v>42</v>
      </c>
      <c r="H38" s="48" t="s">
        <v>43</v>
      </c>
      <c r="I38" s="49" t="str">
        <f>IF(WL_No="  ","  ",2/3*(h^3)*$G$29)</f>
        <v xml:space="preserve">  </v>
      </c>
    </row>
    <row r="39" spans="1:59" x14ac:dyDescent="0.25">
      <c r="G39" s="51" t="s">
        <v>44</v>
      </c>
      <c r="H39" s="48" t="s">
        <v>45</v>
      </c>
      <c r="I39" s="49" t="str">
        <f>IF(WL_No="  ","  ",2/9*h*$I$29)</f>
        <v xml:space="preserve">  </v>
      </c>
    </row>
    <row r="40" spans="1:59" x14ac:dyDescent="0.25">
      <c r="G40" s="50" t="s">
        <v>47</v>
      </c>
      <c r="H40" s="48" t="s">
        <v>48</v>
      </c>
      <c r="I40" s="49" t="str">
        <f>IF(WL_No="  ","  ",IL-AWP*(LCF^2))</f>
        <v xml:space="preserve">  </v>
      </c>
    </row>
    <row r="41" spans="1:59" x14ac:dyDescent="0.25">
      <c r="G41" s="50" t="s">
        <v>50</v>
      </c>
      <c r="H41" s="48" t="s">
        <v>51</v>
      </c>
      <c r="I41" s="49" t="str">
        <f>IF(WL_No="  ","  ",h/3*$L$29)</f>
        <v xml:space="preserve">  </v>
      </c>
    </row>
    <row r="42" spans="1:59" x14ac:dyDescent="0.25">
      <c r="G42" s="50" t="s">
        <v>52</v>
      </c>
      <c r="H42" s="48" t="s">
        <v>53</v>
      </c>
      <c r="I42" s="49" t="str">
        <f>IF(WL_No="  ","  ",V_Disp*1.025*1.006)</f>
        <v xml:space="preserve">  </v>
      </c>
    </row>
    <row r="43" spans="1:59" x14ac:dyDescent="0.25">
      <c r="G43" s="50" t="s">
        <v>55</v>
      </c>
      <c r="H43" s="48" t="s">
        <v>56</v>
      </c>
      <c r="I43" s="49" t="str">
        <f>IF(WL_No="  ","  ",h/3*$N$29)</f>
        <v xml:space="preserve">  </v>
      </c>
    </row>
    <row r="44" spans="1:59" x14ac:dyDescent="0.25">
      <c r="G44" s="50" t="s">
        <v>57</v>
      </c>
      <c r="H44" s="48" t="s">
        <v>58</v>
      </c>
      <c r="I44" s="49" t="str">
        <f>IF(WL_No="  ","  ",(h^2)/3*$O$29)</f>
        <v xml:space="preserve">  </v>
      </c>
    </row>
    <row r="45" spans="1:59" x14ac:dyDescent="0.25">
      <c r="G45" s="50" t="s">
        <v>60</v>
      </c>
      <c r="H45" s="48" t="s">
        <v>61</v>
      </c>
      <c r="I45" s="49" t="str">
        <f>IF(WL_No="  ","  ",IF/V_Disp)</f>
        <v xml:space="preserve">  </v>
      </c>
    </row>
    <row r="46" spans="1:59" x14ac:dyDescent="0.25">
      <c r="G46" s="50" t="s">
        <v>63</v>
      </c>
      <c r="H46" s="48" t="s">
        <v>64</v>
      </c>
      <c r="I46" s="49" t="str">
        <f>IF(WL_No="  ","  ",IT/V_Disp)</f>
        <v xml:space="preserve">  </v>
      </c>
    </row>
    <row r="47" spans="1:59" x14ac:dyDescent="0.25">
      <c r="G47" s="50" t="s">
        <v>65</v>
      </c>
      <c r="H47" s="48" t="s">
        <v>66</v>
      </c>
      <c r="I47" s="49" t="str">
        <f>IF(WL_No="  ","  ",MT/V_Disp)</f>
        <v xml:space="preserve">  </v>
      </c>
    </row>
    <row r="48" spans="1:59" x14ac:dyDescent="0.25">
      <c r="G48" s="50" t="s">
        <v>67</v>
      </c>
      <c r="H48" s="48" t="s">
        <v>68</v>
      </c>
      <c r="I48" s="49" t="str">
        <f>IF(WL_No="  ","  ",KB+BMT)</f>
        <v xml:space="preserve">  </v>
      </c>
    </row>
    <row r="49" spans="7:9" x14ac:dyDescent="0.25">
      <c r="G49" s="50" t="s">
        <v>69</v>
      </c>
      <c r="H49" s="48" t="s">
        <v>70</v>
      </c>
      <c r="I49" s="49" t="str">
        <f>IF(WL_No="  ","  ",KB+BML)</f>
        <v xml:space="preserve">  </v>
      </c>
    </row>
    <row r="50" spans="7:9" x14ac:dyDescent="0.25">
      <c r="G50" s="50" t="s">
        <v>71</v>
      </c>
      <c r="H50" s="48" t="s">
        <v>72</v>
      </c>
      <c r="I50" s="49" t="str">
        <f>IF(WL_No="  ","  ",AWP*1.025/100)</f>
        <v xml:space="preserve">  </v>
      </c>
    </row>
    <row r="51" spans="7:9" x14ac:dyDescent="0.25">
      <c r="G51" s="50" t="s">
        <v>73</v>
      </c>
      <c r="H51" s="48" t="s">
        <v>74</v>
      </c>
      <c r="I51" s="49" t="str">
        <f>IF(WL_No="  ","  ",ML/V_Disp)</f>
        <v xml:space="preserve">  </v>
      </c>
    </row>
    <row r="52" spans="7:9" x14ac:dyDescent="0.25">
      <c r="G52" s="50" t="s">
        <v>75</v>
      </c>
      <c r="H52" s="55" t="s">
        <v>76</v>
      </c>
      <c r="I52" s="49" t="str">
        <f>IF(WL_No="  ","  ",M_Disp*BML/100/LBP)</f>
        <v xml:space="preserve">  </v>
      </c>
    </row>
    <row r="53" spans="7:9" x14ac:dyDescent="0.25">
      <c r="G53" s="50" t="s">
        <v>78</v>
      </c>
      <c r="H53" s="48" t="s">
        <v>79</v>
      </c>
      <c r="I53" s="49" t="str">
        <f>IF(WL_No="  ","  ",WLS*WL_No)</f>
        <v xml:space="preserve">  </v>
      </c>
    </row>
    <row r="54" spans="7:9" x14ac:dyDescent="0.25">
      <c r="G54" s="50" t="s">
        <v>80</v>
      </c>
      <c r="H54" s="48" t="s">
        <v>81</v>
      </c>
      <c r="I54" s="49" t="str">
        <f>IF(WL_No="  ","  ",AWP/(LBP*B_current))</f>
        <v xml:space="preserve">  </v>
      </c>
    </row>
    <row r="55" spans="7:9" x14ac:dyDescent="0.25">
      <c r="G55" s="50" t="s">
        <v>82</v>
      </c>
      <c r="H55" s="48" t="s">
        <v>83</v>
      </c>
      <c r="I55" s="49" t="str">
        <f>IF(WL_No="  ","  ",V_Disp/(LBP*B_current*T))</f>
        <v xml:space="preserve">  </v>
      </c>
    </row>
    <row r="56" spans="7:9" x14ac:dyDescent="0.25">
      <c r="G56" s="50" t="s">
        <v>85</v>
      </c>
      <c r="H56" s="48" t="s">
        <v>86</v>
      </c>
      <c r="I56" s="65" t="str">
        <f>IF(WL_No="  ","  ",(VLOOKUP(Long_Div/2,AREA_TABLE,Count_WL+1,FALSE))/(B_current*T))</f>
        <v xml:space="preserve">  </v>
      </c>
    </row>
    <row r="57" spans="7:9" x14ac:dyDescent="0.25">
      <c r="G57" s="50" t="s">
        <v>88</v>
      </c>
      <c r="H57" s="48" t="s">
        <v>89</v>
      </c>
      <c r="I57" s="49" t="str">
        <f>IF(WL_No="  ","  ",CB/CM)</f>
        <v xml:space="preserve">  </v>
      </c>
    </row>
  </sheetData>
  <mergeCells count="7">
    <mergeCell ref="BG10:BG11"/>
    <mergeCell ref="I33:I34"/>
    <mergeCell ref="A2:I2"/>
    <mergeCell ref="K2:O2"/>
    <mergeCell ref="AO2:AW2"/>
    <mergeCell ref="AY2:BC2"/>
    <mergeCell ref="S9:S10"/>
  </mergeCells>
  <conditionalFormatting sqref="CB4:XFD30 BW4:BW28 BS4:BT28 W29:AX29 A33:F57 J33:R33 A11:R32 A2:T10 V2:AO2 AX2 BP29:BW29 A63:XFD1048576 T12:T37 U35:XFD37 BD2:BD29 BM31:XFD33 BM30:BW30 BH29:BI33 BH2:XFD3 U30:BD30 AR31:BD31 W3:AM28 A58:BD62 BH38:XFD62 J34:S37 BH34:XFD34 A1:AN1 AV1:XFD1 AO31:AP31 U33:BD34 AM31 U31:AG32 AK32:BD32 AO3:AX26 J43:BD57 J42:M42 O42:BD42 J38:BD41 AO27:AO28 AQ27:AX28">
    <cfRule type="containsErrors" dxfId="423" priority="14">
      <formula>ISERROR(A1)</formula>
    </cfRule>
  </conditionalFormatting>
  <conditionalFormatting sqref="G33:I34 G35:H57">
    <cfRule type="containsErrors" dxfId="422" priority="13">
      <formula>ISERROR(G33)</formula>
    </cfRule>
  </conditionalFormatting>
  <conditionalFormatting sqref="T12:T33">
    <cfRule type="containsErrors" dxfId="421" priority="12">
      <formula>ISERROR(T12)</formula>
    </cfRule>
  </conditionalFormatting>
  <conditionalFormatting sqref="I35:I57">
    <cfRule type="containsErrors" dxfId="420" priority="11">
      <formula>ISERROR(I35)</formula>
    </cfRule>
  </conditionalFormatting>
  <conditionalFormatting sqref="AY2:BC29">
    <cfRule type="containsErrors" dxfId="419" priority="8">
      <formula>ISERROR(AY2)</formula>
    </cfRule>
  </conditionalFormatting>
  <conditionalFormatting sqref="BE10:BG11 BE12:BF34">
    <cfRule type="containsErrors" dxfId="418" priority="10">
      <formula>ISERROR(BE10)</formula>
    </cfRule>
  </conditionalFormatting>
  <conditionalFormatting sqref="BG12:BG28 BG34">
    <cfRule type="containsErrors" dxfId="417" priority="9">
      <formula>ISERROR(BG12)</formula>
    </cfRule>
  </conditionalFormatting>
  <conditionalFormatting sqref="BE2:BG6">
    <cfRule type="containsErrors" dxfId="416" priority="7">
      <formula>ISERROR(BE2)</formula>
    </cfRule>
  </conditionalFormatting>
  <conditionalFormatting sqref="BF7:BG8">
    <cfRule type="containsErrors" dxfId="415" priority="5">
      <formula>ISERROR(BF7)</formula>
    </cfRule>
  </conditionalFormatting>
  <conditionalFormatting sqref="BE7:BE8">
    <cfRule type="containsErrors" dxfId="414" priority="6">
      <formula>ISERROR(BE7)</formula>
    </cfRule>
  </conditionalFormatting>
  <conditionalFormatting sqref="S30:S33">
    <cfRule type="containsErrors" dxfId="413" priority="4">
      <formula>ISERROR(S30)</formula>
    </cfRule>
  </conditionalFormatting>
  <conditionalFormatting sqref="AP27:AP28">
    <cfRule type="containsErrors" dxfId="412" priority="3">
      <formula>ISERROR(AP27)</formula>
    </cfRule>
  </conditionalFormatting>
  <conditionalFormatting sqref="BG29:BG32">
    <cfRule type="containsErrors" dxfId="411" priority="2">
      <formula>ISERROR(BG29)</formula>
    </cfRule>
  </conditionalFormatting>
  <conditionalFormatting sqref="BG33">
    <cfRule type="containsErrors" dxfId="410" priority="1">
      <formula>ISERROR(BG33)</formula>
    </cfRule>
  </conditionalFormatting>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4" tint="0.79998168889431442"/>
  </sheetPr>
  <dimension ref="A1:BH57"/>
  <sheetViews>
    <sheetView topLeftCell="AG1" zoomScale="55" zoomScaleNormal="55" workbookViewId="0">
      <pane ySplit="1" topLeftCell="A29" activePane="bottomLeft" state="frozen"/>
      <selection activeCell="AG8" sqref="AG8:AG10"/>
      <selection pane="bottomLeft" activeCell="AG8" sqref="AG8:AG10"/>
    </sheetView>
  </sheetViews>
  <sheetFormatPr defaultRowHeight="15" x14ac:dyDescent="0.25"/>
  <cols>
    <col min="1" max="1" width="8.28515625" customWidth="1"/>
    <col min="2" max="2" width="7.28515625" customWidth="1"/>
    <col min="4" max="4" width="6.5703125" customWidth="1"/>
    <col min="7" max="7" width="24" customWidth="1"/>
    <col min="8" max="8" width="30.5703125" customWidth="1"/>
    <col min="9" max="9" width="26.5703125" customWidth="1"/>
    <col min="10" max="10" width="10.5703125" bestFit="1" customWidth="1"/>
    <col min="11" max="11" width="9.140625" customWidth="1"/>
    <col min="13" max="13" width="7.85546875" customWidth="1"/>
    <col min="17" max="17" width="19.5703125" customWidth="1"/>
    <col min="18" max="18" width="11.85546875" customWidth="1"/>
    <col min="19" max="19" width="16.5703125" customWidth="1"/>
    <col min="20" max="20" width="14.140625" customWidth="1"/>
    <col min="35" max="35" width="14" customWidth="1"/>
    <col min="36" max="37" width="12" customWidth="1"/>
    <col min="39" max="39" width="19" customWidth="1"/>
    <col min="43" max="43" width="18" style="7" customWidth="1"/>
    <col min="49" max="49" width="11.28515625" customWidth="1"/>
    <col min="52" max="52" width="12" customWidth="1"/>
    <col min="54" max="54" width="10.7109375" bestFit="1" customWidth="1"/>
    <col min="56" max="56" width="4.5703125" customWidth="1"/>
    <col min="57" max="57" width="21.28515625" customWidth="1"/>
    <col min="58" max="58" width="15.42578125" customWidth="1"/>
    <col min="59" max="59" width="19.28515625" customWidth="1"/>
    <col min="61" max="61" width="5.7109375" customWidth="1"/>
    <col min="62" max="62" width="13" customWidth="1"/>
    <col min="63" max="63" width="17.42578125" customWidth="1"/>
  </cols>
  <sheetData>
    <row r="1" spans="1:60" x14ac:dyDescent="0.25">
      <c r="A1" s="1" t="s">
        <v>0</v>
      </c>
      <c r="B1" s="2" t="str">
        <f>VLOOKUP(Stn_WL,OFFSET_A,Count_WL+1,FALSE)</f>
        <v xml:space="preserve">  </v>
      </c>
      <c r="C1" s="3"/>
      <c r="D1" s="4"/>
      <c r="E1" s="4" t="s">
        <v>1</v>
      </c>
      <c r="F1" s="5">
        <v>21</v>
      </c>
      <c r="G1" s="4"/>
      <c r="H1" s="4"/>
      <c r="I1" s="4"/>
      <c r="J1" s="4"/>
      <c r="K1" s="4"/>
      <c r="L1" s="4"/>
      <c r="M1" s="4"/>
      <c r="N1" s="4"/>
      <c r="O1" s="4"/>
      <c r="P1" s="4"/>
      <c r="Q1" s="4"/>
      <c r="R1" s="4"/>
      <c r="S1" s="4"/>
      <c r="V1" t="s">
        <v>2</v>
      </c>
      <c r="W1">
        <f ca="1">COUNTIF(OFFSET(Z4,,,ROUNDDOWN(Max_STN_count/2+1,0),1),TRUE)</f>
        <v>5</v>
      </c>
      <c r="X1">
        <f ca="1">COUNTIF(OFFSET(AA4,,,ROUNDDOWN(Max_STN_count/2+1,0),1),TRUE)</f>
        <v>5</v>
      </c>
      <c r="Y1">
        <f ca="1">W1-X1</f>
        <v>0</v>
      </c>
      <c r="AB1" s="6" t="s">
        <v>3</v>
      </c>
      <c r="AC1">
        <f ca="1">COUNTIF(OFFSET(Z4,ROUNDUP(Max_STN_count/2,0),,ROUNDDOWN(Max_STN_count/2,0),1),TRUE)</f>
        <v>5</v>
      </c>
      <c r="AD1">
        <f ca="1">COUNTIF(OFFSET(AA4,ROUNDUP(Max_STN_count/2,0),,ROUNDDOWN(Max_STN_count/2,0),1),TRUE)</f>
        <v>5</v>
      </c>
      <c r="AE1">
        <f ca="1">AC1-AD1</f>
        <v>0</v>
      </c>
      <c r="AG1" t="s">
        <v>4</v>
      </c>
      <c r="AH1">
        <f>COUNTIF(AG4:AG28,TRUE)</f>
        <v>17</v>
      </c>
      <c r="AI1">
        <f ca="1">COUNTIF(OFFSET(AG4,,,ROUNDUP(Max_STN_count/2,0),1),FALSE)</f>
        <v>4</v>
      </c>
      <c r="AW1">
        <f ca="1">COUNTIF(OFFSET(AG4,,,Max_STN_count,1),TRUE)</f>
        <v>17</v>
      </c>
    </row>
    <row r="2" spans="1:60" x14ac:dyDescent="0.25">
      <c r="A2" s="491" t="s">
        <v>5</v>
      </c>
      <c r="B2" s="492"/>
      <c r="C2" s="492"/>
      <c r="D2" s="492"/>
      <c r="E2" s="492"/>
      <c r="F2" s="492"/>
      <c r="G2" s="492"/>
      <c r="H2" s="492"/>
      <c r="I2" s="493"/>
      <c r="J2" s="4"/>
      <c r="K2" s="491" t="s">
        <v>6</v>
      </c>
      <c r="L2" s="492"/>
      <c r="M2" s="492"/>
      <c r="N2" s="492"/>
      <c r="O2" s="493"/>
      <c r="P2" s="4"/>
      <c r="Q2" s="8" t="s">
        <v>7</v>
      </c>
      <c r="R2" s="9" t="s">
        <v>8</v>
      </c>
      <c r="S2" s="10">
        <f>WLS</f>
        <v>2</v>
      </c>
      <c r="V2" s="11"/>
      <c r="W2" s="11"/>
      <c r="X2" s="11"/>
      <c r="Y2" s="11"/>
      <c r="Z2" s="11"/>
      <c r="AA2" s="11"/>
      <c r="AB2" s="11"/>
      <c r="AC2" s="11"/>
      <c r="AD2" s="11"/>
      <c r="AE2" s="11"/>
      <c r="AF2" s="11"/>
      <c r="AG2" s="11"/>
      <c r="AH2" s="11"/>
      <c r="AI2" s="11"/>
      <c r="AJ2" s="11"/>
      <c r="AK2" s="11"/>
      <c r="AL2" s="11"/>
      <c r="AM2" s="11"/>
      <c r="AN2" s="11"/>
      <c r="AO2" s="491" t="s">
        <v>5</v>
      </c>
      <c r="AP2" s="492"/>
      <c r="AQ2" s="492"/>
      <c r="AR2" s="492"/>
      <c r="AS2" s="492"/>
      <c r="AT2" s="492"/>
      <c r="AU2" s="492"/>
      <c r="AV2" s="492"/>
      <c r="AW2" s="493"/>
      <c r="AY2" s="491" t="s">
        <v>6</v>
      </c>
      <c r="AZ2" s="492"/>
      <c r="BA2" s="492"/>
      <c r="BB2" s="492"/>
      <c r="BC2" s="493"/>
      <c r="BE2" s="8" t="s">
        <v>7</v>
      </c>
      <c r="BF2" s="9" t="s">
        <v>8</v>
      </c>
      <c r="BG2" s="10">
        <f>WLS</f>
        <v>2</v>
      </c>
    </row>
    <row r="3" spans="1:60" x14ac:dyDescent="0.25">
      <c r="A3" s="12" t="s">
        <v>9</v>
      </c>
      <c r="B3" s="13" t="s">
        <v>10</v>
      </c>
      <c r="C3" s="14" t="s">
        <v>11</v>
      </c>
      <c r="D3" s="14" t="s">
        <v>12</v>
      </c>
      <c r="E3" s="14" t="s">
        <v>13</v>
      </c>
      <c r="F3" s="14" t="s">
        <v>14</v>
      </c>
      <c r="G3" s="14" t="s">
        <v>15</v>
      </c>
      <c r="H3" s="14" t="s">
        <v>16</v>
      </c>
      <c r="I3" s="14" t="s">
        <v>17</v>
      </c>
      <c r="J3" s="15"/>
      <c r="K3" s="14" t="s">
        <v>18</v>
      </c>
      <c r="L3" s="14" t="s">
        <v>19</v>
      </c>
      <c r="M3" s="14" t="s">
        <v>20</v>
      </c>
      <c r="N3" s="14" t="s">
        <v>21</v>
      </c>
      <c r="O3" s="14" t="s">
        <v>22</v>
      </c>
      <c r="P3" s="15"/>
      <c r="Q3" s="16" t="s">
        <v>23</v>
      </c>
      <c r="R3" s="9" t="s">
        <v>8</v>
      </c>
      <c r="S3" s="10">
        <f>STN_GAP</f>
        <v>7.31</v>
      </c>
      <c r="W3" s="17" t="s">
        <v>11</v>
      </c>
      <c r="X3" s="17"/>
      <c r="Y3" s="17"/>
      <c r="Z3" s="17" t="s">
        <v>24</v>
      </c>
      <c r="AA3" s="17"/>
      <c r="AB3" s="17"/>
      <c r="AC3" s="17"/>
      <c r="AD3" s="17"/>
      <c r="AE3" s="17"/>
      <c r="AF3" s="17"/>
      <c r="AG3" s="17" t="s">
        <v>4</v>
      </c>
      <c r="AH3" s="17"/>
      <c r="AI3" s="17" t="s">
        <v>25</v>
      </c>
      <c r="AJ3" s="17"/>
      <c r="AK3" s="17"/>
      <c r="AL3" s="17"/>
      <c r="AM3" s="18" t="s">
        <v>11</v>
      </c>
      <c r="AO3" s="12" t="s">
        <v>9</v>
      </c>
      <c r="AP3" s="13" t="s">
        <v>10</v>
      </c>
      <c r="AQ3" s="19"/>
      <c r="AR3" s="14" t="s">
        <v>12</v>
      </c>
      <c r="AS3" s="14" t="s">
        <v>13</v>
      </c>
      <c r="AT3" s="14" t="s">
        <v>14</v>
      </c>
      <c r="AU3" s="14" t="s">
        <v>15</v>
      </c>
      <c r="AV3" s="14" t="s">
        <v>16</v>
      </c>
      <c r="AW3" s="14" t="s">
        <v>17</v>
      </c>
      <c r="AY3" s="14" t="s">
        <v>18</v>
      </c>
      <c r="AZ3" s="14" t="s">
        <v>19</v>
      </c>
      <c r="BA3" s="14" t="s">
        <v>20</v>
      </c>
      <c r="BB3" s="14" t="s">
        <v>21</v>
      </c>
      <c r="BC3" s="14" t="s">
        <v>22</v>
      </c>
      <c r="BE3" s="16" t="s">
        <v>23</v>
      </c>
      <c r="BF3" s="9" t="s">
        <v>8</v>
      </c>
      <c r="BG3" s="10">
        <f>STN_GAP</f>
        <v>7.31</v>
      </c>
    </row>
    <row r="4" spans="1:60" x14ac:dyDescent="0.25">
      <c r="A4" s="20">
        <f>Tools!$AD3</f>
        <v>0</v>
      </c>
      <c r="B4" s="21" t="str">
        <f t="shared" ref="B4:B28" si="0">VLOOKUP(A4,OFFSET_A,Count_WL+1,FALSE)</f>
        <v xml:space="preserve">  </v>
      </c>
      <c r="C4" s="22">
        <f>IF(A4="  ","  ",IF(A5="  ","?",1*(A5-A4)))</f>
        <v>0.5</v>
      </c>
      <c r="D4" s="23" t="str">
        <f>IFERROR(B4*C4,"  ")</f>
        <v xml:space="preserve">  </v>
      </c>
      <c r="E4" s="24">
        <f t="shared" ref="E4:E28" si="1">IFERROR(A4-(Long_Div/2),"  ")</f>
        <v>-10</v>
      </c>
      <c r="F4" s="23" t="str">
        <f>IFERROR(D4*E4,"  ")</f>
        <v xml:space="preserve">  </v>
      </c>
      <c r="G4" s="23" t="str">
        <f>IFERROR(F4*E4,"  ")</f>
        <v xml:space="preserve">  </v>
      </c>
      <c r="H4" s="23" t="str">
        <f>IFERROR(B4^3,"  ")</f>
        <v xml:space="preserve">  </v>
      </c>
      <c r="I4" s="23" t="str">
        <f>IFERROR(H4*C4,"  ")</f>
        <v xml:space="preserve">  </v>
      </c>
      <c r="J4" s="4"/>
      <c r="K4" s="25" t="str">
        <f t="shared" ref="K4:K28" si="2">VLOOKUP(A4,AREA_TABLE,Count_WL+1,FALSE)</f>
        <v xml:space="preserve"> </v>
      </c>
      <c r="L4" s="23" t="str">
        <f>IFERROR(K4*C4,"  ")</f>
        <v xml:space="preserve">  </v>
      </c>
      <c r="M4" s="26" t="str">
        <f t="shared" ref="M4:M28" si="3">VLOOKUP(A4,MOMENT_TABLE,Count_WL+1,FALSE)</f>
        <v xml:space="preserve"> </v>
      </c>
      <c r="N4" s="27" t="str">
        <f>IFERROR(M4*C4,"  ")</f>
        <v xml:space="preserve">  </v>
      </c>
      <c r="O4" s="23" t="str">
        <f>IFERROR(L4*E4,"  ")</f>
        <v xml:space="preserve">  </v>
      </c>
      <c r="P4" s="4"/>
      <c r="Q4" s="16" t="s">
        <v>26</v>
      </c>
      <c r="R4" s="9" t="s">
        <v>8</v>
      </c>
      <c r="S4" s="28">
        <f>LBP</f>
        <v>146.19999999999999</v>
      </c>
      <c r="W4" s="29">
        <f>IF(AO4="  ","  ",IF(AO5="  ","?",1*(AO5-AO4)))</f>
        <v>0.5</v>
      </c>
      <c r="X4" s="30" t="str">
        <f t="shared" ref="X4:X28" si="4">IF(Y4=0,"--",CONCATENATE(IF(AO4=0,"-",IF(Y3=0,"-",IF(AO4-AO3=0.5,"D",IF(AO4-AO3=1,"W","-")))),IF(AO4=Long_Div,"-",IF(Y5=0,"-",IF(AO5-AO4=0.5,"D",IF(AO5-AO4=1,"W","-"))))))</f>
        <v>-D</v>
      </c>
      <c r="Y4" s="30" t="str">
        <f t="shared" ref="Y4:Y28" si="5">IF(ISNUMBER(AO4),IF(AO4=Long_Div/2,"-",IF(AND(AO4=Long_Div,$AP4=0,$AP3=0),0,IF(AND(AO4=0,$AP4=0,$AP5=0),0,IF($AO4&lt;Long_Div/2,IF(AND(Y3=0,$AP4=0,$AP5=0),0,"-"),IF(AND(Y5=0,$AP4=0,$AP3=0),0,"-")))))," ")</f>
        <v>-</v>
      </c>
      <c r="Z4" s="29" t="b">
        <f t="shared" ref="Z4:Z28" si="6">IF(ISNUMBER(AO4),IF(AO4=0,IF(AO5=0.5,TRUE,FALSE),IF(AO4=Long_Div,IF(AO3=Long_Div-0.5,TRUE,FALSE),IF(OR(AO5-AO4=0.5,AO4-AO3=0.5),TRUE,FALSE)))," ")</f>
        <v>1</v>
      </c>
      <c r="AA4" s="29" t="b">
        <f t="shared" ref="AA4:AA28" si="7">IF(ISNUMBER(AO4),IF(Y4=0," ",IF(AO4=0,IF(AO5=0.5,TRUE,"-"),IF(AO4=Long_Div,IF(AO3=Long_Div-0.5,TRUE,"-"),IF(OR(AO5-AO4=0.5,AO4-AO3=0.5),TRUE,FALSE))))," ")</f>
        <v>1</v>
      </c>
      <c r="AB4" s="29" t="str">
        <f t="shared" ref="AB4:AB28" ca="1" si="8">IF(AO4&lt;=Long_Div/2,IF(ISNUMBER(AO4),IF($X$1=0,"---",IF($X$1=1,"##",IF($X$1=2,IF(AD4=1,"141-4",IF(OR(AD4=0,AD4=2),"141-1","**")),IF(AC4&lt;=($Y$1),"--",IF(AC4&gt;$W$1,"++",IF(ISODD($X$1),IF(OR(AD4=1,AD4=$X$1),"141-1",IF(ISODD(AD4),"141-2",IF(ISEVEN(AD4),"141-4","+"))),IF(ISEVEN($X$1),IF(AD4=1,"1331-1",IF(OR(AD4=2,AD4=3),"1331-3",IF(AD4=4,IF($X$1=4,"1331-1","1331-1,141-1"),IF(AD4=$X$1,"141-1",IF(AD4&lt;=4,"??",IF(ISODD(AD4),"141-4",IF(ISEVEN(AD4),"141-2","SS"))))))))))))))," "),IF(AO4&gt;Long_Div/2,IF(ISNUMBER(AO4),IF($AD$1=0,"---",IF($AD$1=1,"##",IF($AD$1=2,IF(AD4=1,"141-4",IF(OR(AD4=0,AD4=2),"141-1","**")),IF(AC4&lt;=($AE$1),"--",IF(AC4&gt;$AC$1,"++",IF(ISODD($AD$1),IF(OR(AD4=1,AD4=$AD$1),"141-1",IF(ISODD(AD4),"141-2",IF(ISEVEN(AD4),"141-4","+"))),IF(ISEVEN($AD$1),IF(AD4=1,"1331-1",IF(OR(AD4=2,AD4=3),"1331-3",IF(AD4=4,IF($AD$1=4,"1331-1","1331-1,141-1"),IF(AD4=$AD$1,"141-1",IF(AD4&lt;=4,"??",IF(ISODD(AD4),"141-4",IF(ISEVEN(AD4),"141-2","SS"))))))))))))))," "),"@"))</f>
        <v>141-1</v>
      </c>
      <c r="AC4" s="29">
        <f>IF(ISNUMBER(AO4),IF(ISNUMBER(AO4),IF(OR(AO4=0,AO4=Long_Div),1,IF(AO4&gt;Long_Div/2,AC5+1,IF(AO4&lt;=Long_Div/2,AE3+1,"?")))," --")," ")</f>
        <v>1</v>
      </c>
      <c r="AD4" s="29">
        <f t="shared" ref="AD4:AD28" ca="1" si="9">IF(ISNUMBER(AO4),IF(AO4&gt;Long_Div/2,4-ROW(AD4)+Max_STN_count-$AE$1,ROW(AD4)-3-$Y$1)," ")</f>
        <v>1</v>
      </c>
      <c r="AE4" s="29">
        <v>1</v>
      </c>
      <c r="AF4" s="31" t="str">
        <f t="shared" ref="AF4:AF8" si="10">IF(AND(AG4=TRUE,OR(NOT(AG3=TRUE),AG3="Full")),1,IF(ISNUMBER(AF3),AF3+1," "))</f>
        <v xml:space="preserve"> </v>
      </c>
      <c r="AG4" s="29" t="b">
        <f t="shared" ref="AG4:AG28" si="11">IF(ISNUMBER(AO4),IF(AA4=" "," ",IF(AO4=0,IF(AO5-AO4=1,TRUE,FALSE),IF(AO4=Long_Div,IF(AO4-AO3=1,TRUE,FALSE),IF(OR(AO5-AO4=1,AO4-AO3=1),TRUE,FALSE))))," ")</f>
        <v>0</v>
      </c>
      <c r="AH4" s="30" t="str">
        <f t="shared" ref="AH4:AH13" si="12">IF(AND(AG4=TRUE,$AH$1=1),"141-4",IF(AG4=" ",IF(AND($AH$1=2,AF4=3),"141-1","-"),IF(OR(AG4=FALSE,AG4=" "),"-",IF(AG4=TRUE,IF(AND($AH$1=2,AF4=1),"141-1",IF(AND($AH$1=2,AF4=2),"141-4",IF(OR(ISODD($AH$1),AF4&gt;4),IF(AF4=1,"141-1",IF(OR(AB4="141-1",AB4="1331-1",AB4="1331-1,141-1"),"141-1",IF(AG5=" ","141-1",IF(OR(AH3="141-1",AH3="141-2",AH3="1331-1,141-1"),"141-4",IF(AH3="141-4","141-2","$$"))))),IF(ISEVEN($AH$1),IF(AF4=1,"1331-1",IF(OR(AF4=2,AF4=3),"1331-3",IF(AF4=4,IF($AH$1=4,"1331-1","1331-1,141-1"),"")))))))))))</f>
        <v>-</v>
      </c>
      <c r="AI4" s="30" t="str">
        <f t="shared" ref="AI4:AI28" ca="1" si="13">IF(OR(AB4="1331-1",AB4="1331-1,141-1"),"(1/2)*(3/8)",IF(AB4="1331-3","(1/2)*(9/8)",IF(AB4="141-1","(1/2)*(1/3)",IF(AB4="141-2","(1/2)*(2/3)",IF(AB4="141-4","(1/2)*(4/3)","")))))</f>
        <v>(1/2)*(1/3)</v>
      </c>
      <c r="AJ4" s="29">
        <f t="shared" ref="AJ4:AJ28" ca="1" si="14">IF(OR(AB4="1331-1",AB4="1331-1,141-1"),(1/2)*(3/8),IF(AB4="1331-3",(1/2)*(9/8),IF(AB4="141-1",(1/2)*(1/3),IF(AB4="141-2",(1/2)*(2/3),IF(AB4="141-4",(1/2)*(4/3),0)))))</f>
        <v>0.16666666666666666</v>
      </c>
      <c r="AK4" s="29" t="str">
        <f t="shared" ref="AK4:AK28" si="15">IF(AH4="1331-1,141-1","(1*3/8)+(1/3)",IF(LEFT(AH4,4)="141-",CONCATENATE(RIGHT(AH4,1),"/3"),IF(LEFT(AH4,4)="1331",CONCATENATE(RIGHT(AH4,1),"*3/8"),"")))</f>
        <v/>
      </c>
      <c r="AL4" s="29">
        <f t="shared" ref="AL4:AL28" si="16">IF(AH4="1331-1,141-1",(1*3/8)+(1/3),IF(LEFT(AH4,4)="141-",(RIGHT(AH4,1)/3),IF(LEFT(AH4,4)="1331",RIGHT(AH4,1)*3/8,0)))</f>
        <v>0</v>
      </c>
      <c r="AM4" s="32">
        <f ca="1">IF(AQ4=""," ",AJ4+AL4)</f>
        <v>0.16666666666666666</v>
      </c>
      <c r="AO4" s="20">
        <f>Tools!$AD3</f>
        <v>0</v>
      </c>
      <c r="AP4" s="33" t="str">
        <f t="shared" ref="AP4" si="17">VLOOKUP(AO4,OFFSET_A,Count_WL+1,FALSE)</f>
        <v xml:space="preserve">  </v>
      </c>
      <c r="AQ4" s="34" t="str">
        <f t="shared" ref="AQ4:AQ28" ca="1" si="18">CONCATENATE(AI4,IF(NOT(OR(AI4="",AK4="")),"+",""),AK4)</f>
        <v>(1/2)*(1/3)</v>
      </c>
      <c r="AR4" s="23" t="str">
        <f t="shared" ref="AR4:AR28" ca="1" si="19">IFERROR(AP4*AM4,"  ")</f>
        <v xml:space="preserve">  </v>
      </c>
      <c r="AS4" s="24">
        <f t="shared" ref="AS4:AS28" si="20">IFERROR(AO4-(Long_Div/2),"  ")</f>
        <v>-10</v>
      </c>
      <c r="AT4" s="23" t="str">
        <f ca="1">IFERROR(AR4*AS4,"  ")</f>
        <v xml:space="preserve">  </v>
      </c>
      <c r="AU4" s="23" t="str">
        <f ca="1">IFERROR(AT4*AS4,"  ")</f>
        <v xml:space="preserve">  </v>
      </c>
      <c r="AV4" s="23" t="str">
        <f t="shared" ref="AV4:AV28" si="21">IFERROR(AP4^3,"  ")</f>
        <v xml:space="preserve">  </v>
      </c>
      <c r="AW4" s="23" t="str">
        <f t="shared" ref="AW4:AW28" ca="1" si="22">IFERROR(AV4*AM4,"  ")</f>
        <v xml:space="preserve">  </v>
      </c>
      <c r="AY4" s="35" t="str">
        <f t="shared" ref="AY4:AY28" si="23">IF(ROW(AY4)-3&gt;Max_STN_count," ",VLOOKUP(AO4,AREA_TABLE,Count_WL+1,FALSE))</f>
        <v xml:space="preserve"> </v>
      </c>
      <c r="AZ4" s="23" t="str">
        <f t="shared" ref="AZ4:AZ7" ca="1" si="24">IFERROR(AY4*AM4,"  ")</f>
        <v xml:space="preserve">  </v>
      </c>
      <c r="BA4" s="36" t="str">
        <f t="shared" ref="BA4:BA28" si="25">IF(ROW(AY4)-3&gt;Max_STN_count," ",VLOOKUP(AO4,MOMENT_TABLE,Count_WL+1,FALSE))</f>
        <v xml:space="preserve"> </v>
      </c>
      <c r="BB4" s="27" t="str">
        <f ca="1">IFERROR(BA4*AM4,"  ")</f>
        <v xml:space="preserve">  </v>
      </c>
      <c r="BC4" s="23" t="str">
        <f ca="1">IFERROR(AZ4*AS4,"  ")</f>
        <v xml:space="preserve">  </v>
      </c>
      <c r="BE4" s="16" t="s">
        <v>26</v>
      </c>
      <c r="BF4" s="9" t="s">
        <v>8</v>
      </c>
      <c r="BG4" s="28">
        <f>LBP</f>
        <v>146.19999999999999</v>
      </c>
    </row>
    <row r="5" spans="1:60" x14ac:dyDescent="0.25">
      <c r="A5" s="20">
        <f>Tools!$AD4</f>
        <v>0.5</v>
      </c>
      <c r="B5" s="33" t="str">
        <f t="shared" si="0"/>
        <v xml:space="preserve">  </v>
      </c>
      <c r="C5" s="22">
        <f>IF(A5="  ","  ",IF(AND(A4="  ",A6="  "),"?",IF(A4="  ",2*(A6-A5),IF(A6="  ",2*(A5-A4),2*(A6-A4)))))</f>
        <v>2</v>
      </c>
      <c r="D5" s="23" t="str">
        <f t="shared" ref="D5:D28" si="26">IFERROR(B5*C5,"  ")</f>
        <v xml:space="preserve">  </v>
      </c>
      <c r="E5" s="24">
        <f t="shared" si="1"/>
        <v>-9.5</v>
      </c>
      <c r="F5" s="23" t="str">
        <f t="shared" ref="F5:F28" si="27">IFERROR(D5*E5,"  ")</f>
        <v xml:space="preserve">  </v>
      </c>
      <c r="G5" s="23" t="str">
        <f t="shared" ref="G5:G28" si="28">IFERROR(F5*E5,"  ")</f>
        <v xml:space="preserve">  </v>
      </c>
      <c r="H5" s="23" t="str">
        <f t="shared" ref="H5:H28" si="29">IFERROR(B5^3,"  ")</f>
        <v xml:space="preserve">  </v>
      </c>
      <c r="I5" s="23" t="str">
        <f t="shared" ref="I5:I28" si="30">IFERROR(H5*C5,"  ")</f>
        <v xml:space="preserve">  </v>
      </c>
      <c r="J5" s="4"/>
      <c r="K5" s="37" t="str">
        <f t="shared" si="2"/>
        <v xml:space="preserve"> </v>
      </c>
      <c r="L5" s="23" t="str">
        <f t="shared" ref="L5:L28" si="31">IFERROR(K5*C5,"  ")</f>
        <v xml:space="preserve">  </v>
      </c>
      <c r="M5" s="38" t="str">
        <f t="shared" si="3"/>
        <v xml:space="preserve"> </v>
      </c>
      <c r="N5" s="27" t="str">
        <f t="shared" ref="N5:N28" si="32">IFERROR(M5*C5,"  ")</f>
        <v xml:space="preserve">  </v>
      </c>
      <c r="O5" s="23" t="str">
        <f t="shared" ref="O5:O28" si="33">IFERROR(L5*E5,"  ")</f>
        <v xml:space="preserve">  </v>
      </c>
      <c r="P5" s="4"/>
      <c r="Q5" s="8" t="s">
        <v>27</v>
      </c>
      <c r="R5" s="9" t="s">
        <v>8</v>
      </c>
      <c r="S5" s="10">
        <f>BREADTH</f>
        <v>22</v>
      </c>
      <c r="W5" s="29">
        <f>IF(AO5="  ","  ",IF(AND(AO4="  ",AO6="  "),"?",IF(AO4="  ",2*(AO6-AO5),IF(AO6="  ",2*(AO5-AO4),2*(AO6-AO4)))))</f>
        <v>2</v>
      </c>
      <c r="X5" s="30" t="str">
        <f t="shared" si="4"/>
        <v>DD</v>
      </c>
      <c r="Y5" s="30" t="str">
        <f t="shared" si="5"/>
        <v>-</v>
      </c>
      <c r="Z5" s="29" t="b">
        <f t="shared" si="6"/>
        <v>1</v>
      </c>
      <c r="AA5" s="29" t="b">
        <f t="shared" si="7"/>
        <v>1</v>
      </c>
      <c r="AB5" s="29" t="str">
        <f t="shared" ca="1" si="8"/>
        <v>141-4</v>
      </c>
      <c r="AC5" s="29">
        <f t="shared" ref="AC5:AC27" si="34">IF(ISNUMBER(AO5),IF(ISNUMBER(AO5),IF(OR(AO5=0,AO5=Long_Div),1,IF(AO5&gt;Long_Div/2,AC6+1,IF(AO5&lt;=Long_Div/2,AC4+1,"?")))," --")," ")</f>
        <v>2</v>
      </c>
      <c r="AD5" s="29">
        <f t="shared" ca="1" si="9"/>
        <v>2</v>
      </c>
      <c r="AE5" s="29">
        <v>2</v>
      </c>
      <c r="AF5" s="31" t="str">
        <f t="shared" si="10"/>
        <v xml:space="preserve"> </v>
      </c>
      <c r="AG5" s="29" t="b">
        <f t="shared" si="11"/>
        <v>0</v>
      </c>
      <c r="AH5" s="30" t="str">
        <f t="shared" si="12"/>
        <v>-</v>
      </c>
      <c r="AI5" s="30" t="str">
        <f t="shared" ca="1" si="13"/>
        <v>(1/2)*(4/3)</v>
      </c>
      <c r="AJ5" s="29">
        <f t="shared" ca="1" si="14"/>
        <v>0.66666666666666663</v>
      </c>
      <c r="AK5" s="29" t="str">
        <f t="shared" si="15"/>
        <v/>
      </c>
      <c r="AL5" s="29">
        <f t="shared" si="16"/>
        <v>0</v>
      </c>
      <c r="AM5" s="32">
        <f t="shared" ref="AM5:AM28" ca="1" si="35">IF(AQ5=""," ",AJ5+AL5)</f>
        <v>0.66666666666666663</v>
      </c>
      <c r="AO5" s="20">
        <f>Tools!$AD4</f>
        <v>0.5</v>
      </c>
      <c r="AP5" s="33" t="str">
        <f t="shared" ref="AP5:AP26" si="36">VLOOKUP(AO5,OFFSET_A,Count_WL+1,FALSE)</f>
        <v xml:space="preserve">  </v>
      </c>
      <c r="AQ5" s="34" t="str">
        <f t="shared" ca="1" si="18"/>
        <v>(1/2)*(4/3)</v>
      </c>
      <c r="AR5" s="23" t="str">
        <f t="shared" ca="1" si="19"/>
        <v xml:space="preserve">  </v>
      </c>
      <c r="AS5" s="24">
        <f t="shared" si="20"/>
        <v>-9.5</v>
      </c>
      <c r="AT5" s="23" t="str">
        <f t="shared" ref="AT5:AT28" ca="1" si="37">IFERROR(AR5*AS5,"  ")</f>
        <v xml:space="preserve">  </v>
      </c>
      <c r="AU5" s="23" t="str">
        <f ca="1">IFERROR(AT5*AS5,"  ")</f>
        <v xml:space="preserve">  </v>
      </c>
      <c r="AV5" s="23" t="str">
        <f t="shared" si="21"/>
        <v xml:space="preserve">  </v>
      </c>
      <c r="AW5" s="23" t="str">
        <f t="shared" ca="1" si="22"/>
        <v xml:space="preserve">  </v>
      </c>
      <c r="AY5" s="35" t="str">
        <f t="shared" si="23"/>
        <v xml:space="preserve"> </v>
      </c>
      <c r="AZ5" s="23" t="str">
        <f t="shared" ca="1" si="24"/>
        <v xml:space="preserve">  </v>
      </c>
      <c r="BA5" s="36" t="str">
        <f t="shared" si="25"/>
        <v xml:space="preserve"> </v>
      </c>
      <c r="BB5" s="27" t="str">
        <f t="shared" ref="BB5:BB28" ca="1" si="38">IFERROR(BA5*AM5,"  ")</f>
        <v xml:space="preserve">  </v>
      </c>
      <c r="BC5" s="23" t="str">
        <f t="shared" ref="BC5:BC28" ca="1" si="39">IFERROR(AZ5*AS5,"  ")</f>
        <v xml:space="preserve">  </v>
      </c>
      <c r="BE5" s="8" t="s">
        <v>27</v>
      </c>
      <c r="BF5" s="9" t="s">
        <v>8</v>
      </c>
      <c r="BG5" s="10">
        <f>BREADTH</f>
        <v>22</v>
      </c>
    </row>
    <row r="6" spans="1:60" x14ac:dyDescent="0.25">
      <c r="A6" s="20">
        <f>Tools!$AD5</f>
        <v>1</v>
      </c>
      <c r="B6" s="33" t="str">
        <f t="shared" si="0"/>
        <v xml:space="preserve">  </v>
      </c>
      <c r="C6" s="22">
        <f>IF(A6="  ","  ",IF(AND(A5="  ",A7="  "),"?",IF(A5="  ",1*(A7-A6),IF(A7="  ",1*(A6-A5),1*(A7-A5)))))</f>
        <v>1</v>
      </c>
      <c r="D6" s="23" t="str">
        <f t="shared" si="26"/>
        <v xml:space="preserve">  </v>
      </c>
      <c r="E6" s="24">
        <f t="shared" si="1"/>
        <v>-9</v>
      </c>
      <c r="F6" s="23" t="str">
        <f t="shared" si="27"/>
        <v xml:space="preserve">  </v>
      </c>
      <c r="G6" s="23" t="str">
        <f t="shared" si="28"/>
        <v xml:space="preserve">  </v>
      </c>
      <c r="H6" s="23" t="str">
        <f t="shared" si="29"/>
        <v xml:space="preserve">  </v>
      </c>
      <c r="I6" s="23" t="str">
        <f t="shared" si="30"/>
        <v xml:space="preserve">  </v>
      </c>
      <c r="J6" s="4"/>
      <c r="K6" s="37" t="str">
        <f t="shared" si="2"/>
        <v xml:space="preserve"> </v>
      </c>
      <c r="L6" s="23" t="str">
        <f t="shared" si="31"/>
        <v xml:space="preserve">  </v>
      </c>
      <c r="M6" s="38" t="str">
        <f t="shared" si="3"/>
        <v xml:space="preserve"> </v>
      </c>
      <c r="N6" s="27" t="str">
        <f t="shared" si="32"/>
        <v xml:space="preserve">  </v>
      </c>
      <c r="O6" s="23" t="str">
        <f t="shared" si="33"/>
        <v xml:space="preserve">  </v>
      </c>
      <c r="P6" s="4"/>
      <c r="Q6" s="8" t="s">
        <v>28</v>
      </c>
      <c r="R6" s="9" t="s">
        <v>8</v>
      </c>
      <c r="S6" s="10">
        <f>DEPTH</f>
        <v>13</v>
      </c>
      <c r="W6" s="29">
        <f>IF(AO6="  ","  ",IF(AND(AO5="  ",AO7="  "),"?",IF(AO5="  ",1*(AO7-AO6),IF(AO7="  ",1*(AO6-AO5),1*(AO7-AO5)))))</f>
        <v>1</v>
      </c>
      <c r="X6" s="30" t="str">
        <f t="shared" si="4"/>
        <v>DD</v>
      </c>
      <c r="Y6" s="30" t="str">
        <f t="shared" si="5"/>
        <v>-</v>
      </c>
      <c r="Z6" s="29" t="b">
        <f t="shared" si="6"/>
        <v>1</v>
      </c>
      <c r="AA6" s="29" t="b">
        <f t="shared" si="7"/>
        <v>1</v>
      </c>
      <c r="AB6" s="29" t="str">
        <f t="shared" ca="1" si="8"/>
        <v>141-2</v>
      </c>
      <c r="AC6" s="29">
        <f t="shared" si="34"/>
        <v>3</v>
      </c>
      <c r="AD6" s="29">
        <f t="shared" ca="1" si="9"/>
        <v>3</v>
      </c>
      <c r="AE6" s="29">
        <v>3</v>
      </c>
      <c r="AF6" s="31" t="str">
        <f t="shared" si="10"/>
        <v xml:space="preserve"> </v>
      </c>
      <c r="AG6" s="29" t="b">
        <f t="shared" si="11"/>
        <v>0</v>
      </c>
      <c r="AH6" s="30" t="str">
        <f t="shared" si="12"/>
        <v>-</v>
      </c>
      <c r="AI6" s="30" t="str">
        <f t="shared" ca="1" si="13"/>
        <v>(1/2)*(2/3)</v>
      </c>
      <c r="AJ6" s="29">
        <f t="shared" ca="1" si="14"/>
        <v>0.33333333333333331</v>
      </c>
      <c r="AK6" s="29" t="str">
        <f t="shared" si="15"/>
        <v/>
      </c>
      <c r="AL6" s="29">
        <f t="shared" si="16"/>
        <v>0</v>
      </c>
      <c r="AM6" s="32">
        <f t="shared" ca="1" si="35"/>
        <v>0.33333333333333331</v>
      </c>
      <c r="AO6" s="20">
        <f>Tools!$AD5</f>
        <v>1</v>
      </c>
      <c r="AP6" s="33" t="str">
        <f t="shared" si="36"/>
        <v xml:space="preserve">  </v>
      </c>
      <c r="AQ6" s="34" t="str">
        <f t="shared" ca="1" si="18"/>
        <v>(1/2)*(2/3)</v>
      </c>
      <c r="AR6" s="23" t="str">
        <f t="shared" ca="1" si="19"/>
        <v xml:space="preserve">  </v>
      </c>
      <c r="AS6" s="24">
        <f t="shared" si="20"/>
        <v>-9</v>
      </c>
      <c r="AT6" s="23" t="str">
        <f t="shared" ca="1" si="37"/>
        <v xml:space="preserve">  </v>
      </c>
      <c r="AU6" s="23" t="str">
        <f ca="1">IFERROR(AT6*AS6,"  ")</f>
        <v xml:space="preserve">  </v>
      </c>
      <c r="AV6" s="23" t="str">
        <f t="shared" si="21"/>
        <v xml:space="preserve">  </v>
      </c>
      <c r="AW6" s="23" t="str">
        <f t="shared" ca="1" si="22"/>
        <v xml:space="preserve">  </v>
      </c>
      <c r="AY6" s="35" t="str">
        <f t="shared" si="23"/>
        <v xml:space="preserve"> </v>
      </c>
      <c r="AZ6" s="23" t="str">
        <f t="shared" ca="1" si="24"/>
        <v xml:space="preserve">  </v>
      </c>
      <c r="BA6" s="36" t="str">
        <f t="shared" si="25"/>
        <v xml:space="preserve"> </v>
      </c>
      <c r="BB6" s="27" t="str">
        <f t="shared" ca="1" si="38"/>
        <v xml:space="preserve">  </v>
      </c>
      <c r="BC6" s="23" t="str">
        <f t="shared" ca="1" si="39"/>
        <v xml:space="preserve">  </v>
      </c>
      <c r="BE6" s="8" t="s">
        <v>28</v>
      </c>
      <c r="BF6" s="9" t="s">
        <v>8</v>
      </c>
      <c r="BG6" s="10">
        <f>DEPTH</f>
        <v>13</v>
      </c>
    </row>
    <row r="7" spans="1:60" x14ac:dyDescent="0.25">
      <c r="A7" s="20">
        <f>Tools!$AD6</f>
        <v>1.5</v>
      </c>
      <c r="B7" s="33" t="str">
        <f t="shared" si="0"/>
        <v xml:space="preserve">  </v>
      </c>
      <c r="C7" s="22">
        <f>IF(A7="  ","  ",IF(AND(A6="  ",A8="  "),"?",IF(A6="  ",2*(A8-A7),IF(A8="  ",2*(A7-A6),2*(A8-A6)))))</f>
        <v>2</v>
      </c>
      <c r="D7" s="23" t="str">
        <f t="shared" si="26"/>
        <v xml:space="preserve">  </v>
      </c>
      <c r="E7" s="24">
        <f t="shared" si="1"/>
        <v>-8.5</v>
      </c>
      <c r="F7" s="23" t="str">
        <f t="shared" si="27"/>
        <v xml:space="preserve">  </v>
      </c>
      <c r="G7" s="23" t="str">
        <f t="shared" si="28"/>
        <v xml:space="preserve">  </v>
      </c>
      <c r="H7" s="23" t="str">
        <f t="shared" si="29"/>
        <v xml:space="preserve">  </v>
      </c>
      <c r="I7" s="23" t="str">
        <f t="shared" si="30"/>
        <v xml:space="preserve">  </v>
      </c>
      <c r="J7" s="4"/>
      <c r="K7" s="37" t="str">
        <f t="shared" si="2"/>
        <v xml:space="preserve"> </v>
      </c>
      <c r="L7" s="23" t="str">
        <f t="shared" si="31"/>
        <v xml:space="preserve">  </v>
      </c>
      <c r="M7" s="38" t="str">
        <f t="shared" si="3"/>
        <v xml:space="preserve"> </v>
      </c>
      <c r="N7" s="27" t="str">
        <f t="shared" si="32"/>
        <v xml:space="preserve">  </v>
      </c>
      <c r="O7" s="23" t="str">
        <f t="shared" si="33"/>
        <v xml:space="preserve">  </v>
      </c>
      <c r="P7" s="4"/>
      <c r="Q7" s="39" t="s">
        <v>29</v>
      </c>
      <c r="R7" s="40" t="s">
        <v>8</v>
      </c>
      <c r="S7" s="41" t="str">
        <f>IF(MAX(B4:B28)=0," ",2*MAX(B4:B28))</f>
        <v xml:space="preserve"> </v>
      </c>
      <c r="W7" s="29">
        <f>IF(AO7="  ","  ",IF(AND(AO6="  ",AO8="  "),"?",IF(AO6="  ",2*(AO8-AO7),IF(AO8="  ",2*(AO7-AO6),2*(AO8-AO6)))))</f>
        <v>2</v>
      </c>
      <c r="X7" s="30" t="str">
        <f t="shared" si="4"/>
        <v>DD</v>
      </c>
      <c r="Y7" s="30" t="str">
        <f t="shared" si="5"/>
        <v>-</v>
      </c>
      <c r="Z7" s="29" t="b">
        <f t="shared" si="6"/>
        <v>1</v>
      </c>
      <c r="AA7" s="29" t="b">
        <f t="shared" si="7"/>
        <v>1</v>
      </c>
      <c r="AB7" s="29" t="str">
        <f t="shared" ca="1" si="8"/>
        <v>141-4</v>
      </c>
      <c r="AC7" s="29">
        <f t="shared" si="34"/>
        <v>4</v>
      </c>
      <c r="AD7" s="29">
        <f t="shared" ca="1" si="9"/>
        <v>4</v>
      </c>
      <c r="AE7" s="29">
        <v>4</v>
      </c>
      <c r="AF7" s="31" t="str">
        <f t="shared" si="10"/>
        <v xml:space="preserve"> </v>
      </c>
      <c r="AG7" s="29" t="b">
        <f t="shared" si="11"/>
        <v>0</v>
      </c>
      <c r="AH7" s="30" t="str">
        <f t="shared" si="12"/>
        <v>-</v>
      </c>
      <c r="AI7" s="30" t="str">
        <f t="shared" ca="1" si="13"/>
        <v>(1/2)*(4/3)</v>
      </c>
      <c r="AJ7" s="29">
        <f t="shared" ca="1" si="14"/>
        <v>0.66666666666666663</v>
      </c>
      <c r="AK7" s="29" t="str">
        <f t="shared" si="15"/>
        <v/>
      </c>
      <c r="AL7" s="29">
        <f t="shared" si="16"/>
        <v>0</v>
      </c>
      <c r="AM7" s="32">
        <f t="shared" ca="1" si="35"/>
        <v>0.66666666666666663</v>
      </c>
      <c r="AO7" s="20">
        <f>Tools!$AD6</f>
        <v>1.5</v>
      </c>
      <c r="AP7" s="33" t="str">
        <f t="shared" si="36"/>
        <v xml:space="preserve">  </v>
      </c>
      <c r="AQ7" s="34" t="str">
        <f t="shared" ca="1" si="18"/>
        <v>(1/2)*(4/3)</v>
      </c>
      <c r="AR7" s="23" t="str">
        <f t="shared" ca="1" si="19"/>
        <v xml:space="preserve">  </v>
      </c>
      <c r="AS7" s="24">
        <f t="shared" si="20"/>
        <v>-8.5</v>
      </c>
      <c r="AT7" s="23" t="str">
        <f t="shared" ca="1" si="37"/>
        <v xml:space="preserve">  </v>
      </c>
      <c r="AU7" s="23" t="str">
        <f t="shared" ref="AU7:AU28" ca="1" si="40">IFERROR(AT7*AS7,"  ")</f>
        <v xml:space="preserve">  </v>
      </c>
      <c r="AV7" s="23" t="str">
        <f t="shared" si="21"/>
        <v xml:space="preserve">  </v>
      </c>
      <c r="AW7" s="23" t="str">
        <f t="shared" ca="1" si="22"/>
        <v xml:space="preserve">  </v>
      </c>
      <c r="AY7" s="35" t="str">
        <f t="shared" si="23"/>
        <v xml:space="preserve"> </v>
      </c>
      <c r="AZ7" s="23" t="str">
        <f t="shared" ca="1" si="24"/>
        <v xml:space="preserve">  </v>
      </c>
      <c r="BA7" s="36" t="str">
        <f t="shared" si="25"/>
        <v xml:space="preserve"> </v>
      </c>
      <c r="BB7" s="27" t="str">
        <f t="shared" ca="1" si="38"/>
        <v xml:space="preserve">  </v>
      </c>
      <c r="BC7" s="23" t="str">
        <f t="shared" ca="1" si="39"/>
        <v xml:space="preserve">  </v>
      </c>
      <c r="BE7" s="8" t="s">
        <v>29</v>
      </c>
      <c r="BF7" s="9" t="s">
        <v>8</v>
      </c>
      <c r="BG7" s="10" t="str">
        <f>IF(MAX(AP4:AP28)=0," ",2*MAX(AP4:AP28))</f>
        <v xml:space="preserve"> </v>
      </c>
    </row>
    <row r="8" spans="1:60" x14ac:dyDescent="0.25">
      <c r="A8" s="20">
        <f>Tools!$AD7</f>
        <v>2</v>
      </c>
      <c r="B8" s="33" t="str">
        <f t="shared" si="0"/>
        <v xml:space="preserve">  </v>
      </c>
      <c r="C8" s="22">
        <f>IF(A8="  ","  ",IF(AND(A7="  ",A9="  "),"?",IF(A7="  ",1*(A9-A8),IF(A9="  ",1*(A8-A7),1*(A9-A7)))))</f>
        <v>1.5</v>
      </c>
      <c r="D8" s="23" t="str">
        <f t="shared" si="26"/>
        <v xml:space="preserve">  </v>
      </c>
      <c r="E8" s="24">
        <f t="shared" si="1"/>
        <v>-8</v>
      </c>
      <c r="F8" s="23" t="str">
        <f t="shared" si="27"/>
        <v xml:space="preserve">  </v>
      </c>
      <c r="G8" s="23" t="str">
        <f t="shared" si="28"/>
        <v xml:space="preserve">  </v>
      </c>
      <c r="H8" s="23" t="str">
        <f t="shared" si="29"/>
        <v xml:space="preserve">  </v>
      </c>
      <c r="I8" s="23" t="str">
        <f t="shared" si="30"/>
        <v xml:space="preserve">  </v>
      </c>
      <c r="J8" s="4"/>
      <c r="K8" s="37" t="str">
        <f t="shared" si="2"/>
        <v xml:space="preserve"> </v>
      </c>
      <c r="L8" s="23" t="str">
        <f t="shared" si="31"/>
        <v xml:space="preserve">  </v>
      </c>
      <c r="M8" s="38" t="str">
        <f t="shared" si="3"/>
        <v xml:space="preserve"> </v>
      </c>
      <c r="N8" s="27" t="str">
        <f t="shared" si="32"/>
        <v xml:space="preserve">  </v>
      </c>
      <c r="O8" s="23" t="str">
        <f t="shared" si="33"/>
        <v xml:space="preserve">  </v>
      </c>
      <c r="P8" s="4"/>
      <c r="Q8" s="42"/>
      <c r="R8" s="42"/>
      <c r="S8" s="42"/>
      <c r="W8" s="29">
        <f>IF(AO8="  ","  ",IF(AND(AO7="  ",AO9="  "),"?",IF(AO7="  ",1*(AO9-AO8),IF(AO9="  ",1*(AO8-AO7),1*(AO9-AO7)))))</f>
        <v>1.5</v>
      </c>
      <c r="X8" s="30" t="str">
        <f t="shared" si="4"/>
        <v>DW</v>
      </c>
      <c r="Y8" s="30" t="str">
        <f t="shared" si="5"/>
        <v>-</v>
      </c>
      <c r="Z8" s="29" t="b">
        <f t="shared" si="6"/>
        <v>1</v>
      </c>
      <c r="AA8" s="29" t="b">
        <f t="shared" si="7"/>
        <v>1</v>
      </c>
      <c r="AB8" s="29" t="str">
        <f t="shared" ca="1" si="8"/>
        <v>141-1</v>
      </c>
      <c r="AC8" s="29">
        <f t="shared" si="34"/>
        <v>5</v>
      </c>
      <c r="AD8" s="29">
        <f t="shared" ca="1" si="9"/>
        <v>5</v>
      </c>
      <c r="AE8" s="29">
        <v>5</v>
      </c>
      <c r="AF8" s="31">
        <f t="shared" si="10"/>
        <v>1</v>
      </c>
      <c r="AG8" s="29" t="b">
        <f t="shared" si="11"/>
        <v>1</v>
      </c>
      <c r="AH8" s="30" t="str">
        <f t="shared" si="12"/>
        <v>141-1</v>
      </c>
      <c r="AI8" s="30" t="str">
        <f t="shared" ca="1" si="13"/>
        <v>(1/2)*(1/3)</v>
      </c>
      <c r="AJ8" s="29">
        <f t="shared" ca="1" si="14"/>
        <v>0.16666666666666666</v>
      </c>
      <c r="AK8" s="29" t="str">
        <f t="shared" si="15"/>
        <v>1/3</v>
      </c>
      <c r="AL8" s="29">
        <f t="shared" si="16"/>
        <v>0.33333333333333331</v>
      </c>
      <c r="AM8" s="32">
        <f t="shared" ca="1" si="35"/>
        <v>0.5</v>
      </c>
      <c r="AO8" s="20">
        <f>Tools!$AD7</f>
        <v>2</v>
      </c>
      <c r="AP8" s="33" t="str">
        <f t="shared" si="36"/>
        <v xml:space="preserve">  </v>
      </c>
      <c r="AQ8" s="34" t="str">
        <f t="shared" ca="1" si="18"/>
        <v>(1/2)*(1/3)+1/3</v>
      </c>
      <c r="AR8" s="23" t="str">
        <f t="shared" ca="1" si="19"/>
        <v xml:space="preserve">  </v>
      </c>
      <c r="AS8" s="24">
        <f t="shared" si="20"/>
        <v>-8</v>
      </c>
      <c r="AT8" s="23" t="str">
        <f t="shared" ca="1" si="37"/>
        <v xml:space="preserve">  </v>
      </c>
      <c r="AU8" s="23" t="str">
        <f t="shared" ca="1" si="40"/>
        <v xml:space="preserve">  </v>
      </c>
      <c r="AV8" s="23" t="str">
        <f t="shared" si="21"/>
        <v xml:space="preserve">  </v>
      </c>
      <c r="AW8" s="23" t="str">
        <f t="shared" ca="1" si="22"/>
        <v xml:space="preserve">  </v>
      </c>
      <c r="AY8" s="35" t="str">
        <f t="shared" si="23"/>
        <v xml:space="preserve"> </v>
      </c>
      <c r="AZ8" s="23" t="str">
        <f ca="1">IFERROR(AY8*AM8,"  ")</f>
        <v xml:space="preserve">  </v>
      </c>
      <c r="BA8" s="36" t="str">
        <f t="shared" si="25"/>
        <v xml:space="preserve"> </v>
      </c>
      <c r="BB8" s="27" t="str">
        <f t="shared" ca="1" si="38"/>
        <v xml:space="preserve">  </v>
      </c>
      <c r="BC8" s="23" t="str">
        <f t="shared" ca="1" si="39"/>
        <v xml:space="preserve">  </v>
      </c>
      <c r="BE8" s="8" t="s">
        <v>30</v>
      </c>
      <c r="BF8" s="9" t="s">
        <v>8</v>
      </c>
      <c r="BG8" s="10">
        <f ca="1">LBP-AJ33</f>
        <v>146.19999999999999</v>
      </c>
      <c r="BH8" t="str">
        <f ca="1">IF(AJ33&gt;0,CONCATENATE("(LWL is assumed between stations ",$AH$31," and ",$AH$33," as offset values extreme to these stations are zeros.)"),"")</f>
        <v/>
      </c>
    </row>
    <row r="9" spans="1:60" x14ac:dyDescent="0.25">
      <c r="A9" s="20">
        <f>Tools!$AD8</f>
        <v>3</v>
      </c>
      <c r="B9" s="33" t="str">
        <f t="shared" si="0"/>
        <v xml:space="preserve">  </v>
      </c>
      <c r="C9" s="22">
        <f>IF(A9="  ","  ",IF(AND(A8="  ",A10="  "),"?",IF(A8="  ",2*(A10-A9),IF(A10="  ",2*(A9-A8),2*(A10-A8)))))</f>
        <v>4</v>
      </c>
      <c r="D9" s="23" t="str">
        <f t="shared" si="26"/>
        <v xml:space="preserve">  </v>
      </c>
      <c r="E9" s="24">
        <f t="shared" si="1"/>
        <v>-7</v>
      </c>
      <c r="F9" s="23" t="str">
        <f t="shared" si="27"/>
        <v xml:space="preserve">  </v>
      </c>
      <c r="G9" s="23" t="str">
        <f t="shared" si="28"/>
        <v xml:space="preserve">  </v>
      </c>
      <c r="H9" s="23" t="str">
        <f t="shared" si="29"/>
        <v xml:space="preserve">  </v>
      </c>
      <c r="I9" s="23" t="str">
        <f t="shared" si="30"/>
        <v xml:space="preserve">  </v>
      </c>
      <c r="J9" s="4"/>
      <c r="K9" s="37" t="str">
        <f t="shared" si="2"/>
        <v xml:space="preserve"> </v>
      </c>
      <c r="L9" s="23" t="str">
        <f t="shared" si="31"/>
        <v xml:space="preserve">  </v>
      </c>
      <c r="M9" s="38" t="str">
        <f t="shared" si="3"/>
        <v xml:space="preserve"> </v>
      </c>
      <c r="N9" s="27" t="str">
        <f t="shared" si="32"/>
        <v xml:space="preserve">  </v>
      </c>
      <c r="O9" s="23" t="str">
        <f t="shared" si="33"/>
        <v xml:space="preserve">  </v>
      </c>
      <c r="P9" s="4"/>
      <c r="Q9" s="43" t="s">
        <v>31</v>
      </c>
      <c r="R9" s="44" t="s">
        <v>32</v>
      </c>
      <c r="S9" s="489" t="s">
        <v>33</v>
      </c>
      <c r="W9" s="29">
        <f>IF(AO9="  ","  ",IF(AND(AO8="  ",AO10="  "),"?",IF(AO8="  ",2*(AO10-AO9),IF(AO10="  ",2*(AO9-AO8),2*(AO10-AO8)))))</f>
        <v>4</v>
      </c>
      <c r="X9" s="30" t="str">
        <f t="shared" si="4"/>
        <v>WW</v>
      </c>
      <c r="Y9" s="30" t="str">
        <f t="shared" si="5"/>
        <v>-</v>
      </c>
      <c r="Z9" s="29" t="b">
        <f t="shared" si="6"/>
        <v>0</v>
      </c>
      <c r="AA9" s="29" t="b">
        <f t="shared" si="7"/>
        <v>0</v>
      </c>
      <c r="AB9" s="29" t="str">
        <f t="shared" ca="1" si="8"/>
        <v>++</v>
      </c>
      <c r="AC9" s="29">
        <f t="shared" si="34"/>
        <v>6</v>
      </c>
      <c r="AD9" s="29">
        <f t="shared" ca="1" si="9"/>
        <v>6</v>
      </c>
      <c r="AE9" s="29">
        <v>6</v>
      </c>
      <c r="AF9" s="31">
        <f>IF(AND(AG9=TRUE,OR(NOT(AG8=TRUE),AG8="Full")),1,IF(ISNUMBER(AF8),AF8+1," "))</f>
        <v>2</v>
      </c>
      <c r="AG9" s="29" t="b">
        <f t="shared" si="11"/>
        <v>1</v>
      </c>
      <c r="AH9" s="30" t="str">
        <f t="shared" ca="1" si="12"/>
        <v>141-4</v>
      </c>
      <c r="AI9" s="30" t="str">
        <f t="shared" ca="1" si="13"/>
        <v/>
      </c>
      <c r="AJ9" s="29">
        <f t="shared" ca="1" si="14"/>
        <v>0</v>
      </c>
      <c r="AK9" s="29" t="str">
        <f t="shared" ca="1" si="15"/>
        <v>4/3</v>
      </c>
      <c r="AL9" s="29">
        <f t="shared" ca="1" si="16"/>
        <v>1.3333333333333333</v>
      </c>
      <c r="AM9" s="32">
        <f t="shared" ca="1" si="35"/>
        <v>1.3333333333333333</v>
      </c>
      <c r="AO9" s="20">
        <f>Tools!$AD8</f>
        <v>3</v>
      </c>
      <c r="AP9" s="33" t="str">
        <f t="shared" si="36"/>
        <v xml:space="preserve">  </v>
      </c>
      <c r="AQ9" s="34" t="str">
        <f t="shared" ca="1" si="18"/>
        <v>4/3</v>
      </c>
      <c r="AR9" s="23" t="str">
        <f t="shared" ca="1" si="19"/>
        <v xml:space="preserve">  </v>
      </c>
      <c r="AS9" s="24">
        <f t="shared" si="20"/>
        <v>-7</v>
      </c>
      <c r="AT9" s="23" t="str">
        <f t="shared" ca="1" si="37"/>
        <v xml:space="preserve">  </v>
      </c>
      <c r="AU9" s="23" t="str">
        <f t="shared" ca="1" si="40"/>
        <v xml:space="preserve">  </v>
      </c>
      <c r="AV9" s="23" t="str">
        <f t="shared" si="21"/>
        <v xml:space="preserve">  </v>
      </c>
      <c r="AW9" s="23" t="str">
        <f t="shared" ca="1" si="22"/>
        <v xml:space="preserve">  </v>
      </c>
      <c r="AY9" s="35" t="str">
        <f t="shared" si="23"/>
        <v xml:space="preserve"> </v>
      </c>
      <c r="AZ9" s="23" t="str">
        <f t="shared" ref="AZ9:AZ28" ca="1" si="41">IFERROR(AY9*AM9,"  ")</f>
        <v xml:space="preserve">  </v>
      </c>
      <c r="BA9" s="36" t="str">
        <f t="shared" si="25"/>
        <v xml:space="preserve"> </v>
      </c>
      <c r="BB9" s="27" t="str">
        <f t="shared" ca="1" si="38"/>
        <v xml:space="preserve">  </v>
      </c>
      <c r="BC9" s="23" t="str">
        <f t="shared" ca="1" si="39"/>
        <v xml:space="preserve">  </v>
      </c>
    </row>
    <row r="10" spans="1:60" x14ac:dyDescent="0.25">
      <c r="A10" s="20">
        <f>Tools!$AD9</f>
        <v>4</v>
      </c>
      <c r="B10" s="33" t="str">
        <f t="shared" si="0"/>
        <v xml:space="preserve">  </v>
      </c>
      <c r="C10" s="22">
        <f>IF(A10="  ","  ",IF(AND(A9="  ",A11="  "),"?",IF(A9="  ",1*(A11-A10),IF(A11="  ",1*(A10-A9),1*(A11-A9)))))</f>
        <v>2</v>
      </c>
      <c r="D10" s="23" t="str">
        <f t="shared" si="26"/>
        <v xml:space="preserve">  </v>
      </c>
      <c r="E10" s="24">
        <f t="shared" si="1"/>
        <v>-6</v>
      </c>
      <c r="F10" s="23" t="str">
        <f t="shared" si="27"/>
        <v xml:space="preserve">  </v>
      </c>
      <c r="G10" s="23" t="str">
        <f t="shared" si="28"/>
        <v xml:space="preserve">  </v>
      </c>
      <c r="H10" s="23" t="str">
        <f t="shared" si="29"/>
        <v xml:space="preserve">  </v>
      </c>
      <c r="I10" s="23" t="str">
        <f>IFERROR(H10*C10,"  ")</f>
        <v xml:space="preserve">  </v>
      </c>
      <c r="J10" s="4"/>
      <c r="K10" s="37" t="str">
        <f t="shared" si="2"/>
        <v xml:space="preserve"> </v>
      </c>
      <c r="L10" s="23" t="str">
        <f t="shared" si="31"/>
        <v xml:space="preserve">  </v>
      </c>
      <c r="M10" s="38" t="str">
        <f t="shared" si="3"/>
        <v xml:space="preserve"> </v>
      </c>
      <c r="N10" s="27" t="str">
        <f t="shared" si="32"/>
        <v xml:space="preserve">  </v>
      </c>
      <c r="O10" s="23" t="str">
        <f t="shared" si="33"/>
        <v xml:space="preserve">  </v>
      </c>
      <c r="P10" s="4"/>
      <c r="Q10" s="45"/>
      <c r="R10" s="46"/>
      <c r="S10" s="490"/>
      <c r="W10" s="29">
        <f>IF(AO10="  ","  ",IF(AND(AO9="  ",AO11="  "),"?",IF(AO9="  ",1*(AO11-AO10),IF(AO11="  ",1*(AO10-AO9),1*(AO11-AO9)))))</f>
        <v>2</v>
      </c>
      <c r="X10" s="30" t="str">
        <f t="shared" si="4"/>
        <v>WW</v>
      </c>
      <c r="Y10" s="30" t="str">
        <f t="shared" si="5"/>
        <v>-</v>
      </c>
      <c r="Z10" s="29" t="b">
        <f t="shared" si="6"/>
        <v>0</v>
      </c>
      <c r="AA10" s="29" t="b">
        <f t="shared" si="7"/>
        <v>0</v>
      </c>
      <c r="AB10" s="29" t="str">
        <f t="shared" ca="1" si="8"/>
        <v>++</v>
      </c>
      <c r="AC10" s="29">
        <f t="shared" si="34"/>
        <v>7</v>
      </c>
      <c r="AD10" s="29">
        <f t="shared" ca="1" si="9"/>
        <v>7</v>
      </c>
      <c r="AE10" s="29">
        <v>7</v>
      </c>
      <c r="AF10" s="31">
        <f t="shared" ref="AF10:AF28" si="42">IF(AND(AG10=TRUE,OR(NOT(AG9=TRUE),AG9="Full")),1,IF(ISNUMBER(AF9),AF9+1," "))</f>
        <v>3</v>
      </c>
      <c r="AG10" s="29" t="b">
        <f t="shared" si="11"/>
        <v>1</v>
      </c>
      <c r="AH10" s="30" t="str">
        <f t="shared" ca="1" si="12"/>
        <v>141-2</v>
      </c>
      <c r="AI10" s="30" t="str">
        <f t="shared" ca="1" si="13"/>
        <v/>
      </c>
      <c r="AJ10" s="29">
        <f t="shared" ca="1" si="14"/>
        <v>0</v>
      </c>
      <c r="AK10" s="29" t="str">
        <f t="shared" ca="1" si="15"/>
        <v>2/3</v>
      </c>
      <c r="AL10" s="29">
        <f t="shared" ca="1" si="16"/>
        <v>0.66666666666666663</v>
      </c>
      <c r="AM10" s="32">
        <f t="shared" ca="1" si="35"/>
        <v>0.66666666666666663</v>
      </c>
      <c r="AO10" s="20">
        <f>Tools!$AD9</f>
        <v>4</v>
      </c>
      <c r="AP10" s="33" t="str">
        <f t="shared" si="36"/>
        <v xml:space="preserve">  </v>
      </c>
      <c r="AQ10" s="34" t="str">
        <f t="shared" ca="1" si="18"/>
        <v>2/3</v>
      </c>
      <c r="AR10" s="23" t="str">
        <f t="shared" ca="1" si="19"/>
        <v xml:space="preserve">  </v>
      </c>
      <c r="AS10" s="24">
        <f t="shared" si="20"/>
        <v>-6</v>
      </c>
      <c r="AT10" s="23" t="str">
        <f t="shared" ca="1" si="37"/>
        <v xml:space="preserve">  </v>
      </c>
      <c r="AU10" s="23" t="str">
        <f ca="1">IFERROR(AT10*AS10,"  ")</f>
        <v xml:space="preserve">  </v>
      </c>
      <c r="AV10" s="23" t="str">
        <f t="shared" si="21"/>
        <v xml:space="preserve">  </v>
      </c>
      <c r="AW10" s="23" t="str">
        <f t="shared" ca="1" si="22"/>
        <v xml:space="preserve">  </v>
      </c>
      <c r="AY10" s="35" t="str">
        <f t="shared" si="23"/>
        <v xml:space="preserve"> </v>
      </c>
      <c r="AZ10" s="23" t="str">
        <f t="shared" ca="1" si="41"/>
        <v xml:space="preserve">  </v>
      </c>
      <c r="BA10" s="36" t="str">
        <f t="shared" si="25"/>
        <v xml:space="preserve"> </v>
      </c>
      <c r="BB10" s="27" t="str">
        <f t="shared" ca="1" si="38"/>
        <v xml:space="preserve">  </v>
      </c>
      <c r="BC10" s="23" t="str">
        <f t="shared" ca="1" si="39"/>
        <v xml:space="preserve">  </v>
      </c>
      <c r="BE10" s="43" t="s">
        <v>31</v>
      </c>
      <c r="BF10" s="44" t="s">
        <v>32</v>
      </c>
      <c r="BG10" s="489" t="s">
        <v>33</v>
      </c>
    </row>
    <row r="11" spans="1:60" x14ac:dyDescent="0.25">
      <c r="A11" s="20">
        <f>Tools!$AD10</f>
        <v>5</v>
      </c>
      <c r="B11" s="33" t="str">
        <f t="shared" si="0"/>
        <v xml:space="preserve">  </v>
      </c>
      <c r="C11" s="22">
        <f>IF(A11="  ","  ",IF(AND(A10="  ",A12="  "),"?",IF(A10="  ",2*(A12-A11),IF(A12="  ",2*(A11-A10),2*(A12-A10)))))</f>
        <v>4</v>
      </c>
      <c r="D11" s="23" t="str">
        <f t="shared" si="26"/>
        <v xml:space="preserve">  </v>
      </c>
      <c r="E11" s="24">
        <f t="shared" si="1"/>
        <v>-5</v>
      </c>
      <c r="F11" s="23" t="str">
        <f t="shared" si="27"/>
        <v xml:space="preserve">  </v>
      </c>
      <c r="G11" s="23" t="str">
        <f t="shared" si="28"/>
        <v xml:space="preserve">  </v>
      </c>
      <c r="H11" s="23" t="str">
        <f t="shared" si="29"/>
        <v xml:space="preserve">  </v>
      </c>
      <c r="I11" s="23" t="str">
        <f t="shared" si="30"/>
        <v xml:space="preserve">  </v>
      </c>
      <c r="J11" s="4"/>
      <c r="K11" s="37" t="str">
        <f t="shared" si="2"/>
        <v xml:space="preserve"> </v>
      </c>
      <c r="L11" s="23" t="str">
        <f t="shared" si="31"/>
        <v xml:space="preserve">  </v>
      </c>
      <c r="M11" s="38" t="str">
        <f t="shared" si="3"/>
        <v xml:space="preserve"> </v>
      </c>
      <c r="N11" s="27" t="str">
        <f t="shared" si="32"/>
        <v xml:space="preserve">  </v>
      </c>
      <c r="O11" s="23" t="str">
        <f t="shared" si="33"/>
        <v xml:space="preserve">  </v>
      </c>
      <c r="P11" s="4"/>
      <c r="Q11" s="47" t="s">
        <v>34</v>
      </c>
      <c r="R11" s="48" t="s">
        <v>35</v>
      </c>
      <c r="S11" t="str">
        <f>IF(Tools!$L$49="Use 141 rule only",I35,IF(Tools!$L$49="Use 141 and 1331 rules",BG12," "))</f>
        <v xml:space="preserve">  </v>
      </c>
      <c r="W11" s="29">
        <f>IF(AO11="  ","  ",IF(AND(AO10="  ",AO12="  "),"?",IF(AO10="  ",2*(AO12-AO11),IF(AO12="  ",2*(AO11-AO10),2*(AO12-AO10)))))</f>
        <v>4</v>
      </c>
      <c r="X11" s="30" t="str">
        <f t="shared" si="4"/>
        <v>WW</v>
      </c>
      <c r="Y11" s="30" t="str">
        <f t="shared" si="5"/>
        <v>-</v>
      </c>
      <c r="Z11" s="29" t="b">
        <f t="shared" si="6"/>
        <v>0</v>
      </c>
      <c r="AA11" s="29" t="b">
        <f t="shared" si="7"/>
        <v>0</v>
      </c>
      <c r="AB11" s="29" t="str">
        <f t="shared" ca="1" si="8"/>
        <v>++</v>
      </c>
      <c r="AC11" s="29">
        <f t="shared" si="34"/>
        <v>8</v>
      </c>
      <c r="AD11" s="29">
        <f t="shared" ca="1" si="9"/>
        <v>8</v>
      </c>
      <c r="AE11" s="29">
        <v>8</v>
      </c>
      <c r="AF11" s="31">
        <f t="shared" si="42"/>
        <v>4</v>
      </c>
      <c r="AG11" s="29" t="b">
        <f t="shared" si="11"/>
        <v>1</v>
      </c>
      <c r="AH11" s="30" t="str">
        <f t="shared" ca="1" si="12"/>
        <v>141-4</v>
      </c>
      <c r="AI11" s="30" t="str">
        <f t="shared" ca="1" si="13"/>
        <v/>
      </c>
      <c r="AJ11" s="29">
        <f t="shared" ca="1" si="14"/>
        <v>0</v>
      </c>
      <c r="AK11" s="29" t="str">
        <f t="shared" ca="1" si="15"/>
        <v>4/3</v>
      </c>
      <c r="AL11" s="29">
        <f t="shared" ca="1" si="16"/>
        <v>1.3333333333333333</v>
      </c>
      <c r="AM11" s="32">
        <f t="shared" ca="1" si="35"/>
        <v>1.3333333333333333</v>
      </c>
      <c r="AO11" s="20">
        <f>Tools!$AD10</f>
        <v>5</v>
      </c>
      <c r="AP11" s="33" t="str">
        <f t="shared" si="36"/>
        <v xml:space="preserve">  </v>
      </c>
      <c r="AQ11" s="34" t="str">
        <f t="shared" ca="1" si="18"/>
        <v>4/3</v>
      </c>
      <c r="AR11" s="23" t="str">
        <f t="shared" ca="1" si="19"/>
        <v xml:space="preserve">  </v>
      </c>
      <c r="AS11" s="24">
        <f t="shared" si="20"/>
        <v>-5</v>
      </c>
      <c r="AT11" s="23" t="str">
        <f t="shared" ca="1" si="37"/>
        <v xml:space="preserve">  </v>
      </c>
      <c r="AU11" s="23" t="str">
        <f t="shared" ca="1" si="40"/>
        <v xml:space="preserve">  </v>
      </c>
      <c r="AV11" s="23" t="str">
        <f t="shared" si="21"/>
        <v xml:space="preserve">  </v>
      </c>
      <c r="AW11" s="23" t="str">
        <f t="shared" ca="1" si="22"/>
        <v xml:space="preserve">  </v>
      </c>
      <c r="AY11" s="35" t="str">
        <f t="shared" si="23"/>
        <v xml:space="preserve"> </v>
      </c>
      <c r="AZ11" s="23" t="str">
        <f t="shared" ca="1" si="41"/>
        <v xml:space="preserve">  </v>
      </c>
      <c r="BA11" s="36" t="str">
        <f t="shared" si="25"/>
        <v xml:space="preserve"> </v>
      </c>
      <c r="BB11" s="27" t="str">
        <f t="shared" ca="1" si="38"/>
        <v xml:space="preserve">  </v>
      </c>
      <c r="BC11" s="23" t="str">
        <f ca="1">IFERROR(AZ11*AS11,"  ")</f>
        <v xml:space="preserve">  </v>
      </c>
      <c r="BE11" s="45"/>
      <c r="BF11" s="46"/>
      <c r="BG11" s="490"/>
    </row>
    <row r="12" spans="1:60" x14ac:dyDescent="0.25">
      <c r="A12" s="20">
        <f>Tools!$AD11</f>
        <v>6</v>
      </c>
      <c r="B12" s="33" t="str">
        <f t="shared" si="0"/>
        <v xml:space="preserve">  </v>
      </c>
      <c r="C12" s="22">
        <f>IF(A12="  ","  ",IF(AND(A11="  ",A13="  "),"?",IF(A11="  ",1*(A13-A12),IF(A13="  ",1*(A12-A11),1*(A13-A11)))))</f>
        <v>2</v>
      </c>
      <c r="D12" s="23" t="str">
        <f t="shared" si="26"/>
        <v xml:space="preserve">  </v>
      </c>
      <c r="E12" s="24">
        <f t="shared" si="1"/>
        <v>-4</v>
      </c>
      <c r="F12" s="23" t="str">
        <f t="shared" si="27"/>
        <v xml:space="preserve">  </v>
      </c>
      <c r="G12" s="23" t="str">
        <f t="shared" si="28"/>
        <v xml:space="preserve">  </v>
      </c>
      <c r="H12" s="23" t="str">
        <f t="shared" si="29"/>
        <v xml:space="preserve">  </v>
      </c>
      <c r="I12" s="23" t="str">
        <f t="shared" si="30"/>
        <v xml:space="preserve">  </v>
      </c>
      <c r="J12" s="4"/>
      <c r="K12" s="37" t="str">
        <f t="shared" si="2"/>
        <v xml:space="preserve"> </v>
      </c>
      <c r="L12" s="23" t="str">
        <f t="shared" si="31"/>
        <v xml:space="preserve">  </v>
      </c>
      <c r="M12" s="38" t="str">
        <f t="shared" si="3"/>
        <v xml:space="preserve"> </v>
      </c>
      <c r="N12" s="27" t="str">
        <f t="shared" si="32"/>
        <v xml:space="preserve">  </v>
      </c>
      <c r="O12" s="23" t="str">
        <f t="shared" si="33"/>
        <v xml:space="preserve">  </v>
      </c>
      <c r="P12" s="4"/>
      <c r="Q12" s="47" t="s">
        <v>36</v>
      </c>
      <c r="R12" s="48" t="s">
        <v>37</v>
      </c>
      <c r="S12" t="str">
        <f>IF(Tools!$L$49="Use 141 rule only",I36,IF(Tools!$L$49="Use 141 and 1331 rules",BG13," "))</f>
        <v xml:space="preserve">  </v>
      </c>
      <c r="W12" s="29">
        <f>IF(AO12="  ","  ",IF(AND(AO11="  ",AO13="  "),"?",IF(AO11="  ",1*(AO13-AO12),IF(AO13="  ",1*(AO12-AO11),1*(AO13-AO11)))))</f>
        <v>2</v>
      </c>
      <c r="X12" s="30" t="str">
        <f t="shared" si="4"/>
        <v>WW</v>
      </c>
      <c r="Y12" s="30" t="str">
        <f t="shared" si="5"/>
        <v>-</v>
      </c>
      <c r="Z12" s="29" t="b">
        <f t="shared" si="6"/>
        <v>0</v>
      </c>
      <c r="AA12" s="29" t="b">
        <f t="shared" si="7"/>
        <v>0</v>
      </c>
      <c r="AB12" s="29" t="str">
        <f t="shared" ca="1" si="8"/>
        <v>++</v>
      </c>
      <c r="AC12" s="29">
        <f t="shared" si="34"/>
        <v>9</v>
      </c>
      <c r="AD12" s="29">
        <f t="shared" ca="1" si="9"/>
        <v>9</v>
      </c>
      <c r="AE12" s="29">
        <v>9</v>
      </c>
      <c r="AF12" s="31">
        <f t="shared" si="42"/>
        <v>5</v>
      </c>
      <c r="AG12" s="29" t="b">
        <f t="shared" si="11"/>
        <v>1</v>
      </c>
      <c r="AH12" s="30" t="str">
        <f t="shared" ca="1" si="12"/>
        <v>141-2</v>
      </c>
      <c r="AI12" s="30" t="str">
        <f t="shared" ca="1" si="13"/>
        <v/>
      </c>
      <c r="AJ12" s="29">
        <f t="shared" ca="1" si="14"/>
        <v>0</v>
      </c>
      <c r="AK12" s="29" t="str">
        <f t="shared" ca="1" si="15"/>
        <v>2/3</v>
      </c>
      <c r="AL12" s="29">
        <f t="shared" ca="1" si="16"/>
        <v>0.66666666666666663</v>
      </c>
      <c r="AM12" s="32">
        <f t="shared" ca="1" si="35"/>
        <v>0.66666666666666663</v>
      </c>
      <c r="AO12" s="20">
        <f>Tools!$AD11</f>
        <v>6</v>
      </c>
      <c r="AP12" s="33" t="str">
        <f t="shared" si="36"/>
        <v xml:space="preserve">  </v>
      </c>
      <c r="AQ12" s="34" t="str">
        <f t="shared" ca="1" si="18"/>
        <v>2/3</v>
      </c>
      <c r="AR12" s="23" t="str">
        <f t="shared" ca="1" si="19"/>
        <v xml:space="preserve">  </v>
      </c>
      <c r="AS12" s="24">
        <f t="shared" si="20"/>
        <v>-4</v>
      </c>
      <c r="AT12" s="23" t="str">
        <f t="shared" ca="1" si="37"/>
        <v xml:space="preserve">  </v>
      </c>
      <c r="AU12" s="23" t="str">
        <f t="shared" ca="1" si="40"/>
        <v xml:space="preserve">  </v>
      </c>
      <c r="AV12" s="23" t="str">
        <f t="shared" si="21"/>
        <v xml:space="preserve">  </v>
      </c>
      <c r="AW12" s="23" t="str">
        <f t="shared" ca="1" si="22"/>
        <v xml:space="preserve">  </v>
      </c>
      <c r="AY12" s="35" t="str">
        <f t="shared" si="23"/>
        <v xml:space="preserve"> </v>
      </c>
      <c r="AZ12" s="23" t="str">
        <f t="shared" ca="1" si="41"/>
        <v xml:space="preserve">  </v>
      </c>
      <c r="BA12" s="36" t="str">
        <f t="shared" si="25"/>
        <v xml:space="preserve"> </v>
      </c>
      <c r="BB12" s="27" t="str">
        <f t="shared" ca="1" si="38"/>
        <v xml:space="preserve">  </v>
      </c>
      <c r="BC12" s="23" t="str">
        <f t="shared" ca="1" si="39"/>
        <v xml:space="preserve">  </v>
      </c>
      <c r="BE12" s="47" t="s">
        <v>34</v>
      </c>
      <c r="BF12" s="48" t="s">
        <v>38</v>
      </c>
      <c r="BG12" s="49" t="str">
        <f>IF(WL_No="  ","  ",2*h*$AR$29)</f>
        <v xml:space="preserve">  </v>
      </c>
    </row>
    <row r="13" spans="1:60" x14ac:dyDescent="0.25">
      <c r="A13" s="20">
        <f>Tools!$AD12</f>
        <v>7</v>
      </c>
      <c r="B13" s="33" t="str">
        <f t="shared" si="0"/>
        <v xml:space="preserve">  </v>
      </c>
      <c r="C13" s="22">
        <f>IF(A13="  ","  ",IF(AND(A12="  ",A14="  "),"?",IF(A12="  ",2*(A14-A13),IF(A14="  ",2*(A13-A12),2*(A14-A12)))))</f>
        <v>4</v>
      </c>
      <c r="D13" s="23" t="str">
        <f t="shared" si="26"/>
        <v xml:space="preserve">  </v>
      </c>
      <c r="E13" s="24">
        <f t="shared" si="1"/>
        <v>-3</v>
      </c>
      <c r="F13" s="23" t="str">
        <f t="shared" si="27"/>
        <v xml:space="preserve">  </v>
      </c>
      <c r="G13" s="23" t="str">
        <f t="shared" si="28"/>
        <v xml:space="preserve">  </v>
      </c>
      <c r="H13" s="23" t="str">
        <f t="shared" si="29"/>
        <v xml:space="preserve">  </v>
      </c>
      <c r="I13" s="23" t="str">
        <f t="shared" si="30"/>
        <v xml:space="preserve">  </v>
      </c>
      <c r="J13" s="4"/>
      <c r="K13" s="37" t="str">
        <f t="shared" si="2"/>
        <v xml:space="preserve"> </v>
      </c>
      <c r="L13" s="23" t="str">
        <f t="shared" si="31"/>
        <v xml:space="preserve">  </v>
      </c>
      <c r="M13" s="38" t="str">
        <f t="shared" si="3"/>
        <v xml:space="preserve"> </v>
      </c>
      <c r="N13" s="27" t="str">
        <f t="shared" si="32"/>
        <v xml:space="preserve">  </v>
      </c>
      <c r="O13" s="23" t="str">
        <f t="shared" si="33"/>
        <v xml:space="preserve">  </v>
      </c>
      <c r="P13" s="4"/>
      <c r="Q13" s="50" t="s">
        <v>39</v>
      </c>
      <c r="R13" s="48" t="s">
        <v>40</v>
      </c>
      <c r="S13" t="str">
        <f>IF(Tools!$L$49="Use 141 rule only",I37,IF(Tools!$L$49="Use 141 and 1331 rules",BG14," "))</f>
        <v xml:space="preserve">  </v>
      </c>
      <c r="W13" s="29">
        <f>IF(AO13="  ","  ",IF(AND(AO12="  ",AO14="  "),"?",IF(AO12="  ",2*(AO14-AO13),IF(AO14="  ",2*(AO13-AO12),2*(AO14-AO12)))))</f>
        <v>4</v>
      </c>
      <c r="X13" s="30" t="str">
        <f t="shared" si="4"/>
        <v>WW</v>
      </c>
      <c r="Y13" s="30" t="str">
        <f t="shared" si="5"/>
        <v>-</v>
      </c>
      <c r="Z13" s="29" t="b">
        <f t="shared" si="6"/>
        <v>0</v>
      </c>
      <c r="AA13" s="29" t="b">
        <f t="shared" si="7"/>
        <v>0</v>
      </c>
      <c r="AB13" s="29" t="str">
        <f t="shared" ca="1" si="8"/>
        <v>++</v>
      </c>
      <c r="AC13" s="29">
        <f t="shared" si="34"/>
        <v>10</v>
      </c>
      <c r="AD13" s="29">
        <f t="shared" ca="1" si="9"/>
        <v>10</v>
      </c>
      <c r="AE13" s="29">
        <v>10</v>
      </c>
      <c r="AF13" s="31">
        <f t="shared" si="42"/>
        <v>6</v>
      </c>
      <c r="AG13" s="29" t="b">
        <f t="shared" si="11"/>
        <v>1</v>
      </c>
      <c r="AH13" s="30" t="str">
        <f t="shared" ca="1" si="12"/>
        <v>141-4</v>
      </c>
      <c r="AI13" s="30" t="str">
        <f t="shared" ca="1" si="13"/>
        <v/>
      </c>
      <c r="AJ13" s="29">
        <f t="shared" ca="1" si="14"/>
        <v>0</v>
      </c>
      <c r="AK13" s="29" t="str">
        <f t="shared" ca="1" si="15"/>
        <v>4/3</v>
      </c>
      <c r="AL13" s="29">
        <f t="shared" ca="1" si="16"/>
        <v>1.3333333333333333</v>
      </c>
      <c r="AM13" s="32">
        <f t="shared" ca="1" si="35"/>
        <v>1.3333333333333333</v>
      </c>
      <c r="AO13" s="20">
        <f>Tools!$AD12</f>
        <v>7</v>
      </c>
      <c r="AP13" s="33" t="str">
        <f t="shared" si="36"/>
        <v xml:space="preserve">  </v>
      </c>
      <c r="AQ13" s="34" t="str">
        <f t="shared" ca="1" si="18"/>
        <v>4/3</v>
      </c>
      <c r="AR13" s="23" t="str">
        <f t="shared" ca="1" si="19"/>
        <v xml:space="preserve">  </v>
      </c>
      <c r="AS13" s="24">
        <f t="shared" si="20"/>
        <v>-3</v>
      </c>
      <c r="AT13" s="23" t="str">
        <f t="shared" ca="1" si="37"/>
        <v xml:space="preserve">  </v>
      </c>
      <c r="AU13" s="23" t="str">
        <f t="shared" ca="1" si="40"/>
        <v xml:space="preserve">  </v>
      </c>
      <c r="AV13" s="23" t="str">
        <f t="shared" si="21"/>
        <v xml:space="preserve">  </v>
      </c>
      <c r="AW13" s="23" t="str">
        <f t="shared" ca="1" si="22"/>
        <v xml:space="preserve">  </v>
      </c>
      <c r="AY13" s="35" t="str">
        <f t="shared" si="23"/>
        <v xml:space="preserve"> </v>
      </c>
      <c r="AZ13" s="23" t="str">
        <f t="shared" ca="1" si="41"/>
        <v xml:space="preserve">  </v>
      </c>
      <c r="BA13" s="36" t="str">
        <f t="shared" si="25"/>
        <v xml:space="preserve"> </v>
      </c>
      <c r="BB13" s="27" t="str">
        <f t="shared" ca="1" si="38"/>
        <v xml:space="preserve">  </v>
      </c>
      <c r="BC13" s="23" t="str">
        <f t="shared" ca="1" si="39"/>
        <v xml:space="preserve">  </v>
      </c>
      <c r="BE13" s="47" t="s">
        <v>36</v>
      </c>
      <c r="BF13" s="48" t="s">
        <v>41</v>
      </c>
      <c r="BG13" s="49" t="str">
        <f>IF(WL_No="  ","  ",2*(h^2)*$AT$29)</f>
        <v xml:space="preserve">  </v>
      </c>
    </row>
    <row r="14" spans="1:60" x14ac:dyDescent="0.25">
      <c r="A14" s="20">
        <f>Tools!$AD13</f>
        <v>8</v>
      </c>
      <c r="B14" s="33" t="str">
        <f t="shared" si="0"/>
        <v xml:space="preserve">  </v>
      </c>
      <c r="C14" s="22">
        <f>IF(A14="  ","  ",IF(AND(A13="  ",A15="  "),"?",IF(A13="  ",1*(A15-A14),IF(A15="  ",1*(A14-A13),1*(A15-A13)))))</f>
        <v>2</v>
      </c>
      <c r="D14" s="23" t="str">
        <f t="shared" si="26"/>
        <v xml:space="preserve">  </v>
      </c>
      <c r="E14" s="24">
        <f t="shared" si="1"/>
        <v>-2</v>
      </c>
      <c r="F14" s="23" t="str">
        <f t="shared" si="27"/>
        <v xml:space="preserve">  </v>
      </c>
      <c r="G14" s="23" t="str">
        <f t="shared" si="28"/>
        <v xml:space="preserve">  </v>
      </c>
      <c r="H14" s="23" t="str">
        <f t="shared" si="29"/>
        <v xml:space="preserve">  </v>
      </c>
      <c r="I14" s="23" t="str">
        <f t="shared" si="30"/>
        <v xml:space="preserve">  </v>
      </c>
      <c r="J14" s="4"/>
      <c r="K14" s="37" t="str">
        <f t="shared" si="2"/>
        <v xml:space="preserve"> </v>
      </c>
      <c r="L14" s="23" t="str">
        <f t="shared" si="31"/>
        <v xml:space="preserve">  </v>
      </c>
      <c r="M14" s="38" t="str">
        <f t="shared" si="3"/>
        <v xml:space="preserve"> </v>
      </c>
      <c r="N14" s="27" t="str">
        <f t="shared" si="32"/>
        <v xml:space="preserve">  </v>
      </c>
      <c r="O14" s="23" t="str">
        <f t="shared" si="33"/>
        <v xml:space="preserve">  </v>
      </c>
      <c r="P14" s="4"/>
      <c r="Q14" s="50" t="s">
        <v>42</v>
      </c>
      <c r="R14" s="48" t="s">
        <v>43</v>
      </c>
      <c r="S14" t="str">
        <f>IF(Tools!$L$49="Use 141 rule only",I38,IF(Tools!$L$49="Use 141 and 1331 rules",BG15," "))</f>
        <v xml:space="preserve">  </v>
      </c>
      <c r="W14" s="29">
        <f>IF(AO14="  ","  ",IF(AND(AO13="  ",AO15="  "),"?",IF(AO13="  ",1*(AO15-AO14),IF(AO15="  ",1*(AO14-AO13),1*(AO15-AO13)))))</f>
        <v>2</v>
      </c>
      <c r="X14" s="30" t="str">
        <f t="shared" si="4"/>
        <v>WW</v>
      </c>
      <c r="Y14" s="30" t="str">
        <f t="shared" si="5"/>
        <v>-</v>
      </c>
      <c r="Z14" s="29" t="b">
        <f t="shared" si="6"/>
        <v>0</v>
      </c>
      <c r="AA14" s="29" t="b">
        <f t="shared" si="7"/>
        <v>0</v>
      </c>
      <c r="AB14" s="29" t="str">
        <f t="shared" ca="1" si="8"/>
        <v>++</v>
      </c>
      <c r="AC14" s="29">
        <f t="shared" si="34"/>
        <v>11</v>
      </c>
      <c r="AD14" s="29">
        <f t="shared" ca="1" si="9"/>
        <v>11</v>
      </c>
      <c r="AE14" s="29">
        <v>11</v>
      </c>
      <c r="AF14" s="31">
        <f t="shared" si="42"/>
        <v>7</v>
      </c>
      <c r="AG14" s="29" t="b">
        <f t="shared" si="11"/>
        <v>1</v>
      </c>
      <c r="AH14" s="30" t="str">
        <f ca="1">IF(AND(AG14=TRUE,$AH$1=1),"141-4",IF(AG14=" ",IF(AND($AH$1=2,AF14=3),"141-1","-"),IF(OR(AG14=FALSE,AG14=" "),"-",IF(AG14=TRUE,IF(AND($AH$1=2,AF14=1),"141-1",IF(AND($AH$1=2,AF14=2),"141-4",IF(OR(ISODD($AH$1),AF14&gt;4),IF(AF14=1,"141-1",IF(OR(AB14="141-1",AB14="1331-1",AB14="1331-1,141-1"),"141-1",IF(AG15=" ","141-1",IF(OR(AH13="141-1",AH13="141-2",AH13="1331-1,141-1"),"141-4",IF(AH13="141-4","141-2","$$"))))),IF(ISEVEN($AH$1),IF(AF14=1,"1331-1",IF(OR(AF14=2,AF14=3),"1331-3",IF(AF14=4,IF($AH$1=4,"1331-1","1331-1,141-1"),"")))))))))))</f>
        <v>141-2</v>
      </c>
      <c r="AI14" s="30" t="str">
        <f t="shared" ca="1" si="13"/>
        <v/>
      </c>
      <c r="AJ14" s="29">
        <f t="shared" ca="1" si="14"/>
        <v>0</v>
      </c>
      <c r="AK14" s="29" t="str">
        <f t="shared" ca="1" si="15"/>
        <v>2/3</v>
      </c>
      <c r="AL14" s="29">
        <f t="shared" ca="1" si="16"/>
        <v>0.66666666666666663</v>
      </c>
      <c r="AM14" s="32">
        <f t="shared" ca="1" si="35"/>
        <v>0.66666666666666663</v>
      </c>
      <c r="AO14" s="20">
        <f>Tools!$AD13</f>
        <v>8</v>
      </c>
      <c r="AP14" s="33" t="str">
        <f t="shared" si="36"/>
        <v xml:space="preserve">  </v>
      </c>
      <c r="AQ14" s="34" t="str">
        <f t="shared" ca="1" si="18"/>
        <v>2/3</v>
      </c>
      <c r="AR14" s="23" t="str">
        <f t="shared" ca="1" si="19"/>
        <v xml:space="preserve">  </v>
      </c>
      <c r="AS14" s="24">
        <f t="shared" si="20"/>
        <v>-2</v>
      </c>
      <c r="AT14" s="23" t="str">
        <f t="shared" ca="1" si="37"/>
        <v xml:space="preserve">  </v>
      </c>
      <c r="AU14" s="23" t="str">
        <f t="shared" ca="1" si="40"/>
        <v xml:space="preserve">  </v>
      </c>
      <c r="AV14" s="23" t="str">
        <f t="shared" si="21"/>
        <v xml:space="preserve">  </v>
      </c>
      <c r="AW14" s="23" t="str">
        <f t="shared" ca="1" si="22"/>
        <v xml:space="preserve">  </v>
      </c>
      <c r="AY14" s="35" t="str">
        <f t="shared" si="23"/>
        <v xml:space="preserve"> </v>
      </c>
      <c r="AZ14" s="23" t="str">
        <f t="shared" ca="1" si="41"/>
        <v xml:space="preserve">  </v>
      </c>
      <c r="BA14" s="36" t="str">
        <f t="shared" si="25"/>
        <v xml:space="preserve"> </v>
      </c>
      <c r="BB14" s="27" t="str">
        <f t="shared" ca="1" si="38"/>
        <v xml:space="preserve">  </v>
      </c>
      <c r="BC14" s="23" t="str">
        <f t="shared" ca="1" si="39"/>
        <v xml:space="preserve">  </v>
      </c>
      <c r="BE14" s="50" t="s">
        <v>39</v>
      </c>
      <c r="BF14" s="48" t="s">
        <v>40</v>
      </c>
      <c r="BG14" s="49" t="str">
        <f>IF(WL_No="  ","  ",Mmid/AWP)</f>
        <v xml:space="preserve">  </v>
      </c>
    </row>
    <row r="15" spans="1:60" x14ac:dyDescent="0.25">
      <c r="A15" s="20">
        <f>Tools!$AD14</f>
        <v>9</v>
      </c>
      <c r="B15" s="33" t="str">
        <f t="shared" si="0"/>
        <v xml:space="preserve">  </v>
      </c>
      <c r="C15" s="22">
        <f>IF(A15="  ","  ",IF(AND(A14="  ",A16="  "),"?",IF(A14="  ",2*(A16-A15),IF(A16="  ",2*(A15-A14),2*(A16-A14)))))</f>
        <v>4</v>
      </c>
      <c r="D15" s="23" t="str">
        <f t="shared" si="26"/>
        <v xml:space="preserve">  </v>
      </c>
      <c r="E15" s="24">
        <f t="shared" si="1"/>
        <v>-1</v>
      </c>
      <c r="F15" s="23" t="str">
        <f t="shared" si="27"/>
        <v xml:space="preserve">  </v>
      </c>
      <c r="G15" s="23" t="str">
        <f t="shared" si="28"/>
        <v xml:space="preserve">  </v>
      </c>
      <c r="H15" s="23" t="str">
        <f t="shared" si="29"/>
        <v xml:space="preserve">  </v>
      </c>
      <c r="I15" s="23" t="str">
        <f t="shared" si="30"/>
        <v xml:space="preserve">  </v>
      </c>
      <c r="J15" s="4"/>
      <c r="K15" s="37" t="str">
        <f t="shared" si="2"/>
        <v xml:space="preserve"> </v>
      </c>
      <c r="L15" s="23" t="str">
        <f t="shared" si="31"/>
        <v xml:space="preserve">  </v>
      </c>
      <c r="M15" s="38" t="str">
        <f t="shared" si="3"/>
        <v xml:space="preserve"> </v>
      </c>
      <c r="N15" s="27" t="str">
        <f t="shared" si="32"/>
        <v xml:space="preserve">  </v>
      </c>
      <c r="O15" s="23" t="str">
        <f t="shared" si="33"/>
        <v xml:space="preserve">  </v>
      </c>
      <c r="P15" s="4"/>
      <c r="Q15" s="51" t="s">
        <v>44</v>
      </c>
      <c r="R15" s="48" t="s">
        <v>45</v>
      </c>
      <c r="S15" t="str">
        <f>IF(Tools!$L$49="Use 141 rule only",I39,IF(Tools!$L$49="Use 141 and 1331 rules",BG16," "))</f>
        <v xml:space="preserve">  </v>
      </c>
      <c r="W15" s="29">
        <f>IF(AO15="  ","  ",IF(AND(AO14="  ",AO16="  "),"?",IF(AO14="  ",2*(AO16-AO15),IF(AO16="  ",2*(AO15-AO14),2*(AO16-AO14)))))</f>
        <v>4</v>
      </c>
      <c r="X15" s="30" t="str">
        <f t="shared" si="4"/>
        <v>WW</v>
      </c>
      <c r="Y15" s="30" t="str">
        <f t="shared" si="5"/>
        <v>-</v>
      </c>
      <c r="Z15" s="29" t="b">
        <f t="shared" si="6"/>
        <v>0</v>
      </c>
      <c r="AA15" s="29" t="b">
        <f t="shared" si="7"/>
        <v>0</v>
      </c>
      <c r="AB15" s="29" t="str">
        <f t="shared" ca="1" si="8"/>
        <v>++</v>
      </c>
      <c r="AC15" s="29">
        <f t="shared" si="34"/>
        <v>12</v>
      </c>
      <c r="AD15" s="29">
        <f t="shared" ca="1" si="9"/>
        <v>12</v>
      </c>
      <c r="AE15" s="29">
        <v>12</v>
      </c>
      <c r="AF15" s="31">
        <f t="shared" si="42"/>
        <v>8</v>
      </c>
      <c r="AG15" s="29" t="b">
        <f t="shared" si="11"/>
        <v>1</v>
      </c>
      <c r="AH15" s="30" t="str">
        <f t="shared" ref="AH15:AH28" ca="1" si="43">IF(AND(AG15=TRUE,$AH$1=1),"141-4",IF(AG15=" ",IF(AND($AH$1=2,AF15=3),"141-1","-"),IF(OR(AG15=FALSE,AG15=" "),"-",IF(AG15=TRUE,IF(AND($AH$1=2,AF15=1),"141-1",IF(AND($AH$1=2,AF15=2),"141-4",IF(OR(ISODD($AH$1),AF15&gt;4),IF(AF15=1,"141-1",IF(OR(AB15="141-1",AB15="1331-1",AB15="1331-1,141-1"),"141-1",IF(AG16=" ","141-1",IF(OR(AH14="141-1",AH14="141-2",AH14="1331-1,141-1"),"141-4",IF(AH14="141-4","141-2","$$"))))),IF(ISEVEN($AH$1),IF(AF15=1,"1331-1",IF(OR(AF15=2,AF15=3),"1331-3",IF(AF15=4,IF($AH$1=4,"1331-1","1331-1,141-1"),"")))))))))))</f>
        <v>141-4</v>
      </c>
      <c r="AI15" s="30" t="str">
        <f t="shared" ca="1" si="13"/>
        <v/>
      </c>
      <c r="AJ15" s="29">
        <f t="shared" ca="1" si="14"/>
        <v>0</v>
      </c>
      <c r="AK15" s="29" t="str">
        <f t="shared" ca="1" si="15"/>
        <v>4/3</v>
      </c>
      <c r="AL15" s="29">
        <f t="shared" ca="1" si="16"/>
        <v>1.3333333333333333</v>
      </c>
      <c r="AM15" s="32">
        <f t="shared" ca="1" si="35"/>
        <v>1.3333333333333333</v>
      </c>
      <c r="AO15" s="20">
        <f>Tools!$AD14</f>
        <v>9</v>
      </c>
      <c r="AP15" s="33" t="str">
        <f t="shared" si="36"/>
        <v xml:space="preserve">  </v>
      </c>
      <c r="AQ15" s="34" t="str">
        <f t="shared" ca="1" si="18"/>
        <v>4/3</v>
      </c>
      <c r="AR15" s="23" t="str">
        <f t="shared" ca="1" si="19"/>
        <v xml:space="preserve">  </v>
      </c>
      <c r="AS15" s="24">
        <f t="shared" si="20"/>
        <v>-1</v>
      </c>
      <c r="AT15" s="23" t="str">
        <f t="shared" ca="1" si="37"/>
        <v xml:space="preserve">  </v>
      </c>
      <c r="AU15" s="23" t="str">
        <f t="shared" ca="1" si="40"/>
        <v xml:space="preserve">  </v>
      </c>
      <c r="AV15" s="23" t="str">
        <f t="shared" si="21"/>
        <v xml:space="preserve">  </v>
      </c>
      <c r="AW15" s="23" t="str">
        <f t="shared" ca="1" si="22"/>
        <v xml:space="preserve">  </v>
      </c>
      <c r="AY15" s="35" t="str">
        <f t="shared" si="23"/>
        <v xml:space="preserve"> </v>
      </c>
      <c r="AZ15" s="23" t="str">
        <f t="shared" ca="1" si="41"/>
        <v xml:space="preserve">  </v>
      </c>
      <c r="BA15" s="36" t="str">
        <f t="shared" si="25"/>
        <v xml:space="preserve"> </v>
      </c>
      <c r="BB15" s="27" t="str">
        <f ca="1">IFERROR(BA15*AM15,"  ")</f>
        <v xml:space="preserve">  </v>
      </c>
      <c r="BC15" s="23" t="str">
        <f t="shared" ca="1" si="39"/>
        <v xml:space="preserve">  </v>
      </c>
      <c r="BE15" s="50" t="s">
        <v>42</v>
      </c>
      <c r="BF15" s="48" t="s">
        <v>46</v>
      </c>
      <c r="BG15" s="49" t="str">
        <f>IF(WL_No="  ","  ",2*(h^3)*$AU$29)</f>
        <v xml:space="preserve">  </v>
      </c>
    </row>
    <row r="16" spans="1:60" x14ac:dyDescent="0.25">
      <c r="A16" s="20">
        <f>Tools!$AD15</f>
        <v>10</v>
      </c>
      <c r="B16" s="33" t="str">
        <f t="shared" si="0"/>
        <v xml:space="preserve">  </v>
      </c>
      <c r="C16" s="22">
        <f>IF(A16="  ","  ",IF(AND(A15="  ",A17="  "),"?",IF(A15="  ",1*(A17-A16),IF(A17="  ",1*(A16-A15),1*(A17-A15)))))</f>
        <v>2</v>
      </c>
      <c r="D16" s="23" t="str">
        <f t="shared" si="26"/>
        <v xml:space="preserve">  </v>
      </c>
      <c r="E16" s="24">
        <f t="shared" si="1"/>
        <v>0</v>
      </c>
      <c r="F16" s="23" t="str">
        <f t="shared" si="27"/>
        <v xml:space="preserve">  </v>
      </c>
      <c r="G16" s="23" t="str">
        <f t="shared" si="28"/>
        <v xml:space="preserve">  </v>
      </c>
      <c r="H16" s="23" t="str">
        <f t="shared" si="29"/>
        <v xml:space="preserve">  </v>
      </c>
      <c r="I16" s="23" t="str">
        <f t="shared" si="30"/>
        <v xml:space="preserve">  </v>
      </c>
      <c r="J16" s="4"/>
      <c r="K16" s="37" t="str">
        <f t="shared" si="2"/>
        <v xml:space="preserve"> </v>
      </c>
      <c r="L16" s="23" t="str">
        <f t="shared" si="31"/>
        <v xml:space="preserve">  </v>
      </c>
      <c r="M16" s="38" t="str">
        <f t="shared" si="3"/>
        <v xml:space="preserve"> </v>
      </c>
      <c r="N16" s="27" t="str">
        <f t="shared" si="32"/>
        <v xml:space="preserve">  </v>
      </c>
      <c r="O16" s="23" t="str">
        <f t="shared" si="33"/>
        <v xml:space="preserve">  </v>
      </c>
      <c r="P16" s="4"/>
      <c r="Q16" s="50" t="s">
        <v>47</v>
      </c>
      <c r="R16" s="48" t="s">
        <v>48</v>
      </c>
      <c r="S16" t="str">
        <f>IF(Tools!$L$49="Use 141 rule only",I40,IF(Tools!$L$49="Use 141 and 1331 rules",BG17," "))</f>
        <v xml:space="preserve">  </v>
      </c>
      <c r="W16" s="29">
        <f>IF(AO16="  ","  ",IF(AND(AO15="  ",AO17="  "),"?",IF(AO15="  ",1*(AO17-AO16),IF(AO17="  ",1*(AO16-AO15),1*(AO17-AO15)))))</f>
        <v>2</v>
      </c>
      <c r="X16" s="30" t="str">
        <f t="shared" si="4"/>
        <v>WW</v>
      </c>
      <c r="Y16" s="30" t="str">
        <f t="shared" si="5"/>
        <v>-</v>
      </c>
      <c r="Z16" s="29" t="b">
        <f t="shared" si="6"/>
        <v>0</v>
      </c>
      <c r="AA16" s="29" t="b">
        <f t="shared" si="7"/>
        <v>0</v>
      </c>
      <c r="AB16" s="29" t="str">
        <f t="shared" ca="1" si="8"/>
        <v>++</v>
      </c>
      <c r="AC16" s="29">
        <f t="shared" si="34"/>
        <v>13</v>
      </c>
      <c r="AD16" s="29">
        <f t="shared" ca="1" si="9"/>
        <v>13</v>
      </c>
      <c r="AE16" s="29">
        <v>13</v>
      </c>
      <c r="AF16" s="31">
        <f t="shared" si="42"/>
        <v>9</v>
      </c>
      <c r="AG16" s="29" t="b">
        <f t="shared" si="11"/>
        <v>1</v>
      </c>
      <c r="AH16" s="30" t="str">
        <f t="shared" ca="1" si="43"/>
        <v>141-2</v>
      </c>
      <c r="AI16" s="30" t="str">
        <f t="shared" ca="1" si="13"/>
        <v/>
      </c>
      <c r="AJ16" s="29">
        <f t="shared" ca="1" si="14"/>
        <v>0</v>
      </c>
      <c r="AK16" s="29" t="str">
        <f t="shared" ca="1" si="15"/>
        <v>2/3</v>
      </c>
      <c r="AL16" s="29">
        <f t="shared" ca="1" si="16"/>
        <v>0.66666666666666663</v>
      </c>
      <c r="AM16" s="32">
        <f t="shared" ca="1" si="35"/>
        <v>0.66666666666666663</v>
      </c>
      <c r="AO16" s="20">
        <f>Tools!$AD15</f>
        <v>10</v>
      </c>
      <c r="AP16" s="33" t="str">
        <f t="shared" si="36"/>
        <v xml:space="preserve">  </v>
      </c>
      <c r="AQ16" s="34" t="str">
        <f t="shared" ca="1" si="18"/>
        <v>2/3</v>
      </c>
      <c r="AR16" s="23" t="str">
        <f t="shared" ca="1" si="19"/>
        <v xml:space="preserve">  </v>
      </c>
      <c r="AS16" s="24">
        <f t="shared" si="20"/>
        <v>0</v>
      </c>
      <c r="AT16" s="23" t="str">
        <f t="shared" ca="1" si="37"/>
        <v xml:space="preserve">  </v>
      </c>
      <c r="AU16" s="23" t="str">
        <f t="shared" ca="1" si="40"/>
        <v xml:space="preserve">  </v>
      </c>
      <c r="AV16" s="23" t="str">
        <f t="shared" si="21"/>
        <v xml:space="preserve">  </v>
      </c>
      <c r="AW16" s="23" t="str">
        <f t="shared" ca="1" si="22"/>
        <v xml:space="preserve">  </v>
      </c>
      <c r="AY16" s="35" t="str">
        <f t="shared" si="23"/>
        <v xml:space="preserve"> </v>
      </c>
      <c r="AZ16" s="23" t="str">
        <f t="shared" ca="1" si="41"/>
        <v xml:space="preserve">  </v>
      </c>
      <c r="BA16" s="36" t="str">
        <f t="shared" si="25"/>
        <v xml:space="preserve"> </v>
      </c>
      <c r="BB16" s="27" t="str">
        <f t="shared" ca="1" si="38"/>
        <v xml:space="preserve">  </v>
      </c>
      <c r="BC16" s="23" t="str">
        <f ca="1">IFERROR(AZ16*AS16,"  ")</f>
        <v xml:space="preserve">  </v>
      </c>
      <c r="BE16" s="51" t="s">
        <v>44</v>
      </c>
      <c r="BF16" s="48" t="s">
        <v>49</v>
      </c>
      <c r="BG16" s="49" t="str">
        <f>IF(WL_No="  ","  ",2/3*h*$AW$29)</f>
        <v xml:space="preserve">  </v>
      </c>
    </row>
    <row r="17" spans="1:59" x14ac:dyDescent="0.25">
      <c r="A17" s="20">
        <f>Tools!$AD16</f>
        <v>11</v>
      </c>
      <c r="B17" s="33" t="str">
        <f t="shared" si="0"/>
        <v xml:space="preserve">  </v>
      </c>
      <c r="C17" s="22">
        <f>IF(A17="  ","  ",IF(AND(A16="  ",A18="  "),"?",IF(A16="  ",2*(A18-A17),IF(A18="  ",2*(A17-A16),2*(A18-A16)))))</f>
        <v>4</v>
      </c>
      <c r="D17" s="23" t="str">
        <f t="shared" si="26"/>
        <v xml:space="preserve">  </v>
      </c>
      <c r="E17" s="24">
        <f t="shared" si="1"/>
        <v>1</v>
      </c>
      <c r="F17" s="23" t="str">
        <f t="shared" si="27"/>
        <v xml:space="preserve">  </v>
      </c>
      <c r="G17" s="23" t="str">
        <f t="shared" si="28"/>
        <v xml:space="preserve">  </v>
      </c>
      <c r="H17" s="23" t="str">
        <f t="shared" si="29"/>
        <v xml:space="preserve">  </v>
      </c>
      <c r="I17" s="23" t="str">
        <f t="shared" si="30"/>
        <v xml:space="preserve">  </v>
      </c>
      <c r="J17" s="4"/>
      <c r="K17" s="37" t="str">
        <f t="shared" si="2"/>
        <v xml:space="preserve"> </v>
      </c>
      <c r="L17" s="23" t="str">
        <f t="shared" si="31"/>
        <v xml:space="preserve">  </v>
      </c>
      <c r="M17" s="38" t="str">
        <f t="shared" si="3"/>
        <v xml:space="preserve"> </v>
      </c>
      <c r="N17" s="27" t="str">
        <f t="shared" si="32"/>
        <v xml:space="preserve">  </v>
      </c>
      <c r="O17" s="23" t="str">
        <f t="shared" si="33"/>
        <v xml:space="preserve">  </v>
      </c>
      <c r="P17" s="4"/>
      <c r="Q17" s="50" t="s">
        <v>50</v>
      </c>
      <c r="R17" s="48" t="s">
        <v>51</v>
      </c>
      <c r="S17" t="str">
        <f>IF(Tools!$L$49="Use 141 rule only",I41,IF(Tools!$L$49="Use 141 and 1331 rules",BG18," "))</f>
        <v xml:space="preserve">  </v>
      </c>
      <c r="W17" s="29">
        <f>IF(AO17="  ","  ",IF(AND(AO16="  ",AO18="  "),"?",IF(AO16="  ",2*(AO18-AO17),IF(AO18="  ",2*(AO17-AO16),2*(AO18-AO16)))))</f>
        <v>4</v>
      </c>
      <c r="X17" s="30" t="str">
        <f t="shared" si="4"/>
        <v>WW</v>
      </c>
      <c r="Y17" s="30" t="str">
        <f t="shared" si="5"/>
        <v>-</v>
      </c>
      <c r="Z17" s="29" t="b">
        <f t="shared" si="6"/>
        <v>0</v>
      </c>
      <c r="AA17" s="29" t="b">
        <f t="shared" si="7"/>
        <v>0</v>
      </c>
      <c r="AB17" s="29" t="str">
        <f t="shared" ca="1" si="8"/>
        <v>++</v>
      </c>
      <c r="AC17" s="29">
        <f t="shared" si="34"/>
        <v>12</v>
      </c>
      <c r="AD17" s="29">
        <f t="shared" ca="1" si="9"/>
        <v>12</v>
      </c>
      <c r="AE17" s="29">
        <v>14</v>
      </c>
      <c r="AF17" s="31">
        <f t="shared" si="42"/>
        <v>10</v>
      </c>
      <c r="AG17" s="29" t="b">
        <f t="shared" si="11"/>
        <v>1</v>
      </c>
      <c r="AH17" s="30" t="str">
        <f t="shared" ca="1" si="43"/>
        <v>141-4</v>
      </c>
      <c r="AI17" s="30" t="str">
        <f t="shared" ca="1" si="13"/>
        <v/>
      </c>
      <c r="AJ17" s="29">
        <f t="shared" ca="1" si="14"/>
        <v>0</v>
      </c>
      <c r="AK17" s="29" t="str">
        <f t="shared" ca="1" si="15"/>
        <v>4/3</v>
      </c>
      <c r="AL17" s="29">
        <f t="shared" ca="1" si="16"/>
        <v>1.3333333333333333</v>
      </c>
      <c r="AM17" s="32">
        <f t="shared" ca="1" si="35"/>
        <v>1.3333333333333333</v>
      </c>
      <c r="AO17" s="20">
        <f>Tools!$AD16</f>
        <v>11</v>
      </c>
      <c r="AP17" s="33" t="str">
        <f t="shared" si="36"/>
        <v xml:space="preserve">  </v>
      </c>
      <c r="AQ17" s="34" t="str">
        <f t="shared" ca="1" si="18"/>
        <v>4/3</v>
      </c>
      <c r="AR17" s="23" t="str">
        <f t="shared" ca="1" si="19"/>
        <v xml:space="preserve">  </v>
      </c>
      <c r="AS17" s="24">
        <f t="shared" si="20"/>
        <v>1</v>
      </c>
      <c r="AT17" s="23" t="str">
        <f t="shared" ca="1" si="37"/>
        <v xml:space="preserve">  </v>
      </c>
      <c r="AU17" s="23" t="str">
        <f t="shared" ca="1" si="40"/>
        <v xml:space="preserve">  </v>
      </c>
      <c r="AV17" s="23" t="str">
        <f t="shared" si="21"/>
        <v xml:space="preserve">  </v>
      </c>
      <c r="AW17" s="23" t="str">
        <f t="shared" ca="1" si="22"/>
        <v xml:space="preserve">  </v>
      </c>
      <c r="AY17" s="35" t="str">
        <f t="shared" si="23"/>
        <v xml:space="preserve"> </v>
      </c>
      <c r="AZ17" s="23" t="str">
        <f t="shared" ca="1" si="41"/>
        <v xml:space="preserve">  </v>
      </c>
      <c r="BA17" s="36" t="str">
        <f t="shared" si="25"/>
        <v xml:space="preserve"> </v>
      </c>
      <c r="BB17" s="27" t="str">
        <f t="shared" ca="1" si="38"/>
        <v xml:space="preserve">  </v>
      </c>
      <c r="BC17" s="23" t="str">
        <f t="shared" ca="1" si="39"/>
        <v xml:space="preserve">  </v>
      </c>
      <c r="BE17" s="50" t="s">
        <v>47</v>
      </c>
      <c r="BF17" s="48" t="s">
        <v>48</v>
      </c>
      <c r="BG17" s="49" t="str">
        <f>IF(WL_No="  ","  ",IL-AWP*(LCF^2))</f>
        <v xml:space="preserve">  </v>
      </c>
    </row>
    <row r="18" spans="1:59" x14ac:dyDescent="0.25">
      <c r="A18" s="20">
        <f>Tools!$AD17</f>
        <v>12</v>
      </c>
      <c r="B18" s="33" t="str">
        <f t="shared" si="0"/>
        <v xml:space="preserve">  </v>
      </c>
      <c r="C18" s="22">
        <f>IF(A18="  ","  ",IF(AND(A17="  ",A19="  "),"?",IF(A17="  ",1*(A19-A18),IF(A19="  ",1*(A18-A17),1*(A19-A17)))))</f>
        <v>2</v>
      </c>
      <c r="D18" s="23" t="str">
        <f t="shared" si="26"/>
        <v xml:space="preserve">  </v>
      </c>
      <c r="E18" s="24">
        <f t="shared" si="1"/>
        <v>2</v>
      </c>
      <c r="F18" s="23" t="str">
        <f t="shared" si="27"/>
        <v xml:space="preserve">  </v>
      </c>
      <c r="G18" s="23" t="str">
        <f t="shared" si="28"/>
        <v xml:space="preserve">  </v>
      </c>
      <c r="H18" s="23" t="str">
        <f t="shared" si="29"/>
        <v xml:space="preserve">  </v>
      </c>
      <c r="I18" s="23" t="str">
        <f t="shared" si="30"/>
        <v xml:space="preserve">  </v>
      </c>
      <c r="J18" s="4"/>
      <c r="K18" s="37" t="str">
        <f t="shared" si="2"/>
        <v xml:space="preserve"> </v>
      </c>
      <c r="L18" s="23" t="str">
        <f t="shared" si="31"/>
        <v xml:space="preserve">  </v>
      </c>
      <c r="M18" s="38" t="str">
        <f t="shared" si="3"/>
        <v xml:space="preserve"> </v>
      </c>
      <c r="N18" s="27" t="str">
        <f t="shared" si="32"/>
        <v xml:space="preserve">  </v>
      </c>
      <c r="O18" s="23" t="str">
        <f t="shared" si="33"/>
        <v xml:space="preserve">  </v>
      </c>
      <c r="P18" s="4"/>
      <c r="Q18" s="50" t="s">
        <v>52</v>
      </c>
      <c r="R18" s="48" t="s">
        <v>53</v>
      </c>
      <c r="S18" t="str">
        <f>IF(Tools!$L$49="Use 141 rule only",I42,IF(Tools!$L$49="Use 141 and 1331 rules",BG19," "))</f>
        <v xml:space="preserve">  </v>
      </c>
      <c r="W18" s="29">
        <f>IF(AO18="  ","  ",IF(AND(AO17="  ",AO19="  "),"?",IF(AO17="  ",1*(AO19-AO18),IF(AO19="  ",1*(AO18-AO17),1*(AO19-AO17)))))</f>
        <v>2</v>
      </c>
      <c r="X18" s="30" t="str">
        <f t="shared" si="4"/>
        <v>WW</v>
      </c>
      <c r="Y18" s="30" t="str">
        <f t="shared" si="5"/>
        <v>-</v>
      </c>
      <c r="Z18" s="29" t="b">
        <f t="shared" si="6"/>
        <v>0</v>
      </c>
      <c r="AA18" s="29" t="b">
        <f t="shared" si="7"/>
        <v>0</v>
      </c>
      <c r="AB18" s="29" t="str">
        <f t="shared" ca="1" si="8"/>
        <v>++</v>
      </c>
      <c r="AC18" s="29">
        <f t="shared" si="34"/>
        <v>11</v>
      </c>
      <c r="AD18" s="29">
        <f t="shared" ca="1" si="9"/>
        <v>11</v>
      </c>
      <c r="AE18" s="29">
        <v>15</v>
      </c>
      <c r="AF18" s="31">
        <f t="shared" si="42"/>
        <v>11</v>
      </c>
      <c r="AG18" s="29" t="b">
        <f t="shared" si="11"/>
        <v>1</v>
      </c>
      <c r="AH18" s="30" t="str">
        <f t="shared" ca="1" si="43"/>
        <v>141-2</v>
      </c>
      <c r="AI18" s="30" t="str">
        <f t="shared" ca="1" si="13"/>
        <v/>
      </c>
      <c r="AJ18" s="29">
        <f t="shared" ca="1" si="14"/>
        <v>0</v>
      </c>
      <c r="AK18" s="29" t="str">
        <f t="shared" ca="1" si="15"/>
        <v>2/3</v>
      </c>
      <c r="AL18" s="29">
        <f t="shared" ca="1" si="16"/>
        <v>0.66666666666666663</v>
      </c>
      <c r="AM18" s="32">
        <f t="shared" ca="1" si="35"/>
        <v>0.66666666666666663</v>
      </c>
      <c r="AO18" s="20">
        <f>Tools!$AD17</f>
        <v>12</v>
      </c>
      <c r="AP18" s="33" t="str">
        <f t="shared" si="36"/>
        <v xml:space="preserve">  </v>
      </c>
      <c r="AQ18" s="34" t="str">
        <f t="shared" ca="1" si="18"/>
        <v>2/3</v>
      </c>
      <c r="AR18" s="23" t="str">
        <f t="shared" ca="1" si="19"/>
        <v xml:space="preserve">  </v>
      </c>
      <c r="AS18" s="24">
        <f t="shared" si="20"/>
        <v>2</v>
      </c>
      <c r="AT18" s="23" t="str">
        <f t="shared" ca="1" si="37"/>
        <v xml:space="preserve">  </v>
      </c>
      <c r="AU18" s="23" t="str">
        <f t="shared" ca="1" si="40"/>
        <v xml:space="preserve">  </v>
      </c>
      <c r="AV18" s="23" t="str">
        <f t="shared" si="21"/>
        <v xml:space="preserve">  </v>
      </c>
      <c r="AW18" s="23" t="str">
        <f t="shared" ca="1" si="22"/>
        <v xml:space="preserve">  </v>
      </c>
      <c r="AY18" s="35" t="str">
        <f t="shared" si="23"/>
        <v xml:space="preserve"> </v>
      </c>
      <c r="AZ18" s="23" t="str">
        <f t="shared" ca="1" si="41"/>
        <v xml:space="preserve">  </v>
      </c>
      <c r="BA18" s="36" t="str">
        <f t="shared" si="25"/>
        <v xml:space="preserve"> </v>
      </c>
      <c r="BB18" s="27" t="str">
        <f t="shared" ca="1" si="38"/>
        <v xml:space="preserve">  </v>
      </c>
      <c r="BC18" s="23" t="str">
        <f t="shared" ca="1" si="39"/>
        <v xml:space="preserve">  </v>
      </c>
      <c r="BE18" s="50" t="s">
        <v>50</v>
      </c>
      <c r="BF18" s="48" t="s">
        <v>54</v>
      </c>
      <c r="BG18" s="49" t="str">
        <f>IF(WL_No="  ","  ",h*$AZ$29)</f>
        <v xml:space="preserve">  </v>
      </c>
    </row>
    <row r="19" spans="1:59" x14ac:dyDescent="0.25">
      <c r="A19" s="20">
        <f>Tools!$AD18</f>
        <v>13</v>
      </c>
      <c r="B19" s="33" t="str">
        <f t="shared" si="0"/>
        <v xml:space="preserve">  </v>
      </c>
      <c r="C19" s="22">
        <f>IF(A19="  ","  ",IF(AND(A18="  ",A20="  "),"?",IF(A18="  ",2*(A20-A19),IF(A20="  ",2*(A19-A18),2*(A20-A18)))))</f>
        <v>4</v>
      </c>
      <c r="D19" s="23" t="str">
        <f t="shared" si="26"/>
        <v xml:space="preserve">  </v>
      </c>
      <c r="E19" s="24">
        <f t="shared" si="1"/>
        <v>3</v>
      </c>
      <c r="F19" s="23" t="str">
        <f t="shared" si="27"/>
        <v xml:space="preserve">  </v>
      </c>
      <c r="G19" s="23" t="str">
        <f t="shared" si="28"/>
        <v xml:space="preserve">  </v>
      </c>
      <c r="H19" s="23" t="str">
        <f t="shared" si="29"/>
        <v xml:space="preserve">  </v>
      </c>
      <c r="I19" s="23" t="str">
        <f t="shared" si="30"/>
        <v xml:space="preserve">  </v>
      </c>
      <c r="J19" s="4"/>
      <c r="K19" s="37" t="str">
        <f t="shared" si="2"/>
        <v xml:space="preserve"> </v>
      </c>
      <c r="L19" s="23" t="str">
        <f t="shared" si="31"/>
        <v xml:space="preserve">  </v>
      </c>
      <c r="M19" s="38" t="str">
        <f t="shared" si="3"/>
        <v xml:space="preserve"> </v>
      </c>
      <c r="N19" s="27" t="str">
        <f t="shared" si="32"/>
        <v xml:space="preserve">  </v>
      </c>
      <c r="O19" s="23" t="str">
        <f t="shared" si="33"/>
        <v xml:space="preserve">  </v>
      </c>
      <c r="P19" s="4"/>
      <c r="Q19" s="50" t="s">
        <v>55</v>
      </c>
      <c r="R19" s="48" t="s">
        <v>56</v>
      </c>
      <c r="S19" t="str">
        <f>IF(Tools!$L$49="Use 141 rule only",I43,IF(Tools!$L$49="Use 141 and 1331 rules",BG20," "))</f>
        <v xml:space="preserve">  </v>
      </c>
      <c r="W19" s="29">
        <f>IF(AO19="  ","  ",IF(AND(AO18="  ",AO20="  "),"?",IF(AO18="  ",2*(AO20-AO19),IF(AO20="  ",2*(AO19-AO18),2*(AO20-AO18)))))</f>
        <v>4</v>
      </c>
      <c r="X19" s="30" t="str">
        <f t="shared" si="4"/>
        <v>WW</v>
      </c>
      <c r="Y19" s="30" t="str">
        <f t="shared" si="5"/>
        <v>-</v>
      </c>
      <c r="Z19" s="29" t="b">
        <f t="shared" si="6"/>
        <v>0</v>
      </c>
      <c r="AA19" s="29" t="b">
        <f t="shared" si="7"/>
        <v>0</v>
      </c>
      <c r="AB19" s="29" t="str">
        <f t="shared" ca="1" si="8"/>
        <v>++</v>
      </c>
      <c r="AC19" s="29">
        <f t="shared" si="34"/>
        <v>10</v>
      </c>
      <c r="AD19" s="29">
        <f t="shared" ca="1" si="9"/>
        <v>10</v>
      </c>
      <c r="AE19" s="29">
        <v>16</v>
      </c>
      <c r="AF19" s="31">
        <f t="shared" si="42"/>
        <v>12</v>
      </c>
      <c r="AG19" s="29" t="b">
        <f t="shared" si="11"/>
        <v>1</v>
      </c>
      <c r="AH19" s="30" t="str">
        <f t="shared" ca="1" si="43"/>
        <v>141-4</v>
      </c>
      <c r="AI19" s="30" t="str">
        <f t="shared" ca="1" si="13"/>
        <v/>
      </c>
      <c r="AJ19" s="29">
        <f t="shared" ca="1" si="14"/>
        <v>0</v>
      </c>
      <c r="AK19" s="29" t="str">
        <f t="shared" ca="1" si="15"/>
        <v>4/3</v>
      </c>
      <c r="AL19" s="29">
        <f t="shared" ca="1" si="16"/>
        <v>1.3333333333333333</v>
      </c>
      <c r="AM19" s="32">
        <f t="shared" ca="1" si="35"/>
        <v>1.3333333333333333</v>
      </c>
      <c r="AO19" s="20">
        <f>Tools!$AD18</f>
        <v>13</v>
      </c>
      <c r="AP19" s="33" t="str">
        <f t="shared" si="36"/>
        <v xml:space="preserve">  </v>
      </c>
      <c r="AQ19" s="34" t="str">
        <f t="shared" ca="1" si="18"/>
        <v>4/3</v>
      </c>
      <c r="AR19" s="23" t="str">
        <f t="shared" ca="1" si="19"/>
        <v xml:space="preserve">  </v>
      </c>
      <c r="AS19" s="24">
        <f t="shared" si="20"/>
        <v>3</v>
      </c>
      <c r="AT19" s="23" t="str">
        <f t="shared" ca="1" si="37"/>
        <v xml:space="preserve">  </v>
      </c>
      <c r="AU19" s="23" t="str">
        <f t="shared" ca="1" si="40"/>
        <v xml:space="preserve">  </v>
      </c>
      <c r="AV19" s="23" t="str">
        <f t="shared" si="21"/>
        <v xml:space="preserve">  </v>
      </c>
      <c r="AW19" s="23" t="str">
        <f t="shared" ca="1" si="22"/>
        <v xml:space="preserve">  </v>
      </c>
      <c r="AY19" s="35" t="str">
        <f t="shared" si="23"/>
        <v xml:space="preserve"> </v>
      </c>
      <c r="AZ19" s="23" t="str">
        <f t="shared" ca="1" si="41"/>
        <v xml:space="preserve">  </v>
      </c>
      <c r="BA19" s="36" t="str">
        <f t="shared" si="25"/>
        <v xml:space="preserve"> </v>
      </c>
      <c r="BB19" s="27" t="str">
        <f t="shared" ca="1" si="38"/>
        <v xml:space="preserve">  </v>
      </c>
      <c r="BC19" s="23" t="str">
        <f t="shared" ca="1" si="39"/>
        <v xml:space="preserve">  </v>
      </c>
      <c r="BE19" s="50" t="s">
        <v>52</v>
      </c>
      <c r="BF19" s="48" t="s">
        <v>53</v>
      </c>
      <c r="BG19" s="49" t="str">
        <f>IF(WL_No="  ","  ",V_Disp*1.025*1.006)</f>
        <v xml:space="preserve">  </v>
      </c>
    </row>
    <row r="20" spans="1:59" x14ac:dyDescent="0.25">
      <c r="A20" s="20">
        <f>Tools!$AD19</f>
        <v>14</v>
      </c>
      <c r="B20" s="33" t="str">
        <f t="shared" si="0"/>
        <v xml:space="preserve">  </v>
      </c>
      <c r="C20" s="22">
        <f>IF(A20="  ","  ",IF(AND(A19="  ",A21="  "),"?",IF(A19="  ",1*(A21-A20),IF(A21="  ",1*(A20-A19),1*(A21-A19)))))</f>
        <v>2</v>
      </c>
      <c r="D20" s="23" t="str">
        <f t="shared" si="26"/>
        <v xml:space="preserve">  </v>
      </c>
      <c r="E20" s="24">
        <f t="shared" si="1"/>
        <v>4</v>
      </c>
      <c r="F20" s="23" t="str">
        <f t="shared" si="27"/>
        <v xml:space="preserve">  </v>
      </c>
      <c r="G20" s="23" t="str">
        <f t="shared" si="28"/>
        <v xml:space="preserve">  </v>
      </c>
      <c r="H20" s="23" t="str">
        <f t="shared" si="29"/>
        <v xml:space="preserve">  </v>
      </c>
      <c r="I20" s="23" t="str">
        <f t="shared" si="30"/>
        <v xml:space="preserve">  </v>
      </c>
      <c r="J20" s="4"/>
      <c r="K20" s="37" t="str">
        <f t="shared" si="2"/>
        <v xml:space="preserve"> </v>
      </c>
      <c r="L20" s="23" t="str">
        <f t="shared" si="31"/>
        <v xml:space="preserve">  </v>
      </c>
      <c r="M20" s="38" t="str">
        <f t="shared" si="3"/>
        <v xml:space="preserve"> </v>
      </c>
      <c r="N20" s="27" t="str">
        <f t="shared" si="32"/>
        <v xml:space="preserve">  </v>
      </c>
      <c r="O20" s="23" t="str">
        <f t="shared" si="33"/>
        <v xml:space="preserve">  </v>
      </c>
      <c r="P20" s="4"/>
      <c r="Q20" s="50" t="s">
        <v>57</v>
      </c>
      <c r="R20" s="48" t="s">
        <v>58</v>
      </c>
      <c r="S20" t="str">
        <f>IF(Tools!$L$49="Use 141 rule only",I44,IF(Tools!$L$49="Use 141 and 1331 rules",BG21," "))</f>
        <v xml:space="preserve">  </v>
      </c>
      <c r="W20" s="29">
        <f>IF(AO20="  ","  ",IF(AND(AO19="  ",AO21="  "),"?",IF(AO19="  ",1*(AO21-AO20),IF(AO21="  ",1*(AO20-AO19),1*(AO21-AO19)))))</f>
        <v>2</v>
      </c>
      <c r="X20" s="30" t="str">
        <f t="shared" si="4"/>
        <v>WW</v>
      </c>
      <c r="Y20" s="30" t="str">
        <f t="shared" si="5"/>
        <v>-</v>
      </c>
      <c r="Z20" s="29" t="b">
        <f t="shared" si="6"/>
        <v>0</v>
      </c>
      <c r="AA20" s="29" t="b">
        <f t="shared" si="7"/>
        <v>0</v>
      </c>
      <c r="AB20" s="29" t="str">
        <f t="shared" ca="1" si="8"/>
        <v>++</v>
      </c>
      <c r="AC20" s="29">
        <f t="shared" si="34"/>
        <v>9</v>
      </c>
      <c r="AD20" s="29">
        <f t="shared" ca="1" si="9"/>
        <v>9</v>
      </c>
      <c r="AE20" s="29">
        <v>17</v>
      </c>
      <c r="AF20" s="31">
        <f t="shared" si="42"/>
        <v>13</v>
      </c>
      <c r="AG20" s="29" t="b">
        <f t="shared" si="11"/>
        <v>1</v>
      </c>
      <c r="AH20" s="30" t="str">
        <f t="shared" ca="1" si="43"/>
        <v>141-2</v>
      </c>
      <c r="AI20" s="30" t="str">
        <f t="shared" ca="1" si="13"/>
        <v/>
      </c>
      <c r="AJ20" s="29">
        <f t="shared" ca="1" si="14"/>
        <v>0</v>
      </c>
      <c r="AK20" s="29" t="str">
        <f t="shared" ca="1" si="15"/>
        <v>2/3</v>
      </c>
      <c r="AL20" s="29">
        <f t="shared" ca="1" si="16"/>
        <v>0.66666666666666663</v>
      </c>
      <c r="AM20" s="32">
        <f t="shared" ca="1" si="35"/>
        <v>0.66666666666666663</v>
      </c>
      <c r="AO20" s="20">
        <f>Tools!$AD19</f>
        <v>14</v>
      </c>
      <c r="AP20" s="33" t="str">
        <f t="shared" si="36"/>
        <v xml:space="preserve">  </v>
      </c>
      <c r="AQ20" s="34" t="str">
        <f t="shared" ca="1" si="18"/>
        <v>2/3</v>
      </c>
      <c r="AR20" s="23" t="str">
        <f t="shared" ca="1" si="19"/>
        <v xml:space="preserve">  </v>
      </c>
      <c r="AS20" s="24">
        <f t="shared" si="20"/>
        <v>4</v>
      </c>
      <c r="AT20" s="23" t="str">
        <f t="shared" ca="1" si="37"/>
        <v xml:space="preserve">  </v>
      </c>
      <c r="AU20" s="23" t="str">
        <f t="shared" ca="1" si="40"/>
        <v xml:space="preserve">  </v>
      </c>
      <c r="AV20" s="23" t="str">
        <f t="shared" si="21"/>
        <v xml:space="preserve">  </v>
      </c>
      <c r="AW20" s="23" t="str">
        <f t="shared" ca="1" si="22"/>
        <v xml:space="preserve">  </v>
      </c>
      <c r="AY20" s="35" t="str">
        <f t="shared" si="23"/>
        <v xml:space="preserve"> </v>
      </c>
      <c r="AZ20" s="23" t="str">
        <f t="shared" ca="1" si="41"/>
        <v xml:space="preserve">  </v>
      </c>
      <c r="BA20" s="36" t="str">
        <f t="shared" si="25"/>
        <v xml:space="preserve"> </v>
      </c>
      <c r="BB20" s="27" t="str">
        <f t="shared" ca="1" si="38"/>
        <v xml:space="preserve">  </v>
      </c>
      <c r="BC20" s="23" t="str">
        <f t="shared" ca="1" si="39"/>
        <v xml:space="preserve">  </v>
      </c>
      <c r="BE20" s="50" t="s">
        <v>55</v>
      </c>
      <c r="BF20" s="48" t="s">
        <v>59</v>
      </c>
      <c r="BG20" s="49" t="str">
        <f>IF(WL_No="  ","  ",h*$BB$29)</f>
        <v xml:space="preserve">  </v>
      </c>
    </row>
    <row r="21" spans="1:59" x14ac:dyDescent="0.25">
      <c r="A21" s="20">
        <f>Tools!$AD20</f>
        <v>15</v>
      </c>
      <c r="B21" s="33" t="str">
        <f t="shared" si="0"/>
        <v xml:space="preserve">  </v>
      </c>
      <c r="C21" s="22">
        <f>IF(A21="  ","  ",IF(AND(A20="  ",A22="  "),"?",IF(A20="  ",2*(A22-A21),IF(A22="  ",2*(A21-A20),2*(A22-A20)))))</f>
        <v>4</v>
      </c>
      <c r="D21" s="23" t="str">
        <f t="shared" si="26"/>
        <v xml:space="preserve">  </v>
      </c>
      <c r="E21" s="24">
        <f t="shared" si="1"/>
        <v>5</v>
      </c>
      <c r="F21" s="23" t="str">
        <f t="shared" si="27"/>
        <v xml:space="preserve">  </v>
      </c>
      <c r="G21" s="23" t="str">
        <f t="shared" si="28"/>
        <v xml:space="preserve">  </v>
      </c>
      <c r="H21" s="23" t="str">
        <f t="shared" si="29"/>
        <v xml:space="preserve">  </v>
      </c>
      <c r="I21" s="23" t="str">
        <f t="shared" si="30"/>
        <v xml:space="preserve">  </v>
      </c>
      <c r="J21" s="4"/>
      <c r="K21" s="37" t="str">
        <f t="shared" si="2"/>
        <v xml:space="preserve"> </v>
      </c>
      <c r="L21" s="23" t="str">
        <f t="shared" si="31"/>
        <v xml:space="preserve">  </v>
      </c>
      <c r="M21" s="38" t="str">
        <f t="shared" si="3"/>
        <v xml:space="preserve"> </v>
      </c>
      <c r="N21" s="27" t="str">
        <f t="shared" si="32"/>
        <v xml:space="preserve">  </v>
      </c>
      <c r="O21" s="23" t="str">
        <f t="shared" si="33"/>
        <v xml:space="preserve">  </v>
      </c>
      <c r="P21" s="4"/>
      <c r="Q21" s="50" t="s">
        <v>60</v>
      </c>
      <c r="R21" s="48" t="s">
        <v>61</v>
      </c>
      <c r="S21" t="str">
        <f>IF(Tools!$L$49="Use 141 rule only",I45,IF(Tools!$L$49="Use 141 and 1331 rules",BG22," "))</f>
        <v xml:space="preserve">  </v>
      </c>
      <c r="W21" s="29">
        <f>IF(AO21="  ","  ",IF(AND(AO20="  ",AO22="  "),"?",IF(AO20="  ",2*(AO22-AO21),IF(AO22="  ",2*(AO21-AO20),2*(AO22-AO20)))))</f>
        <v>4</v>
      </c>
      <c r="X21" s="30" t="str">
        <f t="shared" si="4"/>
        <v>WW</v>
      </c>
      <c r="Y21" s="30" t="str">
        <f t="shared" si="5"/>
        <v>-</v>
      </c>
      <c r="Z21" s="29" t="b">
        <f t="shared" si="6"/>
        <v>0</v>
      </c>
      <c r="AA21" s="29" t="b">
        <f t="shared" si="7"/>
        <v>0</v>
      </c>
      <c r="AB21" s="29" t="str">
        <f t="shared" ca="1" si="8"/>
        <v>++</v>
      </c>
      <c r="AC21" s="29">
        <f t="shared" si="34"/>
        <v>8</v>
      </c>
      <c r="AD21" s="29">
        <f t="shared" ca="1" si="9"/>
        <v>8</v>
      </c>
      <c r="AE21" s="29">
        <v>18</v>
      </c>
      <c r="AF21" s="31">
        <f t="shared" si="42"/>
        <v>14</v>
      </c>
      <c r="AG21" s="29" t="b">
        <f t="shared" si="11"/>
        <v>1</v>
      </c>
      <c r="AH21" s="30" t="str">
        <f t="shared" ca="1" si="43"/>
        <v>141-4</v>
      </c>
      <c r="AI21" s="30" t="str">
        <f t="shared" ca="1" si="13"/>
        <v/>
      </c>
      <c r="AJ21" s="29">
        <f t="shared" ca="1" si="14"/>
        <v>0</v>
      </c>
      <c r="AK21" s="29" t="str">
        <f t="shared" ca="1" si="15"/>
        <v>4/3</v>
      </c>
      <c r="AL21" s="29">
        <f t="shared" ca="1" si="16"/>
        <v>1.3333333333333333</v>
      </c>
      <c r="AM21" s="32">
        <f t="shared" ca="1" si="35"/>
        <v>1.3333333333333333</v>
      </c>
      <c r="AO21" s="20">
        <f>Tools!$AD20</f>
        <v>15</v>
      </c>
      <c r="AP21" s="33" t="str">
        <f t="shared" si="36"/>
        <v xml:space="preserve">  </v>
      </c>
      <c r="AQ21" s="34" t="str">
        <f t="shared" ca="1" si="18"/>
        <v>4/3</v>
      </c>
      <c r="AR21" s="23" t="str">
        <f t="shared" ca="1" si="19"/>
        <v xml:space="preserve">  </v>
      </c>
      <c r="AS21" s="24">
        <f t="shared" si="20"/>
        <v>5</v>
      </c>
      <c r="AT21" s="23" t="str">
        <f t="shared" ca="1" si="37"/>
        <v xml:space="preserve">  </v>
      </c>
      <c r="AU21" s="23" t="str">
        <f t="shared" ca="1" si="40"/>
        <v xml:space="preserve">  </v>
      </c>
      <c r="AV21" s="23" t="str">
        <f t="shared" si="21"/>
        <v xml:space="preserve">  </v>
      </c>
      <c r="AW21" s="23" t="str">
        <f t="shared" ca="1" si="22"/>
        <v xml:space="preserve">  </v>
      </c>
      <c r="AY21" s="35" t="str">
        <f t="shared" si="23"/>
        <v xml:space="preserve"> </v>
      </c>
      <c r="AZ21" s="23" t="str">
        <f t="shared" ca="1" si="41"/>
        <v xml:space="preserve">  </v>
      </c>
      <c r="BA21" s="36" t="str">
        <f t="shared" si="25"/>
        <v xml:space="preserve"> </v>
      </c>
      <c r="BB21" s="27" t="str">
        <f t="shared" ca="1" si="38"/>
        <v xml:space="preserve">  </v>
      </c>
      <c r="BC21" s="23" t="str">
        <f t="shared" ca="1" si="39"/>
        <v xml:space="preserve">  </v>
      </c>
      <c r="BE21" s="50" t="s">
        <v>57</v>
      </c>
      <c r="BF21" s="48" t="s">
        <v>62</v>
      </c>
      <c r="BG21" s="49" t="str">
        <f>IF(WL_No="  ","  ",(h^2)*$BC$29)</f>
        <v xml:space="preserve">  </v>
      </c>
    </row>
    <row r="22" spans="1:59" x14ac:dyDescent="0.25">
      <c r="A22" s="20">
        <f>Tools!$AD21</f>
        <v>16</v>
      </c>
      <c r="B22" s="33" t="str">
        <f t="shared" si="0"/>
        <v xml:space="preserve">  </v>
      </c>
      <c r="C22" s="22">
        <f>IF(A22="  ","  ",IF(AND(A21="  ",A23="  "),"?",IF(A21="  ",1*(A23-A22),IF(A23="  ",1*(A22-A21),1*(A23-A21)))))</f>
        <v>2</v>
      </c>
      <c r="D22" s="23" t="str">
        <f t="shared" si="26"/>
        <v xml:space="preserve">  </v>
      </c>
      <c r="E22" s="24">
        <f t="shared" si="1"/>
        <v>6</v>
      </c>
      <c r="F22" s="23" t="str">
        <f t="shared" si="27"/>
        <v xml:space="preserve">  </v>
      </c>
      <c r="G22" s="23" t="str">
        <f t="shared" si="28"/>
        <v xml:space="preserve">  </v>
      </c>
      <c r="H22" s="23" t="str">
        <f t="shared" si="29"/>
        <v xml:space="preserve">  </v>
      </c>
      <c r="I22" s="23" t="str">
        <f t="shared" si="30"/>
        <v xml:space="preserve">  </v>
      </c>
      <c r="J22" s="4"/>
      <c r="K22" s="37" t="str">
        <f t="shared" si="2"/>
        <v xml:space="preserve"> </v>
      </c>
      <c r="L22" s="23" t="str">
        <f t="shared" si="31"/>
        <v xml:space="preserve">  </v>
      </c>
      <c r="M22" s="38" t="str">
        <f t="shared" si="3"/>
        <v xml:space="preserve"> </v>
      </c>
      <c r="N22" s="27" t="str">
        <f t="shared" si="32"/>
        <v xml:space="preserve">  </v>
      </c>
      <c r="O22" s="23" t="str">
        <f t="shared" si="33"/>
        <v xml:space="preserve">  </v>
      </c>
      <c r="P22" s="4"/>
      <c r="Q22" s="50" t="s">
        <v>63</v>
      </c>
      <c r="R22" s="48" t="s">
        <v>64</v>
      </c>
      <c r="S22" t="str">
        <f>IF(Tools!$L$49="Use 141 rule only",I46,IF(Tools!$L$49="Use 141 and 1331 rules",BG23," "))</f>
        <v xml:space="preserve">  </v>
      </c>
      <c r="W22" s="29">
        <f>IF(AO22="  ","  ",IF(AND(AO21="  ",AO23="  "),"?",IF(AO21="  ",1*(AO23-AO22),IF(AO23="  ",1*(AO22-AO21),1*(AO23-AO21)))))</f>
        <v>2</v>
      </c>
      <c r="X22" s="30" t="str">
        <f t="shared" si="4"/>
        <v>WW</v>
      </c>
      <c r="Y22" s="30" t="str">
        <f t="shared" si="5"/>
        <v>-</v>
      </c>
      <c r="Z22" s="29" t="b">
        <f t="shared" si="6"/>
        <v>0</v>
      </c>
      <c r="AA22" s="29" t="b">
        <f t="shared" si="7"/>
        <v>0</v>
      </c>
      <c r="AB22" s="29" t="str">
        <f t="shared" ca="1" si="8"/>
        <v>++</v>
      </c>
      <c r="AC22" s="29">
        <f t="shared" si="34"/>
        <v>7</v>
      </c>
      <c r="AD22" s="29">
        <f t="shared" ca="1" si="9"/>
        <v>7</v>
      </c>
      <c r="AE22" s="29">
        <v>19</v>
      </c>
      <c r="AF22" s="31">
        <f t="shared" si="42"/>
        <v>15</v>
      </c>
      <c r="AG22" s="29" t="b">
        <f t="shared" si="11"/>
        <v>1</v>
      </c>
      <c r="AH22" s="30" t="str">
        <f t="shared" ca="1" si="43"/>
        <v>141-2</v>
      </c>
      <c r="AI22" s="30" t="str">
        <f t="shared" ca="1" si="13"/>
        <v/>
      </c>
      <c r="AJ22" s="29">
        <f t="shared" ca="1" si="14"/>
        <v>0</v>
      </c>
      <c r="AK22" s="29" t="str">
        <f t="shared" ca="1" si="15"/>
        <v>2/3</v>
      </c>
      <c r="AL22" s="29">
        <f t="shared" ca="1" si="16"/>
        <v>0.66666666666666663</v>
      </c>
      <c r="AM22" s="32">
        <f t="shared" ca="1" si="35"/>
        <v>0.66666666666666663</v>
      </c>
      <c r="AO22" s="20">
        <f>Tools!$AD21</f>
        <v>16</v>
      </c>
      <c r="AP22" s="33" t="str">
        <f t="shared" si="36"/>
        <v xml:space="preserve">  </v>
      </c>
      <c r="AQ22" s="34" t="str">
        <f t="shared" ca="1" si="18"/>
        <v>2/3</v>
      </c>
      <c r="AR22" s="23" t="str">
        <f t="shared" ca="1" si="19"/>
        <v xml:space="preserve">  </v>
      </c>
      <c r="AS22" s="24">
        <f t="shared" si="20"/>
        <v>6</v>
      </c>
      <c r="AT22" s="23" t="str">
        <f t="shared" ca="1" si="37"/>
        <v xml:space="preserve">  </v>
      </c>
      <c r="AU22" s="23" t="str">
        <f t="shared" ca="1" si="40"/>
        <v xml:space="preserve">  </v>
      </c>
      <c r="AV22" s="23" t="str">
        <f t="shared" si="21"/>
        <v xml:space="preserve">  </v>
      </c>
      <c r="AW22" s="23" t="str">
        <f t="shared" ca="1" si="22"/>
        <v xml:space="preserve">  </v>
      </c>
      <c r="AY22" s="35" t="str">
        <f t="shared" si="23"/>
        <v xml:space="preserve"> </v>
      </c>
      <c r="AZ22" s="23" t="str">
        <f t="shared" ca="1" si="41"/>
        <v xml:space="preserve">  </v>
      </c>
      <c r="BA22" s="36" t="str">
        <f t="shared" si="25"/>
        <v xml:space="preserve"> </v>
      </c>
      <c r="BB22" s="27" t="str">
        <f t="shared" ca="1" si="38"/>
        <v xml:space="preserve">  </v>
      </c>
      <c r="BC22" s="23" t="str">
        <f t="shared" ca="1" si="39"/>
        <v xml:space="preserve">  </v>
      </c>
      <c r="BE22" s="50" t="s">
        <v>60</v>
      </c>
      <c r="BF22" s="48" t="s">
        <v>61</v>
      </c>
      <c r="BG22" s="49" t="str">
        <f>IF(WL_No="  ","  ",IF/V_Disp)</f>
        <v xml:space="preserve">  </v>
      </c>
    </row>
    <row r="23" spans="1:59" x14ac:dyDescent="0.25">
      <c r="A23" s="20">
        <f>Tools!$AD22</f>
        <v>17</v>
      </c>
      <c r="B23" s="33" t="str">
        <f t="shared" si="0"/>
        <v xml:space="preserve">  </v>
      </c>
      <c r="C23" s="22">
        <f>IF(A23="  ","  ",IF(AND(A22="  ",A24="  "),"?",IF(A22="  ",2*(A24-A23),IF(A24="  ",2*(A23-A22),2*(A24-A22)))))</f>
        <v>4</v>
      </c>
      <c r="D23" s="23" t="str">
        <f t="shared" si="26"/>
        <v xml:space="preserve">  </v>
      </c>
      <c r="E23" s="24">
        <f t="shared" si="1"/>
        <v>7</v>
      </c>
      <c r="F23" s="23" t="str">
        <f t="shared" si="27"/>
        <v xml:space="preserve">  </v>
      </c>
      <c r="G23" s="23" t="str">
        <f t="shared" si="28"/>
        <v xml:space="preserve">  </v>
      </c>
      <c r="H23" s="23" t="str">
        <f t="shared" si="29"/>
        <v xml:space="preserve">  </v>
      </c>
      <c r="I23" s="23" t="str">
        <f t="shared" si="30"/>
        <v xml:space="preserve">  </v>
      </c>
      <c r="J23" s="4"/>
      <c r="K23" s="37" t="str">
        <f t="shared" si="2"/>
        <v xml:space="preserve"> </v>
      </c>
      <c r="L23" s="23" t="str">
        <f t="shared" si="31"/>
        <v xml:space="preserve">  </v>
      </c>
      <c r="M23" s="38" t="str">
        <f t="shared" si="3"/>
        <v xml:space="preserve"> </v>
      </c>
      <c r="N23" s="27" t="str">
        <f t="shared" si="32"/>
        <v xml:space="preserve">  </v>
      </c>
      <c r="O23" s="23" t="str">
        <f t="shared" si="33"/>
        <v xml:space="preserve">  </v>
      </c>
      <c r="P23" s="4"/>
      <c r="Q23" s="50" t="s">
        <v>65</v>
      </c>
      <c r="R23" s="48" t="s">
        <v>66</v>
      </c>
      <c r="S23" t="str">
        <f>IF(Tools!$L$49="Use 141 rule only",I47,IF(Tools!$L$49="Use 141 and 1331 rules",BG24," "))</f>
        <v xml:space="preserve">  </v>
      </c>
      <c r="W23" s="29">
        <f>IF(AO23="  ","  ",IF(AND(AO22="  ",AO24="  "),"?",IF(AO22="  ",2*(AO24-AO23),IF(AO24="  ",2*(AO23-AO22),2*(AO24-AO22)))))</f>
        <v>4</v>
      </c>
      <c r="X23" s="30" t="str">
        <f t="shared" si="4"/>
        <v>WW</v>
      </c>
      <c r="Y23" s="30" t="str">
        <f t="shared" si="5"/>
        <v>-</v>
      </c>
      <c r="Z23" s="29" t="b">
        <f t="shared" si="6"/>
        <v>0</v>
      </c>
      <c r="AA23" s="29" t="b">
        <f t="shared" si="7"/>
        <v>0</v>
      </c>
      <c r="AB23" s="29" t="str">
        <f t="shared" ca="1" si="8"/>
        <v>++</v>
      </c>
      <c r="AC23" s="29">
        <f t="shared" si="34"/>
        <v>6</v>
      </c>
      <c r="AD23" s="29">
        <f t="shared" ca="1" si="9"/>
        <v>6</v>
      </c>
      <c r="AE23" s="29">
        <v>20</v>
      </c>
      <c r="AF23" s="31">
        <f t="shared" si="42"/>
        <v>16</v>
      </c>
      <c r="AG23" s="29" t="b">
        <f t="shared" si="11"/>
        <v>1</v>
      </c>
      <c r="AH23" s="30" t="str">
        <f t="shared" ca="1" si="43"/>
        <v>141-4</v>
      </c>
      <c r="AI23" s="30" t="str">
        <f t="shared" ca="1" si="13"/>
        <v/>
      </c>
      <c r="AJ23" s="29">
        <f t="shared" ca="1" si="14"/>
        <v>0</v>
      </c>
      <c r="AK23" s="29" t="str">
        <f t="shared" ca="1" si="15"/>
        <v>4/3</v>
      </c>
      <c r="AL23" s="29">
        <f t="shared" ca="1" si="16"/>
        <v>1.3333333333333333</v>
      </c>
      <c r="AM23" s="32">
        <f t="shared" ca="1" si="35"/>
        <v>1.3333333333333333</v>
      </c>
      <c r="AO23" s="20">
        <f>Tools!$AD22</f>
        <v>17</v>
      </c>
      <c r="AP23" s="33" t="str">
        <f t="shared" si="36"/>
        <v xml:space="preserve">  </v>
      </c>
      <c r="AQ23" s="34" t="str">
        <f t="shared" ca="1" si="18"/>
        <v>4/3</v>
      </c>
      <c r="AR23" s="23" t="str">
        <f t="shared" ca="1" si="19"/>
        <v xml:space="preserve">  </v>
      </c>
      <c r="AS23" s="24">
        <f t="shared" si="20"/>
        <v>7</v>
      </c>
      <c r="AT23" s="23" t="str">
        <f t="shared" ca="1" si="37"/>
        <v xml:space="preserve">  </v>
      </c>
      <c r="AU23" s="23" t="str">
        <f t="shared" ca="1" si="40"/>
        <v xml:space="preserve">  </v>
      </c>
      <c r="AV23" s="23" t="str">
        <f t="shared" si="21"/>
        <v xml:space="preserve">  </v>
      </c>
      <c r="AW23" s="23" t="str">
        <f t="shared" ca="1" si="22"/>
        <v xml:space="preserve">  </v>
      </c>
      <c r="AY23" s="35" t="str">
        <f t="shared" si="23"/>
        <v xml:space="preserve"> </v>
      </c>
      <c r="AZ23" s="23" t="str">
        <f t="shared" ca="1" si="41"/>
        <v xml:space="preserve">  </v>
      </c>
      <c r="BA23" s="36" t="str">
        <f t="shared" si="25"/>
        <v xml:space="preserve"> </v>
      </c>
      <c r="BB23" s="27" t="str">
        <f t="shared" ca="1" si="38"/>
        <v xml:space="preserve">  </v>
      </c>
      <c r="BC23" s="23" t="str">
        <f t="shared" ca="1" si="39"/>
        <v xml:space="preserve">  </v>
      </c>
      <c r="BE23" s="50" t="s">
        <v>63</v>
      </c>
      <c r="BF23" s="48" t="s">
        <v>64</v>
      </c>
      <c r="BG23" s="49" t="str">
        <f>IF(WL_No="  ","  ",IT/V_Disp)</f>
        <v xml:space="preserve">  </v>
      </c>
    </row>
    <row r="24" spans="1:59" x14ac:dyDescent="0.25">
      <c r="A24" s="20">
        <f>Tools!$AD23</f>
        <v>18</v>
      </c>
      <c r="B24" s="33" t="str">
        <f t="shared" si="0"/>
        <v xml:space="preserve">  </v>
      </c>
      <c r="C24" s="22">
        <f>IF(A24="  ","  ",IF(AND(A23="  ",A25="  "),"?",IF(A23="  ",1*(A25-A24),IF(A25="  ",1*(A24-A23),1*(A25-A23)))))</f>
        <v>1.5</v>
      </c>
      <c r="D24" s="23" t="str">
        <f t="shared" si="26"/>
        <v xml:space="preserve">  </v>
      </c>
      <c r="E24" s="24">
        <f t="shared" si="1"/>
        <v>8</v>
      </c>
      <c r="F24" s="23" t="str">
        <f t="shared" si="27"/>
        <v xml:space="preserve">  </v>
      </c>
      <c r="G24" s="23" t="str">
        <f t="shared" si="28"/>
        <v xml:space="preserve">  </v>
      </c>
      <c r="H24" s="23" t="str">
        <f t="shared" si="29"/>
        <v xml:space="preserve">  </v>
      </c>
      <c r="I24" s="23" t="str">
        <f t="shared" si="30"/>
        <v xml:space="preserve">  </v>
      </c>
      <c r="J24" s="4"/>
      <c r="K24" s="37" t="str">
        <f t="shared" si="2"/>
        <v xml:space="preserve"> </v>
      </c>
      <c r="L24" s="23" t="str">
        <f t="shared" si="31"/>
        <v xml:space="preserve">  </v>
      </c>
      <c r="M24" s="38" t="str">
        <f t="shared" si="3"/>
        <v xml:space="preserve"> </v>
      </c>
      <c r="N24" s="27" t="str">
        <f t="shared" si="32"/>
        <v xml:space="preserve">  </v>
      </c>
      <c r="O24" s="23" t="str">
        <f t="shared" si="33"/>
        <v xml:space="preserve">  </v>
      </c>
      <c r="P24" s="4"/>
      <c r="Q24" s="50" t="s">
        <v>67</v>
      </c>
      <c r="R24" s="48" t="s">
        <v>68</v>
      </c>
      <c r="S24" t="str">
        <f>IF(Tools!$L$49="Use 141 rule only",I48,IF(Tools!$L$49="Use 141 and 1331 rules",BG25," "))</f>
        <v xml:space="preserve">  </v>
      </c>
      <c r="W24" s="29">
        <f>IF(AO24="  ","  ",IF(AND(AO23="  ",AO25="  "),"?",IF(AO23="  ",1*(AO25-AO24),IF(AO25="  ",1*(AO24-AO23),1*(AO25-AO23)))))</f>
        <v>1.5</v>
      </c>
      <c r="X24" s="30" t="str">
        <f t="shared" si="4"/>
        <v>WD</v>
      </c>
      <c r="Y24" s="30" t="str">
        <f t="shared" si="5"/>
        <v>-</v>
      </c>
      <c r="Z24" s="29" t="b">
        <f t="shared" si="6"/>
        <v>1</v>
      </c>
      <c r="AA24" s="29" t="b">
        <f t="shared" si="7"/>
        <v>1</v>
      </c>
      <c r="AB24" s="29" t="str">
        <f t="shared" ca="1" si="8"/>
        <v>141-1</v>
      </c>
      <c r="AC24" s="29">
        <f t="shared" si="34"/>
        <v>5</v>
      </c>
      <c r="AD24" s="29">
        <f t="shared" ca="1" si="9"/>
        <v>5</v>
      </c>
      <c r="AE24" s="29">
        <v>21</v>
      </c>
      <c r="AF24" s="31">
        <f t="shared" si="42"/>
        <v>17</v>
      </c>
      <c r="AG24" s="29" t="b">
        <f t="shared" si="11"/>
        <v>1</v>
      </c>
      <c r="AH24" s="30" t="str">
        <f t="shared" ca="1" si="43"/>
        <v>141-1</v>
      </c>
      <c r="AI24" s="30" t="str">
        <f t="shared" ca="1" si="13"/>
        <v>(1/2)*(1/3)</v>
      </c>
      <c r="AJ24" s="29">
        <f t="shared" ca="1" si="14"/>
        <v>0.16666666666666666</v>
      </c>
      <c r="AK24" s="29" t="str">
        <f t="shared" ca="1" si="15"/>
        <v>1/3</v>
      </c>
      <c r="AL24" s="29">
        <f t="shared" ca="1" si="16"/>
        <v>0.33333333333333331</v>
      </c>
      <c r="AM24" s="32">
        <f t="shared" ca="1" si="35"/>
        <v>0.5</v>
      </c>
      <c r="AO24" s="20">
        <f>Tools!$AD23</f>
        <v>18</v>
      </c>
      <c r="AP24" s="33" t="str">
        <f t="shared" si="36"/>
        <v xml:space="preserve">  </v>
      </c>
      <c r="AQ24" s="34" t="str">
        <f t="shared" ca="1" si="18"/>
        <v>(1/2)*(1/3)+1/3</v>
      </c>
      <c r="AR24" s="23" t="str">
        <f t="shared" ca="1" si="19"/>
        <v xml:space="preserve">  </v>
      </c>
      <c r="AS24" s="24">
        <f t="shared" si="20"/>
        <v>8</v>
      </c>
      <c r="AT24" s="23" t="str">
        <f t="shared" ca="1" si="37"/>
        <v xml:space="preserve">  </v>
      </c>
      <c r="AU24" s="23" t="str">
        <f t="shared" ca="1" si="40"/>
        <v xml:space="preserve">  </v>
      </c>
      <c r="AV24" s="23" t="str">
        <f t="shared" si="21"/>
        <v xml:space="preserve">  </v>
      </c>
      <c r="AW24" s="23" t="str">
        <f t="shared" ca="1" si="22"/>
        <v xml:space="preserve">  </v>
      </c>
      <c r="AY24" s="35" t="str">
        <f t="shared" si="23"/>
        <v xml:space="preserve"> </v>
      </c>
      <c r="AZ24" s="23" t="str">
        <f t="shared" ca="1" si="41"/>
        <v xml:space="preserve">  </v>
      </c>
      <c r="BA24" s="36" t="str">
        <f t="shared" si="25"/>
        <v xml:space="preserve"> </v>
      </c>
      <c r="BB24" s="27" t="str">
        <f t="shared" ca="1" si="38"/>
        <v xml:space="preserve">  </v>
      </c>
      <c r="BC24" s="23" t="str">
        <f t="shared" ca="1" si="39"/>
        <v xml:space="preserve">  </v>
      </c>
      <c r="BE24" s="50" t="s">
        <v>65</v>
      </c>
      <c r="BF24" s="48" t="s">
        <v>66</v>
      </c>
      <c r="BG24" s="49" t="str">
        <f>IF(WL_No="  ","  ",MT/V_Disp)</f>
        <v xml:space="preserve">  </v>
      </c>
    </row>
    <row r="25" spans="1:59" x14ac:dyDescent="0.25">
      <c r="A25" s="20">
        <f>Tools!$AD24</f>
        <v>18.5</v>
      </c>
      <c r="B25" s="33" t="str">
        <f t="shared" si="0"/>
        <v xml:space="preserve">  </v>
      </c>
      <c r="C25" s="22">
        <f>IF(A25="  ","  ",IF(AND(A24="  ",A26="  "),"?",IF(A24="  ",2*(A26-A25),IF(A26="  ",2*(A25-A24),2*(A26-A24)))))</f>
        <v>2</v>
      </c>
      <c r="D25" s="23" t="str">
        <f t="shared" si="26"/>
        <v xml:space="preserve">  </v>
      </c>
      <c r="E25" s="24">
        <f t="shared" si="1"/>
        <v>8.5</v>
      </c>
      <c r="F25" s="23" t="str">
        <f t="shared" si="27"/>
        <v xml:space="preserve">  </v>
      </c>
      <c r="G25" s="23" t="str">
        <f t="shared" si="28"/>
        <v xml:space="preserve">  </v>
      </c>
      <c r="H25" s="23" t="str">
        <f t="shared" si="29"/>
        <v xml:space="preserve">  </v>
      </c>
      <c r="I25" s="23" t="str">
        <f t="shared" si="30"/>
        <v xml:space="preserve">  </v>
      </c>
      <c r="J25" s="4"/>
      <c r="K25" s="37" t="str">
        <f t="shared" si="2"/>
        <v xml:space="preserve"> </v>
      </c>
      <c r="L25" s="23" t="str">
        <f t="shared" si="31"/>
        <v xml:space="preserve">  </v>
      </c>
      <c r="M25" s="38" t="str">
        <f t="shared" si="3"/>
        <v xml:space="preserve"> </v>
      </c>
      <c r="N25" s="27" t="str">
        <f t="shared" si="32"/>
        <v xml:space="preserve">  </v>
      </c>
      <c r="O25" s="23" t="str">
        <f t="shared" si="33"/>
        <v xml:space="preserve">  </v>
      </c>
      <c r="P25" s="4"/>
      <c r="Q25" s="50" t="s">
        <v>69</v>
      </c>
      <c r="R25" s="48" t="s">
        <v>70</v>
      </c>
      <c r="S25" t="str">
        <f>IF(Tools!$L$49="Use 141 rule only",I49,IF(Tools!$L$49="Use 141 and 1331 rules",BG26," "))</f>
        <v xml:space="preserve">  </v>
      </c>
      <c r="W25" s="29">
        <f>IF(AO25="  ","  ",IF(AND(AO24="  ",AO26="  "),"?",IF(AO24="  ",2*(AO26-AO25),IF(AO26="  ",2*(AO25-AO24),2*(AO26-AO24)))))</f>
        <v>2</v>
      </c>
      <c r="X25" s="30" t="str">
        <f t="shared" si="4"/>
        <v>DD</v>
      </c>
      <c r="Y25" s="30" t="str">
        <f t="shared" si="5"/>
        <v>-</v>
      </c>
      <c r="Z25" s="29" t="b">
        <f t="shared" si="6"/>
        <v>1</v>
      </c>
      <c r="AA25" s="29" t="b">
        <f t="shared" si="7"/>
        <v>1</v>
      </c>
      <c r="AB25" s="29" t="str">
        <f t="shared" ca="1" si="8"/>
        <v>141-4</v>
      </c>
      <c r="AC25" s="29">
        <f t="shared" si="34"/>
        <v>4</v>
      </c>
      <c r="AD25" s="29">
        <f t="shared" ca="1" si="9"/>
        <v>4</v>
      </c>
      <c r="AE25" s="29">
        <v>22</v>
      </c>
      <c r="AF25" s="31">
        <f t="shared" si="42"/>
        <v>18</v>
      </c>
      <c r="AG25" s="29" t="b">
        <f t="shared" si="11"/>
        <v>0</v>
      </c>
      <c r="AH25" s="30" t="str">
        <f t="shared" si="43"/>
        <v>-</v>
      </c>
      <c r="AI25" s="30" t="str">
        <f t="shared" ca="1" si="13"/>
        <v>(1/2)*(4/3)</v>
      </c>
      <c r="AJ25" s="29">
        <f t="shared" ca="1" si="14"/>
        <v>0.66666666666666663</v>
      </c>
      <c r="AK25" s="29" t="str">
        <f t="shared" si="15"/>
        <v/>
      </c>
      <c r="AL25" s="29">
        <f t="shared" si="16"/>
        <v>0</v>
      </c>
      <c r="AM25" s="32">
        <f t="shared" ca="1" si="35"/>
        <v>0.66666666666666663</v>
      </c>
      <c r="AO25" s="20">
        <f>Tools!$AD24</f>
        <v>18.5</v>
      </c>
      <c r="AP25" s="33" t="str">
        <f t="shared" si="36"/>
        <v xml:space="preserve">  </v>
      </c>
      <c r="AQ25" s="34" t="str">
        <f t="shared" ca="1" si="18"/>
        <v>(1/2)*(4/3)</v>
      </c>
      <c r="AR25" s="23" t="str">
        <f t="shared" ca="1" si="19"/>
        <v xml:space="preserve">  </v>
      </c>
      <c r="AS25" s="24">
        <f t="shared" si="20"/>
        <v>8.5</v>
      </c>
      <c r="AT25" s="23" t="str">
        <f t="shared" ca="1" si="37"/>
        <v xml:space="preserve">  </v>
      </c>
      <c r="AU25" s="23" t="str">
        <f t="shared" ca="1" si="40"/>
        <v xml:space="preserve">  </v>
      </c>
      <c r="AV25" s="23" t="str">
        <f t="shared" si="21"/>
        <v xml:space="preserve">  </v>
      </c>
      <c r="AW25" s="23" t="str">
        <f t="shared" ca="1" si="22"/>
        <v xml:space="preserve">  </v>
      </c>
      <c r="AY25" s="35" t="str">
        <f t="shared" si="23"/>
        <v xml:space="preserve"> </v>
      </c>
      <c r="AZ25" s="23" t="str">
        <f t="shared" ca="1" si="41"/>
        <v xml:space="preserve">  </v>
      </c>
      <c r="BA25" s="36" t="str">
        <f t="shared" si="25"/>
        <v xml:space="preserve"> </v>
      </c>
      <c r="BB25" s="27" t="str">
        <f t="shared" ca="1" si="38"/>
        <v xml:space="preserve">  </v>
      </c>
      <c r="BC25" s="23" t="str">
        <f t="shared" ca="1" si="39"/>
        <v xml:space="preserve">  </v>
      </c>
      <c r="BE25" s="50" t="s">
        <v>67</v>
      </c>
      <c r="BF25" s="48" t="s">
        <v>68</v>
      </c>
      <c r="BG25" s="49" t="str">
        <f>IF(WL_No="  ","  ",KB+BMT)</f>
        <v xml:space="preserve">  </v>
      </c>
    </row>
    <row r="26" spans="1:59" x14ac:dyDescent="0.25">
      <c r="A26" s="20">
        <f>Tools!$AD25</f>
        <v>19</v>
      </c>
      <c r="B26" s="33" t="str">
        <f t="shared" si="0"/>
        <v xml:space="preserve">  </v>
      </c>
      <c r="C26" s="22">
        <f>IF(A26="  ","  ",IF(AND(A25="  ",A27="  "),"?",IF(A25="  ",1*(A27-A26),IF(A27="  ",1*(A26-A25),1*(A27-A25)))))</f>
        <v>1</v>
      </c>
      <c r="D26" s="23" t="str">
        <f t="shared" si="26"/>
        <v xml:space="preserve">  </v>
      </c>
      <c r="E26" s="24">
        <f t="shared" si="1"/>
        <v>9</v>
      </c>
      <c r="F26" s="23" t="str">
        <f t="shared" si="27"/>
        <v xml:space="preserve">  </v>
      </c>
      <c r="G26" s="23" t="str">
        <f t="shared" si="28"/>
        <v xml:space="preserve">  </v>
      </c>
      <c r="H26" s="23" t="str">
        <f t="shared" si="29"/>
        <v xml:space="preserve">  </v>
      </c>
      <c r="I26" s="23" t="str">
        <f t="shared" si="30"/>
        <v xml:space="preserve">  </v>
      </c>
      <c r="J26" s="4"/>
      <c r="K26" s="37" t="str">
        <f t="shared" si="2"/>
        <v xml:space="preserve"> </v>
      </c>
      <c r="L26" s="23" t="str">
        <f t="shared" si="31"/>
        <v xml:space="preserve">  </v>
      </c>
      <c r="M26" s="38" t="str">
        <f t="shared" si="3"/>
        <v xml:space="preserve"> </v>
      </c>
      <c r="N26" s="27" t="str">
        <f t="shared" si="32"/>
        <v xml:space="preserve">  </v>
      </c>
      <c r="O26" s="23" t="str">
        <f t="shared" si="33"/>
        <v xml:space="preserve">  </v>
      </c>
      <c r="P26" s="4"/>
      <c r="Q26" s="50" t="s">
        <v>71</v>
      </c>
      <c r="R26" s="48" t="s">
        <v>72</v>
      </c>
      <c r="S26" t="str">
        <f>IF(Tools!$L$49="Use 141 rule only",I50,IF(Tools!$L$49="Use 141 and 1331 rules",BG27," "))</f>
        <v xml:space="preserve">  </v>
      </c>
      <c r="W26" s="29">
        <f>IF(AO26="  ","  ",IF(AND(AO25="  ",AO27="  "),"?",IF(AO25="  ",1*(AO27-AO26),IF(AO27="  ",1*(AO26-AO25),1*(AO27-AO25)))))</f>
        <v>1</v>
      </c>
      <c r="X26" s="30" t="str">
        <f t="shared" si="4"/>
        <v>DD</v>
      </c>
      <c r="Y26" s="30" t="str">
        <f t="shared" si="5"/>
        <v>-</v>
      </c>
      <c r="Z26" s="29" t="b">
        <f t="shared" si="6"/>
        <v>1</v>
      </c>
      <c r="AA26" s="29" t="b">
        <f t="shared" si="7"/>
        <v>1</v>
      </c>
      <c r="AB26" s="29" t="str">
        <f t="shared" ca="1" si="8"/>
        <v>141-2</v>
      </c>
      <c r="AC26" s="29">
        <f t="shared" si="34"/>
        <v>3</v>
      </c>
      <c r="AD26" s="29">
        <f t="shared" ca="1" si="9"/>
        <v>3</v>
      </c>
      <c r="AE26" s="29">
        <v>23</v>
      </c>
      <c r="AF26" s="31">
        <f t="shared" si="42"/>
        <v>19</v>
      </c>
      <c r="AG26" s="29" t="b">
        <f t="shared" si="11"/>
        <v>0</v>
      </c>
      <c r="AH26" s="30" t="str">
        <f t="shared" si="43"/>
        <v>-</v>
      </c>
      <c r="AI26" s="30" t="str">
        <f t="shared" ca="1" si="13"/>
        <v>(1/2)*(2/3)</v>
      </c>
      <c r="AJ26" s="29">
        <f t="shared" ca="1" si="14"/>
        <v>0.33333333333333331</v>
      </c>
      <c r="AK26" s="29" t="str">
        <f t="shared" si="15"/>
        <v/>
      </c>
      <c r="AL26" s="29">
        <f t="shared" si="16"/>
        <v>0</v>
      </c>
      <c r="AM26" s="32">
        <f t="shared" ca="1" si="35"/>
        <v>0.33333333333333331</v>
      </c>
      <c r="AO26" s="20">
        <f>Tools!$AD25</f>
        <v>19</v>
      </c>
      <c r="AP26" s="33" t="str">
        <f t="shared" si="36"/>
        <v xml:space="preserve">  </v>
      </c>
      <c r="AQ26" s="34" t="str">
        <f t="shared" ca="1" si="18"/>
        <v>(1/2)*(2/3)</v>
      </c>
      <c r="AR26" s="23" t="str">
        <f t="shared" ca="1" si="19"/>
        <v xml:space="preserve">  </v>
      </c>
      <c r="AS26" s="24">
        <f t="shared" si="20"/>
        <v>9</v>
      </c>
      <c r="AT26" s="23" t="str">
        <f t="shared" ca="1" si="37"/>
        <v xml:space="preserve">  </v>
      </c>
      <c r="AU26" s="23" t="str">
        <f t="shared" ca="1" si="40"/>
        <v xml:space="preserve">  </v>
      </c>
      <c r="AV26" s="23" t="str">
        <f t="shared" si="21"/>
        <v xml:space="preserve">  </v>
      </c>
      <c r="AW26" s="23" t="str">
        <f t="shared" ca="1" si="22"/>
        <v xml:space="preserve">  </v>
      </c>
      <c r="AY26" s="35" t="str">
        <f t="shared" si="23"/>
        <v xml:space="preserve"> </v>
      </c>
      <c r="AZ26" s="23" t="str">
        <f t="shared" ca="1" si="41"/>
        <v xml:space="preserve">  </v>
      </c>
      <c r="BA26" s="36" t="str">
        <f t="shared" si="25"/>
        <v xml:space="preserve"> </v>
      </c>
      <c r="BB26" s="27" t="str">
        <f t="shared" ca="1" si="38"/>
        <v xml:space="preserve">  </v>
      </c>
      <c r="BC26" s="23" t="str">
        <f t="shared" ca="1" si="39"/>
        <v xml:space="preserve">  </v>
      </c>
      <c r="BE26" s="50" t="s">
        <v>69</v>
      </c>
      <c r="BF26" s="48" t="s">
        <v>70</v>
      </c>
      <c r="BG26" s="49" t="str">
        <f>IF(WL_No="  ","  ",KB+BML)</f>
        <v xml:space="preserve">  </v>
      </c>
    </row>
    <row r="27" spans="1:59" x14ac:dyDescent="0.25">
      <c r="A27" s="20">
        <f>Tools!$AD26</f>
        <v>19.5</v>
      </c>
      <c r="B27" s="33" t="str">
        <f t="shared" si="0"/>
        <v xml:space="preserve">  </v>
      </c>
      <c r="C27" s="22">
        <f>IF(A27="  ","  ",IF(AND(A26="  ",A28="  "),"?",IF(A26="  ",2*(A28-A27),IF(A28="  ",2*(A27-A26),2*(A28-A26)))))</f>
        <v>2</v>
      </c>
      <c r="D27" s="23" t="str">
        <f t="shared" si="26"/>
        <v xml:space="preserve">  </v>
      </c>
      <c r="E27" s="24">
        <f t="shared" si="1"/>
        <v>9.5</v>
      </c>
      <c r="F27" s="23" t="str">
        <f t="shared" si="27"/>
        <v xml:space="preserve">  </v>
      </c>
      <c r="G27" s="23" t="str">
        <f t="shared" si="28"/>
        <v xml:space="preserve">  </v>
      </c>
      <c r="H27" s="23" t="str">
        <f t="shared" si="29"/>
        <v xml:space="preserve">  </v>
      </c>
      <c r="I27" s="23" t="str">
        <f t="shared" si="30"/>
        <v xml:space="preserve">  </v>
      </c>
      <c r="J27" s="4"/>
      <c r="K27" s="37" t="str">
        <f t="shared" si="2"/>
        <v xml:space="preserve"> </v>
      </c>
      <c r="L27" s="23" t="str">
        <f t="shared" si="31"/>
        <v xml:space="preserve">  </v>
      </c>
      <c r="M27" s="38" t="str">
        <f t="shared" si="3"/>
        <v xml:space="preserve"> </v>
      </c>
      <c r="N27" s="27" t="str">
        <f t="shared" si="32"/>
        <v xml:space="preserve">  </v>
      </c>
      <c r="O27" s="23" t="str">
        <f t="shared" si="33"/>
        <v xml:space="preserve">  </v>
      </c>
      <c r="P27" s="4"/>
      <c r="Q27" s="50" t="s">
        <v>73</v>
      </c>
      <c r="R27" s="48" t="s">
        <v>74</v>
      </c>
      <c r="S27" t="str">
        <f>IF(Tools!$L$49="Use 141 rule only",I51,IF(Tools!$L$49="Use 141 and 1331 rules",BG28," "))</f>
        <v xml:space="preserve">  </v>
      </c>
      <c r="W27" s="29">
        <f>IF(AO27="  ","  ",IF(AND(AO26="  ",AO28="  "),"?",IF(AO26="  ",2*(AO28-AO27),IF(AO28="  ",2*(AO27-AO26),2*(AO28-AO26)))))</f>
        <v>2</v>
      </c>
      <c r="X27" s="30" t="str">
        <f t="shared" si="4"/>
        <v>DD</v>
      </c>
      <c r="Y27" s="30" t="str">
        <f t="shared" si="5"/>
        <v>-</v>
      </c>
      <c r="Z27" s="29" t="b">
        <f t="shared" si="6"/>
        <v>1</v>
      </c>
      <c r="AA27" s="29" t="b">
        <f t="shared" si="7"/>
        <v>1</v>
      </c>
      <c r="AB27" s="29" t="str">
        <f t="shared" ca="1" si="8"/>
        <v>141-4</v>
      </c>
      <c r="AC27" s="29">
        <f t="shared" si="34"/>
        <v>2</v>
      </c>
      <c r="AD27" s="29">
        <f t="shared" ca="1" si="9"/>
        <v>2</v>
      </c>
      <c r="AE27" s="29">
        <v>24</v>
      </c>
      <c r="AF27" s="31">
        <f t="shared" si="42"/>
        <v>20</v>
      </c>
      <c r="AG27" s="29" t="b">
        <f t="shared" si="11"/>
        <v>0</v>
      </c>
      <c r="AH27" s="30" t="str">
        <f t="shared" si="43"/>
        <v>-</v>
      </c>
      <c r="AI27" s="30" t="str">
        <f t="shared" ca="1" si="13"/>
        <v>(1/2)*(4/3)</v>
      </c>
      <c r="AJ27" s="29">
        <f t="shared" ca="1" si="14"/>
        <v>0.66666666666666663</v>
      </c>
      <c r="AK27" s="29" t="str">
        <f t="shared" si="15"/>
        <v/>
      </c>
      <c r="AL27" s="29">
        <f t="shared" si="16"/>
        <v>0</v>
      </c>
      <c r="AM27" s="32">
        <f t="shared" ca="1" si="35"/>
        <v>0.66666666666666663</v>
      </c>
      <c r="AO27" s="20">
        <f>Tools!$AD26</f>
        <v>19.5</v>
      </c>
      <c r="AP27" s="33" t="str">
        <f t="shared" ref="AP27:AP28" si="44">VLOOKUP(AO27,OFFSET_A,Count_WL+1,FALSE)</f>
        <v xml:space="preserve">  </v>
      </c>
      <c r="AQ27" s="34" t="str">
        <f t="shared" ca="1" si="18"/>
        <v>(1/2)*(4/3)</v>
      </c>
      <c r="AR27" s="23" t="str">
        <f t="shared" ca="1" si="19"/>
        <v xml:space="preserve">  </v>
      </c>
      <c r="AS27" s="24">
        <f t="shared" si="20"/>
        <v>9.5</v>
      </c>
      <c r="AT27" s="23" t="str">
        <f t="shared" ca="1" si="37"/>
        <v xml:space="preserve">  </v>
      </c>
      <c r="AU27" s="23" t="str">
        <f t="shared" ca="1" si="40"/>
        <v xml:space="preserve">  </v>
      </c>
      <c r="AV27" s="23" t="str">
        <f t="shared" si="21"/>
        <v xml:space="preserve">  </v>
      </c>
      <c r="AW27" s="23" t="str">
        <f t="shared" ca="1" si="22"/>
        <v xml:space="preserve">  </v>
      </c>
      <c r="AY27" s="35" t="str">
        <f t="shared" si="23"/>
        <v xml:space="preserve"> </v>
      </c>
      <c r="AZ27" s="23" t="str">
        <f t="shared" ca="1" si="41"/>
        <v xml:space="preserve">  </v>
      </c>
      <c r="BA27" s="36" t="str">
        <f t="shared" si="25"/>
        <v xml:space="preserve"> </v>
      </c>
      <c r="BB27" s="27" t="str">
        <f t="shared" ca="1" si="38"/>
        <v xml:space="preserve">  </v>
      </c>
      <c r="BC27" s="23" t="str">
        <f t="shared" ca="1" si="39"/>
        <v xml:space="preserve">  </v>
      </c>
      <c r="BE27" s="50" t="s">
        <v>71</v>
      </c>
      <c r="BF27" s="48" t="s">
        <v>72</v>
      </c>
      <c r="BG27" s="49" t="str">
        <f>IF(WL_No="  ","  ",AWP*1.025/100)</f>
        <v xml:space="preserve">  </v>
      </c>
    </row>
    <row r="28" spans="1:59" ht="15.75" thickBot="1" x14ac:dyDescent="0.3">
      <c r="A28" s="20">
        <f>Tools!$AD27</f>
        <v>20</v>
      </c>
      <c r="B28" s="52" t="str">
        <f t="shared" si="0"/>
        <v xml:space="preserve">  </v>
      </c>
      <c r="C28" s="22">
        <f>IF(A28="  ","  ",IF(A27="  ","?",1*(A28-A27)))</f>
        <v>0.5</v>
      </c>
      <c r="D28" s="53" t="str">
        <f t="shared" si="26"/>
        <v xml:space="preserve">  </v>
      </c>
      <c r="E28" s="24">
        <f t="shared" si="1"/>
        <v>10</v>
      </c>
      <c r="F28" s="53" t="str">
        <f t="shared" si="27"/>
        <v xml:space="preserve">  </v>
      </c>
      <c r="G28" s="53" t="str">
        <f t="shared" si="28"/>
        <v xml:space="preserve">  </v>
      </c>
      <c r="H28" s="23" t="str">
        <f t="shared" si="29"/>
        <v xml:space="preserve">  </v>
      </c>
      <c r="I28" s="53" t="str">
        <f t="shared" si="30"/>
        <v xml:space="preserve">  </v>
      </c>
      <c r="J28" s="4"/>
      <c r="K28" s="35" t="str">
        <f t="shared" si="2"/>
        <v xml:space="preserve"> </v>
      </c>
      <c r="L28" s="53" t="str">
        <f t="shared" si="31"/>
        <v xml:space="preserve">  </v>
      </c>
      <c r="M28" s="36" t="str">
        <f t="shared" si="3"/>
        <v xml:space="preserve"> </v>
      </c>
      <c r="N28" s="54" t="str">
        <f t="shared" si="32"/>
        <v xml:space="preserve">  </v>
      </c>
      <c r="O28" s="53" t="str">
        <f t="shared" si="33"/>
        <v xml:space="preserve">  </v>
      </c>
      <c r="P28" s="4"/>
      <c r="Q28" s="50" t="s">
        <v>75</v>
      </c>
      <c r="R28" s="55" t="s">
        <v>76</v>
      </c>
      <c r="S28" t="str">
        <f>IF(Tools!$L$49="Use 141 rule only",I52,IF(Tools!$L$49="Use 141 and 1331 rules",BG29," "))</f>
        <v xml:space="preserve">  </v>
      </c>
      <c r="W28" s="29">
        <f>IF(AO28="  ","  ",IF(AO27="  ","?",1*(AO28-AO27)))</f>
        <v>0.5</v>
      </c>
      <c r="X28" s="30" t="str">
        <f t="shared" si="4"/>
        <v>D-</v>
      </c>
      <c r="Y28" s="30" t="str">
        <f t="shared" si="5"/>
        <v>-</v>
      </c>
      <c r="Z28" s="29" t="b">
        <f t="shared" si="6"/>
        <v>1</v>
      </c>
      <c r="AA28" s="29" t="b">
        <f t="shared" si="7"/>
        <v>1</v>
      </c>
      <c r="AB28" s="29" t="str">
        <f t="shared" ca="1" si="8"/>
        <v>141-1</v>
      </c>
      <c r="AC28" s="29">
        <f>IF(ISNUMBER(AO28),IF(ISNUMBER(AO28),IF(OR(AO28=0,AO28=Long_Div),1,IF(AO28&gt;Long_Div/2,AF29+1,IF(AO28&lt;=Long_Div/2,AC27+1,"?")))," --")," ")</f>
        <v>1</v>
      </c>
      <c r="AD28" s="29">
        <f t="shared" ca="1" si="9"/>
        <v>1</v>
      </c>
      <c r="AE28" s="29">
        <v>25</v>
      </c>
      <c r="AF28" s="31">
        <f t="shared" si="42"/>
        <v>21</v>
      </c>
      <c r="AG28" s="29" t="b">
        <f t="shared" si="11"/>
        <v>0</v>
      </c>
      <c r="AH28" s="30" t="str">
        <f t="shared" si="43"/>
        <v>-</v>
      </c>
      <c r="AI28" s="30" t="str">
        <f t="shared" ca="1" si="13"/>
        <v>(1/2)*(1/3)</v>
      </c>
      <c r="AJ28" s="29">
        <f t="shared" ca="1" si="14"/>
        <v>0.16666666666666666</v>
      </c>
      <c r="AK28" s="29" t="str">
        <f t="shared" si="15"/>
        <v/>
      </c>
      <c r="AL28" s="29">
        <f t="shared" si="16"/>
        <v>0</v>
      </c>
      <c r="AM28" s="32">
        <f t="shared" ca="1" si="35"/>
        <v>0.16666666666666666</v>
      </c>
      <c r="AO28" s="20">
        <f>Tools!$AD27</f>
        <v>20</v>
      </c>
      <c r="AP28" s="33" t="str">
        <f t="shared" si="44"/>
        <v xml:space="preserve">  </v>
      </c>
      <c r="AQ28" s="34" t="str">
        <f t="shared" ca="1" si="18"/>
        <v>(1/2)*(1/3)</v>
      </c>
      <c r="AR28" s="23" t="str">
        <f t="shared" ca="1" si="19"/>
        <v xml:space="preserve">  </v>
      </c>
      <c r="AS28" s="24">
        <f t="shared" si="20"/>
        <v>10</v>
      </c>
      <c r="AT28" s="53" t="str">
        <f t="shared" ca="1" si="37"/>
        <v xml:space="preserve">  </v>
      </c>
      <c r="AU28" s="53" t="str">
        <f t="shared" ca="1" si="40"/>
        <v xml:space="preserve">  </v>
      </c>
      <c r="AV28" s="23" t="str">
        <f t="shared" si="21"/>
        <v xml:space="preserve">  </v>
      </c>
      <c r="AW28" s="23" t="str">
        <f t="shared" ca="1" si="22"/>
        <v xml:space="preserve">  </v>
      </c>
      <c r="AY28" s="35" t="str">
        <f t="shared" si="23"/>
        <v xml:space="preserve"> </v>
      </c>
      <c r="AZ28" s="23" t="str">
        <f t="shared" ca="1" si="41"/>
        <v xml:space="preserve">  </v>
      </c>
      <c r="BA28" s="36" t="str">
        <f t="shared" si="25"/>
        <v xml:space="preserve"> </v>
      </c>
      <c r="BB28" s="27" t="str">
        <f t="shared" ca="1" si="38"/>
        <v xml:space="preserve">  </v>
      </c>
      <c r="BC28" s="53" t="str">
        <f t="shared" ca="1" si="39"/>
        <v xml:space="preserve">  </v>
      </c>
      <c r="BE28" s="50" t="s">
        <v>73</v>
      </c>
      <c r="BF28" s="48" t="s">
        <v>74</v>
      </c>
      <c r="BG28" s="49" t="str">
        <f>IF(WL_No="  ","  ",ML/V_Disp)</f>
        <v xml:space="preserve">  </v>
      </c>
    </row>
    <row r="29" spans="1:59" ht="15.75" thickBot="1" x14ac:dyDescent="0.3">
      <c r="A29" s="56" t="s">
        <v>77</v>
      </c>
      <c r="B29" s="56"/>
      <c r="C29" s="56"/>
      <c r="D29" s="57">
        <f>SUM(D4:D28)</f>
        <v>0</v>
      </c>
      <c r="E29" s="42"/>
      <c r="F29" s="58">
        <f>SUM(F4:F28)</f>
        <v>0</v>
      </c>
      <c r="G29" s="58">
        <f>SUM(G4:G28)</f>
        <v>0</v>
      </c>
      <c r="H29" s="42"/>
      <c r="I29" s="58">
        <f>SUM(I4:I28)</f>
        <v>0</v>
      </c>
      <c r="J29" s="4"/>
      <c r="K29" s="42"/>
      <c r="L29" s="58">
        <f>SUM(L4:L28)</f>
        <v>0</v>
      </c>
      <c r="M29" s="42"/>
      <c r="N29" s="58">
        <f>SUM(N4:N28)</f>
        <v>0</v>
      </c>
      <c r="O29" s="58">
        <f>SUM(O4:O28)</f>
        <v>0</v>
      </c>
      <c r="P29" s="4"/>
      <c r="Q29" s="50" t="s">
        <v>78</v>
      </c>
      <c r="R29" s="48" t="s">
        <v>79</v>
      </c>
      <c r="S29" t="str">
        <f>IF(Tools!$L$49="Use 141 rule only",I53,IF(Tools!$L$49="Use 141 and 1331 rules",BG30," "))</f>
        <v xml:space="preserve">  </v>
      </c>
      <c r="W29" s="56"/>
      <c r="X29" s="56"/>
      <c r="Y29" s="56"/>
      <c r="Z29" s="56"/>
      <c r="AA29" s="56"/>
      <c r="AB29" s="56"/>
      <c r="AC29" s="56"/>
      <c r="AD29" s="56"/>
      <c r="AE29" s="56"/>
      <c r="AF29" s="56"/>
      <c r="AG29" s="56"/>
      <c r="AH29" s="56"/>
      <c r="AI29" s="56"/>
      <c r="AJ29" s="56"/>
      <c r="AK29" s="56"/>
      <c r="AL29" s="56"/>
      <c r="AM29" s="56"/>
      <c r="AN29" s="56"/>
      <c r="AO29" s="56" t="s">
        <v>77</v>
      </c>
      <c r="AP29" s="56"/>
      <c r="AQ29" s="59"/>
      <c r="AR29" s="57">
        <f ca="1">SUM(AR4:AR28)</f>
        <v>0</v>
      </c>
      <c r="AS29" s="42"/>
      <c r="AT29" s="58">
        <f ca="1">SUM(AT4:AT28)</f>
        <v>0</v>
      </c>
      <c r="AU29" s="58">
        <f ca="1">SUM(AU4:AU28)</f>
        <v>0</v>
      </c>
      <c r="AV29" s="42"/>
      <c r="AW29" s="58">
        <f ca="1">SUM(AW4:AW28)</f>
        <v>0</v>
      </c>
      <c r="AY29" s="42"/>
      <c r="AZ29" s="58">
        <f ca="1">SUM(AZ4:AZ28)</f>
        <v>0</v>
      </c>
      <c r="BA29" s="42"/>
      <c r="BB29" s="58">
        <f ca="1">SUM(BB4:BB28)</f>
        <v>0</v>
      </c>
      <c r="BC29" s="58">
        <f ca="1">SUM(BC4:BC28)</f>
        <v>0</v>
      </c>
      <c r="BE29" s="50" t="s">
        <v>75</v>
      </c>
      <c r="BF29" s="55" t="s">
        <v>76</v>
      </c>
      <c r="BG29" s="49" t="str">
        <f>IF(WL_No="  ","  ",M_Disp*BML/100/BG8)</f>
        <v xml:space="preserve">  </v>
      </c>
    </row>
    <row r="30" spans="1:59" x14ac:dyDescent="0.25">
      <c r="A30" s="15"/>
      <c r="B30" s="4"/>
      <c r="C30" s="4"/>
      <c r="D30" s="42"/>
      <c r="E30" s="4"/>
      <c r="F30" s="4"/>
      <c r="G30" s="4"/>
      <c r="H30" s="4"/>
      <c r="I30" s="4"/>
      <c r="J30" s="4"/>
      <c r="K30" s="4"/>
      <c r="L30" s="4"/>
      <c r="M30" s="4"/>
      <c r="N30" s="4"/>
      <c r="O30" s="4"/>
      <c r="P30" s="4"/>
      <c r="Q30" s="50" t="s">
        <v>80</v>
      </c>
      <c r="R30" s="48" t="s">
        <v>81</v>
      </c>
      <c r="S30" t="str">
        <f>IF(Tools!$L$49="Use 141 rule only",I54,IF(Tools!$L$49="Use 141 and 1331 rules",BG31," "))</f>
        <v xml:space="preserve">  </v>
      </c>
      <c r="AA30" s="60"/>
      <c r="AB30" s="60"/>
      <c r="BE30" s="50" t="s">
        <v>78</v>
      </c>
      <c r="BF30" s="48" t="s">
        <v>79</v>
      </c>
      <c r="BG30" s="49" t="str">
        <f>IF(WL_No="  ","  ",WLS*WL_No)</f>
        <v xml:space="preserve">  </v>
      </c>
    </row>
    <row r="31" spans="1:59" x14ac:dyDescent="0.25">
      <c r="A31" s="15"/>
      <c r="B31" s="4"/>
      <c r="C31" s="4"/>
      <c r="D31" s="4"/>
      <c r="E31" s="4"/>
      <c r="F31" s="4"/>
      <c r="G31" s="4"/>
      <c r="H31" s="4"/>
      <c r="I31" s="4"/>
      <c r="J31" s="4"/>
      <c r="K31" s="4"/>
      <c r="L31" s="4"/>
      <c r="M31" s="4"/>
      <c r="N31" s="4"/>
      <c r="O31" s="4"/>
      <c r="P31" s="4"/>
      <c r="Q31" s="50" t="s">
        <v>82</v>
      </c>
      <c r="R31" s="48" t="s">
        <v>83</v>
      </c>
      <c r="S31" t="str">
        <f>IF(Tools!$L$49="Use 141 rule only",I55,IF(Tools!$L$49="Use 141 and 1331 rules",BG32," "))</f>
        <v xml:space="preserve">  </v>
      </c>
      <c r="AF31" s="61" t="s">
        <v>84</v>
      </c>
      <c r="AG31" s="62">
        <f ca="1">COUNTIF(OFFSET(AQ4,,,ROUNDUP(Max_STN_count/2,0),1),"")</f>
        <v>0</v>
      </c>
      <c r="AH31" s="63">
        <f ca="1">HLOOKUP(Stn_WL,AREA_TABLE,AG31+2,FALSE)</f>
        <v>0</v>
      </c>
      <c r="AI31" s="63">
        <f ca="1">IF(AH31&gt;Long_Div/2,Long_Div/2,AH31)</f>
        <v>0</v>
      </c>
      <c r="AJ31" s="63">
        <f ca="1">AI31*STN_GAP</f>
        <v>0</v>
      </c>
      <c r="BE31" s="50" t="s">
        <v>80</v>
      </c>
      <c r="BF31" s="48" t="s">
        <v>81</v>
      </c>
      <c r="BG31" s="49" t="str">
        <f>IF(WL_No="  ","  ",AWP/(BG8*B_current))</f>
        <v xml:space="preserve">  </v>
      </c>
    </row>
    <row r="32" spans="1:59" x14ac:dyDescent="0.25">
      <c r="A32" s="15"/>
      <c r="B32" s="4"/>
      <c r="C32" s="4"/>
      <c r="D32" s="4"/>
      <c r="E32" s="4"/>
      <c r="F32" s="4"/>
      <c r="G32" s="4"/>
      <c r="H32" s="4"/>
      <c r="I32" s="4"/>
      <c r="J32" s="64"/>
      <c r="K32" s="4"/>
      <c r="L32" s="4"/>
      <c r="M32" s="4"/>
      <c r="N32" s="4"/>
      <c r="O32" s="4"/>
      <c r="P32" s="4"/>
      <c r="Q32" s="50" t="s">
        <v>85</v>
      </c>
      <c r="R32" s="48" t="s">
        <v>86</v>
      </c>
      <c r="S32" t="str">
        <f>IF(Tools!$L$49="Use 141 rule only",I56,IF(Tools!$L$49="Use 141 and 1331 rules",BG33," "))</f>
        <v xml:space="preserve">  </v>
      </c>
      <c r="AF32" s="61" t="s">
        <v>87</v>
      </c>
      <c r="AG32" s="62">
        <f ca="1">COUNTIF(OFFSET(AQ4,ROUNDUP(Max_STN_count/2,0),,ROUNDDOWN(Max_STN_count/2,0),1),"")</f>
        <v>0</v>
      </c>
      <c r="AH32" s="63">
        <f ca="1">HLOOKUP(Stn_WL,AREA_TABLE,AG32+2,FALSE)</f>
        <v>0</v>
      </c>
      <c r="AI32" s="63">
        <f ca="1">IF(AH32&gt;Long_Div/2,Long_Div/2,AH32)</f>
        <v>0</v>
      </c>
      <c r="AJ32" s="63">
        <f ca="1">AI32*STN_GAP</f>
        <v>0</v>
      </c>
      <c r="BE32" s="50" t="s">
        <v>82</v>
      </c>
      <c r="BF32" s="48" t="s">
        <v>83</v>
      </c>
      <c r="BG32" s="49" t="str">
        <f>IF(WL_No="  ","  ",V_Disp/(BG8*B_current*T))</f>
        <v xml:space="preserve">  </v>
      </c>
    </row>
    <row r="33" spans="1:59" x14ac:dyDescent="0.25">
      <c r="A33" s="15"/>
      <c r="B33" s="4"/>
      <c r="C33" s="4"/>
      <c r="D33" s="4"/>
      <c r="E33" s="4"/>
      <c r="F33" s="4"/>
      <c r="G33" s="43" t="s">
        <v>31</v>
      </c>
      <c r="H33" s="44" t="s">
        <v>32</v>
      </c>
      <c r="I33" s="489" t="s">
        <v>33</v>
      </c>
      <c r="J33" s="4"/>
      <c r="K33" s="4"/>
      <c r="L33" s="4"/>
      <c r="M33" s="4"/>
      <c r="N33" s="4"/>
      <c r="O33" s="4"/>
      <c r="P33" s="4"/>
      <c r="Q33" s="50" t="s">
        <v>88</v>
      </c>
      <c r="R33" s="48" t="s">
        <v>89</v>
      </c>
      <c r="S33" t="str">
        <f>IF(Tools!$L$49="Use 141 rule only",I57,IF(Tools!$L$49="Use 141 and 1331 rules",BG34," "))</f>
        <v xml:space="preserve">  </v>
      </c>
      <c r="AF33" s="63"/>
      <c r="AG33" s="63"/>
      <c r="AH33" s="63">
        <f ca="1">Long_Div-AH32</f>
        <v>20</v>
      </c>
      <c r="AI33" s="63"/>
      <c r="AJ33" s="63">
        <f ca="1">AJ32+AJ31</f>
        <v>0</v>
      </c>
      <c r="BE33" s="50" t="s">
        <v>85</v>
      </c>
      <c r="BF33" s="48" t="s">
        <v>86</v>
      </c>
      <c r="BG33" s="65" t="str">
        <f>IFERROR(IF(WL_No="  ","  ",(VLOOKUP(Long_Div/2,AREA_TABLE,Count_WL+1,FALSE))/(B_current*T)),"-")</f>
        <v xml:space="preserve">  </v>
      </c>
    </row>
    <row r="34" spans="1:59" x14ac:dyDescent="0.25">
      <c r="G34" s="45"/>
      <c r="H34" s="46"/>
      <c r="I34" s="490"/>
      <c r="BE34" s="50" t="s">
        <v>88</v>
      </c>
      <c r="BF34" s="48" t="s">
        <v>89</v>
      </c>
      <c r="BG34" s="49" t="str">
        <f>IF(WL_No="  ","  ",CB/CM)</f>
        <v xml:space="preserve">  </v>
      </c>
    </row>
    <row r="35" spans="1:59" x14ac:dyDescent="0.25">
      <c r="G35" s="47" t="s">
        <v>34</v>
      </c>
      <c r="H35" s="48" t="s">
        <v>35</v>
      </c>
      <c r="I35" s="49" t="str">
        <f>IF(WL_No="  ","  ",2/3*h*$D$29)</f>
        <v xml:space="preserve">  </v>
      </c>
    </row>
    <row r="36" spans="1:59" x14ac:dyDescent="0.25">
      <c r="G36" s="47" t="s">
        <v>36</v>
      </c>
      <c r="H36" s="48" t="s">
        <v>37</v>
      </c>
      <c r="I36" s="49" t="str">
        <f>IF(WL_No="  ","  ",2/3*(h^2)*$F$29)</f>
        <v xml:space="preserve">  </v>
      </c>
    </row>
    <row r="37" spans="1:59" x14ac:dyDescent="0.25">
      <c r="G37" s="50" t="s">
        <v>39</v>
      </c>
      <c r="H37" s="48" t="s">
        <v>40</v>
      </c>
      <c r="I37" s="49" t="str">
        <f>IF(WL_No="  ","  ",Mmid/AWP)</f>
        <v xml:space="preserve">  </v>
      </c>
    </row>
    <row r="38" spans="1:59" x14ac:dyDescent="0.25">
      <c r="G38" s="50" t="s">
        <v>42</v>
      </c>
      <c r="H38" s="48" t="s">
        <v>43</v>
      </c>
      <c r="I38" s="49" t="str">
        <f>IF(WL_No="  ","  ",2/3*(h^3)*$G$29)</f>
        <v xml:space="preserve">  </v>
      </c>
    </row>
    <row r="39" spans="1:59" x14ac:dyDescent="0.25">
      <c r="G39" s="51" t="s">
        <v>44</v>
      </c>
      <c r="H39" s="48" t="s">
        <v>45</v>
      </c>
      <c r="I39" s="49" t="str">
        <f>IF(WL_No="  ","  ",2/9*h*$I$29)</f>
        <v xml:space="preserve">  </v>
      </c>
    </row>
    <row r="40" spans="1:59" x14ac:dyDescent="0.25">
      <c r="G40" s="50" t="s">
        <v>47</v>
      </c>
      <c r="H40" s="48" t="s">
        <v>48</v>
      </c>
      <c r="I40" s="49" t="str">
        <f>IF(WL_No="  ","  ",IL-AWP*(LCF^2))</f>
        <v xml:space="preserve">  </v>
      </c>
    </row>
    <row r="41" spans="1:59" x14ac:dyDescent="0.25">
      <c r="G41" s="50" t="s">
        <v>50</v>
      </c>
      <c r="H41" s="48" t="s">
        <v>51</v>
      </c>
      <c r="I41" s="49" t="str">
        <f>IF(WL_No="  ","  ",h/3*$L$29)</f>
        <v xml:space="preserve">  </v>
      </c>
    </row>
    <row r="42" spans="1:59" x14ac:dyDescent="0.25">
      <c r="G42" s="50" t="s">
        <v>52</v>
      </c>
      <c r="H42" s="48" t="s">
        <v>53</v>
      </c>
      <c r="I42" s="49" t="str">
        <f>IF(WL_No="  ","  ",V_Disp*1.025*1.006)</f>
        <v xml:space="preserve">  </v>
      </c>
    </row>
    <row r="43" spans="1:59" x14ac:dyDescent="0.25">
      <c r="G43" s="50" t="s">
        <v>55</v>
      </c>
      <c r="H43" s="48" t="s">
        <v>56</v>
      </c>
      <c r="I43" s="49" t="str">
        <f>IF(WL_No="  ","  ",h/3*$N$29)</f>
        <v xml:space="preserve">  </v>
      </c>
    </row>
    <row r="44" spans="1:59" x14ac:dyDescent="0.25">
      <c r="G44" s="50" t="s">
        <v>57</v>
      </c>
      <c r="H44" s="48" t="s">
        <v>58</v>
      </c>
      <c r="I44" s="49" t="str">
        <f>IF(WL_No="  ","  ",(h^2)/3*$O$29)</f>
        <v xml:space="preserve">  </v>
      </c>
    </row>
    <row r="45" spans="1:59" x14ac:dyDescent="0.25">
      <c r="G45" s="50" t="s">
        <v>60</v>
      </c>
      <c r="H45" s="48" t="s">
        <v>61</v>
      </c>
      <c r="I45" s="49" t="str">
        <f>IF(WL_No="  ","  ",IF/V_Disp)</f>
        <v xml:space="preserve">  </v>
      </c>
    </row>
    <row r="46" spans="1:59" x14ac:dyDescent="0.25">
      <c r="G46" s="50" t="s">
        <v>63</v>
      </c>
      <c r="H46" s="48" t="s">
        <v>64</v>
      </c>
      <c r="I46" s="49" t="str">
        <f>IF(WL_No="  ","  ",IT/V_Disp)</f>
        <v xml:space="preserve">  </v>
      </c>
    </row>
    <row r="47" spans="1:59" x14ac:dyDescent="0.25">
      <c r="G47" s="50" t="s">
        <v>65</v>
      </c>
      <c r="H47" s="48" t="s">
        <v>66</v>
      </c>
      <c r="I47" s="49" t="str">
        <f>IF(WL_No="  ","  ",MT/V_Disp)</f>
        <v xml:space="preserve">  </v>
      </c>
    </row>
    <row r="48" spans="1:59" x14ac:dyDescent="0.25">
      <c r="G48" s="50" t="s">
        <v>67</v>
      </c>
      <c r="H48" s="48" t="s">
        <v>68</v>
      </c>
      <c r="I48" s="49" t="str">
        <f>IF(WL_No="  ","  ",KB+BMT)</f>
        <v xml:space="preserve">  </v>
      </c>
    </row>
    <row r="49" spans="7:9" x14ac:dyDescent="0.25">
      <c r="G49" s="50" t="s">
        <v>69</v>
      </c>
      <c r="H49" s="48" t="s">
        <v>70</v>
      </c>
      <c r="I49" s="49" t="str">
        <f>IF(WL_No="  ","  ",KB+BML)</f>
        <v xml:space="preserve">  </v>
      </c>
    </row>
    <row r="50" spans="7:9" x14ac:dyDescent="0.25">
      <c r="G50" s="50" t="s">
        <v>71</v>
      </c>
      <c r="H50" s="48" t="s">
        <v>72</v>
      </c>
      <c r="I50" s="49" t="str">
        <f>IF(WL_No="  ","  ",AWP*1.025/100)</f>
        <v xml:space="preserve">  </v>
      </c>
    </row>
    <row r="51" spans="7:9" x14ac:dyDescent="0.25">
      <c r="G51" s="50" t="s">
        <v>73</v>
      </c>
      <c r="H51" s="48" t="s">
        <v>74</v>
      </c>
      <c r="I51" s="49" t="str">
        <f>IF(WL_No="  ","  ",ML/V_Disp)</f>
        <v xml:space="preserve">  </v>
      </c>
    </row>
    <row r="52" spans="7:9" x14ac:dyDescent="0.25">
      <c r="G52" s="50" t="s">
        <v>75</v>
      </c>
      <c r="H52" s="55" t="s">
        <v>76</v>
      </c>
      <c r="I52" s="49" t="str">
        <f>IF(WL_No="  ","  ",M_Disp*BML/100/LBP)</f>
        <v xml:space="preserve">  </v>
      </c>
    </row>
    <row r="53" spans="7:9" x14ac:dyDescent="0.25">
      <c r="G53" s="50" t="s">
        <v>78</v>
      </c>
      <c r="H53" s="48" t="s">
        <v>79</v>
      </c>
      <c r="I53" s="49" t="str">
        <f>IF(WL_No="  ","  ",WLS*WL_No)</f>
        <v xml:space="preserve">  </v>
      </c>
    </row>
    <row r="54" spans="7:9" x14ac:dyDescent="0.25">
      <c r="G54" s="50" t="s">
        <v>80</v>
      </c>
      <c r="H54" s="48" t="s">
        <v>81</v>
      </c>
      <c r="I54" s="49" t="str">
        <f>IF(WL_No="  ","  ",AWP/(LBP*B_current))</f>
        <v xml:space="preserve">  </v>
      </c>
    </row>
    <row r="55" spans="7:9" x14ac:dyDescent="0.25">
      <c r="G55" s="50" t="s">
        <v>82</v>
      </c>
      <c r="H55" s="48" t="s">
        <v>83</v>
      </c>
      <c r="I55" s="49" t="str">
        <f>IF(WL_No="  ","  ",V_Disp/(LBP*B_current*T))</f>
        <v xml:space="preserve">  </v>
      </c>
    </row>
    <row r="56" spans="7:9" x14ac:dyDescent="0.25">
      <c r="G56" s="50" t="s">
        <v>85</v>
      </c>
      <c r="H56" s="48" t="s">
        <v>86</v>
      </c>
      <c r="I56" s="65" t="str">
        <f>IF(WL_No="  ","  ",(VLOOKUP(Long_Div/2,AREA_TABLE,Count_WL+1,FALSE))/(B_current*T))</f>
        <v xml:space="preserve">  </v>
      </c>
    </row>
    <row r="57" spans="7:9" x14ac:dyDescent="0.25">
      <c r="G57" s="50" t="s">
        <v>88</v>
      </c>
      <c r="H57" s="48" t="s">
        <v>89</v>
      </c>
      <c r="I57" s="49" t="str">
        <f>IF(WL_No="  ","  ",CB/CM)</f>
        <v xml:space="preserve">  </v>
      </c>
    </row>
  </sheetData>
  <mergeCells count="7">
    <mergeCell ref="BG10:BG11"/>
    <mergeCell ref="I33:I34"/>
    <mergeCell ref="A2:I2"/>
    <mergeCell ref="K2:O2"/>
    <mergeCell ref="AO2:AW2"/>
    <mergeCell ref="AY2:BC2"/>
    <mergeCell ref="S9:S10"/>
  </mergeCells>
  <conditionalFormatting sqref="CB4:XFD30 BW4:BW28 BS4:BT28 W29:AX29 A33:F57 J33:R33 A11:R32 A2:T10 V2:AO2 AX2 BP29:BW29 A63:XFD1048576 T12:T37 U35:XFD37 BD2:BD29 BM31:XFD33 BM30:BW30 BH29:BI33 BH2:XFD3 U30:BD30 AR31:BD31 W3:AM28 A58:BD62 BH38:XFD62 J34:S37 BH34:XFD34 A1:AN1 AV1:XFD1 AO31:AP31 U33:BD34 AM31 U31:AG32 AK32:BD32 AO3:AX26 J43:BD57 J42:M42 O42:BD42 J38:BD41 AO27:AO28 AQ27:AX28">
    <cfRule type="containsErrors" dxfId="409" priority="14">
      <formula>ISERROR(A1)</formula>
    </cfRule>
  </conditionalFormatting>
  <conditionalFormatting sqref="G33:I34 G35:H57">
    <cfRule type="containsErrors" dxfId="408" priority="13">
      <formula>ISERROR(G33)</formula>
    </cfRule>
  </conditionalFormatting>
  <conditionalFormatting sqref="T12:T33">
    <cfRule type="containsErrors" dxfId="407" priority="12">
      <formula>ISERROR(T12)</formula>
    </cfRule>
  </conditionalFormatting>
  <conditionalFormatting sqref="I35:I57">
    <cfRule type="containsErrors" dxfId="406" priority="11">
      <formula>ISERROR(I35)</formula>
    </cfRule>
  </conditionalFormatting>
  <conditionalFormatting sqref="AY2:BC29">
    <cfRule type="containsErrors" dxfId="405" priority="8">
      <formula>ISERROR(AY2)</formula>
    </cfRule>
  </conditionalFormatting>
  <conditionalFormatting sqref="BE10:BG11 BE12:BF34">
    <cfRule type="containsErrors" dxfId="404" priority="10">
      <formula>ISERROR(BE10)</formula>
    </cfRule>
  </conditionalFormatting>
  <conditionalFormatting sqref="BG12:BG28 BG34">
    <cfRule type="containsErrors" dxfId="403" priority="9">
      <formula>ISERROR(BG12)</formula>
    </cfRule>
  </conditionalFormatting>
  <conditionalFormatting sqref="BE2:BG6">
    <cfRule type="containsErrors" dxfId="402" priority="7">
      <formula>ISERROR(BE2)</formula>
    </cfRule>
  </conditionalFormatting>
  <conditionalFormatting sqref="BF7:BG8">
    <cfRule type="containsErrors" dxfId="401" priority="5">
      <formula>ISERROR(BF7)</formula>
    </cfRule>
  </conditionalFormatting>
  <conditionalFormatting sqref="BE7:BE8">
    <cfRule type="containsErrors" dxfId="400" priority="6">
      <formula>ISERROR(BE7)</formula>
    </cfRule>
  </conditionalFormatting>
  <conditionalFormatting sqref="S30:S33">
    <cfRule type="containsErrors" dxfId="399" priority="4">
      <formula>ISERROR(S30)</formula>
    </cfRule>
  </conditionalFormatting>
  <conditionalFormatting sqref="AP27:AP28">
    <cfRule type="containsErrors" dxfId="398" priority="3">
      <formula>ISERROR(AP27)</formula>
    </cfRule>
  </conditionalFormatting>
  <conditionalFormatting sqref="BG29:BG32">
    <cfRule type="containsErrors" dxfId="397" priority="2">
      <formula>ISERROR(BG29)</formula>
    </cfRule>
  </conditionalFormatting>
  <conditionalFormatting sqref="BG33">
    <cfRule type="containsErrors" dxfId="396" priority="1">
      <formula>ISERROR(BG33)</formula>
    </cfRule>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4" tint="0.79998168889431442"/>
  </sheetPr>
  <dimension ref="A1:BH57"/>
  <sheetViews>
    <sheetView topLeftCell="AG1" zoomScale="55" zoomScaleNormal="55" workbookViewId="0">
      <pane ySplit="1" topLeftCell="A29" activePane="bottomLeft" state="frozen"/>
      <selection activeCell="AG8" sqref="AG8:AG10"/>
      <selection pane="bottomLeft" activeCell="AG8" sqref="AG8:AG10"/>
    </sheetView>
  </sheetViews>
  <sheetFormatPr defaultRowHeight="15" x14ac:dyDescent="0.25"/>
  <cols>
    <col min="1" max="1" width="8.28515625" customWidth="1"/>
    <col min="2" max="2" width="7.28515625" customWidth="1"/>
    <col min="4" max="4" width="6.5703125" customWidth="1"/>
    <col min="7" max="7" width="24" customWidth="1"/>
    <col min="8" max="8" width="30.5703125" customWidth="1"/>
    <col min="9" max="9" width="26.5703125" customWidth="1"/>
    <col min="10" max="10" width="10.5703125" bestFit="1" customWidth="1"/>
    <col min="11" max="11" width="9.140625" customWidth="1"/>
    <col min="13" max="13" width="7.85546875" customWidth="1"/>
    <col min="17" max="17" width="19.5703125" customWidth="1"/>
    <col min="18" max="18" width="11.85546875" customWidth="1"/>
    <col min="19" max="19" width="16.5703125" customWidth="1"/>
    <col min="20" max="20" width="14.140625" customWidth="1"/>
    <col min="35" max="35" width="14" customWidth="1"/>
    <col min="36" max="37" width="12" customWidth="1"/>
    <col min="39" max="39" width="19" customWidth="1"/>
    <col min="43" max="43" width="18" style="7" customWidth="1"/>
    <col min="49" max="49" width="11.28515625" customWidth="1"/>
    <col min="52" max="52" width="12" customWidth="1"/>
    <col min="54" max="54" width="10.7109375" bestFit="1" customWidth="1"/>
    <col min="56" max="56" width="4.5703125" customWidth="1"/>
    <col min="57" max="57" width="21.28515625" customWidth="1"/>
    <col min="58" max="58" width="15.42578125" customWidth="1"/>
    <col min="59" max="59" width="19.28515625" customWidth="1"/>
    <col min="61" max="61" width="5.7109375" customWidth="1"/>
    <col min="62" max="62" width="13" customWidth="1"/>
    <col min="63" max="63" width="17.42578125" customWidth="1"/>
  </cols>
  <sheetData>
    <row r="1" spans="1:60" x14ac:dyDescent="0.25">
      <c r="A1" s="1" t="s">
        <v>0</v>
      </c>
      <c r="B1" s="2" t="str">
        <f>VLOOKUP(Stn_WL,OFFSET_A,Count_WL+1,FALSE)</f>
        <v xml:space="preserve">  </v>
      </c>
      <c r="C1" s="3"/>
      <c r="D1" s="4"/>
      <c r="E1" s="4" t="s">
        <v>1</v>
      </c>
      <c r="F1" s="5">
        <v>20</v>
      </c>
      <c r="G1" s="4"/>
      <c r="H1" s="4"/>
      <c r="I1" s="4"/>
      <c r="J1" s="4"/>
      <c r="K1" s="4"/>
      <c r="L1" s="4"/>
      <c r="M1" s="4"/>
      <c r="N1" s="4"/>
      <c r="O1" s="4"/>
      <c r="P1" s="4"/>
      <c r="Q1" s="4"/>
      <c r="R1" s="4"/>
      <c r="S1" s="4"/>
      <c r="V1" t="s">
        <v>2</v>
      </c>
      <c r="W1">
        <f ca="1">COUNTIF(OFFSET(Z4,,,ROUNDDOWN(Max_STN_count/2+1,0),1),TRUE)</f>
        <v>5</v>
      </c>
      <c r="X1">
        <f ca="1">COUNTIF(OFFSET(AA4,,,ROUNDDOWN(Max_STN_count/2+1,0),1),TRUE)</f>
        <v>5</v>
      </c>
      <c r="Y1">
        <f ca="1">W1-X1</f>
        <v>0</v>
      </c>
      <c r="AB1" s="6" t="s">
        <v>3</v>
      </c>
      <c r="AC1">
        <f ca="1">COUNTIF(OFFSET(Z4,ROUNDUP(Max_STN_count/2,0),,ROUNDDOWN(Max_STN_count/2,0),1),TRUE)</f>
        <v>5</v>
      </c>
      <c r="AD1">
        <f ca="1">COUNTIF(OFFSET(AA4,ROUNDUP(Max_STN_count/2,0),,ROUNDDOWN(Max_STN_count/2,0),1),TRUE)</f>
        <v>5</v>
      </c>
      <c r="AE1">
        <f ca="1">AC1-AD1</f>
        <v>0</v>
      </c>
      <c r="AG1" t="s">
        <v>4</v>
      </c>
      <c r="AH1">
        <f>COUNTIF(AG4:AG28,TRUE)</f>
        <v>17</v>
      </c>
      <c r="AI1">
        <f ca="1">COUNTIF(OFFSET(AG4,,,ROUNDUP(Max_STN_count/2,0),1),FALSE)</f>
        <v>4</v>
      </c>
      <c r="AW1">
        <f ca="1">COUNTIF(OFFSET(AG4,,,Max_STN_count,1),TRUE)</f>
        <v>17</v>
      </c>
    </row>
    <row r="2" spans="1:60" x14ac:dyDescent="0.25">
      <c r="A2" s="491" t="s">
        <v>5</v>
      </c>
      <c r="B2" s="492"/>
      <c r="C2" s="492"/>
      <c r="D2" s="492"/>
      <c r="E2" s="492"/>
      <c r="F2" s="492"/>
      <c r="G2" s="492"/>
      <c r="H2" s="492"/>
      <c r="I2" s="493"/>
      <c r="J2" s="4"/>
      <c r="K2" s="491" t="s">
        <v>6</v>
      </c>
      <c r="L2" s="492"/>
      <c r="M2" s="492"/>
      <c r="N2" s="492"/>
      <c r="O2" s="493"/>
      <c r="P2" s="4"/>
      <c r="Q2" s="8" t="s">
        <v>7</v>
      </c>
      <c r="R2" s="9" t="s">
        <v>8</v>
      </c>
      <c r="S2" s="10">
        <f>WLS</f>
        <v>2</v>
      </c>
      <c r="V2" s="11"/>
      <c r="W2" s="11"/>
      <c r="X2" s="11"/>
      <c r="Y2" s="11"/>
      <c r="Z2" s="11"/>
      <c r="AA2" s="11"/>
      <c r="AB2" s="11"/>
      <c r="AC2" s="11"/>
      <c r="AD2" s="11"/>
      <c r="AE2" s="11"/>
      <c r="AF2" s="11"/>
      <c r="AG2" s="11"/>
      <c r="AH2" s="11"/>
      <c r="AI2" s="11"/>
      <c r="AJ2" s="11"/>
      <c r="AK2" s="11"/>
      <c r="AL2" s="11"/>
      <c r="AM2" s="11"/>
      <c r="AN2" s="11"/>
      <c r="AO2" s="491" t="s">
        <v>5</v>
      </c>
      <c r="AP2" s="492"/>
      <c r="AQ2" s="492"/>
      <c r="AR2" s="492"/>
      <c r="AS2" s="492"/>
      <c r="AT2" s="492"/>
      <c r="AU2" s="492"/>
      <c r="AV2" s="492"/>
      <c r="AW2" s="493"/>
      <c r="AY2" s="491" t="s">
        <v>6</v>
      </c>
      <c r="AZ2" s="492"/>
      <c r="BA2" s="492"/>
      <c r="BB2" s="492"/>
      <c r="BC2" s="493"/>
      <c r="BE2" s="8" t="s">
        <v>7</v>
      </c>
      <c r="BF2" s="9" t="s">
        <v>8</v>
      </c>
      <c r="BG2" s="10">
        <f>WLS</f>
        <v>2</v>
      </c>
    </row>
    <row r="3" spans="1:60" x14ac:dyDescent="0.25">
      <c r="A3" s="12" t="s">
        <v>9</v>
      </c>
      <c r="B3" s="13" t="s">
        <v>10</v>
      </c>
      <c r="C3" s="14" t="s">
        <v>11</v>
      </c>
      <c r="D3" s="14" t="s">
        <v>12</v>
      </c>
      <c r="E3" s="14" t="s">
        <v>13</v>
      </c>
      <c r="F3" s="14" t="s">
        <v>14</v>
      </c>
      <c r="G3" s="14" t="s">
        <v>15</v>
      </c>
      <c r="H3" s="14" t="s">
        <v>16</v>
      </c>
      <c r="I3" s="14" t="s">
        <v>17</v>
      </c>
      <c r="J3" s="15"/>
      <c r="K3" s="14" t="s">
        <v>18</v>
      </c>
      <c r="L3" s="14" t="s">
        <v>19</v>
      </c>
      <c r="M3" s="14" t="s">
        <v>20</v>
      </c>
      <c r="N3" s="14" t="s">
        <v>21</v>
      </c>
      <c r="O3" s="14" t="s">
        <v>22</v>
      </c>
      <c r="P3" s="15"/>
      <c r="Q3" s="16" t="s">
        <v>23</v>
      </c>
      <c r="R3" s="9" t="s">
        <v>8</v>
      </c>
      <c r="S3" s="10">
        <f>STN_GAP</f>
        <v>7.31</v>
      </c>
      <c r="W3" s="17" t="s">
        <v>11</v>
      </c>
      <c r="X3" s="17"/>
      <c r="Y3" s="17"/>
      <c r="Z3" s="17" t="s">
        <v>24</v>
      </c>
      <c r="AA3" s="17"/>
      <c r="AB3" s="17"/>
      <c r="AC3" s="17"/>
      <c r="AD3" s="17"/>
      <c r="AE3" s="17"/>
      <c r="AF3" s="17"/>
      <c r="AG3" s="17" t="s">
        <v>4</v>
      </c>
      <c r="AH3" s="17"/>
      <c r="AI3" s="17" t="s">
        <v>25</v>
      </c>
      <c r="AJ3" s="17"/>
      <c r="AK3" s="17"/>
      <c r="AL3" s="17"/>
      <c r="AM3" s="18" t="s">
        <v>11</v>
      </c>
      <c r="AO3" s="12" t="s">
        <v>9</v>
      </c>
      <c r="AP3" s="13" t="s">
        <v>10</v>
      </c>
      <c r="AQ3" s="19"/>
      <c r="AR3" s="14" t="s">
        <v>12</v>
      </c>
      <c r="AS3" s="14" t="s">
        <v>13</v>
      </c>
      <c r="AT3" s="14" t="s">
        <v>14</v>
      </c>
      <c r="AU3" s="14" t="s">
        <v>15</v>
      </c>
      <c r="AV3" s="14" t="s">
        <v>16</v>
      </c>
      <c r="AW3" s="14" t="s">
        <v>17</v>
      </c>
      <c r="AY3" s="14" t="s">
        <v>18</v>
      </c>
      <c r="AZ3" s="14" t="s">
        <v>19</v>
      </c>
      <c r="BA3" s="14" t="s">
        <v>20</v>
      </c>
      <c r="BB3" s="14" t="s">
        <v>21</v>
      </c>
      <c r="BC3" s="14" t="s">
        <v>22</v>
      </c>
      <c r="BE3" s="16" t="s">
        <v>23</v>
      </c>
      <c r="BF3" s="9" t="s">
        <v>8</v>
      </c>
      <c r="BG3" s="10">
        <f>STN_GAP</f>
        <v>7.31</v>
      </c>
    </row>
    <row r="4" spans="1:60" x14ac:dyDescent="0.25">
      <c r="A4" s="20">
        <f>Tools!$AD3</f>
        <v>0</v>
      </c>
      <c r="B4" s="21" t="str">
        <f t="shared" ref="B4:B28" si="0">VLOOKUP(A4,OFFSET_A,Count_WL+1,FALSE)</f>
        <v xml:space="preserve">  </v>
      </c>
      <c r="C4" s="22">
        <f>IF(A4="  ","  ",IF(A5="  ","?",1*(A5-A4)))</f>
        <v>0.5</v>
      </c>
      <c r="D4" s="23" t="str">
        <f>IFERROR(B4*C4,"  ")</f>
        <v xml:space="preserve">  </v>
      </c>
      <c r="E4" s="24">
        <f t="shared" ref="E4:E28" si="1">IFERROR(A4-(Long_Div/2),"  ")</f>
        <v>-10</v>
      </c>
      <c r="F4" s="23" t="str">
        <f>IFERROR(D4*E4,"  ")</f>
        <v xml:space="preserve">  </v>
      </c>
      <c r="G4" s="23" t="str">
        <f>IFERROR(F4*E4,"  ")</f>
        <v xml:space="preserve">  </v>
      </c>
      <c r="H4" s="23" t="str">
        <f>IFERROR(B4^3,"  ")</f>
        <v xml:space="preserve">  </v>
      </c>
      <c r="I4" s="23" t="str">
        <f>IFERROR(H4*C4,"  ")</f>
        <v xml:space="preserve">  </v>
      </c>
      <c r="J4" s="4"/>
      <c r="K4" s="25" t="str">
        <f t="shared" ref="K4:K28" si="2">VLOOKUP(A4,AREA_TABLE,Count_WL+1,FALSE)</f>
        <v xml:space="preserve"> </v>
      </c>
      <c r="L4" s="23" t="str">
        <f>IFERROR(K4*C4,"  ")</f>
        <v xml:space="preserve">  </v>
      </c>
      <c r="M4" s="26" t="str">
        <f t="shared" ref="M4:M28" si="3">VLOOKUP(A4,MOMENT_TABLE,Count_WL+1,FALSE)</f>
        <v xml:space="preserve"> </v>
      </c>
      <c r="N4" s="27" t="str">
        <f>IFERROR(M4*C4,"  ")</f>
        <v xml:space="preserve">  </v>
      </c>
      <c r="O4" s="23" t="str">
        <f>IFERROR(L4*E4,"  ")</f>
        <v xml:space="preserve">  </v>
      </c>
      <c r="P4" s="4"/>
      <c r="Q4" s="16" t="s">
        <v>26</v>
      </c>
      <c r="R4" s="9" t="s">
        <v>8</v>
      </c>
      <c r="S4" s="28">
        <f>LBP</f>
        <v>146.19999999999999</v>
      </c>
      <c r="W4" s="29">
        <f>IF(AO4="  ","  ",IF(AO5="  ","?",1*(AO5-AO4)))</f>
        <v>0.5</v>
      </c>
      <c r="X4" s="30" t="str">
        <f t="shared" ref="X4:X28" si="4">IF(Y4=0,"--",CONCATENATE(IF(AO4=0,"-",IF(Y3=0,"-",IF(AO4-AO3=0.5,"D",IF(AO4-AO3=1,"W","-")))),IF(AO4=Long_Div,"-",IF(Y5=0,"-",IF(AO5-AO4=0.5,"D",IF(AO5-AO4=1,"W","-"))))))</f>
        <v>-D</v>
      </c>
      <c r="Y4" s="30" t="str">
        <f t="shared" ref="Y4:Y28" si="5">IF(ISNUMBER(AO4),IF(AO4=Long_Div/2,"-",IF(AND(AO4=Long_Div,$AP4=0,$AP3=0),0,IF(AND(AO4=0,$AP4=0,$AP5=0),0,IF($AO4&lt;Long_Div/2,IF(AND(Y3=0,$AP4=0,$AP5=0),0,"-"),IF(AND(Y5=0,$AP4=0,$AP3=0),0,"-")))))," ")</f>
        <v>-</v>
      </c>
      <c r="Z4" s="29" t="b">
        <f t="shared" ref="Z4:Z28" si="6">IF(ISNUMBER(AO4),IF(AO4=0,IF(AO5=0.5,TRUE,FALSE),IF(AO4=Long_Div,IF(AO3=Long_Div-0.5,TRUE,FALSE),IF(OR(AO5-AO4=0.5,AO4-AO3=0.5),TRUE,FALSE)))," ")</f>
        <v>1</v>
      </c>
      <c r="AA4" s="29" t="b">
        <f t="shared" ref="AA4:AA28" si="7">IF(ISNUMBER(AO4),IF(Y4=0," ",IF(AO4=0,IF(AO5=0.5,TRUE,"-"),IF(AO4=Long_Div,IF(AO3=Long_Div-0.5,TRUE,"-"),IF(OR(AO5-AO4=0.5,AO4-AO3=0.5),TRUE,FALSE))))," ")</f>
        <v>1</v>
      </c>
      <c r="AB4" s="29" t="str">
        <f t="shared" ref="AB4:AB28" ca="1" si="8">IF(AO4&lt;=Long_Div/2,IF(ISNUMBER(AO4),IF($X$1=0,"---",IF($X$1=1,"##",IF($X$1=2,IF(AD4=1,"141-4",IF(OR(AD4=0,AD4=2),"141-1","**")),IF(AC4&lt;=($Y$1),"--",IF(AC4&gt;$W$1,"++",IF(ISODD($X$1),IF(OR(AD4=1,AD4=$X$1),"141-1",IF(ISODD(AD4),"141-2",IF(ISEVEN(AD4),"141-4","+"))),IF(ISEVEN($X$1),IF(AD4=1,"1331-1",IF(OR(AD4=2,AD4=3),"1331-3",IF(AD4=4,IF($X$1=4,"1331-1","1331-1,141-1"),IF(AD4=$X$1,"141-1",IF(AD4&lt;=4,"??",IF(ISODD(AD4),"141-4",IF(ISEVEN(AD4),"141-2","SS"))))))))))))))," "),IF(AO4&gt;Long_Div/2,IF(ISNUMBER(AO4),IF($AD$1=0,"---",IF($AD$1=1,"##",IF($AD$1=2,IF(AD4=1,"141-4",IF(OR(AD4=0,AD4=2),"141-1","**")),IF(AC4&lt;=($AE$1),"--",IF(AC4&gt;$AC$1,"++",IF(ISODD($AD$1),IF(OR(AD4=1,AD4=$AD$1),"141-1",IF(ISODD(AD4),"141-2",IF(ISEVEN(AD4),"141-4","+"))),IF(ISEVEN($AD$1),IF(AD4=1,"1331-1",IF(OR(AD4=2,AD4=3),"1331-3",IF(AD4=4,IF($AD$1=4,"1331-1","1331-1,141-1"),IF(AD4=$AD$1,"141-1",IF(AD4&lt;=4,"??",IF(ISODD(AD4),"141-4",IF(ISEVEN(AD4),"141-2","SS"))))))))))))))," "),"@"))</f>
        <v>141-1</v>
      </c>
      <c r="AC4" s="29">
        <f>IF(ISNUMBER(AO4),IF(ISNUMBER(AO4),IF(OR(AO4=0,AO4=Long_Div),1,IF(AO4&gt;Long_Div/2,AC5+1,IF(AO4&lt;=Long_Div/2,AE3+1,"?")))," --")," ")</f>
        <v>1</v>
      </c>
      <c r="AD4" s="29">
        <f t="shared" ref="AD4:AD28" ca="1" si="9">IF(ISNUMBER(AO4),IF(AO4&gt;Long_Div/2,4-ROW(AD4)+Max_STN_count-$AE$1,ROW(AD4)-3-$Y$1)," ")</f>
        <v>1</v>
      </c>
      <c r="AE4" s="29">
        <v>1</v>
      </c>
      <c r="AF4" s="31" t="str">
        <f t="shared" ref="AF4:AF8" si="10">IF(AND(AG4=TRUE,OR(NOT(AG3=TRUE),AG3="Full")),1,IF(ISNUMBER(AF3),AF3+1," "))</f>
        <v xml:space="preserve"> </v>
      </c>
      <c r="AG4" s="29" t="b">
        <f t="shared" ref="AG4:AG28" si="11">IF(ISNUMBER(AO4),IF(AA4=" "," ",IF(AO4=0,IF(AO5-AO4=1,TRUE,FALSE),IF(AO4=Long_Div,IF(AO4-AO3=1,TRUE,FALSE),IF(OR(AO5-AO4=1,AO4-AO3=1),TRUE,FALSE))))," ")</f>
        <v>0</v>
      </c>
      <c r="AH4" s="30" t="str">
        <f t="shared" ref="AH4:AH13" si="12">IF(AND(AG4=TRUE,$AH$1=1),"141-4",IF(AG4=" ",IF(AND($AH$1=2,AF4=3),"141-1","-"),IF(OR(AG4=FALSE,AG4=" "),"-",IF(AG4=TRUE,IF(AND($AH$1=2,AF4=1),"141-1",IF(AND($AH$1=2,AF4=2),"141-4",IF(OR(ISODD($AH$1),AF4&gt;4),IF(AF4=1,"141-1",IF(OR(AB4="141-1",AB4="1331-1",AB4="1331-1,141-1"),"141-1",IF(AG5=" ","141-1",IF(OR(AH3="141-1",AH3="141-2",AH3="1331-1,141-1"),"141-4",IF(AH3="141-4","141-2","$$"))))),IF(ISEVEN($AH$1),IF(AF4=1,"1331-1",IF(OR(AF4=2,AF4=3),"1331-3",IF(AF4=4,IF($AH$1=4,"1331-1","1331-1,141-1"),"")))))))))))</f>
        <v>-</v>
      </c>
      <c r="AI4" s="30" t="str">
        <f t="shared" ref="AI4:AI28" ca="1" si="13">IF(OR(AB4="1331-1",AB4="1331-1,141-1"),"(1/2)*(3/8)",IF(AB4="1331-3","(1/2)*(9/8)",IF(AB4="141-1","(1/2)*(1/3)",IF(AB4="141-2","(1/2)*(2/3)",IF(AB4="141-4","(1/2)*(4/3)","")))))</f>
        <v>(1/2)*(1/3)</v>
      </c>
      <c r="AJ4" s="29">
        <f t="shared" ref="AJ4:AJ28" ca="1" si="14">IF(OR(AB4="1331-1",AB4="1331-1,141-1"),(1/2)*(3/8),IF(AB4="1331-3",(1/2)*(9/8),IF(AB4="141-1",(1/2)*(1/3),IF(AB4="141-2",(1/2)*(2/3),IF(AB4="141-4",(1/2)*(4/3),0)))))</f>
        <v>0.16666666666666666</v>
      </c>
      <c r="AK4" s="29" t="str">
        <f t="shared" ref="AK4:AK28" si="15">IF(AH4="1331-1,141-1","(1*3/8)+(1/3)",IF(LEFT(AH4,4)="141-",CONCATENATE(RIGHT(AH4,1),"/3"),IF(LEFT(AH4,4)="1331",CONCATENATE(RIGHT(AH4,1),"*3/8"),"")))</f>
        <v/>
      </c>
      <c r="AL4" s="29">
        <f t="shared" ref="AL4:AL28" si="16">IF(AH4="1331-1,141-1",(1*3/8)+(1/3),IF(LEFT(AH4,4)="141-",(RIGHT(AH4,1)/3),IF(LEFT(AH4,4)="1331",RIGHT(AH4,1)*3/8,0)))</f>
        <v>0</v>
      </c>
      <c r="AM4" s="32">
        <f ca="1">IF(AQ4=""," ",AJ4+AL4)</f>
        <v>0.16666666666666666</v>
      </c>
      <c r="AO4" s="20">
        <f>Tools!$AD3</f>
        <v>0</v>
      </c>
      <c r="AP4" s="33" t="str">
        <f t="shared" ref="AP4" si="17">VLOOKUP(AO4,OFFSET_A,Count_WL+1,FALSE)</f>
        <v xml:space="preserve">  </v>
      </c>
      <c r="AQ4" s="34" t="str">
        <f t="shared" ref="AQ4:AQ28" ca="1" si="18">CONCATENATE(AI4,IF(NOT(OR(AI4="",AK4="")),"+",""),AK4)</f>
        <v>(1/2)*(1/3)</v>
      </c>
      <c r="AR4" s="23" t="str">
        <f t="shared" ref="AR4:AR28" ca="1" si="19">IFERROR(AP4*AM4,"  ")</f>
        <v xml:space="preserve">  </v>
      </c>
      <c r="AS4" s="24">
        <f t="shared" ref="AS4:AS28" si="20">IFERROR(AO4-(Long_Div/2),"  ")</f>
        <v>-10</v>
      </c>
      <c r="AT4" s="23" t="str">
        <f ca="1">IFERROR(AR4*AS4,"  ")</f>
        <v xml:space="preserve">  </v>
      </c>
      <c r="AU4" s="23" t="str">
        <f ca="1">IFERROR(AT4*AS4,"  ")</f>
        <v xml:space="preserve">  </v>
      </c>
      <c r="AV4" s="23" t="str">
        <f t="shared" ref="AV4:AV28" si="21">IFERROR(AP4^3,"  ")</f>
        <v xml:space="preserve">  </v>
      </c>
      <c r="AW4" s="23" t="str">
        <f t="shared" ref="AW4:AW28" ca="1" si="22">IFERROR(AV4*AM4,"  ")</f>
        <v xml:space="preserve">  </v>
      </c>
      <c r="AY4" s="35" t="str">
        <f t="shared" ref="AY4:AY28" si="23">IF(ROW(AY4)-3&gt;Max_STN_count," ",VLOOKUP(AO4,AREA_TABLE,Count_WL+1,FALSE))</f>
        <v xml:space="preserve"> </v>
      </c>
      <c r="AZ4" s="23" t="str">
        <f t="shared" ref="AZ4:AZ7" ca="1" si="24">IFERROR(AY4*AM4,"  ")</f>
        <v xml:space="preserve">  </v>
      </c>
      <c r="BA4" s="36" t="str">
        <f t="shared" ref="BA4:BA28" si="25">IF(ROW(AY4)-3&gt;Max_STN_count," ",VLOOKUP(AO4,MOMENT_TABLE,Count_WL+1,FALSE))</f>
        <v xml:space="preserve"> </v>
      </c>
      <c r="BB4" s="27" t="str">
        <f ca="1">IFERROR(BA4*AM4,"  ")</f>
        <v xml:space="preserve">  </v>
      </c>
      <c r="BC4" s="23" t="str">
        <f ca="1">IFERROR(AZ4*AS4,"  ")</f>
        <v xml:space="preserve">  </v>
      </c>
      <c r="BE4" s="16" t="s">
        <v>26</v>
      </c>
      <c r="BF4" s="9" t="s">
        <v>8</v>
      </c>
      <c r="BG4" s="28">
        <f>LBP</f>
        <v>146.19999999999999</v>
      </c>
    </row>
    <row r="5" spans="1:60" x14ac:dyDescent="0.25">
      <c r="A5" s="20">
        <f>Tools!$AD4</f>
        <v>0.5</v>
      </c>
      <c r="B5" s="33" t="str">
        <f t="shared" si="0"/>
        <v xml:space="preserve">  </v>
      </c>
      <c r="C5" s="22">
        <f>IF(A5="  ","  ",IF(AND(A4="  ",A6="  "),"?",IF(A4="  ",2*(A6-A5),IF(A6="  ",2*(A5-A4),2*(A6-A4)))))</f>
        <v>2</v>
      </c>
      <c r="D5" s="23" t="str">
        <f t="shared" ref="D5:D28" si="26">IFERROR(B5*C5,"  ")</f>
        <v xml:space="preserve">  </v>
      </c>
      <c r="E5" s="24">
        <f t="shared" si="1"/>
        <v>-9.5</v>
      </c>
      <c r="F5" s="23" t="str">
        <f t="shared" ref="F5:F28" si="27">IFERROR(D5*E5,"  ")</f>
        <v xml:space="preserve">  </v>
      </c>
      <c r="G5" s="23" t="str">
        <f t="shared" ref="G5:G28" si="28">IFERROR(F5*E5,"  ")</f>
        <v xml:space="preserve">  </v>
      </c>
      <c r="H5" s="23" t="str">
        <f t="shared" ref="H5:H28" si="29">IFERROR(B5^3,"  ")</f>
        <v xml:space="preserve">  </v>
      </c>
      <c r="I5" s="23" t="str">
        <f t="shared" ref="I5:I28" si="30">IFERROR(H5*C5,"  ")</f>
        <v xml:space="preserve">  </v>
      </c>
      <c r="J5" s="4"/>
      <c r="K5" s="37" t="str">
        <f t="shared" si="2"/>
        <v xml:space="preserve"> </v>
      </c>
      <c r="L5" s="23" t="str">
        <f t="shared" ref="L5:L28" si="31">IFERROR(K5*C5,"  ")</f>
        <v xml:space="preserve">  </v>
      </c>
      <c r="M5" s="38" t="str">
        <f t="shared" si="3"/>
        <v xml:space="preserve"> </v>
      </c>
      <c r="N5" s="27" t="str">
        <f t="shared" ref="N5:N28" si="32">IFERROR(M5*C5,"  ")</f>
        <v xml:space="preserve">  </v>
      </c>
      <c r="O5" s="23" t="str">
        <f t="shared" ref="O5:O28" si="33">IFERROR(L5*E5,"  ")</f>
        <v xml:space="preserve">  </v>
      </c>
      <c r="P5" s="4"/>
      <c r="Q5" s="8" t="s">
        <v>27</v>
      </c>
      <c r="R5" s="9" t="s">
        <v>8</v>
      </c>
      <c r="S5" s="10">
        <f>BREADTH</f>
        <v>22</v>
      </c>
      <c r="W5" s="29">
        <f>IF(AO5="  ","  ",IF(AND(AO4="  ",AO6="  "),"?",IF(AO4="  ",2*(AO6-AO5),IF(AO6="  ",2*(AO5-AO4),2*(AO6-AO4)))))</f>
        <v>2</v>
      </c>
      <c r="X5" s="30" t="str">
        <f t="shared" si="4"/>
        <v>DD</v>
      </c>
      <c r="Y5" s="30" t="str">
        <f t="shared" si="5"/>
        <v>-</v>
      </c>
      <c r="Z5" s="29" t="b">
        <f t="shared" si="6"/>
        <v>1</v>
      </c>
      <c r="AA5" s="29" t="b">
        <f t="shared" si="7"/>
        <v>1</v>
      </c>
      <c r="AB5" s="29" t="str">
        <f t="shared" ca="1" si="8"/>
        <v>141-4</v>
      </c>
      <c r="AC5" s="29">
        <f t="shared" ref="AC5:AC27" si="34">IF(ISNUMBER(AO5),IF(ISNUMBER(AO5),IF(OR(AO5=0,AO5=Long_Div),1,IF(AO5&gt;Long_Div/2,AC6+1,IF(AO5&lt;=Long_Div/2,AC4+1,"?")))," --")," ")</f>
        <v>2</v>
      </c>
      <c r="AD5" s="29">
        <f t="shared" ca="1" si="9"/>
        <v>2</v>
      </c>
      <c r="AE5" s="29">
        <v>2</v>
      </c>
      <c r="AF5" s="31" t="str">
        <f t="shared" si="10"/>
        <v xml:space="preserve"> </v>
      </c>
      <c r="AG5" s="29" t="b">
        <f t="shared" si="11"/>
        <v>0</v>
      </c>
      <c r="AH5" s="30" t="str">
        <f t="shared" si="12"/>
        <v>-</v>
      </c>
      <c r="AI5" s="30" t="str">
        <f t="shared" ca="1" si="13"/>
        <v>(1/2)*(4/3)</v>
      </c>
      <c r="AJ5" s="29">
        <f t="shared" ca="1" si="14"/>
        <v>0.66666666666666663</v>
      </c>
      <c r="AK5" s="29" t="str">
        <f t="shared" si="15"/>
        <v/>
      </c>
      <c r="AL5" s="29">
        <f t="shared" si="16"/>
        <v>0</v>
      </c>
      <c r="AM5" s="32">
        <f t="shared" ref="AM5:AM28" ca="1" si="35">IF(AQ5=""," ",AJ5+AL5)</f>
        <v>0.66666666666666663</v>
      </c>
      <c r="AO5" s="20">
        <f>Tools!$AD4</f>
        <v>0.5</v>
      </c>
      <c r="AP5" s="33" t="str">
        <f t="shared" ref="AP5:AP26" si="36">VLOOKUP(AO5,OFFSET_A,Count_WL+1,FALSE)</f>
        <v xml:space="preserve">  </v>
      </c>
      <c r="AQ5" s="34" t="str">
        <f t="shared" ca="1" si="18"/>
        <v>(1/2)*(4/3)</v>
      </c>
      <c r="AR5" s="23" t="str">
        <f t="shared" ca="1" si="19"/>
        <v xml:space="preserve">  </v>
      </c>
      <c r="AS5" s="24">
        <f t="shared" si="20"/>
        <v>-9.5</v>
      </c>
      <c r="AT5" s="23" t="str">
        <f t="shared" ref="AT5:AT28" ca="1" si="37">IFERROR(AR5*AS5,"  ")</f>
        <v xml:space="preserve">  </v>
      </c>
      <c r="AU5" s="23" t="str">
        <f ca="1">IFERROR(AT5*AS5,"  ")</f>
        <v xml:space="preserve">  </v>
      </c>
      <c r="AV5" s="23" t="str">
        <f t="shared" si="21"/>
        <v xml:space="preserve">  </v>
      </c>
      <c r="AW5" s="23" t="str">
        <f t="shared" ca="1" si="22"/>
        <v xml:space="preserve">  </v>
      </c>
      <c r="AY5" s="35" t="str">
        <f t="shared" si="23"/>
        <v xml:space="preserve"> </v>
      </c>
      <c r="AZ5" s="23" t="str">
        <f t="shared" ca="1" si="24"/>
        <v xml:space="preserve">  </v>
      </c>
      <c r="BA5" s="36" t="str">
        <f t="shared" si="25"/>
        <v xml:space="preserve"> </v>
      </c>
      <c r="BB5" s="27" t="str">
        <f t="shared" ref="BB5:BB28" ca="1" si="38">IFERROR(BA5*AM5,"  ")</f>
        <v xml:space="preserve">  </v>
      </c>
      <c r="BC5" s="23" t="str">
        <f t="shared" ref="BC5:BC28" ca="1" si="39">IFERROR(AZ5*AS5,"  ")</f>
        <v xml:space="preserve">  </v>
      </c>
      <c r="BE5" s="8" t="s">
        <v>27</v>
      </c>
      <c r="BF5" s="9" t="s">
        <v>8</v>
      </c>
      <c r="BG5" s="10">
        <f>BREADTH</f>
        <v>22</v>
      </c>
    </row>
    <row r="6" spans="1:60" x14ac:dyDescent="0.25">
      <c r="A6" s="20">
        <f>Tools!$AD5</f>
        <v>1</v>
      </c>
      <c r="B6" s="33" t="str">
        <f t="shared" si="0"/>
        <v xml:space="preserve">  </v>
      </c>
      <c r="C6" s="22">
        <f>IF(A6="  ","  ",IF(AND(A5="  ",A7="  "),"?",IF(A5="  ",1*(A7-A6),IF(A7="  ",1*(A6-A5),1*(A7-A5)))))</f>
        <v>1</v>
      </c>
      <c r="D6" s="23" t="str">
        <f t="shared" si="26"/>
        <v xml:space="preserve">  </v>
      </c>
      <c r="E6" s="24">
        <f t="shared" si="1"/>
        <v>-9</v>
      </c>
      <c r="F6" s="23" t="str">
        <f t="shared" si="27"/>
        <v xml:space="preserve">  </v>
      </c>
      <c r="G6" s="23" t="str">
        <f t="shared" si="28"/>
        <v xml:space="preserve">  </v>
      </c>
      <c r="H6" s="23" t="str">
        <f t="shared" si="29"/>
        <v xml:space="preserve">  </v>
      </c>
      <c r="I6" s="23" t="str">
        <f t="shared" si="30"/>
        <v xml:space="preserve">  </v>
      </c>
      <c r="J6" s="4"/>
      <c r="K6" s="37" t="str">
        <f t="shared" si="2"/>
        <v xml:space="preserve"> </v>
      </c>
      <c r="L6" s="23" t="str">
        <f t="shared" si="31"/>
        <v xml:space="preserve">  </v>
      </c>
      <c r="M6" s="38" t="str">
        <f t="shared" si="3"/>
        <v xml:space="preserve"> </v>
      </c>
      <c r="N6" s="27" t="str">
        <f t="shared" si="32"/>
        <v xml:space="preserve">  </v>
      </c>
      <c r="O6" s="23" t="str">
        <f t="shared" si="33"/>
        <v xml:space="preserve">  </v>
      </c>
      <c r="P6" s="4"/>
      <c r="Q6" s="8" t="s">
        <v>28</v>
      </c>
      <c r="R6" s="9" t="s">
        <v>8</v>
      </c>
      <c r="S6" s="10">
        <f>DEPTH</f>
        <v>13</v>
      </c>
      <c r="W6" s="29">
        <f>IF(AO6="  ","  ",IF(AND(AO5="  ",AO7="  "),"?",IF(AO5="  ",1*(AO7-AO6),IF(AO7="  ",1*(AO6-AO5),1*(AO7-AO5)))))</f>
        <v>1</v>
      </c>
      <c r="X6" s="30" t="str">
        <f t="shared" si="4"/>
        <v>DD</v>
      </c>
      <c r="Y6" s="30" t="str">
        <f t="shared" si="5"/>
        <v>-</v>
      </c>
      <c r="Z6" s="29" t="b">
        <f t="shared" si="6"/>
        <v>1</v>
      </c>
      <c r="AA6" s="29" t="b">
        <f t="shared" si="7"/>
        <v>1</v>
      </c>
      <c r="AB6" s="29" t="str">
        <f t="shared" ca="1" si="8"/>
        <v>141-2</v>
      </c>
      <c r="AC6" s="29">
        <f t="shared" si="34"/>
        <v>3</v>
      </c>
      <c r="AD6" s="29">
        <f t="shared" ca="1" si="9"/>
        <v>3</v>
      </c>
      <c r="AE6" s="29">
        <v>3</v>
      </c>
      <c r="AF6" s="31" t="str">
        <f t="shared" si="10"/>
        <v xml:space="preserve"> </v>
      </c>
      <c r="AG6" s="29" t="b">
        <f t="shared" si="11"/>
        <v>0</v>
      </c>
      <c r="AH6" s="30" t="str">
        <f t="shared" si="12"/>
        <v>-</v>
      </c>
      <c r="AI6" s="30" t="str">
        <f t="shared" ca="1" si="13"/>
        <v>(1/2)*(2/3)</v>
      </c>
      <c r="AJ6" s="29">
        <f t="shared" ca="1" si="14"/>
        <v>0.33333333333333331</v>
      </c>
      <c r="AK6" s="29" t="str">
        <f t="shared" si="15"/>
        <v/>
      </c>
      <c r="AL6" s="29">
        <f t="shared" si="16"/>
        <v>0</v>
      </c>
      <c r="AM6" s="32">
        <f t="shared" ca="1" si="35"/>
        <v>0.33333333333333331</v>
      </c>
      <c r="AO6" s="20">
        <f>Tools!$AD5</f>
        <v>1</v>
      </c>
      <c r="AP6" s="33" t="str">
        <f t="shared" si="36"/>
        <v xml:space="preserve">  </v>
      </c>
      <c r="AQ6" s="34" t="str">
        <f t="shared" ca="1" si="18"/>
        <v>(1/2)*(2/3)</v>
      </c>
      <c r="AR6" s="23" t="str">
        <f t="shared" ca="1" si="19"/>
        <v xml:space="preserve">  </v>
      </c>
      <c r="AS6" s="24">
        <f t="shared" si="20"/>
        <v>-9</v>
      </c>
      <c r="AT6" s="23" t="str">
        <f t="shared" ca="1" si="37"/>
        <v xml:space="preserve">  </v>
      </c>
      <c r="AU6" s="23" t="str">
        <f ca="1">IFERROR(AT6*AS6,"  ")</f>
        <v xml:space="preserve">  </v>
      </c>
      <c r="AV6" s="23" t="str">
        <f t="shared" si="21"/>
        <v xml:space="preserve">  </v>
      </c>
      <c r="AW6" s="23" t="str">
        <f t="shared" ca="1" si="22"/>
        <v xml:space="preserve">  </v>
      </c>
      <c r="AY6" s="35" t="str">
        <f t="shared" si="23"/>
        <v xml:space="preserve"> </v>
      </c>
      <c r="AZ6" s="23" t="str">
        <f t="shared" ca="1" si="24"/>
        <v xml:space="preserve">  </v>
      </c>
      <c r="BA6" s="36" t="str">
        <f t="shared" si="25"/>
        <v xml:space="preserve"> </v>
      </c>
      <c r="BB6" s="27" t="str">
        <f t="shared" ca="1" si="38"/>
        <v xml:space="preserve">  </v>
      </c>
      <c r="BC6" s="23" t="str">
        <f t="shared" ca="1" si="39"/>
        <v xml:space="preserve">  </v>
      </c>
      <c r="BE6" s="8" t="s">
        <v>28</v>
      </c>
      <c r="BF6" s="9" t="s">
        <v>8</v>
      </c>
      <c r="BG6" s="10">
        <f>DEPTH</f>
        <v>13</v>
      </c>
    </row>
    <row r="7" spans="1:60" x14ac:dyDescent="0.25">
      <c r="A7" s="20">
        <f>Tools!$AD6</f>
        <v>1.5</v>
      </c>
      <c r="B7" s="33" t="str">
        <f t="shared" si="0"/>
        <v xml:space="preserve">  </v>
      </c>
      <c r="C7" s="22">
        <f>IF(A7="  ","  ",IF(AND(A6="  ",A8="  "),"?",IF(A6="  ",2*(A8-A7),IF(A8="  ",2*(A7-A6),2*(A8-A6)))))</f>
        <v>2</v>
      </c>
      <c r="D7" s="23" t="str">
        <f t="shared" si="26"/>
        <v xml:space="preserve">  </v>
      </c>
      <c r="E7" s="24">
        <f t="shared" si="1"/>
        <v>-8.5</v>
      </c>
      <c r="F7" s="23" t="str">
        <f t="shared" si="27"/>
        <v xml:space="preserve">  </v>
      </c>
      <c r="G7" s="23" t="str">
        <f t="shared" si="28"/>
        <v xml:space="preserve">  </v>
      </c>
      <c r="H7" s="23" t="str">
        <f t="shared" si="29"/>
        <v xml:space="preserve">  </v>
      </c>
      <c r="I7" s="23" t="str">
        <f t="shared" si="30"/>
        <v xml:space="preserve">  </v>
      </c>
      <c r="J7" s="4"/>
      <c r="K7" s="37" t="str">
        <f t="shared" si="2"/>
        <v xml:space="preserve"> </v>
      </c>
      <c r="L7" s="23" t="str">
        <f t="shared" si="31"/>
        <v xml:space="preserve">  </v>
      </c>
      <c r="M7" s="38" t="str">
        <f t="shared" si="3"/>
        <v xml:space="preserve"> </v>
      </c>
      <c r="N7" s="27" t="str">
        <f t="shared" si="32"/>
        <v xml:space="preserve">  </v>
      </c>
      <c r="O7" s="23" t="str">
        <f t="shared" si="33"/>
        <v xml:space="preserve">  </v>
      </c>
      <c r="P7" s="4"/>
      <c r="Q7" s="39" t="s">
        <v>29</v>
      </c>
      <c r="R7" s="40" t="s">
        <v>8</v>
      </c>
      <c r="S7" s="41" t="str">
        <f>IF(MAX(B4:B28)=0," ",2*MAX(B4:B28))</f>
        <v xml:space="preserve"> </v>
      </c>
      <c r="W7" s="29">
        <f>IF(AO7="  ","  ",IF(AND(AO6="  ",AO8="  "),"?",IF(AO6="  ",2*(AO8-AO7),IF(AO8="  ",2*(AO7-AO6),2*(AO8-AO6)))))</f>
        <v>2</v>
      </c>
      <c r="X7" s="30" t="str">
        <f t="shared" si="4"/>
        <v>DD</v>
      </c>
      <c r="Y7" s="30" t="str">
        <f t="shared" si="5"/>
        <v>-</v>
      </c>
      <c r="Z7" s="29" t="b">
        <f t="shared" si="6"/>
        <v>1</v>
      </c>
      <c r="AA7" s="29" t="b">
        <f t="shared" si="7"/>
        <v>1</v>
      </c>
      <c r="AB7" s="29" t="str">
        <f t="shared" ca="1" si="8"/>
        <v>141-4</v>
      </c>
      <c r="AC7" s="29">
        <f t="shared" si="34"/>
        <v>4</v>
      </c>
      <c r="AD7" s="29">
        <f t="shared" ca="1" si="9"/>
        <v>4</v>
      </c>
      <c r="AE7" s="29">
        <v>4</v>
      </c>
      <c r="AF7" s="31" t="str">
        <f t="shared" si="10"/>
        <v xml:space="preserve"> </v>
      </c>
      <c r="AG7" s="29" t="b">
        <f t="shared" si="11"/>
        <v>0</v>
      </c>
      <c r="AH7" s="30" t="str">
        <f t="shared" si="12"/>
        <v>-</v>
      </c>
      <c r="AI7" s="30" t="str">
        <f t="shared" ca="1" si="13"/>
        <v>(1/2)*(4/3)</v>
      </c>
      <c r="AJ7" s="29">
        <f t="shared" ca="1" si="14"/>
        <v>0.66666666666666663</v>
      </c>
      <c r="AK7" s="29" t="str">
        <f t="shared" si="15"/>
        <v/>
      </c>
      <c r="AL7" s="29">
        <f t="shared" si="16"/>
        <v>0</v>
      </c>
      <c r="AM7" s="32">
        <f t="shared" ca="1" si="35"/>
        <v>0.66666666666666663</v>
      </c>
      <c r="AO7" s="20">
        <f>Tools!$AD6</f>
        <v>1.5</v>
      </c>
      <c r="AP7" s="33" t="str">
        <f t="shared" si="36"/>
        <v xml:space="preserve">  </v>
      </c>
      <c r="AQ7" s="34" t="str">
        <f t="shared" ca="1" si="18"/>
        <v>(1/2)*(4/3)</v>
      </c>
      <c r="AR7" s="23" t="str">
        <f t="shared" ca="1" si="19"/>
        <v xml:space="preserve">  </v>
      </c>
      <c r="AS7" s="24">
        <f t="shared" si="20"/>
        <v>-8.5</v>
      </c>
      <c r="AT7" s="23" t="str">
        <f t="shared" ca="1" si="37"/>
        <v xml:space="preserve">  </v>
      </c>
      <c r="AU7" s="23" t="str">
        <f t="shared" ref="AU7:AU28" ca="1" si="40">IFERROR(AT7*AS7,"  ")</f>
        <v xml:space="preserve">  </v>
      </c>
      <c r="AV7" s="23" t="str">
        <f t="shared" si="21"/>
        <v xml:space="preserve">  </v>
      </c>
      <c r="AW7" s="23" t="str">
        <f t="shared" ca="1" si="22"/>
        <v xml:space="preserve">  </v>
      </c>
      <c r="AY7" s="35" t="str">
        <f t="shared" si="23"/>
        <v xml:space="preserve"> </v>
      </c>
      <c r="AZ7" s="23" t="str">
        <f t="shared" ca="1" si="24"/>
        <v xml:space="preserve">  </v>
      </c>
      <c r="BA7" s="36" t="str">
        <f t="shared" si="25"/>
        <v xml:space="preserve"> </v>
      </c>
      <c r="BB7" s="27" t="str">
        <f t="shared" ca="1" si="38"/>
        <v xml:space="preserve">  </v>
      </c>
      <c r="BC7" s="23" t="str">
        <f t="shared" ca="1" si="39"/>
        <v xml:space="preserve">  </v>
      </c>
      <c r="BE7" s="8" t="s">
        <v>29</v>
      </c>
      <c r="BF7" s="9" t="s">
        <v>8</v>
      </c>
      <c r="BG7" s="10" t="str">
        <f>IF(MAX(AP4:AP28)=0," ",2*MAX(AP4:AP28))</f>
        <v xml:space="preserve"> </v>
      </c>
    </row>
    <row r="8" spans="1:60" x14ac:dyDescent="0.25">
      <c r="A8" s="20">
        <f>Tools!$AD7</f>
        <v>2</v>
      </c>
      <c r="B8" s="33" t="str">
        <f t="shared" si="0"/>
        <v xml:space="preserve">  </v>
      </c>
      <c r="C8" s="22">
        <f>IF(A8="  ","  ",IF(AND(A7="  ",A9="  "),"?",IF(A7="  ",1*(A9-A8),IF(A9="  ",1*(A8-A7),1*(A9-A7)))))</f>
        <v>1.5</v>
      </c>
      <c r="D8" s="23" t="str">
        <f t="shared" si="26"/>
        <v xml:space="preserve">  </v>
      </c>
      <c r="E8" s="24">
        <f t="shared" si="1"/>
        <v>-8</v>
      </c>
      <c r="F8" s="23" t="str">
        <f t="shared" si="27"/>
        <v xml:space="preserve">  </v>
      </c>
      <c r="G8" s="23" t="str">
        <f t="shared" si="28"/>
        <v xml:space="preserve">  </v>
      </c>
      <c r="H8" s="23" t="str">
        <f t="shared" si="29"/>
        <v xml:space="preserve">  </v>
      </c>
      <c r="I8" s="23" t="str">
        <f t="shared" si="30"/>
        <v xml:space="preserve">  </v>
      </c>
      <c r="J8" s="4"/>
      <c r="K8" s="37" t="str">
        <f t="shared" si="2"/>
        <v xml:space="preserve"> </v>
      </c>
      <c r="L8" s="23" t="str">
        <f t="shared" si="31"/>
        <v xml:space="preserve">  </v>
      </c>
      <c r="M8" s="38" t="str">
        <f t="shared" si="3"/>
        <v xml:space="preserve"> </v>
      </c>
      <c r="N8" s="27" t="str">
        <f t="shared" si="32"/>
        <v xml:space="preserve">  </v>
      </c>
      <c r="O8" s="23" t="str">
        <f t="shared" si="33"/>
        <v xml:space="preserve">  </v>
      </c>
      <c r="P8" s="4"/>
      <c r="Q8" s="42"/>
      <c r="R8" s="42"/>
      <c r="S8" s="42"/>
      <c r="W8" s="29">
        <f>IF(AO8="  ","  ",IF(AND(AO7="  ",AO9="  "),"?",IF(AO7="  ",1*(AO9-AO8),IF(AO9="  ",1*(AO8-AO7),1*(AO9-AO7)))))</f>
        <v>1.5</v>
      </c>
      <c r="X8" s="30" t="str">
        <f t="shared" si="4"/>
        <v>DW</v>
      </c>
      <c r="Y8" s="30" t="str">
        <f t="shared" si="5"/>
        <v>-</v>
      </c>
      <c r="Z8" s="29" t="b">
        <f t="shared" si="6"/>
        <v>1</v>
      </c>
      <c r="AA8" s="29" t="b">
        <f t="shared" si="7"/>
        <v>1</v>
      </c>
      <c r="AB8" s="29" t="str">
        <f t="shared" ca="1" si="8"/>
        <v>141-1</v>
      </c>
      <c r="AC8" s="29">
        <f t="shared" si="34"/>
        <v>5</v>
      </c>
      <c r="AD8" s="29">
        <f t="shared" ca="1" si="9"/>
        <v>5</v>
      </c>
      <c r="AE8" s="29">
        <v>5</v>
      </c>
      <c r="AF8" s="31">
        <f t="shared" si="10"/>
        <v>1</v>
      </c>
      <c r="AG8" s="29" t="b">
        <f t="shared" si="11"/>
        <v>1</v>
      </c>
      <c r="AH8" s="30" t="str">
        <f t="shared" si="12"/>
        <v>141-1</v>
      </c>
      <c r="AI8" s="30" t="str">
        <f t="shared" ca="1" si="13"/>
        <v>(1/2)*(1/3)</v>
      </c>
      <c r="AJ8" s="29">
        <f t="shared" ca="1" si="14"/>
        <v>0.16666666666666666</v>
      </c>
      <c r="AK8" s="29" t="str">
        <f t="shared" si="15"/>
        <v>1/3</v>
      </c>
      <c r="AL8" s="29">
        <f t="shared" si="16"/>
        <v>0.33333333333333331</v>
      </c>
      <c r="AM8" s="32">
        <f t="shared" ca="1" si="35"/>
        <v>0.5</v>
      </c>
      <c r="AO8" s="20">
        <f>Tools!$AD7</f>
        <v>2</v>
      </c>
      <c r="AP8" s="33" t="str">
        <f t="shared" si="36"/>
        <v xml:space="preserve">  </v>
      </c>
      <c r="AQ8" s="34" t="str">
        <f t="shared" ca="1" si="18"/>
        <v>(1/2)*(1/3)+1/3</v>
      </c>
      <c r="AR8" s="23" t="str">
        <f t="shared" ca="1" si="19"/>
        <v xml:space="preserve">  </v>
      </c>
      <c r="AS8" s="24">
        <f t="shared" si="20"/>
        <v>-8</v>
      </c>
      <c r="AT8" s="23" t="str">
        <f t="shared" ca="1" si="37"/>
        <v xml:space="preserve">  </v>
      </c>
      <c r="AU8" s="23" t="str">
        <f t="shared" ca="1" si="40"/>
        <v xml:space="preserve">  </v>
      </c>
      <c r="AV8" s="23" t="str">
        <f t="shared" si="21"/>
        <v xml:space="preserve">  </v>
      </c>
      <c r="AW8" s="23" t="str">
        <f t="shared" ca="1" si="22"/>
        <v xml:space="preserve">  </v>
      </c>
      <c r="AY8" s="35" t="str">
        <f t="shared" si="23"/>
        <v xml:space="preserve"> </v>
      </c>
      <c r="AZ8" s="23" t="str">
        <f ca="1">IFERROR(AY8*AM8,"  ")</f>
        <v xml:space="preserve">  </v>
      </c>
      <c r="BA8" s="36" t="str">
        <f t="shared" si="25"/>
        <v xml:space="preserve"> </v>
      </c>
      <c r="BB8" s="27" t="str">
        <f t="shared" ca="1" si="38"/>
        <v xml:space="preserve">  </v>
      </c>
      <c r="BC8" s="23" t="str">
        <f t="shared" ca="1" si="39"/>
        <v xml:space="preserve">  </v>
      </c>
      <c r="BE8" s="8" t="s">
        <v>30</v>
      </c>
      <c r="BF8" s="9" t="s">
        <v>8</v>
      </c>
      <c r="BG8" s="10">
        <f ca="1">LBP-AJ33</f>
        <v>146.19999999999999</v>
      </c>
      <c r="BH8" t="str">
        <f ca="1">IF(AJ33&gt;0,CONCATENATE("(LWL is assumed between stations ",$AH$31," and ",$AH$33," as offset values extreme to these stations are zeros.)"),"")</f>
        <v/>
      </c>
    </row>
    <row r="9" spans="1:60" x14ac:dyDescent="0.25">
      <c r="A9" s="20">
        <f>Tools!$AD8</f>
        <v>3</v>
      </c>
      <c r="B9" s="33" t="str">
        <f t="shared" si="0"/>
        <v xml:space="preserve">  </v>
      </c>
      <c r="C9" s="22">
        <f>IF(A9="  ","  ",IF(AND(A8="  ",A10="  "),"?",IF(A8="  ",2*(A10-A9),IF(A10="  ",2*(A9-A8),2*(A10-A8)))))</f>
        <v>4</v>
      </c>
      <c r="D9" s="23" t="str">
        <f t="shared" si="26"/>
        <v xml:space="preserve">  </v>
      </c>
      <c r="E9" s="24">
        <f t="shared" si="1"/>
        <v>-7</v>
      </c>
      <c r="F9" s="23" t="str">
        <f t="shared" si="27"/>
        <v xml:space="preserve">  </v>
      </c>
      <c r="G9" s="23" t="str">
        <f t="shared" si="28"/>
        <v xml:space="preserve">  </v>
      </c>
      <c r="H9" s="23" t="str">
        <f t="shared" si="29"/>
        <v xml:space="preserve">  </v>
      </c>
      <c r="I9" s="23" t="str">
        <f t="shared" si="30"/>
        <v xml:space="preserve">  </v>
      </c>
      <c r="J9" s="4"/>
      <c r="K9" s="37" t="str">
        <f t="shared" si="2"/>
        <v xml:space="preserve"> </v>
      </c>
      <c r="L9" s="23" t="str">
        <f t="shared" si="31"/>
        <v xml:space="preserve">  </v>
      </c>
      <c r="M9" s="38" t="str">
        <f t="shared" si="3"/>
        <v xml:space="preserve"> </v>
      </c>
      <c r="N9" s="27" t="str">
        <f t="shared" si="32"/>
        <v xml:space="preserve">  </v>
      </c>
      <c r="O9" s="23" t="str">
        <f t="shared" si="33"/>
        <v xml:space="preserve">  </v>
      </c>
      <c r="P9" s="4"/>
      <c r="Q9" s="43" t="s">
        <v>31</v>
      </c>
      <c r="R9" s="44" t="s">
        <v>32</v>
      </c>
      <c r="S9" s="489" t="s">
        <v>33</v>
      </c>
      <c r="W9" s="29">
        <f>IF(AO9="  ","  ",IF(AND(AO8="  ",AO10="  "),"?",IF(AO8="  ",2*(AO10-AO9),IF(AO10="  ",2*(AO9-AO8),2*(AO10-AO8)))))</f>
        <v>4</v>
      </c>
      <c r="X9" s="30" t="str">
        <f t="shared" si="4"/>
        <v>WW</v>
      </c>
      <c r="Y9" s="30" t="str">
        <f t="shared" si="5"/>
        <v>-</v>
      </c>
      <c r="Z9" s="29" t="b">
        <f t="shared" si="6"/>
        <v>0</v>
      </c>
      <c r="AA9" s="29" t="b">
        <f t="shared" si="7"/>
        <v>0</v>
      </c>
      <c r="AB9" s="29" t="str">
        <f t="shared" ca="1" si="8"/>
        <v>++</v>
      </c>
      <c r="AC9" s="29">
        <f t="shared" si="34"/>
        <v>6</v>
      </c>
      <c r="AD9" s="29">
        <f t="shared" ca="1" si="9"/>
        <v>6</v>
      </c>
      <c r="AE9" s="29">
        <v>6</v>
      </c>
      <c r="AF9" s="31">
        <f>IF(AND(AG9=TRUE,OR(NOT(AG8=TRUE),AG8="Full")),1,IF(ISNUMBER(AF8),AF8+1," "))</f>
        <v>2</v>
      </c>
      <c r="AG9" s="29" t="b">
        <f t="shared" si="11"/>
        <v>1</v>
      </c>
      <c r="AH9" s="30" t="str">
        <f t="shared" ca="1" si="12"/>
        <v>141-4</v>
      </c>
      <c r="AI9" s="30" t="str">
        <f t="shared" ca="1" si="13"/>
        <v/>
      </c>
      <c r="AJ9" s="29">
        <f t="shared" ca="1" si="14"/>
        <v>0</v>
      </c>
      <c r="AK9" s="29" t="str">
        <f t="shared" ca="1" si="15"/>
        <v>4/3</v>
      </c>
      <c r="AL9" s="29">
        <f t="shared" ca="1" si="16"/>
        <v>1.3333333333333333</v>
      </c>
      <c r="AM9" s="32">
        <f t="shared" ca="1" si="35"/>
        <v>1.3333333333333333</v>
      </c>
      <c r="AO9" s="20">
        <f>Tools!$AD8</f>
        <v>3</v>
      </c>
      <c r="AP9" s="33" t="str">
        <f t="shared" si="36"/>
        <v xml:space="preserve">  </v>
      </c>
      <c r="AQ9" s="34" t="str">
        <f t="shared" ca="1" si="18"/>
        <v>4/3</v>
      </c>
      <c r="AR9" s="23" t="str">
        <f t="shared" ca="1" si="19"/>
        <v xml:space="preserve">  </v>
      </c>
      <c r="AS9" s="24">
        <f t="shared" si="20"/>
        <v>-7</v>
      </c>
      <c r="AT9" s="23" t="str">
        <f t="shared" ca="1" si="37"/>
        <v xml:space="preserve">  </v>
      </c>
      <c r="AU9" s="23" t="str">
        <f t="shared" ca="1" si="40"/>
        <v xml:space="preserve">  </v>
      </c>
      <c r="AV9" s="23" t="str">
        <f t="shared" si="21"/>
        <v xml:space="preserve">  </v>
      </c>
      <c r="AW9" s="23" t="str">
        <f t="shared" ca="1" si="22"/>
        <v xml:space="preserve">  </v>
      </c>
      <c r="AY9" s="35" t="str">
        <f t="shared" si="23"/>
        <v xml:space="preserve"> </v>
      </c>
      <c r="AZ9" s="23" t="str">
        <f t="shared" ref="AZ9:AZ28" ca="1" si="41">IFERROR(AY9*AM9,"  ")</f>
        <v xml:space="preserve">  </v>
      </c>
      <c r="BA9" s="36" t="str">
        <f t="shared" si="25"/>
        <v xml:space="preserve"> </v>
      </c>
      <c r="BB9" s="27" t="str">
        <f t="shared" ca="1" si="38"/>
        <v xml:space="preserve">  </v>
      </c>
      <c r="BC9" s="23" t="str">
        <f t="shared" ca="1" si="39"/>
        <v xml:space="preserve">  </v>
      </c>
    </row>
    <row r="10" spans="1:60" x14ac:dyDescent="0.25">
      <c r="A10" s="20">
        <f>Tools!$AD9</f>
        <v>4</v>
      </c>
      <c r="B10" s="33" t="str">
        <f t="shared" si="0"/>
        <v xml:space="preserve">  </v>
      </c>
      <c r="C10" s="22">
        <f>IF(A10="  ","  ",IF(AND(A9="  ",A11="  "),"?",IF(A9="  ",1*(A11-A10),IF(A11="  ",1*(A10-A9),1*(A11-A9)))))</f>
        <v>2</v>
      </c>
      <c r="D10" s="23" t="str">
        <f t="shared" si="26"/>
        <v xml:space="preserve">  </v>
      </c>
      <c r="E10" s="24">
        <f t="shared" si="1"/>
        <v>-6</v>
      </c>
      <c r="F10" s="23" t="str">
        <f t="shared" si="27"/>
        <v xml:space="preserve">  </v>
      </c>
      <c r="G10" s="23" t="str">
        <f t="shared" si="28"/>
        <v xml:space="preserve">  </v>
      </c>
      <c r="H10" s="23" t="str">
        <f t="shared" si="29"/>
        <v xml:space="preserve">  </v>
      </c>
      <c r="I10" s="23" t="str">
        <f>IFERROR(H10*C10,"  ")</f>
        <v xml:space="preserve">  </v>
      </c>
      <c r="J10" s="4"/>
      <c r="K10" s="37" t="str">
        <f t="shared" si="2"/>
        <v xml:space="preserve"> </v>
      </c>
      <c r="L10" s="23" t="str">
        <f t="shared" si="31"/>
        <v xml:space="preserve">  </v>
      </c>
      <c r="M10" s="38" t="str">
        <f t="shared" si="3"/>
        <v xml:space="preserve"> </v>
      </c>
      <c r="N10" s="27" t="str">
        <f t="shared" si="32"/>
        <v xml:space="preserve">  </v>
      </c>
      <c r="O10" s="23" t="str">
        <f t="shared" si="33"/>
        <v xml:space="preserve">  </v>
      </c>
      <c r="P10" s="4"/>
      <c r="Q10" s="45"/>
      <c r="R10" s="46"/>
      <c r="S10" s="490"/>
      <c r="W10" s="29">
        <f>IF(AO10="  ","  ",IF(AND(AO9="  ",AO11="  "),"?",IF(AO9="  ",1*(AO11-AO10),IF(AO11="  ",1*(AO10-AO9),1*(AO11-AO9)))))</f>
        <v>2</v>
      </c>
      <c r="X10" s="30" t="str">
        <f t="shared" si="4"/>
        <v>WW</v>
      </c>
      <c r="Y10" s="30" t="str">
        <f t="shared" si="5"/>
        <v>-</v>
      </c>
      <c r="Z10" s="29" t="b">
        <f t="shared" si="6"/>
        <v>0</v>
      </c>
      <c r="AA10" s="29" t="b">
        <f t="shared" si="7"/>
        <v>0</v>
      </c>
      <c r="AB10" s="29" t="str">
        <f t="shared" ca="1" si="8"/>
        <v>++</v>
      </c>
      <c r="AC10" s="29">
        <f t="shared" si="34"/>
        <v>7</v>
      </c>
      <c r="AD10" s="29">
        <f t="shared" ca="1" si="9"/>
        <v>7</v>
      </c>
      <c r="AE10" s="29">
        <v>7</v>
      </c>
      <c r="AF10" s="31">
        <f t="shared" ref="AF10:AF28" si="42">IF(AND(AG10=TRUE,OR(NOT(AG9=TRUE),AG9="Full")),1,IF(ISNUMBER(AF9),AF9+1," "))</f>
        <v>3</v>
      </c>
      <c r="AG10" s="29" t="b">
        <f t="shared" si="11"/>
        <v>1</v>
      </c>
      <c r="AH10" s="30" t="str">
        <f t="shared" ca="1" si="12"/>
        <v>141-2</v>
      </c>
      <c r="AI10" s="30" t="str">
        <f t="shared" ca="1" si="13"/>
        <v/>
      </c>
      <c r="AJ10" s="29">
        <f t="shared" ca="1" si="14"/>
        <v>0</v>
      </c>
      <c r="AK10" s="29" t="str">
        <f t="shared" ca="1" si="15"/>
        <v>2/3</v>
      </c>
      <c r="AL10" s="29">
        <f t="shared" ca="1" si="16"/>
        <v>0.66666666666666663</v>
      </c>
      <c r="AM10" s="32">
        <f t="shared" ca="1" si="35"/>
        <v>0.66666666666666663</v>
      </c>
      <c r="AO10" s="20">
        <f>Tools!$AD9</f>
        <v>4</v>
      </c>
      <c r="AP10" s="33" t="str">
        <f t="shared" si="36"/>
        <v xml:space="preserve">  </v>
      </c>
      <c r="AQ10" s="34" t="str">
        <f t="shared" ca="1" si="18"/>
        <v>2/3</v>
      </c>
      <c r="AR10" s="23" t="str">
        <f t="shared" ca="1" si="19"/>
        <v xml:space="preserve">  </v>
      </c>
      <c r="AS10" s="24">
        <f t="shared" si="20"/>
        <v>-6</v>
      </c>
      <c r="AT10" s="23" t="str">
        <f t="shared" ca="1" si="37"/>
        <v xml:space="preserve">  </v>
      </c>
      <c r="AU10" s="23" t="str">
        <f ca="1">IFERROR(AT10*AS10,"  ")</f>
        <v xml:space="preserve">  </v>
      </c>
      <c r="AV10" s="23" t="str">
        <f t="shared" si="21"/>
        <v xml:space="preserve">  </v>
      </c>
      <c r="AW10" s="23" t="str">
        <f t="shared" ca="1" si="22"/>
        <v xml:space="preserve">  </v>
      </c>
      <c r="AY10" s="35" t="str">
        <f t="shared" si="23"/>
        <v xml:space="preserve"> </v>
      </c>
      <c r="AZ10" s="23" t="str">
        <f t="shared" ca="1" si="41"/>
        <v xml:space="preserve">  </v>
      </c>
      <c r="BA10" s="36" t="str">
        <f t="shared" si="25"/>
        <v xml:space="preserve"> </v>
      </c>
      <c r="BB10" s="27" t="str">
        <f t="shared" ca="1" si="38"/>
        <v xml:space="preserve">  </v>
      </c>
      <c r="BC10" s="23" t="str">
        <f t="shared" ca="1" si="39"/>
        <v xml:space="preserve">  </v>
      </c>
      <c r="BE10" s="43" t="s">
        <v>31</v>
      </c>
      <c r="BF10" s="44" t="s">
        <v>32</v>
      </c>
      <c r="BG10" s="489" t="s">
        <v>33</v>
      </c>
    </row>
    <row r="11" spans="1:60" x14ac:dyDescent="0.25">
      <c r="A11" s="20">
        <f>Tools!$AD10</f>
        <v>5</v>
      </c>
      <c r="B11" s="33" t="str">
        <f t="shared" si="0"/>
        <v xml:space="preserve">  </v>
      </c>
      <c r="C11" s="22">
        <f>IF(A11="  ","  ",IF(AND(A10="  ",A12="  "),"?",IF(A10="  ",2*(A12-A11),IF(A12="  ",2*(A11-A10),2*(A12-A10)))))</f>
        <v>4</v>
      </c>
      <c r="D11" s="23" t="str">
        <f t="shared" si="26"/>
        <v xml:space="preserve">  </v>
      </c>
      <c r="E11" s="24">
        <f t="shared" si="1"/>
        <v>-5</v>
      </c>
      <c r="F11" s="23" t="str">
        <f t="shared" si="27"/>
        <v xml:space="preserve">  </v>
      </c>
      <c r="G11" s="23" t="str">
        <f t="shared" si="28"/>
        <v xml:space="preserve">  </v>
      </c>
      <c r="H11" s="23" t="str">
        <f t="shared" si="29"/>
        <v xml:space="preserve">  </v>
      </c>
      <c r="I11" s="23" t="str">
        <f t="shared" si="30"/>
        <v xml:space="preserve">  </v>
      </c>
      <c r="J11" s="4"/>
      <c r="K11" s="37" t="str">
        <f t="shared" si="2"/>
        <v xml:space="preserve"> </v>
      </c>
      <c r="L11" s="23" t="str">
        <f t="shared" si="31"/>
        <v xml:space="preserve">  </v>
      </c>
      <c r="M11" s="38" t="str">
        <f t="shared" si="3"/>
        <v xml:space="preserve"> </v>
      </c>
      <c r="N11" s="27" t="str">
        <f t="shared" si="32"/>
        <v xml:space="preserve">  </v>
      </c>
      <c r="O11" s="23" t="str">
        <f t="shared" si="33"/>
        <v xml:space="preserve">  </v>
      </c>
      <c r="P11" s="4"/>
      <c r="Q11" s="47" t="s">
        <v>34</v>
      </c>
      <c r="R11" s="48" t="s">
        <v>35</v>
      </c>
      <c r="S11" t="str">
        <f>IF(Tools!$L$49="Use 141 rule only",I35,IF(Tools!$L$49="Use 141 and 1331 rules",BG12," "))</f>
        <v xml:space="preserve">  </v>
      </c>
      <c r="W11" s="29">
        <f>IF(AO11="  ","  ",IF(AND(AO10="  ",AO12="  "),"?",IF(AO10="  ",2*(AO12-AO11),IF(AO12="  ",2*(AO11-AO10),2*(AO12-AO10)))))</f>
        <v>4</v>
      </c>
      <c r="X11" s="30" t="str">
        <f t="shared" si="4"/>
        <v>WW</v>
      </c>
      <c r="Y11" s="30" t="str">
        <f t="shared" si="5"/>
        <v>-</v>
      </c>
      <c r="Z11" s="29" t="b">
        <f t="shared" si="6"/>
        <v>0</v>
      </c>
      <c r="AA11" s="29" t="b">
        <f t="shared" si="7"/>
        <v>0</v>
      </c>
      <c r="AB11" s="29" t="str">
        <f t="shared" ca="1" si="8"/>
        <v>++</v>
      </c>
      <c r="AC11" s="29">
        <f t="shared" si="34"/>
        <v>8</v>
      </c>
      <c r="AD11" s="29">
        <f t="shared" ca="1" si="9"/>
        <v>8</v>
      </c>
      <c r="AE11" s="29">
        <v>8</v>
      </c>
      <c r="AF11" s="31">
        <f t="shared" si="42"/>
        <v>4</v>
      </c>
      <c r="AG11" s="29" t="b">
        <f t="shared" si="11"/>
        <v>1</v>
      </c>
      <c r="AH11" s="30" t="str">
        <f t="shared" ca="1" si="12"/>
        <v>141-4</v>
      </c>
      <c r="AI11" s="30" t="str">
        <f t="shared" ca="1" si="13"/>
        <v/>
      </c>
      <c r="AJ11" s="29">
        <f t="shared" ca="1" si="14"/>
        <v>0</v>
      </c>
      <c r="AK11" s="29" t="str">
        <f t="shared" ca="1" si="15"/>
        <v>4/3</v>
      </c>
      <c r="AL11" s="29">
        <f t="shared" ca="1" si="16"/>
        <v>1.3333333333333333</v>
      </c>
      <c r="AM11" s="32">
        <f t="shared" ca="1" si="35"/>
        <v>1.3333333333333333</v>
      </c>
      <c r="AO11" s="20">
        <f>Tools!$AD10</f>
        <v>5</v>
      </c>
      <c r="AP11" s="33" t="str">
        <f t="shared" si="36"/>
        <v xml:space="preserve">  </v>
      </c>
      <c r="AQ11" s="34" t="str">
        <f t="shared" ca="1" si="18"/>
        <v>4/3</v>
      </c>
      <c r="AR11" s="23" t="str">
        <f t="shared" ca="1" si="19"/>
        <v xml:space="preserve">  </v>
      </c>
      <c r="AS11" s="24">
        <f t="shared" si="20"/>
        <v>-5</v>
      </c>
      <c r="AT11" s="23" t="str">
        <f t="shared" ca="1" si="37"/>
        <v xml:space="preserve">  </v>
      </c>
      <c r="AU11" s="23" t="str">
        <f t="shared" ca="1" si="40"/>
        <v xml:space="preserve">  </v>
      </c>
      <c r="AV11" s="23" t="str">
        <f t="shared" si="21"/>
        <v xml:space="preserve">  </v>
      </c>
      <c r="AW11" s="23" t="str">
        <f t="shared" ca="1" si="22"/>
        <v xml:space="preserve">  </v>
      </c>
      <c r="AY11" s="35" t="str">
        <f t="shared" si="23"/>
        <v xml:space="preserve"> </v>
      </c>
      <c r="AZ11" s="23" t="str">
        <f t="shared" ca="1" si="41"/>
        <v xml:space="preserve">  </v>
      </c>
      <c r="BA11" s="36" t="str">
        <f t="shared" si="25"/>
        <v xml:space="preserve"> </v>
      </c>
      <c r="BB11" s="27" t="str">
        <f t="shared" ca="1" si="38"/>
        <v xml:space="preserve">  </v>
      </c>
      <c r="BC11" s="23" t="str">
        <f ca="1">IFERROR(AZ11*AS11,"  ")</f>
        <v xml:space="preserve">  </v>
      </c>
      <c r="BE11" s="45"/>
      <c r="BF11" s="46"/>
      <c r="BG11" s="490"/>
    </row>
    <row r="12" spans="1:60" x14ac:dyDescent="0.25">
      <c r="A12" s="20">
        <f>Tools!$AD11</f>
        <v>6</v>
      </c>
      <c r="B12" s="33" t="str">
        <f t="shared" si="0"/>
        <v xml:space="preserve">  </v>
      </c>
      <c r="C12" s="22">
        <f>IF(A12="  ","  ",IF(AND(A11="  ",A13="  "),"?",IF(A11="  ",1*(A13-A12),IF(A13="  ",1*(A12-A11),1*(A13-A11)))))</f>
        <v>2</v>
      </c>
      <c r="D12" s="23" t="str">
        <f t="shared" si="26"/>
        <v xml:space="preserve">  </v>
      </c>
      <c r="E12" s="24">
        <f t="shared" si="1"/>
        <v>-4</v>
      </c>
      <c r="F12" s="23" t="str">
        <f t="shared" si="27"/>
        <v xml:space="preserve">  </v>
      </c>
      <c r="G12" s="23" t="str">
        <f t="shared" si="28"/>
        <v xml:space="preserve">  </v>
      </c>
      <c r="H12" s="23" t="str">
        <f t="shared" si="29"/>
        <v xml:space="preserve">  </v>
      </c>
      <c r="I12" s="23" t="str">
        <f t="shared" si="30"/>
        <v xml:space="preserve">  </v>
      </c>
      <c r="J12" s="4"/>
      <c r="K12" s="37" t="str">
        <f t="shared" si="2"/>
        <v xml:space="preserve"> </v>
      </c>
      <c r="L12" s="23" t="str">
        <f t="shared" si="31"/>
        <v xml:space="preserve">  </v>
      </c>
      <c r="M12" s="38" t="str">
        <f t="shared" si="3"/>
        <v xml:space="preserve"> </v>
      </c>
      <c r="N12" s="27" t="str">
        <f t="shared" si="32"/>
        <v xml:space="preserve">  </v>
      </c>
      <c r="O12" s="23" t="str">
        <f t="shared" si="33"/>
        <v xml:space="preserve">  </v>
      </c>
      <c r="P12" s="4"/>
      <c r="Q12" s="47" t="s">
        <v>36</v>
      </c>
      <c r="R12" s="48" t="s">
        <v>37</v>
      </c>
      <c r="S12" t="str">
        <f>IF(Tools!$L$49="Use 141 rule only",I36,IF(Tools!$L$49="Use 141 and 1331 rules",BG13," "))</f>
        <v xml:space="preserve">  </v>
      </c>
      <c r="W12" s="29">
        <f>IF(AO12="  ","  ",IF(AND(AO11="  ",AO13="  "),"?",IF(AO11="  ",1*(AO13-AO12),IF(AO13="  ",1*(AO12-AO11),1*(AO13-AO11)))))</f>
        <v>2</v>
      </c>
      <c r="X12" s="30" t="str">
        <f t="shared" si="4"/>
        <v>WW</v>
      </c>
      <c r="Y12" s="30" t="str">
        <f t="shared" si="5"/>
        <v>-</v>
      </c>
      <c r="Z12" s="29" t="b">
        <f t="shared" si="6"/>
        <v>0</v>
      </c>
      <c r="AA12" s="29" t="b">
        <f t="shared" si="7"/>
        <v>0</v>
      </c>
      <c r="AB12" s="29" t="str">
        <f t="shared" ca="1" si="8"/>
        <v>++</v>
      </c>
      <c r="AC12" s="29">
        <f t="shared" si="34"/>
        <v>9</v>
      </c>
      <c r="AD12" s="29">
        <f t="shared" ca="1" si="9"/>
        <v>9</v>
      </c>
      <c r="AE12" s="29">
        <v>9</v>
      </c>
      <c r="AF12" s="31">
        <f t="shared" si="42"/>
        <v>5</v>
      </c>
      <c r="AG12" s="29" t="b">
        <f t="shared" si="11"/>
        <v>1</v>
      </c>
      <c r="AH12" s="30" t="str">
        <f t="shared" ca="1" si="12"/>
        <v>141-2</v>
      </c>
      <c r="AI12" s="30" t="str">
        <f t="shared" ca="1" si="13"/>
        <v/>
      </c>
      <c r="AJ12" s="29">
        <f t="shared" ca="1" si="14"/>
        <v>0</v>
      </c>
      <c r="AK12" s="29" t="str">
        <f t="shared" ca="1" si="15"/>
        <v>2/3</v>
      </c>
      <c r="AL12" s="29">
        <f t="shared" ca="1" si="16"/>
        <v>0.66666666666666663</v>
      </c>
      <c r="AM12" s="32">
        <f t="shared" ca="1" si="35"/>
        <v>0.66666666666666663</v>
      </c>
      <c r="AO12" s="20">
        <f>Tools!$AD11</f>
        <v>6</v>
      </c>
      <c r="AP12" s="33" t="str">
        <f t="shared" si="36"/>
        <v xml:space="preserve">  </v>
      </c>
      <c r="AQ12" s="34" t="str">
        <f t="shared" ca="1" si="18"/>
        <v>2/3</v>
      </c>
      <c r="AR12" s="23" t="str">
        <f t="shared" ca="1" si="19"/>
        <v xml:space="preserve">  </v>
      </c>
      <c r="AS12" s="24">
        <f t="shared" si="20"/>
        <v>-4</v>
      </c>
      <c r="AT12" s="23" t="str">
        <f t="shared" ca="1" si="37"/>
        <v xml:space="preserve">  </v>
      </c>
      <c r="AU12" s="23" t="str">
        <f t="shared" ca="1" si="40"/>
        <v xml:space="preserve">  </v>
      </c>
      <c r="AV12" s="23" t="str">
        <f t="shared" si="21"/>
        <v xml:space="preserve">  </v>
      </c>
      <c r="AW12" s="23" t="str">
        <f t="shared" ca="1" si="22"/>
        <v xml:space="preserve">  </v>
      </c>
      <c r="AY12" s="35" t="str">
        <f t="shared" si="23"/>
        <v xml:space="preserve"> </v>
      </c>
      <c r="AZ12" s="23" t="str">
        <f t="shared" ca="1" si="41"/>
        <v xml:space="preserve">  </v>
      </c>
      <c r="BA12" s="36" t="str">
        <f t="shared" si="25"/>
        <v xml:space="preserve"> </v>
      </c>
      <c r="BB12" s="27" t="str">
        <f t="shared" ca="1" si="38"/>
        <v xml:space="preserve">  </v>
      </c>
      <c r="BC12" s="23" t="str">
        <f t="shared" ca="1" si="39"/>
        <v xml:space="preserve">  </v>
      </c>
      <c r="BE12" s="47" t="s">
        <v>34</v>
      </c>
      <c r="BF12" s="48" t="s">
        <v>38</v>
      </c>
      <c r="BG12" s="49" t="str">
        <f>IF(WL_No="  ","  ",2*h*$AR$29)</f>
        <v xml:space="preserve">  </v>
      </c>
    </row>
    <row r="13" spans="1:60" x14ac:dyDescent="0.25">
      <c r="A13" s="20">
        <f>Tools!$AD12</f>
        <v>7</v>
      </c>
      <c r="B13" s="33" t="str">
        <f t="shared" si="0"/>
        <v xml:space="preserve">  </v>
      </c>
      <c r="C13" s="22">
        <f>IF(A13="  ","  ",IF(AND(A12="  ",A14="  "),"?",IF(A12="  ",2*(A14-A13),IF(A14="  ",2*(A13-A12),2*(A14-A12)))))</f>
        <v>4</v>
      </c>
      <c r="D13" s="23" t="str">
        <f t="shared" si="26"/>
        <v xml:space="preserve">  </v>
      </c>
      <c r="E13" s="24">
        <f t="shared" si="1"/>
        <v>-3</v>
      </c>
      <c r="F13" s="23" t="str">
        <f t="shared" si="27"/>
        <v xml:space="preserve">  </v>
      </c>
      <c r="G13" s="23" t="str">
        <f t="shared" si="28"/>
        <v xml:space="preserve">  </v>
      </c>
      <c r="H13" s="23" t="str">
        <f t="shared" si="29"/>
        <v xml:space="preserve">  </v>
      </c>
      <c r="I13" s="23" t="str">
        <f t="shared" si="30"/>
        <v xml:space="preserve">  </v>
      </c>
      <c r="J13" s="4"/>
      <c r="K13" s="37" t="str">
        <f t="shared" si="2"/>
        <v xml:space="preserve"> </v>
      </c>
      <c r="L13" s="23" t="str">
        <f t="shared" si="31"/>
        <v xml:space="preserve">  </v>
      </c>
      <c r="M13" s="38" t="str">
        <f t="shared" si="3"/>
        <v xml:space="preserve"> </v>
      </c>
      <c r="N13" s="27" t="str">
        <f t="shared" si="32"/>
        <v xml:space="preserve">  </v>
      </c>
      <c r="O13" s="23" t="str">
        <f t="shared" si="33"/>
        <v xml:space="preserve">  </v>
      </c>
      <c r="P13" s="4"/>
      <c r="Q13" s="50" t="s">
        <v>39</v>
      </c>
      <c r="R13" s="48" t="s">
        <v>40</v>
      </c>
      <c r="S13" t="str">
        <f>IF(Tools!$L$49="Use 141 rule only",I37,IF(Tools!$L$49="Use 141 and 1331 rules",BG14," "))</f>
        <v xml:space="preserve">  </v>
      </c>
      <c r="W13" s="29">
        <f>IF(AO13="  ","  ",IF(AND(AO12="  ",AO14="  "),"?",IF(AO12="  ",2*(AO14-AO13),IF(AO14="  ",2*(AO13-AO12),2*(AO14-AO12)))))</f>
        <v>4</v>
      </c>
      <c r="X13" s="30" t="str">
        <f t="shared" si="4"/>
        <v>WW</v>
      </c>
      <c r="Y13" s="30" t="str">
        <f t="shared" si="5"/>
        <v>-</v>
      </c>
      <c r="Z13" s="29" t="b">
        <f t="shared" si="6"/>
        <v>0</v>
      </c>
      <c r="AA13" s="29" t="b">
        <f t="shared" si="7"/>
        <v>0</v>
      </c>
      <c r="AB13" s="29" t="str">
        <f t="shared" ca="1" si="8"/>
        <v>++</v>
      </c>
      <c r="AC13" s="29">
        <f t="shared" si="34"/>
        <v>10</v>
      </c>
      <c r="AD13" s="29">
        <f t="shared" ca="1" si="9"/>
        <v>10</v>
      </c>
      <c r="AE13" s="29">
        <v>10</v>
      </c>
      <c r="AF13" s="31">
        <f t="shared" si="42"/>
        <v>6</v>
      </c>
      <c r="AG13" s="29" t="b">
        <f t="shared" si="11"/>
        <v>1</v>
      </c>
      <c r="AH13" s="30" t="str">
        <f t="shared" ca="1" si="12"/>
        <v>141-4</v>
      </c>
      <c r="AI13" s="30" t="str">
        <f t="shared" ca="1" si="13"/>
        <v/>
      </c>
      <c r="AJ13" s="29">
        <f t="shared" ca="1" si="14"/>
        <v>0</v>
      </c>
      <c r="AK13" s="29" t="str">
        <f t="shared" ca="1" si="15"/>
        <v>4/3</v>
      </c>
      <c r="AL13" s="29">
        <f t="shared" ca="1" si="16"/>
        <v>1.3333333333333333</v>
      </c>
      <c r="AM13" s="32">
        <f t="shared" ca="1" si="35"/>
        <v>1.3333333333333333</v>
      </c>
      <c r="AO13" s="20">
        <f>Tools!$AD12</f>
        <v>7</v>
      </c>
      <c r="AP13" s="33" t="str">
        <f t="shared" si="36"/>
        <v xml:space="preserve">  </v>
      </c>
      <c r="AQ13" s="34" t="str">
        <f t="shared" ca="1" si="18"/>
        <v>4/3</v>
      </c>
      <c r="AR13" s="23" t="str">
        <f t="shared" ca="1" si="19"/>
        <v xml:space="preserve">  </v>
      </c>
      <c r="AS13" s="24">
        <f t="shared" si="20"/>
        <v>-3</v>
      </c>
      <c r="AT13" s="23" t="str">
        <f t="shared" ca="1" si="37"/>
        <v xml:space="preserve">  </v>
      </c>
      <c r="AU13" s="23" t="str">
        <f t="shared" ca="1" si="40"/>
        <v xml:space="preserve">  </v>
      </c>
      <c r="AV13" s="23" t="str">
        <f t="shared" si="21"/>
        <v xml:space="preserve">  </v>
      </c>
      <c r="AW13" s="23" t="str">
        <f t="shared" ca="1" si="22"/>
        <v xml:space="preserve">  </v>
      </c>
      <c r="AY13" s="35" t="str">
        <f t="shared" si="23"/>
        <v xml:space="preserve"> </v>
      </c>
      <c r="AZ13" s="23" t="str">
        <f t="shared" ca="1" si="41"/>
        <v xml:space="preserve">  </v>
      </c>
      <c r="BA13" s="36" t="str">
        <f t="shared" si="25"/>
        <v xml:space="preserve"> </v>
      </c>
      <c r="BB13" s="27" t="str">
        <f t="shared" ca="1" si="38"/>
        <v xml:space="preserve">  </v>
      </c>
      <c r="BC13" s="23" t="str">
        <f t="shared" ca="1" si="39"/>
        <v xml:space="preserve">  </v>
      </c>
      <c r="BE13" s="47" t="s">
        <v>36</v>
      </c>
      <c r="BF13" s="48" t="s">
        <v>41</v>
      </c>
      <c r="BG13" s="49" t="str">
        <f>IF(WL_No="  ","  ",2*(h^2)*$AT$29)</f>
        <v xml:space="preserve">  </v>
      </c>
    </row>
    <row r="14" spans="1:60" x14ac:dyDescent="0.25">
      <c r="A14" s="20">
        <f>Tools!$AD13</f>
        <v>8</v>
      </c>
      <c r="B14" s="33" t="str">
        <f t="shared" si="0"/>
        <v xml:space="preserve">  </v>
      </c>
      <c r="C14" s="22">
        <f>IF(A14="  ","  ",IF(AND(A13="  ",A15="  "),"?",IF(A13="  ",1*(A15-A14),IF(A15="  ",1*(A14-A13),1*(A15-A13)))))</f>
        <v>2</v>
      </c>
      <c r="D14" s="23" t="str">
        <f t="shared" si="26"/>
        <v xml:space="preserve">  </v>
      </c>
      <c r="E14" s="24">
        <f t="shared" si="1"/>
        <v>-2</v>
      </c>
      <c r="F14" s="23" t="str">
        <f t="shared" si="27"/>
        <v xml:space="preserve">  </v>
      </c>
      <c r="G14" s="23" t="str">
        <f t="shared" si="28"/>
        <v xml:space="preserve">  </v>
      </c>
      <c r="H14" s="23" t="str">
        <f t="shared" si="29"/>
        <v xml:space="preserve">  </v>
      </c>
      <c r="I14" s="23" t="str">
        <f t="shared" si="30"/>
        <v xml:space="preserve">  </v>
      </c>
      <c r="J14" s="4"/>
      <c r="K14" s="37" t="str">
        <f t="shared" si="2"/>
        <v xml:space="preserve"> </v>
      </c>
      <c r="L14" s="23" t="str">
        <f t="shared" si="31"/>
        <v xml:space="preserve">  </v>
      </c>
      <c r="M14" s="38" t="str">
        <f t="shared" si="3"/>
        <v xml:space="preserve"> </v>
      </c>
      <c r="N14" s="27" t="str">
        <f t="shared" si="32"/>
        <v xml:space="preserve">  </v>
      </c>
      <c r="O14" s="23" t="str">
        <f t="shared" si="33"/>
        <v xml:space="preserve">  </v>
      </c>
      <c r="P14" s="4"/>
      <c r="Q14" s="50" t="s">
        <v>42</v>
      </c>
      <c r="R14" s="48" t="s">
        <v>43</v>
      </c>
      <c r="S14" t="str">
        <f>IF(Tools!$L$49="Use 141 rule only",I38,IF(Tools!$L$49="Use 141 and 1331 rules",BG15," "))</f>
        <v xml:space="preserve">  </v>
      </c>
      <c r="W14" s="29">
        <f>IF(AO14="  ","  ",IF(AND(AO13="  ",AO15="  "),"?",IF(AO13="  ",1*(AO15-AO14),IF(AO15="  ",1*(AO14-AO13),1*(AO15-AO13)))))</f>
        <v>2</v>
      </c>
      <c r="X14" s="30" t="str">
        <f t="shared" si="4"/>
        <v>WW</v>
      </c>
      <c r="Y14" s="30" t="str">
        <f t="shared" si="5"/>
        <v>-</v>
      </c>
      <c r="Z14" s="29" t="b">
        <f t="shared" si="6"/>
        <v>0</v>
      </c>
      <c r="AA14" s="29" t="b">
        <f t="shared" si="7"/>
        <v>0</v>
      </c>
      <c r="AB14" s="29" t="str">
        <f t="shared" ca="1" si="8"/>
        <v>++</v>
      </c>
      <c r="AC14" s="29">
        <f t="shared" si="34"/>
        <v>11</v>
      </c>
      <c r="AD14" s="29">
        <f t="shared" ca="1" si="9"/>
        <v>11</v>
      </c>
      <c r="AE14" s="29">
        <v>11</v>
      </c>
      <c r="AF14" s="31">
        <f t="shared" si="42"/>
        <v>7</v>
      </c>
      <c r="AG14" s="29" t="b">
        <f t="shared" si="11"/>
        <v>1</v>
      </c>
      <c r="AH14" s="30" t="str">
        <f ca="1">IF(AND(AG14=TRUE,$AH$1=1),"141-4",IF(AG14=" ",IF(AND($AH$1=2,AF14=3),"141-1","-"),IF(OR(AG14=FALSE,AG14=" "),"-",IF(AG14=TRUE,IF(AND($AH$1=2,AF14=1),"141-1",IF(AND($AH$1=2,AF14=2),"141-4",IF(OR(ISODD($AH$1),AF14&gt;4),IF(AF14=1,"141-1",IF(OR(AB14="141-1",AB14="1331-1",AB14="1331-1,141-1"),"141-1",IF(AG15=" ","141-1",IF(OR(AH13="141-1",AH13="141-2",AH13="1331-1,141-1"),"141-4",IF(AH13="141-4","141-2","$$"))))),IF(ISEVEN($AH$1),IF(AF14=1,"1331-1",IF(OR(AF14=2,AF14=3),"1331-3",IF(AF14=4,IF($AH$1=4,"1331-1","1331-1,141-1"),"")))))))))))</f>
        <v>141-2</v>
      </c>
      <c r="AI14" s="30" t="str">
        <f t="shared" ca="1" si="13"/>
        <v/>
      </c>
      <c r="AJ14" s="29">
        <f t="shared" ca="1" si="14"/>
        <v>0</v>
      </c>
      <c r="AK14" s="29" t="str">
        <f t="shared" ca="1" si="15"/>
        <v>2/3</v>
      </c>
      <c r="AL14" s="29">
        <f t="shared" ca="1" si="16"/>
        <v>0.66666666666666663</v>
      </c>
      <c r="AM14" s="32">
        <f t="shared" ca="1" si="35"/>
        <v>0.66666666666666663</v>
      </c>
      <c r="AO14" s="20">
        <f>Tools!$AD13</f>
        <v>8</v>
      </c>
      <c r="AP14" s="33" t="str">
        <f t="shared" si="36"/>
        <v xml:space="preserve">  </v>
      </c>
      <c r="AQ14" s="34" t="str">
        <f t="shared" ca="1" si="18"/>
        <v>2/3</v>
      </c>
      <c r="AR14" s="23" t="str">
        <f t="shared" ca="1" si="19"/>
        <v xml:space="preserve">  </v>
      </c>
      <c r="AS14" s="24">
        <f t="shared" si="20"/>
        <v>-2</v>
      </c>
      <c r="AT14" s="23" t="str">
        <f t="shared" ca="1" si="37"/>
        <v xml:space="preserve">  </v>
      </c>
      <c r="AU14" s="23" t="str">
        <f t="shared" ca="1" si="40"/>
        <v xml:space="preserve">  </v>
      </c>
      <c r="AV14" s="23" t="str">
        <f t="shared" si="21"/>
        <v xml:space="preserve">  </v>
      </c>
      <c r="AW14" s="23" t="str">
        <f t="shared" ca="1" si="22"/>
        <v xml:space="preserve">  </v>
      </c>
      <c r="AY14" s="35" t="str">
        <f t="shared" si="23"/>
        <v xml:space="preserve"> </v>
      </c>
      <c r="AZ14" s="23" t="str">
        <f t="shared" ca="1" si="41"/>
        <v xml:space="preserve">  </v>
      </c>
      <c r="BA14" s="36" t="str">
        <f t="shared" si="25"/>
        <v xml:space="preserve"> </v>
      </c>
      <c r="BB14" s="27" t="str">
        <f t="shared" ca="1" si="38"/>
        <v xml:space="preserve">  </v>
      </c>
      <c r="BC14" s="23" t="str">
        <f t="shared" ca="1" si="39"/>
        <v xml:space="preserve">  </v>
      </c>
      <c r="BE14" s="50" t="s">
        <v>39</v>
      </c>
      <c r="BF14" s="48" t="s">
        <v>40</v>
      </c>
      <c r="BG14" s="49" t="str">
        <f>IF(WL_No="  ","  ",Mmid/AWP)</f>
        <v xml:space="preserve">  </v>
      </c>
    </row>
    <row r="15" spans="1:60" x14ac:dyDescent="0.25">
      <c r="A15" s="20">
        <f>Tools!$AD14</f>
        <v>9</v>
      </c>
      <c r="B15" s="33" t="str">
        <f t="shared" si="0"/>
        <v xml:space="preserve">  </v>
      </c>
      <c r="C15" s="22">
        <f>IF(A15="  ","  ",IF(AND(A14="  ",A16="  "),"?",IF(A14="  ",2*(A16-A15),IF(A16="  ",2*(A15-A14),2*(A16-A14)))))</f>
        <v>4</v>
      </c>
      <c r="D15" s="23" t="str">
        <f t="shared" si="26"/>
        <v xml:space="preserve">  </v>
      </c>
      <c r="E15" s="24">
        <f t="shared" si="1"/>
        <v>-1</v>
      </c>
      <c r="F15" s="23" t="str">
        <f t="shared" si="27"/>
        <v xml:space="preserve">  </v>
      </c>
      <c r="G15" s="23" t="str">
        <f t="shared" si="28"/>
        <v xml:space="preserve">  </v>
      </c>
      <c r="H15" s="23" t="str">
        <f t="shared" si="29"/>
        <v xml:space="preserve">  </v>
      </c>
      <c r="I15" s="23" t="str">
        <f t="shared" si="30"/>
        <v xml:space="preserve">  </v>
      </c>
      <c r="J15" s="4"/>
      <c r="K15" s="37" t="str">
        <f t="shared" si="2"/>
        <v xml:space="preserve"> </v>
      </c>
      <c r="L15" s="23" t="str">
        <f t="shared" si="31"/>
        <v xml:space="preserve">  </v>
      </c>
      <c r="M15" s="38" t="str">
        <f t="shared" si="3"/>
        <v xml:space="preserve"> </v>
      </c>
      <c r="N15" s="27" t="str">
        <f t="shared" si="32"/>
        <v xml:space="preserve">  </v>
      </c>
      <c r="O15" s="23" t="str">
        <f t="shared" si="33"/>
        <v xml:space="preserve">  </v>
      </c>
      <c r="P15" s="4"/>
      <c r="Q15" s="51" t="s">
        <v>44</v>
      </c>
      <c r="R15" s="48" t="s">
        <v>45</v>
      </c>
      <c r="S15" t="str">
        <f>IF(Tools!$L$49="Use 141 rule only",I39,IF(Tools!$L$49="Use 141 and 1331 rules",BG16," "))</f>
        <v xml:space="preserve">  </v>
      </c>
      <c r="W15" s="29">
        <f>IF(AO15="  ","  ",IF(AND(AO14="  ",AO16="  "),"?",IF(AO14="  ",2*(AO16-AO15),IF(AO16="  ",2*(AO15-AO14),2*(AO16-AO14)))))</f>
        <v>4</v>
      </c>
      <c r="X15" s="30" t="str">
        <f t="shared" si="4"/>
        <v>WW</v>
      </c>
      <c r="Y15" s="30" t="str">
        <f t="shared" si="5"/>
        <v>-</v>
      </c>
      <c r="Z15" s="29" t="b">
        <f t="shared" si="6"/>
        <v>0</v>
      </c>
      <c r="AA15" s="29" t="b">
        <f t="shared" si="7"/>
        <v>0</v>
      </c>
      <c r="AB15" s="29" t="str">
        <f t="shared" ca="1" si="8"/>
        <v>++</v>
      </c>
      <c r="AC15" s="29">
        <f t="shared" si="34"/>
        <v>12</v>
      </c>
      <c r="AD15" s="29">
        <f t="shared" ca="1" si="9"/>
        <v>12</v>
      </c>
      <c r="AE15" s="29">
        <v>12</v>
      </c>
      <c r="AF15" s="31">
        <f t="shared" si="42"/>
        <v>8</v>
      </c>
      <c r="AG15" s="29" t="b">
        <f t="shared" si="11"/>
        <v>1</v>
      </c>
      <c r="AH15" s="30" t="str">
        <f t="shared" ref="AH15:AH28" ca="1" si="43">IF(AND(AG15=TRUE,$AH$1=1),"141-4",IF(AG15=" ",IF(AND($AH$1=2,AF15=3),"141-1","-"),IF(OR(AG15=FALSE,AG15=" "),"-",IF(AG15=TRUE,IF(AND($AH$1=2,AF15=1),"141-1",IF(AND($AH$1=2,AF15=2),"141-4",IF(OR(ISODD($AH$1),AF15&gt;4),IF(AF15=1,"141-1",IF(OR(AB15="141-1",AB15="1331-1",AB15="1331-1,141-1"),"141-1",IF(AG16=" ","141-1",IF(OR(AH14="141-1",AH14="141-2",AH14="1331-1,141-1"),"141-4",IF(AH14="141-4","141-2","$$"))))),IF(ISEVEN($AH$1),IF(AF15=1,"1331-1",IF(OR(AF15=2,AF15=3),"1331-3",IF(AF15=4,IF($AH$1=4,"1331-1","1331-1,141-1"),"")))))))))))</f>
        <v>141-4</v>
      </c>
      <c r="AI15" s="30" t="str">
        <f t="shared" ca="1" si="13"/>
        <v/>
      </c>
      <c r="AJ15" s="29">
        <f t="shared" ca="1" si="14"/>
        <v>0</v>
      </c>
      <c r="AK15" s="29" t="str">
        <f t="shared" ca="1" si="15"/>
        <v>4/3</v>
      </c>
      <c r="AL15" s="29">
        <f t="shared" ca="1" si="16"/>
        <v>1.3333333333333333</v>
      </c>
      <c r="AM15" s="32">
        <f t="shared" ca="1" si="35"/>
        <v>1.3333333333333333</v>
      </c>
      <c r="AO15" s="20">
        <f>Tools!$AD14</f>
        <v>9</v>
      </c>
      <c r="AP15" s="33" t="str">
        <f t="shared" si="36"/>
        <v xml:space="preserve">  </v>
      </c>
      <c r="AQ15" s="34" t="str">
        <f t="shared" ca="1" si="18"/>
        <v>4/3</v>
      </c>
      <c r="AR15" s="23" t="str">
        <f t="shared" ca="1" si="19"/>
        <v xml:space="preserve">  </v>
      </c>
      <c r="AS15" s="24">
        <f t="shared" si="20"/>
        <v>-1</v>
      </c>
      <c r="AT15" s="23" t="str">
        <f t="shared" ca="1" si="37"/>
        <v xml:space="preserve">  </v>
      </c>
      <c r="AU15" s="23" t="str">
        <f t="shared" ca="1" si="40"/>
        <v xml:space="preserve">  </v>
      </c>
      <c r="AV15" s="23" t="str">
        <f t="shared" si="21"/>
        <v xml:space="preserve">  </v>
      </c>
      <c r="AW15" s="23" t="str">
        <f t="shared" ca="1" si="22"/>
        <v xml:space="preserve">  </v>
      </c>
      <c r="AY15" s="35" t="str">
        <f t="shared" si="23"/>
        <v xml:space="preserve"> </v>
      </c>
      <c r="AZ15" s="23" t="str">
        <f t="shared" ca="1" si="41"/>
        <v xml:space="preserve">  </v>
      </c>
      <c r="BA15" s="36" t="str">
        <f t="shared" si="25"/>
        <v xml:space="preserve"> </v>
      </c>
      <c r="BB15" s="27" t="str">
        <f ca="1">IFERROR(BA15*AM15,"  ")</f>
        <v xml:space="preserve">  </v>
      </c>
      <c r="BC15" s="23" t="str">
        <f t="shared" ca="1" si="39"/>
        <v xml:space="preserve">  </v>
      </c>
      <c r="BE15" s="50" t="s">
        <v>42</v>
      </c>
      <c r="BF15" s="48" t="s">
        <v>46</v>
      </c>
      <c r="BG15" s="49" t="str">
        <f>IF(WL_No="  ","  ",2*(h^3)*$AU$29)</f>
        <v xml:space="preserve">  </v>
      </c>
    </row>
    <row r="16" spans="1:60" x14ac:dyDescent="0.25">
      <c r="A16" s="20">
        <f>Tools!$AD15</f>
        <v>10</v>
      </c>
      <c r="B16" s="33" t="str">
        <f t="shared" si="0"/>
        <v xml:space="preserve">  </v>
      </c>
      <c r="C16" s="22">
        <f>IF(A16="  ","  ",IF(AND(A15="  ",A17="  "),"?",IF(A15="  ",1*(A17-A16),IF(A17="  ",1*(A16-A15),1*(A17-A15)))))</f>
        <v>2</v>
      </c>
      <c r="D16" s="23" t="str">
        <f t="shared" si="26"/>
        <v xml:space="preserve">  </v>
      </c>
      <c r="E16" s="24">
        <f t="shared" si="1"/>
        <v>0</v>
      </c>
      <c r="F16" s="23" t="str">
        <f t="shared" si="27"/>
        <v xml:space="preserve">  </v>
      </c>
      <c r="G16" s="23" t="str">
        <f t="shared" si="28"/>
        <v xml:space="preserve">  </v>
      </c>
      <c r="H16" s="23" t="str">
        <f t="shared" si="29"/>
        <v xml:space="preserve">  </v>
      </c>
      <c r="I16" s="23" t="str">
        <f t="shared" si="30"/>
        <v xml:space="preserve">  </v>
      </c>
      <c r="J16" s="4"/>
      <c r="K16" s="37" t="str">
        <f t="shared" si="2"/>
        <v xml:space="preserve"> </v>
      </c>
      <c r="L16" s="23" t="str">
        <f t="shared" si="31"/>
        <v xml:space="preserve">  </v>
      </c>
      <c r="M16" s="38" t="str">
        <f t="shared" si="3"/>
        <v xml:space="preserve"> </v>
      </c>
      <c r="N16" s="27" t="str">
        <f t="shared" si="32"/>
        <v xml:space="preserve">  </v>
      </c>
      <c r="O16" s="23" t="str">
        <f t="shared" si="33"/>
        <v xml:space="preserve">  </v>
      </c>
      <c r="P16" s="4"/>
      <c r="Q16" s="50" t="s">
        <v>47</v>
      </c>
      <c r="R16" s="48" t="s">
        <v>48</v>
      </c>
      <c r="S16" t="str">
        <f>IF(Tools!$L$49="Use 141 rule only",I40,IF(Tools!$L$49="Use 141 and 1331 rules",BG17," "))</f>
        <v xml:space="preserve">  </v>
      </c>
      <c r="W16" s="29">
        <f>IF(AO16="  ","  ",IF(AND(AO15="  ",AO17="  "),"?",IF(AO15="  ",1*(AO17-AO16),IF(AO17="  ",1*(AO16-AO15),1*(AO17-AO15)))))</f>
        <v>2</v>
      </c>
      <c r="X16" s="30" t="str">
        <f t="shared" si="4"/>
        <v>WW</v>
      </c>
      <c r="Y16" s="30" t="str">
        <f t="shared" si="5"/>
        <v>-</v>
      </c>
      <c r="Z16" s="29" t="b">
        <f t="shared" si="6"/>
        <v>0</v>
      </c>
      <c r="AA16" s="29" t="b">
        <f t="shared" si="7"/>
        <v>0</v>
      </c>
      <c r="AB16" s="29" t="str">
        <f t="shared" ca="1" si="8"/>
        <v>++</v>
      </c>
      <c r="AC16" s="29">
        <f t="shared" si="34"/>
        <v>13</v>
      </c>
      <c r="AD16" s="29">
        <f t="shared" ca="1" si="9"/>
        <v>13</v>
      </c>
      <c r="AE16" s="29">
        <v>13</v>
      </c>
      <c r="AF16" s="31">
        <f t="shared" si="42"/>
        <v>9</v>
      </c>
      <c r="AG16" s="29" t="b">
        <f t="shared" si="11"/>
        <v>1</v>
      </c>
      <c r="AH16" s="30" t="str">
        <f t="shared" ca="1" si="43"/>
        <v>141-2</v>
      </c>
      <c r="AI16" s="30" t="str">
        <f t="shared" ca="1" si="13"/>
        <v/>
      </c>
      <c r="AJ16" s="29">
        <f t="shared" ca="1" si="14"/>
        <v>0</v>
      </c>
      <c r="AK16" s="29" t="str">
        <f t="shared" ca="1" si="15"/>
        <v>2/3</v>
      </c>
      <c r="AL16" s="29">
        <f t="shared" ca="1" si="16"/>
        <v>0.66666666666666663</v>
      </c>
      <c r="AM16" s="32">
        <f t="shared" ca="1" si="35"/>
        <v>0.66666666666666663</v>
      </c>
      <c r="AO16" s="20">
        <f>Tools!$AD15</f>
        <v>10</v>
      </c>
      <c r="AP16" s="33" t="str">
        <f t="shared" si="36"/>
        <v xml:space="preserve">  </v>
      </c>
      <c r="AQ16" s="34" t="str">
        <f t="shared" ca="1" si="18"/>
        <v>2/3</v>
      </c>
      <c r="AR16" s="23" t="str">
        <f t="shared" ca="1" si="19"/>
        <v xml:space="preserve">  </v>
      </c>
      <c r="AS16" s="24">
        <f t="shared" si="20"/>
        <v>0</v>
      </c>
      <c r="AT16" s="23" t="str">
        <f t="shared" ca="1" si="37"/>
        <v xml:space="preserve">  </v>
      </c>
      <c r="AU16" s="23" t="str">
        <f t="shared" ca="1" si="40"/>
        <v xml:space="preserve">  </v>
      </c>
      <c r="AV16" s="23" t="str">
        <f t="shared" si="21"/>
        <v xml:space="preserve">  </v>
      </c>
      <c r="AW16" s="23" t="str">
        <f t="shared" ca="1" si="22"/>
        <v xml:space="preserve">  </v>
      </c>
      <c r="AY16" s="35" t="str">
        <f t="shared" si="23"/>
        <v xml:space="preserve"> </v>
      </c>
      <c r="AZ16" s="23" t="str">
        <f t="shared" ca="1" si="41"/>
        <v xml:space="preserve">  </v>
      </c>
      <c r="BA16" s="36" t="str">
        <f t="shared" si="25"/>
        <v xml:space="preserve"> </v>
      </c>
      <c r="BB16" s="27" t="str">
        <f t="shared" ca="1" si="38"/>
        <v xml:space="preserve">  </v>
      </c>
      <c r="BC16" s="23" t="str">
        <f ca="1">IFERROR(AZ16*AS16,"  ")</f>
        <v xml:space="preserve">  </v>
      </c>
      <c r="BE16" s="51" t="s">
        <v>44</v>
      </c>
      <c r="BF16" s="48" t="s">
        <v>49</v>
      </c>
      <c r="BG16" s="49" t="str">
        <f>IF(WL_No="  ","  ",2/3*h*$AW$29)</f>
        <v xml:space="preserve">  </v>
      </c>
    </row>
    <row r="17" spans="1:59" x14ac:dyDescent="0.25">
      <c r="A17" s="20">
        <f>Tools!$AD16</f>
        <v>11</v>
      </c>
      <c r="B17" s="33" t="str">
        <f t="shared" si="0"/>
        <v xml:space="preserve">  </v>
      </c>
      <c r="C17" s="22">
        <f>IF(A17="  ","  ",IF(AND(A16="  ",A18="  "),"?",IF(A16="  ",2*(A18-A17),IF(A18="  ",2*(A17-A16),2*(A18-A16)))))</f>
        <v>4</v>
      </c>
      <c r="D17" s="23" t="str">
        <f t="shared" si="26"/>
        <v xml:space="preserve">  </v>
      </c>
      <c r="E17" s="24">
        <f t="shared" si="1"/>
        <v>1</v>
      </c>
      <c r="F17" s="23" t="str">
        <f t="shared" si="27"/>
        <v xml:space="preserve">  </v>
      </c>
      <c r="G17" s="23" t="str">
        <f t="shared" si="28"/>
        <v xml:space="preserve">  </v>
      </c>
      <c r="H17" s="23" t="str">
        <f t="shared" si="29"/>
        <v xml:space="preserve">  </v>
      </c>
      <c r="I17" s="23" t="str">
        <f t="shared" si="30"/>
        <v xml:space="preserve">  </v>
      </c>
      <c r="J17" s="4"/>
      <c r="K17" s="37" t="str">
        <f t="shared" si="2"/>
        <v xml:space="preserve"> </v>
      </c>
      <c r="L17" s="23" t="str">
        <f t="shared" si="31"/>
        <v xml:space="preserve">  </v>
      </c>
      <c r="M17" s="38" t="str">
        <f t="shared" si="3"/>
        <v xml:space="preserve"> </v>
      </c>
      <c r="N17" s="27" t="str">
        <f t="shared" si="32"/>
        <v xml:space="preserve">  </v>
      </c>
      <c r="O17" s="23" t="str">
        <f t="shared" si="33"/>
        <v xml:space="preserve">  </v>
      </c>
      <c r="P17" s="4"/>
      <c r="Q17" s="50" t="s">
        <v>50</v>
      </c>
      <c r="R17" s="48" t="s">
        <v>51</v>
      </c>
      <c r="S17" t="str">
        <f>IF(Tools!$L$49="Use 141 rule only",I41,IF(Tools!$L$49="Use 141 and 1331 rules",BG18," "))</f>
        <v xml:space="preserve">  </v>
      </c>
      <c r="W17" s="29">
        <f>IF(AO17="  ","  ",IF(AND(AO16="  ",AO18="  "),"?",IF(AO16="  ",2*(AO18-AO17),IF(AO18="  ",2*(AO17-AO16),2*(AO18-AO16)))))</f>
        <v>4</v>
      </c>
      <c r="X17" s="30" t="str">
        <f t="shared" si="4"/>
        <v>WW</v>
      </c>
      <c r="Y17" s="30" t="str">
        <f t="shared" si="5"/>
        <v>-</v>
      </c>
      <c r="Z17" s="29" t="b">
        <f t="shared" si="6"/>
        <v>0</v>
      </c>
      <c r="AA17" s="29" t="b">
        <f t="shared" si="7"/>
        <v>0</v>
      </c>
      <c r="AB17" s="29" t="str">
        <f t="shared" ca="1" si="8"/>
        <v>++</v>
      </c>
      <c r="AC17" s="29">
        <f t="shared" si="34"/>
        <v>12</v>
      </c>
      <c r="AD17" s="29">
        <f t="shared" ca="1" si="9"/>
        <v>12</v>
      </c>
      <c r="AE17" s="29">
        <v>14</v>
      </c>
      <c r="AF17" s="31">
        <f t="shared" si="42"/>
        <v>10</v>
      </c>
      <c r="AG17" s="29" t="b">
        <f t="shared" si="11"/>
        <v>1</v>
      </c>
      <c r="AH17" s="30" t="str">
        <f t="shared" ca="1" si="43"/>
        <v>141-4</v>
      </c>
      <c r="AI17" s="30" t="str">
        <f t="shared" ca="1" si="13"/>
        <v/>
      </c>
      <c r="AJ17" s="29">
        <f t="shared" ca="1" si="14"/>
        <v>0</v>
      </c>
      <c r="AK17" s="29" t="str">
        <f t="shared" ca="1" si="15"/>
        <v>4/3</v>
      </c>
      <c r="AL17" s="29">
        <f t="shared" ca="1" si="16"/>
        <v>1.3333333333333333</v>
      </c>
      <c r="AM17" s="32">
        <f t="shared" ca="1" si="35"/>
        <v>1.3333333333333333</v>
      </c>
      <c r="AO17" s="20">
        <f>Tools!$AD16</f>
        <v>11</v>
      </c>
      <c r="AP17" s="33" t="str">
        <f t="shared" si="36"/>
        <v xml:space="preserve">  </v>
      </c>
      <c r="AQ17" s="34" t="str">
        <f t="shared" ca="1" si="18"/>
        <v>4/3</v>
      </c>
      <c r="AR17" s="23" t="str">
        <f t="shared" ca="1" si="19"/>
        <v xml:space="preserve">  </v>
      </c>
      <c r="AS17" s="24">
        <f t="shared" si="20"/>
        <v>1</v>
      </c>
      <c r="AT17" s="23" t="str">
        <f t="shared" ca="1" si="37"/>
        <v xml:space="preserve">  </v>
      </c>
      <c r="AU17" s="23" t="str">
        <f t="shared" ca="1" si="40"/>
        <v xml:space="preserve">  </v>
      </c>
      <c r="AV17" s="23" t="str">
        <f t="shared" si="21"/>
        <v xml:space="preserve">  </v>
      </c>
      <c r="AW17" s="23" t="str">
        <f t="shared" ca="1" si="22"/>
        <v xml:space="preserve">  </v>
      </c>
      <c r="AY17" s="35" t="str">
        <f t="shared" si="23"/>
        <v xml:space="preserve"> </v>
      </c>
      <c r="AZ17" s="23" t="str">
        <f t="shared" ca="1" si="41"/>
        <v xml:space="preserve">  </v>
      </c>
      <c r="BA17" s="36" t="str">
        <f t="shared" si="25"/>
        <v xml:space="preserve"> </v>
      </c>
      <c r="BB17" s="27" t="str">
        <f t="shared" ca="1" si="38"/>
        <v xml:space="preserve">  </v>
      </c>
      <c r="BC17" s="23" t="str">
        <f t="shared" ca="1" si="39"/>
        <v xml:space="preserve">  </v>
      </c>
      <c r="BE17" s="50" t="s">
        <v>47</v>
      </c>
      <c r="BF17" s="48" t="s">
        <v>48</v>
      </c>
      <c r="BG17" s="49" t="str">
        <f>IF(WL_No="  ","  ",IL-AWP*(LCF^2))</f>
        <v xml:space="preserve">  </v>
      </c>
    </row>
    <row r="18" spans="1:59" x14ac:dyDescent="0.25">
      <c r="A18" s="20">
        <f>Tools!$AD17</f>
        <v>12</v>
      </c>
      <c r="B18" s="33" t="str">
        <f t="shared" si="0"/>
        <v xml:space="preserve">  </v>
      </c>
      <c r="C18" s="22">
        <f>IF(A18="  ","  ",IF(AND(A17="  ",A19="  "),"?",IF(A17="  ",1*(A19-A18),IF(A19="  ",1*(A18-A17),1*(A19-A17)))))</f>
        <v>2</v>
      </c>
      <c r="D18" s="23" t="str">
        <f t="shared" si="26"/>
        <v xml:space="preserve">  </v>
      </c>
      <c r="E18" s="24">
        <f t="shared" si="1"/>
        <v>2</v>
      </c>
      <c r="F18" s="23" t="str">
        <f t="shared" si="27"/>
        <v xml:space="preserve">  </v>
      </c>
      <c r="G18" s="23" t="str">
        <f t="shared" si="28"/>
        <v xml:space="preserve">  </v>
      </c>
      <c r="H18" s="23" t="str">
        <f t="shared" si="29"/>
        <v xml:space="preserve">  </v>
      </c>
      <c r="I18" s="23" t="str">
        <f t="shared" si="30"/>
        <v xml:space="preserve">  </v>
      </c>
      <c r="J18" s="4"/>
      <c r="K18" s="37" t="str">
        <f t="shared" si="2"/>
        <v xml:space="preserve"> </v>
      </c>
      <c r="L18" s="23" t="str">
        <f t="shared" si="31"/>
        <v xml:space="preserve">  </v>
      </c>
      <c r="M18" s="38" t="str">
        <f t="shared" si="3"/>
        <v xml:space="preserve"> </v>
      </c>
      <c r="N18" s="27" t="str">
        <f t="shared" si="32"/>
        <v xml:space="preserve">  </v>
      </c>
      <c r="O18" s="23" t="str">
        <f t="shared" si="33"/>
        <v xml:space="preserve">  </v>
      </c>
      <c r="P18" s="4"/>
      <c r="Q18" s="50" t="s">
        <v>52</v>
      </c>
      <c r="R18" s="48" t="s">
        <v>53</v>
      </c>
      <c r="S18" t="str">
        <f>IF(Tools!$L$49="Use 141 rule only",I42,IF(Tools!$L$49="Use 141 and 1331 rules",BG19," "))</f>
        <v xml:space="preserve">  </v>
      </c>
      <c r="W18" s="29">
        <f>IF(AO18="  ","  ",IF(AND(AO17="  ",AO19="  "),"?",IF(AO17="  ",1*(AO19-AO18),IF(AO19="  ",1*(AO18-AO17),1*(AO19-AO17)))))</f>
        <v>2</v>
      </c>
      <c r="X18" s="30" t="str">
        <f t="shared" si="4"/>
        <v>WW</v>
      </c>
      <c r="Y18" s="30" t="str">
        <f t="shared" si="5"/>
        <v>-</v>
      </c>
      <c r="Z18" s="29" t="b">
        <f t="shared" si="6"/>
        <v>0</v>
      </c>
      <c r="AA18" s="29" t="b">
        <f t="shared" si="7"/>
        <v>0</v>
      </c>
      <c r="AB18" s="29" t="str">
        <f t="shared" ca="1" si="8"/>
        <v>++</v>
      </c>
      <c r="AC18" s="29">
        <f t="shared" si="34"/>
        <v>11</v>
      </c>
      <c r="AD18" s="29">
        <f t="shared" ca="1" si="9"/>
        <v>11</v>
      </c>
      <c r="AE18" s="29">
        <v>15</v>
      </c>
      <c r="AF18" s="31">
        <f t="shared" si="42"/>
        <v>11</v>
      </c>
      <c r="AG18" s="29" t="b">
        <f t="shared" si="11"/>
        <v>1</v>
      </c>
      <c r="AH18" s="30" t="str">
        <f t="shared" ca="1" si="43"/>
        <v>141-2</v>
      </c>
      <c r="AI18" s="30" t="str">
        <f t="shared" ca="1" si="13"/>
        <v/>
      </c>
      <c r="AJ18" s="29">
        <f t="shared" ca="1" si="14"/>
        <v>0</v>
      </c>
      <c r="AK18" s="29" t="str">
        <f t="shared" ca="1" si="15"/>
        <v>2/3</v>
      </c>
      <c r="AL18" s="29">
        <f t="shared" ca="1" si="16"/>
        <v>0.66666666666666663</v>
      </c>
      <c r="AM18" s="32">
        <f t="shared" ca="1" si="35"/>
        <v>0.66666666666666663</v>
      </c>
      <c r="AO18" s="20">
        <f>Tools!$AD17</f>
        <v>12</v>
      </c>
      <c r="AP18" s="33" t="str">
        <f t="shared" si="36"/>
        <v xml:space="preserve">  </v>
      </c>
      <c r="AQ18" s="34" t="str">
        <f t="shared" ca="1" si="18"/>
        <v>2/3</v>
      </c>
      <c r="AR18" s="23" t="str">
        <f t="shared" ca="1" si="19"/>
        <v xml:space="preserve">  </v>
      </c>
      <c r="AS18" s="24">
        <f t="shared" si="20"/>
        <v>2</v>
      </c>
      <c r="AT18" s="23" t="str">
        <f t="shared" ca="1" si="37"/>
        <v xml:space="preserve">  </v>
      </c>
      <c r="AU18" s="23" t="str">
        <f t="shared" ca="1" si="40"/>
        <v xml:space="preserve">  </v>
      </c>
      <c r="AV18" s="23" t="str">
        <f t="shared" si="21"/>
        <v xml:space="preserve">  </v>
      </c>
      <c r="AW18" s="23" t="str">
        <f t="shared" ca="1" si="22"/>
        <v xml:space="preserve">  </v>
      </c>
      <c r="AY18" s="35" t="str">
        <f t="shared" si="23"/>
        <v xml:space="preserve"> </v>
      </c>
      <c r="AZ18" s="23" t="str">
        <f t="shared" ca="1" si="41"/>
        <v xml:space="preserve">  </v>
      </c>
      <c r="BA18" s="36" t="str">
        <f t="shared" si="25"/>
        <v xml:space="preserve"> </v>
      </c>
      <c r="BB18" s="27" t="str">
        <f t="shared" ca="1" si="38"/>
        <v xml:space="preserve">  </v>
      </c>
      <c r="BC18" s="23" t="str">
        <f t="shared" ca="1" si="39"/>
        <v xml:space="preserve">  </v>
      </c>
      <c r="BE18" s="50" t="s">
        <v>50</v>
      </c>
      <c r="BF18" s="48" t="s">
        <v>54</v>
      </c>
      <c r="BG18" s="49" t="str">
        <f>IF(WL_No="  ","  ",h*$AZ$29)</f>
        <v xml:space="preserve">  </v>
      </c>
    </row>
    <row r="19" spans="1:59" x14ac:dyDescent="0.25">
      <c r="A19" s="20">
        <f>Tools!$AD18</f>
        <v>13</v>
      </c>
      <c r="B19" s="33" t="str">
        <f t="shared" si="0"/>
        <v xml:space="preserve">  </v>
      </c>
      <c r="C19" s="22">
        <f>IF(A19="  ","  ",IF(AND(A18="  ",A20="  "),"?",IF(A18="  ",2*(A20-A19),IF(A20="  ",2*(A19-A18),2*(A20-A18)))))</f>
        <v>4</v>
      </c>
      <c r="D19" s="23" t="str">
        <f t="shared" si="26"/>
        <v xml:space="preserve">  </v>
      </c>
      <c r="E19" s="24">
        <f t="shared" si="1"/>
        <v>3</v>
      </c>
      <c r="F19" s="23" t="str">
        <f t="shared" si="27"/>
        <v xml:space="preserve">  </v>
      </c>
      <c r="G19" s="23" t="str">
        <f t="shared" si="28"/>
        <v xml:space="preserve">  </v>
      </c>
      <c r="H19" s="23" t="str">
        <f t="shared" si="29"/>
        <v xml:space="preserve">  </v>
      </c>
      <c r="I19" s="23" t="str">
        <f t="shared" si="30"/>
        <v xml:space="preserve">  </v>
      </c>
      <c r="J19" s="4"/>
      <c r="K19" s="37" t="str">
        <f t="shared" si="2"/>
        <v xml:space="preserve"> </v>
      </c>
      <c r="L19" s="23" t="str">
        <f t="shared" si="31"/>
        <v xml:space="preserve">  </v>
      </c>
      <c r="M19" s="38" t="str">
        <f t="shared" si="3"/>
        <v xml:space="preserve"> </v>
      </c>
      <c r="N19" s="27" t="str">
        <f t="shared" si="32"/>
        <v xml:space="preserve">  </v>
      </c>
      <c r="O19" s="23" t="str">
        <f t="shared" si="33"/>
        <v xml:space="preserve">  </v>
      </c>
      <c r="P19" s="4"/>
      <c r="Q19" s="50" t="s">
        <v>55</v>
      </c>
      <c r="R19" s="48" t="s">
        <v>56</v>
      </c>
      <c r="S19" t="str">
        <f>IF(Tools!$L$49="Use 141 rule only",I43,IF(Tools!$L$49="Use 141 and 1331 rules",BG20," "))</f>
        <v xml:space="preserve">  </v>
      </c>
      <c r="W19" s="29">
        <f>IF(AO19="  ","  ",IF(AND(AO18="  ",AO20="  "),"?",IF(AO18="  ",2*(AO20-AO19),IF(AO20="  ",2*(AO19-AO18),2*(AO20-AO18)))))</f>
        <v>4</v>
      </c>
      <c r="X19" s="30" t="str">
        <f t="shared" si="4"/>
        <v>WW</v>
      </c>
      <c r="Y19" s="30" t="str">
        <f t="shared" si="5"/>
        <v>-</v>
      </c>
      <c r="Z19" s="29" t="b">
        <f t="shared" si="6"/>
        <v>0</v>
      </c>
      <c r="AA19" s="29" t="b">
        <f t="shared" si="7"/>
        <v>0</v>
      </c>
      <c r="AB19" s="29" t="str">
        <f t="shared" ca="1" si="8"/>
        <v>++</v>
      </c>
      <c r="AC19" s="29">
        <f t="shared" si="34"/>
        <v>10</v>
      </c>
      <c r="AD19" s="29">
        <f t="shared" ca="1" si="9"/>
        <v>10</v>
      </c>
      <c r="AE19" s="29">
        <v>16</v>
      </c>
      <c r="AF19" s="31">
        <f t="shared" si="42"/>
        <v>12</v>
      </c>
      <c r="AG19" s="29" t="b">
        <f t="shared" si="11"/>
        <v>1</v>
      </c>
      <c r="AH19" s="30" t="str">
        <f t="shared" ca="1" si="43"/>
        <v>141-4</v>
      </c>
      <c r="AI19" s="30" t="str">
        <f t="shared" ca="1" si="13"/>
        <v/>
      </c>
      <c r="AJ19" s="29">
        <f t="shared" ca="1" si="14"/>
        <v>0</v>
      </c>
      <c r="AK19" s="29" t="str">
        <f t="shared" ca="1" si="15"/>
        <v>4/3</v>
      </c>
      <c r="AL19" s="29">
        <f t="shared" ca="1" si="16"/>
        <v>1.3333333333333333</v>
      </c>
      <c r="AM19" s="32">
        <f t="shared" ca="1" si="35"/>
        <v>1.3333333333333333</v>
      </c>
      <c r="AO19" s="20">
        <f>Tools!$AD18</f>
        <v>13</v>
      </c>
      <c r="AP19" s="33" t="str">
        <f t="shared" si="36"/>
        <v xml:space="preserve">  </v>
      </c>
      <c r="AQ19" s="34" t="str">
        <f t="shared" ca="1" si="18"/>
        <v>4/3</v>
      </c>
      <c r="AR19" s="23" t="str">
        <f t="shared" ca="1" si="19"/>
        <v xml:space="preserve">  </v>
      </c>
      <c r="AS19" s="24">
        <f t="shared" si="20"/>
        <v>3</v>
      </c>
      <c r="AT19" s="23" t="str">
        <f t="shared" ca="1" si="37"/>
        <v xml:space="preserve">  </v>
      </c>
      <c r="AU19" s="23" t="str">
        <f t="shared" ca="1" si="40"/>
        <v xml:space="preserve">  </v>
      </c>
      <c r="AV19" s="23" t="str">
        <f t="shared" si="21"/>
        <v xml:space="preserve">  </v>
      </c>
      <c r="AW19" s="23" t="str">
        <f t="shared" ca="1" si="22"/>
        <v xml:space="preserve">  </v>
      </c>
      <c r="AY19" s="35" t="str">
        <f t="shared" si="23"/>
        <v xml:space="preserve"> </v>
      </c>
      <c r="AZ19" s="23" t="str">
        <f t="shared" ca="1" si="41"/>
        <v xml:space="preserve">  </v>
      </c>
      <c r="BA19" s="36" t="str">
        <f t="shared" si="25"/>
        <v xml:space="preserve"> </v>
      </c>
      <c r="BB19" s="27" t="str">
        <f t="shared" ca="1" si="38"/>
        <v xml:space="preserve">  </v>
      </c>
      <c r="BC19" s="23" t="str">
        <f t="shared" ca="1" si="39"/>
        <v xml:space="preserve">  </v>
      </c>
      <c r="BE19" s="50" t="s">
        <v>52</v>
      </c>
      <c r="BF19" s="48" t="s">
        <v>53</v>
      </c>
      <c r="BG19" s="49" t="str">
        <f>IF(WL_No="  ","  ",V_Disp*1.025*1.006)</f>
        <v xml:space="preserve">  </v>
      </c>
    </row>
    <row r="20" spans="1:59" x14ac:dyDescent="0.25">
      <c r="A20" s="20">
        <f>Tools!$AD19</f>
        <v>14</v>
      </c>
      <c r="B20" s="33" t="str">
        <f t="shared" si="0"/>
        <v xml:space="preserve">  </v>
      </c>
      <c r="C20" s="22">
        <f>IF(A20="  ","  ",IF(AND(A19="  ",A21="  "),"?",IF(A19="  ",1*(A21-A20),IF(A21="  ",1*(A20-A19),1*(A21-A19)))))</f>
        <v>2</v>
      </c>
      <c r="D20" s="23" t="str">
        <f t="shared" si="26"/>
        <v xml:space="preserve">  </v>
      </c>
      <c r="E20" s="24">
        <f t="shared" si="1"/>
        <v>4</v>
      </c>
      <c r="F20" s="23" t="str">
        <f t="shared" si="27"/>
        <v xml:space="preserve">  </v>
      </c>
      <c r="G20" s="23" t="str">
        <f t="shared" si="28"/>
        <v xml:space="preserve">  </v>
      </c>
      <c r="H20" s="23" t="str">
        <f t="shared" si="29"/>
        <v xml:space="preserve">  </v>
      </c>
      <c r="I20" s="23" t="str">
        <f t="shared" si="30"/>
        <v xml:space="preserve">  </v>
      </c>
      <c r="J20" s="4"/>
      <c r="K20" s="37" t="str">
        <f t="shared" si="2"/>
        <v xml:space="preserve"> </v>
      </c>
      <c r="L20" s="23" t="str">
        <f t="shared" si="31"/>
        <v xml:space="preserve">  </v>
      </c>
      <c r="M20" s="38" t="str">
        <f t="shared" si="3"/>
        <v xml:space="preserve"> </v>
      </c>
      <c r="N20" s="27" t="str">
        <f t="shared" si="32"/>
        <v xml:space="preserve">  </v>
      </c>
      <c r="O20" s="23" t="str">
        <f t="shared" si="33"/>
        <v xml:space="preserve">  </v>
      </c>
      <c r="P20" s="4"/>
      <c r="Q20" s="50" t="s">
        <v>57</v>
      </c>
      <c r="R20" s="48" t="s">
        <v>58</v>
      </c>
      <c r="S20" t="str">
        <f>IF(Tools!$L$49="Use 141 rule only",I44,IF(Tools!$L$49="Use 141 and 1331 rules",BG21," "))</f>
        <v xml:space="preserve">  </v>
      </c>
      <c r="W20" s="29">
        <f>IF(AO20="  ","  ",IF(AND(AO19="  ",AO21="  "),"?",IF(AO19="  ",1*(AO21-AO20),IF(AO21="  ",1*(AO20-AO19),1*(AO21-AO19)))))</f>
        <v>2</v>
      </c>
      <c r="X20" s="30" t="str">
        <f t="shared" si="4"/>
        <v>WW</v>
      </c>
      <c r="Y20" s="30" t="str">
        <f t="shared" si="5"/>
        <v>-</v>
      </c>
      <c r="Z20" s="29" t="b">
        <f t="shared" si="6"/>
        <v>0</v>
      </c>
      <c r="AA20" s="29" t="b">
        <f t="shared" si="7"/>
        <v>0</v>
      </c>
      <c r="AB20" s="29" t="str">
        <f t="shared" ca="1" si="8"/>
        <v>++</v>
      </c>
      <c r="AC20" s="29">
        <f t="shared" si="34"/>
        <v>9</v>
      </c>
      <c r="AD20" s="29">
        <f t="shared" ca="1" si="9"/>
        <v>9</v>
      </c>
      <c r="AE20" s="29">
        <v>17</v>
      </c>
      <c r="AF20" s="31">
        <f t="shared" si="42"/>
        <v>13</v>
      </c>
      <c r="AG20" s="29" t="b">
        <f t="shared" si="11"/>
        <v>1</v>
      </c>
      <c r="AH20" s="30" t="str">
        <f t="shared" ca="1" si="43"/>
        <v>141-2</v>
      </c>
      <c r="AI20" s="30" t="str">
        <f t="shared" ca="1" si="13"/>
        <v/>
      </c>
      <c r="AJ20" s="29">
        <f t="shared" ca="1" si="14"/>
        <v>0</v>
      </c>
      <c r="AK20" s="29" t="str">
        <f t="shared" ca="1" si="15"/>
        <v>2/3</v>
      </c>
      <c r="AL20" s="29">
        <f t="shared" ca="1" si="16"/>
        <v>0.66666666666666663</v>
      </c>
      <c r="AM20" s="32">
        <f t="shared" ca="1" si="35"/>
        <v>0.66666666666666663</v>
      </c>
      <c r="AO20" s="20">
        <f>Tools!$AD19</f>
        <v>14</v>
      </c>
      <c r="AP20" s="33" t="str">
        <f t="shared" si="36"/>
        <v xml:space="preserve">  </v>
      </c>
      <c r="AQ20" s="34" t="str">
        <f t="shared" ca="1" si="18"/>
        <v>2/3</v>
      </c>
      <c r="AR20" s="23" t="str">
        <f t="shared" ca="1" si="19"/>
        <v xml:space="preserve">  </v>
      </c>
      <c r="AS20" s="24">
        <f t="shared" si="20"/>
        <v>4</v>
      </c>
      <c r="AT20" s="23" t="str">
        <f t="shared" ca="1" si="37"/>
        <v xml:space="preserve">  </v>
      </c>
      <c r="AU20" s="23" t="str">
        <f t="shared" ca="1" si="40"/>
        <v xml:space="preserve">  </v>
      </c>
      <c r="AV20" s="23" t="str">
        <f t="shared" si="21"/>
        <v xml:space="preserve">  </v>
      </c>
      <c r="AW20" s="23" t="str">
        <f t="shared" ca="1" si="22"/>
        <v xml:space="preserve">  </v>
      </c>
      <c r="AY20" s="35" t="str">
        <f t="shared" si="23"/>
        <v xml:space="preserve"> </v>
      </c>
      <c r="AZ20" s="23" t="str">
        <f t="shared" ca="1" si="41"/>
        <v xml:space="preserve">  </v>
      </c>
      <c r="BA20" s="36" t="str">
        <f t="shared" si="25"/>
        <v xml:space="preserve"> </v>
      </c>
      <c r="BB20" s="27" t="str">
        <f t="shared" ca="1" si="38"/>
        <v xml:space="preserve">  </v>
      </c>
      <c r="BC20" s="23" t="str">
        <f t="shared" ca="1" si="39"/>
        <v xml:space="preserve">  </v>
      </c>
      <c r="BE20" s="50" t="s">
        <v>55</v>
      </c>
      <c r="BF20" s="48" t="s">
        <v>59</v>
      </c>
      <c r="BG20" s="49" t="str">
        <f>IF(WL_No="  ","  ",h*$BB$29)</f>
        <v xml:space="preserve">  </v>
      </c>
    </row>
    <row r="21" spans="1:59" x14ac:dyDescent="0.25">
      <c r="A21" s="20">
        <f>Tools!$AD20</f>
        <v>15</v>
      </c>
      <c r="B21" s="33" t="str">
        <f t="shared" si="0"/>
        <v xml:space="preserve">  </v>
      </c>
      <c r="C21" s="22">
        <f>IF(A21="  ","  ",IF(AND(A20="  ",A22="  "),"?",IF(A20="  ",2*(A22-A21),IF(A22="  ",2*(A21-A20),2*(A22-A20)))))</f>
        <v>4</v>
      </c>
      <c r="D21" s="23" t="str">
        <f t="shared" si="26"/>
        <v xml:space="preserve">  </v>
      </c>
      <c r="E21" s="24">
        <f t="shared" si="1"/>
        <v>5</v>
      </c>
      <c r="F21" s="23" t="str">
        <f t="shared" si="27"/>
        <v xml:space="preserve">  </v>
      </c>
      <c r="G21" s="23" t="str">
        <f t="shared" si="28"/>
        <v xml:space="preserve">  </v>
      </c>
      <c r="H21" s="23" t="str">
        <f t="shared" si="29"/>
        <v xml:space="preserve">  </v>
      </c>
      <c r="I21" s="23" t="str">
        <f t="shared" si="30"/>
        <v xml:space="preserve">  </v>
      </c>
      <c r="J21" s="4"/>
      <c r="K21" s="37" t="str">
        <f t="shared" si="2"/>
        <v xml:space="preserve"> </v>
      </c>
      <c r="L21" s="23" t="str">
        <f t="shared" si="31"/>
        <v xml:space="preserve">  </v>
      </c>
      <c r="M21" s="38" t="str">
        <f t="shared" si="3"/>
        <v xml:space="preserve"> </v>
      </c>
      <c r="N21" s="27" t="str">
        <f t="shared" si="32"/>
        <v xml:space="preserve">  </v>
      </c>
      <c r="O21" s="23" t="str">
        <f t="shared" si="33"/>
        <v xml:space="preserve">  </v>
      </c>
      <c r="P21" s="4"/>
      <c r="Q21" s="50" t="s">
        <v>60</v>
      </c>
      <c r="R21" s="48" t="s">
        <v>61</v>
      </c>
      <c r="S21" t="str">
        <f>IF(Tools!$L$49="Use 141 rule only",I45,IF(Tools!$L$49="Use 141 and 1331 rules",BG22," "))</f>
        <v xml:space="preserve">  </v>
      </c>
      <c r="W21" s="29">
        <f>IF(AO21="  ","  ",IF(AND(AO20="  ",AO22="  "),"?",IF(AO20="  ",2*(AO22-AO21),IF(AO22="  ",2*(AO21-AO20),2*(AO22-AO20)))))</f>
        <v>4</v>
      </c>
      <c r="X21" s="30" t="str">
        <f t="shared" si="4"/>
        <v>WW</v>
      </c>
      <c r="Y21" s="30" t="str">
        <f t="shared" si="5"/>
        <v>-</v>
      </c>
      <c r="Z21" s="29" t="b">
        <f t="shared" si="6"/>
        <v>0</v>
      </c>
      <c r="AA21" s="29" t="b">
        <f t="shared" si="7"/>
        <v>0</v>
      </c>
      <c r="AB21" s="29" t="str">
        <f t="shared" ca="1" si="8"/>
        <v>++</v>
      </c>
      <c r="AC21" s="29">
        <f t="shared" si="34"/>
        <v>8</v>
      </c>
      <c r="AD21" s="29">
        <f t="shared" ca="1" si="9"/>
        <v>8</v>
      </c>
      <c r="AE21" s="29">
        <v>18</v>
      </c>
      <c r="AF21" s="31">
        <f t="shared" si="42"/>
        <v>14</v>
      </c>
      <c r="AG21" s="29" t="b">
        <f t="shared" si="11"/>
        <v>1</v>
      </c>
      <c r="AH21" s="30" t="str">
        <f t="shared" ca="1" si="43"/>
        <v>141-4</v>
      </c>
      <c r="AI21" s="30" t="str">
        <f t="shared" ca="1" si="13"/>
        <v/>
      </c>
      <c r="AJ21" s="29">
        <f t="shared" ca="1" si="14"/>
        <v>0</v>
      </c>
      <c r="AK21" s="29" t="str">
        <f t="shared" ca="1" si="15"/>
        <v>4/3</v>
      </c>
      <c r="AL21" s="29">
        <f t="shared" ca="1" si="16"/>
        <v>1.3333333333333333</v>
      </c>
      <c r="AM21" s="32">
        <f t="shared" ca="1" si="35"/>
        <v>1.3333333333333333</v>
      </c>
      <c r="AO21" s="20">
        <f>Tools!$AD20</f>
        <v>15</v>
      </c>
      <c r="AP21" s="33" t="str">
        <f t="shared" si="36"/>
        <v xml:space="preserve">  </v>
      </c>
      <c r="AQ21" s="34" t="str">
        <f t="shared" ca="1" si="18"/>
        <v>4/3</v>
      </c>
      <c r="AR21" s="23" t="str">
        <f t="shared" ca="1" si="19"/>
        <v xml:space="preserve">  </v>
      </c>
      <c r="AS21" s="24">
        <f t="shared" si="20"/>
        <v>5</v>
      </c>
      <c r="AT21" s="23" t="str">
        <f t="shared" ca="1" si="37"/>
        <v xml:space="preserve">  </v>
      </c>
      <c r="AU21" s="23" t="str">
        <f t="shared" ca="1" si="40"/>
        <v xml:space="preserve">  </v>
      </c>
      <c r="AV21" s="23" t="str">
        <f t="shared" si="21"/>
        <v xml:space="preserve">  </v>
      </c>
      <c r="AW21" s="23" t="str">
        <f t="shared" ca="1" si="22"/>
        <v xml:space="preserve">  </v>
      </c>
      <c r="AY21" s="35" t="str">
        <f t="shared" si="23"/>
        <v xml:space="preserve"> </v>
      </c>
      <c r="AZ21" s="23" t="str">
        <f t="shared" ca="1" si="41"/>
        <v xml:space="preserve">  </v>
      </c>
      <c r="BA21" s="36" t="str">
        <f t="shared" si="25"/>
        <v xml:space="preserve"> </v>
      </c>
      <c r="BB21" s="27" t="str">
        <f t="shared" ca="1" si="38"/>
        <v xml:space="preserve">  </v>
      </c>
      <c r="BC21" s="23" t="str">
        <f t="shared" ca="1" si="39"/>
        <v xml:space="preserve">  </v>
      </c>
      <c r="BE21" s="50" t="s">
        <v>57</v>
      </c>
      <c r="BF21" s="48" t="s">
        <v>62</v>
      </c>
      <c r="BG21" s="49" t="str">
        <f>IF(WL_No="  ","  ",(h^2)*$BC$29)</f>
        <v xml:space="preserve">  </v>
      </c>
    </row>
    <row r="22" spans="1:59" x14ac:dyDescent="0.25">
      <c r="A22" s="20">
        <f>Tools!$AD21</f>
        <v>16</v>
      </c>
      <c r="B22" s="33" t="str">
        <f t="shared" si="0"/>
        <v xml:space="preserve">  </v>
      </c>
      <c r="C22" s="22">
        <f>IF(A22="  ","  ",IF(AND(A21="  ",A23="  "),"?",IF(A21="  ",1*(A23-A22),IF(A23="  ",1*(A22-A21),1*(A23-A21)))))</f>
        <v>2</v>
      </c>
      <c r="D22" s="23" t="str">
        <f t="shared" si="26"/>
        <v xml:space="preserve">  </v>
      </c>
      <c r="E22" s="24">
        <f t="shared" si="1"/>
        <v>6</v>
      </c>
      <c r="F22" s="23" t="str">
        <f t="shared" si="27"/>
        <v xml:space="preserve">  </v>
      </c>
      <c r="G22" s="23" t="str">
        <f t="shared" si="28"/>
        <v xml:space="preserve">  </v>
      </c>
      <c r="H22" s="23" t="str">
        <f t="shared" si="29"/>
        <v xml:space="preserve">  </v>
      </c>
      <c r="I22" s="23" t="str">
        <f t="shared" si="30"/>
        <v xml:space="preserve">  </v>
      </c>
      <c r="J22" s="4"/>
      <c r="K22" s="37" t="str">
        <f t="shared" si="2"/>
        <v xml:space="preserve"> </v>
      </c>
      <c r="L22" s="23" t="str">
        <f t="shared" si="31"/>
        <v xml:space="preserve">  </v>
      </c>
      <c r="M22" s="38" t="str">
        <f t="shared" si="3"/>
        <v xml:space="preserve"> </v>
      </c>
      <c r="N22" s="27" t="str">
        <f t="shared" si="32"/>
        <v xml:space="preserve">  </v>
      </c>
      <c r="O22" s="23" t="str">
        <f t="shared" si="33"/>
        <v xml:space="preserve">  </v>
      </c>
      <c r="P22" s="4"/>
      <c r="Q22" s="50" t="s">
        <v>63</v>
      </c>
      <c r="R22" s="48" t="s">
        <v>64</v>
      </c>
      <c r="S22" t="str">
        <f>IF(Tools!$L$49="Use 141 rule only",I46,IF(Tools!$L$49="Use 141 and 1331 rules",BG23," "))</f>
        <v xml:space="preserve">  </v>
      </c>
      <c r="W22" s="29">
        <f>IF(AO22="  ","  ",IF(AND(AO21="  ",AO23="  "),"?",IF(AO21="  ",1*(AO23-AO22),IF(AO23="  ",1*(AO22-AO21),1*(AO23-AO21)))))</f>
        <v>2</v>
      </c>
      <c r="X22" s="30" t="str">
        <f t="shared" si="4"/>
        <v>WW</v>
      </c>
      <c r="Y22" s="30" t="str">
        <f t="shared" si="5"/>
        <v>-</v>
      </c>
      <c r="Z22" s="29" t="b">
        <f t="shared" si="6"/>
        <v>0</v>
      </c>
      <c r="AA22" s="29" t="b">
        <f t="shared" si="7"/>
        <v>0</v>
      </c>
      <c r="AB22" s="29" t="str">
        <f t="shared" ca="1" si="8"/>
        <v>++</v>
      </c>
      <c r="AC22" s="29">
        <f t="shared" si="34"/>
        <v>7</v>
      </c>
      <c r="AD22" s="29">
        <f t="shared" ca="1" si="9"/>
        <v>7</v>
      </c>
      <c r="AE22" s="29">
        <v>19</v>
      </c>
      <c r="AF22" s="31">
        <f t="shared" si="42"/>
        <v>15</v>
      </c>
      <c r="AG22" s="29" t="b">
        <f t="shared" si="11"/>
        <v>1</v>
      </c>
      <c r="AH22" s="30" t="str">
        <f t="shared" ca="1" si="43"/>
        <v>141-2</v>
      </c>
      <c r="AI22" s="30" t="str">
        <f t="shared" ca="1" si="13"/>
        <v/>
      </c>
      <c r="AJ22" s="29">
        <f t="shared" ca="1" si="14"/>
        <v>0</v>
      </c>
      <c r="AK22" s="29" t="str">
        <f t="shared" ca="1" si="15"/>
        <v>2/3</v>
      </c>
      <c r="AL22" s="29">
        <f t="shared" ca="1" si="16"/>
        <v>0.66666666666666663</v>
      </c>
      <c r="AM22" s="32">
        <f t="shared" ca="1" si="35"/>
        <v>0.66666666666666663</v>
      </c>
      <c r="AO22" s="20">
        <f>Tools!$AD21</f>
        <v>16</v>
      </c>
      <c r="AP22" s="33" t="str">
        <f t="shared" si="36"/>
        <v xml:space="preserve">  </v>
      </c>
      <c r="AQ22" s="34" t="str">
        <f t="shared" ca="1" si="18"/>
        <v>2/3</v>
      </c>
      <c r="AR22" s="23" t="str">
        <f t="shared" ca="1" si="19"/>
        <v xml:space="preserve">  </v>
      </c>
      <c r="AS22" s="24">
        <f t="shared" si="20"/>
        <v>6</v>
      </c>
      <c r="AT22" s="23" t="str">
        <f t="shared" ca="1" si="37"/>
        <v xml:space="preserve">  </v>
      </c>
      <c r="AU22" s="23" t="str">
        <f t="shared" ca="1" si="40"/>
        <v xml:space="preserve">  </v>
      </c>
      <c r="AV22" s="23" t="str">
        <f t="shared" si="21"/>
        <v xml:space="preserve">  </v>
      </c>
      <c r="AW22" s="23" t="str">
        <f t="shared" ca="1" si="22"/>
        <v xml:space="preserve">  </v>
      </c>
      <c r="AY22" s="35" t="str">
        <f t="shared" si="23"/>
        <v xml:space="preserve"> </v>
      </c>
      <c r="AZ22" s="23" t="str">
        <f t="shared" ca="1" si="41"/>
        <v xml:space="preserve">  </v>
      </c>
      <c r="BA22" s="36" t="str">
        <f t="shared" si="25"/>
        <v xml:space="preserve"> </v>
      </c>
      <c r="BB22" s="27" t="str">
        <f t="shared" ca="1" si="38"/>
        <v xml:space="preserve">  </v>
      </c>
      <c r="BC22" s="23" t="str">
        <f t="shared" ca="1" si="39"/>
        <v xml:space="preserve">  </v>
      </c>
      <c r="BE22" s="50" t="s">
        <v>60</v>
      </c>
      <c r="BF22" s="48" t="s">
        <v>61</v>
      </c>
      <c r="BG22" s="49" t="str">
        <f>IF(WL_No="  ","  ",IF/V_Disp)</f>
        <v xml:space="preserve">  </v>
      </c>
    </row>
    <row r="23" spans="1:59" x14ac:dyDescent="0.25">
      <c r="A23" s="20">
        <f>Tools!$AD22</f>
        <v>17</v>
      </c>
      <c r="B23" s="33" t="str">
        <f t="shared" si="0"/>
        <v xml:space="preserve">  </v>
      </c>
      <c r="C23" s="22">
        <f>IF(A23="  ","  ",IF(AND(A22="  ",A24="  "),"?",IF(A22="  ",2*(A24-A23),IF(A24="  ",2*(A23-A22),2*(A24-A22)))))</f>
        <v>4</v>
      </c>
      <c r="D23" s="23" t="str">
        <f t="shared" si="26"/>
        <v xml:space="preserve">  </v>
      </c>
      <c r="E23" s="24">
        <f t="shared" si="1"/>
        <v>7</v>
      </c>
      <c r="F23" s="23" t="str">
        <f t="shared" si="27"/>
        <v xml:space="preserve">  </v>
      </c>
      <c r="G23" s="23" t="str">
        <f t="shared" si="28"/>
        <v xml:space="preserve">  </v>
      </c>
      <c r="H23" s="23" t="str">
        <f t="shared" si="29"/>
        <v xml:space="preserve">  </v>
      </c>
      <c r="I23" s="23" t="str">
        <f t="shared" si="30"/>
        <v xml:space="preserve">  </v>
      </c>
      <c r="J23" s="4"/>
      <c r="K23" s="37" t="str">
        <f t="shared" si="2"/>
        <v xml:space="preserve"> </v>
      </c>
      <c r="L23" s="23" t="str">
        <f t="shared" si="31"/>
        <v xml:space="preserve">  </v>
      </c>
      <c r="M23" s="38" t="str">
        <f t="shared" si="3"/>
        <v xml:space="preserve"> </v>
      </c>
      <c r="N23" s="27" t="str">
        <f t="shared" si="32"/>
        <v xml:space="preserve">  </v>
      </c>
      <c r="O23" s="23" t="str">
        <f t="shared" si="33"/>
        <v xml:space="preserve">  </v>
      </c>
      <c r="P23" s="4"/>
      <c r="Q23" s="50" t="s">
        <v>65</v>
      </c>
      <c r="R23" s="48" t="s">
        <v>66</v>
      </c>
      <c r="S23" t="str">
        <f>IF(Tools!$L$49="Use 141 rule only",I47,IF(Tools!$L$49="Use 141 and 1331 rules",BG24," "))</f>
        <v xml:space="preserve">  </v>
      </c>
      <c r="W23" s="29">
        <f>IF(AO23="  ","  ",IF(AND(AO22="  ",AO24="  "),"?",IF(AO22="  ",2*(AO24-AO23),IF(AO24="  ",2*(AO23-AO22),2*(AO24-AO22)))))</f>
        <v>4</v>
      </c>
      <c r="X23" s="30" t="str">
        <f t="shared" si="4"/>
        <v>WW</v>
      </c>
      <c r="Y23" s="30" t="str">
        <f t="shared" si="5"/>
        <v>-</v>
      </c>
      <c r="Z23" s="29" t="b">
        <f t="shared" si="6"/>
        <v>0</v>
      </c>
      <c r="AA23" s="29" t="b">
        <f t="shared" si="7"/>
        <v>0</v>
      </c>
      <c r="AB23" s="29" t="str">
        <f t="shared" ca="1" si="8"/>
        <v>++</v>
      </c>
      <c r="AC23" s="29">
        <f t="shared" si="34"/>
        <v>6</v>
      </c>
      <c r="AD23" s="29">
        <f t="shared" ca="1" si="9"/>
        <v>6</v>
      </c>
      <c r="AE23" s="29">
        <v>20</v>
      </c>
      <c r="AF23" s="31">
        <f t="shared" si="42"/>
        <v>16</v>
      </c>
      <c r="AG23" s="29" t="b">
        <f t="shared" si="11"/>
        <v>1</v>
      </c>
      <c r="AH23" s="30" t="str">
        <f t="shared" ca="1" si="43"/>
        <v>141-4</v>
      </c>
      <c r="AI23" s="30" t="str">
        <f t="shared" ca="1" si="13"/>
        <v/>
      </c>
      <c r="AJ23" s="29">
        <f t="shared" ca="1" si="14"/>
        <v>0</v>
      </c>
      <c r="AK23" s="29" t="str">
        <f t="shared" ca="1" si="15"/>
        <v>4/3</v>
      </c>
      <c r="AL23" s="29">
        <f t="shared" ca="1" si="16"/>
        <v>1.3333333333333333</v>
      </c>
      <c r="AM23" s="32">
        <f t="shared" ca="1" si="35"/>
        <v>1.3333333333333333</v>
      </c>
      <c r="AO23" s="20">
        <f>Tools!$AD22</f>
        <v>17</v>
      </c>
      <c r="AP23" s="33" t="str">
        <f t="shared" si="36"/>
        <v xml:space="preserve">  </v>
      </c>
      <c r="AQ23" s="34" t="str">
        <f t="shared" ca="1" si="18"/>
        <v>4/3</v>
      </c>
      <c r="AR23" s="23" t="str">
        <f t="shared" ca="1" si="19"/>
        <v xml:space="preserve">  </v>
      </c>
      <c r="AS23" s="24">
        <f t="shared" si="20"/>
        <v>7</v>
      </c>
      <c r="AT23" s="23" t="str">
        <f t="shared" ca="1" si="37"/>
        <v xml:space="preserve">  </v>
      </c>
      <c r="AU23" s="23" t="str">
        <f t="shared" ca="1" si="40"/>
        <v xml:space="preserve">  </v>
      </c>
      <c r="AV23" s="23" t="str">
        <f t="shared" si="21"/>
        <v xml:space="preserve">  </v>
      </c>
      <c r="AW23" s="23" t="str">
        <f t="shared" ca="1" si="22"/>
        <v xml:space="preserve">  </v>
      </c>
      <c r="AY23" s="35" t="str">
        <f t="shared" si="23"/>
        <v xml:space="preserve"> </v>
      </c>
      <c r="AZ23" s="23" t="str">
        <f t="shared" ca="1" si="41"/>
        <v xml:space="preserve">  </v>
      </c>
      <c r="BA23" s="36" t="str">
        <f t="shared" si="25"/>
        <v xml:space="preserve"> </v>
      </c>
      <c r="BB23" s="27" t="str">
        <f t="shared" ca="1" si="38"/>
        <v xml:space="preserve">  </v>
      </c>
      <c r="BC23" s="23" t="str">
        <f t="shared" ca="1" si="39"/>
        <v xml:space="preserve">  </v>
      </c>
      <c r="BE23" s="50" t="s">
        <v>63</v>
      </c>
      <c r="BF23" s="48" t="s">
        <v>64</v>
      </c>
      <c r="BG23" s="49" t="str">
        <f>IF(WL_No="  ","  ",IT/V_Disp)</f>
        <v xml:space="preserve">  </v>
      </c>
    </row>
    <row r="24" spans="1:59" x14ac:dyDescent="0.25">
      <c r="A24" s="20">
        <f>Tools!$AD23</f>
        <v>18</v>
      </c>
      <c r="B24" s="33" t="str">
        <f t="shared" si="0"/>
        <v xml:space="preserve">  </v>
      </c>
      <c r="C24" s="22">
        <f>IF(A24="  ","  ",IF(AND(A23="  ",A25="  "),"?",IF(A23="  ",1*(A25-A24),IF(A25="  ",1*(A24-A23),1*(A25-A23)))))</f>
        <v>1.5</v>
      </c>
      <c r="D24" s="23" t="str">
        <f t="shared" si="26"/>
        <v xml:space="preserve">  </v>
      </c>
      <c r="E24" s="24">
        <f t="shared" si="1"/>
        <v>8</v>
      </c>
      <c r="F24" s="23" t="str">
        <f t="shared" si="27"/>
        <v xml:space="preserve">  </v>
      </c>
      <c r="G24" s="23" t="str">
        <f t="shared" si="28"/>
        <v xml:space="preserve">  </v>
      </c>
      <c r="H24" s="23" t="str">
        <f t="shared" si="29"/>
        <v xml:space="preserve">  </v>
      </c>
      <c r="I24" s="23" t="str">
        <f t="shared" si="30"/>
        <v xml:space="preserve">  </v>
      </c>
      <c r="J24" s="4"/>
      <c r="K24" s="37" t="str">
        <f t="shared" si="2"/>
        <v xml:space="preserve"> </v>
      </c>
      <c r="L24" s="23" t="str">
        <f t="shared" si="31"/>
        <v xml:space="preserve">  </v>
      </c>
      <c r="M24" s="38" t="str">
        <f t="shared" si="3"/>
        <v xml:space="preserve"> </v>
      </c>
      <c r="N24" s="27" t="str">
        <f t="shared" si="32"/>
        <v xml:space="preserve">  </v>
      </c>
      <c r="O24" s="23" t="str">
        <f t="shared" si="33"/>
        <v xml:space="preserve">  </v>
      </c>
      <c r="P24" s="4"/>
      <c r="Q24" s="50" t="s">
        <v>67</v>
      </c>
      <c r="R24" s="48" t="s">
        <v>68</v>
      </c>
      <c r="S24" t="str">
        <f>IF(Tools!$L$49="Use 141 rule only",I48,IF(Tools!$L$49="Use 141 and 1331 rules",BG25," "))</f>
        <v xml:space="preserve">  </v>
      </c>
      <c r="W24" s="29">
        <f>IF(AO24="  ","  ",IF(AND(AO23="  ",AO25="  "),"?",IF(AO23="  ",1*(AO25-AO24),IF(AO25="  ",1*(AO24-AO23),1*(AO25-AO23)))))</f>
        <v>1.5</v>
      </c>
      <c r="X24" s="30" t="str">
        <f t="shared" si="4"/>
        <v>WD</v>
      </c>
      <c r="Y24" s="30" t="str">
        <f t="shared" si="5"/>
        <v>-</v>
      </c>
      <c r="Z24" s="29" t="b">
        <f t="shared" si="6"/>
        <v>1</v>
      </c>
      <c r="AA24" s="29" t="b">
        <f t="shared" si="7"/>
        <v>1</v>
      </c>
      <c r="AB24" s="29" t="str">
        <f t="shared" ca="1" si="8"/>
        <v>141-1</v>
      </c>
      <c r="AC24" s="29">
        <f t="shared" si="34"/>
        <v>5</v>
      </c>
      <c r="AD24" s="29">
        <f t="shared" ca="1" si="9"/>
        <v>5</v>
      </c>
      <c r="AE24" s="29">
        <v>21</v>
      </c>
      <c r="AF24" s="31">
        <f t="shared" si="42"/>
        <v>17</v>
      </c>
      <c r="AG24" s="29" t="b">
        <f t="shared" si="11"/>
        <v>1</v>
      </c>
      <c r="AH24" s="30" t="str">
        <f t="shared" ca="1" si="43"/>
        <v>141-1</v>
      </c>
      <c r="AI24" s="30" t="str">
        <f t="shared" ca="1" si="13"/>
        <v>(1/2)*(1/3)</v>
      </c>
      <c r="AJ24" s="29">
        <f t="shared" ca="1" si="14"/>
        <v>0.16666666666666666</v>
      </c>
      <c r="AK24" s="29" t="str">
        <f t="shared" ca="1" si="15"/>
        <v>1/3</v>
      </c>
      <c r="AL24" s="29">
        <f t="shared" ca="1" si="16"/>
        <v>0.33333333333333331</v>
      </c>
      <c r="AM24" s="32">
        <f t="shared" ca="1" si="35"/>
        <v>0.5</v>
      </c>
      <c r="AO24" s="20">
        <f>Tools!$AD23</f>
        <v>18</v>
      </c>
      <c r="AP24" s="33" t="str">
        <f t="shared" si="36"/>
        <v xml:space="preserve">  </v>
      </c>
      <c r="AQ24" s="34" t="str">
        <f t="shared" ca="1" si="18"/>
        <v>(1/2)*(1/3)+1/3</v>
      </c>
      <c r="AR24" s="23" t="str">
        <f t="shared" ca="1" si="19"/>
        <v xml:space="preserve">  </v>
      </c>
      <c r="AS24" s="24">
        <f t="shared" si="20"/>
        <v>8</v>
      </c>
      <c r="AT24" s="23" t="str">
        <f t="shared" ca="1" si="37"/>
        <v xml:space="preserve">  </v>
      </c>
      <c r="AU24" s="23" t="str">
        <f t="shared" ca="1" si="40"/>
        <v xml:space="preserve">  </v>
      </c>
      <c r="AV24" s="23" t="str">
        <f t="shared" si="21"/>
        <v xml:space="preserve">  </v>
      </c>
      <c r="AW24" s="23" t="str">
        <f t="shared" ca="1" si="22"/>
        <v xml:space="preserve">  </v>
      </c>
      <c r="AY24" s="35" t="str">
        <f t="shared" si="23"/>
        <v xml:space="preserve"> </v>
      </c>
      <c r="AZ24" s="23" t="str">
        <f t="shared" ca="1" si="41"/>
        <v xml:space="preserve">  </v>
      </c>
      <c r="BA24" s="36" t="str">
        <f t="shared" si="25"/>
        <v xml:space="preserve"> </v>
      </c>
      <c r="BB24" s="27" t="str">
        <f t="shared" ca="1" si="38"/>
        <v xml:space="preserve">  </v>
      </c>
      <c r="BC24" s="23" t="str">
        <f t="shared" ca="1" si="39"/>
        <v xml:space="preserve">  </v>
      </c>
      <c r="BE24" s="50" t="s">
        <v>65</v>
      </c>
      <c r="BF24" s="48" t="s">
        <v>66</v>
      </c>
      <c r="BG24" s="49" t="str">
        <f>IF(WL_No="  ","  ",MT/V_Disp)</f>
        <v xml:space="preserve">  </v>
      </c>
    </row>
    <row r="25" spans="1:59" x14ac:dyDescent="0.25">
      <c r="A25" s="20">
        <f>Tools!$AD24</f>
        <v>18.5</v>
      </c>
      <c r="B25" s="33" t="str">
        <f t="shared" si="0"/>
        <v xml:space="preserve">  </v>
      </c>
      <c r="C25" s="22">
        <f>IF(A25="  ","  ",IF(AND(A24="  ",A26="  "),"?",IF(A24="  ",2*(A26-A25),IF(A26="  ",2*(A25-A24),2*(A26-A24)))))</f>
        <v>2</v>
      </c>
      <c r="D25" s="23" t="str">
        <f t="shared" si="26"/>
        <v xml:space="preserve">  </v>
      </c>
      <c r="E25" s="24">
        <f t="shared" si="1"/>
        <v>8.5</v>
      </c>
      <c r="F25" s="23" t="str">
        <f t="shared" si="27"/>
        <v xml:space="preserve">  </v>
      </c>
      <c r="G25" s="23" t="str">
        <f t="shared" si="28"/>
        <v xml:space="preserve">  </v>
      </c>
      <c r="H25" s="23" t="str">
        <f t="shared" si="29"/>
        <v xml:space="preserve">  </v>
      </c>
      <c r="I25" s="23" t="str">
        <f t="shared" si="30"/>
        <v xml:space="preserve">  </v>
      </c>
      <c r="J25" s="4"/>
      <c r="K25" s="37" t="str">
        <f t="shared" si="2"/>
        <v xml:space="preserve"> </v>
      </c>
      <c r="L25" s="23" t="str">
        <f t="shared" si="31"/>
        <v xml:space="preserve">  </v>
      </c>
      <c r="M25" s="38" t="str">
        <f t="shared" si="3"/>
        <v xml:space="preserve"> </v>
      </c>
      <c r="N25" s="27" t="str">
        <f t="shared" si="32"/>
        <v xml:space="preserve">  </v>
      </c>
      <c r="O25" s="23" t="str">
        <f t="shared" si="33"/>
        <v xml:space="preserve">  </v>
      </c>
      <c r="P25" s="4"/>
      <c r="Q25" s="50" t="s">
        <v>69</v>
      </c>
      <c r="R25" s="48" t="s">
        <v>70</v>
      </c>
      <c r="S25" t="str">
        <f>IF(Tools!$L$49="Use 141 rule only",I49,IF(Tools!$L$49="Use 141 and 1331 rules",BG26," "))</f>
        <v xml:space="preserve">  </v>
      </c>
      <c r="W25" s="29">
        <f>IF(AO25="  ","  ",IF(AND(AO24="  ",AO26="  "),"?",IF(AO24="  ",2*(AO26-AO25),IF(AO26="  ",2*(AO25-AO24),2*(AO26-AO24)))))</f>
        <v>2</v>
      </c>
      <c r="X25" s="30" t="str">
        <f t="shared" si="4"/>
        <v>DD</v>
      </c>
      <c r="Y25" s="30" t="str">
        <f t="shared" si="5"/>
        <v>-</v>
      </c>
      <c r="Z25" s="29" t="b">
        <f t="shared" si="6"/>
        <v>1</v>
      </c>
      <c r="AA25" s="29" t="b">
        <f t="shared" si="7"/>
        <v>1</v>
      </c>
      <c r="AB25" s="29" t="str">
        <f t="shared" ca="1" si="8"/>
        <v>141-4</v>
      </c>
      <c r="AC25" s="29">
        <f t="shared" si="34"/>
        <v>4</v>
      </c>
      <c r="AD25" s="29">
        <f t="shared" ca="1" si="9"/>
        <v>4</v>
      </c>
      <c r="AE25" s="29">
        <v>22</v>
      </c>
      <c r="AF25" s="31">
        <f t="shared" si="42"/>
        <v>18</v>
      </c>
      <c r="AG25" s="29" t="b">
        <f t="shared" si="11"/>
        <v>0</v>
      </c>
      <c r="AH25" s="30" t="str">
        <f t="shared" si="43"/>
        <v>-</v>
      </c>
      <c r="AI25" s="30" t="str">
        <f t="shared" ca="1" si="13"/>
        <v>(1/2)*(4/3)</v>
      </c>
      <c r="AJ25" s="29">
        <f t="shared" ca="1" si="14"/>
        <v>0.66666666666666663</v>
      </c>
      <c r="AK25" s="29" t="str">
        <f t="shared" si="15"/>
        <v/>
      </c>
      <c r="AL25" s="29">
        <f t="shared" si="16"/>
        <v>0</v>
      </c>
      <c r="AM25" s="32">
        <f t="shared" ca="1" si="35"/>
        <v>0.66666666666666663</v>
      </c>
      <c r="AO25" s="20">
        <f>Tools!$AD24</f>
        <v>18.5</v>
      </c>
      <c r="AP25" s="33" t="str">
        <f t="shared" si="36"/>
        <v xml:space="preserve">  </v>
      </c>
      <c r="AQ25" s="34" t="str">
        <f t="shared" ca="1" si="18"/>
        <v>(1/2)*(4/3)</v>
      </c>
      <c r="AR25" s="23" t="str">
        <f t="shared" ca="1" si="19"/>
        <v xml:space="preserve">  </v>
      </c>
      <c r="AS25" s="24">
        <f t="shared" si="20"/>
        <v>8.5</v>
      </c>
      <c r="AT25" s="23" t="str">
        <f t="shared" ca="1" si="37"/>
        <v xml:space="preserve">  </v>
      </c>
      <c r="AU25" s="23" t="str">
        <f t="shared" ca="1" si="40"/>
        <v xml:space="preserve">  </v>
      </c>
      <c r="AV25" s="23" t="str">
        <f t="shared" si="21"/>
        <v xml:space="preserve">  </v>
      </c>
      <c r="AW25" s="23" t="str">
        <f t="shared" ca="1" si="22"/>
        <v xml:space="preserve">  </v>
      </c>
      <c r="AY25" s="35" t="str">
        <f t="shared" si="23"/>
        <v xml:space="preserve"> </v>
      </c>
      <c r="AZ25" s="23" t="str">
        <f t="shared" ca="1" si="41"/>
        <v xml:space="preserve">  </v>
      </c>
      <c r="BA25" s="36" t="str">
        <f t="shared" si="25"/>
        <v xml:space="preserve"> </v>
      </c>
      <c r="BB25" s="27" t="str">
        <f t="shared" ca="1" si="38"/>
        <v xml:space="preserve">  </v>
      </c>
      <c r="BC25" s="23" t="str">
        <f t="shared" ca="1" si="39"/>
        <v xml:space="preserve">  </v>
      </c>
      <c r="BE25" s="50" t="s">
        <v>67</v>
      </c>
      <c r="BF25" s="48" t="s">
        <v>68</v>
      </c>
      <c r="BG25" s="49" t="str">
        <f>IF(WL_No="  ","  ",KB+BMT)</f>
        <v xml:space="preserve">  </v>
      </c>
    </row>
    <row r="26" spans="1:59" x14ac:dyDescent="0.25">
      <c r="A26" s="20">
        <f>Tools!$AD25</f>
        <v>19</v>
      </c>
      <c r="B26" s="33" t="str">
        <f t="shared" si="0"/>
        <v xml:space="preserve">  </v>
      </c>
      <c r="C26" s="22">
        <f>IF(A26="  ","  ",IF(AND(A25="  ",A27="  "),"?",IF(A25="  ",1*(A27-A26),IF(A27="  ",1*(A26-A25),1*(A27-A25)))))</f>
        <v>1</v>
      </c>
      <c r="D26" s="23" t="str">
        <f t="shared" si="26"/>
        <v xml:space="preserve">  </v>
      </c>
      <c r="E26" s="24">
        <f t="shared" si="1"/>
        <v>9</v>
      </c>
      <c r="F26" s="23" t="str">
        <f t="shared" si="27"/>
        <v xml:space="preserve">  </v>
      </c>
      <c r="G26" s="23" t="str">
        <f t="shared" si="28"/>
        <v xml:space="preserve">  </v>
      </c>
      <c r="H26" s="23" t="str">
        <f t="shared" si="29"/>
        <v xml:space="preserve">  </v>
      </c>
      <c r="I26" s="23" t="str">
        <f t="shared" si="30"/>
        <v xml:space="preserve">  </v>
      </c>
      <c r="J26" s="4"/>
      <c r="K26" s="37" t="str">
        <f t="shared" si="2"/>
        <v xml:space="preserve"> </v>
      </c>
      <c r="L26" s="23" t="str">
        <f t="shared" si="31"/>
        <v xml:space="preserve">  </v>
      </c>
      <c r="M26" s="38" t="str">
        <f t="shared" si="3"/>
        <v xml:space="preserve"> </v>
      </c>
      <c r="N26" s="27" t="str">
        <f t="shared" si="32"/>
        <v xml:space="preserve">  </v>
      </c>
      <c r="O26" s="23" t="str">
        <f t="shared" si="33"/>
        <v xml:space="preserve">  </v>
      </c>
      <c r="P26" s="4"/>
      <c r="Q26" s="50" t="s">
        <v>71</v>
      </c>
      <c r="R26" s="48" t="s">
        <v>72</v>
      </c>
      <c r="S26" t="str">
        <f>IF(Tools!$L$49="Use 141 rule only",I50,IF(Tools!$L$49="Use 141 and 1331 rules",BG27," "))</f>
        <v xml:space="preserve">  </v>
      </c>
      <c r="W26" s="29">
        <f>IF(AO26="  ","  ",IF(AND(AO25="  ",AO27="  "),"?",IF(AO25="  ",1*(AO27-AO26),IF(AO27="  ",1*(AO26-AO25),1*(AO27-AO25)))))</f>
        <v>1</v>
      </c>
      <c r="X26" s="30" t="str">
        <f t="shared" si="4"/>
        <v>DD</v>
      </c>
      <c r="Y26" s="30" t="str">
        <f t="shared" si="5"/>
        <v>-</v>
      </c>
      <c r="Z26" s="29" t="b">
        <f t="shared" si="6"/>
        <v>1</v>
      </c>
      <c r="AA26" s="29" t="b">
        <f t="shared" si="7"/>
        <v>1</v>
      </c>
      <c r="AB26" s="29" t="str">
        <f t="shared" ca="1" si="8"/>
        <v>141-2</v>
      </c>
      <c r="AC26" s="29">
        <f t="shared" si="34"/>
        <v>3</v>
      </c>
      <c r="AD26" s="29">
        <f t="shared" ca="1" si="9"/>
        <v>3</v>
      </c>
      <c r="AE26" s="29">
        <v>23</v>
      </c>
      <c r="AF26" s="31">
        <f t="shared" si="42"/>
        <v>19</v>
      </c>
      <c r="AG26" s="29" t="b">
        <f t="shared" si="11"/>
        <v>0</v>
      </c>
      <c r="AH26" s="30" t="str">
        <f t="shared" si="43"/>
        <v>-</v>
      </c>
      <c r="AI26" s="30" t="str">
        <f t="shared" ca="1" si="13"/>
        <v>(1/2)*(2/3)</v>
      </c>
      <c r="AJ26" s="29">
        <f t="shared" ca="1" si="14"/>
        <v>0.33333333333333331</v>
      </c>
      <c r="AK26" s="29" t="str">
        <f t="shared" si="15"/>
        <v/>
      </c>
      <c r="AL26" s="29">
        <f t="shared" si="16"/>
        <v>0</v>
      </c>
      <c r="AM26" s="32">
        <f t="shared" ca="1" si="35"/>
        <v>0.33333333333333331</v>
      </c>
      <c r="AO26" s="20">
        <f>Tools!$AD25</f>
        <v>19</v>
      </c>
      <c r="AP26" s="33" t="str">
        <f t="shared" si="36"/>
        <v xml:space="preserve">  </v>
      </c>
      <c r="AQ26" s="34" t="str">
        <f t="shared" ca="1" si="18"/>
        <v>(1/2)*(2/3)</v>
      </c>
      <c r="AR26" s="23" t="str">
        <f t="shared" ca="1" si="19"/>
        <v xml:space="preserve">  </v>
      </c>
      <c r="AS26" s="24">
        <f t="shared" si="20"/>
        <v>9</v>
      </c>
      <c r="AT26" s="23" t="str">
        <f t="shared" ca="1" si="37"/>
        <v xml:space="preserve">  </v>
      </c>
      <c r="AU26" s="23" t="str">
        <f t="shared" ca="1" si="40"/>
        <v xml:space="preserve">  </v>
      </c>
      <c r="AV26" s="23" t="str">
        <f t="shared" si="21"/>
        <v xml:space="preserve">  </v>
      </c>
      <c r="AW26" s="23" t="str">
        <f t="shared" ca="1" si="22"/>
        <v xml:space="preserve">  </v>
      </c>
      <c r="AY26" s="35" t="str">
        <f t="shared" si="23"/>
        <v xml:space="preserve"> </v>
      </c>
      <c r="AZ26" s="23" t="str">
        <f t="shared" ca="1" si="41"/>
        <v xml:space="preserve">  </v>
      </c>
      <c r="BA26" s="36" t="str">
        <f t="shared" si="25"/>
        <v xml:space="preserve"> </v>
      </c>
      <c r="BB26" s="27" t="str">
        <f t="shared" ca="1" si="38"/>
        <v xml:space="preserve">  </v>
      </c>
      <c r="BC26" s="23" t="str">
        <f t="shared" ca="1" si="39"/>
        <v xml:space="preserve">  </v>
      </c>
      <c r="BE26" s="50" t="s">
        <v>69</v>
      </c>
      <c r="BF26" s="48" t="s">
        <v>70</v>
      </c>
      <c r="BG26" s="49" t="str">
        <f>IF(WL_No="  ","  ",KB+BML)</f>
        <v xml:space="preserve">  </v>
      </c>
    </row>
    <row r="27" spans="1:59" x14ac:dyDescent="0.25">
      <c r="A27" s="20">
        <f>Tools!$AD26</f>
        <v>19.5</v>
      </c>
      <c r="B27" s="33" t="str">
        <f t="shared" si="0"/>
        <v xml:space="preserve">  </v>
      </c>
      <c r="C27" s="22">
        <f>IF(A27="  ","  ",IF(AND(A26="  ",A28="  "),"?",IF(A26="  ",2*(A28-A27),IF(A28="  ",2*(A27-A26),2*(A28-A26)))))</f>
        <v>2</v>
      </c>
      <c r="D27" s="23" t="str">
        <f t="shared" si="26"/>
        <v xml:space="preserve">  </v>
      </c>
      <c r="E27" s="24">
        <f t="shared" si="1"/>
        <v>9.5</v>
      </c>
      <c r="F27" s="23" t="str">
        <f t="shared" si="27"/>
        <v xml:space="preserve">  </v>
      </c>
      <c r="G27" s="23" t="str">
        <f t="shared" si="28"/>
        <v xml:space="preserve">  </v>
      </c>
      <c r="H27" s="23" t="str">
        <f t="shared" si="29"/>
        <v xml:space="preserve">  </v>
      </c>
      <c r="I27" s="23" t="str">
        <f t="shared" si="30"/>
        <v xml:space="preserve">  </v>
      </c>
      <c r="J27" s="4"/>
      <c r="K27" s="37" t="str">
        <f t="shared" si="2"/>
        <v xml:space="preserve"> </v>
      </c>
      <c r="L27" s="23" t="str">
        <f t="shared" si="31"/>
        <v xml:space="preserve">  </v>
      </c>
      <c r="M27" s="38" t="str">
        <f t="shared" si="3"/>
        <v xml:space="preserve"> </v>
      </c>
      <c r="N27" s="27" t="str">
        <f t="shared" si="32"/>
        <v xml:space="preserve">  </v>
      </c>
      <c r="O27" s="23" t="str">
        <f t="shared" si="33"/>
        <v xml:space="preserve">  </v>
      </c>
      <c r="P27" s="4"/>
      <c r="Q27" s="50" t="s">
        <v>73</v>
      </c>
      <c r="R27" s="48" t="s">
        <v>74</v>
      </c>
      <c r="S27" t="str">
        <f>IF(Tools!$L$49="Use 141 rule only",I51,IF(Tools!$L$49="Use 141 and 1331 rules",BG28," "))</f>
        <v xml:space="preserve">  </v>
      </c>
      <c r="W27" s="29">
        <f>IF(AO27="  ","  ",IF(AND(AO26="  ",AO28="  "),"?",IF(AO26="  ",2*(AO28-AO27),IF(AO28="  ",2*(AO27-AO26),2*(AO28-AO26)))))</f>
        <v>2</v>
      </c>
      <c r="X27" s="30" t="str">
        <f t="shared" si="4"/>
        <v>DD</v>
      </c>
      <c r="Y27" s="30" t="str">
        <f t="shared" si="5"/>
        <v>-</v>
      </c>
      <c r="Z27" s="29" t="b">
        <f t="shared" si="6"/>
        <v>1</v>
      </c>
      <c r="AA27" s="29" t="b">
        <f t="shared" si="7"/>
        <v>1</v>
      </c>
      <c r="AB27" s="29" t="str">
        <f t="shared" ca="1" si="8"/>
        <v>141-4</v>
      </c>
      <c r="AC27" s="29">
        <f t="shared" si="34"/>
        <v>2</v>
      </c>
      <c r="AD27" s="29">
        <f t="shared" ca="1" si="9"/>
        <v>2</v>
      </c>
      <c r="AE27" s="29">
        <v>24</v>
      </c>
      <c r="AF27" s="31">
        <f t="shared" si="42"/>
        <v>20</v>
      </c>
      <c r="AG27" s="29" t="b">
        <f t="shared" si="11"/>
        <v>0</v>
      </c>
      <c r="AH27" s="30" t="str">
        <f t="shared" si="43"/>
        <v>-</v>
      </c>
      <c r="AI27" s="30" t="str">
        <f t="shared" ca="1" si="13"/>
        <v>(1/2)*(4/3)</v>
      </c>
      <c r="AJ27" s="29">
        <f t="shared" ca="1" si="14"/>
        <v>0.66666666666666663</v>
      </c>
      <c r="AK27" s="29" t="str">
        <f t="shared" si="15"/>
        <v/>
      </c>
      <c r="AL27" s="29">
        <f t="shared" si="16"/>
        <v>0</v>
      </c>
      <c r="AM27" s="32">
        <f t="shared" ca="1" si="35"/>
        <v>0.66666666666666663</v>
      </c>
      <c r="AO27" s="20">
        <f>Tools!$AD26</f>
        <v>19.5</v>
      </c>
      <c r="AP27" s="33" t="str">
        <f t="shared" ref="AP27:AP28" si="44">VLOOKUP(AO27,OFFSET_A,Count_WL+1,FALSE)</f>
        <v xml:space="preserve">  </v>
      </c>
      <c r="AQ27" s="34" t="str">
        <f t="shared" ca="1" si="18"/>
        <v>(1/2)*(4/3)</v>
      </c>
      <c r="AR27" s="23" t="str">
        <f t="shared" ca="1" si="19"/>
        <v xml:space="preserve">  </v>
      </c>
      <c r="AS27" s="24">
        <f t="shared" si="20"/>
        <v>9.5</v>
      </c>
      <c r="AT27" s="23" t="str">
        <f t="shared" ca="1" si="37"/>
        <v xml:space="preserve">  </v>
      </c>
      <c r="AU27" s="23" t="str">
        <f t="shared" ca="1" si="40"/>
        <v xml:space="preserve">  </v>
      </c>
      <c r="AV27" s="23" t="str">
        <f t="shared" si="21"/>
        <v xml:space="preserve">  </v>
      </c>
      <c r="AW27" s="23" t="str">
        <f t="shared" ca="1" si="22"/>
        <v xml:space="preserve">  </v>
      </c>
      <c r="AY27" s="35" t="str">
        <f t="shared" si="23"/>
        <v xml:space="preserve"> </v>
      </c>
      <c r="AZ27" s="23" t="str">
        <f t="shared" ca="1" si="41"/>
        <v xml:space="preserve">  </v>
      </c>
      <c r="BA27" s="36" t="str">
        <f t="shared" si="25"/>
        <v xml:space="preserve"> </v>
      </c>
      <c r="BB27" s="27" t="str">
        <f t="shared" ca="1" si="38"/>
        <v xml:space="preserve">  </v>
      </c>
      <c r="BC27" s="23" t="str">
        <f t="shared" ca="1" si="39"/>
        <v xml:space="preserve">  </v>
      </c>
      <c r="BE27" s="50" t="s">
        <v>71</v>
      </c>
      <c r="BF27" s="48" t="s">
        <v>72</v>
      </c>
      <c r="BG27" s="49" t="str">
        <f>IF(WL_No="  ","  ",AWP*1.025/100)</f>
        <v xml:space="preserve">  </v>
      </c>
    </row>
    <row r="28" spans="1:59" ht="15.75" thickBot="1" x14ac:dyDescent="0.3">
      <c r="A28" s="20">
        <f>Tools!$AD27</f>
        <v>20</v>
      </c>
      <c r="B28" s="52" t="str">
        <f t="shared" si="0"/>
        <v xml:space="preserve">  </v>
      </c>
      <c r="C28" s="22">
        <f>IF(A28="  ","  ",IF(A27="  ","?",1*(A28-A27)))</f>
        <v>0.5</v>
      </c>
      <c r="D28" s="53" t="str">
        <f t="shared" si="26"/>
        <v xml:space="preserve">  </v>
      </c>
      <c r="E28" s="24">
        <f t="shared" si="1"/>
        <v>10</v>
      </c>
      <c r="F28" s="53" t="str">
        <f t="shared" si="27"/>
        <v xml:space="preserve">  </v>
      </c>
      <c r="G28" s="53" t="str">
        <f t="shared" si="28"/>
        <v xml:space="preserve">  </v>
      </c>
      <c r="H28" s="23" t="str">
        <f t="shared" si="29"/>
        <v xml:space="preserve">  </v>
      </c>
      <c r="I28" s="53" t="str">
        <f t="shared" si="30"/>
        <v xml:space="preserve">  </v>
      </c>
      <c r="J28" s="4"/>
      <c r="K28" s="35" t="str">
        <f t="shared" si="2"/>
        <v xml:space="preserve"> </v>
      </c>
      <c r="L28" s="53" t="str">
        <f t="shared" si="31"/>
        <v xml:space="preserve">  </v>
      </c>
      <c r="M28" s="36" t="str">
        <f t="shared" si="3"/>
        <v xml:space="preserve"> </v>
      </c>
      <c r="N28" s="54" t="str">
        <f t="shared" si="32"/>
        <v xml:space="preserve">  </v>
      </c>
      <c r="O28" s="53" t="str">
        <f t="shared" si="33"/>
        <v xml:space="preserve">  </v>
      </c>
      <c r="P28" s="4"/>
      <c r="Q28" s="50" t="s">
        <v>75</v>
      </c>
      <c r="R28" s="55" t="s">
        <v>76</v>
      </c>
      <c r="S28" t="str">
        <f>IF(Tools!$L$49="Use 141 rule only",I52,IF(Tools!$L$49="Use 141 and 1331 rules",BG29," "))</f>
        <v xml:space="preserve">  </v>
      </c>
      <c r="W28" s="29">
        <f>IF(AO28="  ","  ",IF(AO27="  ","?",1*(AO28-AO27)))</f>
        <v>0.5</v>
      </c>
      <c r="X28" s="30" t="str">
        <f t="shared" si="4"/>
        <v>D-</v>
      </c>
      <c r="Y28" s="30" t="str">
        <f t="shared" si="5"/>
        <v>-</v>
      </c>
      <c r="Z28" s="29" t="b">
        <f t="shared" si="6"/>
        <v>1</v>
      </c>
      <c r="AA28" s="29" t="b">
        <f t="shared" si="7"/>
        <v>1</v>
      </c>
      <c r="AB28" s="29" t="str">
        <f t="shared" ca="1" si="8"/>
        <v>141-1</v>
      </c>
      <c r="AC28" s="29">
        <f>IF(ISNUMBER(AO28),IF(ISNUMBER(AO28),IF(OR(AO28=0,AO28=Long_Div),1,IF(AO28&gt;Long_Div/2,AF29+1,IF(AO28&lt;=Long_Div/2,AC27+1,"?")))," --")," ")</f>
        <v>1</v>
      </c>
      <c r="AD28" s="29">
        <f t="shared" ca="1" si="9"/>
        <v>1</v>
      </c>
      <c r="AE28" s="29">
        <v>25</v>
      </c>
      <c r="AF28" s="31">
        <f t="shared" si="42"/>
        <v>21</v>
      </c>
      <c r="AG28" s="29" t="b">
        <f t="shared" si="11"/>
        <v>0</v>
      </c>
      <c r="AH28" s="30" t="str">
        <f t="shared" si="43"/>
        <v>-</v>
      </c>
      <c r="AI28" s="30" t="str">
        <f t="shared" ca="1" si="13"/>
        <v>(1/2)*(1/3)</v>
      </c>
      <c r="AJ28" s="29">
        <f t="shared" ca="1" si="14"/>
        <v>0.16666666666666666</v>
      </c>
      <c r="AK28" s="29" t="str">
        <f t="shared" si="15"/>
        <v/>
      </c>
      <c r="AL28" s="29">
        <f t="shared" si="16"/>
        <v>0</v>
      </c>
      <c r="AM28" s="32">
        <f t="shared" ca="1" si="35"/>
        <v>0.16666666666666666</v>
      </c>
      <c r="AO28" s="20">
        <f>Tools!$AD27</f>
        <v>20</v>
      </c>
      <c r="AP28" s="33" t="str">
        <f t="shared" si="44"/>
        <v xml:space="preserve">  </v>
      </c>
      <c r="AQ28" s="34" t="str">
        <f t="shared" ca="1" si="18"/>
        <v>(1/2)*(1/3)</v>
      </c>
      <c r="AR28" s="23" t="str">
        <f t="shared" ca="1" si="19"/>
        <v xml:space="preserve">  </v>
      </c>
      <c r="AS28" s="24">
        <f t="shared" si="20"/>
        <v>10</v>
      </c>
      <c r="AT28" s="53" t="str">
        <f t="shared" ca="1" si="37"/>
        <v xml:space="preserve">  </v>
      </c>
      <c r="AU28" s="53" t="str">
        <f t="shared" ca="1" si="40"/>
        <v xml:space="preserve">  </v>
      </c>
      <c r="AV28" s="23" t="str">
        <f t="shared" si="21"/>
        <v xml:space="preserve">  </v>
      </c>
      <c r="AW28" s="23" t="str">
        <f t="shared" ca="1" si="22"/>
        <v xml:space="preserve">  </v>
      </c>
      <c r="AY28" s="35" t="str">
        <f t="shared" si="23"/>
        <v xml:space="preserve"> </v>
      </c>
      <c r="AZ28" s="23" t="str">
        <f t="shared" ca="1" si="41"/>
        <v xml:space="preserve">  </v>
      </c>
      <c r="BA28" s="36" t="str">
        <f t="shared" si="25"/>
        <v xml:space="preserve"> </v>
      </c>
      <c r="BB28" s="27" t="str">
        <f t="shared" ca="1" si="38"/>
        <v xml:space="preserve">  </v>
      </c>
      <c r="BC28" s="53" t="str">
        <f t="shared" ca="1" si="39"/>
        <v xml:space="preserve">  </v>
      </c>
      <c r="BE28" s="50" t="s">
        <v>73</v>
      </c>
      <c r="BF28" s="48" t="s">
        <v>74</v>
      </c>
      <c r="BG28" s="49" t="str">
        <f>IF(WL_No="  ","  ",ML/V_Disp)</f>
        <v xml:space="preserve">  </v>
      </c>
    </row>
    <row r="29" spans="1:59" ht="15.75" thickBot="1" x14ac:dyDescent="0.3">
      <c r="A29" s="56" t="s">
        <v>77</v>
      </c>
      <c r="B29" s="56"/>
      <c r="C29" s="56"/>
      <c r="D29" s="57">
        <f>SUM(D4:D28)</f>
        <v>0</v>
      </c>
      <c r="E29" s="42"/>
      <c r="F29" s="58">
        <f>SUM(F4:F28)</f>
        <v>0</v>
      </c>
      <c r="G29" s="58">
        <f>SUM(G4:G28)</f>
        <v>0</v>
      </c>
      <c r="H29" s="42"/>
      <c r="I29" s="58">
        <f>SUM(I4:I28)</f>
        <v>0</v>
      </c>
      <c r="J29" s="4"/>
      <c r="K29" s="42"/>
      <c r="L29" s="58">
        <f>SUM(L4:L28)</f>
        <v>0</v>
      </c>
      <c r="M29" s="42"/>
      <c r="N29" s="58">
        <f>SUM(N4:N28)</f>
        <v>0</v>
      </c>
      <c r="O29" s="58">
        <f>SUM(O4:O28)</f>
        <v>0</v>
      </c>
      <c r="P29" s="4"/>
      <c r="Q29" s="50" t="s">
        <v>78</v>
      </c>
      <c r="R29" s="48" t="s">
        <v>79</v>
      </c>
      <c r="S29" t="str">
        <f>IF(Tools!$L$49="Use 141 rule only",I53,IF(Tools!$L$49="Use 141 and 1331 rules",BG30," "))</f>
        <v xml:space="preserve">  </v>
      </c>
      <c r="W29" s="56"/>
      <c r="X29" s="56"/>
      <c r="Y29" s="56"/>
      <c r="Z29" s="56"/>
      <c r="AA29" s="56"/>
      <c r="AB29" s="56"/>
      <c r="AC29" s="56"/>
      <c r="AD29" s="56"/>
      <c r="AE29" s="56"/>
      <c r="AF29" s="56"/>
      <c r="AG29" s="56"/>
      <c r="AH29" s="56"/>
      <c r="AI29" s="56"/>
      <c r="AJ29" s="56"/>
      <c r="AK29" s="56"/>
      <c r="AL29" s="56"/>
      <c r="AM29" s="56"/>
      <c r="AN29" s="56"/>
      <c r="AO29" s="56" t="s">
        <v>77</v>
      </c>
      <c r="AP29" s="56"/>
      <c r="AQ29" s="59"/>
      <c r="AR29" s="57">
        <f ca="1">SUM(AR4:AR28)</f>
        <v>0</v>
      </c>
      <c r="AS29" s="42"/>
      <c r="AT29" s="58">
        <f ca="1">SUM(AT4:AT28)</f>
        <v>0</v>
      </c>
      <c r="AU29" s="58">
        <f ca="1">SUM(AU4:AU28)</f>
        <v>0</v>
      </c>
      <c r="AV29" s="42"/>
      <c r="AW29" s="58">
        <f ca="1">SUM(AW4:AW28)</f>
        <v>0</v>
      </c>
      <c r="AY29" s="42"/>
      <c r="AZ29" s="58">
        <f ca="1">SUM(AZ4:AZ28)</f>
        <v>0</v>
      </c>
      <c r="BA29" s="42"/>
      <c r="BB29" s="58">
        <f ca="1">SUM(BB4:BB28)</f>
        <v>0</v>
      </c>
      <c r="BC29" s="58">
        <f ca="1">SUM(BC4:BC28)</f>
        <v>0</v>
      </c>
      <c r="BE29" s="50" t="s">
        <v>75</v>
      </c>
      <c r="BF29" s="55" t="s">
        <v>76</v>
      </c>
      <c r="BG29" s="49" t="str">
        <f>IF(WL_No="  ","  ",M_Disp*BML/100/BG8)</f>
        <v xml:space="preserve">  </v>
      </c>
    </row>
    <row r="30" spans="1:59" x14ac:dyDescent="0.25">
      <c r="A30" s="15"/>
      <c r="B30" s="4"/>
      <c r="C30" s="4"/>
      <c r="D30" s="42"/>
      <c r="E30" s="4"/>
      <c r="F30" s="4"/>
      <c r="G30" s="4"/>
      <c r="H30" s="4"/>
      <c r="I30" s="4"/>
      <c r="J30" s="4"/>
      <c r="K30" s="4"/>
      <c r="L30" s="4"/>
      <c r="M30" s="4"/>
      <c r="N30" s="4"/>
      <c r="O30" s="4"/>
      <c r="P30" s="4"/>
      <c r="Q30" s="50" t="s">
        <v>80</v>
      </c>
      <c r="R30" s="48" t="s">
        <v>81</v>
      </c>
      <c r="S30" t="str">
        <f>IF(Tools!$L$49="Use 141 rule only",I54,IF(Tools!$L$49="Use 141 and 1331 rules",BG31," "))</f>
        <v xml:space="preserve">  </v>
      </c>
      <c r="AA30" s="60"/>
      <c r="AB30" s="60"/>
      <c r="BE30" s="50" t="s">
        <v>78</v>
      </c>
      <c r="BF30" s="48" t="s">
        <v>79</v>
      </c>
      <c r="BG30" s="49" t="str">
        <f>IF(WL_No="  ","  ",WLS*WL_No)</f>
        <v xml:space="preserve">  </v>
      </c>
    </row>
    <row r="31" spans="1:59" x14ac:dyDescent="0.25">
      <c r="A31" s="15"/>
      <c r="B31" s="4"/>
      <c r="C31" s="4"/>
      <c r="D31" s="4"/>
      <c r="E31" s="4"/>
      <c r="F31" s="4"/>
      <c r="G31" s="4"/>
      <c r="H31" s="4"/>
      <c r="I31" s="4"/>
      <c r="J31" s="4"/>
      <c r="K31" s="4"/>
      <c r="L31" s="4"/>
      <c r="M31" s="4"/>
      <c r="N31" s="4"/>
      <c r="O31" s="4"/>
      <c r="P31" s="4"/>
      <c r="Q31" s="50" t="s">
        <v>82</v>
      </c>
      <c r="R31" s="48" t="s">
        <v>83</v>
      </c>
      <c r="S31" t="str">
        <f>IF(Tools!$L$49="Use 141 rule only",I55,IF(Tools!$L$49="Use 141 and 1331 rules",BG32," "))</f>
        <v xml:space="preserve">  </v>
      </c>
      <c r="AF31" s="61" t="s">
        <v>84</v>
      </c>
      <c r="AG31" s="62">
        <f ca="1">COUNTIF(OFFSET(AQ4,,,ROUNDUP(Max_STN_count/2,0),1),"")</f>
        <v>0</v>
      </c>
      <c r="AH31" s="63">
        <f ca="1">HLOOKUP(Stn_WL,AREA_TABLE,AG31+2,FALSE)</f>
        <v>0</v>
      </c>
      <c r="AI31" s="63">
        <f ca="1">IF(AH31&gt;Long_Div/2,Long_Div/2,AH31)</f>
        <v>0</v>
      </c>
      <c r="AJ31" s="63">
        <f ca="1">AI31*STN_GAP</f>
        <v>0</v>
      </c>
      <c r="BE31" s="50" t="s">
        <v>80</v>
      </c>
      <c r="BF31" s="48" t="s">
        <v>81</v>
      </c>
      <c r="BG31" s="49" t="str">
        <f>IF(WL_No="  ","  ",AWP/(BG8*B_current))</f>
        <v xml:space="preserve">  </v>
      </c>
    </row>
    <row r="32" spans="1:59" x14ac:dyDescent="0.25">
      <c r="A32" s="15"/>
      <c r="B32" s="4"/>
      <c r="C32" s="4"/>
      <c r="D32" s="4"/>
      <c r="E32" s="4"/>
      <c r="F32" s="4"/>
      <c r="G32" s="4"/>
      <c r="H32" s="4"/>
      <c r="I32" s="4"/>
      <c r="J32" s="64"/>
      <c r="K32" s="4"/>
      <c r="L32" s="4"/>
      <c r="M32" s="4"/>
      <c r="N32" s="4"/>
      <c r="O32" s="4"/>
      <c r="P32" s="4"/>
      <c r="Q32" s="50" t="s">
        <v>85</v>
      </c>
      <c r="R32" s="48" t="s">
        <v>86</v>
      </c>
      <c r="S32" t="str">
        <f>IF(Tools!$L$49="Use 141 rule only",I56,IF(Tools!$L$49="Use 141 and 1331 rules",BG33," "))</f>
        <v xml:space="preserve">  </v>
      </c>
      <c r="AF32" s="61" t="s">
        <v>87</v>
      </c>
      <c r="AG32" s="62">
        <f ca="1">COUNTIF(OFFSET(AQ4,ROUNDUP(Max_STN_count/2,0),,ROUNDDOWN(Max_STN_count/2,0),1),"")</f>
        <v>0</v>
      </c>
      <c r="AH32" s="63">
        <f ca="1">HLOOKUP(Stn_WL,AREA_TABLE,AG32+2,FALSE)</f>
        <v>0</v>
      </c>
      <c r="AI32" s="63">
        <f ca="1">IF(AH32&gt;Long_Div/2,Long_Div/2,AH32)</f>
        <v>0</v>
      </c>
      <c r="AJ32" s="63">
        <f ca="1">AI32*STN_GAP</f>
        <v>0</v>
      </c>
      <c r="BE32" s="50" t="s">
        <v>82</v>
      </c>
      <c r="BF32" s="48" t="s">
        <v>83</v>
      </c>
      <c r="BG32" s="49" t="str">
        <f>IF(WL_No="  ","  ",V_Disp/(BG8*B_current*T))</f>
        <v xml:space="preserve">  </v>
      </c>
    </row>
    <row r="33" spans="1:59" x14ac:dyDescent="0.25">
      <c r="A33" s="15"/>
      <c r="B33" s="4"/>
      <c r="C33" s="4"/>
      <c r="D33" s="4"/>
      <c r="E33" s="4"/>
      <c r="F33" s="4"/>
      <c r="G33" s="43" t="s">
        <v>31</v>
      </c>
      <c r="H33" s="44" t="s">
        <v>32</v>
      </c>
      <c r="I33" s="489" t="s">
        <v>33</v>
      </c>
      <c r="J33" s="4"/>
      <c r="K33" s="4"/>
      <c r="L33" s="4"/>
      <c r="M33" s="4"/>
      <c r="N33" s="4"/>
      <c r="O33" s="4"/>
      <c r="P33" s="4"/>
      <c r="Q33" s="50" t="s">
        <v>88</v>
      </c>
      <c r="R33" s="48" t="s">
        <v>89</v>
      </c>
      <c r="S33" t="str">
        <f>IF(Tools!$L$49="Use 141 rule only",I57,IF(Tools!$L$49="Use 141 and 1331 rules",BG34," "))</f>
        <v xml:space="preserve">  </v>
      </c>
      <c r="AF33" s="63"/>
      <c r="AG33" s="63"/>
      <c r="AH33" s="63">
        <f ca="1">Long_Div-AH32</f>
        <v>20</v>
      </c>
      <c r="AI33" s="63"/>
      <c r="AJ33" s="63">
        <f ca="1">AJ32+AJ31</f>
        <v>0</v>
      </c>
      <c r="BE33" s="50" t="s">
        <v>85</v>
      </c>
      <c r="BF33" s="48" t="s">
        <v>86</v>
      </c>
      <c r="BG33" s="65" t="str">
        <f>IFERROR(IF(WL_No="  ","  ",(VLOOKUP(Long_Div/2,AREA_TABLE,Count_WL+1,FALSE))/(B_current*T)),"-")</f>
        <v xml:space="preserve">  </v>
      </c>
    </row>
    <row r="34" spans="1:59" x14ac:dyDescent="0.25">
      <c r="G34" s="45"/>
      <c r="H34" s="46"/>
      <c r="I34" s="490"/>
      <c r="BE34" s="50" t="s">
        <v>88</v>
      </c>
      <c r="BF34" s="48" t="s">
        <v>89</v>
      </c>
      <c r="BG34" s="49" t="str">
        <f>IF(WL_No="  ","  ",CB/CM)</f>
        <v xml:space="preserve">  </v>
      </c>
    </row>
    <row r="35" spans="1:59" x14ac:dyDescent="0.25">
      <c r="G35" s="47" t="s">
        <v>34</v>
      </c>
      <c r="H35" s="48" t="s">
        <v>35</v>
      </c>
      <c r="I35" s="49" t="str">
        <f>IF(WL_No="  ","  ",2/3*h*$D$29)</f>
        <v xml:space="preserve">  </v>
      </c>
    </row>
    <row r="36" spans="1:59" x14ac:dyDescent="0.25">
      <c r="G36" s="47" t="s">
        <v>36</v>
      </c>
      <c r="H36" s="48" t="s">
        <v>37</v>
      </c>
      <c r="I36" s="49" t="str">
        <f>IF(WL_No="  ","  ",2/3*(h^2)*$F$29)</f>
        <v xml:space="preserve">  </v>
      </c>
    </row>
    <row r="37" spans="1:59" x14ac:dyDescent="0.25">
      <c r="G37" s="50" t="s">
        <v>39</v>
      </c>
      <c r="H37" s="48" t="s">
        <v>40</v>
      </c>
      <c r="I37" s="49" t="str">
        <f>IF(WL_No="  ","  ",Mmid/AWP)</f>
        <v xml:space="preserve">  </v>
      </c>
    </row>
    <row r="38" spans="1:59" x14ac:dyDescent="0.25">
      <c r="G38" s="50" t="s">
        <v>42</v>
      </c>
      <c r="H38" s="48" t="s">
        <v>43</v>
      </c>
      <c r="I38" s="49" t="str">
        <f>IF(WL_No="  ","  ",2/3*(h^3)*$G$29)</f>
        <v xml:space="preserve">  </v>
      </c>
    </row>
    <row r="39" spans="1:59" x14ac:dyDescent="0.25">
      <c r="G39" s="51" t="s">
        <v>44</v>
      </c>
      <c r="H39" s="48" t="s">
        <v>45</v>
      </c>
      <c r="I39" s="49" t="str">
        <f>IF(WL_No="  ","  ",2/9*h*$I$29)</f>
        <v xml:space="preserve">  </v>
      </c>
    </row>
    <row r="40" spans="1:59" x14ac:dyDescent="0.25">
      <c r="G40" s="50" t="s">
        <v>47</v>
      </c>
      <c r="H40" s="48" t="s">
        <v>48</v>
      </c>
      <c r="I40" s="49" t="str">
        <f>IF(WL_No="  ","  ",IL-AWP*(LCF^2))</f>
        <v xml:space="preserve">  </v>
      </c>
    </row>
    <row r="41" spans="1:59" x14ac:dyDescent="0.25">
      <c r="G41" s="50" t="s">
        <v>50</v>
      </c>
      <c r="H41" s="48" t="s">
        <v>51</v>
      </c>
      <c r="I41" s="49" t="str">
        <f>IF(WL_No="  ","  ",h/3*$L$29)</f>
        <v xml:space="preserve">  </v>
      </c>
    </row>
    <row r="42" spans="1:59" x14ac:dyDescent="0.25">
      <c r="G42" s="50" t="s">
        <v>52</v>
      </c>
      <c r="H42" s="48" t="s">
        <v>53</v>
      </c>
      <c r="I42" s="49" t="str">
        <f>IF(WL_No="  ","  ",V_Disp*1.025*1.006)</f>
        <v xml:space="preserve">  </v>
      </c>
    </row>
    <row r="43" spans="1:59" x14ac:dyDescent="0.25">
      <c r="G43" s="50" t="s">
        <v>55</v>
      </c>
      <c r="H43" s="48" t="s">
        <v>56</v>
      </c>
      <c r="I43" s="49" t="str">
        <f>IF(WL_No="  ","  ",h/3*$N$29)</f>
        <v xml:space="preserve">  </v>
      </c>
    </row>
    <row r="44" spans="1:59" x14ac:dyDescent="0.25">
      <c r="G44" s="50" t="s">
        <v>57</v>
      </c>
      <c r="H44" s="48" t="s">
        <v>58</v>
      </c>
      <c r="I44" s="49" t="str">
        <f>IF(WL_No="  ","  ",(h^2)/3*$O$29)</f>
        <v xml:space="preserve">  </v>
      </c>
    </row>
    <row r="45" spans="1:59" x14ac:dyDescent="0.25">
      <c r="G45" s="50" t="s">
        <v>60</v>
      </c>
      <c r="H45" s="48" t="s">
        <v>61</v>
      </c>
      <c r="I45" s="49" t="str">
        <f>IF(WL_No="  ","  ",IF/V_Disp)</f>
        <v xml:space="preserve">  </v>
      </c>
    </row>
    <row r="46" spans="1:59" x14ac:dyDescent="0.25">
      <c r="G46" s="50" t="s">
        <v>63</v>
      </c>
      <c r="H46" s="48" t="s">
        <v>64</v>
      </c>
      <c r="I46" s="49" t="str">
        <f>IF(WL_No="  ","  ",IT/V_Disp)</f>
        <v xml:space="preserve">  </v>
      </c>
    </row>
    <row r="47" spans="1:59" x14ac:dyDescent="0.25">
      <c r="G47" s="50" t="s">
        <v>65</v>
      </c>
      <c r="H47" s="48" t="s">
        <v>66</v>
      </c>
      <c r="I47" s="49" t="str">
        <f>IF(WL_No="  ","  ",MT/V_Disp)</f>
        <v xml:space="preserve">  </v>
      </c>
    </row>
    <row r="48" spans="1:59" x14ac:dyDescent="0.25">
      <c r="G48" s="50" t="s">
        <v>67</v>
      </c>
      <c r="H48" s="48" t="s">
        <v>68</v>
      </c>
      <c r="I48" s="49" t="str">
        <f>IF(WL_No="  ","  ",KB+BMT)</f>
        <v xml:space="preserve">  </v>
      </c>
    </row>
    <row r="49" spans="7:9" x14ac:dyDescent="0.25">
      <c r="G49" s="50" t="s">
        <v>69</v>
      </c>
      <c r="H49" s="48" t="s">
        <v>70</v>
      </c>
      <c r="I49" s="49" t="str">
        <f>IF(WL_No="  ","  ",KB+BML)</f>
        <v xml:space="preserve">  </v>
      </c>
    </row>
    <row r="50" spans="7:9" x14ac:dyDescent="0.25">
      <c r="G50" s="50" t="s">
        <v>71</v>
      </c>
      <c r="H50" s="48" t="s">
        <v>72</v>
      </c>
      <c r="I50" s="49" t="str">
        <f>IF(WL_No="  ","  ",AWP*1.025/100)</f>
        <v xml:space="preserve">  </v>
      </c>
    </row>
    <row r="51" spans="7:9" x14ac:dyDescent="0.25">
      <c r="G51" s="50" t="s">
        <v>73</v>
      </c>
      <c r="H51" s="48" t="s">
        <v>74</v>
      </c>
      <c r="I51" s="49" t="str">
        <f>IF(WL_No="  ","  ",ML/V_Disp)</f>
        <v xml:space="preserve">  </v>
      </c>
    </row>
    <row r="52" spans="7:9" x14ac:dyDescent="0.25">
      <c r="G52" s="50" t="s">
        <v>75</v>
      </c>
      <c r="H52" s="55" t="s">
        <v>76</v>
      </c>
      <c r="I52" s="49" t="str">
        <f>IF(WL_No="  ","  ",M_Disp*BML/100/LBP)</f>
        <v xml:space="preserve">  </v>
      </c>
    </row>
    <row r="53" spans="7:9" x14ac:dyDescent="0.25">
      <c r="G53" s="50" t="s">
        <v>78</v>
      </c>
      <c r="H53" s="48" t="s">
        <v>79</v>
      </c>
      <c r="I53" s="49" t="str">
        <f>IF(WL_No="  ","  ",WLS*WL_No)</f>
        <v xml:space="preserve">  </v>
      </c>
    </row>
    <row r="54" spans="7:9" x14ac:dyDescent="0.25">
      <c r="G54" s="50" t="s">
        <v>80</v>
      </c>
      <c r="H54" s="48" t="s">
        <v>81</v>
      </c>
      <c r="I54" s="49" t="str">
        <f>IF(WL_No="  ","  ",AWP/(LBP*B_current))</f>
        <v xml:space="preserve">  </v>
      </c>
    </row>
    <row r="55" spans="7:9" x14ac:dyDescent="0.25">
      <c r="G55" s="50" t="s">
        <v>82</v>
      </c>
      <c r="H55" s="48" t="s">
        <v>83</v>
      </c>
      <c r="I55" s="49" t="str">
        <f>IF(WL_No="  ","  ",V_Disp/(LBP*B_current*T))</f>
        <v xml:space="preserve">  </v>
      </c>
    </row>
    <row r="56" spans="7:9" x14ac:dyDescent="0.25">
      <c r="G56" s="50" t="s">
        <v>85</v>
      </c>
      <c r="H56" s="48" t="s">
        <v>86</v>
      </c>
      <c r="I56" s="65" t="str">
        <f>IF(WL_No="  ","  ",(VLOOKUP(Long_Div/2,AREA_TABLE,Count_WL+1,FALSE))/(B_current*T))</f>
        <v xml:space="preserve">  </v>
      </c>
    </row>
    <row r="57" spans="7:9" x14ac:dyDescent="0.25">
      <c r="G57" s="50" t="s">
        <v>88</v>
      </c>
      <c r="H57" s="48" t="s">
        <v>89</v>
      </c>
      <c r="I57" s="49" t="str">
        <f>IF(WL_No="  ","  ",CB/CM)</f>
        <v xml:space="preserve">  </v>
      </c>
    </row>
  </sheetData>
  <mergeCells count="7">
    <mergeCell ref="BG10:BG11"/>
    <mergeCell ref="I33:I34"/>
    <mergeCell ref="A2:I2"/>
    <mergeCell ref="K2:O2"/>
    <mergeCell ref="AO2:AW2"/>
    <mergeCell ref="AY2:BC2"/>
    <mergeCell ref="S9:S10"/>
  </mergeCells>
  <conditionalFormatting sqref="CB4:XFD30 BW4:BW28 BS4:BT28 W29:AX29 A33:F57 J33:R33 A11:R32 A2:T10 V2:AO2 AX2 BP29:BW29 A63:XFD1048576 T12:T37 U35:XFD37 BD2:BD29 BM31:XFD33 BM30:BW30 BH29:BI33 BH2:XFD3 U30:BD30 AR31:BD31 W3:AM28 A58:BD62 BH38:XFD62 J34:S37 BH34:XFD34 A1:AN1 AV1:XFD1 AO31:AP31 U33:BD34 AM31 U31:AG32 AK32:BD32 AO3:AX26 J43:BD57 J42:M42 O42:BD42 J38:BD41 AO27:AO28 AQ27:AX28">
    <cfRule type="containsErrors" dxfId="395" priority="14">
      <formula>ISERROR(A1)</formula>
    </cfRule>
  </conditionalFormatting>
  <conditionalFormatting sqref="G33:I34 G35:H57">
    <cfRule type="containsErrors" dxfId="394" priority="13">
      <formula>ISERROR(G33)</formula>
    </cfRule>
  </conditionalFormatting>
  <conditionalFormatting sqref="T12:T33">
    <cfRule type="containsErrors" dxfId="393" priority="12">
      <formula>ISERROR(T12)</formula>
    </cfRule>
  </conditionalFormatting>
  <conditionalFormatting sqref="I35:I57">
    <cfRule type="containsErrors" dxfId="392" priority="11">
      <formula>ISERROR(I35)</formula>
    </cfRule>
  </conditionalFormatting>
  <conditionalFormatting sqref="AY2:BC29">
    <cfRule type="containsErrors" dxfId="391" priority="8">
      <formula>ISERROR(AY2)</formula>
    </cfRule>
  </conditionalFormatting>
  <conditionalFormatting sqref="BE10:BG11 BE12:BF34">
    <cfRule type="containsErrors" dxfId="390" priority="10">
      <formula>ISERROR(BE10)</formula>
    </cfRule>
  </conditionalFormatting>
  <conditionalFormatting sqref="BG12:BG28 BG34">
    <cfRule type="containsErrors" dxfId="389" priority="9">
      <formula>ISERROR(BG12)</formula>
    </cfRule>
  </conditionalFormatting>
  <conditionalFormatting sqref="BE2:BG6">
    <cfRule type="containsErrors" dxfId="388" priority="7">
      <formula>ISERROR(BE2)</formula>
    </cfRule>
  </conditionalFormatting>
  <conditionalFormatting sqref="BF7:BG8">
    <cfRule type="containsErrors" dxfId="387" priority="5">
      <formula>ISERROR(BF7)</formula>
    </cfRule>
  </conditionalFormatting>
  <conditionalFormatting sqref="BE7:BE8">
    <cfRule type="containsErrors" dxfId="386" priority="6">
      <formula>ISERROR(BE7)</formula>
    </cfRule>
  </conditionalFormatting>
  <conditionalFormatting sqref="S30:S33">
    <cfRule type="containsErrors" dxfId="385" priority="4">
      <formula>ISERROR(S30)</formula>
    </cfRule>
  </conditionalFormatting>
  <conditionalFormatting sqref="AP27:AP28">
    <cfRule type="containsErrors" dxfId="384" priority="3">
      <formula>ISERROR(AP27)</formula>
    </cfRule>
  </conditionalFormatting>
  <conditionalFormatting sqref="BG29:BG32">
    <cfRule type="containsErrors" dxfId="383" priority="2">
      <formula>ISERROR(BG29)</formula>
    </cfRule>
  </conditionalFormatting>
  <conditionalFormatting sqref="BG33">
    <cfRule type="containsErrors" dxfId="382" priority="1">
      <formula>ISERROR(BG33)</formula>
    </cfRule>
  </conditionalFormatting>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4" tint="0.79998168889431442"/>
  </sheetPr>
  <dimension ref="A1:BH57"/>
  <sheetViews>
    <sheetView topLeftCell="AG1" zoomScale="55" zoomScaleNormal="55" workbookViewId="0">
      <pane ySplit="1" topLeftCell="A29" activePane="bottomLeft" state="frozen"/>
      <selection activeCell="AG8" sqref="AG8:AG10"/>
      <selection pane="bottomLeft" activeCell="AG8" sqref="AG8:AG10"/>
    </sheetView>
  </sheetViews>
  <sheetFormatPr defaultRowHeight="15" x14ac:dyDescent="0.25"/>
  <cols>
    <col min="1" max="1" width="8.28515625" customWidth="1"/>
    <col min="2" max="2" width="7.28515625" customWidth="1"/>
    <col min="4" max="4" width="6.5703125" customWidth="1"/>
    <col min="7" max="7" width="24" customWidth="1"/>
    <col min="8" max="8" width="30.5703125" customWidth="1"/>
    <col min="9" max="9" width="26.5703125" customWidth="1"/>
    <col min="10" max="10" width="10.5703125" bestFit="1" customWidth="1"/>
    <col min="11" max="11" width="9.140625" customWidth="1"/>
    <col min="13" max="13" width="7.85546875" customWidth="1"/>
    <col min="17" max="17" width="19.5703125" customWidth="1"/>
    <col min="18" max="18" width="11.85546875" customWidth="1"/>
    <col min="19" max="19" width="16.5703125" customWidth="1"/>
    <col min="20" max="20" width="14.140625" customWidth="1"/>
    <col min="35" max="35" width="14" customWidth="1"/>
    <col min="36" max="37" width="12" customWidth="1"/>
    <col min="39" max="39" width="19" customWidth="1"/>
    <col min="43" max="43" width="18" style="7" customWidth="1"/>
    <col min="49" max="49" width="11.28515625" customWidth="1"/>
    <col min="52" max="52" width="12" customWidth="1"/>
    <col min="54" max="54" width="10.7109375" bestFit="1" customWidth="1"/>
    <col min="56" max="56" width="4.5703125" customWidth="1"/>
    <col min="57" max="57" width="21.28515625" customWidth="1"/>
    <col min="58" max="58" width="15.42578125" customWidth="1"/>
    <col min="59" max="59" width="19.28515625" customWidth="1"/>
    <col min="61" max="61" width="5.7109375" customWidth="1"/>
    <col min="62" max="62" width="13" customWidth="1"/>
    <col min="63" max="63" width="17.42578125" customWidth="1"/>
  </cols>
  <sheetData>
    <row r="1" spans="1:60" x14ac:dyDescent="0.25">
      <c r="A1" s="1" t="s">
        <v>0</v>
      </c>
      <c r="B1" s="2" t="str">
        <f>VLOOKUP(Stn_WL,OFFSET_A,Count_WL+1,FALSE)</f>
        <v xml:space="preserve">  </v>
      </c>
      <c r="C1" s="3"/>
      <c r="D1" s="4"/>
      <c r="E1" s="4" t="s">
        <v>1</v>
      </c>
      <c r="F1" s="5">
        <v>19</v>
      </c>
      <c r="G1" s="4"/>
      <c r="H1" s="4"/>
      <c r="I1" s="4"/>
      <c r="J1" s="4"/>
      <c r="K1" s="4"/>
      <c r="L1" s="4"/>
      <c r="M1" s="4"/>
      <c r="N1" s="4"/>
      <c r="O1" s="4"/>
      <c r="P1" s="4"/>
      <c r="Q1" s="4"/>
      <c r="R1" s="4"/>
      <c r="S1" s="4"/>
      <c r="V1" t="s">
        <v>2</v>
      </c>
      <c r="W1">
        <f ca="1">COUNTIF(OFFSET(Z4,,,ROUNDDOWN(Max_STN_count/2+1,0),1),TRUE)</f>
        <v>5</v>
      </c>
      <c r="X1">
        <f ca="1">COUNTIF(OFFSET(AA4,,,ROUNDDOWN(Max_STN_count/2+1,0),1),TRUE)</f>
        <v>5</v>
      </c>
      <c r="Y1">
        <f ca="1">W1-X1</f>
        <v>0</v>
      </c>
      <c r="AB1" s="6" t="s">
        <v>3</v>
      </c>
      <c r="AC1">
        <f ca="1">COUNTIF(OFFSET(Z4,ROUNDUP(Max_STN_count/2,0),,ROUNDDOWN(Max_STN_count/2,0),1),TRUE)</f>
        <v>5</v>
      </c>
      <c r="AD1">
        <f ca="1">COUNTIF(OFFSET(AA4,ROUNDUP(Max_STN_count/2,0),,ROUNDDOWN(Max_STN_count/2,0),1),TRUE)</f>
        <v>5</v>
      </c>
      <c r="AE1">
        <f ca="1">AC1-AD1</f>
        <v>0</v>
      </c>
      <c r="AG1" t="s">
        <v>4</v>
      </c>
      <c r="AH1">
        <f>COUNTIF(AG4:AG28,TRUE)</f>
        <v>17</v>
      </c>
      <c r="AI1">
        <f ca="1">COUNTIF(OFFSET(AG4,,,ROUNDUP(Max_STN_count/2,0),1),FALSE)</f>
        <v>4</v>
      </c>
      <c r="AW1">
        <f ca="1">COUNTIF(OFFSET(AG4,,,Max_STN_count,1),TRUE)</f>
        <v>17</v>
      </c>
    </row>
    <row r="2" spans="1:60" x14ac:dyDescent="0.25">
      <c r="A2" s="491" t="s">
        <v>5</v>
      </c>
      <c r="B2" s="492"/>
      <c r="C2" s="492"/>
      <c r="D2" s="492"/>
      <c r="E2" s="492"/>
      <c r="F2" s="492"/>
      <c r="G2" s="492"/>
      <c r="H2" s="492"/>
      <c r="I2" s="493"/>
      <c r="J2" s="4"/>
      <c r="K2" s="491" t="s">
        <v>6</v>
      </c>
      <c r="L2" s="492"/>
      <c r="M2" s="492"/>
      <c r="N2" s="492"/>
      <c r="O2" s="493"/>
      <c r="P2" s="4"/>
      <c r="Q2" s="8" t="s">
        <v>7</v>
      </c>
      <c r="R2" s="9" t="s">
        <v>8</v>
      </c>
      <c r="S2" s="10">
        <f>WLS</f>
        <v>2</v>
      </c>
      <c r="V2" s="11"/>
      <c r="W2" s="11"/>
      <c r="X2" s="11"/>
      <c r="Y2" s="11"/>
      <c r="Z2" s="11"/>
      <c r="AA2" s="11"/>
      <c r="AB2" s="11"/>
      <c r="AC2" s="11"/>
      <c r="AD2" s="11"/>
      <c r="AE2" s="11"/>
      <c r="AF2" s="11"/>
      <c r="AG2" s="11"/>
      <c r="AH2" s="11"/>
      <c r="AI2" s="11"/>
      <c r="AJ2" s="11"/>
      <c r="AK2" s="11"/>
      <c r="AL2" s="11"/>
      <c r="AM2" s="11"/>
      <c r="AN2" s="11"/>
      <c r="AO2" s="491" t="s">
        <v>5</v>
      </c>
      <c r="AP2" s="492"/>
      <c r="AQ2" s="492"/>
      <c r="AR2" s="492"/>
      <c r="AS2" s="492"/>
      <c r="AT2" s="492"/>
      <c r="AU2" s="492"/>
      <c r="AV2" s="492"/>
      <c r="AW2" s="493"/>
      <c r="AY2" s="491" t="s">
        <v>6</v>
      </c>
      <c r="AZ2" s="492"/>
      <c r="BA2" s="492"/>
      <c r="BB2" s="492"/>
      <c r="BC2" s="493"/>
      <c r="BE2" s="8" t="s">
        <v>7</v>
      </c>
      <c r="BF2" s="9" t="s">
        <v>8</v>
      </c>
      <c r="BG2" s="10">
        <f>WLS</f>
        <v>2</v>
      </c>
    </row>
    <row r="3" spans="1:60" x14ac:dyDescent="0.25">
      <c r="A3" s="12" t="s">
        <v>9</v>
      </c>
      <c r="B3" s="13" t="s">
        <v>10</v>
      </c>
      <c r="C3" s="14" t="s">
        <v>11</v>
      </c>
      <c r="D3" s="14" t="s">
        <v>12</v>
      </c>
      <c r="E3" s="14" t="s">
        <v>13</v>
      </c>
      <c r="F3" s="14" t="s">
        <v>14</v>
      </c>
      <c r="G3" s="14" t="s">
        <v>15</v>
      </c>
      <c r="H3" s="14" t="s">
        <v>16</v>
      </c>
      <c r="I3" s="14" t="s">
        <v>17</v>
      </c>
      <c r="J3" s="15"/>
      <c r="K3" s="14" t="s">
        <v>18</v>
      </c>
      <c r="L3" s="14" t="s">
        <v>19</v>
      </c>
      <c r="M3" s="14" t="s">
        <v>20</v>
      </c>
      <c r="N3" s="14" t="s">
        <v>21</v>
      </c>
      <c r="O3" s="14" t="s">
        <v>22</v>
      </c>
      <c r="P3" s="15"/>
      <c r="Q3" s="16" t="s">
        <v>23</v>
      </c>
      <c r="R3" s="9" t="s">
        <v>8</v>
      </c>
      <c r="S3" s="10">
        <f>STN_GAP</f>
        <v>7.31</v>
      </c>
      <c r="W3" s="17" t="s">
        <v>11</v>
      </c>
      <c r="X3" s="17"/>
      <c r="Y3" s="17"/>
      <c r="Z3" s="17" t="s">
        <v>24</v>
      </c>
      <c r="AA3" s="17"/>
      <c r="AB3" s="17"/>
      <c r="AC3" s="17"/>
      <c r="AD3" s="17"/>
      <c r="AE3" s="17"/>
      <c r="AF3" s="17"/>
      <c r="AG3" s="17" t="s">
        <v>4</v>
      </c>
      <c r="AH3" s="17"/>
      <c r="AI3" s="17" t="s">
        <v>25</v>
      </c>
      <c r="AJ3" s="17"/>
      <c r="AK3" s="17"/>
      <c r="AL3" s="17"/>
      <c r="AM3" s="18" t="s">
        <v>11</v>
      </c>
      <c r="AO3" s="12" t="s">
        <v>9</v>
      </c>
      <c r="AP3" s="13" t="s">
        <v>10</v>
      </c>
      <c r="AQ3" s="19"/>
      <c r="AR3" s="14" t="s">
        <v>12</v>
      </c>
      <c r="AS3" s="14" t="s">
        <v>13</v>
      </c>
      <c r="AT3" s="14" t="s">
        <v>14</v>
      </c>
      <c r="AU3" s="14" t="s">
        <v>15</v>
      </c>
      <c r="AV3" s="14" t="s">
        <v>16</v>
      </c>
      <c r="AW3" s="14" t="s">
        <v>17</v>
      </c>
      <c r="AY3" s="14" t="s">
        <v>18</v>
      </c>
      <c r="AZ3" s="14" t="s">
        <v>19</v>
      </c>
      <c r="BA3" s="14" t="s">
        <v>20</v>
      </c>
      <c r="BB3" s="14" t="s">
        <v>21</v>
      </c>
      <c r="BC3" s="14" t="s">
        <v>22</v>
      </c>
      <c r="BE3" s="16" t="s">
        <v>23</v>
      </c>
      <c r="BF3" s="9" t="s">
        <v>8</v>
      </c>
      <c r="BG3" s="10">
        <f>STN_GAP</f>
        <v>7.31</v>
      </c>
    </row>
    <row r="4" spans="1:60" x14ac:dyDescent="0.25">
      <c r="A4" s="20">
        <f>Tools!$AD3</f>
        <v>0</v>
      </c>
      <c r="B4" s="21" t="str">
        <f t="shared" ref="B4:B28" si="0">VLOOKUP(A4,OFFSET_A,Count_WL+1,FALSE)</f>
        <v xml:space="preserve">  </v>
      </c>
      <c r="C4" s="22">
        <f>IF(A4="  ","  ",IF(A5="  ","?",1*(A5-A4)))</f>
        <v>0.5</v>
      </c>
      <c r="D4" s="23" t="str">
        <f>IFERROR(B4*C4,"  ")</f>
        <v xml:space="preserve">  </v>
      </c>
      <c r="E4" s="24">
        <f t="shared" ref="E4:E28" si="1">IFERROR(A4-(Long_Div/2),"  ")</f>
        <v>-10</v>
      </c>
      <c r="F4" s="23" t="str">
        <f>IFERROR(D4*E4,"  ")</f>
        <v xml:space="preserve">  </v>
      </c>
      <c r="G4" s="23" t="str">
        <f>IFERROR(F4*E4,"  ")</f>
        <v xml:space="preserve">  </v>
      </c>
      <c r="H4" s="23" t="str">
        <f>IFERROR(B4^3,"  ")</f>
        <v xml:space="preserve">  </v>
      </c>
      <c r="I4" s="23" t="str">
        <f>IFERROR(H4*C4,"  ")</f>
        <v xml:space="preserve">  </v>
      </c>
      <c r="J4" s="4"/>
      <c r="K4" s="25" t="str">
        <f t="shared" ref="K4:K28" si="2">VLOOKUP(A4,AREA_TABLE,Count_WL+1,FALSE)</f>
        <v xml:space="preserve"> </v>
      </c>
      <c r="L4" s="23" t="str">
        <f>IFERROR(K4*C4,"  ")</f>
        <v xml:space="preserve">  </v>
      </c>
      <c r="M4" s="26" t="str">
        <f t="shared" ref="M4:M28" si="3">VLOOKUP(A4,MOMENT_TABLE,Count_WL+1,FALSE)</f>
        <v xml:space="preserve"> </v>
      </c>
      <c r="N4" s="27" t="str">
        <f>IFERROR(M4*C4,"  ")</f>
        <v xml:space="preserve">  </v>
      </c>
      <c r="O4" s="23" t="str">
        <f>IFERROR(L4*E4,"  ")</f>
        <v xml:space="preserve">  </v>
      </c>
      <c r="P4" s="4"/>
      <c r="Q4" s="16" t="s">
        <v>26</v>
      </c>
      <c r="R4" s="9" t="s">
        <v>8</v>
      </c>
      <c r="S4" s="28">
        <f>LBP</f>
        <v>146.19999999999999</v>
      </c>
      <c r="W4" s="29">
        <f>IF(AO4="  ","  ",IF(AO5="  ","?",1*(AO5-AO4)))</f>
        <v>0.5</v>
      </c>
      <c r="X4" s="30" t="str">
        <f t="shared" ref="X4:X28" si="4">IF(Y4=0,"--",CONCATENATE(IF(AO4=0,"-",IF(Y3=0,"-",IF(AO4-AO3=0.5,"D",IF(AO4-AO3=1,"W","-")))),IF(AO4=Long_Div,"-",IF(Y5=0,"-",IF(AO5-AO4=0.5,"D",IF(AO5-AO4=1,"W","-"))))))</f>
        <v>-D</v>
      </c>
      <c r="Y4" s="30" t="str">
        <f t="shared" ref="Y4:Y28" si="5">IF(ISNUMBER(AO4),IF(AO4=Long_Div/2,"-",IF(AND(AO4=Long_Div,$AP4=0,$AP3=0),0,IF(AND(AO4=0,$AP4=0,$AP5=0),0,IF($AO4&lt;Long_Div/2,IF(AND(Y3=0,$AP4=0,$AP5=0),0,"-"),IF(AND(Y5=0,$AP4=0,$AP3=0),0,"-")))))," ")</f>
        <v>-</v>
      </c>
      <c r="Z4" s="29" t="b">
        <f t="shared" ref="Z4:Z28" si="6">IF(ISNUMBER(AO4),IF(AO4=0,IF(AO5=0.5,TRUE,FALSE),IF(AO4=Long_Div,IF(AO3=Long_Div-0.5,TRUE,FALSE),IF(OR(AO5-AO4=0.5,AO4-AO3=0.5),TRUE,FALSE)))," ")</f>
        <v>1</v>
      </c>
      <c r="AA4" s="29" t="b">
        <f t="shared" ref="AA4:AA28" si="7">IF(ISNUMBER(AO4),IF(Y4=0," ",IF(AO4=0,IF(AO5=0.5,TRUE,"-"),IF(AO4=Long_Div,IF(AO3=Long_Div-0.5,TRUE,"-"),IF(OR(AO5-AO4=0.5,AO4-AO3=0.5),TRUE,FALSE))))," ")</f>
        <v>1</v>
      </c>
      <c r="AB4" s="29" t="str">
        <f t="shared" ref="AB4:AB28" ca="1" si="8">IF(AO4&lt;=Long_Div/2,IF(ISNUMBER(AO4),IF($X$1=0,"---",IF($X$1=1,"##",IF($X$1=2,IF(AD4=1,"141-4",IF(OR(AD4=0,AD4=2),"141-1","**")),IF(AC4&lt;=($Y$1),"--",IF(AC4&gt;$W$1,"++",IF(ISODD($X$1),IF(OR(AD4=1,AD4=$X$1),"141-1",IF(ISODD(AD4),"141-2",IF(ISEVEN(AD4),"141-4","+"))),IF(ISEVEN($X$1),IF(AD4=1,"1331-1",IF(OR(AD4=2,AD4=3),"1331-3",IF(AD4=4,IF($X$1=4,"1331-1","1331-1,141-1"),IF(AD4=$X$1,"141-1",IF(AD4&lt;=4,"??",IF(ISODD(AD4),"141-4",IF(ISEVEN(AD4),"141-2","SS"))))))))))))))," "),IF(AO4&gt;Long_Div/2,IF(ISNUMBER(AO4),IF($AD$1=0,"---",IF($AD$1=1,"##",IF($AD$1=2,IF(AD4=1,"141-4",IF(OR(AD4=0,AD4=2),"141-1","**")),IF(AC4&lt;=($AE$1),"--",IF(AC4&gt;$AC$1,"++",IF(ISODD($AD$1),IF(OR(AD4=1,AD4=$AD$1),"141-1",IF(ISODD(AD4),"141-2",IF(ISEVEN(AD4),"141-4","+"))),IF(ISEVEN($AD$1),IF(AD4=1,"1331-1",IF(OR(AD4=2,AD4=3),"1331-3",IF(AD4=4,IF($AD$1=4,"1331-1","1331-1,141-1"),IF(AD4=$AD$1,"141-1",IF(AD4&lt;=4,"??",IF(ISODD(AD4),"141-4",IF(ISEVEN(AD4),"141-2","SS"))))))))))))))," "),"@"))</f>
        <v>141-1</v>
      </c>
      <c r="AC4" s="29">
        <f>IF(ISNUMBER(AO4),IF(ISNUMBER(AO4),IF(OR(AO4=0,AO4=Long_Div),1,IF(AO4&gt;Long_Div/2,AC5+1,IF(AO4&lt;=Long_Div/2,AE3+1,"?")))," --")," ")</f>
        <v>1</v>
      </c>
      <c r="AD4" s="29">
        <f t="shared" ref="AD4:AD28" ca="1" si="9">IF(ISNUMBER(AO4),IF(AO4&gt;Long_Div/2,4-ROW(AD4)+Max_STN_count-$AE$1,ROW(AD4)-3-$Y$1)," ")</f>
        <v>1</v>
      </c>
      <c r="AE4" s="29">
        <v>1</v>
      </c>
      <c r="AF4" s="31" t="str">
        <f t="shared" ref="AF4:AF8" si="10">IF(AND(AG4=TRUE,OR(NOT(AG3=TRUE),AG3="Full")),1,IF(ISNUMBER(AF3),AF3+1," "))</f>
        <v xml:space="preserve"> </v>
      </c>
      <c r="AG4" s="29" t="b">
        <f t="shared" ref="AG4:AG28" si="11">IF(ISNUMBER(AO4),IF(AA4=" "," ",IF(AO4=0,IF(AO5-AO4=1,TRUE,FALSE),IF(AO4=Long_Div,IF(AO4-AO3=1,TRUE,FALSE),IF(OR(AO5-AO4=1,AO4-AO3=1),TRUE,FALSE))))," ")</f>
        <v>0</v>
      </c>
      <c r="AH4" s="30" t="str">
        <f t="shared" ref="AH4:AH13" si="12">IF(AND(AG4=TRUE,$AH$1=1),"141-4",IF(AG4=" ",IF(AND($AH$1=2,AF4=3),"141-1","-"),IF(OR(AG4=FALSE,AG4=" "),"-",IF(AG4=TRUE,IF(AND($AH$1=2,AF4=1),"141-1",IF(AND($AH$1=2,AF4=2),"141-4",IF(OR(ISODD($AH$1),AF4&gt;4),IF(AF4=1,"141-1",IF(OR(AB4="141-1",AB4="1331-1",AB4="1331-1,141-1"),"141-1",IF(AG5=" ","141-1",IF(OR(AH3="141-1",AH3="141-2",AH3="1331-1,141-1"),"141-4",IF(AH3="141-4","141-2","$$"))))),IF(ISEVEN($AH$1),IF(AF4=1,"1331-1",IF(OR(AF4=2,AF4=3),"1331-3",IF(AF4=4,IF($AH$1=4,"1331-1","1331-1,141-1"),"")))))))))))</f>
        <v>-</v>
      </c>
      <c r="AI4" s="30" t="str">
        <f t="shared" ref="AI4:AI28" ca="1" si="13">IF(OR(AB4="1331-1",AB4="1331-1,141-1"),"(1/2)*(3/8)",IF(AB4="1331-3","(1/2)*(9/8)",IF(AB4="141-1","(1/2)*(1/3)",IF(AB4="141-2","(1/2)*(2/3)",IF(AB4="141-4","(1/2)*(4/3)","")))))</f>
        <v>(1/2)*(1/3)</v>
      </c>
      <c r="AJ4" s="29">
        <f t="shared" ref="AJ4:AJ28" ca="1" si="14">IF(OR(AB4="1331-1",AB4="1331-1,141-1"),(1/2)*(3/8),IF(AB4="1331-3",(1/2)*(9/8),IF(AB4="141-1",(1/2)*(1/3),IF(AB4="141-2",(1/2)*(2/3),IF(AB4="141-4",(1/2)*(4/3),0)))))</f>
        <v>0.16666666666666666</v>
      </c>
      <c r="AK4" s="29" t="str">
        <f t="shared" ref="AK4:AK28" si="15">IF(AH4="1331-1,141-1","(1*3/8)+(1/3)",IF(LEFT(AH4,4)="141-",CONCATENATE(RIGHT(AH4,1),"/3"),IF(LEFT(AH4,4)="1331",CONCATENATE(RIGHT(AH4,1),"*3/8"),"")))</f>
        <v/>
      </c>
      <c r="AL4" s="29">
        <f t="shared" ref="AL4:AL28" si="16">IF(AH4="1331-1,141-1",(1*3/8)+(1/3),IF(LEFT(AH4,4)="141-",(RIGHT(AH4,1)/3),IF(LEFT(AH4,4)="1331",RIGHT(AH4,1)*3/8,0)))</f>
        <v>0</v>
      </c>
      <c r="AM4" s="32">
        <f ca="1">IF(AQ4=""," ",AJ4+AL4)</f>
        <v>0.16666666666666666</v>
      </c>
      <c r="AO4" s="20">
        <f>Tools!$AD3</f>
        <v>0</v>
      </c>
      <c r="AP4" s="33" t="str">
        <f t="shared" ref="AP4" si="17">VLOOKUP(AO4,OFFSET_A,Count_WL+1,FALSE)</f>
        <v xml:space="preserve">  </v>
      </c>
      <c r="AQ4" s="34" t="str">
        <f t="shared" ref="AQ4:AQ28" ca="1" si="18">CONCATENATE(AI4,IF(NOT(OR(AI4="",AK4="")),"+",""),AK4)</f>
        <v>(1/2)*(1/3)</v>
      </c>
      <c r="AR4" s="23" t="str">
        <f t="shared" ref="AR4:AR28" ca="1" si="19">IFERROR(AP4*AM4,"  ")</f>
        <v xml:space="preserve">  </v>
      </c>
      <c r="AS4" s="24">
        <f t="shared" ref="AS4:AS28" si="20">IFERROR(AO4-(Long_Div/2),"  ")</f>
        <v>-10</v>
      </c>
      <c r="AT4" s="23" t="str">
        <f ca="1">IFERROR(AR4*AS4,"  ")</f>
        <v xml:space="preserve">  </v>
      </c>
      <c r="AU4" s="23" t="str">
        <f ca="1">IFERROR(AT4*AS4,"  ")</f>
        <v xml:space="preserve">  </v>
      </c>
      <c r="AV4" s="23" t="str">
        <f t="shared" ref="AV4:AV28" si="21">IFERROR(AP4^3,"  ")</f>
        <v xml:space="preserve">  </v>
      </c>
      <c r="AW4" s="23" t="str">
        <f t="shared" ref="AW4:AW28" ca="1" si="22">IFERROR(AV4*AM4,"  ")</f>
        <v xml:space="preserve">  </v>
      </c>
      <c r="AY4" s="35" t="str">
        <f t="shared" ref="AY4:AY28" si="23">IF(ROW(AY4)-3&gt;Max_STN_count," ",VLOOKUP(AO4,AREA_TABLE,Count_WL+1,FALSE))</f>
        <v xml:space="preserve"> </v>
      </c>
      <c r="AZ4" s="23" t="str">
        <f t="shared" ref="AZ4:AZ7" ca="1" si="24">IFERROR(AY4*AM4,"  ")</f>
        <v xml:space="preserve">  </v>
      </c>
      <c r="BA4" s="36" t="str">
        <f t="shared" ref="BA4:BA28" si="25">IF(ROW(AY4)-3&gt;Max_STN_count," ",VLOOKUP(AO4,MOMENT_TABLE,Count_WL+1,FALSE))</f>
        <v xml:space="preserve"> </v>
      </c>
      <c r="BB4" s="27" t="str">
        <f ca="1">IFERROR(BA4*AM4,"  ")</f>
        <v xml:space="preserve">  </v>
      </c>
      <c r="BC4" s="23" t="str">
        <f ca="1">IFERROR(AZ4*AS4,"  ")</f>
        <v xml:space="preserve">  </v>
      </c>
      <c r="BE4" s="16" t="s">
        <v>26</v>
      </c>
      <c r="BF4" s="9" t="s">
        <v>8</v>
      </c>
      <c r="BG4" s="28">
        <f>LBP</f>
        <v>146.19999999999999</v>
      </c>
    </row>
    <row r="5" spans="1:60" x14ac:dyDescent="0.25">
      <c r="A5" s="20">
        <f>Tools!$AD4</f>
        <v>0.5</v>
      </c>
      <c r="B5" s="33" t="str">
        <f t="shared" si="0"/>
        <v xml:space="preserve">  </v>
      </c>
      <c r="C5" s="22">
        <f>IF(A5="  ","  ",IF(AND(A4="  ",A6="  "),"?",IF(A4="  ",2*(A6-A5),IF(A6="  ",2*(A5-A4),2*(A6-A4)))))</f>
        <v>2</v>
      </c>
      <c r="D5" s="23" t="str">
        <f t="shared" ref="D5:D28" si="26">IFERROR(B5*C5,"  ")</f>
        <v xml:space="preserve">  </v>
      </c>
      <c r="E5" s="24">
        <f t="shared" si="1"/>
        <v>-9.5</v>
      </c>
      <c r="F5" s="23" t="str">
        <f t="shared" ref="F5:F28" si="27">IFERROR(D5*E5,"  ")</f>
        <v xml:space="preserve">  </v>
      </c>
      <c r="G5" s="23" t="str">
        <f t="shared" ref="G5:G28" si="28">IFERROR(F5*E5,"  ")</f>
        <v xml:space="preserve">  </v>
      </c>
      <c r="H5" s="23" t="str">
        <f t="shared" ref="H5:H28" si="29">IFERROR(B5^3,"  ")</f>
        <v xml:space="preserve">  </v>
      </c>
      <c r="I5" s="23" t="str">
        <f t="shared" ref="I5:I28" si="30">IFERROR(H5*C5,"  ")</f>
        <v xml:space="preserve">  </v>
      </c>
      <c r="J5" s="4"/>
      <c r="K5" s="37" t="str">
        <f t="shared" si="2"/>
        <v xml:space="preserve"> </v>
      </c>
      <c r="L5" s="23" t="str">
        <f t="shared" ref="L5:L28" si="31">IFERROR(K5*C5,"  ")</f>
        <v xml:space="preserve">  </v>
      </c>
      <c r="M5" s="38" t="str">
        <f t="shared" si="3"/>
        <v xml:space="preserve"> </v>
      </c>
      <c r="N5" s="27" t="str">
        <f t="shared" ref="N5:N28" si="32">IFERROR(M5*C5,"  ")</f>
        <v xml:space="preserve">  </v>
      </c>
      <c r="O5" s="23" t="str">
        <f t="shared" ref="O5:O28" si="33">IFERROR(L5*E5,"  ")</f>
        <v xml:space="preserve">  </v>
      </c>
      <c r="P5" s="4"/>
      <c r="Q5" s="8" t="s">
        <v>27</v>
      </c>
      <c r="R5" s="9" t="s">
        <v>8</v>
      </c>
      <c r="S5" s="10">
        <f>BREADTH</f>
        <v>22</v>
      </c>
      <c r="W5" s="29">
        <f>IF(AO5="  ","  ",IF(AND(AO4="  ",AO6="  "),"?",IF(AO4="  ",2*(AO6-AO5),IF(AO6="  ",2*(AO5-AO4),2*(AO6-AO4)))))</f>
        <v>2</v>
      </c>
      <c r="X5" s="30" t="str">
        <f t="shared" si="4"/>
        <v>DD</v>
      </c>
      <c r="Y5" s="30" t="str">
        <f t="shared" si="5"/>
        <v>-</v>
      </c>
      <c r="Z5" s="29" t="b">
        <f t="shared" si="6"/>
        <v>1</v>
      </c>
      <c r="AA5" s="29" t="b">
        <f t="shared" si="7"/>
        <v>1</v>
      </c>
      <c r="AB5" s="29" t="str">
        <f t="shared" ca="1" si="8"/>
        <v>141-4</v>
      </c>
      <c r="AC5" s="29">
        <f t="shared" ref="AC5:AC27" si="34">IF(ISNUMBER(AO5),IF(ISNUMBER(AO5),IF(OR(AO5=0,AO5=Long_Div),1,IF(AO5&gt;Long_Div/2,AC6+1,IF(AO5&lt;=Long_Div/2,AC4+1,"?")))," --")," ")</f>
        <v>2</v>
      </c>
      <c r="AD5" s="29">
        <f t="shared" ca="1" si="9"/>
        <v>2</v>
      </c>
      <c r="AE5" s="29">
        <v>2</v>
      </c>
      <c r="AF5" s="31" t="str">
        <f t="shared" si="10"/>
        <v xml:space="preserve"> </v>
      </c>
      <c r="AG5" s="29" t="b">
        <f t="shared" si="11"/>
        <v>0</v>
      </c>
      <c r="AH5" s="30" t="str">
        <f t="shared" si="12"/>
        <v>-</v>
      </c>
      <c r="AI5" s="30" t="str">
        <f t="shared" ca="1" si="13"/>
        <v>(1/2)*(4/3)</v>
      </c>
      <c r="AJ5" s="29">
        <f t="shared" ca="1" si="14"/>
        <v>0.66666666666666663</v>
      </c>
      <c r="AK5" s="29" t="str">
        <f t="shared" si="15"/>
        <v/>
      </c>
      <c r="AL5" s="29">
        <f t="shared" si="16"/>
        <v>0</v>
      </c>
      <c r="AM5" s="32">
        <f t="shared" ref="AM5:AM28" ca="1" si="35">IF(AQ5=""," ",AJ5+AL5)</f>
        <v>0.66666666666666663</v>
      </c>
      <c r="AO5" s="20">
        <f>Tools!$AD4</f>
        <v>0.5</v>
      </c>
      <c r="AP5" s="33" t="str">
        <f t="shared" ref="AP5:AP26" si="36">VLOOKUP(AO5,OFFSET_A,Count_WL+1,FALSE)</f>
        <v xml:space="preserve">  </v>
      </c>
      <c r="AQ5" s="34" t="str">
        <f t="shared" ca="1" si="18"/>
        <v>(1/2)*(4/3)</v>
      </c>
      <c r="AR5" s="23" t="str">
        <f t="shared" ca="1" si="19"/>
        <v xml:space="preserve">  </v>
      </c>
      <c r="AS5" s="24">
        <f t="shared" si="20"/>
        <v>-9.5</v>
      </c>
      <c r="AT5" s="23" t="str">
        <f t="shared" ref="AT5:AT28" ca="1" si="37">IFERROR(AR5*AS5,"  ")</f>
        <v xml:space="preserve">  </v>
      </c>
      <c r="AU5" s="23" t="str">
        <f ca="1">IFERROR(AT5*AS5,"  ")</f>
        <v xml:space="preserve">  </v>
      </c>
      <c r="AV5" s="23" t="str">
        <f t="shared" si="21"/>
        <v xml:space="preserve">  </v>
      </c>
      <c r="AW5" s="23" t="str">
        <f t="shared" ca="1" si="22"/>
        <v xml:space="preserve">  </v>
      </c>
      <c r="AY5" s="35" t="str">
        <f t="shared" si="23"/>
        <v xml:space="preserve"> </v>
      </c>
      <c r="AZ5" s="23" t="str">
        <f t="shared" ca="1" si="24"/>
        <v xml:space="preserve">  </v>
      </c>
      <c r="BA5" s="36" t="str">
        <f t="shared" si="25"/>
        <v xml:space="preserve"> </v>
      </c>
      <c r="BB5" s="27" t="str">
        <f t="shared" ref="BB5:BB28" ca="1" si="38">IFERROR(BA5*AM5,"  ")</f>
        <v xml:space="preserve">  </v>
      </c>
      <c r="BC5" s="23" t="str">
        <f t="shared" ref="BC5:BC28" ca="1" si="39">IFERROR(AZ5*AS5,"  ")</f>
        <v xml:space="preserve">  </v>
      </c>
      <c r="BE5" s="8" t="s">
        <v>27</v>
      </c>
      <c r="BF5" s="9" t="s">
        <v>8</v>
      </c>
      <c r="BG5" s="10">
        <f>BREADTH</f>
        <v>22</v>
      </c>
    </row>
    <row r="6" spans="1:60" x14ac:dyDescent="0.25">
      <c r="A6" s="20">
        <f>Tools!$AD5</f>
        <v>1</v>
      </c>
      <c r="B6" s="33" t="str">
        <f t="shared" si="0"/>
        <v xml:space="preserve">  </v>
      </c>
      <c r="C6" s="22">
        <f>IF(A6="  ","  ",IF(AND(A5="  ",A7="  "),"?",IF(A5="  ",1*(A7-A6),IF(A7="  ",1*(A6-A5),1*(A7-A5)))))</f>
        <v>1</v>
      </c>
      <c r="D6" s="23" t="str">
        <f t="shared" si="26"/>
        <v xml:space="preserve">  </v>
      </c>
      <c r="E6" s="24">
        <f t="shared" si="1"/>
        <v>-9</v>
      </c>
      <c r="F6" s="23" t="str">
        <f t="shared" si="27"/>
        <v xml:space="preserve">  </v>
      </c>
      <c r="G6" s="23" t="str">
        <f t="shared" si="28"/>
        <v xml:space="preserve">  </v>
      </c>
      <c r="H6" s="23" t="str">
        <f t="shared" si="29"/>
        <v xml:space="preserve">  </v>
      </c>
      <c r="I6" s="23" t="str">
        <f t="shared" si="30"/>
        <v xml:space="preserve">  </v>
      </c>
      <c r="J6" s="4"/>
      <c r="K6" s="37" t="str">
        <f t="shared" si="2"/>
        <v xml:space="preserve"> </v>
      </c>
      <c r="L6" s="23" t="str">
        <f t="shared" si="31"/>
        <v xml:space="preserve">  </v>
      </c>
      <c r="M6" s="38" t="str">
        <f t="shared" si="3"/>
        <v xml:space="preserve"> </v>
      </c>
      <c r="N6" s="27" t="str">
        <f t="shared" si="32"/>
        <v xml:space="preserve">  </v>
      </c>
      <c r="O6" s="23" t="str">
        <f t="shared" si="33"/>
        <v xml:space="preserve">  </v>
      </c>
      <c r="P6" s="4"/>
      <c r="Q6" s="8" t="s">
        <v>28</v>
      </c>
      <c r="R6" s="9" t="s">
        <v>8</v>
      </c>
      <c r="S6" s="10">
        <f>DEPTH</f>
        <v>13</v>
      </c>
      <c r="W6" s="29">
        <f>IF(AO6="  ","  ",IF(AND(AO5="  ",AO7="  "),"?",IF(AO5="  ",1*(AO7-AO6),IF(AO7="  ",1*(AO6-AO5),1*(AO7-AO5)))))</f>
        <v>1</v>
      </c>
      <c r="X6" s="30" t="str">
        <f t="shared" si="4"/>
        <v>DD</v>
      </c>
      <c r="Y6" s="30" t="str">
        <f t="shared" si="5"/>
        <v>-</v>
      </c>
      <c r="Z6" s="29" t="b">
        <f t="shared" si="6"/>
        <v>1</v>
      </c>
      <c r="AA6" s="29" t="b">
        <f t="shared" si="7"/>
        <v>1</v>
      </c>
      <c r="AB6" s="29" t="str">
        <f t="shared" ca="1" si="8"/>
        <v>141-2</v>
      </c>
      <c r="AC6" s="29">
        <f t="shared" si="34"/>
        <v>3</v>
      </c>
      <c r="AD6" s="29">
        <f t="shared" ca="1" si="9"/>
        <v>3</v>
      </c>
      <c r="AE6" s="29">
        <v>3</v>
      </c>
      <c r="AF6" s="31" t="str">
        <f t="shared" si="10"/>
        <v xml:space="preserve"> </v>
      </c>
      <c r="AG6" s="29" t="b">
        <f t="shared" si="11"/>
        <v>0</v>
      </c>
      <c r="AH6" s="30" t="str">
        <f t="shared" si="12"/>
        <v>-</v>
      </c>
      <c r="AI6" s="30" t="str">
        <f t="shared" ca="1" si="13"/>
        <v>(1/2)*(2/3)</v>
      </c>
      <c r="AJ6" s="29">
        <f t="shared" ca="1" si="14"/>
        <v>0.33333333333333331</v>
      </c>
      <c r="AK6" s="29" t="str">
        <f t="shared" si="15"/>
        <v/>
      </c>
      <c r="AL6" s="29">
        <f t="shared" si="16"/>
        <v>0</v>
      </c>
      <c r="AM6" s="32">
        <f t="shared" ca="1" si="35"/>
        <v>0.33333333333333331</v>
      </c>
      <c r="AO6" s="20">
        <f>Tools!$AD5</f>
        <v>1</v>
      </c>
      <c r="AP6" s="33" t="str">
        <f t="shared" si="36"/>
        <v xml:space="preserve">  </v>
      </c>
      <c r="AQ6" s="34" t="str">
        <f t="shared" ca="1" si="18"/>
        <v>(1/2)*(2/3)</v>
      </c>
      <c r="AR6" s="23" t="str">
        <f t="shared" ca="1" si="19"/>
        <v xml:space="preserve">  </v>
      </c>
      <c r="AS6" s="24">
        <f t="shared" si="20"/>
        <v>-9</v>
      </c>
      <c r="AT6" s="23" t="str">
        <f t="shared" ca="1" si="37"/>
        <v xml:space="preserve">  </v>
      </c>
      <c r="AU6" s="23" t="str">
        <f ca="1">IFERROR(AT6*AS6,"  ")</f>
        <v xml:space="preserve">  </v>
      </c>
      <c r="AV6" s="23" t="str">
        <f t="shared" si="21"/>
        <v xml:space="preserve">  </v>
      </c>
      <c r="AW6" s="23" t="str">
        <f t="shared" ca="1" si="22"/>
        <v xml:space="preserve">  </v>
      </c>
      <c r="AY6" s="35" t="str">
        <f t="shared" si="23"/>
        <v xml:space="preserve"> </v>
      </c>
      <c r="AZ6" s="23" t="str">
        <f t="shared" ca="1" si="24"/>
        <v xml:space="preserve">  </v>
      </c>
      <c r="BA6" s="36" t="str">
        <f t="shared" si="25"/>
        <v xml:space="preserve"> </v>
      </c>
      <c r="BB6" s="27" t="str">
        <f t="shared" ca="1" si="38"/>
        <v xml:space="preserve">  </v>
      </c>
      <c r="BC6" s="23" t="str">
        <f t="shared" ca="1" si="39"/>
        <v xml:space="preserve">  </v>
      </c>
      <c r="BE6" s="8" t="s">
        <v>28</v>
      </c>
      <c r="BF6" s="9" t="s">
        <v>8</v>
      </c>
      <c r="BG6" s="10">
        <f>DEPTH</f>
        <v>13</v>
      </c>
    </row>
    <row r="7" spans="1:60" x14ac:dyDescent="0.25">
      <c r="A7" s="20">
        <f>Tools!$AD6</f>
        <v>1.5</v>
      </c>
      <c r="B7" s="33" t="str">
        <f t="shared" si="0"/>
        <v xml:space="preserve">  </v>
      </c>
      <c r="C7" s="22">
        <f>IF(A7="  ","  ",IF(AND(A6="  ",A8="  "),"?",IF(A6="  ",2*(A8-A7),IF(A8="  ",2*(A7-A6),2*(A8-A6)))))</f>
        <v>2</v>
      </c>
      <c r="D7" s="23" t="str">
        <f t="shared" si="26"/>
        <v xml:space="preserve">  </v>
      </c>
      <c r="E7" s="24">
        <f t="shared" si="1"/>
        <v>-8.5</v>
      </c>
      <c r="F7" s="23" t="str">
        <f t="shared" si="27"/>
        <v xml:space="preserve">  </v>
      </c>
      <c r="G7" s="23" t="str">
        <f t="shared" si="28"/>
        <v xml:space="preserve">  </v>
      </c>
      <c r="H7" s="23" t="str">
        <f t="shared" si="29"/>
        <v xml:space="preserve">  </v>
      </c>
      <c r="I7" s="23" t="str">
        <f t="shared" si="30"/>
        <v xml:space="preserve">  </v>
      </c>
      <c r="J7" s="4"/>
      <c r="K7" s="37" t="str">
        <f t="shared" si="2"/>
        <v xml:space="preserve"> </v>
      </c>
      <c r="L7" s="23" t="str">
        <f t="shared" si="31"/>
        <v xml:space="preserve">  </v>
      </c>
      <c r="M7" s="38" t="str">
        <f t="shared" si="3"/>
        <v xml:space="preserve"> </v>
      </c>
      <c r="N7" s="27" t="str">
        <f t="shared" si="32"/>
        <v xml:space="preserve">  </v>
      </c>
      <c r="O7" s="23" t="str">
        <f t="shared" si="33"/>
        <v xml:space="preserve">  </v>
      </c>
      <c r="P7" s="4"/>
      <c r="Q7" s="39" t="s">
        <v>29</v>
      </c>
      <c r="R7" s="40" t="s">
        <v>8</v>
      </c>
      <c r="S7" s="41" t="str">
        <f>IF(MAX(B4:B28)=0," ",2*MAX(B4:B28))</f>
        <v xml:space="preserve"> </v>
      </c>
      <c r="W7" s="29">
        <f>IF(AO7="  ","  ",IF(AND(AO6="  ",AO8="  "),"?",IF(AO6="  ",2*(AO8-AO7),IF(AO8="  ",2*(AO7-AO6),2*(AO8-AO6)))))</f>
        <v>2</v>
      </c>
      <c r="X7" s="30" t="str">
        <f t="shared" si="4"/>
        <v>DD</v>
      </c>
      <c r="Y7" s="30" t="str">
        <f t="shared" si="5"/>
        <v>-</v>
      </c>
      <c r="Z7" s="29" t="b">
        <f t="shared" si="6"/>
        <v>1</v>
      </c>
      <c r="AA7" s="29" t="b">
        <f t="shared" si="7"/>
        <v>1</v>
      </c>
      <c r="AB7" s="29" t="str">
        <f t="shared" ca="1" si="8"/>
        <v>141-4</v>
      </c>
      <c r="AC7" s="29">
        <f t="shared" si="34"/>
        <v>4</v>
      </c>
      <c r="AD7" s="29">
        <f t="shared" ca="1" si="9"/>
        <v>4</v>
      </c>
      <c r="AE7" s="29">
        <v>4</v>
      </c>
      <c r="AF7" s="31" t="str">
        <f t="shared" si="10"/>
        <v xml:space="preserve"> </v>
      </c>
      <c r="AG7" s="29" t="b">
        <f t="shared" si="11"/>
        <v>0</v>
      </c>
      <c r="AH7" s="30" t="str">
        <f t="shared" si="12"/>
        <v>-</v>
      </c>
      <c r="AI7" s="30" t="str">
        <f t="shared" ca="1" si="13"/>
        <v>(1/2)*(4/3)</v>
      </c>
      <c r="AJ7" s="29">
        <f t="shared" ca="1" si="14"/>
        <v>0.66666666666666663</v>
      </c>
      <c r="AK7" s="29" t="str">
        <f t="shared" si="15"/>
        <v/>
      </c>
      <c r="AL7" s="29">
        <f t="shared" si="16"/>
        <v>0</v>
      </c>
      <c r="AM7" s="32">
        <f t="shared" ca="1" si="35"/>
        <v>0.66666666666666663</v>
      </c>
      <c r="AO7" s="20">
        <f>Tools!$AD6</f>
        <v>1.5</v>
      </c>
      <c r="AP7" s="33" t="str">
        <f t="shared" si="36"/>
        <v xml:space="preserve">  </v>
      </c>
      <c r="AQ7" s="34" t="str">
        <f t="shared" ca="1" si="18"/>
        <v>(1/2)*(4/3)</v>
      </c>
      <c r="AR7" s="23" t="str">
        <f t="shared" ca="1" si="19"/>
        <v xml:space="preserve">  </v>
      </c>
      <c r="AS7" s="24">
        <f t="shared" si="20"/>
        <v>-8.5</v>
      </c>
      <c r="AT7" s="23" t="str">
        <f t="shared" ca="1" si="37"/>
        <v xml:space="preserve">  </v>
      </c>
      <c r="AU7" s="23" t="str">
        <f t="shared" ref="AU7:AU28" ca="1" si="40">IFERROR(AT7*AS7,"  ")</f>
        <v xml:space="preserve">  </v>
      </c>
      <c r="AV7" s="23" t="str">
        <f t="shared" si="21"/>
        <v xml:space="preserve">  </v>
      </c>
      <c r="AW7" s="23" t="str">
        <f t="shared" ca="1" si="22"/>
        <v xml:space="preserve">  </v>
      </c>
      <c r="AY7" s="35" t="str">
        <f t="shared" si="23"/>
        <v xml:space="preserve"> </v>
      </c>
      <c r="AZ7" s="23" t="str">
        <f t="shared" ca="1" si="24"/>
        <v xml:space="preserve">  </v>
      </c>
      <c r="BA7" s="36" t="str">
        <f t="shared" si="25"/>
        <v xml:space="preserve"> </v>
      </c>
      <c r="BB7" s="27" t="str">
        <f t="shared" ca="1" si="38"/>
        <v xml:space="preserve">  </v>
      </c>
      <c r="BC7" s="23" t="str">
        <f t="shared" ca="1" si="39"/>
        <v xml:space="preserve">  </v>
      </c>
      <c r="BE7" s="8" t="s">
        <v>29</v>
      </c>
      <c r="BF7" s="9" t="s">
        <v>8</v>
      </c>
      <c r="BG7" s="10" t="str">
        <f>IF(MAX(AP4:AP28)=0," ",2*MAX(AP4:AP28))</f>
        <v xml:space="preserve"> </v>
      </c>
    </row>
    <row r="8" spans="1:60" x14ac:dyDescent="0.25">
      <c r="A8" s="20">
        <f>Tools!$AD7</f>
        <v>2</v>
      </c>
      <c r="B8" s="33" t="str">
        <f t="shared" si="0"/>
        <v xml:space="preserve">  </v>
      </c>
      <c r="C8" s="22">
        <f>IF(A8="  ","  ",IF(AND(A7="  ",A9="  "),"?",IF(A7="  ",1*(A9-A8),IF(A9="  ",1*(A8-A7),1*(A9-A7)))))</f>
        <v>1.5</v>
      </c>
      <c r="D8" s="23" t="str">
        <f t="shared" si="26"/>
        <v xml:space="preserve">  </v>
      </c>
      <c r="E8" s="24">
        <f t="shared" si="1"/>
        <v>-8</v>
      </c>
      <c r="F8" s="23" t="str">
        <f t="shared" si="27"/>
        <v xml:space="preserve">  </v>
      </c>
      <c r="G8" s="23" t="str">
        <f t="shared" si="28"/>
        <v xml:space="preserve">  </v>
      </c>
      <c r="H8" s="23" t="str">
        <f t="shared" si="29"/>
        <v xml:space="preserve">  </v>
      </c>
      <c r="I8" s="23" t="str">
        <f t="shared" si="30"/>
        <v xml:space="preserve">  </v>
      </c>
      <c r="J8" s="4"/>
      <c r="K8" s="37" t="str">
        <f t="shared" si="2"/>
        <v xml:space="preserve"> </v>
      </c>
      <c r="L8" s="23" t="str">
        <f t="shared" si="31"/>
        <v xml:space="preserve">  </v>
      </c>
      <c r="M8" s="38" t="str">
        <f t="shared" si="3"/>
        <v xml:space="preserve"> </v>
      </c>
      <c r="N8" s="27" t="str">
        <f t="shared" si="32"/>
        <v xml:space="preserve">  </v>
      </c>
      <c r="O8" s="23" t="str">
        <f t="shared" si="33"/>
        <v xml:space="preserve">  </v>
      </c>
      <c r="P8" s="4"/>
      <c r="Q8" s="42"/>
      <c r="R8" s="42"/>
      <c r="S8" s="42"/>
      <c r="W8" s="29">
        <f>IF(AO8="  ","  ",IF(AND(AO7="  ",AO9="  "),"?",IF(AO7="  ",1*(AO9-AO8),IF(AO9="  ",1*(AO8-AO7),1*(AO9-AO7)))))</f>
        <v>1.5</v>
      </c>
      <c r="X8" s="30" t="str">
        <f t="shared" si="4"/>
        <v>DW</v>
      </c>
      <c r="Y8" s="30" t="str">
        <f t="shared" si="5"/>
        <v>-</v>
      </c>
      <c r="Z8" s="29" t="b">
        <f t="shared" si="6"/>
        <v>1</v>
      </c>
      <c r="AA8" s="29" t="b">
        <f t="shared" si="7"/>
        <v>1</v>
      </c>
      <c r="AB8" s="29" t="str">
        <f t="shared" ca="1" si="8"/>
        <v>141-1</v>
      </c>
      <c r="AC8" s="29">
        <f t="shared" si="34"/>
        <v>5</v>
      </c>
      <c r="AD8" s="29">
        <f t="shared" ca="1" si="9"/>
        <v>5</v>
      </c>
      <c r="AE8" s="29">
        <v>5</v>
      </c>
      <c r="AF8" s="31">
        <f t="shared" si="10"/>
        <v>1</v>
      </c>
      <c r="AG8" s="29" t="b">
        <f t="shared" si="11"/>
        <v>1</v>
      </c>
      <c r="AH8" s="30" t="str">
        <f t="shared" si="12"/>
        <v>141-1</v>
      </c>
      <c r="AI8" s="30" t="str">
        <f t="shared" ca="1" si="13"/>
        <v>(1/2)*(1/3)</v>
      </c>
      <c r="AJ8" s="29">
        <f t="shared" ca="1" si="14"/>
        <v>0.16666666666666666</v>
      </c>
      <c r="AK8" s="29" t="str">
        <f t="shared" si="15"/>
        <v>1/3</v>
      </c>
      <c r="AL8" s="29">
        <f t="shared" si="16"/>
        <v>0.33333333333333331</v>
      </c>
      <c r="AM8" s="32">
        <f t="shared" ca="1" si="35"/>
        <v>0.5</v>
      </c>
      <c r="AO8" s="20">
        <f>Tools!$AD7</f>
        <v>2</v>
      </c>
      <c r="AP8" s="33" t="str">
        <f t="shared" si="36"/>
        <v xml:space="preserve">  </v>
      </c>
      <c r="AQ8" s="34" t="str">
        <f t="shared" ca="1" si="18"/>
        <v>(1/2)*(1/3)+1/3</v>
      </c>
      <c r="AR8" s="23" t="str">
        <f t="shared" ca="1" si="19"/>
        <v xml:space="preserve">  </v>
      </c>
      <c r="AS8" s="24">
        <f t="shared" si="20"/>
        <v>-8</v>
      </c>
      <c r="AT8" s="23" t="str">
        <f t="shared" ca="1" si="37"/>
        <v xml:space="preserve">  </v>
      </c>
      <c r="AU8" s="23" t="str">
        <f t="shared" ca="1" si="40"/>
        <v xml:space="preserve">  </v>
      </c>
      <c r="AV8" s="23" t="str">
        <f t="shared" si="21"/>
        <v xml:space="preserve">  </v>
      </c>
      <c r="AW8" s="23" t="str">
        <f t="shared" ca="1" si="22"/>
        <v xml:space="preserve">  </v>
      </c>
      <c r="AY8" s="35" t="str">
        <f t="shared" si="23"/>
        <v xml:space="preserve"> </v>
      </c>
      <c r="AZ8" s="23" t="str">
        <f ca="1">IFERROR(AY8*AM8,"  ")</f>
        <v xml:space="preserve">  </v>
      </c>
      <c r="BA8" s="36" t="str">
        <f t="shared" si="25"/>
        <v xml:space="preserve"> </v>
      </c>
      <c r="BB8" s="27" t="str">
        <f t="shared" ca="1" si="38"/>
        <v xml:space="preserve">  </v>
      </c>
      <c r="BC8" s="23" t="str">
        <f t="shared" ca="1" si="39"/>
        <v xml:space="preserve">  </v>
      </c>
      <c r="BE8" s="8" t="s">
        <v>30</v>
      </c>
      <c r="BF8" s="9" t="s">
        <v>8</v>
      </c>
      <c r="BG8" s="10">
        <f ca="1">LBP-AJ33</f>
        <v>146.19999999999999</v>
      </c>
      <c r="BH8" t="str">
        <f ca="1">IF(AJ33&gt;0,CONCATENATE("(LWL is assumed between stations ",$AH$31," and ",$AH$33," as offset values extreme to these stations are zeros.)"),"")</f>
        <v/>
      </c>
    </row>
    <row r="9" spans="1:60" x14ac:dyDescent="0.25">
      <c r="A9" s="20">
        <f>Tools!$AD8</f>
        <v>3</v>
      </c>
      <c r="B9" s="33" t="str">
        <f t="shared" si="0"/>
        <v xml:space="preserve">  </v>
      </c>
      <c r="C9" s="22">
        <f>IF(A9="  ","  ",IF(AND(A8="  ",A10="  "),"?",IF(A8="  ",2*(A10-A9),IF(A10="  ",2*(A9-A8),2*(A10-A8)))))</f>
        <v>4</v>
      </c>
      <c r="D9" s="23" t="str">
        <f t="shared" si="26"/>
        <v xml:space="preserve">  </v>
      </c>
      <c r="E9" s="24">
        <f t="shared" si="1"/>
        <v>-7</v>
      </c>
      <c r="F9" s="23" t="str">
        <f t="shared" si="27"/>
        <v xml:space="preserve">  </v>
      </c>
      <c r="G9" s="23" t="str">
        <f t="shared" si="28"/>
        <v xml:space="preserve">  </v>
      </c>
      <c r="H9" s="23" t="str">
        <f t="shared" si="29"/>
        <v xml:space="preserve">  </v>
      </c>
      <c r="I9" s="23" t="str">
        <f t="shared" si="30"/>
        <v xml:space="preserve">  </v>
      </c>
      <c r="J9" s="4"/>
      <c r="K9" s="37" t="str">
        <f t="shared" si="2"/>
        <v xml:space="preserve"> </v>
      </c>
      <c r="L9" s="23" t="str">
        <f t="shared" si="31"/>
        <v xml:space="preserve">  </v>
      </c>
      <c r="M9" s="38" t="str">
        <f t="shared" si="3"/>
        <v xml:space="preserve"> </v>
      </c>
      <c r="N9" s="27" t="str">
        <f t="shared" si="32"/>
        <v xml:space="preserve">  </v>
      </c>
      <c r="O9" s="23" t="str">
        <f t="shared" si="33"/>
        <v xml:space="preserve">  </v>
      </c>
      <c r="P9" s="4"/>
      <c r="Q9" s="43" t="s">
        <v>31</v>
      </c>
      <c r="R9" s="44" t="s">
        <v>32</v>
      </c>
      <c r="S9" s="489" t="s">
        <v>33</v>
      </c>
      <c r="W9" s="29">
        <f>IF(AO9="  ","  ",IF(AND(AO8="  ",AO10="  "),"?",IF(AO8="  ",2*(AO10-AO9),IF(AO10="  ",2*(AO9-AO8),2*(AO10-AO8)))))</f>
        <v>4</v>
      </c>
      <c r="X9" s="30" t="str">
        <f t="shared" si="4"/>
        <v>WW</v>
      </c>
      <c r="Y9" s="30" t="str">
        <f t="shared" si="5"/>
        <v>-</v>
      </c>
      <c r="Z9" s="29" t="b">
        <f t="shared" si="6"/>
        <v>0</v>
      </c>
      <c r="AA9" s="29" t="b">
        <f t="shared" si="7"/>
        <v>0</v>
      </c>
      <c r="AB9" s="29" t="str">
        <f t="shared" ca="1" si="8"/>
        <v>++</v>
      </c>
      <c r="AC9" s="29">
        <f t="shared" si="34"/>
        <v>6</v>
      </c>
      <c r="AD9" s="29">
        <f t="shared" ca="1" si="9"/>
        <v>6</v>
      </c>
      <c r="AE9" s="29">
        <v>6</v>
      </c>
      <c r="AF9" s="31">
        <f>IF(AND(AG9=TRUE,OR(NOT(AG8=TRUE),AG8="Full")),1,IF(ISNUMBER(AF8),AF8+1," "))</f>
        <v>2</v>
      </c>
      <c r="AG9" s="29" t="b">
        <f t="shared" si="11"/>
        <v>1</v>
      </c>
      <c r="AH9" s="30" t="str">
        <f t="shared" ca="1" si="12"/>
        <v>141-4</v>
      </c>
      <c r="AI9" s="30" t="str">
        <f t="shared" ca="1" si="13"/>
        <v/>
      </c>
      <c r="AJ9" s="29">
        <f t="shared" ca="1" si="14"/>
        <v>0</v>
      </c>
      <c r="AK9" s="29" t="str">
        <f t="shared" ca="1" si="15"/>
        <v>4/3</v>
      </c>
      <c r="AL9" s="29">
        <f t="shared" ca="1" si="16"/>
        <v>1.3333333333333333</v>
      </c>
      <c r="AM9" s="32">
        <f t="shared" ca="1" si="35"/>
        <v>1.3333333333333333</v>
      </c>
      <c r="AO9" s="20">
        <f>Tools!$AD8</f>
        <v>3</v>
      </c>
      <c r="AP9" s="33" t="str">
        <f t="shared" si="36"/>
        <v xml:space="preserve">  </v>
      </c>
      <c r="AQ9" s="34" t="str">
        <f t="shared" ca="1" si="18"/>
        <v>4/3</v>
      </c>
      <c r="AR9" s="23" t="str">
        <f t="shared" ca="1" si="19"/>
        <v xml:space="preserve">  </v>
      </c>
      <c r="AS9" s="24">
        <f t="shared" si="20"/>
        <v>-7</v>
      </c>
      <c r="AT9" s="23" t="str">
        <f t="shared" ca="1" si="37"/>
        <v xml:space="preserve">  </v>
      </c>
      <c r="AU9" s="23" t="str">
        <f t="shared" ca="1" si="40"/>
        <v xml:space="preserve">  </v>
      </c>
      <c r="AV9" s="23" t="str">
        <f t="shared" si="21"/>
        <v xml:space="preserve">  </v>
      </c>
      <c r="AW9" s="23" t="str">
        <f t="shared" ca="1" si="22"/>
        <v xml:space="preserve">  </v>
      </c>
      <c r="AY9" s="35" t="str">
        <f t="shared" si="23"/>
        <v xml:space="preserve"> </v>
      </c>
      <c r="AZ9" s="23" t="str">
        <f t="shared" ref="AZ9:AZ28" ca="1" si="41">IFERROR(AY9*AM9,"  ")</f>
        <v xml:space="preserve">  </v>
      </c>
      <c r="BA9" s="36" t="str">
        <f t="shared" si="25"/>
        <v xml:space="preserve"> </v>
      </c>
      <c r="BB9" s="27" t="str">
        <f t="shared" ca="1" si="38"/>
        <v xml:space="preserve">  </v>
      </c>
      <c r="BC9" s="23" t="str">
        <f t="shared" ca="1" si="39"/>
        <v xml:space="preserve">  </v>
      </c>
    </row>
    <row r="10" spans="1:60" x14ac:dyDescent="0.25">
      <c r="A10" s="20">
        <f>Tools!$AD9</f>
        <v>4</v>
      </c>
      <c r="B10" s="33" t="str">
        <f t="shared" si="0"/>
        <v xml:space="preserve">  </v>
      </c>
      <c r="C10" s="22">
        <f>IF(A10="  ","  ",IF(AND(A9="  ",A11="  "),"?",IF(A9="  ",1*(A11-A10),IF(A11="  ",1*(A10-A9),1*(A11-A9)))))</f>
        <v>2</v>
      </c>
      <c r="D10" s="23" t="str">
        <f t="shared" si="26"/>
        <v xml:space="preserve">  </v>
      </c>
      <c r="E10" s="24">
        <f t="shared" si="1"/>
        <v>-6</v>
      </c>
      <c r="F10" s="23" t="str">
        <f t="shared" si="27"/>
        <v xml:space="preserve">  </v>
      </c>
      <c r="G10" s="23" t="str">
        <f t="shared" si="28"/>
        <v xml:space="preserve">  </v>
      </c>
      <c r="H10" s="23" t="str">
        <f t="shared" si="29"/>
        <v xml:space="preserve">  </v>
      </c>
      <c r="I10" s="23" t="str">
        <f>IFERROR(H10*C10,"  ")</f>
        <v xml:space="preserve">  </v>
      </c>
      <c r="J10" s="4"/>
      <c r="K10" s="37" t="str">
        <f t="shared" si="2"/>
        <v xml:space="preserve"> </v>
      </c>
      <c r="L10" s="23" t="str">
        <f t="shared" si="31"/>
        <v xml:space="preserve">  </v>
      </c>
      <c r="M10" s="38" t="str">
        <f t="shared" si="3"/>
        <v xml:space="preserve"> </v>
      </c>
      <c r="N10" s="27" t="str">
        <f t="shared" si="32"/>
        <v xml:space="preserve">  </v>
      </c>
      <c r="O10" s="23" t="str">
        <f t="shared" si="33"/>
        <v xml:space="preserve">  </v>
      </c>
      <c r="P10" s="4"/>
      <c r="Q10" s="45"/>
      <c r="R10" s="46"/>
      <c r="S10" s="490"/>
      <c r="W10" s="29">
        <f>IF(AO10="  ","  ",IF(AND(AO9="  ",AO11="  "),"?",IF(AO9="  ",1*(AO11-AO10),IF(AO11="  ",1*(AO10-AO9),1*(AO11-AO9)))))</f>
        <v>2</v>
      </c>
      <c r="X10" s="30" t="str">
        <f t="shared" si="4"/>
        <v>WW</v>
      </c>
      <c r="Y10" s="30" t="str">
        <f t="shared" si="5"/>
        <v>-</v>
      </c>
      <c r="Z10" s="29" t="b">
        <f t="shared" si="6"/>
        <v>0</v>
      </c>
      <c r="AA10" s="29" t="b">
        <f t="shared" si="7"/>
        <v>0</v>
      </c>
      <c r="AB10" s="29" t="str">
        <f t="shared" ca="1" si="8"/>
        <v>++</v>
      </c>
      <c r="AC10" s="29">
        <f t="shared" si="34"/>
        <v>7</v>
      </c>
      <c r="AD10" s="29">
        <f t="shared" ca="1" si="9"/>
        <v>7</v>
      </c>
      <c r="AE10" s="29">
        <v>7</v>
      </c>
      <c r="AF10" s="31">
        <f t="shared" ref="AF10:AF28" si="42">IF(AND(AG10=TRUE,OR(NOT(AG9=TRUE),AG9="Full")),1,IF(ISNUMBER(AF9),AF9+1," "))</f>
        <v>3</v>
      </c>
      <c r="AG10" s="29" t="b">
        <f t="shared" si="11"/>
        <v>1</v>
      </c>
      <c r="AH10" s="30" t="str">
        <f t="shared" ca="1" si="12"/>
        <v>141-2</v>
      </c>
      <c r="AI10" s="30" t="str">
        <f t="shared" ca="1" si="13"/>
        <v/>
      </c>
      <c r="AJ10" s="29">
        <f t="shared" ca="1" si="14"/>
        <v>0</v>
      </c>
      <c r="AK10" s="29" t="str">
        <f t="shared" ca="1" si="15"/>
        <v>2/3</v>
      </c>
      <c r="AL10" s="29">
        <f t="shared" ca="1" si="16"/>
        <v>0.66666666666666663</v>
      </c>
      <c r="AM10" s="32">
        <f t="shared" ca="1" si="35"/>
        <v>0.66666666666666663</v>
      </c>
      <c r="AO10" s="20">
        <f>Tools!$AD9</f>
        <v>4</v>
      </c>
      <c r="AP10" s="33" t="str">
        <f t="shared" si="36"/>
        <v xml:space="preserve">  </v>
      </c>
      <c r="AQ10" s="34" t="str">
        <f t="shared" ca="1" si="18"/>
        <v>2/3</v>
      </c>
      <c r="AR10" s="23" t="str">
        <f t="shared" ca="1" si="19"/>
        <v xml:space="preserve">  </v>
      </c>
      <c r="AS10" s="24">
        <f t="shared" si="20"/>
        <v>-6</v>
      </c>
      <c r="AT10" s="23" t="str">
        <f t="shared" ca="1" si="37"/>
        <v xml:space="preserve">  </v>
      </c>
      <c r="AU10" s="23" t="str">
        <f ca="1">IFERROR(AT10*AS10,"  ")</f>
        <v xml:space="preserve">  </v>
      </c>
      <c r="AV10" s="23" t="str">
        <f t="shared" si="21"/>
        <v xml:space="preserve">  </v>
      </c>
      <c r="AW10" s="23" t="str">
        <f t="shared" ca="1" si="22"/>
        <v xml:space="preserve">  </v>
      </c>
      <c r="AY10" s="35" t="str">
        <f t="shared" si="23"/>
        <v xml:space="preserve"> </v>
      </c>
      <c r="AZ10" s="23" t="str">
        <f t="shared" ca="1" si="41"/>
        <v xml:space="preserve">  </v>
      </c>
      <c r="BA10" s="36" t="str">
        <f t="shared" si="25"/>
        <v xml:space="preserve"> </v>
      </c>
      <c r="BB10" s="27" t="str">
        <f t="shared" ca="1" si="38"/>
        <v xml:space="preserve">  </v>
      </c>
      <c r="BC10" s="23" t="str">
        <f t="shared" ca="1" si="39"/>
        <v xml:space="preserve">  </v>
      </c>
      <c r="BE10" s="43" t="s">
        <v>31</v>
      </c>
      <c r="BF10" s="44" t="s">
        <v>32</v>
      </c>
      <c r="BG10" s="489" t="s">
        <v>33</v>
      </c>
    </row>
    <row r="11" spans="1:60" x14ac:dyDescent="0.25">
      <c r="A11" s="20">
        <f>Tools!$AD10</f>
        <v>5</v>
      </c>
      <c r="B11" s="33" t="str">
        <f t="shared" si="0"/>
        <v xml:space="preserve">  </v>
      </c>
      <c r="C11" s="22">
        <f>IF(A11="  ","  ",IF(AND(A10="  ",A12="  "),"?",IF(A10="  ",2*(A12-A11),IF(A12="  ",2*(A11-A10),2*(A12-A10)))))</f>
        <v>4</v>
      </c>
      <c r="D11" s="23" t="str">
        <f t="shared" si="26"/>
        <v xml:space="preserve">  </v>
      </c>
      <c r="E11" s="24">
        <f t="shared" si="1"/>
        <v>-5</v>
      </c>
      <c r="F11" s="23" t="str">
        <f t="shared" si="27"/>
        <v xml:space="preserve">  </v>
      </c>
      <c r="G11" s="23" t="str">
        <f t="shared" si="28"/>
        <v xml:space="preserve">  </v>
      </c>
      <c r="H11" s="23" t="str">
        <f t="shared" si="29"/>
        <v xml:space="preserve">  </v>
      </c>
      <c r="I11" s="23" t="str">
        <f t="shared" si="30"/>
        <v xml:space="preserve">  </v>
      </c>
      <c r="J11" s="4"/>
      <c r="K11" s="37" t="str">
        <f t="shared" si="2"/>
        <v xml:space="preserve"> </v>
      </c>
      <c r="L11" s="23" t="str">
        <f t="shared" si="31"/>
        <v xml:space="preserve">  </v>
      </c>
      <c r="M11" s="38" t="str">
        <f t="shared" si="3"/>
        <v xml:space="preserve"> </v>
      </c>
      <c r="N11" s="27" t="str">
        <f t="shared" si="32"/>
        <v xml:space="preserve">  </v>
      </c>
      <c r="O11" s="23" t="str">
        <f t="shared" si="33"/>
        <v xml:space="preserve">  </v>
      </c>
      <c r="P11" s="4"/>
      <c r="Q11" s="47" t="s">
        <v>34</v>
      </c>
      <c r="R11" s="48" t="s">
        <v>35</v>
      </c>
      <c r="S11" t="str">
        <f>IF(Tools!$L$49="Use 141 rule only",I35,IF(Tools!$L$49="Use 141 and 1331 rules",BG12," "))</f>
        <v xml:space="preserve">  </v>
      </c>
      <c r="W11" s="29">
        <f>IF(AO11="  ","  ",IF(AND(AO10="  ",AO12="  "),"?",IF(AO10="  ",2*(AO12-AO11),IF(AO12="  ",2*(AO11-AO10),2*(AO12-AO10)))))</f>
        <v>4</v>
      </c>
      <c r="X11" s="30" t="str">
        <f t="shared" si="4"/>
        <v>WW</v>
      </c>
      <c r="Y11" s="30" t="str">
        <f t="shared" si="5"/>
        <v>-</v>
      </c>
      <c r="Z11" s="29" t="b">
        <f t="shared" si="6"/>
        <v>0</v>
      </c>
      <c r="AA11" s="29" t="b">
        <f t="shared" si="7"/>
        <v>0</v>
      </c>
      <c r="AB11" s="29" t="str">
        <f t="shared" ca="1" si="8"/>
        <v>++</v>
      </c>
      <c r="AC11" s="29">
        <f t="shared" si="34"/>
        <v>8</v>
      </c>
      <c r="AD11" s="29">
        <f t="shared" ca="1" si="9"/>
        <v>8</v>
      </c>
      <c r="AE11" s="29">
        <v>8</v>
      </c>
      <c r="AF11" s="31">
        <f t="shared" si="42"/>
        <v>4</v>
      </c>
      <c r="AG11" s="29" t="b">
        <f t="shared" si="11"/>
        <v>1</v>
      </c>
      <c r="AH11" s="30" t="str">
        <f t="shared" ca="1" si="12"/>
        <v>141-4</v>
      </c>
      <c r="AI11" s="30" t="str">
        <f t="shared" ca="1" si="13"/>
        <v/>
      </c>
      <c r="AJ11" s="29">
        <f t="shared" ca="1" si="14"/>
        <v>0</v>
      </c>
      <c r="AK11" s="29" t="str">
        <f t="shared" ca="1" si="15"/>
        <v>4/3</v>
      </c>
      <c r="AL11" s="29">
        <f t="shared" ca="1" si="16"/>
        <v>1.3333333333333333</v>
      </c>
      <c r="AM11" s="32">
        <f t="shared" ca="1" si="35"/>
        <v>1.3333333333333333</v>
      </c>
      <c r="AO11" s="20">
        <f>Tools!$AD10</f>
        <v>5</v>
      </c>
      <c r="AP11" s="33" t="str">
        <f t="shared" si="36"/>
        <v xml:space="preserve">  </v>
      </c>
      <c r="AQ11" s="34" t="str">
        <f t="shared" ca="1" si="18"/>
        <v>4/3</v>
      </c>
      <c r="AR11" s="23" t="str">
        <f t="shared" ca="1" si="19"/>
        <v xml:space="preserve">  </v>
      </c>
      <c r="AS11" s="24">
        <f t="shared" si="20"/>
        <v>-5</v>
      </c>
      <c r="AT11" s="23" t="str">
        <f t="shared" ca="1" si="37"/>
        <v xml:space="preserve">  </v>
      </c>
      <c r="AU11" s="23" t="str">
        <f t="shared" ca="1" si="40"/>
        <v xml:space="preserve">  </v>
      </c>
      <c r="AV11" s="23" t="str">
        <f t="shared" si="21"/>
        <v xml:space="preserve">  </v>
      </c>
      <c r="AW11" s="23" t="str">
        <f t="shared" ca="1" si="22"/>
        <v xml:space="preserve">  </v>
      </c>
      <c r="AY11" s="35" t="str">
        <f t="shared" si="23"/>
        <v xml:space="preserve"> </v>
      </c>
      <c r="AZ11" s="23" t="str">
        <f t="shared" ca="1" si="41"/>
        <v xml:space="preserve">  </v>
      </c>
      <c r="BA11" s="36" t="str">
        <f t="shared" si="25"/>
        <v xml:space="preserve"> </v>
      </c>
      <c r="BB11" s="27" t="str">
        <f t="shared" ca="1" si="38"/>
        <v xml:space="preserve">  </v>
      </c>
      <c r="BC11" s="23" t="str">
        <f ca="1">IFERROR(AZ11*AS11,"  ")</f>
        <v xml:space="preserve">  </v>
      </c>
      <c r="BE11" s="45"/>
      <c r="BF11" s="46"/>
      <c r="BG11" s="490"/>
    </row>
    <row r="12" spans="1:60" x14ac:dyDescent="0.25">
      <c r="A12" s="20">
        <f>Tools!$AD11</f>
        <v>6</v>
      </c>
      <c r="B12" s="33" t="str">
        <f t="shared" si="0"/>
        <v xml:space="preserve">  </v>
      </c>
      <c r="C12" s="22">
        <f>IF(A12="  ","  ",IF(AND(A11="  ",A13="  "),"?",IF(A11="  ",1*(A13-A12),IF(A13="  ",1*(A12-A11),1*(A13-A11)))))</f>
        <v>2</v>
      </c>
      <c r="D12" s="23" t="str">
        <f t="shared" si="26"/>
        <v xml:space="preserve">  </v>
      </c>
      <c r="E12" s="24">
        <f t="shared" si="1"/>
        <v>-4</v>
      </c>
      <c r="F12" s="23" t="str">
        <f t="shared" si="27"/>
        <v xml:space="preserve">  </v>
      </c>
      <c r="G12" s="23" t="str">
        <f t="shared" si="28"/>
        <v xml:space="preserve">  </v>
      </c>
      <c r="H12" s="23" t="str">
        <f t="shared" si="29"/>
        <v xml:space="preserve">  </v>
      </c>
      <c r="I12" s="23" t="str">
        <f t="shared" si="30"/>
        <v xml:space="preserve">  </v>
      </c>
      <c r="J12" s="4"/>
      <c r="K12" s="37" t="str">
        <f t="shared" si="2"/>
        <v xml:space="preserve"> </v>
      </c>
      <c r="L12" s="23" t="str">
        <f t="shared" si="31"/>
        <v xml:space="preserve">  </v>
      </c>
      <c r="M12" s="38" t="str">
        <f t="shared" si="3"/>
        <v xml:space="preserve"> </v>
      </c>
      <c r="N12" s="27" t="str">
        <f t="shared" si="32"/>
        <v xml:space="preserve">  </v>
      </c>
      <c r="O12" s="23" t="str">
        <f t="shared" si="33"/>
        <v xml:space="preserve">  </v>
      </c>
      <c r="P12" s="4"/>
      <c r="Q12" s="47" t="s">
        <v>36</v>
      </c>
      <c r="R12" s="48" t="s">
        <v>37</v>
      </c>
      <c r="S12" t="str">
        <f>IF(Tools!$L$49="Use 141 rule only",I36,IF(Tools!$L$49="Use 141 and 1331 rules",BG13," "))</f>
        <v xml:space="preserve">  </v>
      </c>
      <c r="W12" s="29">
        <f>IF(AO12="  ","  ",IF(AND(AO11="  ",AO13="  "),"?",IF(AO11="  ",1*(AO13-AO12),IF(AO13="  ",1*(AO12-AO11),1*(AO13-AO11)))))</f>
        <v>2</v>
      </c>
      <c r="X12" s="30" t="str">
        <f t="shared" si="4"/>
        <v>WW</v>
      </c>
      <c r="Y12" s="30" t="str">
        <f t="shared" si="5"/>
        <v>-</v>
      </c>
      <c r="Z12" s="29" t="b">
        <f t="shared" si="6"/>
        <v>0</v>
      </c>
      <c r="AA12" s="29" t="b">
        <f t="shared" si="7"/>
        <v>0</v>
      </c>
      <c r="AB12" s="29" t="str">
        <f t="shared" ca="1" si="8"/>
        <v>++</v>
      </c>
      <c r="AC12" s="29">
        <f t="shared" si="34"/>
        <v>9</v>
      </c>
      <c r="AD12" s="29">
        <f t="shared" ca="1" si="9"/>
        <v>9</v>
      </c>
      <c r="AE12" s="29">
        <v>9</v>
      </c>
      <c r="AF12" s="31">
        <f t="shared" si="42"/>
        <v>5</v>
      </c>
      <c r="AG12" s="29" t="b">
        <f t="shared" si="11"/>
        <v>1</v>
      </c>
      <c r="AH12" s="30" t="str">
        <f t="shared" ca="1" si="12"/>
        <v>141-2</v>
      </c>
      <c r="AI12" s="30" t="str">
        <f t="shared" ca="1" si="13"/>
        <v/>
      </c>
      <c r="AJ12" s="29">
        <f t="shared" ca="1" si="14"/>
        <v>0</v>
      </c>
      <c r="AK12" s="29" t="str">
        <f t="shared" ca="1" si="15"/>
        <v>2/3</v>
      </c>
      <c r="AL12" s="29">
        <f t="shared" ca="1" si="16"/>
        <v>0.66666666666666663</v>
      </c>
      <c r="AM12" s="32">
        <f t="shared" ca="1" si="35"/>
        <v>0.66666666666666663</v>
      </c>
      <c r="AO12" s="20">
        <f>Tools!$AD11</f>
        <v>6</v>
      </c>
      <c r="AP12" s="33" t="str">
        <f t="shared" si="36"/>
        <v xml:space="preserve">  </v>
      </c>
      <c r="AQ12" s="34" t="str">
        <f t="shared" ca="1" si="18"/>
        <v>2/3</v>
      </c>
      <c r="AR12" s="23" t="str">
        <f t="shared" ca="1" si="19"/>
        <v xml:space="preserve">  </v>
      </c>
      <c r="AS12" s="24">
        <f t="shared" si="20"/>
        <v>-4</v>
      </c>
      <c r="AT12" s="23" t="str">
        <f t="shared" ca="1" si="37"/>
        <v xml:space="preserve">  </v>
      </c>
      <c r="AU12" s="23" t="str">
        <f t="shared" ca="1" si="40"/>
        <v xml:space="preserve">  </v>
      </c>
      <c r="AV12" s="23" t="str">
        <f t="shared" si="21"/>
        <v xml:space="preserve">  </v>
      </c>
      <c r="AW12" s="23" t="str">
        <f t="shared" ca="1" si="22"/>
        <v xml:space="preserve">  </v>
      </c>
      <c r="AY12" s="35" t="str">
        <f t="shared" si="23"/>
        <v xml:space="preserve"> </v>
      </c>
      <c r="AZ12" s="23" t="str">
        <f t="shared" ca="1" si="41"/>
        <v xml:space="preserve">  </v>
      </c>
      <c r="BA12" s="36" t="str">
        <f t="shared" si="25"/>
        <v xml:space="preserve"> </v>
      </c>
      <c r="BB12" s="27" t="str">
        <f t="shared" ca="1" si="38"/>
        <v xml:space="preserve">  </v>
      </c>
      <c r="BC12" s="23" t="str">
        <f t="shared" ca="1" si="39"/>
        <v xml:space="preserve">  </v>
      </c>
      <c r="BE12" s="47" t="s">
        <v>34</v>
      </c>
      <c r="BF12" s="48" t="s">
        <v>38</v>
      </c>
      <c r="BG12" s="49" t="str">
        <f>IF(WL_No="  ","  ",2*h*$AR$29)</f>
        <v xml:space="preserve">  </v>
      </c>
    </row>
    <row r="13" spans="1:60" x14ac:dyDescent="0.25">
      <c r="A13" s="20">
        <f>Tools!$AD12</f>
        <v>7</v>
      </c>
      <c r="B13" s="33" t="str">
        <f t="shared" si="0"/>
        <v xml:space="preserve">  </v>
      </c>
      <c r="C13" s="22">
        <f>IF(A13="  ","  ",IF(AND(A12="  ",A14="  "),"?",IF(A12="  ",2*(A14-A13),IF(A14="  ",2*(A13-A12),2*(A14-A12)))))</f>
        <v>4</v>
      </c>
      <c r="D13" s="23" t="str">
        <f t="shared" si="26"/>
        <v xml:space="preserve">  </v>
      </c>
      <c r="E13" s="24">
        <f t="shared" si="1"/>
        <v>-3</v>
      </c>
      <c r="F13" s="23" t="str">
        <f t="shared" si="27"/>
        <v xml:space="preserve">  </v>
      </c>
      <c r="G13" s="23" t="str">
        <f t="shared" si="28"/>
        <v xml:space="preserve">  </v>
      </c>
      <c r="H13" s="23" t="str">
        <f t="shared" si="29"/>
        <v xml:space="preserve">  </v>
      </c>
      <c r="I13" s="23" t="str">
        <f t="shared" si="30"/>
        <v xml:space="preserve">  </v>
      </c>
      <c r="J13" s="4"/>
      <c r="K13" s="37" t="str">
        <f t="shared" si="2"/>
        <v xml:space="preserve"> </v>
      </c>
      <c r="L13" s="23" t="str">
        <f t="shared" si="31"/>
        <v xml:space="preserve">  </v>
      </c>
      <c r="M13" s="38" t="str">
        <f t="shared" si="3"/>
        <v xml:space="preserve"> </v>
      </c>
      <c r="N13" s="27" t="str">
        <f t="shared" si="32"/>
        <v xml:space="preserve">  </v>
      </c>
      <c r="O13" s="23" t="str">
        <f t="shared" si="33"/>
        <v xml:space="preserve">  </v>
      </c>
      <c r="P13" s="4"/>
      <c r="Q13" s="50" t="s">
        <v>39</v>
      </c>
      <c r="R13" s="48" t="s">
        <v>40</v>
      </c>
      <c r="S13" t="str">
        <f>IF(Tools!$L$49="Use 141 rule only",I37,IF(Tools!$L$49="Use 141 and 1331 rules",BG14," "))</f>
        <v xml:space="preserve">  </v>
      </c>
      <c r="W13" s="29">
        <f>IF(AO13="  ","  ",IF(AND(AO12="  ",AO14="  "),"?",IF(AO12="  ",2*(AO14-AO13),IF(AO14="  ",2*(AO13-AO12),2*(AO14-AO12)))))</f>
        <v>4</v>
      </c>
      <c r="X13" s="30" t="str">
        <f t="shared" si="4"/>
        <v>WW</v>
      </c>
      <c r="Y13" s="30" t="str">
        <f t="shared" si="5"/>
        <v>-</v>
      </c>
      <c r="Z13" s="29" t="b">
        <f t="shared" si="6"/>
        <v>0</v>
      </c>
      <c r="AA13" s="29" t="b">
        <f t="shared" si="7"/>
        <v>0</v>
      </c>
      <c r="AB13" s="29" t="str">
        <f t="shared" ca="1" si="8"/>
        <v>++</v>
      </c>
      <c r="AC13" s="29">
        <f t="shared" si="34"/>
        <v>10</v>
      </c>
      <c r="AD13" s="29">
        <f t="shared" ca="1" si="9"/>
        <v>10</v>
      </c>
      <c r="AE13" s="29">
        <v>10</v>
      </c>
      <c r="AF13" s="31">
        <f t="shared" si="42"/>
        <v>6</v>
      </c>
      <c r="AG13" s="29" t="b">
        <f t="shared" si="11"/>
        <v>1</v>
      </c>
      <c r="AH13" s="30" t="str">
        <f t="shared" ca="1" si="12"/>
        <v>141-4</v>
      </c>
      <c r="AI13" s="30" t="str">
        <f t="shared" ca="1" si="13"/>
        <v/>
      </c>
      <c r="AJ13" s="29">
        <f t="shared" ca="1" si="14"/>
        <v>0</v>
      </c>
      <c r="AK13" s="29" t="str">
        <f t="shared" ca="1" si="15"/>
        <v>4/3</v>
      </c>
      <c r="AL13" s="29">
        <f t="shared" ca="1" si="16"/>
        <v>1.3333333333333333</v>
      </c>
      <c r="AM13" s="32">
        <f t="shared" ca="1" si="35"/>
        <v>1.3333333333333333</v>
      </c>
      <c r="AO13" s="20">
        <f>Tools!$AD12</f>
        <v>7</v>
      </c>
      <c r="AP13" s="33" t="str">
        <f t="shared" si="36"/>
        <v xml:space="preserve">  </v>
      </c>
      <c r="AQ13" s="34" t="str">
        <f t="shared" ca="1" si="18"/>
        <v>4/3</v>
      </c>
      <c r="AR13" s="23" t="str">
        <f t="shared" ca="1" si="19"/>
        <v xml:space="preserve">  </v>
      </c>
      <c r="AS13" s="24">
        <f t="shared" si="20"/>
        <v>-3</v>
      </c>
      <c r="AT13" s="23" t="str">
        <f t="shared" ca="1" si="37"/>
        <v xml:space="preserve">  </v>
      </c>
      <c r="AU13" s="23" t="str">
        <f t="shared" ca="1" si="40"/>
        <v xml:space="preserve">  </v>
      </c>
      <c r="AV13" s="23" t="str">
        <f t="shared" si="21"/>
        <v xml:space="preserve">  </v>
      </c>
      <c r="AW13" s="23" t="str">
        <f t="shared" ca="1" si="22"/>
        <v xml:space="preserve">  </v>
      </c>
      <c r="AY13" s="35" t="str">
        <f t="shared" si="23"/>
        <v xml:space="preserve"> </v>
      </c>
      <c r="AZ13" s="23" t="str">
        <f t="shared" ca="1" si="41"/>
        <v xml:space="preserve">  </v>
      </c>
      <c r="BA13" s="36" t="str">
        <f t="shared" si="25"/>
        <v xml:space="preserve"> </v>
      </c>
      <c r="BB13" s="27" t="str">
        <f t="shared" ca="1" si="38"/>
        <v xml:space="preserve">  </v>
      </c>
      <c r="BC13" s="23" t="str">
        <f t="shared" ca="1" si="39"/>
        <v xml:space="preserve">  </v>
      </c>
      <c r="BE13" s="47" t="s">
        <v>36</v>
      </c>
      <c r="BF13" s="48" t="s">
        <v>41</v>
      </c>
      <c r="BG13" s="49" t="str">
        <f>IF(WL_No="  ","  ",2*(h^2)*$AT$29)</f>
        <v xml:space="preserve">  </v>
      </c>
    </row>
    <row r="14" spans="1:60" x14ac:dyDescent="0.25">
      <c r="A14" s="20">
        <f>Tools!$AD13</f>
        <v>8</v>
      </c>
      <c r="B14" s="33" t="str">
        <f t="shared" si="0"/>
        <v xml:space="preserve">  </v>
      </c>
      <c r="C14" s="22">
        <f>IF(A14="  ","  ",IF(AND(A13="  ",A15="  "),"?",IF(A13="  ",1*(A15-A14),IF(A15="  ",1*(A14-A13),1*(A15-A13)))))</f>
        <v>2</v>
      </c>
      <c r="D14" s="23" t="str">
        <f t="shared" si="26"/>
        <v xml:space="preserve">  </v>
      </c>
      <c r="E14" s="24">
        <f t="shared" si="1"/>
        <v>-2</v>
      </c>
      <c r="F14" s="23" t="str">
        <f t="shared" si="27"/>
        <v xml:space="preserve">  </v>
      </c>
      <c r="G14" s="23" t="str">
        <f t="shared" si="28"/>
        <v xml:space="preserve">  </v>
      </c>
      <c r="H14" s="23" t="str">
        <f t="shared" si="29"/>
        <v xml:space="preserve">  </v>
      </c>
      <c r="I14" s="23" t="str">
        <f t="shared" si="30"/>
        <v xml:space="preserve">  </v>
      </c>
      <c r="J14" s="4"/>
      <c r="K14" s="37" t="str">
        <f t="shared" si="2"/>
        <v xml:space="preserve"> </v>
      </c>
      <c r="L14" s="23" t="str">
        <f t="shared" si="31"/>
        <v xml:space="preserve">  </v>
      </c>
      <c r="M14" s="38" t="str">
        <f t="shared" si="3"/>
        <v xml:space="preserve"> </v>
      </c>
      <c r="N14" s="27" t="str">
        <f t="shared" si="32"/>
        <v xml:space="preserve">  </v>
      </c>
      <c r="O14" s="23" t="str">
        <f t="shared" si="33"/>
        <v xml:space="preserve">  </v>
      </c>
      <c r="P14" s="4"/>
      <c r="Q14" s="50" t="s">
        <v>42</v>
      </c>
      <c r="R14" s="48" t="s">
        <v>43</v>
      </c>
      <c r="S14" t="str">
        <f>IF(Tools!$L$49="Use 141 rule only",I38,IF(Tools!$L$49="Use 141 and 1331 rules",BG15," "))</f>
        <v xml:space="preserve">  </v>
      </c>
      <c r="W14" s="29">
        <f>IF(AO14="  ","  ",IF(AND(AO13="  ",AO15="  "),"?",IF(AO13="  ",1*(AO15-AO14),IF(AO15="  ",1*(AO14-AO13),1*(AO15-AO13)))))</f>
        <v>2</v>
      </c>
      <c r="X14" s="30" t="str">
        <f t="shared" si="4"/>
        <v>WW</v>
      </c>
      <c r="Y14" s="30" t="str">
        <f t="shared" si="5"/>
        <v>-</v>
      </c>
      <c r="Z14" s="29" t="b">
        <f t="shared" si="6"/>
        <v>0</v>
      </c>
      <c r="AA14" s="29" t="b">
        <f t="shared" si="7"/>
        <v>0</v>
      </c>
      <c r="AB14" s="29" t="str">
        <f t="shared" ca="1" si="8"/>
        <v>++</v>
      </c>
      <c r="AC14" s="29">
        <f t="shared" si="34"/>
        <v>11</v>
      </c>
      <c r="AD14" s="29">
        <f t="shared" ca="1" si="9"/>
        <v>11</v>
      </c>
      <c r="AE14" s="29">
        <v>11</v>
      </c>
      <c r="AF14" s="31">
        <f t="shared" si="42"/>
        <v>7</v>
      </c>
      <c r="AG14" s="29" t="b">
        <f t="shared" si="11"/>
        <v>1</v>
      </c>
      <c r="AH14" s="30" t="str">
        <f ca="1">IF(AND(AG14=TRUE,$AH$1=1),"141-4",IF(AG14=" ",IF(AND($AH$1=2,AF14=3),"141-1","-"),IF(OR(AG14=FALSE,AG14=" "),"-",IF(AG14=TRUE,IF(AND($AH$1=2,AF14=1),"141-1",IF(AND($AH$1=2,AF14=2),"141-4",IF(OR(ISODD($AH$1),AF14&gt;4),IF(AF14=1,"141-1",IF(OR(AB14="141-1",AB14="1331-1",AB14="1331-1,141-1"),"141-1",IF(AG15=" ","141-1",IF(OR(AH13="141-1",AH13="141-2",AH13="1331-1,141-1"),"141-4",IF(AH13="141-4","141-2","$$"))))),IF(ISEVEN($AH$1),IF(AF14=1,"1331-1",IF(OR(AF14=2,AF14=3),"1331-3",IF(AF14=4,IF($AH$1=4,"1331-1","1331-1,141-1"),"")))))))))))</f>
        <v>141-2</v>
      </c>
      <c r="AI14" s="30" t="str">
        <f t="shared" ca="1" si="13"/>
        <v/>
      </c>
      <c r="AJ14" s="29">
        <f t="shared" ca="1" si="14"/>
        <v>0</v>
      </c>
      <c r="AK14" s="29" t="str">
        <f t="shared" ca="1" si="15"/>
        <v>2/3</v>
      </c>
      <c r="AL14" s="29">
        <f t="shared" ca="1" si="16"/>
        <v>0.66666666666666663</v>
      </c>
      <c r="AM14" s="32">
        <f t="shared" ca="1" si="35"/>
        <v>0.66666666666666663</v>
      </c>
      <c r="AO14" s="20">
        <f>Tools!$AD13</f>
        <v>8</v>
      </c>
      <c r="AP14" s="33" t="str">
        <f t="shared" si="36"/>
        <v xml:space="preserve">  </v>
      </c>
      <c r="AQ14" s="34" t="str">
        <f t="shared" ca="1" si="18"/>
        <v>2/3</v>
      </c>
      <c r="AR14" s="23" t="str">
        <f t="shared" ca="1" si="19"/>
        <v xml:space="preserve">  </v>
      </c>
      <c r="AS14" s="24">
        <f t="shared" si="20"/>
        <v>-2</v>
      </c>
      <c r="AT14" s="23" t="str">
        <f t="shared" ca="1" si="37"/>
        <v xml:space="preserve">  </v>
      </c>
      <c r="AU14" s="23" t="str">
        <f t="shared" ca="1" si="40"/>
        <v xml:space="preserve">  </v>
      </c>
      <c r="AV14" s="23" t="str">
        <f t="shared" si="21"/>
        <v xml:space="preserve">  </v>
      </c>
      <c r="AW14" s="23" t="str">
        <f t="shared" ca="1" si="22"/>
        <v xml:space="preserve">  </v>
      </c>
      <c r="AY14" s="35" t="str">
        <f t="shared" si="23"/>
        <v xml:space="preserve"> </v>
      </c>
      <c r="AZ14" s="23" t="str">
        <f t="shared" ca="1" si="41"/>
        <v xml:space="preserve">  </v>
      </c>
      <c r="BA14" s="36" t="str">
        <f t="shared" si="25"/>
        <v xml:space="preserve"> </v>
      </c>
      <c r="BB14" s="27" t="str">
        <f t="shared" ca="1" si="38"/>
        <v xml:space="preserve">  </v>
      </c>
      <c r="BC14" s="23" t="str">
        <f t="shared" ca="1" si="39"/>
        <v xml:space="preserve">  </v>
      </c>
      <c r="BE14" s="50" t="s">
        <v>39</v>
      </c>
      <c r="BF14" s="48" t="s">
        <v>40</v>
      </c>
      <c r="BG14" s="49" t="str">
        <f>IF(WL_No="  ","  ",Mmid/AWP)</f>
        <v xml:space="preserve">  </v>
      </c>
    </row>
    <row r="15" spans="1:60" x14ac:dyDescent="0.25">
      <c r="A15" s="20">
        <f>Tools!$AD14</f>
        <v>9</v>
      </c>
      <c r="B15" s="33" t="str">
        <f t="shared" si="0"/>
        <v xml:space="preserve">  </v>
      </c>
      <c r="C15" s="22">
        <f>IF(A15="  ","  ",IF(AND(A14="  ",A16="  "),"?",IF(A14="  ",2*(A16-A15),IF(A16="  ",2*(A15-A14),2*(A16-A14)))))</f>
        <v>4</v>
      </c>
      <c r="D15" s="23" t="str">
        <f t="shared" si="26"/>
        <v xml:space="preserve">  </v>
      </c>
      <c r="E15" s="24">
        <f t="shared" si="1"/>
        <v>-1</v>
      </c>
      <c r="F15" s="23" t="str">
        <f t="shared" si="27"/>
        <v xml:space="preserve">  </v>
      </c>
      <c r="G15" s="23" t="str">
        <f t="shared" si="28"/>
        <v xml:space="preserve">  </v>
      </c>
      <c r="H15" s="23" t="str">
        <f t="shared" si="29"/>
        <v xml:space="preserve">  </v>
      </c>
      <c r="I15" s="23" t="str">
        <f t="shared" si="30"/>
        <v xml:space="preserve">  </v>
      </c>
      <c r="J15" s="4"/>
      <c r="K15" s="37" t="str">
        <f t="shared" si="2"/>
        <v xml:space="preserve"> </v>
      </c>
      <c r="L15" s="23" t="str">
        <f t="shared" si="31"/>
        <v xml:space="preserve">  </v>
      </c>
      <c r="M15" s="38" t="str">
        <f t="shared" si="3"/>
        <v xml:space="preserve"> </v>
      </c>
      <c r="N15" s="27" t="str">
        <f t="shared" si="32"/>
        <v xml:space="preserve">  </v>
      </c>
      <c r="O15" s="23" t="str">
        <f t="shared" si="33"/>
        <v xml:space="preserve">  </v>
      </c>
      <c r="P15" s="4"/>
      <c r="Q15" s="51" t="s">
        <v>44</v>
      </c>
      <c r="R15" s="48" t="s">
        <v>45</v>
      </c>
      <c r="S15" t="str">
        <f>IF(Tools!$L$49="Use 141 rule only",I39,IF(Tools!$L$49="Use 141 and 1331 rules",BG16," "))</f>
        <v xml:space="preserve">  </v>
      </c>
      <c r="W15" s="29">
        <f>IF(AO15="  ","  ",IF(AND(AO14="  ",AO16="  "),"?",IF(AO14="  ",2*(AO16-AO15),IF(AO16="  ",2*(AO15-AO14),2*(AO16-AO14)))))</f>
        <v>4</v>
      </c>
      <c r="X15" s="30" t="str">
        <f t="shared" si="4"/>
        <v>WW</v>
      </c>
      <c r="Y15" s="30" t="str">
        <f t="shared" si="5"/>
        <v>-</v>
      </c>
      <c r="Z15" s="29" t="b">
        <f t="shared" si="6"/>
        <v>0</v>
      </c>
      <c r="AA15" s="29" t="b">
        <f t="shared" si="7"/>
        <v>0</v>
      </c>
      <c r="AB15" s="29" t="str">
        <f t="shared" ca="1" si="8"/>
        <v>++</v>
      </c>
      <c r="AC15" s="29">
        <f t="shared" si="34"/>
        <v>12</v>
      </c>
      <c r="AD15" s="29">
        <f t="shared" ca="1" si="9"/>
        <v>12</v>
      </c>
      <c r="AE15" s="29">
        <v>12</v>
      </c>
      <c r="AF15" s="31">
        <f t="shared" si="42"/>
        <v>8</v>
      </c>
      <c r="AG15" s="29" t="b">
        <f t="shared" si="11"/>
        <v>1</v>
      </c>
      <c r="AH15" s="30" t="str">
        <f t="shared" ref="AH15:AH28" ca="1" si="43">IF(AND(AG15=TRUE,$AH$1=1),"141-4",IF(AG15=" ",IF(AND($AH$1=2,AF15=3),"141-1","-"),IF(OR(AG15=FALSE,AG15=" "),"-",IF(AG15=TRUE,IF(AND($AH$1=2,AF15=1),"141-1",IF(AND($AH$1=2,AF15=2),"141-4",IF(OR(ISODD($AH$1),AF15&gt;4),IF(AF15=1,"141-1",IF(OR(AB15="141-1",AB15="1331-1",AB15="1331-1,141-1"),"141-1",IF(AG16=" ","141-1",IF(OR(AH14="141-1",AH14="141-2",AH14="1331-1,141-1"),"141-4",IF(AH14="141-4","141-2","$$"))))),IF(ISEVEN($AH$1),IF(AF15=1,"1331-1",IF(OR(AF15=2,AF15=3),"1331-3",IF(AF15=4,IF($AH$1=4,"1331-1","1331-1,141-1"),"")))))))))))</f>
        <v>141-4</v>
      </c>
      <c r="AI15" s="30" t="str">
        <f t="shared" ca="1" si="13"/>
        <v/>
      </c>
      <c r="AJ15" s="29">
        <f t="shared" ca="1" si="14"/>
        <v>0</v>
      </c>
      <c r="AK15" s="29" t="str">
        <f t="shared" ca="1" si="15"/>
        <v>4/3</v>
      </c>
      <c r="AL15" s="29">
        <f t="shared" ca="1" si="16"/>
        <v>1.3333333333333333</v>
      </c>
      <c r="AM15" s="32">
        <f t="shared" ca="1" si="35"/>
        <v>1.3333333333333333</v>
      </c>
      <c r="AO15" s="20">
        <f>Tools!$AD14</f>
        <v>9</v>
      </c>
      <c r="AP15" s="33" t="str">
        <f t="shared" si="36"/>
        <v xml:space="preserve">  </v>
      </c>
      <c r="AQ15" s="34" t="str">
        <f t="shared" ca="1" si="18"/>
        <v>4/3</v>
      </c>
      <c r="AR15" s="23" t="str">
        <f t="shared" ca="1" si="19"/>
        <v xml:space="preserve">  </v>
      </c>
      <c r="AS15" s="24">
        <f t="shared" si="20"/>
        <v>-1</v>
      </c>
      <c r="AT15" s="23" t="str">
        <f t="shared" ca="1" si="37"/>
        <v xml:space="preserve">  </v>
      </c>
      <c r="AU15" s="23" t="str">
        <f t="shared" ca="1" si="40"/>
        <v xml:space="preserve">  </v>
      </c>
      <c r="AV15" s="23" t="str">
        <f t="shared" si="21"/>
        <v xml:space="preserve">  </v>
      </c>
      <c r="AW15" s="23" t="str">
        <f t="shared" ca="1" si="22"/>
        <v xml:space="preserve">  </v>
      </c>
      <c r="AY15" s="35" t="str">
        <f t="shared" si="23"/>
        <v xml:space="preserve"> </v>
      </c>
      <c r="AZ15" s="23" t="str">
        <f t="shared" ca="1" si="41"/>
        <v xml:space="preserve">  </v>
      </c>
      <c r="BA15" s="36" t="str">
        <f t="shared" si="25"/>
        <v xml:space="preserve"> </v>
      </c>
      <c r="BB15" s="27" t="str">
        <f ca="1">IFERROR(BA15*AM15,"  ")</f>
        <v xml:space="preserve">  </v>
      </c>
      <c r="BC15" s="23" t="str">
        <f t="shared" ca="1" si="39"/>
        <v xml:space="preserve">  </v>
      </c>
      <c r="BE15" s="50" t="s">
        <v>42</v>
      </c>
      <c r="BF15" s="48" t="s">
        <v>46</v>
      </c>
      <c r="BG15" s="49" t="str">
        <f>IF(WL_No="  ","  ",2*(h^3)*$AU$29)</f>
        <v xml:space="preserve">  </v>
      </c>
    </row>
    <row r="16" spans="1:60" x14ac:dyDescent="0.25">
      <c r="A16" s="20">
        <f>Tools!$AD15</f>
        <v>10</v>
      </c>
      <c r="B16" s="33" t="str">
        <f t="shared" si="0"/>
        <v xml:space="preserve">  </v>
      </c>
      <c r="C16" s="22">
        <f>IF(A16="  ","  ",IF(AND(A15="  ",A17="  "),"?",IF(A15="  ",1*(A17-A16),IF(A17="  ",1*(A16-A15),1*(A17-A15)))))</f>
        <v>2</v>
      </c>
      <c r="D16" s="23" t="str">
        <f t="shared" si="26"/>
        <v xml:space="preserve">  </v>
      </c>
      <c r="E16" s="24">
        <f t="shared" si="1"/>
        <v>0</v>
      </c>
      <c r="F16" s="23" t="str">
        <f t="shared" si="27"/>
        <v xml:space="preserve">  </v>
      </c>
      <c r="G16" s="23" t="str">
        <f t="shared" si="28"/>
        <v xml:space="preserve">  </v>
      </c>
      <c r="H16" s="23" t="str">
        <f t="shared" si="29"/>
        <v xml:space="preserve">  </v>
      </c>
      <c r="I16" s="23" t="str">
        <f t="shared" si="30"/>
        <v xml:space="preserve">  </v>
      </c>
      <c r="J16" s="4"/>
      <c r="K16" s="37" t="str">
        <f t="shared" si="2"/>
        <v xml:space="preserve"> </v>
      </c>
      <c r="L16" s="23" t="str">
        <f t="shared" si="31"/>
        <v xml:space="preserve">  </v>
      </c>
      <c r="M16" s="38" t="str">
        <f t="shared" si="3"/>
        <v xml:space="preserve"> </v>
      </c>
      <c r="N16" s="27" t="str">
        <f t="shared" si="32"/>
        <v xml:space="preserve">  </v>
      </c>
      <c r="O16" s="23" t="str">
        <f t="shared" si="33"/>
        <v xml:space="preserve">  </v>
      </c>
      <c r="P16" s="4"/>
      <c r="Q16" s="50" t="s">
        <v>47</v>
      </c>
      <c r="R16" s="48" t="s">
        <v>48</v>
      </c>
      <c r="S16" t="str">
        <f>IF(Tools!$L$49="Use 141 rule only",I40,IF(Tools!$L$49="Use 141 and 1331 rules",BG17," "))</f>
        <v xml:space="preserve">  </v>
      </c>
      <c r="W16" s="29">
        <f>IF(AO16="  ","  ",IF(AND(AO15="  ",AO17="  "),"?",IF(AO15="  ",1*(AO17-AO16),IF(AO17="  ",1*(AO16-AO15),1*(AO17-AO15)))))</f>
        <v>2</v>
      </c>
      <c r="X16" s="30" t="str">
        <f t="shared" si="4"/>
        <v>WW</v>
      </c>
      <c r="Y16" s="30" t="str">
        <f t="shared" si="5"/>
        <v>-</v>
      </c>
      <c r="Z16" s="29" t="b">
        <f t="shared" si="6"/>
        <v>0</v>
      </c>
      <c r="AA16" s="29" t="b">
        <f t="shared" si="7"/>
        <v>0</v>
      </c>
      <c r="AB16" s="29" t="str">
        <f t="shared" ca="1" si="8"/>
        <v>++</v>
      </c>
      <c r="AC16" s="29">
        <f t="shared" si="34"/>
        <v>13</v>
      </c>
      <c r="AD16" s="29">
        <f t="shared" ca="1" si="9"/>
        <v>13</v>
      </c>
      <c r="AE16" s="29">
        <v>13</v>
      </c>
      <c r="AF16" s="31">
        <f t="shared" si="42"/>
        <v>9</v>
      </c>
      <c r="AG16" s="29" t="b">
        <f t="shared" si="11"/>
        <v>1</v>
      </c>
      <c r="AH16" s="30" t="str">
        <f t="shared" ca="1" si="43"/>
        <v>141-2</v>
      </c>
      <c r="AI16" s="30" t="str">
        <f t="shared" ca="1" si="13"/>
        <v/>
      </c>
      <c r="AJ16" s="29">
        <f t="shared" ca="1" si="14"/>
        <v>0</v>
      </c>
      <c r="AK16" s="29" t="str">
        <f t="shared" ca="1" si="15"/>
        <v>2/3</v>
      </c>
      <c r="AL16" s="29">
        <f t="shared" ca="1" si="16"/>
        <v>0.66666666666666663</v>
      </c>
      <c r="AM16" s="32">
        <f t="shared" ca="1" si="35"/>
        <v>0.66666666666666663</v>
      </c>
      <c r="AO16" s="20">
        <f>Tools!$AD15</f>
        <v>10</v>
      </c>
      <c r="AP16" s="33" t="str">
        <f t="shared" si="36"/>
        <v xml:space="preserve">  </v>
      </c>
      <c r="AQ16" s="34" t="str">
        <f t="shared" ca="1" si="18"/>
        <v>2/3</v>
      </c>
      <c r="AR16" s="23" t="str">
        <f t="shared" ca="1" si="19"/>
        <v xml:space="preserve">  </v>
      </c>
      <c r="AS16" s="24">
        <f t="shared" si="20"/>
        <v>0</v>
      </c>
      <c r="AT16" s="23" t="str">
        <f t="shared" ca="1" si="37"/>
        <v xml:space="preserve">  </v>
      </c>
      <c r="AU16" s="23" t="str">
        <f t="shared" ca="1" si="40"/>
        <v xml:space="preserve">  </v>
      </c>
      <c r="AV16" s="23" t="str">
        <f t="shared" si="21"/>
        <v xml:space="preserve">  </v>
      </c>
      <c r="AW16" s="23" t="str">
        <f t="shared" ca="1" si="22"/>
        <v xml:space="preserve">  </v>
      </c>
      <c r="AY16" s="35" t="str">
        <f t="shared" si="23"/>
        <v xml:space="preserve"> </v>
      </c>
      <c r="AZ16" s="23" t="str">
        <f t="shared" ca="1" si="41"/>
        <v xml:space="preserve">  </v>
      </c>
      <c r="BA16" s="36" t="str">
        <f t="shared" si="25"/>
        <v xml:space="preserve"> </v>
      </c>
      <c r="BB16" s="27" t="str">
        <f t="shared" ca="1" si="38"/>
        <v xml:space="preserve">  </v>
      </c>
      <c r="BC16" s="23" t="str">
        <f ca="1">IFERROR(AZ16*AS16,"  ")</f>
        <v xml:space="preserve">  </v>
      </c>
      <c r="BE16" s="51" t="s">
        <v>44</v>
      </c>
      <c r="BF16" s="48" t="s">
        <v>49</v>
      </c>
      <c r="BG16" s="49" t="str">
        <f>IF(WL_No="  ","  ",2/3*h*$AW$29)</f>
        <v xml:space="preserve">  </v>
      </c>
    </row>
    <row r="17" spans="1:59" x14ac:dyDescent="0.25">
      <c r="A17" s="20">
        <f>Tools!$AD16</f>
        <v>11</v>
      </c>
      <c r="B17" s="33" t="str">
        <f t="shared" si="0"/>
        <v xml:space="preserve">  </v>
      </c>
      <c r="C17" s="22">
        <f>IF(A17="  ","  ",IF(AND(A16="  ",A18="  "),"?",IF(A16="  ",2*(A18-A17),IF(A18="  ",2*(A17-A16),2*(A18-A16)))))</f>
        <v>4</v>
      </c>
      <c r="D17" s="23" t="str">
        <f t="shared" si="26"/>
        <v xml:space="preserve">  </v>
      </c>
      <c r="E17" s="24">
        <f t="shared" si="1"/>
        <v>1</v>
      </c>
      <c r="F17" s="23" t="str">
        <f t="shared" si="27"/>
        <v xml:space="preserve">  </v>
      </c>
      <c r="G17" s="23" t="str">
        <f t="shared" si="28"/>
        <v xml:space="preserve">  </v>
      </c>
      <c r="H17" s="23" t="str">
        <f t="shared" si="29"/>
        <v xml:space="preserve">  </v>
      </c>
      <c r="I17" s="23" t="str">
        <f t="shared" si="30"/>
        <v xml:space="preserve">  </v>
      </c>
      <c r="J17" s="4"/>
      <c r="K17" s="37" t="str">
        <f t="shared" si="2"/>
        <v xml:space="preserve"> </v>
      </c>
      <c r="L17" s="23" t="str">
        <f t="shared" si="31"/>
        <v xml:space="preserve">  </v>
      </c>
      <c r="M17" s="38" t="str">
        <f t="shared" si="3"/>
        <v xml:space="preserve"> </v>
      </c>
      <c r="N17" s="27" t="str">
        <f t="shared" si="32"/>
        <v xml:space="preserve">  </v>
      </c>
      <c r="O17" s="23" t="str">
        <f t="shared" si="33"/>
        <v xml:space="preserve">  </v>
      </c>
      <c r="P17" s="4"/>
      <c r="Q17" s="50" t="s">
        <v>50</v>
      </c>
      <c r="R17" s="48" t="s">
        <v>51</v>
      </c>
      <c r="S17" t="str">
        <f>IF(Tools!$L$49="Use 141 rule only",I41,IF(Tools!$L$49="Use 141 and 1331 rules",BG18," "))</f>
        <v xml:space="preserve">  </v>
      </c>
      <c r="W17" s="29">
        <f>IF(AO17="  ","  ",IF(AND(AO16="  ",AO18="  "),"?",IF(AO16="  ",2*(AO18-AO17),IF(AO18="  ",2*(AO17-AO16),2*(AO18-AO16)))))</f>
        <v>4</v>
      </c>
      <c r="X17" s="30" t="str">
        <f t="shared" si="4"/>
        <v>WW</v>
      </c>
      <c r="Y17" s="30" t="str">
        <f t="shared" si="5"/>
        <v>-</v>
      </c>
      <c r="Z17" s="29" t="b">
        <f t="shared" si="6"/>
        <v>0</v>
      </c>
      <c r="AA17" s="29" t="b">
        <f t="shared" si="7"/>
        <v>0</v>
      </c>
      <c r="AB17" s="29" t="str">
        <f t="shared" ca="1" si="8"/>
        <v>++</v>
      </c>
      <c r="AC17" s="29">
        <f t="shared" si="34"/>
        <v>12</v>
      </c>
      <c r="AD17" s="29">
        <f t="shared" ca="1" si="9"/>
        <v>12</v>
      </c>
      <c r="AE17" s="29">
        <v>14</v>
      </c>
      <c r="AF17" s="31">
        <f t="shared" si="42"/>
        <v>10</v>
      </c>
      <c r="AG17" s="29" t="b">
        <f t="shared" si="11"/>
        <v>1</v>
      </c>
      <c r="AH17" s="30" t="str">
        <f t="shared" ca="1" si="43"/>
        <v>141-4</v>
      </c>
      <c r="AI17" s="30" t="str">
        <f t="shared" ca="1" si="13"/>
        <v/>
      </c>
      <c r="AJ17" s="29">
        <f t="shared" ca="1" si="14"/>
        <v>0</v>
      </c>
      <c r="AK17" s="29" t="str">
        <f t="shared" ca="1" si="15"/>
        <v>4/3</v>
      </c>
      <c r="AL17" s="29">
        <f t="shared" ca="1" si="16"/>
        <v>1.3333333333333333</v>
      </c>
      <c r="AM17" s="32">
        <f t="shared" ca="1" si="35"/>
        <v>1.3333333333333333</v>
      </c>
      <c r="AO17" s="20">
        <f>Tools!$AD16</f>
        <v>11</v>
      </c>
      <c r="AP17" s="33" t="str">
        <f t="shared" si="36"/>
        <v xml:space="preserve">  </v>
      </c>
      <c r="AQ17" s="34" t="str">
        <f t="shared" ca="1" si="18"/>
        <v>4/3</v>
      </c>
      <c r="AR17" s="23" t="str">
        <f t="shared" ca="1" si="19"/>
        <v xml:space="preserve">  </v>
      </c>
      <c r="AS17" s="24">
        <f t="shared" si="20"/>
        <v>1</v>
      </c>
      <c r="AT17" s="23" t="str">
        <f t="shared" ca="1" si="37"/>
        <v xml:space="preserve">  </v>
      </c>
      <c r="AU17" s="23" t="str">
        <f t="shared" ca="1" si="40"/>
        <v xml:space="preserve">  </v>
      </c>
      <c r="AV17" s="23" t="str">
        <f t="shared" si="21"/>
        <v xml:space="preserve">  </v>
      </c>
      <c r="AW17" s="23" t="str">
        <f t="shared" ca="1" si="22"/>
        <v xml:space="preserve">  </v>
      </c>
      <c r="AY17" s="35" t="str">
        <f t="shared" si="23"/>
        <v xml:space="preserve"> </v>
      </c>
      <c r="AZ17" s="23" t="str">
        <f t="shared" ca="1" si="41"/>
        <v xml:space="preserve">  </v>
      </c>
      <c r="BA17" s="36" t="str">
        <f t="shared" si="25"/>
        <v xml:space="preserve"> </v>
      </c>
      <c r="BB17" s="27" t="str">
        <f t="shared" ca="1" si="38"/>
        <v xml:space="preserve">  </v>
      </c>
      <c r="BC17" s="23" t="str">
        <f t="shared" ca="1" si="39"/>
        <v xml:space="preserve">  </v>
      </c>
      <c r="BE17" s="50" t="s">
        <v>47</v>
      </c>
      <c r="BF17" s="48" t="s">
        <v>48</v>
      </c>
      <c r="BG17" s="49" t="str">
        <f>IF(WL_No="  ","  ",IL-AWP*(LCF^2))</f>
        <v xml:space="preserve">  </v>
      </c>
    </row>
    <row r="18" spans="1:59" x14ac:dyDescent="0.25">
      <c r="A18" s="20">
        <f>Tools!$AD17</f>
        <v>12</v>
      </c>
      <c r="B18" s="33" t="str">
        <f t="shared" si="0"/>
        <v xml:space="preserve">  </v>
      </c>
      <c r="C18" s="22">
        <f>IF(A18="  ","  ",IF(AND(A17="  ",A19="  "),"?",IF(A17="  ",1*(A19-A18),IF(A19="  ",1*(A18-A17),1*(A19-A17)))))</f>
        <v>2</v>
      </c>
      <c r="D18" s="23" t="str">
        <f t="shared" si="26"/>
        <v xml:space="preserve">  </v>
      </c>
      <c r="E18" s="24">
        <f t="shared" si="1"/>
        <v>2</v>
      </c>
      <c r="F18" s="23" t="str">
        <f t="shared" si="27"/>
        <v xml:space="preserve">  </v>
      </c>
      <c r="G18" s="23" t="str">
        <f t="shared" si="28"/>
        <v xml:space="preserve">  </v>
      </c>
      <c r="H18" s="23" t="str">
        <f t="shared" si="29"/>
        <v xml:space="preserve">  </v>
      </c>
      <c r="I18" s="23" t="str">
        <f t="shared" si="30"/>
        <v xml:space="preserve">  </v>
      </c>
      <c r="J18" s="4"/>
      <c r="K18" s="37" t="str">
        <f t="shared" si="2"/>
        <v xml:space="preserve"> </v>
      </c>
      <c r="L18" s="23" t="str">
        <f t="shared" si="31"/>
        <v xml:space="preserve">  </v>
      </c>
      <c r="M18" s="38" t="str">
        <f t="shared" si="3"/>
        <v xml:space="preserve"> </v>
      </c>
      <c r="N18" s="27" t="str">
        <f t="shared" si="32"/>
        <v xml:space="preserve">  </v>
      </c>
      <c r="O18" s="23" t="str">
        <f t="shared" si="33"/>
        <v xml:space="preserve">  </v>
      </c>
      <c r="P18" s="4"/>
      <c r="Q18" s="50" t="s">
        <v>52</v>
      </c>
      <c r="R18" s="48" t="s">
        <v>53</v>
      </c>
      <c r="S18" t="str">
        <f>IF(Tools!$L$49="Use 141 rule only",I42,IF(Tools!$L$49="Use 141 and 1331 rules",BG19," "))</f>
        <v xml:space="preserve">  </v>
      </c>
      <c r="W18" s="29">
        <f>IF(AO18="  ","  ",IF(AND(AO17="  ",AO19="  "),"?",IF(AO17="  ",1*(AO19-AO18),IF(AO19="  ",1*(AO18-AO17),1*(AO19-AO17)))))</f>
        <v>2</v>
      </c>
      <c r="X18" s="30" t="str">
        <f t="shared" si="4"/>
        <v>WW</v>
      </c>
      <c r="Y18" s="30" t="str">
        <f t="shared" si="5"/>
        <v>-</v>
      </c>
      <c r="Z18" s="29" t="b">
        <f t="shared" si="6"/>
        <v>0</v>
      </c>
      <c r="AA18" s="29" t="b">
        <f t="shared" si="7"/>
        <v>0</v>
      </c>
      <c r="AB18" s="29" t="str">
        <f t="shared" ca="1" si="8"/>
        <v>++</v>
      </c>
      <c r="AC18" s="29">
        <f t="shared" si="34"/>
        <v>11</v>
      </c>
      <c r="AD18" s="29">
        <f t="shared" ca="1" si="9"/>
        <v>11</v>
      </c>
      <c r="AE18" s="29">
        <v>15</v>
      </c>
      <c r="AF18" s="31">
        <f t="shared" si="42"/>
        <v>11</v>
      </c>
      <c r="AG18" s="29" t="b">
        <f t="shared" si="11"/>
        <v>1</v>
      </c>
      <c r="AH18" s="30" t="str">
        <f t="shared" ca="1" si="43"/>
        <v>141-2</v>
      </c>
      <c r="AI18" s="30" t="str">
        <f t="shared" ca="1" si="13"/>
        <v/>
      </c>
      <c r="AJ18" s="29">
        <f t="shared" ca="1" si="14"/>
        <v>0</v>
      </c>
      <c r="AK18" s="29" t="str">
        <f t="shared" ca="1" si="15"/>
        <v>2/3</v>
      </c>
      <c r="AL18" s="29">
        <f t="shared" ca="1" si="16"/>
        <v>0.66666666666666663</v>
      </c>
      <c r="AM18" s="32">
        <f t="shared" ca="1" si="35"/>
        <v>0.66666666666666663</v>
      </c>
      <c r="AO18" s="20">
        <f>Tools!$AD17</f>
        <v>12</v>
      </c>
      <c r="AP18" s="33" t="str">
        <f t="shared" si="36"/>
        <v xml:space="preserve">  </v>
      </c>
      <c r="AQ18" s="34" t="str">
        <f t="shared" ca="1" si="18"/>
        <v>2/3</v>
      </c>
      <c r="AR18" s="23" t="str">
        <f t="shared" ca="1" si="19"/>
        <v xml:space="preserve">  </v>
      </c>
      <c r="AS18" s="24">
        <f t="shared" si="20"/>
        <v>2</v>
      </c>
      <c r="AT18" s="23" t="str">
        <f t="shared" ca="1" si="37"/>
        <v xml:space="preserve">  </v>
      </c>
      <c r="AU18" s="23" t="str">
        <f t="shared" ca="1" si="40"/>
        <v xml:space="preserve">  </v>
      </c>
      <c r="AV18" s="23" t="str">
        <f t="shared" si="21"/>
        <v xml:space="preserve">  </v>
      </c>
      <c r="AW18" s="23" t="str">
        <f t="shared" ca="1" si="22"/>
        <v xml:space="preserve">  </v>
      </c>
      <c r="AY18" s="35" t="str">
        <f t="shared" si="23"/>
        <v xml:space="preserve"> </v>
      </c>
      <c r="AZ18" s="23" t="str">
        <f t="shared" ca="1" si="41"/>
        <v xml:space="preserve">  </v>
      </c>
      <c r="BA18" s="36" t="str">
        <f t="shared" si="25"/>
        <v xml:space="preserve"> </v>
      </c>
      <c r="BB18" s="27" t="str">
        <f t="shared" ca="1" si="38"/>
        <v xml:space="preserve">  </v>
      </c>
      <c r="BC18" s="23" t="str">
        <f t="shared" ca="1" si="39"/>
        <v xml:space="preserve">  </v>
      </c>
      <c r="BE18" s="50" t="s">
        <v>50</v>
      </c>
      <c r="BF18" s="48" t="s">
        <v>54</v>
      </c>
      <c r="BG18" s="49" t="str">
        <f>IF(WL_No="  ","  ",h*$AZ$29)</f>
        <v xml:space="preserve">  </v>
      </c>
    </row>
    <row r="19" spans="1:59" x14ac:dyDescent="0.25">
      <c r="A19" s="20">
        <f>Tools!$AD18</f>
        <v>13</v>
      </c>
      <c r="B19" s="33" t="str">
        <f t="shared" si="0"/>
        <v xml:space="preserve">  </v>
      </c>
      <c r="C19" s="22">
        <f>IF(A19="  ","  ",IF(AND(A18="  ",A20="  "),"?",IF(A18="  ",2*(A20-A19),IF(A20="  ",2*(A19-A18),2*(A20-A18)))))</f>
        <v>4</v>
      </c>
      <c r="D19" s="23" t="str">
        <f t="shared" si="26"/>
        <v xml:space="preserve">  </v>
      </c>
      <c r="E19" s="24">
        <f t="shared" si="1"/>
        <v>3</v>
      </c>
      <c r="F19" s="23" t="str">
        <f t="shared" si="27"/>
        <v xml:space="preserve">  </v>
      </c>
      <c r="G19" s="23" t="str">
        <f t="shared" si="28"/>
        <v xml:space="preserve">  </v>
      </c>
      <c r="H19" s="23" t="str">
        <f t="shared" si="29"/>
        <v xml:space="preserve">  </v>
      </c>
      <c r="I19" s="23" t="str">
        <f t="shared" si="30"/>
        <v xml:space="preserve">  </v>
      </c>
      <c r="J19" s="4"/>
      <c r="K19" s="37" t="str">
        <f t="shared" si="2"/>
        <v xml:space="preserve"> </v>
      </c>
      <c r="L19" s="23" t="str">
        <f t="shared" si="31"/>
        <v xml:space="preserve">  </v>
      </c>
      <c r="M19" s="38" t="str">
        <f t="shared" si="3"/>
        <v xml:space="preserve"> </v>
      </c>
      <c r="N19" s="27" t="str">
        <f t="shared" si="32"/>
        <v xml:space="preserve">  </v>
      </c>
      <c r="O19" s="23" t="str">
        <f t="shared" si="33"/>
        <v xml:space="preserve">  </v>
      </c>
      <c r="P19" s="4"/>
      <c r="Q19" s="50" t="s">
        <v>55</v>
      </c>
      <c r="R19" s="48" t="s">
        <v>56</v>
      </c>
      <c r="S19" t="str">
        <f>IF(Tools!$L$49="Use 141 rule only",I43,IF(Tools!$L$49="Use 141 and 1331 rules",BG20," "))</f>
        <v xml:space="preserve">  </v>
      </c>
      <c r="W19" s="29">
        <f>IF(AO19="  ","  ",IF(AND(AO18="  ",AO20="  "),"?",IF(AO18="  ",2*(AO20-AO19),IF(AO20="  ",2*(AO19-AO18),2*(AO20-AO18)))))</f>
        <v>4</v>
      </c>
      <c r="X19" s="30" t="str">
        <f t="shared" si="4"/>
        <v>WW</v>
      </c>
      <c r="Y19" s="30" t="str">
        <f t="shared" si="5"/>
        <v>-</v>
      </c>
      <c r="Z19" s="29" t="b">
        <f t="shared" si="6"/>
        <v>0</v>
      </c>
      <c r="AA19" s="29" t="b">
        <f t="shared" si="7"/>
        <v>0</v>
      </c>
      <c r="AB19" s="29" t="str">
        <f t="shared" ca="1" si="8"/>
        <v>++</v>
      </c>
      <c r="AC19" s="29">
        <f t="shared" si="34"/>
        <v>10</v>
      </c>
      <c r="AD19" s="29">
        <f t="shared" ca="1" si="9"/>
        <v>10</v>
      </c>
      <c r="AE19" s="29">
        <v>16</v>
      </c>
      <c r="AF19" s="31">
        <f t="shared" si="42"/>
        <v>12</v>
      </c>
      <c r="AG19" s="29" t="b">
        <f t="shared" si="11"/>
        <v>1</v>
      </c>
      <c r="AH19" s="30" t="str">
        <f t="shared" ca="1" si="43"/>
        <v>141-4</v>
      </c>
      <c r="AI19" s="30" t="str">
        <f t="shared" ca="1" si="13"/>
        <v/>
      </c>
      <c r="AJ19" s="29">
        <f t="shared" ca="1" si="14"/>
        <v>0</v>
      </c>
      <c r="AK19" s="29" t="str">
        <f t="shared" ca="1" si="15"/>
        <v>4/3</v>
      </c>
      <c r="AL19" s="29">
        <f t="shared" ca="1" si="16"/>
        <v>1.3333333333333333</v>
      </c>
      <c r="AM19" s="32">
        <f t="shared" ca="1" si="35"/>
        <v>1.3333333333333333</v>
      </c>
      <c r="AO19" s="20">
        <f>Tools!$AD18</f>
        <v>13</v>
      </c>
      <c r="AP19" s="33" t="str">
        <f t="shared" si="36"/>
        <v xml:space="preserve">  </v>
      </c>
      <c r="AQ19" s="34" t="str">
        <f t="shared" ca="1" si="18"/>
        <v>4/3</v>
      </c>
      <c r="AR19" s="23" t="str">
        <f t="shared" ca="1" si="19"/>
        <v xml:space="preserve">  </v>
      </c>
      <c r="AS19" s="24">
        <f t="shared" si="20"/>
        <v>3</v>
      </c>
      <c r="AT19" s="23" t="str">
        <f t="shared" ca="1" si="37"/>
        <v xml:space="preserve">  </v>
      </c>
      <c r="AU19" s="23" t="str">
        <f t="shared" ca="1" si="40"/>
        <v xml:space="preserve">  </v>
      </c>
      <c r="AV19" s="23" t="str">
        <f t="shared" si="21"/>
        <v xml:space="preserve">  </v>
      </c>
      <c r="AW19" s="23" t="str">
        <f t="shared" ca="1" si="22"/>
        <v xml:space="preserve">  </v>
      </c>
      <c r="AY19" s="35" t="str">
        <f t="shared" si="23"/>
        <v xml:space="preserve"> </v>
      </c>
      <c r="AZ19" s="23" t="str">
        <f t="shared" ca="1" si="41"/>
        <v xml:space="preserve">  </v>
      </c>
      <c r="BA19" s="36" t="str">
        <f t="shared" si="25"/>
        <v xml:space="preserve"> </v>
      </c>
      <c r="BB19" s="27" t="str">
        <f t="shared" ca="1" si="38"/>
        <v xml:space="preserve">  </v>
      </c>
      <c r="BC19" s="23" t="str">
        <f t="shared" ca="1" si="39"/>
        <v xml:space="preserve">  </v>
      </c>
      <c r="BE19" s="50" t="s">
        <v>52</v>
      </c>
      <c r="BF19" s="48" t="s">
        <v>53</v>
      </c>
      <c r="BG19" s="49" t="str">
        <f>IF(WL_No="  ","  ",V_Disp*1.025*1.006)</f>
        <v xml:space="preserve">  </v>
      </c>
    </row>
    <row r="20" spans="1:59" x14ac:dyDescent="0.25">
      <c r="A20" s="20">
        <f>Tools!$AD19</f>
        <v>14</v>
      </c>
      <c r="B20" s="33" t="str">
        <f t="shared" si="0"/>
        <v xml:space="preserve">  </v>
      </c>
      <c r="C20" s="22">
        <f>IF(A20="  ","  ",IF(AND(A19="  ",A21="  "),"?",IF(A19="  ",1*(A21-A20),IF(A21="  ",1*(A20-A19),1*(A21-A19)))))</f>
        <v>2</v>
      </c>
      <c r="D20" s="23" t="str">
        <f t="shared" si="26"/>
        <v xml:space="preserve">  </v>
      </c>
      <c r="E20" s="24">
        <f t="shared" si="1"/>
        <v>4</v>
      </c>
      <c r="F20" s="23" t="str">
        <f t="shared" si="27"/>
        <v xml:space="preserve">  </v>
      </c>
      <c r="G20" s="23" t="str">
        <f t="shared" si="28"/>
        <v xml:space="preserve">  </v>
      </c>
      <c r="H20" s="23" t="str">
        <f t="shared" si="29"/>
        <v xml:space="preserve">  </v>
      </c>
      <c r="I20" s="23" t="str">
        <f t="shared" si="30"/>
        <v xml:space="preserve">  </v>
      </c>
      <c r="J20" s="4"/>
      <c r="K20" s="37" t="str">
        <f t="shared" si="2"/>
        <v xml:space="preserve"> </v>
      </c>
      <c r="L20" s="23" t="str">
        <f t="shared" si="31"/>
        <v xml:space="preserve">  </v>
      </c>
      <c r="M20" s="38" t="str">
        <f t="shared" si="3"/>
        <v xml:space="preserve"> </v>
      </c>
      <c r="N20" s="27" t="str">
        <f t="shared" si="32"/>
        <v xml:space="preserve">  </v>
      </c>
      <c r="O20" s="23" t="str">
        <f t="shared" si="33"/>
        <v xml:space="preserve">  </v>
      </c>
      <c r="P20" s="4"/>
      <c r="Q20" s="50" t="s">
        <v>57</v>
      </c>
      <c r="R20" s="48" t="s">
        <v>58</v>
      </c>
      <c r="S20" t="str">
        <f>IF(Tools!$L$49="Use 141 rule only",I44,IF(Tools!$L$49="Use 141 and 1331 rules",BG21," "))</f>
        <v xml:space="preserve">  </v>
      </c>
      <c r="W20" s="29">
        <f>IF(AO20="  ","  ",IF(AND(AO19="  ",AO21="  "),"?",IF(AO19="  ",1*(AO21-AO20),IF(AO21="  ",1*(AO20-AO19),1*(AO21-AO19)))))</f>
        <v>2</v>
      </c>
      <c r="X20" s="30" t="str">
        <f t="shared" si="4"/>
        <v>WW</v>
      </c>
      <c r="Y20" s="30" t="str">
        <f t="shared" si="5"/>
        <v>-</v>
      </c>
      <c r="Z20" s="29" t="b">
        <f t="shared" si="6"/>
        <v>0</v>
      </c>
      <c r="AA20" s="29" t="b">
        <f t="shared" si="7"/>
        <v>0</v>
      </c>
      <c r="AB20" s="29" t="str">
        <f t="shared" ca="1" si="8"/>
        <v>++</v>
      </c>
      <c r="AC20" s="29">
        <f t="shared" si="34"/>
        <v>9</v>
      </c>
      <c r="AD20" s="29">
        <f t="shared" ca="1" si="9"/>
        <v>9</v>
      </c>
      <c r="AE20" s="29">
        <v>17</v>
      </c>
      <c r="AF20" s="31">
        <f t="shared" si="42"/>
        <v>13</v>
      </c>
      <c r="AG20" s="29" t="b">
        <f t="shared" si="11"/>
        <v>1</v>
      </c>
      <c r="AH20" s="30" t="str">
        <f t="shared" ca="1" si="43"/>
        <v>141-2</v>
      </c>
      <c r="AI20" s="30" t="str">
        <f t="shared" ca="1" si="13"/>
        <v/>
      </c>
      <c r="AJ20" s="29">
        <f t="shared" ca="1" si="14"/>
        <v>0</v>
      </c>
      <c r="AK20" s="29" t="str">
        <f t="shared" ca="1" si="15"/>
        <v>2/3</v>
      </c>
      <c r="AL20" s="29">
        <f t="shared" ca="1" si="16"/>
        <v>0.66666666666666663</v>
      </c>
      <c r="AM20" s="32">
        <f t="shared" ca="1" si="35"/>
        <v>0.66666666666666663</v>
      </c>
      <c r="AO20" s="20">
        <f>Tools!$AD19</f>
        <v>14</v>
      </c>
      <c r="AP20" s="33" t="str">
        <f t="shared" si="36"/>
        <v xml:space="preserve">  </v>
      </c>
      <c r="AQ20" s="34" t="str">
        <f t="shared" ca="1" si="18"/>
        <v>2/3</v>
      </c>
      <c r="AR20" s="23" t="str">
        <f t="shared" ca="1" si="19"/>
        <v xml:space="preserve">  </v>
      </c>
      <c r="AS20" s="24">
        <f t="shared" si="20"/>
        <v>4</v>
      </c>
      <c r="AT20" s="23" t="str">
        <f t="shared" ca="1" si="37"/>
        <v xml:space="preserve">  </v>
      </c>
      <c r="AU20" s="23" t="str">
        <f t="shared" ca="1" si="40"/>
        <v xml:space="preserve">  </v>
      </c>
      <c r="AV20" s="23" t="str">
        <f t="shared" si="21"/>
        <v xml:space="preserve">  </v>
      </c>
      <c r="AW20" s="23" t="str">
        <f t="shared" ca="1" si="22"/>
        <v xml:space="preserve">  </v>
      </c>
      <c r="AY20" s="35" t="str">
        <f t="shared" si="23"/>
        <v xml:space="preserve"> </v>
      </c>
      <c r="AZ20" s="23" t="str">
        <f t="shared" ca="1" si="41"/>
        <v xml:space="preserve">  </v>
      </c>
      <c r="BA20" s="36" t="str">
        <f t="shared" si="25"/>
        <v xml:space="preserve"> </v>
      </c>
      <c r="BB20" s="27" t="str">
        <f t="shared" ca="1" si="38"/>
        <v xml:space="preserve">  </v>
      </c>
      <c r="BC20" s="23" t="str">
        <f t="shared" ca="1" si="39"/>
        <v xml:space="preserve">  </v>
      </c>
      <c r="BE20" s="50" t="s">
        <v>55</v>
      </c>
      <c r="BF20" s="48" t="s">
        <v>59</v>
      </c>
      <c r="BG20" s="49" t="str">
        <f>IF(WL_No="  ","  ",h*$BB$29)</f>
        <v xml:space="preserve">  </v>
      </c>
    </row>
    <row r="21" spans="1:59" x14ac:dyDescent="0.25">
      <c r="A21" s="20">
        <f>Tools!$AD20</f>
        <v>15</v>
      </c>
      <c r="B21" s="33" t="str">
        <f t="shared" si="0"/>
        <v xml:space="preserve">  </v>
      </c>
      <c r="C21" s="22">
        <f>IF(A21="  ","  ",IF(AND(A20="  ",A22="  "),"?",IF(A20="  ",2*(A22-A21),IF(A22="  ",2*(A21-A20),2*(A22-A20)))))</f>
        <v>4</v>
      </c>
      <c r="D21" s="23" t="str">
        <f t="shared" si="26"/>
        <v xml:space="preserve">  </v>
      </c>
      <c r="E21" s="24">
        <f t="shared" si="1"/>
        <v>5</v>
      </c>
      <c r="F21" s="23" t="str">
        <f t="shared" si="27"/>
        <v xml:space="preserve">  </v>
      </c>
      <c r="G21" s="23" t="str">
        <f t="shared" si="28"/>
        <v xml:space="preserve">  </v>
      </c>
      <c r="H21" s="23" t="str">
        <f t="shared" si="29"/>
        <v xml:space="preserve">  </v>
      </c>
      <c r="I21" s="23" t="str">
        <f t="shared" si="30"/>
        <v xml:space="preserve">  </v>
      </c>
      <c r="J21" s="4"/>
      <c r="K21" s="37" t="str">
        <f t="shared" si="2"/>
        <v xml:space="preserve"> </v>
      </c>
      <c r="L21" s="23" t="str">
        <f t="shared" si="31"/>
        <v xml:space="preserve">  </v>
      </c>
      <c r="M21" s="38" t="str">
        <f t="shared" si="3"/>
        <v xml:space="preserve"> </v>
      </c>
      <c r="N21" s="27" t="str">
        <f t="shared" si="32"/>
        <v xml:space="preserve">  </v>
      </c>
      <c r="O21" s="23" t="str">
        <f t="shared" si="33"/>
        <v xml:space="preserve">  </v>
      </c>
      <c r="P21" s="4"/>
      <c r="Q21" s="50" t="s">
        <v>60</v>
      </c>
      <c r="R21" s="48" t="s">
        <v>61</v>
      </c>
      <c r="S21" t="str">
        <f>IF(Tools!$L$49="Use 141 rule only",I45,IF(Tools!$L$49="Use 141 and 1331 rules",BG22," "))</f>
        <v xml:space="preserve">  </v>
      </c>
      <c r="W21" s="29">
        <f>IF(AO21="  ","  ",IF(AND(AO20="  ",AO22="  "),"?",IF(AO20="  ",2*(AO22-AO21),IF(AO22="  ",2*(AO21-AO20),2*(AO22-AO20)))))</f>
        <v>4</v>
      </c>
      <c r="X21" s="30" t="str">
        <f t="shared" si="4"/>
        <v>WW</v>
      </c>
      <c r="Y21" s="30" t="str">
        <f t="shared" si="5"/>
        <v>-</v>
      </c>
      <c r="Z21" s="29" t="b">
        <f t="shared" si="6"/>
        <v>0</v>
      </c>
      <c r="AA21" s="29" t="b">
        <f t="shared" si="7"/>
        <v>0</v>
      </c>
      <c r="AB21" s="29" t="str">
        <f t="shared" ca="1" si="8"/>
        <v>++</v>
      </c>
      <c r="AC21" s="29">
        <f t="shared" si="34"/>
        <v>8</v>
      </c>
      <c r="AD21" s="29">
        <f t="shared" ca="1" si="9"/>
        <v>8</v>
      </c>
      <c r="AE21" s="29">
        <v>18</v>
      </c>
      <c r="AF21" s="31">
        <f t="shared" si="42"/>
        <v>14</v>
      </c>
      <c r="AG21" s="29" t="b">
        <f t="shared" si="11"/>
        <v>1</v>
      </c>
      <c r="AH21" s="30" t="str">
        <f t="shared" ca="1" si="43"/>
        <v>141-4</v>
      </c>
      <c r="AI21" s="30" t="str">
        <f t="shared" ca="1" si="13"/>
        <v/>
      </c>
      <c r="AJ21" s="29">
        <f t="shared" ca="1" si="14"/>
        <v>0</v>
      </c>
      <c r="AK21" s="29" t="str">
        <f t="shared" ca="1" si="15"/>
        <v>4/3</v>
      </c>
      <c r="AL21" s="29">
        <f t="shared" ca="1" si="16"/>
        <v>1.3333333333333333</v>
      </c>
      <c r="AM21" s="32">
        <f t="shared" ca="1" si="35"/>
        <v>1.3333333333333333</v>
      </c>
      <c r="AO21" s="20">
        <f>Tools!$AD20</f>
        <v>15</v>
      </c>
      <c r="AP21" s="33" t="str">
        <f t="shared" si="36"/>
        <v xml:space="preserve">  </v>
      </c>
      <c r="AQ21" s="34" t="str">
        <f t="shared" ca="1" si="18"/>
        <v>4/3</v>
      </c>
      <c r="AR21" s="23" t="str">
        <f t="shared" ca="1" si="19"/>
        <v xml:space="preserve">  </v>
      </c>
      <c r="AS21" s="24">
        <f t="shared" si="20"/>
        <v>5</v>
      </c>
      <c r="AT21" s="23" t="str">
        <f t="shared" ca="1" si="37"/>
        <v xml:space="preserve">  </v>
      </c>
      <c r="AU21" s="23" t="str">
        <f t="shared" ca="1" si="40"/>
        <v xml:space="preserve">  </v>
      </c>
      <c r="AV21" s="23" t="str">
        <f t="shared" si="21"/>
        <v xml:space="preserve">  </v>
      </c>
      <c r="AW21" s="23" t="str">
        <f t="shared" ca="1" si="22"/>
        <v xml:space="preserve">  </v>
      </c>
      <c r="AY21" s="35" t="str">
        <f t="shared" si="23"/>
        <v xml:space="preserve"> </v>
      </c>
      <c r="AZ21" s="23" t="str">
        <f t="shared" ca="1" si="41"/>
        <v xml:space="preserve">  </v>
      </c>
      <c r="BA21" s="36" t="str">
        <f t="shared" si="25"/>
        <v xml:space="preserve"> </v>
      </c>
      <c r="BB21" s="27" t="str">
        <f t="shared" ca="1" si="38"/>
        <v xml:space="preserve">  </v>
      </c>
      <c r="BC21" s="23" t="str">
        <f t="shared" ca="1" si="39"/>
        <v xml:space="preserve">  </v>
      </c>
      <c r="BE21" s="50" t="s">
        <v>57</v>
      </c>
      <c r="BF21" s="48" t="s">
        <v>62</v>
      </c>
      <c r="BG21" s="49" t="str">
        <f>IF(WL_No="  ","  ",(h^2)*$BC$29)</f>
        <v xml:space="preserve">  </v>
      </c>
    </row>
    <row r="22" spans="1:59" x14ac:dyDescent="0.25">
      <c r="A22" s="20">
        <f>Tools!$AD21</f>
        <v>16</v>
      </c>
      <c r="B22" s="33" t="str">
        <f t="shared" si="0"/>
        <v xml:space="preserve">  </v>
      </c>
      <c r="C22" s="22">
        <f>IF(A22="  ","  ",IF(AND(A21="  ",A23="  "),"?",IF(A21="  ",1*(A23-A22),IF(A23="  ",1*(A22-A21),1*(A23-A21)))))</f>
        <v>2</v>
      </c>
      <c r="D22" s="23" t="str">
        <f t="shared" si="26"/>
        <v xml:space="preserve">  </v>
      </c>
      <c r="E22" s="24">
        <f t="shared" si="1"/>
        <v>6</v>
      </c>
      <c r="F22" s="23" t="str">
        <f t="shared" si="27"/>
        <v xml:space="preserve">  </v>
      </c>
      <c r="G22" s="23" t="str">
        <f t="shared" si="28"/>
        <v xml:space="preserve">  </v>
      </c>
      <c r="H22" s="23" t="str">
        <f t="shared" si="29"/>
        <v xml:space="preserve">  </v>
      </c>
      <c r="I22" s="23" t="str">
        <f t="shared" si="30"/>
        <v xml:space="preserve">  </v>
      </c>
      <c r="J22" s="4"/>
      <c r="K22" s="37" t="str">
        <f t="shared" si="2"/>
        <v xml:space="preserve"> </v>
      </c>
      <c r="L22" s="23" t="str">
        <f t="shared" si="31"/>
        <v xml:space="preserve">  </v>
      </c>
      <c r="M22" s="38" t="str">
        <f t="shared" si="3"/>
        <v xml:space="preserve"> </v>
      </c>
      <c r="N22" s="27" t="str">
        <f t="shared" si="32"/>
        <v xml:space="preserve">  </v>
      </c>
      <c r="O22" s="23" t="str">
        <f t="shared" si="33"/>
        <v xml:space="preserve">  </v>
      </c>
      <c r="P22" s="4"/>
      <c r="Q22" s="50" t="s">
        <v>63</v>
      </c>
      <c r="R22" s="48" t="s">
        <v>64</v>
      </c>
      <c r="S22" t="str">
        <f>IF(Tools!$L$49="Use 141 rule only",I46,IF(Tools!$L$49="Use 141 and 1331 rules",BG23," "))</f>
        <v xml:space="preserve">  </v>
      </c>
      <c r="W22" s="29">
        <f>IF(AO22="  ","  ",IF(AND(AO21="  ",AO23="  "),"?",IF(AO21="  ",1*(AO23-AO22),IF(AO23="  ",1*(AO22-AO21),1*(AO23-AO21)))))</f>
        <v>2</v>
      </c>
      <c r="X22" s="30" t="str">
        <f t="shared" si="4"/>
        <v>WW</v>
      </c>
      <c r="Y22" s="30" t="str">
        <f t="shared" si="5"/>
        <v>-</v>
      </c>
      <c r="Z22" s="29" t="b">
        <f t="shared" si="6"/>
        <v>0</v>
      </c>
      <c r="AA22" s="29" t="b">
        <f t="shared" si="7"/>
        <v>0</v>
      </c>
      <c r="AB22" s="29" t="str">
        <f t="shared" ca="1" si="8"/>
        <v>++</v>
      </c>
      <c r="AC22" s="29">
        <f t="shared" si="34"/>
        <v>7</v>
      </c>
      <c r="AD22" s="29">
        <f t="shared" ca="1" si="9"/>
        <v>7</v>
      </c>
      <c r="AE22" s="29">
        <v>19</v>
      </c>
      <c r="AF22" s="31">
        <f t="shared" si="42"/>
        <v>15</v>
      </c>
      <c r="AG22" s="29" t="b">
        <f t="shared" si="11"/>
        <v>1</v>
      </c>
      <c r="AH22" s="30" t="str">
        <f t="shared" ca="1" si="43"/>
        <v>141-2</v>
      </c>
      <c r="AI22" s="30" t="str">
        <f t="shared" ca="1" si="13"/>
        <v/>
      </c>
      <c r="AJ22" s="29">
        <f t="shared" ca="1" si="14"/>
        <v>0</v>
      </c>
      <c r="AK22" s="29" t="str">
        <f t="shared" ca="1" si="15"/>
        <v>2/3</v>
      </c>
      <c r="AL22" s="29">
        <f t="shared" ca="1" si="16"/>
        <v>0.66666666666666663</v>
      </c>
      <c r="AM22" s="32">
        <f t="shared" ca="1" si="35"/>
        <v>0.66666666666666663</v>
      </c>
      <c r="AO22" s="20">
        <f>Tools!$AD21</f>
        <v>16</v>
      </c>
      <c r="AP22" s="33" t="str">
        <f t="shared" si="36"/>
        <v xml:space="preserve">  </v>
      </c>
      <c r="AQ22" s="34" t="str">
        <f t="shared" ca="1" si="18"/>
        <v>2/3</v>
      </c>
      <c r="AR22" s="23" t="str">
        <f t="shared" ca="1" si="19"/>
        <v xml:space="preserve">  </v>
      </c>
      <c r="AS22" s="24">
        <f t="shared" si="20"/>
        <v>6</v>
      </c>
      <c r="AT22" s="23" t="str">
        <f t="shared" ca="1" si="37"/>
        <v xml:space="preserve">  </v>
      </c>
      <c r="AU22" s="23" t="str">
        <f t="shared" ca="1" si="40"/>
        <v xml:space="preserve">  </v>
      </c>
      <c r="AV22" s="23" t="str">
        <f t="shared" si="21"/>
        <v xml:space="preserve">  </v>
      </c>
      <c r="AW22" s="23" t="str">
        <f t="shared" ca="1" si="22"/>
        <v xml:space="preserve">  </v>
      </c>
      <c r="AY22" s="35" t="str">
        <f t="shared" si="23"/>
        <v xml:space="preserve"> </v>
      </c>
      <c r="AZ22" s="23" t="str">
        <f t="shared" ca="1" si="41"/>
        <v xml:space="preserve">  </v>
      </c>
      <c r="BA22" s="36" t="str">
        <f t="shared" si="25"/>
        <v xml:space="preserve"> </v>
      </c>
      <c r="BB22" s="27" t="str">
        <f t="shared" ca="1" si="38"/>
        <v xml:space="preserve">  </v>
      </c>
      <c r="BC22" s="23" t="str">
        <f t="shared" ca="1" si="39"/>
        <v xml:space="preserve">  </v>
      </c>
      <c r="BE22" s="50" t="s">
        <v>60</v>
      </c>
      <c r="BF22" s="48" t="s">
        <v>61</v>
      </c>
      <c r="BG22" s="49" t="str">
        <f>IF(WL_No="  ","  ",IF/V_Disp)</f>
        <v xml:space="preserve">  </v>
      </c>
    </row>
    <row r="23" spans="1:59" x14ac:dyDescent="0.25">
      <c r="A23" s="20">
        <f>Tools!$AD22</f>
        <v>17</v>
      </c>
      <c r="B23" s="33" t="str">
        <f t="shared" si="0"/>
        <v xml:space="preserve">  </v>
      </c>
      <c r="C23" s="22">
        <f>IF(A23="  ","  ",IF(AND(A22="  ",A24="  "),"?",IF(A22="  ",2*(A24-A23),IF(A24="  ",2*(A23-A22),2*(A24-A22)))))</f>
        <v>4</v>
      </c>
      <c r="D23" s="23" t="str">
        <f t="shared" si="26"/>
        <v xml:space="preserve">  </v>
      </c>
      <c r="E23" s="24">
        <f t="shared" si="1"/>
        <v>7</v>
      </c>
      <c r="F23" s="23" t="str">
        <f t="shared" si="27"/>
        <v xml:space="preserve">  </v>
      </c>
      <c r="G23" s="23" t="str">
        <f t="shared" si="28"/>
        <v xml:space="preserve">  </v>
      </c>
      <c r="H23" s="23" t="str">
        <f t="shared" si="29"/>
        <v xml:space="preserve">  </v>
      </c>
      <c r="I23" s="23" t="str">
        <f t="shared" si="30"/>
        <v xml:space="preserve">  </v>
      </c>
      <c r="J23" s="4"/>
      <c r="K23" s="37" t="str">
        <f t="shared" si="2"/>
        <v xml:space="preserve"> </v>
      </c>
      <c r="L23" s="23" t="str">
        <f t="shared" si="31"/>
        <v xml:space="preserve">  </v>
      </c>
      <c r="M23" s="38" t="str">
        <f t="shared" si="3"/>
        <v xml:space="preserve"> </v>
      </c>
      <c r="N23" s="27" t="str">
        <f t="shared" si="32"/>
        <v xml:space="preserve">  </v>
      </c>
      <c r="O23" s="23" t="str">
        <f t="shared" si="33"/>
        <v xml:space="preserve">  </v>
      </c>
      <c r="P23" s="4"/>
      <c r="Q23" s="50" t="s">
        <v>65</v>
      </c>
      <c r="R23" s="48" t="s">
        <v>66</v>
      </c>
      <c r="S23" t="str">
        <f>IF(Tools!$L$49="Use 141 rule only",I47,IF(Tools!$L$49="Use 141 and 1331 rules",BG24," "))</f>
        <v xml:space="preserve">  </v>
      </c>
      <c r="W23" s="29">
        <f>IF(AO23="  ","  ",IF(AND(AO22="  ",AO24="  "),"?",IF(AO22="  ",2*(AO24-AO23),IF(AO24="  ",2*(AO23-AO22),2*(AO24-AO22)))))</f>
        <v>4</v>
      </c>
      <c r="X23" s="30" t="str">
        <f t="shared" si="4"/>
        <v>WW</v>
      </c>
      <c r="Y23" s="30" t="str">
        <f t="shared" si="5"/>
        <v>-</v>
      </c>
      <c r="Z23" s="29" t="b">
        <f t="shared" si="6"/>
        <v>0</v>
      </c>
      <c r="AA23" s="29" t="b">
        <f t="shared" si="7"/>
        <v>0</v>
      </c>
      <c r="AB23" s="29" t="str">
        <f t="shared" ca="1" si="8"/>
        <v>++</v>
      </c>
      <c r="AC23" s="29">
        <f t="shared" si="34"/>
        <v>6</v>
      </c>
      <c r="AD23" s="29">
        <f t="shared" ca="1" si="9"/>
        <v>6</v>
      </c>
      <c r="AE23" s="29">
        <v>20</v>
      </c>
      <c r="AF23" s="31">
        <f t="shared" si="42"/>
        <v>16</v>
      </c>
      <c r="AG23" s="29" t="b">
        <f t="shared" si="11"/>
        <v>1</v>
      </c>
      <c r="AH23" s="30" t="str">
        <f t="shared" ca="1" si="43"/>
        <v>141-4</v>
      </c>
      <c r="AI23" s="30" t="str">
        <f t="shared" ca="1" si="13"/>
        <v/>
      </c>
      <c r="AJ23" s="29">
        <f t="shared" ca="1" si="14"/>
        <v>0</v>
      </c>
      <c r="AK23" s="29" t="str">
        <f t="shared" ca="1" si="15"/>
        <v>4/3</v>
      </c>
      <c r="AL23" s="29">
        <f t="shared" ca="1" si="16"/>
        <v>1.3333333333333333</v>
      </c>
      <c r="AM23" s="32">
        <f t="shared" ca="1" si="35"/>
        <v>1.3333333333333333</v>
      </c>
      <c r="AO23" s="20">
        <f>Tools!$AD22</f>
        <v>17</v>
      </c>
      <c r="AP23" s="33" t="str">
        <f t="shared" si="36"/>
        <v xml:space="preserve">  </v>
      </c>
      <c r="AQ23" s="34" t="str">
        <f t="shared" ca="1" si="18"/>
        <v>4/3</v>
      </c>
      <c r="AR23" s="23" t="str">
        <f t="shared" ca="1" si="19"/>
        <v xml:space="preserve">  </v>
      </c>
      <c r="AS23" s="24">
        <f t="shared" si="20"/>
        <v>7</v>
      </c>
      <c r="AT23" s="23" t="str">
        <f t="shared" ca="1" si="37"/>
        <v xml:space="preserve">  </v>
      </c>
      <c r="AU23" s="23" t="str">
        <f t="shared" ca="1" si="40"/>
        <v xml:space="preserve">  </v>
      </c>
      <c r="AV23" s="23" t="str">
        <f t="shared" si="21"/>
        <v xml:space="preserve">  </v>
      </c>
      <c r="AW23" s="23" t="str">
        <f t="shared" ca="1" si="22"/>
        <v xml:space="preserve">  </v>
      </c>
      <c r="AY23" s="35" t="str">
        <f t="shared" si="23"/>
        <v xml:space="preserve"> </v>
      </c>
      <c r="AZ23" s="23" t="str">
        <f t="shared" ca="1" si="41"/>
        <v xml:space="preserve">  </v>
      </c>
      <c r="BA23" s="36" t="str">
        <f t="shared" si="25"/>
        <v xml:space="preserve"> </v>
      </c>
      <c r="BB23" s="27" t="str">
        <f t="shared" ca="1" si="38"/>
        <v xml:space="preserve">  </v>
      </c>
      <c r="BC23" s="23" t="str">
        <f t="shared" ca="1" si="39"/>
        <v xml:space="preserve">  </v>
      </c>
      <c r="BE23" s="50" t="s">
        <v>63</v>
      </c>
      <c r="BF23" s="48" t="s">
        <v>64</v>
      </c>
      <c r="BG23" s="49" t="str">
        <f>IF(WL_No="  ","  ",IT/V_Disp)</f>
        <v xml:space="preserve">  </v>
      </c>
    </row>
    <row r="24" spans="1:59" x14ac:dyDescent="0.25">
      <c r="A24" s="20">
        <f>Tools!$AD23</f>
        <v>18</v>
      </c>
      <c r="B24" s="33" t="str">
        <f t="shared" si="0"/>
        <v xml:space="preserve">  </v>
      </c>
      <c r="C24" s="22">
        <f>IF(A24="  ","  ",IF(AND(A23="  ",A25="  "),"?",IF(A23="  ",1*(A25-A24),IF(A25="  ",1*(A24-A23),1*(A25-A23)))))</f>
        <v>1.5</v>
      </c>
      <c r="D24" s="23" t="str">
        <f t="shared" si="26"/>
        <v xml:space="preserve">  </v>
      </c>
      <c r="E24" s="24">
        <f t="shared" si="1"/>
        <v>8</v>
      </c>
      <c r="F24" s="23" t="str">
        <f t="shared" si="27"/>
        <v xml:space="preserve">  </v>
      </c>
      <c r="G24" s="23" t="str">
        <f t="shared" si="28"/>
        <v xml:space="preserve">  </v>
      </c>
      <c r="H24" s="23" t="str">
        <f t="shared" si="29"/>
        <v xml:space="preserve">  </v>
      </c>
      <c r="I24" s="23" t="str">
        <f t="shared" si="30"/>
        <v xml:space="preserve">  </v>
      </c>
      <c r="J24" s="4"/>
      <c r="K24" s="37" t="str">
        <f t="shared" si="2"/>
        <v xml:space="preserve"> </v>
      </c>
      <c r="L24" s="23" t="str">
        <f t="shared" si="31"/>
        <v xml:space="preserve">  </v>
      </c>
      <c r="M24" s="38" t="str">
        <f t="shared" si="3"/>
        <v xml:space="preserve"> </v>
      </c>
      <c r="N24" s="27" t="str">
        <f t="shared" si="32"/>
        <v xml:space="preserve">  </v>
      </c>
      <c r="O24" s="23" t="str">
        <f t="shared" si="33"/>
        <v xml:space="preserve">  </v>
      </c>
      <c r="P24" s="4"/>
      <c r="Q24" s="50" t="s">
        <v>67</v>
      </c>
      <c r="R24" s="48" t="s">
        <v>68</v>
      </c>
      <c r="S24" t="str">
        <f>IF(Tools!$L$49="Use 141 rule only",I48,IF(Tools!$L$49="Use 141 and 1331 rules",BG25," "))</f>
        <v xml:space="preserve">  </v>
      </c>
      <c r="W24" s="29">
        <f>IF(AO24="  ","  ",IF(AND(AO23="  ",AO25="  "),"?",IF(AO23="  ",1*(AO25-AO24),IF(AO25="  ",1*(AO24-AO23),1*(AO25-AO23)))))</f>
        <v>1.5</v>
      </c>
      <c r="X24" s="30" t="str">
        <f t="shared" si="4"/>
        <v>WD</v>
      </c>
      <c r="Y24" s="30" t="str">
        <f t="shared" si="5"/>
        <v>-</v>
      </c>
      <c r="Z24" s="29" t="b">
        <f t="shared" si="6"/>
        <v>1</v>
      </c>
      <c r="AA24" s="29" t="b">
        <f t="shared" si="7"/>
        <v>1</v>
      </c>
      <c r="AB24" s="29" t="str">
        <f t="shared" ca="1" si="8"/>
        <v>141-1</v>
      </c>
      <c r="AC24" s="29">
        <f t="shared" si="34"/>
        <v>5</v>
      </c>
      <c r="AD24" s="29">
        <f t="shared" ca="1" si="9"/>
        <v>5</v>
      </c>
      <c r="AE24" s="29">
        <v>21</v>
      </c>
      <c r="AF24" s="31">
        <f t="shared" si="42"/>
        <v>17</v>
      </c>
      <c r="AG24" s="29" t="b">
        <f t="shared" si="11"/>
        <v>1</v>
      </c>
      <c r="AH24" s="30" t="str">
        <f t="shared" ca="1" si="43"/>
        <v>141-1</v>
      </c>
      <c r="AI24" s="30" t="str">
        <f t="shared" ca="1" si="13"/>
        <v>(1/2)*(1/3)</v>
      </c>
      <c r="AJ24" s="29">
        <f t="shared" ca="1" si="14"/>
        <v>0.16666666666666666</v>
      </c>
      <c r="AK24" s="29" t="str">
        <f t="shared" ca="1" si="15"/>
        <v>1/3</v>
      </c>
      <c r="AL24" s="29">
        <f t="shared" ca="1" si="16"/>
        <v>0.33333333333333331</v>
      </c>
      <c r="AM24" s="32">
        <f t="shared" ca="1" si="35"/>
        <v>0.5</v>
      </c>
      <c r="AO24" s="20">
        <f>Tools!$AD23</f>
        <v>18</v>
      </c>
      <c r="AP24" s="33" t="str">
        <f t="shared" si="36"/>
        <v xml:space="preserve">  </v>
      </c>
      <c r="AQ24" s="34" t="str">
        <f t="shared" ca="1" si="18"/>
        <v>(1/2)*(1/3)+1/3</v>
      </c>
      <c r="AR24" s="23" t="str">
        <f t="shared" ca="1" si="19"/>
        <v xml:space="preserve">  </v>
      </c>
      <c r="AS24" s="24">
        <f t="shared" si="20"/>
        <v>8</v>
      </c>
      <c r="AT24" s="23" t="str">
        <f t="shared" ca="1" si="37"/>
        <v xml:space="preserve">  </v>
      </c>
      <c r="AU24" s="23" t="str">
        <f t="shared" ca="1" si="40"/>
        <v xml:space="preserve">  </v>
      </c>
      <c r="AV24" s="23" t="str">
        <f t="shared" si="21"/>
        <v xml:space="preserve">  </v>
      </c>
      <c r="AW24" s="23" t="str">
        <f t="shared" ca="1" si="22"/>
        <v xml:space="preserve">  </v>
      </c>
      <c r="AY24" s="35" t="str">
        <f t="shared" si="23"/>
        <v xml:space="preserve"> </v>
      </c>
      <c r="AZ24" s="23" t="str">
        <f t="shared" ca="1" si="41"/>
        <v xml:space="preserve">  </v>
      </c>
      <c r="BA24" s="36" t="str">
        <f t="shared" si="25"/>
        <v xml:space="preserve"> </v>
      </c>
      <c r="BB24" s="27" t="str">
        <f t="shared" ca="1" si="38"/>
        <v xml:space="preserve">  </v>
      </c>
      <c r="BC24" s="23" t="str">
        <f t="shared" ca="1" si="39"/>
        <v xml:space="preserve">  </v>
      </c>
      <c r="BE24" s="50" t="s">
        <v>65</v>
      </c>
      <c r="BF24" s="48" t="s">
        <v>66</v>
      </c>
      <c r="BG24" s="49" t="str">
        <f>IF(WL_No="  ","  ",MT/V_Disp)</f>
        <v xml:space="preserve">  </v>
      </c>
    </row>
    <row r="25" spans="1:59" x14ac:dyDescent="0.25">
      <c r="A25" s="20">
        <f>Tools!$AD24</f>
        <v>18.5</v>
      </c>
      <c r="B25" s="33" t="str">
        <f t="shared" si="0"/>
        <v xml:space="preserve">  </v>
      </c>
      <c r="C25" s="22">
        <f>IF(A25="  ","  ",IF(AND(A24="  ",A26="  "),"?",IF(A24="  ",2*(A26-A25),IF(A26="  ",2*(A25-A24),2*(A26-A24)))))</f>
        <v>2</v>
      </c>
      <c r="D25" s="23" t="str">
        <f t="shared" si="26"/>
        <v xml:space="preserve">  </v>
      </c>
      <c r="E25" s="24">
        <f t="shared" si="1"/>
        <v>8.5</v>
      </c>
      <c r="F25" s="23" t="str">
        <f t="shared" si="27"/>
        <v xml:space="preserve">  </v>
      </c>
      <c r="G25" s="23" t="str">
        <f t="shared" si="28"/>
        <v xml:space="preserve">  </v>
      </c>
      <c r="H25" s="23" t="str">
        <f t="shared" si="29"/>
        <v xml:space="preserve">  </v>
      </c>
      <c r="I25" s="23" t="str">
        <f t="shared" si="30"/>
        <v xml:space="preserve">  </v>
      </c>
      <c r="J25" s="4"/>
      <c r="K25" s="37" t="str">
        <f t="shared" si="2"/>
        <v xml:space="preserve"> </v>
      </c>
      <c r="L25" s="23" t="str">
        <f t="shared" si="31"/>
        <v xml:space="preserve">  </v>
      </c>
      <c r="M25" s="38" t="str">
        <f t="shared" si="3"/>
        <v xml:space="preserve"> </v>
      </c>
      <c r="N25" s="27" t="str">
        <f t="shared" si="32"/>
        <v xml:space="preserve">  </v>
      </c>
      <c r="O25" s="23" t="str">
        <f t="shared" si="33"/>
        <v xml:space="preserve">  </v>
      </c>
      <c r="P25" s="4"/>
      <c r="Q25" s="50" t="s">
        <v>69</v>
      </c>
      <c r="R25" s="48" t="s">
        <v>70</v>
      </c>
      <c r="S25" t="str">
        <f>IF(Tools!$L$49="Use 141 rule only",I49,IF(Tools!$L$49="Use 141 and 1331 rules",BG26," "))</f>
        <v xml:space="preserve">  </v>
      </c>
      <c r="W25" s="29">
        <f>IF(AO25="  ","  ",IF(AND(AO24="  ",AO26="  "),"?",IF(AO24="  ",2*(AO26-AO25),IF(AO26="  ",2*(AO25-AO24),2*(AO26-AO24)))))</f>
        <v>2</v>
      </c>
      <c r="X25" s="30" t="str">
        <f t="shared" si="4"/>
        <v>DD</v>
      </c>
      <c r="Y25" s="30" t="str">
        <f t="shared" si="5"/>
        <v>-</v>
      </c>
      <c r="Z25" s="29" t="b">
        <f t="shared" si="6"/>
        <v>1</v>
      </c>
      <c r="AA25" s="29" t="b">
        <f t="shared" si="7"/>
        <v>1</v>
      </c>
      <c r="AB25" s="29" t="str">
        <f t="shared" ca="1" si="8"/>
        <v>141-4</v>
      </c>
      <c r="AC25" s="29">
        <f t="shared" si="34"/>
        <v>4</v>
      </c>
      <c r="AD25" s="29">
        <f t="shared" ca="1" si="9"/>
        <v>4</v>
      </c>
      <c r="AE25" s="29">
        <v>22</v>
      </c>
      <c r="AF25" s="31">
        <f t="shared" si="42"/>
        <v>18</v>
      </c>
      <c r="AG25" s="29" t="b">
        <f t="shared" si="11"/>
        <v>0</v>
      </c>
      <c r="AH25" s="30" t="str">
        <f t="shared" si="43"/>
        <v>-</v>
      </c>
      <c r="AI25" s="30" t="str">
        <f t="shared" ca="1" si="13"/>
        <v>(1/2)*(4/3)</v>
      </c>
      <c r="AJ25" s="29">
        <f t="shared" ca="1" si="14"/>
        <v>0.66666666666666663</v>
      </c>
      <c r="AK25" s="29" t="str">
        <f t="shared" si="15"/>
        <v/>
      </c>
      <c r="AL25" s="29">
        <f t="shared" si="16"/>
        <v>0</v>
      </c>
      <c r="AM25" s="32">
        <f t="shared" ca="1" si="35"/>
        <v>0.66666666666666663</v>
      </c>
      <c r="AO25" s="20">
        <f>Tools!$AD24</f>
        <v>18.5</v>
      </c>
      <c r="AP25" s="33" t="str">
        <f t="shared" si="36"/>
        <v xml:space="preserve">  </v>
      </c>
      <c r="AQ25" s="34" t="str">
        <f t="shared" ca="1" si="18"/>
        <v>(1/2)*(4/3)</v>
      </c>
      <c r="AR25" s="23" t="str">
        <f t="shared" ca="1" si="19"/>
        <v xml:space="preserve">  </v>
      </c>
      <c r="AS25" s="24">
        <f t="shared" si="20"/>
        <v>8.5</v>
      </c>
      <c r="AT25" s="23" t="str">
        <f t="shared" ca="1" si="37"/>
        <v xml:space="preserve">  </v>
      </c>
      <c r="AU25" s="23" t="str">
        <f t="shared" ca="1" si="40"/>
        <v xml:space="preserve">  </v>
      </c>
      <c r="AV25" s="23" t="str">
        <f t="shared" si="21"/>
        <v xml:space="preserve">  </v>
      </c>
      <c r="AW25" s="23" t="str">
        <f t="shared" ca="1" si="22"/>
        <v xml:space="preserve">  </v>
      </c>
      <c r="AY25" s="35" t="str">
        <f t="shared" si="23"/>
        <v xml:space="preserve"> </v>
      </c>
      <c r="AZ25" s="23" t="str">
        <f t="shared" ca="1" si="41"/>
        <v xml:space="preserve">  </v>
      </c>
      <c r="BA25" s="36" t="str">
        <f t="shared" si="25"/>
        <v xml:space="preserve"> </v>
      </c>
      <c r="BB25" s="27" t="str">
        <f t="shared" ca="1" si="38"/>
        <v xml:space="preserve">  </v>
      </c>
      <c r="BC25" s="23" t="str">
        <f t="shared" ca="1" si="39"/>
        <v xml:space="preserve">  </v>
      </c>
      <c r="BE25" s="50" t="s">
        <v>67</v>
      </c>
      <c r="BF25" s="48" t="s">
        <v>68</v>
      </c>
      <c r="BG25" s="49" t="str">
        <f>IF(WL_No="  ","  ",KB+BMT)</f>
        <v xml:space="preserve">  </v>
      </c>
    </row>
    <row r="26" spans="1:59" x14ac:dyDescent="0.25">
      <c r="A26" s="20">
        <f>Tools!$AD25</f>
        <v>19</v>
      </c>
      <c r="B26" s="33" t="str">
        <f t="shared" si="0"/>
        <v xml:space="preserve">  </v>
      </c>
      <c r="C26" s="22">
        <f>IF(A26="  ","  ",IF(AND(A25="  ",A27="  "),"?",IF(A25="  ",1*(A27-A26),IF(A27="  ",1*(A26-A25),1*(A27-A25)))))</f>
        <v>1</v>
      </c>
      <c r="D26" s="23" t="str">
        <f t="shared" si="26"/>
        <v xml:space="preserve">  </v>
      </c>
      <c r="E26" s="24">
        <f t="shared" si="1"/>
        <v>9</v>
      </c>
      <c r="F26" s="23" t="str">
        <f t="shared" si="27"/>
        <v xml:space="preserve">  </v>
      </c>
      <c r="G26" s="23" t="str">
        <f t="shared" si="28"/>
        <v xml:space="preserve">  </v>
      </c>
      <c r="H26" s="23" t="str">
        <f t="shared" si="29"/>
        <v xml:space="preserve">  </v>
      </c>
      <c r="I26" s="23" t="str">
        <f t="shared" si="30"/>
        <v xml:space="preserve">  </v>
      </c>
      <c r="J26" s="4"/>
      <c r="K26" s="37" t="str">
        <f t="shared" si="2"/>
        <v xml:space="preserve"> </v>
      </c>
      <c r="L26" s="23" t="str">
        <f t="shared" si="31"/>
        <v xml:space="preserve">  </v>
      </c>
      <c r="M26" s="38" t="str">
        <f t="shared" si="3"/>
        <v xml:space="preserve"> </v>
      </c>
      <c r="N26" s="27" t="str">
        <f t="shared" si="32"/>
        <v xml:space="preserve">  </v>
      </c>
      <c r="O26" s="23" t="str">
        <f t="shared" si="33"/>
        <v xml:space="preserve">  </v>
      </c>
      <c r="P26" s="4"/>
      <c r="Q26" s="50" t="s">
        <v>71</v>
      </c>
      <c r="R26" s="48" t="s">
        <v>72</v>
      </c>
      <c r="S26" t="str">
        <f>IF(Tools!$L$49="Use 141 rule only",I50,IF(Tools!$L$49="Use 141 and 1331 rules",BG27," "))</f>
        <v xml:space="preserve">  </v>
      </c>
      <c r="W26" s="29">
        <f>IF(AO26="  ","  ",IF(AND(AO25="  ",AO27="  "),"?",IF(AO25="  ",1*(AO27-AO26),IF(AO27="  ",1*(AO26-AO25),1*(AO27-AO25)))))</f>
        <v>1</v>
      </c>
      <c r="X26" s="30" t="str">
        <f t="shared" si="4"/>
        <v>DD</v>
      </c>
      <c r="Y26" s="30" t="str">
        <f t="shared" si="5"/>
        <v>-</v>
      </c>
      <c r="Z26" s="29" t="b">
        <f t="shared" si="6"/>
        <v>1</v>
      </c>
      <c r="AA26" s="29" t="b">
        <f t="shared" si="7"/>
        <v>1</v>
      </c>
      <c r="AB26" s="29" t="str">
        <f t="shared" ca="1" si="8"/>
        <v>141-2</v>
      </c>
      <c r="AC26" s="29">
        <f t="shared" si="34"/>
        <v>3</v>
      </c>
      <c r="AD26" s="29">
        <f t="shared" ca="1" si="9"/>
        <v>3</v>
      </c>
      <c r="AE26" s="29">
        <v>23</v>
      </c>
      <c r="AF26" s="31">
        <f t="shared" si="42"/>
        <v>19</v>
      </c>
      <c r="AG26" s="29" t="b">
        <f t="shared" si="11"/>
        <v>0</v>
      </c>
      <c r="AH26" s="30" t="str">
        <f t="shared" si="43"/>
        <v>-</v>
      </c>
      <c r="AI26" s="30" t="str">
        <f t="shared" ca="1" si="13"/>
        <v>(1/2)*(2/3)</v>
      </c>
      <c r="AJ26" s="29">
        <f t="shared" ca="1" si="14"/>
        <v>0.33333333333333331</v>
      </c>
      <c r="AK26" s="29" t="str">
        <f t="shared" si="15"/>
        <v/>
      </c>
      <c r="AL26" s="29">
        <f t="shared" si="16"/>
        <v>0</v>
      </c>
      <c r="AM26" s="32">
        <f t="shared" ca="1" si="35"/>
        <v>0.33333333333333331</v>
      </c>
      <c r="AO26" s="20">
        <f>Tools!$AD25</f>
        <v>19</v>
      </c>
      <c r="AP26" s="33" t="str">
        <f t="shared" si="36"/>
        <v xml:space="preserve">  </v>
      </c>
      <c r="AQ26" s="34" t="str">
        <f t="shared" ca="1" si="18"/>
        <v>(1/2)*(2/3)</v>
      </c>
      <c r="AR26" s="23" t="str">
        <f t="shared" ca="1" si="19"/>
        <v xml:space="preserve">  </v>
      </c>
      <c r="AS26" s="24">
        <f t="shared" si="20"/>
        <v>9</v>
      </c>
      <c r="AT26" s="23" t="str">
        <f t="shared" ca="1" si="37"/>
        <v xml:space="preserve">  </v>
      </c>
      <c r="AU26" s="23" t="str">
        <f t="shared" ca="1" si="40"/>
        <v xml:space="preserve">  </v>
      </c>
      <c r="AV26" s="23" t="str">
        <f t="shared" si="21"/>
        <v xml:space="preserve">  </v>
      </c>
      <c r="AW26" s="23" t="str">
        <f t="shared" ca="1" si="22"/>
        <v xml:space="preserve">  </v>
      </c>
      <c r="AY26" s="35" t="str">
        <f t="shared" si="23"/>
        <v xml:space="preserve"> </v>
      </c>
      <c r="AZ26" s="23" t="str">
        <f t="shared" ca="1" si="41"/>
        <v xml:space="preserve">  </v>
      </c>
      <c r="BA26" s="36" t="str">
        <f t="shared" si="25"/>
        <v xml:space="preserve"> </v>
      </c>
      <c r="BB26" s="27" t="str">
        <f t="shared" ca="1" si="38"/>
        <v xml:space="preserve">  </v>
      </c>
      <c r="BC26" s="23" t="str">
        <f t="shared" ca="1" si="39"/>
        <v xml:space="preserve">  </v>
      </c>
      <c r="BE26" s="50" t="s">
        <v>69</v>
      </c>
      <c r="BF26" s="48" t="s">
        <v>70</v>
      </c>
      <c r="BG26" s="49" t="str">
        <f>IF(WL_No="  ","  ",KB+BML)</f>
        <v xml:space="preserve">  </v>
      </c>
    </row>
    <row r="27" spans="1:59" x14ac:dyDescent="0.25">
      <c r="A27" s="20">
        <f>Tools!$AD26</f>
        <v>19.5</v>
      </c>
      <c r="B27" s="33" t="str">
        <f t="shared" si="0"/>
        <v xml:space="preserve">  </v>
      </c>
      <c r="C27" s="22">
        <f>IF(A27="  ","  ",IF(AND(A26="  ",A28="  "),"?",IF(A26="  ",2*(A28-A27),IF(A28="  ",2*(A27-A26),2*(A28-A26)))))</f>
        <v>2</v>
      </c>
      <c r="D27" s="23" t="str">
        <f t="shared" si="26"/>
        <v xml:space="preserve">  </v>
      </c>
      <c r="E27" s="24">
        <f t="shared" si="1"/>
        <v>9.5</v>
      </c>
      <c r="F27" s="23" t="str">
        <f t="shared" si="27"/>
        <v xml:space="preserve">  </v>
      </c>
      <c r="G27" s="23" t="str">
        <f t="shared" si="28"/>
        <v xml:space="preserve">  </v>
      </c>
      <c r="H27" s="23" t="str">
        <f t="shared" si="29"/>
        <v xml:space="preserve">  </v>
      </c>
      <c r="I27" s="23" t="str">
        <f t="shared" si="30"/>
        <v xml:space="preserve">  </v>
      </c>
      <c r="J27" s="4"/>
      <c r="K27" s="37" t="str">
        <f t="shared" si="2"/>
        <v xml:space="preserve"> </v>
      </c>
      <c r="L27" s="23" t="str">
        <f t="shared" si="31"/>
        <v xml:space="preserve">  </v>
      </c>
      <c r="M27" s="38" t="str">
        <f t="shared" si="3"/>
        <v xml:space="preserve"> </v>
      </c>
      <c r="N27" s="27" t="str">
        <f t="shared" si="32"/>
        <v xml:space="preserve">  </v>
      </c>
      <c r="O27" s="23" t="str">
        <f t="shared" si="33"/>
        <v xml:space="preserve">  </v>
      </c>
      <c r="P27" s="4"/>
      <c r="Q27" s="50" t="s">
        <v>73</v>
      </c>
      <c r="R27" s="48" t="s">
        <v>74</v>
      </c>
      <c r="S27" t="str">
        <f>IF(Tools!$L$49="Use 141 rule only",I51,IF(Tools!$L$49="Use 141 and 1331 rules",BG28," "))</f>
        <v xml:space="preserve">  </v>
      </c>
      <c r="W27" s="29">
        <f>IF(AO27="  ","  ",IF(AND(AO26="  ",AO28="  "),"?",IF(AO26="  ",2*(AO28-AO27),IF(AO28="  ",2*(AO27-AO26),2*(AO28-AO26)))))</f>
        <v>2</v>
      </c>
      <c r="X27" s="30" t="str">
        <f t="shared" si="4"/>
        <v>DD</v>
      </c>
      <c r="Y27" s="30" t="str">
        <f t="shared" si="5"/>
        <v>-</v>
      </c>
      <c r="Z27" s="29" t="b">
        <f t="shared" si="6"/>
        <v>1</v>
      </c>
      <c r="AA27" s="29" t="b">
        <f t="shared" si="7"/>
        <v>1</v>
      </c>
      <c r="AB27" s="29" t="str">
        <f t="shared" ca="1" si="8"/>
        <v>141-4</v>
      </c>
      <c r="AC27" s="29">
        <f t="shared" si="34"/>
        <v>2</v>
      </c>
      <c r="AD27" s="29">
        <f t="shared" ca="1" si="9"/>
        <v>2</v>
      </c>
      <c r="AE27" s="29">
        <v>24</v>
      </c>
      <c r="AF27" s="31">
        <f t="shared" si="42"/>
        <v>20</v>
      </c>
      <c r="AG27" s="29" t="b">
        <f t="shared" si="11"/>
        <v>0</v>
      </c>
      <c r="AH27" s="30" t="str">
        <f t="shared" si="43"/>
        <v>-</v>
      </c>
      <c r="AI27" s="30" t="str">
        <f t="shared" ca="1" si="13"/>
        <v>(1/2)*(4/3)</v>
      </c>
      <c r="AJ27" s="29">
        <f t="shared" ca="1" si="14"/>
        <v>0.66666666666666663</v>
      </c>
      <c r="AK27" s="29" t="str">
        <f t="shared" si="15"/>
        <v/>
      </c>
      <c r="AL27" s="29">
        <f t="shared" si="16"/>
        <v>0</v>
      </c>
      <c r="AM27" s="32">
        <f t="shared" ca="1" si="35"/>
        <v>0.66666666666666663</v>
      </c>
      <c r="AO27" s="20">
        <f>Tools!$AD26</f>
        <v>19.5</v>
      </c>
      <c r="AP27" s="33" t="str">
        <f t="shared" ref="AP27:AP28" si="44">VLOOKUP(AO27,OFFSET_A,Count_WL+1,FALSE)</f>
        <v xml:space="preserve">  </v>
      </c>
      <c r="AQ27" s="34" t="str">
        <f t="shared" ca="1" si="18"/>
        <v>(1/2)*(4/3)</v>
      </c>
      <c r="AR27" s="23" t="str">
        <f t="shared" ca="1" si="19"/>
        <v xml:space="preserve">  </v>
      </c>
      <c r="AS27" s="24">
        <f t="shared" si="20"/>
        <v>9.5</v>
      </c>
      <c r="AT27" s="23" t="str">
        <f t="shared" ca="1" si="37"/>
        <v xml:space="preserve">  </v>
      </c>
      <c r="AU27" s="23" t="str">
        <f t="shared" ca="1" si="40"/>
        <v xml:space="preserve">  </v>
      </c>
      <c r="AV27" s="23" t="str">
        <f t="shared" si="21"/>
        <v xml:space="preserve">  </v>
      </c>
      <c r="AW27" s="23" t="str">
        <f t="shared" ca="1" si="22"/>
        <v xml:space="preserve">  </v>
      </c>
      <c r="AY27" s="35" t="str">
        <f t="shared" si="23"/>
        <v xml:space="preserve"> </v>
      </c>
      <c r="AZ27" s="23" t="str">
        <f t="shared" ca="1" si="41"/>
        <v xml:space="preserve">  </v>
      </c>
      <c r="BA27" s="36" t="str">
        <f t="shared" si="25"/>
        <v xml:space="preserve"> </v>
      </c>
      <c r="BB27" s="27" t="str">
        <f t="shared" ca="1" si="38"/>
        <v xml:space="preserve">  </v>
      </c>
      <c r="BC27" s="23" t="str">
        <f t="shared" ca="1" si="39"/>
        <v xml:space="preserve">  </v>
      </c>
      <c r="BE27" s="50" t="s">
        <v>71</v>
      </c>
      <c r="BF27" s="48" t="s">
        <v>72</v>
      </c>
      <c r="BG27" s="49" t="str">
        <f>IF(WL_No="  ","  ",AWP*1.025/100)</f>
        <v xml:space="preserve">  </v>
      </c>
    </row>
    <row r="28" spans="1:59" ht="15.75" thickBot="1" x14ac:dyDescent="0.3">
      <c r="A28" s="20">
        <f>Tools!$AD27</f>
        <v>20</v>
      </c>
      <c r="B28" s="52" t="str">
        <f t="shared" si="0"/>
        <v xml:space="preserve">  </v>
      </c>
      <c r="C28" s="22">
        <f>IF(A28="  ","  ",IF(A27="  ","?",1*(A28-A27)))</f>
        <v>0.5</v>
      </c>
      <c r="D28" s="53" t="str">
        <f t="shared" si="26"/>
        <v xml:space="preserve">  </v>
      </c>
      <c r="E28" s="24">
        <f t="shared" si="1"/>
        <v>10</v>
      </c>
      <c r="F28" s="53" t="str">
        <f t="shared" si="27"/>
        <v xml:space="preserve">  </v>
      </c>
      <c r="G28" s="53" t="str">
        <f t="shared" si="28"/>
        <v xml:space="preserve">  </v>
      </c>
      <c r="H28" s="23" t="str">
        <f t="shared" si="29"/>
        <v xml:space="preserve">  </v>
      </c>
      <c r="I28" s="53" t="str">
        <f t="shared" si="30"/>
        <v xml:space="preserve">  </v>
      </c>
      <c r="J28" s="4"/>
      <c r="K28" s="35" t="str">
        <f t="shared" si="2"/>
        <v xml:space="preserve"> </v>
      </c>
      <c r="L28" s="53" t="str">
        <f t="shared" si="31"/>
        <v xml:space="preserve">  </v>
      </c>
      <c r="M28" s="36" t="str">
        <f t="shared" si="3"/>
        <v xml:space="preserve"> </v>
      </c>
      <c r="N28" s="54" t="str">
        <f t="shared" si="32"/>
        <v xml:space="preserve">  </v>
      </c>
      <c r="O28" s="53" t="str">
        <f t="shared" si="33"/>
        <v xml:space="preserve">  </v>
      </c>
      <c r="P28" s="4"/>
      <c r="Q28" s="50" t="s">
        <v>75</v>
      </c>
      <c r="R28" s="55" t="s">
        <v>76</v>
      </c>
      <c r="S28" t="str">
        <f>IF(Tools!$L$49="Use 141 rule only",I52,IF(Tools!$L$49="Use 141 and 1331 rules",BG29," "))</f>
        <v xml:space="preserve">  </v>
      </c>
      <c r="W28" s="29">
        <f>IF(AO28="  ","  ",IF(AO27="  ","?",1*(AO28-AO27)))</f>
        <v>0.5</v>
      </c>
      <c r="X28" s="30" t="str">
        <f t="shared" si="4"/>
        <v>D-</v>
      </c>
      <c r="Y28" s="30" t="str">
        <f t="shared" si="5"/>
        <v>-</v>
      </c>
      <c r="Z28" s="29" t="b">
        <f t="shared" si="6"/>
        <v>1</v>
      </c>
      <c r="AA28" s="29" t="b">
        <f t="shared" si="7"/>
        <v>1</v>
      </c>
      <c r="AB28" s="29" t="str">
        <f t="shared" ca="1" si="8"/>
        <v>141-1</v>
      </c>
      <c r="AC28" s="29">
        <f>IF(ISNUMBER(AO28),IF(ISNUMBER(AO28),IF(OR(AO28=0,AO28=Long_Div),1,IF(AO28&gt;Long_Div/2,AF29+1,IF(AO28&lt;=Long_Div/2,AC27+1,"?")))," --")," ")</f>
        <v>1</v>
      </c>
      <c r="AD28" s="29">
        <f t="shared" ca="1" si="9"/>
        <v>1</v>
      </c>
      <c r="AE28" s="29">
        <v>25</v>
      </c>
      <c r="AF28" s="31">
        <f t="shared" si="42"/>
        <v>21</v>
      </c>
      <c r="AG28" s="29" t="b">
        <f t="shared" si="11"/>
        <v>0</v>
      </c>
      <c r="AH28" s="30" t="str">
        <f t="shared" si="43"/>
        <v>-</v>
      </c>
      <c r="AI28" s="30" t="str">
        <f t="shared" ca="1" si="13"/>
        <v>(1/2)*(1/3)</v>
      </c>
      <c r="AJ28" s="29">
        <f t="shared" ca="1" si="14"/>
        <v>0.16666666666666666</v>
      </c>
      <c r="AK28" s="29" t="str">
        <f t="shared" si="15"/>
        <v/>
      </c>
      <c r="AL28" s="29">
        <f t="shared" si="16"/>
        <v>0</v>
      </c>
      <c r="AM28" s="32">
        <f t="shared" ca="1" si="35"/>
        <v>0.16666666666666666</v>
      </c>
      <c r="AO28" s="20">
        <f>Tools!$AD27</f>
        <v>20</v>
      </c>
      <c r="AP28" s="33" t="str">
        <f t="shared" si="44"/>
        <v xml:space="preserve">  </v>
      </c>
      <c r="AQ28" s="34" t="str">
        <f t="shared" ca="1" si="18"/>
        <v>(1/2)*(1/3)</v>
      </c>
      <c r="AR28" s="23" t="str">
        <f t="shared" ca="1" si="19"/>
        <v xml:space="preserve">  </v>
      </c>
      <c r="AS28" s="24">
        <f t="shared" si="20"/>
        <v>10</v>
      </c>
      <c r="AT28" s="53" t="str">
        <f t="shared" ca="1" si="37"/>
        <v xml:space="preserve">  </v>
      </c>
      <c r="AU28" s="53" t="str">
        <f t="shared" ca="1" si="40"/>
        <v xml:space="preserve">  </v>
      </c>
      <c r="AV28" s="23" t="str">
        <f t="shared" si="21"/>
        <v xml:space="preserve">  </v>
      </c>
      <c r="AW28" s="23" t="str">
        <f t="shared" ca="1" si="22"/>
        <v xml:space="preserve">  </v>
      </c>
      <c r="AY28" s="35" t="str">
        <f t="shared" si="23"/>
        <v xml:space="preserve"> </v>
      </c>
      <c r="AZ28" s="23" t="str">
        <f t="shared" ca="1" si="41"/>
        <v xml:space="preserve">  </v>
      </c>
      <c r="BA28" s="36" t="str">
        <f t="shared" si="25"/>
        <v xml:space="preserve"> </v>
      </c>
      <c r="BB28" s="27" t="str">
        <f t="shared" ca="1" si="38"/>
        <v xml:space="preserve">  </v>
      </c>
      <c r="BC28" s="53" t="str">
        <f t="shared" ca="1" si="39"/>
        <v xml:space="preserve">  </v>
      </c>
      <c r="BE28" s="50" t="s">
        <v>73</v>
      </c>
      <c r="BF28" s="48" t="s">
        <v>74</v>
      </c>
      <c r="BG28" s="49" t="str">
        <f>IF(WL_No="  ","  ",ML/V_Disp)</f>
        <v xml:space="preserve">  </v>
      </c>
    </row>
    <row r="29" spans="1:59" ht="15.75" thickBot="1" x14ac:dyDescent="0.3">
      <c r="A29" s="56" t="s">
        <v>77</v>
      </c>
      <c r="B29" s="56"/>
      <c r="C29" s="56"/>
      <c r="D29" s="57">
        <f>SUM(D4:D28)</f>
        <v>0</v>
      </c>
      <c r="E29" s="42"/>
      <c r="F29" s="58">
        <f>SUM(F4:F28)</f>
        <v>0</v>
      </c>
      <c r="G29" s="58">
        <f>SUM(G4:G28)</f>
        <v>0</v>
      </c>
      <c r="H29" s="42"/>
      <c r="I29" s="58">
        <f>SUM(I4:I28)</f>
        <v>0</v>
      </c>
      <c r="J29" s="4"/>
      <c r="K29" s="42"/>
      <c r="L29" s="58">
        <f>SUM(L4:L28)</f>
        <v>0</v>
      </c>
      <c r="M29" s="42"/>
      <c r="N29" s="58">
        <f>SUM(N4:N28)</f>
        <v>0</v>
      </c>
      <c r="O29" s="58">
        <f>SUM(O4:O28)</f>
        <v>0</v>
      </c>
      <c r="P29" s="4"/>
      <c r="Q29" s="50" t="s">
        <v>78</v>
      </c>
      <c r="R29" s="48" t="s">
        <v>79</v>
      </c>
      <c r="S29" t="str">
        <f>IF(Tools!$L$49="Use 141 rule only",I53,IF(Tools!$L$49="Use 141 and 1331 rules",BG30," "))</f>
        <v xml:space="preserve">  </v>
      </c>
      <c r="W29" s="56"/>
      <c r="X29" s="56"/>
      <c r="Y29" s="56"/>
      <c r="Z29" s="56"/>
      <c r="AA29" s="56"/>
      <c r="AB29" s="56"/>
      <c r="AC29" s="56"/>
      <c r="AD29" s="56"/>
      <c r="AE29" s="56"/>
      <c r="AF29" s="56"/>
      <c r="AG29" s="56"/>
      <c r="AH29" s="56"/>
      <c r="AI29" s="56"/>
      <c r="AJ29" s="56"/>
      <c r="AK29" s="56"/>
      <c r="AL29" s="56"/>
      <c r="AM29" s="56"/>
      <c r="AN29" s="56"/>
      <c r="AO29" s="56" t="s">
        <v>77</v>
      </c>
      <c r="AP29" s="56"/>
      <c r="AQ29" s="59"/>
      <c r="AR29" s="57">
        <f ca="1">SUM(AR4:AR28)</f>
        <v>0</v>
      </c>
      <c r="AS29" s="42"/>
      <c r="AT29" s="58">
        <f ca="1">SUM(AT4:AT28)</f>
        <v>0</v>
      </c>
      <c r="AU29" s="58">
        <f ca="1">SUM(AU4:AU28)</f>
        <v>0</v>
      </c>
      <c r="AV29" s="42"/>
      <c r="AW29" s="58">
        <f ca="1">SUM(AW4:AW28)</f>
        <v>0</v>
      </c>
      <c r="AY29" s="42"/>
      <c r="AZ29" s="58">
        <f ca="1">SUM(AZ4:AZ28)</f>
        <v>0</v>
      </c>
      <c r="BA29" s="42"/>
      <c r="BB29" s="58">
        <f ca="1">SUM(BB4:BB28)</f>
        <v>0</v>
      </c>
      <c r="BC29" s="58">
        <f ca="1">SUM(BC4:BC28)</f>
        <v>0</v>
      </c>
      <c r="BE29" s="50" t="s">
        <v>75</v>
      </c>
      <c r="BF29" s="55" t="s">
        <v>76</v>
      </c>
      <c r="BG29" s="49" t="str">
        <f>IF(WL_No="  ","  ",M_Disp*BML/100/BG8)</f>
        <v xml:space="preserve">  </v>
      </c>
    </row>
    <row r="30" spans="1:59" x14ac:dyDescent="0.25">
      <c r="A30" s="15"/>
      <c r="B30" s="4"/>
      <c r="C30" s="4"/>
      <c r="D30" s="42"/>
      <c r="E30" s="4"/>
      <c r="F30" s="4"/>
      <c r="G30" s="4"/>
      <c r="H30" s="4"/>
      <c r="I30" s="4"/>
      <c r="J30" s="4"/>
      <c r="K30" s="4"/>
      <c r="L30" s="4"/>
      <c r="M30" s="4"/>
      <c r="N30" s="4"/>
      <c r="O30" s="4"/>
      <c r="P30" s="4"/>
      <c r="Q30" s="50" t="s">
        <v>80</v>
      </c>
      <c r="R30" s="48" t="s">
        <v>81</v>
      </c>
      <c r="S30" t="str">
        <f>IF(Tools!$L$49="Use 141 rule only",I54,IF(Tools!$L$49="Use 141 and 1331 rules",BG31," "))</f>
        <v xml:space="preserve">  </v>
      </c>
      <c r="AA30" s="60"/>
      <c r="AB30" s="60"/>
      <c r="BE30" s="50" t="s">
        <v>78</v>
      </c>
      <c r="BF30" s="48" t="s">
        <v>79</v>
      </c>
      <c r="BG30" s="49" t="str">
        <f>IF(WL_No="  ","  ",WLS*WL_No)</f>
        <v xml:space="preserve">  </v>
      </c>
    </row>
    <row r="31" spans="1:59" x14ac:dyDescent="0.25">
      <c r="A31" s="15"/>
      <c r="B31" s="4"/>
      <c r="C31" s="4"/>
      <c r="D31" s="4"/>
      <c r="E31" s="4"/>
      <c r="F31" s="4"/>
      <c r="G31" s="4"/>
      <c r="H31" s="4"/>
      <c r="I31" s="4"/>
      <c r="J31" s="4"/>
      <c r="K31" s="4"/>
      <c r="L31" s="4"/>
      <c r="M31" s="4"/>
      <c r="N31" s="4"/>
      <c r="O31" s="4"/>
      <c r="P31" s="4"/>
      <c r="Q31" s="50" t="s">
        <v>82</v>
      </c>
      <c r="R31" s="48" t="s">
        <v>83</v>
      </c>
      <c r="S31" t="str">
        <f>IF(Tools!$L$49="Use 141 rule only",I55,IF(Tools!$L$49="Use 141 and 1331 rules",BG32," "))</f>
        <v xml:space="preserve">  </v>
      </c>
      <c r="AF31" s="61" t="s">
        <v>84</v>
      </c>
      <c r="AG31" s="62">
        <f ca="1">COUNTIF(OFFSET(AQ4,,,ROUNDUP(Max_STN_count/2,0),1),"")</f>
        <v>0</v>
      </c>
      <c r="AH31" s="63">
        <f ca="1">HLOOKUP(Stn_WL,AREA_TABLE,AG31+2,FALSE)</f>
        <v>0</v>
      </c>
      <c r="AI31" s="63">
        <f ca="1">IF(AH31&gt;Long_Div/2,Long_Div/2,AH31)</f>
        <v>0</v>
      </c>
      <c r="AJ31" s="63">
        <f ca="1">AI31*STN_GAP</f>
        <v>0</v>
      </c>
      <c r="BE31" s="50" t="s">
        <v>80</v>
      </c>
      <c r="BF31" s="48" t="s">
        <v>81</v>
      </c>
      <c r="BG31" s="49" t="str">
        <f>IF(WL_No="  ","  ",AWP/(BG8*B_current))</f>
        <v xml:space="preserve">  </v>
      </c>
    </row>
    <row r="32" spans="1:59" x14ac:dyDescent="0.25">
      <c r="A32" s="15"/>
      <c r="B32" s="4"/>
      <c r="C32" s="4"/>
      <c r="D32" s="4"/>
      <c r="E32" s="4"/>
      <c r="F32" s="4"/>
      <c r="G32" s="4"/>
      <c r="H32" s="4"/>
      <c r="I32" s="4"/>
      <c r="J32" s="64"/>
      <c r="K32" s="4"/>
      <c r="L32" s="4"/>
      <c r="M32" s="4"/>
      <c r="N32" s="4"/>
      <c r="O32" s="4"/>
      <c r="P32" s="4"/>
      <c r="Q32" s="50" t="s">
        <v>85</v>
      </c>
      <c r="R32" s="48" t="s">
        <v>86</v>
      </c>
      <c r="S32" t="str">
        <f>IF(Tools!$L$49="Use 141 rule only",I56,IF(Tools!$L$49="Use 141 and 1331 rules",BG33," "))</f>
        <v xml:space="preserve">  </v>
      </c>
      <c r="AF32" s="61" t="s">
        <v>87</v>
      </c>
      <c r="AG32" s="62">
        <f ca="1">COUNTIF(OFFSET(AQ4,ROUNDUP(Max_STN_count/2,0),,ROUNDDOWN(Max_STN_count/2,0),1),"")</f>
        <v>0</v>
      </c>
      <c r="AH32" s="63">
        <f ca="1">HLOOKUP(Stn_WL,AREA_TABLE,AG32+2,FALSE)</f>
        <v>0</v>
      </c>
      <c r="AI32" s="63">
        <f ca="1">IF(AH32&gt;Long_Div/2,Long_Div/2,AH32)</f>
        <v>0</v>
      </c>
      <c r="AJ32" s="63">
        <f ca="1">AI32*STN_GAP</f>
        <v>0</v>
      </c>
      <c r="BE32" s="50" t="s">
        <v>82</v>
      </c>
      <c r="BF32" s="48" t="s">
        <v>83</v>
      </c>
      <c r="BG32" s="49" t="str">
        <f>IF(WL_No="  ","  ",V_Disp/(BG8*B_current*T))</f>
        <v xml:space="preserve">  </v>
      </c>
    </row>
    <row r="33" spans="1:59" x14ac:dyDescent="0.25">
      <c r="A33" s="15"/>
      <c r="B33" s="4"/>
      <c r="C33" s="4"/>
      <c r="D33" s="4"/>
      <c r="E33" s="4"/>
      <c r="F33" s="4"/>
      <c r="G33" s="43" t="s">
        <v>31</v>
      </c>
      <c r="H33" s="44" t="s">
        <v>32</v>
      </c>
      <c r="I33" s="489" t="s">
        <v>33</v>
      </c>
      <c r="J33" s="4"/>
      <c r="K33" s="4"/>
      <c r="L33" s="4"/>
      <c r="M33" s="4"/>
      <c r="N33" s="4"/>
      <c r="O33" s="4"/>
      <c r="P33" s="4"/>
      <c r="Q33" s="50" t="s">
        <v>88</v>
      </c>
      <c r="R33" s="48" t="s">
        <v>89</v>
      </c>
      <c r="S33" t="str">
        <f>IF(Tools!$L$49="Use 141 rule only",I57,IF(Tools!$L$49="Use 141 and 1331 rules",BG34," "))</f>
        <v xml:space="preserve">  </v>
      </c>
      <c r="AF33" s="63"/>
      <c r="AG33" s="63"/>
      <c r="AH33" s="63">
        <f ca="1">Long_Div-AH32</f>
        <v>20</v>
      </c>
      <c r="AI33" s="63"/>
      <c r="AJ33" s="63">
        <f ca="1">AJ32+AJ31</f>
        <v>0</v>
      </c>
      <c r="BE33" s="50" t="s">
        <v>85</v>
      </c>
      <c r="BF33" s="48" t="s">
        <v>86</v>
      </c>
      <c r="BG33" s="65" t="str">
        <f>IFERROR(IF(WL_No="  ","  ",(VLOOKUP(Long_Div/2,AREA_TABLE,Count_WL+1,FALSE))/(B_current*T)),"-")</f>
        <v xml:space="preserve">  </v>
      </c>
    </row>
    <row r="34" spans="1:59" x14ac:dyDescent="0.25">
      <c r="G34" s="45"/>
      <c r="H34" s="46"/>
      <c r="I34" s="490"/>
      <c r="BE34" s="50" t="s">
        <v>88</v>
      </c>
      <c r="BF34" s="48" t="s">
        <v>89</v>
      </c>
      <c r="BG34" s="49" t="str">
        <f>IF(WL_No="  ","  ",CB/CM)</f>
        <v xml:space="preserve">  </v>
      </c>
    </row>
    <row r="35" spans="1:59" x14ac:dyDescent="0.25">
      <c r="G35" s="47" t="s">
        <v>34</v>
      </c>
      <c r="H35" s="48" t="s">
        <v>35</v>
      </c>
      <c r="I35" s="49" t="str">
        <f>IF(WL_No="  ","  ",2/3*h*$D$29)</f>
        <v xml:space="preserve">  </v>
      </c>
    </row>
    <row r="36" spans="1:59" x14ac:dyDescent="0.25">
      <c r="G36" s="47" t="s">
        <v>36</v>
      </c>
      <c r="H36" s="48" t="s">
        <v>37</v>
      </c>
      <c r="I36" s="49" t="str">
        <f>IF(WL_No="  ","  ",2/3*(h^2)*$F$29)</f>
        <v xml:space="preserve">  </v>
      </c>
    </row>
    <row r="37" spans="1:59" x14ac:dyDescent="0.25">
      <c r="G37" s="50" t="s">
        <v>39</v>
      </c>
      <c r="H37" s="48" t="s">
        <v>40</v>
      </c>
      <c r="I37" s="49" t="str">
        <f>IF(WL_No="  ","  ",Mmid/AWP)</f>
        <v xml:space="preserve">  </v>
      </c>
    </row>
    <row r="38" spans="1:59" x14ac:dyDescent="0.25">
      <c r="G38" s="50" t="s">
        <v>42</v>
      </c>
      <c r="H38" s="48" t="s">
        <v>43</v>
      </c>
      <c r="I38" s="49" t="str">
        <f>IF(WL_No="  ","  ",2/3*(h^3)*$G$29)</f>
        <v xml:space="preserve">  </v>
      </c>
    </row>
    <row r="39" spans="1:59" x14ac:dyDescent="0.25">
      <c r="G39" s="51" t="s">
        <v>44</v>
      </c>
      <c r="H39" s="48" t="s">
        <v>45</v>
      </c>
      <c r="I39" s="49" t="str">
        <f>IF(WL_No="  ","  ",2/9*h*$I$29)</f>
        <v xml:space="preserve">  </v>
      </c>
    </row>
    <row r="40" spans="1:59" x14ac:dyDescent="0.25">
      <c r="G40" s="50" t="s">
        <v>47</v>
      </c>
      <c r="H40" s="48" t="s">
        <v>48</v>
      </c>
      <c r="I40" s="49" t="str">
        <f>IF(WL_No="  ","  ",IL-AWP*(LCF^2))</f>
        <v xml:space="preserve">  </v>
      </c>
    </row>
    <row r="41" spans="1:59" x14ac:dyDescent="0.25">
      <c r="G41" s="50" t="s">
        <v>50</v>
      </c>
      <c r="H41" s="48" t="s">
        <v>51</v>
      </c>
      <c r="I41" s="49" t="str">
        <f>IF(WL_No="  ","  ",h/3*$L$29)</f>
        <v xml:space="preserve">  </v>
      </c>
    </row>
    <row r="42" spans="1:59" x14ac:dyDescent="0.25">
      <c r="G42" s="50" t="s">
        <v>52</v>
      </c>
      <c r="H42" s="48" t="s">
        <v>53</v>
      </c>
      <c r="I42" s="49" t="str">
        <f>IF(WL_No="  ","  ",V_Disp*1.025*1.006)</f>
        <v xml:space="preserve">  </v>
      </c>
    </row>
    <row r="43" spans="1:59" x14ac:dyDescent="0.25">
      <c r="G43" s="50" t="s">
        <v>55</v>
      </c>
      <c r="H43" s="48" t="s">
        <v>56</v>
      </c>
      <c r="I43" s="49" t="str">
        <f>IF(WL_No="  ","  ",h/3*$N$29)</f>
        <v xml:space="preserve">  </v>
      </c>
    </row>
    <row r="44" spans="1:59" x14ac:dyDescent="0.25">
      <c r="G44" s="50" t="s">
        <v>57</v>
      </c>
      <c r="H44" s="48" t="s">
        <v>58</v>
      </c>
      <c r="I44" s="49" t="str">
        <f>IF(WL_No="  ","  ",(h^2)/3*$O$29)</f>
        <v xml:space="preserve">  </v>
      </c>
    </row>
    <row r="45" spans="1:59" x14ac:dyDescent="0.25">
      <c r="G45" s="50" t="s">
        <v>60</v>
      </c>
      <c r="H45" s="48" t="s">
        <v>61</v>
      </c>
      <c r="I45" s="49" t="str">
        <f>IF(WL_No="  ","  ",IF/V_Disp)</f>
        <v xml:space="preserve">  </v>
      </c>
    </row>
    <row r="46" spans="1:59" x14ac:dyDescent="0.25">
      <c r="G46" s="50" t="s">
        <v>63</v>
      </c>
      <c r="H46" s="48" t="s">
        <v>64</v>
      </c>
      <c r="I46" s="49" t="str">
        <f>IF(WL_No="  ","  ",IT/V_Disp)</f>
        <v xml:space="preserve">  </v>
      </c>
    </row>
    <row r="47" spans="1:59" x14ac:dyDescent="0.25">
      <c r="G47" s="50" t="s">
        <v>65</v>
      </c>
      <c r="H47" s="48" t="s">
        <v>66</v>
      </c>
      <c r="I47" s="49" t="str">
        <f>IF(WL_No="  ","  ",MT/V_Disp)</f>
        <v xml:space="preserve">  </v>
      </c>
    </row>
    <row r="48" spans="1:59" x14ac:dyDescent="0.25">
      <c r="G48" s="50" t="s">
        <v>67</v>
      </c>
      <c r="H48" s="48" t="s">
        <v>68</v>
      </c>
      <c r="I48" s="49" t="str">
        <f>IF(WL_No="  ","  ",KB+BMT)</f>
        <v xml:space="preserve">  </v>
      </c>
    </row>
    <row r="49" spans="7:9" x14ac:dyDescent="0.25">
      <c r="G49" s="50" t="s">
        <v>69</v>
      </c>
      <c r="H49" s="48" t="s">
        <v>70</v>
      </c>
      <c r="I49" s="49" t="str">
        <f>IF(WL_No="  ","  ",KB+BML)</f>
        <v xml:space="preserve">  </v>
      </c>
    </row>
    <row r="50" spans="7:9" x14ac:dyDescent="0.25">
      <c r="G50" s="50" t="s">
        <v>71</v>
      </c>
      <c r="H50" s="48" t="s">
        <v>72</v>
      </c>
      <c r="I50" s="49" t="str">
        <f>IF(WL_No="  ","  ",AWP*1.025/100)</f>
        <v xml:space="preserve">  </v>
      </c>
    </row>
    <row r="51" spans="7:9" x14ac:dyDescent="0.25">
      <c r="G51" s="50" t="s">
        <v>73</v>
      </c>
      <c r="H51" s="48" t="s">
        <v>74</v>
      </c>
      <c r="I51" s="49" t="str">
        <f>IF(WL_No="  ","  ",ML/V_Disp)</f>
        <v xml:space="preserve">  </v>
      </c>
    </row>
    <row r="52" spans="7:9" x14ac:dyDescent="0.25">
      <c r="G52" s="50" t="s">
        <v>75</v>
      </c>
      <c r="H52" s="55" t="s">
        <v>76</v>
      </c>
      <c r="I52" s="49" t="str">
        <f>IF(WL_No="  ","  ",M_Disp*BML/100/LBP)</f>
        <v xml:space="preserve">  </v>
      </c>
    </row>
    <row r="53" spans="7:9" x14ac:dyDescent="0.25">
      <c r="G53" s="50" t="s">
        <v>78</v>
      </c>
      <c r="H53" s="48" t="s">
        <v>79</v>
      </c>
      <c r="I53" s="49" t="str">
        <f>IF(WL_No="  ","  ",WLS*WL_No)</f>
        <v xml:space="preserve">  </v>
      </c>
    </row>
    <row r="54" spans="7:9" x14ac:dyDescent="0.25">
      <c r="G54" s="50" t="s">
        <v>80</v>
      </c>
      <c r="H54" s="48" t="s">
        <v>81</v>
      </c>
      <c r="I54" s="49" t="str">
        <f>IF(WL_No="  ","  ",AWP/(LBP*B_current))</f>
        <v xml:space="preserve">  </v>
      </c>
    </row>
    <row r="55" spans="7:9" x14ac:dyDescent="0.25">
      <c r="G55" s="50" t="s">
        <v>82</v>
      </c>
      <c r="H55" s="48" t="s">
        <v>83</v>
      </c>
      <c r="I55" s="49" t="str">
        <f>IF(WL_No="  ","  ",V_Disp/(LBP*B_current*T))</f>
        <v xml:space="preserve">  </v>
      </c>
    </row>
    <row r="56" spans="7:9" x14ac:dyDescent="0.25">
      <c r="G56" s="50" t="s">
        <v>85</v>
      </c>
      <c r="H56" s="48" t="s">
        <v>86</v>
      </c>
      <c r="I56" s="65" t="str">
        <f>IF(WL_No="  ","  ",(VLOOKUP(Long_Div/2,AREA_TABLE,Count_WL+1,FALSE))/(B_current*T))</f>
        <v xml:space="preserve">  </v>
      </c>
    </row>
    <row r="57" spans="7:9" x14ac:dyDescent="0.25">
      <c r="G57" s="50" t="s">
        <v>88</v>
      </c>
      <c r="H57" s="48" t="s">
        <v>89</v>
      </c>
      <c r="I57" s="49" t="str">
        <f>IF(WL_No="  ","  ",CB/CM)</f>
        <v xml:space="preserve">  </v>
      </c>
    </row>
  </sheetData>
  <mergeCells count="7">
    <mergeCell ref="BG10:BG11"/>
    <mergeCell ref="I33:I34"/>
    <mergeCell ref="A2:I2"/>
    <mergeCell ref="K2:O2"/>
    <mergeCell ref="AO2:AW2"/>
    <mergeCell ref="AY2:BC2"/>
    <mergeCell ref="S9:S10"/>
  </mergeCells>
  <conditionalFormatting sqref="CB4:XFD30 BW4:BW28 BS4:BT28 W29:AX29 A33:F57 J33:R33 A11:R32 A2:T10 V2:AO2 AX2 BP29:BW29 A63:XFD1048576 T12:T37 U35:XFD37 BD2:BD29 BM31:XFD33 BM30:BW30 BH29:BI33 BH2:XFD3 U30:BD30 AR31:BD31 W3:AM28 A58:BD62 BH38:XFD62 J34:S37 BH34:XFD34 A1:AN1 AV1:XFD1 AO31:AP31 U33:BD34 AM31 U31:AG32 AK32:BD32 AO3:AX26 J43:BD57 J42:M42 O42:BD42 J38:BD41 AO27:AO28 AQ27:AX28">
    <cfRule type="containsErrors" dxfId="381" priority="14">
      <formula>ISERROR(A1)</formula>
    </cfRule>
  </conditionalFormatting>
  <conditionalFormatting sqref="G33:I34 G35:H57">
    <cfRule type="containsErrors" dxfId="380" priority="13">
      <formula>ISERROR(G33)</formula>
    </cfRule>
  </conditionalFormatting>
  <conditionalFormatting sqref="T12:T33">
    <cfRule type="containsErrors" dxfId="379" priority="12">
      <formula>ISERROR(T12)</formula>
    </cfRule>
  </conditionalFormatting>
  <conditionalFormatting sqref="I35:I57">
    <cfRule type="containsErrors" dxfId="378" priority="11">
      <formula>ISERROR(I35)</formula>
    </cfRule>
  </conditionalFormatting>
  <conditionalFormatting sqref="AY2:BC29">
    <cfRule type="containsErrors" dxfId="377" priority="8">
      <formula>ISERROR(AY2)</formula>
    </cfRule>
  </conditionalFormatting>
  <conditionalFormatting sqref="BE10:BG11 BE12:BF34">
    <cfRule type="containsErrors" dxfId="376" priority="10">
      <formula>ISERROR(BE10)</formula>
    </cfRule>
  </conditionalFormatting>
  <conditionalFormatting sqref="BG12:BG28 BG34">
    <cfRule type="containsErrors" dxfId="375" priority="9">
      <formula>ISERROR(BG12)</formula>
    </cfRule>
  </conditionalFormatting>
  <conditionalFormatting sqref="BE2:BG6">
    <cfRule type="containsErrors" dxfId="374" priority="7">
      <formula>ISERROR(BE2)</formula>
    </cfRule>
  </conditionalFormatting>
  <conditionalFormatting sqref="BF7:BG8">
    <cfRule type="containsErrors" dxfId="373" priority="5">
      <formula>ISERROR(BF7)</formula>
    </cfRule>
  </conditionalFormatting>
  <conditionalFormatting sqref="BE7:BE8">
    <cfRule type="containsErrors" dxfId="372" priority="6">
      <formula>ISERROR(BE7)</formula>
    </cfRule>
  </conditionalFormatting>
  <conditionalFormatting sqref="S30:S33">
    <cfRule type="containsErrors" dxfId="371" priority="4">
      <formula>ISERROR(S30)</formula>
    </cfRule>
  </conditionalFormatting>
  <conditionalFormatting sqref="AP27:AP28">
    <cfRule type="containsErrors" dxfId="370" priority="3">
      <formula>ISERROR(AP27)</formula>
    </cfRule>
  </conditionalFormatting>
  <conditionalFormatting sqref="BG29:BG32">
    <cfRule type="containsErrors" dxfId="369" priority="2">
      <formula>ISERROR(BG29)</formula>
    </cfRule>
  </conditionalFormatting>
  <conditionalFormatting sqref="BG33">
    <cfRule type="containsErrors" dxfId="368" priority="1">
      <formula>ISERROR(BG33)</formula>
    </cfRule>
  </conditionalFormatting>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4" tint="0.79998168889431442"/>
  </sheetPr>
  <dimension ref="A1:BH57"/>
  <sheetViews>
    <sheetView topLeftCell="AG1" zoomScale="55" zoomScaleNormal="55" workbookViewId="0">
      <pane ySplit="1" topLeftCell="A29" activePane="bottomLeft" state="frozen"/>
      <selection activeCell="AG8" sqref="AG8:AG10"/>
      <selection pane="bottomLeft" activeCell="AG8" sqref="AG8:AG10"/>
    </sheetView>
  </sheetViews>
  <sheetFormatPr defaultRowHeight="15" x14ac:dyDescent="0.25"/>
  <cols>
    <col min="1" max="1" width="8.28515625" customWidth="1"/>
    <col min="2" max="2" width="7.28515625" customWidth="1"/>
    <col min="4" max="4" width="6.5703125" customWidth="1"/>
    <col min="7" max="7" width="24" customWidth="1"/>
    <col min="8" max="8" width="30.5703125" customWidth="1"/>
    <col min="9" max="9" width="26.5703125" customWidth="1"/>
    <col min="10" max="10" width="10.5703125" bestFit="1" customWidth="1"/>
    <col min="11" max="11" width="9.140625" customWidth="1"/>
    <col min="13" max="13" width="7.85546875" customWidth="1"/>
    <col min="17" max="17" width="19.5703125" customWidth="1"/>
    <col min="18" max="18" width="11.85546875" customWidth="1"/>
    <col min="19" max="19" width="16.5703125" customWidth="1"/>
    <col min="20" max="20" width="14.140625" customWidth="1"/>
    <col min="35" max="35" width="14" customWidth="1"/>
    <col min="36" max="37" width="12" customWidth="1"/>
    <col min="39" max="39" width="19" customWidth="1"/>
    <col min="43" max="43" width="18" style="7" customWidth="1"/>
    <col min="49" max="49" width="11.28515625" customWidth="1"/>
    <col min="52" max="52" width="12" customWidth="1"/>
    <col min="54" max="54" width="10.7109375" bestFit="1" customWidth="1"/>
    <col min="56" max="56" width="4.5703125" customWidth="1"/>
    <col min="57" max="57" width="21.28515625" customWidth="1"/>
    <col min="58" max="58" width="15.42578125" customWidth="1"/>
    <col min="59" max="59" width="19.28515625" customWidth="1"/>
    <col min="61" max="61" width="5.7109375" customWidth="1"/>
    <col min="62" max="62" width="13" customWidth="1"/>
    <col min="63" max="63" width="17.42578125" customWidth="1"/>
  </cols>
  <sheetData>
    <row r="1" spans="1:60" x14ac:dyDescent="0.25">
      <c r="A1" s="1" t="s">
        <v>0</v>
      </c>
      <c r="B1" s="2" t="str">
        <f>VLOOKUP(Stn_WL,OFFSET_A,Count_WL+1,FALSE)</f>
        <v xml:space="preserve">  </v>
      </c>
      <c r="C1" s="3"/>
      <c r="D1" s="4"/>
      <c r="E1" s="4" t="s">
        <v>1</v>
      </c>
      <c r="F1" s="5">
        <v>18</v>
      </c>
      <c r="G1" s="4"/>
      <c r="H1" s="4"/>
      <c r="I1" s="4"/>
      <c r="J1" s="4"/>
      <c r="K1" s="4"/>
      <c r="L1" s="4"/>
      <c r="M1" s="4"/>
      <c r="N1" s="4"/>
      <c r="O1" s="4"/>
      <c r="P1" s="4"/>
      <c r="Q1" s="4"/>
      <c r="R1" s="4"/>
      <c r="S1" s="4"/>
      <c r="V1" t="s">
        <v>2</v>
      </c>
      <c r="W1">
        <f ca="1">COUNTIF(OFFSET(Z4,,,ROUNDDOWN(Max_STN_count/2+1,0),1),TRUE)</f>
        <v>5</v>
      </c>
      <c r="X1">
        <f ca="1">COUNTIF(OFFSET(AA4,,,ROUNDDOWN(Max_STN_count/2+1,0),1),TRUE)</f>
        <v>5</v>
      </c>
      <c r="Y1">
        <f ca="1">W1-X1</f>
        <v>0</v>
      </c>
      <c r="AB1" s="6" t="s">
        <v>3</v>
      </c>
      <c r="AC1">
        <f ca="1">COUNTIF(OFFSET(Z4,ROUNDUP(Max_STN_count/2,0),,ROUNDDOWN(Max_STN_count/2,0),1),TRUE)</f>
        <v>5</v>
      </c>
      <c r="AD1">
        <f ca="1">COUNTIF(OFFSET(AA4,ROUNDUP(Max_STN_count/2,0),,ROUNDDOWN(Max_STN_count/2,0),1),TRUE)</f>
        <v>5</v>
      </c>
      <c r="AE1">
        <f ca="1">AC1-AD1</f>
        <v>0</v>
      </c>
      <c r="AG1" t="s">
        <v>4</v>
      </c>
      <c r="AH1">
        <f>COUNTIF(AG4:AG28,TRUE)</f>
        <v>17</v>
      </c>
      <c r="AI1">
        <f ca="1">COUNTIF(OFFSET(AG4,,,ROUNDUP(Max_STN_count/2,0),1),FALSE)</f>
        <v>4</v>
      </c>
      <c r="AW1">
        <f ca="1">COUNTIF(OFFSET(AG4,,,Max_STN_count,1),TRUE)</f>
        <v>17</v>
      </c>
    </row>
    <row r="2" spans="1:60" x14ac:dyDescent="0.25">
      <c r="A2" s="491" t="s">
        <v>5</v>
      </c>
      <c r="B2" s="492"/>
      <c r="C2" s="492"/>
      <c r="D2" s="492"/>
      <c r="E2" s="492"/>
      <c r="F2" s="492"/>
      <c r="G2" s="492"/>
      <c r="H2" s="492"/>
      <c r="I2" s="493"/>
      <c r="J2" s="4"/>
      <c r="K2" s="491" t="s">
        <v>6</v>
      </c>
      <c r="L2" s="492"/>
      <c r="M2" s="492"/>
      <c r="N2" s="492"/>
      <c r="O2" s="493"/>
      <c r="P2" s="4"/>
      <c r="Q2" s="8" t="s">
        <v>7</v>
      </c>
      <c r="R2" s="9" t="s">
        <v>8</v>
      </c>
      <c r="S2" s="10">
        <f>WLS</f>
        <v>2</v>
      </c>
      <c r="V2" s="11"/>
      <c r="W2" s="11"/>
      <c r="X2" s="11"/>
      <c r="Y2" s="11"/>
      <c r="Z2" s="11"/>
      <c r="AA2" s="11"/>
      <c r="AB2" s="11"/>
      <c r="AC2" s="11"/>
      <c r="AD2" s="11"/>
      <c r="AE2" s="11"/>
      <c r="AF2" s="11"/>
      <c r="AG2" s="11"/>
      <c r="AH2" s="11"/>
      <c r="AI2" s="11"/>
      <c r="AJ2" s="11"/>
      <c r="AK2" s="11"/>
      <c r="AL2" s="11"/>
      <c r="AM2" s="11"/>
      <c r="AN2" s="11"/>
      <c r="AO2" s="491" t="s">
        <v>5</v>
      </c>
      <c r="AP2" s="492"/>
      <c r="AQ2" s="492"/>
      <c r="AR2" s="492"/>
      <c r="AS2" s="492"/>
      <c r="AT2" s="492"/>
      <c r="AU2" s="492"/>
      <c r="AV2" s="492"/>
      <c r="AW2" s="493"/>
      <c r="AY2" s="491" t="s">
        <v>6</v>
      </c>
      <c r="AZ2" s="492"/>
      <c r="BA2" s="492"/>
      <c r="BB2" s="492"/>
      <c r="BC2" s="493"/>
      <c r="BE2" s="8" t="s">
        <v>7</v>
      </c>
      <c r="BF2" s="9" t="s">
        <v>8</v>
      </c>
      <c r="BG2" s="10">
        <f>WLS</f>
        <v>2</v>
      </c>
    </row>
    <row r="3" spans="1:60" x14ac:dyDescent="0.25">
      <c r="A3" s="12" t="s">
        <v>9</v>
      </c>
      <c r="B3" s="13" t="s">
        <v>10</v>
      </c>
      <c r="C3" s="14" t="s">
        <v>11</v>
      </c>
      <c r="D3" s="14" t="s">
        <v>12</v>
      </c>
      <c r="E3" s="14" t="s">
        <v>13</v>
      </c>
      <c r="F3" s="14" t="s">
        <v>14</v>
      </c>
      <c r="G3" s="14" t="s">
        <v>15</v>
      </c>
      <c r="H3" s="14" t="s">
        <v>16</v>
      </c>
      <c r="I3" s="14" t="s">
        <v>17</v>
      </c>
      <c r="J3" s="15"/>
      <c r="K3" s="14" t="s">
        <v>18</v>
      </c>
      <c r="L3" s="14" t="s">
        <v>19</v>
      </c>
      <c r="M3" s="14" t="s">
        <v>20</v>
      </c>
      <c r="N3" s="14" t="s">
        <v>21</v>
      </c>
      <c r="O3" s="14" t="s">
        <v>22</v>
      </c>
      <c r="P3" s="15"/>
      <c r="Q3" s="16" t="s">
        <v>23</v>
      </c>
      <c r="R3" s="9" t="s">
        <v>8</v>
      </c>
      <c r="S3" s="10">
        <f>STN_GAP</f>
        <v>7.31</v>
      </c>
      <c r="W3" s="17" t="s">
        <v>11</v>
      </c>
      <c r="X3" s="17"/>
      <c r="Y3" s="17"/>
      <c r="Z3" s="17" t="s">
        <v>24</v>
      </c>
      <c r="AA3" s="17"/>
      <c r="AB3" s="17"/>
      <c r="AC3" s="17"/>
      <c r="AD3" s="17"/>
      <c r="AE3" s="17"/>
      <c r="AF3" s="17"/>
      <c r="AG3" s="17" t="s">
        <v>4</v>
      </c>
      <c r="AH3" s="17"/>
      <c r="AI3" s="17" t="s">
        <v>25</v>
      </c>
      <c r="AJ3" s="17"/>
      <c r="AK3" s="17"/>
      <c r="AL3" s="17"/>
      <c r="AM3" s="18" t="s">
        <v>11</v>
      </c>
      <c r="AO3" s="12" t="s">
        <v>9</v>
      </c>
      <c r="AP3" s="13" t="s">
        <v>10</v>
      </c>
      <c r="AQ3" s="19"/>
      <c r="AR3" s="14" t="s">
        <v>12</v>
      </c>
      <c r="AS3" s="14" t="s">
        <v>13</v>
      </c>
      <c r="AT3" s="14" t="s">
        <v>14</v>
      </c>
      <c r="AU3" s="14" t="s">
        <v>15</v>
      </c>
      <c r="AV3" s="14" t="s">
        <v>16</v>
      </c>
      <c r="AW3" s="14" t="s">
        <v>17</v>
      </c>
      <c r="AY3" s="14" t="s">
        <v>18</v>
      </c>
      <c r="AZ3" s="14" t="s">
        <v>19</v>
      </c>
      <c r="BA3" s="14" t="s">
        <v>20</v>
      </c>
      <c r="BB3" s="14" t="s">
        <v>21</v>
      </c>
      <c r="BC3" s="14" t="s">
        <v>22</v>
      </c>
      <c r="BE3" s="16" t="s">
        <v>23</v>
      </c>
      <c r="BF3" s="9" t="s">
        <v>8</v>
      </c>
      <c r="BG3" s="10">
        <f>STN_GAP</f>
        <v>7.31</v>
      </c>
    </row>
    <row r="4" spans="1:60" x14ac:dyDescent="0.25">
      <c r="A4" s="20">
        <f>Tools!$AD3</f>
        <v>0</v>
      </c>
      <c r="B4" s="21" t="str">
        <f t="shared" ref="B4:B28" si="0">VLOOKUP(A4,OFFSET_A,Count_WL+1,FALSE)</f>
        <v xml:space="preserve">  </v>
      </c>
      <c r="C4" s="22">
        <f>IF(A4="  ","  ",IF(A5="  ","?",1*(A5-A4)))</f>
        <v>0.5</v>
      </c>
      <c r="D4" s="23" t="str">
        <f>IFERROR(B4*C4,"  ")</f>
        <v xml:space="preserve">  </v>
      </c>
      <c r="E4" s="24">
        <f t="shared" ref="E4:E28" si="1">IFERROR(A4-(Long_Div/2),"  ")</f>
        <v>-10</v>
      </c>
      <c r="F4" s="23" t="str">
        <f>IFERROR(D4*E4,"  ")</f>
        <v xml:space="preserve">  </v>
      </c>
      <c r="G4" s="23" t="str">
        <f>IFERROR(F4*E4,"  ")</f>
        <v xml:space="preserve">  </v>
      </c>
      <c r="H4" s="23" t="str">
        <f>IFERROR(B4^3,"  ")</f>
        <v xml:space="preserve">  </v>
      </c>
      <c r="I4" s="23" t="str">
        <f>IFERROR(H4*C4,"  ")</f>
        <v xml:space="preserve">  </v>
      </c>
      <c r="J4" s="4"/>
      <c r="K4" s="25" t="str">
        <f t="shared" ref="K4:K28" si="2">VLOOKUP(A4,AREA_TABLE,Count_WL+1,FALSE)</f>
        <v xml:space="preserve"> </v>
      </c>
      <c r="L4" s="23" t="str">
        <f>IFERROR(K4*C4,"  ")</f>
        <v xml:space="preserve">  </v>
      </c>
      <c r="M4" s="26" t="str">
        <f t="shared" ref="M4:M28" si="3">VLOOKUP(A4,MOMENT_TABLE,Count_WL+1,FALSE)</f>
        <v xml:space="preserve"> </v>
      </c>
      <c r="N4" s="27" t="str">
        <f>IFERROR(M4*C4,"  ")</f>
        <v xml:space="preserve">  </v>
      </c>
      <c r="O4" s="23" t="str">
        <f>IFERROR(L4*E4,"  ")</f>
        <v xml:space="preserve">  </v>
      </c>
      <c r="P4" s="4"/>
      <c r="Q4" s="16" t="s">
        <v>26</v>
      </c>
      <c r="R4" s="9" t="s">
        <v>8</v>
      </c>
      <c r="S4" s="28">
        <f>LBP</f>
        <v>146.19999999999999</v>
      </c>
      <c r="W4" s="29">
        <f>IF(AO4="  ","  ",IF(AO5="  ","?",1*(AO5-AO4)))</f>
        <v>0.5</v>
      </c>
      <c r="X4" s="30" t="str">
        <f t="shared" ref="X4:X28" si="4">IF(Y4=0,"--",CONCATENATE(IF(AO4=0,"-",IF(Y3=0,"-",IF(AO4-AO3=0.5,"D",IF(AO4-AO3=1,"W","-")))),IF(AO4=Long_Div,"-",IF(Y5=0,"-",IF(AO5-AO4=0.5,"D",IF(AO5-AO4=1,"W","-"))))))</f>
        <v>-D</v>
      </c>
      <c r="Y4" s="30" t="str">
        <f t="shared" ref="Y4:Y28" si="5">IF(ISNUMBER(AO4),IF(AO4=Long_Div/2,"-",IF(AND(AO4=Long_Div,$AP4=0,$AP3=0),0,IF(AND(AO4=0,$AP4=0,$AP5=0),0,IF($AO4&lt;Long_Div/2,IF(AND(Y3=0,$AP4=0,$AP5=0),0,"-"),IF(AND(Y5=0,$AP4=0,$AP3=0),0,"-")))))," ")</f>
        <v>-</v>
      </c>
      <c r="Z4" s="29" t="b">
        <f t="shared" ref="Z4:Z28" si="6">IF(ISNUMBER(AO4),IF(AO4=0,IF(AO5=0.5,TRUE,FALSE),IF(AO4=Long_Div,IF(AO3=Long_Div-0.5,TRUE,FALSE),IF(OR(AO5-AO4=0.5,AO4-AO3=0.5),TRUE,FALSE)))," ")</f>
        <v>1</v>
      </c>
      <c r="AA4" s="29" t="b">
        <f t="shared" ref="AA4:AA28" si="7">IF(ISNUMBER(AO4),IF(Y4=0," ",IF(AO4=0,IF(AO5=0.5,TRUE,"-"),IF(AO4=Long_Div,IF(AO3=Long_Div-0.5,TRUE,"-"),IF(OR(AO5-AO4=0.5,AO4-AO3=0.5),TRUE,FALSE))))," ")</f>
        <v>1</v>
      </c>
      <c r="AB4" s="29" t="str">
        <f t="shared" ref="AB4:AB28" ca="1" si="8">IF(AO4&lt;=Long_Div/2,IF(ISNUMBER(AO4),IF($X$1=0,"---",IF($X$1=1,"##",IF($X$1=2,IF(AD4=1,"141-4",IF(OR(AD4=0,AD4=2),"141-1","**")),IF(AC4&lt;=($Y$1),"--",IF(AC4&gt;$W$1,"++",IF(ISODD($X$1),IF(OR(AD4=1,AD4=$X$1),"141-1",IF(ISODD(AD4),"141-2",IF(ISEVEN(AD4),"141-4","+"))),IF(ISEVEN($X$1),IF(AD4=1,"1331-1",IF(OR(AD4=2,AD4=3),"1331-3",IF(AD4=4,IF($X$1=4,"1331-1","1331-1,141-1"),IF(AD4=$X$1,"141-1",IF(AD4&lt;=4,"??",IF(ISODD(AD4),"141-4",IF(ISEVEN(AD4),"141-2","SS"))))))))))))))," "),IF(AO4&gt;Long_Div/2,IF(ISNUMBER(AO4),IF($AD$1=0,"---",IF($AD$1=1,"##",IF($AD$1=2,IF(AD4=1,"141-4",IF(OR(AD4=0,AD4=2),"141-1","**")),IF(AC4&lt;=($AE$1),"--",IF(AC4&gt;$AC$1,"++",IF(ISODD($AD$1),IF(OR(AD4=1,AD4=$AD$1),"141-1",IF(ISODD(AD4),"141-2",IF(ISEVEN(AD4),"141-4","+"))),IF(ISEVEN($AD$1),IF(AD4=1,"1331-1",IF(OR(AD4=2,AD4=3),"1331-3",IF(AD4=4,IF($AD$1=4,"1331-1","1331-1,141-1"),IF(AD4=$AD$1,"141-1",IF(AD4&lt;=4,"??",IF(ISODD(AD4),"141-4",IF(ISEVEN(AD4),"141-2","SS"))))))))))))))," "),"@"))</f>
        <v>141-1</v>
      </c>
      <c r="AC4" s="29">
        <f>IF(ISNUMBER(AO4),IF(ISNUMBER(AO4),IF(OR(AO4=0,AO4=Long_Div),1,IF(AO4&gt;Long_Div/2,AC5+1,IF(AO4&lt;=Long_Div/2,AE3+1,"?")))," --")," ")</f>
        <v>1</v>
      </c>
      <c r="AD4" s="29">
        <f t="shared" ref="AD4:AD28" ca="1" si="9">IF(ISNUMBER(AO4),IF(AO4&gt;Long_Div/2,4-ROW(AD4)+Max_STN_count-$AE$1,ROW(AD4)-3-$Y$1)," ")</f>
        <v>1</v>
      </c>
      <c r="AE4" s="29">
        <v>1</v>
      </c>
      <c r="AF4" s="31" t="str">
        <f t="shared" ref="AF4:AF8" si="10">IF(AND(AG4=TRUE,OR(NOT(AG3=TRUE),AG3="Full")),1,IF(ISNUMBER(AF3),AF3+1," "))</f>
        <v xml:space="preserve"> </v>
      </c>
      <c r="AG4" s="29" t="b">
        <f t="shared" ref="AG4:AG28" si="11">IF(ISNUMBER(AO4),IF(AA4=" "," ",IF(AO4=0,IF(AO5-AO4=1,TRUE,FALSE),IF(AO4=Long_Div,IF(AO4-AO3=1,TRUE,FALSE),IF(OR(AO5-AO4=1,AO4-AO3=1),TRUE,FALSE))))," ")</f>
        <v>0</v>
      </c>
      <c r="AH4" s="30" t="str">
        <f t="shared" ref="AH4:AH13" si="12">IF(AND(AG4=TRUE,$AH$1=1),"141-4",IF(AG4=" ",IF(AND($AH$1=2,AF4=3),"141-1","-"),IF(OR(AG4=FALSE,AG4=" "),"-",IF(AG4=TRUE,IF(AND($AH$1=2,AF4=1),"141-1",IF(AND($AH$1=2,AF4=2),"141-4",IF(OR(ISODD($AH$1),AF4&gt;4),IF(AF4=1,"141-1",IF(OR(AB4="141-1",AB4="1331-1",AB4="1331-1,141-1"),"141-1",IF(AG5=" ","141-1",IF(OR(AH3="141-1",AH3="141-2",AH3="1331-1,141-1"),"141-4",IF(AH3="141-4","141-2","$$"))))),IF(ISEVEN($AH$1),IF(AF4=1,"1331-1",IF(OR(AF4=2,AF4=3),"1331-3",IF(AF4=4,IF($AH$1=4,"1331-1","1331-1,141-1"),"")))))))))))</f>
        <v>-</v>
      </c>
      <c r="AI4" s="30" t="str">
        <f t="shared" ref="AI4:AI28" ca="1" si="13">IF(OR(AB4="1331-1",AB4="1331-1,141-1"),"(1/2)*(3/8)",IF(AB4="1331-3","(1/2)*(9/8)",IF(AB4="141-1","(1/2)*(1/3)",IF(AB4="141-2","(1/2)*(2/3)",IF(AB4="141-4","(1/2)*(4/3)","")))))</f>
        <v>(1/2)*(1/3)</v>
      </c>
      <c r="AJ4" s="29">
        <f t="shared" ref="AJ4:AJ28" ca="1" si="14">IF(OR(AB4="1331-1",AB4="1331-1,141-1"),(1/2)*(3/8),IF(AB4="1331-3",(1/2)*(9/8),IF(AB4="141-1",(1/2)*(1/3),IF(AB4="141-2",(1/2)*(2/3),IF(AB4="141-4",(1/2)*(4/3),0)))))</f>
        <v>0.16666666666666666</v>
      </c>
      <c r="AK4" s="29" t="str">
        <f t="shared" ref="AK4:AK28" si="15">IF(AH4="1331-1,141-1","(1*3/8)+(1/3)",IF(LEFT(AH4,4)="141-",CONCATENATE(RIGHT(AH4,1),"/3"),IF(LEFT(AH4,4)="1331",CONCATENATE(RIGHT(AH4,1),"*3/8"),"")))</f>
        <v/>
      </c>
      <c r="AL4" s="29">
        <f t="shared" ref="AL4:AL28" si="16">IF(AH4="1331-1,141-1",(1*3/8)+(1/3),IF(LEFT(AH4,4)="141-",(RIGHT(AH4,1)/3),IF(LEFT(AH4,4)="1331",RIGHT(AH4,1)*3/8,0)))</f>
        <v>0</v>
      </c>
      <c r="AM4" s="32">
        <f ca="1">IF(AQ4=""," ",AJ4+AL4)</f>
        <v>0.16666666666666666</v>
      </c>
      <c r="AO4" s="20">
        <f>Tools!$AD3</f>
        <v>0</v>
      </c>
      <c r="AP4" s="33" t="str">
        <f t="shared" ref="AP4" si="17">VLOOKUP(AO4,OFFSET_A,Count_WL+1,FALSE)</f>
        <v xml:space="preserve">  </v>
      </c>
      <c r="AQ4" s="34" t="str">
        <f t="shared" ref="AQ4:AQ28" ca="1" si="18">CONCATENATE(AI4,IF(NOT(OR(AI4="",AK4="")),"+",""),AK4)</f>
        <v>(1/2)*(1/3)</v>
      </c>
      <c r="AR4" s="23" t="str">
        <f t="shared" ref="AR4:AR28" ca="1" si="19">IFERROR(AP4*AM4,"  ")</f>
        <v xml:space="preserve">  </v>
      </c>
      <c r="AS4" s="24">
        <f t="shared" ref="AS4:AS28" si="20">IFERROR(AO4-(Long_Div/2),"  ")</f>
        <v>-10</v>
      </c>
      <c r="AT4" s="23" t="str">
        <f ca="1">IFERROR(AR4*AS4,"  ")</f>
        <v xml:space="preserve">  </v>
      </c>
      <c r="AU4" s="23" t="str">
        <f ca="1">IFERROR(AT4*AS4,"  ")</f>
        <v xml:space="preserve">  </v>
      </c>
      <c r="AV4" s="23" t="str">
        <f t="shared" ref="AV4:AV28" si="21">IFERROR(AP4^3,"  ")</f>
        <v xml:space="preserve">  </v>
      </c>
      <c r="AW4" s="23" t="str">
        <f t="shared" ref="AW4:AW28" ca="1" si="22">IFERROR(AV4*AM4,"  ")</f>
        <v xml:space="preserve">  </v>
      </c>
      <c r="AY4" s="35" t="str">
        <f t="shared" ref="AY4:AY28" si="23">IF(ROW(AY4)-3&gt;Max_STN_count," ",VLOOKUP(AO4,AREA_TABLE,Count_WL+1,FALSE))</f>
        <v xml:space="preserve"> </v>
      </c>
      <c r="AZ4" s="23" t="str">
        <f t="shared" ref="AZ4:AZ7" ca="1" si="24">IFERROR(AY4*AM4,"  ")</f>
        <v xml:space="preserve">  </v>
      </c>
      <c r="BA4" s="36" t="str">
        <f t="shared" ref="BA4:BA28" si="25">IF(ROW(AY4)-3&gt;Max_STN_count," ",VLOOKUP(AO4,MOMENT_TABLE,Count_WL+1,FALSE))</f>
        <v xml:space="preserve"> </v>
      </c>
      <c r="BB4" s="27" t="str">
        <f ca="1">IFERROR(BA4*AM4,"  ")</f>
        <v xml:space="preserve">  </v>
      </c>
      <c r="BC4" s="23" t="str">
        <f ca="1">IFERROR(AZ4*AS4,"  ")</f>
        <v xml:space="preserve">  </v>
      </c>
      <c r="BE4" s="16" t="s">
        <v>26</v>
      </c>
      <c r="BF4" s="9" t="s">
        <v>8</v>
      </c>
      <c r="BG4" s="28">
        <f>LBP</f>
        <v>146.19999999999999</v>
      </c>
    </row>
    <row r="5" spans="1:60" x14ac:dyDescent="0.25">
      <c r="A5" s="20">
        <f>Tools!$AD4</f>
        <v>0.5</v>
      </c>
      <c r="B5" s="33" t="str">
        <f t="shared" si="0"/>
        <v xml:space="preserve">  </v>
      </c>
      <c r="C5" s="22">
        <f>IF(A5="  ","  ",IF(AND(A4="  ",A6="  "),"?",IF(A4="  ",2*(A6-A5),IF(A6="  ",2*(A5-A4),2*(A6-A4)))))</f>
        <v>2</v>
      </c>
      <c r="D5" s="23" t="str">
        <f t="shared" ref="D5:D28" si="26">IFERROR(B5*C5,"  ")</f>
        <v xml:space="preserve">  </v>
      </c>
      <c r="E5" s="24">
        <f t="shared" si="1"/>
        <v>-9.5</v>
      </c>
      <c r="F5" s="23" t="str">
        <f t="shared" ref="F5:F28" si="27">IFERROR(D5*E5,"  ")</f>
        <v xml:space="preserve">  </v>
      </c>
      <c r="G5" s="23" t="str">
        <f t="shared" ref="G5:G28" si="28">IFERROR(F5*E5,"  ")</f>
        <v xml:space="preserve">  </v>
      </c>
      <c r="H5" s="23" t="str">
        <f t="shared" ref="H5:H28" si="29">IFERROR(B5^3,"  ")</f>
        <v xml:space="preserve">  </v>
      </c>
      <c r="I5" s="23" t="str">
        <f t="shared" ref="I5:I28" si="30">IFERROR(H5*C5,"  ")</f>
        <v xml:space="preserve">  </v>
      </c>
      <c r="J5" s="4"/>
      <c r="K5" s="37" t="str">
        <f t="shared" si="2"/>
        <v xml:space="preserve"> </v>
      </c>
      <c r="L5" s="23" t="str">
        <f t="shared" ref="L5:L28" si="31">IFERROR(K5*C5,"  ")</f>
        <v xml:space="preserve">  </v>
      </c>
      <c r="M5" s="38" t="str">
        <f t="shared" si="3"/>
        <v xml:space="preserve"> </v>
      </c>
      <c r="N5" s="27" t="str">
        <f t="shared" ref="N5:N28" si="32">IFERROR(M5*C5,"  ")</f>
        <v xml:space="preserve">  </v>
      </c>
      <c r="O5" s="23" t="str">
        <f t="shared" ref="O5:O28" si="33">IFERROR(L5*E5,"  ")</f>
        <v xml:space="preserve">  </v>
      </c>
      <c r="P5" s="4"/>
      <c r="Q5" s="8" t="s">
        <v>27</v>
      </c>
      <c r="R5" s="9" t="s">
        <v>8</v>
      </c>
      <c r="S5" s="10">
        <f>BREADTH</f>
        <v>22</v>
      </c>
      <c r="W5" s="29">
        <f>IF(AO5="  ","  ",IF(AND(AO4="  ",AO6="  "),"?",IF(AO4="  ",2*(AO6-AO5),IF(AO6="  ",2*(AO5-AO4),2*(AO6-AO4)))))</f>
        <v>2</v>
      </c>
      <c r="X5" s="30" t="str">
        <f t="shared" si="4"/>
        <v>DD</v>
      </c>
      <c r="Y5" s="30" t="str">
        <f t="shared" si="5"/>
        <v>-</v>
      </c>
      <c r="Z5" s="29" t="b">
        <f t="shared" si="6"/>
        <v>1</v>
      </c>
      <c r="AA5" s="29" t="b">
        <f t="shared" si="7"/>
        <v>1</v>
      </c>
      <c r="AB5" s="29" t="str">
        <f t="shared" ca="1" si="8"/>
        <v>141-4</v>
      </c>
      <c r="AC5" s="29">
        <f t="shared" ref="AC5:AC27" si="34">IF(ISNUMBER(AO5),IF(ISNUMBER(AO5),IF(OR(AO5=0,AO5=Long_Div),1,IF(AO5&gt;Long_Div/2,AC6+1,IF(AO5&lt;=Long_Div/2,AC4+1,"?")))," --")," ")</f>
        <v>2</v>
      </c>
      <c r="AD5" s="29">
        <f t="shared" ca="1" si="9"/>
        <v>2</v>
      </c>
      <c r="AE5" s="29">
        <v>2</v>
      </c>
      <c r="AF5" s="31" t="str">
        <f t="shared" si="10"/>
        <v xml:space="preserve"> </v>
      </c>
      <c r="AG5" s="29" t="b">
        <f t="shared" si="11"/>
        <v>0</v>
      </c>
      <c r="AH5" s="30" t="str">
        <f t="shared" si="12"/>
        <v>-</v>
      </c>
      <c r="AI5" s="30" t="str">
        <f t="shared" ca="1" si="13"/>
        <v>(1/2)*(4/3)</v>
      </c>
      <c r="AJ5" s="29">
        <f t="shared" ca="1" si="14"/>
        <v>0.66666666666666663</v>
      </c>
      <c r="AK5" s="29" t="str">
        <f t="shared" si="15"/>
        <v/>
      </c>
      <c r="AL5" s="29">
        <f t="shared" si="16"/>
        <v>0</v>
      </c>
      <c r="AM5" s="32">
        <f t="shared" ref="AM5:AM28" ca="1" si="35">IF(AQ5=""," ",AJ5+AL5)</f>
        <v>0.66666666666666663</v>
      </c>
      <c r="AO5" s="20">
        <f>Tools!$AD4</f>
        <v>0.5</v>
      </c>
      <c r="AP5" s="33" t="str">
        <f t="shared" ref="AP5:AP26" si="36">VLOOKUP(AO5,OFFSET_A,Count_WL+1,FALSE)</f>
        <v xml:space="preserve">  </v>
      </c>
      <c r="AQ5" s="34" t="str">
        <f t="shared" ca="1" si="18"/>
        <v>(1/2)*(4/3)</v>
      </c>
      <c r="AR5" s="23" t="str">
        <f t="shared" ca="1" si="19"/>
        <v xml:space="preserve">  </v>
      </c>
      <c r="AS5" s="24">
        <f t="shared" si="20"/>
        <v>-9.5</v>
      </c>
      <c r="AT5" s="23" t="str">
        <f t="shared" ref="AT5:AT28" ca="1" si="37">IFERROR(AR5*AS5,"  ")</f>
        <v xml:space="preserve">  </v>
      </c>
      <c r="AU5" s="23" t="str">
        <f ca="1">IFERROR(AT5*AS5,"  ")</f>
        <v xml:space="preserve">  </v>
      </c>
      <c r="AV5" s="23" t="str">
        <f t="shared" si="21"/>
        <v xml:space="preserve">  </v>
      </c>
      <c r="AW5" s="23" t="str">
        <f t="shared" ca="1" si="22"/>
        <v xml:space="preserve">  </v>
      </c>
      <c r="AY5" s="35" t="str">
        <f t="shared" si="23"/>
        <v xml:space="preserve"> </v>
      </c>
      <c r="AZ5" s="23" t="str">
        <f t="shared" ca="1" si="24"/>
        <v xml:space="preserve">  </v>
      </c>
      <c r="BA5" s="36" t="str">
        <f t="shared" si="25"/>
        <v xml:space="preserve"> </v>
      </c>
      <c r="BB5" s="27" t="str">
        <f t="shared" ref="BB5:BB28" ca="1" si="38">IFERROR(BA5*AM5,"  ")</f>
        <v xml:space="preserve">  </v>
      </c>
      <c r="BC5" s="23" t="str">
        <f t="shared" ref="BC5:BC28" ca="1" si="39">IFERROR(AZ5*AS5,"  ")</f>
        <v xml:space="preserve">  </v>
      </c>
      <c r="BE5" s="8" t="s">
        <v>27</v>
      </c>
      <c r="BF5" s="9" t="s">
        <v>8</v>
      </c>
      <c r="BG5" s="10">
        <f>BREADTH</f>
        <v>22</v>
      </c>
    </row>
    <row r="6" spans="1:60" x14ac:dyDescent="0.25">
      <c r="A6" s="20">
        <f>Tools!$AD5</f>
        <v>1</v>
      </c>
      <c r="B6" s="33" t="str">
        <f t="shared" si="0"/>
        <v xml:space="preserve">  </v>
      </c>
      <c r="C6" s="22">
        <f>IF(A6="  ","  ",IF(AND(A5="  ",A7="  "),"?",IF(A5="  ",1*(A7-A6),IF(A7="  ",1*(A6-A5),1*(A7-A5)))))</f>
        <v>1</v>
      </c>
      <c r="D6" s="23" t="str">
        <f t="shared" si="26"/>
        <v xml:space="preserve">  </v>
      </c>
      <c r="E6" s="24">
        <f t="shared" si="1"/>
        <v>-9</v>
      </c>
      <c r="F6" s="23" t="str">
        <f t="shared" si="27"/>
        <v xml:space="preserve">  </v>
      </c>
      <c r="G6" s="23" t="str">
        <f t="shared" si="28"/>
        <v xml:space="preserve">  </v>
      </c>
      <c r="H6" s="23" t="str">
        <f t="shared" si="29"/>
        <v xml:space="preserve">  </v>
      </c>
      <c r="I6" s="23" t="str">
        <f t="shared" si="30"/>
        <v xml:space="preserve">  </v>
      </c>
      <c r="J6" s="4"/>
      <c r="K6" s="37" t="str">
        <f t="shared" si="2"/>
        <v xml:space="preserve"> </v>
      </c>
      <c r="L6" s="23" t="str">
        <f t="shared" si="31"/>
        <v xml:space="preserve">  </v>
      </c>
      <c r="M6" s="38" t="str">
        <f t="shared" si="3"/>
        <v xml:space="preserve"> </v>
      </c>
      <c r="N6" s="27" t="str">
        <f t="shared" si="32"/>
        <v xml:space="preserve">  </v>
      </c>
      <c r="O6" s="23" t="str">
        <f t="shared" si="33"/>
        <v xml:space="preserve">  </v>
      </c>
      <c r="P6" s="4"/>
      <c r="Q6" s="8" t="s">
        <v>28</v>
      </c>
      <c r="R6" s="9" t="s">
        <v>8</v>
      </c>
      <c r="S6" s="10">
        <f>DEPTH</f>
        <v>13</v>
      </c>
      <c r="W6" s="29">
        <f>IF(AO6="  ","  ",IF(AND(AO5="  ",AO7="  "),"?",IF(AO5="  ",1*(AO7-AO6),IF(AO7="  ",1*(AO6-AO5),1*(AO7-AO5)))))</f>
        <v>1</v>
      </c>
      <c r="X6" s="30" t="str">
        <f t="shared" si="4"/>
        <v>DD</v>
      </c>
      <c r="Y6" s="30" t="str">
        <f t="shared" si="5"/>
        <v>-</v>
      </c>
      <c r="Z6" s="29" t="b">
        <f t="shared" si="6"/>
        <v>1</v>
      </c>
      <c r="AA6" s="29" t="b">
        <f t="shared" si="7"/>
        <v>1</v>
      </c>
      <c r="AB6" s="29" t="str">
        <f t="shared" ca="1" si="8"/>
        <v>141-2</v>
      </c>
      <c r="AC6" s="29">
        <f t="shared" si="34"/>
        <v>3</v>
      </c>
      <c r="AD6" s="29">
        <f t="shared" ca="1" si="9"/>
        <v>3</v>
      </c>
      <c r="AE6" s="29">
        <v>3</v>
      </c>
      <c r="AF6" s="31" t="str">
        <f t="shared" si="10"/>
        <v xml:space="preserve"> </v>
      </c>
      <c r="AG6" s="29" t="b">
        <f t="shared" si="11"/>
        <v>0</v>
      </c>
      <c r="AH6" s="30" t="str">
        <f t="shared" si="12"/>
        <v>-</v>
      </c>
      <c r="AI6" s="30" t="str">
        <f t="shared" ca="1" si="13"/>
        <v>(1/2)*(2/3)</v>
      </c>
      <c r="AJ6" s="29">
        <f t="shared" ca="1" si="14"/>
        <v>0.33333333333333331</v>
      </c>
      <c r="AK6" s="29" t="str">
        <f t="shared" si="15"/>
        <v/>
      </c>
      <c r="AL6" s="29">
        <f t="shared" si="16"/>
        <v>0</v>
      </c>
      <c r="AM6" s="32">
        <f t="shared" ca="1" si="35"/>
        <v>0.33333333333333331</v>
      </c>
      <c r="AO6" s="20">
        <f>Tools!$AD5</f>
        <v>1</v>
      </c>
      <c r="AP6" s="33" t="str">
        <f t="shared" si="36"/>
        <v xml:space="preserve">  </v>
      </c>
      <c r="AQ6" s="34" t="str">
        <f t="shared" ca="1" si="18"/>
        <v>(1/2)*(2/3)</v>
      </c>
      <c r="AR6" s="23" t="str">
        <f t="shared" ca="1" si="19"/>
        <v xml:space="preserve">  </v>
      </c>
      <c r="AS6" s="24">
        <f t="shared" si="20"/>
        <v>-9</v>
      </c>
      <c r="AT6" s="23" t="str">
        <f t="shared" ca="1" si="37"/>
        <v xml:space="preserve">  </v>
      </c>
      <c r="AU6" s="23" t="str">
        <f ca="1">IFERROR(AT6*AS6,"  ")</f>
        <v xml:space="preserve">  </v>
      </c>
      <c r="AV6" s="23" t="str">
        <f t="shared" si="21"/>
        <v xml:space="preserve">  </v>
      </c>
      <c r="AW6" s="23" t="str">
        <f t="shared" ca="1" si="22"/>
        <v xml:space="preserve">  </v>
      </c>
      <c r="AY6" s="35" t="str">
        <f t="shared" si="23"/>
        <v xml:space="preserve"> </v>
      </c>
      <c r="AZ6" s="23" t="str">
        <f t="shared" ca="1" si="24"/>
        <v xml:space="preserve">  </v>
      </c>
      <c r="BA6" s="36" t="str">
        <f t="shared" si="25"/>
        <v xml:space="preserve"> </v>
      </c>
      <c r="BB6" s="27" t="str">
        <f t="shared" ca="1" si="38"/>
        <v xml:space="preserve">  </v>
      </c>
      <c r="BC6" s="23" t="str">
        <f t="shared" ca="1" si="39"/>
        <v xml:space="preserve">  </v>
      </c>
      <c r="BE6" s="8" t="s">
        <v>28</v>
      </c>
      <c r="BF6" s="9" t="s">
        <v>8</v>
      </c>
      <c r="BG6" s="10">
        <f>DEPTH</f>
        <v>13</v>
      </c>
    </row>
    <row r="7" spans="1:60" x14ac:dyDescent="0.25">
      <c r="A7" s="20">
        <f>Tools!$AD6</f>
        <v>1.5</v>
      </c>
      <c r="B7" s="33" t="str">
        <f t="shared" si="0"/>
        <v xml:space="preserve">  </v>
      </c>
      <c r="C7" s="22">
        <f>IF(A7="  ","  ",IF(AND(A6="  ",A8="  "),"?",IF(A6="  ",2*(A8-A7),IF(A8="  ",2*(A7-A6),2*(A8-A6)))))</f>
        <v>2</v>
      </c>
      <c r="D7" s="23" t="str">
        <f t="shared" si="26"/>
        <v xml:space="preserve">  </v>
      </c>
      <c r="E7" s="24">
        <f t="shared" si="1"/>
        <v>-8.5</v>
      </c>
      <c r="F7" s="23" t="str">
        <f t="shared" si="27"/>
        <v xml:space="preserve">  </v>
      </c>
      <c r="G7" s="23" t="str">
        <f t="shared" si="28"/>
        <v xml:space="preserve">  </v>
      </c>
      <c r="H7" s="23" t="str">
        <f t="shared" si="29"/>
        <v xml:space="preserve">  </v>
      </c>
      <c r="I7" s="23" t="str">
        <f t="shared" si="30"/>
        <v xml:space="preserve">  </v>
      </c>
      <c r="J7" s="4"/>
      <c r="K7" s="37" t="str">
        <f t="shared" si="2"/>
        <v xml:space="preserve"> </v>
      </c>
      <c r="L7" s="23" t="str">
        <f t="shared" si="31"/>
        <v xml:space="preserve">  </v>
      </c>
      <c r="M7" s="38" t="str">
        <f t="shared" si="3"/>
        <v xml:space="preserve"> </v>
      </c>
      <c r="N7" s="27" t="str">
        <f t="shared" si="32"/>
        <v xml:space="preserve">  </v>
      </c>
      <c r="O7" s="23" t="str">
        <f t="shared" si="33"/>
        <v xml:space="preserve">  </v>
      </c>
      <c r="P7" s="4"/>
      <c r="Q7" s="39" t="s">
        <v>29</v>
      </c>
      <c r="R7" s="40" t="s">
        <v>8</v>
      </c>
      <c r="S7" s="41" t="str">
        <f>IF(MAX(B4:B28)=0," ",2*MAX(B4:B28))</f>
        <v xml:space="preserve"> </v>
      </c>
      <c r="W7" s="29">
        <f>IF(AO7="  ","  ",IF(AND(AO6="  ",AO8="  "),"?",IF(AO6="  ",2*(AO8-AO7),IF(AO8="  ",2*(AO7-AO6),2*(AO8-AO6)))))</f>
        <v>2</v>
      </c>
      <c r="X7" s="30" t="str">
        <f t="shared" si="4"/>
        <v>DD</v>
      </c>
      <c r="Y7" s="30" t="str">
        <f t="shared" si="5"/>
        <v>-</v>
      </c>
      <c r="Z7" s="29" t="b">
        <f t="shared" si="6"/>
        <v>1</v>
      </c>
      <c r="AA7" s="29" t="b">
        <f t="shared" si="7"/>
        <v>1</v>
      </c>
      <c r="AB7" s="29" t="str">
        <f t="shared" ca="1" si="8"/>
        <v>141-4</v>
      </c>
      <c r="AC7" s="29">
        <f t="shared" si="34"/>
        <v>4</v>
      </c>
      <c r="AD7" s="29">
        <f t="shared" ca="1" si="9"/>
        <v>4</v>
      </c>
      <c r="AE7" s="29">
        <v>4</v>
      </c>
      <c r="AF7" s="31" t="str">
        <f t="shared" si="10"/>
        <v xml:space="preserve"> </v>
      </c>
      <c r="AG7" s="29" t="b">
        <f t="shared" si="11"/>
        <v>0</v>
      </c>
      <c r="AH7" s="30" t="str">
        <f t="shared" si="12"/>
        <v>-</v>
      </c>
      <c r="AI7" s="30" t="str">
        <f t="shared" ca="1" si="13"/>
        <v>(1/2)*(4/3)</v>
      </c>
      <c r="AJ7" s="29">
        <f t="shared" ca="1" si="14"/>
        <v>0.66666666666666663</v>
      </c>
      <c r="AK7" s="29" t="str">
        <f t="shared" si="15"/>
        <v/>
      </c>
      <c r="AL7" s="29">
        <f t="shared" si="16"/>
        <v>0</v>
      </c>
      <c r="AM7" s="32">
        <f t="shared" ca="1" si="35"/>
        <v>0.66666666666666663</v>
      </c>
      <c r="AO7" s="20">
        <f>Tools!$AD6</f>
        <v>1.5</v>
      </c>
      <c r="AP7" s="33" t="str">
        <f t="shared" si="36"/>
        <v xml:space="preserve">  </v>
      </c>
      <c r="AQ7" s="34" t="str">
        <f t="shared" ca="1" si="18"/>
        <v>(1/2)*(4/3)</v>
      </c>
      <c r="AR7" s="23" t="str">
        <f t="shared" ca="1" si="19"/>
        <v xml:space="preserve">  </v>
      </c>
      <c r="AS7" s="24">
        <f t="shared" si="20"/>
        <v>-8.5</v>
      </c>
      <c r="AT7" s="23" t="str">
        <f t="shared" ca="1" si="37"/>
        <v xml:space="preserve">  </v>
      </c>
      <c r="AU7" s="23" t="str">
        <f t="shared" ref="AU7:AU28" ca="1" si="40">IFERROR(AT7*AS7,"  ")</f>
        <v xml:space="preserve">  </v>
      </c>
      <c r="AV7" s="23" t="str">
        <f t="shared" si="21"/>
        <v xml:space="preserve">  </v>
      </c>
      <c r="AW7" s="23" t="str">
        <f t="shared" ca="1" si="22"/>
        <v xml:space="preserve">  </v>
      </c>
      <c r="AY7" s="35" t="str">
        <f t="shared" si="23"/>
        <v xml:space="preserve"> </v>
      </c>
      <c r="AZ7" s="23" t="str">
        <f t="shared" ca="1" si="24"/>
        <v xml:space="preserve">  </v>
      </c>
      <c r="BA7" s="36" t="str">
        <f t="shared" si="25"/>
        <v xml:space="preserve"> </v>
      </c>
      <c r="BB7" s="27" t="str">
        <f t="shared" ca="1" si="38"/>
        <v xml:space="preserve">  </v>
      </c>
      <c r="BC7" s="23" t="str">
        <f t="shared" ca="1" si="39"/>
        <v xml:space="preserve">  </v>
      </c>
      <c r="BE7" s="8" t="s">
        <v>29</v>
      </c>
      <c r="BF7" s="9" t="s">
        <v>8</v>
      </c>
      <c r="BG7" s="10" t="str">
        <f>IF(MAX(AP4:AP28)=0," ",2*MAX(AP4:AP28))</f>
        <v xml:space="preserve"> </v>
      </c>
    </row>
    <row r="8" spans="1:60" x14ac:dyDescent="0.25">
      <c r="A8" s="20">
        <f>Tools!$AD7</f>
        <v>2</v>
      </c>
      <c r="B8" s="33" t="str">
        <f t="shared" si="0"/>
        <v xml:space="preserve">  </v>
      </c>
      <c r="C8" s="22">
        <f>IF(A8="  ","  ",IF(AND(A7="  ",A9="  "),"?",IF(A7="  ",1*(A9-A8),IF(A9="  ",1*(A8-A7),1*(A9-A7)))))</f>
        <v>1.5</v>
      </c>
      <c r="D8" s="23" t="str">
        <f t="shared" si="26"/>
        <v xml:space="preserve">  </v>
      </c>
      <c r="E8" s="24">
        <f t="shared" si="1"/>
        <v>-8</v>
      </c>
      <c r="F8" s="23" t="str">
        <f t="shared" si="27"/>
        <v xml:space="preserve">  </v>
      </c>
      <c r="G8" s="23" t="str">
        <f t="shared" si="28"/>
        <v xml:space="preserve">  </v>
      </c>
      <c r="H8" s="23" t="str">
        <f t="shared" si="29"/>
        <v xml:space="preserve">  </v>
      </c>
      <c r="I8" s="23" t="str">
        <f t="shared" si="30"/>
        <v xml:space="preserve">  </v>
      </c>
      <c r="J8" s="4"/>
      <c r="K8" s="37" t="str">
        <f t="shared" si="2"/>
        <v xml:space="preserve"> </v>
      </c>
      <c r="L8" s="23" t="str">
        <f t="shared" si="31"/>
        <v xml:space="preserve">  </v>
      </c>
      <c r="M8" s="38" t="str">
        <f t="shared" si="3"/>
        <v xml:space="preserve"> </v>
      </c>
      <c r="N8" s="27" t="str">
        <f t="shared" si="32"/>
        <v xml:space="preserve">  </v>
      </c>
      <c r="O8" s="23" t="str">
        <f t="shared" si="33"/>
        <v xml:space="preserve">  </v>
      </c>
      <c r="P8" s="4"/>
      <c r="Q8" s="42"/>
      <c r="R8" s="42"/>
      <c r="S8" s="42"/>
      <c r="W8" s="29">
        <f>IF(AO8="  ","  ",IF(AND(AO7="  ",AO9="  "),"?",IF(AO7="  ",1*(AO9-AO8),IF(AO9="  ",1*(AO8-AO7),1*(AO9-AO7)))))</f>
        <v>1.5</v>
      </c>
      <c r="X8" s="30" t="str">
        <f t="shared" si="4"/>
        <v>DW</v>
      </c>
      <c r="Y8" s="30" t="str">
        <f t="shared" si="5"/>
        <v>-</v>
      </c>
      <c r="Z8" s="29" t="b">
        <f t="shared" si="6"/>
        <v>1</v>
      </c>
      <c r="AA8" s="29" t="b">
        <f t="shared" si="7"/>
        <v>1</v>
      </c>
      <c r="AB8" s="29" t="str">
        <f t="shared" ca="1" si="8"/>
        <v>141-1</v>
      </c>
      <c r="AC8" s="29">
        <f t="shared" si="34"/>
        <v>5</v>
      </c>
      <c r="AD8" s="29">
        <f t="shared" ca="1" si="9"/>
        <v>5</v>
      </c>
      <c r="AE8" s="29">
        <v>5</v>
      </c>
      <c r="AF8" s="31">
        <f t="shared" si="10"/>
        <v>1</v>
      </c>
      <c r="AG8" s="29" t="b">
        <f t="shared" si="11"/>
        <v>1</v>
      </c>
      <c r="AH8" s="30" t="str">
        <f t="shared" si="12"/>
        <v>141-1</v>
      </c>
      <c r="AI8" s="30" t="str">
        <f t="shared" ca="1" si="13"/>
        <v>(1/2)*(1/3)</v>
      </c>
      <c r="AJ8" s="29">
        <f t="shared" ca="1" si="14"/>
        <v>0.16666666666666666</v>
      </c>
      <c r="AK8" s="29" t="str">
        <f t="shared" si="15"/>
        <v>1/3</v>
      </c>
      <c r="AL8" s="29">
        <f t="shared" si="16"/>
        <v>0.33333333333333331</v>
      </c>
      <c r="AM8" s="32">
        <f t="shared" ca="1" si="35"/>
        <v>0.5</v>
      </c>
      <c r="AO8" s="20">
        <f>Tools!$AD7</f>
        <v>2</v>
      </c>
      <c r="AP8" s="33" t="str">
        <f t="shared" si="36"/>
        <v xml:space="preserve">  </v>
      </c>
      <c r="AQ8" s="34" t="str">
        <f t="shared" ca="1" si="18"/>
        <v>(1/2)*(1/3)+1/3</v>
      </c>
      <c r="AR8" s="23" t="str">
        <f t="shared" ca="1" si="19"/>
        <v xml:space="preserve">  </v>
      </c>
      <c r="AS8" s="24">
        <f t="shared" si="20"/>
        <v>-8</v>
      </c>
      <c r="AT8" s="23" t="str">
        <f t="shared" ca="1" si="37"/>
        <v xml:space="preserve">  </v>
      </c>
      <c r="AU8" s="23" t="str">
        <f t="shared" ca="1" si="40"/>
        <v xml:space="preserve">  </v>
      </c>
      <c r="AV8" s="23" t="str">
        <f t="shared" si="21"/>
        <v xml:space="preserve">  </v>
      </c>
      <c r="AW8" s="23" t="str">
        <f t="shared" ca="1" si="22"/>
        <v xml:space="preserve">  </v>
      </c>
      <c r="AY8" s="35" t="str">
        <f t="shared" si="23"/>
        <v xml:space="preserve"> </v>
      </c>
      <c r="AZ8" s="23" t="str">
        <f ca="1">IFERROR(AY8*AM8,"  ")</f>
        <v xml:space="preserve">  </v>
      </c>
      <c r="BA8" s="36" t="str">
        <f t="shared" si="25"/>
        <v xml:space="preserve"> </v>
      </c>
      <c r="BB8" s="27" t="str">
        <f t="shared" ca="1" si="38"/>
        <v xml:space="preserve">  </v>
      </c>
      <c r="BC8" s="23" t="str">
        <f t="shared" ca="1" si="39"/>
        <v xml:space="preserve">  </v>
      </c>
      <c r="BE8" s="8" t="s">
        <v>30</v>
      </c>
      <c r="BF8" s="9" t="s">
        <v>8</v>
      </c>
      <c r="BG8" s="10">
        <f ca="1">LBP-AJ33</f>
        <v>146.19999999999999</v>
      </c>
      <c r="BH8" t="str">
        <f ca="1">IF(AJ33&gt;0,CONCATENATE("(LWL is assumed between stations ",$AH$31," and ",$AH$33," as offset values extreme to these stations are zeros.)"),"")</f>
        <v/>
      </c>
    </row>
    <row r="9" spans="1:60" x14ac:dyDescent="0.25">
      <c r="A9" s="20">
        <f>Tools!$AD8</f>
        <v>3</v>
      </c>
      <c r="B9" s="33" t="str">
        <f t="shared" si="0"/>
        <v xml:space="preserve">  </v>
      </c>
      <c r="C9" s="22">
        <f>IF(A9="  ","  ",IF(AND(A8="  ",A10="  "),"?",IF(A8="  ",2*(A10-A9),IF(A10="  ",2*(A9-A8),2*(A10-A8)))))</f>
        <v>4</v>
      </c>
      <c r="D9" s="23" t="str">
        <f t="shared" si="26"/>
        <v xml:space="preserve">  </v>
      </c>
      <c r="E9" s="24">
        <f t="shared" si="1"/>
        <v>-7</v>
      </c>
      <c r="F9" s="23" t="str">
        <f t="shared" si="27"/>
        <v xml:space="preserve">  </v>
      </c>
      <c r="G9" s="23" t="str">
        <f t="shared" si="28"/>
        <v xml:space="preserve">  </v>
      </c>
      <c r="H9" s="23" t="str">
        <f t="shared" si="29"/>
        <v xml:space="preserve">  </v>
      </c>
      <c r="I9" s="23" t="str">
        <f t="shared" si="30"/>
        <v xml:space="preserve">  </v>
      </c>
      <c r="J9" s="4"/>
      <c r="K9" s="37" t="str">
        <f t="shared" si="2"/>
        <v xml:space="preserve"> </v>
      </c>
      <c r="L9" s="23" t="str">
        <f t="shared" si="31"/>
        <v xml:space="preserve">  </v>
      </c>
      <c r="M9" s="38" t="str">
        <f t="shared" si="3"/>
        <v xml:space="preserve"> </v>
      </c>
      <c r="N9" s="27" t="str">
        <f t="shared" si="32"/>
        <v xml:space="preserve">  </v>
      </c>
      <c r="O9" s="23" t="str">
        <f t="shared" si="33"/>
        <v xml:space="preserve">  </v>
      </c>
      <c r="P9" s="4"/>
      <c r="Q9" s="43" t="s">
        <v>31</v>
      </c>
      <c r="R9" s="44" t="s">
        <v>32</v>
      </c>
      <c r="S9" s="489" t="s">
        <v>33</v>
      </c>
      <c r="W9" s="29">
        <f>IF(AO9="  ","  ",IF(AND(AO8="  ",AO10="  "),"?",IF(AO8="  ",2*(AO10-AO9),IF(AO10="  ",2*(AO9-AO8),2*(AO10-AO8)))))</f>
        <v>4</v>
      </c>
      <c r="X9" s="30" t="str">
        <f t="shared" si="4"/>
        <v>WW</v>
      </c>
      <c r="Y9" s="30" t="str">
        <f t="shared" si="5"/>
        <v>-</v>
      </c>
      <c r="Z9" s="29" t="b">
        <f t="shared" si="6"/>
        <v>0</v>
      </c>
      <c r="AA9" s="29" t="b">
        <f t="shared" si="7"/>
        <v>0</v>
      </c>
      <c r="AB9" s="29" t="str">
        <f t="shared" ca="1" si="8"/>
        <v>++</v>
      </c>
      <c r="AC9" s="29">
        <f t="shared" si="34"/>
        <v>6</v>
      </c>
      <c r="AD9" s="29">
        <f t="shared" ca="1" si="9"/>
        <v>6</v>
      </c>
      <c r="AE9" s="29">
        <v>6</v>
      </c>
      <c r="AF9" s="31">
        <f>IF(AND(AG9=TRUE,OR(NOT(AG8=TRUE),AG8="Full")),1,IF(ISNUMBER(AF8),AF8+1," "))</f>
        <v>2</v>
      </c>
      <c r="AG9" s="29" t="b">
        <f t="shared" si="11"/>
        <v>1</v>
      </c>
      <c r="AH9" s="30" t="str">
        <f t="shared" ca="1" si="12"/>
        <v>141-4</v>
      </c>
      <c r="AI9" s="30" t="str">
        <f t="shared" ca="1" si="13"/>
        <v/>
      </c>
      <c r="AJ9" s="29">
        <f t="shared" ca="1" si="14"/>
        <v>0</v>
      </c>
      <c r="AK9" s="29" t="str">
        <f t="shared" ca="1" si="15"/>
        <v>4/3</v>
      </c>
      <c r="AL9" s="29">
        <f t="shared" ca="1" si="16"/>
        <v>1.3333333333333333</v>
      </c>
      <c r="AM9" s="32">
        <f t="shared" ca="1" si="35"/>
        <v>1.3333333333333333</v>
      </c>
      <c r="AO9" s="20">
        <f>Tools!$AD8</f>
        <v>3</v>
      </c>
      <c r="AP9" s="33" t="str">
        <f t="shared" si="36"/>
        <v xml:space="preserve">  </v>
      </c>
      <c r="AQ9" s="34" t="str">
        <f t="shared" ca="1" si="18"/>
        <v>4/3</v>
      </c>
      <c r="AR9" s="23" t="str">
        <f t="shared" ca="1" si="19"/>
        <v xml:space="preserve">  </v>
      </c>
      <c r="AS9" s="24">
        <f t="shared" si="20"/>
        <v>-7</v>
      </c>
      <c r="AT9" s="23" t="str">
        <f t="shared" ca="1" si="37"/>
        <v xml:space="preserve">  </v>
      </c>
      <c r="AU9" s="23" t="str">
        <f t="shared" ca="1" si="40"/>
        <v xml:space="preserve">  </v>
      </c>
      <c r="AV9" s="23" t="str">
        <f t="shared" si="21"/>
        <v xml:space="preserve">  </v>
      </c>
      <c r="AW9" s="23" t="str">
        <f t="shared" ca="1" si="22"/>
        <v xml:space="preserve">  </v>
      </c>
      <c r="AY9" s="35" t="str">
        <f t="shared" si="23"/>
        <v xml:space="preserve"> </v>
      </c>
      <c r="AZ9" s="23" t="str">
        <f t="shared" ref="AZ9:AZ28" ca="1" si="41">IFERROR(AY9*AM9,"  ")</f>
        <v xml:space="preserve">  </v>
      </c>
      <c r="BA9" s="36" t="str">
        <f t="shared" si="25"/>
        <v xml:space="preserve"> </v>
      </c>
      <c r="BB9" s="27" t="str">
        <f t="shared" ca="1" si="38"/>
        <v xml:space="preserve">  </v>
      </c>
      <c r="BC9" s="23" t="str">
        <f t="shared" ca="1" si="39"/>
        <v xml:space="preserve">  </v>
      </c>
    </row>
    <row r="10" spans="1:60" x14ac:dyDescent="0.25">
      <c r="A10" s="20">
        <f>Tools!$AD9</f>
        <v>4</v>
      </c>
      <c r="B10" s="33" t="str">
        <f t="shared" si="0"/>
        <v xml:space="preserve">  </v>
      </c>
      <c r="C10" s="22">
        <f>IF(A10="  ","  ",IF(AND(A9="  ",A11="  "),"?",IF(A9="  ",1*(A11-A10),IF(A11="  ",1*(A10-A9),1*(A11-A9)))))</f>
        <v>2</v>
      </c>
      <c r="D10" s="23" t="str">
        <f t="shared" si="26"/>
        <v xml:space="preserve">  </v>
      </c>
      <c r="E10" s="24">
        <f t="shared" si="1"/>
        <v>-6</v>
      </c>
      <c r="F10" s="23" t="str">
        <f t="shared" si="27"/>
        <v xml:space="preserve">  </v>
      </c>
      <c r="G10" s="23" t="str">
        <f t="shared" si="28"/>
        <v xml:space="preserve">  </v>
      </c>
      <c r="H10" s="23" t="str">
        <f t="shared" si="29"/>
        <v xml:space="preserve">  </v>
      </c>
      <c r="I10" s="23" t="str">
        <f>IFERROR(H10*C10,"  ")</f>
        <v xml:space="preserve">  </v>
      </c>
      <c r="J10" s="4"/>
      <c r="K10" s="37" t="str">
        <f t="shared" si="2"/>
        <v xml:space="preserve"> </v>
      </c>
      <c r="L10" s="23" t="str">
        <f t="shared" si="31"/>
        <v xml:space="preserve">  </v>
      </c>
      <c r="M10" s="38" t="str">
        <f t="shared" si="3"/>
        <v xml:space="preserve"> </v>
      </c>
      <c r="N10" s="27" t="str">
        <f t="shared" si="32"/>
        <v xml:space="preserve">  </v>
      </c>
      <c r="O10" s="23" t="str">
        <f t="shared" si="33"/>
        <v xml:space="preserve">  </v>
      </c>
      <c r="P10" s="4"/>
      <c r="Q10" s="45"/>
      <c r="R10" s="46"/>
      <c r="S10" s="490"/>
      <c r="W10" s="29">
        <f>IF(AO10="  ","  ",IF(AND(AO9="  ",AO11="  "),"?",IF(AO9="  ",1*(AO11-AO10),IF(AO11="  ",1*(AO10-AO9),1*(AO11-AO9)))))</f>
        <v>2</v>
      </c>
      <c r="X10" s="30" t="str">
        <f t="shared" si="4"/>
        <v>WW</v>
      </c>
      <c r="Y10" s="30" t="str">
        <f t="shared" si="5"/>
        <v>-</v>
      </c>
      <c r="Z10" s="29" t="b">
        <f t="shared" si="6"/>
        <v>0</v>
      </c>
      <c r="AA10" s="29" t="b">
        <f t="shared" si="7"/>
        <v>0</v>
      </c>
      <c r="AB10" s="29" t="str">
        <f t="shared" ca="1" si="8"/>
        <v>++</v>
      </c>
      <c r="AC10" s="29">
        <f t="shared" si="34"/>
        <v>7</v>
      </c>
      <c r="AD10" s="29">
        <f t="shared" ca="1" si="9"/>
        <v>7</v>
      </c>
      <c r="AE10" s="29">
        <v>7</v>
      </c>
      <c r="AF10" s="31">
        <f t="shared" ref="AF10:AF28" si="42">IF(AND(AG10=TRUE,OR(NOT(AG9=TRUE),AG9="Full")),1,IF(ISNUMBER(AF9),AF9+1," "))</f>
        <v>3</v>
      </c>
      <c r="AG10" s="29" t="b">
        <f t="shared" si="11"/>
        <v>1</v>
      </c>
      <c r="AH10" s="30" t="str">
        <f t="shared" ca="1" si="12"/>
        <v>141-2</v>
      </c>
      <c r="AI10" s="30" t="str">
        <f t="shared" ca="1" si="13"/>
        <v/>
      </c>
      <c r="AJ10" s="29">
        <f t="shared" ca="1" si="14"/>
        <v>0</v>
      </c>
      <c r="AK10" s="29" t="str">
        <f t="shared" ca="1" si="15"/>
        <v>2/3</v>
      </c>
      <c r="AL10" s="29">
        <f t="shared" ca="1" si="16"/>
        <v>0.66666666666666663</v>
      </c>
      <c r="AM10" s="32">
        <f t="shared" ca="1" si="35"/>
        <v>0.66666666666666663</v>
      </c>
      <c r="AO10" s="20">
        <f>Tools!$AD9</f>
        <v>4</v>
      </c>
      <c r="AP10" s="33" t="str">
        <f t="shared" si="36"/>
        <v xml:space="preserve">  </v>
      </c>
      <c r="AQ10" s="34" t="str">
        <f t="shared" ca="1" si="18"/>
        <v>2/3</v>
      </c>
      <c r="AR10" s="23" t="str">
        <f t="shared" ca="1" si="19"/>
        <v xml:space="preserve">  </v>
      </c>
      <c r="AS10" s="24">
        <f t="shared" si="20"/>
        <v>-6</v>
      </c>
      <c r="AT10" s="23" t="str">
        <f t="shared" ca="1" si="37"/>
        <v xml:space="preserve">  </v>
      </c>
      <c r="AU10" s="23" t="str">
        <f ca="1">IFERROR(AT10*AS10,"  ")</f>
        <v xml:space="preserve">  </v>
      </c>
      <c r="AV10" s="23" t="str">
        <f t="shared" si="21"/>
        <v xml:space="preserve">  </v>
      </c>
      <c r="AW10" s="23" t="str">
        <f t="shared" ca="1" si="22"/>
        <v xml:space="preserve">  </v>
      </c>
      <c r="AY10" s="35" t="str">
        <f t="shared" si="23"/>
        <v xml:space="preserve"> </v>
      </c>
      <c r="AZ10" s="23" t="str">
        <f t="shared" ca="1" si="41"/>
        <v xml:space="preserve">  </v>
      </c>
      <c r="BA10" s="36" t="str">
        <f t="shared" si="25"/>
        <v xml:space="preserve"> </v>
      </c>
      <c r="BB10" s="27" t="str">
        <f t="shared" ca="1" si="38"/>
        <v xml:space="preserve">  </v>
      </c>
      <c r="BC10" s="23" t="str">
        <f t="shared" ca="1" si="39"/>
        <v xml:space="preserve">  </v>
      </c>
      <c r="BE10" s="43" t="s">
        <v>31</v>
      </c>
      <c r="BF10" s="44" t="s">
        <v>32</v>
      </c>
      <c r="BG10" s="489" t="s">
        <v>33</v>
      </c>
    </row>
    <row r="11" spans="1:60" x14ac:dyDescent="0.25">
      <c r="A11" s="20">
        <f>Tools!$AD10</f>
        <v>5</v>
      </c>
      <c r="B11" s="33" t="str">
        <f t="shared" si="0"/>
        <v xml:space="preserve">  </v>
      </c>
      <c r="C11" s="22">
        <f>IF(A11="  ","  ",IF(AND(A10="  ",A12="  "),"?",IF(A10="  ",2*(A12-A11),IF(A12="  ",2*(A11-A10),2*(A12-A10)))))</f>
        <v>4</v>
      </c>
      <c r="D11" s="23" t="str">
        <f t="shared" si="26"/>
        <v xml:space="preserve">  </v>
      </c>
      <c r="E11" s="24">
        <f t="shared" si="1"/>
        <v>-5</v>
      </c>
      <c r="F11" s="23" t="str">
        <f t="shared" si="27"/>
        <v xml:space="preserve">  </v>
      </c>
      <c r="G11" s="23" t="str">
        <f t="shared" si="28"/>
        <v xml:space="preserve">  </v>
      </c>
      <c r="H11" s="23" t="str">
        <f t="shared" si="29"/>
        <v xml:space="preserve">  </v>
      </c>
      <c r="I11" s="23" t="str">
        <f t="shared" si="30"/>
        <v xml:space="preserve">  </v>
      </c>
      <c r="J11" s="4"/>
      <c r="K11" s="37" t="str">
        <f t="shared" si="2"/>
        <v xml:space="preserve"> </v>
      </c>
      <c r="L11" s="23" t="str">
        <f t="shared" si="31"/>
        <v xml:space="preserve">  </v>
      </c>
      <c r="M11" s="38" t="str">
        <f t="shared" si="3"/>
        <v xml:space="preserve"> </v>
      </c>
      <c r="N11" s="27" t="str">
        <f t="shared" si="32"/>
        <v xml:space="preserve">  </v>
      </c>
      <c r="O11" s="23" t="str">
        <f t="shared" si="33"/>
        <v xml:space="preserve">  </v>
      </c>
      <c r="P11" s="4"/>
      <c r="Q11" s="47" t="s">
        <v>34</v>
      </c>
      <c r="R11" s="48" t="s">
        <v>35</v>
      </c>
      <c r="S11" t="str">
        <f>IF(Tools!$L$49="Use 141 rule only",I35,IF(Tools!$L$49="Use 141 and 1331 rules",BG12," "))</f>
        <v xml:space="preserve">  </v>
      </c>
      <c r="W11" s="29">
        <f>IF(AO11="  ","  ",IF(AND(AO10="  ",AO12="  "),"?",IF(AO10="  ",2*(AO12-AO11),IF(AO12="  ",2*(AO11-AO10),2*(AO12-AO10)))))</f>
        <v>4</v>
      </c>
      <c r="X11" s="30" t="str">
        <f t="shared" si="4"/>
        <v>WW</v>
      </c>
      <c r="Y11" s="30" t="str">
        <f t="shared" si="5"/>
        <v>-</v>
      </c>
      <c r="Z11" s="29" t="b">
        <f t="shared" si="6"/>
        <v>0</v>
      </c>
      <c r="AA11" s="29" t="b">
        <f t="shared" si="7"/>
        <v>0</v>
      </c>
      <c r="AB11" s="29" t="str">
        <f t="shared" ca="1" si="8"/>
        <v>++</v>
      </c>
      <c r="AC11" s="29">
        <f t="shared" si="34"/>
        <v>8</v>
      </c>
      <c r="AD11" s="29">
        <f t="shared" ca="1" si="9"/>
        <v>8</v>
      </c>
      <c r="AE11" s="29">
        <v>8</v>
      </c>
      <c r="AF11" s="31">
        <f t="shared" si="42"/>
        <v>4</v>
      </c>
      <c r="AG11" s="29" t="b">
        <f t="shared" si="11"/>
        <v>1</v>
      </c>
      <c r="AH11" s="30" t="str">
        <f t="shared" ca="1" si="12"/>
        <v>141-4</v>
      </c>
      <c r="AI11" s="30" t="str">
        <f t="shared" ca="1" si="13"/>
        <v/>
      </c>
      <c r="AJ11" s="29">
        <f t="shared" ca="1" si="14"/>
        <v>0</v>
      </c>
      <c r="AK11" s="29" t="str">
        <f t="shared" ca="1" si="15"/>
        <v>4/3</v>
      </c>
      <c r="AL11" s="29">
        <f t="shared" ca="1" si="16"/>
        <v>1.3333333333333333</v>
      </c>
      <c r="AM11" s="32">
        <f t="shared" ca="1" si="35"/>
        <v>1.3333333333333333</v>
      </c>
      <c r="AO11" s="20">
        <f>Tools!$AD10</f>
        <v>5</v>
      </c>
      <c r="AP11" s="33" t="str">
        <f t="shared" si="36"/>
        <v xml:space="preserve">  </v>
      </c>
      <c r="AQ11" s="34" t="str">
        <f t="shared" ca="1" si="18"/>
        <v>4/3</v>
      </c>
      <c r="AR11" s="23" t="str">
        <f t="shared" ca="1" si="19"/>
        <v xml:space="preserve">  </v>
      </c>
      <c r="AS11" s="24">
        <f t="shared" si="20"/>
        <v>-5</v>
      </c>
      <c r="AT11" s="23" t="str">
        <f t="shared" ca="1" si="37"/>
        <v xml:space="preserve">  </v>
      </c>
      <c r="AU11" s="23" t="str">
        <f t="shared" ca="1" si="40"/>
        <v xml:space="preserve">  </v>
      </c>
      <c r="AV11" s="23" t="str">
        <f t="shared" si="21"/>
        <v xml:space="preserve">  </v>
      </c>
      <c r="AW11" s="23" t="str">
        <f t="shared" ca="1" si="22"/>
        <v xml:space="preserve">  </v>
      </c>
      <c r="AY11" s="35" t="str">
        <f t="shared" si="23"/>
        <v xml:space="preserve"> </v>
      </c>
      <c r="AZ11" s="23" t="str">
        <f t="shared" ca="1" si="41"/>
        <v xml:space="preserve">  </v>
      </c>
      <c r="BA11" s="36" t="str">
        <f t="shared" si="25"/>
        <v xml:space="preserve"> </v>
      </c>
      <c r="BB11" s="27" t="str">
        <f t="shared" ca="1" si="38"/>
        <v xml:space="preserve">  </v>
      </c>
      <c r="BC11" s="23" t="str">
        <f ca="1">IFERROR(AZ11*AS11,"  ")</f>
        <v xml:space="preserve">  </v>
      </c>
      <c r="BE11" s="45"/>
      <c r="BF11" s="46"/>
      <c r="BG11" s="490"/>
    </row>
    <row r="12" spans="1:60" x14ac:dyDescent="0.25">
      <c r="A12" s="20">
        <f>Tools!$AD11</f>
        <v>6</v>
      </c>
      <c r="B12" s="33" t="str">
        <f t="shared" si="0"/>
        <v xml:space="preserve">  </v>
      </c>
      <c r="C12" s="22">
        <f>IF(A12="  ","  ",IF(AND(A11="  ",A13="  "),"?",IF(A11="  ",1*(A13-A12),IF(A13="  ",1*(A12-A11),1*(A13-A11)))))</f>
        <v>2</v>
      </c>
      <c r="D12" s="23" t="str">
        <f t="shared" si="26"/>
        <v xml:space="preserve">  </v>
      </c>
      <c r="E12" s="24">
        <f t="shared" si="1"/>
        <v>-4</v>
      </c>
      <c r="F12" s="23" t="str">
        <f t="shared" si="27"/>
        <v xml:space="preserve">  </v>
      </c>
      <c r="G12" s="23" t="str">
        <f t="shared" si="28"/>
        <v xml:space="preserve">  </v>
      </c>
      <c r="H12" s="23" t="str">
        <f t="shared" si="29"/>
        <v xml:space="preserve">  </v>
      </c>
      <c r="I12" s="23" t="str">
        <f t="shared" si="30"/>
        <v xml:space="preserve">  </v>
      </c>
      <c r="J12" s="4"/>
      <c r="K12" s="37" t="str">
        <f t="shared" si="2"/>
        <v xml:space="preserve"> </v>
      </c>
      <c r="L12" s="23" t="str">
        <f t="shared" si="31"/>
        <v xml:space="preserve">  </v>
      </c>
      <c r="M12" s="38" t="str">
        <f t="shared" si="3"/>
        <v xml:space="preserve"> </v>
      </c>
      <c r="N12" s="27" t="str">
        <f t="shared" si="32"/>
        <v xml:space="preserve">  </v>
      </c>
      <c r="O12" s="23" t="str">
        <f t="shared" si="33"/>
        <v xml:space="preserve">  </v>
      </c>
      <c r="P12" s="4"/>
      <c r="Q12" s="47" t="s">
        <v>36</v>
      </c>
      <c r="R12" s="48" t="s">
        <v>37</v>
      </c>
      <c r="S12" t="str">
        <f>IF(Tools!$L$49="Use 141 rule only",I36,IF(Tools!$L$49="Use 141 and 1331 rules",BG13," "))</f>
        <v xml:space="preserve">  </v>
      </c>
      <c r="W12" s="29">
        <f>IF(AO12="  ","  ",IF(AND(AO11="  ",AO13="  "),"?",IF(AO11="  ",1*(AO13-AO12),IF(AO13="  ",1*(AO12-AO11),1*(AO13-AO11)))))</f>
        <v>2</v>
      </c>
      <c r="X12" s="30" t="str">
        <f t="shared" si="4"/>
        <v>WW</v>
      </c>
      <c r="Y12" s="30" t="str">
        <f t="shared" si="5"/>
        <v>-</v>
      </c>
      <c r="Z12" s="29" t="b">
        <f t="shared" si="6"/>
        <v>0</v>
      </c>
      <c r="AA12" s="29" t="b">
        <f t="shared" si="7"/>
        <v>0</v>
      </c>
      <c r="AB12" s="29" t="str">
        <f t="shared" ca="1" si="8"/>
        <v>++</v>
      </c>
      <c r="AC12" s="29">
        <f t="shared" si="34"/>
        <v>9</v>
      </c>
      <c r="AD12" s="29">
        <f t="shared" ca="1" si="9"/>
        <v>9</v>
      </c>
      <c r="AE12" s="29">
        <v>9</v>
      </c>
      <c r="AF12" s="31">
        <f t="shared" si="42"/>
        <v>5</v>
      </c>
      <c r="AG12" s="29" t="b">
        <f t="shared" si="11"/>
        <v>1</v>
      </c>
      <c r="AH12" s="30" t="str">
        <f t="shared" ca="1" si="12"/>
        <v>141-2</v>
      </c>
      <c r="AI12" s="30" t="str">
        <f t="shared" ca="1" si="13"/>
        <v/>
      </c>
      <c r="AJ12" s="29">
        <f t="shared" ca="1" si="14"/>
        <v>0</v>
      </c>
      <c r="AK12" s="29" t="str">
        <f t="shared" ca="1" si="15"/>
        <v>2/3</v>
      </c>
      <c r="AL12" s="29">
        <f t="shared" ca="1" si="16"/>
        <v>0.66666666666666663</v>
      </c>
      <c r="AM12" s="32">
        <f t="shared" ca="1" si="35"/>
        <v>0.66666666666666663</v>
      </c>
      <c r="AO12" s="20">
        <f>Tools!$AD11</f>
        <v>6</v>
      </c>
      <c r="AP12" s="33" t="str">
        <f t="shared" si="36"/>
        <v xml:space="preserve">  </v>
      </c>
      <c r="AQ12" s="34" t="str">
        <f t="shared" ca="1" si="18"/>
        <v>2/3</v>
      </c>
      <c r="AR12" s="23" t="str">
        <f t="shared" ca="1" si="19"/>
        <v xml:space="preserve">  </v>
      </c>
      <c r="AS12" s="24">
        <f t="shared" si="20"/>
        <v>-4</v>
      </c>
      <c r="AT12" s="23" t="str">
        <f t="shared" ca="1" si="37"/>
        <v xml:space="preserve">  </v>
      </c>
      <c r="AU12" s="23" t="str">
        <f t="shared" ca="1" si="40"/>
        <v xml:space="preserve">  </v>
      </c>
      <c r="AV12" s="23" t="str">
        <f t="shared" si="21"/>
        <v xml:space="preserve">  </v>
      </c>
      <c r="AW12" s="23" t="str">
        <f t="shared" ca="1" si="22"/>
        <v xml:space="preserve">  </v>
      </c>
      <c r="AY12" s="35" t="str">
        <f t="shared" si="23"/>
        <v xml:space="preserve"> </v>
      </c>
      <c r="AZ12" s="23" t="str">
        <f t="shared" ca="1" si="41"/>
        <v xml:space="preserve">  </v>
      </c>
      <c r="BA12" s="36" t="str">
        <f t="shared" si="25"/>
        <v xml:space="preserve"> </v>
      </c>
      <c r="BB12" s="27" t="str">
        <f t="shared" ca="1" si="38"/>
        <v xml:space="preserve">  </v>
      </c>
      <c r="BC12" s="23" t="str">
        <f t="shared" ca="1" si="39"/>
        <v xml:space="preserve">  </v>
      </c>
      <c r="BE12" s="47" t="s">
        <v>34</v>
      </c>
      <c r="BF12" s="48" t="s">
        <v>38</v>
      </c>
      <c r="BG12" s="49" t="str">
        <f>IF(WL_No="  ","  ",2*h*$AR$29)</f>
        <v xml:space="preserve">  </v>
      </c>
    </row>
    <row r="13" spans="1:60" x14ac:dyDescent="0.25">
      <c r="A13" s="20">
        <f>Tools!$AD12</f>
        <v>7</v>
      </c>
      <c r="B13" s="33" t="str">
        <f t="shared" si="0"/>
        <v xml:space="preserve">  </v>
      </c>
      <c r="C13" s="22">
        <f>IF(A13="  ","  ",IF(AND(A12="  ",A14="  "),"?",IF(A12="  ",2*(A14-A13),IF(A14="  ",2*(A13-A12),2*(A14-A12)))))</f>
        <v>4</v>
      </c>
      <c r="D13" s="23" t="str">
        <f t="shared" si="26"/>
        <v xml:space="preserve">  </v>
      </c>
      <c r="E13" s="24">
        <f t="shared" si="1"/>
        <v>-3</v>
      </c>
      <c r="F13" s="23" t="str">
        <f t="shared" si="27"/>
        <v xml:space="preserve">  </v>
      </c>
      <c r="G13" s="23" t="str">
        <f t="shared" si="28"/>
        <v xml:space="preserve">  </v>
      </c>
      <c r="H13" s="23" t="str">
        <f t="shared" si="29"/>
        <v xml:space="preserve">  </v>
      </c>
      <c r="I13" s="23" t="str">
        <f t="shared" si="30"/>
        <v xml:space="preserve">  </v>
      </c>
      <c r="J13" s="4"/>
      <c r="K13" s="37" t="str">
        <f t="shared" si="2"/>
        <v xml:space="preserve"> </v>
      </c>
      <c r="L13" s="23" t="str">
        <f t="shared" si="31"/>
        <v xml:space="preserve">  </v>
      </c>
      <c r="M13" s="38" t="str">
        <f t="shared" si="3"/>
        <v xml:space="preserve"> </v>
      </c>
      <c r="N13" s="27" t="str">
        <f t="shared" si="32"/>
        <v xml:space="preserve">  </v>
      </c>
      <c r="O13" s="23" t="str">
        <f t="shared" si="33"/>
        <v xml:space="preserve">  </v>
      </c>
      <c r="P13" s="4"/>
      <c r="Q13" s="50" t="s">
        <v>39</v>
      </c>
      <c r="R13" s="48" t="s">
        <v>40</v>
      </c>
      <c r="S13" t="str">
        <f>IF(Tools!$L$49="Use 141 rule only",I37,IF(Tools!$L$49="Use 141 and 1331 rules",BG14," "))</f>
        <v xml:space="preserve">  </v>
      </c>
      <c r="W13" s="29">
        <f>IF(AO13="  ","  ",IF(AND(AO12="  ",AO14="  "),"?",IF(AO12="  ",2*(AO14-AO13),IF(AO14="  ",2*(AO13-AO12),2*(AO14-AO12)))))</f>
        <v>4</v>
      </c>
      <c r="X13" s="30" t="str">
        <f t="shared" si="4"/>
        <v>WW</v>
      </c>
      <c r="Y13" s="30" t="str">
        <f t="shared" si="5"/>
        <v>-</v>
      </c>
      <c r="Z13" s="29" t="b">
        <f t="shared" si="6"/>
        <v>0</v>
      </c>
      <c r="AA13" s="29" t="b">
        <f t="shared" si="7"/>
        <v>0</v>
      </c>
      <c r="AB13" s="29" t="str">
        <f t="shared" ca="1" si="8"/>
        <v>++</v>
      </c>
      <c r="AC13" s="29">
        <f t="shared" si="34"/>
        <v>10</v>
      </c>
      <c r="AD13" s="29">
        <f t="shared" ca="1" si="9"/>
        <v>10</v>
      </c>
      <c r="AE13" s="29">
        <v>10</v>
      </c>
      <c r="AF13" s="31">
        <f t="shared" si="42"/>
        <v>6</v>
      </c>
      <c r="AG13" s="29" t="b">
        <f t="shared" si="11"/>
        <v>1</v>
      </c>
      <c r="AH13" s="30" t="str">
        <f t="shared" ca="1" si="12"/>
        <v>141-4</v>
      </c>
      <c r="AI13" s="30" t="str">
        <f t="shared" ca="1" si="13"/>
        <v/>
      </c>
      <c r="AJ13" s="29">
        <f t="shared" ca="1" si="14"/>
        <v>0</v>
      </c>
      <c r="AK13" s="29" t="str">
        <f t="shared" ca="1" si="15"/>
        <v>4/3</v>
      </c>
      <c r="AL13" s="29">
        <f t="shared" ca="1" si="16"/>
        <v>1.3333333333333333</v>
      </c>
      <c r="AM13" s="32">
        <f t="shared" ca="1" si="35"/>
        <v>1.3333333333333333</v>
      </c>
      <c r="AO13" s="20">
        <f>Tools!$AD12</f>
        <v>7</v>
      </c>
      <c r="AP13" s="33" t="str">
        <f t="shared" si="36"/>
        <v xml:space="preserve">  </v>
      </c>
      <c r="AQ13" s="34" t="str">
        <f t="shared" ca="1" si="18"/>
        <v>4/3</v>
      </c>
      <c r="AR13" s="23" t="str">
        <f t="shared" ca="1" si="19"/>
        <v xml:space="preserve">  </v>
      </c>
      <c r="AS13" s="24">
        <f t="shared" si="20"/>
        <v>-3</v>
      </c>
      <c r="AT13" s="23" t="str">
        <f t="shared" ca="1" si="37"/>
        <v xml:space="preserve">  </v>
      </c>
      <c r="AU13" s="23" t="str">
        <f t="shared" ca="1" si="40"/>
        <v xml:space="preserve">  </v>
      </c>
      <c r="AV13" s="23" t="str">
        <f t="shared" si="21"/>
        <v xml:space="preserve">  </v>
      </c>
      <c r="AW13" s="23" t="str">
        <f t="shared" ca="1" si="22"/>
        <v xml:space="preserve">  </v>
      </c>
      <c r="AY13" s="35" t="str">
        <f t="shared" si="23"/>
        <v xml:space="preserve"> </v>
      </c>
      <c r="AZ13" s="23" t="str">
        <f t="shared" ca="1" si="41"/>
        <v xml:space="preserve">  </v>
      </c>
      <c r="BA13" s="36" t="str">
        <f t="shared" si="25"/>
        <v xml:space="preserve"> </v>
      </c>
      <c r="BB13" s="27" t="str">
        <f t="shared" ca="1" si="38"/>
        <v xml:space="preserve">  </v>
      </c>
      <c r="BC13" s="23" t="str">
        <f t="shared" ca="1" si="39"/>
        <v xml:space="preserve">  </v>
      </c>
      <c r="BE13" s="47" t="s">
        <v>36</v>
      </c>
      <c r="BF13" s="48" t="s">
        <v>41</v>
      </c>
      <c r="BG13" s="49" t="str">
        <f>IF(WL_No="  ","  ",2*(h^2)*$AT$29)</f>
        <v xml:space="preserve">  </v>
      </c>
    </row>
    <row r="14" spans="1:60" x14ac:dyDescent="0.25">
      <c r="A14" s="20">
        <f>Tools!$AD13</f>
        <v>8</v>
      </c>
      <c r="B14" s="33" t="str">
        <f t="shared" si="0"/>
        <v xml:space="preserve">  </v>
      </c>
      <c r="C14" s="22">
        <f>IF(A14="  ","  ",IF(AND(A13="  ",A15="  "),"?",IF(A13="  ",1*(A15-A14),IF(A15="  ",1*(A14-A13),1*(A15-A13)))))</f>
        <v>2</v>
      </c>
      <c r="D14" s="23" t="str">
        <f t="shared" si="26"/>
        <v xml:space="preserve">  </v>
      </c>
      <c r="E14" s="24">
        <f t="shared" si="1"/>
        <v>-2</v>
      </c>
      <c r="F14" s="23" t="str">
        <f t="shared" si="27"/>
        <v xml:space="preserve">  </v>
      </c>
      <c r="G14" s="23" t="str">
        <f t="shared" si="28"/>
        <v xml:space="preserve">  </v>
      </c>
      <c r="H14" s="23" t="str">
        <f t="shared" si="29"/>
        <v xml:space="preserve">  </v>
      </c>
      <c r="I14" s="23" t="str">
        <f t="shared" si="30"/>
        <v xml:space="preserve">  </v>
      </c>
      <c r="J14" s="4"/>
      <c r="K14" s="37" t="str">
        <f t="shared" si="2"/>
        <v xml:space="preserve"> </v>
      </c>
      <c r="L14" s="23" t="str">
        <f t="shared" si="31"/>
        <v xml:space="preserve">  </v>
      </c>
      <c r="M14" s="38" t="str">
        <f t="shared" si="3"/>
        <v xml:space="preserve"> </v>
      </c>
      <c r="N14" s="27" t="str">
        <f t="shared" si="32"/>
        <v xml:space="preserve">  </v>
      </c>
      <c r="O14" s="23" t="str">
        <f t="shared" si="33"/>
        <v xml:space="preserve">  </v>
      </c>
      <c r="P14" s="4"/>
      <c r="Q14" s="50" t="s">
        <v>42</v>
      </c>
      <c r="R14" s="48" t="s">
        <v>43</v>
      </c>
      <c r="S14" t="str">
        <f>IF(Tools!$L$49="Use 141 rule only",I38,IF(Tools!$L$49="Use 141 and 1331 rules",BG15," "))</f>
        <v xml:space="preserve">  </v>
      </c>
      <c r="W14" s="29">
        <f>IF(AO14="  ","  ",IF(AND(AO13="  ",AO15="  "),"?",IF(AO13="  ",1*(AO15-AO14),IF(AO15="  ",1*(AO14-AO13),1*(AO15-AO13)))))</f>
        <v>2</v>
      </c>
      <c r="X14" s="30" t="str">
        <f t="shared" si="4"/>
        <v>WW</v>
      </c>
      <c r="Y14" s="30" t="str">
        <f t="shared" si="5"/>
        <v>-</v>
      </c>
      <c r="Z14" s="29" t="b">
        <f t="shared" si="6"/>
        <v>0</v>
      </c>
      <c r="AA14" s="29" t="b">
        <f t="shared" si="7"/>
        <v>0</v>
      </c>
      <c r="AB14" s="29" t="str">
        <f t="shared" ca="1" si="8"/>
        <v>++</v>
      </c>
      <c r="AC14" s="29">
        <f t="shared" si="34"/>
        <v>11</v>
      </c>
      <c r="AD14" s="29">
        <f t="shared" ca="1" si="9"/>
        <v>11</v>
      </c>
      <c r="AE14" s="29">
        <v>11</v>
      </c>
      <c r="AF14" s="31">
        <f t="shared" si="42"/>
        <v>7</v>
      </c>
      <c r="AG14" s="29" t="b">
        <f t="shared" si="11"/>
        <v>1</v>
      </c>
      <c r="AH14" s="30" t="str">
        <f ca="1">IF(AND(AG14=TRUE,$AH$1=1),"141-4",IF(AG14=" ",IF(AND($AH$1=2,AF14=3),"141-1","-"),IF(OR(AG14=FALSE,AG14=" "),"-",IF(AG14=TRUE,IF(AND($AH$1=2,AF14=1),"141-1",IF(AND($AH$1=2,AF14=2),"141-4",IF(OR(ISODD($AH$1),AF14&gt;4),IF(AF14=1,"141-1",IF(OR(AB14="141-1",AB14="1331-1",AB14="1331-1,141-1"),"141-1",IF(AG15=" ","141-1",IF(OR(AH13="141-1",AH13="141-2",AH13="1331-1,141-1"),"141-4",IF(AH13="141-4","141-2","$$"))))),IF(ISEVEN($AH$1),IF(AF14=1,"1331-1",IF(OR(AF14=2,AF14=3),"1331-3",IF(AF14=4,IF($AH$1=4,"1331-1","1331-1,141-1"),"")))))))))))</f>
        <v>141-2</v>
      </c>
      <c r="AI14" s="30" t="str">
        <f t="shared" ca="1" si="13"/>
        <v/>
      </c>
      <c r="AJ14" s="29">
        <f t="shared" ca="1" si="14"/>
        <v>0</v>
      </c>
      <c r="AK14" s="29" t="str">
        <f t="shared" ca="1" si="15"/>
        <v>2/3</v>
      </c>
      <c r="AL14" s="29">
        <f t="shared" ca="1" si="16"/>
        <v>0.66666666666666663</v>
      </c>
      <c r="AM14" s="32">
        <f t="shared" ca="1" si="35"/>
        <v>0.66666666666666663</v>
      </c>
      <c r="AO14" s="20">
        <f>Tools!$AD13</f>
        <v>8</v>
      </c>
      <c r="AP14" s="33" t="str">
        <f t="shared" si="36"/>
        <v xml:space="preserve">  </v>
      </c>
      <c r="AQ14" s="34" t="str">
        <f t="shared" ca="1" si="18"/>
        <v>2/3</v>
      </c>
      <c r="AR14" s="23" t="str">
        <f t="shared" ca="1" si="19"/>
        <v xml:space="preserve">  </v>
      </c>
      <c r="AS14" s="24">
        <f t="shared" si="20"/>
        <v>-2</v>
      </c>
      <c r="AT14" s="23" t="str">
        <f t="shared" ca="1" si="37"/>
        <v xml:space="preserve">  </v>
      </c>
      <c r="AU14" s="23" t="str">
        <f t="shared" ca="1" si="40"/>
        <v xml:space="preserve">  </v>
      </c>
      <c r="AV14" s="23" t="str">
        <f t="shared" si="21"/>
        <v xml:space="preserve">  </v>
      </c>
      <c r="AW14" s="23" t="str">
        <f t="shared" ca="1" si="22"/>
        <v xml:space="preserve">  </v>
      </c>
      <c r="AY14" s="35" t="str">
        <f t="shared" si="23"/>
        <v xml:space="preserve"> </v>
      </c>
      <c r="AZ14" s="23" t="str">
        <f t="shared" ca="1" si="41"/>
        <v xml:space="preserve">  </v>
      </c>
      <c r="BA14" s="36" t="str">
        <f t="shared" si="25"/>
        <v xml:space="preserve"> </v>
      </c>
      <c r="BB14" s="27" t="str">
        <f t="shared" ca="1" si="38"/>
        <v xml:space="preserve">  </v>
      </c>
      <c r="BC14" s="23" t="str">
        <f t="shared" ca="1" si="39"/>
        <v xml:space="preserve">  </v>
      </c>
      <c r="BE14" s="50" t="s">
        <v>39</v>
      </c>
      <c r="BF14" s="48" t="s">
        <v>40</v>
      </c>
      <c r="BG14" s="49" t="str">
        <f>IF(WL_No="  ","  ",Mmid/AWP)</f>
        <v xml:space="preserve">  </v>
      </c>
    </row>
    <row r="15" spans="1:60" x14ac:dyDescent="0.25">
      <c r="A15" s="20">
        <f>Tools!$AD14</f>
        <v>9</v>
      </c>
      <c r="B15" s="33" t="str">
        <f t="shared" si="0"/>
        <v xml:space="preserve">  </v>
      </c>
      <c r="C15" s="22">
        <f>IF(A15="  ","  ",IF(AND(A14="  ",A16="  "),"?",IF(A14="  ",2*(A16-A15),IF(A16="  ",2*(A15-A14),2*(A16-A14)))))</f>
        <v>4</v>
      </c>
      <c r="D15" s="23" t="str">
        <f t="shared" si="26"/>
        <v xml:space="preserve">  </v>
      </c>
      <c r="E15" s="24">
        <f t="shared" si="1"/>
        <v>-1</v>
      </c>
      <c r="F15" s="23" t="str">
        <f t="shared" si="27"/>
        <v xml:space="preserve">  </v>
      </c>
      <c r="G15" s="23" t="str">
        <f t="shared" si="28"/>
        <v xml:space="preserve">  </v>
      </c>
      <c r="H15" s="23" t="str">
        <f t="shared" si="29"/>
        <v xml:space="preserve">  </v>
      </c>
      <c r="I15" s="23" t="str">
        <f t="shared" si="30"/>
        <v xml:space="preserve">  </v>
      </c>
      <c r="J15" s="4"/>
      <c r="K15" s="37" t="str">
        <f t="shared" si="2"/>
        <v xml:space="preserve"> </v>
      </c>
      <c r="L15" s="23" t="str">
        <f t="shared" si="31"/>
        <v xml:space="preserve">  </v>
      </c>
      <c r="M15" s="38" t="str">
        <f t="shared" si="3"/>
        <v xml:space="preserve"> </v>
      </c>
      <c r="N15" s="27" t="str">
        <f t="shared" si="32"/>
        <v xml:space="preserve">  </v>
      </c>
      <c r="O15" s="23" t="str">
        <f t="shared" si="33"/>
        <v xml:space="preserve">  </v>
      </c>
      <c r="P15" s="4"/>
      <c r="Q15" s="51" t="s">
        <v>44</v>
      </c>
      <c r="R15" s="48" t="s">
        <v>45</v>
      </c>
      <c r="S15" t="str">
        <f>IF(Tools!$L$49="Use 141 rule only",I39,IF(Tools!$L$49="Use 141 and 1331 rules",BG16," "))</f>
        <v xml:space="preserve">  </v>
      </c>
      <c r="W15" s="29">
        <f>IF(AO15="  ","  ",IF(AND(AO14="  ",AO16="  "),"?",IF(AO14="  ",2*(AO16-AO15),IF(AO16="  ",2*(AO15-AO14),2*(AO16-AO14)))))</f>
        <v>4</v>
      </c>
      <c r="X15" s="30" t="str">
        <f t="shared" si="4"/>
        <v>WW</v>
      </c>
      <c r="Y15" s="30" t="str">
        <f t="shared" si="5"/>
        <v>-</v>
      </c>
      <c r="Z15" s="29" t="b">
        <f t="shared" si="6"/>
        <v>0</v>
      </c>
      <c r="AA15" s="29" t="b">
        <f t="shared" si="7"/>
        <v>0</v>
      </c>
      <c r="AB15" s="29" t="str">
        <f t="shared" ca="1" si="8"/>
        <v>++</v>
      </c>
      <c r="AC15" s="29">
        <f t="shared" si="34"/>
        <v>12</v>
      </c>
      <c r="AD15" s="29">
        <f t="shared" ca="1" si="9"/>
        <v>12</v>
      </c>
      <c r="AE15" s="29">
        <v>12</v>
      </c>
      <c r="AF15" s="31">
        <f t="shared" si="42"/>
        <v>8</v>
      </c>
      <c r="AG15" s="29" t="b">
        <f t="shared" si="11"/>
        <v>1</v>
      </c>
      <c r="AH15" s="30" t="str">
        <f t="shared" ref="AH15:AH28" ca="1" si="43">IF(AND(AG15=TRUE,$AH$1=1),"141-4",IF(AG15=" ",IF(AND($AH$1=2,AF15=3),"141-1","-"),IF(OR(AG15=FALSE,AG15=" "),"-",IF(AG15=TRUE,IF(AND($AH$1=2,AF15=1),"141-1",IF(AND($AH$1=2,AF15=2),"141-4",IF(OR(ISODD($AH$1),AF15&gt;4),IF(AF15=1,"141-1",IF(OR(AB15="141-1",AB15="1331-1",AB15="1331-1,141-1"),"141-1",IF(AG16=" ","141-1",IF(OR(AH14="141-1",AH14="141-2",AH14="1331-1,141-1"),"141-4",IF(AH14="141-4","141-2","$$"))))),IF(ISEVEN($AH$1),IF(AF15=1,"1331-1",IF(OR(AF15=2,AF15=3),"1331-3",IF(AF15=4,IF($AH$1=4,"1331-1","1331-1,141-1"),"")))))))))))</f>
        <v>141-4</v>
      </c>
      <c r="AI15" s="30" t="str">
        <f t="shared" ca="1" si="13"/>
        <v/>
      </c>
      <c r="AJ15" s="29">
        <f t="shared" ca="1" si="14"/>
        <v>0</v>
      </c>
      <c r="AK15" s="29" t="str">
        <f t="shared" ca="1" si="15"/>
        <v>4/3</v>
      </c>
      <c r="AL15" s="29">
        <f t="shared" ca="1" si="16"/>
        <v>1.3333333333333333</v>
      </c>
      <c r="AM15" s="32">
        <f t="shared" ca="1" si="35"/>
        <v>1.3333333333333333</v>
      </c>
      <c r="AO15" s="20">
        <f>Tools!$AD14</f>
        <v>9</v>
      </c>
      <c r="AP15" s="33" t="str">
        <f t="shared" si="36"/>
        <v xml:space="preserve">  </v>
      </c>
      <c r="AQ15" s="34" t="str">
        <f t="shared" ca="1" si="18"/>
        <v>4/3</v>
      </c>
      <c r="AR15" s="23" t="str">
        <f t="shared" ca="1" si="19"/>
        <v xml:space="preserve">  </v>
      </c>
      <c r="AS15" s="24">
        <f t="shared" si="20"/>
        <v>-1</v>
      </c>
      <c r="AT15" s="23" t="str">
        <f t="shared" ca="1" si="37"/>
        <v xml:space="preserve">  </v>
      </c>
      <c r="AU15" s="23" t="str">
        <f t="shared" ca="1" si="40"/>
        <v xml:space="preserve">  </v>
      </c>
      <c r="AV15" s="23" t="str">
        <f t="shared" si="21"/>
        <v xml:space="preserve">  </v>
      </c>
      <c r="AW15" s="23" t="str">
        <f t="shared" ca="1" si="22"/>
        <v xml:space="preserve">  </v>
      </c>
      <c r="AY15" s="35" t="str">
        <f t="shared" si="23"/>
        <v xml:space="preserve"> </v>
      </c>
      <c r="AZ15" s="23" t="str">
        <f t="shared" ca="1" si="41"/>
        <v xml:space="preserve">  </v>
      </c>
      <c r="BA15" s="36" t="str">
        <f t="shared" si="25"/>
        <v xml:space="preserve"> </v>
      </c>
      <c r="BB15" s="27" t="str">
        <f ca="1">IFERROR(BA15*AM15,"  ")</f>
        <v xml:space="preserve">  </v>
      </c>
      <c r="BC15" s="23" t="str">
        <f t="shared" ca="1" si="39"/>
        <v xml:space="preserve">  </v>
      </c>
      <c r="BE15" s="50" t="s">
        <v>42</v>
      </c>
      <c r="BF15" s="48" t="s">
        <v>46</v>
      </c>
      <c r="BG15" s="49" t="str">
        <f>IF(WL_No="  ","  ",2*(h^3)*$AU$29)</f>
        <v xml:space="preserve">  </v>
      </c>
    </row>
    <row r="16" spans="1:60" x14ac:dyDescent="0.25">
      <c r="A16" s="20">
        <f>Tools!$AD15</f>
        <v>10</v>
      </c>
      <c r="B16" s="33" t="str">
        <f t="shared" si="0"/>
        <v xml:space="preserve">  </v>
      </c>
      <c r="C16" s="22">
        <f>IF(A16="  ","  ",IF(AND(A15="  ",A17="  "),"?",IF(A15="  ",1*(A17-A16),IF(A17="  ",1*(A16-A15),1*(A17-A15)))))</f>
        <v>2</v>
      </c>
      <c r="D16" s="23" t="str">
        <f t="shared" si="26"/>
        <v xml:space="preserve">  </v>
      </c>
      <c r="E16" s="24">
        <f t="shared" si="1"/>
        <v>0</v>
      </c>
      <c r="F16" s="23" t="str">
        <f t="shared" si="27"/>
        <v xml:space="preserve">  </v>
      </c>
      <c r="G16" s="23" t="str">
        <f t="shared" si="28"/>
        <v xml:space="preserve">  </v>
      </c>
      <c r="H16" s="23" t="str">
        <f t="shared" si="29"/>
        <v xml:space="preserve">  </v>
      </c>
      <c r="I16" s="23" t="str">
        <f t="shared" si="30"/>
        <v xml:space="preserve">  </v>
      </c>
      <c r="J16" s="4"/>
      <c r="K16" s="37" t="str">
        <f t="shared" si="2"/>
        <v xml:space="preserve"> </v>
      </c>
      <c r="L16" s="23" t="str">
        <f t="shared" si="31"/>
        <v xml:space="preserve">  </v>
      </c>
      <c r="M16" s="38" t="str">
        <f t="shared" si="3"/>
        <v xml:space="preserve"> </v>
      </c>
      <c r="N16" s="27" t="str">
        <f t="shared" si="32"/>
        <v xml:space="preserve">  </v>
      </c>
      <c r="O16" s="23" t="str">
        <f t="shared" si="33"/>
        <v xml:space="preserve">  </v>
      </c>
      <c r="P16" s="4"/>
      <c r="Q16" s="50" t="s">
        <v>47</v>
      </c>
      <c r="R16" s="48" t="s">
        <v>48</v>
      </c>
      <c r="S16" t="str">
        <f>IF(Tools!$L$49="Use 141 rule only",I40,IF(Tools!$L$49="Use 141 and 1331 rules",BG17," "))</f>
        <v xml:space="preserve">  </v>
      </c>
      <c r="W16" s="29">
        <f>IF(AO16="  ","  ",IF(AND(AO15="  ",AO17="  "),"?",IF(AO15="  ",1*(AO17-AO16),IF(AO17="  ",1*(AO16-AO15),1*(AO17-AO15)))))</f>
        <v>2</v>
      </c>
      <c r="X16" s="30" t="str">
        <f t="shared" si="4"/>
        <v>WW</v>
      </c>
      <c r="Y16" s="30" t="str">
        <f t="shared" si="5"/>
        <v>-</v>
      </c>
      <c r="Z16" s="29" t="b">
        <f t="shared" si="6"/>
        <v>0</v>
      </c>
      <c r="AA16" s="29" t="b">
        <f t="shared" si="7"/>
        <v>0</v>
      </c>
      <c r="AB16" s="29" t="str">
        <f t="shared" ca="1" si="8"/>
        <v>++</v>
      </c>
      <c r="AC16" s="29">
        <f t="shared" si="34"/>
        <v>13</v>
      </c>
      <c r="AD16" s="29">
        <f t="shared" ca="1" si="9"/>
        <v>13</v>
      </c>
      <c r="AE16" s="29">
        <v>13</v>
      </c>
      <c r="AF16" s="31">
        <f t="shared" si="42"/>
        <v>9</v>
      </c>
      <c r="AG16" s="29" t="b">
        <f t="shared" si="11"/>
        <v>1</v>
      </c>
      <c r="AH16" s="30" t="str">
        <f t="shared" ca="1" si="43"/>
        <v>141-2</v>
      </c>
      <c r="AI16" s="30" t="str">
        <f t="shared" ca="1" si="13"/>
        <v/>
      </c>
      <c r="AJ16" s="29">
        <f t="shared" ca="1" si="14"/>
        <v>0</v>
      </c>
      <c r="AK16" s="29" t="str">
        <f t="shared" ca="1" si="15"/>
        <v>2/3</v>
      </c>
      <c r="AL16" s="29">
        <f t="shared" ca="1" si="16"/>
        <v>0.66666666666666663</v>
      </c>
      <c r="AM16" s="32">
        <f t="shared" ca="1" si="35"/>
        <v>0.66666666666666663</v>
      </c>
      <c r="AO16" s="20">
        <f>Tools!$AD15</f>
        <v>10</v>
      </c>
      <c r="AP16" s="33" t="str">
        <f t="shared" si="36"/>
        <v xml:space="preserve">  </v>
      </c>
      <c r="AQ16" s="34" t="str">
        <f t="shared" ca="1" si="18"/>
        <v>2/3</v>
      </c>
      <c r="AR16" s="23" t="str">
        <f t="shared" ca="1" si="19"/>
        <v xml:space="preserve">  </v>
      </c>
      <c r="AS16" s="24">
        <f t="shared" si="20"/>
        <v>0</v>
      </c>
      <c r="AT16" s="23" t="str">
        <f t="shared" ca="1" si="37"/>
        <v xml:space="preserve">  </v>
      </c>
      <c r="AU16" s="23" t="str">
        <f t="shared" ca="1" si="40"/>
        <v xml:space="preserve">  </v>
      </c>
      <c r="AV16" s="23" t="str">
        <f t="shared" si="21"/>
        <v xml:space="preserve">  </v>
      </c>
      <c r="AW16" s="23" t="str">
        <f t="shared" ca="1" si="22"/>
        <v xml:space="preserve">  </v>
      </c>
      <c r="AY16" s="35" t="str">
        <f t="shared" si="23"/>
        <v xml:space="preserve"> </v>
      </c>
      <c r="AZ16" s="23" t="str">
        <f t="shared" ca="1" si="41"/>
        <v xml:space="preserve">  </v>
      </c>
      <c r="BA16" s="36" t="str">
        <f t="shared" si="25"/>
        <v xml:space="preserve"> </v>
      </c>
      <c r="BB16" s="27" t="str">
        <f t="shared" ca="1" si="38"/>
        <v xml:space="preserve">  </v>
      </c>
      <c r="BC16" s="23" t="str">
        <f ca="1">IFERROR(AZ16*AS16,"  ")</f>
        <v xml:space="preserve">  </v>
      </c>
      <c r="BE16" s="51" t="s">
        <v>44</v>
      </c>
      <c r="BF16" s="48" t="s">
        <v>49</v>
      </c>
      <c r="BG16" s="49" t="str">
        <f>IF(WL_No="  ","  ",2/3*h*$AW$29)</f>
        <v xml:space="preserve">  </v>
      </c>
    </row>
    <row r="17" spans="1:59" x14ac:dyDescent="0.25">
      <c r="A17" s="20">
        <f>Tools!$AD16</f>
        <v>11</v>
      </c>
      <c r="B17" s="33" t="str">
        <f t="shared" si="0"/>
        <v xml:space="preserve">  </v>
      </c>
      <c r="C17" s="22">
        <f>IF(A17="  ","  ",IF(AND(A16="  ",A18="  "),"?",IF(A16="  ",2*(A18-A17),IF(A18="  ",2*(A17-A16),2*(A18-A16)))))</f>
        <v>4</v>
      </c>
      <c r="D17" s="23" t="str">
        <f t="shared" si="26"/>
        <v xml:space="preserve">  </v>
      </c>
      <c r="E17" s="24">
        <f t="shared" si="1"/>
        <v>1</v>
      </c>
      <c r="F17" s="23" t="str">
        <f t="shared" si="27"/>
        <v xml:space="preserve">  </v>
      </c>
      <c r="G17" s="23" t="str">
        <f t="shared" si="28"/>
        <v xml:space="preserve">  </v>
      </c>
      <c r="H17" s="23" t="str">
        <f t="shared" si="29"/>
        <v xml:space="preserve">  </v>
      </c>
      <c r="I17" s="23" t="str">
        <f t="shared" si="30"/>
        <v xml:space="preserve">  </v>
      </c>
      <c r="J17" s="4"/>
      <c r="K17" s="37" t="str">
        <f t="shared" si="2"/>
        <v xml:space="preserve"> </v>
      </c>
      <c r="L17" s="23" t="str">
        <f t="shared" si="31"/>
        <v xml:space="preserve">  </v>
      </c>
      <c r="M17" s="38" t="str">
        <f t="shared" si="3"/>
        <v xml:space="preserve"> </v>
      </c>
      <c r="N17" s="27" t="str">
        <f t="shared" si="32"/>
        <v xml:space="preserve">  </v>
      </c>
      <c r="O17" s="23" t="str">
        <f t="shared" si="33"/>
        <v xml:space="preserve">  </v>
      </c>
      <c r="P17" s="4"/>
      <c r="Q17" s="50" t="s">
        <v>50</v>
      </c>
      <c r="R17" s="48" t="s">
        <v>51</v>
      </c>
      <c r="S17" t="str">
        <f>IF(Tools!$L$49="Use 141 rule only",I41,IF(Tools!$L$49="Use 141 and 1331 rules",BG18," "))</f>
        <v xml:space="preserve">  </v>
      </c>
      <c r="W17" s="29">
        <f>IF(AO17="  ","  ",IF(AND(AO16="  ",AO18="  "),"?",IF(AO16="  ",2*(AO18-AO17),IF(AO18="  ",2*(AO17-AO16),2*(AO18-AO16)))))</f>
        <v>4</v>
      </c>
      <c r="X17" s="30" t="str">
        <f t="shared" si="4"/>
        <v>WW</v>
      </c>
      <c r="Y17" s="30" t="str">
        <f t="shared" si="5"/>
        <v>-</v>
      </c>
      <c r="Z17" s="29" t="b">
        <f t="shared" si="6"/>
        <v>0</v>
      </c>
      <c r="AA17" s="29" t="b">
        <f t="shared" si="7"/>
        <v>0</v>
      </c>
      <c r="AB17" s="29" t="str">
        <f t="shared" ca="1" si="8"/>
        <v>++</v>
      </c>
      <c r="AC17" s="29">
        <f t="shared" si="34"/>
        <v>12</v>
      </c>
      <c r="AD17" s="29">
        <f t="shared" ca="1" si="9"/>
        <v>12</v>
      </c>
      <c r="AE17" s="29">
        <v>14</v>
      </c>
      <c r="AF17" s="31">
        <f t="shared" si="42"/>
        <v>10</v>
      </c>
      <c r="AG17" s="29" t="b">
        <f t="shared" si="11"/>
        <v>1</v>
      </c>
      <c r="AH17" s="30" t="str">
        <f t="shared" ca="1" si="43"/>
        <v>141-4</v>
      </c>
      <c r="AI17" s="30" t="str">
        <f t="shared" ca="1" si="13"/>
        <v/>
      </c>
      <c r="AJ17" s="29">
        <f t="shared" ca="1" si="14"/>
        <v>0</v>
      </c>
      <c r="AK17" s="29" t="str">
        <f t="shared" ca="1" si="15"/>
        <v>4/3</v>
      </c>
      <c r="AL17" s="29">
        <f t="shared" ca="1" si="16"/>
        <v>1.3333333333333333</v>
      </c>
      <c r="AM17" s="32">
        <f t="shared" ca="1" si="35"/>
        <v>1.3333333333333333</v>
      </c>
      <c r="AO17" s="20">
        <f>Tools!$AD16</f>
        <v>11</v>
      </c>
      <c r="AP17" s="33" t="str">
        <f t="shared" si="36"/>
        <v xml:space="preserve">  </v>
      </c>
      <c r="AQ17" s="34" t="str">
        <f t="shared" ca="1" si="18"/>
        <v>4/3</v>
      </c>
      <c r="AR17" s="23" t="str">
        <f t="shared" ca="1" si="19"/>
        <v xml:space="preserve">  </v>
      </c>
      <c r="AS17" s="24">
        <f t="shared" si="20"/>
        <v>1</v>
      </c>
      <c r="AT17" s="23" t="str">
        <f t="shared" ca="1" si="37"/>
        <v xml:space="preserve">  </v>
      </c>
      <c r="AU17" s="23" t="str">
        <f t="shared" ca="1" si="40"/>
        <v xml:space="preserve">  </v>
      </c>
      <c r="AV17" s="23" t="str">
        <f t="shared" si="21"/>
        <v xml:space="preserve">  </v>
      </c>
      <c r="AW17" s="23" t="str">
        <f t="shared" ca="1" si="22"/>
        <v xml:space="preserve">  </v>
      </c>
      <c r="AY17" s="35" t="str">
        <f t="shared" si="23"/>
        <v xml:space="preserve"> </v>
      </c>
      <c r="AZ17" s="23" t="str">
        <f t="shared" ca="1" si="41"/>
        <v xml:space="preserve">  </v>
      </c>
      <c r="BA17" s="36" t="str">
        <f t="shared" si="25"/>
        <v xml:space="preserve"> </v>
      </c>
      <c r="BB17" s="27" t="str">
        <f t="shared" ca="1" si="38"/>
        <v xml:space="preserve">  </v>
      </c>
      <c r="BC17" s="23" t="str">
        <f t="shared" ca="1" si="39"/>
        <v xml:space="preserve">  </v>
      </c>
      <c r="BE17" s="50" t="s">
        <v>47</v>
      </c>
      <c r="BF17" s="48" t="s">
        <v>48</v>
      </c>
      <c r="BG17" s="49" t="str">
        <f>IF(WL_No="  ","  ",IL-AWP*(LCF^2))</f>
        <v xml:space="preserve">  </v>
      </c>
    </row>
    <row r="18" spans="1:59" x14ac:dyDescent="0.25">
      <c r="A18" s="20">
        <f>Tools!$AD17</f>
        <v>12</v>
      </c>
      <c r="B18" s="33" t="str">
        <f t="shared" si="0"/>
        <v xml:space="preserve">  </v>
      </c>
      <c r="C18" s="22">
        <f>IF(A18="  ","  ",IF(AND(A17="  ",A19="  "),"?",IF(A17="  ",1*(A19-A18),IF(A19="  ",1*(A18-A17),1*(A19-A17)))))</f>
        <v>2</v>
      </c>
      <c r="D18" s="23" t="str">
        <f t="shared" si="26"/>
        <v xml:space="preserve">  </v>
      </c>
      <c r="E18" s="24">
        <f t="shared" si="1"/>
        <v>2</v>
      </c>
      <c r="F18" s="23" t="str">
        <f t="shared" si="27"/>
        <v xml:space="preserve">  </v>
      </c>
      <c r="G18" s="23" t="str">
        <f t="shared" si="28"/>
        <v xml:space="preserve">  </v>
      </c>
      <c r="H18" s="23" t="str">
        <f t="shared" si="29"/>
        <v xml:space="preserve">  </v>
      </c>
      <c r="I18" s="23" t="str">
        <f t="shared" si="30"/>
        <v xml:space="preserve">  </v>
      </c>
      <c r="J18" s="4"/>
      <c r="K18" s="37" t="str">
        <f t="shared" si="2"/>
        <v xml:space="preserve"> </v>
      </c>
      <c r="L18" s="23" t="str">
        <f t="shared" si="31"/>
        <v xml:space="preserve">  </v>
      </c>
      <c r="M18" s="38" t="str">
        <f t="shared" si="3"/>
        <v xml:space="preserve"> </v>
      </c>
      <c r="N18" s="27" t="str">
        <f t="shared" si="32"/>
        <v xml:space="preserve">  </v>
      </c>
      <c r="O18" s="23" t="str">
        <f t="shared" si="33"/>
        <v xml:space="preserve">  </v>
      </c>
      <c r="P18" s="4"/>
      <c r="Q18" s="50" t="s">
        <v>52</v>
      </c>
      <c r="R18" s="48" t="s">
        <v>53</v>
      </c>
      <c r="S18" t="str">
        <f>IF(Tools!$L$49="Use 141 rule only",I42,IF(Tools!$L$49="Use 141 and 1331 rules",BG19," "))</f>
        <v xml:space="preserve">  </v>
      </c>
      <c r="W18" s="29">
        <f>IF(AO18="  ","  ",IF(AND(AO17="  ",AO19="  "),"?",IF(AO17="  ",1*(AO19-AO18),IF(AO19="  ",1*(AO18-AO17),1*(AO19-AO17)))))</f>
        <v>2</v>
      </c>
      <c r="X18" s="30" t="str">
        <f t="shared" si="4"/>
        <v>WW</v>
      </c>
      <c r="Y18" s="30" t="str">
        <f t="shared" si="5"/>
        <v>-</v>
      </c>
      <c r="Z18" s="29" t="b">
        <f t="shared" si="6"/>
        <v>0</v>
      </c>
      <c r="AA18" s="29" t="b">
        <f t="shared" si="7"/>
        <v>0</v>
      </c>
      <c r="AB18" s="29" t="str">
        <f t="shared" ca="1" si="8"/>
        <v>++</v>
      </c>
      <c r="AC18" s="29">
        <f t="shared" si="34"/>
        <v>11</v>
      </c>
      <c r="AD18" s="29">
        <f t="shared" ca="1" si="9"/>
        <v>11</v>
      </c>
      <c r="AE18" s="29">
        <v>15</v>
      </c>
      <c r="AF18" s="31">
        <f t="shared" si="42"/>
        <v>11</v>
      </c>
      <c r="AG18" s="29" t="b">
        <f t="shared" si="11"/>
        <v>1</v>
      </c>
      <c r="AH18" s="30" t="str">
        <f t="shared" ca="1" si="43"/>
        <v>141-2</v>
      </c>
      <c r="AI18" s="30" t="str">
        <f t="shared" ca="1" si="13"/>
        <v/>
      </c>
      <c r="AJ18" s="29">
        <f t="shared" ca="1" si="14"/>
        <v>0</v>
      </c>
      <c r="AK18" s="29" t="str">
        <f t="shared" ca="1" si="15"/>
        <v>2/3</v>
      </c>
      <c r="AL18" s="29">
        <f t="shared" ca="1" si="16"/>
        <v>0.66666666666666663</v>
      </c>
      <c r="AM18" s="32">
        <f t="shared" ca="1" si="35"/>
        <v>0.66666666666666663</v>
      </c>
      <c r="AO18" s="20">
        <f>Tools!$AD17</f>
        <v>12</v>
      </c>
      <c r="AP18" s="33" t="str">
        <f t="shared" si="36"/>
        <v xml:space="preserve">  </v>
      </c>
      <c r="AQ18" s="34" t="str">
        <f t="shared" ca="1" si="18"/>
        <v>2/3</v>
      </c>
      <c r="AR18" s="23" t="str">
        <f t="shared" ca="1" si="19"/>
        <v xml:space="preserve">  </v>
      </c>
      <c r="AS18" s="24">
        <f t="shared" si="20"/>
        <v>2</v>
      </c>
      <c r="AT18" s="23" t="str">
        <f t="shared" ca="1" si="37"/>
        <v xml:space="preserve">  </v>
      </c>
      <c r="AU18" s="23" t="str">
        <f t="shared" ca="1" si="40"/>
        <v xml:space="preserve">  </v>
      </c>
      <c r="AV18" s="23" t="str">
        <f t="shared" si="21"/>
        <v xml:space="preserve">  </v>
      </c>
      <c r="AW18" s="23" t="str">
        <f t="shared" ca="1" si="22"/>
        <v xml:space="preserve">  </v>
      </c>
      <c r="AY18" s="35" t="str">
        <f t="shared" si="23"/>
        <v xml:space="preserve"> </v>
      </c>
      <c r="AZ18" s="23" t="str">
        <f t="shared" ca="1" si="41"/>
        <v xml:space="preserve">  </v>
      </c>
      <c r="BA18" s="36" t="str">
        <f t="shared" si="25"/>
        <v xml:space="preserve"> </v>
      </c>
      <c r="BB18" s="27" t="str">
        <f t="shared" ca="1" si="38"/>
        <v xml:space="preserve">  </v>
      </c>
      <c r="BC18" s="23" t="str">
        <f t="shared" ca="1" si="39"/>
        <v xml:space="preserve">  </v>
      </c>
      <c r="BE18" s="50" t="s">
        <v>50</v>
      </c>
      <c r="BF18" s="48" t="s">
        <v>54</v>
      </c>
      <c r="BG18" s="49" t="str">
        <f>IF(WL_No="  ","  ",h*$AZ$29)</f>
        <v xml:space="preserve">  </v>
      </c>
    </row>
    <row r="19" spans="1:59" x14ac:dyDescent="0.25">
      <c r="A19" s="20">
        <f>Tools!$AD18</f>
        <v>13</v>
      </c>
      <c r="B19" s="33" t="str">
        <f t="shared" si="0"/>
        <v xml:space="preserve">  </v>
      </c>
      <c r="C19" s="22">
        <f>IF(A19="  ","  ",IF(AND(A18="  ",A20="  "),"?",IF(A18="  ",2*(A20-A19),IF(A20="  ",2*(A19-A18),2*(A20-A18)))))</f>
        <v>4</v>
      </c>
      <c r="D19" s="23" t="str">
        <f t="shared" si="26"/>
        <v xml:space="preserve">  </v>
      </c>
      <c r="E19" s="24">
        <f t="shared" si="1"/>
        <v>3</v>
      </c>
      <c r="F19" s="23" t="str">
        <f t="shared" si="27"/>
        <v xml:space="preserve">  </v>
      </c>
      <c r="G19" s="23" t="str">
        <f t="shared" si="28"/>
        <v xml:space="preserve">  </v>
      </c>
      <c r="H19" s="23" t="str">
        <f t="shared" si="29"/>
        <v xml:space="preserve">  </v>
      </c>
      <c r="I19" s="23" t="str">
        <f t="shared" si="30"/>
        <v xml:space="preserve">  </v>
      </c>
      <c r="J19" s="4"/>
      <c r="K19" s="37" t="str">
        <f t="shared" si="2"/>
        <v xml:space="preserve"> </v>
      </c>
      <c r="L19" s="23" t="str">
        <f t="shared" si="31"/>
        <v xml:space="preserve">  </v>
      </c>
      <c r="M19" s="38" t="str">
        <f t="shared" si="3"/>
        <v xml:space="preserve"> </v>
      </c>
      <c r="N19" s="27" t="str">
        <f t="shared" si="32"/>
        <v xml:space="preserve">  </v>
      </c>
      <c r="O19" s="23" t="str">
        <f t="shared" si="33"/>
        <v xml:space="preserve">  </v>
      </c>
      <c r="P19" s="4"/>
      <c r="Q19" s="50" t="s">
        <v>55</v>
      </c>
      <c r="R19" s="48" t="s">
        <v>56</v>
      </c>
      <c r="S19" t="str">
        <f>IF(Tools!$L$49="Use 141 rule only",I43,IF(Tools!$L$49="Use 141 and 1331 rules",BG20," "))</f>
        <v xml:space="preserve">  </v>
      </c>
      <c r="W19" s="29">
        <f>IF(AO19="  ","  ",IF(AND(AO18="  ",AO20="  "),"?",IF(AO18="  ",2*(AO20-AO19),IF(AO20="  ",2*(AO19-AO18),2*(AO20-AO18)))))</f>
        <v>4</v>
      </c>
      <c r="X19" s="30" t="str">
        <f t="shared" si="4"/>
        <v>WW</v>
      </c>
      <c r="Y19" s="30" t="str">
        <f t="shared" si="5"/>
        <v>-</v>
      </c>
      <c r="Z19" s="29" t="b">
        <f t="shared" si="6"/>
        <v>0</v>
      </c>
      <c r="AA19" s="29" t="b">
        <f t="shared" si="7"/>
        <v>0</v>
      </c>
      <c r="AB19" s="29" t="str">
        <f t="shared" ca="1" si="8"/>
        <v>++</v>
      </c>
      <c r="AC19" s="29">
        <f t="shared" si="34"/>
        <v>10</v>
      </c>
      <c r="AD19" s="29">
        <f t="shared" ca="1" si="9"/>
        <v>10</v>
      </c>
      <c r="AE19" s="29">
        <v>16</v>
      </c>
      <c r="AF19" s="31">
        <f t="shared" si="42"/>
        <v>12</v>
      </c>
      <c r="AG19" s="29" t="b">
        <f t="shared" si="11"/>
        <v>1</v>
      </c>
      <c r="AH19" s="30" t="str">
        <f t="shared" ca="1" si="43"/>
        <v>141-4</v>
      </c>
      <c r="AI19" s="30" t="str">
        <f t="shared" ca="1" si="13"/>
        <v/>
      </c>
      <c r="AJ19" s="29">
        <f t="shared" ca="1" si="14"/>
        <v>0</v>
      </c>
      <c r="AK19" s="29" t="str">
        <f t="shared" ca="1" si="15"/>
        <v>4/3</v>
      </c>
      <c r="AL19" s="29">
        <f t="shared" ca="1" si="16"/>
        <v>1.3333333333333333</v>
      </c>
      <c r="AM19" s="32">
        <f t="shared" ca="1" si="35"/>
        <v>1.3333333333333333</v>
      </c>
      <c r="AO19" s="20">
        <f>Tools!$AD18</f>
        <v>13</v>
      </c>
      <c r="AP19" s="33" t="str">
        <f t="shared" si="36"/>
        <v xml:space="preserve">  </v>
      </c>
      <c r="AQ19" s="34" t="str">
        <f t="shared" ca="1" si="18"/>
        <v>4/3</v>
      </c>
      <c r="AR19" s="23" t="str">
        <f t="shared" ca="1" si="19"/>
        <v xml:space="preserve">  </v>
      </c>
      <c r="AS19" s="24">
        <f t="shared" si="20"/>
        <v>3</v>
      </c>
      <c r="AT19" s="23" t="str">
        <f t="shared" ca="1" si="37"/>
        <v xml:space="preserve">  </v>
      </c>
      <c r="AU19" s="23" t="str">
        <f t="shared" ca="1" si="40"/>
        <v xml:space="preserve">  </v>
      </c>
      <c r="AV19" s="23" t="str">
        <f t="shared" si="21"/>
        <v xml:space="preserve">  </v>
      </c>
      <c r="AW19" s="23" t="str">
        <f t="shared" ca="1" si="22"/>
        <v xml:space="preserve">  </v>
      </c>
      <c r="AY19" s="35" t="str">
        <f t="shared" si="23"/>
        <v xml:space="preserve"> </v>
      </c>
      <c r="AZ19" s="23" t="str">
        <f t="shared" ca="1" si="41"/>
        <v xml:space="preserve">  </v>
      </c>
      <c r="BA19" s="36" t="str">
        <f t="shared" si="25"/>
        <v xml:space="preserve"> </v>
      </c>
      <c r="BB19" s="27" t="str">
        <f t="shared" ca="1" si="38"/>
        <v xml:space="preserve">  </v>
      </c>
      <c r="BC19" s="23" t="str">
        <f t="shared" ca="1" si="39"/>
        <v xml:space="preserve">  </v>
      </c>
      <c r="BE19" s="50" t="s">
        <v>52</v>
      </c>
      <c r="BF19" s="48" t="s">
        <v>53</v>
      </c>
      <c r="BG19" s="49" t="str">
        <f>IF(WL_No="  ","  ",V_Disp*1.025*1.006)</f>
        <v xml:space="preserve">  </v>
      </c>
    </row>
    <row r="20" spans="1:59" x14ac:dyDescent="0.25">
      <c r="A20" s="20">
        <f>Tools!$AD19</f>
        <v>14</v>
      </c>
      <c r="B20" s="33" t="str">
        <f t="shared" si="0"/>
        <v xml:space="preserve">  </v>
      </c>
      <c r="C20" s="22">
        <f>IF(A20="  ","  ",IF(AND(A19="  ",A21="  "),"?",IF(A19="  ",1*(A21-A20),IF(A21="  ",1*(A20-A19),1*(A21-A19)))))</f>
        <v>2</v>
      </c>
      <c r="D20" s="23" t="str">
        <f t="shared" si="26"/>
        <v xml:space="preserve">  </v>
      </c>
      <c r="E20" s="24">
        <f t="shared" si="1"/>
        <v>4</v>
      </c>
      <c r="F20" s="23" t="str">
        <f t="shared" si="27"/>
        <v xml:space="preserve">  </v>
      </c>
      <c r="G20" s="23" t="str">
        <f t="shared" si="28"/>
        <v xml:space="preserve">  </v>
      </c>
      <c r="H20" s="23" t="str">
        <f t="shared" si="29"/>
        <v xml:space="preserve">  </v>
      </c>
      <c r="I20" s="23" t="str">
        <f t="shared" si="30"/>
        <v xml:space="preserve">  </v>
      </c>
      <c r="J20" s="4"/>
      <c r="K20" s="37" t="str">
        <f t="shared" si="2"/>
        <v xml:space="preserve"> </v>
      </c>
      <c r="L20" s="23" t="str">
        <f t="shared" si="31"/>
        <v xml:space="preserve">  </v>
      </c>
      <c r="M20" s="38" t="str">
        <f t="shared" si="3"/>
        <v xml:space="preserve"> </v>
      </c>
      <c r="N20" s="27" t="str">
        <f t="shared" si="32"/>
        <v xml:space="preserve">  </v>
      </c>
      <c r="O20" s="23" t="str">
        <f t="shared" si="33"/>
        <v xml:space="preserve">  </v>
      </c>
      <c r="P20" s="4"/>
      <c r="Q20" s="50" t="s">
        <v>57</v>
      </c>
      <c r="R20" s="48" t="s">
        <v>58</v>
      </c>
      <c r="S20" t="str">
        <f>IF(Tools!$L$49="Use 141 rule only",I44,IF(Tools!$L$49="Use 141 and 1331 rules",BG21," "))</f>
        <v xml:space="preserve">  </v>
      </c>
      <c r="W20" s="29">
        <f>IF(AO20="  ","  ",IF(AND(AO19="  ",AO21="  "),"?",IF(AO19="  ",1*(AO21-AO20),IF(AO21="  ",1*(AO20-AO19),1*(AO21-AO19)))))</f>
        <v>2</v>
      </c>
      <c r="X20" s="30" t="str">
        <f t="shared" si="4"/>
        <v>WW</v>
      </c>
      <c r="Y20" s="30" t="str">
        <f t="shared" si="5"/>
        <v>-</v>
      </c>
      <c r="Z20" s="29" t="b">
        <f t="shared" si="6"/>
        <v>0</v>
      </c>
      <c r="AA20" s="29" t="b">
        <f t="shared" si="7"/>
        <v>0</v>
      </c>
      <c r="AB20" s="29" t="str">
        <f t="shared" ca="1" si="8"/>
        <v>++</v>
      </c>
      <c r="AC20" s="29">
        <f t="shared" si="34"/>
        <v>9</v>
      </c>
      <c r="AD20" s="29">
        <f t="shared" ca="1" si="9"/>
        <v>9</v>
      </c>
      <c r="AE20" s="29">
        <v>17</v>
      </c>
      <c r="AF20" s="31">
        <f t="shared" si="42"/>
        <v>13</v>
      </c>
      <c r="AG20" s="29" t="b">
        <f t="shared" si="11"/>
        <v>1</v>
      </c>
      <c r="AH20" s="30" t="str">
        <f t="shared" ca="1" si="43"/>
        <v>141-2</v>
      </c>
      <c r="AI20" s="30" t="str">
        <f t="shared" ca="1" si="13"/>
        <v/>
      </c>
      <c r="AJ20" s="29">
        <f t="shared" ca="1" si="14"/>
        <v>0</v>
      </c>
      <c r="AK20" s="29" t="str">
        <f t="shared" ca="1" si="15"/>
        <v>2/3</v>
      </c>
      <c r="AL20" s="29">
        <f t="shared" ca="1" si="16"/>
        <v>0.66666666666666663</v>
      </c>
      <c r="AM20" s="32">
        <f t="shared" ca="1" si="35"/>
        <v>0.66666666666666663</v>
      </c>
      <c r="AO20" s="20">
        <f>Tools!$AD19</f>
        <v>14</v>
      </c>
      <c r="AP20" s="33" t="str">
        <f t="shared" si="36"/>
        <v xml:space="preserve">  </v>
      </c>
      <c r="AQ20" s="34" t="str">
        <f t="shared" ca="1" si="18"/>
        <v>2/3</v>
      </c>
      <c r="AR20" s="23" t="str">
        <f t="shared" ca="1" si="19"/>
        <v xml:space="preserve">  </v>
      </c>
      <c r="AS20" s="24">
        <f t="shared" si="20"/>
        <v>4</v>
      </c>
      <c r="AT20" s="23" t="str">
        <f t="shared" ca="1" si="37"/>
        <v xml:space="preserve">  </v>
      </c>
      <c r="AU20" s="23" t="str">
        <f t="shared" ca="1" si="40"/>
        <v xml:space="preserve">  </v>
      </c>
      <c r="AV20" s="23" t="str">
        <f t="shared" si="21"/>
        <v xml:space="preserve">  </v>
      </c>
      <c r="AW20" s="23" t="str">
        <f t="shared" ca="1" si="22"/>
        <v xml:space="preserve">  </v>
      </c>
      <c r="AY20" s="35" t="str">
        <f t="shared" si="23"/>
        <v xml:space="preserve"> </v>
      </c>
      <c r="AZ20" s="23" t="str">
        <f t="shared" ca="1" si="41"/>
        <v xml:space="preserve">  </v>
      </c>
      <c r="BA20" s="36" t="str">
        <f t="shared" si="25"/>
        <v xml:space="preserve"> </v>
      </c>
      <c r="BB20" s="27" t="str">
        <f t="shared" ca="1" si="38"/>
        <v xml:space="preserve">  </v>
      </c>
      <c r="BC20" s="23" t="str">
        <f t="shared" ca="1" si="39"/>
        <v xml:space="preserve">  </v>
      </c>
      <c r="BE20" s="50" t="s">
        <v>55</v>
      </c>
      <c r="BF20" s="48" t="s">
        <v>59</v>
      </c>
      <c r="BG20" s="49" t="str">
        <f>IF(WL_No="  ","  ",h*$BB$29)</f>
        <v xml:space="preserve">  </v>
      </c>
    </row>
    <row r="21" spans="1:59" x14ac:dyDescent="0.25">
      <c r="A21" s="20">
        <f>Tools!$AD20</f>
        <v>15</v>
      </c>
      <c r="B21" s="33" t="str">
        <f t="shared" si="0"/>
        <v xml:space="preserve">  </v>
      </c>
      <c r="C21" s="22">
        <f>IF(A21="  ","  ",IF(AND(A20="  ",A22="  "),"?",IF(A20="  ",2*(A22-A21),IF(A22="  ",2*(A21-A20),2*(A22-A20)))))</f>
        <v>4</v>
      </c>
      <c r="D21" s="23" t="str">
        <f t="shared" si="26"/>
        <v xml:space="preserve">  </v>
      </c>
      <c r="E21" s="24">
        <f t="shared" si="1"/>
        <v>5</v>
      </c>
      <c r="F21" s="23" t="str">
        <f t="shared" si="27"/>
        <v xml:space="preserve">  </v>
      </c>
      <c r="G21" s="23" t="str">
        <f t="shared" si="28"/>
        <v xml:space="preserve">  </v>
      </c>
      <c r="H21" s="23" t="str">
        <f t="shared" si="29"/>
        <v xml:space="preserve">  </v>
      </c>
      <c r="I21" s="23" t="str">
        <f t="shared" si="30"/>
        <v xml:space="preserve">  </v>
      </c>
      <c r="J21" s="4"/>
      <c r="K21" s="37" t="str">
        <f t="shared" si="2"/>
        <v xml:space="preserve"> </v>
      </c>
      <c r="L21" s="23" t="str">
        <f t="shared" si="31"/>
        <v xml:space="preserve">  </v>
      </c>
      <c r="M21" s="38" t="str">
        <f t="shared" si="3"/>
        <v xml:space="preserve"> </v>
      </c>
      <c r="N21" s="27" t="str">
        <f t="shared" si="32"/>
        <v xml:space="preserve">  </v>
      </c>
      <c r="O21" s="23" t="str">
        <f t="shared" si="33"/>
        <v xml:space="preserve">  </v>
      </c>
      <c r="P21" s="4"/>
      <c r="Q21" s="50" t="s">
        <v>60</v>
      </c>
      <c r="R21" s="48" t="s">
        <v>61</v>
      </c>
      <c r="S21" t="str">
        <f>IF(Tools!$L$49="Use 141 rule only",I45,IF(Tools!$L$49="Use 141 and 1331 rules",BG22," "))</f>
        <v xml:space="preserve">  </v>
      </c>
      <c r="W21" s="29">
        <f>IF(AO21="  ","  ",IF(AND(AO20="  ",AO22="  "),"?",IF(AO20="  ",2*(AO22-AO21),IF(AO22="  ",2*(AO21-AO20),2*(AO22-AO20)))))</f>
        <v>4</v>
      </c>
      <c r="X21" s="30" t="str">
        <f t="shared" si="4"/>
        <v>WW</v>
      </c>
      <c r="Y21" s="30" t="str">
        <f t="shared" si="5"/>
        <v>-</v>
      </c>
      <c r="Z21" s="29" t="b">
        <f t="shared" si="6"/>
        <v>0</v>
      </c>
      <c r="AA21" s="29" t="b">
        <f t="shared" si="7"/>
        <v>0</v>
      </c>
      <c r="AB21" s="29" t="str">
        <f t="shared" ca="1" si="8"/>
        <v>++</v>
      </c>
      <c r="AC21" s="29">
        <f t="shared" si="34"/>
        <v>8</v>
      </c>
      <c r="AD21" s="29">
        <f t="shared" ca="1" si="9"/>
        <v>8</v>
      </c>
      <c r="AE21" s="29">
        <v>18</v>
      </c>
      <c r="AF21" s="31">
        <f t="shared" si="42"/>
        <v>14</v>
      </c>
      <c r="AG21" s="29" t="b">
        <f t="shared" si="11"/>
        <v>1</v>
      </c>
      <c r="AH21" s="30" t="str">
        <f t="shared" ca="1" si="43"/>
        <v>141-4</v>
      </c>
      <c r="AI21" s="30" t="str">
        <f t="shared" ca="1" si="13"/>
        <v/>
      </c>
      <c r="AJ21" s="29">
        <f t="shared" ca="1" si="14"/>
        <v>0</v>
      </c>
      <c r="AK21" s="29" t="str">
        <f t="shared" ca="1" si="15"/>
        <v>4/3</v>
      </c>
      <c r="AL21" s="29">
        <f t="shared" ca="1" si="16"/>
        <v>1.3333333333333333</v>
      </c>
      <c r="AM21" s="32">
        <f t="shared" ca="1" si="35"/>
        <v>1.3333333333333333</v>
      </c>
      <c r="AO21" s="20">
        <f>Tools!$AD20</f>
        <v>15</v>
      </c>
      <c r="AP21" s="33" t="str">
        <f t="shared" si="36"/>
        <v xml:space="preserve">  </v>
      </c>
      <c r="AQ21" s="34" t="str">
        <f t="shared" ca="1" si="18"/>
        <v>4/3</v>
      </c>
      <c r="AR21" s="23" t="str">
        <f t="shared" ca="1" si="19"/>
        <v xml:space="preserve">  </v>
      </c>
      <c r="AS21" s="24">
        <f t="shared" si="20"/>
        <v>5</v>
      </c>
      <c r="AT21" s="23" t="str">
        <f t="shared" ca="1" si="37"/>
        <v xml:space="preserve">  </v>
      </c>
      <c r="AU21" s="23" t="str">
        <f t="shared" ca="1" si="40"/>
        <v xml:space="preserve">  </v>
      </c>
      <c r="AV21" s="23" t="str">
        <f t="shared" si="21"/>
        <v xml:space="preserve">  </v>
      </c>
      <c r="AW21" s="23" t="str">
        <f t="shared" ca="1" si="22"/>
        <v xml:space="preserve">  </v>
      </c>
      <c r="AY21" s="35" t="str">
        <f t="shared" si="23"/>
        <v xml:space="preserve"> </v>
      </c>
      <c r="AZ21" s="23" t="str">
        <f t="shared" ca="1" si="41"/>
        <v xml:space="preserve">  </v>
      </c>
      <c r="BA21" s="36" t="str">
        <f t="shared" si="25"/>
        <v xml:space="preserve"> </v>
      </c>
      <c r="BB21" s="27" t="str">
        <f t="shared" ca="1" si="38"/>
        <v xml:space="preserve">  </v>
      </c>
      <c r="BC21" s="23" t="str">
        <f t="shared" ca="1" si="39"/>
        <v xml:space="preserve">  </v>
      </c>
      <c r="BE21" s="50" t="s">
        <v>57</v>
      </c>
      <c r="BF21" s="48" t="s">
        <v>62</v>
      </c>
      <c r="BG21" s="49" t="str">
        <f>IF(WL_No="  ","  ",(h^2)*$BC$29)</f>
        <v xml:space="preserve">  </v>
      </c>
    </row>
    <row r="22" spans="1:59" x14ac:dyDescent="0.25">
      <c r="A22" s="20">
        <f>Tools!$AD21</f>
        <v>16</v>
      </c>
      <c r="B22" s="33" t="str">
        <f t="shared" si="0"/>
        <v xml:space="preserve">  </v>
      </c>
      <c r="C22" s="22">
        <f>IF(A22="  ","  ",IF(AND(A21="  ",A23="  "),"?",IF(A21="  ",1*(A23-A22),IF(A23="  ",1*(A22-A21),1*(A23-A21)))))</f>
        <v>2</v>
      </c>
      <c r="D22" s="23" t="str">
        <f t="shared" si="26"/>
        <v xml:space="preserve">  </v>
      </c>
      <c r="E22" s="24">
        <f t="shared" si="1"/>
        <v>6</v>
      </c>
      <c r="F22" s="23" t="str">
        <f t="shared" si="27"/>
        <v xml:space="preserve">  </v>
      </c>
      <c r="G22" s="23" t="str">
        <f t="shared" si="28"/>
        <v xml:space="preserve">  </v>
      </c>
      <c r="H22" s="23" t="str">
        <f t="shared" si="29"/>
        <v xml:space="preserve">  </v>
      </c>
      <c r="I22" s="23" t="str">
        <f t="shared" si="30"/>
        <v xml:space="preserve">  </v>
      </c>
      <c r="J22" s="4"/>
      <c r="K22" s="37" t="str">
        <f t="shared" si="2"/>
        <v xml:space="preserve"> </v>
      </c>
      <c r="L22" s="23" t="str">
        <f t="shared" si="31"/>
        <v xml:space="preserve">  </v>
      </c>
      <c r="M22" s="38" t="str">
        <f t="shared" si="3"/>
        <v xml:space="preserve"> </v>
      </c>
      <c r="N22" s="27" t="str">
        <f t="shared" si="32"/>
        <v xml:space="preserve">  </v>
      </c>
      <c r="O22" s="23" t="str">
        <f t="shared" si="33"/>
        <v xml:space="preserve">  </v>
      </c>
      <c r="P22" s="4"/>
      <c r="Q22" s="50" t="s">
        <v>63</v>
      </c>
      <c r="R22" s="48" t="s">
        <v>64</v>
      </c>
      <c r="S22" t="str">
        <f>IF(Tools!$L$49="Use 141 rule only",I46,IF(Tools!$L$49="Use 141 and 1331 rules",BG23," "))</f>
        <v xml:space="preserve">  </v>
      </c>
      <c r="W22" s="29">
        <f>IF(AO22="  ","  ",IF(AND(AO21="  ",AO23="  "),"?",IF(AO21="  ",1*(AO23-AO22),IF(AO23="  ",1*(AO22-AO21),1*(AO23-AO21)))))</f>
        <v>2</v>
      </c>
      <c r="X22" s="30" t="str">
        <f t="shared" si="4"/>
        <v>WW</v>
      </c>
      <c r="Y22" s="30" t="str">
        <f t="shared" si="5"/>
        <v>-</v>
      </c>
      <c r="Z22" s="29" t="b">
        <f t="shared" si="6"/>
        <v>0</v>
      </c>
      <c r="AA22" s="29" t="b">
        <f t="shared" si="7"/>
        <v>0</v>
      </c>
      <c r="AB22" s="29" t="str">
        <f t="shared" ca="1" si="8"/>
        <v>++</v>
      </c>
      <c r="AC22" s="29">
        <f t="shared" si="34"/>
        <v>7</v>
      </c>
      <c r="AD22" s="29">
        <f t="shared" ca="1" si="9"/>
        <v>7</v>
      </c>
      <c r="AE22" s="29">
        <v>19</v>
      </c>
      <c r="AF22" s="31">
        <f t="shared" si="42"/>
        <v>15</v>
      </c>
      <c r="AG22" s="29" t="b">
        <f t="shared" si="11"/>
        <v>1</v>
      </c>
      <c r="AH22" s="30" t="str">
        <f t="shared" ca="1" si="43"/>
        <v>141-2</v>
      </c>
      <c r="AI22" s="30" t="str">
        <f t="shared" ca="1" si="13"/>
        <v/>
      </c>
      <c r="AJ22" s="29">
        <f t="shared" ca="1" si="14"/>
        <v>0</v>
      </c>
      <c r="AK22" s="29" t="str">
        <f t="shared" ca="1" si="15"/>
        <v>2/3</v>
      </c>
      <c r="AL22" s="29">
        <f t="shared" ca="1" si="16"/>
        <v>0.66666666666666663</v>
      </c>
      <c r="AM22" s="32">
        <f t="shared" ca="1" si="35"/>
        <v>0.66666666666666663</v>
      </c>
      <c r="AO22" s="20">
        <f>Tools!$AD21</f>
        <v>16</v>
      </c>
      <c r="AP22" s="33" t="str">
        <f t="shared" si="36"/>
        <v xml:space="preserve">  </v>
      </c>
      <c r="AQ22" s="34" t="str">
        <f t="shared" ca="1" si="18"/>
        <v>2/3</v>
      </c>
      <c r="AR22" s="23" t="str">
        <f t="shared" ca="1" si="19"/>
        <v xml:space="preserve">  </v>
      </c>
      <c r="AS22" s="24">
        <f t="shared" si="20"/>
        <v>6</v>
      </c>
      <c r="AT22" s="23" t="str">
        <f t="shared" ca="1" si="37"/>
        <v xml:space="preserve">  </v>
      </c>
      <c r="AU22" s="23" t="str">
        <f t="shared" ca="1" si="40"/>
        <v xml:space="preserve">  </v>
      </c>
      <c r="AV22" s="23" t="str">
        <f t="shared" si="21"/>
        <v xml:space="preserve">  </v>
      </c>
      <c r="AW22" s="23" t="str">
        <f t="shared" ca="1" si="22"/>
        <v xml:space="preserve">  </v>
      </c>
      <c r="AY22" s="35" t="str">
        <f t="shared" si="23"/>
        <v xml:space="preserve"> </v>
      </c>
      <c r="AZ22" s="23" t="str">
        <f t="shared" ca="1" si="41"/>
        <v xml:space="preserve">  </v>
      </c>
      <c r="BA22" s="36" t="str">
        <f t="shared" si="25"/>
        <v xml:space="preserve"> </v>
      </c>
      <c r="BB22" s="27" t="str">
        <f t="shared" ca="1" si="38"/>
        <v xml:space="preserve">  </v>
      </c>
      <c r="BC22" s="23" t="str">
        <f t="shared" ca="1" si="39"/>
        <v xml:space="preserve">  </v>
      </c>
      <c r="BE22" s="50" t="s">
        <v>60</v>
      </c>
      <c r="BF22" s="48" t="s">
        <v>61</v>
      </c>
      <c r="BG22" s="49" t="str">
        <f>IF(WL_No="  ","  ",IF/V_Disp)</f>
        <v xml:space="preserve">  </v>
      </c>
    </row>
    <row r="23" spans="1:59" x14ac:dyDescent="0.25">
      <c r="A23" s="20">
        <f>Tools!$AD22</f>
        <v>17</v>
      </c>
      <c r="B23" s="33" t="str">
        <f t="shared" si="0"/>
        <v xml:space="preserve">  </v>
      </c>
      <c r="C23" s="22">
        <f>IF(A23="  ","  ",IF(AND(A22="  ",A24="  "),"?",IF(A22="  ",2*(A24-A23),IF(A24="  ",2*(A23-A22),2*(A24-A22)))))</f>
        <v>4</v>
      </c>
      <c r="D23" s="23" t="str">
        <f t="shared" si="26"/>
        <v xml:space="preserve">  </v>
      </c>
      <c r="E23" s="24">
        <f t="shared" si="1"/>
        <v>7</v>
      </c>
      <c r="F23" s="23" t="str">
        <f t="shared" si="27"/>
        <v xml:space="preserve">  </v>
      </c>
      <c r="G23" s="23" t="str">
        <f t="shared" si="28"/>
        <v xml:space="preserve">  </v>
      </c>
      <c r="H23" s="23" t="str">
        <f t="shared" si="29"/>
        <v xml:space="preserve">  </v>
      </c>
      <c r="I23" s="23" t="str">
        <f t="shared" si="30"/>
        <v xml:space="preserve">  </v>
      </c>
      <c r="J23" s="4"/>
      <c r="K23" s="37" t="str">
        <f t="shared" si="2"/>
        <v xml:space="preserve"> </v>
      </c>
      <c r="L23" s="23" t="str">
        <f t="shared" si="31"/>
        <v xml:space="preserve">  </v>
      </c>
      <c r="M23" s="38" t="str">
        <f t="shared" si="3"/>
        <v xml:space="preserve"> </v>
      </c>
      <c r="N23" s="27" t="str">
        <f t="shared" si="32"/>
        <v xml:space="preserve">  </v>
      </c>
      <c r="O23" s="23" t="str">
        <f t="shared" si="33"/>
        <v xml:space="preserve">  </v>
      </c>
      <c r="P23" s="4"/>
      <c r="Q23" s="50" t="s">
        <v>65</v>
      </c>
      <c r="R23" s="48" t="s">
        <v>66</v>
      </c>
      <c r="S23" t="str">
        <f>IF(Tools!$L$49="Use 141 rule only",I47,IF(Tools!$L$49="Use 141 and 1331 rules",BG24," "))</f>
        <v xml:space="preserve">  </v>
      </c>
      <c r="W23" s="29">
        <f>IF(AO23="  ","  ",IF(AND(AO22="  ",AO24="  "),"?",IF(AO22="  ",2*(AO24-AO23),IF(AO24="  ",2*(AO23-AO22),2*(AO24-AO22)))))</f>
        <v>4</v>
      </c>
      <c r="X23" s="30" t="str">
        <f t="shared" si="4"/>
        <v>WW</v>
      </c>
      <c r="Y23" s="30" t="str">
        <f t="shared" si="5"/>
        <v>-</v>
      </c>
      <c r="Z23" s="29" t="b">
        <f t="shared" si="6"/>
        <v>0</v>
      </c>
      <c r="AA23" s="29" t="b">
        <f t="shared" si="7"/>
        <v>0</v>
      </c>
      <c r="AB23" s="29" t="str">
        <f t="shared" ca="1" si="8"/>
        <v>++</v>
      </c>
      <c r="AC23" s="29">
        <f t="shared" si="34"/>
        <v>6</v>
      </c>
      <c r="AD23" s="29">
        <f t="shared" ca="1" si="9"/>
        <v>6</v>
      </c>
      <c r="AE23" s="29">
        <v>20</v>
      </c>
      <c r="AF23" s="31">
        <f t="shared" si="42"/>
        <v>16</v>
      </c>
      <c r="AG23" s="29" t="b">
        <f t="shared" si="11"/>
        <v>1</v>
      </c>
      <c r="AH23" s="30" t="str">
        <f t="shared" ca="1" si="43"/>
        <v>141-4</v>
      </c>
      <c r="AI23" s="30" t="str">
        <f t="shared" ca="1" si="13"/>
        <v/>
      </c>
      <c r="AJ23" s="29">
        <f t="shared" ca="1" si="14"/>
        <v>0</v>
      </c>
      <c r="AK23" s="29" t="str">
        <f t="shared" ca="1" si="15"/>
        <v>4/3</v>
      </c>
      <c r="AL23" s="29">
        <f t="shared" ca="1" si="16"/>
        <v>1.3333333333333333</v>
      </c>
      <c r="AM23" s="32">
        <f t="shared" ca="1" si="35"/>
        <v>1.3333333333333333</v>
      </c>
      <c r="AO23" s="20">
        <f>Tools!$AD22</f>
        <v>17</v>
      </c>
      <c r="AP23" s="33" t="str">
        <f t="shared" si="36"/>
        <v xml:space="preserve">  </v>
      </c>
      <c r="AQ23" s="34" t="str">
        <f t="shared" ca="1" si="18"/>
        <v>4/3</v>
      </c>
      <c r="AR23" s="23" t="str">
        <f t="shared" ca="1" si="19"/>
        <v xml:space="preserve">  </v>
      </c>
      <c r="AS23" s="24">
        <f t="shared" si="20"/>
        <v>7</v>
      </c>
      <c r="AT23" s="23" t="str">
        <f t="shared" ca="1" si="37"/>
        <v xml:space="preserve">  </v>
      </c>
      <c r="AU23" s="23" t="str">
        <f t="shared" ca="1" si="40"/>
        <v xml:space="preserve">  </v>
      </c>
      <c r="AV23" s="23" t="str">
        <f t="shared" si="21"/>
        <v xml:space="preserve">  </v>
      </c>
      <c r="AW23" s="23" t="str">
        <f t="shared" ca="1" si="22"/>
        <v xml:space="preserve">  </v>
      </c>
      <c r="AY23" s="35" t="str">
        <f t="shared" si="23"/>
        <v xml:space="preserve"> </v>
      </c>
      <c r="AZ23" s="23" t="str">
        <f t="shared" ca="1" si="41"/>
        <v xml:space="preserve">  </v>
      </c>
      <c r="BA23" s="36" t="str">
        <f t="shared" si="25"/>
        <v xml:space="preserve"> </v>
      </c>
      <c r="BB23" s="27" t="str">
        <f t="shared" ca="1" si="38"/>
        <v xml:space="preserve">  </v>
      </c>
      <c r="BC23" s="23" t="str">
        <f t="shared" ca="1" si="39"/>
        <v xml:space="preserve">  </v>
      </c>
      <c r="BE23" s="50" t="s">
        <v>63</v>
      </c>
      <c r="BF23" s="48" t="s">
        <v>64</v>
      </c>
      <c r="BG23" s="49" t="str">
        <f>IF(WL_No="  ","  ",IT/V_Disp)</f>
        <v xml:space="preserve">  </v>
      </c>
    </row>
    <row r="24" spans="1:59" x14ac:dyDescent="0.25">
      <c r="A24" s="20">
        <f>Tools!$AD23</f>
        <v>18</v>
      </c>
      <c r="B24" s="33" t="str">
        <f t="shared" si="0"/>
        <v xml:space="preserve">  </v>
      </c>
      <c r="C24" s="22">
        <f>IF(A24="  ","  ",IF(AND(A23="  ",A25="  "),"?",IF(A23="  ",1*(A25-A24),IF(A25="  ",1*(A24-A23),1*(A25-A23)))))</f>
        <v>1.5</v>
      </c>
      <c r="D24" s="23" t="str">
        <f t="shared" si="26"/>
        <v xml:space="preserve">  </v>
      </c>
      <c r="E24" s="24">
        <f t="shared" si="1"/>
        <v>8</v>
      </c>
      <c r="F24" s="23" t="str">
        <f t="shared" si="27"/>
        <v xml:space="preserve">  </v>
      </c>
      <c r="G24" s="23" t="str">
        <f t="shared" si="28"/>
        <v xml:space="preserve">  </v>
      </c>
      <c r="H24" s="23" t="str">
        <f t="shared" si="29"/>
        <v xml:space="preserve">  </v>
      </c>
      <c r="I24" s="23" t="str">
        <f t="shared" si="30"/>
        <v xml:space="preserve">  </v>
      </c>
      <c r="J24" s="4"/>
      <c r="K24" s="37" t="str">
        <f t="shared" si="2"/>
        <v xml:space="preserve"> </v>
      </c>
      <c r="L24" s="23" t="str">
        <f t="shared" si="31"/>
        <v xml:space="preserve">  </v>
      </c>
      <c r="M24" s="38" t="str">
        <f t="shared" si="3"/>
        <v xml:space="preserve"> </v>
      </c>
      <c r="N24" s="27" t="str">
        <f t="shared" si="32"/>
        <v xml:space="preserve">  </v>
      </c>
      <c r="O24" s="23" t="str">
        <f t="shared" si="33"/>
        <v xml:space="preserve">  </v>
      </c>
      <c r="P24" s="4"/>
      <c r="Q24" s="50" t="s">
        <v>67</v>
      </c>
      <c r="R24" s="48" t="s">
        <v>68</v>
      </c>
      <c r="S24" t="str">
        <f>IF(Tools!$L$49="Use 141 rule only",I48,IF(Tools!$L$49="Use 141 and 1331 rules",BG25," "))</f>
        <v xml:space="preserve">  </v>
      </c>
      <c r="W24" s="29">
        <f>IF(AO24="  ","  ",IF(AND(AO23="  ",AO25="  "),"?",IF(AO23="  ",1*(AO25-AO24),IF(AO25="  ",1*(AO24-AO23),1*(AO25-AO23)))))</f>
        <v>1.5</v>
      </c>
      <c r="X24" s="30" t="str">
        <f t="shared" si="4"/>
        <v>WD</v>
      </c>
      <c r="Y24" s="30" t="str">
        <f t="shared" si="5"/>
        <v>-</v>
      </c>
      <c r="Z24" s="29" t="b">
        <f t="shared" si="6"/>
        <v>1</v>
      </c>
      <c r="AA24" s="29" t="b">
        <f t="shared" si="7"/>
        <v>1</v>
      </c>
      <c r="AB24" s="29" t="str">
        <f t="shared" ca="1" si="8"/>
        <v>141-1</v>
      </c>
      <c r="AC24" s="29">
        <f t="shared" si="34"/>
        <v>5</v>
      </c>
      <c r="AD24" s="29">
        <f t="shared" ca="1" si="9"/>
        <v>5</v>
      </c>
      <c r="AE24" s="29">
        <v>21</v>
      </c>
      <c r="AF24" s="31">
        <f t="shared" si="42"/>
        <v>17</v>
      </c>
      <c r="AG24" s="29" t="b">
        <f t="shared" si="11"/>
        <v>1</v>
      </c>
      <c r="AH24" s="30" t="str">
        <f t="shared" ca="1" si="43"/>
        <v>141-1</v>
      </c>
      <c r="AI24" s="30" t="str">
        <f t="shared" ca="1" si="13"/>
        <v>(1/2)*(1/3)</v>
      </c>
      <c r="AJ24" s="29">
        <f t="shared" ca="1" si="14"/>
        <v>0.16666666666666666</v>
      </c>
      <c r="AK24" s="29" t="str">
        <f t="shared" ca="1" si="15"/>
        <v>1/3</v>
      </c>
      <c r="AL24" s="29">
        <f t="shared" ca="1" si="16"/>
        <v>0.33333333333333331</v>
      </c>
      <c r="AM24" s="32">
        <f t="shared" ca="1" si="35"/>
        <v>0.5</v>
      </c>
      <c r="AO24" s="20">
        <f>Tools!$AD23</f>
        <v>18</v>
      </c>
      <c r="AP24" s="33" t="str">
        <f t="shared" si="36"/>
        <v xml:space="preserve">  </v>
      </c>
      <c r="AQ24" s="34" t="str">
        <f t="shared" ca="1" si="18"/>
        <v>(1/2)*(1/3)+1/3</v>
      </c>
      <c r="AR24" s="23" t="str">
        <f t="shared" ca="1" si="19"/>
        <v xml:space="preserve">  </v>
      </c>
      <c r="AS24" s="24">
        <f t="shared" si="20"/>
        <v>8</v>
      </c>
      <c r="AT24" s="23" t="str">
        <f t="shared" ca="1" si="37"/>
        <v xml:space="preserve">  </v>
      </c>
      <c r="AU24" s="23" t="str">
        <f t="shared" ca="1" si="40"/>
        <v xml:space="preserve">  </v>
      </c>
      <c r="AV24" s="23" t="str">
        <f t="shared" si="21"/>
        <v xml:space="preserve">  </v>
      </c>
      <c r="AW24" s="23" t="str">
        <f t="shared" ca="1" si="22"/>
        <v xml:space="preserve">  </v>
      </c>
      <c r="AY24" s="35" t="str">
        <f t="shared" si="23"/>
        <v xml:space="preserve"> </v>
      </c>
      <c r="AZ24" s="23" t="str">
        <f t="shared" ca="1" si="41"/>
        <v xml:space="preserve">  </v>
      </c>
      <c r="BA24" s="36" t="str">
        <f t="shared" si="25"/>
        <v xml:space="preserve"> </v>
      </c>
      <c r="BB24" s="27" t="str">
        <f t="shared" ca="1" si="38"/>
        <v xml:space="preserve">  </v>
      </c>
      <c r="BC24" s="23" t="str">
        <f t="shared" ca="1" si="39"/>
        <v xml:space="preserve">  </v>
      </c>
      <c r="BE24" s="50" t="s">
        <v>65</v>
      </c>
      <c r="BF24" s="48" t="s">
        <v>66</v>
      </c>
      <c r="BG24" s="49" t="str">
        <f>IF(WL_No="  ","  ",MT/V_Disp)</f>
        <v xml:space="preserve">  </v>
      </c>
    </row>
    <row r="25" spans="1:59" x14ac:dyDescent="0.25">
      <c r="A25" s="20">
        <f>Tools!$AD24</f>
        <v>18.5</v>
      </c>
      <c r="B25" s="33" t="str">
        <f t="shared" si="0"/>
        <v xml:space="preserve">  </v>
      </c>
      <c r="C25" s="22">
        <f>IF(A25="  ","  ",IF(AND(A24="  ",A26="  "),"?",IF(A24="  ",2*(A26-A25),IF(A26="  ",2*(A25-A24),2*(A26-A24)))))</f>
        <v>2</v>
      </c>
      <c r="D25" s="23" t="str">
        <f t="shared" si="26"/>
        <v xml:space="preserve">  </v>
      </c>
      <c r="E25" s="24">
        <f t="shared" si="1"/>
        <v>8.5</v>
      </c>
      <c r="F25" s="23" t="str">
        <f t="shared" si="27"/>
        <v xml:space="preserve">  </v>
      </c>
      <c r="G25" s="23" t="str">
        <f t="shared" si="28"/>
        <v xml:space="preserve">  </v>
      </c>
      <c r="H25" s="23" t="str">
        <f t="shared" si="29"/>
        <v xml:space="preserve">  </v>
      </c>
      <c r="I25" s="23" t="str">
        <f t="shared" si="30"/>
        <v xml:space="preserve">  </v>
      </c>
      <c r="J25" s="4"/>
      <c r="K25" s="37" t="str">
        <f t="shared" si="2"/>
        <v xml:space="preserve"> </v>
      </c>
      <c r="L25" s="23" t="str">
        <f t="shared" si="31"/>
        <v xml:space="preserve">  </v>
      </c>
      <c r="M25" s="38" t="str">
        <f t="shared" si="3"/>
        <v xml:space="preserve"> </v>
      </c>
      <c r="N25" s="27" t="str">
        <f t="shared" si="32"/>
        <v xml:space="preserve">  </v>
      </c>
      <c r="O25" s="23" t="str">
        <f t="shared" si="33"/>
        <v xml:space="preserve">  </v>
      </c>
      <c r="P25" s="4"/>
      <c r="Q25" s="50" t="s">
        <v>69</v>
      </c>
      <c r="R25" s="48" t="s">
        <v>70</v>
      </c>
      <c r="S25" t="str">
        <f>IF(Tools!$L$49="Use 141 rule only",I49,IF(Tools!$L$49="Use 141 and 1331 rules",BG26," "))</f>
        <v xml:space="preserve">  </v>
      </c>
      <c r="W25" s="29">
        <f>IF(AO25="  ","  ",IF(AND(AO24="  ",AO26="  "),"?",IF(AO24="  ",2*(AO26-AO25),IF(AO26="  ",2*(AO25-AO24),2*(AO26-AO24)))))</f>
        <v>2</v>
      </c>
      <c r="X25" s="30" t="str">
        <f t="shared" si="4"/>
        <v>DD</v>
      </c>
      <c r="Y25" s="30" t="str">
        <f t="shared" si="5"/>
        <v>-</v>
      </c>
      <c r="Z25" s="29" t="b">
        <f t="shared" si="6"/>
        <v>1</v>
      </c>
      <c r="AA25" s="29" t="b">
        <f t="shared" si="7"/>
        <v>1</v>
      </c>
      <c r="AB25" s="29" t="str">
        <f t="shared" ca="1" si="8"/>
        <v>141-4</v>
      </c>
      <c r="AC25" s="29">
        <f t="shared" si="34"/>
        <v>4</v>
      </c>
      <c r="AD25" s="29">
        <f t="shared" ca="1" si="9"/>
        <v>4</v>
      </c>
      <c r="AE25" s="29">
        <v>22</v>
      </c>
      <c r="AF25" s="31">
        <f t="shared" si="42"/>
        <v>18</v>
      </c>
      <c r="AG25" s="29" t="b">
        <f t="shared" si="11"/>
        <v>0</v>
      </c>
      <c r="AH25" s="30" t="str">
        <f t="shared" si="43"/>
        <v>-</v>
      </c>
      <c r="AI25" s="30" t="str">
        <f t="shared" ca="1" si="13"/>
        <v>(1/2)*(4/3)</v>
      </c>
      <c r="AJ25" s="29">
        <f t="shared" ca="1" si="14"/>
        <v>0.66666666666666663</v>
      </c>
      <c r="AK25" s="29" t="str">
        <f t="shared" si="15"/>
        <v/>
      </c>
      <c r="AL25" s="29">
        <f t="shared" si="16"/>
        <v>0</v>
      </c>
      <c r="AM25" s="32">
        <f t="shared" ca="1" si="35"/>
        <v>0.66666666666666663</v>
      </c>
      <c r="AO25" s="20">
        <f>Tools!$AD24</f>
        <v>18.5</v>
      </c>
      <c r="AP25" s="33" t="str">
        <f t="shared" si="36"/>
        <v xml:space="preserve">  </v>
      </c>
      <c r="AQ25" s="34" t="str">
        <f t="shared" ca="1" si="18"/>
        <v>(1/2)*(4/3)</v>
      </c>
      <c r="AR25" s="23" t="str">
        <f t="shared" ca="1" si="19"/>
        <v xml:space="preserve">  </v>
      </c>
      <c r="AS25" s="24">
        <f t="shared" si="20"/>
        <v>8.5</v>
      </c>
      <c r="AT25" s="23" t="str">
        <f t="shared" ca="1" si="37"/>
        <v xml:space="preserve">  </v>
      </c>
      <c r="AU25" s="23" t="str">
        <f t="shared" ca="1" si="40"/>
        <v xml:space="preserve">  </v>
      </c>
      <c r="AV25" s="23" t="str">
        <f t="shared" si="21"/>
        <v xml:space="preserve">  </v>
      </c>
      <c r="AW25" s="23" t="str">
        <f t="shared" ca="1" si="22"/>
        <v xml:space="preserve">  </v>
      </c>
      <c r="AY25" s="35" t="str">
        <f t="shared" si="23"/>
        <v xml:space="preserve"> </v>
      </c>
      <c r="AZ25" s="23" t="str">
        <f t="shared" ca="1" si="41"/>
        <v xml:space="preserve">  </v>
      </c>
      <c r="BA25" s="36" t="str">
        <f t="shared" si="25"/>
        <v xml:space="preserve"> </v>
      </c>
      <c r="BB25" s="27" t="str">
        <f t="shared" ca="1" si="38"/>
        <v xml:space="preserve">  </v>
      </c>
      <c r="BC25" s="23" t="str">
        <f t="shared" ca="1" si="39"/>
        <v xml:space="preserve">  </v>
      </c>
      <c r="BE25" s="50" t="s">
        <v>67</v>
      </c>
      <c r="BF25" s="48" t="s">
        <v>68</v>
      </c>
      <c r="BG25" s="49" t="str">
        <f>IF(WL_No="  ","  ",KB+BMT)</f>
        <v xml:space="preserve">  </v>
      </c>
    </row>
    <row r="26" spans="1:59" x14ac:dyDescent="0.25">
      <c r="A26" s="20">
        <f>Tools!$AD25</f>
        <v>19</v>
      </c>
      <c r="B26" s="33" t="str">
        <f t="shared" si="0"/>
        <v xml:space="preserve">  </v>
      </c>
      <c r="C26" s="22">
        <f>IF(A26="  ","  ",IF(AND(A25="  ",A27="  "),"?",IF(A25="  ",1*(A27-A26),IF(A27="  ",1*(A26-A25),1*(A27-A25)))))</f>
        <v>1</v>
      </c>
      <c r="D26" s="23" t="str">
        <f t="shared" si="26"/>
        <v xml:space="preserve">  </v>
      </c>
      <c r="E26" s="24">
        <f t="shared" si="1"/>
        <v>9</v>
      </c>
      <c r="F26" s="23" t="str">
        <f t="shared" si="27"/>
        <v xml:space="preserve">  </v>
      </c>
      <c r="G26" s="23" t="str">
        <f t="shared" si="28"/>
        <v xml:space="preserve">  </v>
      </c>
      <c r="H26" s="23" t="str">
        <f t="shared" si="29"/>
        <v xml:space="preserve">  </v>
      </c>
      <c r="I26" s="23" t="str">
        <f t="shared" si="30"/>
        <v xml:space="preserve">  </v>
      </c>
      <c r="J26" s="4"/>
      <c r="K26" s="37" t="str">
        <f t="shared" si="2"/>
        <v xml:space="preserve"> </v>
      </c>
      <c r="L26" s="23" t="str">
        <f t="shared" si="31"/>
        <v xml:space="preserve">  </v>
      </c>
      <c r="M26" s="38" t="str">
        <f t="shared" si="3"/>
        <v xml:space="preserve"> </v>
      </c>
      <c r="N26" s="27" t="str">
        <f t="shared" si="32"/>
        <v xml:space="preserve">  </v>
      </c>
      <c r="O26" s="23" t="str">
        <f t="shared" si="33"/>
        <v xml:space="preserve">  </v>
      </c>
      <c r="P26" s="4"/>
      <c r="Q26" s="50" t="s">
        <v>71</v>
      </c>
      <c r="R26" s="48" t="s">
        <v>72</v>
      </c>
      <c r="S26" t="str">
        <f>IF(Tools!$L$49="Use 141 rule only",I50,IF(Tools!$L$49="Use 141 and 1331 rules",BG27," "))</f>
        <v xml:space="preserve">  </v>
      </c>
      <c r="W26" s="29">
        <f>IF(AO26="  ","  ",IF(AND(AO25="  ",AO27="  "),"?",IF(AO25="  ",1*(AO27-AO26),IF(AO27="  ",1*(AO26-AO25),1*(AO27-AO25)))))</f>
        <v>1</v>
      </c>
      <c r="X26" s="30" t="str">
        <f t="shared" si="4"/>
        <v>DD</v>
      </c>
      <c r="Y26" s="30" t="str">
        <f t="shared" si="5"/>
        <v>-</v>
      </c>
      <c r="Z26" s="29" t="b">
        <f t="shared" si="6"/>
        <v>1</v>
      </c>
      <c r="AA26" s="29" t="b">
        <f t="shared" si="7"/>
        <v>1</v>
      </c>
      <c r="AB26" s="29" t="str">
        <f t="shared" ca="1" si="8"/>
        <v>141-2</v>
      </c>
      <c r="AC26" s="29">
        <f t="shared" si="34"/>
        <v>3</v>
      </c>
      <c r="AD26" s="29">
        <f t="shared" ca="1" si="9"/>
        <v>3</v>
      </c>
      <c r="AE26" s="29">
        <v>23</v>
      </c>
      <c r="AF26" s="31">
        <f t="shared" si="42"/>
        <v>19</v>
      </c>
      <c r="AG26" s="29" t="b">
        <f t="shared" si="11"/>
        <v>0</v>
      </c>
      <c r="AH26" s="30" t="str">
        <f t="shared" si="43"/>
        <v>-</v>
      </c>
      <c r="AI26" s="30" t="str">
        <f t="shared" ca="1" si="13"/>
        <v>(1/2)*(2/3)</v>
      </c>
      <c r="AJ26" s="29">
        <f t="shared" ca="1" si="14"/>
        <v>0.33333333333333331</v>
      </c>
      <c r="AK26" s="29" t="str">
        <f t="shared" si="15"/>
        <v/>
      </c>
      <c r="AL26" s="29">
        <f t="shared" si="16"/>
        <v>0</v>
      </c>
      <c r="AM26" s="32">
        <f t="shared" ca="1" si="35"/>
        <v>0.33333333333333331</v>
      </c>
      <c r="AO26" s="20">
        <f>Tools!$AD25</f>
        <v>19</v>
      </c>
      <c r="AP26" s="33" t="str">
        <f t="shared" si="36"/>
        <v xml:space="preserve">  </v>
      </c>
      <c r="AQ26" s="34" t="str">
        <f t="shared" ca="1" si="18"/>
        <v>(1/2)*(2/3)</v>
      </c>
      <c r="AR26" s="23" t="str">
        <f t="shared" ca="1" si="19"/>
        <v xml:space="preserve">  </v>
      </c>
      <c r="AS26" s="24">
        <f t="shared" si="20"/>
        <v>9</v>
      </c>
      <c r="AT26" s="23" t="str">
        <f t="shared" ca="1" si="37"/>
        <v xml:space="preserve">  </v>
      </c>
      <c r="AU26" s="23" t="str">
        <f t="shared" ca="1" si="40"/>
        <v xml:space="preserve">  </v>
      </c>
      <c r="AV26" s="23" t="str">
        <f t="shared" si="21"/>
        <v xml:space="preserve">  </v>
      </c>
      <c r="AW26" s="23" t="str">
        <f t="shared" ca="1" si="22"/>
        <v xml:space="preserve">  </v>
      </c>
      <c r="AY26" s="35" t="str">
        <f t="shared" si="23"/>
        <v xml:space="preserve"> </v>
      </c>
      <c r="AZ26" s="23" t="str">
        <f t="shared" ca="1" si="41"/>
        <v xml:space="preserve">  </v>
      </c>
      <c r="BA26" s="36" t="str">
        <f t="shared" si="25"/>
        <v xml:space="preserve"> </v>
      </c>
      <c r="BB26" s="27" t="str">
        <f t="shared" ca="1" si="38"/>
        <v xml:space="preserve">  </v>
      </c>
      <c r="BC26" s="23" t="str">
        <f t="shared" ca="1" si="39"/>
        <v xml:space="preserve">  </v>
      </c>
      <c r="BE26" s="50" t="s">
        <v>69</v>
      </c>
      <c r="BF26" s="48" t="s">
        <v>70</v>
      </c>
      <c r="BG26" s="49" t="str">
        <f>IF(WL_No="  ","  ",KB+BML)</f>
        <v xml:space="preserve">  </v>
      </c>
    </row>
    <row r="27" spans="1:59" x14ac:dyDescent="0.25">
      <c r="A27" s="20">
        <f>Tools!$AD26</f>
        <v>19.5</v>
      </c>
      <c r="B27" s="33" t="str">
        <f t="shared" si="0"/>
        <v xml:space="preserve">  </v>
      </c>
      <c r="C27" s="22">
        <f>IF(A27="  ","  ",IF(AND(A26="  ",A28="  "),"?",IF(A26="  ",2*(A28-A27),IF(A28="  ",2*(A27-A26),2*(A28-A26)))))</f>
        <v>2</v>
      </c>
      <c r="D27" s="23" t="str">
        <f t="shared" si="26"/>
        <v xml:space="preserve">  </v>
      </c>
      <c r="E27" s="24">
        <f t="shared" si="1"/>
        <v>9.5</v>
      </c>
      <c r="F27" s="23" t="str">
        <f t="shared" si="27"/>
        <v xml:space="preserve">  </v>
      </c>
      <c r="G27" s="23" t="str">
        <f t="shared" si="28"/>
        <v xml:space="preserve">  </v>
      </c>
      <c r="H27" s="23" t="str">
        <f t="shared" si="29"/>
        <v xml:space="preserve">  </v>
      </c>
      <c r="I27" s="23" t="str">
        <f t="shared" si="30"/>
        <v xml:space="preserve">  </v>
      </c>
      <c r="J27" s="4"/>
      <c r="K27" s="37" t="str">
        <f t="shared" si="2"/>
        <v xml:space="preserve"> </v>
      </c>
      <c r="L27" s="23" t="str">
        <f t="shared" si="31"/>
        <v xml:space="preserve">  </v>
      </c>
      <c r="M27" s="38" t="str">
        <f t="shared" si="3"/>
        <v xml:space="preserve"> </v>
      </c>
      <c r="N27" s="27" t="str">
        <f t="shared" si="32"/>
        <v xml:space="preserve">  </v>
      </c>
      <c r="O27" s="23" t="str">
        <f t="shared" si="33"/>
        <v xml:space="preserve">  </v>
      </c>
      <c r="P27" s="4"/>
      <c r="Q27" s="50" t="s">
        <v>73</v>
      </c>
      <c r="R27" s="48" t="s">
        <v>74</v>
      </c>
      <c r="S27" t="str">
        <f>IF(Tools!$L$49="Use 141 rule only",I51,IF(Tools!$L$49="Use 141 and 1331 rules",BG28," "))</f>
        <v xml:space="preserve">  </v>
      </c>
      <c r="W27" s="29">
        <f>IF(AO27="  ","  ",IF(AND(AO26="  ",AO28="  "),"?",IF(AO26="  ",2*(AO28-AO27),IF(AO28="  ",2*(AO27-AO26),2*(AO28-AO26)))))</f>
        <v>2</v>
      </c>
      <c r="X27" s="30" t="str">
        <f t="shared" si="4"/>
        <v>DD</v>
      </c>
      <c r="Y27" s="30" t="str">
        <f t="shared" si="5"/>
        <v>-</v>
      </c>
      <c r="Z27" s="29" t="b">
        <f t="shared" si="6"/>
        <v>1</v>
      </c>
      <c r="AA27" s="29" t="b">
        <f t="shared" si="7"/>
        <v>1</v>
      </c>
      <c r="AB27" s="29" t="str">
        <f t="shared" ca="1" si="8"/>
        <v>141-4</v>
      </c>
      <c r="AC27" s="29">
        <f t="shared" si="34"/>
        <v>2</v>
      </c>
      <c r="AD27" s="29">
        <f t="shared" ca="1" si="9"/>
        <v>2</v>
      </c>
      <c r="AE27" s="29">
        <v>24</v>
      </c>
      <c r="AF27" s="31">
        <f t="shared" si="42"/>
        <v>20</v>
      </c>
      <c r="AG27" s="29" t="b">
        <f t="shared" si="11"/>
        <v>0</v>
      </c>
      <c r="AH27" s="30" t="str">
        <f t="shared" si="43"/>
        <v>-</v>
      </c>
      <c r="AI27" s="30" t="str">
        <f t="shared" ca="1" si="13"/>
        <v>(1/2)*(4/3)</v>
      </c>
      <c r="AJ27" s="29">
        <f t="shared" ca="1" si="14"/>
        <v>0.66666666666666663</v>
      </c>
      <c r="AK27" s="29" t="str">
        <f t="shared" si="15"/>
        <v/>
      </c>
      <c r="AL27" s="29">
        <f t="shared" si="16"/>
        <v>0</v>
      </c>
      <c r="AM27" s="32">
        <f t="shared" ca="1" si="35"/>
        <v>0.66666666666666663</v>
      </c>
      <c r="AO27" s="20">
        <f>Tools!$AD26</f>
        <v>19.5</v>
      </c>
      <c r="AP27" s="33" t="str">
        <f t="shared" ref="AP27:AP28" si="44">VLOOKUP(AO27,OFFSET_A,Count_WL+1,FALSE)</f>
        <v xml:space="preserve">  </v>
      </c>
      <c r="AQ27" s="34" t="str">
        <f t="shared" ca="1" si="18"/>
        <v>(1/2)*(4/3)</v>
      </c>
      <c r="AR27" s="23" t="str">
        <f t="shared" ca="1" si="19"/>
        <v xml:space="preserve">  </v>
      </c>
      <c r="AS27" s="24">
        <f t="shared" si="20"/>
        <v>9.5</v>
      </c>
      <c r="AT27" s="23" t="str">
        <f t="shared" ca="1" si="37"/>
        <v xml:space="preserve">  </v>
      </c>
      <c r="AU27" s="23" t="str">
        <f t="shared" ca="1" si="40"/>
        <v xml:space="preserve">  </v>
      </c>
      <c r="AV27" s="23" t="str">
        <f t="shared" si="21"/>
        <v xml:space="preserve">  </v>
      </c>
      <c r="AW27" s="23" t="str">
        <f t="shared" ca="1" si="22"/>
        <v xml:space="preserve">  </v>
      </c>
      <c r="AY27" s="35" t="str">
        <f t="shared" si="23"/>
        <v xml:space="preserve"> </v>
      </c>
      <c r="AZ27" s="23" t="str">
        <f t="shared" ca="1" si="41"/>
        <v xml:space="preserve">  </v>
      </c>
      <c r="BA27" s="36" t="str">
        <f t="shared" si="25"/>
        <v xml:space="preserve"> </v>
      </c>
      <c r="BB27" s="27" t="str">
        <f t="shared" ca="1" si="38"/>
        <v xml:space="preserve">  </v>
      </c>
      <c r="BC27" s="23" t="str">
        <f t="shared" ca="1" si="39"/>
        <v xml:space="preserve">  </v>
      </c>
      <c r="BE27" s="50" t="s">
        <v>71</v>
      </c>
      <c r="BF27" s="48" t="s">
        <v>72</v>
      </c>
      <c r="BG27" s="49" t="str">
        <f>IF(WL_No="  ","  ",AWP*1.025/100)</f>
        <v xml:space="preserve">  </v>
      </c>
    </row>
    <row r="28" spans="1:59" ht="15.75" thickBot="1" x14ac:dyDescent="0.3">
      <c r="A28" s="20">
        <f>Tools!$AD27</f>
        <v>20</v>
      </c>
      <c r="B28" s="52" t="str">
        <f t="shared" si="0"/>
        <v xml:space="preserve">  </v>
      </c>
      <c r="C28" s="22">
        <f>IF(A28="  ","  ",IF(A27="  ","?",1*(A28-A27)))</f>
        <v>0.5</v>
      </c>
      <c r="D28" s="53" t="str">
        <f t="shared" si="26"/>
        <v xml:space="preserve">  </v>
      </c>
      <c r="E28" s="24">
        <f t="shared" si="1"/>
        <v>10</v>
      </c>
      <c r="F28" s="53" t="str">
        <f t="shared" si="27"/>
        <v xml:space="preserve">  </v>
      </c>
      <c r="G28" s="53" t="str">
        <f t="shared" si="28"/>
        <v xml:space="preserve">  </v>
      </c>
      <c r="H28" s="23" t="str">
        <f t="shared" si="29"/>
        <v xml:space="preserve">  </v>
      </c>
      <c r="I28" s="53" t="str">
        <f t="shared" si="30"/>
        <v xml:space="preserve">  </v>
      </c>
      <c r="J28" s="4"/>
      <c r="K28" s="35" t="str">
        <f t="shared" si="2"/>
        <v xml:space="preserve"> </v>
      </c>
      <c r="L28" s="53" t="str">
        <f t="shared" si="31"/>
        <v xml:space="preserve">  </v>
      </c>
      <c r="M28" s="36" t="str">
        <f t="shared" si="3"/>
        <v xml:space="preserve"> </v>
      </c>
      <c r="N28" s="54" t="str">
        <f t="shared" si="32"/>
        <v xml:space="preserve">  </v>
      </c>
      <c r="O28" s="53" t="str">
        <f t="shared" si="33"/>
        <v xml:space="preserve">  </v>
      </c>
      <c r="P28" s="4"/>
      <c r="Q28" s="50" t="s">
        <v>75</v>
      </c>
      <c r="R28" s="55" t="s">
        <v>76</v>
      </c>
      <c r="S28" t="str">
        <f>IF(Tools!$L$49="Use 141 rule only",I52,IF(Tools!$L$49="Use 141 and 1331 rules",BG29," "))</f>
        <v xml:space="preserve">  </v>
      </c>
      <c r="W28" s="29">
        <f>IF(AO28="  ","  ",IF(AO27="  ","?",1*(AO28-AO27)))</f>
        <v>0.5</v>
      </c>
      <c r="X28" s="30" t="str">
        <f t="shared" si="4"/>
        <v>D-</v>
      </c>
      <c r="Y28" s="30" t="str">
        <f t="shared" si="5"/>
        <v>-</v>
      </c>
      <c r="Z28" s="29" t="b">
        <f t="shared" si="6"/>
        <v>1</v>
      </c>
      <c r="AA28" s="29" t="b">
        <f t="shared" si="7"/>
        <v>1</v>
      </c>
      <c r="AB28" s="29" t="str">
        <f t="shared" ca="1" si="8"/>
        <v>141-1</v>
      </c>
      <c r="AC28" s="29">
        <f>IF(ISNUMBER(AO28),IF(ISNUMBER(AO28),IF(OR(AO28=0,AO28=Long_Div),1,IF(AO28&gt;Long_Div/2,AF29+1,IF(AO28&lt;=Long_Div/2,AC27+1,"?")))," --")," ")</f>
        <v>1</v>
      </c>
      <c r="AD28" s="29">
        <f t="shared" ca="1" si="9"/>
        <v>1</v>
      </c>
      <c r="AE28" s="29">
        <v>25</v>
      </c>
      <c r="AF28" s="31">
        <f t="shared" si="42"/>
        <v>21</v>
      </c>
      <c r="AG28" s="29" t="b">
        <f t="shared" si="11"/>
        <v>0</v>
      </c>
      <c r="AH28" s="30" t="str">
        <f t="shared" si="43"/>
        <v>-</v>
      </c>
      <c r="AI28" s="30" t="str">
        <f t="shared" ca="1" si="13"/>
        <v>(1/2)*(1/3)</v>
      </c>
      <c r="AJ28" s="29">
        <f t="shared" ca="1" si="14"/>
        <v>0.16666666666666666</v>
      </c>
      <c r="AK28" s="29" t="str">
        <f t="shared" si="15"/>
        <v/>
      </c>
      <c r="AL28" s="29">
        <f t="shared" si="16"/>
        <v>0</v>
      </c>
      <c r="AM28" s="32">
        <f t="shared" ca="1" si="35"/>
        <v>0.16666666666666666</v>
      </c>
      <c r="AO28" s="20">
        <f>Tools!$AD27</f>
        <v>20</v>
      </c>
      <c r="AP28" s="33" t="str">
        <f t="shared" si="44"/>
        <v xml:space="preserve">  </v>
      </c>
      <c r="AQ28" s="34" t="str">
        <f t="shared" ca="1" si="18"/>
        <v>(1/2)*(1/3)</v>
      </c>
      <c r="AR28" s="23" t="str">
        <f t="shared" ca="1" si="19"/>
        <v xml:space="preserve">  </v>
      </c>
      <c r="AS28" s="24">
        <f t="shared" si="20"/>
        <v>10</v>
      </c>
      <c r="AT28" s="53" t="str">
        <f t="shared" ca="1" si="37"/>
        <v xml:space="preserve">  </v>
      </c>
      <c r="AU28" s="53" t="str">
        <f t="shared" ca="1" si="40"/>
        <v xml:space="preserve">  </v>
      </c>
      <c r="AV28" s="23" t="str">
        <f t="shared" si="21"/>
        <v xml:space="preserve">  </v>
      </c>
      <c r="AW28" s="23" t="str">
        <f t="shared" ca="1" si="22"/>
        <v xml:space="preserve">  </v>
      </c>
      <c r="AY28" s="35" t="str">
        <f t="shared" si="23"/>
        <v xml:space="preserve"> </v>
      </c>
      <c r="AZ28" s="23" t="str">
        <f t="shared" ca="1" si="41"/>
        <v xml:space="preserve">  </v>
      </c>
      <c r="BA28" s="36" t="str">
        <f t="shared" si="25"/>
        <v xml:space="preserve"> </v>
      </c>
      <c r="BB28" s="27" t="str">
        <f t="shared" ca="1" si="38"/>
        <v xml:space="preserve">  </v>
      </c>
      <c r="BC28" s="53" t="str">
        <f t="shared" ca="1" si="39"/>
        <v xml:space="preserve">  </v>
      </c>
      <c r="BE28" s="50" t="s">
        <v>73</v>
      </c>
      <c r="BF28" s="48" t="s">
        <v>74</v>
      </c>
      <c r="BG28" s="49" t="str">
        <f>IF(WL_No="  ","  ",ML/V_Disp)</f>
        <v xml:space="preserve">  </v>
      </c>
    </row>
    <row r="29" spans="1:59" ht="15.75" thickBot="1" x14ac:dyDescent="0.3">
      <c r="A29" s="56" t="s">
        <v>77</v>
      </c>
      <c r="B29" s="56"/>
      <c r="C29" s="56"/>
      <c r="D29" s="57">
        <f>SUM(D4:D28)</f>
        <v>0</v>
      </c>
      <c r="E29" s="42"/>
      <c r="F29" s="58">
        <f>SUM(F4:F28)</f>
        <v>0</v>
      </c>
      <c r="G29" s="58">
        <f>SUM(G4:G28)</f>
        <v>0</v>
      </c>
      <c r="H29" s="42"/>
      <c r="I29" s="58">
        <f>SUM(I4:I28)</f>
        <v>0</v>
      </c>
      <c r="J29" s="4"/>
      <c r="K29" s="42"/>
      <c r="L29" s="58">
        <f>SUM(L4:L28)</f>
        <v>0</v>
      </c>
      <c r="M29" s="42"/>
      <c r="N29" s="58">
        <f>SUM(N4:N28)</f>
        <v>0</v>
      </c>
      <c r="O29" s="58">
        <f>SUM(O4:O28)</f>
        <v>0</v>
      </c>
      <c r="P29" s="4"/>
      <c r="Q29" s="50" t="s">
        <v>78</v>
      </c>
      <c r="R29" s="48" t="s">
        <v>79</v>
      </c>
      <c r="S29" t="str">
        <f>IF(Tools!$L$49="Use 141 rule only",I53,IF(Tools!$L$49="Use 141 and 1331 rules",BG30," "))</f>
        <v xml:space="preserve">  </v>
      </c>
      <c r="W29" s="56"/>
      <c r="X29" s="56"/>
      <c r="Y29" s="56"/>
      <c r="Z29" s="56"/>
      <c r="AA29" s="56"/>
      <c r="AB29" s="56"/>
      <c r="AC29" s="56"/>
      <c r="AD29" s="56"/>
      <c r="AE29" s="56"/>
      <c r="AF29" s="56"/>
      <c r="AG29" s="56"/>
      <c r="AH29" s="56"/>
      <c r="AI29" s="56"/>
      <c r="AJ29" s="56"/>
      <c r="AK29" s="56"/>
      <c r="AL29" s="56"/>
      <c r="AM29" s="56"/>
      <c r="AN29" s="56"/>
      <c r="AO29" s="56" t="s">
        <v>77</v>
      </c>
      <c r="AP29" s="56"/>
      <c r="AQ29" s="59"/>
      <c r="AR29" s="57">
        <f ca="1">SUM(AR4:AR28)</f>
        <v>0</v>
      </c>
      <c r="AS29" s="42"/>
      <c r="AT29" s="58">
        <f ca="1">SUM(AT4:AT28)</f>
        <v>0</v>
      </c>
      <c r="AU29" s="58">
        <f ca="1">SUM(AU4:AU28)</f>
        <v>0</v>
      </c>
      <c r="AV29" s="42"/>
      <c r="AW29" s="58">
        <f ca="1">SUM(AW4:AW28)</f>
        <v>0</v>
      </c>
      <c r="AY29" s="42"/>
      <c r="AZ29" s="58">
        <f ca="1">SUM(AZ4:AZ28)</f>
        <v>0</v>
      </c>
      <c r="BA29" s="42"/>
      <c r="BB29" s="58">
        <f ca="1">SUM(BB4:BB28)</f>
        <v>0</v>
      </c>
      <c r="BC29" s="58">
        <f ca="1">SUM(BC4:BC28)</f>
        <v>0</v>
      </c>
      <c r="BE29" s="50" t="s">
        <v>75</v>
      </c>
      <c r="BF29" s="55" t="s">
        <v>76</v>
      </c>
      <c r="BG29" s="49" t="str">
        <f>IF(WL_No="  ","  ",M_Disp*BML/100/BG8)</f>
        <v xml:space="preserve">  </v>
      </c>
    </row>
    <row r="30" spans="1:59" x14ac:dyDescent="0.25">
      <c r="A30" s="15"/>
      <c r="B30" s="4"/>
      <c r="C30" s="4"/>
      <c r="D30" s="42"/>
      <c r="E30" s="4"/>
      <c r="F30" s="4"/>
      <c r="G30" s="4"/>
      <c r="H30" s="4"/>
      <c r="I30" s="4"/>
      <c r="J30" s="4"/>
      <c r="K30" s="4"/>
      <c r="L30" s="4"/>
      <c r="M30" s="4"/>
      <c r="N30" s="4"/>
      <c r="O30" s="4"/>
      <c r="P30" s="4"/>
      <c r="Q30" s="50" t="s">
        <v>80</v>
      </c>
      <c r="R30" s="48" t="s">
        <v>81</v>
      </c>
      <c r="S30" t="str">
        <f>IF(Tools!$L$49="Use 141 rule only",I54,IF(Tools!$L$49="Use 141 and 1331 rules",BG31," "))</f>
        <v xml:space="preserve">  </v>
      </c>
      <c r="AA30" s="60"/>
      <c r="AB30" s="60"/>
      <c r="BE30" s="50" t="s">
        <v>78</v>
      </c>
      <c r="BF30" s="48" t="s">
        <v>79</v>
      </c>
      <c r="BG30" s="49" t="str">
        <f>IF(WL_No="  ","  ",WLS*WL_No)</f>
        <v xml:space="preserve">  </v>
      </c>
    </row>
    <row r="31" spans="1:59" x14ac:dyDescent="0.25">
      <c r="A31" s="15"/>
      <c r="B31" s="4"/>
      <c r="C31" s="4"/>
      <c r="D31" s="4"/>
      <c r="E31" s="4"/>
      <c r="F31" s="4"/>
      <c r="G31" s="4"/>
      <c r="H31" s="4"/>
      <c r="I31" s="4"/>
      <c r="J31" s="4"/>
      <c r="K31" s="4"/>
      <c r="L31" s="4"/>
      <c r="M31" s="4"/>
      <c r="N31" s="4"/>
      <c r="O31" s="4"/>
      <c r="P31" s="4"/>
      <c r="Q31" s="50" t="s">
        <v>82</v>
      </c>
      <c r="R31" s="48" t="s">
        <v>83</v>
      </c>
      <c r="S31" t="str">
        <f>IF(Tools!$L$49="Use 141 rule only",I55,IF(Tools!$L$49="Use 141 and 1331 rules",BG32," "))</f>
        <v xml:space="preserve">  </v>
      </c>
      <c r="AF31" s="61" t="s">
        <v>84</v>
      </c>
      <c r="AG31" s="62">
        <f ca="1">COUNTIF(OFFSET(AQ4,,,ROUNDUP(Max_STN_count/2,0),1),"")</f>
        <v>0</v>
      </c>
      <c r="AH31" s="63">
        <f ca="1">HLOOKUP(Stn_WL,AREA_TABLE,AG31+2,FALSE)</f>
        <v>0</v>
      </c>
      <c r="AI31" s="63">
        <f ca="1">IF(AH31&gt;Long_Div/2,Long_Div/2,AH31)</f>
        <v>0</v>
      </c>
      <c r="AJ31" s="63">
        <f ca="1">AI31*STN_GAP</f>
        <v>0</v>
      </c>
      <c r="BE31" s="50" t="s">
        <v>80</v>
      </c>
      <c r="BF31" s="48" t="s">
        <v>81</v>
      </c>
      <c r="BG31" s="49" t="str">
        <f>IF(WL_No="  ","  ",AWP/(BG8*B_current))</f>
        <v xml:space="preserve">  </v>
      </c>
    </row>
    <row r="32" spans="1:59" x14ac:dyDescent="0.25">
      <c r="A32" s="15"/>
      <c r="B32" s="4"/>
      <c r="C32" s="4"/>
      <c r="D32" s="4"/>
      <c r="E32" s="4"/>
      <c r="F32" s="4"/>
      <c r="G32" s="4"/>
      <c r="H32" s="4"/>
      <c r="I32" s="4"/>
      <c r="J32" s="64"/>
      <c r="K32" s="4"/>
      <c r="L32" s="4"/>
      <c r="M32" s="4"/>
      <c r="N32" s="4"/>
      <c r="O32" s="4"/>
      <c r="P32" s="4"/>
      <c r="Q32" s="50" t="s">
        <v>85</v>
      </c>
      <c r="R32" s="48" t="s">
        <v>86</v>
      </c>
      <c r="S32" t="str">
        <f>IF(Tools!$L$49="Use 141 rule only",I56,IF(Tools!$L$49="Use 141 and 1331 rules",BG33," "))</f>
        <v xml:space="preserve">  </v>
      </c>
      <c r="AF32" s="61" t="s">
        <v>87</v>
      </c>
      <c r="AG32" s="62">
        <f ca="1">COUNTIF(OFFSET(AQ4,ROUNDUP(Max_STN_count/2,0),,ROUNDDOWN(Max_STN_count/2,0),1),"")</f>
        <v>0</v>
      </c>
      <c r="AH32" s="63">
        <f ca="1">HLOOKUP(Stn_WL,AREA_TABLE,AG32+2,FALSE)</f>
        <v>0</v>
      </c>
      <c r="AI32" s="63">
        <f ca="1">IF(AH32&gt;Long_Div/2,Long_Div/2,AH32)</f>
        <v>0</v>
      </c>
      <c r="AJ32" s="63">
        <f ca="1">AI32*STN_GAP</f>
        <v>0</v>
      </c>
      <c r="BE32" s="50" t="s">
        <v>82</v>
      </c>
      <c r="BF32" s="48" t="s">
        <v>83</v>
      </c>
      <c r="BG32" s="49" t="str">
        <f>IF(WL_No="  ","  ",V_Disp/(BG8*B_current*T))</f>
        <v xml:space="preserve">  </v>
      </c>
    </row>
    <row r="33" spans="1:59" x14ac:dyDescent="0.25">
      <c r="A33" s="15"/>
      <c r="B33" s="4"/>
      <c r="C33" s="4"/>
      <c r="D33" s="4"/>
      <c r="E33" s="4"/>
      <c r="F33" s="4"/>
      <c r="G33" s="43" t="s">
        <v>31</v>
      </c>
      <c r="H33" s="44" t="s">
        <v>32</v>
      </c>
      <c r="I33" s="489" t="s">
        <v>33</v>
      </c>
      <c r="J33" s="4"/>
      <c r="K33" s="4"/>
      <c r="L33" s="4"/>
      <c r="M33" s="4"/>
      <c r="N33" s="4"/>
      <c r="O33" s="4"/>
      <c r="P33" s="4"/>
      <c r="Q33" s="50" t="s">
        <v>88</v>
      </c>
      <c r="R33" s="48" t="s">
        <v>89</v>
      </c>
      <c r="S33" t="str">
        <f>IF(Tools!$L$49="Use 141 rule only",I57,IF(Tools!$L$49="Use 141 and 1331 rules",BG34," "))</f>
        <v xml:space="preserve">  </v>
      </c>
      <c r="AF33" s="63"/>
      <c r="AG33" s="63"/>
      <c r="AH33" s="63">
        <f ca="1">Long_Div-AH32</f>
        <v>20</v>
      </c>
      <c r="AI33" s="63"/>
      <c r="AJ33" s="63">
        <f ca="1">AJ32+AJ31</f>
        <v>0</v>
      </c>
      <c r="BE33" s="50" t="s">
        <v>85</v>
      </c>
      <c r="BF33" s="48" t="s">
        <v>86</v>
      </c>
      <c r="BG33" s="65" t="str">
        <f>IFERROR(IF(WL_No="  ","  ",(VLOOKUP(Long_Div/2,AREA_TABLE,Count_WL+1,FALSE))/(B_current*T)),"-")</f>
        <v xml:space="preserve">  </v>
      </c>
    </row>
    <row r="34" spans="1:59" x14ac:dyDescent="0.25">
      <c r="G34" s="45"/>
      <c r="H34" s="46"/>
      <c r="I34" s="490"/>
      <c r="BE34" s="50" t="s">
        <v>88</v>
      </c>
      <c r="BF34" s="48" t="s">
        <v>89</v>
      </c>
      <c r="BG34" s="49" t="str">
        <f>IF(WL_No="  ","  ",CB/CM)</f>
        <v xml:space="preserve">  </v>
      </c>
    </row>
    <row r="35" spans="1:59" x14ac:dyDescent="0.25">
      <c r="G35" s="47" t="s">
        <v>34</v>
      </c>
      <c r="H35" s="48" t="s">
        <v>35</v>
      </c>
      <c r="I35" s="49" t="str">
        <f>IF(WL_No="  ","  ",2/3*h*$D$29)</f>
        <v xml:space="preserve">  </v>
      </c>
    </row>
    <row r="36" spans="1:59" x14ac:dyDescent="0.25">
      <c r="G36" s="47" t="s">
        <v>36</v>
      </c>
      <c r="H36" s="48" t="s">
        <v>37</v>
      </c>
      <c r="I36" s="49" t="str">
        <f>IF(WL_No="  ","  ",2/3*(h^2)*$F$29)</f>
        <v xml:space="preserve">  </v>
      </c>
    </row>
    <row r="37" spans="1:59" x14ac:dyDescent="0.25">
      <c r="G37" s="50" t="s">
        <v>39</v>
      </c>
      <c r="H37" s="48" t="s">
        <v>40</v>
      </c>
      <c r="I37" s="49" t="str">
        <f>IF(WL_No="  ","  ",Mmid/AWP)</f>
        <v xml:space="preserve">  </v>
      </c>
    </row>
    <row r="38" spans="1:59" x14ac:dyDescent="0.25">
      <c r="G38" s="50" t="s">
        <v>42</v>
      </c>
      <c r="H38" s="48" t="s">
        <v>43</v>
      </c>
      <c r="I38" s="49" t="str">
        <f>IF(WL_No="  ","  ",2/3*(h^3)*$G$29)</f>
        <v xml:space="preserve">  </v>
      </c>
    </row>
    <row r="39" spans="1:59" x14ac:dyDescent="0.25">
      <c r="G39" s="51" t="s">
        <v>44</v>
      </c>
      <c r="H39" s="48" t="s">
        <v>45</v>
      </c>
      <c r="I39" s="49" t="str">
        <f>IF(WL_No="  ","  ",2/9*h*$I$29)</f>
        <v xml:space="preserve">  </v>
      </c>
    </row>
    <row r="40" spans="1:59" x14ac:dyDescent="0.25">
      <c r="G40" s="50" t="s">
        <v>47</v>
      </c>
      <c r="H40" s="48" t="s">
        <v>48</v>
      </c>
      <c r="I40" s="49" t="str">
        <f>IF(WL_No="  ","  ",IL-AWP*(LCF^2))</f>
        <v xml:space="preserve">  </v>
      </c>
    </row>
    <row r="41" spans="1:59" x14ac:dyDescent="0.25">
      <c r="G41" s="50" t="s">
        <v>50</v>
      </c>
      <c r="H41" s="48" t="s">
        <v>51</v>
      </c>
      <c r="I41" s="49" t="str">
        <f>IF(WL_No="  ","  ",h/3*$L$29)</f>
        <v xml:space="preserve">  </v>
      </c>
    </row>
    <row r="42" spans="1:59" x14ac:dyDescent="0.25">
      <c r="G42" s="50" t="s">
        <v>52</v>
      </c>
      <c r="H42" s="48" t="s">
        <v>53</v>
      </c>
      <c r="I42" s="49" t="str">
        <f>IF(WL_No="  ","  ",V_Disp*1.025*1.006)</f>
        <v xml:space="preserve">  </v>
      </c>
    </row>
    <row r="43" spans="1:59" x14ac:dyDescent="0.25">
      <c r="G43" s="50" t="s">
        <v>55</v>
      </c>
      <c r="H43" s="48" t="s">
        <v>56</v>
      </c>
      <c r="I43" s="49" t="str">
        <f>IF(WL_No="  ","  ",h/3*$N$29)</f>
        <v xml:space="preserve">  </v>
      </c>
    </row>
    <row r="44" spans="1:59" x14ac:dyDescent="0.25">
      <c r="G44" s="50" t="s">
        <v>57</v>
      </c>
      <c r="H44" s="48" t="s">
        <v>58</v>
      </c>
      <c r="I44" s="49" t="str">
        <f>IF(WL_No="  ","  ",(h^2)/3*$O$29)</f>
        <v xml:space="preserve">  </v>
      </c>
    </row>
    <row r="45" spans="1:59" x14ac:dyDescent="0.25">
      <c r="G45" s="50" t="s">
        <v>60</v>
      </c>
      <c r="H45" s="48" t="s">
        <v>61</v>
      </c>
      <c r="I45" s="49" t="str">
        <f>IF(WL_No="  ","  ",IF/V_Disp)</f>
        <v xml:space="preserve">  </v>
      </c>
    </row>
    <row r="46" spans="1:59" x14ac:dyDescent="0.25">
      <c r="G46" s="50" t="s">
        <v>63</v>
      </c>
      <c r="H46" s="48" t="s">
        <v>64</v>
      </c>
      <c r="I46" s="49" t="str">
        <f>IF(WL_No="  ","  ",IT/V_Disp)</f>
        <v xml:space="preserve">  </v>
      </c>
    </row>
    <row r="47" spans="1:59" x14ac:dyDescent="0.25">
      <c r="G47" s="50" t="s">
        <v>65</v>
      </c>
      <c r="H47" s="48" t="s">
        <v>66</v>
      </c>
      <c r="I47" s="49" t="str">
        <f>IF(WL_No="  ","  ",MT/V_Disp)</f>
        <v xml:space="preserve">  </v>
      </c>
    </row>
    <row r="48" spans="1:59" x14ac:dyDescent="0.25">
      <c r="G48" s="50" t="s">
        <v>67</v>
      </c>
      <c r="H48" s="48" t="s">
        <v>68</v>
      </c>
      <c r="I48" s="49" t="str">
        <f>IF(WL_No="  ","  ",KB+BMT)</f>
        <v xml:space="preserve">  </v>
      </c>
    </row>
    <row r="49" spans="7:9" x14ac:dyDescent="0.25">
      <c r="G49" s="50" t="s">
        <v>69</v>
      </c>
      <c r="H49" s="48" t="s">
        <v>70</v>
      </c>
      <c r="I49" s="49" t="str">
        <f>IF(WL_No="  ","  ",KB+BML)</f>
        <v xml:space="preserve">  </v>
      </c>
    </row>
    <row r="50" spans="7:9" x14ac:dyDescent="0.25">
      <c r="G50" s="50" t="s">
        <v>71</v>
      </c>
      <c r="H50" s="48" t="s">
        <v>72</v>
      </c>
      <c r="I50" s="49" t="str">
        <f>IF(WL_No="  ","  ",AWP*1.025/100)</f>
        <v xml:space="preserve">  </v>
      </c>
    </row>
    <row r="51" spans="7:9" x14ac:dyDescent="0.25">
      <c r="G51" s="50" t="s">
        <v>73</v>
      </c>
      <c r="H51" s="48" t="s">
        <v>74</v>
      </c>
      <c r="I51" s="49" t="str">
        <f>IF(WL_No="  ","  ",ML/V_Disp)</f>
        <v xml:space="preserve">  </v>
      </c>
    </row>
    <row r="52" spans="7:9" x14ac:dyDescent="0.25">
      <c r="G52" s="50" t="s">
        <v>75</v>
      </c>
      <c r="H52" s="55" t="s">
        <v>76</v>
      </c>
      <c r="I52" s="49" t="str">
        <f>IF(WL_No="  ","  ",M_Disp*BML/100/LBP)</f>
        <v xml:space="preserve">  </v>
      </c>
    </row>
    <row r="53" spans="7:9" x14ac:dyDescent="0.25">
      <c r="G53" s="50" t="s">
        <v>78</v>
      </c>
      <c r="H53" s="48" t="s">
        <v>79</v>
      </c>
      <c r="I53" s="49" t="str">
        <f>IF(WL_No="  ","  ",WLS*WL_No)</f>
        <v xml:space="preserve">  </v>
      </c>
    </row>
    <row r="54" spans="7:9" x14ac:dyDescent="0.25">
      <c r="G54" s="50" t="s">
        <v>80</v>
      </c>
      <c r="H54" s="48" t="s">
        <v>81</v>
      </c>
      <c r="I54" s="49" t="str">
        <f>IF(WL_No="  ","  ",AWP/(LBP*B_current))</f>
        <v xml:space="preserve">  </v>
      </c>
    </row>
    <row r="55" spans="7:9" x14ac:dyDescent="0.25">
      <c r="G55" s="50" t="s">
        <v>82</v>
      </c>
      <c r="H55" s="48" t="s">
        <v>83</v>
      </c>
      <c r="I55" s="49" t="str">
        <f>IF(WL_No="  ","  ",V_Disp/(LBP*B_current*T))</f>
        <v xml:space="preserve">  </v>
      </c>
    </row>
    <row r="56" spans="7:9" x14ac:dyDescent="0.25">
      <c r="G56" s="50" t="s">
        <v>85</v>
      </c>
      <c r="H56" s="48" t="s">
        <v>86</v>
      </c>
      <c r="I56" s="65" t="str">
        <f>IF(WL_No="  ","  ",(VLOOKUP(Long_Div/2,AREA_TABLE,Count_WL+1,FALSE))/(B_current*T))</f>
        <v xml:space="preserve">  </v>
      </c>
    </row>
    <row r="57" spans="7:9" x14ac:dyDescent="0.25">
      <c r="G57" s="50" t="s">
        <v>88</v>
      </c>
      <c r="H57" s="48" t="s">
        <v>89</v>
      </c>
      <c r="I57" s="49" t="str">
        <f>IF(WL_No="  ","  ",CB/CM)</f>
        <v xml:space="preserve">  </v>
      </c>
    </row>
  </sheetData>
  <mergeCells count="7">
    <mergeCell ref="BG10:BG11"/>
    <mergeCell ref="I33:I34"/>
    <mergeCell ref="A2:I2"/>
    <mergeCell ref="K2:O2"/>
    <mergeCell ref="AO2:AW2"/>
    <mergeCell ref="AY2:BC2"/>
    <mergeCell ref="S9:S10"/>
  </mergeCells>
  <conditionalFormatting sqref="CB4:XFD30 BW4:BW28 BS4:BT28 W29:AX29 A33:F57 J33:R33 A11:R32 A2:T10 V2:AO2 AX2 BP29:BW29 A63:XFD1048576 T12:T37 U35:XFD37 BD2:BD29 BM31:XFD33 BM30:BW30 BH29:BI33 BH2:XFD3 U30:BD30 AR31:BD31 W3:AM28 A58:BD62 BH38:XFD62 J34:S37 BH34:XFD34 A1:AN1 AV1:XFD1 AO31:AP31 U33:BD34 AM31 U31:AG32 AK32:BD32 AO3:AX26 J43:BD57 J42:M42 O42:BD42 J38:BD41 AO27:AO28 AQ27:AX28">
    <cfRule type="containsErrors" dxfId="367" priority="14">
      <formula>ISERROR(A1)</formula>
    </cfRule>
  </conditionalFormatting>
  <conditionalFormatting sqref="G33:I34 G35:H57">
    <cfRule type="containsErrors" dxfId="366" priority="13">
      <formula>ISERROR(G33)</formula>
    </cfRule>
  </conditionalFormatting>
  <conditionalFormatting sqref="T12:T33">
    <cfRule type="containsErrors" dxfId="365" priority="12">
      <formula>ISERROR(T12)</formula>
    </cfRule>
  </conditionalFormatting>
  <conditionalFormatting sqref="I35:I57">
    <cfRule type="containsErrors" dxfId="364" priority="11">
      <formula>ISERROR(I35)</formula>
    </cfRule>
  </conditionalFormatting>
  <conditionalFormatting sqref="AY2:BC29">
    <cfRule type="containsErrors" dxfId="363" priority="8">
      <formula>ISERROR(AY2)</formula>
    </cfRule>
  </conditionalFormatting>
  <conditionalFormatting sqref="BE10:BG11 BE12:BF34">
    <cfRule type="containsErrors" dxfId="362" priority="10">
      <formula>ISERROR(BE10)</formula>
    </cfRule>
  </conditionalFormatting>
  <conditionalFormatting sqref="BG12:BG28 BG34">
    <cfRule type="containsErrors" dxfId="361" priority="9">
      <formula>ISERROR(BG12)</formula>
    </cfRule>
  </conditionalFormatting>
  <conditionalFormatting sqref="BE2:BG6">
    <cfRule type="containsErrors" dxfId="360" priority="7">
      <formula>ISERROR(BE2)</formula>
    </cfRule>
  </conditionalFormatting>
  <conditionalFormatting sqref="BF7:BG8">
    <cfRule type="containsErrors" dxfId="359" priority="5">
      <formula>ISERROR(BF7)</formula>
    </cfRule>
  </conditionalFormatting>
  <conditionalFormatting sqref="BE7:BE8">
    <cfRule type="containsErrors" dxfId="358" priority="6">
      <formula>ISERROR(BE7)</formula>
    </cfRule>
  </conditionalFormatting>
  <conditionalFormatting sqref="S30:S33">
    <cfRule type="containsErrors" dxfId="357" priority="4">
      <formula>ISERROR(S30)</formula>
    </cfRule>
  </conditionalFormatting>
  <conditionalFormatting sqref="AP27:AP28">
    <cfRule type="containsErrors" dxfId="356" priority="3">
      <formula>ISERROR(AP27)</formula>
    </cfRule>
  </conditionalFormatting>
  <conditionalFormatting sqref="BG29:BG32">
    <cfRule type="containsErrors" dxfId="355" priority="2">
      <formula>ISERROR(BG29)</formula>
    </cfRule>
  </conditionalFormatting>
  <conditionalFormatting sqref="BG33">
    <cfRule type="containsErrors" dxfId="354" priority="1">
      <formula>ISERROR(BG33)</formula>
    </cfRule>
  </conditionalFormatting>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4" tint="0.79998168889431442"/>
  </sheetPr>
  <dimension ref="A1:BH57"/>
  <sheetViews>
    <sheetView topLeftCell="AG1" zoomScale="55" zoomScaleNormal="55" workbookViewId="0">
      <pane ySplit="1" topLeftCell="A29" activePane="bottomLeft" state="frozen"/>
      <selection activeCell="AG8" sqref="AG8:AG10"/>
      <selection pane="bottomLeft" activeCell="AG8" sqref="AG8:AG10"/>
    </sheetView>
  </sheetViews>
  <sheetFormatPr defaultRowHeight="15" x14ac:dyDescent="0.25"/>
  <cols>
    <col min="1" max="1" width="8.28515625" customWidth="1"/>
    <col min="2" max="2" width="7.28515625" customWidth="1"/>
    <col min="4" max="4" width="6.5703125" customWidth="1"/>
    <col min="7" max="7" width="24" customWidth="1"/>
    <col min="8" max="8" width="30.5703125" customWidth="1"/>
    <col min="9" max="9" width="26.5703125" customWidth="1"/>
    <col min="10" max="10" width="10.5703125" bestFit="1" customWidth="1"/>
    <col min="11" max="11" width="9.140625" customWidth="1"/>
    <col min="13" max="13" width="7.85546875" customWidth="1"/>
    <col min="17" max="17" width="19.5703125" customWidth="1"/>
    <col min="18" max="18" width="11.85546875" customWidth="1"/>
    <col min="19" max="19" width="16.5703125" customWidth="1"/>
    <col min="20" max="20" width="14.140625" customWidth="1"/>
    <col min="35" max="35" width="14" customWidth="1"/>
    <col min="36" max="37" width="12" customWidth="1"/>
    <col min="39" max="39" width="19" customWidth="1"/>
    <col min="43" max="43" width="18" style="7" customWidth="1"/>
    <col min="49" max="49" width="11.28515625" customWidth="1"/>
    <col min="52" max="52" width="12" customWidth="1"/>
    <col min="54" max="54" width="10.7109375" bestFit="1" customWidth="1"/>
    <col min="56" max="56" width="4.5703125" customWidth="1"/>
    <col min="57" max="57" width="21.28515625" customWidth="1"/>
    <col min="58" max="58" width="15.42578125" customWidth="1"/>
    <col min="59" max="59" width="19.28515625" customWidth="1"/>
    <col min="61" max="61" width="5.7109375" customWidth="1"/>
    <col min="62" max="62" width="13" customWidth="1"/>
    <col min="63" max="63" width="17.42578125" customWidth="1"/>
  </cols>
  <sheetData>
    <row r="1" spans="1:60" x14ac:dyDescent="0.25">
      <c r="A1" s="1" t="s">
        <v>0</v>
      </c>
      <c r="B1" s="2" t="str">
        <f>VLOOKUP(Stn_WL,OFFSET_A,Count_WL+1,FALSE)</f>
        <v xml:space="preserve">  </v>
      </c>
      <c r="C1" s="3"/>
      <c r="D1" s="4"/>
      <c r="E1" s="4" t="s">
        <v>1</v>
      </c>
      <c r="F1" s="5">
        <v>17</v>
      </c>
      <c r="G1" s="4"/>
      <c r="H1" s="4"/>
      <c r="I1" s="4"/>
      <c r="J1" s="4"/>
      <c r="K1" s="4"/>
      <c r="L1" s="4"/>
      <c r="M1" s="4"/>
      <c r="N1" s="4"/>
      <c r="O1" s="4"/>
      <c r="P1" s="4"/>
      <c r="Q1" s="4"/>
      <c r="R1" s="4"/>
      <c r="S1" s="4"/>
      <c r="V1" t="s">
        <v>2</v>
      </c>
      <c r="W1">
        <f ca="1">COUNTIF(OFFSET(Z4,,,ROUNDDOWN(Max_STN_count/2+1,0),1),TRUE)</f>
        <v>5</v>
      </c>
      <c r="X1">
        <f ca="1">COUNTIF(OFFSET(AA4,,,ROUNDDOWN(Max_STN_count/2+1,0),1),TRUE)</f>
        <v>5</v>
      </c>
      <c r="Y1">
        <f ca="1">W1-X1</f>
        <v>0</v>
      </c>
      <c r="AB1" s="6" t="s">
        <v>3</v>
      </c>
      <c r="AC1">
        <f ca="1">COUNTIF(OFFSET(Z4,ROUNDUP(Max_STN_count/2,0),,ROUNDDOWN(Max_STN_count/2,0),1),TRUE)</f>
        <v>5</v>
      </c>
      <c r="AD1">
        <f ca="1">COUNTIF(OFFSET(AA4,ROUNDUP(Max_STN_count/2,0),,ROUNDDOWN(Max_STN_count/2,0),1),TRUE)</f>
        <v>5</v>
      </c>
      <c r="AE1">
        <f ca="1">AC1-AD1</f>
        <v>0</v>
      </c>
      <c r="AG1" t="s">
        <v>4</v>
      </c>
      <c r="AH1">
        <f>COUNTIF(AG4:AG28,TRUE)</f>
        <v>17</v>
      </c>
      <c r="AI1">
        <f ca="1">COUNTIF(OFFSET(AG4,,,ROUNDUP(Max_STN_count/2,0),1),FALSE)</f>
        <v>4</v>
      </c>
      <c r="AW1">
        <f ca="1">COUNTIF(OFFSET(AG4,,,Max_STN_count,1),TRUE)</f>
        <v>17</v>
      </c>
    </row>
    <row r="2" spans="1:60" x14ac:dyDescent="0.25">
      <c r="A2" s="491" t="s">
        <v>5</v>
      </c>
      <c r="B2" s="492"/>
      <c r="C2" s="492"/>
      <c r="D2" s="492"/>
      <c r="E2" s="492"/>
      <c r="F2" s="492"/>
      <c r="G2" s="492"/>
      <c r="H2" s="492"/>
      <c r="I2" s="493"/>
      <c r="J2" s="4"/>
      <c r="K2" s="491" t="s">
        <v>6</v>
      </c>
      <c r="L2" s="492"/>
      <c r="M2" s="492"/>
      <c r="N2" s="492"/>
      <c r="O2" s="493"/>
      <c r="P2" s="4"/>
      <c r="Q2" s="8" t="s">
        <v>7</v>
      </c>
      <c r="R2" s="9" t="s">
        <v>8</v>
      </c>
      <c r="S2" s="10">
        <f>WLS</f>
        <v>2</v>
      </c>
      <c r="V2" s="11"/>
      <c r="W2" s="11"/>
      <c r="X2" s="11"/>
      <c r="Y2" s="11"/>
      <c r="Z2" s="11"/>
      <c r="AA2" s="11"/>
      <c r="AB2" s="11"/>
      <c r="AC2" s="11"/>
      <c r="AD2" s="11"/>
      <c r="AE2" s="11"/>
      <c r="AF2" s="11"/>
      <c r="AG2" s="11"/>
      <c r="AH2" s="11"/>
      <c r="AI2" s="11"/>
      <c r="AJ2" s="11"/>
      <c r="AK2" s="11"/>
      <c r="AL2" s="11"/>
      <c r="AM2" s="11"/>
      <c r="AN2" s="11"/>
      <c r="AO2" s="491" t="s">
        <v>5</v>
      </c>
      <c r="AP2" s="492"/>
      <c r="AQ2" s="492"/>
      <c r="AR2" s="492"/>
      <c r="AS2" s="492"/>
      <c r="AT2" s="492"/>
      <c r="AU2" s="492"/>
      <c r="AV2" s="492"/>
      <c r="AW2" s="493"/>
      <c r="AY2" s="491" t="s">
        <v>6</v>
      </c>
      <c r="AZ2" s="492"/>
      <c r="BA2" s="492"/>
      <c r="BB2" s="492"/>
      <c r="BC2" s="493"/>
      <c r="BE2" s="8" t="s">
        <v>7</v>
      </c>
      <c r="BF2" s="9" t="s">
        <v>8</v>
      </c>
      <c r="BG2" s="10">
        <f>WLS</f>
        <v>2</v>
      </c>
    </row>
    <row r="3" spans="1:60" x14ac:dyDescent="0.25">
      <c r="A3" s="12" t="s">
        <v>9</v>
      </c>
      <c r="B3" s="13" t="s">
        <v>10</v>
      </c>
      <c r="C3" s="14" t="s">
        <v>11</v>
      </c>
      <c r="D3" s="14" t="s">
        <v>12</v>
      </c>
      <c r="E3" s="14" t="s">
        <v>13</v>
      </c>
      <c r="F3" s="14" t="s">
        <v>14</v>
      </c>
      <c r="G3" s="14" t="s">
        <v>15</v>
      </c>
      <c r="H3" s="14" t="s">
        <v>16</v>
      </c>
      <c r="I3" s="14" t="s">
        <v>17</v>
      </c>
      <c r="J3" s="15"/>
      <c r="K3" s="14" t="s">
        <v>18</v>
      </c>
      <c r="L3" s="14" t="s">
        <v>19</v>
      </c>
      <c r="M3" s="14" t="s">
        <v>20</v>
      </c>
      <c r="N3" s="14" t="s">
        <v>21</v>
      </c>
      <c r="O3" s="14" t="s">
        <v>22</v>
      </c>
      <c r="P3" s="15"/>
      <c r="Q3" s="16" t="s">
        <v>23</v>
      </c>
      <c r="R3" s="9" t="s">
        <v>8</v>
      </c>
      <c r="S3" s="10">
        <f>STN_GAP</f>
        <v>7.31</v>
      </c>
      <c r="W3" s="17" t="s">
        <v>11</v>
      </c>
      <c r="X3" s="17"/>
      <c r="Y3" s="17"/>
      <c r="Z3" s="17" t="s">
        <v>24</v>
      </c>
      <c r="AA3" s="17"/>
      <c r="AB3" s="17"/>
      <c r="AC3" s="17"/>
      <c r="AD3" s="17"/>
      <c r="AE3" s="17"/>
      <c r="AF3" s="17"/>
      <c r="AG3" s="17" t="s">
        <v>4</v>
      </c>
      <c r="AH3" s="17"/>
      <c r="AI3" s="17" t="s">
        <v>25</v>
      </c>
      <c r="AJ3" s="17"/>
      <c r="AK3" s="17"/>
      <c r="AL3" s="17"/>
      <c r="AM3" s="18" t="s">
        <v>11</v>
      </c>
      <c r="AO3" s="12" t="s">
        <v>9</v>
      </c>
      <c r="AP3" s="13" t="s">
        <v>10</v>
      </c>
      <c r="AQ3" s="19"/>
      <c r="AR3" s="14" t="s">
        <v>12</v>
      </c>
      <c r="AS3" s="14" t="s">
        <v>13</v>
      </c>
      <c r="AT3" s="14" t="s">
        <v>14</v>
      </c>
      <c r="AU3" s="14" t="s">
        <v>15</v>
      </c>
      <c r="AV3" s="14" t="s">
        <v>16</v>
      </c>
      <c r="AW3" s="14" t="s">
        <v>17</v>
      </c>
      <c r="AY3" s="14" t="s">
        <v>18</v>
      </c>
      <c r="AZ3" s="14" t="s">
        <v>19</v>
      </c>
      <c r="BA3" s="14" t="s">
        <v>20</v>
      </c>
      <c r="BB3" s="14" t="s">
        <v>21</v>
      </c>
      <c r="BC3" s="14" t="s">
        <v>22</v>
      </c>
      <c r="BE3" s="16" t="s">
        <v>23</v>
      </c>
      <c r="BF3" s="9" t="s">
        <v>8</v>
      </c>
      <c r="BG3" s="10">
        <f>STN_GAP</f>
        <v>7.31</v>
      </c>
    </row>
    <row r="4" spans="1:60" x14ac:dyDescent="0.25">
      <c r="A4" s="20">
        <f>Tools!$AD3</f>
        <v>0</v>
      </c>
      <c r="B4" s="21" t="str">
        <f t="shared" ref="B4:B28" si="0">VLOOKUP(A4,OFFSET_A,Count_WL+1,FALSE)</f>
        <v xml:space="preserve">  </v>
      </c>
      <c r="C4" s="22">
        <f>IF(A4="  ","  ",IF(A5="  ","?",1*(A5-A4)))</f>
        <v>0.5</v>
      </c>
      <c r="D4" s="23" t="str">
        <f>IFERROR(B4*C4,"  ")</f>
        <v xml:space="preserve">  </v>
      </c>
      <c r="E4" s="24">
        <f t="shared" ref="E4:E28" si="1">IFERROR(A4-(Long_Div/2),"  ")</f>
        <v>-10</v>
      </c>
      <c r="F4" s="23" t="str">
        <f>IFERROR(D4*E4,"  ")</f>
        <v xml:space="preserve">  </v>
      </c>
      <c r="G4" s="23" t="str">
        <f>IFERROR(F4*E4,"  ")</f>
        <v xml:space="preserve">  </v>
      </c>
      <c r="H4" s="23" t="str">
        <f>IFERROR(B4^3,"  ")</f>
        <v xml:space="preserve">  </v>
      </c>
      <c r="I4" s="23" t="str">
        <f>IFERROR(H4*C4,"  ")</f>
        <v xml:space="preserve">  </v>
      </c>
      <c r="J4" s="4"/>
      <c r="K4" s="25" t="str">
        <f t="shared" ref="K4:K28" si="2">VLOOKUP(A4,AREA_TABLE,Count_WL+1,FALSE)</f>
        <v xml:space="preserve"> </v>
      </c>
      <c r="L4" s="23" t="str">
        <f>IFERROR(K4*C4,"  ")</f>
        <v xml:space="preserve">  </v>
      </c>
      <c r="M4" s="26" t="str">
        <f t="shared" ref="M4:M28" si="3">VLOOKUP(A4,MOMENT_TABLE,Count_WL+1,FALSE)</f>
        <v xml:space="preserve"> </v>
      </c>
      <c r="N4" s="27" t="str">
        <f>IFERROR(M4*C4,"  ")</f>
        <v xml:space="preserve">  </v>
      </c>
      <c r="O4" s="23" t="str">
        <f>IFERROR(L4*E4,"  ")</f>
        <v xml:space="preserve">  </v>
      </c>
      <c r="P4" s="4"/>
      <c r="Q4" s="16" t="s">
        <v>26</v>
      </c>
      <c r="R4" s="9" t="s">
        <v>8</v>
      </c>
      <c r="S4" s="28">
        <f>LBP</f>
        <v>146.19999999999999</v>
      </c>
      <c r="W4" s="29">
        <f>IF(AO4="  ","  ",IF(AO5="  ","?",1*(AO5-AO4)))</f>
        <v>0.5</v>
      </c>
      <c r="X4" s="30" t="str">
        <f t="shared" ref="X4:X28" si="4">IF(Y4=0,"--",CONCATENATE(IF(AO4=0,"-",IF(Y3=0,"-",IF(AO4-AO3=0.5,"D",IF(AO4-AO3=1,"W","-")))),IF(AO4=Long_Div,"-",IF(Y5=0,"-",IF(AO5-AO4=0.5,"D",IF(AO5-AO4=1,"W","-"))))))</f>
        <v>-D</v>
      </c>
      <c r="Y4" s="30" t="str">
        <f t="shared" ref="Y4:Y28" si="5">IF(ISNUMBER(AO4),IF(AO4=Long_Div/2,"-",IF(AND(AO4=Long_Div,$AP4=0,$AP3=0),0,IF(AND(AO4=0,$AP4=0,$AP5=0),0,IF($AO4&lt;Long_Div/2,IF(AND(Y3=0,$AP4=0,$AP5=0),0,"-"),IF(AND(Y5=0,$AP4=0,$AP3=0),0,"-")))))," ")</f>
        <v>-</v>
      </c>
      <c r="Z4" s="29" t="b">
        <f t="shared" ref="Z4:Z28" si="6">IF(ISNUMBER(AO4),IF(AO4=0,IF(AO5=0.5,TRUE,FALSE),IF(AO4=Long_Div,IF(AO3=Long_Div-0.5,TRUE,FALSE),IF(OR(AO5-AO4=0.5,AO4-AO3=0.5),TRUE,FALSE)))," ")</f>
        <v>1</v>
      </c>
      <c r="AA4" s="29" t="b">
        <f t="shared" ref="AA4:AA28" si="7">IF(ISNUMBER(AO4),IF(Y4=0," ",IF(AO4=0,IF(AO5=0.5,TRUE,"-"),IF(AO4=Long_Div,IF(AO3=Long_Div-0.5,TRUE,"-"),IF(OR(AO5-AO4=0.5,AO4-AO3=0.5),TRUE,FALSE))))," ")</f>
        <v>1</v>
      </c>
      <c r="AB4" s="29" t="str">
        <f t="shared" ref="AB4:AB28" ca="1" si="8">IF(AO4&lt;=Long_Div/2,IF(ISNUMBER(AO4),IF($X$1=0,"---",IF($X$1=1,"##",IF($X$1=2,IF(AD4=1,"141-4",IF(OR(AD4=0,AD4=2),"141-1","**")),IF(AC4&lt;=($Y$1),"--",IF(AC4&gt;$W$1,"++",IF(ISODD($X$1),IF(OR(AD4=1,AD4=$X$1),"141-1",IF(ISODD(AD4),"141-2",IF(ISEVEN(AD4),"141-4","+"))),IF(ISEVEN($X$1),IF(AD4=1,"1331-1",IF(OR(AD4=2,AD4=3),"1331-3",IF(AD4=4,IF($X$1=4,"1331-1","1331-1,141-1"),IF(AD4=$X$1,"141-1",IF(AD4&lt;=4,"??",IF(ISODD(AD4),"141-4",IF(ISEVEN(AD4),"141-2","SS"))))))))))))))," "),IF(AO4&gt;Long_Div/2,IF(ISNUMBER(AO4),IF($AD$1=0,"---",IF($AD$1=1,"##",IF($AD$1=2,IF(AD4=1,"141-4",IF(OR(AD4=0,AD4=2),"141-1","**")),IF(AC4&lt;=($AE$1),"--",IF(AC4&gt;$AC$1,"++",IF(ISODD($AD$1),IF(OR(AD4=1,AD4=$AD$1),"141-1",IF(ISODD(AD4),"141-2",IF(ISEVEN(AD4),"141-4","+"))),IF(ISEVEN($AD$1),IF(AD4=1,"1331-1",IF(OR(AD4=2,AD4=3),"1331-3",IF(AD4=4,IF($AD$1=4,"1331-1","1331-1,141-1"),IF(AD4=$AD$1,"141-1",IF(AD4&lt;=4,"??",IF(ISODD(AD4),"141-4",IF(ISEVEN(AD4),"141-2","SS"))))))))))))))," "),"@"))</f>
        <v>141-1</v>
      </c>
      <c r="AC4" s="29">
        <f>IF(ISNUMBER(AO4),IF(ISNUMBER(AO4),IF(OR(AO4=0,AO4=Long_Div),1,IF(AO4&gt;Long_Div/2,AC5+1,IF(AO4&lt;=Long_Div/2,AE3+1,"?")))," --")," ")</f>
        <v>1</v>
      </c>
      <c r="AD4" s="29">
        <f t="shared" ref="AD4:AD28" ca="1" si="9">IF(ISNUMBER(AO4),IF(AO4&gt;Long_Div/2,4-ROW(AD4)+Max_STN_count-$AE$1,ROW(AD4)-3-$Y$1)," ")</f>
        <v>1</v>
      </c>
      <c r="AE4" s="29">
        <v>1</v>
      </c>
      <c r="AF4" s="31" t="str">
        <f t="shared" ref="AF4:AF8" si="10">IF(AND(AG4=TRUE,OR(NOT(AG3=TRUE),AG3="Full")),1,IF(ISNUMBER(AF3),AF3+1," "))</f>
        <v xml:space="preserve"> </v>
      </c>
      <c r="AG4" s="29" t="b">
        <f t="shared" ref="AG4:AG28" si="11">IF(ISNUMBER(AO4),IF(AA4=" "," ",IF(AO4=0,IF(AO5-AO4=1,TRUE,FALSE),IF(AO4=Long_Div,IF(AO4-AO3=1,TRUE,FALSE),IF(OR(AO5-AO4=1,AO4-AO3=1),TRUE,FALSE))))," ")</f>
        <v>0</v>
      </c>
      <c r="AH4" s="30" t="str">
        <f t="shared" ref="AH4:AH13" si="12">IF(AND(AG4=TRUE,$AH$1=1),"141-4",IF(AG4=" ",IF(AND($AH$1=2,AF4=3),"141-1","-"),IF(OR(AG4=FALSE,AG4=" "),"-",IF(AG4=TRUE,IF(AND($AH$1=2,AF4=1),"141-1",IF(AND($AH$1=2,AF4=2),"141-4",IF(OR(ISODD($AH$1),AF4&gt;4),IF(AF4=1,"141-1",IF(OR(AB4="141-1",AB4="1331-1",AB4="1331-1,141-1"),"141-1",IF(AG5=" ","141-1",IF(OR(AH3="141-1",AH3="141-2",AH3="1331-1,141-1"),"141-4",IF(AH3="141-4","141-2","$$"))))),IF(ISEVEN($AH$1),IF(AF4=1,"1331-1",IF(OR(AF4=2,AF4=3),"1331-3",IF(AF4=4,IF($AH$1=4,"1331-1","1331-1,141-1"),"")))))))))))</f>
        <v>-</v>
      </c>
      <c r="AI4" s="30" t="str">
        <f t="shared" ref="AI4:AI28" ca="1" si="13">IF(OR(AB4="1331-1",AB4="1331-1,141-1"),"(1/2)*(3/8)",IF(AB4="1331-3","(1/2)*(9/8)",IF(AB4="141-1","(1/2)*(1/3)",IF(AB4="141-2","(1/2)*(2/3)",IF(AB4="141-4","(1/2)*(4/3)","")))))</f>
        <v>(1/2)*(1/3)</v>
      </c>
      <c r="AJ4" s="29">
        <f t="shared" ref="AJ4:AJ28" ca="1" si="14">IF(OR(AB4="1331-1",AB4="1331-1,141-1"),(1/2)*(3/8),IF(AB4="1331-3",(1/2)*(9/8),IF(AB4="141-1",(1/2)*(1/3),IF(AB4="141-2",(1/2)*(2/3),IF(AB4="141-4",(1/2)*(4/3),0)))))</f>
        <v>0.16666666666666666</v>
      </c>
      <c r="AK4" s="29" t="str">
        <f t="shared" ref="AK4:AK28" si="15">IF(AH4="1331-1,141-1","(1*3/8)+(1/3)",IF(LEFT(AH4,4)="141-",CONCATENATE(RIGHT(AH4,1),"/3"),IF(LEFT(AH4,4)="1331",CONCATENATE(RIGHT(AH4,1),"*3/8"),"")))</f>
        <v/>
      </c>
      <c r="AL4" s="29">
        <f t="shared" ref="AL4:AL28" si="16">IF(AH4="1331-1,141-1",(1*3/8)+(1/3),IF(LEFT(AH4,4)="141-",(RIGHT(AH4,1)/3),IF(LEFT(AH4,4)="1331",RIGHT(AH4,1)*3/8,0)))</f>
        <v>0</v>
      </c>
      <c r="AM4" s="32">
        <f ca="1">IF(AQ4=""," ",AJ4+AL4)</f>
        <v>0.16666666666666666</v>
      </c>
      <c r="AO4" s="20">
        <f>Tools!$AD3</f>
        <v>0</v>
      </c>
      <c r="AP4" s="33" t="str">
        <f t="shared" ref="AP4" si="17">VLOOKUP(AO4,OFFSET_A,Count_WL+1,FALSE)</f>
        <v xml:space="preserve">  </v>
      </c>
      <c r="AQ4" s="34" t="str">
        <f t="shared" ref="AQ4:AQ28" ca="1" si="18">CONCATENATE(AI4,IF(NOT(OR(AI4="",AK4="")),"+",""),AK4)</f>
        <v>(1/2)*(1/3)</v>
      </c>
      <c r="AR4" s="23" t="str">
        <f t="shared" ref="AR4:AR28" ca="1" si="19">IFERROR(AP4*AM4,"  ")</f>
        <v xml:space="preserve">  </v>
      </c>
      <c r="AS4" s="24">
        <f t="shared" ref="AS4:AS28" si="20">IFERROR(AO4-(Long_Div/2),"  ")</f>
        <v>-10</v>
      </c>
      <c r="AT4" s="23" t="str">
        <f ca="1">IFERROR(AR4*AS4,"  ")</f>
        <v xml:space="preserve">  </v>
      </c>
      <c r="AU4" s="23" t="str">
        <f ca="1">IFERROR(AT4*AS4,"  ")</f>
        <v xml:space="preserve">  </v>
      </c>
      <c r="AV4" s="23" t="str">
        <f t="shared" ref="AV4:AV28" si="21">IFERROR(AP4^3,"  ")</f>
        <v xml:space="preserve">  </v>
      </c>
      <c r="AW4" s="23" t="str">
        <f t="shared" ref="AW4:AW28" ca="1" si="22">IFERROR(AV4*AM4,"  ")</f>
        <v xml:space="preserve">  </v>
      </c>
      <c r="AY4" s="35" t="str">
        <f t="shared" ref="AY4:AY28" si="23">IF(ROW(AY4)-3&gt;Max_STN_count," ",VLOOKUP(AO4,AREA_TABLE,Count_WL+1,FALSE))</f>
        <v xml:space="preserve"> </v>
      </c>
      <c r="AZ4" s="23" t="str">
        <f t="shared" ref="AZ4:AZ7" ca="1" si="24">IFERROR(AY4*AM4,"  ")</f>
        <v xml:space="preserve">  </v>
      </c>
      <c r="BA4" s="36" t="str">
        <f t="shared" ref="BA4:BA28" si="25">IF(ROW(AY4)-3&gt;Max_STN_count," ",VLOOKUP(AO4,MOMENT_TABLE,Count_WL+1,FALSE))</f>
        <v xml:space="preserve"> </v>
      </c>
      <c r="BB4" s="27" t="str">
        <f ca="1">IFERROR(BA4*AM4,"  ")</f>
        <v xml:space="preserve">  </v>
      </c>
      <c r="BC4" s="23" t="str">
        <f ca="1">IFERROR(AZ4*AS4,"  ")</f>
        <v xml:space="preserve">  </v>
      </c>
      <c r="BE4" s="16" t="s">
        <v>26</v>
      </c>
      <c r="BF4" s="9" t="s">
        <v>8</v>
      </c>
      <c r="BG4" s="28">
        <f>LBP</f>
        <v>146.19999999999999</v>
      </c>
    </row>
    <row r="5" spans="1:60" x14ac:dyDescent="0.25">
      <c r="A5" s="20">
        <f>Tools!$AD4</f>
        <v>0.5</v>
      </c>
      <c r="B5" s="33" t="str">
        <f t="shared" si="0"/>
        <v xml:space="preserve">  </v>
      </c>
      <c r="C5" s="22">
        <f>IF(A5="  ","  ",IF(AND(A4="  ",A6="  "),"?",IF(A4="  ",2*(A6-A5),IF(A6="  ",2*(A5-A4),2*(A6-A4)))))</f>
        <v>2</v>
      </c>
      <c r="D5" s="23" t="str">
        <f t="shared" ref="D5:D28" si="26">IFERROR(B5*C5,"  ")</f>
        <v xml:space="preserve">  </v>
      </c>
      <c r="E5" s="24">
        <f t="shared" si="1"/>
        <v>-9.5</v>
      </c>
      <c r="F5" s="23" t="str">
        <f t="shared" ref="F5:F28" si="27">IFERROR(D5*E5,"  ")</f>
        <v xml:space="preserve">  </v>
      </c>
      <c r="G5" s="23" t="str">
        <f t="shared" ref="G5:G28" si="28">IFERROR(F5*E5,"  ")</f>
        <v xml:space="preserve">  </v>
      </c>
      <c r="H5" s="23" t="str">
        <f t="shared" ref="H5:H28" si="29">IFERROR(B5^3,"  ")</f>
        <v xml:space="preserve">  </v>
      </c>
      <c r="I5" s="23" t="str">
        <f t="shared" ref="I5:I28" si="30">IFERROR(H5*C5,"  ")</f>
        <v xml:space="preserve">  </v>
      </c>
      <c r="J5" s="4"/>
      <c r="K5" s="37" t="str">
        <f t="shared" si="2"/>
        <v xml:space="preserve"> </v>
      </c>
      <c r="L5" s="23" t="str">
        <f t="shared" ref="L5:L28" si="31">IFERROR(K5*C5,"  ")</f>
        <v xml:space="preserve">  </v>
      </c>
      <c r="M5" s="38" t="str">
        <f t="shared" si="3"/>
        <v xml:space="preserve"> </v>
      </c>
      <c r="N5" s="27" t="str">
        <f t="shared" ref="N5:N28" si="32">IFERROR(M5*C5,"  ")</f>
        <v xml:space="preserve">  </v>
      </c>
      <c r="O5" s="23" t="str">
        <f t="shared" ref="O5:O28" si="33">IFERROR(L5*E5,"  ")</f>
        <v xml:space="preserve">  </v>
      </c>
      <c r="P5" s="4"/>
      <c r="Q5" s="8" t="s">
        <v>27</v>
      </c>
      <c r="R5" s="9" t="s">
        <v>8</v>
      </c>
      <c r="S5" s="10">
        <f>BREADTH</f>
        <v>22</v>
      </c>
      <c r="W5" s="29">
        <f>IF(AO5="  ","  ",IF(AND(AO4="  ",AO6="  "),"?",IF(AO4="  ",2*(AO6-AO5),IF(AO6="  ",2*(AO5-AO4),2*(AO6-AO4)))))</f>
        <v>2</v>
      </c>
      <c r="X5" s="30" t="str">
        <f t="shared" si="4"/>
        <v>DD</v>
      </c>
      <c r="Y5" s="30" t="str">
        <f t="shared" si="5"/>
        <v>-</v>
      </c>
      <c r="Z5" s="29" t="b">
        <f t="shared" si="6"/>
        <v>1</v>
      </c>
      <c r="AA5" s="29" t="b">
        <f t="shared" si="7"/>
        <v>1</v>
      </c>
      <c r="AB5" s="29" t="str">
        <f t="shared" ca="1" si="8"/>
        <v>141-4</v>
      </c>
      <c r="AC5" s="29">
        <f t="shared" ref="AC5:AC27" si="34">IF(ISNUMBER(AO5),IF(ISNUMBER(AO5),IF(OR(AO5=0,AO5=Long_Div),1,IF(AO5&gt;Long_Div/2,AC6+1,IF(AO5&lt;=Long_Div/2,AC4+1,"?")))," --")," ")</f>
        <v>2</v>
      </c>
      <c r="AD5" s="29">
        <f t="shared" ca="1" si="9"/>
        <v>2</v>
      </c>
      <c r="AE5" s="29">
        <v>2</v>
      </c>
      <c r="AF5" s="31" t="str">
        <f t="shared" si="10"/>
        <v xml:space="preserve"> </v>
      </c>
      <c r="AG5" s="29" t="b">
        <f t="shared" si="11"/>
        <v>0</v>
      </c>
      <c r="AH5" s="30" t="str">
        <f t="shared" si="12"/>
        <v>-</v>
      </c>
      <c r="AI5" s="30" t="str">
        <f t="shared" ca="1" si="13"/>
        <v>(1/2)*(4/3)</v>
      </c>
      <c r="AJ5" s="29">
        <f t="shared" ca="1" si="14"/>
        <v>0.66666666666666663</v>
      </c>
      <c r="AK5" s="29" t="str">
        <f t="shared" si="15"/>
        <v/>
      </c>
      <c r="AL5" s="29">
        <f t="shared" si="16"/>
        <v>0</v>
      </c>
      <c r="AM5" s="32">
        <f t="shared" ref="AM5:AM28" ca="1" si="35">IF(AQ5=""," ",AJ5+AL5)</f>
        <v>0.66666666666666663</v>
      </c>
      <c r="AO5" s="20">
        <f>Tools!$AD4</f>
        <v>0.5</v>
      </c>
      <c r="AP5" s="33" t="str">
        <f t="shared" ref="AP5:AP26" si="36">VLOOKUP(AO5,OFFSET_A,Count_WL+1,FALSE)</f>
        <v xml:space="preserve">  </v>
      </c>
      <c r="AQ5" s="34" t="str">
        <f t="shared" ca="1" si="18"/>
        <v>(1/2)*(4/3)</v>
      </c>
      <c r="AR5" s="23" t="str">
        <f t="shared" ca="1" si="19"/>
        <v xml:space="preserve">  </v>
      </c>
      <c r="AS5" s="24">
        <f t="shared" si="20"/>
        <v>-9.5</v>
      </c>
      <c r="AT5" s="23" t="str">
        <f t="shared" ref="AT5:AT28" ca="1" si="37">IFERROR(AR5*AS5,"  ")</f>
        <v xml:space="preserve">  </v>
      </c>
      <c r="AU5" s="23" t="str">
        <f ca="1">IFERROR(AT5*AS5,"  ")</f>
        <v xml:space="preserve">  </v>
      </c>
      <c r="AV5" s="23" t="str">
        <f t="shared" si="21"/>
        <v xml:space="preserve">  </v>
      </c>
      <c r="AW5" s="23" t="str">
        <f t="shared" ca="1" si="22"/>
        <v xml:space="preserve">  </v>
      </c>
      <c r="AY5" s="35" t="str">
        <f t="shared" si="23"/>
        <v xml:space="preserve"> </v>
      </c>
      <c r="AZ5" s="23" t="str">
        <f t="shared" ca="1" si="24"/>
        <v xml:space="preserve">  </v>
      </c>
      <c r="BA5" s="36" t="str">
        <f t="shared" si="25"/>
        <v xml:space="preserve"> </v>
      </c>
      <c r="BB5" s="27" t="str">
        <f t="shared" ref="BB5:BB28" ca="1" si="38">IFERROR(BA5*AM5,"  ")</f>
        <v xml:space="preserve">  </v>
      </c>
      <c r="BC5" s="23" t="str">
        <f t="shared" ref="BC5:BC28" ca="1" si="39">IFERROR(AZ5*AS5,"  ")</f>
        <v xml:space="preserve">  </v>
      </c>
      <c r="BE5" s="8" t="s">
        <v>27</v>
      </c>
      <c r="BF5" s="9" t="s">
        <v>8</v>
      </c>
      <c r="BG5" s="10">
        <f>BREADTH</f>
        <v>22</v>
      </c>
    </row>
    <row r="6" spans="1:60" x14ac:dyDescent="0.25">
      <c r="A6" s="20">
        <f>Tools!$AD5</f>
        <v>1</v>
      </c>
      <c r="B6" s="33" t="str">
        <f t="shared" si="0"/>
        <v xml:space="preserve">  </v>
      </c>
      <c r="C6" s="22">
        <f>IF(A6="  ","  ",IF(AND(A5="  ",A7="  "),"?",IF(A5="  ",1*(A7-A6),IF(A7="  ",1*(A6-A5),1*(A7-A5)))))</f>
        <v>1</v>
      </c>
      <c r="D6" s="23" t="str">
        <f t="shared" si="26"/>
        <v xml:space="preserve">  </v>
      </c>
      <c r="E6" s="24">
        <f t="shared" si="1"/>
        <v>-9</v>
      </c>
      <c r="F6" s="23" t="str">
        <f t="shared" si="27"/>
        <v xml:space="preserve">  </v>
      </c>
      <c r="G6" s="23" t="str">
        <f t="shared" si="28"/>
        <v xml:space="preserve">  </v>
      </c>
      <c r="H6" s="23" t="str">
        <f t="shared" si="29"/>
        <v xml:space="preserve">  </v>
      </c>
      <c r="I6" s="23" t="str">
        <f t="shared" si="30"/>
        <v xml:space="preserve">  </v>
      </c>
      <c r="J6" s="4"/>
      <c r="K6" s="37" t="str">
        <f t="shared" si="2"/>
        <v xml:space="preserve"> </v>
      </c>
      <c r="L6" s="23" t="str">
        <f t="shared" si="31"/>
        <v xml:space="preserve">  </v>
      </c>
      <c r="M6" s="38" t="str">
        <f t="shared" si="3"/>
        <v xml:space="preserve"> </v>
      </c>
      <c r="N6" s="27" t="str">
        <f t="shared" si="32"/>
        <v xml:space="preserve">  </v>
      </c>
      <c r="O6" s="23" t="str">
        <f t="shared" si="33"/>
        <v xml:space="preserve">  </v>
      </c>
      <c r="P6" s="4"/>
      <c r="Q6" s="8" t="s">
        <v>28</v>
      </c>
      <c r="R6" s="9" t="s">
        <v>8</v>
      </c>
      <c r="S6" s="10">
        <f>DEPTH</f>
        <v>13</v>
      </c>
      <c r="W6" s="29">
        <f>IF(AO6="  ","  ",IF(AND(AO5="  ",AO7="  "),"?",IF(AO5="  ",1*(AO7-AO6),IF(AO7="  ",1*(AO6-AO5),1*(AO7-AO5)))))</f>
        <v>1</v>
      </c>
      <c r="X6" s="30" t="str">
        <f t="shared" si="4"/>
        <v>DD</v>
      </c>
      <c r="Y6" s="30" t="str">
        <f t="shared" si="5"/>
        <v>-</v>
      </c>
      <c r="Z6" s="29" t="b">
        <f t="shared" si="6"/>
        <v>1</v>
      </c>
      <c r="AA6" s="29" t="b">
        <f t="shared" si="7"/>
        <v>1</v>
      </c>
      <c r="AB6" s="29" t="str">
        <f t="shared" ca="1" si="8"/>
        <v>141-2</v>
      </c>
      <c r="AC6" s="29">
        <f t="shared" si="34"/>
        <v>3</v>
      </c>
      <c r="AD6" s="29">
        <f t="shared" ca="1" si="9"/>
        <v>3</v>
      </c>
      <c r="AE6" s="29">
        <v>3</v>
      </c>
      <c r="AF6" s="31" t="str">
        <f t="shared" si="10"/>
        <v xml:space="preserve"> </v>
      </c>
      <c r="AG6" s="29" t="b">
        <f t="shared" si="11"/>
        <v>0</v>
      </c>
      <c r="AH6" s="30" t="str">
        <f t="shared" si="12"/>
        <v>-</v>
      </c>
      <c r="AI6" s="30" t="str">
        <f t="shared" ca="1" si="13"/>
        <v>(1/2)*(2/3)</v>
      </c>
      <c r="AJ6" s="29">
        <f t="shared" ca="1" si="14"/>
        <v>0.33333333333333331</v>
      </c>
      <c r="AK6" s="29" t="str">
        <f t="shared" si="15"/>
        <v/>
      </c>
      <c r="AL6" s="29">
        <f t="shared" si="16"/>
        <v>0</v>
      </c>
      <c r="AM6" s="32">
        <f t="shared" ca="1" si="35"/>
        <v>0.33333333333333331</v>
      </c>
      <c r="AO6" s="20">
        <f>Tools!$AD5</f>
        <v>1</v>
      </c>
      <c r="AP6" s="33" t="str">
        <f t="shared" si="36"/>
        <v xml:space="preserve">  </v>
      </c>
      <c r="AQ6" s="34" t="str">
        <f t="shared" ca="1" si="18"/>
        <v>(1/2)*(2/3)</v>
      </c>
      <c r="AR6" s="23" t="str">
        <f t="shared" ca="1" si="19"/>
        <v xml:space="preserve">  </v>
      </c>
      <c r="AS6" s="24">
        <f t="shared" si="20"/>
        <v>-9</v>
      </c>
      <c r="AT6" s="23" t="str">
        <f t="shared" ca="1" si="37"/>
        <v xml:space="preserve">  </v>
      </c>
      <c r="AU6" s="23" t="str">
        <f ca="1">IFERROR(AT6*AS6,"  ")</f>
        <v xml:space="preserve">  </v>
      </c>
      <c r="AV6" s="23" t="str">
        <f t="shared" si="21"/>
        <v xml:space="preserve">  </v>
      </c>
      <c r="AW6" s="23" t="str">
        <f t="shared" ca="1" si="22"/>
        <v xml:space="preserve">  </v>
      </c>
      <c r="AY6" s="35" t="str">
        <f t="shared" si="23"/>
        <v xml:space="preserve"> </v>
      </c>
      <c r="AZ6" s="23" t="str">
        <f t="shared" ca="1" si="24"/>
        <v xml:space="preserve">  </v>
      </c>
      <c r="BA6" s="36" t="str">
        <f t="shared" si="25"/>
        <v xml:space="preserve"> </v>
      </c>
      <c r="BB6" s="27" t="str">
        <f t="shared" ca="1" si="38"/>
        <v xml:space="preserve">  </v>
      </c>
      <c r="BC6" s="23" t="str">
        <f t="shared" ca="1" si="39"/>
        <v xml:space="preserve">  </v>
      </c>
      <c r="BE6" s="8" t="s">
        <v>28</v>
      </c>
      <c r="BF6" s="9" t="s">
        <v>8</v>
      </c>
      <c r="BG6" s="10">
        <f>DEPTH</f>
        <v>13</v>
      </c>
    </row>
    <row r="7" spans="1:60" x14ac:dyDescent="0.25">
      <c r="A7" s="20">
        <f>Tools!$AD6</f>
        <v>1.5</v>
      </c>
      <c r="B7" s="33" t="str">
        <f t="shared" si="0"/>
        <v xml:space="preserve">  </v>
      </c>
      <c r="C7" s="22">
        <f>IF(A7="  ","  ",IF(AND(A6="  ",A8="  "),"?",IF(A6="  ",2*(A8-A7),IF(A8="  ",2*(A7-A6),2*(A8-A6)))))</f>
        <v>2</v>
      </c>
      <c r="D7" s="23" t="str">
        <f t="shared" si="26"/>
        <v xml:space="preserve">  </v>
      </c>
      <c r="E7" s="24">
        <f t="shared" si="1"/>
        <v>-8.5</v>
      </c>
      <c r="F7" s="23" t="str">
        <f t="shared" si="27"/>
        <v xml:space="preserve">  </v>
      </c>
      <c r="G7" s="23" t="str">
        <f t="shared" si="28"/>
        <v xml:space="preserve">  </v>
      </c>
      <c r="H7" s="23" t="str">
        <f t="shared" si="29"/>
        <v xml:space="preserve">  </v>
      </c>
      <c r="I7" s="23" t="str">
        <f t="shared" si="30"/>
        <v xml:space="preserve">  </v>
      </c>
      <c r="J7" s="4"/>
      <c r="K7" s="37" t="str">
        <f t="shared" si="2"/>
        <v xml:space="preserve"> </v>
      </c>
      <c r="L7" s="23" t="str">
        <f t="shared" si="31"/>
        <v xml:space="preserve">  </v>
      </c>
      <c r="M7" s="38" t="str">
        <f t="shared" si="3"/>
        <v xml:space="preserve"> </v>
      </c>
      <c r="N7" s="27" t="str">
        <f t="shared" si="32"/>
        <v xml:space="preserve">  </v>
      </c>
      <c r="O7" s="23" t="str">
        <f t="shared" si="33"/>
        <v xml:space="preserve">  </v>
      </c>
      <c r="P7" s="4"/>
      <c r="Q7" s="39" t="s">
        <v>29</v>
      </c>
      <c r="R7" s="40" t="s">
        <v>8</v>
      </c>
      <c r="S7" s="41" t="str">
        <f>IF(MAX(B4:B28)=0," ",2*MAX(B4:B28))</f>
        <v xml:space="preserve"> </v>
      </c>
      <c r="W7" s="29">
        <f>IF(AO7="  ","  ",IF(AND(AO6="  ",AO8="  "),"?",IF(AO6="  ",2*(AO8-AO7),IF(AO8="  ",2*(AO7-AO6),2*(AO8-AO6)))))</f>
        <v>2</v>
      </c>
      <c r="X7" s="30" t="str">
        <f t="shared" si="4"/>
        <v>DD</v>
      </c>
      <c r="Y7" s="30" t="str">
        <f t="shared" si="5"/>
        <v>-</v>
      </c>
      <c r="Z7" s="29" t="b">
        <f t="shared" si="6"/>
        <v>1</v>
      </c>
      <c r="AA7" s="29" t="b">
        <f t="shared" si="7"/>
        <v>1</v>
      </c>
      <c r="AB7" s="29" t="str">
        <f t="shared" ca="1" si="8"/>
        <v>141-4</v>
      </c>
      <c r="AC7" s="29">
        <f t="shared" si="34"/>
        <v>4</v>
      </c>
      <c r="AD7" s="29">
        <f t="shared" ca="1" si="9"/>
        <v>4</v>
      </c>
      <c r="AE7" s="29">
        <v>4</v>
      </c>
      <c r="AF7" s="31" t="str">
        <f t="shared" si="10"/>
        <v xml:space="preserve"> </v>
      </c>
      <c r="AG7" s="29" t="b">
        <f t="shared" si="11"/>
        <v>0</v>
      </c>
      <c r="AH7" s="30" t="str">
        <f t="shared" si="12"/>
        <v>-</v>
      </c>
      <c r="AI7" s="30" t="str">
        <f t="shared" ca="1" si="13"/>
        <v>(1/2)*(4/3)</v>
      </c>
      <c r="AJ7" s="29">
        <f t="shared" ca="1" si="14"/>
        <v>0.66666666666666663</v>
      </c>
      <c r="AK7" s="29" t="str">
        <f t="shared" si="15"/>
        <v/>
      </c>
      <c r="AL7" s="29">
        <f t="shared" si="16"/>
        <v>0</v>
      </c>
      <c r="AM7" s="32">
        <f t="shared" ca="1" si="35"/>
        <v>0.66666666666666663</v>
      </c>
      <c r="AO7" s="20">
        <f>Tools!$AD6</f>
        <v>1.5</v>
      </c>
      <c r="AP7" s="33" t="str">
        <f t="shared" si="36"/>
        <v xml:space="preserve">  </v>
      </c>
      <c r="AQ7" s="34" t="str">
        <f t="shared" ca="1" si="18"/>
        <v>(1/2)*(4/3)</v>
      </c>
      <c r="AR7" s="23" t="str">
        <f t="shared" ca="1" si="19"/>
        <v xml:space="preserve">  </v>
      </c>
      <c r="AS7" s="24">
        <f t="shared" si="20"/>
        <v>-8.5</v>
      </c>
      <c r="AT7" s="23" t="str">
        <f t="shared" ca="1" si="37"/>
        <v xml:space="preserve">  </v>
      </c>
      <c r="AU7" s="23" t="str">
        <f t="shared" ref="AU7:AU28" ca="1" si="40">IFERROR(AT7*AS7,"  ")</f>
        <v xml:space="preserve">  </v>
      </c>
      <c r="AV7" s="23" t="str">
        <f t="shared" si="21"/>
        <v xml:space="preserve">  </v>
      </c>
      <c r="AW7" s="23" t="str">
        <f t="shared" ca="1" si="22"/>
        <v xml:space="preserve">  </v>
      </c>
      <c r="AY7" s="35" t="str">
        <f t="shared" si="23"/>
        <v xml:space="preserve"> </v>
      </c>
      <c r="AZ7" s="23" t="str">
        <f t="shared" ca="1" si="24"/>
        <v xml:space="preserve">  </v>
      </c>
      <c r="BA7" s="36" t="str">
        <f t="shared" si="25"/>
        <v xml:space="preserve"> </v>
      </c>
      <c r="BB7" s="27" t="str">
        <f t="shared" ca="1" si="38"/>
        <v xml:space="preserve">  </v>
      </c>
      <c r="BC7" s="23" t="str">
        <f t="shared" ca="1" si="39"/>
        <v xml:space="preserve">  </v>
      </c>
      <c r="BE7" s="8" t="s">
        <v>29</v>
      </c>
      <c r="BF7" s="9" t="s">
        <v>8</v>
      </c>
      <c r="BG7" s="10" t="str">
        <f>IF(MAX(AP4:AP28)=0," ",2*MAX(AP4:AP28))</f>
        <v xml:space="preserve"> </v>
      </c>
    </row>
    <row r="8" spans="1:60" x14ac:dyDescent="0.25">
      <c r="A8" s="20">
        <f>Tools!$AD7</f>
        <v>2</v>
      </c>
      <c r="B8" s="33" t="str">
        <f t="shared" si="0"/>
        <v xml:space="preserve">  </v>
      </c>
      <c r="C8" s="22">
        <f>IF(A8="  ","  ",IF(AND(A7="  ",A9="  "),"?",IF(A7="  ",1*(A9-A8),IF(A9="  ",1*(A8-A7),1*(A9-A7)))))</f>
        <v>1.5</v>
      </c>
      <c r="D8" s="23" t="str">
        <f t="shared" si="26"/>
        <v xml:space="preserve">  </v>
      </c>
      <c r="E8" s="24">
        <f t="shared" si="1"/>
        <v>-8</v>
      </c>
      <c r="F8" s="23" t="str">
        <f t="shared" si="27"/>
        <v xml:space="preserve">  </v>
      </c>
      <c r="G8" s="23" t="str">
        <f t="shared" si="28"/>
        <v xml:space="preserve">  </v>
      </c>
      <c r="H8" s="23" t="str">
        <f t="shared" si="29"/>
        <v xml:space="preserve">  </v>
      </c>
      <c r="I8" s="23" t="str">
        <f t="shared" si="30"/>
        <v xml:space="preserve">  </v>
      </c>
      <c r="J8" s="4"/>
      <c r="K8" s="37" t="str">
        <f t="shared" si="2"/>
        <v xml:space="preserve"> </v>
      </c>
      <c r="L8" s="23" t="str">
        <f t="shared" si="31"/>
        <v xml:space="preserve">  </v>
      </c>
      <c r="M8" s="38" t="str">
        <f t="shared" si="3"/>
        <v xml:space="preserve"> </v>
      </c>
      <c r="N8" s="27" t="str">
        <f t="shared" si="32"/>
        <v xml:space="preserve">  </v>
      </c>
      <c r="O8" s="23" t="str">
        <f t="shared" si="33"/>
        <v xml:space="preserve">  </v>
      </c>
      <c r="P8" s="4"/>
      <c r="Q8" s="42"/>
      <c r="R8" s="42"/>
      <c r="S8" s="42"/>
      <c r="W8" s="29">
        <f>IF(AO8="  ","  ",IF(AND(AO7="  ",AO9="  "),"?",IF(AO7="  ",1*(AO9-AO8),IF(AO9="  ",1*(AO8-AO7),1*(AO9-AO7)))))</f>
        <v>1.5</v>
      </c>
      <c r="X8" s="30" t="str">
        <f t="shared" si="4"/>
        <v>DW</v>
      </c>
      <c r="Y8" s="30" t="str">
        <f t="shared" si="5"/>
        <v>-</v>
      </c>
      <c r="Z8" s="29" t="b">
        <f t="shared" si="6"/>
        <v>1</v>
      </c>
      <c r="AA8" s="29" t="b">
        <f t="shared" si="7"/>
        <v>1</v>
      </c>
      <c r="AB8" s="29" t="str">
        <f t="shared" ca="1" si="8"/>
        <v>141-1</v>
      </c>
      <c r="AC8" s="29">
        <f t="shared" si="34"/>
        <v>5</v>
      </c>
      <c r="AD8" s="29">
        <f t="shared" ca="1" si="9"/>
        <v>5</v>
      </c>
      <c r="AE8" s="29">
        <v>5</v>
      </c>
      <c r="AF8" s="31">
        <f t="shared" si="10"/>
        <v>1</v>
      </c>
      <c r="AG8" s="29" t="b">
        <f t="shared" si="11"/>
        <v>1</v>
      </c>
      <c r="AH8" s="30" t="str">
        <f t="shared" si="12"/>
        <v>141-1</v>
      </c>
      <c r="AI8" s="30" t="str">
        <f t="shared" ca="1" si="13"/>
        <v>(1/2)*(1/3)</v>
      </c>
      <c r="AJ8" s="29">
        <f t="shared" ca="1" si="14"/>
        <v>0.16666666666666666</v>
      </c>
      <c r="AK8" s="29" t="str">
        <f t="shared" si="15"/>
        <v>1/3</v>
      </c>
      <c r="AL8" s="29">
        <f t="shared" si="16"/>
        <v>0.33333333333333331</v>
      </c>
      <c r="AM8" s="32">
        <f t="shared" ca="1" si="35"/>
        <v>0.5</v>
      </c>
      <c r="AO8" s="20">
        <f>Tools!$AD7</f>
        <v>2</v>
      </c>
      <c r="AP8" s="33" t="str">
        <f t="shared" si="36"/>
        <v xml:space="preserve">  </v>
      </c>
      <c r="AQ8" s="34" t="str">
        <f t="shared" ca="1" si="18"/>
        <v>(1/2)*(1/3)+1/3</v>
      </c>
      <c r="AR8" s="23" t="str">
        <f t="shared" ca="1" si="19"/>
        <v xml:space="preserve">  </v>
      </c>
      <c r="AS8" s="24">
        <f t="shared" si="20"/>
        <v>-8</v>
      </c>
      <c r="AT8" s="23" t="str">
        <f t="shared" ca="1" si="37"/>
        <v xml:space="preserve">  </v>
      </c>
      <c r="AU8" s="23" t="str">
        <f t="shared" ca="1" si="40"/>
        <v xml:space="preserve">  </v>
      </c>
      <c r="AV8" s="23" t="str">
        <f t="shared" si="21"/>
        <v xml:space="preserve">  </v>
      </c>
      <c r="AW8" s="23" t="str">
        <f t="shared" ca="1" si="22"/>
        <v xml:space="preserve">  </v>
      </c>
      <c r="AY8" s="35" t="str">
        <f t="shared" si="23"/>
        <v xml:space="preserve"> </v>
      </c>
      <c r="AZ8" s="23" t="str">
        <f ca="1">IFERROR(AY8*AM8,"  ")</f>
        <v xml:space="preserve">  </v>
      </c>
      <c r="BA8" s="36" t="str">
        <f t="shared" si="25"/>
        <v xml:space="preserve"> </v>
      </c>
      <c r="BB8" s="27" t="str">
        <f t="shared" ca="1" si="38"/>
        <v xml:space="preserve">  </v>
      </c>
      <c r="BC8" s="23" t="str">
        <f t="shared" ca="1" si="39"/>
        <v xml:space="preserve">  </v>
      </c>
      <c r="BE8" s="8" t="s">
        <v>30</v>
      </c>
      <c r="BF8" s="9" t="s">
        <v>8</v>
      </c>
      <c r="BG8" s="10">
        <f ca="1">LBP-AJ33</f>
        <v>146.19999999999999</v>
      </c>
      <c r="BH8" t="str">
        <f ca="1">IF(AJ33&gt;0,CONCATENATE("(LWL is assumed between stations ",$AH$31," and ",$AH$33," as offset values extreme to these stations are zeros.)"),"")</f>
        <v/>
      </c>
    </row>
    <row r="9" spans="1:60" x14ac:dyDescent="0.25">
      <c r="A9" s="20">
        <f>Tools!$AD8</f>
        <v>3</v>
      </c>
      <c r="B9" s="33" t="str">
        <f t="shared" si="0"/>
        <v xml:space="preserve">  </v>
      </c>
      <c r="C9" s="22">
        <f>IF(A9="  ","  ",IF(AND(A8="  ",A10="  "),"?",IF(A8="  ",2*(A10-A9),IF(A10="  ",2*(A9-A8),2*(A10-A8)))))</f>
        <v>4</v>
      </c>
      <c r="D9" s="23" t="str">
        <f t="shared" si="26"/>
        <v xml:space="preserve">  </v>
      </c>
      <c r="E9" s="24">
        <f t="shared" si="1"/>
        <v>-7</v>
      </c>
      <c r="F9" s="23" t="str">
        <f t="shared" si="27"/>
        <v xml:space="preserve">  </v>
      </c>
      <c r="G9" s="23" t="str">
        <f t="shared" si="28"/>
        <v xml:space="preserve">  </v>
      </c>
      <c r="H9" s="23" t="str">
        <f t="shared" si="29"/>
        <v xml:space="preserve">  </v>
      </c>
      <c r="I9" s="23" t="str">
        <f t="shared" si="30"/>
        <v xml:space="preserve">  </v>
      </c>
      <c r="J9" s="4"/>
      <c r="K9" s="37" t="str">
        <f t="shared" si="2"/>
        <v xml:space="preserve"> </v>
      </c>
      <c r="L9" s="23" t="str">
        <f t="shared" si="31"/>
        <v xml:space="preserve">  </v>
      </c>
      <c r="M9" s="38" t="str">
        <f t="shared" si="3"/>
        <v xml:space="preserve"> </v>
      </c>
      <c r="N9" s="27" t="str">
        <f t="shared" si="32"/>
        <v xml:space="preserve">  </v>
      </c>
      <c r="O9" s="23" t="str">
        <f t="shared" si="33"/>
        <v xml:space="preserve">  </v>
      </c>
      <c r="P9" s="4"/>
      <c r="Q9" s="43" t="s">
        <v>31</v>
      </c>
      <c r="R9" s="44" t="s">
        <v>32</v>
      </c>
      <c r="S9" s="489" t="s">
        <v>33</v>
      </c>
      <c r="W9" s="29">
        <f>IF(AO9="  ","  ",IF(AND(AO8="  ",AO10="  "),"?",IF(AO8="  ",2*(AO10-AO9),IF(AO10="  ",2*(AO9-AO8),2*(AO10-AO8)))))</f>
        <v>4</v>
      </c>
      <c r="X9" s="30" t="str">
        <f t="shared" si="4"/>
        <v>WW</v>
      </c>
      <c r="Y9" s="30" t="str">
        <f t="shared" si="5"/>
        <v>-</v>
      </c>
      <c r="Z9" s="29" t="b">
        <f t="shared" si="6"/>
        <v>0</v>
      </c>
      <c r="AA9" s="29" t="b">
        <f t="shared" si="7"/>
        <v>0</v>
      </c>
      <c r="AB9" s="29" t="str">
        <f t="shared" ca="1" si="8"/>
        <v>++</v>
      </c>
      <c r="AC9" s="29">
        <f t="shared" si="34"/>
        <v>6</v>
      </c>
      <c r="AD9" s="29">
        <f t="shared" ca="1" si="9"/>
        <v>6</v>
      </c>
      <c r="AE9" s="29">
        <v>6</v>
      </c>
      <c r="AF9" s="31">
        <f>IF(AND(AG9=TRUE,OR(NOT(AG8=TRUE),AG8="Full")),1,IF(ISNUMBER(AF8),AF8+1," "))</f>
        <v>2</v>
      </c>
      <c r="AG9" s="29" t="b">
        <f t="shared" si="11"/>
        <v>1</v>
      </c>
      <c r="AH9" s="30" t="str">
        <f t="shared" ca="1" si="12"/>
        <v>141-4</v>
      </c>
      <c r="AI9" s="30" t="str">
        <f t="shared" ca="1" si="13"/>
        <v/>
      </c>
      <c r="AJ9" s="29">
        <f t="shared" ca="1" si="14"/>
        <v>0</v>
      </c>
      <c r="AK9" s="29" t="str">
        <f t="shared" ca="1" si="15"/>
        <v>4/3</v>
      </c>
      <c r="AL9" s="29">
        <f t="shared" ca="1" si="16"/>
        <v>1.3333333333333333</v>
      </c>
      <c r="AM9" s="32">
        <f t="shared" ca="1" si="35"/>
        <v>1.3333333333333333</v>
      </c>
      <c r="AO9" s="20">
        <f>Tools!$AD8</f>
        <v>3</v>
      </c>
      <c r="AP9" s="33" t="str">
        <f t="shared" si="36"/>
        <v xml:space="preserve">  </v>
      </c>
      <c r="AQ9" s="34" t="str">
        <f t="shared" ca="1" si="18"/>
        <v>4/3</v>
      </c>
      <c r="AR9" s="23" t="str">
        <f t="shared" ca="1" si="19"/>
        <v xml:space="preserve">  </v>
      </c>
      <c r="AS9" s="24">
        <f t="shared" si="20"/>
        <v>-7</v>
      </c>
      <c r="AT9" s="23" t="str">
        <f t="shared" ca="1" si="37"/>
        <v xml:space="preserve">  </v>
      </c>
      <c r="AU9" s="23" t="str">
        <f t="shared" ca="1" si="40"/>
        <v xml:space="preserve">  </v>
      </c>
      <c r="AV9" s="23" t="str">
        <f t="shared" si="21"/>
        <v xml:space="preserve">  </v>
      </c>
      <c r="AW9" s="23" t="str">
        <f t="shared" ca="1" si="22"/>
        <v xml:space="preserve">  </v>
      </c>
      <c r="AY9" s="35" t="str">
        <f t="shared" si="23"/>
        <v xml:space="preserve"> </v>
      </c>
      <c r="AZ9" s="23" t="str">
        <f t="shared" ref="AZ9:AZ28" ca="1" si="41">IFERROR(AY9*AM9,"  ")</f>
        <v xml:space="preserve">  </v>
      </c>
      <c r="BA9" s="36" t="str">
        <f t="shared" si="25"/>
        <v xml:space="preserve"> </v>
      </c>
      <c r="BB9" s="27" t="str">
        <f t="shared" ca="1" si="38"/>
        <v xml:space="preserve">  </v>
      </c>
      <c r="BC9" s="23" t="str">
        <f t="shared" ca="1" si="39"/>
        <v xml:space="preserve">  </v>
      </c>
    </row>
    <row r="10" spans="1:60" x14ac:dyDescent="0.25">
      <c r="A10" s="20">
        <f>Tools!$AD9</f>
        <v>4</v>
      </c>
      <c r="B10" s="33" t="str">
        <f t="shared" si="0"/>
        <v xml:space="preserve">  </v>
      </c>
      <c r="C10" s="22">
        <f>IF(A10="  ","  ",IF(AND(A9="  ",A11="  "),"?",IF(A9="  ",1*(A11-A10),IF(A11="  ",1*(A10-A9),1*(A11-A9)))))</f>
        <v>2</v>
      </c>
      <c r="D10" s="23" t="str">
        <f t="shared" si="26"/>
        <v xml:space="preserve">  </v>
      </c>
      <c r="E10" s="24">
        <f t="shared" si="1"/>
        <v>-6</v>
      </c>
      <c r="F10" s="23" t="str">
        <f t="shared" si="27"/>
        <v xml:space="preserve">  </v>
      </c>
      <c r="G10" s="23" t="str">
        <f t="shared" si="28"/>
        <v xml:space="preserve">  </v>
      </c>
      <c r="H10" s="23" t="str">
        <f t="shared" si="29"/>
        <v xml:space="preserve">  </v>
      </c>
      <c r="I10" s="23" t="str">
        <f>IFERROR(H10*C10,"  ")</f>
        <v xml:space="preserve">  </v>
      </c>
      <c r="J10" s="4"/>
      <c r="K10" s="37" t="str">
        <f t="shared" si="2"/>
        <v xml:space="preserve"> </v>
      </c>
      <c r="L10" s="23" t="str">
        <f t="shared" si="31"/>
        <v xml:space="preserve">  </v>
      </c>
      <c r="M10" s="38" t="str">
        <f t="shared" si="3"/>
        <v xml:space="preserve"> </v>
      </c>
      <c r="N10" s="27" t="str">
        <f t="shared" si="32"/>
        <v xml:space="preserve">  </v>
      </c>
      <c r="O10" s="23" t="str">
        <f t="shared" si="33"/>
        <v xml:space="preserve">  </v>
      </c>
      <c r="P10" s="4"/>
      <c r="Q10" s="45"/>
      <c r="R10" s="46"/>
      <c r="S10" s="490"/>
      <c r="W10" s="29">
        <f>IF(AO10="  ","  ",IF(AND(AO9="  ",AO11="  "),"?",IF(AO9="  ",1*(AO11-AO10),IF(AO11="  ",1*(AO10-AO9),1*(AO11-AO9)))))</f>
        <v>2</v>
      </c>
      <c r="X10" s="30" t="str">
        <f t="shared" si="4"/>
        <v>WW</v>
      </c>
      <c r="Y10" s="30" t="str">
        <f t="shared" si="5"/>
        <v>-</v>
      </c>
      <c r="Z10" s="29" t="b">
        <f t="shared" si="6"/>
        <v>0</v>
      </c>
      <c r="AA10" s="29" t="b">
        <f t="shared" si="7"/>
        <v>0</v>
      </c>
      <c r="AB10" s="29" t="str">
        <f t="shared" ca="1" si="8"/>
        <v>++</v>
      </c>
      <c r="AC10" s="29">
        <f t="shared" si="34"/>
        <v>7</v>
      </c>
      <c r="AD10" s="29">
        <f t="shared" ca="1" si="9"/>
        <v>7</v>
      </c>
      <c r="AE10" s="29">
        <v>7</v>
      </c>
      <c r="AF10" s="31">
        <f t="shared" ref="AF10:AF28" si="42">IF(AND(AG10=TRUE,OR(NOT(AG9=TRUE),AG9="Full")),1,IF(ISNUMBER(AF9),AF9+1," "))</f>
        <v>3</v>
      </c>
      <c r="AG10" s="29" t="b">
        <f t="shared" si="11"/>
        <v>1</v>
      </c>
      <c r="AH10" s="30" t="str">
        <f t="shared" ca="1" si="12"/>
        <v>141-2</v>
      </c>
      <c r="AI10" s="30" t="str">
        <f t="shared" ca="1" si="13"/>
        <v/>
      </c>
      <c r="AJ10" s="29">
        <f t="shared" ca="1" si="14"/>
        <v>0</v>
      </c>
      <c r="AK10" s="29" t="str">
        <f t="shared" ca="1" si="15"/>
        <v>2/3</v>
      </c>
      <c r="AL10" s="29">
        <f t="shared" ca="1" si="16"/>
        <v>0.66666666666666663</v>
      </c>
      <c r="AM10" s="32">
        <f t="shared" ca="1" si="35"/>
        <v>0.66666666666666663</v>
      </c>
      <c r="AO10" s="20">
        <f>Tools!$AD9</f>
        <v>4</v>
      </c>
      <c r="AP10" s="33" t="str">
        <f t="shared" si="36"/>
        <v xml:space="preserve">  </v>
      </c>
      <c r="AQ10" s="34" t="str">
        <f t="shared" ca="1" si="18"/>
        <v>2/3</v>
      </c>
      <c r="AR10" s="23" t="str">
        <f t="shared" ca="1" si="19"/>
        <v xml:space="preserve">  </v>
      </c>
      <c r="AS10" s="24">
        <f t="shared" si="20"/>
        <v>-6</v>
      </c>
      <c r="AT10" s="23" t="str">
        <f t="shared" ca="1" si="37"/>
        <v xml:space="preserve">  </v>
      </c>
      <c r="AU10" s="23" t="str">
        <f ca="1">IFERROR(AT10*AS10,"  ")</f>
        <v xml:space="preserve">  </v>
      </c>
      <c r="AV10" s="23" t="str">
        <f t="shared" si="21"/>
        <v xml:space="preserve">  </v>
      </c>
      <c r="AW10" s="23" t="str">
        <f t="shared" ca="1" si="22"/>
        <v xml:space="preserve">  </v>
      </c>
      <c r="AY10" s="35" t="str">
        <f t="shared" si="23"/>
        <v xml:space="preserve"> </v>
      </c>
      <c r="AZ10" s="23" t="str">
        <f t="shared" ca="1" si="41"/>
        <v xml:space="preserve">  </v>
      </c>
      <c r="BA10" s="36" t="str">
        <f t="shared" si="25"/>
        <v xml:space="preserve"> </v>
      </c>
      <c r="BB10" s="27" t="str">
        <f t="shared" ca="1" si="38"/>
        <v xml:space="preserve">  </v>
      </c>
      <c r="BC10" s="23" t="str">
        <f t="shared" ca="1" si="39"/>
        <v xml:space="preserve">  </v>
      </c>
      <c r="BE10" s="43" t="s">
        <v>31</v>
      </c>
      <c r="BF10" s="44" t="s">
        <v>32</v>
      </c>
      <c r="BG10" s="489" t="s">
        <v>33</v>
      </c>
    </row>
    <row r="11" spans="1:60" x14ac:dyDescent="0.25">
      <c r="A11" s="20">
        <f>Tools!$AD10</f>
        <v>5</v>
      </c>
      <c r="B11" s="33" t="str">
        <f t="shared" si="0"/>
        <v xml:space="preserve">  </v>
      </c>
      <c r="C11" s="22">
        <f>IF(A11="  ","  ",IF(AND(A10="  ",A12="  "),"?",IF(A10="  ",2*(A12-A11),IF(A12="  ",2*(A11-A10),2*(A12-A10)))))</f>
        <v>4</v>
      </c>
      <c r="D11" s="23" t="str">
        <f t="shared" si="26"/>
        <v xml:space="preserve">  </v>
      </c>
      <c r="E11" s="24">
        <f t="shared" si="1"/>
        <v>-5</v>
      </c>
      <c r="F11" s="23" t="str">
        <f t="shared" si="27"/>
        <v xml:space="preserve">  </v>
      </c>
      <c r="G11" s="23" t="str">
        <f t="shared" si="28"/>
        <v xml:space="preserve">  </v>
      </c>
      <c r="H11" s="23" t="str">
        <f t="shared" si="29"/>
        <v xml:space="preserve">  </v>
      </c>
      <c r="I11" s="23" t="str">
        <f t="shared" si="30"/>
        <v xml:space="preserve">  </v>
      </c>
      <c r="J11" s="4"/>
      <c r="K11" s="37" t="str">
        <f t="shared" si="2"/>
        <v xml:space="preserve"> </v>
      </c>
      <c r="L11" s="23" t="str">
        <f t="shared" si="31"/>
        <v xml:space="preserve">  </v>
      </c>
      <c r="M11" s="38" t="str">
        <f t="shared" si="3"/>
        <v xml:space="preserve"> </v>
      </c>
      <c r="N11" s="27" t="str">
        <f t="shared" si="32"/>
        <v xml:space="preserve">  </v>
      </c>
      <c r="O11" s="23" t="str">
        <f t="shared" si="33"/>
        <v xml:space="preserve">  </v>
      </c>
      <c r="P11" s="4"/>
      <c r="Q11" s="47" t="s">
        <v>34</v>
      </c>
      <c r="R11" s="48" t="s">
        <v>35</v>
      </c>
      <c r="S11" t="str">
        <f>IF(Tools!$L$49="Use 141 rule only",I35,IF(Tools!$L$49="Use 141 and 1331 rules",BG12," "))</f>
        <v xml:space="preserve">  </v>
      </c>
      <c r="W11" s="29">
        <f>IF(AO11="  ","  ",IF(AND(AO10="  ",AO12="  "),"?",IF(AO10="  ",2*(AO12-AO11),IF(AO12="  ",2*(AO11-AO10),2*(AO12-AO10)))))</f>
        <v>4</v>
      </c>
      <c r="X11" s="30" t="str">
        <f t="shared" si="4"/>
        <v>WW</v>
      </c>
      <c r="Y11" s="30" t="str">
        <f t="shared" si="5"/>
        <v>-</v>
      </c>
      <c r="Z11" s="29" t="b">
        <f t="shared" si="6"/>
        <v>0</v>
      </c>
      <c r="AA11" s="29" t="b">
        <f t="shared" si="7"/>
        <v>0</v>
      </c>
      <c r="AB11" s="29" t="str">
        <f t="shared" ca="1" si="8"/>
        <v>++</v>
      </c>
      <c r="AC11" s="29">
        <f t="shared" si="34"/>
        <v>8</v>
      </c>
      <c r="AD11" s="29">
        <f t="shared" ca="1" si="9"/>
        <v>8</v>
      </c>
      <c r="AE11" s="29">
        <v>8</v>
      </c>
      <c r="AF11" s="31">
        <f t="shared" si="42"/>
        <v>4</v>
      </c>
      <c r="AG11" s="29" t="b">
        <f t="shared" si="11"/>
        <v>1</v>
      </c>
      <c r="AH11" s="30" t="str">
        <f t="shared" ca="1" si="12"/>
        <v>141-4</v>
      </c>
      <c r="AI11" s="30" t="str">
        <f t="shared" ca="1" si="13"/>
        <v/>
      </c>
      <c r="AJ11" s="29">
        <f t="shared" ca="1" si="14"/>
        <v>0</v>
      </c>
      <c r="AK11" s="29" t="str">
        <f t="shared" ca="1" si="15"/>
        <v>4/3</v>
      </c>
      <c r="AL11" s="29">
        <f t="shared" ca="1" si="16"/>
        <v>1.3333333333333333</v>
      </c>
      <c r="AM11" s="32">
        <f t="shared" ca="1" si="35"/>
        <v>1.3333333333333333</v>
      </c>
      <c r="AO11" s="20">
        <f>Tools!$AD10</f>
        <v>5</v>
      </c>
      <c r="AP11" s="33" t="str">
        <f t="shared" si="36"/>
        <v xml:space="preserve">  </v>
      </c>
      <c r="AQ11" s="34" t="str">
        <f t="shared" ca="1" si="18"/>
        <v>4/3</v>
      </c>
      <c r="AR11" s="23" t="str">
        <f t="shared" ca="1" si="19"/>
        <v xml:space="preserve">  </v>
      </c>
      <c r="AS11" s="24">
        <f t="shared" si="20"/>
        <v>-5</v>
      </c>
      <c r="AT11" s="23" t="str">
        <f t="shared" ca="1" si="37"/>
        <v xml:space="preserve">  </v>
      </c>
      <c r="AU11" s="23" t="str">
        <f t="shared" ca="1" si="40"/>
        <v xml:space="preserve">  </v>
      </c>
      <c r="AV11" s="23" t="str">
        <f t="shared" si="21"/>
        <v xml:space="preserve">  </v>
      </c>
      <c r="AW11" s="23" t="str">
        <f t="shared" ca="1" si="22"/>
        <v xml:space="preserve">  </v>
      </c>
      <c r="AY11" s="35" t="str">
        <f t="shared" si="23"/>
        <v xml:space="preserve"> </v>
      </c>
      <c r="AZ11" s="23" t="str">
        <f t="shared" ca="1" si="41"/>
        <v xml:space="preserve">  </v>
      </c>
      <c r="BA11" s="36" t="str">
        <f t="shared" si="25"/>
        <v xml:space="preserve"> </v>
      </c>
      <c r="BB11" s="27" t="str">
        <f t="shared" ca="1" si="38"/>
        <v xml:space="preserve">  </v>
      </c>
      <c r="BC11" s="23" t="str">
        <f ca="1">IFERROR(AZ11*AS11,"  ")</f>
        <v xml:space="preserve">  </v>
      </c>
      <c r="BE11" s="45"/>
      <c r="BF11" s="46"/>
      <c r="BG11" s="490"/>
    </row>
    <row r="12" spans="1:60" x14ac:dyDescent="0.25">
      <c r="A12" s="20">
        <f>Tools!$AD11</f>
        <v>6</v>
      </c>
      <c r="B12" s="33" t="str">
        <f t="shared" si="0"/>
        <v xml:space="preserve">  </v>
      </c>
      <c r="C12" s="22">
        <f>IF(A12="  ","  ",IF(AND(A11="  ",A13="  "),"?",IF(A11="  ",1*(A13-A12),IF(A13="  ",1*(A12-A11),1*(A13-A11)))))</f>
        <v>2</v>
      </c>
      <c r="D12" s="23" t="str">
        <f t="shared" si="26"/>
        <v xml:space="preserve">  </v>
      </c>
      <c r="E12" s="24">
        <f t="shared" si="1"/>
        <v>-4</v>
      </c>
      <c r="F12" s="23" t="str">
        <f t="shared" si="27"/>
        <v xml:space="preserve">  </v>
      </c>
      <c r="G12" s="23" t="str">
        <f t="shared" si="28"/>
        <v xml:space="preserve">  </v>
      </c>
      <c r="H12" s="23" t="str">
        <f t="shared" si="29"/>
        <v xml:space="preserve">  </v>
      </c>
      <c r="I12" s="23" t="str">
        <f t="shared" si="30"/>
        <v xml:space="preserve">  </v>
      </c>
      <c r="J12" s="4"/>
      <c r="K12" s="37" t="str">
        <f t="shared" si="2"/>
        <v xml:space="preserve"> </v>
      </c>
      <c r="L12" s="23" t="str">
        <f t="shared" si="31"/>
        <v xml:space="preserve">  </v>
      </c>
      <c r="M12" s="38" t="str">
        <f t="shared" si="3"/>
        <v xml:space="preserve"> </v>
      </c>
      <c r="N12" s="27" t="str">
        <f t="shared" si="32"/>
        <v xml:space="preserve">  </v>
      </c>
      <c r="O12" s="23" t="str">
        <f t="shared" si="33"/>
        <v xml:space="preserve">  </v>
      </c>
      <c r="P12" s="4"/>
      <c r="Q12" s="47" t="s">
        <v>36</v>
      </c>
      <c r="R12" s="48" t="s">
        <v>37</v>
      </c>
      <c r="S12" t="str">
        <f>IF(Tools!$L$49="Use 141 rule only",I36,IF(Tools!$L$49="Use 141 and 1331 rules",BG13," "))</f>
        <v xml:space="preserve">  </v>
      </c>
      <c r="W12" s="29">
        <f>IF(AO12="  ","  ",IF(AND(AO11="  ",AO13="  "),"?",IF(AO11="  ",1*(AO13-AO12),IF(AO13="  ",1*(AO12-AO11),1*(AO13-AO11)))))</f>
        <v>2</v>
      </c>
      <c r="X12" s="30" t="str">
        <f t="shared" si="4"/>
        <v>WW</v>
      </c>
      <c r="Y12" s="30" t="str">
        <f t="shared" si="5"/>
        <v>-</v>
      </c>
      <c r="Z12" s="29" t="b">
        <f t="shared" si="6"/>
        <v>0</v>
      </c>
      <c r="AA12" s="29" t="b">
        <f t="shared" si="7"/>
        <v>0</v>
      </c>
      <c r="AB12" s="29" t="str">
        <f t="shared" ca="1" si="8"/>
        <v>++</v>
      </c>
      <c r="AC12" s="29">
        <f t="shared" si="34"/>
        <v>9</v>
      </c>
      <c r="AD12" s="29">
        <f t="shared" ca="1" si="9"/>
        <v>9</v>
      </c>
      <c r="AE12" s="29">
        <v>9</v>
      </c>
      <c r="AF12" s="31">
        <f t="shared" si="42"/>
        <v>5</v>
      </c>
      <c r="AG12" s="29" t="b">
        <f t="shared" si="11"/>
        <v>1</v>
      </c>
      <c r="AH12" s="30" t="str">
        <f t="shared" ca="1" si="12"/>
        <v>141-2</v>
      </c>
      <c r="AI12" s="30" t="str">
        <f t="shared" ca="1" si="13"/>
        <v/>
      </c>
      <c r="AJ12" s="29">
        <f t="shared" ca="1" si="14"/>
        <v>0</v>
      </c>
      <c r="AK12" s="29" t="str">
        <f t="shared" ca="1" si="15"/>
        <v>2/3</v>
      </c>
      <c r="AL12" s="29">
        <f t="shared" ca="1" si="16"/>
        <v>0.66666666666666663</v>
      </c>
      <c r="AM12" s="32">
        <f t="shared" ca="1" si="35"/>
        <v>0.66666666666666663</v>
      </c>
      <c r="AO12" s="20">
        <f>Tools!$AD11</f>
        <v>6</v>
      </c>
      <c r="AP12" s="33" t="str">
        <f t="shared" si="36"/>
        <v xml:space="preserve">  </v>
      </c>
      <c r="AQ12" s="34" t="str">
        <f t="shared" ca="1" si="18"/>
        <v>2/3</v>
      </c>
      <c r="AR12" s="23" t="str">
        <f t="shared" ca="1" si="19"/>
        <v xml:space="preserve">  </v>
      </c>
      <c r="AS12" s="24">
        <f t="shared" si="20"/>
        <v>-4</v>
      </c>
      <c r="AT12" s="23" t="str">
        <f t="shared" ca="1" si="37"/>
        <v xml:space="preserve">  </v>
      </c>
      <c r="AU12" s="23" t="str">
        <f t="shared" ca="1" si="40"/>
        <v xml:space="preserve">  </v>
      </c>
      <c r="AV12" s="23" t="str">
        <f t="shared" si="21"/>
        <v xml:space="preserve">  </v>
      </c>
      <c r="AW12" s="23" t="str">
        <f t="shared" ca="1" si="22"/>
        <v xml:space="preserve">  </v>
      </c>
      <c r="AY12" s="35" t="str">
        <f t="shared" si="23"/>
        <v xml:space="preserve"> </v>
      </c>
      <c r="AZ12" s="23" t="str">
        <f t="shared" ca="1" si="41"/>
        <v xml:space="preserve">  </v>
      </c>
      <c r="BA12" s="36" t="str">
        <f t="shared" si="25"/>
        <v xml:space="preserve"> </v>
      </c>
      <c r="BB12" s="27" t="str">
        <f t="shared" ca="1" si="38"/>
        <v xml:space="preserve">  </v>
      </c>
      <c r="BC12" s="23" t="str">
        <f t="shared" ca="1" si="39"/>
        <v xml:space="preserve">  </v>
      </c>
      <c r="BE12" s="47" t="s">
        <v>34</v>
      </c>
      <c r="BF12" s="48" t="s">
        <v>38</v>
      </c>
      <c r="BG12" s="49" t="str">
        <f>IF(WL_No="  ","  ",2*h*$AR$29)</f>
        <v xml:space="preserve">  </v>
      </c>
    </row>
    <row r="13" spans="1:60" x14ac:dyDescent="0.25">
      <c r="A13" s="20">
        <f>Tools!$AD12</f>
        <v>7</v>
      </c>
      <c r="B13" s="33" t="str">
        <f t="shared" si="0"/>
        <v xml:space="preserve">  </v>
      </c>
      <c r="C13" s="22">
        <f>IF(A13="  ","  ",IF(AND(A12="  ",A14="  "),"?",IF(A12="  ",2*(A14-A13),IF(A14="  ",2*(A13-A12),2*(A14-A12)))))</f>
        <v>4</v>
      </c>
      <c r="D13" s="23" t="str">
        <f t="shared" si="26"/>
        <v xml:space="preserve">  </v>
      </c>
      <c r="E13" s="24">
        <f t="shared" si="1"/>
        <v>-3</v>
      </c>
      <c r="F13" s="23" t="str">
        <f t="shared" si="27"/>
        <v xml:space="preserve">  </v>
      </c>
      <c r="G13" s="23" t="str">
        <f t="shared" si="28"/>
        <v xml:space="preserve">  </v>
      </c>
      <c r="H13" s="23" t="str">
        <f t="shared" si="29"/>
        <v xml:space="preserve">  </v>
      </c>
      <c r="I13" s="23" t="str">
        <f t="shared" si="30"/>
        <v xml:space="preserve">  </v>
      </c>
      <c r="J13" s="4"/>
      <c r="K13" s="37" t="str">
        <f t="shared" si="2"/>
        <v xml:space="preserve"> </v>
      </c>
      <c r="L13" s="23" t="str">
        <f t="shared" si="31"/>
        <v xml:space="preserve">  </v>
      </c>
      <c r="M13" s="38" t="str">
        <f t="shared" si="3"/>
        <v xml:space="preserve"> </v>
      </c>
      <c r="N13" s="27" t="str">
        <f t="shared" si="32"/>
        <v xml:space="preserve">  </v>
      </c>
      <c r="O13" s="23" t="str">
        <f t="shared" si="33"/>
        <v xml:space="preserve">  </v>
      </c>
      <c r="P13" s="4"/>
      <c r="Q13" s="50" t="s">
        <v>39</v>
      </c>
      <c r="R13" s="48" t="s">
        <v>40</v>
      </c>
      <c r="S13" t="str">
        <f>IF(Tools!$L$49="Use 141 rule only",I37,IF(Tools!$L$49="Use 141 and 1331 rules",BG14," "))</f>
        <v xml:space="preserve">  </v>
      </c>
      <c r="W13" s="29">
        <f>IF(AO13="  ","  ",IF(AND(AO12="  ",AO14="  "),"?",IF(AO12="  ",2*(AO14-AO13),IF(AO14="  ",2*(AO13-AO12),2*(AO14-AO12)))))</f>
        <v>4</v>
      </c>
      <c r="X13" s="30" t="str">
        <f t="shared" si="4"/>
        <v>WW</v>
      </c>
      <c r="Y13" s="30" t="str">
        <f t="shared" si="5"/>
        <v>-</v>
      </c>
      <c r="Z13" s="29" t="b">
        <f t="shared" si="6"/>
        <v>0</v>
      </c>
      <c r="AA13" s="29" t="b">
        <f t="shared" si="7"/>
        <v>0</v>
      </c>
      <c r="AB13" s="29" t="str">
        <f t="shared" ca="1" si="8"/>
        <v>++</v>
      </c>
      <c r="AC13" s="29">
        <f t="shared" si="34"/>
        <v>10</v>
      </c>
      <c r="AD13" s="29">
        <f t="shared" ca="1" si="9"/>
        <v>10</v>
      </c>
      <c r="AE13" s="29">
        <v>10</v>
      </c>
      <c r="AF13" s="31">
        <f t="shared" si="42"/>
        <v>6</v>
      </c>
      <c r="AG13" s="29" t="b">
        <f t="shared" si="11"/>
        <v>1</v>
      </c>
      <c r="AH13" s="30" t="str">
        <f t="shared" ca="1" si="12"/>
        <v>141-4</v>
      </c>
      <c r="AI13" s="30" t="str">
        <f t="shared" ca="1" si="13"/>
        <v/>
      </c>
      <c r="AJ13" s="29">
        <f t="shared" ca="1" si="14"/>
        <v>0</v>
      </c>
      <c r="AK13" s="29" t="str">
        <f t="shared" ca="1" si="15"/>
        <v>4/3</v>
      </c>
      <c r="AL13" s="29">
        <f t="shared" ca="1" si="16"/>
        <v>1.3333333333333333</v>
      </c>
      <c r="AM13" s="32">
        <f t="shared" ca="1" si="35"/>
        <v>1.3333333333333333</v>
      </c>
      <c r="AO13" s="20">
        <f>Tools!$AD12</f>
        <v>7</v>
      </c>
      <c r="AP13" s="33" t="str">
        <f t="shared" si="36"/>
        <v xml:space="preserve">  </v>
      </c>
      <c r="AQ13" s="34" t="str">
        <f t="shared" ca="1" si="18"/>
        <v>4/3</v>
      </c>
      <c r="AR13" s="23" t="str">
        <f t="shared" ca="1" si="19"/>
        <v xml:space="preserve">  </v>
      </c>
      <c r="AS13" s="24">
        <f t="shared" si="20"/>
        <v>-3</v>
      </c>
      <c r="AT13" s="23" t="str">
        <f t="shared" ca="1" si="37"/>
        <v xml:space="preserve">  </v>
      </c>
      <c r="AU13" s="23" t="str">
        <f t="shared" ca="1" si="40"/>
        <v xml:space="preserve">  </v>
      </c>
      <c r="AV13" s="23" t="str">
        <f t="shared" si="21"/>
        <v xml:space="preserve">  </v>
      </c>
      <c r="AW13" s="23" t="str">
        <f t="shared" ca="1" si="22"/>
        <v xml:space="preserve">  </v>
      </c>
      <c r="AY13" s="35" t="str">
        <f t="shared" si="23"/>
        <v xml:space="preserve"> </v>
      </c>
      <c r="AZ13" s="23" t="str">
        <f t="shared" ca="1" si="41"/>
        <v xml:space="preserve">  </v>
      </c>
      <c r="BA13" s="36" t="str">
        <f t="shared" si="25"/>
        <v xml:space="preserve"> </v>
      </c>
      <c r="BB13" s="27" t="str">
        <f t="shared" ca="1" si="38"/>
        <v xml:space="preserve">  </v>
      </c>
      <c r="BC13" s="23" t="str">
        <f t="shared" ca="1" si="39"/>
        <v xml:space="preserve">  </v>
      </c>
      <c r="BE13" s="47" t="s">
        <v>36</v>
      </c>
      <c r="BF13" s="48" t="s">
        <v>41</v>
      </c>
      <c r="BG13" s="49" t="str">
        <f>IF(WL_No="  ","  ",2*(h^2)*$AT$29)</f>
        <v xml:space="preserve">  </v>
      </c>
    </row>
    <row r="14" spans="1:60" x14ac:dyDescent="0.25">
      <c r="A14" s="20">
        <f>Tools!$AD13</f>
        <v>8</v>
      </c>
      <c r="B14" s="33" t="str">
        <f t="shared" si="0"/>
        <v xml:space="preserve">  </v>
      </c>
      <c r="C14" s="22">
        <f>IF(A14="  ","  ",IF(AND(A13="  ",A15="  "),"?",IF(A13="  ",1*(A15-A14),IF(A15="  ",1*(A14-A13),1*(A15-A13)))))</f>
        <v>2</v>
      </c>
      <c r="D14" s="23" t="str">
        <f t="shared" si="26"/>
        <v xml:space="preserve">  </v>
      </c>
      <c r="E14" s="24">
        <f t="shared" si="1"/>
        <v>-2</v>
      </c>
      <c r="F14" s="23" t="str">
        <f t="shared" si="27"/>
        <v xml:space="preserve">  </v>
      </c>
      <c r="G14" s="23" t="str">
        <f t="shared" si="28"/>
        <v xml:space="preserve">  </v>
      </c>
      <c r="H14" s="23" t="str">
        <f t="shared" si="29"/>
        <v xml:space="preserve">  </v>
      </c>
      <c r="I14" s="23" t="str">
        <f t="shared" si="30"/>
        <v xml:space="preserve">  </v>
      </c>
      <c r="J14" s="4"/>
      <c r="K14" s="37" t="str">
        <f t="shared" si="2"/>
        <v xml:space="preserve"> </v>
      </c>
      <c r="L14" s="23" t="str">
        <f t="shared" si="31"/>
        <v xml:space="preserve">  </v>
      </c>
      <c r="M14" s="38" t="str">
        <f t="shared" si="3"/>
        <v xml:space="preserve"> </v>
      </c>
      <c r="N14" s="27" t="str">
        <f t="shared" si="32"/>
        <v xml:space="preserve">  </v>
      </c>
      <c r="O14" s="23" t="str">
        <f t="shared" si="33"/>
        <v xml:space="preserve">  </v>
      </c>
      <c r="P14" s="4"/>
      <c r="Q14" s="50" t="s">
        <v>42</v>
      </c>
      <c r="R14" s="48" t="s">
        <v>43</v>
      </c>
      <c r="S14" t="str">
        <f>IF(Tools!$L$49="Use 141 rule only",I38,IF(Tools!$L$49="Use 141 and 1331 rules",BG15," "))</f>
        <v xml:space="preserve">  </v>
      </c>
      <c r="W14" s="29">
        <f>IF(AO14="  ","  ",IF(AND(AO13="  ",AO15="  "),"?",IF(AO13="  ",1*(AO15-AO14),IF(AO15="  ",1*(AO14-AO13),1*(AO15-AO13)))))</f>
        <v>2</v>
      </c>
      <c r="X14" s="30" t="str">
        <f t="shared" si="4"/>
        <v>WW</v>
      </c>
      <c r="Y14" s="30" t="str">
        <f t="shared" si="5"/>
        <v>-</v>
      </c>
      <c r="Z14" s="29" t="b">
        <f t="shared" si="6"/>
        <v>0</v>
      </c>
      <c r="AA14" s="29" t="b">
        <f t="shared" si="7"/>
        <v>0</v>
      </c>
      <c r="AB14" s="29" t="str">
        <f t="shared" ca="1" si="8"/>
        <v>++</v>
      </c>
      <c r="AC14" s="29">
        <f t="shared" si="34"/>
        <v>11</v>
      </c>
      <c r="AD14" s="29">
        <f t="shared" ca="1" si="9"/>
        <v>11</v>
      </c>
      <c r="AE14" s="29">
        <v>11</v>
      </c>
      <c r="AF14" s="31">
        <f t="shared" si="42"/>
        <v>7</v>
      </c>
      <c r="AG14" s="29" t="b">
        <f t="shared" si="11"/>
        <v>1</v>
      </c>
      <c r="AH14" s="30" t="str">
        <f ca="1">IF(AND(AG14=TRUE,$AH$1=1),"141-4",IF(AG14=" ",IF(AND($AH$1=2,AF14=3),"141-1","-"),IF(OR(AG14=FALSE,AG14=" "),"-",IF(AG14=TRUE,IF(AND($AH$1=2,AF14=1),"141-1",IF(AND($AH$1=2,AF14=2),"141-4",IF(OR(ISODD($AH$1),AF14&gt;4),IF(AF14=1,"141-1",IF(OR(AB14="141-1",AB14="1331-1",AB14="1331-1,141-1"),"141-1",IF(AG15=" ","141-1",IF(OR(AH13="141-1",AH13="141-2",AH13="1331-1,141-1"),"141-4",IF(AH13="141-4","141-2","$$"))))),IF(ISEVEN($AH$1),IF(AF14=1,"1331-1",IF(OR(AF14=2,AF14=3),"1331-3",IF(AF14=4,IF($AH$1=4,"1331-1","1331-1,141-1"),"")))))))))))</f>
        <v>141-2</v>
      </c>
      <c r="AI14" s="30" t="str">
        <f t="shared" ca="1" si="13"/>
        <v/>
      </c>
      <c r="AJ14" s="29">
        <f t="shared" ca="1" si="14"/>
        <v>0</v>
      </c>
      <c r="AK14" s="29" t="str">
        <f t="shared" ca="1" si="15"/>
        <v>2/3</v>
      </c>
      <c r="AL14" s="29">
        <f t="shared" ca="1" si="16"/>
        <v>0.66666666666666663</v>
      </c>
      <c r="AM14" s="32">
        <f t="shared" ca="1" si="35"/>
        <v>0.66666666666666663</v>
      </c>
      <c r="AO14" s="20">
        <f>Tools!$AD13</f>
        <v>8</v>
      </c>
      <c r="AP14" s="33" t="str">
        <f t="shared" si="36"/>
        <v xml:space="preserve">  </v>
      </c>
      <c r="AQ14" s="34" t="str">
        <f t="shared" ca="1" si="18"/>
        <v>2/3</v>
      </c>
      <c r="AR14" s="23" t="str">
        <f t="shared" ca="1" si="19"/>
        <v xml:space="preserve">  </v>
      </c>
      <c r="AS14" s="24">
        <f t="shared" si="20"/>
        <v>-2</v>
      </c>
      <c r="AT14" s="23" t="str">
        <f t="shared" ca="1" si="37"/>
        <v xml:space="preserve">  </v>
      </c>
      <c r="AU14" s="23" t="str">
        <f t="shared" ca="1" si="40"/>
        <v xml:space="preserve">  </v>
      </c>
      <c r="AV14" s="23" t="str">
        <f t="shared" si="21"/>
        <v xml:space="preserve">  </v>
      </c>
      <c r="AW14" s="23" t="str">
        <f t="shared" ca="1" si="22"/>
        <v xml:space="preserve">  </v>
      </c>
      <c r="AY14" s="35" t="str">
        <f t="shared" si="23"/>
        <v xml:space="preserve"> </v>
      </c>
      <c r="AZ14" s="23" t="str">
        <f t="shared" ca="1" si="41"/>
        <v xml:space="preserve">  </v>
      </c>
      <c r="BA14" s="36" t="str">
        <f t="shared" si="25"/>
        <v xml:space="preserve"> </v>
      </c>
      <c r="BB14" s="27" t="str">
        <f t="shared" ca="1" si="38"/>
        <v xml:space="preserve">  </v>
      </c>
      <c r="BC14" s="23" t="str">
        <f t="shared" ca="1" si="39"/>
        <v xml:space="preserve">  </v>
      </c>
      <c r="BE14" s="50" t="s">
        <v>39</v>
      </c>
      <c r="BF14" s="48" t="s">
        <v>40</v>
      </c>
      <c r="BG14" s="49" t="str">
        <f>IF(WL_No="  ","  ",Mmid/AWP)</f>
        <v xml:space="preserve">  </v>
      </c>
    </row>
    <row r="15" spans="1:60" x14ac:dyDescent="0.25">
      <c r="A15" s="20">
        <f>Tools!$AD14</f>
        <v>9</v>
      </c>
      <c r="B15" s="33" t="str">
        <f t="shared" si="0"/>
        <v xml:space="preserve">  </v>
      </c>
      <c r="C15" s="22">
        <f>IF(A15="  ","  ",IF(AND(A14="  ",A16="  "),"?",IF(A14="  ",2*(A16-A15),IF(A16="  ",2*(A15-A14),2*(A16-A14)))))</f>
        <v>4</v>
      </c>
      <c r="D15" s="23" t="str">
        <f t="shared" si="26"/>
        <v xml:space="preserve">  </v>
      </c>
      <c r="E15" s="24">
        <f t="shared" si="1"/>
        <v>-1</v>
      </c>
      <c r="F15" s="23" t="str">
        <f t="shared" si="27"/>
        <v xml:space="preserve">  </v>
      </c>
      <c r="G15" s="23" t="str">
        <f t="shared" si="28"/>
        <v xml:space="preserve">  </v>
      </c>
      <c r="H15" s="23" t="str">
        <f t="shared" si="29"/>
        <v xml:space="preserve">  </v>
      </c>
      <c r="I15" s="23" t="str">
        <f t="shared" si="30"/>
        <v xml:space="preserve">  </v>
      </c>
      <c r="J15" s="4"/>
      <c r="K15" s="37" t="str">
        <f t="shared" si="2"/>
        <v xml:space="preserve"> </v>
      </c>
      <c r="L15" s="23" t="str">
        <f t="shared" si="31"/>
        <v xml:space="preserve">  </v>
      </c>
      <c r="M15" s="38" t="str">
        <f t="shared" si="3"/>
        <v xml:space="preserve"> </v>
      </c>
      <c r="N15" s="27" t="str">
        <f t="shared" si="32"/>
        <v xml:space="preserve">  </v>
      </c>
      <c r="O15" s="23" t="str">
        <f t="shared" si="33"/>
        <v xml:space="preserve">  </v>
      </c>
      <c r="P15" s="4"/>
      <c r="Q15" s="51" t="s">
        <v>44</v>
      </c>
      <c r="R15" s="48" t="s">
        <v>45</v>
      </c>
      <c r="S15" t="str">
        <f>IF(Tools!$L$49="Use 141 rule only",I39,IF(Tools!$L$49="Use 141 and 1331 rules",BG16," "))</f>
        <v xml:space="preserve">  </v>
      </c>
      <c r="W15" s="29">
        <f>IF(AO15="  ","  ",IF(AND(AO14="  ",AO16="  "),"?",IF(AO14="  ",2*(AO16-AO15),IF(AO16="  ",2*(AO15-AO14),2*(AO16-AO14)))))</f>
        <v>4</v>
      </c>
      <c r="X15" s="30" t="str">
        <f t="shared" si="4"/>
        <v>WW</v>
      </c>
      <c r="Y15" s="30" t="str">
        <f t="shared" si="5"/>
        <v>-</v>
      </c>
      <c r="Z15" s="29" t="b">
        <f t="shared" si="6"/>
        <v>0</v>
      </c>
      <c r="AA15" s="29" t="b">
        <f t="shared" si="7"/>
        <v>0</v>
      </c>
      <c r="AB15" s="29" t="str">
        <f t="shared" ca="1" si="8"/>
        <v>++</v>
      </c>
      <c r="AC15" s="29">
        <f t="shared" si="34"/>
        <v>12</v>
      </c>
      <c r="AD15" s="29">
        <f t="shared" ca="1" si="9"/>
        <v>12</v>
      </c>
      <c r="AE15" s="29">
        <v>12</v>
      </c>
      <c r="AF15" s="31">
        <f t="shared" si="42"/>
        <v>8</v>
      </c>
      <c r="AG15" s="29" t="b">
        <f t="shared" si="11"/>
        <v>1</v>
      </c>
      <c r="AH15" s="30" t="str">
        <f t="shared" ref="AH15:AH28" ca="1" si="43">IF(AND(AG15=TRUE,$AH$1=1),"141-4",IF(AG15=" ",IF(AND($AH$1=2,AF15=3),"141-1","-"),IF(OR(AG15=FALSE,AG15=" "),"-",IF(AG15=TRUE,IF(AND($AH$1=2,AF15=1),"141-1",IF(AND($AH$1=2,AF15=2),"141-4",IF(OR(ISODD($AH$1),AF15&gt;4),IF(AF15=1,"141-1",IF(OR(AB15="141-1",AB15="1331-1",AB15="1331-1,141-1"),"141-1",IF(AG16=" ","141-1",IF(OR(AH14="141-1",AH14="141-2",AH14="1331-1,141-1"),"141-4",IF(AH14="141-4","141-2","$$"))))),IF(ISEVEN($AH$1),IF(AF15=1,"1331-1",IF(OR(AF15=2,AF15=3),"1331-3",IF(AF15=4,IF($AH$1=4,"1331-1","1331-1,141-1"),"")))))))))))</f>
        <v>141-4</v>
      </c>
      <c r="AI15" s="30" t="str">
        <f t="shared" ca="1" si="13"/>
        <v/>
      </c>
      <c r="AJ15" s="29">
        <f t="shared" ca="1" si="14"/>
        <v>0</v>
      </c>
      <c r="AK15" s="29" t="str">
        <f t="shared" ca="1" si="15"/>
        <v>4/3</v>
      </c>
      <c r="AL15" s="29">
        <f t="shared" ca="1" si="16"/>
        <v>1.3333333333333333</v>
      </c>
      <c r="AM15" s="32">
        <f t="shared" ca="1" si="35"/>
        <v>1.3333333333333333</v>
      </c>
      <c r="AO15" s="20">
        <f>Tools!$AD14</f>
        <v>9</v>
      </c>
      <c r="AP15" s="33" t="str">
        <f t="shared" si="36"/>
        <v xml:space="preserve">  </v>
      </c>
      <c r="AQ15" s="34" t="str">
        <f t="shared" ca="1" si="18"/>
        <v>4/3</v>
      </c>
      <c r="AR15" s="23" t="str">
        <f t="shared" ca="1" si="19"/>
        <v xml:space="preserve">  </v>
      </c>
      <c r="AS15" s="24">
        <f t="shared" si="20"/>
        <v>-1</v>
      </c>
      <c r="AT15" s="23" t="str">
        <f t="shared" ca="1" si="37"/>
        <v xml:space="preserve">  </v>
      </c>
      <c r="AU15" s="23" t="str">
        <f t="shared" ca="1" si="40"/>
        <v xml:space="preserve">  </v>
      </c>
      <c r="AV15" s="23" t="str">
        <f t="shared" si="21"/>
        <v xml:space="preserve">  </v>
      </c>
      <c r="AW15" s="23" t="str">
        <f t="shared" ca="1" si="22"/>
        <v xml:space="preserve">  </v>
      </c>
      <c r="AY15" s="35" t="str">
        <f t="shared" si="23"/>
        <v xml:space="preserve"> </v>
      </c>
      <c r="AZ15" s="23" t="str">
        <f t="shared" ca="1" si="41"/>
        <v xml:space="preserve">  </v>
      </c>
      <c r="BA15" s="36" t="str">
        <f t="shared" si="25"/>
        <v xml:space="preserve"> </v>
      </c>
      <c r="BB15" s="27" t="str">
        <f ca="1">IFERROR(BA15*AM15,"  ")</f>
        <v xml:space="preserve">  </v>
      </c>
      <c r="BC15" s="23" t="str">
        <f t="shared" ca="1" si="39"/>
        <v xml:space="preserve">  </v>
      </c>
      <c r="BE15" s="50" t="s">
        <v>42</v>
      </c>
      <c r="BF15" s="48" t="s">
        <v>46</v>
      </c>
      <c r="BG15" s="49" t="str">
        <f>IF(WL_No="  ","  ",2*(h^3)*$AU$29)</f>
        <v xml:space="preserve">  </v>
      </c>
    </row>
    <row r="16" spans="1:60" x14ac:dyDescent="0.25">
      <c r="A16" s="20">
        <f>Tools!$AD15</f>
        <v>10</v>
      </c>
      <c r="B16" s="33" t="str">
        <f t="shared" si="0"/>
        <v xml:space="preserve">  </v>
      </c>
      <c r="C16" s="22">
        <f>IF(A16="  ","  ",IF(AND(A15="  ",A17="  "),"?",IF(A15="  ",1*(A17-A16),IF(A17="  ",1*(A16-A15),1*(A17-A15)))))</f>
        <v>2</v>
      </c>
      <c r="D16" s="23" t="str">
        <f t="shared" si="26"/>
        <v xml:space="preserve">  </v>
      </c>
      <c r="E16" s="24">
        <f t="shared" si="1"/>
        <v>0</v>
      </c>
      <c r="F16" s="23" t="str">
        <f t="shared" si="27"/>
        <v xml:space="preserve">  </v>
      </c>
      <c r="G16" s="23" t="str">
        <f t="shared" si="28"/>
        <v xml:space="preserve">  </v>
      </c>
      <c r="H16" s="23" t="str">
        <f t="shared" si="29"/>
        <v xml:space="preserve">  </v>
      </c>
      <c r="I16" s="23" t="str">
        <f t="shared" si="30"/>
        <v xml:space="preserve">  </v>
      </c>
      <c r="J16" s="4"/>
      <c r="K16" s="37" t="str">
        <f t="shared" si="2"/>
        <v xml:space="preserve"> </v>
      </c>
      <c r="L16" s="23" t="str">
        <f t="shared" si="31"/>
        <v xml:space="preserve">  </v>
      </c>
      <c r="M16" s="38" t="str">
        <f t="shared" si="3"/>
        <v xml:space="preserve"> </v>
      </c>
      <c r="N16" s="27" t="str">
        <f t="shared" si="32"/>
        <v xml:space="preserve">  </v>
      </c>
      <c r="O16" s="23" t="str">
        <f t="shared" si="33"/>
        <v xml:space="preserve">  </v>
      </c>
      <c r="P16" s="4"/>
      <c r="Q16" s="50" t="s">
        <v>47</v>
      </c>
      <c r="R16" s="48" t="s">
        <v>48</v>
      </c>
      <c r="S16" t="str">
        <f>IF(Tools!$L$49="Use 141 rule only",I40,IF(Tools!$L$49="Use 141 and 1331 rules",BG17," "))</f>
        <v xml:space="preserve">  </v>
      </c>
      <c r="W16" s="29">
        <f>IF(AO16="  ","  ",IF(AND(AO15="  ",AO17="  "),"?",IF(AO15="  ",1*(AO17-AO16),IF(AO17="  ",1*(AO16-AO15),1*(AO17-AO15)))))</f>
        <v>2</v>
      </c>
      <c r="X16" s="30" t="str">
        <f t="shared" si="4"/>
        <v>WW</v>
      </c>
      <c r="Y16" s="30" t="str">
        <f t="shared" si="5"/>
        <v>-</v>
      </c>
      <c r="Z16" s="29" t="b">
        <f t="shared" si="6"/>
        <v>0</v>
      </c>
      <c r="AA16" s="29" t="b">
        <f t="shared" si="7"/>
        <v>0</v>
      </c>
      <c r="AB16" s="29" t="str">
        <f t="shared" ca="1" si="8"/>
        <v>++</v>
      </c>
      <c r="AC16" s="29">
        <f t="shared" si="34"/>
        <v>13</v>
      </c>
      <c r="AD16" s="29">
        <f t="shared" ca="1" si="9"/>
        <v>13</v>
      </c>
      <c r="AE16" s="29">
        <v>13</v>
      </c>
      <c r="AF16" s="31">
        <f t="shared" si="42"/>
        <v>9</v>
      </c>
      <c r="AG16" s="29" t="b">
        <f t="shared" si="11"/>
        <v>1</v>
      </c>
      <c r="AH16" s="30" t="str">
        <f t="shared" ca="1" si="43"/>
        <v>141-2</v>
      </c>
      <c r="AI16" s="30" t="str">
        <f t="shared" ca="1" si="13"/>
        <v/>
      </c>
      <c r="AJ16" s="29">
        <f t="shared" ca="1" si="14"/>
        <v>0</v>
      </c>
      <c r="AK16" s="29" t="str">
        <f t="shared" ca="1" si="15"/>
        <v>2/3</v>
      </c>
      <c r="AL16" s="29">
        <f t="shared" ca="1" si="16"/>
        <v>0.66666666666666663</v>
      </c>
      <c r="AM16" s="32">
        <f t="shared" ca="1" si="35"/>
        <v>0.66666666666666663</v>
      </c>
      <c r="AO16" s="20">
        <f>Tools!$AD15</f>
        <v>10</v>
      </c>
      <c r="AP16" s="33" t="str">
        <f t="shared" si="36"/>
        <v xml:space="preserve">  </v>
      </c>
      <c r="AQ16" s="34" t="str">
        <f t="shared" ca="1" si="18"/>
        <v>2/3</v>
      </c>
      <c r="AR16" s="23" t="str">
        <f t="shared" ca="1" si="19"/>
        <v xml:space="preserve">  </v>
      </c>
      <c r="AS16" s="24">
        <f t="shared" si="20"/>
        <v>0</v>
      </c>
      <c r="AT16" s="23" t="str">
        <f t="shared" ca="1" si="37"/>
        <v xml:space="preserve">  </v>
      </c>
      <c r="AU16" s="23" t="str">
        <f t="shared" ca="1" si="40"/>
        <v xml:space="preserve">  </v>
      </c>
      <c r="AV16" s="23" t="str">
        <f t="shared" si="21"/>
        <v xml:space="preserve">  </v>
      </c>
      <c r="AW16" s="23" t="str">
        <f t="shared" ca="1" si="22"/>
        <v xml:space="preserve">  </v>
      </c>
      <c r="AY16" s="35" t="str">
        <f t="shared" si="23"/>
        <v xml:space="preserve"> </v>
      </c>
      <c r="AZ16" s="23" t="str">
        <f t="shared" ca="1" si="41"/>
        <v xml:space="preserve">  </v>
      </c>
      <c r="BA16" s="36" t="str">
        <f t="shared" si="25"/>
        <v xml:space="preserve"> </v>
      </c>
      <c r="BB16" s="27" t="str">
        <f t="shared" ca="1" si="38"/>
        <v xml:space="preserve">  </v>
      </c>
      <c r="BC16" s="23" t="str">
        <f ca="1">IFERROR(AZ16*AS16,"  ")</f>
        <v xml:space="preserve">  </v>
      </c>
      <c r="BE16" s="51" t="s">
        <v>44</v>
      </c>
      <c r="BF16" s="48" t="s">
        <v>49</v>
      </c>
      <c r="BG16" s="49" t="str">
        <f>IF(WL_No="  ","  ",2/3*h*$AW$29)</f>
        <v xml:space="preserve">  </v>
      </c>
    </row>
    <row r="17" spans="1:59" x14ac:dyDescent="0.25">
      <c r="A17" s="20">
        <f>Tools!$AD16</f>
        <v>11</v>
      </c>
      <c r="B17" s="33" t="str">
        <f t="shared" si="0"/>
        <v xml:space="preserve">  </v>
      </c>
      <c r="C17" s="22">
        <f>IF(A17="  ","  ",IF(AND(A16="  ",A18="  "),"?",IF(A16="  ",2*(A18-A17),IF(A18="  ",2*(A17-A16),2*(A18-A16)))))</f>
        <v>4</v>
      </c>
      <c r="D17" s="23" t="str">
        <f t="shared" si="26"/>
        <v xml:space="preserve">  </v>
      </c>
      <c r="E17" s="24">
        <f t="shared" si="1"/>
        <v>1</v>
      </c>
      <c r="F17" s="23" t="str">
        <f t="shared" si="27"/>
        <v xml:space="preserve">  </v>
      </c>
      <c r="G17" s="23" t="str">
        <f t="shared" si="28"/>
        <v xml:space="preserve">  </v>
      </c>
      <c r="H17" s="23" t="str">
        <f t="shared" si="29"/>
        <v xml:space="preserve">  </v>
      </c>
      <c r="I17" s="23" t="str">
        <f t="shared" si="30"/>
        <v xml:space="preserve">  </v>
      </c>
      <c r="J17" s="4"/>
      <c r="K17" s="37" t="str">
        <f t="shared" si="2"/>
        <v xml:space="preserve"> </v>
      </c>
      <c r="L17" s="23" t="str">
        <f t="shared" si="31"/>
        <v xml:space="preserve">  </v>
      </c>
      <c r="M17" s="38" t="str">
        <f t="shared" si="3"/>
        <v xml:space="preserve"> </v>
      </c>
      <c r="N17" s="27" t="str">
        <f t="shared" si="32"/>
        <v xml:space="preserve">  </v>
      </c>
      <c r="O17" s="23" t="str">
        <f t="shared" si="33"/>
        <v xml:space="preserve">  </v>
      </c>
      <c r="P17" s="4"/>
      <c r="Q17" s="50" t="s">
        <v>50</v>
      </c>
      <c r="R17" s="48" t="s">
        <v>51</v>
      </c>
      <c r="S17" t="str">
        <f>IF(Tools!$L$49="Use 141 rule only",I41,IF(Tools!$L$49="Use 141 and 1331 rules",BG18," "))</f>
        <v xml:space="preserve">  </v>
      </c>
      <c r="W17" s="29">
        <f>IF(AO17="  ","  ",IF(AND(AO16="  ",AO18="  "),"?",IF(AO16="  ",2*(AO18-AO17),IF(AO18="  ",2*(AO17-AO16),2*(AO18-AO16)))))</f>
        <v>4</v>
      </c>
      <c r="X17" s="30" t="str">
        <f t="shared" si="4"/>
        <v>WW</v>
      </c>
      <c r="Y17" s="30" t="str">
        <f t="shared" si="5"/>
        <v>-</v>
      </c>
      <c r="Z17" s="29" t="b">
        <f t="shared" si="6"/>
        <v>0</v>
      </c>
      <c r="AA17" s="29" t="b">
        <f t="shared" si="7"/>
        <v>0</v>
      </c>
      <c r="AB17" s="29" t="str">
        <f t="shared" ca="1" si="8"/>
        <v>++</v>
      </c>
      <c r="AC17" s="29">
        <f t="shared" si="34"/>
        <v>12</v>
      </c>
      <c r="AD17" s="29">
        <f t="shared" ca="1" si="9"/>
        <v>12</v>
      </c>
      <c r="AE17" s="29">
        <v>14</v>
      </c>
      <c r="AF17" s="31">
        <f t="shared" si="42"/>
        <v>10</v>
      </c>
      <c r="AG17" s="29" t="b">
        <f t="shared" si="11"/>
        <v>1</v>
      </c>
      <c r="AH17" s="30" t="str">
        <f t="shared" ca="1" si="43"/>
        <v>141-4</v>
      </c>
      <c r="AI17" s="30" t="str">
        <f t="shared" ca="1" si="13"/>
        <v/>
      </c>
      <c r="AJ17" s="29">
        <f t="shared" ca="1" si="14"/>
        <v>0</v>
      </c>
      <c r="AK17" s="29" t="str">
        <f t="shared" ca="1" si="15"/>
        <v>4/3</v>
      </c>
      <c r="AL17" s="29">
        <f t="shared" ca="1" si="16"/>
        <v>1.3333333333333333</v>
      </c>
      <c r="AM17" s="32">
        <f t="shared" ca="1" si="35"/>
        <v>1.3333333333333333</v>
      </c>
      <c r="AO17" s="20">
        <f>Tools!$AD16</f>
        <v>11</v>
      </c>
      <c r="AP17" s="33" t="str">
        <f t="shared" si="36"/>
        <v xml:space="preserve">  </v>
      </c>
      <c r="AQ17" s="34" t="str">
        <f t="shared" ca="1" si="18"/>
        <v>4/3</v>
      </c>
      <c r="AR17" s="23" t="str">
        <f t="shared" ca="1" si="19"/>
        <v xml:space="preserve">  </v>
      </c>
      <c r="AS17" s="24">
        <f t="shared" si="20"/>
        <v>1</v>
      </c>
      <c r="AT17" s="23" t="str">
        <f t="shared" ca="1" si="37"/>
        <v xml:space="preserve">  </v>
      </c>
      <c r="AU17" s="23" t="str">
        <f t="shared" ca="1" si="40"/>
        <v xml:space="preserve">  </v>
      </c>
      <c r="AV17" s="23" t="str">
        <f t="shared" si="21"/>
        <v xml:space="preserve">  </v>
      </c>
      <c r="AW17" s="23" t="str">
        <f t="shared" ca="1" si="22"/>
        <v xml:space="preserve">  </v>
      </c>
      <c r="AY17" s="35" t="str">
        <f t="shared" si="23"/>
        <v xml:space="preserve"> </v>
      </c>
      <c r="AZ17" s="23" t="str">
        <f t="shared" ca="1" si="41"/>
        <v xml:space="preserve">  </v>
      </c>
      <c r="BA17" s="36" t="str">
        <f t="shared" si="25"/>
        <v xml:space="preserve"> </v>
      </c>
      <c r="BB17" s="27" t="str">
        <f t="shared" ca="1" si="38"/>
        <v xml:space="preserve">  </v>
      </c>
      <c r="BC17" s="23" t="str">
        <f t="shared" ca="1" si="39"/>
        <v xml:space="preserve">  </v>
      </c>
      <c r="BE17" s="50" t="s">
        <v>47</v>
      </c>
      <c r="BF17" s="48" t="s">
        <v>48</v>
      </c>
      <c r="BG17" s="49" t="str">
        <f>IF(WL_No="  ","  ",IL-AWP*(LCF^2))</f>
        <v xml:space="preserve">  </v>
      </c>
    </row>
    <row r="18" spans="1:59" x14ac:dyDescent="0.25">
      <c r="A18" s="20">
        <f>Tools!$AD17</f>
        <v>12</v>
      </c>
      <c r="B18" s="33" t="str">
        <f t="shared" si="0"/>
        <v xml:space="preserve">  </v>
      </c>
      <c r="C18" s="22">
        <f>IF(A18="  ","  ",IF(AND(A17="  ",A19="  "),"?",IF(A17="  ",1*(A19-A18),IF(A19="  ",1*(A18-A17),1*(A19-A17)))))</f>
        <v>2</v>
      </c>
      <c r="D18" s="23" t="str">
        <f t="shared" si="26"/>
        <v xml:space="preserve">  </v>
      </c>
      <c r="E18" s="24">
        <f t="shared" si="1"/>
        <v>2</v>
      </c>
      <c r="F18" s="23" t="str">
        <f t="shared" si="27"/>
        <v xml:space="preserve">  </v>
      </c>
      <c r="G18" s="23" t="str">
        <f t="shared" si="28"/>
        <v xml:space="preserve">  </v>
      </c>
      <c r="H18" s="23" t="str">
        <f t="shared" si="29"/>
        <v xml:space="preserve">  </v>
      </c>
      <c r="I18" s="23" t="str">
        <f t="shared" si="30"/>
        <v xml:space="preserve">  </v>
      </c>
      <c r="J18" s="4"/>
      <c r="K18" s="37" t="str">
        <f t="shared" si="2"/>
        <v xml:space="preserve"> </v>
      </c>
      <c r="L18" s="23" t="str">
        <f t="shared" si="31"/>
        <v xml:space="preserve">  </v>
      </c>
      <c r="M18" s="38" t="str">
        <f t="shared" si="3"/>
        <v xml:space="preserve"> </v>
      </c>
      <c r="N18" s="27" t="str">
        <f t="shared" si="32"/>
        <v xml:space="preserve">  </v>
      </c>
      <c r="O18" s="23" t="str">
        <f t="shared" si="33"/>
        <v xml:space="preserve">  </v>
      </c>
      <c r="P18" s="4"/>
      <c r="Q18" s="50" t="s">
        <v>52</v>
      </c>
      <c r="R18" s="48" t="s">
        <v>53</v>
      </c>
      <c r="S18" t="str">
        <f>IF(Tools!$L$49="Use 141 rule only",I42,IF(Tools!$L$49="Use 141 and 1331 rules",BG19," "))</f>
        <v xml:space="preserve">  </v>
      </c>
      <c r="W18" s="29">
        <f>IF(AO18="  ","  ",IF(AND(AO17="  ",AO19="  "),"?",IF(AO17="  ",1*(AO19-AO18),IF(AO19="  ",1*(AO18-AO17),1*(AO19-AO17)))))</f>
        <v>2</v>
      </c>
      <c r="X18" s="30" t="str">
        <f t="shared" si="4"/>
        <v>WW</v>
      </c>
      <c r="Y18" s="30" t="str">
        <f t="shared" si="5"/>
        <v>-</v>
      </c>
      <c r="Z18" s="29" t="b">
        <f t="shared" si="6"/>
        <v>0</v>
      </c>
      <c r="AA18" s="29" t="b">
        <f t="shared" si="7"/>
        <v>0</v>
      </c>
      <c r="AB18" s="29" t="str">
        <f t="shared" ca="1" si="8"/>
        <v>++</v>
      </c>
      <c r="AC18" s="29">
        <f t="shared" si="34"/>
        <v>11</v>
      </c>
      <c r="AD18" s="29">
        <f t="shared" ca="1" si="9"/>
        <v>11</v>
      </c>
      <c r="AE18" s="29">
        <v>15</v>
      </c>
      <c r="AF18" s="31">
        <f t="shared" si="42"/>
        <v>11</v>
      </c>
      <c r="AG18" s="29" t="b">
        <f t="shared" si="11"/>
        <v>1</v>
      </c>
      <c r="AH18" s="30" t="str">
        <f t="shared" ca="1" si="43"/>
        <v>141-2</v>
      </c>
      <c r="AI18" s="30" t="str">
        <f t="shared" ca="1" si="13"/>
        <v/>
      </c>
      <c r="AJ18" s="29">
        <f t="shared" ca="1" si="14"/>
        <v>0</v>
      </c>
      <c r="AK18" s="29" t="str">
        <f t="shared" ca="1" si="15"/>
        <v>2/3</v>
      </c>
      <c r="AL18" s="29">
        <f t="shared" ca="1" si="16"/>
        <v>0.66666666666666663</v>
      </c>
      <c r="AM18" s="32">
        <f t="shared" ca="1" si="35"/>
        <v>0.66666666666666663</v>
      </c>
      <c r="AO18" s="20">
        <f>Tools!$AD17</f>
        <v>12</v>
      </c>
      <c r="AP18" s="33" t="str">
        <f t="shared" si="36"/>
        <v xml:space="preserve">  </v>
      </c>
      <c r="AQ18" s="34" t="str">
        <f t="shared" ca="1" si="18"/>
        <v>2/3</v>
      </c>
      <c r="AR18" s="23" t="str">
        <f t="shared" ca="1" si="19"/>
        <v xml:space="preserve">  </v>
      </c>
      <c r="AS18" s="24">
        <f t="shared" si="20"/>
        <v>2</v>
      </c>
      <c r="AT18" s="23" t="str">
        <f t="shared" ca="1" si="37"/>
        <v xml:space="preserve">  </v>
      </c>
      <c r="AU18" s="23" t="str">
        <f t="shared" ca="1" si="40"/>
        <v xml:space="preserve">  </v>
      </c>
      <c r="AV18" s="23" t="str">
        <f t="shared" si="21"/>
        <v xml:space="preserve">  </v>
      </c>
      <c r="AW18" s="23" t="str">
        <f t="shared" ca="1" si="22"/>
        <v xml:space="preserve">  </v>
      </c>
      <c r="AY18" s="35" t="str">
        <f t="shared" si="23"/>
        <v xml:space="preserve"> </v>
      </c>
      <c r="AZ18" s="23" t="str">
        <f t="shared" ca="1" si="41"/>
        <v xml:space="preserve">  </v>
      </c>
      <c r="BA18" s="36" t="str">
        <f t="shared" si="25"/>
        <v xml:space="preserve"> </v>
      </c>
      <c r="BB18" s="27" t="str">
        <f t="shared" ca="1" si="38"/>
        <v xml:space="preserve">  </v>
      </c>
      <c r="BC18" s="23" t="str">
        <f t="shared" ca="1" si="39"/>
        <v xml:space="preserve">  </v>
      </c>
      <c r="BE18" s="50" t="s">
        <v>50</v>
      </c>
      <c r="BF18" s="48" t="s">
        <v>54</v>
      </c>
      <c r="BG18" s="49" t="str">
        <f>IF(WL_No="  ","  ",h*$AZ$29)</f>
        <v xml:space="preserve">  </v>
      </c>
    </row>
    <row r="19" spans="1:59" x14ac:dyDescent="0.25">
      <c r="A19" s="20">
        <f>Tools!$AD18</f>
        <v>13</v>
      </c>
      <c r="B19" s="33" t="str">
        <f t="shared" si="0"/>
        <v xml:space="preserve">  </v>
      </c>
      <c r="C19" s="22">
        <f>IF(A19="  ","  ",IF(AND(A18="  ",A20="  "),"?",IF(A18="  ",2*(A20-A19),IF(A20="  ",2*(A19-A18),2*(A20-A18)))))</f>
        <v>4</v>
      </c>
      <c r="D19" s="23" t="str">
        <f t="shared" si="26"/>
        <v xml:space="preserve">  </v>
      </c>
      <c r="E19" s="24">
        <f t="shared" si="1"/>
        <v>3</v>
      </c>
      <c r="F19" s="23" t="str">
        <f t="shared" si="27"/>
        <v xml:space="preserve">  </v>
      </c>
      <c r="G19" s="23" t="str">
        <f t="shared" si="28"/>
        <v xml:space="preserve">  </v>
      </c>
      <c r="H19" s="23" t="str">
        <f t="shared" si="29"/>
        <v xml:space="preserve">  </v>
      </c>
      <c r="I19" s="23" t="str">
        <f t="shared" si="30"/>
        <v xml:space="preserve">  </v>
      </c>
      <c r="J19" s="4"/>
      <c r="K19" s="37" t="str">
        <f t="shared" si="2"/>
        <v xml:space="preserve"> </v>
      </c>
      <c r="L19" s="23" t="str">
        <f t="shared" si="31"/>
        <v xml:space="preserve">  </v>
      </c>
      <c r="M19" s="38" t="str">
        <f t="shared" si="3"/>
        <v xml:space="preserve"> </v>
      </c>
      <c r="N19" s="27" t="str">
        <f t="shared" si="32"/>
        <v xml:space="preserve">  </v>
      </c>
      <c r="O19" s="23" t="str">
        <f t="shared" si="33"/>
        <v xml:space="preserve">  </v>
      </c>
      <c r="P19" s="4"/>
      <c r="Q19" s="50" t="s">
        <v>55</v>
      </c>
      <c r="R19" s="48" t="s">
        <v>56</v>
      </c>
      <c r="S19" t="str">
        <f>IF(Tools!$L$49="Use 141 rule only",I43,IF(Tools!$L$49="Use 141 and 1331 rules",BG20," "))</f>
        <v xml:space="preserve">  </v>
      </c>
      <c r="W19" s="29">
        <f>IF(AO19="  ","  ",IF(AND(AO18="  ",AO20="  "),"?",IF(AO18="  ",2*(AO20-AO19),IF(AO20="  ",2*(AO19-AO18),2*(AO20-AO18)))))</f>
        <v>4</v>
      </c>
      <c r="X19" s="30" t="str">
        <f t="shared" si="4"/>
        <v>WW</v>
      </c>
      <c r="Y19" s="30" t="str">
        <f t="shared" si="5"/>
        <v>-</v>
      </c>
      <c r="Z19" s="29" t="b">
        <f t="shared" si="6"/>
        <v>0</v>
      </c>
      <c r="AA19" s="29" t="b">
        <f t="shared" si="7"/>
        <v>0</v>
      </c>
      <c r="AB19" s="29" t="str">
        <f t="shared" ca="1" si="8"/>
        <v>++</v>
      </c>
      <c r="AC19" s="29">
        <f t="shared" si="34"/>
        <v>10</v>
      </c>
      <c r="AD19" s="29">
        <f t="shared" ca="1" si="9"/>
        <v>10</v>
      </c>
      <c r="AE19" s="29">
        <v>16</v>
      </c>
      <c r="AF19" s="31">
        <f t="shared" si="42"/>
        <v>12</v>
      </c>
      <c r="AG19" s="29" t="b">
        <f t="shared" si="11"/>
        <v>1</v>
      </c>
      <c r="AH19" s="30" t="str">
        <f t="shared" ca="1" si="43"/>
        <v>141-4</v>
      </c>
      <c r="AI19" s="30" t="str">
        <f t="shared" ca="1" si="13"/>
        <v/>
      </c>
      <c r="AJ19" s="29">
        <f t="shared" ca="1" si="14"/>
        <v>0</v>
      </c>
      <c r="AK19" s="29" t="str">
        <f t="shared" ca="1" si="15"/>
        <v>4/3</v>
      </c>
      <c r="AL19" s="29">
        <f t="shared" ca="1" si="16"/>
        <v>1.3333333333333333</v>
      </c>
      <c r="AM19" s="32">
        <f t="shared" ca="1" si="35"/>
        <v>1.3333333333333333</v>
      </c>
      <c r="AO19" s="20">
        <f>Tools!$AD18</f>
        <v>13</v>
      </c>
      <c r="AP19" s="33" t="str">
        <f t="shared" si="36"/>
        <v xml:space="preserve">  </v>
      </c>
      <c r="AQ19" s="34" t="str">
        <f t="shared" ca="1" si="18"/>
        <v>4/3</v>
      </c>
      <c r="AR19" s="23" t="str">
        <f t="shared" ca="1" si="19"/>
        <v xml:space="preserve">  </v>
      </c>
      <c r="AS19" s="24">
        <f t="shared" si="20"/>
        <v>3</v>
      </c>
      <c r="AT19" s="23" t="str">
        <f t="shared" ca="1" si="37"/>
        <v xml:space="preserve">  </v>
      </c>
      <c r="AU19" s="23" t="str">
        <f t="shared" ca="1" si="40"/>
        <v xml:space="preserve">  </v>
      </c>
      <c r="AV19" s="23" t="str">
        <f t="shared" si="21"/>
        <v xml:space="preserve">  </v>
      </c>
      <c r="AW19" s="23" t="str">
        <f t="shared" ca="1" si="22"/>
        <v xml:space="preserve">  </v>
      </c>
      <c r="AY19" s="35" t="str">
        <f t="shared" si="23"/>
        <v xml:space="preserve"> </v>
      </c>
      <c r="AZ19" s="23" t="str">
        <f t="shared" ca="1" si="41"/>
        <v xml:space="preserve">  </v>
      </c>
      <c r="BA19" s="36" t="str">
        <f t="shared" si="25"/>
        <v xml:space="preserve"> </v>
      </c>
      <c r="BB19" s="27" t="str">
        <f t="shared" ca="1" si="38"/>
        <v xml:space="preserve">  </v>
      </c>
      <c r="BC19" s="23" t="str">
        <f t="shared" ca="1" si="39"/>
        <v xml:space="preserve">  </v>
      </c>
      <c r="BE19" s="50" t="s">
        <v>52</v>
      </c>
      <c r="BF19" s="48" t="s">
        <v>53</v>
      </c>
      <c r="BG19" s="49" t="str">
        <f>IF(WL_No="  ","  ",V_Disp*1.025*1.006)</f>
        <v xml:space="preserve">  </v>
      </c>
    </row>
    <row r="20" spans="1:59" x14ac:dyDescent="0.25">
      <c r="A20" s="20">
        <f>Tools!$AD19</f>
        <v>14</v>
      </c>
      <c r="B20" s="33" t="str">
        <f t="shared" si="0"/>
        <v xml:space="preserve">  </v>
      </c>
      <c r="C20" s="22">
        <f>IF(A20="  ","  ",IF(AND(A19="  ",A21="  "),"?",IF(A19="  ",1*(A21-A20),IF(A21="  ",1*(A20-A19),1*(A21-A19)))))</f>
        <v>2</v>
      </c>
      <c r="D20" s="23" t="str">
        <f t="shared" si="26"/>
        <v xml:space="preserve">  </v>
      </c>
      <c r="E20" s="24">
        <f t="shared" si="1"/>
        <v>4</v>
      </c>
      <c r="F20" s="23" t="str">
        <f t="shared" si="27"/>
        <v xml:space="preserve">  </v>
      </c>
      <c r="G20" s="23" t="str">
        <f t="shared" si="28"/>
        <v xml:space="preserve">  </v>
      </c>
      <c r="H20" s="23" t="str">
        <f t="shared" si="29"/>
        <v xml:space="preserve">  </v>
      </c>
      <c r="I20" s="23" t="str">
        <f t="shared" si="30"/>
        <v xml:space="preserve">  </v>
      </c>
      <c r="J20" s="4"/>
      <c r="K20" s="37" t="str">
        <f t="shared" si="2"/>
        <v xml:space="preserve"> </v>
      </c>
      <c r="L20" s="23" t="str">
        <f t="shared" si="31"/>
        <v xml:space="preserve">  </v>
      </c>
      <c r="M20" s="38" t="str">
        <f t="shared" si="3"/>
        <v xml:space="preserve"> </v>
      </c>
      <c r="N20" s="27" t="str">
        <f t="shared" si="32"/>
        <v xml:space="preserve">  </v>
      </c>
      <c r="O20" s="23" t="str">
        <f t="shared" si="33"/>
        <v xml:space="preserve">  </v>
      </c>
      <c r="P20" s="4"/>
      <c r="Q20" s="50" t="s">
        <v>57</v>
      </c>
      <c r="R20" s="48" t="s">
        <v>58</v>
      </c>
      <c r="S20" t="str">
        <f>IF(Tools!$L$49="Use 141 rule only",I44,IF(Tools!$L$49="Use 141 and 1331 rules",BG21," "))</f>
        <v xml:space="preserve">  </v>
      </c>
      <c r="W20" s="29">
        <f>IF(AO20="  ","  ",IF(AND(AO19="  ",AO21="  "),"?",IF(AO19="  ",1*(AO21-AO20),IF(AO21="  ",1*(AO20-AO19),1*(AO21-AO19)))))</f>
        <v>2</v>
      </c>
      <c r="X20" s="30" t="str">
        <f t="shared" si="4"/>
        <v>WW</v>
      </c>
      <c r="Y20" s="30" t="str">
        <f t="shared" si="5"/>
        <v>-</v>
      </c>
      <c r="Z20" s="29" t="b">
        <f t="shared" si="6"/>
        <v>0</v>
      </c>
      <c r="AA20" s="29" t="b">
        <f t="shared" si="7"/>
        <v>0</v>
      </c>
      <c r="AB20" s="29" t="str">
        <f t="shared" ca="1" si="8"/>
        <v>++</v>
      </c>
      <c r="AC20" s="29">
        <f t="shared" si="34"/>
        <v>9</v>
      </c>
      <c r="AD20" s="29">
        <f t="shared" ca="1" si="9"/>
        <v>9</v>
      </c>
      <c r="AE20" s="29">
        <v>17</v>
      </c>
      <c r="AF20" s="31">
        <f t="shared" si="42"/>
        <v>13</v>
      </c>
      <c r="AG20" s="29" t="b">
        <f t="shared" si="11"/>
        <v>1</v>
      </c>
      <c r="AH20" s="30" t="str">
        <f t="shared" ca="1" si="43"/>
        <v>141-2</v>
      </c>
      <c r="AI20" s="30" t="str">
        <f t="shared" ca="1" si="13"/>
        <v/>
      </c>
      <c r="AJ20" s="29">
        <f t="shared" ca="1" si="14"/>
        <v>0</v>
      </c>
      <c r="AK20" s="29" t="str">
        <f t="shared" ca="1" si="15"/>
        <v>2/3</v>
      </c>
      <c r="AL20" s="29">
        <f t="shared" ca="1" si="16"/>
        <v>0.66666666666666663</v>
      </c>
      <c r="AM20" s="32">
        <f t="shared" ca="1" si="35"/>
        <v>0.66666666666666663</v>
      </c>
      <c r="AO20" s="20">
        <f>Tools!$AD19</f>
        <v>14</v>
      </c>
      <c r="AP20" s="33" t="str">
        <f t="shared" si="36"/>
        <v xml:space="preserve">  </v>
      </c>
      <c r="AQ20" s="34" t="str">
        <f t="shared" ca="1" si="18"/>
        <v>2/3</v>
      </c>
      <c r="AR20" s="23" t="str">
        <f t="shared" ca="1" si="19"/>
        <v xml:space="preserve">  </v>
      </c>
      <c r="AS20" s="24">
        <f t="shared" si="20"/>
        <v>4</v>
      </c>
      <c r="AT20" s="23" t="str">
        <f t="shared" ca="1" si="37"/>
        <v xml:space="preserve">  </v>
      </c>
      <c r="AU20" s="23" t="str">
        <f t="shared" ca="1" si="40"/>
        <v xml:space="preserve">  </v>
      </c>
      <c r="AV20" s="23" t="str">
        <f t="shared" si="21"/>
        <v xml:space="preserve">  </v>
      </c>
      <c r="AW20" s="23" t="str">
        <f t="shared" ca="1" si="22"/>
        <v xml:space="preserve">  </v>
      </c>
      <c r="AY20" s="35" t="str">
        <f t="shared" si="23"/>
        <v xml:space="preserve"> </v>
      </c>
      <c r="AZ20" s="23" t="str">
        <f t="shared" ca="1" si="41"/>
        <v xml:space="preserve">  </v>
      </c>
      <c r="BA20" s="36" t="str">
        <f t="shared" si="25"/>
        <v xml:space="preserve"> </v>
      </c>
      <c r="BB20" s="27" t="str">
        <f t="shared" ca="1" si="38"/>
        <v xml:space="preserve">  </v>
      </c>
      <c r="BC20" s="23" t="str">
        <f t="shared" ca="1" si="39"/>
        <v xml:space="preserve">  </v>
      </c>
      <c r="BE20" s="50" t="s">
        <v>55</v>
      </c>
      <c r="BF20" s="48" t="s">
        <v>59</v>
      </c>
      <c r="BG20" s="49" t="str">
        <f>IF(WL_No="  ","  ",h*$BB$29)</f>
        <v xml:space="preserve">  </v>
      </c>
    </row>
    <row r="21" spans="1:59" x14ac:dyDescent="0.25">
      <c r="A21" s="20">
        <f>Tools!$AD20</f>
        <v>15</v>
      </c>
      <c r="B21" s="33" t="str">
        <f t="shared" si="0"/>
        <v xml:space="preserve">  </v>
      </c>
      <c r="C21" s="22">
        <f>IF(A21="  ","  ",IF(AND(A20="  ",A22="  "),"?",IF(A20="  ",2*(A22-A21),IF(A22="  ",2*(A21-A20),2*(A22-A20)))))</f>
        <v>4</v>
      </c>
      <c r="D21" s="23" t="str">
        <f t="shared" si="26"/>
        <v xml:space="preserve">  </v>
      </c>
      <c r="E21" s="24">
        <f t="shared" si="1"/>
        <v>5</v>
      </c>
      <c r="F21" s="23" t="str">
        <f t="shared" si="27"/>
        <v xml:space="preserve">  </v>
      </c>
      <c r="G21" s="23" t="str">
        <f t="shared" si="28"/>
        <v xml:space="preserve">  </v>
      </c>
      <c r="H21" s="23" t="str">
        <f t="shared" si="29"/>
        <v xml:space="preserve">  </v>
      </c>
      <c r="I21" s="23" t="str">
        <f t="shared" si="30"/>
        <v xml:space="preserve">  </v>
      </c>
      <c r="J21" s="4"/>
      <c r="K21" s="37" t="str">
        <f t="shared" si="2"/>
        <v xml:space="preserve"> </v>
      </c>
      <c r="L21" s="23" t="str">
        <f t="shared" si="31"/>
        <v xml:space="preserve">  </v>
      </c>
      <c r="M21" s="38" t="str">
        <f t="shared" si="3"/>
        <v xml:space="preserve"> </v>
      </c>
      <c r="N21" s="27" t="str">
        <f t="shared" si="32"/>
        <v xml:space="preserve">  </v>
      </c>
      <c r="O21" s="23" t="str">
        <f t="shared" si="33"/>
        <v xml:space="preserve">  </v>
      </c>
      <c r="P21" s="4"/>
      <c r="Q21" s="50" t="s">
        <v>60</v>
      </c>
      <c r="R21" s="48" t="s">
        <v>61</v>
      </c>
      <c r="S21" t="str">
        <f>IF(Tools!$L$49="Use 141 rule only",I45,IF(Tools!$L$49="Use 141 and 1331 rules",BG22," "))</f>
        <v xml:space="preserve">  </v>
      </c>
      <c r="W21" s="29">
        <f>IF(AO21="  ","  ",IF(AND(AO20="  ",AO22="  "),"?",IF(AO20="  ",2*(AO22-AO21),IF(AO22="  ",2*(AO21-AO20),2*(AO22-AO20)))))</f>
        <v>4</v>
      </c>
      <c r="X21" s="30" t="str">
        <f t="shared" si="4"/>
        <v>WW</v>
      </c>
      <c r="Y21" s="30" t="str">
        <f t="shared" si="5"/>
        <v>-</v>
      </c>
      <c r="Z21" s="29" t="b">
        <f t="shared" si="6"/>
        <v>0</v>
      </c>
      <c r="AA21" s="29" t="b">
        <f t="shared" si="7"/>
        <v>0</v>
      </c>
      <c r="AB21" s="29" t="str">
        <f t="shared" ca="1" si="8"/>
        <v>++</v>
      </c>
      <c r="AC21" s="29">
        <f t="shared" si="34"/>
        <v>8</v>
      </c>
      <c r="AD21" s="29">
        <f t="shared" ca="1" si="9"/>
        <v>8</v>
      </c>
      <c r="AE21" s="29">
        <v>18</v>
      </c>
      <c r="AF21" s="31">
        <f t="shared" si="42"/>
        <v>14</v>
      </c>
      <c r="AG21" s="29" t="b">
        <f t="shared" si="11"/>
        <v>1</v>
      </c>
      <c r="AH21" s="30" t="str">
        <f t="shared" ca="1" si="43"/>
        <v>141-4</v>
      </c>
      <c r="AI21" s="30" t="str">
        <f t="shared" ca="1" si="13"/>
        <v/>
      </c>
      <c r="AJ21" s="29">
        <f t="shared" ca="1" si="14"/>
        <v>0</v>
      </c>
      <c r="AK21" s="29" t="str">
        <f t="shared" ca="1" si="15"/>
        <v>4/3</v>
      </c>
      <c r="AL21" s="29">
        <f t="shared" ca="1" si="16"/>
        <v>1.3333333333333333</v>
      </c>
      <c r="AM21" s="32">
        <f t="shared" ca="1" si="35"/>
        <v>1.3333333333333333</v>
      </c>
      <c r="AO21" s="20">
        <f>Tools!$AD20</f>
        <v>15</v>
      </c>
      <c r="AP21" s="33" t="str">
        <f t="shared" si="36"/>
        <v xml:space="preserve">  </v>
      </c>
      <c r="AQ21" s="34" t="str">
        <f t="shared" ca="1" si="18"/>
        <v>4/3</v>
      </c>
      <c r="AR21" s="23" t="str">
        <f t="shared" ca="1" si="19"/>
        <v xml:space="preserve">  </v>
      </c>
      <c r="AS21" s="24">
        <f t="shared" si="20"/>
        <v>5</v>
      </c>
      <c r="AT21" s="23" t="str">
        <f t="shared" ca="1" si="37"/>
        <v xml:space="preserve">  </v>
      </c>
      <c r="AU21" s="23" t="str">
        <f t="shared" ca="1" si="40"/>
        <v xml:space="preserve">  </v>
      </c>
      <c r="AV21" s="23" t="str">
        <f t="shared" si="21"/>
        <v xml:space="preserve">  </v>
      </c>
      <c r="AW21" s="23" t="str">
        <f t="shared" ca="1" si="22"/>
        <v xml:space="preserve">  </v>
      </c>
      <c r="AY21" s="35" t="str">
        <f t="shared" si="23"/>
        <v xml:space="preserve"> </v>
      </c>
      <c r="AZ21" s="23" t="str">
        <f t="shared" ca="1" si="41"/>
        <v xml:space="preserve">  </v>
      </c>
      <c r="BA21" s="36" t="str">
        <f t="shared" si="25"/>
        <v xml:space="preserve"> </v>
      </c>
      <c r="BB21" s="27" t="str">
        <f t="shared" ca="1" si="38"/>
        <v xml:space="preserve">  </v>
      </c>
      <c r="BC21" s="23" t="str">
        <f t="shared" ca="1" si="39"/>
        <v xml:space="preserve">  </v>
      </c>
      <c r="BE21" s="50" t="s">
        <v>57</v>
      </c>
      <c r="BF21" s="48" t="s">
        <v>62</v>
      </c>
      <c r="BG21" s="49" t="str">
        <f>IF(WL_No="  ","  ",(h^2)*$BC$29)</f>
        <v xml:space="preserve">  </v>
      </c>
    </row>
    <row r="22" spans="1:59" x14ac:dyDescent="0.25">
      <c r="A22" s="20">
        <f>Tools!$AD21</f>
        <v>16</v>
      </c>
      <c r="B22" s="33" t="str">
        <f t="shared" si="0"/>
        <v xml:space="preserve">  </v>
      </c>
      <c r="C22" s="22">
        <f>IF(A22="  ","  ",IF(AND(A21="  ",A23="  "),"?",IF(A21="  ",1*(A23-A22),IF(A23="  ",1*(A22-A21),1*(A23-A21)))))</f>
        <v>2</v>
      </c>
      <c r="D22" s="23" t="str">
        <f t="shared" si="26"/>
        <v xml:space="preserve">  </v>
      </c>
      <c r="E22" s="24">
        <f t="shared" si="1"/>
        <v>6</v>
      </c>
      <c r="F22" s="23" t="str">
        <f t="shared" si="27"/>
        <v xml:space="preserve">  </v>
      </c>
      <c r="G22" s="23" t="str">
        <f t="shared" si="28"/>
        <v xml:space="preserve">  </v>
      </c>
      <c r="H22" s="23" t="str">
        <f t="shared" si="29"/>
        <v xml:space="preserve">  </v>
      </c>
      <c r="I22" s="23" t="str">
        <f t="shared" si="30"/>
        <v xml:space="preserve">  </v>
      </c>
      <c r="J22" s="4"/>
      <c r="K22" s="37" t="str">
        <f t="shared" si="2"/>
        <v xml:space="preserve"> </v>
      </c>
      <c r="L22" s="23" t="str">
        <f t="shared" si="31"/>
        <v xml:space="preserve">  </v>
      </c>
      <c r="M22" s="38" t="str">
        <f t="shared" si="3"/>
        <v xml:space="preserve"> </v>
      </c>
      <c r="N22" s="27" t="str">
        <f t="shared" si="32"/>
        <v xml:space="preserve">  </v>
      </c>
      <c r="O22" s="23" t="str">
        <f t="shared" si="33"/>
        <v xml:space="preserve">  </v>
      </c>
      <c r="P22" s="4"/>
      <c r="Q22" s="50" t="s">
        <v>63</v>
      </c>
      <c r="R22" s="48" t="s">
        <v>64</v>
      </c>
      <c r="S22" t="str">
        <f>IF(Tools!$L$49="Use 141 rule only",I46,IF(Tools!$L$49="Use 141 and 1331 rules",BG23," "))</f>
        <v xml:space="preserve">  </v>
      </c>
      <c r="W22" s="29">
        <f>IF(AO22="  ","  ",IF(AND(AO21="  ",AO23="  "),"?",IF(AO21="  ",1*(AO23-AO22),IF(AO23="  ",1*(AO22-AO21),1*(AO23-AO21)))))</f>
        <v>2</v>
      </c>
      <c r="X22" s="30" t="str">
        <f t="shared" si="4"/>
        <v>WW</v>
      </c>
      <c r="Y22" s="30" t="str">
        <f t="shared" si="5"/>
        <v>-</v>
      </c>
      <c r="Z22" s="29" t="b">
        <f t="shared" si="6"/>
        <v>0</v>
      </c>
      <c r="AA22" s="29" t="b">
        <f t="shared" si="7"/>
        <v>0</v>
      </c>
      <c r="AB22" s="29" t="str">
        <f t="shared" ca="1" si="8"/>
        <v>++</v>
      </c>
      <c r="AC22" s="29">
        <f t="shared" si="34"/>
        <v>7</v>
      </c>
      <c r="AD22" s="29">
        <f t="shared" ca="1" si="9"/>
        <v>7</v>
      </c>
      <c r="AE22" s="29">
        <v>19</v>
      </c>
      <c r="AF22" s="31">
        <f t="shared" si="42"/>
        <v>15</v>
      </c>
      <c r="AG22" s="29" t="b">
        <f t="shared" si="11"/>
        <v>1</v>
      </c>
      <c r="AH22" s="30" t="str">
        <f t="shared" ca="1" si="43"/>
        <v>141-2</v>
      </c>
      <c r="AI22" s="30" t="str">
        <f t="shared" ca="1" si="13"/>
        <v/>
      </c>
      <c r="AJ22" s="29">
        <f t="shared" ca="1" si="14"/>
        <v>0</v>
      </c>
      <c r="AK22" s="29" t="str">
        <f t="shared" ca="1" si="15"/>
        <v>2/3</v>
      </c>
      <c r="AL22" s="29">
        <f t="shared" ca="1" si="16"/>
        <v>0.66666666666666663</v>
      </c>
      <c r="AM22" s="32">
        <f t="shared" ca="1" si="35"/>
        <v>0.66666666666666663</v>
      </c>
      <c r="AO22" s="20">
        <f>Tools!$AD21</f>
        <v>16</v>
      </c>
      <c r="AP22" s="33" t="str">
        <f t="shared" si="36"/>
        <v xml:space="preserve">  </v>
      </c>
      <c r="AQ22" s="34" t="str">
        <f t="shared" ca="1" si="18"/>
        <v>2/3</v>
      </c>
      <c r="AR22" s="23" t="str">
        <f t="shared" ca="1" si="19"/>
        <v xml:space="preserve">  </v>
      </c>
      <c r="AS22" s="24">
        <f t="shared" si="20"/>
        <v>6</v>
      </c>
      <c r="AT22" s="23" t="str">
        <f t="shared" ca="1" si="37"/>
        <v xml:space="preserve">  </v>
      </c>
      <c r="AU22" s="23" t="str">
        <f t="shared" ca="1" si="40"/>
        <v xml:space="preserve">  </v>
      </c>
      <c r="AV22" s="23" t="str">
        <f t="shared" si="21"/>
        <v xml:space="preserve">  </v>
      </c>
      <c r="AW22" s="23" t="str">
        <f t="shared" ca="1" si="22"/>
        <v xml:space="preserve">  </v>
      </c>
      <c r="AY22" s="35" t="str">
        <f t="shared" si="23"/>
        <v xml:space="preserve"> </v>
      </c>
      <c r="AZ22" s="23" t="str">
        <f t="shared" ca="1" si="41"/>
        <v xml:space="preserve">  </v>
      </c>
      <c r="BA22" s="36" t="str">
        <f t="shared" si="25"/>
        <v xml:space="preserve"> </v>
      </c>
      <c r="BB22" s="27" t="str">
        <f t="shared" ca="1" si="38"/>
        <v xml:space="preserve">  </v>
      </c>
      <c r="BC22" s="23" t="str">
        <f t="shared" ca="1" si="39"/>
        <v xml:space="preserve">  </v>
      </c>
      <c r="BE22" s="50" t="s">
        <v>60</v>
      </c>
      <c r="BF22" s="48" t="s">
        <v>61</v>
      </c>
      <c r="BG22" s="49" t="str">
        <f>IF(WL_No="  ","  ",IF/V_Disp)</f>
        <v xml:space="preserve">  </v>
      </c>
    </row>
    <row r="23" spans="1:59" x14ac:dyDescent="0.25">
      <c r="A23" s="20">
        <f>Tools!$AD22</f>
        <v>17</v>
      </c>
      <c r="B23" s="33" t="str">
        <f t="shared" si="0"/>
        <v xml:space="preserve">  </v>
      </c>
      <c r="C23" s="22">
        <f>IF(A23="  ","  ",IF(AND(A22="  ",A24="  "),"?",IF(A22="  ",2*(A24-A23),IF(A24="  ",2*(A23-A22),2*(A24-A22)))))</f>
        <v>4</v>
      </c>
      <c r="D23" s="23" t="str">
        <f t="shared" si="26"/>
        <v xml:space="preserve">  </v>
      </c>
      <c r="E23" s="24">
        <f t="shared" si="1"/>
        <v>7</v>
      </c>
      <c r="F23" s="23" t="str">
        <f t="shared" si="27"/>
        <v xml:space="preserve">  </v>
      </c>
      <c r="G23" s="23" t="str">
        <f t="shared" si="28"/>
        <v xml:space="preserve">  </v>
      </c>
      <c r="H23" s="23" t="str">
        <f t="shared" si="29"/>
        <v xml:space="preserve">  </v>
      </c>
      <c r="I23" s="23" t="str">
        <f t="shared" si="30"/>
        <v xml:space="preserve">  </v>
      </c>
      <c r="J23" s="4"/>
      <c r="K23" s="37" t="str">
        <f t="shared" si="2"/>
        <v xml:space="preserve"> </v>
      </c>
      <c r="L23" s="23" t="str">
        <f t="shared" si="31"/>
        <v xml:space="preserve">  </v>
      </c>
      <c r="M23" s="38" t="str">
        <f t="shared" si="3"/>
        <v xml:space="preserve"> </v>
      </c>
      <c r="N23" s="27" t="str">
        <f t="shared" si="32"/>
        <v xml:space="preserve">  </v>
      </c>
      <c r="O23" s="23" t="str">
        <f t="shared" si="33"/>
        <v xml:space="preserve">  </v>
      </c>
      <c r="P23" s="4"/>
      <c r="Q23" s="50" t="s">
        <v>65</v>
      </c>
      <c r="R23" s="48" t="s">
        <v>66</v>
      </c>
      <c r="S23" t="str">
        <f>IF(Tools!$L$49="Use 141 rule only",I47,IF(Tools!$L$49="Use 141 and 1331 rules",BG24," "))</f>
        <v xml:space="preserve">  </v>
      </c>
      <c r="W23" s="29">
        <f>IF(AO23="  ","  ",IF(AND(AO22="  ",AO24="  "),"?",IF(AO22="  ",2*(AO24-AO23),IF(AO24="  ",2*(AO23-AO22),2*(AO24-AO22)))))</f>
        <v>4</v>
      </c>
      <c r="X23" s="30" t="str">
        <f t="shared" si="4"/>
        <v>WW</v>
      </c>
      <c r="Y23" s="30" t="str">
        <f t="shared" si="5"/>
        <v>-</v>
      </c>
      <c r="Z23" s="29" t="b">
        <f t="shared" si="6"/>
        <v>0</v>
      </c>
      <c r="AA23" s="29" t="b">
        <f t="shared" si="7"/>
        <v>0</v>
      </c>
      <c r="AB23" s="29" t="str">
        <f t="shared" ca="1" si="8"/>
        <v>++</v>
      </c>
      <c r="AC23" s="29">
        <f t="shared" si="34"/>
        <v>6</v>
      </c>
      <c r="AD23" s="29">
        <f t="shared" ca="1" si="9"/>
        <v>6</v>
      </c>
      <c r="AE23" s="29">
        <v>20</v>
      </c>
      <c r="AF23" s="31">
        <f t="shared" si="42"/>
        <v>16</v>
      </c>
      <c r="AG23" s="29" t="b">
        <f t="shared" si="11"/>
        <v>1</v>
      </c>
      <c r="AH23" s="30" t="str">
        <f t="shared" ca="1" si="43"/>
        <v>141-4</v>
      </c>
      <c r="AI23" s="30" t="str">
        <f t="shared" ca="1" si="13"/>
        <v/>
      </c>
      <c r="AJ23" s="29">
        <f t="shared" ca="1" si="14"/>
        <v>0</v>
      </c>
      <c r="AK23" s="29" t="str">
        <f t="shared" ca="1" si="15"/>
        <v>4/3</v>
      </c>
      <c r="AL23" s="29">
        <f t="shared" ca="1" si="16"/>
        <v>1.3333333333333333</v>
      </c>
      <c r="AM23" s="32">
        <f t="shared" ca="1" si="35"/>
        <v>1.3333333333333333</v>
      </c>
      <c r="AO23" s="20">
        <f>Tools!$AD22</f>
        <v>17</v>
      </c>
      <c r="AP23" s="33" t="str">
        <f t="shared" si="36"/>
        <v xml:space="preserve">  </v>
      </c>
      <c r="AQ23" s="34" t="str">
        <f t="shared" ca="1" si="18"/>
        <v>4/3</v>
      </c>
      <c r="AR23" s="23" t="str">
        <f t="shared" ca="1" si="19"/>
        <v xml:space="preserve">  </v>
      </c>
      <c r="AS23" s="24">
        <f t="shared" si="20"/>
        <v>7</v>
      </c>
      <c r="AT23" s="23" t="str">
        <f t="shared" ca="1" si="37"/>
        <v xml:space="preserve">  </v>
      </c>
      <c r="AU23" s="23" t="str">
        <f t="shared" ca="1" si="40"/>
        <v xml:space="preserve">  </v>
      </c>
      <c r="AV23" s="23" t="str">
        <f t="shared" si="21"/>
        <v xml:space="preserve">  </v>
      </c>
      <c r="AW23" s="23" t="str">
        <f t="shared" ca="1" si="22"/>
        <v xml:space="preserve">  </v>
      </c>
      <c r="AY23" s="35" t="str">
        <f t="shared" si="23"/>
        <v xml:space="preserve"> </v>
      </c>
      <c r="AZ23" s="23" t="str">
        <f t="shared" ca="1" si="41"/>
        <v xml:space="preserve">  </v>
      </c>
      <c r="BA23" s="36" t="str">
        <f t="shared" si="25"/>
        <v xml:space="preserve"> </v>
      </c>
      <c r="BB23" s="27" t="str">
        <f t="shared" ca="1" si="38"/>
        <v xml:space="preserve">  </v>
      </c>
      <c r="BC23" s="23" t="str">
        <f t="shared" ca="1" si="39"/>
        <v xml:space="preserve">  </v>
      </c>
      <c r="BE23" s="50" t="s">
        <v>63</v>
      </c>
      <c r="BF23" s="48" t="s">
        <v>64</v>
      </c>
      <c r="BG23" s="49" t="str">
        <f>IF(WL_No="  ","  ",IT/V_Disp)</f>
        <v xml:space="preserve">  </v>
      </c>
    </row>
    <row r="24" spans="1:59" x14ac:dyDescent="0.25">
      <c r="A24" s="20">
        <f>Tools!$AD23</f>
        <v>18</v>
      </c>
      <c r="B24" s="33" t="str">
        <f t="shared" si="0"/>
        <v xml:space="preserve">  </v>
      </c>
      <c r="C24" s="22">
        <f>IF(A24="  ","  ",IF(AND(A23="  ",A25="  "),"?",IF(A23="  ",1*(A25-A24),IF(A25="  ",1*(A24-A23),1*(A25-A23)))))</f>
        <v>1.5</v>
      </c>
      <c r="D24" s="23" t="str">
        <f t="shared" si="26"/>
        <v xml:space="preserve">  </v>
      </c>
      <c r="E24" s="24">
        <f t="shared" si="1"/>
        <v>8</v>
      </c>
      <c r="F24" s="23" t="str">
        <f t="shared" si="27"/>
        <v xml:space="preserve">  </v>
      </c>
      <c r="G24" s="23" t="str">
        <f t="shared" si="28"/>
        <v xml:space="preserve">  </v>
      </c>
      <c r="H24" s="23" t="str">
        <f t="shared" si="29"/>
        <v xml:space="preserve">  </v>
      </c>
      <c r="I24" s="23" t="str">
        <f t="shared" si="30"/>
        <v xml:space="preserve">  </v>
      </c>
      <c r="J24" s="4"/>
      <c r="K24" s="37" t="str">
        <f t="shared" si="2"/>
        <v xml:space="preserve"> </v>
      </c>
      <c r="L24" s="23" t="str">
        <f t="shared" si="31"/>
        <v xml:space="preserve">  </v>
      </c>
      <c r="M24" s="38" t="str">
        <f t="shared" si="3"/>
        <v xml:space="preserve"> </v>
      </c>
      <c r="N24" s="27" t="str">
        <f t="shared" si="32"/>
        <v xml:space="preserve">  </v>
      </c>
      <c r="O24" s="23" t="str">
        <f t="shared" si="33"/>
        <v xml:space="preserve">  </v>
      </c>
      <c r="P24" s="4"/>
      <c r="Q24" s="50" t="s">
        <v>67</v>
      </c>
      <c r="R24" s="48" t="s">
        <v>68</v>
      </c>
      <c r="S24" t="str">
        <f>IF(Tools!$L$49="Use 141 rule only",I48,IF(Tools!$L$49="Use 141 and 1331 rules",BG25," "))</f>
        <v xml:space="preserve">  </v>
      </c>
      <c r="W24" s="29">
        <f>IF(AO24="  ","  ",IF(AND(AO23="  ",AO25="  "),"?",IF(AO23="  ",1*(AO25-AO24),IF(AO25="  ",1*(AO24-AO23),1*(AO25-AO23)))))</f>
        <v>1.5</v>
      </c>
      <c r="X24" s="30" t="str">
        <f t="shared" si="4"/>
        <v>WD</v>
      </c>
      <c r="Y24" s="30" t="str">
        <f t="shared" si="5"/>
        <v>-</v>
      </c>
      <c r="Z24" s="29" t="b">
        <f t="shared" si="6"/>
        <v>1</v>
      </c>
      <c r="AA24" s="29" t="b">
        <f t="shared" si="7"/>
        <v>1</v>
      </c>
      <c r="AB24" s="29" t="str">
        <f t="shared" ca="1" si="8"/>
        <v>141-1</v>
      </c>
      <c r="AC24" s="29">
        <f t="shared" si="34"/>
        <v>5</v>
      </c>
      <c r="AD24" s="29">
        <f t="shared" ca="1" si="9"/>
        <v>5</v>
      </c>
      <c r="AE24" s="29">
        <v>21</v>
      </c>
      <c r="AF24" s="31">
        <f t="shared" si="42"/>
        <v>17</v>
      </c>
      <c r="AG24" s="29" t="b">
        <f t="shared" si="11"/>
        <v>1</v>
      </c>
      <c r="AH24" s="30" t="str">
        <f t="shared" ca="1" si="43"/>
        <v>141-1</v>
      </c>
      <c r="AI24" s="30" t="str">
        <f t="shared" ca="1" si="13"/>
        <v>(1/2)*(1/3)</v>
      </c>
      <c r="AJ24" s="29">
        <f t="shared" ca="1" si="14"/>
        <v>0.16666666666666666</v>
      </c>
      <c r="AK24" s="29" t="str">
        <f t="shared" ca="1" si="15"/>
        <v>1/3</v>
      </c>
      <c r="AL24" s="29">
        <f t="shared" ca="1" si="16"/>
        <v>0.33333333333333331</v>
      </c>
      <c r="AM24" s="32">
        <f t="shared" ca="1" si="35"/>
        <v>0.5</v>
      </c>
      <c r="AO24" s="20">
        <f>Tools!$AD23</f>
        <v>18</v>
      </c>
      <c r="AP24" s="33" t="str">
        <f t="shared" si="36"/>
        <v xml:space="preserve">  </v>
      </c>
      <c r="AQ24" s="34" t="str">
        <f t="shared" ca="1" si="18"/>
        <v>(1/2)*(1/3)+1/3</v>
      </c>
      <c r="AR24" s="23" t="str">
        <f t="shared" ca="1" si="19"/>
        <v xml:space="preserve">  </v>
      </c>
      <c r="AS24" s="24">
        <f t="shared" si="20"/>
        <v>8</v>
      </c>
      <c r="AT24" s="23" t="str">
        <f t="shared" ca="1" si="37"/>
        <v xml:space="preserve">  </v>
      </c>
      <c r="AU24" s="23" t="str">
        <f t="shared" ca="1" si="40"/>
        <v xml:space="preserve">  </v>
      </c>
      <c r="AV24" s="23" t="str">
        <f t="shared" si="21"/>
        <v xml:space="preserve">  </v>
      </c>
      <c r="AW24" s="23" t="str">
        <f t="shared" ca="1" si="22"/>
        <v xml:space="preserve">  </v>
      </c>
      <c r="AY24" s="35" t="str">
        <f t="shared" si="23"/>
        <v xml:space="preserve"> </v>
      </c>
      <c r="AZ24" s="23" t="str">
        <f t="shared" ca="1" si="41"/>
        <v xml:space="preserve">  </v>
      </c>
      <c r="BA24" s="36" t="str">
        <f t="shared" si="25"/>
        <v xml:space="preserve"> </v>
      </c>
      <c r="BB24" s="27" t="str">
        <f t="shared" ca="1" si="38"/>
        <v xml:space="preserve">  </v>
      </c>
      <c r="BC24" s="23" t="str">
        <f t="shared" ca="1" si="39"/>
        <v xml:space="preserve">  </v>
      </c>
      <c r="BE24" s="50" t="s">
        <v>65</v>
      </c>
      <c r="BF24" s="48" t="s">
        <v>66</v>
      </c>
      <c r="BG24" s="49" t="str">
        <f>IF(WL_No="  ","  ",MT/V_Disp)</f>
        <v xml:space="preserve">  </v>
      </c>
    </row>
    <row r="25" spans="1:59" x14ac:dyDescent="0.25">
      <c r="A25" s="20">
        <f>Tools!$AD24</f>
        <v>18.5</v>
      </c>
      <c r="B25" s="33" t="str">
        <f t="shared" si="0"/>
        <v xml:space="preserve">  </v>
      </c>
      <c r="C25" s="22">
        <f>IF(A25="  ","  ",IF(AND(A24="  ",A26="  "),"?",IF(A24="  ",2*(A26-A25),IF(A26="  ",2*(A25-A24),2*(A26-A24)))))</f>
        <v>2</v>
      </c>
      <c r="D25" s="23" t="str">
        <f t="shared" si="26"/>
        <v xml:space="preserve">  </v>
      </c>
      <c r="E25" s="24">
        <f t="shared" si="1"/>
        <v>8.5</v>
      </c>
      <c r="F25" s="23" t="str">
        <f t="shared" si="27"/>
        <v xml:space="preserve">  </v>
      </c>
      <c r="G25" s="23" t="str">
        <f t="shared" si="28"/>
        <v xml:space="preserve">  </v>
      </c>
      <c r="H25" s="23" t="str">
        <f t="shared" si="29"/>
        <v xml:space="preserve">  </v>
      </c>
      <c r="I25" s="23" t="str">
        <f t="shared" si="30"/>
        <v xml:space="preserve">  </v>
      </c>
      <c r="J25" s="4"/>
      <c r="K25" s="37" t="str">
        <f t="shared" si="2"/>
        <v xml:space="preserve"> </v>
      </c>
      <c r="L25" s="23" t="str">
        <f t="shared" si="31"/>
        <v xml:space="preserve">  </v>
      </c>
      <c r="M25" s="38" t="str">
        <f t="shared" si="3"/>
        <v xml:space="preserve"> </v>
      </c>
      <c r="N25" s="27" t="str">
        <f t="shared" si="32"/>
        <v xml:space="preserve">  </v>
      </c>
      <c r="O25" s="23" t="str">
        <f t="shared" si="33"/>
        <v xml:space="preserve">  </v>
      </c>
      <c r="P25" s="4"/>
      <c r="Q25" s="50" t="s">
        <v>69</v>
      </c>
      <c r="R25" s="48" t="s">
        <v>70</v>
      </c>
      <c r="S25" t="str">
        <f>IF(Tools!$L$49="Use 141 rule only",I49,IF(Tools!$L$49="Use 141 and 1331 rules",BG26," "))</f>
        <v xml:space="preserve">  </v>
      </c>
      <c r="W25" s="29">
        <f>IF(AO25="  ","  ",IF(AND(AO24="  ",AO26="  "),"?",IF(AO24="  ",2*(AO26-AO25),IF(AO26="  ",2*(AO25-AO24),2*(AO26-AO24)))))</f>
        <v>2</v>
      </c>
      <c r="X25" s="30" t="str">
        <f t="shared" si="4"/>
        <v>DD</v>
      </c>
      <c r="Y25" s="30" t="str">
        <f t="shared" si="5"/>
        <v>-</v>
      </c>
      <c r="Z25" s="29" t="b">
        <f t="shared" si="6"/>
        <v>1</v>
      </c>
      <c r="AA25" s="29" t="b">
        <f t="shared" si="7"/>
        <v>1</v>
      </c>
      <c r="AB25" s="29" t="str">
        <f t="shared" ca="1" si="8"/>
        <v>141-4</v>
      </c>
      <c r="AC25" s="29">
        <f t="shared" si="34"/>
        <v>4</v>
      </c>
      <c r="AD25" s="29">
        <f t="shared" ca="1" si="9"/>
        <v>4</v>
      </c>
      <c r="AE25" s="29">
        <v>22</v>
      </c>
      <c r="AF25" s="31">
        <f t="shared" si="42"/>
        <v>18</v>
      </c>
      <c r="AG25" s="29" t="b">
        <f t="shared" si="11"/>
        <v>0</v>
      </c>
      <c r="AH25" s="30" t="str">
        <f t="shared" si="43"/>
        <v>-</v>
      </c>
      <c r="AI25" s="30" t="str">
        <f t="shared" ca="1" si="13"/>
        <v>(1/2)*(4/3)</v>
      </c>
      <c r="AJ25" s="29">
        <f t="shared" ca="1" si="14"/>
        <v>0.66666666666666663</v>
      </c>
      <c r="AK25" s="29" t="str">
        <f t="shared" si="15"/>
        <v/>
      </c>
      <c r="AL25" s="29">
        <f t="shared" si="16"/>
        <v>0</v>
      </c>
      <c r="AM25" s="32">
        <f t="shared" ca="1" si="35"/>
        <v>0.66666666666666663</v>
      </c>
      <c r="AO25" s="20">
        <f>Tools!$AD24</f>
        <v>18.5</v>
      </c>
      <c r="AP25" s="33" t="str">
        <f t="shared" si="36"/>
        <v xml:space="preserve">  </v>
      </c>
      <c r="AQ25" s="34" t="str">
        <f t="shared" ca="1" si="18"/>
        <v>(1/2)*(4/3)</v>
      </c>
      <c r="AR25" s="23" t="str">
        <f t="shared" ca="1" si="19"/>
        <v xml:space="preserve">  </v>
      </c>
      <c r="AS25" s="24">
        <f t="shared" si="20"/>
        <v>8.5</v>
      </c>
      <c r="AT25" s="23" t="str">
        <f t="shared" ca="1" si="37"/>
        <v xml:space="preserve">  </v>
      </c>
      <c r="AU25" s="23" t="str">
        <f t="shared" ca="1" si="40"/>
        <v xml:space="preserve">  </v>
      </c>
      <c r="AV25" s="23" t="str">
        <f t="shared" si="21"/>
        <v xml:space="preserve">  </v>
      </c>
      <c r="AW25" s="23" t="str">
        <f t="shared" ca="1" si="22"/>
        <v xml:space="preserve">  </v>
      </c>
      <c r="AY25" s="35" t="str">
        <f t="shared" si="23"/>
        <v xml:space="preserve"> </v>
      </c>
      <c r="AZ25" s="23" t="str">
        <f t="shared" ca="1" si="41"/>
        <v xml:space="preserve">  </v>
      </c>
      <c r="BA25" s="36" t="str">
        <f t="shared" si="25"/>
        <v xml:space="preserve"> </v>
      </c>
      <c r="BB25" s="27" t="str">
        <f t="shared" ca="1" si="38"/>
        <v xml:space="preserve">  </v>
      </c>
      <c r="BC25" s="23" t="str">
        <f t="shared" ca="1" si="39"/>
        <v xml:space="preserve">  </v>
      </c>
      <c r="BE25" s="50" t="s">
        <v>67</v>
      </c>
      <c r="BF25" s="48" t="s">
        <v>68</v>
      </c>
      <c r="BG25" s="49" t="str">
        <f>IF(WL_No="  ","  ",KB+BMT)</f>
        <v xml:space="preserve">  </v>
      </c>
    </row>
    <row r="26" spans="1:59" x14ac:dyDescent="0.25">
      <c r="A26" s="20">
        <f>Tools!$AD25</f>
        <v>19</v>
      </c>
      <c r="B26" s="33" t="str">
        <f t="shared" si="0"/>
        <v xml:space="preserve">  </v>
      </c>
      <c r="C26" s="22">
        <f>IF(A26="  ","  ",IF(AND(A25="  ",A27="  "),"?",IF(A25="  ",1*(A27-A26),IF(A27="  ",1*(A26-A25),1*(A27-A25)))))</f>
        <v>1</v>
      </c>
      <c r="D26" s="23" t="str">
        <f t="shared" si="26"/>
        <v xml:space="preserve">  </v>
      </c>
      <c r="E26" s="24">
        <f t="shared" si="1"/>
        <v>9</v>
      </c>
      <c r="F26" s="23" t="str">
        <f t="shared" si="27"/>
        <v xml:space="preserve">  </v>
      </c>
      <c r="G26" s="23" t="str">
        <f t="shared" si="28"/>
        <v xml:space="preserve">  </v>
      </c>
      <c r="H26" s="23" t="str">
        <f t="shared" si="29"/>
        <v xml:space="preserve">  </v>
      </c>
      <c r="I26" s="23" t="str">
        <f t="shared" si="30"/>
        <v xml:space="preserve">  </v>
      </c>
      <c r="J26" s="4"/>
      <c r="K26" s="37" t="str">
        <f t="shared" si="2"/>
        <v xml:space="preserve"> </v>
      </c>
      <c r="L26" s="23" t="str">
        <f t="shared" si="31"/>
        <v xml:space="preserve">  </v>
      </c>
      <c r="M26" s="38" t="str">
        <f t="shared" si="3"/>
        <v xml:space="preserve"> </v>
      </c>
      <c r="N26" s="27" t="str">
        <f t="shared" si="32"/>
        <v xml:space="preserve">  </v>
      </c>
      <c r="O26" s="23" t="str">
        <f t="shared" si="33"/>
        <v xml:space="preserve">  </v>
      </c>
      <c r="P26" s="4"/>
      <c r="Q26" s="50" t="s">
        <v>71</v>
      </c>
      <c r="R26" s="48" t="s">
        <v>72</v>
      </c>
      <c r="S26" t="str">
        <f>IF(Tools!$L$49="Use 141 rule only",I50,IF(Tools!$L$49="Use 141 and 1331 rules",BG27," "))</f>
        <v xml:space="preserve">  </v>
      </c>
      <c r="W26" s="29">
        <f>IF(AO26="  ","  ",IF(AND(AO25="  ",AO27="  "),"?",IF(AO25="  ",1*(AO27-AO26),IF(AO27="  ",1*(AO26-AO25),1*(AO27-AO25)))))</f>
        <v>1</v>
      </c>
      <c r="X26" s="30" t="str">
        <f t="shared" si="4"/>
        <v>DD</v>
      </c>
      <c r="Y26" s="30" t="str">
        <f t="shared" si="5"/>
        <v>-</v>
      </c>
      <c r="Z26" s="29" t="b">
        <f t="shared" si="6"/>
        <v>1</v>
      </c>
      <c r="AA26" s="29" t="b">
        <f t="shared" si="7"/>
        <v>1</v>
      </c>
      <c r="AB26" s="29" t="str">
        <f t="shared" ca="1" si="8"/>
        <v>141-2</v>
      </c>
      <c r="AC26" s="29">
        <f t="shared" si="34"/>
        <v>3</v>
      </c>
      <c r="AD26" s="29">
        <f t="shared" ca="1" si="9"/>
        <v>3</v>
      </c>
      <c r="AE26" s="29">
        <v>23</v>
      </c>
      <c r="AF26" s="31">
        <f t="shared" si="42"/>
        <v>19</v>
      </c>
      <c r="AG26" s="29" t="b">
        <f t="shared" si="11"/>
        <v>0</v>
      </c>
      <c r="AH26" s="30" t="str">
        <f t="shared" si="43"/>
        <v>-</v>
      </c>
      <c r="AI26" s="30" t="str">
        <f t="shared" ca="1" si="13"/>
        <v>(1/2)*(2/3)</v>
      </c>
      <c r="AJ26" s="29">
        <f t="shared" ca="1" si="14"/>
        <v>0.33333333333333331</v>
      </c>
      <c r="AK26" s="29" t="str">
        <f t="shared" si="15"/>
        <v/>
      </c>
      <c r="AL26" s="29">
        <f t="shared" si="16"/>
        <v>0</v>
      </c>
      <c r="AM26" s="32">
        <f t="shared" ca="1" si="35"/>
        <v>0.33333333333333331</v>
      </c>
      <c r="AO26" s="20">
        <f>Tools!$AD25</f>
        <v>19</v>
      </c>
      <c r="AP26" s="33" t="str">
        <f t="shared" si="36"/>
        <v xml:space="preserve">  </v>
      </c>
      <c r="AQ26" s="34" t="str">
        <f t="shared" ca="1" si="18"/>
        <v>(1/2)*(2/3)</v>
      </c>
      <c r="AR26" s="23" t="str">
        <f t="shared" ca="1" si="19"/>
        <v xml:space="preserve">  </v>
      </c>
      <c r="AS26" s="24">
        <f t="shared" si="20"/>
        <v>9</v>
      </c>
      <c r="AT26" s="23" t="str">
        <f t="shared" ca="1" si="37"/>
        <v xml:space="preserve">  </v>
      </c>
      <c r="AU26" s="23" t="str">
        <f t="shared" ca="1" si="40"/>
        <v xml:space="preserve">  </v>
      </c>
      <c r="AV26" s="23" t="str">
        <f t="shared" si="21"/>
        <v xml:space="preserve">  </v>
      </c>
      <c r="AW26" s="23" t="str">
        <f t="shared" ca="1" si="22"/>
        <v xml:space="preserve">  </v>
      </c>
      <c r="AY26" s="35" t="str">
        <f t="shared" si="23"/>
        <v xml:space="preserve"> </v>
      </c>
      <c r="AZ26" s="23" t="str">
        <f t="shared" ca="1" si="41"/>
        <v xml:space="preserve">  </v>
      </c>
      <c r="BA26" s="36" t="str">
        <f t="shared" si="25"/>
        <v xml:space="preserve"> </v>
      </c>
      <c r="BB26" s="27" t="str">
        <f t="shared" ca="1" si="38"/>
        <v xml:space="preserve">  </v>
      </c>
      <c r="BC26" s="23" t="str">
        <f t="shared" ca="1" si="39"/>
        <v xml:space="preserve">  </v>
      </c>
      <c r="BE26" s="50" t="s">
        <v>69</v>
      </c>
      <c r="BF26" s="48" t="s">
        <v>70</v>
      </c>
      <c r="BG26" s="49" t="str">
        <f>IF(WL_No="  ","  ",KB+BML)</f>
        <v xml:space="preserve">  </v>
      </c>
    </row>
    <row r="27" spans="1:59" x14ac:dyDescent="0.25">
      <c r="A27" s="20">
        <f>Tools!$AD26</f>
        <v>19.5</v>
      </c>
      <c r="B27" s="33" t="str">
        <f t="shared" si="0"/>
        <v xml:space="preserve">  </v>
      </c>
      <c r="C27" s="22">
        <f>IF(A27="  ","  ",IF(AND(A26="  ",A28="  "),"?",IF(A26="  ",2*(A28-A27),IF(A28="  ",2*(A27-A26),2*(A28-A26)))))</f>
        <v>2</v>
      </c>
      <c r="D27" s="23" t="str">
        <f t="shared" si="26"/>
        <v xml:space="preserve">  </v>
      </c>
      <c r="E27" s="24">
        <f t="shared" si="1"/>
        <v>9.5</v>
      </c>
      <c r="F27" s="23" t="str">
        <f t="shared" si="27"/>
        <v xml:space="preserve">  </v>
      </c>
      <c r="G27" s="23" t="str">
        <f t="shared" si="28"/>
        <v xml:space="preserve">  </v>
      </c>
      <c r="H27" s="23" t="str">
        <f t="shared" si="29"/>
        <v xml:space="preserve">  </v>
      </c>
      <c r="I27" s="23" t="str">
        <f t="shared" si="30"/>
        <v xml:space="preserve">  </v>
      </c>
      <c r="J27" s="4"/>
      <c r="K27" s="37" t="str">
        <f t="shared" si="2"/>
        <v xml:space="preserve"> </v>
      </c>
      <c r="L27" s="23" t="str">
        <f t="shared" si="31"/>
        <v xml:space="preserve">  </v>
      </c>
      <c r="M27" s="38" t="str">
        <f t="shared" si="3"/>
        <v xml:space="preserve"> </v>
      </c>
      <c r="N27" s="27" t="str">
        <f t="shared" si="32"/>
        <v xml:space="preserve">  </v>
      </c>
      <c r="O27" s="23" t="str">
        <f t="shared" si="33"/>
        <v xml:space="preserve">  </v>
      </c>
      <c r="P27" s="4"/>
      <c r="Q27" s="50" t="s">
        <v>73</v>
      </c>
      <c r="R27" s="48" t="s">
        <v>74</v>
      </c>
      <c r="S27" t="str">
        <f>IF(Tools!$L$49="Use 141 rule only",I51,IF(Tools!$L$49="Use 141 and 1331 rules",BG28," "))</f>
        <v xml:space="preserve">  </v>
      </c>
      <c r="W27" s="29">
        <f>IF(AO27="  ","  ",IF(AND(AO26="  ",AO28="  "),"?",IF(AO26="  ",2*(AO28-AO27),IF(AO28="  ",2*(AO27-AO26),2*(AO28-AO26)))))</f>
        <v>2</v>
      </c>
      <c r="X27" s="30" t="str">
        <f t="shared" si="4"/>
        <v>DD</v>
      </c>
      <c r="Y27" s="30" t="str">
        <f t="shared" si="5"/>
        <v>-</v>
      </c>
      <c r="Z27" s="29" t="b">
        <f t="shared" si="6"/>
        <v>1</v>
      </c>
      <c r="AA27" s="29" t="b">
        <f t="shared" si="7"/>
        <v>1</v>
      </c>
      <c r="AB27" s="29" t="str">
        <f t="shared" ca="1" si="8"/>
        <v>141-4</v>
      </c>
      <c r="AC27" s="29">
        <f t="shared" si="34"/>
        <v>2</v>
      </c>
      <c r="AD27" s="29">
        <f t="shared" ca="1" si="9"/>
        <v>2</v>
      </c>
      <c r="AE27" s="29">
        <v>24</v>
      </c>
      <c r="AF27" s="31">
        <f t="shared" si="42"/>
        <v>20</v>
      </c>
      <c r="AG27" s="29" t="b">
        <f t="shared" si="11"/>
        <v>0</v>
      </c>
      <c r="AH27" s="30" t="str">
        <f t="shared" si="43"/>
        <v>-</v>
      </c>
      <c r="AI27" s="30" t="str">
        <f t="shared" ca="1" si="13"/>
        <v>(1/2)*(4/3)</v>
      </c>
      <c r="AJ27" s="29">
        <f t="shared" ca="1" si="14"/>
        <v>0.66666666666666663</v>
      </c>
      <c r="AK27" s="29" t="str">
        <f t="shared" si="15"/>
        <v/>
      </c>
      <c r="AL27" s="29">
        <f t="shared" si="16"/>
        <v>0</v>
      </c>
      <c r="AM27" s="32">
        <f t="shared" ca="1" si="35"/>
        <v>0.66666666666666663</v>
      </c>
      <c r="AO27" s="20">
        <f>Tools!$AD26</f>
        <v>19.5</v>
      </c>
      <c r="AP27" s="33" t="str">
        <f t="shared" ref="AP27:AP28" si="44">VLOOKUP(AO27,OFFSET_A,Count_WL+1,FALSE)</f>
        <v xml:space="preserve">  </v>
      </c>
      <c r="AQ27" s="34" t="str">
        <f t="shared" ca="1" si="18"/>
        <v>(1/2)*(4/3)</v>
      </c>
      <c r="AR27" s="23" t="str">
        <f t="shared" ca="1" si="19"/>
        <v xml:space="preserve">  </v>
      </c>
      <c r="AS27" s="24">
        <f t="shared" si="20"/>
        <v>9.5</v>
      </c>
      <c r="AT27" s="23" t="str">
        <f t="shared" ca="1" si="37"/>
        <v xml:space="preserve">  </v>
      </c>
      <c r="AU27" s="23" t="str">
        <f t="shared" ca="1" si="40"/>
        <v xml:space="preserve">  </v>
      </c>
      <c r="AV27" s="23" t="str">
        <f t="shared" si="21"/>
        <v xml:space="preserve">  </v>
      </c>
      <c r="AW27" s="23" t="str">
        <f t="shared" ca="1" si="22"/>
        <v xml:space="preserve">  </v>
      </c>
      <c r="AY27" s="35" t="str">
        <f t="shared" si="23"/>
        <v xml:space="preserve"> </v>
      </c>
      <c r="AZ27" s="23" t="str">
        <f t="shared" ca="1" si="41"/>
        <v xml:space="preserve">  </v>
      </c>
      <c r="BA27" s="36" t="str">
        <f t="shared" si="25"/>
        <v xml:space="preserve"> </v>
      </c>
      <c r="BB27" s="27" t="str">
        <f t="shared" ca="1" si="38"/>
        <v xml:space="preserve">  </v>
      </c>
      <c r="BC27" s="23" t="str">
        <f t="shared" ca="1" si="39"/>
        <v xml:space="preserve">  </v>
      </c>
      <c r="BE27" s="50" t="s">
        <v>71</v>
      </c>
      <c r="BF27" s="48" t="s">
        <v>72</v>
      </c>
      <c r="BG27" s="49" t="str">
        <f>IF(WL_No="  ","  ",AWP*1.025/100)</f>
        <v xml:space="preserve">  </v>
      </c>
    </row>
    <row r="28" spans="1:59" ht="15.75" thickBot="1" x14ac:dyDescent="0.3">
      <c r="A28" s="20">
        <f>Tools!$AD27</f>
        <v>20</v>
      </c>
      <c r="B28" s="52" t="str">
        <f t="shared" si="0"/>
        <v xml:space="preserve">  </v>
      </c>
      <c r="C28" s="22">
        <f>IF(A28="  ","  ",IF(A27="  ","?",1*(A28-A27)))</f>
        <v>0.5</v>
      </c>
      <c r="D28" s="53" t="str">
        <f t="shared" si="26"/>
        <v xml:space="preserve">  </v>
      </c>
      <c r="E28" s="24">
        <f t="shared" si="1"/>
        <v>10</v>
      </c>
      <c r="F28" s="53" t="str">
        <f t="shared" si="27"/>
        <v xml:space="preserve">  </v>
      </c>
      <c r="G28" s="53" t="str">
        <f t="shared" si="28"/>
        <v xml:space="preserve">  </v>
      </c>
      <c r="H28" s="23" t="str">
        <f t="shared" si="29"/>
        <v xml:space="preserve">  </v>
      </c>
      <c r="I28" s="53" t="str">
        <f t="shared" si="30"/>
        <v xml:space="preserve">  </v>
      </c>
      <c r="J28" s="4"/>
      <c r="K28" s="35" t="str">
        <f t="shared" si="2"/>
        <v xml:space="preserve"> </v>
      </c>
      <c r="L28" s="53" t="str">
        <f t="shared" si="31"/>
        <v xml:space="preserve">  </v>
      </c>
      <c r="M28" s="36" t="str">
        <f t="shared" si="3"/>
        <v xml:space="preserve"> </v>
      </c>
      <c r="N28" s="54" t="str">
        <f t="shared" si="32"/>
        <v xml:space="preserve">  </v>
      </c>
      <c r="O28" s="53" t="str">
        <f t="shared" si="33"/>
        <v xml:space="preserve">  </v>
      </c>
      <c r="P28" s="4"/>
      <c r="Q28" s="50" t="s">
        <v>75</v>
      </c>
      <c r="R28" s="55" t="s">
        <v>76</v>
      </c>
      <c r="S28" t="str">
        <f>IF(Tools!$L$49="Use 141 rule only",I52,IF(Tools!$L$49="Use 141 and 1331 rules",BG29," "))</f>
        <v xml:space="preserve">  </v>
      </c>
      <c r="W28" s="29">
        <f>IF(AO28="  ","  ",IF(AO27="  ","?",1*(AO28-AO27)))</f>
        <v>0.5</v>
      </c>
      <c r="X28" s="30" t="str">
        <f t="shared" si="4"/>
        <v>D-</v>
      </c>
      <c r="Y28" s="30" t="str">
        <f t="shared" si="5"/>
        <v>-</v>
      </c>
      <c r="Z28" s="29" t="b">
        <f t="shared" si="6"/>
        <v>1</v>
      </c>
      <c r="AA28" s="29" t="b">
        <f t="shared" si="7"/>
        <v>1</v>
      </c>
      <c r="AB28" s="29" t="str">
        <f t="shared" ca="1" si="8"/>
        <v>141-1</v>
      </c>
      <c r="AC28" s="29">
        <f>IF(ISNUMBER(AO28),IF(ISNUMBER(AO28),IF(OR(AO28=0,AO28=Long_Div),1,IF(AO28&gt;Long_Div/2,AF29+1,IF(AO28&lt;=Long_Div/2,AC27+1,"?")))," --")," ")</f>
        <v>1</v>
      </c>
      <c r="AD28" s="29">
        <f t="shared" ca="1" si="9"/>
        <v>1</v>
      </c>
      <c r="AE28" s="29">
        <v>25</v>
      </c>
      <c r="AF28" s="31">
        <f t="shared" si="42"/>
        <v>21</v>
      </c>
      <c r="AG28" s="29" t="b">
        <f t="shared" si="11"/>
        <v>0</v>
      </c>
      <c r="AH28" s="30" t="str">
        <f t="shared" si="43"/>
        <v>-</v>
      </c>
      <c r="AI28" s="30" t="str">
        <f t="shared" ca="1" si="13"/>
        <v>(1/2)*(1/3)</v>
      </c>
      <c r="AJ28" s="29">
        <f t="shared" ca="1" si="14"/>
        <v>0.16666666666666666</v>
      </c>
      <c r="AK28" s="29" t="str">
        <f t="shared" si="15"/>
        <v/>
      </c>
      <c r="AL28" s="29">
        <f t="shared" si="16"/>
        <v>0</v>
      </c>
      <c r="AM28" s="32">
        <f t="shared" ca="1" si="35"/>
        <v>0.16666666666666666</v>
      </c>
      <c r="AO28" s="20">
        <f>Tools!$AD27</f>
        <v>20</v>
      </c>
      <c r="AP28" s="33" t="str">
        <f t="shared" si="44"/>
        <v xml:space="preserve">  </v>
      </c>
      <c r="AQ28" s="34" t="str">
        <f t="shared" ca="1" si="18"/>
        <v>(1/2)*(1/3)</v>
      </c>
      <c r="AR28" s="23" t="str">
        <f t="shared" ca="1" si="19"/>
        <v xml:space="preserve">  </v>
      </c>
      <c r="AS28" s="24">
        <f t="shared" si="20"/>
        <v>10</v>
      </c>
      <c r="AT28" s="53" t="str">
        <f t="shared" ca="1" si="37"/>
        <v xml:space="preserve">  </v>
      </c>
      <c r="AU28" s="53" t="str">
        <f t="shared" ca="1" si="40"/>
        <v xml:space="preserve">  </v>
      </c>
      <c r="AV28" s="23" t="str">
        <f t="shared" si="21"/>
        <v xml:space="preserve">  </v>
      </c>
      <c r="AW28" s="23" t="str">
        <f t="shared" ca="1" si="22"/>
        <v xml:space="preserve">  </v>
      </c>
      <c r="AY28" s="35" t="str">
        <f t="shared" si="23"/>
        <v xml:space="preserve"> </v>
      </c>
      <c r="AZ28" s="23" t="str">
        <f t="shared" ca="1" si="41"/>
        <v xml:space="preserve">  </v>
      </c>
      <c r="BA28" s="36" t="str">
        <f t="shared" si="25"/>
        <v xml:space="preserve"> </v>
      </c>
      <c r="BB28" s="27" t="str">
        <f t="shared" ca="1" si="38"/>
        <v xml:space="preserve">  </v>
      </c>
      <c r="BC28" s="53" t="str">
        <f t="shared" ca="1" si="39"/>
        <v xml:space="preserve">  </v>
      </c>
      <c r="BE28" s="50" t="s">
        <v>73</v>
      </c>
      <c r="BF28" s="48" t="s">
        <v>74</v>
      </c>
      <c r="BG28" s="49" t="str">
        <f>IF(WL_No="  ","  ",ML/V_Disp)</f>
        <v xml:space="preserve">  </v>
      </c>
    </row>
    <row r="29" spans="1:59" ht="15.75" thickBot="1" x14ac:dyDescent="0.3">
      <c r="A29" s="56" t="s">
        <v>77</v>
      </c>
      <c r="B29" s="56"/>
      <c r="C29" s="56"/>
      <c r="D29" s="57">
        <f>SUM(D4:D28)</f>
        <v>0</v>
      </c>
      <c r="E29" s="42"/>
      <c r="F29" s="58">
        <f>SUM(F4:F28)</f>
        <v>0</v>
      </c>
      <c r="G29" s="58">
        <f>SUM(G4:G28)</f>
        <v>0</v>
      </c>
      <c r="H29" s="42"/>
      <c r="I29" s="58">
        <f>SUM(I4:I28)</f>
        <v>0</v>
      </c>
      <c r="J29" s="4"/>
      <c r="K29" s="42"/>
      <c r="L29" s="58">
        <f>SUM(L4:L28)</f>
        <v>0</v>
      </c>
      <c r="M29" s="42"/>
      <c r="N29" s="58">
        <f>SUM(N4:N28)</f>
        <v>0</v>
      </c>
      <c r="O29" s="58">
        <f>SUM(O4:O28)</f>
        <v>0</v>
      </c>
      <c r="P29" s="4"/>
      <c r="Q29" s="50" t="s">
        <v>78</v>
      </c>
      <c r="R29" s="48" t="s">
        <v>79</v>
      </c>
      <c r="S29" t="str">
        <f>IF(Tools!$L$49="Use 141 rule only",I53,IF(Tools!$L$49="Use 141 and 1331 rules",BG30," "))</f>
        <v xml:space="preserve">  </v>
      </c>
      <c r="W29" s="56"/>
      <c r="X29" s="56"/>
      <c r="Y29" s="56"/>
      <c r="Z29" s="56"/>
      <c r="AA29" s="56"/>
      <c r="AB29" s="56"/>
      <c r="AC29" s="56"/>
      <c r="AD29" s="56"/>
      <c r="AE29" s="56"/>
      <c r="AF29" s="56"/>
      <c r="AG29" s="56"/>
      <c r="AH29" s="56"/>
      <c r="AI29" s="56"/>
      <c r="AJ29" s="56"/>
      <c r="AK29" s="56"/>
      <c r="AL29" s="56"/>
      <c r="AM29" s="56"/>
      <c r="AN29" s="56"/>
      <c r="AO29" s="56" t="s">
        <v>77</v>
      </c>
      <c r="AP29" s="56"/>
      <c r="AQ29" s="59"/>
      <c r="AR29" s="57">
        <f ca="1">SUM(AR4:AR28)</f>
        <v>0</v>
      </c>
      <c r="AS29" s="42"/>
      <c r="AT29" s="58">
        <f ca="1">SUM(AT4:AT28)</f>
        <v>0</v>
      </c>
      <c r="AU29" s="58">
        <f ca="1">SUM(AU4:AU28)</f>
        <v>0</v>
      </c>
      <c r="AV29" s="42"/>
      <c r="AW29" s="58">
        <f ca="1">SUM(AW4:AW28)</f>
        <v>0</v>
      </c>
      <c r="AY29" s="42"/>
      <c r="AZ29" s="58">
        <f ca="1">SUM(AZ4:AZ28)</f>
        <v>0</v>
      </c>
      <c r="BA29" s="42"/>
      <c r="BB29" s="58">
        <f ca="1">SUM(BB4:BB28)</f>
        <v>0</v>
      </c>
      <c r="BC29" s="58">
        <f ca="1">SUM(BC4:BC28)</f>
        <v>0</v>
      </c>
      <c r="BE29" s="50" t="s">
        <v>75</v>
      </c>
      <c r="BF29" s="55" t="s">
        <v>76</v>
      </c>
      <c r="BG29" s="49" t="str">
        <f>IF(WL_No="  ","  ",M_Disp*BML/100/BG8)</f>
        <v xml:space="preserve">  </v>
      </c>
    </row>
    <row r="30" spans="1:59" x14ac:dyDescent="0.25">
      <c r="A30" s="15"/>
      <c r="B30" s="4"/>
      <c r="C30" s="4"/>
      <c r="D30" s="42"/>
      <c r="E30" s="4"/>
      <c r="F30" s="4"/>
      <c r="G30" s="4"/>
      <c r="H30" s="4"/>
      <c r="I30" s="4"/>
      <c r="J30" s="4"/>
      <c r="K30" s="4"/>
      <c r="L30" s="4"/>
      <c r="M30" s="4"/>
      <c r="N30" s="4"/>
      <c r="O30" s="4"/>
      <c r="P30" s="4"/>
      <c r="Q30" s="50" t="s">
        <v>80</v>
      </c>
      <c r="R30" s="48" t="s">
        <v>81</v>
      </c>
      <c r="S30" t="str">
        <f>IF(Tools!$L$49="Use 141 rule only",I54,IF(Tools!$L$49="Use 141 and 1331 rules",BG31," "))</f>
        <v xml:space="preserve">  </v>
      </c>
      <c r="AA30" s="60"/>
      <c r="AB30" s="60"/>
      <c r="BE30" s="50" t="s">
        <v>78</v>
      </c>
      <c r="BF30" s="48" t="s">
        <v>79</v>
      </c>
      <c r="BG30" s="49" t="str">
        <f>IF(WL_No="  ","  ",WLS*WL_No)</f>
        <v xml:space="preserve">  </v>
      </c>
    </row>
    <row r="31" spans="1:59" x14ac:dyDescent="0.25">
      <c r="A31" s="15"/>
      <c r="B31" s="4"/>
      <c r="C31" s="4"/>
      <c r="D31" s="4"/>
      <c r="E31" s="4"/>
      <c r="F31" s="4"/>
      <c r="G31" s="4"/>
      <c r="H31" s="4"/>
      <c r="I31" s="4"/>
      <c r="J31" s="4"/>
      <c r="K31" s="4"/>
      <c r="L31" s="4"/>
      <c r="M31" s="4"/>
      <c r="N31" s="4"/>
      <c r="O31" s="4"/>
      <c r="P31" s="4"/>
      <c r="Q31" s="50" t="s">
        <v>82</v>
      </c>
      <c r="R31" s="48" t="s">
        <v>83</v>
      </c>
      <c r="S31" t="str">
        <f>IF(Tools!$L$49="Use 141 rule only",I55,IF(Tools!$L$49="Use 141 and 1331 rules",BG32," "))</f>
        <v xml:space="preserve">  </v>
      </c>
      <c r="AF31" s="61" t="s">
        <v>84</v>
      </c>
      <c r="AG31" s="62">
        <f ca="1">COUNTIF(OFFSET(AQ4,,,ROUNDUP(Max_STN_count/2,0),1),"")</f>
        <v>0</v>
      </c>
      <c r="AH31" s="63">
        <f ca="1">HLOOKUP(Stn_WL,AREA_TABLE,AG31+2,FALSE)</f>
        <v>0</v>
      </c>
      <c r="AI31" s="63">
        <f ca="1">IF(AH31&gt;Long_Div/2,Long_Div/2,AH31)</f>
        <v>0</v>
      </c>
      <c r="AJ31" s="63">
        <f ca="1">AI31*STN_GAP</f>
        <v>0</v>
      </c>
      <c r="BE31" s="50" t="s">
        <v>80</v>
      </c>
      <c r="BF31" s="48" t="s">
        <v>81</v>
      </c>
      <c r="BG31" s="49" t="str">
        <f>IF(WL_No="  ","  ",AWP/(BG8*B_current))</f>
        <v xml:space="preserve">  </v>
      </c>
    </row>
    <row r="32" spans="1:59" x14ac:dyDescent="0.25">
      <c r="A32" s="15"/>
      <c r="B32" s="4"/>
      <c r="C32" s="4"/>
      <c r="D32" s="4"/>
      <c r="E32" s="4"/>
      <c r="F32" s="4"/>
      <c r="G32" s="4"/>
      <c r="H32" s="4"/>
      <c r="I32" s="4"/>
      <c r="J32" s="64"/>
      <c r="K32" s="4"/>
      <c r="L32" s="4"/>
      <c r="M32" s="4"/>
      <c r="N32" s="4"/>
      <c r="O32" s="4"/>
      <c r="P32" s="4"/>
      <c r="Q32" s="50" t="s">
        <v>85</v>
      </c>
      <c r="R32" s="48" t="s">
        <v>86</v>
      </c>
      <c r="S32" t="str">
        <f>IF(Tools!$L$49="Use 141 rule only",I56,IF(Tools!$L$49="Use 141 and 1331 rules",BG33," "))</f>
        <v xml:space="preserve">  </v>
      </c>
      <c r="AF32" s="61" t="s">
        <v>87</v>
      </c>
      <c r="AG32" s="62">
        <f ca="1">COUNTIF(OFFSET(AQ4,ROUNDUP(Max_STN_count/2,0),,ROUNDDOWN(Max_STN_count/2,0),1),"")</f>
        <v>0</v>
      </c>
      <c r="AH32" s="63">
        <f ca="1">HLOOKUP(Stn_WL,AREA_TABLE,AG32+2,FALSE)</f>
        <v>0</v>
      </c>
      <c r="AI32" s="63">
        <f ca="1">IF(AH32&gt;Long_Div/2,Long_Div/2,AH32)</f>
        <v>0</v>
      </c>
      <c r="AJ32" s="63">
        <f ca="1">AI32*STN_GAP</f>
        <v>0</v>
      </c>
      <c r="BE32" s="50" t="s">
        <v>82</v>
      </c>
      <c r="BF32" s="48" t="s">
        <v>83</v>
      </c>
      <c r="BG32" s="49" t="str">
        <f>IF(WL_No="  ","  ",V_Disp/(BG8*B_current*T))</f>
        <v xml:space="preserve">  </v>
      </c>
    </row>
    <row r="33" spans="1:59" x14ac:dyDescent="0.25">
      <c r="A33" s="15"/>
      <c r="B33" s="4"/>
      <c r="C33" s="4"/>
      <c r="D33" s="4"/>
      <c r="E33" s="4"/>
      <c r="F33" s="4"/>
      <c r="G33" s="43" t="s">
        <v>31</v>
      </c>
      <c r="H33" s="44" t="s">
        <v>32</v>
      </c>
      <c r="I33" s="489" t="s">
        <v>33</v>
      </c>
      <c r="J33" s="4"/>
      <c r="K33" s="4"/>
      <c r="L33" s="4"/>
      <c r="M33" s="4"/>
      <c r="N33" s="4"/>
      <c r="O33" s="4"/>
      <c r="P33" s="4"/>
      <c r="Q33" s="50" t="s">
        <v>88</v>
      </c>
      <c r="R33" s="48" t="s">
        <v>89</v>
      </c>
      <c r="S33" t="str">
        <f>IF(Tools!$L$49="Use 141 rule only",I57,IF(Tools!$L$49="Use 141 and 1331 rules",BG34," "))</f>
        <v xml:space="preserve">  </v>
      </c>
      <c r="AF33" s="63"/>
      <c r="AG33" s="63"/>
      <c r="AH33" s="63">
        <f ca="1">Long_Div-AH32</f>
        <v>20</v>
      </c>
      <c r="AI33" s="63"/>
      <c r="AJ33" s="63">
        <f ca="1">AJ32+AJ31</f>
        <v>0</v>
      </c>
      <c r="BE33" s="50" t="s">
        <v>85</v>
      </c>
      <c r="BF33" s="48" t="s">
        <v>86</v>
      </c>
      <c r="BG33" s="65" t="str">
        <f>IFERROR(IF(WL_No="  ","  ",(VLOOKUP(Long_Div/2,AREA_TABLE,Count_WL+1,FALSE))/(B_current*T)),"-")</f>
        <v xml:space="preserve">  </v>
      </c>
    </row>
    <row r="34" spans="1:59" x14ac:dyDescent="0.25">
      <c r="G34" s="45"/>
      <c r="H34" s="46"/>
      <c r="I34" s="490"/>
      <c r="BE34" s="50" t="s">
        <v>88</v>
      </c>
      <c r="BF34" s="48" t="s">
        <v>89</v>
      </c>
      <c r="BG34" s="49" t="str">
        <f>IF(WL_No="  ","  ",CB/CM)</f>
        <v xml:space="preserve">  </v>
      </c>
    </row>
    <row r="35" spans="1:59" x14ac:dyDescent="0.25">
      <c r="G35" s="47" t="s">
        <v>34</v>
      </c>
      <c r="H35" s="48" t="s">
        <v>35</v>
      </c>
      <c r="I35" s="49" t="str">
        <f>IF(WL_No="  ","  ",2/3*h*$D$29)</f>
        <v xml:space="preserve">  </v>
      </c>
    </row>
    <row r="36" spans="1:59" x14ac:dyDescent="0.25">
      <c r="G36" s="47" t="s">
        <v>36</v>
      </c>
      <c r="H36" s="48" t="s">
        <v>37</v>
      </c>
      <c r="I36" s="49" t="str">
        <f>IF(WL_No="  ","  ",2/3*(h^2)*$F$29)</f>
        <v xml:space="preserve">  </v>
      </c>
    </row>
    <row r="37" spans="1:59" x14ac:dyDescent="0.25">
      <c r="G37" s="50" t="s">
        <v>39</v>
      </c>
      <c r="H37" s="48" t="s">
        <v>40</v>
      </c>
      <c r="I37" s="49" t="str">
        <f>IF(WL_No="  ","  ",Mmid/AWP)</f>
        <v xml:space="preserve">  </v>
      </c>
    </row>
    <row r="38" spans="1:59" x14ac:dyDescent="0.25">
      <c r="G38" s="50" t="s">
        <v>42</v>
      </c>
      <c r="H38" s="48" t="s">
        <v>43</v>
      </c>
      <c r="I38" s="49" t="str">
        <f>IF(WL_No="  ","  ",2/3*(h^3)*$G$29)</f>
        <v xml:space="preserve">  </v>
      </c>
    </row>
    <row r="39" spans="1:59" x14ac:dyDescent="0.25">
      <c r="G39" s="51" t="s">
        <v>44</v>
      </c>
      <c r="H39" s="48" t="s">
        <v>45</v>
      </c>
      <c r="I39" s="49" t="str">
        <f>IF(WL_No="  ","  ",2/9*h*$I$29)</f>
        <v xml:space="preserve">  </v>
      </c>
    </row>
    <row r="40" spans="1:59" x14ac:dyDescent="0.25">
      <c r="G40" s="50" t="s">
        <v>47</v>
      </c>
      <c r="H40" s="48" t="s">
        <v>48</v>
      </c>
      <c r="I40" s="49" t="str">
        <f>IF(WL_No="  ","  ",IL-AWP*(LCF^2))</f>
        <v xml:space="preserve">  </v>
      </c>
    </row>
    <row r="41" spans="1:59" x14ac:dyDescent="0.25">
      <c r="G41" s="50" t="s">
        <v>50</v>
      </c>
      <c r="H41" s="48" t="s">
        <v>51</v>
      </c>
      <c r="I41" s="49" t="str">
        <f>IF(WL_No="  ","  ",h/3*$L$29)</f>
        <v xml:space="preserve">  </v>
      </c>
    </row>
    <row r="42" spans="1:59" x14ac:dyDescent="0.25">
      <c r="G42" s="50" t="s">
        <v>52</v>
      </c>
      <c r="H42" s="48" t="s">
        <v>53</v>
      </c>
      <c r="I42" s="49" t="str">
        <f>IF(WL_No="  ","  ",V_Disp*1.025*1.006)</f>
        <v xml:space="preserve">  </v>
      </c>
    </row>
    <row r="43" spans="1:59" x14ac:dyDescent="0.25">
      <c r="G43" s="50" t="s">
        <v>55</v>
      </c>
      <c r="H43" s="48" t="s">
        <v>56</v>
      </c>
      <c r="I43" s="49" t="str">
        <f>IF(WL_No="  ","  ",h/3*$N$29)</f>
        <v xml:space="preserve">  </v>
      </c>
    </row>
    <row r="44" spans="1:59" x14ac:dyDescent="0.25">
      <c r="G44" s="50" t="s">
        <v>57</v>
      </c>
      <c r="H44" s="48" t="s">
        <v>58</v>
      </c>
      <c r="I44" s="49" t="str">
        <f>IF(WL_No="  ","  ",(h^2)/3*$O$29)</f>
        <v xml:space="preserve">  </v>
      </c>
    </row>
    <row r="45" spans="1:59" x14ac:dyDescent="0.25">
      <c r="G45" s="50" t="s">
        <v>60</v>
      </c>
      <c r="H45" s="48" t="s">
        <v>61</v>
      </c>
      <c r="I45" s="49" t="str">
        <f>IF(WL_No="  ","  ",IF/V_Disp)</f>
        <v xml:space="preserve">  </v>
      </c>
    </row>
    <row r="46" spans="1:59" x14ac:dyDescent="0.25">
      <c r="G46" s="50" t="s">
        <v>63</v>
      </c>
      <c r="H46" s="48" t="s">
        <v>64</v>
      </c>
      <c r="I46" s="49" t="str">
        <f>IF(WL_No="  ","  ",IT/V_Disp)</f>
        <v xml:space="preserve">  </v>
      </c>
    </row>
    <row r="47" spans="1:59" x14ac:dyDescent="0.25">
      <c r="G47" s="50" t="s">
        <v>65</v>
      </c>
      <c r="H47" s="48" t="s">
        <v>66</v>
      </c>
      <c r="I47" s="49" t="str">
        <f>IF(WL_No="  ","  ",MT/V_Disp)</f>
        <v xml:space="preserve">  </v>
      </c>
    </row>
    <row r="48" spans="1:59" x14ac:dyDescent="0.25">
      <c r="G48" s="50" t="s">
        <v>67</v>
      </c>
      <c r="H48" s="48" t="s">
        <v>68</v>
      </c>
      <c r="I48" s="49" t="str">
        <f>IF(WL_No="  ","  ",KB+BMT)</f>
        <v xml:space="preserve">  </v>
      </c>
    </row>
    <row r="49" spans="7:9" x14ac:dyDescent="0.25">
      <c r="G49" s="50" t="s">
        <v>69</v>
      </c>
      <c r="H49" s="48" t="s">
        <v>70</v>
      </c>
      <c r="I49" s="49" t="str">
        <f>IF(WL_No="  ","  ",KB+BML)</f>
        <v xml:space="preserve">  </v>
      </c>
    </row>
    <row r="50" spans="7:9" x14ac:dyDescent="0.25">
      <c r="G50" s="50" t="s">
        <v>71</v>
      </c>
      <c r="H50" s="48" t="s">
        <v>72</v>
      </c>
      <c r="I50" s="49" t="str">
        <f>IF(WL_No="  ","  ",AWP*1.025/100)</f>
        <v xml:space="preserve">  </v>
      </c>
    </row>
    <row r="51" spans="7:9" x14ac:dyDescent="0.25">
      <c r="G51" s="50" t="s">
        <v>73</v>
      </c>
      <c r="H51" s="48" t="s">
        <v>74</v>
      </c>
      <c r="I51" s="49" t="str">
        <f>IF(WL_No="  ","  ",ML/V_Disp)</f>
        <v xml:space="preserve">  </v>
      </c>
    </row>
    <row r="52" spans="7:9" x14ac:dyDescent="0.25">
      <c r="G52" s="50" t="s">
        <v>75</v>
      </c>
      <c r="H52" s="55" t="s">
        <v>76</v>
      </c>
      <c r="I52" s="49" t="str">
        <f>IF(WL_No="  ","  ",M_Disp*BML/100/LBP)</f>
        <v xml:space="preserve">  </v>
      </c>
    </row>
    <row r="53" spans="7:9" x14ac:dyDescent="0.25">
      <c r="G53" s="50" t="s">
        <v>78</v>
      </c>
      <c r="H53" s="48" t="s">
        <v>79</v>
      </c>
      <c r="I53" s="49" t="str">
        <f>IF(WL_No="  ","  ",WLS*WL_No)</f>
        <v xml:space="preserve">  </v>
      </c>
    </row>
    <row r="54" spans="7:9" x14ac:dyDescent="0.25">
      <c r="G54" s="50" t="s">
        <v>80</v>
      </c>
      <c r="H54" s="48" t="s">
        <v>81</v>
      </c>
      <c r="I54" s="49" t="str">
        <f>IF(WL_No="  ","  ",AWP/(LBP*B_current))</f>
        <v xml:space="preserve">  </v>
      </c>
    </row>
    <row r="55" spans="7:9" x14ac:dyDescent="0.25">
      <c r="G55" s="50" t="s">
        <v>82</v>
      </c>
      <c r="H55" s="48" t="s">
        <v>83</v>
      </c>
      <c r="I55" s="49" t="str">
        <f>IF(WL_No="  ","  ",V_Disp/(LBP*B_current*T))</f>
        <v xml:space="preserve">  </v>
      </c>
    </row>
    <row r="56" spans="7:9" x14ac:dyDescent="0.25">
      <c r="G56" s="50" t="s">
        <v>85</v>
      </c>
      <c r="H56" s="48" t="s">
        <v>86</v>
      </c>
      <c r="I56" s="65" t="str">
        <f>IF(WL_No="  ","  ",(VLOOKUP(Long_Div/2,AREA_TABLE,Count_WL+1,FALSE))/(B_current*T))</f>
        <v xml:space="preserve">  </v>
      </c>
    </row>
    <row r="57" spans="7:9" x14ac:dyDescent="0.25">
      <c r="G57" s="50" t="s">
        <v>88</v>
      </c>
      <c r="H57" s="48" t="s">
        <v>89</v>
      </c>
      <c r="I57" s="49" t="str">
        <f>IF(WL_No="  ","  ",CB/CM)</f>
        <v xml:space="preserve">  </v>
      </c>
    </row>
  </sheetData>
  <mergeCells count="7">
    <mergeCell ref="BG10:BG11"/>
    <mergeCell ref="I33:I34"/>
    <mergeCell ref="A2:I2"/>
    <mergeCell ref="K2:O2"/>
    <mergeCell ref="AO2:AW2"/>
    <mergeCell ref="AY2:BC2"/>
    <mergeCell ref="S9:S10"/>
  </mergeCells>
  <conditionalFormatting sqref="CB4:XFD30 BW4:BW28 BS4:BT28 W29:AX29 A33:F57 J33:R33 A11:R32 A2:T10 V2:AO2 AX2 BP29:BW29 A63:XFD1048576 T12:T37 U35:XFD37 BD2:BD29 BM31:XFD33 BM30:BW30 BH29:BI33 BH2:XFD3 U30:BD30 AR31:BD31 W3:AM28 A58:BD62 BH38:XFD62 J34:S37 BH34:XFD34 A1:AN1 AV1:XFD1 AO31:AP31 U33:BD34 AM31 U31:AG32 AK32:BD32 AO3:AX26 J43:BD57 J42:M42 O42:BD42 J38:BD41 AO27:AO28 AQ27:AX28">
    <cfRule type="containsErrors" dxfId="353" priority="14">
      <formula>ISERROR(A1)</formula>
    </cfRule>
  </conditionalFormatting>
  <conditionalFormatting sqref="G33:I34 G35:H57">
    <cfRule type="containsErrors" dxfId="352" priority="13">
      <formula>ISERROR(G33)</formula>
    </cfRule>
  </conditionalFormatting>
  <conditionalFormatting sqref="T12:T33">
    <cfRule type="containsErrors" dxfId="351" priority="12">
      <formula>ISERROR(T12)</formula>
    </cfRule>
  </conditionalFormatting>
  <conditionalFormatting sqref="I35:I57">
    <cfRule type="containsErrors" dxfId="350" priority="11">
      <formula>ISERROR(I35)</formula>
    </cfRule>
  </conditionalFormatting>
  <conditionalFormatting sqref="AY2:BC29">
    <cfRule type="containsErrors" dxfId="349" priority="8">
      <formula>ISERROR(AY2)</formula>
    </cfRule>
  </conditionalFormatting>
  <conditionalFormatting sqref="BE10:BG11 BE12:BF34">
    <cfRule type="containsErrors" dxfId="348" priority="10">
      <formula>ISERROR(BE10)</formula>
    </cfRule>
  </conditionalFormatting>
  <conditionalFormatting sqref="BG12:BG28 BG34">
    <cfRule type="containsErrors" dxfId="347" priority="9">
      <formula>ISERROR(BG12)</formula>
    </cfRule>
  </conditionalFormatting>
  <conditionalFormatting sqref="BE2:BG6">
    <cfRule type="containsErrors" dxfId="346" priority="7">
      <formula>ISERROR(BE2)</formula>
    </cfRule>
  </conditionalFormatting>
  <conditionalFormatting sqref="BF7:BG8">
    <cfRule type="containsErrors" dxfId="345" priority="5">
      <formula>ISERROR(BF7)</formula>
    </cfRule>
  </conditionalFormatting>
  <conditionalFormatting sqref="BE7:BE8">
    <cfRule type="containsErrors" dxfId="344" priority="6">
      <formula>ISERROR(BE7)</formula>
    </cfRule>
  </conditionalFormatting>
  <conditionalFormatting sqref="S30:S33">
    <cfRule type="containsErrors" dxfId="343" priority="4">
      <formula>ISERROR(S30)</formula>
    </cfRule>
  </conditionalFormatting>
  <conditionalFormatting sqref="AP27:AP28">
    <cfRule type="containsErrors" dxfId="342" priority="3">
      <formula>ISERROR(AP27)</formula>
    </cfRule>
  </conditionalFormatting>
  <conditionalFormatting sqref="BG29:BG32">
    <cfRule type="containsErrors" dxfId="341" priority="2">
      <formula>ISERROR(BG29)</formula>
    </cfRule>
  </conditionalFormatting>
  <conditionalFormatting sqref="BG33">
    <cfRule type="containsErrors" dxfId="340" priority="1">
      <formula>ISERROR(BG33)</formula>
    </cfRule>
  </conditionalFormatting>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4" tint="0.79998168889431442"/>
  </sheetPr>
  <dimension ref="A1:BH57"/>
  <sheetViews>
    <sheetView topLeftCell="AG1" zoomScale="55" zoomScaleNormal="55" workbookViewId="0">
      <pane ySplit="1" topLeftCell="A29" activePane="bottomLeft" state="frozen"/>
      <selection activeCell="AG8" sqref="AG8:AG10"/>
      <selection pane="bottomLeft" activeCell="AG8" sqref="AG8:AG10"/>
    </sheetView>
  </sheetViews>
  <sheetFormatPr defaultRowHeight="15" x14ac:dyDescent="0.25"/>
  <cols>
    <col min="1" max="1" width="8.28515625" customWidth="1"/>
    <col min="2" max="2" width="7.28515625" customWidth="1"/>
    <col min="4" max="4" width="6.5703125" customWidth="1"/>
    <col min="7" max="7" width="24" customWidth="1"/>
    <col min="8" max="8" width="30.5703125" customWidth="1"/>
    <col min="9" max="9" width="26.5703125" customWidth="1"/>
    <col min="10" max="10" width="10.5703125" bestFit="1" customWidth="1"/>
    <col min="11" max="11" width="9.140625" customWidth="1"/>
    <col min="13" max="13" width="7.85546875" customWidth="1"/>
    <col min="17" max="17" width="19.5703125" customWidth="1"/>
    <col min="18" max="18" width="11.85546875" customWidth="1"/>
    <col min="19" max="19" width="16.5703125" customWidth="1"/>
    <col min="20" max="20" width="14.140625" customWidth="1"/>
    <col min="35" max="35" width="14" customWidth="1"/>
    <col min="36" max="37" width="12" customWidth="1"/>
    <col min="39" max="39" width="19" customWidth="1"/>
    <col min="43" max="43" width="18" style="7" customWidth="1"/>
    <col min="49" max="49" width="11.28515625" customWidth="1"/>
    <col min="52" max="52" width="12" customWidth="1"/>
    <col min="54" max="54" width="10.7109375" bestFit="1" customWidth="1"/>
    <col min="56" max="56" width="4.5703125" customWidth="1"/>
    <col min="57" max="57" width="21.28515625" customWidth="1"/>
    <col min="58" max="58" width="15.42578125" customWidth="1"/>
    <col min="59" max="59" width="19.28515625" customWidth="1"/>
    <col min="61" max="61" width="5.7109375" customWidth="1"/>
    <col min="62" max="62" width="13" customWidth="1"/>
    <col min="63" max="63" width="17.42578125" customWidth="1"/>
  </cols>
  <sheetData>
    <row r="1" spans="1:60" x14ac:dyDescent="0.25">
      <c r="A1" s="1" t="s">
        <v>0</v>
      </c>
      <c r="B1" s="2" t="str">
        <f>VLOOKUP(Stn_WL,OFFSET_A,Count_WL+1,FALSE)</f>
        <v xml:space="preserve">  </v>
      </c>
      <c r="C1" s="3"/>
      <c r="D1" s="4"/>
      <c r="E1" s="4" t="s">
        <v>1</v>
      </c>
      <c r="F1" s="5">
        <v>16</v>
      </c>
      <c r="G1" s="4"/>
      <c r="H1" s="4"/>
      <c r="I1" s="4"/>
      <c r="J1" s="4"/>
      <c r="K1" s="4"/>
      <c r="L1" s="4"/>
      <c r="M1" s="4"/>
      <c r="N1" s="4"/>
      <c r="O1" s="4"/>
      <c r="P1" s="4"/>
      <c r="Q1" s="4"/>
      <c r="R1" s="4"/>
      <c r="S1" s="4"/>
      <c r="V1" t="s">
        <v>2</v>
      </c>
      <c r="W1">
        <f ca="1">COUNTIF(OFFSET(Z4,,,ROUNDDOWN(Max_STN_count/2+1,0),1),TRUE)</f>
        <v>5</v>
      </c>
      <c r="X1">
        <f ca="1">COUNTIF(OFFSET(AA4,,,ROUNDDOWN(Max_STN_count/2+1,0),1),TRUE)</f>
        <v>5</v>
      </c>
      <c r="Y1">
        <f ca="1">W1-X1</f>
        <v>0</v>
      </c>
      <c r="AB1" s="6" t="s">
        <v>3</v>
      </c>
      <c r="AC1">
        <f ca="1">COUNTIF(OFFSET(Z4,ROUNDUP(Max_STN_count/2,0),,ROUNDDOWN(Max_STN_count/2,0),1),TRUE)</f>
        <v>5</v>
      </c>
      <c r="AD1">
        <f ca="1">COUNTIF(OFFSET(AA4,ROUNDUP(Max_STN_count/2,0),,ROUNDDOWN(Max_STN_count/2,0),1),TRUE)</f>
        <v>5</v>
      </c>
      <c r="AE1">
        <f ca="1">AC1-AD1</f>
        <v>0</v>
      </c>
      <c r="AG1" t="s">
        <v>4</v>
      </c>
      <c r="AH1">
        <f>COUNTIF(AG4:AG28,TRUE)</f>
        <v>17</v>
      </c>
      <c r="AI1">
        <f ca="1">COUNTIF(OFFSET(AG4,,,ROUNDUP(Max_STN_count/2,0),1),FALSE)</f>
        <v>4</v>
      </c>
      <c r="AW1">
        <f ca="1">COUNTIF(OFFSET(AG4,,,Max_STN_count,1),TRUE)</f>
        <v>17</v>
      </c>
    </row>
    <row r="2" spans="1:60" x14ac:dyDescent="0.25">
      <c r="A2" s="491" t="s">
        <v>5</v>
      </c>
      <c r="B2" s="492"/>
      <c r="C2" s="492"/>
      <c r="D2" s="492"/>
      <c r="E2" s="492"/>
      <c r="F2" s="492"/>
      <c r="G2" s="492"/>
      <c r="H2" s="492"/>
      <c r="I2" s="493"/>
      <c r="J2" s="4"/>
      <c r="K2" s="491" t="s">
        <v>6</v>
      </c>
      <c r="L2" s="492"/>
      <c r="M2" s="492"/>
      <c r="N2" s="492"/>
      <c r="O2" s="493"/>
      <c r="P2" s="4"/>
      <c r="Q2" s="8" t="s">
        <v>7</v>
      </c>
      <c r="R2" s="9" t="s">
        <v>8</v>
      </c>
      <c r="S2" s="10">
        <f>WLS</f>
        <v>2</v>
      </c>
      <c r="V2" s="11"/>
      <c r="W2" s="11"/>
      <c r="X2" s="11"/>
      <c r="Y2" s="11"/>
      <c r="Z2" s="11"/>
      <c r="AA2" s="11"/>
      <c r="AB2" s="11"/>
      <c r="AC2" s="11"/>
      <c r="AD2" s="11"/>
      <c r="AE2" s="11"/>
      <c r="AF2" s="11"/>
      <c r="AG2" s="11"/>
      <c r="AH2" s="11"/>
      <c r="AI2" s="11"/>
      <c r="AJ2" s="11"/>
      <c r="AK2" s="11"/>
      <c r="AL2" s="11"/>
      <c r="AM2" s="11"/>
      <c r="AN2" s="11"/>
      <c r="AO2" s="491" t="s">
        <v>5</v>
      </c>
      <c r="AP2" s="492"/>
      <c r="AQ2" s="492"/>
      <c r="AR2" s="492"/>
      <c r="AS2" s="492"/>
      <c r="AT2" s="492"/>
      <c r="AU2" s="492"/>
      <c r="AV2" s="492"/>
      <c r="AW2" s="493"/>
      <c r="AY2" s="491" t="s">
        <v>6</v>
      </c>
      <c r="AZ2" s="492"/>
      <c r="BA2" s="492"/>
      <c r="BB2" s="492"/>
      <c r="BC2" s="493"/>
      <c r="BE2" s="8" t="s">
        <v>7</v>
      </c>
      <c r="BF2" s="9" t="s">
        <v>8</v>
      </c>
      <c r="BG2" s="10">
        <f>WLS</f>
        <v>2</v>
      </c>
    </row>
    <row r="3" spans="1:60" x14ac:dyDescent="0.25">
      <c r="A3" s="12" t="s">
        <v>9</v>
      </c>
      <c r="B3" s="13" t="s">
        <v>10</v>
      </c>
      <c r="C3" s="14" t="s">
        <v>11</v>
      </c>
      <c r="D3" s="14" t="s">
        <v>12</v>
      </c>
      <c r="E3" s="14" t="s">
        <v>13</v>
      </c>
      <c r="F3" s="14" t="s">
        <v>14</v>
      </c>
      <c r="G3" s="14" t="s">
        <v>15</v>
      </c>
      <c r="H3" s="14" t="s">
        <v>16</v>
      </c>
      <c r="I3" s="14" t="s">
        <v>17</v>
      </c>
      <c r="J3" s="15"/>
      <c r="K3" s="14" t="s">
        <v>18</v>
      </c>
      <c r="L3" s="14" t="s">
        <v>19</v>
      </c>
      <c r="M3" s="14" t="s">
        <v>20</v>
      </c>
      <c r="N3" s="14" t="s">
        <v>21</v>
      </c>
      <c r="O3" s="14" t="s">
        <v>22</v>
      </c>
      <c r="P3" s="15"/>
      <c r="Q3" s="16" t="s">
        <v>23</v>
      </c>
      <c r="R3" s="9" t="s">
        <v>8</v>
      </c>
      <c r="S3" s="10">
        <f>STN_GAP</f>
        <v>7.31</v>
      </c>
      <c r="W3" s="17" t="s">
        <v>11</v>
      </c>
      <c r="X3" s="17"/>
      <c r="Y3" s="17"/>
      <c r="Z3" s="17" t="s">
        <v>24</v>
      </c>
      <c r="AA3" s="17"/>
      <c r="AB3" s="17"/>
      <c r="AC3" s="17"/>
      <c r="AD3" s="17"/>
      <c r="AE3" s="17"/>
      <c r="AF3" s="17"/>
      <c r="AG3" s="17" t="s">
        <v>4</v>
      </c>
      <c r="AH3" s="17"/>
      <c r="AI3" s="17" t="s">
        <v>25</v>
      </c>
      <c r="AJ3" s="17"/>
      <c r="AK3" s="17"/>
      <c r="AL3" s="17"/>
      <c r="AM3" s="18" t="s">
        <v>11</v>
      </c>
      <c r="AO3" s="12" t="s">
        <v>9</v>
      </c>
      <c r="AP3" s="13" t="s">
        <v>10</v>
      </c>
      <c r="AQ3" s="19"/>
      <c r="AR3" s="14" t="s">
        <v>12</v>
      </c>
      <c r="AS3" s="14" t="s">
        <v>13</v>
      </c>
      <c r="AT3" s="14" t="s">
        <v>14</v>
      </c>
      <c r="AU3" s="14" t="s">
        <v>15</v>
      </c>
      <c r="AV3" s="14" t="s">
        <v>16</v>
      </c>
      <c r="AW3" s="14" t="s">
        <v>17</v>
      </c>
      <c r="AY3" s="14" t="s">
        <v>18</v>
      </c>
      <c r="AZ3" s="14" t="s">
        <v>19</v>
      </c>
      <c r="BA3" s="14" t="s">
        <v>20</v>
      </c>
      <c r="BB3" s="14" t="s">
        <v>21</v>
      </c>
      <c r="BC3" s="14" t="s">
        <v>22</v>
      </c>
      <c r="BE3" s="16" t="s">
        <v>23</v>
      </c>
      <c r="BF3" s="9" t="s">
        <v>8</v>
      </c>
      <c r="BG3" s="10">
        <f>STN_GAP</f>
        <v>7.31</v>
      </c>
    </row>
    <row r="4" spans="1:60" x14ac:dyDescent="0.25">
      <c r="A4" s="20">
        <f>Tools!$AD3</f>
        <v>0</v>
      </c>
      <c r="B4" s="21" t="str">
        <f t="shared" ref="B4:B28" si="0">VLOOKUP(A4,OFFSET_A,Count_WL+1,FALSE)</f>
        <v xml:space="preserve">  </v>
      </c>
      <c r="C4" s="22">
        <f>IF(A4="  ","  ",IF(A5="  ","?",1*(A5-A4)))</f>
        <v>0.5</v>
      </c>
      <c r="D4" s="23" t="str">
        <f>IFERROR(B4*C4,"  ")</f>
        <v xml:space="preserve">  </v>
      </c>
      <c r="E4" s="24">
        <f t="shared" ref="E4:E28" si="1">IFERROR(A4-(Long_Div/2),"  ")</f>
        <v>-10</v>
      </c>
      <c r="F4" s="23" t="str">
        <f>IFERROR(D4*E4,"  ")</f>
        <v xml:space="preserve">  </v>
      </c>
      <c r="G4" s="23" t="str">
        <f>IFERROR(F4*E4,"  ")</f>
        <v xml:space="preserve">  </v>
      </c>
      <c r="H4" s="23" t="str">
        <f>IFERROR(B4^3,"  ")</f>
        <v xml:space="preserve">  </v>
      </c>
      <c r="I4" s="23" t="str">
        <f>IFERROR(H4*C4,"  ")</f>
        <v xml:space="preserve">  </v>
      </c>
      <c r="J4" s="4"/>
      <c r="K4" s="25" t="str">
        <f t="shared" ref="K4:K28" si="2">VLOOKUP(A4,AREA_TABLE,Count_WL+1,FALSE)</f>
        <v xml:space="preserve"> </v>
      </c>
      <c r="L4" s="23" t="str">
        <f>IFERROR(K4*C4,"  ")</f>
        <v xml:space="preserve">  </v>
      </c>
      <c r="M4" s="26" t="str">
        <f t="shared" ref="M4:M28" si="3">VLOOKUP(A4,MOMENT_TABLE,Count_WL+1,FALSE)</f>
        <v xml:space="preserve"> </v>
      </c>
      <c r="N4" s="27" t="str">
        <f>IFERROR(M4*C4,"  ")</f>
        <v xml:space="preserve">  </v>
      </c>
      <c r="O4" s="23" t="str">
        <f>IFERROR(L4*E4,"  ")</f>
        <v xml:space="preserve">  </v>
      </c>
      <c r="P4" s="4"/>
      <c r="Q4" s="16" t="s">
        <v>26</v>
      </c>
      <c r="R4" s="9" t="s">
        <v>8</v>
      </c>
      <c r="S4" s="28">
        <f>LBP</f>
        <v>146.19999999999999</v>
      </c>
      <c r="W4" s="29">
        <f>IF(AO4="  ","  ",IF(AO5="  ","?",1*(AO5-AO4)))</f>
        <v>0.5</v>
      </c>
      <c r="X4" s="30" t="str">
        <f t="shared" ref="X4:X28" si="4">IF(Y4=0,"--",CONCATENATE(IF(AO4=0,"-",IF(Y3=0,"-",IF(AO4-AO3=0.5,"D",IF(AO4-AO3=1,"W","-")))),IF(AO4=Long_Div,"-",IF(Y5=0,"-",IF(AO5-AO4=0.5,"D",IF(AO5-AO4=1,"W","-"))))))</f>
        <v>-D</v>
      </c>
      <c r="Y4" s="30" t="str">
        <f t="shared" ref="Y4:Y28" si="5">IF(ISNUMBER(AO4),IF(AO4=Long_Div/2,"-",IF(AND(AO4=Long_Div,$AP4=0,$AP3=0),0,IF(AND(AO4=0,$AP4=0,$AP5=0),0,IF($AO4&lt;Long_Div/2,IF(AND(Y3=0,$AP4=0,$AP5=0),0,"-"),IF(AND(Y5=0,$AP4=0,$AP3=0),0,"-")))))," ")</f>
        <v>-</v>
      </c>
      <c r="Z4" s="29" t="b">
        <f t="shared" ref="Z4:Z28" si="6">IF(ISNUMBER(AO4),IF(AO4=0,IF(AO5=0.5,TRUE,FALSE),IF(AO4=Long_Div,IF(AO3=Long_Div-0.5,TRUE,FALSE),IF(OR(AO5-AO4=0.5,AO4-AO3=0.5),TRUE,FALSE)))," ")</f>
        <v>1</v>
      </c>
      <c r="AA4" s="29" t="b">
        <f t="shared" ref="AA4:AA28" si="7">IF(ISNUMBER(AO4),IF(Y4=0," ",IF(AO4=0,IF(AO5=0.5,TRUE,"-"),IF(AO4=Long_Div,IF(AO3=Long_Div-0.5,TRUE,"-"),IF(OR(AO5-AO4=0.5,AO4-AO3=0.5),TRUE,FALSE))))," ")</f>
        <v>1</v>
      </c>
      <c r="AB4" s="29" t="str">
        <f t="shared" ref="AB4:AB28" ca="1" si="8">IF(AO4&lt;=Long_Div/2,IF(ISNUMBER(AO4),IF($X$1=0,"---",IF($X$1=1,"##",IF($X$1=2,IF(AD4=1,"141-4",IF(OR(AD4=0,AD4=2),"141-1","**")),IF(AC4&lt;=($Y$1),"--",IF(AC4&gt;$W$1,"++",IF(ISODD($X$1),IF(OR(AD4=1,AD4=$X$1),"141-1",IF(ISODD(AD4),"141-2",IF(ISEVEN(AD4),"141-4","+"))),IF(ISEVEN($X$1),IF(AD4=1,"1331-1",IF(OR(AD4=2,AD4=3),"1331-3",IF(AD4=4,IF($X$1=4,"1331-1","1331-1,141-1"),IF(AD4=$X$1,"141-1",IF(AD4&lt;=4,"??",IF(ISODD(AD4),"141-4",IF(ISEVEN(AD4),"141-2","SS"))))))))))))))," "),IF(AO4&gt;Long_Div/2,IF(ISNUMBER(AO4),IF($AD$1=0,"---",IF($AD$1=1,"##",IF($AD$1=2,IF(AD4=1,"141-4",IF(OR(AD4=0,AD4=2),"141-1","**")),IF(AC4&lt;=($AE$1),"--",IF(AC4&gt;$AC$1,"++",IF(ISODD($AD$1),IF(OR(AD4=1,AD4=$AD$1),"141-1",IF(ISODD(AD4),"141-2",IF(ISEVEN(AD4),"141-4","+"))),IF(ISEVEN($AD$1),IF(AD4=1,"1331-1",IF(OR(AD4=2,AD4=3),"1331-3",IF(AD4=4,IF($AD$1=4,"1331-1","1331-1,141-1"),IF(AD4=$AD$1,"141-1",IF(AD4&lt;=4,"??",IF(ISODD(AD4),"141-4",IF(ISEVEN(AD4),"141-2","SS"))))))))))))))," "),"@"))</f>
        <v>141-1</v>
      </c>
      <c r="AC4" s="29">
        <f>IF(ISNUMBER(AO4),IF(ISNUMBER(AO4),IF(OR(AO4=0,AO4=Long_Div),1,IF(AO4&gt;Long_Div/2,AC5+1,IF(AO4&lt;=Long_Div/2,AE3+1,"?")))," --")," ")</f>
        <v>1</v>
      </c>
      <c r="AD4" s="29">
        <f t="shared" ref="AD4:AD28" ca="1" si="9">IF(ISNUMBER(AO4),IF(AO4&gt;Long_Div/2,4-ROW(AD4)+Max_STN_count-$AE$1,ROW(AD4)-3-$Y$1)," ")</f>
        <v>1</v>
      </c>
      <c r="AE4" s="29">
        <v>1</v>
      </c>
      <c r="AF4" s="31" t="str">
        <f t="shared" ref="AF4:AF8" si="10">IF(AND(AG4=TRUE,OR(NOT(AG3=TRUE),AG3="Full")),1,IF(ISNUMBER(AF3),AF3+1," "))</f>
        <v xml:space="preserve"> </v>
      </c>
      <c r="AG4" s="29" t="b">
        <f t="shared" ref="AG4:AG28" si="11">IF(ISNUMBER(AO4),IF(AA4=" "," ",IF(AO4=0,IF(AO5-AO4=1,TRUE,FALSE),IF(AO4=Long_Div,IF(AO4-AO3=1,TRUE,FALSE),IF(OR(AO5-AO4=1,AO4-AO3=1),TRUE,FALSE))))," ")</f>
        <v>0</v>
      </c>
      <c r="AH4" s="30" t="str">
        <f t="shared" ref="AH4:AH13" si="12">IF(AND(AG4=TRUE,$AH$1=1),"141-4",IF(AG4=" ",IF(AND($AH$1=2,AF4=3),"141-1","-"),IF(OR(AG4=FALSE,AG4=" "),"-",IF(AG4=TRUE,IF(AND($AH$1=2,AF4=1),"141-1",IF(AND($AH$1=2,AF4=2),"141-4",IF(OR(ISODD($AH$1),AF4&gt;4),IF(AF4=1,"141-1",IF(OR(AB4="141-1",AB4="1331-1",AB4="1331-1,141-1"),"141-1",IF(AG5=" ","141-1",IF(OR(AH3="141-1",AH3="141-2",AH3="1331-1,141-1"),"141-4",IF(AH3="141-4","141-2","$$"))))),IF(ISEVEN($AH$1),IF(AF4=1,"1331-1",IF(OR(AF4=2,AF4=3),"1331-3",IF(AF4=4,IF($AH$1=4,"1331-1","1331-1,141-1"),"")))))))))))</f>
        <v>-</v>
      </c>
      <c r="AI4" s="30" t="str">
        <f t="shared" ref="AI4:AI28" ca="1" si="13">IF(OR(AB4="1331-1",AB4="1331-1,141-1"),"(1/2)*(3/8)",IF(AB4="1331-3","(1/2)*(9/8)",IF(AB4="141-1","(1/2)*(1/3)",IF(AB4="141-2","(1/2)*(2/3)",IF(AB4="141-4","(1/2)*(4/3)","")))))</f>
        <v>(1/2)*(1/3)</v>
      </c>
      <c r="AJ4" s="29">
        <f t="shared" ref="AJ4:AJ28" ca="1" si="14">IF(OR(AB4="1331-1",AB4="1331-1,141-1"),(1/2)*(3/8),IF(AB4="1331-3",(1/2)*(9/8),IF(AB4="141-1",(1/2)*(1/3),IF(AB4="141-2",(1/2)*(2/3),IF(AB4="141-4",(1/2)*(4/3),0)))))</f>
        <v>0.16666666666666666</v>
      </c>
      <c r="AK4" s="29" t="str">
        <f t="shared" ref="AK4:AK28" si="15">IF(AH4="1331-1,141-1","(1*3/8)+(1/3)",IF(LEFT(AH4,4)="141-",CONCATENATE(RIGHT(AH4,1),"/3"),IF(LEFT(AH4,4)="1331",CONCATENATE(RIGHT(AH4,1),"*3/8"),"")))</f>
        <v/>
      </c>
      <c r="AL4" s="29">
        <f t="shared" ref="AL4:AL28" si="16">IF(AH4="1331-1,141-1",(1*3/8)+(1/3),IF(LEFT(AH4,4)="141-",(RIGHT(AH4,1)/3),IF(LEFT(AH4,4)="1331",RIGHT(AH4,1)*3/8,0)))</f>
        <v>0</v>
      </c>
      <c r="AM4" s="32">
        <f ca="1">IF(AQ4=""," ",AJ4+AL4)</f>
        <v>0.16666666666666666</v>
      </c>
      <c r="AO4" s="20">
        <f>Tools!$AD3</f>
        <v>0</v>
      </c>
      <c r="AP4" s="33" t="str">
        <f t="shared" ref="AP4" si="17">VLOOKUP(AO4,OFFSET_A,Count_WL+1,FALSE)</f>
        <v xml:space="preserve">  </v>
      </c>
      <c r="AQ4" s="34" t="str">
        <f t="shared" ref="AQ4:AQ28" ca="1" si="18">CONCATENATE(AI4,IF(NOT(OR(AI4="",AK4="")),"+",""),AK4)</f>
        <v>(1/2)*(1/3)</v>
      </c>
      <c r="AR4" s="23" t="str">
        <f t="shared" ref="AR4:AR28" ca="1" si="19">IFERROR(AP4*AM4,"  ")</f>
        <v xml:space="preserve">  </v>
      </c>
      <c r="AS4" s="24">
        <f t="shared" ref="AS4:AS28" si="20">IFERROR(AO4-(Long_Div/2),"  ")</f>
        <v>-10</v>
      </c>
      <c r="AT4" s="23" t="str">
        <f ca="1">IFERROR(AR4*AS4,"  ")</f>
        <v xml:space="preserve">  </v>
      </c>
      <c r="AU4" s="23" t="str">
        <f ca="1">IFERROR(AT4*AS4,"  ")</f>
        <v xml:space="preserve">  </v>
      </c>
      <c r="AV4" s="23" t="str">
        <f t="shared" ref="AV4:AV28" si="21">IFERROR(AP4^3,"  ")</f>
        <v xml:space="preserve">  </v>
      </c>
      <c r="AW4" s="23" t="str">
        <f t="shared" ref="AW4:AW28" ca="1" si="22">IFERROR(AV4*AM4,"  ")</f>
        <v xml:space="preserve">  </v>
      </c>
      <c r="AY4" s="35" t="str">
        <f t="shared" ref="AY4:AY28" si="23">IF(ROW(AY4)-3&gt;Max_STN_count," ",VLOOKUP(AO4,AREA_TABLE,Count_WL+1,FALSE))</f>
        <v xml:space="preserve"> </v>
      </c>
      <c r="AZ4" s="23" t="str">
        <f t="shared" ref="AZ4:AZ7" ca="1" si="24">IFERROR(AY4*AM4,"  ")</f>
        <v xml:space="preserve">  </v>
      </c>
      <c r="BA4" s="36" t="str">
        <f t="shared" ref="BA4:BA28" si="25">IF(ROW(AY4)-3&gt;Max_STN_count," ",VLOOKUP(AO4,MOMENT_TABLE,Count_WL+1,FALSE))</f>
        <v xml:space="preserve"> </v>
      </c>
      <c r="BB4" s="27" t="str">
        <f ca="1">IFERROR(BA4*AM4,"  ")</f>
        <v xml:space="preserve">  </v>
      </c>
      <c r="BC4" s="23" t="str">
        <f ca="1">IFERROR(AZ4*AS4,"  ")</f>
        <v xml:space="preserve">  </v>
      </c>
      <c r="BE4" s="16" t="s">
        <v>26</v>
      </c>
      <c r="BF4" s="9" t="s">
        <v>8</v>
      </c>
      <c r="BG4" s="28">
        <f>LBP</f>
        <v>146.19999999999999</v>
      </c>
    </row>
    <row r="5" spans="1:60" x14ac:dyDescent="0.25">
      <c r="A5" s="20">
        <f>Tools!$AD4</f>
        <v>0.5</v>
      </c>
      <c r="B5" s="33" t="str">
        <f t="shared" si="0"/>
        <v xml:space="preserve">  </v>
      </c>
      <c r="C5" s="22">
        <f>IF(A5="  ","  ",IF(AND(A4="  ",A6="  "),"?",IF(A4="  ",2*(A6-A5),IF(A6="  ",2*(A5-A4),2*(A6-A4)))))</f>
        <v>2</v>
      </c>
      <c r="D5" s="23" t="str">
        <f t="shared" ref="D5:D28" si="26">IFERROR(B5*C5,"  ")</f>
        <v xml:space="preserve">  </v>
      </c>
      <c r="E5" s="24">
        <f t="shared" si="1"/>
        <v>-9.5</v>
      </c>
      <c r="F5" s="23" t="str">
        <f t="shared" ref="F5:F28" si="27">IFERROR(D5*E5,"  ")</f>
        <v xml:space="preserve">  </v>
      </c>
      <c r="G5" s="23" t="str">
        <f t="shared" ref="G5:G28" si="28">IFERROR(F5*E5,"  ")</f>
        <v xml:space="preserve">  </v>
      </c>
      <c r="H5" s="23" t="str">
        <f t="shared" ref="H5:H28" si="29">IFERROR(B5^3,"  ")</f>
        <v xml:space="preserve">  </v>
      </c>
      <c r="I5" s="23" t="str">
        <f t="shared" ref="I5:I28" si="30">IFERROR(H5*C5,"  ")</f>
        <v xml:space="preserve">  </v>
      </c>
      <c r="J5" s="4"/>
      <c r="K5" s="37" t="str">
        <f t="shared" si="2"/>
        <v xml:space="preserve"> </v>
      </c>
      <c r="L5" s="23" t="str">
        <f t="shared" ref="L5:L28" si="31">IFERROR(K5*C5,"  ")</f>
        <v xml:space="preserve">  </v>
      </c>
      <c r="M5" s="38" t="str">
        <f t="shared" si="3"/>
        <v xml:space="preserve"> </v>
      </c>
      <c r="N5" s="27" t="str">
        <f t="shared" ref="N5:N28" si="32">IFERROR(M5*C5,"  ")</f>
        <v xml:space="preserve">  </v>
      </c>
      <c r="O5" s="23" t="str">
        <f t="shared" ref="O5:O28" si="33">IFERROR(L5*E5,"  ")</f>
        <v xml:space="preserve">  </v>
      </c>
      <c r="P5" s="4"/>
      <c r="Q5" s="8" t="s">
        <v>27</v>
      </c>
      <c r="R5" s="9" t="s">
        <v>8</v>
      </c>
      <c r="S5" s="10">
        <f>BREADTH</f>
        <v>22</v>
      </c>
      <c r="W5" s="29">
        <f>IF(AO5="  ","  ",IF(AND(AO4="  ",AO6="  "),"?",IF(AO4="  ",2*(AO6-AO5),IF(AO6="  ",2*(AO5-AO4),2*(AO6-AO4)))))</f>
        <v>2</v>
      </c>
      <c r="X5" s="30" t="str">
        <f t="shared" si="4"/>
        <v>DD</v>
      </c>
      <c r="Y5" s="30" t="str">
        <f t="shared" si="5"/>
        <v>-</v>
      </c>
      <c r="Z5" s="29" t="b">
        <f t="shared" si="6"/>
        <v>1</v>
      </c>
      <c r="AA5" s="29" t="b">
        <f t="shared" si="7"/>
        <v>1</v>
      </c>
      <c r="AB5" s="29" t="str">
        <f t="shared" ca="1" si="8"/>
        <v>141-4</v>
      </c>
      <c r="AC5" s="29">
        <f t="shared" ref="AC5:AC27" si="34">IF(ISNUMBER(AO5),IF(ISNUMBER(AO5),IF(OR(AO5=0,AO5=Long_Div),1,IF(AO5&gt;Long_Div/2,AC6+1,IF(AO5&lt;=Long_Div/2,AC4+1,"?")))," --")," ")</f>
        <v>2</v>
      </c>
      <c r="AD5" s="29">
        <f t="shared" ca="1" si="9"/>
        <v>2</v>
      </c>
      <c r="AE5" s="29">
        <v>2</v>
      </c>
      <c r="AF5" s="31" t="str">
        <f t="shared" si="10"/>
        <v xml:space="preserve"> </v>
      </c>
      <c r="AG5" s="29" t="b">
        <f t="shared" si="11"/>
        <v>0</v>
      </c>
      <c r="AH5" s="30" t="str">
        <f t="shared" si="12"/>
        <v>-</v>
      </c>
      <c r="AI5" s="30" t="str">
        <f t="shared" ca="1" si="13"/>
        <v>(1/2)*(4/3)</v>
      </c>
      <c r="AJ5" s="29">
        <f t="shared" ca="1" si="14"/>
        <v>0.66666666666666663</v>
      </c>
      <c r="AK5" s="29" t="str">
        <f t="shared" si="15"/>
        <v/>
      </c>
      <c r="AL5" s="29">
        <f t="shared" si="16"/>
        <v>0</v>
      </c>
      <c r="AM5" s="32">
        <f t="shared" ref="AM5:AM28" ca="1" si="35">IF(AQ5=""," ",AJ5+AL5)</f>
        <v>0.66666666666666663</v>
      </c>
      <c r="AO5" s="20">
        <f>Tools!$AD4</f>
        <v>0.5</v>
      </c>
      <c r="AP5" s="33" t="str">
        <f t="shared" ref="AP5:AP26" si="36">VLOOKUP(AO5,OFFSET_A,Count_WL+1,FALSE)</f>
        <v xml:space="preserve">  </v>
      </c>
      <c r="AQ5" s="34" t="str">
        <f t="shared" ca="1" si="18"/>
        <v>(1/2)*(4/3)</v>
      </c>
      <c r="AR5" s="23" t="str">
        <f t="shared" ca="1" si="19"/>
        <v xml:space="preserve">  </v>
      </c>
      <c r="AS5" s="24">
        <f t="shared" si="20"/>
        <v>-9.5</v>
      </c>
      <c r="AT5" s="23" t="str">
        <f t="shared" ref="AT5:AT28" ca="1" si="37">IFERROR(AR5*AS5,"  ")</f>
        <v xml:space="preserve">  </v>
      </c>
      <c r="AU5" s="23" t="str">
        <f ca="1">IFERROR(AT5*AS5,"  ")</f>
        <v xml:space="preserve">  </v>
      </c>
      <c r="AV5" s="23" t="str">
        <f t="shared" si="21"/>
        <v xml:space="preserve">  </v>
      </c>
      <c r="AW5" s="23" t="str">
        <f t="shared" ca="1" si="22"/>
        <v xml:space="preserve">  </v>
      </c>
      <c r="AY5" s="35" t="str">
        <f t="shared" si="23"/>
        <v xml:space="preserve"> </v>
      </c>
      <c r="AZ5" s="23" t="str">
        <f t="shared" ca="1" si="24"/>
        <v xml:space="preserve">  </v>
      </c>
      <c r="BA5" s="36" t="str">
        <f t="shared" si="25"/>
        <v xml:space="preserve"> </v>
      </c>
      <c r="BB5" s="27" t="str">
        <f t="shared" ref="BB5:BB28" ca="1" si="38">IFERROR(BA5*AM5,"  ")</f>
        <v xml:space="preserve">  </v>
      </c>
      <c r="BC5" s="23" t="str">
        <f t="shared" ref="BC5:BC28" ca="1" si="39">IFERROR(AZ5*AS5,"  ")</f>
        <v xml:space="preserve">  </v>
      </c>
      <c r="BE5" s="8" t="s">
        <v>27</v>
      </c>
      <c r="BF5" s="9" t="s">
        <v>8</v>
      </c>
      <c r="BG5" s="10">
        <f>BREADTH</f>
        <v>22</v>
      </c>
    </row>
    <row r="6" spans="1:60" x14ac:dyDescent="0.25">
      <c r="A6" s="20">
        <f>Tools!$AD5</f>
        <v>1</v>
      </c>
      <c r="B6" s="33" t="str">
        <f t="shared" si="0"/>
        <v xml:space="preserve">  </v>
      </c>
      <c r="C6" s="22">
        <f>IF(A6="  ","  ",IF(AND(A5="  ",A7="  "),"?",IF(A5="  ",1*(A7-A6),IF(A7="  ",1*(A6-A5),1*(A7-A5)))))</f>
        <v>1</v>
      </c>
      <c r="D6" s="23" t="str">
        <f t="shared" si="26"/>
        <v xml:space="preserve">  </v>
      </c>
      <c r="E6" s="24">
        <f t="shared" si="1"/>
        <v>-9</v>
      </c>
      <c r="F6" s="23" t="str">
        <f t="shared" si="27"/>
        <v xml:space="preserve">  </v>
      </c>
      <c r="G6" s="23" t="str">
        <f t="shared" si="28"/>
        <v xml:space="preserve">  </v>
      </c>
      <c r="H6" s="23" t="str">
        <f t="shared" si="29"/>
        <v xml:space="preserve">  </v>
      </c>
      <c r="I6" s="23" t="str">
        <f t="shared" si="30"/>
        <v xml:space="preserve">  </v>
      </c>
      <c r="J6" s="4"/>
      <c r="K6" s="37" t="str">
        <f t="shared" si="2"/>
        <v xml:space="preserve"> </v>
      </c>
      <c r="L6" s="23" t="str">
        <f t="shared" si="31"/>
        <v xml:space="preserve">  </v>
      </c>
      <c r="M6" s="38" t="str">
        <f t="shared" si="3"/>
        <v xml:space="preserve"> </v>
      </c>
      <c r="N6" s="27" t="str">
        <f t="shared" si="32"/>
        <v xml:space="preserve">  </v>
      </c>
      <c r="O6" s="23" t="str">
        <f t="shared" si="33"/>
        <v xml:space="preserve">  </v>
      </c>
      <c r="P6" s="4"/>
      <c r="Q6" s="8" t="s">
        <v>28</v>
      </c>
      <c r="R6" s="9" t="s">
        <v>8</v>
      </c>
      <c r="S6" s="10">
        <f>DEPTH</f>
        <v>13</v>
      </c>
      <c r="W6" s="29">
        <f>IF(AO6="  ","  ",IF(AND(AO5="  ",AO7="  "),"?",IF(AO5="  ",1*(AO7-AO6),IF(AO7="  ",1*(AO6-AO5),1*(AO7-AO5)))))</f>
        <v>1</v>
      </c>
      <c r="X6" s="30" t="str">
        <f t="shared" si="4"/>
        <v>DD</v>
      </c>
      <c r="Y6" s="30" t="str">
        <f t="shared" si="5"/>
        <v>-</v>
      </c>
      <c r="Z6" s="29" t="b">
        <f t="shared" si="6"/>
        <v>1</v>
      </c>
      <c r="AA6" s="29" t="b">
        <f t="shared" si="7"/>
        <v>1</v>
      </c>
      <c r="AB6" s="29" t="str">
        <f t="shared" ca="1" si="8"/>
        <v>141-2</v>
      </c>
      <c r="AC6" s="29">
        <f t="shared" si="34"/>
        <v>3</v>
      </c>
      <c r="AD6" s="29">
        <f t="shared" ca="1" si="9"/>
        <v>3</v>
      </c>
      <c r="AE6" s="29">
        <v>3</v>
      </c>
      <c r="AF6" s="31" t="str">
        <f t="shared" si="10"/>
        <v xml:space="preserve"> </v>
      </c>
      <c r="AG6" s="29" t="b">
        <f t="shared" si="11"/>
        <v>0</v>
      </c>
      <c r="AH6" s="30" t="str">
        <f t="shared" si="12"/>
        <v>-</v>
      </c>
      <c r="AI6" s="30" t="str">
        <f t="shared" ca="1" si="13"/>
        <v>(1/2)*(2/3)</v>
      </c>
      <c r="AJ6" s="29">
        <f t="shared" ca="1" si="14"/>
        <v>0.33333333333333331</v>
      </c>
      <c r="AK6" s="29" t="str">
        <f t="shared" si="15"/>
        <v/>
      </c>
      <c r="AL6" s="29">
        <f t="shared" si="16"/>
        <v>0</v>
      </c>
      <c r="AM6" s="32">
        <f t="shared" ca="1" si="35"/>
        <v>0.33333333333333331</v>
      </c>
      <c r="AO6" s="20">
        <f>Tools!$AD5</f>
        <v>1</v>
      </c>
      <c r="AP6" s="33" t="str">
        <f t="shared" si="36"/>
        <v xml:space="preserve">  </v>
      </c>
      <c r="AQ6" s="34" t="str">
        <f t="shared" ca="1" si="18"/>
        <v>(1/2)*(2/3)</v>
      </c>
      <c r="AR6" s="23" t="str">
        <f t="shared" ca="1" si="19"/>
        <v xml:space="preserve">  </v>
      </c>
      <c r="AS6" s="24">
        <f t="shared" si="20"/>
        <v>-9</v>
      </c>
      <c r="AT6" s="23" t="str">
        <f t="shared" ca="1" si="37"/>
        <v xml:space="preserve">  </v>
      </c>
      <c r="AU6" s="23" t="str">
        <f ca="1">IFERROR(AT6*AS6,"  ")</f>
        <v xml:space="preserve">  </v>
      </c>
      <c r="AV6" s="23" t="str">
        <f t="shared" si="21"/>
        <v xml:space="preserve">  </v>
      </c>
      <c r="AW6" s="23" t="str">
        <f t="shared" ca="1" si="22"/>
        <v xml:space="preserve">  </v>
      </c>
      <c r="AY6" s="35" t="str">
        <f t="shared" si="23"/>
        <v xml:space="preserve"> </v>
      </c>
      <c r="AZ6" s="23" t="str">
        <f t="shared" ca="1" si="24"/>
        <v xml:space="preserve">  </v>
      </c>
      <c r="BA6" s="36" t="str">
        <f t="shared" si="25"/>
        <v xml:space="preserve"> </v>
      </c>
      <c r="BB6" s="27" t="str">
        <f t="shared" ca="1" si="38"/>
        <v xml:space="preserve">  </v>
      </c>
      <c r="BC6" s="23" t="str">
        <f t="shared" ca="1" si="39"/>
        <v xml:space="preserve">  </v>
      </c>
      <c r="BE6" s="8" t="s">
        <v>28</v>
      </c>
      <c r="BF6" s="9" t="s">
        <v>8</v>
      </c>
      <c r="BG6" s="10">
        <f>DEPTH</f>
        <v>13</v>
      </c>
    </row>
    <row r="7" spans="1:60" x14ac:dyDescent="0.25">
      <c r="A7" s="20">
        <f>Tools!$AD6</f>
        <v>1.5</v>
      </c>
      <c r="B7" s="33" t="str">
        <f t="shared" si="0"/>
        <v xml:space="preserve">  </v>
      </c>
      <c r="C7" s="22">
        <f>IF(A7="  ","  ",IF(AND(A6="  ",A8="  "),"?",IF(A6="  ",2*(A8-A7),IF(A8="  ",2*(A7-A6),2*(A8-A6)))))</f>
        <v>2</v>
      </c>
      <c r="D7" s="23" t="str">
        <f t="shared" si="26"/>
        <v xml:space="preserve">  </v>
      </c>
      <c r="E7" s="24">
        <f t="shared" si="1"/>
        <v>-8.5</v>
      </c>
      <c r="F7" s="23" t="str">
        <f t="shared" si="27"/>
        <v xml:space="preserve">  </v>
      </c>
      <c r="G7" s="23" t="str">
        <f t="shared" si="28"/>
        <v xml:space="preserve">  </v>
      </c>
      <c r="H7" s="23" t="str">
        <f t="shared" si="29"/>
        <v xml:space="preserve">  </v>
      </c>
      <c r="I7" s="23" t="str">
        <f t="shared" si="30"/>
        <v xml:space="preserve">  </v>
      </c>
      <c r="J7" s="4"/>
      <c r="K7" s="37" t="str">
        <f t="shared" si="2"/>
        <v xml:space="preserve"> </v>
      </c>
      <c r="L7" s="23" t="str">
        <f t="shared" si="31"/>
        <v xml:space="preserve">  </v>
      </c>
      <c r="M7" s="38" t="str">
        <f t="shared" si="3"/>
        <v xml:space="preserve"> </v>
      </c>
      <c r="N7" s="27" t="str">
        <f t="shared" si="32"/>
        <v xml:space="preserve">  </v>
      </c>
      <c r="O7" s="23" t="str">
        <f t="shared" si="33"/>
        <v xml:space="preserve">  </v>
      </c>
      <c r="P7" s="4"/>
      <c r="Q7" s="39" t="s">
        <v>29</v>
      </c>
      <c r="R7" s="40" t="s">
        <v>8</v>
      </c>
      <c r="S7" s="41" t="str">
        <f>IF(MAX(B4:B28)=0," ",2*MAX(B4:B28))</f>
        <v xml:space="preserve"> </v>
      </c>
      <c r="W7" s="29">
        <f>IF(AO7="  ","  ",IF(AND(AO6="  ",AO8="  "),"?",IF(AO6="  ",2*(AO8-AO7),IF(AO8="  ",2*(AO7-AO6),2*(AO8-AO6)))))</f>
        <v>2</v>
      </c>
      <c r="X7" s="30" t="str">
        <f t="shared" si="4"/>
        <v>DD</v>
      </c>
      <c r="Y7" s="30" t="str">
        <f t="shared" si="5"/>
        <v>-</v>
      </c>
      <c r="Z7" s="29" t="b">
        <f t="shared" si="6"/>
        <v>1</v>
      </c>
      <c r="AA7" s="29" t="b">
        <f t="shared" si="7"/>
        <v>1</v>
      </c>
      <c r="AB7" s="29" t="str">
        <f t="shared" ca="1" si="8"/>
        <v>141-4</v>
      </c>
      <c r="AC7" s="29">
        <f t="shared" si="34"/>
        <v>4</v>
      </c>
      <c r="AD7" s="29">
        <f t="shared" ca="1" si="9"/>
        <v>4</v>
      </c>
      <c r="AE7" s="29">
        <v>4</v>
      </c>
      <c r="AF7" s="31" t="str">
        <f t="shared" si="10"/>
        <v xml:space="preserve"> </v>
      </c>
      <c r="AG7" s="29" t="b">
        <f t="shared" si="11"/>
        <v>0</v>
      </c>
      <c r="AH7" s="30" t="str">
        <f t="shared" si="12"/>
        <v>-</v>
      </c>
      <c r="AI7" s="30" t="str">
        <f t="shared" ca="1" si="13"/>
        <v>(1/2)*(4/3)</v>
      </c>
      <c r="AJ7" s="29">
        <f t="shared" ca="1" si="14"/>
        <v>0.66666666666666663</v>
      </c>
      <c r="AK7" s="29" t="str">
        <f t="shared" si="15"/>
        <v/>
      </c>
      <c r="AL7" s="29">
        <f t="shared" si="16"/>
        <v>0</v>
      </c>
      <c r="AM7" s="32">
        <f t="shared" ca="1" si="35"/>
        <v>0.66666666666666663</v>
      </c>
      <c r="AO7" s="20">
        <f>Tools!$AD6</f>
        <v>1.5</v>
      </c>
      <c r="AP7" s="33" t="str">
        <f t="shared" si="36"/>
        <v xml:space="preserve">  </v>
      </c>
      <c r="AQ7" s="34" t="str">
        <f t="shared" ca="1" si="18"/>
        <v>(1/2)*(4/3)</v>
      </c>
      <c r="AR7" s="23" t="str">
        <f t="shared" ca="1" si="19"/>
        <v xml:space="preserve">  </v>
      </c>
      <c r="AS7" s="24">
        <f t="shared" si="20"/>
        <v>-8.5</v>
      </c>
      <c r="AT7" s="23" t="str">
        <f t="shared" ca="1" si="37"/>
        <v xml:space="preserve">  </v>
      </c>
      <c r="AU7" s="23" t="str">
        <f t="shared" ref="AU7:AU28" ca="1" si="40">IFERROR(AT7*AS7,"  ")</f>
        <v xml:space="preserve">  </v>
      </c>
      <c r="AV7" s="23" t="str">
        <f t="shared" si="21"/>
        <v xml:space="preserve">  </v>
      </c>
      <c r="AW7" s="23" t="str">
        <f t="shared" ca="1" si="22"/>
        <v xml:space="preserve">  </v>
      </c>
      <c r="AY7" s="35" t="str">
        <f t="shared" si="23"/>
        <v xml:space="preserve"> </v>
      </c>
      <c r="AZ7" s="23" t="str">
        <f t="shared" ca="1" si="24"/>
        <v xml:space="preserve">  </v>
      </c>
      <c r="BA7" s="36" t="str">
        <f t="shared" si="25"/>
        <v xml:space="preserve"> </v>
      </c>
      <c r="BB7" s="27" t="str">
        <f t="shared" ca="1" si="38"/>
        <v xml:space="preserve">  </v>
      </c>
      <c r="BC7" s="23" t="str">
        <f t="shared" ca="1" si="39"/>
        <v xml:space="preserve">  </v>
      </c>
      <c r="BE7" s="8" t="s">
        <v>29</v>
      </c>
      <c r="BF7" s="9" t="s">
        <v>8</v>
      </c>
      <c r="BG7" s="10" t="str">
        <f>IF(MAX(AP4:AP28)=0," ",2*MAX(AP4:AP28))</f>
        <v xml:space="preserve"> </v>
      </c>
    </row>
    <row r="8" spans="1:60" x14ac:dyDescent="0.25">
      <c r="A8" s="20">
        <f>Tools!$AD7</f>
        <v>2</v>
      </c>
      <c r="B8" s="33" t="str">
        <f t="shared" si="0"/>
        <v xml:space="preserve">  </v>
      </c>
      <c r="C8" s="22">
        <f>IF(A8="  ","  ",IF(AND(A7="  ",A9="  "),"?",IF(A7="  ",1*(A9-A8),IF(A9="  ",1*(A8-A7),1*(A9-A7)))))</f>
        <v>1.5</v>
      </c>
      <c r="D8" s="23" t="str">
        <f t="shared" si="26"/>
        <v xml:space="preserve">  </v>
      </c>
      <c r="E8" s="24">
        <f t="shared" si="1"/>
        <v>-8</v>
      </c>
      <c r="F8" s="23" t="str">
        <f t="shared" si="27"/>
        <v xml:space="preserve">  </v>
      </c>
      <c r="G8" s="23" t="str">
        <f t="shared" si="28"/>
        <v xml:space="preserve">  </v>
      </c>
      <c r="H8" s="23" t="str">
        <f t="shared" si="29"/>
        <v xml:space="preserve">  </v>
      </c>
      <c r="I8" s="23" t="str">
        <f t="shared" si="30"/>
        <v xml:space="preserve">  </v>
      </c>
      <c r="J8" s="4"/>
      <c r="K8" s="37" t="str">
        <f t="shared" si="2"/>
        <v xml:space="preserve"> </v>
      </c>
      <c r="L8" s="23" t="str">
        <f t="shared" si="31"/>
        <v xml:space="preserve">  </v>
      </c>
      <c r="M8" s="38" t="str">
        <f t="shared" si="3"/>
        <v xml:space="preserve"> </v>
      </c>
      <c r="N8" s="27" t="str">
        <f t="shared" si="32"/>
        <v xml:space="preserve">  </v>
      </c>
      <c r="O8" s="23" t="str">
        <f t="shared" si="33"/>
        <v xml:space="preserve">  </v>
      </c>
      <c r="P8" s="4"/>
      <c r="Q8" s="42"/>
      <c r="R8" s="42"/>
      <c r="S8" s="42"/>
      <c r="W8" s="29">
        <f>IF(AO8="  ","  ",IF(AND(AO7="  ",AO9="  "),"?",IF(AO7="  ",1*(AO9-AO8),IF(AO9="  ",1*(AO8-AO7),1*(AO9-AO7)))))</f>
        <v>1.5</v>
      </c>
      <c r="X8" s="30" t="str">
        <f t="shared" si="4"/>
        <v>DW</v>
      </c>
      <c r="Y8" s="30" t="str">
        <f t="shared" si="5"/>
        <v>-</v>
      </c>
      <c r="Z8" s="29" t="b">
        <f t="shared" si="6"/>
        <v>1</v>
      </c>
      <c r="AA8" s="29" t="b">
        <f t="shared" si="7"/>
        <v>1</v>
      </c>
      <c r="AB8" s="29" t="str">
        <f t="shared" ca="1" si="8"/>
        <v>141-1</v>
      </c>
      <c r="AC8" s="29">
        <f t="shared" si="34"/>
        <v>5</v>
      </c>
      <c r="AD8" s="29">
        <f t="shared" ca="1" si="9"/>
        <v>5</v>
      </c>
      <c r="AE8" s="29">
        <v>5</v>
      </c>
      <c r="AF8" s="31">
        <f t="shared" si="10"/>
        <v>1</v>
      </c>
      <c r="AG8" s="29" t="b">
        <f t="shared" si="11"/>
        <v>1</v>
      </c>
      <c r="AH8" s="30" t="str">
        <f t="shared" si="12"/>
        <v>141-1</v>
      </c>
      <c r="AI8" s="30" t="str">
        <f t="shared" ca="1" si="13"/>
        <v>(1/2)*(1/3)</v>
      </c>
      <c r="AJ8" s="29">
        <f t="shared" ca="1" si="14"/>
        <v>0.16666666666666666</v>
      </c>
      <c r="AK8" s="29" t="str">
        <f t="shared" si="15"/>
        <v>1/3</v>
      </c>
      <c r="AL8" s="29">
        <f t="shared" si="16"/>
        <v>0.33333333333333331</v>
      </c>
      <c r="AM8" s="32">
        <f t="shared" ca="1" si="35"/>
        <v>0.5</v>
      </c>
      <c r="AO8" s="20">
        <f>Tools!$AD7</f>
        <v>2</v>
      </c>
      <c r="AP8" s="33" t="str">
        <f t="shared" si="36"/>
        <v xml:space="preserve">  </v>
      </c>
      <c r="AQ8" s="34" t="str">
        <f t="shared" ca="1" si="18"/>
        <v>(1/2)*(1/3)+1/3</v>
      </c>
      <c r="AR8" s="23" t="str">
        <f t="shared" ca="1" si="19"/>
        <v xml:space="preserve">  </v>
      </c>
      <c r="AS8" s="24">
        <f t="shared" si="20"/>
        <v>-8</v>
      </c>
      <c r="AT8" s="23" t="str">
        <f t="shared" ca="1" si="37"/>
        <v xml:space="preserve">  </v>
      </c>
      <c r="AU8" s="23" t="str">
        <f t="shared" ca="1" si="40"/>
        <v xml:space="preserve">  </v>
      </c>
      <c r="AV8" s="23" t="str">
        <f t="shared" si="21"/>
        <v xml:space="preserve">  </v>
      </c>
      <c r="AW8" s="23" t="str">
        <f t="shared" ca="1" si="22"/>
        <v xml:space="preserve">  </v>
      </c>
      <c r="AY8" s="35" t="str">
        <f t="shared" si="23"/>
        <v xml:space="preserve"> </v>
      </c>
      <c r="AZ8" s="23" t="str">
        <f ca="1">IFERROR(AY8*AM8,"  ")</f>
        <v xml:space="preserve">  </v>
      </c>
      <c r="BA8" s="36" t="str">
        <f t="shared" si="25"/>
        <v xml:space="preserve"> </v>
      </c>
      <c r="BB8" s="27" t="str">
        <f t="shared" ca="1" si="38"/>
        <v xml:space="preserve">  </v>
      </c>
      <c r="BC8" s="23" t="str">
        <f t="shared" ca="1" si="39"/>
        <v xml:space="preserve">  </v>
      </c>
      <c r="BE8" s="8" t="s">
        <v>30</v>
      </c>
      <c r="BF8" s="9" t="s">
        <v>8</v>
      </c>
      <c r="BG8" s="10">
        <f ca="1">LBP-AJ33</f>
        <v>146.19999999999999</v>
      </c>
      <c r="BH8" t="str">
        <f ca="1">IF(AJ33&gt;0,CONCATENATE("(LWL is assumed between stations ",$AH$31," and ",$AH$33," as offset values extreme to these stations are zeros.)"),"")</f>
        <v/>
      </c>
    </row>
    <row r="9" spans="1:60" x14ac:dyDescent="0.25">
      <c r="A9" s="20">
        <f>Tools!$AD8</f>
        <v>3</v>
      </c>
      <c r="B9" s="33" t="str">
        <f t="shared" si="0"/>
        <v xml:space="preserve">  </v>
      </c>
      <c r="C9" s="22">
        <f>IF(A9="  ","  ",IF(AND(A8="  ",A10="  "),"?",IF(A8="  ",2*(A10-A9),IF(A10="  ",2*(A9-A8),2*(A10-A8)))))</f>
        <v>4</v>
      </c>
      <c r="D9" s="23" t="str">
        <f t="shared" si="26"/>
        <v xml:space="preserve">  </v>
      </c>
      <c r="E9" s="24">
        <f t="shared" si="1"/>
        <v>-7</v>
      </c>
      <c r="F9" s="23" t="str">
        <f t="shared" si="27"/>
        <v xml:space="preserve">  </v>
      </c>
      <c r="G9" s="23" t="str">
        <f t="shared" si="28"/>
        <v xml:space="preserve">  </v>
      </c>
      <c r="H9" s="23" t="str">
        <f t="shared" si="29"/>
        <v xml:space="preserve">  </v>
      </c>
      <c r="I9" s="23" t="str">
        <f t="shared" si="30"/>
        <v xml:space="preserve">  </v>
      </c>
      <c r="J9" s="4"/>
      <c r="K9" s="37" t="str">
        <f t="shared" si="2"/>
        <v xml:space="preserve"> </v>
      </c>
      <c r="L9" s="23" t="str">
        <f t="shared" si="31"/>
        <v xml:space="preserve">  </v>
      </c>
      <c r="M9" s="38" t="str">
        <f t="shared" si="3"/>
        <v xml:space="preserve"> </v>
      </c>
      <c r="N9" s="27" t="str">
        <f t="shared" si="32"/>
        <v xml:space="preserve">  </v>
      </c>
      <c r="O9" s="23" t="str">
        <f t="shared" si="33"/>
        <v xml:space="preserve">  </v>
      </c>
      <c r="P9" s="4"/>
      <c r="Q9" s="43" t="s">
        <v>31</v>
      </c>
      <c r="R9" s="44" t="s">
        <v>32</v>
      </c>
      <c r="S9" s="489" t="s">
        <v>33</v>
      </c>
      <c r="W9" s="29">
        <f>IF(AO9="  ","  ",IF(AND(AO8="  ",AO10="  "),"?",IF(AO8="  ",2*(AO10-AO9),IF(AO10="  ",2*(AO9-AO8),2*(AO10-AO8)))))</f>
        <v>4</v>
      </c>
      <c r="X9" s="30" t="str">
        <f t="shared" si="4"/>
        <v>WW</v>
      </c>
      <c r="Y9" s="30" t="str">
        <f t="shared" si="5"/>
        <v>-</v>
      </c>
      <c r="Z9" s="29" t="b">
        <f t="shared" si="6"/>
        <v>0</v>
      </c>
      <c r="AA9" s="29" t="b">
        <f t="shared" si="7"/>
        <v>0</v>
      </c>
      <c r="AB9" s="29" t="str">
        <f t="shared" ca="1" si="8"/>
        <v>++</v>
      </c>
      <c r="AC9" s="29">
        <f t="shared" si="34"/>
        <v>6</v>
      </c>
      <c r="AD9" s="29">
        <f t="shared" ca="1" si="9"/>
        <v>6</v>
      </c>
      <c r="AE9" s="29">
        <v>6</v>
      </c>
      <c r="AF9" s="31">
        <f>IF(AND(AG9=TRUE,OR(NOT(AG8=TRUE),AG8="Full")),1,IF(ISNUMBER(AF8),AF8+1," "))</f>
        <v>2</v>
      </c>
      <c r="AG9" s="29" t="b">
        <f t="shared" si="11"/>
        <v>1</v>
      </c>
      <c r="AH9" s="30" t="str">
        <f t="shared" ca="1" si="12"/>
        <v>141-4</v>
      </c>
      <c r="AI9" s="30" t="str">
        <f t="shared" ca="1" si="13"/>
        <v/>
      </c>
      <c r="AJ9" s="29">
        <f t="shared" ca="1" si="14"/>
        <v>0</v>
      </c>
      <c r="AK9" s="29" t="str">
        <f t="shared" ca="1" si="15"/>
        <v>4/3</v>
      </c>
      <c r="AL9" s="29">
        <f t="shared" ca="1" si="16"/>
        <v>1.3333333333333333</v>
      </c>
      <c r="AM9" s="32">
        <f t="shared" ca="1" si="35"/>
        <v>1.3333333333333333</v>
      </c>
      <c r="AO9" s="20">
        <f>Tools!$AD8</f>
        <v>3</v>
      </c>
      <c r="AP9" s="33" t="str">
        <f t="shared" si="36"/>
        <v xml:space="preserve">  </v>
      </c>
      <c r="AQ9" s="34" t="str">
        <f t="shared" ca="1" si="18"/>
        <v>4/3</v>
      </c>
      <c r="AR9" s="23" t="str">
        <f t="shared" ca="1" si="19"/>
        <v xml:space="preserve">  </v>
      </c>
      <c r="AS9" s="24">
        <f t="shared" si="20"/>
        <v>-7</v>
      </c>
      <c r="AT9" s="23" t="str">
        <f t="shared" ca="1" si="37"/>
        <v xml:space="preserve">  </v>
      </c>
      <c r="AU9" s="23" t="str">
        <f t="shared" ca="1" si="40"/>
        <v xml:space="preserve">  </v>
      </c>
      <c r="AV9" s="23" t="str">
        <f t="shared" si="21"/>
        <v xml:space="preserve">  </v>
      </c>
      <c r="AW9" s="23" t="str">
        <f t="shared" ca="1" si="22"/>
        <v xml:space="preserve">  </v>
      </c>
      <c r="AY9" s="35" t="str">
        <f t="shared" si="23"/>
        <v xml:space="preserve"> </v>
      </c>
      <c r="AZ9" s="23" t="str">
        <f t="shared" ref="AZ9:AZ28" ca="1" si="41">IFERROR(AY9*AM9,"  ")</f>
        <v xml:space="preserve">  </v>
      </c>
      <c r="BA9" s="36" t="str">
        <f t="shared" si="25"/>
        <v xml:space="preserve"> </v>
      </c>
      <c r="BB9" s="27" t="str">
        <f t="shared" ca="1" si="38"/>
        <v xml:space="preserve">  </v>
      </c>
      <c r="BC9" s="23" t="str">
        <f t="shared" ca="1" si="39"/>
        <v xml:space="preserve">  </v>
      </c>
    </row>
    <row r="10" spans="1:60" x14ac:dyDescent="0.25">
      <c r="A10" s="20">
        <f>Tools!$AD9</f>
        <v>4</v>
      </c>
      <c r="B10" s="33" t="str">
        <f t="shared" si="0"/>
        <v xml:space="preserve">  </v>
      </c>
      <c r="C10" s="22">
        <f>IF(A10="  ","  ",IF(AND(A9="  ",A11="  "),"?",IF(A9="  ",1*(A11-A10),IF(A11="  ",1*(A10-A9),1*(A11-A9)))))</f>
        <v>2</v>
      </c>
      <c r="D10" s="23" t="str">
        <f t="shared" si="26"/>
        <v xml:space="preserve">  </v>
      </c>
      <c r="E10" s="24">
        <f t="shared" si="1"/>
        <v>-6</v>
      </c>
      <c r="F10" s="23" t="str">
        <f t="shared" si="27"/>
        <v xml:space="preserve">  </v>
      </c>
      <c r="G10" s="23" t="str">
        <f t="shared" si="28"/>
        <v xml:space="preserve">  </v>
      </c>
      <c r="H10" s="23" t="str">
        <f t="shared" si="29"/>
        <v xml:space="preserve">  </v>
      </c>
      <c r="I10" s="23" t="str">
        <f>IFERROR(H10*C10,"  ")</f>
        <v xml:space="preserve">  </v>
      </c>
      <c r="J10" s="4"/>
      <c r="K10" s="37" t="str">
        <f t="shared" si="2"/>
        <v xml:space="preserve"> </v>
      </c>
      <c r="L10" s="23" t="str">
        <f t="shared" si="31"/>
        <v xml:space="preserve">  </v>
      </c>
      <c r="M10" s="38" t="str">
        <f t="shared" si="3"/>
        <v xml:space="preserve"> </v>
      </c>
      <c r="N10" s="27" t="str">
        <f t="shared" si="32"/>
        <v xml:space="preserve">  </v>
      </c>
      <c r="O10" s="23" t="str">
        <f t="shared" si="33"/>
        <v xml:space="preserve">  </v>
      </c>
      <c r="P10" s="4"/>
      <c r="Q10" s="45"/>
      <c r="R10" s="46"/>
      <c r="S10" s="490"/>
      <c r="W10" s="29">
        <f>IF(AO10="  ","  ",IF(AND(AO9="  ",AO11="  "),"?",IF(AO9="  ",1*(AO11-AO10),IF(AO11="  ",1*(AO10-AO9),1*(AO11-AO9)))))</f>
        <v>2</v>
      </c>
      <c r="X10" s="30" t="str">
        <f t="shared" si="4"/>
        <v>WW</v>
      </c>
      <c r="Y10" s="30" t="str">
        <f t="shared" si="5"/>
        <v>-</v>
      </c>
      <c r="Z10" s="29" t="b">
        <f t="shared" si="6"/>
        <v>0</v>
      </c>
      <c r="AA10" s="29" t="b">
        <f t="shared" si="7"/>
        <v>0</v>
      </c>
      <c r="AB10" s="29" t="str">
        <f t="shared" ca="1" si="8"/>
        <v>++</v>
      </c>
      <c r="AC10" s="29">
        <f t="shared" si="34"/>
        <v>7</v>
      </c>
      <c r="AD10" s="29">
        <f t="shared" ca="1" si="9"/>
        <v>7</v>
      </c>
      <c r="AE10" s="29">
        <v>7</v>
      </c>
      <c r="AF10" s="31">
        <f t="shared" ref="AF10:AF28" si="42">IF(AND(AG10=TRUE,OR(NOT(AG9=TRUE),AG9="Full")),1,IF(ISNUMBER(AF9),AF9+1," "))</f>
        <v>3</v>
      </c>
      <c r="AG10" s="29" t="b">
        <f t="shared" si="11"/>
        <v>1</v>
      </c>
      <c r="AH10" s="30" t="str">
        <f t="shared" ca="1" si="12"/>
        <v>141-2</v>
      </c>
      <c r="AI10" s="30" t="str">
        <f t="shared" ca="1" si="13"/>
        <v/>
      </c>
      <c r="AJ10" s="29">
        <f t="shared" ca="1" si="14"/>
        <v>0</v>
      </c>
      <c r="AK10" s="29" t="str">
        <f t="shared" ca="1" si="15"/>
        <v>2/3</v>
      </c>
      <c r="AL10" s="29">
        <f t="shared" ca="1" si="16"/>
        <v>0.66666666666666663</v>
      </c>
      <c r="AM10" s="32">
        <f t="shared" ca="1" si="35"/>
        <v>0.66666666666666663</v>
      </c>
      <c r="AO10" s="20">
        <f>Tools!$AD9</f>
        <v>4</v>
      </c>
      <c r="AP10" s="33" t="str">
        <f t="shared" si="36"/>
        <v xml:space="preserve">  </v>
      </c>
      <c r="AQ10" s="34" t="str">
        <f t="shared" ca="1" si="18"/>
        <v>2/3</v>
      </c>
      <c r="AR10" s="23" t="str">
        <f t="shared" ca="1" si="19"/>
        <v xml:space="preserve">  </v>
      </c>
      <c r="AS10" s="24">
        <f t="shared" si="20"/>
        <v>-6</v>
      </c>
      <c r="AT10" s="23" t="str">
        <f t="shared" ca="1" si="37"/>
        <v xml:space="preserve">  </v>
      </c>
      <c r="AU10" s="23" t="str">
        <f ca="1">IFERROR(AT10*AS10,"  ")</f>
        <v xml:space="preserve">  </v>
      </c>
      <c r="AV10" s="23" t="str">
        <f t="shared" si="21"/>
        <v xml:space="preserve">  </v>
      </c>
      <c r="AW10" s="23" t="str">
        <f t="shared" ca="1" si="22"/>
        <v xml:space="preserve">  </v>
      </c>
      <c r="AY10" s="35" t="str">
        <f t="shared" si="23"/>
        <v xml:space="preserve"> </v>
      </c>
      <c r="AZ10" s="23" t="str">
        <f t="shared" ca="1" si="41"/>
        <v xml:space="preserve">  </v>
      </c>
      <c r="BA10" s="36" t="str">
        <f t="shared" si="25"/>
        <v xml:space="preserve"> </v>
      </c>
      <c r="BB10" s="27" t="str">
        <f t="shared" ca="1" si="38"/>
        <v xml:space="preserve">  </v>
      </c>
      <c r="BC10" s="23" t="str">
        <f t="shared" ca="1" si="39"/>
        <v xml:space="preserve">  </v>
      </c>
      <c r="BE10" s="43" t="s">
        <v>31</v>
      </c>
      <c r="BF10" s="44" t="s">
        <v>32</v>
      </c>
      <c r="BG10" s="489" t="s">
        <v>33</v>
      </c>
    </row>
    <row r="11" spans="1:60" x14ac:dyDescent="0.25">
      <c r="A11" s="20">
        <f>Tools!$AD10</f>
        <v>5</v>
      </c>
      <c r="B11" s="33" t="str">
        <f t="shared" si="0"/>
        <v xml:space="preserve">  </v>
      </c>
      <c r="C11" s="22">
        <f>IF(A11="  ","  ",IF(AND(A10="  ",A12="  "),"?",IF(A10="  ",2*(A12-A11),IF(A12="  ",2*(A11-A10),2*(A12-A10)))))</f>
        <v>4</v>
      </c>
      <c r="D11" s="23" t="str">
        <f t="shared" si="26"/>
        <v xml:space="preserve">  </v>
      </c>
      <c r="E11" s="24">
        <f t="shared" si="1"/>
        <v>-5</v>
      </c>
      <c r="F11" s="23" t="str">
        <f t="shared" si="27"/>
        <v xml:space="preserve">  </v>
      </c>
      <c r="G11" s="23" t="str">
        <f t="shared" si="28"/>
        <v xml:space="preserve">  </v>
      </c>
      <c r="H11" s="23" t="str">
        <f t="shared" si="29"/>
        <v xml:space="preserve">  </v>
      </c>
      <c r="I11" s="23" t="str">
        <f t="shared" si="30"/>
        <v xml:space="preserve">  </v>
      </c>
      <c r="J11" s="4"/>
      <c r="K11" s="37" t="str">
        <f t="shared" si="2"/>
        <v xml:space="preserve"> </v>
      </c>
      <c r="L11" s="23" t="str">
        <f t="shared" si="31"/>
        <v xml:space="preserve">  </v>
      </c>
      <c r="M11" s="38" t="str">
        <f t="shared" si="3"/>
        <v xml:space="preserve"> </v>
      </c>
      <c r="N11" s="27" t="str">
        <f t="shared" si="32"/>
        <v xml:space="preserve">  </v>
      </c>
      <c r="O11" s="23" t="str">
        <f t="shared" si="33"/>
        <v xml:space="preserve">  </v>
      </c>
      <c r="P11" s="4"/>
      <c r="Q11" s="47" t="s">
        <v>34</v>
      </c>
      <c r="R11" s="48" t="s">
        <v>35</v>
      </c>
      <c r="S11" t="str">
        <f>IF(Tools!$L$49="Use 141 rule only",I35,IF(Tools!$L$49="Use 141 and 1331 rules",BG12," "))</f>
        <v xml:space="preserve">  </v>
      </c>
      <c r="W11" s="29">
        <f>IF(AO11="  ","  ",IF(AND(AO10="  ",AO12="  "),"?",IF(AO10="  ",2*(AO12-AO11),IF(AO12="  ",2*(AO11-AO10),2*(AO12-AO10)))))</f>
        <v>4</v>
      </c>
      <c r="X11" s="30" t="str">
        <f t="shared" si="4"/>
        <v>WW</v>
      </c>
      <c r="Y11" s="30" t="str">
        <f t="shared" si="5"/>
        <v>-</v>
      </c>
      <c r="Z11" s="29" t="b">
        <f t="shared" si="6"/>
        <v>0</v>
      </c>
      <c r="AA11" s="29" t="b">
        <f t="shared" si="7"/>
        <v>0</v>
      </c>
      <c r="AB11" s="29" t="str">
        <f t="shared" ca="1" si="8"/>
        <v>++</v>
      </c>
      <c r="AC11" s="29">
        <f t="shared" si="34"/>
        <v>8</v>
      </c>
      <c r="AD11" s="29">
        <f t="shared" ca="1" si="9"/>
        <v>8</v>
      </c>
      <c r="AE11" s="29">
        <v>8</v>
      </c>
      <c r="AF11" s="31">
        <f t="shared" si="42"/>
        <v>4</v>
      </c>
      <c r="AG11" s="29" t="b">
        <f t="shared" si="11"/>
        <v>1</v>
      </c>
      <c r="AH11" s="30" t="str">
        <f t="shared" ca="1" si="12"/>
        <v>141-4</v>
      </c>
      <c r="AI11" s="30" t="str">
        <f t="shared" ca="1" si="13"/>
        <v/>
      </c>
      <c r="AJ11" s="29">
        <f t="shared" ca="1" si="14"/>
        <v>0</v>
      </c>
      <c r="AK11" s="29" t="str">
        <f t="shared" ca="1" si="15"/>
        <v>4/3</v>
      </c>
      <c r="AL11" s="29">
        <f t="shared" ca="1" si="16"/>
        <v>1.3333333333333333</v>
      </c>
      <c r="AM11" s="32">
        <f t="shared" ca="1" si="35"/>
        <v>1.3333333333333333</v>
      </c>
      <c r="AO11" s="20">
        <f>Tools!$AD10</f>
        <v>5</v>
      </c>
      <c r="AP11" s="33" t="str">
        <f t="shared" si="36"/>
        <v xml:space="preserve">  </v>
      </c>
      <c r="AQ11" s="34" t="str">
        <f t="shared" ca="1" si="18"/>
        <v>4/3</v>
      </c>
      <c r="AR11" s="23" t="str">
        <f t="shared" ca="1" si="19"/>
        <v xml:space="preserve">  </v>
      </c>
      <c r="AS11" s="24">
        <f t="shared" si="20"/>
        <v>-5</v>
      </c>
      <c r="AT11" s="23" t="str">
        <f t="shared" ca="1" si="37"/>
        <v xml:space="preserve">  </v>
      </c>
      <c r="AU11" s="23" t="str">
        <f t="shared" ca="1" si="40"/>
        <v xml:space="preserve">  </v>
      </c>
      <c r="AV11" s="23" t="str">
        <f t="shared" si="21"/>
        <v xml:space="preserve">  </v>
      </c>
      <c r="AW11" s="23" t="str">
        <f t="shared" ca="1" si="22"/>
        <v xml:space="preserve">  </v>
      </c>
      <c r="AY11" s="35" t="str">
        <f t="shared" si="23"/>
        <v xml:space="preserve"> </v>
      </c>
      <c r="AZ11" s="23" t="str">
        <f t="shared" ca="1" si="41"/>
        <v xml:space="preserve">  </v>
      </c>
      <c r="BA11" s="36" t="str">
        <f t="shared" si="25"/>
        <v xml:space="preserve"> </v>
      </c>
      <c r="BB11" s="27" t="str">
        <f t="shared" ca="1" si="38"/>
        <v xml:space="preserve">  </v>
      </c>
      <c r="BC11" s="23" t="str">
        <f ca="1">IFERROR(AZ11*AS11,"  ")</f>
        <v xml:space="preserve">  </v>
      </c>
      <c r="BE11" s="45"/>
      <c r="BF11" s="46"/>
      <c r="BG11" s="490"/>
    </row>
    <row r="12" spans="1:60" x14ac:dyDescent="0.25">
      <c r="A12" s="20">
        <f>Tools!$AD11</f>
        <v>6</v>
      </c>
      <c r="B12" s="33" t="str">
        <f t="shared" si="0"/>
        <v xml:space="preserve">  </v>
      </c>
      <c r="C12" s="22">
        <f>IF(A12="  ","  ",IF(AND(A11="  ",A13="  "),"?",IF(A11="  ",1*(A13-A12),IF(A13="  ",1*(A12-A11),1*(A13-A11)))))</f>
        <v>2</v>
      </c>
      <c r="D12" s="23" t="str">
        <f t="shared" si="26"/>
        <v xml:space="preserve">  </v>
      </c>
      <c r="E12" s="24">
        <f t="shared" si="1"/>
        <v>-4</v>
      </c>
      <c r="F12" s="23" t="str">
        <f t="shared" si="27"/>
        <v xml:space="preserve">  </v>
      </c>
      <c r="G12" s="23" t="str">
        <f t="shared" si="28"/>
        <v xml:space="preserve">  </v>
      </c>
      <c r="H12" s="23" t="str">
        <f t="shared" si="29"/>
        <v xml:space="preserve">  </v>
      </c>
      <c r="I12" s="23" t="str">
        <f t="shared" si="30"/>
        <v xml:space="preserve">  </v>
      </c>
      <c r="J12" s="4"/>
      <c r="K12" s="37" t="str">
        <f t="shared" si="2"/>
        <v xml:space="preserve"> </v>
      </c>
      <c r="L12" s="23" t="str">
        <f t="shared" si="31"/>
        <v xml:space="preserve">  </v>
      </c>
      <c r="M12" s="38" t="str">
        <f t="shared" si="3"/>
        <v xml:space="preserve"> </v>
      </c>
      <c r="N12" s="27" t="str">
        <f t="shared" si="32"/>
        <v xml:space="preserve">  </v>
      </c>
      <c r="O12" s="23" t="str">
        <f t="shared" si="33"/>
        <v xml:space="preserve">  </v>
      </c>
      <c r="P12" s="4"/>
      <c r="Q12" s="47" t="s">
        <v>36</v>
      </c>
      <c r="R12" s="48" t="s">
        <v>37</v>
      </c>
      <c r="S12" t="str">
        <f>IF(Tools!$L$49="Use 141 rule only",I36,IF(Tools!$L$49="Use 141 and 1331 rules",BG13," "))</f>
        <v xml:space="preserve">  </v>
      </c>
      <c r="W12" s="29">
        <f>IF(AO12="  ","  ",IF(AND(AO11="  ",AO13="  "),"?",IF(AO11="  ",1*(AO13-AO12),IF(AO13="  ",1*(AO12-AO11),1*(AO13-AO11)))))</f>
        <v>2</v>
      </c>
      <c r="X12" s="30" t="str">
        <f t="shared" si="4"/>
        <v>WW</v>
      </c>
      <c r="Y12" s="30" t="str">
        <f t="shared" si="5"/>
        <v>-</v>
      </c>
      <c r="Z12" s="29" t="b">
        <f t="shared" si="6"/>
        <v>0</v>
      </c>
      <c r="AA12" s="29" t="b">
        <f t="shared" si="7"/>
        <v>0</v>
      </c>
      <c r="AB12" s="29" t="str">
        <f t="shared" ca="1" si="8"/>
        <v>++</v>
      </c>
      <c r="AC12" s="29">
        <f t="shared" si="34"/>
        <v>9</v>
      </c>
      <c r="AD12" s="29">
        <f t="shared" ca="1" si="9"/>
        <v>9</v>
      </c>
      <c r="AE12" s="29">
        <v>9</v>
      </c>
      <c r="AF12" s="31">
        <f t="shared" si="42"/>
        <v>5</v>
      </c>
      <c r="AG12" s="29" t="b">
        <f t="shared" si="11"/>
        <v>1</v>
      </c>
      <c r="AH12" s="30" t="str">
        <f t="shared" ca="1" si="12"/>
        <v>141-2</v>
      </c>
      <c r="AI12" s="30" t="str">
        <f t="shared" ca="1" si="13"/>
        <v/>
      </c>
      <c r="AJ12" s="29">
        <f t="shared" ca="1" si="14"/>
        <v>0</v>
      </c>
      <c r="AK12" s="29" t="str">
        <f t="shared" ca="1" si="15"/>
        <v>2/3</v>
      </c>
      <c r="AL12" s="29">
        <f t="shared" ca="1" si="16"/>
        <v>0.66666666666666663</v>
      </c>
      <c r="AM12" s="32">
        <f t="shared" ca="1" si="35"/>
        <v>0.66666666666666663</v>
      </c>
      <c r="AO12" s="20">
        <f>Tools!$AD11</f>
        <v>6</v>
      </c>
      <c r="AP12" s="33" t="str">
        <f t="shared" si="36"/>
        <v xml:space="preserve">  </v>
      </c>
      <c r="AQ12" s="34" t="str">
        <f t="shared" ca="1" si="18"/>
        <v>2/3</v>
      </c>
      <c r="AR12" s="23" t="str">
        <f t="shared" ca="1" si="19"/>
        <v xml:space="preserve">  </v>
      </c>
      <c r="AS12" s="24">
        <f t="shared" si="20"/>
        <v>-4</v>
      </c>
      <c r="AT12" s="23" t="str">
        <f t="shared" ca="1" si="37"/>
        <v xml:space="preserve">  </v>
      </c>
      <c r="AU12" s="23" t="str">
        <f t="shared" ca="1" si="40"/>
        <v xml:space="preserve">  </v>
      </c>
      <c r="AV12" s="23" t="str">
        <f t="shared" si="21"/>
        <v xml:space="preserve">  </v>
      </c>
      <c r="AW12" s="23" t="str">
        <f t="shared" ca="1" si="22"/>
        <v xml:space="preserve">  </v>
      </c>
      <c r="AY12" s="35" t="str">
        <f t="shared" si="23"/>
        <v xml:space="preserve"> </v>
      </c>
      <c r="AZ12" s="23" t="str">
        <f t="shared" ca="1" si="41"/>
        <v xml:space="preserve">  </v>
      </c>
      <c r="BA12" s="36" t="str">
        <f t="shared" si="25"/>
        <v xml:space="preserve"> </v>
      </c>
      <c r="BB12" s="27" t="str">
        <f t="shared" ca="1" si="38"/>
        <v xml:space="preserve">  </v>
      </c>
      <c r="BC12" s="23" t="str">
        <f t="shared" ca="1" si="39"/>
        <v xml:space="preserve">  </v>
      </c>
      <c r="BE12" s="47" t="s">
        <v>34</v>
      </c>
      <c r="BF12" s="48" t="s">
        <v>38</v>
      </c>
      <c r="BG12" s="49" t="str">
        <f>IF(WL_No="  ","  ",2*h*$AR$29)</f>
        <v xml:space="preserve">  </v>
      </c>
    </row>
    <row r="13" spans="1:60" x14ac:dyDescent="0.25">
      <c r="A13" s="20">
        <f>Tools!$AD12</f>
        <v>7</v>
      </c>
      <c r="B13" s="33" t="str">
        <f t="shared" si="0"/>
        <v xml:space="preserve">  </v>
      </c>
      <c r="C13" s="22">
        <f>IF(A13="  ","  ",IF(AND(A12="  ",A14="  "),"?",IF(A12="  ",2*(A14-A13),IF(A14="  ",2*(A13-A12),2*(A14-A12)))))</f>
        <v>4</v>
      </c>
      <c r="D13" s="23" t="str">
        <f t="shared" si="26"/>
        <v xml:space="preserve">  </v>
      </c>
      <c r="E13" s="24">
        <f t="shared" si="1"/>
        <v>-3</v>
      </c>
      <c r="F13" s="23" t="str">
        <f t="shared" si="27"/>
        <v xml:space="preserve">  </v>
      </c>
      <c r="G13" s="23" t="str">
        <f t="shared" si="28"/>
        <v xml:space="preserve">  </v>
      </c>
      <c r="H13" s="23" t="str">
        <f t="shared" si="29"/>
        <v xml:space="preserve">  </v>
      </c>
      <c r="I13" s="23" t="str">
        <f t="shared" si="30"/>
        <v xml:space="preserve">  </v>
      </c>
      <c r="J13" s="4"/>
      <c r="K13" s="37" t="str">
        <f t="shared" si="2"/>
        <v xml:space="preserve"> </v>
      </c>
      <c r="L13" s="23" t="str">
        <f t="shared" si="31"/>
        <v xml:space="preserve">  </v>
      </c>
      <c r="M13" s="38" t="str">
        <f t="shared" si="3"/>
        <v xml:space="preserve"> </v>
      </c>
      <c r="N13" s="27" t="str">
        <f t="shared" si="32"/>
        <v xml:space="preserve">  </v>
      </c>
      <c r="O13" s="23" t="str">
        <f t="shared" si="33"/>
        <v xml:space="preserve">  </v>
      </c>
      <c r="P13" s="4"/>
      <c r="Q13" s="50" t="s">
        <v>39</v>
      </c>
      <c r="R13" s="48" t="s">
        <v>40</v>
      </c>
      <c r="S13" t="str">
        <f>IF(Tools!$L$49="Use 141 rule only",I37,IF(Tools!$L$49="Use 141 and 1331 rules",BG14," "))</f>
        <v xml:space="preserve">  </v>
      </c>
      <c r="W13" s="29">
        <f>IF(AO13="  ","  ",IF(AND(AO12="  ",AO14="  "),"?",IF(AO12="  ",2*(AO14-AO13),IF(AO14="  ",2*(AO13-AO12),2*(AO14-AO12)))))</f>
        <v>4</v>
      </c>
      <c r="X13" s="30" t="str">
        <f t="shared" si="4"/>
        <v>WW</v>
      </c>
      <c r="Y13" s="30" t="str">
        <f t="shared" si="5"/>
        <v>-</v>
      </c>
      <c r="Z13" s="29" t="b">
        <f t="shared" si="6"/>
        <v>0</v>
      </c>
      <c r="AA13" s="29" t="b">
        <f t="shared" si="7"/>
        <v>0</v>
      </c>
      <c r="AB13" s="29" t="str">
        <f t="shared" ca="1" si="8"/>
        <v>++</v>
      </c>
      <c r="AC13" s="29">
        <f t="shared" si="34"/>
        <v>10</v>
      </c>
      <c r="AD13" s="29">
        <f t="shared" ca="1" si="9"/>
        <v>10</v>
      </c>
      <c r="AE13" s="29">
        <v>10</v>
      </c>
      <c r="AF13" s="31">
        <f t="shared" si="42"/>
        <v>6</v>
      </c>
      <c r="AG13" s="29" t="b">
        <f t="shared" si="11"/>
        <v>1</v>
      </c>
      <c r="AH13" s="30" t="str">
        <f t="shared" ca="1" si="12"/>
        <v>141-4</v>
      </c>
      <c r="AI13" s="30" t="str">
        <f t="shared" ca="1" si="13"/>
        <v/>
      </c>
      <c r="AJ13" s="29">
        <f t="shared" ca="1" si="14"/>
        <v>0</v>
      </c>
      <c r="AK13" s="29" t="str">
        <f t="shared" ca="1" si="15"/>
        <v>4/3</v>
      </c>
      <c r="AL13" s="29">
        <f t="shared" ca="1" si="16"/>
        <v>1.3333333333333333</v>
      </c>
      <c r="AM13" s="32">
        <f t="shared" ca="1" si="35"/>
        <v>1.3333333333333333</v>
      </c>
      <c r="AO13" s="20">
        <f>Tools!$AD12</f>
        <v>7</v>
      </c>
      <c r="AP13" s="33" t="str">
        <f t="shared" si="36"/>
        <v xml:space="preserve">  </v>
      </c>
      <c r="AQ13" s="34" t="str">
        <f t="shared" ca="1" si="18"/>
        <v>4/3</v>
      </c>
      <c r="AR13" s="23" t="str">
        <f t="shared" ca="1" si="19"/>
        <v xml:space="preserve">  </v>
      </c>
      <c r="AS13" s="24">
        <f t="shared" si="20"/>
        <v>-3</v>
      </c>
      <c r="AT13" s="23" t="str">
        <f t="shared" ca="1" si="37"/>
        <v xml:space="preserve">  </v>
      </c>
      <c r="AU13" s="23" t="str">
        <f t="shared" ca="1" si="40"/>
        <v xml:space="preserve">  </v>
      </c>
      <c r="AV13" s="23" t="str">
        <f t="shared" si="21"/>
        <v xml:space="preserve">  </v>
      </c>
      <c r="AW13" s="23" t="str">
        <f t="shared" ca="1" si="22"/>
        <v xml:space="preserve">  </v>
      </c>
      <c r="AY13" s="35" t="str">
        <f t="shared" si="23"/>
        <v xml:space="preserve"> </v>
      </c>
      <c r="AZ13" s="23" t="str">
        <f t="shared" ca="1" si="41"/>
        <v xml:space="preserve">  </v>
      </c>
      <c r="BA13" s="36" t="str">
        <f t="shared" si="25"/>
        <v xml:space="preserve"> </v>
      </c>
      <c r="BB13" s="27" t="str">
        <f t="shared" ca="1" si="38"/>
        <v xml:space="preserve">  </v>
      </c>
      <c r="BC13" s="23" t="str">
        <f t="shared" ca="1" si="39"/>
        <v xml:space="preserve">  </v>
      </c>
      <c r="BE13" s="47" t="s">
        <v>36</v>
      </c>
      <c r="BF13" s="48" t="s">
        <v>41</v>
      </c>
      <c r="BG13" s="49" t="str">
        <f>IF(WL_No="  ","  ",2*(h^2)*$AT$29)</f>
        <v xml:space="preserve">  </v>
      </c>
    </row>
    <row r="14" spans="1:60" x14ac:dyDescent="0.25">
      <c r="A14" s="20">
        <f>Tools!$AD13</f>
        <v>8</v>
      </c>
      <c r="B14" s="33" t="str">
        <f t="shared" si="0"/>
        <v xml:space="preserve">  </v>
      </c>
      <c r="C14" s="22">
        <f>IF(A14="  ","  ",IF(AND(A13="  ",A15="  "),"?",IF(A13="  ",1*(A15-A14),IF(A15="  ",1*(A14-A13),1*(A15-A13)))))</f>
        <v>2</v>
      </c>
      <c r="D14" s="23" t="str">
        <f t="shared" si="26"/>
        <v xml:space="preserve">  </v>
      </c>
      <c r="E14" s="24">
        <f t="shared" si="1"/>
        <v>-2</v>
      </c>
      <c r="F14" s="23" t="str">
        <f t="shared" si="27"/>
        <v xml:space="preserve">  </v>
      </c>
      <c r="G14" s="23" t="str">
        <f t="shared" si="28"/>
        <v xml:space="preserve">  </v>
      </c>
      <c r="H14" s="23" t="str">
        <f t="shared" si="29"/>
        <v xml:space="preserve">  </v>
      </c>
      <c r="I14" s="23" t="str">
        <f t="shared" si="30"/>
        <v xml:space="preserve">  </v>
      </c>
      <c r="J14" s="4"/>
      <c r="K14" s="37" t="str">
        <f t="shared" si="2"/>
        <v xml:space="preserve"> </v>
      </c>
      <c r="L14" s="23" t="str">
        <f t="shared" si="31"/>
        <v xml:space="preserve">  </v>
      </c>
      <c r="M14" s="38" t="str">
        <f t="shared" si="3"/>
        <v xml:space="preserve"> </v>
      </c>
      <c r="N14" s="27" t="str">
        <f t="shared" si="32"/>
        <v xml:space="preserve">  </v>
      </c>
      <c r="O14" s="23" t="str">
        <f t="shared" si="33"/>
        <v xml:space="preserve">  </v>
      </c>
      <c r="P14" s="4"/>
      <c r="Q14" s="50" t="s">
        <v>42</v>
      </c>
      <c r="R14" s="48" t="s">
        <v>43</v>
      </c>
      <c r="S14" t="str">
        <f>IF(Tools!$L$49="Use 141 rule only",I38,IF(Tools!$L$49="Use 141 and 1331 rules",BG15," "))</f>
        <v xml:space="preserve">  </v>
      </c>
      <c r="W14" s="29">
        <f>IF(AO14="  ","  ",IF(AND(AO13="  ",AO15="  "),"?",IF(AO13="  ",1*(AO15-AO14),IF(AO15="  ",1*(AO14-AO13),1*(AO15-AO13)))))</f>
        <v>2</v>
      </c>
      <c r="X14" s="30" t="str">
        <f t="shared" si="4"/>
        <v>WW</v>
      </c>
      <c r="Y14" s="30" t="str">
        <f t="shared" si="5"/>
        <v>-</v>
      </c>
      <c r="Z14" s="29" t="b">
        <f t="shared" si="6"/>
        <v>0</v>
      </c>
      <c r="AA14" s="29" t="b">
        <f t="shared" si="7"/>
        <v>0</v>
      </c>
      <c r="AB14" s="29" t="str">
        <f t="shared" ca="1" si="8"/>
        <v>++</v>
      </c>
      <c r="AC14" s="29">
        <f t="shared" si="34"/>
        <v>11</v>
      </c>
      <c r="AD14" s="29">
        <f t="shared" ca="1" si="9"/>
        <v>11</v>
      </c>
      <c r="AE14" s="29">
        <v>11</v>
      </c>
      <c r="AF14" s="31">
        <f t="shared" si="42"/>
        <v>7</v>
      </c>
      <c r="AG14" s="29" t="b">
        <f t="shared" si="11"/>
        <v>1</v>
      </c>
      <c r="AH14" s="30" t="str">
        <f ca="1">IF(AND(AG14=TRUE,$AH$1=1),"141-4",IF(AG14=" ",IF(AND($AH$1=2,AF14=3),"141-1","-"),IF(OR(AG14=FALSE,AG14=" "),"-",IF(AG14=TRUE,IF(AND($AH$1=2,AF14=1),"141-1",IF(AND($AH$1=2,AF14=2),"141-4",IF(OR(ISODD($AH$1),AF14&gt;4),IF(AF14=1,"141-1",IF(OR(AB14="141-1",AB14="1331-1",AB14="1331-1,141-1"),"141-1",IF(AG15=" ","141-1",IF(OR(AH13="141-1",AH13="141-2",AH13="1331-1,141-1"),"141-4",IF(AH13="141-4","141-2","$$"))))),IF(ISEVEN($AH$1),IF(AF14=1,"1331-1",IF(OR(AF14=2,AF14=3),"1331-3",IF(AF14=4,IF($AH$1=4,"1331-1","1331-1,141-1"),"")))))))))))</f>
        <v>141-2</v>
      </c>
      <c r="AI14" s="30" t="str">
        <f t="shared" ca="1" si="13"/>
        <v/>
      </c>
      <c r="AJ14" s="29">
        <f t="shared" ca="1" si="14"/>
        <v>0</v>
      </c>
      <c r="AK14" s="29" t="str">
        <f t="shared" ca="1" si="15"/>
        <v>2/3</v>
      </c>
      <c r="AL14" s="29">
        <f t="shared" ca="1" si="16"/>
        <v>0.66666666666666663</v>
      </c>
      <c r="AM14" s="32">
        <f t="shared" ca="1" si="35"/>
        <v>0.66666666666666663</v>
      </c>
      <c r="AO14" s="20">
        <f>Tools!$AD13</f>
        <v>8</v>
      </c>
      <c r="AP14" s="33" t="str">
        <f t="shared" si="36"/>
        <v xml:space="preserve">  </v>
      </c>
      <c r="AQ14" s="34" t="str">
        <f t="shared" ca="1" si="18"/>
        <v>2/3</v>
      </c>
      <c r="AR14" s="23" t="str">
        <f t="shared" ca="1" si="19"/>
        <v xml:space="preserve">  </v>
      </c>
      <c r="AS14" s="24">
        <f t="shared" si="20"/>
        <v>-2</v>
      </c>
      <c r="AT14" s="23" t="str">
        <f t="shared" ca="1" si="37"/>
        <v xml:space="preserve">  </v>
      </c>
      <c r="AU14" s="23" t="str">
        <f t="shared" ca="1" si="40"/>
        <v xml:space="preserve">  </v>
      </c>
      <c r="AV14" s="23" t="str">
        <f t="shared" si="21"/>
        <v xml:space="preserve">  </v>
      </c>
      <c r="AW14" s="23" t="str">
        <f t="shared" ca="1" si="22"/>
        <v xml:space="preserve">  </v>
      </c>
      <c r="AY14" s="35" t="str">
        <f t="shared" si="23"/>
        <v xml:space="preserve"> </v>
      </c>
      <c r="AZ14" s="23" t="str">
        <f t="shared" ca="1" si="41"/>
        <v xml:space="preserve">  </v>
      </c>
      <c r="BA14" s="36" t="str">
        <f t="shared" si="25"/>
        <v xml:space="preserve"> </v>
      </c>
      <c r="BB14" s="27" t="str">
        <f t="shared" ca="1" si="38"/>
        <v xml:space="preserve">  </v>
      </c>
      <c r="BC14" s="23" t="str">
        <f t="shared" ca="1" si="39"/>
        <v xml:space="preserve">  </v>
      </c>
      <c r="BE14" s="50" t="s">
        <v>39</v>
      </c>
      <c r="BF14" s="48" t="s">
        <v>40</v>
      </c>
      <c r="BG14" s="49" t="str">
        <f>IF(WL_No="  ","  ",Mmid/AWP)</f>
        <v xml:space="preserve">  </v>
      </c>
    </row>
    <row r="15" spans="1:60" x14ac:dyDescent="0.25">
      <c r="A15" s="20">
        <f>Tools!$AD14</f>
        <v>9</v>
      </c>
      <c r="B15" s="33" t="str">
        <f t="shared" si="0"/>
        <v xml:space="preserve">  </v>
      </c>
      <c r="C15" s="22">
        <f>IF(A15="  ","  ",IF(AND(A14="  ",A16="  "),"?",IF(A14="  ",2*(A16-A15),IF(A16="  ",2*(A15-A14),2*(A16-A14)))))</f>
        <v>4</v>
      </c>
      <c r="D15" s="23" t="str">
        <f t="shared" si="26"/>
        <v xml:space="preserve">  </v>
      </c>
      <c r="E15" s="24">
        <f t="shared" si="1"/>
        <v>-1</v>
      </c>
      <c r="F15" s="23" t="str">
        <f t="shared" si="27"/>
        <v xml:space="preserve">  </v>
      </c>
      <c r="G15" s="23" t="str">
        <f t="shared" si="28"/>
        <v xml:space="preserve">  </v>
      </c>
      <c r="H15" s="23" t="str">
        <f t="shared" si="29"/>
        <v xml:space="preserve">  </v>
      </c>
      <c r="I15" s="23" t="str">
        <f t="shared" si="30"/>
        <v xml:space="preserve">  </v>
      </c>
      <c r="J15" s="4"/>
      <c r="K15" s="37" t="str">
        <f t="shared" si="2"/>
        <v xml:space="preserve"> </v>
      </c>
      <c r="L15" s="23" t="str">
        <f t="shared" si="31"/>
        <v xml:space="preserve">  </v>
      </c>
      <c r="M15" s="38" t="str">
        <f t="shared" si="3"/>
        <v xml:space="preserve"> </v>
      </c>
      <c r="N15" s="27" t="str">
        <f t="shared" si="32"/>
        <v xml:space="preserve">  </v>
      </c>
      <c r="O15" s="23" t="str">
        <f t="shared" si="33"/>
        <v xml:space="preserve">  </v>
      </c>
      <c r="P15" s="4"/>
      <c r="Q15" s="51" t="s">
        <v>44</v>
      </c>
      <c r="R15" s="48" t="s">
        <v>45</v>
      </c>
      <c r="S15" t="str">
        <f>IF(Tools!$L$49="Use 141 rule only",I39,IF(Tools!$L$49="Use 141 and 1331 rules",BG16," "))</f>
        <v xml:space="preserve">  </v>
      </c>
      <c r="W15" s="29">
        <f>IF(AO15="  ","  ",IF(AND(AO14="  ",AO16="  "),"?",IF(AO14="  ",2*(AO16-AO15),IF(AO16="  ",2*(AO15-AO14),2*(AO16-AO14)))))</f>
        <v>4</v>
      </c>
      <c r="X15" s="30" t="str">
        <f t="shared" si="4"/>
        <v>WW</v>
      </c>
      <c r="Y15" s="30" t="str">
        <f t="shared" si="5"/>
        <v>-</v>
      </c>
      <c r="Z15" s="29" t="b">
        <f t="shared" si="6"/>
        <v>0</v>
      </c>
      <c r="AA15" s="29" t="b">
        <f t="shared" si="7"/>
        <v>0</v>
      </c>
      <c r="AB15" s="29" t="str">
        <f t="shared" ca="1" si="8"/>
        <v>++</v>
      </c>
      <c r="AC15" s="29">
        <f t="shared" si="34"/>
        <v>12</v>
      </c>
      <c r="AD15" s="29">
        <f t="shared" ca="1" si="9"/>
        <v>12</v>
      </c>
      <c r="AE15" s="29">
        <v>12</v>
      </c>
      <c r="AF15" s="31">
        <f t="shared" si="42"/>
        <v>8</v>
      </c>
      <c r="AG15" s="29" t="b">
        <f t="shared" si="11"/>
        <v>1</v>
      </c>
      <c r="AH15" s="30" t="str">
        <f t="shared" ref="AH15:AH28" ca="1" si="43">IF(AND(AG15=TRUE,$AH$1=1),"141-4",IF(AG15=" ",IF(AND($AH$1=2,AF15=3),"141-1","-"),IF(OR(AG15=FALSE,AG15=" "),"-",IF(AG15=TRUE,IF(AND($AH$1=2,AF15=1),"141-1",IF(AND($AH$1=2,AF15=2),"141-4",IF(OR(ISODD($AH$1),AF15&gt;4),IF(AF15=1,"141-1",IF(OR(AB15="141-1",AB15="1331-1",AB15="1331-1,141-1"),"141-1",IF(AG16=" ","141-1",IF(OR(AH14="141-1",AH14="141-2",AH14="1331-1,141-1"),"141-4",IF(AH14="141-4","141-2","$$"))))),IF(ISEVEN($AH$1),IF(AF15=1,"1331-1",IF(OR(AF15=2,AF15=3),"1331-3",IF(AF15=4,IF($AH$1=4,"1331-1","1331-1,141-1"),"")))))))))))</f>
        <v>141-4</v>
      </c>
      <c r="AI15" s="30" t="str">
        <f t="shared" ca="1" si="13"/>
        <v/>
      </c>
      <c r="AJ15" s="29">
        <f t="shared" ca="1" si="14"/>
        <v>0</v>
      </c>
      <c r="AK15" s="29" t="str">
        <f t="shared" ca="1" si="15"/>
        <v>4/3</v>
      </c>
      <c r="AL15" s="29">
        <f t="shared" ca="1" si="16"/>
        <v>1.3333333333333333</v>
      </c>
      <c r="AM15" s="32">
        <f t="shared" ca="1" si="35"/>
        <v>1.3333333333333333</v>
      </c>
      <c r="AO15" s="20">
        <f>Tools!$AD14</f>
        <v>9</v>
      </c>
      <c r="AP15" s="33" t="str">
        <f t="shared" si="36"/>
        <v xml:space="preserve">  </v>
      </c>
      <c r="AQ15" s="34" t="str">
        <f t="shared" ca="1" si="18"/>
        <v>4/3</v>
      </c>
      <c r="AR15" s="23" t="str">
        <f t="shared" ca="1" si="19"/>
        <v xml:space="preserve">  </v>
      </c>
      <c r="AS15" s="24">
        <f t="shared" si="20"/>
        <v>-1</v>
      </c>
      <c r="AT15" s="23" t="str">
        <f t="shared" ca="1" si="37"/>
        <v xml:space="preserve">  </v>
      </c>
      <c r="AU15" s="23" t="str">
        <f t="shared" ca="1" si="40"/>
        <v xml:space="preserve">  </v>
      </c>
      <c r="AV15" s="23" t="str">
        <f t="shared" si="21"/>
        <v xml:space="preserve">  </v>
      </c>
      <c r="AW15" s="23" t="str">
        <f t="shared" ca="1" si="22"/>
        <v xml:space="preserve">  </v>
      </c>
      <c r="AY15" s="35" t="str">
        <f t="shared" si="23"/>
        <v xml:space="preserve"> </v>
      </c>
      <c r="AZ15" s="23" t="str">
        <f t="shared" ca="1" si="41"/>
        <v xml:space="preserve">  </v>
      </c>
      <c r="BA15" s="36" t="str">
        <f t="shared" si="25"/>
        <v xml:space="preserve"> </v>
      </c>
      <c r="BB15" s="27" t="str">
        <f ca="1">IFERROR(BA15*AM15,"  ")</f>
        <v xml:space="preserve">  </v>
      </c>
      <c r="BC15" s="23" t="str">
        <f t="shared" ca="1" si="39"/>
        <v xml:space="preserve">  </v>
      </c>
      <c r="BE15" s="50" t="s">
        <v>42</v>
      </c>
      <c r="BF15" s="48" t="s">
        <v>46</v>
      </c>
      <c r="BG15" s="49" t="str">
        <f>IF(WL_No="  ","  ",2*(h^3)*$AU$29)</f>
        <v xml:space="preserve">  </v>
      </c>
    </row>
    <row r="16" spans="1:60" x14ac:dyDescent="0.25">
      <c r="A16" s="20">
        <f>Tools!$AD15</f>
        <v>10</v>
      </c>
      <c r="B16" s="33" t="str">
        <f t="shared" si="0"/>
        <v xml:space="preserve">  </v>
      </c>
      <c r="C16" s="22">
        <f>IF(A16="  ","  ",IF(AND(A15="  ",A17="  "),"?",IF(A15="  ",1*(A17-A16),IF(A17="  ",1*(A16-A15),1*(A17-A15)))))</f>
        <v>2</v>
      </c>
      <c r="D16" s="23" t="str">
        <f t="shared" si="26"/>
        <v xml:space="preserve">  </v>
      </c>
      <c r="E16" s="24">
        <f t="shared" si="1"/>
        <v>0</v>
      </c>
      <c r="F16" s="23" t="str">
        <f t="shared" si="27"/>
        <v xml:space="preserve">  </v>
      </c>
      <c r="G16" s="23" t="str">
        <f t="shared" si="28"/>
        <v xml:space="preserve">  </v>
      </c>
      <c r="H16" s="23" t="str">
        <f t="shared" si="29"/>
        <v xml:space="preserve">  </v>
      </c>
      <c r="I16" s="23" t="str">
        <f t="shared" si="30"/>
        <v xml:space="preserve">  </v>
      </c>
      <c r="J16" s="4"/>
      <c r="K16" s="37" t="str">
        <f t="shared" si="2"/>
        <v xml:space="preserve"> </v>
      </c>
      <c r="L16" s="23" t="str">
        <f t="shared" si="31"/>
        <v xml:space="preserve">  </v>
      </c>
      <c r="M16" s="38" t="str">
        <f t="shared" si="3"/>
        <v xml:space="preserve"> </v>
      </c>
      <c r="N16" s="27" t="str">
        <f t="shared" si="32"/>
        <v xml:space="preserve">  </v>
      </c>
      <c r="O16" s="23" t="str">
        <f t="shared" si="33"/>
        <v xml:space="preserve">  </v>
      </c>
      <c r="P16" s="4"/>
      <c r="Q16" s="50" t="s">
        <v>47</v>
      </c>
      <c r="R16" s="48" t="s">
        <v>48</v>
      </c>
      <c r="S16" t="str">
        <f>IF(Tools!$L$49="Use 141 rule only",I40,IF(Tools!$L$49="Use 141 and 1331 rules",BG17," "))</f>
        <v xml:space="preserve">  </v>
      </c>
      <c r="W16" s="29">
        <f>IF(AO16="  ","  ",IF(AND(AO15="  ",AO17="  "),"?",IF(AO15="  ",1*(AO17-AO16),IF(AO17="  ",1*(AO16-AO15),1*(AO17-AO15)))))</f>
        <v>2</v>
      </c>
      <c r="X16" s="30" t="str">
        <f t="shared" si="4"/>
        <v>WW</v>
      </c>
      <c r="Y16" s="30" t="str">
        <f t="shared" si="5"/>
        <v>-</v>
      </c>
      <c r="Z16" s="29" t="b">
        <f t="shared" si="6"/>
        <v>0</v>
      </c>
      <c r="AA16" s="29" t="b">
        <f t="shared" si="7"/>
        <v>0</v>
      </c>
      <c r="AB16" s="29" t="str">
        <f t="shared" ca="1" si="8"/>
        <v>++</v>
      </c>
      <c r="AC16" s="29">
        <f t="shared" si="34"/>
        <v>13</v>
      </c>
      <c r="AD16" s="29">
        <f t="shared" ca="1" si="9"/>
        <v>13</v>
      </c>
      <c r="AE16" s="29">
        <v>13</v>
      </c>
      <c r="AF16" s="31">
        <f t="shared" si="42"/>
        <v>9</v>
      </c>
      <c r="AG16" s="29" t="b">
        <f t="shared" si="11"/>
        <v>1</v>
      </c>
      <c r="AH16" s="30" t="str">
        <f t="shared" ca="1" si="43"/>
        <v>141-2</v>
      </c>
      <c r="AI16" s="30" t="str">
        <f t="shared" ca="1" si="13"/>
        <v/>
      </c>
      <c r="AJ16" s="29">
        <f t="shared" ca="1" si="14"/>
        <v>0</v>
      </c>
      <c r="AK16" s="29" t="str">
        <f t="shared" ca="1" si="15"/>
        <v>2/3</v>
      </c>
      <c r="AL16" s="29">
        <f t="shared" ca="1" si="16"/>
        <v>0.66666666666666663</v>
      </c>
      <c r="AM16" s="32">
        <f t="shared" ca="1" si="35"/>
        <v>0.66666666666666663</v>
      </c>
      <c r="AO16" s="20">
        <f>Tools!$AD15</f>
        <v>10</v>
      </c>
      <c r="AP16" s="33" t="str">
        <f t="shared" si="36"/>
        <v xml:space="preserve">  </v>
      </c>
      <c r="AQ16" s="34" t="str">
        <f t="shared" ca="1" si="18"/>
        <v>2/3</v>
      </c>
      <c r="AR16" s="23" t="str">
        <f t="shared" ca="1" si="19"/>
        <v xml:space="preserve">  </v>
      </c>
      <c r="AS16" s="24">
        <f t="shared" si="20"/>
        <v>0</v>
      </c>
      <c r="AT16" s="23" t="str">
        <f t="shared" ca="1" si="37"/>
        <v xml:space="preserve">  </v>
      </c>
      <c r="AU16" s="23" t="str">
        <f t="shared" ca="1" si="40"/>
        <v xml:space="preserve">  </v>
      </c>
      <c r="AV16" s="23" t="str">
        <f t="shared" si="21"/>
        <v xml:space="preserve">  </v>
      </c>
      <c r="AW16" s="23" t="str">
        <f t="shared" ca="1" si="22"/>
        <v xml:space="preserve">  </v>
      </c>
      <c r="AY16" s="35" t="str">
        <f t="shared" si="23"/>
        <v xml:space="preserve"> </v>
      </c>
      <c r="AZ16" s="23" t="str">
        <f t="shared" ca="1" si="41"/>
        <v xml:space="preserve">  </v>
      </c>
      <c r="BA16" s="36" t="str">
        <f t="shared" si="25"/>
        <v xml:space="preserve"> </v>
      </c>
      <c r="BB16" s="27" t="str">
        <f t="shared" ca="1" si="38"/>
        <v xml:space="preserve">  </v>
      </c>
      <c r="BC16" s="23" t="str">
        <f ca="1">IFERROR(AZ16*AS16,"  ")</f>
        <v xml:space="preserve">  </v>
      </c>
      <c r="BE16" s="51" t="s">
        <v>44</v>
      </c>
      <c r="BF16" s="48" t="s">
        <v>49</v>
      </c>
      <c r="BG16" s="49" t="str">
        <f>IF(WL_No="  ","  ",2/3*h*$AW$29)</f>
        <v xml:space="preserve">  </v>
      </c>
    </row>
    <row r="17" spans="1:59" x14ac:dyDescent="0.25">
      <c r="A17" s="20">
        <f>Tools!$AD16</f>
        <v>11</v>
      </c>
      <c r="B17" s="33" t="str">
        <f t="shared" si="0"/>
        <v xml:space="preserve">  </v>
      </c>
      <c r="C17" s="22">
        <f>IF(A17="  ","  ",IF(AND(A16="  ",A18="  "),"?",IF(A16="  ",2*(A18-A17),IF(A18="  ",2*(A17-A16),2*(A18-A16)))))</f>
        <v>4</v>
      </c>
      <c r="D17" s="23" t="str">
        <f t="shared" si="26"/>
        <v xml:space="preserve">  </v>
      </c>
      <c r="E17" s="24">
        <f t="shared" si="1"/>
        <v>1</v>
      </c>
      <c r="F17" s="23" t="str">
        <f t="shared" si="27"/>
        <v xml:space="preserve">  </v>
      </c>
      <c r="G17" s="23" t="str">
        <f t="shared" si="28"/>
        <v xml:space="preserve">  </v>
      </c>
      <c r="H17" s="23" t="str">
        <f t="shared" si="29"/>
        <v xml:space="preserve">  </v>
      </c>
      <c r="I17" s="23" t="str">
        <f t="shared" si="30"/>
        <v xml:space="preserve">  </v>
      </c>
      <c r="J17" s="4"/>
      <c r="K17" s="37" t="str">
        <f t="shared" si="2"/>
        <v xml:space="preserve"> </v>
      </c>
      <c r="L17" s="23" t="str">
        <f t="shared" si="31"/>
        <v xml:space="preserve">  </v>
      </c>
      <c r="M17" s="38" t="str">
        <f t="shared" si="3"/>
        <v xml:space="preserve"> </v>
      </c>
      <c r="N17" s="27" t="str">
        <f t="shared" si="32"/>
        <v xml:space="preserve">  </v>
      </c>
      <c r="O17" s="23" t="str">
        <f t="shared" si="33"/>
        <v xml:space="preserve">  </v>
      </c>
      <c r="P17" s="4"/>
      <c r="Q17" s="50" t="s">
        <v>50</v>
      </c>
      <c r="R17" s="48" t="s">
        <v>51</v>
      </c>
      <c r="S17" t="str">
        <f>IF(Tools!$L$49="Use 141 rule only",I41,IF(Tools!$L$49="Use 141 and 1331 rules",BG18," "))</f>
        <v xml:space="preserve">  </v>
      </c>
      <c r="W17" s="29">
        <f>IF(AO17="  ","  ",IF(AND(AO16="  ",AO18="  "),"?",IF(AO16="  ",2*(AO18-AO17),IF(AO18="  ",2*(AO17-AO16),2*(AO18-AO16)))))</f>
        <v>4</v>
      </c>
      <c r="X17" s="30" t="str">
        <f t="shared" si="4"/>
        <v>WW</v>
      </c>
      <c r="Y17" s="30" t="str">
        <f t="shared" si="5"/>
        <v>-</v>
      </c>
      <c r="Z17" s="29" t="b">
        <f t="shared" si="6"/>
        <v>0</v>
      </c>
      <c r="AA17" s="29" t="b">
        <f t="shared" si="7"/>
        <v>0</v>
      </c>
      <c r="AB17" s="29" t="str">
        <f t="shared" ca="1" si="8"/>
        <v>++</v>
      </c>
      <c r="AC17" s="29">
        <f t="shared" si="34"/>
        <v>12</v>
      </c>
      <c r="AD17" s="29">
        <f t="shared" ca="1" si="9"/>
        <v>12</v>
      </c>
      <c r="AE17" s="29">
        <v>14</v>
      </c>
      <c r="AF17" s="31">
        <f t="shared" si="42"/>
        <v>10</v>
      </c>
      <c r="AG17" s="29" t="b">
        <f t="shared" si="11"/>
        <v>1</v>
      </c>
      <c r="AH17" s="30" t="str">
        <f t="shared" ca="1" si="43"/>
        <v>141-4</v>
      </c>
      <c r="AI17" s="30" t="str">
        <f t="shared" ca="1" si="13"/>
        <v/>
      </c>
      <c r="AJ17" s="29">
        <f t="shared" ca="1" si="14"/>
        <v>0</v>
      </c>
      <c r="AK17" s="29" t="str">
        <f t="shared" ca="1" si="15"/>
        <v>4/3</v>
      </c>
      <c r="AL17" s="29">
        <f t="shared" ca="1" si="16"/>
        <v>1.3333333333333333</v>
      </c>
      <c r="AM17" s="32">
        <f t="shared" ca="1" si="35"/>
        <v>1.3333333333333333</v>
      </c>
      <c r="AO17" s="20">
        <f>Tools!$AD16</f>
        <v>11</v>
      </c>
      <c r="AP17" s="33" t="str">
        <f t="shared" si="36"/>
        <v xml:space="preserve">  </v>
      </c>
      <c r="AQ17" s="34" t="str">
        <f t="shared" ca="1" si="18"/>
        <v>4/3</v>
      </c>
      <c r="AR17" s="23" t="str">
        <f t="shared" ca="1" si="19"/>
        <v xml:space="preserve">  </v>
      </c>
      <c r="AS17" s="24">
        <f t="shared" si="20"/>
        <v>1</v>
      </c>
      <c r="AT17" s="23" t="str">
        <f t="shared" ca="1" si="37"/>
        <v xml:space="preserve">  </v>
      </c>
      <c r="AU17" s="23" t="str">
        <f t="shared" ca="1" si="40"/>
        <v xml:space="preserve">  </v>
      </c>
      <c r="AV17" s="23" t="str">
        <f t="shared" si="21"/>
        <v xml:space="preserve">  </v>
      </c>
      <c r="AW17" s="23" t="str">
        <f t="shared" ca="1" si="22"/>
        <v xml:space="preserve">  </v>
      </c>
      <c r="AY17" s="35" t="str">
        <f t="shared" si="23"/>
        <v xml:space="preserve"> </v>
      </c>
      <c r="AZ17" s="23" t="str">
        <f t="shared" ca="1" si="41"/>
        <v xml:space="preserve">  </v>
      </c>
      <c r="BA17" s="36" t="str">
        <f t="shared" si="25"/>
        <v xml:space="preserve"> </v>
      </c>
      <c r="BB17" s="27" t="str">
        <f t="shared" ca="1" si="38"/>
        <v xml:space="preserve">  </v>
      </c>
      <c r="BC17" s="23" t="str">
        <f t="shared" ca="1" si="39"/>
        <v xml:space="preserve">  </v>
      </c>
      <c r="BE17" s="50" t="s">
        <v>47</v>
      </c>
      <c r="BF17" s="48" t="s">
        <v>48</v>
      </c>
      <c r="BG17" s="49" t="str">
        <f>IF(WL_No="  ","  ",IL-AWP*(LCF^2))</f>
        <v xml:space="preserve">  </v>
      </c>
    </row>
    <row r="18" spans="1:59" x14ac:dyDescent="0.25">
      <c r="A18" s="20">
        <f>Tools!$AD17</f>
        <v>12</v>
      </c>
      <c r="B18" s="33" t="str">
        <f t="shared" si="0"/>
        <v xml:space="preserve">  </v>
      </c>
      <c r="C18" s="22">
        <f>IF(A18="  ","  ",IF(AND(A17="  ",A19="  "),"?",IF(A17="  ",1*(A19-A18),IF(A19="  ",1*(A18-A17),1*(A19-A17)))))</f>
        <v>2</v>
      </c>
      <c r="D18" s="23" t="str">
        <f t="shared" si="26"/>
        <v xml:space="preserve">  </v>
      </c>
      <c r="E18" s="24">
        <f t="shared" si="1"/>
        <v>2</v>
      </c>
      <c r="F18" s="23" t="str">
        <f t="shared" si="27"/>
        <v xml:space="preserve">  </v>
      </c>
      <c r="G18" s="23" t="str">
        <f t="shared" si="28"/>
        <v xml:space="preserve">  </v>
      </c>
      <c r="H18" s="23" t="str">
        <f t="shared" si="29"/>
        <v xml:space="preserve">  </v>
      </c>
      <c r="I18" s="23" t="str">
        <f t="shared" si="30"/>
        <v xml:space="preserve">  </v>
      </c>
      <c r="J18" s="4"/>
      <c r="K18" s="37" t="str">
        <f t="shared" si="2"/>
        <v xml:space="preserve"> </v>
      </c>
      <c r="L18" s="23" t="str">
        <f t="shared" si="31"/>
        <v xml:space="preserve">  </v>
      </c>
      <c r="M18" s="38" t="str">
        <f t="shared" si="3"/>
        <v xml:space="preserve"> </v>
      </c>
      <c r="N18" s="27" t="str">
        <f t="shared" si="32"/>
        <v xml:space="preserve">  </v>
      </c>
      <c r="O18" s="23" t="str">
        <f t="shared" si="33"/>
        <v xml:space="preserve">  </v>
      </c>
      <c r="P18" s="4"/>
      <c r="Q18" s="50" t="s">
        <v>52</v>
      </c>
      <c r="R18" s="48" t="s">
        <v>53</v>
      </c>
      <c r="S18" t="str">
        <f>IF(Tools!$L$49="Use 141 rule only",I42,IF(Tools!$L$49="Use 141 and 1331 rules",BG19," "))</f>
        <v xml:space="preserve">  </v>
      </c>
      <c r="W18" s="29">
        <f>IF(AO18="  ","  ",IF(AND(AO17="  ",AO19="  "),"?",IF(AO17="  ",1*(AO19-AO18),IF(AO19="  ",1*(AO18-AO17),1*(AO19-AO17)))))</f>
        <v>2</v>
      </c>
      <c r="X18" s="30" t="str">
        <f t="shared" si="4"/>
        <v>WW</v>
      </c>
      <c r="Y18" s="30" t="str">
        <f t="shared" si="5"/>
        <v>-</v>
      </c>
      <c r="Z18" s="29" t="b">
        <f t="shared" si="6"/>
        <v>0</v>
      </c>
      <c r="AA18" s="29" t="b">
        <f t="shared" si="7"/>
        <v>0</v>
      </c>
      <c r="AB18" s="29" t="str">
        <f t="shared" ca="1" si="8"/>
        <v>++</v>
      </c>
      <c r="AC18" s="29">
        <f t="shared" si="34"/>
        <v>11</v>
      </c>
      <c r="AD18" s="29">
        <f t="shared" ca="1" si="9"/>
        <v>11</v>
      </c>
      <c r="AE18" s="29">
        <v>15</v>
      </c>
      <c r="AF18" s="31">
        <f t="shared" si="42"/>
        <v>11</v>
      </c>
      <c r="AG18" s="29" t="b">
        <f t="shared" si="11"/>
        <v>1</v>
      </c>
      <c r="AH18" s="30" t="str">
        <f t="shared" ca="1" si="43"/>
        <v>141-2</v>
      </c>
      <c r="AI18" s="30" t="str">
        <f t="shared" ca="1" si="13"/>
        <v/>
      </c>
      <c r="AJ18" s="29">
        <f t="shared" ca="1" si="14"/>
        <v>0</v>
      </c>
      <c r="AK18" s="29" t="str">
        <f t="shared" ca="1" si="15"/>
        <v>2/3</v>
      </c>
      <c r="AL18" s="29">
        <f t="shared" ca="1" si="16"/>
        <v>0.66666666666666663</v>
      </c>
      <c r="AM18" s="32">
        <f t="shared" ca="1" si="35"/>
        <v>0.66666666666666663</v>
      </c>
      <c r="AO18" s="20">
        <f>Tools!$AD17</f>
        <v>12</v>
      </c>
      <c r="AP18" s="33" t="str">
        <f t="shared" si="36"/>
        <v xml:space="preserve">  </v>
      </c>
      <c r="AQ18" s="34" t="str">
        <f t="shared" ca="1" si="18"/>
        <v>2/3</v>
      </c>
      <c r="AR18" s="23" t="str">
        <f t="shared" ca="1" si="19"/>
        <v xml:space="preserve">  </v>
      </c>
      <c r="AS18" s="24">
        <f t="shared" si="20"/>
        <v>2</v>
      </c>
      <c r="AT18" s="23" t="str">
        <f t="shared" ca="1" si="37"/>
        <v xml:space="preserve">  </v>
      </c>
      <c r="AU18" s="23" t="str">
        <f t="shared" ca="1" si="40"/>
        <v xml:space="preserve">  </v>
      </c>
      <c r="AV18" s="23" t="str">
        <f t="shared" si="21"/>
        <v xml:space="preserve">  </v>
      </c>
      <c r="AW18" s="23" t="str">
        <f t="shared" ca="1" si="22"/>
        <v xml:space="preserve">  </v>
      </c>
      <c r="AY18" s="35" t="str">
        <f t="shared" si="23"/>
        <v xml:space="preserve"> </v>
      </c>
      <c r="AZ18" s="23" t="str">
        <f t="shared" ca="1" si="41"/>
        <v xml:space="preserve">  </v>
      </c>
      <c r="BA18" s="36" t="str">
        <f t="shared" si="25"/>
        <v xml:space="preserve"> </v>
      </c>
      <c r="BB18" s="27" t="str">
        <f t="shared" ca="1" si="38"/>
        <v xml:space="preserve">  </v>
      </c>
      <c r="BC18" s="23" t="str">
        <f t="shared" ca="1" si="39"/>
        <v xml:space="preserve">  </v>
      </c>
      <c r="BE18" s="50" t="s">
        <v>50</v>
      </c>
      <c r="BF18" s="48" t="s">
        <v>54</v>
      </c>
      <c r="BG18" s="49" t="str">
        <f>IF(WL_No="  ","  ",h*$AZ$29)</f>
        <v xml:space="preserve">  </v>
      </c>
    </row>
    <row r="19" spans="1:59" x14ac:dyDescent="0.25">
      <c r="A19" s="20">
        <f>Tools!$AD18</f>
        <v>13</v>
      </c>
      <c r="B19" s="33" t="str">
        <f t="shared" si="0"/>
        <v xml:space="preserve">  </v>
      </c>
      <c r="C19" s="22">
        <f>IF(A19="  ","  ",IF(AND(A18="  ",A20="  "),"?",IF(A18="  ",2*(A20-A19),IF(A20="  ",2*(A19-A18),2*(A20-A18)))))</f>
        <v>4</v>
      </c>
      <c r="D19" s="23" t="str">
        <f t="shared" si="26"/>
        <v xml:space="preserve">  </v>
      </c>
      <c r="E19" s="24">
        <f t="shared" si="1"/>
        <v>3</v>
      </c>
      <c r="F19" s="23" t="str">
        <f t="shared" si="27"/>
        <v xml:space="preserve">  </v>
      </c>
      <c r="G19" s="23" t="str">
        <f t="shared" si="28"/>
        <v xml:space="preserve">  </v>
      </c>
      <c r="H19" s="23" t="str">
        <f t="shared" si="29"/>
        <v xml:space="preserve">  </v>
      </c>
      <c r="I19" s="23" t="str">
        <f t="shared" si="30"/>
        <v xml:space="preserve">  </v>
      </c>
      <c r="J19" s="4"/>
      <c r="K19" s="37" t="str">
        <f t="shared" si="2"/>
        <v xml:space="preserve"> </v>
      </c>
      <c r="L19" s="23" t="str">
        <f t="shared" si="31"/>
        <v xml:space="preserve">  </v>
      </c>
      <c r="M19" s="38" t="str">
        <f t="shared" si="3"/>
        <v xml:space="preserve"> </v>
      </c>
      <c r="N19" s="27" t="str">
        <f t="shared" si="32"/>
        <v xml:space="preserve">  </v>
      </c>
      <c r="O19" s="23" t="str">
        <f t="shared" si="33"/>
        <v xml:space="preserve">  </v>
      </c>
      <c r="P19" s="4"/>
      <c r="Q19" s="50" t="s">
        <v>55</v>
      </c>
      <c r="R19" s="48" t="s">
        <v>56</v>
      </c>
      <c r="S19" t="str">
        <f>IF(Tools!$L$49="Use 141 rule only",I43,IF(Tools!$L$49="Use 141 and 1331 rules",BG20," "))</f>
        <v xml:space="preserve">  </v>
      </c>
      <c r="W19" s="29">
        <f>IF(AO19="  ","  ",IF(AND(AO18="  ",AO20="  "),"?",IF(AO18="  ",2*(AO20-AO19),IF(AO20="  ",2*(AO19-AO18),2*(AO20-AO18)))))</f>
        <v>4</v>
      </c>
      <c r="X19" s="30" t="str">
        <f t="shared" si="4"/>
        <v>WW</v>
      </c>
      <c r="Y19" s="30" t="str">
        <f t="shared" si="5"/>
        <v>-</v>
      </c>
      <c r="Z19" s="29" t="b">
        <f t="shared" si="6"/>
        <v>0</v>
      </c>
      <c r="AA19" s="29" t="b">
        <f t="shared" si="7"/>
        <v>0</v>
      </c>
      <c r="AB19" s="29" t="str">
        <f t="shared" ca="1" si="8"/>
        <v>++</v>
      </c>
      <c r="AC19" s="29">
        <f t="shared" si="34"/>
        <v>10</v>
      </c>
      <c r="AD19" s="29">
        <f t="shared" ca="1" si="9"/>
        <v>10</v>
      </c>
      <c r="AE19" s="29">
        <v>16</v>
      </c>
      <c r="AF19" s="31">
        <f t="shared" si="42"/>
        <v>12</v>
      </c>
      <c r="AG19" s="29" t="b">
        <f t="shared" si="11"/>
        <v>1</v>
      </c>
      <c r="AH19" s="30" t="str">
        <f t="shared" ca="1" si="43"/>
        <v>141-4</v>
      </c>
      <c r="AI19" s="30" t="str">
        <f t="shared" ca="1" si="13"/>
        <v/>
      </c>
      <c r="AJ19" s="29">
        <f t="shared" ca="1" si="14"/>
        <v>0</v>
      </c>
      <c r="AK19" s="29" t="str">
        <f t="shared" ca="1" si="15"/>
        <v>4/3</v>
      </c>
      <c r="AL19" s="29">
        <f t="shared" ca="1" si="16"/>
        <v>1.3333333333333333</v>
      </c>
      <c r="AM19" s="32">
        <f t="shared" ca="1" si="35"/>
        <v>1.3333333333333333</v>
      </c>
      <c r="AO19" s="20">
        <f>Tools!$AD18</f>
        <v>13</v>
      </c>
      <c r="AP19" s="33" t="str">
        <f t="shared" si="36"/>
        <v xml:space="preserve">  </v>
      </c>
      <c r="AQ19" s="34" t="str">
        <f t="shared" ca="1" si="18"/>
        <v>4/3</v>
      </c>
      <c r="AR19" s="23" t="str">
        <f t="shared" ca="1" si="19"/>
        <v xml:space="preserve">  </v>
      </c>
      <c r="AS19" s="24">
        <f t="shared" si="20"/>
        <v>3</v>
      </c>
      <c r="AT19" s="23" t="str">
        <f t="shared" ca="1" si="37"/>
        <v xml:space="preserve">  </v>
      </c>
      <c r="AU19" s="23" t="str">
        <f t="shared" ca="1" si="40"/>
        <v xml:space="preserve">  </v>
      </c>
      <c r="AV19" s="23" t="str">
        <f t="shared" si="21"/>
        <v xml:space="preserve">  </v>
      </c>
      <c r="AW19" s="23" t="str">
        <f t="shared" ca="1" si="22"/>
        <v xml:space="preserve">  </v>
      </c>
      <c r="AY19" s="35" t="str">
        <f t="shared" si="23"/>
        <v xml:space="preserve"> </v>
      </c>
      <c r="AZ19" s="23" t="str">
        <f t="shared" ca="1" si="41"/>
        <v xml:space="preserve">  </v>
      </c>
      <c r="BA19" s="36" t="str">
        <f t="shared" si="25"/>
        <v xml:space="preserve"> </v>
      </c>
      <c r="BB19" s="27" t="str">
        <f t="shared" ca="1" si="38"/>
        <v xml:space="preserve">  </v>
      </c>
      <c r="BC19" s="23" t="str">
        <f t="shared" ca="1" si="39"/>
        <v xml:space="preserve">  </v>
      </c>
      <c r="BE19" s="50" t="s">
        <v>52</v>
      </c>
      <c r="BF19" s="48" t="s">
        <v>53</v>
      </c>
      <c r="BG19" s="49" t="str">
        <f>IF(WL_No="  ","  ",V_Disp*1.025*1.006)</f>
        <v xml:space="preserve">  </v>
      </c>
    </row>
    <row r="20" spans="1:59" x14ac:dyDescent="0.25">
      <c r="A20" s="20">
        <f>Tools!$AD19</f>
        <v>14</v>
      </c>
      <c r="B20" s="33" t="str">
        <f t="shared" si="0"/>
        <v xml:space="preserve">  </v>
      </c>
      <c r="C20" s="22">
        <f>IF(A20="  ","  ",IF(AND(A19="  ",A21="  "),"?",IF(A19="  ",1*(A21-A20),IF(A21="  ",1*(A20-A19),1*(A21-A19)))))</f>
        <v>2</v>
      </c>
      <c r="D20" s="23" t="str">
        <f t="shared" si="26"/>
        <v xml:space="preserve">  </v>
      </c>
      <c r="E20" s="24">
        <f t="shared" si="1"/>
        <v>4</v>
      </c>
      <c r="F20" s="23" t="str">
        <f t="shared" si="27"/>
        <v xml:space="preserve">  </v>
      </c>
      <c r="G20" s="23" t="str">
        <f t="shared" si="28"/>
        <v xml:space="preserve">  </v>
      </c>
      <c r="H20" s="23" t="str">
        <f t="shared" si="29"/>
        <v xml:space="preserve">  </v>
      </c>
      <c r="I20" s="23" t="str">
        <f t="shared" si="30"/>
        <v xml:space="preserve">  </v>
      </c>
      <c r="J20" s="4"/>
      <c r="K20" s="37" t="str">
        <f t="shared" si="2"/>
        <v xml:space="preserve"> </v>
      </c>
      <c r="L20" s="23" t="str">
        <f t="shared" si="31"/>
        <v xml:space="preserve">  </v>
      </c>
      <c r="M20" s="38" t="str">
        <f t="shared" si="3"/>
        <v xml:space="preserve"> </v>
      </c>
      <c r="N20" s="27" t="str">
        <f t="shared" si="32"/>
        <v xml:space="preserve">  </v>
      </c>
      <c r="O20" s="23" t="str">
        <f t="shared" si="33"/>
        <v xml:space="preserve">  </v>
      </c>
      <c r="P20" s="4"/>
      <c r="Q20" s="50" t="s">
        <v>57</v>
      </c>
      <c r="R20" s="48" t="s">
        <v>58</v>
      </c>
      <c r="S20" t="str">
        <f>IF(Tools!$L$49="Use 141 rule only",I44,IF(Tools!$L$49="Use 141 and 1331 rules",BG21," "))</f>
        <v xml:space="preserve">  </v>
      </c>
      <c r="W20" s="29">
        <f>IF(AO20="  ","  ",IF(AND(AO19="  ",AO21="  "),"?",IF(AO19="  ",1*(AO21-AO20),IF(AO21="  ",1*(AO20-AO19),1*(AO21-AO19)))))</f>
        <v>2</v>
      </c>
      <c r="X20" s="30" t="str">
        <f t="shared" si="4"/>
        <v>WW</v>
      </c>
      <c r="Y20" s="30" t="str">
        <f t="shared" si="5"/>
        <v>-</v>
      </c>
      <c r="Z20" s="29" t="b">
        <f t="shared" si="6"/>
        <v>0</v>
      </c>
      <c r="AA20" s="29" t="b">
        <f t="shared" si="7"/>
        <v>0</v>
      </c>
      <c r="AB20" s="29" t="str">
        <f t="shared" ca="1" si="8"/>
        <v>++</v>
      </c>
      <c r="AC20" s="29">
        <f t="shared" si="34"/>
        <v>9</v>
      </c>
      <c r="AD20" s="29">
        <f t="shared" ca="1" si="9"/>
        <v>9</v>
      </c>
      <c r="AE20" s="29">
        <v>17</v>
      </c>
      <c r="AF20" s="31">
        <f t="shared" si="42"/>
        <v>13</v>
      </c>
      <c r="AG20" s="29" t="b">
        <f t="shared" si="11"/>
        <v>1</v>
      </c>
      <c r="AH20" s="30" t="str">
        <f t="shared" ca="1" si="43"/>
        <v>141-2</v>
      </c>
      <c r="AI20" s="30" t="str">
        <f t="shared" ca="1" si="13"/>
        <v/>
      </c>
      <c r="AJ20" s="29">
        <f t="shared" ca="1" si="14"/>
        <v>0</v>
      </c>
      <c r="AK20" s="29" t="str">
        <f t="shared" ca="1" si="15"/>
        <v>2/3</v>
      </c>
      <c r="AL20" s="29">
        <f t="shared" ca="1" si="16"/>
        <v>0.66666666666666663</v>
      </c>
      <c r="AM20" s="32">
        <f t="shared" ca="1" si="35"/>
        <v>0.66666666666666663</v>
      </c>
      <c r="AO20" s="20">
        <f>Tools!$AD19</f>
        <v>14</v>
      </c>
      <c r="AP20" s="33" t="str">
        <f t="shared" si="36"/>
        <v xml:space="preserve">  </v>
      </c>
      <c r="AQ20" s="34" t="str">
        <f t="shared" ca="1" si="18"/>
        <v>2/3</v>
      </c>
      <c r="AR20" s="23" t="str">
        <f t="shared" ca="1" si="19"/>
        <v xml:space="preserve">  </v>
      </c>
      <c r="AS20" s="24">
        <f t="shared" si="20"/>
        <v>4</v>
      </c>
      <c r="AT20" s="23" t="str">
        <f t="shared" ca="1" si="37"/>
        <v xml:space="preserve">  </v>
      </c>
      <c r="AU20" s="23" t="str">
        <f t="shared" ca="1" si="40"/>
        <v xml:space="preserve">  </v>
      </c>
      <c r="AV20" s="23" t="str">
        <f t="shared" si="21"/>
        <v xml:space="preserve">  </v>
      </c>
      <c r="AW20" s="23" t="str">
        <f t="shared" ca="1" si="22"/>
        <v xml:space="preserve">  </v>
      </c>
      <c r="AY20" s="35" t="str">
        <f t="shared" si="23"/>
        <v xml:space="preserve"> </v>
      </c>
      <c r="AZ20" s="23" t="str">
        <f t="shared" ca="1" si="41"/>
        <v xml:space="preserve">  </v>
      </c>
      <c r="BA20" s="36" t="str">
        <f t="shared" si="25"/>
        <v xml:space="preserve"> </v>
      </c>
      <c r="BB20" s="27" t="str">
        <f t="shared" ca="1" si="38"/>
        <v xml:space="preserve">  </v>
      </c>
      <c r="BC20" s="23" t="str">
        <f t="shared" ca="1" si="39"/>
        <v xml:space="preserve">  </v>
      </c>
      <c r="BE20" s="50" t="s">
        <v>55</v>
      </c>
      <c r="BF20" s="48" t="s">
        <v>59</v>
      </c>
      <c r="BG20" s="49" t="str">
        <f>IF(WL_No="  ","  ",h*$BB$29)</f>
        <v xml:space="preserve">  </v>
      </c>
    </row>
    <row r="21" spans="1:59" x14ac:dyDescent="0.25">
      <c r="A21" s="20">
        <f>Tools!$AD20</f>
        <v>15</v>
      </c>
      <c r="B21" s="33" t="str">
        <f t="shared" si="0"/>
        <v xml:space="preserve">  </v>
      </c>
      <c r="C21" s="22">
        <f>IF(A21="  ","  ",IF(AND(A20="  ",A22="  "),"?",IF(A20="  ",2*(A22-A21),IF(A22="  ",2*(A21-A20),2*(A22-A20)))))</f>
        <v>4</v>
      </c>
      <c r="D21" s="23" t="str">
        <f t="shared" si="26"/>
        <v xml:space="preserve">  </v>
      </c>
      <c r="E21" s="24">
        <f t="shared" si="1"/>
        <v>5</v>
      </c>
      <c r="F21" s="23" t="str">
        <f t="shared" si="27"/>
        <v xml:space="preserve">  </v>
      </c>
      <c r="G21" s="23" t="str">
        <f t="shared" si="28"/>
        <v xml:space="preserve">  </v>
      </c>
      <c r="H21" s="23" t="str">
        <f t="shared" si="29"/>
        <v xml:space="preserve">  </v>
      </c>
      <c r="I21" s="23" t="str">
        <f t="shared" si="30"/>
        <v xml:space="preserve">  </v>
      </c>
      <c r="J21" s="4"/>
      <c r="K21" s="37" t="str">
        <f t="shared" si="2"/>
        <v xml:space="preserve"> </v>
      </c>
      <c r="L21" s="23" t="str">
        <f t="shared" si="31"/>
        <v xml:space="preserve">  </v>
      </c>
      <c r="M21" s="38" t="str">
        <f t="shared" si="3"/>
        <v xml:space="preserve"> </v>
      </c>
      <c r="N21" s="27" t="str">
        <f t="shared" si="32"/>
        <v xml:space="preserve">  </v>
      </c>
      <c r="O21" s="23" t="str">
        <f t="shared" si="33"/>
        <v xml:space="preserve">  </v>
      </c>
      <c r="P21" s="4"/>
      <c r="Q21" s="50" t="s">
        <v>60</v>
      </c>
      <c r="R21" s="48" t="s">
        <v>61</v>
      </c>
      <c r="S21" t="str">
        <f>IF(Tools!$L$49="Use 141 rule only",I45,IF(Tools!$L$49="Use 141 and 1331 rules",BG22," "))</f>
        <v xml:space="preserve">  </v>
      </c>
      <c r="W21" s="29">
        <f>IF(AO21="  ","  ",IF(AND(AO20="  ",AO22="  "),"?",IF(AO20="  ",2*(AO22-AO21),IF(AO22="  ",2*(AO21-AO20),2*(AO22-AO20)))))</f>
        <v>4</v>
      </c>
      <c r="X21" s="30" t="str">
        <f t="shared" si="4"/>
        <v>WW</v>
      </c>
      <c r="Y21" s="30" t="str">
        <f t="shared" si="5"/>
        <v>-</v>
      </c>
      <c r="Z21" s="29" t="b">
        <f t="shared" si="6"/>
        <v>0</v>
      </c>
      <c r="AA21" s="29" t="b">
        <f t="shared" si="7"/>
        <v>0</v>
      </c>
      <c r="AB21" s="29" t="str">
        <f t="shared" ca="1" si="8"/>
        <v>++</v>
      </c>
      <c r="AC21" s="29">
        <f t="shared" si="34"/>
        <v>8</v>
      </c>
      <c r="AD21" s="29">
        <f t="shared" ca="1" si="9"/>
        <v>8</v>
      </c>
      <c r="AE21" s="29">
        <v>18</v>
      </c>
      <c r="AF21" s="31">
        <f t="shared" si="42"/>
        <v>14</v>
      </c>
      <c r="AG21" s="29" t="b">
        <f t="shared" si="11"/>
        <v>1</v>
      </c>
      <c r="AH21" s="30" t="str">
        <f t="shared" ca="1" si="43"/>
        <v>141-4</v>
      </c>
      <c r="AI21" s="30" t="str">
        <f t="shared" ca="1" si="13"/>
        <v/>
      </c>
      <c r="AJ21" s="29">
        <f t="shared" ca="1" si="14"/>
        <v>0</v>
      </c>
      <c r="AK21" s="29" t="str">
        <f t="shared" ca="1" si="15"/>
        <v>4/3</v>
      </c>
      <c r="AL21" s="29">
        <f t="shared" ca="1" si="16"/>
        <v>1.3333333333333333</v>
      </c>
      <c r="AM21" s="32">
        <f t="shared" ca="1" si="35"/>
        <v>1.3333333333333333</v>
      </c>
      <c r="AO21" s="20">
        <f>Tools!$AD20</f>
        <v>15</v>
      </c>
      <c r="AP21" s="33" t="str">
        <f t="shared" si="36"/>
        <v xml:space="preserve">  </v>
      </c>
      <c r="AQ21" s="34" t="str">
        <f t="shared" ca="1" si="18"/>
        <v>4/3</v>
      </c>
      <c r="AR21" s="23" t="str">
        <f t="shared" ca="1" si="19"/>
        <v xml:space="preserve">  </v>
      </c>
      <c r="AS21" s="24">
        <f t="shared" si="20"/>
        <v>5</v>
      </c>
      <c r="AT21" s="23" t="str">
        <f t="shared" ca="1" si="37"/>
        <v xml:space="preserve">  </v>
      </c>
      <c r="AU21" s="23" t="str">
        <f t="shared" ca="1" si="40"/>
        <v xml:space="preserve">  </v>
      </c>
      <c r="AV21" s="23" t="str">
        <f t="shared" si="21"/>
        <v xml:space="preserve">  </v>
      </c>
      <c r="AW21" s="23" t="str">
        <f t="shared" ca="1" si="22"/>
        <v xml:space="preserve">  </v>
      </c>
      <c r="AY21" s="35" t="str">
        <f t="shared" si="23"/>
        <v xml:space="preserve"> </v>
      </c>
      <c r="AZ21" s="23" t="str">
        <f t="shared" ca="1" si="41"/>
        <v xml:space="preserve">  </v>
      </c>
      <c r="BA21" s="36" t="str">
        <f t="shared" si="25"/>
        <v xml:space="preserve"> </v>
      </c>
      <c r="BB21" s="27" t="str">
        <f t="shared" ca="1" si="38"/>
        <v xml:space="preserve">  </v>
      </c>
      <c r="BC21" s="23" t="str">
        <f t="shared" ca="1" si="39"/>
        <v xml:space="preserve">  </v>
      </c>
      <c r="BE21" s="50" t="s">
        <v>57</v>
      </c>
      <c r="BF21" s="48" t="s">
        <v>62</v>
      </c>
      <c r="BG21" s="49" t="str">
        <f>IF(WL_No="  ","  ",(h^2)*$BC$29)</f>
        <v xml:space="preserve">  </v>
      </c>
    </row>
    <row r="22" spans="1:59" x14ac:dyDescent="0.25">
      <c r="A22" s="20">
        <f>Tools!$AD21</f>
        <v>16</v>
      </c>
      <c r="B22" s="33" t="str">
        <f t="shared" si="0"/>
        <v xml:space="preserve">  </v>
      </c>
      <c r="C22" s="22">
        <f>IF(A22="  ","  ",IF(AND(A21="  ",A23="  "),"?",IF(A21="  ",1*(A23-A22),IF(A23="  ",1*(A22-A21),1*(A23-A21)))))</f>
        <v>2</v>
      </c>
      <c r="D22" s="23" t="str">
        <f t="shared" si="26"/>
        <v xml:space="preserve">  </v>
      </c>
      <c r="E22" s="24">
        <f t="shared" si="1"/>
        <v>6</v>
      </c>
      <c r="F22" s="23" t="str">
        <f t="shared" si="27"/>
        <v xml:space="preserve">  </v>
      </c>
      <c r="G22" s="23" t="str">
        <f t="shared" si="28"/>
        <v xml:space="preserve">  </v>
      </c>
      <c r="H22" s="23" t="str">
        <f t="shared" si="29"/>
        <v xml:space="preserve">  </v>
      </c>
      <c r="I22" s="23" t="str">
        <f t="shared" si="30"/>
        <v xml:space="preserve">  </v>
      </c>
      <c r="J22" s="4"/>
      <c r="K22" s="37" t="str">
        <f t="shared" si="2"/>
        <v xml:space="preserve"> </v>
      </c>
      <c r="L22" s="23" t="str">
        <f t="shared" si="31"/>
        <v xml:space="preserve">  </v>
      </c>
      <c r="M22" s="38" t="str">
        <f t="shared" si="3"/>
        <v xml:space="preserve"> </v>
      </c>
      <c r="N22" s="27" t="str">
        <f t="shared" si="32"/>
        <v xml:space="preserve">  </v>
      </c>
      <c r="O22" s="23" t="str">
        <f t="shared" si="33"/>
        <v xml:space="preserve">  </v>
      </c>
      <c r="P22" s="4"/>
      <c r="Q22" s="50" t="s">
        <v>63</v>
      </c>
      <c r="R22" s="48" t="s">
        <v>64</v>
      </c>
      <c r="S22" t="str">
        <f>IF(Tools!$L$49="Use 141 rule only",I46,IF(Tools!$L$49="Use 141 and 1331 rules",BG23," "))</f>
        <v xml:space="preserve">  </v>
      </c>
      <c r="W22" s="29">
        <f>IF(AO22="  ","  ",IF(AND(AO21="  ",AO23="  "),"?",IF(AO21="  ",1*(AO23-AO22),IF(AO23="  ",1*(AO22-AO21),1*(AO23-AO21)))))</f>
        <v>2</v>
      </c>
      <c r="X22" s="30" t="str">
        <f t="shared" si="4"/>
        <v>WW</v>
      </c>
      <c r="Y22" s="30" t="str">
        <f t="shared" si="5"/>
        <v>-</v>
      </c>
      <c r="Z22" s="29" t="b">
        <f t="shared" si="6"/>
        <v>0</v>
      </c>
      <c r="AA22" s="29" t="b">
        <f t="shared" si="7"/>
        <v>0</v>
      </c>
      <c r="AB22" s="29" t="str">
        <f t="shared" ca="1" si="8"/>
        <v>++</v>
      </c>
      <c r="AC22" s="29">
        <f t="shared" si="34"/>
        <v>7</v>
      </c>
      <c r="AD22" s="29">
        <f t="shared" ca="1" si="9"/>
        <v>7</v>
      </c>
      <c r="AE22" s="29">
        <v>19</v>
      </c>
      <c r="AF22" s="31">
        <f t="shared" si="42"/>
        <v>15</v>
      </c>
      <c r="AG22" s="29" t="b">
        <f t="shared" si="11"/>
        <v>1</v>
      </c>
      <c r="AH22" s="30" t="str">
        <f t="shared" ca="1" si="43"/>
        <v>141-2</v>
      </c>
      <c r="AI22" s="30" t="str">
        <f t="shared" ca="1" si="13"/>
        <v/>
      </c>
      <c r="AJ22" s="29">
        <f t="shared" ca="1" si="14"/>
        <v>0</v>
      </c>
      <c r="AK22" s="29" t="str">
        <f t="shared" ca="1" si="15"/>
        <v>2/3</v>
      </c>
      <c r="AL22" s="29">
        <f t="shared" ca="1" si="16"/>
        <v>0.66666666666666663</v>
      </c>
      <c r="AM22" s="32">
        <f t="shared" ca="1" si="35"/>
        <v>0.66666666666666663</v>
      </c>
      <c r="AO22" s="20">
        <f>Tools!$AD21</f>
        <v>16</v>
      </c>
      <c r="AP22" s="33" t="str">
        <f t="shared" si="36"/>
        <v xml:space="preserve">  </v>
      </c>
      <c r="AQ22" s="34" t="str">
        <f t="shared" ca="1" si="18"/>
        <v>2/3</v>
      </c>
      <c r="AR22" s="23" t="str">
        <f t="shared" ca="1" si="19"/>
        <v xml:space="preserve">  </v>
      </c>
      <c r="AS22" s="24">
        <f t="shared" si="20"/>
        <v>6</v>
      </c>
      <c r="AT22" s="23" t="str">
        <f t="shared" ca="1" si="37"/>
        <v xml:space="preserve">  </v>
      </c>
      <c r="AU22" s="23" t="str">
        <f t="shared" ca="1" si="40"/>
        <v xml:space="preserve">  </v>
      </c>
      <c r="AV22" s="23" t="str">
        <f t="shared" si="21"/>
        <v xml:space="preserve">  </v>
      </c>
      <c r="AW22" s="23" t="str">
        <f t="shared" ca="1" si="22"/>
        <v xml:space="preserve">  </v>
      </c>
      <c r="AY22" s="35" t="str">
        <f t="shared" si="23"/>
        <v xml:space="preserve"> </v>
      </c>
      <c r="AZ22" s="23" t="str">
        <f t="shared" ca="1" si="41"/>
        <v xml:space="preserve">  </v>
      </c>
      <c r="BA22" s="36" t="str">
        <f t="shared" si="25"/>
        <v xml:space="preserve"> </v>
      </c>
      <c r="BB22" s="27" t="str">
        <f t="shared" ca="1" si="38"/>
        <v xml:space="preserve">  </v>
      </c>
      <c r="BC22" s="23" t="str">
        <f t="shared" ca="1" si="39"/>
        <v xml:space="preserve">  </v>
      </c>
      <c r="BE22" s="50" t="s">
        <v>60</v>
      </c>
      <c r="BF22" s="48" t="s">
        <v>61</v>
      </c>
      <c r="BG22" s="49" t="str">
        <f>IF(WL_No="  ","  ",IF/V_Disp)</f>
        <v xml:space="preserve">  </v>
      </c>
    </row>
    <row r="23" spans="1:59" x14ac:dyDescent="0.25">
      <c r="A23" s="20">
        <f>Tools!$AD22</f>
        <v>17</v>
      </c>
      <c r="B23" s="33" t="str">
        <f t="shared" si="0"/>
        <v xml:space="preserve">  </v>
      </c>
      <c r="C23" s="22">
        <f>IF(A23="  ","  ",IF(AND(A22="  ",A24="  "),"?",IF(A22="  ",2*(A24-A23),IF(A24="  ",2*(A23-A22),2*(A24-A22)))))</f>
        <v>4</v>
      </c>
      <c r="D23" s="23" t="str">
        <f t="shared" si="26"/>
        <v xml:space="preserve">  </v>
      </c>
      <c r="E23" s="24">
        <f t="shared" si="1"/>
        <v>7</v>
      </c>
      <c r="F23" s="23" t="str">
        <f t="shared" si="27"/>
        <v xml:space="preserve">  </v>
      </c>
      <c r="G23" s="23" t="str">
        <f t="shared" si="28"/>
        <v xml:space="preserve">  </v>
      </c>
      <c r="H23" s="23" t="str">
        <f t="shared" si="29"/>
        <v xml:space="preserve">  </v>
      </c>
      <c r="I23" s="23" t="str">
        <f t="shared" si="30"/>
        <v xml:space="preserve">  </v>
      </c>
      <c r="J23" s="4"/>
      <c r="K23" s="37" t="str">
        <f t="shared" si="2"/>
        <v xml:space="preserve"> </v>
      </c>
      <c r="L23" s="23" t="str">
        <f t="shared" si="31"/>
        <v xml:space="preserve">  </v>
      </c>
      <c r="M23" s="38" t="str">
        <f t="shared" si="3"/>
        <v xml:space="preserve"> </v>
      </c>
      <c r="N23" s="27" t="str">
        <f t="shared" si="32"/>
        <v xml:space="preserve">  </v>
      </c>
      <c r="O23" s="23" t="str">
        <f t="shared" si="33"/>
        <v xml:space="preserve">  </v>
      </c>
      <c r="P23" s="4"/>
      <c r="Q23" s="50" t="s">
        <v>65</v>
      </c>
      <c r="R23" s="48" t="s">
        <v>66</v>
      </c>
      <c r="S23" t="str">
        <f>IF(Tools!$L$49="Use 141 rule only",I47,IF(Tools!$L$49="Use 141 and 1331 rules",BG24," "))</f>
        <v xml:space="preserve">  </v>
      </c>
      <c r="W23" s="29">
        <f>IF(AO23="  ","  ",IF(AND(AO22="  ",AO24="  "),"?",IF(AO22="  ",2*(AO24-AO23),IF(AO24="  ",2*(AO23-AO22),2*(AO24-AO22)))))</f>
        <v>4</v>
      </c>
      <c r="X23" s="30" t="str">
        <f t="shared" si="4"/>
        <v>WW</v>
      </c>
      <c r="Y23" s="30" t="str">
        <f t="shared" si="5"/>
        <v>-</v>
      </c>
      <c r="Z23" s="29" t="b">
        <f t="shared" si="6"/>
        <v>0</v>
      </c>
      <c r="AA23" s="29" t="b">
        <f t="shared" si="7"/>
        <v>0</v>
      </c>
      <c r="AB23" s="29" t="str">
        <f t="shared" ca="1" si="8"/>
        <v>++</v>
      </c>
      <c r="AC23" s="29">
        <f t="shared" si="34"/>
        <v>6</v>
      </c>
      <c r="AD23" s="29">
        <f t="shared" ca="1" si="9"/>
        <v>6</v>
      </c>
      <c r="AE23" s="29">
        <v>20</v>
      </c>
      <c r="AF23" s="31">
        <f t="shared" si="42"/>
        <v>16</v>
      </c>
      <c r="AG23" s="29" t="b">
        <f t="shared" si="11"/>
        <v>1</v>
      </c>
      <c r="AH23" s="30" t="str">
        <f t="shared" ca="1" si="43"/>
        <v>141-4</v>
      </c>
      <c r="AI23" s="30" t="str">
        <f t="shared" ca="1" si="13"/>
        <v/>
      </c>
      <c r="AJ23" s="29">
        <f t="shared" ca="1" si="14"/>
        <v>0</v>
      </c>
      <c r="AK23" s="29" t="str">
        <f t="shared" ca="1" si="15"/>
        <v>4/3</v>
      </c>
      <c r="AL23" s="29">
        <f t="shared" ca="1" si="16"/>
        <v>1.3333333333333333</v>
      </c>
      <c r="AM23" s="32">
        <f t="shared" ca="1" si="35"/>
        <v>1.3333333333333333</v>
      </c>
      <c r="AO23" s="20">
        <f>Tools!$AD22</f>
        <v>17</v>
      </c>
      <c r="AP23" s="33" t="str">
        <f t="shared" si="36"/>
        <v xml:space="preserve">  </v>
      </c>
      <c r="AQ23" s="34" t="str">
        <f t="shared" ca="1" si="18"/>
        <v>4/3</v>
      </c>
      <c r="AR23" s="23" t="str">
        <f t="shared" ca="1" si="19"/>
        <v xml:space="preserve">  </v>
      </c>
      <c r="AS23" s="24">
        <f t="shared" si="20"/>
        <v>7</v>
      </c>
      <c r="AT23" s="23" t="str">
        <f t="shared" ca="1" si="37"/>
        <v xml:space="preserve">  </v>
      </c>
      <c r="AU23" s="23" t="str">
        <f t="shared" ca="1" si="40"/>
        <v xml:space="preserve">  </v>
      </c>
      <c r="AV23" s="23" t="str">
        <f t="shared" si="21"/>
        <v xml:space="preserve">  </v>
      </c>
      <c r="AW23" s="23" t="str">
        <f t="shared" ca="1" si="22"/>
        <v xml:space="preserve">  </v>
      </c>
      <c r="AY23" s="35" t="str">
        <f t="shared" si="23"/>
        <v xml:space="preserve"> </v>
      </c>
      <c r="AZ23" s="23" t="str">
        <f t="shared" ca="1" si="41"/>
        <v xml:space="preserve">  </v>
      </c>
      <c r="BA23" s="36" t="str">
        <f t="shared" si="25"/>
        <v xml:space="preserve"> </v>
      </c>
      <c r="BB23" s="27" t="str">
        <f t="shared" ca="1" si="38"/>
        <v xml:space="preserve">  </v>
      </c>
      <c r="BC23" s="23" t="str">
        <f t="shared" ca="1" si="39"/>
        <v xml:space="preserve">  </v>
      </c>
      <c r="BE23" s="50" t="s">
        <v>63</v>
      </c>
      <c r="BF23" s="48" t="s">
        <v>64</v>
      </c>
      <c r="BG23" s="49" t="str">
        <f>IF(WL_No="  ","  ",IT/V_Disp)</f>
        <v xml:space="preserve">  </v>
      </c>
    </row>
    <row r="24" spans="1:59" x14ac:dyDescent="0.25">
      <c r="A24" s="20">
        <f>Tools!$AD23</f>
        <v>18</v>
      </c>
      <c r="B24" s="33" t="str">
        <f t="shared" si="0"/>
        <v xml:space="preserve">  </v>
      </c>
      <c r="C24" s="22">
        <f>IF(A24="  ","  ",IF(AND(A23="  ",A25="  "),"?",IF(A23="  ",1*(A25-A24),IF(A25="  ",1*(A24-A23),1*(A25-A23)))))</f>
        <v>1.5</v>
      </c>
      <c r="D24" s="23" t="str">
        <f t="shared" si="26"/>
        <v xml:space="preserve">  </v>
      </c>
      <c r="E24" s="24">
        <f t="shared" si="1"/>
        <v>8</v>
      </c>
      <c r="F24" s="23" t="str">
        <f t="shared" si="27"/>
        <v xml:space="preserve">  </v>
      </c>
      <c r="G24" s="23" t="str">
        <f t="shared" si="28"/>
        <v xml:space="preserve">  </v>
      </c>
      <c r="H24" s="23" t="str">
        <f t="shared" si="29"/>
        <v xml:space="preserve">  </v>
      </c>
      <c r="I24" s="23" t="str">
        <f t="shared" si="30"/>
        <v xml:space="preserve">  </v>
      </c>
      <c r="J24" s="4"/>
      <c r="K24" s="37" t="str">
        <f t="shared" si="2"/>
        <v xml:space="preserve"> </v>
      </c>
      <c r="L24" s="23" t="str">
        <f t="shared" si="31"/>
        <v xml:space="preserve">  </v>
      </c>
      <c r="M24" s="38" t="str">
        <f t="shared" si="3"/>
        <v xml:space="preserve"> </v>
      </c>
      <c r="N24" s="27" t="str">
        <f t="shared" si="32"/>
        <v xml:space="preserve">  </v>
      </c>
      <c r="O24" s="23" t="str">
        <f t="shared" si="33"/>
        <v xml:space="preserve">  </v>
      </c>
      <c r="P24" s="4"/>
      <c r="Q24" s="50" t="s">
        <v>67</v>
      </c>
      <c r="R24" s="48" t="s">
        <v>68</v>
      </c>
      <c r="S24" t="str">
        <f>IF(Tools!$L$49="Use 141 rule only",I48,IF(Tools!$L$49="Use 141 and 1331 rules",BG25," "))</f>
        <v xml:space="preserve">  </v>
      </c>
      <c r="W24" s="29">
        <f>IF(AO24="  ","  ",IF(AND(AO23="  ",AO25="  "),"?",IF(AO23="  ",1*(AO25-AO24),IF(AO25="  ",1*(AO24-AO23),1*(AO25-AO23)))))</f>
        <v>1.5</v>
      </c>
      <c r="X24" s="30" t="str">
        <f t="shared" si="4"/>
        <v>WD</v>
      </c>
      <c r="Y24" s="30" t="str">
        <f t="shared" si="5"/>
        <v>-</v>
      </c>
      <c r="Z24" s="29" t="b">
        <f t="shared" si="6"/>
        <v>1</v>
      </c>
      <c r="AA24" s="29" t="b">
        <f t="shared" si="7"/>
        <v>1</v>
      </c>
      <c r="AB24" s="29" t="str">
        <f t="shared" ca="1" si="8"/>
        <v>141-1</v>
      </c>
      <c r="AC24" s="29">
        <f t="shared" si="34"/>
        <v>5</v>
      </c>
      <c r="AD24" s="29">
        <f t="shared" ca="1" si="9"/>
        <v>5</v>
      </c>
      <c r="AE24" s="29">
        <v>21</v>
      </c>
      <c r="AF24" s="31">
        <f t="shared" si="42"/>
        <v>17</v>
      </c>
      <c r="AG24" s="29" t="b">
        <f t="shared" si="11"/>
        <v>1</v>
      </c>
      <c r="AH24" s="30" t="str">
        <f t="shared" ca="1" si="43"/>
        <v>141-1</v>
      </c>
      <c r="AI24" s="30" t="str">
        <f t="shared" ca="1" si="13"/>
        <v>(1/2)*(1/3)</v>
      </c>
      <c r="AJ24" s="29">
        <f t="shared" ca="1" si="14"/>
        <v>0.16666666666666666</v>
      </c>
      <c r="AK24" s="29" t="str">
        <f t="shared" ca="1" si="15"/>
        <v>1/3</v>
      </c>
      <c r="AL24" s="29">
        <f t="shared" ca="1" si="16"/>
        <v>0.33333333333333331</v>
      </c>
      <c r="AM24" s="32">
        <f t="shared" ca="1" si="35"/>
        <v>0.5</v>
      </c>
      <c r="AO24" s="20">
        <f>Tools!$AD23</f>
        <v>18</v>
      </c>
      <c r="AP24" s="33" t="str">
        <f t="shared" si="36"/>
        <v xml:space="preserve">  </v>
      </c>
      <c r="AQ24" s="34" t="str">
        <f t="shared" ca="1" si="18"/>
        <v>(1/2)*(1/3)+1/3</v>
      </c>
      <c r="AR24" s="23" t="str">
        <f t="shared" ca="1" si="19"/>
        <v xml:space="preserve">  </v>
      </c>
      <c r="AS24" s="24">
        <f t="shared" si="20"/>
        <v>8</v>
      </c>
      <c r="AT24" s="23" t="str">
        <f t="shared" ca="1" si="37"/>
        <v xml:space="preserve">  </v>
      </c>
      <c r="AU24" s="23" t="str">
        <f t="shared" ca="1" si="40"/>
        <v xml:space="preserve">  </v>
      </c>
      <c r="AV24" s="23" t="str">
        <f t="shared" si="21"/>
        <v xml:space="preserve">  </v>
      </c>
      <c r="AW24" s="23" t="str">
        <f t="shared" ca="1" si="22"/>
        <v xml:space="preserve">  </v>
      </c>
      <c r="AY24" s="35" t="str">
        <f t="shared" si="23"/>
        <v xml:space="preserve"> </v>
      </c>
      <c r="AZ24" s="23" t="str">
        <f t="shared" ca="1" si="41"/>
        <v xml:space="preserve">  </v>
      </c>
      <c r="BA24" s="36" t="str">
        <f t="shared" si="25"/>
        <v xml:space="preserve"> </v>
      </c>
      <c r="BB24" s="27" t="str">
        <f t="shared" ca="1" si="38"/>
        <v xml:space="preserve">  </v>
      </c>
      <c r="BC24" s="23" t="str">
        <f t="shared" ca="1" si="39"/>
        <v xml:space="preserve">  </v>
      </c>
      <c r="BE24" s="50" t="s">
        <v>65</v>
      </c>
      <c r="BF24" s="48" t="s">
        <v>66</v>
      </c>
      <c r="BG24" s="49" t="str">
        <f>IF(WL_No="  ","  ",MT/V_Disp)</f>
        <v xml:space="preserve">  </v>
      </c>
    </row>
    <row r="25" spans="1:59" x14ac:dyDescent="0.25">
      <c r="A25" s="20">
        <f>Tools!$AD24</f>
        <v>18.5</v>
      </c>
      <c r="B25" s="33" t="str">
        <f t="shared" si="0"/>
        <v xml:space="preserve">  </v>
      </c>
      <c r="C25" s="22">
        <f>IF(A25="  ","  ",IF(AND(A24="  ",A26="  "),"?",IF(A24="  ",2*(A26-A25),IF(A26="  ",2*(A25-A24),2*(A26-A24)))))</f>
        <v>2</v>
      </c>
      <c r="D25" s="23" t="str">
        <f t="shared" si="26"/>
        <v xml:space="preserve">  </v>
      </c>
      <c r="E25" s="24">
        <f t="shared" si="1"/>
        <v>8.5</v>
      </c>
      <c r="F25" s="23" t="str">
        <f t="shared" si="27"/>
        <v xml:space="preserve">  </v>
      </c>
      <c r="G25" s="23" t="str">
        <f t="shared" si="28"/>
        <v xml:space="preserve">  </v>
      </c>
      <c r="H25" s="23" t="str">
        <f t="shared" si="29"/>
        <v xml:space="preserve">  </v>
      </c>
      <c r="I25" s="23" t="str">
        <f t="shared" si="30"/>
        <v xml:space="preserve">  </v>
      </c>
      <c r="J25" s="4"/>
      <c r="K25" s="37" t="str">
        <f t="shared" si="2"/>
        <v xml:space="preserve"> </v>
      </c>
      <c r="L25" s="23" t="str">
        <f t="shared" si="31"/>
        <v xml:space="preserve">  </v>
      </c>
      <c r="M25" s="38" t="str">
        <f t="shared" si="3"/>
        <v xml:space="preserve"> </v>
      </c>
      <c r="N25" s="27" t="str">
        <f t="shared" si="32"/>
        <v xml:space="preserve">  </v>
      </c>
      <c r="O25" s="23" t="str">
        <f t="shared" si="33"/>
        <v xml:space="preserve">  </v>
      </c>
      <c r="P25" s="4"/>
      <c r="Q25" s="50" t="s">
        <v>69</v>
      </c>
      <c r="R25" s="48" t="s">
        <v>70</v>
      </c>
      <c r="S25" t="str">
        <f>IF(Tools!$L$49="Use 141 rule only",I49,IF(Tools!$L$49="Use 141 and 1331 rules",BG26," "))</f>
        <v xml:space="preserve">  </v>
      </c>
      <c r="W25" s="29">
        <f>IF(AO25="  ","  ",IF(AND(AO24="  ",AO26="  "),"?",IF(AO24="  ",2*(AO26-AO25),IF(AO26="  ",2*(AO25-AO24),2*(AO26-AO24)))))</f>
        <v>2</v>
      </c>
      <c r="X25" s="30" t="str">
        <f t="shared" si="4"/>
        <v>DD</v>
      </c>
      <c r="Y25" s="30" t="str">
        <f t="shared" si="5"/>
        <v>-</v>
      </c>
      <c r="Z25" s="29" t="b">
        <f t="shared" si="6"/>
        <v>1</v>
      </c>
      <c r="AA25" s="29" t="b">
        <f t="shared" si="7"/>
        <v>1</v>
      </c>
      <c r="AB25" s="29" t="str">
        <f t="shared" ca="1" si="8"/>
        <v>141-4</v>
      </c>
      <c r="AC25" s="29">
        <f t="shared" si="34"/>
        <v>4</v>
      </c>
      <c r="AD25" s="29">
        <f t="shared" ca="1" si="9"/>
        <v>4</v>
      </c>
      <c r="AE25" s="29">
        <v>22</v>
      </c>
      <c r="AF25" s="31">
        <f t="shared" si="42"/>
        <v>18</v>
      </c>
      <c r="AG25" s="29" t="b">
        <f t="shared" si="11"/>
        <v>0</v>
      </c>
      <c r="AH25" s="30" t="str">
        <f t="shared" si="43"/>
        <v>-</v>
      </c>
      <c r="AI25" s="30" t="str">
        <f t="shared" ca="1" si="13"/>
        <v>(1/2)*(4/3)</v>
      </c>
      <c r="AJ25" s="29">
        <f t="shared" ca="1" si="14"/>
        <v>0.66666666666666663</v>
      </c>
      <c r="AK25" s="29" t="str">
        <f t="shared" si="15"/>
        <v/>
      </c>
      <c r="AL25" s="29">
        <f t="shared" si="16"/>
        <v>0</v>
      </c>
      <c r="AM25" s="32">
        <f t="shared" ca="1" si="35"/>
        <v>0.66666666666666663</v>
      </c>
      <c r="AO25" s="20">
        <f>Tools!$AD24</f>
        <v>18.5</v>
      </c>
      <c r="AP25" s="33" t="str">
        <f t="shared" si="36"/>
        <v xml:space="preserve">  </v>
      </c>
      <c r="AQ25" s="34" t="str">
        <f t="shared" ca="1" si="18"/>
        <v>(1/2)*(4/3)</v>
      </c>
      <c r="AR25" s="23" t="str">
        <f t="shared" ca="1" si="19"/>
        <v xml:space="preserve">  </v>
      </c>
      <c r="AS25" s="24">
        <f t="shared" si="20"/>
        <v>8.5</v>
      </c>
      <c r="AT25" s="23" t="str">
        <f t="shared" ca="1" si="37"/>
        <v xml:space="preserve">  </v>
      </c>
      <c r="AU25" s="23" t="str">
        <f t="shared" ca="1" si="40"/>
        <v xml:space="preserve">  </v>
      </c>
      <c r="AV25" s="23" t="str">
        <f t="shared" si="21"/>
        <v xml:space="preserve">  </v>
      </c>
      <c r="AW25" s="23" t="str">
        <f t="shared" ca="1" si="22"/>
        <v xml:space="preserve">  </v>
      </c>
      <c r="AY25" s="35" t="str">
        <f t="shared" si="23"/>
        <v xml:space="preserve"> </v>
      </c>
      <c r="AZ25" s="23" t="str">
        <f t="shared" ca="1" si="41"/>
        <v xml:space="preserve">  </v>
      </c>
      <c r="BA25" s="36" t="str">
        <f t="shared" si="25"/>
        <v xml:space="preserve"> </v>
      </c>
      <c r="BB25" s="27" t="str">
        <f t="shared" ca="1" si="38"/>
        <v xml:space="preserve">  </v>
      </c>
      <c r="BC25" s="23" t="str">
        <f t="shared" ca="1" si="39"/>
        <v xml:space="preserve">  </v>
      </c>
      <c r="BE25" s="50" t="s">
        <v>67</v>
      </c>
      <c r="BF25" s="48" t="s">
        <v>68</v>
      </c>
      <c r="BG25" s="49" t="str">
        <f>IF(WL_No="  ","  ",KB+BMT)</f>
        <v xml:space="preserve">  </v>
      </c>
    </row>
    <row r="26" spans="1:59" x14ac:dyDescent="0.25">
      <c r="A26" s="20">
        <f>Tools!$AD25</f>
        <v>19</v>
      </c>
      <c r="B26" s="33" t="str">
        <f t="shared" si="0"/>
        <v xml:space="preserve">  </v>
      </c>
      <c r="C26" s="22">
        <f>IF(A26="  ","  ",IF(AND(A25="  ",A27="  "),"?",IF(A25="  ",1*(A27-A26),IF(A27="  ",1*(A26-A25),1*(A27-A25)))))</f>
        <v>1</v>
      </c>
      <c r="D26" s="23" t="str">
        <f t="shared" si="26"/>
        <v xml:space="preserve">  </v>
      </c>
      <c r="E26" s="24">
        <f t="shared" si="1"/>
        <v>9</v>
      </c>
      <c r="F26" s="23" t="str">
        <f t="shared" si="27"/>
        <v xml:space="preserve">  </v>
      </c>
      <c r="G26" s="23" t="str">
        <f t="shared" si="28"/>
        <v xml:space="preserve">  </v>
      </c>
      <c r="H26" s="23" t="str">
        <f t="shared" si="29"/>
        <v xml:space="preserve">  </v>
      </c>
      <c r="I26" s="23" t="str">
        <f t="shared" si="30"/>
        <v xml:space="preserve">  </v>
      </c>
      <c r="J26" s="4"/>
      <c r="K26" s="37" t="str">
        <f t="shared" si="2"/>
        <v xml:space="preserve"> </v>
      </c>
      <c r="L26" s="23" t="str">
        <f t="shared" si="31"/>
        <v xml:space="preserve">  </v>
      </c>
      <c r="M26" s="38" t="str">
        <f t="shared" si="3"/>
        <v xml:space="preserve"> </v>
      </c>
      <c r="N26" s="27" t="str">
        <f t="shared" si="32"/>
        <v xml:space="preserve">  </v>
      </c>
      <c r="O26" s="23" t="str">
        <f t="shared" si="33"/>
        <v xml:space="preserve">  </v>
      </c>
      <c r="P26" s="4"/>
      <c r="Q26" s="50" t="s">
        <v>71</v>
      </c>
      <c r="R26" s="48" t="s">
        <v>72</v>
      </c>
      <c r="S26" t="str">
        <f>IF(Tools!$L$49="Use 141 rule only",I50,IF(Tools!$L$49="Use 141 and 1331 rules",BG27," "))</f>
        <v xml:space="preserve">  </v>
      </c>
      <c r="W26" s="29">
        <f>IF(AO26="  ","  ",IF(AND(AO25="  ",AO27="  "),"?",IF(AO25="  ",1*(AO27-AO26),IF(AO27="  ",1*(AO26-AO25),1*(AO27-AO25)))))</f>
        <v>1</v>
      </c>
      <c r="X26" s="30" t="str">
        <f t="shared" si="4"/>
        <v>DD</v>
      </c>
      <c r="Y26" s="30" t="str">
        <f t="shared" si="5"/>
        <v>-</v>
      </c>
      <c r="Z26" s="29" t="b">
        <f t="shared" si="6"/>
        <v>1</v>
      </c>
      <c r="AA26" s="29" t="b">
        <f t="shared" si="7"/>
        <v>1</v>
      </c>
      <c r="AB26" s="29" t="str">
        <f t="shared" ca="1" si="8"/>
        <v>141-2</v>
      </c>
      <c r="AC26" s="29">
        <f t="shared" si="34"/>
        <v>3</v>
      </c>
      <c r="AD26" s="29">
        <f t="shared" ca="1" si="9"/>
        <v>3</v>
      </c>
      <c r="AE26" s="29">
        <v>23</v>
      </c>
      <c r="AF26" s="31">
        <f t="shared" si="42"/>
        <v>19</v>
      </c>
      <c r="AG26" s="29" t="b">
        <f t="shared" si="11"/>
        <v>0</v>
      </c>
      <c r="AH26" s="30" t="str">
        <f t="shared" si="43"/>
        <v>-</v>
      </c>
      <c r="AI26" s="30" t="str">
        <f t="shared" ca="1" si="13"/>
        <v>(1/2)*(2/3)</v>
      </c>
      <c r="AJ26" s="29">
        <f t="shared" ca="1" si="14"/>
        <v>0.33333333333333331</v>
      </c>
      <c r="AK26" s="29" t="str">
        <f t="shared" si="15"/>
        <v/>
      </c>
      <c r="AL26" s="29">
        <f t="shared" si="16"/>
        <v>0</v>
      </c>
      <c r="AM26" s="32">
        <f t="shared" ca="1" si="35"/>
        <v>0.33333333333333331</v>
      </c>
      <c r="AO26" s="20">
        <f>Tools!$AD25</f>
        <v>19</v>
      </c>
      <c r="AP26" s="33" t="str">
        <f t="shared" si="36"/>
        <v xml:space="preserve">  </v>
      </c>
      <c r="AQ26" s="34" t="str">
        <f t="shared" ca="1" si="18"/>
        <v>(1/2)*(2/3)</v>
      </c>
      <c r="AR26" s="23" t="str">
        <f t="shared" ca="1" si="19"/>
        <v xml:space="preserve">  </v>
      </c>
      <c r="AS26" s="24">
        <f t="shared" si="20"/>
        <v>9</v>
      </c>
      <c r="AT26" s="23" t="str">
        <f t="shared" ca="1" si="37"/>
        <v xml:space="preserve">  </v>
      </c>
      <c r="AU26" s="23" t="str">
        <f t="shared" ca="1" si="40"/>
        <v xml:space="preserve">  </v>
      </c>
      <c r="AV26" s="23" t="str">
        <f t="shared" si="21"/>
        <v xml:space="preserve">  </v>
      </c>
      <c r="AW26" s="23" t="str">
        <f t="shared" ca="1" si="22"/>
        <v xml:space="preserve">  </v>
      </c>
      <c r="AY26" s="35" t="str">
        <f t="shared" si="23"/>
        <v xml:space="preserve"> </v>
      </c>
      <c r="AZ26" s="23" t="str">
        <f t="shared" ca="1" si="41"/>
        <v xml:space="preserve">  </v>
      </c>
      <c r="BA26" s="36" t="str">
        <f t="shared" si="25"/>
        <v xml:space="preserve"> </v>
      </c>
      <c r="BB26" s="27" t="str">
        <f t="shared" ca="1" si="38"/>
        <v xml:space="preserve">  </v>
      </c>
      <c r="BC26" s="23" t="str">
        <f t="shared" ca="1" si="39"/>
        <v xml:space="preserve">  </v>
      </c>
      <c r="BE26" s="50" t="s">
        <v>69</v>
      </c>
      <c r="BF26" s="48" t="s">
        <v>70</v>
      </c>
      <c r="BG26" s="49" t="str">
        <f>IF(WL_No="  ","  ",KB+BML)</f>
        <v xml:space="preserve">  </v>
      </c>
    </row>
    <row r="27" spans="1:59" x14ac:dyDescent="0.25">
      <c r="A27" s="20">
        <f>Tools!$AD26</f>
        <v>19.5</v>
      </c>
      <c r="B27" s="33" t="str">
        <f t="shared" si="0"/>
        <v xml:space="preserve">  </v>
      </c>
      <c r="C27" s="22">
        <f>IF(A27="  ","  ",IF(AND(A26="  ",A28="  "),"?",IF(A26="  ",2*(A28-A27),IF(A28="  ",2*(A27-A26),2*(A28-A26)))))</f>
        <v>2</v>
      </c>
      <c r="D27" s="23" t="str">
        <f t="shared" si="26"/>
        <v xml:space="preserve">  </v>
      </c>
      <c r="E27" s="24">
        <f t="shared" si="1"/>
        <v>9.5</v>
      </c>
      <c r="F27" s="23" t="str">
        <f t="shared" si="27"/>
        <v xml:space="preserve">  </v>
      </c>
      <c r="G27" s="23" t="str">
        <f t="shared" si="28"/>
        <v xml:space="preserve">  </v>
      </c>
      <c r="H27" s="23" t="str">
        <f t="shared" si="29"/>
        <v xml:space="preserve">  </v>
      </c>
      <c r="I27" s="23" t="str">
        <f t="shared" si="30"/>
        <v xml:space="preserve">  </v>
      </c>
      <c r="J27" s="4"/>
      <c r="K27" s="37" t="str">
        <f t="shared" si="2"/>
        <v xml:space="preserve"> </v>
      </c>
      <c r="L27" s="23" t="str">
        <f t="shared" si="31"/>
        <v xml:space="preserve">  </v>
      </c>
      <c r="M27" s="38" t="str">
        <f t="shared" si="3"/>
        <v xml:space="preserve"> </v>
      </c>
      <c r="N27" s="27" t="str">
        <f t="shared" si="32"/>
        <v xml:space="preserve">  </v>
      </c>
      <c r="O27" s="23" t="str">
        <f t="shared" si="33"/>
        <v xml:space="preserve">  </v>
      </c>
      <c r="P27" s="4"/>
      <c r="Q27" s="50" t="s">
        <v>73</v>
      </c>
      <c r="R27" s="48" t="s">
        <v>74</v>
      </c>
      <c r="S27" t="str">
        <f>IF(Tools!$L$49="Use 141 rule only",I51,IF(Tools!$L$49="Use 141 and 1331 rules",BG28," "))</f>
        <v xml:space="preserve">  </v>
      </c>
      <c r="W27" s="29">
        <f>IF(AO27="  ","  ",IF(AND(AO26="  ",AO28="  "),"?",IF(AO26="  ",2*(AO28-AO27),IF(AO28="  ",2*(AO27-AO26),2*(AO28-AO26)))))</f>
        <v>2</v>
      </c>
      <c r="X27" s="30" t="str">
        <f t="shared" si="4"/>
        <v>DD</v>
      </c>
      <c r="Y27" s="30" t="str">
        <f t="shared" si="5"/>
        <v>-</v>
      </c>
      <c r="Z27" s="29" t="b">
        <f t="shared" si="6"/>
        <v>1</v>
      </c>
      <c r="AA27" s="29" t="b">
        <f t="shared" si="7"/>
        <v>1</v>
      </c>
      <c r="AB27" s="29" t="str">
        <f t="shared" ca="1" si="8"/>
        <v>141-4</v>
      </c>
      <c r="AC27" s="29">
        <f t="shared" si="34"/>
        <v>2</v>
      </c>
      <c r="AD27" s="29">
        <f t="shared" ca="1" si="9"/>
        <v>2</v>
      </c>
      <c r="AE27" s="29">
        <v>24</v>
      </c>
      <c r="AF27" s="31">
        <f t="shared" si="42"/>
        <v>20</v>
      </c>
      <c r="AG27" s="29" t="b">
        <f t="shared" si="11"/>
        <v>0</v>
      </c>
      <c r="AH27" s="30" t="str">
        <f t="shared" si="43"/>
        <v>-</v>
      </c>
      <c r="AI27" s="30" t="str">
        <f t="shared" ca="1" si="13"/>
        <v>(1/2)*(4/3)</v>
      </c>
      <c r="AJ27" s="29">
        <f t="shared" ca="1" si="14"/>
        <v>0.66666666666666663</v>
      </c>
      <c r="AK27" s="29" t="str">
        <f t="shared" si="15"/>
        <v/>
      </c>
      <c r="AL27" s="29">
        <f t="shared" si="16"/>
        <v>0</v>
      </c>
      <c r="AM27" s="32">
        <f t="shared" ca="1" si="35"/>
        <v>0.66666666666666663</v>
      </c>
      <c r="AO27" s="20">
        <f>Tools!$AD26</f>
        <v>19.5</v>
      </c>
      <c r="AP27" s="33" t="str">
        <f t="shared" ref="AP27:AP28" si="44">VLOOKUP(AO27,OFFSET_A,Count_WL+1,FALSE)</f>
        <v xml:space="preserve">  </v>
      </c>
      <c r="AQ27" s="34" t="str">
        <f t="shared" ca="1" si="18"/>
        <v>(1/2)*(4/3)</v>
      </c>
      <c r="AR27" s="23" t="str">
        <f t="shared" ca="1" si="19"/>
        <v xml:space="preserve">  </v>
      </c>
      <c r="AS27" s="24">
        <f t="shared" si="20"/>
        <v>9.5</v>
      </c>
      <c r="AT27" s="23" t="str">
        <f t="shared" ca="1" si="37"/>
        <v xml:space="preserve">  </v>
      </c>
      <c r="AU27" s="23" t="str">
        <f t="shared" ca="1" si="40"/>
        <v xml:space="preserve">  </v>
      </c>
      <c r="AV27" s="23" t="str">
        <f t="shared" si="21"/>
        <v xml:space="preserve">  </v>
      </c>
      <c r="AW27" s="23" t="str">
        <f t="shared" ca="1" si="22"/>
        <v xml:space="preserve">  </v>
      </c>
      <c r="AY27" s="35" t="str">
        <f t="shared" si="23"/>
        <v xml:space="preserve"> </v>
      </c>
      <c r="AZ27" s="23" t="str">
        <f t="shared" ca="1" si="41"/>
        <v xml:space="preserve">  </v>
      </c>
      <c r="BA27" s="36" t="str">
        <f t="shared" si="25"/>
        <v xml:space="preserve"> </v>
      </c>
      <c r="BB27" s="27" t="str">
        <f t="shared" ca="1" si="38"/>
        <v xml:space="preserve">  </v>
      </c>
      <c r="BC27" s="23" t="str">
        <f t="shared" ca="1" si="39"/>
        <v xml:space="preserve">  </v>
      </c>
      <c r="BE27" s="50" t="s">
        <v>71</v>
      </c>
      <c r="BF27" s="48" t="s">
        <v>72</v>
      </c>
      <c r="BG27" s="49" t="str">
        <f>IF(WL_No="  ","  ",AWP*1.025/100)</f>
        <v xml:space="preserve">  </v>
      </c>
    </row>
    <row r="28" spans="1:59" ht="15.75" thickBot="1" x14ac:dyDescent="0.3">
      <c r="A28" s="20">
        <f>Tools!$AD27</f>
        <v>20</v>
      </c>
      <c r="B28" s="52" t="str">
        <f t="shared" si="0"/>
        <v xml:space="preserve">  </v>
      </c>
      <c r="C28" s="22">
        <f>IF(A28="  ","  ",IF(A27="  ","?",1*(A28-A27)))</f>
        <v>0.5</v>
      </c>
      <c r="D28" s="53" t="str">
        <f t="shared" si="26"/>
        <v xml:space="preserve">  </v>
      </c>
      <c r="E28" s="24">
        <f t="shared" si="1"/>
        <v>10</v>
      </c>
      <c r="F28" s="53" t="str">
        <f t="shared" si="27"/>
        <v xml:space="preserve">  </v>
      </c>
      <c r="G28" s="53" t="str">
        <f t="shared" si="28"/>
        <v xml:space="preserve">  </v>
      </c>
      <c r="H28" s="23" t="str">
        <f t="shared" si="29"/>
        <v xml:space="preserve">  </v>
      </c>
      <c r="I28" s="53" t="str">
        <f t="shared" si="30"/>
        <v xml:space="preserve">  </v>
      </c>
      <c r="J28" s="4"/>
      <c r="K28" s="35" t="str">
        <f t="shared" si="2"/>
        <v xml:space="preserve"> </v>
      </c>
      <c r="L28" s="53" t="str">
        <f t="shared" si="31"/>
        <v xml:space="preserve">  </v>
      </c>
      <c r="M28" s="36" t="str">
        <f t="shared" si="3"/>
        <v xml:space="preserve"> </v>
      </c>
      <c r="N28" s="54" t="str">
        <f t="shared" si="32"/>
        <v xml:space="preserve">  </v>
      </c>
      <c r="O28" s="53" t="str">
        <f t="shared" si="33"/>
        <v xml:space="preserve">  </v>
      </c>
      <c r="P28" s="4"/>
      <c r="Q28" s="50" t="s">
        <v>75</v>
      </c>
      <c r="R28" s="55" t="s">
        <v>76</v>
      </c>
      <c r="S28" t="str">
        <f>IF(Tools!$L$49="Use 141 rule only",I52,IF(Tools!$L$49="Use 141 and 1331 rules",BG29," "))</f>
        <v xml:space="preserve">  </v>
      </c>
      <c r="W28" s="29">
        <f>IF(AO28="  ","  ",IF(AO27="  ","?",1*(AO28-AO27)))</f>
        <v>0.5</v>
      </c>
      <c r="X28" s="30" t="str">
        <f t="shared" si="4"/>
        <v>D-</v>
      </c>
      <c r="Y28" s="30" t="str">
        <f t="shared" si="5"/>
        <v>-</v>
      </c>
      <c r="Z28" s="29" t="b">
        <f t="shared" si="6"/>
        <v>1</v>
      </c>
      <c r="AA28" s="29" t="b">
        <f t="shared" si="7"/>
        <v>1</v>
      </c>
      <c r="AB28" s="29" t="str">
        <f t="shared" ca="1" si="8"/>
        <v>141-1</v>
      </c>
      <c r="AC28" s="29">
        <f>IF(ISNUMBER(AO28),IF(ISNUMBER(AO28),IF(OR(AO28=0,AO28=Long_Div),1,IF(AO28&gt;Long_Div/2,AF29+1,IF(AO28&lt;=Long_Div/2,AC27+1,"?")))," --")," ")</f>
        <v>1</v>
      </c>
      <c r="AD28" s="29">
        <f t="shared" ca="1" si="9"/>
        <v>1</v>
      </c>
      <c r="AE28" s="29">
        <v>25</v>
      </c>
      <c r="AF28" s="31">
        <f t="shared" si="42"/>
        <v>21</v>
      </c>
      <c r="AG28" s="29" t="b">
        <f t="shared" si="11"/>
        <v>0</v>
      </c>
      <c r="AH28" s="30" t="str">
        <f t="shared" si="43"/>
        <v>-</v>
      </c>
      <c r="AI28" s="30" t="str">
        <f t="shared" ca="1" si="13"/>
        <v>(1/2)*(1/3)</v>
      </c>
      <c r="AJ28" s="29">
        <f t="shared" ca="1" si="14"/>
        <v>0.16666666666666666</v>
      </c>
      <c r="AK28" s="29" t="str">
        <f t="shared" si="15"/>
        <v/>
      </c>
      <c r="AL28" s="29">
        <f t="shared" si="16"/>
        <v>0</v>
      </c>
      <c r="AM28" s="32">
        <f t="shared" ca="1" si="35"/>
        <v>0.16666666666666666</v>
      </c>
      <c r="AO28" s="20">
        <f>Tools!$AD27</f>
        <v>20</v>
      </c>
      <c r="AP28" s="33" t="str">
        <f t="shared" si="44"/>
        <v xml:space="preserve">  </v>
      </c>
      <c r="AQ28" s="34" t="str">
        <f t="shared" ca="1" si="18"/>
        <v>(1/2)*(1/3)</v>
      </c>
      <c r="AR28" s="23" t="str">
        <f t="shared" ca="1" si="19"/>
        <v xml:space="preserve">  </v>
      </c>
      <c r="AS28" s="24">
        <f t="shared" si="20"/>
        <v>10</v>
      </c>
      <c r="AT28" s="53" t="str">
        <f t="shared" ca="1" si="37"/>
        <v xml:space="preserve">  </v>
      </c>
      <c r="AU28" s="53" t="str">
        <f t="shared" ca="1" si="40"/>
        <v xml:space="preserve">  </v>
      </c>
      <c r="AV28" s="23" t="str">
        <f t="shared" si="21"/>
        <v xml:space="preserve">  </v>
      </c>
      <c r="AW28" s="23" t="str">
        <f t="shared" ca="1" si="22"/>
        <v xml:space="preserve">  </v>
      </c>
      <c r="AY28" s="35" t="str">
        <f t="shared" si="23"/>
        <v xml:space="preserve"> </v>
      </c>
      <c r="AZ28" s="23" t="str">
        <f t="shared" ca="1" si="41"/>
        <v xml:space="preserve">  </v>
      </c>
      <c r="BA28" s="36" t="str">
        <f t="shared" si="25"/>
        <v xml:space="preserve"> </v>
      </c>
      <c r="BB28" s="27" t="str">
        <f t="shared" ca="1" si="38"/>
        <v xml:space="preserve">  </v>
      </c>
      <c r="BC28" s="53" t="str">
        <f t="shared" ca="1" si="39"/>
        <v xml:space="preserve">  </v>
      </c>
      <c r="BE28" s="50" t="s">
        <v>73</v>
      </c>
      <c r="BF28" s="48" t="s">
        <v>74</v>
      </c>
      <c r="BG28" s="49" t="str">
        <f>IF(WL_No="  ","  ",ML/V_Disp)</f>
        <v xml:space="preserve">  </v>
      </c>
    </row>
    <row r="29" spans="1:59" ht="15.75" thickBot="1" x14ac:dyDescent="0.3">
      <c r="A29" s="56" t="s">
        <v>77</v>
      </c>
      <c r="B29" s="56"/>
      <c r="C29" s="56"/>
      <c r="D29" s="57">
        <f>SUM(D4:D28)</f>
        <v>0</v>
      </c>
      <c r="E29" s="42"/>
      <c r="F29" s="58">
        <f>SUM(F4:F28)</f>
        <v>0</v>
      </c>
      <c r="G29" s="58">
        <f>SUM(G4:G28)</f>
        <v>0</v>
      </c>
      <c r="H29" s="42"/>
      <c r="I29" s="58">
        <f>SUM(I4:I28)</f>
        <v>0</v>
      </c>
      <c r="J29" s="4"/>
      <c r="K29" s="42"/>
      <c r="L29" s="58">
        <f>SUM(L4:L28)</f>
        <v>0</v>
      </c>
      <c r="M29" s="42"/>
      <c r="N29" s="58">
        <f>SUM(N4:N28)</f>
        <v>0</v>
      </c>
      <c r="O29" s="58">
        <f>SUM(O4:O28)</f>
        <v>0</v>
      </c>
      <c r="P29" s="4"/>
      <c r="Q29" s="50" t="s">
        <v>78</v>
      </c>
      <c r="R29" s="48" t="s">
        <v>79</v>
      </c>
      <c r="S29" t="str">
        <f>IF(Tools!$L$49="Use 141 rule only",I53,IF(Tools!$L$49="Use 141 and 1331 rules",BG30," "))</f>
        <v xml:space="preserve">  </v>
      </c>
      <c r="W29" s="56"/>
      <c r="X29" s="56"/>
      <c r="Y29" s="56"/>
      <c r="Z29" s="56"/>
      <c r="AA29" s="56"/>
      <c r="AB29" s="56"/>
      <c r="AC29" s="56"/>
      <c r="AD29" s="56"/>
      <c r="AE29" s="56"/>
      <c r="AF29" s="56"/>
      <c r="AG29" s="56"/>
      <c r="AH29" s="56"/>
      <c r="AI29" s="56"/>
      <c r="AJ29" s="56"/>
      <c r="AK29" s="56"/>
      <c r="AL29" s="56"/>
      <c r="AM29" s="56"/>
      <c r="AN29" s="56"/>
      <c r="AO29" s="56" t="s">
        <v>77</v>
      </c>
      <c r="AP29" s="56"/>
      <c r="AQ29" s="59"/>
      <c r="AR29" s="57">
        <f ca="1">SUM(AR4:AR28)</f>
        <v>0</v>
      </c>
      <c r="AS29" s="42"/>
      <c r="AT29" s="58">
        <f ca="1">SUM(AT4:AT28)</f>
        <v>0</v>
      </c>
      <c r="AU29" s="58">
        <f ca="1">SUM(AU4:AU28)</f>
        <v>0</v>
      </c>
      <c r="AV29" s="42"/>
      <c r="AW29" s="58">
        <f ca="1">SUM(AW4:AW28)</f>
        <v>0</v>
      </c>
      <c r="AY29" s="42"/>
      <c r="AZ29" s="58">
        <f ca="1">SUM(AZ4:AZ28)</f>
        <v>0</v>
      </c>
      <c r="BA29" s="42"/>
      <c r="BB29" s="58">
        <f ca="1">SUM(BB4:BB28)</f>
        <v>0</v>
      </c>
      <c r="BC29" s="58">
        <f ca="1">SUM(BC4:BC28)</f>
        <v>0</v>
      </c>
      <c r="BE29" s="50" t="s">
        <v>75</v>
      </c>
      <c r="BF29" s="55" t="s">
        <v>76</v>
      </c>
      <c r="BG29" s="49" t="str">
        <f>IF(WL_No="  ","  ",M_Disp*BML/100/BG8)</f>
        <v xml:space="preserve">  </v>
      </c>
    </row>
    <row r="30" spans="1:59" x14ac:dyDescent="0.25">
      <c r="A30" s="15"/>
      <c r="B30" s="4"/>
      <c r="C30" s="4"/>
      <c r="D30" s="42"/>
      <c r="E30" s="4"/>
      <c r="F30" s="4"/>
      <c r="G30" s="4"/>
      <c r="H30" s="4"/>
      <c r="I30" s="4"/>
      <c r="J30" s="4"/>
      <c r="K30" s="4"/>
      <c r="L30" s="4"/>
      <c r="M30" s="4"/>
      <c r="N30" s="4"/>
      <c r="O30" s="4"/>
      <c r="P30" s="4"/>
      <c r="Q30" s="50" t="s">
        <v>80</v>
      </c>
      <c r="R30" s="48" t="s">
        <v>81</v>
      </c>
      <c r="S30" t="str">
        <f>IF(Tools!$L$49="Use 141 rule only",I54,IF(Tools!$L$49="Use 141 and 1331 rules",BG31," "))</f>
        <v xml:space="preserve">  </v>
      </c>
      <c r="AA30" s="60"/>
      <c r="AB30" s="60"/>
      <c r="BE30" s="50" t="s">
        <v>78</v>
      </c>
      <c r="BF30" s="48" t="s">
        <v>79</v>
      </c>
      <c r="BG30" s="49" t="str">
        <f>IF(WL_No="  ","  ",WLS*WL_No)</f>
        <v xml:space="preserve">  </v>
      </c>
    </row>
    <row r="31" spans="1:59" x14ac:dyDescent="0.25">
      <c r="A31" s="15"/>
      <c r="B31" s="4"/>
      <c r="C31" s="4"/>
      <c r="D31" s="4"/>
      <c r="E31" s="4"/>
      <c r="F31" s="4"/>
      <c r="G31" s="4"/>
      <c r="H31" s="4"/>
      <c r="I31" s="4"/>
      <c r="J31" s="4"/>
      <c r="K31" s="4"/>
      <c r="L31" s="4"/>
      <c r="M31" s="4"/>
      <c r="N31" s="4"/>
      <c r="O31" s="4"/>
      <c r="P31" s="4"/>
      <c r="Q31" s="50" t="s">
        <v>82</v>
      </c>
      <c r="R31" s="48" t="s">
        <v>83</v>
      </c>
      <c r="S31" t="str">
        <f>IF(Tools!$L$49="Use 141 rule only",I55,IF(Tools!$L$49="Use 141 and 1331 rules",BG32," "))</f>
        <v xml:space="preserve">  </v>
      </c>
      <c r="AF31" s="61" t="s">
        <v>84</v>
      </c>
      <c r="AG31" s="62">
        <f ca="1">COUNTIF(OFFSET(AQ4,,,ROUNDUP(Max_STN_count/2,0),1),"")</f>
        <v>0</v>
      </c>
      <c r="AH31" s="63">
        <f ca="1">HLOOKUP(Stn_WL,AREA_TABLE,AG31+2,FALSE)</f>
        <v>0</v>
      </c>
      <c r="AI31" s="63">
        <f ca="1">IF(AH31&gt;Long_Div/2,Long_Div/2,AH31)</f>
        <v>0</v>
      </c>
      <c r="AJ31" s="63">
        <f ca="1">AI31*STN_GAP</f>
        <v>0</v>
      </c>
      <c r="BE31" s="50" t="s">
        <v>80</v>
      </c>
      <c r="BF31" s="48" t="s">
        <v>81</v>
      </c>
      <c r="BG31" s="49" t="str">
        <f>IF(WL_No="  ","  ",AWP/(BG8*B_current))</f>
        <v xml:space="preserve">  </v>
      </c>
    </row>
    <row r="32" spans="1:59" x14ac:dyDescent="0.25">
      <c r="A32" s="15"/>
      <c r="B32" s="4"/>
      <c r="C32" s="4"/>
      <c r="D32" s="4"/>
      <c r="E32" s="4"/>
      <c r="F32" s="4"/>
      <c r="G32" s="4"/>
      <c r="H32" s="4"/>
      <c r="I32" s="4"/>
      <c r="J32" s="64"/>
      <c r="K32" s="4"/>
      <c r="L32" s="4"/>
      <c r="M32" s="4"/>
      <c r="N32" s="4"/>
      <c r="O32" s="4"/>
      <c r="P32" s="4"/>
      <c r="Q32" s="50" t="s">
        <v>85</v>
      </c>
      <c r="R32" s="48" t="s">
        <v>86</v>
      </c>
      <c r="S32" t="str">
        <f>IF(Tools!$L$49="Use 141 rule only",I56,IF(Tools!$L$49="Use 141 and 1331 rules",BG33," "))</f>
        <v xml:space="preserve">  </v>
      </c>
      <c r="AF32" s="61" t="s">
        <v>87</v>
      </c>
      <c r="AG32" s="62">
        <f ca="1">COUNTIF(OFFSET(AQ4,ROUNDUP(Max_STN_count/2,0),,ROUNDDOWN(Max_STN_count/2,0),1),"")</f>
        <v>0</v>
      </c>
      <c r="AH32" s="63">
        <f ca="1">HLOOKUP(Stn_WL,AREA_TABLE,AG32+2,FALSE)</f>
        <v>0</v>
      </c>
      <c r="AI32" s="63">
        <f ca="1">IF(AH32&gt;Long_Div/2,Long_Div/2,AH32)</f>
        <v>0</v>
      </c>
      <c r="AJ32" s="63">
        <f ca="1">AI32*STN_GAP</f>
        <v>0</v>
      </c>
      <c r="BE32" s="50" t="s">
        <v>82</v>
      </c>
      <c r="BF32" s="48" t="s">
        <v>83</v>
      </c>
      <c r="BG32" s="49" t="str">
        <f>IF(WL_No="  ","  ",V_Disp/(BG8*B_current*T))</f>
        <v xml:space="preserve">  </v>
      </c>
    </row>
    <row r="33" spans="1:59" x14ac:dyDescent="0.25">
      <c r="A33" s="15"/>
      <c r="B33" s="4"/>
      <c r="C33" s="4"/>
      <c r="D33" s="4"/>
      <c r="E33" s="4"/>
      <c r="F33" s="4"/>
      <c r="G33" s="43" t="s">
        <v>31</v>
      </c>
      <c r="H33" s="44" t="s">
        <v>32</v>
      </c>
      <c r="I33" s="489" t="s">
        <v>33</v>
      </c>
      <c r="J33" s="4"/>
      <c r="K33" s="4"/>
      <c r="L33" s="4"/>
      <c r="M33" s="4"/>
      <c r="N33" s="4"/>
      <c r="O33" s="4"/>
      <c r="P33" s="4"/>
      <c r="Q33" s="50" t="s">
        <v>88</v>
      </c>
      <c r="R33" s="48" t="s">
        <v>89</v>
      </c>
      <c r="S33" t="str">
        <f>IF(Tools!$L$49="Use 141 rule only",I57,IF(Tools!$L$49="Use 141 and 1331 rules",BG34," "))</f>
        <v xml:space="preserve">  </v>
      </c>
      <c r="AF33" s="63"/>
      <c r="AG33" s="63"/>
      <c r="AH33" s="63">
        <f ca="1">Long_Div-AH32</f>
        <v>20</v>
      </c>
      <c r="AI33" s="63"/>
      <c r="AJ33" s="63">
        <f ca="1">AJ32+AJ31</f>
        <v>0</v>
      </c>
      <c r="BE33" s="50" t="s">
        <v>85</v>
      </c>
      <c r="BF33" s="48" t="s">
        <v>86</v>
      </c>
      <c r="BG33" s="65" t="str">
        <f>IFERROR(IF(WL_No="  ","  ",(VLOOKUP(Long_Div/2,AREA_TABLE,Count_WL+1,FALSE))/(B_current*T)),"-")</f>
        <v xml:space="preserve">  </v>
      </c>
    </row>
    <row r="34" spans="1:59" x14ac:dyDescent="0.25">
      <c r="G34" s="45"/>
      <c r="H34" s="46"/>
      <c r="I34" s="490"/>
      <c r="BE34" s="50" t="s">
        <v>88</v>
      </c>
      <c r="BF34" s="48" t="s">
        <v>89</v>
      </c>
      <c r="BG34" s="49" t="str">
        <f>IF(WL_No="  ","  ",CB/CM)</f>
        <v xml:space="preserve">  </v>
      </c>
    </row>
    <row r="35" spans="1:59" x14ac:dyDescent="0.25">
      <c r="G35" s="47" t="s">
        <v>34</v>
      </c>
      <c r="H35" s="48" t="s">
        <v>35</v>
      </c>
      <c r="I35" s="49" t="str">
        <f>IF(WL_No="  ","  ",2/3*h*$D$29)</f>
        <v xml:space="preserve">  </v>
      </c>
    </row>
    <row r="36" spans="1:59" x14ac:dyDescent="0.25">
      <c r="G36" s="47" t="s">
        <v>36</v>
      </c>
      <c r="H36" s="48" t="s">
        <v>37</v>
      </c>
      <c r="I36" s="49" t="str">
        <f>IF(WL_No="  ","  ",2/3*(h^2)*$F$29)</f>
        <v xml:space="preserve">  </v>
      </c>
    </row>
    <row r="37" spans="1:59" x14ac:dyDescent="0.25">
      <c r="G37" s="50" t="s">
        <v>39</v>
      </c>
      <c r="H37" s="48" t="s">
        <v>40</v>
      </c>
      <c r="I37" s="49" t="str">
        <f>IF(WL_No="  ","  ",Mmid/AWP)</f>
        <v xml:space="preserve">  </v>
      </c>
    </row>
    <row r="38" spans="1:59" x14ac:dyDescent="0.25">
      <c r="G38" s="50" t="s">
        <v>42</v>
      </c>
      <c r="H38" s="48" t="s">
        <v>43</v>
      </c>
      <c r="I38" s="49" t="str">
        <f>IF(WL_No="  ","  ",2/3*(h^3)*$G$29)</f>
        <v xml:space="preserve">  </v>
      </c>
    </row>
    <row r="39" spans="1:59" x14ac:dyDescent="0.25">
      <c r="G39" s="51" t="s">
        <v>44</v>
      </c>
      <c r="H39" s="48" t="s">
        <v>45</v>
      </c>
      <c r="I39" s="49" t="str">
        <f>IF(WL_No="  ","  ",2/9*h*$I$29)</f>
        <v xml:space="preserve">  </v>
      </c>
    </row>
    <row r="40" spans="1:59" x14ac:dyDescent="0.25">
      <c r="G40" s="50" t="s">
        <v>47</v>
      </c>
      <c r="H40" s="48" t="s">
        <v>48</v>
      </c>
      <c r="I40" s="49" t="str">
        <f>IF(WL_No="  ","  ",IL-AWP*(LCF^2))</f>
        <v xml:space="preserve">  </v>
      </c>
    </row>
    <row r="41" spans="1:59" x14ac:dyDescent="0.25">
      <c r="G41" s="50" t="s">
        <v>50</v>
      </c>
      <c r="H41" s="48" t="s">
        <v>51</v>
      </c>
      <c r="I41" s="49" t="str">
        <f>IF(WL_No="  ","  ",h/3*$L$29)</f>
        <v xml:space="preserve">  </v>
      </c>
    </row>
    <row r="42" spans="1:59" x14ac:dyDescent="0.25">
      <c r="G42" s="50" t="s">
        <v>52</v>
      </c>
      <c r="H42" s="48" t="s">
        <v>53</v>
      </c>
      <c r="I42" s="49" t="str">
        <f>IF(WL_No="  ","  ",V_Disp*1.025*1.006)</f>
        <v xml:space="preserve">  </v>
      </c>
    </row>
    <row r="43" spans="1:59" x14ac:dyDescent="0.25">
      <c r="G43" s="50" t="s">
        <v>55</v>
      </c>
      <c r="H43" s="48" t="s">
        <v>56</v>
      </c>
      <c r="I43" s="49" t="str">
        <f>IF(WL_No="  ","  ",h/3*$N$29)</f>
        <v xml:space="preserve">  </v>
      </c>
    </row>
    <row r="44" spans="1:59" x14ac:dyDescent="0.25">
      <c r="G44" s="50" t="s">
        <v>57</v>
      </c>
      <c r="H44" s="48" t="s">
        <v>58</v>
      </c>
      <c r="I44" s="49" t="str">
        <f>IF(WL_No="  ","  ",(h^2)/3*$O$29)</f>
        <v xml:space="preserve">  </v>
      </c>
    </row>
    <row r="45" spans="1:59" x14ac:dyDescent="0.25">
      <c r="G45" s="50" t="s">
        <v>60</v>
      </c>
      <c r="H45" s="48" t="s">
        <v>61</v>
      </c>
      <c r="I45" s="49" t="str">
        <f>IF(WL_No="  ","  ",IF/V_Disp)</f>
        <v xml:space="preserve">  </v>
      </c>
    </row>
    <row r="46" spans="1:59" x14ac:dyDescent="0.25">
      <c r="G46" s="50" t="s">
        <v>63</v>
      </c>
      <c r="H46" s="48" t="s">
        <v>64</v>
      </c>
      <c r="I46" s="49" t="str">
        <f>IF(WL_No="  ","  ",IT/V_Disp)</f>
        <v xml:space="preserve">  </v>
      </c>
    </row>
    <row r="47" spans="1:59" x14ac:dyDescent="0.25">
      <c r="G47" s="50" t="s">
        <v>65</v>
      </c>
      <c r="H47" s="48" t="s">
        <v>66</v>
      </c>
      <c r="I47" s="49" t="str">
        <f>IF(WL_No="  ","  ",MT/V_Disp)</f>
        <v xml:space="preserve">  </v>
      </c>
    </row>
    <row r="48" spans="1:59" x14ac:dyDescent="0.25">
      <c r="G48" s="50" t="s">
        <v>67</v>
      </c>
      <c r="H48" s="48" t="s">
        <v>68</v>
      </c>
      <c r="I48" s="49" t="str">
        <f>IF(WL_No="  ","  ",KB+BMT)</f>
        <v xml:space="preserve">  </v>
      </c>
    </row>
    <row r="49" spans="7:9" x14ac:dyDescent="0.25">
      <c r="G49" s="50" t="s">
        <v>69</v>
      </c>
      <c r="H49" s="48" t="s">
        <v>70</v>
      </c>
      <c r="I49" s="49" t="str">
        <f>IF(WL_No="  ","  ",KB+BML)</f>
        <v xml:space="preserve">  </v>
      </c>
    </row>
    <row r="50" spans="7:9" x14ac:dyDescent="0.25">
      <c r="G50" s="50" t="s">
        <v>71</v>
      </c>
      <c r="H50" s="48" t="s">
        <v>72</v>
      </c>
      <c r="I50" s="49" t="str">
        <f>IF(WL_No="  ","  ",AWP*1.025/100)</f>
        <v xml:space="preserve">  </v>
      </c>
    </row>
    <row r="51" spans="7:9" x14ac:dyDescent="0.25">
      <c r="G51" s="50" t="s">
        <v>73</v>
      </c>
      <c r="H51" s="48" t="s">
        <v>74</v>
      </c>
      <c r="I51" s="49" t="str">
        <f>IF(WL_No="  ","  ",ML/V_Disp)</f>
        <v xml:space="preserve">  </v>
      </c>
    </row>
    <row r="52" spans="7:9" x14ac:dyDescent="0.25">
      <c r="G52" s="50" t="s">
        <v>75</v>
      </c>
      <c r="H52" s="55" t="s">
        <v>76</v>
      </c>
      <c r="I52" s="49" t="str">
        <f>IF(WL_No="  ","  ",M_Disp*BML/100/LBP)</f>
        <v xml:space="preserve">  </v>
      </c>
    </row>
    <row r="53" spans="7:9" x14ac:dyDescent="0.25">
      <c r="G53" s="50" t="s">
        <v>78</v>
      </c>
      <c r="H53" s="48" t="s">
        <v>79</v>
      </c>
      <c r="I53" s="49" t="str">
        <f>IF(WL_No="  ","  ",WLS*WL_No)</f>
        <v xml:space="preserve">  </v>
      </c>
    </row>
    <row r="54" spans="7:9" x14ac:dyDescent="0.25">
      <c r="G54" s="50" t="s">
        <v>80</v>
      </c>
      <c r="H54" s="48" t="s">
        <v>81</v>
      </c>
      <c r="I54" s="49" t="str">
        <f>IF(WL_No="  ","  ",AWP/(LBP*B_current))</f>
        <v xml:space="preserve">  </v>
      </c>
    </row>
    <row r="55" spans="7:9" x14ac:dyDescent="0.25">
      <c r="G55" s="50" t="s">
        <v>82</v>
      </c>
      <c r="H55" s="48" t="s">
        <v>83</v>
      </c>
      <c r="I55" s="49" t="str">
        <f>IF(WL_No="  ","  ",V_Disp/(LBP*B_current*T))</f>
        <v xml:space="preserve">  </v>
      </c>
    </row>
    <row r="56" spans="7:9" x14ac:dyDescent="0.25">
      <c r="G56" s="50" t="s">
        <v>85</v>
      </c>
      <c r="H56" s="48" t="s">
        <v>86</v>
      </c>
      <c r="I56" s="65" t="str">
        <f>IF(WL_No="  ","  ",(VLOOKUP(Long_Div/2,AREA_TABLE,Count_WL+1,FALSE))/(B_current*T))</f>
        <v xml:space="preserve">  </v>
      </c>
    </row>
    <row r="57" spans="7:9" x14ac:dyDescent="0.25">
      <c r="G57" s="50" t="s">
        <v>88</v>
      </c>
      <c r="H57" s="48" t="s">
        <v>89</v>
      </c>
      <c r="I57" s="49" t="str">
        <f>IF(WL_No="  ","  ",CB/CM)</f>
        <v xml:space="preserve">  </v>
      </c>
    </row>
  </sheetData>
  <mergeCells count="7">
    <mergeCell ref="BG10:BG11"/>
    <mergeCell ref="I33:I34"/>
    <mergeCell ref="A2:I2"/>
    <mergeCell ref="K2:O2"/>
    <mergeCell ref="AO2:AW2"/>
    <mergeCell ref="AY2:BC2"/>
    <mergeCell ref="S9:S10"/>
  </mergeCells>
  <conditionalFormatting sqref="CB4:XFD30 BW4:BW28 BS4:BT28 W29:AX29 A33:F57 J33:R33 A11:R32 A2:T10 V2:AO2 AX2 BP29:BW29 A63:XFD1048576 T12:T37 U35:XFD37 BD2:BD29 BM31:XFD33 BM30:BW30 BH29:BI33 BH2:XFD3 U30:BD30 AR31:BD31 W3:AM28 A58:BD62 BH38:XFD62 J34:S37 BH34:XFD34 A1:AN1 AV1:XFD1 AO31:AP31 U33:BD34 AM31 U31:AG32 AK32:BD32 AO3:AX26 J43:BD57 J42:M42 O42:BD42 J38:BD41 AO27:AO28 AQ27:AX28">
    <cfRule type="containsErrors" dxfId="339" priority="14">
      <formula>ISERROR(A1)</formula>
    </cfRule>
  </conditionalFormatting>
  <conditionalFormatting sqref="G33:I34 G35:H57">
    <cfRule type="containsErrors" dxfId="338" priority="13">
      <formula>ISERROR(G33)</formula>
    </cfRule>
  </conditionalFormatting>
  <conditionalFormatting sqref="T12:T33">
    <cfRule type="containsErrors" dxfId="337" priority="12">
      <formula>ISERROR(T12)</formula>
    </cfRule>
  </conditionalFormatting>
  <conditionalFormatting sqref="I35:I57">
    <cfRule type="containsErrors" dxfId="336" priority="11">
      <formula>ISERROR(I35)</formula>
    </cfRule>
  </conditionalFormatting>
  <conditionalFormatting sqref="AY2:BC29">
    <cfRule type="containsErrors" dxfId="335" priority="8">
      <formula>ISERROR(AY2)</formula>
    </cfRule>
  </conditionalFormatting>
  <conditionalFormatting sqref="BE10:BG11 BE12:BF34">
    <cfRule type="containsErrors" dxfId="334" priority="10">
      <formula>ISERROR(BE10)</formula>
    </cfRule>
  </conditionalFormatting>
  <conditionalFormatting sqref="BG12:BG28 BG34">
    <cfRule type="containsErrors" dxfId="333" priority="9">
      <formula>ISERROR(BG12)</formula>
    </cfRule>
  </conditionalFormatting>
  <conditionalFormatting sqref="BE2:BG6">
    <cfRule type="containsErrors" dxfId="332" priority="7">
      <formula>ISERROR(BE2)</formula>
    </cfRule>
  </conditionalFormatting>
  <conditionalFormatting sqref="BF7:BG8">
    <cfRule type="containsErrors" dxfId="331" priority="5">
      <formula>ISERROR(BF7)</formula>
    </cfRule>
  </conditionalFormatting>
  <conditionalFormatting sqref="BE7:BE8">
    <cfRule type="containsErrors" dxfId="330" priority="6">
      <formula>ISERROR(BE7)</formula>
    </cfRule>
  </conditionalFormatting>
  <conditionalFormatting sqref="S30:S33">
    <cfRule type="containsErrors" dxfId="329" priority="4">
      <formula>ISERROR(S30)</formula>
    </cfRule>
  </conditionalFormatting>
  <conditionalFormatting sqref="AP27:AP28">
    <cfRule type="containsErrors" dxfId="328" priority="3">
      <formula>ISERROR(AP27)</formula>
    </cfRule>
  </conditionalFormatting>
  <conditionalFormatting sqref="BG29:BG32">
    <cfRule type="containsErrors" dxfId="327" priority="2">
      <formula>ISERROR(BG29)</formula>
    </cfRule>
  </conditionalFormatting>
  <conditionalFormatting sqref="BG33">
    <cfRule type="containsErrors" dxfId="326" priority="1">
      <formula>ISERROR(BG33)</formula>
    </cfRule>
  </conditionalFormatting>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4" tint="0.79998168889431442"/>
  </sheetPr>
  <dimension ref="A1:BH57"/>
  <sheetViews>
    <sheetView topLeftCell="AG1" zoomScale="55" zoomScaleNormal="55" workbookViewId="0">
      <pane ySplit="1" topLeftCell="A29" activePane="bottomLeft" state="frozen"/>
      <selection activeCell="AG8" sqref="AG8:AG10"/>
      <selection pane="bottomLeft" activeCell="AG8" sqref="AG8:AG10"/>
    </sheetView>
  </sheetViews>
  <sheetFormatPr defaultRowHeight="15" x14ac:dyDescent="0.25"/>
  <cols>
    <col min="1" max="1" width="8.28515625" customWidth="1"/>
    <col min="2" max="2" width="7.28515625" customWidth="1"/>
    <col min="4" max="4" width="6.5703125" customWidth="1"/>
    <col min="7" max="7" width="24" customWidth="1"/>
    <col min="8" max="8" width="30.5703125" customWidth="1"/>
    <col min="9" max="9" width="26.5703125" customWidth="1"/>
    <col min="10" max="10" width="10.5703125" bestFit="1" customWidth="1"/>
    <col min="11" max="11" width="9.140625" customWidth="1"/>
    <col min="13" max="13" width="7.85546875" customWidth="1"/>
    <col min="17" max="17" width="19.5703125" customWidth="1"/>
    <col min="18" max="18" width="11.85546875" customWidth="1"/>
    <col min="19" max="19" width="16.5703125" customWidth="1"/>
    <col min="20" max="20" width="14.140625" customWidth="1"/>
    <col min="35" max="35" width="14" customWidth="1"/>
    <col min="36" max="37" width="12" customWidth="1"/>
    <col min="39" max="39" width="19" customWidth="1"/>
    <col min="43" max="43" width="18" style="7" customWidth="1"/>
    <col min="49" max="49" width="11.28515625" customWidth="1"/>
    <col min="52" max="52" width="12" customWidth="1"/>
    <col min="54" max="54" width="10.7109375" bestFit="1" customWidth="1"/>
    <col min="56" max="56" width="4.5703125" customWidth="1"/>
    <col min="57" max="57" width="21.28515625" customWidth="1"/>
    <col min="58" max="58" width="15.42578125" customWidth="1"/>
    <col min="59" max="59" width="19.28515625" customWidth="1"/>
    <col min="61" max="61" width="5.7109375" customWidth="1"/>
    <col min="62" max="62" width="13" customWidth="1"/>
    <col min="63" max="63" width="17.42578125" customWidth="1"/>
  </cols>
  <sheetData>
    <row r="1" spans="1:60" x14ac:dyDescent="0.25">
      <c r="A1" s="1" t="s">
        <v>0</v>
      </c>
      <c r="B1" s="2" t="str">
        <f>VLOOKUP(Stn_WL,OFFSET_A,Count_WL+1,FALSE)</f>
        <v xml:space="preserve">  </v>
      </c>
      <c r="C1" s="3"/>
      <c r="D1" s="4"/>
      <c r="E1" s="4" t="s">
        <v>1</v>
      </c>
      <c r="F1" s="5">
        <v>15</v>
      </c>
      <c r="G1" s="4"/>
      <c r="H1" s="4"/>
      <c r="I1" s="4"/>
      <c r="J1" s="4"/>
      <c r="K1" s="4"/>
      <c r="L1" s="4"/>
      <c r="M1" s="4"/>
      <c r="N1" s="4"/>
      <c r="O1" s="4"/>
      <c r="P1" s="4"/>
      <c r="Q1" s="4"/>
      <c r="R1" s="4"/>
      <c r="S1" s="4"/>
      <c r="V1" t="s">
        <v>2</v>
      </c>
      <c r="W1">
        <f ca="1">COUNTIF(OFFSET(Z4,,,ROUNDDOWN(Max_STN_count/2+1,0),1),TRUE)</f>
        <v>5</v>
      </c>
      <c r="X1">
        <f ca="1">COUNTIF(OFFSET(AA4,,,ROUNDDOWN(Max_STN_count/2+1,0),1),TRUE)</f>
        <v>5</v>
      </c>
      <c r="Y1">
        <f ca="1">W1-X1</f>
        <v>0</v>
      </c>
      <c r="AB1" s="6" t="s">
        <v>3</v>
      </c>
      <c r="AC1">
        <f ca="1">COUNTIF(OFFSET(Z4,ROUNDUP(Max_STN_count/2,0),,ROUNDDOWN(Max_STN_count/2,0),1),TRUE)</f>
        <v>5</v>
      </c>
      <c r="AD1">
        <f ca="1">COUNTIF(OFFSET(AA4,ROUNDUP(Max_STN_count/2,0),,ROUNDDOWN(Max_STN_count/2,0),1),TRUE)</f>
        <v>5</v>
      </c>
      <c r="AE1">
        <f ca="1">AC1-AD1</f>
        <v>0</v>
      </c>
      <c r="AG1" t="s">
        <v>4</v>
      </c>
      <c r="AH1">
        <f>COUNTIF(AG4:AG28,TRUE)</f>
        <v>17</v>
      </c>
      <c r="AI1">
        <f ca="1">COUNTIF(OFFSET(AG4,,,ROUNDUP(Max_STN_count/2,0),1),FALSE)</f>
        <v>4</v>
      </c>
      <c r="AW1">
        <f ca="1">COUNTIF(OFFSET(AG4,,,Max_STN_count,1),TRUE)</f>
        <v>17</v>
      </c>
    </row>
    <row r="2" spans="1:60" x14ac:dyDescent="0.25">
      <c r="A2" s="491" t="s">
        <v>5</v>
      </c>
      <c r="B2" s="492"/>
      <c r="C2" s="492"/>
      <c r="D2" s="492"/>
      <c r="E2" s="492"/>
      <c r="F2" s="492"/>
      <c r="G2" s="492"/>
      <c r="H2" s="492"/>
      <c r="I2" s="493"/>
      <c r="J2" s="4"/>
      <c r="K2" s="491" t="s">
        <v>6</v>
      </c>
      <c r="L2" s="492"/>
      <c r="M2" s="492"/>
      <c r="N2" s="492"/>
      <c r="O2" s="493"/>
      <c r="P2" s="4"/>
      <c r="Q2" s="8" t="s">
        <v>7</v>
      </c>
      <c r="R2" s="9" t="s">
        <v>8</v>
      </c>
      <c r="S2" s="10">
        <f>WLS</f>
        <v>2</v>
      </c>
      <c r="V2" s="11"/>
      <c r="W2" s="11"/>
      <c r="X2" s="11"/>
      <c r="Y2" s="11"/>
      <c r="Z2" s="11"/>
      <c r="AA2" s="11"/>
      <c r="AB2" s="11"/>
      <c r="AC2" s="11"/>
      <c r="AD2" s="11"/>
      <c r="AE2" s="11"/>
      <c r="AF2" s="11"/>
      <c r="AG2" s="11"/>
      <c r="AH2" s="11"/>
      <c r="AI2" s="11"/>
      <c r="AJ2" s="11"/>
      <c r="AK2" s="11"/>
      <c r="AL2" s="11"/>
      <c r="AM2" s="11"/>
      <c r="AN2" s="11"/>
      <c r="AO2" s="491" t="s">
        <v>5</v>
      </c>
      <c r="AP2" s="492"/>
      <c r="AQ2" s="492"/>
      <c r="AR2" s="492"/>
      <c r="AS2" s="492"/>
      <c r="AT2" s="492"/>
      <c r="AU2" s="492"/>
      <c r="AV2" s="492"/>
      <c r="AW2" s="493"/>
      <c r="AY2" s="491" t="s">
        <v>6</v>
      </c>
      <c r="AZ2" s="492"/>
      <c r="BA2" s="492"/>
      <c r="BB2" s="492"/>
      <c r="BC2" s="493"/>
      <c r="BE2" s="8" t="s">
        <v>7</v>
      </c>
      <c r="BF2" s="9" t="s">
        <v>8</v>
      </c>
      <c r="BG2" s="10">
        <f>WLS</f>
        <v>2</v>
      </c>
    </row>
    <row r="3" spans="1:60" x14ac:dyDescent="0.25">
      <c r="A3" s="12" t="s">
        <v>9</v>
      </c>
      <c r="B3" s="13" t="s">
        <v>10</v>
      </c>
      <c r="C3" s="14" t="s">
        <v>11</v>
      </c>
      <c r="D3" s="14" t="s">
        <v>12</v>
      </c>
      <c r="E3" s="14" t="s">
        <v>13</v>
      </c>
      <c r="F3" s="14" t="s">
        <v>14</v>
      </c>
      <c r="G3" s="14" t="s">
        <v>15</v>
      </c>
      <c r="H3" s="14" t="s">
        <v>16</v>
      </c>
      <c r="I3" s="14" t="s">
        <v>17</v>
      </c>
      <c r="J3" s="15"/>
      <c r="K3" s="14" t="s">
        <v>18</v>
      </c>
      <c r="L3" s="14" t="s">
        <v>19</v>
      </c>
      <c r="M3" s="14" t="s">
        <v>20</v>
      </c>
      <c r="N3" s="14" t="s">
        <v>21</v>
      </c>
      <c r="O3" s="14" t="s">
        <v>22</v>
      </c>
      <c r="P3" s="15"/>
      <c r="Q3" s="16" t="s">
        <v>23</v>
      </c>
      <c r="R3" s="9" t="s">
        <v>8</v>
      </c>
      <c r="S3" s="10">
        <f>STN_GAP</f>
        <v>7.31</v>
      </c>
      <c r="W3" s="17" t="s">
        <v>11</v>
      </c>
      <c r="X3" s="17"/>
      <c r="Y3" s="17"/>
      <c r="Z3" s="17" t="s">
        <v>24</v>
      </c>
      <c r="AA3" s="17"/>
      <c r="AB3" s="17"/>
      <c r="AC3" s="17"/>
      <c r="AD3" s="17"/>
      <c r="AE3" s="17"/>
      <c r="AF3" s="17"/>
      <c r="AG3" s="17" t="s">
        <v>4</v>
      </c>
      <c r="AH3" s="17"/>
      <c r="AI3" s="17" t="s">
        <v>25</v>
      </c>
      <c r="AJ3" s="17"/>
      <c r="AK3" s="17"/>
      <c r="AL3" s="17"/>
      <c r="AM3" s="18" t="s">
        <v>11</v>
      </c>
      <c r="AO3" s="12" t="s">
        <v>9</v>
      </c>
      <c r="AP3" s="13" t="s">
        <v>10</v>
      </c>
      <c r="AQ3" s="19"/>
      <c r="AR3" s="14" t="s">
        <v>12</v>
      </c>
      <c r="AS3" s="14" t="s">
        <v>13</v>
      </c>
      <c r="AT3" s="14" t="s">
        <v>14</v>
      </c>
      <c r="AU3" s="14" t="s">
        <v>15</v>
      </c>
      <c r="AV3" s="14" t="s">
        <v>16</v>
      </c>
      <c r="AW3" s="14" t="s">
        <v>17</v>
      </c>
      <c r="AY3" s="14" t="s">
        <v>18</v>
      </c>
      <c r="AZ3" s="14" t="s">
        <v>19</v>
      </c>
      <c r="BA3" s="14" t="s">
        <v>20</v>
      </c>
      <c r="BB3" s="14" t="s">
        <v>21</v>
      </c>
      <c r="BC3" s="14" t="s">
        <v>22</v>
      </c>
      <c r="BE3" s="16" t="s">
        <v>23</v>
      </c>
      <c r="BF3" s="9" t="s">
        <v>8</v>
      </c>
      <c r="BG3" s="10">
        <f>STN_GAP</f>
        <v>7.31</v>
      </c>
    </row>
    <row r="4" spans="1:60" x14ac:dyDescent="0.25">
      <c r="A4" s="20">
        <f>Tools!$AD3</f>
        <v>0</v>
      </c>
      <c r="B4" s="21" t="str">
        <f t="shared" ref="B4:B28" si="0">VLOOKUP(A4,OFFSET_A,Count_WL+1,FALSE)</f>
        <v xml:space="preserve">  </v>
      </c>
      <c r="C4" s="22">
        <f>IF(A4="  ","  ",IF(A5="  ","?",1*(A5-A4)))</f>
        <v>0.5</v>
      </c>
      <c r="D4" s="23" t="str">
        <f>IFERROR(B4*C4,"  ")</f>
        <v xml:space="preserve">  </v>
      </c>
      <c r="E4" s="24">
        <f t="shared" ref="E4:E28" si="1">IFERROR(A4-(Long_Div/2),"  ")</f>
        <v>-10</v>
      </c>
      <c r="F4" s="23" t="str">
        <f>IFERROR(D4*E4,"  ")</f>
        <v xml:space="preserve">  </v>
      </c>
      <c r="G4" s="23" t="str">
        <f>IFERROR(F4*E4,"  ")</f>
        <v xml:space="preserve">  </v>
      </c>
      <c r="H4" s="23" t="str">
        <f>IFERROR(B4^3,"  ")</f>
        <v xml:space="preserve">  </v>
      </c>
      <c r="I4" s="23" t="str">
        <f>IFERROR(H4*C4,"  ")</f>
        <v xml:space="preserve">  </v>
      </c>
      <c r="J4" s="4"/>
      <c r="K4" s="25" t="str">
        <f t="shared" ref="K4:K28" si="2">VLOOKUP(A4,AREA_TABLE,Count_WL+1,FALSE)</f>
        <v xml:space="preserve"> </v>
      </c>
      <c r="L4" s="23" t="str">
        <f>IFERROR(K4*C4,"  ")</f>
        <v xml:space="preserve">  </v>
      </c>
      <c r="M4" s="26" t="str">
        <f t="shared" ref="M4:M28" si="3">VLOOKUP(A4,MOMENT_TABLE,Count_WL+1,FALSE)</f>
        <v xml:space="preserve"> </v>
      </c>
      <c r="N4" s="27" t="str">
        <f>IFERROR(M4*C4,"  ")</f>
        <v xml:space="preserve">  </v>
      </c>
      <c r="O4" s="23" t="str">
        <f>IFERROR(L4*E4,"  ")</f>
        <v xml:space="preserve">  </v>
      </c>
      <c r="P4" s="4"/>
      <c r="Q4" s="16" t="s">
        <v>26</v>
      </c>
      <c r="R4" s="9" t="s">
        <v>8</v>
      </c>
      <c r="S4" s="28">
        <f>LBP</f>
        <v>146.19999999999999</v>
      </c>
      <c r="W4" s="29">
        <f>IF(AO4="  ","  ",IF(AO5="  ","?",1*(AO5-AO4)))</f>
        <v>0.5</v>
      </c>
      <c r="X4" s="30" t="str">
        <f t="shared" ref="X4:X28" si="4">IF(Y4=0,"--",CONCATENATE(IF(AO4=0,"-",IF(Y3=0,"-",IF(AO4-AO3=0.5,"D",IF(AO4-AO3=1,"W","-")))),IF(AO4=Long_Div,"-",IF(Y5=0,"-",IF(AO5-AO4=0.5,"D",IF(AO5-AO4=1,"W","-"))))))</f>
        <v>-D</v>
      </c>
      <c r="Y4" s="30" t="str">
        <f t="shared" ref="Y4:Y28" si="5">IF(ISNUMBER(AO4),IF(AO4=Long_Div/2,"-",IF(AND(AO4=Long_Div,$AP4=0,$AP3=0),0,IF(AND(AO4=0,$AP4=0,$AP5=0),0,IF($AO4&lt;Long_Div/2,IF(AND(Y3=0,$AP4=0,$AP5=0),0,"-"),IF(AND(Y5=0,$AP4=0,$AP3=0),0,"-")))))," ")</f>
        <v>-</v>
      </c>
      <c r="Z4" s="29" t="b">
        <f t="shared" ref="Z4:Z28" si="6">IF(ISNUMBER(AO4),IF(AO4=0,IF(AO5=0.5,TRUE,FALSE),IF(AO4=Long_Div,IF(AO3=Long_Div-0.5,TRUE,FALSE),IF(OR(AO5-AO4=0.5,AO4-AO3=0.5),TRUE,FALSE)))," ")</f>
        <v>1</v>
      </c>
      <c r="AA4" s="29" t="b">
        <f t="shared" ref="AA4:AA28" si="7">IF(ISNUMBER(AO4),IF(Y4=0," ",IF(AO4=0,IF(AO5=0.5,TRUE,"-"),IF(AO4=Long_Div,IF(AO3=Long_Div-0.5,TRUE,"-"),IF(OR(AO5-AO4=0.5,AO4-AO3=0.5),TRUE,FALSE))))," ")</f>
        <v>1</v>
      </c>
      <c r="AB4" s="29" t="str">
        <f t="shared" ref="AB4:AB28" ca="1" si="8">IF(AO4&lt;=Long_Div/2,IF(ISNUMBER(AO4),IF($X$1=0,"---",IF($X$1=1,"##",IF($X$1=2,IF(AD4=1,"141-4",IF(OR(AD4=0,AD4=2),"141-1","**")),IF(AC4&lt;=($Y$1),"--",IF(AC4&gt;$W$1,"++",IF(ISODD($X$1),IF(OR(AD4=1,AD4=$X$1),"141-1",IF(ISODD(AD4),"141-2",IF(ISEVEN(AD4),"141-4","+"))),IF(ISEVEN($X$1),IF(AD4=1,"1331-1",IF(OR(AD4=2,AD4=3),"1331-3",IF(AD4=4,IF($X$1=4,"1331-1","1331-1,141-1"),IF(AD4=$X$1,"141-1",IF(AD4&lt;=4,"??",IF(ISODD(AD4),"141-4",IF(ISEVEN(AD4),"141-2","SS"))))))))))))))," "),IF(AO4&gt;Long_Div/2,IF(ISNUMBER(AO4),IF($AD$1=0,"---",IF($AD$1=1,"##",IF($AD$1=2,IF(AD4=1,"141-4",IF(OR(AD4=0,AD4=2),"141-1","**")),IF(AC4&lt;=($AE$1),"--",IF(AC4&gt;$AC$1,"++",IF(ISODD($AD$1),IF(OR(AD4=1,AD4=$AD$1),"141-1",IF(ISODD(AD4),"141-2",IF(ISEVEN(AD4),"141-4","+"))),IF(ISEVEN($AD$1),IF(AD4=1,"1331-1",IF(OR(AD4=2,AD4=3),"1331-3",IF(AD4=4,IF($AD$1=4,"1331-1","1331-1,141-1"),IF(AD4=$AD$1,"141-1",IF(AD4&lt;=4,"??",IF(ISODD(AD4),"141-4",IF(ISEVEN(AD4),"141-2","SS"))))))))))))))," "),"@"))</f>
        <v>141-1</v>
      </c>
      <c r="AC4" s="29">
        <f>IF(ISNUMBER(AO4),IF(ISNUMBER(AO4),IF(OR(AO4=0,AO4=Long_Div),1,IF(AO4&gt;Long_Div/2,AC5+1,IF(AO4&lt;=Long_Div/2,AE3+1,"?")))," --")," ")</f>
        <v>1</v>
      </c>
      <c r="AD4" s="29">
        <f t="shared" ref="AD4:AD28" ca="1" si="9">IF(ISNUMBER(AO4),IF(AO4&gt;Long_Div/2,4-ROW(AD4)+Max_STN_count-$AE$1,ROW(AD4)-3-$Y$1)," ")</f>
        <v>1</v>
      </c>
      <c r="AE4" s="29">
        <v>1</v>
      </c>
      <c r="AF4" s="31" t="str">
        <f t="shared" ref="AF4:AF8" si="10">IF(AND(AG4=TRUE,OR(NOT(AG3=TRUE),AG3="Full")),1,IF(ISNUMBER(AF3),AF3+1," "))</f>
        <v xml:space="preserve"> </v>
      </c>
      <c r="AG4" s="29" t="b">
        <f t="shared" ref="AG4:AG28" si="11">IF(ISNUMBER(AO4),IF(AA4=" "," ",IF(AO4=0,IF(AO5-AO4=1,TRUE,FALSE),IF(AO4=Long_Div,IF(AO4-AO3=1,TRUE,FALSE),IF(OR(AO5-AO4=1,AO4-AO3=1),TRUE,FALSE))))," ")</f>
        <v>0</v>
      </c>
      <c r="AH4" s="30" t="str">
        <f t="shared" ref="AH4:AH13" si="12">IF(AND(AG4=TRUE,$AH$1=1),"141-4",IF(AG4=" ",IF(AND($AH$1=2,AF4=3),"141-1","-"),IF(OR(AG4=FALSE,AG4=" "),"-",IF(AG4=TRUE,IF(AND($AH$1=2,AF4=1),"141-1",IF(AND($AH$1=2,AF4=2),"141-4",IF(OR(ISODD($AH$1),AF4&gt;4),IF(AF4=1,"141-1",IF(OR(AB4="141-1",AB4="1331-1",AB4="1331-1,141-1"),"141-1",IF(AG5=" ","141-1",IF(OR(AH3="141-1",AH3="141-2",AH3="1331-1,141-1"),"141-4",IF(AH3="141-4","141-2","$$"))))),IF(ISEVEN($AH$1),IF(AF4=1,"1331-1",IF(OR(AF4=2,AF4=3),"1331-3",IF(AF4=4,IF($AH$1=4,"1331-1","1331-1,141-1"),"")))))))))))</f>
        <v>-</v>
      </c>
      <c r="AI4" s="30" t="str">
        <f t="shared" ref="AI4:AI28" ca="1" si="13">IF(OR(AB4="1331-1",AB4="1331-1,141-1"),"(1/2)*(3/8)",IF(AB4="1331-3","(1/2)*(9/8)",IF(AB4="141-1","(1/2)*(1/3)",IF(AB4="141-2","(1/2)*(2/3)",IF(AB4="141-4","(1/2)*(4/3)","")))))</f>
        <v>(1/2)*(1/3)</v>
      </c>
      <c r="AJ4" s="29">
        <f t="shared" ref="AJ4:AJ28" ca="1" si="14">IF(OR(AB4="1331-1",AB4="1331-1,141-1"),(1/2)*(3/8),IF(AB4="1331-3",(1/2)*(9/8),IF(AB4="141-1",(1/2)*(1/3),IF(AB4="141-2",(1/2)*(2/3),IF(AB4="141-4",(1/2)*(4/3),0)))))</f>
        <v>0.16666666666666666</v>
      </c>
      <c r="AK4" s="29" t="str">
        <f t="shared" ref="AK4:AK28" si="15">IF(AH4="1331-1,141-1","(1*3/8)+(1/3)",IF(LEFT(AH4,4)="141-",CONCATENATE(RIGHT(AH4,1),"/3"),IF(LEFT(AH4,4)="1331",CONCATENATE(RIGHT(AH4,1),"*3/8"),"")))</f>
        <v/>
      </c>
      <c r="AL4" s="29">
        <f t="shared" ref="AL4:AL28" si="16">IF(AH4="1331-1,141-1",(1*3/8)+(1/3),IF(LEFT(AH4,4)="141-",(RIGHT(AH4,1)/3),IF(LEFT(AH4,4)="1331",RIGHT(AH4,1)*3/8,0)))</f>
        <v>0</v>
      </c>
      <c r="AM4" s="32">
        <f ca="1">IF(AQ4=""," ",AJ4+AL4)</f>
        <v>0.16666666666666666</v>
      </c>
      <c r="AO4" s="20">
        <f>Tools!$AD3</f>
        <v>0</v>
      </c>
      <c r="AP4" s="33" t="str">
        <f t="shared" ref="AP4" si="17">VLOOKUP(AO4,OFFSET_A,Count_WL+1,FALSE)</f>
        <v xml:space="preserve">  </v>
      </c>
      <c r="AQ4" s="34" t="str">
        <f t="shared" ref="AQ4:AQ28" ca="1" si="18">CONCATENATE(AI4,IF(NOT(OR(AI4="",AK4="")),"+",""),AK4)</f>
        <v>(1/2)*(1/3)</v>
      </c>
      <c r="AR4" s="23" t="str">
        <f t="shared" ref="AR4:AR28" ca="1" si="19">IFERROR(AP4*AM4,"  ")</f>
        <v xml:space="preserve">  </v>
      </c>
      <c r="AS4" s="24">
        <f t="shared" ref="AS4:AS28" si="20">IFERROR(AO4-(Long_Div/2),"  ")</f>
        <v>-10</v>
      </c>
      <c r="AT4" s="23" t="str">
        <f ca="1">IFERROR(AR4*AS4,"  ")</f>
        <v xml:space="preserve">  </v>
      </c>
      <c r="AU4" s="23" t="str">
        <f ca="1">IFERROR(AT4*AS4,"  ")</f>
        <v xml:space="preserve">  </v>
      </c>
      <c r="AV4" s="23" t="str">
        <f t="shared" ref="AV4:AV28" si="21">IFERROR(AP4^3,"  ")</f>
        <v xml:space="preserve">  </v>
      </c>
      <c r="AW4" s="23" t="str">
        <f t="shared" ref="AW4:AW28" ca="1" si="22">IFERROR(AV4*AM4,"  ")</f>
        <v xml:space="preserve">  </v>
      </c>
      <c r="AY4" s="35" t="str">
        <f t="shared" ref="AY4:AY28" si="23">IF(ROW(AY4)-3&gt;Max_STN_count," ",VLOOKUP(AO4,AREA_TABLE,Count_WL+1,FALSE))</f>
        <v xml:space="preserve"> </v>
      </c>
      <c r="AZ4" s="23" t="str">
        <f t="shared" ref="AZ4:AZ7" ca="1" si="24">IFERROR(AY4*AM4,"  ")</f>
        <v xml:space="preserve">  </v>
      </c>
      <c r="BA4" s="36" t="str">
        <f t="shared" ref="BA4:BA28" si="25">IF(ROW(AY4)-3&gt;Max_STN_count," ",VLOOKUP(AO4,MOMENT_TABLE,Count_WL+1,FALSE))</f>
        <v xml:space="preserve"> </v>
      </c>
      <c r="BB4" s="27" t="str">
        <f ca="1">IFERROR(BA4*AM4,"  ")</f>
        <v xml:space="preserve">  </v>
      </c>
      <c r="BC4" s="23" t="str">
        <f ca="1">IFERROR(AZ4*AS4,"  ")</f>
        <v xml:space="preserve">  </v>
      </c>
      <c r="BE4" s="16" t="s">
        <v>26</v>
      </c>
      <c r="BF4" s="9" t="s">
        <v>8</v>
      </c>
      <c r="BG4" s="28">
        <f>LBP</f>
        <v>146.19999999999999</v>
      </c>
    </row>
    <row r="5" spans="1:60" x14ac:dyDescent="0.25">
      <c r="A5" s="20">
        <f>Tools!$AD4</f>
        <v>0.5</v>
      </c>
      <c r="B5" s="33" t="str">
        <f t="shared" si="0"/>
        <v xml:space="preserve">  </v>
      </c>
      <c r="C5" s="22">
        <f>IF(A5="  ","  ",IF(AND(A4="  ",A6="  "),"?",IF(A4="  ",2*(A6-A5),IF(A6="  ",2*(A5-A4),2*(A6-A4)))))</f>
        <v>2</v>
      </c>
      <c r="D5" s="23" t="str">
        <f t="shared" ref="D5:D28" si="26">IFERROR(B5*C5,"  ")</f>
        <v xml:space="preserve">  </v>
      </c>
      <c r="E5" s="24">
        <f t="shared" si="1"/>
        <v>-9.5</v>
      </c>
      <c r="F5" s="23" t="str">
        <f t="shared" ref="F5:F28" si="27">IFERROR(D5*E5,"  ")</f>
        <v xml:space="preserve">  </v>
      </c>
      <c r="G5" s="23" t="str">
        <f t="shared" ref="G5:G28" si="28">IFERROR(F5*E5,"  ")</f>
        <v xml:space="preserve">  </v>
      </c>
      <c r="H5" s="23" t="str">
        <f t="shared" ref="H5:H28" si="29">IFERROR(B5^3,"  ")</f>
        <v xml:space="preserve">  </v>
      </c>
      <c r="I5" s="23" t="str">
        <f t="shared" ref="I5:I28" si="30">IFERROR(H5*C5,"  ")</f>
        <v xml:space="preserve">  </v>
      </c>
      <c r="J5" s="4"/>
      <c r="K5" s="37" t="str">
        <f t="shared" si="2"/>
        <v xml:space="preserve"> </v>
      </c>
      <c r="L5" s="23" t="str">
        <f t="shared" ref="L5:L28" si="31">IFERROR(K5*C5,"  ")</f>
        <v xml:space="preserve">  </v>
      </c>
      <c r="M5" s="38" t="str">
        <f t="shared" si="3"/>
        <v xml:space="preserve"> </v>
      </c>
      <c r="N5" s="27" t="str">
        <f t="shared" ref="N5:N28" si="32">IFERROR(M5*C5,"  ")</f>
        <v xml:space="preserve">  </v>
      </c>
      <c r="O5" s="23" t="str">
        <f t="shared" ref="O5:O28" si="33">IFERROR(L5*E5,"  ")</f>
        <v xml:space="preserve">  </v>
      </c>
      <c r="P5" s="4"/>
      <c r="Q5" s="8" t="s">
        <v>27</v>
      </c>
      <c r="R5" s="9" t="s">
        <v>8</v>
      </c>
      <c r="S5" s="10">
        <f>BREADTH</f>
        <v>22</v>
      </c>
      <c r="W5" s="29">
        <f>IF(AO5="  ","  ",IF(AND(AO4="  ",AO6="  "),"?",IF(AO4="  ",2*(AO6-AO5),IF(AO6="  ",2*(AO5-AO4),2*(AO6-AO4)))))</f>
        <v>2</v>
      </c>
      <c r="X5" s="30" t="str">
        <f t="shared" si="4"/>
        <v>DD</v>
      </c>
      <c r="Y5" s="30" t="str">
        <f t="shared" si="5"/>
        <v>-</v>
      </c>
      <c r="Z5" s="29" t="b">
        <f t="shared" si="6"/>
        <v>1</v>
      </c>
      <c r="AA5" s="29" t="b">
        <f t="shared" si="7"/>
        <v>1</v>
      </c>
      <c r="AB5" s="29" t="str">
        <f t="shared" ca="1" si="8"/>
        <v>141-4</v>
      </c>
      <c r="AC5" s="29">
        <f t="shared" ref="AC5:AC27" si="34">IF(ISNUMBER(AO5),IF(ISNUMBER(AO5),IF(OR(AO5=0,AO5=Long_Div),1,IF(AO5&gt;Long_Div/2,AC6+1,IF(AO5&lt;=Long_Div/2,AC4+1,"?")))," --")," ")</f>
        <v>2</v>
      </c>
      <c r="AD5" s="29">
        <f t="shared" ca="1" si="9"/>
        <v>2</v>
      </c>
      <c r="AE5" s="29">
        <v>2</v>
      </c>
      <c r="AF5" s="31" t="str">
        <f t="shared" si="10"/>
        <v xml:space="preserve"> </v>
      </c>
      <c r="AG5" s="29" t="b">
        <f t="shared" si="11"/>
        <v>0</v>
      </c>
      <c r="AH5" s="30" t="str">
        <f t="shared" si="12"/>
        <v>-</v>
      </c>
      <c r="AI5" s="30" t="str">
        <f t="shared" ca="1" si="13"/>
        <v>(1/2)*(4/3)</v>
      </c>
      <c r="AJ5" s="29">
        <f t="shared" ca="1" si="14"/>
        <v>0.66666666666666663</v>
      </c>
      <c r="AK5" s="29" t="str">
        <f t="shared" si="15"/>
        <v/>
      </c>
      <c r="AL5" s="29">
        <f t="shared" si="16"/>
        <v>0</v>
      </c>
      <c r="AM5" s="32">
        <f t="shared" ref="AM5:AM28" ca="1" si="35">IF(AQ5=""," ",AJ5+AL5)</f>
        <v>0.66666666666666663</v>
      </c>
      <c r="AO5" s="20">
        <f>Tools!$AD4</f>
        <v>0.5</v>
      </c>
      <c r="AP5" s="33" t="str">
        <f t="shared" ref="AP5:AP26" si="36">VLOOKUP(AO5,OFFSET_A,Count_WL+1,FALSE)</f>
        <v xml:space="preserve">  </v>
      </c>
      <c r="AQ5" s="34" t="str">
        <f t="shared" ca="1" si="18"/>
        <v>(1/2)*(4/3)</v>
      </c>
      <c r="AR5" s="23" t="str">
        <f t="shared" ca="1" si="19"/>
        <v xml:space="preserve">  </v>
      </c>
      <c r="AS5" s="24">
        <f t="shared" si="20"/>
        <v>-9.5</v>
      </c>
      <c r="AT5" s="23" t="str">
        <f t="shared" ref="AT5:AT28" ca="1" si="37">IFERROR(AR5*AS5,"  ")</f>
        <v xml:space="preserve">  </v>
      </c>
      <c r="AU5" s="23" t="str">
        <f ca="1">IFERROR(AT5*AS5,"  ")</f>
        <v xml:space="preserve">  </v>
      </c>
      <c r="AV5" s="23" t="str">
        <f t="shared" si="21"/>
        <v xml:space="preserve">  </v>
      </c>
      <c r="AW5" s="23" t="str">
        <f t="shared" ca="1" si="22"/>
        <v xml:space="preserve">  </v>
      </c>
      <c r="AY5" s="35" t="str">
        <f t="shared" si="23"/>
        <v xml:space="preserve"> </v>
      </c>
      <c r="AZ5" s="23" t="str">
        <f t="shared" ca="1" si="24"/>
        <v xml:space="preserve">  </v>
      </c>
      <c r="BA5" s="36" t="str">
        <f t="shared" si="25"/>
        <v xml:space="preserve"> </v>
      </c>
      <c r="BB5" s="27" t="str">
        <f t="shared" ref="BB5:BB28" ca="1" si="38">IFERROR(BA5*AM5,"  ")</f>
        <v xml:space="preserve">  </v>
      </c>
      <c r="BC5" s="23" t="str">
        <f t="shared" ref="BC5:BC28" ca="1" si="39">IFERROR(AZ5*AS5,"  ")</f>
        <v xml:space="preserve">  </v>
      </c>
      <c r="BE5" s="8" t="s">
        <v>27</v>
      </c>
      <c r="BF5" s="9" t="s">
        <v>8</v>
      </c>
      <c r="BG5" s="10">
        <f>BREADTH</f>
        <v>22</v>
      </c>
    </row>
    <row r="6" spans="1:60" x14ac:dyDescent="0.25">
      <c r="A6" s="20">
        <f>Tools!$AD5</f>
        <v>1</v>
      </c>
      <c r="B6" s="33" t="str">
        <f t="shared" si="0"/>
        <v xml:space="preserve">  </v>
      </c>
      <c r="C6" s="22">
        <f>IF(A6="  ","  ",IF(AND(A5="  ",A7="  "),"?",IF(A5="  ",1*(A7-A6),IF(A7="  ",1*(A6-A5),1*(A7-A5)))))</f>
        <v>1</v>
      </c>
      <c r="D6" s="23" t="str">
        <f t="shared" si="26"/>
        <v xml:space="preserve">  </v>
      </c>
      <c r="E6" s="24">
        <f t="shared" si="1"/>
        <v>-9</v>
      </c>
      <c r="F6" s="23" t="str">
        <f t="shared" si="27"/>
        <v xml:space="preserve">  </v>
      </c>
      <c r="G6" s="23" t="str">
        <f t="shared" si="28"/>
        <v xml:space="preserve">  </v>
      </c>
      <c r="H6" s="23" t="str">
        <f t="shared" si="29"/>
        <v xml:space="preserve">  </v>
      </c>
      <c r="I6" s="23" t="str">
        <f t="shared" si="30"/>
        <v xml:space="preserve">  </v>
      </c>
      <c r="J6" s="4"/>
      <c r="K6" s="37" t="str">
        <f t="shared" si="2"/>
        <v xml:space="preserve"> </v>
      </c>
      <c r="L6" s="23" t="str">
        <f t="shared" si="31"/>
        <v xml:space="preserve">  </v>
      </c>
      <c r="M6" s="38" t="str">
        <f t="shared" si="3"/>
        <v xml:space="preserve"> </v>
      </c>
      <c r="N6" s="27" t="str">
        <f t="shared" si="32"/>
        <v xml:space="preserve">  </v>
      </c>
      <c r="O6" s="23" t="str">
        <f t="shared" si="33"/>
        <v xml:space="preserve">  </v>
      </c>
      <c r="P6" s="4"/>
      <c r="Q6" s="8" t="s">
        <v>28</v>
      </c>
      <c r="R6" s="9" t="s">
        <v>8</v>
      </c>
      <c r="S6" s="10">
        <f>DEPTH</f>
        <v>13</v>
      </c>
      <c r="W6" s="29">
        <f>IF(AO6="  ","  ",IF(AND(AO5="  ",AO7="  "),"?",IF(AO5="  ",1*(AO7-AO6),IF(AO7="  ",1*(AO6-AO5),1*(AO7-AO5)))))</f>
        <v>1</v>
      </c>
      <c r="X6" s="30" t="str">
        <f t="shared" si="4"/>
        <v>DD</v>
      </c>
      <c r="Y6" s="30" t="str">
        <f t="shared" si="5"/>
        <v>-</v>
      </c>
      <c r="Z6" s="29" t="b">
        <f t="shared" si="6"/>
        <v>1</v>
      </c>
      <c r="AA6" s="29" t="b">
        <f t="shared" si="7"/>
        <v>1</v>
      </c>
      <c r="AB6" s="29" t="str">
        <f t="shared" ca="1" si="8"/>
        <v>141-2</v>
      </c>
      <c r="AC6" s="29">
        <f t="shared" si="34"/>
        <v>3</v>
      </c>
      <c r="AD6" s="29">
        <f t="shared" ca="1" si="9"/>
        <v>3</v>
      </c>
      <c r="AE6" s="29">
        <v>3</v>
      </c>
      <c r="AF6" s="31" t="str">
        <f t="shared" si="10"/>
        <v xml:space="preserve"> </v>
      </c>
      <c r="AG6" s="29" t="b">
        <f t="shared" si="11"/>
        <v>0</v>
      </c>
      <c r="AH6" s="30" t="str">
        <f t="shared" si="12"/>
        <v>-</v>
      </c>
      <c r="AI6" s="30" t="str">
        <f t="shared" ca="1" si="13"/>
        <v>(1/2)*(2/3)</v>
      </c>
      <c r="AJ6" s="29">
        <f t="shared" ca="1" si="14"/>
        <v>0.33333333333333331</v>
      </c>
      <c r="AK6" s="29" t="str">
        <f t="shared" si="15"/>
        <v/>
      </c>
      <c r="AL6" s="29">
        <f t="shared" si="16"/>
        <v>0</v>
      </c>
      <c r="AM6" s="32">
        <f t="shared" ca="1" si="35"/>
        <v>0.33333333333333331</v>
      </c>
      <c r="AO6" s="20">
        <f>Tools!$AD5</f>
        <v>1</v>
      </c>
      <c r="AP6" s="33" t="str">
        <f t="shared" si="36"/>
        <v xml:space="preserve">  </v>
      </c>
      <c r="AQ6" s="34" t="str">
        <f t="shared" ca="1" si="18"/>
        <v>(1/2)*(2/3)</v>
      </c>
      <c r="AR6" s="23" t="str">
        <f t="shared" ca="1" si="19"/>
        <v xml:space="preserve">  </v>
      </c>
      <c r="AS6" s="24">
        <f t="shared" si="20"/>
        <v>-9</v>
      </c>
      <c r="AT6" s="23" t="str">
        <f t="shared" ca="1" si="37"/>
        <v xml:space="preserve">  </v>
      </c>
      <c r="AU6" s="23" t="str">
        <f ca="1">IFERROR(AT6*AS6,"  ")</f>
        <v xml:space="preserve">  </v>
      </c>
      <c r="AV6" s="23" t="str">
        <f t="shared" si="21"/>
        <v xml:space="preserve">  </v>
      </c>
      <c r="AW6" s="23" t="str">
        <f t="shared" ca="1" si="22"/>
        <v xml:space="preserve">  </v>
      </c>
      <c r="AY6" s="35" t="str">
        <f t="shared" si="23"/>
        <v xml:space="preserve"> </v>
      </c>
      <c r="AZ6" s="23" t="str">
        <f t="shared" ca="1" si="24"/>
        <v xml:space="preserve">  </v>
      </c>
      <c r="BA6" s="36" t="str">
        <f t="shared" si="25"/>
        <v xml:space="preserve"> </v>
      </c>
      <c r="BB6" s="27" t="str">
        <f t="shared" ca="1" si="38"/>
        <v xml:space="preserve">  </v>
      </c>
      <c r="BC6" s="23" t="str">
        <f t="shared" ca="1" si="39"/>
        <v xml:space="preserve">  </v>
      </c>
      <c r="BE6" s="8" t="s">
        <v>28</v>
      </c>
      <c r="BF6" s="9" t="s">
        <v>8</v>
      </c>
      <c r="BG6" s="10">
        <f>DEPTH</f>
        <v>13</v>
      </c>
    </row>
    <row r="7" spans="1:60" x14ac:dyDescent="0.25">
      <c r="A7" s="20">
        <f>Tools!$AD6</f>
        <v>1.5</v>
      </c>
      <c r="B7" s="33" t="str">
        <f t="shared" si="0"/>
        <v xml:space="preserve">  </v>
      </c>
      <c r="C7" s="22">
        <f>IF(A7="  ","  ",IF(AND(A6="  ",A8="  "),"?",IF(A6="  ",2*(A8-A7),IF(A8="  ",2*(A7-A6),2*(A8-A6)))))</f>
        <v>2</v>
      </c>
      <c r="D7" s="23" t="str">
        <f t="shared" si="26"/>
        <v xml:space="preserve">  </v>
      </c>
      <c r="E7" s="24">
        <f t="shared" si="1"/>
        <v>-8.5</v>
      </c>
      <c r="F7" s="23" t="str">
        <f t="shared" si="27"/>
        <v xml:space="preserve">  </v>
      </c>
      <c r="G7" s="23" t="str">
        <f t="shared" si="28"/>
        <v xml:space="preserve">  </v>
      </c>
      <c r="H7" s="23" t="str">
        <f t="shared" si="29"/>
        <v xml:space="preserve">  </v>
      </c>
      <c r="I7" s="23" t="str">
        <f t="shared" si="30"/>
        <v xml:space="preserve">  </v>
      </c>
      <c r="J7" s="4"/>
      <c r="K7" s="37" t="str">
        <f t="shared" si="2"/>
        <v xml:space="preserve"> </v>
      </c>
      <c r="L7" s="23" t="str">
        <f t="shared" si="31"/>
        <v xml:space="preserve">  </v>
      </c>
      <c r="M7" s="38" t="str">
        <f t="shared" si="3"/>
        <v xml:space="preserve"> </v>
      </c>
      <c r="N7" s="27" t="str">
        <f t="shared" si="32"/>
        <v xml:space="preserve">  </v>
      </c>
      <c r="O7" s="23" t="str">
        <f t="shared" si="33"/>
        <v xml:space="preserve">  </v>
      </c>
      <c r="P7" s="4"/>
      <c r="Q7" s="39" t="s">
        <v>29</v>
      </c>
      <c r="R7" s="40" t="s">
        <v>8</v>
      </c>
      <c r="S7" s="41" t="str">
        <f>IF(MAX(B4:B28)=0," ",2*MAX(B4:B28))</f>
        <v xml:space="preserve"> </v>
      </c>
      <c r="W7" s="29">
        <f>IF(AO7="  ","  ",IF(AND(AO6="  ",AO8="  "),"?",IF(AO6="  ",2*(AO8-AO7),IF(AO8="  ",2*(AO7-AO6),2*(AO8-AO6)))))</f>
        <v>2</v>
      </c>
      <c r="X7" s="30" t="str">
        <f t="shared" si="4"/>
        <v>DD</v>
      </c>
      <c r="Y7" s="30" t="str">
        <f t="shared" si="5"/>
        <v>-</v>
      </c>
      <c r="Z7" s="29" t="b">
        <f t="shared" si="6"/>
        <v>1</v>
      </c>
      <c r="AA7" s="29" t="b">
        <f t="shared" si="7"/>
        <v>1</v>
      </c>
      <c r="AB7" s="29" t="str">
        <f t="shared" ca="1" si="8"/>
        <v>141-4</v>
      </c>
      <c r="AC7" s="29">
        <f t="shared" si="34"/>
        <v>4</v>
      </c>
      <c r="AD7" s="29">
        <f t="shared" ca="1" si="9"/>
        <v>4</v>
      </c>
      <c r="AE7" s="29">
        <v>4</v>
      </c>
      <c r="AF7" s="31" t="str">
        <f t="shared" si="10"/>
        <v xml:space="preserve"> </v>
      </c>
      <c r="AG7" s="29" t="b">
        <f t="shared" si="11"/>
        <v>0</v>
      </c>
      <c r="AH7" s="30" t="str">
        <f t="shared" si="12"/>
        <v>-</v>
      </c>
      <c r="AI7" s="30" t="str">
        <f t="shared" ca="1" si="13"/>
        <v>(1/2)*(4/3)</v>
      </c>
      <c r="AJ7" s="29">
        <f t="shared" ca="1" si="14"/>
        <v>0.66666666666666663</v>
      </c>
      <c r="AK7" s="29" t="str">
        <f t="shared" si="15"/>
        <v/>
      </c>
      <c r="AL7" s="29">
        <f t="shared" si="16"/>
        <v>0</v>
      </c>
      <c r="AM7" s="32">
        <f t="shared" ca="1" si="35"/>
        <v>0.66666666666666663</v>
      </c>
      <c r="AO7" s="20">
        <f>Tools!$AD6</f>
        <v>1.5</v>
      </c>
      <c r="AP7" s="33" t="str">
        <f t="shared" si="36"/>
        <v xml:space="preserve">  </v>
      </c>
      <c r="AQ7" s="34" t="str">
        <f t="shared" ca="1" si="18"/>
        <v>(1/2)*(4/3)</v>
      </c>
      <c r="AR7" s="23" t="str">
        <f t="shared" ca="1" si="19"/>
        <v xml:space="preserve">  </v>
      </c>
      <c r="AS7" s="24">
        <f t="shared" si="20"/>
        <v>-8.5</v>
      </c>
      <c r="AT7" s="23" t="str">
        <f t="shared" ca="1" si="37"/>
        <v xml:space="preserve">  </v>
      </c>
      <c r="AU7" s="23" t="str">
        <f t="shared" ref="AU7:AU28" ca="1" si="40">IFERROR(AT7*AS7,"  ")</f>
        <v xml:space="preserve">  </v>
      </c>
      <c r="AV7" s="23" t="str">
        <f t="shared" si="21"/>
        <v xml:space="preserve">  </v>
      </c>
      <c r="AW7" s="23" t="str">
        <f t="shared" ca="1" si="22"/>
        <v xml:space="preserve">  </v>
      </c>
      <c r="AY7" s="35" t="str">
        <f t="shared" si="23"/>
        <v xml:space="preserve"> </v>
      </c>
      <c r="AZ7" s="23" t="str">
        <f t="shared" ca="1" si="24"/>
        <v xml:space="preserve">  </v>
      </c>
      <c r="BA7" s="36" t="str">
        <f t="shared" si="25"/>
        <v xml:space="preserve"> </v>
      </c>
      <c r="BB7" s="27" t="str">
        <f t="shared" ca="1" si="38"/>
        <v xml:space="preserve">  </v>
      </c>
      <c r="BC7" s="23" t="str">
        <f t="shared" ca="1" si="39"/>
        <v xml:space="preserve">  </v>
      </c>
      <c r="BE7" s="8" t="s">
        <v>29</v>
      </c>
      <c r="BF7" s="9" t="s">
        <v>8</v>
      </c>
      <c r="BG7" s="10" t="str">
        <f>IF(MAX(AP4:AP28)=0," ",2*MAX(AP4:AP28))</f>
        <v xml:space="preserve"> </v>
      </c>
    </row>
    <row r="8" spans="1:60" x14ac:dyDescent="0.25">
      <c r="A8" s="20">
        <f>Tools!$AD7</f>
        <v>2</v>
      </c>
      <c r="B8" s="33" t="str">
        <f t="shared" si="0"/>
        <v xml:space="preserve">  </v>
      </c>
      <c r="C8" s="22">
        <f>IF(A8="  ","  ",IF(AND(A7="  ",A9="  "),"?",IF(A7="  ",1*(A9-A8),IF(A9="  ",1*(A8-A7),1*(A9-A7)))))</f>
        <v>1.5</v>
      </c>
      <c r="D8" s="23" t="str">
        <f t="shared" si="26"/>
        <v xml:space="preserve">  </v>
      </c>
      <c r="E8" s="24">
        <f t="shared" si="1"/>
        <v>-8</v>
      </c>
      <c r="F8" s="23" t="str">
        <f t="shared" si="27"/>
        <v xml:space="preserve">  </v>
      </c>
      <c r="G8" s="23" t="str">
        <f t="shared" si="28"/>
        <v xml:space="preserve">  </v>
      </c>
      <c r="H8" s="23" t="str">
        <f t="shared" si="29"/>
        <v xml:space="preserve">  </v>
      </c>
      <c r="I8" s="23" t="str">
        <f t="shared" si="30"/>
        <v xml:space="preserve">  </v>
      </c>
      <c r="J8" s="4"/>
      <c r="K8" s="37" t="str">
        <f t="shared" si="2"/>
        <v xml:space="preserve"> </v>
      </c>
      <c r="L8" s="23" t="str">
        <f t="shared" si="31"/>
        <v xml:space="preserve">  </v>
      </c>
      <c r="M8" s="38" t="str">
        <f t="shared" si="3"/>
        <v xml:space="preserve"> </v>
      </c>
      <c r="N8" s="27" t="str">
        <f t="shared" si="32"/>
        <v xml:space="preserve">  </v>
      </c>
      <c r="O8" s="23" t="str">
        <f t="shared" si="33"/>
        <v xml:space="preserve">  </v>
      </c>
      <c r="P8" s="4"/>
      <c r="Q8" s="42"/>
      <c r="R8" s="42"/>
      <c r="S8" s="42"/>
      <c r="W8" s="29">
        <f>IF(AO8="  ","  ",IF(AND(AO7="  ",AO9="  "),"?",IF(AO7="  ",1*(AO9-AO8),IF(AO9="  ",1*(AO8-AO7),1*(AO9-AO7)))))</f>
        <v>1.5</v>
      </c>
      <c r="X8" s="30" t="str">
        <f t="shared" si="4"/>
        <v>DW</v>
      </c>
      <c r="Y8" s="30" t="str">
        <f t="shared" si="5"/>
        <v>-</v>
      </c>
      <c r="Z8" s="29" t="b">
        <f t="shared" si="6"/>
        <v>1</v>
      </c>
      <c r="AA8" s="29" t="b">
        <f t="shared" si="7"/>
        <v>1</v>
      </c>
      <c r="AB8" s="29" t="str">
        <f t="shared" ca="1" si="8"/>
        <v>141-1</v>
      </c>
      <c r="AC8" s="29">
        <f t="shared" si="34"/>
        <v>5</v>
      </c>
      <c r="AD8" s="29">
        <f t="shared" ca="1" si="9"/>
        <v>5</v>
      </c>
      <c r="AE8" s="29">
        <v>5</v>
      </c>
      <c r="AF8" s="31">
        <f t="shared" si="10"/>
        <v>1</v>
      </c>
      <c r="AG8" s="29" t="b">
        <f t="shared" si="11"/>
        <v>1</v>
      </c>
      <c r="AH8" s="30" t="str">
        <f t="shared" si="12"/>
        <v>141-1</v>
      </c>
      <c r="AI8" s="30" t="str">
        <f t="shared" ca="1" si="13"/>
        <v>(1/2)*(1/3)</v>
      </c>
      <c r="AJ8" s="29">
        <f t="shared" ca="1" si="14"/>
        <v>0.16666666666666666</v>
      </c>
      <c r="AK8" s="29" t="str">
        <f t="shared" si="15"/>
        <v>1/3</v>
      </c>
      <c r="AL8" s="29">
        <f t="shared" si="16"/>
        <v>0.33333333333333331</v>
      </c>
      <c r="AM8" s="32">
        <f t="shared" ca="1" si="35"/>
        <v>0.5</v>
      </c>
      <c r="AO8" s="20">
        <f>Tools!$AD7</f>
        <v>2</v>
      </c>
      <c r="AP8" s="33" t="str">
        <f t="shared" si="36"/>
        <v xml:space="preserve">  </v>
      </c>
      <c r="AQ8" s="34" t="str">
        <f t="shared" ca="1" si="18"/>
        <v>(1/2)*(1/3)+1/3</v>
      </c>
      <c r="AR8" s="23" t="str">
        <f t="shared" ca="1" si="19"/>
        <v xml:space="preserve">  </v>
      </c>
      <c r="AS8" s="24">
        <f t="shared" si="20"/>
        <v>-8</v>
      </c>
      <c r="AT8" s="23" t="str">
        <f t="shared" ca="1" si="37"/>
        <v xml:space="preserve">  </v>
      </c>
      <c r="AU8" s="23" t="str">
        <f t="shared" ca="1" si="40"/>
        <v xml:space="preserve">  </v>
      </c>
      <c r="AV8" s="23" t="str">
        <f t="shared" si="21"/>
        <v xml:space="preserve">  </v>
      </c>
      <c r="AW8" s="23" t="str">
        <f t="shared" ca="1" si="22"/>
        <v xml:space="preserve">  </v>
      </c>
      <c r="AY8" s="35" t="str">
        <f t="shared" si="23"/>
        <v xml:space="preserve"> </v>
      </c>
      <c r="AZ8" s="23" t="str">
        <f ca="1">IFERROR(AY8*AM8,"  ")</f>
        <v xml:space="preserve">  </v>
      </c>
      <c r="BA8" s="36" t="str">
        <f t="shared" si="25"/>
        <v xml:space="preserve"> </v>
      </c>
      <c r="BB8" s="27" t="str">
        <f t="shared" ca="1" si="38"/>
        <v xml:space="preserve">  </v>
      </c>
      <c r="BC8" s="23" t="str">
        <f t="shared" ca="1" si="39"/>
        <v xml:space="preserve">  </v>
      </c>
      <c r="BE8" s="8" t="s">
        <v>30</v>
      </c>
      <c r="BF8" s="9" t="s">
        <v>8</v>
      </c>
      <c r="BG8" s="10">
        <f ca="1">LBP-AJ33</f>
        <v>146.19999999999999</v>
      </c>
      <c r="BH8" t="str">
        <f ca="1">IF(AJ33&gt;0,CONCATENATE("(LWL is assumed between stations ",$AH$31," and ",$AH$33," as offset values extreme to these stations are zeros.)"),"")</f>
        <v/>
      </c>
    </row>
    <row r="9" spans="1:60" x14ac:dyDescent="0.25">
      <c r="A9" s="20">
        <f>Tools!$AD8</f>
        <v>3</v>
      </c>
      <c r="B9" s="33" t="str">
        <f t="shared" si="0"/>
        <v xml:space="preserve">  </v>
      </c>
      <c r="C9" s="22">
        <f>IF(A9="  ","  ",IF(AND(A8="  ",A10="  "),"?",IF(A8="  ",2*(A10-A9),IF(A10="  ",2*(A9-A8),2*(A10-A8)))))</f>
        <v>4</v>
      </c>
      <c r="D9" s="23" t="str">
        <f t="shared" si="26"/>
        <v xml:space="preserve">  </v>
      </c>
      <c r="E9" s="24">
        <f t="shared" si="1"/>
        <v>-7</v>
      </c>
      <c r="F9" s="23" t="str">
        <f t="shared" si="27"/>
        <v xml:space="preserve">  </v>
      </c>
      <c r="G9" s="23" t="str">
        <f t="shared" si="28"/>
        <v xml:space="preserve">  </v>
      </c>
      <c r="H9" s="23" t="str">
        <f t="shared" si="29"/>
        <v xml:space="preserve">  </v>
      </c>
      <c r="I9" s="23" t="str">
        <f t="shared" si="30"/>
        <v xml:space="preserve">  </v>
      </c>
      <c r="J9" s="4"/>
      <c r="K9" s="37" t="str">
        <f t="shared" si="2"/>
        <v xml:space="preserve"> </v>
      </c>
      <c r="L9" s="23" t="str">
        <f t="shared" si="31"/>
        <v xml:space="preserve">  </v>
      </c>
      <c r="M9" s="38" t="str">
        <f t="shared" si="3"/>
        <v xml:space="preserve"> </v>
      </c>
      <c r="N9" s="27" t="str">
        <f t="shared" si="32"/>
        <v xml:space="preserve">  </v>
      </c>
      <c r="O9" s="23" t="str">
        <f t="shared" si="33"/>
        <v xml:space="preserve">  </v>
      </c>
      <c r="P9" s="4"/>
      <c r="Q9" s="43" t="s">
        <v>31</v>
      </c>
      <c r="R9" s="44" t="s">
        <v>32</v>
      </c>
      <c r="S9" s="489" t="s">
        <v>33</v>
      </c>
      <c r="W9" s="29">
        <f>IF(AO9="  ","  ",IF(AND(AO8="  ",AO10="  "),"?",IF(AO8="  ",2*(AO10-AO9),IF(AO10="  ",2*(AO9-AO8),2*(AO10-AO8)))))</f>
        <v>4</v>
      </c>
      <c r="X9" s="30" t="str">
        <f t="shared" si="4"/>
        <v>WW</v>
      </c>
      <c r="Y9" s="30" t="str">
        <f t="shared" si="5"/>
        <v>-</v>
      </c>
      <c r="Z9" s="29" t="b">
        <f t="shared" si="6"/>
        <v>0</v>
      </c>
      <c r="AA9" s="29" t="b">
        <f t="shared" si="7"/>
        <v>0</v>
      </c>
      <c r="AB9" s="29" t="str">
        <f t="shared" ca="1" si="8"/>
        <v>++</v>
      </c>
      <c r="AC9" s="29">
        <f t="shared" si="34"/>
        <v>6</v>
      </c>
      <c r="AD9" s="29">
        <f t="shared" ca="1" si="9"/>
        <v>6</v>
      </c>
      <c r="AE9" s="29">
        <v>6</v>
      </c>
      <c r="AF9" s="31">
        <f>IF(AND(AG9=TRUE,OR(NOT(AG8=TRUE),AG8="Full")),1,IF(ISNUMBER(AF8),AF8+1," "))</f>
        <v>2</v>
      </c>
      <c r="AG9" s="29" t="b">
        <f t="shared" si="11"/>
        <v>1</v>
      </c>
      <c r="AH9" s="30" t="str">
        <f t="shared" ca="1" si="12"/>
        <v>141-4</v>
      </c>
      <c r="AI9" s="30" t="str">
        <f t="shared" ca="1" si="13"/>
        <v/>
      </c>
      <c r="AJ9" s="29">
        <f t="shared" ca="1" si="14"/>
        <v>0</v>
      </c>
      <c r="AK9" s="29" t="str">
        <f t="shared" ca="1" si="15"/>
        <v>4/3</v>
      </c>
      <c r="AL9" s="29">
        <f t="shared" ca="1" si="16"/>
        <v>1.3333333333333333</v>
      </c>
      <c r="AM9" s="32">
        <f t="shared" ca="1" si="35"/>
        <v>1.3333333333333333</v>
      </c>
      <c r="AO9" s="20">
        <f>Tools!$AD8</f>
        <v>3</v>
      </c>
      <c r="AP9" s="33" t="str">
        <f t="shared" si="36"/>
        <v xml:space="preserve">  </v>
      </c>
      <c r="AQ9" s="34" t="str">
        <f t="shared" ca="1" si="18"/>
        <v>4/3</v>
      </c>
      <c r="AR9" s="23" t="str">
        <f t="shared" ca="1" si="19"/>
        <v xml:space="preserve">  </v>
      </c>
      <c r="AS9" s="24">
        <f t="shared" si="20"/>
        <v>-7</v>
      </c>
      <c r="AT9" s="23" t="str">
        <f t="shared" ca="1" si="37"/>
        <v xml:space="preserve">  </v>
      </c>
      <c r="AU9" s="23" t="str">
        <f t="shared" ca="1" si="40"/>
        <v xml:space="preserve">  </v>
      </c>
      <c r="AV9" s="23" t="str">
        <f t="shared" si="21"/>
        <v xml:space="preserve">  </v>
      </c>
      <c r="AW9" s="23" t="str">
        <f t="shared" ca="1" si="22"/>
        <v xml:space="preserve">  </v>
      </c>
      <c r="AY9" s="35" t="str">
        <f t="shared" si="23"/>
        <v xml:space="preserve"> </v>
      </c>
      <c r="AZ9" s="23" t="str">
        <f t="shared" ref="AZ9:AZ28" ca="1" si="41">IFERROR(AY9*AM9,"  ")</f>
        <v xml:space="preserve">  </v>
      </c>
      <c r="BA9" s="36" t="str">
        <f t="shared" si="25"/>
        <v xml:space="preserve"> </v>
      </c>
      <c r="BB9" s="27" t="str">
        <f t="shared" ca="1" si="38"/>
        <v xml:space="preserve">  </v>
      </c>
      <c r="BC9" s="23" t="str">
        <f t="shared" ca="1" si="39"/>
        <v xml:space="preserve">  </v>
      </c>
    </row>
    <row r="10" spans="1:60" x14ac:dyDescent="0.25">
      <c r="A10" s="20">
        <f>Tools!$AD9</f>
        <v>4</v>
      </c>
      <c r="B10" s="33" t="str">
        <f t="shared" si="0"/>
        <v xml:space="preserve">  </v>
      </c>
      <c r="C10" s="22">
        <f>IF(A10="  ","  ",IF(AND(A9="  ",A11="  "),"?",IF(A9="  ",1*(A11-A10),IF(A11="  ",1*(A10-A9),1*(A11-A9)))))</f>
        <v>2</v>
      </c>
      <c r="D10" s="23" t="str">
        <f t="shared" si="26"/>
        <v xml:space="preserve">  </v>
      </c>
      <c r="E10" s="24">
        <f t="shared" si="1"/>
        <v>-6</v>
      </c>
      <c r="F10" s="23" t="str">
        <f t="shared" si="27"/>
        <v xml:space="preserve">  </v>
      </c>
      <c r="G10" s="23" t="str">
        <f t="shared" si="28"/>
        <v xml:space="preserve">  </v>
      </c>
      <c r="H10" s="23" t="str">
        <f t="shared" si="29"/>
        <v xml:space="preserve">  </v>
      </c>
      <c r="I10" s="23" t="str">
        <f>IFERROR(H10*C10,"  ")</f>
        <v xml:space="preserve">  </v>
      </c>
      <c r="J10" s="4"/>
      <c r="K10" s="37" t="str">
        <f t="shared" si="2"/>
        <v xml:space="preserve"> </v>
      </c>
      <c r="L10" s="23" t="str">
        <f t="shared" si="31"/>
        <v xml:space="preserve">  </v>
      </c>
      <c r="M10" s="38" t="str">
        <f t="shared" si="3"/>
        <v xml:space="preserve"> </v>
      </c>
      <c r="N10" s="27" t="str">
        <f t="shared" si="32"/>
        <v xml:space="preserve">  </v>
      </c>
      <c r="O10" s="23" t="str">
        <f t="shared" si="33"/>
        <v xml:space="preserve">  </v>
      </c>
      <c r="P10" s="4"/>
      <c r="Q10" s="45"/>
      <c r="R10" s="46"/>
      <c r="S10" s="490"/>
      <c r="W10" s="29">
        <f>IF(AO10="  ","  ",IF(AND(AO9="  ",AO11="  "),"?",IF(AO9="  ",1*(AO11-AO10),IF(AO11="  ",1*(AO10-AO9),1*(AO11-AO9)))))</f>
        <v>2</v>
      </c>
      <c r="X10" s="30" t="str">
        <f t="shared" si="4"/>
        <v>WW</v>
      </c>
      <c r="Y10" s="30" t="str">
        <f t="shared" si="5"/>
        <v>-</v>
      </c>
      <c r="Z10" s="29" t="b">
        <f t="shared" si="6"/>
        <v>0</v>
      </c>
      <c r="AA10" s="29" t="b">
        <f t="shared" si="7"/>
        <v>0</v>
      </c>
      <c r="AB10" s="29" t="str">
        <f t="shared" ca="1" si="8"/>
        <v>++</v>
      </c>
      <c r="AC10" s="29">
        <f t="shared" si="34"/>
        <v>7</v>
      </c>
      <c r="AD10" s="29">
        <f t="shared" ca="1" si="9"/>
        <v>7</v>
      </c>
      <c r="AE10" s="29">
        <v>7</v>
      </c>
      <c r="AF10" s="31">
        <f t="shared" ref="AF10:AF28" si="42">IF(AND(AG10=TRUE,OR(NOT(AG9=TRUE),AG9="Full")),1,IF(ISNUMBER(AF9),AF9+1," "))</f>
        <v>3</v>
      </c>
      <c r="AG10" s="29" t="b">
        <f t="shared" si="11"/>
        <v>1</v>
      </c>
      <c r="AH10" s="30" t="str">
        <f t="shared" ca="1" si="12"/>
        <v>141-2</v>
      </c>
      <c r="AI10" s="30" t="str">
        <f t="shared" ca="1" si="13"/>
        <v/>
      </c>
      <c r="AJ10" s="29">
        <f t="shared" ca="1" si="14"/>
        <v>0</v>
      </c>
      <c r="AK10" s="29" t="str">
        <f t="shared" ca="1" si="15"/>
        <v>2/3</v>
      </c>
      <c r="AL10" s="29">
        <f t="shared" ca="1" si="16"/>
        <v>0.66666666666666663</v>
      </c>
      <c r="AM10" s="32">
        <f t="shared" ca="1" si="35"/>
        <v>0.66666666666666663</v>
      </c>
      <c r="AO10" s="20">
        <f>Tools!$AD9</f>
        <v>4</v>
      </c>
      <c r="AP10" s="33" t="str">
        <f t="shared" si="36"/>
        <v xml:space="preserve">  </v>
      </c>
      <c r="AQ10" s="34" t="str">
        <f t="shared" ca="1" si="18"/>
        <v>2/3</v>
      </c>
      <c r="AR10" s="23" t="str">
        <f t="shared" ca="1" si="19"/>
        <v xml:space="preserve">  </v>
      </c>
      <c r="AS10" s="24">
        <f t="shared" si="20"/>
        <v>-6</v>
      </c>
      <c r="AT10" s="23" t="str">
        <f t="shared" ca="1" si="37"/>
        <v xml:space="preserve">  </v>
      </c>
      <c r="AU10" s="23" t="str">
        <f ca="1">IFERROR(AT10*AS10,"  ")</f>
        <v xml:space="preserve">  </v>
      </c>
      <c r="AV10" s="23" t="str">
        <f t="shared" si="21"/>
        <v xml:space="preserve">  </v>
      </c>
      <c r="AW10" s="23" t="str">
        <f t="shared" ca="1" si="22"/>
        <v xml:space="preserve">  </v>
      </c>
      <c r="AY10" s="35" t="str">
        <f t="shared" si="23"/>
        <v xml:space="preserve"> </v>
      </c>
      <c r="AZ10" s="23" t="str">
        <f t="shared" ca="1" si="41"/>
        <v xml:space="preserve">  </v>
      </c>
      <c r="BA10" s="36" t="str">
        <f t="shared" si="25"/>
        <v xml:space="preserve"> </v>
      </c>
      <c r="BB10" s="27" t="str">
        <f t="shared" ca="1" si="38"/>
        <v xml:space="preserve">  </v>
      </c>
      <c r="BC10" s="23" t="str">
        <f t="shared" ca="1" si="39"/>
        <v xml:space="preserve">  </v>
      </c>
      <c r="BE10" s="43" t="s">
        <v>31</v>
      </c>
      <c r="BF10" s="44" t="s">
        <v>32</v>
      </c>
      <c r="BG10" s="489" t="s">
        <v>33</v>
      </c>
    </row>
    <row r="11" spans="1:60" x14ac:dyDescent="0.25">
      <c r="A11" s="20">
        <f>Tools!$AD10</f>
        <v>5</v>
      </c>
      <c r="B11" s="33" t="str">
        <f t="shared" si="0"/>
        <v xml:space="preserve">  </v>
      </c>
      <c r="C11" s="22">
        <f>IF(A11="  ","  ",IF(AND(A10="  ",A12="  "),"?",IF(A10="  ",2*(A12-A11),IF(A12="  ",2*(A11-A10),2*(A12-A10)))))</f>
        <v>4</v>
      </c>
      <c r="D11" s="23" t="str">
        <f t="shared" si="26"/>
        <v xml:space="preserve">  </v>
      </c>
      <c r="E11" s="24">
        <f t="shared" si="1"/>
        <v>-5</v>
      </c>
      <c r="F11" s="23" t="str">
        <f t="shared" si="27"/>
        <v xml:space="preserve">  </v>
      </c>
      <c r="G11" s="23" t="str">
        <f t="shared" si="28"/>
        <v xml:space="preserve">  </v>
      </c>
      <c r="H11" s="23" t="str">
        <f t="shared" si="29"/>
        <v xml:space="preserve">  </v>
      </c>
      <c r="I11" s="23" t="str">
        <f t="shared" si="30"/>
        <v xml:space="preserve">  </v>
      </c>
      <c r="J11" s="4"/>
      <c r="K11" s="37" t="str">
        <f t="shared" si="2"/>
        <v xml:space="preserve"> </v>
      </c>
      <c r="L11" s="23" t="str">
        <f t="shared" si="31"/>
        <v xml:space="preserve">  </v>
      </c>
      <c r="M11" s="38" t="str">
        <f t="shared" si="3"/>
        <v xml:space="preserve"> </v>
      </c>
      <c r="N11" s="27" t="str">
        <f t="shared" si="32"/>
        <v xml:space="preserve">  </v>
      </c>
      <c r="O11" s="23" t="str">
        <f t="shared" si="33"/>
        <v xml:space="preserve">  </v>
      </c>
      <c r="P11" s="4"/>
      <c r="Q11" s="47" t="s">
        <v>34</v>
      </c>
      <c r="R11" s="48" t="s">
        <v>35</v>
      </c>
      <c r="S11" t="str">
        <f>IF(Tools!$L$49="Use 141 rule only",I35,IF(Tools!$L$49="Use 141 and 1331 rules",BG12," "))</f>
        <v xml:space="preserve">  </v>
      </c>
      <c r="W11" s="29">
        <f>IF(AO11="  ","  ",IF(AND(AO10="  ",AO12="  "),"?",IF(AO10="  ",2*(AO12-AO11),IF(AO12="  ",2*(AO11-AO10),2*(AO12-AO10)))))</f>
        <v>4</v>
      </c>
      <c r="X11" s="30" t="str">
        <f t="shared" si="4"/>
        <v>WW</v>
      </c>
      <c r="Y11" s="30" t="str">
        <f t="shared" si="5"/>
        <v>-</v>
      </c>
      <c r="Z11" s="29" t="b">
        <f t="shared" si="6"/>
        <v>0</v>
      </c>
      <c r="AA11" s="29" t="b">
        <f t="shared" si="7"/>
        <v>0</v>
      </c>
      <c r="AB11" s="29" t="str">
        <f t="shared" ca="1" si="8"/>
        <v>++</v>
      </c>
      <c r="AC11" s="29">
        <f t="shared" si="34"/>
        <v>8</v>
      </c>
      <c r="AD11" s="29">
        <f t="shared" ca="1" si="9"/>
        <v>8</v>
      </c>
      <c r="AE11" s="29">
        <v>8</v>
      </c>
      <c r="AF11" s="31">
        <f t="shared" si="42"/>
        <v>4</v>
      </c>
      <c r="AG11" s="29" t="b">
        <f t="shared" si="11"/>
        <v>1</v>
      </c>
      <c r="AH11" s="30" t="str">
        <f t="shared" ca="1" si="12"/>
        <v>141-4</v>
      </c>
      <c r="AI11" s="30" t="str">
        <f t="shared" ca="1" si="13"/>
        <v/>
      </c>
      <c r="AJ11" s="29">
        <f t="shared" ca="1" si="14"/>
        <v>0</v>
      </c>
      <c r="AK11" s="29" t="str">
        <f t="shared" ca="1" si="15"/>
        <v>4/3</v>
      </c>
      <c r="AL11" s="29">
        <f t="shared" ca="1" si="16"/>
        <v>1.3333333333333333</v>
      </c>
      <c r="AM11" s="32">
        <f t="shared" ca="1" si="35"/>
        <v>1.3333333333333333</v>
      </c>
      <c r="AO11" s="20">
        <f>Tools!$AD10</f>
        <v>5</v>
      </c>
      <c r="AP11" s="33" t="str">
        <f t="shared" si="36"/>
        <v xml:space="preserve">  </v>
      </c>
      <c r="AQ11" s="34" t="str">
        <f t="shared" ca="1" si="18"/>
        <v>4/3</v>
      </c>
      <c r="AR11" s="23" t="str">
        <f t="shared" ca="1" si="19"/>
        <v xml:space="preserve">  </v>
      </c>
      <c r="AS11" s="24">
        <f t="shared" si="20"/>
        <v>-5</v>
      </c>
      <c r="AT11" s="23" t="str">
        <f t="shared" ca="1" si="37"/>
        <v xml:space="preserve">  </v>
      </c>
      <c r="AU11" s="23" t="str">
        <f t="shared" ca="1" si="40"/>
        <v xml:space="preserve">  </v>
      </c>
      <c r="AV11" s="23" t="str">
        <f t="shared" si="21"/>
        <v xml:space="preserve">  </v>
      </c>
      <c r="AW11" s="23" t="str">
        <f t="shared" ca="1" si="22"/>
        <v xml:space="preserve">  </v>
      </c>
      <c r="AY11" s="35" t="str">
        <f t="shared" si="23"/>
        <v xml:space="preserve"> </v>
      </c>
      <c r="AZ11" s="23" t="str">
        <f t="shared" ca="1" si="41"/>
        <v xml:space="preserve">  </v>
      </c>
      <c r="BA11" s="36" t="str">
        <f t="shared" si="25"/>
        <v xml:space="preserve"> </v>
      </c>
      <c r="BB11" s="27" t="str">
        <f t="shared" ca="1" si="38"/>
        <v xml:space="preserve">  </v>
      </c>
      <c r="BC11" s="23" t="str">
        <f ca="1">IFERROR(AZ11*AS11,"  ")</f>
        <v xml:space="preserve">  </v>
      </c>
      <c r="BE11" s="45"/>
      <c r="BF11" s="46"/>
      <c r="BG11" s="490"/>
    </row>
    <row r="12" spans="1:60" x14ac:dyDescent="0.25">
      <c r="A12" s="20">
        <f>Tools!$AD11</f>
        <v>6</v>
      </c>
      <c r="B12" s="33" t="str">
        <f t="shared" si="0"/>
        <v xml:space="preserve">  </v>
      </c>
      <c r="C12" s="22">
        <f>IF(A12="  ","  ",IF(AND(A11="  ",A13="  "),"?",IF(A11="  ",1*(A13-A12),IF(A13="  ",1*(A12-A11),1*(A13-A11)))))</f>
        <v>2</v>
      </c>
      <c r="D12" s="23" t="str">
        <f t="shared" si="26"/>
        <v xml:space="preserve">  </v>
      </c>
      <c r="E12" s="24">
        <f t="shared" si="1"/>
        <v>-4</v>
      </c>
      <c r="F12" s="23" t="str">
        <f t="shared" si="27"/>
        <v xml:space="preserve">  </v>
      </c>
      <c r="G12" s="23" t="str">
        <f t="shared" si="28"/>
        <v xml:space="preserve">  </v>
      </c>
      <c r="H12" s="23" t="str">
        <f t="shared" si="29"/>
        <v xml:space="preserve">  </v>
      </c>
      <c r="I12" s="23" t="str">
        <f t="shared" si="30"/>
        <v xml:space="preserve">  </v>
      </c>
      <c r="J12" s="4"/>
      <c r="K12" s="37" t="str">
        <f t="shared" si="2"/>
        <v xml:space="preserve"> </v>
      </c>
      <c r="L12" s="23" t="str">
        <f t="shared" si="31"/>
        <v xml:space="preserve">  </v>
      </c>
      <c r="M12" s="38" t="str">
        <f t="shared" si="3"/>
        <v xml:space="preserve"> </v>
      </c>
      <c r="N12" s="27" t="str">
        <f t="shared" si="32"/>
        <v xml:space="preserve">  </v>
      </c>
      <c r="O12" s="23" t="str">
        <f t="shared" si="33"/>
        <v xml:space="preserve">  </v>
      </c>
      <c r="P12" s="4"/>
      <c r="Q12" s="47" t="s">
        <v>36</v>
      </c>
      <c r="R12" s="48" t="s">
        <v>37</v>
      </c>
      <c r="S12" t="str">
        <f>IF(Tools!$L$49="Use 141 rule only",I36,IF(Tools!$L$49="Use 141 and 1331 rules",BG13," "))</f>
        <v xml:space="preserve">  </v>
      </c>
      <c r="W12" s="29">
        <f>IF(AO12="  ","  ",IF(AND(AO11="  ",AO13="  "),"?",IF(AO11="  ",1*(AO13-AO12),IF(AO13="  ",1*(AO12-AO11),1*(AO13-AO11)))))</f>
        <v>2</v>
      </c>
      <c r="X12" s="30" t="str">
        <f t="shared" si="4"/>
        <v>WW</v>
      </c>
      <c r="Y12" s="30" t="str">
        <f t="shared" si="5"/>
        <v>-</v>
      </c>
      <c r="Z12" s="29" t="b">
        <f t="shared" si="6"/>
        <v>0</v>
      </c>
      <c r="AA12" s="29" t="b">
        <f t="shared" si="7"/>
        <v>0</v>
      </c>
      <c r="AB12" s="29" t="str">
        <f t="shared" ca="1" si="8"/>
        <v>++</v>
      </c>
      <c r="AC12" s="29">
        <f t="shared" si="34"/>
        <v>9</v>
      </c>
      <c r="AD12" s="29">
        <f t="shared" ca="1" si="9"/>
        <v>9</v>
      </c>
      <c r="AE12" s="29">
        <v>9</v>
      </c>
      <c r="AF12" s="31">
        <f t="shared" si="42"/>
        <v>5</v>
      </c>
      <c r="AG12" s="29" t="b">
        <f t="shared" si="11"/>
        <v>1</v>
      </c>
      <c r="AH12" s="30" t="str">
        <f t="shared" ca="1" si="12"/>
        <v>141-2</v>
      </c>
      <c r="AI12" s="30" t="str">
        <f t="shared" ca="1" si="13"/>
        <v/>
      </c>
      <c r="AJ12" s="29">
        <f t="shared" ca="1" si="14"/>
        <v>0</v>
      </c>
      <c r="AK12" s="29" t="str">
        <f t="shared" ca="1" si="15"/>
        <v>2/3</v>
      </c>
      <c r="AL12" s="29">
        <f t="shared" ca="1" si="16"/>
        <v>0.66666666666666663</v>
      </c>
      <c r="AM12" s="32">
        <f t="shared" ca="1" si="35"/>
        <v>0.66666666666666663</v>
      </c>
      <c r="AO12" s="20">
        <f>Tools!$AD11</f>
        <v>6</v>
      </c>
      <c r="AP12" s="33" t="str">
        <f t="shared" si="36"/>
        <v xml:space="preserve">  </v>
      </c>
      <c r="AQ12" s="34" t="str">
        <f t="shared" ca="1" si="18"/>
        <v>2/3</v>
      </c>
      <c r="AR12" s="23" t="str">
        <f t="shared" ca="1" si="19"/>
        <v xml:space="preserve">  </v>
      </c>
      <c r="AS12" s="24">
        <f t="shared" si="20"/>
        <v>-4</v>
      </c>
      <c r="AT12" s="23" t="str">
        <f t="shared" ca="1" si="37"/>
        <v xml:space="preserve">  </v>
      </c>
      <c r="AU12" s="23" t="str">
        <f t="shared" ca="1" si="40"/>
        <v xml:space="preserve">  </v>
      </c>
      <c r="AV12" s="23" t="str">
        <f t="shared" si="21"/>
        <v xml:space="preserve">  </v>
      </c>
      <c r="AW12" s="23" t="str">
        <f t="shared" ca="1" si="22"/>
        <v xml:space="preserve">  </v>
      </c>
      <c r="AY12" s="35" t="str">
        <f t="shared" si="23"/>
        <v xml:space="preserve"> </v>
      </c>
      <c r="AZ12" s="23" t="str">
        <f t="shared" ca="1" si="41"/>
        <v xml:space="preserve">  </v>
      </c>
      <c r="BA12" s="36" t="str">
        <f t="shared" si="25"/>
        <v xml:space="preserve"> </v>
      </c>
      <c r="BB12" s="27" t="str">
        <f t="shared" ca="1" si="38"/>
        <v xml:space="preserve">  </v>
      </c>
      <c r="BC12" s="23" t="str">
        <f t="shared" ca="1" si="39"/>
        <v xml:space="preserve">  </v>
      </c>
      <c r="BE12" s="47" t="s">
        <v>34</v>
      </c>
      <c r="BF12" s="48" t="s">
        <v>38</v>
      </c>
      <c r="BG12" s="49" t="str">
        <f>IF(WL_No="  ","  ",2*h*$AR$29)</f>
        <v xml:space="preserve">  </v>
      </c>
    </row>
    <row r="13" spans="1:60" x14ac:dyDescent="0.25">
      <c r="A13" s="20">
        <f>Tools!$AD12</f>
        <v>7</v>
      </c>
      <c r="B13" s="33" t="str">
        <f t="shared" si="0"/>
        <v xml:space="preserve">  </v>
      </c>
      <c r="C13" s="22">
        <f>IF(A13="  ","  ",IF(AND(A12="  ",A14="  "),"?",IF(A12="  ",2*(A14-A13),IF(A14="  ",2*(A13-A12),2*(A14-A12)))))</f>
        <v>4</v>
      </c>
      <c r="D13" s="23" t="str">
        <f t="shared" si="26"/>
        <v xml:space="preserve">  </v>
      </c>
      <c r="E13" s="24">
        <f t="shared" si="1"/>
        <v>-3</v>
      </c>
      <c r="F13" s="23" t="str">
        <f t="shared" si="27"/>
        <v xml:space="preserve">  </v>
      </c>
      <c r="G13" s="23" t="str">
        <f t="shared" si="28"/>
        <v xml:space="preserve">  </v>
      </c>
      <c r="H13" s="23" t="str">
        <f t="shared" si="29"/>
        <v xml:space="preserve">  </v>
      </c>
      <c r="I13" s="23" t="str">
        <f t="shared" si="30"/>
        <v xml:space="preserve">  </v>
      </c>
      <c r="J13" s="4"/>
      <c r="K13" s="37" t="str">
        <f t="shared" si="2"/>
        <v xml:space="preserve"> </v>
      </c>
      <c r="L13" s="23" t="str">
        <f t="shared" si="31"/>
        <v xml:space="preserve">  </v>
      </c>
      <c r="M13" s="38" t="str">
        <f t="shared" si="3"/>
        <v xml:space="preserve"> </v>
      </c>
      <c r="N13" s="27" t="str">
        <f t="shared" si="32"/>
        <v xml:space="preserve">  </v>
      </c>
      <c r="O13" s="23" t="str">
        <f t="shared" si="33"/>
        <v xml:space="preserve">  </v>
      </c>
      <c r="P13" s="4"/>
      <c r="Q13" s="50" t="s">
        <v>39</v>
      </c>
      <c r="R13" s="48" t="s">
        <v>40</v>
      </c>
      <c r="S13" t="str">
        <f>IF(Tools!$L$49="Use 141 rule only",I37,IF(Tools!$L$49="Use 141 and 1331 rules",BG14," "))</f>
        <v xml:space="preserve">  </v>
      </c>
      <c r="W13" s="29">
        <f>IF(AO13="  ","  ",IF(AND(AO12="  ",AO14="  "),"?",IF(AO12="  ",2*(AO14-AO13),IF(AO14="  ",2*(AO13-AO12),2*(AO14-AO12)))))</f>
        <v>4</v>
      </c>
      <c r="X13" s="30" t="str">
        <f t="shared" si="4"/>
        <v>WW</v>
      </c>
      <c r="Y13" s="30" t="str">
        <f t="shared" si="5"/>
        <v>-</v>
      </c>
      <c r="Z13" s="29" t="b">
        <f t="shared" si="6"/>
        <v>0</v>
      </c>
      <c r="AA13" s="29" t="b">
        <f t="shared" si="7"/>
        <v>0</v>
      </c>
      <c r="AB13" s="29" t="str">
        <f t="shared" ca="1" si="8"/>
        <v>++</v>
      </c>
      <c r="AC13" s="29">
        <f t="shared" si="34"/>
        <v>10</v>
      </c>
      <c r="AD13" s="29">
        <f t="shared" ca="1" si="9"/>
        <v>10</v>
      </c>
      <c r="AE13" s="29">
        <v>10</v>
      </c>
      <c r="AF13" s="31">
        <f t="shared" si="42"/>
        <v>6</v>
      </c>
      <c r="AG13" s="29" t="b">
        <f t="shared" si="11"/>
        <v>1</v>
      </c>
      <c r="AH13" s="30" t="str">
        <f t="shared" ca="1" si="12"/>
        <v>141-4</v>
      </c>
      <c r="AI13" s="30" t="str">
        <f t="shared" ca="1" si="13"/>
        <v/>
      </c>
      <c r="AJ13" s="29">
        <f t="shared" ca="1" si="14"/>
        <v>0</v>
      </c>
      <c r="AK13" s="29" t="str">
        <f t="shared" ca="1" si="15"/>
        <v>4/3</v>
      </c>
      <c r="AL13" s="29">
        <f t="shared" ca="1" si="16"/>
        <v>1.3333333333333333</v>
      </c>
      <c r="AM13" s="32">
        <f t="shared" ca="1" si="35"/>
        <v>1.3333333333333333</v>
      </c>
      <c r="AO13" s="20">
        <f>Tools!$AD12</f>
        <v>7</v>
      </c>
      <c r="AP13" s="33" t="str">
        <f t="shared" si="36"/>
        <v xml:space="preserve">  </v>
      </c>
      <c r="AQ13" s="34" t="str">
        <f t="shared" ca="1" si="18"/>
        <v>4/3</v>
      </c>
      <c r="AR13" s="23" t="str">
        <f t="shared" ca="1" si="19"/>
        <v xml:space="preserve">  </v>
      </c>
      <c r="AS13" s="24">
        <f t="shared" si="20"/>
        <v>-3</v>
      </c>
      <c r="AT13" s="23" t="str">
        <f t="shared" ca="1" si="37"/>
        <v xml:space="preserve">  </v>
      </c>
      <c r="AU13" s="23" t="str">
        <f t="shared" ca="1" si="40"/>
        <v xml:space="preserve">  </v>
      </c>
      <c r="AV13" s="23" t="str">
        <f t="shared" si="21"/>
        <v xml:space="preserve">  </v>
      </c>
      <c r="AW13" s="23" t="str">
        <f t="shared" ca="1" si="22"/>
        <v xml:space="preserve">  </v>
      </c>
      <c r="AY13" s="35" t="str">
        <f t="shared" si="23"/>
        <v xml:space="preserve"> </v>
      </c>
      <c r="AZ13" s="23" t="str">
        <f t="shared" ca="1" si="41"/>
        <v xml:space="preserve">  </v>
      </c>
      <c r="BA13" s="36" t="str">
        <f t="shared" si="25"/>
        <v xml:space="preserve"> </v>
      </c>
      <c r="BB13" s="27" t="str">
        <f t="shared" ca="1" si="38"/>
        <v xml:space="preserve">  </v>
      </c>
      <c r="BC13" s="23" t="str">
        <f t="shared" ca="1" si="39"/>
        <v xml:space="preserve">  </v>
      </c>
      <c r="BE13" s="47" t="s">
        <v>36</v>
      </c>
      <c r="BF13" s="48" t="s">
        <v>41</v>
      </c>
      <c r="BG13" s="49" t="str">
        <f>IF(WL_No="  ","  ",2*(h^2)*$AT$29)</f>
        <v xml:space="preserve">  </v>
      </c>
    </row>
    <row r="14" spans="1:60" x14ac:dyDescent="0.25">
      <c r="A14" s="20">
        <f>Tools!$AD13</f>
        <v>8</v>
      </c>
      <c r="B14" s="33" t="str">
        <f t="shared" si="0"/>
        <v xml:space="preserve">  </v>
      </c>
      <c r="C14" s="22">
        <f>IF(A14="  ","  ",IF(AND(A13="  ",A15="  "),"?",IF(A13="  ",1*(A15-A14),IF(A15="  ",1*(A14-A13),1*(A15-A13)))))</f>
        <v>2</v>
      </c>
      <c r="D14" s="23" t="str">
        <f t="shared" si="26"/>
        <v xml:space="preserve">  </v>
      </c>
      <c r="E14" s="24">
        <f t="shared" si="1"/>
        <v>-2</v>
      </c>
      <c r="F14" s="23" t="str">
        <f t="shared" si="27"/>
        <v xml:space="preserve">  </v>
      </c>
      <c r="G14" s="23" t="str">
        <f t="shared" si="28"/>
        <v xml:space="preserve">  </v>
      </c>
      <c r="H14" s="23" t="str">
        <f t="shared" si="29"/>
        <v xml:space="preserve">  </v>
      </c>
      <c r="I14" s="23" t="str">
        <f t="shared" si="30"/>
        <v xml:space="preserve">  </v>
      </c>
      <c r="J14" s="4"/>
      <c r="K14" s="37" t="str">
        <f t="shared" si="2"/>
        <v xml:space="preserve"> </v>
      </c>
      <c r="L14" s="23" t="str">
        <f t="shared" si="31"/>
        <v xml:space="preserve">  </v>
      </c>
      <c r="M14" s="38" t="str">
        <f t="shared" si="3"/>
        <v xml:space="preserve"> </v>
      </c>
      <c r="N14" s="27" t="str">
        <f t="shared" si="32"/>
        <v xml:space="preserve">  </v>
      </c>
      <c r="O14" s="23" t="str">
        <f t="shared" si="33"/>
        <v xml:space="preserve">  </v>
      </c>
      <c r="P14" s="4"/>
      <c r="Q14" s="50" t="s">
        <v>42</v>
      </c>
      <c r="R14" s="48" t="s">
        <v>43</v>
      </c>
      <c r="S14" t="str">
        <f>IF(Tools!$L$49="Use 141 rule only",I38,IF(Tools!$L$49="Use 141 and 1331 rules",BG15," "))</f>
        <v xml:space="preserve">  </v>
      </c>
      <c r="W14" s="29">
        <f>IF(AO14="  ","  ",IF(AND(AO13="  ",AO15="  "),"?",IF(AO13="  ",1*(AO15-AO14),IF(AO15="  ",1*(AO14-AO13),1*(AO15-AO13)))))</f>
        <v>2</v>
      </c>
      <c r="X14" s="30" t="str">
        <f t="shared" si="4"/>
        <v>WW</v>
      </c>
      <c r="Y14" s="30" t="str">
        <f t="shared" si="5"/>
        <v>-</v>
      </c>
      <c r="Z14" s="29" t="b">
        <f t="shared" si="6"/>
        <v>0</v>
      </c>
      <c r="AA14" s="29" t="b">
        <f t="shared" si="7"/>
        <v>0</v>
      </c>
      <c r="AB14" s="29" t="str">
        <f t="shared" ca="1" si="8"/>
        <v>++</v>
      </c>
      <c r="AC14" s="29">
        <f t="shared" si="34"/>
        <v>11</v>
      </c>
      <c r="AD14" s="29">
        <f t="shared" ca="1" si="9"/>
        <v>11</v>
      </c>
      <c r="AE14" s="29">
        <v>11</v>
      </c>
      <c r="AF14" s="31">
        <f t="shared" si="42"/>
        <v>7</v>
      </c>
      <c r="AG14" s="29" t="b">
        <f t="shared" si="11"/>
        <v>1</v>
      </c>
      <c r="AH14" s="30" t="str">
        <f ca="1">IF(AND(AG14=TRUE,$AH$1=1),"141-4",IF(AG14=" ",IF(AND($AH$1=2,AF14=3),"141-1","-"),IF(OR(AG14=FALSE,AG14=" "),"-",IF(AG14=TRUE,IF(AND($AH$1=2,AF14=1),"141-1",IF(AND($AH$1=2,AF14=2),"141-4",IF(OR(ISODD($AH$1),AF14&gt;4),IF(AF14=1,"141-1",IF(OR(AB14="141-1",AB14="1331-1",AB14="1331-1,141-1"),"141-1",IF(AG15=" ","141-1",IF(OR(AH13="141-1",AH13="141-2",AH13="1331-1,141-1"),"141-4",IF(AH13="141-4","141-2","$$"))))),IF(ISEVEN($AH$1),IF(AF14=1,"1331-1",IF(OR(AF14=2,AF14=3),"1331-3",IF(AF14=4,IF($AH$1=4,"1331-1","1331-1,141-1"),"")))))))))))</f>
        <v>141-2</v>
      </c>
      <c r="AI14" s="30" t="str">
        <f t="shared" ca="1" si="13"/>
        <v/>
      </c>
      <c r="AJ14" s="29">
        <f t="shared" ca="1" si="14"/>
        <v>0</v>
      </c>
      <c r="AK14" s="29" t="str">
        <f t="shared" ca="1" si="15"/>
        <v>2/3</v>
      </c>
      <c r="AL14" s="29">
        <f t="shared" ca="1" si="16"/>
        <v>0.66666666666666663</v>
      </c>
      <c r="AM14" s="32">
        <f t="shared" ca="1" si="35"/>
        <v>0.66666666666666663</v>
      </c>
      <c r="AO14" s="20">
        <f>Tools!$AD13</f>
        <v>8</v>
      </c>
      <c r="AP14" s="33" t="str">
        <f t="shared" si="36"/>
        <v xml:space="preserve">  </v>
      </c>
      <c r="AQ14" s="34" t="str">
        <f t="shared" ca="1" si="18"/>
        <v>2/3</v>
      </c>
      <c r="AR14" s="23" t="str">
        <f t="shared" ca="1" si="19"/>
        <v xml:space="preserve">  </v>
      </c>
      <c r="AS14" s="24">
        <f t="shared" si="20"/>
        <v>-2</v>
      </c>
      <c r="AT14" s="23" t="str">
        <f t="shared" ca="1" si="37"/>
        <v xml:space="preserve">  </v>
      </c>
      <c r="AU14" s="23" t="str">
        <f t="shared" ca="1" si="40"/>
        <v xml:space="preserve">  </v>
      </c>
      <c r="AV14" s="23" t="str">
        <f t="shared" si="21"/>
        <v xml:space="preserve">  </v>
      </c>
      <c r="AW14" s="23" t="str">
        <f t="shared" ca="1" si="22"/>
        <v xml:space="preserve">  </v>
      </c>
      <c r="AY14" s="35" t="str">
        <f t="shared" si="23"/>
        <v xml:space="preserve"> </v>
      </c>
      <c r="AZ14" s="23" t="str">
        <f t="shared" ca="1" si="41"/>
        <v xml:space="preserve">  </v>
      </c>
      <c r="BA14" s="36" t="str">
        <f t="shared" si="25"/>
        <v xml:space="preserve"> </v>
      </c>
      <c r="BB14" s="27" t="str">
        <f t="shared" ca="1" si="38"/>
        <v xml:space="preserve">  </v>
      </c>
      <c r="BC14" s="23" t="str">
        <f t="shared" ca="1" si="39"/>
        <v xml:space="preserve">  </v>
      </c>
      <c r="BE14" s="50" t="s">
        <v>39</v>
      </c>
      <c r="BF14" s="48" t="s">
        <v>40</v>
      </c>
      <c r="BG14" s="49" t="str">
        <f>IF(WL_No="  ","  ",Mmid/AWP)</f>
        <v xml:space="preserve">  </v>
      </c>
    </row>
    <row r="15" spans="1:60" x14ac:dyDescent="0.25">
      <c r="A15" s="20">
        <f>Tools!$AD14</f>
        <v>9</v>
      </c>
      <c r="B15" s="33" t="str">
        <f t="shared" si="0"/>
        <v xml:space="preserve">  </v>
      </c>
      <c r="C15" s="22">
        <f>IF(A15="  ","  ",IF(AND(A14="  ",A16="  "),"?",IF(A14="  ",2*(A16-A15),IF(A16="  ",2*(A15-A14),2*(A16-A14)))))</f>
        <v>4</v>
      </c>
      <c r="D15" s="23" t="str">
        <f t="shared" si="26"/>
        <v xml:space="preserve">  </v>
      </c>
      <c r="E15" s="24">
        <f t="shared" si="1"/>
        <v>-1</v>
      </c>
      <c r="F15" s="23" t="str">
        <f t="shared" si="27"/>
        <v xml:space="preserve">  </v>
      </c>
      <c r="G15" s="23" t="str">
        <f t="shared" si="28"/>
        <v xml:space="preserve">  </v>
      </c>
      <c r="H15" s="23" t="str">
        <f t="shared" si="29"/>
        <v xml:space="preserve">  </v>
      </c>
      <c r="I15" s="23" t="str">
        <f t="shared" si="30"/>
        <v xml:space="preserve">  </v>
      </c>
      <c r="J15" s="4"/>
      <c r="K15" s="37" t="str">
        <f t="shared" si="2"/>
        <v xml:space="preserve"> </v>
      </c>
      <c r="L15" s="23" t="str">
        <f t="shared" si="31"/>
        <v xml:space="preserve">  </v>
      </c>
      <c r="M15" s="38" t="str">
        <f t="shared" si="3"/>
        <v xml:space="preserve"> </v>
      </c>
      <c r="N15" s="27" t="str">
        <f t="shared" si="32"/>
        <v xml:space="preserve">  </v>
      </c>
      <c r="O15" s="23" t="str">
        <f t="shared" si="33"/>
        <v xml:space="preserve">  </v>
      </c>
      <c r="P15" s="4"/>
      <c r="Q15" s="51" t="s">
        <v>44</v>
      </c>
      <c r="R15" s="48" t="s">
        <v>45</v>
      </c>
      <c r="S15" t="str">
        <f>IF(Tools!$L$49="Use 141 rule only",I39,IF(Tools!$L$49="Use 141 and 1331 rules",BG16," "))</f>
        <v xml:space="preserve">  </v>
      </c>
      <c r="W15" s="29">
        <f>IF(AO15="  ","  ",IF(AND(AO14="  ",AO16="  "),"?",IF(AO14="  ",2*(AO16-AO15),IF(AO16="  ",2*(AO15-AO14),2*(AO16-AO14)))))</f>
        <v>4</v>
      </c>
      <c r="X15" s="30" t="str">
        <f t="shared" si="4"/>
        <v>WW</v>
      </c>
      <c r="Y15" s="30" t="str">
        <f t="shared" si="5"/>
        <v>-</v>
      </c>
      <c r="Z15" s="29" t="b">
        <f t="shared" si="6"/>
        <v>0</v>
      </c>
      <c r="AA15" s="29" t="b">
        <f t="shared" si="7"/>
        <v>0</v>
      </c>
      <c r="AB15" s="29" t="str">
        <f t="shared" ca="1" si="8"/>
        <v>++</v>
      </c>
      <c r="AC15" s="29">
        <f t="shared" si="34"/>
        <v>12</v>
      </c>
      <c r="AD15" s="29">
        <f t="shared" ca="1" si="9"/>
        <v>12</v>
      </c>
      <c r="AE15" s="29">
        <v>12</v>
      </c>
      <c r="AF15" s="31">
        <f t="shared" si="42"/>
        <v>8</v>
      </c>
      <c r="AG15" s="29" t="b">
        <f t="shared" si="11"/>
        <v>1</v>
      </c>
      <c r="AH15" s="30" t="str">
        <f t="shared" ref="AH15:AH28" ca="1" si="43">IF(AND(AG15=TRUE,$AH$1=1),"141-4",IF(AG15=" ",IF(AND($AH$1=2,AF15=3),"141-1","-"),IF(OR(AG15=FALSE,AG15=" "),"-",IF(AG15=TRUE,IF(AND($AH$1=2,AF15=1),"141-1",IF(AND($AH$1=2,AF15=2),"141-4",IF(OR(ISODD($AH$1),AF15&gt;4),IF(AF15=1,"141-1",IF(OR(AB15="141-1",AB15="1331-1",AB15="1331-1,141-1"),"141-1",IF(AG16=" ","141-1",IF(OR(AH14="141-1",AH14="141-2",AH14="1331-1,141-1"),"141-4",IF(AH14="141-4","141-2","$$"))))),IF(ISEVEN($AH$1),IF(AF15=1,"1331-1",IF(OR(AF15=2,AF15=3),"1331-3",IF(AF15=4,IF($AH$1=4,"1331-1","1331-1,141-1"),"")))))))))))</f>
        <v>141-4</v>
      </c>
      <c r="AI15" s="30" t="str">
        <f t="shared" ca="1" si="13"/>
        <v/>
      </c>
      <c r="AJ15" s="29">
        <f t="shared" ca="1" si="14"/>
        <v>0</v>
      </c>
      <c r="AK15" s="29" t="str">
        <f t="shared" ca="1" si="15"/>
        <v>4/3</v>
      </c>
      <c r="AL15" s="29">
        <f t="shared" ca="1" si="16"/>
        <v>1.3333333333333333</v>
      </c>
      <c r="AM15" s="32">
        <f t="shared" ca="1" si="35"/>
        <v>1.3333333333333333</v>
      </c>
      <c r="AO15" s="20">
        <f>Tools!$AD14</f>
        <v>9</v>
      </c>
      <c r="AP15" s="33" t="str">
        <f t="shared" si="36"/>
        <v xml:space="preserve">  </v>
      </c>
      <c r="AQ15" s="34" t="str">
        <f t="shared" ca="1" si="18"/>
        <v>4/3</v>
      </c>
      <c r="AR15" s="23" t="str">
        <f t="shared" ca="1" si="19"/>
        <v xml:space="preserve">  </v>
      </c>
      <c r="AS15" s="24">
        <f t="shared" si="20"/>
        <v>-1</v>
      </c>
      <c r="AT15" s="23" t="str">
        <f t="shared" ca="1" si="37"/>
        <v xml:space="preserve">  </v>
      </c>
      <c r="AU15" s="23" t="str">
        <f t="shared" ca="1" si="40"/>
        <v xml:space="preserve">  </v>
      </c>
      <c r="AV15" s="23" t="str">
        <f t="shared" si="21"/>
        <v xml:space="preserve">  </v>
      </c>
      <c r="AW15" s="23" t="str">
        <f t="shared" ca="1" si="22"/>
        <v xml:space="preserve">  </v>
      </c>
      <c r="AY15" s="35" t="str">
        <f t="shared" si="23"/>
        <v xml:space="preserve"> </v>
      </c>
      <c r="AZ15" s="23" t="str">
        <f t="shared" ca="1" si="41"/>
        <v xml:space="preserve">  </v>
      </c>
      <c r="BA15" s="36" t="str">
        <f t="shared" si="25"/>
        <v xml:space="preserve"> </v>
      </c>
      <c r="BB15" s="27" t="str">
        <f ca="1">IFERROR(BA15*AM15,"  ")</f>
        <v xml:space="preserve">  </v>
      </c>
      <c r="BC15" s="23" t="str">
        <f t="shared" ca="1" si="39"/>
        <v xml:space="preserve">  </v>
      </c>
      <c r="BE15" s="50" t="s">
        <v>42</v>
      </c>
      <c r="BF15" s="48" t="s">
        <v>46</v>
      </c>
      <c r="BG15" s="49" t="str">
        <f>IF(WL_No="  ","  ",2*(h^3)*$AU$29)</f>
        <v xml:space="preserve">  </v>
      </c>
    </row>
    <row r="16" spans="1:60" x14ac:dyDescent="0.25">
      <c r="A16" s="20">
        <f>Tools!$AD15</f>
        <v>10</v>
      </c>
      <c r="B16" s="33" t="str">
        <f t="shared" si="0"/>
        <v xml:space="preserve">  </v>
      </c>
      <c r="C16" s="22">
        <f>IF(A16="  ","  ",IF(AND(A15="  ",A17="  "),"?",IF(A15="  ",1*(A17-A16),IF(A17="  ",1*(A16-A15),1*(A17-A15)))))</f>
        <v>2</v>
      </c>
      <c r="D16" s="23" t="str">
        <f t="shared" si="26"/>
        <v xml:space="preserve">  </v>
      </c>
      <c r="E16" s="24">
        <f t="shared" si="1"/>
        <v>0</v>
      </c>
      <c r="F16" s="23" t="str">
        <f t="shared" si="27"/>
        <v xml:space="preserve">  </v>
      </c>
      <c r="G16" s="23" t="str">
        <f t="shared" si="28"/>
        <v xml:space="preserve">  </v>
      </c>
      <c r="H16" s="23" t="str">
        <f t="shared" si="29"/>
        <v xml:space="preserve">  </v>
      </c>
      <c r="I16" s="23" t="str">
        <f t="shared" si="30"/>
        <v xml:space="preserve">  </v>
      </c>
      <c r="J16" s="4"/>
      <c r="K16" s="37" t="str">
        <f t="shared" si="2"/>
        <v xml:space="preserve"> </v>
      </c>
      <c r="L16" s="23" t="str">
        <f t="shared" si="31"/>
        <v xml:space="preserve">  </v>
      </c>
      <c r="M16" s="38" t="str">
        <f t="shared" si="3"/>
        <v xml:space="preserve"> </v>
      </c>
      <c r="N16" s="27" t="str">
        <f t="shared" si="32"/>
        <v xml:space="preserve">  </v>
      </c>
      <c r="O16" s="23" t="str">
        <f t="shared" si="33"/>
        <v xml:space="preserve">  </v>
      </c>
      <c r="P16" s="4"/>
      <c r="Q16" s="50" t="s">
        <v>47</v>
      </c>
      <c r="R16" s="48" t="s">
        <v>48</v>
      </c>
      <c r="S16" t="str">
        <f>IF(Tools!$L$49="Use 141 rule only",I40,IF(Tools!$L$49="Use 141 and 1331 rules",BG17," "))</f>
        <v xml:space="preserve">  </v>
      </c>
      <c r="W16" s="29">
        <f>IF(AO16="  ","  ",IF(AND(AO15="  ",AO17="  "),"?",IF(AO15="  ",1*(AO17-AO16),IF(AO17="  ",1*(AO16-AO15),1*(AO17-AO15)))))</f>
        <v>2</v>
      </c>
      <c r="X16" s="30" t="str">
        <f t="shared" si="4"/>
        <v>WW</v>
      </c>
      <c r="Y16" s="30" t="str">
        <f t="shared" si="5"/>
        <v>-</v>
      </c>
      <c r="Z16" s="29" t="b">
        <f t="shared" si="6"/>
        <v>0</v>
      </c>
      <c r="AA16" s="29" t="b">
        <f t="shared" si="7"/>
        <v>0</v>
      </c>
      <c r="AB16" s="29" t="str">
        <f t="shared" ca="1" si="8"/>
        <v>++</v>
      </c>
      <c r="AC16" s="29">
        <f t="shared" si="34"/>
        <v>13</v>
      </c>
      <c r="AD16" s="29">
        <f t="shared" ca="1" si="9"/>
        <v>13</v>
      </c>
      <c r="AE16" s="29">
        <v>13</v>
      </c>
      <c r="AF16" s="31">
        <f t="shared" si="42"/>
        <v>9</v>
      </c>
      <c r="AG16" s="29" t="b">
        <f t="shared" si="11"/>
        <v>1</v>
      </c>
      <c r="AH16" s="30" t="str">
        <f t="shared" ca="1" si="43"/>
        <v>141-2</v>
      </c>
      <c r="AI16" s="30" t="str">
        <f t="shared" ca="1" si="13"/>
        <v/>
      </c>
      <c r="AJ16" s="29">
        <f t="shared" ca="1" si="14"/>
        <v>0</v>
      </c>
      <c r="AK16" s="29" t="str">
        <f t="shared" ca="1" si="15"/>
        <v>2/3</v>
      </c>
      <c r="AL16" s="29">
        <f t="shared" ca="1" si="16"/>
        <v>0.66666666666666663</v>
      </c>
      <c r="AM16" s="32">
        <f t="shared" ca="1" si="35"/>
        <v>0.66666666666666663</v>
      </c>
      <c r="AO16" s="20">
        <f>Tools!$AD15</f>
        <v>10</v>
      </c>
      <c r="AP16" s="33" t="str">
        <f t="shared" si="36"/>
        <v xml:space="preserve">  </v>
      </c>
      <c r="AQ16" s="34" t="str">
        <f t="shared" ca="1" si="18"/>
        <v>2/3</v>
      </c>
      <c r="AR16" s="23" t="str">
        <f t="shared" ca="1" si="19"/>
        <v xml:space="preserve">  </v>
      </c>
      <c r="AS16" s="24">
        <f t="shared" si="20"/>
        <v>0</v>
      </c>
      <c r="AT16" s="23" t="str">
        <f t="shared" ca="1" si="37"/>
        <v xml:space="preserve">  </v>
      </c>
      <c r="AU16" s="23" t="str">
        <f t="shared" ca="1" si="40"/>
        <v xml:space="preserve">  </v>
      </c>
      <c r="AV16" s="23" t="str">
        <f t="shared" si="21"/>
        <v xml:space="preserve">  </v>
      </c>
      <c r="AW16" s="23" t="str">
        <f t="shared" ca="1" si="22"/>
        <v xml:space="preserve">  </v>
      </c>
      <c r="AY16" s="35" t="str">
        <f t="shared" si="23"/>
        <v xml:space="preserve"> </v>
      </c>
      <c r="AZ16" s="23" t="str">
        <f t="shared" ca="1" si="41"/>
        <v xml:space="preserve">  </v>
      </c>
      <c r="BA16" s="36" t="str">
        <f t="shared" si="25"/>
        <v xml:space="preserve"> </v>
      </c>
      <c r="BB16" s="27" t="str">
        <f t="shared" ca="1" si="38"/>
        <v xml:space="preserve">  </v>
      </c>
      <c r="BC16" s="23" t="str">
        <f ca="1">IFERROR(AZ16*AS16,"  ")</f>
        <v xml:space="preserve">  </v>
      </c>
      <c r="BE16" s="51" t="s">
        <v>44</v>
      </c>
      <c r="BF16" s="48" t="s">
        <v>49</v>
      </c>
      <c r="BG16" s="49" t="str">
        <f>IF(WL_No="  ","  ",2/3*h*$AW$29)</f>
        <v xml:space="preserve">  </v>
      </c>
    </row>
    <row r="17" spans="1:59" x14ac:dyDescent="0.25">
      <c r="A17" s="20">
        <f>Tools!$AD16</f>
        <v>11</v>
      </c>
      <c r="B17" s="33" t="str">
        <f t="shared" si="0"/>
        <v xml:space="preserve">  </v>
      </c>
      <c r="C17" s="22">
        <f>IF(A17="  ","  ",IF(AND(A16="  ",A18="  "),"?",IF(A16="  ",2*(A18-A17),IF(A18="  ",2*(A17-A16),2*(A18-A16)))))</f>
        <v>4</v>
      </c>
      <c r="D17" s="23" t="str">
        <f t="shared" si="26"/>
        <v xml:space="preserve">  </v>
      </c>
      <c r="E17" s="24">
        <f t="shared" si="1"/>
        <v>1</v>
      </c>
      <c r="F17" s="23" t="str">
        <f t="shared" si="27"/>
        <v xml:space="preserve">  </v>
      </c>
      <c r="G17" s="23" t="str">
        <f t="shared" si="28"/>
        <v xml:space="preserve">  </v>
      </c>
      <c r="H17" s="23" t="str">
        <f t="shared" si="29"/>
        <v xml:space="preserve">  </v>
      </c>
      <c r="I17" s="23" t="str">
        <f t="shared" si="30"/>
        <v xml:space="preserve">  </v>
      </c>
      <c r="J17" s="4"/>
      <c r="K17" s="37" t="str">
        <f t="shared" si="2"/>
        <v xml:space="preserve"> </v>
      </c>
      <c r="L17" s="23" t="str">
        <f t="shared" si="31"/>
        <v xml:space="preserve">  </v>
      </c>
      <c r="M17" s="38" t="str">
        <f t="shared" si="3"/>
        <v xml:space="preserve"> </v>
      </c>
      <c r="N17" s="27" t="str">
        <f t="shared" si="32"/>
        <v xml:space="preserve">  </v>
      </c>
      <c r="O17" s="23" t="str">
        <f t="shared" si="33"/>
        <v xml:space="preserve">  </v>
      </c>
      <c r="P17" s="4"/>
      <c r="Q17" s="50" t="s">
        <v>50</v>
      </c>
      <c r="R17" s="48" t="s">
        <v>51</v>
      </c>
      <c r="S17" t="str">
        <f>IF(Tools!$L$49="Use 141 rule only",I41,IF(Tools!$L$49="Use 141 and 1331 rules",BG18," "))</f>
        <v xml:space="preserve">  </v>
      </c>
      <c r="W17" s="29">
        <f>IF(AO17="  ","  ",IF(AND(AO16="  ",AO18="  "),"?",IF(AO16="  ",2*(AO18-AO17),IF(AO18="  ",2*(AO17-AO16),2*(AO18-AO16)))))</f>
        <v>4</v>
      </c>
      <c r="X17" s="30" t="str">
        <f t="shared" si="4"/>
        <v>WW</v>
      </c>
      <c r="Y17" s="30" t="str">
        <f t="shared" si="5"/>
        <v>-</v>
      </c>
      <c r="Z17" s="29" t="b">
        <f t="shared" si="6"/>
        <v>0</v>
      </c>
      <c r="AA17" s="29" t="b">
        <f t="shared" si="7"/>
        <v>0</v>
      </c>
      <c r="AB17" s="29" t="str">
        <f t="shared" ca="1" si="8"/>
        <v>++</v>
      </c>
      <c r="AC17" s="29">
        <f t="shared" si="34"/>
        <v>12</v>
      </c>
      <c r="AD17" s="29">
        <f t="shared" ca="1" si="9"/>
        <v>12</v>
      </c>
      <c r="AE17" s="29">
        <v>14</v>
      </c>
      <c r="AF17" s="31">
        <f t="shared" si="42"/>
        <v>10</v>
      </c>
      <c r="AG17" s="29" t="b">
        <f t="shared" si="11"/>
        <v>1</v>
      </c>
      <c r="AH17" s="30" t="str">
        <f t="shared" ca="1" si="43"/>
        <v>141-4</v>
      </c>
      <c r="AI17" s="30" t="str">
        <f t="shared" ca="1" si="13"/>
        <v/>
      </c>
      <c r="AJ17" s="29">
        <f t="shared" ca="1" si="14"/>
        <v>0</v>
      </c>
      <c r="AK17" s="29" t="str">
        <f t="shared" ca="1" si="15"/>
        <v>4/3</v>
      </c>
      <c r="AL17" s="29">
        <f t="shared" ca="1" si="16"/>
        <v>1.3333333333333333</v>
      </c>
      <c r="AM17" s="32">
        <f t="shared" ca="1" si="35"/>
        <v>1.3333333333333333</v>
      </c>
      <c r="AO17" s="20">
        <f>Tools!$AD16</f>
        <v>11</v>
      </c>
      <c r="AP17" s="33" t="str">
        <f t="shared" si="36"/>
        <v xml:space="preserve">  </v>
      </c>
      <c r="AQ17" s="34" t="str">
        <f t="shared" ca="1" si="18"/>
        <v>4/3</v>
      </c>
      <c r="AR17" s="23" t="str">
        <f t="shared" ca="1" si="19"/>
        <v xml:space="preserve">  </v>
      </c>
      <c r="AS17" s="24">
        <f t="shared" si="20"/>
        <v>1</v>
      </c>
      <c r="AT17" s="23" t="str">
        <f t="shared" ca="1" si="37"/>
        <v xml:space="preserve">  </v>
      </c>
      <c r="AU17" s="23" t="str">
        <f t="shared" ca="1" si="40"/>
        <v xml:space="preserve">  </v>
      </c>
      <c r="AV17" s="23" t="str">
        <f t="shared" si="21"/>
        <v xml:space="preserve">  </v>
      </c>
      <c r="AW17" s="23" t="str">
        <f t="shared" ca="1" si="22"/>
        <v xml:space="preserve">  </v>
      </c>
      <c r="AY17" s="35" t="str">
        <f t="shared" si="23"/>
        <v xml:space="preserve"> </v>
      </c>
      <c r="AZ17" s="23" t="str">
        <f t="shared" ca="1" si="41"/>
        <v xml:space="preserve">  </v>
      </c>
      <c r="BA17" s="36" t="str">
        <f t="shared" si="25"/>
        <v xml:space="preserve"> </v>
      </c>
      <c r="BB17" s="27" t="str">
        <f t="shared" ca="1" si="38"/>
        <v xml:space="preserve">  </v>
      </c>
      <c r="BC17" s="23" t="str">
        <f t="shared" ca="1" si="39"/>
        <v xml:space="preserve">  </v>
      </c>
      <c r="BE17" s="50" t="s">
        <v>47</v>
      </c>
      <c r="BF17" s="48" t="s">
        <v>48</v>
      </c>
      <c r="BG17" s="49" t="str">
        <f>IF(WL_No="  ","  ",IL-AWP*(LCF^2))</f>
        <v xml:space="preserve">  </v>
      </c>
    </row>
    <row r="18" spans="1:59" x14ac:dyDescent="0.25">
      <c r="A18" s="20">
        <f>Tools!$AD17</f>
        <v>12</v>
      </c>
      <c r="B18" s="33" t="str">
        <f t="shared" si="0"/>
        <v xml:space="preserve">  </v>
      </c>
      <c r="C18" s="22">
        <f>IF(A18="  ","  ",IF(AND(A17="  ",A19="  "),"?",IF(A17="  ",1*(A19-A18),IF(A19="  ",1*(A18-A17),1*(A19-A17)))))</f>
        <v>2</v>
      </c>
      <c r="D18" s="23" t="str">
        <f t="shared" si="26"/>
        <v xml:space="preserve">  </v>
      </c>
      <c r="E18" s="24">
        <f t="shared" si="1"/>
        <v>2</v>
      </c>
      <c r="F18" s="23" t="str">
        <f t="shared" si="27"/>
        <v xml:space="preserve">  </v>
      </c>
      <c r="G18" s="23" t="str">
        <f t="shared" si="28"/>
        <v xml:space="preserve">  </v>
      </c>
      <c r="H18" s="23" t="str">
        <f t="shared" si="29"/>
        <v xml:space="preserve">  </v>
      </c>
      <c r="I18" s="23" t="str">
        <f t="shared" si="30"/>
        <v xml:space="preserve">  </v>
      </c>
      <c r="J18" s="4"/>
      <c r="K18" s="37" t="str">
        <f t="shared" si="2"/>
        <v xml:space="preserve"> </v>
      </c>
      <c r="L18" s="23" t="str">
        <f t="shared" si="31"/>
        <v xml:space="preserve">  </v>
      </c>
      <c r="M18" s="38" t="str">
        <f t="shared" si="3"/>
        <v xml:space="preserve"> </v>
      </c>
      <c r="N18" s="27" t="str">
        <f t="shared" si="32"/>
        <v xml:space="preserve">  </v>
      </c>
      <c r="O18" s="23" t="str">
        <f t="shared" si="33"/>
        <v xml:space="preserve">  </v>
      </c>
      <c r="P18" s="4"/>
      <c r="Q18" s="50" t="s">
        <v>52</v>
      </c>
      <c r="R18" s="48" t="s">
        <v>53</v>
      </c>
      <c r="S18" t="str">
        <f>IF(Tools!$L$49="Use 141 rule only",I42,IF(Tools!$L$49="Use 141 and 1331 rules",BG19," "))</f>
        <v xml:space="preserve">  </v>
      </c>
      <c r="W18" s="29">
        <f>IF(AO18="  ","  ",IF(AND(AO17="  ",AO19="  "),"?",IF(AO17="  ",1*(AO19-AO18),IF(AO19="  ",1*(AO18-AO17),1*(AO19-AO17)))))</f>
        <v>2</v>
      </c>
      <c r="X18" s="30" t="str">
        <f t="shared" si="4"/>
        <v>WW</v>
      </c>
      <c r="Y18" s="30" t="str">
        <f t="shared" si="5"/>
        <v>-</v>
      </c>
      <c r="Z18" s="29" t="b">
        <f t="shared" si="6"/>
        <v>0</v>
      </c>
      <c r="AA18" s="29" t="b">
        <f t="shared" si="7"/>
        <v>0</v>
      </c>
      <c r="AB18" s="29" t="str">
        <f t="shared" ca="1" si="8"/>
        <v>++</v>
      </c>
      <c r="AC18" s="29">
        <f t="shared" si="34"/>
        <v>11</v>
      </c>
      <c r="AD18" s="29">
        <f t="shared" ca="1" si="9"/>
        <v>11</v>
      </c>
      <c r="AE18" s="29">
        <v>15</v>
      </c>
      <c r="AF18" s="31">
        <f t="shared" si="42"/>
        <v>11</v>
      </c>
      <c r="AG18" s="29" t="b">
        <f t="shared" si="11"/>
        <v>1</v>
      </c>
      <c r="AH18" s="30" t="str">
        <f t="shared" ca="1" si="43"/>
        <v>141-2</v>
      </c>
      <c r="AI18" s="30" t="str">
        <f t="shared" ca="1" si="13"/>
        <v/>
      </c>
      <c r="AJ18" s="29">
        <f t="shared" ca="1" si="14"/>
        <v>0</v>
      </c>
      <c r="AK18" s="29" t="str">
        <f t="shared" ca="1" si="15"/>
        <v>2/3</v>
      </c>
      <c r="AL18" s="29">
        <f t="shared" ca="1" si="16"/>
        <v>0.66666666666666663</v>
      </c>
      <c r="AM18" s="32">
        <f t="shared" ca="1" si="35"/>
        <v>0.66666666666666663</v>
      </c>
      <c r="AO18" s="20">
        <f>Tools!$AD17</f>
        <v>12</v>
      </c>
      <c r="AP18" s="33" t="str">
        <f t="shared" si="36"/>
        <v xml:space="preserve">  </v>
      </c>
      <c r="AQ18" s="34" t="str">
        <f t="shared" ca="1" si="18"/>
        <v>2/3</v>
      </c>
      <c r="AR18" s="23" t="str">
        <f t="shared" ca="1" si="19"/>
        <v xml:space="preserve">  </v>
      </c>
      <c r="AS18" s="24">
        <f t="shared" si="20"/>
        <v>2</v>
      </c>
      <c r="AT18" s="23" t="str">
        <f t="shared" ca="1" si="37"/>
        <v xml:space="preserve">  </v>
      </c>
      <c r="AU18" s="23" t="str">
        <f t="shared" ca="1" si="40"/>
        <v xml:space="preserve">  </v>
      </c>
      <c r="AV18" s="23" t="str">
        <f t="shared" si="21"/>
        <v xml:space="preserve">  </v>
      </c>
      <c r="AW18" s="23" t="str">
        <f t="shared" ca="1" si="22"/>
        <v xml:space="preserve">  </v>
      </c>
      <c r="AY18" s="35" t="str">
        <f t="shared" si="23"/>
        <v xml:space="preserve"> </v>
      </c>
      <c r="AZ18" s="23" t="str">
        <f t="shared" ca="1" si="41"/>
        <v xml:space="preserve">  </v>
      </c>
      <c r="BA18" s="36" t="str">
        <f t="shared" si="25"/>
        <v xml:space="preserve"> </v>
      </c>
      <c r="BB18" s="27" t="str">
        <f t="shared" ca="1" si="38"/>
        <v xml:space="preserve">  </v>
      </c>
      <c r="BC18" s="23" t="str">
        <f t="shared" ca="1" si="39"/>
        <v xml:space="preserve">  </v>
      </c>
      <c r="BE18" s="50" t="s">
        <v>50</v>
      </c>
      <c r="BF18" s="48" t="s">
        <v>54</v>
      </c>
      <c r="BG18" s="49" t="str">
        <f>IF(WL_No="  ","  ",h*$AZ$29)</f>
        <v xml:space="preserve">  </v>
      </c>
    </row>
    <row r="19" spans="1:59" x14ac:dyDescent="0.25">
      <c r="A19" s="20">
        <f>Tools!$AD18</f>
        <v>13</v>
      </c>
      <c r="B19" s="33" t="str">
        <f t="shared" si="0"/>
        <v xml:space="preserve">  </v>
      </c>
      <c r="C19" s="22">
        <f>IF(A19="  ","  ",IF(AND(A18="  ",A20="  "),"?",IF(A18="  ",2*(A20-A19),IF(A20="  ",2*(A19-A18),2*(A20-A18)))))</f>
        <v>4</v>
      </c>
      <c r="D19" s="23" t="str">
        <f t="shared" si="26"/>
        <v xml:space="preserve">  </v>
      </c>
      <c r="E19" s="24">
        <f t="shared" si="1"/>
        <v>3</v>
      </c>
      <c r="F19" s="23" t="str">
        <f t="shared" si="27"/>
        <v xml:space="preserve">  </v>
      </c>
      <c r="G19" s="23" t="str">
        <f t="shared" si="28"/>
        <v xml:space="preserve">  </v>
      </c>
      <c r="H19" s="23" t="str">
        <f t="shared" si="29"/>
        <v xml:space="preserve">  </v>
      </c>
      <c r="I19" s="23" t="str">
        <f t="shared" si="30"/>
        <v xml:space="preserve">  </v>
      </c>
      <c r="J19" s="4"/>
      <c r="K19" s="37" t="str">
        <f t="shared" si="2"/>
        <v xml:space="preserve"> </v>
      </c>
      <c r="L19" s="23" t="str">
        <f t="shared" si="31"/>
        <v xml:space="preserve">  </v>
      </c>
      <c r="M19" s="38" t="str">
        <f t="shared" si="3"/>
        <v xml:space="preserve"> </v>
      </c>
      <c r="N19" s="27" t="str">
        <f t="shared" si="32"/>
        <v xml:space="preserve">  </v>
      </c>
      <c r="O19" s="23" t="str">
        <f t="shared" si="33"/>
        <v xml:space="preserve">  </v>
      </c>
      <c r="P19" s="4"/>
      <c r="Q19" s="50" t="s">
        <v>55</v>
      </c>
      <c r="R19" s="48" t="s">
        <v>56</v>
      </c>
      <c r="S19" t="str">
        <f>IF(Tools!$L$49="Use 141 rule only",I43,IF(Tools!$L$49="Use 141 and 1331 rules",BG20," "))</f>
        <v xml:space="preserve">  </v>
      </c>
      <c r="W19" s="29">
        <f>IF(AO19="  ","  ",IF(AND(AO18="  ",AO20="  "),"?",IF(AO18="  ",2*(AO20-AO19),IF(AO20="  ",2*(AO19-AO18),2*(AO20-AO18)))))</f>
        <v>4</v>
      </c>
      <c r="X19" s="30" t="str">
        <f t="shared" si="4"/>
        <v>WW</v>
      </c>
      <c r="Y19" s="30" t="str">
        <f t="shared" si="5"/>
        <v>-</v>
      </c>
      <c r="Z19" s="29" t="b">
        <f t="shared" si="6"/>
        <v>0</v>
      </c>
      <c r="AA19" s="29" t="b">
        <f t="shared" si="7"/>
        <v>0</v>
      </c>
      <c r="AB19" s="29" t="str">
        <f t="shared" ca="1" si="8"/>
        <v>++</v>
      </c>
      <c r="AC19" s="29">
        <f t="shared" si="34"/>
        <v>10</v>
      </c>
      <c r="AD19" s="29">
        <f t="shared" ca="1" si="9"/>
        <v>10</v>
      </c>
      <c r="AE19" s="29">
        <v>16</v>
      </c>
      <c r="AF19" s="31">
        <f t="shared" si="42"/>
        <v>12</v>
      </c>
      <c r="AG19" s="29" t="b">
        <f t="shared" si="11"/>
        <v>1</v>
      </c>
      <c r="AH19" s="30" t="str">
        <f t="shared" ca="1" si="43"/>
        <v>141-4</v>
      </c>
      <c r="AI19" s="30" t="str">
        <f t="shared" ca="1" si="13"/>
        <v/>
      </c>
      <c r="AJ19" s="29">
        <f t="shared" ca="1" si="14"/>
        <v>0</v>
      </c>
      <c r="AK19" s="29" t="str">
        <f t="shared" ca="1" si="15"/>
        <v>4/3</v>
      </c>
      <c r="AL19" s="29">
        <f t="shared" ca="1" si="16"/>
        <v>1.3333333333333333</v>
      </c>
      <c r="AM19" s="32">
        <f t="shared" ca="1" si="35"/>
        <v>1.3333333333333333</v>
      </c>
      <c r="AO19" s="20">
        <f>Tools!$AD18</f>
        <v>13</v>
      </c>
      <c r="AP19" s="33" t="str">
        <f t="shared" si="36"/>
        <v xml:space="preserve">  </v>
      </c>
      <c r="AQ19" s="34" t="str">
        <f t="shared" ca="1" si="18"/>
        <v>4/3</v>
      </c>
      <c r="AR19" s="23" t="str">
        <f t="shared" ca="1" si="19"/>
        <v xml:space="preserve">  </v>
      </c>
      <c r="AS19" s="24">
        <f t="shared" si="20"/>
        <v>3</v>
      </c>
      <c r="AT19" s="23" t="str">
        <f t="shared" ca="1" si="37"/>
        <v xml:space="preserve">  </v>
      </c>
      <c r="AU19" s="23" t="str">
        <f t="shared" ca="1" si="40"/>
        <v xml:space="preserve">  </v>
      </c>
      <c r="AV19" s="23" t="str">
        <f t="shared" si="21"/>
        <v xml:space="preserve">  </v>
      </c>
      <c r="AW19" s="23" t="str">
        <f t="shared" ca="1" si="22"/>
        <v xml:space="preserve">  </v>
      </c>
      <c r="AY19" s="35" t="str">
        <f t="shared" si="23"/>
        <v xml:space="preserve"> </v>
      </c>
      <c r="AZ19" s="23" t="str">
        <f t="shared" ca="1" si="41"/>
        <v xml:space="preserve">  </v>
      </c>
      <c r="BA19" s="36" t="str">
        <f t="shared" si="25"/>
        <v xml:space="preserve"> </v>
      </c>
      <c r="BB19" s="27" t="str">
        <f t="shared" ca="1" si="38"/>
        <v xml:space="preserve">  </v>
      </c>
      <c r="BC19" s="23" t="str">
        <f t="shared" ca="1" si="39"/>
        <v xml:space="preserve">  </v>
      </c>
      <c r="BE19" s="50" t="s">
        <v>52</v>
      </c>
      <c r="BF19" s="48" t="s">
        <v>53</v>
      </c>
      <c r="BG19" s="49" t="str">
        <f>IF(WL_No="  ","  ",V_Disp*1.025*1.006)</f>
        <v xml:space="preserve">  </v>
      </c>
    </row>
    <row r="20" spans="1:59" x14ac:dyDescent="0.25">
      <c r="A20" s="20">
        <f>Tools!$AD19</f>
        <v>14</v>
      </c>
      <c r="B20" s="33" t="str">
        <f t="shared" si="0"/>
        <v xml:space="preserve">  </v>
      </c>
      <c r="C20" s="22">
        <f>IF(A20="  ","  ",IF(AND(A19="  ",A21="  "),"?",IF(A19="  ",1*(A21-A20),IF(A21="  ",1*(A20-A19),1*(A21-A19)))))</f>
        <v>2</v>
      </c>
      <c r="D20" s="23" t="str">
        <f t="shared" si="26"/>
        <v xml:space="preserve">  </v>
      </c>
      <c r="E20" s="24">
        <f t="shared" si="1"/>
        <v>4</v>
      </c>
      <c r="F20" s="23" t="str">
        <f t="shared" si="27"/>
        <v xml:space="preserve">  </v>
      </c>
      <c r="G20" s="23" t="str">
        <f t="shared" si="28"/>
        <v xml:space="preserve">  </v>
      </c>
      <c r="H20" s="23" t="str">
        <f t="shared" si="29"/>
        <v xml:space="preserve">  </v>
      </c>
      <c r="I20" s="23" t="str">
        <f t="shared" si="30"/>
        <v xml:space="preserve">  </v>
      </c>
      <c r="J20" s="4"/>
      <c r="K20" s="37" t="str">
        <f t="shared" si="2"/>
        <v xml:space="preserve"> </v>
      </c>
      <c r="L20" s="23" t="str">
        <f t="shared" si="31"/>
        <v xml:space="preserve">  </v>
      </c>
      <c r="M20" s="38" t="str">
        <f t="shared" si="3"/>
        <v xml:space="preserve"> </v>
      </c>
      <c r="N20" s="27" t="str">
        <f t="shared" si="32"/>
        <v xml:space="preserve">  </v>
      </c>
      <c r="O20" s="23" t="str">
        <f t="shared" si="33"/>
        <v xml:space="preserve">  </v>
      </c>
      <c r="P20" s="4"/>
      <c r="Q20" s="50" t="s">
        <v>57</v>
      </c>
      <c r="R20" s="48" t="s">
        <v>58</v>
      </c>
      <c r="S20" t="str">
        <f>IF(Tools!$L$49="Use 141 rule only",I44,IF(Tools!$L$49="Use 141 and 1331 rules",BG21," "))</f>
        <v xml:space="preserve">  </v>
      </c>
      <c r="W20" s="29">
        <f>IF(AO20="  ","  ",IF(AND(AO19="  ",AO21="  "),"?",IF(AO19="  ",1*(AO21-AO20),IF(AO21="  ",1*(AO20-AO19),1*(AO21-AO19)))))</f>
        <v>2</v>
      </c>
      <c r="X20" s="30" t="str">
        <f t="shared" si="4"/>
        <v>WW</v>
      </c>
      <c r="Y20" s="30" t="str">
        <f t="shared" si="5"/>
        <v>-</v>
      </c>
      <c r="Z20" s="29" t="b">
        <f t="shared" si="6"/>
        <v>0</v>
      </c>
      <c r="AA20" s="29" t="b">
        <f t="shared" si="7"/>
        <v>0</v>
      </c>
      <c r="AB20" s="29" t="str">
        <f t="shared" ca="1" si="8"/>
        <v>++</v>
      </c>
      <c r="AC20" s="29">
        <f t="shared" si="34"/>
        <v>9</v>
      </c>
      <c r="AD20" s="29">
        <f t="shared" ca="1" si="9"/>
        <v>9</v>
      </c>
      <c r="AE20" s="29">
        <v>17</v>
      </c>
      <c r="AF20" s="31">
        <f t="shared" si="42"/>
        <v>13</v>
      </c>
      <c r="AG20" s="29" t="b">
        <f t="shared" si="11"/>
        <v>1</v>
      </c>
      <c r="AH20" s="30" t="str">
        <f t="shared" ca="1" si="43"/>
        <v>141-2</v>
      </c>
      <c r="AI20" s="30" t="str">
        <f t="shared" ca="1" si="13"/>
        <v/>
      </c>
      <c r="AJ20" s="29">
        <f t="shared" ca="1" si="14"/>
        <v>0</v>
      </c>
      <c r="AK20" s="29" t="str">
        <f t="shared" ca="1" si="15"/>
        <v>2/3</v>
      </c>
      <c r="AL20" s="29">
        <f t="shared" ca="1" si="16"/>
        <v>0.66666666666666663</v>
      </c>
      <c r="AM20" s="32">
        <f t="shared" ca="1" si="35"/>
        <v>0.66666666666666663</v>
      </c>
      <c r="AO20" s="20">
        <f>Tools!$AD19</f>
        <v>14</v>
      </c>
      <c r="AP20" s="33" t="str">
        <f t="shared" si="36"/>
        <v xml:space="preserve">  </v>
      </c>
      <c r="AQ20" s="34" t="str">
        <f t="shared" ca="1" si="18"/>
        <v>2/3</v>
      </c>
      <c r="AR20" s="23" t="str">
        <f t="shared" ca="1" si="19"/>
        <v xml:space="preserve">  </v>
      </c>
      <c r="AS20" s="24">
        <f t="shared" si="20"/>
        <v>4</v>
      </c>
      <c r="AT20" s="23" t="str">
        <f t="shared" ca="1" si="37"/>
        <v xml:space="preserve">  </v>
      </c>
      <c r="AU20" s="23" t="str">
        <f t="shared" ca="1" si="40"/>
        <v xml:space="preserve">  </v>
      </c>
      <c r="AV20" s="23" t="str">
        <f t="shared" si="21"/>
        <v xml:space="preserve">  </v>
      </c>
      <c r="AW20" s="23" t="str">
        <f t="shared" ca="1" si="22"/>
        <v xml:space="preserve">  </v>
      </c>
      <c r="AY20" s="35" t="str">
        <f t="shared" si="23"/>
        <v xml:space="preserve"> </v>
      </c>
      <c r="AZ20" s="23" t="str">
        <f t="shared" ca="1" si="41"/>
        <v xml:space="preserve">  </v>
      </c>
      <c r="BA20" s="36" t="str">
        <f t="shared" si="25"/>
        <v xml:space="preserve"> </v>
      </c>
      <c r="BB20" s="27" t="str">
        <f t="shared" ca="1" si="38"/>
        <v xml:space="preserve">  </v>
      </c>
      <c r="BC20" s="23" t="str">
        <f t="shared" ca="1" si="39"/>
        <v xml:space="preserve">  </v>
      </c>
      <c r="BE20" s="50" t="s">
        <v>55</v>
      </c>
      <c r="BF20" s="48" t="s">
        <v>59</v>
      </c>
      <c r="BG20" s="49" t="str">
        <f>IF(WL_No="  ","  ",h*$BB$29)</f>
        <v xml:space="preserve">  </v>
      </c>
    </row>
    <row r="21" spans="1:59" x14ac:dyDescent="0.25">
      <c r="A21" s="20">
        <f>Tools!$AD20</f>
        <v>15</v>
      </c>
      <c r="B21" s="33" t="str">
        <f t="shared" si="0"/>
        <v xml:space="preserve">  </v>
      </c>
      <c r="C21" s="22">
        <f>IF(A21="  ","  ",IF(AND(A20="  ",A22="  "),"?",IF(A20="  ",2*(A22-A21),IF(A22="  ",2*(A21-A20),2*(A22-A20)))))</f>
        <v>4</v>
      </c>
      <c r="D21" s="23" t="str">
        <f t="shared" si="26"/>
        <v xml:space="preserve">  </v>
      </c>
      <c r="E21" s="24">
        <f t="shared" si="1"/>
        <v>5</v>
      </c>
      <c r="F21" s="23" t="str">
        <f t="shared" si="27"/>
        <v xml:space="preserve">  </v>
      </c>
      <c r="G21" s="23" t="str">
        <f t="shared" si="28"/>
        <v xml:space="preserve">  </v>
      </c>
      <c r="H21" s="23" t="str">
        <f t="shared" si="29"/>
        <v xml:space="preserve">  </v>
      </c>
      <c r="I21" s="23" t="str">
        <f t="shared" si="30"/>
        <v xml:space="preserve">  </v>
      </c>
      <c r="J21" s="4"/>
      <c r="K21" s="37" t="str">
        <f t="shared" si="2"/>
        <v xml:space="preserve"> </v>
      </c>
      <c r="L21" s="23" t="str">
        <f t="shared" si="31"/>
        <v xml:space="preserve">  </v>
      </c>
      <c r="M21" s="38" t="str">
        <f t="shared" si="3"/>
        <v xml:space="preserve"> </v>
      </c>
      <c r="N21" s="27" t="str">
        <f t="shared" si="32"/>
        <v xml:space="preserve">  </v>
      </c>
      <c r="O21" s="23" t="str">
        <f t="shared" si="33"/>
        <v xml:space="preserve">  </v>
      </c>
      <c r="P21" s="4"/>
      <c r="Q21" s="50" t="s">
        <v>60</v>
      </c>
      <c r="R21" s="48" t="s">
        <v>61</v>
      </c>
      <c r="S21" t="str">
        <f>IF(Tools!$L$49="Use 141 rule only",I45,IF(Tools!$L$49="Use 141 and 1331 rules",BG22," "))</f>
        <v xml:space="preserve">  </v>
      </c>
      <c r="W21" s="29">
        <f>IF(AO21="  ","  ",IF(AND(AO20="  ",AO22="  "),"?",IF(AO20="  ",2*(AO22-AO21),IF(AO22="  ",2*(AO21-AO20),2*(AO22-AO20)))))</f>
        <v>4</v>
      </c>
      <c r="X21" s="30" t="str">
        <f t="shared" si="4"/>
        <v>WW</v>
      </c>
      <c r="Y21" s="30" t="str">
        <f t="shared" si="5"/>
        <v>-</v>
      </c>
      <c r="Z21" s="29" t="b">
        <f t="shared" si="6"/>
        <v>0</v>
      </c>
      <c r="AA21" s="29" t="b">
        <f t="shared" si="7"/>
        <v>0</v>
      </c>
      <c r="AB21" s="29" t="str">
        <f t="shared" ca="1" si="8"/>
        <v>++</v>
      </c>
      <c r="AC21" s="29">
        <f t="shared" si="34"/>
        <v>8</v>
      </c>
      <c r="AD21" s="29">
        <f t="shared" ca="1" si="9"/>
        <v>8</v>
      </c>
      <c r="AE21" s="29">
        <v>18</v>
      </c>
      <c r="AF21" s="31">
        <f t="shared" si="42"/>
        <v>14</v>
      </c>
      <c r="AG21" s="29" t="b">
        <f t="shared" si="11"/>
        <v>1</v>
      </c>
      <c r="AH21" s="30" t="str">
        <f t="shared" ca="1" si="43"/>
        <v>141-4</v>
      </c>
      <c r="AI21" s="30" t="str">
        <f t="shared" ca="1" si="13"/>
        <v/>
      </c>
      <c r="AJ21" s="29">
        <f t="shared" ca="1" si="14"/>
        <v>0</v>
      </c>
      <c r="AK21" s="29" t="str">
        <f t="shared" ca="1" si="15"/>
        <v>4/3</v>
      </c>
      <c r="AL21" s="29">
        <f t="shared" ca="1" si="16"/>
        <v>1.3333333333333333</v>
      </c>
      <c r="AM21" s="32">
        <f t="shared" ca="1" si="35"/>
        <v>1.3333333333333333</v>
      </c>
      <c r="AO21" s="20">
        <f>Tools!$AD20</f>
        <v>15</v>
      </c>
      <c r="AP21" s="33" t="str">
        <f t="shared" si="36"/>
        <v xml:space="preserve">  </v>
      </c>
      <c r="AQ21" s="34" t="str">
        <f t="shared" ca="1" si="18"/>
        <v>4/3</v>
      </c>
      <c r="AR21" s="23" t="str">
        <f t="shared" ca="1" si="19"/>
        <v xml:space="preserve">  </v>
      </c>
      <c r="AS21" s="24">
        <f t="shared" si="20"/>
        <v>5</v>
      </c>
      <c r="AT21" s="23" t="str">
        <f t="shared" ca="1" si="37"/>
        <v xml:space="preserve">  </v>
      </c>
      <c r="AU21" s="23" t="str">
        <f t="shared" ca="1" si="40"/>
        <v xml:space="preserve">  </v>
      </c>
      <c r="AV21" s="23" t="str">
        <f t="shared" si="21"/>
        <v xml:space="preserve">  </v>
      </c>
      <c r="AW21" s="23" t="str">
        <f t="shared" ca="1" si="22"/>
        <v xml:space="preserve">  </v>
      </c>
      <c r="AY21" s="35" t="str">
        <f t="shared" si="23"/>
        <v xml:space="preserve"> </v>
      </c>
      <c r="AZ21" s="23" t="str">
        <f t="shared" ca="1" si="41"/>
        <v xml:space="preserve">  </v>
      </c>
      <c r="BA21" s="36" t="str">
        <f t="shared" si="25"/>
        <v xml:space="preserve"> </v>
      </c>
      <c r="BB21" s="27" t="str">
        <f t="shared" ca="1" si="38"/>
        <v xml:space="preserve">  </v>
      </c>
      <c r="BC21" s="23" t="str">
        <f t="shared" ca="1" si="39"/>
        <v xml:space="preserve">  </v>
      </c>
      <c r="BE21" s="50" t="s">
        <v>57</v>
      </c>
      <c r="BF21" s="48" t="s">
        <v>62</v>
      </c>
      <c r="BG21" s="49" t="str">
        <f>IF(WL_No="  ","  ",(h^2)*$BC$29)</f>
        <v xml:space="preserve">  </v>
      </c>
    </row>
    <row r="22" spans="1:59" x14ac:dyDescent="0.25">
      <c r="A22" s="20">
        <f>Tools!$AD21</f>
        <v>16</v>
      </c>
      <c r="B22" s="33" t="str">
        <f t="shared" si="0"/>
        <v xml:space="preserve">  </v>
      </c>
      <c r="C22" s="22">
        <f>IF(A22="  ","  ",IF(AND(A21="  ",A23="  "),"?",IF(A21="  ",1*(A23-A22),IF(A23="  ",1*(A22-A21),1*(A23-A21)))))</f>
        <v>2</v>
      </c>
      <c r="D22" s="23" t="str">
        <f t="shared" si="26"/>
        <v xml:space="preserve">  </v>
      </c>
      <c r="E22" s="24">
        <f t="shared" si="1"/>
        <v>6</v>
      </c>
      <c r="F22" s="23" t="str">
        <f t="shared" si="27"/>
        <v xml:space="preserve">  </v>
      </c>
      <c r="G22" s="23" t="str">
        <f t="shared" si="28"/>
        <v xml:space="preserve">  </v>
      </c>
      <c r="H22" s="23" t="str">
        <f t="shared" si="29"/>
        <v xml:space="preserve">  </v>
      </c>
      <c r="I22" s="23" t="str">
        <f t="shared" si="30"/>
        <v xml:space="preserve">  </v>
      </c>
      <c r="J22" s="4"/>
      <c r="K22" s="37" t="str">
        <f t="shared" si="2"/>
        <v xml:space="preserve"> </v>
      </c>
      <c r="L22" s="23" t="str">
        <f t="shared" si="31"/>
        <v xml:space="preserve">  </v>
      </c>
      <c r="M22" s="38" t="str">
        <f t="shared" si="3"/>
        <v xml:space="preserve"> </v>
      </c>
      <c r="N22" s="27" t="str">
        <f t="shared" si="32"/>
        <v xml:space="preserve">  </v>
      </c>
      <c r="O22" s="23" t="str">
        <f t="shared" si="33"/>
        <v xml:space="preserve">  </v>
      </c>
      <c r="P22" s="4"/>
      <c r="Q22" s="50" t="s">
        <v>63</v>
      </c>
      <c r="R22" s="48" t="s">
        <v>64</v>
      </c>
      <c r="S22" t="str">
        <f>IF(Tools!$L$49="Use 141 rule only",I46,IF(Tools!$L$49="Use 141 and 1331 rules",BG23," "))</f>
        <v xml:space="preserve">  </v>
      </c>
      <c r="W22" s="29">
        <f>IF(AO22="  ","  ",IF(AND(AO21="  ",AO23="  "),"?",IF(AO21="  ",1*(AO23-AO22),IF(AO23="  ",1*(AO22-AO21),1*(AO23-AO21)))))</f>
        <v>2</v>
      </c>
      <c r="X22" s="30" t="str">
        <f t="shared" si="4"/>
        <v>WW</v>
      </c>
      <c r="Y22" s="30" t="str">
        <f t="shared" si="5"/>
        <v>-</v>
      </c>
      <c r="Z22" s="29" t="b">
        <f t="shared" si="6"/>
        <v>0</v>
      </c>
      <c r="AA22" s="29" t="b">
        <f t="shared" si="7"/>
        <v>0</v>
      </c>
      <c r="AB22" s="29" t="str">
        <f t="shared" ca="1" si="8"/>
        <v>++</v>
      </c>
      <c r="AC22" s="29">
        <f t="shared" si="34"/>
        <v>7</v>
      </c>
      <c r="AD22" s="29">
        <f t="shared" ca="1" si="9"/>
        <v>7</v>
      </c>
      <c r="AE22" s="29">
        <v>19</v>
      </c>
      <c r="AF22" s="31">
        <f t="shared" si="42"/>
        <v>15</v>
      </c>
      <c r="AG22" s="29" t="b">
        <f t="shared" si="11"/>
        <v>1</v>
      </c>
      <c r="AH22" s="30" t="str">
        <f t="shared" ca="1" si="43"/>
        <v>141-2</v>
      </c>
      <c r="AI22" s="30" t="str">
        <f t="shared" ca="1" si="13"/>
        <v/>
      </c>
      <c r="AJ22" s="29">
        <f t="shared" ca="1" si="14"/>
        <v>0</v>
      </c>
      <c r="AK22" s="29" t="str">
        <f t="shared" ca="1" si="15"/>
        <v>2/3</v>
      </c>
      <c r="AL22" s="29">
        <f t="shared" ca="1" si="16"/>
        <v>0.66666666666666663</v>
      </c>
      <c r="AM22" s="32">
        <f t="shared" ca="1" si="35"/>
        <v>0.66666666666666663</v>
      </c>
      <c r="AO22" s="20">
        <f>Tools!$AD21</f>
        <v>16</v>
      </c>
      <c r="AP22" s="33" t="str">
        <f t="shared" si="36"/>
        <v xml:space="preserve">  </v>
      </c>
      <c r="AQ22" s="34" t="str">
        <f t="shared" ca="1" si="18"/>
        <v>2/3</v>
      </c>
      <c r="AR22" s="23" t="str">
        <f t="shared" ca="1" si="19"/>
        <v xml:space="preserve">  </v>
      </c>
      <c r="AS22" s="24">
        <f t="shared" si="20"/>
        <v>6</v>
      </c>
      <c r="AT22" s="23" t="str">
        <f t="shared" ca="1" si="37"/>
        <v xml:space="preserve">  </v>
      </c>
      <c r="AU22" s="23" t="str">
        <f t="shared" ca="1" si="40"/>
        <v xml:space="preserve">  </v>
      </c>
      <c r="AV22" s="23" t="str">
        <f t="shared" si="21"/>
        <v xml:space="preserve">  </v>
      </c>
      <c r="AW22" s="23" t="str">
        <f t="shared" ca="1" si="22"/>
        <v xml:space="preserve">  </v>
      </c>
      <c r="AY22" s="35" t="str">
        <f t="shared" si="23"/>
        <v xml:space="preserve"> </v>
      </c>
      <c r="AZ22" s="23" t="str">
        <f t="shared" ca="1" si="41"/>
        <v xml:space="preserve">  </v>
      </c>
      <c r="BA22" s="36" t="str">
        <f t="shared" si="25"/>
        <v xml:space="preserve"> </v>
      </c>
      <c r="BB22" s="27" t="str">
        <f t="shared" ca="1" si="38"/>
        <v xml:space="preserve">  </v>
      </c>
      <c r="BC22" s="23" t="str">
        <f t="shared" ca="1" si="39"/>
        <v xml:space="preserve">  </v>
      </c>
      <c r="BE22" s="50" t="s">
        <v>60</v>
      </c>
      <c r="BF22" s="48" t="s">
        <v>61</v>
      </c>
      <c r="BG22" s="49" t="str">
        <f>IF(WL_No="  ","  ",IF/V_Disp)</f>
        <v xml:space="preserve">  </v>
      </c>
    </row>
    <row r="23" spans="1:59" x14ac:dyDescent="0.25">
      <c r="A23" s="20">
        <f>Tools!$AD22</f>
        <v>17</v>
      </c>
      <c r="B23" s="33" t="str">
        <f t="shared" si="0"/>
        <v xml:space="preserve">  </v>
      </c>
      <c r="C23" s="22">
        <f>IF(A23="  ","  ",IF(AND(A22="  ",A24="  "),"?",IF(A22="  ",2*(A24-A23),IF(A24="  ",2*(A23-A22),2*(A24-A22)))))</f>
        <v>4</v>
      </c>
      <c r="D23" s="23" t="str">
        <f t="shared" si="26"/>
        <v xml:space="preserve">  </v>
      </c>
      <c r="E23" s="24">
        <f t="shared" si="1"/>
        <v>7</v>
      </c>
      <c r="F23" s="23" t="str">
        <f t="shared" si="27"/>
        <v xml:space="preserve">  </v>
      </c>
      <c r="G23" s="23" t="str">
        <f t="shared" si="28"/>
        <v xml:space="preserve">  </v>
      </c>
      <c r="H23" s="23" t="str">
        <f t="shared" si="29"/>
        <v xml:space="preserve">  </v>
      </c>
      <c r="I23" s="23" t="str">
        <f t="shared" si="30"/>
        <v xml:space="preserve">  </v>
      </c>
      <c r="J23" s="4"/>
      <c r="K23" s="37" t="str">
        <f t="shared" si="2"/>
        <v xml:space="preserve"> </v>
      </c>
      <c r="L23" s="23" t="str">
        <f t="shared" si="31"/>
        <v xml:space="preserve">  </v>
      </c>
      <c r="M23" s="38" t="str">
        <f t="shared" si="3"/>
        <v xml:space="preserve"> </v>
      </c>
      <c r="N23" s="27" t="str">
        <f t="shared" si="32"/>
        <v xml:space="preserve">  </v>
      </c>
      <c r="O23" s="23" t="str">
        <f t="shared" si="33"/>
        <v xml:space="preserve">  </v>
      </c>
      <c r="P23" s="4"/>
      <c r="Q23" s="50" t="s">
        <v>65</v>
      </c>
      <c r="R23" s="48" t="s">
        <v>66</v>
      </c>
      <c r="S23" t="str">
        <f>IF(Tools!$L$49="Use 141 rule only",I47,IF(Tools!$L$49="Use 141 and 1331 rules",BG24," "))</f>
        <v xml:space="preserve">  </v>
      </c>
      <c r="W23" s="29">
        <f>IF(AO23="  ","  ",IF(AND(AO22="  ",AO24="  "),"?",IF(AO22="  ",2*(AO24-AO23),IF(AO24="  ",2*(AO23-AO22),2*(AO24-AO22)))))</f>
        <v>4</v>
      </c>
      <c r="X23" s="30" t="str">
        <f t="shared" si="4"/>
        <v>WW</v>
      </c>
      <c r="Y23" s="30" t="str">
        <f t="shared" si="5"/>
        <v>-</v>
      </c>
      <c r="Z23" s="29" t="b">
        <f t="shared" si="6"/>
        <v>0</v>
      </c>
      <c r="AA23" s="29" t="b">
        <f t="shared" si="7"/>
        <v>0</v>
      </c>
      <c r="AB23" s="29" t="str">
        <f t="shared" ca="1" si="8"/>
        <v>++</v>
      </c>
      <c r="AC23" s="29">
        <f t="shared" si="34"/>
        <v>6</v>
      </c>
      <c r="AD23" s="29">
        <f t="shared" ca="1" si="9"/>
        <v>6</v>
      </c>
      <c r="AE23" s="29">
        <v>20</v>
      </c>
      <c r="AF23" s="31">
        <f t="shared" si="42"/>
        <v>16</v>
      </c>
      <c r="AG23" s="29" t="b">
        <f t="shared" si="11"/>
        <v>1</v>
      </c>
      <c r="AH23" s="30" t="str">
        <f t="shared" ca="1" si="43"/>
        <v>141-4</v>
      </c>
      <c r="AI23" s="30" t="str">
        <f t="shared" ca="1" si="13"/>
        <v/>
      </c>
      <c r="AJ23" s="29">
        <f t="shared" ca="1" si="14"/>
        <v>0</v>
      </c>
      <c r="AK23" s="29" t="str">
        <f t="shared" ca="1" si="15"/>
        <v>4/3</v>
      </c>
      <c r="AL23" s="29">
        <f t="shared" ca="1" si="16"/>
        <v>1.3333333333333333</v>
      </c>
      <c r="AM23" s="32">
        <f t="shared" ca="1" si="35"/>
        <v>1.3333333333333333</v>
      </c>
      <c r="AO23" s="20">
        <f>Tools!$AD22</f>
        <v>17</v>
      </c>
      <c r="AP23" s="33" t="str">
        <f t="shared" si="36"/>
        <v xml:space="preserve">  </v>
      </c>
      <c r="AQ23" s="34" t="str">
        <f t="shared" ca="1" si="18"/>
        <v>4/3</v>
      </c>
      <c r="AR23" s="23" t="str">
        <f t="shared" ca="1" si="19"/>
        <v xml:space="preserve">  </v>
      </c>
      <c r="AS23" s="24">
        <f t="shared" si="20"/>
        <v>7</v>
      </c>
      <c r="AT23" s="23" t="str">
        <f t="shared" ca="1" si="37"/>
        <v xml:space="preserve">  </v>
      </c>
      <c r="AU23" s="23" t="str">
        <f t="shared" ca="1" si="40"/>
        <v xml:space="preserve">  </v>
      </c>
      <c r="AV23" s="23" t="str">
        <f t="shared" si="21"/>
        <v xml:space="preserve">  </v>
      </c>
      <c r="AW23" s="23" t="str">
        <f t="shared" ca="1" si="22"/>
        <v xml:space="preserve">  </v>
      </c>
      <c r="AY23" s="35" t="str">
        <f t="shared" si="23"/>
        <v xml:space="preserve"> </v>
      </c>
      <c r="AZ23" s="23" t="str">
        <f t="shared" ca="1" si="41"/>
        <v xml:space="preserve">  </v>
      </c>
      <c r="BA23" s="36" t="str">
        <f t="shared" si="25"/>
        <v xml:space="preserve"> </v>
      </c>
      <c r="BB23" s="27" t="str">
        <f t="shared" ca="1" si="38"/>
        <v xml:space="preserve">  </v>
      </c>
      <c r="BC23" s="23" t="str">
        <f t="shared" ca="1" si="39"/>
        <v xml:space="preserve">  </v>
      </c>
      <c r="BE23" s="50" t="s">
        <v>63</v>
      </c>
      <c r="BF23" s="48" t="s">
        <v>64</v>
      </c>
      <c r="BG23" s="49" t="str">
        <f>IF(WL_No="  ","  ",IT/V_Disp)</f>
        <v xml:space="preserve">  </v>
      </c>
    </row>
    <row r="24" spans="1:59" x14ac:dyDescent="0.25">
      <c r="A24" s="20">
        <f>Tools!$AD23</f>
        <v>18</v>
      </c>
      <c r="B24" s="33" t="str">
        <f t="shared" si="0"/>
        <v xml:space="preserve">  </v>
      </c>
      <c r="C24" s="22">
        <f>IF(A24="  ","  ",IF(AND(A23="  ",A25="  "),"?",IF(A23="  ",1*(A25-A24),IF(A25="  ",1*(A24-A23),1*(A25-A23)))))</f>
        <v>1.5</v>
      </c>
      <c r="D24" s="23" t="str">
        <f t="shared" si="26"/>
        <v xml:space="preserve">  </v>
      </c>
      <c r="E24" s="24">
        <f t="shared" si="1"/>
        <v>8</v>
      </c>
      <c r="F24" s="23" t="str">
        <f t="shared" si="27"/>
        <v xml:space="preserve">  </v>
      </c>
      <c r="G24" s="23" t="str">
        <f t="shared" si="28"/>
        <v xml:space="preserve">  </v>
      </c>
      <c r="H24" s="23" t="str">
        <f t="shared" si="29"/>
        <v xml:space="preserve">  </v>
      </c>
      <c r="I24" s="23" t="str">
        <f t="shared" si="30"/>
        <v xml:space="preserve">  </v>
      </c>
      <c r="J24" s="4"/>
      <c r="K24" s="37" t="str">
        <f t="shared" si="2"/>
        <v xml:space="preserve"> </v>
      </c>
      <c r="L24" s="23" t="str">
        <f t="shared" si="31"/>
        <v xml:space="preserve">  </v>
      </c>
      <c r="M24" s="38" t="str">
        <f t="shared" si="3"/>
        <v xml:space="preserve"> </v>
      </c>
      <c r="N24" s="27" t="str">
        <f t="shared" si="32"/>
        <v xml:space="preserve">  </v>
      </c>
      <c r="O24" s="23" t="str">
        <f t="shared" si="33"/>
        <v xml:space="preserve">  </v>
      </c>
      <c r="P24" s="4"/>
      <c r="Q24" s="50" t="s">
        <v>67</v>
      </c>
      <c r="R24" s="48" t="s">
        <v>68</v>
      </c>
      <c r="S24" t="str">
        <f>IF(Tools!$L$49="Use 141 rule only",I48,IF(Tools!$L$49="Use 141 and 1331 rules",BG25," "))</f>
        <v xml:space="preserve">  </v>
      </c>
      <c r="W24" s="29">
        <f>IF(AO24="  ","  ",IF(AND(AO23="  ",AO25="  "),"?",IF(AO23="  ",1*(AO25-AO24),IF(AO25="  ",1*(AO24-AO23),1*(AO25-AO23)))))</f>
        <v>1.5</v>
      </c>
      <c r="X24" s="30" t="str">
        <f t="shared" si="4"/>
        <v>WD</v>
      </c>
      <c r="Y24" s="30" t="str">
        <f t="shared" si="5"/>
        <v>-</v>
      </c>
      <c r="Z24" s="29" t="b">
        <f t="shared" si="6"/>
        <v>1</v>
      </c>
      <c r="AA24" s="29" t="b">
        <f t="shared" si="7"/>
        <v>1</v>
      </c>
      <c r="AB24" s="29" t="str">
        <f t="shared" ca="1" si="8"/>
        <v>141-1</v>
      </c>
      <c r="AC24" s="29">
        <f t="shared" si="34"/>
        <v>5</v>
      </c>
      <c r="AD24" s="29">
        <f t="shared" ca="1" si="9"/>
        <v>5</v>
      </c>
      <c r="AE24" s="29">
        <v>21</v>
      </c>
      <c r="AF24" s="31">
        <f t="shared" si="42"/>
        <v>17</v>
      </c>
      <c r="AG24" s="29" t="b">
        <f t="shared" si="11"/>
        <v>1</v>
      </c>
      <c r="AH24" s="30" t="str">
        <f t="shared" ca="1" si="43"/>
        <v>141-1</v>
      </c>
      <c r="AI24" s="30" t="str">
        <f t="shared" ca="1" si="13"/>
        <v>(1/2)*(1/3)</v>
      </c>
      <c r="AJ24" s="29">
        <f t="shared" ca="1" si="14"/>
        <v>0.16666666666666666</v>
      </c>
      <c r="AK24" s="29" t="str">
        <f t="shared" ca="1" si="15"/>
        <v>1/3</v>
      </c>
      <c r="AL24" s="29">
        <f t="shared" ca="1" si="16"/>
        <v>0.33333333333333331</v>
      </c>
      <c r="AM24" s="32">
        <f t="shared" ca="1" si="35"/>
        <v>0.5</v>
      </c>
      <c r="AO24" s="20">
        <f>Tools!$AD23</f>
        <v>18</v>
      </c>
      <c r="AP24" s="33" t="str">
        <f t="shared" si="36"/>
        <v xml:space="preserve">  </v>
      </c>
      <c r="AQ24" s="34" t="str">
        <f t="shared" ca="1" si="18"/>
        <v>(1/2)*(1/3)+1/3</v>
      </c>
      <c r="AR24" s="23" t="str">
        <f t="shared" ca="1" si="19"/>
        <v xml:space="preserve">  </v>
      </c>
      <c r="AS24" s="24">
        <f t="shared" si="20"/>
        <v>8</v>
      </c>
      <c r="AT24" s="23" t="str">
        <f t="shared" ca="1" si="37"/>
        <v xml:space="preserve">  </v>
      </c>
      <c r="AU24" s="23" t="str">
        <f t="shared" ca="1" si="40"/>
        <v xml:space="preserve">  </v>
      </c>
      <c r="AV24" s="23" t="str">
        <f t="shared" si="21"/>
        <v xml:space="preserve">  </v>
      </c>
      <c r="AW24" s="23" t="str">
        <f t="shared" ca="1" si="22"/>
        <v xml:space="preserve">  </v>
      </c>
      <c r="AY24" s="35" t="str">
        <f t="shared" si="23"/>
        <v xml:space="preserve"> </v>
      </c>
      <c r="AZ24" s="23" t="str">
        <f t="shared" ca="1" si="41"/>
        <v xml:space="preserve">  </v>
      </c>
      <c r="BA24" s="36" t="str">
        <f t="shared" si="25"/>
        <v xml:space="preserve"> </v>
      </c>
      <c r="BB24" s="27" t="str">
        <f t="shared" ca="1" si="38"/>
        <v xml:space="preserve">  </v>
      </c>
      <c r="BC24" s="23" t="str">
        <f t="shared" ca="1" si="39"/>
        <v xml:space="preserve">  </v>
      </c>
      <c r="BE24" s="50" t="s">
        <v>65</v>
      </c>
      <c r="BF24" s="48" t="s">
        <v>66</v>
      </c>
      <c r="BG24" s="49" t="str">
        <f>IF(WL_No="  ","  ",MT/V_Disp)</f>
        <v xml:space="preserve">  </v>
      </c>
    </row>
    <row r="25" spans="1:59" x14ac:dyDescent="0.25">
      <c r="A25" s="20">
        <f>Tools!$AD24</f>
        <v>18.5</v>
      </c>
      <c r="B25" s="33" t="str">
        <f t="shared" si="0"/>
        <v xml:space="preserve">  </v>
      </c>
      <c r="C25" s="22">
        <f>IF(A25="  ","  ",IF(AND(A24="  ",A26="  "),"?",IF(A24="  ",2*(A26-A25),IF(A26="  ",2*(A25-A24),2*(A26-A24)))))</f>
        <v>2</v>
      </c>
      <c r="D25" s="23" t="str">
        <f t="shared" si="26"/>
        <v xml:space="preserve">  </v>
      </c>
      <c r="E25" s="24">
        <f t="shared" si="1"/>
        <v>8.5</v>
      </c>
      <c r="F25" s="23" t="str">
        <f t="shared" si="27"/>
        <v xml:space="preserve">  </v>
      </c>
      <c r="G25" s="23" t="str">
        <f t="shared" si="28"/>
        <v xml:space="preserve">  </v>
      </c>
      <c r="H25" s="23" t="str">
        <f t="shared" si="29"/>
        <v xml:space="preserve">  </v>
      </c>
      <c r="I25" s="23" t="str">
        <f t="shared" si="30"/>
        <v xml:space="preserve">  </v>
      </c>
      <c r="J25" s="4"/>
      <c r="K25" s="37" t="str">
        <f t="shared" si="2"/>
        <v xml:space="preserve"> </v>
      </c>
      <c r="L25" s="23" t="str">
        <f t="shared" si="31"/>
        <v xml:space="preserve">  </v>
      </c>
      <c r="M25" s="38" t="str">
        <f t="shared" si="3"/>
        <v xml:space="preserve"> </v>
      </c>
      <c r="N25" s="27" t="str">
        <f t="shared" si="32"/>
        <v xml:space="preserve">  </v>
      </c>
      <c r="O25" s="23" t="str">
        <f t="shared" si="33"/>
        <v xml:space="preserve">  </v>
      </c>
      <c r="P25" s="4"/>
      <c r="Q25" s="50" t="s">
        <v>69</v>
      </c>
      <c r="R25" s="48" t="s">
        <v>70</v>
      </c>
      <c r="S25" t="str">
        <f>IF(Tools!$L$49="Use 141 rule only",I49,IF(Tools!$L$49="Use 141 and 1331 rules",BG26," "))</f>
        <v xml:space="preserve">  </v>
      </c>
      <c r="W25" s="29">
        <f>IF(AO25="  ","  ",IF(AND(AO24="  ",AO26="  "),"?",IF(AO24="  ",2*(AO26-AO25),IF(AO26="  ",2*(AO25-AO24),2*(AO26-AO24)))))</f>
        <v>2</v>
      </c>
      <c r="X25" s="30" t="str">
        <f t="shared" si="4"/>
        <v>DD</v>
      </c>
      <c r="Y25" s="30" t="str">
        <f t="shared" si="5"/>
        <v>-</v>
      </c>
      <c r="Z25" s="29" t="b">
        <f t="shared" si="6"/>
        <v>1</v>
      </c>
      <c r="AA25" s="29" t="b">
        <f t="shared" si="7"/>
        <v>1</v>
      </c>
      <c r="AB25" s="29" t="str">
        <f t="shared" ca="1" si="8"/>
        <v>141-4</v>
      </c>
      <c r="AC25" s="29">
        <f t="shared" si="34"/>
        <v>4</v>
      </c>
      <c r="AD25" s="29">
        <f t="shared" ca="1" si="9"/>
        <v>4</v>
      </c>
      <c r="AE25" s="29">
        <v>22</v>
      </c>
      <c r="AF25" s="31">
        <f t="shared" si="42"/>
        <v>18</v>
      </c>
      <c r="AG25" s="29" t="b">
        <f t="shared" si="11"/>
        <v>0</v>
      </c>
      <c r="AH25" s="30" t="str">
        <f t="shared" si="43"/>
        <v>-</v>
      </c>
      <c r="AI25" s="30" t="str">
        <f t="shared" ca="1" si="13"/>
        <v>(1/2)*(4/3)</v>
      </c>
      <c r="AJ25" s="29">
        <f t="shared" ca="1" si="14"/>
        <v>0.66666666666666663</v>
      </c>
      <c r="AK25" s="29" t="str">
        <f t="shared" si="15"/>
        <v/>
      </c>
      <c r="AL25" s="29">
        <f t="shared" si="16"/>
        <v>0</v>
      </c>
      <c r="AM25" s="32">
        <f t="shared" ca="1" si="35"/>
        <v>0.66666666666666663</v>
      </c>
      <c r="AO25" s="20">
        <f>Tools!$AD24</f>
        <v>18.5</v>
      </c>
      <c r="AP25" s="33" t="str">
        <f t="shared" si="36"/>
        <v xml:space="preserve">  </v>
      </c>
      <c r="AQ25" s="34" t="str">
        <f t="shared" ca="1" si="18"/>
        <v>(1/2)*(4/3)</v>
      </c>
      <c r="AR25" s="23" t="str">
        <f t="shared" ca="1" si="19"/>
        <v xml:space="preserve">  </v>
      </c>
      <c r="AS25" s="24">
        <f t="shared" si="20"/>
        <v>8.5</v>
      </c>
      <c r="AT25" s="23" t="str">
        <f t="shared" ca="1" si="37"/>
        <v xml:space="preserve">  </v>
      </c>
      <c r="AU25" s="23" t="str">
        <f t="shared" ca="1" si="40"/>
        <v xml:space="preserve">  </v>
      </c>
      <c r="AV25" s="23" t="str">
        <f t="shared" si="21"/>
        <v xml:space="preserve">  </v>
      </c>
      <c r="AW25" s="23" t="str">
        <f t="shared" ca="1" si="22"/>
        <v xml:space="preserve">  </v>
      </c>
      <c r="AY25" s="35" t="str">
        <f t="shared" si="23"/>
        <v xml:space="preserve"> </v>
      </c>
      <c r="AZ25" s="23" t="str">
        <f t="shared" ca="1" si="41"/>
        <v xml:space="preserve">  </v>
      </c>
      <c r="BA25" s="36" t="str">
        <f t="shared" si="25"/>
        <v xml:space="preserve"> </v>
      </c>
      <c r="BB25" s="27" t="str">
        <f t="shared" ca="1" si="38"/>
        <v xml:space="preserve">  </v>
      </c>
      <c r="BC25" s="23" t="str">
        <f t="shared" ca="1" si="39"/>
        <v xml:space="preserve">  </v>
      </c>
      <c r="BE25" s="50" t="s">
        <v>67</v>
      </c>
      <c r="BF25" s="48" t="s">
        <v>68</v>
      </c>
      <c r="BG25" s="49" t="str">
        <f>IF(WL_No="  ","  ",KB+BMT)</f>
        <v xml:space="preserve">  </v>
      </c>
    </row>
    <row r="26" spans="1:59" x14ac:dyDescent="0.25">
      <c r="A26" s="20">
        <f>Tools!$AD25</f>
        <v>19</v>
      </c>
      <c r="B26" s="33" t="str">
        <f t="shared" si="0"/>
        <v xml:space="preserve">  </v>
      </c>
      <c r="C26" s="22">
        <f>IF(A26="  ","  ",IF(AND(A25="  ",A27="  "),"?",IF(A25="  ",1*(A27-A26),IF(A27="  ",1*(A26-A25),1*(A27-A25)))))</f>
        <v>1</v>
      </c>
      <c r="D26" s="23" t="str">
        <f t="shared" si="26"/>
        <v xml:space="preserve">  </v>
      </c>
      <c r="E26" s="24">
        <f t="shared" si="1"/>
        <v>9</v>
      </c>
      <c r="F26" s="23" t="str">
        <f t="shared" si="27"/>
        <v xml:space="preserve">  </v>
      </c>
      <c r="G26" s="23" t="str">
        <f t="shared" si="28"/>
        <v xml:space="preserve">  </v>
      </c>
      <c r="H26" s="23" t="str">
        <f t="shared" si="29"/>
        <v xml:space="preserve">  </v>
      </c>
      <c r="I26" s="23" t="str">
        <f t="shared" si="30"/>
        <v xml:space="preserve">  </v>
      </c>
      <c r="J26" s="4"/>
      <c r="K26" s="37" t="str">
        <f t="shared" si="2"/>
        <v xml:space="preserve"> </v>
      </c>
      <c r="L26" s="23" t="str">
        <f t="shared" si="31"/>
        <v xml:space="preserve">  </v>
      </c>
      <c r="M26" s="38" t="str">
        <f t="shared" si="3"/>
        <v xml:space="preserve"> </v>
      </c>
      <c r="N26" s="27" t="str">
        <f t="shared" si="32"/>
        <v xml:space="preserve">  </v>
      </c>
      <c r="O26" s="23" t="str">
        <f t="shared" si="33"/>
        <v xml:space="preserve">  </v>
      </c>
      <c r="P26" s="4"/>
      <c r="Q26" s="50" t="s">
        <v>71</v>
      </c>
      <c r="R26" s="48" t="s">
        <v>72</v>
      </c>
      <c r="S26" t="str">
        <f>IF(Tools!$L$49="Use 141 rule only",I50,IF(Tools!$L$49="Use 141 and 1331 rules",BG27," "))</f>
        <v xml:space="preserve">  </v>
      </c>
      <c r="W26" s="29">
        <f>IF(AO26="  ","  ",IF(AND(AO25="  ",AO27="  "),"?",IF(AO25="  ",1*(AO27-AO26),IF(AO27="  ",1*(AO26-AO25),1*(AO27-AO25)))))</f>
        <v>1</v>
      </c>
      <c r="X26" s="30" t="str">
        <f t="shared" si="4"/>
        <v>DD</v>
      </c>
      <c r="Y26" s="30" t="str">
        <f t="shared" si="5"/>
        <v>-</v>
      </c>
      <c r="Z26" s="29" t="b">
        <f t="shared" si="6"/>
        <v>1</v>
      </c>
      <c r="AA26" s="29" t="b">
        <f t="shared" si="7"/>
        <v>1</v>
      </c>
      <c r="AB26" s="29" t="str">
        <f t="shared" ca="1" si="8"/>
        <v>141-2</v>
      </c>
      <c r="AC26" s="29">
        <f t="shared" si="34"/>
        <v>3</v>
      </c>
      <c r="AD26" s="29">
        <f t="shared" ca="1" si="9"/>
        <v>3</v>
      </c>
      <c r="AE26" s="29">
        <v>23</v>
      </c>
      <c r="AF26" s="31">
        <f t="shared" si="42"/>
        <v>19</v>
      </c>
      <c r="AG26" s="29" t="b">
        <f t="shared" si="11"/>
        <v>0</v>
      </c>
      <c r="AH26" s="30" t="str">
        <f t="shared" si="43"/>
        <v>-</v>
      </c>
      <c r="AI26" s="30" t="str">
        <f t="shared" ca="1" si="13"/>
        <v>(1/2)*(2/3)</v>
      </c>
      <c r="AJ26" s="29">
        <f t="shared" ca="1" si="14"/>
        <v>0.33333333333333331</v>
      </c>
      <c r="AK26" s="29" t="str">
        <f t="shared" si="15"/>
        <v/>
      </c>
      <c r="AL26" s="29">
        <f t="shared" si="16"/>
        <v>0</v>
      </c>
      <c r="AM26" s="32">
        <f t="shared" ca="1" si="35"/>
        <v>0.33333333333333331</v>
      </c>
      <c r="AO26" s="20">
        <f>Tools!$AD25</f>
        <v>19</v>
      </c>
      <c r="AP26" s="33" t="str">
        <f t="shared" si="36"/>
        <v xml:space="preserve">  </v>
      </c>
      <c r="AQ26" s="34" t="str">
        <f t="shared" ca="1" si="18"/>
        <v>(1/2)*(2/3)</v>
      </c>
      <c r="AR26" s="23" t="str">
        <f t="shared" ca="1" si="19"/>
        <v xml:space="preserve">  </v>
      </c>
      <c r="AS26" s="24">
        <f t="shared" si="20"/>
        <v>9</v>
      </c>
      <c r="AT26" s="23" t="str">
        <f t="shared" ca="1" si="37"/>
        <v xml:space="preserve">  </v>
      </c>
      <c r="AU26" s="23" t="str">
        <f t="shared" ca="1" si="40"/>
        <v xml:space="preserve">  </v>
      </c>
      <c r="AV26" s="23" t="str">
        <f t="shared" si="21"/>
        <v xml:space="preserve">  </v>
      </c>
      <c r="AW26" s="23" t="str">
        <f t="shared" ca="1" si="22"/>
        <v xml:space="preserve">  </v>
      </c>
      <c r="AY26" s="35" t="str">
        <f t="shared" si="23"/>
        <v xml:space="preserve"> </v>
      </c>
      <c r="AZ26" s="23" t="str">
        <f t="shared" ca="1" si="41"/>
        <v xml:space="preserve">  </v>
      </c>
      <c r="BA26" s="36" t="str">
        <f t="shared" si="25"/>
        <v xml:space="preserve"> </v>
      </c>
      <c r="BB26" s="27" t="str">
        <f t="shared" ca="1" si="38"/>
        <v xml:space="preserve">  </v>
      </c>
      <c r="BC26" s="23" t="str">
        <f t="shared" ca="1" si="39"/>
        <v xml:space="preserve">  </v>
      </c>
      <c r="BE26" s="50" t="s">
        <v>69</v>
      </c>
      <c r="BF26" s="48" t="s">
        <v>70</v>
      </c>
      <c r="BG26" s="49" t="str">
        <f>IF(WL_No="  ","  ",KB+BML)</f>
        <v xml:space="preserve">  </v>
      </c>
    </row>
    <row r="27" spans="1:59" x14ac:dyDescent="0.25">
      <c r="A27" s="20">
        <f>Tools!$AD26</f>
        <v>19.5</v>
      </c>
      <c r="B27" s="33" t="str">
        <f t="shared" si="0"/>
        <v xml:space="preserve">  </v>
      </c>
      <c r="C27" s="22">
        <f>IF(A27="  ","  ",IF(AND(A26="  ",A28="  "),"?",IF(A26="  ",2*(A28-A27),IF(A28="  ",2*(A27-A26),2*(A28-A26)))))</f>
        <v>2</v>
      </c>
      <c r="D27" s="23" t="str">
        <f t="shared" si="26"/>
        <v xml:space="preserve">  </v>
      </c>
      <c r="E27" s="24">
        <f t="shared" si="1"/>
        <v>9.5</v>
      </c>
      <c r="F27" s="23" t="str">
        <f t="shared" si="27"/>
        <v xml:space="preserve">  </v>
      </c>
      <c r="G27" s="23" t="str">
        <f t="shared" si="28"/>
        <v xml:space="preserve">  </v>
      </c>
      <c r="H27" s="23" t="str">
        <f t="shared" si="29"/>
        <v xml:space="preserve">  </v>
      </c>
      <c r="I27" s="23" t="str">
        <f t="shared" si="30"/>
        <v xml:space="preserve">  </v>
      </c>
      <c r="J27" s="4"/>
      <c r="K27" s="37" t="str">
        <f t="shared" si="2"/>
        <v xml:space="preserve"> </v>
      </c>
      <c r="L27" s="23" t="str">
        <f t="shared" si="31"/>
        <v xml:space="preserve">  </v>
      </c>
      <c r="M27" s="38" t="str">
        <f t="shared" si="3"/>
        <v xml:space="preserve"> </v>
      </c>
      <c r="N27" s="27" t="str">
        <f t="shared" si="32"/>
        <v xml:space="preserve">  </v>
      </c>
      <c r="O27" s="23" t="str">
        <f t="shared" si="33"/>
        <v xml:space="preserve">  </v>
      </c>
      <c r="P27" s="4"/>
      <c r="Q27" s="50" t="s">
        <v>73</v>
      </c>
      <c r="R27" s="48" t="s">
        <v>74</v>
      </c>
      <c r="S27" t="str">
        <f>IF(Tools!$L$49="Use 141 rule only",I51,IF(Tools!$L$49="Use 141 and 1331 rules",BG28," "))</f>
        <v xml:space="preserve">  </v>
      </c>
      <c r="W27" s="29">
        <f>IF(AO27="  ","  ",IF(AND(AO26="  ",AO28="  "),"?",IF(AO26="  ",2*(AO28-AO27),IF(AO28="  ",2*(AO27-AO26),2*(AO28-AO26)))))</f>
        <v>2</v>
      </c>
      <c r="X27" s="30" t="str">
        <f t="shared" si="4"/>
        <v>DD</v>
      </c>
      <c r="Y27" s="30" t="str">
        <f t="shared" si="5"/>
        <v>-</v>
      </c>
      <c r="Z27" s="29" t="b">
        <f t="shared" si="6"/>
        <v>1</v>
      </c>
      <c r="AA27" s="29" t="b">
        <f t="shared" si="7"/>
        <v>1</v>
      </c>
      <c r="AB27" s="29" t="str">
        <f t="shared" ca="1" si="8"/>
        <v>141-4</v>
      </c>
      <c r="AC27" s="29">
        <f t="shared" si="34"/>
        <v>2</v>
      </c>
      <c r="AD27" s="29">
        <f t="shared" ca="1" si="9"/>
        <v>2</v>
      </c>
      <c r="AE27" s="29">
        <v>24</v>
      </c>
      <c r="AF27" s="31">
        <f t="shared" si="42"/>
        <v>20</v>
      </c>
      <c r="AG27" s="29" t="b">
        <f t="shared" si="11"/>
        <v>0</v>
      </c>
      <c r="AH27" s="30" t="str">
        <f t="shared" si="43"/>
        <v>-</v>
      </c>
      <c r="AI27" s="30" t="str">
        <f t="shared" ca="1" si="13"/>
        <v>(1/2)*(4/3)</v>
      </c>
      <c r="AJ27" s="29">
        <f t="shared" ca="1" si="14"/>
        <v>0.66666666666666663</v>
      </c>
      <c r="AK27" s="29" t="str">
        <f t="shared" si="15"/>
        <v/>
      </c>
      <c r="AL27" s="29">
        <f t="shared" si="16"/>
        <v>0</v>
      </c>
      <c r="AM27" s="32">
        <f t="shared" ca="1" si="35"/>
        <v>0.66666666666666663</v>
      </c>
      <c r="AO27" s="20">
        <f>Tools!$AD26</f>
        <v>19.5</v>
      </c>
      <c r="AP27" s="33" t="str">
        <f t="shared" ref="AP27:AP28" si="44">VLOOKUP(AO27,OFFSET_A,Count_WL+1,FALSE)</f>
        <v xml:space="preserve">  </v>
      </c>
      <c r="AQ27" s="34" t="str">
        <f t="shared" ca="1" si="18"/>
        <v>(1/2)*(4/3)</v>
      </c>
      <c r="AR27" s="23" t="str">
        <f t="shared" ca="1" si="19"/>
        <v xml:space="preserve">  </v>
      </c>
      <c r="AS27" s="24">
        <f t="shared" si="20"/>
        <v>9.5</v>
      </c>
      <c r="AT27" s="23" t="str">
        <f t="shared" ca="1" si="37"/>
        <v xml:space="preserve">  </v>
      </c>
      <c r="AU27" s="23" t="str">
        <f t="shared" ca="1" si="40"/>
        <v xml:space="preserve">  </v>
      </c>
      <c r="AV27" s="23" t="str">
        <f t="shared" si="21"/>
        <v xml:space="preserve">  </v>
      </c>
      <c r="AW27" s="23" t="str">
        <f t="shared" ca="1" si="22"/>
        <v xml:space="preserve">  </v>
      </c>
      <c r="AY27" s="35" t="str">
        <f t="shared" si="23"/>
        <v xml:space="preserve"> </v>
      </c>
      <c r="AZ27" s="23" t="str">
        <f t="shared" ca="1" si="41"/>
        <v xml:space="preserve">  </v>
      </c>
      <c r="BA27" s="36" t="str">
        <f t="shared" si="25"/>
        <v xml:space="preserve"> </v>
      </c>
      <c r="BB27" s="27" t="str">
        <f t="shared" ca="1" si="38"/>
        <v xml:space="preserve">  </v>
      </c>
      <c r="BC27" s="23" t="str">
        <f t="shared" ca="1" si="39"/>
        <v xml:space="preserve">  </v>
      </c>
      <c r="BE27" s="50" t="s">
        <v>71</v>
      </c>
      <c r="BF27" s="48" t="s">
        <v>72</v>
      </c>
      <c r="BG27" s="49" t="str">
        <f>IF(WL_No="  ","  ",AWP*1.025/100)</f>
        <v xml:space="preserve">  </v>
      </c>
    </row>
    <row r="28" spans="1:59" ht="15.75" thickBot="1" x14ac:dyDescent="0.3">
      <c r="A28" s="20">
        <f>Tools!$AD27</f>
        <v>20</v>
      </c>
      <c r="B28" s="52" t="str">
        <f t="shared" si="0"/>
        <v xml:space="preserve">  </v>
      </c>
      <c r="C28" s="22">
        <f>IF(A28="  ","  ",IF(A27="  ","?",1*(A28-A27)))</f>
        <v>0.5</v>
      </c>
      <c r="D28" s="53" t="str">
        <f t="shared" si="26"/>
        <v xml:space="preserve">  </v>
      </c>
      <c r="E28" s="24">
        <f t="shared" si="1"/>
        <v>10</v>
      </c>
      <c r="F28" s="53" t="str">
        <f t="shared" si="27"/>
        <v xml:space="preserve">  </v>
      </c>
      <c r="G28" s="53" t="str">
        <f t="shared" si="28"/>
        <v xml:space="preserve">  </v>
      </c>
      <c r="H28" s="23" t="str">
        <f t="shared" si="29"/>
        <v xml:space="preserve">  </v>
      </c>
      <c r="I28" s="53" t="str">
        <f t="shared" si="30"/>
        <v xml:space="preserve">  </v>
      </c>
      <c r="J28" s="4"/>
      <c r="K28" s="35" t="str">
        <f t="shared" si="2"/>
        <v xml:space="preserve"> </v>
      </c>
      <c r="L28" s="53" t="str">
        <f t="shared" si="31"/>
        <v xml:space="preserve">  </v>
      </c>
      <c r="M28" s="36" t="str">
        <f t="shared" si="3"/>
        <v xml:space="preserve"> </v>
      </c>
      <c r="N28" s="54" t="str">
        <f t="shared" si="32"/>
        <v xml:space="preserve">  </v>
      </c>
      <c r="O28" s="53" t="str">
        <f t="shared" si="33"/>
        <v xml:space="preserve">  </v>
      </c>
      <c r="P28" s="4"/>
      <c r="Q28" s="50" t="s">
        <v>75</v>
      </c>
      <c r="R28" s="55" t="s">
        <v>76</v>
      </c>
      <c r="S28" t="str">
        <f>IF(Tools!$L$49="Use 141 rule only",I52,IF(Tools!$L$49="Use 141 and 1331 rules",BG29," "))</f>
        <v xml:space="preserve">  </v>
      </c>
      <c r="W28" s="29">
        <f>IF(AO28="  ","  ",IF(AO27="  ","?",1*(AO28-AO27)))</f>
        <v>0.5</v>
      </c>
      <c r="X28" s="30" t="str">
        <f t="shared" si="4"/>
        <v>D-</v>
      </c>
      <c r="Y28" s="30" t="str">
        <f t="shared" si="5"/>
        <v>-</v>
      </c>
      <c r="Z28" s="29" t="b">
        <f t="shared" si="6"/>
        <v>1</v>
      </c>
      <c r="AA28" s="29" t="b">
        <f t="shared" si="7"/>
        <v>1</v>
      </c>
      <c r="AB28" s="29" t="str">
        <f t="shared" ca="1" si="8"/>
        <v>141-1</v>
      </c>
      <c r="AC28" s="29">
        <f>IF(ISNUMBER(AO28),IF(ISNUMBER(AO28),IF(OR(AO28=0,AO28=Long_Div),1,IF(AO28&gt;Long_Div/2,AF29+1,IF(AO28&lt;=Long_Div/2,AC27+1,"?")))," --")," ")</f>
        <v>1</v>
      </c>
      <c r="AD28" s="29">
        <f t="shared" ca="1" si="9"/>
        <v>1</v>
      </c>
      <c r="AE28" s="29">
        <v>25</v>
      </c>
      <c r="AF28" s="31">
        <f t="shared" si="42"/>
        <v>21</v>
      </c>
      <c r="AG28" s="29" t="b">
        <f t="shared" si="11"/>
        <v>0</v>
      </c>
      <c r="AH28" s="30" t="str">
        <f t="shared" si="43"/>
        <v>-</v>
      </c>
      <c r="AI28" s="30" t="str">
        <f t="shared" ca="1" si="13"/>
        <v>(1/2)*(1/3)</v>
      </c>
      <c r="AJ28" s="29">
        <f t="shared" ca="1" si="14"/>
        <v>0.16666666666666666</v>
      </c>
      <c r="AK28" s="29" t="str">
        <f t="shared" si="15"/>
        <v/>
      </c>
      <c r="AL28" s="29">
        <f t="shared" si="16"/>
        <v>0</v>
      </c>
      <c r="AM28" s="32">
        <f t="shared" ca="1" si="35"/>
        <v>0.16666666666666666</v>
      </c>
      <c r="AO28" s="20">
        <f>Tools!$AD27</f>
        <v>20</v>
      </c>
      <c r="AP28" s="33" t="str">
        <f t="shared" si="44"/>
        <v xml:space="preserve">  </v>
      </c>
      <c r="AQ28" s="34" t="str">
        <f t="shared" ca="1" si="18"/>
        <v>(1/2)*(1/3)</v>
      </c>
      <c r="AR28" s="23" t="str">
        <f t="shared" ca="1" si="19"/>
        <v xml:space="preserve">  </v>
      </c>
      <c r="AS28" s="24">
        <f t="shared" si="20"/>
        <v>10</v>
      </c>
      <c r="AT28" s="53" t="str">
        <f t="shared" ca="1" si="37"/>
        <v xml:space="preserve">  </v>
      </c>
      <c r="AU28" s="53" t="str">
        <f t="shared" ca="1" si="40"/>
        <v xml:space="preserve">  </v>
      </c>
      <c r="AV28" s="23" t="str">
        <f t="shared" si="21"/>
        <v xml:space="preserve">  </v>
      </c>
      <c r="AW28" s="23" t="str">
        <f t="shared" ca="1" si="22"/>
        <v xml:space="preserve">  </v>
      </c>
      <c r="AY28" s="35" t="str">
        <f t="shared" si="23"/>
        <v xml:space="preserve"> </v>
      </c>
      <c r="AZ28" s="23" t="str">
        <f t="shared" ca="1" si="41"/>
        <v xml:space="preserve">  </v>
      </c>
      <c r="BA28" s="36" t="str">
        <f t="shared" si="25"/>
        <v xml:space="preserve"> </v>
      </c>
      <c r="BB28" s="27" t="str">
        <f t="shared" ca="1" si="38"/>
        <v xml:space="preserve">  </v>
      </c>
      <c r="BC28" s="53" t="str">
        <f t="shared" ca="1" si="39"/>
        <v xml:space="preserve">  </v>
      </c>
      <c r="BE28" s="50" t="s">
        <v>73</v>
      </c>
      <c r="BF28" s="48" t="s">
        <v>74</v>
      </c>
      <c r="BG28" s="49" t="str">
        <f>IF(WL_No="  ","  ",ML/V_Disp)</f>
        <v xml:space="preserve">  </v>
      </c>
    </row>
    <row r="29" spans="1:59" ht="15.75" thickBot="1" x14ac:dyDescent="0.3">
      <c r="A29" s="56" t="s">
        <v>77</v>
      </c>
      <c r="B29" s="56"/>
      <c r="C29" s="56"/>
      <c r="D29" s="57">
        <f>SUM(D4:D28)</f>
        <v>0</v>
      </c>
      <c r="E29" s="42"/>
      <c r="F29" s="58">
        <f>SUM(F4:F28)</f>
        <v>0</v>
      </c>
      <c r="G29" s="58">
        <f>SUM(G4:G28)</f>
        <v>0</v>
      </c>
      <c r="H29" s="42"/>
      <c r="I29" s="58">
        <f>SUM(I4:I28)</f>
        <v>0</v>
      </c>
      <c r="J29" s="4"/>
      <c r="K29" s="42"/>
      <c r="L29" s="58">
        <f>SUM(L4:L28)</f>
        <v>0</v>
      </c>
      <c r="M29" s="42"/>
      <c r="N29" s="58">
        <f>SUM(N4:N28)</f>
        <v>0</v>
      </c>
      <c r="O29" s="58">
        <f>SUM(O4:O28)</f>
        <v>0</v>
      </c>
      <c r="P29" s="4"/>
      <c r="Q29" s="50" t="s">
        <v>78</v>
      </c>
      <c r="R29" s="48" t="s">
        <v>79</v>
      </c>
      <c r="S29" t="str">
        <f>IF(Tools!$L$49="Use 141 rule only",I53,IF(Tools!$L$49="Use 141 and 1331 rules",BG30," "))</f>
        <v xml:space="preserve">  </v>
      </c>
      <c r="W29" s="56"/>
      <c r="X29" s="56"/>
      <c r="Y29" s="56"/>
      <c r="Z29" s="56"/>
      <c r="AA29" s="56"/>
      <c r="AB29" s="56"/>
      <c r="AC29" s="56"/>
      <c r="AD29" s="56"/>
      <c r="AE29" s="56"/>
      <c r="AF29" s="56"/>
      <c r="AG29" s="56"/>
      <c r="AH29" s="56"/>
      <c r="AI29" s="56"/>
      <c r="AJ29" s="56"/>
      <c r="AK29" s="56"/>
      <c r="AL29" s="56"/>
      <c r="AM29" s="56"/>
      <c r="AN29" s="56"/>
      <c r="AO29" s="56" t="s">
        <v>77</v>
      </c>
      <c r="AP29" s="56"/>
      <c r="AQ29" s="59"/>
      <c r="AR29" s="57">
        <f ca="1">SUM(AR4:AR28)</f>
        <v>0</v>
      </c>
      <c r="AS29" s="42"/>
      <c r="AT29" s="58">
        <f ca="1">SUM(AT4:AT28)</f>
        <v>0</v>
      </c>
      <c r="AU29" s="58">
        <f ca="1">SUM(AU4:AU28)</f>
        <v>0</v>
      </c>
      <c r="AV29" s="42"/>
      <c r="AW29" s="58">
        <f ca="1">SUM(AW4:AW28)</f>
        <v>0</v>
      </c>
      <c r="AY29" s="42"/>
      <c r="AZ29" s="58">
        <f ca="1">SUM(AZ4:AZ28)</f>
        <v>0</v>
      </c>
      <c r="BA29" s="42"/>
      <c r="BB29" s="58">
        <f ca="1">SUM(BB4:BB28)</f>
        <v>0</v>
      </c>
      <c r="BC29" s="58">
        <f ca="1">SUM(BC4:BC28)</f>
        <v>0</v>
      </c>
      <c r="BE29" s="50" t="s">
        <v>75</v>
      </c>
      <c r="BF29" s="55" t="s">
        <v>76</v>
      </c>
      <c r="BG29" s="49" t="str">
        <f>IF(WL_No="  ","  ",M_Disp*BML/100/BG8)</f>
        <v xml:space="preserve">  </v>
      </c>
    </row>
    <row r="30" spans="1:59" x14ac:dyDescent="0.25">
      <c r="A30" s="15"/>
      <c r="B30" s="4"/>
      <c r="C30" s="4"/>
      <c r="D30" s="42"/>
      <c r="E30" s="4"/>
      <c r="F30" s="4"/>
      <c r="G30" s="4"/>
      <c r="H30" s="4"/>
      <c r="I30" s="4"/>
      <c r="J30" s="4"/>
      <c r="K30" s="4"/>
      <c r="L30" s="4"/>
      <c r="M30" s="4"/>
      <c r="N30" s="4"/>
      <c r="O30" s="4"/>
      <c r="P30" s="4"/>
      <c r="Q30" s="50" t="s">
        <v>80</v>
      </c>
      <c r="R30" s="48" t="s">
        <v>81</v>
      </c>
      <c r="S30" t="str">
        <f>IF(Tools!$L$49="Use 141 rule only",I54,IF(Tools!$L$49="Use 141 and 1331 rules",BG31," "))</f>
        <v xml:space="preserve">  </v>
      </c>
      <c r="AA30" s="60"/>
      <c r="AB30" s="60"/>
      <c r="BE30" s="50" t="s">
        <v>78</v>
      </c>
      <c r="BF30" s="48" t="s">
        <v>79</v>
      </c>
      <c r="BG30" s="49" t="str">
        <f>IF(WL_No="  ","  ",WLS*WL_No)</f>
        <v xml:space="preserve">  </v>
      </c>
    </row>
    <row r="31" spans="1:59" x14ac:dyDescent="0.25">
      <c r="A31" s="15"/>
      <c r="B31" s="4"/>
      <c r="C31" s="4"/>
      <c r="D31" s="4"/>
      <c r="E31" s="4"/>
      <c r="F31" s="4"/>
      <c r="G31" s="4"/>
      <c r="H31" s="4"/>
      <c r="I31" s="4"/>
      <c r="J31" s="4"/>
      <c r="K31" s="4"/>
      <c r="L31" s="4"/>
      <c r="M31" s="4"/>
      <c r="N31" s="4"/>
      <c r="O31" s="4"/>
      <c r="P31" s="4"/>
      <c r="Q31" s="50" t="s">
        <v>82</v>
      </c>
      <c r="R31" s="48" t="s">
        <v>83</v>
      </c>
      <c r="S31" t="str">
        <f>IF(Tools!$L$49="Use 141 rule only",I55,IF(Tools!$L$49="Use 141 and 1331 rules",BG32," "))</f>
        <v xml:space="preserve">  </v>
      </c>
      <c r="AF31" s="61" t="s">
        <v>84</v>
      </c>
      <c r="AG31" s="62">
        <f ca="1">COUNTIF(OFFSET(AQ4,,,ROUNDUP(Max_STN_count/2,0),1),"")</f>
        <v>0</v>
      </c>
      <c r="AH31" s="63">
        <f ca="1">HLOOKUP(Stn_WL,AREA_TABLE,AG31+2,FALSE)</f>
        <v>0</v>
      </c>
      <c r="AI31" s="63">
        <f ca="1">IF(AH31&gt;Long_Div/2,Long_Div/2,AH31)</f>
        <v>0</v>
      </c>
      <c r="AJ31" s="63">
        <f ca="1">AI31*STN_GAP</f>
        <v>0</v>
      </c>
      <c r="BE31" s="50" t="s">
        <v>80</v>
      </c>
      <c r="BF31" s="48" t="s">
        <v>81</v>
      </c>
      <c r="BG31" s="49" t="str">
        <f>IF(WL_No="  ","  ",AWP/(BG8*B_current))</f>
        <v xml:space="preserve">  </v>
      </c>
    </row>
    <row r="32" spans="1:59" x14ac:dyDescent="0.25">
      <c r="A32" s="15"/>
      <c r="B32" s="4"/>
      <c r="C32" s="4"/>
      <c r="D32" s="4"/>
      <c r="E32" s="4"/>
      <c r="F32" s="4"/>
      <c r="G32" s="4"/>
      <c r="H32" s="4"/>
      <c r="I32" s="4"/>
      <c r="J32" s="64"/>
      <c r="K32" s="4"/>
      <c r="L32" s="4"/>
      <c r="M32" s="4"/>
      <c r="N32" s="4"/>
      <c r="O32" s="4"/>
      <c r="P32" s="4"/>
      <c r="Q32" s="50" t="s">
        <v>85</v>
      </c>
      <c r="R32" s="48" t="s">
        <v>86</v>
      </c>
      <c r="S32" t="str">
        <f>IF(Tools!$L$49="Use 141 rule only",I56,IF(Tools!$L$49="Use 141 and 1331 rules",BG33," "))</f>
        <v xml:space="preserve">  </v>
      </c>
      <c r="AF32" s="61" t="s">
        <v>87</v>
      </c>
      <c r="AG32" s="62">
        <f ca="1">COUNTIF(OFFSET(AQ4,ROUNDUP(Max_STN_count/2,0),,ROUNDDOWN(Max_STN_count/2,0),1),"")</f>
        <v>0</v>
      </c>
      <c r="AH32" s="63">
        <f ca="1">HLOOKUP(Stn_WL,AREA_TABLE,AG32+2,FALSE)</f>
        <v>0</v>
      </c>
      <c r="AI32" s="63">
        <f ca="1">IF(AH32&gt;Long_Div/2,Long_Div/2,AH32)</f>
        <v>0</v>
      </c>
      <c r="AJ32" s="63">
        <f ca="1">AI32*STN_GAP</f>
        <v>0</v>
      </c>
      <c r="BE32" s="50" t="s">
        <v>82</v>
      </c>
      <c r="BF32" s="48" t="s">
        <v>83</v>
      </c>
      <c r="BG32" s="49" t="str">
        <f>IF(WL_No="  ","  ",V_Disp/(BG8*B_current*T))</f>
        <v xml:space="preserve">  </v>
      </c>
    </row>
    <row r="33" spans="1:59" x14ac:dyDescent="0.25">
      <c r="A33" s="15"/>
      <c r="B33" s="4"/>
      <c r="C33" s="4"/>
      <c r="D33" s="4"/>
      <c r="E33" s="4"/>
      <c r="F33" s="4"/>
      <c r="G33" s="43" t="s">
        <v>31</v>
      </c>
      <c r="H33" s="44" t="s">
        <v>32</v>
      </c>
      <c r="I33" s="489" t="s">
        <v>33</v>
      </c>
      <c r="J33" s="4"/>
      <c r="K33" s="4"/>
      <c r="L33" s="4"/>
      <c r="M33" s="4"/>
      <c r="N33" s="4"/>
      <c r="O33" s="4"/>
      <c r="P33" s="4"/>
      <c r="Q33" s="50" t="s">
        <v>88</v>
      </c>
      <c r="R33" s="48" t="s">
        <v>89</v>
      </c>
      <c r="S33" t="str">
        <f>IF(Tools!$L$49="Use 141 rule only",I57,IF(Tools!$L$49="Use 141 and 1331 rules",BG34," "))</f>
        <v xml:space="preserve">  </v>
      </c>
      <c r="AF33" s="63"/>
      <c r="AG33" s="63"/>
      <c r="AH33" s="63">
        <f ca="1">Long_Div-AH32</f>
        <v>20</v>
      </c>
      <c r="AI33" s="63"/>
      <c r="AJ33" s="63">
        <f ca="1">AJ32+AJ31</f>
        <v>0</v>
      </c>
      <c r="BE33" s="50" t="s">
        <v>85</v>
      </c>
      <c r="BF33" s="48" t="s">
        <v>86</v>
      </c>
      <c r="BG33" s="65" t="str">
        <f>IFERROR(IF(WL_No="  ","  ",(VLOOKUP(Long_Div/2,AREA_TABLE,Count_WL+1,FALSE))/(B_current*T)),"-")</f>
        <v xml:space="preserve">  </v>
      </c>
    </row>
    <row r="34" spans="1:59" x14ac:dyDescent="0.25">
      <c r="G34" s="45"/>
      <c r="H34" s="46"/>
      <c r="I34" s="490"/>
      <c r="BE34" s="50" t="s">
        <v>88</v>
      </c>
      <c r="BF34" s="48" t="s">
        <v>89</v>
      </c>
      <c r="BG34" s="49" t="str">
        <f>IF(WL_No="  ","  ",CB/CM)</f>
        <v xml:space="preserve">  </v>
      </c>
    </row>
    <row r="35" spans="1:59" x14ac:dyDescent="0.25">
      <c r="G35" s="47" t="s">
        <v>34</v>
      </c>
      <c r="H35" s="48" t="s">
        <v>35</v>
      </c>
      <c r="I35" s="49" t="str">
        <f>IF(WL_No="  ","  ",2/3*h*$D$29)</f>
        <v xml:space="preserve">  </v>
      </c>
    </row>
    <row r="36" spans="1:59" x14ac:dyDescent="0.25">
      <c r="G36" s="47" t="s">
        <v>36</v>
      </c>
      <c r="H36" s="48" t="s">
        <v>37</v>
      </c>
      <c r="I36" s="49" t="str">
        <f>IF(WL_No="  ","  ",2/3*(h^2)*$F$29)</f>
        <v xml:space="preserve">  </v>
      </c>
    </row>
    <row r="37" spans="1:59" x14ac:dyDescent="0.25">
      <c r="G37" s="50" t="s">
        <v>39</v>
      </c>
      <c r="H37" s="48" t="s">
        <v>40</v>
      </c>
      <c r="I37" s="49" t="str">
        <f>IF(WL_No="  ","  ",Mmid/AWP)</f>
        <v xml:space="preserve">  </v>
      </c>
    </row>
    <row r="38" spans="1:59" x14ac:dyDescent="0.25">
      <c r="G38" s="50" t="s">
        <v>42</v>
      </c>
      <c r="H38" s="48" t="s">
        <v>43</v>
      </c>
      <c r="I38" s="49" t="str">
        <f>IF(WL_No="  ","  ",2/3*(h^3)*$G$29)</f>
        <v xml:space="preserve">  </v>
      </c>
    </row>
    <row r="39" spans="1:59" x14ac:dyDescent="0.25">
      <c r="G39" s="51" t="s">
        <v>44</v>
      </c>
      <c r="H39" s="48" t="s">
        <v>45</v>
      </c>
      <c r="I39" s="49" t="str">
        <f>IF(WL_No="  ","  ",2/9*h*$I$29)</f>
        <v xml:space="preserve">  </v>
      </c>
    </row>
    <row r="40" spans="1:59" x14ac:dyDescent="0.25">
      <c r="G40" s="50" t="s">
        <v>47</v>
      </c>
      <c r="H40" s="48" t="s">
        <v>48</v>
      </c>
      <c r="I40" s="49" t="str">
        <f>IF(WL_No="  ","  ",IL-AWP*(LCF^2))</f>
        <v xml:space="preserve">  </v>
      </c>
    </row>
    <row r="41" spans="1:59" x14ac:dyDescent="0.25">
      <c r="G41" s="50" t="s">
        <v>50</v>
      </c>
      <c r="H41" s="48" t="s">
        <v>51</v>
      </c>
      <c r="I41" s="49" t="str">
        <f>IF(WL_No="  ","  ",h/3*$L$29)</f>
        <v xml:space="preserve">  </v>
      </c>
    </row>
    <row r="42" spans="1:59" x14ac:dyDescent="0.25">
      <c r="G42" s="50" t="s">
        <v>52</v>
      </c>
      <c r="H42" s="48" t="s">
        <v>53</v>
      </c>
      <c r="I42" s="49" t="str">
        <f>IF(WL_No="  ","  ",V_Disp*1.025*1.006)</f>
        <v xml:space="preserve">  </v>
      </c>
    </row>
    <row r="43" spans="1:59" x14ac:dyDescent="0.25">
      <c r="G43" s="50" t="s">
        <v>55</v>
      </c>
      <c r="H43" s="48" t="s">
        <v>56</v>
      </c>
      <c r="I43" s="49" t="str">
        <f>IF(WL_No="  ","  ",h/3*$N$29)</f>
        <v xml:space="preserve">  </v>
      </c>
    </row>
    <row r="44" spans="1:59" x14ac:dyDescent="0.25">
      <c r="G44" s="50" t="s">
        <v>57</v>
      </c>
      <c r="H44" s="48" t="s">
        <v>58</v>
      </c>
      <c r="I44" s="49" t="str">
        <f>IF(WL_No="  ","  ",(h^2)/3*$O$29)</f>
        <v xml:space="preserve">  </v>
      </c>
    </row>
    <row r="45" spans="1:59" x14ac:dyDescent="0.25">
      <c r="G45" s="50" t="s">
        <v>60</v>
      </c>
      <c r="H45" s="48" t="s">
        <v>61</v>
      </c>
      <c r="I45" s="49" t="str">
        <f>IF(WL_No="  ","  ",IF/V_Disp)</f>
        <v xml:space="preserve">  </v>
      </c>
    </row>
    <row r="46" spans="1:59" x14ac:dyDescent="0.25">
      <c r="G46" s="50" t="s">
        <v>63</v>
      </c>
      <c r="H46" s="48" t="s">
        <v>64</v>
      </c>
      <c r="I46" s="49" t="str">
        <f>IF(WL_No="  ","  ",IT/V_Disp)</f>
        <v xml:space="preserve">  </v>
      </c>
    </row>
    <row r="47" spans="1:59" x14ac:dyDescent="0.25">
      <c r="G47" s="50" t="s">
        <v>65</v>
      </c>
      <c r="H47" s="48" t="s">
        <v>66</v>
      </c>
      <c r="I47" s="49" t="str">
        <f>IF(WL_No="  ","  ",MT/V_Disp)</f>
        <v xml:space="preserve">  </v>
      </c>
    </row>
    <row r="48" spans="1:59" x14ac:dyDescent="0.25">
      <c r="G48" s="50" t="s">
        <v>67</v>
      </c>
      <c r="H48" s="48" t="s">
        <v>68</v>
      </c>
      <c r="I48" s="49" t="str">
        <f>IF(WL_No="  ","  ",KB+BMT)</f>
        <v xml:space="preserve">  </v>
      </c>
    </row>
    <row r="49" spans="7:9" x14ac:dyDescent="0.25">
      <c r="G49" s="50" t="s">
        <v>69</v>
      </c>
      <c r="H49" s="48" t="s">
        <v>70</v>
      </c>
      <c r="I49" s="49" t="str">
        <f>IF(WL_No="  ","  ",KB+BML)</f>
        <v xml:space="preserve">  </v>
      </c>
    </row>
    <row r="50" spans="7:9" x14ac:dyDescent="0.25">
      <c r="G50" s="50" t="s">
        <v>71</v>
      </c>
      <c r="H50" s="48" t="s">
        <v>72</v>
      </c>
      <c r="I50" s="49" t="str">
        <f>IF(WL_No="  ","  ",AWP*1.025/100)</f>
        <v xml:space="preserve">  </v>
      </c>
    </row>
    <row r="51" spans="7:9" x14ac:dyDescent="0.25">
      <c r="G51" s="50" t="s">
        <v>73</v>
      </c>
      <c r="H51" s="48" t="s">
        <v>74</v>
      </c>
      <c r="I51" s="49" t="str">
        <f>IF(WL_No="  ","  ",ML/V_Disp)</f>
        <v xml:space="preserve">  </v>
      </c>
    </row>
    <row r="52" spans="7:9" x14ac:dyDescent="0.25">
      <c r="G52" s="50" t="s">
        <v>75</v>
      </c>
      <c r="H52" s="55" t="s">
        <v>76</v>
      </c>
      <c r="I52" s="49" t="str">
        <f>IF(WL_No="  ","  ",M_Disp*BML/100/LBP)</f>
        <v xml:space="preserve">  </v>
      </c>
    </row>
    <row r="53" spans="7:9" x14ac:dyDescent="0.25">
      <c r="G53" s="50" t="s">
        <v>78</v>
      </c>
      <c r="H53" s="48" t="s">
        <v>79</v>
      </c>
      <c r="I53" s="49" t="str">
        <f>IF(WL_No="  ","  ",WLS*WL_No)</f>
        <v xml:space="preserve">  </v>
      </c>
    </row>
    <row r="54" spans="7:9" x14ac:dyDescent="0.25">
      <c r="G54" s="50" t="s">
        <v>80</v>
      </c>
      <c r="H54" s="48" t="s">
        <v>81</v>
      </c>
      <c r="I54" s="49" t="str">
        <f>IF(WL_No="  ","  ",AWP/(LBP*B_current))</f>
        <v xml:space="preserve">  </v>
      </c>
    </row>
    <row r="55" spans="7:9" x14ac:dyDescent="0.25">
      <c r="G55" s="50" t="s">
        <v>82</v>
      </c>
      <c r="H55" s="48" t="s">
        <v>83</v>
      </c>
      <c r="I55" s="49" t="str">
        <f>IF(WL_No="  ","  ",V_Disp/(LBP*B_current*T))</f>
        <v xml:space="preserve">  </v>
      </c>
    </row>
    <row r="56" spans="7:9" x14ac:dyDescent="0.25">
      <c r="G56" s="50" t="s">
        <v>85</v>
      </c>
      <c r="H56" s="48" t="s">
        <v>86</v>
      </c>
      <c r="I56" s="65" t="str">
        <f>IF(WL_No="  ","  ",(VLOOKUP(Long_Div/2,AREA_TABLE,Count_WL+1,FALSE))/(B_current*T))</f>
        <v xml:space="preserve">  </v>
      </c>
    </row>
    <row r="57" spans="7:9" x14ac:dyDescent="0.25">
      <c r="G57" s="50" t="s">
        <v>88</v>
      </c>
      <c r="H57" s="48" t="s">
        <v>89</v>
      </c>
      <c r="I57" s="49" t="str">
        <f>IF(WL_No="  ","  ",CB/CM)</f>
        <v xml:space="preserve">  </v>
      </c>
    </row>
  </sheetData>
  <mergeCells count="7">
    <mergeCell ref="BG10:BG11"/>
    <mergeCell ref="I33:I34"/>
    <mergeCell ref="A2:I2"/>
    <mergeCell ref="K2:O2"/>
    <mergeCell ref="AO2:AW2"/>
    <mergeCell ref="AY2:BC2"/>
    <mergeCell ref="S9:S10"/>
  </mergeCells>
  <conditionalFormatting sqref="CB4:XFD30 BW4:BW28 BS4:BT28 W29:AX29 A33:F57 J33:R33 A11:R32 A2:T10 V2:AO2 AX2 BP29:BW29 A63:XFD1048576 T12:T37 U35:XFD37 BD2:BD29 BM31:XFD33 BM30:BW30 BH29:BI33 BH2:XFD3 U30:BD30 AR31:BD31 W3:AM28 A58:BD62 BH38:XFD62 J34:S37 BH34:XFD34 A1:AN1 AV1:XFD1 AO31:AP31 U33:BD34 AM31 U31:AG32 AK32:BD32 AO3:AX26 J43:BD57 J42:M42 O42:BD42 J38:BD41 AO27:AO28 AQ27:AX28">
    <cfRule type="containsErrors" dxfId="325" priority="14">
      <formula>ISERROR(A1)</formula>
    </cfRule>
  </conditionalFormatting>
  <conditionalFormatting sqref="G33:I34 G35:H57">
    <cfRule type="containsErrors" dxfId="324" priority="13">
      <formula>ISERROR(G33)</formula>
    </cfRule>
  </conditionalFormatting>
  <conditionalFormatting sqref="T12:T33">
    <cfRule type="containsErrors" dxfId="323" priority="12">
      <formula>ISERROR(T12)</formula>
    </cfRule>
  </conditionalFormatting>
  <conditionalFormatting sqref="I35:I57">
    <cfRule type="containsErrors" dxfId="322" priority="11">
      <formula>ISERROR(I35)</formula>
    </cfRule>
  </conditionalFormatting>
  <conditionalFormatting sqref="AY2:BC29">
    <cfRule type="containsErrors" dxfId="321" priority="8">
      <formula>ISERROR(AY2)</formula>
    </cfRule>
  </conditionalFormatting>
  <conditionalFormatting sqref="BE10:BG11 BE12:BF34">
    <cfRule type="containsErrors" dxfId="320" priority="10">
      <formula>ISERROR(BE10)</formula>
    </cfRule>
  </conditionalFormatting>
  <conditionalFormatting sqref="BG12:BG28 BG34">
    <cfRule type="containsErrors" dxfId="319" priority="9">
      <formula>ISERROR(BG12)</formula>
    </cfRule>
  </conditionalFormatting>
  <conditionalFormatting sqref="BE2:BG6">
    <cfRule type="containsErrors" dxfId="318" priority="7">
      <formula>ISERROR(BE2)</formula>
    </cfRule>
  </conditionalFormatting>
  <conditionalFormatting sqref="BF7:BG8">
    <cfRule type="containsErrors" dxfId="317" priority="5">
      <formula>ISERROR(BF7)</formula>
    </cfRule>
  </conditionalFormatting>
  <conditionalFormatting sqref="BE7:BE8">
    <cfRule type="containsErrors" dxfId="316" priority="6">
      <formula>ISERROR(BE7)</formula>
    </cfRule>
  </conditionalFormatting>
  <conditionalFormatting sqref="S30:S33">
    <cfRule type="containsErrors" dxfId="315" priority="4">
      <formula>ISERROR(S30)</formula>
    </cfRule>
  </conditionalFormatting>
  <conditionalFormatting sqref="AP27:AP28">
    <cfRule type="containsErrors" dxfId="314" priority="3">
      <formula>ISERROR(AP27)</formula>
    </cfRule>
  </conditionalFormatting>
  <conditionalFormatting sqref="BG29:BG32">
    <cfRule type="containsErrors" dxfId="313" priority="2">
      <formula>ISERROR(BG29)</formula>
    </cfRule>
  </conditionalFormatting>
  <conditionalFormatting sqref="BG33">
    <cfRule type="containsErrors" dxfId="312" priority="1">
      <formula>ISERROR(BG33)</formula>
    </cfRule>
  </conditionalFormatting>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theme="4" tint="0.79998168889431442"/>
  </sheetPr>
  <dimension ref="A1:BH57"/>
  <sheetViews>
    <sheetView topLeftCell="AG1" zoomScale="55" zoomScaleNormal="55" workbookViewId="0">
      <pane ySplit="1" topLeftCell="A29" activePane="bottomLeft" state="frozen"/>
      <selection activeCell="AG8" sqref="AG8:AG10"/>
      <selection pane="bottomLeft" activeCell="AG8" sqref="AG8:AG10"/>
    </sheetView>
  </sheetViews>
  <sheetFormatPr defaultRowHeight="15" x14ac:dyDescent="0.25"/>
  <cols>
    <col min="1" max="1" width="8.28515625" customWidth="1"/>
    <col min="2" max="2" width="7.28515625" customWidth="1"/>
    <col min="4" max="4" width="6.5703125" customWidth="1"/>
    <col min="7" max="7" width="24" customWidth="1"/>
    <col min="8" max="8" width="30.5703125" customWidth="1"/>
    <col min="9" max="9" width="26.5703125" customWidth="1"/>
    <col min="10" max="10" width="10.5703125" bestFit="1" customWidth="1"/>
    <col min="11" max="11" width="9.140625" customWidth="1"/>
    <col min="13" max="13" width="7.85546875" customWidth="1"/>
    <col min="17" max="17" width="19.5703125" customWidth="1"/>
    <col min="18" max="18" width="11.85546875" customWidth="1"/>
    <col min="19" max="19" width="16.5703125" customWidth="1"/>
    <col min="20" max="20" width="14.140625" customWidth="1"/>
    <col min="35" max="35" width="14" customWidth="1"/>
    <col min="36" max="37" width="12" customWidth="1"/>
    <col min="39" max="39" width="19" customWidth="1"/>
    <col min="43" max="43" width="18" style="7" customWidth="1"/>
    <col min="49" max="49" width="11.28515625" customWidth="1"/>
    <col min="52" max="52" width="12" customWidth="1"/>
    <col min="54" max="54" width="10.7109375" bestFit="1" customWidth="1"/>
    <col min="56" max="56" width="4.5703125" customWidth="1"/>
    <col min="57" max="57" width="21.28515625" customWidth="1"/>
    <col min="58" max="58" width="15.42578125" customWidth="1"/>
    <col min="59" max="59" width="19.28515625" customWidth="1"/>
    <col min="61" max="61" width="5.7109375" customWidth="1"/>
    <col min="62" max="62" width="13" customWidth="1"/>
    <col min="63" max="63" width="17.42578125" customWidth="1"/>
  </cols>
  <sheetData>
    <row r="1" spans="1:60" x14ac:dyDescent="0.25">
      <c r="A1" s="1" t="s">
        <v>0</v>
      </c>
      <c r="B1" s="2" t="str">
        <f>VLOOKUP(Stn_WL,OFFSET_A,Count_WL+1,FALSE)</f>
        <v xml:space="preserve">  </v>
      </c>
      <c r="C1" s="3"/>
      <c r="D1" s="4"/>
      <c r="E1" s="4" t="s">
        <v>1</v>
      </c>
      <c r="F1" s="5">
        <v>14</v>
      </c>
      <c r="G1" s="4"/>
      <c r="H1" s="4"/>
      <c r="I1" s="4"/>
      <c r="J1" s="4"/>
      <c r="K1" s="4"/>
      <c r="L1" s="4"/>
      <c r="M1" s="4"/>
      <c r="N1" s="4"/>
      <c r="O1" s="4"/>
      <c r="P1" s="4"/>
      <c r="Q1" s="4"/>
      <c r="R1" s="4"/>
      <c r="S1" s="4"/>
      <c r="V1" t="s">
        <v>2</v>
      </c>
      <c r="W1">
        <f ca="1">COUNTIF(OFFSET(Z4,,,ROUNDDOWN(Max_STN_count/2+1,0),1),TRUE)</f>
        <v>5</v>
      </c>
      <c r="X1">
        <f ca="1">COUNTIF(OFFSET(AA4,,,ROUNDDOWN(Max_STN_count/2+1,0),1),TRUE)</f>
        <v>5</v>
      </c>
      <c r="Y1">
        <f ca="1">W1-X1</f>
        <v>0</v>
      </c>
      <c r="AB1" s="6" t="s">
        <v>3</v>
      </c>
      <c r="AC1">
        <f ca="1">COUNTIF(OFFSET(Z4,ROUNDUP(Max_STN_count/2,0),,ROUNDDOWN(Max_STN_count/2,0),1),TRUE)</f>
        <v>5</v>
      </c>
      <c r="AD1">
        <f ca="1">COUNTIF(OFFSET(AA4,ROUNDUP(Max_STN_count/2,0),,ROUNDDOWN(Max_STN_count/2,0),1),TRUE)</f>
        <v>5</v>
      </c>
      <c r="AE1">
        <f ca="1">AC1-AD1</f>
        <v>0</v>
      </c>
      <c r="AG1" t="s">
        <v>4</v>
      </c>
      <c r="AH1">
        <f>COUNTIF(AG4:AG28,TRUE)</f>
        <v>17</v>
      </c>
      <c r="AI1">
        <f ca="1">COUNTIF(OFFSET(AG4,,,ROUNDUP(Max_STN_count/2,0),1),FALSE)</f>
        <v>4</v>
      </c>
      <c r="AW1">
        <f ca="1">COUNTIF(OFFSET(AG4,,,Max_STN_count,1),TRUE)</f>
        <v>17</v>
      </c>
    </row>
    <row r="2" spans="1:60" x14ac:dyDescent="0.25">
      <c r="A2" s="491" t="s">
        <v>5</v>
      </c>
      <c r="B2" s="492"/>
      <c r="C2" s="492"/>
      <c r="D2" s="492"/>
      <c r="E2" s="492"/>
      <c r="F2" s="492"/>
      <c r="G2" s="492"/>
      <c r="H2" s="492"/>
      <c r="I2" s="493"/>
      <c r="J2" s="4"/>
      <c r="K2" s="491" t="s">
        <v>6</v>
      </c>
      <c r="L2" s="492"/>
      <c r="M2" s="492"/>
      <c r="N2" s="492"/>
      <c r="O2" s="493"/>
      <c r="P2" s="4"/>
      <c r="Q2" s="8" t="s">
        <v>7</v>
      </c>
      <c r="R2" s="9" t="s">
        <v>8</v>
      </c>
      <c r="S2" s="10">
        <f>WLS</f>
        <v>2</v>
      </c>
      <c r="V2" s="11"/>
      <c r="W2" s="11"/>
      <c r="X2" s="11"/>
      <c r="Y2" s="11"/>
      <c r="Z2" s="11"/>
      <c r="AA2" s="11"/>
      <c r="AB2" s="11"/>
      <c r="AC2" s="11"/>
      <c r="AD2" s="11"/>
      <c r="AE2" s="11"/>
      <c r="AF2" s="11"/>
      <c r="AG2" s="11"/>
      <c r="AH2" s="11"/>
      <c r="AI2" s="11"/>
      <c r="AJ2" s="11"/>
      <c r="AK2" s="11"/>
      <c r="AL2" s="11"/>
      <c r="AM2" s="11"/>
      <c r="AN2" s="11"/>
      <c r="AO2" s="491" t="s">
        <v>5</v>
      </c>
      <c r="AP2" s="492"/>
      <c r="AQ2" s="492"/>
      <c r="AR2" s="492"/>
      <c r="AS2" s="492"/>
      <c r="AT2" s="492"/>
      <c r="AU2" s="492"/>
      <c r="AV2" s="492"/>
      <c r="AW2" s="493"/>
      <c r="AY2" s="491" t="s">
        <v>6</v>
      </c>
      <c r="AZ2" s="492"/>
      <c r="BA2" s="492"/>
      <c r="BB2" s="492"/>
      <c r="BC2" s="493"/>
      <c r="BE2" s="8" t="s">
        <v>7</v>
      </c>
      <c r="BF2" s="9" t="s">
        <v>8</v>
      </c>
      <c r="BG2" s="10">
        <f>WLS</f>
        <v>2</v>
      </c>
    </row>
    <row r="3" spans="1:60" x14ac:dyDescent="0.25">
      <c r="A3" s="12" t="s">
        <v>9</v>
      </c>
      <c r="B3" s="13" t="s">
        <v>10</v>
      </c>
      <c r="C3" s="14" t="s">
        <v>11</v>
      </c>
      <c r="D3" s="14" t="s">
        <v>12</v>
      </c>
      <c r="E3" s="14" t="s">
        <v>13</v>
      </c>
      <c r="F3" s="14" t="s">
        <v>14</v>
      </c>
      <c r="G3" s="14" t="s">
        <v>15</v>
      </c>
      <c r="H3" s="14" t="s">
        <v>16</v>
      </c>
      <c r="I3" s="14" t="s">
        <v>17</v>
      </c>
      <c r="J3" s="15"/>
      <c r="K3" s="14" t="s">
        <v>18</v>
      </c>
      <c r="L3" s="14" t="s">
        <v>19</v>
      </c>
      <c r="M3" s="14" t="s">
        <v>20</v>
      </c>
      <c r="N3" s="14" t="s">
        <v>21</v>
      </c>
      <c r="O3" s="14" t="s">
        <v>22</v>
      </c>
      <c r="P3" s="15"/>
      <c r="Q3" s="16" t="s">
        <v>23</v>
      </c>
      <c r="R3" s="9" t="s">
        <v>8</v>
      </c>
      <c r="S3" s="10">
        <f>STN_GAP</f>
        <v>7.31</v>
      </c>
      <c r="W3" s="17" t="s">
        <v>11</v>
      </c>
      <c r="X3" s="17"/>
      <c r="Y3" s="17"/>
      <c r="Z3" s="17" t="s">
        <v>24</v>
      </c>
      <c r="AA3" s="17"/>
      <c r="AB3" s="17"/>
      <c r="AC3" s="17"/>
      <c r="AD3" s="17"/>
      <c r="AE3" s="17"/>
      <c r="AF3" s="17"/>
      <c r="AG3" s="17" t="s">
        <v>4</v>
      </c>
      <c r="AH3" s="17"/>
      <c r="AI3" s="17" t="s">
        <v>25</v>
      </c>
      <c r="AJ3" s="17"/>
      <c r="AK3" s="17"/>
      <c r="AL3" s="17"/>
      <c r="AM3" s="18" t="s">
        <v>11</v>
      </c>
      <c r="AO3" s="12" t="s">
        <v>9</v>
      </c>
      <c r="AP3" s="13" t="s">
        <v>10</v>
      </c>
      <c r="AQ3" s="19"/>
      <c r="AR3" s="14" t="s">
        <v>12</v>
      </c>
      <c r="AS3" s="14" t="s">
        <v>13</v>
      </c>
      <c r="AT3" s="14" t="s">
        <v>14</v>
      </c>
      <c r="AU3" s="14" t="s">
        <v>15</v>
      </c>
      <c r="AV3" s="14" t="s">
        <v>16</v>
      </c>
      <c r="AW3" s="14" t="s">
        <v>17</v>
      </c>
      <c r="AY3" s="14" t="s">
        <v>18</v>
      </c>
      <c r="AZ3" s="14" t="s">
        <v>19</v>
      </c>
      <c r="BA3" s="14" t="s">
        <v>20</v>
      </c>
      <c r="BB3" s="14" t="s">
        <v>21</v>
      </c>
      <c r="BC3" s="14" t="s">
        <v>22</v>
      </c>
      <c r="BE3" s="16" t="s">
        <v>23</v>
      </c>
      <c r="BF3" s="9" t="s">
        <v>8</v>
      </c>
      <c r="BG3" s="10">
        <f>STN_GAP</f>
        <v>7.31</v>
      </c>
    </row>
    <row r="4" spans="1:60" x14ac:dyDescent="0.25">
      <c r="A4" s="20">
        <f>Tools!$AD3</f>
        <v>0</v>
      </c>
      <c r="B4" s="21" t="str">
        <f t="shared" ref="B4:B28" si="0">VLOOKUP(A4,OFFSET_A,Count_WL+1,FALSE)</f>
        <v xml:space="preserve">  </v>
      </c>
      <c r="C4" s="22">
        <f>IF(A4="  ","  ",IF(A5="  ","?",1*(A5-A4)))</f>
        <v>0.5</v>
      </c>
      <c r="D4" s="23" t="str">
        <f>IFERROR(B4*C4,"  ")</f>
        <v xml:space="preserve">  </v>
      </c>
      <c r="E4" s="24">
        <f t="shared" ref="E4:E28" si="1">IFERROR(A4-(Long_Div/2),"  ")</f>
        <v>-10</v>
      </c>
      <c r="F4" s="23" t="str">
        <f>IFERROR(D4*E4,"  ")</f>
        <v xml:space="preserve">  </v>
      </c>
      <c r="G4" s="23" t="str">
        <f>IFERROR(F4*E4,"  ")</f>
        <v xml:space="preserve">  </v>
      </c>
      <c r="H4" s="23" t="str">
        <f>IFERROR(B4^3,"  ")</f>
        <v xml:space="preserve">  </v>
      </c>
      <c r="I4" s="23" t="str">
        <f>IFERROR(H4*C4,"  ")</f>
        <v xml:space="preserve">  </v>
      </c>
      <c r="J4" s="4"/>
      <c r="K4" s="25" t="str">
        <f t="shared" ref="K4:K28" si="2">VLOOKUP(A4,AREA_TABLE,Count_WL+1,FALSE)</f>
        <v xml:space="preserve"> </v>
      </c>
      <c r="L4" s="23" t="str">
        <f>IFERROR(K4*C4,"  ")</f>
        <v xml:space="preserve">  </v>
      </c>
      <c r="M4" s="26" t="str">
        <f t="shared" ref="M4:M28" si="3">VLOOKUP(A4,MOMENT_TABLE,Count_WL+1,FALSE)</f>
        <v xml:space="preserve"> </v>
      </c>
      <c r="N4" s="27" t="str">
        <f>IFERROR(M4*C4,"  ")</f>
        <v xml:space="preserve">  </v>
      </c>
      <c r="O4" s="23" t="str">
        <f>IFERROR(L4*E4,"  ")</f>
        <v xml:space="preserve">  </v>
      </c>
      <c r="P4" s="4"/>
      <c r="Q4" s="16" t="s">
        <v>26</v>
      </c>
      <c r="R4" s="9" t="s">
        <v>8</v>
      </c>
      <c r="S4" s="28">
        <f>LBP</f>
        <v>146.19999999999999</v>
      </c>
      <c r="W4" s="29">
        <f>IF(AO4="  ","  ",IF(AO5="  ","?",1*(AO5-AO4)))</f>
        <v>0.5</v>
      </c>
      <c r="X4" s="30" t="str">
        <f t="shared" ref="X4:X28" si="4">IF(Y4=0,"--",CONCATENATE(IF(AO4=0,"-",IF(Y3=0,"-",IF(AO4-AO3=0.5,"D",IF(AO4-AO3=1,"W","-")))),IF(AO4=Long_Div,"-",IF(Y5=0,"-",IF(AO5-AO4=0.5,"D",IF(AO5-AO4=1,"W","-"))))))</f>
        <v>-D</v>
      </c>
      <c r="Y4" s="30" t="str">
        <f t="shared" ref="Y4:Y28" si="5">IF(ISNUMBER(AO4),IF(AO4=Long_Div/2,"-",IF(AND(AO4=Long_Div,$AP4=0,$AP3=0),0,IF(AND(AO4=0,$AP4=0,$AP5=0),0,IF($AO4&lt;Long_Div/2,IF(AND(Y3=0,$AP4=0,$AP5=0),0,"-"),IF(AND(Y5=0,$AP4=0,$AP3=0),0,"-")))))," ")</f>
        <v>-</v>
      </c>
      <c r="Z4" s="29" t="b">
        <f t="shared" ref="Z4:Z28" si="6">IF(ISNUMBER(AO4),IF(AO4=0,IF(AO5=0.5,TRUE,FALSE),IF(AO4=Long_Div,IF(AO3=Long_Div-0.5,TRUE,FALSE),IF(OR(AO5-AO4=0.5,AO4-AO3=0.5),TRUE,FALSE)))," ")</f>
        <v>1</v>
      </c>
      <c r="AA4" s="29" t="b">
        <f t="shared" ref="AA4:AA28" si="7">IF(ISNUMBER(AO4),IF(Y4=0," ",IF(AO4=0,IF(AO5=0.5,TRUE,"-"),IF(AO4=Long_Div,IF(AO3=Long_Div-0.5,TRUE,"-"),IF(OR(AO5-AO4=0.5,AO4-AO3=0.5),TRUE,FALSE))))," ")</f>
        <v>1</v>
      </c>
      <c r="AB4" s="29" t="str">
        <f t="shared" ref="AB4:AB28" ca="1" si="8">IF(AO4&lt;=Long_Div/2,IF(ISNUMBER(AO4),IF($X$1=0,"---",IF($X$1=1,"##",IF($X$1=2,IF(AD4=1,"141-4",IF(OR(AD4=0,AD4=2),"141-1","**")),IF(AC4&lt;=($Y$1),"--",IF(AC4&gt;$W$1,"++",IF(ISODD($X$1),IF(OR(AD4=1,AD4=$X$1),"141-1",IF(ISODD(AD4),"141-2",IF(ISEVEN(AD4),"141-4","+"))),IF(ISEVEN($X$1),IF(AD4=1,"1331-1",IF(OR(AD4=2,AD4=3),"1331-3",IF(AD4=4,IF($X$1=4,"1331-1","1331-1,141-1"),IF(AD4=$X$1,"141-1",IF(AD4&lt;=4,"??",IF(ISODD(AD4),"141-4",IF(ISEVEN(AD4),"141-2","SS"))))))))))))))," "),IF(AO4&gt;Long_Div/2,IF(ISNUMBER(AO4),IF($AD$1=0,"---",IF($AD$1=1,"##",IF($AD$1=2,IF(AD4=1,"141-4",IF(OR(AD4=0,AD4=2),"141-1","**")),IF(AC4&lt;=($AE$1),"--",IF(AC4&gt;$AC$1,"++",IF(ISODD($AD$1),IF(OR(AD4=1,AD4=$AD$1),"141-1",IF(ISODD(AD4),"141-2",IF(ISEVEN(AD4),"141-4","+"))),IF(ISEVEN($AD$1),IF(AD4=1,"1331-1",IF(OR(AD4=2,AD4=3),"1331-3",IF(AD4=4,IF($AD$1=4,"1331-1","1331-1,141-1"),IF(AD4=$AD$1,"141-1",IF(AD4&lt;=4,"??",IF(ISODD(AD4),"141-4",IF(ISEVEN(AD4),"141-2","SS"))))))))))))))," "),"@"))</f>
        <v>141-1</v>
      </c>
      <c r="AC4" s="29">
        <f>IF(ISNUMBER(AO4),IF(ISNUMBER(AO4),IF(OR(AO4=0,AO4=Long_Div),1,IF(AO4&gt;Long_Div/2,AC5+1,IF(AO4&lt;=Long_Div/2,AE3+1,"?")))," --")," ")</f>
        <v>1</v>
      </c>
      <c r="AD4" s="29">
        <f t="shared" ref="AD4:AD28" ca="1" si="9">IF(ISNUMBER(AO4),IF(AO4&gt;Long_Div/2,4-ROW(AD4)+Max_STN_count-$AE$1,ROW(AD4)-3-$Y$1)," ")</f>
        <v>1</v>
      </c>
      <c r="AE4" s="29">
        <v>1</v>
      </c>
      <c r="AF4" s="31" t="str">
        <f t="shared" ref="AF4:AF8" si="10">IF(AND(AG4=TRUE,OR(NOT(AG3=TRUE),AG3="Full")),1,IF(ISNUMBER(AF3),AF3+1," "))</f>
        <v xml:space="preserve"> </v>
      </c>
      <c r="AG4" s="29" t="b">
        <f t="shared" ref="AG4:AG28" si="11">IF(ISNUMBER(AO4),IF(AA4=" "," ",IF(AO4=0,IF(AO5-AO4=1,TRUE,FALSE),IF(AO4=Long_Div,IF(AO4-AO3=1,TRUE,FALSE),IF(OR(AO5-AO4=1,AO4-AO3=1),TRUE,FALSE))))," ")</f>
        <v>0</v>
      </c>
      <c r="AH4" s="30" t="str">
        <f t="shared" ref="AH4:AH13" si="12">IF(AND(AG4=TRUE,$AH$1=1),"141-4",IF(AG4=" ",IF(AND($AH$1=2,AF4=3),"141-1","-"),IF(OR(AG4=FALSE,AG4=" "),"-",IF(AG4=TRUE,IF(AND($AH$1=2,AF4=1),"141-1",IF(AND($AH$1=2,AF4=2),"141-4",IF(OR(ISODD($AH$1),AF4&gt;4),IF(AF4=1,"141-1",IF(OR(AB4="141-1",AB4="1331-1",AB4="1331-1,141-1"),"141-1",IF(AG5=" ","141-1",IF(OR(AH3="141-1",AH3="141-2",AH3="1331-1,141-1"),"141-4",IF(AH3="141-4","141-2","$$"))))),IF(ISEVEN($AH$1),IF(AF4=1,"1331-1",IF(OR(AF4=2,AF4=3),"1331-3",IF(AF4=4,IF($AH$1=4,"1331-1","1331-1,141-1"),"")))))))))))</f>
        <v>-</v>
      </c>
      <c r="AI4" s="30" t="str">
        <f t="shared" ref="AI4:AI28" ca="1" si="13">IF(OR(AB4="1331-1",AB4="1331-1,141-1"),"(1/2)*(3/8)",IF(AB4="1331-3","(1/2)*(9/8)",IF(AB4="141-1","(1/2)*(1/3)",IF(AB4="141-2","(1/2)*(2/3)",IF(AB4="141-4","(1/2)*(4/3)","")))))</f>
        <v>(1/2)*(1/3)</v>
      </c>
      <c r="AJ4" s="29">
        <f t="shared" ref="AJ4:AJ28" ca="1" si="14">IF(OR(AB4="1331-1",AB4="1331-1,141-1"),(1/2)*(3/8),IF(AB4="1331-3",(1/2)*(9/8),IF(AB4="141-1",(1/2)*(1/3),IF(AB4="141-2",(1/2)*(2/3),IF(AB4="141-4",(1/2)*(4/3),0)))))</f>
        <v>0.16666666666666666</v>
      </c>
      <c r="AK4" s="29" t="str">
        <f t="shared" ref="AK4:AK28" si="15">IF(AH4="1331-1,141-1","(1*3/8)+(1/3)",IF(LEFT(AH4,4)="141-",CONCATENATE(RIGHT(AH4,1),"/3"),IF(LEFT(AH4,4)="1331",CONCATENATE(RIGHT(AH4,1),"*3/8"),"")))</f>
        <v/>
      </c>
      <c r="AL4" s="29">
        <f t="shared" ref="AL4:AL28" si="16">IF(AH4="1331-1,141-1",(1*3/8)+(1/3),IF(LEFT(AH4,4)="141-",(RIGHT(AH4,1)/3),IF(LEFT(AH4,4)="1331",RIGHT(AH4,1)*3/8,0)))</f>
        <v>0</v>
      </c>
      <c r="AM4" s="32">
        <f ca="1">IF(AQ4=""," ",AJ4+AL4)</f>
        <v>0.16666666666666666</v>
      </c>
      <c r="AO4" s="20">
        <f>Tools!$AD3</f>
        <v>0</v>
      </c>
      <c r="AP4" s="33" t="str">
        <f t="shared" ref="AP4" si="17">VLOOKUP(AO4,OFFSET_A,Count_WL+1,FALSE)</f>
        <v xml:space="preserve">  </v>
      </c>
      <c r="AQ4" s="34" t="str">
        <f t="shared" ref="AQ4:AQ28" ca="1" si="18">CONCATENATE(AI4,IF(NOT(OR(AI4="",AK4="")),"+",""),AK4)</f>
        <v>(1/2)*(1/3)</v>
      </c>
      <c r="AR4" s="23" t="str">
        <f t="shared" ref="AR4:AR28" ca="1" si="19">IFERROR(AP4*AM4,"  ")</f>
        <v xml:space="preserve">  </v>
      </c>
      <c r="AS4" s="24">
        <f t="shared" ref="AS4:AS28" si="20">IFERROR(AO4-(Long_Div/2),"  ")</f>
        <v>-10</v>
      </c>
      <c r="AT4" s="23" t="str">
        <f ca="1">IFERROR(AR4*AS4,"  ")</f>
        <v xml:space="preserve">  </v>
      </c>
      <c r="AU4" s="23" t="str">
        <f ca="1">IFERROR(AT4*AS4,"  ")</f>
        <v xml:space="preserve">  </v>
      </c>
      <c r="AV4" s="23" t="str">
        <f t="shared" ref="AV4:AV28" si="21">IFERROR(AP4^3,"  ")</f>
        <v xml:space="preserve">  </v>
      </c>
      <c r="AW4" s="23" t="str">
        <f t="shared" ref="AW4:AW28" ca="1" si="22">IFERROR(AV4*AM4,"  ")</f>
        <v xml:space="preserve">  </v>
      </c>
      <c r="AY4" s="35" t="str">
        <f t="shared" ref="AY4:AY28" si="23">IF(ROW(AY4)-3&gt;Max_STN_count," ",VLOOKUP(AO4,AREA_TABLE,Count_WL+1,FALSE))</f>
        <v xml:space="preserve"> </v>
      </c>
      <c r="AZ4" s="23" t="str">
        <f t="shared" ref="AZ4:AZ7" ca="1" si="24">IFERROR(AY4*AM4,"  ")</f>
        <v xml:space="preserve">  </v>
      </c>
      <c r="BA4" s="36" t="str">
        <f t="shared" ref="BA4:BA28" si="25">IF(ROW(AY4)-3&gt;Max_STN_count," ",VLOOKUP(AO4,MOMENT_TABLE,Count_WL+1,FALSE))</f>
        <v xml:space="preserve"> </v>
      </c>
      <c r="BB4" s="27" t="str">
        <f ca="1">IFERROR(BA4*AM4,"  ")</f>
        <v xml:space="preserve">  </v>
      </c>
      <c r="BC4" s="23" t="str">
        <f ca="1">IFERROR(AZ4*AS4,"  ")</f>
        <v xml:space="preserve">  </v>
      </c>
      <c r="BE4" s="16" t="s">
        <v>26</v>
      </c>
      <c r="BF4" s="9" t="s">
        <v>8</v>
      </c>
      <c r="BG4" s="28">
        <f>LBP</f>
        <v>146.19999999999999</v>
      </c>
    </row>
    <row r="5" spans="1:60" x14ac:dyDescent="0.25">
      <c r="A5" s="20">
        <f>Tools!$AD4</f>
        <v>0.5</v>
      </c>
      <c r="B5" s="33" t="str">
        <f t="shared" si="0"/>
        <v xml:space="preserve">  </v>
      </c>
      <c r="C5" s="22">
        <f>IF(A5="  ","  ",IF(AND(A4="  ",A6="  "),"?",IF(A4="  ",2*(A6-A5),IF(A6="  ",2*(A5-A4),2*(A6-A4)))))</f>
        <v>2</v>
      </c>
      <c r="D5" s="23" t="str">
        <f t="shared" ref="D5:D28" si="26">IFERROR(B5*C5,"  ")</f>
        <v xml:space="preserve">  </v>
      </c>
      <c r="E5" s="24">
        <f t="shared" si="1"/>
        <v>-9.5</v>
      </c>
      <c r="F5" s="23" t="str">
        <f t="shared" ref="F5:F28" si="27">IFERROR(D5*E5,"  ")</f>
        <v xml:space="preserve">  </v>
      </c>
      <c r="G5" s="23" t="str">
        <f t="shared" ref="G5:G28" si="28">IFERROR(F5*E5,"  ")</f>
        <v xml:space="preserve">  </v>
      </c>
      <c r="H5" s="23" t="str">
        <f t="shared" ref="H5:H28" si="29">IFERROR(B5^3,"  ")</f>
        <v xml:space="preserve">  </v>
      </c>
      <c r="I5" s="23" t="str">
        <f t="shared" ref="I5:I28" si="30">IFERROR(H5*C5,"  ")</f>
        <v xml:space="preserve">  </v>
      </c>
      <c r="J5" s="4"/>
      <c r="K5" s="37" t="str">
        <f t="shared" si="2"/>
        <v xml:space="preserve"> </v>
      </c>
      <c r="L5" s="23" t="str">
        <f t="shared" ref="L5:L28" si="31">IFERROR(K5*C5,"  ")</f>
        <v xml:space="preserve">  </v>
      </c>
      <c r="M5" s="38" t="str">
        <f t="shared" si="3"/>
        <v xml:space="preserve"> </v>
      </c>
      <c r="N5" s="27" t="str">
        <f t="shared" ref="N5:N28" si="32">IFERROR(M5*C5,"  ")</f>
        <v xml:space="preserve">  </v>
      </c>
      <c r="O5" s="23" t="str">
        <f t="shared" ref="O5:O28" si="33">IFERROR(L5*E5,"  ")</f>
        <v xml:space="preserve">  </v>
      </c>
      <c r="P5" s="4"/>
      <c r="Q5" s="8" t="s">
        <v>27</v>
      </c>
      <c r="R5" s="9" t="s">
        <v>8</v>
      </c>
      <c r="S5" s="10">
        <f>BREADTH</f>
        <v>22</v>
      </c>
      <c r="W5" s="29">
        <f>IF(AO5="  ","  ",IF(AND(AO4="  ",AO6="  "),"?",IF(AO4="  ",2*(AO6-AO5),IF(AO6="  ",2*(AO5-AO4),2*(AO6-AO4)))))</f>
        <v>2</v>
      </c>
      <c r="X5" s="30" t="str">
        <f t="shared" si="4"/>
        <v>DD</v>
      </c>
      <c r="Y5" s="30" t="str">
        <f t="shared" si="5"/>
        <v>-</v>
      </c>
      <c r="Z5" s="29" t="b">
        <f t="shared" si="6"/>
        <v>1</v>
      </c>
      <c r="AA5" s="29" t="b">
        <f t="shared" si="7"/>
        <v>1</v>
      </c>
      <c r="AB5" s="29" t="str">
        <f t="shared" ca="1" si="8"/>
        <v>141-4</v>
      </c>
      <c r="AC5" s="29">
        <f t="shared" ref="AC5:AC27" si="34">IF(ISNUMBER(AO5),IF(ISNUMBER(AO5),IF(OR(AO5=0,AO5=Long_Div),1,IF(AO5&gt;Long_Div/2,AC6+1,IF(AO5&lt;=Long_Div/2,AC4+1,"?")))," --")," ")</f>
        <v>2</v>
      </c>
      <c r="AD5" s="29">
        <f t="shared" ca="1" si="9"/>
        <v>2</v>
      </c>
      <c r="AE5" s="29">
        <v>2</v>
      </c>
      <c r="AF5" s="31" t="str">
        <f t="shared" si="10"/>
        <v xml:space="preserve"> </v>
      </c>
      <c r="AG5" s="29" t="b">
        <f t="shared" si="11"/>
        <v>0</v>
      </c>
      <c r="AH5" s="30" t="str">
        <f t="shared" si="12"/>
        <v>-</v>
      </c>
      <c r="AI5" s="30" t="str">
        <f t="shared" ca="1" si="13"/>
        <v>(1/2)*(4/3)</v>
      </c>
      <c r="AJ5" s="29">
        <f t="shared" ca="1" si="14"/>
        <v>0.66666666666666663</v>
      </c>
      <c r="AK5" s="29" t="str">
        <f t="shared" si="15"/>
        <v/>
      </c>
      <c r="AL5" s="29">
        <f t="shared" si="16"/>
        <v>0</v>
      </c>
      <c r="AM5" s="32">
        <f t="shared" ref="AM5:AM28" ca="1" si="35">IF(AQ5=""," ",AJ5+AL5)</f>
        <v>0.66666666666666663</v>
      </c>
      <c r="AO5" s="20">
        <f>Tools!$AD4</f>
        <v>0.5</v>
      </c>
      <c r="AP5" s="33" t="str">
        <f t="shared" ref="AP5:AP26" si="36">VLOOKUP(AO5,OFFSET_A,Count_WL+1,FALSE)</f>
        <v xml:space="preserve">  </v>
      </c>
      <c r="AQ5" s="34" t="str">
        <f t="shared" ca="1" si="18"/>
        <v>(1/2)*(4/3)</v>
      </c>
      <c r="AR5" s="23" t="str">
        <f t="shared" ca="1" si="19"/>
        <v xml:space="preserve">  </v>
      </c>
      <c r="AS5" s="24">
        <f t="shared" si="20"/>
        <v>-9.5</v>
      </c>
      <c r="AT5" s="23" t="str">
        <f t="shared" ref="AT5:AT28" ca="1" si="37">IFERROR(AR5*AS5,"  ")</f>
        <v xml:space="preserve">  </v>
      </c>
      <c r="AU5" s="23" t="str">
        <f ca="1">IFERROR(AT5*AS5,"  ")</f>
        <v xml:space="preserve">  </v>
      </c>
      <c r="AV5" s="23" t="str">
        <f t="shared" si="21"/>
        <v xml:space="preserve">  </v>
      </c>
      <c r="AW5" s="23" t="str">
        <f t="shared" ca="1" si="22"/>
        <v xml:space="preserve">  </v>
      </c>
      <c r="AY5" s="35" t="str">
        <f t="shared" si="23"/>
        <v xml:space="preserve"> </v>
      </c>
      <c r="AZ5" s="23" t="str">
        <f t="shared" ca="1" si="24"/>
        <v xml:space="preserve">  </v>
      </c>
      <c r="BA5" s="36" t="str">
        <f t="shared" si="25"/>
        <v xml:space="preserve"> </v>
      </c>
      <c r="BB5" s="27" t="str">
        <f t="shared" ref="BB5:BB28" ca="1" si="38">IFERROR(BA5*AM5,"  ")</f>
        <v xml:space="preserve">  </v>
      </c>
      <c r="BC5" s="23" t="str">
        <f t="shared" ref="BC5:BC28" ca="1" si="39">IFERROR(AZ5*AS5,"  ")</f>
        <v xml:space="preserve">  </v>
      </c>
      <c r="BE5" s="8" t="s">
        <v>27</v>
      </c>
      <c r="BF5" s="9" t="s">
        <v>8</v>
      </c>
      <c r="BG5" s="10">
        <f>BREADTH</f>
        <v>22</v>
      </c>
    </row>
    <row r="6" spans="1:60" x14ac:dyDescent="0.25">
      <c r="A6" s="20">
        <f>Tools!$AD5</f>
        <v>1</v>
      </c>
      <c r="B6" s="33" t="str">
        <f t="shared" si="0"/>
        <v xml:space="preserve">  </v>
      </c>
      <c r="C6" s="22">
        <f>IF(A6="  ","  ",IF(AND(A5="  ",A7="  "),"?",IF(A5="  ",1*(A7-A6),IF(A7="  ",1*(A6-A5),1*(A7-A5)))))</f>
        <v>1</v>
      </c>
      <c r="D6" s="23" t="str">
        <f t="shared" si="26"/>
        <v xml:space="preserve">  </v>
      </c>
      <c r="E6" s="24">
        <f t="shared" si="1"/>
        <v>-9</v>
      </c>
      <c r="F6" s="23" t="str">
        <f t="shared" si="27"/>
        <v xml:space="preserve">  </v>
      </c>
      <c r="G6" s="23" t="str">
        <f t="shared" si="28"/>
        <v xml:space="preserve">  </v>
      </c>
      <c r="H6" s="23" t="str">
        <f t="shared" si="29"/>
        <v xml:space="preserve">  </v>
      </c>
      <c r="I6" s="23" t="str">
        <f t="shared" si="30"/>
        <v xml:space="preserve">  </v>
      </c>
      <c r="J6" s="4"/>
      <c r="K6" s="37" t="str">
        <f t="shared" si="2"/>
        <v xml:space="preserve"> </v>
      </c>
      <c r="L6" s="23" t="str">
        <f t="shared" si="31"/>
        <v xml:space="preserve">  </v>
      </c>
      <c r="M6" s="38" t="str">
        <f t="shared" si="3"/>
        <v xml:space="preserve"> </v>
      </c>
      <c r="N6" s="27" t="str">
        <f t="shared" si="32"/>
        <v xml:space="preserve">  </v>
      </c>
      <c r="O6" s="23" t="str">
        <f t="shared" si="33"/>
        <v xml:space="preserve">  </v>
      </c>
      <c r="P6" s="4"/>
      <c r="Q6" s="8" t="s">
        <v>28</v>
      </c>
      <c r="R6" s="9" t="s">
        <v>8</v>
      </c>
      <c r="S6" s="10">
        <f>DEPTH</f>
        <v>13</v>
      </c>
      <c r="W6" s="29">
        <f>IF(AO6="  ","  ",IF(AND(AO5="  ",AO7="  "),"?",IF(AO5="  ",1*(AO7-AO6),IF(AO7="  ",1*(AO6-AO5),1*(AO7-AO5)))))</f>
        <v>1</v>
      </c>
      <c r="X6" s="30" t="str">
        <f t="shared" si="4"/>
        <v>DD</v>
      </c>
      <c r="Y6" s="30" t="str">
        <f t="shared" si="5"/>
        <v>-</v>
      </c>
      <c r="Z6" s="29" t="b">
        <f t="shared" si="6"/>
        <v>1</v>
      </c>
      <c r="AA6" s="29" t="b">
        <f t="shared" si="7"/>
        <v>1</v>
      </c>
      <c r="AB6" s="29" t="str">
        <f t="shared" ca="1" si="8"/>
        <v>141-2</v>
      </c>
      <c r="AC6" s="29">
        <f t="shared" si="34"/>
        <v>3</v>
      </c>
      <c r="AD6" s="29">
        <f t="shared" ca="1" si="9"/>
        <v>3</v>
      </c>
      <c r="AE6" s="29">
        <v>3</v>
      </c>
      <c r="AF6" s="31" t="str">
        <f t="shared" si="10"/>
        <v xml:space="preserve"> </v>
      </c>
      <c r="AG6" s="29" t="b">
        <f t="shared" si="11"/>
        <v>0</v>
      </c>
      <c r="AH6" s="30" t="str">
        <f t="shared" si="12"/>
        <v>-</v>
      </c>
      <c r="AI6" s="30" t="str">
        <f t="shared" ca="1" si="13"/>
        <v>(1/2)*(2/3)</v>
      </c>
      <c r="AJ6" s="29">
        <f t="shared" ca="1" si="14"/>
        <v>0.33333333333333331</v>
      </c>
      <c r="AK6" s="29" t="str">
        <f t="shared" si="15"/>
        <v/>
      </c>
      <c r="AL6" s="29">
        <f t="shared" si="16"/>
        <v>0</v>
      </c>
      <c r="AM6" s="32">
        <f t="shared" ca="1" si="35"/>
        <v>0.33333333333333331</v>
      </c>
      <c r="AO6" s="20">
        <f>Tools!$AD5</f>
        <v>1</v>
      </c>
      <c r="AP6" s="33" t="str">
        <f t="shared" si="36"/>
        <v xml:space="preserve">  </v>
      </c>
      <c r="AQ6" s="34" t="str">
        <f t="shared" ca="1" si="18"/>
        <v>(1/2)*(2/3)</v>
      </c>
      <c r="AR6" s="23" t="str">
        <f t="shared" ca="1" si="19"/>
        <v xml:space="preserve">  </v>
      </c>
      <c r="AS6" s="24">
        <f t="shared" si="20"/>
        <v>-9</v>
      </c>
      <c r="AT6" s="23" t="str">
        <f t="shared" ca="1" si="37"/>
        <v xml:space="preserve">  </v>
      </c>
      <c r="AU6" s="23" t="str">
        <f ca="1">IFERROR(AT6*AS6,"  ")</f>
        <v xml:space="preserve">  </v>
      </c>
      <c r="AV6" s="23" t="str">
        <f t="shared" si="21"/>
        <v xml:space="preserve">  </v>
      </c>
      <c r="AW6" s="23" t="str">
        <f t="shared" ca="1" si="22"/>
        <v xml:space="preserve">  </v>
      </c>
      <c r="AY6" s="35" t="str">
        <f t="shared" si="23"/>
        <v xml:space="preserve"> </v>
      </c>
      <c r="AZ6" s="23" t="str">
        <f t="shared" ca="1" si="24"/>
        <v xml:space="preserve">  </v>
      </c>
      <c r="BA6" s="36" t="str">
        <f t="shared" si="25"/>
        <v xml:space="preserve"> </v>
      </c>
      <c r="BB6" s="27" t="str">
        <f t="shared" ca="1" si="38"/>
        <v xml:space="preserve">  </v>
      </c>
      <c r="BC6" s="23" t="str">
        <f t="shared" ca="1" si="39"/>
        <v xml:space="preserve">  </v>
      </c>
      <c r="BE6" s="8" t="s">
        <v>28</v>
      </c>
      <c r="BF6" s="9" t="s">
        <v>8</v>
      </c>
      <c r="BG6" s="10">
        <f>DEPTH</f>
        <v>13</v>
      </c>
    </row>
    <row r="7" spans="1:60" x14ac:dyDescent="0.25">
      <c r="A7" s="20">
        <f>Tools!$AD6</f>
        <v>1.5</v>
      </c>
      <c r="B7" s="33" t="str">
        <f t="shared" si="0"/>
        <v xml:space="preserve">  </v>
      </c>
      <c r="C7" s="22">
        <f>IF(A7="  ","  ",IF(AND(A6="  ",A8="  "),"?",IF(A6="  ",2*(A8-A7),IF(A8="  ",2*(A7-A6),2*(A8-A6)))))</f>
        <v>2</v>
      </c>
      <c r="D7" s="23" t="str">
        <f t="shared" si="26"/>
        <v xml:space="preserve">  </v>
      </c>
      <c r="E7" s="24">
        <f t="shared" si="1"/>
        <v>-8.5</v>
      </c>
      <c r="F7" s="23" t="str">
        <f t="shared" si="27"/>
        <v xml:space="preserve">  </v>
      </c>
      <c r="G7" s="23" t="str">
        <f t="shared" si="28"/>
        <v xml:space="preserve">  </v>
      </c>
      <c r="H7" s="23" t="str">
        <f t="shared" si="29"/>
        <v xml:space="preserve">  </v>
      </c>
      <c r="I7" s="23" t="str">
        <f t="shared" si="30"/>
        <v xml:space="preserve">  </v>
      </c>
      <c r="J7" s="4"/>
      <c r="K7" s="37" t="str">
        <f t="shared" si="2"/>
        <v xml:space="preserve"> </v>
      </c>
      <c r="L7" s="23" t="str">
        <f t="shared" si="31"/>
        <v xml:space="preserve">  </v>
      </c>
      <c r="M7" s="38" t="str">
        <f t="shared" si="3"/>
        <v xml:space="preserve"> </v>
      </c>
      <c r="N7" s="27" t="str">
        <f t="shared" si="32"/>
        <v xml:space="preserve">  </v>
      </c>
      <c r="O7" s="23" t="str">
        <f t="shared" si="33"/>
        <v xml:space="preserve">  </v>
      </c>
      <c r="P7" s="4"/>
      <c r="Q7" s="39" t="s">
        <v>29</v>
      </c>
      <c r="R7" s="40" t="s">
        <v>8</v>
      </c>
      <c r="S7" s="41" t="str">
        <f>IF(MAX(B4:B28)=0," ",2*MAX(B4:B28))</f>
        <v xml:space="preserve"> </v>
      </c>
      <c r="W7" s="29">
        <f>IF(AO7="  ","  ",IF(AND(AO6="  ",AO8="  "),"?",IF(AO6="  ",2*(AO8-AO7),IF(AO8="  ",2*(AO7-AO6),2*(AO8-AO6)))))</f>
        <v>2</v>
      </c>
      <c r="X7" s="30" t="str">
        <f t="shared" si="4"/>
        <v>DD</v>
      </c>
      <c r="Y7" s="30" t="str">
        <f t="shared" si="5"/>
        <v>-</v>
      </c>
      <c r="Z7" s="29" t="b">
        <f t="shared" si="6"/>
        <v>1</v>
      </c>
      <c r="AA7" s="29" t="b">
        <f t="shared" si="7"/>
        <v>1</v>
      </c>
      <c r="AB7" s="29" t="str">
        <f t="shared" ca="1" si="8"/>
        <v>141-4</v>
      </c>
      <c r="AC7" s="29">
        <f t="shared" si="34"/>
        <v>4</v>
      </c>
      <c r="AD7" s="29">
        <f t="shared" ca="1" si="9"/>
        <v>4</v>
      </c>
      <c r="AE7" s="29">
        <v>4</v>
      </c>
      <c r="AF7" s="31" t="str">
        <f t="shared" si="10"/>
        <v xml:space="preserve"> </v>
      </c>
      <c r="AG7" s="29" t="b">
        <f t="shared" si="11"/>
        <v>0</v>
      </c>
      <c r="AH7" s="30" t="str">
        <f t="shared" si="12"/>
        <v>-</v>
      </c>
      <c r="AI7" s="30" t="str">
        <f t="shared" ca="1" si="13"/>
        <v>(1/2)*(4/3)</v>
      </c>
      <c r="AJ7" s="29">
        <f t="shared" ca="1" si="14"/>
        <v>0.66666666666666663</v>
      </c>
      <c r="AK7" s="29" t="str">
        <f t="shared" si="15"/>
        <v/>
      </c>
      <c r="AL7" s="29">
        <f t="shared" si="16"/>
        <v>0</v>
      </c>
      <c r="AM7" s="32">
        <f t="shared" ca="1" si="35"/>
        <v>0.66666666666666663</v>
      </c>
      <c r="AO7" s="20">
        <f>Tools!$AD6</f>
        <v>1.5</v>
      </c>
      <c r="AP7" s="33" t="str">
        <f t="shared" si="36"/>
        <v xml:space="preserve">  </v>
      </c>
      <c r="AQ7" s="34" t="str">
        <f t="shared" ca="1" si="18"/>
        <v>(1/2)*(4/3)</v>
      </c>
      <c r="AR7" s="23" t="str">
        <f t="shared" ca="1" si="19"/>
        <v xml:space="preserve">  </v>
      </c>
      <c r="AS7" s="24">
        <f t="shared" si="20"/>
        <v>-8.5</v>
      </c>
      <c r="AT7" s="23" t="str">
        <f t="shared" ca="1" si="37"/>
        <v xml:space="preserve">  </v>
      </c>
      <c r="AU7" s="23" t="str">
        <f t="shared" ref="AU7:AU28" ca="1" si="40">IFERROR(AT7*AS7,"  ")</f>
        <v xml:space="preserve">  </v>
      </c>
      <c r="AV7" s="23" t="str">
        <f t="shared" si="21"/>
        <v xml:space="preserve">  </v>
      </c>
      <c r="AW7" s="23" t="str">
        <f t="shared" ca="1" si="22"/>
        <v xml:space="preserve">  </v>
      </c>
      <c r="AY7" s="35" t="str">
        <f t="shared" si="23"/>
        <v xml:space="preserve"> </v>
      </c>
      <c r="AZ7" s="23" t="str">
        <f t="shared" ca="1" si="24"/>
        <v xml:space="preserve">  </v>
      </c>
      <c r="BA7" s="36" t="str">
        <f t="shared" si="25"/>
        <v xml:space="preserve"> </v>
      </c>
      <c r="BB7" s="27" t="str">
        <f t="shared" ca="1" si="38"/>
        <v xml:space="preserve">  </v>
      </c>
      <c r="BC7" s="23" t="str">
        <f t="shared" ca="1" si="39"/>
        <v xml:space="preserve">  </v>
      </c>
      <c r="BE7" s="8" t="s">
        <v>29</v>
      </c>
      <c r="BF7" s="9" t="s">
        <v>8</v>
      </c>
      <c r="BG7" s="10" t="str">
        <f>IF(MAX(AP4:AP28)=0," ",2*MAX(AP4:AP28))</f>
        <v xml:space="preserve"> </v>
      </c>
    </row>
    <row r="8" spans="1:60" x14ac:dyDescent="0.25">
      <c r="A8" s="20">
        <f>Tools!$AD7</f>
        <v>2</v>
      </c>
      <c r="B8" s="33" t="str">
        <f t="shared" si="0"/>
        <v xml:space="preserve">  </v>
      </c>
      <c r="C8" s="22">
        <f>IF(A8="  ","  ",IF(AND(A7="  ",A9="  "),"?",IF(A7="  ",1*(A9-A8),IF(A9="  ",1*(A8-A7),1*(A9-A7)))))</f>
        <v>1.5</v>
      </c>
      <c r="D8" s="23" t="str">
        <f t="shared" si="26"/>
        <v xml:space="preserve">  </v>
      </c>
      <c r="E8" s="24">
        <f t="shared" si="1"/>
        <v>-8</v>
      </c>
      <c r="F8" s="23" t="str">
        <f t="shared" si="27"/>
        <v xml:space="preserve">  </v>
      </c>
      <c r="G8" s="23" t="str">
        <f t="shared" si="28"/>
        <v xml:space="preserve">  </v>
      </c>
      <c r="H8" s="23" t="str">
        <f t="shared" si="29"/>
        <v xml:space="preserve">  </v>
      </c>
      <c r="I8" s="23" t="str">
        <f t="shared" si="30"/>
        <v xml:space="preserve">  </v>
      </c>
      <c r="J8" s="4"/>
      <c r="K8" s="37" t="str">
        <f t="shared" si="2"/>
        <v xml:space="preserve"> </v>
      </c>
      <c r="L8" s="23" t="str">
        <f t="shared" si="31"/>
        <v xml:space="preserve">  </v>
      </c>
      <c r="M8" s="38" t="str">
        <f t="shared" si="3"/>
        <v xml:space="preserve"> </v>
      </c>
      <c r="N8" s="27" t="str">
        <f t="shared" si="32"/>
        <v xml:space="preserve">  </v>
      </c>
      <c r="O8" s="23" t="str">
        <f t="shared" si="33"/>
        <v xml:space="preserve">  </v>
      </c>
      <c r="P8" s="4"/>
      <c r="Q8" s="42"/>
      <c r="R8" s="42"/>
      <c r="S8" s="42"/>
      <c r="W8" s="29">
        <f>IF(AO8="  ","  ",IF(AND(AO7="  ",AO9="  "),"?",IF(AO7="  ",1*(AO9-AO8),IF(AO9="  ",1*(AO8-AO7),1*(AO9-AO7)))))</f>
        <v>1.5</v>
      </c>
      <c r="X8" s="30" t="str">
        <f t="shared" si="4"/>
        <v>DW</v>
      </c>
      <c r="Y8" s="30" t="str">
        <f t="shared" si="5"/>
        <v>-</v>
      </c>
      <c r="Z8" s="29" t="b">
        <f t="shared" si="6"/>
        <v>1</v>
      </c>
      <c r="AA8" s="29" t="b">
        <f t="shared" si="7"/>
        <v>1</v>
      </c>
      <c r="AB8" s="29" t="str">
        <f t="shared" ca="1" si="8"/>
        <v>141-1</v>
      </c>
      <c r="AC8" s="29">
        <f t="shared" si="34"/>
        <v>5</v>
      </c>
      <c r="AD8" s="29">
        <f t="shared" ca="1" si="9"/>
        <v>5</v>
      </c>
      <c r="AE8" s="29">
        <v>5</v>
      </c>
      <c r="AF8" s="31">
        <f t="shared" si="10"/>
        <v>1</v>
      </c>
      <c r="AG8" s="29" t="b">
        <f t="shared" si="11"/>
        <v>1</v>
      </c>
      <c r="AH8" s="30" t="str">
        <f t="shared" si="12"/>
        <v>141-1</v>
      </c>
      <c r="AI8" s="30" t="str">
        <f t="shared" ca="1" si="13"/>
        <v>(1/2)*(1/3)</v>
      </c>
      <c r="AJ8" s="29">
        <f t="shared" ca="1" si="14"/>
        <v>0.16666666666666666</v>
      </c>
      <c r="AK8" s="29" t="str">
        <f t="shared" si="15"/>
        <v>1/3</v>
      </c>
      <c r="AL8" s="29">
        <f t="shared" si="16"/>
        <v>0.33333333333333331</v>
      </c>
      <c r="AM8" s="32">
        <f t="shared" ca="1" si="35"/>
        <v>0.5</v>
      </c>
      <c r="AO8" s="20">
        <f>Tools!$AD7</f>
        <v>2</v>
      </c>
      <c r="AP8" s="33" t="str">
        <f t="shared" si="36"/>
        <v xml:space="preserve">  </v>
      </c>
      <c r="AQ8" s="34" t="str">
        <f t="shared" ca="1" si="18"/>
        <v>(1/2)*(1/3)+1/3</v>
      </c>
      <c r="AR8" s="23" t="str">
        <f t="shared" ca="1" si="19"/>
        <v xml:space="preserve">  </v>
      </c>
      <c r="AS8" s="24">
        <f t="shared" si="20"/>
        <v>-8</v>
      </c>
      <c r="AT8" s="23" t="str">
        <f t="shared" ca="1" si="37"/>
        <v xml:space="preserve">  </v>
      </c>
      <c r="AU8" s="23" t="str">
        <f t="shared" ca="1" si="40"/>
        <v xml:space="preserve">  </v>
      </c>
      <c r="AV8" s="23" t="str">
        <f t="shared" si="21"/>
        <v xml:space="preserve">  </v>
      </c>
      <c r="AW8" s="23" t="str">
        <f t="shared" ca="1" si="22"/>
        <v xml:space="preserve">  </v>
      </c>
      <c r="AY8" s="35" t="str">
        <f t="shared" si="23"/>
        <v xml:space="preserve"> </v>
      </c>
      <c r="AZ8" s="23" t="str">
        <f ca="1">IFERROR(AY8*AM8,"  ")</f>
        <v xml:space="preserve">  </v>
      </c>
      <c r="BA8" s="36" t="str">
        <f t="shared" si="25"/>
        <v xml:space="preserve"> </v>
      </c>
      <c r="BB8" s="27" t="str">
        <f t="shared" ca="1" si="38"/>
        <v xml:space="preserve">  </v>
      </c>
      <c r="BC8" s="23" t="str">
        <f t="shared" ca="1" si="39"/>
        <v xml:space="preserve">  </v>
      </c>
      <c r="BE8" s="8" t="s">
        <v>30</v>
      </c>
      <c r="BF8" s="9" t="s">
        <v>8</v>
      </c>
      <c r="BG8" s="10">
        <f ca="1">LBP-AJ33</f>
        <v>146.19999999999999</v>
      </c>
      <c r="BH8" t="str">
        <f ca="1">IF(AJ33&gt;0,CONCATENATE("(LWL is assumed between stations ",$AH$31," and ",$AH$33," as offset values extreme to these stations are zeros.)"),"")</f>
        <v/>
      </c>
    </row>
    <row r="9" spans="1:60" x14ac:dyDescent="0.25">
      <c r="A9" s="20">
        <f>Tools!$AD8</f>
        <v>3</v>
      </c>
      <c r="B9" s="33" t="str">
        <f t="shared" si="0"/>
        <v xml:space="preserve">  </v>
      </c>
      <c r="C9" s="22">
        <f>IF(A9="  ","  ",IF(AND(A8="  ",A10="  "),"?",IF(A8="  ",2*(A10-A9),IF(A10="  ",2*(A9-A8),2*(A10-A8)))))</f>
        <v>4</v>
      </c>
      <c r="D9" s="23" t="str">
        <f t="shared" si="26"/>
        <v xml:space="preserve">  </v>
      </c>
      <c r="E9" s="24">
        <f t="shared" si="1"/>
        <v>-7</v>
      </c>
      <c r="F9" s="23" t="str">
        <f t="shared" si="27"/>
        <v xml:space="preserve">  </v>
      </c>
      <c r="G9" s="23" t="str">
        <f t="shared" si="28"/>
        <v xml:space="preserve">  </v>
      </c>
      <c r="H9" s="23" t="str">
        <f t="shared" si="29"/>
        <v xml:space="preserve">  </v>
      </c>
      <c r="I9" s="23" t="str">
        <f t="shared" si="30"/>
        <v xml:space="preserve">  </v>
      </c>
      <c r="J9" s="4"/>
      <c r="K9" s="37" t="str">
        <f t="shared" si="2"/>
        <v xml:space="preserve"> </v>
      </c>
      <c r="L9" s="23" t="str">
        <f t="shared" si="31"/>
        <v xml:space="preserve">  </v>
      </c>
      <c r="M9" s="38" t="str">
        <f t="shared" si="3"/>
        <v xml:space="preserve"> </v>
      </c>
      <c r="N9" s="27" t="str">
        <f t="shared" si="32"/>
        <v xml:space="preserve">  </v>
      </c>
      <c r="O9" s="23" t="str">
        <f t="shared" si="33"/>
        <v xml:space="preserve">  </v>
      </c>
      <c r="P9" s="4"/>
      <c r="Q9" s="43" t="s">
        <v>31</v>
      </c>
      <c r="R9" s="44" t="s">
        <v>32</v>
      </c>
      <c r="S9" s="489" t="s">
        <v>33</v>
      </c>
      <c r="W9" s="29">
        <f>IF(AO9="  ","  ",IF(AND(AO8="  ",AO10="  "),"?",IF(AO8="  ",2*(AO10-AO9),IF(AO10="  ",2*(AO9-AO8),2*(AO10-AO8)))))</f>
        <v>4</v>
      </c>
      <c r="X9" s="30" t="str">
        <f t="shared" si="4"/>
        <v>WW</v>
      </c>
      <c r="Y9" s="30" t="str">
        <f t="shared" si="5"/>
        <v>-</v>
      </c>
      <c r="Z9" s="29" t="b">
        <f t="shared" si="6"/>
        <v>0</v>
      </c>
      <c r="AA9" s="29" t="b">
        <f t="shared" si="7"/>
        <v>0</v>
      </c>
      <c r="AB9" s="29" t="str">
        <f t="shared" ca="1" si="8"/>
        <v>++</v>
      </c>
      <c r="AC9" s="29">
        <f t="shared" si="34"/>
        <v>6</v>
      </c>
      <c r="AD9" s="29">
        <f t="shared" ca="1" si="9"/>
        <v>6</v>
      </c>
      <c r="AE9" s="29">
        <v>6</v>
      </c>
      <c r="AF9" s="31">
        <f>IF(AND(AG9=TRUE,OR(NOT(AG8=TRUE),AG8="Full")),1,IF(ISNUMBER(AF8),AF8+1," "))</f>
        <v>2</v>
      </c>
      <c r="AG9" s="29" t="b">
        <f t="shared" si="11"/>
        <v>1</v>
      </c>
      <c r="AH9" s="30" t="str">
        <f t="shared" ca="1" si="12"/>
        <v>141-4</v>
      </c>
      <c r="AI9" s="30" t="str">
        <f t="shared" ca="1" si="13"/>
        <v/>
      </c>
      <c r="AJ9" s="29">
        <f t="shared" ca="1" si="14"/>
        <v>0</v>
      </c>
      <c r="AK9" s="29" t="str">
        <f t="shared" ca="1" si="15"/>
        <v>4/3</v>
      </c>
      <c r="AL9" s="29">
        <f t="shared" ca="1" si="16"/>
        <v>1.3333333333333333</v>
      </c>
      <c r="AM9" s="32">
        <f t="shared" ca="1" si="35"/>
        <v>1.3333333333333333</v>
      </c>
      <c r="AO9" s="20">
        <f>Tools!$AD8</f>
        <v>3</v>
      </c>
      <c r="AP9" s="33" t="str">
        <f t="shared" si="36"/>
        <v xml:space="preserve">  </v>
      </c>
      <c r="AQ9" s="34" t="str">
        <f t="shared" ca="1" si="18"/>
        <v>4/3</v>
      </c>
      <c r="AR9" s="23" t="str">
        <f t="shared" ca="1" si="19"/>
        <v xml:space="preserve">  </v>
      </c>
      <c r="AS9" s="24">
        <f t="shared" si="20"/>
        <v>-7</v>
      </c>
      <c r="AT9" s="23" t="str">
        <f t="shared" ca="1" si="37"/>
        <v xml:space="preserve">  </v>
      </c>
      <c r="AU9" s="23" t="str">
        <f t="shared" ca="1" si="40"/>
        <v xml:space="preserve">  </v>
      </c>
      <c r="AV9" s="23" t="str">
        <f t="shared" si="21"/>
        <v xml:space="preserve">  </v>
      </c>
      <c r="AW9" s="23" t="str">
        <f t="shared" ca="1" si="22"/>
        <v xml:space="preserve">  </v>
      </c>
      <c r="AY9" s="35" t="str">
        <f t="shared" si="23"/>
        <v xml:space="preserve"> </v>
      </c>
      <c r="AZ9" s="23" t="str">
        <f t="shared" ref="AZ9:AZ28" ca="1" si="41">IFERROR(AY9*AM9,"  ")</f>
        <v xml:space="preserve">  </v>
      </c>
      <c r="BA9" s="36" t="str">
        <f t="shared" si="25"/>
        <v xml:space="preserve"> </v>
      </c>
      <c r="BB9" s="27" t="str">
        <f t="shared" ca="1" si="38"/>
        <v xml:space="preserve">  </v>
      </c>
      <c r="BC9" s="23" t="str">
        <f t="shared" ca="1" si="39"/>
        <v xml:space="preserve">  </v>
      </c>
    </row>
    <row r="10" spans="1:60" x14ac:dyDescent="0.25">
      <c r="A10" s="20">
        <f>Tools!$AD9</f>
        <v>4</v>
      </c>
      <c r="B10" s="33" t="str">
        <f t="shared" si="0"/>
        <v xml:space="preserve">  </v>
      </c>
      <c r="C10" s="22">
        <f>IF(A10="  ","  ",IF(AND(A9="  ",A11="  "),"?",IF(A9="  ",1*(A11-A10),IF(A11="  ",1*(A10-A9),1*(A11-A9)))))</f>
        <v>2</v>
      </c>
      <c r="D10" s="23" t="str">
        <f t="shared" si="26"/>
        <v xml:space="preserve">  </v>
      </c>
      <c r="E10" s="24">
        <f t="shared" si="1"/>
        <v>-6</v>
      </c>
      <c r="F10" s="23" t="str">
        <f t="shared" si="27"/>
        <v xml:space="preserve">  </v>
      </c>
      <c r="G10" s="23" t="str">
        <f t="shared" si="28"/>
        <v xml:space="preserve">  </v>
      </c>
      <c r="H10" s="23" t="str">
        <f t="shared" si="29"/>
        <v xml:space="preserve">  </v>
      </c>
      <c r="I10" s="23" t="str">
        <f>IFERROR(H10*C10,"  ")</f>
        <v xml:space="preserve">  </v>
      </c>
      <c r="J10" s="4"/>
      <c r="K10" s="37" t="str">
        <f t="shared" si="2"/>
        <v xml:space="preserve"> </v>
      </c>
      <c r="L10" s="23" t="str">
        <f t="shared" si="31"/>
        <v xml:space="preserve">  </v>
      </c>
      <c r="M10" s="38" t="str">
        <f t="shared" si="3"/>
        <v xml:space="preserve"> </v>
      </c>
      <c r="N10" s="27" t="str">
        <f t="shared" si="32"/>
        <v xml:space="preserve">  </v>
      </c>
      <c r="O10" s="23" t="str">
        <f t="shared" si="33"/>
        <v xml:space="preserve">  </v>
      </c>
      <c r="P10" s="4"/>
      <c r="Q10" s="45"/>
      <c r="R10" s="46"/>
      <c r="S10" s="490"/>
      <c r="W10" s="29">
        <f>IF(AO10="  ","  ",IF(AND(AO9="  ",AO11="  "),"?",IF(AO9="  ",1*(AO11-AO10),IF(AO11="  ",1*(AO10-AO9),1*(AO11-AO9)))))</f>
        <v>2</v>
      </c>
      <c r="X10" s="30" t="str">
        <f t="shared" si="4"/>
        <v>WW</v>
      </c>
      <c r="Y10" s="30" t="str">
        <f t="shared" si="5"/>
        <v>-</v>
      </c>
      <c r="Z10" s="29" t="b">
        <f t="shared" si="6"/>
        <v>0</v>
      </c>
      <c r="AA10" s="29" t="b">
        <f t="shared" si="7"/>
        <v>0</v>
      </c>
      <c r="AB10" s="29" t="str">
        <f t="shared" ca="1" si="8"/>
        <v>++</v>
      </c>
      <c r="AC10" s="29">
        <f t="shared" si="34"/>
        <v>7</v>
      </c>
      <c r="AD10" s="29">
        <f t="shared" ca="1" si="9"/>
        <v>7</v>
      </c>
      <c r="AE10" s="29">
        <v>7</v>
      </c>
      <c r="AF10" s="31">
        <f t="shared" ref="AF10:AF28" si="42">IF(AND(AG10=TRUE,OR(NOT(AG9=TRUE),AG9="Full")),1,IF(ISNUMBER(AF9),AF9+1," "))</f>
        <v>3</v>
      </c>
      <c r="AG10" s="29" t="b">
        <f t="shared" si="11"/>
        <v>1</v>
      </c>
      <c r="AH10" s="30" t="str">
        <f t="shared" ca="1" si="12"/>
        <v>141-2</v>
      </c>
      <c r="AI10" s="30" t="str">
        <f t="shared" ca="1" si="13"/>
        <v/>
      </c>
      <c r="AJ10" s="29">
        <f t="shared" ca="1" si="14"/>
        <v>0</v>
      </c>
      <c r="AK10" s="29" t="str">
        <f t="shared" ca="1" si="15"/>
        <v>2/3</v>
      </c>
      <c r="AL10" s="29">
        <f t="shared" ca="1" si="16"/>
        <v>0.66666666666666663</v>
      </c>
      <c r="AM10" s="32">
        <f t="shared" ca="1" si="35"/>
        <v>0.66666666666666663</v>
      </c>
      <c r="AO10" s="20">
        <f>Tools!$AD9</f>
        <v>4</v>
      </c>
      <c r="AP10" s="33" t="str">
        <f t="shared" si="36"/>
        <v xml:space="preserve">  </v>
      </c>
      <c r="AQ10" s="34" t="str">
        <f t="shared" ca="1" si="18"/>
        <v>2/3</v>
      </c>
      <c r="AR10" s="23" t="str">
        <f t="shared" ca="1" si="19"/>
        <v xml:space="preserve">  </v>
      </c>
      <c r="AS10" s="24">
        <f t="shared" si="20"/>
        <v>-6</v>
      </c>
      <c r="AT10" s="23" t="str">
        <f t="shared" ca="1" si="37"/>
        <v xml:space="preserve">  </v>
      </c>
      <c r="AU10" s="23" t="str">
        <f ca="1">IFERROR(AT10*AS10,"  ")</f>
        <v xml:space="preserve">  </v>
      </c>
      <c r="AV10" s="23" t="str">
        <f t="shared" si="21"/>
        <v xml:space="preserve">  </v>
      </c>
      <c r="AW10" s="23" t="str">
        <f t="shared" ca="1" si="22"/>
        <v xml:space="preserve">  </v>
      </c>
      <c r="AY10" s="35" t="str">
        <f t="shared" si="23"/>
        <v xml:space="preserve"> </v>
      </c>
      <c r="AZ10" s="23" t="str">
        <f t="shared" ca="1" si="41"/>
        <v xml:space="preserve">  </v>
      </c>
      <c r="BA10" s="36" t="str">
        <f t="shared" si="25"/>
        <v xml:space="preserve"> </v>
      </c>
      <c r="BB10" s="27" t="str">
        <f t="shared" ca="1" si="38"/>
        <v xml:space="preserve">  </v>
      </c>
      <c r="BC10" s="23" t="str">
        <f t="shared" ca="1" si="39"/>
        <v xml:space="preserve">  </v>
      </c>
      <c r="BE10" s="43" t="s">
        <v>31</v>
      </c>
      <c r="BF10" s="44" t="s">
        <v>32</v>
      </c>
      <c r="BG10" s="489" t="s">
        <v>33</v>
      </c>
    </row>
    <row r="11" spans="1:60" x14ac:dyDescent="0.25">
      <c r="A11" s="20">
        <f>Tools!$AD10</f>
        <v>5</v>
      </c>
      <c r="B11" s="33" t="str">
        <f t="shared" si="0"/>
        <v xml:space="preserve">  </v>
      </c>
      <c r="C11" s="22">
        <f>IF(A11="  ","  ",IF(AND(A10="  ",A12="  "),"?",IF(A10="  ",2*(A12-A11),IF(A12="  ",2*(A11-A10),2*(A12-A10)))))</f>
        <v>4</v>
      </c>
      <c r="D11" s="23" t="str">
        <f t="shared" si="26"/>
        <v xml:space="preserve">  </v>
      </c>
      <c r="E11" s="24">
        <f t="shared" si="1"/>
        <v>-5</v>
      </c>
      <c r="F11" s="23" t="str">
        <f t="shared" si="27"/>
        <v xml:space="preserve">  </v>
      </c>
      <c r="G11" s="23" t="str">
        <f t="shared" si="28"/>
        <v xml:space="preserve">  </v>
      </c>
      <c r="H11" s="23" t="str">
        <f t="shared" si="29"/>
        <v xml:space="preserve">  </v>
      </c>
      <c r="I11" s="23" t="str">
        <f t="shared" si="30"/>
        <v xml:space="preserve">  </v>
      </c>
      <c r="J11" s="4"/>
      <c r="K11" s="37" t="str">
        <f t="shared" si="2"/>
        <v xml:space="preserve"> </v>
      </c>
      <c r="L11" s="23" t="str">
        <f t="shared" si="31"/>
        <v xml:space="preserve">  </v>
      </c>
      <c r="M11" s="38" t="str">
        <f t="shared" si="3"/>
        <v xml:space="preserve"> </v>
      </c>
      <c r="N11" s="27" t="str">
        <f t="shared" si="32"/>
        <v xml:space="preserve">  </v>
      </c>
      <c r="O11" s="23" t="str">
        <f t="shared" si="33"/>
        <v xml:space="preserve">  </v>
      </c>
      <c r="P11" s="4"/>
      <c r="Q11" s="47" t="s">
        <v>34</v>
      </c>
      <c r="R11" s="48" t="s">
        <v>35</v>
      </c>
      <c r="S11" t="str">
        <f>IF(Tools!$L$49="Use 141 rule only",I35,IF(Tools!$L$49="Use 141 and 1331 rules",BG12," "))</f>
        <v xml:space="preserve">  </v>
      </c>
      <c r="W11" s="29">
        <f>IF(AO11="  ","  ",IF(AND(AO10="  ",AO12="  "),"?",IF(AO10="  ",2*(AO12-AO11),IF(AO12="  ",2*(AO11-AO10),2*(AO12-AO10)))))</f>
        <v>4</v>
      </c>
      <c r="X11" s="30" t="str">
        <f t="shared" si="4"/>
        <v>WW</v>
      </c>
      <c r="Y11" s="30" t="str">
        <f t="shared" si="5"/>
        <v>-</v>
      </c>
      <c r="Z11" s="29" t="b">
        <f t="shared" si="6"/>
        <v>0</v>
      </c>
      <c r="AA11" s="29" t="b">
        <f t="shared" si="7"/>
        <v>0</v>
      </c>
      <c r="AB11" s="29" t="str">
        <f t="shared" ca="1" si="8"/>
        <v>++</v>
      </c>
      <c r="AC11" s="29">
        <f t="shared" si="34"/>
        <v>8</v>
      </c>
      <c r="AD11" s="29">
        <f t="shared" ca="1" si="9"/>
        <v>8</v>
      </c>
      <c r="AE11" s="29">
        <v>8</v>
      </c>
      <c r="AF11" s="31">
        <f t="shared" si="42"/>
        <v>4</v>
      </c>
      <c r="AG11" s="29" t="b">
        <f t="shared" si="11"/>
        <v>1</v>
      </c>
      <c r="AH11" s="30" t="str">
        <f t="shared" ca="1" si="12"/>
        <v>141-4</v>
      </c>
      <c r="AI11" s="30" t="str">
        <f t="shared" ca="1" si="13"/>
        <v/>
      </c>
      <c r="AJ11" s="29">
        <f t="shared" ca="1" si="14"/>
        <v>0</v>
      </c>
      <c r="AK11" s="29" t="str">
        <f t="shared" ca="1" si="15"/>
        <v>4/3</v>
      </c>
      <c r="AL11" s="29">
        <f t="shared" ca="1" si="16"/>
        <v>1.3333333333333333</v>
      </c>
      <c r="AM11" s="32">
        <f t="shared" ca="1" si="35"/>
        <v>1.3333333333333333</v>
      </c>
      <c r="AO11" s="20">
        <f>Tools!$AD10</f>
        <v>5</v>
      </c>
      <c r="AP11" s="33" t="str">
        <f t="shared" si="36"/>
        <v xml:space="preserve">  </v>
      </c>
      <c r="AQ11" s="34" t="str">
        <f t="shared" ca="1" si="18"/>
        <v>4/3</v>
      </c>
      <c r="AR11" s="23" t="str">
        <f t="shared" ca="1" si="19"/>
        <v xml:space="preserve">  </v>
      </c>
      <c r="AS11" s="24">
        <f t="shared" si="20"/>
        <v>-5</v>
      </c>
      <c r="AT11" s="23" t="str">
        <f t="shared" ca="1" si="37"/>
        <v xml:space="preserve">  </v>
      </c>
      <c r="AU11" s="23" t="str">
        <f t="shared" ca="1" si="40"/>
        <v xml:space="preserve">  </v>
      </c>
      <c r="AV11" s="23" t="str">
        <f t="shared" si="21"/>
        <v xml:space="preserve">  </v>
      </c>
      <c r="AW11" s="23" t="str">
        <f t="shared" ca="1" si="22"/>
        <v xml:space="preserve">  </v>
      </c>
      <c r="AY11" s="35" t="str">
        <f t="shared" si="23"/>
        <v xml:space="preserve"> </v>
      </c>
      <c r="AZ11" s="23" t="str">
        <f t="shared" ca="1" si="41"/>
        <v xml:space="preserve">  </v>
      </c>
      <c r="BA11" s="36" t="str">
        <f t="shared" si="25"/>
        <v xml:space="preserve"> </v>
      </c>
      <c r="BB11" s="27" t="str">
        <f t="shared" ca="1" si="38"/>
        <v xml:space="preserve">  </v>
      </c>
      <c r="BC11" s="23" t="str">
        <f ca="1">IFERROR(AZ11*AS11,"  ")</f>
        <v xml:space="preserve">  </v>
      </c>
      <c r="BE11" s="45"/>
      <c r="BF11" s="46"/>
      <c r="BG11" s="490"/>
    </row>
    <row r="12" spans="1:60" x14ac:dyDescent="0.25">
      <c r="A12" s="20">
        <f>Tools!$AD11</f>
        <v>6</v>
      </c>
      <c r="B12" s="33" t="str">
        <f t="shared" si="0"/>
        <v xml:space="preserve">  </v>
      </c>
      <c r="C12" s="22">
        <f>IF(A12="  ","  ",IF(AND(A11="  ",A13="  "),"?",IF(A11="  ",1*(A13-A12),IF(A13="  ",1*(A12-A11),1*(A13-A11)))))</f>
        <v>2</v>
      </c>
      <c r="D12" s="23" t="str">
        <f t="shared" si="26"/>
        <v xml:space="preserve">  </v>
      </c>
      <c r="E12" s="24">
        <f t="shared" si="1"/>
        <v>-4</v>
      </c>
      <c r="F12" s="23" t="str">
        <f t="shared" si="27"/>
        <v xml:space="preserve">  </v>
      </c>
      <c r="G12" s="23" t="str">
        <f t="shared" si="28"/>
        <v xml:space="preserve">  </v>
      </c>
      <c r="H12" s="23" t="str">
        <f t="shared" si="29"/>
        <v xml:space="preserve">  </v>
      </c>
      <c r="I12" s="23" t="str">
        <f t="shared" si="30"/>
        <v xml:space="preserve">  </v>
      </c>
      <c r="J12" s="4"/>
      <c r="K12" s="37" t="str">
        <f t="shared" si="2"/>
        <v xml:space="preserve"> </v>
      </c>
      <c r="L12" s="23" t="str">
        <f t="shared" si="31"/>
        <v xml:space="preserve">  </v>
      </c>
      <c r="M12" s="38" t="str">
        <f t="shared" si="3"/>
        <v xml:space="preserve"> </v>
      </c>
      <c r="N12" s="27" t="str">
        <f t="shared" si="32"/>
        <v xml:space="preserve">  </v>
      </c>
      <c r="O12" s="23" t="str">
        <f t="shared" si="33"/>
        <v xml:space="preserve">  </v>
      </c>
      <c r="P12" s="4"/>
      <c r="Q12" s="47" t="s">
        <v>36</v>
      </c>
      <c r="R12" s="48" t="s">
        <v>37</v>
      </c>
      <c r="S12" t="str">
        <f>IF(Tools!$L$49="Use 141 rule only",I36,IF(Tools!$L$49="Use 141 and 1331 rules",BG13," "))</f>
        <v xml:space="preserve">  </v>
      </c>
      <c r="W12" s="29">
        <f>IF(AO12="  ","  ",IF(AND(AO11="  ",AO13="  "),"?",IF(AO11="  ",1*(AO13-AO12),IF(AO13="  ",1*(AO12-AO11),1*(AO13-AO11)))))</f>
        <v>2</v>
      </c>
      <c r="X12" s="30" t="str">
        <f t="shared" si="4"/>
        <v>WW</v>
      </c>
      <c r="Y12" s="30" t="str">
        <f t="shared" si="5"/>
        <v>-</v>
      </c>
      <c r="Z12" s="29" t="b">
        <f t="shared" si="6"/>
        <v>0</v>
      </c>
      <c r="AA12" s="29" t="b">
        <f t="shared" si="7"/>
        <v>0</v>
      </c>
      <c r="AB12" s="29" t="str">
        <f t="shared" ca="1" si="8"/>
        <v>++</v>
      </c>
      <c r="AC12" s="29">
        <f t="shared" si="34"/>
        <v>9</v>
      </c>
      <c r="AD12" s="29">
        <f t="shared" ca="1" si="9"/>
        <v>9</v>
      </c>
      <c r="AE12" s="29">
        <v>9</v>
      </c>
      <c r="AF12" s="31">
        <f t="shared" si="42"/>
        <v>5</v>
      </c>
      <c r="AG12" s="29" t="b">
        <f t="shared" si="11"/>
        <v>1</v>
      </c>
      <c r="AH12" s="30" t="str">
        <f t="shared" ca="1" si="12"/>
        <v>141-2</v>
      </c>
      <c r="AI12" s="30" t="str">
        <f t="shared" ca="1" si="13"/>
        <v/>
      </c>
      <c r="AJ12" s="29">
        <f t="shared" ca="1" si="14"/>
        <v>0</v>
      </c>
      <c r="AK12" s="29" t="str">
        <f t="shared" ca="1" si="15"/>
        <v>2/3</v>
      </c>
      <c r="AL12" s="29">
        <f t="shared" ca="1" si="16"/>
        <v>0.66666666666666663</v>
      </c>
      <c r="AM12" s="32">
        <f t="shared" ca="1" si="35"/>
        <v>0.66666666666666663</v>
      </c>
      <c r="AO12" s="20">
        <f>Tools!$AD11</f>
        <v>6</v>
      </c>
      <c r="AP12" s="33" t="str">
        <f t="shared" si="36"/>
        <v xml:space="preserve">  </v>
      </c>
      <c r="AQ12" s="34" t="str">
        <f t="shared" ca="1" si="18"/>
        <v>2/3</v>
      </c>
      <c r="AR12" s="23" t="str">
        <f t="shared" ca="1" si="19"/>
        <v xml:space="preserve">  </v>
      </c>
      <c r="AS12" s="24">
        <f t="shared" si="20"/>
        <v>-4</v>
      </c>
      <c r="AT12" s="23" t="str">
        <f t="shared" ca="1" si="37"/>
        <v xml:space="preserve">  </v>
      </c>
      <c r="AU12" s="23" t="str">
        <f t="shared" ca="1" si="40"/>
        <v xml:space="preserve">  </v>
      </c>
      <c r="AV12" s="23" t="str">
        <f t="shared" si="21"/>
        <v xml:space="preserve">  </v>
      </c>
      <c r="AW12" s="23" t="str">
        <f t="shared" ca="1" si="22"/>
        <v xml:space="preserve">  </v>
      </c>
      <c r="AY12" s="35" t="str">
        <f t="shared" si="23"/>
        <v xml:space="preserve"> </v>
      </c>
      <c r="AZ12" s="23" t="str">
        <f t="shared" ca="1" si="41"/>
        <v xml:space="preserve">  </v>
      </c>
      <c r="BA12" s="36" t="str">
        <f t="shared" si="25"/>
        <v xml:space="preserve"> </v>
      </c>
      <c r="BB12" s="27" t="str">
        <f t="shared" ca="1" si="38"/>
        <v xml:space="preserve">  </v>
      </c>
      <c r="BC12" s="23" t="str">
        <f t="shared" ca="1" si="39"/>
        <v xml:space="preserve">  </v>
      </c>
      <c r="BE12" s="47" t="s">
        <v>34</v>
      </c>
      <c r="BF12" s="48" t="s">
        <v>38</v>
      </c>
      <c r="BG12" s="49" t="str">
        <f>IF(WL_No="  ","  ",2*h*$AR$29)</f>
        <v xml:space="preserve">  </v>
      </c>
    </row>
    <row r="13" spans="1:60" x14ac:dyDescent="0.25">
      <c r="A13" s="20">
        <f>Tools!$AD12</f>
        <v>7</v>
      </c>
      <c r="B13" s="33" t="str">
        <f t="shared" si="0"/>
        <v xml:space="preserve">  </v>
      </c>
      <c r="C13" s="22">
        <f>IF(A13="  ","  ",IF(AND(A12="  ",A14="  "),"?",IF(A12="  ",2*(A14-A13),IF(A14="  ",2*(A13-A12),2*(A14-A12)))))</f>
        <v>4</v>
      </c>
      <c r="D13" s="23" t="str">
        <f t="shared" si="26"/>
        <v xml:space="preserve">  </v>
      </c>
      <c r="E13" s="24">
        <f t="shared" si="1"/>
        <v>-3</v>
      </c>
      <c r="F13" s="23" t="str">
        <f t="shared" si="27"/>
        <v xml:space="preserve">  </v>
      </c>
      <c r="G13" s="23" t="str">
        <f t="shared" si="28"/>
        <v xml:space="preserve">  </v>
      </c>
      <c r="H13" s="23" t="str">
        <f t="shared" si="29"/>
        <v xml:space="preserve">  </v>
      </c>
      <c r="I13" s="23" t="str">
        <f t="shared" si="30"/>
        <v xml:space="preserve">  </v>
      </c>
      <c r="J13" s="4"/>
      <c r="K13" s="37" t="str">
        <f t="shared" si="2"/>
        <v xml:space="preserve"> </v>
      </c>
      <c r="L13" s="23" t="str">
        <f t="shared" si="31"/>
        <v xml:space="preserve">  </v>
      </c>
      <c r="M13" s="38" t="str">
        <f t="shared" si="3"/>
        <v xml:space="preserve"> </v>
      </c>
      <c r="N13" s="27" t="str">
        <f t="shared" si="32"/>
        <v xml:space="preserve">  </v>
      </c>
      <c r="O13" s="23" t="str">
        <f t="shared" si="33"/>
        <v xml:space="preserve">  </v>
      </c>
      <c r="P13" s="4"/>
      <c r="Q13" s="50" t="s">
        <v>39</v>
      </c>
      <c r="R13" s="48" t="s">
        <v>40</v>
      </c>
      <c r="S13" t="str">
        <f>IF(Tools!$L$49="Use 141 rule only",I37,IF(Tools!$L$49="Use 141 and 1331 rules",BG14," "))</f>
        <v xml:space="preserve">  </v>
      </c>
      <c r="W13" s="29">
        <f>IF(AO13="  ","  ",IF(AND(AO12="  ",AO14="  "),"?",IF(AO12="  ",2*(AO14-AO13),IF(AO14="  ",2*(AO13-AO12),2*(AO14-AO12)))))</f>
        <v>4</v>
      </c>
      <c r="X13" s="30" t="str">
        <f t="shared" si="4"/>
        <v>WW</v>
      </c>
      <c r="Y13" s="30" t="str">
        <f t="shared" si="5"/>
        <v>-</v>
      </c>
      <c r="Z13" s="29" t="b">
        <f t="shared" si="6"/>
        <v>0</v>
      </c>
      <c r="AA13" s="29" t="b">
        <f t="shared" si="7"/>
        <v>0</v>
      </c>
      <c r="AB13" s="29" t="str">
        <f t="shared" ca="1" si="8"/>
        <v>++</v>
      </c>
      <c r="AC13" s="29">
        <f t="shared" si="34"/>
        <v>10</v>
      </c>
      <c r="AD13" s="29">
        <f t="shared" ca="1" si="9"/>
        <v>10</v>
      </c>
      <c r="AE13" s="29">
        <v>10</v>
      </c>
      <c r="AF13" s="31">
        <f t="shared" si="42"/>
        <v>6</v>
      </c>
      <c r="AG13" s="29" t="b">
        <f t="shared" si="11"/>
        <v>1</v>
      </c>
      <c r="AH13" s="30" t="str">
        <f t="shared" ca="1" si="12"/>
        <v>141-4</v>
      </c>
      <c r="AI13" s="30" t="str">
        <f t="shared" ca="1" si="13"/>
        <v/>
      </c>
      <c r="AJ13" s="29">
        <f t="shared" ca="1" si="14"/>
        <v>0</v>
      </c>
      <c r="AK13" s="29" t="str">
        <f t="shared" ca="1" si="15"/>
        <v>4/3</v>
      </c>
      <c r="AL13" s="29">
        <f t="shared" ca="1" si="16"/>
        <v>1.3333333333333333</v>
      </c>
      <c r="AM13" s="32">
        <f t="shared" ca="1" si="35"/>
        <v>1.3333333333333333</v>
      </c>
      <c r="AO13" s="20">
        <f>Tools!$AD12</f>
        <v>7</v>
      </c>
      <c r="AP13" s="33" t="str">
        <f t="shared" si="36"/>
        <v xml:space="preserve">  </v>
      </c>
      <c r="AQ13" s="34" t="str">
        <f t="shared" ca="1" si="18"/>
        <v>4/3</v>
      </c>
      <c r="AR13" s="23" t="str">
        <f t="shared" ca="1" si="19"/>
        <v xml:space="preserve">  </v>
      </c>
      <c r="AS13" s="24">
        <f t="shared" si="20"/>
        <v>-3</v>
      </c>
      <c r="AT13" s="23" t="str">
        <f t="shared" ca="1" si="37"/>
        <v xml:space="preserve">  </v>
      </c>
      <c r="AU13" s="23" t="str">
        <f t="shared" ca="1" si="40"/>
        <v xml:space="preserve">  </v>
      </c>
      <c r="AV13" s="23" t="str">
        <f t="shared" si="21"/>
        <v xml:space="preserve">  </v>
      </c>
      <c r="AW13" s="23" t="str">
        <f t="shared" ca="1" si="22"/>
        <v xml:space="preserve">  </v>
      </c>
      <c r="AY13" s="35" t="str">
        <f t="shared" si="23"/>
        <v xml:space="preserve"> </v>
      </c>
      <c r="AZ13" s="23" t="str">
        <f t="shared" ca="1" si="41"/>
        <v xml:space="preserve">  </v>
      </c>
      <c r="BA13" s="36" t="str">
        <f t="shared" si="25"/>
        <v xml:space="preserve"> </v>
      </c>
      <c r="BB13" s="27" t="str">
        <f t="shared" ca="1" si="38"/>
        <v xml:space="preserve">  </v>
      </c>
      <c r="BC13" s="23" t="str">
        <f t="shared" ca="1" si="39"/>
        <v xml:space="preserve">  </v>
      </c>
      <c r="BE13" s="47" t="s">
        <v>36</v>
      </c>
      <c r="BF13" s="48" t="s">
        <v>41</v>
      </c>
      <c r="BG13" s="49" t="str">
        <f>IF(WL_No="  ","  ",2*(h^2)*$AT$29)</f>
        <v xml:space="preserve">  </v>
      </c>
    </row>
    <row r="14" spans="1:60" x14ac:dyDescent="0.25">
      <c r="A14" s="20">
        <f>Tools!$AD13</f>
        <v>8</v>
      </c>
      <c r="B14" s="33" t="str">
        <f t="shared" si="0"/>
        <v xml:space="preserve">  </v>
      </c>
      <c r="C14" s="22">
        <f>IF(A14="  ","  ",IF(AND(A13="  ",A15="  "),"?",IF(A13="  ",1*(A15-A14),IF(A15="  ",1*(A14-A13),1*(A15-A13)))))</f>
        <v>2</v>
      </c>
      <c r="D14" s="23" t="str">
        <f t="shared" si="26"/>
        <v xml:space="preserve">  </v>
      </c>
      <c r="E14" s="24">
        <f t="shared" si="1"/>
        <v>-2</v>
      </c>
      <c r="F14" s="23" t="str">
        <f t="shared" si="27"/>
        <v xml:space="preserve">  </v>
      </c>
      <c r="G14" s="23" t="str">
        <f t="shared" si="28"/>
        <v xml:space="preserve">  </v>
      </c>
      <c r="H14" s="23" t="str">
        <f t="shared" si="29"/>
        <v xml:space="preserve">  </v>
      </c>
      <c r="I14" s="23" t="str">
        <f t="shared" si="30"/>
        <v xml:space="preserve">  </v>
      </c>
      <c r="J14" s="4"/>
      <c r="K14" s="37" t="str">
        <f t="shared" si="2"/>
        <v xml:space="preserve"> </v>
      </c>
      <c r="L14" s="23" t="str">
        <f t="shared" si="31"/>
        <v xml:space="preserve">  </v>
      </c>
      <c r="M14" s="38" t="str">
        <f t="shared" si="3"/>
        <v xml:space="preserve"> </v>
      </c>
      <c r="N14" s="27" t="str">
        <f t="shared" si="32"/>
        <v xml:space="preserve">  </v>
      </c>
      <c r="O14" s="23" t="str">
        <f t="shared" si="33"/>
        <v xml:space="preserve">  </v>
      </c>
      <c r="P14" s="4"/>
      <c r="Q14" s="50" t="s">
        <v>42</v>
      </c>
      <c r="R14" s="48" t="s">
        <v>43</v>
      </c>
      <c r="S14" t="str">
        <f>IF(Tools!$L$49="Use 141 rule only",I38,IF(Tools!$L$49="Use 141 and 1331 rules",BG15," "))</f>
        <v xml:space="preserve">  </v>
      </c>
      <c r="W14" s="29">
        <f>IF(AO14="  ","  ",IF(AND(AO13="  ",AO15="  "),"?",IF(AO13="  ",1*(AO15-AO14),IF(AO15="  ",1*(AO14-AO13),1*(AO15-AO13)))))</f>
        <v>2</v>
      </c>
      <c r="X14" s="30" t="str">
        <f t="shared" si="4"/>
        <v>WW</v>
      </c>
      <c r="Y14" s="30" t="str">
        <f t="shared" si="5"/>
        <v>-</v>
      </c>
      <c r="Z14" s="29" t="b">
        <f t="shared" si="6"/>
        <v>0</v>
      </c>
      <c r="AA14" s="29" t="b">
        <f t="shared" si="7"/>
        <v>0</v>
      </c>
      <c r="AB14" s="29" t="str">
        <f t="shared" ca="1" si="8"/>
        <v>++</v>
      </c>
      <c r="AC14" s="29">
        <f t="shared" si="34"/>
        <v>11</v>
      </c>
      <c r="AD14" s="29">
        <f t="shared" ca="1" si="9"/>
        <v>11</v>
      </c>
      <c r="AE14" s="29">
        <v>11</v>
      </c>
      <c r="AF14" s="31">
        <f t="shared" si="42"/>
        <v>7</v>
      </c>
      <c r="AG14" s="29" t="b">
        <f t="shared" si="11"/>
        <v>1</v>
      </c>
      <c r="AH14" s="30" t="str">
        <f ca="1">IF(AND(AG14=TRUE,$AH$1=1),"141-4",IF(AG14=" ",IF(AND($AH$1=2,AF14=3),"141-1","-"),IF(OR(AG14=FALSE,AG14=" "),"-",IF(AG14=TRUE,IF(AND($AH$1=2,AF14=1),"141-1",IF(AND($AH$1=2,AF14=2),"141-4",IF(OR(ISODD($AH$1),AF14&gt;4),IF(AF14=1,"141-1",IF(OR(AB14="141-1",AB14="1331-1",AB14="1331-1,141-1"),"141-1",IF(AG15=" ","141-1",IF(OR(AH13="141-1",AH13="141-2",AH13="1331-1,141-1"),"141-4",IF(AH13="141-4","141-2","$$"))))),IF(ISEVEN($AH$1),IF(AF14=1,"1331-1",IF(OR(AF14=2,AF14=3),"1331-3",IF(AF14=4,IF($AH$1=4,"1331-1","1331-1,141-1"),"")))))))))))</f>
        <v>141-2</v>
      </c>
      <c r="AI14" s="30" t="str">
        <f t="shared" ca="1" si="13"/>
        <v/>
      </c>
      <c r="AJ14" s="29">
        <f t="shared" ca="1" si="14"/>
        <v>0</v>
      </c>
      <c r="AK14" s="29" t="str">
        <f t="shared" ca="1" si="15"/>
        <v>2/3</v>
      </c>
      <c r="AL14" s="29">
        <f t="shared" ca="1" si="16"/>
        <v>0.66666666666666663</v>
      </c>
      <c r="AM14" s="32">
        <f t="shared" ca="1" si="35"/>
        <v>0.66666666666666663</v>
      </c>
      <c r="AO14" s="20">
        <f>Tools!$AD13</f>
        <v>8</v>
      </c>
      <c r="AP14" s="33" t="str">
        <f t="shared" si="36"/>
        <v xml:space="preserve">  </v>
      </c>
      <c r="AQ14" s="34" t="str">
        <f t="shared" ca="1" si="18"/>
        <v>2/3</v>
      </c>
      <c r="AR14" s="23" t="str">
        <f t="shared" ca="1" si="19"/>
        <v xml:space="preserve">  </v>
      </c>
      <c r="AS14" s="24">
        <f t="shared" si="20"/>
        <v>-2</v>
      </c>
      <c r="AT14" s="23" t="str">
        <f t="shared" ca="1" si="37"/>
        <v xml:space="preserve">  </v>
      </c>
      <c r="AU14" s="23" t="str">
        <f t="shared" ca="1" si="40"/>
        <v xml:space="preserve">  </v>
      </c>
      <c r="AV14" s="23" t="str">
        <f t="shared" si="21"/>
        <v xml:space="preserve">  </v>
      </c>
      <c r="AW14" s="23" t="str">
        <f t="shared" ca="1" si="22"/>
        <v xml:space="preserve">  </v>
      </c>
      <c r="AY14" s="35" t="str">
        <f t="shared" si="23"/>
        <v xml:space="preserve"> </v>
      </c>
      <c r="AZ14" s="23" t="str">
        <f t="shared" ca="1" si="41"/>
        <v xml:space="preserve">  </v>
      </c>
      <c r="BA14" s="36" t="str">
        <f t="shared" si="25"/>
        <v xml:space="preserve"> </v>
      </c>
      <c r="BB14" s="27" t="str">
        <f t="shared" ca="1" si="38"/>
        <v xml:space="preserve">  </v>
      </c>
      <c r="BC14" s="23" t="str">
        <f t="shared" ca="1" si="39"/>
        <v xml:space="preserve">  </v>
      </c>
      <c r="BE14" s="50" t="s">
        <v>39</v>
      </c>
      <c r="BF14" s="48" t="s">
        <v>40</v>
      </c>
      <c r="BG14" s="49" t="str">
        <f>IF(WL_No="  ","  ",Mmid/AWP)</f>
        <v xml:space="preserve">  </v>
      </c>
    </row>
    <row r="15" spans="1:60" x14ac:dyDescent="0.25">
      <c r="A15" s="20">
        <f>Tools!$AD14</f>
        <v>9</v>
      </c>
      <c r="B15" s="33" t="str">
        <f t="shared" si="0"/>
        <v xml:space="preserve">  </v>
      </c>
      <c r="C15" s="22">
        <f>IF(A15="  ","  ",IF(AND(A14="  ",A16="  "),"?",IF(A14="  ",2*(A16-A15),IF(A16="  ",2*(A15-A14),2*(A16-A14)))))</f>
        <v>4</v>
      </c>
      <c r="D15" s="23" t="str">
        <f t="shared" si="26"/>
        <v xml:space="preserve">  </v>
      </c>
      <c r="E15" s="24">
        <f t="shared" si="1"/>
        <v>-1</v>
      </c>
      <c r="F15" s="23" t="str">
        <f t="shared" si="27"/>
        <v xml:space="preserve">  </v>
      </c>
      <c r="G15" s="23" t="str">
        <f t="shared" si="28"/>
        <v xml:space="preserve">  </v>
      </c>
      <c r="H15" s="23" t="str">
        <f t="shared" si="29"/>
        <v xml:space="preserve">  </v>
      </c>
      <c r="I15" s="23" t="str">
        <f t="shared" si="30"/>
        <v xml:space="preserve">  </v>
      </c>
      <c r="J15" s="4"/>
      <c r="K15" s="37" t="str">
        <f t="shared" si="2"/>
        <v xml:space="preserve"> </v>
      </c>
      <c r="L15" s="23" t="str">
        <f t="shared" si="31"/>
        <v xml:space="preserve">  </v>
      </c>
      <c r="M15" s="38" t="str">
        <f t="shared" si="3"/>
        <v xml:space="preserve"> </v>
      </c>
      <c r="N15" s="27" t="str">
        <f t="shared" si="32"/>
        <v xml:space="preserve">  </v>
      </c>
      <c r="O15" s="23" t="str">
        <f t="shared" si="33"/>
        <v xml:space="preserve">  </v>
      </c>
      <c r="P15" s="4"/>
      <c r="Q15" s="51" t="s">
        <v>44</v>
      </c>
      <c r="R15" s="48" t="s">
        <v>45</v>
      </c>
      <c r="S15" t="str">
        <f>IF(Tools!$L$49="Use 141 rule only",I39,IF(Tools!$L$49="Use 141 and 1331 rules",BG16," "))</f>
        <v xml:space="preserve">  </v>
      </c>
      <c r="W15" s="29">
        <f>IF(AO15="  ","  ",IF(AND(AO14="  ",AO16="  "),"?",IF(AO14="  ",2*(AO16-AO15),IF(AO16="  ",2*(AO15-AO14),2*(AO16-AO14)))))</f>
        <v>4</v>
      </c>
      <c r="X15" s="30" t="str">
        <f t="shared" si="4"/>
        <v>WW</v>
      </c>
      <c r="Y15" s="30" t="str">
        <f t="shared" si="5"/>
        <v>-</v>
      </c>
      <c r="Z15" s="29" t="b">
        <f t="shared" si="6"/>
        <v>0</v>
      </c>
      <c r="AA15" s="29" t="b">
        <f t="shared" si="7"/>
        <v>0</v>
      </c>
      <c r="AB15" s="29" t="str">
        <f t="shared" ca="1" si="8"/>
        <v>++</v>
      </c>
      <c r="AC15" s="29">
        <f t="shared" si="34"/>
        <v>12</v>
      </c>
      <c r="AD15" s="29">
        <f t="shared" ca="1" si="9"/>
        <v>12</v>
      </c>
      <c r="AE15" s="29">
        <v>12</v>
      </c>
      <c r="AF15" s="31">
        <f t="shared" si="42"/>
        <v>8</v>
      </c>
      <c r="AG15" s="29" t="b">
        <f t="shared" si="11"/>
        <v>1</v>
      </c>
      <c r="AH15" s="30" t="str">
        <f t="shared" ref="AH15:AH28" ca="1" si="43">IF(AND(AG15=TRUE,$AH$1=1),"141-4",IF(AG15=" ",IF(AND($AH$1=2,AF15=3),"141-1","-"),IF(OR(AG15=FALSE,AG15=" "),"-",IF(AG15=TRUE,IF(AND($AH$1=2,AF15=1),"141-1",IF(AND($AH$1=2,AF15=2),"141-4",IF(OR(ISODD($AH$1),AF15&gt;4),IF(AF15=1,"141-1",IF(OR(AB15="141-1",AB15="1331-1",AB15="1331-1,141-1"),"141-1",IF(AG16=" ","141-1",IF(OR(AH14="141-1",AH14="141-2",AH14="1331-1,141-1"),"141-4",IF(AH14="141-4","141-2","$$"))))),IF(ISEVEN($AH$1),IF(AF15=1,"1331-1",IF(OR(AF15=2,AF15=3),"1331-3",IF(AF15=4,IF($AH$1=4,"1331-1","1331-1,141-1"),"")))))))))))</f>
        <v>141-4</v>
      </c>
      <c r="AI15" s="30" t="str">
        <f t="shared" ca="1" si="13"/>
        <v/>
      </c>
      <c r="AJ15" s="29">
        <f t="shared" ca="1" si="14"/>
        <v>0</v>
      </c>
      <c r="AK15" s="29" t="str">
        <f t="shared" ca="1" si="15"/>
        <v>4/3</v>
      </c>
      <c r="AL15" s="29">
        <f t="shared" ca="1" si="16"/>
        <v>1.3333333333333333</v>
      </c>
      <c r="AM15" s="32">
        <f t="shared" ca="1" si="35"/>
        <v>1.3333333333333333</v>
      </c>
      <c r="AO15" s="20">
        <f>Tools!$AD14</f>
        <v>9</v>
      </c>
      <c r="AP15" s="33" t="str">
        <f t="shared" si="36"/>
        <v xml:space="preserve">  </v>
      </c>
      <c r="AQ15" s="34" t="str">
        <f t="shared" ca="1" si="18"/>
        <v>4/3</v>
      </c>
      <c r="AR15" s="23" t="str">
        <f t="shared" ca="1" si="19"/>
        <v xml:space="preserve">  </v>
      </c>
      <c r="AS15" s="24">
        <f t="shared" si="20"/>
        <v>-1</v>
      </c>
      <c r="AT15" s="23" t="str">
        <f t="shared" ca="1" si="37"/>
        <v xml:space="preserve">  </v>
      </c>
      <c r="AU15" s="23" t="str">
        <f t="shared" ca="1" si="40"/>
        <v xml:space="preserve">  </v>
      </c>
      <c r="AV15" s="23" t="str">
        <f t="shared" si="21"/>
        <v xml:space="preserve">  </v>
      </c>
      <c r="AW15" s="23" t="str">
        <f t="shared" ca="1" si="22"/>
        <v xml:space="preserve">  </v>
      </c>
      <c r="AY15" s="35" t="str">
        <f t="shared" si="23"/>
        <v xml:space="preserve"> </v>
      </c>
      <c r="AZ15" s="23" t="str">
        <f t="shared" ca="1" si="41"/>
        <v xml:space="preserve">  </v>
      </c>
      <c r="BA15" s="36" t="str">
        <f t="shared" si="25"/>
        <v xml:space="preserve"> </v>
      </c>
      <c r="BB15" s="27" t="str">
        <f ca="1">IFERROR(BA15*AM15,"  ")</f>
        <v xml:space="preserve">  </v>
      </c>
      <c r="BC15" s="23" t="str">
        <f t="shared" ca="1" si="39"/>
        <v xml:space="preserve">  </v>
      </c>
      <c r="BE15" s="50" t="s">
        <v>42</v>
      </c>
      <c r="BF15" s="48" t="s">
        <v>46</v>
      </c>
      <c r="BG15" s="49" t="str">
        <f>IF(WL_No="  ","  ",2*(h^3)*$AU$29)</f>
        <v xml:space="preserve">  </v>
      </c>
    </row>
    <row r="16" spans="1:60" x14ac:dyDescent="0.25">
      <c r="A16" s="20">
        <f>Tools!$AD15</f>
        <v>10</v>
      </c>
      <c r="B16" s="33" t="str">
        <f t="shared" si="0"/>
        <v xml:space="preserve">  </v>
      </c>
      <c r="C16" s="22">
        <f>IF(A16="  ","  ",IF(AND(A15="  ",A17="  "),"?",IF(A15="  ",1*(A17-A16),IF(A17="  ",1*(A16-A15),1*(A17-A15)))))</f>
        <v>2</v>
      </c>
      <c r="D16" s="23" t="str">
        <f t="shared" si="26"/>
        <v xml:space="preserve">  </v>
      </c>
      <c r="E16" s="24">
        <f t="shared" si="1"/>
        <v>0</v>
      </c>
      <c r="F16" s="23" t="str">
        <f t="shared" si="27"/>
        <v xml:space="preserve">  </v>
      </c>
      <c r="G16" s="23" t="str">
        <f t="shared" si="28"/>
        <v xml:space="preserve">  </v>
      </c>
      <c r="H16" s="23" t="str">
        <f t="shared" si="29"/>
        <v xml:space="preserve">  </v>
      </c>
      <c r="I16" s="23" t="str">
        <f t="shared" si="30"/>
        <v xml:space="preserve">  </v>
      </c>
      <c r="J16" s="4"/>
      <c r="K16" s="37" t="str">
        <f t="shared" si="2"/>
        <v xml:space="preserve"> </v>
      </c>
      <c r="L16" s="23" t="str">
        <f t="shared" si="31"/>
        <v xml:space="preserve">  </v>
      </c>
      <c r="M16" s="38" t="str">
        <f t="shared" si="3"/>
        <v xml:space="preserve"> </v>
      </c>
      <c r="N16" s="27" t="str">
        <f t="shared" si="32"/>
        <v xml:space="preserve">  </v>
      </c>
      <c r="O16" s="23" t="str">
        <f t="shared" si="33"/>
        <v xml:space="preserve">  </v>
      </c>
      <c r="P16" s="4"/>
      <c r="Q16" s="50" t="s">
        <v>47</v>
      </c>
      <c r="R16" s="48" t="s">
        <v>48</v>
      </c>
      <c r="S16" t="str">
        <f>IF(Tools!$L$49="Use 141 rule only",I40,IF(Tools!$L$49="Use 141 and 1331 rules",BG17," "))</f>
        <v xml:space="preserve">  </v>
      </c>
      <c r="W16" s="29">
        <f>IF(AO16="  ","  ",IF(AND(AO15="  ",AO17="  "),"?",IF(AO15="  ",1*(AO17-AO16),IF(AO17="  ",1*(AO16-AO15),1*(AO17-AO15)))))</f>
        <v>2</v>
      </c>
      <c r="X16" s="30" t="str">
        <f t="shared" si="4"/>
        <v>WW</v>
      </c>
      <c r="Y16" s="30" t="str">
        <f t="shared" si="5"/>
        <v>-</v>
      </c>
      <c r="Z16" s="29" t="b">
        <f t="shared" si="6"/>
        <v>0</v>
      </c>
      <c r="AA16" s="29" t="b">
        <f t="shared" si="7"/>
        <v>0</v>
      </c>
      <c r="AB16" s="29" t="str">
        <f t="shared" ca="1" si="8"/>
        <v>++</v>
      </c>
      <c r="AC16" s="29">
        <f t="shared" si="34"/>
        <v>13</v>
      </c>
      <c r="AD16" s="29">
        <f t="shared" ca="1" si="9"/>
        <v>13</v>
      </c>
      <c r="AE16" s="29">
        <v>13</v>
      </c>
      <c r="AF16" s="31">
        <f t="shared" si="42"/>
        <v>9</v>
      </c>
      <c r="AG16" s="29" t="b">
        <f t="shared" si="11"/>
        <v>1</v>
      </c>
      <c r="AH16" s="30" t="str">
        <f t="shared" ca="1" si="43"/>
        <v>141-2</v>
      </c>
      <c r="AI16" s="30" t="str">
        <f t="shared" ca="1" si="13"/>
        <v/>
      </c>
      <c r="AJ16" s="29">
        <f t="shared" ca="1" si="14"/>
        <v>0</v>
      </c>
      <c r="AK16" s="29" t="str">
        <f t="shared" ca="1" si="15"/>
        <v>2/3</v>
      </c>
      <c r="AL16" s="29">
        <f t="shared" ca="1" si="16"/>
        <v>0.66666666666666663</v>
      </c>
      <c r="AM16" s="32">
        <f t="shared" ca="1" si="35"/>
        <v>0.66666666666666663</v>
      </c>
      <c r="AO16" s="20">
        <f>Tools!$AD15</f>
        <v>10</v>
      </c>
      <c r="AP16" s="33" t="str">
        <f t="shared" si="36"/>
        <v xml:space="preserve">  </v>
      </c>
      <c r="AQ16" s="34" t="str">
        <f t="shared" ca="1" si="18"/>
        <v>2/3</v>
      </c>
      <c r="AR16" s="23" t="str">
        <f t="shared" ca="1" si="19"/>
        <v xml:space="preserve">  </v>
      </c>
      <c r="AS16" s="24">
        <f t="shared" si="20"/>
        <v>0</v>
      </c>
      <c r="AT16" s="23" t="str">
        <f t="shared" ca="1" si="37"/>
        <v xml:space="preserve">  </v>
      </c>
      <c r="AU16" s="23" t="str">
        <f t="shared" ca="1" si="40"/>
        <v xml:space="preserve">  </v>
      </c>
      <c r="AV16" s="23" t="str">
        <f t="shared" si="21"/>
        <v xml:space="preserve">  </v>
      </c>
      <c r="AW16" s="23" t="str">
        <f t="shared" ca="1" si="22"/>
        <v xml:space="preserve">  </v>
      </c>
      <c r="AY16" s="35" t="str">
        <f t="shared" si="23"/>
        <v xml:space="preserve"> </v>
      </c>
      <c r="AZ16" s="23" t="str">
        <f t="shared" ca="1" si="41"/>
        <v xml:space="preserve">  </v>
      </c>
      <c r="BA16" s="36" t="str">
        <f t="shared" si="25"/>
        <v xml:space="preserve"> </v>
      </c>
      <c r="BB16" s="27" t="str">
        <f t="shared" ca="1" si="38"/>
        <v xml:space="preserve">  </v>
      </c>
      <c r="BC16" s="23" t="str">
        <f ca="1">IFERROR(AZ16*AS16,"  ")</f>
        <v xml:space="preserve">  </v>
      </c>
      <c r="BE16" s="51" t="s">
        <v>44</v>
      </c>
      <c r="BF16" s="48" t="s">
        <v>49</v>
      </c>
      <c r="BG16" s="49" t="str">
        <f>IF(WL_No="  ","  ",2/3*h*$AW$29)</f>
        <v xml:space="preserve">  </v>
      </c>
    </row>
    <row r="17" spans="1:59" x14ac:dyDescent="0.25">
      <c r="A17" s="20">
        <f>Tools!$AD16</f>
        <v>11</v>
      </c>
      <c r="B17" s="33" t="str">
        <f t="shared" si="0"/>
        <v xml:space="preserve">  </v>
      </c>
      <c r="C17" s="22">
        <f>IF(A17="  ","  ",IF(AND(A16="  ",A18="  "),"?",IF(A16="  ",2*(A18-A17),IF(A18="  ",2*(A17-A16),2*(A18-A16)))))</f>
        <v>4</v>
      </c>
      <c r="D17" s="23" t="str">
        <f t="shared" si="26"/>
        <v xml:space="preserve">  </v>
      </c>
      <c r="E17" s="24">
        <f t="shared" si="1"/>
        <v>1</v>
      </c>
      <c r="F17" s="23" t="str">
        <f t="shared" si="27"/>
        <v xml:space="preserve">  </v>
      </c>
      <c r="G17" s="23" t="str">
        <f t="shared" si="28"/>
        <v xml:space="preserve">  </v>
      </c>
      <c r="H17" s="23" t="str">
        <f t="shared" si="29"/>
        <v xml:space="preserve">  </v>
      </c>
      <c r="I17" s="23" t="str">
        <f t="shared" si="30"/>
        <v xml:space="preserve">  </v>
      </c>
      <c r="J17" s="4"/>
      <c r="K17" s="37" t="str">
        <f t="shared" si="2"/>
        <v xml:space="preserve"> </v>
      </c>
      <c r="L17" s="23" t="str">
        <f t="shared" si="31"/>
        <v xml:space="preserve">  </v>
      </c>
      <c r="M17" s="38" t="str">
        <f t="shared" si="3"/>
        <v xml:space="preserve"> </v>
      </c>
      <c r="N17" s="27" t="str">
        <f t="shared" si="32"/>
        <v xml:space="preserve">  </v>
      </c>
      <c r="O17" s="23" t="str">
        <f t="shared" si="33"/>
        <v xml:space="preserve">  </v>
      </c>
      <c r="P17" s="4"/>
      <c r="Q17" s="50" t="s">
        <v>50</v>
      </c>
      <c r="R17" s="48" t="s">
        <v>51</v>
      </c>
      <c r="S17" t="str">
        <f>IF(Tools!$L$49="Use 141 rule only",I41,IF(Tools!$L$49="Use 141 and 1331 rules",BG18," "))</f>
        <v xml:space="preserve">  </v>
      </c>
      <c r="W17" s="29">
        <f>IF(AO17="  ","  ",IF(AND(AO16="  ",AO18="  "),"?",IF(AO16="  ",2*(AO18-AO17),IF(AO18="  ",2*(AO17-AO16),2*(AO18-AO16)))))</f>
        <v>4</v>
      </c>
      <c r="X17" s="30" t="str">
        <f t="shared" si="4"/>
        <v>WW</v>
      </c>
      <c r="Y17" s="30" t="str">
        <f t="shared" si="5"/>
        <v>-</v>
      </c>
      <c r="Z17" s="29" t="b">
        <f t="shared" si="6"/>
        <v>0</v>
      </c>
      <c r="AA17" s="29" t="b">
        <f t="shared" si="7"/>
        <v>0</v>
      </c>
      <c r="AB17" s="29" t="str">
        <f t="shared" ca="1" si="8"/>
        <v>++</v>
      </c>
      <c r="AC17" s="29">
        <f t="shared" si="34"/>
        <v>12</v>
      </c>
      <c r="AD17" s="29">
        <f t="shared" ca="1" si="9"/>
        <v>12</v>
      </c>
      <c r="AE17" s="29">
        <v>14</v>
      </c>
      <c r="AF17" s="31">
        <f t="shared" si="42"/>
        <v>10</v>
      </c>
      <c r="AG17" s="29" t="b">
        <f t="shared" si="11"/>
        <v>1</v>
      </c>
      <c r="AH17" s="30" t="str">
        <f t="shared" ca="1" si="43"/>
        <v>141-4</v>
      </c>
      <c r="AI17" s="30" t="str">
        <f t="shared" ca="1" si="13"/>
        <v/>
      </c>
      <c r="AJ17" s="29">
        <f t="shared" ca="1" si="14"/>
        <v>0</v>
      </c>
      <c r="AK17" s="29" t="str">
        <f t="shared" ca="1" si="15"/>
        <v>4/3</v>
      </c>
      <c r="AL17" s="29">
        <f t="shared" ca="1" si="16"/>
        <v>1.3333333333333333</v>
      </c>
      <c r="AM17" s="32">
        <f t="shared" ca="1" si="35"/>
        <v>1.3333333333333333</v>
      </c>
      <c r="AO17" s="20">
        <f>Tools!$AD16</f>
        <v>11</v>
      </c>
      <c r="AP17" s="33" t="str">
        <f t="shared" si="36"/>
        <v xml:space="preserve">  </v>
      </c>
      <c r="AQ17" s="34" t="str">
        <f t="shared" ca="1" si="18"/>
        <v>4/3</v>
      </c>
      <c r="AR17" s="23" t="str">
        <f t="shared" ca="1" si="19"/>
        <v xml:space="preserve">  </v>
      </c>
      <c r="AS17" s="24">
        <f t="shared" si="20"/>
        <v>1</v>
      </c>
      <c r="AT17" s="23" t="str">
        <f t="shared" ca="1" si="37"/>
        <v xml:space="preserve">  </v>
      </c>
      <c r="AU17" s="23" t="str">
        <f t="shared" ca="1" si="40"/>
        <v xml:space="preserve">  </v>
      </c>
      <c r="AV17" s="23" t="str">
        <f t="shared" si="21"/>
        <v xml:space="preserve">  </v>
      </c>
      <c r="AW17" s="23" t="str">
        <f t="shared" ca="1" si="22"/>
        <v xml:space="preserve">  </v>
      </c>
      <c r="AY17" s="35" t="str">
        <f t="shared" si="23"/>
        <v xml:space="preserve"> </v>
      </c>
      <c r="AZ17" s="23" t="str">
        <f t="shared" ca="1" si="41"/>
        <v xml:space="preserve">  </v>
      </c>
      <c r="BA17" s="36" t="str">
        <f t="shared" si="25"/>
        <v xml:space="preserve"> </v>
      </c>
      <c r="BB17" s="27" t="str">
        <f t="shared" ca="1" si="38"/>
        <v xml:space="preserve">  </v>
      </c>
      <c r="BC17" s="23" t="str">
        <f t="shared" ca="1" si="39"/>
        <v xml:space="preserve">  </v>
      </c>
      <c r="BE17" s="50" t="s">
        <v>47</v>
      </c>
      <c r="BF17" s="48" t="s">
        <v>48</v>
      </c>
      <c r="BG17" s="49" t="str">
        <f>IF(WL_No="  ","  ",IL-AWP*(LCF^2))</f>
        <v xml:space="preserve">  </v>
      </c>
    </row>
    <row r="18" spans="1:59" x14ac:dyDescent="0.25">
      <c r="A18" s="20">
        <f>Tools!$AD17</f>
        <v>12</v>
      </c>
      <c r="B18" s="33" t="str">
        <f t="shared" si="0"/>
        <v xml:space="preserve">  </v>
      </c>
      <c r="C18" s="22">
        <f>IF(A18="  ","  ",IF(AND(A17="  ",A19="  "),"?",IF(A17="  ",1*(A19-A18),IF(A19="  ",1*(A18-A17),1*(A19-A17)))))</f>
        <v>2</v>
      </c>
      <c r="D18" s="23" t="str">
        <f t="shared" si="26"/>
        <v xml:space="preserve">  </v>
      </c>
      <c r="E18" s="24">
        <f t="shared" si="1"/>
        <v>2</v>
      </c>
      <c r="F18" s="23" t="str">
        <f t="shared" si="27"/>
        <v xml:space="preserve">  </v>
      </c>
      <c r="G18" s="23" t="str">
        <f t="shared" si="28"/>
        <v xml:space="preserve">  </v>
      </c>
      <c r="H18" s="23" t="str">
        <f t="shared" si="29"/>
        <v xml:space="preserve">  </v>
      </c>
      <c r="I18" s="23" t="str">
        <f t="shared" si="30"/>
        <v xml:space="preserve">  </v>
      </c>
      <c r="J18" s="4"/>
      <c r="K18" s="37" t="str">
        <f t="shared" si="2"/>
        <v xml:space="preserve"> </v>
      </c>
      <c r="L18" s="23" t="str">
        <f t="shared" si="31"/>
        <v xml:space="preserve">  </v>
      </c>
      <c r="M18" s="38" t="str">
        <f t="shared" si="3"/>
        <v xml:space="preserve"> </v>
      </c>
      <c r="N18" s="27" t="str">
        <f t="shared" si="32"/>
        <v xml:space="preserve">  </v>
      </c>
      <c r="O18" s="23" t="str">
        <f t="shared" si="33"/>
        <v xml:space="preserve">  </v>
      </c>
      <c r="P18" s="4"/>
      <c r="Q18" s="50" t="s">
        <v>52</v>
      </c>
      <c r="R18" s="48" t="s">
        <v>53</v>
      </c>
      <c r="S18" t="str">
        <f>IF(Tools!$L$49="Use 141 rule only",I42,IF(Tools!$L$49="Use 141 and 1331 rules",BG19," "))</f>
        <v xml:space="preserve">  </v>
      </c>
      <c r="W18" s="29">
        <f>IF(AO18="  ","  ",IF(AND(AO17="  ",AO19="  "),"?",IF(AO17="  ",1*(AO19-AO18),IF(AO19="  ",1*(AO18-AO17),1*(AO19-AO17)))))</f>
        <v>2</v>
      </c>
      <c r="X18" s="30" t="str">
        <f t="shared" si="4"/>
        <v>WW</v>
      </c>
      <c r="Y18" s="30" t="str">
        <f t="shared" si="5"/>
        <v>-</v>
      </c>
      <c r="Z18" s="29" t="b">
        <f t="shared" si="6"/>
        <v>0</v>
      </c>
      <c r="AA18" s="29" t="b">
        <f t="shared" si="7"/>
        <v>0</v>
      </c>
      <c r="AB18" s="29" t="str">
        <f t="shared" ca="1" si="8"/>
        <v>++</v>
      </c>
      <c r="AC18" s="29">
        <f t="shared" si="34"/>
        <v>11</v>
      </c>
      <c r="AD18" s="29">
        <f t="shared" ca="1" si="9"/>
        <v>11</v>
      </c>
      <c r="AE18" s="29">
        <v>15</v>
      </c>
      <c r="AF18" s="31">
        <f t="shared" si="42"/>
        <v>11</v>
      </c>
      <c r="AG18" s="29" t="b">
        <f t="shared" si="11"/>
        <v>1</v>
      </c>
      <c r="AH18" s="30" t="str">
        <f t="shared" ca="1" si="43"/>
        <v>141-2</v>
      </c>
      <c r="AI18" s="30" t="str">
        <f t="shared" ca="1" si="13"/>
        <v/>
      </c>
      <c r="AJ18" s="29">
        <f t="shared" ca="1" si="14"/>
        <v>0</v>
      </c>
      <c r="AK18" s="29" t="str">
        <f t="shared" ca="1" si="15"/>
        <v>2/3</v>
      </c>
      <c r="AL18" s="29">
        <f t="shared" ca="1" si="16"/>
        <v>0.66666666666666663</v>
      </c>
      <c r="AM18" s="32">
        <f t="shared" ca="1" si="35"/>
        <v>0.66666666666666663</v>
      </c>
      <c r="AO18" s="20">
        <f>Tools!$AD17</f>
        <v>12</v>
      </c>
      <c r="AP18" s="33" t="str">
        <f t="shared" si="36"/>
        <v xml:space="preserve">  </v>
      </c>
      <c r="AQ18" s="34" t="str">
        <f t="shared" ca="1" si="18"/>
        <v>2/3</v>
      </c>
      <c r="AR18" s="23" t="str">
        <f t="shared" ca="1" si="19"/>
        <v xml:space="preserve">  </v>
      </c>
      <c r="AS18" s="24">
        <f t="shared" si="20"/>
        <v>2</v>
      </c>
      <c r="AT18" s="23" t="str">
        <f t="shared" ca="1" si="37"/>
        <v xml:space="preserve">  </v>
      </c>
      <c r="AU18" s="23" t="str">
        <f t="shared" ca="1" si="40"/>
        <v xml:space="preserve">  </v>
      </c>
      <c r="AV18" s="23" t="str">
        <f t="shared" si="21"/>
        <v xml:space="preserve">  </v>
      </c>
      <c r="AW18" s="23" t="str">
        <f t="shared" ca="1" si="22"/>
        <v xml:space="preserve">  </v>
      </c>
      <c r="AY18" s="35" t="str">
        <f t="shared" si="23"/>
        <v xml:space="preserve"> </v>
      </c>
      <c r="AZ18" s="23" t="str">
        <f t="shared" ca="1" si="41"/>
        <v xml:space="preserve">  </v>
      </c>
      <c r="BA18" s="36" t="str">
        <f t="shared" si="25"/>
        <v xml:space="preserve"> </v>
      </c>
      <c r="BB18" s="27" t="str">
        <f t="shared" ca="1" si="38"/>
        <v xml:space="preserve">  </v>
      </c>
      <c r="BC18" s="23" t="str">
        <f t="shared" ca="1" si="39"/>
        <v xml:space="preserve">  </v>
      </c>
      <c r="BE18" s="50" t="s">
        <v>50</v>
      </c>
      <c r="BF18" s="48" t="s">
        <v>54</v>
      </c>
      <c r="BG18" s="49" t="str">
        <f>IF(WL_No="  ","  ",h*$AZ$29)</f>
        <v xml:space="preserve">  </v>
      </c>
    </row>
    <row r="19" spans="1:59" x14ac:dyDescent="0.25">
      <c r="A19" s="20">
        <f>Tools!$AD18</f>
        <v>13</v>
      </c>
      <c r="B19" s="33" t="str">
        <f t="shared" si="0"/>
        <v xml:space="preserve">  </v>
      </c>
      <c r="C19" s="22">
        <f>IF(A19="  ","  ",IF(AND(A18="  ",A20="  "),"?",IF(A18="  ",2*(A20-A19),IF(A20="  ",2*(A19-A18),2*(A20-A18)))))</f>
        <v>4</v>
      </c>
      <c r="D19" s="23" t="str">
        <f t="shared" si="26"/>
        <v xml:space="preserve">  </v>
      </c>
      <c r="E19" s="24">
        <f t="shared" si="1"/>
        <v>3</v>
      </c>
      <c r="F19" s="23" t="str">
        <f t="shared" si="27"/>
        <v xml:space="preserve">  </v>
      </c>
      <c r="G19" s="23" t="str">
        <f t="shared" si="28"/>
        <v xml:space="preserve">  </v>
      </c>
      <c r="H19" s="23" t="str">
        <f t="shared" si="29"/>
        <v xml:space="preserve">  </v>
      </c>
      <c r="I19" s="23" t="str">
        <f t="shared" si="30"/>
        <v xml:space="preserve">  </v>
      </c>
      <c r="J19" s="4"/>
      <c r="K19" s="37" t="str">
        <f t="shared" si="2"/>
        <v xml:space="preserve"> </v>
      </c>
      <c r="L19" s="23" t="str">
        <f t="shared" si="31"/>
        <v xml:space="preserve">  </v>
      </c>
      <c r="M19" s="38" t="str">
        <f t="shared" si="3"/>
        <v xml:space="preserve"> </v>
      </c>
      <c r="N19" s="27" t="str">
        <f t="shared" si="32"/>
        <v xml:space="preserve">  </v>
      </c>
      <c r="O19" s="23" t="str">
        <f t="shared" si="33"/>
        <v xml:space="preserve">  </v>
      </c>
      <c r="P19" s="4"/>
      <c r="Q19" s="50" t="s">
        <v>55</v>
      </c>
      <c r="R19" s="48" t="s">
        <v>56</v>
      </c>
      <c r="S19" t="str">
        <f>IF(Tools!$L$49="Use 141 rule only",I43,IF(Tools!$L$49="Use 141 and 1331 rules",BG20," "))</f>
        <v xml:space="preserve">  </v>
      </c>
      <c r="W19" s="29">
        <f>IF(AO19="  ","  ",IF(AND(AO18="  ",AO20="  "),"?",IF(AO18="  ",2*(AO20-AO19),IF(AO20="  ",2*(AO19-AO18),2*(AO20-AO18)))))</f>
        <v>4</v>
      </c>
      <c r="X19" s="30" t="str">
        <f t="shared" si="4"/>
        <v>WW</v>
      </c>
      <c r="Y19" s="30" t="str">
        <f t="shared" si="5"/>
        <v>-</v>
      </c>
      <c r="Z19" s="29" t="b">
        <f t="shared" si="6"/>
        <v>0</v>
      </c>
      <c r="AA19" s="29" t="b">
        <f t="shared" si="7"/>
        <v>0</v>
      </c>
      <c r="AB19" s="29" t="str">
        <f t="shared" ca="1" si="8"/>
        <v>++</v>
      </c>
      <c r="AC19" s="29">
        <f t="shared" si="34"/>
        <v>10</v>
      </c>
      <c r="AD19" s="29">
        <f t="shared" ca="1" si="9"/>
        <v>10</v>
      </c>
      <c r="AE19" s="29">
        <v>16</v>
      </c>
      <c r="AF19" s="31">
        <f t="shared" si="42"/>
        <v>12</v>
      </c>
      <c r="AG19" s="29" t="b">
        <f t="shared" si="11"/>
        <v>1</v>
      </c>
      <c r="AH19" s="30" t="str">
        <f t="shared" ca="1" si="43"/>
        <v>141-4</v>
      </c>
      <c r="AI19" s="30" t="str">
        <f t="shared" ca="1" si="13"/>
        <v/>
      </c>
      <c r="AJ19" s="29">
        <f t="shared" ca="1" si="14"/>
        <v>0</v>
      </c>
      <c r="AK19" s="29" t="str">
        <f t="shared" ca="1" si="15"/>
        <v>4/3</v>
      </c>
      <c r="AL19" s="29">
        <f t="shared" ca="1" si="16"/>
        <v>1.3333333333333333</v>
      </c>
      <c r="AM19" s="32">
        <f t="shared" ca="1" si="35"/>
        <v>1.3333333333333333</v>
      </c>
      <c r="AO19" s="20">
        <f>Tools!$AD18</f>
        <v>13</v>
      </c>
      <c r="AP19" s="33" t="str">
        <f t="shared" si="36"/>
        <v xml:space="preserve">  </v>
      </c>
      <c r="AQ19" s="34" t="str">
        <f t="shared" ca="1" si="18"/>
        <v>4/3</v>
      </c>
      <c r="AR19" s="23" t="str">
        <f t="shared" ca="1" si="19"/>
        <v xml:space="preserve">  </v>
      </c>
      <c r="AS19" s="24">
        <f t="shared" si="20"/>
        <v>3</v>
      </c>
      <c r="AT19" s="23" t="str">
        <f t="shared" ca="1" si="37"/>
        <v xml:space="preserve">  </v>
      </c>
      <c r="AU19" s="23" t="str">
        <f t="shared" ca="1" si="40"/>
        <v xml:space="preserve">  </v>
      </c>
      <c r="AV19" s="23" t="str">
        <f t="shared" si="21"/>
        <v xml:space="preserve">  </v>
      </c>
      <c r="AW19" s="23" t="str">
        <f t="shared" ca="1" si="22"/>
        <v xml:space="preserve">  </v>
      </c>
      <c r="AY19" s="35" t="str">
        <f t="shared" si="23"/>
        <v xml:space="preserve"> </v>
      </c>
      <c r="AZ19" s="23" t="str">
        <f t="shared" ca="1" si="41"/>
        <v xml:space="preserve">  </v>
      </c>
      <c r="BA19" s="36" t="str">
        <f t="shared" si="25"/>
        <v xml:space="preserve"> </v>
      </c>
      <c r="BB19" s="27" t="str">
        <f t="shared" ca="1" si="38"/>
        <v xml:space="preserve">  </v>
      </c>
      <c r="BC19" s="23" t="str">
        <f t="shared" ca="1" si="39"/>
        <v xml:space="preserve">  </v>
      </c>
      <c r="BE19" s="50" t="s">
        <v>52</v>
      </c>
      <c r="BF19" s="48" t="s">
        <v>53</v>
      </c>
      <c r="BG19" s="49" t="str">
        <f>IF(WL_No="  ","  ",V_Disp*1.025*1.006)</f>
        <v xml:space="preserve">  </v>
      </c>
    </row>
    <row r="20" spans="1:59" x14ac:dyDescent="0.25">
      <c r="A20" s="20">
        <f>Tools!$AD19</f>
        <v>14</v>
      </c>
      <c r="B20" s="33" t="str">
        <f t="shared" si="0"/>
        <v xml:space="preserve">  </v>
      </c>
      <c r="C20" s="22">
        <f>IF(A20="  ","  ",IF(AND(A19="  ",A21="  "),"?",IF(A19="  ",1*(A21-A20),IF(A21="  ",1*(A20-A19),1*(A21-A19)))))</f>
        <v>2</v>
      </c>
      <c r="D20" s="23" t="str">
        <f t="shared" si="26"/>
        <v xml:space="preserve">  </v>
      </c>
      <c r="E20" s="24">
        <f t="shared" si="1"/>
        <v>4</v>
      </c>
      <c r="F20" s="23" t="str">
        <f t="shared" si="27"/>
        <v xml:space="preserve">  </v>
      </c>
      <c r="G20" s="23" t="str">
        <f t="shared" si="28"/>
        <v xml:space="preserve">  </v>
      </c>
      <c r="H20" s="23" t="str">
        <f t="shared" si="29"/>
        <v xml:space="preserve">  </v>
      </c>
      <c r="I20" s="23" t="str">
        <f t="shared" si="30"/>
        <v xml:space="preserve">  </v>
      </c>
      <c r="J20" s="4"/>
      <c r="K20" s="37" t="str">
        <f t="shared" si="2"/>
        <v xml:space="preserve"> </v>
      </c>
      <c r="L20" s="23" t="str">
        <f t="shared" si="31"/>
        <v xml:space="preserve">  </v>
      </c>
      <c r="M20" s="38" t="str">
        <f t="shared" si="3"/>
        <v xml:space="preserve"> </v>
      </c>
      <c r="N20" s="27" t="str">
        <f t="shared" si="32"/>
        <v xml:space="preserve">  </v>
      </c>
      <c r="O20" s="23" t="str">
        <f t="shared" si="33"/>
        <v xml:space="preserve">  </v>
      </c>
      <c r="P20" s="4"/>
      <c r="Q20" s="50" t="s">
        <v>57</v>
      </c>
      <c r="R20" s="48" t="s">
        <v>58</v>
      </c>
      <c r="S20" t="str">
        <f>IF(Tools!$L$49="Use 141 rule only",I44,IF(Tools!$L$49="Use 141 and 1331 rules",BG21," "))</f>
        <v xml:space="preserve">  </v>
      </c>
      <c r="W20" s="29">
        <f>IF(AO20="  ","  ",IF(AND(AO19="  ",AO21="  "),"?",IF(AO19="  ",1*(AO21-AO20),IF(AO21="  ",1*(AO20-AO19),1*(AO21-AO19)))))</f>
        <v>2</v>
      </c>
      <c r="X20" s="30" t="str">
        <f t="shared" si="4"/>
        <v>WW</v>
      </c>
      <c r="Y20" s="30" t="str">
        <f t="shared" si="5"/>
        <v>-</v>
      </c>
      <c r="Z20" s="29" t="b">
        <f t="shared" si="6"/>
        <v>0</v>
      </c>
      <c r="AA20" s="29" t="b">
        <f t="shared" si="7"/>
        <v>0</v>
      </c>
      <c r="AB20" s="29" t="str">
        <f t="shared" ca="1" si="8"/>
        <v>++</v>
      </c>
      <c r="AC20" s="29">
        <f t="shared" si="34"/>
        <v>9</v>
      </c>
      <c r="AD20" s="29">
        <f t="shared" ca="1" si="9"/>
        <v>9</v>
      </c>
      <c r="AE20" s="29">
        <v>17</v>
      </c>
      <c r="AF20" s="31">
        <f t="shared" si="42"/>
        <v>13</v>
      </c>
      <c r="AG20" s="29" t="b">
        <f t="shared" si="11"/>
        <v>1</v>
      </c>
      <c r="AH20" s="30" t="str">
        <f t="shared" ca="1" si="43"/>
        <v>141-2</v>
      </c>
      <c r="AI20" s="30" t="str">
        <f t="shared" ca="1" si="13"/>
        <v/>
      </c>
      <c r="AJ20" s="29">
        <f t="shared" ca="1" si="14"/>
        <v>0</v>
      </c>
      <c r="AK20" s="29" t="str">
        <f t="shared" ca="1" si="15"/>
        <v>2/3</v>
      </c>
      <c r="AL20" s="29">
        <f t="shared" ca="1" si="16"/>
        <v>0.66666666666666663</v>
      </c>
      <c r="AM20" s="32">
        <f t="shared" ca="1" si="35"/>
        <v>0.66666666666666663</v>
      </c>
      <c r="AO20" s="20">
        <f>Tools!$AD19</f>
        <v>14</v>
      </c>
      <c r="AP20" s="33" t="str">
        <f t="shared" si="36"/>
        <v xml:space="preserve">  </v>
      </c>
      <c r="AQ20" s="34" t="str">
        <f t="shared" ca="1" si="18"/>
        <v>2/3</v>
      </c>
      <c r="AR20" s="23" t="str">
        <f t="shared" ca="1" si="19"/>
        <v xml:space="preserve">  </v>
      </c>
      <c r="AS20" s="24">
        <f t="shared" si="20"/>
        <v>4</v>
      </c>
      <c r="AT20" s="23" t="str">
        <f t="shared" ca="1" si="37"/>
        <v xml:space="preserve">  </v>
      </c>
      <c r="AU20" s="23" t="str">
        <f t="shared" ca="1" si="40"/>
        <v xml:space="preserve">  </v>
      </c>
      <c r="AV20" s="23" t="str">
        <f t="shared" si="21"/>
        <v xml:space="preserve">  </v>
      </c>
      <c r="AW20" s="23" t="str">
        <f t="shared" ca="1" si="22"/>
        <v xml:space="preserve">  </v>
      </c>
      <c r="AY20" s="35" t="str">
        <f t="shared" si="23"/>
        <v xml:space="preserve"> </v>
      </c>
      <c r="AZ20" s="23" t="str">
        <f t="shared" ca="1" si="41"/>
        <v xml:space="preserve">  </v>
      </c>
      <c r="BA20" s="36" t="str">
        <f t="shared" si="25"/>
        <v xml:space="preserve"> </v>
      </c>
      <c r="BB20" s="27" t="str">
        <f t="shared" ca="1" si="38"/>
        <v xml:space="preserve">  </v>
      </c>
      <c r="BC20" s="23" t="str">
        <f t="shared" ca="1" si="39"/>
        <v xml:space="preserve">  </v>
      </c>
      <c r="BE20" s="50" t="s">
        <v>55</v>
      </c>
      <c r="BF20" s="48" t="s">
        <v>59</v>
      </c>
      <c r="BG20" s="49" t="str">
        <f>IF(WL_No="  ","  ",h*$BB$29)</f>
        <v xml:space="preserve">  </v>
      </c>
    </row>
    <row r="21" spans="1:59" x14ac:dyDescent="0.25">
      <c r="A21" s="20">
        <f>Tools!$AD20</f>
        <v>15</v>
      </c>
      <c r="B21" s="33" t="str">
        <f t="shared" si="0"/>
        <v xml:space="preserve">  </v>
      </c>
      <c r="C21" s="22">
        <f>IF(A21="  ","  ",IF(AND(A20="  ",A22="  "),"?",IF(A20="  ",2*(A22-A21),IF(A22="  ",2*(A21-A20),2*(A22-A20)))))</f>
        <v>4</v>
      </c>
      <c r="D21" s="23" t="str">
        <f t="shared" si="26"/>
        <v xml:space="preserve">  </v>
      </c>
      <c r="E21" s="24">
        <f t="shared" si="1"/>
        <v>5</v>
      </c>
      <c r="F21" s="23" t="str">
        <f t="shared" si="27"/>
        <v xml:space="preserve">  </v>
      </c>
      <c r="G21" s="23" t="str">
        <f t="shared" si="28"/>
        <v xml:space="preserve">  </v>
      </c>
      <c r="H21" s="23" t="str">
        <f t="shared" si="29"/>
        <v xml:space="preserve">  </v>
      </c>
      <c r="I21" s="23" t="str">
        <f t="shared" si="30"/>
        <v xml:space="preserve">  </v>
      </c>
      <c r="J21" s="4"/>
      <c r="K21" s="37" t="str">
        <f t="shared" si="2"/>
        <v xml:space="preserve"> </v>
      </c>
      <c r="L21" s="23" t="str">
        <f t="shared" si="31"/>
        <v xml:space="preserve">  </v>
      </c>
      <c r="M21" s="38" t="str">
        <f t="shared" si="3"/>
        <v xml:space="preserve"> </v>
      </c>
      <c r="N21" s="27" t="str">
        <f t="shared" si="32"/>
        <v xml:space="preserve">  </v>
      </c>
      <c r="O21" s="23" t="str">
        <f t="shared" si="33"/>
        <v xml:space="preserve">  </v>
      </c>
      <c r="P21" s="4"/>
      <c r="Q21" s="50" t="s">
        <v>60</v>
      </c>
      <c r="R21" s="48" t="s">
        <v>61</v>
      </c>
      <c r="S21" t="str">
        <f>IF(Tools!$L$49="Use 141 rule only",I45,IF(Tools!$L$49="Use 141 and 1331 rules",BG22," "))</f>
        <v xml:space="preserve">  </v>
      </c>
      <c r="W21" s="29">
        <f>IF(AO21="  ","  ",IF(AND(AO20="  ",AO22="  "),"?",IF(AO20="  ",2*(AO22-AO21),IF(AO22="  ",2*(AO21-AO20),2*(AO22-AO20)))))</f>
        <v>4</v>
      </c>
      <c r="X21" s="30" t="str">
        <f t="shared" si="4"/>
        <v>WW</v>
      </c>
      <c r="Y21" s="30" t="str">
        <f t="shared" si="5"/>
        <v>-</v>
      </c>
      <c r="Z21" s="29" t="b">
        <f t="shared" si="6"/>
        <v>0</v>
      </c>
      <c r="AA21" s="29" t="b">
        <f t="shared" si="7"/>
        <v>0</v>
      </c>
      <c r="AB21" s="29" t="str">
        <f t="shared" ca="1" si="8"/>
        <v>++</v>
      </c>
      <c r="AC21" s="29">
        <f t="shared" si="34"/>
        <v>8</v>
      </c>
      <c r="AD21" s="29">
        <f t="shared" ca="1" si="9"/>
        <v>8</v>
      </c>
      <c r="AE21" s="29">
        <v>18</v>
      </c>
      <c r="AF21" s="31">
        <f t="shared" si="42"/>
        <v>14</v>
      </c>
      <c r="AG21" s="29" t="b">
        <f t="shared" si="11"/>
        <v>1</v>
      </c>
      <c r="AH21" s="30" t="str">
        <f t="shared" ca="1" si="43"/>
        <v>141-4</v>
      </c>
      <c r="AI21" s="30" t="str">
        <f t="shared" ca="1" si="13"/>
        <v/>
      </c>
      <c r="AJ21" s="29">
        <f t="shared" ca="1" si="14"/>
        <v>0</v>
      </c>
      <c r="AK21" s="29" t="str">
        <f t="shared" ca="1" si="15"/>
        <v>4/3</v>
      </c>
      <c r="AL21" s="29">
        <f t="shared" ca="1" si="16"/>
        <v>1.3333333333333333</v>
      </c>
      <c r="AM21" s="32">
        <f t="shared" ca="1" si="35"/>
        <v>1.3333333333333333</v>
      </c>
      <c r="AO21" s="20">
        <f>Tools!$AD20</f>
        <v>15</v>
      </c>
      <c r="AP21" s="33" t="str">
        <f t="shared" si="36"/>
        <v xml:space="preserve">  </v>
      </c>
      <c r="AQ21" s="34" t="str">
        <f t="shared" ca="1" si="18"/>
        <v>4/3</v>
      </c>
      <c r="AR21" s="23" t="str">
        <f t="shared" ca="1" si="19"/>
        <v xml:space="preserve">  </v>
      </c>
      <c r="AS21" s="24">
        <f t="shared" si="20"/>
        <v>5</v>
      </c>
      <c r="AT21" s="23" t="str">
        <f t="shared" ca="1" si="37"/>
        <v xml:space="preserve">  </v>
      </c>
      <c r="AU21" s="23" t="str">
        <f t="shared" ca="1" si="40"/>
        <v xml:space="preserve">  </v>
      </c>
      <c r="AV21" s="23" t="str">
        <f t="shared" si="21"/>
        <v xml:space="preserve">  </v>
      </c>
      <c r="AW21" s="23" t="str">
        <f t="shared" ca="1" si="22"/>
        <v xml:space="preserve">  </v>
      </c>
      <c r="AY21" s="35" t="str">
        <f t="shared" si="23"/>
        <v xml:space="preserve"> </v>
      </c>
      <c r="AZ21" s="23" t="str">
        <f t="shared" ca="1" si="41"/>
        <v xml:space="preserve">  </v>
      </c>
      <c r="BA21" s="36" t="str">
        <f t="shared" si="25"/>
        <v xml:space="preserve"> </v>
      </c>
      <c r="BB21" s="27" t="str">
        <f t="shared" ca="1" si="38"/>
        <v xml:space="preserve">  </v>
      </c>
      <c r="BC21" s="23" t="str">
        <f t="shared" ca="1" si="39"/>
        <v xml:space="preserve">  </v>
      </c>
      <c r="BE21" s="50" t="s">
        <v>57</v>
      </c>
      <c r="BF21" s="48" t="s">
        <v>62</v>
      </c>
      <c r="BG21" s="49" t="str">
        <f>IF(WL_No="  ","  ",(h^2)*$BC$29)</f>
        <v xml:space="preserve">  </v>
      </c>
    </row>
    <row r="22" spans="1:59" x14ac:dyDescent="0.25">
      <c r="A22" s="20">
        <f>Tools!$AD21</f>
        <v>16</v>
      </c>
      <c r="B22" s="33" t="str">
        <f t="shared" si="0"/>
        <v xml:space="preserve">  </v>
      </c>
      <c r="C22" s="22">
        <f>IF(A22="  ","  ",IF(AND(A21="  ",A23="  "),"?",IF(A21="  ",1*(A23-A22),IF(A23="  ",1*(A22-A21),1*(A23-A21)))))</f>
        <v>2</v>
      </c>
      <c r="D22" s="23" t="str">
        <f t="shared" si="26"/>
        <v xml:space="preserve">  </v>
      </c>
      <c r="E22" s="24">
        <f t="shared" si="1"/>
        <v>6</v>
      </c>
      <c r="F22" s="23" t="str">
        <f t="shared" si="27"/>
        <v xml:space="preserve">  </v>
      </c>
      <c r="G22" s="23" t="str">
        <f t="shared" si="28"/>
        <v xml:space="preserve">  </v>
      </c>
      <c r="H22" s="23" t="str">
        <f t="shared" si="29"/>
        <v xml:space="preserve">  </v>
      </c>
      <c r="I22" s="23" t="str">
        <f t="shared" si="30"/>
        <v xml:space="preserve">  </v>
      </c>
      <c r="J22" s="4"/>
      <c r="K22" s="37" t="str">
        <f t="shared" si="2"/>
        <v xml:space="preserve"> </v>
      </c>
      <c r="L22" s="23" t="str">
        <f t="shared" si="31"/>
        <v xml:space="preserve">  </v>
      </c>
      <c r="M22" s="38" t="str">
        <f t="shared" si="3"/>
        <v xml:space="preserve"> </v>
      </c>
      <c r="N22" s="27" t="str">
        <f t="shared" si="32"/>
        <v xml:space="preserve">  </v>
      </c>
      <c r="O22" s="23" t="str">
        <f t="shared" si="33"/>
        <v xml:space="preserve">  </v>
      </c>
      <c r="P22" s="4"/>
      <c r="Q22" s="50" t="s">
        <v>63</v>
      </c>
      <c r="R22" s="48" t="s">
        <v>64</v>
      </c>
      <c r="S22" t="str">
        <f>IF(Tools!$L$49="Use 141 rule only",I46,IF(Tools!$L$49="Use 141 and 1331 rules",BG23," "))</f>
        <v xml:space="preserve">  </v>
      </c>
      <c r="W22" s="29">
        <f>IF(AO22="  ","  ",IF(AND(AO21="  ",AO23="  "),"?",IF(AO21="  ",1*(AO23-AO22),IF(AO23="  ",1*(AO22-AO21),1*(AO23-AO21)))))</f>
        <v>2</v>
      </c>
      <c r="X22" s="30" t="str">
        <f t="shared" si="4"/>
        <v>WW</v>
      </c>
      <c r="Y22" s="30" t="str">
        <f t="shared" si="5"/>
        <v>-</v>
      </c>
      <c r="Z22" s="29" t="b">
        <f t="shared" si="6"/>
        <v>0</v>
      </c>
      <c r="AA22" s="29" t="b">
        <f t="shared" si="7"/>
        <v>0</v>
      </c>
      <c r="AB22" s="29" t="str">
        <f t="shared" ca="1" si="8"/>
        <v>++</v>
      </c>
      <c r="AC22" s="29">
        <f t="shared" si="34"/>
        <v>7</v>
      </c>
      <c r="AD22" s="29">
        <f t="shared" ca="1" si="9"/>
        <v>7</v>
      </c>
      <c r="AE22" s="29">
        <v>19</v>
      </c>
      <c r="AF22" s="31">
        <f t="shared" si="42"/>
        <v>15</v>
      </c>
      <c r="AG22" s="29" t="b">
        <f t="shared" si="11"/>
        <v>1</v>
      </c>
      <c r="AH22" s="30" t="str">
        <f t="shared" ca="1" si="43"/>
        <v>141-2</v>
      </c>
      <c r="AI22" s="30" t="str">
        <f t="shared" ca="1" si="13"/>
        <v/>
      </c>
      <c r="AJ22" s="29">
        <f t="shared" ca="1" si="14"/>
        <v>0</v>
      </c>
      <c r="AK22" s="29" t="str">
        <f t="shared" ca="1" si="15"/>
        <v>2/3</v>
      </c>
      <c r="AL22" s="29">
        <f t="shared" ca="1" si="16"/>
        <v>0.66666666666666663</v>
      </c>
      <c r="AM22" s="32">
        <f t="shared" ca="1" si="35"/>
        <v>0.66666666666666663</v>
      </c>
      <c r="AO22" s="20">
        <f>Tools!$AD21</f>
        <v>16</v>
      </c>
      <c r="AP22" s="33" t="str">
        <f t="shared" si="36"/>
        <v xml:space="preserve">  </v>
      </c>
      <c r="AQ22" s="34" t="str">
        <f t="shared" ca="1" si="18"/>
        <v>2/3</v>
      </c>
      <c r="AR22" s="23" t="str">
        <f t="shared" ca="1" si="19"/>
        <v xml:space="preserve">  </v>
      </c>
      <c r="AS22" s="24">
        <f t="shared" si="20"/>
        <v>6</v>
      </c>
      <c r="AT22" s="23" t="str">
        <f t="shared" ca="1" si="37"/>
        <v xml:space="preserve">  </v>
      </c>
      <c r="AU22" s="23" t="str">
        <f t="shared" ca="1" si="40"/>
        <v xml:space="preserve">  </v>
      </c>
      <c r="AV22" s="23" t="str">
        <f t="shared" si="21"/>
        <v xml:space="preserve">  </v>
      </c>
      <c r="AW22" s="23" t="str">
        <f t="shared" ca="1" si="22"/>
        <v xml:space="preserve">  </v>
      </c>
      <c r="AY22" s="35" t="str">
        <f t="shared" si="23"/>
        <v xml:space="preserve"> </v>
      </c>
      <c r="AZ22" s="23" t="str">
        <f t="shared" ca="1" si="41"/>
        <v xml:space="preserve">  </v>
      </c>
      <c r="BA22" s="36" t="str">
        <f t="shared" si="25"/>
        <v xml:space="preserve"> </v>
      </c>
      <c r="BB22" s="27" t="str">
        <f t="shared" ca="1" si="38"/>
        <v xml:space="preserve">  </v>
      </c>
      <c r="BC22" s="23" t="str">
        <f t="shared" ca="1" si="39"/>
        <v xml:space="preserve">  </v>
      </c>
      <c r="BE22" s="50" t="s">
        <v>60</v>
      </c>
      <c r="BF22" s="48" t="s">
        <v>61</v>
      </c>
      <c r="BG22" s="49" t="str">
        <f>IF(WL_No="  ","  ",IF/V_Disp)</f>
        <v xml:space="preserve">  </v>
      </c>
    </row>
    <row r="23" spans="1:59" x14ac:dyDescent="0.25">
      <c r="A23" s="20">
        <f>Tools!$AD22</f>
        <v>17</v>
      </c>
      <c r="B23" s="33" t="str">
        <f t="shared" si="0"/>
        <v xml:space="preserve">  </v>
      </c>
      <c r="C23" s="22">
        <f>IF(A23="  ","  ",IF(AND(A22="  ",A24="  "),"?",IF(A22="  ",2*(A24-A23),IF(A24="  ",2*(A23-A22),2*(A24-A22)))))</f>
        <v>4</v>
      </c>
      <c r="D23" s="23" t="str">
        <f t="shared" si="26"/>
        <v xml:space="preserve">  </v>
      </c>
      <c r="E23" s="24">
        <f t="shared" si="1"/>
        <v>7</v>
      </c>
      <c r="F23" s="23" t="str">
        <f t="shared" si="27"/>
        <v xml:space="preserve">  </v>
      </c>
      <c r="G23" s="23" t="str">
        <f t="shared" si="28"/>
        <v xml:space="preserve">  </v>
      </c>
      <c r="H23" s="23" t="str">
        <f t="shared" si="29"/>
        <v xml:space="preserve">  </v>
      </c>
      <c r="I23" s="23" t="str">
        <f t="shared" si="30"/>
        <v xml:space="preserve">  </v>
      </c>
      <c r="J23" s="4"/>
      <c r="K23" s="37" t="str">
        <f t="shared" si="2"/>
        <v xml:space="preserve"> </v>
      </c>
      <c r="L23" s="23" t="str">
        <f t="shared" si="31"/>
        <v xml:space="preserve">  </v>
      </c>
      <c r="M23" s="38" t="str">
        <f t="shared" si="3"/>
        <v xml:space="preserve"> </v>
      </c>
      <c r="N23" s="27" t="str">
        <f t="shared" si="32"/>
        <v xml:space="preserve">  </v>
      </c>
      <c r="O23" s="23" t="str">
        <f t="shared" si="33"/>
        <v xml:space="preserve">  </v>
      </c>
      <c r="P23" s="4"/>
      <c r="Q23" s="50" t="s">
        <v>65</v>
      </c>
      <c r="R23" s="48" t="s">
        <v>66</v>
      </c>
      <c r="S23" t="str">
        <f>IF(Tools!$L$49="Use 141 rule only",I47,IF(Tools!$L$49="Use 141 and 1331 rules",BG24," "))</f>
        <v xml:space="preserve">  </v>
      </c>
      <c r="W23" s="29">
        <f>IF(AO23="  ","  ",IF(AND(AO22="  ",AO24="  "),"?",IF(AO22="  ",2*(AO24-AO23),IF(AO24="  ",2*(AO23-AO22),2*(AO24-AO22)))))</f>
        <v>4</v>
      </c>
      <c r="X23" s="30" t="str">
        <f t="shared" si="4"/>
        <v>WW</v>
      </c>
      <c r="Y23" s="30" t="str">
        <f t="shared" si="5"/>
        <v>-</v>
      </c>
      <c r="Z23" s="29" t="b">
        <f t="shared" si="6"/>
        <v>0</v>
      </c>
      <c r="AA23" s="29" t="b">
        <f t="shared" si="7"/>
        <v>0</v>
      </c>
      <c r="AB23" s="29" t="str">
        <f t="shared" ca="1" si="8"/>
        <v>++</v>
      </c>
      <c r="AC23" s="29">
        <f t="shared" si="34"/>
        <v>6</v>
      </c>
      <c r="AD23" s="29">
        <f t="shared" ca="1" si="9"/>
        <v>6</v>
      </c>
      <c r="AE23" s="29">
        <v>20</v>
      </c>
      <c r="AF23" s="31">
        <f t="shared" si="42"/>
        <v>16</v>
      </c>
      <c r="AG23" s="29" t="b">
        <f t="shared" si="11"/>
        <v>1</v>
      </c>
      <c r="AH23" s="30" t="str">
        <f t="shared" ca="1" si="43"/>
        <v>141-4</v>
      </c>
      <c r="AI23" s="30" t="str">
        <f t="shared" ca="1" si="13"/>
        <v/>
      </c>
      <c r="AJ23" s="29">
        <f t="shared" ca="1" si="14"/>
        <v>0</v>
      </c>
      <c r="AK23" s="29" t="str">
        <f t="shared" ca="1" si="15"/>
        <v>4/3</v>
      </c>
      <c r="AL23" s="29">
        <f t="shared" ca="1" si="16"/>
        <v>1.3333333333333333</v>
      </c>
      <c r="AM23" s="32">
        <f t="shared" ca="1" si="35"/>
        <v>1.3333333333333333</v>
      </c>
      <c r="AO23" s="20">
        <f>Tools!$AD22</f>
        <v>17</v>
      </c>
      <c r="AP23" s="33" t="str">
        <f t="shared" si="36"/>
        <v xml:space="preserve">  </v>
      </c>
      <c r="AQ23" s="34" t="str">
        <f t="shared" ca="1" si="18"/>
        <v>4/3</v>
      </c>
      <c r="AR23" s="23" t="str">
        <f t="shared" ca="1" si="19"/>
        <v xml:space="preserve">  </v>
      </c>
      <c r="AS23" s="24">
        <f t="shared" si="20"/>
        <v>7</v>
      </c>
      <c r="AT23" s="23" t="str">
        <f t="shared" ca="1" si="37"/>
        <v xml:space="preserve">  </v>
      </c>
      <c r="AU23" s="23" t="str">
        <f t="shared" ca="1" si="40"/>
        <v xml:space="preserve">  </v>
      </c>
      <c r="AV23" s="23" t="str">
        <f t="shared" si="21"/>
        <v xml:space="preserve">  </v>
      </c>
      <c r="AW23" s="23" t="str">
        <f t="shared" ca="1" si="22"/>
        <v xml:space="preserve">  </v>
      </c>
      <c r="AY23" s="35" t="str">
        <f t="shared" si="23"/>
        <v xml:space="preserve"> </v>
      </c>
      <c r="AZ23" s="23" t="str">
        <f t="shared" ca="1" si="41"/>
        <v xml:space="preserve">  </v>
      </c>
      <c r="BA23" s="36" t="str">
        <f t="shared" si="25"/>
        <v xml:space="preserve"> </v>
      </c>
      <c r="BB23" s="27" t="str">
        <f t="shared" ca="1" si="38"/>
        <v xml:space="preserve">  </v>
      </c>
      <c r="BC23" s="23" t="str">
        <f t="shared" ca="1" si="39"/>
        <v xml:space="preserve">  </v>
      </c>
      <c r="BE23" s="50" t="s">
        <v>63</v>
      </c>
      <c r="BF23" s="48" t="s">
        <v>64</v>
      </c>
      <c r="BG23" s="49" t="str">
        <f>IF(WL_No="  ","  ",IT/V_Disp)</f>
        <v xml:space="preserve">  </v>
      </c>
    </row>
    <row r="24" spans="1:59" x14ac:dyDescent="0.25">
      <c r="A24" s="20">
        <f>Tools!$AD23</f>
        <v>18</v>
      </c>
      <c r="B24" s="33" t="str">
        <f t="shared" si="0"/>
        <v xml:space="preserve">  </v>
      </c>
      <c r="C24" s="22">
        <f>IF(A24="  ","  ",IF(AND(A23="  ",A25="  "),"?",IF(A23="  ",1*(A25-A24),IF(A25="  ",1*(A24-A23),1*(A25-A23)))))</f>
        <v>1.5</v>
      </c>
      <c r="D24" s="23" t="str">
        <f t="shared" si="26"/>
        <v xml:space="preserve">  </v>
      </c>
      <c r="E24" s="24">
        <f t="shared" si="1"/>
        <v>8</v>
      </c>
      <c r="F24" s="23" t="str">
        <f t="shared" si="27"/>
        <v xml:space="preserve">  </v>
      </c>
      <c r="G24" s="23" t="str">
        <f t="shared" si="28"/>
        <v xml:space="preserve">  </v>
      </c>
      <c r="H24" s="23" t="str">
        <f t="shared" si="29"/>
        <v xml:space="preserve">  </v>
      </c>
      <c r="I24" s="23" t="str">
        <f t="shared" si="30"/>
        <v xml:space="preserve">  </v>
      </c>
      <c r="J24" s="4"/>
      <c r="K24" s="37" t="str">
        <f t="shared" si="2"/>
        <v xml:space="preserve"> </v>
      </c>
      <c r="L24" s="23" t="str">
        <f t="shared" si="31"/>
        <v xml:space="preserve">  </v>
      </c>
      <c r="M24" s="38" t="str">
        <f t="shared" si="3"/>
        <v xml:space="preserve"> </v>
      </c>
      <c r="N24" s="27" t="str">
        <f t="shared" si="32"/>
        <v xml:space="preserve">  </v>
      </c>
      <c r="O24" s="23" t="str">
        <f t="shared" si="33"/>
        <v xml:space="preserve">  </v>
      </c>
      <c r="P24" s="4"/>
      <c r="Q24" s="50" t="s">
        <v>67</v>
      </c>
      <c r="R24" s="48" t="s">
        <v>68</v>
      </c>
      <c r="S24" t="str">
        <f>IF(Tools!$L$49="Use 141 rule only",I48,IF(Tools!$L$49="Use 141 and 1331 rules",BG25," "))</f>
        <v xml:space="preserve">  </v>
      </c>
      <c r="W24" s="29">
        <f>IF(AO24="  ","  ",IF(AND(AO23="  ",AO25="  "),"?",IF(AO23="  ",1*(AO25-AO24),IF(AO25="  ",1*(AO24-AO23),1*(AO25-AO23)))))</f>
        <v>1.5</v>
      </c>
      <c r="X24" s="30" t="str">
        <f t="shared" si="4"/>
        <v>WD</v>
      </c>
      <c r="Y24" s="30" t="str">
        <f t="shared" si="5"/>
        <v>-</v>
      </c>
      <c r="Z24" s="29" t="b">
        <f t="shared" si="6"/>
        <v>1</v>
      </c>
      <c r="AA24" s="29" t="b">
        <f t="shared" si="7"/>
        <v>1</v>
      </c>
      <c r="AB24" s="29" t="str">
        <f t="shared" ca="1" si="8"/>
        <v>141-1</v>
      </c>
      <c r="AC24" s="29">
        <f t="shared" si="34"/>
        <v>5</v>
      </c>
      <c r="AD24" s="29">
        <f t="shared" ca="1" si="9"/>
        <v>5</v>
      </c>
      <c r="AE24" s="29">
        <v>21</v>
      </c>
      <c r="AF24" s="31">
        <f t="shared" si="42"/>
        <v>17</v>
      </c>
      <c r="AG24" s="29" t="b">
        <f t="shared" si="11"/>
        <v>1</v>
      </c>
      <c r="AH24" s="30" t="str">
        <f t="shared" ca="1" si="43"/>
        <v>141-1</v>
      </c>
      <c r="AI24" s="30" t="str">
        <f t="shared" ca="1" si="13"/>
        <v>(1/2)*(1/3)</v>
      </c>
      <c r="AJ24" s="29">
        <f t="shared" ca="1" si="14"/>
        <v>0.16666666666666666</v>
      </c>
      <c r="AK24" s="29" t="str">
        <f t="shared" ca="1" si="15"/>
        <v>1/3</v>
      </c>
      <c r="AL24" s="29">
        <f t="shared" ca="1" si="16"/>
        <v>0.33333333333333331</v>
      </c>
      <c r="AM24" s="32">
        <f t="shared" ca="1" si="35"/>
        <v>0.5</v>
      </c>
      <c r="AO24" s="20">
        <f>Tools!$AD23</f>
        <v>18</v>
      </c>
      <c r="AP24" s="33" t="str">
        <f t="shared" si="36"/>
        <v xml:space="preserve">  </v>
      </c>
      <c r="AQ24" s="34" t="str">
        <f t="shared" ca="1" si="18"/>
        <v>(1/2)*(1/3)+1/3</v>
      </c>
      <c r="AR24" s="23" t="str">
        <f t="shared" ca="1" si="19"/>
        <v xml:space="preserve">  </v>
      </c>
      <c r="AS24" s="24">
        <f t="shared" si="20"/>
        <v>8</v>
      </c>
      <c r="AT24" s="23" t="str">
        <f t="shared" ca="1" si="37"/>
        <v xml:space="preserve">  </v>
      </c>
      <c r="AU24" s="23" t="str">
        <f t="shared" ca="1" si="40"/>
        <v xml:space="preserve">  </v>
      </c>
      <c r="AV24" s="23" t="str">
        <f t="shared" si="21"/>
        <v xml:space="preserve">  </v>
      </c>
      <c r="AW24" s="23" t="str">
        <f t="shared" ca="1" si="22"/>
        <v xml:space="preserve">  </v>
      </c>
      <c r="AY24" s="35" t="str">
        <f t="shared" si="23"/>
        <v xml:space="preserve"> </v>
      </c>
      <c r="AZ24" s="23" t="str">
        <f t="shared" ca="1" si="41"/>
        <v xml:space="preserve">  </v>
      </c>
      <c r="BA24" s="36" t="str">
        <f t="shared" si="25"/>
        <v xml:space="preserve"> </v>
      </c>
      <c r="BB24" s="27" t="str">
        <f t="shared" ca="1" si="38"/>
        <v xml:space="preserve">  </v>
      </c>
      <c r="BC24" s="23" t="str">
        <f t="shared" ca="1" si="39"/>
        <v xml:space="preserve">  </v>
      </c>
      <c r="BE24" s="50" t="s">
        <v>65</v>
      </c>
      <c r="BF24" s="48" t="s">
        <v>66</v>
      </c>
      <c r="BG24" s="49" t="str">
        <f>IF(WL_No="  ","  ",MT/V_Disp)</f>
        <v xml:space="preserve">  </v>
      </c>
    </row>
    <row r="25" spans="1:59" x14ac:dyDescent="0.25">
      <c r="A25" s="20">
        <f>Tools!$AD24</f>
        <v>18.5</v>
      </c>
      <c r="B25" s="33" t="str">
        <f t="shared" si="0"/>
        <v xml:space="preserve">  </v>
      </c>
      <c r="C25" s="22">
        <f>IF(A25="  ","  ",IF(AND(A24="  ",A26="  "),"?",IF(A24="  ",2*(A26-A25),IF(A26="  ",2*(A25-A24),2*(A26-A24)))))</f>
        <v>2</v>
      </c>
      <c r="D25" s="23" t="str">
        <f t="shared" si="26"/>
        <v xml:space="preserve">  </v>
      </c>
      <c r="E25" s="24">
        <f t="shared" si="1"/>
        <v>8.5</v>
      </c>
      <c r="F25" s="23" t="str">
        <f t="shared" si="27"/>
        <v xml:space="preserve">  </v>
      </c>
      <c r="G25" s="23" t="str">
        <f t="shared" si="28"/>
        <v xml:space="preserve">  </v>
      </c>
      <c r="H25" s="23" t="str">
        <f t="shared" si="29"/>
        <v xml:space="preserve">  </v>
      </c>
      <c r="I25" s="23" t="str">
        <f t="shared" si="30"/>
        <v xml:space="preserve">  </v>
      </c>
      <c r="J25" s="4"/>
      <c r="K25" s="37" t="str">
        <f t="shared" si="2"/>
        <v xml:space="preserve"> </v>
      </c>
      <c r="L25" s="23" t="str">
        <f t="shared" si="31"/>
        <v xml:space="preserve">  </v>
      </c>
      <c r="M25" s="38" t="str">
        <f t="shared" si="3"/>
        <v xml:space="preserve"> </v>
      </c>
      <c r="N25" s="27" t="str">
        <f t="shared" si="32"/>
        <v xml:space="preserve">  </v>
      </c>
      <c r="O25" s="23" t="str">
        <f t="shared" si="33"/>
        <v xml:space="preserve">  </v>
      </c>
      <c r="P25" s="4"/>
      <c r="Q25" s="50" t="s">
        <v>69</v>
      </c>
      <c r="R25" s="48" t="s">
        <v>70</v>
      </c>
      <c r="S25" t="str">
        <f>IF(Tools!$L$49="Use 141 rule only",I49,IF(Tools!$L$49="Use 141 and 1331 rules",BG26," "))</f>
        <v xml:space="preserve">  </v>
      </c>
      <c r="W25" s="29">
        <f>IF(AO25="  ","  ",IF(AND(AO24="  ",AO26="  "),"?",IF(AO24="  ",2*(AO26-AO25),IF(AO26="  ",2*(AO25-AO24),2*(AO26-AO24)))))</f>
        <v>2</v>
      </c>
      <c r="X25" s="30" t="str">
        <f t="shared" si="4"/>
        <v>DD</v>
      </c>
      <c r="Y25" s="30" t="str">
        <f t="shared" si="5"/>
        <v>-</v>
      </c>
      <c r="Z25" s="29" t="b">
        <f t="shared" si="6"/>
        <v>1</v>
      </c>
      <c r="AA25" s="29" t="b">
        <f t="shared" si="7"/>
        <v>1</v>
      </c>
      <c r="AB25" s="29" t="str">
        <f t="shared" ca="1" si="8"/>
        <v>141-4</v>
      </c>
      <c r="AC25" s="29">
        <f t="shared" si="34"/>
        <v>4</v>
      </c>
      <c r="AD25" s="29">
        <f t="shared" ca="1" si="9"/>
        <v>4</v>
      </c>
      <c r="AE25" s="29">
        <v>22</v>
      </c>
      <c r="AF25" s="31">
        <f t="shared" si="42"/>
        <v>18</v>
      </c>
      <c r="AG25" s="29" t="b">
        <f t="shared" si="11"/>
        <v>0</v>
      </c>
      <c r="AH25" s="30" t="str">
        <f t="shared" si="43"/>
        <v>-</v>
      </c>
      <c r="AI25" s="30" t="str">
        <f t="shared" ca="1" si="13"/>
        <v>(1/2)*(4/3)</v>
      </c>
      <c r="AJ25" s="29">
        <f t="shared" ca="1" si="14"/>
        <v>0.66666666666666663</v>
      </c>
      <c r="AK25" s="29" t="str">
        <f t="shared" si="15"/>
        <v/>
      </c>
      <c r="AL25" s="29">
        <f t="shared" si="16"/>
        <v>0</v>
      </c>
      <c r="AM25" s="32">
        <f t="shared" ca="1" si="35"/>
        <v>0.66666666666666663</v>
      </c>
      <c r="AO25" s="20">
        <f>Tools!$AD24</f>
        <v>18.5</v>
      </c>
      <c r="AP25" s="33" t="str">
        <f t="shared" si="36"/>
        <v xml:space="preserve">  </v>
      </c>
      <c r="AQ25" s="34" t="str">
        <f t="shared" ca="1" si="18"/>
        <v>(1/2)*(4/3)</v>
      </c>
      <c r="AR25" s="23" t="str">
        <f t="shared" ca="1" si="19"/>
        <v xml:space="preserve">  </v>
      </c>
      <c r="AS25" s="24">
        <f t="shared" si="20"/>
        <v>8.5</v>
      </c>
      <c r="AT25" s="23" t="str">
        <f t="shared" ca="1" si="37"/>
        <v xml:space="preserve">  </v>
      </c>
      <c r="AU25" s="23" t="str">
        <f t="shared" ca="1" si="40"/>
        <v xml:space="preserve">  </v>
      </c>
      <c r="AV25" s="23" t="str">
        <f t="shared" si="21"/>
        <v xml:space="preserve">  </v>
      </c>
      <c r="AW25" s="23" t="str">
        <f t="shared" ca="1" si="22"/>
        <v xml:space="preserve">  </v>
      </c>
      <c r="AY25" s="35" t="str">
        <f t="shared" si="23"/>
        <v xml:space="preserve"> </v>
      </c>
      <c r="AZ25" s="23" t="str">
        <f t="shared" ca="1" si="41"/>
        <v xml:space="preserve">  </v>
      </c>
      <c r="BA25" s="36" t="str">
        <f t="shared" si="25"/>
        <v xml:space="preserve"> </v>
      </c>
      <c r="BB25" s="27" t="str">
        <f t="shared" ca="1" si="38"/>
        <v xml:space="preserve">  </v>
      </c>
      <c r="BC25" s="23" t="str">
        <f t="shared" ca="1" si="39"/>
        <v xml:space="preserve">  </v>
      </c>
      <c r="BE25" s="50" t="s">
        <v>67</v>
      </c>
      <c r="BF25" s="48" t="s">
        <v>68</v>
      </c>
      <c r="BG25" s="49" t="str">
        <f>IF(WL_No="  ","  ",KB+BMT)</f>
        <v xml:space="preserve">  </v>
      </c>
    </row>
    <row r="26" spans="1:59" x14ac:dyDescent="0.25">
      <c r="A26" s="20">
        <f>Tools!$AD25</f>
        <v>19</v>
      </c>
      <c r="B26" s="33" t="str">
        <f t="shared" si="0"/>
        <v xml:space="preserve">  </v>
      </c>
      <c r="C26" s="22">
        <f>IF(A26="  ","  ",IF(AND(A25="  ",A27="  "),"?",IF(A25="  ",1*(A27-A26),IF(A27="  ",1*(A26-A25),1*(A27-A25)))))</f>
        <v>1</v>
      </c>
      <c r="D26" s="23" t="str">
        <f t="shared" si="26"/>
        <v xml:space="preserve">  </v>
      </c>
      <c r="E26" s="24">
        <f t="shared" si="1"/>
        <v>9</v>
      </c>
      <c r="F26" s="23" t="str">
        <f t="shared" si="27"/>
        <v xml:space="preserve">  </v>
      </c>
      <c r="G26" s="23" t="str">
        <f t="shared" si="28"/>
        <v xml:space="preserve">  </v>
      </c>
      <c r="H26" s="23" t="str">
        <f t="shared" si="29"/>
        <v xml:space="preserve">  </v>
      </c>
      <c r="I26" s="23" t="str">
        <f t="shared" si="30"/>
        <v xml:space="preserve">  </v>
      </c>
      <c r="J26" s="4"/>
      <c r="K26" s="37" t="str">
        <f t="shared" si="2"/>
        <v xml:space="preserve"> </v>
      </c>
      <c r="L26" s="23" t="str">
        <f t="shared" si="31"/>
        <v xml:space="preserve">  </v>
      </c>
      <c r="M26" s="38" t="str">
        <f t="shared" si="3"/>
        <v xml:space="preserve"> </v>
      </c>
      <c r="N26" s="27" t="str">
        <f t="shared" si="32"/>
        <v xml:space="preserve">  </v>
      </c>
      <c r="O26" s="23" t="str">
        <f t="shared" si="33"/>
        <v xml:space="preserve">  </v>
      </c>
      <c r="P26" s="4"/>
      <c r="Q26" s="50" t="s">
        <v>71</v>
      </c>
      <c r="R26" s="48" t="s">
        <v>72</v>
      </c>
      <c r="S26" t="str">
        <f>IF(Tools!$L$49="Use 141 rule only",I50,IF(Tools!$L$49="Use 141 and 1331 rules",BG27," "))</f>
        <v xml:space="preserve">  </v>
      </c>
      <c r="W26" s="29">
        <f>IF(AO26="  ","  ",IF(AND(AO25="  ",AO27="  "),"?",IF(AO25="  ",1*(AO27-AO26),IF(AO27="  ",1*(AO26-AO25),1*(AO27-AO25)))))</f>
        <v>1</v>
      </c>
      <c r="X26" s="30" t="str">
        <f t="shared" si="4"/>
        <v>DD</v>
      </c>
      <c r="Y26" s="30" t="str">
        <f t="shared" si="5"/>
        <v>-</v>
      </c>
      <c r="Z26" s="29" t="b">
        <f t="shared" si="6"/>
        <v>1</v>
      </c>
      <c r="AA26" s="29" t="b">
        <f t="shared" si="7"/>
        <v>1</v>
      </c>
      <c r="AB26" s="29" t="str">
        <f t="shared" ca="1" si="8"/>
        <v>141-2</v>
      </c>
      <c r="AC26" s="29">
        <f t="shared" si="34"/>
        <v>3</v>
      </c>
      <c r="AD26" s="29">
        <f t="shared" ca="1" si="9"/>
        <v>3</v>
      </c>
      <c r="AE26" s="29">
        <v>23</v>
      </c>
      <c r="AF26" s="31">
        <f t="shared" si="42"/>
        <v>19</v>
      </c>
      <c r="AG26" s="29" t="b">
        <f t="shared" si="11"/>
        <v>0</v>
      </c>
      <c r="AH26" s="30" t="str">
        <f t="shared" si="43"/>
        <v>-</v>
      </c>
      <c r="AI26" s="30" t="str">
        <f t="shared" ca="1" si="13"/>
        <v>(1/2)*(2/3)</v>
      </c>
      <c r="AJ26" s="29">
        <f t="shared" ca="1" si="14"/>
        <v>0.33333333333333331</v>
      </c>
      <c r="AK26" s="29" t="str">
        <f t="shared" si="15"/>
        <v/>
      </c>
      <c r="AL26" s="29">
        <f t="shared" si="16"/>
        <v>0</v>
      </c>
      <c r="AM26" s="32">
        <f t="shared" ca="1" si="35"/>
        <v>0.33333333333333331</v>
      </c>
      <c r="AO26" s="20">
        <f>Tools!$AD25</f>
        <v>19</v>
      </c>
      <c r="AP26" s="33" t="str">
        <f t="shared" si="36"/>
        <v xml:space="preserve">  </v>
      </c>
      <c r="AQ26" s="34" t="str">
        <f t="shared" ca="1" si="18"/>
        <v>(1/2)*(2/3)</v>
      </c>
      <c r="AR26" s="23" t="str">
        <f t="shared" ca="1" si="19"/>
        <v xml:space="preserve">  </v>
      </c>
      <c r="AS26" s="24">
        <f t="shared" si="20"/>
        <v>9</v>
      </c>
      <c r="AT26" s="23" t="str">
        <f t="shared" ca="1" si="37"/>
        <v xml:space="preserve">  </v>
      </c>
      <c r="AU26" s="23" t="str">
        <f t="shared" ca="1" si="40"/>
        <v xml:space="preserve">  </v>
      </c>
      <c r="AV26" s="23" t="str">
        <f t="shared" si="21"/>
        <v xml:space="preserve">  </v>
      </c>
      <c r="AW26" s="23" t="str">
        <f t="shared" ca="1" si="22"/>
        <v xml:space="preserve">  </v>
      </c>
      <c r="AY26" s="35" t="str">
        <f t="shared" si="23"/>
        <v xml:space="preserve"> </v>
      </c>
      <c r="AZ26" s="23" t="str">
        <f t="shared" ca="1" si="41"/>
        <v xml:space="preserve">  </v>
      </c>
      <c r="BA26" s="36" t="str">
        <f t="shared" si="25"/>
        <v xml:space="preserve"> </v>
      </c>
      <c r="BB26" s="27" t="str">
        <f t="shared" ca="1" si="38"/>
        <v xml:space="preserve">  </v>
      </c>
      <c r="BC26" s="23" t="str">
        <f t="shared" ca="1" si="39"/>
        <v xml:space="preserve">  </v>
      </c>
      <c r="BE26" s="50" t="s">
        <v>69</v>
      </c>
      <c r="BF26" s="48" t="s">
        <v>70</v>
      </c>
      <c r="BG26" s="49" t="str">
        <f>IF(WL_No="  ","  ",KB+BML)</f>
        <v xml:space="preserve">  </v>
      </c>
    </row>
    <row r="27" spans="1:59" x14ac:dyDescent="0.25">
      <c r="A27" s="20">
        <f>Tools!$AD26</f>
        <v>19.5</v>
      </c>
      <c r="B27" s="33" t="str">
        <f t="shared" si="0"/>
        <v xml:space="preserve">  </v>
      </c>
      <c r="C27" s="22">
        <f>IF(A27="  ","  ",IF(AND(A26="  ",A28="  "),"?",IF(A26="  ",2*(A28-A27),IF(A28="  ",2*(A27-A26),2*(A28-A26)))))</f>
        <v>2</v>
      </c>
      <c r="D27" s="23" t="str">
        <f t="shared" si="26"/>
        <v xml:space="preserve">  </v>
      </c>
      <c r="E27" s="24">
        <f t="shared" si="1"/>
        <v>9.5</v>
      </c>
      <c r="F27" s="23" t="str">
        <f t="shared" si="27"/>
        <v xml:space="preserve">  </v>
      </c>
      <c r="G27" s="23" t="str">
        <f t="shared" si="28"/>
        <v xml:space="preserve">  </v>
      </c>
      <c r="H27" s="23" t="str">
        <f t="shared" si="29"/>
        <v xml:space="preserve">  </v>
      </c>
      <c r="I27" s="23" t="str">
        <f t="shared" si="30"/>
        <v xml:space="preserve">  </v>
      </c>
      <c r="J27" s="4"/>
      <c r="K27" s="37" t="str">
        <f t="shared" si="2"/>
        <v xml:space="preserve"> </v>
      </c>
      <c r="L27" s="23" t="str">
        <f t="shared" si="31"/>
        <v xml:space="preserve">  </v>
      </c>
      <c r="M27" s="38" t="str">
        <f t="shared" si="3"/>
        <v xml:space="preserve"> </v>
      </c>
      <c r="N27" s="27" t="str">
        <f t="shared" si="32"/>
        <v xml:space="preserve">  </v>
      </c>
      <c r="O27" s="23" t="str">
        <f t="shared" si="33"/>
        <v xml:space="preserve">  </v>
      </c>
      <c r="P27" s="4"/>
      <c r="Q27" s="50" t="s">
        <v>73</v>
      </c>
      <c r="R27" s="48" t="s">
        <v>74</v>
      </c>
      <c r="S27" t="str">
        <f>IF(Tools!$L$49="Use 141 rule only",I51,IF(Tools!$L$49="Use 141 and 1331 rules",BG28," "))</f>
        <v xml:space="preserve">  </v>
      </c>
      <c r="W27" s="29">
        <f>IF(AO27="  ","  ",IF(AND(AO26="  ",AO28="  "),"?",IF(AO26="  ",2*(AO28-AO27),IF(AO28="  ",2*(AO27-AO26),2*(AO28-AO26)))))</f>
        <v>2</v>
      </c>
      <c r="X27" s="30" t="str">
        <f t="shared" si="4"/>
        <v>DD</v>
      </c>
      <c r="Y27" s="30" t="str">
        <f t="shared" si="5"/>
        <v>-</v>
      </c>
      <c r="Z27" s="29" t="b">
        <f t="shared" si="6"/>
        <v>1</v>
      </c>
      <c r="AA27" s="29" t="b">
        <f t="shared" si="7"/>
        <v>1</v>
      </c>
      <c r="AB27" s="29" t="str">
        <f t="shared" ca="1" si="8"/>
        <v>141-4</v>
      </c>
      <c r="AC27" s="29">
        <f t="shared" si="34"/>
        <v>2</v>
      </c>
      <c r="AD27" s="29">
        <f t="shared" ca="1" si="9"/>
        <v>2</v>
      </c>
      <c r="AE27" s="29">
        <v>24</v>
      </c>
      <c r="AF27" s="31">
        <f t="shared" si="42"/>
        <v>20</v>
      </c>
      <c r="AG27" s="29" t="b">
        <f t="shared" si="11"/>
        <v>0</v>
      </c>
      <c r="AH27" s="30" t="str">
        <f t="shared" si="43"/>
        <v>-</v>
      </c>
      <c r="AI27" s="30" t="str">
        <f t="shared" ca="1" si="13"/>
        <v>(1/2)*(4/3)</v>
      </c>
      <c r="AJ27" s="29">
        <f t="shared" ca="1" si="14"/>
        <v>0.66666666666666663</v>
      </c>
      <c r="AK27" s="29" t="str">
        <f t="shared" si="15"/>
        <v/>
      </c>
      <c r="AL27" s="29">
        <f t="shared" si="16"/>
        <v>0</v>
      </c>
      <c r="AM27" s="32">
        <f t="shared" ca="1" si="35"/>
        <v>0.66666666666666663</v>
      </c>
      <c r="AO27" s="20">
        <f>Tools!$AD26</f>
        <v>19.5</v>
      </c>
      <c r="AP27" s="33" t="str">
        <f t="shared" ref="AP27:AP28" si="44">VLOOKUP(AO27,OFFSET_A,Count_WL+1,FALSE)</f>
        <v xml:space="preserve">  </v>
      </c>
      <c r="AQ27" s="34" t="str">
        <f t="shared" ca="1" si="18"/>
        <v>(1/2)*(4/3)</v>
      </c>
      <c r="AR27" s="23" t="str">
        <f t="shared" ca="1" si="19"/>
        <v xml:space="preserve">  </v>
      </c>
      <c r="AS27" s="24">
        <f t="shared" si="20"/>
        <v>9.5</v>
      </c>
      <c r="AT27" s="23" t="str">
        <f t="shared" ca="1" si="37"/>
        <v xml:space="preserve">  </v>
      </c>
      <c r="AU27" s="23" t="str">
        <f t="shared" ca="1" si="40"/>
        <v xml:space="preserve">  </v>
      </c>
      <c r="AV27" s="23" t="str">
        <f t="shared" si="21"/>
        <v xml:space="preserve">  </v>
      </c>
      <c r="AW27" s="23" t="str">
        <f t="shared" ca="1" si="22"/>
        <v xml:space="preserve">  </v>
      </c>
      <c r="AY27" s="35" t="str">
        <f t="shared" si="23"/>
        <v xml:space="preserve"> </v>
      </c>
      <c r="AZ27" s="23" t="str">
        <f t="shared" ca="1" si="41"/>
        <v xml:space="preserve">  </v>
      </c>
      <c r="BA27" s="36" t="str">
        <f t="shared" si="25"/>
        <v xml:space="preserve"> </v>
      </c>
      <c r="BB27" s="27" t="str">
        <f t="shared" ca="1" si="38"/>
        <v xml:space="preserve">  </v>
      </c>
      <c r="BC27" s="23" t="str">
        <f t="shared" ca="1" si="39"/>
        <v xml:space="preserve">  </v>
      </c>
      <c r="BE27" s="50" t="s">
        <v>71</v>
      </c>
      <c r="BF27" s="48" t="s">
        <v>72</v>
      </c>
      <c r="BG27" s="49" t="str">
        <f>IF(WL_No="  ","  ",AWP*1.025/100)</f>
        <v xml:space="preserve">  </v>
      </c>
    </row>
    <row r="28" spans="1:59" ht="15.75" thickBot="1" x14ac:dyDescent="0.3">
      <c r="A28" s="20">
        <f>Tools!$AD27</f>
        <v>20</v>
      </c>
      <c r="B28" s="52" t="str">
        <f t="shared" si="0"/>
        <v xml:space="preserve">  </v>
      </c>
      <c r="C28" s="22">
        <f>IF(A28="  ","  ",IF(A27="  ","?",1*(A28-A27)))</f>
        <v>0.5</v>
      </c>
      <c r="D28" s="53" t="str">
        <f t="shared" si="26"/>
        <v xml:space="preserve">  </v>
      </c>
      <c r="E28" s="24">
        <f t="shared" si="1"/>
        <v>10</v>
      </c>
      <c r="F28" s="53" t="str">
        <f t="shared" si="27"/>
        <v xml:space="preserve">  </v>
      </c>
      <c r="G28" s="53" t="str">
        <f t="shared" si="28"/>
        <v xml:space="preserve">  </v>
      </c>
      <c r="H28" s="23" t="str">
        <f t="shared" si="29"/>
        <v xml:space="preserve">  </v>
      </c>
      <c r="I28" s="53" t="str">
        <f t="shared" si="30"/>
        <v xml:space="preserve">  </v>
      </c>
      <c r="J28" s="4"/>
      <c r="K28" s="35" t="str">
        <f t="shared" si="2"/>
        <v xml:space="preserve"> </v>
      </c>
      <c r="L28" s="53" t="str">
        <f t="shared" si="31"/>
        <v xml:space="preserve">  </v>
      </c>
      <c r="M28" s="36" t="str">
        <f t="shared" si="3"/>
        <v xml:space="preserve"> </v>
      </c>
      <c r="N28" s="54" t="str">
        <f t="shared" si="32"/>
        <v xml:space="preserve">  </v>
      </c>
      <c r="O28" s="53" t="str">
        <f t="shared" si="33"/>
        <v xml:space="preserve">  </v>
      </c>
      <c r="P28" s="4"/>
      <c r="Q28" s="50" t="s">
        <v>75</v>
      </c>
      <c r="R28" s="55" t="s">
        <v>76</v>
      </c>
      <c r="S28" t="str">
        <f>IF(Tools!$L$49="Use 141 rule only",I52,IF(Tools!$L$49="Use 141 and 1331 rules",BG29," "))</f>
        <v xml:space="preserve">  </v>
      </c>
      <c r="W28" s="29">
        <f>IF(AO28="  ","  ",IF(AO27="  ","?",1*(AO28-AO27)))</f>
        <v>0.5</v>
      </c>
      <c r="X28" s="30" t="str">
        <f t="shared" si="4"/>
        <v>D-</v>
      </c>
      <c r="Y28" s="30" t="str">
        <f t="shared" si="5"/>
        <v>-</v>
      </c>
      <c r="Z28" s="29" t="b">
        <f t="shared" si="6"/>
        <v>1</v>
      </c>
      <c r="AA28" s="29" t="b">
        <f t="shared" si="7"/>
        <v>1</v>
      </c>
      <c r="AB28" s="29" t="str">
        <f t="shared" ca="1" si="8"/>
        <v>141-1</v>
      </c>
      <c r="AC28" s="29">
        <f>IF(ISNUMBER(AO28),IF(ISNUMBER(AO28),IF(OR(AO28=0,AO28=Long_Div),1,IF(AO28&gt;Long_Div/2,AF29+1,IF(AO28&lt;=Long_Div/2,AC27+1,"?")))," --")," ")</f>
        <v>1</v>
      </c>
      <c r="AD28" s="29">
        <f t="shared" ca="1" si="9"/>
        <v>1</v>
      </c>
      <c r="AE28" s="29">
        <v>25</v>
      </c>
      <c r="AF28" s="31">
        <f t="shared" si="42"/>
        <v>21</v>
      </c>
      <c r="AG28" s="29" t="b">
        <f t="shared" si="11"/>
        <v>0</v>
      </c>
      <c r="AH28" s="30" t="str">
        <f t="shared" si="43"/>
        <v>-</v>
      </c>
      <c r="AI28" s="30" t="str">
        <f t="shared" ca="1" si="13"/>
        <v>(1/2)*(1/3)</v>
      </c>
      <c r="AJ28" s="29">
        <f t="shared" ca="1" si="14"/>
        <v>0.16666666666666666</v>
      </c>
      <c r="AK28" s="29" t="str">
        <f t="shared" si="15"/>
        <v/>
      </c>
      <c r="AL28" s="29">
        <f t="shared" si="16"/>
        <v>0</v>
      </c>
      <c r="AM28" s="32">
        <f t="shared" ca="1" si="35"/>
        <v>0.16666666666666666</v>
      </c>
      <c r="AO28" s="20">
        <f>Tools!$AD27</f>
        <v>20</v>
      </c>
      <c r="AP28" s="33" t="str">
        <f t="shared" si="44"/>
        <v xml:space="preserve">  </v>
      </c>
      <c r="AQ28" s="34" t="str">
        <f t="shared" ca="1" si="18"/>
        <v>(1/2)*(1/3)</v>
      </c>
      <c r="AR28" s="23" t="str">
        <f t="shared" ca="1" si="19"/>
        <v xml:space="preserve">  </v>
      </c>
      <c r="AS28" s="24">
        <f t="shared" si="20"/>
        <v>10</v>
      </c>
      <c r="AT28" s="53" t="str">
        <f t="shared" ca="1" si="37"/>
        <v xml:space="preserve">  </v>
      </c>
      <c r="AU28" s="53" t="str">
        <f t="shared" ca="1" si="40"/>
        <v xml:space="preserve">  </v>
      </c>
      <c r="AV28" s="23" t="str">
        <f t="shared" si="21"/>
        <v xml:space="preserve">  </v>
      </c>
      <c r="AW28" s="23" t="str">
        <f t="shared" ca="1" si="22"/>
        <v xml:space="preserve">  </v>
      </c>
      <c r="AY28" s="35" t="str">
        <f t="shared" si="23"/>
        <v xml:space="preserve"> </v>
      </c>
      <c r="AZ28" s="23" t="str">
        <f t="shared" ca="1" si="41"/>
        <v xml:space="preserve">  </v>
      </c>
      <c r="BA28" s="36" t="str">
        <f t="shared" si="25"/>
        <v xml:space="preserve"> </v>
      </c>
      <c r="BB28" s="27" t="str">
        <f t="shared" ca="1" si="38"/>
        <v xml:space="preserve">  </v>
      </c>
      <c r="BC28" s="53" t="str">
        <f t="shared" ca="1" si="39"/>
        <v xml:space="preserve">  </v>
      </c>
      <c r="BE28" s="50" t="s">
        <v>73</v>
      </c>
      <c r="BF28" s="48" t="s">
        <v>74</v>
      </c>
      <c r="BG28" s="49" t="str">
        <f>IF(WL_No="  ","  ",ML/V_Disp)</f>
        <v xml:space="preserve">  </v>
      </c>
    </row>
    <row r="29" spans="1:59" ht="15.75" thickBot="1" x14ac:dyDescent="0.3">
      <c r="A29" s="56" t="s">
        <v>77</v>
      </c>
      <c r="B29" s="56"/>
      <c r="C29" s="56"/>
      <c r="D29" s="57">
        <f>SUM(D4:D28)</f>
        <v>0</v>
      </c>
      <c r="E29" s="42"/>
      <c r="F29" s="58">
        <f>SUM(F4:F28)</f>
        <v>0</v>
      </c>
      <c r="G29" s="58">
        <f>SUM(G4:G28)</f>
        <v>0</v>
      </c>
      <c r="H29" s="42"/>
      <c r="I29" s="58">
        <f>SUM(I4:I28)</f>
        <v>0</v>
      </c>
      <c r="J29" s="4"/>
      <c r="K29" s="42"/>
      <c r="L29" s="58">
        <f>SUM(L4:L28)</f>
        <v>0</v>
      </c>
      <c r="M29" s="42"/>
      <c r="N29" s="58">
        <f>SUM(N4:N28)</f>
        <v>0</v>
      </c>
      <c r="O29" s="58">
        <f>SUM(O4:O28)</f>
        <v>0</v>
      </c>
      <c r="P29" s="4"/>
      <c r="Q29" s="50" t="s">
        <v>78</v>
      </c>
      <c r="R29" s="48" t="s">
        <v>79</v>
      </c>
      <c r="S29" t="str">
        <f>IF(Tools!$L$49="Use 141 rule only",I53,IF(Tools!$L$49="Use 141 and 1331 rules",BG30," "))</f>
        <v xml:space="preserve">  </v>
      </c>
      <c r="W29" s="56"/>
      <c r="X29" s="56"/>
      <c r="Y29" s="56"/>
      <c r="Z29" s="56"/>
      <c r="AA29" s="56"/>
      <c r="AB29" s="56"/>
      <c r="AC29" s="56"/>
      <c r="AD29" s="56"/>
      <c r="AE29" s="56"/>
      <c r="AF29" s="56"/>
      <c r="AG29" s="56"/>
      <c r="AH29" s="56"/>
      <c r="AI29" s="56"/>
      <c r="AJ29" s="56"/>
      <c r="AK29" s="56"/>
      <c r="AL29" s="56"/>
      <c r="AM29" s="56"/>
      <c r="AN29" s="56"/>
      <c r="AO29" s="56" t="s">
        <v>77</v>
      </c>
      <c r="AP29" s="56"/>
      <c r="AQ29" s="59"/>
      <c r="AR29" s="57">
        <f ca="1">SUM(AR4:AR28)</f>
        <v>0</v>
      </c>
      <c r="AS29" s="42"/>
      <c r="AT29" s="58">
        <f ca="1">SUM(AT4:AT28)</f>
        <v>0</v>
      </c>
      <c r="AU29" s="58">
        <f ca="1">SUM(AU4:AU28)</f>
        <v>0</v>
      </c>
      <c r="AV29" s="42"/>
      <c r="AW29" s="58">
        <f ca="1">SUM(AW4:AW28)</f>
        <v>0</v>
      </c>
      <c r="AY29" s="42"/>
      <c r="AZ29" s="58">
        <f ca="1">SUM(AZ4:AZ28)</f>
        <v>0</v>
      </c>
      <c r="BA29" s="42"/>
      <c r="BB29" s="58">
        <f ca="1">SUM(BB4:BB28)</f>
        <v>0</v>
      </c>
      <c r="BC29" s="58">
        <f ca="1">SUM(BC4:BC28)</f>
        <v>0</v>
      </c>
      <c r="BE29" s="50" t="s">
        <v>75</v>
      </c>
      <c r="BF29" s="55" t="s">
        <v>76</v>
      </c>
      <c r="BG29" s="49" t="str">
        <f>IF(WL_No="  ","  ",M_Disp*BML/100/BG8)</f>
        <v xml:space="preserve">  </v>
      </c>
    </row>
    <row r="30" spans="1:59" x14ac:dyDescent="0.25">
      <c r="A30" s="15"/>
      <c r="B30" s="4"/>
      <c r="C30" s="4"/>
      <c r="D30" s="42"/>
      <c r="E30" s="4"/>
      <c r="F30" s="4"/>
      <c r="G30" s="4"/>
      <c r="H30" s="4"/>
      <c r="I30" s="4"/>
      <c r="J30" s="4"/>
      <c r="K30" s="4"/>
      <c r="L30" s="4"/>
      <c r="M30" s="4"/>
      <c r="N30" s="4"/>
      <c r="O30" s="4"/>
      <c r="P30" s="4"/>
      <c r="Q30" s="50" t="s">
        <v>80</v>
      </c>
      <c r="R30" s="48" t="s">
        <v>81</v>
      </c>
      <c r="S30" t="str">
        <f>IF(Tools!$L$49="Use 141 rule only",I54,IF(Tools!$L$49="Use 141 and 1331 rules",BG31," "))</f>
        <v xml:space="preserve">  </v>
      </c>
      <c r="AA30" s="60"/>
      <c r="AB30" s="60"/>
      <c r="BE30" s="50" t="s">
        <v>78</v>
      </c>
      <c r="BF30" s="48" t="s">
        <v>79</v>
      </c>
      <c r="BG30" s="49" t="str">
        <f>IF(WL_No="  ","  ",WLS*WL_No)</f>
        <v xml:space="preserve">  </v>
      </c>
    </row>
    <row r="31" spans="1:59" x14ac:dyDescent="0.25">
      <c r="A31" s="15"/>
      <c r="B31" s="4"/>
      <c r="C31" s="4"/>
      <c r="D31" s="4"/>
      <c r="E31" s="4"/>
      <c r="F31" s="4"/>
      <c r="G31" s="4"/>
      <c r="H31" s="4"/>
      <c r="I31" s="4"/>
      <c r="J31" s="4"/>
      <c r="K31" s="4"/>
      <c r="L31" s="4"/>
      <c r="M31" s="4"/>
      <c r="N31" s="4"/>
      <c r="O31" s="4"/>
      <c r="P31" s="4"/>
      <c r="Q31" s="50" t="s">
        <v>82</v>
      </c>
      <c r="R31" s="48" t="s">
        <v>83</v>
      </c>
      <c r="S31" t="str">
        <f>IF(Tools!$L$49="Use 141 rule only",I55,IF(Tools!$L$49="Use 141 and 1331 rules",BG32," "))</f>
        <v xml:space="preserve">  </v>
      </c>
      <c r="AF31" s="61" t="s">
        <v>84</v>
      </c>
      <c r="AG31" s="62">
        <f ca="1">COUNTIF(OFFSET(AQ4,,,ROUNDUP(Max_STN_count/2,0),1),"")</f>
        <v>0</v>
      </c>
      <c r="AH31" s="63">
        <f ca="1">HLOOKUP(Stn_WL,AREA_TABLE,AG31+2,FALSE)</f>
        <v>0</v>
      </c>
      <c r="AI31" s="63">
        <f ca="1">IF(AH31&gt;Long_Div/2,Long_Div/2,AH31)</f>
        <v>0</v>
      </c>
      <c r="AJ31" s="63">
        <f ca="1">AI31*STN_GAP</f>
        <v>0</v>
      </c>
      <c r="BE31" s="50" t="s">
        <v>80</v>
      </c>
      <c r="BF31" s="48" t="s">
        <v>81</v>
      </c>
      <c r="BG31" s="49" t="str">
        <f>IF(WL_No="  ","  ",AWP/(BG8*B_current))</f>
        <v xml:space="preserve">  </v>
      </c>
    </row>
    <row r="32" spans="1:59" x14ac:dyDescent="0.25">
      <c r="A32" s="15"/>
      <c r="B32" s="4"/>
      <c r="C32" s="4"/>
      <c r="D32" s="4"/>
      <c r="E32" s="4"/>
      <c r="F32" s="4"/>
      <c r="G32" s="4"/>
      <c r="H32" s="4"/>
      <c r="I32" s="4"/>
      <c r="J32" s="64"/>
      <c r="K32" s="4"/>
      <c r="L32" s="4"/>
      <c r="M32" s="4"/>
      <c r="N32" s="4"/>
      <c r="O32" s="4"/>
      <c r="P32" s="4"/>
      <c r="Q32" s="50" t="s">
        <v>85</v>
      </c>
      <c r="R32" s="48" t="s">
        <v>86</v>
      </c>
      <c r="S32" t="str">
        <f>IF(Tools!$L$49="Use 141 rule only",I56,IF(Tools!$L$49="Use 141 and 1331 rules",BG33," "))</f>
        <v xml:space="preserve">  </v>
      </c>
      <c r="AF32" s="61" t="s">
        <v>87</v>
      </c>
      <c r="AG32" s="62">
        <f ca="1">COUNTIF(OFFSET(AQ4,ROUNDUP(Max_STN_count/2,0),,ROUNDDOWN(Max_STN_count/2,0),1),"")</f>
        <v>0</v>
      </c>
      <c r="AH32" s="63">
        <f ca="1">HLOOKUP(Stn_WL,AREA_TABLE,AG32+2,FALSE)</f>
        <v>0</v>
      </c>
      <c r="AI32" s="63">
        <f ca="1">IF(AH32&gt;Long_Div/2,Long_Div/2,AH32)</f>
        <v>0</v>
      </c>
      <c r="AJ32" s="63">
        <f ca="1">AI32*STN_GAP</f>
        <v>0</v>
      </c>
      <c r="BE32" s="50" t="s">
        <v>82</v>
      </c>
      <c r="BF32" s="48" t="s">
        <v>83</v>
      </c>
      <c r="BG32" s="49" t="str">
        <f>IF(WL_No="  ","  ",V_Disp/(BG8*B_current*T))</f>
        <v xml:space="preserve">  </v>
      </c>
    </row>
    <row r="33" spans="1:59" x14ac:dyDescent="0.25">
      <c r="A33" s="15"/>
      <c r="B33" s="4"/>
      <c r="C33" s="4"/>
      <c r="D33" s="4"/>
      <c r="E33" s="4"/>
      <c r="F33" s="4"/>
      <c r="G33" s="43" t="s">
        <v>31</v>
      </c>
      <c r="H33" s="44" t="s">
        <v>32</v>
      </c>
      <c r="I33" s="489" t="s">
        <v>33</v>
      </c>
      <c r="J33" s="4"/>
      <c r="K33" s="4"/>
      <c r="L33" s="4"/>
      <c r="M33" s="4"/>
      <c r="N33" s="4"/>
      <c r="O33" s="4"/>
      <c r="P33" s="4"/>
      <c r="Q33" s="50" t="s">
        <v>88</v>
      </c>
      <c r="R33" s="48" t="s">
        <v>89</v>
      </c>
      <c r="S33" t="str">
        <f>IF(Tools!$L$49="Use 141 rule only",I57,IF(Tools!$L$49="Use 141 and 1331 rules",BG34," "))</f>
        <v xml:space="preserve">  </v>
      </c>
      <c r="AF33" s="63"/>
      <c r="AG33" s="63"/>
      <c r="AH33" s="63">
        <f ca="1">Long_Div-AH32</f>
        <v>20</v>
      </c>
      <c r="AI33" s="63"/>
      <c r="AJ33" s="63">
        <f ca="1">AJ32+AJ31</f>
        <v>0</v>
      </c>
      <c r="BE33" s="50" t="s">
        <v>85</v>
      </c>
      <c r="BF33" s="48" t="s">
        <v>86</v>
      </c>
      <c r="BG33" s="65" t="str">
        <f>IFERROR(IF(WL_No="  ","  ",(VLOOKUP(Long_Div/2,AREA_TABLE,Count_WL+1,FALSE))/(B_current*T)),"-")</f>
        <v xml:space="preserve">  </v>
      </c>
    </row>
    <row r="34" spans="1:59" x14ac:dyDescent="0.25">
      <c r="G34" s="45"/>
      <c r="H34" s="46"/>
      <c r="I34" s="490"/>
      <c r="BE34" s="50" t="s">
        <v>88</v>
      </c>
      <c r="BF34" s="48" t="s">
        <v>89</v>
      </c>
      <c r="BG34" s="49" t="str">
        <f>IF(WL_No="  ","  ",CB/CM)</f>
        <v xml:space="preserve">  </v>
      </c>
    </row>
    <row r="35" spans="1:59" x14ac:dyDescent="0.25">
      <c r="G35" s="47" t="s">
        <v>34</v>
      </c>
      <c r="H35" s="48" t="s">
        <v>35</v>
      </c>
      <c r="I35" s="49" t="str">
        <f>IF(WL_No="  ","  ",2/3*h*$D$29)</f>
        <v xml:space="preserve">  </v>
      </c>
    </row>
    <row r="36" spans="1:59" x14ac:dyDescent="0.25">
      <c r="G36" s="47" t="s">
        <v>36</v>
      </c>
      <c r="H36" s="48" t="s">
        <v>37</v>
      </c>
      <c r="I36" s="49" t="str">
        <f>IF(WL_No="  ","  ",2/3*(h^2)*$F$29)</f>
        <v xml:space="preserve">  </v>
      </c>
    </row>
    <row r="37" spans="1:59" x14ac:dyDescent="0.25">
      <c r="G37" s="50" t="s">
        <v>39</v>
      </c>
      <c r="H37" s="48" t="s">
        <v>40</v>
      </c>
      <c r="I37" s="49" t="str">
        <f>IF(WL_No="  ","  ",Mmid/AWP)</f>
        <v xml:space="preserve">  </v>
      </c>
    </row>
    <row r="38" spans="1:59" x14ac:dyDescent="0.25">
      <c r="G38" s="50" t="s">
        <v>42</v>
      </c>
      <c r="H38" s="48" t="s">
        <v>43</v>
      </c>
      <c r="I38" s="49" t="str">
        <f>IF(WL_No="  ","  ",2/3*(h^3)*$G$29)</f>
        <v xml:space="preserve">  </v>
      </c>
    </row>
    <row r="39" spans="1:59" x14ac:dyDescent="0.25">
      <c r="G39" s="51" t="s">
        <v>44</v>
      </c>
      <c r="H39" s="48" t="s">
        <v>45</v>
      </c>
      <c r="I39" s="49" t="str">
        <f>IF(WL_No="  ","  ",2/9*h*$I$29)</f>
        <v xml:space="preserve">  </v>
      </c>
    </row>
    <row r="40" spans="1:59" x14ac:dyDescent="0.25">
      <c r="G40" s="50" t="s">
        <v>47</v>
      </c>
      <c r="H40" s="48" t="s">
        <v>48</v>
      </c>
      <c r="I40" s="49" t="str">
        <f>IF(WL_No="  ","  ",IL-AWP*(LCF^2))</f>
        <v xml:space="preserve">  </v>
      </c>
    </row>
    <row r="41" spans="1:59" x14ac:dyDescent="0.25">
      <c r="G41" s="50" t="s">
        <v>50</v>
      </c>
      <c r="H41" s="48" t="s">
        <v>51</v>
      </c>
      <c r="I41" s="49" t="str">
        <f>IF(WL_No="  ","  ",h/3*$L$29)</f>
        <v xml:space="preserve">  </v>
      </c>
    </row>
    <row r="42" spans="1:59" x14ac:dyDescent="0.25">
      <c r="G42" s="50" t="s">
        <v>52</v>
      </c>
      <c r="H42" s="48" t="s">
        <v>53</v>
      </c>
      <c r="I42" s="49" t="str">
        <f>IF(WL_No="  ","  ",V_Disp*1.025*1.006)</f>
        <v xml:space="preserve">  </v>
      </c>
    </row>
    <row r="43" spans="1:59" x14ac:dyDescent="0.25">
      <c r="G43" s="50" t="s">
        <v>55</v>
      </c>
      <c r="H43" s="48" t="s">
        <v>56</v>
      </c>
      <c r="I43" s="49" t="str">
        <f>IF(WL_No="  ","  ",h/3*$N$29)</f>
        <v xml:space="preserve">  </v>
      </c>
    </row>
    <row r="44" spans="1:59" x14ac:dyDescent="0.25">
      <c r="G44" s="50" t="s">
        <v>57</v>
      </c>
      <c r="H44" s="48" t="s">
        <v>58</v>
      </c>
      <c r="I44" s="49" t="str">
        <f>IF(WL_No="  ","  ",(h^2)/3*$O$29)</f>
        <v xml:space="preserve">  </v>
      </c>
    </row>
    <row r="45" spans="1:59" x14ac:dyDescent="0.25">
      <c r="G45" s="50" t="s">
        <v>60</v>
      </c>
      <c r="H45" s="48" t="s">
        <v>61</v>
      </c>
      <c r="I45" s="49" t="str">
        <f>IF(WL_No="  ","  ",IF/V_Disp)</f>
        <v xml:space="preserve">  </v>
      </c>
    </row>
    <row r="46" spans="1:59" x14ac:dyDescent="0.25">
      <c r="G46" s="50" t="s">
        <v>63</v>
      </c>
      <c r="H46" s="48" t="s">
        <v>64</v>
      </c>
      <c r="I46" s="49" t="str">
        <f>IF(WL_No="  ","  ",IT/V_Disp)</f>
        <v xml:space="preserve">  </v>
      </c>
    </row>
    <row r="47" spans="1:59" x14ac:dyDescent="0.25">
      <c r="G47" s="50" t="s">
        <v>65</v>
      </c>
      <c r="H47" s="48" t="s">
        <v>66</v>
      </c>
      <c r="I47" s="49" t="str">
        <f>IF(WL_No="  ","  ",MT/V_Disp)</f>
        <v xml:space="preserve">  </v>
      </c>
    </row>
    <row r="48" spans="1:59" x14ac:dyDescent="0.25">
      <c r="G48" s="50" t="s">
        <v>67</v>
      </c>
      <c r="H48" s="48" t="s">
        <v>68</v>
      </c>
      <c r="I48" s="49" t="str">
        <f>IF(WL_No="  ","  ",KB+BMT)</f>
        <v xml:space="preserve">  </v>
      </c>
    </row>
    <row r="49" spans="7:9" x14ac:dyDescent="0.25">
      <c r="G49" s="50" t="s">
        <v>69</v>
      </c>
      <c r="H49" s="48" t="s">
        <v>70</v>
      </c>
      <c r="I49" s="49" t="str">
        <f>IF(WL_No="  ","  ",KB+BML)</f>
        <v xml:space="preserve">  </v>
      </c>
    </row>
    <row r="50" spans="7:9" x14ac:dyDescent="0.25">
      <c r="G50" s="50" t="s">
        <v>71</v>
      </c>
      <c r="H50" s="48" t="s">
        <v>72</v>
      </c>
      <c r="I50" s="49" t="str">
        <f>IF(WL_No="  ","  ",AWP*1.025/100)</f>
        <v xml:space="preserve">  </v>
      </c>
    </row>
    <row r="51" spans="7:9" x14ac:dyDescent="0.25">
      <c r="G51" s="50" t="s">
        <v>73</v>
      </c>
      <c r="H51" s="48" t="s">
        <v>74</v>
      </c>
      <c r="I51" s="49" t="str">
        <f>IF(WL_No="  ","  ",ML/V_Disp)</f>
        <v xml:space="preserve">  </v>
      </c>
    </row>
    <row r="52" spans="7:9" x14ac:dyDescent="0.25">
      <c r="G52" s="50" t="s">
        <v>75</v>
      </c>
      <c r="H52" s="55" t="s">
        <v>76</v>
      </c>
      <c r="I52" s="49" t="str">
        <f>IF(WL_No="  ","  ",M_Disp*BML/100/LBP)</f>
        <v xml:space="preserve">  </v>
      </c>
    </row>
    <row r="53" spans="7:9" x14ac:dyDescent="0.25">
      <c r="G53" s="50" t="s">
        <v>78</v>
      </c>
      <c r="H53" s="48" t="s">
        <v>79</v>
      </c>
      <c r="I53" s="49" t="str">
        <f>IF(WL_No="  ","  ",WLS*WL_No)</f>
        <v xml:space="preserve">  </v>
      </c>
    </row>
    <row r="54" spans="7:9" x14ac:dyDescent="0.25">
      <c r="G54" s="50" t="s">
        <v>80</v>
      </c>
      <c r="H54" s="48" t="s">
        <v>81</v>
      </c>
      <c r="I54" s="49" t="str">
        <f>IF(WL_No="  ","  ",AWP/(LBP*B_current))</f>
        <v xml:space="preserve">  </v>
      </c>
    </row>
    <row r="55" spans="7:9" x14ac:dyDescent="0.25">
      <c r="G55" s="50" t="s">
        <v>82</v>
      </c>
      <c r="H55" s="48" t="s">
        <v>83</v>
      </c>
      <c r="I55" s="49" t="str">
        <f>IF(WL_No="  ","  ",V_Disp/(LBP*B_current*T))</f>
        <v xml:space="preserve">  </v>
      </c>
    </row>
    <row r="56" spans="7:9" x14ac:dyDescent="0.25">
      <c r="G56" s="50" t="s">
        <v>85</v>
      </c>
      <c r="H56" s="48" t="s">
        <v>86</v>
      </c>
      <c r="I56" s="65" t="str">
        <f>IF(WL_No="  ","  ",(VLOOKUP(Long_Div/2,AREA_TABLE,Count_WL+1,FALSE))/(B_current*T))</f>
        <v xml:space="preserve">  </v>
      </c>
    </row>
    <row r="57" spans="7:9" x14ac:dyDescent="0.25">
      <c r="G57" s="50" t="s">
        <v>88</v>
      </c>
      <c r="H57" s="48" t="s">
        <v>89</v>
      </c>
      <c r="I57" s="49" t="str">
        <f>IF(WL_No="  ","  ",CB/CM)</f>
        <v xml:space="preserve">  </v>
      </c>
    </row>
  </sheetData>
  <mergeCells count="7">
    <mergeCell ref="BG10:BG11"/>
    <mergeCell ref="I33:I34"/>
    <mergeCell ref="A2:I2"/>
    <mergeCell ref="K2:O2"/>
    <mergeCell ref="AO2:AW2"/>
    <mergeCell ref="AY2:BC2"/>
    <mergeCell ref="S9:S10"/>
  </mergeCells>
  <conditionalFormatting sqref="CB4:XFD30 BW4:BW28 BS4:BT28 W29:AX29 A33:F57 J33:R33 A11:R32 A2:T10 V2:AO2 AX2 BP29:BW29 A63:XFD1048576 T12:T37 U35:XFD37 BD2:BD29 BM31:XFD33 BM30:BW30 BH29:BI33 BH2:XFD3 U30:BD30 AR31:BD31 W3:AM28 A58:BD62 BH38:XFD62 J34:S37 BH34:XFD34 A1:AN1 AV1:XFD1 AO31:AP31 U33:BD34 AM31 U31:AG32 AK32:BD32 AO3:AX26 J43:BD57 J42:M42 O42:BD42 J38:BD41 AO27:AO28 AQ27:AX28">
    <cfRule type="containsErrors" dxfId="311" priority="14">
      <formula>ISERROR(A1)</formula>
    </cfRule>
  </conditionalFormatting>
  <conditionalFormatting sqref="G33:I34 G35:H57">
    <cfRule type="containsErrors" dxfId="310" priority="13">
      <formula>ISERROR(G33)</formula>
    </cfRule>
  </conditionalFormatting>
  <conditionalFormatting sqref="T12:T33">
    <cfRule type="containsErrors" dxfId="309" priority="12">
      <formula>ISERROR(T12)</formula>
    </cfRule>
  </conditionalFormatting>
  <conditionalFormatting sqref="I35:I57">
    <cfRule type="containsErrors" dxfId="308" priority="11">
      <formula>ISERROR(I35)</formula>
    </cfRule>
  </conditionalFormatting>
  <conditionalFormatting sqref="AY2:BC29">
    <cfRule type="containsErrors" dxfId="307" priority="8">
      <formula>ISERROR(AY2)</formula>
    </cfRule>
  </conditionalFormatting>
  <conditionalFormatting sqref="BE10:BG11 BE12:BF34">
    <cfRule type="containsErrors" dxfId="306" priority="10">
      <formula>ISERROR(BE10)</formula>
    </cfRule>
  </conditionalFormatting>
  <conditionalFormatting sqref="BG12:BG28 BG34">
    <cfRule type="containsErrors" dxfId="305" priority="9">
      <formula>ISERROR(BG12)</formula>
    </cfRule>
  </conditionalFormatting>
  <conditionalFormatting sqref="BE2:BG6">
    <cfRule type="containsErrors" dxfId="304" priority="7">
      <formula>ISERROR(BE2)</formula>
    </cfRule>
  </conditionalFormatting>
  <conditionalFormatting sqref="BF7:BG8">
    <cfRule type="containsErrors" dxfId="303" priority="5">
      <formula>ISERROR(BF7)</formula>
    </cfRule>
  </conditionalFormatting>
  <conditionalFormatting sqref="BE7:BE8">
    <cfRule type="containsErrors" dxfId="302" priority="6">
      <formula>ISERROR(BE7)</formula>
    </cfRule>
  </conditionalFormatting>
  <conditionalFormatting sqref="S30:S33">
    <cfRule type="containsErrors" dxfId="301" priority="4">
      <formula>ISERROR(S30)</formula>
    </cfRule>
  </conditionalFormatting>
  <conditionalFormatting sqref="AP27:AP28">
    <cfRule type="containsErrors" dxfId="300" priority="3">
      <formula>ISERROR(AP27)</formula>
    </cfRule>
  </conditionalFormatting>
  <conditionalFormatting sqref="BG29:BG32">
    <cfRule type="containsErrors" dxfId="299" priority="2">
      <formula>ISERROR(BG29)</formula>
    </cfRule>
  </conditionalFormatting>
  <conditionalFormatting sqref="BG33">
    <cfRule type="containsErrors" dxfId="298" priority="1">
      <formula>ISERROR(BG33)</formula>
    </cfRule>
  </conditionalFormatting>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theme="4" tint="0.79998168889431442"/>
  </sheetPr>
  <dimension ref="A1:BH57"/>
  <sheetViews>
    <sheetView topLeftCell="AG1" zoomScale="55" zoomScaleNormal="55" workbookViewId="0">
      <pane ySplit="1" topLeftCell="A29" activePane="bottomLeft" state="frozen"/>
      <selection activeCell="AG8" sqref="AG8:AG10"/>
      <selection pane="bottomLeft" activeCell="AG8" sqref="AG8:AG10"/>
    </sheetView>
  </sheetViews>
  <sheetFormatPr defaultRowHeight="15" x14ac:dyDescent="0.25"/>
  <cols>
    <col min="1" max="1" width="8.28515625" customWidth="1"/>
    <col min="2" max="2" width="7.28515625" customWidth="1"/>
    <col min="4" max="4" width="6.5703125" customWidth="1"/>
    <col min="7" max="7" width="24" customWidth="1"/>
    <col min="8" max="8" width="30.5703125" customWidth="1"/>
    <col min="9" max="9" width="26.5703125" customWidth="1"/>
    <col min="10" max="10" width="10.5703125" bestFit="1" customWidth="1"/>
    <col min="11" max="11" width="9.140625" customWidth="1"/>
    <col min="13" max="13" width="7.85546875" customWidth="1"/>
    <col min="17" max="17" width="19.5703125" customWidth="1"/>
    <col min="18" max="18" width="11.85546875" customWidth="1"/>
    <col min="19" max="19" width="16.5703125" customWidth="1"/>
    <col min="20" max="20" width="14.140625" customWidth="1"/>
    <col min="35" max="35" width="14" customWidth="1"/>
    <col min="36" max="37" width="12" customWidth="1"/>
    <col min="39" max="39" width="19" customWidth="1"/>
    <col min="43" max="43" width="18" style="7" customWidth="1"/>
    <col min="49" max="49" width="11.28515625" customWidth="1"/>
    <col min="52" max="52" width="12" customWidth="1"/>
    <col min="54" max="54" width="10.7109375" bestFit="1" customWidth="1"/>
    <col min="56" max="56" width="4.5703125" customWidth="1"/>
    <col min="57" max="57" width="21.28515625" customWidth="1"/>
    <col min="58" max="58" width="15.42578125" customWidth="1"/>
    <col min="59" max="59" width="19.28515625" customWidth="1"/>
    <col min="61" max="61" width="5.7109375" customWidth="1"/>
    <col min="62" max="62" width="13" customWidth="1"/>
    <col min="63" max="63" width="17.42578125" customWidth="1"/>
  </cols>
  <sheetData>
    <row r="1" spans="1:60" x14ac:dyDescent="0.25">
      <c r="A1" s="1" t="s">
        <v>0</v>
      </c>
      <c r="B1" s="2" t="str">
        <f>VLOOKUP(Stn_WL,OFFSET_A,Count_WL+1,FALSE)</f>
        <v xml:space="preserve">  </v>
      </c>
      <c r="C1" s="3"/>
      <c r="D1" s="4"/>
      <c r="E1" s="4" t="s">
        <v>1</v>
      </c>
      <c r="F1" s="5">
        <v>13</v>
      </c>
      <c r="G1" s="4"/>
      <c r="H1" s="4"/>
      <c r="I1" s="4"/>
      <c r="J1" s="4"/>
      <c r="K1" s="4"/>
      <c r="L1" s="4"/>
      <c r="M1" s="4"/>
      <c r="N1" s="4"/>
      <c r="O1" s="4"/>
      <c r="P1" s="4"/>
      <c r="Q1" s="4"/>
      <c r="R1" s="4"/>
      <c r="S1" s="4"/>
      <c r="V1" t="s">
        <v>2</v>
      </c>
      <c r="W1">
        <f ca="1">COUNTIF(OFFSET(Z4,,,ROUNDDOWN(Max_STN_count/2+1,0),1),TRUE)</f>
        <v>5</v>
      </c>
      <c r="X1">
        <f ca="1">COUNTIF(OFFSET(AA4,,,ROUNDDOWN(Max_STN_count/2+1,0),1),TRUE)</f>
        <v>5</v>
      </c>
      <c r="Y1">
        <f ca="1">W1-X1</f>
        <v>0</v>
      </c>
      <c r="AB1" s="6" t="s">
        <v>3</v>
      </c>
      <c r="AC1">
        <f ca="1">COUNTIF(OFFSET(Z4,ROUNDUP(Max_STN_count/2,0),,ROUNDDOWN(Max_STN_count/2,0),1),TRUE)</f>
        <v>5</v>
      </c>
      <c r="AD1">
        <f ca="1">COUNTIF(OFFSET(AA4,ROUNDUP(Max_STN_count/2,0),,ROUNDDOWN(Max_STN_count/2,0),1),TRUE)</f>
        <v>5</v>
      </c>
      <c r="AE1">
        <f ca="1">AC1-AD1</f>
        <v>0</v>
      </c>
      <c r="AG1" t="s">
        <v>4</v>
      </c>
      <c r="AH1">
        <f>COUNTIF(AG4:AG28,TRUE)</f>
        <v>17</v>
      </c>
      <c r="AI1">
        <f ca="1">COUNTIF(OFFSET(AG4,,,ROUNDUP(Max_STN_count/2,0),1),FALSE)</f>
        <v>4</v>
      </c>
      <c r="AW1">
        <f ca="1">COUNTIF(OFFSET(AG4,,,Max_STN_count,1),TRUE)</f>
        <v>17</v>
      </c>
    </row>
    <row r="2" spans="1:60" x14ac:dyDescent="0.25">
      <c r="A2" s="491" t="s">
        <v>5</v>
      </c>
      <c r="B2" s="492"/>
      <c r="C2" s="492"/>
      <c r="D2" s="492"/>
      <c r="E2" s="492"/>
      <c r="F2" s="492"/>
      <c r="G2" s="492"/>
      <c r="H2" s="492"/>
      <c r="I2" s="493"/>
      <c r="J2" s="4"/>
      <c r="K2" s="491" t="s">
        <v>6</v>
      </c>
      <c r="L2" s="492"/>
      <c r="M2" s="492"/>
      <c r="N2" s="492"/>
      <c r="O2" s="493"/>
      <c r="P2" s="4"/>
      <c r="Q2" s="8" t="s">
        <v>7</v>
      </c>
      <c r="R2" s="9" t="s">
        <v>8</v>
      </c>
      <c r="S2" s="10">
        <f>WLS</f>
        <v>2</v>
      </c>
      <c r="V2" s="11"/>
      <c r="W2" s="11"/>
      <c r="X2" s="11"/>
      <c r="Y2" s="11"/>
      <c r="Z2" s="11"/>
      <c r="AA2" s="11"/>
      <c r="AB2" s="11"/>
      <c r="AC2" s="11"/>
      <c r="AD2" s="11"/>
      <c r="AE2" s="11"/>
      <c r="AF2" s="11"/>
      <c r="AG2" s="11"/>
      <c r="AH2" s="11"/>
      <c r="AI2" s="11"/>
      <c r="AJ2" s="11"/>
      <c r="AK2" s="11"/>
      <c r="AL2" s="11"/>
      <c r="AM2" s="11"/>
      <c r="AN2" s="11"/>
      <c r="AO2" s="491" t="s">
        <v>5</v>
      </c>
      <c r="AP2" s="492"/>
      <c r="AQ2" s="492"/>
      <c r="AR2" s="492"/>
      <c r="AS2" s="492"/>
      <c r="AT2" s="492"/>
      <c r="AU2" s="492"/>
      <c r="AV2" s="492"/>
      <c r="AW2" s="493"/>
      <c r="AY2" s="491" t="s">
        <v>6</v>
      </c>
      <c r="AZ2" s="492"/>
      <c r="BA2" s="492"/>
      <c r="BB2" s="492"/>
      <c r="BC2" s="493"/>
      <c r="BE2" s="8" t="s">
        <v>7</v>
      </c>
      <c r="BF2" s="9" t="s">
        <v>8</v>
      </c>
      <c r="BG2" s="10">
        <f>WLS</f>
        <v>2</v>
      </c>
    </row>
    <row r="3" spans="1:60" x14ac:dyDescent="0.25">
      <c r="A3" s="12" t="s">
        <v>9</v>
      </c>
      <c r="B3" s="13" t="s">
        <v>10</v>
      </c>
      <c r="C3" s="14" t="s">
        <v>11</v>
      </c>
      <c r="D3" s="14" t="s">
        <v>12</v>
      </c>
      <c r="E3" s="14" t="s">
        <v>13</v>
      </c>
      <c r="F3" s="14" t="s">
        <v>14</v>
      </c>
      <c r="G3" s="14" t="s">
        <v>15</v>
      </c>
      <c r="H3" s="14" t="s">
        <v>16</v>
      </c>
      <c r="I3" s="14" t="s">
        <v>17</v>
      </c>
      <c r="J3" s="15"/>
      <c r="K3" s="14" t="s">
        <v>18</v>
      </c>
      <c r="L3" s="14" t="s">
        <v>19</v>
      </c>
      <c r="M3" s="14" t="s">
        <v>20</v>
      </c>
      <c r="N3" s="14" t="s">
        <v>21</v>
      </c>
      <c r="O3" s="14" t="s">
        <v>22</v>
      </c>
      <c r="P3" s="15"/>
      <c r="Q3" s="16" t="s">
        <v>23</v>
      </c>
      <c r="R3" s="9" t="s">
        <v>8</v>
      </c>
      <c r="S3" s="10">
        <f>STN_GAP</f>
        <v>7.31</v>
      </c>
      <c r="W3" s="17" t="s">
        <v>11</v>
      </c>
      <c r="X3" s="17"/>
      <c r="Y3" s="17"/>
      <c r="Z3" s="17" t="s">
        <v>24</v>
      </c>
      <c r="AA3" s="17"/>
      <c r="AB3" s="17"/>
      <c r="AC3" s="17"/>
      <c r="AD3" s="17"/>
      <c r="AE3" s="17"/>
      <c r="AF3" s="17"/>
      <c r="AG3" s="17" t="s">
        <v>4</v>
      </c>
      <c r="AH3" s="17"/>
      <c r="AI3" s="17" t="s">
        <v>25</v>
      </c>
      <c r="AJ3" s="17"/>
      <c r="AK3" s="17"/>
      <c r="AL3" s="17"/>
      <c r="AM3" s="18" t="s">
        <v>11</v>
      </c>
      <c r="AO3" s="12" t="s">
        <v>9</v>
      </c>
      <c r="AP3" s="13" t="s">
        <v>10</v>
      </c>
      <c r="AQ3" s="19"/>
      <c r="AR3" s="14" t="s">
        <v>12</v>
      </c>
      <c r="AS3" s="14" t="s">
        <v>13</v>
      </c>
      <c r="AT3" s="14" t="s">
        <v>14</v>
      </c>
      <c r="AU3" s="14" t="s">
        <v>15</v>
      </c>
      <c r="AV3" s="14" t="s">
        <v>16</v>
      </c>
      <c r="AW3" s="14" t="s">
        <v>17</v>
      </c>
      <c r="AY3" s="14" t="s">
        <v>18</v>
      </c>
      <c r="AZ3" s="14" t="s">
        <v>19</v>
      </c>
      <c r="BA3" s="14" t="s">
        <v>20</v>
      </c>
      <c r="BB3" s="14" t="s">
        <v>21</v>
      </c>
      <c r="BC3" s="14" t="s">
        <v>22</v>
      </c>
      <c r="BE3" s="16" t="s">
        <v>23</v>
      </c>
      <c r="BF3" s="9" t="s">
        <v>8</v>
      </c>
      <c r="BG3" s="10">
        <f>STN_GAP</f>
        <v>7.31</v>
      </c>
    </row>
    <row r="4" spans="1:60" x14ac:dyDescent="0.25">
      <c r="A4" s="20">
        <f>Tools!$AD3</f>
        <v>0</v>
      </c>
      <c r="B4" s="21" t="str">
        <f t="shared" ref="B4:B28" si="0">VLOOKUP(A4,OFFSET_A,Count_WL+1,FALSE)</f>
        <v xml:space="preserve">  </v>
      </c>
      <c r="C4" s="22">
        <f>IF(A4="  ","  ",IF(A5="  ","?",1*(A5-A4)))</f>
        <v>0.5</v>
      </c>
      <c r="D4" s="23" t="str">
        <f>IFERROR(B4*C4,"  ")</f>
        <v xml:space="preserve">  </v>
      </c>
      <c r="E4" s="24">
        <f t="shared" ref="E4:E28" si="1">IFERROR(A4-(Long_Div/2),"  ")</f>
        <v>-10</v>
      </c>
      <c r="F4" s="23" t="str">
        <f>IFERROR(D4*E4,"  ")</f>
        <v xml:space="preserve">  </v>
      </c>
      <c r="G4" s="23" t="str">
        <f>IFERROR(F4*E4,"  ")</f>
        <v xml:space="preserve">  </v>
      </c>
      <c r="H4" s="23" t="str">
        <f>IFERROR(B4^3,"  ")</f>
        <v xml:space="preserve">  </v>
      </c>
      <c r="I4" s="23" t="str">
        <f>IFERROR(H4*C4,"  ")</f>
        <v xml:space="preserve">  </v>
      </c>
      <c r="J4" s="4"/>
      <c r="K4" s="25" t="str">
        <f t="shared" ref="K4:K28" si="2">VLOOKUP(A4,AREA_TABLE,Count_WL+1,FALSE)</f>
        <v xml:space="preserve"> </v>
      </c>
      <c r="L4" s="23" t="str">
        <f>IFERROR(K4*C4,"  ")</f>
        <v xml:space="preserve">  </v>
      </c>
      <c r="M4" s="26" t="str">
        <f t="shared" ref="M4:M28" si="3">VLOOKUP(A4,MOMENT_TABLE,Count_WL+1,FALSE)</f>
        <v xml:space="preserve"> </v>
      </c>
      <c r="N4" s="27" t="str">
        <f>IFERROR(M4*C4,"  ")</f>
        <v xml:space="preserve">  </v>
      </c>
      <c r="O4" s="23" t="str">
        <f>IFERROR(L4*E4,"  ")</f>
        <v xml:space="preserve">  </v>
      </c>
      <c r="P4" s="4"/>
      <c r="Q4" s="16" t="s">
        <v>26</v>
      </c>
      <c r="R4" s="9" t="s">
        <v>8</v>
      </c>
      <c r="S4" s="28">
        <f>LBP</f>
        <v>146.19999999999999</v>
      </c>
      <c r="W4" s="29">
        <f>IF(AO4="  ","  ",IF(AO5="  ","?",1*(AO5-AO4)))</f>
        <v>0.5</v>
      </c>
      <c r="X4" s="30" t="str">
        <f t="shared" ref="X4:X28" si="4">IF(Y4=0,"--",CONCATENATE(IF(AO4=0,"-",IF(Y3=0,"-",IF(AO4-AO3=0.5,"D",IF(AO4-AO3=1,"W","-")))),IF(AO4=Long_Div,"-",IF(Y5=0,"-",IF(AO5-AO4=0.5,"D",IF(AO5-AO4=1,"W","-"))))))</f>
        <v>-D</v>
      </c>
      <c r="Y4" s="30" t="str">
        <f t="shared" ref="Y4:Y28" si="5">IF(ISNUMBER(AO4),IF(AO4=Long_Div/2,"-",IF(AND(AO4=Long_Div,$AP4=0,$AP3=0),0,IF(AND(AO4=0,$AP4=0,$AP5=0),0,IF($AO4&lt;Long_Div/2,IF(AND(Y3=0,$AP4=0,$AP5=0),0,"-"),IF(AND(Y5=0,$AP4=0,$AP3=0),0,"-")))))," ")</f>
        <v>-</v>
      </c>
      <c r="Z4" s="29" t="b">
        <f t="shared" ref="Z4:Z28" si="6">IF(ISNUMBER(AO4),IF(AO4=0,IF(AO5=0.5,TRUE,FALSE),IF(AO4=Long_Div,IF(AO3=Long_Div-0.5,TRUE,FALSE),IF(OR(AO5-AO4=0.5,AO4-AO3=0.5),TRUE,FALSE)))," ")</f>
        <v>1</v>
      </c>
      <c r="AA4" s="29" t="b">
        <f t="shared" ref="AA4:AA28" si="7">IF(ISNUMBER(AO4),IF(Y4=0," ",IF(AO4=0,IF(AO5=0.5,TRUE,"-"),IF(AO4=Long_Div,IF(AO3=Long_Div-0.5,TRUE,"-"),IF(OR(AO5-AO4=0.5,AO4-AO3=0.5),TRUE,FALSE))))," ")</f>
        <v>1</v>
      </c>
      <c r="AB4" s="29" t="str">
        <f t="shared" ref="AB4:AB28" ca="1" si="8">IF(AO4&lt;=Long_Div/2,IF(ISNUMBER(AO4),IF($X$1=0,"---",IF($X$1=1,"##",IF($X$1=2,IF(AD4=1,"141-4",IF(OR(AD4=0,AD4=2),"141-1","**")),IF(AC4&lt;=($Y$1),"--",IF(AC4&gt;$W$1,"++",IF(ISODD($X$1),IF(OR(AD4=1,AD4=$X$1),"141-1",IF(ISODD(AD4),"141-2",IF(ISEVEN(AD4),"141-4","+"))),IF(ISEVEN($X$1),IF(AD4=1,"1331-1",IF(OR(AD4=2,AD4=3),"1331-3",IF(AD4=4,IF($X$1=4,"1331-1","1331-1,141-1"),IF(AD4=$X$1,"141-1",IF(AD4&lt;=4,"??",IF(ISODD(AD4),"141-4",IF(ISEVEN(AD4),"141-2","SS"))))))))))))))," "),IF(AO4&gt;Long_Div/2,IF(ISNUMBER(AO4),IF($AD$1=0,"---",IF($AD$1=1,"##",IF($AD$1=2,IF(AD4=1,"141-4",IF(OR(AD4=0,AD4=2),"141-1","**")),IF(AC4&lt;=($AE$1),"--",IF(AC4&gt;$AC$1,"++",IF(ISODD($AD$1),IF(OR(AD4=1,AD4=$AD$1),"141-1",IF(ISODD(AD4),"141-2",IF(ISEVEN(AD4),"141-4","+"))),IF(ISEVEN($AD$1),IF(AD4=1,"1331-1",IF(OR(AD4=2,AD4=3),"1331-3",IF(AD4=4,IF($AD$1=4,"1331-1","1331-1,141-1"),IF(AD4=$AD$1,"141-1",IF(AD4&lt;=4,"??",IF(ISODD(AD4),"141-4",IF(ISEVEN(AD4),"141-2","SS"))))))))))))))," "),"@"))</f>
        <v>141-1</v>
      </c>
      <c r="AC4" s="29">
        <f>IF(ISNUMBER(AO4),IF(ISNUMBER(AO4),IF(OR(AO4=0,AO4=Long_Div),1,IF(AO4&gt;Long_Div/2,AC5+1,IF(AO4&lt;=Long_Div/2,AE3+1,"?")))," --")," ")</f>
        <v>1</v>
      </c>
      <c r="AD4" s="29">
        <f t="shared" ref="AD4:AD28" ca="1" si="9">IF(ISNUMBER(AO4),IF(AO4&gt;Long_Div/2,4-ROW(AD4)+Max_STN_count-$AE$1,ROW(AD4)-3-$Y$1)," ")</f>
        <v>1</v>
      </c>
      <c r="AE4" s="29">
        <v>1</v>
      </c>
      <c r="AF4" s="31" t="str">
        <f t="shared" ref="AF4:AF8" si="10">IF(AND(AG4=TRUE,OR(NOT(AG3=TRUE),AG3="Full")),1,IF(ISNUMBER(AF3),AF3+1," "))</f>
        <v xml:space="preserve"> </v>
      </c>
      <c r="AG4" s="29" t="b">
        <f t="shared" ref="AG4:AG28" si="11">IF(ISNUMBER(AO4),IF(AA4=" "," ",IF(AO4=0,IF(AO5-AO4=1,TRUE,FALSE),IF(AO4=Long_Div,IF(AO4-AO3=1,TRUE,FALSE),IF(OR(AO5-AO4=1,AO4-AO3=1),TRUE,FALSE))))," ")</f>
        <v>0</v>
      </c>
      <c r="AH4" s="30" t="str">
        <f t="shared" ref="AH4:AH13" si="12">IF(AND(AG4=TRUE,$AH$1=1),"141-4",IF(AG4=" ",IF(AND($AH$1=2,AF4=3),"141-1","-"),IF(OR(AG4=FALSE,AG4=" "),"-",IF(AG4=TRUE,IF(AND($AH$1=2,AF4=1),"141-1",IF(AND($AH$1=2,AF4=2),"141-4",IF(OR(ISODD($AH$1),AF4&gt;4),IF(AF4=1,"141-1",IF(OR(AB4="141-1",AB4="1331-1",AB4="1331-1,141-1"),"141-1",IF(AG5=" ","141-1",IF(OR(AH3="141-1",AH3="141-2",AH3="1331-1,141-1"),"141-4",IF(AH3="141-4","141-2","$$"))))),IF(ISEVEN($AH$1),IF(AF4=1,"1331-1",IF(OR(AF4=2,AF4=3),"1331-3",IF(AF4=4,IF($AH$1=4,"1331-1","1331-1,141-1"),"")))))))))))</f>
        <v>-</v>
      </c>
      <c r="AI4" s="30" t="str">
        <f t="shared" ref="AI4:AI28" ca="1" si="13">IF(OR(AB4="1331-1",AB4="1331-1,141-1"),"(1/2)*(3/8)",IF(AB4="1331-3","(1/2)*(9/8)",IF(AB4="141-1","(1/2)*(1/3)",IF(AB4="141-2","(1/2)*(2/3)",IF(AB4="141-4","(1/2)*(4/3)","")))))</f>
        <v>(1/2)*(1/3)</v>
      </c>
      <c r="AJ4" s="29">
        <f t="shared" ref="AJ4:AJ28" ca="1" si="14">IF(OR(AB4="1331-1",AB4="1331-1,141-1"),(1/2)*(3/8),IF(AB4="1331-3",(1/2)*(9/8),IF(AB4="141-1",(1/2)*(1/3),IF(AB4="141-2",(1/2)*(2/3),IF(AB4="141-4",(1/2)*(4/3),0)))))</f>
        <v>0.16666666666666666</v>
      </c>
      <c r="AK4" s="29" t="str">
        <f t="shared" ref="AK4:AK28" si="15">IF(AH4="1331-1,141-1","(1*3/8)+(1/3)",IF(LEFT(AH4,4)="141-",CONCATENATE(RIGHT(AH4,1),"/3"),IF(LEFT(AH4,4)="1331",CONCATENATE(RIGHT(AH4,1),"*3/8"),"")))</f>
        <v/>
      </c>
      <c r="AL4" s="29">
        <f t="shared" ref="AL4:AL28" si="16">IF(AH4="1331-1,141-1",(1*3/8)+(1/3),IF(LEFT(AH4,4)="141-",(RIGHT(AH4,1)/3),IF(LEFT(AH4,4)="1331",RIGHT(AH4,1)*3/8,0)))</f>
        <v>0</v>
      </c>
      <c r="AM4" s="32">
        <f ca="1">IF(AQ4=""," ",AJ4+AL4)</f>
        <v>0.16666666666666666</v>
      </c>
      <c r="AO4" s="20">
        <f>Tools!$AD3</f>
        <v>0</v>
      </c>
      <c r="AP4" s="33" t="str">
        <f t="shared" ref="AP4" si="17">VLOOKUP(AO4,OFFSET_A,Count_WL+1,FALSE)</f>
        <v xml:space="preserve">  </v>
      </c>
      <c r="AQ4" s="34" t="str">
        <f t="shared" ref="AQ4:AQ28" ca="1" si="18">CONCATENATE(AI4,IF(NOT(OR(AI4="",AK4="")),"+",""),AK4)</f>
        <v>(1/2)*(1/3)</v>
      </c>
      <c r="AR4" s="23" t="str">
        <f t="shared" ref="AR4:AR28" ca="1" si="19">IFERROR(AP4*AM4,"  ")</f>
        <v xml:space="preserve">  </v>
      </c>
      <c r="AS4" s="24">
        <f t="shared" ref="AS4:AS28" si="20">IFERROR(AO4-(Long_Div/2),"  ")</f>
        <v>-10</v>
      </c>
      <c r="AT4" s="23" t="str">
        <f ca="1">IFERROR(AR4*AS4,"  ")</f>
        <v xml:space="preserve">  </v>
      </c>
      <c r="AU4" s="23" t="str">
        <f ca="1">IFERROR(AT4*AS4,"  ")</f>
        <v xml:space="preserve">  </v>
      </c>
      <c r="AV4" s="23" t="str">
        <f t="shared" ref="AV4:AV28" si="21">IFERROR(AP4^3,"  ")</f>
        <v xml:space="preserve">  </v>
      </c>
      <c r="AW4" s="23" t="str">
        <f t="shared" ref="AW4:AW28" ca="1" si="22">IFERROR(AV4*AM4,"  ")</f>
        <v xml:space="preserve">  </v>
      </c>
      <c r="AY4" s="35" t="str">
        <f t="shared" ref="AY4:AY28" si="23">IF(ROW(AY4)-3&gt;Max_STN_count," ",VLOOKUP(AO4,AREA_TABLE,Count_WL+1,FALSE))</f>
        <v xml:space="preserve"> </v>
      </c>
      <c r="AZ4" s="23" t="str">
        <f t="shared" ref="AZ4:AZ7" ca="1" si="24">IFERROR(AY4*AM4,"  ")</f>
        <v xml:space="preserve">  </v>
      </c>
      <c r="BA4" s="36" t="str">
        <f t="shared" ref="BA4:BA28" si="25">IF(ROW(AY4)-3&gt;Max_STN_count," ",VLOOKUP(AO4,MOMENT_TABLE,Count_WL+1,FALSE))</f>
        <v xml:space="preserve"> </v>
      </c>
      <c r="BB4" s="27" t="str">
        <f ca="1">IFERROR(BA4*AM4,"  ")</f>
        <v xml:space="preserve">  </v>
      </c>
      <c r="BC4" s="23" t="str">
        <f ca="1">IFERROR(AZ4*AS4,"  ")</f>
        <v xml:space="preserve">  </v>
      </c>
      <c r="BE4" s="16" t="s">
        <v>26</v>
      </c>
      <c r="BF4" s="9" t="s">
        <v>8</v>
      </c>
      <c r="BG4" s="28">
        <f>LBP</f>
        <v>146.19999999999999</v>
      </c>
    </row>
    <row r="5" spans="1:60" x14ac:dyDescent="0.25">
      <c r="A5" s="20">
        <f>Tools!$AD4</f>
        <v>0.5</v>
      </c>
      <c r="B5" s="33" t="str">
        <f t="shared" si="0"/>
        <v xml:space="preserve">  </v>
      </c>
      <c r="C5" s="22">
        <f>IF(A5="  ","  ",IF(AND(A4="  ",A6="  "),"?",IF(A4="  ",2*(A6-A5),IF(A6="  ",2*(A5-A4),2*(A6-A4)))))</f>
        <v>2</v>
      </c>
      <c r="D5" s="23" t="str">
        <f t="shared" ref="D5:D28" si="26">IFERROR(B5*C5,"  ")</f>
        <v xml:space="preserve">  </v>
      </c>
      <c r="E5" s="24">
        <f t="shared" si="1"/>
        <v>-9.5</v>
      </c>
      <c r="F5" s="23" t="str">
        <f t="shared" ref="F5:F28" si="27">IFERROR(D5*E5,"  ")</f>
        <v xml:space="preserve">  </v>
      </c>
      <c r="G5" s="23" t="str">
        <f t="shared" ref="G5:G28" si="28">IFERROR(F5*E5,"  ")</f>
        <v xml:space="preserve">  </v>
      </c>
      <c r="H5" s="23" t="str">
        <f t="shared" ref="H5:H28" si="29">IFERROR(B5^3,"  ")</f>
        <v xml:space="preserve">  </v>
      </c>
      <c r="I5" s="23" t="str">
        <f t="shared" ref="I5:I28" si="30">IFERROR(H5*C5,"  ")</f>
        <v xml:space="preserve">  </v>
      </c>
      <c r="J5" s="4"/>
      <c r="K5" s="37" t="str">
        <f t="shared" si="2"/>
        <v xml:space="preserve"> </v>
      </c>
      <c r="L5" s="23" t="str">
        <f t="shared" ref="L5:L28" si="31">IFERROR(K5*C5,"  ")</f>
        <v xml:space="preserve">  </v>
      </c>
      <c r="M5" s="38" t="str">
        <f t="shared" si="3"/>
        <v xml:space="preserve"> </v>
      </c>
      <c r="N5" s="27" t="str">
        <f t="shared" ref="N5:N28" si="32">IFERROR(M5*C5,"  ")</f>
        <v xml:space="preserve">  </v>
      </c>
      <c r="O5" s="23" t="str">
        <f t="shared" ref="O5:O28" si="33">IFERROR(L5*E5,"  ")</f>
        <v xml:space="preserve">  </v>
      </c>
      <c r="P5" s="4"/>
      <c r="Q5" s="8" t="s">
        <v>27</v>
      </c>
      <c r="R5" s="9" t="s">
        <v>8</v>
      </c>
      <c r="S5" s="10">
        <f>BREADTH</f>
        <v>22</v>
      </c>
      <c r="W5" s="29">
        <f>IF(AO5="  ","  ",IF(AND(AO4="  ",AO6="  "),"?",IF(AO4="  ",2*(AO6-AO5),IF(AO6="  ",2*(AO5-AO4),2*(AO6-AO4)))))</f>
        <v>2</v>
      </c>
      <c r="X5" s="30" t="str">
        <f t="shared" si="4"/>
        <v>DD</v>
      </c>
      <c r="Y5" s="30" t="str">
        <f t="shared" si="5"/>
        <v>-</v>
      </c>
      <c r="Z5" s="29" t="b">
        <f t="shared" si="6"/>
        <v>1</v>
      </c>
      <c r="AA5" s="29" t="b">
        <f t="shared" si="7"/>
        <v>1</v>
      </c>
      <c r="AB5" s="29" t="str">
        <f t="shared" ca="1" si="8"/>
        <v>141-4</v>
      </c>
      <c r="AC5" s="29">
        <f t="shared" ref="AC5:AC27" si="34">IF(ISNUMBER(AO5),IF(ISNUMBER(AO5),IF(OR(AO5=0,AO5=Long_Div),1,IF(AO5&gt;Long_Div/2,AC6+1,IF(AO5&lt;=Long_Div/2,AC4+1,"?")))," --")," ")</f>
        <v>2</v>
      </c>
      <c r="AD5" s="29">
        <f t="shared" ca="1" si="9"/>
        <v>2</v>
      </c>
      <c r="AE5" s="29">
        <v>2</v>
      </c>
      <c r="AF5" s="31" t="str">
        <f t="shared" si="10"/>
        <v xml:space="preserve"> </v>
      </c>
      <c r="AG5" s="29" t="b">
        <f t="shared" si="11"/>
        <v>0</v>
      </c>
      <c r="AH5" s="30" t="str">
        <f t="shared" si="12"/>
        <v>-</v>
      </c>
      <c r="AI5" s="30" t="str">
        <f t="shared" ca="1" si="13"/>
        <v>(1/2)*(4/3)</v>
      </c>
      <c r="AJ5" s="29">
        <f t="shared" ca="1" si="14"/>
        <v>0.66666666666666663</v>
      </c>
      <c r="AK5" s="29" t="str">
        <f t="shared" si="15"/>
        <v/>
      </c>
      <c r="AL5" s="29">
        <f t="shared" si="16"/>
        <v>0</v>
      </c>
      <c r="AM5" s="32">
        <f t="shared" ref="AM5:AM28" ca="1" si="35">IF(AQ5=""," ",AJ5+AL5)</f>
        <v>0.66666666666666663</v>
      </c>
      <c r="AO5" s="20">
        <f>Tools!$AD4</f>
        <v>0.5</v>
      </c>
      <c r="AP5" s="33" t="str">
        <f t="shared" ref="AP5:AP26" si="36">VLOOKUP(AO5,OFFSET_A,Count_WL+1,FALSE)</f>
        <v xml:space="preserve">  </v>
      </c>
      <c r="AQ5" s="34" t="str">
        <f t="shared" ca="1" si="18"/>
        <v>(1/2)*(4/3)</v>
      </c>
      <c r="AR5" s="23" t="str">
        <f t="shared" ca="1" si="19"/>
        <v xml:space="preserve">  </v>
      </c>
      <c r="AS5" s="24">
        <f t="shared" si="20"/>
        <v>-9.5</v>
      </c>
      <c r="AT5" s="23" t="str">
        <f t="shared" ref="AT5:AT28" ca="1" si="37">IFERROR(AR5*AS5,"  ")</f>
        <v xml:space="preserve">  </v>
      </c>
      <c r="AU5" s="23" t="str">
        <f ca="1">IFERROR(AT5*AS5,"  ")</f>
        <v xml:space="preserve">  </v>
      </c>
      <c r="AV5" s="23" t="str">
        <f t="shared" si="21"/>
        <v xml:space="preserve">  </v>
      </c>
      <c r="AW5" s="23" t="str">
        <f t="shared" ca="1" si="22"/>
        <v xml:space="preserve">  </v>
      </c>
      <c r="AY5" s="35" t="str">
        <f t="shared" si="23"/>
        <v xml:space="preserve"> </v>
      </c>
      <c r="AZ5" s="23" t="str">
        <f t="shared" ca="1" si="24"/>
        <v xml:space="preserve">  </v>
      </c>
      <c r="BA5" s="36" t="str">
        <f t="shared" si="25"/>
        <v xml:space="preserve"> </v>
      </c>
      <c r="BB5" s="27" t="str">
        <f t="shared" ref="BB5:BB28" ca="1" si="38">IFERROR(BA5*AM5,"  ")</f>
        <v xml:space="preserve">  </v>
      </c>
      <c r="BC5" s="23" t="str">
        <f t="shared" ref="BC5:BC28" ca="1" si="39">IFERROR(AZ5*AS5,"  ")</f>
        <v xml:space="preserve">  </v>
      </c>
      <c r="BE5" s="8" t="s">
        <v>27</v>
      </c>
      <c r="BF5" s="9" t="s">
        <v>8</v>
      </c>
      <c r="BG5" s="10">
        <f>BREADTH</f>
        <v>22</v>
      </c>
    </row>
    <row r="6" spans="1:60" x14ac:dyDescent="0.25">
      <c r="A6" s="20">
        <f>Tools!$AD5</f>
        <v>1</v>
      </c>
      <c r="B6" s="33" t="str">
        <f t="shared" si="0"/>
        <v xml:space="preserve">  </v>
      </c>
      <c r="C6" s="22">
        <f>IF(A6="  ","  ",IF(AND(A5="  ",A7="  "),"?",IF(A5="  ",1*(A7-A6),IF(A7="  ",1*(A6-A5),1*(A7-A5)))))</f>
        <v>1</v>
      </c>
      <c r="D6" s="23" t="str">
        <f t="shared" si="26"/>
        <v xml:space="preserve">  </v>
      </c>
      <c r="E6" s="24">
        <f t="shared" si="1"/>
        <v>-9</v>
      </c>
      <c r="F6" s="23" t="str">
        <f t="shared" si="27"/>
        <v xml:space="preserve">  </v>
      </c>
      <c r="G6" s="23" t="str">
        <f t="shared" si="28"/>
        <v xml:space="preserve">  </v>
      </c>
      <c r="H6" s="23" t="str">
        <f t="shared" si="29"/>
        <v xml:space="preserve">  </v>
      </c>
      <c r="I6" s="23" t="str">
        <f t="shared" si="30"/>
        <v xml:space="preserve">  </v>
      </c>
      <c r="J6" s="4"/>
      <c r="K6" s="37" t="str">
        <f t="shared" si="2"/>
        <v xml:space="preserve"> </v>
      </c>
      <c r="L6" s="23" t="str">
        <f t="shared" si="31"/>
        <v xml:space="preserve">  </v>
      </c>
      <c r="M6" s="38" t="str">
        <f t="shared" si="3"/>
        <v xml:space="preserve"> </v>
      </c>
      <c r="N6" s="27" t="str">
        <f t="shared" si="32"/>
        <v xml:space="preserve">  </v>
      </c>
      <c r="O6" s="23" t="str">
        <f t="shared" si="33"/>
        <v xml:space="preserve">  </v>
      </c>
      <c r="P6" s="4"/>
      <c r="Q6" s="8" t="s">
        <v>28</v>
      </c>
      <c r="R6" s="9" t="s">
        <v>8</v>
      </c>
      <c r="S6" s="10">
        <f>DEPTH</f>
        <v>13</v>
      </c>
      <c r="W6" s="29">
        <f>IF(AO6="  ","  ",IF(AND(AO5="  ",AO7="  "),"?",IF(AO5="  ",1*(AO7-AO6),IF(AO7="  ",1*(AO6-AO5),1*(AO7-AO5)))))</f>
        <v>1</v>
      </c>
      <c r="X6" s="30" t="str">
        <f t="shared" si="4"/>
        <v>DD</v>
      </c>
      <c r="Y6" s="30" t="str">
        <f t="shared" si="5"/>
        <v>-</v>
      </c>
      <c r="Z6" s="29" t="b">
        <f t="shared" si="6"/>
        <v>1</v>
      </c>
      <c r="AA6" s="29" t="b">
        <f t="shared" si="7"/>
        <v>1</v>
      </c>
      <c r="AB6" s="29" t="str">
        <f t="shared" ca="1" si="8"/>
        <v>141-2</v>
      </c>
      <c r="AC6" s="29">
        <f t="shared" si="34"/>
        <v>3</v>
      </c>
      <c r="AD6" s="29">
        <f t="shared" ca="1" si="9"/>
        <v>3</v>
      </c>
      <c r="AE6" s="29">
        <v>3</v>
      </c>
      <c r="AF6" s="31" t="str">
        <f t="shared" si="10"/>
        <v xml:space="preserve"> </v>
      </c>
      <c r="AG6" s="29" t="b">
        <f t="shared" si="11"/>
        <v>0</v>
      </c>
      <c r="AH6" s="30" t="str">
        <f t="shared" si="12"/>
        <v>-</v>
      </c>
      <c r="AI6" s="30" t="str">
        <f t="shared" ca="1" si="13"/>
        <v>(1/2)*(2/3)</v>
      </c>
      <c r="AJ6" s="29">
        <f t="shared" ca="1" si="14"/>
        <v>0.33333333333333331</v>
      </c>
      <c r="AK6" s="29" t="str">
        <f t="shared" si="15"/>
        <v/>
      </c>
      <c r="AL6" s="29">
        <f t="shared" si="16"/>
        <v>0</v>
      </c>
      <c r="AM6" s="32">
        <f t="shared" ca="1" si="35"/>
        <v>0.33333333333333331</v>
      </c>
      <c r="AO6" s="20">
        <f>Tools!$AD5</f>
        <v>1</v>
      </c>
      <c r="AP6" s="33" t="str">
        <f t="shared" si="36"/>
        <v xml:space="preserve">  </v>
      </c>
      <c r="AQ6" s="34" t="str">
        <f t="shared" ca="1" si="18"/>
        <v>(1/2)*(2/3)</v>
      </c>
      <c r="AR6" s="23" t="str">
        <f t="shared" ca="1" si="19"/>
        <v xml:space="preserve">  </v>
      </c>
      <c r="AS6" s="24">
        <f t="shared" si="20"/>
        <v>-9</v>
      </c>
      <c r="AT6" s="23" t="str">
        <f t="shared" ca="1" si="37"/>
        <v xml:space="preserve">  </v>
      </c>
      <c r="AU6" s="23" t="str">
        <f ca="1">IFERROR(AT6*AS6,"  ")</f>
        <v xml:space="preserve">  </v>
      </c>
      <c r="AV6" s="23" t="str">
        <f t="shared" si="21"/>
        <v xml:space="preserve">  </v>
      </c>
      <c r="AW6" s="23" t="str">
        <f t="shared" ca="1" si="22"/>
        <v xml:space="preserve">  </v>
      </c>
      <c r="AY6" s="35" t="str">
        <f t="shared" si="23"/>
        <v xml:space="preserve"> </v>
      </c>
      <c r="AZ6" s="23" t="str">
        <f t="shared" ca="1" si="24"/>
        <v xml:space="preserve">  </v>
      </c>
      <c r="BA6" s="36" t="str">
        <f t="shared" si="25"/>
        <v xml:space="preserve"> </v>
      </c>
      <c r="BB6" s="27" t="str">
        <f t="shared" ca="1" si="38"/>
        <v xml:space="preserve">  </v>
      </c>
      <c r="BC6" s="23" t="str">
        <f t="shared" ca="1" si="39"/>
        <v xml:space="preserve">  </v>
      </c>
      <c r="BE6" s="8" t="s">
        <v>28</v>
      </c>
      <c r="BF6" s="9" t="s">
        <v>8</v>
      </c>
      <c r="BG6" s="10">
        <f>DEPTH</f>
        <v>13</v>
      </c>
    </row>
    <row r="7" spans="1:60" x14ac:dyDescent="0.25">
      <c r="A7" s="20">
        <f>Tools!$AD6</f>
        <v>1.5</v>
      </c>
      <c r="B7" s="33" t="str">
        <f t="shared" si="0"/>
        <v xml:space="preserve">  </v>
      </c>
      <c r="C7" s="22">
        <f>IF(A7="  ","  ",IF(AND(A6="  ",A8="  "),"?",IF(A6="  ",2*(A8-A7),IF(A8="  ",2*(A7-A6),2*(A8-A6)))))</f>
        <v>2</v>
      </c>
      <c r="D7" s="23" t="str">
        <f t="shared" si="26"/>
        <v xml:space="preserve">  </v>
      </c>
      <c r="E7" s="24">
        <f t="shared" si="1"/>
        <v>-8.5</v>
      </c>
      <c r="F7" s="23" t="str">
        <f t="shared" si="27"/>
        <v xml:space="preserve">  </v>
      </c>
      <c r="G7" s="23" t="str">
        <f t="shared" si="28"/>
        <v xml:space="preserve">  </v>
      </c>
      <c r="H7" s="23" t="str">
        <f t="shared" si="29"/>
        <v xml:space="preserve">  </v>
      </c>
      <c r="I7" s="23" t="str">
        <f t="shared" si="30"/>
        <v xml:space="preserve">  </v>
      </c>
      <c r="J7" s="4"/>
      <c r="K7" s="37" t="str">
        <f t="shared" si="2"/>
        <v xml:space="preserve"> </v>
      </c>
      <c r="L7" s="23" t="str">
        <f t="shared" si="31"/>
        <v xml:space="preserve">  </v>
      </c>
      <c r="M7" s="38" t="str">
        <f t="shared" si="3"/>
        <v xml:space="preserve"> </v>
      </c>
      <c r="N7" s="27" t="str">
        <f t="shared" si="32"/>
        <v xml:space="preserve">  </v>
      </c>
      <c r="O7" s="23" t="str">
        <f t="shared" si="33"/>
        <v xml:space="preserve">  </v>
      </c>
      <c r="P7" s="4"/>
      <c r="Q7" s="39" t="s">
        <v>29</v>
      </c>
      <c r="R7" s="40" t="s">
        <v>8</v>
      </c>
      <c r="S7" s="41" t="str">
        <f>IF(MAX(B4:B28)=0," ",2*MAX(B4:B28))</f>
        <v xml:space="preserve"> </v>
      </c>
      <c r="W7" s="29">
        <f>IF(AO7="  ","  ",IF(AND(AO6="  ",AO8="  "),"?",IF(AO6="  ",2*(AO8-AO7),IF(AO8="  ",2*(AO7-AO6),2*(AO8-AO6)))))</f>
        <v>2</v>
      </c>
      <c r="X7" s="30" t="str">
        <f t="shared" si="4"/>
        <v>DD</v>
      </c>
      <c r="Y7" s="30" t="str">
        <f t="shared" si="5"/>
        <v>-</v>
      </c>
      <c r="Z7" s="29" t="b">
        <f t="shared" si="6"/>
        <v>1</v>
      </c>
      <c r="AA7" s="29" t="b">
        <f t="shared" si="7"/>
        <v>1</v>
      </c>
      <c r="AB7" s="29" t="str">
        <f t="shared" ca="1" si="8"/>
        <v>141-4</v>
      </c>
      <c r="AC7" s="29">
        <f t="shared" si="34"/>
        <v>4</v>
      </c>
      <c r="AD7" s="29">
        <f t="shared" ca="1" si="9"/>
        <v>4</v>
      </c>
      <c r="AE7" s="29">
        <v>4</v>
      </c>
      <c r="AF7" s="31" t="str">
        <f t="shared" si="10"/>
        <v xml:space="preserve"> </v>
      </c>
      <c r="AG7" s="29" t="b">
        <f t="shared" si="11"/>
        <v>0</v>
      </c>
      <c r="AH7" s="30" t="str">
        <f t="shared" si="12"/>
        <v>-</v>
      </c>
      <c r="AI7" s="30" t="str">
        <f t="shared" ca="1" si="13"/>
        <v>(1/2)*(4/3)</v>
      </c>
      <c r="AJ7" s="29">
        <f t="shared" ca="1" si="14"/>
        <v>0.66666666666666663</v>
      </c>
      <c r="AK7" s="29" t="str">
        <f t="shared" si="15"/>
        <v/>
      </c>
      <c r="AL7" s="29">
        <f t="shared" si="16"/>
        <v>0</v>
      </c>
      <c r="AM7" s="32">
        <f t="shared" ca="1" si="35"/>
        <v>0.66666666666666663</v>
      </c>
      <c r="AO7" s="20">
        <f>Tools!$AD6</f>
        <v>1.5</v>
      </c>
      <c r="AP7" s="33" t="str">
        <f t="shared" si="36"/>
        <v xml:space="preserve">  </v>
      </c>
      <c r="AQ7" s="34" t="str">
        <f t="shared" ca="1" si="18"/>
        <v>(1/2)*(4/3)</v>
      </c>
      <c r="AR7" s="23" t="str">
        <f t="shared" ca="1" si="19"/>
        <v xml:space="preserve">  </v>
      </c>
      <c r="AS7" s="24">
        <f t="shared" si="20"/>
        <v>-8.5</v>
      </c>
      <c r="AT7" s="23" t="str">
        <f t="shared" ca="1" si="37"/>
        <v xml:space="preserve">  </v>
      </c>
      <c r="AU7" s="23" t="str">
        <f t="shared" ref="AU7:AU28" ca="1" si="40">IFERROR(AT7*AS7,"  ")</f>
        <v xml:space="preserve">  </v>
      </c>
      <c r="AV7" s="23" t="str">
        <f t="shared" si="21"/>
        <v xml:space="preserve">  </v>
      </c>
      <c r="AW7" s="23" t="str">
        <f t="shared" ca="1" si="22"/>
        <v xml:space="preserve">  </v>
      </c>
      <c r="AY7" s="35" t="str">
        <f t="shared" si="23"/>
        <v xml:space="preserve"> </v>
      </c>
      <c r="AZ7" s="23" t="str">
        <f t="shared" ca="1" si="24"/>
        <v xml:space="preserve">  </v>
      </c>
      <c r="BA7" s="36" t="str">
        <f t="shared" si="25"/>
        <v xml:space="preserve"> </v>
      </c>
      <c r="BB7" s="27" t="str">
        <f t="shared" ca="1" si="38"/>
        <v xml:space="preserve">  </v>
      </c>
      <c r="BC7" s="23" t="str">
        <f t="shared" ca="1" si="39"/>
        <v xml:space="preserve">  </v>
      </c>
      <c r="BE7" s="8" t="s">
        <v>29</v>
      </c>
      <c r="BF7" s="9" t="s">
        <v>8</v>
      </c>
      <c r="BG7" s="10" t="str">
        <f>IF(MAX(AP4:AP28)=0," ",2*MAX(AP4:AP28))</f>
        <v xml:space="preserve"> </v>
      </c>
    </row>
    <row r="8" spans="1:60" x14ac:dyDescent="0.25">
      <c r="A8" s="20">
        <f>Tools!$AD7</f>
        <v>2</v>
      </c>
      <c r="B8" s="33" t="str">
        <f t="shared" si="0"/>
        <v xml:space="preserve">  </v>
      </c>
      <c r="C8" s="22">
        <f>IF(A8="  ","  ",IF(AND(A7="  ",A9="  "),"?",IF(A7="  ",1*(A9-A8),IF(A9="  ",1*(A8-A7),1*(A9-A7)))))</f>
        <v>1.5</v>
      </c>
      <c r="D8" s="23" t="str">
        <f t="shared" si="26"/>
        <v xml:space="preserve">  </v>
      </c>
      <c r="E8" s="24">
        <f t="shared" si="1"/>
        <v>-8</v>
      </c>
      <c r="F8" s="23" t="str">
        <f t="shared" si="27"/>
        <v xml:space="preserve">  </v>
      </c>
      <c r="G8" s="23" t="str">
        <f t="shared" si="28"/>
        <v xml:space="preserve">  </v>
      </c>
      <c r="H8" s="23" t="str">
        <f t="shared" si="29"/>
        <v xml:space="preserve">  </v>
      </c>
      <c r="I8" s="23" t="str">
        <f t="shared" si="30"/>
        <v xml:space="preserve">  </v>
      </c>
      <c r="J8" s="4"/>
      <c r="K8" s="37" t="str">
        <f t="shared" si="2"/>
        <v xml:space="preserve"> </v>
      </c>
      <c r="L8" s="23" t="str">
        <f t="shared" si="31"/>
        <v xml:space="preserve">  </v>
      </c>
      <c r="M8" s="38" t="str">
        <f t="shared" si="3"/>
        <v xml:space="preserve"> </v>
      </c>
      <c r="N8" s="27" t="str">
        <f t="shared" si="32"/>
        <v xml:space="preserve">  </v>
      </c>
      <c r="O8" s="23" t="str">
        <f t="shared" si="33"/>
        <v xml:space="preserve">  </v>
      </c>
      <c r="P8" s="4"/>
      <c r="Q8" s="42"/>
      <c r="R8" s="42"/>
      <c r="S8" s="42"/>
      <c r="W8" s="29">
        <f>IF(AO8="  ","  ",IF(AND(AO7="  ",AO9="  "),"?",IF(AO7="  ",1*(AO9-AO8),IF(AO9="  ",1*(AO8-AO7),1*(AO9-AO7)))))</f>
        <v>1.5</v>
      </c>
      <c r="X8" s="30" t="str">
        <f t="shared" si="4"/>
        <v>DW</v>
      </c>
      <c r="Y8" s="30" t="str">
        <f t="shared" si="5"/>
        <v>-</v>
      </c>
      <c r="Z8" s="29" t="b">
        <f t="shared" si="6"/>
        <v>1</v>
      </c>
      <c r="AA8" s="29" t="b">
        <f t="shared" si="7"/>
        <v>1</v>
      </c>
      <c r="AB8" s="29" t="str">
        <f t="shared" ca="1" si="8"/>
        <v>141-1</v>
      </c>
      <c r="AC8" s="29">
        <f t="shared" si="34"/>
        <v>5</v>
      </c>
      <c r="AD8" s="29">
        <f t="shared" ca="1" si="9"/>
        <v>5</v>
      </c>
      <c r="AE8" s="29">
        <v>5</v>
      </c>
      <c r="AF8" s="31">
        <f t="shared" si="10"/>
        <v>1</v>
      </c>
      <c r="AG8" s="29" t="b">
        <f t="shared" si="11"/>
        <v>1</v>
      </c>
      <c r="AH8" s="30" t="str">
        <f t="shared" si="12"/>
        <v>141-1</v>
      </c>
      <c r="AI8" s="30" t="str">
        <f t="shared" ca="1" si="13"/>
        <v>(1/2)*(1/3)</v>
      </c>
      <c r="AJ8" s="29">
        <f t="shared" ca="1" si="14"/>
        <v>0.16666666666666666</v>
      </c>
      <c r="AK8" s="29" t="str">
        <f t="shared" si="15"/>
        <v>1/3</v>
      </c>
      <c r="AL8" s="29">
        <f t="shared" si="16"/>
        <v>0.33333333333333331</v>
      </c>
      <c r="AM8" s="32">
        <f t="shared" ca="1" si="35"/>
        <v>0.5</v>
      </c>
      <c r="AO8" s="20">
        <f>Tools!$AD7</f>
        <v>2</v>
      </c>
      <c r="AP8" s="33" t="str">
        <f t="shared" si="36"/>
        <v xml:space="preserve">  </v>
      </c>
      <c r="AQ8" s="34" t="str">
        <f t="shared" ca="1" si="18"/>
        <v>(1/2)*(1/3)+1/3</v>
      </c>
      <c r="AR8" s="23" t="str">
        <f t="shared" ca="1" si="19"/>
        <v xml:space="preserve">  </v>
      </c>
      <c r="AS8" s="24">
        <f t="shared" si="20"/>
        <v>-8</v>
      </c>
      <c r="AT8" s="23" t="str">
        <f t="shared" ca="1" si="37"/>
        <v xml:space="preserve">  </v>
      </c>
      <c r="AU8" s="23" t="str">
        <f t="shared" ca="1" si="40"/>
        <v xml:space="preserve">  </v>
      </c>
      <c r="AV8" s="23" t="str">
        <f t="shared" si="21"/>
        <v xml:space="preserve">  </v>
      </c>
      <c r="AW8" s="23" t="str">
        <f t="shared" ca="1" si="22"/>
        <v xml:space="preserve">  </v>
      </c>
      <c r="AY8" s="35" t="str">
        <f t="shared" si="23"/>
        <v xml:space="preserve"> </v>
      </c>
      <c r="AZ8" s="23" t="str">
        <f ca="1">IFERROR(AY8*AM8,"  ")</f>
        <v xml:space="preserve">  </v>
      </c>
      <c r="BA8" s="36" t="str">
        <f t="shared" si="25"/>
        <v xml:space="preserve"> </v>
      </c>
      <c r="BB8" s="27" t="str">
        <f t="shared" ca="1" si="38"/>
        <v xml:space="preserve">  </v>
      </c>
      <c r="BC8" s="23" t="str">
        <f t="shared" ca="1" si="39"/>
        <v xml:space="preserve">  </v>
      </c>
      <c r="BE8" s="8" t="s">
        <v>30</v>
      </c>
      <c r="BF8" s="9" t="s">
        <v>8</v>
      </c>
      <c r="BG8" s="10">
        <f ca="1">LBP-AJ33</f>
        <v>146.19999999999999</v>
      </c>
      <c r="BH8" t="str">
        <f ca="1">IF(AJ33&gt;0,CONCATENATE("(LWL is assumed between stations ",$AH$31," and ",$AH$33," as offset values extreme to these stations are zeros.)"),"")</f>
        <v/>
      </c>
    </row>
    <row r="9" spans="1:60" x14ac:dyDescent="0.25">
      <c r="A9" s="20">
        <f>Tools!$AD8</f>
        <v>3</v>
      </c>
      <c r="B9" s="33" t="str">
        <f t="shared" si="0"/>
        <v xml:space="preserve">  </v>
      </c>
      <c r="C9" s="22">
        <f>IF(A9="  ","  ",IF(AND(A8="  ",A10="  "),"?",IF(A8="  ",2*(A10-A9),IF(A10="  ",2*(A9-A8),2*(A10-A8)))))</f>
        <v>4</v>
      </c>
      <c r="D9" s="23" t="str">
        <f t="shared" si="26"/>
        <v xml:space="preserve">  </v>
      </c>
      <c r="E9" s="24">
        <f t="shared" si="1"/>
        <v>-7</v>
      </c>
      <c r="F9" s="23" t="str">
        <f t="shared" si="27"/>
        <v xml:space="preserve">  </v>
      </c>
      <c r="G9" s="23" t="str">
        <f t="shared" si="28"/>
        <v xml:space="preserve">  </v>
      </c>
      <c r="H9" s="23" t="str">
        <f t="shared" si="29"/>
        <v xml:space="preserve">  </v>
      </c>
      <c r="I9" s="23" t="str">
        <f t="shared" si="30"/>
        <v xml:space="preserve">  </v>
      </c>
      <c r="J9" s="4"/>
      <c r="K9" s="37" t="str">
        <f t="shared" si="2"/>
        <v xml:space="preserve"> </v>
      </c>
      <c r="L9" s="23" t="str">
        <f t="shared" si="31"/>
        <v xml:space="preserve">  </v>
      </c>
      <c r="M9" s="38" t="str">
        <f t="shared" si="3"/>
        <v xml:space="preserve"> </v>
      </c>
      <c r="N9" s="27" t="str">
        <f t="shared" si="32"/>
        <v xml:space="preserve">  </v>
      </c>
      <c r="O9" s="23" t="str">
        <f t="shared" si="33"/>
        <v xml:space="preserve">  </v>
      </c>
      <c r="P9" s="4"/>
      <c r="Q9" s="43" t="s">
        <v>31</v>
      </c>
      <c r="R9" s="44" t="s">
        <v>32</v>
      </c>
      <c r="S9" s="489" t="s">
        <v>33</v>
      </c>
      <c r="W9" s="29">
        <f>IF(AO9="  ","  ",IF(AND(AO8="  ",AO10="  "),"?",IF(AO8="  ",2*(AO10-AO9),IF(AO10="  ",2*(AO9-AO8),2*(AO10-AO8)))))</f>
        <v>4</v>
      </c>
      <c r="X9" s="30" t="str">
        <f t="shared" si="4"/>
        <v>WW</v>
      </c>
      <c r="Y9" s="30" t="str">
        <f t="shared" si="5"/>
        <v>-</v>
      </c>
      <c r="Z9" s="29" t="b">
        <f t="shared" si="6"/>
        <v>0</v>
      </c>
      <c r="AA9" s="29" t="b">
        <f t="shared" si="7"/>
        <v>0</v>
      </c>
      <c r="AB9" s="29" t="str">
        <f t="shared" ca="1" si="8"/>
        <v>++</v>
      </c>
      <c r="AC9" s="29">
        <f t="shared" si="34"/>
        <v>6</v>
      </c>
      <c r="AD9" s="29">
        <f t="shared" ca="1" si="9"/>
        <v>6</v>
      </c>
      <c r="AE9" s="29">
        <v>6</v>
      </c>
      <c r="AF9" s="31">
        <f>IF(AND(AG9=TRUE,OR(NOT(AG8=TRUE),AG8="Full")),1,IF(ISNUMBER(AF8),AF8+1," "))</f>
        <v>2</v>
      </c>
      <c r="AG9" s="29" t="b">
        <f t="shared" si="11"/>
        <v>1</v>
      </c>
      <c r="AH9" s="30" t="str">
        <f t="shared" ca="1" si="12"/>
        <v>141-4</v>
      </c>
      <c r="AI9" s="30" t="str">
        <f t="shared" ca="1" si="13"/>
        <v/>
      </c>
      <c r="AJ9" s="29">
        <f t="shared" ca="1" si="14"/>
        <v>0</v>
      </c>
      <c r="AK9" s="29" t="str">
        <f t="shared" ca="1" si="15"/>
        <v>4/3</v>
      </c>
      <c r="AL9" s="29">
        <f t="shared" ca="1" si="16"/>
        <v>1.3333333333333333</v>
      </c>
      <c r="AM9" s="32">
        <f t="shared" ca="1" si="35"/>
        <v>1.3333333333333333</v>
      </c>
      <c r="AO9" s="20">
        <f>Tools!$AD8</f>
        <v>3</v>
      </c>
      <c r="AP9" s="33" t="str">
        <f t="shared" si="36"/>
        <v xml:space="preserve">  </v>
      </c>
      <c r="AQ9" s="34" t="str">
        <f t="shared" ca="1" si="18"/>
        <v>4/3</v>
      </c>
      <c r="AR9" s="23" t="str">
        <f t="shared" ca="1" si="19"/>
        <v xml:space="preserve">  </v>
      </c>
      <c r="AS9" s="24">
        <f t="shared" si="20"/>
        <v>-7</v>
      </c>
      <c r="AT9" s="23" t="str">
        <f t="shared" ca="1" si="37"/>
        <v xml:space="preserve">  </v>
      </c>
      <c r="AU9" s="23" t="str">
        <f t="shared" ca="1" si="40"/>
        <v xml:space="preserve">  </v>
      </c>
      <c r="AV9" s="23" t="str">
        <f t="shared" si="21"/>
        <v xml:space="preserve">  </v>
      </c>
      <c r="AW9" s="23" t="str">
        <f t="shared" ca="1" si="22"/>
        <v xml:space="preserve">  </v>
      </c>
      <c r="AY9" s="35" t="str">
        <f t="shared" si="23"/>
        <v xml:space="preserve"> </v>
      </c>
      <c r="AZ9" s="23" t="str">
        <f t="shared" ref="AZ9:AZ28" ca="1" si="41">IFERROR(AY9*AM9,"  ")</f>
        <v xml:space="preserve">  </v>
      </c>
      <c r="BA9" s="36" t="str">
        <f t="shared" si="25"/>
        <v xml:space="preserve"> </v>
      </c>
      <c r="BB9" s="27" t="str">
        <f t="shared" ca="1" si="38"/>
        <v xml:space="preserve">  </v>
      </c>
      <c r="BC9" s="23" t="str">
        <f t="shared" ca="1" si="39"/>
        <v xml:space="preserve">  </v>
      </c>
    </row>
    <row r="10" spans="1:60" x14ac:dyDescent="0.25">
      <c r="A10" s="20">
        <f>Tools!$AD9</f>
        <v>4</v>
      </c>
      <c r="B10" s="33" t="str">
        <f t="shared" si="0"/>
        <v xml:space="preserve">  </v>
      </c>
      <c r="C10" s="22">
        <f>IF(A10="  ","  ",IF(AND(A9="  ",A11="  "),"?",IF(A9="  ",1*(A11-A10),IF(A11="  ",1*(A10-A9),1*(A11-A9)))))</f>
        <v>2</v>
      </c>
      <c r="D10" s="23" t="str">
        <f t="shared" si="26"/>
        <v xml:space="preserve">  </v>
      </c>
      <c r="E10" s="24">
        <f t="shared" si="1"/>
        <v>-6</v>
      </c>
      <c r="F10" s="23" t="str">
        <f t="shared" si="27"/>
        <v xml:space="preserve">  </v>
      </c>
      <c r="G10" s="23" t="str">
        <f t="shared" si="28"/>
        <v xml:space="preserve">  </v>
      </c>
      <c r="H10" s="23" t="str">
        <f t="shared" si="29"/>
        <v xml:space="preserve">  </v>
      </c>
      <c r="I10" s="23" t="str">
        <f>IFERROR(H10*C10,"  ")</f>
        <v xml:space="preserve">  </v>
      </c>
      <c r="J10" s="4"/>
      <c r="K10" s="37" t="str">
        <f t="shared" si="2"/>
        <v xml:space="preserve"> </v>
      </c>
      <c r="L10" s="23" t="str">
        <f t="shared" si="31"/>
        <v xml:space="preserve">  </v>
      </c>
      <c r="M10" s="38" t="str">
        <f t="shared" si="3"/>
        <v xml:space="preserve"> </v>
      </c>
      <c r="N10" s="27" t="str">
        <f t="shared" si="32"/>
        <v xml:space="preserve">  </v>
      </c>
      <c r="O10" s="23" t="str">
        <f t="shared" si="33"/>
        <v xml:space="preserve">  </v>
      </c>
      <c r="P10" s="4"/>
      <c r="Q10" s="45"/>
      <c r="R10" s="46"/>
      <c r="S10" s="490"/>
      <c r="W10" s="29">
        <f>IF(AO10="  ","  ",IF(AND(AO9="  ",AO11="  "),"?",IF(AO9="  ",1*(AO11-AO10),IF(AO11="  ",1*(AO10-AO9),1*(AO11-AO9)))))</f>
        <v>2</v>
      </c>
      <c r="X10" s="30" t="str">
        <f t="shared" si="4"/>
        <v>WW</v>
      </c>
      <c r="Y10" s="30" t="str">
        <f t="shared" si="5"/>
        <v>-</v>
      </c>
      <c r="Z10" s="29" t="b">
        <f t="shared" si="6"/>
        <v>0</v>
      </c>
      <c r="AA10" s="29" t="b">
        <f t="shared" si="7"/>
        <v>0</v>
      </c>
      <c r="AB10" s="29" t="str">
        <f t="shared" ca="1" si="8"/>
        <v>++</v>
      </c>
      <c r="AC10" s="29">
        <f t="shared" si="34"/>
        <v>7</v>
      </c>
      <c r="AD10" s="29">
        <f t="shared" ca="1" si="9"/>
        <v>7</v>
      </c>
      <c r="AE10" s="29">
        <v>7</v>
      </c>
      <c r="AF10" s="31">
        <f t="shared" ref="AF10:AF28" si="42">IF(AND(AG10=TRUE,OR(NOT(AG9=TRUE),AG9="Full")),1,IF(ISNUMBER(AF9),AF9+1," "))</f>
        <v>3</v>
      </c>
      <c r="AG10" s="29" t="b">
        <f t="shared" si="11"/>
        <v>1</v>
      </c>
      <c r="AH10" s="30" t="str">
        <f t="shared" ca="1" si="12"/>
        <v>141-2</v>
      </c>
      <c r="AI10" s="30" t="str">
        <f t="shared" ca="1" si="13"/>
        <v/>
      </c>
      <c r="AJ10" s="29">
        <f t="shared" ca="1" si="14"/>
        <v>0</v>
      </c>
      <c r="AK10" s="29" t="str">
        <f t="shared" ca="1" si="15"/>
        <v>2/3</v>
      </c>
      <c r="AL10" s="29">
        <f t="shared" ca="1" si="16"/>
        <v>0.66666666666666663</v>
      </c>
      <c r="AM10" s="32">
        <f t="shared" ca="1" si="35"/>
        <v>0.66666666666666663</v>
      </c>
      <c r="AO10" s="20">
        <f>Tools!$AD9</f>
        <v>4</v>
      </c>
      <c r="AP10" s="33" t="str">
        <f t="shared" si="36"/>
        <v xml:space="preserve">  </v>
      </c>
      <c r="AQ10" s="34" t="str">
        <f t="shared" ca="1" si="18"/>
        <v>2/3</v>
      </c>
      <c r="AR10" s="23" t="str">
        <f t="shared" ca="1" si="19"/>
        <v xml:space="preserve">  </v>
      </c>
      <c r="AS10" s="24">
        <f t="shared" si="20"/>
        <v>-6</v>
      </c>
      <c r="AT10" s="23" t="str">
        <f t="shared" ca="1" si="37"/>
        <v xml:space="preserve">  </v>
      </c>
      <c r="AU10" s="23" t="str">
        <f ca="1">IFERROR(AT10*AS10,"  ")</f>
        <v xml:space="preserve">  </v>
      </c>
      <c r="AV10" s="23" t="str">
        <f t="shared" si="21"/>
        <v xml:space="preserve">  </v>
      </c>
      <c r="AW10" s="23" t="str">
        <f t="shared" ca="1" si="22"/>
        <v xml:space="preserve">  </v>
      </c>
      <c r="AY10" s="35" t="str">
        <f t="shared" si="23"/>
        <v xml:space="preserve"> </v>
      </c>
      <c r="AZ10" s="23" t="str">
        <f t="shared" ca="1" si="41"/>
        <v xml:space="preserve">  </v>
      </c>
      <c r="BA10" s="36" t="str">
        <f t="shared" si="25"/>
        <v xml:space="preserve"> </v>
      </c>
      <c r="BB10" s="27" t="str">
        <f t="shared" ca="1" si="38"/>
        <v xml:space="preserve">  </v>
      </c>
      <c r="BC10" s="23" t="str">
        <f t="shared" ca="1" si="39"/>
        <v xml:space="preserve">  </v>
      </c>
      <c r="BE10" s="43" t="s">
        <v>31</v>
      </c>
      <c r="BF10" s="44" t="s">
        <v>32</v>
      </c>
      <c r="BG10" s="489" t="s">
        <v>33</v>
      </c>
    </row>
    <row r="11" spans="1:60" x14ac:dyDescent="0.25">
      <c r="A11" s="20">
        <f>Tools!$AD10</f>
        <v>5</v>
      </c>
      <c r="B11" s="33" t="str">
        <f t="shared" si="0"/>
        <v xml:space="preserve">  </v>
      </c>
      <c r="C11" s="22">
        <f>IF(A11="  ","  ",IF(AND(A10="  ",A12="  "),"?",IF(A10="  ",2*(A12-A11),IF(A12="  ",2*(A11-A10),2*(A12-A10)))))</f>
        <v>4</v>
      </c>
      <c r="D11" s="23" t="str">
        <f t="shared" si="26"/>
        <v xml:space="preserve">  </v>
      </c>
      <c r="E11" s="24">
        <f t="shared" si="1"/>
        <v>-5</v>
      </c>
      <c r="F11" s="23" t="str">
        <f t="shared" si="27"/>
        <v xml:space="preserve">  </v>
      </c>
      <c r="G11" s="23" t="str">
        <f t="shared" si="28"/>
        <v xml:space="preserve">  </v>
      </c>
      <c r="H11" s="23" t="str">
        <f t="shared" si="29"/>
        <v xml:space="preserve">  </v>
      </c>
      <c r="I11" s="23" t="str">
        <f t="shared" si="30"/>
        <v xml:space="preserve">  </v>
      </c>
      <c r="J11" s="4"/>
      <c r="K11" s="37" t="str">
        <f t="shared" si="2"/>
        <v xml:space="preserve"> </v>
      </c>
      <c r="L11" s="23" t="str">
        <f t="shared" si="31"/>
        <v xml:space="preserve">  </v>
      </c>
      <c r="M11" s="38" t="str">
        <f t="shared" si="3"/>
        <v xml:space="preserve"> </v>
      </c>
      <c r="N11" s="27" t="str">
        <f t="shared" si="32"/>
        <v xml:space="preserve">  </v>
      </c>
      <c r="O11" s="23" t="str">
        <f t="shared" si="33"/>
        <v xml:space="preserve">  </v>
      </c>
      <c r="P11" s="4"/>
      <c r="Q11" s="47" t="s">
        <v>34</v>
      </c>
      <c r="R11" s="48" t="s">
        <v>35</v>
      </c>
      <c r="S11" t="str">
        <f>IF(Tools!$L$49="Use 141 rule only",I35,IF(Tools!$L$49="Use 141 and 1331 rules",BG12," "))</f>
        <v xml:space="preserve">  </v>
      </c>
      <c r="W11" s="29">
        <f>IF(AO11="  ","  ",IF(AND(AO10="  ",AO12="  "),"?",IF(AO10="  ",2*(AO12-AO11),IF(AO12="  ",2*(AO11-AO10),2*(AO12-AO10)))))</f>
        <v>4</v>
      </c>
      <c r="X11" s="30" t="str">
        <f t="shared" si="4"/>
        <v>WW</v>
      </c>
      <c r="Y11" s="30" t="str">
        <f t="shared" si="5"/>
        <v>-</v>
      </c>
      <c r="Z11" s="29" t="b">
        <f t="shared" si="6"/>
        <v>0</v>
      </c>
      <c r="AA11" s="29" t="b">
        <f t="shared" si="7"/>
        <v>0</v>
      </c>
      <c r="AB11" s="29" t="str">
        <f t="shared" ca="1" si="8"/>
        <v>++</v>
      </c>
      <c r="AC11" s="29">
        <f t="shared" si="34"/>
        <v>8</v>
      </c>
      <c r="AD11" s="29">
        <f t="shared" ca="1" si="9"/>
        <v>8</v>
      </c>
      <c r="AE11" s="29">
        <v>8</v>
      </c>
      <c r="AF11" s="31">
        <f t="shared" si="42"/>
        <v>4</v>
      </c>
      <c r="AG11" s="29" t="b">
        <f t="shared" si="11"/>
        <v>1</v>
      </c>
      <c r="AH11" s="30" t="str">
        <f t="shared" ca="1" si="12"/>
        <v>141-4</v>
      </c>
      <c r="AI11" s="30" t="str">
        <f t="shared" ca="1" si="13"/>
        <v/>
      </c>
      <c r="AJ11" s="29">
        <f t="shared" ca="1" si="14"/>
        <v>0</v>
      </c>
      <c r="AK11" s="29" t="str">
        <f t="shared" ca="1" si="15"/>
        <v>4/3</v>
      </c>
      <c r="AL11" s="29">
        <f t="shared" ca="1" si="16"/>
        <v>1.3333333333333333</v>
      </c>
      <c r="AM11" s="32">
        <f t="shared" ca="1" si="35"/>
        <v>1.3333333333333333</v>
      </c>
      <c r="AO11" s="20">
        <f>Tools!$AD10</f>
        <v>5</v>
      </c>
      <c r="AP11" s="33" t="str">
        <f t="shared" si="36"/>
        <v xml:space="preserve">  </v>
      </c>
      <c r="AQ11" s="34" t="str">
        <f t="shared" ca="1" si="18"/>
        <v>4/3</v>
      </c>
      <c r="AR11" s="23" t="str">
        <f t="shared" ca="1" si="19"/>
        <v xml:space="preserve">  </v>
      </c>
      <c r="AS11" s="24">
        <f t="shared" si="20"/>
        <v>-5</v>
      </c>
      <c r="AT11" s="23" t="str">
        <f t="shared" ca="1" si="37"/>
        <v xml:space="preserve">  </v>
      </c>
      <c r="AU11" s="23" t="str">
        <f t="shared" ca="1" si="40"/>
        <v xml:space="preserve">  </v>
      </c>
      <c r="AV11" s="23" t="str">
        <f t="shared" si="21"/>
        <v xml:space="preserve">  </v>
      </c>
      <c r="AW11" s="23" t="str">
        <f t="shared" ca="1" si="22"/>
        <v xml:space="preserve">  </v>
      </c>
      <c r="AY11" s="35" t="str">
        <f t="shared" si="23"/>
        <v xml:space="preserve"> </v>
      </c>
      <c r="AZ11" s="23" t="str">
        <f t="shared" ca="1" si="41"/>
        <v xml:space="preserve">  </v>
      </c>
      <c r="BA11" s="36" t="str">
        <f t="shared" si="25"/>
        <v xml:space="preserve"> </v>
      </c>
      <c r="BB11" s="27" t="str">
        <f t="shared" ca="1" si="38"/>
        <v xml:space="preserve">  </v>
      </c>
      <c r="BC11" s="23" t="str">
        <f ca="1">IFERROR(AZ11*AS11,"  ")</f>
        <v xml:space="preserve">  </v>
      </c>
      <c r="BE11" s="45"/>
      <c r="BF11" s="46"/>
      <c r="BG11" s="490"/>
    </row>
    <row r="12" spans="1:60" x14ac:dyDescent="0.25">
      <c r="A12" s="20">
        <f>Tools!$AD11</f>
        <v>6</v>
      </c>
      <c r="B12" s="33" t="str">
        <f t="shared" si="0"/>
        <v xml:space="preserve">  </v>
      </c>
      <c r="C12" s="22">
        <f>IF(A12="  ","  ",IF(AND(A11="  ",A13="  "),"?",IF(A11="  ",1*(A13-A12),IF(A13="  ",1*(A12-A11),1*(A13-A11)))))</f>
        <v>2</v>
      </c>
      <c r="D12" s="23" t="str">
        <f t="shared" si="26"/>
        <v xml:space="preserve">  </v>
      </c>
      <c r="E12" s="24">
        <f t="shared" si="1"/>
        <v>-4</v>
      </c>
      <c r="F12" s="23" t="str">
        <f t="shared" si="27"/>
        <v xml:space="preserve">  </v>
      </c>
      <c r="G12" s="23" t="str">
        <f t="shared" si="28"/>
        <v xml:space="preserve">  </v>
      </c>
      <c r="H12" s="23" t="str">
        <f t="shared" si="29"/>
        <v xml:space="preserve">  </v>
      </c>
      <c r="I12" s="23" t="str">
        <f t="shared" si="30"/>
        <v xml:space="preserve">  </v>
      </c>
      <c r="J12" s="4"/>
      <c r="K12" s="37" t="str">
        <f t="shared" si="2"/>
        <v xml:space="preserve"> </v>
      </c>
      <c r="L12" s="23" t="str">
        <f t="shared" si="31"/>
        <v xml:space="preserve">  </v>
      </c>
      <c r="M12" s="38" t="str">
        <f t="shared" si="3"/>
        <v xml:space="preserve"> </v>
      </c>
      <c r="N12" s="27" t="str">
        <f t="shared" si="32"/>
        <v xml:space="preserve">  </v>
      </c>
      <c r="O12" s="23" t="str">
        <f t="shared" si="33"/>
        <v xml:space="preserve">  </v>
      </c>
      <c r="P12" s="4"/>
      <c r="Q12" s="47" t="s">
        <v>36</v>
      </c>
      <c r="R12" s="48" t="s">
        <v>37</v>
      </c>
      <c r="S12" t="str">
        <f>IF(Tools!$L$49="Use 141 rule only",I36,IF(Tools!$L$49="Use 141 and 1331 rules",BG13," "))</f>
        <v xml:space="preserve">  </v>
      </c>
      <c r="W12" s="29">
        <f>IF(AO12="  ","  ",IF(AND(AO11="  ",AO13="  "),"?",IF(AO11="  ",1*(AO13-AO12),IF(AO13="  ",1*(AO12-AO11),1*(AO13-AO11)))))</f>
        <v>2</v>
      </c>
      <c r="X12" s="30" t="str">
        <f t="shared" si="4"/>
        <v>WW</v>
      </c>
      <c r="Y12" s="30" t="str">
        <f t="shared" si="5"/>
        <v>-</v>
      </c>
      <c r="Z12" s="29" t="b">
        <f t="shared" si="6"/>
        <v>0</v>
      </c>
      <c r="AA12" s="29" t="b">
        <f t="shared" si="7"/>
        <v>0</v>
      </c>
      <c r="AB12" s="29" t="str">
        <f t="shared" ca="1" si="8"/>
        <v>++</v>
      </c>
      <c r="AC12" s="29">
        <f t="shared" si="34"/>
        <v>9</v>
      </c>
      <c r="AD12" s="29">
        <f t="shared" ca="1" si="9"/>
        <v>9</v>
      </c>
      <c r="AE12" s="29">
        <v>9</v>
      </c>
      <c r="AF12" s="31">
        <f t="shared" si="42"/>
        <v>5</v>
      </c>
      <c r="AG12" s="29" t="b">
        <f t="shared" si="11"/>
        <v>1</v>
      </c>
      <c r="AH12" s="30" t="str">
        <f t="shared" ca="1" si="12"/>
        <v>141-2</v>
      </c>
      <c r="AI12" s="30" t="str">
        <f t="shared" ca="1" si="13"/>
        <v/>
      </c>
      <c r="AJ12" s="29">
        <f t="shared" ca="1" si="14"/>
        <v>0</v>
      </c>
      <c r="AK12" s="29" t="str">
        <f t="shared" ca="1" si="15"/>
        <v>2/3</v>
      </c>
      <c r="AL12" s="29">
        <f t="shared" ca="1" si="16"/>
        <v>0.66666666666666663</v>
      </c>
      <c r="AM12" s="32">
        <f t="shared" ca="1" si="35"/>
        <v>0.66666666666666663</v>
      </c>
      <c r="AO12" s="20">
        <f>Tools!$AD11</f>
        <v>6</v>
      </c>
      <c r="AP12" s="33" t="str">
        <f t="shared" si="36"/>
        <v xml:space="preserve">  </v>
      </c>
      <c r="AQ12" s="34" t="str">
        <f t="shared" ca="1" si="18"/>
        <v>2/3</v>
      </c>
      <c r="AR12" s="23" t="str">
        <f t="shared" ca="1" si="19"/>
        <v xml:space="preserve">  </v>
      </c>
      <c r="AS12" s="24">
        <f t="shared" si="20"/>
        <v>-4</v>
      </c>
      <c r="AT12" s="23" t="str">
        <f t="shared" ca="1" si="37"/>
        <v xml:space="preserve">  </v>
      </c>
      <c r="AU12" s="23" t="str">
        <f t="shared" ca="1" si="40"/>
        <v xml:space="preserve">  </v>
      </c>
      <c r="AV12" s="23" t="str">
        <f t="shared" si="21"/>
        <v xml:space="preserve">  </v>
      </c>
      <c r="AW12" s="23" t="str">
        <f t="shared" ca="1" si="22"/>
        <v xml:space="preserve">  </v>
      </c>
      <c r="AY12" s="35" t="str">
        <f t="shared" si="23"/>
        <v xml:space="preserve"> </v>
      </c>
      <c r="AZ12" s="23" t="str">
        <f t="shared" ca="1" si="41"/>
        <v xml:space="preserve">  </v>
      </c>
      <c r="BA12" s="36" t="str">
        <f t="shared" si="25"/>
        <v xml:space="preserve"> </v>
      </c>
      <c r="BB12" s="27" t="str">
        <f t="shared" ca="1" si="38"/>
        <v xml:space="preserve">  </v>
      </c>
      <c r="BC12" s="23" t="str">
        <f t="shared" ca="1" si="39"/>
        <v xml:space="preserve">  </v>
      </c>
      <c r="BE12" s="47" t="s">
        <v>34</v>
      </c>
      <c r="BF12" s="48" t="s">
        <v>38</v>
      </c>
      <c r="BG12" s="49" t="str">
        <f>IF(WL_No="  ","  ",2*h*$AR$29)</f>
        <v xml:space="preserve">  </v>
      </c>
    </row>
    <row r="13" spans="1:60" x14ac:dyDescent="0.25">
      <c r="A13" s="20">
        <f>Tools!$AD12</f>
        <v>7</v>
      </c>
      <c r="B13" s="33" t="str">
        <f t="shared" si="0"/>
        <v xml:space="preserve">  </v>
      </c>
      <c r="C13" s="22">
        <f>IF(A13="  ","  ",IF(AND(A12="  ",A14="  "),"?",IF(A12="  ",2*(A14-A13),IF(A14="  ",2*(A13-A12),2*(A14-A12)))))</f>
        <v>4</v>
      </c>
      <c r="D13" s="23" t="str">
        <f t="shared" si="26"/>
        <v xml:space="preserve">  </v>
      </c>
      <c r="E13" s="24">
        <f t="shared" si="1"/>
        <v>-3</v>
      </c>
      <c r="F13" s="23" t="str">
        <f t="shared" si="27"/>
        <v xml:space="preserve">  </v>
      </c>
      <c r="G13" s="23" t="str">
        <f t="shared" si="28"/>
        <v xml:space="preserve">  </v>
      </c>
      <c r="H13" s="23" t="str">
        <f t="shared" si="29"/>
        <v xml:space="preserve">  </v>
      </c>
      <c r="I13" s="23" t="str">
        <f t="shared" si="30"/>
        <v xml:space="preserve">  </v>
      </c>
      <c r="J13" s="4"/>
      <c r="K13" s="37" t="str">
        <f t="shared" si="2"/>
        <v xml:space="preserve"> </v>
      </c>
      <c r="L13" s="23" t="str">
        <f t="shared" si="31"/>
        <v xml:space="preserve">  </v>
      </c>
      <c r="M13" s="38" t="str">
        <f t="shared" si="3"/>
        <v xml:space="preserve"> </v>
      </c>
      <c r="N13" s="27" t="str">
        <f t="shared" si="32"/>
        <v xml:space="preserve">  </v>
      </c>
      <c r="O13" s="23" t="str">
        <f t="shared" si="33"/>
        <v xml:space="preserve">  </v>
      </c>
      <c r="P13" s="4"/>
      <c r="Q13" s="50" t="s">
        <v>39</v>
      </c>
      <c r="R13" s="48" t="s">
        <v>40</v>
      </c>
      <c r="S13" t="str">
        <f>IF(Tools!$L$49="Use 141 rule only",I37,IF(Tools!$L$49="Use 141 and 1331 rules",BG14," "))</f>
        <v xml:space="preserve">  </v>
      </c>
      <c r="W13" s="29">
        <f>IF(AO13="  ","  ",IF(AND(AO12="  ",AO14="  "),"?",IF(AO12="  ",2*(AO14-AO13),IF(AO14="  ",2*(AO13-AO12),2*(AO14-AO12)))))</f>
        <v>4</v>
      </c>
      <c r="X13" s="30" t="str">
        <f t="shared" si="4"/>
        <v>WW</v>
      </c>
      <c r="Y13" s="30" t="str">
        <f t="shared" si="5"/>
        <v>-</v>
      </c>
      <c r="Z13" s="29" t="b">
        <f t="shared" si="6"/>
        <v>0</v>
      </c>
      <c r="AA13" s="29" t="b">
        <f t="shared" si="7"/>
        <v>0</v>
      </c>
      <c r="AB13" s="29" t="str">
        <f t="shared" ca="1" si="8"/>
        <v>++</v>
      </c>
      <c r="AC13" s="29">
        <f t="shared" si="34"/>
        <v>10</v>
      </c>
      <c r="AD13" s="29">
        <f t="shared" ca="1" si="9"/>
        <v>10</v>
      </c>
      <c r="AE13" s="29">
        <v>10</v>
      </c>
      <c r="AF13" s="31">
        <f t="shared" si="42"/>
        <v>6</v>
      </c>
      <c r="AG13" s="29" t="b">
        <f t="shared" si="11"/>
        <v>1</v>
      </c>
      <c r="AH13" s="30" t="str">
        <f t="shared" ca="1" si="12"/>
        <v>141-4</v>
      </c>
      <c r="AI13" s="30" t="str">
        <f t="shared" ca="1" si="13"/>
        <v/>
      </c>
      <c r="AJ13" s="29">
        <f t="shared" ca="1" si="14"/>
        <v>0</v>
      </c>
      <c r="AK13" s="29" t="str">
        <f t="shared" ca="1" si="15"/>
        <v>4/3</v>
      </c>
      <c r="AL13" s="29">
        <f t="shared" ca="1" si="16"/>
        <v>1.3333333333333333</v>
      </c>
      <c r="AM13" s="32">
        <f t="shared" ca="1" si="35"/>
        <v>1.3333333333333333</v>
      </c>
      <c r="AO13" s="20">
        <f>Tools!$AD12</f>
        <v>7</v>
      </c>
      <c r="AP13" s="33" t="str">
        <f t="shared" si="36"/>
        <v xml:space="preserve">  </v>
      </c>
      <c r="AQ13" s="34" t="str">
        <f t="shared" ca="1" si="18"/>
        <v>4/3</v>
      </c>
      <c r="AR13" s="23" t="str">
        <f t="shared" ca="1" si="19"/>
        <v xml:space="preserve">  </v>
      </c>
      <c r="AS13" s="24">
        <f t="shared" si="20"/>
        <v>-3</v>
      </c>
      <c r="AT13" s="23" t="str">
        <f t="shared" ca="1" si="37"/>
        <v xml:space="preserve">  </v>
      </c>
      <c r="AU13" s="23" t="str">
        <f t="shared" ca="1" si="40"/>
        <v xml:space="preserve">  </v>
      </c>
      <c r="AV13" s="23" t="str">
        <f t="shared" si="21"/>
        <v xml:space="preserve">  </v>
      </c>
      <c r="AW13" s="23" t="str">
        <f t="shared" ca="1" si="22"/>
        <v xml:space="preserve">  </v>
      </c>
      <c r="AY13" s="35" t="str">
        <f t="shared" si="23"/>
        <v xml:space="preserve"> </v>
      </c>
      <c r="AZ13" s="23" t="str">
        <f t="shared" ca="1" si="41"/>
        <v xml:space="preserve">  </v>
      </c>
      <c r="BA13" s="36" t="str">
        <f t="shared" si="25"/>
        <v xml:space="preserve"> </v>
      </c>
      <c r="BB13" s="27" t="str">
        <f t="shared" ca="1" si="38"/>
        <v xml:space="preserve">  </v>
      </c>
      <c r="BC13" s="23" t="str">
        <f t="shared" ca="1" si="39"/>
        <v xml:space="preserve">  </v>
      </c>
      <c r="BE13" s="47" t="s">
        <v>36</v>
      </c>
      <c r="BF13" s="48" t="s">
        <v>41</v>
      </c>
      <c r="BG13" s="49" t="str">
        <f>IF(WL_No="  ","  ",2*(h^2)*$AT$29)</f>
        <v xml:space="preserve">  </v>
      </c>
    </row>
    <row r="14" spans="1:60" x14ac:dyDescent="0.25">
      <c r="A14" s="20">
        <f>Tools!$AD13</f>
        <v>8</v>
      </c>
      <c r="B14" s="33" t="str">
        <f t="shared" si="0"/>
        <v xml:space="preserve">  </v>
      </c>
      <c r="C14" s="22">
        <f>IF(A14="  ","  ",IF(AND(A13="  ",A15="  "),"?",IF(A13="  ",1*(A15-A14),IF(A15="  ",1*(A14-A13),1*(A15-A13)))))</f>
        <v>2</v>
      </c>
      <c r="D14" s="23" t="str">
        <f t="shared" si="26"/>
        <v xml:space="preserve">  </v>
      </c>
      <c r="E14" s="24">
        <f t="shared" si="1"/>
        <v>-2</v>
      </c>
      <c r="F14" s="23" t="str">
        <f t="shared" si="27"/>
        <v xml:space="preserve">  </v>
      </c>
      <c r="G14" s="23" t="str">
        <f t="shared" si="28"/>
        <v xml:space="preserve">  </v>
      </c>
      <c r="H14" s="23" t="str">
        <f t="shared" si="29"/>
        <v xml:space="preserve">  </v>
      </c>
      <c r="I14" s="23" t="str">
        <f t="shared" si="30"/>
        <v xml:space="preserve">  </v>
      </c>
      <c r="J14" s="4"/>
      <c r="K14" s="37" t="str">
        <f t="shared" si="2"/>
        <v xml:space="preserve"> </v>
      </c>
      <c r="L14" s="23" t="str">
        <f t="shared" si="31"/>
        <v xml:space="preserve">  </v>
      </c>
      <c r="M14" s="38" t="str">
        <f t="shared" si="3"/>
        <v xml:space="preserve"> </v>
      </c>
      <c r="N14" s="27" t="str">
        <f t="shared" si="32"/>
        <v xml:space="preserve">  </v>
      </c>
      <c r="O14" s="23" t="str">
        <f t="shared" si="33"/>
        <v xml:space="preserve">  </v>
      </c>
      <c r="P14" s="4"/>
      <c r="Q14" s="50" t="s">
        <v>42</v>
      </c>
      <c r="R14" s="48" t="s">
        <v>43</v>
      </c>
      <c r="S14" t="str">
        <f>IF(Tools!$L$49="Use 141 rule only",I38,IF(Tools!$L$49="Use 141 and 1331 rules",BG15," "))</f>
        <v xml:space="preserve">  </v>
      </c>
      <c r="W14" s="29">
        <f>IF(AO14="  ","  ",IF(AND(AO13="  ",AO15="  "),"?",IF(AO13="  ",1*(AO15-AO14),IF(AO15="  ",1*(AO14-AO13),1*(AO15-AO13)))))</f>
        <v>2</v>
      </c>
      <c r="X14" s="30" t="str">
        <f t="shared" si="4"/>
        <v>WW</v>
      </c>
      <c r="Y14" s="30" t="str">
        <f t="shared" si="5"/>
        <v>-</v>
      </c>
      <c r="Z14" s="29" t="b">
        <f t="shared" si="6"/>
        <v>0</v>
      </c>
      <c r="AA14" s="29" t="b">
        <f t="shared" si="7"/>
        <v>0</v>
      </c>
      <c r="AB14" s="29" t="str">
        <f t="shared" ca="1" si="8"/>
        <v>++</v>
      </c>
      <c r="AC14" s="29">
        <f t="shared" si="34"/>
        <v>11</v>
      </c>
      <c r="AD14" s="29">
        <f t="shared" ca="1" si="9"/>
        <v>11</v>
      </c>
      <c r="AE14" s="29">
        <v>11</v>
      </c>
      <c r="AF14" s="31">
        <f t="shared" si="42"/>
        <v>7</v>
      </c>
      <c r="AG14" s="29" t="b">
        <f t="shared" si="11"/>
        <v>1</v>
      </c>
      <c r="AH14" s="30" t="str">
        <f ca="1">IF(AND(AG14=TRUE,$AH$1=1),"141-4",IF(AG14=" ",IF(AND($AH$1=2,AF14=3),"141-1","-"),IF(OR(AG14=FALSE,AG14=" "),"-",IF(AG14=TRUE,IF(AND($AH$1=2,AF14=1),"141-1",IF(AND($AH$1=2,AF14=2),"141-4",IF(OR(ISODD($AH$1),AF14&gt;4),IF(AF14=1,"141-1",IF(OR(AB14="141-1",AB14="1331-1",AB14="1331-1,141-1"),"141-1",IF(AG15=" ","141-1",IF(OR(AH13="141-1",AH13="141-2",AH13="1331-1,141-1"),"141-4",IF(AH13="141-4","141-2","$$"))))),IF(ISEVEN($AH$1),IF(AF14=1,"1331-1",IF(OR(AF14=2,AF14=3),"1331-3",IF(AF14=4,IF($AH$1=4,"1331-1","1331-1,141-1"),"")))))))))))</f>
        <v>141-2</v>
      </c>
      <c r="AI14" s="30" t="str">
        <f t="shared" ca="1" si="13"/>
        <v/>
      </c>
      <c r="AJ14" s="29">
        <f t="shared" ca="1" si="14"/>
        <v>0</v>
      </c>
      <c r="AK14" s="29" t="str">
        <f t="shared" ca="1" si="15"/>
        <v>2/3</v>
      </c>
      <c r="AL14" s="29">
        <f t="shared" ca="1" si="16"/>
        <v>0.66666666666666663</v>
      </c>
      <c r="AM14" s="32">
        <f t="shared" ca="1" si="35"/>
        <v>0.66666666666666663</v>
      </c>
      <c r="AO14" s="20">
        <f>Tools!$AD13</f>
        <v>8</v>
      </c>
      <c r="AP14" s="33" t="str">
        <f t="shared" si="36"/>
        <v xml:space="preserve">  </v>
      </c>
      <c r="AQ14" s="34" t="str">
        <f t="shared" ca="1" si="18"/>
        <v>2/3</v>
      </c>
      <c r="AR14" s="23" t="str">
        <f t="shared" ca="1" si="19"/>
        <v xml:space="preserve">  </v>
      </c>
      <c r="AS14" s="24">
        <f t="shared" si="20"/>
        <v>-2</v>
      </c>
      <c r="AT14" s="23" t="str">
        <f t="shared" ca="1" si="37"/>
        <v xml:space="preserve">  </v>
      </c>
      <c r="AU14" s="23" t="str">
        <f t="shared" ca="1" si="40"/>
        <v xml:space="preserve">  </v>
      </c>
      <c r="AV14" s="23" t="str">
        <f t="shared" si="21"/>
        <v xml:space="preserve">  </v>
      </c>
      <c r="AW14" s="23" t="str">
        <f t="shared" ca="1" si="22"/>
        <v xml:space="preserve">  </v>
      </c>
      <c r="AY14" s="35" t="str">
        <f t="shared" si="23"/>
        <v xml:space="preserve"> </v>
      </c>
      <c r="AZ14" s="23" t="str">
        <f t="shared" ca="1" si="41"/>
        <v xml:space="preserve">  </v>
      </c>
      <c r="BA14" s="36" t="str">
        <f t="shared" si="25"/>
        <v xml:space="preserve"> </v>
      </c>
      <c r="BB14" s="27" t="str">
        <f t="shared" ca="1" si="38"/>
        <v xml:space="preserve">  </v>
      </c>
      <c r="BC14" s="23" t="str">
        <f t="shared" ca="1" si="39"/>
        <v xml:space="preserve">  </v>
      </c>
      <c r="BE14" s="50" t="s">
        <v>39</v>
      </c>
      <c r="BF14" s="48" t="s">
        <v>40</v>
      </c>
      <c r="BG14" s="49" t="str">
        <f>IF(WL_No="  ","  ",Mmid/AWP)</f>
        <v xml:space="preserve">  </v>
      </c>
    </row>
    <row r="15" spans="1:60" x14ac:dyDescent="0.25">
      <c r="A15" s="20">
        <f>Tools!$AD14</f>
        <v>9</v>
      </c>
      <c r="B15" s="33" t="str">
        <f t="shared" si="0"/>
        <v xml:space="preserve">  </v>
      </c>
      <c r="C15" s="22">
        <f>IF(A15="  ","  ",IF(AND(A14="  ",A16="  "),"?",IF(A14="  ",2*(A16-A15),IF(A16="  ",2*(A15-A14),2*(A16-A14)))))</f>
        <v>4</v>
      </c>
      <c r="D15" s="23" t="str">
        <f t="shared" si="26"/>
        <v xml:space="preserve">  </v>
      </c>
      <c r="E15" s="24">
        <f t="shared" si="1"/>
        <v>-1</v>
      </c>
      <c r="F15" s="23" t="str">
        <f t="shared" si="27"/>
        <v xml:space="preserve">  </v>
      </c>
      <c r="G15" s="23" t="str">
        <f t="shared" si="28"/>
        <v xml:space="preserve">  </v>
      </c>
      <c r="H15" s="23" t="str">
        <f t="shared" si="29"/>
        <v xml:space="preserve">  </v>
      </c>
      <c r="I15" s="23" t="str">
        <f t="shared" si="30"/>
        <v xml:space="preserve">  </v>
      </c>
      <c r="J15" s="4"/>
      <c r="K15" s="37" t="str">
        <f t="shared" si="2"/>
        <v xml:space="preserve"> </v>
      </c>
      <c r="L15" s="23" t="str">
        <f t="shared" si="31"/>
        <v xml:space="preserve">  </v>
      </c>
      <c r="M15" s="38" t="str">
        <f t="shared" si="3"/>
        <v xml:space="preserve"> </v>
      </c>
      <c r="N15" s="27" t="str">
        <f t="shared" si="32"/>
        <v xml:space="preserve">  </v>
      </c>
      <c r="O15" s="23" t="str">
        <f t="shared" si="33"/>
        <v xml:space="preserve">  </v>
      </c>
      <c r="P15" s="4"/>
      <c r="Q15" s="51" t="s">
        <v>44</v>
      </c>
      <c r="R15" s="48" t="s">
        <v>45</v>
      </c>
      <c r="S15" t="str">
        <f>IF(Tools!$L$49="Use 141 rule only",I39,IF(Tools!$L$49="Use 141 and 1331 rules",BG16," "))</f>
        <v xml:space="preserve">  </v>
      </c>
      <c r="W15" s="29">
        <f>IF(AO15="  ","  ",IF(AND(AO14="  ",AO16="  "),"?",IF(AO14="  ",2*(AO16-AO15),IF(AO16="  ",2*(AO15-AO14),2*(AO16-AO14)))))</f>
        <v>4</v>
      </c>
      <c r="X15" s="30" t="str">
        <f t="shared" si="4"/>
        <v>WW</v>
      </c>
      <c r="Y15" s="30" t="str">
        <f t="shared" si="5"/>
        <v>-</v>
      </c>
      <c r="Z15" s="29" t="b">
        <f t="shared" si="6"/>
        <v>0</v>
      </c>
      <c r="AA15" s="29" t="b">
        <f t="shared" si="7"/>
        <v>0</v>
      </c>
      <c r="AB15" s="29" t="str">
        <f t="shared" ca="1" si="8"/>
        <v>++</v>
      </c>
      <c r="AC15" s="29">
        <f t="shared" si="34"/>
        <v>12</v>
      </c>
      <c r="AD15" s="29">
        <f t="shared" ca="1" si="9"/>
        <v>12</v>
      </c>
      <c r="AE15" s="29">
        <v>12</v>
      </c>
      <c r="AF15" s="31">
        <f t="shared" si="42"/>
        <v>8</v>
      </c>
      <c r="AG15" s="29" t="b">
        <f t="shared" si="11"/>
        <v>1</v>
      </c>
      <c r="AH15" s="30" t="str">
        <f t="shared" ref="AH15:AH28" ca="1" si="43">IF(AND(AG15=TRUE,$AH$1=1),"141-4",IF(AG15=" ",IF(AND($AH$1=2,AF15=3),"141-1","-"),IF(OR(AG15=FALSE,AG15=" "),"-",IF(AG15=TRUE,IF(AND($AH$1=2,AF15=1),"141-1",IF(AND($AH$1=2,AF15=2),"141-4",IF(OR(ISODD($AH$1),AF15&gt;4),IF(AF15=1,"141-1",IF(OR(AB15="141-1",AB15="1331-1",AB15="1331-1,141-1"),"141-1",IF(AG16=" ","141-1",IF(OR(AH14="141-1",AH14="141-2",AH14="1331-1,141-1"),"141-4",IF(AH14="141-4","141-2","$$"))))),IF(ISEVEN($AH$1),IF(AF15=1,"1331-1",IF(OR(AF15=2,AF15=3),"1331-3",IF(AF15=4,IF($AH$1=4,"1331-1","1331-1,141-1"),"")))))))))))</f>
        <v>141-4</v>
      </c>
      <c r="AI15" s="30" t="str">
        <f t="shared" ca="1" si="13"/>
        <v/>
      </c>
      <c r="AJ15" s="29">
        <f t="shared" ca="1" si="14"/>
        <v>0</v>
      </c>
      <c r="AK15" s="29" t="str">
        <f t="shared" ca="1" si="15"/>
        <v>4/3</v>
      </c>
      <c r="AL15" s="29">
        <f t="shared" ca="1" si="16"/>
        <v>1.3333333333333333</v>
      </c>
      <c r="AM15" s="32">
        <f t="shared" ca="1" si="35"/>
        <v>1.3333333333333333</v>
      </c>
      <c r="AO15" s="20">
        <f>Tools!$AD14</f>
        <v>9</v>
      </c>
      <c r="AP15" s="33" t="str">
        <f t="shared" si="36"/>
        <v xml:space="preserve">  </v>
      </c>
      <c r="AQ15" s="34" t="str">
        <f t="shared" ca="1" si="18"/>
        <v>4/3</v>
      </c>
      <c r="AR15" s="23" t="str">
        <f t="shared" ca="1" si="19"/>
        <v xml:space="preserve">  </v>
      </c>
      <c r="AS15" s="24">
        <f t="shared" si="20"/>
        <v>-1</v>
      </c>
      <c r="AT15" s="23" t="str">
        <f t="shared" ca="1" si="37"/>
        <v xml:space="preserve">  </v>
      </c>
      <c r="AU15" s="23" t="str">
        <f t="shared" ca="1" si="40"/>
        <v xml:space="preserve">  </v>
      </c>
      <c r="AV15" s="23" t="str">
        <f t="shared" si="21"/>
        <v xml:space="preserve">  </v>
      </c>
      <c r="AW15" s="23" t="str">
        <f t="shared" ca="1" si="22"/>
        <v xml:space="preserve">  </v>
      </c>
      <c r="AY15" s="35" t="str">
        <f t="shared" si="23"/>
        <v xml:space="preserve"> </v>
      </c>
      <c r="AZ15" s="23" t="str">
        <f t="shared" ca="1" si="41"/>
        <v xml:space="preserve">  </v>
      </c>
      <c r="BA15" s="36" t="str">
        <f t="shared" si="25"/>
        <v xml:space="preserve"> </v>
      </c>
      <c r="BB15" s="27" t="str">
        <f ca="1">IFERROR(BA15*AM15,"  ")</f>
        <v xml:space="preserve">  </v>
      </c>
      <c r="BC15" s="23" t="str">
        <f t="shared" ca="1" si="39"/>
        <v xml:space="preserve">  </v>
      </c>
      <c r="BE15" s="50" t="s">
        <v>42</v>
      </c>
      <c r="BF15" s="48" t="s">
        <v>46</v>
      </c>
      <c r="BG15" s="49" t="str">
        <f>IF(WL_No="  ","  ",2*(h^3)*$AU$29)</f>
        <v xml:space="preserve">  </v>
      </c>
    </row>
    <row r="16" spans="1:60" x14ac:dyDescent="0.25">
      <c r="A16" s="20">
        <f>Tools!$AD15</f>
        <v>10</v>
      </c>
      <c r="B16" s="33" t="str">
        <f t="shared" si="0"/>
        <v xml:space="preserve">  </v>
      </c>
      <c r="C16" s="22">
        <f>IF(A16="  ","  ",IF(AND(A15="  ",A17="  "),"?",IF(A15="  ",1*(A17-A16),IF(A17="  ",1*(A16-A15),1*(A17-A15)))))</f>
        <v>2</v>
      </c>
      <c r="D16" s="23" t="str">
        <f t="shared" si="26"/>
        <v xml:space="preserve">  </v>
      </c>
      <c r="E16" s="24">
        <f t="shared" si="1"/>
        <v>0</v>
      </c>
      <c r="F16" s="23" t="str">
        <f t="shared" si="27"/>
        <v xml:space="preserve">  </v>
      </c>
      <c r="G16" s="23" t="str">
        <f t="shared" si="28"/>
        <v xml:space="preserve">  </v>
      </c>
      <c r="H16" s="23" t="str">
        <f t="shared" si="29"/>
        <v xml:space="preserve">  </v>
      </c>
      <c r="I16" s="23" t="str">
        <f t="shared" si="30"/>
        <v xml:space="preserve">  </v>
      </c>
      <c r="J16" s="4"/>
      <c r="K16" s="37" t="str">
        <f t="shared" si="2"/>
        <v xml:space="preserve"> </v>
      </c>
      <c r="L16" s="23" t="str">
        <f t="shared" si="31"/>
        <v xml:space="preserve">  </v>
      </c>
      <c r="M16" s="38" t="str">
        <f t="shared" si="3"/>
        <v xml:space="preserve"> </v>
      </c>
      <c r="N16" s="27" t="str">
        <f t="shared" si="32"/>
        <v xml:space="preserve">  </v>
      </c>
      <c r="O16" s="23" t="str">
        <f t="shared" si="33"/>
        <v xml:space="preserve">  </v>
      </c>
      <c r="P16" s="4"/>
      <c r="Q16" s="50" t="s">
        <v>47</v>
      </c>
      <c r="R16" s="48" t="s">
        <v>48</v>
      </c>
      <c r="S16" t="str">
        <f>IF(Tools!$L$49="Use 141 rule only",I40,IF(Tools!$L$49="Use 141 and 1331 rules",BG17," "))</f>
        <v xml:space="preserve">  </v>
      </c>
      <c r="W16" s="29">
        <f>IF(AO16="  ","  ",IF(AND(AO15="  ",AO17="  "),"?",IF(AO15="  ",1*(AO17-AO16),IF(AO17="  ",1*(AO16-AO15),1*(AO17-AO15)))))</f>
        <v>2</v>
      </c>
      <c r="X16" s="30" t="str">
        <f t="shared" si="4"/>
        <v>WW</v>
      </c>
      <c r="Y16" s="30" t="str">
        <f t="shared" si="5"/>
        <v>-</v>
      </c>
      <c r="Z16" s="29" t="b">
        <f t="shared" si="6"/>
        <v>0</v>
      </c>
      <c r="AA16" s="29" t="b">
        <f t="shared" si="7"/>
        <v>0</v>
      </c>
      <c r="AB16" s="29" t="str">
        <f t="shared" ca="1" si="8"/>
        <v>++</v>
      </c>
      <c r="AC16" s="29">
        <f t="shared" si="34"/>
        <v>13</v>
      </c>
      <c r="AD16" s="29">
        <f t="shared" ca="1" si="9"/>
        <v>13</v>
      </c>
      <c r="AE16" s="29">
        <v>13</v>
      </c>
      <c r="AF16" s="31">
        <f t="shared" si="42"/>
        <v>9</v>
      </c>
      <c r="AG16" s="29" t="b">
        <f t="shared" si="11"/>
        <v>1</v>
      </c>
      <c r="AH16" s="30" t="str">
        <f t="shared" ca="1" si="43"/>
        <v>141-2</v>
      </c>
      <c r="AI16" s="30" t="str">
        <f t="shared" ca="1" si="13"/>
        <v/>
      </c>
      <c r="AJ16" s="29">
        <f t="shared" ca="1" si="14"/>
        <v>0</v>
      </c>
      <c r="AK16" s="29" t="str">
        <f t="shared" ca="1" si="15"/>
        <v>2/3</v>
      </c>
      <c r="AL16" s="29">
        <f t="shared" ca="1" si="16"/>
        <v>0.66666666666666663</v>
      </c>
      <c r="AM16" s="32">
        <f t="shared" ca="1" si="35"/>
        <v>0.66666666666666663</v>
      </c>
      <c r="AO16" s="20">
        <f>Tools!$AD15</f>
        <v>10</v>
      </c>
      <c r="AP16" s="33" t="str">
        <f t="shared" si="36"/>
        <v xml:space="preserve">  </v>
      </c>
      <c r="AQ16" s="34" t="str">
        <f t="shared" ca="1" si="18"/>
        <v>2/3</v>
      </c>
      <c r="AR16" s="23" t="str">
        <f t="shared" ca="1" si="19"/>
        <v xml:space="preserve">  </v>
      </c>
      <c r="AS16" s="24">
        <f t="shared" si="20"/>
        <v>0</v>
      </c>
      <c r="AT16" s="23" t="str">
        <f t="shared" ca="1" si="37"/>
        <v xml:space="preserve">  </v>
      </c>
      <c r="AU16" s="23" t="str">
        <f t="shared" ca="1" si="40"/>
        <v xml:space="preserve">  </v>
      </c>
      <c r="AV16" s="23" t="str">
        <f t="shared" si="21"/>
        <v xml:space="preserve">  </v>
      </c>
      <c r="AW16" s="23" t="str">
        <f t="shared" ca="1" si="22"/>
        <v xml:space="preserve">  </v>
      </c>
      <c r="AY16" s="35" t="str">
        <f t="shared" si="23"/>
        <v xml:space="preserve"> </v>
      </c>
      <c r="AZ16" s="23" t="str">
        <f t="shared" ca="1" si="41"/>
        <v xml:space="preserve">  </v>
      </c>
      <c r="BA16" s="36" t="str">
        <f t="shared" si="25"/>
        <v xml:space="preserve"> </v>
      </c>
      <c r="BB16" s="27" t="str">
        <f t="shared" ca="1" si="38"/>
        <v xml:space="preserve">  </v>
      </c>
      <c r="BC16" s="23" t="str">
        <f ca="1">IFERROR(AZ16*AS16,"  ")</f>
        <v xml:space="preserve">  </v>
      </c>
      <c r="BE16" s="51" t="s">
        <v>44</v>
      </c>
      <c r="BF16" s="48" t="s">
        <v>49</v>
      </c>
      <c r="BG16" s="49" t="str">
        <f>IF(WL_No="  ","  ",2/3*h*$AW$29)</f>
        <v xml:space="preserve">  </v>
      </c>
    </row>
    <row r="17" spans="1:59" x14ac:dyDescent="0.25">
      <c r="A17" s="20">
        <f>Tools!$AD16</f>
        <v>11</v>
      </c>
      <c r="B17" s="33" t="str">
        <f t="shared" si="0"/>
        <v xml:space="preserve">  </v>
      </c>
      <c r="C17" s="22">
        <f>IF(A17="  ","  ",IF(AND(A16="  ",A18="  "),"?",IF(A16="  ",2*(A18-A17),IF(A18="  ",2*(A17-A16),2*(A18-A16)))))</f>
        <v>4</v>
      </c>
      <c r="D17" s="23" t="str">
        <f t="shared" si="26"/>
        <v xml:space="preserve">  </v>
      </c>
      <c r="E17" s="24">
        <f t="shared" si="1"/>
        <v>1</v>
      </c>
      <c r="F17" s="23" t="str">
        <f t="shared" si="27"/>
        <v xml:space="preserve">  </v>
      </c>
      <c r="G17" s="23" t="str">
        <f t="shared" si="28"/>
        <v xml:space="preserve">  </v>
      </c>
      <c r="H17" s="23" t="str">
        <f t="shared" si="29"/>
        <v xml:space="preserve">  </v>
      </c>
      <c r="I17" s="23" t="str">
        <f t="shared" si="30"/>
        <v xml:space="preserve">  </v>
      </c>
      <c r="J17" s="4"/>
      <c r="K17" s="37" t="str">
        <f t="shared" si="2"/>
        <v xml:space="preserve"> </v>
      </c>
      <c r="L17" s="23" t="str">
        <f t="shared" si="31"/>
        <v xml:space="preserve">  </v>
      </c>
      <c r="M17" s="38" t="str">
        <f t="shared" si="3"/>
        <v xml:space="preserve"> </v>
      </c>
      <c r="N17" s="27" t="str">
        <f t="shared" si="32"/>
        <v xml:space="preserve">  </v>
      </c>
      <c r="O17" s="23" t="str">
        <f t="shared" si="33"/>
        <v xml:space="preserve">  </v>
      </c>
      <c r="P17" s="4"/>
      <c r="Q17" s="50" t="s">
        <v>50</v>
      </c>
      <c r="R17" s="48" t="s">
        <v>51</v>
      </c>
      <c r="S17" t="str">
        <f>IF(Tools!$L$49="Use 141 rule only",I41,IF(Tools!$L$49="Use 141 and 1331 rules",BG18," "))</f>
        <v xml:space="preserve">  </v>
      </c>
      <c r="W17" s="29">
        <f>IF(AO17="  ","  ",IF(AND(AO16="  ",AO18="  "),"?",IF(AO16="  ",2*(AO18-AO17),IF(AO18="  ",2*(AO17-AO16),2*(AO18-AO16)))))</f>
        <v>4</v>
      </c>
      <c r="X17" s="30" t="str">
        <f t="shared" si="4"/>
        <v>WW</v>
      </c>
      <c r="Y17" s="30" t="str">
        <f t="shared" si="5"/>
        <v>-</v>
      </c>
      <c r="Z17" s="29" t="b">
        <f t="shared" si="6"/>
        <v>0</v>
      </c>
      <c r="AA17" s="29" t="b">
        <f t="shared" si="7"/>
        <v>0</v>
      </c>
      <c r="AB17" s="29" t="str">
        <f t="shared" ca="1" si="8"/>
        <v>++</v>
      </c>
      <c r="AC17" s="29">
        <f t="shared" si="34"/>
        <v>12</v>
      </c>
      <c r="AD17" s="29">
        <f t="shared" ca="1" si="9"/>
        <v>12</v>
      </c>
      <c r="AE17" s="29">
        <v>14</v>
      </c>
      <c r="AF17" s="31">
        <f t="shared" si="42"/>
        <v>10</v>
      </c>
      <c r="AG17" s="29" t="b">
        <f t="shared" si="11"/>
        <v>1</v>
      </c>
      <c r="AH17" s="30" t="str">
        <f t="shared" ca="1" si="43"/>
        <v>141-4</v>
      </c>
      <c r="AI17" s="30" t="str">
        <f t="shared" ca="1" si="13"/>
        <v/>
      </c>
      <c r="AJ17" s="29">
        <f t="shared" ca="1" si="14"/>
        <v>0</v>
      </c>
      <c r="AK17" s="29" t="str">
        <f t="shared" ca="1" si="15"/>
        <v>4/3</v>
      </c>
      <c r="AL17" s="29">
        <f t="shared" ca="1" si="16"/>
        <v>1.3333333333333333</v>
      </c>
      <c r="AM17" s="32">
        <f t="shared" ca="1" si="35"/>
        <v>1.3333333333333333</v>
      </c>
      <c r="AO17" s="20">
        <f>Tools!$AD16</f>
        <v>11</v>
      </c>
      <c r="AP17" s="33" t="str">
        <f t="shared" si="36"/>
        <v xml:space="preserve">  </v>
      </c>
      <c r="AQ17" s="34" t="str">
        <f t="shared" ca="1" si="18"/>
        <v>4/3</v>
      </c>
      <c r="AR17" s="23" t="str">
        <f t="shared" ca="1" si="19"/>
        <v xml:space="preserve">  </v>
      </c>
      <c r="AS17" s="24">
        <f t="shared" si="20"/>
        <v>1</v>
      </c>
      <c r="AT17" s="23" t="str">
        <f t="shared" ca="1" si="37"/>
        <v xml:space="preserve">  </v>
      </c>
      <c r="AU17" s="23" t="str">
        <f t="shared" ca="1" si="40"/>
        <v xml:space="preserve">  </v>
      </c>
      <c r="AV17" s="23" t="str">
        <f t="shared" si="21"/>
        <v xml:space="preserve">  </v>
      </c>
      <c r="AW17" s="23" t="str">
        <f t="shared" ca="1" si="22"/>
        <v xml:space="preserve">  </v>
      </c>
      <c r="AY17" s="35" t="str">
        <f t="shared" si="23"/>
        <v xml:space="preserve"> </v>
      </c>
      <c r="AZ17" s="23" t="str">
        <f t="shared" ca="1" si="41"/>
        <v xml:space="preserve">  </v>
      </c>
      <c r="BA17" s="36" t="str">
        <f t="shared" si="25"/>
        <v xml:space="preserve"> </v>
      </c>
      <c r="BB17" s="27" t="str">
        <f t="shared" ca="1" si="38"/>
        <v xml:space="preserve">  </v>
      </c>
      <c r="BC17" s="23" t="str">
        <f t="shared" ca="1" si="39"/>
        <v xml:space="preserve">  </v>
      </c>
      <c r="BE17" s="50" t="s">
        <v>47</v>
      </c>
      <c r="BF17" s="48" t="s">
        <v>48</v>
      </c>
      <c r="BG17" s="49" t="str">
        <f>IF(WL_No="  ","  ",IL-AWP*(LCF^2))</f>
        <v xml:space="preserve">  </v>
      </c>
    </row>
    <row r="18" spans="1:59" x14ac:dyDescent="0.25">
      <c r="A18" s="20">
        <f>Tools!$AD17</f>
        <v>12</v>
      </c>
      <c r="B18" s="33" t="str">
        <f t="shared" si="0"/>
        <v xml:space="preserve">  </v>
      </c>
      <c r="C18" s="22">
        <f>IF(A18="  ","  ",IF(AND(A17="  ",A19="  "),"?",IF(A17="  ",1*(A19-A18),IF(A19="  ",1*(A18-A17),1*(A19-A17)))))</f>
        <v>2</v>
      </c>
      <c r="D18" s="23" t="str">
        <f t="shared" si="26"/>
        <v xml:space="preserve">  </v>
      </c>
      <c r="E18" s="24">
        <f t="shared" si="1"/>
        <v>2</v>
      </c>
      <c r="F18" s="23" t="str">
        <f t="shared" si="27"/>
        <v xml:space="preserve">  </v>
      </c>
      <c r="G18" s="23" t="str">
        <f t="shared" si="28"/>
        <v xml:space="preserve">  </v>
      </c>
      <c r="H18" s="23" t="str">
        <f t="shared" si="29"/>
        <v xml:space="preserve">  </v>
      </c>
      <c r="I18" s="23" t="str">
        <f t="shared" si="30"/>
        <v xml:space="preserve">  </v>
      </c>
      <c r="J18" s="4"/>
      <c r="K18" s="37" t="str">
        <f t="shared" si="2"/>
        <v xml:space="preserve"> </v>
      </c>
      <c r="L18" s="23" t="str">
        <f t="shared" si="31"/>
        <v xml:space="preserve">  </v>
      </c>
      <c r="M18" s="38" t="str">
        <f t="shared" si="3"/>
        <v xml:space="preserve"> </v>
      </c>
      <c r="N18" s="27" t="str">
        <f t="shared" si="32"/>
        <v xml:space="preserve">  </v>
      </c>
      <c r="O18" s="23" t="str">
        <f t="shared" si="33"/>
        <v xml:space="preserve">  </v>
      </c>
      <c r="P18" s="4"/>
      <c r="Q18" s="50" t="s">
        <v>52</v>
      </c>
      <c r="R18" s="48" t="s">
        <v>53</v>
      </c>
      <c r="S18" t="str">
        <f>IF(Tools!$L$49="Use 141 rule only",I42,IF(Tools!$L$49="Use 141 and 1331 rules",BG19," "))</f>
        <v xml:space="preserve">  </v>
      </c>
      <c r="W18" s="29">
        <f>IF(AO18="  ","  ",IF(AND(AO17="  ",AO19="  "),"?",IF(AO17="  ",1*(AO19-AO18),IF(AO19="  ",1*(AO18-AO17),1*(AO19-AO17)))))</f>
        <v>2</v>
      </c>
      <c r="X18" s="30" t="str">
        <f t="shared" si="4"/>
        <v>WW</v>
      </c>
      <c r="Y18" s="30" t="str">
        <f t="shared" si="5"/>
        <v>-</v>
      </c>
      <c r="Z18" s="29" t="b">
        <f t="shared" si="6"/>
        <v>0</v>
      </c>
      <c r="AA18" s="29" t="b">
        <f t="shared" si="7"/>
        <v>0</v>
      </c>
      <c r="AB18" s="29" t="str">
        <f t="shared" ca="1" si="8"/>
        <v>++</v>
      </c>
      <c r="AC18" s="29">
        <f t="shared" si="34"/>
        <v>11</v>
      </c>
      <c r="AD18" s="29">
        <f t="shared" ca="1" si="9"/>
        <v>11</v>
      </c>
      <c r="AE18" s="29">
        <v>15</v>
      </c>
      <c r="AF18" s="31">
        <f t="shared" si="42"/>
        <v>11</v>
      </c>
      <c r="AG18" s="29" t="b">
        <f t="shared" si="11"/>
        <v>1</v>
      </c>
      <c r="AH18" s="30" t="str">
        <f t="shared" ca="1" si="43"/>
        <v>141-2</v>
      </c>
      <c r="AI18" s="30" t="str">
        <f t="shared" ca="1" si="13"/>
        <v/>
      </c>
      <c r="AJ18" s="29">
        <f t="shared" ca="1" si="14"/>
        <v>0</v>
      </c>
      <c r="AK18" s="29" t="str">
        <f t="shared" ca="1" si="15"/>
        <v>2/3</v>
      </c>
      <c r="AL18" s="29">
        <f t="shared" ca="1" si="16"/>
        <v>0.66666666666666663</v>
      </c>
      <c r="AM18" s="32">
        <f t="shared" ca="1" si="35"/>
        <v>0.66666666666666663</v>
      </c>
      <c r="AO18" s="20">
        <f>Tools!$AD17</f>
        <v>12</v>
      </c>
      <c r="AP18" s="33" t="str">
        <f t="shared" si="36"/>
        <v xml:space="preserve">  </v>
      </c>
      <c r="AQ18" s="34" t="str">
        <f t="shared" ca="1" si="18"/>
        <v>2/3</v>
      </c>
      <c r="AR18" s="23" t="str">
        <f t="shared" ca="1" si="19"/>
        <v xml:space="preserve">  </v>
      </c>
      <c r="AS18" s="24">
        <f t="shared" si="20"/>
        <v>2</v>
      </c>
      <c r="AT18" s="23" t="str">
        <f t="shared" ca="1" si="37"/>
        <v xml:space="preserve">  </v>
      </c>
      <c r="AU18" s="23" t="str">
        <f t="shared" ca="1" si="40"/>
        <v xml:space="preserve">  </v>
      </c>
      <c r="AV18" s="23" t="str">
        <f t="shared" si="21"/>
        <v xml:space="preserve">  </v>
      </c>
      <c r="AW18" s="23" t="str">
        <f t="shared" ca="1" si="22"/>
        <v xml:space="preserve">  </v>
      </c>
      <c r="AY18" s="35" t="str">
        <f t="shared" si="23"/>
        <v xml:space="preserve"> </v>
      </c>
      <c r="AZ18" s="23" t="str">
        <f t="shared" ca="1" si="41"/>
        <v xml:space="preserve">  </v>
      </c>
      <c r="BA18" s="36" t="str">
        <f t="shared" si="25"/>
        <v xml:space="preserve"> </v>
      </c>
      <c r="BB18" s="27" t="str">
        <f t="shared" ca="1" si="38"/>
        <v xml:space="preserve">  </v>
      </c>
      <c r="BC18" s="23" t="str">
        <f t="shared" ca="1" si="39"/>
        <v xml:space="preserve">  </v>
      </c>
      <c r="BE18" s="50" t="s">
        <v>50</v>
      </c>
      <c r="BF18" s="48" t="s">
        <v>54</v>
      </c>
      <c r="BG18" s="49" t="str">
        <f>IF(WL_No="  ","  ",h*$AZ$29)</f>
        <v xml:space="preserve">  </v>
      </c>
    </row>
    <row r="19" spans="1:59" x14ac:dyDescent="0.25">
      <c r="A19" s="20">
        <f>Tools!$AD18</f>
        <v>13</v>
      </c>
      <c r="B19" s="33" t="str">
        <f t="shared" si="0"/>
        <v xml:space="preserve">  </v>
      </c>
      <c r="C19" s="22">
        <f>IF(A19="  ","  ",IF(AND(A18="  ",A20="  "),"?",IF(A18="  ",2*(A20-A19),IF(A20="  ",2*(A19-A18),2*(A20-A18)))))</f>
        <v>4</v>
      </c>
      <c r="D19" s="23" t="str">
        <f t="shared" si="26"/>
        <v xml:space="preserve">  </v>
      </c>
      <c r="E19" s="24">
        <f t="shared" si="1"/>
        <v>3</v>
      </c>
      <c r="F19" s="23" t="str">
        <f t="shared" si="27"/>
        <v xml:space="preserve">  </v>
      </c>
      <c r="G19" s="23" t="str">
        <f t="shared" si="28"/>
        <v xml:space="preserve">  </v>
      </c>
      <c r="H19" s="23" t="str">
        <f t="shared" si="29"/>
        <v xml:space="preserve">  </v>
      </c>
      <c r="I19" s="23" t="str">
        <f t="shared" si="30"/>
        <v xml:space="preserve">  </v>
      </c>
      <c r="J19" s="4"/>
      <c r="K19" s="37" t="str">
        <f t="shared" si="2"/>
        <v xml:space="preserve"> </v>
      </c>
      <c r="L19" s="23" t="str">
        <f t="shared" si="31"/>
        <v xml:space="preserve">  </v>
      </c>
      <c r="M19" s="38" t="str">
        <f t="shared" si="3"/>
        <v xml:space="preserve"> </v>
      </c>
      <c r="N19" s="27" t="str">
        <f t="shared" si="32"/>
        <v xml:space="preserve">  </v>
      </c>
      <c r="O19" s="23" t="str">
        <f t="shared" si="33"/>
        <v xml:space="preserve">  </v>
      </c>
      <c r="P19" s="4"/>
      <c r="Q19" s="50" t="s">
        <v>55</v>
      </c>
      <c r="R19" s="48" t="s">
        <v>56</v>
      </c>
      <c r="S19" t="str">
        <f>IF(Tools!$L$49="Use 141 rule only",I43,IF(Tools!$L$49="Use 141 and 1331 rules",BG20," "))</f>
        <v xml:space="preserve">  </v>
      </c>
      <c r="W19" s="29">
        <f>IF(AO19="  ","  ",IF(AND(AO18="  ",AO20="  "),"?",IF(AO18="  ",2*(AO20-AO19),IF(AO20="  ",2*(AO19-AO18),2*(AO20-AO18)))))</f>
        <v>4</v>
      </c>
      <c r="X19" s="30" t="str">
        <f t="shared" si="4"/>
        <v>WW</v>
      </c>
      <c r="Y19" s="30" t="str">
        <f t="shared" si="5"/>
        <v>-</v>
      </c>
      <c r="Z19" s="29" t="b">
        <f t="shared" si="6"/>
        <v>0</v>
      </c>
      <c r="AA19" s="29" t="b">
        <f t="shared" si="7"/>
        <v>0</v>
      </c>
      <c r="AB19" s="29" t="str">
        <f t="shared" ca="1" si="8"/>
        <v>++</v>
      </c>
      <c r="AC19" s="29">
        <f t="shared" si="34"/>
        <v>10</v>
      </c>
      <c r="AD19" s="29">
        <f t="shared" ca="1" si="9"/>
        <v>10</v>
      </c>
      <c r="AE19" s="29">
        <v>16</v>
      </c>
      <c r="AF19" s="31">
        <f t="shared" si="42"/>
        <v>12</v>
      </c>
      <c r="AG19" s="29" t="b">
        <f t="shared" si="11"/>
        <v>1</v>
      </c>
      <c r="AH19" s="30" t="str">
        <f t="shared" ca="1" si="43"/>
        <v>141-4</v>
      </c>
      <c r="AI19" s="30" t="str">
        <f t="shared" ca="1" si="13"/>
        <v/>
      </c>
      <c r="AJ19" s="29">
        <f t="shared" ca="1" si="14"/>
        <v>0</v>
      </c>
      <c r="AK19" s="29" t="str">
        <f t="shared" ca="1" si="15"/>
        <v>4/3</v>
      </c>
      <c r="AL19" s="29">
        <f t="shared" ca="1" si="16"/>
        <v>1.3333333333333333</v>
      </c>
      <c r="AM19" s="32">
        <f t="shared" ca="1" si="35"/>
        <v>1.3333333333333333</v>
      </c>
      <c r="AO19" s="20">
        <f>Tools!$AD18</f>
        <v>13</v>
      </c>
      <c r="AP19" s="33" t="str">
        <f t="shared" si="36"/>
        <v xml:space="preserve">  </v>
      </c>
      <c r="AQ19" s="34" t="str">
        <f t="shared" ca="1" si="18"/>
        <v>4/3</v>
      </c>
      <c r="AR19" s="23" t="str">
        <f t="shared" ca="1" si="19"/>
        <v xml:space="preserve">  </v>
      </c>
      <c r="AS19" s="24">
        <f t="shared" si="20"/>
        <v>3</v>
      </c>
      <c r="AT19" s="23" t="str">
        <f t="shared" ca="1" si="37"/>
        <v xml:space="preserve">  </v>
      </c>
      <c r="AU19" s="23" t="str">
        <f t="shared" ca="1" si="40"/>
        <v xml:space="preserve">  </v>
      </c>
      <c r="AV19" s="23" t="str">
        <f t="shared" si="21"/>
        <v xml:space="preserve">  </v>
      </c>
      <c r="AW19" s="23" t="str">
        <f t="shared" ca="1" si="22"/>
        <v xml:space="preserve">  </v>
      </c>
      <c r="AY19" s="35" t="str">
        <f t="shared" si="23"/>
        <v xml:space="preserve"> </v>
      </c>
      <c r="AZ19" s="23" t="str">
        <f t="shared" ca="1" si="41"/>
        <v xml:space="preserve">  </v>
      </c>
      <c r="BA19" s="36" t="str">
        <f t="shared" si="25"/>
        <v xml:space="preserve"> </v>
      </c>
      <c r="BB19" s="27" t="str">
        <f t="shared" ca="1" si="38"/>
        <v xml:space="preserve">  </v>
      </c>
      <c r="BC19" s="23" t="str">
        <f t="shared" ca="1" si="39"/>
        <v xml:space="preserve">  </v>
      </c>
      <c r="BE19" s="50" t="s">
        <v>52</v>
      </c>
      <c r="BF19" s="48" t="s">
        <v>53</v>
      </c>
      <c r="BG19" s="49" t="str">
        <f>IF(WL_No="  ","  ",V_Disp*1.025*1.006)</f>
        <v xml:space="preserve">  </v>
      </c>
    </row>
    <row r="20" spans="1:59" x14ac:dyDescent="0.25">
      <c r="A20" s="20">
        <f>Tools!$AD19</f>
        <v>14</v>
      </c>
      <c r="B20" s="33" t="str">
        <f t="shared" si="0"/>
        <v xml:space="preserve">  </v>
      </c>
      <c r="C20" s="22">
        <f>IF(A20="  ","  ",IF(AND(A19="  ",A21="  "),"?",IF(A19="  ",1*(A21-A20),IF(A21="  ",1*(A20-A19),1*(A21-A19)))))</f>
        <v>2</v>
      </c>
      <c r="D20" s="23" t="str">
        <f t="shared" si="26"/>
        <v xml:space="preserve">  </v>
      </c>
      <c r="E20" s="24">
        <f t="shared" si="1"/>
        <v>4</v>
      </c>
      <c r="F20" s="23" t="str">
        <f t="shared" si="27"/>
        <v xml:space="preserve">  </v>
      </c>
      <c r="G20" s="23" t="str">
        <f t="shared" si="28"/>
        <v xml:space="preserve">  </v>
      </c>
      <c r="H20" s="23" t="str">
        <f t="shared" si="29"/>
        <v xml:space="preserve">  </v>
      </c>
      <c r="I20" s="23" t="str">
        <f t="shared" si="30"/>
        <v xml:space="preserve">  </v>
      </c>
      <c r="J20" s="4"/>
      <c r="K20" s="37" t="str">
        <f t="shared" si="2"/>
        <v xml:space="preserve"> </v>
      </c>
      <c r="L20" s="23" t="str">
        <f t="shared" si="31"/>
        <v xml:space="preserve">  </v>
      </c>
      <c r="M20" s="38" t="str">
        <f t="shared" si="3"/>
        <v xml:space="preserve"> </v>
      </c>
      <c r="N20" s="27" t="str">
        <f t="shared" si="32"/>
        <v xml:space="preserve">  </v>
      </c>
      <c r="O20" s="23" t="str">
        <f t="shared" si="33"/>
        <v xml:space="preserve">  </v>
      </c>
      <c r="P20" s="4"/>
      <c r="Q20" s="50" t="s">
        <v>57</v>
      </c>
      <c r="R20" s="48" t="s">
        <v>58</v>
      </c>
      <c r="S20" t="str">
        <f>IF(Tools!$L$49="Use 141 rule only",I44,IF(Tools!$L$49="Use 141 and 1331 rules",BG21," "))</f>
        <v xml:space="preserve">  </v>
      </c>
      <c r="W20" s="29">
        <f>IF(AO20="  ","  ",IF(AND(AO19="  ",AO21="  "),"?",IF(AO19="  ",1*(AO21-AO20),IF(AO21="  ",1*(AO20-AO19),1*(AO21-AO19)))))</f>
        <v>2</v>
      </c>
      <c r="X20" s="30" t="str">
        <f t="shared" si="4"/>
        <v>WW</v>
      </c>
      <c r="Y20" s="30" t="str">
        <f t="shared" si="5"/>
        <v>-</v>
      </c>
      <c r="Z20" s="29" t="b">
        <f t="shared" si="6"/>
        <v>0</v>
      </c>
      <c r="AA20" s="29" t="b">
        <f t="shared" si="7"/>
        <v>0</v>
      </c>
      <c r="AB20" s="29" t="str">
        <f t="shared" ca="1" si="8"/>
        <v>++</v>
      </c>
      <c r="AC20" s="29">
        <f t="shared" si="34"/>
        <v>9</v>
      </c>
      <c r="AD20" s="29">
        <f t="shared" ca="1" si="9"/>
        <v>9</v>
      </c>
      <c r="AE20" s="29">
        <v>17</v>
      </c>
      <c r="AF20" s="31">
        <f t="shared" si="42"/>
        <v>13</v>
      </c>
      <c r="AG20" s="29" t="b">
        <f t="shared" si="11"/>
        <v>1</v>
      </c>
      <c r="AH20" s="30" t="str">
        <f t="shared" ca="1" si="43"/>
        <v>141-2</v>
      </c>
      <c r="AI20" s="30" t="str">
        <f t="shared" ca="1" si="13"/>
        <v/>
      </c>
      <c r="AJ20" s="29">
        <f t="shared" ca="1" si="14"/>
        <v>0</v>
      </c>
      <c r="AK20" s="29" t="str">
        <f t="shared" ca="1" si="15"/>
        <v>2/3</v>
      </c>
      <c r="AL20" s="29">
        <f t="shared" ca="1" si="16"/>
        <v>0.66666666666666663</v>
      </c>
      <c r="AM20" s="32">
        <f t="shared" ca="1" si="35"/>
        <v>0.66666666666666663</v>
      </c>
      <c r="AO20" s="20">
        <f>Tools!$AD19</f>
        <v>14</v>
      </c>
      <c r="AP20" s="33" t="str">
        <f t="shared" si="36"/>
        <v xml:space="preserve">  </v>
      </c>
      <c r="AQ20" s="34" t="str">
        <f t="shared" ca="1" si="18"/>
        <v>2/3</v>
      </c>
      <c r="AR20" s="23" t="str">
        <f t="shared" ca="1" si="19"/>
        <v xml:space="preserve">  </v>
      </c>
      <c r="AS20" s="24">
        <f t="shared" si="20"/>
        <v>4</v>
      </c>
      <c r="AT20" s="23" t="str">
        <f t="shared" ca="1" si="37"/>
        <v xml:space="preserve">  </v>
      </c>
      <c r="AU20" s="23" t="str">
        <f t="shared" ca="1" si="40"/>
        <v xml:space="preserve">  </v>
      </c>
      <c r="AV20" s="23" t="str">
        <f t="shared" si="21"/>
        <v xml:space="preserve">  </v>
      </c>
      <c r="AW20" s="23" t="str">
        <f t="shared" ca="1" si="22"/>
        <v xml:space="preserve">  </v>
      </c>
      <c r="AY20" s="35" t="str">
        <f t="shared" si="23"/>
        <v xml:space="preserve"> </v>
      </c>
      <c r="AZ20" s="23" t="str">
        <f t="shared" ca="1" si="41"/>
        <v xml:space="preserve">  </v>
      </c>
      <c r="BA20" s="36" t="str">
        <f t="shared" si="25"/>
        <v xml:space="preserve"> </v>
      </c>
      <c r="BB20" s="27" t="str">
        <f t="shared" ca="1" si="38"/>
        <v xml:space="preserve">  </v>
      </c>
      <c r="BC20" s="23" t="str">
        <f t="shared" ca="1" si="39"/>
        <v xml:space="preserve">  </v>
      </c>
      <c r="BE20" s="50" t="s">
        <v>55</v>
      </c>
      <c r="BF20" s="48" t="s">
        <v>59</v>
      </c>
      <c r="BG20" s="49" t="str">
        <f>IF(WL_No="  ","  ",h*$BB$29)</f>
        <v xml:space="preserve">  </v>
      </c>
    </row>
    <row r="21" spans="1:59" x14ac:dyDescent="0.25">
      <c r="A21" s="20">
        <f>Tools!$AD20</f>
        <v>15</v>
      </c>
      <c r="B21" s="33" t="str">
        <f t="shared" si="0"/>
        <v xml:space="preserve">  </v>
      </c>
      <c r="C21" s="22">
        <f>IF(A21="  ","  ",IF(AND(A20="  ",A22="  "),"?",IF(A20="  ",2*(A22-A21),IF(A22="  ",2*(A21-A20),2*(A22-A20)))))</f>
        <v>4</v>
      </c>
      <c r="D21" s="23" t="str">
        <f t="shared" si="26"/>
        <v xml:space="preserve">  </v>
      </c>
      <c r="E21" s="24">
        <f t="shared" si="1"/>
        <v>5</v>
      </c>
      <c r="F21" s="23" t="str">
        <f t="shared" si="27"/>
        <v xml:space="preserve">  </v>
      </c>
      <c r="G21" s="23" t="str">
        <f t="shared" si="28"/>
        <v xml:space="preserve">  </v>
      </c>
      <c r="H21" s="23" t="str">
        <f t="shared" si="29"/>
        <v xml:space="preserve">  </v>
      </c>
      <c r="I21" s="23" t="str">
        <f t="shared" si="30"/>
        <v xml:space="preserve">  </v>
      </c>
      <c r="J21" s="4"/>
      <c r="K21" s="37" t="str">
        <f t="shared" si="2"/>
        <v xml:space="preserve"> </v>
      </c>
      <c r="L21" s="23" t="str">
        <f t="shared" si="31"/>
        <v xml:space="preserve">  </v>
      </c>
      <c r="M21" s="38" t="str">
        <f t="shared" si="3"/>
        <v xml:space="preserve"> </v>
      </c>
      <c r="N21" s="27" t="str">
        <f t="shared" si="32"/>
        <v xml:space="preserve">  </v>
      </c>
      <c r="O21" s="23" t="str">
        <f t="shared" si="33"/>
        <v xml:space="preserve">  </v>
      </c>
      <c r="P21" s="4"/>
      <c r="Q21" s="50" t="s">
        <v>60</v>
      </c>
      <c r="R21" s="48" t="s">
        <v>61</v>
      </c>
      <c r="S21" t="str">
        <f>IF(Tools!$L$49="Use 141 rule only",I45,IF(Tools!$L$49="Use 141 and 1331 rules",BG22," "))</f>
        <v xml:space="preserve">  </v>
      </c>
      <c r="W21" s="29">
        <f>IF(AO21="  ","  ",IF(AND(AO20="  ",AO22="  "),"?",IF(AO20="  ",2*(AO22-AO21),IF(AO22="  ",2*(AO21-AO20),2*(AO22-AO20)))))</f>
        <v>4</v>
      </c>
      <c r="X21" s="30" t="str">
        <f t="shared" si="4"/>
        <v>WW</v>
      </c>
      <c r="Y21" s="30" t="str">
        <f t="shared" si="5"/>
        <v>-</v>
      </c>
      <c r="Z21" s="29" t="b">
        <f t="shared" si="6"/>
        <v>0</v>
      </c>
      <c r="AA21" s="29" t="b">
        <f t="shared" si="7"/>
        <v>0</v>
      </c>
      <c r="AB21" s="29" t="str">
        <f t="shared" ca="1" si="8"/>
        <v>++</v>
      </c>
      <c r="AC21" s="29">
        <f t="shared" si="34"/>
        <v>8</v>
      </c>
      <c r="AD21" s="29">
        <f t="shared" ca="1" si="9"/>
        <v>8</v>
      </c>
      <c r="AE21" s="29">
        <v>18</v>
      </c>
      <c r="AF21" s="31">
        <f t="shared" si="42"/>
        <v>14</v>
      </c>
      <c r="AG21" s="29" t="b">
        <f t="shared" si="11"/>
        <v>1</v>
      </c>
      <c r="AH21" s="30" t="str">
        <f t="shared" ca="1" si="43"/>
        <v>141-4</v>
      </c>
      <c r="AI21" s="30" t="str">
        <f t="shared" ca="1" si="13"/>
        <v/>
      </c>
      <c r="AJ21" s="29">
        <f t="shared" ca="1" si="14"/>
        <v>0</v>
      </c>
      <c r="AK21" s="29" t="str">
        <f t="shared" ca="1" si="15"/>
        <v>4/3</v>
      </c>
      <c r="AL21" s="29">
        <f t="shared" ca="1" si="16"/>
        <v>1.3333333333333333</v>
      </c>
      <c r="AM21" s="32">
        <f t="shared" ca="1" si="35"/>
        <v>1.3333333333333333</v>
      </c>
      <c r="AO21" s="20">
        <f>Tools!$AD20</f>
        <v>15</v>
      </c>
      <c r="AP21" s="33" t="str">
        <f t="shared" si="36"/>
        <v xml:space="preserve">  </v>
      </c>
      <c r="AQ21" s="34" t="str">
        <f t="shared" ca="1" si="18"/>
        <v>4/3</v>
      </c>
      <c r="AR21" s="23" t="str">
        <f t="shared" ca="1" si="19"/>
        <v xml:space="preserve">  </v>
      </c>
      <c r="AS21" s="24">
        <f t="shared" si="20"/>
        <v>5</v>
      </c>
      <c r="AT21" s="23" t="str">
        <f t="shared" ca="1" si="37"/>
        <v xml:space="preserve">  </v>
      </c>
      <c r="AU21" s="23" t="str">
        <f t="shared" ca="1" si="40"/>
        <v xml:space="preserve">  </v>
      </c>
      <c r="AV21" s="23" t="str">
        <f t="shared" si="21"/>
        <v xml:space="preserve">  </v>
      </c>
      <c r="AW21" s="23" t="str">
        <f t="shared" ca="1" si="22"/>
        <v xml:space="preserve">  </v>
      </c>
      <c r="AY21" s="35" t="str">
        <f t="shared" si="23"/>
        <v xml:space="preserve"> </v>
      </c>
      <c r="AZ21" s="23" t="str">
        <f t="shared" ca="1" si="41"/>
        <v xml:space="preserve">  </v>
      </c>
      <c r="BA21" s="36" t="str">
        <f t="shared" si="25"/>
        <v xml:space="preserve"> </v>
      </c>
      <c r="BB21" s="27" t="str">
        <f t="shared" ca="1" si="38"/>
        <v xml:space="preserve">  </v>
      </c>
      <c r="BC21" s="23" t="str">
        <f t="shared" ca="1" si="39"/>
        <v xml:space="preserve">  </v>
      </c>
      <c r="BE21" s="50" t="s">
        <v>57</v>
      </c>
      <c r="BF21" s="48" t="s">
        <v>62</v>
      </c>
      <c r="BG21" s="49" t="str">
        <f>IF(WL_No="  ","  ",(h^2)*$BC$29)</f>
        <v xml:space="preserve">  </v>
      </c>
    </row>
    <row r="22" spans="1:59" x14ac:dyDescent="0.25">
      <c r="A22" s="20">
        <f>Tools!$AD21</f>
        <v>16</v>
      </c>
      <c r="B22" s="33" t="str">
        <f t="shared" si="0"/>
        <v xml:space="preserve">  </v>
      </c>
      <c r="C22" s="22">
        <f>IF(A22="  ","  ",IF(AND(A21="  ",A23="  "),"?",IF(A21="  ",1*(A23-A22),IF(A23="  ",1*(A22-A21),1*(A23-A21)))))</f>
        <v>2</v>
      </c>
      <c r="D22" s="23" t="str">
        <f t="shared" si="26"/>
        <v xml:space="preserve">  </v>
      </c>
      <c r="E22" s="24">
        <f t="shared" si="1"/>
        <v>6</v>
      </c>
      <c r="F22" s="23" t="str">
        <f t="shared" si="27"/>
        <v xml:space="preserve">  </v>
      </c>
      <c r="G22" s="23" t="str">
        <f t="shared" si="28"/>
        <v xml:space="preserve">  </v>
      </c>
      <c r="H22" s="23" t="str">
        <f t="shared" si="29"/>
        <v xml:space="preserve">  </v>
      </c>
      <c r="I22" s="23" t="str">
        <f t="shared" si="30"/>
        <v xml:space="preserve">  </v>
      </c>
      <c r="J22" s="4"/>
      <c r="K22" s="37" t="str">
        <f t="shared" si="2"/>
        <v xml:space="preserve"> </v>
      </c>
      <c r="L22" s="23" t="str">
        <f t="shared" si="31"/>
        <v xml:space="preserve">  </v>
      </c>
      <c r="M22" s="38" t="str">
        <f t="shared" si="3"/>
        <v xml:space="preserve"> </v>
      </c>
      <c r="N22" s="27" t="str">
        <f t="shared" si="32"/>
        <v xml:space="preserve">  </v>
      </c>
      <c r="O22" s="23" t="str">
        <f t="shared" si="33"/>
        <v xml:space="preserve">  </v>
      </c>
      <c r="P22" s="4"/>
      <c r="Q22" s="50" t="s">
        <v>63</v>
      </c>
      <c r="R22" s="48" t="s">
        <v>64</v>
      </c>
      <c r="S22" t="str">
        <f>IF(Tools!$L$49="Use 141 rule only",I46,IF(Tools!$L$49="Use 141 and 1331 rules",BG23," "))</f>
        <v xml:space="preserve">  </v>
      </c>
      <c r="W22" s="29">
        <f>IF(AO22="  ","  ",IF(AND(AO21="  ",AO23="  "),"?",IF(AO21="  ",1*(AO23-AO22),IF(AO23="  ",1*(AO22-AO21),1*(AO23-AO21)))))</f>
        <v>2</v>
      </c>
      <c r="X22" s="30" t="str">
        <f t="shared" si="4"/>
        <v>WW</v>
      </c>
      <c r="Y22" s="30" t="str">
        <f t="shared" si="5"/>
        <v>-</v>
      </c>
      <c r="Z22" s="29" t="b">
        <f t="shared" si="6"/>
        <v>0</v>
      </c>
      <c r="AA22" s="29" t="b">
        <f t="shared" si="7"/>
        <v>0</v>
      </c>
      <c r="AB22" s="29" t="str">
        <f t="shared" ca="1" si="8"/>
        <v>++</v>
      </c>
      <c r="AC22" s="29">
        <f t="shared" si="34"/>
        <v>7</v>
      </c>
      <c r="AD22" s="29">
        <f t="shared" ca="1" si="9"/>
        <v>7</v>
      </c>
      <c r="AE22" s="29">
        <v>19</v>
      </c>
      <c r="AF22" s="31">
        <f t="shared" si="42"/>
        <v>15</v>
      </c>
      <c r="AG22" s="29" t="b">
        <f t="shared" si="11"/>
        <v>1</v>
      </c>
      <c r="AH22" s="30" t="str">
        <f t="shared" ca="1" si="43"/>
        <v>141-2</v>
      </c>
      <c r="AI22" s="30" t="str">
        <f t="shared" ca="1" si="13"/>
        <v/>
      </c>
      <c r="AJ22" s="29">
        <f t="shared" ca="1" si="14"/>
        <v>0</v>
      </c>
      <c r="AK22" s="29" t="str">
        <f t="shared" ca="1" si="15"/>
        <v>2/3</v>
      </c>
      <c r="AL22" s="29">
        <f t="shared" ca="1" si="16"/>
        <v>0.66666666666666663</v>
      </c>
      <c r="AM22" s="32">
        <f t="shared" ca="1" si="35"/>
        <v>0.66666666666666663</v>
      </c>
      <c r="AO22" s="20">
        <f>Tools!$AD21</f>
        <v>16</v>
      </c>
      <c r="AP22" s="33" t="str">
        <f t="shared" si="36"/>
        <v xml:space="preserve">  </v>
      </c>
      <c r="AQ22" s="34" t="str">
        <f t="shared" ca="1" si="18"/>
        <v>2/3</v>
      </c>
      <c r="AR22" s="23" t="str">
        <f t="shared" ca="1" si="19"/>
        <v xml:space="preserve">  </v>
      </c>
      <c r="AS22" s="24">
        <f t="shared" si="20"/>
        <v>6</v>
      </c>
      <c r="AT22" s="23" t="str">
        <f t="shared" ca="1" si="37"/>
        <v xml:space="preserve">  </v>
      </c>
      <c r="AU22" s="23" t="str">
        <f t="shared" ca="1" si="40"/>
        <v xml:space="preserve">  </v>
      </c>
      <c r="AV22" s="23" t="str">
        <f t="shared" si="21"/>
        <v xml:space="preserve">  </v>
      </c>
      <c r="AW22" s="23" t="str">
        <f t="shared" ca="1" si="22"/>
        <v xml:space="preserve">  </v>
      </c>
      <c r="AY22" s="35" t="str">
        <f t="shared" si="23"/>
        <v xml:space="preserve"> </v>
      </c>
      <c r="AZ22" s="23" t="str">
        <f t="shared" ca="1" si="41"/>
        <v xml:space="preserve">  </v>
      </c>
      <c r="BA22" s="36" t="str">
        <f t="shared" si="25"/>
        <v xml:space="preserve"> </v>
      </c>
      <c r="BB22" s="27" t="str">
        <f t="shared" ca="1" si="38"/>
        <v xml:space="preserve">  </v>
      </c>
      <c r="BC22" s="23" t="str">
        <f t="shared" ca="1" si="39"/>
        <v xml:space="preserve">  </v>
      </c>
      <c r="BE22" s="50" t="s">
        <v>60</v>
      </c>
      <c r="BF22" s="48" t="s">
        <v>61</v>
      </c>
      <c r="BG22" s="49" t="str">
        <f>IF(WL_No="  ","  ",IF/V_Disp)</f>
        <v xml:space="preserve">  </v>
      </c>
    </row>
    <row r="23" spans="1:59" x14ac:dyDescent="0.25">
      <c r="A23" s="20">
        <f>Tools!$AD22</f>
        <v>17</v>
      </c>
      <c r="B23" s="33" t="str">
        <f t="shared" si="0"/>
        <v xml:space="preserve">  </v>
      </c>
      <c r="C23" s="22">
        <f>IF(A23="  ","  ",IF(AND(A22="  ",A24="  "),"?",IF(A22="  ",2*(A24-A23),IF(A24="  ",2*(A23-A22),2*(A24-A22)))))</f>
        <v>4</v>
      </c>
      <c r="D23" s="23" t="str">
        <f t="shared" si="26"/>
        <v xml:space="preserve">  </v>
      </c>
      <c r="E23" s="24">
        <f t="shared" si="1"/>
        <v>7</v>
      </c>
      <c r="F23" s="23" t="str">
        <f t="shared" si="27"/>
        <v xml:space="preserve">  </v>
      </c>
      <c r="G23" s="23" t="str">
        <f t="shared" si="28"/>
        <v xml:space="preserve">  </v>
      </c>
      <c r="H23" s="23" t="str">
        <f t="shared" si="29"/>
        <v xml:space="preserve">  </v>
      </c>
      <c r="I23" s="23" t="str">
        <f t="shared" si="30"/>
        <v xml:space="preserve">  </v>
      </c>
      <c r="J23" s="4"/>
      <c r="K23" s="37" t="str">
        <f t="shared" si="2"/>
        <v xml:space="preserve"> </v>
      </c>
      <c r="L23" s="23" t="str">
        <f t="shared" si="31"/>
        <v xml:space="preserve">  </v>
      </c>
      <c r="M23" s="38" t="str">
        <f t="shared" si="3"/>
        <v xml:space="preserve"> </v>
      </c>
      <c r="N23" s="27" t="str">
        <f t="shared" si="32"/>
        <v xml:space="preserve">  </v>
      </c>
      <c r="O23" s="23" t="str">
        <f t="shared" si="33"/>
        <v xml:space="preserve">  </v>
      </c>
      <c r="P23" s="4"/>
      <c r="Q23" s="50" t="s">
        <v>65</v>
      </c>
      <c r="R23" s="48" t="s">
        <v>66</v>
      </c>
      <c r="S23" t="str">
        <f>IF(Tools!$L$49="Use 141 rule only",I47,IF(Tools!$L$49="Use 141 and 1331 rules",BG24," "))</f>
        <v xml:space="preserve">  </v>
      </c>
      <c r="W23" s="29">
        <f>IF(AO23="  ","  ",IF(AND(AO22="  ",AO24="  "),"?",IF(AO22="  ",2*(AO24-AO23),IF(AO24="  ",2*(AO23-AO22),2*(AO24-AO22)))))</f>
        <v>4</v>
      </c>
      <c r="X23" s="30" t="str">
        <f t="shared" si="4"/>
        <v>WW</v>
      </c>
      <c r="Y23" s="30" t="str">
        <f t="shared" si="5"/>
        <v>-</v>
      </c>
      <c r="Z23" s="29" t="b">
        <f t="shared" si="6"/>
        <v>0</v>
      </c>
      <c r="AA23" s="29" t="b">
        <f t="shared" si="7"/>
        <v>0</v>
      </c>
      <c r="AB23" s="29" t="str">
        <f t="shared" ca="1" si="8"/>
        <v>++</v>
      </c>
      <c r="AC23" s="29">
        <f t="shared" si="34"/>
        <v>6</v>
      </c>
      <c r="AD23" s="29">
        <f t="shared" ca="1" si="9"/>
        <v>6</v>
      </c>
      <c r="AE23" s="29">
        <v>20</v>
      </c>
      <c r="AF23" s="31">
        <f t="shared" si="42"/>
        <v>16</v>
      </c>
      <c r="AG23" s="29" t="b">
        <f t="shared" si="11"/>
        <v>1</v>
      </c>
      <c r="AH23" s="30" t="str">
        <f t="shared" ca="1" si="43"/>
        <v>141-4</v>
      </c>
      <c r="AI23" s="30" t="str">
        <f t="shared" ca="1" si="13"/>
        <v/>
      </c>
      <c r="AJ23" s="29">
        <f t="shared" ca="1" si="14"/>
        <v>0</v>
      </c>
      <c r="AK23" s="29" t="str">
        <f t="shared" ca="1" si="15"/>
        <v>4/3</v>
      </c>
      <c r="AL23" s="29">
        <f t="shared" ca="1" si="16"/>
        <v>1.3333333333333333</v>
      </c>
      <c r="AM23" s="32">
        <f t="shared" ca="1" si="35"/>
        <v>1.3333333333333333</v>
      </c>
      <c r="AO23" s="20">
        <f>Tools!$AD22</f>
        <v>17</v>
      </c>
      <c r="AP23" s="33" t="str">
        <f t="shared" si="36"/>
        <v xml:space="preserve">  </v>
      </c>
      <c r="AQ23" s="34" t="str">
        <f t="shared" ca="1" si="18"/>
        <v>4/3</v>
      </c>
      <c r="AR23" s="23" t="str">
        <f t="shared" ca="1" si="19"/>
        <v xml:space="preserve">  </v>
      </c>
      <c r="AS23" s="24">
        <f t="shared" si="20"/>
        <v>7</v>
      </c>
      <c r="AT23" s="23" t="str">
        <f t="shared" ca="1" si="37"/>
        <v xml:space="preserve">  </v>
      </c>
      <c r="AU23" s="23" t="str">
        <f t="shared" ca="1" si="40"/>
        <v xml:space="preserve">  </v>
      </c>
      <c r="AV23" s="23" t="str">
        <f t="shared" si="21"/>
        <v xml:space="preserve">  </v>
      </c>
      <c r="AW23" s="23" t="str">
        <f t="shared" ca="1" si="22"/>
        <v xml:space="preserve">  </v>
      </c>
      <c r="AY23" s="35" t="str">
        <f t="shared" si="23"/>
        <v xml:space="preserve"> </v>
      </c>
      <c r="AZ23" s="23" t="str">
        <f t="shared" ca="1" si="41"/>
        <v xml:space="preserve">  </v>
      </c>
      <c r="BA23" s="36" t="str">
        <f t="shared" si="25"/>
        <v xml:space="preserve"> </v>
      </c>
      <c r="BB23" s="27" t="str">
        <f t="shared" ca="1" si="38"/>
        <v xml:space="preserve">  </v>
      </c>
      <c r="BC23" s="23" t="str">
        <f t="shared" ca="1" si="39"/>
        <v xml:space="preserve">  </v>
      </c>
      <c r="BE23" s="50" t="s">
        <v>63</v>
      </c>
      <c r="BF23" s="48" t="s">
        <v>64</v>
      </c>
      <c r="BG23" s="49" t="str">
        <f>IF(WL_No="  ","  ",IT/V_Disp)</f>
        <v xml:space="preserve">  </v>
      </c>
    </row>
    <row r="24" spans="1:59" x14ac:dyDescent="0.25">
      <c r="A24" s="20">
        <f>Tools!$AD23</f>
        <v>18</v>
      </c>
      <c r="B24" s="33" t="str">
        <f t="shared" si="0"/>
        <v xml:space="preserve">  </v>
      </c>
      <c r="C24" s="22">
        <f>IF(A24="  ","  ",IF(AND(A23="  ",A25="  "),"?",IF(A23="  ",1*(A25-A24),IF(A25="  ",1*(A24-A23),1*(A25-A23)))))</f>
        <v>1.5</v>
      </c>
      <c r="D24" s="23" t="str">
        <f t="shared" si="26"/>
        <v xml:space="preserve">  </v>
      </c>
      <c r="E24" s="24">
        <f t="shared" si="1"/>
        <v>8</v>
      </c>
      <c r="F24" s="23" t="str">
        <f t="shared" si="27"/>
        <v xml:space="preserve">  </v>
      </c>
      <c r="G24" s="23" t="str">
        <f t="shared" si="28"/>
        <v xml:space="preserve">  </v>
      </c>
      <c r="H24" s="23" t="str">
        <f t="shared" si="29"/>
        <v xml:space="preserve">  </v>
      </c>
      <c r="I24" s="23" t="str">
        <f t="shared" si="30"/>
        <v xml:space="preserve">  </v>
      </c>
      <c r="J24" s="4"/>
      <c r="K24" s="37" t="str">
        <f t="shared" si="2"/>
        <v xml:space="preserve"> </v>
      </c>
      <c r="L24" s="23" t="str">
        <f t="shared" si="31"/>
        <v xml:space="preserve">  </v>
      </c>
      <c r="M24" s="38" t="str">
        <f t="shared" si="3"/>
        <v xml:space="preserve"> </v>
      </c>
      <c r="N24" s="27" t="str">
        <f t="shared" si="32"/>
        <v xml:space="preserve">  </v>
      </c>
      <c r="O24" s="23" t="str">
        <f t="shared" si="33"/>
        <v xml:space="preserve">  </v>
      </c>
      <c r="P24" s="4"/>
      <c r="Q24" s="50" t="s">
        <v>67</v>
      </c>
      <c r="R24" s="48" t="s">
        <v>68</v>
      </c>
      <c r="S24" t="str">
        <f>IF(Tools!$L$49="Use 141 rule only",I48,IF(Tools!$L$49="Use 141 and 1331 rules",BG25," "))</f>
        <v xml:space="preserve">  </v>
      </c>
      <c r="W24" s="29">
        <f>IF(AO24="  ","  ",IF(AND(AO23="  ",AO25="  "),"?",IF(AO23="  ",1*(AO25-AO24),IF(AO25="  ",1*(AO24-AO23),1*(AO25-AO23)))))</f>
        <v>1.5</v>
      </c>
      <c r="X24" s="30" t="str">
        <f t="shared" si="4"/>
        <v>WD</v>
      </c>
      <c r="Y24" s="30" t="str">
        <f t="shared" si="5"/>
        <v>-</v>
      </c>
      <c r="Z24" s="29" t="b">
        <f t="shared" si="6"/>
        <v>1</v>
      </c>
      <c r="AA24" s="29" t="b">
        <f t="shared" si="7"/>
        <v>1</v>
      </c>
      <c r="AB24" s="29" t="str">
        <f t="shared" ca="1" si="8"/>
        <v>141-1</v>
      </c>
      <c r="AC24" s="29">
        <f t="shared" si="34"/>
        <v>5</v>
      </c>
      <c r="AD24" s="29">
        <f t="shared" ca="1" si="9"/>
        <v>5</v>
      </c>
      <c r="AE24" s="29">
        <v>21</v>
      </c>
      <c r="AF24" s="31">
        <f t="shared" si="42"/>
        <v>17</v>
      </c>
      <c r="AG24" s="29" t="b">
        <f t="shared" si="11"/>
        <v>1</v>
      </c>
      <c r="AH24" s="30" t="str">
        <f t="shared" ca="1" si="43"/>
        <v>141-1</v>
      </c>
      <c r="AI24" s="30" t="str">
        <f t="shared" ca="1" si="13"/>
        <v>(1/2)*(1/3)</v>
      </c>
      <c r="AJ24" s="29">
        <f t="shared" ca="1" si="14"/>
        <v>0.16666666666666666</v>
      </c>
      <c r="AK24" s="29" t="str">
        <f t="shared" ca="1" si="15"/>
        <v>1/3</v>
      </c>
      <c r="AL24" s="29">
        <f t="shared" ca="1" si="16"/>
        <v>0.33333333333333331</v>
      </c>
      <c r="AM24" s="32">
        <f t="shared" ca="1" si="35"/>
        <v>0.5</v>
      </c>
      <c r="AO24" s="20">
        <f>Tools!$AD23</f>
        <v>18</v>
      </c>
      <c r="AP24" s="33" t="str">
        <f t="shared" si="36"/>
        <v xml:space="preserve">  </v>
      </c>
      <c r="AQ24" s="34" t="str">
        <f t="shared" ca="1" si="18"/>
        <v>(1/2)*(1/3)+1/3</v>
      </c>
      <c r="AR24" s="23" t="str">
        <f t="shared" ca="1" si="19"/>
        <v xml:space="preserve">  </v>
      </c>
      <c r="AS24" s="24">
        <f t="shared" si="20"/>
        <v>8</v>
      </c>
      <c r="AT24" s="23" t="str">
        <f t="shared" ca="1" si="37"/>
        <v xml:space="preserve">  </v>
      </c>
      <c r="AU24" s="23" t="str">
        <f t="shared" ca="1" si="40"/>
        <v xml:space="preserve">  </v>
      </c>
      <c r="AV24" s="23" t="str">
        <f t="shared" si="21"/>
        <v xml:space="preserve">  </v>
      </c>
      <c r="AW24" s="23" t="str">
        <f t="shared" ca="1" si="22"/>
        <v xml:space="preserve">  </v>
      </c>
      <c r="AY24" s="35" t="str">
        <f t="shared" si="23"/>
        <v xml:space="preserve"> </v>
      </c>
      <c r="AZ24" s="23" t="str">
        <f t="shared" ca="1" si="41"/>
        <v xml:space="preserve">  </v>
      </c>
      <c r="BA24" s="36" t="str">
        <f t="shared" si="25"/>
        <v xml:space="preserve"> </v>
      </c>
      <c r="BB24" s="27" t="str">
        <f t="shared" ca="1" si="38"/>
        <v xml:space="preserve">  </v>
      </c>
      <c r="BC24" s="23" t="str">
        <f t="shared" ca="1" si="39"/>
        <v xml:space="preserve">  </v>
      </c>
      <c r="BE24" s="50" t="s">
        <v>65</v>
      </c>
      <c r="BF24" s="48" t="s">
        <v>66</v>
      </c>
      <c r="BG24" s="49" t="str">
        <f>IF(WL_No="  ","  ",MT/V_Disp)</f>
        <v xml:space="preserve">  </v>
      </c>
    </row>
    <row r="25" spans="1:59" x14ac:dyDescent="0.25">
      <c r="A25" s="20">
        <f>Tools!$AD24</f>
        <v>18.5</v>
      </c>
      <c r="B25" s="33" t="str">
        <f t="shared" si="0"/>
        <v xml:space="preserve">  </v>
      </c>
      <c r="C25" s="22">
        <f>IF(A25="  ","  ",IF(AND(A24="  ",A26="  "),"?",IF(A24="  ",2*(A26-A25),IF(A26="  ",2*(A25-A24),2*(A26-A24)))))</f>
        <v>2</v>
      </c>
      <c r="D25" s="23" t="str">
        <f t="shared" si="26"/>
        <v xml:space="preserve">  </v>
      </c>
      <c r="E25" s="24">
        <f t="shared" si="1"/>
        <v>8.5</v>
      </c>
      <c r="F25" s="23" t="str">
        <f t="shared" si="27"/>
        <v xml:space="preserve">  </v>
      </c>
      <c r="G25" s="23" t="str">
        <f t="shared" si="28"/>
        <v xml:space="preserve">  </v>
      </c>
      <c r="H25" s="23" t="str">
        <f t="shared" si="29"/>
        <v xml:space="preserve">  </v>
      </c>
      <c r="I25" s="23" t="str">
        <f t="shared" si="30"/>
        <v xml:space="preserve">  </v>
      </c>
      <c r="J25" s="4"/>
      <c r="K25" s="37" t="str">
        <f t="shared" si="2"/>
        <v xml:space="preserve"> </v>
      </c>
      <c r="L25" s="23" t="str">
        <f t="shared" si="31"/>
        <v xml:space="preserve">  </v>
      </c>
      <c r="M25" s="38" t="str">
        <f t="shared" si="3"/>
        <v xml:space="preserve"> </v>
      </c>
      <c r="N25" s="27" t="str">
        <f t="shared" si="32"/>
        <v xml:space="preserve">  </v>
      </c>
      <c r="O25" s="23" t="str">
        <f t="shared" si="33"/>
        <v xml:space="preserve">  </v>
      </c>
      <c r="P25" s="4"/>
      <c r="Q25" s="50" t="s">
        <v>69</v>
      </c>
      <c r="R25" s="48" t="s">
        <v>70</v>
      </c>
      <c r="S25" t="str">
        <f>IF(Tools!$L$49="Use 141 rule only",I49,IF(Tools!$L$49="Use 141 and 1331 rules",BG26," "))</f>
        <v xml:space="preserve">  </v>
      </c>
      <c r="W25" s="29">
        <f>IF(AO25="  ","  ",IF(AND(AO24="  ",AO26="  "),"?",IF(AO24="  ",2*(AO26-AO25),IF(AO26="  ",2*(AO25-AO24),2*(AO26-AO24)))))</f>
        <v>2</v>
      </c>
      <c r="X25" s="30" t="str">
        <f t="shared" si="4"/>
        <v>DD</v>
      </c>
      <c r="Y25" s="30" t="str">
        <f t="shared" si="5"/>
        <v>-</v>
      </c>
      <c r="Z25" s="29" t="b">
        <f t="shared" si="6"/>
        <v>1</v>
      </c>
      <c r="AA25" s="29" t="b">
        <f t="shared" si="7"/>
        <v>1</v>
      </c>
      <c r="AB25" s="29" t="str">
        <f t="shared" ca="1" si="8"/>
        <v>141-4</v>
      </c>
      <c r="AC25" s="29">
        <f t="shared" si="34"/>
        <v>4</v>
      </c>
      <c r="AD25" s="29">
        <f t="shared" ca="1" si="9"/>
        <v>4</v>
      </c>
      <c r="AE25" s="29">
        <v>22</v>
      </c>
      <c r="AF25" s="31">
        <f t="shared" si="42"/>
        <v>18</v>
      </c>
      <c r="AG25" s="29" t="b">
        <f t="shared" si="11"/>
        <v>0</v>
      </c>
      <c r="AH25" s="30" t="str">
        <f t="shared" si="43"/>
        <v>-</v>
      </c>
      <c r="AI25" s="30" t="str">
        <f t="shared" ca="1" si="13"/>
        <v>(1/2)*(4/3)</v>
      </c>
      <c r="AJ25" s="29">
        <f t="shared" ca="1" si="14"/>
        <v>0.66666666666666663</v>
      </c>
      <c r="AK25" s="29" t="str">
        <f t="shared" si="15"/>
        <v/>
      </c>
      <c r="AL25" s="29">
        <f t="shared" si="16"/>
        <v>0</v>
      </c>
      <c r="AM25" s="32">
        <f t="shared" ca="1" si="35"/>
        <v>0.66666666666666663</v>
      </c>
      <c r="AO25" s="20">
        <f>Tools!$AD24</f>
        <v>18.5</v>
      </c>
      <c r="AP25" s="33" t="str">
        <f t="shared" si="36"/>
        <v xml:space="preserve">  </v>
      </c>
      <c r="AQ25" s="34" t="str">
        <f t="shared" ca="1" si="18"/>
        <v>(1/2)*(4/3)</v>
      </c>
      <c r="AR25" s="23" t="str">
        <f t="shared" ca="1" si="19"/>
        <v xml:space="preserve">  </v>
      </c>
      <c r="AS25" s="24">
        <f t="shared" si="20"/>
        <v>8.5</v>
      </c>
      <c r="AT25" s="23" t="str">
        <f t="shared" ca="1" si="37"/>
        <v xml:space="preserve">  </v>
      </c>
      <c r="AU25" s="23" t="str">
        <f t="shared" ca="1" si="40"/>
        <v xml:space="preserve">  </v>
      </c>
      <c r="AV25" s="23" t="str">
        <f t="shared" si="21"/>
        <v xml:space="preserve">  </v>
      </c>
      <c r="AW25" s="23" t="str">
        <f t="shared" ca="1" si="22"/>
        <v xml:space="preserve">  </v>
      </c>
      <c r="AY25" s="35" t="str">
        <f t="shared" si="23"/>
        <v xml:space="preserve"> </v>
      </c>
      <c r="AZ25" s="23" t="str">
        <f t="shared" ca="1" si="41"/>
        <v xml:space="preserve">  </v>
      </c>
      <c r="BA25" s="36" t="str">
        <f t="shared" si="25"/>
        <v xml:space="preserve"> </v>
      </c>
      <c r="BB25" s="27" t="str">
        <f t="shared" ca="1" si="38"/>
        <v xml:space="preserve">  </v>
      </c>
      <c r="BC25" s="23" t="str">
        <f t="shared" ca="1" si="39"/>
        <v xml:space="preserve">  </v>
      </c>
      <c r="BE25" s="50" t="s">
        <v>67</v>
      </c>
      <c r="BF25" s="48" t="s">
        <v>68</v>
      </c>
      <c r="BG25" s="49" t="str">
        <f>IF(WL_No="  ","  ",KB+BMT)</f>
        <v xml:space="preserve">  </v>
      </c>
    </row>
    <row r="26" spans="1:59" x14ac:dyDescent="0.25">
      <c r="A26" s="20">
        <f>Tools!$AD25</f>
        <v>19</v>
      </c>
      <c r="B26" s="33" t="str">
        <f t="shared" si="0"/>
        <v xml:space="preserve">  </v>
      </c>
      <c r="C26" s="22">
        <f>IF(A26="  ","  ",IF(AND(A25="  ",A27="  "),"?",IF(A25="  ",1*(A27-A26),IF(A27="  ",1*(A26-A25),1*(A27-A25)))))</f>
        <v>1</v>
      </c>
      <c r="D26" s="23" t="str">
        <f t="shared" si="26"/>
        <v xml:space="preserve">  </v>
      </c>
      <c r="E26" s="24">
        <f t="shared" si="1"/>
        <v>9</v>
      </c>
      <c r="F26" s="23" t="str">
        <f t="shared" si="27"/>
        <v xml:space="preserve">  </v>
      </c>
      <c r="G26" s="23" t="str">
        <f t="shared" si="28"/>
        <v xml:space="preserve">  </v>
      </c>
      <c r="H26" s="23" t="str">
        <f t="shared" si="29"/>
        <v xml:space="preserve">  </v>
      </c>
      <c r="I26" s="23" t="str">
        <f t="shared" si="30"/>
        <v xml:space="preserve">  </v>
      </c>
      <c r="J26" s="4"/>
      <c r="K26" s="37" t="str">
        <f t="shared" si="2"/>
        <v xml:space="preserve"> </v>
      </c>
      <c r="L26" s="23" t="str">
        <f t="shared" si="31"/>
        <v xml:space="preserve">  </v>
      </c>
      <c r="M26" s="38" t="str">
        <f t="shared" si="3"/>
        <v xml:space="preserve"> </v>
      </c>
      <c r="N26" s="27" t="str">
        <f t="shared" si="32"/>
        <v xml:space="preserve">  </v>
      </c>
      <c r="O26" s="23" t="str">
        <f t="shared" si="33"/>
        <v xml:space="preserve">  </v>
      </c>
      <c r="P26" s="4"/>
      <c r="Q26" s="50" t="s">
        <v>71</v>
      </c>
      <c r="R26" s="48" t="s">
        <v>72</v>
      </c>
      <c r="S26" t="str">
        <f>IF(Tools!$L$49="Use 141 rule only",I50,IF(Tools!$L$49="Use 141 and 1331 rules",BG27," "))</f>
        <v xml:space="preserve">  </v>
      </c>
      <c r="W26" s="29">
        <f>IF(AO26="  ","  ",IF(AND(AO25="  ",AO27="  "),"?",IF(AO25="  ",1*(AO27-AO26),IF(AO27="  ",1*(AO26-AO25),1*(AO27-AO25)))))</f>
        <v>1</v>
      </c>
      <c r="X26" s="30" t="str">
        <f t="shared" si="4"/>
        <v>DD</v>
      </c>
      <c r="Y26" s="30" t="str">
        <f t="shared" si="5"/>
        <v>-</v>
      </c>
      <c r="Z26" s="29" t="b">
        <f t="shared" si="6"/>
        <v>1</v>
      </c>
      <c r="AA26" s="29" t="b">
        <f t="shared" si="7"/>
        <v>1</v>
      </c>
      <c r="AB26" s="29" t="str">
        <f t="shared" ca="1" si="8"/>
        <v>141-2</v>
      </c>
      <c r="AC26" s="29">
        <f t="shared" si="34"/>
        <v>3</v>
      </c>
      <c r="AD26" s="29">
        <f t="shared" ca="1" si="9"/>
        <v>3</v>
      </c>
      <c r="AE26" s="29">
        <v>23</v>
      </c>
      <c r="AF26" s="31">
        <f t="shared" si="42"/>
        <v>19</v>
      </c>
      <c r="AG26" s="29" t="b">
        <f t="shared" si="11"/>
        <v>0</v>
      </c>
      <c r="AH26" s="30" t="str">
        <f t="shared" si="43"/>
        <v>-</v>
      </c>
      <c r="AI26" s="30" t="str">
        <f t="shared" ca="1" si="13"/>
        <v>(1/2)*(2/3)</v>
      </c>
      <c r="AJ26" s="29">
        <f t="shared" ca="1" si="14"/>
        <v>0.33333333333333331</v>
      </c>
      <c r="AK26" s="29" t="str">
        <f t="shared" si="15"/>
        <v/>
      </c>
      <c r="AL26" s="29">
        <f t="shared" si="16"/>
        <v>0</v>
      </c>
      <c r="AM26" s="32">
        <f t="shared" ca="1" si="35"/>
        <v>0.33333333333333331</v>
      </c>
      <c r="AO26" s="20">
        <f>Tools!$AD25</f>
        <v>19</v>
      </c>
      <c r="AP26" s="33" t="str">
        <f t="shared" si="36"/>
        <v xml:space="preserve">  </v>
      </c>
      <c r="AQ26" s="34" t="str">
        <f t="shared" ca="1" si="18"/>
        <v>(1/2)*(2/3)</v>
      </c>
      <c r="AR26" s="23" t="str">
        <f t="shared" ca="1" si="19"/>
        <v xml:space="preserve">  </v>
      </c>
      <c r="AS26" s="24">
        <f t="shared" si="20"/>
        <v>9</v>
      </c>
      <c r="AT26" s="23" t="str">
        <f t="shared" ca="1" si="37"/>
        <v xml:space="preserve">  </v>
      </c>
      <c r="AU26" s="23" t="str">
        <f t="shared" ca="1" si="40"/>
        <v xml:space="preserve">  </v>
      </c>
      <c r="AV26" s="23" t="str">
        <f t="shared" si="21"/>
        <v xml:space="preserve">  </v>
      </c>
      <c r="AW26" s="23" t="str">
        <f t="shared" ca="1" si="22"/>
        <v xml:space="preserve">  </v>
      </c>
      <c r="AY26" s="35" t="str">
        <f t="shared" si="23"/>
        <v xml:space="preserve"> </v>
      </c>
      <c r="AZ26" s="23" t="str">
        <f t="shared" ca="1" si="41"/>
        <v xml:space="preserve">  </v>
      </c>
      <c r="BA26" s="36" t="str">
        <f t="shared" si="25"/>
        <v xml:space="preserve"> </v>
      </c>
      <c r="BB26" s="27" t="str">
        <f t="shared" ca="1" si="38"/>
        <v xml:space="preserve">  </v>
      </c>
      <c r="BC26" s="23" t="str">
        <f t="shared" ca="1" si="39"/>
        <v xml:space="preserve">  </v>
      </c>
      <c r="BE26" s="50" t="s">
        <v>69</v>
      </c>
      <c r="BF26" s="48" t="s">
        <v>70</v>
      </c>
      <c r="BG26" s="49" t="str">
        <f>IF(WL_No="  ","  ",KB+BML)</f>
        <v xml:space="preserve">  </v>
      </c>
    </row>
    <row r="27" spans="1:59" x14ac:dyDescent="0.25">
      <c r="A27" s="20">
        <f>Tools!$AD26</f>
        <v>19.5</v>
      </c>
      <c r="B27" s="33" t="str">
        <f t="shared" si="0"/>
        <v xml:space="preserve">  </v>
      </c>
      <c r="C27" s="22">
        <f>IF(A27="  ","  ",IF(AND(A26="  ",A28="  "),"?",IF(A26="  ",2*(A28-A27),IF(A28="  ",2*(A27-A26),2*(A28-A26)))))</f>
        <v>2</v>
      </c>
      <c r="D27" s="23" t="str">
        <f t="shared" si="26"/>
        <v xml:space="preserve">  </v>
      </c>
      <c r="E27" s="24">
        <f t="shared" si="1"/>
        <v>9.5</v>
      </c>
      <c r="F27" s="23" t="str">
        <f t="shared" si="27"/>
        <v xml:space="preserve">  </v>
      </c>
      <c r="G27" s="23" t="str">
        <f t="shared" si="28"/>
        <v xml:space="preserve">  </v>
      </c>
      <c r="H27" s="23" t="str">
        <f t="shared" si="29"/>
        <v xml:space="preserve">  </v>
      </c>
      <c r="I27" s="23" t="str">
        <f t="shared" si="30"/>
        <v xml:space="preserve">  </v>
      </c>
      <c r="J27" s="4"/>
      <c r="K27" s="37" t="str">
        <f t="shared" si="2"/>
        <v xml:space="preserve"> </v>
      </c>
      <c r="L27" s="23" t="str">
        <f t="shared" si="31"/>
        <v xml:space="preserve">  </v>
      </c>
      <c r="M27" s="38" t="str">
        <f t="shared" si="3"/>
        <v xml:space="preserve"> </v>
      </c>
      <c r="N27" s="27" t="str">
        <f t="shared" si="32"/>
        <v xml:space="preserve">  </v>
      </c>
      <c r="O27" s="23" t="str">
        <f t="shared" si="33"/>
        <v xml:space="preserve">  </v>
      </c>
      <c r="P27" s="4"/>
      <c r="Q27" s="50" t="s">
        <v>73</v>
      </c>
      <c r="R27" s="48" t="s">
        <v>74</v>
      </c>
      <c r="S27" t="str">
        <f>IF(Tools!$L$49="Use 141 rule only",I51,IF(Tools!$L$49="Use 141 and 1331 rules",BG28," "))</f>
        <v xml:space="preserve">  </v>
      </c>
      <c r="W27" s="29">
        <f>IF(AO27="  ","  ",IF(AND(AO26="  ",AO28="  "),"?",IF(AO26="  ",2*(AO28-AO27),IF(AO28="  ",2*(AO27-AO26),2*(AO28-AO26)))))</f>
        <v>2</v>
      </c>
      <c r="X27" s="30" t="str">
        <f t="shared" si="4"/>
        <v>DD</v>
      </c>
      <c r="Y27" s="30" t="str">
        <f t="shared" si="5"/>
        <v>-</v>
      </c>
      <c r="Z27" s="29" t="b">
        <f t="shared" si="6"/>
        <v>1</v>
      </c>
      <c r="AA27" s="29" t="b">
        <f t="shared" si="7"/>
        <v>1</v>
      </c>
      <c r="AB27" s="29" t="str">
        <f t="shared" ca="1" si="8"/>
        <v>141-4</v>
      </c>
      <c r="AC27" s="29">
        <f t="shared" si="34"/>
        <v>2</v>
      </c>
      <c r="AD27" s="29">
        <f t="shared" ca="1" si="9"/>
        <v>2</v>
      </c>
      <c r="AE27" s="29">
        <v>24</v>
      </c>
      <c r="AF27" s="31">
        <f t="shared" si="42"/>
        <v>20</v>
      </c>
      <c r="AG27" s="29" t="b">
        <f t="shared" si="11"/>
        <v>0</v>
      </c>
      <c r="AH27" s="30" t="str">
        <f t="shared" si="43"/>
        <v>-</v>
      </c>
      <c r="AI27" s="30" t="str">
        <f t="shared" ca="1" si="13"/>
        <v>(1/2)*(4/3)</v>
      </c>
      <c r="AJ27" s="29">
        <f t="shared" ca="1" si="14"/>
        <v>0.66666666666666663</v>
      </c>
      <c r="AK27" s="29" t="str">
        <f t="shared" si="15"/>
        <v/>
      </c>
      <c r="AL27" s="29">
        <f t="shared" si="16"/>
        <v>0</v>
      </c>
      <c r="AM27" s="32">
        <f t="shared" ca="1" si="35"/>
        <v>0.66666666666666663</v>
      </c>
      <c r="AO27" s="20">
        <f>Tools!$AD26</f>
        <v>19.5</v>
      </c>
      <c r="AP27" s="33" t="str">
        <f t="shared" ref="AP27:AP28" si="44">VLOOKUP(AO27,OFFSET_A,Count_WL+1,FALSE)</f>
        <v xml:space="preserve">  </v>
      </c>
      <c r="AQ27" s="34" t="str">
        <f t="shared" ca="1" si="18"/>
        <v>(1/2)*(4/3)</v>
      </c>
      <c r="AR27" s="23" t="str">
        <f t="shared" ca="1" si="19"/>
        <v xml:space="preserve">  </v>
      </c>
      <c r="AS27" s="24">
        <f t="shared" si="20"/>
        <v>9.5</v>
      </c>
      <c r="AT27" s="23" t="str">
        <f t="shared" ca="1" si="37"/>
        <v xml:space="preserve">  </v>
      </c>
      <c r="AU27" s="23" t="str">
        <f t="shared" ca="1" si="40"/>
        <v xml:space="preserve">  </v>
      </c>
      <c r="AV27" s="23" t="str">
        <f t="shared" si="21"/>
        <v xml:space="preserve">  </v>
      </c>
      <c r="AW27" s="23" t="str">
        <f t="shared" ca="1" si="22"/>
        <v xml:space="preserve">  </v>
      </c>
      <c r="AY27" s="35" t="str">
        <f t="shared" si="23"/>
        <v xml:space="preserve"> </v>
      </c>
      <c r="AZ27" s="23" t="str">
        <f t="shared" ca="1" si="41"/>
        <v xml:space="preserve">  </v>
      </c>
      <c r="BA27" s="36" t="str">
        <f t="shared" si="25"/>
        <v xml:space="preserve"> </v>
      </c>
      <c r="BB27" s="27" t="str">
        <f t="shared" ca="1" si="38"/>
        <v xml:space="preserve">  </v>
      </c>
      <c r="BC27" s="23" t="str">
        <f t="shared" ca="1" si="39"/>
        <v xml:space="preserve">  </v>
      </c>
      <c r="BE27" s="50" t="s">
        <v>71</v>
      </c>
      <c r="BF27" s="48" t="s">
        <v>72</v>
      </c>
      <c r="BG27" s="49" t="str">
        <f>IF(WL_No="  ","  ",AWP*1.025/100)</f>
        <v xml:space="preserve">  </v>
      </c>
    </row>
    <row r="28" spans="1:59" ht="15.75" thickBot="1" x14ac:dyDescent="0.3">
      <c r="A28" s="20">
        <f>Tools!$AD27</f>
        <v>20</v>
      </c>
      <c r="B28" s="52" t="str">
        <f t="shared" si="0"/>
        <v xml:space="preserve">  </v>
      </c>
      <c r="C28" s="22">
        <f>IF(A28="  ","  ",IF(A27="  ","?",1*(A28-A27)))</f>
        <v>0.5</v>
      </c>
      <c r="D28" s="53" t="str">
        <f t="shared" si="26"/>
        <v xml:space="preserve">  </v>
      </c>
      <c r="E28" s="24">
        <f t="shared" si="1"/>
        <v>10</v>
      </c>
      <c r="F28" s="53" t="str">
        <f t="shared" si="27"/>
        <v xml:space="preserve">  </v>
      </c>
      <c r="G28" s="53" t="str">
        <f t="shared" si="28"/>
        <v xml:space="preserve">  </v>
      </c>
      <c r="H28" s="23" t="str">
        <f t="shared" si="29"/>
        <v xml:space="preserve">  </v>
      </c>
      <c r="I28" s="53" t="str">
        <f t="shared" si="30"/>
        <v xml:space="preserve">  </v>
      </c>
      <c r="J28" s="4"/>
      <c r="K28" s="35" t="str">
        <f t="shared" si="2"/>
        <v xml:space="preserve"> </v>
      </c>
      <c r="L28" s="53" t="str">
        <f t="shared" si="31"/>
        <v xml:space="preserve">  </v>
      </c>
      <c r="M28" s="36" t="str">
        <f t="shared" si="3"/>
        <v xml:space="preserve"> </v>
      </c>
      <c r="N28" s="54" t="str">
        <f t="shared" si="32"/>
        <v xml:space="preserve">  </v>
      </c>
      <c r="O28" s="53" t="str">
        <f t="shared" si="33"/>
        <v xml:space="preserve">  </v>
      </c>
      <c r="P28" s="4"/>
      <c r="Q28" s="50" t="s">
        <v>75</v>
      </c>
      <c r="R28" s="55" t="s">
        <v>76</v>
      </c>
      <c r="S28" t="str">
        <f>IF(Tools!$L$49="Use 141 rule only",I52,IF(Tools!$L$49="Use 141 and 1331 rules",BG29," "))</f>
        <v xml:space="preserve">  </v>
      </c>
      <c r="W28" s="29">
        <f>IF(AO28="  ","  ",IF(AO27="  ","?",1*(AO28-AO27)))</f>
        <v>0.5</v>
      </c>
      <c r="X28" s="30" t="str">
        <f t="shared" si="4"/>
        <v>D-</v>
      </c>
      <c r="Y28" s="30" t="str">
        <f t="shared" si="5"/>
        <v>-</v>
      </c>
      <c r="Z28" s="29" t="b">
        <f t="shared" si="6"/>
        <v>1</v>
      </c>
      <c r="AA28" s="29" t="b">
        <f t="shared" si="7"/>
        <v>1</v>
      </c>
      <c r="AB28" s="29" t="str">
        <f t="shared" ca="1" si="8"/>
        <v>141-1</v>
      </c>
      <c r="AC28" s="29">
        <f>IF(ISNUMBER(AO28),IF(ISNUMBER(AO28),IF(OR(AO28=0,AO28=Long_Div),1,IF(AO28&gt;Long_Div/2,AF29+1,IF(AO28&lt;=Long_Div/2,AC27+1,"?")))," --")," ")</f>
        <v>1</v>
      </c>
      <c r="AD28" s="29">
        <f t="shared" ca="1" si="9"/>
        <v>1</v>
      </c>
      <c r="AE28" s="29">
        <v>25</v>
      </c>
      <c r="AF28" s="31">
        <f t="shared" si="42"/>
        <v>21</v>
      </c>
      <c r="AG28" s="29" t="b">
        <f t="shared" si="11"/>
        <v>0</v>
      </c>
      <c r="AH28" s="30" t="str">
        <f t="shared" si="43"/>
        <v>-</v>
      </c>
      <c r="AI28" s="30" t="str">
        <f t="shared" ca="1" si="13"/>
        <v>(1/2)*(1/3)</v>
      </c>
      <c r="AJ28" s="29">
        <f t="shared" ca="1" si="14"/>
        <v>0.16666666666666666</v>
      </c>
      <c r="AK28" s="29" t="str">
        <f t="shared" si="15"/>
        <v/>
      </c>
      <c r="AL28" s="29">
        <f t="shared" si="16"/>
        <v>0</v>
      </c>
      <c r="AM28" s="32">
        <f t="shared" ca="1" si="35"/>
        <v>0.16666666666666666</v>
      </c>
      <c r="AO28" s="20">
        <f>Tools!$AD27</f>
        <v>20</v>
      </c>
      <c r="AP28" s="33" t="str">
        <f t="shared" si="44"/>
        <v xml:space="preserve">  </v>
      </c>
      <c r="AQ28" s="34" t="str">
        <f t="shared" ca="1" si="18"/>
        <v>(1/2)*(1/3)</v>
      </c>
      <c r="AR28" s="23" t="str">
        <f t="shared" ca="1" si="19"/>
        <v xml:space="preserve">  </v>
      </c>
      <c r="AS28" s="24">
        <f t="shared" si="20"/>
        <v>10</v>
      </c>
      <c r="AT28" s="53" t="str">
        <f t="shared" ca="1" si="37"/>
        <v xml:space="preserve">  </v>
      </c>
      <c r="AU28" s="53" t="str">
        <f t="shared" ca="1" si="40"/>
        <v xml:space="preserve">  </v>
      </c>
      <c r="AV28" s="23" t="str">
        <f t="shared" si="21"/>
        <v xml:space="preserve">  </v>
      </c>
      <c r="AW28" s="23" t="str">
        <f t="shared" ca="1" si="22"/>
        <v xml:space="preserve">  </v>
      </c>
      <c r="AY28" s="35" t="str">
        <f t="shared" si="23"/>
        <v xml:space="preserve"> </v>
      </c>
      <c r="AZ28" s="23" t="str">
        <f t="shared" ca="1" si="41"/>
        <v xml:space="preserve">  </v>
      </c>
      <c r="BA28" s="36" t="str">
        <f t="shared" si="25"/>
        <v xml:space="preserve"> </v>
      </c>
      <c r="BB28" s="27" t="str">
        <f t="shared" ca="1" si="38"/>
        <v xml:space="preserve">  </v>
      </c>
      <c r="BC28" s="53" t="str">
        <f t="shared" ca="1" si="39"/>
        <v xml:space="preserve">  </v>
      </c>
      <c r="BE28" s="50" t="s">
        <v>73</v>
      </c>
      <c r="BF28" s="48" t="s">
        <v>74</v>
      </c>
      <c r="BG28" s="49" t="str">
        <f>IF(WL_No="  ","  ",ML/V_Disp)</f>
        <v xml:space="preserve">  </v>
      </c>
    </row>
    <row r="29" spans="1:59" ht="15.75" thickBot="1" x14ac:dyDescent="0.3">
      <c r="A29" s="56" t="s">
        <v>77</v>
      </c>
      <c r="B29" s="56"/>
      <c r="C29" s="56"/>
      <c r="D29" s="57">
        <f>SUM(D4:D28)</f>
        <v>0</v>
      </c>
      <c r="E29" s="42"/>
      <c r="F29" s="58">
        <f>SUM(F4:F28)</f>
        <v>0</v>
      </c>
      <c r="G29" s="58">
        <f>SUM(G4:G28)</f>
        <v>0</v>
      </c>
      <c r="H29" s="42"/>
      <c r="I29" s="58">
        <f>SUM(I4:I28)</f>
        <v>0</v>
      </c>
      <c r="J29" s="4"/>
      <c r="K29" s="42"/>
      <c r="L29" s="58">
        <f>SUM(L4:L28)</f>
        <v>0</v>
      </c>
      <c r="M29" s="42"/>
      <c r="N29" s="58">
        <f>SUM(N4:N28)</f>
        <v>0</v>
      </c>
      <c r="O29" s="58">
        <f>SUM(O4:O28)</f>
        <v>0</v>
      </c>
      <c r="P29" s="4"/>
      <c r="Q29" s="50" t="s">
        <v>78</v>
      </c>
      <c r="R29" s="48" t="s">
        <v>79</v>
      </c>
      <c r="S29" t="str">
        <f>IF(Tools!$L$49="Use 141 rule only",I53,IF(Tools!$L$49="Use 141 and 1331 rules",BG30," "))</f>
        <v xml:space="preserve">  </v>
      </c>
      <c r="W29" s="56"/>
      <c r="X29" s="56"/>
      <c r="Y29" s="56"/>
      <c r="Z29" s="56"/>
      <c r="AA29" s="56"/>
      <c r="AB29" s="56"/>
      <c r="AC29" s="56"/>
      <c r="AD29" s="56"/>
      <c r="AE29" s="56"/>
      <c r="AF29" s="56"/>
      <c r="AG29" s="56"/>
      <c r="AH29" s="56"/>
      <c r="AI29" s="56"/>
      <c r="AJ29" s="56"/>
      <c r="AK29" s="56"/>
      <c r="AL29" s="56"/>
      <c r="AM29" s="56"/>
      <c r="AN29" s="56"/>
      <c r="AO29" s="56" t="s">
        <v>77</v>
      </c>
      <c r="AP29" s="56"/>
      <c r="AQ29" s="59"/>
      <c r="AR29" s="57">
        <f ca="1">SUM(AR4:AR28)</f>
        <v>0</v>
      </c>
      <c r="AS29" s="42"/>
      <c r="AT29" s="58">
        <f ca="1">SUM(AT4:AT28)</f>
        <v>0</v>
      </c>
      <c r="AU29" s="58">
        <f ca="1">SUM(AU4:AU28)</f>
        <v>0</v>
      </c>
      <c r="AV29" s="42"/>
      <c r="AW29" s="58">
        <f ca="1">SUM(AW4:AW28)</f>
        <v>0</v>
      </c>
      <c r="AY29" s="42"/>
      <c r="AZ29" s="58">
        <f ca="1">SUM(AZ4:AZ28)</f>
        <v>0</v>
      </c>
      <c r="BA29" s="42"/>
      <c r="BB29" s="58">
        <f ca="1">SUM(BB4:BB28)</f>
        <v>0</v>
      </c>
      <c r="BC29" s="58">
        <f ca="1">SUM(BC4:BC28)</f>
        <v>0</v>
      </c>
      <c r="BE29" s="50" t="s">
        <v>75</v>
      </c>
      <c r="BF29" s="55" t="s">
        <v>76</v>
      </c>
      <c r="BG29" s="49" t="str">
        <f>IF(WL_No="  ","  ",M_Disp*BML/100/BG8)</f>
        <v xml:space="preserve">  </v>
      </c>
    </row>
    <row r="30" spans="1:59" x14ac:dyDescent="0.25">
      <c r="A30" s="15"/>
      <c r="B30" s="4"/>
      <c r="C30" s="4"/>
      <c r="D30" s="42"/>
      <c r="E30" s="4"/>
      <c r="F30" s="4"/>
      <c r="G30" s="4"/>
      <c r="H30" s="4"/>
      <c r="I30" s="4"/>
      <c r="J30" s="4"/>
      <c r="K30" s="4"/>
      <c r="L30" s="4"/>
      <c r="M30" s="4"/>
      <c r="N30" s="4"/>
      <c r="O30" s="4"/>
      <c r="P30" s="4"/>
      <c r="Q30" s="50" t="s">
        <v>80</v>
      </c>
      <c r="R30" s="48" t="s">
        <v>81</v>
      </c>
      <c r="S30" t="str">
        <f>IF(Tools!$L$49="Use 141 rule only",I54,IF(Tools!$L$49="Use 141 and 1331 rules",BG31," "))</f>
        <v xml:space="preserve">  </v>
      </c>
      <c r="AA30" s="60"/>
      <c r="AB30" s="60"/>
      <c r="BE30" s="50" t="s">
        <v>78</v>
      </c>
      <c r="BF30" s="48" t="s">
        <v>79</v>
      </c>
      <c r="BG30" s="49" t="str">
        <f>IF(WL_No="  ","  ",WLS*WL_No)</f>
        <v xml:space="preserve">  </v>
      </c>
    </row>
    <row r="31" spans="1:59" x14ac:dyDescent="0.25">
      <c r="A31" s="15"/>
      <c r="B31" s="4"/>
      <c r="C31" s="4"/>
      <c r="D31" s="4"/>
      <c r="E31" s="4"/>
      <c r="F31" s="4"/>
      <c r="G31" s="4"/>
      <c r="H31" s="4"/>
      <c r="I31" s="4"/>
      <c r="J31" s="4"/>
      <c r="K31" s="4"/>
      <c r="L31" s="4"/>
      <c r="M31" s="4"/>
      <c r="N31" s="4"/>
      <c r="O31" s="4"/>
      <c r="P31" s="4"/>
      <c r="Q31" s="50" t="s">
        <v>82</v>
      </c>
      <c r="R31" s="48" t="s">
        <v>83</v>
      </c>
      <c r="S31" t="str">
        <f>IF(Tools!$L$49="Use 141 rule only",I55,IF(Tools!$L$49="Use 141 and 1331 rules",BG32," "))</f>
        <v xml:space="preserve">  </v>
      </c>
      <c r="AF31" s="61" t="s">
        <v>84</v>
      </c>
      <c r="AG31" s="62">
        <f ca="1">COUNTIF(OFFSET(AQ4,,,ROUNDUP(Max_STN_count/2,0),1),"")</f>
        <v>0</v>
      </c>
      <c r="AH31" s="63">
        <f ca="1">HLOOKUP(Stn_WL,AREA_TABLE,AG31+2,FALSE)</f>
        <v>0</v>
      </c>
      <c r="AI31" s="63">
        <f ca="1">IF(AH31&gt;Long_Div/2,Long_Div/2,AH31)</f>
        <v>0</v>
      </c>
      <c r="AJ31" s="63">
        <f ca="1">AI31*STN_GAP</f>
        <v>0</v>
      </c>
      <c r="BE31" s="50" t="s">
        <v>80</v>
      </c>
      <c r="BF31" s="48" t="s">
        <v>81</v>
      </c>
      <c r="BG31" s="49" t="str">
        <f>IF(WL_No="  ","  ",AWP/(BG8*B_current))</f>
        <v xml:space="preserve">  </v>
      </c>
    </row>
    <row r="32" spans="1:59" x14ac:dyDescent="0.25">
      <c r="A32" s="15"/>
      <c r="B32" s="4"/>
      <c r="C32" s="4"/>
      <c r="D32" s="4"/>
      <c r="E32" s="4"/>
      <c r="F32" s="4"/>
      <c r="G32" s="4"/>
      <c r="H32" s="4"/>
      <c r="I32" s="4"/>
      <c r="J32" s="64"/>
      <c r="K32" s="4"/>
      <c r="L32" s="4"/>
      <c r="M32" s="4"/>
      <c r="N32" s="4"/>
      <c r="O32" s="4"/>
      <c r="P32" s="4"/>
      <c r="Q32" s="50" t="s">
        <v>85</v>
      </c>
      <c r="R32" s="48" t="s">
        <v>86</v>
      </c>
      <c r="S32" t="str">
        <f>IF(Tools!$L$49="Use 141 rule only",I56,IF(Tools!$L$49="Use 141 and 1331 rules",BG33," "))</f>
        <v xml:space="preserve">  </v>
      </c>
      <c r="AF32" s="61" t="s">
        <v>87</v>
      </c>
      <c r="AG32" s="62">
        <f ca="1">COUNTIF(OFFSET(AQ4,ROUNDUP(Max_STN_count/2,0),,ROUNDDOWN(Max_STN_count/2,0),1),"")</f>
        <v>0</v>
      </c>
      <c r="AH32" s="63">
        <f ca="1">HLOOKUP(Stn_WL,AREA_TABLE,AG32+2,FALSE)</f>
        <v>0</v>
      </c>
      <c r="AI32" s="63">
        <f ca="1">IF(AH32&gt;Long_Div/2,Long_Div/2,AH32)</f>
        <v>0</v>
      </c>
      <c r="AJ32" s="63">
        <f ca="1">AI32*STN_GAP</f>
        <v>0</v>
      </c>
      <c r="BE32" s="50" t="s">
        <v>82</v>
      </c>
      <c r="BF32" s="48" t="s">
        <v>83</v>
      </c>
      <c r="BG32" s="49" t="str">
        <f>IF(WL_No="  ","  ",V_Disp/(BG8*B_current*T))</f>
        <v xml:space="preserve">  </v>
      </c>
    </row>
    <row r="33" spans="1:59" x14ac:dyDescent="0.25">
      <c r="A33" s="15"/>
      <c r="B33" s="4"/>
      <c r="C33" s="4"/>
      <c r="D33" s="4"/>
      <c r="E33" s="4"/>
      <c r="F33" s="4"/>
      <c r="G33" s="43" t="s">
        <v>31</v>
      </c>
      <c r="H33" s="44" t="s">
        <v>32</v>
      </c>
      <c r="I33" s="489" t="s">
        <v>33</v>
      </c>
      <c r="J33" s="4"/>
      <c r="K33" s="4"/>
      <c r="L33" s="4"/>
      <c r="M33" s="4"/>
      <c r="N33" s="4"/>
      <c r="O33" s="4"/>
      <c r="P33" s="4"/>
      <c r="Q33" s="50" t="s">
        <v>88</v>
      </c>
      <c r="R33" s="48" t="s">
        <v>89</v>
      </c>
      <c r="S33" t="str">
        <f>IF(Tools!$L$49="Use 141 rule only",I57,IF(Tools!$L$49="Use 141 and 1331 rules",BG34," "))</f>
        <v xml:space="preserve">  </v>
      </c>
      <c r="AF33" s="63"/>
      <c r="AG33" s="63"/>
      <c r="AH33" s="63">
        <f ca="1">Long_Div-AH32</f>
        <v>20</v>
      </c>
      <c r="AI33" s="63"/>
      <c r="AJ33" s="63">
        <f ca="1">AJ32+AJ31</f>
        <v>0</v>
      </c>
      <c r="BE33" s="50" t="s">
        <v>85</v>
      </c>
      <c r="BF33" s="48" t="s">
        <v>86</v>
      </c>
      <c r="BG33" s="65" t="str">
        <f>IFERROR(IF(WL_No="  ","  ",(VLOOKUP(Long_Div/2,AREA_TABLE,Count_WL+1,FALSE))/(B_current*T)),"-")</f>
        <v xml:space="preserve">  </v>
      </c>
    </row>
    <row r="34" spans="1:59" x14ac:dyDescent="0.25">
      <c r="G34" s="45"/>
      <c r="H34" s="46"/>
      <c r="I34" s="490"/>
      <c r="BE34" s="50" t="s">
        <v>88</v>
      </c>
      <c r="BF34" s="48" t="s">
        <v>89</v>
      </c>
      <c r="BG34" s="49" t="str">
        <f>IF(WL_No="  ","  ",CB/CM)</f>
        <v xml:space="preserve">  </v>
      </c>
    </row>
    <row r="35" spans="1:59" x14ac:dyDescent="0.25">
      <c r="G35" s="47" t="s">
        <v>34</v>
      </c>
      <c r="H35" s="48" t="s">
        <v>35</v>
      </c>
      <c r="I35" s="49" t="str">
        <f>IF(WL_No="  ","  ",2/3*h*$D$29)</f>
        <v xml:space="preserve">  </v>
      </c>
    </row>
    <row r="36" spans="1:59" x14ac:dyDescent="0.25">
      <c r="G36" s="47" t="s">
        <v>36</v>
      </c>
      <c r="H36" s="48" t="s">
        <v>37</v>
      </c>
      <c r="I36" s="49" t="str">
        <f>IF(WL_No="  ","  ",2/3*(h^2)*$F$29)</f>
        <v xml:space="preserve">  </v>
      </c>
    </row>
    <row r="37" spans="1:59" x14ac:dyDescent="0.25">
      <c r="G37" s="50" t="s">
        <v>39</v>
      </c>
      <c r="H37" s="48" t="s">
        <v>40</v>
      </c>
      <c r="I37" s="49" t="str">
        <f>IF(WL_No="  ","  ",Mmid/AWP)</f>
        <v xml:space="preserve">  </v>
      </c>
    </row>
    <row r="38" spans="1:59" x14ac:dyDescent="0.25">
      <c r="G38" s="50" t="s">
        <v>42</v>
      </c>
      <c r="H38" s="48" t="s">
        <v>43</v>
      </c>
      <c r="I38" s="49" t="str">
        <f>IF(WL_No="  ","  ",2/3*(h^3)*$G$29)</f>
        <v xml:space="preserve">  </v>
      </c>
    </row>
    <row r="39" spans="1:59" x14ac:dyDescent="0.25">
      <c r="G39" s="51" t="s">
        <v>44</v>
      </c>
      <c r="H39" s="48" t="s">
        <v>45</v>
      </c>
      <c r="I39" s="49" t="str">
        <f>IF(WL_No="  ","  ",2/9*h*$I$29)</f>
        <v xml:space="preserve">  </v>
      </c>
    </row>
    <row r="40" spans="1:59" x14ac:dyDescent="0.25">
      <c r="G40" s="50" t="s">
        <v>47</v>
      </c>
      <c r="H40" s="48" t="s">
        <v>48</v>
      </c>
      <c r="I40" s="49" t="str">
        <f>IF(WL_No="  ","  ",IL-AWP*(LCF^2))</f>
        <v xml:space="preserve">  </v>
      </c>
    </row>
    <row r="41" spans="1:59" x14ac:dyDescent="0.25">
      <c r="G41" s="50" t="s">
        <v>50</v>
      </c>
      <c r="H41" s="48" t="s">
        <v>51</v>
      </c>
      <c r="I41" s="49" t="str">
        <f>IF(WL_No="  ","  ",h/3*$L$29)</f>
        <v xml:space="preserve">  </v>
      </c>
    </row>
    <row r="42" spans="1:59" x14ac:dyDescent="0.25">
      <c r="G42" s="50" t="s">
        <v>52</v>
      </c>
      <c r="H42" s="48" t="s">
        <v>53</v>
      </c>
      <c r="I42" s="49" t="str">
        <f>IF(WL_No="  ","  ",V_Disp*1.025*1.006)</f>
        <v xml:space="preserve">  </v>
      </c>
    </row>
    <row r="43" spans="1:59" x14ac:dyDescent="0.25">
      <c r="G43" s="50" t="s">
        <v>55</v>
      </c>
      <c r="H43" s="48" t="s">
        <v>56</v>
      </c>
      <c r="I43" s="49" t="str">
        <f>IF(WL_No="  ","  ",h/3*$N$29)</f>
        <v xml:space="preserve">  </v>
      </c>
    </row>
    <row r="44" spans="1:59" x14ac:dyDescent="0.25">
      <c r="G44" s="50" t="s">
        <v>57</v>
      </c>
      <c r="H44" s="48" t="s">
        <v>58</v>
      </c>
      <c r="I44" s="49" t="str">
        <f>IF(WL_No="  ","  ",(h^2)/3*$O$29)</f>
        <v xml:space="preserve">  </v>
      </c>
    </row>
    <row r="45" spans="1:59" x14ac:dyDescent="0.25">
      <c r="G45" s="50" t="s">
        <v>60</v>
      </c>
      <c r="H45" s="48" t="s">
        <v>61</v>
      </c>
      <c r="I45" s="49" t="str">
        <f>IF(WL_No="  ","  ",IF/V_Disp)</f>
        <v xml:space="preserve">  </v>
      </c>
    </row>
    <row r="46" spans="1:59" x14ac:dyDescent="0.25">
      <c r="G46" s="50" t="s">
        <v>63</v>
      </c>
      <c r="H46" s="48" t="s">
        <v>64</v>
      </c>
      <c r="I46" s="49" t="str">
        <f>IF(WL_No="  ","  ",IT/V_Disp)</f>
        <v xml:space="preserve">  </v>
      </c>
    </row>
    <row r="47" spans="1:59" x14ac:dyDescent="0.25">
      <c r="G47" s="50" t="s">
        <v>65</v>
      </c>
      <c r="H47" s="48" t="s">
        <v>66</v>
      </c>
      <c r="I47" s="49" t="str">
        <f>IF(WL_No="  ","  ",MT/V_Disp)</f>
        <v xml:space="preserve">  </v>
      </c>
    </row>
    <row r="48" spans="1:59" x14ac:dyDescent="0.25">
      <c r="G48" s="50" t="s">
        <v>67</v>
      </c>
      <c r="H48" s="48" t="s">
        <v>68</v>
      </c>
      <c r="I48" s="49" t="str">
        <f>IF(WL_No="  ","  ",KB+BMT)</f>
        <v xml:space="preserve">  </v>
      </c>
    </row>
    <row r="49" spans="7:9" x14ac:dyDescent="0.25">
      <c r="G49" s="50" t="s">
        <v>69</v>
      </c>
      <c r="H49" s="48" t="s">
        <v>70</v>
      </c>
      <c r="I49" s="49" t="str">
        <f>IF(WL_No="  ","  ",KB+BML)</f>
        <v xml:space="preserve">  </v>
      </c>
    </row>
    <row r="50" spans="7:9" x14ac:dyDescent="0.25">
      <c r="G50" s="50" t="s">
        <v>71</v>
      </c>
      <c r="H50" s="48" t="s">
        <v>72</v>
      </c>
      <c r="I50" s="49" t="str">
        <f>IF(WL_No="  ","  ",AWP*1.025/100)</f>
        <v xml:space="preserve">  </v>
      </c>
    </row>
    <row r="51" spans="7:9" x14ac:dyDescent="0.25">
      <c r="G51" s="50" t="s">
        <v>73</v>
      </c>
      <c r="H51" s="48" t="s">
        <v>74</v>
      </c>
      <c r="I51" s="49" t="str">
        <f>IF(WL_No="  ","  ",ML/V_Disp)</f>
        <v xml:space="preserve">  </v>
      </c>
    </row>
    <row r="52" spans="7:9" x14ac:dyDescent="0.25">
      <c r="G52" s="50" t="s">
        <v>75</v>
      </c>
      <c r="H52" s="55" t="s">
        <v>76</v>
      </c>
      <c r="I52" s="49" t="str">
        <f>IF(WL_No="  ","  ",M_Disp*BML/100/LBP)</f>
        <v xml:space="preserve">  </v>
      </c>
    </row>
    <row r="53" spans="7:9" x14ac:dyDescent="0.25">
      <c r="G53" s="50" t="s">
        <v>78</v>
      </c>
      <c r="H53" s="48" t="s">
        <v>79</v>
      </c>
      <c r="I53" s="49" t="str">
        <f>IF(WL_No="  ","  ",WLS*WL_No)</f>
        <v xml:space="preserve">  </v>
      </c>
    </row>
    <row r="54" spans="7:9" x14ac:dyDescent="0.25">
      <c r="G54" s="50" t="s">
        <v>80</v>
      </c>
      <c r="H54" s="48" t="s">
        <v>81</v>
      </c>
      <c r="I54" s="49" t="str">
        <f>IF(WL_No="  ","  ",AWP/(LBP*B_current))</f>
        <v xml:space="preserve">  </v>
      </c>
    </row>
    <row r="55" spans="7:9" x14ac:dyDescent="0.25">
      <c r="G55" s="50" t="s">
        <v>82</v>
      </c>
      <c r="H55" s="48" t="s">
        <v>83</v>
      </c>
      <c r="I55" s="49" t="str">
        <f>IF(WL_No="  ","  ",V_Disp/(LBP*B_current*T))</f>
        <v xml:space="preserve">  </v>
      </c>
    </row>
    <row r="56" spans="7:9" x14ac:dyDescent="0.25">
      <c r="G56" s="50" t="s">
        <v>85</v>
      </c>
      <c r="H56" s="48" t="s">
        <v>86</v>
      </c>
      <c r="I56" s="65" t="str">
        <f>IF(WL_No="  ","  ",(VLOOKUP(Long_Div/2,AREA_TABLE,Count_WL+1,FALSE))/(B_current*T))</f>
        <v xml:space="preserve">  </v>
      </c>
    </row>
    <row r="57" spans="7:9" x14ac:dyDescent="0.25">
      <c r="G57" s="50" t="s">
        <v>88</v>
      </c>
      <c r="H57" s="48" t="s">
        <v>89</v>
      </c>
      <c r="I57" s="49" t="str">
        <f>IF(WL_No="  ","  ",CB/CM)</f>
        <v xml:space="preserve">  </v>
      </c>
    </row>
  </sheetData>
  <mergeCells count="7">
    <mergeCell ref="BG10:BG11"/>
    <mergeCell ref="I33:I34"/>
    <mergeCell ref="A2:I2"/>
    <mergeCell ref="K2:O2"/>
    <mergeCell ref="AO2:AW2"/>
    <mergeCell ref="AY2:BC2"/>
    <mergeCell ref="S9:S10"/>
  </mergeCells>
  <conditionalFormatting sqref="CB4:XFD30 BW4:BW28 BS4:BT28 W29:AX29 A33:F57 J33:R33 A11:R32 A2:T10 V2:AO2 AX2 BP29:BW29 A63:XFD1048576 T12:T37 U35:XFD37 BD2:BD29 BM31:XFD33 BM30:BW30 BH29:BI33 BH2:XFD3 U30:BD30 AR31:BD31 W3:AM28 A58:BD62 BH38:XFD62 J34:S37 BH34:XFD34 A1:AN1 AV1:XFD1 AO31:AP31 U33:BD34 AM31 U31:AG32 AK32:BD32 AO3:AX26 J43:BD57 J42:M42 O42:BD42 J38:BD41 AO27:AO28 AQ27:AX28">
    <cfRule type="containsErrors" dxfId="297" priority="14">
      <formula>ISERROR(A1)</formula>
    </cfRule>
  </conditionalFormatting>
  <conditionalFormatting sqref="G33:I34 G35:H57">
    <cfRule type="containsErrors" dxfId="296" priority="13">
      <formula>ISERROR(G33)</formula>
    </cfRule>
  </conditionalFormatting>
  <conditionalFormatting sqref="T12:T33">
    <cfRule type="containsErrors" dxfId="295" priority="12">
      <formula>ISERROR(T12)</formula>
    </cfRule>
  </conditionalFormatting>
  <conditionalFormatting sqref="I35:I57">
    <cfRule type="containsErrors" dxfId="294" priority="11">
      <formula>ISERROR(I35)</formula>
    </cfRule>
  </conditionalFormatting>
  <conditionalFormatting sqref="AY2:BC29">
    <cfRule type="containsErrors" dxfId="293" priority="8">
      <formula>ISERROR(AY2)</formula>
    </cfRule>
  </conditionalFormatting>
  <conditionalFormatting sqref="BE10:BG11 BE12:BF34">
    <cfRule type="containsErrors" dxfId="292" priority="10">
      <formula>ISERROR(BE10)</formula>
    </cfRule>
  </conditionalFormatting>
  <conditionalFormatting sqref="BG12:BG28 BG34">
    <cfRule type="containsErrors" dxfId="291" priority="9">
      <formula>ISERROR(BG12)</formula>
    </cfRule>
  </conditionalFormatting>
  <conditionalFormatting sqref="BE2:BG6">
    <cfRule type="containsErrors" dxfId="290" priority="7">
      <formula>ISERROR(BE2)</formula>
    </cfRule>
  </conditionalFormatting>
  <conditionalFormatting sqref="BF7:BG8">
    <cfRule type="containsErrors" dxfId="289" priority="5">
      <formula>ISERROR(BF7)</formula>
    </cfRule>
  </conditionalFormatting>
  <conditionalFormatting sqref="BE7:BE8">
    <cfRule type="containsErrors" dxfId="288" priority="6">
      <formula>ISERROR(BE7)</formula>
    </cfRule>
  </conditionalFormatting>
  <conditionalFormatting sqref="S30:S33">
    <cfRule type="containsErrors" dxfId="287" priority="4">
      <formula>ISERROR(S30)</formula>
    </cfRule>
  </conditionalFormatting>
  <conditionalFormatting sqref="AP27:AP28">
    <cfRule type="containsErrors" dxfId="286" priority="3">
      <formula>ISERROR(AP27)</formula>
    </cfRule>
  </conditionalFormatting>
  <conditionalFormatting sqref="BG29:BG32">
    <cfRule type="containsErrors" dxfId="285" priority="2">
      <formula>ISERROR(BG29)</formula>
    </cfRule>
  </conditionalFormatting>
  <conditionalFormatting sqref="BG33">
    <cfRule type="containsErrors" dxfId="284" priority="1">
      <formula>ISERROR(BG33)</formula>
    </cfRule>
  </conditionalFormatting>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theme="4" tint="0.79998168889431442"/>
  </sheetPr>
  <dimension ref="A1:BH57"/>
  <sheetViews>
    <sheetView topLeftCell="AG1" zoomScale="55" zoomScaleNormal="55" workbookViewId="0">
      <pane ySplit="1" topLeftCell="A29" activePane="bottomLeft" state="frozen"/>
      <selection activeCell="AG8" sqref="AG8:AG10"/>
      <selection pane="bottomLeft" activeCell="AG8" sqref="AG8:AG10"/>
    </sheetView>
  </sheetViews>
  <sheetFormatPr defaultRowHeight="15" x14ac:dyDescent="0.25"/>
  <cols>
    <col min="1" max="1" width="8.28515625" customWidth="1"/>
    <col min="2" max="2" width="7.28515625" customWidth="1"/>
    <col min="4" max="4" width="6.5703125" customWidth="1"/>
    <col min="7" max="7" width="24" customWidth="1"/>
    <col min="8" max="8" width="30.5703125" customWidth="1"/>
    <col min="9" max="9" width="26.5703125" customWidth="1"/>
    <col min="10" max="10" width="10.5703125" bestFit="1" customWidth="1"/>
    <col min="11" max="11" width="9.140625" customWidth="1"/>
    <col min="13" max="13" width="7.85546875" customWidth="1"/>
    <col min="17" max="17" width="19.5703125" customWidth="1"/>
    <col min="18" max="18" width="11.85546875" customWidth="1"/>
    <col min="19" max="19" width="16.5703125" customWidth="1"/>
    <col min="20" max="20" width="14.140625" customWidth="1"/>
    <col min="35" max="35" width="14" customWidth="1"/>
    <col min="36" max="37" width="12" customWidth="1"/>
    <col min="39" max="39" width="19" customWidth="1"/>
    <col min="43" max="43" width="18" style="7" customWidth="1"/>
    <col min="49" max="49" width="11.28515625" customWidth="1"/>
    <col min="52" max="52" width="12" customWidth="1"/>
    <col min="54" max="54" width="10.7109375" bestFit="1" customWidth="1"/>
    <col min="56" max="56" width="4.5703125" customWidth="1"/>
    <col min="57" max="57" width="21.28515625" customWidth="1"/>
    <col min="58" max="58" width="15.42578125" customWidth="1"/>
    <col min="59" max="59" width="19.28515625" customWidth="1"/>
    <col min="61" max="61" width="5.7109375" customWidth="1"/>
    <col min="62" max="62" width="13" customWidth="1"/>
    <col min="63" max="63" width="17.42578125" customWidth="1"/>
  </cols>
  <sheetData>
    <row r="1" spans="1:60" x14ac:dyDescent="0.25">
      <c r="A1" s="1" t="s">
        <v>0</v>
      </c>
      <c r="B1" s="2">
        <f>VLOOKUP(Stn_WL,OFFSET_A,Count_WL+1,FALSE)</f>
        <v>6.5</v>
      </c>
      <c r="C1" s="3"/>
      <c r="D1" s="4"/>
      <c r="E1" s="4" t="s">
        <v>1</v>
      </c>
      <c r="F1" s="5">
        <v>12</v>
      </c>
      <c r="G1" s="4"/>
      <c r="H1" s="4"/>
      <c r="I1" s="4"/>
      <c r="J1" s="4"/>
      <c r="K1" s="4"/>
      <c r="L1" s="4"/>
      <c r="M1" s="4"/>
      <c r="N1" s="4"/>
      <c r="O1" s="4"/>
      <c r="P1" s="4"/>
      <c r="Q1" s="4"/>
      <c r="R1" s="4"/>
      <c r="S1" s="4"/>
      <c r="V1" t="s">
        <v>2</v>
      </c>
      <c r="W1">
        <f ca="1">COUNTIF(OFFSET(Z4,,,ROUNDDOWN(Max_STN_count/2+1,0),1),TRUE)</f>
        <v>5</v>
      </c>
      <c r="X1">
        <f ca="1">COUNTIF(OFFSET(AA4,,,ROUNDDOWN(Max_STN_count/2+1,0),1),TRUE)</f>
        <v>5</v>
      </c>
      <c r="Y1">
        <f ca="1">W1-X1</f>
        <v>0</v>
      </c>
      <c r="AB1" s="6" t="s">
        <v>3</v>
      </c>
      <c r="AC1">
        <f ca="1">COUNTIF(OFFSET(Z4,ROUNDUP(Max_STN_count/2,0),,ROUNDDOWN(Max_STN_count/2,0),1),TRUE)</f>
        <v>5</v>
      </c>
      <c r="AD1">
        <f ca="1">COUNTIF(OFFSET(AA4,ROUNDUP(Max_STN_count/2,0),,ROUNDDOWN(Max_STN_count/2,0),1),TRUE)</f>
        <v>5</v>
      </c>
      <c r="AE1">
        <f ca="1">AC1-AD1</f>
        <v>0</v>
      </c>
      <c r="AG1" t="s">
        <v>4</v>
      </c>
      <c r="AH1">
        <f>COUNTIF(AG4:AG28,TRUE)</f>
        <v>17</v>
      </c>
      <c r="AI1">
        <f ca="1">COUNTIF(OFFSET(AG4,,,ROUNDUP(Max_STN_count/2,0),1),FALSE)</f>
        <v>4</v>
      </c>
      <c r="AW1">
        <f ca="1">COUNTIF(OFFSET(AG4,,,Max_STN_count,1),TRUE)</f>
        <v>17</v>
      </c>
    </row>
    <row r="2" spans="1:60" x14ac:dyDescent="0.25">
      <c r="A2" s="491" t="s">
        <v>5</v>
      </c>
      <c r="B2" s="492"/>
      <c r="C2" s="492"/>
      <c r="D2" s="492"/>
      <c r="E2" s="492"/>
      <c r="F2" s="492"/>
      <c r="G2" s="492"/>
      <c r="H2" s="492"/>
      <c r="I2" s="493"/>
      <c r="J2" s="4"/>
      <c r="K2" s="491" t="s">
        <v>6</v>
      </c>
      <c r="L2" s="492"/>
      <c r="M2" s="492"/>
      <c r="N2" s="492"/>
      <c r="O2" s="493"/>
      <c r="P2" s="4"/>
      <c r="Q2" s="8" t="s">
        <v>7</v>
      </c>
      <c r="R2" s="9" t="s">
        <v>8</v>
      </c>
      <c r="S2" s="10">
        <f>WLS</f>
        <v>2</v>
      </c>
      <c r="V2" s="11"/>
      <c r="W2" s="11"/>
      <c r="X2" s="11"/>
      <c r="Y2" s="11"/>
      <c r="Z2" s="11"/>
      <c r="AA2" s="11"/>
      <c r="AB2" s="11"/>
      <c r="AC2" s="11"/>
      <c r="AD2" s="11"/>
      <c r="AE2" s="11"/>
      <c r="AF2" s="11"/>
      <c r="AG2" s="11"/>
      <c r="AH2" s="11"/>
      <c r="AI2" s="11"/>
      <c r="AJ2" s="11"/>
      <c r="AK2" s="11"/>
      <c r="AL2" s="11"/>
      <c r="AM2" s="11"/>
      <c r="AN2" s="11"/>
      <c r="AO2" s="491" t="s">
        <v>5</v>
      </c>
      <c r="AP2" s="492"/>
      <c r="AQ2" s="492"/>
      <c r="AR2" s="492"/>
      <c r="AS2" s="492"/>
      <c r="AT2" s="492"/>
      <c r="AU2" s="492"/>
      <c r="AV2" s="492"/>
      <c r="AW2" s="493"/>
      <c r="AY2" s="491" t="s">
        <v>6</v>
      </c>
      <c r="AZ2" s="492"/>
      <c r="BA2" s="492"/>
      <c r="BB2" s="492"/>
      <c r="BC2" s="493"/>
      <c r="BE2" s="8" t="s">
        <v>7</v>
      </c>
      <c r="BF2" s="9" t="s">
        <v>8</v>
      </c>
      <c r="BG2" s="10">
        <f>WLS</f>
        <v>2</v>
      </c>
    </row>
    <row r="3" spans="1:60" x14ac:dyDescent="0.25">
      <c r="A3" s="12" t="s">
        <v>9</v>
      </c>
      <c r="B3" s="13" t="s">
        <v>10</v>
      </c>
      <c r="C3" s="14" t="s">
        <v>11</v>
      </c>
      <c r="D3" s="14" t="s">
        <v>12</v>
      </c>
      <c r="E3" s="14" t="s">
        <v>13</v>
      </c>
      <c r="F3" s="14" t="s">
        <v>14</v>
      </c>
      <c r="G3" s="14" t="s">
        <v>15</v>
      </c>
      <c r="H3" s="14" t="s">
        <v>16</v>
      </c>
      <c r="I3" s="14" t="s">
        <v>17</v>
      </c>
      <c r="J3" s="15"/>
      <c r="K3" s="14" t="s">
        <v>18</v>
      </c>
      <c r="L3" s="14" t="s">
        <v>19</v>
      </c>
      <c r="M3" s="14" t="s">
        <v>20</v>
      </c>
      <c r="N3" s="14" t="s">
        <v>21</v>
      </c>
      <c r="O3" s="14" t="s">
        <v>22</v>
      </c>
      <c r="P3" s="15"/>
      <c r="Q3" s="16" t="s">
        <v>23</v>
      </c>
      <c r="R3" s="9" t="s">
        <v>8</v>
      </c>
      <c r="S3" s="10">
        <f>STN_GAP</f>
        <v>7.31</v>
      </c>
      <c r="W3" s="17" t="s">
        <v>11</v>
      </c>
      <c r="X3" s="17"/>
      <c r="Y3" s="17"/>
      <c r="Z3" s="17" t="s">
        <v>24</v>
      </c>
      <c r="AA3" s="17"/>
      <c r="AB3" s="17"/>
      <c r="AC3" s="17"/>
      <c r="AD3" s="17"/>
      <c r="AE3" s="17"/>
      <c r="AF3" s="17"/>
      <c r="AG3" s="17" t="s">
        <v>4</v>
      </c>
      <c r="AH3" s="17"/>
      <c r="AI3" s="17" t="s">
        <v>25</v>
      </c>
      <c r="AJ3" s="17"/>
      <c r="AK3" s="17"/>
      <c r="AL3" s="17"/>
      <c r="AM3" s="18" t="s">
        <v>11</v>
      </c>
      <c r="AO3" s="12" t="s">
        <v>9</v>
      </c>
      <c r="AP3" s="13" t="s">
        <v>10</v>
      </c>
      <c r="AQ3" s="19"/>
      <c r="AR3" s="14" t="s">
        <v>12</v>
      </c>
      <c r="AS3" s="14" t="s">
        <v>13</v>
      </c>
      <c r="AT3" s="14" t="s">
        <v>14</v>
      </c>
      <c r="AU3" s="14" t="s">
        <v>15</v>
      </c>
      <c r="AV3" s="14" t="s">
        <v>16</v>
      </c>
      <c r="AW3" s="14" t="s">
        <v>17</v>
      </c>
      <c r="AY3" s="14" t="s">
        <v>18</v>
      </c>
      <c r="AZ3" s="14" t="s">
        <v>19</v>
      </c>
      <c r="BA3" s="14" t="s">
        <v>20</v>
      </c>
      <c r="BB3" s="14" t="s">
        <v>21</v>
      </c>
      <c r="BC3" s="14" t="s">
        <v>22</v>
      </c>
      <c r="BE3" s="16" t="s">
        <v>23</v>
      </c>
      <c r="BF3" s="9" t="s">
        <v>8</v>
      </c>
      <c r="BG3" s="10">
        <f>STN_GAP</f>
        <v>7.31</v>
      </c>
    </row>
    <row r="4" spans="1:60" x14ac:dyDescent="0.25">
      <c r="A4" s="20">
        <f>Tools!$AD3</f>
        <v>0</v>
      </c>
      <c r="B4" s="21">
        <f t="shared" ref="B4:B28" si="0">VLOOKUP(A4,OFFSET_A,Count_WL+1,FALSE)</f>
        <v>4.24</v>
      </c>
      <c r="C4" s="22">
        <f>IF(A4="  ","  ",IF(A5="  ","?",1*(A5-A4)))</f>
        <v>0.5</v>
      </c>
      <c r="D4" s="23">
        <f>IFERROR(B4*C4,"  ")</f>
        <v>2.12</v>
      </c>
      <c r="E4" s="24">
        <f t="shared" ref="E4:E28" si="1">IFERROR(A4-(Long_Div/2),"  ")</f>
        <v>-10</v>
      </c>
      <c r="F4" s="23">
        <f>IFERROR(D4*E4,"  ")</f>
        <v>-21.200000000000003</v>
      </c>
      <c r="G4" s="23">
        <f>IFERROR(F4*E4,"  ")</f>
        <v>212.00000000000003</v>
      </c>
      <c r="H4" s="23">
        <f>IFERROR(B4^3,"  ")</f>
        <v>76.225024000000019</v>
      </c>
      <c r="I4" s="23">
        <f>IFERROR(H4*C4,"  ")</f>
        <v>38.112512000000009</v>
      </c>
      <c r="J4" s="4"/>
      <c r="K4" s="25">
        <f t="shared" ref="K4:K28" si="2">VLOOKUP(A4,AREA_TABLE,Count_WL+1,FALSE)</f>
        <v>30.293333333333329</v>
      </c>
      <c r="L4" s="23">
        <f>IFERROR(K4*C4,"  ")</f>
        <v>15.146666666666665</v>
      </c>
      <c r="M4" s="26">
        <f t="shared" ref="M4:M28" si="3">VLOOKUP(A4,MOMENT_TABLE,Count_WL+1,FALSE)</f>
        <v>328.84000000000003</v>
      </c>
      <c r="N4" s="27">
        <f>IFERROR(M4*C4,"  ")</f>
        <v>164.42000000000002</v>
      </c>
      <c r="O4" s="23">
        <f>IFERROR(L4*E4,"  ")</f>
        <v>-151.46666666666664</v>
      </c>
      <c r="P4" s="4"/>
      <c r="Q4" s="16" t="s">
        <v>26</v>
      </c>
      <c r="R4" s="9" t="s">
        <v>8</v>
      </c>
      <c r="S4" s="28">
        <f>LBP</f>
        <v>146.19999999999999</v>
      </c>
      <c r="W4" s="29">
        <f>IF(AO4="  ","  ",IF(AO5="  ","?",1*(AO5-AO4)))</f>
        <v>0.5</v>
      </c>
      <c r="X4" s="30" t="str">
        <f t="shared" ref="X4:X28" si="4">IF(Y4=0,"--",CONCATENATE(IF(AO4=0,"-",IF(Y3=0,"-",IF(AO4-AO3=0.5,"D",IF(AO4-AO3=1,"W","-")))),IF(AO4=Long_Div,"-",IF(Y5=0,"-",IF(AO5-AO4=0.5,"D",IF(AO5-AO4=1,"W","-"))))))</f>
        <v>-D</v>
      </c>
      <c r="Y4" s="30" t="str">
        <f t="shared" ref="Y4:Y28" si="5">IF(ISNUMBER(AO4),IF(AO4=Long_Div/2,"-",IF(AND(AO4=Long_Div,$AP4=0,$AP3=0),0,IF(AND(AO4=0,$AP4=0,$AP5=0),0,IF($AO4&lt;Long_Div/2,IF(AND(Y3=0,$AP4=0,$AP5=0),0,"-"),IF(AND(Y5=0,$AP4=0,$AP3=0),0,"-")))))," ")</f>
        <v>-</v>
      </c>
      <c r="Z4" s="29" t="b">
        <f t="shared" ref="Z4:Z28" si="6">IF(ISNUMBER(AO4),IF(AO4=0,IF(AO5=0.5,TRUE,FALSE),IF(AO4=Long_Div,IF(AO3=Long_Div-0.5,TRUE,FALSE),IF(OR(AO5-AO4=0.5,AO4-AO3=0.5),TRUE,FALSE)))," ")</f>
        <v>1</v>
      </c>
      <c r="AA4" s="29" t="b">
        <f t="shared" ref="AA4:AA28" si="7">IF(ISNUMBER(AO4),IF(Y4=0," ",IF(AO4=0,IF(AO5=0.5,TRUE,"-"),IF(AO4=Long_Div,IF(AO3=Long_Div-0.5,TRUE,"-"),IF(OR(AO5-AO4=0.5,AO4-AO3=0.5),TRUE,FALSE))))," ")</f>
        <v>1</v>
      </c>
      <c r="AB4" s="29" t="str">
        <f t="shared" ref="AB4:AB28" ca="1" si="8">IF(AO4&lt;=Long_Div/2,IF(ISNUMBER(AO4),IF($X$1=0,"---",IF($X$1=1,"##",IF($X$1=2,IF(AD4=1,"141-4",IF(OR(AD4=0,AD4=2),"141-1","**")),IF(AC4&lt;=($Y$1),"--",IF(AC4&gt;$W$1,"++",IF(ISODD($X$1),IF(OR(AD4=1,AD4=$X$1),"141-1",IF(ISODD(AD4),"141-2",IF(ISEVEN(AD4),"141-4","+"))),IF(ISEVEN($X$1),IF(AD4=1,"1331-1",IF(OR(AD4=2,AD4=3),"1331-3",IF(AD4=4,IF($X$1=4,"1331-1","1331-1,141-1"),IF(AD4=$X$1,"141-1",IF(AD4&lt;=4,"??",IF(ISODD(AD4),"141-4",IF(ISEVEN(AD4),"141-2","SS"))))))))))))))," "),IF(AO4&gt;Long_Div/2,IF(ISNUMBER(AO4),IF($AD$1=0,"---",IF($AD$1=1,"##",IF($AD$1=2,IF(AD4=1,"141-4",IF(OR(AD4=0,AD4=2),"141-1","**")),IF(AC4&lt;=($AE$1),"--",IF(AC4&gt;$AC$1,"++",IF(ISODD($AD$1),IF(OR(AD4=1,AD4=$AD$1),"141-1",IF(ISODD(AD4),"141-2",IF(ISEVEN(AD4),"141-4","+"))),IF(ISEVEN($AD$1),IF(AD4=1,"1331-1",IF(OR(AD4=2,AD4=3),"1331-3",IF(AD4=4,IF($AD$1=4,"1331-1","1331-1,141-1"),IF(AD4=$AD$1,"141-1",IF(AD4&lt;=4,"??",IF(ISODD(AD4),"141-4",IF(ISEVEN(AD4),"141-2","SS"))))))))))))))," "),"@"))</f>
        <v>141-1</v>
      </c>
      <c r="AC4" s="29">
        <f>IF(ISNUMBER(AO4),IF(ISNUMBER(AO4),IF(OR(AO4=0,AO4=Long_Div),1,IF(AO4&gt;Long_Div/2,AC5+1,IF(AO4&lt;=Long_Div/2,AE3+1,"?")))," --")," ")</f>
        <v>1</v>
      </c>
      <c r="AD4" s="29">
        <f t="shared" ref="AD4:AD28" ca="1" si="9">IF(ISNUMBER(AO4),IF(AO4&gt;Long_Div/2,4-ROW(AD4)+Max_STN_count-$AE$1,ROW(AD4)-3-$Y$1)," ")</f>
        <v>1</v>
      </c>
      <c r="AE4" s="29">
        <v>1</v>
      </c>
      <c r="AF4" s="31" t="str">
        <f t="shared" ref="AF4:AF8" si="10">IF(AND(AG4=TRUE,OR(NOT(AG3=TRUE),AG3="Full")),1,IF(ISNUMBER(AF3),AF3+1," "))</f>
        <v xml:space="preserve"> </v>
      </c>
      <c r="AG4" s="29" t="b">
        <f t="shared" ref="AG4:AG28" si="11">IF(ISNUMBER(AO4),IF(AA4=" "," ",IF(AO4=0,IF(AO5-AO4=1,TRUE,FALSE),IF(AO4=Long_Div,IF(AO4-AO3=1,TRUE,FALSE),IF(OR(AO5-AO4=1,AO4-AO3=1),TRUE,FALSE))))," ")</f>
        <v>0</v>
      </c>
      <c r="AH4" s="30" t="str">
        <f t="shared" ref="AH4:AH13" si="12">IF(AND(AG4=TRUE,$AH$1=1),"141-4",IF(AG4=" ",IF(AND($AH$1=2,AF4=3),"141-1","-"),IF(OR(AG4=FALSE,AG4=" "),"-",IF(AG4=TRUE,IF(AND($AH$1=2,AF4=1),"141-1",IF(AND($AH$1=2,AF4=2),"141-4",IF(OR(ISODD($AH$1),AF4&gt;4),IF(AF4=1,"141-1",IF(OR(AB4="141-1",AB4="1331-1",AB4="1331-1,141-1"),"141-1",IF(AG5=" ","141-1",IF(OR(AH3="141-1",AH3="141-2",AH3="1331-1,141-1"),"141-4",IF(AH3="141-4","141-2","$$"))))),IF(ISEVEN($AH$1),IF(AF4=1,"1331-1",IF(OR(AF4=2,AF4=3),"1331-3",IF(AF4=4,IF($AH$1=4,"1331-1","1331-1,141-1"),"")))))))))))</f>
        <v>-</v>
      </c>
      <c r="AI4" s="30" t="str">
        <f t="shared" ref="AI4:AI28" ca="1" si="13">IF(OR(AB4="1331-1",AB4="1331-1,141-1"),"(1/2)*(3/8)",IF(AB4="1331-3","(1/2)*(9/8)",IF(AB4="141-1","(1/2)*(1/3)",IF(AB4="141-2","(1/2)*(2/3)",IF(AB4="141-4","(1/2)*(4/3)","")))))</f>
        <v>(1/2)*(1/3)</v>
      </c>
      <c r="AJ4" s="29">
        <f t="shared" ref="AJ4:AJ28" ca="1" si="14">IF(OR(AB4="1331-1",AB4="1331-1,141-1"),(1/2)*(3/8),IF(AB4="1331-3",(1/2)*(9/8),IF(AB4="141-1",(1/2)*(1/3),IF(AB4="141-2",(1/2)*(2/3),IF(AB4="141-4",(1/2)*(4/3),0)))))</f>
        <v>0.16666666666666666</v>
      </c>
      <c r="AK4" s="29" t="str">
        <f t="shared" ref="AK4:AK28" si="15">IF(AH4="1331-1,141-1","(1*3/8)+(1/3)",IF(LEFT(AH4,4)="141-",CONCATENATE(RIGHT(AH4,1),"/3"),IF(LEFT(AH4,4)="1331",CONCATENATE(RIGHT(AH4,1),"*3/8"),"")))</f>
        <v/>
      </c>
      <c r="AL4" s="29">
        <f t="shared" ref="AL4:AL28" si="16">IF(AH4="1331-1,141-1",(1*3/8)+(1/3),IF(LEFT(AH4,4)="141-",(RIGHT(AH4,1)/3),IF(LEFT(AH4,4)="1331",RIGHT(AH4,1)*3/8,0)))</f>
        <v>0</v>
      </c>
      <c r="AM4" s="32">
        <f ca="1">IF(AQ4=""," ",AJ4+AL4)</f>
        <v>0.16666666666666666</v>
      </c>
      <c r="AO4" s="20">
        <f>Tools!$AD3</f>
        <v>0</v>
      </c>
      <c r="AP4" s="33">
        <f t="shared" ref="AP4" si="17">VLOOKUP(AO4,OFFSET_A,Count_WL+1,FALSE)</f>
        <v>4.24</v>
      </c>
      <c r="AQ4" s="34" t="str">
        <f t="shared" ref="AQ4:AQ28" ca="1" si="18">CONCATENATE(AI4,IF(NOT(OR(AI4="",AK4="")),"+",""),AK4)</f>
        <v>(1/2)*(1/3)</v>
      </c>
      <c r="AR4" s="23">
        <f t="shared" ref="AR4:AR28" ca="1" si="19">IFERROR(AP4*AM4,"  ")</f>
        <v>0.70666666666666667</v>
      </c>
      <c r="AS4" s="24">
        <f t="shared" ref="AS4:AS28" si="20">IFERROR(AO4-(Long_Div/2),"  ")</f>
        <v>-10</v>
      </c>
      <c r="AT4" s="23">
        <f ca="1">IFERROR(AR4*AS4,"  ")</f>
        <v>-7.0666666666666664</v>
      </c>
      <c r="AU4" s="23">
        <f ca="1">IFERROR(AT4*AS4,"  ")</f>
        <v>70.666666666666657</v>
      </c>
      <c r="AV4" s="23">
        <f t="shared" ref="AV4:AV28" si="21">IFERROR(AP4^3,"  ")</f>
        <v>76.225024000000019</v>
      </c>
      <c r="AW4" s="23">
        <f t="shared" ref="AW4:AW28" ca="1" si="22">IFERROR(AV4*AM4,"  ")</f>
        <v>12.70417066666667</v>
      </c>
      <c r="AY4" s="35">
        <f t="shared" ref="AY4:AY28" si="23">IF(ROW(AY4)-3&gt;Max_STN_count," ",VLOOKUP(AO4,AREA_TABLE,Count_WL+1,FALSE))</f>
        <v>30.293333333333329</v>
      </c>
      <c r="AZ4" s="23">
        <f t="shared" ref="AZ4:AZ7" ca="1" si="24">IFERROR(AY4*AM4,"  ")</f>
        <v>5.0488888888888876</v>
      </c>
      <c r="BA4" s="36">
        <f t="shared" ref="BA4:BA28" si="25">IF(ROW(AY4)-3&gt;Max_STN_count," ",VLOOKUP(AO4,MOMENT_TABLE,Count_WL+1,FALSE))</f>
        <v>328.84000000000003</v>
      </c>
      <c r="BB4" s="27">
        <f ca="1">IFERROR(BA4*AM4,"  ")</f>
        <v>54.806666666666672</v>
      </c>
      <c r="BC4" s="23">
        <f ca="1">IFERROR(AZ4*AS4,"  ")</f>
        <v>-50.48888888888888</v>
      </c>
      <c r="BE4" s="16" t="s">
        <v>26</v>
      </c>
      <c r="BF4" s="9" t="s">
        <v>8</v>
      </c>
      <c r="BG4" s="28">
        <f>LBP</f>
        <v>146.19999999999999</v>
      </c>
    </row>
    <row r="5" spans="1:60" x14ac:dyDescent="0.25">
      <c r="A5" s="20">
        <f>Tools!$AD4</f>
        <v>0.5</v>
      </c>
      <c r="B5" s="33">
        <f t="shared" si="0"/>
        <v>5.85</v>
      </c>
      <c r="C5" s="22">
        <f>IF(A5="  ","  ",IF(AND(A4="  ",A6="  "),"?",IF(A4="  ",2*(A6-A5),IF(A6="  ",2*(A5-A4),2*(A6-A4)))))</f>
        <v>2</v>
      </c>
      <c r="D5" s="23">
        <f t="shared" ref="D5:D28" si="26">IFERROR(B5*C5,"  ")</f>
        <v>11.7</v>
      </c>
      <c r="E5" s="24">
        <f t="shared" si="1"/>
        <v>-9.5</v>
      </c>
      <c r="F5" s="23">
        <f t="shared" ref="F5:F28" si="27">IFERROR(D5*E5,"  ")</f>
        <v>-111.14999999999999</v>
      </c>
      <c r="G5" s="23">
        <f t="shared" ref="G5:G28" si="28">IFERROR(F5*E5,"  ")</f>
        <v>1055.925</v>
      </c>
      <c r="H5" s="23">
        <f t="shared" ref="H5:H28" si="29">IFERROR(B5^3,"  ")</f>
        <v>200.20162499999998</v>
      </c>
      <c r="I5" s="23">
        <f t="shared" ref="I5:I28" si="30">IFERROR(H5*C5,"  ")</f>
        <v>400.40324999999996</v>
      </c>
      <c r="J5" s="4"/>
      <c r="K5" s="37">
        <f t="shared" si="2"/>
        <v>54.24666666666667</v>
      </c>
      <c r="L5" s="23">
        <f t="shared" ref="L5:L28" si="31">IFERROR(K5*C5,"  ")</f>
        <v>108.49333333333334</v>
      </c>
      <c r="M5" s="38">
        <f t="shared" si="3"/>
        <v>540.93999999999994</v>
      </c>
      <c r="N5" s="27">
        <f t="shared" ref="N5:N28" si="32">IFERROR(M5*C5,"  ")</f>
        <v>1081.8799999999999</v>
      </c>
      <c r="O5" s="23">
        <f t="shared" ref="O5:O28" si="33">IFERROR(L5*E5,"  ")</f>
        <v>-1030.6866666666667</v>
      </c>
      <c r="P5" s="4"/>
      <c r="Q5" s="8" t="s">
        <v>27</v>
      </c>
      <c r="R5" s="9" t="s">
        <v>8</v>
      </c>
      <c r="S5" s="10">
        <f>BREADTH</f>
        <v>22</v>
      </c>
      <c r="W5" s="29">
        <f>IF(AO5="  ","  ",IF(AND(AO4="  ",AO6="  "),"?",IF(AO4="  ",2*(AO6-AO5),IF(AO6="  ",2*(AO5-AO4),2*(AO6-AO4)))))</f>
        <v>2</v>
      </c>
      <c r="X5" s="30" t="str">
        <f t="shared" si="4"/>
        <v>DD</v>
      </c>
      <c r="Y5" s="30" t="str">
        <f t="shared" si="5"/>
        <v>-</v>
      </c>
      <c r="Z5" s="29" t="b">
        <f t="shared" si="6"/>
        <v>1</v>
      </c>
      <c r="AA5" s="29" t="b">
        <f t="shared" si="7"/>
        <v>1</v>
      </c>
      <c r="AB5" s="29" t="str">
        <f t="shared" ca="1" si="8"/>
        <v>141-4</v>
      </c>
      <c r="AC5" s="29">
        <f t="shared" ref="AC5:AC27" si="34">IF(ISNUMBER(AO5),IF(ISNUMBER(AO5),IF(OR(AO5=0,AO5=Long_Div),1,IF(AO5&gt;Long_Div/2,AC6+1,IF(AO5&lt;=Long_Div/2,AC4+1,"?")))," --")," ")</f>
        <v>2</v>
      </c>
      <c r="AD5" s="29">
        <f t="shared" ca="1" si="9"/>
        <v>2</v>
      </c>
      <c r="AE5" s="29">
        <v>2</v>
      </c>
      <c r="AF5" s="31" t="str">
        <f t="shared" si="10"/>
        <v xml:space="preserve"> </v>
      </c>
      <c r="AG5" s="29" t="b">
        <f t="shared" si="11"/>
        <v>0</v>
      </c>
      <c r="AH5" s="30" t="str">
        <f t="shared" si="12"/>
        <v>-</v>
      </c>
      <c r="AI5" s="30" t="str">
        <f t="shared" ca="1" si="13"/>
        <v>(1/2)*(4/3)</v>
      </c>
      <c r="AJ5" s="29">
        <f t="shared" ca="1" si="14"/>
        <v>0.66666666666666663</v>
      </c>
      <c r="AK5" s="29" t="str">
        <f t="shared" si="15"/>
        <v/>
      </c>
      <c r="AL5" s="29">
        <f t="shared" si="16"/>
        <v>0</v>
      </c>
      <c r="AM5" s="32">
        <f t="shared" ref="AM5:AM28" ca="1" si="35">IF(AQ5=""," ",AJ5+AL5)</f>
        <v>0.66666666666666663</v>
      </c>
      <c r="AO5" s="20">
        <f>Tools!$AD4</f>
        <v>0.5</v>
      </c>
      <c r="AP5" s="33">
        <f t="shared" ref="AP5:AP26" si="36">VLOOKUP(AO5,OFFSET_A,Count_WL+1,FALSE)</f>
        <v>5.85</v>
      </c>
      <c r="AQ5" s="34" t="str">
        <f t="shared" ca="1" si="18"/>
        <v>(1/2)*(4/3)</v>
      </c>
      <c r="AR5" s="23">
        <f t="shared" ca="1" si="19"/>
        <v>3.8999999999999995</v>
      </c>
      <c r="AS5" s="24">
        <f t="shared" si="20"/>
        <v>-9.5</v>
      </c>
      <c r="AT5" s="23">
        <f t="shared" ref="AT5:AT28" ca="1" si="37">IFERROR(AR5*AS5,"  ")</f>
        <v>-37.049999999999997</v>
      </c>
      <c r="AU5" s="23">
        <f ca="1">IFERROR(AT5*AS5,"  ")</f>
        <v>351.97499999999997</v>
      </c>
      <c r="AV5" s="23">
        <f t="shared" si="21"/>
        <v>200.20162499999998</v>
      </c>
      <c r="AW5" s="23">
        <f t="shared" ca="1" si="22"/>
        <v>133.46774999999997</v>
      </c>
      <c r="AY5" s="35">
        <f t="shared" si="23"/>
        <v>54.24666666666667</v>
      </c>
      <c r="AZ5" s="23">
        <f t="shared" ca="1" si="24"/>
        <v>36.164444444444442</v>
      </c>
      <c r="BA5" s="36">
        <f t="shared" si="25"/>
        <v>540.93999999999994</v>
      </c>
      <c r="BB5" s="27">
        <f t="shared" ref="BB5:BB28" ca="1" si="38">IFERROR(BA5*AM5,"  ")</f>
        <v>360.62666666666661</v>
      </c>
      <c r="BC5" s="23">
        <f t="shared" ref="BC5:BC28" ca="1" si="39">IFERROR(AZ5*AS5,"  ")</f>
        <v>-343.5622222222222</v>
      </c>
      <c r="BE5" s="8" t="s">
        <v>27</v>
      </c>
      <c r="BF5" s="9" t="s">
        <v>8</v>
      </c>
      <c r="BG5" s="10">
        <f>BREADTH</f>
        <v>22</v>
      </c>
    </row>
    <row r="6" spans="1:60" x14ac:dyDescent="0.25">
      <c r="A6" s="20">
        <f>Tools!$AD5</f>
        <v>1</v>
      </c>
      <c r="B6" s="33">
        <f t="shared" si="0"/>
        <v>7.27</v>
      </c>
      <c r="C6" s="22">
        <f>IF(A6="  ","  ",IF(AND(A5="  ",A7="  "),"?",IF(A5="  ",1*(A7-A6),IF(A7="  ",1*(A6-A5),1*(A7-A5)))))</f>
        <v>1</v>
      </c>
      <c r="D6" s="23">
        <f t="shared" si="26"/>
        <v>7.27</v>
      </c>
      <c r="E6" s="24">
        <f t="shared" si="1"/>
        <v>-9</v>
      </c>
      <c r="F6" s="23">
        <f t="shared" si="27"/>
        <v>-65.429999999999993</v>
      </c>
      <c r="G6" s="23">
        <f t="shared" si="28"/>
        <v>588.86999999999989</v>
      </c>
      <c r="H6" s="23">
        <f t="shared" si="29"/>
        <v>384.2405829999999</v>
      </c>
      <c r="I6" s="23">
        <f t="shared" si="30"/>
        <v>384.2405829999999</v>
      </c>
      <c r="J6" s="4"/>
      <c r="K6" s="37">
        <f t="shared" si="2"/>
        <v>86.053333333333313</v>
      </c>
      <c r="L6" s="23">
        <f t="shared" si="31"/>
        <v>86.053333333333313</v>
      </c>
      <c r="M6" s="38">
        <f t="shared" si="3"/>
        <v>776.44333333333338</v>
      </c>
      <c r="N6" s="27">
        <f t="shared" si="32"/>
        <v>776.44333333333338</v>
      </c>
      <c r="O6" s="23">
        <f t="shared" si="33"/>
        <v>-774.47999999999979</v>
      </c>
      <c r="P6" s="4"/>
      <c r="Q6" s="8" t="s">
        <v>28</v>
      </c>
      <c r="R6" s="9" t="s">
        <v>8</v>
      </c>
      <c r="S6" s="10">
        <f>DEPTH</f>
        <v>13</v>
      </c>
      <c r="W6" s="29">
        <f>IF(AO6="  ","  ",IF(AND(AO5="  ",AO7="  "),"?",IF(AO5="  ",1*(AO7-AO6),IF(AO7="  ",1*(AO6-AO5),1*(AO7-AO5)))))</f>
        <v>1</v>
      </c>
      <c r="X6" s="30" t="str">
        <f t="shared" si="4"/>
        <v>DD</v>
      </c>
      <c r="Y6" s="30" t="str">
        <f t="shared" si="5"/>
        <v>-</v>
      </c>
      <c r="Z6" s="29" t="b">
        <f t="shared" si="6"/>
        <v>1</v>
      </c>
      <c r="AA6" s="29" t="b">
        <f t="shared" si="7"/>
        <v>1</v>
      </c>
      <c r="AB6" s="29" t="str">
        <f t="shared" ca="1" si="8"/>
        <v>141-2</v>
      </c>
      <c r="AC6" s="29">
        <f t="shared" si="34"/>
        <v>3</v>
      </c>
      <c r="AD6" s="29">
        <f t="shared" ca="1" si="9"/>
        <v>3</v>
      </c>
      <c r="AE6" s="29">
        <v>3</v>
      </c>
      <c r="AF6" s="31" t="str">
        <f t="shared" si="10"/>
        <v xml:space="preserve"> </v>
      </c>
      <c r="AG6" s="29" t="b">
        <f t="shared" si="11"/>
        <v>0</v>
      </c>
      <c r="AH6" s="30" t="str">
        <f t="shared" si="12"/>
        <v>-</v>
      </c>
      <c r="AI6" s="30" t="str">
        <f t="shared" ca="1" si="13"/>
        <v>(1/2)*(2/3)</v>
      </c>
      <c r="AJ6" s="29">
        <f t="shared" ca="1" si="14"/>
        <v>0.33333333333333331</v>
      </c>
      <c r="AK6" s="29" t="str">
        <f t="shared" si="15"/>
        <v/>
      </c>
      <c r="AL6" s="29">
        <f t="shared" si="16"/>
        <v>0</v>
      </c>
      <c r="AM6" s="32">
        <f t="shared" ca="1" si="35"/>
        <v>0.33333333333333331</v>
      </c>
      <c r="AO6" s="20">
        <f>Tools!$AD5</f>
        <v>1</v>
      </c>
      <c r="AP6" s="33">
        <f t="shared" si="36"/>
        <v>7.27</v>
      </c>
      <c r="AQ6" s="34" t="str">
        <f t="shared" ca="1" si="18"/>
        <v>(1/2)*(2/3)</v>
      </c>
      <c r="AR6" s="23">
        <f t="shared" ca="1" si="19"/>
        <v>2.4233333333333329</v>
      </c>
      <c r="AS6" s="24">
        <f t="shared" si="20"/>
        <v>-9</v>
      </c>
      <c r="AT6" s="23">
        <f t="shared" ca="1" si="37"/>
        <v>-21.809999999999995</v>
      </c>
      <c r="AU6" s="23">
        <f ca="1">IFERROR(AT6*AS6,"  ")</f>
        <v>196.28999999999996</v>
      </c>
      <c r="AV6" s="23">
        <f t="shared" si="21"/>
        <v>384.2405829999999</v>
      </c>
      <c r="AW6" s="23">
        <f t="shared" ca="1" si="22"/>
        <v>128.08019433333328</v>
      </c>
      <c r="AY6" s="35">
        <f t="shared" si="23"/>
        <v>86.053333333333313</v>
      </c>
      <c r="AZ6" s="23">
        <f t="shared" ca="1" si="24"/>
        <v>28.684444444444438</v>
      </c>
      <c r="BA6" s="36">
        <f t="shared" si="25"/>
        <v>776.44333333333338</v>
      </c>
      <c r="BB6" s="27">
        <f t="shared" ca="1" si="38"/>
        <v>258.81444444444446</v>
      </c>
      <c r="BC6" s="23">
        <f t="shared" ca="1" si="39"/>
        <v>-258.15999999999997</v>
      </c>
      <c r="BE6" s="8" t="s">
        <v>28</v>
      </c>
      <c r="BF6" s="9" t="s">
        <v>8</v>
      </c>
      <c r="BG6" s="10">
        <f>DEPTH</f>
        <v>13</v>
      </c>
    </row>
    <row r="7" spans="1:60" x14ac:dyDescent="0.25">
      <c r="A7" s="20">
        <f>Tools!$AD6</f>
        <v>1.5</v>
      </c>
      <c r="B7" s="33">
        <f t="shared" si="0"/>
        <v>8.42</v>
      </c>
      <c r="C7" s="22">
        <f>IF(A7="  ","  ",IF(AND(A6="  ",A8="  "),"?",IF(A6="  ",2*(A8-A7),IF(A8="  ",2*(A7-A6),2*(A8-A6)))))</f>
        <v>2</v>
      </c>
      <c r="D7" s="23">
        <f t="shared" si="26"/>
        <v>16.84</v>
      </c>
      <c r="E7" s="24">
        <f t="shared" si="1"/>
        <v>-8.5</v>
      </c>
      <c r="F7" s="23">
        <f t="shared" si="27"/>
        <v>-143.13999999999999</v>
      </c>
      <c r="G7" s="23">
        <f t="shared" si="28"/>
        <v>1216.6899999999998</v>
      </c>
      <c r="H7" s="23">
        <f t="shared" si="29"/>
        <v>596.94768799999997</v>
      </c>
      <c r="I7" s="23">
        <f t="shared" si="30"/>
        <v>1193.8953759999999</v>
      </c>
      <c r="J7" s="4"/>
      <c r="K7" s="37">
        <f t="shared" si="2"/>
        <v>118</v>
      </c>
      <c r="L7" s="23">
        <f t="shared" si="31"/>
        <v>236</v>
      </c>
      <c r="M7" s="38">
        <f t="shared" si="3"/>
        <v>997.26333333333309</v>
      </c>
      <c r="N7" s="27">
        <f t="shared" si="32"/>
        <v>1994.5266666666662</v>
      </c>
      <c r="O7" s="23">
        <f t="shared" si="33"/>
        <v>-2006</v>
      </c>
      <c r="P7" s="4"/>
      <c r="Q7" s="39" t="s">
        <v>29</v>
      </c>
      <c r="R7" s="40" t="s">
        <v>8</v>
      </c>
      <c r="S7" s="41">
        <f>IF(MAX(B4:B28)=0," ",2*MAX(B4:B28))</f>
        <v>22</v>
      </c>
      <c r="W7" s="29">
        <f>IF(AO7="  ","  ",IF(AND(AO6="  ",AO8="  "),"?",IF(AO6="  ",2*(AO8-AO7),IF(AO8="  ",2*(AO7-AO6),2*(AO8-AO6)))))</f>
        <v>2</v>
      </c>
      <c r="X7" s="30" t="str">
        <f t="shared" si="4"/>
        <v>DD</v>
      </c>
      <c r="Y7" s="30" t="str">
        <f t="shared" si="5"/>
        <v>-</v>
      </c>
      <c r="Z7" s="29" t="b">
        <f t="shared" si="6"/>
        <v>1</v>
      </c>
      <c r="AA7" s="29" t="b">
        <f t="shared" si="7"/>
        <v>1</v>
      </c>
      <c r="AB7" s="29" t="str">
        <f t="shared" ca="1" si="8"/>
        <v>141-4</v>
      </c>
      <c r="AC7" s="29">
        <f t="shared" si="34"/>
        <v>4</v>
      </c>
      <c r="AD7" s="29">
        <f t="shared" ca="1" si="9"/>
        <v>4</v>
      </c>
      <c r="AE7" s="29">
        <v>4</v>
      </c>
      <c r="AF7" s="31" t="str">
        <f t="shared" si="10"/>
        <v xml:space="preserve"> </v>
      </c>
      <c r="AG7" s="29" t="b">
        <f t="shared" si="11"/>
        <v>0</v>
      </c>
      <c r="AH7" s="30" t="str">
        <f t="shared" si="12"/>
        <v>-</v>
      </c>
      <c r="AI7" s="30" t="str">
        <f t="shared" ca="1" si="13"/>
        <v>(1/2)*(4/3)</v>
      </c>
      <c r="AJ7" s="29">
        <f t="shared" ca="1" si="14"/>
        <v>0.66666666666666663</v>
      </c>
      <c r="AK7" s="29" t="str">
        <f t="shared" si="15"/>
        <v/>
      </c>
      <c r="AL7" s="29">
        <f t="shared" si="16"/>
        <v>0</v>
      </c>
      <c r="AM7" s="32">
        <f t="shared" ca="1" si="35"/>
        <v>0.66666666666666663</v>
      </c>
      <c r="AO7" s="20">
        <f>Tools!$AD6</f>
        <v>1.5</v>
      </c>
      <c r="AP7" s="33">
        <f t="shared" si="36"/>
        <v>8.42</v>
      </c>
      <c r="AQ7" s="34" t="str">
        <f t="shared" ca="1" si="18"/>
        <v>(1/2)*(4/3)</v>
      </c>
      <c r="AR7" s="23">
        <f t="shared" ca="1" si="19"/>
        <v>5.6133333333333333</v>
      </c>
      <c r="AS7" s="24">
        <f t="shared" si="20"/>
        <v>-8.5</v>
      </c>
      <c r="AT7" s="23">
        <f t="shared" ca="1" si="37"/>
        <v>-47.713333333333331</v>
      </c>
      <c r="AU7" s="23">
        <f t="shared" ref="AU7:AU28" ca="1" si="40">IFERROR(AT7*AS7,"  ")</f>
        <v>405.56333333333333</v>
      </c>
      <c r="AV7" s="23">
        <f t="shared" si="21"/>
        <v>596.94768799999997</v>
      </c>
      <c r="AW7" s="23">
        <f t="shared" ca="1" si="22"/>
        <v>397.96512533333328</v>
      </c>
      <c r="AY7" s="35">
        <f t="shared" si="23"/>
        <v>118</v>
      </c>
      <c r="AZ7" s="23">
        <f t="shared" ca="1" si="24"/>
        <v>78.666666666666657</v>
      </c>
      <c r="BA7" s="36">
        <f t="shared" si="25"/>
        <v>997.26333333333309</v>
      </c>
      <c r="BB7" s="27">
        <f t="shared" ca="1" si="38"/>
        <v>664.84222222222206</v>
      </c>
      <c r="BC7" s="23">
        <f t="shared" ca="1" si="39"/>
        <v>-668.66666666666663</v>
      </c>
      <c r="BE7" s="8" t="s">
        <v>29</v>
      </c>
      <c r="BF7" s="9" t="s">
        <v>8</v>
      </c>
      <c r="BG7" s="10">
        <f>IF(MAX(AP4:AP28)=0," ",2*MAX(AP4:AP28))</f>
        <v>22</v>
      </c>
    </row>
    <row r="8" spans="1:60" x14ac:dyDescent="0.25">
      <c r="A8" s="20">
        <f>Tools!$AD7</f>
        <v>2</v>
      </c>
      <c r="B8" s="33">
        <f t="shared" si="0"/>
        <v>9.3000000000000007</v>
      </c>
      <c r="C8" s="22">
        <f>IF(A8="  ","  ",IF(AND(A7="  ",A9="  "),"?",IF(A7="  ",1*(A9-A8),IF(A9="  ",1*(A8-A7),1*(A9-A7)))))</f>
        <v>1.5</v>
      </c>
      <c r="D8" s="23">
        <f t="shared" si="26"/>
        <v>13.950000000000001</v>
      </c>
      <c r="E8" s="24">
        <f t="shared" si="1"/>
        <v>-8</v>
      </c>
      <c r="F8" s="23">
        <f t="shared" si="27"/>
        <v>-111.60000000000001</v>
      </c>
      <c r="G8" s="23">
        <f t="shared" si="28"/>
        <v>892.80000000000007</v>
      </c>
      <c r="H8" s="23">
        <f t="shared" si="29"/>
        <v>804.3570000000002</v>
      </c>
      <c r="I8" s="23">
        <f t="shared" si="30"/>
        <v>1206.5355000000004</v>
      </c>
      <c r="J8" s="4"/>
      <c r="K8" s="37">
        <f t="shared" si="2"/>
        <v>147.14666666666665</v>
      </c>
      <c r="L8" s="23">
        <f t="shared" si="31"/>
        <v>220.71999999999997</v>
      </c>
      <c r="M8" s="38">
        <f t="shared" si="3"/>
        <v>1187.2099999999998</v>
      </c>
      <c r="N8" s="27">
        <f t="shared" si="32"/>
        <v>1780.8149999999996</v>
      </c>
      <c r="O8" s="23">
        <f t="shared" si="33"/>
        <v>-1765.7599999999998</v>
      </c>
      <c r="P8" s="4"/>
      <c r="Q8" s="42"/>
      <c r="R8" s="42"/>
      <c r="S8" s="42"/>
      <c r="W8" s="29">
        <f>IF(AO8="  ","  ",IF(AND(AO7="  ",AO9="  "),"?",IF(AO7="  ",1*(AO9-AO8),IF(AO9="  ",1*(AO8-AO7),1*(AO9-AO7)))))</f>
        <v>1.5</v>
      </c>
      <c r="X8" s="30" t="str">
        <f t="shared" si="4"/>
        <v>DW</v>
      </c>
      <c r="Y8" s="30" t="str">
        <f t="shared" si="5"/>
        <v>-</v>
      </c>
      <c r="Z8" s="29" t="b">
        <f t="shared" si="6"/>
        <v>1</v>
      </c>
      <c r="AA8" s="29" t="b">
        <f t="shared" si="7"/>
        <v>1</v>
      </c>
      <c r="AB8" s="29" t="str">
        <f t="shared" ca="1" si="8"/>
        <v>141-1</v>
      </c>
      <c r="AC8" s="29">
        <f t="shared" si="34"/>
        <v>5</v>
      </c>
      <c r="AD8" s="29">
        <f t="shared" ca="1" si="9"/>
        <v>5</v>
      </c>
      <c r="AE8" s="29">
        <v>5</v>
      </c>
      <c r="AF8" s="31">
        <f t="shared" si="10"/>
        <v>1</v>
      </c>
      <c r="AG8" s="29" t="b">
        <f t="shared" si="11"/>
        <v>1</v>
      </c>
      <c r="AH8" s="30" t="str">
        <f t="shared" si="12"/>
        <v>141-1</v>
      </c>
      <c r="AI8" s="30" t="str">
        <f t="shared" ca="1" si="13"/>
        <v>(1/2)*(1/3)</v>
      </c>
      <c r="AJ8" s="29">
        <f t="shared" ca="1" si="14"/>
        <v>0.16666666666666666</v>
      </c>
      <c r="AK8" s="29" t="str">
        <f t="shared" si="15"/>
        <v>1/3</v>
      </c>
      <c r="AL8" s="29">
        <f t="shared" si="16"/>
        <v>0.33333333333333331</v>
      </c>
      <c r="AM8" s="32">
        <f t="shared" ca="1" si="35"/>
        <v>0.5</v>
      </c>
      <c r="AO8" s="20">
        <f>Tools!$AD7</f>
        <v>2</v>
      </c>
      <c r="AP8" s="33">
        <f t="shared" si="36"/>
        <v>9.3000000000000007</v>
      </c>
      <c r="AQ8" s="34" t="str">
        <f t="shared" ca="1" si="18"/>
        <v>(1/2)*(1/3)+1/3</v>
      </c>
      <c r="AR8" s="23">
        <f t="shared" ca="1" si="19"/>
        <v>4.6500000000000004</v>
      </c>
      <c r="AS8" s="24">
        <f t="shared" si="20"/>
        <v>-8</v>
      </c>
      <c r="AT8" s="23">
        <f t="shared" ca="1" si="37"/>
        <v>-37.200000000000003</v>
      </c>
      <c r="AU8" s="23">
        <f t="shared" ca="1" si="40"/>
        <v>297.60000000000002</v>
      </c>
      <c r="AV8" s="23">
        <f t="shared" si="21"/>
        <v>804.3570000000002</v>
      </c>
      <c r="AW8" s="23">
        <f t="shared" ca="1" si="22"/>
        <v>402.1785000000001</v>
      </c>
      <c r="AY8" s="35">
        <f t="shared" si="23"/>
        <v>147.14666666666665</v>
      </c>
      <c r="AZ8" s="23">
        <f ca="1">IFERROR(AY8*AM8,"  ")</f>
        <v>73.573333333333323</v>
      </c>
      <c r="BA8" s="36">
        <f t="shared" si="25"/>
        <v>1187.2099999999998</v>
      </c>
      <c r="BB8" s="27">
        <f t="shared" ca="1" si="38"/>
        <v>593.6049999999999</v>
      </c>
      <c r="BC8" s="23">
        <f t="shared" ca="1" si="39"/>
        <v>-588.58666666666659</v>
      </c>
      <c r="BE8" s="8" t="s">
        <v>30</v>
      </c>
      <c r="BF8" s="9" t="s">
        <v>8</v>
      </c>
      <c r="BG8" s="10">
        <f ca="1">LBP-AJ33</f>
        <v>146.19999999999999</v>
      </c>
      <c r="BH8" t="str">
        <f ca="1">IF(AJ33&gt;0,CONCATENATE("(LWL is assumed between stations ",$AH$31," and ",$AH$33," as offset values extreme to these stations are zeros.)"),"")</f>
        <v/>
      </c>
    </row>
    <row r="9" spans="1:60" x14ac:dyDescent="0.25">
      <c r="A9" s="20">
        <f>Tools!$AD8</f>
        <v>3</v>
      </c>
      <c r="B9" s="33">
        <f t="shared" si="0"/>
        <v>10.44</v>
      </c>
      <c r="C9" s="22">
        <f>IF(A9="  ","  ",IF(AND(A8="  ",A10="  "),"?",IF(A8="  ",2*(A10-A9),IF(A10="  ",2*(A9-A8),2*(A10-A8)))))</f>
        <v>4</v>
      </c>
      <c r="D9" s="23">
        <f t="shared" si="26"/>
        <v>41.76</v>
      </c>
      <c r="E9" s="24">
        <f t="shared" si="1"/>
        <v>-7</v>
      </c>
      <c r="F9" s="23">
        <f t="shared" si="27"/>
        <v>-292.32</v>
      </c>
      <c r="G9" s="23">
        <f t="shared" si="28"/>
        <v>2046.24</v>
      </c>
      <c r="H9" s="23">
        <f t="shared" si="29"/>
        <v>1137.8931839999998</v>
      </c>
      <c r="I9" s="23">
        <f t="shared" si="30"/>
        <v>4551.5727359999992</v>
      </c>
      <c r="J9" s="4"/>
      <c r="K9" s="37">
        <f t="shared" si="2"/>
        <v>197.86666666666665</v>
      </c>
      <c r="L9" s="23">
        <f t="shared" si="31"/>
        <v>791.46666666666658</v>
      </c>
      <c r="M9" s="38">
        <f t="shared" si="3"/>
        <v>1485.8633333333332</v>
      </c>
      <c r="N9" s="27">
        <f t="shared" si="32"/>
        <v>5943.4533333333329</v>
      </c>
      <c r="O9" s="23">
        <f t="shared" si="33"/>
        <v>-5540.2666666666664</v>
      </c>
      <c r="P9" s="4"/>
      <c r="Q9" s="43" t="s">
        <v>31</v>
      </c>
      <c r="R9" s="44" t="s">
        <v>32</v>
      </c>
      <c r="S9" s="489" t="s">
        <v>33</v>
      </c>
      <c r="W9" s="29">
        <f>IF(AO9="  ","  ",IF(AND(AO8="  ",AO10="  "),"?",IF(AO8="  ",2*(AO10-AO9),IF(AO10="  ",2*(AO9-AO8),2*(AO10-AO8)))))</f>
        <v>4</v>
      </c>
      <c r="X9" s="30" t="str">
        <f t="shared" si="4"/>
        <v>WW</v>
      </c>
      <c r="Y9" s="30" t="str">
        <f t="shared" si="5"/>
        <v>-</v>
      </c>
      <c r="Z9" s="29" t="b">
        <f t="shared" si="6"/>
        <v>0</v>
      </c>
      <c r="AA9" s="29" t="b">
        <f t="shared" si="7"/>
        <v>0</v>
      </c>
      <c r="AB9" s="29" t="str">
        <f t="shared" ca="1" si="8"/>
        <v>++</v>
      </c>
      <c r="AC9" s="29">
        <f t="shared" si="34"/>
        <v>6</v>
      </c>
      <c r="AD9" s="29">
        <f t="shared" ca="1" si="9"/>
        <v>6</v>
      </c>
      <c r="AE9" s="29">
        <v>6</v>
      </c>
      <c r="AF9" s="31">
        <f>IF(AND(AG9=TRUE,OR(NOT(AG8=TRUE),AG8="Full")),1,IF(ISNUMBER(AF8),AF8+1," "))</f>
        <v>2</v>
      </c>
      <c r="AG9" s="29" t="b">
        <f t="shared" si="11"/>
        <v>1</v>
      </c>
      <c r="AH9" s="30" t="str">
        <f t="shared" ca="1" si="12"/>
        <v>141-4</v>
      </c>
      <c r="AI9" s="30" t="str">
        <f t="shared" ca="1" si="13"/>
        <v/>
      </c>
      <c r="AJ9" s="29">
        <f t="shared" ca="1" si="14"/>
        <v>0</v>
      </c>
      <c r="AK9" s="29" t="str">
        <f t="shared" ca="1" si="15"/>
        <v>4/3</v>
      </c>
      <c r="AL9" s="29">
        <f t="shared" ca="1" si="16"/>
        <v>1.3333333333333333</v>
      </c>
      <c r="AM9" s="32">
        <f t="shared" ca="1" si="35"/>
        <v>1.3333333333333333</v>
      </c>
      <c r="AO9" s="20">
        <f>Tools!$AD8</f>
        <v>3</v>
      </c>
      <c r="AP9" s="33">
        <f t="shared" si="36"/>
        <v>10.44</v>
      </c>
      <c r="AQ9" s="34" t="str">
        <f t="shared" ca="1" si="18"/>
        <v>4/3</v>
      </c>
      <c r="AR9" s="23">
        <f t="shared" ca="1" si="19"/>
        <v>13.919999999999998</v>
      </c>
      <c r="AS9" s="24">
        <f t="shared" si="20"/>
        <v>-7</v>
      </c>
      <c r="AT9" s="23">
        <f t="shared" ca="1" si="37"/>
        <v>-97.439999999999984</v>
      </c>
      <c r="AU9" s="23">
        <f t="shared" ca="1" si="40"/>
        <v>682.07999999999993</v>
      </c>
      <c r="AV9" s="23">
        <f t="shared" si="21"/>
        <v>1137.8931839999998</v>
      </c>
      <c r="AW9" s="23">
        <f t="shared" ca="1" si="22"/>
        <v>1517.1909119999996</v>
      </c>
      <c r="AY9" s="35">
        <f t="shared" si="23"/>
        <v>197.86666666666665</v>
      </c>
      <c r="AZ9" s="23">
        <f t="shared" ref="AZ9:AZ28" ca="1" si="41">IFERROR(AY9*AM9,"  ")</f>
        <v>263.82222222222219</v>
      </c>
      <c r="BA9" s="36">
        <f t="shared" si="25"/>
        <v>1485.8633333333332</v>
      </c>
      <c r="BB9" s="27">
        <f t="shared" ca="1" si="38"/>
        <v>1981.1511111111108</v>
      </c>
      <c r="BC9" s="23">
        <f t="shared" ca="1" si="39"/>
        <v>-1846.7555555555555</v>
      </c>
    </row>
    <row r="10" spans="1:60" x14ac:dyDescent="0.25">
      <c r="A10" s="20">
        <f>Tools!$AD9</f>
        <v>4</v>
      </c>
      <c r="B10" s="33">
        <f t="shared" si="0"/>
        <v>10.87</v>
      </c>
      <c r="C10" s="22">
        <f>IF(A10="  ","  ",IF(AND(A9="  ",A11="  "),"?",IF(A9="  ",1*(A11-A10),IF(A11="  ",1*(A10-A9),1*(A11-A9)))))</f>
        <v>2</v>
      </c>
      <c r="D10" s="23">
        <f t="shared" si="26"/>
        <v>21.74</v>
      </c>
      <c r="E10" s="24">
        <f t="shared" si="1"/>
        <v>-6</v>
      </c>
      <c r="F10" s="23">
        <f t="shared" si="27"/>
        <v>-130.44</v>
      </c>
      <c r="G10" s="23">
        <f t="shared" si="28"/>
        <v>782.64</v>
      </c>
      <c r="H10" s="23">
        <f t="shared" si="29"/>
        <v>1284.3655029999998</v>
      </c>
      <c r="I10" s="23">
        <f>IFERROR(H10*C10,"  ")</f>
        <v>2568.7310059999995</v>
      </c>
      <c r="J10" s="4"/>
      <c r="K10" s="37">
        <f t="shared" si="2"/>
        <v>236.92666666666668</v>
      </c>
      <c r="L10" s="23">
        <f t="shared" si="31"/>
        <v>473.85333333333335</v>
      </c>
      <c r="M10" s="38">
        <f t="shared" si="3"/>
        <v>1690.48</v>
      </c>
      <c r="N10" s="27">
        <f t="shared" si="32"/>
        <v>3380.96</v>
      </c>
      <c r="O10" s="23">
        <f t="shared" si="33"/>
        <v>-2843.12</v>
      </c>
      <c r="P10" s="4"/>
      <c r="Q10" s="45"/>
      <c r="R10" s="46"/>
      <c r="S10" s="490"/>
      <c r="W10" s="29">
        <f>IF(AO10="  ","  ",IF(AND(AO9="  ",AO11="  "),"?",IF(AO9="  ",1*(AO11-AO10),IF(AO11="  ",1*(AO10-AO9),1*(AO11-AO9)))))</f>
        <v>2</v>
      </c>
      <c r="X10" s="30" t="str">
        <f t="shared" si="4"/>
        <v>WW</v>
      </c>
      <c r="Y10" s="30" t="str">
        <f t="shared" si="5"/>
        <v>-</v>
      </c>
      <c r="Z10" s="29" t="b">
        <f t="shared" si="6"/>
        <v>0</v>
      </c>
      <c r="AA10" s="29" t="b">
        <f t="shared" si="7"/>
        <v>0</v>
      </c>
      <c r="AB10" s="29" t="str">
        <f t="shared" ca="1" si="8"/>
        <v>++</v>
      </c>
      <c r="AC10" s="29">
        <f t="shared" si="34"/>
        <v>7</v>
      </c>
      <c r="AD10" s="29">
        <f t="shared" ca="1" si="9"/>
        <v>7</v>
      </c>
      <c r="AE10" s="29">
        <v>7</v>
      </c>
      <c r="AF10" s="31">
        <f t="shared" ref="AF10:AF28" si="42">IF(AND(AG10=TRUE,OR(NOT(AG9=TRUE),AG9="Full")),1,IF(ISNUMBER(AF9),AF9+1," "))</f>
        <v>3</v>
      </c>
      <c r="AG10" s="29" t="b">
        <f t="shared" si="11"/>
        <v>1</v>
      </c>
      <c r="AH10" s="30" t="str">
        <f t="shared" ca="1" si="12"/>
        <v>141-2</v>
      </c>
      <c r="AI10" s="30" t="str">
        <f t="shared" ca="1" si="13"/>
        <v/>
      </c>
      <c r="AJ10" s="29">
        <f t="shared" ca="1" si="14"/>
        <v>0</v>
      </c>
      <c r="AK10" s="29" t="str">
        <f t="shared" ca="1" si="15"/>
        <v>2/3</v>
      </c>
      <c r="AL10" s="29">
        <f t="shared" ca="1" si="16"/>
        <v>0.66666666666666663</v>
      </c>
      <c r="AM10" s="32">
        <f t="shared" ca="1" si="35"/>
        <v>0.66666666666666663</v>
      </c>
      <c r="AO10" s="20">
        <f>Tools!$AD9</f>
        <v>4</v>
      </c>
      <c r="AP10" s="33">
        <f t="shared" si="36"/>
        <v>10.87</v>
      </c>
      <c r="AQ10" s="34" t="str">
        <f t="shared" ca="1" si="18"/>
        <v>2/3</v>
      </c>
      <c r="AR10" s="23">
        <f t="shared" ca="1" si="19"/>
        <v>7.2466666666666661</v>
      </c>
      <c r="AS10" s="24">
        <f t="shared" si="20"/>
        <v>-6</v>
      </c>
      <c r="AT10" s="23">
        <f t="shared" ca="1" si="37"/>
        <v>-43.48</v>
      </c>
      <c r="AU10" s="23">
        <f ca="1">IFERROR(AT10*AS10,"  ")</f>
        <v>260.88</v>
      </c>
      <c r="AV10" s="23">
        <f t="shared" si="21"/>
        <v>1284.3655029999998</v>
      </c>
      <c r="AW10" s="23">
        <f t="shared" ca="1" si="22"/>
        <v>856.24366866666651</v>
      </c>
      <c r="AY10" s="35">
        <f t="shared" si="23"/>
        <v>236.92666666666668</v>
      </c>
      <c r="AZ10" s="23">
        <f t="shared" ca="1" si="41"/>
        <v>157.95111111111112</v>
      </c>
      <c r="BA10" s="36">
        <f t="shared" si="25"/>
        <v>1690.48</v>
      </c>
      <c r="BB10" s="27">
        <f t="shared" ca="1" si="38"/>
        <v>1126.9866666666667</v>
      </c>
      <c r="BC10" s="23">
        <f t="shared" ca="1" si="39"/>
        <v>-947.70666666666671</v>
      </c>
      <c r="BE10" s="43" t="s">
        <v>31</v>
      </c>
      <c r="BF10" s="44" t="s">
        <v>32</v>
      </c>
      <c r="BG10" s="489" t="s">
        <v>33</v>
      </c>
    </row>
    <row r="11" spans="1:60" x14ac:dyDescent="0.25">
      <c r="A11" s="20">
        <f>Tools!$AD10</f>
        <v>5</v>
      </c>
      <c r="B11" s="33">
        <f t="shared" si="0"/>
        <v>11</v>
      </c>
      <c r="C11" s="22">
        <f>IF(A11="  ","  ",IF(AND(A10="  ",A12="  "),"?",IF(A10="  ",2*(A12-A11),IF(A12="  ",2*(A11-A10),2*(A12-A10)))))</f>
        <v>4</v>
      </c>
      <c r="D11" s="23">
        <f t="shared" si="26"/>
        <v>44</v>
      </c>
      <c r="E11" s="24">
        <f t="shared" si="1"/>
        <v>-5</v>
      </c>
      <c r="F11" s="23">
        <f t="shared" si="27"/>
        <v>-220</v>
      </c>
      <c r="G11" s="23">
        <f t="shared" si="28"/>
        <v>1100</v>
      </c>
      <c r="H11" s="23">
        <f t="shared" si="29"/>
        <v>1331</v>
      </c>
      <c r="I11" s="23">
        <f t="shared" si="30"/>
        <v>5324</v>
      </c>
      <c r="J11" s="4"/>
      <c r="K11" s="37">
        <f t="shared" si="2"/>
        <v>260.02666666666664</v>
      </c>
      <c r="L11" s="23">
        <f t="shared" si="31"/>
        <v>1040.1066666666666</v>
      </c>
      <c r="M11" s="38">
        <f t="shared" si="3"/>
        <v>1778.2766666666664</v>
      </c>
      <c r="N11" s="27">
        <f t="shared" si="32"/>
        <v>7113.1066666666657</v>
      </c>
      <c r="O11" s="23">
        <f t="shared" si="33"/>
        <v>-5200.5333333333328</v>
      </c>
      <c r="P11" s="4"/>
      <c r="Q11" s="47" t="s">
        <v>34</v>
      </c>
      <c r="R11" s="48" t="s">
        <v>35</v>
      </c>
      <c r="S11">
        <f>IF(Tools!$L$49="Use 141 rule only",I35,IF(Tools!$L$49="Use 141 and 1331 rules",BG12," "))</f>
        <v>2910.4277666666671</v>
      </c>
      <c r="W11" s="29">
        <f>IF(AO11="  ","  ",IF(AND(AO10="  ",AO12="  "),"?",IF(AO10="  ",2*(AO12-AO11),IF(AO12="  ",2*(AO11-AO10),2*(AO12-AO10)))))</f>
        <v>4</v>
      </c>
      <c r="X11" s="30" t="str">
        <f t="shared" si="4"/>
        <v>WW</v>
      </c>
      <c r="Y11" s="30" t="str">
        <f t="shared" si="5"/>
        <v>-</v>
      </c>
      <c r="Z11" s="29" t="b">
        <f t="shared" si="6"/>
        <v>0</v>
      </c>
      <c r="AA11" s="29" t="b">
        <f t="shared" si="7"/>
        <v>0</v>
      </c>
      <c r="AB11" s="29" t="str">
        <f t="shared" ca="1" si="8"/>
        <v>++</v>
      </c>
      <c r="AC11" s="29">
        <f t="shared" si="34"/>
        <v>8</v>
      </c>
      <c r="AD11" s="29">
        <f t="shared" ca="1" si="9"/>
        <v>8</v>
      </c>
      <c r="AE11" s="29">
        <v>8</v>
      </c>
      <c r="AF11" s="31">
        <f t="shared" si="42"/>
        <v>4</v>
      </c>
      <c r="AG11" s="29" t="b">
        <f t="shared" si="11"/>
        <v>1</v>
      </c>
      <c r="AH11" s="30" t="str">
        <f t="shared" ca="1" si="12"/>
        <v>141-4</v>
      </c>
      <c r="AI11" s="30" t="str">
        <f t="shared" ca="1" si="13"/>
        <v/>
      </c>
      <c r="AJ11" s="29">
        <f t="shared" ca="1" si="14"/>
        <v>0</v>
      </c>
      <c r="AK11" s="29" t="str">
        <f t="shared" ca="1" si="15"/>
        <v>4/3</v>
      </c>
      <c r="AL11" s="29">
        <f t="shared" ca="1" si="16"/>
        <v>1.3333333333333333</v>
      </c>
      <c r="AM11" s="32">
        <f t="shared" ca="1" si="35"/>
        <v>1.3333333333333333</v>
      </c>
      <c r="AO11" s="20">
        <f>Tools!$AD10</f>
        <v>5</v>
      </c>
      <c r="AP11" s="33">
        <f t="shared" si="36"/>
        <v>11</v>
      </c>
      <c r="AQ11" s="34" t="str">
        <f t="shared" ca="1" si="18"/>
        <v>4/3</v>
      </c>
      <c r="AR11" s="23">
        <f t="shared" ca="1" si="19"/>
        <v>14.666666666666666</v>
      </c>
      <c r="AS11" s="24">
        <f t="shared" si="20"/>
        <v>-5</v>
      </c>
      <c r="AT11" s="23">
        <f t="shared" ca="1" si="37"/>
        <v>-73.333333333333329</v>
      </c>
      <c r="AU11" s="23">
        <f t="shared" ca="1" si="40"/>
        <v>366.66666666666663</v>
      </c>
      <c r="AV11" s="23">
        <f t="shared" si="21"/>
        <v>1331</v>
      </c>
      <c r="AW11" s="23">
        <f t="shared" ca="1" si="22"/>
        <v>1774.6666666666665</v>
      </c>
      <c r="AY11" s="35">
        <f t="shared" si="23"/>
        <v>260.02666666666664</v>
      </c>
      <c r="AZ11" s="23">
        <f t="shared" ca="1" si="41"/>
        <v>346.70222222222219</v>
      </c>
      <c r="BA11" s="36">
        <f t="shared" si="25"/>
        <v>1778.2766666666664</v>
      </c>
      <c r="BB11" s="27">
        <f t="shared" ca="1" si="38"/>
        <v>2371.0355555555552</v>
      </c>
      <c r="BC11" s="23">
        <f ca="1">IFERROR(AZ11*AS11,"  ")</f>
        <v>-1733.5111111111109</v>
      </c>
      <c r="BE11" s="45"/>
      <c r="BF11" s="46"/>
      <c r="BG11" s="490"/>
    </row>
    <row r="12" spans="1:60" x14ac:dyDescent="0.25">
      <c r="A12" s="20">
        <f>Tools!$AD11</f>
        <v>6</v>
      </c>
      <c r="B12" s="33">
        <f t="shared" si="0"/>
        <v>11</v>
      </c>
      <c r="C12" s="22">
        <f>IF(A12="  ","  ",IF(AND(A11="  ",A13="  "),"?",IF(A11="  ",1*(A13-A12),IF(A13="  ",1*(A12-A11),1*(A13-A11)))))</f>
        <v>2</v>
      </c>
      <c r="D12" s="23">
        <f t="shared" si="26"/>
        <v>22</v>
      </c>
      <c r="E12" s="24">
        <f t="shared" si="1"/>
        <v>-4</v>
      </c>
      <c r="F12" s="23">
        <f t="shared" si="27"/>
        <v>-88</v>
      </c>
      <c r="G12" s="23">
        <f t="shared" si="28"/>
        <v>352</v>
      </c>
      <c r="H12" s="23">
        <f t="shared" si="29"/>
        <v>1331</v>
      </c>
      <c r="I12" s="23">
        <f t="shared" si="30"/>
        <v>2662</v>
      </c>
      <c r="J12" s="4"/>
      <c r="K12" s="37">
        <f t="shared" si="2"/>
        <v>276.85333333333335</v>
      </c>
      <c r="L12" s="23">
        <f t="shared" si="31"/>
        <v>553.70666666666671</v>
      </c>
      <c r="M12" s="38">
        <f t="shared" si="3"/>
        <v>1844.58</v>
      </c>
      <c r="N12" s="27">
        <f t="shared" si="32"/>
        <v>3689.16</v>
      </c>
      <c r="O12" s="23">
        <f t="shared" si="33"/>
        <v>-2214.8266666666668</v>
      </c>
      <c r="P12" s="4"/>
      <c r="Q12" s="47" t="s">
        <v>36</v>
      </c>
      <c r="R12" s="48" t="s">
        <v>37</v>
      </c>
      <c r="S12">
        <f>IF(Tools!$L$49="Use 141 rule only",I36,IF(Tools!$L$49="Use 141 and 1331 rules",BG13," "))</f>
        <v>-2594.1445346666665</v>
      </c>
      <c r="W12" s="29">
        <f>IF(AO12="  ","  ",IF(AND(AO11="  ",AO13="  "),"?",IF(AO11="  ",1*(AO13-AO12),IF(AO13="  ",1*(AO12-AO11),1*(AO13-AO11)))))</f>
        <v>2</v>
      </c>
      <c r="X12" s="30" t="str">
        <f t="shared" si="4"/>
        <v>WW</v>
      </c>
      <c r="Y12" s="30" t="str">
        <f t="shared" si="5"/>
        <v>-</v>
      </c>
      <c r="Z12" s="29" t="b">
        <f t="shared" si="6"/>
        <v>0</v>
      </c>
      <c r="AA12" s="29" t="b">
        <f t="shared" si="7"/>
        <v>0</v>
      </c>
      <c r="AB12" s="29" t="str">
        <f t="shared" ca="1" si="8"/>
        <v>++</v>
      </c>
      <c r="AC12" s="29">
        <f t="shared" si="34"/>
        <v>9</v>
      </c>
      <c r="AD12" s="29">
        <f t="shared" ca="1" si="9"/>
        <v>9</v>
      </c>
      <c r="AE12" s="29">
        <v>9</v>
      </c>
      <c r="AF12" s="31">
        <f t="shared" si="42"/>
        <v>5</v>
      </c>
      <c r="AG12" s="29" t="b">
        <f t="shared" si="11"/>
        <v>1</v>
      </c>
      <c r="AH12" s="30" t="str">
        <f t="shared" ca="1" si="12"/>
        <v>141-2</v>
      </c>
      <c r="AI12" s="30" t="str">
        <f t="shared" ca="1" si="13"/>
        <v/>
      </c>
      <c r="AJ12" s="29">
        <f t="shared" ca="1" si="14"/>
        <v>0</v>
      </c>
      <c r="AK12" s="29" t="str">
        <f t="shared" ca="1" si="15"/>
        <v>2/3</v>
      </c>
      <c r="AL12" s="29">
        <f t="shared" ca="1" si="16"/>
        <v>0.66666666666666663</v>
      </c>
      <c r="AM12" s="32">
        <f t="shared" ca="1" si="35"/>
        <v>0.66666666666666663</v>
      </c>
      <c r="AO12" s="20">
        <f>Tools!$AD11</f>
        <v>6</v>
      </c>
      <c r="AP12" s="33">
        <f t="shared" si="36"/>
        <v>11</v>
      </c>
      <c r="AQ12" s="34" t="str">
        <f t="shared" ca="1" si="18"/>
        <v>2/3</v>
      </c>
      <c r="AR12" s="23">
        <f t="shared" ca="1" si="19"/>
        <v>7.333333333333333</v>
      </c>
      <c r="AS12" s="24">
        <f t="shared" si="20"/>
        <v>-4</v>
      </c>
      <c r="AT12" s="23">
        <f t="shared" ca="1" si="37"/>
        <v>-29.333333333333332</v>
      </c>
      <c r="AU12" s="23">
        <f t="shared" ca="1" si="40"/>
        <v>117.33333333333333</v>
      </c>
      <c r="AV12" s="23">
        <f t="shared" si="21"/>
        <v>1331</v>
      </c>
      <c r="AW12" s="23">
        <f t="shared" ca="1" si="22"/>
        <v>887.33333333333326</v>
      </c>
      <c r="AY12" s="35">
        <f t="shared" si="23"/>
        <v>276.85333333333335</v>
      </c>
      <c r="AZ12" s="23">
        <f t="shared" ca="1" si="41"/>
        <v>184.56888888888889</v>
      </c>
      <c r="BA12" s="36">
        <f t="shared" si="25"/>
        <v>1844.58</v>
      </c>
      <c r="BB12" s="27">
        <f t="shared" ca="1" si="38"/>
        <v>1229.7199999999998</v>
      </c>
      <c r="BC12" s="23">
        <f t="shared" ca="1" si="39"/>
        <v>-738.27555555555557</v>
      </c>
      <c r="BE12" s="47" t="s">
        <v>34</v>
      </c>
      <c r="BF12" s="48" t="s">
        <v>38</v>
      </c>
      <c r="BG12" s="49">
        <f ca="1">IF(WL_No="  ","  ",2*h*$AR$29)</f>
        <v>2910.4277666666662</v>
      </c>
    </row>
    <row r="13" spans="1:60" x14ac:dyDescent="0.25">
      <c r="A13" s="20">
        <f>Tools!$AD12</f>
        <v>7</v>
      </c>
      <c r="B13" s="33">
        <f t="shared" si="0"/>
        <v>11</v>
      </c>
      <c r="C13" s="22">
        <f>IF(A13="  ","  ",IF(AND(A12="  ",A14="  "),"?",IF(A12="  ",2*(A14-A13),IF(A14="  ",2*(A13-A12),2*(A14-A12)))))</f>
        <v>4</v>
      </c>
      <c r="D13" s="23">
        <f t="shared" si="26"/>
        <v>44</v>
      </c>
      <c r="E13" s="24">
        <f t="shared" si="1"/>
        <v>-3</v>
      </c>
      <c r="F13" s="23">
        <f t="shared" si="27"/>
        <v>-132</v>
      </c>
      <c r="G13" s="23">
        <f t="shared" si="28"/>
        <v>396</v>
      </c>
      <c r="H13" s="23">
        <f t="shared" si="29"/>
        <v>1331</v>
      </c>
      <c r="I13" s="23">
        <f t="shared" si="30"/>
        <v>5324</v>
      </c>
      <c r="J13" s="4"/>
      <c r="K13" s="37">
        <f t="shared" si="2"/>
        <v>282.37333333333333</v>
      </c>
      <c r="L13" s="23">
        <f t="shared" si="31"/>
        <v>1129.4933333333333</v>
      </c>
      <c r="M13" s="38">
        <f t="shared" si="3"/>
        <v>1855.9533333333334</v>
      </c>
      <c r="N13" s="27">
        <f t="shared" si="32"/>
        <v>7423.8133333333335</v>
      </c>
      <c r="O13" s="23">
        <f t="shared" si="33"/>
        <v>-3388.48</v>
      </c>
      <c r="P13" s="4"/>
      <c r="Q13" s="50" t="s">
        <v>39</v>
      </c>
      <c r="R13" s="48" t="s">
        <v>40</v>
      </c>
      <c r="S13">
        <f>IF(Tools!$L$49="Use 141 rule only",I37,IF(Tools!$L$49="Use 141 and 1331 rules",BG14," "))</f>
        <v>-0.89132757884513936</v>
      </c>
      <c r="W13" s="29">
        <f>IF(AO13="  ","  ",IF(AND(AO12="  ",AO14="  "),"?",IF(AO12="  ",2*(AO14-AO13),IF(AO14="  ",2*(AO13-AO12),2*(AO14-AO12)))))</f>
        <v>4</v>
      </c>
      <c r="X13" s="30" t="str">
        <f t="shared" si="4"/>
        <v>WW</v>
      </c>
      <c r="Y13" s="30" t="str">
        <f t="shared" si="5"/>
        <v>-</v>
      </c>
      <c r="Z13" s="29" t="b">
        <f t="shared" si="6"/>
        <v>0</v>
      </c>
      <c r="AA13" s="29" t="b">
        <f t="shared" si="7"/>
        <v>0</v>
      </c>
      <c r="AB13" s="29" t="str">
        <f t="shared" ca="1" si="8"/>
        <v>++</v>
      </c>
      <c r="AC13" s="29">
        <f t="shared" si="34"/>
        <v>10</v>
      </c>
      <c r="AD13" s="29">
        <f t="shared" ca="1" si="9"/>
        <v>10</v>
      </c>
      <c r="AE13" s="29">
        <v>10</v>
      </c>
      <c r="AF13" s="31">
        <f t="shared" si="42"/>
        <v>6</v>
      </c>
      <c r="AG13" s="29" t="b">
        <f t="shared" si="11"/>
        <v>1</v>
      </c>
      <c r="AH13" s="30" t="str">
        <f t="shared" ca="1" si="12"/>
        <v>141-4</v>
      </c>
      <c r="AI13" s="30" t="str">
        <f t="shared" ca="1" si="13"/>
        <v/>
      </c>
      <c r="AJ13" s="29">
        <f t="shared" ca="1" si="14"/>
        <v>0</v>
      </c>
      <c r="AK13" s="29" t="str">
        <f t="shared" ca="1" si="15"/>
        <v>4/3</v>
      </c>
      <c r="AL13" s="29">
        <f t="shared" ca="1" si="16"/>
        <v>1.3333333333333333</v>
      </c>
      <c r="AM13" s="32">
        <f t="shared" ca="1" si="35"/>
        <v>1.3333333333333333</v>
      </c>
      <c r="AO13" s="20">
        <f>Tools!$AD12</f>
        <v>7</v>
      </c>
      <c r="AP13" s="33">
        <f t="shared" si="36"/>
        <v>11</v>
      </c>
      <c r="AQ13" s="34" t="str">
        <f t="shared" ca="1" si="18"/>
        <v>4/3</v>
      </c>
      <c r="AR13" s="23">
        <f t="shared" ca="1" si="19"/>
        <v>14.666666666666666</v>
      </c>
      <c r="AS13" s="24">
        <f t="shared" si="20"/>
        <v>-3</v>
      </c>
      <c r="AT13" s="23">
        <f t="shared" ca="1" si="37"/>
        <v>-44</v>
      </c>
      <c r="AU13" s="23">
        <f t="shared" ca="1" si="40"/>
        <v>132</v>
      </c>
      <c r="AV13" s="23">
        <f t="shared" si="21"/>
        <v>1331</v>
      </c>
      <c r="AW13" s="23">
        <f t="shared" ca="1" si="22"/>
        <v>1774.6666666666665</v>
      </c>
      <c r="AY13" s="35">
        <f t="shared" si="23"/>
        <v>282.37333333333333</v>
      </c>
      <c r="AZ13" s="23">
        <f t="shared" ca="1" si="41"/>
        <v>376.49777777777774</v>
      </c>
      <c r="BA13" s="36">
        <f t="shared" si="25"/>
        <v>1855.9533333333334</v>
      </c>
      <c r="BB13" s="27">
        <f t="shared" ca="1" si="38"/>
        <v>2474.6044444444442</v>
      </c>
      <c r="BC13" s="23">
        <f t="shared" ca="1" si="39"/>
        <v>-1129.4933333333333</v>
      </c>
      <c r="BE13" s="47" t="s">
        <v>36</v>
      </c>
      <c r="BF13" s="48" t="s">
        <v>41</v>
      </c>
      <c r="BG13" s="49">
        <f ca="1">IF(WL_No="  ","  ",2*(h^2)*$AT$29)</f>
        <v>-2594.1445346666651</v>
      </c>
    </row>
    <row r="14" spans="1:60" x14ac:dyDescent="0.25">
      <c r="A14" s="20">
        <f>Tools!$AD13</f>
        <v>8</v>
      </c>
      <c r="B14" s="33">
        <f t="shared" si="0"/>
        <v>11</v>
      </c>
      <c r="C14" s="22">
        <f>IF(A14="  ","  ",IF(AND(A13="  ",A15="  "),"?",IF(A13="  ",1*(A15-A14),IF(A15="  ",1*(A14-A13),1*(A15-A13)))))</f>
        <v>2</v>
      </c>
      <c r="D14" s="23">
        <f t="shared" si="26"/>
        <v>22</v>
      </c>
      <c r="E14" s="24">
        <f t="shared" si="1"/>
        <v>-2</v>
      </c>
      <c r="F14" s="23">
        <f t="shared" si="27"/>
        <v>-44</v>
      </c>
      <c r="G14" s="23">
        <f t="shared" si="28"/>
        <v>88</v>
      </c>
      <c r="H14" s="23">
        <f t="shared" si="29"/>
        <v>1331</v>
      </c>
      <c r="I14" s="23">
        <f t="shared" si="30"/>
        <v>2662</v>
      </c>
      <c r="J14" s="4"/>
      <c r="K14" s="37">
        <f t="shared" si="2"/>
        <v>284.25333333333333</v>
      </c>
      <c r="L14" s="23">
        <f t="shared" si="31"/>
        <v>568.50666666666666</v>
      </c>
      <c r="M14" s="38">
        <f t="shared" si="3"/>
        <v>1858.1333333333332</v>
      </c>
      <c r="N14" s="27">
        <f t="shared" si="32"/>
        <v>3716.2666666666664</v>
      </c>
      <c r="O14" s="23">
        <f t="shared" si="33"/>
        <v>-1137.0133333333333</v>
      </c>
      <c r="P14" s="4"/>
      <c r="Q14" s="50" t="s">
        <v>42</v>
      </c>
      <c r="R14" s="48" t="s">
        <v>43</v>
      </c>
      <c r="S14">
        <f>IF(Tools!$L$49="Use 141 rule only",I38,IF(Tools!$L$49="Use 141 and 1331 rules",BG15," "))</f>
        <v>4388722.2113486659</v>
      </c>
      <c r="W14" s="29">
        <f>IF(AO14="  ","  ",IF(AND(AO13="  ",AO15="  "),"?",IF(AO13="  ",1*(AO15-AO14),IF(AO15="  ",1*(AO14-AO13),1*(AO15-AO13)))))</f>
        <v>2</v>
      </c>
      <c r="X14" s="30" t="str">
        <f t="shared" si="4"/>
        <v>WW</v>
      </c>
      <c r="Y14" s="30" t="str">
        <f t="shared" si="5"/>
        <v>-</v>
      </c>
      <c r="Z14" s="29" t="b">
        <f t="shared" si="6"/>
        <v>0</v>
      </c>
      <c r="AA14" s="29" t="b">
        <f t="shared" si="7"/>
        <v>0</v>
      </c>
      <c r="AB14" s="29" t="str">
        <f t="shared" ca="1" si="8"/>
        <v>++</v>
      </c>
      <c r="AC14" s="29">
        <f t="shared" si="34"/>
        <v>11</v>
      </c>
      <c r="AD14" s="29">
        <f t="shared" ca="1" si="9"/>
        <v>11</v>
      </c>
      <c r="AE14" s="29">
        <v>11</v>
      </c>
      <c r="AF14" s="31">
        <f t="shared" si="42"/>
        <v>7</v>
      </c>
      <c r="AG14" s="29" t="b">
        <f t="shared" si="11"/>
        <v>1</v>
      </c>
      <c r="AH14" s="30" t="str">
        <f ca="1">IF(AND(AG14=TRUE,$AH$1=1),"141-4",IF(AG14=" ",IF(AND($AH$1=2,AF14=3),"141-1","-"),IF(OR(AG14=FALSE,AG14=" "),"-",IF(AG14=TRUE,IF(AND($AH$1=2,AF14=1),"141-1",IF(AND($AH$1=2,AF14=2),"141-4",IF(OR(ISODD($AH$1),AF14&gt;4),IF(AF14=1,"141-1",IF(OR(AB14="141-1",AB14="1331-1",AB14="1331-1,141-1"),"141-1",IF(AG15=" ","141-1",IF(OR(AH13="141-1",AH13="141-2",AH13="1331-1,141-1"),"141-4",IF(AH13="141-4","141-2","$$"))))),IF(ISEVEN($AH$1),IF(AF14=1,"1331-1",IF(OR(AF14=2,AF14=3),"1331-3",IF(AF14=4,IF($AH$1=4,"1331-1","1331-1,141-1"),"")))))))))))</f>
        <v>141-2</v>
      </c>
      <c r="AI14" s="30" t="str">
        <f t="shared" ca="1" si="13"/>
        <v/>
      </c>
      <c r="AJ14" s="29">
        <f t="shared" ca="1" si="14"/>
        <v>0</v>
      </c>
      <c r="AK14" s="29" t="str">
        <f t="shared" ca="1" si="15"/>
        <v>2/3</v>
      </c>
      <c r="AL14" s="29">
        <f t="shared" ca="1" si="16"/>
        <v>0.66666666666666663</v>
      </c>
      <c r="AM14" s="32">
        <f t="shared" ca="1" si="35"/>
        <v>0.66666666666666663</v>
      </c>
      <c r="AO14" s="20">
        <f>Tools!$AD13</f>
        <v>8</v>
      </c>
      <c r="AP14" s="33">
        <f t="shared" si="36"/>
        <v>11</v>
      </c>
      <c r="AQ14" s="34" t="str">
        <f t="shared" ca="1" si="18"/>
        <v>2/3</v>
      </c>
      <c r="AR14" s="23">
        <f t="shared" ca="1" si="19"/>
        <v>7.333333333333333</v>
      </c>
      <c r="AS14" s="24">
        <f t="shared" si="20"/>
        <v>-2</v>
      </c>
      <c r="AT14" s="23">
        <f t="shared" ca="1" si="37"/>
        <v>-14.666666666666666</v>
      </c>
      <c r="AU14" s="23">
        <f t="shared" ca="1" si="40"/>
        <v>29.333333333333332</v>
      </c>
      <c r="AV14" s="23">
        <f t="shared" si="21"/>
        <v>1331</v>
      </c>
      <c r="AW14" s="23">
        <f t="shared" ca="1" si="22"/>
        <v>887.33333333333326</v>
      </c>
      <c r="AY14" s="35">
        <f t="shared" si="23"/>
        <v>284.25333333333333</v>
      </c>
      <c r="AZ14" s="23">
        <f t="shared" ca="1" si="41"/>
        <v>189.5022222222222</v>
      </c>
      <c r="BA14" s="36">
        <f t="shared" si="25"/>
        <v>1858.1333333333332</v>
      </c>
      <c r="BB14" s="27">
        <f t="shared" ca="1" si="38"/>
        <v>1238.7555555555555</v>
      </c>
      <c r="BC14" s="23">
        <f t="shared" ca="1" si="39"/>
        <v>-379.0044444444444</v>
      </c>
      <c r="BE14" s="50" t="s">
        <v>39</v>
      </c>
      <c r="BF14" s="48" t="s">
        <v>40</v>
      </c>
      <c r="BG14" s="49">
        <f>IF(WL_No="  ","  ",Mmid/AWP)</f>
        <v>-0.89132757884513936</v>
      </c>
    </row>
    <row r="15" spans="1:60" x14ac:dyDescent="0.25">
      <c r="A15" s="20">
        <f>Tools!$AD14</f>
        <v>9</v>
      </c>
      <c r="B15" s="33">
        <f t="shared" si="0"/>
        <v>11</v>
      </c>
      <c r="C15" s="22">
        <f>IF(A15="  ","  ",IF(AND(A14="  ",A16="  "),"?",IF(A14="  ",2*(A16-A15),IF(A16="  ",2*(A15-A14),2*(A16-A14)))))</f>
        <v>4</v>
      </c>
      <c r="D15" s="23">
        <f t="shared" si="26"/>
        <v>44</v>
      </c>
      <c r="E15" s="24">
        <f t="shared" si="1"/>
        <v>-1</v>
      </c>
      <c r="F15" s="23">
        <f t="shared" si="27"/>
        <v>-44</v>
      </c>
      <c r="G15" s="23">
        <f t="shared" si="28"/>
        <v>44</v>
      </c>
      <c r="H15" s="23">
        <f t="shared" si="29"/>
        <v>1331</v>
      </c>
      <c r="I15" s="23">
        <f t="shared" si="30"/>
        <v>5324</v>
      </c>
      <c r="J15" s="4"/>
      <c r="K15" s="37">
        <f t="shared" si="2"/>
        <v>284.57333333333332</v>
      </c>
      <c r="L15" s="23">
        <f t="shared" si="31"/>
        <v>1138.2933333333333</v>
      </c>
      <c r="M15" s="38">
        <f t="shared" si="3"/>
        <v>1858.3266666666666</v>
      </c>
      <c r="N15" s="27">
        <f t="shared" si="32"/>
        <v>7433.3066666666664</v>
      </c>
      <c r="O15" s="23">
        <f t="shared" si="33"/>
        <v>-1138.2933333333333</v>
      </c>
      <c r="P15" s="4"/>
      <c r="Q15" s="51" t="s">
        <v>44</v>
      </c>
      <c r="R15" s="48" t="s">
        <v>45</v>
      </c>
      <c r="S15">
        <f>IF(Tools!$L$49="Use 141 rule only",I39,IF(Tools!$L$49="Use 141 and 1331 rules",BG16," "))</f>
        <v>106336.05774874554</v>
      </c>
      <c r="W15" s="29">
        <f>IF(AO15="  ","  ",IF(AND(AO14="  ",AO16="  "),"?",IF(AO14="  ",2*(AO16-AO15),IF(AO16="  ",2*(AO15-AO14),2*(AO16-AO14)))))</f>
        <v>4</v>
      </c>
      <c r="X15" s="30" t="str">
        <f t="shared" si="4"/>
        <v>WW</v>
      </c>
      <c r="Y15" s="30" t="str">
        <f t="shared" si="5"/>
        <v>-</v>
      </c>
      <c r="Z15" s="29" t="b">
        <f t="shared" si="6"/>
        <v>0</v>
      </c>
      <c r="AA15" s="29" t="b">
        <f t="shared" si="7"/>
        <v>0</v>
      </c>
      <c r="AB15" s="29" t="str">
        <f t="shared" ca="1" si="8"/>
        <v>++</v>
      </c>
      <c r="AC15" s="29">
        <f t="shared" si="34"/>
        <v>12</v>
      </c>
      <c r="AD15" s="29">
        <f t="shared" ca="1" si="9"/>
        <v>12</v>
      </c>
      <c r="AE15" s="29">
        <v>12</v>
      </c>
      <c r="AF15" s="31">
        <f t="shared" si="42"/>
        <v>8</v>
      </c>
      <c r="AG15" s="29" t="b">
        <f t="shared" si="11"/>
        <v>1</v>
      </c>
      <c r="AH15" s="30" t="str">
        <f t="shared" ref="AH15:AH28" ca="1" si="43">IF(AND(AG15=TRUE,$AH$1=1),"141-4",IF(AG15=" ",IF(AND($AH$1=2,AF15=3),"141-1","-"),IF(OR(AG15=FALSE,AG15=" "),"-",IF(AG15=TRUE,IF(AND($AH$1=2,AF15=1),"141-1",IF(AND($AH$1=2,AF15=2),"141-4",IF(OR(ISODD($AH$1),AF15&gt;4),IF(AF15=1,"141-1",IF(OR(AB15="141-1",AB15="1331-1",AB15="1331-1,141-1"),"141-1",IF(AG16=" ","141-1",IF(OR(AH14="141-1",AH14="141-2",AH14="1331-1,141-1"),"141-4",IF(AH14="141-4","141-2","$$"))))),IF(ISEVEN($AH$1),IF(AF15=1,"1331-1",IF(OR(AF15=2,AF15=3),"1331-3",IF(AF15=4,IF($AH$1=4,"1331-1","1331-1,141-1"),"")))))))))))</f>
        <v>141-4</v>
      </c>
      <c r="AI15" s="30" t="str">
        <f t="shared" ca="1" si="13"/>
        <v/>
      </c>
      <c r="AJ15" s="29">
        <f t="shared" ca="1" si="14"/>
        <v>0</v>
      </c>
      <c r="AK15" s="29" t="str">
        <f t="shared" ca="1" si="15"/>
        <v>4/3</v>
      </c>
      <c r="AL15" s="29">
        <f t="shared" ca="1" si="16"/>
        <v>1.3333333333333333</v>
      </c>
      <c r="AM15" s="32">
        <f t="shared" ca="1" si="35"/>
        <v>1.3333333333333333</v>
      </c>
      <c r="AO15" s="20">
        <f>Tools!$AD14</f>
        <v>9</v>
      </c>
      <c r="AP15" s="33">
        <f t="shared" si="36"/>
        <v>11</v>
      </c>
      <c r="AQ15" s="34" t="str">
        <f t="shared" ca="1" si="18"/>
        <v>4/3</v>
      </c>
      <c r="AR15" s="23">
        <f t="shared" ca="1" si="19"/>
        <v>14.666666666666666</v>
      </c>
      <c r="AS15" s="24">
        <f t="shared" si="20"/>
        <v>-1</v>
      </c>
      <c r="AT15" s="23">
        <f t="shared" ca="1" si="37"/>
        <v>-14.666666666666666</v>
      </c>
      <c r="AU15" s="23">
        <f t="shared" ca="1" si="40"/>
        <v>14.666666666666666</v>
      </c>
      <c r="AV15" s="23">
        <f t="shared" si="21"/>
        <v>1331</v>
      </c>
      <c r="AW15" s="23">
        <f t="shared" ca="1" si="22"/>
        <v>1774.6666666666665</v>
      </c>
      <c r="AY15" s="35">
        <f t="shared" si="23"/>
        <v>284.57333333333332</v>
      </c>
      <c r="AZ15" s="23">
        <f t="shared" ca="1" si="41"/>
        <v>379.43111111111108</v>
      </c>
      <c r="BA15" s="36">
        <f t="shared" si="25"/>
        <v>1858.3266666666666</v>
      </c>
      <c r="BB15" s="27">
        <f ca="1">IFERROR(BA15*AM15,"  ")</f>
        <v>2477.7688888888888</v>
      </c>
      <c r="BC15" s="23">
        <f t="shared" ca="1" si="39"/>
        <v>-379.43111111111108</v>
      </c>
      <c r="BE15" s="50" t="s">
        <v>42</v>
      </c>
      <c r="BF15" s="48" t="s">
        <v>46</v>
      </c>
      <c r="BG15" s="49">
        <f ca="1">IF(WL_No="  ","  ",2*(h^3)*$AU$29)</f>
        <v>4388722.2113486649</v>
      </c>
    </row>
    <row r="16" spans="1:60" x14ac:dyDescent="0.25">
      <c r="A16" s="20">
        <f>Tools!$AD15</f>
        <v>10</v>
      </c>
      <c r="B16" s="33">
        <f t="shared" si="0"/>
        <v>11</v>
      </c>
      <c r="C16" s="22">
        <f>IF(A16="  ","  ",IF(AND(A15="  ",A17="  "),"?",IF(A15="  ",1*(A17-A16),IF(A17="  ",1*(A16-A15),1*(A17-A15)))))</f>
        <v>2</v>
      </c>
      <c r="D16" s="23">
        <f t="shared" si="26"/>
        <v>22</v>
      </c>
      <c r="E16" s="24">
        <f t="shared" si="1"/>
        <v>0</v>
      </c>
      <c r="F16" s="23">
        <f t="shared" si="27"/>
        <v>0</v>
      </c>
      <c r="G16" s="23">
        <f t="shared" si="28"/>
        <v>0</v>
      </c>
      <c r="H16" s="23">
        <f t="shared" si="29"/>
        <v>1331</v>
      </c>
      <c r="I16" s="23">
        <f t="shared" si="30"/>
        <v>2662</v>
      </c>
      <c r="J16" s="4"/>
      <c r="K16" s="37">
        <f t="shared" si="2"/>
        <v>284.57333333333332</v>
      </c>
      <c r="L16" s="23">
        <f t="shared" si="31"/>
        <v>569.14666666666665</v>
      </c>
      <c r="M16" s="38">
        <f t="shared" si="3"/>
        <v>1858.3266666666666</v>
      </c>
      <c r="N16" s="27">
        <f t="shared" si="32"/>
        <v>3716.6533333333332</v>
      </c>
      <c r="O16" s="23">
        <f t="shared" si="33"/>
        <v>0</v>
      </c>
      <c r="P16" s="4"/>
      <c r="Q16" s="50" t="s">
        <v>47</v>
      </c>
      <c r="R16" s="48" t="s">
        <v>48</v>
      </c>
      <c r="S16">
        <f>IF(Tools!$L$49="Use 141 rule only",I40,IF(Tools!$L$49="Use 141 and 1331 rules",BG17," "))</f>
        <v>4386409.9787814068</v>
      </c>
      <c r="W16" s="29">
        <f>IF(AO16="  ","  ",IF(AND(AO15="  ",AO17="  "),"?",IF(AO15="  ",1*(AO17-AO16),IF(AO17="  ",1*(AO16-AO15),1*(AO17-AO15)))))</f>
        <v>2</v>
      </c>
      <c r="X16" s="30" t="str">
        <f t="shared" si="4"/>
        <v>WW</v>
      </c>
      <c r="Y16" s="30" t="str">
        <f t="shared" si="5"/>
        <v>-</v>
      </c>
      <c r="Z16" s="29" t="b">
        <f t="shared" si="6"/>
        <v>0</v>
      </c>
      <c r="AA16" s="29" t="b">
        <f t="shared" si="7"/>
        <v>0</v>
      </c>
      <c r="AB16" s="29" t="str">
        <f t="shared" ca="1" si="8"/>
        <v>++</v>
      </c>
      <c r="AC16" s="29">
        <f t="shared" si="34"/>
        <v>13</v>
      </c>
      <c r="AD16" s="29">
        <f t="shared" ca="1" si="9"/>
        <v>13</v>
      </c>
      <c r="AE16" s="29">
        <v>13</v>
      </c>
      <c r="AF16" s="31">
        <f t="shared" si="42"/>
        <v>9</v>
      </c>
      <c r="AG16" s="29" t="b">
        <f t="shared" si="11"/>
        <v>1</v>
      </c>
      <c r="AH16" s="30" t="str">
        <f t="shared" ca="1" si="43"/>
        <v>141-2</v>
      </c>
      <c r="AI16" s="30" t="str">
        <f t="shared" ca="1" si="13"/>
        <v/>
      </c>
      <c r="AJ16" s="29">
        <f t="shared" ca="1" si="14"/>
        <v>0</v>
      </c>
      <c r="AK16" s="29" t="str">
        <f t="shared" ca="1" si="15"/>
        <v>2/3</v>
      </c>
      <c r="AL16" s="29">
        <f t="shared" ca="1" si="16"/>
        <v>0.66666666666666663</v>
      </c>
      <c r="AM16" s="32">
        <f t="shared" ca="1" si="35"/>
        <v>0.66666666666666663</v>
      </c>
      <c r="AO16" s="20">
        <f>Tools!$AD15</f>
        <v>10</v>
      </c>
      <c r="AP16" s="33">
        <f t="shared" si="36"/>
        <v>11</v>
      </c>
      <c r="AQ16" s="34" t="str">
        <f t="shared" ca="1" si="18"/>
        <v>2/3</v>
      </c>
      <c r="AR16" s="23">
        <f t="shared" ca="1" si="19"/>
        <v>7.333333333333333</v>
      </c>
      <c r="AS16" s="24">
        <f t="shared" si="20"/>
        <v>0</v>
      </c>
      <c r="AT16" s="23">
        <f t="shared" ca="1" si="37"/>
        <v>0</v>
      </c>
      <c r="AU16" s="23">
        <f t="shared" ca="1" si="40"/>
        <v>0</v>
      </c>
      <c r="AV16" s="23">
        <f t="shared" si="21"/>
        <v>1331</v>
      </c>
      <c r="AW16" s="23">
        <f t="shared" ca="1" si="22"/>
        <v>887.33333333333326</v>
      </c>
      <c r="AY16" s="35">
        <f t="shared" si="23"/>
        <v>284.57333333333332</v>
      </c>
      <c r="AZ16" s="23">
        <f t="shared" ca="1" si="41"/>
        <v>189.71555555555554</v>
      </c>
      <c r="BA16" s="36">
        <f t="shared" si="25"/>
        <v>1858.3266666666666</v>
      </c>
      <c r="BB16" s="27">
        <f t="shared" ca="1" si="38"/>
        <v>1238.8844444444444</v>
      </c>
      <c r="BC16" s="23">
        <f ca="1">IFERROR(AZ16*AS16,"  ")</f>
        <v>0</v>
      </c>
      <c r="BE16" s="51" t="s">
        <v>44</v>
      </c>
      <c r="BF16" s="48" t="s">
        <v>49</v>
      </c>
      <c r="BG16" s="49">
        <f ca="1">IF(WL_No="  ","  ",2/3*h*$AW$29)</f>
        <v>106336.05774874554</v>
      </c>
    </row>
    <row r="17" spans="1:59" x14ac:dyDescent="0.25">
      <c r="A17" s="20">
        <f>Tools!$AD16</f>
        <v>11</v>
      </c>
      <c r="B17" s="33">
        <f t="shared" si="0"/>
        <v>11</v>
      </c>
      <c r="C17" s="22">
        <f>IF(A17="  ","  ",IF(AND(A16="  ",A18="  "),"?",IF(A16="  ",2*(A18-A17),IF(A18="  ",2*(A17-A16),2*(A18-A16)))))</f>
        <v>4</v>
      </c>
      <c r="D17" s="23">
        <f t="shared" si="26"/>
        <v>44</v>
      </c>
      <c r="E17" s="24">
        <f t="shared" si="1"/>
        <v>1</v>
      </c>
      <c r="F17" s="23">
        <f t="shared" si="27"/>
        <v>44</v>
      </c>
      <c r="G17" s="23">
        <f t="shared" si="28"/>
        <v>44</v>
      </c>
      <c r="H17" s="23">
        <f t="shared" si="29"/>
        <v>1331</v>
      </c>
      <c r="I17" s="23">
        <f t="shared" si="30"/>
        <v>5324</v>
      </c>
      <c r="J17" s="4"/>
      <c r="K17" s="37">
        <f t="shared" si="2"/>
        <v>284.57333333333332</v>
      </c>
      <c r="L17" s="23">
        <f t="shared" si="31"/>
        <v>1138.2933333333333</v>
      </c>
      <c r="M17" s="38">
        <f t="shared" si="3"/>
        <v>1858.3266666666666</v>
      </c>
      <c r="N17" s="27">
        <f t="shared" si="32"/>
        <v>7433.3066666666664</v>
      </c>
      <c r="O17" s="23">
        <f t="shared" si="33"/>
        <v>1138.2933333333333</v>
      </c>
      <c r="P17" s="4"/>
      <c r="Q17" s="50" t="s">
        <v>50</v>
      </c>
      <c r="R17" s="48" t="s">
        <v>51</v>
      </c>
      <c r="S17">
        <f>IF(Tools!$L$49="Use 141 rule only",I41,IF(Tools!$L$49="Use 141 and 1331 rules",BG18," "))</f>
        <v>33744.729669777771</v>
      </c>
      <c r="W17" s="29">
        <f>IF(AO17="  ","  ",IF(AND(AO16="  ",AO18="  "),"?",IF(AO16="  ",2*(AO18-AO17),IF(AO18="  ",2*(AO17-AO16),2*(AO18-AO16)))))</f>
        <v>4</v>
      </c>
      <c r="X17" s="30" t="str">
        <f t="shared" si="4"/>
        <v>WW</v>
      </c>
      <c r="Y17" s="30" t="str">
        <f t="shared" si="5"/>
        <v>-</v>
      </c>
      <c r="Z17" s="29" t="b">
        <f t="shared" si="6"/>
        <v>0</v>
      </c>
      <c r="AA17" s="29" t="b">
        <f t="shared" si="7"/>
        <v>0</v>
      </c>
      <c r="AB17" s="29" t="str">
        <f t="shared" ca="1" si="8"/>
        <v>++</v>
      </c>
      <c r="AC17" s="29">
        <f t="shared" si="34"/>
        <v>12</v>
      </c>
      <c r="AD17" s="29">
        <f t="shared" ca="1" si="9"/>
        <v>12</v>
      </c>
      <c r="AE17" s="29">
        <v>14</v>
      </c>
      <c r="AF17" s="31">
        <f t="shared" si="42"/>
        <v>10</v>
      </c>
      <c r="AG17" s="29" t="b">
        <f t="shared" si="11"/>
        <v>1</v>
      </c>
      <c r="AH17" s="30" t="str">
        <f t="shared" ca="1" si="43"/>
        <v>141-4</v>
      </c>
      <c r="AI17" s="30" t="str">
        <f t="shared" ca="1" si="13"/>
        <v/>
      </c>
      <c r="AJ17" s="29">
        <f t="shared" ca="1" si="14"/>
        <v>0</v>
      </c>
      <c r="AK17" s="29" t="str">
        <f t="shared" ca="1" si="15"/>
        <v>4/3</v>
      </c>
      <c r="AL17" s="29">
        <f t="shared" ca="1" si="16"/>
        <v>1.3333333333333333</v>
      </c>
      <c r="AM17" s="32">
        <f t="shared" ca="1" si="35"/>
        <v>1.3333333333333333</v>
      </c>
      <c r="AO17" s="20">
        <f>Tools!$AD16</f>
        <v>11</v>
      </c>
      <c r="AP17" s="33">
        <f t="shared" si="36"/>
        <v>11</v>
      </c>
      <c r="AQ17" s="34" t="str">
        <f t="shared" ca="1" si="18"/>
        <v>4/3</v>
      </c>
      <c r="AR17" s="23">
        <f t="shared" ca="1" si="19"/>
        <v>14.666666666666666</v>
      </c>
      <c r="AS17" s="24">
        <f t="shared" si="20"/>
        <v>1</v>
      </c>
      <c r="AT17" s="23">
        <f t="shared" ca="1" si="37"/>
        <v>14.666666666666666</v>
      </c>
      <c r="AU17" s="23">
        <f t="shared" ca="1" si="40"/>
        <v>14.666666666666666</v>
      </c>
      <c r="AV17" s="23">
        <f t="shared" si="21"/>
        <v>1331</v>
      </c>
      <c r="AW17" s="23">
        <f t="shared" ca="1" si="22"/>
        <v>1774.6666666666665</v>
      </c>
      <c r="AY17" s="35">
        <f t="shared" si="23"/>
        <v>284.57333333333332</v>
      </c>
      <c r="AZ17" s="23">
        <f t="shared" ca="1" si="41"/>
        <v>379.43111111111108</v>
      </c>
      <c r="BA17" s="36">
        <f t="shared" si="25"/>
        <v>1858.3266666666666</v>
      </c>
      <c r="BB17" s="27">
        <f t="shared" ca="1" si="38"/>
        <v>2477.7688888888888</v>
      </c>
      <c r="BC17" s="23">
        <f t="shared" ca="1" si="39"/>
        <v>379.43111111111108</v>
      </c>
      <c r="BE17" s="50" t="s">
        <v>47</v>
      </c>
      <c r="BF17" s="48" t="s">
        <v>48</v>
      </c>
      <c r="BG17" s="49">
        <f>IF(WL_No="  ","  ",IL-AWP*(LCF^2))</f>
        <v>4386409.9787814068</v>
      </c>
    </row>
    <row r="18" spans="1:59" x14ac:dyDescent="0.25">
      <c r="A18" s="20">
        <f>Tools!$AD17</f>
        <v>12</v>
      </c>
      <c r="B18" s="33">
        <f t="shared" si="0"/>
        <v>11</v>
      </c>
      <c r="C18" s="22">
        <f>IF(A18="  ","  ",IF(AND(A17="  ",A19="  "),"?",IF(A17="  ",1*(A19-A18),IF(A19="  ",1*(A18-A17),1*(A19-A17)))))</f>
        <v>2</v>
      </c>
      <c r="D18" s="23">
        <f t="shared" si="26"/>
        <v>22</v>
      </c>
      <c r="E18" s="24">
        <f t="shared" si="1"/>
        <v>2</v>
      </c>
      <c r="F18" s="23">
        <f t="shared" si="27"/>
        <v>44</v>
      </c>
      <c r="G18" s="23">
        <f t="shared" si="28"/>
        <v>88</v>
      </c>
      <c r="H18" s="23">
        <f t="shared" si="29"/>
        <v>1331</v>
      </c>
      <c r="I18" s="23">
        <f t="shared" si="30"/>
        <v>2662</v>
      </c>
      <c r="J18" s="4"/>
      <c r="K18" s="37">
        <f t="shared" si="2"/>
        <v>284.57333333333332</v>
      </c>
      <c r="L18" s="23">
        <f t="shared" si="31"/>
        <v>569.14666666666665</v>
      </c>
      <c r="M18" s="38">
        <f t="shared" si="3"/>
        <v>1858.3266666666666</v>
      </c>
      <c r="N18" s="27">
        <f t="shared" si="32"/>
        <v>3716.6533333333332</v>
      </c>
      <c r="O18" s="23">
        <f t="shared" si="33"/>
        <v>1138.2933333333333</v>
      </c>
      <c r="P18" s="4"/>
      <c r="Q18" s="50" t="s">
        <v>52</v>
      </c>
      <c r="R18" s="48" t="s">
        <v>53</v>
      </c>
      <c r="S18">
        <f>IF(Tools!$L$49="Use 141 rule only",I42,IF(Tools!$L$49="Use 141 and 1331 rules",BG19," "))</f>
        <v>34795.877998991346</v>
      </c>
      <c r="W18" s="29">
        <f>IF(AO18="  ","  ",IF(AND(AO17="  ",AO19="  "),"?",IF(AO17="  ",1*(AO19-AO18),IF(AO19="  ",1*(AO18-AO17),1*(AO19-AO17)))))</f>
        <v>2</v>
      </c>
      <c r="X18" s="30" t="str">
        <f t="shared" si="4"/>
        <v>WW</v>
      </c>
      <c r="Y18" s="30" t="str">
        <f t="shared" si="5"/>
        <v>-</v>
      </c>
      <c r="Z18" s="29" t="b">
        <f t="shared" si="6"/>
        <v>0</v>
      </c>
      <c r="AA18" s="29" t="b">
        <f t="shared" si="7"/>
        <v>0</v>
      </c>
      <c r="AB18" s="29" t="str">
        <f t="shared" ca="1" si="8"/>
        <v>++</v>
      </c>
      <c r="AC18" s="29">
        <f t="shared" si="34"/>
        <v>11</v>
      </c>
      <c r="AD18" s="29">
        <f t="shared" ca="1" si="9"/>
        <v>11</v>
      </c>
      <c r="AE18" s="29">
        <v>15</v>
      </c>
      <c r="AF18" s="31">
        <f t="shared" si="42"/>
        <v>11</v>
      </c>
      <c r="AG18" s="29" t="b">
        <f t="shared" si="11"/>
        <v>1</v>
      </c>
      <c r="AH18" s="30" t="str">
        <f t="shared" ca="1" si="43"/>
        <v>141-2</v>
      </c>
      <c r="AI18" s="30" t="str">
        <f t="shared" ca="1" si="13"/>
        <v/>
      </c>
      <c r="AJ18" s="29">
        <f t="shared" ca="1" si="14"/>
        <v>0</v>
      </c>
      <c r="AK18" s="29" t="str">
        <f t="shared" ca="1" si="15"/>
        <v>2/3</v>
      </c>
      <c r="AL18" s="29">
        <f t="shared" ca="1" si="16"/>
        <v>0.66666666666666663</v>
      </c>
      <c r="AM18" s="32">
        <f t="shared" ca="1" si="35"/>
        <v>0.66666666666666663</v>
      </c>
      <c r="AO18" s="20">
        <f>Tools!$AD17</f>
        <v>12</v>
      </c>
      <c r="AP18" s="33">
        <f t="shared" si="36"/>
        <v>11</v>
      </c>
      <c r="AQ18" s="34" t="str">
        <f t="shared" ca="1" si="18"/>
        <v>2/3</v>
      </c>
      <c r="AR18" s="23">
        <f t="shared" ca="1" si="19"/>
        <v>7.333333333333333</v>
      </c>
      <c r="AS18" s="24">
        <f t="shared" si="20"/>
        <v>2</v>
      </c>
      <c r="AT18" s="23">
        <f t="shared" ca="1" si="37"/>
        <v>14.666666666666666</v>
      </c>
      <c r="AU18" s="23">
        <f t="shared" ca="1" si="40"/>
        <v>29.333333333333332</v>
      </c>
      <c r="AV18" s="23">
        <f t="shared" si="21"/>
        <v>1331</v>
      </c>
      <c r="AW18" s="23">
        <f t="shared" ca="1" si="22"/>
        <v>887.33333333333326</v>
      </c>
      <c r="AY18" s="35">
        <f t="shared" si="23"/>
        <v>284.57333333333332</v>
      </c>
      <c r="AZ18" s="23">
        <f t="shared" ca="1" si="41"/>
        <v>189.71555555555554</v>
      </c>
      <c r="BA18" s="36">
        <f t="shared" si="25"/>
        <v>1858.3266666666666</v>
      </c>
      <c r="BB18" s="27">
        <f t="shared" ca="1" si="38"/>
        <v>1238.8844444444444</v>
      </c>
      <c r="BC18" s="23">
        <f t="shared" ca="1" si="39"/>
        <v>379.43111111111108</v>
      </c>
      <c r="BE18" s="50" t="s">
        <v>50</v>
      </c>
      <c r="BF18" s="48" t="s">
        <v>54</v>
      </c>
      <c r="BG18" s="49">
        <f ca="1">IF(WL_No="  ","  ",h*$AZ$29)</f>
        <v>33744.729669777771</v>
      </c>
    </row>
    <row r="19" spans="1:59" x14ac:dyDescent="0.25">
      <c r="A19" s="20">
        <f>Tools!$AD18</f>
        <v>13</v>
      </c>
      <c r="B19" s="33">
        <f t="shared" si="0"/>
        <v>11</v>
      </c>
      <c r="C19" s="22">
        <f>IF(A19="  ","  ",IF(AND(A18="  ",A20="  "),"?",IF(A18="  ",2*(A20-A19),IF(A20="  ",2*(A19-A18),2*(A20-A18)))))</f>
        <v>4</v>
      </c>
      <c r="D19" s="23">
        <f t="shared" si="26"/>
        <v>44</v>
      </c>
      <c r="E19" s="24">
        <f t="shared" si="1"/>
        <v>3</v>
      </c>
      <c r="F19" s="23">
        <f t="shared" si="27"/>
        <v>132</v>
      </c>
      <c r="G19" s="23">
        <f t="shared" si="28"/>
        <v>396</v>
      </c>
      <c r="H19" s="23">
        <f t="shared" si="29"/>
        <v>1331</v>
      </c>
      <c r="I19" s="23">
        <f t="shared" si="30"/>
        <v>5324</v>
      </c>
      <c r="J19" s="4"/>
      <c r="K19" s="37">
        <f t="shared" si="2"/>
        <v>284.57333333333332</v>
      </c>
      <c r="L19" s="23">
        <f t="shared" si="31"/>
        <v>1138.2933333333333</v>
      </c>
      <c r="M19" s="38">
        <f t="shared" si="3"/>
        <v>1858.3266666666666</v>
      </c>
      <c r="N19" s="27">
        <f t="shared" si="32"/>
        <v>7433.3066666666664</v>
      </c>
      <c r="O19" s="23">
        <f t="shared" si="33"/>
        <v>3414.88</v>
      </c>
      <c r="P19" s="4"/>
      <c r="Q19" s="50" t="s">
        <v>55</v>
      </c>
      <c r="R19" s="48" t="s">
        <v>56</v>
      </c>
      <c r="S19">
        <f>IF(Tools!$L$49="Use 141 rule only",I43,IF(Tools!$L$49="Use 141 and 1331 rules",BG20," "))</f>
        <v>229993.82109244447</v>
      </c>
      <c r="W19" s="29">
        <f>IF(AO19="  ","  ",IF(AND(AO18="  ",AO20="  "),"?",IF(AO18="  ",2*(AO20-AO19),IF(AO20="  ",2*(AO19-AO18),2*(AO20-AO18)))))</f>
        <v>4</v>
      </c>
      <c r="X19" s="30" t="str">
        <f t="shared" si="4"/>
        <v>WW</v>
      </c>
      <c r="Y19" s="30" t="str">
        <f t="shared" si="5"/>
        <v>-</v>
      </c>
      <c r="Z19" s="29" t="b">
        <f t="shared" si="6"/>
        <v>0</v>
      </c>
      <c r="AA19" s="29" t="b">
        <f t="shared" si="7"/>
        <v>0</v>
      </c>
      <c r="AB19" s="29" t="str">
        <f t="shared" ca="1" si="8"/>
        <v>++</v>
      </c>
      <c r="AC19" s="29">
        <f t="shared" si="34"/>
        <v>10</v>
      </c>
      <c r="AD19" s="29">
        <f t="shared" ca="1" si="9"/>
        <v>10</v>
      </c>
      <c r="AE19" s="29">
        <v>16</v>
      </c>
      <c r="AF19" s="31">
        <f t="shared" si="42"/>
        <v>12</v>
      </c>
      <c r="AG19" s="29" t="b">
        <f t="shared" si="11"/>
        <v>1</v>
      </c>
      <c r="AH19" s="30" t="str">
        <f t="shared" ca="1" si="43"/>
        <v>141-4</v>
      </c>
      <c r="AI19" s="30" t="str">
        <f t="shared" ca="1" si="13"/>
        <v/>
      </c>
      <c r="AJ19" s="29">
        <f t="shared" ca="1" si="14"/>
        <v>0</v>
      </c>
      <c r="AK19" s="29" t="str">
        <f t="shared" ca="1" si="15"/>
        <v>4/3</v>
      </c>
      <c r="AL19" s="29">
        <f t="shared" ca="1" si="16"/>
        <v>1.3333333333333333</v>
      </c>
      <c r="AM19" s="32">
        <f t="shared" ca="1" si="35"/>
        <v>1.3333333333333333</v>
      </c>
      <c r="AO19" s="20">
        <f>Tools!$AD18</f>
        <v>13</v>
      </c>
      <c r="AP19" s="33">
        <f t="shared" si="36"/>
        <v>11</v>
      </c>
      <c r="AQ19" s="34" t="str">
        <f t="shared" ca="1" si="18"/>
        <v>4/3</v>
      </c>
      <c r="AR19" s="23">
        <f t="shared" ca="1" si="19"/>
        <v>14.666666666666666</v>
      </c>
      <c r="AS19" s="24">
        <f t="shared" si="20"/>
        <v>3</v>
      </c>
      <c r="AT19" s="23">
        <f t="shared" ca="1" si="37"/>
        <v>44</v>
      </c>
      <c r="AU19" s="23">
        <f t="shared" ca="1" si="40"/>
        <v>132</v>
      </c>
      <c r="AV19" s="23">
        <f t="shared" si="21"/>
        <v>1331</v>
      </c>
      <c r="AW19" s="23">
        <f t="shared" ca="1" si="22"/>
        <v>1774.6666666666665</v>
      </c>
      <c r="AY19" s="35">
        <f t="shared" si="23"/>
        <v>284.57333333333332</v>
      </c>
      <c r="AZ19" s="23">
        <f t="shared" ca="1" si="41"/>
        <v>379.43111111111108</v>
      </c>
      <c r="BA19" s="36">
        <f t="shared" si="25"/>
        <v>1858.3266666666666</v>
      </c>
      <c r="BB19" s="27">
        <f t="shared" ca="1" si="38"/>
        <v>2477.7688888888888</v>
      </c>
      <c r="BC19" s="23">
        <f t="shared" ca="1" si="39"/>
        <v>1138.2933333333333</v>
      </c>
      <c r="BE19" s="50" t="s">
        <v>52</v>
      </c>
      <c r="BF19" s="48" t="s">
        <v>53</v>
      </c>
      <c r="BG19" s="49">
        <f>IF(WL_No="  ","  ",V_Disp*1.025*1.006)</f>
        <v>34795.877998991346</v>
      </c>
    </row>
    <row r="20" spans="1:59" x14ac:dyDescent="0.25">
      <c r="A20" s="20">
        <f>Tools!$AD19</f>
        <v>14</v>
      </c>
      <c r="B20" s="33">
        <f t="shared" si="0"/>
        <v>11</v>
      </c>
      <c r="C20" s="22">
        <f>IF(A20="  ","  ",IF(AND(A19="  ",A21="  "),"?",IF(A19="  ",1*(A21-A20),IF(A21="  ",1*(A20-A19),1*(A21-A19)))))</f>
        <v>2</v>
      </c>
      <c r="D20" s="23">
        <f t="shared" si="26"/>
        <v>22</v>
      </c>
      <c r="E20" s="24">
        <f t="shared" si="1"/>
        <v>4</v>
      </c>
      <c r="F20" s="23">
        <f t="shared" si="27"/>
        <v>88</v>
      </c>
      <c r="G20" s="23">
        <f t="shared" si="28"/>
        <v>352</v>
      </c>
      <c r="H20" s="23">
        <f t="shared" si="29"/>
        <v>1331</v>
      </c>
      <c r="I20" s="23">
        <f t="shared" si="30"/>
        <v>2662</v>
      </c>
      <c r="J20" s="4"/>
      <c r="K20" s="37">
        <f t="shared" si="2"/>
        <v>284.19333333333333</v>
      </c>
      <c r="L20" s="23">
        <f t="shared" si="31"/>
        <v>568.38666666666666</v>
      </c>
      <c r="M20" s="38">
        <f t="shared" si="3"/>
        <v>1858.06</v>
      </c>
      <c r="N20" s="27">
        <f t="shared" si="32"/>
        <v>3716.12</v>
      </c>
      <c r="O20" s="23">
        <f t="shared" si="33"/>
        <v>2273.5466666666666</v>
      </c>
      <c r="P20" s="4"/>
      <c r="Q20" s="50" t="s">
        <v>57</v>
      </c>
      <c r="R20" s="48" t="s">
        <v>58</v>
      </c>
      <c r="S20">
        <f>IF(Tools!$L$49="Use 141 rule only",I44,IF(Tools!$L$49="Use 141 and 1331 rules",BG21," "))</f>
        <v>68100.200807644505</v>
      </c>
      <c r="W20" s="29">
        <f>IF(AO20="  ","  ",IF(AND(AO19="  ",AO21="  "),"?",IF(AO19="  ",1*(AO21-AO20),IF(AO21="  ",1*(AO20-AO19),1*(AO21-AO19)))))</f>
        <v>2</v>
      </c>
      <c r="X20" s="30" t="str">
        <f t="shared" si="4"/>
        <v>WW</v>
      </c>
      <c r="Y20" s="30" t="str">
        <f t="shared" si="5"/>
        <v>-</v>
      </c>
      <c r="Z20" s="29" t="b">
        <f t="shared" si="6"/>
        <v>0</v>
      </c>
      <c r="AA20" s="29" t="b">
        <f t="shared" si="7"/>
        <v>0</v>
      </c>
      <c r="AB20" s="29" t="str">
        <f t="shared" ca="1" si="8"/>
        <v>++</v>
      </c>
      <c r="AC20" s="29">
        <f t="shared" si="34"/>
        <v>9</v>
      </c>
      <c r="AD20" s="29">
        <f t="shared" ca="1" si="9"/>
        <v>9</v>
      </c>
      <c r="AE20" s="29">
        <v>17</v>
      </c>
      <c r="AF20" s="31">
        <f t="shared" si="42"/>
        <v>13</v>
      </c>
      <c r="AG20" s="29" t="b">
        <f t="shared" si="11"/>
        <v>1</v>
      </c>
      <c r="AH20" s="30" t="str">
        <f t="shared" ca="1" si="43"/>
        <v>141-2</v>
      </c>
      <c r="AI20" s="30" t="str">
        <f t="shared" ca="1" si="13"/>
        <v/>
      </c>
      <c r="AJ20" s="29">
        <f t="shared" ca="1" si="14"/>
        <v>0</v>
      </c>
      <c r="AK20" s="29" t="str">
        <f t="shared" ca="1" si="15"/>
        <v>2/3</v>
      </c>
      <c r="AL20" s="29">
        <f t="shared" ca="1" si="16"/>
        <v>0.66666666666666663</v>
      </c>
      <c r="AM20" s="32">
        <f t="shared" ca="1" si="35"/>
        <v>0.66666666666666663</v>
      </c>
      <c r="AO20" s="20">
        <f>Tools!$AD19</f>
        <v>14</v>
      </c>
      <c r="AP20" s="33">
        <f t="shared" si="36"/>
        <v>11</v>
      </c>
      <c r="AQ20" s="34" t="str">
        <f t="shared" ca="1" si="18"/>
        <v>2/3</v>
      </c>
      <c r="AR20" s="23">
        <f t="shared" ca="1" si="19"/>
        <v>7.333333333333333</v>
      </c>
      <c r="AS20" s="24">
        <f t="shared" si="20"/>
        <v>4</v>
      </c>
      <c r="AT20" s="23">
        <f t="shared" ca="1" si="37"/>
        <v>29.333333333333332</v>
      </c>
      <c r="AU20" s="23">
        <f t="shared" ca="1" si="40"/>
        <v>117.33333333333333</v>
      </c>
      <c r="AV20" s="23">
        <f t="shared" si="21"/>
        <v>1331</v>
      </c>
      <c r="AW20" s="23">
        <f t="shared" ca="1" si="22"/>
        <v>887.33333333333326</v>
      </c>
      <c r="AY20" s="35">
        <f t="shared" si="23"/>
        <v>284.19333333333333</v>
      </c>
      <c r="AZ20" s="23">
        <f t="shared" ca="1" si="41"/>
        <v>189.46222222222221</v>
      </c>
      <c r="BA20" s="36">
        <f t="shared" si="25"/>
        <v>1858.06</v>
      </c>
      <c r="BB20" s="27">
        <f t="shared" ca="1" si="38"/>
        <v>1238.7066666666665</v>
      </c>
      <c r="BC20" s="23">
        <f t="shared" ca="1" si="39"/>
        <v>757.84888888888884</v>
      </c>
      <c r="BE20" s="50" t="s">
        <v>55</v>
      </c>
      <c r="BF20" s="48" t="s">
        <v>59</v>
      </c>
      <c r="BG20" s="49">
        <f ca="1">IF(WL_No="  ","  ",h*$BB$29)</f>
        <v>229993.82109244438</v>
      </c>
    </row>
    <row r="21" spans="1:59" x14ac:dyDescent="0.25">
      <c r="A21" s="20">
        <f>Tools!$AD20</f>
        <v>15</v>
      </c>
      <c r="B21" s="33">
        <f t="shared" si="0"/>
        <v>11</v>
      </c>
      <c r="C21" s="22">
        <f>IF(A21="  ","  ",IF(AND(A20="  ",A22="  "),"?",IF(A20="  ",2*(A22-A21),IF(A22="  ",2*(A21-A20),2*(A22-A20)))))</f>
        <v>4</v>
      </c>
      <c r="D21" s="23">
        <f t="shared" si="26"/>
        <v>44</v>
      </c>
      <c r="E21" s="24">
        <f t="shared" si="1"/>
        <v>5</v>
      </c>
      <c r="F21" s="23">
        <f t="shared" si="27"/>
        <v>220</v>
      </c>
      <c r="G21" s="23">
        <f t="shared" si="28"/>
        <v>1100</v>
      </c>
      <c r="H21" s="23">
        <f t="shared" si="29"/>
        <v>1331</v>
      </c>
      <c r="I21" s="23">
        <f t="shared" si="30"/>
        <v>5324</v>
      </c>
      <c r="J21" s="4"/>
      <c r="K21" s="37">
        <f t="shared" si="2"/>
        <v>281.84666666666669</v>
      </c>
      <c r="L21" s="23">
        <f t="shared" si="31"/>
        <v>1127.3866666666668</v>
      </c>
      <c r="M21" s="38">
        <f t="shared" si="3"/>
        <v>1855.1399999999999</v>
      </c>
      <c r="N21" s="27">
        <f t="shared" si="32"/>
        <v>7420.5599999999995</v>
      </c>
      <c r="O21" s="23">
        <f t="shared" si="33"/>
        <v>5636.9333333333343</v>
      </c>
      <c r="P21" s="4"/>
      <c r="Q21" s="50" t="s">
        <v>60</v>
      </c>
      <c r="R21" s="48" t="s">
        <v>61</v>
      </c>
      <c r="S21">
        <f>IF(Tools!$L$49="Use 141 rule only",I45,IF(Tools!$L$49="Use 141 and 1331 rules",BG22," "))</f>
        <v>129.98800173260639</v>
      </c>
      <c r="W21" s="29">
        <f>IF(AO21="  ","  ",IF(AND(AO20="  ",AO22="  "),"?",IF(AO20="  ",2*(AO22-AO21),IF(AO22="  ",2*(AO21-AO20),2*(AO22-AO20)))))</f>
        <v>4</v>
      </c>
      <c r="X21" s="30" t="str">
        <f t="shared" si="4"/>
        <v>WW</v>
      </c>
      <c r="Y21" s="30" t="str">
        <f t="shared" si="5"/>
        <v>-</v>
      </c>
      <c r="Z21" s="29" t="b">
        <f t="shared" si="6"/>
        <v>0</v>
      </c>
      <c r="AA21" s="29" t="b">
        <f t="shared" si="7"/>
        <v>0</v>
      </c>
      <c r="AB21" s="29" t="str">
        <f t="shared" ca="1" si="8"/>
        <v>++</v>
      </c>
      <c r="AC21" s="29">
        <f t="shared" si="34"/>
        <v>8</v>
      </c>
      <c r="AD21" s="29">
        <f t="shared" ca="1" si="9"/>
        <v>8</v>
      </c>
      <c r="AE21" s="29">
        <v>18</v>
      </c>
      <c r="AF21" s="31">
        <f t="shared" si="42"/>
        <v>14</v>
      </c>
      <c r="AG21" s="29" t="b">
        <f t="shared" si="11"/>
        <v>1</v>
      </c>
      <c r="AH21" s="30" t="str">
        <f t="shared" ca="1" si="43"/>
        <v>141-4</v>
      </c>
      <c r="AI21" s="30" t="str">
        <f t="shared" ca="1" si="13"/>
        <v/>
      </c>
      <c r="AJ21" s="29">
        <f t="shared" ca="1" si="14"/>
        <v>0</v>
      </c>
      <c r="AK21" s="29" t="str">
        <f t="shared" ca="1" si="15"/>
        <v>4/3</v>
      </c>
      <c r="AL21" s="29">
        <f t="shared" ca="1" si="16"/>
        <v>1.3333333333333333</v>
      </c>
      <c r="AM21" s="32">
        <f t="shared" ca="1" si="35"/>
        <v>1.3333333333333333</v>
      </c>
      <c r="AO21" s="20">
        <f>Tools!$AD20</f>
        <v>15</v>
      </c>
      <c r="AP21" s="33">
        <f t="shared" si="36"/>
        <v>11</v>
      </c>
      <c r="AQ21" s="34" t="str">
        <f t="shared" ca="1" si="18"/>
        <v>4/3</v>
      </c>
      <c r="AR21" s="23">
        <f t="shared" ca="1" si="19"/>
        <v>14.666666666666666</v>
      </c>
      <c r="AS21" s="24">
        <f t="shared" si="20"/>
        <v>5</v>
      </c>
      <c r="AT21" s="23">
        <f t="shared" ca="1" si="37"/>
        <v>73.333333333333329</v>
      </c>
      <c r="AU21" s="23">
        <f t="shared" ca="1" si="40"/>
        <v>366.66666666666663</v>
      </c>
      <c r="AV21" s="23">
        <f t="shared" si="21"/>
        <v>1331</v>
      </c>
      <c r="AW21" s="23">
        <f t="shared" ca="1" si="22"/>
        <v>1774.6666666666665</v>
      </c>
      <c r="AY21" s="35">
        <f t="shared" si="23"/>
        <v>281.84666666666669</v>
      </c>
      <c r="AZ21" s="23">
        <f t="shared" ca="1" si="41"/>
        <v>375.79555555555555</v>
      </c>
      <c r="BA21" s="36">
        <f t="shared" si="25"/>
        <v>1855.1399999999999</v>
      </c>
      <c r="BB21" s="27">
        <f t="shared" ca="1" si="38"/>
        <v>2473.5199999999995</v>
      </c>
      <c r="BC21" s="23">
        <f t="shared" ca="1" si="39"/>
        <v>1878.9777777777776</v>
      </c>
      <c r="BE21" s="50" t="s">
        <v>57</v>
      </c>
      <c r="BF21" s="48" t="s">
        <v>62</v>
      </c>
      <c r="BG21" s="49">
        <f ca="1">IF(WL_No="  ","  ",(h^2)*$BC$29)</f>
        <v>68100.200807644331</v>
      </c>
    </row>
    <row r="22" spans="1:59" x14ac:dyDescent="0.25">
      <c r="A22" s="20">
        <f>Tools!$AD21</f>
        <v>16</v>
      </c>
      <c r="B22" s="33">
        <f t="shared" si="0"/>
        <v>11</v>
      </c>
      <c r="C22" s="22">
        <f>IF(A22="  ","  ",IF(AND(A21="  ",A23="  "),"?",IF(A21="  ",1*(A23-A22),IF(A23="  ",1*(A22-A21),1*(A23-A21)))))</f>
        <v>2</v>
      </c>
      <c r="D22" s="23">
        <f t="shared" si="26"/>
        <v>22</v>
      </c>
      <c r="E22" s="24">
        <f t="shared" si="1"/>
        <v>6</v>
      </c>
      <c r="F22" s="23">
        <f t="shared" si="27"/>
        <v>132</v>
      </c>
      <c r="G22" s="23">
        <f t="shared" si="28"/>
        <v>792</v>
      </c>
      <c r="H22" s="23">
        <f t="shared" si="29"/>
        <v>1331</v>
      </c>
      <c r="I22" s="23">
        <f t="shared" si="30"/>
        <v>2662</v>
      </c>
      <c r="J22" s="4"/>
      <c r="K22" s="37">
        <f t="shared" si="2"/>
        <v>272.0333333333333</v>
      </c>
      <c r="L22" s="23">
        <f t="shared" si="31"/>
        <v>544.06666666666661</v>
      </c>
      <c r="M22" s="38">
        <f t="shared" si="3"/>
        <v>1822.2433333333333</v>
      </c>
      <c r="N22" s="27">
        <f t="shared" si="32"/>
        <v>3644.4866666666667</v>
      </c>
      <c r="O22" s="23">
        <f t="shared" si="33"/>
        <v>3264.3999999999996</v>
      </c>
      <c r="P22" s="4"/>
      <c r="Q22" s="50" t="s">
        <v>63</v>
      </c>
      <c r="R22" s="48" t="s">
        <v>64</v>
      </c>
      <c r="S22">
        <f>IF(Tools!$L$49="Use 141 rule only",I46,IF(Tools!$L$49="Use 141 and 1331 rules",BG23," "))</f>
        <v>3.1511900906997496</v>
      </c>
      <c r="W22" s="29">
        <f>IF(AO22="  ","  ",IF(AND(AO21="  ",AO23="  "),"?",IF(AO21="  ",1*(AO23-AO22),IF(AO23="  ",1*(AO22-AO21),1*(AO23-AO21)))))</f>
        <v>2</v>
      </c>
      <c r="X22" s="30" t="str">
        <f t="shared" si="4"/>
        <v>WW</v>
      </c>
      <c r="Y22" s="30" t="str">
        <f t="shared" si="5"/>
        <v>-</v>
      </c>
      <c r="Z22" s="29" t="b">
        <f t="shared" si="6"/>
        <v>0</v>
      </c>
      <c r="AA22" s="29" t="b">
        <f t="shared" si="7"/>
        <v>0</v>
      </c>
      <c r="AB22" s="29" t="str">
        <f t="shared" ca="1" si="8"/>
        <v>++</v>
      </c>
      <c r="AC22" s="29">
        <f t="shared" si="34"/>
        <v>7</v>
      </c>
      <c r="AD22" s="29">
        <f t="shared" ca="1" si="9"/>
        <v>7</v>
      </c>
      <c r="AE22" s="29">
        <v>19</v>
      </c>
      <c r="AF22" s="31">
        <f t="shared" si="42"/>
        <v>15</v>
      </c>
      <c r="AG22" s="29" t="b">
        <f t="shared" si="11"/>
        <v>1</v>
      </c>
      <c r="AH22" s="30" t="str">
        <f t="shared" ca="1" si="43"/>
        <v>141-2</v>
      </c>
      <c r="AI22" s="30" t="str">
        <f t="shared" ca="1" si="13"/>
        <v/>
      </c>
      <c r="AJ22" s="29">
        <f t="shared" ca="1" si="14"/>
        <v>0</v>
      </c>
      <c r="AK22" s="29" t="str">
        <f t="shared" ca="1" si="15"/>
        <v>2/3</v>
      </c>
      <c r="AL22" s="29">
        <f t="shared" ca="1" si="16"/>
        <v>0.66666666666666663</v>
      </c>
      <c r="AM22" s="32">
        <f t="shared" ca="1" si="35"/>
        <v>0.66666666666666663</v>
      </c>
      <c r="AO22" s="20">
        <f>Tools!$AD21</f>
        <v>16</v>
      </c>
      <c r="AP22" s="33">
        <f t="shared" si="36"/>
        <v>11</v>
      </c>
      <c r="AQ22" s="34" t="str">
        <f t="shared" ca="1" si="18"/>
        <v>2/3</v>
      </c>
      <c r="AR22" s="23">
        <f t="shared" ca="1" si="19"/>
        <v>7.333333333333333</v>
      </c>
      <c r="AS22" s="24">
        <f t="shared" si="20"/>
        <v>6</v>
      </c>
      <c r="AT22" s="23">
        <f t="shared" ca="1" si="37"/>
        <v>44</v>
      </c>
      <c r="AU22" s="23">
        <f t="shared" ca="1" si="40"/>
        <v>264</v>
      </c>
      <c r="AV22" s="23">
        <f t="shared" si="21"/>
        <v>1331</v>
      </c>
      <c r="AW22" s="23">
        <f t="shared" ca="1" si="22"/>
        <v>887.33333333333326</v>
      </c>
      <c r="AY22" s="35">
        <f t="shared" si="23"/>
        <v>272.0333333333333</v>
      </c>
      <c r="AZ22" s="23">
        <f t="shared" ca="1" si="41"/>
        <v>181.35555555555553</v>
      </c>
      <c r="BA22" s="36">
        <f t="shared" si="25"/>
        <v>1822.2433333333333</v>
      </c>
      <c r="BB22" s="27">
        <f t="shared" ca="1" si="38"/>
        <v>1214.8288888888887</v>
      </c>
      <c r="BC22" s="23">
        <f t="shared" ca="1" si="39"/>
        <v>1088.1333333333332</v>
      </c>
      <c r="BE22" s="50" t="s">
        <v>60</v>
      </c>
      <c r="BF22" s="48" t="s">
        <v>61</v>
      </c>
      <c r="BG22" s="49">
        <f>IF(WL_No="  ","  ",IF/V_Disp)</f>
        <v>129.98800173260639</v>
      </c>
    </row>
    <row r="23" spans="1:59" x14ac:dyDescent="0.25">
      <c r="A23" s="20">
        <f>Tools!$AD22</f>
        <v>17</v>
      </c>
      <c r="B23" s="33">
        <f t="shared" si="0"/>
        <v>10.62</v>
      </c>
      <c r="C23" s="22">
        <f>IF(A23="  ","  ",IF(AND(A22="  ",A24="  "),"?",IF(A22="  ",2*(A24-A23),IF(A24="  ",2*(A23-A22),2*(A24-A22)))))</f>
        <v>4</v>
      </c>
      <c r="D23" s="23">
        <f t="shared" si="26"/>
        <v>42.48</v>
      </c>
      <c r="E23" s="24">
        <f t="shared" si="1"/>
        <v>7</v>
      </c>
      <c r="F23" s="23">
        <f t="shared" si="27"/>
        <v>297.35999999999996</v>
      </c>
      <c r="G23" s="23">
        <f t="shared" si="28"/>
        <v>2081.5199999999995</v>
      </c>
      <c r="H23" s="23">
        <f t="shared" si="29"/>
        <v>1197.7703279999996</v>
      </c>
      <c r="I23" s="23">
        <f t="shared" si="30"/>
        <v>4791.0813119999984</v>
      </c>
      <c r="J23" s="4"/>
      <c r="K23" s="37">
        <f t="shared" si="2"/>
        <v>245.91666666666666</v>
      </c>
      <c r="L23" s="23">
        <f t="shared" si="31"/>
        <v>983.66666666666663</v>
      </c>
      <c r="M23" s="38">
        <f t="shared" si="3"/>
        <v>1691.5566666666666</v>
      </c>
      <c r="N23" s="27">
        <f t="shared" si="32"/>
        <v>6766.2266666666665</v>
      </c>
      <c r="O23" s="23">
        <f t="shared" si="33"/>
        <v>6885.6666666666661</v>
      </c>
      <c r="P23" s="4"/>
      <c r="Q23" s="50" t="s">
        <v>65</v>
      </c>
      <c r="R23" s="48" t="s">
        <v>66</v>
      </c>
      <c r="S23">
        <f>IF(Tools!$L$49="Use 141 rule only",I47,IF(Tools!$L$49="Use 141 and 1331 rules",BG24," "))</f>
        <v>6.8156960610779462</v>
      </c>
      <c r="W23" s="29">
        <f>IF(AO23="  ","  ",IF(AND(AO22="  ",AO24="  "),"?",IF(AO22="  ",2*(AO24-AO23),IF(AO24="  ",2*(AO23-AO22),2*(AO24-AO22)))))</f>
        <v>4</v>
      </c>
      <c r="X23" s="30" t="str">
        <f t="shared" si="4"/>
        <v>WW</v>
      </c>
      <c r="Y23" s="30" t="str">
        <f t="shared" si="5"/>
        <v>-</v>
      </c>
      <c r="Z23" s="29" t="b">
        <f t="shared" si="6"/>
        <v>0</v>
      </c>
      <c r="AA23" s="29" t="b">
        <f t="shared" si="7"/>
        <v>0</v>
      </c>
      <c r="AB23" s="29" t="str">
        <f t="shared" ca="1" si="8"/>
        <v>++</v>
      </c>
      <c r="AC23" s="29">
        <f t="shared" si="34"/>
        <v>6</v>
      </c>
      <c r="AD23" s="29">
        <f t="shared" ca="1" si="9"/>
        <v>6</v>
      </c>
      <c r="AE23" s="29">
        <v>20</v>
      </c>
      <c r="AF23" s="31">
        <f t="shared" si="42"/>
        <v>16</v>
      </c>
      <c r="AG23" s="29" t="b">
        <f t="shared" si="11"/>
        <v>1</v>
      </c>
      <c r="AH23" s="30" t="str">
        <f t="shared" ca="1" si="43"/>
        <v>141-4</v>
      </c>
      <c r="AI23" s="30" t="str">
        <f t="shared" ca="1" si="13"/>
        <v/>
      </c>
      <c r="AJ23" s="29">
        <f t="shared" ca="1" si="14"/>
        <v>0</v>
      </c>
      <c r="AK23" s="29" t="str">
        <f t="shared" ca="1" si="15"/>
        <v>4/3</v>
      </c>
      <c r="AL23" s="29">
        <f t="shared" ca="1" si="16"/>
        <v>1.3333333333333333</v>
      </c>
      <c r="AM23" s="32">
        <f t="shared" ca="1" si="35"/>
        <v>1.3333333333333333</v>
      </c>
      <c r="AO23" s="20">
        <f>Tools!$AD22</f>
        <v>17</v>
      </c>
      <c r="AP23" s="33">
        <f t="shared" si="36"/>
        <v>10.62</v>
      </c>
      <c r="AQ23" s="34" t="str">
        <f t="shared" ca="1" si="18"/>
        <v>4/3</v>
      </c>
      <c r="AR23" s="23">
        <f t="shared" ca="1" si="19"/>
        <v>14.159999999999998</v>
      </c>
      <c r="AS23" s="24">
        <f t="shared" si="20"/>
        <v>7</v>
      </c>
      <c r="AT23" s="23">
        <f t="shared" ca="1" si="37"/>
        <v>99.11999999999999</v>
      </c>
      <c r="AU23" s="23">
        <f t="shared" ca="1" si="40"/>
        <v>693.83999999999992</v>
      </c>
      <c r="AV23" s="23">
        <f t="shared" si="21"/>
        <v>1197.7703279999996</v>
      </c>
      <c r="AW23" s="23">
        <f t="shared" ca="1" si="22"/>
        <v>1597.0271039999993</v>
      </c>
      <c r="AY23" s="35">
        <f t="shared" si="23"/>
        <v>245.91666666666666</v>
      </c>
      <c r="AZ23" s="23">
        <f t="shared" ca="1" si="41"/>
        <v>327.88888888888886</v>
      </c>
      <c r="BA23" s="36">
        <f t="shared" si="25"/>
        <v>1691.5566666666666</v>
      </c>
      <c r="BB23" s="27">
        <f t="shared" ca="1" si="38"/>
        <v>2255.4088888888887</v>
      </c>
      <c r="BC23" s="23">
        <f t="shared" ca="1" si="39"/>
        <v>2295.2222222222222</v>
      </c>
      <c r="BE23" s="50" t="s">
        <v>63</v>
      </c>
      <c r="BF23" s="48" t="s">
        <v>64</v>
      </c>
      <c r="BG23" s="49">
        <f>IF(WL_No="  ","  ",IT/V_Disp)</f>
        <v>3.1511900906997496</v>
      </c>
    </row>
    <row r="24" spans="1:59" x14ac:dyDescent="0.25">
      <c r="A24" s="20">
        <f>Tools!$AD23</f>
        <v>18</v>
      </c>
      <c r="B24" s="33">
        <f t="shared" si="0"/>
        <v>9.16</v>
      </c>
      <c r="C24" s="22">
        <f>IF(A24="  ","  ",IF(AND(A23="  ",A25="  "),"?",IF(A23="  ",1*(A25-A24),IF(A25="  ",1*(A24-A23),1*(A25-A23)))))</f>
        <v>1.5</v>
      </c>
      <c r="D24" s="23">
        <f t="shared" si="26"/>
        <v>13.74</v>
      </c>
      <c r="E24" s="24">
        <f t="shared" si="1"/>
        <v>8</v>
      </c>
      <c r="F24" s="23">
        <f t="shared" si="27"/>
        <v>109.92</v>
      </c>
      <c r="G24" s="23">
        <f t="shared" si="28"/>
        <v>879.36</v>
      </c>
      <c r="H24" s="23">
        <f t="shared" si="29"/>
        <v>768.57529600000009</v>
      </c>
      <c r="I24" s="23">
        <f t="shared" si="30"/>
        <v>1152.8629440000002</v>
      </c>
      <c r="J24" s="4"/>
      <c r="K24" s="37">
        <f t="shared" si="2"/>
        <v>193.42786666666666</v>
      </c>
      <c r="L24" s="23">
        <f t="shared" si="31"/>
        <v>290.14179999999999</v>
      </c>
      <c r="M24" s="38">
        <f t="shared" si="3"/>
        <v>1370.7629333333332</v>
      </c>
      <c r="N24" s="27">
        <f t="shared" si="32"/>
        <v>2056.1443999999997</v>
      </c>
      <c r="O24" s="23">
        <f t="shared" si="33"/>
        <v>2321.1343999999999</v>
      </c>
      <c r="P24" s="4"/>
      <c r="Q24" s="50" t="s">
        <v>67</v>
      </c>
      <c r="R24" s="48" t="s">
        <v>68</v>
      </c>
      <c r="S24">
        <f>IF(Tools!$L$49="Use 141 rule only",I48,IF(Tools!$L$49="Use 141 and 1331 rules",BG25," "))</f>
        <v>9.9668861517776968</v>
      </c>
      <c r="W24" s="29">
        <f>IF(AO24="  ","  ",IF(AND(AO23="  ",AO25="  "),"?",IF(AO23="  ",1*(AO25-AO24),IF(AO25="  ",1*(AO24-AO23),1*(AO25-AO23)))))</f>
        <v>1.5</v>
      </c>
      <c r="X24" s="30" t="str">
        <f t="shared" si="4"/>
        <v>WD</v>
      </c>
      <c r="Y24" s="30" t="str">
        <f t="shared" si="5"/>
        <v>-</v>
      </c>
      <c r="Z24" s="29" t="b">
        <f t="shared" si="6"/>
        <v>1</v>
      </c>
      <c r="AA24" s="29" t="b">
        <f t="shared" si="7"/>
        <v>1</v>
      </c>
      <c r="AB24" s="29" t="str">
        <f t="shared" ca="1" si="8"/>
        <v>141-1</v>
      </c>
      <c r="AC24" s="29">
        <f t="shared" si="34"/>
        <v>5</v>
      </c>
      <c r="AD24" s="29">
        <f t="shared" ca="1" si="9"/>
        <v>5</v>
      </c>
      <c r="AE24" s="29">
        <v>21</v>
      </c>
      <c r="AF24" s="31">
        <f t="shared" si="42"/>
        <v>17</v>
      </c>
      <c r="AG24" s="29" t="b">
        <f t="shared" si="11"/>
        <v>1</v>
      </c>
      <c r="AH24" s="30" t="str">
        <f t="shared" ca="1" si="43"/>
        <v>141-1</v>
      </c>
      <c r="AI24" s="30" t="str">
        <f t="shared" ca="1" si="13"/>
        <v>(1/2)*(1/3)</v>
      </c>
      <c r="AJ24" s="29">
        <f t="shared" ca="1" si="14"/>
        <v>0.16666666666666666</v>
      </c>
      <c r="AK24" s="29" t="str">
        <f t="shared" ca="1" si="15"/>
        <v>1/3</v>
      </c>
      <c r="AL24" s="29">
        <f t="shared" ca="1" si="16"/>
        <v>0.33333333333333331</v>
      </c>
      <c r="AM24" s="32">
        <f t="shared" ca="1" si="35"/>
        <v>0.5</v>
      </c>
      <c r="AO24" s="20">
        <f>Tools!$AD23</f>
        <v>18</v>
      </c>
      <c r="AP24" s="33">
        <f t="shared" si="36"/>
        <v>9.16</v>
      </c>
      <c r="AQ24" s="34" t="str">
        <f t="shared" ca="1" si="18"/>
        <v>(1/2)*(1/3)+1/3</v>
      </c>
      <c r="AR24" s="23">
        <f t="shared" ca="1" si="19"/>
        <v>4.58</v>
      </c>
      <c r="AS24" s="24">
        <f t="shared" si="20"/>
        <v>8</v>
      </c>
      <c r="AT24" s="23">
        <f t="shared" ca="1" si="37"/>
        <v>36.64</v>
      </c>
      <c r="AU24" s="23">
        <f t="shared" ca="1" si="40"/>
        <v>293.12</v>
      </c>
      <c r="AV24" s="23">
        <f t="shared" si="21"/>
        <v>768.57529600000009</v>
      </c>
      <c r="AW24" s="23">
        <f t="shared" ca="1" si="22"/>
        <v>384.28764800000005</v>
      </c>
      <c r="AY24" s="35">
        <f t="shared" si="23"/>
        <v>193.42786666666666</v>
      </c>
      <c r="AZ24" s="23">
        <f t="shared" ca="1" si="41"/>
        <v>96.71393333333333</v>
      </c>
      <c r="BA24" s="36">
        <f t="shared" si="25"/>
        <v>1370.7629333333332</v>
      </c>
      <c r="BB24" s="27">
        <f t="shared" ca="1" si="38"/>
        <v>685.3814666666666</v>
      </c>
      <c r="BC24" s="23">
        <f t="shared" ca="1" si="39"/>
        <v>773.71146666666664</v>
      </c>
      <c r="BE24" s="50" t="s">
        <v>65</v>
      </c>
      <c r="BF24" s="48" t="s">
        <v>66</v>
      </c>
      <c r="BG24" s="49">
        <f>IF(WL_No="  ","  ",MT/V_Disp)</f>
        <v>6.8156960610779462</v>
      </c>
    </row>
    <row r="25" spans="1:59" x14ac:dyDescent="0.25">
      <c r="A25" s="20">
        <f>Tools!$AD24</f>
        <v>18.5</v>
      </c>
      <c r="B25" s="33">
        <f t="shared" si="0"/>
        <v>7.8</v>
      </c>
      <c r="C25" s="22">
        <f>IF(A25="  ","  ",IF(AND(A24="  ",A26="  "),"?",IF(A24="  ",2*(A26-A25),IF(A26="  ",2*(A25-A24),2*(A26-A24)))))</f>
        <v>2</v>
      </c>
      <c r="D25" s="23">
        <f t="shared" si="26"/>
        <v>15.6</v>
      </c>
      <c r="E25" s="24">
        <f t="shared" si="1"/>
        <v>8.5</v>
      </c>
      <c r="F25" s="23">
        <f t="shared" si="27"/>
        <v>132.6</v>
      </c>
      <c r="G25" s="23">
        <f t="shared" si="28"/>
        <v>1127.0999999999999</v>
      </c>
      <c r="H25" s="23">
        <f t="shared" si="29"/>
        <v>474.55199999999996</v>
      </c>
      <c r="I25" s="23">
        <f t="shared" si="30"/>
        <v>949.10399999999993</v>
      </c>
      <c r="J25" s="4"/>
      <c r="K25" s="37">
        <f t="shared" si="2"/>
        <v>155.98333333333335</v>
      </c>
      <c r="L25" s="23">
        <f t="shared" si="31"/>
        <v>311.9666666666667</v>
      </c>
      <c r="M25" s="38">
        <f t="shared" si="3"/>
        <v>1121.2733333333333</v>
      </c>
      <c r="N25" s="27">
        <f t="shared" si="32"/>
        <v>2242.5466666666666</v>
      </c>
      <c r="O25" s="23">
        <f t="shared" si="33"/>
        <v>2651.7166666666672</v>
      </c>
      <c r="P25" s="4"/>
      <c r="Q25" s="50" t="s">
        <v>69</v>
      </c>
      <c r="R25" s="48" t="s">
        <v>70</v>
      </c>
      <c r="S25">
        <f>IF(Tools!$L$49="Use 141 rule only",I49,IF(Tools!$L$49="Use 141 and 1331 rules",BG26," "))</f>
        <v>136.80369779368434</v>
      </c>
      <c r="W25" s="29">
        <f>IF(AO25="  ","  ",IF(AND(AO24="  ",AO26="  "),"?",IF(AO24="  ",2*(AO26-AO25),IF(AO26="  ",2*(AO25-AO24),2*(AO26-AO24)))))</f>
        <v>2</v>
      </c>
      <c r="X25" s="30" t="str">
        <f t="shared" si="4"/>
        <v>DD</v>
      </c>
      <c r="Y25" s="30" t="str">
        <f t="shared" si="5"/>
        <v>-</v>
      </c>
      <c r="Z25" s="29" t="b">
        <f t="shared" si="6"/>
        <v>1</v>
      </c>
      <c r="AA25" s="29" t="b">
        <f t="shared" si="7"/>
        <v>1</v>
      </c>
      <c r="AB25" s="29" t="str">
        <f t="shared" ca="1" si="8"/>
        <v>141-4</v>
      </c>
      <c r="AC25" s="29">
        <f t="shared" si="34"/>
        <v>4</v>
      </c>
      <c r="AD25" s="29">
        <f t="shared" ca="1" si="9"/>
        <v>4</v>
      </c>
      <c r="AE25" s="29">
        <v>22</v>
      </c>
      <c r="AF25" s="31">
        <f t="shared" si="42"/>
        <v>18</v>
      </c>
      <c r="AG25" s="29" t="b">
        <f t="shared" si="11"/>
        <v>0</v>
      </c>
      <c r="AH25" s="30" t="str">
        <f t="shared" si="43"/>
        <v>-</v>
      </c>
      <c r="AI25" s="30" t="str">
        <f t="shared" ca="1" si="13"/>
        <v>(1/2)*(4/3)</v>
      </c>
      <c r="AJ25" s="29">
        <f t="shared" ca="1" si="14"/>
        <v>0.66666666666666663</v>
      </c>
      <c r="AK25" s="29" t="str">
        <f t="shared" si="15"/>
        <v/>
      </c>
      <c r="AL25" s="29">
        <f t="shared" si="16"/>
        <v>0</v>
      </c>
      <c r="AM25" s="32">
        <f t="shared" ca="1" si="35"/>
        <v>0.66666666666666663</v>
      </c>
      <c r="AO25" s="20">
        <f>Tools!$AD24</f>
        <v>18.5</v>
      </c>
      <c r="AP25" s="33">
        <f t="shared" si="36"/>
        <v>7.8</v>
      </c>
      <c r="AQ25" s="34" t="str">
        <f t="shared" ca="1" si="18"/>
        <v>(1/2)*(4/3)</v>
      </c>
      <c r="AR25" s="23">
        <f t="shared" ca="1" si="19"/>
        <v>5.1999999999999993</v>
      </c>
      <c r="AS25" s="24">
        <f t="shared" si="20"/>
        <v>8.5</v>
      </c>
      <c r="AT25" s="23">
        <f t="shared" ca="1" si="37"/>
        <v>44.199999999999996</v>
      </c>
      <c r="AU25" s="23">
        <f t="shared" ca="1" si="40"/>
        <v>375.7</v>
      </c>
      <c r="AV25" s="23">
        <f t="shared" si="21"/>
        <v>474.55199999999996</v>
      </c>
      <c r="AW25" s="23">
        <f t="shared" ca="1" si="22"/>
        <v>316.36799999999994</v>
      </c>
      <c r="AY25" s="35">
        <f t="shared" si="23"/>
        <v>155.98333333333335</v>
      </c>
      <c r="AZ25" s="23">
        <f t="shared" ca="1" si="41"/>
        <v>103.98888888888889</v>
      </c>
      <c r="BA25" s="36">
        <f t="shared" si="25"/>
        <v>1121.2733333333333</v>
      </c>
      <c r="BB25" s="27">
        <f t="shared" ca="1" si="38"/>
        <v>747.51555555555547</v>
      </c>
      <c r="BC25" s="23">
        <f t="shared" ca="1" si="39"/>
        <v>883.90555555555557</v>
      </c>
      <c r="BE25" s="50" t="s">
        <v>67</v>
      </c>
      <c r="BF25" s="48" t="s">
        <v>68</v>
      </c>
      <c r="BG25" s="49">
        <f>IF(WL_No="  ","  ",KB+BMT)</f>
        <v>9.9668861517776968</v>
      </c>
    </row>
    <row r="26" spans="1:59" x14ac:dyDescent="0.25">
      <c r="A26" s="20">
        <f>Tools!$AD25</f>
        <v>19</v>
      </c>
      <c r="B26" s="33">
        <f t="shared" si="0"/>
        <v>5.94</v>
      </c>
      <c r="C26" s="22">
        <f>IF(A26="  ","  ",IF(AND(A25="  ",A27="  "),"?",IF(A25="  ",1*(A27-A26),IF(A27="  ",1*(A26-A25),1*(A27-A25)))))</f>
        <v>1</v>
      </c>
      <c r="D26" s="23">
        <f t="shared" si="26"/>
        <v>5.94</v>
      </c>
      <c r="E26" s="24">
        <f t="shared" si="1"/>
        <v>9</v>
      </c>
      <c r="F26" s="23">
        <f t="shared" si="27"/>
        <v>53.46</v>
      </c>
      <c r="G26" s="23">
        <f t="shared" si="28"/>
        <v>481.14</v>
      </c>
      <c r="H26" s="23">
        <f t="shared" si="29"/>
        <v>209.58458400000006</v>
      </c>
      <c r="I26" s="23">
        <f t="shared" si="30"/>
        <v>209.58458400000006</v>
      </c>
      <c r="J26" s="4"/>
      <c r="K26" s="37">
        <f t="shared" si="2"/>
        <v>111.62666666666667</v>
      </c>
      <c r="L26" s="23">
        <f t="shared" si="31"/>
        <v>111.62666666666667</v>
      </c>
      <c r="M26" s="38">
        <f t="shared" si="3"/>
        <v>808.69666666666649</v>
      </c>
      <c r="N26" s="27">
        <f t="shared" si="32"/>
        <v>808.69666666666649</v>
      </c>
      <c r="O26" s="23">
        <f t="shared" si="33"/>
        <v>1004.64</v>
      </c>
      <c r="P26" s="4"/>
      <c r="Q26" s="50" t="s">
        <v>71</v>
      </c>
      <c r="R26" s="48" t="s">
        <v>72</v>
      </c>
      <c r="S26">
        <f>IF(Tools!$L$49="Use 141 rule only",I50,IF(Tools!$L$49="Use 141 and 1331 rules",BG27," "))</f>
        <v>29.831884608333336</v>
      </c>
      <c r="W26" s="29">
        <f>IF(AO26="  ","  ",IF(AND(AO25="  ",AO27="  "),"?",IF(AO25="  ",1*(AO27-AO26),IF(AO27="  ",1*(AO26-AO25),1*(AO27-AO25)))))</f>
        <v>1</v>
      </c>
      <c r="X26" s="30" t="str">
        <f t="shared" si="4"/>
        <v>DD</v>
      </c>
      <c r="Y26" s="30" t="str">
        <f t="shared" si="5"/>
        <v>-</v>
      </c>
      <c r="Z26" s="29" t="b">
        <f t="shared" si="6"/>
        <v>1</v>
      </c>
      <c r="AA26" s="29" t="b">
        <f t="shared" si="7"/>
        <v>1</v>
      </c>
      <c r="AB26" s="29" t="str">
        <f t="shared" ca="1" si="8"/>
        <v>141-2</v>
      </c>
      <c r="AC26" s="29">
        <f t="shared" si="34"/>
        <v>3</v>
      </c>
      <c r="AD26" s="29">
        <f t="shared" ca="1" si="9"/>
        <v>3</v>
      </c>
      <c r="AE26" s="29">
        <v>23</v>
      </c>
      <c r="AF26" s="31">
        <f t="shared" si="42"/>
        <v>19</v>
      </c>
      <c r="AG26" s="29" t="b">
        <f t="shared" si="11"/>
        <v>0</v>
      </c>
      <c r="AH26" s="30" t="str">
        <f t="shared" si="43"/>
        <v>-</v>
      </c>
      <c r="AI26" s="30" t="str">
        <f t="shared" ca="1" si="13"/>
        <v>(1/2)*(2/3)</v>
      </c>
      <c r="AJ26" s="29">
        <f t="shared" ca="1" si="14"/>
        <v>0.33333333333333331</v>
      </c>
      <c r="AK26" s="29" t="str">
        <f t="shared" si="15"/>
        <v/>
      </c>
      <c r="AL26" s="29">
        <f t="shared" si="16"/>
        <v>0</v>
      </c>
      <c r="AM26" s="32">
        <f t="shared" ca="1" si="35"/>
        <v>0.33333333333333331</v>
      </c>
      <c r="AO26" s="20">
        <f>Tools!$AD25</f>
        <v>19</v>
      </c>
      <c r="AP26" s="33">
        <f t="shared" si="36"/>
        <v>5.94</v>
      </c>
      <c r="AQ26" s="34" t="str">
        <f t="shared" ca="1" si="18"/>
        <v>(1/2)*(2/3)</v>
      </c>
      <c r="AR26" s="23">
        <f t="shared" ca="1" si="19"/>
        <v>1.98</v>
      </c>
      <c r="AS26" s="24">
        <f t="shared" si="20"/>
        <v>9</v>
      </c>
      <c r="AT26" s="23">
        <f t="shared" ca="1" si="37"/>
        <v>17.82</v>
      </c>
      <c r="AU26" s="23">
        <f t="shared" ca="1" si="40"/>
        <v>160.38</v>
      </c>
      <c r="AV26" s="23">
        <f t="shared" si="21"/>
        <v>209.58458400000006</v>
      </c>
      <c r="AW26" s="23">
        <f t="shared" ca="1" si="22"/>
        <v>69.861528000000021</v>
      </c>
      <c r="AY26" s="35">
        <f t="shared" si="23"/>
        <v>111.62666666666667</v>
      </c>
      <c r="AZ26" s="23">
        <f t="shared" ca="1" si="41"/>
        <v>37.208888888888886</v>
      </c>
      <c r="BA26" s="36">
        <f t="shared" si="25"/>
        <v>808.69666666666649</v>
      </c>
      <c r="BB26" s="27">
        <f t="shared" ca="1" si="38"/>
        <v>269.56555555555548</v>
      </c>
      <c r="BC26" s="23">
        <f t="shared" ca="1" si="39"/>
        <v>334.88</v>
      </c>
      <c r="BE26" s="50" t="s">
        <v>69</v>
      </c>
      <c r="BF26" s="48" t="s">
        <v>70</v>
      </c>
      <c r="BG26" s="49">
        <f>IF(WL_No="  ","  ",KB+BML)</f>
        <v>136.80369779368434</v>
      </c>
    </row>
    <row r="27" spans="1:59" x14ac:dyDescent="0.25">
      <c r="A27" s="20">
        <f>Tools!$AD26</f>
        <v>19.5</v>
      </c>
      <c r="B27" s="33">
        <f t="shared" si="0"/>
        <v>3.63</v>
      </c>
      <c r="C27" s="22">
        <f>IF(A27="  ","  ",IF(AND(A26="  ",A28="  "),"?",IF(A26="  ",2*(A28-A27),IF(A28="  ",2*(A27-A26),2*(A28-A26)))))</f>
        <v>2</v>
      </c>
      <c r="D27" s="23">
        <f t="shared" si="26"/>
        <v>7.26</v>
      </c>
      <c r="E27" s="24">
        <f t="shared" si="1"/>
        <v>9.5</v>
      </c>
      <c r="F27" s="23">
        <f t="shared" si="27"/>
        <v>68.97</v>
      </c>
      <c r="G27" s="23">
        <f t="shared" si="28"/>
        <v>655.21500000000003</v>
      </c>
      <c r="H27" s="23">
        <f t="shared" si="29"/>
        <v>47.832146999999999</v>
      </c>
      <c r="I27" s="23">
        <f t="shared" si="30"/>
        <v>95.664293999999998</v>
      </c>
      <c r="J27" s="4"/>
      <c r="K27" s="37">
        <f t="shared" si="2"/>
        <v>62.953066666666665</v>
      </c>
      <c r="L27" s="23">
        <f t="shared" si="31"/>
        <v>125.90613333333333</v>
      </c>
      <c r="M27" s="38">
        <f t="shared" si="3"/>
        <v>445.51733333333328</v>
      </c>
      <c r="N27" s="27">
        <f t="shared" si="32"/>
        <v>891.03466666666657</v>
      </c>
      <c r="O27" s="23">
        <f t="shared" si="33"/>
        <v>1196.1082666666666</v>
      </c>
      <c r="P27" s="4"/>
      <c r="Q27" s="50" t="s">
        <v>73</v>
      </c>
      <c r="R27" s="48" t="s">
        <v>74</v>
      </c>
      <c r="S27">
        <f>IF(Tools!$L$49="Use 141 rule only",I51,IF(Tools!$L$49="Use 141 and 1331 rules",BG28," "))</f>
        <v>2.018098869781018</v>
      </c>
      <c r="W27" s="29">
        <f>IF(AO27="  ","  ",IF(AND(AO26="  ",AO28="  "),"?",IF(AO26="  ",2*(AO28-AO27),IF(AO28="  ",2*(AO27-AO26),2*(AO28-AO26)))))</f>
        <v>2</v>
      </c>
      <c r="X27" s="30" t="str">
        <f t="shared" si="4"/>
        <v>DD</v>
      </c>
      <c r="Y27" s="30" t="str">
        <f t="shared" si="5"/>
        <v>-</v>
      </c>
      <c r="Z27" s="29" t="b">
        <f t="shared" si="6"/>
        <v>1</v>
      </c>
      <c r="AA27" s="29" t="b">
        <f t="shared" si="7"/>
        <v>1</v>
      </c>
      <c r="AB27" s="29" t="str">
        <f t="shared" ca="1" si="8"/>
        <v>141-4</v>
      </c>
      <c r="AC27" s="29">
        <f t="shared" si="34"/>
        <v>2</v>
      </c>
      <c r="AD27" s="29">
        <f t="shared" ca="1" si="9"/>
        <v>2</v>
      </c>
      <c r="AE27" s="29">
        <v>24</v>
      </c>
      <c r="AF27" s="31">
        <f t="shared" si="42"/>
        <v>20</v>
      </c>
      <c r="AG27" s="29" t="b">
        <f t="shared" si="11"/>
        <v>0</v>
      </c>
      <c r="AH27" s="30" t="str">
        <f t="shared" si="43"/>
        <v>-</v>
      </c>
      <c r="AI27" s="30" t="str">
        <f t="shared" ca="1" si="13"/>
        <v>(1/2)*(4/3)</v>
      </c>
      <c r="AJ27" s="29">
        <f t="shared" ca="1" si="14"/>
        <v>0.66666666666666663</v>
      </c>
      <c r="AK27" s="29" t="str">
        <f t="shared" si="15"/>
        <v/>
      </c>
      <c r="AL27" s="29">
        <f t="shared" si="16"/>
        <v>0</v>
      </c>
      <c r="AM27" s="32">
        <f t="shared" ca="1" si="35"/>
        <v>0.66666666666666663</v>
      </c>
      <c r="AO27" s="20">
        <f>Tools!$AD26</f>
        <v>19.5</v>
      </c>
      <c r="AP27" s="33">
        <f t="shared" ref="AP27:AP28" si="44">VLOOKUP(AO27,OFFSET_A,Count_WL+1,FALSE)</f>
        <v>3.63</v>
      </c>
      <c r="AQ27" s="34" t="str">
        <f t="shared" ca="1" si="18"/>
        <v>(1/2)*(4/3)</v>
      </c>
      <c r="AR27" s="23">
        <f t="shared" ca="1" si="19"/>
        <v>2.42</v>
      </c>
      <c r="AS27" s="24">
        <f t="shared" si="20"/>
        <v>9.5</v>
      </c>
      <c r="AT27" s="23">
        <f t="shared" ca="1" si="37"/>
        <v>22.99</v>
      </c>
      <c r="AU27" s="23">
        <f t="shared" ca="1" si="40"/>
        <v>218.40499999999997</v>
      </c>
      <c r="AV27" s="23">
        <f t="shared" si="21"/>
        <v>47.832146999999999</v>
      </c>
      <c r="AW27" s="23">
        <f t="shared" ca="1" si="22"/>
        <v>31.888097999999999</v>
      </c>
      <c r="AY27" s="35">
        <f t="shared" si="23"/>
        <v>62.953066666666665</v>
      </c>
      <c r="AZ27" s="23">
        <f t="shared" ca="1" si="41"/>
        <v>41.968711111111105</v>
      </c>
      <c r="BA27" s="36">
        <f t="shared" si="25"/>
        <v>445.51733333333328</v>
      </c>
      <c r="BB27" s="27">
        <f t="shared" ca="1" si="38"/>
        <v>297.0115555555555</v>
      </c>
      <c r="BC27" s="23">
        <f t="shared" ca="1" si="39"/>
        <v>398.70275555555548</v>
      </c>
      <c r="BE27" s="50" t="s">
        <v>71</v>
      </c>
      <c r="BF27" s="48" t="s">
        <v>72</v>
      </c>
      <c r="BG27" s="49">
        <f>IF(WL_No="  ","  ",AWP*1.025/100)</f>
        <v>29.831884608333336</v>
      </c>
    </row>
    <row r="28" spans="1:59" ht="15.75" thickBot="1" x14ac:dyDescent="0.3">
      <c r="A28" s="20">
        <f>Tools!$AD27</f>
        <v>20</v>
      </c>
      <c r="B28" s="52">
        <f t="shared" si="0"/>
        <v>1.63</v>
      </c>
      <c r="C28" s="22">
        <f>IF(A28="  ","  ",IF(A27="  ","?",1*(A28-A27)))</f>
        <v>0.5</v>
      </c>
      <c r="D28" s="53">
        <f t="shared" si="26"/>
        <v>0.81499999999999995</v>
      </c>
      <c r="E28" s="24">
        <f t="shared" si="1"/>
        <v>10</v>
      </c>
      <c r="F28" s="53">
        <f t="shared" si="27"/>
        <v>8.1499999999999986</v>
      </c>
      <c r="G28" s="53">
        <f t="shared" si="28"/>
        <v>81.499999999999986</v>
      </c>
      <c r="H28" s="23">
        <f t="shared" si="29"/>
        <v>4.3307469999999997</v>
      </c>
      <c r="I28" s="53">
        <f t="shared" si="30"/>
        <v>2.1653734999999998</v>
      </c>
      <c r="J28" s="4"/>
      <c r="K28" s="35">
        <f t="shared" si="2"/>
        <v>17.716666666666669</v>
      </c>
      <c r="L28" s="53">
        <f t="shared" si="31"/>
        <v>8.8583333333333343</v>
      </c>
      <c r="M28" s="36">
        <f t="shared" si="3"/>
        <v>89.643333333333317</v>
      </c>
      <c r="N28" s="54">
        <f t="shared" si="32"/>
        <v>44.821666666666658</v>
      </c>
      <c r="O28" s="53">
        <f t="shared" si="33"/>
        <v>88.583333333333343</v>
      </c>
      <c r="P28" s="4"/>
      <c r="Q28" s="50" t="s">
        <v>75</v>
      </c>
      <c r="R28" s="55" t="s">
        <v>76</v>
      </c>
      <c r="S28">
        <f>IF(Tools!$L$49="Use 141 rule only",I52,IF(Tools!$L$49="Use 141 and 1331 rules",BG29," "))</f>
        <v>309.37391584271188</v>
      </c>
      <c r="W28" s="29">
        <f>IF(AO28="  ","  ",IF(AO27="  ","?",1*(AO28-AO27)))</f>
        <v>0.5</v>
      </c>
      <c r="X28" s="30" t="str">
        <f t="shared" si="4"/>
        <v>D-</v>
      </c>
      <c r="Y28" s="30" t="str">
        <f t="shared" si="5"/>
        <v>-</v>
      </c>
      <c r="Z28" s="29" t="b">
        <f t="shared" si="6"/>
        <v>1</v>
      </c>
      <c r="AA28" s="29" t="b">
        <f t="shared" si="7"/>
        <v>1</v>
      </c>
      <c r="AB28" s="29" t="str">
        <f t="shared" ca="1" si="8"/>
        <v>141-1</v>
      </c>
      <c r="AC28" s="29">
        <f>IF(ISNUMBER(AO28),IF(ISNUMBER(AO28),IF(OR(AO28=0,AO28=Long_Div),1,IF(AO28&gt;Long_Div/2,AF29+1,IF(AO28&lt;=Long_Div/2,AC27+1,"?")))," --")," ")</f>
        <v>1</v>
      </c>
      <c r="AD28" s="29">
        <f t="shared" ca="1" si="9"/>
        <v>1</v>
      </c>
      <c r="AE28" s="29">
        <v>25</v>
      </c>
      <c r="AF28" s="31">
        <f t="shared" si="42"/>
        <v>21</v>
      </c>
      <c r="AG28" s="29" t="b">
        <f t="shared" si="11"/>
        <v>0</v>
      </c>
      <c r="AH28" s="30" t="str">
        <f t="shared" si="43"/>
        <v>-</v>
      </c>
      <c r="AI28" s="30" t="str">
        <f t="shared" ca="1" si="13"/>
        <v>(1/2)*(1/3)</v>
      </c>
      <c r="AJ28" s="29">
        <f t="shared" ca="1" si="14"/>
        <v>0.16666666666666666</v>
      </c>
      <c r="AK28" s="29" t="str">
        <f t="shared" si="15"/>
        <v/>
      </c>
      <c r="AL28" s="29">
        <f t="shared" si="16"/>
        <v>0</v>
      </c>
      <c r="AM28" s="32">
        <f t="shared" ca="1" si="35"/>
        <v>0.16666666666666666</v>
      </c>
      <c r="AO28" s="20">
        <f>Tools!$AD27</f>
        <v>20</v>
      </c>
      <c r="AP28" s="33">
        <f t="shared" si="44"/>
        <v>1.63</v>
      </c>
      <c r="AQ28" s="34" t="str">
        <f t="shared" ca="1" si="18"/>
        <v>(1/2)*(1/3)</v>
      </c>
      <c r="AR28" s="23">
        <f t="shared" ca="1" si="19"/>
        <v>0.27166666666666661</v>
      </c>
      <c r="AS28" s="24">
        <f t="shared" si="20"/>
        <v>10</v>
      </c>
      <c r="AT28" s="53">
        <f t="shared" ca="1" si="37"/>
        <v>2.7166666666666659</v>
      </c>
      <c r="AU28" s="53">
        <f t="shared" ca="1" si="40"/>
        <v>27.166666666666657</v>
      </c>
      <c r="AV28" s="23">
        <f t="shared" si="21"/>
        <v>4.3307469999999997</v>
      </c>
      <c r="AW28" s="23">
        <f t="shared" ca="1" si="22"/>
        <v>0.72179116666666654</v>
      </c>
      <c r="AY28" s="35">
        <f t="shared" si="23"/>
        <v>17.716666666666669</v>
      </c>
      <c r="AZ28" s="23">
        <f t="shared" ca="1" si="41"/>
        <v>2.9527777777777779</v>
      </c>
      <c r="BA28" s="36">
        <f t="shared" si="25"/>
        <v>89.643333333333317</v>
      </c>
      <c r="BB28" s="27">
        <f t="shared" ca="1" si="38"/>
        <v>14.940555555555552</v>
      </c>
      <c r="BC28" s="53">
        <f t="shared" ca="1" si="39"/>
        <v>29.527777777777779</v>
      </c>
      <c r="BE28" s="50" t="s">
        <v>73</v>
      </c>
      <c r="BF28" s="48" t="s">
        <v>74</v>
      </c>
      <c r="BG28" s="49">
        <f>IF(WL_No="  ","  ",ML/V_Disp)</f>
        <v>2.018098869781018</v>
      </c>
    </row>
    <row r="29" spans="1:59" ht="15.75" thickBot="1" x14ac:dyDescent="0.3">
      <c r="A29" s="56" t="s">
        <v>77</v>
      </c>
      <c r="B29" s="56"/>
      <c r="C29" s="56"/>
      <c r="D29" s="57">
        <f>SUM(D4:D28)</f>
        <v>597.21500000000015</v>
      </c>
      <c r="E29" s="42"/>
      <c r="F29" s="58">
        <f>SUM(F4:F28)</f>
        <v>-72.819999999999993</v>
      </c>
      <c r="G29" s="58">
        <f>SUM(G4:G28)</f>
        <v>16853</v>
      </c>
      <c r="H29" s="42"/>
      <c r="I29" s="58">
        <f>SUM(I4:I28)</f>
        <v>65459.953470499997</v>
      </c>
      <c r="J29" s="4"/>
      <c r="K29" s="42"/>
      <c r="L29" s="58">
        <f>SUM(L4:L28)</f>
        <v>13848.726266666665</v>
      </c>
      <c r="M29" s="42"/>
      <c r="N29" s="58">
        <f>SUM(N4:N28)</f>
        <v>94388.709066666677</v>
      </c>
      <c r="O29" s="58">
        <f>SUM(O4:O28)</f>
        <v>3823.2693333333368</v>
      </c>
      <c r="P29" s="4"/>
      <c r="Q29" s="50" t="s">
        <v>78</v>
      </c>
      <c r="R29" s="48" t="s">
        <v>79</v>
      </c>
      <c r="S29">
        <f>IF(Tools!$L$49="Use 141 rule only",I53,IF(Tools!$L$49="Use 141 and 1331 rules",BG30," "))</f>
        <v>13</v>
      </c>
      <c r="W29" s="56"/>
      <c r="X29" s="56"/>
      <c r="Y29" s="56"/>
      <c r="Z29" s="56"/>
      <c r="AA29" s="56"/>
      <c r="AB29" s="56"/>
      <c r="AC29" s="56"/>
      <c r="AD29" s="56"/>
      <c r="AE29" s="56"/>
      <c r="AF29" s="56"/>
      <c r="AG29" s="56"/>
      <c r="AH29" s="56"/>
      <c r="AI29" s="56"/>
      <c r="AJ29" s="56"/>
      <c r="AK29" s="56"/>
      <c r="AL29" s="56"/>
      <c r="AM29" s="56"/>
      <c r="AN29" s="56"/>
      <c r="AO29" s="56" t="s">
        <v>77</v>
      </c>
      <c r="AP29" s="56"/>
      <c r="AQ29" s="59"/>
      <c r="AR29" s="57">
        <f ca="1">SUM(AR4:AR28)</f>
        <v>199.07166666666666</v>
      </c>
      <c r="AS29" s="42"/>
      <c r="AT29" s="58">
        <f ca="1">SUM(AT4:AT28)</f>
        <v>-24.273333333333319</v>
      </c>
      <c r="AU29" s="58">
        <f ca="1">SUM(AU4:AU28)</f>
        <v>5617.6666666666661</v>
      </c>
      <c r="AV29" s="42"/>
      <c r="AW29" s="58">
        <f ca="1">SUM(AW4:AW28)</f>
        <v>21819.984490166666</v>
      </c>
      <c r="AY29" s="42"/>
      <c r="AZ29" s="58">
        <f ca="1">SUM(AZ4:AZ28)</f>
        <v>4616.2420888888882</v>
      </c>
      <c r="BA29" s="42"/>
      <c r="BB29" s="58">
        <f ca="1">SUM(BB4:BB28)</f>
        <v>31462.903022222217</v>
      </c>
      <c r="BC29" s="58">
        <f ca="1">SUM(BC4:BC28)</f>
        <v>1274.4231111111092</v>
      </c>
      <c r="BE29" s="50" t="s">
        <v>75</v>
      </c>
      <c r="BF29" s="55" t="s">
        <v>76</v>
      </c>
      <c r="BG29" s="49">
        <f ca="1">IF(WL_No="  ","  ",M_Disp*BML/100/BG8)</f>
        <v>309.37391584271188</v>
      </c>
    </row>
    <row r="30" spans="1:59" x14ac:dyDescent="0.25">
      <c r="A30" s="15"/>
      <c r="B30" s="4"/>
      <c r="C30" s="4"/>
      <c r="D30" s="42"/>
      <c r="E30" s="4"/>
      <c r="F30" s="4"/>
      <c r="G30" s="4"/>
      <c r="H30" s="4"/>
      <c r="I30" s="4"/>
      <c r="J30" s="4"/>
      <c r="K30" s="4"/>
      <c r="L30" s="4"/>
      <c r="M30" s="4"/>
      <c r="N30" s="4"/>
      <c r="O30" s="4"/>
      <c r="P30" s="4"/>
      <c r="Q30" s="50" t="s">
        <v>80</v>
      </c>
      <c r="R30" s="48" t="s">
        <v>81</v>
      </c>
      <c r="S30">
        <f>IF(Tools!$L$49="Use 141 rule only",I54,IF(Tools!$L$49="Use 141 and 1331 rules",BG31," "))</f>
        <v>0.90487121212121235</v>
      </c>
      <c r="AA30" s="60"/>
      <c r="AB30" s="60"/>
      <c r="BE30" s="50" t="s">
        <v>78</v>
      </c>
      <c r="BF30" s="48" t="s">
        <v>79</v>
      </c>
      <c r="BG30" s="49">
        <f>IF(WL_No="  ","  ",WLS*WL_No)</f>
        <v>13</v>
      </c>
    </row>
    <row r="31" spans="1:59" x14ac:dyDescent="0.25">
      <c r="A31" s="15"/>
      <c r="B31" s="4"/>
      <c r="C31" s="4"/>
      <c r="D31" s="4"/>
      <c r="E31" s="4"/>
      <c r="F31" s="4"/>
      <c r="G31" s="4"/>
      <c r="H31" s="4"/>
      <c r="I31" s="4"/>
      <c r="J31" s="4"/>
      <c r="K31" s="4"/>
      <c r="L31" s="4"/>
      <c r="M31" s="4"/>
      <c r="N31" s="4"/>
      <c r="O31" s="4"/>
      <c r="P31" s="4"/>
      <c r="Q31" s="50" t="s">
        <v>82</v>
      </c>
      <c r="R31" s="48" t="s">
        <v>83</v>
      </c>
      <c r="S31">
        <f>IF(Tools!$L$49="Use 141 rule only",I55,IF(Tools!$L$49="Use 141 and 1331 rules",BG32," "))</f>
        <v>0.80703533022533014</v>
      </c>
      <c r="AF31" s="61" t="s">
        <v>84</v>
      </c>
      <c r="AG31" s="62">
        <f ca="1">COUNTIF(OFFSET(AQ4,,,ROUNDUP(Max_STN_count/2,0),1),"")</f>
        <v>0</v>
      </c>
      <c r="AH31" s="63">
        <f ca="1">HLOOKUP(Stn_WL,AREA_TABLE,AG31+2,FALSE)</f>
        <v>0</v>
      </c>
      <c r="AI31" s="63">
        <f ca="1">IF(AH31&gt;Long_Div/2,Long_Div/2,AH31)</f>
        <v>0</v>
      </c>
      <c r="AJ31" s="63">
        <f ca="1">AI31*STN_GAP</f>
        <v>0</v>
      </c>
      <c r="BE31" s="50" t="s">
        <v>80</v>
      </c>
      <c r="BF31" s="48" t="s">
        <v>81</v>
      </c>
      <c r="BG31" s="49">
        <f ca="1">IF(WL_No="  ","  ",AWP/(BG8*B_current))</f>
        <v>0.90487121212121235</v>
      </c>
    </row>
    <row r="32" spans="1:59" x14ac:dyDescent="0.25">
      <c r="A32" s="15"/>
      <c r="B32" s="4"/>
      <c r="C32" s="4"/>
      <c r="D32" s="4"/>
      <c r="E32" s="4"/>
      <c r="F32" s="4"/>
      <c r="G32" s="4"/>
      <c r="H32" s="4"/>
      <c r="I32" s="4"/>
      <c r="J32" s="64"/>
      <c r="K32" s="4"/>
      <c r="L32" s="4"/>
      <c r="M32" s="4"/>
      <c r="N32" s="4"/>
      <c r="O32" s="4"/>
      <c r="P32" s="4"/>
      <c r="Q32" s="50" t="s">
        <v>85</v>
      </c>
      <c r="R32" s="48" t="s">
        <v>86</v>
      </c>
      <c r="S32">
        <f>IF(Tools!$L$49="Use 141 rule only",I56,IF(Tools!$L$49="Use 141 and 1331 rules",BG33," "))</f>
        <v>0.99501165501165501</v>
      </c>
      <c r="AF32" s="61" t="s">
        <v>87</v>
      </c>
      <c r="AG32" s="62">
        <f ca="1">COUNTIF(OFFSET(AQ4,ROUNDUP(Max_STN_count/2,0),,ROUNDDOWN(Max_STN_count/2,0),1),"")</f>
        <v>0</v>
      </c>
      <c r="AH32" s="63">
        <f ca="1">HLOOKUP(Stn_WL,AREA_TABLE,AG32+2,FALSE)</f>
        <v>0</v>
      </c>
      <c r="AI32" s="63">
        <f ca="1">IF(AH32&gt;Long_Div/2,Long_Div/2,AH32)</f>
        <v>0</v>
      </c>
      <c r="AJ32" s="63">
        <f ca="1">AI32*STN_GAP</f>
        <v>0</v>
      </c>
      <c r="BE32" s="50" t="s">
        <v>82</v>
      </c>
      <c r="BF32" s="48" t="s">
        <v>83</v>
      </c>
      <c r="BG32" s="49">
        <f ca="1">IF(WL_No="  ","  ",V_Disp/(BG8*B_current*T))</f>
        <v>0.80703533022533014</v>
      </c>
    </row>
    <row r="33" spans="1:59" x14ac:dyDescent="0.25">
      <c r="A33" s="15"/>
      <c r="B33" s="4"/>
      <c r="C33" s="4"/>
      <c r="D33" s="4"/>
      <c r="E33" s="4"/>
      <c r="F33" s="4"/>
      <c r="G33" s="43" t="s">
        <v>31</v>
      </c>
      <c r="H33" s="44" t="s">
        <v>32</v>
      </c>
      <c r="I33" s="489" t="s">
        <v>33</v>
      </c>
      <c r="J33" s="4"/>
      <c r="K33" s="4"/>
      <c r="L33" s="4"/>
      <c r="M33" s="4"/>
      <c r="N33" s="4"/>
      <c r="O33" s="4"/>
      <c r="P33" s="4"/>
      <c r="Q33" s="50" t="s">
        <v>88</v>
      </c>
      <c r="R33" s="48" t="s">
        <v>89</v>
      </c>
      <c r="S33">
        <f>IF(Tools!$L$49="Use 141 rule only",I57,IF(Tools!$L$49="Use 141 and 1331 rules",BG34," "))</f>
        <v>0.81108128348092268</v>
      </c>
      <c r="AF33" s="63"/>
      <c r="AG33" s="63"/>
      <c r="AH33" s="63">
        <f ca="1">Long_Div-AH32</f>
        <v>20</v>
      </c>
      <c r="AI33" s="63"/>
      <c r="AJ33" s="63">
        <f ca="1">AJ32+AJ31</f>
        <v>0</v>
      </c>
      <c r="BE33" s="50" t="s">
        <v>85</v>
      </c>
      <c r="BF33" s="48" t="s">
        <v>86</v>
      </c>
      <c r="BG33" s="65">
        <f>IFERROR(IF(WL_No="  ","  ",(VLOOKUP(Long_Div/2,AREA_TABLE,Count_WL+1,FALSE))/(B_current*T)),"-")</f>
        <v>0.99501165501165501</v>
      </c>
    </row>
    <row r="34" spans="1:59" x14ac:dyDescent="0.25">
      <c r="G34" s="45"/>
      <c r="H34" s="46"/>
      <c r="I34" s="490"/>
      <c r="BE34" s="50" t="s">
        <v>88</v>
      </c>
      <c r="BF34" s="48" t="s">
        <v>89</v>
      </c>
      <c r="BG34" s="49">
        <f>IF(WL_No="  ","  ",CB/CM)</f>
        <v>0.81108128348092268</v>
      </c>
    </row>
    <row r="35" spans="1:59" x14ac:dyDescent="0.25">
      <c r="G35" s="47" t="s">
        <v>34</v>
      </c>
      <c r="H35" s="48" t="s">
        <v>35</v>
      </c>
      <c r="I35" s="49">
        <f>IF(WL_No="  ","  ",2/3*h*$D$29)</f>
        <v>2910.4277666666671</v>
      </c>
    </row>
    <row r="36" spans="1:59" x14ac:dyDescent="0.25">
      <c r="G36" s="47" t="s">
        <v>36</v>
      </c>
      <c r="H36" s="48" t="s">
        <v>37</v>
      </c>
      <c r="I36" s="49">
        <f>IF(WL_No="  ","  ",2/3*(h^2)*$F$29)</f>
        <v>-2594.1445346666665</v>
      </c>
    </row>
    <row r="37" spans="1:59" x14ac:dyDescent="0.25">
      <c r="G37" s="50" t="s">
        <v>39</v>
      </c>
      <c r="H37" s="48" t="s">
        <v>40</v>
      </c>
      <c r="I37" s="49">
        <f>IF(WL_No="  ","  ",Mmid/AWP)</f>
        <v>-0.89132757884513936</v>
      </c>
    </row>
    <row r="38" spans="1:59" x14ac:dyDescent="0.25">
      <c r="G38" s="50" t="s">
        <v>42</v>
      </c>
      <c r="H38" s="48" t="s">
        <v>43</v>
      </c>
      <c r="I38" s="49">
        <f>IF(WL_No="  ","  ",2/3*(h^3)*$G$29)</f>
        <v>4388722.2113486659</v>
      </c>
    </row>
    <row r="39" spans="1:59" x14ac:dyDescent="0.25">
      <c r="G39" s="51" t="s">
        <v>44</v>
      </c>
      <c r="H39" s="48" t="s">
        <v>45</v>
      </c>
      <c r="I39" s="49">
        <f>IF(WL_No="  ","  ",2/9*h*$I$29)</f>
        <v>106336.05774874554</v>
      </c>
    </row>
    <row r="40" spans="1:59" x14ac:dyDescent="0.25">
      <c r="G40" s="50" t="s">
        <v>47</v>
      </c>
      <c r="H40" s="48" t="s">
        <v>48</v>
      </c>
      <c r="I40" s="49">
        <f>IF(WL_No="  ","  ",IL-AWP*(LCF^2))</f>
        <v>4386409.9787814068</v>
      </c>
    </row>
    <row r="41" spans="1:59" x14ac:dyDescent="0.25">
      <c r="G41" s="50" t="s">
        <v>50</v>
      </c>
      <c r="H41" s="48" t="s">
        <v>51</v>
      </c>
      <c r="I41" s="49">
        <f>IF(WL_No="  ","  ",h/3*$L$29)</f>
        <v>33744.729669777771</v>
      </c>
    </row>
    <row r="42" spans="1:59" x14ac:dyDescent="0.25">
      <c r="G42" s="50" t="s">
        <v>52</v>
      </c>
      <c r="H42" s="48" t="s">
        <v>53</v>
      </c>
      <c r="I42" s="49">
        <f>IF(WL_No="  ","  ",V_Disp*1.025*1.006)</f>
        <v>34795.877998991346</v>
      </c>
    </row>
    <row r="43" spans="1:59" x14ac:dyDescent="0.25">
      <c r="G43" s="50" t="s">
        <v>55</v>
      </c>
      <c r="H43" s="48" t="s">
        <v>56</v>
      </c>
      <c r="I43" s="49">
        <f>IF(WL_No="  ","  ",h/3*$N$29)</f>
        <v>229993.82109244447</v>
      </c>
    </row>
    <row r="44" spans="1:59" x14ac:dyDescent="0.25">
      <c r="G44" s="50" t="s">
        <v>57</v>
      </c>
      <c r="H44" s="48" t="s">
        <v>58</v>
      </c>
      <c r="I44" s="49">
        <f>IF(WL_No="  ","  ",(h^2)/3*$O$29)</f>
        <v>68100.200807644505</v>
      </c>
    </row>
    <row r="45" spans="1:59" x14ac:dyDescent="0.25">
      <c r="G45" s="50" t="s">
        <v>60</v>
      </c>
      <c r="H45" s="48" t="s">
        <v>61</v>
      </c>
      <c r="I45" s="49">
        <f>IF(WL_No="  ","  ",IF/V_Disp)</f>
        <v>129.98800173260639</v>
      </c>
    </row>
    <row r="46" spans="1:59" x14ac:dyDescent="0.25">
      <c r="G46" s="50" t="s">
        <v>63</v>
      </c>
      <c r="H46" s="48" t="s">
        <v>64</v>
      </c>
      <c r="I46" s="49">
        <f>IF(WL_No="  ","  ",IT/V_Disp)</f>
        <v>3.1511900906997496</v>
      </c>
    </row>
    <row r="47" spans="1:59" x14ac:dyDescent="0.25">
      <c r="G47" s="50" t="s">
        <v>65</v>
      </c>
      <c r="H47" s="48" t="s">
        <v>66</v>
      </c>
      <c r="I47" s="49">
        <f>IF(WL_No="  ","  ",MT/V_Disp)</f>
        <v>6.8156960610779462</v>
      </c>
    </row>
    <row r="48" spans="1:59" x14ac:dyDescent="0.25">
      <c r="G48" s="50" t="s">
        <v>67</v>
      </c>
      <c r="H48" s="48" t="s">
        <v>68</v>
      </c>
      <c r="I48" s="49">
        <f>IF(WL_No="  ","  ",KB+BMT)</f>
        <v>9.9668861517776968</v>
      </c>
    </row>
    <row r="49" spans="7:9" x14ac:dyDescent="0.25">
      <c r="G49" s="50" t="s">
        <v>69</v>
      </c>
      <c r="H49" s="48" t="s">
        <v>70</v>
      </c>
      <c r="I49" s="49">
        <f>IF(WL_No="  ","  ",KB+BML)</f>
        <v>136.80369779368434</v>
      </c>
    </row>
    <row r="50" spans="7:9" x14ac:dyDescent="0.25">
      <c r="G50" s="50" t="s">
        <v>71</v>
      </c>
      <c r="H50" s="48" t="s">
        <v>72</v>
      </c>
      <c r="I50" s="49">
        <f>IF(WL_No="  ","  ",AWP*1.025/100)</f>
        <v>29.831884608333336</v>
      </c>
    </row>
    <row r="51" spans="7:9" x14ac:dyDescent="0.25">
      <c r="G51" s="50" t="s">
        <v>73</v>
      </c>
      <c r="H51" s="48" t="s">
        <v>74</v>
      </c>
      <c r="I51" s="49">
        <f>IF(WL_No="  ","  ",ML/V_Disp)</f>
        <v>2.018098869781018</v>
      </c>
    </row>
    <row r="52" spans="7:9" x14ac:dyDescent="0.25">
      <c r="G52" s="50" t="s">
        <v>75</v>
      </c>
      <c r="H52" s="55" t="s">
        <v>76</v>
      </c>
      <c r="I52" s="49">
        <f>IF(WL_No="  ","  ",M_Disp*BML/100/LBP)</f>
        <v>309.37391584271188</v>
      </c>
    </row>
    <row r="53" spans="7:9" x14ac:dyDescent="0.25">
      <c r="G53" s="50" t="s">
        <v>78</v>
      </c>
      <c r="H53" s="48" t="s">
        <v>79</v>
      </c>
      <c r="I53" s="49">
        <f>IF(WL_No="  ","  ",WLS*WL_No)</f>
        <v>13</v>
      </c>
    </row>
    <row r="54" spans="7:9" x14ac:dyDescent="0.25">
      <c r="G54" s="50" t="s">
        <v>80</v>
      </c>
      <c r="H54" s="48" t="s">
        <v>81</v>
      </c>
      <c r="I54" s="49">
        <f>IF(WL_No="  ","  ",AWP/(LBP*B_current))</f>
        <v>0.90487121212121235</v>
      </c>
    </row>
    <row r="55" spans="7:9" x14ac:dyDescent="0.25">
      <c r="G55" s="50" t="s">
        <v>82</v>
      </c>
      <c r="H55" s="48" t="s">
        <v>83</v>
      </c>
      <c r="I55" s="49">
        <f>IF(WL_No="  ","  ",V_Disp/(LBP*B_current*T))</f>
        <v>0.80703533022533014</v>
      </c>
    </row>
    <row r="56" spans="7:9" x14ac:dyDescent="0.25">
      <c r="G56" s="50" t="s">
        <v>85</v>
      </c>
      <c r="H56" s="48" t="s">
        <v>86</v>
      </c>
      <c r="I56" s="65">
        <f>IF(WL_No="  ","  ",(VLOOKUP(Long_Div/2,AREA_TABLE,Count_WL+1,FALSE))/(B_current*T))</f>
        <v>0.99501165501165501</v>
      </c>
    </row>
    <row r="57" spans="7:9" x14ac:dyDescent="0.25">
      <c r="G57" s="50" t="s">
        <v>88</v>
      </c>
      <c r="H57" s="48" t="s">
        <v>89</v>
      </c>
      <c r="I57" s="49">
        <f>IF(WL_No="  ","  ",CB/CM)</f>
        <v>0.81108128348092268</v>
      </c>
    </row>
  </sheetData>
  <mergeCells count="7">
    <mergeCell ref="BG10:BG11"/>
    <mergeCell ref="I33:I34"/>
    <mergeCell ref="A2:I2"/>
    <mergeCell ref="K2:O2"/>
    <mergeCell ref="AO2:AW2"/>
    <mergeCell ref="AY2:BC2"/>
    <mergeCell ref="S9:S10"/>
  </mergeCells>
  <conditionalFormatting sqref="CB4:XFD30 BW4:BW28 BS4:BT28 W29:AX29 A33:F57 J33:R33 A11:R32 A2:T10 V2:AO2 AX2 BP29:BW29 A63:XFD1048576 T12:T37 U35:XFD37 BD2:BD29 BM31:XFD33 BM30:BW30 BH29:BI33 BH2:XFD3 U30:BD30 AR31:BD31 W3:AM28 A58:BD62 BH38:XFD62 J34:S37 BH34:XFD34 A1:AN1 AV1:XFD1 AO31:AP31 U33:BD34 AM31 U31:AG32 AK32:BD32 AO3:AX26 J43:BD57 J42:M42 O42:BD42 J38:BD41 AO27:AO28 AQ27:AX28">
    <cfRule type="containsErrors" dxfId="283" priority="14">
      <formula>ISERROR(A1)</formula>
    </cfRule>
  </conditionalFormatting>
  <conditionalFormatting sqref="G33:I34 G35:H57">
    <cfRule type="containsErrors" dxfId="282" priority="13">
      <formula>ISERROR(G33)</formula>
    </cfRule>
  </conditionalFormatting>
  <conditionalFormatting sqref="T12:T33">
    <cfRule type="containsErrors" dxfId="281" priority="12">
      <formula>ISERROR(T12)</formula>
    </cfRule>
  </conditionalFormatting>
  <conditionalFormatting sqref="I35:I57">
    <cfRule type="containsErrors" dxfId="280" priority="11">
      <formula>ISERROR(I35)</formula>
    </cfRule>
  </conditionalFormatting>
  <conditionalFormatting sqref="AY2:BC29">
    <cfRule type="containsErrors" dxfId="279" priority="8">
      <formula>ISERROR(AY2)</formula>
    </cfRule>
  </conditionalFormatting>
  <conditionalFormatting sqref="BE10:BG11 BE12:BF34">
    <cfRule type="containsErrors" dxfId="278" priority="10">
      <formula>ISERROR(BE10)</formula>
    </cfRule>
  </conditionalFormatting>
  <conditionalFormatting sqref="BG12:BG28 BG34">
    <cfRule type="containsErrors" dxfId="277" priority="9">
      <formula>ISERROR(BG12)</formula>
    </cfRule>
  </conditionalFormatting>
  <conditionalFormatting sqref="BE2:BG6">
    <cfRule type="containsErrors" dxfId="276" priority="7">
      <formula>ISERROR(BE2)</formula>
    </cfRule>
  </conditionalFormatting>
  <conditionalFormatting sqref="BF7:BG8">
    <cfRule type="containsErrors" dxfId="275" priority="5">
      <formula>ISERROR(BF7)</formula>
    </cfRule>
  </conditionalFormatting>
  <conditionalFormatting sqref="BE7:BE8">
    <cfRule type="containsErrors" dxfId="274" priority="6">
      <formula>ISERROR(BE7)</formula>
    </cfRule>
  </conditionalFormatting>
  <conditionalFormatting sqref="S30:S33">
    <cfRule type="containsErrors" dxfId="273" priority="4">
      <formula>ISERROR(S30)</formula>
    </cfRule>
  </conditionalFormatting>
  <conditionalFormatting sqref="AP27:AP28">
    <cfRule type="containsErrors" dxfId="272" priority="3">
      <formula>ISERROR(AP27)</formula>
    </cfRule>
  </conditionalFormatting>
  <conditionalFormatting sqref="BG29:BG32">
    <cfRule type="containsErrors" dxfId="271" priority="2">
      <formula>ISERROR(BG29)</formula>
    </cfRule>
  </conditionalFormatting>
  <conditionalFormatting sqref="BG33">
    <cfRule type="containsErrors" dxfId="270" priority="1">
      <formula>ISERROR(BG33)</formula>
    </cfRule>
  </conditionalFormatting>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theme="4" tint="0.79998168889431442"/>
  </sheetPr>
  <dimension ref="A1:BH57"/>
  <sheetViews>
    <sheetView topLeftCell="AG1" zoomScale="55" zoomScaleNormal="55" workbookViewId="0">
      <pane ySplit="1" topLeftCell="A29" activePane="bottomLeft" state="frozen"/>
      <selection activeCell="AG8" sqref="AG8:AG10"/>
      <selection pane="bottomLeft" activeCell="AG8" sqref="AG8:AG10"/>
    </sheetView>
  </sheetViews>
  <sheetFormatPr defaultRowHeight="15" x14ac:dyDescent="0.25"/>
  <cols>
    <col min="1" max="1" width="8.28515625" customWidth="1"/>
    <col min="2" max="2" width="7.28515625" customWidth="1"/>
    <col min="4" max="4" width="6.5703125" customWidth="1"/>
    <col min="7" max="7" width="24" customWidth="1"/>
    <col min="8" max="8" width="30.5703125" customWidth="1"/>
    <col min="9" max="9" width="26.5703125" customWidth="1"/>
    <col min="10" max="10" width="10.5703125" bestFit="1" customWidth="1"/>
    <col min="11" max="11" width="9.140625" customWidth="1"/>
    <col min="13" max="13" width="7.85546875" customWidth="1"/>
    <col min="17" max="17" width="19.5703125" customWidth="1"/>
    <col min="18" max="18" width="11.85546875" customWidth="1"/>
    <col min="19" max="19" width="16.5703125" customWidth="1"/>
    <col min="20" max="20" width="14.140625" customWidth="1"/>
    <col min="35" max="35" width="14" customWidth="1"/>
    <col min="36" max="37" width="12" customWidth="1"/>
    <col min="39" max="39" width="19" customWidth="1"/>
    <col min="43" max="43" width="18" style="7" customWidth="1"/>
    <col min="49" max="49" width="11.28515625" customWidth="1"/>
    <col min="52" max="52" width="12" customWidth="1"/>
    <col min="54" max="54" width="10.7109375" bestFit="1" customWidth="1"/>
    <col min="56" max="56" width="4.5703125" customWidth="1"/>
    <col min="57" max="57" width="21.28515625" customWidth="1"/>
    <col min="58" max="58" width="15.42578125" customWidth="1"/>
    <col min="59" max="59" width="19.28515625" customWidth="1"/>
    <col min="61" max="61" width="5.7109375" customWidth="1"/>
    <col min="62" max="62" width="13" customWidth="1"/>
    <col min="63" max="63" width="17.42578125" customWidth="1"/>
  </cols>
  <sheetData>
    <row r="1" spans="1:60" x14ac:dyDescent="0.25">
      <c r="A1" s="1" t="s">
        <v>0</v>
      </c>
      <c r="B1" s="2">
        <f>VLOOKUP(Stn_WL,OFFSET_A,Count_WL+1,FALSE)</f>
        <v>6</v>
      </c>
      <c r="C1" s="3"/>
      <c r="D1" s="4"/>
      <c r="E1" s="4" t="s">
        <v>1</v>
      </c>
      <c r="F1" s="5">
        <v>11</v>
      </c>
      <c r="G1" s="4"/>
      <c r="H1" s="4"/>
      <c r="I1" s="4"/>
      <c r="J1" s="4"/>
      <c r="K1" s="4"/>
      <c r="L1" s="4"/>
      <c r="M1" s="4"/>
      <c r="N1" s="4"/>
      <c r="O1" s="4"/>
      <c r="P1" s="4"/>
      <c r="Q1" s="4"/>
      <c r="R1" s="4"/>
      <c r="S1" s="4"/>
      <c r="V1" t="s">
        <v>2</v>
      </c>
      <c r="W1">
        <f ca="1">COUNTIF(OFFSET(Z4,,,ROUNDDOWN(Max_STN_count/2+1,0),1),TRUE)</f>
        <v>5</v>
      </c>
      <c r="X1">
        <f ca="1">COUNTIF(OFFSET(AA4,,,ROUNDDOWN(Max_STN_count/2+1,0),1),TRUE)</f>
        <v>5</v>
      </c>
      <c r="Y1">
        <f ca="1">W1-X1</f>
        <v>0</v>
      </c>
      <c r="AB1" s="6" t="s">
        <v>3</v>
      </c>
      <c r="AC1">
        <f ca="1">COUNTIF(OFFSET(Z4,ROUNDUP(Max_STN_count/2,0),,ROUNDDOWN(Max_STN_count/2,0),1),TRUE)</f>
        <v>5</v>
      </c>
      <c r="AD1">
        <f ca="1">COUNTIF(OFFSET(AA4,ROUNDUP(Max_STN_count/2,0),,ROUNDDOWN(Max_STN_count/2,0),1),TRUE)</f>
        <v>5</v>
      </c>
      <c r="AE1">
        <f ca="1">AC1-AD1</f>
        <v>0</v>
      </c>
      <c r="AG1" t="s">
        <v>4</v>
      </c>
      <c r="AH1">
        <f>COUNTIF(AG4:AG28,TRUE)</f>
        <v>17</v>
      </c>
      <c r="AI1">
        <f ca="1">COUNTIF(OFFSET(AG4,,,ROUNDUP(Max_STN_count/2,0),1),FALSE)</f>
        <v>4</v>
      </c>
      <c r="AW1">
        <f ca="1">COUNTIF(OFFSET(AG4,,,Max_STN_count,1),TRUE)</f>
        <v>17</v>
      </c>
    </row>
    <row r="2" spans="1:60" x14ac:dyDescent="0.25">
      <c r="A2" s="491" t="s">
        <v>5</v>
      </c>
      <c r="B2" s="492"/>
      <c r="C2" s="492"/>
      <c r="D2" s="492"/>
      <c r="E2" s="492"/>
      <c r="F2" s="492"/>
      <c r="G2" s="492"/>
      <c r="H2" s="492"/>
      <c r="I2" s="493"/>
      <c r="J2" s="4"/>
      <c r="K2" s="491" t="s">
        <v>6</v>
      </c>
      <c r="L2" s="492"/>
      <c r="M2" s="492"/>
      <c r="N2" s="492"/>
      <c r="O2" s="493"/>
      <c r="P2" s="4"/>
      <c r="Q2" s="8" t="s">
        <v>7</v>
      </c>
      <c r="R2" s="9" t="s">
        <v>8</v>
      </c>
      <c r="S2" s="10">
        <f>WLS</f>
        <v>2</v>
      </c>
      <c r="V2" s="11"/>
      <c r="W2" s="11"/>
      <c r="X2" s="11"/>
      <c r="Y2" s="11"/>
      <c r="Z2" s="11"/>
      <c r="AA2" s="11"/>
      <c r="AB2" s="11"/>
      <c r="AC2" s="11"/>
      <c r="AD2" s="11"/>
      <c r="AE2" s="11"/>
      <c r="AF2" s="11"/>
      <c r="AG2" s="11"/>
      <c r="AH2" s="11"/>
      <c r="AI2" s="11"/>
      <c r="AJ2" s="11"/>
      <c r="AK2" s="11"/>
      <c r="AL2" s="11"/>
      <c r="AM2" s="11"/>
      <c r="AN2" s="11"/>
      <c r="AO2" s="491" t="s">
        <v>5</v>
      </c>
      <c r="AP2" s="492"/>
      <c r="AQ2" s="492"/>
      <c r="AR2" s="492"/>
      <c r="AS2" s="492"/>
      <c r="AT2" s="492"/>
      <c r="AU2" s="492"/>
      <c r="AV2" s="492"/>
      <c r="AW2" s="493"/>
      <c r="AY2" s="491" t="s">
        <v>6</v>
      </c>
      <c r="AZ2" s="492"/>
      <c r="BA2" s="492"/>
      <c r="BB2" s="492"/>
      <c r="BC2" s="493"/>
      <c r="BE2" s="8" t="s">
        <v>7</v>
      </c>
      <c r="BF2" s="9" t="s">
        <v>8</v>
      </c>
      <c r="BG2" s="10">
        <f>WLS</f>
        <v>2</v>
      </c>
    </row>
    <row r="3" spans="1:60" x14ac:dyDescent="0.25">
      <c r="A3" s="12" t="s">
        <v>9</v>
      </c>
      <c r="B3" s="13" t="s">
        <v>10</v>
      </c>
      <c r="C3" s="14" t="s">
        <v>11</v>
      </c>
      <c r="D3" s="14" t="s">
        <v>12</v>
      </c>
      <c r="E3" s="14" t="s">
        <v>13</v>
      </c>
      <c r="F3" s="14" t="s">
        <v>14</v>
      </c>
      <c r="G3" s="14" t="s">
        <v>15</v>
      </c>
      <c r="H3" s="14" t="s">
        <v>16</v>
      </c>
      <c r="I3" s="14" t="s">
        <v>17</v>
      </c>
      <c r="J3" s="15"/>
      <c r="K3" s="14" t="s">
        <v>18</v>
      </c>
      <c r="L3" s="14" t="s">
        <v>19</v>
      </c>
      <c r="M3" s="14" t="s">
        <v>20</v>
      </c>
      <c r="N3" s="14" t="s">
        <v>21</v>
      </c>
      <c r="O3" s="14" t="s">
        <v>22</v>
      </c>
      <c r="P3" s="15"/>
      <c r="Q3" s="16" t="s">
        <v>23</v>
      </c>
      <c r="R3" s="9" t="s">
        <v>8</v>
      </c>
      <c r="S3" s="10">
        <f>STN_GAP</f>
        <v>7.31</v>
      </c>
      <c r="W3" s="17" t="s">
        <v>11</v>
      </c>
      <c r="X3" s="17"/>
      <c r="Y3" s="17"/>
      <c r="Z3" s="17" t="s">
        <v>24</v>
      </c>
      <c r="AA3" s="17"/>
      <c r="AB3" s="17"/>
      <c r="AC3" s="17"/>
      <c r="AD3" s="17"/>
      <c r="AE3" s="17"/>
      <c r="AF3" s="17"/>
      <c r="AG3" s="17" t="s">
        <v>4</v>
      </c>
      <c r="AH3" s="17"/>
      <c r="AI3" s="17" t="s">
        <v>25</v>
      </c>
      <c r="AJ3" s="17"/>
      <c r="AK3" s="17"/>
      <c r="AL3" s="17"/>
      <c r="AM3" s="18" t="s">
        <v>11</v>
      </c>
      <c r="AO3" s="12" t="s">
        <v>9</v>
      </c>
      <c r="AP3" s="13" t="s">
        <v>10</v>
      </c>
      <c r="AQ3" s="19"/>
      <c r="AR3" s="14" t="s">
        <v>12</v>
      </c>
      <c r="AS3" s="14" t="s">
        <v>13</v>
      </c>
      <c r="AT3" s="14" t="s">
        <v>14</v>
      </c>
      <c r="AU3" s="14" t="s">
        <v>15</v>
      </c>
      <c r="AV3" s="14" t="s">
        <v>16</v>
      </c>
      <c r="AW3" s="14" t="s">
        <v>17</v>
      </c>
      <c r="AY3" s="14" t="s">
        <v>18</v>
      </c>
      <c r="AZ3" s="14" t="s">
        <v>19</v>
      </c>
      <c r="BA3" s="14" t="s">
        <v>20</v>
      </c>
      <c r="BB3" s="14" t="s">
        <v>21</v>
      </c>
      <c r="BC3" s="14" t="s">
        <v>22</v>
      </c>
      <c r="BE3" s="16" t="s">
        <v>23</v>
      </c>
      <c r="BF3" s="9" t="s">
        <v>8</v>
      </c>
      <c r="BG3" s="10">
        <f>STN_GAP</f>
        <v>7.31</v>
      </c>
    </row>
    <row r="4" spans="1:60" x14ac:dyDescent="0.25">
      <c r="A4" s="20">
        <f>Tools!$AD3</f>
        <v>0</v>
      </c>
      <c r="B4" s="21">
        <f t="shared" ref="B4:B28" si="0">VLOOKUP(A4,OFFSET_A,Count_WL+1,FALSE)</f>
        <v>3.82</v>
      </c>
      <c r="C4" s="22">
        <f>IF(A4="  ","  ",IF(A5="  ","?",1*(A5-A4)))</f>
        <v>0.5</v>
      </c>
      <c r="D4" s="23">
        <f>IFERROR(B4*C4,"  ")</f>
        <v>1.91</v>
      </c>
      <c r="E4" s="24">
        <f t="shared" ref="E4:E28" si="1">IFERROR(A4-(Long_Div/2),"  ")</f>
        <v>-10</v>
      </c>
      <c r="F4" s="23">
        <f>IFERROR(D4*E4,"  ")</f>
        <v>-19.099999999999998</v>
      </c>
      <c r="G4" s="23">
        <f>IFERROR(F4*E4,"  ")</f>
        <v>190.99999999999997</v>
      </c>
      <c r="H4" s="23">
        <f>IFERROR(B4^3,"  ")</f>
        <v>55.742967999999998</v>
      </c>
      <c r="I4" s="23">
        <f>IFERROR(H4*C4,"  ")</f>
        <v>27.871483999999999</v>
      </c>
      <c r="J4" s="4"/>
      <c r="K4" s="25">
        <f t="shared" ref="K4:K28" si="2">VLOOKUP(A4,AREA_TABLE,Count_WL+1,FALSE)</f>
        <v>22.233333333333331</v>
      </c>
      <c r="L4" s="23">
        <f>IFERROR(K4*C4,"  ")</f>
        <v>11.116666666666665</v>
      </c>
      <c r="M4" s="26">
        <f t="shared" ref="M4:M28" si="3">VLOOKUP(A4,MOMENT_TABLE,Count_WL+1,FALSE)</f>
        <v>228.02</v>
      </c>
      <c r="N4" s="27">
        <f>IFERROR(M4*C4,"  ")</f>
        <v>114.01</v>
      </c>
      <c r="O4" s="23">
        <f>IFERROR(L4*E4,"  ")</f>
        <v>-111.16666666666666</v>
      </c>
      <c r="P4" s="4"/>
      <c r="Q4" s="16" t="s">
        <v>26</v>
      </c>
      <c r="R4" s="9" t="s">
        <v>8</v>
      </c>
      <c r="S4" s="28">
        <f>LBP</f>
        <v>146.19999999999999</v>
      </c>
      <c r="W4" s="29">
        <f>IF(AO4="  ","  ",IF(AO5="  ","?",1*(AO5-AO4)))</f>
        <v>0.5</v>
      </c>
      <c r="X4" s="30" t="str">
        <f t="shared" ref="X4:X28" si="4">IF(Y4=0,"--",CONCATENATE(IF(AO4=0,"-",IF(Y3=0,"-",IF(AO4-AO3=0.5,"D",IF(AO4-AO3=1,"W","-")))),IF(AO4=Long_Div,"-",IF(Y5=0,"-",IF(AO5-AO4=0.5,"D",IF(AO5-AO4=1,"W","-"))))))</f>
        <v>-D</v>
      </c>
      <c r="Y4" s="30" t="str">
        <f t="shared" ref="Y4:Y28" si="5">IF(ISNUMBER(AO4),IF(AO4=Long_Div/2,"-",IF(AND(AO4=Long_Div,$AP4=0,$AP3=0),0,IF(AND(AO4=0,$AP4=0,$AP5=0),0,IF($AO4&lt;Long_Div/2,IF(AND(Y3=0,$AP4=0,$AP5=0),0,"-"),IF(AND(Y5=0,$AP4=0,$AP3=0),0,"-")))))," ")</f>
        <v>-</v>
      </c>
      <c r="Z4" s="29" t="b">
        <f t="shared" ref="Z4:Z28" si="6">IF(ISNUMBER(AO4),IF(AO4=0,IF(AO5=0.5,TRUE,FALSE),IF(AO4=Long_Div,IF(AO3=Long_Div-0.5,TRUE,FALSE),IF(OR(AO5-AO4=0.5,AO4-AO3=0.5),TRUE,FALSE)))," ")</f>
        <v>1</v>
      </c>
      <c r="AA4" s="29" t="b">
        <f t="shared" ref="AA4:AA28" si="7">IF(ISNUMBER(AO4),IF(Y4=0," ",IF(AO4=0,IF(AO5=0.5,TRUE,"-"),IF(AO4=Long_Div,IF(AO3=Long_Div-0.5,TRUE,"-"),IF(OR(AO5-AO4=0.5,AO4-AO3=0.5),TRUE,FALSE))))," ")</f>
        <v>1</v>
      </c>
      <c r="AB4" s="29" t="str">
        <f t="shared" ref="AB4:AB28" ca="1" si="8">IF(AO4&lt;=Long_Div/2,IF(ISNUMBER(AO4),IF($X$1=0,"---",IF($X$1=1,"##",IF($X$1=2,IF(AD4=1,"141-4",IF(OR(AD4=0,AD4=2),"141-1","**")),IF(AC4&lt;=($Y$1),"--",IF(AC4&gt;$W$1,"++",IF(ISODD($X$1),IF(OR(AD4=1,AD4=$X$1),"141-1",IF(ISODD(AD4),"141-2",IF(ISEVEN(AD4),"141-4","+"))),IF(ISEVEN($X$1),IF(AD4=1,"1331-1",IF(OR(AD4=2,AD4=3),"1331-3",IF(AD4=4,IF($X$1=4,"1331-1","1331-1,141-1"),IF(AD4=$X$1,"141-1",IF(AD4&lt;=4,"??",IF(ISODD(AD4),"141-4",IF(ISEVEN(AD4),"141-2","SS"))))))))))))))," "),IF(AO4&gt;Long_Div/2,IF(ISNUMBER(AO4),IF($AD$1=0,"---",IF($AD$1=1,"##",IF($AD$1=2,IF(AD4=1,"141-4",IF(OR(AD4=0,AD4=2),"141-1","**")),IF(AC4&lt;=($AE$1),"--",IF(AC4&gt;$AC$1,"++",IF(ISODD($AD$1),IF(OR(AD4=1,AD4=$AD$1),"141-1",IF(ISODD(AD4),"141-2",IF(ISEVEN(AD4),"141-4","+"))),IF(ISEVEN($AD$1),IF(AD4=1,"1331-1",IF(OR(AD4=2,AD4=3),"1331-3",IF(AD4=4,IF($AD$1=4,"1331-1","1331-1,141-1"),IF(AD4=$AD$1,"141-1",IF(AD4&lt;=4,"??",IF(ISODD(AD4),"141-4",IF(ISEVEN(AD4),"141-2","SS"))))))))))))))," "),"@"))</f>
        <v>141-1</v>
      </c>
      <c r="AC4" s="29">
        <f>IF(ISNUMBER(AO4),IF(ISNUMBER(AO4),IF(OR(AO4=0,AO4=Long_Div),1,IF(AO4&gt;Long_Div/2,AC5+1,IF(AO4&lt;=Long_Div/2,AE3+1,"?")))," --")," ")</f>
        <v>1</v>
      </c>
      <c r="AD4" s="29">
        <f t="shared" ref="AD4:AD28" ca="1" si="9">IF(ISNUMBER(AO4),IF(AO4&gt;Long_Div/2,4-ROW(AD4)+Max_STN_count-$AE$1,ROW(AD4)-3-$Y$1)," ")</f>
        <v>1</v>
      </c>
      <c r="AE4" s="29">
        <v>1</v>
      </c>
      <c r="AF4" s="31" t="str">
        <f t="shared" ref="AF4:AF8" si="10">IF(AND(AG4=TRUE,OR(NOT(AG3=TRUE),AG3="Full")),1,IF(ISNUMBER(AF3),AF3+1," "))</f>
        <v xml:space="preserve"> </v>
      </c>
      <c r="AG4" s="29" t="b">
        <f t="shared" ref="AG4:AG28" si="11">IF(ISNUMBER(AO4),IF(AA4=" "," ",IF(AO4=0,IF(AO5-AO4=1,TRUE,FALSE),IF(AO4=Long_Div,IF(AO4-AO3=1,TRUE,FALSE),IF(OR(AO5-AO4=1,AO4-AO3=1),TRUE,FALSE))))," ")</f>
        <v>0</v>
      </c>
      <c r="AH4" s="30" t="str">
        <f t="shared" ref="AH4:AH13" si="12">IF(AND(AG4=TRUE,$AH$1=1),"141-4",IF(AG4=" ",IF(AND($AH$1=2,AF4=3),"141-1","-"),IF(OR(AG4=FALSE,AG4=" "),"-",IF(AG4=TRUE,IF(AND($AH$1=2,AF4=1),"141-1",IF(AND($AH$1=2,AF4=2),"141-4",IF(OR(ISODD($AH$1),AF4&gt;4),IF(AF4=1,"141-1",IF(OR(AB4="141-1",AB4="1331-1",AB4="1331-1,141-1"),"141-1",IF(AG5=" ","141-1",IF(OR(AH3="141-1",AH3="141-2",AH3="1331-1,141-1"),"141-4",IF(AH3="141-4","141-2","$$"))))),IF(ISEVEN($AH$1),IF(AF4=1,"1331-1",IF(OR(AF4=2,AF4=3),"1331-3",IF(AF4=4,IF($AH$1=4,"1331-1","1331-1,141-1"),"")))))))))))</f>
        <v>-</v>
      </c>
      <c r="AI4" s="30" t="str">
        <f t="shared" ref="AI4:AI28" ca="1" si="13">IF(OR(AB4="1331-1",AB4="1331-1,141-1"),"(1/2)*(3/8)",IF(AB4="1331-3","(1/2)*(9/8)",IF(AB4="141-1","(1/2)*(1/3)",IF(AB4="141-2","(1/2)*(2/3)",IF(AB4="141-4","(1/2)*(4/3)","")))))</f>
        <v>(1/2)*(1/3)</v>
      </c>
      <c r="AJ4" s="29">
        <f t="shared" ref="AJ4:AJ28" ca="1" si="14">IF(OR(AB4="1331-1",AB4="1331-1,141-1"),(1/2)*(3/8),IF(AB4="1331-3",(1/2)*(9/8),IF(AB4="141-1",(1/2)*(1/3),IF(AB4="141-2",(1/2)*(2/3),IF(AB4="141-4",(1/2)*(4/3),0)))))</f>
        <v>0.16666666666666666</v>
      </c>
      <c r="AK4" s="29" t="str">
        <f t="shared" ref="AK4:AK28" si="15">IF(AH4="1331-1,141-1","(1*3/8)+(1/3)",IF(LEFT(AH4,4)="141-",CONCATENATE(RIGHT(AH4,1),"/3"),IF(LEFT(AH4,4)="1331",CONCATENATE(RIGHT(AH4,1),"*3/8"),"")))</f>
        <v/>
      </c>
      <c r="AL4" s="29">
        <f t="shared" ref="AL4:AL28" si="16">IF(AH4="1331-1,141-1",(1*3/8)+(1/3),IF(LEFT(AH4,4)="141-",(RIGHT(AH4,1)/3),IF(LEFT(AH4,4)="1331",RIGHT(AH4,1)*3/8,0)))</f>
        <v>0</v>
      </c>
      <c r="AM4" s="32">
        <f ca="1">IF(AQ4=""," ",AJ4+AL4)</f>
        <v>0.16666666666666666</v>
      </c>
      <c r="AO4" s="20">
        <f>Tools!$AD3</f>
        <v>0</v>
      </c>
      <c r="AP4" s="33">
        <f t="shared" ref="AP4" si="17">VLOOKUP(AO4,OFFSET_A,Count_WL+1,FALSE)</f>
        <v>3.82</v>
      </c>
      <c r="AQ4" s="34" t="str">
        <f t="shared" ref="AQ4:AQ28" ca="1" si="18">CONCATENATE(AI4,IF(NOT(OR(AI4="",AK4="")),"+",""),AK4)</f>
        <v>(1/2)*(1/3)</v>
      </c>
      <c r="AR4" s="23">
        <f t="shared" ref="AR4:AR28" ca="1" si="19">IFERROR(AP4*AM4,"  ")</f>
        <v>0.6366666666666666</v>
      </c>
      <c r="AS4" s="24">
        <f t="shared" ref="AS4:AS28" si="20">IFERROR(AO4-(Long_Div/2),"  ")</f>
        <v>-10</v>
      </c>
      <c r="AT4" s="23">
        <f ca="1">IFERROR(AR4*AS4,"  ")</f>
        <v>-6.3666666666666663</v>
      </c>
      <c r="AU4" s="23">
        <f ca="1">IFERROR(AT4*AS4,"  ")</f>
        <v>63.666666666666664</v>
      </c>
      <c r="AV4" s="23">
        <f t="shared" ref="AV4:AV28" si="21">IFERROR(AP4^3,"  ")</f>
        <v>55.742967999999998</v>
      </c>
      <c r="AW4" s="23">
        <f t="shared" ref="AW4:AW28" ca="1" si="22">IFERROR(AV4*AM4,"  ")</f>
        <v>9.2904946666666657</v>
      </c>
      <c r="AY4" s="35">
        <f t="shared" ref="AY4:AY28" si="23">IF(ROW(AY4)-3&gt;Max_STN_count," ",VLOOKUP(AO4,AREA_TABLE,Count_WL+1,FALSE))</f>
        <v>22.233333333333331</v>
      </c>
      <c r="AZ4" s="23">
        <f t="shared" ref="AZ4:AZ7" ca="1" si="24">IFERROR(AY4*AM4,"  ")</f>
        <v>3.7055555555555548</v>
      </c>
      <c r="BA4" s="36">
        <f t="shared" ref="BA4:BA28" si="25">IF(ROW(AY4)-3&gt;Max_STN_count," ",VLOOKUP(AO4,MOMENT_TABLE,Count_WL+1,FALSE))</f>
        <v>228.02</v>
      </c>
      <c r="BB4" s="27">
        <f ca="1">IFERROR(BA4*AM4,"  ")</f>
        <v>38.00333333333333</v>
      </c>
      <c r="BC4" s="23">
        <f ca="1">IFERROR(AZ4*AS4,"  ")</f>
        <v>-37.05555555555555</v>
      </c>
      <c r="BE4" s="16" t="s">
        <v>26</v>
      </c>
      <c r="BF4" s="9" t="s">
        <v>8</v>
      </c>
      <c r="BG4" s="28">
        <f>LBP</f>
        <v>146.19999999999999</v>
      </c>
    </row>
    <row r="5" spans="1:60" x14ac:dyDescent="0.25">
      <c r="A5" s="20">
        <f>Tools!$AD4</f>
        <v>0.5</v>
      </c>
      <c r="B5" s="33">
        <f t="shared" si="0"/>
        <v>5.43</v>
      </c>
      <c r="C5" s="22">
        <f>IF(A5="  ","  ",IF(AND(A4="  ",A6="  "),"?",IF(A4="  ",2*(A6-A5),IF(A6="  ",2*(A5-A4),2*(A6-A4)))))</f>
        <v>2</v>
      </c>
      <c r="D5" s="23">
        <f t="shared" ref="D5:D28" si="26">IFERROR(B5*C5,"  ")</f>
        <v>10.86</v>
      </c>
      <c r="E5" s="24">
        <f t="shared" si="1"/>
        <v>-9.5</v>
      </c>
      <c r="F5" s="23">
        <f t="shared" ref="F5:F28" si="27">IFERROR(D5*E5,"  ")</f>
        <v>-103.16999999999999</v>
      </c>
      <c r="G5" s="23">
        <f t="shared" ref="G5:G28" si="28">IFERROR(F5*E5,"  ")</f>
        <v>980.1149999999999</v>
      </c>
      <c r="H5" s="23">
        <f t="shared" ref="H5:H28" si="29">IFERROR(B5^3,"  ")</f>
        <v>160.10300699999996</v>
      </c>
      <c r="I5" s="23">
        <f t="shared" ref="I5:I28" si="30">IFERROR(H5*C5,"  ")</f>
        <v>320.20601399999993</v>
      </c>
      <c r="J5" s="4"/>
      <c r="K5" s="37">
        <f t="shared" si="2"/>
        <v>42.966666666666669</v>
      </c>
      <c r="L5" s="23">
        <f t="shared" ref="L5:L28" si="31">IFERROR(K5*C5,"  ")</f>
        <v>85.933333333333337</v>
      </c>
      <c r="M5" s="38">
        <f t="shared" si="3"/>
        <v>399.86999999999995</v>
      </c>
      <c r="N5" s="27">
        <f t="shared" ref="N5:N28" si="32">IFERROR(M5*C5,"  ")</f>
        <v>799.7399999999999</v>
      </c>
      <c r="O5" s="23">
        <f t="shared" ref="O5:O28" si="33">IFERROR(L5*E5,"  ")</f>
        <v>-816.36666666666667</v>
      </c>
      <c r="P5" s="4"/>
      <c r="Q5" s="8" t="s">
        <v>27</v>
      </c>
      <c r="R5" s="9" t="s">
        <v>8</v>
      </c>
      <c r="S5" s="10">
        <f>BREADTH</f>
        <v>22</v>
      </c>
      <c r="W5" s="29">
        <f>IF(AO5="  ","  ",IF(AND(AO4="  ",AO6="  "),"?",IF(AO4="  ",2*(AO6-AO5),IF(AO6="  ",2*(AO5-AO4),2*(AO6-AO4)))))</f>
        <v>2</v>
      </c>
      <c r="X5" s="30" t="str">
        <f t="shared" si="4"/>
        <v>DD</v>
      </c>
      <c r="Y5" s="30" t="str">
        <f t="shared" si="5"/>
        <v>-</v>
      </c>
      <c r="Z5" s="29" t="b">
        <f t="shared" si="6"/>
        <v>1</v>
      </c>
      <c r="AA5" s="29" t="b">
        <f t="shared" si="7"/>
        <v>1</v>
      </c>
      <c r="AB5" s="29" t="str">
        <f t="shared" ca="1" si="8"/>
        <v>141-4</v>
      </c>
      <c r="AC5" s="29">
        <f t="shared" ref="AC5:AC27" si="34">IF(ISNUMBER(AO5),IF(ISNUMBER(AO5),IF(OR(AO5=0,AO5=Long_Div),1,IF(AO5&gt;Long_Div/2,AC6+1,IF(AO5&lt;=Long_Div/2,AC4+1,"?")))," --")," ")</f>
        <v>2</v>
      </c>
      <c r="AD5" s="29">
        <f t="shared" ca="1" si="9"/>
        <v>2</v>
      </c>
      <c r="AE5" s="29">
        <v>2</v>
      </c>
      <c r="AF5" s="31" t="str">
        <f t="shared" si="10"/>
        <v xml:space="preserve"> </v>
      </c>
      <c r="AG5" s="29" t="b">
        <f t="shared" si="11"/>
        <v>0</v>
      </c>
      <c r="AH5" s="30" t="str">
        <f t="shared" si="12"/>
        <v>-</v>
      </c>
      <c r="AI5" s="30" t="str">
        <f t="shared" ca="1" si="13"/>
        <v>(1/2)*(4/3)</v>
      </c>
      <c r="AJ5" s="29">
        <f t="shared" ca="1" si="14"/>
        <v>0.66666666666666663</v>
      </c>
      <c r="AK5" s="29" t="str">
        <f t="shared" si="15"/>
        <v/>
      </c>
      <c r="AL5" s="29">
        <f t="shared" si="16"/>
        <v>0</v>
      </c>
      <c r="AM5" s="32">
        <f t="shared" ref="AM5:AM28" ca="1" si="35">IF(AQ5=""," ",AJ5+AL5)</f>
        <v>0.66666666666666663</v>
      </c>
      <c r="AO5" s="20">
        <f>Tools!$AD4</f>
        <v>0.5</v>
      </c>
      <c r="AP5" s="33">
        <f t="shared" ref="AP5:AP26" si="36">VLOOKUP(AO5,OFFSET_A,Count_WL+1,FALSE)</f>
        <v>5.43</v>
      </c>
      <c r="AQ5" s="34" t="str">
        <f t="shared" ca="1" si="18"/>
        <v>(1/2)*(4/3)</v>
      </c>
      <c r="AR5" s="23">
        <f t="shared" ca="1" si="19"/>
        <v>3.6199999999999997</v>
      </c>
      <c r="AS5" s="24">
        <f t="shared" si="20"/>
        <v>-9.5</v>
      </c>
      <c r="AT5" s="23">
        <f t="shared" ref="AT5:AT28" ca="1" si="37">IFERROR(AR5*AS5,"  ")</f>
        <v>-34.389999999999993</v>
      </c>
      <c r="AU5" s="23">
        <f ca="1">IFERROR(AT5*AS5,"  ")</f>
        <v>326.70499999999993</v>
      </c>
      <c r="AV5" s="23">
        <f t="shared" si="21"/>
        <v>160.10300699999996</v>
      </c>
      <c r="AW5" s="23">
        <f t="shared" ca="1" si="22"/>
        <v>106.73533799999997</v>
      </c>
      <c r="AY5" s="35">
        <f t="shared" si="23"/>
        <v>42.966666666666669</v>
      </c>
      <c r="AZ5" s="23">
        <f t="shared" ca="1" si="24"/>
        <v>28.644444444444446</v>
      </c>
      <c r="BA5" s="36">
        <f t="shared" si="25"/>
        <v>399.86999999999995</v>
      </c>
      <c r="BB5" s="27">
        <f t="shared" ref="BB5:BB28" ca="1" si="38">IFERROR(BA5*AM5,"  ")</f>
        <v>266.57999999999993</v>
      </c>
      <c r="BC5" s="23">
        <f t="shared" ref="BC5:BC28" ca="1" si="39">IFERROR(AZ5*AS5,"  ")</f>
        <v>-272.12222222222226</v>
      </c>
      <c r="BE5" s="8" t="s">
        <v>27</v>
      </c>
      <c r="BF5" s="9" t="s">
        <v>8</v>
      </c>
      <c r="BG5" s="10">
        <f>BREADTH</f>
        <v>22</v>
      </c>
    </row>
    <row r="6" spans="1:60" x14ac:dyDescent="0.25">
      <c r="A6" s="20">
        <f>Tools!$AD5</f>
        <v>1</v>
      </c>
      <c r="B6" s="33">
        <f t="shared" si="0"/>
        <v>6.8</v>
      </c>
      <c r="C6" s="22">
        <f>IF(A6="  ","  ",IF(AND(A5="  ",A7="  "),"?",IF(A5="  ",1*(A7-A6),IF(A7="  ",1*(A6-A5),1*(A7-A5)))))</f>
        <v>1</v>
      </c>
      <c r="D6" s="23">
        <f t="shared" si="26"/>
        <v>6.8</v>
      </c>
      <c r="E6" s="24">
        <f t="shared" si="1"/>
        <v>-9</v>
      </c>
      <c r="F6" s="23">
        <f t="shared" si="27"/>
        <v>-61.199999999999996</v>
      </c>
      <c r="G6" s="23">
        <f t="shared" si="28"/>
        <v>550.79999999999995</v>
      </c>
      <c r="H6" s="23">
        <f t="shared" si="29"/>
        <v>314.43199999999996</v>
      </c>
      <c r="I6" s="23">
        <f t="shared" si="30"/>
        <v>314.43199999999996</v>
      </c>
      <c r="J6" s="4"/>
      <c r="K6" s="37">
        <f t="shared" si="2"/>
        <v>71.98333333333332</v>
      </c>
      <c r="L6" s="23">
        <f t="shared" si="31"/>
        <v>71.98333333333332</v>
      </c>
      <c r="M6" s="38">
        <f t="shared" si="3"/>
        <v>600.49</v>
      </c>
      <c r="N6" s="27">
        <f t="shared" si="32"/>
        <v>600.49</v>
      </c>
      <c r="O6" s="23">
        <f t="shared" si="33"/>
        <v>-647.84999999999991</v>
      </c>
      <c r="P6" s="4"/>
      <c r="Q6" s="8" t="s">
        <v>28</v>
      </c>
      <c r="R6" s="9" t="s">
        <v>8</v>
      </c>
      <c r="S6" s="10">
        <f>DEPTH</f>
        <v>13</v>
      </c>
      <c r="W6" s="29">
        <f>IF(AO6="  ","  ",IF(AND(AO5="  ",AO7="  "),"?",IF(AO5="  ",1*(AO7-AO6),IF(AO7="  ",1*(AO6-AO5),1*(AO7-AO5)))))</f>
        <v>1</v>
      </c>
      <c r="X6" s="30" t="str">
        <f t="shared" si="4"/>
        <v>DD</v>
      </c>
      <c r="Y6" s="30" t="str">
        <f t="shared" si="5"/>
        <v>-</v>
      </c>
      <c r="Z6" s="29" t="b">
        <f t="shared" si="6"/>
        <v>1</v>
      </c>
      <c r="AA6" s="29" t="b">
        <f t="shared" si="7"/>
        <v>1</v>
      </c>
      <c r="AB6" s="29" t="str">
        <f t="shared" ca="1" si="8"/>
        <v>141-2</v>
      </c>
      <c r="AC6" s="29">
        <f t="shared" si="34"/>
        <v>3</v>
      </c>
      <c r="AD6" s="29">
        <f t="shared" ca="1" si="9"/>
        <v>3</v>
      </c>
      <c r="AE6" s="29">
        <v>3</v>
      </c>
      <c r="AF6" s="31" t="str">
        <f t="shared" si="10"/>
        <v xml:space="preserve"> </v>
      </c>
      <c r="AG6" s="29" t="b">
        <f t="shared" si="11"/>
        <v>0</v>
      </c>
      <c r="AH6" s="30" t="str">
        <f t="shared" si="12"/>
        <v>-</v>
      </c>
      <c r="AI6" s="30" t="str">
        <f t="shared" ca="1" si="13"/>
        <v>(1/2)*(2/3)</v>
      </c>
      <c r="AJ6" s="29">
        <f t="shared" ca="1" si="14"/>
        <v>0.33333333333333331</v>
      </c>
      <c r="AK6" s="29" t="str">
        <f t="shared" si="15"/>
        <v/>
      </c>
      <c r="AL6" s="29">
        <f t="shared" si="16"/>
        <v>0</v>
      </c>
      <c r="AM6" s="32">
        <f t="shared" ca="1" si="35"/>
        <v>0.33333333333333331</v>
      </c>
      <c r="AO6" s="20">
        <f>Tools!$AD5</f>
        <v>1</v>
      </c>
      <c r="AP6" s="33">
        <f t="shared" si="36"/>
        <v>6.8</v>
      </c>
      <c r="AQ6" s="34" t="str">
        <f t="shared" ca="1" si="18"/>
        <v>(1/2)*(2/3)</v>
      </c>
      <c r="AR6" s="23">
        <f t="shared" ca="1" si="19"/>
        <v>2.2666666666666666</v>
      </c>
      <c r="AS6" s="24">
        <f t="shared" si="20"/>
        <v>-9</v>
      </c>
      <c r="AT6" s="23">
        <f t="shared" ca="1" si="37"/>
        <v>-20.399999999999999</v>
      </c>
      <c r="AU6" s="23">
        <f ca="1">IFERROR(AT6*AS6,"  ")</f>
        <v>183.6</v>
      </c>
      <c r="AV6" s="23">
        <f t="shared" si="21"/>
        <v>314.43199999999996</v>
      </c>
      <c r="AW6" s="23">
        <f t="shared" ca="1" si="22"/>
        <v>104.81066666666665</v>
      </c>
      <c r="AY6" s="35">
        <f t="shared" si="23"/>
        <v>71.98333333333332</v>
      </c>
      <c r="AZ6" s="23">
        <f t="shared" ca="1" si="24"/>
        <v>23.99444444444444</v>
      </c>
      <c r="BA6" s="36">
        <f t="shared" si="25"/>
        <v>600.49</v>
      </c>
      <c r="BB6" s="27">
        <f t="shared" ca="1" si="38"/>
        <v>200.16333333333333</v>
      </c>
      <c r="BC6" s="23">
        <f t="shared" ca="1" si="39"/>
        <v>-215.94999999999996</v>
      </c>
      <c r="BE6" s="8" t="s">
        <v>28</v>
      </c>
      <c r="BF6" s="9" t="s">
        <v>8</v>
      </c>
      <c r="BG6" s="10">
        <f>DEPTH</f>
        <v>13</v>
      </c>
    </row>
    <row r="7" spans="1:60" x14ac:dyDescent="0.25">
      <c r="A7" s="20">
        <f>Tools!$AD6</f>
        <v>1.5</v>
      </c>
      <c r="B7" s="33">
        <f t="shared" si="0"/>
        <v>7.98</v>
      </c>
      <c r="C7" s="22">
        <f>IF(A7="  ","  ",IF(AND(A6="  ",A8="  "),"?",IF(A6="  ",2*(A8-A7),IF(A8="  ",2*(A7-A6),2*(A8-A6)))))</f>
        <v>2</v>
      </c>
      <c r="D7" s="23">
        <f t="shared" si="26"/>
        <v>15.96</v>
      </c>
      <c r="E7" s="24">
        <f t="shared" si="1"/>
        <v>-8.5</v>
      </c>
      <c r="F7" s="23">
        <f t="shared" si="27"/>
        <v>-135.66</v>
      </c>
      <c r="G7" s="23">
        <f t="shared" si="28"/>
        <v>1153.1099999999999</v>
      </c>
      <c r="H7" s="23">
        <f t="shared" si="29"/>
        <v>508.16959200000008</v>
      </c>
      <c r="I7" s="23">
        <f t="shared" si="30"/>
        <v>1016.3391840000002</v>
      </c>
      <c r="J7" s="4"/>
      <c r="K7" s="37">
        <f t="shared" si="2"/>
        <v>101.6</v>
      </c>
      <c r="L7" s="23">
        <f t="shared" si="31"/>
        <v>203.2</v>
      </c>
      <c r="M7" s="38">
        <f t="shared" si="3"/>
        <v>792.18999999999983</v>
      </c>
      <c r="N7" s="27">
        <f t="shared" si="32"/>
        <v>1584.3799999999997</v>
      </c>
      <c r="O7" s="23">
        <f t="shared" si="33"/>
        <v>-1727.1999999999998</v>
      </c>
      <c r="P7" s="4"/>
      <c r="Q7" s="39" t="s">
        <v>29</v>
      </c>
      <c r="R7" s="40" t="s">
        <v>8</v>
      </c>
      <c r="S7" s="41">
        <f>IF(MAX(B4:B28)=0," ",2*MAX(B4:B28))</f>
        <v>22</v>
      </c>
      <c r="W7" s="29">
        <f>IF(AO7="  ","  ",IF(AND(AO6="  ",AO8="  "),"?",IF(AO6="  ",2*(AO8-AO7),IF(AO8="  ",2*(AO7-AO6),2*(AO8-AO6)))))</f>
        <v>2</v>
      </c>
      <c r="X7" s="30" t="str">
        <f t="shared" si="4"/>
        <v>DD</v>
      </c>
      <c r="Y7" s="30" t="str">
        <f t="shared" si="5"/>
        <v>-</v>
      </c>
      <c r="Z7" s="29" t="b">
        <f t="shared" si="6"/>
        <v>1</v>
      </c>
      <c r="AA7" s="29" t="b">
        <f t="shared" si="7"/>
        <v>1</v>
      </c>
      <c r="AB7" s="29" t="str">
        <f t="shared" ca="1" si="8"/>
        <v>141-4</v>
      </c>
      <c r="AC7" s="29">
        <f t="shared" si="34"/>
        <v>4</v>
      </c>
      <c r="AD7" s="29">
        <f t="shared" ca="1" si="9"/>
        <v>4</v>
      </c>
      <c r="AE7" s="29">
        <v>4</v>
      </c>
      <c r="AF7" s="31" t="str">
        <f t="shared" si="10"/>
        <v xml:space="preserve"> </v>
      </c>
      <c r="AG7" s="29" t="b">
        <f t="shared" si="11"/>
        <v>0</v>
      </c>
      <c r="AH7" s="30" t="str">
        <f t="shared" si="12"/>
        <v>-</v>
      </c>
      <c r="AI7" s="30" t="str">
        <f t="shared" ca="1" si="13"/>
        <v>(1/2)*(4/3)</v>
      </c>
      <c r="AJ7" s="29">
        <f t="shared" ca="1" si="14"/>
        <v>0.66666666666666663</v>
      </c>
      <c r="AK7" s="29" t="str">
        <f t="shared" si="15"/>
        <v/>
      </c>
      <c r="AL7" s="29">
        <f t="shared" si="16"/>
        <v>0</v>
      </c>
      <c r="AM7" s="32">
        <f t="shared" ca="1" si="35"/>
        <v>0.66666666666666663</v>
      </c>
      <c r="AO7" s="20">
        <f>Tools!$AD6</f>
        <v>1.5</v>
      </c>
      <c r="AP7" s="33">
        <f t="shared" si="36"/>
        <v>7.98</v>
      </c>
      <c r="AQ7" s="34" t="str">
        <f t="shared" ca="1" si="18"/>
        <v>(1/2)*(4/3)</v>
      </c>
      <c r="AR7" s="23">
        <f t="shared" ca="1" si="19"/>
        <v>5.32</v>
      </c>
      <c r="AS7" s="24">
        <f t="shared" si="20"/>
        <v>-8.5</v>
      </c>
      <c r="AT7" s="23">
        <f t="shared" ca="1" si="37"/>
        <v>-45.22</v>
      </c>
      <c r="AU7" s="23">
        <f t="shared" ref="AU7:AU28" ca="1" si="40">IFERROR(AT7*AS7,"  ")</f>
        <v>384.37</v>
      </c>
      <c r="AV7" s="23">
        <f t="shared" si="21"/>
        <v>508.16959200000008</v>
      </c>
      <c r="AW7" s="23">
        <f t="shared" ca="1" si="22"/>
        <v>338.77972800000003</v>
      </c>
      <c r="AY7" s="35">
        <f t="shared" si="23"/>
        <v>101.6</v>
      </c>
      <c r="AZ7" s="23">
        <f t="shared" ca="1" si="24"/>
        <v>67.73333333333332</v>
      </c>
      <c r="BA7" s="36">
        <f t="shared" si="25"/>
        <v>792.18999999999983</v>
      </c>
      <c r="BB7" s="27">
        <f t="shared" ca="1" si="38"/>
        <v>528.12666666666655</v>
      </c>
      <c r="BC7" s="23">
        <f t="shared" ca="1" si="39"/>
        <v>-575.73333333333323</v>
      </c>
      <c r="BE7" s="8" t="s">
        <v>29</v>
      </c>
      <c r="BF7" s="9" t="s">
        <v>8</v>
      </c>
      <c r="BG7" s="10">
        <f>IF(MAX(AP4:AP28)=0," ",2*MAX(AP4:AP28))</f>
        <v>22</v>
      </c>
    </row>
    <row r="8" spans="1:60" x14ac:dyDescent="0.25">
      <c r="A8" s="20">
        <f>Tools!$AD7</f>
        <v>2</v>
      </c>
      <c r="B8" s="33">
        <f t="shared" si="0"/>
        <v>8.94</v>
      </c>
      <c r="C8" s="22">
        <f>IF(A8="  ","  ",IF(AND(A7="  ",A9="  "),"?",IF(A7="  ",1*(A9-A8),IF(A9="  ",1*(A8-A7),1*(A9-A7)))))</f>
        <v>1.5</v>
      </c>
      <c r="D8" s="23">
        <f t="shared" si="26"/>
        <v>13.41</v>
      </c>
      <c r="E8" s="24">
        <f t="shared" si="1"/>
        <v>-8</v>
      </c>
      <c r="F8" s="23">
        <f t="shared" si="27"/>
        <v>-107.28</v>
      </c>
      <c r="G8" s="23">
        <f t="shared" si="28"/>
        <v>858.24</v>
      </c>
      <c r="H8" s="23">
        <f t="shared" si="29"/>
        <v>714.51698399999987</v>
      </c>
      <c r="I8" s="23">
        <f t="shared" si="30"/>
        <v>1071.7754759999998</v>
      </c>
      <c r="J8" s="4"/>
      <c r="K8" s="37">
        <f t="shared" si="2"/>
        <v>128.90666666666664</v>
      </c>
      <c r="L8" s="23">
        <f t="shared" si="31"/>
        <v>193.35999999999996</v>
      </c>
      <c r="M8" s="38">
        <f t="shared" si="3"/>
        <v>959.14999999999986</v>
      </c>
      <c r="N8" s="27">
        <f t="shared" si="32"/>
        <v>1438.7249999999999</v>
      </c>
      <c r="O8" s="23">
        <f t="shared" si="33"/>
        <v>-1546.8799999999997</v>
      </c>
      <c r="P8" s="4"/>
      <c r="Q8" s="42"/>
      <c r="R8" s="42"/>
      <c r="S8" s="42"/>
      <c r="W8" s="29">
        <f>IF(AO8="  ","  ",IF(AND(AO7="  ",AO9="  "),"?",IF(AO7="  ",1*(AO9-AO8),IF(AO9="  ",1*(AO8-AO7),1*(AO9-AO7)))))</f>
        <v>1.5</v>
      </c>
      <c r="X8" s="30" t="str">
        <f t="shared" si="4"/>
        <v>DW</v>
      </c>
      <c r="Y8" s="30" t="str">
        <f t="shared" si="5"/>
        <v>-</v>
      </c>
      <c r="Z8" s="29" t="b">
        <f t="shared" si="6"/>
        <v>1</v>
      </c>
      <c r="AA8" s="29" t="b">
        <f t="shared" si="7"/>
        <v>1</v>
      </c>
      <c r="AB8" s="29" t="str">
        <f t="shared" ca="1" si="8"/>
        <v>141-1</v>
      </c>
      <c r="AC8" s="29">
        <f t="shared" si="34"/>
        <v>5</v>
      </c>
      <c r="AD8" s="29">
        <f t="shared" ca="1" si="9"/>
        <v>5</v>
      </c>
      <c r="AE8" s="29">
        <v>5</v>
      </c>
      <c r="AF8" s="31">
        <f t="shared" si="10"/>
        <v>1</v>
      </c>
      <c r="AG8" s="29" t="b">
        <f t="shared" si="11"/>
        <v>1</v>
      </c>
      <c r="AH8" s="30" t="str">
        <f t="shared" si="12"/>
        <v>141-1</v>
      </c>
      <c r="AI8" s="30" t="str">
        <f t="shared" ca="1" si="13"/>
        <v>(1/2)*(1/3)</v>
      </c>
      <c r="AJ8" s="29">
        <f t="shared" ca="1" si="14"/>
        <v>0.16666666666666666</v>
      </c>
      <c r="AK8" s="29" t="str">
        <f t="shared" si="15"/>
        <v>1/3</v>
      </c>
      <c r="AL8" s="29">
        <f t="shared" si="16"/>
        <v>0.33333333333333331</v>
      </c>
      <c r="AM8" s="32">
        <f t="shared" ca="1" si="35"/>
        <v>0.5</v>
      </c>
      <c r="AO8" s="20">
        <f>Tools!$AD7</f>
        <v>2</v>
      </c>
      <c r="AP8" s="33">
        <f t="shared" si="36"/>
        <v>8.94</v>
      </c>
      <c r="AQ8" s="34" t="str">
        <f t="shared" ca="1" si="18"/>
        <v>(1/2)*(1/3)+1/3</v>
      </c>
      <c r="AR8" s="23">
        <f t="shared" ca="1" si="19"/>
        <v>4.47</v>
      </c>
      <c r="AS8" s="24">
        <f t="shared" si="20"/>
        <v>-8</v>
      </c>
      <c r="AT8" s="23">
        <f t="shared" ca="1" si="37"/>
        <v>-35.76</v>
      </c>
      <c r="AU8" s="23">
        <f t="shared" ca="1" si="40"/>
        <v>286.08</v>
      </c>
      <c r="AV8" s="23">
        <f t="shared" si="21"/>
        <v>714.51698399999987</v>
      </c>
      <c r="AW8" s="23">
        <f t="shared" ca="1" si="22"/>
        <v>357.25849199999993</v>
      </c>
      <c r="AY8" s="35">
        <f t="shared" si="23"/>
        <v>128.90666666666664</v>
      </c>
      <c r="AZ8" s="23">
        <f ca="1">IFERROR(AY8*AM8,"  ")</f>
        <v>64.453333333333319</v>
      </c>
      <c r="BA8" s="36">
        <f t="shared" si="25"/>
        <v>959.14999999999986</v>
      </c>
      <c r="BB8" s="27">
        <f t="shared" ca="1" si="38"/>
        <v>479.57499999999993</v>
      </c>
      <c r="BC8" s="23">
        <f t="shared" ca="1" si="39"/>
        <v>-515.62666666666655</v>
      </c>
      <c r="BE8" s="8" t="s">
        <v>30</v>
      </c>
      <c r="BF8" s="9" t="s">
        <v>8</v>
      </c>
      <c r="BG8" s="10">
        <f ca="1">LBP-AJ33</f>
        <v>146.19999999999999</v>
      </c>
      <c r="BH8" t="str">
        <f ca="1">IF(AJ33&gt;0,CONCATENATE("(LWL is assumed between stations ",$AH$31," and ",$AH$33," as offset values extreme to these stations are zeros.)"),"")</f>
        <v/>
      </c>
    </row>
    <row r="9" spans="1:60" x14ac:dyDescent="0.25">
      <c r="A9" s="20">
        <f>Tools!$AD8</f>
        <v>3</v>
      </c>
      <c r="B9" s="33">
        <f t="shared" si="0"/>
        <v>10.1</v>
      </c>
      <c r="C9" s="22">
        <f>IF(A9="  ","  ",IF(AND(A8="  ",A10="  "),"?",IF(A8="  ",2*(A10-A9),IF(A10="  ",2*(A9-A8),2*(A10-A8)))))</f>
        <v>4</v>
      </c>
      <c r="D9" s="23">
        <f t="shared" si="26"/>
        <v>40.4</v>
      </c>
      <c r="E9" s="24">
        <f t="shared" si="1"/>
        <v>-7</v>
      </c>
      <c r="F9" s="23">
        <f t="shared" si="27"/>
        <v>-282.8</v>
      </c>
      <c r="G9" s="23">
        <f t="shared" si="28"/>
        <v>1979.6000000000001</v>
      </c>
      <c r="H9" s="23">
        <f t="shared" si="29"/>
        <v>1030.3009999999999</v>
      </c>
      <c r="I9" s="23">
        <f t="shared" si="30"/>
        <v>4121.2039999999997</v>
      </c>
      <c r="J9" s="4"/>
      <c r="K9" s="37">
        <f t="shared" si="2"/>
        <v>177.32666666666665</v>
      </c>
      <c r="L9" s="23">
        <f t="shared" si="31"/>
        <v>709.30666666666662</v>
      </c>
      <c r="M9" s="38">
        <f t="shared" si="3"/>
        <v>1229.0566666666666</v>
      </c>
      <c r="N9" s="27">
        <f t="shared" si="32"/>
        <v>4916.2266666666665</v>
      </c>
      <c r="O9" s="23">
        <f t="shared" si="33"/>
        <v>-4965.1466666666665</v>
      </c>
      <c r="P9" s="4"/>
      <c r="Q9" s="43" t="s">
        <v>31</v>
      </c>
      <c r="R9" s="44" t="s">
        <v>32</v>
      </c>
      <c r="S9" s="489" t="s">
        <v>33</v>
      </c>
      <c r="W9" s="29">
        <f>IF(AO9="  ","  ",IF(AND(AO8="  ",AO10="  "),"?",IF(AO8="  ",2*(AO10-AO9),IF(AO10="  ",2*(AO9-AO8),2*(AO10-AO8)))))</f>
        <v>4</v>
      </c>
      <c r="X9" s="30" t="str">
        <f t="shared" si="4"/>
        <v>WW</v>
      </c>
      <c r="Y9" s="30" t="str">
        <f t="shared" si="5"/>
        <v>-</v>
      </c>
      <c r="Z9" s="29" t="b">
        <f t="shared" si="6"/>
        <v>0</v>
      </c>
      <c r="AA9" s="29" t="b">
        <f t="shared" si="7"/>
        <v>0</v>
      </c>
      <c r="AB9" s="29" t="str">
        <f t="shared" ca="1" si="8"/>
        <v>++</v>
      </c>
      <c r="AC9" s="29">
        <f t="shared" si="34"/>
        <v>6</v>
      </c>
      <c r="AD9" s="29">
        <f t="shared" ca="1" si="9"/>
        <v>6</v>
      </c>
      <c r="AE9" s="29">
        <v>6</v>
      </c>
      <c r="AF9" s="31">
        <f>IF(AND(AG9=TRUE,OR(NOT(AG8=TRUE),AG8="Full")),1,IF(ISNUMBER(AF8),AF8+1," "))</f>
        <v>2</v>
      </c>
      <c r="AG9" s="29" t="b">
        <f t="shared" si="11"/>
        <v>1</v>
      </c>
      <c r="AH9" s="30" t="str">
        <f t="shared" ca="1" si="12"/>
        <v>141-4</v>
      </c>
      <c r="AI9" s="30" t="str">
        <f t="shared" ca="1" si="13"/>
        <v/>
      </c>
      <c r="AJ9" s="29">
        <f t="shared" ca="1" si="14"/>
        <v>0</v>
      </c>
      <c r="AK9" s="29" t="str">
        <f t="shared" ca="1" si="15"/>
        <v>4/3</v>
      </c>
      <c r="AL9" s="29">
        <f t="shared" ca="1" si="16"/>
        <v>1.3333333333333333</v>
      </c>
      <c r="AM9" s="32">
        <f t="shared" ca="1" si="35"/>
        <v>1.3333333333333333</v>
      </c>
      <c r="AO9" s="20">
        <f>Tools!$AD8</f>
        <v>3</v>
      </c>
      <c r="AP9" s="33">
        <f t="shared" si="36"/>
        <v>10.1</v>
      </c>
      <c r="AQ9" s="34" t="str">
        <f t="shared" ca="1" si="18"/>
        <v>4/3</v>
      </c>
      <c r="AR9" s="23">
        <f t="shared" ca="1" si="19"/>
        <v>13.466666666666665</v>
      </c>
      <c r="AS9" s="24">
        <f t="shared" si="20"/>
        <v>-7</v>
      </c>
      <c r="AT9" s="23">
        <f t="shared" ca="1" si="37"/>
        <v>-94.266666666666652</v>
      </c>
      <c r="AU9" s="23">
        <f t="shared" ca="1" si="40"/>
        <v>659.86666666666656</v>
      </c>
      <c r="AV9" s="23">
        <f t="shared" si="21"/>
        <v>1030.3009999999999</v>
      </c>
      <c r="AW9" s="23">
        <f t="shared" ca="1" si="22"/>
        <v>1373.7346666666665</v>
      </c>
      <c r="AY9" s="35">
        <f t="shared" si="23"/>
        <v>177.32666666666665</v>
      </c>
      <c r="AZ9" s="23">
        <f t="shared" ref="AZ9:AZ28" ca="1" si="41">IFERROR(AY9*AM9,"  ")</f>
        <v>236.43555555555554</v>
      </c>
      <c r="BA9" s="36">
        <f t="shared" si="25"/>
        <v>1229.0566666666666</v>
      </c>
      <c r="BB9" s="27">
        <f t="shared" ca="1" si="38"/>
        <v>1638.7422222222222</v>
      </c>
      <c r="BC9" s="23">
        <f t="shared" ca="1" si="39"/>
        <v>-1655.0488888888888</v>
      </c>
    </row>
    <row r="10" spans="1:60" x14ac:dyDescent="0.25">
      <c r="A10" s="20">
        <f>Tools!$AD9</f>
        <v>4</v>
      </c>
      <c r="B10" s="33">
        <f t="shared" si="0"/>
        <v>10.8</v>
      </c>
      <c r="C10" s="22">
        <f>IF(A10="  ","  ",IF(AND(A9="  ",A11="  "),"?",IF(A9="  ",1*(A11-A10),IF(A11="  ",1*(A10-A9),1*(A11-A9)))))</f>
        <v>2</v>
      </c>
      <c r="D10" s="23">
        <f t="shared" si="26"/>
        <v>21.6</v>
      </c>
      <c r="E10" s="24">
        <f t="shared" si="1"/>
        <v>-6</v>
      </c>
      <c r="F10" s="23">
        <f t="shared" si="27"/>
        <v>-129.60000000000002</v>
      </c>
      <c r="G10" s="23">
        <f t="shared" si="28"/>
        <v>777.60000000000014</v>
      </c>
      <c r="H10" s="23">
        <f t="shared" si="29"/>
        <v>1259.7120000000002</v>
      </c>
      <c r="I10" s="23">
        <f>IFERROR(H10*C10,"  ")</f>
        <v>2519.4240000000004</v>
      </c>
      <c r="J10" s="4"/>
      <c r="K10" s="37">
        <f t="shared" si="2"/>
        <v>215.25666666666666</v>
      </c>
      <c r="L10" s="23">
        <f t="shared" si="31"/>
        <v>430.51333333333332</v>
      </c>
      <c r="M10" s="38">
        <f t="shared" si="3"/>
        <v>1419.5933333333332</v>
      </c>
      <c r="N10" s="27">
        <f t="shared" si="32"/>
        <v>2839.1866666666665</v>
      </c>
      <c r="O10" s="23">
        <f t="shared" si="33"/>
        <v>-2583.08</v>
      </c>
      <c r="P10" s="4"/>
      <c r="Q10" s="45"/>
      <c r="R10" s="46"/>
      <c r="S10" s="490"/>
      <c r="W10" s="29">
        <f>IF(AO10="  ","  ",IF(AND(AO9="  ",AO11="  "),"?",IF(AO9="  ",1*(AO11-AO10),IF(AO11="  ",1*(AO10-AO9),1*(AO11-AO9)))))</f>
        <v>2</v>
      </c>
      <c r="X10" s="30" t="str">
        <f t="shared" si="4"/>
        <v>WW</v>
      </c>
      <c r="Y10" s="30" t="str">
        <f t="shared" si="5"/>
        <v>-</v>
      </c>
      <c r="Z10" s="29" t="b">
        <f t="shared" si="6"/>
        <v>0</v>
      </c>
      <c r="AA10" s="29" t="b">
        <f t="shared" si="7"/>
        <v>0</v>
      </c>
      <c r="AB10" s="29" t="str">
        <f t="shared" ca="1" si="8"/>
        <v>++</v>
      </c>
      <c r="AC10" s="29">
        <f t="shared" si="34"/>
        <v>7</v>
      </c>
      <c r="AD10" s="29">
        <f t="shared" ca="1" si="9"/>
        <v>7</v>
      </c>
      <c r="AE10" s="29">
        <v>7</v>
      </c>
      <c r="AF10" s="31">
        <f t="shared" ref="AF10:AF28" si="42">IF(AND(AG10=TRUE,OR(NOT(AG9=TRUE),AG9="Full")),1,IF(ISNUMBER(AF9),AF9+1," "))</f>
        <v>3</v>
      </c>
      <c r="AG10" s="29" t="b">
        <f t="shared" si="11"/>
        <v>1</v>
      </c>
      <c r="AH10" s="30" t="str">
        <f t="shared" ca="1" si="12"/>
        <v>141-2</v>
      </c>
      <c r="AI10" s="30" t="str">
        <f t="shared" ca="1" si="13"/>
        <v/>
      </c>
      <c r="AJ10" s="29">
        <f t="shared" ca="1" si="14"/>
        <v>0</v>
      </c>
      <c r="AK10" s="29" t="str">
        <f t="shared" ca="1" si="15"/>
        <v>2/3</v>
      </c>
      <c r="AL10" s="29">
        <f t="shared" ca="1" si="16"/>
        <v>0.66666666666666663</v>
      </c>
      <c r="AM10" s="32">
        <f t="shared" ca="1" si="35"/>
        <v>0.66666666666666663</v>
      </c>
      <c r="AO10" s="20">
        <f>Tools!$AD9</f>
        <v>4</v>
      </c>
      <c r="AP10" s="33">
        <f t="shared" si="36"/>
        <v>10.8</v>
      </c>
      <c r="AQ10" s="34" t="str">
        <f t="shared" ca="1" si="18"/>
        <v>2/3</v>
      </c>
      <c r="AR10" s="23">
        <f t="shared" ca="1" si="19"/>
        <v>7.2</v>
      </c>
      <c r="AS10" s="24">
        <f t="shared" si="20"/>
        <v>-6</v>
      </c>
      <c r="AT10" s="23">
        <f t="shared" ca="1" si="37"/>
        <v>-43.2</v>
      </c>
      <c r="AU10" s="23">
        <f ca="1">IFERROR(AT10*AS10,"  ")</f>
        <v>259.20000000000005</v>
      </c>
      <c r="AV10" s="23">
        <f t="shared" si="21"/>
        <v>1259.7120000000002</v>
      </c>
      <c r="AW10" s="23">
        <f t="shared" ca="1" si="22"/>
        <v>839.80800000000011</v>
      </c>
      <c r="AY10" s="35">
        <f t="shared" si="23"/>
        <v>215.25666666666666</v>
      </c>
      <c r="AZ10" s="23">
        <f t="shared" ca="1" si="41"/>
        <v>143.50444444444443</v>
      </c>
      <c r="BA10" s="36">
        <f t="shared" si="25"/>
        <v>1419.5933333333332</v>
      </c>
      <c r="BB10" s="27">
        <f t="shared" ca="1" si="38"/>
        <v>946.39555555555546</v>
      </c>
      <c r="BC10" s="23">
        <f t="shared" ca="1" si="39"/>
        <v>-861.02666666666664</v>
      </c>
      <c r="BE10" s="43" t="s">
        <v>31</v>
      </c>
      <c r="BF10" s="44" t="s">
        <v>32</v>
      </c>
      <c r="BG10" s="489" t="s">
        <v>33</v>
      </c>
    </row>
    <row r="11" spans="1:60" x14ac:dyDescent="0.25">
      <c r="A11" s="20">
        <f>Tools!$AD10</f>
        <v>5</v>
      </c>
      <c r="B11" s="33">
        <f t="shared" si="0"/>
        <v>10.9</v>
      </c>
      <c r="C11" s="22">
        <f>IF(A11="  ","  ",IF(AND(A10="  ",A12="  "),"?",IF(A10="  ",2*(A12-A11),IF(A12="  ",2*(A11-A10),2*(A12-A10)))))</f>
        <v>4</v>
      </c>
      <c r="D11" s="23">
        <f t="shared" si="26"/>
        <v>43.6</v>
      </c>
      <c r="E11" s="24">
        <f t="shared" si="1"/>
        <v>-5</v>
      </c>
      <c r="F11" s="23">
        <f t="shared" si="27"/>
        <v>-218</v>
      </c>
      <c r="G11" s="23">
        <f t="shared" si="28"/>
        <v>1090</v>
      </c>
      <c r="H11" s="23">
        <f t="shared" si="29"/>
        <v>1295.029</v>
      </c>
      <c r="I11" s="23">
        <f t="shared" si="30"/>
        <v>5180.116</v>
      </c>
      <c r="J11" s="4"/>
      <c r="K11" s="37">
        <f t="shared" si="2"/>
        <v>238.12666666666664</v>
      </c>
      <c r="L11" s="23">
        <f t="shared" si="31"/>
        <v>952.50666666666655</v>
      </c>
      <c r="M11" s="38">
        <f t="shared" si="3"/>
        <v>1504.5099999999998</v>
      </c>
      <c r="N11" s="27">
        <f t="shared" si="32"/>
        <v>6018.0399999999991</v>
      </c>
      <c r="O11" s="23">
        <f t="shared" si="33"/>
        <v>-4762.5333333333328</v>
      </c>
      <c r="P11" s="4"/>
      <c r="Q11" s="47" t="s">
        <v>34</v>
      </c>
      <c r="R11" s="48" t="s">
        <v>35</v>
      </c>
      <c r="S11">
        <f>IF(Tools!$L$49="Use 141 rule only",I35,IF(Tools!$L$49="Use 141 and 1331 rules",BG12," "))</f>
        <v>2871.8065999999999</v>
      </c>
      <c r="W11" s="29">
        <f>IF(AO11="  ","  ",IF(AND(AO10="  ",AO12="  "),"?",IF(AO10="  ",2*(AO12-AO11),IF(AO12="  ",2*(AO11-AO10),2*(AO12-AO10)))))</f>
        <v>4</v>
      </c>
      <c r="X11" s="30" t="str">
        <f t="shared" si="4"/>
        <v>WW</v>
      </c>
      <c r="Y11" s="30" t="str">
        <f t="shared" si="5"/>
        <v>-</v>
      </c>
      <c r="Z11" s="29" t="b">
        <f t="shared" si="6"/>
        <v>0</v>
      </c>
      <c r="AA11" s="29" t="b">
        <f t="shared" si="7"/>
        <v>0</v>
      </c>
      <c r="AB11" s="29" t="str">
        <f t="shared" ca="1" si="8"/>
        <v>++</v>
      </c>
      <c r="AC11" s="29">
        <f t="shared" si="34"/>
        <v>8</v>
      </c>
      <c r="AD11" s="29">
        <f t="shared" ca="1" si="9"/>
        <v>8</v>
      </c>
      <c r="AE11" s="29">
        <v>8</v>
      </c>
      <c r="AF11" s="31">
        <f t="shared" si="42"/>
        <v>4</v>
      </c>
      <c r="AG11" s="29" t="b">
        <f t="shared" si="11"/>
        <v>1</v>
      </c>
      <c r="AH11" s="30" t="str">
        <f t="shared" ca="1" si="12"/>
        <v>141-4</v>
      </c>
      <c r="AI11" s="30" t="str">
        <f t="shared" ca="1" si="13"/>
        <v/>
      </c>
      <c r="AJ11" s="29">
        <f t="shared" ca="1" si="14"/>
        <v>0</v>
      </c>
      <c r="AK11" s="29" t="str">
        <f t="shared" ca="1" si="15"/>
        <v>4/3</v>
      </c>
      <c r="AL11" s="29">
        <f t="shared" ca="1" si="16"/>
        <v>1.3333333333333333</v>
      </c>
      <c r="AM11" s="32">
        <f t="shared" ca="1" si="35"/>
        <v>1.3333333333333333</v>
      </c>
      <c r="AO11" s="20">
        <f>Tools!$AD10</f>
        <v>5</v>
      </c>
      <c r="AP11" s="33">
        <f t="shared" si="36"/>
        <v>10.9</v>
      </c>
      <c r="AQ11" s="34" t="str">
        <f t="shared" ca="1" si="18"/>
        <v>4/3</v>
      </c>
      <c r="AR11" s="23">
        <f t="shared" ca="1" si="19"/>
        <v>14.533333333333333</v>
      </c>
      <c r="AS11" s="24">
        <f t="shared" si="20"/>
        <v>-5</v>
      </c>
      <c r="AT11" s="23">
        <f t="shared" ca="1" si="37"/>
        <v>-72.666666666666671</v>
      </c>
      <c r="AU11" s="23">
        <f t="shared" ca="1" si="40"/>
        <v>363.33333333333337</v>
      </c>
      <c r="AV11" s="23">
        <f t="shared" si="21"/>
        <v>1295.029</v>
      </c>
      <c r="AW11" s="23">
        <f t="shared" ca="1" si="22"/>
        <v>1726.7053333333333</v>
      </c>
      <c r="AY11" s="35">
        <f t="shared" si="23"/>
        <v>238.12666666666664</v>
      </c>
      <c r="AZ11" s="23">
        <f t="shared" ca="1" si="41"/>
        <v>317.50222222222214</v>
      </c>
      <c r="BA11" s="36">
        <f t="shared" si="25"/>
        <v>1504.5099999999998</v>
      </c>
      <c r="BB11" s="27">
        <f t="shared" ca="1" si="38"/>
        <v>2006.0133333333329</v>
      </c>
      <c r="BC11" s="23">
        <f ca="1">IFERROR(AZ11*AS11,"  ")</f>
        <v>-1587.5111111111107</v>
      </c>
      <c r="BE11" s="45"/>
      <c r="BF11" s="46"/>
      <c r="BG11" s="490"/>
    </row>
    <row r="12" spans="1:60" x14ac:dyDescent="0.25">
      <c r="A12" s="20">
        <f>Tools!$AD11</f>
        <v>6</v>
      </c>
      <c r="B12" s="33">
        <f t="shared" si="0"/>
        <v>11</v>
      </c>
      <c r="C12" s="22">
        <f>IF(A12="  ","  ",IF(AND(A11="  ",A13="  "),"?",IF(A11="  ",1*(A13-A12),IF(A13="  ",1*(A12-A11),1*(A13-A11)))))</f>
        <v>2</v>
      </c>
      <c r="D12" s="23">
        <f t="shared" si="26"/>
        <v>22</v>
      </c>
      <c r="E12" s="24">
        <f t="shared" si="1"/>
        <v>-4</v>
      </c>
      <c r="F12" s="23">
        <f t="shared" si="27"/>
        <v>-88</v>
      </c>
      <c r="G12" s="23">
        <f t="shared" si="28"/>
        <v>352</v>
      </c>
      <c r="H12" s="23">
        <f t="shared" si="29"/>
        <v>1331</v>
      </c>
      <c r="I12" s="23">
        <f t="shared" si="30"/>
        <v>2662</v>
      </c>
      <c r="J12" s="4"/>
      <c r="K12" s="37">
        <f t="shared" si="2"/>
        <v>254.85333333333335</v>
      </c>
      <c r="L12" s="23">
        <f t="shared" si="31"/>
        <v>509.70666666666671</v>
      </c>
      <c r="M12" s="38">
        <f t="shared" si="3"/>
        <v>1569.58</v>
      </c>
      <c r="N12" s="27">
        <f t="shared" si="32"/>
        <v>3139.16</v>
      </c>
      <c r="O12" s="23">
        <f t="shared" si="33"/>
        <v>-2038.8266666666668</v>
      </c>
      <c r="P12" s="4"/>
      <c r="Q12" s="47" t="s">
        <v>36</v>
      </c>
      <c r="R12" s="48" t="s">
        <v>37</v>
      </c>
      <c r="S12">
        <f>IF(Tools!$L$49="Use 141 rule only",I36,IF(Tools!$L$49="Use 141 and 1331 rules",BG13," "))</f>
        <v>-2185.536489999999</v>
      </c>
      <c r="W12" s="29">
        <f>IF(AO12="  ","  ",IF(AND(AO11="  ",AO13="  "),"?",IF(AO11="  ",1*(AO13-AO12),IF(AO13="  ",1*(AO12-AO11),1*(AO13-AO11)))))</f>
        <v>2</v>
      </c>
      <c r="X12" s="30" t="str">
        <f t="shared" si="4"/>
        <v>WW</v>
      </c>
      <c r="Y12" s="30" t="str">
        <f t="shared" si="5"/>
        <v>-</v>
      </c>
      <c r="Z12" s="29" t="b">
        <f t="shared" si="6"/>
        <v>0</v>
      </c>
      <c r="AA12" s="29" t="b">
        <f t="shared" si="7"/>
        <v>0</v>
      </c>
      <c r="AB12" s="29" t="str">
        <f t="shared" ca="1" si="8"/>
        <v>++</v>
      </c>
      <c r="AC12" s="29">
        <f t="shared" si="34"/>
        <v>9</v>
      </c>
      <c r="AD12" s="29">
        <f t="shared" ca="1" si="9"/>
        <v>9</v>
      </c>
      <c r="AE12" s="29">
        <v>9</v>
      </c>
      <c r="AF12" s="31">
        <f t="shared" si="42"/>
        <v>5</v>
      </c>
      <c r="AG12" s="29" t="b">
        <f t="shared" si="11"/>
        <v>1</v>
      </c>
      <c r="AH12" s="30" t="str">
        <f t="shared" ca="1" si="12"/>
        <v>141-2</v>
      </c>
      <c r="AI12" s="30" t="str">
        <f t="shared" ca="1" si="13"/>
        <v/>
      </c>
      <c r="AJ12" s="29">
        <f t="shared" ca="1" si="14"/>
        <v>0</v>
      </c>
      <c r="AK12" s="29" t="str">
        <f t="shared" ca="1" si="15"/>
        <v>2/3</v>
      </c>
      <c r="AL12" s="29">
        <f t="shared" ca="1" si="16"/>
        <v>0.66666666666666663</v>
      </c>
      <c r="AM12" s="32">
        <f t="shared" ca="1" si="35"/>
        <v>0.66666666666666663</v>
      </c>
      <c r="AO12" s="20">
        <f>Tools!$AD11</f>
        <v>6</v>
      </c>
      <c r="AP12" s="33">
        <f t="shared" si="36"/>
        <v>11</v>
      </c>
      <c r="AQ12" s="34" t="str">
        <f t="shared" ca="1" si="18"/>
        <v>2/3</v>
      </c>
      <c r="AR12" s="23">
        <f t="shared" ca="1" si="19"/>
        <v>7.333333333333333</v>
      </c>
      <c r="AS12" s="24">
        <f t="shared" si="20"/>
        <v>-4</v>
      </c>
      <c r="AT12" s="23">
        <f t="shared" ca="1" si="37"/>
        <v>-29.333333333333332</v>
      </c>
      <c r="AU12" s="23">
        <f t="shared" ca="1" si="40"/>
        <v>117.33333333333333</v>
      </c>
      <c r="AV12" s="23">
        <f t="shared" si="21"/>
        <v>1331</v>
      </c>
      <c r="AW12" s="23">
        <f t="shared" ca="1" si="22"/>
        <v>887.33333333333326</v>
      </c>
      <c r="AY12" s="35">
        <f t="shared" si="23"/>
        <v>254.85333333333335</v>
      </c>
      <c r="AZ12" s="23">
        <f t="shared" ca="1" si="41"/>
        <v>169.90222222222224</v>
      </c>
      <c r="BA12" s="36">
        <f t="shared" si="25"/>
        <v>1569.58</v>
      </c>
      <c r="BB12" s="27">
        <f t="shared" ca="1" si="38"/>
        <v>1046.3866666666665</v>
      </c>
      <c r="BC12" s="23">
        <f t="shared" ca="1" si="39"/>
        <v>-679.60888888888894</v>
      </c>
      <c r="BE12" s="47" t="s">
        <v>34</v>
      </c>
      <c r="BF12" s="48" t="s">
        <v>38</v>
      </c>
      <c r="BG12" s="49">
        <f ca="1">IF(WL_No="  ","  ",2*h*$AR$29)</f>
        <v>2871.8065999999999</v>
      </c>
    </row>
    <row r="13" spans="1:60" x14ac:dyDescent="0.25">
      <c r="A13" s="20">
        <f>Tools!$AD12</f>
        <v>7</v>
      </c>
      <c r="B13" s="33">
        <f t="shared" si="0"/>
        <v>11</v>
      </c>
      <c r="C13" s="22">
        <f>IF(A13="  ","  ",IF(AND(A12="  ",A14="  "),"?",IF(A12="  ",2*(A14-A13),IF(A14="  ",2*(A13-A12),2*(A14-A12)))))</f>
        <v>4</v>
      </c>
      <c r="D13" s="23">
        <f t="shared" si="26"/>
        <v>44</v>
      </c>
      <c r="E13" s="24">
        <f t="shared" si="1"/>
        <v>-3</v>
      </c>
      <c r="F13" s="23">
        <f t="shared" si="27"/>
        <v>-132</v>
      </c>
      <c r="G13" s="23">
        <f t="shared" si="28"/>
        <v>396</v>
      </c>
      <c r="H13" s="23">
        <f t="shared" si="29"/>
        <v>1331</v>
      </c>
      <c r="I13" s="23">
        <f t="shared" si="30"/>
        <v>5324</v>
      </c>
      <c r="J13" s="4"/>
      <c r="K13" s="37">
        <f t="shared" si="2"/>
        <v>260.37333333333333</v>
      </c>
      <c r="L13" s="23">
        <f t="shared" si="31"/>
        <v>1041.4933333333333</v>
      </c>
      <c r="M13" s="38">
        <f t="shared" si="3"/>
        <v>1580.9533333333334</v>
      </c>
      <c r="N13" s="27">
        <f t="shared" si="32"/>
        <v>6323.8133333333335</v>
      </c>
      <c r="O13" s="23">
        <f t="shared" si="33"/>
        <v>-3124.48</v>
      </c>
      <c r="P13" s="4"/>
      <c r="Q13" s="50" t="s">
        <v>39</v>
      </c>
      <c r="R13" s="48" t="s">
        <v>40</v>
      </c>
      <c r="S13">
        <f>IF(Tools!$L$49="Use 141 rule only",I37,IF(Tools!$L$49="Use 141 and 1331 rules",BG14," "))</f>
        <v>-0.76103191976785589</v>
      </c>
      <c r="W13" s="29">
        <f>IF(AO13="  ","  ",IF(AND(AO12="  ",AO14="  "),"?",IF(AO12="  ",2*(AO14-AO13),IF(AO14="  ",2*(AO13-AO12),2*(AO14-AO12)))))</f>
        <v>4</v>
      </c>
      <c r="X13" s="30" t="str">
        <f t="shared" si="4"/>
        <v>WW</v>
      </c>
      <c r="Y13" s="30" t="str">
        <f t="shared" si="5"/>
        <v>-</v>
      </c>
      <c r="Z13" s="29" t="b">
        <f t="shared" si="6"/>
        <v>0</v>
      </c>
      <c r="AA13" s="29" t="b">
        <f t="shared" si="7"/>
        <v>0</v>
      </c>
      <c r="AB13" s="29" t="str">
        <f t="shared" ca="1" si="8"/>
        <v>++</v>
      </c>
      <c r="AC13" s="29">
        <f t="shared" si="34"/>
        <v>10</v>
      </c>
      <c r="AD13" s="29">
        <f t="shared" ca="1" si="9"/>
        <v>10</v>
      </c>
      <c r="AE13" s="29">
        <v>10</v>
      </c>
      <c r="AF13" s="31">
        <f t="shared" si="42"/>
        <v>6</v>
      </c>
      <c r="AG13" s="29" t="b">
        <f t="shared" si="11"/>
        <v>1</v>
      </c>
      <c r="AH13" s="30" t="str">
        <f t="shared" ca="1" si="12"/>
        <v>141-4</v>
      </c>
      <c r="AI13" s="30" t="str">
        <f t="shared" ca="1" si="13"/>
        <v/>
      </c>
      <c r="AJ13" s="29">
        <f t="shared" ca="1" si="14"/>
        <v>0</v>
      </c>
      <c r="AK13" s="29" t="str">
        <f t="shared" ca="1" si="15"/>
        <v>4/3</v>
      </c>
      <c r="AL13" s="29">
        <f t="shared" ca="1" si="16"/>
        <v>1.3333333333333333</v>
      </c>
      <c r="AM13" s="32">
        <f t="shared" ca="1" si="35"/>
        <v>1.3333333333333333</v>
      </c>
      <c r="AO13" s="20">
        <f>Tools!$AD12</f>
        <v>7</v>
      </c>
      <c r="AP13" s="33">
        <f t="shared" si="36"/>
        <v>11</v>
      </c>
      <c r="AQ13" s="34" t="str">
        <f t="shared" ca="1" si="18"/>
        <v>4/3</v>
      </c>
      <c r="AR13" s="23">
        <f t="shared" ca="1" si="19"/>
        <v>14.666666666666666</v>
      </c>
      <c r="AS13" s="24">
        <f t="shared" si="20"/>
        <v>-3</v>
      </c>
      <c r="AT13" s="23">
        <f t="shared" ca="1" si="37"/>
        <v>-44</v>
      </c>
      <c r="AU13" s="23">
        <f t="shared" ca="1" si="40"/>
        <v>132</v>
      </c>
      <c r="AV13" s="23">
        <f t="shared" si="21"/>
        <v>1331</v>
      </c>
      <c r="AW13" s="23">
        <f t="shared" ca="1" si="22"/>
        <v>1774.6666666666665</v>
      </c>
      <c r="AY13" s="35">
        <f t="shared" si="23"/>
        <v>260.37333333333333</v>
      </c>
      <c r="AZ13" s="23">
        <f t="shared" ca="1" si="41"/>
        <v>347.16444444444443</v>
      </c>
      <c r="BA13" s="36">
        <f t="shared" si="25"/>
        <v>1580.9533333333334</v>
      </c>
      <c r="BB13" s="27">
        <f t="shared" ca="1" si="38"/>
        <v>2107.9377777777777</v>
      </c>
      <c r="BC13" s="23">
        <f t="shared" ca="1" si="39"/>
        <v>-1041.4933333333333</v>
      </c>
      <c r="BE13" s="47" t="s">
        <v>36</v>
      </c>
      <c r="BF13" s="48" t="s">
        <v>41</v>
      </c>
      <c r="BG13" s="49">
        <f ca="1">IF(WL_No="  ","  ",2*(h^2)*$AT$29)</f>
        <v>-2185.53649</v>
      </c>
    </row>
    <row r="14" spans="1:60" x14ac:dyDescent="0.25">
      <c r="A14" s="20">
        <f>Tools!$AD13</f>
        <v>8</v>
      </c>
      <c r="B14" s="33">
        <f t="shared" si="0"/>
        <v>11</v>
      </c>
      <c r="C14" s="22">
        <f>IF(A14="  ","  ",IF(AND(A13="  ",A15="  "),"?",IF(A13="  ",1*(A15-A14),IF(A15="  ",1*(A14-A13),1*(A15-A13)))))</f>
        <v>2</v>
      </c>
      <c r="D14" s="23">
        <f t="shared" si="26"/>
        <v>22</v>
      </c>
      <c r="E14" s="24">
        <f t="shared" si="1"/>
        <v>-2</v>
      </c>
      <c r="F14" s="23">
        <f t="shared" si="27"/>
        <v>-44</v>
      </c>
      <c r="G14" s="23">
        <f t="shared" si="28"/>
        <v>88</v>
      </c>
      <c r="H14" s="23">
        <f t="shared" si="29"/>
        <v>1331</v>
      </c>
      <c r="I14" s="23">
        <f t="shared" si="30"/>
        <v>2662</v>
      </c>
      <c r="J14" s="4"/>
      <c r="K14" s="37">
        <f t="shared" si="2"/>
        <v>262.25333333333333</v>
      </c>
      <c r="L14" s="23">
        <f t="shared" si="31"/>
        <v>524.50666666666666</v>
      </c>
      <c r="M14" s="38">
        <f t="shared" si="3"/>
        <v>1583.1333333333332</v>
      </c>
      <c r="N14" s="27">
        <f t="shared" si="32"/>
        <v>3166.2666666666664</v>
      </c>
      <c r="O14" s="23">
        <f t="shared" si="33"/>
        <v>-1049.0133333333333</v>
      </c>
      <c r="P14" s="4"/>
      <c r="Q14" s="50" t="s">
        <v>42</v>
      </c>
      <c r="R14" s="48" t="s">
        <v>43</v>
      </c>
      <c r="S14">
        <f>IF(Tools!$L$49="Use 141 rule only",I38,IF(Tools!$L$49="Use 141 and 1331 rules",BG15," "))</f>
        <v>4244485.2530372795</v>
      </c>
      <c r="W14" s="29">
        <f>IF(AO14="  ","  ",IF(AND(AO13="  ",AO15="  "),"?",IF(AO13="  ",1*(AO15-AO14),IF(AO15="  ",1*(AO14-AO13),1*(AO15-AO13)))))</f>
        <v>2</v>
      </c>
      <c r="X14" s="30" t="str">
        <f t="shared" si="4"/>
        <v>WW</v>
      </c>
      <c r="Y14" s="30" t="str">
        <f t="shared" si="5"/>
        <v>-</v>
      </c>
      <c r="Z14" s="29" t="b">
        <f t="shared" si="6"/>
        <v>0</v>
      </c>
      <c r="AA14" s="29" t="b">
        <f t="shared" si="7"/>
        <v>0</v>
      </c>
      <c r="AB14" s="29" t="str">
        <f t="shared" ca="1" si="8"/>
        <v>++</v>
      </c>
      <c r="AC14" s="29">
        <f t="shared" si="34"/>
        <v>11</v>
      </c>
      <c r="AD14" s="29">
        <f t="shared" ca="1" si="9"/>
        <v>11</v>
      </c>
      <c r="AE14" s="29">
        <v>11</v>
      </c>
      <c r="AF14" s="31">
        <f t="shared" si="42"/>
        <v>7</v>
      </c>
      <c r="AG14" s="29" t="b">
        <f t="shared" si="11"/>
        <v>1</v>
      </c>
      <c r="AH14" s="30" t="str">
        <f ca="1">IF(AND(AG14=TRUE,$AH$1=1),"141-4",IF(AG14=" ",IF(AND($AH$1=2,AF14=3),"141-1","-"),IF(OR(AG14=FALSE,AG14=" "),"-",IF(AG14=TRUE,IF(AND($AH$1=2,AF14=1),"141-1",IF(AND($AH$1=2,AF14=2),"141-4",IF(OR(ISODD($AH$1),AF14&gt;4),IF(AF14=1,"141-1",IF(OR(AB14="141-1",AB14="1331-1",AB14="1331-1,141-1"),"141-1",IF(AG15=" ","141-1",IF(OR(AH13="141-1",AH13="141-2",AH13="1331-1,141-1"),"141-4",IF(AH13="141-4","141-2","$$"))))),IF(ISEVEN($AH$1),IF(AF14=1,"1331-1",IF(OR(AF14=2,AF14=3),"1331-3",IF(AF14=4,IF($AH$1=4,"1331-1","1331-1,141-1"),"")))))))))))</f>
        <v>141-2</v>
      </c>
      <c r="AI14" s="30" t="str">
        <f t="shared" ca="1" si="13"/>
        <v/>
      </c>
      <c r="AJ14" s="29">
        <f t="shared" ca="1" si="14"/>
        <v>0</v>
      </c>
      <c r="AK14" s="29" t="str">
        <f t="shared" ca="1" si="15"/>
        <v>2/3</v>
      </c>
      <c r="AL14" s="29">
        <f t="shared" ca="1" si="16"/>
        <v>0.66666666666666663</v>
      </c>
      <c r="AM14" s="32">
        <f t="shared" ca="1" si="35"/>
        <v>0.66666666666666663</v>
      </c>
      <c r="AO14" s="20">
        <f>Tools!$AD13</f>
        <v>8</v>
      </c>
      <c r="AP14" s="33">
        <f t="shared" si="36"/>
        <v>11</v>
      </c>
      <c r="AQ14" s="34" t="str">
        <f t="shared" ca="1" si="18"/>
        <v>2/3</v>
      </c>
      <c r="AR14" s="23">
        <f t="shared" ca="1" si="19"/>
        <v>7.333333333333333</v>
      </c>
      <c r="AS14" s="24">
        <f t="shared" si="20"/>
        <v>-2</v>
      </c>
      <c r="AT14" s="23">
        <f t="shared" ca="1" si="37"/>
        <v>-14.666666666666666</v>
      </c>
      <c r="AU14" s="23">
        <f t="shared" ca="1" si="40"/>
        <v>29.333333333333332</v>
      </c>
      <c r="AV14" s="23">
        <f t="shared" si="21"/>
        <v>1331</v>
      </c>
      <c r="AW14" s="23">
        <f t="shared" ca="1" si="22"/>
        <v>887.33333333333326</v>
      </c>
      <c r="AY14" s="35">
        <f t="shared" si="23"/>
        <v>262.25333333333333</v>
      </c>
      <c r="AZ14" s="23">
        <f t="shared" ca="1" si="41"/>
        <v>174.83555555555554</v>
      </c>
      <c r="BA14" s="36">
        <f t="shared" si="25"/>
        <v>1583.1333333333332</v>
      </c>
      <c r="BB14" s="27">
        <f t="shared" ca="1" si="38"/>
        <v>1055.422222222222</v>
      </c>
      <c r="BC14" s="23">
        <f t="shared" ca="1" si="39"/>
        <v>-349.67111111111109</v>
      </c>
      <c r="BE14" s="50" t="s">
        <v>39</v>
      </c>
      <c r="BF14" s="48" t="s">
        <v>40</v>
      </c>
      <c r="BG14" s="49">
        <f>IF(WL_No="  ","  ",Mmid/AWP)</f>
        <v>-0.76103191976785589</v>
      </c>
    </row>
    <row r="15" spans="1:60" x14ac:dyDescent="0.25">
      <c r="A15" s="20">
        <f>Tools!$AD14</f>
        <v>9</v>
      </c>
      <c r="B15" s="33">
        <f t="shared" si="0"/>
        <v>11</v>
      </c>
      <c r="C15" s="22">
        <f>IF(A15="  ","  ",IF(AND(A14="  ",A16="  "),"?",IF(A14="  ",2*(A16-A15),IF(A16="  ",2*(A15-A14),2*(A16-A14)))))</f>
        <v>4</v>
      </c>
      <c r="D15" s="23">
        <f t="shared" si="26"/>
        <v>44</v>
      </c>
      <c r="E15" s="24">
        <f t="shared" si="1"/>
        <v>-1</v>
      </c>
      <c r="F15" s="23">
        <f t="shared" si="27"/>
        <v>-44</v>
      </c>
      <c r="G15" s="23">
        <f t="shared" si="28"/>
        <v>44</v>
      </c>
      <c r="H15" s="23">
        <f t="shared" si="29"/>
        <v>1331</v>
      </c>
      <c r="I15" s="23">
        <f t="shared" si="30"/>
        <v>5324</v>
      </c>
      <c r="J15" s="4"/>
      <c r="K15" s="37">
        <f t="shared" si="2"/>
        <v>262.57333333333332</v>
      </c>
      <c r="L15" s="23">
        <f t="shared" si="31"/>
        <v>1050.2933333333333</v>
      </c>
      <c r="M15" s="38">
        <f t="shared" si="3"/>
        <v>1583.3266666666666</v>
      </c>
      <c r="N15" s="27">
        <f t="shared" si="32"/>
        <v>6333.3066666666664</v>
      </c>
      <c r="O15" s="23">
        <f t="shared" si="33"/>
        <v>-1050.2933333333333</v>
      </c>
      <c r="P15" s="4"/>
      <c r="Q15" s="51" t="s">
        <v>44</v>
      </c>
      <c r="R15" s="48" t="s">
        <v>45</v>
      </c>
      <c r="S15">
        <f>IF(Tools!$L$49="Use 141 rule only",I39,IF(Tools!$L$49="Use 141 and 1331 rules",BG16," "))</f>
        <v>103870.34522999333</v>
      </c>
      <c r="W15" s="29">
        <f>IF(AO15="  ","  ",IF(AND(AO14="  ",AO16="  "),"?",IF(AO14="  ",2*(AO16-AO15),IF(AO16="  ",2*(AO15-AO14),2*(AO16-AO14)))))</f>
        <v>4</v>
      </c>
      <c r="X15" s="30" t="str">
        <f t="shared" si="4"/>
        <v>WW</v>
      </c>
      <c r="Y15" s="30" t="str">
        <f t="shared" si="5"/>
        <v>-</v>
      </c>
      <c r="Z15" s="29" t="b">
        <f t="shared" si="6"/>
        <v>0</v>
      </c>
      <c r="AA15" s="29" t="b">
        <f t="shared" si="7"/>
        <v>0</v>
      </c>
      <c r="AB15" s="29" t="str">
        <f t="shared" ca="1" si="8"/>
        <v>++</v>
      </c>
      <c r="AC15" s="29">
        <f t="shared" si="34"/>
        <v>12</v>
      </c>
      <c r="AD15" s="29">
        <f t="shared" ca="1" si="9"/>
        <v>12</v>
      </c>
      <c r="AE15" s="29">
        <v>12</v>
      </c>
      <c r="AF15" s="31">
        <f t="shared" si="42"/>
        <v>8</v>
      </c>
      <c r="AG15" s="29" t="b">
        <f t="shared" si="11"/>
        <v>1</v>
      </c>
      <c r="AH15" s="30" t="str">
        <f t="shared" ref="AH15:AH28" ca="1" si="43">IF(AND(AG15=TRUE,$AH$1=1),"141-4",IF(AG15=" ",IF(AND($AH$1=2,AF15=3),"141-1","-"),IF(OR(AG15=FALSE,AG15=" "),"-",IF(AG15=TRUE,IF(AND($AH$1=2,AF15=1),"141-1",IF(AND($AH$1=2,AF15=2),"141-4",IF(OR(ISODD($AH$1),AF15&gt;4),IF(AF15=1,"141-1",IF(OR(AB15="141-1",AB15="1331-1",AB15="1331-1,141-1"),"141-1",IF(AG16=" ","141-1",IF(OR(AH14="141-1",AH14="141-2",AH14="1331-1,141-1"),"141-4",IF(AH14="141-4","141-2","$$"))))),IF(ISEVEN($AH$1),IF(AF15=1,"1331-1",IF(OR(AF15=2,AF15=3),"1331-3",IF(AF15=4,IF($AH$1=4,"1331-1","1331-1,141-1"),"")))))))))))</f>
        <v>141-4</v>
      </c>
      <c r="AI15" s="30" t="str">
        <f t="shared" ca="1" si="13"/>
        <v/>
      </c>
      <c r="AJ15" s="29">
        <f t="shared" ca="1" si="14"/>
        <v>0</v>
      </c>
      <c r="AK15" s="29" t="str">
        <f t="shared" ca="1" si="15"/>
        <v>4/3</v>
      </c>
      <c r="AL15" s="29">
        <f t="shared" ca="1" si="16"/>
        <v>1.3333333333333333</v>
      </c>
      <c r="AM15" s="32">
        <f t="shared" ca="1" si="35"/>
        <v>1.3333333333333333</v>
      </c>
      <c r="AO15" s="20">
        <f>Tools!$AD14</f>
        <v>9</v>
      </c>
      <c r="AP15" s="33">
        <f t="shared" si="36"/>
        <v>11</v>
      </c>
      <c r="AQ15" s="34" t="str">
        <f t="shared" ca="1" si="18"/>
        <v>4/3</v>
      </c>
      <c r="AR15" s="23">
        <f t="shared" ca="1" si="19"/>
        <v>14.666666666666666</v>
      </c>
      <c r="AS15" s="24">
        <f t="shared" si="20"/>
        <v>-1</v>
      </c>
      <c r="AT15" s="23">
        <f t="shared" ca="1" si="37"/>
        <v>-14.666666666666666</v>
      </c>
      <c r="AU15" s="23">
        <f t="shared" ca="1" si="40"/>
        <v>14.666666666666666</v>
      </c>
      <c r="AV15" s="23">
        <f t="shared" si="21"/>
        <v>1331</v>
      </c>
      <c r="AW15" s="23">
        <f t="shared" ca="1" si="22"/>
        <v>1774.6666666666665</v>
      </c>
      <c r="AY15" s="35">
        <f t="shared" si="23"/>
        <v>262.57333333333332</v>
      </c>
      <c r="AZ15" s="23">
        <f t="shared" ca="1" si="41"/>
        <v>350.09777777777776</v>
      </c>
      <c r="BA15" s="36">
        <f t="shared" si="25"/>
        <v>1583.3266666666666</v>
      </c>
      <c r="BB15" s="27">
        <f ca="1">IFERROR(BA15*AM15,"  ")</f>
        <v>2111.1022222222218</v>
      </c>
      <c r="BC15" s="23">
        <f t="shared" ca="1" si="39"/>
        <v>-350.09777777777776</v>
      </c>
      <c r="BE15" s="50" t="s">
        <v>42</v>
      </c>
      <c r="BF15" s="48" t="s">
        <v>46</v>
      </c>
      <c r="BG15" s="49">
        <f ca="1">IF(WL_No="  ","  ",2*(h^3)*$AU$29)</f>
        <v>4244485.2530372795</v>
      </c>
    </row>
    <row r="16" spans="1:60" x14ac:dyDescent="0.25">
      <c r="A16" s="20">
        <f>Tools!$AD15</f>
        <v>10</v>
      </c>
      <c r="B16" s="33">
        <f t="shared" si="0"/>
        <v>11</v>
      </c>
      <c r="C16" s="22">
        <f>IF(A16="  ","  ",IF(AND(A15="  ",A17="  "),"?",IF(A15="  ",1*(A17-A16),IF(A17="  ",1*(A16-A15),1*(A17-A15)))))</f>
        <v>2</v>
      </c>
      <c r="D16" s="23">
        <f t="shared" si="26"/>
        <v>22</v>
      </c>
      <c r="E16" s="24">
        <f t="shared" si="1"/>
        <v>0</v>
      </c>
      <c r="F16" s="23">
        <f t="shared" si="27"/>
        <v>0</v>
      </c>
      <c r="G16" s="23">
        <f t="shared" si="28"/>
        <v>0</v>
      </c>
      <c r="H16" s="23">
        <f t="shared" si="29"/>
        <v>1331</v>
      </c>
      <c r="I16" s="23">
        <f t="shared" si="30"/>
        <v>2662</v>
      </c>
      <c r="J16" s="4"/>
      <c r="K16" s="37">
        <f t="shared" si="2"/>
        <v>262.57333333333332</v>
      </c>
      <c r="L16" s="23">
        <f t="shared" si="31"/>
        <v>525.14666666666665</v>
      </c>
      <c r="M16" s="38">
        <f t="shared" si="3"/>
        <v>1583.3266666666666</v>
      </c>
      <c r="N16" s="27">
        <f t="shared" si="32"/>
        <v>3166.6533333333332</v>
      </c>
      <c r="O16" s="23">
        <f t="shared" si="33"/>
        <v>0</v>
      </c>
      <c r="P16" s="4"/>
      <c r="Q16" s="50" t="s">
        <v>47</v>
      </c>
      <c r="R16" s="48" t="s">
        <v>48</v>
      </c>
      <c r="S16">
        <f>IF(Tools!$L$49="Use 141 rule only",I40,IF(Tools!$L$49="Use 141 and 1331 rules",BG17," "))</f>
        <v>4242821.9900065716</v>
      </c>
      <c r="W16" s="29">
        <f>IF(AO16="  ","  ",IF(AND(AO15="  ",AO17="  "),"?",IF(AO15="  ",1*(AO17-AO16),IF(AO17="  ",1*(AO16-AO15),1*(AO17-AO15)))))</f>
        <v>2</v>
      </c>
      <c r="X16" s="30" t="str">
        <f t="shared" si="4"/>
        <v>WW</v>
      </c>
      <c r="Y16" s="30" t="str">
        <f t="shared" si="5"/>
        <v>-</v>
      </c>
      <c r="Z16" s="29" t="b">
        <f t="shared" si="6"/>
        <v>0</v>
      </c>
      <c r="AA16" s="29" t="b">
        <f t="shared" si="7"/>
        <v>0</v>
      </c>
      <c r="AB16" s="29" t="str">
        <f t="shared" ca="1" si="8"/>
        <v>++</v>
      </c>
      <c r="AC16" s="29">
        <f t="shared" si="34"/>
        <v>13</v>
      </c>
      <c r="AD16" s="29">
        <f t="shared" ca="1" si="9"/>
        <v>13</v>
      </c>
      <c r="AE16" s="29">
        <v>13</v>
      </c>
      <c r="AF16" s="31">
        <f t="shared" si="42"/>
        <v>9</v>
      </c>
      <c r="AG16" s="29" t="b">
        <f t="shared" si="11"/>
        <v>1</v>
      </c>
      <c r="AH16" s="30" t="str">
        <f t="shared" ca="1" si="43"/>
        <v>141-2</v>
      </c>
      <c r="AI16" s="30" t="str">
        <f t="shared" ca="1" si="13"/>
        <v/>
      </c>
      <c r="AJ16" s="29">
        <f t="shared" ca="1" si="14"/>
        <v>0</v>
      </c>
      <c r="AK16" s="29" t="str">
        <f t="shared" ca="1" si="15"/>
        <v>2/3</v>
      </c>
      <c r="AL16" s="29">
        <f t="shared" ca="1" si="16"/>
        <v>0.66666666666666663</v>
      </c>
      <c r="AM16" s="32">
        <f t="shared" ca="1" si="35"/>
        <v>0.66666666666666663</v>
      </c>
      <c r="AO16" s="20">
        <f>Tools!$AD15</f>
        <v>10</v>
      </c>
      <c r="AP16" s="33">
        <f t="shared" si="36"/>
        <v>11</v>
      </c>
      <c r="AQ16" s="34" t="str">
        <f t="shared" ca="1" si="18"/>
        <v>2/3</v>
      </c>
      <c r="AR16" s="23">
        <f t="shared" ca="1" si="19"/>
        <v>7.333333333333333</v>
      </c>
      <c r="AS16" s="24">
        <f t="shared" si="20"/>
        <v>0</v>
      </c>
      <c r="AT16" s="23">
        <f t="shared" ca="1" si="37"/>
        <v>0</v>
      </c>
      <c r="AU16" s="23">
        <f t="shared" ca="1" si="40"/>
        <v>0</v>
      </c>
      <c r="AV16" s="23">
        <f t="shared" si="21"/>
        <v>1331</v>
      </c>
      <c r="AW16" s="23">
        <f t="shared" ca="1" si="22"/>
        <v>887.33333333333326</v>
      </c>
      <c r="AY16" s="35">
        <f t="shared" si="23"/>
        <v>262.57333333333332</v>
      </c>
      <c r="AZ16" s="23">
        <f t="shared" ca="1" si="41"/>
        <v>175.04888888888888</v>
      </c>
      <c r="BA16" s="36">
        <f t="shared" si="25"/>
        <v>1583.3266666666666</v>
      </c>
      <c r="BB16" s="27">
        <f t="shared" ca="1" si="38"/>
        <v>1055.5511111111109</v>
      </c>
      <c r="BC16" s="23">
        <f ca="1">IFERROR(AZ16*AS16,"  ")</f>
        <v>0</v>
      </c>
      <c r="BE16" s="51" t="s">
        <v>44</v>
      </c>
      <c r="BF16" s="48" t="s">
        <v>49</v>
      </c>
      <c r="BG16" s="49">
        <f ca="1">IF(WL_No="  ","  ",2/3*h*$AW$29)</f>
        <v>103870.34522999331</v>
      </c>
    </row>
    <row r="17" spans="1:59" x14ac:dyDescent="0.25">
      <c r="A17" s="20">
        <f>Tools!$AD16</f>
        <v>11</v>
      </c>
      <c r="B17" s="33">
        <f t="shared" si="0"/>
        <v>11</v>
      </c>
      <c r="C17" s="22">
        <f>IF(A17="  ","  ",IF(AND(A16="  ",A18="  "),"?",IF(A16="  ",2*(A18-A17),IF(A18="  ",2*(A17-A16),2*(A18-A16)))))</f>
        <v>4</v>
      </c>
      <c r="D17" s="23">
        <f t="shared" si="26"/>
        <v>44</v>
      </c>
      <c r="E17" s="24">
        <f t="shared" si="1"/>
        <v>1</v>
      </c>
      <c r="F17" s="23">
        <f t="shared" si="27"/>
        <v>44</v>
      </c>
      <c r="G17" s="23">
        <f t="shared" si="28"/>
        <v>44</v>
      </c>
      <c r="H17" s="23">
        <f t="shared" si="29"/>
        <v>1331</v>
      </c>
      <c r="I17" s="23">
        <f t="shared" si="30"/>
        <v>5324</v>
      </c>
      <c r="J17" s="4"/>
      <c r="K17" s="37">
        <f t="shared" si="2"/>
        <v>262.57333333333332</v>
      </c>
      <c r="L17" s="23">
        <f t="shared" si="31"/>
        <v>1050.2933333333333</v>
      </c>
      <c r="M17" s="38">
        <f t="shared" si="3"/>
        <v>1583.3266666666666</v>
      </c>
      <c r="N17" s="27">
        <f t="shared" si="32"/>
        <v>6333.3066666666664</v>
      </c>
      <c r="O17" s="23">
        <f t="shared" si="33"/>
        <v>1050.2933333333333</v>
      </c>
      <c r="P17" s="4"/>
      <c r="Q17" s="50" t="s">
        <v>50</v>
      </c>
      <c r="R17" s="48" t="s">
        <v>51</v>
      </c>
      <c r="S17">
        <f>IF(Tools!$L$49="Use 141 rule only",I41,IF(Tools!$L$49="Use 141 and 1331 rules",BG18," "))</f>
        <v>30853.612486444439</v>
      </c>
      <c r="W17" s="29">
        <f>IF(AO17="  ","  ",IF(AND(AO16="  ",AO18="  "),"?",IF(AO16="  ",2*(AO18-AO17),IF(AO18="  ",2*(AO17-AO16),2*(AO18-AO16)))))</f>
        <v>4</v>
      </c>
      <c r="X17" s="30" t="str">
        <f t="shared" si="4"/>
        <v>WW</v>
      </c>
      <c r="Y17" s="30" t="str">
        <f t="shared" si="5"/>
        <v>-</v>
      </c>
      <c r="Z17" s="29" t="b">
        <f t="shared" si="6"/>
        <v>0</v>
      </c>
      <c r="AA17" s="29" t="b">
        <f t="shared" si="7"/>
        <v>0</v>
      </c>
      <c r="AB17" s="29" t="str">
        <f t="shared" ca="1" si="8"/>
        <v>++</v>
      </c>
      <c r="AC17" s="29">
        <f t="shared" si="34"/>
        <v>12</v>
      </c>
      <c r="AD17" s="29">
        <f t="shared" ca="1" si="9"/>
        <v>12</v>
      </c>
      <c r="AE17" s="29">
        <v>14</v>
      </c>
      <c r="AF17" s="31">
        <f t="shared" si="42"/>
        <v>10</v>
      </c>
      <c r="AG17" s="29" t="b">
        <f t="shared" si="11"/>
        <v>1</v>
      </c>
      <c r="AH17" s="30" t="str">
        <f t="shared" ca="1" si="43"/>
        <v>141-4</v>
      </c>
      <c r="AI17" s="30" t="str">
        <f t="shared" ca="1" si="13"/>
        <v/>
      </c>
      <c r="AJ17" s="29">
        <f t="shared" ca="1" si="14"/>
        <v>0</v>
      </c>
      <c r="AK17" s="29" t="str">
        <f t="shared" ca="1" si="15"/>
        <v>4/3</v>
      </c>
      <c r="AL17" s="29">
        <f t="shared" ca="1" si="16"/>
        <v>1.3333333333333333</v>
      </c>
      <c r="AM17" s="32">
        <f t="shared" ca="1" si="35"/>
        <v>1.3333333333333333</v>
      </c>
      <c r="AO17" s="20">
        <f>Tools!$AD16</f>
        <v>11</v>
      </c>
      <c r="AP17" s="33">
        <f t="shared" si="36"/>
        <v>11</v>
      </c>
      <c r="AQ17" s="34" t="str">
        <f t="shared" ca="1" si="18"/>
        <v>4/3</v>
      </c>
      <c r="AR17" s="23">
        <f t="shared" ca="1" si="19"/>
        <v>14.666666666666666</v>
      </c>
      <c r="AS17" s="24">
        <f t="shared" si="20"/>
        <v>1</v>
      </c>
      <c r="AT17" s="23">
        <f t="shared" ca="1" si="37"/>
        <v>14.666666666666666</v>
      </c>
      <c r="AU17" s="23">
        <f t="shared" ca="1" si="40"/>
        <v>14.666666666666666</v>
      </c>
      <c r="AV17" s="23">
        <f t="shared" si="21"/>
        <v>1331</v>
      </c>
      <c r="AW17" s="23">
        <f t="shared" ca="1" si="22"/>
        <v>1774.6666666666665</v>
      </c>
      <c r="AY17" s="35">
        <f t="shared" si="23"/>
        <v>262.57333333333332</v>
      </c>
      <c r="AZ17" s="23">
        <f t="shared" ca="1" si="41"/>
        <v>350.09777777777776</v>
      </c>
      <c r="BA17" s="36">
        <f t="shared" si="25"/>
        <v>1583.3266666666666</v>
      </c>
      <c r="BB17" s="27">
        <f t="shared" ca="1" si="38"/>
        <v>2111.1022222222218</v>
      </c>
      <c r="BC17" s="23">
        <f t="shared" ca="1" si="39"/>
        <v>350.09777777777776</v>
      </c>
      <c r="BE17" s="50" t="s">
        <v>47</v>
      </c>
      <c r="BF17" s="48" t="s">
        <v>48</v>
      </c>
      <c r="BG17" s="49">
        <f>IF(WL_No="  ","  ",IL-AWP*(LCF^2))</f>
        <v>4242821.9900065716</v>
      </c>
    </row>
    <row r="18" spans="1:59" x14ac:dyDescent="0.25">
      <c r="A18" s="20">
        <f>Tools!$AD17</f>
        <v>12</v>
      </c>
      <c r="B18" s="33">
        <f t="shared" si="0"/>
        <v>11</v>
      </c>
      <c r="C18" s="22">
        <f>IF(A18="  ","  ",IF(AND(A17="  ",A19="  "),"?",IF(A17="  ",1*(A19-A18),IF(A19="  ",1*(A18-A17),1*(A19-A17)))))</f>
        <v>2</v>
      </c>
      <c r="D18" s="23">
        <f t="shared" si="26"/>
        <v>22</v>
      </c>
      <c r="E18" s="24">
        <f t="shared" si="1"/>
        <v>2</v>
      </c>
      <c r="F18" s="23">
        <f t="shared" si="27"/>
        <v>44</v>
      </c>
      <c r="G18" s="23">
        <f t="shared" si="28"/>
        <v>88</v>
      </c>
      <c r="H18" s="23">
        <f t="shared" si="29"/>
        <v>1331</v>
      </c>
      <c r="I18" s="23">
        <f t="shared" si="30"/>
        <v>2662</v>
      </c>
      <c r="J18" s="4"/>
      <c r="K18" s="37">
        <f t="shared" si="2"/>
        <v>262.57333333333332</v>
      </c>
      <c r="L18" s="23">
        <f t="shared" si="31"/>
        <v>525.14666666666665</v>
      </c>
      <c r="M18" s="38">
        <f t="shared" si="3"/>
        <v>1583.3266666666666</v>
      </c>
      <c r="N18" s="27">
        <f t="shared" si="32"/>
        <v>3166.6533333333332</v>
      </c>
      <c r="O18" s="23">
        <f t="shared" si="33"/>
        <v>1050.2933333333333</v>
      </c>
      <c r="P18" s="4"/>
      <c r="Q18" s="50" t="s">
        <v>52</v>
      </c>
      <c r="R18" s="48" t="s">
        <v>53</v>
      </c>
      <c r="S18">
        <f>IF(Tools!$L$49="Use 141 rule only",I42,IF(Tools!$L$49="Use 141 and 1331 rules",BG19," "))</f>
        <v>31814.702515397181</v>
      </c>
      <c r="W18" s="29">
        <f>IF(AO18="  ","  ",IF(AND(AO17="  ",AO19="  "),"?",IF(AO17="  ",1*(AO19-AO18),IF(AO19="  ",1*(AO18-AO17),1*(AO19-AO17)))))</f>
        <v>2</v>
      </c>
      <c r="X18" s="30" t="str">
        <f t="shared" si="4"/>
        <v>WW</v>
      </c>
      <c r="Y18" s="30" t="str">
        <f t="shared" si="5"/>
        <v>-</v>
      </c>
      <c r="Z18" s="29" t="b">
        <f t="shared" si="6"/>
        <v>0</v>
      </c>
      <c r="AA18" s="29" t="b">
        <f t="shared" si="7"/>
        <v>0</v>
      </c>
      <c r="AB18" s="29" t="str">
        <f t="shared" ca="1" si="8"/>
        <v>++</v>
      </c>
      <c r="AC18" s="29">
        <f t="shared" si="34"/>
        <v>11</v>
      </c>
      <c r="AD18" s="29">
        <f t="shared" ca="1" si="9"/>
        <v>11</v>
      </c>
      <c r="AE18" s="29">
        <v>15</v>
      </c>
      <c r="AF18" s="31">
        <f t="shared" si="42"/>
        <v>11</v>
      </c>
      <c r="AG18" s="29" t="b">
        <f t="shared" si="11"/>
        <v>1</v>
      </c>
      <c r="AH18" s="30" t="str">
        <f t="shared" ca="1" si="43"/>
        <v>141-2</v>
      </c>
      <c r="AI18" s="30" t="str">
        <f t="shared" ca="1" si="13"/>
        <v/>
      </c>
      <c r="AJ18" s="29">
        <f t="shared" ca="1" si="14"/>
        <v>0</v>
      </c>
      <c r="AK18" s="29" t="str">
        <f t="shared" ca="1" si="15"/>
        <v>2/3</v>
      </c>
      <c r="AL18" s="29">
        <f t="shared" ca="1" si="16"/>
        <v>0.66666666666666663</v>
      </c>
      <c r="AM18" s="32">
        <f t="shared" ca="1" si="35"/>
        <v>0.66666666666666663</v>
      </c>
      <c r="AO18" s="20">
        <f>Tools!$AD17</f>
        <v>12</v>
      </c>
      <c r="AP18" s="33">
        <f t="shared" si="36"/>
        <v>11</v>
      </c>
      <c r="AQ18" s="34" t="str">
        <f t="shared" ca="1" si="18"/>
        <v>2/3</v>
      </c>
      <c r="AR18" s="23">
        <f t="shared" ca="1" si="19"/>
        <v>7.333333333333333</v>
      </c>
      <c r="AS18" s="24">
        <f t="shared" si="20"/>
        <v>2</v>
      </c>
      <c r="AT18" s="23">
        <f t="shared" ca="1" si="37"/>
        <v>14.666666666666666</v>
      </c>
      <c r="AU18" s="23">
        <f t="shared" ca="1" si="40"/>
        <v>29.333333333333332</v>
      </c>
      <c r="AV18" s="23">
        <f t="shared" si="21"/>
        <v>1331</v>
      </c>
      <c r="AW18" s="23">
        <f t="shared" ca="1" si="22"/>
        <v>887.33333333333326</v>
      </c>
      <c r="AY18" s="35">
        <f t="shared" si="23"/>
        <v>262.57333333333332</v>
      </c>
      <c r="AZ18" s="23">
        <f t="shared" ca="1" si="41"/>
        <v>175.04888888888888</v>
      </c>
      <c r="BA18" s="36">
        <f t="shared" si="25"/>
        <v>1583.3266666666666</v>
      </c>
      <c r="BB18" s="27">
        <f t="shared" ca="1" si="38"/>
        <v>1055.5511111111109</v>
      </c>
      <c r="BC18" s="23">
        <f t="shared" ca="1" si="39"/>
        <v>350.09777777777776</v>
      </c>
      <c r="BE18" s="50" t="s">
        <v>50</v>
      </c>
      <c r="BF18" s="48" t="s">
        <v>54</v>
      </c>
      <c r="BG18" s="49">
        <f ca="1">IF(WL_No="  ","  ",h*$AZ$29)</f>
        <v>30853.612486444443</v>
      </c>
    </row>
    <row r="19" spans="1:59" x14ac:dyDescent="0.25">
      <c r="A19" s="20">
        <f>Tools!$AD18</f>
        <v>13</v>
      </c>
      <c r="B19" s="33">
        <f t="shared" si="0"/>
        <v>11</v>
      </c>
      <c r="C19" s="22">
        <f>IF(A19="  ","  ",IF(AND(A18="  ",A20="  "),"?",IF(A18="  ",2*(A20-A19),IF(A20="  ",2*(A19-A18),2*(A20-A18)))))</f>
        <v>4</v>
      </c>
      <c r="D19" s="23">
        <f t="shared" si="26"/>
        <v>44</v>
      </c>
      <c r="E19" s="24">
        <f t="shared" si="1"/>
        <v>3</v>
      </c>
      <c r="F19" s="23">
        <f t="shared" si="27"/>
        <v>132</v>
      </c>
      <c r="G19" s="23">
        <f t="shared" si="28"/>
        <v>396</v>
      </c>
      <c r="H19" s="23">
        <f t="shared" si="29"/>
        <v>1331</v>
      </c>
      <c r="I19" s="23">
        <f t="shared" si="30"/>
        <v>5324</v>
      </c>
      <c r="J19" s="4"/>
      <c r="K19" s="37">
        <f t="shared" si="2"/>
        <v>262.57333333333332</v>
      </c>
      <c r="L19" s="23">
        <f t="shared" si="31"/>
        <v>1050.2933333333333</v>
      </c>
      <c r="M19" s="38">
        <f t="shared" si="3"/>
        <v>1583.3266666666666</v>
      </c>
      <c r="N19" s="27">
        <f t="shared" si="32"/>
        <v>6333.3066666666664</v>
      </c>
      <c r="O19" s="23">
        <f t="shared" si="33"/>
        <v>3150.88</v>
      </c>
      <c r="P19" s="4"/>
      <c r="Q19" s="50" t="s">
        <v>55</v>
      </c>
      <c r="R19" s="48" t="s">
        <v>56</v>
      </c>
      <c r="S19">
        <f>IF(Tools!$L$49="Use 141 rule only",I43,IF(Tools!$L$49="Use 141 and 1331 rules",BG20," "))</f>
        <v>193851.63787022224</v>
      </c>
      <c r="W19" s="29">
        <f>IF(AO19="  ","  ",IF(AND(AO18="  ",AO20="  "),"?",IF(AO18="  ",2*(AO20-AO19),IF(AO20="  ",2*(AO19-AO18),2*(AO20-AO18)))))</f>
        <v>4</v>
      </c>
      <c r="X19" s="30" t="str">
        <f t="shared" si="4"/>
        <v>WW</v>
      </c>
      <c r="Y19" s="30" t="str">
        <f t="shared" si="5"/>
        <v>-</v>
      </c>
      <c r="Z19" s="29" t="b">
        <f t="shared" si="6"/>
        <v>0</v>
      </c>
      <c r="AA19" s="29" t="b">
        <f t="shared" si="7"/>
        <v>0</v>
      </c>
      <c r="AB19" s="29" t="str">
        <f t="shared" ca="1" si="8"/>
        <v>++</v>
      </c>
      <c r="AC19" s="29">
        <f t="shared" si="34"/>
        <v>10</v>
      </c>
      <c r="AD19" s="29">
        <f t="shared" ca="1" si="9"/>
        <v>10</v>
      </c>
      <c r="AE19" s="29">
        <v>16</v>
      </c>
      <c r="AF19" s="31">
        <f t="shared" si="42"/>
        <v>12</v>
      </c>
      <c r="AG19" s="29" t="b">
        <f t="shared" si="11"/>
        <v>1</v>
      </c>
      <c r="AH19" s="30" t="str">
        <f t="shared" ca="1" si="43"/>
        <v>141-4</v>
      </c>
      <c r="AI19" s="30" t="str">
        <f t="shared" ca="1" si="13"/>
        <v/>
      </c>
      <c r="AJ19" s="29">
        <f t="shared" ca="1" si="14"/>
        <v>0</v>
      </c>
      <c r="AK19" s="29" t="str">
        <f t="shared" ca="1" si="15"/>
        <v>4/3</v>
      </c>
      <c r="AL19" s="29">
        <f t="shared" ca="1" si="16"/>
        <v>1.3333333333333333</v>
      </c>
      <c r="AM19" s="32">
        <f t="shared" ca="1" si="35"/>
        <v>1.3333333333333333</v>
      </c>
      <c r="AO19" s="20">
        <f>Tools!$AD18</f>
        <v>13</v>
      </c>
      <c r="AP19" s="33">
        <f t="shared" si="36"/>
        <v>11</v>
      </c>
      <c r="AQ19" s="34" t="str">
        <f t="shared" ca="1" si="18"/>
        <v>4/3</v>
      </c>
      <c r="AR19" s="23">
        <f t="shared" ca="1" si="19"/>
        <v>14.666666666666666</v>
      </c>
      <c r="AS19" s="24">
        <f t="shared" si="20"/>
        <v>3</v>
      </c>
      <c r="AT19" s="23">
        <f t="shared" ca="1" si="37"/>
        <v>44</v>
      </c>
      <c r="AU19" s="23">
        <f t="shared" ca="1" si="40"/>
        <v>132</v>
      </c>
      <c r="AV19" s="23">
        <f t="shared" si="21"/>
        <v>1331</v>
      </c>
      <c r="AW19" s="23">
        <f t="shared" ca="1" si="22"/>
        <v>1774.6666666666665</v>
      </c>
      <c r="AY19" s="35">
        <f t="shared" si="23"/>
        <v>262.57333333333332</v>
      </c>
      <c r="AZ19" s="23">
        <f t="shared" ca="1" si="41"/>
        <v>350.09777777777776</v>
      </c>
      <c r="BA19" s="36">
        <f t="shared" si="25"/>
        <v>1583.3266666666666</v>
      </c>
      <c r="BB19" s="27">
        <f t="shared" ca="1" si="38"/>
        <v>2111.1022222222218</v>
      </c>
      <c r="BC19" s="23">
        <f t="shared" ca="1" si="39"/>
        <v>1050.2933333333333</v>
      </c>
      <c r="BE19" s="50" t="s">
        <v>52</v>
      </c>
      <c r="BF19" s="48" t="s">
        <v>53</v>
      </c>
      <c r="BG19" s="49">
        <f>IF(WL_No="  ","  ",V_Disp*1.025*1.006)</f>
        <v>31814.702515397181</v>
      </c>
    </row>
    <row r="20" spans="1:59" x14ac:dyDescent="0.25">
      <c r="A20" s="20">
        <f>Tools!$AD19</f>
        <v>14</v>
      </c>
      <c r="B20" s="33">
        <f t="shared" si="0"/>
        <v>11</v>
      </c>
      <c r="C20" s="22">
        <f>IF(A20="  ","  ",IF(AND(A19="  ",A21="  "),"?",IF(A19="  ",1*(A21-A20),IF(A21="  ",1*(A20-A19),1*(A21-A19)))))</f>
        <v>2</v>
      </c>
      <c r="D20" s="23">
        <f t="shared" si="26"/>
        <v>22</v>
      </c>
      <c r="E20" s="24">
        <f t="shared" si="1"/>
        <v>4</v>
      </c>
      <c r="F20" s="23">
        <f t="shared" si="27"/>
        <v>88</v>
      </c>
      <c r="G20" s="23">
        <f t="shared" si="28"/>
        <v>352</v>
      </c>
      <c r="H20" s="23">
        <f t="shared" si="29"/>
        <v>1331</v>
      </c>
      <c r="I20" s="23">
        <f t="shared" si="30"/>
        <v>2662</v>
      </c>
      <c r="J20" s="4"/>
      <c r="K20" s="37">
        <f t="shared" si="2"/>
        <v>262.19333333333333</v>
      </c>
      <c r="L20" s="23">
        <f t="shared" si="31"/>
        <v>524.38666666666666</v>
      </c>
      <c r="M20" s="38">
        <f t="shared" si="3"/>
        <v>1583.06</v>
      </c>
      <c r="N20" s="27">
        <f t="shared" si="32"/>
        <v>3166.12</v>
      </c>
      <c r="O20" s="23">
        <f t="shared" si="33"/>
        <v>2097.5466666666666</v>
      </c>
      <c r="P20" s="4"/>
      <c r="Q20" s="50" t="s">
        <v>57</v>
      </c>
      <c r="R20" s="48" t="s">
        <v>58</v>
      </c>
      <c r="S20">
        <f>IF(Tools!$L$49="Use 141 rule only",I44,IF(Tools!$L$49="Use 141 and 1331 rules",BG21," "))</f>
        <v>70490.041319977769</v>
      </c>
      <c r="W20" s="29">
        <f>IF(AO20="  ","  ",IF(AND(AO19="  ",AO21="  "),"?",IF(AO19="  ",1*(AO21-AO20),IF(AO21="  ",1*(AO20-AO19),1*(AO21-AO19)))))</f>
        <v>2</v>
      </c>
      <c r="X20" s="30" t="str">
        <f t="shared" si="4"/>
        <v>WW</v>
      </c>
      <c r="Y20" s="30" t="str">
        <f t="shared" si="5"/>
        <v>-</v>
      </c>
      <c r="Z20" s="29" t="b">
        <f t="shared" si="6"/>
        <v>0</v>
      </c>
      <c r="AA20" s="29" t="b">
        <f t="shared" si="7"/>
        <v>0</v>
      </c>
      <c r="AB20" s="29" t="str">
        <f t="shared" ca="1" si="8"/>
        <v>++</v>
      </c>
      <c r="AC20" s="29">
        <f t="shared" si="34"/>
        <v>9</v>
      </c>
      <c r="AD20" s="29">
        <f t="shared" ca="1" si="9"/>
        <v>9</v>
      </c>
      <c r="AE20" s="29">
        <v>17</v>
      </c>
      <c r="AF20" s="31">
        <f t="shared" si="42"/>
        <v>13</v>
      </c>
      <c r="AG20" s="29" t="b">
        <f t="shared" si="11"/>
        <v>1</v>
      </c>
      <c r="AH20" s="30" t="str">
        <f t="shared" ca="1" si="43"/>
        <v>141-2</v>
      </c>
      <c r="AI20" s="30" t="str">
        <f t="shared" ca="1" si="13"/>
        <v/>
      </c>
      <c r="AJ20" s="29">
        <f t="shared" ca="1" si="14"/>
        <v>0</v>
      </c>
      <c r="AK20" s="29" t="str">
        <f t="shared" ca="1" si="15"/>
        <v>2/3</v>
      </c>
      <c r="AL20" s="29">
        <f t="shared" ca="1" si="16"/>
        <v>0.66666666666666663</v>
      </c>
      <c r="AM20" s="32">
        <f t="shared" ca="1" si="35"/>
        <v>0.66666666666666663</v>
      </c>
      <c r="AO20" s="20">
        <f>Tools!$AD19</f>
        <v>14</v>
      </c>
      <c r="AP20" s="33">
        <f t="shared" si="36"/>
        <v>11</v>
      </c>
      <c r="AQ20" s="34" t="str">
        <f t="shared" ca="1" si="18"/>
        <v>2/3</v>
      </c>
      <c r="AR20" s="23">
        <f t="shared" ca="1" si="19"/>
        <v>7.333333333333333</v>
      </c>
      <c r="AS20" s="24">
        <f t="shared" si="20"/>
        <v>4</v>
      </c>
      <c r="AT20" s="23">
        <f t="shared" ca="1" si="37"/>
        <v>29.333333333333332</v>
      </c>
      <c r="AU20" s="23">
        <f t="shared" ca="1" si="40"/>
        <v>117.33333333333333</v>
      </c>
      <c r="AV20" s="23">
        <f t="shared" si="21"/>
        <v>1331</v>
      </c>
      <c r="AW20" s="23">
        <f t="shared" ca="1" si="22"/>
        <v>887.33333333333326</v>
      </c>
      <c r="AY20" s="35">
        <f t="shared" si="23"/>
        <v>262.19333333333333</v>
      </c>
      <c r="AZ20" s="23">
        <f t="shared" ca="1" si="41"/>
        <v>174.79555555555555</v>
      </c>
      <c r="BA20" s="36">
        <f t="shared" si="25"/>
        <v>1583.06</v>
      </c>
      <c r="BB20" s="27">
        <f t="shared" ca="1" si="38"/>
        <v>1055.3733333333332</v>
      </c>
      <c r="BC20" s="23">
        <f t="shared" ca="1" si="39"/>
        <v>699.18222222222221</v>
      </c>
      <c r="BE20" s="50" t="s">
        <v>55</v>
      </c>
      <c r="BF20" s="48" t="s">
        <v>59</v>
      </c>
      <c r="BG20" s="49">
        <f ca="1">IF(WL_No="  ","  ",h*$BB$29)</f>
        <v>193851.63787022218</v>
      </c>
    </row>
    <row r="21" spans="1:59" x14ac:dyDescent="0.25">
      <c r="A21" s="20">
        <f>Tools!$AD20</f>
        <v>15</v>
      </c>
      <c r="B21" s="33">
        <f t="shared" si="0"/>
        <v>11</v>
      </c>
      <c r="C21" s="22">
        <f>IF(A21="  ","  ",IF(AND(A20="  ",A22="  "),"?",IF(A20="  ",2*(A22-A21),IF(A22="  ",2*(A21-A20),2*(A22-A20)))))</f>
        <v>4</v>
      </c>
      <c r="D21" s="23">
        <f t="shared" si="26"/>
        <v>44</v>
      </c>
      <c r="E21" s="24">
        <f t="shared" si="1"/>
        <v>5</v>
      </c>
      <c r="F21" s="23">
        <f t="shared" si="27"/>
        <v>220</v>
      </c>
      <c r="G21" s="23">
        <f t="shared" si="28"/>
        <v>1100</v>
      </c>
      <c r="H21" s="23">
        <f t="shared" si="29"/>
        <v>1331</v>
      </c>
      <c r="I21" s="23">
        <f t="shared" si="30"/>
        <v>5324</v>
      </c>
      <c r="J21" s="4"/>
      <c r="K21" s="37">
        <f t="shared" si="2"/>
        <v>259.84666666666669</v>
      </c>
      <c r="L21" s="23">
        <f t="shared" si="31"/>
        <v>1039.3866666666668</v>
      </c>
      <c r="M21" s="38">
        <f t="shared" si="3"/>
        <v>1580.1399999999999</v>
      </c>
      <c r="N21" s="27">
        <f t="shared" si="32"/>
        <v>6320.5599999999995</v>
      </c>
      <c r="O21" s="23">
        <f t="shared" si="33"/>
        <v>5196.9333333333343</v>
      </c>
      <c r="P21" s="4"/>
      <c r="Q21" s="50" t="s">
        <v>60</v>
      </c>
      <c r="R21" s="48" t="s">
        <v>61</v>
      </c>
      <c r="S21">
        <f>IF(Tools!$L$49="Use 141 rule only",I45,IF(Tools!$L$49="Use 141 and 1331 rules",BG22," "))</f>
        <v>137.51459385414461</v>
      </c>
      <c r="W21" s="29">
        <f>IF(AO21="  ","  ",IF(AND(AO20="  ",AO22="  "),"?",IF(AO20="  ",2*(AO22-AO21),IF(AO22="  ",2*(AO21-AO20),2*(AO22-AO20)))))</f>
        <v>4</v>
      </c>
      <c r="X21" s="30" t="str">
        <f t="shared" si="4"/>
        <v>WW</v>
      </c>
      <c r="Y21" s="30" t="str">
        <f t="shared" si="5"/>
        <v>-</v>
      </c>
      <c r="Z21" s="29" t="b">
        <f t="shared" si="6"/>
        <v>0</v>
      </c>
      <c r="AA21" s="29" t="b">
        <f t="shared" si="7"/>
        <v>0</v>
      </c>
      <c r="AB21" s="29" t="str">
        <f t="shared" ca="1" si="8"/>
        <v>++</v>
      </c>
      <c r="AC21" s="29">
        <f t="shared" si="34"/>
        <v>8</v>
      </c>
      <c r="AD21" s="29">
        <f t="shared" ca="1" si="9"/>
        <v>8</v>
      </c>
      <c r="AE21" s="29">
        <v>18</v>
      </c>
      <c r="AF21" s="31">
        <f t="shared" si="42"/>
        <v>14</v>
      </c>
      <c r="AG21" s="29" t="b">
        <f t="shared" si="11"/>
        <v>1</v>
      </c>
      <c r="AH21" s="30" t="str">
        <f t="shared" ca="1" si="43"/>
        <v>141-4</v>
      </c>
      <c r="AI21" s="30" t="str">
        <f t="shared" ca="1" si="13"/>
        <v/>
      </c>
      <c r="AJ21" s="29">
        <f t="shared" ca="1" si="14"/>
        <v>0</v>
      </c>
      <c r="AK21" s="29" t="str">
        <f t="shared" ca="1" si="15"/>
        <v>4/3</v>
      </c>
      <c r="AL21" s="29">
        <f t="shared" ca="1" si="16"/>
        <v>1.3333333333333333</v>
      </c>
      <c r="AM21" s="32">
        <f t="shared" ca="1" si="35"/>
        <v>1.3333333333333333</v>
      </c>
      <c r="AO21" s="20">
        <f>Tools!$AD20</f>
        <v>15</v>
      </c>
      <c r="AP21" s="33">
        <f t="shared" si="36"/>
        <v>11</v>
      </c>
      <c r="AQ21" s="34" t="str">
        <f t="shared" ca="1" si="18"/>
        <v>4/3</v>
      </c>
      <c r="AR21" s="23">
        <f t="shared" ca="1" si="19"/>
        <v>14.666666666666666</v>
      </c>
      <c r="AS21" s="24">
        <f t="shared" si="20"/>
        <v>5</v>
      </c>
      <c r="AT21" s="23">
        <f t="shared" ca="1" si="37"/>
        <v>73.333333333333329</v>
      </c>
      <c r="AU21" s="23">
        <f t="shared" ca="1" si="40"/>
        <v>366.66666666666663</v>
      </c>
      <c r="AV21" s="23">
        <f t="shared" si="21"/>
        <v>1331</v>
      </c>
      <c r="AW21" s="23">
        <f t="shared" ca="1" si="22"/>
        <v>1774.6666666666665</v>
      </c>
      <c r="AY21" s="35">
        <f t="shared" si="23"/>
        <v>259.84666666666669</v>
      </c>
      <c r="AZ21" s="23">
        <f t="shared" ca="1" si="41"/>
        <v>346.46222222222224</v>
      </c>
      <c r="BA21" s="36">
        <f t="shared" si="25"/>
        <v>1580.1399999999999</v>
      </c>
      <c r="BB21" s="27">
        <f t="shared" ca="1" si="38"/>
        <v>2106.853333333333</v>
      </c>
      <c r="BC21" s="23">
        <f t="shared" ca="1" si="39"/>
        <v>1732.3111111111111</v>
      </c>
      <c r="BE21" s="50" t="s">
        <v>57</v>
      </c>
      <c r="BF21" s="48" t="s">
        <v>62</v>
      </c>
      <c r="BG21" s="49">
        <f ca="1">IF(WL_No="  ","  ",(h^2)*$BC$29)</f>
        <v>70490.041319977798</v>
      </c>
    </row>
    <row r="22" spans="1:59" x14ac:dyDescent="0.25">
      <c r="A22" s="20">
        <f>Tools!$AD21</f>
        <v>16</v>
      </c>
      <c r="B22" s="33">
        <f t="shared" si="0"/>
        <v>11</v>
      </c>
      <c r="C22" s="22">
        <f>IF(A22="  ","  ",IF(AND(A21="  ",A23="  "),"?",IF(A21="  ",1*(A23-A22),IF(A23="  ",1*(A22-A21),1*(A23-A21)))))</f>
        <v>2</v>
      </c>
      <c r="D22" s="23">
        <f t="shared" si="26"/>
        <v>22</v>
      </c>
      <c r="E22" s="24">
        <f t="shared" si="1"/>
        <v>6</v>
      </c>
      <c r="F22" s="23">
        <f t="shared" si="27"/>
        <v>132</v>
      </c>
      <c r="G22" s="23">
        <f t="shared" si="28"/>
        <v>792</v>
      </c>
      <c r="H22" s="23">
        <f t="shared" si="29"/>
        <v>1331</v>
      </c>
      <c r="I22" s="23">
        <f t="shared" si="30"/>
        <v>2662</v>
      </c>
      <c r="J22" s="4"/>
      <c r="K22" s="37">
        <f t="shared" si="2"/>
        <v>250.0333333333333</v>
      </c>
      <c r="L22" s="23">
        <f t="shared" si="31"/>
        <v>500.06666666666661</v>
      </c>
      <c r="M22" s="38">
        <f t="shared" si="3"/>
        <v>1547.2433333333333</v>
      </c>
      <c r="N22" s="27">
        <f t="shared" si="32"/>
        <v>3094.4866666666667</v>
      </c>
      <c r="O22" s="23">
        <f t="shared" si="33"/>
        <v>3000.3999999999996</v>
      </c>
      <c r="P22" s="4"/>
      <c r="Q22" s="50" t="s">
        <v>63</v>
      </c>
      <c r="R22" s="48" t="s">
        <v>64</v>
      </c>
      <c r="S22">
        <f>IF(Tools!$L$49="Use 141 rule only",I46,IF(Tools!$L$49="Use 141 and 1331 rules",BG23," "))</f>
        <v>3.3665537633762934</v>
      </c>
      <c r="W22" s="29">
        <f>IF(AO22="  ","  ",IF(AND(AO21="  ",AO23="  "),"?",IF(AO21="  ",1*(AO23-AO22),IF(AO23="  ",1*(AO22-AO21),1*(AO23-AO21)))))</f>
        <v>2</v>
      </c>
      <c r="X22" s="30" t="str">
        <f t="shared" si="4"/>
        <v>WW</v>
      </c>
      <c r="Y22" s="30" t="str">
        <f t="shared" si="5"/>
        <v>-</v>
      </c>
      <c r="Z22" s="29" t="b">
        <f t="shared" si="6"/>
        <v>0</v>
      </c>
      <c r="AA22" s="29" t="b">
        <f t="shared" si="7"/>
        <v>0</v>
      </c>
      <c r="AB22" s="29" t="str">
        <f t="shared" ca="1" si="8"/>
        <v>++</v>
      </c>
      <c r="AC22" s="29">
        <f t="shared" si="34"/>
        <v>7</v>
      </c>
      <c r="AD22" s="29">
        <f t="shared" ca="1" si="9"/>
        <v>7</v>
      </c>
      <c r="AE22" s="29">
        <v>19</v>
      </c>
      <c r="AF22" s="31">
        <f t="shared" si="42"/>
        <v>15</v>
      </c>
      <c r="AG22" s="29" t="b">
        <f t="shared" si="11"/>
        <v>1</v>
      </c>
      <c r="AH22" s="30" t="str">
        <f t="shared" ca="1" si="43"/>
        <v>141-2</v>
      </c>
      <c r="AI22" s="30" t="str">
        <f t="shared" ca="1" si="13"/>
        <v/>
      </c>
      <c r="AJ22" s="29">
        <f t="shared" ca="1" si="14"/>
        <v>0</v>
      </c>
      <c r="AK22" s="29" t="str">
        <f t="shared" ca="1" si="15"/>
        <v>2/3</v>
      </c>
      <c r="AL22" s="29">
        <f t="shared" ca="1" si="16"/>
        <v>0.66666666666666663</v>
      </c>
      <c r="AM22" s="32">
        <f t="shared" ca="1" si="35"/>
        <v>0.66666666666666663</v>
      </c>
      <c r="AO22" s="20">
        <f>Tools!$AD21</f>
        <v>16</v>
      </c>
      <c r="AP22" s="33">
        <f t="shared" si="36"/>
        <v>11</v>
      </c>
      <c r="AQ22" s="34" t="str">
        <f t="shared" ca="1" si="18"/>
        <v>2/3</v>
      </c>
      <c r="AR22" s="23">
        <f t="shared" ca="1" si="19"/>
        <v>7.333333333333333</v>
      </c>
      <c r="AS22" s="24">
        <f t="shared" si="20"/>
        <v>6</v>
      </c>
      <c r="AT22" s="23">
        <f t="shared" ca="1" si="37"/>
        <v>44</v>
      </c>
      <c r="AU22" s="23">
        <f t="shared" ca="1" si="40"/>
        <v>264</v>
      </c>
      <c r="AV22" s="23">
        <f t="shared" si="21"/>
        <v>1331</v>
      </c>
      <c r="AW22" s="23">
        <f t="shared" ca="1" si="22"/>
        <v>887.33333333333326</v>
      </c>
      <c r="AY22" s="35">
        <f t="shared" si="23"/>
        <v>250.0333333333333</v>
      </c>
      <c r="AZ22" s="23">
        <f t="shared" ca="1" si="41"/>
        <v>166.68888888888887</v>
      </c>
      <c r="BA22" s="36">
        <f t="shared" si="25"/>
        <v>1547.2433333333333</v>
      </c>
      <c r="BB22" s="27">
        <f t="shared" ca="1" si="38"/>
        <v>1031.4955555555555</v>
      </c>
      <c r="BC22" s="23">
        <f t="shared" ca="1" si="39"/>
        <v>1000.1333333333332</v>
      </c>
      <c r="BE22" s="50" t="s">
        <v>60</v>
      </c>
      <c r="BF22" s="48" t="s">
        <v>61</v>
      </c>
      <c r="BG22" s="49">
        <f>IF(WL_No="  ","  ",IF/V_Disp)</f>
        <v>137.51459385414461</v>
      </c>
    </row>
    <row r="23" spans="1:59" x14ac:dyDescent="0.25">
      <c r="A23" s="20">
        <f>Tools!$AD22</f>
        <v>17</v>
      </c>
      <c r="B23" s="33">
        <f t="shared" si="0"/>
        <v>10.5</v>
      </c>
      <c r="C23" s="22">
        <f>IF(A23="  ","  ",IF(AND(A22="  ",A24="  "),"?",IF(A22="  ",2*(A24-A23),IF(A24="  ",2*(A23-A22),2*(A24-A22)))))</f>
        <v>4</v>
      </c>
      <c r="D23" s="23">
        <f t="shared" si="26"/>
        <v>42</v>
      </c>
      <c r="E23" s="24">
        <f t="shared" si="1"/>
        <v>7</v>
      </c>
      <c r="F23" s="23">
        <f t="shared" si="27"/>
        <v>294</v>
      </c>
      <c r="G23" s="23">
        <f t="shared" si="28"/>
        <v>2058</v>
      </c>
      <c r="H23" s="23">
        <f t="shared" si="29"/>
        <v>1157.625</v>
      </c>
      <c r="I23" s="23">
        <f t="shared" si="30"/>
        <v>4630.5</v>
      </c>
      <c r="J23" s="4"/>
      <c r="K23" s="37">
        <f t="shared" si="2"/>
        <v>224.79666666666665</v>
      </c>
      <c r="L23" s="23">
        <f t="shared" si="31"/>
        <v>899.18666666666661</v>
      </c>
      <c r="M23" s="38">
        <f t="shared" si="3"/>
        <v>1427.5366666666666</v>
      </c>
      <c r="N23" s="27">
        <f t="shared" si="32"/>
        <v>5710.1466666666665</v>
      </c>
      <c r="O23" s="23">
        <f t="shared" si="33"/>
        <v>6294.3066666666664</v>
      </c>
      <c r="P23" s="4"/>
      <c r="Q23" s="50" t="s">
        <v>65</v>
      </c>
      <c r="R23" s="48" t="s">
        <v>66</v>
      </c>
      <c r="S23">
        <f>IF(Tools!$L$49="Use 141 rule only",I47,IF(Tools!$L$49="Use 141 and 1331 rules",BG24," "))</f>
        <v>6.2829478381304984</v>
      </c>
      <c r="W23" s="29">
        <f>IF(AO23="  ","  ",IF(AND(AO22="  ",AO24="  "),"?",IF(AO22="  ",2*(AO24-AO23),IF(AO24="  ",2*(AO23-AO22),2*(AO24-AO22)))))</f>
        <v>4</v>
      </c>
      <c r="X23" s="30" t="str">
        <f t="shared" si="4"/>
        <v>WW</v>
      </c>
      <c r="Y23" s="30" t="str">
        <f t="shared" si="5"/>
        <v>-</v>
      </c>
      <c r="Z23" s="29" t="b">
        <f t="shared" si="6"/>
        <v>0</v>
      </c>
      <c r="AA23" s="29" t="b">
        <f t="shared" si="7"/>
        <v>0</v>
      </c>
      <c r="AB23" s="29" t="str">
        <f t="shared" ca="1" si="8"/>
        <v>++</v>
      </c>
      <c r="AC23" s="29">
        <f t="shared" si="34"/>
        <v>6</v>
      </c>
      <c r="AD23" s="29">
        <f t="shared" ca="1" si="9"/>
        <v>6</v>
      </c>
      <c r="AE23" s="29">
        <v>20</v>
      </c>
      <c r="AF23" s="31">
        <f t="shared" si="42"/>
        <v>16</v>
      </c>
      <c r="AG23" s="29" t="b">
        <f t="shared" si="11"/>
        <v>1</v>
      </c>
      <c r="AH23" s="30" t="str">
        <f t="shared" ca="1" si="43"/>
        <v>141-4</v>
      </c>
      <c r="AI23" s="30" t="str">
        <f t="shared" ca="1" si="13"/>
        <v/>
      </c>
      <c r="AJ23" s="29">
        <f t="shared" ca="1" si="14"/>
        <v>0</v>
      </c>
      <c r="AK23" s="29" t="str">
        <f t="shared" ca="1" si="15"/>
        <v>4/3</v>
      </c>
      <c r="AL23" s="29">
        <f t="shared" ca="1" si="16"/>
        <v>1.3333333333333333</v>
      </c>
      <c r="AM23" s="32">
        <f t="shared" ca="1" si="35"/>
        <v>1.3333333333333333</v>
      </c>
      <c r="AO23" s="20">
        <f>Tools!$AD22</f>
        <v>17</v>
      </c>
      <c r="AP23" s="33">
        <f t="shared" si="36"/>
        <v>10.5</v>
      </c>
      <c r="AQ23" s="34" t="str">
        <f t="shared" ca="1" si="18"/>
        <v>4/3</v>
      </c>
      <c r="AR23" s="23">
        <f t="shared" ca="1" si="19"/>
        <v>14</v>
      </c>
      <c r="AS23" s="24">
        <f t="shared" si="20"/>
        <v>7</v>
      </c>
      <c r="AT23" s="23">
        <f t="shared" ca="1" si="37"/>
        <v>98</v>
      </c>
      <c r="AU23" s="23">
        <f t="shared" ca="1" si="40"/>
        <v>686</v>
      </c>
      <c r="AV23" s="23">
        <f t="shared" si="21"/>
        <v>1157.625</v>
      </c>
      <c r="AW23" s="23">
        <f t="shared" ca="1" si="22"/>
        <v>1543.5</v>
      </c>
      <c r="AY23" s="35">
        <f t="shared" si="23"/>
        <v>224.79666666666665</v>
      </c>
      <c r="AZ23" s="23">
        <f t="shared" ca="1" si="41"/>
        <v>299.72888888888883</v>
      </c>
      <c r="BA23" s="36">
        <f t="shared" si="25"/>
        <v>1427.5366666666666</v>
      </c>
      <c r="BB23" s="27">
        <f t="shared" ca="1" si="38"/>
        <v>1903.382222222222</v>
      </c>
      <c r="BC23" s="23">
        <f t="shared" ca="1" si="39"/>
        <v>2098.1022222222218</v>
      </c>
      <c r="BE23" s="50" t="s">
        <v>63</v>
      </c>
      <c r="BF23" s="48" t="s">
        <v>64</v>
      </c>
      <c r="BG23" s="49">
        <f>IF(WL_No="  ","  ",IT/V_Disp)</f>
        <v>3.3665537633762934</v>
      </c>
    </row>
    <row r="24" spans="1:59" x14ac:dyDescent="0.25">
      <c r="A24" s="20">
        <f>Tools!$AD23</f>
        <v>18</v>
      </c>
      <c r="B24" s="33">
        <f t="shared" si="0"/>
        <v>8.92</v>
      </c>
      <c r="C24" s="22">
        <f>IF(A24="  ","  ",IF(AND(A23="  ",A25="  "),"?",IF(A23="  ",1*(A25-A24),IF(A25="  ",1*(A24-A23),1*(A25-A23)))))</f>
        <v>1.5</v>
      </c>
      <c r="D24" s="23">
        <f t="shared" si="26"/>
        <v>13.379999999999999</v>
      </c>
      <c r="E24" s="24">
        <f t="shared" si="1"/>
        <v>8</v>
      </c>
      <c r="F24" s="23">
        <f t="shared" si="27"/>
        <v>107.03999999999999</v>
      </c>
      <c r="G24" s="23">
        <f t="shared" si="28"/>
        <v>856.31999999999994</v>
      </c>
      <c r="H24" s="23">
        <f t="shared" si="29"/>
        <v>709.73228800000004</v>
      </c>
      <c r="I24" s="23">
        <f t="shared" si="30"/>
        <v>1064.598432</v>
      </c>
      <c r="J24" s="4"/>
      <c r="K24" s="37">
        <f t="shared" si="2"/>
        <v>175.34786666666668</v>
      </c>
      <c r="L24" s="23">
        <f t="shared" si="31"/>
        <v>263.02179999999998</v>
      </c>
      <c r="M24" s="38">
        <f t="shared" si="3"/>
        <v>1144.7229333333332</v>
      </c>
      <c r="N24" s="27">
        <f t="shared" si="32"/>
        <v>1717.0843999999997</v>
      </c>
      <c r="O24" s="23">
        <f t="shared" si="33"/>
        <v>2104.1743999999999</v>
      </c>
      <c r="P24" s="4"/>
      <c r="Q24" s="50" t="s">
        <v>67</v>
      </c>
      <c r="R24" s="48" t="s">
        <v>68</v>
      </c>
      <c r="S24">
        <f>IF(Tools!$L$49="Use 141 rule only",I48,IF(Tools!$L$49="Use 141 and 1331 rules",BG25," "))</f>
        <v>9.6495016015067918</v>
      </c>
      <c r="W24" s="29">
        <f>IF(AO24="  ","  ",IF(AND(AO23="  ",AO25="  "),"?",IF(AO23="  ",1*(AO25-AO24),IF(AO25="  ",1*(AO24-AO23),1*(AO25-AO23)))))</f>
        <v>1.5</v>
      </c>
      <c r="X24" s="30" t="str">
        <f t="shared" si="4"/>
        <v>WD</v>
      </c>
      <c r="Y24" s="30" t="str">
        <f t="shared" si="5"/>
        <v>-</v>
      </c>
      <c r="Z24" s="29" t="b">
        <f t="shared" si="6"/>
        <v>1</v>
      </c>
      <c r="AA24" s="29" t="b">
        <f t="shared" si="7"/>
        <v>1</v>
      </c>
      <c r="AB24" s="29" t="str">
        <f t="shared" ca="1" si="8"/>
        <v>141-1</v>
      </c>
      <c r="AC24" s="29">
        <f t="shared" si="34"/>
        <v>5</v>
      </c>
      <c r="AD24" s="29">
        <f t="shared" ca="1" si="9"/>
        <v>5</v>
      </c>
      <c r="AE24" s="29">
        <v>21</v>
      </c>
      <c r="AF24" s="31">
        <f t="shared" si="42"/>
        <v>17</v>
      </c>
      <c r="AG24" s="29" t="b">
        <f t="shared" si="11"/>
        <v>1</v>
      </c>
      <c r="AH24" s="30" t="str">
        <f t="shared" ca="1" si="43"/>
        <v>141-1</v>
      </c>
      <c r="AI24" s="30" t="str">
        <f t="shared" ca="1" si="13"/>
        <v>(1/2)*(1/3)</v>
      </c>
      <c r="AJ24" s="29">
        <f t="shared" ca="1" si="14"/>
        <v>0.16666666666666666</v>
      </c>
      <c r="AK24" s="29" t="str">
        <f t="shared" ca="1" si="15"/>
        <v>1/3</v>
      </c>
      <c r="AL24" s="29">
        <f t="shared" ca="1" si="16"/>
        <v>0.33333333333333331</v>
      </c>
      <c r="AM24" s="32">
        <f t="shared" ca="1" si="35"/>
        <v>0.5</v>
      </c>
      <c r="AO24" s="20">
        <f>Tools!$AD23</f>
        <v>18</v>
      </c>
      <c r="AP24" s="33">
        <f t="shared" si="36"/>
        <v>8.92</v>
      </c>
      <c r="AQ24" s="34" t="str">
        <f t="shared" ca="1" si="18"/>
        <v>(1/2)*(1/3)+1/3</v>
      </c>
      <c r="AR24" s="23">
        <f t="shared" ca="1" si="19"/>
        <v>4.46</v>
      </c>
      <c r="AS24" s="24">
        <f t="shared" si="20"/>
        <v>8</v>
      </c>
      <c r="AT24" s="23">
        <f t="shared" ca="1" si="37"/>
        <v>35.68</v>
      </c>
      <c r="AU24" s="23">
        <f t="shared" ca="1" si="40"/>
        <v>285.44</v>
      </c>
      <c r="AV24" s="23">
        <f t="shared" si="21"/>
        <v>709.73228800000004</v>
      </c>
      <c r="AW24" s="23">
        <f t="shared" ca="1" si="22"/>
        <v>354.86614400000002</v>
      </c>
      <c r="AY24" s="35">
        <f t="shared" si="23"/>
        <v>175.34786666666668</v>
      </c>
      <c r="AZ24" s="23">
        <f t="shared" ca="1" si="41"/>
        <v>87.673933333333338</v>
      </c>
      <c r="BA24" s="36">
        <f t="shared" si="25"/>
        <v>1144.7229333333332</v>
      </c>
      <c r="BB24" s="27">
        <f t="shared" ca="1" si="38"/>
        <v>572.36146666666662</v>
      </c>
      <c r="BC24" s="23">
        <f t="shared" ca="1" si="39"/>
        <v>701.3914666666667</v>
      </c>
      <c r="BE24" s="50" t="s">
        <v>65</v>
      </c>
      <c r="BF24" s="48" t="s">
        <v>66</v>
      </c>
      <c r="BG24" s="49">
        <f>IF(WL_No="  ","  ",MT/V_Disp)</f>
        <v>6.2829478381304984</v>
      </c>
    </row>
    <row r="25" spans="1:59" x14ac:dyDescent="0.25">
      <c r="A25" s="20">
        <f>Tools!$AD24</f>
        <v>18.5</v>
      </c>
      <c r="B25" s="33">
        <f t="shared" si="0"/>
        <v>7.5</v>
      </c>
      <c r="C25" s="22">
        <f>IF(A25="  ","  ",IF(AND(A24="  ",A26="  "),"?",IF(A24="  ",2*(A26-A25),IF(A26="  ",2*(A25-A24),2*(A26-A24)))))</f>
        <v>2</v>
      </c>
      <c r="D25" s="23">
        <f t="shared" si="26"/>
        <v>15</v>
      </c>
      <c r="E25" s="24">
        <f t="shared" si="1"/>
        <v>8.5</v>
      </c>
      <c r="F25" s="23">
        <f t="shared" si="27"/>
        <v>127.5</v>
      </c>
      <c r="G25" s="23">
        <f t="shared" si="28"/>
        <v>1083.75</v>
      </c>
      <c r="H25" s="23">
        <f t="shared" si="29"/>
        <v>421.875</v>
      </c>
      <c r="I25" s="23">
        <f t="shared" si="30"/>
        <v>843.75</v>
      </c>
      <c r="J25" s="4"/>
      <c r="K25" s="37">
        <f t="shared" si="2"/>
        <v>140.68333333333334</v>
      </c>
      <c r="L25" s="23">
        <f t="shared" si="31"/>
        <v>281.36666666666667</v>
      </c>
      <c r="M25" s="38">
        <f t="shared" si="3"/>
        <v>929.97333333333324</v>
      </c>
      <c r="N25" s="27">
        <f t="shared" si="32"/>
        <v>1859.9466666666665</v>
      </c>
      <c r="O25" s="23">
        <f t="shared" si="33"/>
        <v>2391.6166666666668</v>
      </c>
      <c r="P25" s="4"/>
      <c r="Q25" s="50" t="s">
        <v>69</v>
      </c>
      <c r="R25" s="48" t="s">
        <v>70</v>
      </c>
      <c r="S25">
        <f>IF(Tools!$L$49="Use 141 rule only",I49,IF(Tools!$L$49="Use 141 and 1331 rules",BG26," "))</f>
        <v>143.7975416922751</v>
      </c>
      <c r="W25" s="29">
        <f>IF(AO25="  ","  ",IF(AND(AO24="  ",AO26="  "),"?",IF(AO24="  ",2*(AO26-AO25),IF(AO26="  ",2*(AO25-AO24),2*(AO26-AO24)))))</f>
        <v>2</v>
      </c>
      <c r="X25" s="30" t="str">
        <f t="shared" si="4"/>
        <v>DD</v>
      </c>
      <c r="Y25" s="30" t="str">
        <f t="shared" si="5"/>
        <v>-</v>
      </c>
      <c r="Z25" s="29" t="b">
        <f t="shared" si="6"/>
        <v>1</v>
      </c>
      <c r="AA25" s="29" t="b">
        <f t="shared" si="7"/>
        <v>1</v>
      </c>
      <c r="AB25" s="29" t="str">
        <f t="shared" ca="1" si="8"/>
        <v>141-4</v>
      </c>
      <c r="AC25" s="29">
        <f t="shared" si="34"/>
        <v>4</v>
      </c>
      <c r="AD25" s="29">
        <f t="shared" ca="1" si="9"/>
        <v>4</v>
      </c>
      <c r="AE25" s="29">
        <v>22</v>
      </c>
      <c r="AF25" s="31">
        <f t="shared" si="42"/>
        <v>18</v>
      </c>
      <c r="AG25" s="29" t="b">
        <f t="shared" si="11"/>
        <v>0</v>
      </c>
      <c r="AH25" s="30" t="str">
        <f t="shared" si="43"/>
        <v>-</v>
      </c>
      <c r="AI25" s="30" t="str">
        <f t="shared" ca="1" si="13"/>
        <v>(1/2)*(4/3)</v>
      </c>
      <c r="AJ25" s="29">
        <f t="shared" ca="1" si="14"/>
        <v>0.66666666666666663</v>
      </c>
      <c r="AK25" s="29" t="str">
        <f t="shared" si="15"/>
        <v/>
      </c>
      <c r="AL25" s="29">
        <f t="shared" si="16"/>
        <v>0</v>
      </c>
      <c r="AM25" s="32">
        <f t="shared" ca="1" si="35"/>
        <v>0.66666666666666663</v>
      </c>
      <c r="AO25" s="20">
        <f>Tools!$AD24</f>
        <v>18.5</v>
      </c>
      <c r="AP25" s="33">
        <f t="shared" si="36"/>
        <v>7.5</v>
      </c>
      <c r="AQ25" s="34" t="str">
        <f t="shared" ca="1" si="18"/>
        <v>(1/2)*(4/3)</v>
      </c>
      <c r="AR25" s="23">
        <f t="shared" ca="1" si="19"/>
        <v>5</v>
      </c>
      <c r="AS25" s="24">
        <f t="shared" si="20"/>
        <v>8.5</v>
      </c>
      <c r="AT25" s="23">
        <f t="shared" ca="1" si="37"/>
        <v>42.5</v>
      </c>
      <c r="AU25" s="23">
        <f t="shared" ca="1" si="40"/>
        <v>361.25</v>
      </c>
      <c r="AV25" s="23">
        <f t="shared" si="21"/>
        <v>421.875</v>
      </c>
      <c r="AW25" s="23">
        <f t="shared" ca="1" si="22"/>
        <v>281.25</v>
      </c>
      <c r="AY25" s="35">
        <f t="shared" si="23"/>
        <v>140.68333333333334</v>
      </c>
      <c r="AZ25" s="23">
        <f t="shared" ca="1" si="41"/>
        <v>93.788888888888891</v>
      </c>
      <c r="BA25" s="36">
        <f t="shared" si="25"/>
        <v>929.97333333333324</v>
      </c>
      <c r="BB25" s="27">
        <f t="shared" ca="1" si="38"/>
        <v>619.98222222222216</v>
      </c>
      <c r="BC25" s="23">
        <f t="shared" ca="1" si="39"/>
        <v>797.20555555555552</v>
      </c>
      <c r="BE25" s="50" t="s">
        <v>67</v>
      </c>
      <c r="BF25" s="48" t="s">
        <v>68</v>
      </c>
      <c r="BG25" s="49">
        <f>IF(WL_No="  ","  ",KB+BMT)</f>
        <v>9.6495016015067918</v>
      </c>
    </row>
    <row r="26" spans="1:59" x14ac:dyDescent="0.25">
      <c r="A26" s="20">
        <f>Tools!$AD25</f>
        <v>19</v>
      </c>
      <c r="B26" s="33">
        <f t="shared" si="0"/>
        <v>5.59</v>
      </c>
      <c r="C26" s="22">
        <f>IF(A26="  ","  ",IF(AND(A25="  ",A27="  "),"?",IF(A25="  ",1*(A27-A26),IF(A27="  ",1*(A26-A25),1*(A27-A25)))))</f>
        <v>1</v>
      </c>
      <c r="D26" s="23">
        <f t="shared" si="26"/>
        <v>5.59</v>
      </c>
      <c r="E26" s="24">
        <f t="shared" si="1"/>
        <v>9</v>
      </c>
      <c r="F26" s="23">
        <f t="shared" si="27"/>
        <v>50.31</v>
      </c>
      <c r="G26" s="23">
        <f t="shared" si="28"/>
        <v>452.79</v>
      </c>
      <c r="H26" s="23">
        <f t="shared" si="29"/>
        <v>174.67687899999999</v>
      </c>
      <c r="I26" s="23">
        <f t="shared" si="30"/>
        <v>174.67687899999999</v>
      </c>
      <c r="J26" s="4"/>
      <c r="K26" s="37">
        <f t="shared" si="2"/>
        <v>100.09666666666666</v>
      </c>
      <c r="L26" s="23">
        <f t="shared" si="31"/>
        <v>100.09666666666666</v>
      </c>
      <c r="M26" s="38">
        <f t="shared" si="3"/>
        <v>664.51333333333321</v>
      </c>
      <c r="N26" s="27">
        <f t="shared" si="32"/>
        <v>664.51333333333321</v>
      </c>
      <c r="O26" s="23">
        <f t="shared" si="33"/>
        <v>900.87</v>
      </c>
      <c r="P26" s="4"/>
      <c r="Q26" s="50" t="s">
        <v>71</v>
      </c>
      <c r="R26" s="48" t="s">
        <v>72</v>
      </c>
      <c r="S26">
        <f>IF(Tools!$L$49="Use 141 rule only",I50,IF(Tools!$L$49="Use 141 and 1331 rules",BG27," "))</f>
        <v>29.436017649999993</v>
      </c>
      <c r="W26" s="29">
        <f>IF(AO26="  ","  ",IF(AND(AO25="  ",AO27="  "),"?",IF(AO25="  ",1*(AO27-AO26),IF(AO27="  ",1*(AO26-AO25),1*(AO27-AO25)))))</f>
        <v>1</v>
      </c>
      <c r="X26" s="30" t="str">
        <f t="shared" si="4"/>
        <v>DD</v>
      </c>
      <c r="Y26" s="30" t="str">
        <f t="shared" si="5"/>
        <v>-</v>
      </c>
      <c r="Z26" s="29" t="b">
        <f t="shared" si="6"/>
        <v>1</v>
      </c>
      <c r="AA26" s="29" t="b">
        <f t="shared" si="7"/>
        <v>1</v>
      </c>
      <c r="AB26" s="29" t="str">
        <f t="shared" ca="1" si="8"/>
        <v>141-2</v>
      </c>
      <c r="AC26" s="29">
        <f t="shared" si="34"/>
        <v>3</v>
      </c>
      <c r="AD26" s="29">
        <f t="shared" ca="1" si="9"/>
        <v>3</v>
      </c>
      <c r="AE26" s="29">
        <v>23</v>
      </c>
      <c r="AF26" s="31">
        <f t="shared" si="42"/>
        <v>19</v>
      </c>
      <c r="AG26" s="29" t="b">
        <f t="shared" si="11"/>
        <v>0</v>
      </c>
      <c r="AH26" s="30" t="str">
        <f t="shared" si="43"/>
        <v>-</v>
      </c>
      <c r="AI26" s="30" t="str">
        <f t="shared" ca="1" si="13"/>
        <v>(1/2)*(2/3)</v>
      </c>
      <c r="AJ26" s="29">
        <f t="shared" ca="1" si="14"/>
        <v>0.33333333333333331</v>
      </c>
      <c r="AK26" s="29" t="str">
        <f t="shared" si="15"/>
        <v/>
      </c>
      <c r="AL26" s="29">
        <f t="shared" si="16"/>
        <v>0</v>
      </c>
      <c r="AM26" s="32">
        <f t="shared" ca="1" si="35"/>
        <v>0.33333333333333331</v>
      </c>
      <c r="AO26" s="20">
        <f>Tools!$AD25</f>
        <v>19</v>
      </c>
      <c r="AP26" s="33">
        <f t="shared" si="36"/>
        <v>5.59</v>
      </c>
      <c r="AQ26" s="34" t="str">
        <f t="shared" ca="1" si="18"/>
        <v>(1/2)*(2/3)</v>
      </c>
      <c r="AR26" s="23">
        <f t="shared" ca="1" si="19"/>
        <v>1.8633333333333333</v>
      </c>
      <c r="AS26" s="24">
        <f t="shared" si="20"/>
        <v>9</v>
      </c>
      <c r="AT26" s="23">
        <f t="shared" ca="1" si="37"/>
        <v>16.77</v>
      </c>
      <c r="AU26" s="23">
        <f t="shared" ca="1" si="40"/>
        <v>150.93</v>
      </c>
      <c r="AV26" s="23">
        <f t="shared" si="21"/>
        <v>174.67687899999999</v>
      </c>
      <c r="AW26" s="23">
        <f t="shared" ca="1" si="22"/>
        <v>58.225626333333324</v>
      </c>
      <c r="AY26" s="35">
        <f t="shared" si="23"/>
        <v>100.09666666666666</v>
      </c>
      <c r="AZ26" s="23">
        <f t="shared" ca="1" si="41"/>
        <v>33.365555555555552</v>
      </c>
      <c r="BA26" s="36">
        <f t="shared" si="25"/>
        <v>664.51333333333321</v>
      </c>
      <c r="BB26" s="27">
        <f t="shared" ca="1" si="38"/>
        <v>221.5044444444444</v>
      </c>
      <c r="BC26" s="23">
        <f t="shared" ca="1" si="39"/>
        <v>300.28999999999996</v>
      </c>
      <c r="BE26" s="50" t="s">
        <v>69</v>
      </c>
      <c r="BF26" s="48" t="s">
        <v>70</v>
      </c>
      <c r="BG26" s="49">
        <f>IF(WL_No="  ","  ",KB+BML)</f>
        <v>143.7975416922751</v>
      </c>
    </row>
    <row r="27" spans="1:59" x14ac:dyDescent="0.25">
      <c r="A27" s="20">
        <f>Tools!$AD26</f>
        <v>19.5</v>
      </c>
      <c r="B27" s="33">
        <f t="shared" si="0"/>
        <v>3.19</v>
      </c>
      <c r="C27" s="22">
        <f>IF(A27="  ","  ",IF(AND(A26="  ",A28="  "),"?",IF(A26="  ",2*(A28-A27),IF(A28="  ",2*(A27-A26),2*(A28-A26)))))</f>
        <v>2</v>
      </c>
      <c r="D27" s="23">
        <f t="shared" si="26"/>
        <v>6.38</v>
      </c>
      <c r="E27" s="24">
        <f t="shared" si="1"/>
        <v>9.5</v>
      </c>
      <c r="F27" s="23">
        <f t="shared" si="27"/>
        <v>60.61</v>
      </c>
      <c r="G27" s="23">
        <f t="shared" si="28"/>
        <v>575.79499999999996</v>
      </c>
      <c r="H27" s="23">
        <f t="shared" si="29"/>
        <v>32.461759000000001</v>
      </c>
      <c r="I27" s="23">
        <f t="shared" si="30"/>
        <v>64.923518000000001</v>
      </c>
      <c r="J27" s="4"/>
      <c r="K27" s="37">
        <f t="shared" si="2"/>
        <v>56.133066666666664</v>
      </c>
      <c r="L27" s="23">
        <f t="shared" si="31"/>
        <v>112.26613333333333</v>
      </c>
      <c r="M27" s="38">
        <f t="shared" si="3"/>
        <v>360.19399999999996</v>
      </c>
      <c r="N27" s="27">
        <f t="shared" si="32"/>
        <v>720.38799999999992</v>
      </c>
      <c r="O27" s="23">
        <f t="shared" si="33"/>
        <v>1066.5282666666667</v>
      </c>
      <c r="P27" s="4"/>
      <c r="Q27" s="50" t="s">
        <v>73</v>
      </c>
      <c r="R27" s="48" t="s">
        <v>74</v>
      </c>
      <c r="S27">
        <f>IF(Tools!$L$49="Use 141 rule only",I51,IF(Tools!$L$49="Use 141 and 1331 rules",BG28," "))</f>
        <v>2.2846608756413089</v>
      </c>
      <c r="W27" s="29">
        <f>IF(AO27="  ","  ",IF(AND(AO26="  ",AO28="  "),"?",IF(AO26="  ",2*(AO28-AO27),IF(AO28="  ",2*(AO27-AO26),2*(AO28-AO26)))))</f>
        <v>2</v>
      </c>
      <c r="X27" s="30" t="str">
        <f t="shared" si="4"/>
        <v>DD</v>
      </c>
      <c r="Y27" s="30" t="str">
        <f t="shared" si="5"/>
        <v>-</v>
      </c>
      <c r="Z27" s="29" t="b">
        <f t="shared" si="6"/>
        <v>1</v>
      </c>
      <c r="AA27" s="29" t="b">
        <f t="shared" si="7"/>
        <v>1</v>
      </c>
      <c r="AB27" s="29" t="str">
        <f t="shared" ca="1" si="8"/>
        <v>141-4</v>
      </c>
      <c r="AC27" s="29">
        <f t="shared" si="34"/>
        <v>2</v>
      </c>
      <c r="AD27" s="29">
        <f t="shared" ca="1" si="9"/>
        <v>2</v>
      </c>
      <c r="AE27" s="29">
        <v>24</v>
      </c>
      <c r="AF27" s="31">
        <f t="shared" si="42"/>
        <v>20</v>
      </c>
      <c r="AG27" s="29" t="b">
        <f t="shared" si="11"/>
        <v>0</v>
      </c>
      <c r="AH27" s="30" t="str">
        <f t="shared" si="43"/>
        <v>-</v>
      </c>
      <c r="AI27" s="30" t="str">
        <f t="shared" ca="1" si="13"/>
        <v>(1/2)*(4/3)</v>
      </c>
      <c r="AJ27" s="29">
        <f t="shared" ca="1" si="14"/>
        <v>0.66666666666666663</v>
      </c>
      <c r="AK27" s="29" t="str">
        <f t="shared" si="15"/>
        <v/>
      </c>
      <c r="AL27" s="29">
        <f t="shared" si="16"/>
        <v>0</v>
      </c>
      <c r="AM27" s="32">
        <f t="shared" ca="1" si="35"/>
        <v>0.66666666666666663</v>
      </c>
      <c r="AO27" s="20">
        <f>Tools!$AD26</f>
        <v>19.5</v>
      </c>
      <c r="AP27" s="33">
        <f t="shared" ref="AP27:AP28" si="44">VLOOKUP(AO27,OFFSET_A,Count_WL+1,FALSE)</f>
        <v>3.19</v>
      </c>
      <c r="AQ27" s="34" t="str">
        <f t="shared" ca="1" si="18"/>
        <v>(1/2)*(4/3)</v>
      </c>
      <c r="AR27" s="23">
        <f t="shared" ca="1" si="19"/>
        <v>2.1266666666666665</v>
      </c>
      <c r="AS27" s="24">
        <f t="shared" si="20"/>
        <v>9.5</v>
      </c>
      <c r="AT27" s="23">
        <f t="shared" ca="1" si="37"/>
        <v>20.203333333333333</v>
      </c>
      <c r="AU27" s="23">
        <f t="shared" ca="1" si="40"/>
        <v>191.93166666666667</v>
      </c>
      <c r="AV27" s="23">
        <f t="shared" si="21"/>
        <v>32.461759000000001</v>
      </c>
      <c r="AW27" s="23">
        <f t="shared" ca="1" si="22"/>
        <v>21.641172666666666</v>
      </c>
      <c r="AY27" s="35">
        <f t="shared" si="23"/>
        <v>56.133066666666664</v>
      </c>
      <c r="AZ27" s="23">
        <f t="shared" ca="1" si="41"/>
        <v>37.422044444444438</v>
      </c>
      <c r="BA27" s="36">
        <f t="shared" si="25"/>
        <v>360.19399999999996</v>
      </c>
      <c r="BB27" s="27">
        <f t="shared" ca="1" si="38"/>
        <v>240.12933333333331</v>
      </c>
      <c r="BC27" s="23">
        <f t="shared" ca="1" si="39"/>
        <v>355.50942222222216</v>
      </c>
      <c r="BE27" s="50" t="s">
        <v>71</v>
      </c>
      <c r="BF27" s="48" t="s">
        <v>72</v>
      </c>
      <c r="BG27" s="49">
        <f>IF(WL_No="  ","  ",AWP*1.025/100)</f>
        <v>29.436017649999993</v>
      </c>
    </row>
    <row r="28" spans="1:59" ht="15.75" thickBot="1" x14ac:dyDescent="0.3">
      <c r="A28" s="20">
        <f>Tools!$AD27</f>
        <v>20</v>
      </c>
      <c r="B28" s="52">
        <f t="shared" si="0"/>
        <v>0.8</v>
      </c>
      <c r="C28" s="22">
        <f>IF(A28="  ","  ",IF(A27="  ","?",1*(A28-A27)))</f>
        <v>0.5</v>
      </c>
      <c r="D28" s="53">
        <f t="shared" si="26"/>
        <v>0.4</v>
      </c>
      <c r="E28" s="24">
        <f t="shared" si="1"/>
        <v>10</v>
      </c>
      <c r="F28" s="53">
        <f t="shared" si="27"/>
        <v>4</v>
      </c>
      <c r="G28" s="53">
        <f t="shared" si="28"/>
        <v>40</v>
      </c>
      <c r="H28" s="23">
        <f t="shared" si="29"/>
        <v>0.51200000000000012</v>
      </c>
      <c r="I28" s="53">
        <f t="shared" si="30"/>
        <v>0.25600000000000006</v>
      </c>
      <c r="J28" s="4"/>
      <c r="K28" s="35">
        <f t="shared" si="2"/>
        <v>15.286666666666667</v>
      </c>
      <c r="L28" s="53">
        <f t="shared" si="31"/>
        <v>7.6433333333333335</v>
      </c>
      <c r="M28" s="36">
        <f t="shared" si="3"/>
        <v>59.129999999999995</v>
      </c>
      <c r="N28" s="54">
        <f t="shared" si="32"/>
        <v>29.564999999999998</v>
      </c>
      <c r="O28" s="53">
        <f t="shared" si="33"/>
        <v>76.433333333333337</v>
      </c>
      <c r="P28" s="4"/>
      <c r="Q28" s="50" t="s">
        <v>75</v>
      </c>
      <c r="R28" s="55" t="s">
        <v>76</v>
      </c>
      <c r="S28">
        <f>IF(Tools!$L$49="Use 141 rule only",I52,IF(Tools!$L$49="Use 141 and 1331 rules",BG29," "))</f>
        <v>299.24664124454694</v>
      </c>
      <c r="W28" s="29">
        <f>IF(AO28="  ","  ",IF(AO27="  ","?",1*(AO28-AO27)))</f>
        <v>0.5</v>
      </c>
      <c r="X28" s="30" t="str">
        <f t="shared" si="4"/>
        <v>D-</v>
      </c>
      <c r="Y28" s="30" t="str">
        <f t="shared" si="5"/>
        <v>-</v>
      </c>
      <c r="Z28" s="29" t="b">
        <f t="shared" si="6"/>
        <v>1</v>
      </c>
      <c r="AA28" s="29" t="b">
        <f t="shared" si="7"/>
        <v>1</v>
      </c>
      <c r="AB28" s="29" t="str">
        <f t="shared" ca="1" si="8"/>
        <v>141-1</v>
      </c>
      <c r="AC28" s="29">
        <f>IF(ISNUMBER(AO28),IF(ISNUMBER(AO28),IF(OR(AO28=0,AO28=Long_Div),1,IF(AO28&gt;Long_Div/2,AF29+1,IF(AO28&lt;=Long_Div/2,AC27+1,"?")))," --")," ")</f>
        <v>1</v>
      </c>
      <c r="AD28" s="29">
        <f t="shared" ca="1" si="9"/>
        <v>1</v>
      </c>
      <c r="AE28" s="29">
        <v>25</v>
      </c>
      <c r="AF28" s="31">
        <f t="shared" si="42"/>
        <v>21</v>
      </c>
      <c r="AG28" s="29" t="b">
        <f t="shared" si="11"/>
        <v>0</v>
      </c>
      <c r="AH28" s="30" t="str">
        <f t="shared" si="43"/>
        <v>-</v>
      </c>
      <c r="AI28" s="30" t="str">
        <f t="shared" ca="1" si="13"/>
        <v>(1/2)*(1/3)</v>
      </c>
      <c r="AJ28" s="29">
        <f t="shared" ca="1" si="14"/>
        <v>0.16666666666666666</v>
      </c>
      <c r="AK28" s="29" t="str">
        <f t="shared" si="15"/>
        <v/>
      </c>
      <c r="AL28" s="29">
        <f t="shared" si="16"/>
        <v>0</v>
      </c>
      <c r="AM28" s="32">
        <f t="shared" ca="1" si="35"/>
        <v>0.16666666666666666</v>
      </c>
      <c r="AO28" s="20">
        <f>Tools!$AD27</f>
        <v>20</v>
      </c>
      <c r="AP28" s="33">
        <f t="shared" si="44"/>
        <v>0.8</v>
      </c>
      <c r="AQ28" s="34" t="str">
        <f t="shared" ca="1" si="18"/>
        <v>(1/2)*(1/3)</v>
      </c>
      <c r="AR28" s="23">
        <f t="shared" ca="1" si="19"/>
        <v>0.13333333333333333</v>
      </c>
      <c r="AS28" s="24">
        <f t="shared" si="20"/>
        <v>10</v>
      </c>
      <c r="AT28" s="53">
        <f t="shared" ca="1" si="37"/>
        <v>1.3333333333333333</v>
      </c>
      <c r="AU28" s="53">
        <f t="shared" ca="1" si="40"/>
        <v>13.333333333333332</v>
      </c>
      <c r="AV28" s="23">
        <f t="shared" si="21"/>
        <v>0.51200000000000012</v>
      </c>
      <c r="AW28" s="23">
        <f t="shared" ca="1" si="22"/>
        <v>8.5333333333333344E-2</v>
      </c>
      <c r="AY28" s="35">
        <f t="shared" si="23"/>
        <v>15.286666666666667</v>
      </c>
      <c r="AZ28" s="23">
        <f t="shared" ca="1" si="41"/>
        <v>2.5477777777777777</v>
      </c>
      <c r="BA28" s="36">
        <f t="shared" si="25"/>
        <v>59.129999999999995</v>
      </c>
      <c r="BB28" s="27">
        <f t="shared" ca="1" si="38"/>
        <v>9.8549999999999986</v>
      </c>
      <c r="BC28" s="53">
        <f t="shared" ca="1" si="39"/>
        <v>25.477777777777778</v>
      </c>
      <c r="BE28" s="50" t="s">
        <v>73</v>
      </c>
      <c r="BF28" s="48" t="s">
        <v>74</v>
      </c>
      <c r="BG28" s="49">
        <f>IF(WL_No="  ","  ",ML/V_Disp)</f>
        <v>2.2846608756413089</v>
      </c>
    </row>
    <row r="29" spans="1:59" ht="15.75" thickBot="1" x14ac:dyDescent="0.3">
      <c r="A29" s="56" t="s">
        <v>77</v>
      </c>
      <c r="B29" s="56"/>
      <c r="C29" s="56"/>
      <c r="D29" s="57">
        <f>SUM(D4:D28)</f>
        <v>589.29</v>
      </c>
      <c r="E29" s="42"/>
      <c r="F29" s="58">
        <f>SUM(F4:F28)</f>
        <v>-61.34999999999998</v>
      </c>
      <c r="G29" s="58">
        <f>SUM(G4:G28)</f>
        <v>16299.12</v>
      </c>
      <c r="H29" s="42"/>
      <c r="I29" s="58">
        <f>SUM(I4:I28)</f>
        <v>63942.072987</v>
      </c>
      <c r="J29" s="4"/>
      <c r="K29" s="42"/>
      <c r="L29" s="58">
        <f>SUM(L4:L28)</f>
        <v>12662.221266666666</v>
      </c>
      <c r="M29" s="42"/>
      <c r="N29" s="58">
        <f>SUM(N4:N28)</f>
        <v>79556.075733333346</v>
      </c>
      <c r="O29" s="58">
        <f>SUM(O4:O28)</f>
        <v>3957.4393333333333</v>
      </c>
      <c r="P29" s="4"/>
      <c r="Q29" s="50" t="s">
        <v>78</v>
      </c>
      <c r="R29" s="48" t="s">
        <v>79</v>
      </c>
      <c r="S29">
        <f>IF(Tools!$L$49="Use 141 rule only",I53,IF(Tools!$L$49="Use 141 and 1331 rules",BG30," "))</f>
        <v>12</v>
      </c>
      <c r="W29" s="56"/>
      <c r="X29" s="56"/>
      <c r="Y29" s="56"/>
      <c r="Z29" s="56"/>
      <c r="AA29" s="56"/>
      <c r="AB29" s="56"/>
      <c r="AC29" s="56"/>
      <c r="AD29" s="56"/>
      <c r="AE29" s="56"/>
      <c r="AF29" s="56"/>
      <c r="AG29" s="56"/>
      <c r="AH29" s="56"/>
      <c r="AI29" s="56"/>
      <c r="AJ29" s="56"/>
      <c r="AK29" s="56"/>
      <c r="AL29" s="56"/>
      <c r="AM29" s="56"/>
      <c r="AN29" s="56"/>
      <c r="AO29" s="56" t="s">
        <v>77</v>
      </c>
      <c r="AP29" s="56"/>
      <c r="AQ29" s="59"/>
      <c r="AR29" s="57">
        <f ca="1">SUM(AR4:AR28)</f>
        <v>196.43</v>
      </c>
      <c r="AS29" s="42"/>
      <c r="AT29" s="58">
        <f ca="1">SUM(AT4:AT28)</f>
        <v>-20.45</v>
      </c>
      <c r="AU29" s="58">
        <f ca="1">SUM(AU4:AU28)</f>
        <v>5433.04</v>
      </c>
      <c r="AV29" s="42"/>
      <c r="AW29" s="58">
        <f ca="1">SUM(AW4:AW28)</f>
        <v>21314.024328999996</v>
      </c>
      <c r="AY29" s="42"/>
      <c r="AZ29" s="58">
        <f ca="1">SUM(AZ4:AZ28)</f>
        <v>4220.7404222222222</v>
      </c>
      <c r="BA29" s="42"/>
      <c r="BB29" s="58">
        <f ca="1">SUM(BB4:BB28)</f>
        <v>26518.691911111106</v>
      </c>
      <c r="BC29" s="58">
        <f ca="1">SUM(BC4:BC28)</f>
        <v>1319.146444444445</v>
      </c>
      <c r="BE29" s="50" t="s">
        <v>75</v>
      </c>
      <c r="BF29" s="55" t="s">
        <v>76</v>
      </c>
      <c r="BG29" s="49">
        <f ca="1">IF(WL_No="  ","  ",M_Disp*BML/100/BG8)</f>
        <v>299.24664124454694</v>
      </c>
    </row>
    <row r="30" spans="1:59" x14ac:dyDescent="0.25">
      <c r="A30" s="15"/>
      <c r="B30" s="4"/>
      <c r="C30" s="4"/>
      <c r="D30" s="42"/>
      <c r="E30" s="4"/>
      <c r="F30" s="4"/>
      <c r="G30" s="4"/>
      <c r="H30" s="4"/>
      <c r="I30" s="4"/>
      <c r="J30" s="4"/>
      <c r="K30" s="4"/>
      <c r="L30" s="4"/>
      <c r="M30" s="4"/>
      <c r="N30" s="4"/>
      <c r="O30" s="4"/>
      <c r="P30" s="4"/>
      <c r="Q30" s="50" t="s">
        <v>80</v>
      </c>
      <c r="R30" s="48" t="s">
        <v>81</v>
      </c>
      <c r="S30">
        <f>IF(Tools!$L$49="Use 141 rule only",I54,IF(Tools!$L$49="Use 141 and 1331 rules",BG31," "))</f>
        <v>0.89286363636363641</v>
      </c>
      <c r="AA30" s="60"/>
      <c r="AB30" s="60"/>
      <c r="BE30" s="50" t="s">
        <v>78</v>
      </c>
      <c r="BF30" s="48" t="s">
        <v>79</v>
      </c>
      <c r="BG30" s="49">
        <f>IF(WL_No="  ","  ",WLS*WL_No)</f>
        <v>12</v>
      </c>
    </row>
    <row r="31" spans="1:59" x14ac:dyDescent="0.25">
      <c r="A31" s="15"/>
      <c r="B31" s="4"/>
      <c r="C31" s="4"/>
      <c r="D31" s="4"/>
      <c r="E31" s="4"/>
      <c r="F31" s="4"/>
      <c r="G31" s="4"/>
      <c r="H31" s="4"/>
      <c r="I31" s="4"/>
      <c r="J31" s="4"/>
      <c r="K31" s="4"/>
      <c r="L31" s="4"/>
      <c r="M31" s="4"/>
      <c r="N31" s="4"/>
      <c r="O31" s="4"/>
      <c r="P31" s="4"/>
      <c r="Q31" s="50" t="s">
        <v>82</v>
      </c>
      <c r="R31" s="48" t="s">
        <v>83</v>
      </c>
      <c r="S31">
        <f>IF(Tools!$L$49="Use 141 rule only",I55,IF(Tools!$L$49="Use 141 and 1331 rules",BG32," "))</f>
        <v>0.79938265572390566</v>
      </c>
      <c r="AF31" s="61" t="s">
        <v>84</v>
      </c>
      <c r="AG31" s="62">
        <f ca="1">COUNTIF(OFFSET(AQ4,,,ROUNDUP(Max_STN_count/2,0),1),"")</f>
        <v>0</v>
      </c>
      <c r="AH31" s="63">
        <f ca="1">HLOOKUP(Stn_WL,AREA_TABLE,AG31+2,FALSE)</f>
        <v>0</v>
      </c>
      <c r="AI31" s="63">
        <f ca="1">IF(AH31&gt;Long_Div/2,Long_Div/2,AH31)</f>
        <v>0</v>
      </c>
      <c r="AJ31" s="63">
        <f ca="1">AI31*STN_GAP</f>
        <v>0</v>
      </c>
      <c r="BE31" s="50" t="s">
        <v>80</v>
      </c>
      <c r="BF31" s="48" t="s">
        <v>81</v>
      </c>
      <c r="BG31" s="49">
        <f ca="1">IF(WL_No="  ","  ",AWP/(BG8*B_current))</f>
        <v>0.89286363636363641</v>
      </c>
    </row>
    <row r="32" spans="1:59" x14ac:dyDescent="0.25">
      <c r="A32" s="15"/>
      <c r="B32" s="4"/>
      <c r="C32" s="4"/>
      <c r="D32" s="4"/>
      <c r="E32" s="4"/>
      <c r="F32" s="4"/>
      <c r="G32" s="4"/>
      <c r="H32" s="4"/>
      <c r="I32" s="4"/>
      <c r="J32" s="64"/>
      <c r="K32" s="4"/>
      <c r="L32" s="4"/>
      <c r="M32" s="4"/>
      <c r="N32" s="4"/>
      <c r="O32" s="4"/>
      <c r="P32" s="4"/>
      <c r="Q32" s="50" t="s">
        <v>85</v>
      </c>
      <c r="R32" s="48" t="s">
        <v>86</v>
      </c>
      <c r="S32">
        <f>IF(Tools!$L$49="Use 141 rule only",I56,IF(Tools!$L$49="Use 141 and 1331 rules",BG33," "))</f>
        <v>0.99459595959595959</v>
      </c>
      <c r="AF32" s="61" t="s">
        <v>87</v>
      </c>
      <c r="AG32" s="62">
        <f ca="1">COUNTIF(OFFSET(AQ4,ROUNDUP(Max_STN_count/2,0),,ROUNDDOWN(Max_STN_count/2,0),1),"")</f>
        <v>0</v>
      </c>
      <c r="AH32" s="63">
        <f ca="1">HLOOKUP(Stn_WL,AREA_TABLE,AG32+2,FALSE)</f>
        <v>0</v>
      </c>
      <c r="AI32" s="63">
        <f ca="1">IF(AH32&gt;Long_Div/2,Long_Div/2,AH32)</f>
        <v>0</v>
      </c>
      <c r="AJ32" s="63">
        <f ca="1">AI32*STN_GAP</f>
        <v>0</v>
      </c>
      <c r="BE32" s="50" t="s">
        <v>82</v>
      </c>
      <c r="BF32" s="48" t="s">
        <v>83</v>
      </c>
      <c r="BG32" s="49">
        <f ca="1">IF(WL_No="  ","  ",V_Disp/(BG8*B_current*T))</f>
        <v>0.79938265572390566</v>
      </c>
    </row>
    <row r="33" spans="1:59" x14ac:dyDescent="0.25">
      <c r="A33" s="15"/>
      <c r="B33" s="4"/>
      <c r="C33" s="4"/>
      <c r="D33" s="4"/>
      <c r="E33" s="4"/>
      <c r="F33" s="4"/>
      <c r="G33" s="43" t="s">
        <v>31</v>
      </c>
      <c r="H33" s="44" t="s">
        <v>32</v>
      </c>
      <c r="I33" s="489" t="s">
        <v>33</v>
      </c>
      <c r="J33" s="4"/>
      <c r="K33" s="4"/>
      <c r="L33" s="4"/>
      <c r="M33" s="4"/>
      <c r="N33" s="4"/>
      <c r="O33" s="4"/>
      <c r="P33" s="4"/>
      <c r="Q33" s="50" t="s">
        <v>88</v>
      </c>
      <c r="R33" s="48" t="s">
        <v>89</v>
      </c>
      <c r="S33">
        <f>IF(Tools!$L$49="Use 141 rule only",I57,IF(Tools!$L$49="Use 141 and 1331 rules",BG34," "))</f>
        <v>0.80372602362937751</v>
      </c>
      <c r="AF33" s="63"/>
      <c r="AG33" s="63"/>
      <c r="AH33" s="63">
        <f ca="1">Long_Div-AH32</f>
        <v>20</v>
      </c>
      <c r="AI33" s="63"/>
      <c r="AJ33" s="63">
        <f ca="1">AJ32+AJ31</f>
        <v>0</v>
      </c>
      <c r="BE33" s="50" t="s">
        <v>85</v>
      </c>
      <c r="BF33" s="48" t="s">
        <v>86</v>
      </c>
      <c r="BG33" s="65">
        <f>IFERROR(IF(WL_No="  ","  ",(VLOOKUP(Long_Div/2,AREA_TABLE,Count_WL+1,FALSE))/(B_current*T)),"-")</f>
        <v>0.99459595959595959</v>
      </c>
    </row>
    <row r="34" spans="1:59" x14ac:dyDescent="0.25">
      <c r="G34" s="45"/>
      <c r="H34" s="46"/>
      <c r="I34" s="490"/>
      <c r="BE34" s="50" t="s">
        <v>88</v>
      </c>
      <c r="BF34" s="48" t="s">
        <v>89</v>
      </c>
      <c r="BG34" s="49">
        <f>IF(WL_No="  ","  ",CB/CM)</f>
        <v>0.80372602362937751</v>
      </c>
    </row>
    <row r="35" spans="1:59" x14ac:dyDescent="0.25">
      <c r="G35" s="47" t="s">
        <v>34</v>
      </c>
      <c r="H35" s="48" t="s">
        <v>35</v>
      </c>
      <c r="I35" s="49">
        <f>IF(WL_No="  ","  ",2/3*h*$D$29)</f>
        <v>2871.8065999999999</v>
      </c>
    </row>
    <row r="36" spans="1:59" x14ac:dyDescent="0.25">
      <c r="G36" s="47" t="s">
        <v>36</v>
      </c>
      <c r="H36" s="48" t="s">
        <v>37</v>
      </c>
      <c r="I36" s="49">
        <f>IF(WL_No="  ","  ",2/3*(h^2)*$F$29)</f>
        <v>-2185.536489999999</v>
      </c>
    </row>
    <row r="37" spans="1:59" x14ac:dyDescent="0.25">
      <c r="G37" s="50" t="s">
        <v>39</v>
      </c>
      <c r="H37" s="48" t="s">
        <v>40</v>
      </c>
      <c r="I37" s="49">
        <f>IF(WL_No="  ","  ",Mmid/AWP)</f>
        <v>-0.76103191976785589</v>
      </c>
    </row>
    <row r="38" spans="1:59" x14ac:dyDescent="0.25">
      <c r="G38" s="50" t="s">
        <v>42</v>
      </c>
      <c r="H38" s="48" t="s">
        <v>43</v>
      </c>
      <c r="I38" s="49">
        <f>IF(WL_No="  ","  ",2/3*(h^3)*$G$29)</f>
        <v>4244485.2530372795</v>
      </c>
    </row>
    <row r="39" spans="1:59" x14ac:dyDescent="0.25">
      <c r="G39" s="51" t="s">
        <v>44</v>
      </c>
      <c r="H39" s="48" t="s">
        <v>45</v>
      </c>
      <c r="I39" s="49">
        <f>IF(WL_No="  ","  ",2/9*h*$I$29)</f>
        <v>103870.34522999333</v>
      </c>
    </row>
    <row r="40" spans="1:59" x14ac:dyDescent="0.25">
      <c r="G40" s="50" t="s">
        <v>47</v>
      </c>
      <c r="H40" s="48" t="s">
        <v>48</v>
      </c>
      <c r="I40" s="49">
        <f>IF(WL_No="  ","  ",IL-AWP*(LCF^2))</f>
        <v>4242821.9900065716</v>
      </c>
    </row>
    <row r="41" spans="1:59" x14ac:dyDescent="0.25">
      <c r="G41" s="50" t="s">
        <v>50</v>
      </c>
      <c r="H41" s="48" t="s">
        <v>51</v>
      </c>
      <c r="I41" s="49">
        <f>IF(WL_No="  ","  ",h/3*$L$29)</f>
        <v>30853.612486444439</v>
      </c>
    </row>
    <row r="42" spans="1:59" x14ac:dyDescent="0.25">
      <c r="G42" s="50" t="s">
        <v>52</v>
      </c>
      <c r="H42" s="48" t="s">
        <v>53</v>
      </c>
      <c r="I42" s="49">
        <f>IF(WL_No="  ","  ",V_Disp*1.025*1.006)</f>
        <v>31814.702515397181</v>
      </c>
    </row>
    <row r="43" spans="1:59" x14ac:dyDescent="0.25">
      <c r="G43" s="50" t="s">
        <v>55</v>
      </c>
      <c r="H43" s="48" t="s">
        <v>56</v>
      </c>
      <c r="I43" s="49">
        <f>IF(WL_No="  ","  ",h/3*$N$29)</f>
        <v>193851.63787022224</v>
      </c>
    </row>
    <row r="44" spans="1:59" x14ac:dyDescent="0.25">
      <c r="G44" s="50" t="s">
        <v>57</v>
      </c>
      <c r="H44" s="48" t="s">
        <v>58</v>
      </c>
      <c r="I44" s="49">
        <f>IF(WL_No="  ","  ",(h^2)/3*$O$29)</f>
        <v>70490.041319977769</v>
      </c>
    </row>
    <row r="45" spans="1:59" x14ac:dyDescent="0.25">
      <c r="G45" s="50" t="s">
        <v>60</v>
      </c>
      <c r="H45" s="48" t="s">
        <v>61</v>
      </c>
      <c r="I45" s="49">
        <f>IF(WL_No="  ","  ",IF/V_Disp)</f>
        <v>137.51459385414461</v>
      </c>
    </row>
    <row r="46" spans="1:59" x14ac:dyDescent="0.25">
      <c r="G46" s="50" t="s">
        <v>63</v>
      </c>
      <c r="H46" s="48" t="s">
        <v>64</v>
      </c>
      <c r="I46" s="49">
        <f>IF(WL_No="  ","  ",IT/V_Disp)</f>
        <v>3.3665537633762934</v>
      </c>
    </row>
    <row r="47" spans="1:59" x14ac:dyDescent="0.25">
      <c r="G47" s="50" t="s">
        <v>65</v>
      </c>
      <c r="H47" s="48" t="s">
        <v>66</v>
      </c>
      <c r="I47" s="49">
        <f>IF(WL_No="  ","  ",MT/V_Disp)</f>
        <v>6.2829478381304984</v>
      </c>
    </row>
    <row r="48" spans="1:59" x14ac:dyDescent="0.25">
      <c r="G48" s="50" t="s">
        <v>67</v>
      </c>
      <c r="H48" s="48" t="s">
        <v>68</v>
      </c>
      <c r="I48" s="49">
        <f>IF(WL_No="  ","  ",KB+BMT)</f>
        <v>9.6495016015067918</v>
      </c>
    </row>
    <row r="49" spans="7:9" x14ac:dyDescent="0.25">
      <c r="G49" s="50" t="s">
        <v>69</v>
      </c>
      <c r="H49" s="48" t="s">
        <v>70</v>
      </c>
      <c r="I49" s="49">
        <f>IF(WL_No="  ","  ",KB+BML)</f>
        <v>143.7975416922751</v>
      </c>
    </row>
    <row r="50" spans="7:9" x14ac:dyDescent="0.25">
      <c r="G50" s="50" t="s">
        <v>71</v>
      </c>
      <c r="H50" s="48" t="s">
        <v>72</v>
      </c>
      <c r="I50" s="49">
        <f>IF(WL_No="  ","  ",AWP*1.025/100)</f>
        <v>29.436017649999993</v>
      </c>
    </row>
    <row r="51" spans="7:9" x14ac:dyDescent="0.25">
      <c r="G51" s="50" t="s">
        <v>73</v>
      </c>
      <c r="H51" s="48" t="s">
        <v>74</v>
      </c>
      <c r="I51" s="49">
        <f>IF(WL_No="  ","  ",ML/V_Disp)</f>
        <v>2.2846608756413089</v>
      </c>
    </row>
    <row r="52" spans="7:9" x14ac:dyDescent="0.25">
      <c r="G52" s="50" t="s">
        <v>75</v>
      </c>
      <c r="H52" s="55" t="s">
        <v>76</v>
      </c>
      <c r="I52" s="49">
        <f>IF(WL_No="  ","  ",M_Disp*BML/100/LBP)</f>
        <v>299.24664124454694</v>
      </c>
    </row>
    <row r="53" spans="7:9" x14ac:dyDescent="0.25">
      <c r="G53" s="50" t="s">
        <v>78</v>
      </c>
      <c r="H53" s="48" t="s">
        <v>79</v>
      </c>
      <c r="I53" s="49">
        <f>IF(WL_No="  ","  ",WLS*WL_No)</f>
        <v>12</v>
      </c>
    </row>
    <row r="54" spans="7:9" x14ac:dyDescent="0.25">
      <c r="G54" s="50" t="s">
        <v>80</v>
      </c>
      <c r="H54" s="48" t="s">
        <v>81</v>
      </c>
      <c r="I54" s="49">
        <f>IF(WL_No="  ","  ",AWP/(LBP*B_current))</f>
        <v>0.89286363636363641</v>
      </c>
    </row>
    <row r="55" spans="7:9" x14ac:dyDescent="0.25">
      <c r="G55" s="50" t="s">
        <v>82</v>
      </c>
      <c r="H55" s="48" t="s">
        <v>83</v>
      </c>
      <c r="I55" s="49">
        <f>IF(WL_No="  ","  ",V_Disp/(LBP*B_current*T))</f>
        <v>0.79938265572390566</v>
      </c>
    </row>
    <row r="56" spans="7:9" x14ac:dyDescent="0.25">
      <c r="G56" s="50" t="s">
        <v>85</v>
      </c>
      <c r="H56" s="48" t="s">
        <v>86</v>
      </c>
      <c r="I56" s="65">
        <f>IF(WL_No="  ","  ",(VLOOKUP(Long_Div/2,AREA_TABLE,Count_WL+1,FALSE))/(B_current*T))</f>
        <v>0.99459595959595959</v>
      </c>
    </row>
    <row r="57" spans="7:9" x14ac:dyDescent="0.25">
      <c r="G57" s="50" t="s">
        <v>88</v>
      </c>
      <c r="H57" s="48" t="s">
        <v>89</v>
      </c>
      <c r="I57" s="49">
        <f>IF(WL_No="  ","  ",CB/CM)</f>
        <v>0.80372602362937751</v>
      </c>
    </row>
  </sheetData>
  <mergeCells count="7">
    <mergeCell ref="BG10:BG11"/>
    <mergeCell ref="I33:I34"/>
    <mergeCell ref="A2:I2"/>
    <mergeCell ref="K2:O2"/>
    <mergeCell ref="AO2:AW2"/>
    <mergeCell ref="AY2:BC2"/>
    <mergeCell ref="S9:S10"/>
  </mergeCells>
  <conditionalFormatting sqref="CB4:XFD30 BW4:BW28 BS4:BT28 W29:AX29 A33:F57 J33:R33 A11:R32 A2:T10 V2:AO2 AX2 BP29:BW29 A63:XFD1048576 T12:T37 U35:XFD37 BD2:BD29 BM31:XFD33 BM30:BW30 BH29:BI33 BH2:XFD3 U30:BD30 AR31:BD31 W3:AM28 A58:BD62 BH38:XFD62 J34:S37 BH34:XFD34 A1:AN1 AV1:XFD1 AO31:AP31 U33:BD34 AM31 U31:AG32 AK32:BD32 AO3:AX26 J43:BD57 J42:M42 O42:BD42 J38:BD41 AO27:AO28 AQ27:AX28">
    <cfRule type="containsErrors" dxfId="269" priority="14">
      <formula>ISERROR(A1)</formula>
    </cfRule>
  </conditionalFormatting>
  <conditionalFormatting sqref="G33:I34 G35:H57">
    <cfRule type="containsErrors" dxfId="268" priority="13">
      <formula>ISERROR(G33)</formula>
    </cfRule>
  </conditionalFormatting>
  <conditionalFormatting sqref="T12:T33">
    <cfRule type="containsErrors" dxfId="267" priority="12">
      <formula>ISERROR(T12)</formula>
    </cfRule>
  </conditionalFormatting>
  <conditionalFormatting sqref="I35:I57">
    <cfRule type="containsErrors" dxfId="266" priority="11">
      <formula>ISERROR(I35)</formula>
    </cfRule>
  </conditionalFormatting>
  <conditionalFormatting sqref="AY2:BC29">
    <cfRule type="containsErrors" dxfId="265" priority="8">
      <formula>ISERROR(AY2)</formula>
    </cfRule>
  </conditionalFormatting>
  <conditionalFormatting sqref="BE10:BG11 BE12:BF34">
    <cfRule type="containsErrors" dxfId="264" priority="10">
      <formula>ISERROR(BE10)</formula>
    </cfRule>
  </conditionalFormatting>
  <conditionalFormatting sqref="BG12:BG28 BG34">
    <cfRule type="containsErrors" dxfId="263" priority="9">
      <formula>ISERROR(BG12)</formula>
    </cfRule>
  </conditionalFormatting>
  <conditionalFormatting sqref="BE2:BG6">
    <cfRule type="containsErrors" dxfId="262" priority="7">
      <formula>ISERROR(BE2)</formula>
    </cfRule>
  </conditionalFormatting>
  <conditionalFormatting sqref="BF7:BG8">
    <cfRule type="containsErrors" dxfId="261" priority="5">
      <formula>ISERROR(BF7)</formula>
    </cfRule>
  </conditionalFormatting>
  <conditionalFormatting sqref="BE7:BE8">
    <cfRule type="containsErrors" dxfId="260" priority="6">
      <formula>ISERROR(BE7)</formula>
    </cfRule>
  </conditionalFormatting>
  <conditionalFormatting sqref="S30:S33">
    <cfRule type="containsErrors" dxfId="259" priority="4">
      <formula>ISERROR(S30)</formula>
    </cfRule>
  </conditionalFormatting>
  <conditionalFormatting sqref="AP27:AP28">
    <cfRule type="containsErrors" dxfId="258" priority="3">
      <formula>ISERROR(AP27)</formula>
    </cfRule>
  </conditionalFormatting>
  <conditionalFormatting sqref="BG29:BG32">
    <cfRule type="containsErrors" dxfId="257" priority="2">
      <formula>ISERROR(BG29)</formula>
    </cfRule>
  </conditionalFormatting>
  <conditionalFormatting sqref="BG33">
    <cfRule type="containsErrors" dxfId="256" priority="1">
      <formula>ISERROR(BG33)</formula>
    </cfRule>
  </conditionalFormatting>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theme="4" tint="0.79998168889431442"/>
  </sheetPr>
  <dimension ref="A1:BH57"/>
  <sheetViews>
    <sheetView topLeftCell="AG1" zoomScale="55" zoomScaleNormal="55" workbookViewId="0">
      <pane ySplit="1" topLeftCell="A29" activePane="bottomLeft" state="frozen"/>
      <selection activeCell="AG8" sqref="AG8:AG10"/>
      <selection pane="bottomLeft" activeCell="AG8" sqref="AG8:AG10"/>
    </sheetView>
  </sheetViews>
  <sheetFormatPr defaultRowHeight="15" x14ac:dyDescent="0.25"/>
  <cols>
    <col min="1" max="1" width="8.28515625" customWidth="1"/>
    <col min="2" max="2" width="7.28515625" customWidth="1"/>
    <col min="4" max="4" width="6.5703125" customWidth="1"/>
    <col min="7" max="7" width="24" customWidth="1"/>
    <col min="8" max="8" width="30.5703125" customWidth="1"/>
    <col min="9" max="9" width="26.5703125" customWidth="1"/>
    <col min="10" max="10" width="10.5703125" bestFit="1" customWidth="1"/>
    <col min="11" max="11" width="9.140625" customWidth="1"/>
    <col min="13" max="13" width="7.85546875" customWidth="1"/>
    <col min="17" max="17" width="19.5703125" customWidth="1"/>
    <col min="18" max="18" width="11.85546875" customWidth="1"/>
    <col min="19" max="19" width="16.5703125" customWidth="1"/>
    <col min="20" max="20" width="14.140625" customWidth="1"/>
    <col min="35" max="35" width="14" customWidth="1"/>
    <col min="36" max="37" width="12" customWidth="1"/>
    <col min="39" max="39" width="19" customWidth="1"/>
    <col min="43" max="43" width="18" style="7" customWidth="1"/>
    <col min="49" max="49" width="11.28515625" customWidth="1"/>
    <col min="52" max="52" width="12" customWidth="1"/>
    <col min="54" max="54" width="10.7109375" bestFit="1" customWidth="1"/>
    <col min="56" max="56" width="4.5703125" customWidth="1"/>
    <col min="57" max="57" width="21.28515625" customWidth="1"/>
    <col min="58" max="58" width="15.42578125" customWidth="1"/>
    <col min="59" max="59" width="19.28515625" customWidth="1"/>
    <col min="61" max="61" width="5.7109375" customWidth="1"/>
    <col min="62" max="62" width="13" customWidth="1"/>
    <col min="63" max="63" width="17.42578125" customWidth="1"/>
  </cols>
  <sheetData>
    <row r="1" spans="1:60" x14ac:dyDescent="0.25">
      <c r="A1" s="1" t="s">
        <v>0</v>
      </c>
      <c r="B1" s="2">
        <f>VLOOKUP(Stn_WL,OFFSET_A,Count_WL+1,FALSE)</f>
        <v>5</v>
      </c>
      <c r="C1" s="3"/>
      <c r="D1" s="4"/>
      <c r="E1" s="4" t="s">
        <v>1</v>
      </c>
      <c r="F1" s="5">
        <v>10</v>
      </c>
      <c r="G1" s="4"/>
      <c r="H1" s="4"/>
      <c r="I1" s="4"/>
      <c r="J1" s="4"/>
      <c r="K1" s="4"/>
      <c r="L1" s="4"/>
      <c r="M1" s="4"/>
      <c r="N1" s="4"/>
      <c r="O1" s="4"/>
      <c r="P1" s="4"/>
      <c r="Q1" s="4"/>
      <c r="R1" s="4"/>
      <c r="S1" s="4"/>
      <c r="V1" t="s">
        <v>2</v>
      </c>
      <c r="W1">
        <f ca="1">COUNTIF(OFFSET(Z4,,,ROUNDDOWN(Max_STN_count/2+1,0),1),TRUE)</f>
        <v>5</v>
      </c>
      <c r="X1">
        <f ca="1">COUNTIF(OFFSET(AA4,,,ROUNDDOWN(Max_STN_count/2+1,0),1),TRUE)</f>
        <v>5</v>
      </c>
      <c r="Y1">
        <f ca="1">W1-X1</f>
        <v>0</v>
      </c>
      <c r="AB1" s="6" t="s">
        <v>3</v>
      </c>
      <c r="AC1">
        <f ca="1">COUNTIF(OFFSET(Z4,ROUNDUP(Max_STN_count/2,0),,ROUNDDOWN(Max_STN_count/2,0),1),TRUE)</f>
        <v>5</v>
      </c>
      <c r="AD1">
        <f ca="1">COUNTIF(OFFSET(AA4,ROUNDUP(Max_STN_count/2,0),,ROUNDDOWN(Max_STN_count/2,0),1),TRUE)</f>
        <v>5</v>
      </c>
      <c r="AE1">
        <f ca="1">AC1-AD1</f>
        <v>0</v>
      </c>
      <c r="AG1" t="s">
        <v>4</v>
      </c>
      <c r="AH1">
        <f>COUNTIF(AG4:AG28,TRUE)</f>
        <v>17</v>
      </c>
      <c r="AI1">
        <f ca="1">COUNTIF(OFFSET(AG4,,,ROUNDUP(Max_STN_count/2,0),1),FALSE)</f>
        <v>4</v>
      </c>
      <c r="AW1">
        <f ca="1">COUNTIF(OFFSET(AG4,,,Max_STN_count,1),TRUE)</f>
        <v>17</v>
      </c>
    </row>
    <row r="2" spans="1:60" x14ac:dyDescent="0.25">
      <c r="A2" s="491" t="s">
        <v>5</v>
      </c>
      <c r="B2" s="492"/>
      <c r="C2" s="492"/>
      <c r="D2" s="492"/>
      <c r="E2" s="492"/>
      <c r="F2" s="492"/>
      <c r="G2" s="492"/>
      <c r="H2" s="492"/>
      <c r="I2" s="493"/>
      <c r="J2" s="4"/>
      <c r="K2" s="491" t="s">
        <v>6</v>
      </c>
      <c r="L2" s="492"/>
      <c r="M2" s="492"/>
      <c r="N2" s="492"/>
      <c r="O2" s="493"/>
      <c r="P2" s="4"/>
      <c r="Q2" s="8" t="s">
        <v>7</v>
      </c>
      <c r="R2" s="9" t="s">
        <v>8</v>
      </c>
      <c r="S2" s="10">
        <f>WLS</f>
        <v>2</v>
      </c>
      <c r="V2" s="11"/>
      <c r="W2" s="11"/>
      <c r="X2" s="11"/>
      <c r="Y2" s="11"/>
      <c r="Z2" s="11"/>
      <c r="AA2" s="11"/>
      <c r="AB2" s="11"/>
      <c r="AC2" s="11"/>
      <c r="AD2" s="11"/>
      <c r="AE2" s="11"/>
      <c r="AF2" s="11"/>
      <c r="AG2" s="11"/>
      <c r="AH2" s="11"/>
      <c r="AI2" s="11"/>
      <c r="AJ2" s="11"/>
      <c r="AK2" s="11"/>
      <c r="AL2" s="11"/>
      <c r="AM2" s="11"/>
      <c r="AN2" s="11"/>
      <c r="AO2" s="491" t="s">
        <v>5</v>
      </c>
      <c r="AP2" s="492"/>
      <c r="AQ2" s="492"/>
      <c r="AR2" s="492"/>
      <c r="AS2" s="492"/>
      <c r="AT2" s="492"/>
      <c r="AU2" s="492"/>
      <c r="AV2" s="492"/>
      <c r="AW2" s="493"/>
      <c r="AY2" s="491" t="s">
        <v>6</v>
      </c>
      <c r="AZ2" s="492"/>
      <c r="BA2" s="492"/>
      <c r="BB2" s="492"/>
      <c r="BC2" s="493"/>
      <c r="BE2" s="8" t="s">
        <v>7</v>
      </c>
      <c r="BF2" s="9" t="s">
        <v>8</v>
      </c>
      <c r="BG2" s="10">
        <f>WLS</f>
        <v>2</v>
      </c>
    </row>
    <row r="3" spans="1:60" x14ac:dyDescent="0.25">
      <c r="A3" s="12" t="s">
        <v>9</v>
      </c>
      <c r="B3" s="13" t="s">
        <v>10</v>
      </c>
      <c r="C3" s="14" t="s">
        <v>11</v>
      </c>
      <c r="D3" s="14" t="s">
        <v>12</v>
      </c>
      <c r="E3" s="14" t="s">
        <v>13</v>
      </c>
      <c r="F3" s="14" t="s">
        <v>14</v>
      </c>
      <c r="G3" s="14" t="s">
        <v>15</v>
      </c>
      <c r="H3" s="14" t="s">
        <v>16</v>
      </c>
      <c r="I3" s="14" t="s">
        <v>17</v>
      </c>
      <c r="J3" s="15"/>
      <c r="K3" s="14" t="s">
        <v>18</v>
      </c>
      <c r="L3" s="14" t="s">
        <v>19</v>
      </c>
      <c r="M3" s="14" t="s">
        <v>20</v>
      </c>
      <c r="N3" s="14" t="s">
        <v>21</v>
      </c>
      <c r="O3" s="14" t="s">
        <v>22</v>
      </c>
      <c r="P3" s="15"/>
      <c r="Q3" s="16" t="s">
        <v>23</v>
      </c>
      <c r="R3" s="9" t="s">
        <v>8</v>
      </c>
      <c r="S3" s="10">
        <f>STN_GAP</f>
        <v>7.31</v>
      </c>
      <c r="W3" s="17" t="s">
        <v>11</v>
      </c>
      <c r="X3" s="17"/>
      <c r="Y3" s="17"/>
      <c r="Z3" s="17" t="s">
        <v>24</v>
      </c>
      <c r="AA3" s="17"/>
      <c r="AB3" s="17"/>
      <c r="AC3" s="17"/>
      <c r="AD3" s="17"/>
      <c r="AE3" s="17"/>
      <c r="AF3" s="17"/>
      <c r="AG3" s="17" t="s">
        <v>4</v>
      </c>
      <c r="AH3" s="17"/>
      <c r="AI3" s="17" t="s">
        <v>25</v>
      </c>
      <c r="AJ3" s="17"/>
      <c r="AK3" s="17"/>
      <c r="AL3" s="17"/>
      <c r="AM3" s="18" t="s">
        <v>11</v>
      </c>
      <c r="AO3" s="12" t="s">
        <v>9</v>
      </c>
      <c r="AP3" s="13" t="s">
        <v>10</v>
      </c>
      <c r="AQ3" s="19"/>
      <c r="AR3" s="14" t="s">
        <v>12</v>
      </c>
      <c r="AS3" s="14" t="s">
        <v>13</v>
      </c>
      <c r="AT3" s="14" t="s">
        <v>14</v>
      </c>
      <c r="AU3" s="14" t="s">
        <v>15</v>
      </c>
      <c r="AV3" s="14" t="s">
        <v>16</v>
      </c>
      <c r="AW3" s="14" t="s">
        <v>17</v>
      </c>
      <c r="AY3" s="14" t="s">
        <v>18</v>
      </c>
      <c r="AZ3" s="14" t="s">
        <v>19</v>
      </c>
      <c r="BA3" s="14" t="s">
        <v>20</v>
      </c>
      <c r="BB3" s="14" t="s">
        <v>21</v>
      </c>
      <c r="BC3" s="14" t="s">
        <v>22</v>
      </c>
      <c r="BE3" s="16" t="s">
        <v>23</v>
      </c>
      <c r="BF3" s="9" t="s">
        <v>8</v>
      </c>
      <c r="BG3" s="10">
        <f>STN_GAP</f>
        <v>7.31</v>
      </c>
    </row>
    <row r="4" spans="1:60" x14ac:dyDescent="0.25">
      <c r="A4" s="20">
        <f>Tools!$AD3</f>
        <v>0</v>
      </c>
      <c r="B4" s="21">
        <f t="shared" ref="B4:B28" si="0">VLOOKUP(A4,OFFSET_A,Count_WL+1,FALSE)</f>
        <v>2.82</v>
      </c>
      <c r="C4" s="22">
        <f>IF(A4="  ","  ",IF(A5="  ","?",1*(A5-A4)))</f>
        <v>0.5</v>
      </c>
      <c r="D4" s="23">
        <f>IFERROR(B4*C4,"  ")</f>
        <v>1.41</v>
      </c>
      <c r="E4" s="24">
        <f t="shared" ref="E4:E28" si="1">IFERROR(A4-(Long_Div/2),"  ")</f>
        <v>-10</v>
      </c>
      <c r="F4" s="23">
        <f>IFERROR(D4*E4,"  ")</f>
        <v>-14.1</v>
      </c>
      <c r="G4" s="23">
        <f>IFERROR(F4*E4,"  ")</f>
        <v>141</v>
      </c>
      <c r="H4" s="23">
        <f>IFERROR(B4^3,"  ")</f>
        <v>22.425767999999994</v>
      </c>
      <c r="I4" s="23">
        <f>IFERROR(H4*C4,"  ")</f>
        <v>11.212883999999997</v>
      </c>
      <c r="J4" s="4"/>
      <c r="K4" s="25">
        <f t="shared" ref="K4:K28" si="2">VLOOKUP(A4,AREA_TABLE,Count_WL+1,FALSE)</f>
        <v>8.6466666666666665</v>
      </c>
      <c r="L4" s="23">
        <f>IFERROR(K4*C4,"  ")</f>
        <v>4.3233333333333333</v>
      </c>
      <c r="M4" s="26">
        <f t="shared" ref="M4:M28" si="3">VLOOKUP(A4,MOMENT_TABLE,Count_WL+1,FALSE)</f>
        <v>77.900000000000006</v>
      </c>
      <c r="N4" s="27">
        <f>IFERROR(M4*C4,"  ")</f>
        <v>38.950000000000003</v>
      </c>
      <c r="O4" s="23">
        <f>IFERROR(L4*E4,"  ")</f>
        <v>-43.233333333333334</v>
      </c>
      <c r="P4" s="4"/>
      <c r="Q4" s="16" t="s">
        <v>26</v>
      </c>
      <c r="R4" s="9" t="s">
        <v>8</v>
      </c>
      <c r="S4" s="28">
        <f>LBP</f>
        <v>146.19999999999999</v>
      </c>
      <c r="W4" s="29">
        <f>IF(AO4="  ","  ",IF(AO5="  ","?",1*(AO5-AO4)))</f>
        <v>0.5</v>
      </c>
      <c r="X4" s="30" t="str">
        <f t="shared" ref="X4:X28" si="4">IF(Y4=0,"--",CONCATENATE(IF(AO4=0,"-",IF(Y3=0,"-",IF(AO4-AO3=0.5,"D",IF(AO4-AO3=1,"W","-")))),IF(AO4=Long_Div,"-",IF(Y5=0,"-",IF(AO5-AO4=0.5,"D",IF(AO5-AO4=1,"W","-"))))))</f>
        <v>-D</v>
      </c>
      <c r="Y4" s="30" t="str">
        <f t="shared" ref="Y4:Y28" si="5">IF(ISNUMBER(AO4),IF(AO4=Long_Div/2,"-",IF(AND(AO4=Long_Div,$AP4=0,$AP3=0),0,IF(AND(AO4=0,$AP4=0,$AP5=0),0,IF($AO4&lt;Long_Div/2,IF(AND(Y3=0,$AP4=0,$AP5=0),0,"-"),IF(AND(Y5=0,$AP4=0,$AP3=0),0,"-")))))," ")</f>
        <v>-</v>
      </c>
      <c r="Z4" s="29" t="b">
        <f t="shared" ref="Z4:Z28" si="6">IF(ISNUMBER(AO4),IF(AO4=0,IF(AO5=0.5,TRUE,FALSE),IF(AO4=Long_Div,IF(AO3=Long_Div-0.5,TRUE,FALSE),IF(OR(AO5-AO4=0.5,AO4-AO3=0.5),TRUE,FALSE)))," ")</f>
        <v>1</v>
      </c>
      <c r="AA4" s="29" t="b">
        <f t="shared" ref="AA4:AA28" si="7">IF(ISNUMBER(AO4),IF(Y4=0," ",IF(AO4=0,IF(AO5=0.5,TRUE,"-"),IF(AO4=Long_Div,IF(AO3=Long_Div-0.5,TRUE,"-"),IF(OR(AO5-AO4=0.5,AO4-AO3=0.5),TRUE,FALSE))))," ")</f>
        <v>1</v>
      </c>
      <c r="AB4" s="29" t="str">
        <f t="shared" ref="AB4:AB28" ca="1" si="8">IF(AO4&lt;=Long_Div/2,IF(ISNUMBER(AO4),IF($X$1=0,"---",IF($X$1=1,"##",IF($X$1=2,IF(AD4=1,"141-4",IF(OR(AD4=0,AD4=2),"141-1","**")),IF(AC4&lt;=($Y$1),"--",IF(AC4&gt;$W$1,"++",IF(ISODD($X$1),IF(OR(AD4=1,AD4=$X$1),"141-1",IF(ISODD(AD4),"141-2",IF(ISEVEN(AD4),"141-4","+"))),IF(ISEVEN($X$1),IF(AD4=1,"1331-1",IF(OR(AD4=2,AD4=3),"1331-3",IF(AD4=4,IF($X$1=4,"1331-1","1331-1,141-1"),IF(AD4=$X$1,"141-1",IF(AD4&lt;=4,"??",IF(ISODD(AD4),"141-4",IF(ISEVEN(AD4),"141-2","SS"))))))))))))))," "),IF(AO4&gt;Long_Div/2,IF(ISNUMBER(AO4),IF($AD$1=0,"---",IF($AD$1=1,"##",IF($AD$1=2,IF(AD4=1,"141-4",IF(OR(AD4=0,AD4=2),"141-1","**")),IF(AC4&lt;=($AE$1),"--",IF(AC4&gt;$AC$1,"++",IF(ISODD($AD$1),IF(OR(AD4=1,AD4=$AD$1),"141-1",IF(ISODD(AD4),"141-2",IF(ISEVEN(AD4),"141-4","+"))),IF(ISEVEN($AD$1),IF(AD4=1,"1331-1",IF(OR(AD4=2,AD4=3),"1331-3",IF(AD4=4,IF($AD$1=4,"1331-1","1331-1,141-1"),IF(AD4=$AD$1,"141-1",IF(AD4&lt;=4,"??",IF(ISODD(AD4),"141-4",IF(ISEVEN(AD4),"141-2","SS"))))))))))))))," "),"@"))</f>
        <v>141-1</v>
      </c>
      <c r="AC4" s="29">
        <f>IF(ISNUMBER(AO4),IF(ISNUMBER(AO4),IF(OR(AO4=0,AO4=Long_Div),1,IF(AO4&gt;Long_Div/2,AC5+1,IF(AO4&lt;=Long_Div/2,AE3+1,"?")))," --")," ")</f>
        <v>1</v>
      </c>
      <c r="AD4" s="29">
        <f t="shared" ref="AD4:AD28" ca="1" si="9">IF(ISNUMBER(AO4),IF(AO4&gt;Long_Div/2,4-ROW(AD4)+Max_STN_count-$AE$1,ROW(AD4)-3-$Y$1)," ")</f>
        <v>1</v>
      </c>
      <c r="AE4" s="29">
        <v>1</v>
      </c>
      <c r="AF4" s="31" t="str">
        <f t="shared" ref="AF4:AF8" si="10">IF(AND(AG4=TRUE,OR(NOT(AG3=TRUE),AG3="Full")),1,IF(ISNUMBER(AF3),AF3+1," "))</f>
        <v xml:space="preserve"> </v>
      </c>
      <c r="AG4" s="29" t="b">
        <f t="shared" ref="AG4:AG28" si="11">IF(ISNUMBER(AO4),IF(AA4=" "," ",IF(AO4=0,IF(AO5-AO4=1,TRUE,FALSE),IF(AO4=Long_Div,IF(AO4-AO3=1,TRUE,FALSE),IF(OR(AO5-AO4=1,AO4-AO3=1),TRUE,FALSE))))," ")</f>
        <v>0</v>
      </c>
      <c r="AH4" s="30" t="str">
        <f t="shared" ref="AH4:AH13" si="12">IF(AND(AG4=TRUE,$AH$1=1),"141-4",IF(AG4=" ",IF(AND($AH$1=2,AF4=3),"141-1","-"),IF(OR(AG4=FALSE,AG4=" "),"-",IF(AG4=TRUE,IF(AND($AH$1=2,AF4=1),"141-1",IF(AND($AH$1=2,AF4=2),"141-4",IF(OR(ISODD($AH$1),AF4&gt;4),IF(AF4=1,"141-1",IF(OR(AB4="141-1",AB4="1331-1",AB4="1331-1,141-1"),"141-1",IF(AG5=" ","141-1",IF(OR(AH3="141-1",AH3="141-2",AH3="1331-1,141-1"),"141-4",IF(AH3="141-4","141-2","$$"))))),IF(ISEVEN($AH$1),IF(AF4=1,"1331-1",IF(OR(AF4=2,AF4=3),"1331-3",IF(AF4=4,IF($AH$1=4,"1331-1","1331-1,141-1"),"")))))))))))</f>
        <v>-</v>
      </c>
      <c r="AI4" s="30" t="str">
        <f t="shared" ref="AI4:AI28" ca="1" si="13">IF(OR(AB4="1331-1",AB4="1331-1,141-1"),"(1/2)*(3/8)",IF(AB4="1331-3","(1/2)*(9/8)",IF(AB4="141-1","(1/2)*(1/3)",IF(AB4="141-2","(1/2)*(2/3)",IF(AB4="141-4","(1/2)*(4/3)","")))))</f>
        <v>(1/2)*(1/3)</v>
      </c>
      <c r="AJ4" s="29">
        <f t="shared" ref="AJ4:AJ28" ca="1" si="14">IF(OR(AB4="1331-1",AB4="1331-1,141-1"),(1/2)*(3/8),IF(AB4="1331-3",(1/2)*(9/8),IF(AB4="141-1",(1/2)*(1/3),IF(AB4="141-2",(1/2)*(2/3),IF(AB4="141-4",(1/2)*(4/3),0)))))</f>
        <v>0.16666666666666666</v>
      </c>
      <c r="AK4" s="29" t="str">
        <f t="shared" ref="AK4:AK28" si="15">IF(AH4="1331-1,141-1","(1*3/8)+(1/3)",IF(LEFT(AH4,4)="141-",CONCATENATE(RIGHT(AH4,1),"/3"),IF(LEFT(AH4,4)="1331",CONCATENATE(RIGHT(AH4,1),"*3/8"),"")))</f>
        <v/>
      </c>
      <c r="AL4" s="29">
        <f t="shared" ref="AL4:AL28" si="16">IF(AH4="1331-1,141-1",(1*3/8)+(1/3),IF(LEFT(AH4,4)="141-",(RIGHT(AH4,1)/3),IF(LEFT(AH4,4)="1331",RIGHT(AH4,1)*3/8,0)))</f>
        <v>0</v>
      </c>
      <c r="AM4" s="32">
        <f ca="1">IF(AQ4=""," ",AJ4+AL4)</f>
        <v>0.16666666666666666</v>
      </c>
      <c r="AO4" s="20">
        <f>Tools!$AD3</f>
        <v>0</v>
      </c>
      <c r="AP4" s="33">
        <f t="shared" ref="AP4" si="17">VLOOKUP(AO4,OFFSET_A,Count_WL+1,FALSE)</f>
        <v>2.82</v>
      </c>
      <c r="AQ4" s="34" t="str">
        <f t="shared" ref="AQ4:AQ28" ca="1" si="18">CONCATENATE(AI4,IF(NOT(OR(AI4="",AK4="")),"+",""),AK4)</f>
        <v>(1/2)*(1/3)</v>
      </c>
      <c r="AR4" s="23">
        <f t="shared" ref="AR4:AR28" ca="1" si="19">IFERROR(AP4*AM4,"  ")</f>
        <v>0.47</v>
      </c>
      <c r="AS4" s="24">
        <f t="shared" ref="AS4:AS28" si="20">IFERROR(AO4-(Long_Div/2),"  ")</f>
        <v>-10</v>
      </c>
      <c r="AT4" s="23">
        <f ca="1">IFERROR(AR4*AS4,"  ")</f>
        <v>-4.6999999999999993</v>
      </c>
      <c r="AU4" s="23">
        <f ca="1">IFERROR(AT4*AS4,"  ")</f>
        <v>46.999999999999993</v>
      </c>
      <c r="AV4" s="23">
        <f t="shared" ref="AV4:AV28" si="21">IFERROR(AP4^3,"  ")</f>
        <v>22.425767999999994</v>
      </c>
      <c r="AW4" s="23">
        <f t="shared" ref="AW4:AW28" ca="1" si="22">IFERROR(AV4*AM4,"  ")</f>
        <v>3.7376279999999991</v>
      </c>
      <c r="AY4" s="35">
        <f t="shared" ref="AY4:AY28" si="23">IF(ROW(AY4)-3&gt;Max_STN_count," ",VLOOKUP(AO4,AREA_TABLE,Count_WL+1,FALSE))</f>
        <v>8.6466666666666665</v>
      </c>
      <c r="AZ4" s="23">
        <f t="shared" ref="AZ4:AZ7" ca="1" si="24">IFERROR(AY4*AM4,"  ")</f>
        <v>1.441111111111111</v>
      </c>
      <c r="BA4" s="36">
        <f t="shared" ref="BA4:BA28" si="25">IF(ROW(AY4)-3&gt;Max_STN_count," ",VLOOKUP(AO4,MOMENT_TABLE,Count_WL+1,FALSE))</f>
        <v>77.900000000000006</v>
      </c>
      <c r="BB4" s="27">
        <f ca="1">IFERROR(BA4*AM4,"  ")</f>
        <v>12.983333333333334</v>
      </c>
      <c r="BC4" s="23">
        <f ca="1">IFERROR(AZ4*AS4,"  ")</f>
        <v>-14.41111111111111</v>
      </c>
      <c r="BE4" s="16" t="s">
        <v>26</v>
      </c>
      <c r="BF4" s="9" t="s">
        <v>8</v>
      </c>
      <c r="BG4" s="28">
        <f>LBP</f>
        <v>146.19999999999999</v>
      </c>
    </row>
    <row r="5" spans="1:60" x14ac:dyDescent="0.25">
      <c r="A5" s="20">
        <f>Tools!$AD4</f>
        <v>0.5</v>
      </c>
      <c r="B5" s="33">
        <f t="shared" si="0"/>
        <v>4.3899999999999997</v>
      </c>
      <c r="C5" s="22">
        <f>IF(A5="  ","  ",IF(AND(A4="  ",A6="  "),"?",IF(A4="  ",2*(A6-A5),IF(A6="  ",2*(A5-A4),2*(A6-A4)))))</f>
        <v>2</v>
      </c>
      <c r="D5" s="23">
        <f t="shared" ref="D5:D28" si="26">IFERROR(B5*C5,"  ")</f>
        <v>8.7799999999999994</v>
      </c>
      <c r="E5" s="24">
        <f t="shared" si="1"/>
        <v>-9.5</v>
      </c>
      <c r="F5" s="23">
        <f t="shared" ref="F5:F28" si="27">IFERROR(D5*E5,"  ")</f>
        <v>-83.41</v>
      </c>
      <c r="G5" s="23">
        <f t="shared" ref="G5:G28" si="28">IFERROR(F5*E5,"  ")</f>
        <v>792.39499999999998</v>
      </c>
      <c r="H5" s="23">
        <f t="shared" ref="H5:H28" si="29">IFERROR(B5^3,"  ")</f>
        <v>84.604518999999982</v>
      </c>
      <c r="I5" s="23">
        <f t="shared" ref="I5:I28" si="30">IFERROR(H5*C5,"  ")</f>
        <v>169.20903799999996</v>
      </c>
      <c r="J5" s="4"/>
      <c r="K5" s="37">
        <f t="shared" si="2"/>
        <v>23.463333333333331</v>
      </c>
      <c r="L5" s="23">
        <f t="shared" ref="L5:L28" si="31">IFERROR(K5*C5,"  ")</f>
        <v>46.926666666666662</v>
      </c>
      <c r="M5" s="38">
        <f t="shared" si="3"/>
        <v>181.33333333333334</v>
      </c>
      <c r="N5" s="27">
        <f t="shared" ref="N5:N28" si="32">IFERROR(M5*C5,"  ")</f>
        <v>362.66666666666669</v>
      </c>
      <c r="O5" s="23">
        <f t="shared" ref="O5:O28" si="33">IFERROR(L5*E5,"  ")</f>
        <v>-445.80333333333328</v>
      </c>
      <c r="P5" s="4"/>
      <c r="Q5" s="8" t="s">
        <v>27</v>
      </c>
      <c r="R5" s="9" t="s">
        <v>8</v>
      </c>
      <c r="S5" s="10">
        <f>BREADTH</f>
        <v>22</v>
      </c>
      <c r="W5" s="29">
        <f>IF(AO5="  ","  ",IF(AND(AO4="  ",AO6="  "),"?",IF(AO4="  ",2*(AO6-AO5),IF(AO6="  ",2*(AO5-AO4),2*(AO6-AO4)))))</f>
        <v>2</v>
      </c>
      <c r="X5" s="30" t="str">
        <f t="shared" si="4"/>
        <v>DD</v>
      </c>
      <c r="Y5" s="30" t="str">
        <f t="shared" si="5"/>
        <v>-</v>
      </c>
      <c r="Z5" s="29" t="b">
        <f t="shared" si="6"/>
        <v>1</v>
      </c>
      <c r="AA5" s="29" t="b">
        <f t="shared" si="7"/>
        <v>1</v>
      </c>
      <c r="AB5" s="29" t="str">
        <f t="shared" ca="1" si="8"/>
        <v>141-4</v>
      </c>
      <c r="AC5" s="29">
        <f t="shared" ref="AC5:AC27" si="34">IF(ISNUMBER(AO5),IF(ISNUMBER(AO5),IF(OR(AO5=0,AO5=Long_Div),1,IF(AO5&gt;Long_Div/2,AC6+1,IF(AO5&lt;=Long_Div/2,AC4+1,"?")))," --")," ")</f>
        <v>2</v>
      </c>
      <c r="AD5" s="29">
        <f t="shared" ca="1" si="9"/>
        <v>2</v>
      </c>
      <c r="AE5" s="29">
        <v>2</v>
      </c>
      <c r="AF5" s="31" t="str">
        <f t="shared" si="10"/>
        <v xml:space="preserve"> </v>
      </c>
      <c r="AG5" s="29" t="b">
        <f t="shared" si="11"/>
        <v>0</v>
      </c>
      <c r="AH5" s="30" t="str">
        <f t="shared" si="12"/>
        <v>-</v>
      </c>
      <c r="AI5" s="30" t="str">
        <f t="shared" ca="1" si="13"/>
        <v>(1/2)*(4/3)</v>
      </c>
      <c r="AJ5" s="29">
        <f t="shared" ca="1" si="14"/>
        <v>0.66666666666666663</v>
      </c>
      <c r="AK5" s="29" t="str">
        <f t="shared" si="15"/>
        <v/>
      </c>
      <c r="AL5" s="29">
        <f t="shared" si="16"/>
        <v>0</v>
      </c>
      <c r="AM5" s="32">
        <f t="shared" ref="AM5:AM28" ca="1" si="35">IF(AQ5=""," ",AJ5+AL5)</f>
        <v>0.66666666666666663</v>
      </c>
      <c r="AO5" s="20">
        <f>Tools!$AD4</f>
        <v>0.5</v>
      </c>
      <c r="AP5" s="33">
        <f t="shared" ref="AP5:AP26" si="36">VLOOKUP(AO5,OFFSET_A,Count_WL+1,FALSE)</f>
        <v>4.3899999999999997</v>
      </c>
      <c r="AQ5" s="34" t="str">
        <f t="shared" ca="1" si="18"/>
        <v>(1/2)*(4/3)</v>
      </c>
      <c r="AR5" s="23">
        <f t="shared" ca="1" si="19"/>
        <v>2.9266666666666663</v>
      </c>
      <c r="AS5" s="24">
        <f t="shared" si="20"/>
        <v>-9.5</v>
      </c>
      <c r="AT5" s="23">
        <f t="shared" ref="AT5:AT28" ca="1" si="37">IFERROR(AR5*AS5,"  ")</f>
        <v>-27.803333333333331</v>
      </c>
      <c r="AU5" s="23">
        <f ca="1">IFERROR(AT5*AS5,"  ")</f>
        <v>264.13166666666666</v>
      </c>
      <c r="AV5" s="23">
        <f t="shared" si="21"/>
        <v>84.604518999999982</v>
      </c>
      <c r="AW5" s="23">
        <f t="shared" ca="1" si="22"/>
        <v>56.403012666666655</v>
      </c>
      <c r="AY5" s="35">
        <f t="shared" si="23"/>
        <v>23.463333333333331</v>
      </c>
      <c r="AZ5" s="23">
        <f t="shared" ca="1" si="24"/>
        <v>15.64222222222222</v>
      </c>
      <c r="BA5" s="36">
        <f t="shared" si="25"/>
        <v>181.33333333333334</v>
      </c>
      <c r="BB5" s="27">
        <f t="shared" ref="BB5:BB28" ca="1" si="38">IFERROR(BA5*AM5,"  ")</f>
        <v>120.88888888888889</v>
      </c>
      <c r="BC5" s="23">
        <f t="shared" ref="BC5:BC28" ca="1" si="39">IFERROR(AZ5*AS5,"  ")</f>
        <v>-148.60111111111109</v>
      </c>
      <c r="BE5" s="8" t="s">
        <v>27</v>
      </c>
      <c r="BF5" s="9" t="s">
        <v>8</v>
      </c>
      <c r="BG5" s="10">
        <f>BREADTH</f>
        <v>22</v>
      </c>
    </row>
    <row r="6" spans="1:60" x14ac:dyDescent="0.25">
      <c r="A6" s="20">
        <f>Tools!$AD5</f>
        <v>1</v>
      </c>
      <c r="B6" s="33">
        <f t="shared" si="0"/>
        <v>5.78</v>
      </c>
      <c r="C6" s="22">
        <f>IF(A6="  ","  ",IF(AND(A5="  ",A7="  "),"?",IF(A5="  ",1*(A7-A6),IF(A7="  ",1*(A6-A5),1*(A7-A5)))))</f>
        <v>1</v>
      </c>
      <c r="D6" s="23">
        <f t="shared" si="26"/>
        <v>5.78</v>
      </c>
      <c r="E6" s="24">
        <f t="shared" si="1"/>
        <v>-9</v>
      </c>
      <c r="F6" s="23">
        <f t="shared" si="27"/>
        <v>-52.02</v>
      </c>
      <c r="G6" s="23">
        <f t="shared" si="28"/>
        <v>468.18</v>
      </c>
      <c r="H6" s="23">
        <f t="shared" si="29"/>
        <v>193.10055200000002</v>
      </c>
      <c r="I6" s="23">
        <f t="shared" si="30"/>
        <v>193.10055200000002</v>
      </c>
      <c r="J6" s="4"/>
      <c r="K6" s="37">
        <f t="shared" si="2"/>
        <v>46.786666666666662</v>
      </c>
      <c r="L6" s="23">
        <f t="shared" si="31"/>
        <v>46.786666666666662</v>
      </c>
      <c r="M6" s="38">
        <f t="shared" si="3"/>
        <v>320.91333333333336</v>
      </c>
      <c r="N6" s="27">
        <f t="shared" si="32"/>
        <v>320.91333333333336</v>
      </c>
      <c r="O6" s="23">
        <f t="shared" si="33"/>
        <v>-421.07999999999993</v>
      </c>
      <c r="P6" s="4"/>
      <c r="Q6" s="8" t="s">
        <v>28</v>
      </c>
      <c r="R6" s="9" t="s">
        <v>8</v>
      </c>
      <c r="S6" s="10">
        <f>DEPTH</f>
        <v>13</v>
      </c>
      <c r="W6" s="29">
        <f>IF(AO6="  ","  ",IF(AND(AO5="  ",AO7="  "),"?",IF(AO5="  ",1*(AO7-AO6),IF(AO7="  ",1*(AO6-AO5),1*(AO7-AO5)))))</f>
        <v>1</v>
      </c>
      <c r="X6" s="30" t="str">
        <f t="shared" si="4"/>
        <v>DD</v>
      </c>
      <c r="Y6" s="30" t="str">
        <f t="shared" si="5"/>
        <v>-</v>
      </c>
      <c r="Z6" s="29" t="b">
        <f t="shared" si="6"/>
        <v>1</v>
      </c>
      <c r="AA6" s="29" t="b">
        <f t="shared" si="7"/>
        <v>1</v>
      </c>
      <c r="AB6" s="29" t="str">
        <f t="shared" ca="1" si="8"/>
        <v>141-2</v>
      </c>
      <c r="AC6" s="29">
        <f t="shared" si="34"/>
        <v>3</v>
      </c>
      <c r="AD6" s="29">
        <f t="shared" ca="1" si="9"/>
        <v>3</v>
      </c>
      <c r="AE6" s="29">
        <v>3</v>
      </c>
      <c r="AF6" s="31" t="str">
        <f t="shared" si="10"/>
        <v xml:space="preserve"> </v>
      </c>
      <c r="AG6" s="29" t="b">
        <f t="shared" si="11"/>
        <v>0</v>
      </c>
      <c r="AH6" s="30" t="str">
        <f t="shared" si="12"/>
        <v>-</v>
      </c>
      <c r="AI6" s="30" t="str">
        <f t="shared" ca="1" si="13"/>
        <v>(1/2)*(2/3)</v>
      </c>
      <c r="AJ6" s="29">
        <f t="shared" ca="1" si="14"/>
        <v>0.33333333333333331</v>
      </c>
      <c r="AK6" s="29" t="str">
        <f t="shared" si="15"/>
        <v/>
      </c>
      <c r="AL6" s="29">
        <f t="shared" si="16"/>
        <v>0</v>
      </c>
      <c r="AM6" s="32">
        <f t="shared" ca="1" si="35"/>
        <v>0.33333333333333331</v>
      </c>
      <c r="AO6" s="20">
        <f>Tools!$AD5</f>
        <v>1</v>
      </c>
      <c r="AP6" s="33">
        <f t="shared" si="36"/>
        <v>5.78</v>
      </c>
      <c r="AQ6" s="34" t="str">
        <f t="shared" ca="1" si="18"/>
        <v>(1/2)*(2/3)</v>
      </c>
      <c r="AR6" s="23">
        <f t="shared" ca="1" si="19"/>
        <v>1.9266666666666667</v>
      </c>
      <c r="AS6" s="24">
        <f t="shared" si="20"/>
        <v>-9</v>
      </c>
      <c r="AT6" s="23">
        <f t="shared" ca="1" si="37"/>
        <v>-17.34</v>
      </c>
      <c r="AU6" s="23">
        <f ca="1">IFERROR(AT6*AS6,"  ")</f>
        <v>156.06</v>
      </c>
      <c r="AV6" s="23">
        <f t="shared" si="21"/>
        <v>193.10055200000002</v>
      </c>
      <c r="AW6" s="23">
        <f t="shared" ca="1" si="22"/>
        <v>64.366850666666664</v>
      </c>
      <c r="AY6" s="35">
        <f t="shared" si="23"/>
        <v>46.786666666666662</v>
      </c>
      <c r="AZ6" s="23">
        <f t="shared" ca="1" si="24"/>
        <v>15.595555555555553</v>
      </c>
      <c r="BA6" s="36">
        <f t="shared" si="25"/>
        <v>320.91333333333336</v>
      </c>
      <c r="BB6" s="27">
        <f t="shared" ca="1" si="38"/>
        <v>106.97111111111111</v>
      </c>
      <c r="BC6" s="23">
        <f t="shared" ca="1" si="39"/>
        <v>-140.35999999999999</v>
      </c>
      <c r="BE6" s="8" t="s">
        <v>28</v>
      </c>
      <c r="BF6" s="9" t="s">
        <v>8</v>
      </c>
      <c r="BG6" s="10">
        <f>DEPTH</f>
        <v>13</v>
      </c>
    </row>
    <row r="7" spans="1:60" x14ac:dyDescent="0.25">
      <c r="A7" s="20">
        <f>Tools!$AD6</f>
        <v>1.5</v>
      </c>
      <c r="B7" s="33">
        <f t="shared" si="0"/>
        <v>7.01</v>
      </c>
      <c r="C7" s="22">
        <f>IF(A7="  ","  ",IF(AND(A6="  ",A8="  "),"?",IF(A6="  ",2*(A8-A7),IF(A8="  ",2*(A7-A6),2*(A8-A6)))))</f>
        <v>2</v>
      </c>
      <c r="D7" s="23">
        <f t="shared" si="26"/>
        <v>14.02</v>
      </c>
      <c r="E7" s="24">
        <f t="shared" si="1"/>
        <v>-8.5</v>
      </c>
      <c r="F7" s="23">
        <f t="shared" si="27"/>
        <v>-119.17</v>
      </c>
      <c r="G7" s="23">
        <f t="shared" si="28"/>
        <v>1012.9450000000001</v>
      </c>
      <c r="H7" s="23">
        <f t="shared" si="29"/>
        <v>344.47210099999995</v>
      </c>
      <c r="I7" s="23">
        <f t="shared" si="30"/>
        <v>688.9442019999999</v>
      </c>
      <c r="J7" s="4"/>
      <c r="K7" s="37">
        <f t="shared" si="2"/>
        <v>71.696666666666658</v>
      </c>
      <c r="L7" s="23">
        <f t="shared" si="31"/>
        <v>143.39333333333332</v>
      </c>
      <c r="M7" s="38">
        <f t="shared" si="3"/>
        <v>461</v>
      </c>
      <c r="N7" s="27">
        <f t="shared" si="32"/>
        <v>922</v>
      </c>
      <c r="O7" s="23">
        <f t="shared" si="33"/>
        <v>-1218.8433333333332</v>
      </c>
      <c r="P7" s="4"/>
      <c r="Q7" s="39" t="s">
        <v>29</v>
      </c>
      <c r="R7" s="40" t="s">
        <v>8</v>
      </c>
      <c r="S7" s="41">
        <f>IF(MAX(B4:B28)=0," ",2*MAX(B4:B28))</f>
        <v>22</v>
      </c>
      <c r="W7" s="29">
        <f>IF(AO7="  ","  ",IF(AND(AO6="  ",AO8="  "),"?",IF(AO6="  ",2*(AO8-AO7),IF(AO8="  ",2*(AO7-AO6),2*(AO8-AO6)))))</f>
        <v>2</v>
      </c>
      <c r="X7" s="30" t="str">
        <f t="shared" si="4"/>
        <v>DD</v>
      </c>
      <c r="Y7" s="30" t="str">
        <f t="shared" si="5"/>
        <v>-</v>
      </c>
      <c r="Z7" s="29" t="b">
        <f t="shared" si="6"/>
        <v>1</v>
      </c>
      <c r="AA7" s="29" t="b">
        <f t="shared" si="7"/>
        <v>1</v>
      </c>
      <c r="AB7" s="29" t="str">
        <f t="shared" ca="1" si="8"/>
        <v>141-4</v>
      </c>
      <c r="AC7" s="29">
        <f t="shared" si="34"/>
        <v>4</v>
      </c>
      <c r="AD7" s="29">
        <f t="shared" ca="1" si="9"/>
        <v>4</v>
      </c>
      <c r="AE7" s="29">
        <v>4</v>
      </c>
      <c r="AF7" s="31" t="str">
        <f t="shared" si="10"/>
        <v xml:space="preserve"> </v>
      </c>
      <c r="AG7" s="29" t="b">
        <f t="shared" si="11"/>
        <v>0</v>
      </c>
      <c r="AH7" s="30" t="str">
        <f t="shared" si="12"/>
        <v>-</v>
      </c>
      <c r="AI7" s="30" t="str">
        <f t="shared" ca="1" si="13"/>
        <v>(1/2)*(4/3)</v>
      </c>
      <c r="AJ7" s="29">
        <f t="shared" ca="1" si="14"/>
        <v>0.66666666666666663</v>
      </c>
      <c r="AK7" s="29" t="str">
        <f t="shared" si="15"/>
        <v/>
      </c>
      <c r="AL7" s="29">
        <f t="shared" si="16"/>
        <v>0</v>
      </c>
      <c r="AM7" s="32">
        <f t="shared" ca="1" si="35"/>
        <v>0.66666666666666663</v>
      </c>
      <c r="AO7" s="20">
        <f>Tools!$AD6</f>
        <v>1.5</v>
      </c>
      <c r="AP7" s="33">
        <f t="shared" si="36"/>
        <v>7.01</v>
      </c>
      <c r="AQ7" s="34" t="str">
        <f t="shared" ca="1" si="18"/>
        <v>(1/2)*(4/3)</v>
      </c>
      <c r="AR7" s="23">
        <f t="shared" ca="1" si="19"/>
        <v>4.6733333333333329</v>
      </c>
      <c r="AS7" s="24">
        <f t="shared" si="20"/>
        <v>-8.5</v>
      </c>
      <c r="AT7" s="23">
        <f t="shared" ca="1" si="37"/>
        <v>-39.723333333333329</v>
      </c>
      <c r="AU7" s="23">
        <f t="shared" ref="AU7:AU28" ca="1" si="40">IFERROR(AT7*AS7,"  ")</f>
        <v>337.64833333333331</v>
      </c>
      <c r="AV7" s="23">
        <f t="shared" si="21"/>
        <v>344.47210099999995</v>
      </c>
      <c r="AW7" s="23">
        <f t="shared" ca="1" si="22"/>
        <v>229.6480673333333</v>
      </c>
      <c r="AY7" s="35">
        <f t="shared" si="23"/>
        <v>71.696666666666658</v>
      </c>
      <c r="AZ7" s="23">
        <f t="shared" ca="1" si="24"/>
        <v>47.797777777777767</v>
      </c>
      <c r="BA7" s="36">
        <f t="shared" si="25"/>
        <v>461</v>
      </c>
      <c r="BB7" s="27">
        <f t="shared" ca="1" si="38"/>
        <v>307.33333333333331</v>
      </c>
      <c r="BC7" s="23">
        <f t="shared" ca="1" si="39"/>
        <v>-406.28111111111104</v>
      </c>
      <c r="BE7" s="8" t="s">
        <v>29</v>
      </c>
      <c r="BF7" s="9" t="s">
        <v>8</v>
      </c>
      <c r="BG7" s="10">
        <f>IF(MAX(AP4:AP28)=0," ",2*MAX(AP4:AP28))</f>
        <v>22</v>
      </c>
    </row>
    <row r="8" spans="1:60" x14ac:dyDescent="0.25">
      <c r="A8" s="20">
        <f>Tools!$AD7</f>
        <v>2</v>
      </c>
      <c r="B8" s="33">
        <f t="shared" si="0"/>
        <v>8.0399999999999991</v>
      </c>
      <c r="C8" s="22">
        <f>IF(A8="  ","  ",IF(AND(A7="  ",A9="  "),"?",IF(A7="  ",1*(A9-A8),IF(A9="  ",1*(A8-A7),1*(A9-A7)))))</f>
        <v>1.5</v>
      </c>
      <c r="D8" s="23">
        <f t="shared" si="26"/>
        <v>12.059999999999999</v>
      </c>
      <c r="E8" s="24">
        <f t="shared" si="1"/>
        <v>-8</v>
      </c>
      <c r="F8" s="23">
        <f t="shared" si="27"/>
        <v>-96.47999999999999</v>
      </c>
      <c r="G8" s="23">
        <f t="shared" si="28"/>
        <v>771.83999999999992</v>
      </c>
      <c r="H8" s="23">
        <f t="shared" si="29"/>
        <v>519.71846399999981</v>
      </c>
      <c r="I8" s="23">
        <f t="shared" si="30"/>
        <v>779.57769599999972</v>
      </c>
      <c r="J8" s="4"/>
      <c r="K8" s="37">
        <f t="shared" si="2"/>
        <v>94.956666666666649</v>
      </c>
      <c r="L8" s="23">
        <f t="shared" si="31"/>
        <v>142.43499999999997</v>
      </c>
      <c r="M8" s="38">
        <f t="shared" si="3"/>
        <v>583.94000000000005</v>
      </c>
      <c r="N8" s="27">
        <f t="shared" si="32"/>
        <v>875.91000000000008</v>
      </c>
      <c r="O8" s="23">
        <f t="shared" si="33"/>
        <v>-1139.4799999999998</v>
      </c>
      <c r="P8" s="4"/>
      <c r="Q8" s="42"/>
      <c r="R8" s="42"/>
      <c r="S8" s="42"/>
      <c r="W8" s="29">
        <f>IF(AO8="  ","  ",IF(AND(AO7="  ",AO9="  "),"?",IF(AO7="  ",1*(AO9-AO8),IF(AO9="  ",1*(AO8-AO7),1*(AO9-AO7)))))</f>
        <v>1.5</v>
      </c>
      <c r="X8" s="30" t="str">
        <f t="shared" si="4"/>
        <v>DW</v>
      </c>
      <c r="Y8" s="30" t="str">
        <f t="shared" si="5"/>
        <v>-</v>
      </c>
      <c r="Z8" s="29" t="b">
        <f t="shared" si="6"/>
        <v>1</v>
      </c>
      <c r="AA8" s="29" t="b">
        <f t="shared" si="7"/>
        <v>1</v>
      </c>
      <c r="AB8" s="29" t="str">
        <f t="shared" ca="1" si="8"/>
        <v>141-1</v>
      </c>
      <c r="AC8" s="29">
        <f t="shared" si="34"/>
        <v>5</v>
      </c>
      <c r="AD8" s="29">
        <f t="shared" ca="1" si="9"/>
        <v>5</v>
      </c>
      <c r="AE8" s="29">
        <v>5</v>
      </c>
      <c r="AF8" s="31">
        <f t="shared" si="10"/>
        <v>1</v>
      </c>
      <c r="AG8" s="29" t="b">
        <f t="shared" si="11"/>
        <v>1</v>
      </c>
      <c r="AH8" s="30" t="str">
        <f t="shared" si="12"/>
        <v>141-1</v>
      </c>
      <c r="AI8" s="30" t="str">
        <f t="shared" ca="1" si="13"/>
        <v>(1/2)*(1/3)</v>
      </c>
      <c r="AJ8" s="29">
        <f t="shared" ca="1" si="14"/>
        <v>0.16666666666666666</v>
      </c>
      <c r="AK8" s="29" t="str">
        <f t="shared" si="15"/>
        <v>1/3</v>
      </c>
      <c r="AL8" s="29">
        <f t="shared" si="16"/>
        <v>0.33333333333333331</v>
      </c>
      <c r="AM8" s="32">
        <f t="shared" ca="1" si="35"/>
        <v>0.5</v>
      </c>
      <c r="AO8" s="20">
        <f>Tools!$AD7</f>
        <v>2</v>
      </c>
      <c r="AP8" s="33">
        <f t="shared" si="36"/>
        <v>8.0399999999999991</v>
      </c>
      <c r="AQ8" s="34" t="str">
        <f t="shared" ca="1" si="18"/>
        <v>(1/2)*(1/3)+1/3</v>
      </c>
      <c r="AR8" s="23">
        <f t="shared" ca="1" si="19"/>
        <v>4.0199999999999996</v>
      </c>
      <c r="AS8" s="24">
        <f t="shared" si="20"/>
        <v>-8</v>
      </c>
      <c r="AT8" s="23">
        <f t="shared" ca="1" si="37"/>
        <v>-32.159999999999997</v>
      </c>
      <c r="AU8" s="23">
        <f t="shared" ca="1" si="40"/>
        <v>257.27999999999997</v>
      </c>
      <c r="AV8" s="23">
        <f t="shared" si="21"/>
        <v>519.71846399999981</v>
      </c>
      <c r="AW8" s="23">
        <f t="shared" ca="1" si="22"/>
        <v>259.85923199999991</v>
      </c>
      <c r="AY8" s="35">
        <f t="shared" si="23"/>
        <v>94.956666666666649</v>
      </c>
      <c r="AZ8" s="23">
        <f ca="1">IFERROR(AY8*AM8,"  ")</f>
        <v>47.478333333333325</v>
      </c>
      <c r="BA8" s="36">
        <f t="shared" si="25"/>
        <v>583.94000000000005</v>
      </c>
      <c r="BB8" s="27">
        <f t="shared" ca="1" si="38"/>
        <v>291.97000000000003</v>
      </c>
      <c r="BC8" s="23">
        <f t="shared" ca="1" si="39"/>
        <v>-379.8266666666666</v>
      </c>
      <c r="BE8" s="8" t="s">
        <v>30</v>
      </c>
      <c r="BF8" s="9" t="s">
        <v>8</v>
      </c>
      <c r="BG8" s="10">
        <f ca="1">LBP-AJ33</f>
        <v>146.19999999999999</v>
      </c>
      <c r="BH8" t="str">
        <f ca="1">IF(AJ33&gt;0,CONCATENATE("(LWL is assumed between stations ",$AH$31," and ",$AH$33," as offset values extreme to these stations are zeros.)"),"")</f>
        <v/>
      </c>
    </row>
    <row r="9" spans="1:60" x14ac:dyDescent="0.25">
      <c r="A9" s="20">
        <f>Tools!$AD8</f>
        <v>3</v>
      </c>
      <c r="B9" s="33">
        <f t="shared" si="0"/>
        <v>9.5399999999999991</v>
      </c>
      <c r="C9" s="22">
        <f>IF(A9="  ","  ",IF(AND(A8="  ",A10="  "),"?",IF(A8="  ",2*(A10-A9),IF(A10="  ",2*(A9-A8),2*(A10-A8)))))</f>
        <v>4</v>
      </c>
      <c r="D9" s="23">
        <f t="shared" si="26"/>
        <v>38.159999999999997</v>
      </c>
      <c r="E9" s="24">
        <f t="shared" si="1"/>
        <v>-7</v>
      </c>
      <c r="F9" s="23">
        <f t="shared" si="27"/>
        <v>-267.12</v>
      </c>
      <c r="G9" s="23">
        <f t="shared" si="28"/>
        <v>1869.8400000000001</v>
      </c>
      <c r="H9" s="23">
        <f t="shared" si="29"/>
        <v>868.2506639999998</v>
      </c>
      <c r="I9" s="23">
        <f t="shared" si="30"/>
        <v>3473.0026559999992</v>
      </c>
      <c r="J9" s="4"/>
      <c r="K9" s="37">
        <f t="shared" si="2"/>
        <v>137.83666666666664</v>
      </c>
      <c r="L9" s="23">
        <f t="shared" si="31"/>
        <v>551.34666666666658</v>
      </c>
      <c r="M9" s="38">
        <f t="shared" si="3"/>
        <v>794.31999999999994</v>
      </c>
      <c r="N9" s="27">
        <f t="shared" si="32"/>
        <v>3177.2799999999997</v>
      </c>
      <c r="O9" s="23">
        <f t="shared" si="33"/>
        <v>-3859.4266666666663</v>
      </c>
      <c r="P9" s="4"/>
      <c r="Q9" s="43" t="s">
        <v>31</v>
      </c>
      <c r="R9" s="44" t="s">
        <v>32</v>
      </c>
      <c r="S9" s="489" t="s">
        <v>33</v>
      </c>
      <c r="W9" s="29">
        <f>IF(AO9="  ","  ",IF(AND(AO8="  ",AO10="  "),"?",IF(AO8="  ",2*(AO10-AO9),IF(AO10="  ",2*(AO9-AO8),2*(AO10-AO8)))))</f>
        <v>4</v>
      </c>
      <c r="X9" s="30" t="str">
        <f t="shared" si="4"/>
        <v>WW</v>
      </c>
      <c r="Y9" s="30" t="str">
        <f t="shared" si="5"/>
        <v>-</v>
      </c>
      <c r="Z9" s="29" t="b">
        <f t="shared" si="6"/>
        <v>0</v>
      </c>
      <c r="AA9" s="29" t="b">
        <f t="shared" si="7"/>
        <v>0</v>
      </c>
      <c r="AB9" s="29" t="str">
        <f t="shared" ca="1" si="8"/>
        <v>++</v>
      </c>
      <c r="AC9" s="29">
        <f t="shared" si="34"/>
        <v>6</v>
      </c>
      <c r="AD9" s="29">
        <f t="shared" ca="1" si="9"/>
        <v>6</v>
      </c>
      <c r="AE9" s="29">
        <v>6</v>
      </c>
      <c r="AF9" s="31">
        <f>IF(AND(AG9=TRUE,OR(NOT(AG8=TRUE),AG8="Full")),1,IF(ISNUMBER(AF8),AF8+1," "))</f>
        <v>2</v>
      </c>
      <c r="AG9" s="29" t="b">
        <f t="shared" si="11"/>
        <v>1</v>
      </c>
      <c r="AH9" s="30" t="str">
        <f t="shared" ca="1" si="12"/>
        <v>141-4</v>
      </c>
      <c r="AI9" s="30" t="str">
        <f t="shared" ca="1" si="13"/>
        <v/>
      </c>
      <c r="AJ9" s="29">
        <f t="shared" ca="1" si="14"/>
        <v>0</v>
      </c>
      <c r="AK9" s="29" t="str">
        <f t="shared" ca="1" si="15"/>
        <v>4/3</v>
      </c>
      <c r="AL9" s="29">
        <f t="shared" ca="1" si="16"/>
        <v>1.3333333333333333</v>
      </c>
      <c r="AM9" s="32">
        <f t="shared" ca="1" si="35"/>
        <v>1.3333333333333333</v>
      </c>
      <c r="AO9" s="20">
        <f>Tools!$AD8</f>
        <v>3</v>
      </c>
      <c r="AP9" s="33">
        <f t="shared" si="36"/>
        <v>9.5399999999999991</v>
      </c>
      <c r="AQ9" s="34" t="str">
        <f t="shared" ca="1" si="18"/>
        <v>4/3</v>
      </c>
      <c r="AR9" s="23">
        <f t="shared" ca="1" si="19"/>
        <v>12.719999999999999</v>
      </c>
      <c r="AS9" s="24">
        <f t="shared" si="20"/>
        <v>-7</v>
      </c>
      <c r="AT9" s="23">
        <f t="shared" ca="1" si="37"/>
        <v>-89.039999999999992</v>
      </c>
      <c r="AU9" s="23">
        <f t="shared" ca="1" si="40"/>
        <v>623.28</v>
      </c>
      <c r="AV9" s="23">
        <f t="shared" si="21"/>
        <v>868.2506639999998</v>
      </c>
      <c r="AW9" s="23">
        <f t="shared" ca="1" si="22"/>
        <v>1157.6675519999997</v>
      </c>
      <c r="AY9" s="35">
        <f t="shared" si="23"/>
        <v>137.83666666666664</v>
      </c>
      <c r="AZ9" s="23">
        <f t="shared" ref="AZ9:AZ28" ca="1" si="41">IFERROR(AY9*AM9,"  ")</f>
        <v>183.78222222222217</v>
      </c>
      <c r="BA9" s="36">
        <f t="shared" si="25"/>
        <v>794.31999999999994</v>
      </c>
      <c r="BB9" s="27">
        <f t="shared" ca="1" si="38"/>
        <v>1059.0933333333332</v>
      </c>
      <c r="BC9" s="23">
        <f t="shared" ca="1" si="39"/>
        <v>-1286.4755555555553</v>
      </c>
    </row>
    <row r="10" spans="1:60" x14ac:dyDescent="0.25">
      <c r="A10" s="20">
        <f>Tools!$AD9</f>
        <v>4</v>
      </c>
      <c r="B10" s="33">
        <f t="shared" si="0"/>
        <v>10.5</v>
      </c>
      <c r="C10" s="22">
        <f>IF(A10="  ","  ",IF(AND(A9="  ",A11="  "),"?",IF(A9="  ",1*(A11-A10),IF(A11="  ",1*(A10-A9),1*(A11-A9)))))</f>
        <v>2</v>
      </c>
      <c r="D10" s="23">
        <f t="shared" si="26"/>
        <v>21</v>
      </c>
      <c r="E10" s="24">
        <f t="shared" si="1"/>
        <v>-6</v>
      </c>
      <c r="F10" s="23">
        <f t="shared" si="27"/>
        <v>-126</v>
      </c>
      <c r="G10" s="23">
        <f t="shared" si="28"/>
        <v>756</v>
      </c>
      <c r="H10" s="23">
        <f t="shared" si="29"/>
        <v>1157.625</v>
      </c>
      <c r="I10" s="23">
        <f>IFERROR(H10*C10,"  ")</f>
        <v>2315.25</v>
      </c>
      <c r="J10" s="4"/>
      <c r="K10" s="37">
        <f t="shared" si="2"/>
        <v>172.78999999999996</v>
      </c>
      <c r="L10" s="23">
        <f t="shared" si="31"/>
        <v>345.57999999999993</v>
      </c>
      <c r="M10" s="38">
        <f t="shared" si="3"/>
        <v>951.5</v>
      </c>
      <c r="N10" s="27">
        <f t="shared" si="32"/>
        <v>1903</v>
      </c>
      <c r="O10" s="23">
        <f t="shared" si="33"/>
        <v>-2073.4799999999996</v>
      </c>
      <c r="P10" s="4"/>
      <c r="Q10" s="45"/>
      <c r="R10" s="46"/>
      <c r="S10" s="490"/>
      <c r="W10" s="29">
        <f>IF(AO10="  ","  ",IF(AND(AO9="  ",AO11="  "),"?",IF(AO9="  ",1*(AO11-AO10),IF(AO11="  ",1*(AO10-AO9),1*(AO11-AO9)))))</f>
        <v>2</v>
      </c>
      <c r="X10" s="30" t="str">
        <f t="shared" si="4"/>
        <v>WW</v>
      </c>
      <c r="Y10" s="30" t="str">
        <f t="shared" si="5"/>
        <v>-</v>
      </c>
      <c r="Z10" s="29" t="b">
        <f t="shared" si="6"/>
        <v>0</v>
      </c>
      <c r="AA10" s="29" t="b">
        <f t="shared" si="7"/>
        <v>0</v>
      </c>
      <c r="AB10" s="29" t="str">
        <f t="shared" ca="1" si="8"/>
        <v>++</v>
      </c>
      <c r="AC10" s="29">
        <f t="shared" si="34"/>
        <v>7</v>
      </c>
      <c r="AD10" s="29">
        <f t="shared" ca="1" si="9"/>
        <v>7</v>
      </c>
      <c r="AE10" s="29">
        <v>7</v>
      </c>
      <c r="AF10" s="31">
        <f t="shared" ref="AF10:AF28" si="42">IF(AND(AG10=TRUE,OR(NOT(AG9=TRUE),AG9="Full")),1,IF(ISNUMBER(AF9),AF9+1," "))</f>
        <v>3</v>
      </c>
      <c r="AG10" s="29" t="b">
        <f t="shared" si="11"/>
        <v>1</v>
      </c>
      <c r="AH10" s="30" t="str">
        <f t="shared" ca="1" si="12"/>
        <v>141-2</v>
      </c>
      <c r="AI10" s="30" t="str">
        <f t="shared" ca="1" si="13"/>
        <v/>
      </c>
      <c r="AJ10" s="29">
        <f t="shared" ca="1" si="14"/>
        <v>0</v>
      </c>
      <c r="AK10" s="29" t="str">
        <f t="shared" ca="1" si="15"/>
        <v>2/3</v>
      </c>
      <c r="AL10" s="29">
        <f t="shared" ca="1" si="16"/>
        <v>0.66666666666666663</v>
      </c>
      <c r="AM10" s="32">
        <f t="shared" ca="1" si="35"/>
        <v>0.66666666666666663</v>
      </c>
      <c r="AO10" s="20">
        <f>Tools!$AD9</f>
        <v>4</v>
      </c>
      <c r="AP10" s="33">
        <f t="shared" si="36"/>
        <v>10.5</v>
      </c>
      <c r="AQ10" s="34" t="str">
        <f t="shared" ca="1" si="18"/>
        <v>2/3</v>
      </c>
      <c r="AR10" s="23">
        <f t="shared" ca="1" si="19"/>
        <v>7</v>
      </c>
      <c r="AS10" s="24">
        <f t="shared" si="20"/>
        <v>-6</v>
      </c>
      <c r="AT10" s="23">
        <f t="shared" ca="1" si="37"/>
        <v>-42</v>
      </c>
      <c r="AU10" s="23">
        <f ca="1">IFERROR(AT10*AS10,"  ")</f>
        <v>252</v>
      </c>
      <c r="AV10" s="23">
        <f t="shared" si="21"/>
        <v>1157.625</v>
      </c>
      <c r="AW10" s="23">
        <f t="shared" ca="1" si="22"/>
        <v>771.75</v>
      </c>
      <c r="AY10" s="35">
        <f t="shared" si="23"/>
        <v>172.78999999999996</v>
      </c>
      <c r="AZ10" s="23">
        <f t="shared" ca="1" si="41"/>
        <v>115.1933333333333</v>
      </c>
      <c r="BA10" s="36">
        <f t="shared" si="25"/>
        <v>951.5</v>
      </c>
      <c r="BB10" s="27">
        <f t="shared" ca="1" si="38"/>
        <v>634.33333333333326</v>
      </c>
      <c r="BC10" s="23">
        <f t="shared" ca="1" si="39"/>
        <v>-691.15999999999985</v>
      </c>
      <c r="BE10" s="43" t="s">
        <v>31</v>
      </c>
      <c r="BF10" s="44" t="s">
        <v>32</v>
      </c>
      <c r="BG10" s="489" t="s">
        <v>33</v>
      </c>
    </row>
    <row r="11" spans="1:60" x14ac:dyDescent="0.25">
      <c r="A11" s="20">
        <f>Tools!$AD10</f>
        <v>5</v>
      </c>
      <c r="B11" s="33">
        <f t="shared" si="0"/>
        <v>10.74</v>
      </c>
      <c r="C11" s="22">
        <f>IF(A11="  ","  ",IF(AND(A10="  ",A12="  "),"?",IF(A10="  ",2*(A12-A11),IF(A12="  ",2*(A11-A10),2*(A12-A10)))))</f>
        <v>4</v>
      </c>
      <c r="D11" s="23">
        <f t="shared" si="26"/>
        <v>42.96</v>
      </c>
      <c r="E11" s="24">
        <f t="shared" si="1"/>
        <v>-5</v>
      </c>
      <c r="F11" s="23">
        <f t="shared" si="27"/>
        <v>-214.8</v>
      </c>
      <c r="G11" s="23">
        <f t="shared" si="28"/>
        <v>1074</v>
      </c>
      <c r="H11" s="23">
        <f t="shared" si="29"/>
        <v>1238.833224</v>
      </c>
      <c r="I11" s="23">
        <f t="shared" si="30"/>
        <v>4955.3328959999999</v>
      </c>
      <c r="J11" s="4"/>
      <c r="K11" s="37">
        <f t="shared" si="2"/>
        <v>195.05666666666667</v>
      </c>
      <c r="L11" s="23">
        <f t="shared" si="31"/>
        <v>780.22666666666669</v>
      </c>
      <c r="M11" s="38">
        <f t="shared" si="3"/>
        <v>1029.5666666666666</v>
      </c>
      <c r="N11" s="27">
        <f t="shared" si="32"/>
        <v>4118.2666666666664</v>
      </c>
      <c r="O11" s="23">
        <f t="shared" si="33"/>
        <v>-3901.1333333333332</v>
      </c>
      <c r="P11" s="4"/>
      <c r="Q11" s="47" t="s">
        <v>34</v>
      </c>
      <c r="R11" s="48" t="s">
        <v>35</v>
      </c>
      <c r="S11">
        <f>IF(Tools!$L$49="Use 141 rule only",I35,IF(Tools!$L$49="Use 141 and 1331 rules",BG12," "))</f>
        <v>2794.6734293333334</v>
      </c>
      <c r="W11" s="29">
        <f>IF(AO11="  ","  ",IF(AND(AO10="  ",AO12="  "),"?",IF(AO10="  ",2*(AO12-AO11),IF(AO12="  ",2*(AO11-AO10),2*(AO12-AO10)))))</f>
        <v>4</v>
      </c>
      <c r="X11" s="30" t="str">
        <f t="shared" si="4"/>
        <v>WW</v>
      </c>
      <c r="Y11" s="30" t="str">
        <f t="shared" si="5"/>
        <v>-</v>
      </c>
      <c r="Z11" s="29" t="b">
        <f t="shared" si="6"/>
        <v>0</v>
      </c>
      <c r="AA11" s="29" t="b">
        <f t="shared" si="7"/>
        <v>0</v>
      </c>
      <c r="AB11" s="29" t="str">
        <f t="shared" ca="1" si="8"/>
        <v>++</v>
      </c>
      <c r="AC11" s="29">
        <f t="shared" si="34"/>
        <v>8</v>
      </c>
      <c r="AD11" s="29">
        <f t="shared" ca="1" si="9"/>
        <v>8</v>
      </c>
      <c r="AE11" s="29">
        <v>8</v>
      </c>
      <c r="AF11" s="31">
        <f t="shared" si="42"/>
        <v>4</v>
      </c>
      <c r="AG11" s="29" t="b">
        <f t="shared" si="11"/>
        <v>1</v>
      </c>
      <c r="AH11" s="30" t="str">
        <f t="shared" ca="1" si="12"/>
        <v>141-4</v>
      </c>
      <c r="AI11" s="30" t="str">
        <f t="shared" ca="1" si="13"/>
        <v/>
      </c>
      <c r="AJ11" s="29">
        <f t="shared" ca="1" si="14"/>
        <v>0</v>
      </c>
      <c r="AK11" s="29" t="str">
        <f t="shared" ca="1" si="15"/>
        <v>4/3</v>
      </c>
      <c r="AL11" s="29">
        <f t="shared" ca="1" si="16"/>
        <v>1.3333333333333333</v>
      </c>
      <c r="AM11" s="32">
        <f t="shared" ca="1" si="35"/>
        <v>1.3333333333333333</v>
      </c>
      <c r="AO11" s="20">
        <f>Tools!$AD10</f>
        <v>5</v>
      </c>
      <c r="AP11" s="33">
        <f t="shared" si="36"/>
        <v>10.74</v>
      </c>
      <c r="AQ11" s="34" t="str">
        <f t="shared" ca="1" si="18"/>
        <v>4/3</v>
      </c>
      <c r="AR11" s="23">
        <f t="shared" ca="1" si="19"/>
        <v>14.32</v>
      </c>
      <c r="AS11" s="24">
        <f t="shared" si="20"/>
        <v>-5</v>
      </c>
      <c r="AT11" s="23">
        <f t="shared" ca="1" si="37"/>
        <v>-71.599999999999994</v>
      </c>
      <c r="AU11" s="23">
        <f t="shared" ca="1" si="40"/>
        <v>358</v>
      </c>
      <c r="AV11" s="23">
        <f t="shared" si="21"/>
        <v>1238.833224</v>
      </c>
      <c r="AW11" s="23">
        <f t="shared" ca="1" si="22"/>
        <v>1651.7776319999998</v>
      </c>
      <c r="AY11" s="35">
        <f t="shared" si="23"/>
        <v>195.05666666666667</v>
      </c>
      <c r="AZ11" s="23">
        <f t="shared" ca="1" si="41"/>
        <v>260.07555555555552</v>
      </c>
      <c r="BA11" s="36">
        <f t="shared" si="25"/>
        <v>1029.5666666666666</v>
      </c>
      <c r="BB11" s="27">
        <f t="shared" ca="1" si="38"/>
        <v>1372.7555555555555</v>
      </c>
      <c r="BC11" s="23">
        <f ca="1">IFERROR(AZ11*AS11,"  ")</f>
        <v>-1300.3777777777777</v>
      </c>
      <c r="BE11" s="45"/>
      <c r="BF11" s="46"/>
      <c r="BG11" s="490"/>
    </row>
    <row r="12" spans="1:60" x14ac:dyDescent="0.25">
      <c r="A12" s="20">
        <f>Tools!$AD11</f>
        <v>6</v>
      </c>
      <c r="B12" s="33">
        <f t="shared" si="0"/>
        <v>11</v>
      </c>
      <c r="C12" s="22">
        <f>IF(A12="  ","  ",IF(AND(A11="  ",A13="  "),"?",IF(A11="  ",1*(A13-A12),IF(A13="  ",1*(A12-A11),1*(A13-A11)))))</f>
        <v>2</v>
      </c>
      <c r="D12" s="23">
        <f t="shared" si="26"/>
        <v>22</v>
      </c>
      <c r="E12" s="24">
        <f t="shared" si="1"/>
        <v>-4</v>
      </c>
      <c r="F12" s="23">
        <f t="shared" si="27"/>
        <v>-88</v>
      </c>
      <c r="G12" s="23">
        <f t="shared" si="28"/>
        <v>352</v>
      </c>
      <c r="H12" s="23">
        <f t="shared" si="29"/>
        <v>1331</v>
      </c>
      <c r="I12" s="23">
        <f t="shared" si="30"/>
        <v>2662</v>
      </c>
      <c r="J12" s="4"/>
      <c r="K12" s="37">
        <f t="shared" si="2"/>
        <v>211.0866666666667</v>
      </c>
      <c r="L12" s="23">
        <f t="shared" si="31"/>
        <v>422.1733333333334</v>
      </c>
      <c r="M12" s="38">
        <f t="shared" si="3"/>
        <v>1086.9466666666667</v>
      </c>
      <c r="N12" s="27">
        <f t="shared" si="32"/>
        <v>2173.8933333333334</v>
      </c>
      <c r="O12" s="23">
        <f t="shared" si="33"/>
        <v>-1688.6933333333336</v>
      </c>
      <c r="P12" s="4"/>
      <c r="Q12" s="47" t="s">
        <v>36</v>
      </c>
      <c r="R12" s="48" t="s">
        <v>37</v>
      </c>
      <c r="S12">
        <f>IF(Tools!$L$49="Use 141 rule only",I36,IF(Tools!$L$49="Use 141 and 1331 rules",BG13," "))</f>
        <v>-857.5496576133321</v>
      </c>
      <c r="W12" s="29">
        <f>IF(AO12="  ","  ",IF(AND(AO11="  ",AO13="  "),"?",IF(AO11="  ",1*(AO13-AO12),IF(AO13="  ",1*(AO12-AO11),1*(AO13-AO11)))))</f>
        <v>2</v>
      </c>
      <c r="X12" s="30" t="str">
        <f t="shared" si="4"/>
        <v>WW</v>
      </c>
      <c r="Y12" s="30" t="str">
        <f t="shared" si="5"/>
        <v>-</v>
      </c>
      <c r="Z12" s="29" t="b">
        <f t="shared" si="6"/>
        <v>0</v>
      </c>
      <c r="AA12" s="29" t="b">
        <f t="shared" si="7"/>
        <v>0</v>
      </c>
      <c r="AB12" s="29" t="str">
        <f t="shared" ca="1" si="8"/>
        <v>++</v>
      </c>
      <c r="AC12" s="29">
        <f t="shared" si="34"/>
        <v>9</v>
      </c>
      <c r="AD12" s="29">
        <f t="shared" ca="1" si="9"/>
        <v>9</v>
      </c>
      <c r="AE12" s="29">
        <v>9</v>
      </c>
      <c r="AF12" s="31">
        <f t="shared" si="42"/>
        <v>5</v>
      </c>
      <c r="AG12" s="29" t="b">
        <f t="shared" si="11"/>
        <v>1</v>
      </c>
      <c r="AH12" s="30" t="str">
        <f t="shared" ca="1" si="12"/>
        <v>141-2</v>
      </c>
      <c r="AI12" s="30" t="str">
        <f t="shared" ca="1" si="13"/>
        <v/>
      </c>
      <c r="AJ12" s="29">
        <f t="shared" ca="1" si="14"/>
        <v>0</v>
      </c>
      <c r="AK12" s="29" t="str">
        <f t="shared" ca="1" si="15"/>
        <v>2/3</v>
      </c>
      <c r="AL12" s="29">
        <f t="shared" ca="1" si="16"/>
        <v>0.66666666666666663</v>
      </c>
      <c r="AM12" s="32">
        <f t="shared" ca="1" si="35"/>
        <v>0.66666666666666663</v>
      </c>
      <c r="AO12" s="20">
        <f>Tools!$AD11</f>
        <v>6</v>
      </c>
      <c r="AP12" s="33">
        <f t="shared" si="36"/>
        <v>11</v>
      </c>
      <c r="AQ12" s="34" t="str">
        <f t="shared" ca="1" si="18"/>
        <v>2/3</v>
      </c>
      <c r="AR12" s="23">
        <f t="shared" ca="1" si="19"/>
        <v>7.333333333333333</v>
      </c>
      <c r="AS12" s="24">
        <f t="shared" si="20"/>
        <v>-4</v>
      </c>
      <c r="AT12" s="23">
        <f t="shared" ca="1" si="37"/>
        <v>-29.333333333333332</v>
      </c>
      <c r="AU12" s="23">
        <f t="shared" ca="1" si="40"/>
        <v>117.33333333333333</v>
      </c>
      <c r="AV12" s="23">
        <f t="shared" si="21"/>
        <v>1331</v>
      </c>
      <c r="AW12" s="23">
        <f t="shared" ca="1" si="22"/>
        <v>887.33333333333326</v>
      </c>
      <c r="AY12" s="35">
        <f t="shared" si="23"/>
        <v>211.0866666666667</v>
      </c>
      <c r="AZ12" s="23">
        <f t="shared" ca="1" si="41"/>
        <v>140.72444444444446</v>
      </c>
      <c r="BA12" s="36">
        <f t="shared" si="25"/>
        <v>1086.9466666666667</v>
      </c>
      <c r="BB12" s="27">
        <f t="shared" ca="1" si="38"/>
        <v>724.63111111111107</v>
      </c>
      <c r="BC12" s="23">
        <f t="shared" ca="1" si="39"/>
        <v>-562.89777777777783</v>
      </c>
      <c r="BE12" s="47" t="s">
        <v>34</v>
      </c>
      <c r="BF12" s="48" t="s">
        <v>38</v>
      </c>
      <c r="BG12" s="49">
        <f ca="1">IF(WL_No="  ","  ",2*h*$AR$29)</f>
        <v>2794.6734293333334</v>
      </c>
    </row>
    <row r="13" spans="1:60" x14ac:dyDescent="0.25">
      <c r="A13" s="20">
        <f>Tools!$AD12</f>
        <v>7</v>
      </c>
      <c r="B13" s="33">
        <f t="shared" si="0"/>
        <v>11</v>
      </c>
      <c r="C13" s="22">
        <f>IF(A13="  ","  ",IF(AND(A12="  ",A14="  "),"?",IF(A12="  ",2*(A14-A13),IF(A14="  ",2*(A13-A12),2*(A14-A12)))))</f>
        <v>4</v>
      </c>
      <c r="D13" s="23">
        <f t="shared" si="26"/>
        <v>44</v>
      </c>
      <c r="E13" s="24">
        <f t="shared" si="1"/>
        <v>-3</v>
      </c>
      <c r="F13" s="23">
        <f t="shared" si="27"/>
        <v>-132</v>
      </c>
      <c r="G13" s="23">
        <f t="shared" si="28"/>
        <v>396</v>
      </c>
      <c r="H13" s="23">
        <f t="shared" si="29"/>
        <v>1331</v>
      </c>
      <c r="I13" s="23">
        <f t="shared" si="30"/>
        <v>5324</v>
      </c>
      <c r="J13" s="4"/>
      <c r="K13" s="37">
        <f t="shared" si="2"/>
        <v>216.44</v>
      </c>
      <c r="L13" s="23">
        <f t="shared" si="31"/>
        <v>865.76</v>
      </c>
      <c r="M13" s="38">
        <f t="shared" si="3"/>
        <v>1097.2866666666666</v>
      </c>
      <c r="N13" s="27">
        <f t="shared" si="32"/>
        <v>4389.1466666666665</v>
      </c>
      <c r="O13" s="23">
        <f t="shared" si="33"/>
        <v>-2597.2799999999997</v>
      </c>
      <c r="P13" s="4"/>
      <c r="Q13" s="50" t="s">
        <v>39</v>
      </c>
      <c r="R13" s="48" t="s">
        <v>40</v>
      </c>
      <c r="S13">
        <f>IF(Tools!$L$49="Use 141 rule only",I37,IF(Tools!$L$49="Use 141 and 1331 rules",BG14," "))</f>
        <v>-0.30685147273822966</v>
      </c>
      <c r="W13" s="29">
        <f>IF(AO13="  ","  ",IF(AND(AO12="  ",AO14="  "),"?",IF(AO12="  ",2*(AO14-AO13),IF(AO14="  ",2*(AO13-AO12),2*(AO14-AO12)))))</f>
        <v>4</v>
      </c>
      <c r="X13" s="30" t="str">
        <f t="shared" si="4"/>
        <v>WW</v>
      </c>
      <c r="Y13" s="30" t="str">
        <f t="shared" si="5"/>
        <v>-</v>
      </c>
      <c r="Z13" s="29" t="b">
        <f t="shared" si="6"/>
        <v>0</v>
      </c>
      <c r="AA13" s="29" t="b">
        <f t="shared" si="7"/>
        <v>0</v>
      </c>
      <c r="AB13" s="29" t="str">
        <f t="shared" ca="1" si="8"/>
        <v>++</v>
      </c>
      <c r="AC13" s="29">
        <f t="shared" si="34"/>
        <v>10</v>
      </c>
      <c r="AD13" s="29">
        <f t="shared" ca="1" si="9"/>
        <v>10</v>
      </c>
      <c r="AE13" s="29">
        <v>10</v>
      </c>
      <c r="AF13" s="31">
        <f t="shared" si="42"/>
        <v>6</v>
      </c>
      <c r="AG13" s="29" t="b">
        <f t="shared" si="11"/>
        <v>1</v>
      </c>
      <c r="AH13" s="30" t="str">
        <f t="shared" ca="1" si="12"/>
        <v>141-4</v>
      </c>
      <c r="AI13" s="30" t="str">
        <f t="shared" ca="1" si="13"/>
        <v/>
      </c>
      <c r="AJ13" s="29">
        <f t="shared" ca="1" si="14"/>
        <v>0</v>
      </c>
      <c r="AK13" s="29" t="str">
        <f t="shared" ca="1" si="15"/>
        <v>4/3</v>
      </c>
      <c r="AL13" s="29">
        <f t="shared" ca="1" si="16"/>
        <v>1.3333333333333333</v>
      </c>
      <c r="AM13" s="32">
        <f t="shared" ca="1" si="35"/>
        <v>1.3333333333333333</v>
      </c>
      <c r="AO13" s="20">
        <f>Tools!$AD12</f>
        <v>7</v>
      </c>
      <c r="AP13" s="33">
        <f t="shared" si="36"/>
        <v>11</v>
      </c>
      <c r="AQ13" s="34" t="str">
        <f t="shared" ca="1" si="18"/>
        <v>4/3</v>
      </c>
      <c r="AR13" s="23">
        <f t="shared" ca="1" si="19"/>
        <v>14.666666666666666</v>
      </c>
      <c r="AS13" s="24">
        <f t="shared" si="20"/>
        <v>-3</v>
      </c>
      <c r="AT13" s="23">
        <f t="shared" ca="1" si="37"/>
        <v>-44</v>
      </c>
      <c r="AU13" s="23">
        <f t="shared" ca="1" si="40"/>
        <v>132</v>
      </c>
      <c r="AV13" s="23">
        <f t="shared" si="21"/>
        <v>1331</v>
      </c>
      <c r="AW13" s="23">
        <f t="shared" ca="1" si="22"/>
        <v>1774.6666666666665</v>
      </c>
      <c r="AY13" s="35">
        <f t="shared" si="23"/>
        <v>216.44</v>
      </c>
      <c r="AZ13" s="23">
        <f t="shared" ca="1" si="41"/>
        <v>288.58666666666664</v>
      </c>
      <c r="BA13" s="36">
        <f t="shared" si="25"/>
        <v>1097.2866666666666</v>
      </c>
      <c r="BB13" s="27">
        <f t="shared" ca="1" si="38"/>
        <v>1463.0488888888888</v>
      </c>
      <c r="BC13" s="23">
        <f t="shared" ca="1" si="39"/>
        <v>-865.76</v>
      </c>
      <c r="BE13" s="47" t="s">
        <v>36</v>
      </c>
      <c r="BF13" s="48" t="s">
        <v>41</v>
      </c>
      <c r="BG13" s="49">
        <f ca="1">IF(WL_No="  ","  ",2*(h^2)*$AT$29)</f>
        <v>-857.54965761333779</v>
      </c>
    </row>
    <row r="14" spans="1:60" x14ac:dyDescent="0.25">
      <c r="A14" s="20">
        <f>Tools!$AD13</f>
        <v>8</v>
      </c>
      <c r="B14" s="33">
        <f t="shared" si="0"/>
        <v>11</v>
      </c>
      <c r="C14" s="22">
        <f>IF(A14="  ","  ",IF(AND(A13="  ",A15="  "),"?",IF(A13="  ",1*(A15-A14),IF(A15="  ",1*(A14-A13),1*(A15-A13)))))</f>
        <v>2</v>
      </c>
      <c r="D14" s="23">
        <f t="shared" si="26"/>
        <v>22</v>
      </c>
      <c r="E14" s="24">
        <f t="shared" si="1"/>
        <v>-2</v>
      </c>
      <c r="F14" s="23">
        <f t="shared" si="27"/>
        <v>-44</v>
      </c>
      <c r="G14" s="23">
        <f t="shared" si="28"/>
        <v>88</v>
      </c>
      <c r="H14" s="23">
        <f t="shared" si="29"/>
        <v>1331</v>
      </c>
      <c r="I14" s="23">
        <f t="shared" si="30"/>
        <v>2662</v>
      </c>
      <c r="J14" s="4"/>
      <c r="K14" s="37">
        <f t="shared" si="2"/>
        <v>218.25333333333333</v>
      </c>
      <c r="L14" s="23">
        <f t="shared" si="31"/>
        <v>436.50666666666666</v>
      </c>
      <c r="M14" s="38">
        <f t="shared" si="3"/>
        <v>1099.1333333333332</v>
      </c>
      <c r="N14" s="27">
        <f t="shared" si="32"/>
        <v>2198.2666666666664</v>
      </c>
      <c r="O14" s="23">
        <f t="shared" si="33"/>
        <v>-873.01333333333332</v>
      </c>
      <c r="P14" s="4"/>
      <c r="Q14" s="50" t="s">
        <v>42</v>
      </c>
      <c r="R14" s="48" t="s">
        <v>43</v>
      </c>
      <c r="S14">
        <f>IF(Tools!$L$49="Use 141 rule only",I38,IF(Tools!$L$49="Use 141 and 1331 rules",BG15," "))</f>
        <v>3959276.6676125312</v>
      </c>
      <c r="W14" s="29">
        <f>IF(AO14="  ","  ",IF(AND(AO13="  ",AO15="  "),"?",IF(AO13="  ",1*(AO15-AO14),IF(AO15="  ",1*(AO14-AO13),1*(AO15-AO13)))))</f>
        <v>2</v>
      </c>
      <c r="X14" s="30" t="str">
        <f t="shared" si="4"/>
        <v>WW</v>
      </c>
      <c r="Y14" s="30" t="str">
        <f t="shared" si="5"/>
        <v>-</v>
      </c>
      <c r="Z14" s="29" t="b">
        <f t="shared" si="6"/>
        <v>0</v>
      </c>
      <c r="AA14" s="29" t="b">
        <f t="shared" si="7"/>
        <v>0</v>
      </c>
      <c r="AB14" s="29" t="str">
        <f t="shared" ca="1" si="8"/>
        <v>++</v>
      </c>
      <c r="AC14" s="29">
        <f t="shared" si="34"/>
        <v>11</v>
      </c>
      <c r="AD14" s="29">
        <f t="shared" ca="1" si="9"/>
        <v>11</v>
      </c>
      <c r="AE14" s="29">
        <v>11</v>
      </c>
      <c r="AF14" s="31">
        <f t="shared" si="42"/>
        <v>7</v>
      </c>
      <c r="AG14" s="29" t="b">
        <f t="shared" si="11"/>
        <v>1</v>
      </c>
      <c r="AH14" s="30" t="str">
        <f ca="1">IF(AND(AG14=TRUE,$AH$1=1),"141-4",IF(AG14=" ",IF(AND($AH$1=2,AF14=3),"141-1","-"),IF(OR(AG14=FALSE,AG14=" "),"-",IF(AG14=TRUE,IF(AND($AH$1=2,AF14=1),"141-1",IF(AND($AH$1=2,AF14=2),"141-4",IF(OR(ISODD($AH$1),AF14&gt;4),IF(AF14=1,"141-1",IF(OR(AB14="141-1",AB14="1331-1",AB14="1331-1,141-1"),"141-1",IF(AG15=" ","141-1",IF(OR(AH13="141-1",AH13="141-2",AH13="1331-1,141-1"),"141-4",IF(AH13="141-4","141-2","$$"))))),IF(ISEVEN($AH$1),IF(AF14=1,"1331-1",IF(OR(AF14=2,AF14=3),"1331-3",IF(AF14=4,IF($AH$1=4,"1331-1","1331-1,141-1"),"")))))))))))</f>
        <v>141-2</v>
      </c>
      <c r="AI14" s="30" t="str">
        <f t="shared" ca="1" si="13"/>
        <v/>
      </c>
      <c r="AJ14" s="29">
        <f t="shared" ca="1" si="14"/>
        <v>0</v>
      </c>
      <c r="AK14" s="29" t="str">
        <f t="shared" ca="1" si="15"/>
        <v>2/3</v>
      </c>
      <c r="AL14" s="29">
        <f t="shared" ca="1" si="16"/>
        <v>0.66666666666666663</v>
      </c>
      <c r="AM14" s="32">
        <f t="shared" ca="1" si="35"/>
        <v>0.66666666666666663</v>
      </c>
      <c r="AO14" s="20">
        <f>Tools!$AD13</f>
        <v>8</v>
      </c>
      <c r="AP14" s="33">
        <f t="shared" si="36"/>
        <v>11</v>
      </c>
      <c r="AQ14" s="34" t="str">
        <f t="shared" ca="1" si="18"/>
        <v>2/3</v>
      </c>
      <c r="AR14" s="23">
        <f t="shared" ca="1" si="19"/>
        <v>7.333333333333333</v>
      </c>
      <c r="AS14" s="24">
        <f t="shared" si="20"/>
        <v>-2</v>
      </c>
      <c r="AT14" s="23">
        <f t="shared" ca="1" si="37"/>
        <v>-14.666666666666666</v>
      </c>
      <c r="AU14" s="23">
        <f t="shared" ca="1" si="40"/>
        <v>29.333333333333332</v>
      </c>
      <c r="AV14" s="23">
        <f t="shared" si="21"/>
        <v>1331</v>
      </c>
      <c r="AW14" s="23">
        <f t="shared" ca="1" si="22"/>
        <v>887.33333333333326</v>
      </c>
      <c r="AY14" s="35">
        <f t="shared" si="23"/>
        <v>218.25333333333333</v>
      </c>
      <c r="AZ14" s="23">
        <f t="shared" ca="1" si="41"/>
        <v>145.5022222222222</v>
      </c>
      <c r="BA14" s="36">
        <f t="shared" si="25"/>
        <v>1099.1333333333332</v>
      </c>
      <c r="BB14" s="27">
        <f t="shared" ca="1" si="38"/>
        <v>732.75555555555547</v>
      </c>
      <c r="BC14" s="23">
        <f t="shared" ca="1" si="39"/>
        <v>-291.0044444444444</v>
      </c>
      <c r="BE14" s="50" t="s">
        <v>39</v>
      </c>
      <c r="BF14" s="48" t="s">
        <v>40</v>
      </c>
      <c r="BG14" s="49">
        <f>IF(WL_No="  ","  ",Mmid/AWP)</f>
        <v>-0.30685147273822966</v>
      </c>
    </row>
    <row r="15" spans="1:60" x14ac:dyDescent="0.25">
      <c r="A15" s="20">
        <f>Tools!$AD14</f>
        <v>9</v>
      </c>
      <c r="B15" s="33">
        <f t="shared" si="0"/>
        <v>11</v>
      </c>
      <c r="C15" s="22">
        <f>IF(A15="  ","  ",IF(AND(A14="  ",A16="  "),"?",IF(A14="  ",2*(A16-A15),IF(A16="  ",2*(A15-A14),2*(A16-A14)))))</f>
        <v>4</v>
      </c>
      <c r="D15" s="23">
        <f t="shared" si="26"/>
        <v>44</v>
      </c>
      <c r="E15" s="24">
        <f t="shared" si="1"/>
        <v>-1</v>
      </c>
      <c r="F15" s="23">
        <f t="shared" si="27"/>
        <v>-44</v>
      </c>
      <c r="G15" s="23">
        <f t="shared" si="28"/>
        <v>44</v>
      </c>
      <c r="H15" s="23">
        <f t="shared" si="29"/>
        <v>1331</v>
      </c>
      <c r="I15" s="23">
        <f t="shared" si="30"/>
        <v>5324</v>
      </c>
      <c r="J15" s="4"/>
      <c r="K15" s="37">
        <f t="shared" si="2"/>
        <v>218.57333333333332</v>
      </c>
      <c r="L15" s="23">
        <f t="shared" si="31"/>
        <v>874.29333333333329</v>
      </c>
      <c r="M15" s="38">
        <f t="shared" si="3"/>
        <v>1099.3266666666666</v>
      </c>
      <c r="N15" s="27">
        <f t="shared" si="32"/>
        <v>4397.3066666666664</v>
      </c>
      <c r="O15" s="23">
        <f t="shared" si="33"/>
        <v>-874.29333333333329</v>
      </c>
      <c r="P15" s="4"/>
      <c r="Q15" s="51" t="s">
        <v>44</v>
      </c>
      <c r="R15" s="48" t="s">
        <v>45</v>
      </c>
      <c r="S15">
        <f>IF(Tools!$L$49="Use 141 rule only",I39,IF(Tools!$L$49="Use 141 and 1331 rules",BG16," "))</f>
        <v>99332.618196645271</v>
      </c>
      <c r="W15" s="29">
        <f>IF(AO15="  ","  ",IF(AND(AO14="  ",AO16="  "),"?",IF(AO14="  ",2*(AO16-AO15),IF(AO16="  ",2*(AO15-AO14),2*(AO16-AO14)))))</f>
        <v>4</v>
      </c>
      <c r="X15" s="30" t="str">
        <f t="shared" si="4"/>
        <v>WW</v>
      </c>
      <c r="Y15" s="30" t="str">
        <f t="shared" si="5"/>
        <v>-</v>
      </c>
      <c r="Z15" s="29" t="b">
        <f t="shared" si="6"/>
        <v>0</v>
      </c>
      <c r="AA15" s="29" t="b">
        <f t="shared" si="7"/>
        <v>0</v>
      </c>
      <c r="AB15" s="29" t="str">
        <f t="shared" ca="1" si="8"/>
        <v>++</v>
      </c>
      <c r="AC15" s="29">
        <f t="shared" si="34"/>
        <v>12</v>
      </c>
      <c r="AD15" s="29">
        <f t="shared" ca="1" si="9"/>
        <v>12</v>
      </c>
      <c r="AE15" s="29">
        <v>12</v>
      </c>
      <c r="AF15" s="31">
        <f t="shared" si="42"/>
        <v>8</v>
      </c>
      <c r="AG15" s="29" t="b">
        <f t="shared" si="11"/>
        <v>1</v>
      </c>
      <c r="AH15" s="30" t="str">
        <f t="shared" ref="AH15:AH28" ca="1" si="43">IF(AND(AG15=TRUE,$AH$1=1),"141-4",IF(AG15=" ",IF(AND($AH$1=2,AF15=3),"141-1","-"),IF(OR(AG15=FALSE,AG15=" "),"-",IF(AG15=TRUE,IF(AND($AH$1=2,AF15=1),"141-1",IF(AND($AH$1=2,AF15=2),"141-4",IF(OR(ISODD($AH$1),AF15&gt;4),IF(AF15=1,"141-1",IF(OR(AB15="141-1",AB15="1331-1",AB15="1331-1,141-1"),"141-1",IF(AG16=" ","141-1",IF(OR(AH14="141-1",AH14="141-2",AH14="1331-1,141-1"),"141-4",IF(AH14="141-4","141-2","$$"))))),IF(ISEVEN($AH$1),IF(AF15=1,"1331-1",IF(OR(AF15=2,AF15=3),"1331-3",IF(AF15=4,IF($AH$1=4,"1331-1","1331-1,141-1"),"")))))))))))</f>
        <v>141-4</v>
      </c>
      <c r="AI15" s="30" t="str">
        <f t="shared" ca="1" si="13"/>
        <v/>
      </c>
      <c r="AJ15" s="29">
        <f t="shared" ca="1" si="14"/>
        <v>0</v>
      </c>
      <c r="AK15" s="29" t="str">
        <f t="shared" ca="1" si="15"/>
        <v>4/3</v>
      </c>
      <c r="AL15" s="29">
        <f t="shared" ca="1" si="16"/>
        <v>1.3333333333333333</v>
      </c>
      <c r="AM15" s="32">
        <f t="shared" ca="1" si="35"/>
        <v>1.3333333333333333</v>
      </c>
      <c r="AO15" s="20">
        <f>Tools!$AD14</f>
        <v>9</v>
      </c>
      <c r="AP15" s="33">
        <f t="shared" si="36"/>
        <v>11</v>
      </c>
      <c r="AQ15" s="34" t="str">
        <f t="shared" ca="1" si="18"/>
        <v>4/3</v>
      </c>
      <c r="AR15" s="23">
        <f t="shared" ca="1" si="19"/>
        <v>14.666666666666666</v>
      </c>
      <c r="AS15" s="24">
        <f t="shared" si="20"/>
        <v>-1</v>
      </c>
      <c r="AT15" s="23">
        <f t="shared" ca="1" si="37"/>
        <v>-14.666666666666666</v>
      </c>
      <c r="AU15" s="23">
        <f t="shared" ca="1" si="40"/>
        <v>14.666666666666666</v>
      </c>
      <c r="AV15" s="23">
        <f t="shared" si="21"/>
        <v>1331</v>
      </c>
      <c r="AW15" s="23">
        <f t="shared" ca="1" si="22"/>
        <v>1774.6666666666665</v>
      </c>
      <c r="AY15" s="35">
        <f t="shared" si="23"/>
        <v>218.57333333333332</v>
      </c>
      <c r="AZ15" s="23">
        <f t="shared" ca="1" si="41"/>
        <v>291.43111111111108</v>
      </c>
      <c r="BA15" s="36">
        <f t="shared" si="25"/>
        <v>1099.3266666666666</v>
      </c>
      <c r="BB15" s="27">
        <f ca="1">IFERROR(BA15*AM15,"  ")</f>
        <v>1465.7688888888888</v>
      </c>
      <c r="BC15" s="23">
        <f t="shared" ca="1" si="39"/>
        <v>-291.43111111111108</v>
      </c>
      <c r="BE15" s="50" t="s">
        <v>42</v>
      </c>
      <c r="BF15" s="48" t="s">
        <v>46</v>
      </c>
      <c r="BG15" s="49">
        <f ca="1">IF(WL_No="  ","  ",2*(h^3)*$AU$29)</f>
        <v>3959276.6676125312</v>
      </c>
    </row>
    <row r="16" spans="1:60" x14ac:dyDescent="0.25">
      <c r="A16" s="20">
        <f>Tools!$AD15</f>
        <v>10</v>
      </c>
      <c r="B16" s="33">
        <f t="shared" si="0"/>
        <v>11</v>
      </c>
      <c r="C16" s="22">
        <f>IF(A16="  ","  ",IF(AND(A15="  ",A17="  "),"?",IF(A15="  ",1*(A17-A16),IF(A17="  ",1*(A16-A15),1*(A17-A15)))))</f>
        <v>2</v>
      </c>
      <c r="D16" s="23">
        <f t="shared" si="26"/>
        <v>22</v>
      </c>
      <c r="E16" s="24">
        <f t="shared" si="1"/>
        <v>0</v>
      </c>
      <c r="F16" s="23">
        <f t="shared" si="27"/>
        <v>0</v>
      </c>
      <c r="G16" s="23">
        <f t="shared" si="28"/>
        <v>0</v>
      </c>
      <c r="H16" s="23">
        <f t="shared" si="29"/>
        <v>1331</v>
      </c>
      <c r="I16" s="23">
        <f t="shared" si="30"/>
        <v>2662</v>
      </c>
      <c r="J16" s="4"/>
      <c r="K16" s="37">
        <f t="shared" si="2"/>
        <v>218.57333333333332</v>
      </c>
      <c r="L16" s="23">
        <f t="shared" si="31"/>
        <v>437.14666666666665</v>
      </c>
      <c r="M16" s="38">
        <f t="shared" si="3"/>
        <v>1099.3266666666666</v>
      </c>
      <c r="N16" s="27">
        <f t="shared" si="32"/>
        <v>2198.6533333333332</v>
      </c>
      <c r="O16" s="23">
        <f t="shared" si="33"/>
        <v>0</v>
      </c>
      <c r="P16" s="4"/>
      <c r="Q16" s="50" t="s">
        <v>47</v>
      </c>
      <c r="R16" s="48" t="s">
        <v>48</v>
      </c>
      <c r="S16">
        <f>IF(Tools!$L$49="Use 141 rule only",I40,IF(Tools!$L$49="Use 141 and 1331 rules",BG17," "))</f>
        <v>3959013.5272371466</v>
      </c>
      <c r="W16" s="29">
        <f>IF(AO16="  ","  ",IF(AND(AO15="  ",AO17="  "),"?",IF(AO15="  ",1*(AO17-AO16),IF(AO17="  ",1*(AO16-AO15),1*(AO17-AO15)))))</f>
        <v>2</v>
      </c>
      <c r="X16" s="30" t="str">
        <f t="shared" si="4"/>
        <v>WW</v>
      </c>
      <c r="Y16" s="30" t="str">
        <f t="shared" si="5"/>
        <v>-</v>
      </c>
      <c r="Z16" s="29" t="b">
        <f t="shared" si="6"/>
        <v>0</v>
      </c>
      <c r="AA16" s="29" t="b">
        <f t="shared" si="7"/>
        <v>0</v>
      </c>
      <c r="AB16" s="29" t="str">
        <f t="shared" ca="1" si="8"/>
        <v>++</v>
      </c>
      <c r="AC16" s="29">
        <f t="shared" si="34"/>
        <v>13</v>
      </c>
      <c r="AD16" s="29">
        <f t="shared" ca="1" si="9"/>
        <v>13</v>
      </c>
      <c r="AE16" s="29">
        <v>13</v>
      </c>
      <c r="AF16" s="31">
        <f t="shared" si="42"/>
        <v>9</v>
      </c>
      <c r="AG16" s="29" t="b">
        <f t="shared" si="11"/>
        <v>1</v>
      </c>
      <c r="AH16" s="30" t="str">
        <f t="shared" ca="1" si="43"/>
        <v>141-2</v>
      </c>
      <c r="AI16" s="30" t="str">
        <f t="shared" ca="1" si="13"/>
        <v/>
      </c>
      <c r="AJ16" s="29">
        <f t="shared" ca="1" si="14"/>
        <v>0</v>
      </c>
      <c r="AK16" s="29" t="str">
        <f t="shared" ca="1" si="15"/>
        <v>2/3</v>
      </c>
      <c r="AL16" s="29">
        <f t="shared" ca="1" si="16"/>
        <v>0.66666666666666663</v>
      </c>
      <c r="AM16" s="32">
        <f t="shared" ca="1" si="35"/>
        <v>0.66666666666666663</v>
      </c>
      <c r="AO16" s="20">
        <f>Tools!$AD15</f>
        <v>10</v>
      </c>
      <c r="AP16" s="33">
        <f t="shared" si="36"/>
        <v>11</v>
      </c>
      <c r="AQ16" s="34" t="str">
        <f t="shared" ca="1" si="18"/>
        <v>2/3</v>
      </c>
      <c r="AR16" s="23">
        <f t="shared" ca="1" si="19"/>
        <v>7.333333333333333</v>
      </c>
      <c r="AS16" s="24">
        <f t="shared" si="20"/>
        <v>0</v>
      </c>
      <c r="AT16" s="23">
        <f t="shared" ca="1" si="37"/>
        <v>0</v>
      </c>
      <c r="AU16" s="23">
        <f t="shared" ca="1" si="40"/>
        <v>0</v>
      </c>
      <c r="AV16" s="23">
        <f t="shared" si="21"/>
        <v>1331</v>
      </c>
      <c r="AW16" s="23">
        <f t="shared" ca="1" si="22"/>
        <v>887.33333333333326</v>
      </c>
      <c r="AY16" s="35">
        <f t="shared" si="23"/>
        <v>218.57333333333332</v>
      </c>
      <c r="AZ16" s="23">
        <f t="shared" ca="1" si="41"/>
        <v>145.71555555555554</v>
      </c>
      <c r="BA16" s="36">
        <f t="shared" si="25"/>
        <v>1099.3266666666666</v>
      </c>
      <c r="BB16" s="27">
        <f t="shared" ca="1" si="38"/>
        <v>732.8844444444444</v>
      </c>
      <c r="BC16" s="23">
        <f ca="1">IFERROR(AZ16*AS16,"  ")</f>
        <v>0</v>
      </c>
      <c r="BE16" s="51" t="s">
        <v>44</v>
      </c>
      <c r="BF16" s="48" t="s">
        <v>49</v>
      </c>
      <c r="BG16" s="49">
        <f ca="1">IF(WL_No="  ","  ",2/3*h*$AW$29)</f>
        <v>99332.618196645271</v>
      </c>
    </row>
    <row r="17" spans="1:59" x14ac:dyDescent="0.25">
      <c r="A17" s="20">
        <f>Tools!$AD16</f>
        <v>11</v>
      </c>
      <c r="B17" s="33">
        <f t="shared" si="0"/>
        <v>11</v>
      </c>
      <c r="C17" s="22">
        <f>IF(A17="  ","  ",IF(AND(A16="  ",A18="  "),"?",IF(A16="  ",2*(A18-A17),IF(A18="  ",2*(A17-A16),2*(A18-A16)))))</f>
        <v>4</v>
      </c>
      <c r="D17" s="23">
        <f t="shared" si="26"/>
        <v>44</v>
      </c>
      <c r="E17" s="24">
        <f t="shared" si="1"/>
        <v>1</v>
      </c>
      <c r="F17" s="23">
        <f t="shared" si="27"/>
        <v>44</v>
      </c>
      <c r="G17" s="23">
        <f t="shared" si="28"/>
        <v>44</v>
      </c>
      <c r="H17" s="23">
        <f t="shared" si="29"/>
        <v>1331</v>
      </c>
      <c r="I17" s="23">
        <f t="shared" si="30"/>
        <v>5324</v>
      </c>
      <c r="J17" s="4"/>
      <c r="K17" s="37">
        <f t="shared" si="2"/>
        <v>218.57333333333332</v>
      </c>
      <c r="L17" s="23">
        <f t="shared" si="31"/>
        <v>874.29333333333329</v>
      </c>
      <c r="M17" s="38">
        <f t="shared" si="3"/>
        <v>1099.3266666666666</v>
      </c>
      <c r="N17" s="27">
        <f t="shared" si="32"/>
        <v>4397.3066666666664</v>
      </c>
      <c r="O17" s="23">
        <f t="shared" si="33"/>
        <v>874.29333333333329</v>
      </c>
      <c r="P17" s="4"/>
      <c r="Q17" s="50" t="s">
        <v>50</v>
      </c>
      <c r="R17" s="48" t="s">
        <v>51</v>
      </c>
      <c r="S17">
        <f>IF(Tools!$L$49="Use 141 rule only",I41,IF(Tools!$L$49="Use 141 and 1331 rules",BG18," "))</f>
        <v>25194.861563777777</v>
      </c>
      <c r="W17" s="29">
        <f>IF(AO17="  ","  ",IF(AND(AO16="  ",AO18="  "),"?",IF(AO16="  ",2*(AO18-AO17),IF(AO18="  ",2*(AO17-AO16),2*(AO18-AO16)))))</f>
        <v>4</v>
      </c>
      <c r="X17" s="30" t="str">
        <f t="shared" si="4"/>
        <v>WW</v>
      </c>
      <c r="Y17" s="30" t="str">
        <f t="shared" si="5"/>
        <v>-</v>
      </c>
      <c r="Z17" s="29" t="b">
        <f t="shared" si="6"/>
        <v>0</v>
      </c>
      <c r="AA17" s="29" t="b">
        <f t="shared" si="7"/>
        <v>0</v>
      </c>
      <c r="AB17" s="29" t="str">
        <f t="shared" ca="1" si="8"/>
        <v>++</v>
      </c>
      <c r="AC17" s="29">
        <f t="shared" si="34"/>
        <v>12</v>
      </c>
      <c r="AD17" s="29">
        <f t="shared" ca="1" si="9"/>
        <v>12</v>
      </c>
      <c r="AE17" s="29">
        <v>14</v>
      </c>
      <c r="AF17" s="31">
        <f t="shared" si="42"/>
        <v>10</v>
      </c>
      <c r="AG17" s="29" t="b">
        <f t="shared" si="11"/>
        <v>1</v>
      </c>
      <c r="AH17" s="30" t="str">
        <f t="shared" ca="1" si="43"/>
        <v>141-4</v>
      </c>
      <c r="AI17" s="30" t="str">
        <f t="shared" ca="1" si="13"/>
        <v/>
      </c>
      <c r="AJ17" s="29">
        <f t="shared" ca="1" si="14"/>
        <v>0</v>
      </c>
      <c r="AK17" s="29" t="str">
        <f t="shared" ca="1" si="15"/>
        <v>4/3</v>
      </c>
      <c r="AL17" s="29">
        <f t="shared" ca="1" si="16"/>
        <v>1.3333333333333333</v>
      </c>
      <c r="AM17" s="32">
        <f t="shared" ca="1" si="35"/>
        <v>1.3333333333333333</v>
      </c>
      <c r="AO17" s="20">
        <f>Tools!$AD16</f>
        <v>11</v>
      </c>
      <c r="AP17" s="33">
        <f t="shared" si="36"/>
        <v>11</v>
      </c>
      <c r="AQ17" s="34" t="str">
        <f t="shared" ca="1" si="18"/>
        <v>4/3</v>
      </c>
      <c r="AR17" s="23">
        <f t="shared" ca="1" si="19"/>
        <v>14.666666666666666</v>
      </c>
      <c r="AS17" s="24">
        <f t="shared" si="20"/>
        <v>1</v>
      </c>
      <c r="AT17" s="23">
        <f t="shared" ca="1" si="37"/>
        <v>14.666666666666666</v>
      </c>
      <c r="AU17" s="23">
        <f t="shared" ca="1" si="40"/>
        <v>14.666666666666666</v>
      </c>
      <c r="AV17" s="23">
        <f t="shared" si="21"/>
        <v>1331</v>
      </c>
      <c r="AW17" s="23">
        <f t="shared" ca="1" si="22"/>
        <v>1774.6666666666665</v>
      </c>
      <c r="AY17" s="35">
        <f t="shared" si="23"/>
        <v>218.57333333333332</v>
      </c>
      <c r="AZ17" s="23">
        <f t="shared" ca="1" si="41"/>
        <v>291.43111111111108</v>
      </c>
      <c r="BA17" s="36">
        <f t="shared" si="25"/>
        <v>1099.3266666666666</v>
      </c>
      <c r="BB17" s="27">
        <f t="shared" ca="1" si="38"/>
        <v>1465.7688888888888</v>
      </c>
      <c r="BC17" s="23">
        <f t="shared" ca="1" si="39"/>
        <v>291.43111111111108</v>
      </c>
      <c r="BE17" s="50" t="s">
        <v>47</v>
      </c>
      <c r="BF17" s="48" t="s">
        <v>48</v>
      </c>
      <c r="BG17" s="49">
        <f>IF(WL_No="  ","  ",IL-AWP*(LCF^2))</f>
        <v>3959013.5272371466</v>
      </c>
    </row>
    <row r="18" spans="1:59" x14ac:dyDescent="0.25">
      <c r="A18" s="20">
        <f>Tools!$AD17</f>
        <v>12</v>
      </c>
      <c r="B18" s="33">
        <f t="shared" si="0"/>
        <v>11</v>
      </c>
      <c r="C18" s="22">
        <f>IF(A18="  ","  ",IF(AND(A17="  ",A19="  "),"?",IF(A17="  ",1*(A19-A18),IF(A19="  ",1*(A18-A17),1*(A19-A17)))))</f>
        <v>2</v>
      </c>
      <c r="D18" s="23">
        <f t="shared" si="26"/>
        <v>22</v>
      </c>
      <c r="E18" s="24">
        <f t="shared" si="1"/>
        <v>2</v>
      </c>
      <c r="F18" s="23">
        <f t="shared" si="27"/>
        <v>44</v>
      </c>
      <c r="G18" s="23">
        <f t="shared" si="28"/>
        <v>88</v>
      </c>
      <c r="H18" s="23">
        <f t="shared" si="29"/>
        <v>1331</v>
      </c>
      <c r="I18" s="23">
        <f t="shared" si="30"/>
        <v>2662</v>
      </c>
      <c r="J18" s="4"/>
      <c r="K18" s="37">
        <f t="shared" si="2"/>
        <v>218.57333333333332</v>
      </c>
      <c r="L18" s="23">
        <f t="shared" si="31"/>
        <v>437.14666666666665</v>
      </c>
      <c r="M18" s="38">
        <f t="shared" si="3"/>
        <v>1099.3266666666666</v>
      </c>
      <c r="N18" s="27">
        <f t="shared" si="32"/>
        <v>2198.6533333333332</v>
      </c>
      <c r="O18" s="23">
        <f t="shared" si="33"/>
        <v>874.29333333333329</v>
      </c>
      <c r="P18" s="4"/>
      <c r="Q18" s="50" t="s">
        <v>52</v>
      </c>
      <c r="R18" s="48" t="s">
        <v>53</v>
      </c>
      <c r="S18">
        <f>IF(Tools!$L$49="Use 141 rule only",I42,IF(Tools!$L$49="Use 141 and 1331 rules",BG19," "))</f>
        <v>25979.681501489453</v>
      </c>
      <c r="W18" s="29">
        <f>IF(AO18="  ","  ",IF(AND(AO17="  ",AO19="  "),"?",IF(AO17="  ",1*(AO19-AO18),IF(AO19="  ",1*(AO18-AO17),1*(AO19-AO17)))))</f>
        <v>2</v>
      </c>
      <c r="X18" s="30" t="str">
        <f t="shared" si="4"/>
        <v>WW</v>
      </c>
      <c r="Y18" s="30" t="str">
        <f t="shared" si="5"/>
        <v>-</v>
      </c>
      <c r="Z18" s="29" t="b">
        <f t="shared" si="6"/>
        <v>0</v>
      </c>
      <c r="AA18" s="29" t="b">
        <f t="shared" si="7"/>
        <v>0</v>
      </c>
      <c r="AB18" s="29" t="str">
        <f t="shared" ca="1" si="8"/>
        <v>++</v>
      </c>
      <c r="AC18" s="29">
        <f t="shared" si="34"/>
        <v>11</v>
      </c>
      <c r="AD18" s="29">
        <f t="shared" ca="1" si="9"/>
        <v>11</v>
      </c>
      <c r="AE18" s="29">
        <v>15</v>
      </c>
      <c r="AF18" s="31">
        <f t="shared" si="42"/>
        <v>11</v>
      </c>
      <c r="AG18" s="29" t="b">
        <f t="shared" si="11"/>
        <v>1</v>
      </c>
      <c r="AH18" s="30" t="str">
        <f t="shared" ca="1" si="43"/>
        <v>141-2</v>
      </c>
      <c r="AI18" s="30" t="str">
        <f t="shared" ca="1" si="13"/>
        <v/>
      </c>
      <c r="AJ18" s="29">
        <f t="shared" ca="1" si="14"/>
        <v>0</v>
      </c>
      <c r="AK18" s="29" t="str">
        <f t="shared" ca="1" si="15"/>
        <v>2/3</v>
      </c>
      <c r="AL18" s="29">
        <f t="shared" ca="1" si="16"/>
        <v>0.66666666666666663</v>
      </c>
      <c r="AM18" s="32">
        <f t="shared" ca="1" si="35"/>
        <v>0.66666666666666663</v>
      </c>
      <c r="AO18" s="20">
        <f>Tools!$AD17</f>
        <v>12</v>
      </c>
      <c r="AP18" s="33">
        <f t="shared" si="36"/>
        <v>11</v>
      </c>
      <c r="AQ18" s="34" t="str">
        <f t="shared" ca="1" si="18"/>
        <v>2/3</v>
      </c>
      <c r="AR18" s="23">
        <f t="shared" ca="1" si="19"/>
        <v>7.333333333333333</v>
      </c>
      <c r="AS18" s="24">
        <f t="shared" si="20"/>
        <v>2</v>
      </c>
      <c r="AT18" s="23">
        <f t="shared" ca="1" si="37"/>
        <v>14.666666666666666</v>
      </c>
      <c r="AU18" s="23">
        <f t="shared" ca="1" si="40"/>
        <v>29.333333333333332</v>
      </c>
      <c r="AV18" s="23">
        <f t="shared" si="21"/>
        <v>1331</v>
      </c>
      <c r="AW18" s="23">
        <f t="shared" ca="1" si="22"/>
        <v>887.33333333333326</v>
      </c>
      <c r="AY18" s="35">
        <f t="shared" si="23"/>
        <v>218.57333333333332</v>
      </c>
      <c r="AZ18" s="23">
        <f t="shared" ca="1" si="41"/>
        <v>145.71555555555554</v>
      </c>
      <c r="BA18" s="36">
        <f t="shared" si="25"/>
        <v>1099.3266666666666</v>
      </c>
      <c r="BB18" s="27">
        <f t="shared" ca="1" si="38"/>
        <v>732.8844444444444</v>
      </c>
      <c r="BC18" s="23">
        <f t="shared" ca="1" si="39"/>
        <v>291.43111111111108</v>
      </c>
      <c r="BE18" s="50" t="s">
        <v>50</v>
      </c>
      <c r="BF18" s="48" t="s">
        <v>54</v>
      </c>
      <c r="BG18" s="49">
        <f ca="1">IF(WL_No="  ","  ",h*$AZ$29)</f>
        <v>25194.861563777773</v>
      </c>
    </row>
    <row r="19" spans="1:59" x14ac:dyDescent="0.25">
      <c r="A19" s="20">
        <f>Tools!$AD18</f>
        <v>13</v>
      </c>
      <c r="B19" s="33">
        <f t="shared" si="0"/>
        <v>11</v>
      </c>
      <c r="C19" s="22">
        <f>IF(A19="  ","  ",IF(AND(A18="  ",A20="  "),"?",IF(A18="  ",2*(A20-A19),IF(A20="  ",2*(A19-A18),2*(A20-A18)))))</f>
        <v>4</v>
      </c>
      <c r="D19" s="23">
        <f t="shared" si="26"/>
        <v>44</v>
      </c>
      <c r="E19" s="24">
        <f t="shared" si="1"/>
        <v>3</v>
      </c>
      <c r="F19" s="23">
        <f t="shared" si="27"/>
        <v>132</v>
      </c>
      <c r="G19" s="23">
        <f t="shared" si="28"/>
        <v>396</v>
      </c>
      <c r="H19" s="23">
        <f t="shared" si="29"/>
        <v>1331</v>
      </c>
      <c r="I19" s="23">
        <f t="shared" si="30"/>
        <v>5324</v>
      </c>
      <c r="J19" s="4"/>
      <c r="K19" s="37">
        <f t="shared" si="2"/>
        <v>218.57333333333332</v>
      </c>
      <c r="L19" s="23">
        <f t="shared" si="31"/>
        <v>874.29333333333329</v>
      </c>
      <c r="M19" s="38">
        <f t="shared" si="3"/>
        <v>1099.3266666666666</v>
      </c>
      <c r="N19" s="27">
        <f t="shared" si="32"/>
        <v>4397.3066666666664</v>
      </c>
      <c r="O19" s="23">
        <f t="shared" si="33"/>
        <v>2622.88</v>
      </c>
      <c r="P19" s="4"/>
      <c r="Q19" s="50" t="s">
        <v>55</v>
      </c>
      <c r="R19" s="48" t="s">
        <v>56</v>
      </c>
      <c r="S19">
        <f>IF(Tools!$L$49="Use 141 rule only",I43,IF(Tools!$L$49="Use 141 and 1331 rules",BG20," "))</f>
        <v>131498.34112711111</v>
      </c>
      <c r="W19" s="29">
        <f>IF(AO19="  ","  ",IF(AND(AO18="  ",AO20="  "),"?",IF(AO18="  ",2*(AO20-AO19),IF(AO20="  ",2*(AO19-AO18),2*(AO20-AO18)))))</f>
        <v>4</v>
      </c>
      <c r="X19" s="30" t="str">
        <f t="shared" si="4"/>
        <v>WW</v>
      </c>
      <c r="Y19" s="30" t="str">
        <f t="shared" si="5"/>
        <v>-</v>
      </c>
      <c r="Z19" s="29" t="b">
        <f t="shared" si="6"/>
        <v>0</v>
      </c>
      <c r="AA19" s="29" t="b">
        <f t="shared" si="7"/>
        <v>0</v>
      </c>
      <c r="AB19" s="29" t="str">
        <f t="shared" ca="1" si="8"/>
        <v>++</v>
      </c>
      <c r="AC19" s="29">
        <f t="shared" si="34"/>
        <v>10</v>
      </c>
      <c r="AD19" s="29">
        <f t="shared" ca="1" si="9"/>
        <v>10</v>
      </c>
      <c r="AE19" s="29">
        <v>16</v>
      </c>
      <c r="AF19" s="31">
        <f t="shared" si="42"/>
        <v>12</v>
      </c>
      <c r="AG19" s="29" t="b">
        <f t="shared" si="11"/>
        <v>1</v>
      </c>
      <c r="AH19" s="30" t="str">
        <f t="shared" ca="1" si="43"/>
        <v>141-4</v>
      </c>
      <c r="AI19" s="30" t="str">
        <f t="shared" ca="1" si="13"/>
        <v/>
      </c>
      <c r="AJ19" s="29">
        <f t="shared" ca="1" si="14"/>
        <v>0</v>
      </c>
      <c r="AK19" s="29" t="str">
        <f t="shared" ca="1" si="15"/>
        <v>4/3</v>
      </c>
      <c r="AL19" s="29">
        <f t="shared" ca="1" si="16"/>
        <v>1.3333333333333333</v>
      </c>
      <c r="AM19" s="32">
        <f t="shared" ca="1" si="35"/>
        <v>1.3333333333333333</v>
      </c>
      <c r="AO19" s="20">
        <f>Tools!$AD18</f>
        <v>13</v>
      </c>
      <c r="AP19" s="33">
        <f t="shared" si="36"/>
        <v>11</v>
      </c>
      <c r="AQ19" s="34" t="str">
        <f t="shared" ca="1" si="18"/>
        <v>4/3</v>
      </c>
      <c r="AR19" s="23">
        <f t="shared" ca="1" si="19"/>
        <v>14.666666666666666</v>
      </c>
      <c r="AS19" s="24">
        <f t="shared" si="20"/>
        <v>3</v>
      </c>
      <c r="AT19" s="23">
        <f t="shared" ca="1" si="37"/>
        <v>44</v>
      </c>
      <c r="AU19" s="23">
        <f t="shared" ca="1" si="40"/>
        <v>132</v>
      </c>
      <c r="AV19" s="23">
        <f t="shared" si="21"/>
        <v>1331</v>
      </c>
      <c r="AW19" s="23">
        <f t="shared" ca="1" si="22"/>
        <v>1774.6666666666665</v>
      </c>
      <c r="AY19" s="35">
        <f t="shared" si="23"/>
        <v>218.57333333333332</v>
      </c>
      <c r="AZ19" s="23">
        <f t="shared" ca="1" si="41"/>
        <v>291.43111111111108</v>
      </c>
      <c r="BA19" s="36">
        <f t="shared" si="25"/>
        <v>1099.3266666666666</v>
      </c>
      <c r="BB19" s="27">
        <f t="shared" ca="1" si="38"/>
        <v>1465.7688888888888</v>
      </c>
      <c r="BC19" s="23">
        <f t="shared" ca="1" si="39"/>
        <v>874.29333333333329</v>
      </c>
      <c r="BE19" s="50" t="s">
        <v>52</v>
      </c>
      <c r="BF19" s="48" t="s">
        <v>53</v>
      </c>
      <c r="BG19" s="49">
        <f>IF(WL_No="  ","  ",V_Disp*1.025*1.006)</f>
        <v>25979.681501489453</v>
      </c>
    </row>
    <row r="20" spans="1:59" x14ac:dyDescent="0.25">
      <c r="A20" s="20">
        <f>Tools!$AD19</f>
        <v>14</v>
      </c>
      <c r="B20" s="33">
        <f t="shared" si="0"/>
        <v>11</v>
      </c>
      <c r="C20" s="22">
        <f>IF(A20="  ","  ",IF(AND(A19="  ",A21="  "),"?",IF(A19="  ",1*(A21-A20),IF(A21="  ",1*(A20-A19),1*(A21-A19)))))</f>
        <v>2</v>
      </c>
      <c r="D20" s="23">
        <f t="shared" si="26"/>
        <v>22</v>
      </c>
      <c r="E20" s="24">
        <f t="shared" si="1"/>
        <v>4</v>
      </c>
      <c r="F20" s="23">
        <f t="shared" si="27"/>
        <v>88</v>
      </c>
      <c r="G20" s="23">
        <f t="shared" si="28"/>
        <v>352</v>
      </c>
      <c r="H20" s="23">
        <f t="shared" si="29"/>
        <v>1331</v>
      </c>
      <c r="I20" s="23">
        <f t="shared" si="30"/>
        <v>2662</v>
      </c>
      <c r="J20" s="4"/>
      <c r="K20" s="37">
        <f t="shared" si="2"/>
        <v>218.19333333333333</v>
      </c>
      <c r="L20" s="23">
        <f t="shared" si="31"/>
        <v>436.38666666666666</v>
      </c>
      <c r="M20" s="38">
        <f t="shared" si="3"/>
        <v>1099.06</v>
      </c>
      <c r="N20" s="27">
        <f t="shared" si="32"/>
        <v>2198.12</v>
      </c>
      <c r="O20" s="23">
        <f t="shared" si="33"/>
        <v>1745.5466666666666</v>
      </c>
      <c r="P20" s="4"/>
      <c r="Q20" s="50" t="s">
        <v>57</v>
      </c>
      <c r="R20" s="48" t="s">
        <v>58</v>
      </c>
      <c r="S20">
        <f>IF(Tools!$L$49="Use 141 rule only",I44,IF(Tools!$L$49="Use 141 and 1331 rules",BG21," "))</f>
        <v>73717.935625706727</v>
      </c>
      <c r="W20" s="29">
        <f>IF(AO20="  ","  ",IF(AND(AO19="  ",AO21="  "),"?",IF(AO19="  ",1*(AO21-AO20),IF(AO21="  ",1*(AO20-AO19),1*(AO21-AO19)))))</f>
        <v>2</v>
      </c>
      <c r="X20" s="30" t="str">
        <f t="shared" si="4"/>
        <v>WW</v>
      </c>
      <c r="Y20" s="30" t="str">
        <f t="shared" si="5"/>
        <v>-</v>
      </c>
      <c r="Z20" s="29" t="b">
        <f t="shared" si="6"/>
        <v>0</v>
      </c>
      <c r="AA20" s="29" t="b">
        <f t="shared" si="7"/>
        <v>0</v>
      </c>
      <c r="AB20" s="29" t="str">
        <f t="shared" ca="1" si="8"/>
        <v>++</v>
      </c>
      <c r="AC20" s="29">
        <f t="shared" si="34"/>
        <v>9</v>
      </c>
      <c r="AD20" s="29">
        <f t="shared" ca="1" si="9"/>
        <v>9</v>
      </c>
      <c r="AE20" s="29">
        <v>17</v>
      </c>
      <c r="AF20" s="31">
        <f t="shared" si="42"/>
        <v>13</v>
      </c>
      <c r="AG20" s="29" t="b">
        <f t="shared" si="11"/>
        <v>1</v>
      </c>
      <c r="AH20" s="30" t="str">
        <f t="shared" ca="1" si="43"/>
        <v>141-2</v>
      </c>
      <c r="AI20" s="30" t="str">
        <f t="shared" ca="1" si="13"/>
        <v/>
      </c>
      <c r="AJ20" s="29">
        <f t="shared" ca="1" si="14"/>
        <v>0</v>
      </c>
      <c r="AK20" s="29" t="str">
        <f t="shared" ca="1" si="15"/>
        <v>2/3</v>
      </c>
      <c r="AL20" s="29">
        <f t="shared" ca="1" si="16"/>
        <v>0.66666666666666663</v>
      </c>
      <c r="AM20" s="32">
        <f t="shared" ca="1" si="35"/>
        <v>0.66666666666666663</v>
      </c>
      <c r="AO20" s="20">
        <f>Tools!$AD19</f>
        <v>14</v>
      </c>
      <c r="AP20" s="33">
        <f t="shared" si="36"/>
        <v>11</v>
      </c>
      <c r="AQ20" s="34" t="str">
        <f t="shared" ca="1" si="18"/>
        <v>2/3</v>
      </c>
      <c r="AR20" s="23">
        <f t="shared" ca="1" si="19"/>
        <v>7.333333333333333</v>
      </c>
      <c r="AS20" s="24">
        <f t="shared" si="20"/>
        <v>4</v>
      </c>
      <c r="AT20" s="23">
        <f t="shared" ca="1" si="37"/>
        <v>29.333333333333332</v>
      </c>
      <c r="AU20" s="23">
        <f t="shared" ca="1" si="40"/>
        <v>117.33333333333333</v>
      </c>
      <c r="AV20" s="23">
        <f t="shared" si="21"/>
        <v>1331</v>
      </c>
      <c r="AW20" s="23">
        <f t="shared" ca="1" si="22"/>
        <v>887.33333333333326</v>
      </c>
      <c r="AY20" s="35">
        <f t="shared" si="23"/>
        <v>218.19333333333333</v>
      </c>
      <c r="AZ20" s="23">
        <f t="shared" ca="1" si="41"/>
        <v>145.46222222222221</v>
      </c>
      <c r="BA20" s="36">
        <f t="shared" si="25"/>
        <v>1099.06</v>
      </c>
      <c r="BB20" s="27">
        <f t="shared" ca="1" si="38"/>
        <v>732.70666666666659</v>
      </c>
      <c r="BC20" s="23">
        <f t="shared" ca="1" si="39"/>
        <v>581.84888888888884</v>
      </c>
      <c r="BE20" s="50" t="s">
        <v>55</v>
      </c>
      <c r="BF20" s="48" t="s">
        <v>59</v>
      </c>
      <c r="BG20" s="49">
        <f ca="1">IF(WL_No="  ","  ",h*$BB$29)</f>
        <v>131498.34112711105</v>
      </c>
    </row>
    <row r="21" spans="1:59" x14ac:dyDescent="0.25">
      <c r="A21" s="20">
        <f>Tools!$AD20</f>
        <v>15</v>
      </c>
      <c r="B21" s="33">
        <f t="shared" si="0"/>
        <v>11</v>
      </c>
      <c r="C21" s="22">
        <f>IF(A21="  ","  ",IF(AND(A20="  ",A22="  "),"?",IF(A20="  ",2*(A22-A21),IF(A22="  ",2*(A21-A20),2*(A22-A20)))))</f>
        <v>4</v>
      </c>
      <c r="D21" s="23">
        <f t="shared" si="26"/>
        <v>44</v>
      </c>
      <c r="E21" s="24">
        <f t="shared" si="1"/>
        <v>5</v>
      </c>
      <c r="F21" s="23">
        <f t="shared" si="27"/>
        <v>220</v>
      </c>
      <c r="G21" s="23">
        <f t="shared" si="28"/>
        <v>1100</v>
      </c>
      <c r="H21" s="23">
        <f t="shared" si="29"/>
        <v>1331</v>
      </c>
      <c r="I21" s="23">
        <f t="shared" si="30"/>
        <v>5324</v>
      </c>
      <c r="J21" s="4"/>
      <c r="K21" s="37">
        <f t="shared" si="2"/>
        <v>215.94666666666666</v>
      </c>
      <c r="L21" s="23">
        <f t="shared" si="31"/>
        <v>863.78666666666663</v>
      </c>
      <c r="M21" s="38">
        <f t="shared" si="3"/>
        <v>1096.6399999999999</v>
      </c>
      <c r="N21" s="27">
        <f t="shared" si="32"/>
        <v>4386.5599999999995</v>
      </c>
      <c r="O21" s="23">
        <f t="shared" si="33"/>
        <v>4318.9333333333334</v>
      </c>
      <c r="P21" s="4"/>
      <c r="Q21" s="50" t="s">
        <v>60</v>
      </c>
      <c r="R21" s="48" t="s">
        <v>61</v>
      </c>
      <c r="S21">
        <f>IF(Tools!$L$49="Use 141 rule only",I45,IF(Tools!$L$49="Use 141 and 1331 rules",BG22," "))</f>
        <v>157.13575235233492</v>
      </c>
      <c r="W21" s="29">
        <f>IF(AO21="  ","  ",IF(AND(AO20="  ",AO22="  "),"?",IF(AO20="  ",2*(AO22-AO21),IF(AO22="  ",2*(AO21-AO20),2*(AO22-AO20)))))</f>
        <v>4</v>
      </c>
      <c r="X21" s="30" t="str">
        <f t="shared" si="4"/>
        <v>WW</v>
      </c>
      <c r="Y21" s="30" t="str">
        <f t="shared" si="5"/>
        <v>-</v>
      </c>
      <c r="Z21" s="29" t="b">
        <f t="shared" si="6"/>
        <v>0</v>
      </c>
      <c r="AA21" s="29" t="b">
        <f t="shared" si="7"/>
        <v>0</v>
      </c>
      <c r="AB21" s="29" t="str">
        <f t="shared" ca="1" si="8"/>
        <v>++</v>
      </c>
      <c r="AC21" s="29">
        <f t="shared" si="34"/>
        <v>8</v>
      </c>
      <c r="AD21" s="29">
        <f t="shared" ca="1" si="9"/>
        <v>8</v>
      </c>
      <c r="AE21" s="29">
        <v>18</v>
      </c>
      <c r="AF21" s="31">
        <f t="shared" si="42"/>
        <v>14</v>
      </c>
      <c r="AG21" s="29" t="b">
        <f t="shared" si="11"/>
        <v>1</v>
      </c>
      <c r="AH21" s="30" t="str">
        <f t="shared" ca="1" si="43"/>
        <v>141-4</v>
      </c>
      <c r="AI21" s="30" t="str">
        <f t="shared" ca="1" si="13"/>
        <v/>
      </c>
      <c r="AJ21" s="29">
        <f t="shared" ca="1" si="14"/>
        <v>0</v>
      </c>
      <c r="AK21" s="29" t="str">
        <f t="shared" ca="1" si="15"/>
        <v>4/3</v>
      </c>
      <c r="AL21" s="29">
        <f t="shared" ca="1" si="16"/>
        <v>1.3333333333333333</v>
      </c>
      <c r="AM21" s="32">
        <f t="shared" ca="1" si="35"/>
        <v>1.3333333333333333</v>
      </c>
      <c r="AO21" s="20">
        <f>Tools!$AD20</f>
        <v>15</v>
      </c>
      <c r="AP21" s="33">
        <f t="shared" si="36"/>
        <v>11</v>
      </c>
      <c r="AQ21" s="34" t="str">
        <f t="shared" ca="1" si="18"/>
        <v>4/3</v>
      </c>
      <c r="AR21" s="23">
        <f t="shared" ca="1" si="19"/>
        <v>14.666666666666666</v>
      </c>
      <c r="AS21" s="24">
        <f t="shared" si="20"/>
        <v>5</v>
      </c>
      <c r="AT21" s="23">
        <f t="shared" ca="1" si="37"/>
        <v>73.333333333333329</v>
      </c>
      <c r="AU21" s="23">
        <f t="shared" ca="1" si="40"/>
        <v>366.66666666666663</v>
      </c>
      <c r="AV21" s="23">
        <f t="shared" si="21"/>
        <v>1331</v>
      </c>
      <c r="AW21" s="23">
        <f t="shared" ca="1" si="22"/>
        <v>1774.6666666666665</v>
      </c>
      <c r="AY21" s="35">
        <f t="shared" si="23"/>
        <v>215.94666666666666</v>
      </c>
      <c r="AZ21" s="23">
        <f t="shared" ca="1" si="41"/>
        <v>287.92888888888888</v>
      </c>
      <c r="BA21" s="36">
        <f t="shared" si="25"/>
        <v>1096.6399999999999</v>
      </c>
      <c r="BB21" s="27">
        <f t="shared" ca="1" si="38"/>
        <v>1462.1866666666665</v>
      </c>
      <c r="BC21" s="23">
        <f t="shared" ca="1" si="39"/>
        <v>1439.6444444444444</v>
      </c>
      <c r="BE21" s="50" t="s">
        <v>57</v>
      </c>
      <c r="BF21" s="48" t="s">
        <v>62</v>
      </c>
      <c r="BG21" s="49">
        <f ca="1">IF(WL_No="  ","  ",(h^2)*$BC$29)</f>
        <v>73717.935625706566</v>
      </c>
    </row>
    <row r="22" spans="1:59" x14ac:dyDescent="0.25">
      <c r="A22" s="20">
        <f>Tools!$AD21</f>
        <v>16</v>
      </c>
      <c r="B22" s="33">
        <f t="shared" si="0"/>
        <v>10.9</v>
      </c>
      <c r="C22" s="22">
        <f>IF(A22="  ","  ",IF(AND(A21="  ",A23="  "),"?",IF(A21="  ",1*(A23-A22),IF(A23="  ",1*(A22-A21),1*(A23-A21)))))</f>
        <v>2</v>
      </c>
      <c r="D22" s="23">
        <f t="shared" si="26"/>
        <v>21.8</v>
      </c>
      <c r="E22" s="24">
        <f t="shared" si="1"/>
        <v>6</v>
      </c>
      <c r="F22" s="23">
        <f t="shared" si="27"/>
        <v>130.80000000000001</v>
      </c>
      <c r="G22" s="23">
        <f t="shared" si="28"/>
        <v>784.80000000000007</v>
      </c>
      <c r="H22" s="23">
        <f t="shared" si="29"/>
        <v>1295.029</v>
      </c>
      <c r="I22" s="23">
        <f t="shared" si="30"/>
        <v>2590.058</v>
      </c>
      <c r="J22" s="4"/>
      <c r="K22" s="37">
        <f t="shared" si="2"/>
        <v>206.29666666666665</v>
      </c>
      <c r="L22" s="23">
        <f t="shared" si="31"/>
        <v>412.59333333333331</v>
      </c>
      <c r="M22" s="38">
        <f t="shared" si="3"/>
        <v>1065.6266666666666</v>
      </c>
      <c r="N22" s="27">
        <f t="shared" si="32"/>
        <v>2131.2533333333331</v>
      </c>
      <c r="O22" s="23">
        <f t="shared" si="33"/>
        <v>2475.56</v>
      </c>
      <c r="P22" s="4"/>
      <c r="Q22" s="50" t="s">
        <v>63</v>
      </c>
      <c r="R22" s="48" t="s">
        <v>64</v>
      </c>
      <c r="S22">
        <f>IF(Tools!$L$49="Use 141 rule only",I46,IF(Tools!$L$49="Use 141 and 1331 rules",BG23," "))</f>
        <v>3.9425744787363342</v>
      </c>
      <c r="W22" s="29">
        <f>IF(AO22="  ","  ",IF(AND(AO21="  ",AO23="  "),"?",IF(AO21="  ",1*(AO23-AO22),IF(AO23="  ",1*(AO22-AO21),1*(AO23-AO21)))))</f>
        <v>2</v>
      </c>
      <c r="X22" s="30" t="str">
        <f t="shared" si="4"/>
        <v>WW</v>
      </c>
      <c r="Y22" s="30" t="str">
        <f t="shared" si="5"/>
        <v>-</v>
      </c>
      <c r="Z22" s="29" t="b">
        <f t="shared" si="6"/>
        <v>0</v>
      </c>
      <c r="AA22" s="29" t="b">
        <f t="shared" si="7"/>
        <v>0</v>
      </c>
      <c r="AB22" s="29" t="str">
        <f t="shared" ca="1" si="8"/>
        <v>++</v>
      </c>
      <c r="AC22" s="29">
        <f t="shared" si="34"/>
        <v>7</v>
      </c>
      <c r="AD22" s="29">
        <f t="shared" ca="1" si="9"/>
        <v>7</v>
      </c>
      <c r="AE22" s="29">
        <v>19</v>
      </c>
      <c r="AF22" s="31">
        <f t="shared" si="42"/>
        <v>15</v>
      </c>
      <c r="AG22" s="29" t="b">
        <f t="shared" si="11"/>
        <v>1</v>
      </c>
      <c r="AH22" s="30" t="str">
        <f t="shared" ca="1" si="43"/>
        <v>141-2</v>
      </c>
      <c r="AI22" s="30" t="str">
        <f t="shared" ca="1" si="13"/>
        <v/>
      </c>
      <c r="AJ22" s="29">
        <f t="shared" ca="1" si="14"/>
        <v>0</v>
      </c>
      <c r="AK22" s="29" t="str">
        <f t="shared" ca="1" si="15"/>
        <v>2/3</v>
      </c>
      <c r="AL22" s="29">
        <f t="shared" ca="1" si="16"/>
        <v>0.66666666666666663</v>
      </c>
      <c r="AM22" s="32">
        <f t="shared" ca="1" si="35"/>
        <v>0.66666666666666663</v>
      </c>
      <c r="AO22" s="20">
        <f>Tools!$AD21</f>
        <v>16</v>
      </c>
      <c r="AP22" s="33">
        <f t="shared" si="36"/>
        <v>10.9</v>
      </c>
      <c r="AQ22" s="34" t="str">
        <f t="shared" ca="1" si="18"/>
        <v>2/3</v>
      </c>
      <c r="AR22" s="23">
        <f t="shared" ca="1" si="19"/>
        <v>7.2666666666666666</v>
      </c>
      <c r="AS22" s="24">
        <f t="shared" si="20"/>
        <v>6</v>
      </c>
      <c r="AT22" s="23">
        <f t="shared" ca="1" si="37"/>
        <v>43.6</v>
      </c>
      <c r="AU22" s="23">
        <f t="shared" ca="1" si="40"/>
        <v>261.60000000000002</v>
      </c>
      <c r="AV22" s="23">
        <f t="shared" si="21"/>
        <v>1295.029</v>
      </c>
      <c r="AW22" s="23">
        <f t="shared" ca="1" si="22"/>
        <v>863.35266666666666</v>
      </c>
      <c r="AY22" s="35">
        <f t="shared" si="23"/>
        <v>206.29666666666665</v>
      </c>
      <c r="AZ22" s="23">
        <f t="shared" ca="1" si="41"/>
        <v>137.5311111111111</v>
      </c>
      <c r="BA22" s="36">
        <f t="shared" si="25"/>
        <v>1065.6266666666666</v>
      </c>
      <c r="BB22" s="27">
        <f t="shared" ca="1" si="38"/>
        <v>710.4177777777777</v>
      </c>
      <c r="BC22" s="23">
        <f t="shared" ca="1" si="39"/>
        <v>825.18666666666661</v>
      </c>
      <c r="BE22" s="50" t="s">
        <v>60</v>
      </c>
      <c r="BF22" s="48" t="s">
        <v>61</v>
      </c>
      <c r="BG22" s="49">
        <f>IF(WL_No="  ","  ",IF/V_Disp)</f>
        <v>157.13575235233492</v>
      </c>
    </row>
    <row r="23" spans="1:59" x14ac:dyDescent="0.25">
      <c r="A23" s="20">
        <f>Tools!$AD22</f>
        <v>17</v>
      </c>
      <c r="B23" s="33">
        <f t="shared" si="0"/>
        <v>10.27</v>
      </c>
      <c r="C23" s="22">
        <f>IF(A23="  ","  ",IF(AND(A22="  ",A24="  "),"?",IF(A22="  ",2*(A24-A23),IF(A24="  ",2*(A23-A22),2*(A24-A22)))))</f>
        <v>4</v>
      </c>
      <c r="D23" s="23">
        <f t="shared" si="26"/>
        <v>41.08</v>
      </c>
      <c r="E23" s="24">
        <f t="shared" si="1"/>
        <v>7</v>
      </c>
      <c r="F23" s="23">
        <f t="shared" si="27"/>
        <v>287.56</v>
      </c>
      <c r="G23" s="23">
        <f t="shared" si="28"/>
        <v>2012.92</v>
      </c>
      <c r="H23" s="23">
        <f t="shared" si="29"/>
        <v>1083.2066829999999</v>
      </c>
      <c r="I23" s="23">
        <f t="shared" si="30"/>
        <v>4332.8267319999995</v>
      </c>
      <c r="J23" s="4"/>
      <c r="K23" s="37">
        <f t="shared" si="2"/>
        <v>183.36666666666667</v>
      </c>
      <c r="L23" s="23">
        <f t="shared" si="31"/>
        <v>733.4666666666667</v>
      </c>
      <c r="M23" s="38">
        <f t="shared" si="3"/>
        <v>970.81999999999994</v>
      </c>
      <c r="N23" s="27">
        <f t="shared" si="32"/>
        <v>3883.2799999999997</v>
      </c>
      <c r="O23" s="23">
        <f t="shared" si="33"/>
        <v>5134.2666666666664</v>
      </c>
      <c r="P23" s="4"/>
      <c r="Q23" s="50" t="s">
        <v>65</v>
      </c>
      <c r="R23" s="48" t="s">
        <v>66</v>
      </c>
      <c r="S23">
        <f>IF(Tools!$L$49="Use 141 rule only",I47,IF(Tools!$L$49="Use 141 and 1331 rules",BG24," "))</f>
        <v>5.2192523778802595</v>
      </c>
      <c r="W23" s="29">
        <f>IF(AO23="  ","  ",IF(AND(AO22="  ",AO24="  "),"?",IF(AO22="  ",2*(AO24-AO23),IF(AO24="  ",2*(AO23-AO22),2*(AO24-AO22)))))</f>
        <v>4</v>
      </c>
      <c r="X23" s="30" t="str">
        <f t="shared" si="4"/>
        <v>WW</v>
      </c>
      <c r="Y23" s="30" t="str">
        <f t="shared" si="5"/>
        <v>-</v>
      </c>
      <c r="Z23" s="29" t="b">
        <f t="shared" si="6"/>
        <v>0</v>
      </c>
      <c r="AA23" s="29" t="b">
        <f t="shared" si="7"/>
        <v>0</v>
      </c>
      <c r="AB23" s="29" t="str">
        <f t="shared" ca="1" si="8"/>
        <v>++</v>
      </c>
      <c r="AC23" s="29">
        <f t="shared" si="34"/>
        <v>6</v>
      </c>
      <c r="AD23" s="29">
        <f t="shared" ca="1" si="9"/>
        <v>6</v>
      </c>
      <c r="AE23" s="29">
        <v>20</v>
      </c>
      <c r="AF23" s="31">
        <f t="shared" si="42"/>
        <v>16</v>
      </c>
      <c r="AG23" s="29" t="b">
        <f t="shared" si="11"/>
        <v>1</v>
      </c>
      <c r="AH23" s="30" t="str">
        <f t="shared" ca="1" si="43"/>
        <v>141-4</v>
      </c>
      <c r="AI23" s="30" t="str">
        <f t="shared" ca="1" si="13"/>
        <v/>
      </c>
      <c r="AJ23" s="29">
        <f t="shared" ca="1" si="14"/>
        <v>0</v>
      </c>
      <c r="AK23" s="29" t="str">
        <f t="shared" ca="1" si="15"/>
        <v>4/3</v>
      </c>
      <c r="AL23" s="29">
        <f t="shared" ca="1" si="16"/>
        <v>1.3333333333333333</v>
      </c>
      <c r="AM23" s="32">
        <f t="shared" ca="1" si="35"/>
        <v>1.3333333333333333</v>
      </c>
      <c r="AO23" s="20">
        <f>Tools!$AD22</f>
        <v>17</v>
      </c>
      <c r="AP23" s="33">
        <f t="shared" si="36"/>
        <v>10.27</v>
      </c>
      <c r="AQ23" s="34" t="str">
        <f t="shared" ca="1" si="18"/>
        <v>4/3</v>
      </c>
      <c r="AR23" s="23">
        <f t="shared" ca="1" si="19"/>
        <v>13.693333333333332</v>
      </c>
      <c r="AS23" s="24">
        <f t="shared" si="20"/>
        <v>7</v>
      </c>
      <c r="AT23" s="23">
        <f t="shared" ca="1" si="37"/>
        <v>95.853333333333325</v>
      </c>
      <c r="AU23" s="23">
        <f t="shared" ca="1" si="40"/>
        <v>670.97333333333324</v>
      </c>
      <c r="AV23" s="23">
        <f t="shared" si="21"/>
        <v>1083.2066829999999</v>
      </c>
      <c r="AW23" s="23">
        <f t="shared" ca="1" si="22"/>
        <v>1444.2755773333331</v>
      </c>
      <c r="AY23" s="35">
        <f t="shared" si="23"/>
        <v>183.36666666666667</v>
      </c>
      <c r="AZ23" s="23">
        <f t="shared" ca="1" si="41"/>
        <v>244.48888888888888</v>
      </c>
      <c r="BA23" s="36">
        <f t="shared" si="25"/>
        <v>970.81999999999994</v>
      </c>
      <c r="BB23" s="27">
        <f t="shared" ca="1" si="38"/>
        <v>1294.4266666666665</v>
      </c>
      <c r="BC23" s="23">
        <f t="shared" ca="1" si="39"/>
        <v>1711.4222222222222</v>
      </c>
      <c r="BE23" s="50" t="s">
        <v>63</v>
      </c>
      <c r="BF23" s="48" t="s">
        <v>64</v>
      </c>
      <c r="BG23" s="49">
        <f>IF(WL_No="  ","  ",IT/V_Disp)</f>
        <v>3.9425744787363342</v>
      </c>
    </row>
    <row r="24" spans="1:59" x14ac:dyDescent="0.25">
      <c r="A24" s="20">
        <f>Tools!$AD23</f>
        <v>18</v>
      </c>
      <c r="B24" s="33">
        <f t="shared" si="0"/>
        <v>8.43</v>
      </c>
      <c r="C24" s="22">
        <f>IF(A24="  ","  ",IF(AND(A23="  ",A25="  "),"?",IF(A23="  ",1*(A25-A24),IF(A25="  ",1*(A24-A23),1*(A25-A23)))))</f>
        <v>1.5</v>
      </c>
      <c r="D24" s="23">
        <f t="shared" si="26"/>
        <v>12.645</v>
      </c>
      <c r="E24" s="24">
        <f t="shared" si="1"/>
        <v>8</v>
      </c>
      <c r="F24" s="23">
        <f t="shared" si="27"/>
        <v>101.16</v>
      </c>
      <c r="G24" s="23">
        <f t="shared" si="28"/>
        <v>809.28</v>
      </c>
      <c r="H24" s="23">
        <f t="shared" si="29"/>
        <v>599.07710699999996</v>
      </c>
      <c r="I24" s="23">
        <f t="shared" si="30"/>
        <v>898.61566049999988</v>
      </c>
      <c r="J24" s="4"/>
      <c r="K24" s="37">
        <f t="shared" si="2"/>
        <v>140.58573333333334</v>
      </c>
      <c r="L24" s="23">
        <f t="shared" si="31"/>
        <v>210.87860000000001</v>
      </c>
      <c r="M24" s="38">
        <f t="shared" si="3"/>
        <v>761.97919999999999</v>
      </c>
      <c r="N24" s="27">
        <f t="shared" si="32"/>
        <v>1142.9688000000001</v>
      </c>
      <c r="O24" s="23">
        <f t="shared" si="33"/>
        <v>1687.0288</v>
      </c>
      <c r="P24" s="4"/>
      <c r="Q24" s="50" t="s">
        <v>67</v>
      </c>
      <c r="R24" s="48" t="s">
        <v>68</v>
      </c>
      <c r="S24">
        <f>IF(Tools!$L$49="Use 141 rule only",I48,IF(Tools!$L$49="Use 141 and 1331 rules",BG25," "))</f>
        <v>9.1618268566165941</v>
      </c>
      <c r="W24" s="29">
        <f>IF(AO24="  ","  ",IF(AND(AO23="  ",AO25="  "),"?",IF(AO23="  ",1*(AO25-AO24),IF(AO25="  ",1*(AO24-AO23),1*(AO25-AO23)))))</f>
        <v>1.5</v>
      </c>
      <c r="X24" s="30" t="str">
        <f t="shared" si="4"/>
        <v>WD</v>
      </c>
      <c r="Y24" s="30" t="str">
        <f t="shared" si="5"/>
        <v>-</v>
      </c>
      <c r="Z24" s="29" t="b">
        <f t="shared" si="6"/>
        <v>1</v>
      </c>
      <c r="AA24" s="29" t="b">
        <f t="shared" si="7"/>
        <v>1</v>
      </c>
      <c r="AB24" s="29" t="str">
        <f t="shared" ca="1" si="8"/>
        <v>141-1</v>
      </c>
      <c r="AC24" s="29">
        <f t="shared" si="34"/>
        <v>5</v>
      </c>
      <c r="AD24" s="29">
        <f t="shared" ca="1" si="9"/>
        <v>5</v>
      </c>
      <c r="AE24" s="29">
        <v>21</v>
      </c>
      <c r="AF24" s="31">
        <f t="shared" si="42"/>
        <v>17</v>
      </c>
      <c r="AG24" s="29" t="b">
        <f t="shared" si="11"/>
        <v>1</v>
      </c>
      <c r="AH24" s="30" t="str">
        <f t="shared" ca="1" si="43"/>
        <v>141-1</v>
      </c>
      <c r="AI24" s="30" t="str">
        <f t="shared" ca="1" si="13"/>
        <v>(1/2)*(1/3)</v>
      </c>
      <c r="AJ24" s="29">
        <f t="shared" ca="1" si="14"/>
        <v>0.16666666666666666</v>
      </c>
      <c r="AK24" s="29" t="str">
        <f t="shared" ca="1" si="15"/>
        <v>1/3</v>
      </c>
      <c r="AL24" s="29">
        <f t="shared" ca="1" si="16"/>
        <v>0.33333333333333331</v>
      </c>
      <c r="AM24" s="32">
        <f t="shared" ca="1" si="35"/>
        <v>0.5</v>
      </c>
      <c r="AO24" s="20">
        <f>Tools!$AD23</f>
        <v>18</v>
      </c>
      <c r="AP24" s="33">
        <f t="shared" si="36"/>
        <v>8.43</v>
      </c>
      <c r="AQ24" s="34" t="str">
        <f t="shared" ca="1" si="18"/>
        <v>(1/2)*(1/3)+1/3</v>
      </c>
      <c r="AR24" s="23">
        <f t="shared" ca="1" si="19"/>
        <v>4.2149999999999999</v>
      </c>
      <c r="AS24" s="24">
        <f t="shared" si="20"/>
        <v>8</v>
      </c>
      <c r="AT24" s="23">
        <f t="shared" ca="1" si="37"/>
        <v>33.72</v>
      </c>
      <c r="AU24" s="23">
        <f t="shared" ca="1" si="40"/>
        <v>269.76</v>
      </c>
      <c r="AV24" s="23">
        <f t="shared" si="21"/>
        <v>599.07710699999996</v>
      </c>
      <c r="AW24" s="23">
        <f t="shared" ca="1" si="22"/>
        <v>299.53855349999998</v>
      </c>
      <c r="AY24" s="35">
        <f t="shared" si="23"/>
        <v>140.58573333333334</v>
      </c>
      <c r="AZ24" s="23">
        <f t="shared" ca="1" si="41"/>
        <v>70.292866666666669</v>
      </c>
      <c r="BA24" s="36">
        <f t="shared" si="25"/>
        <v>761.97919999999999</v>
      </c>
      <c r="BB24" s="27">
        <f t="shared" ca="1" si="38"/>
        <v>380.9896</v>
      </c>
      <c r="BC24" s="23">
        <f t="shared" ca="1" si="39"/>
        <v>562.34293333333335</v>
      </c>
      <c r="BE24" s="50" t="s">
        <v>65</v>
      </c>
      <c r="BF24" s="48" t="s">
        <v>66</v>
      </c>
      <c r="BG24" s="49">
        <f>IF(WL_No="  ","  ",MT/V_Disp)</f>
        <v>5.2192523778802595</v>
      </c>
    </row>
    <row r="25" spans="1:59" x14ac:dyDescent="0.25">
      <c r="A25" s="20">
        <f>Tools!$AD24</f>
        <v>18.5</v>
      </c>
      <c r="B25" s="33">
        <f t="shared" si="0"/>
        <v>6.91</v>
      </c>
      <c r="C25" s="22">
        <f>IF(A25="  ","  ",IF(AND(A24="  ",A26="  "),"?",IF(A24="  ",2*(A26-A25),IF(A26="  ",2*(A25-A24),2*(A26-A24)))))</f>
        <v>2</v>
      </c>
      <c r="D25" s="23">
        <f t="shared" si="26"/>
        <v>13.82</v>
      </c>
      <c r="E25" s="24">
        <f t="shared" si="1"/>
        <v>8.5</v>
      </c>
      <c r="F25" s="23">
        <f t="shared" si="27"/>
        <v>117.47</v>
      </c>
      <c r="G25" s="23">
        <f t="shared" si="28"/>
        <v>998.495</v>
      </c>
      <c r="H25" s="23">
        <f t="shared" si="29"/>
        <v>329.93937099999999</v>
      </c>
      <c r="I25" s="23">
        <f t="shared" si="30"/>
        <v>659.87874199999999</v>
      </c>
      <c r="J25" s="4"/>
      <c r="K25" s="37">
        <f t="shared" si="2"/>
        <v>111.83666666666664</v>
      </c>
      <c r="L25" s="23">
        <f t="shared" si="31"/>
        <v>223.67333333333329</v>
      </c>
      <c r="M25" s="38">
        <f t="shared" si="3"/>
        <v>612.24666666666656</v>
      </c>
      <c r="N25" s="27">
        <f t="shared" si="32"/>
        <v>1224.4933333333331</v>
      </c>
      <c r="O25" s="23">
        <f t="shared" si="33"/>
        <v>1901.2233333333329</v>
      </c>
      <c r="P25" s="4"/>
      <c r="Q25" s="50" t="s">
        <v>69</v>
      </c>
      <c r="R25" s="48" t="s">
        <v>70</v>
      </c>
      <c r="S25">
        <f>IF(Tools!$L$49="Use 141 rule only",I49,IF(Tools!$L$49="Use 141 and 1331 rules",BG26," "))</f>
        <v>162.35500473021517</v>
      </c>
      <c r="W25" s="29">
        <f>IF(AO25="  ","  ",IF(AND(AO24="  ",AO26="  "),"?",IF(AO24="  ",2*(AO26-AO25),IF(AO26="  ",2*(AO25-AO24),2*(AO26-AO24)))))</f>
        <v>2</v>
      </c>
      <c r="X25" s="30" t="str">
        <f t="shared" si="4"/>
        <v>DD</v>
      </c>
      <c r="Y25" s="30" t="str">
        <f t="shared" si="5"/>
        <v>-</v>
      </c>
      <c r="Z25" s="29" t="b">
        <f t="shared" si="6"/>
        <v>1</v>
      </c>
      <c r="AA25" s="29" t="b">
        <f t="shared" si="7"/>
        <v>1</v>
      </c>
      <c r="AB25" s="29" t="str">
        <f t="shared" ca="1" si="8"/>
        <v>141-4</v>
      </c>
      <c r="AC25" s="29">
        <f t="shared" si="34"/>
        <v>4</v>
      </c>
      <c r="AD25" s="29">
        <f t="shared" ca="1" si="9"/>
        <v>4</v>
      </c>
      <c r="AE25" s="29">
        <v>22</v>
      </c>
      <c r="AF25" s="31">
        <f t="shared" si="42"/>
        <v>18</v>
      </c>
      <c r="AG25" s="29" t="b">
        <f t="shared" si="11"/>
        <v>0</v>
      </c>
      <c r="AH25" s="30" t="str">
        <f t="shared" si="43"/>
        <v>-</v>
      </c>
      <c r="AI25" s="30" t="str">
        <f t="shared" ca="1" si="13"/>
        <v>(1/2)*(4/3)</v>
      </c>
      <c r="AJ25" s="29">
        <f t="shared" ca="1" si="14"/>
        <v>0.66666666666666663</v>
      </c>
      <c r="AK25" s="29" t="str">
        <f t="shared" si="15"/>
        <v/>
      </c>
      <c r="AL25" s="29">
        <f t="shared" si="16"/>
        <v>0</v>
      </c>
      <c r="AM25" s="32">
        <f t="shared" ca="1" si="35"/>
        <v>0.66666666666666663</v>
      </c>
      <c r="AO25" s="20">
        <f>Tools!$AD24</f>
        <v>18.5</v>
      </c>
      <c r="AP25" s="33">
        <f t="shared" si="36"/>
        <v>6.91</v>
      </c>
      <c r="AQ25" s="34" t="str">
        <f t="shared" ca="1" si="18"/>
        <v>(1/2)*(4/3)</v>
      </c>
      <c r="AR25" s="23">
        <f t="shared" ca="1" si="19"/>
        <v>4.6066666666666665</v>
      </c>
      <c r="AS25" s="24">
        <f t="shared" si="20"/>
        <v>8.5</v>
      </c>
      <c r="AT25" s="23">
        <f t="shared" ca="1" si="37"/>
        <v>39.156666666666666</v>
      </c>
      <c r="AU25" s="23">
        <f t="shared" ca="1" si="40"/>
        <v>332.83166666666665</v>
      </c>
      <c r="AV25" s="23">
        <f t="shared" si="21"/>
        <v>329.93937099999999</v>
      </c>
      <c r="AW25" s="23">
        <f t="shared" ca="1" si="22"/>
        <v>219.95958066666665</v>
      </c>
      <c r="AY25" s="35">
        <f t="shared" si="23"/>
        <v>111.83666666666664</v>
      </c>
      <c r="AZ25" s="23">
        <f t="shared" ca="1" si="41"/>
        <v>74.557777777777758</v>
      </c>
      <c r="BA25" s="36">
        <f t="shared" si="25"/>
        <v>612.24666666666656</v>
      </c>
      <c r="BB25" s="27">
        <f t="shared" ca="1" si="38"/>
        <v>408.16444444444437</v>
      </c>
      <c r="BC25" s="23">
        <f t="shared" ca="1" si="39"/>
        <v>633.74111111111097</v>
      </c>
      <c r="BE25" s="50" t="s">
        <v>67</v>
      </c>
      <c r="BF25" s="48" t="s">
        <v>68</v>
      </c>
      <c r="BG25" s="49">
        <f>IF(WL_No="  ","  ",KB+BMT)</f>
        <v>9.1618268566165941</v>
      </c>
    </row>
    <row r="26" spans="1:59" x14ac:dyDescent="0.25">
      <c r="A26" s="20">
        <f>Tools!$AD25</f>
        <v>19</v>
      </c>
      <c r="B26" s="33">
        <f t="shared" si="0"/>
        <v>4.9399999999999995</v>
      </c>
      <c r="C26" s="22">
        <f>IF(A26="  ","  ",IF(AND(A25="  ",A27="  "),"?",IF(A25="  ",1*(A27-A26),IF(A27="  ",1*(A26-A25),1*(A27-A25)))))</f>
        <v>1</v>
      </c>
      <c r="D26" s="23">
        <f t="shared" si="26"/>
        <v>4.9399999999999995</v>
      </c>
      <c r="E26" s="24">
        <f t="shared" si="1"/>
        <v>9</v>
      </c>
      <c r="F26" s="23">
        <f t="shared" si="27"/>
        <v>44.459999999999994</v>
      </c>
      <c r="G26" s="23">
        <f t="shared" si="28"/>
        <v>400.13999999999993</v>
      </c>
      <c r="H26" s="23">
        <f t="shared" si="29"/>
        <v>120.55378399999995</v>
      </c>
      <c r="I26" s="23">
        <f t="shared" si="30"/>
        <v>120.55378399999995</v>
      </c>
      <c r="J26" s="4"/>
      <c r="K26" s="37">
        <f t="shared" si="2"/>
        <v>79.236666666666665</v>
      </c>
      <c r="L26" s="23">
        <f t="shared" si="31"/>
        <v>79.236666666666665</v>
      </c>
      <c r="M26" s="38">
        <f t="shared" si="3"/>
        <v>433.64</v>
      </c>
      <c r="N26" s="27">
        <f t="shared" si="32"/>
        <v>433.64</v>
      </c>
      <c r="O26" s="23">
        <f t="shared" si="33"/>
        <v>713.13</v>
      </c>
      <c r="P26" s="4"/>
      <c r="Q26" s="50" t="s">
        <v>71</v>
      </c>
      <c r="R26" s="48" t="s">
        <v>72</v>
      </c>
      <c r="S26">
        <f>IF(Tools!$L$49="Use 141 rule only",I50,IF(Tools!$L$49="Use 141 and 1331 rules",BG27," "))</f>
        <v>28.645402650666664</v>
      </c>
      <c r="W26" s="29">
        <f>IF(AO26="  ","  ",IF(AND(AO25="  ",AO27="  "),"?",IF(AO25="  ",1*(AO27-AO26),IF(AO27="  ",1*(AO26-AO25),1*(AO27-AO25)))))</f>
        <v>1</v>
      </c>
      <c r="X26" s="30" t="str">
        <f t="shared" si="4"/>
        <v>DD</v>
      </c>
      <c r="Y26" s="30" t="str">
        <f t="shared" si="5"/>
        <v>-</v>
      </c>
      <c r="Z26" s="29" t="b">
        <f t="shared" si="6"/>
        <v>1</v>
      </c>
      <c r="AA26" s="29" t="b">
        <f t="shared" si="7"/>
        <v>1</v>
      </c>
      <c r="AB26" s="29" t="str">
        <f t="shared" ca="1" si="8"/>
        <v>141-2</v>
      </c>
      <c r="AC26" s="29">
        <f t="shared" si="34"/>
        <v>3</v>
      </c>
      <c r="AD26" s="29">
        <f t="shared" ca="1" si="9"/>
        <v>3</v>
      </c>
      <c r="AE26" s="29">
        <v>23</v>
      </c>
      <c r="AF26" s="31">
        <f t="shared" si="42"/>
        <v>19</v>
      </c>
      <c r="AG26" s="29" t="b">
        <f t="shared" si="11"/>
        <v>0</v>
      </c>
      <c r="AH26" s="30" t="str">
        <f t="shared" si="43"/>
        <v>-</v>
      </c>
      <c r="AI26" s="30" t="str">
        <f t="shared" ca="1" si="13"/>
        <v>(1/2)*(2/3)</v>
      </c>
      <c r="AJ26" s="29">
        <f t="shared" ca="1" si="14"/>
        <v>0.33333333333333331</v>
      </c>
      <c r="AK26" s="29" t="str">
        <f t="shared" si="15"/>
        <v/>
      </c>
      <c r="AL26" s="29">
        <f t="shared" si="16"/>
        <v>0</v>
      </c>
      <c r="AM26" s="32">
        <f t="shared" ca="1" si="35"/>
        <v>0.33333333333333331</v>
      </c>
      <c r="AO26" s="20">
        <f>Tools!$AD25</f>
        <v>19</v>
      </c>
      <c r="AP26" s="33">
        <f t="shared" si="36"/>
        <v>4.9399999999999995</v>
      </c>
      <c r="AQ26" s="34" t="str">
        <f t="shared" ca="1" si="18"/>
        <v>(1/2)*(2/3)</v>
      </c>
      <c r="AR26" s="23">
        <f t="shared" ca="1" si="19"/>
        <v>1.6466666666666665</v>
      </c>
      <c r="AS26" s="24">
        <f t="shared" si="20"/>
        <v>9</v>
      </c>
      <c r="AT26" s="23">
        <f t="shared" ca="1" si="37"/>
        <v>14.819999999999999</v>
      </c>
      <c r="AU26" s="23">
        <f t="shared" ca="1" si="40"/>
        <v>133.38</v>
      </c>
      <c r="AV26" s="23">
        <f t="shared" si="21"/>
        <v>120.55378399999995</v>
      </c>
      <c r="AW26" s="23">
        <f t="shared" ca="1" si="22"/>
        <v>40.184594666666648</v>
      </c>
      <c r="AY26" s="35">
        <f t="shared" si="23"/>
        <v>79.236666666666665</v>
      </c>
      <c r="AZ26" s="23">
        <f t="shared" ca="1" si="41"/>
        <v>26.412222222222219</v>
      </c>
      <c r="BA26" s="36">
        <f t="shared" si="25"/>
        <v>433.64</v>
      </c>
      <c r="BB26" s="27">
        <f t="shared" ca="1" si="38"/>
        <v>144.54666666666665</v>
      </c>
      <c r="BC26" s="23">
        <f t="shared" ca="1" si="39"/>
        <v>237.70999999999998</v>
      </c>
      <c r="BE26" s="50" t="s">
        <v>69</v>
      </c>
      <c r="BF26" s="48" t="s">
        <v>70</v>
      </c>
      <c r="BG26" s="49">
        <f>IF(WL_No="  ","  ",KB+BML)</f>
        <v>162.35500473021517</v>
      </c>
    </row>
    <row r="27" spans="1:59" x14ac:dyDescent="0.25">
      <c r="A27" s="20">
        <f>Tools!$AD26</f>
        <v>19.5</v>
      </c>
      <c r="B27" s="33">
        <f t="shared" si="0"/>
        <v>2.4962</v>
      </c>
      <c r="C27" s="22">
        <f>IF(A27="  ","  ",IF(AND(A26="  ",A28="  "),"?",IF(A26="  ",2*(A28-A27),IF(A28="  ",2*(A27-A26),2*(A28-A26)))))</f>
        <v>2</v>
      </c>
      <c r="D27" s="23">
        <f t="shared" si="26"/>
        <v>4.9923999999999999</v>
      </c>
      <c r="E27" s="24">
        <f t="shared" si="1"/>
        <v>9.5</v>
      </c>
      <c r="F27" s="23">
        <f t="shared" si="27"/>
        <v>47.427799999999998</v>
      </c>
      <c r="G27" s="23">
        <f t="shared" si="28"/>
        <v>450.5641</v>
      </c>
      <c r="H27" s="23">
        <f t="shared" si="29"/>
        <v>15.553858245128</v>
      </c>
      <c r="I27" s="23">
        <f t="shared" si="30"/>
        <v>31.107716490255999</v>
      </c>
      <c r="J27" s="4"/>
      <c r="K27" s="37">
        <f t="shared" si="2"/>
        <v>45.084933333333325</v>
      </c>
      <c r="L27" s="23">
        <f t="shared" si="31"/>
        <v>90.16986666666665</v>
      </c>
      <c r="M27" s="38">
        <f t="shared" si="3"/>
        <v>237.07599999999999</v>
      </c>
      <c r="N27" s="27">
        <f t="shared" si="32"/>
        <v>474.15199999999999</v>
      </c>
      <c r="O27" s="23">
        <f t="shared" si="33"/>
        <v>856.61373333333313</v>
      </c>
      <c r="P27" s="4"/>
      <c r="Q27" s="50" t="s">
        <v>73</v>
      </c>
      <c r="R27" s="48" t="s">
        <v>74</v>
      </c>
      <c r="S27">
        <f>IF(Tools!$L$49="Use 141 rule only",I51,IF(Tools!$L$49="Use 141 and 1331 rules",BG28," "))</f>
        <v>2.9259115172789736</v>
      </c>
      <c r="W27" s="29">
        <f>IF(AO27="  ","  ",IF(AND(AO26="  ",AO28="  "),"?",IF(AO26="  ",2*(AO28-AO27),IF(AO28="  ",2*(AO27-AO26),2*(AO28-AO26)))))</f>
        <v>2</v>
      </c>
      <c r="X27" s="30" t="str">
        <f t="shared" si="4"/>
        <v>DD</v>
      </c>
      <c r="Y27" s="30" t="str">
        <f t="shared" si="5"/>
        <v>-</v>
      </c>
      <c r="Z27" s="29" t="b">
        <f t="shared" si="6"/>
        <v>1</v>
      </c>
      <c r="AA27" s="29" t="b">
        <f t="shared" si="7"/>
        <v>1</v>
      </c>
      <c r="AB27" s="29" t="str">
        <f t="shared" ca="1" si="8"/>
        <v>141-4</v>
      </c>
      <c r="AC27" s="29">
        <f t="shared" si="34"/>
        <v>2</v>
      </c>
      <c r="AD27" s="29">
        <f t="shared" ca="1" si="9"/>
        <v>2</v>
      </c>
      <c r="AE27" s="29">
        <v>24</v>
      </c>
      <c r="AF27" s="31">
        <f t="shared" si="42"/>
        <v>20</v>
      </c>
      <c r="AG27" s="29" t="b">
        <f t="shared" si="11"/>
        <v>0</v>
      </c>
      <c r="AH27" s="30" t="str">
        <f t="shared" si="43"/>
        <v>-</v>
      </c>
      <c r="AI27" s="30" t="str">
        <f t="shared" ca="1" si="13"/>
        <v>(1/2)*(4/3)</v>
      </c>
      <c r="AJ27" s="29">
        <f t="shared" ca="1" si="14"/>
        <v>0.66666666666666663</v>
      </c>
      <c r="AK27" s="29" t="str">
        <f t="shared" si="15"/>
        <v/>
      </c>
      <c r="AL27" s="29">
        <f t="shared" si="16"/>
        <v>0</v>
      </c>
      <c r="AM27" s="32">
        <f t="shared" ca="1" si="35"/>
        <v>0.66666666666666663</v>
      </c>
      <c r="AO27" s="20">
        <f>Tools!$AD26</f>
        <v>19.5</v>
      </c>
      <c r="AP27" s="33">
        <f t="shared" ref="AP27:AP28" si="44">VLOOKUP(AO27,OFFSET_A,Count_WL+1,FALSE)</f>
        <v>2.4962</v>
      </c>
      <c r="AQ27" s="34" t="str">
        <f t="shared" ca="1" si="18"/>
        <v>(1/2)*(4/3)</v>
      </c>
      <c r="AR27" s="23">
        <f t="shared" ca="1" si="19"/>
        <v>1.6641333333333332</v>
      </c>
      <c r="AS27" s="24">
        <f t="shared" si="20"/>
        <v>9.5</v>
      </c>
      <c r="AT27" s="23">
        <f t="shared" ca="1" si="37"/>
        <v>15.809266666666666</v>
      </c>
      <c r="AU27" s="23">
        <f t="shared" ca="1" si="40"/>
        <v>150.18803333333332</v>
      </c>
      <c r="AV27" s="23">
        <f t="shared" si="21"/>
        <v>15.553858245128</v>
      </c>
      <c r="AW27" s="23">
        <f t="shared" ca="1" si="22"/>
        <v>10.369238830085333</v>
      </c>
      <c r="AY27" s="35">
        <f t="shared" si="23"/>
        <v>45.084933333333325</v>
      </c>
      <c r="AZ27" s="23">
        <f t="shared" ca="1" si="41"/>
        <v>30.056622222222217</v>
      </c>
      <c r="BA27" s="36">
        <f t="shared" si="25"/>
        <v>237.07599999999999</v>
      </c>
      <c r="BB27" s="27">
        <f t="shared" ca="1" si="38"/>
        <v>158.05066666666664</v>
      </c>
      <c r="BC27" s="23">
        <f t="shared" ca="1" si="39"/>
        <v>285.53791111111104</v>
      </c>
      <c r="BE27" s="50" t="s">
        <v>71</v>
      </c>
      <c r="BF27" s="48" t="s">
        <v>72</v>
      </c>
      <c r="BG27" s="49">
        <f>IF(WL_No="  ","  ",AWP*1.025/100)</f>
        <v>28.645402650666664</v>
      </c>
    </row>
    <row r="28" spans="1:59" ht="15.75" thickBot="1" x14ac:dyDescent="0.3">
      <c r="A28" s="20">
        <f>Tools!$AD27</f>
        <v>20</v>
      </c>
      <c r="B28" s="52">
        <f t="shared" si="0"/>
        <v>0.03</v>
      </c>
      <c r="C28" s="22">
        <f>IF(A28="  ","  ",IF(A27="  ","?",1*(A28-A27)))</f>
        <v>0.5</v>
      </c>
      <c r="D28" s="53">
        <f t="shared" si="26"/>
        <v>1.4999999999999999E-2</v>
      </c>
      <c r="E28" s="24">
        <f t="shared" si="1"/>
        <v>10</v>
      </c>
      <c r="F28" s="53">
        <f t="shared" si="27"/>
        <v>0.15</v>
      </c>
      <c r="G28" s="53">
        <f t="shared" si="28"/>
        <v>1.5</v>
      </c>
      <c r="H28" s="23">
        <f t="shared" si="29"/>
        <v>2.6999999999999999E-5</v>
      </c>
      <c r="I28" s="53">
        <f t="shared" si="30"/>
        <v>1.3499999999999999E-5</v>
      </c>
      <c r="J28" s="4"/>
      <c r="K28" s="35">
        <f t="shared" si="2"/>
        <v>14.129999999999999</v>
      </c>
      <c r="L28" s="53">
        <f t="shared" si="31"/>
        <v>7.0649999999999995</v>
      </c>
      <c r="M28" s="36">
        <f t="shared" si="3"/>
        <v>45</v>
      </c>
      <c r="N28" s="54">
        <f t="shared" si="32"/>
        <v>22.5</v>
      </c>
      <c r="O28" s="53">
        <f t="shared" si="33"/>
        <v>70.649999999999991</v>
      </c>
      <c r="P28" s="4"/>
      <c r="Q28" s="50" t="s">
        <v>75</v>
      </c>
      <c r="R28" s="55" t="s">
        <v>76</v>
      </c>
      <c r="S28">
        <f>IF(Tools!$L$49="Use 141 rule only",I52,IF(Tools!$L$49="Use 141 and 1331 rules",BG29," "))</f>
        <v>279.22960318813841</v>
      </c>
      <c r="W28" s="29">
        <f>IF(AO28="  ","  ",IF(AO27="  ","?",1*(AO28-AO27)))</f>
        <v>0.5</v>
      </c>
      <c r="X28" s="30" t="str">
        <f t="shared" si="4"/>
        <v>D-</v>
      </c>
      <c r="Y28" s="30" t="str">
        <f t="shared" si="5"/>
        <v>-</v>
      </c>
      <c r="Z28" s="29" t="b">
        <f t="shared" si="6"/>
        <v>1</v>
      </c>
      <c r="AA28" s="29" t="b">
        <f t="shared" si="7"/>
        <v>1</v>
      </c>
      <c r="AB28" s="29" t="str">
        <f t="shared" ca="1" si="8"/>
        <v>141-1</v>
      </c>
      <c r="AC28" s="29">
        <f>IF(ISNUMBER(AO28),IF(ISNUMBER(AO28),IF(OR(AO28=0,AO28=Long_Div),1,IF(AO28&gt;Long_Div/2,AF29+1,IF(AO28&lt;=Long_Div/2,AC27+1,"?")))," --")," ")</f>
        <v>1</v>
      </c>
      <c r="AD28" s="29">
        <f t="shared" ca="1" si="9"/>
        <v>1</v>
      </c>
      <c r="AE28" s="29">
        <v>25</v>
      </c>
      <c r="AF28" s="31">
        <f t="shared" si="42"/>
        <v>21</v>
      </c>
      <c r="AG28" s="29" t="b">
        <f t="shared" si="11"/>
        <v>0</v>
      </c>
      <c r="AH28" s="30" t="str">
        <f t="shared" si="43"/>
        <v>-</v>
      </c>
      <c r="AI28" s="30" t="str">
        <f t="shared" ca="1" si="13"/>
        <v>(1/2)*(1/3)</v>
      </c>
      <c r="AJ28" s="29">
        <f t="shared" ca="1" si="14"/>
        <v>0.16666666666666666</v>
      </c>
      <c r="AK28" s="29" t="str">
        <f t="shared" si="15"/>
        <v/>
      </c>
      <c r="AL28" s="29">
        <f t="shared" si="16"/>
        <v>0</v>
      </c>
      <c r="AM28" s="32">
        <f t="shared" ca="1" si="35"/>
        <v>0.16666666666666666</v>
      </c>
      <c r="AO28" s="20">
        <f>Tools!$AD27</f>
        <v>20</v>
      </c>
      <c r="AP28" s="33">
        <f t="shared" si="44"/>
        <v>0.03</v>
      </c>
      <c r="AQ28" s="34" t="str">
        <f t="shared" ca="1" si="18"/>
        <v>(1/2)*(1/3)</v>
      </c>
      <c r="AR28" s="23">
        <f t="shared" ca="1" si="19"/>
        <v>4.9999999999999992E-3</v>
      </c>
      <c r="AS28" s="24">
        <f t="shared" si="20"/>
        <v>10</v>
      </c>
      <c r="AT28" s="53">
        <f t="shared" ca="1" si="37"/>
        <v>4.9999999999999989E-2</v>
      </c>
      <c r="AU28" s="53">
        <f t="shared" ca="1" si="40"/>
        <v>0.49999999999999989</v>
      </c>
      <c r="AV28" s="23">
        <f t="shared" si="21"/>
        <v>2.6999999999999999E-5</v>
      </c>
      <c r="AW28" s="23">
        <f t="shared" ca="1" si="22"/>
        <v>4.4999999999999993E-6</v>
      </c>
      <c r="AY28" s="35">
        <f t="shared" si="23"/>
        <v>14.129999999999999</v>
      </c>
      <c r="AZ28" s="23">
        <f t="shared" ca="1" si="41"/>
        <v>2.3549999999999995</v>
      </c>
      <c r="BA28" s="36">
        <f t="shared" si="25"/>
        <v>45</v>
      </c>
      <c r="BB28" s="27">
        <f t="shared" ca="1" si="38"/>
        <v>7.5</v>
      </c>
      <c r="BC28" s="53">
        <f t="shared" ca="1" si="39"/>
        <v>23.549999999999997</v>
      </c>
      <c r="BE28" s="50" t="s">
        <v>73</v>
      </c>
      <c r="BF28" s="48" t="s">
        <v>74</v>
      </c>
      <c r="BG28" s="49">
        <f>IF(WL_No="  ","  ",ML/V_Disp)</f>
        <v>2.9259115172789736</v>
      </c>
    </row>
    <row r="29" spans="1:59" ht="15.75" thickBot="1" x14ac:dyDescent="0.3">
      <c r="A29" s="56" t="s">
        <v>77</v>
      </c>
      <c r="B29" s="56"/>
      <c r="C29" s="56"/>
      <c r="D29" s="57">
        <f>SUM(D4:D28)</f>
        <v>573.4624</v>
      </c>
      <c r="E29" s="42"/>
      <c r="F29" s="58">
        <f>SUM(F4:F28)</f>
        <v>-24.072199999999967</v>
      </c>
      <c r="G29" s="58">
        <f>SUM(G4:G28)</f>
        <v>15203.899100000001</v>
      </c>
      <c r="H29" s="42"/>
      <c r="I29" s="58">
        <f>SUM(I4:I28)</f>
        <v>61148.670572490257</v>
      </c>
      <c r="J29" s="4"/>
      <c r="K29" s="42"/>
      <c r="L29" s="58">
        <f>SUM(L4:L28)</f>
        <v>10339.888466666667</v>
      </c>
      <c r="M29" s="42"/>
      <c r="N29" s="58">
        <f>SUM(N4:N28)</f>
        <v>53966.487466666666</v>
      </c>
      <c r="O29" s="58">
        <f>SUM(O4:O28)</f>
        <v>4138.6592000000037</v>
      </c>
      <c r="P29" s="4"/>
      <c r="Q29" s="50" t="s">
        <v>78</v>
      </c>
      <c r="R29" s="48" t="s">
        <v>79</v>
      </c>
      <c r="S29">
        <f>IF(Tools!$L$49="Use 141 rule only",I53,IF(Tools!$L$49="Use 141 and 1331 rules",BG30," "))</f>
        <v>10</v>
      </c>
      <c r="W29" s="56"/>
      <c r="X29" s="56"/>
      <c r="Y29" s="56"/>
      <c r="Z29" s="56"/>
      <c r="AA29" s="56"/>
      <c r="AB29" s="56"/>
      <c r="AC29" s="56"/>
      <c r="AD29" s="56"/>
      <c r="AE29" s="56"/>
      <c r="AF29" s="56"/>
      <c r="AG29" s="56"/>
      <c r="AH29" s="56"/>
      <c r="AI29" s="56"/>
      <c r="AJ29" s="56"/>
      <c r="AK29" s="56"/>
      <c r="AL29" s="56"/>
      <c r="AM29" s="56"/>
      <c r="AN29" s="56"/>
      <c r="AO29" s="56" t="s">
        <v>77</v>
      </c>
      <c r="AP29" s="56"/>
      <c r="AQ29" s="59"/>
      <c r="AR29" s="57">
        <f ca="1">SUM(AR4:AR28)</f>
        <v>191.15413333333333</v>
      </c>
      <c r="AS29" s="42"/>
      <c r="AT29" s="58">
        <f ca="1">SUM(AT4:AT28)</f>
        <v>-8.0240666666667089</v>
      </c>
      <c r="AU29" s="58">
        <f ca="1">SUM(AU4:AU28)</f>
        <v>5067.9663666666665</v>
      </c>
      <c r="AV29" s="42"/>
      <c r="AW29" s="58">
        <f ca="1">SUM(AW4:AW28)</f>
        <v>20382.890190830083</v>
      </c>
      <c r="AY29" s="42"/>
      <c r="AZ29" s="58">
        <f ca="1">SUM(AZ4:AZ28)</f>
        <v>3446.6294888888883</v>
      </c>
      <c r="BA29" s="42"/>
      <c r="BB29" s="58">
        <f ca="1">SUM(BB4:BB28)</f>
        <v>17988.829155555548</v>
      </c>
      <c r="BC29" s="58">
        <f ca="1">SUM(BC4:BC28)</f>
        <v>1379.553066666665</v>
      </c>
      <c r="BE29" s="50" t="s">
        <v>75</v>
      </c>
      <c r="BF29" s="55" t="s">
        <v>76</v>
      </c>
      <c r="BG29" s="49">
        <f ca="1">IF(WL_No="  ","  ",M_Disp*BML/100/BG8)</f>
        <v>279.22960318813841</v>
      </c>
    </row>
    <row r="30" spans="1:59" x14ac:dyDescent="0.25">
      <c r="A30" s="15"/>
      <c r="B30" s="4"/>
      <c r="C30" s="4"/>
      <c r="D30" s="42"/>
      <c r="E30" s="4"/>
      <c r="F30" s="4"/>
      <c r="G30" s="4"/>
      <c r="H30" s="4"/>
      <c r="I30" s="4"/>
      <c r="J30" s="4"/>
      <c r="K30" s="4"/>
      <c r="L30" s="4"/>
      <c r="M30" s="4"/>
      <c r="N30" s="4"/>
      <c r="O30" s="4"/>
      <c r="P30" s="4"/>
      <c r="Q30" s="50" t="s">
        <v>80</v>
      </c>
      <c r="R30" s="48" t="s">
        <v>81</v>
      </c>
      <c r="S30">
        <f>IF(Tools!$L$49="Use 141 rule only",I54,IF(Tools!$L$49="Use 141 and 1331 rules",BG31," "))</f>
        <v>0.86888242424242434</v>
      </c>
      <c r="AA30" s="60"/>
      <c r="AB30" s="60"/>
      <c r="BE30" s="50" t="s">
        <v>78</v>
      </c>
      <c r="BF30" s="48" t="s">
        <v>79</v>
      </c>
      <c r="BG30" s="49">
        <f>IF(WL_No="  ","  ",WLS*WL_No)</f>
        <v>10</v>
      </c>
    </row>
    <row r="31" spans="1:59" x14ac:dyDescent="0.25">
      <c r="A31" s="15"/>
      <c r="B31" s="4"/>
      <c r="C31" s="4"/>
      <c r="D31" s="4"/>
      <c r="E31" s="4"/>
      <c r="F31" s="4"/>
      <c r="G31" s="4"/>
      <c r="H31" s="4"/>
      <c r="I31" s="4"/>
      <c r="J31" s="4"/>
      <c r="K31" s="4"/>
      <c r="L31" s="4"/>
      <c r="M31" s="4"/>
      <c r="N31" s="4"/>
      <c r="O31" s="4"/>
      <c r="P31" s="4"/>
      <c r="Q31" s="50" t="s">
        <v>82</v>
      </c>
      <c r="R31" s="48" t="s">
        <v>83</v>
      </c>
      <c r="S31">
        <f>IF(Tools!$L$49="Use 141 rule only",I55,IF(Tools!$L$49="Use 141 and 1331 rules",BG32," "))</f>
        <v>0.78332488383838395</v>
      </c>
      <c r="AF31" s="61" t="s">
        <v>84</v>
      </c>
      <c r="AG31" s="62">
        <f ca="1">COUNTIF(OFFSET(AQ4,,,ROUNDUP(Max_STN_count/2,0),1),"")</f>
        <v>0</v>
      </c>
      <c r="AH31" s="63">
        <f ca="1">HLOOKUP(Stn_WL,AREA_TABLE,AG31+2,FALSE)</f>
        <v>0</v>
      </c>
      <c r="AI31" s="63">
        <f ca="1">IF(AH31&gt;Long_Div/2,Long_Div/2,AH31)</f>
        <v>0</v>
      </c>
      <c r="AJ31" s="63">
        <f ca="1">AI31*STN_GAP</f>
        <v>0</v>
      </c>
      <c r="BE31" s="50" t="s">
        <v>80</v>
      </c>
      <c r="BF31" s="48" t="s">
        <v>81</v>
      </c>
      <c r="BG31" s="49">
        <f ca="1">IF(WL_No="  ","  ",AWP/(BG8*B_current))</f>
        <v>0.86888242424242434</v>
      </c>
    </row>
    <row r="32" spans="1:59" x14ac:dyDescent="0.25">
      <c r="A32" s="15"/>
      <c r="B32" s="4"/>
      <c r="C32" s="4"/>
      <c r="D32" s="4"/>
      <c r="E32" s="4"/>
      <c r="F32" s="4"/>
      <c r="G32" s="4"/>
      <c r="H32" s="4"/>
      <c r="I32" s="4"/>
      <c r="J32" s="64"/>
      <c r="K32" s="4"/>
      <c r="L32" s="4"/>
      <c r="M32" s="4"/>
      <c r="N32" s="4"/>
      <c r="O32" s="4"/>
      <c r="P32" s="4"/>
      <c r="Q32" s="50" t="s">
        <v>85</v>
      </c>
      <c r="R32" s="48" t="s">
        <v>86</v>
      </c>
      <c r="S32">
        <f>IF(Tools!$L$49="Use 141 rule only",I56,IF(Tools!$L$49="Use 141 and 1331 rules",BG33," "))</f>
        <v>0.99351515151515146</v>
      </c>
      <c r="AF32" s="61" t="s">
        <v>87</v>
      </c>
      <c r="AG32" s="62">
        <f ca="1">COUNTIF(OFFSET(AQ4,ROUNDUP(Max_STN_count/2,0),,ROUNDDOWN(Max_STN_count/2,0),1),"")</f>
        <v>0</v>
      </c>
      <c r="AH32" s="63">
        <f ca="1">HLOOKUP(Stn_WL,AREA_TABLE,AG32+2,FALSE)</f>
        <v>0</v>
      </c>
      <c r="AI32" s="63">
        <f ca="1">IF(AH32&gt;Long_Div/2,Long_Div/2,AH32)</f>
        <v>0</v>
      </c>
      <c r="AJ32" s="63">
        <f ca="1">AI32*STN_GAP</f>
        <v>0</v>
      </c>
      <c r="BE32" s="50" t="s">
        <v>82</v>
      </c>
      <c r="BF32" s="48" t="s">
        <v>83</v>
      </c>
      <c r="BG32" s="49">
        <f ca="1">IF(WL_No="  ","  ",V_Disp/(BG8*B_current*T))</f>
        <v>0.78332488383838395</v>
      </c>
    </row>
    <row r="33" spans="1:59" x14ac:dyDescent="0.25">
      <c r="A33" s="15"/>
      <c r="B33" s="4"/>
      <c r="C33" s="4"/>
      <c r="D33" s="4"/>
      <c r="E33" s="4"/>
      <c r="F33" s="4"/>
      <c r="G33" s="43" t="s">
        <v>31</v>
      </c>
      <c r="H33" s="44" t="s">
        <v>32</v>
      </c>
      <c r="I33" s="489" t="s">
        <v>33</v>
      </c>
      <c r="J33" s="4"/>
      <c r="K33" s="4"/>
      <c r="L33" s="4"/>
      <c r="M33" s="4"/>
      <c r="N33" s="4"/>
      <c r="O33" s="4"/>
      <c r="P33" s="4"/>
      <c r="Q33" s="50" t="s">
        <v>88</v>
      </c>
      <c r="R33" s="48" t="s">
        <v>89</v>
      </c>
      <c r="S33">
        <f>IF(Tools!$L$49="Use 141 rule only",I57,IF(Tools!$L$49="Use 141 and 1331 rules",BG34," "))</f>
        <v>0.78843778340348536</v>
      </c>
      <c r="AF33" s="63"/>
      <c r="AG33" s="63"/>
      <c r="AH33" s="63">
        <f ca="1">Long_Div-AH32</f>
        <v>20</v>
      </c>
      <c r="AI33" s="63"/>
      <c r="AJ33" s="63">
        <f ca="1">AJ32+AJ31</f>
        <v>0</v>
      </c>
      <c r="BE33" s="50" t="s">
        <v>85</v>
      </c>
      <c r="BF33" s="48" t="s">
        <v>86</v>
      </c>
      <c r="BG33" s="65">
        <f>IFERROR(IF(WL_No="  ","  ",(VLOOKUP(Long_Div/2,AREA_TABLE,Count_WL+1,FALSE))/(B_current*T)),"-")</f>
        <v>0.99351515151515146</v>
      </c>
    </row>
    <row r="34" spans="1:59" x14ac:dyDescent="0.25">
      <c r="G34" s="45"/>
      <c r="H34" s="46"/>
      <c r="I34" s="490"/>
      <c r="BE34" s="50" t="s">
        <v>88</v>
      </c>
      <c r="BF34" s="48" t="s">
        <v>89</v>
      </c>
      <c r="BG34" s="49">
        <f>IF(WL_No="  ","  ",CB/CM)</f>
        <v>0.78843778340348536</v>
      </c>
    </row>
    <row r="35" spans="1:59" x14ac:dyDescent="0.25">
      <c r="G35" s="47" t="s">
        <v>34</v>
      </c>
      <c r="H35" s="48" t="s">
        <v>35</v>
      </c>
      <c r="I35" s="49">
        <f>IF(WL_No="  ","  ",2/3*h*$D$29)</f>
        <v>2794.6734293333334</v>
      </c>
    </row>
    <row r="36" spans="1:59" x14ac:dyDescent="0.25">
      <c r="G36" s="47" t="s">
        <v>36</v>
      </c>
      <c r="H36" s="48" t="s">
        <v>37</v>
      </c>
      <c r="I36" s="49">
        <f>IF(WL_No="  ","  ",2/3*(h^2)*$F$29)</f>
        <v>-857.5496576133321</v>
      </c>
    </row>
    <row r="37" spans="1:59" x14ac:dyDescent="0.25">
      <c r="G37" s="50" t="s">
        <v>39</v>
      </c>
      <c r="H37" s="48" t="s">
        <v>40</v>
      </c>
      <c r="I37" s="49">
        <f>IF(WL_No="  ","  ",Mmid/AWP)</f>
        <v>-0.30685147273822966</v>
      </c>
    </row>
    <row r="38" spans="1:59" x14ac:dyDescent="0.25">
      <c r="G38" s="50" t="s">
        <v>42</v>
      </c>
      <c r="H38" s="48" t="s">
        <v>43</v>
      </c>
      <c r="I38" s="49">
        <f>IF(WL_No="  ","  ",2/3*(h^3)*$G$29)</f>
        <v>3959276.6676125312</v>
      </c>
    </row>
    <row r="39" spans="1:59" x14ac:dyDescent="0.25">
      <c r="G39" s="51" t="s">
        <v>44</v>
      </c>
      <c r="H39" s="48" t="s">
        <v>45</v>
      </c>
      <c r="I39" s="49">
        <f>IF(WL_No="  ","  ",2/9*h*$I$29)</f>
        <v>99332.618196645271</v>
      </c>
    </row>
    <row r="40" spans="1:59" x14ac:dyDescent="0.25">
      <c r="G40" s="50" t="s">
        <v>47</v>
      </c>
      <c r="H40" s="48" t="s">
        <v>48</v>
      </c>
      <c r="I40" s="49">
        <f>IF(WL_No="  ","  ",IL-AWP*(LCF^2))</f>
        <v>3959013.5272371466</v>
      </c>
    </row>
    <row r="41" spans="1:59" x14ac:dyDescent="0.25">
      <c r="G41" s="50" t="s">
        <v>50</v>
      </c>
      <c r="H41" s="48" t="s">
        <v>51</v>
      </c>
      <c r="I41" s="49">
        <f>IF(WL_No="  ","  ",h/3*$L$29)</f>
        <v>25194.861563777777</v>
      </c>
    </row>
    <row r="42" spans="1:59" x14ac:dyDescent="0.25">
      <c r="G42" s="50" t="s">
        <v>52</v>
      </c>
      <c r="H42" s="48" t="s">
        <v>53</v>
      </c>
      <c r="I42" s="49">
        <f>IF(WL_No="  ","  ",V_Disp*1.025*1.006)</f>
        <v>25979.681501489453</v>
      </c>
    </row>
    <row r="43" spans="1:59" x14ac:dyDescent="0.25">
      <c r="G43" s="50" t="s">
        <v>55</v>
      </c>
      <c r="H43" s="48" t="s">
        <v>56</v>
      </c>
      <c r="I43" s="49">
        <f>IF(WL_No="  ","  ",h/3*$N$29)</f>
        <v>131498.34112711111</v>
      </c>
    </row>
    <row r="44" spans="1:59" x14ac:dyDescent="0.25">
      <c r="G44" s="50" t="s">
        <v>57</v>
      </c>
      <c r="H44" s="48" t="s">
        <v>58</v>
      </c>
      <c r="I44" s="49">
        <f>IF(WL_No="  ","  ",(h^2)/3*$O$29)</f>
        <v>73717.935625706727</v>
      </c>
    </row>
    <row r="45" spans="1:59" x14ac:dyDescent="0.25">
      <c r="G45" s="50" t="s">
        <v>60</v>
      </c>
      <c r="H45" s="48" t="s">
        <v>61</v>
      </c>
      <c r="I45" s="49">
        <f>IF(WL_No="  ","  ",IF/V_Disp)</f>
        <v>157.13575235233492</v>
      </c>
    </row>
    <row r="46" spans="1:59" x14ac:dyDescent="0.25">
      <c r="G46" s="50" t="s">
        <v>63</v>
      </c>
      <c r="H46" s="48" t="s">
        <v>64</v>
      </c>
      <c r="I46" s="49">
        <f>IF(WL_No="  ","  ",IT/V_Disp)</f>
        <v>3.9425744787363342</v>
      </c>
    </row>
    <row r="47" spans="1:59" x14ac:dyDescent="0.25">
      <c r="G47" s="50" t="s">
        <v>65</v>
      </c>
      <c r="H47" s="48" t="s">
        <v>66</v>
      </c>
      <c r="I47" s="49">
        <f>IF(WL_No="  ","  ",MT/V_Disp)</f>
        <v>5.2192523778802595</v>
      </c>
    </row>
    <row r="48" spans="1:59" x14ac:dyDescent="0.25">
      <c r="G48" s="50" t="s">
        <v>67</v>
      </c>
      <c r="H48" s="48" t="s">
        <v>68</v>
      </c>
      <c r="I48" s="49">
        <f>IF(WL_No="  ","  ",KB+BMT)</f>
        <v>9.1618268566165941</v>
      </c>
    </row>
    <row r="49" spans="7:9" x14ac:dyDescent="0.25">
      <c r="G49" s="50" t="s">
        <v>69</v>
      </c>
      <c r="H49" s="48" t="s">
        <v>70</v>
      </c>
      <c r="I49" s="49">
        <f>IF(WL_No="  ","  ",KB+BML)</f>
        <v>162.35500473021517</v>
      </c>
    </row>
    <row r="50" spans="7:9" x14ac:dyDescent="0.25">
      <c r="G50" s="50" t="s">
        <v>71</v>
      </c>
      <c r="H50" s="48" t="s">
        <v>72</v>
      </c>
      <c r="I50" s="49">
        <f>IF(WL_No="  ","  ",AWP*1.025/100)</f>
        <v>28.645402650666664</v>
      </c>
    </row>
    <row r="51" spans="7:9" x14ac:dyDescent="0.25">
      <c r="G51" s="50" t="s">
        <v>73</v>
      </c>
      <c r="H51" s="48" t="s">
        <v>74</v>
      </c>
      <c r="I51" s="49">
        <f>IF(WL_No="  ","  ",ML/V_Disp)</f>
        <v>2.9259115172789736</v>
      </c>
    </row>
    <row r="52" spans="7:9" x14ac:dyDescent="0.25">
      <c r="G52" s="50" t="s">
        <v>75</v>
      </c>
      <c r="H52" s="55" t="s">
        <v>76</v>
      </c>
      <c r="I52" s="49">
        <f>IF(WL_No="  ","  ",M_Disp*BML/100/LBP)</f>
        <v>279.22960318813841</v>
      </c>
    </row>
    <row r="53" spans="7:9" x14ac:dyDescent="0.25">
      <c r="G53" s="50" t="s">
        <v>78</v>
      </c>
      <c r="H53" s="48" t="s">
        <v>79</v>
      </c>
      <c r="I53" s="49">
        <f>IF(WL_No="  ","  ",WLS*WL_No)</f>
        <v>10</v>
      </c>
    </row>
    <row r="54" spans="7:9" x14ac:dyDescent="0.25">
      <c r="G54" s="50" t="s">
        <v>80</v>
      </c>
      <c r="H54" s="48" t="s">
        <v>81</v>
      </c>
      <c r="I54" s="49">
        <f>IF(WL_No="  ","  ",AWP/(LBP*B_current))</f>
        <v>0.86888242424242434</v>
      </c>
    </row>
    <row r="55" spans="7:9" x14ac:dyDescent="0.25">
      <c r="G55" s="50" t="s">
        <v>82</v>
      </c>
      <c r="H55" s="48" t="s">
        <v>83</v>
      </c>
      <c r="I55" s="49">
        <f>IF(WL_No="  ","  ",V_Disp/(LBP*B_current*T))</f>
        <v>0.78332488383838395</v>
      </c>
    </row>
    <row r="56" spans="7:9" x14ac:dyDescent="0.25">
      <c r="G56" s="50" t="s">
        <v>85</v>
      </c>
      <c r="H56" s="48" t="s">
        <v>86</v>
      </c>
      <c r="I56" s="65">
        <f>IF(WL_No="  ","  ",(VLOOKUP(Long_Div/2,AREA_TABLE,Count_WL+1,FALSE))/(B_current*T))</f>
        <v>0.99351515151515146</v>
      </c>
    </row>
    <row r="57" spans="7:9" x14ac:dyDescent="0.25">
      <c r="G57" s="50" t="s">
        <v>88</v>
      </c>
      <c r="H57" s="48" t="s">
        <v>89</v>
      </c>
      <c r="I57" s="49">
        <f>IF(WL_No="  ","  ",CB/CM)</f>
        <v>0.78843778340348536</v>
      </c>
    </row>
  </sheetData>
  <mergeCells count="7">
    <mergeCell ref="BG10:BG11"/>
    <mergeCell ref="I33:I34"/>
    <mergeCell ref="A2:I2"/>
    <mergeCell ref="K2:O2"/>
    <mergeCell ref="AO2:AW2"/>
    <mergeCell ref="AY2:BC2"/>
    <mergeCell ref="S9:S10"/>
  </mergeCells>
  <conditionalFormatting sqref="CB4:XFD30 BW4:BW28 BS4:BT28 W29:AX29 A33:F57 J33:R33 A11:R32 A2:T10 V2:AO2 AX2 BP29:BW29 A63:XFD1048576 T12:T37 U35:XFD37 BD2:BD29 BM31:XFD33 BM30:BW30 BH29:BI33 BH2:XFD3 U30:BD30 AR31:BD31 W3:AM28 A58:BD62 BH38:XFD62 J34:S37 BH34:XFD34 A1:AN1 AV1:XFD1 AO31:AP31 U33:BD34 AM31 U31:AG32 AK32:BD32 AO3:AX26 J43:BD57 J42:M42 O42:BD42 J38:BD41 AO27:AO28 AQ27:AX28">
    <cfRule type="containsErrors" dxfId="255" priority="14">
      <formula>ISERROR(A1)</formula>
    </cfRule>
  </conditionalFormatting>
  <conditionalFormatting sqref="G33:I34 G35:H57">
    <cfRule type="containsErrors" dxfId="254" priority="13">
      <formula>ISERROR(G33)</formula>
    </cfRule>
  </conditionalFormatting>
  <conditionalFormatting sqref="T12:T33">
    <cfRule type="containsErrors" dxfId="253" priority="12">
      <formula>ISERROR(T12)</formula>
    </cfRule>
  </conditionalFormatting>
  <conditionalFormatting sqref="I35:I57">
    <cfRule type="containsErrors" dxfId="252" priority="11">
      <formula>ISERROR(I35)</formula>
    </cfRule>
  </conditionalFormatting>
  <conditionalFormatting sqref="AY2:BC29">
    <cfRule type="containsErrors" dxfId="251" priority="8">
      <formula>ISERROR(AY2)</formula>
    </cfRule>
  </conditionalFormatting>
  <conditionalFormatting sqref="BE10:BG11 BE12:BF34">
    <cfRule type="containsErrors" dxfId="250" priority="10">
      <formula>ISERROR(BE10)</formula>
    </cfRule>
  </conditionalFormatting>
  <conditionalFormatting sqref="BG12:BG28 BG34">
    <cfRule type="containsErrors" dxfId="249" priority="9">
      <formula>ISERROR(BG12)</formula>
    </cfRule>
  </conditionalFormatting>
  <conditionalFormatting sqref="BE2:BG6">
    <cfRule type="containsErrors" dxfId="248" priority="7">
      <formula>ISERROR(BE2)</formula>
    </cfRule>
  </conditionalFormatting>
  <conditionalFormatting sqref="BF7:BG8">
    <cfRule type="containsErrors" dxfId="247" priority="5">
      <formula>ISERROR(BF7)</formula>
    </cfRule>
  </conditionalFormatting>
  <conditionalFormatting sqref="BE7:BE8">
    <cfRule type="containsErrors" dxfId="246" priority="6">
      <formula>ISERROR(BE7)</formula>
    </cfRule>
  </conditionalFormatting>
  <conditionalFormatting sqref="S30:S33">
    <cfRule type="containsErrors" dxfId="245" priority="4">
      <formula>ISERROR(S30)</formula>
    </cfRule>
  </conditionalFormatting>
  <conditionalFormatting sqref="AP27:AP28">
    <cfRule type="containsErrors" dxfId="244" priority="3">
      <formula>ISERROR(AP27)</formula>
    </cfRule>
  </conditionalFormatting>
  <conditionalFormatting sqref="BG29:BG32">
    <cfRule type="containsErrors" dxfId="243" priority="2">
      <formula>ISERROR(BG29)</formula>
    </cfRule>
  </conditionalFormatting>
  <conditionalFormatting sqref="BG33">
    <cfRule type="containsErrors" dxfId="242" priority="1">
      <formula>ISERROR(BG33)</formula>
    </cfRule>
  </conditionalFormatting>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theme="4" tint="0.79998168889431442"/>
  </sheetPr>
  <dimension ref="A1:BH57"/>
  <sheetViews>
    <sheetView topLeftCell="AG1" zoomScale="55" zoomScaleNormal="55" workbookViewId="0">
      <pane ySplit="1" topLeftCell="A29" activePane="bottomLeft" state="frozen"/>
      <selection activeCell="AG8" sqref="AG8:AG10"/>
      <selection pane="bottomLeft" activeCell="AG8" sqref="AG8:AG10"/>
    </sheetView>
  </sheetViews>
  <sheetFormatPr defaultRowHeight="15" x14ac:dyDescent="0.25"/>
  <cols>
    <col min="1" max="1" width="8.28515625" customWidth="1"/>
    <col min="2" max="2" width="7.28515625" customWidth="1"/>
    <col min="4" max="4" width="6.5703125" customWidth="1"/>
    <col min="7" max="7" width="24" customWidth="1"/>
    <col min="8" max="8" width="30.5703125" customWidth="1"/>
    <col min="9" max="9" width="26.5703125" customWidth="1"/>
    <col min="10" max="10" width="10.5703125" bestFit="1" customWidth="1"/>
    <col min="11" max="11" width="9.140625" customWidth="1"/>
    <col min="13" max="13" width="7.85546875" customWidth="1"/>
    <col min="17" max="17" width="19.5703125" customWidth="1"/>
    <col min="18" max="18" width="11.85546875" customWidth="1"/>
    <col min="19" max="19" width="16.5703125" customWidth="1"/>
    <col min="20" max="20" width="14.140625" customWidth="1"/>
    <col min="35" max="35" width="14" customWidth="1"/>
    <col min="36" max="37" width="12" customWidth="1"/>
    <col min="39" max="39" width="19" customWidth="1"/>
    <col min="43" max="43" width="18" style="7" customWidth="1"/>
    <col min="49" max="49" width="11.28515625" customWidth="1"/>
    <col min="52" max="52" width="12" customWidth="1"/>
    <col min="54" max="54" width="10.7109375" bestFit="1" customWidth="1"/>
    <col min="56" max="56" width="4.5703125" customWidth="1"/>
    <col min="57" max="57" width="21.28515625" customWidth="1"/>
    <col min="58" max="58" width="15.42578125" customWidth="1"/>
    <col min="59" max="59" width="19.28515625" customWidth="1"/>
    <col min="61" max="61" width="5.7109375" customWidth="1"/>
    <col min="62" max="62" width="13" customWidth="1"/>
    <col min="63" max="63" width="17.42578125" customWidth="1"/>
  </cols>
  <sheetData>
    <row r="1" spans="1:60" x14ac:dyDescent="0.25">
      <c r="A1" s="1" t="s">
        <v>0</v>
      </c>
      <c r="B1" s="2">
        <f>VLOOKUP(Stn_WL,OFFSET_A,Count_WL+1,FALSE)</f>
        <v>4.8499999999999996</v>
      </c>
      <c r="C1" s="3"/>
      <c r="D1" s="4"/>
      <c r="E1" s="4" t="s">
        <v>1</v>
      </c>
      <c r="F1" s="5">
        <v>9</v>
      </c>
      <c r="G1" s="4"/>
      <c r="H1" s="4"/>
      <c r="I1" s="4"/>
      <c r="J1" s="4"/>
      <c r="K1" s="4"/>
      <c r="L1" s="4"/>
      <c r="M1" s="4"/>
      <c r="N1" s="4"/>
      <c r="O1" s="4"/>
      <c r="P1" s="4"/>
      <c r="Q1" s="4"/>
      <c r="R1" s="4"/>
      <c r="S1" s="4"/>
      <c r="V1" t="s">
        <v>2</v>
      </c>
      <c r="W1">
        <f ca="1">COUNTIF(OFFSET(Z4,,,ROUNDDOWN(Max_STN_count/2+1,0),1),TRUE)</f>
        <v>5</v>
      </c>
      <c r="X1">
        <f ca="1">COUNTIF(OFFSET(AA4,,,ROUNDDOWN(Max_STN_count/2+1,0),1),TRUE)</f>
        <v>5</v>
      </c>
      <c r="Y1">
        <f ca="1">W1-X1</f>
        <v>0</v>
      </c>
      <c r="AB1" s="6" t="s">
        <v>3</v>
      </c>
      <c r="AC1">
        <f ca="1">COUNTIF(OFFSET(Z4,ROUNDUP(Max_STN_count/2,0),,ROUNDDOWN(Max_STN_count/2,0),1),TRUE)</f>
        <v>5</v>
      </c>
      <c r="AD1">
        <f ca="1">COUNTIF(OFFSET(AA4,ROUNDUP(Max_STN_count/2,0),,ROUNDDOWN(Max_STN_count/2,0),1),TRUE)</f>
        <v>5</v>
      </c>
      <c r="AE1">
        <f ca="1">AC1-AD1</f>
        <v>0</v>
      </c>
      <c r="AG1" t="s">
        <v>4</v>
      </c>
      <c r="AH1">
        <f>COUNTIF(AG4:AG28,TRUE)</f>
        <v>17</v>
      </c>
      <c r="AI1">
        <f ca="1">COUNTIF(OFFSET(AG4,,,ROUNDUP(Max_STN_count/2,0),1),FALSE)</f>
        <v>4</v>
      </c>
      <c r="AW1">
        <f ca="1">COUNTIF(OFFSET(AG4,,,Max_STN_count,1),TRUE)</f>
        <v>17</v>
      </c>
    </row>
    <row r="2" spans="1:60" x14ac:dyDescent="0.25">
      <c r="A2" s="491" t="s">
        <v>5</v>
      </c>
      <c r="B2" s="492"/>
      <c r="C2" s="492"/>
      <c r="D2" s="492"/>
      <c r="E2" s="492"/>
      <c r="F2" s="492"/>
      <c r="G2" s="492"/>
      <c r="H2" s="492"/>
      <c r="I2" s="493"/>
      <c r="J2" s="4"/>
      <c r="K2" s="491" t="s">
        <v>6</v>
      </c>
      <c r="L2" s="492"/>
      <c r="M2" s="492"/>
      <c r="N2" s="492"/>
      <c r="O2" s="493"/>
      <c r="P2" s="4"/>
      <c r="Q2" s="8" t="s">
        <v>7</v>
      </c>
      <c r="R2" s="9" t="s">
        <v>8</v>
      </c>
      <c r="S2" s="10">
        <f>WLS</f>
        <v>2</v>
      </c>
      <c r="V2" s="11"/>
      <c r="W2" s="11"/>
      <c r="X2" s="11"/>
      <c r="Y2" s="11"/>
      <c r="Z2" s="11"/>
      <c r="AA2" s="11"/>
      <c r="AB2" s="11"/>
      <c r="AC2" s="11"/>
      <c r="AD2" s="11"/>
      <c r="AE2" s="11"/>
      <c r="AF2" s="11"/>
      <c r="AG2" s="11"/>
      <c r="AH2" s="11"/>
      <c r="AI2" s="11"/>
      <c r="AJ2" s="11"/>
      <c r="AK2" s="11"/>
      <c r="AL2" s="11"/>
      <c r="AM2" s="11"/>
      <c r="AN2" s="11"/>
      <c r="AO2" s="491" t="s">
        <v>5</v>
      </c>
      <c r="AP2" s="492"/>
      <c r="AQ2" s="492"/>
      <c r="AR2" s="492"/>
      <c r="AS2" s="492"/>
      <c r="AT2" s="492"/>
      <c r="AU2" s="492"/>
      <c r="AV2" s="492"/>
      <c r="AW2" s="493"/>
      <c r="AY2" s="491" t="s">
        <v>6</v>
      </c>
      <c r="AZ2" s="492"/>
      <c r="BA2" s="492"/>
      <c r="BB2" s="492"/>
      <c r="BC2" s="493"/>
      <c r="BE2" s="8" t="s">
        <v>7</v>
      </c>
      <c r="BF2" s="9" t="s">
        <v>8</v>
      </c>
      <c r="BG2" s="10">
        <f>WLS</f>
        <v>2</v>
      </c>
    </row>
    <row r="3" spans="1:60" x14ac:dyDescent="0.25">
      <c r="A3" s="12" t="s">
        <v>9</v>
      </c>
      <c r="B3" s="13" t="s">
        <v>10</v>
      </c>
      <c r="C3" s="14" t="s">
        <v>11</v>
      </c>
      <c r="D3" s="14" t="s">
        <v>12</v>
      </c>
      <c r="E3" s="14" t="s">
        <v>13</v>
      </c>
      <c r="F3" s="14" t="s">
        <v>14</v>
      </c>
      <c r="G3" s="14" t="s">
        <v>15</v>
      </c>
      <c r="H3" s="14" t="s">
        <v>16</v>
      </c>
      <c r="I3" s="14" t="s">
        <v>17</v>
      </c>
      <c r="J3" s="15"/>
      <c r="K3" s="14" t="s">
        <v>18</v>
      </c>
      <c r="L3" s="14" t="s">
        <v>19</v>
      </c>
      <c r="M3" s="14" t="s">
        <v>20</v>
      </c>
      <c r="N3" s="14" t="s">
        <v>21</v>
      </c>
      <c r="O3" s="14" t="s">
        <v>22</v>
      </c>
      <c r="P3" s="15"/>
      <c r="Q3" s="16" t="s">
        <v>23</v>
      </c>
      <c r="R3" s="9" t="s">
        <v>8</v>
      </c>
      <c r="S3" s="10">
        <f>STN_GAP</f>
        <v>7.31</v>
      </c>
      <c r="W3" s="17" t="s">
        <v>11</v>
      </c>
      <c r="X3" s="17"/>
      <c r="Y3" s="17"/>
      <c r="Z3" s="17" t="s">
        <v>24</v>
      </c>
      <c r="AA3" s="17"/>
      <c r="AB3" s="17"/>
      <c r="AC3" s="17"/>
      <c r="AD3" s="17"/>
      <c r="AE3" s="17"/>
      <c r="AF3" s="17"/>
      <c r="AG3" s="17" t="s">
        <v>4</v>
      </c>
      <c r="AH3" s="17"/>
      <c r="AI3" s="17" t="s">
        <v>25</v>
      </c>
      <c r="AJ3" s="17"/>
      <c r="AK3" s="17"/>
      <c r="AL3" s="17"/>
      <c r="AM3" s="18" t="s">
        <v>11</v>
      </c>
      <c r="AO3" s="12" t="s">
        <v>9</v>
      </c>
      <c r="AP3" s="13" t="s">
        <v>10</v>
      </c>
      <c r="AQ3" s="19"/>
      <c r="AR3" s="14" t="s">
        <v>12</v>
      </c>
      <c r="AS3" s="14" t="s">
        <v>13</v>
      </c>
      <c r="AT3" s="14" t="s">
        <v>14</v>
      </c>
      <c r="AU3" s="14" t="s">
        <v>15</v>
      </c>
      <c r="AV3" s="14" t="s">
        <v>16</v>
      </c>
      <c r="AW3" s="14" t="s">
        <v>17</v>
      </c>
      <c r="AY3" s="14" t="s">
        <v>18</v>
      </c>
      <c r="AZ3" s="14" t="s">
        <v>19</v>
      </c>
      <c r="BA3" s="14" t="s">
        <v>20</v>
      </c>
      <c r="BB3" s="14" t="s">
        <v>21</v>
      </c>
      <c r="BC3" s="14" t="s">
        <v>22</v>
      </c>
      <c r="BE3" s="16" t="s">
        <v>23</v>
      </c>
      <c r="BF3" s="9" t="s">
        <v>8</v>
      </c>
      <c r="BG3" s="10">
        <f>STN_GAP</f>
        <v>7.31</v>
      </c>
    </row>
    <row r="4" spans="1:60" x14ac:dyDescent="0.25">
      <c r="A4" s="20">
        <f>Tools!$AD3</f>
        <v>0</v>
      </c>
      <c r="B4" s="21">
        <f t="shared" ref="B4:B28" si="0">VLOOKUP(A4,OFFSET_A,Count_WL+1,FALSE)</f>
        <v>2.59</v>
      </c>
      <c r="C4" s="22">
        <f>IF(A4="  ","  ",IF(A5="  ","?",1*(A5-A4)))</f>
        <v>0.5</v>
      </c>
      <c r="D4" s="23">
        <f>IFERROR(B4*C4,"  ")</f>
        <v>1.2949999999999999</v>
      </c>
      <c r="E4" s="24">
        <f t="shared" ref="E4:E28" si="1">IFERROR(A4-(Long_Div/2),"  ")</f>
        <v>-10</v>
      </c>
      <c r="F4" s="23">
        <f>IFERROR(D4*E4,"  ")</f>
        <v>-12.95</v>
      </c>
      <c r="G4" s="23">
        <f>IFERROR(F4*E4,"  ")</f>
        <v>129.5</v>
      </c>
      <c r="H4" s="23">
        <f>IFERROR(B4^3,"  ")</f>
        <v>17.373978999999995</v>
      </c>
      <c r="I4" s="23">
        <f>IFERROR(H4*C4,"  ")</f>
        <v>8.6869894999999975</v>
      </c>
      <c r="J4" s="4"/>
      <c r="K4" s="25">
        <f t="shared" ref="K4:K28" si="2">VLOOKUP(A4,AREA_TABLE,Count_WL+1,FALSE)</f>
        <v>6.8329999999999975</v>
      </c>
      <c r="L4" s="23">
        <f>IFERROR(K4*C4,"  ")</f>
        <v>3.4164999999999988</v>
      </c>
      <c r="M4" s="26">
        <f t="shared" ref="M4:M28" si="3">VLOOKUP(A4,MOMENT_TABLE,Count_WL+1,FALSE)</f>
        <v>60.221066666666637</v>
      </c>
      <c r="N4" s="27">
        <f>IFERROR(M4*C4,"  ")</f>
        <v>30.110533333333318</v>
      </c>
      <c r="O4" s="23">
        <f>IFERROR(L4*E4,"  ")</f>
        <v>-34.164999999999985</v>
      </c>
      <c r="P4" s="4"/>
      <c r="Q4" s="16" t="s">
        <v>26</v>
      </c>
      <c r="R4" s="9" t="s">
        <v>8</v>
      </c>
      <c r="S4" s="28">
        <f>LBP</f>
        <v>146.19999999999999</v>
      </c>
      <c r="W4" s="29">
        <f>IF(AO4="  ","  ",IF(AO5="  ","?",1*(AO5-AO4)))</f>
        <v>0.5</v>
      </c>
      <c r="X4" s="30" t="str">
        <f t="shared" ref="X4:X28" si="4">IF(Y4=0,"--",CONCATENATE(IF(AO4=0,"-",IF(Y3=0,"-",IF(AO4-AO3=0.5,"D",IF(AO4-AO3=1,"W","-")))),IF(AO4=Long_Div,"-",IF(Y5=0,"-",IF(AO5-AO4=0.5,"D",IF(AO5-AO4=1,"W","-"))))))</f>
        <v>-D</v>
      </c>
      <c r="Y4" s="30" t="str">
        <f t="shared" ref="Y4:Y28" si="5">IF(ISNUMBER(AO4),IF(AO4=Long_Div/2,"-",IF(AND(AO4=Long_Div,$AP4=0,$AP3=0),0,IF(AND(AO4=0,$AP4=0,$AP5=0),0,IF($AO4&lt;Long_Div/2,IF(AND(Y3=0,$AP4=0,$AP5=0),0,"-"),IF(AND(Y5=0,$AP4=0,$AP3=0),0,"-")))))," ")</f>
        <v>-</v>
      </c>
      <c r="Z4" s="29" t="b">
        <f t="shared" ref="Z4:Z28" si="6">IF(ISNUMBER(AO4),IF(AO4=0,IF(AO5=0.5,TRUE,FALSE),IF(AO4=Long_Div,IF(AO3=Long_Div-0.5,TRUE,FALSE),IF(OR(AO5-AO4=0.5,AO4-AO3=0.5),TRUE,FALSE)))," ")</f>
        <v>1</v>
      </c>
      <c r="AA4" s="29" t="b">
        <f t="shared" ref="AA4:AA28" si="7">IF(ISNUMBER(AO4),IF(Y4=0," ",IF(AO4=0,IF(AO5=0.5,TRUE,"-"),IF(AO4=Long_Div,IF(AO3=Long_Div-0.5,TRUE,"-"),IF(OR(AO5-AO4=0.5,AO4-AO3=0.5),TRUE,FALSE))))," ")</f>
        <v>1</v>
      </c>
      <c r="AB4" s="29" t="str">
        <f t="shared" ref="AB4:AB28" ca="1" si="8">IF(AO4&lt;=Long_Div/2,IF(ISNUMBER(AO4),IF($X$1=0,"---",IF($X$1=1,"##",IF($X$1=2,IF(AD4=1,"141-4",IF(OR(AD4=0,AD4=2),"141-1","**")),IF(AC4&lt;=($Y$1),"--",IF(AC4&gt;$W$1,"++",IF(ISODD($X$1),IF(OR(AD4=1,AD4=$X$1),"141-1",IF(ISODD(AD4),"141-2",IF(ISEVEN(AD4),"141-4","+"))),IF(ISEVEN($X$1),IF(AD4=1,"1331-1",IF(OR(AD4=2,AD4=3),"1331-3",IF(AD4=4,IF($X$1=4,"1331-1","1331-1,141-1"),IF(AD4=$X$1,"141-1",IF(AD4&lt;=4,"??",IF(ISODD(AD4),"141-4",IF(ISEVEN(AD4),"141-2","SS"))))))))))))))," "),IF(AO4&gt;Long_Div/2,IF(ISNUMBER(AO4),IF($AD$1=0,"---",IF($AD$1=1,"##",IF($AD$1=2,IF(AD4=1,"141-4",IF(OR(AD4=0,AD4=2),"141-1","**")),IF(AC4&lt;=($AE$1),"--",IF(AC4&gt;$AC$1,"++",IF(ISODD($AD$1),IF(OR(AD4=1,AD4=$AD$1),"141-1",IF(ISODD(AD4),"141-2",IF(ISEVEN(AD4),"141-4","+"))),IF(ISEVEN($AD$1),IF(AD4=1,"1331-1",IF(OR(AD4=2,AD4=3),"1331-3",IF(AD4=4,IF($AD$1=4,"1331-1","1331-1,141-1"),IF(AD4=$AD$1,"141-1",IF(AD4&lt;=4,"??",IF(ISODD(AD4),"141-4",IF(ISEVEN(AD4),"141-2","SS"))))))))))))))," "),"@"))</f>
        <v>141-1</v>
      </c>
      <c r="AC4" s="29">
        <f>IF(ISNUMBER(AO4),IF(ISNUMBER(AO4),IF(OR(AO4=0,AO4=Long_Div),1,IF(AO4&gt;Long_Div/2,AC5+1,IF(AO4&lt;=Long_Div/2,AE3+1,"?")))," --")," ")</f>
        <v>1</v>
      </c>
      <c r="AD4" s="29">
        <f t="shared" ref="AD4:AD28" ca="1" si="9">IF(ISNUMBER(AO4),IF(AO4&gt;Long_Div/2,4-ROW(AD4)+Max_STN_count-$AE$1,ROW(AD4)-3-$Y$1)," ")</f>
        <v>1</v>
      </c>
      <c r="AE4" s="29">
        <v>1</v>
      </c>
      <c r="AF4" s="31" t="str">
        <f t="shared" ref="AF4:AF8" si="10">IF(AND(AG4=TRUE,OR(NOT(AG3=TRUE),AG3="Full")),1,IF(ISNUMBER(AF3),AF3+1," "))</f>
        <v xml:space="preserve"> </v>
      </c>
      <c r="AG4" s="29" t="b">
        <f t="shared" ref="AG4:AG28" si="11">IF(ISNUMBER(AO4),IF(AA4=" "," ",IF(AO4=0,IF(AO5-AO4=1,TRUE,FALSE),IF(AO4=Long_Div,IF(AO4-AO3=1,TRUE,FALSE),IF(OR(AO5-AO4=1,AO4-AO3=1),TRUE,FALSE))))," ")</f>
        <v>0</v>
      </c>
      <c r="AH4" s="30" t="str">
        <f t="shared" ref="AH4:AH13" si="12">IF(AND(AG4=TRUE,$AH$1=1),"141-4",IF(AG4=" ",IF(AND($AH$1=2,AF4=3),"141-1","-"),IF(OR(AG4=FALSE,AG4=" "),"-",IF(AG4=TRUE,IF(AND($AH$1=2,AF4=1),"141-1",IF(AND($AH$1=2,AF4=2),"141-4",IF(OR(ISODD($AH$1),AF4&gt;4),IF(AF4=1,"141-1",IF(OR(AB4="141-1",AB4="1331-1",AB4="1331-1,141-1"),"141-1",IF(AG5=" ","141-1",IF(OR(AH3="141-1",AH3="141-2",AH3="1331-1,141-1"),"141-4",IF(AH3="141-4","141-2","$$"))))),IF(ISEVEN($AH$1),IF(AF4=1,"1331-1",IF(OR(AF4=2,AF4=3),"1331-3",IF(AF4=4,IF($AH$1=4,"1331-1","1331-1,141-1"),"")))))))))))</f>
        <v>-</v>
      </c>
      <c r="AI4" s="30" t="str">
        <f t="shared" ref="AI4:AI28" ca="1" si="13">IF(OR(AB4="1331-1",AB4="1331-1,141-1"),"(1/2)*(3/8)",IF(AB4="1331-3","(1/2)*(9/8)",IF(AB4="141-1","(1/2)*(1/3)",IF(AB4="141-2","(1/2)*(2/3)",IF(AB4="141-4","(1/2)*(4/3)","")))))</f>
        <v>(1/2)*(1/3)</v>
      </c>
      <c r="AJ4" s="29">
        <f t="shared" ref="AJ4:AJ28" ca="1" si="14">IF(OR(AB4="1331-1",AB4="1331-1,141-1"),(1/2)*(3/8),IF(AB4="1331-3",(1/2)*(9/8),IF(AB4="141-1",(1/2)*(1/3),IF(AB4="141-2",(1/2)*(2/3),IF(AB4="141-4",(1/2)*(4/3),0)))))</f>
        <v>0.16666666666666666</v>
      </c>
      <c r="AK4" s="29" t="str">
        <f t="shared" ref="AK4:AK28" si="15">IF(AH4="1331-1,141-1","(1*3/8)+(1/3)",IF(LEFT(AH4,4)="141-",CONCATENATE(RIGHT(AH4,1),"/3"),IF(LEFT(AH4,4)="1331",CONCATENATE(RIGHT(AH4,1),"*3/8"),"")))</f>
        <v/>
      </c>
      <c r="AL4" s="29">
        <f t="shared" ref="AL4:AL28" si="16">IF(AH4="1331-1,141-1",(1*3/8)+(1/3),IF(LEFT(AH4,4)="141-",(RIGHT(AH4,1)/3),IF(LEFT(AH4,4)="1331",RIGHT(AH4,1)*3/8,0)))</f>
        <v>0</v>
      </c>
      <c r="AM4" s="32">
        <f ca="1">IF(AQ4=""," ",AJ4+AL4)</f>
        <v>0.16666666666666666</v>
      </c>
      <c r="AO4" s="20">
        <f>Tools!$AD3</f>
        <v>0</v>
      </c>
      <c r="AP4" s="33">
        <f t="shared" ref="AP4" si="17">VLOOKUP(AO4,OFFSET_A,Count_WL+1,FALSE)</f>
        <v>2.59</v>
      </c>
      <c r="AQ4" s="34" t="str">
        <f t="shared" ref="AQ4:AQ28" ca="1" si="18">CONCATENATE(AI4,IF(NOT(OR(AI4="",AK4="")),"+",""),AK4)</f>
        <v>(1/2)*(1/3)</v>
      </c>
      <c r="AR4" s="23">
        <f t="shared" ref="AR4:AR28" ca="1" si="19">IFERROR(AP4*AM4,"  ")</f>
        <v>0.43166666666666664</v>
      </c>
      <c r="AS4" s="24">
        <f t="shared" ref="AS4:AS28" si="20">IFERROR(AO4-(Long_Div/2),"  ")</f>
        <v>-10</v>
      </c>
      <c r="AT4" s="23">
        <f ca="1">IFERROR(AR4*AS4,"  ")</f>
        <v>-4.3166666666666664</v>
      </c>
      <c r="AU4" s="23">
        <f ca="1">IFERROR(AT4*AS4,"  ")</f>
        <v>43.166666666666664</v>
      </c>
      <c r="AV4" s="23">
        <f t="shared" ref="AV4:AV28" si="21">IFERROR(AP4^3,"  ")</f>
        <v>17.373978999999995</v>
      </c>
      <c r="AW4" s="23">
        <f t="shared" ref="AW4:AW28" ca="1" si="22">IFERROR(AV4*AM4,"  ")</f>
        <v>2.8956631666666657</v>
      </c>
      <c r="AY4" s="35">
        <f t="shared" ref="AY4:AY28" si="23">IF(ROW(AY4)-3&gt;Max_STN_count," ",VLOOKUP(AO4,AREA_TABLE,Count_WL+1,FALSE))</f>
        <v>6.8329999999999975</v>
      </c>
      <c r="AZ4" s="23">
        <f t="shared" ref="AZ4:AZ7" ca="1" si="24">IFERROR(AY4*AM4,"  ")</f>
        <v>1.1388333333333329</v>
      </c>
      <c r="BA4" s="36">
        <f t="shared" ref="BA4:BA28" si="25">IF(ROW(AY4)-3&gt;Max_STN_count," ",VLOOKUP(AO4,MOMENT_TABLE,Count_WL+1,FALSE))</f>
        <v>60.221066666666637</v>
      </c>
      <c r="BB4" s="27">
        <f ca="1">IFERROR(BA4*AM4,"  ")</f>
        <v>10.036844444444439</v>
      </c>
      <c r="BC4" s="23">
        <f ca="1">IFERROR(AZ4*AS4,"  ")</f>
        <v>-11.388333333333328</v>
      </c>
      <c r="BE4" s="16" t="s">
        <v>26</v>
      </c>
      <c r="BF4" s="9" t="s">
        <v>8</v>
      </c>
      <c r="BG4" s="28">
        <f>LBP</f>
        <v>146.19999999999999</v>
      </c>
    </row>
    <row r="5" spans="1:60" x14ac:dyDescent="0.25">
      <c r="A5" s="20">
        <f>Tools!$AD4</f>
        <v>0.5</v>
      </c>
      <c r="B5" s="33">
        <f t="shared" si="0"/>
        <v>4.18</v>
      </c>
      <c r="C5" s="22">
        <f>IF(A5="  ","  ",IF(AND(A4="  ",A6="  "),"?",IF(A4="  ",2*(A6-A5),IF(A6="  ",2*(A5-A4),2*(A6-A4)))))</f>
        <v>2</v>
      </c>
      <c r="D5" s="23">
        <f t="shared" ref="D5:D28" si="26">IFERROR(B5*C5,"  ")</f>
        <v>8.36</v>
      </c>
      <c r="E5" s="24">
        <f t="shared" si="1"/>
        <v>-9.5</v>
      </c>
      <c r="F5" s="23">
        <f t="shared" ref="F5:F28" si="27">IFERROR(D5*E5,"  ")</f>
        <v>-79.419999999999987</v>
      </c>
      <c r="G5" s="23">
        <f t="shared" ref="G5:G28" si="28">IFERROR(F5*E5,"  ")</f>
        <v>754.4899999999999</v>
      </c>
      <c r="H5" s="23">
        <f t="shared" ref="H5:H28" si="29">IFERROR(B5^3,"  ")</f>
        <v>73.034631999999988</v>
      </c>
      <c r="I5" s="23">
        <f t="shared" ref="I5:I28" si="30">IFERROR(H5*C5,"  ")</f>
        <v>146.06926399999998</v>
      </c>
      <c r="J5" s="4"/>
      <c r="K5" s="37">
        <f t="shared" si="2"/>
        <v>20.310333333333329</v>
      </c>
      <c r="L5" s="23">
        <f t="shared" ref="L5:L28" si="31">IFERROR(K5*C5,"  ")</f>
        <v>40.620666666666658</v>
      </c>
      <c r="M5" s="38">
        <f t="shared" si="3"/>
        <v>153.22703333333328</v>
      </c>
      <c r="N5" s="27">
        <f t="shared" ref="N5:N28" si="32">IFERROR(M5*C5,"  ")</f>
        <v>306.45406666666656</v>
      </c>
      <c r="O5" s="23">
        <f t="shared" ref="O5:O28" si="33">IFERROR(L5*E5,"  ")</f>
        <v>-385.89633333333325</v>
      </c>
      <c r="P5" s="4"/>
      <c r="Q5" s="8" t="s">
        <v>27</v>
      </c>
      <c r="R5" s="9" t="s">
        <v>8</v>
      </c>
      <c r="S5" s="10">
        <f>BREADTH</f>
        <v>22</v>
      </c>
      <c r="W5" s="29">
        <f>IF(AO5="  ","  ",IF(AND(AO4="  ",AO6="  "),"?",IF(AO4="  ",2*(AO6-AO5),IF(AO6="  ",2*(AO5-AO4),2*(AO6-AO4)))))</f>
        <v>2</v>
      </c>
      <c r="X5" s="30" t="str">
        <f t="shared" si="4"/>
        <v>DD</v>
      </c>
      <c r="Y5" s="30" t="str">
        <f t="shared" si="5"/>
        <v>-</v>
      </c>
      <c r="Z5" s="29" t="b">
        <f t="shared" si="6"/>
        <v>1</v>
      </c>
      <c r="AA5" s="29" t="b">
        <f t="shared" si="7"/>
        <v>1</v>
      </c>
      <c r="AB5" s="29" t="str">
        <f t="shared" ca="1" si="8"/>
        <v>141-4</v>
      </c>
      <c r="AC5" s="29">
        <f t="shared" ref="AC5:AC27" si="34">IF(ISNUMBER(AO5),IF(ISNUMBER(AO5),IF(OR(AO5=0,AO5=Long_Div),1,IF(AO5&gt;Long_Div/2,AC6+1,IF(AO5&lt;=Long_Div/2,AC4+1,"?")))," --")," ")</f>
        <v>2</v>
      </c>
      <c r="AD5" s="29">
        <f t="shared" ca="1" si="9"/>
        <v>2</v>
      </c>
      <c r="AE5" s="29">
        <v>2</v>
      </c>
      <c r="AF5" s="31" t="str">
        <f t="shared" si="10"/>
        <v xml:space="preserve"> </v>
      </c>
      <c r="AG5" s="29" t="b">
        <f t="shared" si="11"/>
        <v>0</v>
      </c>
      <c r="AH5" s="30" t="str">
        <f t="shared" si="12"/>
        <v>-</v>
      </c>
      <c r="AI5" s="30" t="str">
        <f t="shared" ca="1" si="13"/>
        <v>(1/2)*(4/3)</v>
      </c>
      <c r="AJ5" s="29">
        <f t="shared" ca="1" si="14"/>
        <v>0.66666666666666663</v>
      </c>
      <c r="AK5" s="29" t="str">
        <f t="shared" si="15"/>
        <v/>
      </c>
      <c r="AL5" s="29">
        <f t="shared" si="16"/>
        <v>0</v>
      </c>
      <c r="AM5" s="32">
        <f t="shared" ref="AM5:AM28" ca="1" si="35">IF(AQ5=""," ",AJ5+AL5)</f>
        <v>0.66666666666666663</v>
      </c>
      <c r="AO5" s="20">
        <f>Tools!$AD4</f>
        <v>0.5</v>
      </c>
      <c r="AP5" s="33">
        <f t="shared" ref="AP5:AP26" si="36">VLOOKUP(AO5,OFFSET_A,Count_WL+1,FALSE)</f>
        <v>4.18</v>
      </c>
      <c r="AQ5" s="34" t="str">
        <f t="shared" ca="1" si="18"/>
        <v>(1/2)*(4/3)</v>
      </c>
      <c r="AR5" s="23">
        <f t="shared" ca="1" si="19"/>
        <v>2.7866666666666662</v>
      </c>
      <c r="AS5" s="24">
        <f t="shared" si="20"/>
        <v>-9.5</v>
      </c>
      <c r="AT5" s="23">
        <f t="shared" ref="AT5:AT28" ca="1" si="37">IFERROR(AR5*AS5,"  ")</f>
        <v>-26.473333333333329</v>
      </c>
      <c r="AU5" s="23">
        <f ca="1">IFERROR(AT5*AS5,"  ")</f>
        <v>251.49666666666661</v>
      </c>
      <c r="AV5" s="23">
        <f t="shared" si="21"/>
        <v>73.034631999999988</v>
      </c>
      <c r="AW5" s="23">
        <f t="shared" ca="1" si="22"/>
        <v>48.689754666666659</v>
      </c>
      <c r="AY5" s="35">
        <f t="shared" si="23"/>
        <v>20.310333333333329</v>
      </c>
      <c r="AZ5" s="23">
        <f t="shared" ca="1" si="24"/>
        <v>13.540222222222219</v>
      </c>
      <c r="BA5" s="36">
        <f t="shared" si="25"/>
        <v>153.22703333333328</v>
      </c>
      <c r="BB5" s="27">
        <f t="shared" ref="BB5:BB28" ca="1" si="38">IFERROR(BA5*AM5,"  ")</f>
        <v>102.15135555555551</v>
      </c>
      <c r="BC5" s="23">
        <f t="shared" ref="BC5:BC28" ca="1" si="39">IFERROR(AZ5*AS5,"  ")</f>
        <v>-128.63211111111107</v>
      </c>
      <c r="BE5" s="8" t="s">
        <v>27</v>
      </c>
      <c r="BF5" s="9" t="s">
        <v>8</v>
      </c>
      <c r="BG5" s="10">
        <f>BREADTH</f>
        <v>22</v>
      </c>
    </row>
    <row r="6" spans="1:60" x14ac:dyDescent="0.25">
      <c r="A6" s="20">
        <f>Tools!$AD5</f>
        <v>1</v>
      </c>
      <c r="B6" s="33">
        <f t="shared" si="0"/>
        <v>5.57</v>
      </c>
      <c r="C6" s="22">
        <f>IF(A6="  ","  ",IF(AND(A5="  ",A7="  "),"?",IF(A5="  ",1*(A7-A6),IF(A7="  ",1*(A6-A5),1*(A7-A5)))))</f>
        <v>1</v>
      </c>
      <c r="D6" s="23">
        <f t="shared" si="26"/>
        <v>5.57</v>
      </c>
      <c r="E6" s="24">
        <f t="shared" si="1"/>
        <v>-9</v>
      </c>
      <c r="F6" s="23">
        <f t="shared" si="27"/>
        <v>-50.13</v>
      </c>
      <c r="G6" s="23">
        <f t="shared" si="28"/>
        <v>451.17</v>
      </c>
      <c r="H6" s="23">
        <f t="shared" si="29"/>
        <v>172.80869300000003</v>
      </c>
      <c r="I6" s="23">
        <f t="shared" si="30"/>
        <v>172.80869300000003</v>
      </c>
      <c r="J6" s="4"/>
      <c r="K6" s="37">
        <f t="shared" si="2"/>
        <v>43.029333333333327</v>
      </c>
      <c r="L6" s="23">
        <f t="shared" si="31"/>
        <v>43.029333333333327</v>
      </c>
      <c r="M6" s="38">
        <f t="shared" si="3"/>
        <v>285.53249999999991</v>
      </c>
      <c r="N6" s="27">
        <f t="shared" si="32"/>
        <v>285.53249999999991</v>
      </c>
      <c r="O6" s="23">
        <f t="shared" si="33"/>
        <v>-387.26399999999995</v>
      </c>
      <c r="P6" s="4"/>
      <c r="Q6" s="8" t="s">
        <v>28</v>
      </c>
      <c r="R6" s="9" t="s">
        <v>8</v>
      </c>
      <c r="S6" s="10">
        <f>DEPTH</f>
        <v>13</v>
      </c>
      <c r="W6" s="29">
        <f>IF(AO6="  ","  ",IF(AND(AO5="  ",AO7="  "),"?",IF(AO5="  ",1*(AO7-AO6),IF(AO7="  ",1*(AO6-AO5),1*(AO7-AO5)))))</f>
        <v>1</v>
      </c>
      <c r="X6" s="30" t="str">
        <f t="shared" si="4"/>
        <v>DD</v>
      </c>
      <c r="Y6" s="30" t="str">
        <f t="shared" si="5"/>
        <v>-</v>
      </c>
      <c r="Z6" s="29" t="b">
        <f t="shared" si="6"/>
        <v>1</v>
      </c>
      <c r="AA6" s="29" t="b">
        <f t="shared" si="7"/>
        <v>1</v>
      </c>
      <c r="AB6" s="29" t="str">
        <f t="shared" ca="1" si="8"/>
        <v>141-2</v>
      </c>
      <c r="AC6" s="29">
        <f t="shared" si="34"/>
        <v>3</v>
      </c>
      <c r="AD6" s="29">
        <f t="shared" ca="1" si="9"/>
        <v>3</v>
      </c>
      <c r="AE6" s="29">
        <v>3</v>
      </c>
      <c r="AF6" s="31" t="str">
        <f t="shared" si="10"/>
        <v xml:space="preserve"> </v>
      </c>
      <c r="AG6" s="29" t="b">
        <f t="shared" si="11"/>
        <v>0</v>
      </c>
      <c r="AH6" s="30" t="str">
        <f t="shared" si="12"/>
        <v>-</v>
      </c>
      <c r="AI6" s="30" t="str">
        <f t="shared" ca="1" si="13"/>
        <v>(1/2)*(2/3)</v>
      </c>
      <c r="AJ6" s="29">
        <f t="shared" ca="1" si="14"/>
        <v>0.33333333333333331</v>
      </c>
      <c r="AK6" s="29" t="str">
        <f t="shared" si="15"/>
        <v/>
      </c>
      <c r="AL6" s="29">
        <f t="shared" si="16"/>
        <v>0</v>
      </c>
      <c r="AM6" s="32">
        <f t="shared" ca="1" si="35"/>
        <v>0.33333333333333331</v>
      </c>
      <c r="AO6" s="20">
        <f>Tools!$AD5</f>
        <v>1</v>
      </c>
      <c r="AP6" s="33">
        <f t="shared" si="36"/>
        <v>5.57</v>
      </c>
      <c r="AQ6" s="34" t="str">
        <f t="shared" ca="1" si="18"/>
        <v>(1/2)*(2/3)</v>
      </c>
      <c r="AR6" s="23">
        <f t="shared" ca="1" si="19"/>
        <v>1.8566666666666667</v>
      </c>
      <c r="AS6" s="24">
        <f t="shared" si="20"/>
        <v>-9</v>
      </c>
      <c r="AT6" s="23">
        <f t="shared" ca="1" si="37"/>
        <v>-16.71</v>
      </c>
      <c r="AU6" s="23">
        <f ca="1">IFERROR(AT6*AS6,"  ")</f>
        <v>150.39000000000001</v>
      </c>
      <c r="AV6" s="23">
        <f t="shared" si="21"/>
        <v>172.80869300000003</v>
      </c>
      <c r="AW6" s="23">
        <f t="shared" ca="1" si="22"/>
        <v>57.602897666666678</v>
      </c>
      <c r="AY6" s="35">
        <f t="shared" si="23"/>
        <v>43.029333333333327</v>
      </c>
      <c r="AZ6" s="23">
        <f t="shared" ca="1" si="24"/>
        <v>14.343111111111108</v>
      </c>
      <c r="BA6" s="36">
        <f t="shared" si="25"/>
        <v>285.53249999999991</v>
      </c>
      <c r="BB6" s="27">
        <f t="shared" ca="1" si="38"/>
        <v>95.177499999999966</v>
      </c>
      <c r="BC6" s="23">
        <f t="shared" ca="1" si="39"/>
        <v>-129.08799999999997</v>
      </c>
      <c r="BE6" s="8" t="s">
        <v>28</v>
      </c>
      <c r="BF6" s="9" t="s">
        <v>8</v>
      </c>
      <c r="BG6" s="10">
        <f>DEPTH</f>
        <v>13</v>
      </c>
    </row>
    <row r="7" spans="1:60" x14ac:dyDescent="0.25">
      <c r="A7" s="20">
        <f>Tools!$AD6</f>
        <v>1.5</v>
      </c>
      <c r="B7" s="33">
        <f t="shared" si="0"/>
        <v>6.82</v>
      </c>
      <c r="C7" s="22">
        <f>IF(A7="  ","  ",IF(AND(A6="  ",A8="  "),"?",IF(A6="  ",2*(A8-A7),IF(A8="  ",2*(A7-A6),2*(A8-A6)))))</f>
        <v>2</v>
      </c>
      <c r="D7" s="23">
        <f t="shared" si="26"/>
        <v>13.64</v>
      </c>
      <c r="E7" s="24">
        <f t="shared" si="1"/>
        <v>-8.5</v>
      </c>
      <c r="F7" s="23">
        <f t="shared" si="27"/>
        <v>-115.94</v>
      </c>
      <c r="G7" s="23">
        <f t="shared" si="28"/>
        <v>985.49</v>
      </c>
      <c r="H7" s="23">
        <f t="shared" si="29"/>
        <v>317.21456800000004</v>
      </c>
      <c r="I7" s="23">
        <f t="shared" si="30"/>
        <v>634.42913600000009</v>
      </c>
      <c r="J7" s="4"/>
      <c r="K7" s="37">
        <f t="shared" si="2"/>
        <v>67.183999999999983</v>
      </c>
      <c r="L7" s="23">
        <f t="shared" si="31"/>
        <v>134.36799999999997</v>
      </c>
      <c r="M7" s="38">
        <f t="shared" si="3"/>
        <v>417.96686666666653</v>
      </c>
      <c r="N7" s="27">
        <f t="shared" si="32"/>
        <v>835.93373333333307</v>
      </c>
      <c r="O7" s="23">
        <f t="shared" si="33"/>
        <v>-1142.1279999999997</v>
      </c>
      <c r="P7" s="4"/>
      <c r="Q7" s="39" t="s">
        <v>29</v>
      </c>
      <c r="R7" s="40" t="s">
        <v>8</v>
      </c>
      <c r="S7" s="41">
        <f>IF(MAX(B4:B28)=0," ",2*MAX(B4:B28))</f>
        <v>22</v>
      </c>
      <c r="W7" s="29">
        <f>IF(AO7="  ","  ",IF(AND(AO6="  ",AO8="  "),"?",IF(AO6="  ",2*(AO8-AO7),IF(AO8="  ",2*(AO7-AO6),2*(AO8-AO6)))))</f>
        <v>2</v>
      </c>
      <c r="X7" s="30" t="str">
        <f t="shared" si="4"/>
        <v>DD</v>
      </c>
      <c r="Y7" s="30" t="str">
        <f t="shared" si="5"/>
        <v>-</v>
      </c>
      <c r="Z7" s="29" t="b">
        <f t="shared" si="6"/>
        <v>1</v>
      </c>
      <c r="AA7" s="29" t="b">
        <f t="shared" si="7"/>
        <v>1</v>
      </c>
      <c r="AB7" s="29" t="str">
        <f t="shared" ca="1" si="8"/>
        <v>141-4</v>
      </c>
      <c r="AC7" s="29">
        <f t="shared" si="34"/>
        <v>4</v>
      </c>
      <c r="AD7" s="29">
        <f t="shared" ca="1" si="9"/>
        <v>4</v>
      </c>
      <c r="AE7" s="29">
        <v>4</v>
      </c>
      <c r="AF7" s="31" t="str">
        <f t="shared" si="10"/>
        <v xml:space="preserve"> </v>
      </c>
      <c r="AG7" s="29" t="b">
        <f t="shared" si="11"/>
        <v>0</v>
      </c>
      <c r="AH7" s="30" t="str">
        <f t="shared" si="12"/>
        <v>-</v>
      </c>
      <c r="AI7" s="30" t="str">
        <f t="shared" ca="1" si="13"/>
        <v>(1/2)*(4/3)</v>
      </c>
      <c r="AJ7" s="29">
        <f t="shared" ca="1" si="14"/>
        <v>0.66666666666666663</v>
      </c>
      <c r="AK7" s="29" t="str">
        <f t="shared" si="15"/>
        <v/>
      </c>
      <c r="AL7" s="29">
        <f t="shared" si="16"/>
        <v>0</v>
      </c>
      <c r="AM7" s="32">
        <f t="shared" ca="1" si="35"/>
        <v>0.66666666666666663</v>
      </c>
      <c r="AO7" s="20">
        <f>Tools!$AD6</f>
        <v>1.5</v>
      </c>
      <c r="AP7" s="33">
        <f t="shared" si="36"/>
        <v>6.82</v>
      </c>
      <c r="AQ7" s="34" t="str">
        <f t="shared" ca="1" si="18"/>
        <v>(1/2)*(4/3)</v>
      </c>
      <c r="AR7" s="23">
        <f t="shared" ca="1" si="19"/>
        <v>4.5466666666666669</v>
      </c>
      <c r="AS7" s="24">
        <f t="shared" si="20"/>
        <v>-8.5</v>
      </c>
      <c r="AT7" s="23">
        <f t="shared" ca="1" si="37"/>
        <v>-38.646666666666668</v>
      </c>
      <c r="AU7" s="23">
        <f t="shared" ref="AU7:AU28" ca="1" si="40">IFERROR(AT7*AS7,"  ")</f>
        <v>328.49666666666667</v>
      </c>
      <c r="AV7" s="23">
        <f t="shared" si="21"/>
        <v>317.21456800000004</v>
      </c>
      <c r="AW7" s="23">
        <f t="shared" ca="1" si="22"/>
        <v>211.47637866666668</v>
      </c>
      <c r="AY7" s="35">
        <f t="shared" si="23"/>
        <v>67.183999999999983</v>
      </c>
      <c r="AZ7" s="23">
        <f t="shared" ca="1" si="24"/>
        <v>44.789333333333317</v>
      </c>
      <c r="BA7" s="36">
        <f t="shared" si="25"/>
        <v>417.96686666666653</v>
      </c>
      <c r="BB7" s="27">
        <f t="shared" ca="1" si="38"/>
        <v>278.64457777777767</v>
      </c>
      <c r="BC7" s="23">
        <f t="shared" ca="1" si="39"/>
        <v>-380.70933333333318</v>
      </c>
      <c r="BE7" s="8" t="s">
        <v>29</v>
      </c>
      <c r="BF7" s="9" t="s">
        <v>8</v>
      </c>
      <c r="BG7" s="10">
        <f>IF(MAX(AP4:AP28)=0," ",2*MAX(AP4:AP28))</f>
        <v>22</v>
      </c>
    </row>
    <row r="8" spans="1:60" x14ac:dyDescent="0.25">
      <c r="A8" s="20">
        <f>Tools!$AD7</f>
        <v>2</v>
      </c>
      <c r="B8" s="33">
        <f t="shared" si="0"/>
        <v>7.89</v>
      </c>
      <c r="C8" s="22">
        <f>IF(A8="  ","  ",IF(AND(A7="  ",A9="  "),"?",IF(A7="  ",1*(A9-A8),IF(A9="  ",1*(A8-A7),1*(A9-A7)))))</f>
        <v>1.5</v>
      </c>
      <c r="D8" s="23">
        <f t="shared" si="26"/>
        <v>11.834999999999999</v>
      </c>
      <c r="E8" s="24">
        <f t="shared" si="1"/>
        <v>-8</v>
      </c>
      <c r="F8" s="23">
        <f t="shared" si="27"/>
        <v>-94.679999999999993</v>
      </c>
      <c r="G8" s="23">
        <f t="shared" si="28"/>
        <v>757.43999999999994</v>
      </c>
      <c r="H8" s="23">
        <f t="shared" si="29"/>
        <v>491.16906899999992</v>
      </c>
      <c r="I8" s="23">
        <f t="shared" si="30"/>
        <v>736.75360349999983</v>
      </c>
      <c r="J8" s="4"/>
      <c r="K8" s="37">
        <f t="shared" si="2"/>
        <v>89.976333333333315</v>
      </c>
      <c r="L8" s="23">
        <f t="shared" si="31"/>
        <v>134.96449999999999</v>
      </c>
      <c r="M8" s="38">
        <f t="shared" si="3"/>
        <v>535.9230666666665</v>
      </c>
      <c r="N8" s="27">
        <f t="shared" si="32"/>
        <v>803.88459999999975</v>
      </c>
      <c r="O8" s="23">
        <f t="shared" si="33"/>
        <v>-1079.7159999999999</v>
      </c>
      <c r="P8" s="4"/>
      <c r="Q8" s="42"/>
      <c r="R8" s="42"/>
      <c r="S8" s="42"/>
      <c r="W8" s="29">
        <f>IF(AO8="  ","  ",IF(AND(AO7="  ",AO9="  "),"?",IF(AO7="  ",1*(AO9-AO8),IF(AO9="  ",1*(AO8-AO7),1*(AO9-AO7)))))</f>
        <v>1.5</v>
      </c>
      <c r="X8" s="30" t="str">
        <f t="shared" si="4"/>
        <v>DW</v>
      </c>
      <c r="Y8" s="30" t="str">
        <f t="shared" si="5"/>
        <v>-</v>
      </c>
      <c r="Z8" s="29" t="b">
        <f t="shared" si="6"/>
        <v>1</v>
      </c>
      <c r="AA8" s="29" t="b">
        <f t="shared" si="7"/>
        <v>1</v>
      </c>
      <c r="AB8" s="29" t="str">
        <f t="shared" ca="1" si="8"/>
        <v>141-1</v>
      </c>
      <c r="AC8" s="29">
        <f t="shared" si="34"/>
        <v>5</v>
      </c>
      <c r="AD8" s="29">
        <f t="shared" ca="1" si="9"/>
        <v>5</v>
      </c>
      <c r="AE8" s="29">
        <v>5</v>
      </c>
      <c r="AF8" s="31">
        <f t="shared" si="10"/>
        <v>1</v>
      </c>
      <c r="AG8" s="29" t="b">
        <f t="shared" si="11"/>
        <v>1</v>
      </c>
      <c r="AH8" s="30" t="str">
        <f t="shared" si="12"/>
        <v>141-1</v>
      </c>
      <c r="AI8" s="30" t="str">
        <f t="shared" ca="1" si="13"/>
        <v>(1/2)*(1/3)</v>
      </c>
      <c r="AJ8" s="29">
        <f t="shared" ca="1" si="14"/>
        <v>0.16666666666666666</v>
      </c>
      <c r="AK8" s="29" t="str">
        <f t="shared" si="15"/>
        <v>1/3</v>
      </c>
      <c r="AL8" s="29">
        <f t="shared" si="16"/>
        <v>0.33333333333333331</v>
      </c>
      <c r="AM8" s="32">
        <f t="shared" ca="1" si="35"/>
        <v>0.5</v>
      </c>
      <c r="AO8" s="20">
        <f>Tools!$AD7</f>
        <v>2</v>
      </c>
      <c r="AP8" s="33">
        <f t="shared" si="36"/>
        <v>7.89</v>
      </c>
      <c r="AQ8" s="34" t="str">
        <f t="shared" ca="1" si="18"/>
        <v>(1/2)*(1/3)+1/3</v>
      </c>
      <c r="AR8" s="23">
        <f t="shared" ca="1" si="19"/>
        <v>3.9449999999999998</v>
      </c>
      <c r="AS8" s="24">
        <f t="shared" si="20"/>
        <v>-8</v>
      </c>
      <c r="AT8" s="23">
        <f t="shared" ca="1" si="37"/>
        <v>-31.56</v>
      </c>
      <c r="AU8" s="23">
        <f t="shared" ca="1" si="40"/>
        <v>252.48</v>
      </c>
      <c r="AV8" s="23">
        <f t="shared" si="21"/>
        <v>491.16906899999992</v>
      </c>
      <c r="AW8" s="23">
        <f t="shared" ca="1" si="22"/>
        <v>245.58453449999996</v>
      </c>
      <c r="AY8" s="35">
        <f t="shared" si="23"/>
        <v>89.976333333333315</v>
      </c>
      <c r="AZ8" s="23">
        <f ca="1">IFERROR(AY8*AM8,"  ")</f>
        <v>44.988166666666658</v>
      </c>
      <c r="BA8" s="36">
        <f t="shared" si="25"/>
        <v>535.9230666666665</v>
      </c>
      <c r="BB8" s="27">
        <f t="shared" ca="1" si="38"/>
        <v>267.96153333333325</v>
      </c>
      <c r="BC8" s="23">
        <f t="shared" ca="1" si="39"/>
        <v>-359.90533333333326</v>
      </c>
      <c r="BE8" s="8" t="s">
        <v>30</v>
      </c>
      <c r="BF8" s="9" t="s">
        <v>8</v>
      </c>
      <c r="BG8" s="10">
        <f ca="1">LBP-AJ33</f>
        <v>146.19999999999999</v>
      </c>
      <c r="BH8" t="str">
        <f ca="1">IF(AJ33&gt;0,CONCATENATE("(LWL is assumed between stations ",$AH$31," and ",$AH$33," as offset values extreme to these stations are zeros.)"),"")</f>
        <v/>
      </c>
    </row>
    <row r="9" spans="1:60" x14ac:dyDescent="0.25">
      <c r="A9" s="20">
        <f>Tools!$AD8</f>
        <v>3</v>
      </c>
      <c r="B9" s="33">
        <f t="shared" si="0"/>
        <v>9.43</v>
      </c>
      <c r="C9" s="22">
        <f>IF(A9="  ","  ",IF(AND(A8="  ",A10="  "),"?",IF(A8="  ",2*(A10-A9),IF(A10="  ",2*(A9-A8),2*(A10-A8)))))</f>
        <v>4</v>
      </c>
      <c r="D9" s="23">
        <f t="shared" si="26"/>
        <v>37.72</v>
      </c>
      <c r="E9" s="24">
        <f t="shared" si="1"/>
        <v>-7</v>
      </c>
      <c r="F9" s="23">
        <f t="shared" si="27"/>
        <v>-264.03999999999996</v>
      </c>
      <c r="G9" s="23">
        <f t="shared" si="28"/>
        <v>1848.2799999999997</v>
      </c>
      <c r="H9" s="23">
        <f t="shared" si="29"/>
        <v>838.56180699999993</v>
      </c>
      <c r="I9" s="23">
        <f t="shared" si="30"/>
        <v>3354.2472279999997</v>
      </c>
      <c r="J9" s="4"/>
      <c r="K9" s="37">
        <f t="shared" si="2"/>
        <v>132.18266666666665</v>
      </c>
      <c r="L9" s="23">
        <f t="shared" si="31"/>
        <v>528.73066666666659</v>
      </c>
      <c r="M9" s="38">
        <f t="shared" si="3"/>
        <v>738.77929999999981</v>
      </c>
      <c r="N9" s="27">
        <f t="shared" si="32"/>
        <v>2955.1171999999992</v>
      </c>
      <c r="O9" s="23">
        <f t="shared" si="33"/>
        <v>-3701.1146666666664</v>
      </c>
      <c r="P9" s="4"/>
      <c r="Q9" s="43" t="s">
        <v>31</v>
      </c>
      <c r="R9" s="44" t="s">
        <v>32</v>
      </c>
      <c r="S9" s="489" t="s">
        <v>33</v>
      </c>
      <c r="W9" s="29">
        <f>IF(AO9="  ","  ",IF(AND(AO8="  ",AO10="  "),"?",IF(AO8="  ",2*(AO10-AO9),IF(AO10="  ",2*(AO9-AO8),2*(AO10-AO8)))))</f>
        <v>4</v>
      </c>
      <c r="X9" s="30" t="str">
        <f t="shared" si="4"/>
        <v>WW</v>
      </c>
      <c r="Y9" s="30" t="str">
        <f t="shared" si="5"/>
        <v>-</v>
      </c>
      <c r="Z9" s="29" t="b">
        <f t="shared" si="6"/>
        <v>0</v>
      </c>
      <c r="AA9" s="29" t="b">
        <f t="shared" si="7"/>
        <v>0</v>
      </c>
      <c r="AB9" s="29" t="str">
        <f t="shared" ca="1" si="8"/>
        <v>++</v>
      </c>
      <c r="AC9" s="29">
        <f t="shared" si="34"/>
        <v>6</v>
      </c>
      <c r="AD9" s="29">
        <f t="shared" ca="1" si="9"/>
        <v>6</v>
      </c>
      <c r="AE9" s="29">
        <v>6</v>
      </c>
      <c r="AF9" s="31">
        <f>IF(AND(AG9=TRUE,OR(NOT(AG8=TRUE),AG8="Full")),1,IF(ISNUMBER(AF8),AF8+1," "))</f>
        <v>2</v>
      </c>
      <c r="AG9" s="29" t="b">
        <f t="shared" si="11"/>
        <v>1</v>
      </c>
      <c r="AH9" s="30" t="str">
        <f t="shared" ca="1" si="12"/>
        <v>141-4</v>
      </c>
      <c r="AI9" s="30" t="str">
        <f t="shared" ca="1" si="13"/>
        <v/>
      </c>
      <c r="AJ9" s="29">
        <f t="shared" ca="1" si="14"/>
        <v>0</v>
      </c>
      <c r="AK9" s="29" t="str">
        <f t="shared" ca="1" si="15"/>
        <v>4/3</v>
      </c>
      <c r="AL9" s="29">
        <f t="shared" ca="1" si="16"/>
        <v>1.3333333333333333</v>
      </c>
      <c r="AM9" s="32">
        <f t="shared" ca="1" si="35"/>
        <v>1.3333333333333333</v>
      </c>
      <c r="AO9" s="20">
        <f>Tools!$AD8</f>
        <v>3</v>
      </c>
      <c r="AP9" s="33">
        <f t="shared" si="36"/>
        <v>9.43</v>
      </c>
      <c r="AQ9" s="34" t="str">
        <f t="shared" ca="1" si="18"/>
        <v>4/3</v>
      </c>
      <c r="AR9" s="23">
        <f t="shared" ca="1" si="19"/>
        <v>12.573333333333332</v>
      </c>
      <c r="AS9" s="24">
        <f t="shared" si="20"/>
        <v>-7</v>
      </c>
      <c r="AT9" s="23">
        <f t="shared" ca="1" si="37"/>
        <v>-88.013333333333321</v>
      </c>
      <c r="AU9" s="23">
        <f t="shared" ca="1" si="40"/>
        <v>616.09333333333325</v>
      </c>
      <c r="AV9" s="23">
        <f t="shared" si="21"/>
        <v>838.56180699999993</v>
      </c>
      <c r="AW9" s="23">
        <f t="shared" ca="1" si="22"/>
        <v>1118.0824093333331</v>
      </c>
      <c r="AY9" s="35">
        <f t="shared" si="23"/>
        <v>132.18266666666665</v>
      </c>
      <c r="AZ9" s="23">
        <f t="shared" ref="AZ9:AZ28" ca="1" si="41">IFERROR(AY9*AM9,"  ")</f>
        <v>176.24355555555553</v>
      </c>
      <c r="BA9" s="36">
        <f t="shared" si="25"/>
        <v>738.77929999999981</v>
      </c>
      <c r="BB9" s="27">
        <f t="shared" ca="1" si="38"/>
        <v>985.03906666666637</v>
      </c>
      <c r="BC9" s="23">
        <f t="shared" ca="1" si="39"/>
        <v>-1233.7048888888887</v>
      </c>
    </row>
    <row r="10" spans="1:60" x14ac:dyDescent="0.25">
      <c r="A10" s="20">
        <f>Tools!$AD9</f>
        <v>4</v>
      </c>
      <c r="B10" s="33">
        <f t="shared" si="0"/>
        <v>10.45</v>
      </c>
      <c r="C10" s="22">
        <f>IF(A10="  ","  ",IF(AND(A9="  ",A11="  "),"?",IF(A9="  ",1*(A11-A10),IF(A11="  ",1*(A10-A9),1*(A11-A9)))))</f>
        <v>2</v>
      </c>
      <c r="D10" s="23">
        <f t="shared" si="26"/>
        <v>20.9</v>
      </c>
      <c r="E10" s="24">
        <f t="shared" si="1"/>
        <v>-6</v>
      </c>
      <c r="F10" s="23">
        <f t="shared" si="27"/>
        <v>-125.39999999999999</v>
      </c>
      <c r="G10" s="23">
        <f t="shared" si="28"/>
        <v>752.4</v>
      </c>
      <c r="H10" s="23">
        <f t="shared" si="29"/>
        <v>1141.1661249999997</v>
      </c>
      <c r="I10" s="23">
        <f>IFERROR(H10*C10,"  ")</f>
        <v>2282.3322499999995</v>
      </c>
      <c r="J10" s="4"/>
      <c r="K10" s="37">
        <f t="shared" si="2"/>
        <v>166.32499999999996</v>
      </c>
      <c r="L10" s="23">
        <f t="shared" si="31"/>
        <v>332.64999999999992</v>
      </c>
      <c r="M10" s="38">
        <f t="shared" si="3"/>
        <v>888.40333333333308</v>
      </c>
      <c r="N10" s="27">
        <f t="shared" si="32"/>
        <v>1776.8066666666662</v>
      </c>
      <c r="O10" s="23">
        <f t="shared" si="33"/>
        <v>-1995.8999999999996</v>
      </c>
      <c r="P10" s="4"/>
      <c r="Q10" s="45"/>
      <c r="R10" s="46"/>
      <c r="S10" s="490"/>
      <c r="W10" s="29">
        <f>IF(AO10="  ","  ",IF(AND(AO9="  ",AO11="  "),"?",IF(AO9="  ",1*(AO11-AO10),IF(AO11="  ",1*(AO10-AO9),1*(AO11-AO9)))))</f>
        <v>2</v>
      </c>
      <c r="X10" s="30" t="str">
        <f t="shared" si="4"/>
        <v>WW</v>
      </c>
      <c r="Y10" s="30" t="str">
        <f t="shared" si="5"/>
        <v>-</v>
      </c>
      <c r="Z10" s="29" t="b">
        <f t="shared" si="6"/>
        <v>0</v>
      </c>
      <c r="AA10" s="29" t="b">
        <f t="shared" si="7"/>
        <v>0</v>
      </c>
      <c r="AB10" s="29" t="str">
        <f t="shared" ca="1" si="8"/>
        <v>++</v>
      </c>
      <c r="AC10" s="29">
        <f t="shared" si="34"/>
        <v>7</v>
      </c>
      <c r="AD10" s="29">
        <f t="shared" ca="1" si="9"/>
        <v>7</v>
      </c>
      <c r="AE10" s="29">
        <v>7</v>
      </c>
      <c r="AF10" s="31">
        <f t="shared" ref="AF10:AF28" si="42">IF(AND(AG10=TRUE,OR(NOT(AG9=TRUE),AG9="Full")),1,IF(ISNUMBER(AF9),AF9+1," "))</f>
        <v>3</v>
      </c>
      <c r="AG10" s="29" t="b">
        <f t="shared" si="11"/>
        <v>1</v>
      </c>
      <c r="AH10" s="30" t="str">
        <f t="shared" ca="1" si="12"/>
        <v>141-2</v>
      </c>
      <c r="AI10" s="30" t="str">
        <f t="shared" ca="1" si="13"/>
        <v/>
      </c>
      <c r="AJ10" s="29">
        <f t="shared" ca="1" si="14"/>
        <v>0</v>
      </c>
      <c r="AK10" s="29" t="str">
        <f t="shared" ca="1" si="15"/>
        <v>2/3</v>
      </c>
      <c r="AL10" s="29">
        <f t="shared" ca="1" si="16"/>
        <v>0.66666666666666663</v>
      </c>
      <c r="AM10" s="32">
        <f t="shared" ca="1" si="35"/>
        <v>0.66666666666666663</v>
      </c>
      <c r="AO10" s="20">
        <f>Tools!$AD9</f>
        <v>4</v>
      </c>
      <c r="AP10" s="33">
        <f t="shared" si="36"/>
        <v>10.45</v>
      </c>
      <c r="AQ10" s="34" t="str">
        <f t="shared" ca="1" si="18"/>
        <v>2/3</v>
      </c>
      <c r="AR10" s="23">
        <f t="shared" ca="1" si="19"/>
        <v>6.9666666666666659</v>
      </c>
      <c r="AS10" s="24">
        <f t="shared" si="20"/>
        <v>-6</v>
      </c>
      <c r="AT10" s="23">
        <f t="shared" ca="1" si="37"/>
        <v>-41.8</v>
      </c>
      <c r="AU10" s="23">
        <f ca="1">IFERROR(AT10*AS10,"  ")</f>
        <v>250.79999999999998</v>
      </c>
      <c r="AV10" s="23">
        <f t="shared" si="21"/>
        <v>1141.1661249999997</v>
      </c>
      <c r="AW10" s="23">
        <f t="shared" ca="1" si="22"/>
        <v>760.77741666666645</v>
      </c>
      <c r="AY10" s="35">
        <f t="shared" si="23"/>
        <v>166.32499999999996</v>
      </c>
      <c r="AZ10" s="23">
        <f t="shared" ca="1" si="41"/>
        <v>110.8833333333333</v>
      </c>
      <c r="BA10" s="36">
        <f t="shared" si="25"/>
        <v>888.40333333333308</v>
      </c>
      <c r="BB10" s="27">
        <f t="shared" ca="1" si="38"/>
        <v>592.26888888888868</v>
      </c>
      <c r="BC10" s="23">
        <f t="shared" ca="1" si="39"/>
        <v>-665.29999999999973</v>
      </c>
      <c r="BE10" s="43" t="s">
        <v>31</v>
      </c>
      <c r="BF10" s="44" t="s">
        <v>32</v>
      </c>
      <c r="BG10" s="489" t="s">
        <v>33</v>
      </c>
    </row>
    <row r="11" spans="1:60" x14ac:dyDescent="0.25">
      <c r="A11" s="20">
        <f>Tools!$AD10</f>
        <v>5</v>
      </c>
      <c r="B11" s="33">
        <f t="shared" si="0"/>
        <v>10.72</v>
      </c>
      <c r="C11" s="22">
        <f>IF(A11="  ","  ",IF(AND(A10="  ",A12="  "),"?",IF(A10="  ",2*(A12-A11),IF(A12="  ",2*(A11-A10),2*(A12-A10)))))</f>
        <v>4</v>
      </c>
      <c r="D11" s="23">
        <f t="shared" si="26"/>
        <v>42.88</v>
      </c>
      <c r="E11" s="24">
        <f t="shared" si="1"/>
        <v>-5</v>
      </c>
      <c r="F11" s="23">
        <f t="shared" si="27"/>
        <v>-214.4</v>
      </c>
      <c r="G11" s="23">
        <f t="shared" si="28"/>
        <v>1072</v>
      </c>
      <c r="H11" s="23">
        <f t="shared" si="29"/>
        <v>1231.9252480000002</v>
      </c>
      <c r="I11" s="23">
        <f t="shared" si="30"/>
        <v>4927.700992000001</v>
      </c>
      <c r="J11" s="4"/>
      <c r="K11" s="37">
        <f t="shared" si="2"/>
        <v>188.41666666666663</v>
      </c>
      <c r="L11" s="23">
        <f t="shared" si="31"/>
        <v>753.66666666666652</v>
      </c>
      <c r="M11" s="38">
        <f t="shared" si="3"/>
        <v>964.98259999999982</v>
      </c>
      <c r="N11" s="27">
        <f t="shared" si="32"/>
        <v>3859.9303999999993</v>
      </c>
      <c r="O11" s="23">
        <f t="shared" si="33"/>
        <v>-3768.3333333333326</v>
      </c>
      <c r="P11" s="4"/>
      <c r="Q11" s="47" t="s">
        <v>34</v>
      </c>
      <c r="R11" s="48" t="s">
        <v>35</v>
      </c>
      <c r="S11">
        <f>IF(Tools!$L$49="Use 141 rule only",I35,IF(Tools!$L$49="Use 141 and 1331 rules",BG12," "))</f>
        <v>2781.5848743333331</v>
      </c>
      <c r="W11" s="29">
        <f>IF(AO11="  ","  ",IF(AND(AO10="  ",AO12="  "),"?",IF(AO10="  ",2*(AO12-AO11),IF(AO12="  ",2*(AO11-AO10),2*(AO12-AO10)))))</f>
        <v>4</v>
      </c>
      <c r="X11" s="30" t="str">
        <f t="shared" si="4"/>
        <v>WW</v>
      </c>
      <c r="Y11" s="30" t="str">
        <f t="shared" si="5"/>
        <v>-</v>
      </c>
      <c r="Z11" s="29" t="b">
        <f t="shared" si="6"/>
        <v>0</v>
      </c>
      <c r="AA11" s="29" t="b">
        <f t="shared" si="7"/>
        <v>0</v>
      </c>
      <c r="AB11" s="29" t="str">
        <f t="shared" ca="1" si="8"/>
        <v>++</v>
      </c>
      <c r="AC11" s="29">
        <f t="shared" si="34"/>
        <v>8</v>
      </c>
      <c r="AD11" s="29">
        <f t="shared" ca="1" si="9"/>
        <v>8</v>
      </c>
      <c r="AE11" s="29">
        <v>8</v>
      </c>
      <c r="AF11" s="31">
        <f t="shared" si="42"/>
        <v>4</v>
      </c>
      <c r="AG11" s="29" t="b">
        <f t="shared" si="11"/>
        <v>1</v>
      </c>
      <c r="AH11" s="30" t="str">
        <f t="shared" ca="1" si="12"/>
        <v>141-4</v>
      </c>
      <c r="AI11" s="30" t="str">
        <f t="shared" ca="1" si="13"/>
        <v/>
      </c>
      <c r="AJ11" s="29">
        <f t="shared" ca="1" si="14"/>
        <v>0</v>
      </c>
      <c r="AK11" s="29" t="str">
        <f t="shared" ca="1" si="15"/>
        <v>4/3</v>
      </c>
      <c r="AL11" s="29">
        <f t="shared" ca="1" si="16"/>
        <v>1.3333333333333333</v>
      </c>
      <c r="AM11" s="32">
        <f t="shared" ca="1" si="35"/>
        <v>1.3333333333333333</v>
      </c>
      <c r="AO11" s="20">
        <f>Tools!$AD10</f>
        <v>5</v>
      </c>
      <c r="AP11" s="33">
        <f t="shared" si="36"/>
        <v>10.72</v>
      </c>
      <c r="AQ11" s="34" t="str">
        <f t="shared" ca="1" si="18"/>
        <v>4/3</v>
      </c>
      <c r="AR11" s="23">
        <f t="shared" ca="1" si="19"/>
        <v>14.293333333333333</v>
      </c>
      <c r="AS11" s="24">
        <f t="shared" si="20"/>
        <v>-5</v>
      </c>
      <c r="AT11" s="23">
        <f t="shared" ca="1" si="37"/>
        <v>-71.466666666666669</v>
      </c>
      <c r="AU11" s="23">
        <f t="shared" ca="1" si="40"/>
        <v>357.33333333333337</v>
      </c>
      <c r="AV11" s="23">
        <f t="shared" si="21"/>
        <v>1231.9252480000002</v>
      </c>
      <c r="AW11" s="23">
        <f t="shared" ca="1" si="22"/>
        <v>1642.5669973333336</v>
      </c>
      <c r="AY11" s="35">
        <f t="shared" si="23"/>
        <v>188.41666666666663</v>
      </c>
      <c r="AZ11" s="23">
        <f t="shared" ca="1" si="41"/>
        <v>251.22222222222217</v>
      </c>
      <c r="BA11" s="36">
        <f t="shared" si="25"/>
        <v>964.98259999999982</v>
      </c>
      <c r="BB11" s="27">
        <f t="shared" ca="1" si="38"/>
        <v>1286.6434666666664</v>
      </c>
      <c r="BC11" s="23">
        <f ca="1">IFERROR(AZ11*AS11,"  ")</f>
        <v>-1256.1111111111109</v>
      </c>
      <c r="BE11" s="45"/>
      <c r="BF11" s="46"/>
      <c r="BG11" s="490"/>
    </row>
    <row r="12" spans="1:60" x14ac:dyDescent="0.25">
      <c r="A12" s="20">
        <f>Tools!$AD11</f>
        <v>6</v>
      </c>
      <c r="B12" s="33">
        <f t="shared" si="0"/>
        <v>11</v>
      </c>
      <c r="C12" s="22">
        <f>IF(A12="  ","  ",IF(AND(A11="  ",A13="  "),"?",IF(A11="  ",1*(A13-A12),IF(A13="  ",1*(A12-A11),1*(A13-A11)))))</f>
        <v>2</v>
      </c>
      <c r="D12" s="23">
        <f t="shared" si="26"/>
        <v>22</v>
      </c>
      <c r="E12" s="24">
        <f t="shared" si="1"/>
        <v>-4</v>
      </c>
      <c r="F12" s="23">
        <f t="shared" si="27"/>
        <v>-88</v>
      </c>
      <c r="G12" s="23">
        <f t="shared" si="28"/>
        <v>352</v>
      </c>
      <c r="H12" s="23">
        <f t="shared" si="29"/>
        <v>1331</v>
      </c>
      <c r="I12" s="23">
        <f t="shared" si="30"/>
        <v>2662</v>
      </c>
      <c r="J12" s="4"/>
      <c r="K12" s="37">
        <f t="shared" si="2"/>
        <v>204.25333333333333</v>
      </c>
      <c r="L12" s="23">
        <f t="shared" si="31"/>
        <v>408.50666666666666</v>
      </c>
      <c r="M12" s="38">
        <f t="shared" si="3"/>
        <v>1020.5699999999999</v>
      </c>
      <c r="N12" s="27">
        <f t="shared" si="32"/>
        <v>2041.1399999999999</v>
      </c>
      <c r="O12" s="23">
        <f t="shared" si="33"/>
        <v>-1634.0266666666666</v>
      </c>
      <c r="P12" s="4"/>
      <c r="Q12" s="47" t="s">
        <v>36</v>
      </c>
      <c r="R12" s="48" t="s">
        <v>37</v>
      </c>
      <c r="S12">
        <f>IF(Tools!$L$49="Use 141 rule only",I36,IF(Tools!$L$49="Use 141 and 1331 rules",BG13," "))</f>
        <v>-494.34804831999929</v>
      </c>
      <c r="W12" s="29">
        <f>IF(AO12="  ","  ",IF(AND(AO11="  ",AO13="  "),"?",IF(AO11="  ",1*(AO13-AO12),IF(AO13="  ",1*(AO12-AO11),1*(AO13-AO11)))))</f>
        <v>2</v>
      </c>
      <c r="X12" s="30" t="str">
        <f t="shared" si="4"/>
        <v>WW</v>
      </c>
      <c r="Y12" s="30" t="str">
        <f t="shared" si="5"/>
        <v>-</v>
      </c>
      <c r="Z12" s="29" t="b">
        <f t="shared" si="6"/>
        <v>0</v>
      </c>
      <c r="AA12" s="29" t="b">
        <f t="shared" si="7"/>
        <v>0</v>
      </c>
      <c r="AB12" s="29" t="str">
        <f t="shared" ca="1" si="8"/>
        <v>++</v>
      </c>
      <c r="AC12" s="29">
        <f t="shared" si="34"/>
        <v>9</v>
      </c>
      <c r="AD12" s="29">
        <f t="shared" ca="1" si="9"/>
        <v>9</v>
      </c>
      <c r="AE12" s="29">
        <v>9</v>
      </c>
      <c r="AF12" s="31">
        <f t="shared" si="42"/>
        <v>5</v>
      </c>
      <c r="AG12" s="29" t="b">
        <f t="shared" si="11"/>
        <v>1</v>
      </c>
      <c r="AH12" s="30" t="str">
        <f t="shared" ca="1" si="12"/>
        <v>141-2</v>
      </c>
      <c r="AI12" s="30" t="str">
        <f t="shared" ca="1" si="13"/>
        <v/>
      </c>
      <c r="AJ12" s="29">
        <f t="shared" ca="1" si="14"/>
        <v>0</v>
      </c>
      <c r="AK12" s="29" t="str">
        <f t="shared" ca="1" si="15"/>
        <v>2/3</v>
      </c>
      <c r="AL12" s="29">
        <f t="shared" ca="1" si="16"/>
        <v>0.66666666666666663</v>
      </c>
      <c r="AM12" s="32">
        <f t="shared" ca="1" si="35"/>
        <v>0.66666666666666663</v>
      </c>
      <c r="AO12" s="20">
        <f>Tools!$AD11</f>
        <v>6</v>
      </c>
      <c r="AP12" s="33">
        <f t="shared" si="36"/>
        <v>11</v>
      </c>
      <c r="AQ12" s="34" t="str">
        <f t="shared" ca="1" si="18"/>
        <v>2/3</v>
      </c>
      <c r="AR12" s="23">
        <f t="shared" ca="1" si="19"/>
        <v>7.333333333333333</v>
      </c>
      <c r="AS12" s="24">
        <f t="shared" si="20"/>
        <v>-4</v>
      </c>
      <c r="AT12" s="23">
        <f t="shared" ca="1" si="37"/>
        <v>-29.333333333333332</v>
      </c>
      <c r="AU12" s="23">
        <f t="shared" ca="1" si="40"/>
        <v>117.33333333333333</v>
      </c>
      <c r="AV12" s="23">
        <f t="shared" si="21"/>
        <v>1331</v>
      </c>
      <c r="AW12" s="23">
        <f t="shared" ca="1" si="22"/>
        <v>887.33333333333326</v>
      </c>
      <c r="AY12" s="35">
        <f t="shared" si="23"/>
        <v>204.25333333333333</v>
      </c>
      <c r="AZ12" s="23">
        <f t="shared" ca="1" si="41"/>
        <v>136.16888888888889</v>
      </c>
      <c r="BA12" s="36">
        <f t="shared" si="25"/>
        <v>1020.5699999999999</v>
      </c>
      <c r="BB12" s="27">
        <f t="shared" ca="1" si="38"/>
        <v>680.37999999999988</v>
      </c>
      <c r="BC12" s="23">
        <f t="shared" ca="1" si="39"/>
        <v>-544.67555555555555</v>
      </c>
      <c r="BE12" s="47" t="s">
        <v>34</v>
      </c>
      <c r="BF12" s="48" t="s">
        <v>38</v>
      </c>
      <c r="BG12" s="49">
        <f ca="1">IF(WL_No="  ","  ",2*h*$AR$29)</f>
        <v>2781.5848743333336</v>
      </c>
    </row>
    <row r="13" spans="1:60" x14ac:dyDescent="0.25">
      <c r="A13" s="20">
        <f>Tools!$AD12</f>
        <v>7</v>
      </c>
      <c r="B13" s="33">
        <f t="shared" si="0"/>
        <v>11</v>
      </c>
      <c r="C13" s="22">
        <f>IF(A13="  ","  ",IF(AND(A12="  ",A14="  "),"?",IF(A12="  ",2*(A14-A13),IF(A14="  ",2*(A13-A12),2*(A14-A12)))))</f>
        <v>4</v>
      </c>
      <c r="D13" s="23">
        <f t="shared" si="26"/>
        <v>44</v>
      </c>
      <c r="E13" s="24">
        <f t="shared" si="1"/>
        <v>-3</v>
      </c>
      <c r="F13" s="23">
        <f t="shared" si="27"/>
        <v>-132</v>
      </c>
      <c r="G13" s="23">
        <f t="shared" si="28"/>
        <v>396</v>
      </c>
      <c r="H13" s="23">
        <f t="shared" si="29"/>
        <v>1331</v>
      </c>
      <c r="I13" s="23">
        <f t="shared" si="30"/>
        <v>5324</v>
      </c>
      <c r="J13" s="4"/>
      <c r="K13" s="37">
        <f t="shared" si="2"/>
        <v>209.77333333333331</v>
      </c>
      <c r="L13" s="23">
        <f t="shared" si="31"/>
        <v>839.09333333333325</v>
      </c>
      <c r="M13" s="38">
        <f t="shared" si="3"/>
        <v>1031.9433333333332</v>
      </c>
      <c r="N13" s="27">
        <f t="shared" si="32"/>
        <v>4127.7733333333326</v>
      </c>
      <c r="O13" s="23">
        <f t="shared" si="33"/>
        <v>-2517.2799999999997</v>
      </c>
      <c r="P13" s="4"/>
      <c r="Q13" s="50" t="s">
        <v>39</v>
      </c>
      <c r="R13" s="48" t="s">
        <v>40</v>
      </c>
      <c r="S13">
        <f>IF(Tools!$L$49="Use 141 rule only",I37,IF(Tools!$L$49="Use 141 and 1331 rules",BG14," "))</f>
        <v>-0.17772172004583556</v>
      </c>
      <c r="W13" s="29">
        <f>IF(AO13="  ","  ",IF(AND(AO12="  ",AO14="  "),"?",IF(AO12="  ",2*(AO14-AO13),IF(AO14="  ",2*(AO13-AO12),2*(AO14-AO12)))))</f>
        <v>4</v>
      </c>
      <c r="X13" s="30" t="str">
        <f t="shared" si="4"/>
        <v>WW</v>
      </c>
      <c r="Y13" s="30" t="str">
        <f t="shared" si="5"/>
        <v>-</v>
      </c>
      <c r="Z13" s="29" t="b">
        <f t="shared" si="6"/>
        <v>0</v>
      </c>
      <c r="AA13" s="29" t="b">
        <f t="shared" si="7"/>
        <v>0</v>
      </c>
      <c r="AB13" s="29" t="str">
        <f t="shared" ca="1" si="8"/>
        <v>++</v>
      </c>
      <c r="AC13" s="29">
        <f t="shared" si="34"/>
        <v>10</v>
      </c>
      <c r="AD13" s="29">
        <f t="shared" ca="1" si="9"/>
        <v>10</v>
      </c>
      <c r="AE13" s="29">
        <v>10</v>
      </c>
      <c r="AF13" s="31">
        <f t="shared" si="42"/>
        <v>6</v>
      </c>
      <c r="AG13" s="29" t="b">
        <f t="shared" si="11"/>
        <v>1</v>
      </c>
      <c r="AH13" s="30" t="str">
        <f t="shared" ca="1" si="12"/>
        <v>141-4</v>
      </c>
      <c r="AI13" s="30" t="str">
        <f t="shared" ca="1" si="13"/>
        <v/>
      </c>
      <c r="AJ13" s="29">
        <f t="shared" ca="1" si="14"/>
        <v>0</v>
      </c>
      <c r="AK13" s="29" t="str">
        <f t="shared" ca="1" si="15"/>
        <v>4/3</v>
      </c>
      <c r="AL13" s="29">
        <f t="shared" ca="1" si="16"/>
        <v>1.3333333333333333</v>
      </c>
      <c r="AM13" s="32">
        <f t="shared" ca="1" si="35"/>
        <v>1.3333333333333333</v>
      </c>
      <c r="AO13" s="20">
        <f>Tools!$AD12</f>
        <v>7</v>
      </c>
      <c r="AP13" s="33">
        <f t="shared" si="36"/>
        <v>11</v>
      </c>
      <c r="AQ13" s="34" t="str">
        <f t="shared" ca="1" si="18"/>
        <v>4/3</v>
      </c>
      <c r="AR13" s="23">
        <f t="shared" ca="1" si="19"/>
        <v>14.666666666666666</v>
      </c>
      <c r="AS13" s="24">
        <f t="shared" si="20"/>
        <v>-3</v>
      </c>
      <c r="AT13" s="23">
        <f t="shared" ca="1" si="37"/>
        <v>-44</v>
      </c>
      <c r="AU13" s="23">
        <f t="shared" ca="1" si="40"/>
        <v>132</v>
      </c>
      <c r="AV13" s="23">
        <f t="shared" si="21"/>
        <v>1331</v>
      </c>
      <c r="AW13" s="23">
        <f t="shared" ca="1" si="22"/>
        <v>1774.6666666666665</v>
      </c>
      <c r="AY13" s="35">
        <f t="shared" si="23"/>
        <v>209.77333333333331</v>
      </c>
      <c r="AZ13" s="23">
        <f t="shared" ca="1" si="41"/>
        <v>279.69777777777773</v>
      </c>
      <c r="BA13" s="36">
        <f t="shared" si="25"/>
        <v>1031.9433333333332</v>
      </c>
      <c r="BB13" s="27">
        <f t="shared" ca="1" si="38"/>
        <v>1375.9244444444441</v>
      </c>
      <c r="BC13" s="23">
        <f t="shared" ca="1" si="39"/>
        <v>-839.09333333333325</v>
      </c>
      <c r="BE13" s="47" t="s">
        <v>36</v>
      </c>
      <c r="BF13" s="48" t="s">
        <v>41</v>
      </c>
      <c r="BG13" s="49">
        <f ca="1">IF(WL_No="  ","  ",2*(h^2)*$AT$29)</f>
        <v>-494.34804832000304</v>
      </c>
    </row>
    <row r="14" spans="1:60" x14ac:dyDescent="0.25">
      <c r="A14" s="20">
        <f>Tools!$AD13</f>
        <v>8</v>
      </c>
      <c r="B14" s="33">
        <f t="shared" si="0"/>
        <v>11</v>
      </c>
      <c r="C14" s="22">
        <f>IF(A14="  ","  ",IF(AND(A13="  ",A15="  "),"?",IF(A13="  ",1*(A15-A14),IF(A15="  ",1*(A14-A13),1*(A15-A13)))))</f>
        <v>2</v>
      </c>
      <c r="D14" s="23">
        <f t="shared" si="26"/>
        <v>22</v>
      </c>
      <c r="E14" s="24">
        <f t="shared" si="1"/>
        <v>-2</v>
      </c>
      <c r="F14" s="23">
        <f t="shared" si="27"/>
        <v>-44</v>
      </c>
      <c r="G14" s="23">
        <f t="shared" si="28"/>
        <v>88</v>
      </c>
      <c r="H14" s="23">
        <f t="shared" si="29"/>
        <v>1331</v>
      </c>
      <c r="I14" s="23">
        <f t="shared" si="30"/>
        <v>2662</v>
      </c>
      <c r="J14" s="4"/>
      <c r="K14" s="37">
        <f t="shared" si="2"/>
        <v>211.65333333333331</v>
      </c>
      <c r="L14" s="23">
        <f t="shared" si="31"/>
        <v>423.30666666666662</v>
      </c>
      <c r="M14" s="38">
        <f t="shared" si="3"/>
        <v>1034.1233333333332</v>
      </c>
      <c r="N14" s="27">
        <f t="shared" si="32"/>
        <v>2068.2466666666664</v>
      </c>
      <c r="O14" s="23">
        <f t="shared" si="33"/>
        <v>-846.61333333333323</v>
      </c>
      <c r="P14" s="4"/>
      <c r="Q14" s="50" t="s">
        <v>42</v>
      </c>
      <c r="R14" s="48" t="s">
        <v>43</v>
      </c>
      <c r="S14">
        <f>IF(Tools!$L$49="Use 141 rule only",I38,IF(Tools!$L$49="Use 141 and 1331 rules",BG15," "))</f>
        <v>3910971.9477697243</v>
      </c>
      <c r="W14" s="29">
        <f>IF(AO14="  ","  ",IF(AND(AO13="  ",AO15="  "),"?",IF(AO13="  ",1*(AO15-AO14),IF(AO15="  ",1*(AO14-AO13),1*(AO15-AO13)))))</f>
        <v>2</v>
      </c>
      <c r="X14" s="30" t="str">
        <f t="shared" si="4"/>
        <v>WW</v>
      </c>
      <c r="Y14" s="30" t="str">
        <f t="shared" si="5"/>
        <v>-</v>
      </c>
      <c r="Z14" s="29" t="b">
        <f t="shared" si="6"/>
        <v>0</v>
      </c>
      <c r="AA14" s="29" t="b">
        <f t="shared" si="7"/>
        <v>0</v>
      </c>
      <c r="AB14" s="29" t="str">
        <f t="shared" ca="1" si="8"/>
        <v>++</v>
      </c>
      <c r="AC14" s="29">
        <f t="shared" si="34"/>
        <v>11</v>
      </c>
      <c r="AD14" s="29">
        <f t="shared" ca="1" si="9"/>
        <v>11</v>
      </c>
      <c r="AE14" s="29">
        <v>11</v>
      </c>
      <c r="AF14" s="31">
        <f t="shared" si="42"/>
        <v>7</v>
      </c>
      <c r="AG14" s="29" t="b">
        <f t="shared" si="11"/>
        <v>1</v>
      </c>
      <c r="AH14" s="30" t="str">
        <f ca="1">IF(AND(AG14=TRUE,$AH$1=1),"141-4",IF(AG14=" ",IF(AND($AH$1=2,AF14=3),"141-1","-"),IF(OR(AG14=FALSE,AG14=" "),"-",IF(AG14=TRUE,IF(AND($AH$1=2,AF14=1),"141-1",IF(AND($AH$1=2,AF14=2),"141-4",IF(OR(ISODD($AH$1),AF14&gt;4),IF(AF14=1,"141-1",IF(OR(AB14="141-1",AB14="1331-1",AB14="1331-1,141-1"),"141-1",IF(AG15=" ","141-1",IF(OR(AH13="141-1",AH13="141-2",AH13="1331-1,141-1"),"141-4",IF(AH13="141-4","141-2","$$"))))),IF(ISEVEN($AH$1),IF(AF14=1,"1331-1",IF(OR(AF14=2,AF14=3),"1331-3",IF(AF14=4,IF($AH$1=4,"1331-1","1331-1,141-1"),"")))))))))))</f>
        <v>141-2</v>
      </c>
      <c r="AI14" s="30" t="str">
        <f t="shared" ca="1" si="13"/>
        <v/>
      </c>
      <c r="AJ14" s="29">
        <f t="shared" ca="1" si="14"/>
        <v>0</v>
      </c>
      <c r="AK14" s="29" t="str">
        <f t="shared" ca="1" si="15"/>
        <v>2/3</v>
      </c>
      <c r="AL14" s="29">
        <f t="shared" ca="1" si="16"/>
        <v>0.66666666666666663</v>
      </c>
      <c r="AM14" s="32">
        <f t="shared" ca="1" si="35"/>
        <v>0.66666666666666663</v>
      </c>
      <c r="AO14" s="20">
        <f>Tools!$AD13</f>
        <v>8</v>
      </c>
      <c r="AP14" s="33">
        <f t="shared" si="36"/>
        <v>11</v>
      </c>
      <c r="AQ14" s="34" t="str">
        <f t="shared" ca="1" si="18"/>
        <v>2/3</v>
      </c>
      <c r="AR14" s="23">
        <f t="shared" ca="1" si="19"/>
        <v>7.333333333333333</v>
      </c>
      <c r="AS14" s="24">
        <f t="shared" si="20"/>
        <v>-2</v>
      </c>
      <c r="AT14" s="23">
        <f t="shared" ca="1" si="37"/>
        <v>-14.666666666666666</v>
      </c>
      <c r="AU14" s="23">
        <f t="shared" ca="1" si="40"/>
        <v>29.333333333333332</v>
      </c>
      <c r="AV14" s="23">
        <f t="shared" si="21"/>
        <v>1331</v>
      </c>
      <c r="AW14" s="23">
        <f t="shared" ca="1" si="22"/>
        <v>887.33333333333326</v>
      </c>
      <c r="AY14" s="35">
        <f t="shared" si="23"/>
        <v>211.65333333333331</v>
      </c>
      <c r="AZ14" s="23">
        <f t="shared" ca="1" si="41"/>
        <v>141.1022222222222</v>
      </c>
      <c r="BA14" s="36">
        <f t="shared" si="25"/>
        <v>1034.1233333333332</v>
      </c>
      <c r="BB14" s="27">
        <f t="shared" ca="1" si="38"/>
        <v>689.41555555555544</v>
      </c>
      <c r="BC14" s="23">
        <f t="shared" ca="1" si="39"/>
        <v>-282.20444444444439</v>
      </c>
      <c r="BE14" s="50" t="s">
        <v>39</v>
      </c>
      <c r="BF14" s="48" t="s">
        <v>40</v>
      </c>
      <c r="BG14" s="49">
        <f>IF(WL_No="  ","  ",Mmid/AWP)</f>
        <v>-0.17772172004583556</v>
      </c>
    </row>
    <row r="15" spans="1:60" x14ac:dyDescent="0.25">
      <c r="A15" s="20">
        <f>Tools!$AD14</f>
        <v>9</v>
      </c>
      <c r="B15" s="33">
        <f t="shared" si="0"/>
        <v>11</v>
      </c>
      <c r="C15" s="22">
        <f>IF(A15="  ","  ",IF(AND(A14="  ",A16="  "),"?",IF(A14="  ",2*(A16-A15),IF(A16="  ",2*(A15-A14),2*(A16-A14)))))</f>
        <v>4</v>
      </c>
      <c r="D15" s="23">
        <f t="shared" si="26"/>
        <v>44</v>
      </c>
      <c r="E15" s="24">
        <f t="shared" si="1"/>
        <v>-1</v>
      </c>
      <c r="F15" s="23">
        <f t="shared" si="27"/>
        <v>-44</v>
      </c>
      <c r="G15" s="23">
        <f t="shared" si="28"/>
        <v>44</v>
      </c>
      <c r="H15" s="23">
        <f t="shared" si="29"/>
        <v>1331</v>
      </c>
      <c r="I15" s="23">
        <f t="shared" si="30"/>
        <v>5324</v>
      </c>
      <c r="J15" s="4"/>
      <c r="K15" s="37">
        <f t="shared" si="2"/>
        <v>211.9733333333333</v>
      </c>
      <c r="L15" s="23">
        <f t="shared" si="31"/>
        <v>847.8933333333332</v>
      </c>
      <c r="M15" s="38">
        <f t="shared" si="3"/>
        <v>1034.3166666666664</v>
      </c>
      <c r="N15" s="27">
        <f t="shared" si="32"/>
        <v>4137.2666666666655</v>
      </c>
      <c r="O15" s="23">
        <f t="shared" si="33"/>
        <v>-847.8933333333332</v>
      </c>
      <c r="P15" s="4"/>
      <c r="Q15" s="51" t="s">
        <v>44</v>
      </c>
      <c r="R15" s="48" t="s">
        <v>45</v>
      </c>
      <c r="S15">
        <f>IF(Tools!$L$49="Use 141 rule only",I39,IF(Tools!$L$49="Use 141 and 1331 rules",BG16," "))</f>
        <v>98620.437529870091</v>
      </c>
      <c r="W15" s="29">
        <f>IF(AO15="  ","  ",IF(AND(AO14="  ",AO16="  "),"?",IF(AO14="  ",2*(AO16-AO15),IF(AO16="  ",2*(AO15-AO14),2*(AO16-AO14)))))</f>
        <v>4</v>
      </c>
      <c r="X15" s="30" t="str">
        <f t="shared" si="4"/>
        <v>WW</v>
      </c>
      <c r="Y15" s="30" t="str">
        <f t="shared" si="5"/>
        <v>-</v>
      </c>
      <c r="Z15" s="29" t="b">
        <f t="shared" si="6"/>
        <v>0</v>
      </c>
      <c r="AA15" s="29" t="b">
        <f t="shared" si="7"/>
        <v>0</v>
      </c>
      <c r="AB15" s="29" t="str">
        <f t="shared" ca="1" si="8"/>
        <v>++</v>
      </c>
      <c r="AC15" s="29">
        <f t="shared" si="34"/>
        <v>12</v>
      </c>
      <c r="AD15" s="29">
        <f t="shared" ca="1" si="9"/>
        <v>12</v>
      </c>
      <c r="AE15" s="29">
        <v>12</v>
      </c>
      <c r="AF15" s="31">
        <f t="shared" si="42"/>
        <v>8</v>
      </c>
      <c r="AG15" s="29" t="b">
        <f t="shared" si="11"/>
        <v>1</v>
      </c>
      <c r="AH15" s="30" t="str">
        <f t="shared" ref="AH15:AH28" ca="1" si="43">IF(AND(AG15=TRUE,$AH$1=1),"141-4",IF(AG15=" ",IF(AND($AH$1=2,AF15=3),"141-1","-"),IF(OR(AG15=FALSE,AG15=" "),"-",IF(AG15=TRUE,IF(AND($AH$1=2,AF15=1),"141-1",IF(AND($AH$1=2,AF15=2),"141-4",IF(OR(ISODD($AH$1),AF15&gt;4),IF(AF15=1,"141-1",IF(OR(AB15="141-1",AB15="1331-1",AB15="1331-1,141-1"),"141-1",IF(AG16=" ","141-1",IF(OR(AH14="141-1",AH14="141-2",AH14="1331-1,141-1"),"141-4",IF(AH14="141-4","141-2","$$"))))),IF(ISEVEN($AH$1),IF(AF15=1,"1331-1",IF(OR(AF15=2,AF15=3),"1331-3",IF(AF15=4,IF($AH$1=4,"1331-1","1331-1,141-1"),"")))))))))))</f>
        <v>141-4</v>
      </c>
      <c r="AI15" s="30" t="str">
        <f t="shared" ca="1" si="13"/>
        <v/>
      </c>
      <c r="AJ15" s="29">
        <f t="shared" ca="1" si="14"/>
        <v>0</v>
      </c>
      <c r="AK15" s="29" t="str">
        <f t="shared" ca="1" si="15"/>
        <v>4/3</v>
      </c>
      <c r="AL15" s="29">
        <f t="shared" ca="1" si="16"/>
        <v>1.3333333333333333</v>
      </c>
      <c r="AM15" s="32">
        <f t="shared" ca="1" si="35"/>
        <v>1.3333333333333333</v>
      </c>
      <c r="AO15" s="20">
        <f>Tools!$AD14</f>
        <v>9</v>
      </c>
      <c r="AP15" s="33">
        <f t="shared" si="36"/>
        <v>11</v>
      </c>
      <c r="AQ15" s="34" t="str">
        <f t="shared" ca="1" si="18"/>
        <v>4/3</v>
      </c>
      <c r="AR15" s="23">
        <f t="shared" ca="1" si="19"/>
        <v>14.666666666666666</v>
      </c>
      <c r="AS15" s="24">
        <f t="shared" si="20"/>
        <v>-1</v>
      </c>
      <c r="AT15" s="23">
        <f t="shared" ca="1" si="37"/>
        <v>-14.666666666666666</v>
      </c>
      <c r="AU15" s="23">
        <f t="shared" ca="1" si="40"/>
        <v>14.666666666666666</v>
      </c>
      <c r="AV15" s="23">
        <f t="shared" si="21"/>
        <v>1331</v>
      </c>
      <c r="AW15" s="23">
        <f t="shared" ca="1" si="22"/>
        <v>1774.6666666666665</v>
      </c>
      <c r="AY15" s="35">
        <f t="shared" si="23"/>
        <v>211.9733333333333</v>
      </c>
      <c r="AZ15" s="23">
        <f t="shared" ca="1" si="41"/>
        <v>282.63111111111107</v>
      </c>
      <c r="BA15" s="36">
        <f t="shared" si="25"/>
        <v>1034.3166666666664</v>
      </c>
      <c r="BB15" s="27">
        <f ca="1">IFERROR(BA15*AM15,"  ")</f>
        <v>1379.0888888888885</v>
      </c>
      <c r="BC15" s="23">
        <f t="shared" ca="1" si="39"/>
        <v>-282.63111111111107</v>
      </c>
      <c r="BE15" s="50" t="s">
        <v>42</v>
      </c>
      <c r="BF15" s="48" t="s">
        <v>46</v>
      </c>
      <c r="BG15" s="49">
        <f ca="1">IF(WL_No="  ","  ",2*(h^3)*$AU$29)</f>
        <v>3910971.9477697262</v>
      </c>
    </row>
    <row r="16" spans="1:60" x14ac:dyDescent="0.25">
      <c r="A16" s="20">
        <f>Tools!$AD15</f>
        <v>10</v>
      </c>
      <c r="B16" s="33">
        <f t="shared" si="0"/>
        <v>11</v>
      </c>
      <c r="C16" s="22">
        <f>IF(A16="  ","  ",IF(AND(A15="  ",A17="  "),"?",IF(A15="  ",1*(A17-A16),IF(A17="  ",1*(A16-A15),1*(A17-A15)))))</f>
        <v>2</v>
      </c>
      <c r="D16" s="23">
        <f t="shared" si="26"/>
        <v>22</v>
      </c>
      <c r="E16" s="24">
        <f t="shared" si="1"/>
        <v>0</v>
      </c>
      <c r="F16" s="23">
        <f t="shared" si="27"/>
        <v>0</v>
      </c>
      <c r="G16" s="23">
        <f t="shared" si="28"/>
        <v>0</v>
      </c>
      <c r="H16" s="23">
        <f t="shared" si="29"/>
        <v>1331</v>
      </c>
      <c r="I16" s="23">
        <f t="shared" si="30"/>
        <v>2662</v>
      </c>
      <c r="J16" s="4"/>
      <c r="K16" s="37">
        <f t="shared" si="2"/>
        <v>211.9733333333333</v>
      </c>
      <c r="L16" s="23">
        <f t="shared" si="31"/>
        <v>423.9466666666666</v>
      </c>
      <c r="M16" s="38">
        <f t="shared" si="3"/>
        <v>1034.3166666666664</v>
      </c>
      <c r="N16" s="27">
        <f t="shared" si="32"/>
        <v>2068.6333333333328</v>
      </c>
      <c r="O16" s="23">
        <f t="shared" si="33"/>
        <v>0</v>
      </c>
      <c r="P16" s="4"/>
      <c r="Q16" s="50" t="s">
        <v>47</v>
      </c>
      <c r="R16" s="48" t="s">
        <v>48</v>
      </c>
      <c r="S16">
        <f>IF(Tools!$L$49="Use 141 rule only",I40,IF(Tools!$L$49="Use 141 and 1331 rules",BG17," "))</f>
        <v>3910884.0913842754</v>
      </c>
      <c r="W16" s="29">
        <f>IF(AO16="  ","  ",IF(AND(AO15="  ",AO17="  "),"?",IF(AO15="  ",1*(AO17-AO16),IF(AO17="  ",1*(AO16-AO15),1*(AO17-AO15)))))</f>
        <v>2</v>
      </c>
      <c r="X16" s="30" t="str">
        <f t="shared" si="4"/>
        <v>WW</v>
      </c>
      <c r="Y16" s="30" t="str">
        <f t="shared" si="5"/>
        <v>-</v>
      </c>
      <c r="Z16" s="29" t="b">
        <f t="shared" si="6"/>
        <v>0</v>
      </c>
      <c r="AA16" s="29" t="b">
        <f t="shared" si="7"/>
        <v>0</v>
      </c>
      <c r="AB16" s="29" t="str">
        <f t="shared" ca="1" si="8"/>
        <v>++</v>
      </c>
      <c r="AC16" s="29">
        <f t="shared" si="34"/>
        <v>13</v>
      </c>
      <c r="AD16" s="29">
        <f t="shared" ca="1" si="9"/>
        <v>13</v>
      </c>
      <c r="AE16" s="29">
        <v>13</v>
      </c>
      <c r="AF16" s="31">
        <f t="shared" si="42"/>
        <v>9</v>
      </c>
      <c r="AG16" s="29" t="b">
        <f t="shared" si="11"/>
        <v>1</v>
      </c>
      <c r="AH16" s="30" t="str">
        <f t="shared" ca="1" si="43"/>
        <v>141-2</v>
      </c>
      <c r="AI16" s="30" t="str">
        <f t="shared" ca="1" si="13"/>
        <v/>
      </c>
      <c r="AJ16" s="29">
        <f t="shared" ca="1" si="14"/>
        <v>0</v>
      </c>
      <c r="AK16" s="29" t="str">
        <f t="shared" ca="1" si="15"/>
        <v>2/3</v>
      </c>
      <c r="AL16" s="29">
        <f t="shared" ca="1" si="16"/>
        <v>0.66666666666666663</v>
      </c>
      <c r="AM16" s="32">
        <f t="shared" ca="1" si="35"/>
        <v>0.66666666666666663</v>
      </c>
      <c r="AO16" s="20">
        <f>Tools!$AD15</f>
        <v>10</v>
      </c>
      <c r="AP16" s="33">
        <f t="shared" si="36"/>
        <v>11</v>
      </c>
      <c r="AQ16" s="34" t="str">
        <f t="shared" ca="1" si="18"/>
        <v>2/3</v>
      </c>
      <c r="AR16" s="23">
        <f t="shared" ca="1" si="19"/>
        <v>7.333333333333333</v>
      </c>
      <c r="AS16" s="24">
        <f t="shared" si="20"/>
        <v>0</v>
      </c>
      <c r="AT16" s="23">
        <f t="shared" ca="1" si="37"/>
        <v>0</v>
      </c>
      <c r="AU16" s="23">
        <f t="shared" ca="1" si="40"/>
        <v>0</v>
      </c>
      <c r="AV16" s="23">
        <f t="shared" si="21"/>
        <v>1331</v>
      </c>
      <c r="AW16" s="23">
        <f t="shared" ca="1" si="22"/>
        <v>887.33333333333326</v>
      </c>
      <c r="AY16" s="35">
        <f t="shared" si="23"/>
        <v>211.9733333333333</v>
      </c>
      <c r="AZ16" s="23">
        <f t="shared" ca="1" si="41"/>
        <v>141.31555555555553</v>
      </c>
      <c r="BA16" s="36">
        <f t="shared" si="25"/>
        <v>1034.3166666666664</v>
      </c>
      <c r="BB16" s="27">
        <f t="shared" ca="1" si="38"/>
        <v>689.54444444444425</v>
      </c>
      <c r="BC16" s="23">
        <f ca="1">IFERROR(AZ16*AS16,"  ")</f>
        <v>0</v>
      </c>
      <c r="BE16" s="51" t="s">
        <v>44</v>
      </c>
      <c r="BF16" s="48" t="s">
        <v>49</v>
      </c>
      <c r="BG16" s="49">
        <f ca="1">IF(WL_No="  ","  ",2/3*h*$AW$29)</f>
        <v>98620.437529870105</v>
      </c>
    </row>
    <row r="17" spans="1:59" x14ac:dyDescent="0.25">
      <c r="A17" s="20">
        <f>Tools!$AD16</f>
        <v>11</v>
      </c>
      <c r="B17" s="33">
        <f t="shared" si="0"/>
        <v>11</v>
      </c>
      <c r="C17" s="22">
        <f>IF(A17="  ","  ",IF(AND(A16="  ",A18="  "),"?",IF(A16="  ",2*(A18-A17),IF(A18="  ",2*(A17-A16),2*(A18-A16)))))</f>
        <v>4</v>
      </c>
      <c r="D17" s="23">
        <f t="shared" si="26"/>
        <v>44</v>
      </c>
      <c r="E17" s="24">
        <f t="shared" si="1"/>
        <v>1</v>
      </c>
      <c r="F17" s="23">
        <f t="shared" si="27"/>
        <v>44</v>
      </c>
      <c r="G17" s="23">
        <f t="shared" si="28"/>
        <v>44</v>
      </c>
      <c r="H17" s="23">
        <f t="shared" si="29"/>
        <v>1331</v>
      </c>
      <c r="I17" s="23">
        <f t="shared" si="30"/>
        <v>5324</v>
      </c>
      <c r="J17" s="4"/>
      <c r="K17" s="37">
        <f t="shared" si="2"/>
        <v>211.9733333333333</v>
      </c>
      <c r="L17" s="23">
        <f t="shared" si="31"/>
        <v>847.8933333333332</v>
      </c>
      <c r="M17" s="38">
        <f t="shared" si="3"/>
        <v>1034.3166666666664</v>
      </c>
      <c r="N17" s="27">
        <f t="shared" si="32"/>
        <v>4137.2666666666655</v>
      </c>
      <c r="O17" s="23">
        <f t="shared" si="33"/>
        <v>847.8933333333332</v>
      </c>
      <c r="P17" s="4"/>
      <c r="Q17" s="50" t="s">
        <v>50</v>
      </c>
      <c r="R17" s="48" t="s">
        <v>51</v>
      </c>
      <c r="S17">
        <f>IF(Tools!$L$49="Use 141 rule only",I41,IF(Tools!$L$49="Use 141 and 1331 rules",BG18," "))</f>
        <v>24344.796360938886</v>
      </c>
      <c r="W17" s="29">
        <f>IF(AO17="  ","  ",IF(AND(AO16="  ",AO18="  "),"?",IF(AO16="  ",2*(AO18-AO17),IF(AO18="  ",2*(AO17-AO16),2*(AO18-AO16)))))</f>
        <v>4</v>
      </c>
      <c r="X17" s="30" t="str">
        <f t="shared" si="4"/>
        <v>WW</v>
      </c>
      <c r="Y17" s="30" t="str">
        <f t="shared" si="5"/>
        <v>-</v>
      </c>
      <c r="Z17" s="29" t="b">
        <f t="shared" si="6"/>
        <v>0</v>
      </c>
      <c r="AA17" s="29" t="b">
        <f t="shared" si="7"/>
        <v>0</v>
      </c>
      <c r="AB17" s="29" t="str">
        <f t="shared" ca="1" si="8"/>
        <v>++</v>
      </c>
      <c r="AC17" s="29">
        <f t="shared" si="34"/>
        <v>12</v>
      </c>
      <c r="AD17" s="29">
        <f t="shared" ca="1" si="9"/>
        <v>12</v>
      </c>
      <c r="AE17" s="29">
        <v>14</v>
      </c>
      <c r="AF17" s="31">
        <f t="shared" si="42"/>
        <v>10</v>
      </c>
      <c r="AG17" s="29" t="b">
        <f t="shared" si="11"/>
        <v>1</v>
      </c>
      <c r="AH17" s="30" t="str">
        <f t="shared" ca="1" si="43"/>
        <v>141-4</v>
      </c>
      <c r="AI17" s="30" t="str">
        <f t="shared" ca="1" si="13"/>
        <v/>
      </c>
      <c r="AJ17" s="29">
        <f t="shared" ca="1" si="14"/>
        <v>0</v>
      </c>
      <c r="AK17" s="29" t="str">
        <f t="shared" ca="1" si="15"/>
        <v>4/3</v>
      </c>
      <c r="AL17" s="29">
        <f t="shared" ca="1" si="16"/>
        <v>1.3333333333333333</v>
      </c>
      <c r="AM17" s="32">
        <f t="shared" ca="1" si="35"/>
        <v>1.3333333333333333</v>
      </c>
      <c r="AO17" s="20">
        <f>Tools!$AD16</f>
        <v>11</v>
      </c>
      <c r="AP17" s="33">
        <f t="shared" si="36"/>
        <v>11</v>
      </c>
      <c r="AQ17" s="34" t="str">
        <f t="shared" ca="1" si="18"/>
        <v>4/3</v>
      </c>
      <c r="AR17" s="23">
        <f t="shared" ca="1" si="19"/>
        <v>14.666666666666666</v>
      </c>
      <c r="AS17" s="24">
        <f t="shared" si="20"/>
        <v>1</v>
      </c>
      <c r="AT17" s="23">
        <f t="shared" ca="1" si="37"/>
        <v>14.666666666666666</v>
      </c>
      <c r="AU17" s="23">
        <f t="shared" ca="1" si="40"/>
        <v>14.666666666666666</v>
      </c>
      <c r="AV17" s="23">
        <f t="shared" si="21"/>
        <v>1331</v>
      </c>
      <c r="AW17" s="23">
        <f t="shared" ca="1" si="22"/>
        <v>1774.6666666666665</v>
      </c>
      <c r="AY17" s="35">
        <f t="shared" si="23"/>
        <v>211.9733333333333</v>
      </c>
      <c r="AZ17" s="23">
        <f t="shared" ca="1" si="41"/>
        <v>282.63111111111107</v>
      </c>
      <c r="BA17" s="36">
        <f t="shared" si="25"/>
        <v>1034.3166666666664</v>
      </c>
      <c r="BB17" s="27">
        <f t="shared" ca="1" si="38"/>
        <v>1379.0888888888885</v>
      </c>
      <c r="BC17" s="23">
        <f t="shared" ca="1" si="39"/>
        <v>282.63111111111107</v>
      </c>
      <c r="BE17" s="50" t="s">
        <v>47</v>
      </c>
      <c r="BF17" s="48" t="s">
        <v>48</v>
      </c>
      <c r="BG17" s="49">
        <f>IF(WL_No="  ","  ",IL-AWP*(LCF^2))</f>
        <v>3910884.0913842754</v>
      </c>
    </row>
    <row r="18" spans="1:59" x14ac:dyDescent="0.25">
      <c r="A18" s="20">
        <f>Tools!$AD17</f>
        <v>12</v>
      </c>
      <c r="B18" s="33">
        <f t="shared" si="0"/>
        <v>11</v>
      </c>
      <c r="C18" s="22">
        <f>IF(A18="  ","  ",IF(AND(A17="  ",A19="  "),"?",IF(A17="  ",1*(A19-A18),IF(A19="  ",1*(A18-A17),1*(A19-A17)))))</f>
        <v>2</v>
      </c>
      <c r="D18" s="23">
        <f t="shared" si="26"/>
        <v>22</v>
      </c>
      <c r="E18" s="24">
        <f t="shared" si="1"/>
        <v>2</v>
      </c>
      <c r="F18" s="23">
        <f t="shared" si="27"/>
        <v>44</v>
      </c>
      <c r="G18" s="23">
        <f t="shared" si="28"/>
        <v>88</v>
      </c>
      <c r="H18" s="23">
        <f t="shared" si="29"/>
        <v>1331</v>
      </c>
      <c r="I18" s="23">
        <f t="shared" si="30"/>
        <v>2662</v>
      </c>
      <c r="J18" s="4"/>
      <c r="K18" s="37">
        <f t="shared" si="2"/>
        <v>211.9733333333333</v>
      </c>
      <c r="L18" s="23">
        <f t="shared" si="31"/>
        <v>423.9466666666666</v>
      </c>
      <c r="M18" s="38">
        <f t="shared" si="3"/>
        <v>1034.3166666666664</v>
      </c>
      <c r="N18" s="27">
        <f t="shared" si="32"/>
        <v>2068.6333333333328</v>
      </c>
      <c r="O18" s="23">
        <f t="shared" si="33"/>
        <v>847.8933333333332</v>
      </c>
      <c r="P18" s="4"/>
      <c r="Q18" s="50" t="s">
        <v>52</v>
      </c>
      <c r="R18" s="48" t="s">
        <v>53</v>
      </c>
      <c r="S18">
        <f>IF(Tools!$L$49="Use 141 rule only",I42,IF(Tools!$L$49="Use 141 and 1331 rules",BG19," "))</f>
        <v>25103.136767582131</v>
      </c>
      <c r="W18" s="29">
        <f>IF(AO18="  ","  ",IF(AND(AO17="  ",AO19="  "),"?",IF(AO17="  ",1*(AO19-AO18),IF(AO19="  ",1*(AO18-AO17),1*(AO19-AO17)))))</f>
        <v>2</v>
      </c>
      <c r="X18" s="30" t="str">
        <f t="shared" si="4"/>
        <v>WW</v>
      </c>
      <c r="Y18" s="30" t="str">
        <f t="shared" si="5"/>
        <v>-</v>
      </c>
      <c r="Z18" s="29" t="b">
        <f t="shared" si="6"/>
        <v>0</v>
      </c>
      <c r="AA18" s="29" t="b">
        <f t="shared" si="7"/>
        <v>0</v>
      </c>
      <c r="AB18" s="29" t="str">
        <f t="shared" ca="1" si="8"/>
        <v>++</v>
      </c>
      <c r="AC18" s="29">
        <f t="shared" si="34"/>
        <v>11</v>
      </c>
      <c r="AD18" s="29">
        <f t="shared" ca="1" si="9"/>
        <v>11</v>
      </c>
      <c r="AE18" s="29">
        <v>15</v>
      </c>
      <c r="AF18" s="31">
        <f t="shared" si="42"/>
        <v>11</v>
      </c>
      <c r="AG18" s="29" t="b">
        <f t="shared" si="11"/>
        <v>1</v>
      </c>
      <c r="AH18" s="30" t="str">
        <f t="shared" ca="1" si="43"/>
        <v>141-2</v>
      </c>
      <c r="AI18" s="30" t="str">
        <f t="shared" ca="1" si="13"/>
        <v/>
      </c>
      <c r="AJ18" s="29">
        <f t="shared" ca="1" si="14"/>
        <v>0</v>
      </c>
      <c r="AK18" s="29" t="str">
        <f t="shared" ca="1" si="15"/>
        <v>2/3</v>
      </c>
      <c r="AL18" s="29">
        <f t="shared" ca="1" si="16"/>
        <v>0.66666666666666663</v>
      </c>
      <c r="AM18" s="32">
        <f t="shared" ca="1" si="35"/>
        <v>0.66666666666666663</v>
      </c>
      <c r="AO18" s="20">
        <f>Tools!$AD17</f>
        <v>12</v>
      </c>
      <c r="AP18" s="33">
        <f t="shared" si="36"/>
        <v>11</v>
      </c>
      <c r="AQ18" s="34" t="str">
        <f t="shared" ca="1" si="18"/>
        <v>2/3</v>
      </c>
      <c r="AR18" s="23">
        <f t="shared" ca="1" si="19"/>
        <v>7.333333333333333</v>
      </c>
      <c r="AS18" s="24">
        <f t="shared" si="20"/>
        <v>2</v>
      </c>
      <c r="AT18" s="23">
        <f t="shared" ca="1" si="37"/>
        <v>14.666666666666666</v>
      </c>
      <c r="AU18" s="23">
        <f t="shared" ca="1" si="40"/>
        <v>29.333333333333332</v>
      </c>
      <c r="AV18" s="23">
        <f t="shared" si="21"/>
        <v>1331</v>
      </c>
      <c r="AW18" s="23">
        <f t="shared" ca="1" si="22"/>
        <v>887.33333333333326</v>
      </c>
      <c r="AY18" s="35">
        <f t="shared" si="23"/>
        <v>211.9733333333333</v>
      </c>
      <c r="AZ18" s="23">
        <f t="shared" ca="1" si="41"/>
        <v>141.31555555555553</v>
      </c>
      <c r="BA18" s="36">
        <f t="shared" si="25"/>
        <v>1034.3166666666664</v>
      </c>
      <c r="BB18" s="27">
        <f t="shared" ca="1" si="38"/>
        <v>689.54444444444425</v>
      </c>
      <c r="BC18" s="23">
        <f t="shared" ca="1" si="39"/>
        <v>282.63111111111107</v>
      </c>
      <c r="BE18" s="50" t="s">
        <v>50</v>
      </c>
      <c r="BF18" s="48" t="s">
        <v>54</v>
      </c>
      <c r="BG18" s="49">
        <f ca="1">IF(WL_No="  ","  ",h*$AZ$29)</f>
        <v>24344.796360938893</v>
      </c>
    </row>
    <row r="19" spans="1:59" x14ac:dyDescent="0.25">
      <c r="A19" s="20">
        <f>Tools!$AD18</f>
        <v>13</v>
      </c>
      <c r="B19" s="33">
        <f t="shared" si="0"/>
        <v>11</v>
      </c>
      <c r="C19" s="22">
        <f>IF(A19="  ","  ",IF(AND(A18="  ",A20="  "),"?",IF(A18="  ",2*(A20-A19),IF(A20="  ",2*(A19-A18),2*(A20-A18)))))</f>
        <v>4</v>
      </c>
      <c r="D19" s="23">
        <f t="shared" si="26"/>
        <v>44</v>
      </c>
      <c r="E19" s="24">
        <f t="shared" si="1"/>
        <v>3</v>
      </c>
      <c r="F19" s="23">
        <f t="shared" si="27"/>
        <v>132</v>
      </c>
      <c r="G19" s="23">
        <f t="shared" si="28"/>
        <v>396</v>
      </c>
      <c r="H19" s="23">
        <f t="shared" si="29"/>
        <v>1331</v>
      </c>
      <c r="I19" s="23">
        <f t="shared" si="30"/>
        <v>5324</v>
      </c>
      <c r="J19" s="4"/>
      <c r="K19" s="37">
        <f t="shared" si="2"/>
        <v>211.9733333333333</v>
      </c>
      <c r="L19" s="23">
        <f t="shared" si="31"/>
        <v>847.8933333333332</v>
      </c>
      <c r="M19" s="38">
        <f t="shared" si="3"/>
        <v>1034.3166666666664</v>
      </c>
      <c r="N19" s="27">
        <f t="shared" si="32"/>
        <v>4137.2666666666655</v>
      </c>
      <c r="O19" s="23">
        <f t="shared" si="33"/>
        <v>2543.6799999999994</v>
      </c>
      <c r="P19" s="4"/>
      <c r="Q19" s="50" t="s">
        <v>55</v>
      </c>
      <c r="R19" s="48" t="s">
        <v>56</v>
      </c>
      <c r="S19">
        <f>IF(Tools!$L$49="Use 141 rule only",I43,IF(Tools!$L$49="Use 141 and 1331 rules",BG20," "))</f>
        <v>123195.07073705437</v>
      </c>
      <c r="W19" s="29">
        <f>IF(AO19="  ","  ",IF(AND(AO18="  ",AO20="  "),"?",IF(AO18="  ",2*(AO20-AO19),IF(AO20="  ",2*(AO19-AO18),2*(AO20-AO18)))))</f>
        <v>4</v>
      </c>
      <c r="X19" s="30" t="str">
        <f t="shared" si="4"/>
        <v>WW</v>
      </c>
      <c r="Y19" s="30" t="str">
        <f t="shared" si="5"/>
        <v>-</v>
      </c>
      <c r="Z19" s="29" t="b">
        <f t="shared" si="6"/>
        <v>0</v>
      </c>
      <c r="AA19" s="29" t="b">
        <f t="shared" si="7"/>
        <v>0</v>
      </c>
      <c r="AB19" s="29" t="str">
        <f t="shared" ca="1" si="8"/>
        <v>++</v>
      </c>
      <c r="AC19" s="29">
        <f t="shared" si="34"/>
        <v>10</v>
      </c>
      <c r="AD19" s="29">
        <f t="shared" ca="1" si="9"/>
        <v>10</v>
      </c>
      <c r="AE19" s="29">
        <v>16</v>
      </c>
      <c r="AF19" s="31">
        <f t="shared" si="42"/>
        <v>12</v>
      </c>
      <c r="AG19" s="29" t="b">
        <f t="shared" si="11"/>
        <v>1</v>
      </c>
      <c r="AH19" s="30" t="str">
        <f t="shared" ca="1" si="43"/>
        <v>141-4</v>
      </c>
      <c r="AI19" s="30" t="str">
        <f t="shared" ca="1" si="13"/>
        <v/>
      </c>
      <c r="AJ19" s="29">
        <f t="shared" ca="1" si="14"/>
        <v>0</v>
      </c>
      <c r="AK19" s="29" t="str">
        <f t="shared" ca="1" si="15"/>
        <v>4/3</v>
      </c>
      <c r="AL19" s="29">
        <f t="shared" ca="1" si="16"/>
        <v>1.3333333333333333</v>
      </c>
      <c r="AM19" s="32">
        <f t="shared" ca="1" si="35"/>
        <v>1.3333333333333333</v>
      </c>
      <c r="AO19" s="20">
        <f>Tools!$AD18</f>
        <v>13</v>
      </c>
      <c r="AP19" s="33">
        <f t="shared" si="36"/>
        <v>11</v>
      </c>
      <c r="AQ19" s="34" t="str">
        <f t="shared" ca="1" si="18"/>
        <v>4/3</v>
      </c>
      <c r="AR19" s="23">
        <f t="shared" ca="1" si="19"/>
        <v>14.666666666666666</v>
      </c>
      <c r="AS19" s="24">
        <f t="shared" si="20"/>
        <v>3</v>
      </c>
      <c r="AT19" s="23">
        <f t="shared" ca="1" si="37"/>
        <v>44</v>
      </c>
      <c r="AU19" s="23">
        <f t="shared" ca="1" si="40"/>
        <v>132</v>
      </c>
      <c r="AV19" s="23">
        <f t="shared" si="21"/>
        <v>1331</v>
      </c>
      <c r="AW19" s="23">
        <f t="shared" ca="1" si="22"/>
        <v>1774.6666666666665</v>
      </c>
      <c r="AY19" s="35">
        <f t="shared" si="23"/>
        <v>211.9733333333333</v>
      </c>
      <c r="AZ19" s="23">
        <f t="shared" ca="1" si="41"/>
        <v>282.63111111111107</v>
      </c>
      <c r="BA19" s="36">
        <f t="shared" si="25"/>
        <v>1034.3166666666664</v>
      </c>
      <c r="BB19" s="27">
        <f t="shared" ca="1" si="38"/>
        <v>1379.0888888888885</v>
      </c>
      <c r="BC19" s="23">
        <f t="shared" ca="1" si="39"/>
        <v>847.8933333333332</v>
      </c>
      <c r="BE19" s="50" t="s">
        <v>52</v>
      </c>
      <c r="BF19" s="48" t="s">
        <v>53</v>
      </c>
      <c r="BG19" s="49">
        <f>IF(WL_No="  ","  ",V_Disp*1.025*1.006)</f>
        <v>25103.136767582131</v>
      </c>
    </row>
    <row r="20" spans="1:59" x14ac:dyDescent="0.25">
      <c r="A20" s="20">
        <f>Tools!$AD19</f>
        <v>14</v>
      </c>
      <c r="B20" s="33">
        <f t="shared" si="0"/>
        <v>11</v>
      </c>
      <c r="C20" s="22">
        <f>IF(A20="  ","  ",IF(AND(A19="  ",A21="  "),"?",IF(A19="  ",1*(A21-A20),IF(A21="  ",1*(A20-A19),1*(A21-A19)))))</f>
        <v>2</v>
      </c>
      <c r="D20" s="23">
        <f t="shared" si="26"/>
        <v>22</v>
      </c>
      <c r="E20" s="24">
        <f t="shared" si="1"/>
        <v>4</v>
      </c>
      <c r="F20" s="23">
        <f t="shared" si="27"/>
        <v>88</v>
      </c>
      <c r="G20" s="23">
        <f t="shared" si="28"/>
        <v>352</v>
      </c>
      <c r="H20" s="23">
        <f t="shared" si="29"/>
        <v>1331</v>
      </c>
      <c r="I20" s="23">
        <f t="shared" si="30"/>
        <v>2662</v>
      </c>
      <c r="J20" s="4"/>
      <c r="K20" s="37">
        <f t="shared" si="2"/>
        <v>211.59333333333331</v>
      </c>
      <c r="L20" s="23">
        <f t="shared" si="31"/>
        <v>423.18666666666661</v>
      </c>
      <c r="M20" s="38">
        <f t="shared" si="3"/>
        <v>1034.0499999999997</v>
      </c>
      <c r="N20" s="27">
        <f t="shared" si="32"/>
        <v>2068.0999999999995</v>
      </c>
      <c r="O20" s="23">
        <f t="shared" si="33"/>
        <v>1692.7466666666664</v>
      </c>
      <c r="P20" s="4"/>
      <c r="Q20" s="50" t="s">
        <v>57</v>
      </c>
      <c r="R20" s="48" t="s">
        <v>58</v>
      </c>
      <c r="S20">
        <f>IF(Tools!$L$49="Use 141 rule only",I44,IF(Tools!$L$49="Use 141 and 1331 rules",BG21," "))</f>
        <v>74341.513300772858</v>
      </c>
      <c r="W20" s="29">
        <f>IF(AO20="  ","  ",IF(AND(AO19="  ",AO21="  "),"?",IF(AO19="  ",1*(AO21-AO20),IF(AO21="  ",1*(AO20-AO19),1*(AO21-AO19)))))</f>
        <v>2</v>
      </c>
      <c r="X20" s="30" t="str">
        <f t="shared" si="4"/>
        <v>WW</v>
      </c>
      <c r="Y20" s="30" t="str">
        <f t="shared" si="5"/>
        <v>-</v>
      </c>
      <c r="Z20" s="29" t="b">
        <f t="shared" si="6"/>
        <v>0</v>
      </c>
      <c r="AA20" s="29" t="b">
        <f t="shared" si="7"/>
        <v>0</v>
      </c>
      <c r="AB20" s="29" t="str">
        <f t="shared" ca="1" si="8"/>
        <v>++</v>
      </c>
      <c r="AC20" s="29">
        <f t="shared" si="34"/>
        <v>9</v>
      </c>
      <c r="AD20" s="29">
        <f t="shared" ca="1" si="9"/>
        <v>9</v>
      </c>
      <c r="AE20" s="29">
        <v>17</v>
      </c>
      <c r="AF20" s="31">
        <f t="shared" si="42"/>
        <v>13</v>
      </c>
      <c r="AG20" s="29" t="b">
        <f t="shared" si="11"/>
        <v>1</v>
      </c>
      <c r="AH20" s="30" t="str">
        <f t="shared" ca="1" si="43"/>
        <v>141-2</v>
      </c>
      <c r="AI20" s="30" t="str">
        <f t="shared" ca="1" si="13"/>
        <v/>
      </c>
      <c r="AJ20" s="29">
        <f t="shared" ca="1" si="14"/>
        <v>0</v>
      </c>
      <c r="AK20" s="29" t="str">
        <f t="shared" ca="1" si="15"/>
        <v>2/3</v>
      </c>
      <c r="AL20" s="29">
        <f t="shared" ca="1" si="16"/>
        <v>0.66666666666666663</v>
      </c>
      <c r="AM20" s="32">
        <f t="shared" ca="1" si="35"/>
        <v>0.66666666666666663</v>
      </c>
      <c r="AO20" s="20">
        <f>Tools!$AD19</f>
        <v>14</v>
      </c>
      <c r="AP20" s="33">
        <f t="shared" si="36"/>
        <v>11</v>
      </c>
      <c r="AQ20" s="34" t="str">
        <f t="shared" ca="1" si="18"/>
        <v>2/3</v>
      </c>
      <c r="AR20" s="23">
        <f t="shared" ca="1" si="19"/>
        <v>7.333333333333333</v>
      </c>
      <c r="AS20" s="24">
        <f t="shared" si="20"/>
        <v>4</v>
      </c>
      <c r="AT20" s="23">
        <f t="shared" ca="1" si="37"/>
        <v>29.333333333333332</v>
      </c>
      <c r="AU20" s="23">
        <f t="shared" ca="1" si="40"/>
        <v>117.33333333333333</v>
      </c>
      <c r="AV20" s="23">
        <f t="shared" si="21"/>
        <v>1331</v>
      </c>
      <c r="AW20" s="23">
        <f t="shared" ca="1" si="22"/>
        <v>887.33333333333326</v>
      </c>
      <c r="AY20" s="35">
        <f t="shared" si="23"/>
        <v>211.59333333333331</v>
      </c>
      <c r="AZ20" s="23">
        <f t="shared" ca="1" si="41"/>
        <v>141.0622222222222</v>
      </c>
      <c r="BA20" s="36">
        <f t="shared" si="25"/>
        <v>1034.0499999999997</v>
      </c>
      <c r="BB20" s="27">
        <f t="shared" ca="1" si="38"/>
        <v>689.36666666666645</v>
      </c>
      <c r="BC20" s="23">
        <f t="shared" ca="1" si="39"/>
        <v>564.24888888888881</v>
      </c>
      <c r="BE20" s="50" t="s">
        <v>55</v>
      </c>
      <c r="BF20" s="48" t="s">
        <v>59</v>
      </c>
      <c r="BG20" s="49">
        <f ca="1">IF(WL_No="  ","  ",h*$BB$29)</f>
        <v>123195.0707370544</v>
      </c>
    </row>
    <row r="21" spans="1:59" x14ac:dyDescent="0.25">
      <c r="A21" s="20">
        <f>Tools!$AD20</f>
        <v>15</v>
      </c>
      <c r="B21" s="33">
        <f t="shared" si="0"/>
        <v>11</v>
      </c>
      <c r="C21" s="22">
        <f>IF(A21="  ","  ",IF(AND(A20="  ",A22="  "),"?",IF(A20="  ",2*(A22-A21),IF(A22="  ",2*(A21-A20),2*(A22-A20)))))</f>
        <v>4</v>
      </c>
      <c r="D21" s="23">
        <f t="shared" si="26"/>
        <v>44</v>
      </c>
      <c r="E21" s="24">
        <f t="shared" si="1"/>
        <v>5</v>
      </c>
      <c r="F21" s="23">
        <f t="shared" si="27"/>
        <v>220</v>
      </c>
      <c r="G21" s="23">
        <f t="shared" si="28"/>
        <v>1100</v>
      </c>
      <c r="H21" s="23">
        <f t="shared" si="29"/>
        <v>1331</v>
      </c>
      <c r="I21" s="23">
        <f t="shared" si="30"/>
        <v>5324</v>
      </c>
      <c r="J21" s="4"/>
      <c r="K21" s="37">
        <f t="shared" si="2"/>
        <v>209.24666666666664</v>
      </c>
      <c r="L21" s="23">
        <f t="shared" si="31"/>
        <v>836.98666666666657</v>
      </c>
      <c r="M21" s="38">
        <f t="shared" si="3"/>
        <v>1031.1299999999999</v>
      </c>
      <c r="N21" s="27">
        <f t="shared" si="32"/>
        <v>4124.5199999999995</v>
      </c>
      <c r="O21" s="23">
        <f t="shared" si="33"/>
        <v>4184.9333333333325</v>
      </c>
      <c r="P21" s="4"/>
      <c r="Q21" s="50" t="s">
        <v>60</v>
      </c>
      <c r="R21" s="48" t="s">
        <v>61</v>
      </c>
      <c r="S21">
        <f>IF(Tools!$L$49="Use 141 rule only",I45,IF(Tools!$L$49="Use 141 and 1331 rules",BG22," "))</f>
        <v>160.64558657222005</v>
      </c>
      <c r="W21" s="29">
        <f>IF(AO21="  ","  ",IF(AND(AO20="  ",AO22="  "),"?",IF(AO20="  ",2*(AO22-AO21),IF(AO22="  ",2*(AO21-AO20),2*(AO22-AO20)))))</f>
        <v>4</v>
      </c>
      <c r="X21" s="30" t="str">
        <f t="shared" si="4"/>
        <v>WW</v>
      </c>
      <c r="Y21" s="30" t="str">
        <f t="shared" si="5"/>
        <v>-</v>
      </c>
      <c r="Z21" s="29" t="b">
        <f t="shared" si="6"/>
        <v>0</v>
      </c>
      <c r="AA21" s="29" t="b">
        <f t="shared" si="7"/>
        <v>0</v>
      </c>
      <c r="AB21" s="29" t="str">
        <f t="shared" ca="1" si="8"/>
        <v>++</v>
      </c>
      <c r="AC21" s="29">
        <f t="shared" si="34"/>
        <v>8</v>
      </c>
      <c r="AD21" s="29">
        <f t="shared" ca="1" si="9"/>
        <v>8</v>
      </c>
      <c r="AE21" s="29">
        <v>18</v>
      </c>
      <c r="AF21" s="31">
        <f t="shared" si="42"/>
        <v>14</v>
      </c>
      <c r="AG21" s="29" t="b">
        <f t="shared" si="11"/>
        <v>1</v>
      </c>
      <c r="AH21" s="30" t="str">
        <f t="shared" ca="1" si="43"/>
        <v>141-4</v>
      </c>
      <c r="AI21" s="30" t="str">
        <f t="shared" ca="1" si="13"/>
        <v/>
      </c>
      <c r="AJ21" s="29">
        <f t="shared" ca="1" si="14"/>
        <v>0</v>
      </c>
      <c r="AK21" s="29" t="str">
        <f t="shared" ca="1" si="15"/>
        <v>4/3</v>
      </c>
      <c r="AL21" s="29">
        <f t="shared" ca="1" si="16"/>
        <v>1.3333333333333333</v>
      </c>
      <c r="AM21" s="32">
        <f t="shared" ca="1" si="35"/>
        <v>1.3333333333333333</v>
      </c>
      <c r="AO21" s="20">
        <f>Tools!$AD20</f>
        <v>15</v>
      </c>
      <c r="AP21" s="33">
        <f t="shared" si="36"/>
        <v>11</v>
      </c>
      <c r="AQ21" s="34" t="str">
        <f t="shared" ca="1" si="18"/>
        <v>4/3</v>
      </c>
      <c r="AR21" s="23">
        <f t="shared" ca="1" si="19"/>
        <v>14.666666666666666</v>
      </c>
      <c r="AS21" s="24">
        <f t="shared" si="20"/>
        <v>5</v>
      </c>
      <c r="AT21" s="23">
        <f t="shared" ca="1" si="37"/>
        <v>73.333333333333329</v>
      </c>
      <c r="AU21" s="23">
        <f t="shared" ca="1" si="40"/>
        <v>366.66666666666663</v>
      </c>
      <c r="AV21" s="23">
        <f t="shared" si="21"/>
        <v>1331</v>
      </c>
      <c r="AW21" s="23">
        <f t="shared" ca="1" si="22"/>
        <v>1774.6666666666665</v>
      </c>
      <c r="AY21" s="35">
        <f t="shared" si="23"/>
        <v>209.24666666666664</v>
      </c>
      <c r="AZ21" s="23">
        <f t="shared" ca="1" si="41"/>
        <v>278.99555555555548</v>
      </c>
      <c r="BA21" s="36">
        <f t="shared" si="25"/>
        <v>1031.1299999999999</v>
      </c>
      <c r="BB21" s="27">
        <f t="shared" ca="1" si="38"/>
        <v>1374.8399999999997</v>
      </c>
      <c r="BC21" s="23">
        <f t="shared" ca="1" si="39"/>
        <v>1394.9777777777774</v>
      </c>
      <c r="BE21" s="50" t="s">
        <v>57</v>
      </c>
      <c r="BF21" s="48" t="s">
        <v>62</v>
      </c>
      <c r="BG21" s="49">
        <f ca="1">IF(WL_No="  ","  ",(h^2)*$BC$29)</f>
        <v>74341.5133007728</v>
      </c>
    </row>
    <row r="22" spans="1:59" x14ac:dyDescent="0.25">
      <c r="A22" s="20">
        <f>Tools!$AD21</f>
        <v>16</v>
      </c>
      <c r="B22" s="33">
        <f t="shared" si="0"/>
        <v>10.89</v>
      </c>
      <c r="C22" s="22">
        <f>IF(A22="  ","  ",IF(AND(A21="  ",A23="  "),"?",IF(A21="  ",1*(A23-A22),IF(A23="  ",1*(A22-A21),1*(A23-A21)))))</f>
        <v>2</v>
      </c>
      <c r="D22" s="23">
        <f t="shared" si="26"/>
        <v>21.78</v>
      </c>
      <c r="E22" s="24">
        <f t="shared" si="1"/>
        <v>6</v>
      </c>
      <c r="F22" s="23">
        <f t="shared" si="27"/>
        <v>130.68</v>
      </c>
      <c r="G22" s="23">
        <f t="shared" si="28"/>
        <v>784.08</v>
      </c>
      <c r="H22" s="23">
        <f t="shared" si="29"/>
        <v>1291.4679690000003</v>
      </c>
      <c r="I22" s="23">
        <f t="shared" si="30"/>
        <v>2582.9359380000005</v>
      </c>
      <c r="J22" s="4"/>
      <c r="K22" s="37">
        <f t="shared" si="2"/>
        <v>199.7063333333333</v>
      </c>
      <c r="L22" s="23">
        <f t="shared" si="31"/>
        <v>399.41266666666661</v>
      </c>
      <c r="M22" s="38">
        <f t="shared" si="3"/>
        <v>1001.0793999999997</v>
      </c>
      <c r="N22" s="27">
        <f t="shared" si="32"/>
        <v>2002.1587999999995</v>
      </c>
      <c r="O22" s="23">
        <f t="shared" si="33"/>
        <v>2396.4759999999997</v>
      </c>
      <c r="P22" s="4"/>
      <c r="Q22" s="50" t="s">
        <v>63</v>
      </c>
      <c r="R22" s="48" t="s">
        <v>64</v>
      </c>
      <c r="S22">
        <f>IF(Tools!$L$49="Use 141 rule only",I46,IF(Tools!$L$49="Use 141 and 1331 rules",BG23," "))</f>
        <v>4.0509863408882785</v>
      </c>
      <c r="W22" s="29">
        <f>IF(AO22="  ","  ",IF(AND(AO21="  ",AO23="  "),"?",IF(AO21="  ",1*(AO23-AO22),IF(AO23="  ",1*(AO22-AO21),1*(AO23-AO21)))))</f>
        <v>2</v>
      </c>
      <c r="X22" s="30" t="str">
        <f t="shared" si="4"/>
        <v>WW</v>
      </c>
      <c r="Y22" s="30" t="str">
        <f t="shared" si="5"/>
        <v>-</v>
      </c>
      <c r="Z22" s="29" t="b">
        <f t="shared" si="6"/>
        <v>0</v>
      </c>
      <c r="AA22" s="29" t="b">
        <f t="shared" si="7"/>
        <v>0</v>
      </c>
      <c r="AB22" s="29" t="str">
        <f t="shared" ca="1" si="8"/>
        <v>++</v>
      </c>
      <c r="AC22" s="29">
        <f t="shared" si="34"/>
        <v>7</v>
      </c>
      <c r="AD22" s="29">
        <f t="shared" ca="1" si="9"/>
        <v>7</v>
      </c>
      <c r="AE22" s="29">
        <v>19</v>
      </c>
      <c r="AF22" s="31">
        <f t="shared" si="42"/>
        <v>15</v>
      </c>
      <c r="AG22" s="29" t="b">
        <f t="shared" si="11"/>
        <v>1</v>
      </c>
      <c r="AH22" s="30" t="str">
        <f t="shared" ca="1" si="43"/>
        <v>141-2</v>
      </c>
      <c r="AI22" s="30" t="str">
        <f t="shared" ca="1" si="13"/>
        <v/>
      </c>
      <c r="AJ22" s="29">
        <f t="shared" ca="1" si="14"/>
        <v>0</v>
      </c>
      <c r="AK22" s="29" t="str">
        <f t="shared" ca="1" si="15"/>
        <v>2/3</v>
      </c>
      <c r="AL22" s="29">
        <f t="shared" ca="1" si="16"/>
        <v>0.66666666666666663</v>
      </c>
      <c r="AM22" s="32">
        <f t="shared" ca="1" si="35"/>
        <v>0.66666666666666663</v>
      </c>
      <c r="AO22" s="20">
        <f>Tools!$AD21</f>
        <v>16</v>
      </c>
      <c r="AP22" s="33">
        <f t="shared" si="36"/>
        <v>10.89</v>
      </c>
      <c r="AQ22" s="34" t="str">
        <f t="shared" ca="1" si="18"/>
        <v>2/3</v>
      </c>
      <c r="AR22" s="23">
        <f t="shared" ca="1" si="19"/>
        <v>7.26</v>
      </c>
      <c r="AS22" s="24">
        <f t="shared" si="20"/>
        <v>6</v>
      </c>
      <c r="AT22" s="23">
        <f t="shared" ca="1" si="37"/>
        <v>43.56</v>
      </c>
      <c r="AU22" s="23">
        <f t="shared" ca="1" si="40"/>
        <v>261.36</v>
      </c>
      <c r="AV22" s="23">
        <f t="shared" si="21"/>
        <v>1291.4679690000003</v>
      </c>
      <c r="AW22" s="23">
        <f t="shared" ca="1" si="22"/>
        <v>860.97864600000014</v>
      </c>
      <c r="AY22" s="35">
        <f t="shared" si="23"/>
        <v>199.7063333333333</v>
      </c>
      <c r="AZ22" s="23">
        <f t="shared" ca="1" si="41"/>
        <v>133.13755555555554</v>
      </c>
      <c r="BA22" s="36">
        <f t="shared" si="25"/>
        <v>1001.0793999999997</v>
      </c>
      <c r="BB22" s="27">
        <f t="shared" ca="1" si="38"/>
        <v>667.38626666666642</v>
      </c>
      <c r="BC22" s="23">
        <f t="shared" ca="1" si="39"/>
        <v>798.82533333333322</v>
      </c>
      <c r="BE22" s="50" t="s">
        <v>60</v>
      </c>
      <c r="BF22" s="48" t="s">
        <v>61</v>
      </c>
      <c r="BG22" s="49">
        <f>IF(WL_No="  ","  ",IF/V_Disp)</f>
        <v>160.64558657222005</v>
      </c>
    </row>
    <row r="23" spans="1:59" x14ac:dyDescent="0.25">
      <c r="A23" s="20">
        <f>Tools!$AD22</f>
        <v>17</v>
      </c>
      <c r="B23" s="33">
        <f t="shared" si="0"/>
        <v>10.23</v>
      </c>
      <c r="C23" s="22">
        <f>IF(A23="  ","  ",IF(AND(A22="  ",A24="  "),"?",IF(A22="  ",2*(A24-A23),IF(A24="  ",2*(A23-A22),2*(A24-A22)))))</f>
        <v>4</v>
      </c>
      <c r="D23" s="23">
        <f t="shared" si="26"/>
        <v>40.92</v>
      </c>
      <c r="E23" s="24">
        <f t="shared" si="1"/>
        <v>7</v>
      </c>
      <c r="F23" s="23">
        <f t="shared" si="27"/>
        <v>286.44</v>
      </c>
      <c r="G23" s="23">
        <f t="shared" si="28"/>
        <v>2005.08</v>
      </c>
      <c r="H23" s="23">
        <f t="shared" si="29"/>
        <v>1070.5991670000001</v>
      </c>
      <c r="I23" s="23">
        <f t="shared" si="30"/>
        <v>4282.3966680000003</v>
      </c>
      <c r="J23" s="4"/>
      <c r="K23" s="37">
        <f t="shared" si="2"/>
        <v>177.07733333333329</v>
      </c>
      <c r="L23" s="23">
        <f t="shared" si="31"/>
        <v>708.30933333333314</v>
      </c>
      <c r="M23" s="38">
        <f t="shared" si="3"/>
        <v>909.56883333333315</v>
      </c>
      <c r="N23" s="27">
        <f t="shared" si="32"/>
        <v>3638.2753333333326</v>
      </c>
      <c r="O23" s="23">
        <f t="shared" si="33"/>
        <v>4958.1653333333325</v>
      </c>
      <c r="P23" s="4"/>
      <c r="Q23" s="50" t="s">
        <v>65</v>
      </c>
      <c r="R23" s="48" t="s">
        <v>66</v>
      </c>
      <c r="S23">
        <f>IF(Tools!$L$49="Use 141 rule only",I47,IF(Tools!$L$49="Use 141 and 1331 rules",BG24," "))</f>
        <v>5.0604272432822768</v>
      </c>
      <c r="W23" s="29">
        <f>IF(AO23="  ","  ",IF(AND(AO22="  ",AO24="  "),"?",IF(AO22="  ",2*(AO24-AO23),IF(AO24="  ",2*(AO23-AO22),2*(AO24-AO22)))))</f>
        <v>4</v>
      </c>
      <c r="X23" s="30" t="str">
        <f t="shared" si="4"/>
        <v>WW</v>
      </c>
      <c r="Y23" s="30" t="str">
        <f t="shared" si="5"/>
        <v>-</v>
      </c>
      <c r="Z23" s="29" t="b">
        <f t="shared" si="6"/>
        <v>0</v>
      </c>
      <c r="AA23" s="29" t="b">
        <f t="shared" si="7"/>
        <v>0</v>
      </c>
      <c r="AB23" s="29" t="str">
        <f t="shared" ca="1" si="8"/>
        <v>++</v>
      </c>
      <c r="AC23" s="29">
        <f t="shared" si="34"/>
        <v>6</v>
      </c>
      <c r="AD23" s="29">
        <f t="shared" ca="1" si="9"/>
        <v>6</v>
      </c>
      <c r="AE23" s="29">
        <v>20</v>
      </c>
      <c r="AF23" s="31">
        <f t="shared" si="42"/>
        <v>16</v>
      </c>
      <c r="AG23" s="29" t="b">
        <f t="shared" si="11"/>
        <v>1</v>
      </c>
      <c r="AH23" s="30" t="str">
        <f t="shared" ca="1" si="43"/>
        <v>141-4</v>
      </c>
      <c r="AI23" s="30" t="str">
        <f t="shared" ca="1" si="13"/>
        <v/>
      </c>
      <c r="AJ23" s="29">
        <f t="shared" ca="1" si="14"/>
        <v>0</v>
      </c>
      <c r="AK23" s="29" t="str">
        <f t="shared" ca="1" si="15"/>
        <v>4/3</v>
      </c>
      <c r="AL23" s="29">
        <f t="shared" ca="1" si="16"/>
        <v>1.3333333333333333</v>
      </c>
      <c r="AM23" s="32">
        <f t="shared" ca="1" si="35"/>
        <v>1.3333333333333333</v>
      </c>
      <c r="AO23" s="20">
        <f>Tools!$AD22</f>
        <v>17</v>
      </c>
      <c r="AP23" s="33">
        <f t="shared" si="36"/>
        <v>10.23</v>
      </c>
      <c r="AQ23" s="34" t="str">
        <f t="shared" ca="1" si="18"/>
        <v>4/3</v>
      </c>
      <c r="AR23" s="23">
        <f t="shared" ca="1" si="19"/>
        <v>13.64</v>
      </c>
      <c r="AS23" s="24">
        <f t="shared" si="20"/>
        <v>7</v>
      </c>
      <c r="AT23" s="23">
        <f t="shared" ca="1" si="37"/>
        <v>95.48</v>
      </c>
      <c r="AU23" s="23">
        <f t="shared" ca="1" si="40"/>
        <v>668.36</v>
      </c>
      <c r="AV23" s="23">
        <f t="shared" si="21"/>
        <v>1070.5991670000001</v>
      </c>
      <c r="AW23" s="23">
        <f t="shared" ca="1" si="22"/>
        <v>1427.4655560000001</v>
      </c>
      <c r="AY23" s="35">
        <f t="shared" si="23"/>
        <v>177.07733333333329</v>
      </c>
      <c r="AZ23" s="23">
        <f t="shared" ca="1" si="41"/>
        <v>236.10311111111105</v>
      </c>
      <c r="BA23" s="36">
        <f t="shared" si="25"/>
        <v>909.56883333333315</v>
      </c>
      <c r="BB23" s="27">
        <f t="shared" ca="1" si="38"/>
        <v>1212.7584444444442</v>
      </c>
      <c r="BC23" s="23">
        <f t="shared" ca="1" si="39"/>
        <v>1652.7217777777773</v>
      </c>
      <c r="BE23" s="50" t="s">
        <v>63</v>
      </c>
      <c r="BF23" s="48" t="s">
        <v>64</v>
      </c>
      <c r="BG23" s="49">
        <f>IF(WL_No="  ","  ",IT/V_Disp)</f>
        <v>4.0509863408882785</v>
      </c>
    </row>
    <row r="24" spans="1:59" x14ac:dyDescent="0.25">
      <c r="A24" s="20">
        <f>Tools!$AD23</f>
        <v>18</v>
      </c>
      <c r="B24" s="33">
        <f t="shared" si="0"/>
        <v>8.3511000000000006</v>
      </c>
      <c r="C24" s="22">
        <f>IF(A24="  ","  ",IF(AND(A23="  ",A25="  "),"?",IF(A23="  ",1*(A25-A24),IF(A25="  ",1*(A24-A23),1*(A25-A23)))))</f>
        <v>1.5</v>
      </c>
      <c r="D24" s="23">
        <f t="shared" si="26"/>
        <v>12.52665</v>
      </c>
      <c r="E24" s="24">
        <f t="shared" si="1"/>
        <v>8</v>
      </c>
      <c r="F24" s="23">
        <f t="shared" si="27"/>
        <v>100.2132</v>
      </c>
      <c r="G24" s="23">
        <f t="shared" si="28"/>
        <v>801.7056</v>
      </c>
      <c r="H24" s="23">
        <f t="shared" si="29"/>
        <v>582.41298956183107</v>
      </c>
      <c r="I24" s="23">
        <f t="shared" si="30"/>
        <v>873.61948434274655</v>
      </c>
      <c r="J24" s="4"/>
      <c r="K24" s="37">
        <f t="shared" si="2"/>
        <v>135.59877666666665</v>
      </c>
      <c r="L24" s="23">
        <f t="shared" si="31"/>
        <v>203.39816499999998</v>
      </c>
      <c r="M24" s="38">
        <f t="shared" si="3"/>
        <v>712.96512866666649</v>
      </c>
      <c r="N24" s="27">
        <f t="shared" si="32"/>
        <v>1069.4476929999996</v>
      </c>
      <c r="O24" s="23">
        <f t="shared" si="33"/>
        <v>1627.1853199999998</v>
      </c>
      <c r="P24" s="4"/>
      <c r="Q24" s="50" t="s">
        <v>67</v>
      </c>
      <c r="R24" s="48" t="s">
        <v>68</v>
      </c>
      <c r="S24">
        <f>IF(Tools!$L$49="Use 141 rule only",I48,IF(Tools!$L$49="Use 141 and 1331 rules",BG25," "))</f>
        <v>9.1114135841705561</v>
      </c>
      <c r="W24" s="29">
        <f>IF(AO24="  ","  ",IF(AND(AO23="  ",AO25="  "),"?",IF(AO23="  ",1*(AO25-AO24),IF(AO25="  ",1*(AO24-AO23),1*(AO25-AO23)))))</f>
        <v>1.5</v>
      </c>
      <c r="X24" s="30" t="str">
        <f t="shared" si="4"/>
        <v>WD</v>
      </c>
      <c r="Y24" s="30" t="str">
        <f t="shared" si="5"/>
        <v>-</v>
      </c>
      <c r="Z24" s="29" t="b">
        <f t="shared" si="6"/>
        <v>1</v>
      </c>
      <c r="AA24" s="29" t="b">
        <f t="shared" si="7"/>
        <v>1</v>
      </c>
      <c r="AB24" s="29" t="str">
        <f t="shared" ca="1" si="8"/>
        <v>141-1</v>
      </c>
      <c r="AC24" s="29">
        <f t="shared" si="34"/>
        <v>5</v>
      </c>
      <c r="AD24" s="29">
        <f t="shared" ca="1" si="9"/>
        <v>5</v>
      </c>
      <c r="AE24" s="29">
        <v>21</v>
      </c>
      <c r="AF24" s="31">
        <f t="shared" si="42"/>
        <v>17</v>
      </c>
      <c r="AG24" s="29" t="b">
        <f t="shared" si="11"/>
        <v>1</v>
      </c>
      <c r="AH24" s="30" t="str">
        <f t="shared" ca="1" si="43"/>
        <v>141-1</v>
      </c>
      <c r="AI24" s="30" t="str">
        <f t="shared" ca="1" si="13"/>
        <v>(1/2)*(1/3)</v>
      </c>
      <c r="AJ24" s="29">
        <f t="shared" ca="1" si="14"/>
        <v>0.16666666666666666</v>
      </c>
      <c r="AK24" s="29" t="str">
        <f t="shared" ca="1" si="15"/>
        <v>1/3</v>
      </c>
      <c r="AL24" s="29">
        <f t="shared" ca="1" si="16"/>
        <v>0.33333333333333331</v>
      </c>
      <c r="AM24" s="32">
        <f t="shared" ca="1" si="35"/>
        <v>0.5</v>
      </c>
      <c r="AO24" s="20">
        <f>Tools!$AD23</f>
        <v>18</v>
      </c>
      <c r="AP24" s="33">
        <f t="shared" si="36"/>
        <v>8.3511000000000006</v>
      </c>
      <c r="AQ24" s="34" t="str">
        <f t="shared" ca="1" si="18"/>
        <v>(1/2)*(1/3)+1/3</v>
      </c>
      <c r="AR24" s="23">
        <f t="shared" ca="1" si="19"/>
        <v>4.1755500000000003</v>
      </c>
      <c r="AS24" s="24">
        <f t="shared" si="20"/>
        <v>8</v>
      </c>
      <c r="AT24" s="23">
        <f t="shared" ca="1" si="37"/>
        <v>33.404400000000003</v>
      </c>
      <c r="AU24" s="23">
        <f t="shared" ca="1" si="40"/>
        <v>267.23520000000002</v>
      </c>
      <c r="AV24" s="23">
        <f t="shared" si="21"/>
        <v>582.41298956183107</v>
      </c>
      <c r="AW24" s="23">
        <f t="shared" ca="1" si="22"/>
        <v>291.20649478091553</v>
      </c>
      <c r="AY24" s="35">
        <f t="shared" si="23"/>
        <v>135.59877666666665</v>
      </c>
      <c r="AZ24" s="23">
        <f t="shared" ca="1" si="41"/>
        <v>67.799388333333326</v>
      </c>
      <c r="BA24" s="36">
        <f t="shared" si="25"/>
        <v>712.96512866666649</v>
      </c>
      <c r="BB24" s="27">
        <f t="shared" ca="1" si="38"/>
        <v>356.48256433333324</v>
      </c>
      <c r="BC24" s="23">
        <f t="shared" ca="1" si="39"/>
        <v>542.39510666666661</v>
      </c>
      <c r="BE24" s="50" t="s">
        <v>65</v>
      </c>
      <c r="BF24" s="48" t="s">
        <v>66</v>
      </c>
      <c r="BG24" s="49">
        <f>IF(WL_No="  ","  ",MT/V_Disp)</f>
        <v>5.0604272432822768</v>
      </c>
    </row>
    <row r="25" spans="1:59" x14ac:dyDescent="0.25">
      <c r="A25" s="20">
        <f>Tools!$AD24</f>
        <v>18.5</v>
      </c>
      <c r="B25" s="33">
        <f t="shared" si="0"/>
        <v>6.82</v>
      </c>
      <c r="C25" s="22">
        <f>IF(A25="  ","  ",IF(AND(A24="  ",A26="  "),"?",IF(A24="  ",2*(A26-A25),IF(A26="  ",2*(A25-A24),2*(A26-A24)))))</f>
        <v>2</v>
      </c>
      <c r="D25" s="23">
        <f t="shared" si="26"/>
        <v>13.64</v>
      </c>
      <c r="E25" s="24">
        <f t="shared" si="1"/>
        <v>8.5</v>
      </c>
      <c r="F25" s="23">
        <f t="shared" si="27"/>
        <v>115.94</v>
      </c>
      <c r="G25" s="23">
        <f t="shared" si="28"/>
        <v>985.49</v>
      </c>
      <c r="H25" s="23">
        <f t="shared" si="29"/>
        <v>317.21456800000004</v>
      </c>
      <c r="I25" s="23">
        <f t="shared" si="30"/>
        <v>634.42913600000009</v>
      </c>
      <c r="J25" s="4"/>
      <c r="K25" s="37">
        <f t="shared" si="2"/>
        <v>107.767</v>
      </c>
      <c r="L25" s="23">
        <f t="shared" si="31"/>
        <v>215.53399999999999</v>
      </c>
      <c r="M25" s="38">
        <f t="shared" si="3"/>
        <v>572.23156666666659</v>
      </c>
      <c r="N25" s="27">
        <f t="shared" si="32"/>
        <v>1144.4631333333332</v>
      </c>
      <c r="O25" s="23">
        <f t="shared" si="33"/>
        <v>1832.039</v>
      </c>
      <c r="P25" s="4"/>
      <c r="Q25" s="50" t="s">
        <v>69</v>
      </c>
      <c r="R25" s="48" t="s">
        <v>70</v>
      </c>
      <c r="S25">
        <f>IF(Tools!$L$49="Use 141 rule only",I49,IF(Tools!$L$49="Use 141 and 1331 rules",BG26," "))</f>
        <v>165.70601381550233</v>
      </c>
      <c r="W25" s="29">
        <f>IF(AO25="  ","  ",IF(AND(AO24="  ",AO26="  "),"?",IF(AO24="  ",2*(AO26-AO25),IF(AO26="  ",2*(AO25-AO24),2*(AO26-AO24)))))</f>
        <v>2</v>
      </c>
      <c r="X25" s="30" t="str">
        <f t="shared" si="4"/>
        <v>DD</v>
      </c>
      <c r="Y25" s="30" t="str">
        <f t="shared" si="5"/>
        <v>-</v>
      </c>
      <c r="Z25" s="29" t="b">
        <f t="shared" si="6"/>
        <v>1</v>
      </c>
      <c r="AA25" s="29" t="b">
        <f t="shared" si="7"/>
        <v>1</v>
      </c>
      <c r="AB25" s="29" t="str">
        <f t="shared" ca="1" si="8"/>
        <v>141-4</v>
      </c>
      <c r="AC25" s="29">
        <f t="shared" si="34"/>
        <v>4</v>
      </c>
      <c r="AD25" s="29">
        <f t="shared" ca="1" si="9"/>
        <v>4</v>
      </c>
      <c r="AE25" s="29">
        <v>22</v>
      </c>
      <c r="AF25" s="31">
        <f t="shared" si="42"/>
        <v>18</v>
      </c>
      <c r="AG25" s="29" t="b">
        <f t="shared" si="11"/>
        <v>0</v>
      </c>
      <c r="AH25" s="30" t="str">
        <f t="shared" si="43"/>
        <v>-</v>
      </c>
      <c r="AI25" s="30" t="str">
        <f t="shared" ca="1" si="13"/>
        <v>(1/2)*(4/3)</v>
      </c>
      <c r="AJ25" s="29">
        <f t="shared" ca="1" si="14"/>
        <v>0.66666666666666663</v>
      </c>
      <c r="AK25" s="29" t="str">
        <f t="shared" si="15"/>
        <v/>
      </c>
      <c r="AL25" s="29">
        <f t="shared" si="16"/>
        <v>0</v>
      </c>
      <c r="AM25" s="32">
        <f t="shared" ca="1" si="35"/>
        <v>0.66666666666666663</v>
      </c>
      <c r="AO25" s="20">
        <f>Tools!$AD24</f>
        <v>18.5</v>
      </c>
      <c r="AP25" s="33">
        <f t="shared" si="36"/>
        <v>6.82</v>
      </c>
      <c r="AQ25" s="34" t="str">
        <f t="shared" ca="1" si="18"/>
        <v>(1/2)*(4/3)</v>
      </c>
      <c r="AR25" s="23">
        <f t="shared" ca="1" si="19"/>
        <v>4.5466666666666669</v>
      </c>
      <c r="AS25" s="24">
        <f t="shared" si="20"/>
        <v>8.5</v>
      </c>
      <c r="AT25" s="23">
        <f t="shared" ca="1" si="37"/>
        <v>38.646666666666668</v>
      </c>
      <c r="AU25" s="23">
        <f t="shared" ca="1" si="40"/>
        <v>328.49666666666667</v>
      </c>
      <c r="AV25" s="23">
        <f t="shared" si="21"/>
        <v>317.21456800000004</v>
      </c>
      <c r="AW25" s="23">
        <f t="shared" ca="1" si="22"/>
        <v>211.47637866666668</v>
      </c>
      <c r="AY25" s="35">
        <f t="shared" si="23"/>
        <v>107.767</v>
      </c>
      <c r="AZ25" s="23">
        <f t="shared" ca="1" si="41"/>
        <v>71.844666666666654</v>
      </c>
      <c r="BA25" s="36">
        <f t="shared" si="25"/>
        <v>572.23156666666659</v>
      </c>
      <c r="BB25" s="27">
        <f t="shared" ca="1" si="38"/>
        <v>381.48771111111103</v>
      </c>
      <c r="BC25" s="23">
        <f t="shared" ca="1" si="39"/>
        <v>610.67966666666655</v>
      </c>
      <c r="BE25" s="50" t="s">
        <v>67</v>
      </c>
      <c r="BF25" s="48" t="s">
        <v>68</v>
      </c>
      <c r="BG25" s="49">
        <f>IF(WL_No="  ","  ",KB+BMT)</f>
        <v>9.1114135841705561</v>
      </c>
    </row>
    <row r="26" spans="1:59" x14ac:dyDescent="0.25">
      <c r="A26" s="20">
        <f>Tools!$AD25</f>
        <v>19</v>
      </c>
      <c r="B26" s="33">
        <f t="shared" si="0"/>
        <v>4.87</v>
      </c>
      <c r="C26" s="22">
        <f>IF(A26="  ","  ",IF(AND(A25="  ",A27="  "),"?",IF(A25="  ",1*(A27-A26),IF(A27="  ",1*(A26-A25),1*(A27-A25)))))</f>
        <v>1</v>
      </c>
      <c r="D26" s="23">
        <f t="shared" si="26"/>
        <v>4.87</v>
      </c>
      <c r="E26" s="24">
        <f t="shared" si="1"/>
        <v>9</v>
      </c>
      <c r="F26" s="23">
        <f t="shared" si="27"/>
        <v>43.83</v>
      </c>
      <c r="G26" s="23">
        <f t="shared" si="28"/>
        <v>394.46999999999997</v>
      </c>
      <c r="H26" s="23">
        <f t="shared" si="29"/>
        <v>115.50130300000002</v>
      </c>
      <c r="I26" s="23">
        <f t="shared" si="30"/>
        <v>115.50130300000002</v>
      </c>
      <c r="J26" s="4"/>
      <c r="K26" s="37">
        <f t="shared" si="2"/>
        <v>76.214666666666659</v>
      </c>
      <c r="L26" s="23">
        <f t="shared" si="31"/>
        <v>76.214666666666659</v>
      </c>
      <c r="M26" s="38">
        <f t="shared" si="3"/>
        <v>404.63963333333322</v>
      </c>
      <c r="N26" s="27">
        <f t="shared" si="32"/>
        <v>404.63963333333322</v>
      </c>
      <c r="O26" s="23">
        <f t="shared" si="33"/>
        <v>685.9319999999999</v>
      </c>
      <c r="P26" s="4"/>
      <c r="Q26" s="50" t="s">
        <v>71</v>
      </c>
      <c r="R26" s="48" t="s">
        <v>72</v>
      </c>
      <c r="S26">
        <f>IF(Tools!$L$49="Use 141 rule only",I50,IF(Tools!$L$49="Use 141 and 1331 rules",BG27," "))</f>
        <v>28.511244961916663</v>
      </c>
      <c r="W26" s="29">
        <f>IF(AO26="  ","  ",IF(AND(AO25="  ",AO27="  "),"?",IF(AO25="  ",1*(AO27-AO26),IF(AO27="  ",1*(AO26-AO25),1*(AO27-AO25)))))</f>
        <v>1</v>
      </c>
      <c r="X26" s="30" t="str">
        <f t="shared" si="4"/>
        <v>DD</v>
      </c>
      <c r="Y26" s="30" t="str">
        <f t="shared" si="5"/>
        <v>-</v>
      </c>
      <c r="Z26" s="29" t="b">
        <f t="shared" si="6"/>
        <v>1</v>
      </c>
      <c r="AA26" s="29" t="b">
        <f t="shared" si="7"/>
        <v>1</v>
      </c>
      <c r="AB26" s="29" t="str">
        <f t="shared" ca="1" si="8"/>
        <v>141-2</v>
      </c>
      <c r="AC26" s="29">
        <f t="shared" si="34"/>
        <v>3</v>
      </c>
      <c r="AD26" s="29">
        <f t="shared" ca="1" si="9"/>
        <v>3</v>
      </c>
      <c r="AE26" s="29">
        <v>23</v>
      </c>
      <c r="AF26" s="31">
        <f t="shared" si="42"/>
        <v>19</v>
      </c>
      <c r="AG26" s="29" t="b">
        <f t="shared" si="11"/>
        <v>0</v>
      </c>
      <c r="AH26" s="30" t="str">
        <f t="shared" si="43"/>
        <v>-</v>
      </c>
      <c r="AI26" s="30" t="str">
        <f t="shared" ca="1" si="13"/>
        <v>(1/2)*(2/3)</v>
      </c>
      <c r="AJ26" s="29">
        <f t="shared" ca="1" si="14"/>
        <v>0.33333333333333331</v>
      </c>
      <c r="AK26" s="29" t="str">
        <f t="shared" si="15"/>
        <v/>
      </c>
      <c r="AL26" s="29">
        <f t="shared" si="16"/>
        <v>0</v>
      </c>
      <c r="AM26" s="32">
        <f t="shared" ca="1" si="35"/>
        <v>0.33333333333333331</v>
      </c>
      <c r="AO26" s="20">
        <f>Tools!$AD25</f>
        <v>19</v>
      </c>
      <c r="AP26" s="33">
        <f t="shared" si="36"/>
        <v>4.87</v>
      </c>
      <c r="AQ26" s="34" t="str">
        <f t="shared" ca="1" si="18"/>
        <v>(1/2)*(2/3)</v>
      </c>
      <c r="AR26" s="23">
        <f t="shared" ca="1" si="19"/>
        <v>1.6233333333333333</v>
      </c>
      <c r="AS26" s="24">
        <f t="shared" si="20"/>
        <v>9</v>
      </c>
      <c r="AT26" s="23">
        <f t="shared" ca="1" si="37"/>
        <v>14.61</v>
      </c>
      <c r="AU26" s="23">
        <f t="shared" ca="1" si="40"/>
        <v>131.49</v>
      </c>
      <c r="AV26" s="23">
        <f t="shared" si="21"/>
        <v>115.50130300000002</v>
      </c>
      <c r="AW26" s="23">
        <f t="shared" ca="1" si="22"/>
        <v>38.500434333333338</v>
      </c>
      <c r="AY26" s="35">
        <f t="shared" si="23"/>
        <v>76.214666666666659</v>
      </c>
      <c r="AZ26" s="23">
        <f t="shared" ca="1" si="41"/>
        <v>25.404888888888884</v>
      </c>
      <c r="BA26" s="36">
        <f t="shared" si="25"/>
        <v>404.63963333333322</v>
      </c>
      <c r="BB26" s="27">
        <f t="shared" ca="1" si="38"/>
        <v>134.87987777777772</v>
      </c>
      <c r="BC26" s="23">
        <f t="shared" ca="1" si="39"/>
        <v>228.64399999999995</v>
      </c>
      <c r="BE26" s="50" t="s">
        <v>69</v>
      </c>
      <c r="BF26" s="48" t="s">
        <v>70</v>
      </c>
      <c r="BG26" s="49">
        <f>IF(WL_No="  ","  ",KB+BML)</f>
        <v>165.70601381550233</v>
      </c>
    </row>
    <row r="27" spans="1:59" x14ac:dyDescent="0.25">
      <c r="A27" s="20">
        <f>Tools!$AD26</f>
        <v>19.5</v>
      </c>
      <c r="B27" s="33">
        <f t="shared" si="0"/>
        <v>2.42</v>
      </c>
      <c r="C27" s="22">
        <f>IF(A27="  ","  ",IF(AND(A26="  ",A28="  "),"?",IF(A26="  ",2*(A28-A27),IF(A28="  ",2*(A27-A26),2*(A28-A26)))))</f>
        <v>2</v>
      </c>
      <c r="D27" s="23">
        <f t="shared" si="26"/>
        <v>4.84</v>
      </c>
      <c r="E27" s="24">
        <f t="shared" si="1"/>
        <v>9.5</v>
      </c>
      <c r="F27" s="23">
        <f t="shared" si="27"/>
        <v>45.98</v>
      </c>
      <c r="G27" s="23">
        <f t="shared" si="28"/>
        <v>436.80999999999995</v>
      </c>
      <c r="H27" s="23">
        <f t="shared" si="29"/>
        <v>14.172488</v>
      </c>
      <c r="I27" s="23">
        <f t="shared" si="30"/>
        <v>28.344975999999999</v>
      </c>
      <c r="J27" s="4"/>
      <c r="K27" s="37">
        <f t="shared" si="2"/>
        <v>43.505666666666656</v>
      </c>
      <c r="L27" s="23">
        <f t="shared" si="31"/>
        <v>87.011333333333312</v>
      </c>
      <c r="M27" s="38">
        <f t="shared" si="3"/>
        <v>222.3653666666666</v>
      </c>
      <c r="N27" s="27">
        <f t="shared" si="32"/>
        <v>444.73073333333321</v>
      </c>
      <c r="O27" s="23">
        <f t="shared" si="33"/>
        <v>826.60766666666643</v>
      </c>
      <c r="P27" s="4"/>
      <c r="Q27" s="50" t="s">
        <v>73</v>
      </c>
      <c r="R27" s="48" t="s">
        <v>74</v>
      </c>
      <c r="S27">
        <f>IF(Tools!$L$49="Use 141 rule only",I51,IF(Tools!$L$49="Use 141 and 1331 rules",BG28," "))</f>
        <v>3.0536921401426662</v>
      </c>
      <c r="W27" s="29">
        <f>IF(AO27="  ","  ",IF(AND(AO26="  ",AO28="  "),"?",IF(AO26="  ",2*(AO28-AO27),IF(AO28="  ",2*(AO27-AO26),2*(AO28-AO26)))))</f>
        <v>2</v>
      </c>
      <c r="X27" s="30" t="str">
        <f t="shared" si="4"/>
        <v>DD</v>
      </c>
      <c r="Y27" s="30" t="str">
        <f t="shared" si="5"/>
        <v>-</v>
      </c>
      <c r="Z27" s="29" t="b">
        <f t="shared" si="6"/>
        <v>1</v>
      </c>
      <c r="AA27" s="29" t="b">
        <f t="shared" si="7"/>
        <v>1</v>
      </c>
      <c r="AB27" s="29" t="str">
        <f t="shared" ca="1" si="8"/>
        <v>141-4</v>
      </c>
      <c r="AC27" s="29">
        <f t="shared" si="34"/>
        <v>2</v>
      </c>
      <c r="AD27" s="29">
        <f t="shared" ca="1" si="9"/>
        <v>2</v>
      </c>
      <c r="AE27" s="29">
        <v>24</v>
      </c>
      <c r="AF27" s="31">
        <f t="shared" si="42"/>
        <v>20</v>
      </c>
      <c r="AG27" s="29" t="b">
        <f t="shared" si="11"/>
        <v>0</v>
      </c>
      <c r="AH27" s="30" t="str">
        <f t="shared" si="43"/>
        <v>-</v>
      </c>
      <c r="AI27" s="30" t="str">
        <f t="shared" ca="1" si="13"/>
        <v>(1/2)*(4/3)</v>
      </c>
      <c r="AJ27" s="29">
        <f t="shared" ca="1" si="14"/>
        <v>0.66666666666666663</v>
      </c>
      <c r="AK27" s="29" t="str">
        <f t="shared" si="15"/>
        <v/>
      </c>
      <c r="AL27" s="29">
        <f t="shared" si="16"/>
        <v>0</v>
      </c>
      <c r="AM27" s="32">
        <f t="shared" ca="1" si="35"/>
        <v>0.66666666666666663</v>
      </c>
      <c r="AO27" s="20">
        <f>Tools!$AD26</f>
        <v>19.5</v>
      </c>
      <c r="AP27" s="33">
        <f t="shared" ref="AP27:AP28" si="44">VLOOKUP(AO27,OFFSET_A,Count_WL+1,FALSE)</f>
        <v>2.42</v>
      </c>
      <c r="AQ27" s="34" t="str">
        <f t="shared" ca="1" si="18"/>
        <v>(1/2)*(4/3)</v>
      </c>
      <c r="AR27" s="23">
        <f t="shared" ca="1" si="19"/>
        <v>1.6133333333333333</v>
      </c>
      <c r="AS27" s="24">
        <f t="shared" si="20"/>
        <v>9.5</v>
      </c>
      <c r="AT27" s="23">
        <f t="shared" ca="1" si="37"/>
        <v>15.326666666666666</v>
      </c>
      <c r="AU27" s="23">
        <f t="shared" ca="1" si="40"/>
        <v>145.60333333333332</v>
      </c>
      <c r="AV27" s="23">
        <f t="shared" si="21"/>
        <v>14.172488</v>
      </c>
      <c r="AW27" s="23">
        <f t="shared" ca="1" si="22"/>
        <v>9.448325333333333</v>
      </c>
      <c r="AY27" s="35">
        <f t="shared" si="23"/>
        <v>43.505666666666656</v>
      </c>
      <c r="AZ27" s="23">
        <f t="shared" ca="1" si="41"/>
        <v>29.003777777777771</v>
      </c>
      <c r="BA27" s="36">
        <f t="shared" si="25"/>
        <v>222.3653666666666</v>
      </c>
      <c r="BB27" s="27">
        <f t="shared" ca="1" si="38"/>
        <v>148.24357777777772</v>
      </c>
      <c r="BC27" s="23">
        <f t="shared" ca="1" si="39"/>
        <v>275.53588888888885</v>
      </c>
      <c r="BE27" s="50" t="s">
        <v>71</v>
      </c>
      <c r="BF27" s="48" t="s">
        <v>72</v>
      </c>
      <c r="BG27" s="49">
        <f>IF(WL_No="  ","  ",AWP*1.025/100)</f>
        <v>28.511244961916663</v>
      </c>
    </row>
    <row r="28" spans="1:59" ht="15.75" thickBot="1" x14ac:dyDescent="0.3">
      <c r="A28" s="20">
        <f>Tools!$AD27</f>
        <v>20</v>
      </c>
      <c r="B28" s="52">
        <f t="shared" si="0"/>
        <v>0</v>
      </c>
      <c r="C28" s="22">
        <f>IF(A28="  ","  ",IF(A27="  ","?",1*(A28-A27)))</f>
        <v>0.5</v>
      </c>
      <c r="D28" s="53">
        <f t="shared" si="26"/>
        <v>0</v>
      </c>
      <c r="E28" s="24">
        <f t="shared" si="1"/>
        <v>10</v>
      </c>
      <c r="F28" s="53">
        <f t="shared" si="27"/>
        <v>0</v>
      </c>
      <c r="G28" s="53">
        <f t="shared" si="28"/>
        <v>0</v>
      </c>
      <c r="H28" s="23">
        <f t="shared" si="29"/>
        <v>0</v>
      </c>
      <c r="I28" s="53">
        <f t="shared" si="30"/>
        <v>0</v>
      </c>
      <c r="J28" s="4"/>
      <c r="K28" s="35">
        <f t="shared" si="2"/>
        <v>14.089333333333332</v>
      </c>
      <c r="L28" s="53">
        <f t="shared" si="31"/>
        <v>7.0446666666666662</v>
      </c>
      <c r="M28" s="36">
        <f t="shared" si="3"/>
        <v>45.041733333333333</v>
      </c>
      <c r="N28" s="54">
        <f t="shared" si="32"/>
        <v>22.520866666666667</v>
      </c>
      <c r="O28" s="53">
        <f t="shared" si="33"/>
        <v>70.446666666666658</v>
      </c>
      <c r="P28" s="4"/>
      <c r="Q28" s="50" t="s">
        <v>75</v>
      </c>
      <c r="R28" s="55" t="s">
        <v>76</v>
      </c>
      <c r="S28">
        <f>IF(Tools!$L$49="Use 141 rule only",I52,IF(Tools!$L$49="Use 141 and 1331 rules",BG29," "))</f>
        <v>275.83502946859755</v>
      </c>
      <c r="W28" s="29">
        <f>IF(AO28="  ","  ",IF(AO27="  ","?",1*(AO28-AO27)))</f>
        <v>0.5</v>
      </c>
      <c r="X28" s="30" t="str">
        <f t="shared" si="4"/>
        <v>D-</v>
      </c>
      <c r="Y28" s="30" t="str">
        <f t="shared" si="5"/>
        <v>-</v>
      </c>
      <c r="Z28" s="29" t="b">
        <f t="shared" si="6"/>
        <v>1</v>
      </c>
      <c r="AA28" s="29" t="b">
        <f t="shared" si="7"/>
        <v>1</v>
      </c>
      <c r="AB28" s="29" t="str">
        <f t="shared" ca="1" si="8"/>
        <v>141-1</v>
      </c>
      <c r="AC28" s="29">
        <f>IF(ISNUMBER(AO28),IF(ISNUMBER(AO28),IF(OR(AO28=0,AO28=Long_Div),1,IF(AO28&gt;Long_Div/2,AF29+1,IF(AO28&lt;=Long_Div/2,AC27+1,"?")))," --")," ")</f>
        <v>1</v>
      </c>
      <c r="AD28" s="29">
        <f t="shared" ca="1" si="9"/>
        <v>1</v>
      </c>
      <c r="AE28" s="29">
        <v>25</v>
      </c>
      <c r="AF28" s="31">
        <f t="shared" si="42"/>
        <v>21</v>
      </c>
      <c r="AG28" s="29" t="b">
        <f t="shared" si="11"/>
        <v>0</v>
      </c>
      <c r="AH28" s="30" t="str">
        <f t="shared" si="43"/>
        <v>-</v>
      </c>
      <c r="AI28" s="30" t="str">
        <f t="shared" ca="1" si="13"/>
        <v>(1/2)*(1/3)</v>
      </c>
      <c r="AJ28" s="29">
        <f t="shared" ca="1" si="14"/>
        <v>0.16666666666666666</v>
      </c>
      <c r="AK28" s="29" t="str">
        <f t="shared" si="15"/>
        <v/>
      </c>
      <c r="AL28" s="29">
        <f t="shared" si="16"/>
        <v>0</v>
      </c>
      <c r="AM28" s="32">
        <f t="shared" ca="1" si="35"/>
        <v>0.16666666666666666</v>
      </c>
      <c r="AO28" s="20">
        <f>Tools!$AD27</f>
        <v>20</v>
      </c>
      <c r="AP28" s="33">
        <f t="shared" si="44"/>
        <v>0</v>
      </c>
      <c r="AQ28" s="34" t="str">
        <f t="shared" ca="1" si="18"/>
        <v>(1/2)*(1/3)</v>
      </c>
      <c r="AR28" s="23">
        <f t="shared" ca="1" si="19"/>
        <v>0</v>
      </c>
      <c r="AS28" s="24">
        <f t="shared" si="20"/>
        <v>10</v>
      </c>
      <c r="AT28" s="53">
        <f t="shared" ca="1" si="37"/>
        <v>0</v>
      </c>
      <c r="AU28" s="53">
        <f t="shared" ca="1" si="40"/>
        <v>0</v>
      </c>
      <c r="AV28" s="23">
        <f t="shared" si="21"/>
        <v>0</v>
      </c>
      <c r="AW28" s="23">
        <f t="shared" ca="1" si="22"/>
        <v>0</v>
      </c>
      <c r="AY28" s="35">
        <f t="shared" si="23"/>
        <v>14.089333333333332</v>
      </c>
      <c r="AZ28" s="23">
        <f t="shared" ca="1" si="41"/>
        <v>2.3482222222222218</v>
      </c>
      <c r="BA28" s="36">
        <f t="shared" si="25"/>
        <v>45.041733333333333</v>
      </c>
      <c r="BB28" s="27">
        <f t="shared" ca="1" si="38"/>
        <v>7.5069555555555549</v>
      </c>
      <c r="BC28" s="53">
        <f t="shared" ca="1" si="39"/>
        <v>23.482222222222219</v>
      </c>
      <c r="BE28" s="50" t="s">
        <v>73</v>
      </c>
      <c r="BF28" s="48" t="s">
        <v>74</v>
      </c>
      <c r="BG28" s="49">
        <f>IF(WL_No="  ","  ",ML/V_Disp)</f>
        <v>3.0536921401426662</v>
      </c>
    </row>
    <row r="29" spans="1:59" ht="15.75" thickBot="1" x14ac:dyDescent="0.3">
      <c r="A29" s="56" t="s">
        <v>77</v>
      </c>
      <c r="B29" s="56"/>
      <c r="C29" s="56"/>
      <c r="D29" s="57">
        <f>SUM(D4:D28)</f>
        <v>570.77665000000002</v>
      </c>
      <c r="E29" s="42"/>
      <c r="F29" s="58">
        <f>SUM(F4:F28)</f>
        <v>-13.876799999999982</v>
      </c>
      <c r="G29" s="58">
        <f>SUM(G4:G28)</f>
        <v>15018.405599999996</v>
      </c>
      <c r="H29" s="42"/>
      <c r="I29" s="58">
        <f>SUM(I4:I28)</f>
        <v>60710.255661342744</v>
      </c>
      <c r="J29" s="4"/>
      <c r="K29" s="42"/>
      <c r="L29" s="58">
        <f>SUM(L4:L28)</f>
        <v>9991.0244983333323</v>
      </c>
      <c r="M29" s="42"/>
      <c r="N29" s="58">
        <f>SUM(N4:N28)</f>
        <v>50558.852559666637</v>
      </c>
      <c r="O29" s="58">
        <f>SUM(O4:O28)</f>
        <v>4173.6679866666655</v>
      </c>
      <c r="P29" s="4"/>
      <c r="Q29" s="50" t="s">
        <v>78</v>
      </c>
      <c r="R29" s="48" t="s">
        <v>79</v>
      </c>
      <c r="S29">
        <f>IF(Tools!$L$49="Use 141 rule only",I53,IF(Tools!$L$49="Use 141 and 1331 rules",BG30," "))</f>
        <v>9.6999999999999993</v>
      </c>
      <c r="W29" s="56"/>
      <c r="X29" s="56"/>
      <c r="Y29" s="56"/>
      <c r="Z29" s="56"/>
      <c r="AA29" s="56"/>
      <c r="AB29" s="56"/>
      <c r="AC29" s="56"/>
      <c r="AD29" s="56"/>
      <c r="AE29" s="56"/>
      <c r="AF29" s="56"/>
      <c r="AG29" s="56"/>
      <c r="AH29" s="56"/>
      <c r="AI29" s="56"/>
      <c r="AJ29" s="56"/>
      <c r="AK29" s="56"/>
      <c r="AL29" s="56"/>
      <c r="AM29" s="56"/>
      <c r="AN29" s="56"/>
      <c r="AO29" s="56" t="s">
        <v>77</v>
      </c>
      <c r="AP29" s="56"/>
      <c r="AQ29" s="59"/>
      <c r="AR29" s="57">
        <f ca="1">SUM(AR4:AR28)</f>
        <v>190.25888333333336</v>
      </c>
      <c r="AS29" s="42"/>
      <c r="AT29" s="58">
        <f ca="1">SUM(AT4:AT28)</f>
        <v>-4.6256000000000288</v>
      </c>
      <c r="AU29" s="58">
        <f ca="1">SUM(AU4:AU28)</f>
        <v>5006.1352000000006</v>
      </c>
      <c r="AV29" s="42"/>
      <c r="AW29" s="58">
        <f ca="1">SUM(AW4:AW28)</f>
        <v>20236.751887114249</v>
      </c>
      <c r="AY29" s="42"/>
      <c r="AZ29" s="58">
        <f ca="1">SUM(AZ4:AZ28)</f>
        <v>3330.3414994444452</v>
      </c>
      <c r="BA29" s="42"/>
      <c r="BB29" s="58">
        <f ca="1">SUM(BB4:BB28)</f>
        <v>16852.950853222217</v>
      </c>
      <c r="BC29" s="58">
        <f ca="1">SUM(BC4:BC28)</f>
        <v>1391.2226622222206</v>
      </c>
      <c r="BE29" s="50" t="s">
        <v>75</v>
      </c>
      <c r="BF29" s="55" t="s">
        <v>76</v>
      </c>
      <c r="BG29" s="49">
        <f ca="1">IF(WL_No="  ","  ",M_Disp*BML/100/BG8)</f>
        <v>275.83502946859755</v>
      </c>
    </row>
    <row r="30" spans="1:59" x14ac:dyDescent="0.25">
      <c r="A30" s="15"/>
      <c r="B30" s="4"/>
      <c r="C30" s="4"/>
      <c r="D30" s="42"/>
      <c r="E30" s="4"/>
      <c r="F30" s="4"/>
      <c r="G30" s="4"/>
      <c r="H30" s="4"/>
      <c r="I30" s="4"/>
      <c r="J30" s="4"/>
      <c r="K30" s="4"/>
      <c r="L30" s="4"/>
      <c r="M30" s="4"/>
      <c r="N30" s="4"/>
      <c r="O30" s="4"/>
      <c r="P30" s="4"/>
      <c r="Q30" s="50" t="s">
        <v>80</v>
      </c>
      <c r="R30" s="48" t="s">
        <v>81</v>
      </c>
      <c r="S30">
        <f>IF(Tools!$L$49="Use 141 rule only",I54,IF(Tools!$L$49="Use 141 and 1331 rules",BG31," "))</f>
        <v>0.86481310606060613</v>
      </c>
      <c r="AA30" s="60"/>
      <c r="AB30" s="60"/>
      <c r="BE30" s="50" t="s">
        <v>78</v>
      </c>
      <c r="BF30" s="48" t="s">
        <v>79</v>
      </c>
      <c r="BG30" s="49">
        <f>IF(WL_No="  ","  ",WLS*WL_No)</f>
        <v>9.6999999999999993</v>
      </c>
    </row>
    <row r="31" spans="1:59" x14ac:dyDescent="0.25">
      <c r="A31" s="15"/>
      <c r="B31" s="4"/>
      <c r="C31" s="4"/>
      <c r="D31" s="4"/>
      <c r="E31" s="4"/>
      <c r="F31" s="4"/>
      <c r="G31" s="4"/>
      <c r="H31" s="4"/>
      <c r="I31" s="4"/>
      <c r="J31" s="4"/>
      <c r="K31" s="4"/>
      <c r="L31" s="4"/>
      <c r="M31" s="4"/>
      <c r="N31" s="4"/>
      <c r="O31" s="4"/>
      <c r="P31" s="4"/>
      <c r="Q31" s="50" t="s">
        <v>82</v>
      </c>
      <c r="R31" s="48" t="s">
        <v>83</v>
      </c>
      <c r="S31">
        <f>IF(Tools!$L$49="Use 141 rule only",I55,IF(Tools!$L$49="Use 141 and 1331 rules",BG32," "))</f>
        <v>0.78030494363740499</v>
      </c>
      <c r="AF31" s="61" t="s">
        <v>84</v>
      </c>
      <c r="AG31" s="62">
        <f ca="1">COUNTIF(OFFSET(AQ4,,,ROUNDUP(Max_STN_count/2,0),1),"")</f>
        <v>0</v>
      </c>
      <c r="AH31" s="63">
        <f ca="1">HLOOKUP(Stn_WL,AREA_TABLE,AG31+2,FALSE)</f>
        <v>0</v>
      </c>
      <c r="AI31" s="63">
        <f ca="1">IF(AH31&gt;Long_Div/2,Long_Div/2,AH31)</f>
        <v>0</v>
      </c>
      <c r="AJ31" s="63">
        <f ca="1">AI31*STN_GAP</f>
        <v>0</v>
      </c>
      <c r="BE31" s="50" t="s">
        <v>80</v>
      </c>
      <c r="BF31" s="48" t="s">
        <v>81</v>
      </c>
      <c r="BG31" s="49">
        <f ca="1">IF(WL_No="  ","  ",AWP/(BG8*B_current))</f>
        <v>0.86481310606060613</v>
      </c>
    </row>
    <row r="32" spans="1:59" x14ac:dyDescent="0.25">
      <c r="A32" s="15"/>
      <c r="B32" s="4"/>
      <c r="C32" s="4"/>
      <c r="D32" s="4"/>
      <c r="E32" s="4"/>
      <c r="F32" s="4"/>
      <c r="G32" s="4"/>
      <c r="H32" s="4"/>
      <c r="I32" s="4"/>
      <c r="J32" s="64"/>
      <c r="K32" s="4"/>
      <c r="L32" s="4"/>
      <c r="M32" s="4"/>
      <c r="N32" s="4"/>
      <c r="O32" s="4"/>
      <c r="P32" s="4"/>
      <c r="Q32" s="50" t="s">
        <v>85</v>
      </c>
      <c r="R32" s="48" t="s">
        <v>86</v>
      </c>
      <c r="S32">
        <f>IF(Tools!$L$49="Use 141 rule only",I56,IF(Tools!$L$49="Use 141 and 1331 rules",BG33," "))</f>
        <v>0.99331458919087778</v>
      </c>
      <c r="AF32" s="61" t="s">
        <v>87</v>
      </c>
      <c r="AG32" s="62">
        <f ca="1">COUNTIF(OFFSET(AQ4,ROUNDUP(Max_STN_count/2,0),,ROUNDDOWN(Max_STN_count/2,0),1),"")</f>
        <v>0</v>
      </c>
      <c r="AH32" s="63">
        <f ca="1">HLOOKUP(Stn_WL,AREA_TABLE,AG32+2,FALSE)</f>
        <v>0</v>
      </c>
      <c r="AI32" s="63">
        <f ca="1">IF(AH32&gt;Long_Div/2,Long_Div/2,AH32)</f>
        <v>0</v>
      </c>
      <c r="AJ32" s="63">
        <f ca="1">AI32*STN_GAP</f>
        <v>0</v>
      </c>
      <c r="BE32" s="50" t="s">
        <v>82</v>
      </c>
      <c r="BF32" s="48" t="s">
        <v>83</v>
      </c>
      <c r="BG32" s="49">
        <f ca="1">IF(WL_No="  ","  ",V_Disp/(BG8*B_current*T))</f>
        <v>0.78030494363740499</v>
      </c>
    </row>
    <row r="33" spans="1:59" x14ac:dyDescent="0.25">
      <c r="A33" s="15"/>
      <c r="B33" s="4"/>
      <c r="C33" s="4"/>
      <c r="D33" s="4"/>
      <c r="E33" s="4"/>
      <c r="F33" s="4"/>
      <c r="G33" s="43" t="s">
        <v>31</v>
      </c>
      <c r="H33" s="44" t="s">
        <v>32</v>
      </c>
      <c r="I33" s="489" t="s">
        <v>33</v>
      </c>
      <c r="J33" s="4"/>
      <c r="K33" s="4"/>
      <c r="L33" s="4"/>
      <c r="M33" s="4"/>
      <c r="N33" s="4"/>
      <c r="O33" s="4"/>
      <c r="P33" s="4"/>
      <c r="Q33" s="50" t="s">
        <v>88</v>
      </c>
      <c r="R33" s="48" t="s">
        <v>89</v>
      </c>
      <c r="S33">
        <f>IF(Tools!$L$49="Use 141 rule only",I57,IF(Tools!$L$49="Use 141 and 1331 rules",BG34," "))</f>
        <v>0.7855567129775235</v>
      </c>
      <c r="AF33" s="63"/>
      <c r="AG33" s="63"/>
      <c r="AH33" s="63">
        <f ca="1">Long_Div-AH32</f>
        <v>20</v>
      </c>
      <c r="AI33" s="63"/>
      <c r="AJ33" s="63">
        <f ca="1">AJ32+AJ31</f>
        <v>0</v>
      </c>
      <c r="BE33" s="50" t="s">
        <v>85</v>
      </c>
      <c r="BF33" s="48" t="s">
        <v>86</v>
      </c>
      <c r="BG33" s="65">
        <f>IFERROR(IF(WL_No="  ","  ",(VLOOKUP(Long_Div/2,AREA_TABLE,Count_WL+1,FALSE))/(B_current*T)),"-")</f>
        <v>0.99331458919087778</v>
      </c>
    </row>
    <row r="34" spans="1:59" x14ac:dyDescent="0.25">
      <c r="G34" s="45"/>
      <c r="H34" s="46"/>
      <c r="I34" s="490"/>
      <c r="BE34" s="50" t="s">
        <v>88</v>
      </c>
      <c r="BF34" s="48" t="s">
        <v>89</v>
      </c>
      <c r="BG34" s="49">
        <f>IF(WL_No="  ","  ",CB/CM)</f>
        <v>0.7855567129775235</v>
      </c>
    </row>
    <row r="35" spans="1:59" x14ac:dyDescent="0.25">
      <c r="G35" s="47" t="s">
        <v>34</v>
      </c>
      <c r="H35" s="48" t="s">
        <v>35</v>
      </c>
      <c r="I35" s="49">
        <f>IF(WL_No="  ","  ",2/3*h*$D$29)</f>
        <v>2781.5848743333331</v>
      </c>
    </row>
    <row r="36" spans="1:59" x14ac:dyDescent="0.25">
      <c r="G36" s="47" t="s">
        <v>36</v>
      </c>
      <c r="H36" s="48" t="s">
        <v>37</v>
      </c>
      <c r="I36" s="49">
        <f>IF(WL_No="  ","  ",2/3*(h^2)*$F$29)</f>
        <v>-494.34804831999929</v>
      </c>
    </row>
    <row r="37" spans="1:59" x14ac:dyDescent="0.25">
      <c r="G37" s="50" t="s">
        <v>39</v>
      </c>
      <c r="H37" s="48" t="s">
        <v>40</v>
      </c>
      <c r="I37" s="49">
        <f>IF(WL_No="  ","  ",Mmid/AWP)</f>
        <v>-0.17772172004583556</v>
      </c>
    </row>
    <row r="38" spans="1:59" x14ac:dyDescent="0.25">
      <c r="G38" s="50" t="s">
        <v>42</v>
      </c>
      <c r="H38" s="48" t="s">
        <v>43</v>
      </c>
      <c r="I38" s="49">
        <f>IF(WL_No="  ","  ",2/3*(h^3)*$G$29)</f>
        <v>3910971.9477697243</v>
      </c>
    </row>
    <row r="39" spans="1:59" x14ac:dyDescent="0.25">
      <c r="G39" s="51" t="s">
        <v>44</v>
      </c>
      <c r="H39" s="48" t="s">
        <v>45</v>
      </c>
      <c r="I39" s="49">
        <f>IF(WL_No="  ","  ",2/9*h*$I$29)</f>
        <v>98620.437529870091</v>
      </c>
    </row>
    <row r="40" spans="1:59" x14ac:dyDescent="0.25">
      <c r="G40" s="50" t="s">
        <v>47</v>
      </c>
      <c r="H40" s="48" t="s">
        <v>48</v>
      </c>
      <c r="I40" s="49">
        <f>IF(WL_No="  ","  ",IL-AWP*(LCF^2))</f>
        <v>3910884.0913842754</v>
      </c>
    </row>
    <row r="41" spans="1:59" x14ac:dyDescent="0.25">
      <c r="G41" s="50" t="s">
        <v>50</v>
      </c>
      <c r="H41" s="48" t="s">
        <v>51</v>
      </c>
      <c r="I41" s="49">
        <f>IF(WL_No="  ","  ",h/3*$L$29)</f>
        <v>24344.796360938886</v>
      </c>
    </row>
    <row r="42" spans="1:59" x14ac:dyDescent="0.25">
      <c r="G42" s="50" t="s">
        <v>52</v>
      </c>
      <c r="H42" s="48" t="s">
        <v>53</v>
      </c>
      <c r="I42" s="49">
        <f>IF(WL_No="  ","  ",V_Disp*1.025*1.006)</f>
        <v>25103.136767582131</v>
      </c>
    </row>
    <row r="43" spans="1:59" x14ac:dyDescent="0.25">
      <c r="G43" s="50" t="s">
        <v>55</v>
      </c>
      <c r="H43" s="48" t="s">
        <v>56</v>
      </c>
      <c r="I43" s="49">
        <f>IF(WL_No="  ","  ",h/3*$N$29)</f>
        <v>123195.07073705437</v>
      </c>
    </row>
    <row r="44" spans="1:59" x14ac:dyDescent="0.25">
      <c r="G44" s="50" t="s">
        <v>57</v>
      </c>
      <c r="H44" s="48" t="s">
        <v>58</v>
      </c>
      <c r="I44" s="49">
        <f>IF(WL_No="  ","  ",(h^2)/3*$O$29)</f>
        <v>74341.513300772858</v>
      </c>
    </row>
    <row r="45" spans="1:59" x14ac:dyDescent="0.25">
      <c r="G45" s="50" t="s">
        <v>60</v>
      </c>
      <c r="H45" s="48" t="s">
        <v>61</v>
      </c>
      <c r="I45" s="49">
        <f>IF(WL_No="  ","  ",IF/V_Disp)</f>
        <v>160.64558657222005</v>
      </c>
    </row>
    <row r="46" spans="1:59" x14ac:dyDescent="0.25">
      <c r="G46" s="50" t="s">
        <v>63</v>
      </c>
      <c r="H46" s="48" t="s">
        <v>64</v>
      </c>
      <c r="I46" s="49">
        <f>IF(WL_No="  ","  ",IT/V_Disp)</f>
        <v>4.0509863408882785</v>
      </c>
    </row>
    <row r="47" spans="1:59" x14ac:dyDescent="0.25">
      <c r="G47" s="50" t="s">
        <v>65</v>
      </c>
      <c r="H47" s="48" t="s">
        <v>66</v>
      </c>
      <c r="I47" s="49">
        <f>IF(WL_No="  ","  ",MT/V_Disp)</f>
        <v>5.0604272432822768</v>
      </c>
    </row>
    <row r="48" spans="1:59" x14ac:dyDescent="0.25">
      <c r="G48" s="50" t="s">
        <v>67</v>
      </c>
      <c r="H48" s="48" t="s">
        <v>68</v>
      </c>
      <c r="I48" s="49">
        <f>IF(WL_No="  ","  ",KB+BMT)</f>
        <v>9.1114135841705561</v>
      </c>
    </row>
    <row r="49" spans="7:9" x14ac:dyDescent="0.25">
      <c r="G49" s="50" t="s">
        <v>69</v>
      </c>
      <c r="H49" s="48" t="s">
        <v>70</v>
      </c>
      <c r="I49" s="49">
        <f>IF(WL_No="  ","  ",KB+BML)</f>
        <v>165.70601381550233</v>
      </c>
    </row>
    <row r="50" spans="7:9" x14ac:dyDescent="0.25">
      <c r="G50" s="50" t="s">
        <v>71</v>
      </c>
      <c r="H50" s="48" t="s">
        <v>72</v>
      </c>
      <c r="I50" s="49">
        <f>IF(WL_No="  ","  ",AWP*1.025/100)</f>
        <v>28.511244961916663</v>
      </c>
    </row>
    <row r="51" spans="7:9" x14ac:dyDescent="0.25">
      <c r="G51" s="50" t="s">
        <v>73</v>
      </c>
      <c r="H51" s="48" t="s">
        <v>74</v>
      </c>
      <c r="I51" s="49">
        <f>IF(WL_No="  ","  ",ML/V_Disp)</f>
        <v>3.0536921401426662</v>
      </c>
    </row>
    <row r="52" spans="7:9" x14ac:dyDescent="0.25">
      <c r="G52" s="50" t="s">
        <v>75</v>
      </c>
      <c r="H52" s="55" t="s">
        <v>76</v>
      </c>
      <c r="I52" s="49">
        <f>IF(WL_No="  ","  ",M_Disp*BML/100/LBP)</f>
        <v>275.83502946859755</v>
      </c>
    </row>
    <row r="53" spans="7:9" x14ac:dyDescent="0.25">
      <c r="G53" s="50" t="s">
        <v>78</v>
      </c>
      <c r="H53" s="48" t="s">
        <v>79</v>
      </c>
      <c r="I53" s="49">
        <f>IF(WL_No="  ","  ",WLS*WL_No)</f>
        <v>9.6999999999999993</v>
      </c>
    </row>
    <row r="54" spans="7:9" x14ac:dyDescent="0.25">
      <c r="G54" s="50" t="s">
        <v>80</v>
      </c>
      <c r="H54" s="48" t="s">
        <v>81</v>
      </c>
      <c r="I54" s="49">
        <f>IF(WL_No="  ","  ",AWP/(LBP*B_current))</f>
        <v>0.86481310606060613</v>
      </c>
    </row>
    <row r="55" spans="7:9" x14ac:dyDescent="0.25">
      <c r="G55" s="50" t="s">
        <v>82</v>
      </c>
      <c r="H55" s="48" t="s">
        <v>83</v>
      </c>
      <c r="I55" s="49">
        <f>IF(WL_No="  ","  ",V_Disp/(LBP*B_current*T))</f>
        <v>0.78030494363740499</v>
      </c>
    </row>
    <row r="56" spans="7:9" x14ac:dyDescent="0.25">
      <c r="G56" s="50" t="s">
        <v>85</v>
      </c>
      <c r="H56" s="48" t="s">
        <v>86</v>
      </c>
      <c r="I56" s="65">
        <f>IF(WL_No="  ","  ",(VLOOKUP(Long_Div/2,AREA_TABLE,Count_WL+1,FALSE))/(B_current*T))</f>
        <v>0.99331458919087778</v>
      </c>
    </row>
    <row r="57" spans="7:9" x14ac:dyDescent="0.25">
      <c r="G57" s="50" t="s">
        <v>88</v>
      </c>
      <c r="H57" s="48" t="s">
        <v>89</v>
      </c>
      <c r="I57" s="49">
        <f>IF(WL_No="  ","  ",CB/CM)</f>
        <v>0.7855567129775235</v>
      </c>
    </row>
  </sheetData>
  <mergeCells count="7">
    <mergeCell ref="BG10:BG11"/>
    <mergeCell ref="I33:I34"/>
    <mergeCell ref="A2:I2"/>
    <mergeCell ref="K2:O2"/>
    <mergeCell ref="AO2:AW2"/>
    <mergeCell ref="AY2:BC2"/>
    <mergeCell ref="S9:S10"/>
  </mergeCells>
  <conditionalFormatting sqref="CB4:XFD30 BW4:BW28 BS4:BT28 W29:AX29 A33:F57 J33:R33 A11:R32 A2:T10 V2:AO2 AX2 BP29:BW29 A63:XFD1048576 T12:T37 U35:XFD37 BD2:BD29 BM31:XFD33 BM30:BW30 BH29:BI33 BH2:XFD3 U30:BD30 AR31:BD31 W3:AM28 A58:BD62 BH38:XFD62 J34:S37 BH34:XFD34 A1:AN1 AV1:XFD1 AO31:AP31 U33:BD34 AM31 U31:AG32 AK32:BD32 AO3:AX26 J43:BD57 J42:M42 O42:BD42 J38:BD41 AO27:AO28 AQ27:AX28">
    <cfRule type="containsErrors" dxfId="241" priority="14">
      <formula>ISERROR(A1)</formula>
    </cfRule>
  </conditionalFormatting>
  <conditionalFormatting sqref="G33:I34 G35:H57">
    <cfRule type="containsErrors" dxfId="240" priority="13">
      <formula>ISERROR(G33)</formula>
    </cfRule>
  </conditionalFormatting>
  <conditionalFormatting sqref="T12:T33">
    <cfRule type="containsErrors" dxfId="239" priority="12">
      <formula>ISERROR(T12)</formula>
    </cfRule>
  </conditionalFormatting>
  <conditionalFormatting sqref="I35:I57">
    <cfRule type="containsErrors" dxfId="238" priority="11">
      <formula>ISERROR(I35)</formula>
    </cfRule>
  </conditionalFormatting>
  <conditionalFormatting sqref="AY2:BC29">
    <cfRule type="containsErrors" dxfId="237" priority="8">
      <formula>ISERROR(AY2)</formula>
    </cfRule>
  </conditionalFormatting>
  <conditionalFormatting sqref="BE10:BG11 BE12:BF34">
    <cfRule type="containsErrors" dxfId="236" priority="10">
      <formula>ISERROR(BE10)</formula>
    </cfRule>
  </conditionalFormatting>
  <conditionalFormatting sqref="BG12:BG28 BG34">
    <cfRule type="containsErrors" dxfId="235" priority="9">
      <formula>ISERROR(BG12)</formula>
    </cfRule>
  </conditionalFormatting>
  <conditionalFormatting sqref="BE2:BG6">
    <cfRule type="containsErrors" dxfId="234" priority="7">
      <formula>ISERROR(BE2)</formula>
    </cfRule>
  </conditionalFormatting>
  <conditionalFormatting sqref="BF7:BG8">
    <cfRule type="containsErrors" dxfId="233" priority="5">
      <formula>ISERROR(BF7)</formula>
    </cfRule>
  </conditionalFormatting>
  <conditionalFormatting sqref="BE7:BE8">
    <cfRule type="containsErrors" dxfId="232" priority="6">
      <formula>ISERROR(BE7)</formula>
    </cfRule>
  </conditionalFormatting>
  <conditionalFormatting sqref="S30:S33">
    <cfRule type="containsErrors" dxfId="231" priority="4">
      <formula>ISERROR(S30)</formula>
    </cfRule>
  </conditionalFormatting>
  <conditionalFormatting sqref="AP27:AP28">
    <cfRule type="containsErrors" dxfId="230" priority="3">
      <formula>ISERROR(AP27)</formula>
    </cfRule>
  </conditionalFormatting>
  <conditionalFormatting sqref="BG29:BG32">
    <cfRule type="containsErrors" dxfId="229" priority="2">
      <formula>ISERROR(BG29)</formula>
    </cfRule>
  </conditionalFormatting>
  <conditionalFormatting sqref="BG33">
    <cfRule type="containsErrors" dxfId="228" priority="1">
      <formula>ISERROR(BG33)</formula>
    </cfRule>
  </conditionalFormatting>
  <pageMargins left="0.7" right="0.7" top="0.75" bottom="0.75" header="0.3" footer="0.3"/>
  <pageSetup paperSize="9"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theme="4" tint="0.79998168889431442"/>
  </sheetPr>
  <dimension ref="A1:BH57"/>
  <sheetViews>
    <sheetView topLeftCell="AG1" zoomScale="55" zoomScaleNormal="55" workbookViewId="0">
      <pane ySplit="1" topLeftCell="A29" activePane="bottomLeft" state="frozen"/>
      <selection activeCell="AG8" sqref="AG8:AG10"/>
      <selection pane="bottomLeft" activeCell="AG8" sqref="AG8:AG10"/>
    </sheetView>
  </sheetViews>
  <sheetFormatPr defaultRowHeight="15" x14ac:dyDescent="0.25"/>
  <cols>
    <col min="1" max="1" width="8.28515625" customWidth="1"/>
    <col min="2" max="2" width="7.28515625" customWidth="1"/>
    <col min="4" max="4" width="6.5703125" customWidth="1"/>
    <col min="7" max="7" width="24" customWidth="1"/>
    <col min="8" max="8" width="30.5703125" customWidth="1"/>
    <col min="9" max="9" width="26.5703125" customWidth="1"/>
    <col min="10" max="10" width="10.5703125" bestFit="1" customWidth="1"/>
    <col min="11" max="11" width="9.140625" customWidth="1"/>
    <col min="13" max="13" width="7.85546875" customWidth="1"/>
    <col min="17" max="17" width="19.5703125" customWidth="1"/>
    <col min="18" max="18" width="11.85546875" customWidth="1"/>
    <col min="19" max="19" width="16.5703125" customWidth="1"/>
    <col min="20" max="20" width="14.140625" customWidth="1"/>
    <col min="35" max="35" width="14" customWidth="1"/>
    <col min="36" max="37" width="12" customWidth="1"/>
    <col min="39" max="39" width="19" customWidth="1"/>
    <col min="43" max="43" width="18" style="7" customWidth="1"/>
    <col min="49" max="49" width="11.28515625" customWidth="1"/>
    <col min="52" max="52" width="12" customWidth="1"/>
    <col min="54" max="54" width="10.7109375" bestFit="1" customWidth="1"/>
    <col min="56" max="56" width="4.5703125" customWidth="1"/>
    <col min="57" max="57" width="21.28515625" customWidth="1"/>
    <col min="58" max="58" width="15.42578125" customWidth="1"/>
    <col min="59" max="59" width="19.28515625" customWidth="1"/>
    <col min="61" max="61" width="5.7109375" customWidth="1"/>
    <col min="62" max="62" width="13" customWidth="1"/>
    <col min="63" max="63" width="17.42578125" customWidth="1"/>
  </cols>
  <sheetData>
    <row r="1" spans="1:60" x14ac:dyDescent="0.25">
      <c r="A1" s="1" t="s">
        <v>0</v>
      </c>
      <c r="B1" s="2">
        <f>VLOOKUP(Stn_WL,OFFSET_A,Count_WL+1,FALSE)</f>
        <v>4</v>
      </c>
      <c r="C1" s="3"/>
      <c r="D1" s="4"/>
      <c r="E1" s="4" t="s">
        <v>1</v>
      </c>
      <c r="F1" s="5">
        <v>8</v>
      </c>
      <c r="G1" s="4"/>
      <c r="H1" s="4"/>
      <c r="I1" s="4"/>
      <c r="J1" s="4"/>
      <c r="K1" s="4"/>
      <c r="L1" s="4"/>
      <c r="M1" s="4"/>
      <c r="N1" s="4"/>
      <c r="O1" s="4"/>
      <c r="P1" s="4"/>
      <c r="Q1" s="4"/>
      <c r="R1" s="4"/>
      <c r="S1" s="4"/>
      <c r="V1" t="s">
        <v>2</v>
      </c>
      <c r="W1">
        <f ca="1">COUNTIF(OFFSET(Z4,,,ROUNDDOWN(Max_STN_count/2+1,0),1),TRUE)</f>
        <v>5</v>
      </c>
      <c r="X1">
        <f ca="1">COUNTIF(OFFSET(AA4,,,ROUNDDOWN(Max_STN_count/2+1,0),1),TRUE)</f>
        <v>5</v>
      </c>
      <c r="Y1">
        <f ca="1">W1-X1</f>
        <v>0</v>
      </c>
      <c r="AB1" s="6" t="s">
        <v>3</v>
      </c>
      <c r="AC1">
        <f ca="1">COUNTIF(OFFSET(Z4,ROUNDUP(Max_STN_count/2,0),,ROUNDDOWN(Max_STN_count/2,0),1),TRUE)</f>
        <v>5</v>
      </c>
      <c r="AD1">
        <f ca="1">COUNTIF(OFFSET(AA4,ROUNDUP(Max_STN_count/2,0),,ROUNDDOWN(Max_STN_count/2,0),1),TRUE)</f>
        <v>5</v>
      </c>
      <c r="AE1">
        <f ca="1">AC1-AD1</f>
        <v>0</v>
      </c>
      <c r="AG1" t="s">
        <v>4</v>
      </c>
      <c r="AH1">
        <f>COUNTIF(AG4:AG28,TRUE)</f>
        <v>17</v>
      </c>
      <c r="AI1">
        <f ca="1">COUNTIF(OFFSET(AG4,,,ROUNDUP(Max_STN_count/2,0),1),FALSE)</f>
        <v>4</v>
      </c>
      <c r="AW1">
        <f ca="1">COUNTIF(OFFSET(AG4,,,Max_STN_count,1),TRUE)</f>
        <v>17</v>
      </c>
    </row>
    <row r="2" spans="1:60" x14ac:dyDescent="0.25">
      <c r="A2" s="491" t="s">
        <v>5</v>
      </c>
      <c r="B2" s="492"/>
      <c r="C2" s="492"/>
      <c r="D2" s="492"/>
      <c r="E2" s="492"/>
      <c r="F2" s="492"/>
      <c r="G2" s="492"/>
      <c r="H2" s="492"/>
      <c r="I2" s="493"/>
      <c r="J2" s="4"/>
      <c r="K2" s="491" t="s">
        <v>6</v>
      </c>
      <c r="L2" s="492"/>
      <c r="M2" s="492"/>
      <c r="N2" s="492"/>
      <c r="O2" s="493"/>
      <c r="P2" s="4"/>
      <c r="Q2" s="8" t="s">
        <v>7</v>
      </c>
      <c r="R2" s="9" t="s">
        <v>8</v>
      </c>
      <c r="S2" s="10">
        <f>WLS</f>
        <v>2</v>
      </c>
      <c r="V2" s="11"/>
      <c r="W2" s="11"/>
      <c r="X2" s="11"/>
      <c r="Y2" s="11"/>
      <c r="Z2" s="11"/>
      <c r="AA2" s="11"/>
      <c r="AB2" s="11"/>
      <c r="AC2" s="11"/>
      <c r="AD2" s="11"/>
      <c r="AE2" s="11"/>
      <c r="AF2" s="11"/>
      <c r="AG2" s="11"/>
      <c r="AH2" s="11"/>
      <c r="AI2" s="11"/>
      <c r="AJ2" s="11"/>
      <c r="AK2" s="11"/>
      <c r="AL2" s="11"/>
      <c r="AM2" s="11"/>
      <c r="AN2" s="11"/>
      <c r="AO2" s="491" t="s">
        <v>5</v>
      </c>
      <c r="AP2" s="492"/>
      <c r="AQ2" s="492"/>
      <c r="AR2" s="492"/>
      <c r="AS2" s="492"/>
      <c r="AT2" s="492"/>
      <c r="AU2" s="492"/>
      <c r="AV2" s="492"/>
      <c r="AW2" s="493"/>
      <c r="AY2" s="491" t="s">
        <v>6</v>
      </c>
      <c r="AZ2" s="492"/>
      <c r="BA2" s="492"/>
      <c r="BB2" s="492"/>
      <c r="BC2" s="493"/>
      <c r="BE2" s="8" t="s">
        <v>7</v>
      </c>
      <c r="BF2" s="9" t="s">
        <v>8</v>
      </c>
      <c r="BG2" s="10">
        <f>WLS</f>
        <v>2</v>
      </c>
    </row>
    <row r="3" spans="1:60" x14ac:dyDescent="0.25">
      <c r="A3" s="12" t="s">
        <v>9</v>
      </c>
      <c r="B3" s="13" t="s">
        <v>10</v>
      </c>
      <c r="C3" s="14" t="s">
        <v>11</v>
      </c>
      <c r="D3" s="14" t="s">
        <v>12</v>
      </c>
      <c r="E3" s="14" t="s">
        <v>13</v>
      </c>
      <c r="F3" s="14" t="s">
        <v>14</v>
      </c>
      <c r="G3" s="14" t="s">
        <v>15</v>
      </c>
      <c r="H3" s="14" t="s">
        <v>16</v>
      </c>
      <c r="I3" s="14" t="s">
        <v>17</v>
      </c>
      <c r="J3" s="15"/>
      <c r="K3" s="14" t="s">
        <v>18</v>
      </c>
      <c r="L3" s="14" t="s">
        <v>19</v>
      </c>
      <c r="M3" s="14" t="s">
        <v>20</v>
      </c>
      <c r="N3" s="14" t="s">
        <v>21</v>
      </c>
      <c r="O3" s="14" t="s">
        <v>22</v>
      </c>
      <c r="P3" s="15"/>
      <c r="Q3" s="16" t="s">
        <v>23</v>
      </c>
      <c r="R3" s="9" t="s">
        <v>8</v>
      </c>
      <c r="S3" s="10">
        <f>STN_GAP</f>
        <v>7.31</v>
      </c>
      <c r="W3" s="17" t="s">
        <v>11</v>
      </c>
      <c r="X3" s="17"/>
      <c r="Y3" s="17"/>
      <c r="Z3" s="17" t="s">
        <v>24</v>
      </c>
      <c r="AA3" s="17"/>
      <c r="AB3" s="17"/>
      <c r="AC3" s="17"/>
      <c r="AD3" s="17"/>
      <c r="AE3" s="17"/>
      <c r="AF3" s="17"/>
      <c r="AG3" s="17" t="s">
        <v>4</v>
      </c>
      <c r="AH3" s="17"/>
      <c r="AI3" s="17" t="s">
        <v>25</v>
      </c>
      <c r="AJ3" s="17"/>
      <c r="AK3" s="17"/>
      <c r="AL3" s="17"/>
      <c r="AM3" s="18" t="s">
        <v>11</v>
      </c>
      <c r="AO3" s="12" t="s">
        <v>9</v>
      </c>
      <c r="AP3" s="13" t="s">
        <v>10</v>
      </c>
      <c r="AQ3" s="19"/>
      <c r="AR3" s="14" t="s">
        <v>12</v>
      </c>
      <c r="AS3" s="14" t="s">
        <v>13</v>
      </c>
      <c r="AT3" s="14" t="s">
        <v>14</v>
      </c>
      <c r="AU3" s="14" t="s">
        <v>15</v>
      </c>
      <c r="AV3" s="14" t="s">
        <v>16</v>
      </c>
      <c r="AW3" s="14" t="s">
        <v>17</v>
      </c>
      <c r="AY3" s="14" t="s">
        <v>18</v>
      </c>
      <c r="AZ3" s="14" t="s">
        <v>19</v>
      </c>
      <c r="BA3" s="14" t="s">
        <v>20</v>
      </c>
      <c r="BB3" s="14" t="s">
        <v>21</v>
      </c>
      <c r="BC3" s="14" t="s">
        <v>22</v>
      </c>
      <c r="BE3" s="16" t="s">
        <v>23</v>
      </c>
      <c r="BF3" s="9" t="s">
        <v>8</v>
      </c>
      <c r="BG3" s="10">
        <f>STN_GAP</f>
        <v>7.31</v>
      </c>
    </row>
    <row r="4" spans="1:60" x14ac:dyDescent="0.25">
      <c r="A4" s="20">
        <f>Tools!$AD3</f>
        <v>0</v>
      </c>
      <c r="B4" s="21">
        <f t="shared" ref="B4:B28" si="0">VLOOKUP(A4,OFFSET_A,Count_WL+1,FALSE)</f>
        <v>0.9</v>
      </c>
      <c r="C4" s="22">
        <f>IF(A4="  ","  ",IF(A5="  ","?",1*(A5-A4)))</f>
        <v>0.5</v>
      </c>
      <c r="D4" s="23">
        <f>IFERROR(B4*C4,"  ")</f>
        <v>0.45</v>
      </c>
      <c r="E4" s="24">
        <f t="shared" ref="E4:E28" si="1">IFERROR(A4-(Long_Div/2),"  ")</f>
        <v>-10</v>
      </c>
      <c r="F4" s="23">
        <f>IFERROR(D4*E4,"  ")</f>
        <v>-4.5</v>
      </c>
      <c r="G4" s="23">
        <f>IFERROR(F4*E4,"  ")</f>
        <v>45</v>
      </c>
      <c r="H4" s="23">
        <f>IFERROR(B4^3,"  ")</f>
        <v>0.72900000000000009</v>
      </c>
      <c r="I4" s="23">
        <f>IFERROR(H4*C4,"  ")</f>
        <v>0.36450000000000005</v>
      </c>
      <c r="J4" s="4"/>
      <c r="K4" s="25">
        <f t="shared" ref="K4:K28" si="2">VLOOKUP(A4,AREA_TABLE,Count_WL+1,FALSE)</f>
        <v>0.9</v>
      </c>
      <c r="L4" s="23">
        <f>IFERROR(K4*C4,"  ")</f>
        <v>0.45</v>
      </c>
      <c r="M4" s="26">
        <f t="shared" ref="M4:M28" si="3">VLOOKUP(A4,MOMENT_TABLE,Count_WL+1,FALSE)</f>
        <v>6.8999999999999995</v>
      </c>
      <c r="N4" s="27">
        <f>IFERROR(M4*C4,"  ")</f>
        <v>3.4499999999999997</v>
      </c>
      <c r="O4" s="23">
        <f>IFERROR(L4*E4,"  ")</f>
        <v>-4.5</v>
      </c>
      <c r="P4" s="4"/>
      <c r="Q4" s="16" t="s">
        <v>26</v>
      </c>
      <c r="R4" s="9" t="s">
        <v>8</v>
      </c>
      <c r="S4" s="28">
        <f>LBP</f>
        <v>146.19999999999999</v>
      </c>
      <c r="W4" s="29">
        <f>IF(AO4="  ","  ",IF(AO5="  ","?",1*(AO5-AO4)))</f>
        <v>0.5</v>
      </c>
      <c r="X4" s="30" t="str">
        <f t="shared" ref="X4:X28" si="4">IF(Y4=0,"--",CONCATENATE(IF(AO4=0,"-",IF(Y3=0,"-",IF(AO4-AO3=0.5,"D",IF(AO4-AO3=1,"W","-")))),IF(AO4=Long_Div,"-",IF(Y5=0,"-",IF(AO5-AO4=0.5,"D",IF(AO5-AO4=1,"W","-"))))))</f>
        <v>-D</v>
      </c>
      <c r="Y4" s="30" t="str">
        <f t="shared" ref="Y4:Y28" si="5">IF(ISNUMBER(AO4),IF(AO4=Long_Div/2,"-",IF(AND(AO4=Long_Div,$AP4=0,$AP3=0),0,IF(AND(AO4=0,$AP4=0,$AP5=0),0,IF($AO4&lt;Long_Div/2,IF(AND(Y3=0,$AP4=0,$AP5=0),0,"-"),IF(AND(Y5=0,$AP4=0,$AP3=0),0,"-")))))," ")</f>
        <v>-</v>
      </c>
      <c r="Z4" s="29" t="b">
        <f t="shared" ref="Z4:Z28" si="6">IF(ISNUMBER(AO4),IF(AO4=0,IF(AO5=0.5,TRUE,FALSE),IF(AO4=Long_Div,IF(AO3=Long_Div-0.5,TRUE,FALSE),IF(OR(AO5-AO4=0.5,AO4-AO3=0.5),TRUE,FALSE)))," ")</f>
        <v>1</v>
      </c>
      <c r="AA4" s="29" t="b">
        <f t="shared" ref="AA4:AA28" si="7">IF(ISNUMBER(AO4),IF(Y4=0," ",IF(AO4=0,IF(AO5=0.5,TRUE,"-"),IF(AO4=Long_Div,IF(AO3=Long_Div-0.5,TRUE,"-"),IF(OR(AO5-AO4=0.5,AO4-AO3=0.5),TRUE,FALSE))))," ")</f>
        <v>1</v>
      </c>
      <c r="AB4" s="29" t="str">
        <f t="shared" ref="AB4:AB28" ca="1" si="8">IF(AO4&lt;=Long_Div/2,IF(ISNUMBER(AO4),IF($X$1=0,"---",IF($X$1=1,"##",IF($X$1=2,IF(AD4=1,"141-4",IF(OR(AD4=0,AD4=2),"141-1","**")),IF(AC4&lt;=($Y$1),"--",IF(AC4&gt;$W$1,"++",IF(ISODD($X$1),IF(OR(AD4=1,AD4=$X$1),"141-1",IF(ISODD(AD4),"141-2",IF(ISEVEN(AD4),"141-4","+"))),IF(ISEVEN($X$1),IF(AD4=1,"1331-1",IF(OR(AD4=2,AD4=3),"1331-3",IF(AD4=4,IF($X$1=4,"1331-1","1331-1,141-1"),IF(AD4=$X$1,"141-1",IF(AD4&lt;=4,"??",IF(ISODD(AD4),"141-4",IF(ISEVEN(AD4),"141-2","SS"))))))))))))))," "),IF(AO4&gt;Long_Div/2,IF(ISNUMBER(AO4),IF($AD$1=0,"---",IF($AD$1=1,"##",IF($AD$1=2,IF(AD4=1,"141-4",IF(OR(AD4=0,AD4=2),"141-1","**")),IF(AC4&lt;=($AE$1),"--",IF(AC4&gt;$AC$1,"++",IF(ISODD($AD$1),IF(OR(AD4=1,AD4=$AD$1),"141-1",IF(ISODD(AD4),"141-2",IF(ISEVEN(AD4),"141-4","+"))),IF(ISEVEN($AD$1),IF(AD4=1,"1331-1",IF(OR(AD4=2,AD4=3),"1331-3",IF(AD4=4,IF($AD$1=4,"1331-1","1331-1,141-1"),IF(AD4=$AD$1,"141-1",IF(AD4&lt;=4,"??",IF(ISODD(AD4),"141-4",IF(ISEVEN(AD4),"141-2","SS"))))))))))))))," "),"@"))</f>
        <v>141-1</v>
      </c>
      <c r="AC4" s="29">
        <f>IF(ISNUMBER(AO4),IF(ISNUMBER(AO4),IF(OR(AO4=0,AO4=Long_Div),1,IF(AO4&gt;Long_Div/2,AC5+1,IF(AO4&lt;=Long_Div/2,AE3+1,"?")))," --")," ")</f>
        <v>1</v>
      </c>
      <c r="AD4" s="29">
        <f t="shared" ref="AD4:AD28" ca="1" si="9">IF(ISNUMBER(AO4),IF(AO4&gt;Long_Div/2,4-ROW(AD4)+Max_STN_count-$AE$1,ROW(AD4)-3-$Y$1)," ")</f>
        <v>1</v>
      </c>
      <c r="AE4" s="29">
        <v>1</v>
      </c>
      <c r="AF4" s="31" t="str">
        <f t="shared" ref="AF4:AF8" si="10">IF(AND(AG4=TRUE,OR(NOT(AG3=TRUE),AG3="Full")),1,IF(ISNUMBER(AF3),AF3+1," "))</f>
        <v xml:space="preserve"> </v>
      </c>
      <c r="AG4" s="29" t="b">
        <f t="shared" ref="AG4:AG28" si="11">IF(ISNUMBER(AO4),IF(AA4=" "," ",IF(AO4=0,IF(AO5-AO4=1,TRUE,FALSE),IF(AO4=Long_Div,IF(AO4-AO3=1,TRUE,FALSE),IF(OR(AO5-AO4=1,AO4-AO3=1),TRUE,FALSE))))," ")</f>
        <v>0</v>
      </c>
      <c r="AH4" s="30" t="str">
        <f t="shared" ref="AH4:AH13" si="12">IF(AND(AG4=TRUE,$AH$1=1),"141-4",IF(AG4=" ",IF(AND($AH$1=2,AF4=3),"141-1","-"),IF(OR(AG4=FALSE,AG4=" "),"-",IF(AG4=TRUE,IF(AND($AH$1=2,AF4=1),"141-1",IF(AND($AH$1=2,AF4=2),"141-4",IF(OR(ISODD($AH$1),AF4&gt;4),IF(AF4=1,"141-1",IF(OR(AB4="141-1",AB4="1331-1",AB4="1331-1,141-1"),"141-1",IF(AG5=" ","141-1",IF(OR(AH3="141-1",AH3="141-2",AH3="1331-1,141-1"),"141-4",IF(AH3="141-4","141-2","$$"))))),IF(ISEVEN($AH$1),IF(AF4=1,"1331-1",IF(OR(AF4=2,AF4=3),"1331-3",IF(AF4=4,IF($AH$1=4,"1331-1","1331-1,141-1"),"")))))))))))</f>
        <v>-</v>
      </c>
      <c r="AI4" s="30" t="str">
        <f t="shared" ref="AI4:AI28" ca="1" si="13">IF(OR(AB4="1331-1",AB4="1331-1,141-1"),"(1/2)*(3/8)",IF(AB4="1331-3","(1/2)*(9/8)",IF(AB4="141-1","(1/2)*(1/3)",IF(AB4="141-2","(1/2)*(2/3)",IF(AB4="141-4","(1/2)*(4/3)","")))))</f>
        <v>(1/2)*(1/3)</v>
      </c>
      <c r="AJ4" s="29">
        <f t="shared" ref="AJ4:AJ28" ca="1" si="14">IF(OR(AB4="1331-1",AB4="1331-1,141-1"),(1/2)*(3/8),IF(AB4="1331-3",(1/2)*(9/8),IF(AB4="141-1",(1/2)*(1/3),IF(AB4="141-2",(1/2)*(2/3),IF(AB4="141-4",(1/2)*(4/3),0)))))</f>
        <v>0.16666666666666666</v>
      </c>
      <c r="AK4" s="29" t="str">
        <f t="shared" ref="AK4:AK28" si="15">IF(AH4="1331-1,141-1","(1*3/8)+(1/3)",IF(LEFT(AH4,4)="141-",CONCATENATE(RIGHT(AH4,1),"/3"),IF(LEFT(AH4,4)="1331",CONCATENATE(RIGHT(AH4,1),"*3/8"),"")))</f>
        <v/>
      </c>
      <c r="AL4" s="29">
        <f t="shared" ref="AL4:AL28" si="16">IF(AH4="1331-1,141-1",(1*3/8)+(1/3),IF(LEFT(AH4,4)="141-",(RIGHT(AH4,1)/3),IF(LEFT(AH4,4)="1331",RIGHT(AH4,1)*3/8,0)))</f>
        <v>0</v>
      </c>
      <c r="AM4" s="32">
        <f ca="1">IF(AQ4=""," ",AJ4+AL4)</f>
        <v>0.16666666666666666</v>
      </c>
      <c r="AO4" s="20">
        <f>Tools!$AD3</f>
        <v>0</v>
      </c>
      <c r="AP4" s="33">
        <f t="shared" ref="AP4" si="17">VLOOKUP(AO4,OFFSET_A,Count_WL+1,FALSE)</f>
        <v>0.9</v>
      </c>
      <c r="AQ4" s="34" t="str">
        <f t="shared" ref="AQ4:AQ28" ca="1" si="18">CONCATENATE(AI4,IF(NOT(OR(AI4="",AK4="")),"+",""),AK4)</f>
        <v>(1/2)*(1/3)</v>
      </c>
      <c r="AR4" s="23">
        <f t="shared" ref="AR4:AR28" ca="1" si="19">IFERROR(AP4*AM4,"  ")</f>
        <v>0.15</v>
      </c>
      <c r="AS4" s="24">
        <f t="shared" ref="AS4:AS28" si="20">IFERROR(AO4-(Long_Div/2),"  ")</f>
        <v>-10</v>
      </c>
      <c r="AT4" s="23">
        <f ca="1">IFERROR(AR4*AS4,"  ")</f>
        <v>-1.5</v>
      </c>
      <c r="AU4" s="23">
        <f ca="1">IFERROR(AT4*AS4,"  ")</f>
        <v>15</v>
      </c>
      <c r="AV4" s="23">
        <f t="shared" ref="AV4:AV28" si="21">IFERROR(AP4^3,"  ")</f>
        <v>0.72900000000000009</v>
      </c>
      <c r="AW4" s="23">
        <f t="shared" ref="AW4:AW28" ca="1" si="22">IFERROR(AV4*AM4,"  ")</f>
        <v>0.12150000000000001</v>
      </c>
      <c r="AY4" s="35">
        <f t="shared" ref="AY4:AY28" si="23">IF(ROW(AY4)-3&gt;Max_STN_count," ",VLOOKUP(AO4,AREA_TABLE,Count_WL+1,FALSE))</f>
        <v>0.9</v>
      </c>
      <c r="AZ4" s="23">
        <f t="shared" ref="AZ4:AZ7" ca="1" si="24">IFERROR(AY4*AM4,"  ")</f>
        <v>0.15</v>
      </c>
      <c r="BA4" s="36">
        <f t="shared" ref="BA4:BA28" si="25">IF(ROW(AY4)-3&gt;Max_STN_count," ",VLOOKUP(AO4,MOMENT_TABLE,Count_WL+1,FALSE))</f>
        <v>6.8999999999999995</v>
      </c>
      <c r="BB4" s="27">
        <f ca="1">IFERROR(BA4*AM4,"  ")</f>
        <v>1.1499999999999999</v>
      </c>
      <c r="BC4" s="23">
        <f ca="1">IFERROR(AZ4*AS4,"  ")</f>
        <v>-1.5</v>
      </c>
      <c r="BE4" s="16" t="s">
        <v>26</v>
      </c>
      <c r="BF4" s="9" t="s">
        <v>8</v>
      </c>
      <c r="BG4" s="28">
        <f>LBP</f>
        <v>146.19999999999999</v>
      </c>
    </row>
    <row r="5" spans="1:60" x14ac:dyDescent="0.25">
      <c r="A5" s="20">
        <f>Tools!$AD4</f>
        <v>0.5</v>
      </c>
      <c r="B5" s="33">
        <f t="shared" si="0"/>
        <v>2.4300000000000002</v>
      </c>
      <c r="C5" s="22">
        <f>IF(A5="  ","  ",IF(AND(A4="  ",A6="  "),"?",IF(A4="  ",2*(A6-A5),IF(A6="  ",2*(A5-A4),2*(A6-A4)))))</f>
        <v>2</v>
      </c>
      <c r="D5" s="23">
        <f t="shared" ref="D5:D28" si="26">IFERROR(B5*C5,"  ")</f>
        <v>4.8600000000000003</v>
      </c>
      <c r="E5" s="24">
        <f t="shared" si="1"/>
        <v>-9.5</v>
      </c>
      <c r="F5" s="23">
        <f t="shared" ref="F5:F28" si="27">IFERROR(D5*E5,"  ")</f>
        <v>-46.17</v>
      </c>
      <c r="G5" s="23">
        <f t="shared" ref="G5:G28" si="28">IFERROR(F5*E5,"  ")</f>
        <v>438.61500000000001</v>
      </c>
      <c r="H5" s="23">
        <f t="shared" ref="H5:H28" si="29">IFERROR(B5^3,"  ")</f>
        <v>14.348907000000002</v>
      </c>
      <c r="I5" s="23">
        <f t="shared" ref="I5:I28" si="30">IFERROR(H5*C5,"  ")</f>
        <v>28.697814000000005</v>
      </c>
      <c r="J5" s="4"/>
      <c r="K5" s="37">
        <f t="shared" si="2"/>
        <v>9.0733333333333341</v>
      </c>
      <c r="L5" s="23">
        <f t="shared" ref="L5:L28" si="31">IFERROR(K5*C5,"  ")</f>
        <v>18.146666666666668</v>
      </c>
      <c r="M5" s="38">
        <f t="shared" si="3"/>
        <v>52.936666666666667</v>
      </c>
      <c r="N5" s="27">
        <f t="shared" ref="N5:N28" si="32">IFERROR(M5*C5,"  ")</f>
        <v>105.87333333333333</v>
      </c>
      <c r="O5" s="23">
        <f t="shared" ref="O5:O28" si="33">IFERROR(L5*E5,"  ")</f>
        <v>-172.39333333333335</v>
      </c>
      <c r="P5" s="4"/>
      <c r="Q5" s="8" t="s">
        <v>27</v>
      </c>
      <c r="R5" s="9" t="s">
        <v>8</v>
      </c>
      <c r="S5" s="10">
        <f>BREADTH</f>
        <v>22</v>
      </c>
      <c r="W5" s="29">
        <f>IF(AO5="  ","  ",IF(AND(AO4="  ",AO6="  "),"?",IF(AO4="  ",2*(AO6-AO5),IF(AO6="  ",2*(AO5-AO4),2*(AO6-AO4)))))</f>
        <v>2</v>
      </c>
      <c r="X5" s="30" t="str">
        <f t="shared" si="4"/>
        <v>DD</v>
      </c>
      <c r="Y5" s="30" t="str">
        <f t="shared" si="5"/>
        <v>-</v>
      </c>
      <c r="Z5" s="29" t="b">
        <f t="shared" si="6"/>
        <v>1</v>
      </c>
      <c r="AA5" s="29" t="b">
        <f t="shared" si="7"/>
        <v>1</v>
      </c>
      <c r="AB5" s="29" t="str">
        <f t="shared" ca="1" si="8"/>
        <v>141-4</v>
      </c>
      <c r="AC5" s="29">
        <f t="shared" ref="AC5:AC27" si="34">IF(ISNUMBER(AO5),IF(ISNUMBER(AO5),IF(OR(AO5=0,AO5=Long_Div),1,IF(AO5&gt;Long_Div/2,AC6+1,IF(AO5&lt;=Long_Div/2,AC4+1,"?")))," --")," ")</f>
        <v>2</v>
      </c>
      <c r="AD5" s="29">
        <f t="shared" ca="1" si="9"/>
        <v>2</v>
      </c>
      <c r="AE5" s="29">
        <v>2</v>
      </c>
      <c r="AF5" s="31" t="str">
        <f t="shared" si="10"/>
        <v xml:space="preserve"> </v>
      </c>
      <c r="AG5" s="29" t="b">
        <f t="shared" si="11"/>
        <v>0</v>
      </c>
      <c r="AH5" s="30" t="str">
        <f t="shared" si="12"/>
        <v>-</v>
      </c>
      <c r="AI5" s="30" t="str">
        <f t="shared" ca="1" si="13"/>
        <v>(1/2)*(4/3)</v>
      </c>
      <c r="AJ5" s="29">
        <f t="shared" ca="1" si="14"/>
        <v>0.66666666666666663</v>
      </c>
      <c r="AK5" s="29" t="str">
        <f t="shared" si="15"/>
        <v/>
      </c>
      <c r="AL5" s="29">
        <f t="shared" si="16"/>
        <v>0</v>
      </c>
      <c r="AM5" s="32">
        <f t="shared" ref="AM5:AM28" ca="1" si="35">IF(AQ5=""," ",AJ5+AL5)</f>
        <v>0.66666666666666663</v>
      </c>
      <c r="AO5" s="20">
        <f>Tools!$AD4</f>
        <v>0.5</v>
      </c>
      <c r="AP5" s="33">
        <f t="shared" ref="AP5:AP26" si="36">VLOOKUP(AO5,OFFSET_A,Count_WL+1,FALSE)</f>
        <v>2.4300000000000002</v>
      </c>
      <c r="AQ5" s="34" t="str">
        <f t="shared" ca="1" si="18"/>
        <v>(1/2)*(4/3)</v>
      </c>
      <c r="AR5" s="23">
        <f t="shared" ca="1" si="19"/>
        <v>1.62</v>
      </c>
      <c r="AS5" s="24">
        <f t="shared" si="20"/>
        <v>-9.5</v>
      </c>
      <c r="AT5" s="23">
        <f t="shared" ref="AT5:AT28" ca="1" si="37">IFERROR(AR5*AS5,"  ")</f>
        <v>-15.39</v>
      </c>
      <c r="AU5" s="23">
        <f ca="1">IFERROR(AT5*AS5,"  ")</f>
        <v>146.20500000000001</v>
      </c>
      <c r="AV5" s="23">
        <f t="shared" si="21"/>
        <v>14.348907000000002</v>
      </c>
      <c r="AW5" s="23">
        <f t="shared" ca="1" si="22"/>
        <v>9.5659380000000009</v>
      </c>
      <c r="AY5" s="35">
        <f t="shared" si="23"/>
        <v>9.0733333333333341</v>
      </c>
      <c r="AZ5" s="23">
        <f t="shared" ca="1" si="24"/>
        <v>6.0488888888888894</v>
      </c>
      <c r="BA5" s="36">
        <f t="shared" si="25"/>
        <v>52.936666666666667</v>
      </c>
      <c r="BB5" s="27">
        <f t="shared" ref="BB5:BB28" ca="1" si="38">IFERROR(BA5*AM5,"  ")</f>
        <v>35.291111111111107</v>
      </c>
      <c r="BC5" s="23">
        <f t="shared" ref="BC5:BC28" ca="1" si="39">IFERROR(AZ5*AS5,"  ")</f>
        <v>-57.464444444444453</v>
      </c>
      <c r="BE5" s="8" t="s">
        <v>27</v>
      </c>
      <c r="BF5" s="9" t="s">
        <v>8</v>
      </c>
      <c r="BG5" s="10">
        <f>BREADTH</f>
        <v>22</v>
      </c>
    </row>
    <row r="6" spans="1:60" x14ac:dyDescent="0.25">
      <c r="A6" s="20">
        <f>Tools!$AD5</f>
        <v>1</v>
      </c>
      <c r="B6" s="33">
        <f t="shared" si="0"/>
        <v>4.01</v>
      </c>
      <c r="C6" s="22">
        <f>IF(A6="  ","  ",IF(AND(A5="  ",A7="  "),"?",IF(A5="  ",1*(A7-A6),IF(A7="  ",1*(A6-A5),1*(A7-A5)))))</f>
        <v>1</v>
      </c>
      <c r="D6" s="23">
        <f t="shared" si="26"/>
        <v>4.01</v>
      </c>
      <c r="E6" s="24">
        <f t="shared" si="1"/>
        <v>-9</v>
      </c>
      <c r="F6" s="23">
        <f t="shared" si="27"/>
        <v>-36.089999999999996</v>
      </c>
      <c r="G6" s="23">
        <f t="shared" si="28"/>
        <v>324.80999999999995</v>
      </c>
      <c r="H6" s="23">
        <f t="shared" si="29"/>
        <v>64.481200999999984</v>
      </c>
      <c r="I6" s="23">
        <f t="shared" si="30"/>
        <v>64.481200999999984</v>
      </c>
      <c r="J6" s="4"/>
      <c r="K6" s="37">
        <f t="shared" si="2"/>
        <v>26.743333333333332</v>
      </c>
      <c r="L6" s="23">
        <f t="shared" si="31"/>
        <v>26.743333333333332</v>
      </c>
      <c r="M6" s="38">
        <f t="shared" si="3"/>
        <v>140.64999999999998</v>
      </c>
      <c r="N6" s="27">
        <f t="shared" si="32"/>
        <v>140.64999999999998</v>
      </c>
      <c r="O6" s="23">
        <f t="shared" si="33"/>
        <v>-240.69</v>
      </c>
      <c r="P6" s="4"/>
      <c r="Q6" s="8" t="s">
        <v>28</v>
      </c>
      <c r="R6" s="9" t="s">
        <v>8</v>
      </c>
      <c r="S6" s="10">
        <f>DEPTH</f>
        <v>13</v>
      </c>
      <c r="W6" s="29">
        <f>IF(AO6="  ","  ",IF(AND(AO5="  ",AO7="  "),"?",IF(AO5="  ",1*(AO7-AO6),IF(AO7="  ",1*(AO6-AO5),1*(AO7-AO5)))))</f>
        <v>1</v>
      </c>
      <c r="X6" s="30" t="str">
        <f t="shared" si="4"/>
        <v>DD</v>
      </c>
      <c r="Y6" s="30" t="str">
        <f t="shared" si="5"/>
        <v>-</v>
      </c>
      <c r="Z6" s="29" t="b">
        <f t="shared" si="6"/>
        <v>1</v>
      </c>
      <c r="AA6" s="29" t="b">
        <f t="shared" si="7"/>
        <v>1</v>
      </c>
      <c r="AB6" s="29" t="str">
        <f t="shared" ca="1" si="8"/>
        <v>141-2</v>
      </c>
      <c r="AC6" s="29">
        <f t="shared" si="34"/>
        <v>3</v>
      </c>
      <c r="AD6" s="29">
        <f t="shared" ca="1" si="9"/>
        <v>3</v>
      </c>
      <c r="AE6" s="29">
        <v>3</v>
      </c>
      <c r="AF6" s="31" t="str">
        <f t="shared" si="10"/>
        <v xml:space="preserve"> </v>
      </c>
      <c r="AG6" s="29" t="b">
        <f t="shared" si="11"/>
        <v>0</v>
      </c>
      <c r="AH6" s="30" t="str">
        <f t="shared" si="12"/>
        <v>-</v>
      </c>
      <c r="AI6" s="30" t="str">
        <f t="shared" ca="1" si="13"/>
        <v>(1/2)*(2/3)</v>
      </c>
      <c r="AJ6" s="29">
        <f t="shared" ca="1" si="14"/>
        <v>0.33333333333333331</v>
      </c>
      <c r="AK6" s="29" t="str">
        <f t="shared" si="15"/>
        <v/>
      </c>
      <c r="AL6" s="29">
        <f t="shared" si="16"/>
        <v>0</v>
      </c>
      <c r="AM6" s="32">
        <f t="shared" ca="1" si="35"/>
        <v>0.33333333333333331</v>
      </c>
      <c r="AO6" s="20">
        <f>Tools!$AD5</f>
        <v>1</v>
      </c>
      <c r="AP6" s="33">
        <f t="shared" si="36"/>
        <v>4.01</v>
      </c>
      <c r="AQ6" s="34" t="str">
        <f t="shared" ca="1" si="18"/>
        <v>(1/2)*(2/3)</v>
      </c>
      <c r="AR6" s="23">
        <f t="shared" ca="1" si="19"/>
        <v>1.3366666666666664</v>
      </c>
      <c r="AS6" s="24">
        <f t="shared" si="20"/>
        <v>-9</v>
      </c>
      <c r="AT6" s="23">
        <f t="shared" ca="1" si="37"/>
        <v>-12.029999999999998</v>
      </c>
      <c r="AU6" s="23">
        <f ca="1">IFERROR(AT6*AS6,"  ")</f>
        <v>108.26999999999998</v>
      </c>
      <c r="AV6" s="23">
        <f t="shared" si="21"/>
        <v>64.481200999999984</v>
      </c>
      <c r="AW6" s="23">
        <f t="shared" ca="1" si="22"/>
        <v>21.49373366666666</v>
      </c>
      <c r="AY6" s="35">
        <f t="shared" si="23"/>
        <v>26.743333333333332</v>
      </c>
      <c r="AZ6" s="23">
        <f t="shared" ca="1" si="24"/>
        <v>8.9144444444444435</v>
      </c>
      <c r="BA6" s="36">
        <f t="shared" si="25"/>
        <v>140.64999999999998</v>
      </c>
      <c r="BB6" s="27">
        <f t="shared" ca="1" si="38"/>
        <v>46.883333333333326</v>
      </c>
      <c r="BC6" s="23">
        <f t="shared" ca="1" si="39"/>
        <v>-80.22999999999999</v>
      </c>
      <c r="BE6" s="8" t="s">
        <v>28</v>
      </c>
      <c r="BF6" s="9" t="s">
        <v>8</v>
      </c>
      <c r="BG6" s="10">
        <f>DEPTH</f>
        <v>13</v>
      </c>
    </row>
    <row r="7" spans="1:60" x14ac:dyDescent="0.25">
      <c r="A7" s="20">
        <f>Tools!$AD6</f>
        <v>1.5</v>
      </c>
      <c r="B7" s="33">
        <f t="shared" si="0"/>
        <v>5.5</v>
      </c>
      <c r="C7" s="22">
        <f>IF(A7="  ","  ",IF(AND(A6="  ",A8="  "),"?",IF(A6="  ",2*(A8-A7),IF(A8="  ",2*(A7-A6),2*(A8-A6)))))</f>
        <v>2</v>
      </c>
      <c r="D7" s="23">
        <f t="shared" si="26"/>
        <v>11</v>
      </c>
      <c r="E7" s="24">
        <f t="shared" si="1"/>
        <v>-8.5</v>
      </c>
      <c r="F7" s="23">
        <f t="shared" si="27"/>
        <v>-93.5</v>
      </c>
      <c r="G7" s="23">
        <f t="shared" si="28"/>
        <v>794.75</v>
      </c>
      <c r="H7" s="23">
        <f t="shared" si="29"/>
        <v>166.375</v>
      </c>
      <c r="I7" s="23">
        <f t="shared" si="30"/>
        <v>332.75</v>
      </c>
      <c r="J7" s="4"/>
      <c r="K7" s="37">
        <f t="shared" si="2"/>
        <v>46.239999999999995</v>
      </c>
      <c r="L7" s="23">
        <f t="shared" si="31"/>
        <v>92.47999999999999</v>
      </c>
      <c r="M7" s="38">
        <f t="shared" si="3"/>
        <v>231.97666666666663</v>
      </c>
      <c r="N7" s="27">
        <f t="shared" si="32"/>
        <v>463.95333333333326</v>
      </c>
      <c r="O7" s="23">
        <f t="shared" si="33"/>
        <v>-786.07999999999993</v>
      </c>
      <c r="P7" s="4"/>
      <c r="Q7" s="39" t="s">
        <v>29</v>
      </c>
      <c r="R7" s="40" t="s">
        <v>8</v>
      </c>
      <c r="S7" s="41">
        <f>IF(MAX(B4:B28)=0," ",2*MAX(B4:B28))</f>
        <v>22</v>
      </c>
      <c r="W7" s="29">
        <f>IF(AO7="  ","  ",IF(AND(AO6="  ",AO8="  "),"?",IF(AO6="  ",2*(AO8-AO7),IF(AO8="  ",2*(AO7-AO6),2*(AO8-AO6)))))</f>
        <v>2</v>
      </c>
      <c r="X7" s="30" t="str">
        <f t="shared" si="4"/>
        <v>DD</v>
      </c>
      <c r="Y7" s="30" t="str">
        <f t="shared" si="5"/>
        <v>-</v>
      </c>
      <c r="Z7" s="29" t="b">
        <f t="shared" si="6"/>
        <v>1</v>
      </c>
      <c r="AA7" s="29" t="b">
        <f t="shared" si="7"/>
        <v>1</v>
      </c>
      <c r="AB7" s="29" t="str">
        <f t="shared" ca="1" si="8"/>
        <v>141-4</v>
      </c>
      <c r="AC7" s="29">
        <f t="shared" si="34"/>
        <v>4</v>
      </c>
      <c r="AD7" s="29">
        <f t="shared" ca="1" si="9"/>
        <v>4</v>
      </c>
      <c r="AE7" s="29">
        <v>4</v>
      </c>
      <c r="AF7" s="31" t="str">
        <f t="shared" si="10"/>
        <v xml:space="preserve"> </v>
      </c>
      <c r="AG7" s="29" t="b">
        <f t="shared" si="11"/>
        <v>0</v>
      </c>
      <c r="AH7" s="30" t="str">
        <f t="shared" si="12"/>
        <v>-</v>
      </c>
      <c r="AI7" s="30" t="str">
        <f t="shared" ca="1" si="13"/>
        <v>(1/2)*(4/3)</v>
      </c>
      <c r="AJ7" s="29">
        <f t="shared" ca="1" si="14"/>
        <v>0.66666666666666663</v>
      </c>
      <c r="AK7" s="29" t="str">
        <f t="shared" si="15"/>
        <v/>
      </c>
      <c r="AL7" s="29">
        <f t="shared" si="16"/>
        <v>0</v>
      </c>
      <c r="AM7" s="32">
        <f t="shared" ca="1" si="35"/>
        <v>0.66666666666666663</v>
      </c>
      <c r="AO7" s="20">
        <f>Tools!$AD6</f>
        <v>1.5</v>
      </c>
      <c r="AP7" s="33">
        <f t="shared" si="36"/>
        <v>5.5</v>
      </c>
      <c r="AQ7" s="34" t="str">
        <f t="shared" ca="1" si="18"/>
        <v>(1/2)*(4/3)</v>
      </c>
      <c r="AR7" s="23">
        <f t="shared" ca="1" si="19"/>
        <v>3.6666666666666665</v>
      </c>
      <c r="AS7" s="24">
        <f t="shared" si="20"/>
        <v>-8.5</v>
      </c>
      <c r="AT7" s="23">
        <f t="shared" ca="1" si="37"/>
        <v>-31.166666666666664</v>
      </c>
      <c r="AU7" s="23">
        <f t="shared" ref="AU7:AU28" ca="1" si="40">IFERROR(AT7*AS7,"  ")</f>
        <v>264.91666666666663</v>
      </c>
      <c r="AV7" s="23">
        <f t="shared" si="21"/>
        <v>166.375</v>
      </c>
      <c r="AW7" s="23">
        <f t="shared" ca="1" si="22"/>
        <v>110.91666666666666</v>
      </c>
      <c r="AY7" s="35">
        <f t="shared" si="23"/>
        <v>46.239999999999995</v>
      </c>
      <c r="AZ7" s="23">
        <f t="shared" ca="1" si="24"/>
        <v>30.826666666666661</v>
      </c>
      <c r="BA7" s="36">
        <f t="shared" si="25"/>
        <v>231.97666666666663</v>
      </c>
      <c r="BB7" s="27">
        <f t="shared" ca="1" si="38"/>
        <v>154.65111111111108</v>
      </c>
      <c r="BC7" s="23">
        <f t="shared" ca="1" si="39"/>
        <v>-262.02666666666664</v>
      </c>
      <c r="BE7" s="8" t="s">
        <v>29</v>
      </c>
      <c r="BF7" s="9" t="s">
        <v>8</v>
      </c>
      <c r="BG7" s="10">
        <f>IF(MAX(AP4:AP28)=0," ",2*MAX(AP4:AP28))</f>
        <v>22</v>
      </c>
    </row>
    <row r="8" spans="1:60" x14ac:dyDescent="0.25">
      <c r="A8" s="20">
        <f>Tools!$AD7</f>
        <v>2</v>
      </c>
      <c r="B8" s="33">
        <f t="shared" si="0"/>
        <v>6.7</v>
      </c>
      <c r="C8" s="22">
        <f>IF(A8="  ","  ",IF(AND(A7="  ",A9="  "),"?",IF(A7="  ",1*(A9-A8),IF(A9="  ",1*(A8-A7),1*(A9-A7)))))</f>
        <v>1.5</v>
      </c>
      <c r="D8" s="23">
        <f t="shared" si="26"/>
        <v>10.050000000000001</v>
      </c>
      <c r="E8" s="24">
        <f t="shared" si="1"/>
        <v>-8</v>
      </c>
      <c r="F8" s="23">
        <f t="shared" si="27"/>
        <v>-80.400000000000006</v>
      </c>
      <c r="G8" s="23">
        <f t="shared" si="28"/>
        <v>643.20000000000005</v>
      </c>
      <c r="H8" s="23">
        <f t="shared" si="29"/>
        <v>300.76300000000003</v>
      </c>
      <c r="I8" s="23">
        <f t="shared" si="30"/>
        <v>451.14450000000005</v>
      </c>
      <c r="J8" s="4"/>
      <c r="K8" s="37">
        <f t="shared" si="2"/>
        <v>65.173333333333318</v>
      </c>
      <c r="L8" s="23">
        <f t="shared" si="31"/>
        <v>97.759999999999977</v>
      </c>
      <c r="M8" s="38">
        <f t="shared" si="3"/>
        <v>315.84333333333331</v>
      </c>
      <c r="N8" s="27">
        <f t="shared" si="32"/>
        <v>473.76499999999999</v>
      </c>
      <c r="O8" s="23">
        <f t="shared" si="33"/>
        <v>-782.07999999999981</v>
      </c>
      <c r="P8" s="4"/>
      <c r="Q8" s="42"/>
      <c r="R8" s="42"/>
      <c r="S8" s="42"/>
      <c r="W8" s="29">
        <f>IF(AO8="  ","  ",IF(AND(AO7="  ",AO9="  "),"?",IF(AO7="  ",1*(AO9-AO8),IF(AO9="  ",1*(AO8-AO7),1*(AO9-AO7)))))</f>
        <v>1.5</v>
      </c>
      <c r="X8" s="30" t="str">
        <f t="shared" si="4"/>
        <v>DW</v>
      </c>
      <c r="Y8" s="30" t="str">
        <f t="shared" si="5"/>
        <v>-</v>
      </c>
      <c r="Z8" s="29" t="b">
        <f t="shared" si="6"/>
        <v>1</v>
      </c>
      <c r="AA8" s="29" t="b">
        <f t="shared" si="7"/>
        <v>1</v>
      </c>
      <c r="AB8" s="29" t="str">
        <f t="shared" ca="1" si="8"/>
        <v>141-1</v>
      </c>
      <c r="AC8" s="29">
        <f t="shared" si="34"/>
        <v>5</v>
      </c>
      <c r="AD8" s="29">
        <f t="shared" ca="1" si="9"/>
        <v>5</v>
      </c>
      <c r="AE8" s="29">
        <v>5</v>
      </c>
      <c r="AF8" s="31">
        <f t="shared" si="10"/>
        <v>1</v>
      </c>
      <c r="AG8" s="29" t="b">
        <f t="shared" si="11"/>
        <v>1</v>
      </c>
      <c r="AH8" s="30" t="str">
        <f t="shared" si="12"/>
        <v>141-1</v>
      </c>
      <c r="AI8" s="30" t="str">
        <f t="shared" ca="1" si="13"/>
        <v>(1/2)*(1/3)</v>
      </c>
      <c r="AJ8" s="29">
        <f t="shared" ca="1" si="14"/>
        <v>0.16666666666666666</v>
      </c>
      <c r="AK8" s="29" t="str">
        <f t="shared" si="15"/>
        <v>1/3</v>
      </c>
      <c r="AL8" s="29">
        <f t="shared" si="16"/>
        <v>0.33333333333333331</v>
      </c>
      <c r="AM8" s="32">
        <f t="shared" ca="1" si="35"/>
        <v>0.5</v>
      </c>
      <c r="AO8" s="20">
        <f>Tools!$AD7</f>
        <v>2</v>
      </c>
      <c r="AP8" s="33">
        <f t="shared" si="36"/>
        <v>6.7</v>
      </c>
      <c r="AQ8" s="34" t="str">
        <f t="shared" ca="1" si="18"/>
        <v>(1/2)*(1/3)+1/3</v>
      </c>
      <c r="AR8" s="23">
        <f t="shared" ca="1" si="19"/>
        <v>3.35</v>
      </c>
      <c r="AS8" s="24">
        <f t="shared" si="20"/>
        <v>-8</v>
      </c>
      <c r="AT8" s="23">
        <f t="shared" ca="1" si="37"/>
        <v>-26.8</v>
      </c>
      <c r="AU8" s="23">
        <f t="shared" ca="1" si="40"/>
        <v>214.4</v>
      </c>
      <c r="AV8" s="23">
        <f t="shared" si="21"/>
        <v>300.76300000000003</v>
      </c>
      <c r="AW8" s="23">
        <f t="shared" ca="1" si="22"/>
        <v>150.38150000000002</v>
      </c>
      <c r="AY8" s="35">
        <f t="shared" si="23"/>
        <v>65.173333333333318</v>
      </c>
      <c r="AZ8" s="23">
        <f ca="1">IFERROR(AY8*AM8,"  ")</f>
        <v>32.586666666666659</v>
      </c>
      <c r="BA8" s="36">
        <f t="shared" si="25"/>
        <v>315.84333333333331</v>
      </c>
      <c r="BB8" s="27">
        <f t="shared" ca="1" si="38"/>
        <v>157.92166666666665</v>
      </c>
      <c r="BC8" s="23">
        <f t="shared" ca="1" si="39"/>
        <v>-260.69333333333327</v>
      </c>
      <c r="BE8" s="8" t="s">
        <v>30</v>
      </c>
      <c r="BF8" s="9" t="s">
        <v>8</v>
      </c>
      <c r="BG8" s="10">
        <f ca="1">LBP-AJ33</f>
        <v>146.19999999999999</v>
      </c>
      <c r="BH8" t="str">
        <f ca="1">IF(AJ33&gt;0,CONCATENATE("(LWL is assumed between stations ",$AH$31," and ",$AH$33," as offset values extreme to these stations are zeros.)"),"")</f>
        <v/>
      </c>
    </row>
    <row r="9" spans="1:60" x14ac:dyDescent="0.25">
      <c r="A9" s="20">
        <f>Tools!$AD8</f>
        <v>3</v>
      </c>
      <c r="B9" s="33">
        <f t="shared" si="0"/>
        <v>8.65</v>
      </c>
      <c r="C9" s="22">
        <f>IF(A9="  ","  ",IF(AND(A8="  ",A10="  "),"?",IF(A8="  ",2*(A10-A9),IF(A10="  ",2*(A9-A8),2*(A10-A8)))))</f>
        <v>4</v>
      </c>
      <c r="D9" s="23">
        <f t="shared" si="26"/>
        <v>34.6</v>
      </c>
      <c r="E9" s="24">
        <f t="shared" si="1"/>
        <v>-7</v>
      </c>
      <c r="F9" s="23">
        <f t="shared" si="27"/>
        <v>-242.20000000000002</v>
      </c>
      <c r="G9" s="23">
        <f t="shared" si="28"/>
        <v>1695.4</v>
      </c>
      <c r="H9" s="23">
        <f t="shared" si="29"/>
        <v>647.21462500000007</v>
      </c>
      <c r="I9" s="23">
        <f t="shared" si="30"/>
        <v>2588.8585000000003</v>
      </c>
      <c r="J9" s="4"/>
      <c r="K9" s="37">
        <f t="shared" si="2"/>
        <v>101.44666666666666</v>
      </c>
      <c r="L9" s="23">
        <f t="shared" si="31"/>
        <v>405.78666666666663</v>
      </c>
      <c r="M9" s="38">
        <f t="shared" si="3"/>
        <v>466.39</v>
      </c>
      <c r="N9" s="27">
        <f t="shared" si="32"/>
        <v>1865.56</v>
      </c>
      <c r="O9" s="23">
        <f t="shared" si="33"/>
        <v>-2840.5066666666662</v>
      </c>
      <c r="P9" s="4"/>
      <c r="Q9" s="43" t="s">
        <v>31</v>
      </c>
      <c r="R9" s="44" t="s">
        <v>32</v>
      </c>
      <c r="S9" s="489" t="s">
        <v>33</v>
      </c>
      <c r="W9" s="29">
        <f>IF(AO9="  ","  ",IF(AND(AO8="  ",AO10="  "),"?",IF(AO8="  ",2*(AO10-AO9),IF(AO10="  ",2*(AO9-AO8),2*(AO10-AO8)))))</f>
        <v>4</v>
      </c>
      <c r="X9" s="30" t="str">
        <f t="shared" si="4"/>
        <v>WW</v>
      </c>
      <c r="Y9" s="30" t="str">
        <f t="shared" si="5"/>
        <v>-</v>
      </c>
      <c r="Z9" s="29" t="b">
        <f t="shared" si="6"/>
        <v>0</v>
      </c>
      <c r="AA9" s="29" t="b">
        <f t="shared" si="7"/>
        <v>0</v>
      </c>
      <c r="AB9" s="29" t="str">
        <f t="shared" ca="1" si="8"/>
        <v>++</v>
      </c>
      <c r="AC9" s="29">
        <f t="shared" si="34"/>
        <v>6</v>
      </c>
      <c r="AD9" s="29">
        <f t="shared" ca="1" si="9"/>
        <v>6</v>
      </c>
      <c r="AE9" s="29">
        <v>6</v>
      </c>
      <c r="AF9" s="31">
        <f>IF(AND(AG9=TRUE,OR(NOT(AG8=TRUE),AG8="Full")),1,IF(ISNUMBER(AF8),AF8+1," "))</f>
        <v>2</v>
      </c>
      <c r="AG9" s="29" t="b">
        <f t="shared" si="11"/>
        <v>1</v>
      </c>
      <c r="AH9" s="30" t="str">
        <f t="shared" ca="1" si="12"/>
        <v>141-4</v>
      </c>
      <c r="AI9" s="30" t="str">
        <f t="shared" ca="1" si="13"/>
        <v/>
      </c>
      <c r="AJ9" s="29">
        <f t="shared" ca="1" si="14"/>
        <v>0</v>
      </c>
      <c r="AK9" s="29" t="str">
        <f t="shared" ca="1" si="15"/>
        <v>4/3</v>
      </c>
      <c r="AL9" s="29">
        <f t="shared" ca="1" si="16"/>
        <v>1.3333333333333333</v>
      </c>
      <c r="AM9" s="32">
        <f t="shared" ca="1" si="35"/>
        <v>1.3333333333333333</v>
      </c>
      <c r="AO9" s="20">
        <f>Tools!$AD8</f>
        <v>3</v>
      </c>
      <c r="AP9" s="33">
        <f t="shared" si="36"/>
        <v>8.65</v>
      </c>
      <c r="AQ9" s="34" t="str">
        <f t="shared" ca="1" si="18"/>
        <v>4/3</v>
      </c>
      <c r="AR9" s="23">
        <f t="shared" ca="1" si="19"/>
        <v>11.533333333333333</v>
      </c>
      <c r="AS9" s="24">
        <f t="shared" si="20"/>
        <v>-7</v>
      </c>
      <c r="AT9" s="23">
        <f t="shared" ca="1" si="37"/>
        <v>-80.733333333333334</v>
      </c>
      <c r="AU9" s="23">
        <f t="shared" ca="1" si="40"/>
        <v>565.13333333333333</v>
      </c>
      <c r="AV9" s="23">
        <f t="shared" si="21"/>
        <v>647.21462500000007</v>
      </c>
      <c r="AW9" s="23">
        <f t="shared" ca="1" si="22"/>
        <v>862.95283333333339</v>
      </c>
      <c r="AY9" s="35">
        <f t="shared" si="23"/>
        <v>101.44666666666666</v>
      </c>
      <c r="AZ9" s="23">
        <f t="shared" ref="AZ9:AZ28" ca="1" si="41">IFERROR(AY9*AM9,"  ")</f>
        <v>135.26222222222219</v>
      </c>
      <c r="BA9" s="36">
        <f t="shared" si="25"/>
        <v>466.39</v>
      </c>
      <c r="BB9" s="27">
        <f t="shared" ca="1" si="38"/>
        <v>621.85333333333324</v>
      </c>
      <c r="BC9" s="23">
        <f t="shared" ca="1" si="39"/>
        <v>-946.8355555555554</v>
      </c>
    </row>
    <row r="10" spans="1:60" x14ac:dyDescent="0.25">
      <c r="A10" s="20">
        <f>Tools!$AD9</f>
        <v>4</v>
      </c>
      <c r="B10" s="33">
        <f t="shared" si="0"/>
        <v>10.1</v>
      </c>
      <c r="C10" s="22">
        <f>IF(A10="  ","  ",IF(AND(A9="  ",A11="  "),"?",IF(A9="  ",1*(A11-A10),IF(A11="  ",1*(A10-A9),1*(A11-A9)))))</f>
        <v>2</v>
      </c>
      <c r="D10" s="23">
        <f t="shared" si="26"/>
        <v>20.2</v>
      </c>
      <c r="E10" s="24">
        <f t="shared" si="1"/>
        <v>-6</v>
      </c>
      <c r="F10" s="23">
        <f t="shared" si="27"/>
        <v>-121.19999999999999</v>
      </c>
      <c r="G10" s="23">
        <f t="shared" si="28"/>
        <v>727.19999999999993</v>
      </c>
      <c r="H10" s="23">
        <f t="shared" si="29"/>
        <v>1030.3009999999999</v>
      </c>
      <c r="I10" s="23">
        <f>IFERROR(H10*C10,"  ")</f>
        <v>2060.6019999999999</v>
      </c>
      <c r="J10" s="4"/>
      <c r="K10" s="37">
        <f t="shared" si="2"/>
        <v>131.38999999999999</v>
      </c>
      <c r="L10" s="23">
        <f t="shared" si="31"/>
        <v>262.77999999999997</v>
      </c>
      <c r="M10" s="38">
        <f t="shared" si="3"/>
        <v>579.05999999999995</v>
      </c>
      <c r="N10" s="27">
        <f t="shared" si="32"/>
        <v>1158.1199999999999</v>
      </c>
      <c r="O10" s="23">
        <f t="shared" si="33"/>
        <v>-1576.6799999999998</v>
      </c>
      <c r="P10" s="4"/>
      <c r="Q10" s="45"/>
      <c r="R10" s="46"/>
      <c r="S10" s="490"/>
      <c r="W10" s="29">
        <f>IF(AO10="  ","  ",IF(AND(AO9="  ",AO11="  "),"?",IF(AO9="  ",1*(AO11-AO10),IF(AO11="  ",1*(AO10-AO9),1*(AO11-AO9)))))</f>
        <v>2</v>
      </c>
      <c r="X10" s="30" t="str">
        <f t="shared" si="4"/>
        <v>WW</v>
      </c>
      <c r="Y10" s="30" t="str">
        <f t="shared" si="5"/>
        <v>-</v>
      </c>
      <c r="Z10" s="29" t="b">
        <f t="shared" si="6"/>
        <v>0</v>
      </c>
      <c r="AA10" s="29" t="b">
        <f t="shared" si="7"/>
        <v>0</v>
      </c>
      <c r="AB10" s="29" t="str">
        <f t="shared" ca="1" si="8"/>
        <v>++</v>
      </c>
      <c r="AC10" s="29">
        <f t="shared" si="34"/>
        <v>7</v>
      </c>
      <c r="AD10" s="29">
        <f t="shared" ca="1" si="9"/>
        <v>7</v>
      </c>
      <c r="AE10" s="29">
        <v>7</v>
      </c>
      <c r="AF10" s="31">
        <f t="shared" ref="AF10:AF28" si="42">IF(AND(AG10=TRUE,OR(NOT(AG9=TRUE),AG9="Full")),1,IF(ISNUMBER(AF9),AF9+1," "))</f>
        <v>3</v>
      </c>
      <c r="AG10" s="29" t="b">
        <f t="shared" si="11"/>
        <v>1</v>
      </c>
      <c r="AH10" s="30" t="str">
        <f t="shared" ca="1" si="12"/>
        <v>141-2</v>
      </c>
      <c r="AI10" s="30" t="str">
        <f t="shared" ca="1" si="13"/>
        <v/>
      </c>
      <c r="AJ10" s="29">
        <f t="shared" ca="1" si="14"/>
        <v>0</v>
      </c>
      <c r="AK10" s="29" t="str">
        <f t="shared" ca="1" si="15"/>
        <v>2/3</v>
      </c>
      <c r="AL10" s="29">
        <f t="shared" ca="1" si="16"/>
        <v>0.66666666666666663</v>
      </c>
      <c r="AM10" s="32">
        <f t="shared" ca="1" si="35"/>
        <v>0.66666666666666663</v>
      </c>
      <c r="AO10" s="20">
        <f>Tools!$AD9</f>
        <v>4</v>
      </c>
      <c r="AP10" s="33">
        <f t="shared" si="36"/>
        <v>10.1</v>
      </c>
      <c r="AQ10" s="34" t="str">
        <f t="shared" ca="1" si="18"/>
        <v>2/3</v>
      </c>
      <c r="AR10" s="23">
        <f t="shared" ca="1" si="19"/>
        <v>6.7333333333333325</v>
      </c>
      <c r="AS10" s="24">
        <f t="shared" si="20"/>
        <v>-6</v>
      </c>
      <c r="AT10" s="23">
        <f t="shared" ca="1" si="37"/>
        <v>-40.399999999999991</v>
      </c>
      <c r="AU10" s="23">
        <f ca="1">IFERROR(AT10*AS10,"  ")</f>
        <v>242.39999999999995</v>
      </c>
      <c r="AV10" s="23">
        <f t="shared" si="21"/>
        <v>1030.3009999999999</v>
      </c>
      <c r="AW10" s="23">
        <f t="shared" ca="1" si="22"/>
        <v>686.86733333333325</v>
      </c>
      <c r="AY10" s="35">
        <f t="shared" si="23"/>
        <v>131.38999999999999</v>
      </c>
      <c r="AZ10" s="23">
        <f t="shared" ca="1" si="41"/>
        <v>87.59333333333332</v>
      </c>
      <c r="BA10" s="36">
        <f t="shared" si="25"/>
        <v>579.05999999999995</v>
      </c>
      <c r="BB10" s="27">
        <f t="shared" ca="1" si="38"/>
        <v>386.03999999999996</v>
      </c>
      <c r="BC10" s="23">
        <f t="shared" ca="1" si="39"/>
        <v>-525.55999999999995</v>
      </c>
      <c r="BE10" s="43" t="s">
        <v>31</v>
      </c>
      <c r="BF10" s="44" t="s">
        <v>32</v>
      </c>
      <c r="BG10" s="489" t="s">
        <v>33</v>
      </c>
    </row>
    <row r="11" spans="1:60" x14ac:dyDescent="0.25">
      <c r="A11" s="20">
        <f>Tools!$AD10</f>
        <v>5</v>
      </c>
      <c r="B11" s="33">
        <f t="shared" si="0"/>
        <v>10.58</v>
      </c>
      <c r="C11" s="22">
        <f>IF(A11="  ","  ",IF(AND(A10="  ",A12="  "),"?",IF(A10="  ",2*(A12-A11),IF(A12="  ",2*(A11-A10),2*(A12-A10)))))</f>
        <v>4</v>
      </c>
      <c r="D11" s="23">
        <f t="shared" si="26"/>
        <v>42.32</v>
      </c>
      <c r="E11" s="24">
        <f t="shared" si="1"/>
        <v>-5</v>
      </c>
      <c r="F11" s="23">
        <f t="shared" si="27"/>
        <v>-211.6</v>
      </c>
      <c r="G11" s="23">
        <f t="shared" si="28"/>
        <v>1058</v>
      </c>
      <c r="H11" s="23">
        <f t="shared" si="29"/>
        <v>1184.287112</v>
      </c>
      <c r="I11" s="23">
        <f t="shared" si="30"/>
        <v>4737.1484479999999</v>
      </c>
      <c r="J11" s="4"/>
      <c r="K11" s="37">
        <f t="shared" si="2"/>
        <v>152.20666666666665</v>
      </c>
      <c r="L11" s="23">
        <f t="shared" si="31"/>
        <v>608.8266666666666</v>
      </c>
      <c r="M11" s="38">
        <f t="shared" si="3"/>
        <v>644.45666666666659</v>
      </c>
      <c r="N11" s="27">
        <f t="shared" si="32"/>
        <v>2577.8266666666664</v>
      </c>
      <c r="O11" s="23">
        <f t="shared" si="33"/>
        <v>-3044.1333333333332</v>
      </c>
      <c r="P11" s="4"/>
      <c r="Q11" s="47" t="s">
        <v>34</v>
      </c>
      <c r="R11" s="48" t="s">
        <v>35</v>
      </c>
      <c r="S11">
        <f>IF(Tools!$L$49="Use 141 rule only",I35,IF(Tools!$L$49="Use 141 and 1331 rules",BG12," "))</f>
        <v>2693.6560519999998</v>
      </c>
      <c r="W11" s="29">
        <f>IF(AO11="  ","  ",IF(AND(AO10="  ",AO12="  "),"?",IF(AO10="  ",2*(AO12-AO11),IF(AO12="  ",2*(AO11-AO10),2*(AO12-AO10)))))</f>
        <v>4</v>
      </c>
      <c r="X11" s="30" t="str">
        <f t="shared" si="4"/>
        <v>WW</v>
      </c>
      <c r="Y11" s="30" t="str">
        <f t="shared" si="5"/>
        <v>-</v>
      </c>
      <c r="Z11" s="29" t="b">
        <f t="shared" si="6"/>
        <v>0</v>
      </c>
      <c r="AA11" s="29" t="b">
        <f t="shared" si="7"/>
        <v>0</v>
      </c>
      <c r="AB11" s="29" t="str">
        <f t="shared" ca="1" si="8"/>
        <v>++</v>
      </c>
      <c r="AC11" s="29">
        <f t="shared" si="34"/>
        <v>8</v>
      </c>
      <c r="AD11" s="29">
        <f t="shared" ca="1" si="9"/>
        <v>8</v>
      </c>
      <c r="AE11" s="29">
        <v>8</v>
      </c>
      <c r="AF11" s="31">
        <f t="shared" si="42"/>
        <v>4</v>
      </c>
      <c r="AG11" s="29" t="b">
        <f t="shared" si="11"/>
        <v>1</v>
      </c>
      <c r="AH11" s="30" t="str">
        <f t="shared" ca="1" si="12"/>
        <v>141-4</v>
      </c>
      <c r="AI11" s="30" t="str">
        <f t="shared" ca="1" si="13"/>
        <v/>
      </c>
      <c r="AJ11" s="29">
        <f t="shared" ca="1" si="14"/>
        <v>0</v>
      </c>
      <c r="AK11" s="29" t="str">
        <f t="shared" ca="1" si="15"/>
        <v>4/3</v>
      </c>
      <c r="AL11" s="29">
        <f t="shared" ca="1" si="16"/>
        <v>1.3333333333333333</v>
      </c>
      <c r="AM11" s="32">
        <f t="shared" ca="1" si="35"/>
        <v>1.3333333333333333</v>
      </c>
      <c r="AO11" s="20">
        <f>Tools!$AD10</f>
        <v>5</v>
      </c>
      <c r="AP11" s="33">
        <f t="shared" si="36"/>
        <v>10.58</v>
      </c>
      <c r="AQ11" s="34" t="str">
        <f t="shared" ca="1" si="18"/>
        <v>4/3</v>
      </c>
      <c r="AR11" s="23">
        <f t="shared" ca="1" si="19"/>
        <v>14.106666666666666</v>
      </c>
      <c r="AS11" s="24">
        <f t="shared" si="20"/>
        <v>-5</v>
      </c>
      <c r="AT11" s="23">
        <f t="shared" ca="1" si="37"/>
        <v>-70.533333333333331</v>
      </c>
      <c r="AU11" s="23">
        <f t="shared" ca="1" si="40"/>
        <v>352.66666666666663</v>
      </c>
      <c r="AV11" s="23">
        <f t="shared" si="21"/>
        <v>1184.287112</v>
      </c>
      <c r="AW11" s="23">
        <f t="shared" ca="1" si="22"/>
        <v>1579.0494826666666</v>
      </c>
      <c r="AY11" s="35">
        <f t="shared" si="23"/>
        <v>152.20666666666665</v>
      </c>
      <c r="AZ11" s="23">
        <f t="shared" ca="1" si="41"/>
        <v>202.9422222222222</v>
      </c>
      <c r="BA11" s="36">
        <f t="shared" si="25"/>
        <v>644.45666666666659</v>
      </c>
      <c r="BB11" s="27">
        <f t="shared" ca="1" si="38"/>
        <v>859.27555555555546</v>
      </c>
      <c r="BC11" s="23">
        <f ca="1">IFERROR(AZ11*AS11,"  ")</f>
        <v>-1014.711111111111</v>
      </c>
      <c r="BE11" s="45"/>
      <c r="BF11" s="46"/>
      <c r="BG11" s="490"/>
    </row>
    <row r="12" spans="1:60" x14ac:dyDescent="0.25">
      <c r="A12" s="20">
        <f>Tools!$AD11</f>
        <v>6</v>
      </c>
      <c r="B12" s="33">
        <f t="shared" si="0"/>
        <v>11</v>
      </c>
      <c r="C12" s="22">
        <f>IF(A12="  ","  ",IF(AND(A11="  ",A13="  "),"?",IF(A11="  ",1*(A13-A12),IF(A13="  ",1*(A12-A11),1*(A13-A11)))))</f>
        <v>2</v>
      </c>
      <c r="D12" s="23">
        <f t="shared" si="26"/>
        <v>22</v>
      </c>
      <c r="E12" s="24">
        <f t="shared" si="1"/>
        <v>-4</v>
      </c>
      <c r="F12" s="23">
        <f t="shared" si="27"/>
        <v>-88</v>
      </c>
      <c r="G12" s="23">
        <f t="shared" si="28"/>
        <v>352</v>
      </c>
      <c r="H12" s="23">
        <f t="shared" si="29"/>
        <v>1331</v>
      </c>
      <c r="I12" s="23">
        <f t="shared" si="30"/>
        <v>2662</v>
      </c>
      <c r="J12" s="4"/>
      <c r="K12" s="37">
        <f t="shared" si="2"/>
        <v>166.85333333333335</v>
      </c>
      <c r="L12" s="23">
        <f t="shared" si="31"/>
        <v>333.70666666666671</v>
      </c>
      <c r="M12" s="38">
        <f t="shared" si="3"/>
        <v>689.58</v>
      </c>
      <c r="N12" s="27">
        <f t="shared" si="32"/>
        <v>1379.16</v>
      </c>
      <c r="O12" s="23">
        <f t="shared" si="33"/>
        <v>-1334.8266666666668</v>
      </c>
      <c r="P12" s="4"/>
      <c r="Q12" s="47" t="s">
        <v>36</v>
      </c>
      <c r="R12" s="48" t="s">
        <v>37</v>
      </c>
      <c r="S12">
        <f>IF(Tools!$L$49="Use 141 rule only",I36,IF(Tools!$L$49="Use 141 and 1331 rules",BG13," "))</f>
        <v>2879.1513176266726</v>
      </c>
      <c r="W12" s="29">
        <f>IF(AO12="  ","  ",IF(AND(AO11="  ",AO13="  "),"?",IF(AO11="  ",1*(AO13-AO12),IF(AO13="  ",1*(AO12-AO11),1*(AO13-AO11)))))</f>
        <v>2</v>
      </c>
      <c r="X12" s="30" t="str">
        <f t="shared" si="4"/>
        <v>WW</v>
      </c>
      <c r="Y12" s="30" t="str">
        <f t="shared" si="5"/>
        <v>-</v>
      </c>
      <c r="Z12" s="29" t="b">
        <f t="shared" si="6"/>
        <v>0</v>
      </c>
      <c r="AA12" s="29" t="b">
        <f t="shared" si="7"/>
        <v>0</v>
      </c>
      <c r="AB12" s="29" t="str">
        <f t="shared" ca="1" si="8"/>
        <v>++</v>
      </c>
      <c r="AC12" s="29">
        <f t="shared" si="34"/>
        <v>9</v>
      </c>
      <c r="AD12" s="29">
        <f t="shared" ca="1" si="9"/>
        <v>9</v>
      </c>
      <c r="AE12" s="29">
        <v>9</v>
      </c>
      <c r="AF12" s="31">
        <f t="shared" si="42"/>
        <v>5</v>
      </c>
      <c r="AG12" s="29" t="b">
        <f t="shared" si="11"/>
        <v>1</v>
      </c>
      <c r="AH12" s="30" t="str">
        <f t="shared" ca="1" si="12"/>
        <v>141-2</v>
      </c>
      <c r="AI12" s="30" t="str">
        <f t="shared" ca="1" si="13"/>
        <v/>
      </c>
      <c r="AJ12" s="29">
        <f t="shared" ca="1" si="14"/>
        <v>0</v>
      </c>
      <c r="AK12" s="29" t="str">
        <f t="shared" ca="1" si="15"/>
        <v>2/3</v>
      </c>
      <c r="AL12" s="29">
        <f t="shared" ca="1" si="16"/>
        <v>0.66666666666666663</v>
      </c>
      <c r="AM12" s="32">
        <f t="shared" ca="1" si="35"/>
        <v>0.66666666666666663</v>
      </c>
      <c r="AO12" s="20">
        <f>Tools!$AD11</f>
        <v>6</v>
      </c>
      <c r="AP12" s="33">
        <f t="shared" si="36"/>
        <v>11</v>
      </c>
      <c r="AQ12" s="34" t="str">
        <f t="shared" ca="1" si="18"/>
        <v>2/3</v>
      </c>
      <c r="AR12" s="23">
        <f t="shared" ca="1" si="19"/>
        <v>7.333333333333333</v>
      </c>
      <c r="AS12" s="24">
        <f t="shared" si="20"/>
        <v>-4</v>
      </c>
      <c r="AT12" s="23">
        <f t="shared" ca="1" si="37"/>
        <v>-29.333333333333332</v>
      </c>
      <c r="AU12" s="23">
        <f t="shared" ca="1" si="40"/>
        <v>117.33333333333333</v>
      </c>
      <c r="AV12" s="23">
        <f t="shared" si="21"/>
        <v>1331</v>
      </c>
      <c r="AW12" s="23">
        <f t="shared" ca="1" si="22"/>
        <v>887.33333333333326</v>
      </c>
      <c r="AY12" s="35">
        <f t="shared" si="23"/>
        <v>166.85333333333335</v>
      </c>
      <c r="AZ12" s="23">
        <f t="shared" ca="1" si="41"/>
        <v>111.23555555555556</v>
      </c>
      <c r="BA12" s="36">
        <f t="shared" si="25"/>
        <v>689.58</v>
      </c>
      <c r="BB12" s="27">
        <f t="shared" ca="1" si="38"/>
        <v>459.72</v>
      </c>
      <c r="BC12" s="23">
        <f t="shared" ca="1" si="39"/>
        <v>-444.94222222222226</v>
      </c>
      <c r="BE12" s="47" t="s">
        <v>34</v>
      </c>
      <c r="BF12" s="48" t="s">
        <v>38</v>
      </c>
      <c r="BG12" s="49">
        <f ca="1">IF(WL_No="  ","  ",2*h*$AR$29)</f>
        <v>2693.6560519999994</v>
      </c>
    </row>
    <row r="13" spans="1:60" x14ac:dyDescent="0.25">
      <c r="A13" s="20">
        <f>Tools!$AD12</f>
        <v>7</v>
      </c>
      <c r="B13" s="33">
        <f t="shared" si="0"/>
        <v>11</v>
      </c>
      <c r="C13" s="22">
        <f>IF(A13="  ","  ",IF(AND(A12="  ",A14="  "),"?",IF(A12="  ",2*(A14-A13),IF(A14="  ",2*(A13-A12),2*(A14-A12)))))</f>
        <v>4</v>
      </c>
      <c r="D13" s="23">
        <f t="shared" si="26"/>
        <v>44</v>
      </c>
      <c r="E13" s="24">
        <f t="shared" si="1"/>
        <v>-3</v>
      </c>
      <c r="F13" s="23">
        <f t="shared" si="27"/>
        <v>-132</v>
      </c>
      <c r="G13" s="23">
        <f t="shared" si="28"/>
        <v>396</v>
      </c>
      <c r="H13" s="23">
        <f t="shared" si="29"/>
        <v>1331</v>
      </c>
      <c r="I13" s="23">
        <f t="shared" si="30"/>
        <v>5324</v>
      </c>
      <c r="J13" s="4"/>
      <c r="K13" s="37">
        <f t="shared" si="2"/>
        <v>172.37333333333333</v>
      </c>
      <c r="L13" s="23">
        <f t="shared" si="31"/>
        <v>689.49333333333334</v>
      </c>
      <c r="M13" s="38">
        <f t="shared" si="3"/>
        <v>700.95333333333338</v>
      </c>
      <c r="N13" s="27">
        <f t="shared" si="32"/>
        <v>2803.8133333333335</v>
      </c>
      <c r="O13" s="23">
        <f t="shared" si="33"/>
        <v>-2068.48</v>
      </c>
      <c r="P13" s="4"/>
      <c r="Q13" s="50" t="s">
        <v>39</v>
      </c>
      <c r="R13" s="48" t="s">
        <v>40</v>
      </c>
      <c r="S13">
        <f>IF(Tools!$L$49="Use 141 rule only",I37,IF(Tools!$L$49="Use 141 and 1331 rules",BG14," "))</f>
        <v>1.0688637532208112</v>
      </c>
      <c r="W13" s="29">
        <f>IF(AO13="  ","  ",IF(AND(AO12="  ",AO14="  "),"?",IF(AO12="  ",2*(AO14-AO13),IF(AO14="  ",2*(AO13-AO12),2*(AO14-AO12)))))</f>
        <v>4</v>
      </c>
      <c r="X13" s="30" t="str">
        <f t="shared" si="4"/>
        <v>WW</v>
      </c>
      <c r="Y13" s="30" t="str">
        <f t="shared" si="5"/>
        <v>-</v>
      </c>
      <c r="Z13" s="29" t="b">
        <f t="shared" si="6"/>
        <v>0</v>
      </c>
      <c r="AA13" s="29" t="b">
        <f t="shared" si="7"/>
        <v>0</v>
      </c>
      <c r="AB13" s="29" t="str">
        <f t="shared" ca="1" si="8"/>
        <v>++</v>
      </c>
      <c r="AC13" s="29">
        <f t="shared" si="34"/>
        <v>10</v>
      </c>
      <c r="AD13" s="29">
        <f t="shared" ca="1" si="9"/>
        <v>10</v>
      </c>
      <c r="AE13" s="29">
        <v>10</v>
      </c>
      <c r="AF13" s="31">
        <f t="shared" si="42"/>
        <v>6</v>
      </c>
      <c r="AG13" s="29" t="b">
        <f t="shared" si="11"/>
        <v>1</v>
      </c>
      <c r="AH13" s="30" t="str">
        <f t="shared" ca="1" si="12"/>
        <v>141-4</v>
      </c>
      <c r="AI13" s="30" t="str">
        <f t="shared" ca="1" si="13"/>
        <v/>
      </c>
      <c r="AJ13" s="29">
        <f t="shared" ca="1" si="14"/>
        <v>0</v>
      </c>
      <c r="AK13" s="29" t="str">
        <f t="shared" ca="1" si="15"/>
        <v>4/3</v>
      </c>
      <c r="AL13" s="29">
        <f t="shared" ca="1" si="16"/>
        <v>1.3333333333333333</v>
      </c>
      <c r="AM13" s="32">
        <f t="shared" ca="1" si="35"/>
        <v>1.3333333333333333</v>
      </c>
      <c r="AO13" s="20">
        <f>Tools!$AD12</f>
        <v>7</v>
      </c>
      <c r="AP13" s="33">
        <f t="shared" si="36"/>
        <v>11</v>
      </c>
      <c r="AQ13" s="34" t="str">
        <f t="shared" ca="1" si="18"/>
        <v>4/3</v>
      </c>
      <c r="AR13" s="23">
        <f t="shared" ca="1" si="19"/>
        <v>14.666666666666666</v>
      </c>
      <c r="AS13" s="24">
        <f t="shared" si="20"/>
        <v>-3</v>
      </c>
      <c r="AT13" s="23">
        <f t="shared" ca="1" si="37"/>
        <v>-44</v>
      </c>
      <c r="AU13" s="23">
        <f t="shared" ca="1" si="40"/>
        <v>132</v>
      </c>
      <c r="AV13" s="23">
        <f t="shared" si="21"/>
        <v>1331</v>
      </c>
      <c r="AW13" s="23">
        <f t="shared" ca="1" si="22"/>
        <v>1774.6666666666665</v>
      </c>
      <c r="AY13" s="35">
        <f t="shared" si="23"/>
        <v>172.37333333333333</v>
      </c>
      <c r="AZ13" s="23">
        <f t="shared" ca="1" si="41"/>
        <v>229.83111111111111</v>
      </c>
      <c r="BA13" s="36">
        <f t="shared" si="25"/>
        <v>700.95333333333338</v>
      </c>
      <c r="BB13" s="27">
        <f t="shared" ca="1" si="38"/>
        <v>934.60444444444443</v>
      </c>
      <c r="BC13" s="23">
        <f t="shared" ca="1" si="39"/>
        <v>-689.49333333333334</v>
      </c>
      <c r="BE13" s="47" t="s">
        <v>36</v>
      </c>
      <c r="BF13" s="48" t="s">
        <v>41</v>
      </c>
      <c r="BG13" s="49">
        <f ca="1">IF(WL_No="  ","  ",2*(h^2)*$AT$29)</f>
        <v>2879.151317626669</v>
      </c>
    </row>
    <row r="14" spans="1:60" x14ac:dyDescent="0.25">
      <c r="A14" s="20">
        <f>Tools!$AD13</f>
        <v>8</v>
      </c>
      <c r="B14" s="33">
        <f t="shared" si="0"/>
        <v>11</v>
      </c>
      <c r="C14" s="22">
        <f>IF(A14="  ","  ",IF(AND(A13="  ",A15="  "),"?",IF(A13="  ",1*(A15-A14),IF(A15="  ",1*(A14-A13),1*(A15-A13)))))</f>
        <v>2</v>
      </c>
      <c r="D14" s="23">
        <f t="shared" si="26"/>
        <v>22</v>
      </c>
      <c r="E14" s="24">
        <f t="shared" si="1"/>
        <v>-2</v>
      </c>
      <c r="F14" s="23">
        <f t="shared" si="27"/>
        <v>-44</v>
      </c>
      <c r="G14" s="23">
        <f t="shared" si="28"/>
        <v>88</v>
      </c>
      <c r="H14" s="23">
        <f t="shared" si="29"/>
        <v>1331</v>
      </c>
      <c r="I14" s="23">
        <f t="shared" si="30"/>
        <v>2662</v>
      </c>
      <c r="J14" s="4"/>
      <c r="K14" s="37">
        <f t="shared" si="2"/>
        <v>174.25333333333333</v>
      </c>
      <c r="L14" s="23">
        <f t="shared" si="31"/>
        <v>348.50666666666666</v>
      </c>
      <c r="M14" s="38">
        <f t="shared" si="3"/>
        <v>703.13333333333333</v>
      </c>
      <c r="N14" s="27">
        <f t="shared" si="32"/>
        <v>1406.2666666666667</v>
      </c>
      <c r="O14" s="23">
        <f t="shared" si="33"/>
        <v>-697.01333333333332</v>
      </c>
      <c r="P14" s="4"/>
      <c r="Q14" s="50" t="s">
        <v>42</v>
      </c>
      <c r="R14" s="48" t="s">
        <v>43</v>
      </c>
      <c r="S14">
        <f>IF(Tools!$L$49="Use 141 rule only",I38,IF(Tools!$L$49="Use 141 and 1331 rules",BG15," "))</f>
        <v>3588311.8303976436</v>
      </c>
      <c r="W14" s="29">
        <f>IF(AO14="  ","  ",IF(AND(AO13="  ",AO15="  "),"?",IF(AO13="  ",1*(AO15-AO14),IF(AO15="  ",1*(AO14-AO13),1*(AO15-AO13)))))</f>
        <v>2</v>
      </c>
      <c r="X14" s="30" t="str">
        <f t="shared" si="4"/>
        <v>WW</v>
      </c>
      <c r="Y14" s="30" t="str">
        <f t="shared" si="5"/>
        <v>-</v>
      </c>
      <c r="Z14" s="29" t="b">
        <f t="shared" si="6"/>
        <v>0</v>
      </c>
      <c r="AA14" s="29" t="b">
        <f t="shared" si="7"/>
        <v>0</v>
      </c>
      <c r="AB14" s="29" t="str">
        <f t="shared" ca="1" si="8"/>
        <v>++</v>
      </c>
      <c r="AC14" s="29">
        <f t="shared" si="34"/>
        <v>11</v>
      </c>
      <c r="AD14" s="29">
        <f t="shared" ca="1" si="9"/>
        <v>11</v>
      </c>
      <c r="AE14" s="29">
        <v>11</v>
      </c>
      <c r="AF14" s="31">
        <f t="shared" si="42"/>
        <v>7</v>
      </c>
      <c r="AG14" s="29" t="b">
        <f t="shared" si="11"/>
        <v>1</v>
      </c>
      <c r="AH14" s="30" t="str">
        <f ca="1">IF(AND(AG14=TRUE,$AH$1=1),"141-4",IF(AG14=" ",IF(AND($AH$1=2,AF14=3),"141-1","-"),IF(OR(AG14=FALSE,AG14=" "),"-",IF(AG14=TRUE,IF(AND($AH$1=2,AF14=1),"141-1",IF(AND($AH$1=2,AF14=2),"141-4",IF(OR(ISODD($AH$1),AF14&gt;4),IF(AF14=1,"141-1",IF(OR(AB14="141-1",AB14="1331-1",AB14="1331-1,141-1"),"141-1",IF(AG15=" ","141-1",IF(OR(AH13="141-1",AH13="141-2",AH13="1331-1,141-1"),"141-4",IF(AH13="141-4","141-2","$$"))))),IF(ISEVEN($AH$1),IF(AF14=1,"1331-1",IF(OR(AF14=2,AF14=3),"1331-3",IF(AF14=4,IF($AH$1=4,"1331-1","1331-1,141-1"),"")))))))))))</f>
        <v>141-2</v>
      </c>
      <c r="AI14" s="30" t="str">
        <f t="shared" ca="1" si="13"/>
        <v/>
      </c>
      <c r="AJ14" s="29">
        <f t="shared" ca="1" si="14"/>
        <v>0</v>
      </c>
      <c r="AK14" s="29" t="str">
        <f t="shared" ca="1" si="15"/>
        <v>2/3</v>
      </c>
      <c r="AL14" s="29">
        <f t="shared" ca="1" si="16"/>
        <v>0.66666666666666663</v>
      </c>
      <c r="AM14" s="32">
        <f t="shared" ca="1" si="35"/>
        <v>0.66666666666666663</v>
      </c>
      <c r="AO14" s="20">
        <f>Tools!$AD13</f>
        <v>8</v>
      </c>
      <c r="AP14" s="33">
        <f t="shared" si="36"/>
        <v>11</v>
      </c>
      <c r="AQ14" s="34" t="str">
        <f t="shared" ca="1" si="18"/>
        <v>2/3</v>
      </c>
      <c r="AR14" s="23">
        <f t="shared" ca="1" si="19"/>
        <v>7.333333333333333</v>
      </c>
      <c r="AS14" s="24">
        <f t="shared" si="20"/>
        <v>-2</v>
      </c>
      <c r="AT14" s="23">
        <f t="shared" ca="1" si="37"/>
        <v>-14.666666666666666</v>
      </c>
      <c r="AU14" s="23">
        <f t="shared" ca="1" si="40"/>
        <v>29.333333333333332</v>
      </c>
      <c r="AV14" s="23">
        <f t="shared" si="21"/>
        <v>1331</v>
      </c>
      <c r="AW14" s="23">
        <f t="shared" ca="1" si="22"/>
        <v>887.33333333333326</v>
      </c>
      <c r="AY14" s="35">
        <f t="shared" si="23"/>
        <v>174.25333333333333</v>
      </c>
      <c r="AZ14" s="23">
        <f t="shared" ca="1" si="41"/>
        <v>116.16888888888889</v>
      </c>
      <c r="BA14" s="36">
        <f t="shared" si="25"/>
        <v>703.13333333333333</v>
      </c>
      <c r="BB14" s="27">
        <f t="shared" ca="1" si="38"/>
        <v>468.75555555555553</v>
      </c>
      <c r="BC14" s="23">
        <f t="shared" ca="1" si="39"/>
        <v>-232.33777777777777</v>
      </c>
      <c r="BE14" s="50" t="s">
        <v>39</v>
      </c>
      <c r="BF14" s="48" t="s">
        <v>40</v>
      </c>
      <c r="BG14" s="49">
        <f>IF(WL_No="  ","  ",Mmid/AWP)</f>
        <v>1.0688637532208112</v>
      </c>
    </row>
    <row r="15" spans="1:60" x14ac:dyDescent="0.25">
      <c r="A15" s="20">
        <f>Tools!$AD14</f>
        <v>9</v>
      </c>
      <c r="B15" s="33">
        <f t="shared" si="0"/>
        <v>11</v>
      </c>
      <c r="C15" s="22">
        <f>IF(A15="  ","  ",IF(AND(A14="  ",A16="  "),"?",IF(A14="  ",2*(A16-A15),IF(A16="  ",2*(A15-A14),2*(A16-A14)))))</f>
        <v>4</v>
      </c>
      <c r="D15" s="23">
        <f t="shared" si="26"/>
        <v>44</v>
      </c>
      <c r="E15" s="24">
        <f t="shared" si="1"/>
        <v>-1</v>
      </c>
      <c r="F15" s="23">
        <f t="shared" si="27"/>
        <v>-44</v>
      </c>
      <c r="G15" s="23">
        <f t="shared" si="28"/>
        <v>44</v>
      </c>
      <c r="H15" s="23">
        <f t="shared" si="29"/>
        <v>1331</v>
      </c>
      <c r="I15" s="23">
        <f t="shared" si="30"/>
        <v>5324</v>
      </c>
      <c r="J15" s="4"/>
      <c r="K15" s="37">
        <f t="shared" si="2"/>
        <v>174.57333333333332</v>
      </c>
      <c r="L15" s="23">
        <f t="shared" si="31"/>
        <v>698.29333333333329</v>
      </c>
      <c r="M15" s="38">
        <f t="shared" si="3"/>
        <v>703.3266666666666</v>
      </c>
      <c r="N15" s="27">
        <f t="shared" si="32"/>
        <v>2813.3066666666664</v>
      </c>
      <c r="O15" s="23">
        <f t="shared" si="33"/>
        <v>-698.29333333333329</v>
      </c>
      <c r="P15" s="4"/>
      <c r="Q15" s="51" t="s">
        <v>44</v>
      </c>
      <c r="R15" s="48" t="s">
        <v>45</v>
      </c>
      <c r="S15">
        <f>IF(Tools!$L$49="Use 141 rule only",I39,IF(Tools!$L$49="Use 141 and 1331 rules",BG16," "))</f>
        <v>94352.936183106591</v>
      </c>
      <c r="W15" s="29">
        <f>IF(AO15="  ","  ",IF(AND(AO14="  ",AO16="  "),"?",IF(AO14="  ",2*(AO16-AO15),IF(AO16="  ",2*(AO15-AO14),2*(AO16-AO14)))))</f>
        <v>4</v>
      </c>
      <c r="X15" s="30" t="str">
        <f t="shared" si="4"/>
        <v>WW</v>
      </c>
      <c r="Y15" s="30" t="str">
        <f t="shared" si="5"/>
        <v>-</v>
      </c>
      <c r="Z15" s="29" t="b">
        <f t="shared" si="6"/>
        <v>0</v>
      </c>
      <c r="AA15" s="29" t="b">
        <f t="shared" si="7"/>
        <v>0</v>
      </c>
      <c r="AB15" s="29" t="str">
        <f t="shared" ca="1" si="8"/>
        <v>++</v>
      </c>
      <c r="AC15" s="29">
        <f t="shared" si="34"/>
        <v>12</v>
      </c>
      <c r="AD15" s="29">
        <f t="shared" ca="1" si="9"/>
        <v>12</v>
      </c>
      <c r="AE15" s="29">
        <v>12</v>
      </c>
      <c r="AF15" s="31">
        <f t="shared" si="42"/>
        <v>8</v>
      </c>
      <c r="AG15" s="29" t="b">
        <f t="shared" si="11"/>
        <v>1</v>
      </c>
      <c r="AH15" s="30" t="str">
        <f t="shared" ref="AH15:AH28" ca="1" si="43">IF(AND(AG15=TRUE,$AH$1=1),"141-4",IF(AG15=" ",IF(AND($AH$1=2,AF15=3),"141-1","-"),IF(OR(AG15=FALSE,AG15=" "),"-",IF(AG15=TRUE,IF(AND($AH$1=2,AF15=1),"141-1",IF(AND($AH$1=2,AF15=2),"141-4",IF(OR(ISODD($AH$1),AF15&gt;4),IF(AF15=1,"141-1",IF(OR(AB15="141-1",AB15="1331-1",AB15="1331-1,141-1"),"141-1",IF(AG16=" ","141-1",IF(OR(AH14="141-1",AH14="141-2",AH14="1331-1,141-1"),"141-4",IF(AH14="141-4","141-2","$$"))))),IF(ISEVEN($AH$1),IF(AF15=1,"1331-1",IF(OR(AF15=2,AF15=3),"1331-3",IF(AF15=4,IF($AH$1=4,"1331-1","1331-1,141-1"),"")))))))))))</f>
        <v>141-4</v>
      </c>
      <c r="AI15" s="30" t="str">
        <f t="shared" ca="1" si="13"/>
        <v/>
      </c>
      <c r="AJ15" s="29">
        <f t="shared" ca="1" si="14"/>
        <v>0</v>
      </c>
      <c r="AK15" s="29" t="str">
        <f t="shared" ca="1" si="15"/>
        <v>4/3</v>
      </c>
      <c r="AL15" s="29">
        <f t="shared" ca="1" si="16"/>
        <v>1.3333333333333333</v>
      </c>
      <c r="AM15" s="32">
        <f t="shared" ca="1" si="35"/>
        <v>1.3333333333333333</v>
      </c>
      <c r="AO15" s="20">
        <f>Tools!$AD14</f>
        <v>9</v>
      </c>
      <c r="AP15" s="33">
        <f t="shared" si="36"/>
        <v>11</v>
      </c>
      <c r="AQ15" s="34" t="str">
        <f t="shared" ca="1" si="18"/>
        <v>4/3</v>
      </c>
      <c r="AR15" s="23">
        <f t="shared" ca="1" si="19"/>
        <v>14.666666666666666</v>
      </c>
      <c r="AS15" s="24">
        <f t="shared" si="20"/>
        <v>-1</v>
      </c>
      <c r="AT15" s="23">
        <f t="shared" ca="1" si="37"/>
        <v>-14.666666666666666</v>
      </c>
      <c r="AU15" s="23">
        <f t="shared" ca="1" si="40"/>
        <v>14.666666666666666</v>
      </c>
      <c r="AV15" s="23">
        <f t="shared" si="21"/>
        <v>1331</v>
      </c>
      <c r="AW15" s="23">
        <f t="shared" ca="1" si="22"/>
        <v>1774.6666666666665</v>
      </c>
      <c r="AY15" s="35">
        <f t="shared" si="23"/>
        <v>174.57333333333332</v>
      </c>
      <c r="AZ15" s="23">
        <f t="shared" ca="1" si="41"/>
        <v>232.76444444444442</v>
      </c>
      <c r="BA15" s="36">
        <f t="shared" si="25"/>
        <v>703.3266666666666</v>
      </c>
      <c r="BB15" s="27">
        <f ca="1">IFERROR(BA15*AM15,"  ")</f>
        <v>937.7688888888888</v>
      </c>
      <c r="BC15" s="23">
        <f t="shared" ca="1" si="39"/>
        <v>-232.76444444444442</v>
      </c>
      <c r="BE15" s="50" t="s">
        <v>42</v>
      </c>
      <c r="BF15" s="48" t="s">
        <v>46</v>
      </c>
      <c r="BG15" s="49">
        <f ca="1">IF(WL_No="  ","  ",2*(h^3)*$AU$29)</f>
        <v>3588311.8303976431</v>
      </c>
    </row>
    <row r="16" spans="1:60" x14ac:dyDescent="0.25">
      <c r="A16" s="20">
        <f>Tools!$AD15</f>
        <v>10</v>
      </c>
      <c r="B16" s="33">
        <f t="shared" si="0"/>
        <v>11</v>
      </c>
      <c r="C16" s="22">
        <f>IF(A16="  ","  ",IF(AND(A15="  ",A17="  "),"?",IF(A15="  ",1*(A17-A16),IF(A17="  ",1*(A16-A15),1*(A17-A15)))))</f>
        <v>2</v>
      </c>
      <c r="D16" s="23">
        <f t="shared" si="26"/>
        <v>22</v>
      </c>
      <c r="E16" s="24">
        <f t="shared" si="1"/>
        <v>0</v>
      </c>
      <c r="F16" s="23">
        <f t="shared" si="27"/>
        <v>0</v>
      </c>
      <c r="G16" s="23">
        <f t="shared" si="28"/>
        <v>0</v>
      </c>
      <c r="H16" s="23">
        <f t="shared" si="29"/>
        <v>1331</v>
      </c>
      <c r="I16" s="23">
        <f t="shared" si="30"/>
        <v>2662</v>
      </c>
      <c r="J16" s="4"/>
      <c r="K16" s="37">
        <f t="shared" si="2"/>
        <v>174.57333333333332</v>
      </c>
      <c r="L16" s="23">
        <f t="shared" si="31"/>
        <v>349.14666666666665</v>
      </c>
      <c r="M16" s="38">
        <f t="shared" si="3"/>
        <v>703.3266666666666</v>
      </c>
      <c r="N16" s="27">
        <f t="shared" si="32"/>
        <v>1406.6533333333332</v>
      </c>
      <c r="O16" s="23">
        <f t="shared" si="33"/>
        <v>0</v>
      </c>
      <c r="P16" s="4"/>
      <c r="Q16" s="50" t="s">
        <v>47</v>
      </c>
      <c r="R16" s="48" t="s">
        <v>48</v>
      </c>
      <c r="S16">
        <f>IF(Tools!$L$49="Use 141 rule only",I40,IF(Tools!$L$49="Use 141 and 1331 rules",BG17," "))</f>
        <v>3585234.4099141946</v>
      </c>
      <c r="W16" s="29">
        <f>IF(AO16="  ","  ",IF(AND(AO15="  ",AO17="  "),"?",IF(AO15="  ",1*(AO17-AO16),IF(AO17="  ",1*(AO16-AO15),1*(AO17-AO15)))))</f>
        <v>2</v>
      </c>
      <c r="X16" s="30" t="str">
        <f t="shared" si="4"/>
        <v>WW</v>
      </c>
      <c r="Y16" s="30" t="str">
        <f t="shared" si="5"/>
        <v>-</v>
      </c>
      <c r="Z16" s="29" t="b">
        <f t="shared" si="6"/>
        <v>0</v>
      </c>
      <c r="AA16" s="29" t="b">
        <f t="shared" si="7"/>
        <v>0</v>
      </c>
      <c r="AB16" s="29" t="str">
        <f t="shared" ca="1" si="8"/>
        <v>++</v>
      </c>
      <c r="AC16" s="29">
        <f t="shared" si="34"/>
        <v>13</v>
      </c>
      <c r="AD16" s="29">
        <f t="shared" ca="1" si="9"/>
        <v>13</v>
      </c>
      <c r="AE16" s="29">
        <v>13</v>
      </c>
      <c r="AF16" s="31">
        <f t="shared" si="42"/>
        <v>9</v>
      </c>
      <c r="AG16" s="29" t="b">
        <f t="shared" si="11"/>
        <v>1</v>
      </c>
      <c r="AH16" s="30" t="str">
        <f t="shared" ca="1" si="43"/>
        <v>141-2</v>
      </c>
      <c r="AI16" s="30" t="str">
        <f t="shared" ca="1" si="13"/>
        <v/>
      </c>
      <c r="AJ16" s="29">
        <f t="shared" ca="1" si="14"/>
        <v>0</v>
      </c>
      <c r="AK16" s="29" t="str">
        <f t="shared" ca="1" si="15"/>
        <v>2/3</v>
      </c>
      <c r="AL16" s="29">
        <f t="shared" ca="1" si="16"/>
        <v>0.66666666666666663</v>
      </c>
      <c r="AM16" s="32">
        <f t="shared" ca="1" si="35"/>
        <v>0.66666666666666663</v>
      </c>
      <c r="AO16" s="20">
        <f>Tools!$AD15</f>
        <v>10</v>
      </c>
      <c r="AP16" s="33">
        <f t="shared" si="36"/>
        <v>11</v>
      </c>
      <c r="AQ16" s="34" t="str">
        <f t="shared" ca="1" si="18"/>
        <v>2/3</v>
      </c>
      <c r="AR16" s="23">
        <f t="shared" ca="1" si="19"/>
        <v>7.333333333333333</v>
      </c>
      <c r="AS16" s="24">
        <f t="shared" si="20"/>
        <v>0</v>
      </c>
      <c r="AT16" s="23">
        <f t="shared" ca="1" si="37"/>
        <v>0</v>
      </c>
      <c r="AU16" s="23">
        <f t="shared" ca="1" si="40"/>
        <v>0</v>
      </c>
      <c r="AV16" s="23">
        <f t="shared" si="21"/>
        <v>1331</v>
      </c>
      <c r="AW16" s="23">
        <f t="shared" ca="1" si="22"/>
        <v>887.33333333333326</v>
      </c>
      <c r="AY16" s="35">
        <f t="shared" si="23"/>
        <v>174.57333333333332</v>
      </c>
      <c r="AZ16" s="23">
        <f t="shared" ca="1" si="41"/>
        <v>116.38222222222221</v>
      </c>
      <c r="BA16" s="36">
        <f t="shared" si="25"/>
        <v>703.3266666666666</v>
      </c>
      <c r="BB16" s="27">
        <f t="shared" ca="1" si="38"/>
        <v>468.8844444444444</v>
      </c>
      <c r="BC16" s="23">
        <f ca="1">IFERROR(AZ16*AS16,"  ")</f>
        <v>0</v>
      </c>
      <c r="BE16" s="51" t="s">
        <v>44</v>
      </c>
      <c r="BF16" s="48" t="s">
        <v>49</v>
      </c>
      <c r="BG16" s="49">
        <f ca="1">IF(WL_No="  ","  ",2/3*h*$AW$29)</f>
        <v>94352.936183106591</v>
      </c>
    </row>
    <row r="17" spans="1:59" x14ac:dyDescent="0.25">
      <c r="A17" s="20">
        <f>Tools!$AD16</f>
        <v>11</v>
      </c>
      <c r="B17" s="33">
        <f t="shared" si="0"/>
        <v>11</v>
      </c>
      <c r="C17" s="22">
        <f>IF(A17="  ","  ",IF(AND(A16="  ",A18="  "),"?",IF(A16="  ",2*(A18-A17),IF(A18="  ",2*(A17-A16),2*(A18-A16)))))</f>
        <v>4</v>
      </c>
      <c r="D17" s="23">
        <f t="shared" si="26"/>
        <v>44</v>
      </c>
      <c r="E17" s="24">
        <f t="shared" si="1"/>
        <v>1</v>
      </c>
      <c r="F17" s="23">
        <f t="shared" si="27"/>
        <v>44</v>
      </c>
      <c r="G17" s="23">
        <f t="shared" si="28"/>
        <v>44</v>
      </c>
      <c r="H17" s="23">
        <f t="shared" si="29"/>
        <v>1331</v>
      </c>
      <c r="I17" s="23">
        <f t="shared" si="30"/>
        <v>5324</v>
      </c>
      <c r="J17" s="4"/>
      <c r="K17" s="37">
        <f t="shared" si="2"/>
        <v>174.57333333333332</v>
      </c>
      <c r="L17" s="23">
        <f t="shared" si="31"/>
        <v>698.29333333333329</v>
      </c>
      <c r="M17" s="38">
        <f t="shared" si="3"/>
        <v>703.3266666666666</v>
      </c>
      <c r="N17" s="27">
        <f t="shared" si="32"/>
        <v>2813.3066666666664</v>
      </c>
      <c r="O17" s="23">
        <f t="shared" si="33"/>
        <v>698.29333333333329</v>
      </c>
      <c r="P17" s="4"/>
      <c r="Q17" s="50" t="s">
        <v>50</v>
      </c>
      <c r="R17" s="48" t="s">
        <v>51</v>
      </c>
      <c r="S17">
        <f>IF(Tools!$L$49="Use 141 rule only",I41,IF(Tools!$L$49="Use 141 and 1331 rules",BG18," "))</f>
        <v>19690.84157355555</v>
      </c>
      <c r="W17" s="29">
        <f>IF(AO17="  ","  ",IF(AND(AO16="  ",AO18="  "),"?",IF(AO16="  ",2*(AO18-AO17),IF(AO18="  ",2*(AO17-AO16),2*(AO18-AO16)))))</f>
        <v>4</v>
      </c>
      <c r="X17" s="30" t="str">
        <f t="shared" si="4"/>
        <v>WW</v>
      </c>
      <c r="Y17" s="30" t="str">
        <f t="shared" si="5"/>
        <v>-</v>
      </c>
      <c r="Z17" s="29" t="b">
        <f t="shared" si="6"/>
        <v>0</v>
      </c>
      <c r="AA17" s="29" t="b">
        <f t="shared" si="7"/>
        <v>0</v>
      </c>
      <c r="AB17" s="29" t="str">
        <f t="shared" ca="1" si="8"/>
        <v>++</v>
      </c>
      <c r="AC17" s="29">
        <f t="shared" si="34"/>
        <v>12</v>
      </c>
      <c r="AD17" s="29">
        <f t="shared" ca="1" si="9"/>
        <v>12</v>
      </c>
      <c r="AE17" s="29">
        <v>14</v>
      </c>
      <c r="AF17" s="31">
        <f t="shared" si="42"/>
        <v>10</v>
      </c>
      <c r="AG17" s="29" t="b">
        <f t="shared" si="11"/>
        <v>1</v>
      </c>
      <c r="AH17" s="30" t="str">
        <f t="shared" ca="1" si="43"/>
        <v>141-4</v>
      </c>
      <c r="AI17" s="30" t="str">
        <f t="shared" ca="1" si="13"/>
        <v/>
      </c>
      <c r="AJ17" s="29">
        <f t="shared" ca="1" si="14"/>
        <v>0</v>
      </c>
      <c r="AK17" s="29" t="str">
        <f t="shared" ca="1" si="15"/>
        <v>4/3</v>
      </c>
      <c r="AL17" s="29">
        <f t="shared" ca="1" si="16"/>
        <v>1.3333333333333333</v>
      </c>
      <c r="AM17" s="32">
        <f t="shared" ca="1" si="35"/>
        <v>1.3333333333333333</v>
      </c>
      <c r="AO17" s="20">
        <f>Tools!$AD16</f>
        <v>11</v>
      </c>
      <c r="AP17" s="33">
        <f t="shared" si="36"/>
        <v>11</v>
      </c>
      <c r="AQ17" s="34" t="str">
        <f t="shared" ca="1" si="18"/>
        <v>4/3</v>
      </c>
      <c r="AR17" s="23">
        <f t="shared" ca="1" si="19"/>
        <v>14.666666666666666</v>
      </c>
      <c r="AS17" s="24">
        <f t="shared" si="20"/>
        <v>1</v>
      </c>
      <c r="AT17" s="23">
        <f t="shared" ca="1" si="37"/>
        <v>14.666666666666666</v>
      </c>
      <c r="AU17" s="23">
        <f t="shared" ca="1" si="40"/>
        <v>14.666666666666666</v>
      </c>
      <c r="AV17" s="23">
        <f t="shared" si="21"/>
        <v>1331</v>
      </c>
      <c r="AW17" s="23">
        <f t="shared" ca="1" si="22"/>
        <v>1774.6666666666665</v>
      </c>
      <c r="AY17" s="35">
        <f t="shared" si="23"/>
        <v>174.57333333333332</v>
      </c>
      <c r="AZ17" s="23">
        <f t="shared" ca="1" si="41"/>
        <v>232.76444444444442</v>
      </c>
      <c r="BA17" s="36">
        <f t="shared" si="25"/>
        <v>703.3266666666666</v>
      </c>
      <c r="BB17" s="27">
        <f t="shared" ca="1" si="38"/>
        <v>937.7688888888888</v>
      </c>
      <c r="BC17" s="23">
        <f t="shared" ca="1" si="39"/>
        <v>232.76444444444442</v>
      </c>
      <c r="BE17" s="50" t="s">
        <v>47</v>
      </c>
      <c r="BF17" s="48" t="s">
        <v>48</v>
      </c>
      <c r="BG17" s="49">
        <f>IF(WL_No="  ","  ",IL-AWP*(LCF^2))</f>
        <v>3585234.4099141946</v>
      </c>
    </row>
    <row r="18" spans="1:59" x14ac:dyDescent="0.25">
      <c r="A18" s="20">
        <f>Tools!$AD17</f>
        <v>12</v>
      </c>
      <c r="B18" s="33">
        <f t="shared" si="0"/>
        <v>11</v>
      </c>
      <c r="C18" s="22">
        <f>IF(A18="  ","  ",IF(AND(A17="  ",A19="  "),"?",IF(A17="  ",1*(A19-A18),IF(A19="  ",1*(A18-A17),1*(A19-A17)))))</f>
        <v>2</v>
      </c>
      <c r="D18" s="23">
        <f t="shared" si="26"/>
        <v>22</v>
      </c>
      <c r="E18" s="24">
        <f t="shared" si="1"/>
        <v>2</v>
      </c>
      <c r="F18" s="23">
        <f t="shared" si="27"/>
        <v>44</v>
      </c>
      <c r="G18" s="23">
        <f t="shared" si="28"/>
        <v>88</v>
      </c>
      <c r="H18" s="23">
        <f t="shared" si="29"/>
        <v>1331</v>
      </c>
      <c r="I18" s="23">
        <f t="shared" si="30"/>
        <v>2662</v>
      </c>
      <c r="J18" s="4"/>
      <c r="K18" s="37">
        <f t="shared" si="2"/>
        <v>174.57333333333332</v>
      </c>
      <c r="L18" s="23">
        <f t="shared" si="31"/>
        <v>349.14666666666665</v>
      </c>
      <c r="M18" s="38">
        <f t="shared" si="3"/>
        <v>703.3266666666666</v>
      </c>
      <c r="N18" s="27">
        <f t="shared" si="32"/>
        <v>1406.6533333333332</v>
      </c>
      <c r="O18" s="23">
        <f t="shared" si="33"/>
        <v>698.29333333333329</v>
      </c>
      <c r="P18" s="4"/>
      <c r="Q18" s="50" t="s">
        <v>52</v>
      </c>
      <c r="R18" s="48" t="s">
        <v>53</v>
      </c>
      <c r="S18">
        <f>IF(Tools!$L$49="Use 141 rule only",I42,IF(Tools!$L$49="Use 141 and 1331 rules",BG19," "))</f>
        <v>20304.211288571805</v>
      </c>
      <c r="W18" s="29">
        <f>IF(AO18="  ","  ",IF(AND(AO17="  ",AO19="  "),"?",IF(AO17="  ",1*(AO19-AO18),IF(AO19="  ",1*(AO18-AO17),1*(AO19-AO17)))))</f>
        <v>2</v>
      </c>
      <c r="X18" s="30" t="str">
        <f t="shared" si="4"/>
        <v>WW</v>
      </c>
      <c r="Y18" s="30" t="str">
        <f t="shared" si="5"/>
        <v>-</v>
      </c>
      <c r="Z18" s="29" t="b">
        <f t="shared" si="6"/>
        <v>0</v>
      </c>
      <c r="AA18" s="29" t="b">
        <f t="shared" si="7"/>
        <v>0</v>
      </c>
      <c r="AB18" s="29" t="str">
        <f t="shared" ca="1" si="8"/>
        <v>++</v>
      </c>
      <c r="AC18" s="29">
        <f t="shared" si="34"/>
        <v>11</v>
      </c>
      <c r="AD18" s="29">
        <f t="shared" ca="1" si="9"/>
        <v>11</v>
      </c>
      <c r="AE18" s="29">
        <v>15</v>
      </c>
      <c r="AF18" s="31">
        <f t="shared" si="42"/>
        <v>11</v>
      </c>
      <c r="AG18" s="29" t="b">
        <f t="shared" si="11"/>
        <v>1</v>
      </c>
      <c r="AH18" s="30" t="str">
        <f t="shared" ca="1" si="43"/>
        <v>141-2</v>
      </c>
      <c r="AI18" s="30" t="str">
        <f t="shared" ca="1" si="13"/>
        <v/>
      </c>
      <c r="AJ18" s="29">
        <f t="shared" ca="1" si="14"/>
        <v>0</v>
      </c>
      <c r="AK18" s="29" t="str">
        <f t="shared" ca="1" si="15"/>
        <v>2/3</v>
      </c>
      <c r="AL18" s="29">
        <f t="shared" ca="1" si="16"/>
        <v>0.66666666666666663</v>
      </c>
      <c r="AM18" s="32">
        <f t="shared" ca="1" si="35"/>
        <v>0.66666666666666663</v>
      </c>
      <c r="AO18" s="20">
        <f>Tools!$AD17</f>
        <v>12</v>
      </c>
      <c r="AP18" s="33">
        <f t="shared" si="36"/>
        <v>11</v>
      </c>
      <c r="AQ18" s="34" t="str">
        <f t="shared" ca="1" si="18"/>
        <v>2/3</v>
      </c>
      <c r="AR18" s="23">
        <f t="shared" ca="1" si="19"/>
        <v>7.333333333333333</v>
      </c>
      <c r="AS18" s="24">
        <f t="shared" si="20"/>
        <v>2</v>
      </c>
      <c r="AT18" s="23">
        <f t="shared" ca="1" si="37"/>
        <v>14.666666666666666</v>
      </c>
      <c r="AU18" s="23">
        <f t="shared" ca="1" si="40"/>
        <v>29.333333333333332</v>
      </c>
      <c r="AV18" s="23">
        <f t="shared" si="21"/>
        <v>1331</v>
      </c>
      <c r="AW18" s="23">
        <f t="shared" ca="1" si="22"/>
        <v>887.33333333333326</v>
      </c>
      <c r="AY18" s="35">
        <f t="shared" si="23"/>
        <v>174.57333333333332</v>
      </c>
      <c r="AZ18" s="23">
        <f t="shared" ca="1" si="41"/>
        <v>116.38222222222221</v>
      </c>
      <c r="BA18" s="36">
        <f t="shared" si="25"/>
        <v>703.3266666666666</v>
      </c>
      <c r="BB18" s="27">
        <f t="shared" ca="1" si="38"/>
        <v>468.8844444444444</v>
      </c>
      <c r="BC18" s="23">
        <f t="shared" ca="1" si="39"/>
        <v>232.76444444444442</v>
      </c>
      <c r="BE18" s="50" t="s">
        <v>50</v>
      </c>
      <c r="BF18" s="48" t="s">
        <v>54</v>
      </c>
      <c r="BG18" s="49">
        <f ca="1">IF(WL_No="  ","  ",h*$AZ$29)</f>
        <v>19690.841573555557</v>
      </c>
    </row>
    <row r="19" spans="1:59" x14ac:dyDescent="0.25">
      <c r="A19" s="20">
        <f>Tools!$AD18</f>
        <v>13</v>
      </c>
      <c r="B19" s="33">
        <f t="shared" si="0"/>
        <v>11</v>
      </c>
      <c r="C19" s="22">
        <f>IF(A19="  ","  ",IF(AND(A18="  ",A20="  "),"?",IF(A18="  ",2*(A20-A19),IF(A20="  ",2*(A19-A18),2*(A20-A18)))))</f>
        <v>4</v>
      </c>
      <c r="D19" s="23">
        <f t="shared" si="26"/>
        <v>44</v>
      </c>
      <c r="E19" s="24">
        <f t="shared" si="1"/>
        <v>3</v>
      </c>
      <c r="F19" s="23">
        <f t="shared" si="27"/>
        <v>132</v>
      </c>
      <c r="G19" s="23">
        <f t="shared" si="28"/>
        <v>396</v>
      </c>
      <c r="H19" s="23">
        <f t="shared" si="29"/>
        <v>1331</v>
      </c>
      <c r="I19" s="23">
        <f t="shared" si="30"/>
        <v>5324</v>
      </c>
      <c r="J19" s="4"/>
      <c r="K19" s="37">
        <f t="shared" si="2"/>
        <v>174.57333333333332</v>
      </c>
      <c r="L19" s="23">
        <f t="shared" si="31"/>
        <v>698.29333333333329</v>
      </c>
      <c r="M19" s="38">
        <f t="shared" si="3"/>
        <v>703.3266666666666</v>
      </c>
      <c r="N19" s="27">
        <f t="shared" si="32"/>
        <v>2813.3066666666664</v>
      </c>
      <c r="O19" s="23">
        <f t="shared" si="33"/>
        <v>2094.88</v>
      </c>
      <c r="P19" s="4"/>
      <c r="Q19" s="50" t="s">
        <v>55</v>
      </c>
      <c r="R19" s="48" t="s">
        <v>56</v>
      </c>
      <c r="S19">
        <f>IF(Tools!$L$49="Use 141 rule only",I43,IF(Tools!$L$49="Use 141 and 1331 rules",BG20," "))</f>
        <v>81986.394677333315</v>
      </c>
      <c r="W19" s="29">
        <f>IF(AO19="  ","  ",IF(AND(AO18="  ",AO20="  "),"?",IF(AO18="  ",2*(AO20-AO19),IF(AO20="  ",2*(AO19-AO18),2*(AO20-AO18)))))</f>
        <v>4</v>
      </c>
      <c r="X19" s="30" t="str">
        <f t="shared" si="4"/>
        <v>WW</v>
      </c>
      <c r="Y19" s="30" t="str">
        <f t="shared" si="5"/>
        <v>-</v>
      </c>
      <c r="Z19" s="29" t="b">
        <f t="shared" si="6"/>
        <v>0</v>
      </c>
      <c r="AA19" s="29" t="b">
        <f t="shared" si="7"/>
        <v>0</v>
      </c>
      <c r="AB19" s="29" t="str">
        <f t="shared" ca="1" si="8"/>
        <v>++</v>
      </c>
      <c r="AC19" s="29">
        <f t="shared" si="34"/>
        <v>10</v>
      </c>
      <c r="AD19" s="29">
        <f t="shared" ca="1" si="9"/>
        <v>10</v>
      </c>
      <c r="AE19" s="29">
        <v>16</v>
      </c>
      <c r="AF19" s="31">
        <f t="shared" si="42"/>
        <v>12</v>
      </c>
      <c r="AG19" s="29" t="b">
        <f t="shared" si="11"/>
        <v>1</v>
      </c>
      <c r="AH19" s="30" t="str">
        <f t="shared" ca="1" si="43"/>
        <v>141-4</v>
      </c>
      <c r="AI19" s="30" t="str">
        <f t="shared" ca="1" si="13"/>
        <v/>
      </c>
      <c r="AJ19" s="29">
        <f t="shared" ca="1" si="14"/>
        <v>0</v>
      </c>
      <c r="AK19" s="29" t="str">
        <f t="shared" ca="1" si="15"/>
        <v>4/3</v>
      </c>
      <c r="AL19" s="29">
        <f t="shared" ca="1" si="16"/>
        <v>1.3333333333333333</v>
      </c>
      <c r="AM19" s="32">
        <f t="shared" ca="1" si="35"/>
        <v>1.3333333333333333</v>
      </c>
      <c r="AO19" s="20">
        <f>Tools!$AD18</f>
        <v>13</v>
      </c>
      <c r="AP19" s="33">
        <f t="shared" si="36"/>
        <v>11</v>
      </c>
      <c r="AQ19" s="34" t="str">
        <f t="shared" ca="1" si="18"/>
        <v>4/3</v>
      </c>
      <c r="AR19" s="23">
        <f t="shared" ca="1" si="19"/>
        <v>14.666666666666666</v>
      </c>
      <c r="AS19" s="24">
        <f t="shared" si="20"/>
        <v>3</v>
      </c>
      <c r="AT19" s="23">
        <f t="shared" ca="1" si="37"/>
        <v>44</v>
      </c>
      <c r="AU19" s="23">
        <f t="shared" ca="1" si="40"/>
        <v>132</v>
      </c>
      <c r="AV19" s="23">
        <f t="shared" si="21"/>
        <v>1331</v>
      </c>
      <c r="AW19" s="23">
        <f t="shared" ca="1" si="22"/>
        <v>1774.6666666666665</v>
      </c>
      <c r="AY19" s="35">
        <f t="shared" si="23"/>
        <v>174.57333333333332</v>
      </c>
      <c r="AZ19" s="23">
        <f t="shared" ca="1" si="41"/>
        <v>232.76444444444442</v>
      </c>
      <c r="BA19" s="36">
        <f t="shared" si="25"/>
        <v>703.3266666666666</v>
      </c>
      <c r="BB19" s="27">
        <f t="shared" ca="1" si="38"/>
        <v>937.7688888888888</v>
      </c>
      <c r="BC19" s="23">
        <f t="shared" ca="1" si="39"/>
        <v>698.29333333333329</v>
      </c>
      <c r="BE19" s="50" t="s">
        <v>52</v>
      </c>
      <c r="BF19" s="48" t="s">
        <v>53</v>
      </c>
      <c r="BG19" s="49">
        <f>IF(WL_No="  ","  ",V_Disp*1.025*1.006)</f>
        <v>20304.211288571805</v>
      </c>
    </row>
    <row r="20" spans="1:59" x14ac:dyDescent="0.25">
      <c r="A20" s="20">
        <f>Tools!$AD19</f>
        <v>14</v>
      </c>
      <c r="B20" s="33">
        <f t="shared" si="0"/>
        <v>11</v>
      </c>
      <c r="C20" s="22">
        <f>IF(A20="  ","  ",IF(AND(A19="  ",A21="  "),"?",IF(A19="  ",1*(A21-A20),IF(A21="  ",1*(A20-A19),1*(A21-A19)))))</f>
        <v>2</v>
      </c>
      <c r="D20" s="23">
        <f t="shared" si="26"/>
        <v>22</v>
      </c>
      <c r="E20" s="24">
        <f t="shared" si="1"/>
        <v>4</v>
      </c>
      <c r="F20" s="23">
        <f t="shared" si="27"/>
        <v>88</v>
      </c>
      <c r="G20" s="23">
        <f t="shared" si="28"/>
        <v>352</v>
      </c>
      <c r="H20" s="23">
        <f t="shared" si="29"/>
        <v>1331</v>
      </c>
      <c r="I20" s="23">
        <f t="shared" si="30"/>
        <v>2662</v>
      </c>
      <c r="J20" s="4"/>
      <c r="K20" s="37">
        <f t="shared" si="2"/>
        <v>174.19333333333333</v>
      </c>
      <c r="L20" s="23">
        <f t="shared" si="31"/>
        <v>348.38666666666666</v>
      </c>
      <c r="M20" s="38">
        <f t="shared" si="3"/>
        <v>703.06</v>
      </c>
      <c r="N20" s="27">
        <f t="shared" si="32"/>
        <v>1406.12</v>
      </c>
      <c r="O20" s="23">
        <f t="shared" si="33"/>
        <v>1393.5466666666666</v>
      </c>
      <c r="P20" s="4"/>
      <c r="Q20" s="50" t="s">
        <v>57</v>
      </c>
      <c r="R20" s="48" t="s">
        <v>58</v>
      </c>
      <c r="S20">
        <f>IF(Tools!$L$49="Use 141 rule only",I44,IF(Tools!$L$49="Use 141 and 1331 rules",BG21," "))</f>
        <v>72314.430521862218</v>
      </c>
      <c r="W20" s="29">
        <f>IF(AO20="  ","  ",IF(AND(AO19="  ",AO21="  "),"?",IF(AO19="  ",1*(AO21-AO20),IF(AO21="  ",1*(AO20-AO19),1*(AO21-AO19)))))</f>
        <v>2</v>
      </c>
      <c r="X20" s="30" t="str">
        <f t="shared" si="4"/>
        <v>WW</v>
      </c>
      <c r="Y20" s="30" t="str">
        <f t="shared" si="5"/>
        <v>-</v>
      </c>
      <c r="Z20" s="29" t="b">
        <f t="shared" si="6"/>
        <v>0</v>
      </c>
      <c r="AA20" s="29" t="b">
        <f t="shared" si="7"/>
        <v>0</v>
      </c>
      <c r="AB20" s="29" t="str">
        <f t="shared" ca="1" si="8"/>
        <v>++</v>
      </c>
      <c r="AC20" s="29">
        <f t="shared" si="34"/>
        <v>9</v>
      </c>
      <c r="AD20" s="29">
        <f t="shared" ca="1" si="9"/>
        <v>9</v>
      </c>
      <c r="AE20" s="29">
        <v>17</v>
      </c>
      <c r="AF20" s="31">
        <f t="shared" si="42"/>
        <v>13</v>
      </c>
      <c r="AG20" s="29" t="b">
        <f t="shared" si="11"/>
        <v>1</v>
      </c>
      <c r="AH20" s="30" t="str">
        <f t="shared" ca="1" si="43"/>
        <v>141-2</v>
      </c>
      <c r="AI20" s="30" t="str">
        <f t="shared" ca="1" si="13"/>
        <v/>
      </c>
      <c r="AJ20" s="29">
        <f t="shared" ca="1" si="14"/>
        <v>0</v>
      </c>
      <c r="AK20" s="29" t="str">
        <f t="shared" ca="1" si="15"/>
        <v>2/3</v>
      </c>
      <c r="AL20" s="29">
        <f t="shared" ca="1" si="16"/>
        <v>0.66666666666666663</v>
      </c>
      <c r="AM20" s="32">
        <f t="shared" ca="1" si="35"/>
        <v>0.66666666666666663</v>
      </c>
      <c r="AO20" s="20">
        <f>Tools!$AD19</f>
        <v>14</v>
      </c>
      <c r="AP20" s="33">
        <f t="shared" si="36"/>
        <v>11</v>
      </c>
      <c r="AQ20" s="34" t="str">
        <f t="shared" ca="1" si="18"/>
        <v>2/3</v>
      </c>
      <c r="AR20" s="23">
        <f t="shared" ca="1" si="19"/>
        <v>7.333333333333333</v>
      </c>
      <c r="AS20" s="24">
        <f t="shared" si="20"/>
        <v>4</v>
      </c>
      <c r="AT20" s="23">
        <f t="shared" ca="1" si="37"/>
        <v>29.333333333333332</v>
      </c>
      <c r="AU20" s="23">
        <f t="shared" ca="1" si="40"/>
        <v>117.33333333333333</v>
      </c>
      <c r="AV20" s="23">
        <f t="shared" si="21"/>
        <v>1331</v>
      </c>
      <c r="AW20" s="23">
        <f t="shared" ca="1" si="22"/>
        <v>887.33333333333326</v>
      </c>
      <c r="AY20" s="35">
        <f t="shared" si="23"/>
        <v>174.19333333333333</v>
      </c>
      <c r="AZ20" s="23">
        <f t="shared" ca="1" si="41"/>
        <v>116.12888888888888</v>
      </c>
      <c r="BA20" s="36">
        <f t="shared" si="25"/>
        <v>703.06</v>
      </c>
      <c r="BB20" s="27">
        <f t="shared" ca="1" si="38"/>
        <v>468.70666666666659</v>
      </c>
      <c r="BC20" s="23">
        <f t="shared" ca="1" si="39"/>
        <v>464.51555555555552</v>
      </c>
      <c r="BE20" s="50" t="s">
        <v>55</v>
      </c>
      <c r="BF20" s="48" t="s">
        <v>59</v>
      </c>
      <c r="BG20" s="49">
        <f ca="1">IF(WL_No="  ","  ",h*$BB$29)</f>
        <v>81986.394677333301</v>
      </c>
    </row>
    <row r="21" spans="1:59" x14ac:dyDescent="0.25">
      <c r="A21" s="20">
        <f>Tools!$AD20</f>
        <v>15</v>
      </c>
      <c r="B21" s="33">
        <f t="shared" si="0"/>
        <v>11</v>
      </c>
      <c r="C21" s="22">
        <f>IF(A21="  ","  ",IF(AND(A20="  ",A22="  "),"?",IF(A20="  ",2*(A22-A21),IF(A22="  ",2*(A21-A20),2*(A22-A20)))))</f>
        <v>4</v>
      </c>
      <c r="D21" s="23">
        <f t="shared" si="26"/>
        <v>44</v>
      </c>
      <c r="E21" s="24">
        <f t="shared" si="1"/>
        <v>5</v>
      </c>
      <c r="F21" s="23">
        <f t="shared" si="27"/>
        <v>220</v>
      </c>
      <c r="G21" s="23">
        <f t="shared" si="28"/>
        <v>1100</v>
      </c>
      <c r="H21" s="23">
        <f t="shared" si="29"/>
        <v>1331</v>
      </c>
      <c r="I21" s="23">
        <f t="shared" si="30"/>
        <v>5324</v>
      </c>
      <c r="J21" s="4"/>
      <c r="K21" s="37">
        <f t="shared" si="2"/>
        <v>171.84666666666666</v>
      </c>
      <c r="L21" s="23">
        <f t="shared" si="31"/>
        <v>687.38666666666666</v>
      </c>
      <c r="M21" s="38">
        <f t="shared" si="3"/>
        <v>700.14</v>
      </c>
      <c r="N21" s="27">
        <f t="shared" si="32"/>
        <v>2800.56</v>
      </c>
      <c r="O21" s="23">
        <f t="shared" si="33"/>
        <v>3436.9333333333334</v>
      </c>
      <c r="P21" s="4"/>
      <c r="Q21" s="50" t="s">
        <v>60</v>
      </c>
      <c r="R21" s="48" t="s">
        <v>61</v>
      </c>
      <c r="S21">
        <f>IF(Tools!$L$49="Use 141 rule only",I45,IF(Tools!$L$49="Use 141 and 1331 rules",BG22," "))</f>
        <v>182.07624069908218</v>
      </c>
      <c r="W21" s="29">
        <f>IF(AO21="  ","  ",IF(AND(AO20="  ",AO22="  "),"?",IF(AO20="  ",2*(AO22-AO21),IF(AO22="  ",2*(AO21-AO20),2*(AO22-AO20)))))</f>
        <v>4</v>
      </c>
      <c r="X21" s="30" t="str">
        <f t="shared" si="4"/>
        <v>WW</v>
      </c>
      <c r="Y21" s="30" t="str">
        <f t="shared" si="5"/>
        <v>-</v>
      </c>
      <c r="Z21" s="29" t="b">
        <f t="shared" si="6"/>
        <v>0</v>
      </c>
      <c r="AA21" s="29" t="b">
        <f t="shared" si="7"/>
        <v>0</v>
      </c>
      <c r="AB21" s="29" t="str">
        <f t="shared" ca="1" si="8"/>
        <v>++</v>
      </c>
      <c r="AC21" s="29">
        <f t="shared" si="34"/>
        <v>8</v>
      </c>
      <c r="AD21" s="29">
        <f t="shared" ca="1" si="9"/>
        <v>8</v>
      </c>
      <c r="AE21" s="29">
        <v>18</v>
      </c>
      <c r="AF21" s="31">
        <f t="shared" si="42"/>
        <v>14</v>
      </c>
      <c r="AG21" s="29" t="b">
        <f t="shared" si="11"/>
        <v>1</v>
      </c>
      <c r="AH21" s="30" t="str">
        <f t="shared" ca="1" si="43"/>
        <v>141-4</v>
      </c>
      <c r="AI21" s="30" t="str">
        <f t="shared" ca="1" si="13"/>
        <v/>
      </c>
      <c r="AJ21" s="29">
        <f t="shared" ca="1" si="14"/>
        <v>0</v>
      </c>
      <c r="AK21" s="29" t="str">
        <f t="shared" ca="1" si="15"/>
        <v>4/3</v>
      </c>
      <c r="AL21" s="29">
        <f t="shared" ca="1" si="16"/>
        <v>1.3333333333333333</v>
      </c>
      <c r="AM21" s="32">
        <f t="shared" ca="1" si="35"/>
        <v>1.3333333333333333</v>
      </c>
      <c r="AO21" s="20">
        <f>Tools!$AD20</f>
        <v>15</v>
      </c>
      <c r="AP21" s="33">
        <f t="shared" si="36"/>
        <v>11</v>
      </c>
      <c r="AQ21" s="34" t="str">
        <f t="shared" ca="1" si="18"/>
        <v>4/3</v>
      </c>
      <c r="AR21" s="23">
        <f t="shared" ca="1" si="19"/>
        <v>14.666666666666666</v>
      </c>
      <c r="AS21" s="24">
        <f t="shared" si="20"/>
        <v>5</v>
      </c>
      <c r="AT21" s="23">
        <f t="shared" ca="1" si="37"/>
        <v>73.333333333333329</v>
      </c>
      <c r="AU21" s="23">
        <f t="shared" ca="1" si="40"/>
        <v>366.66666666666663</v>
      </c>
      <c r="AV21" s="23">
        <f t="shared" si="21"/>
        <v>1331</v>
      </c>
      <c r="AW21" s="23">
        <f t="shared" ca="1" si="22"/>
        <v>1774.6666666666665</v>
      </c>
      <c r="AY21" s="35">
        <f t="shared" si="23"/>
        <v>171.84666666666666</v>
      </c>
      <c r="AZ21" s="23">
        <f t="shared" ca="1" si="41"/>
        <v>229.12888888888887</v>
      </c>
      <c r="BA21" s="36">
        <f t="shared" si="25"/>
        <v>700.14</v>
      </c>
      <c r="BB21" s="27">
        <f t="shared" ca="1" si="38"/>
        <v>933.52</v>
      </c>
      <c r="BC21" s="23">
        <f t="shared" ca="1" si="39"/>
        <v>1145.6444444444444</v>
      </c>
      <c r="BE21" s="50" t="s">
        <v>57</v>
      </c>
      <c r="BF21" s="48" t="s">
        <v>62</v>
      </c>
      <c r="BG21" s="49">
        <f ca="1">IF(WL_No="  ","  ",(h^2)*$BC$29)</f>
        <v>72314.430521862188</v>
      </c>
    </row>
    <row r="22" spans="1:59" x14ac:dyDescent="0.25">
      <c r="A22" s="20">
        <f>Tools!$AD21</f>
        <v>16</v>
      </c>
      <c r="B22" s="33">
        <f t="shared" si="0"/>
        <v>10.8</v>
      </c>
      <c r="C22" s="22">
        <f>IF(A22="  ","  ",IF(AND(A21="  ",A23="  "),"?",IF(A21="  ",1*(A23-A22),IF(A23="  ",1*(A22-A21),1*(A23-A21)))))</f>
        <v>2</v>
      </c>
      <c r="D22" s="23">
        <f t="shared" si="26"/>
        <v>21.6</v>
      </c>
      <c r="E22" s="24">
        <f t="shared" si="1"/>
        <v>6</v>
      </c>
      <c r="F22" s="23">
        <f t="shared" si="27"/>
        <v>129.60000000000002</v>
      </c>
      <c r="G22" s="23">
        <f t="shared" si="28"/>
        <v>777.60000000000014</v>
      </c>
      <c r="H22" s="23">
        <f t="shared" si="29"/>
        <v>1259.7120000000002</v>
      </c>
      <c r="I22" s="23">
        <f t="shared" si="30"/>
        <v>2519.4240000000004</v>
      </c>
      <c r="J22" s="4"/>
      <c r="K22" s="37">
        <f t="shared" si="2"/>
        <v>162.83333333333331</v>
      </c>
      <c r="L22" s="23">
        <f t="shared" si="31"/>
        <v>325.66666666666663</v>
      </c>
      <c r="M22" s="38">
        <f t="shared" si="3"/>
        <v>674.70999999999992</v>
      </c>
      <c r="N22" s="27">
        <f t="shared" si="32"/>
        <v>1349.4199999999998</v>
      </c>
      <c r="O22" s="23">
        <f t="shared" si="33"/>
        <v>1953.9999999999998</v>
      </c>
      <c r="P22" s="4"/>
      <c r="Q22" s="50" t="s">
        <v>63</v>
      </c>
      <c r="R22" s="48" t="s">
        <v>64</v>
      </c>
      <c r="S22">
        <f>IF(Tools!$L$49="Use 141 rule only",I46,IF(Tools!$L$49="Use 141 and 1331 rules",BG23," "))</f>
        <v>4.7917167902981301</v>
      </c>
      <c r="W22" s="29">
        <f>IF(AO22="  ","  ",IF(AND(AO21="  ",AO23="  "),"?",IF(AO21="  ",1*(AO23-AO22),IF(AO23="  ",1*(AO22-AO21),1*(AO23-AO21)))))</f>
        <v>2</v>
      </c>
      <c r="X22" s="30" t="str">
        <f t="shared" si="4"/>
        <v>WW</v>
      </c>
      <c r="Y22" s="30" t="str">
        <f t="shared" si="5"/>
        <v>-</v>
      </c>
      <c r="Z22" s="29" t="b">
        <f t="shared" si="6"/>
        <v>0</v>
      </c>
      <c r="AA22" s="29" t="b">
        <f t="shared" si="7"/>
        <v>0</v>
      </c>
      <c r="AB22" s="29" t="str">
        <f t="shared" ca="1" si="8"/>
        <v>++</v>
      </c>
      <c r="AC22" s="29">
        <f t="shared" si="34"/>
        <v>7</v>
      </c>
      <c r="AD22" s="29">
        <f t="shared" ca="1" si="9"/>
        <v>7</v>
      </c>
      <c r="AE22" s="29">
        <v>19</v>
      </c>
      <c r="AF22" s="31">
        <f t="shared" si="42"/>
        <v>15</v>
      </c>
      <c r="AG22" s="29" t="b">
        <f t="shared" si="11"/>
        <v>1</v>
      </c>
      <c r="AH22" s="30" t="str">
        <f t="shared" ca="1" si="43"/>
        <v>141-2</v>
      </c>
      <c r="AI22" s="30" t="str">
        <f t="shared" ca="1" si="13"/>
        <v/>
      </c>
      <c r="AJ22" s="29">
        <f t="shared" ca="1" si="14"/>
        <v>0</v>
      </c>
      <c r="AK22" s="29" t="str">
        <f t="shared" ca="1" si="15"/>
        <v>2/3</v>
      </c>
      <c r="AL22" s="29">
        <f t="shared" ca="1" si="16"/>
        <v>0.66666666666666663</v>
      </c>
      <c r="AM22" s="32">
        <f t="shared" ca="1" si="35"/>
        <v>0.66666666666666663</v>
      </c>
      <c r="AO22" s="20">
        <f>Tools!$AD21</f>
        <v>16</v>
      </c>
      <c r="AP22" s="33">
        <f t="shared" si="36"/>
        <v>10.8</v>
      </c>
      <c r="AQ22" s="34" t="str">
        <f t="shared" ca="1" si="18"/>
        <v>2/3</v>
      </c>
      <c r="AR22" s="23">
        <f t="shared" ca="1" si="19"/>
        <v>7.2</v>
      </c>
      <c r="AS22" s="24">
        <f t="shared" si="20"/>
        <v>6</v>
      </c>
      <c r="AT22" s="23">
        <f t="shared" ca="1" si="37"/>
        <v>43.2</v>
      </c>
      <c r="AU22" s="23">
        <f t="shared" ca="1" si="40"/>
        <v>259.20000000000005</v>
      </c>
      <c r="AV22" s="23">
        <f t="shared" si="21"/>
        <v>1259.7120000000002</v>
      </c>
      <c r="AW22" s="23">
        <f t="shared" ca="1" si="22"/>
        <v>839.80800000000011</v>
      </c>
      <c r="AY22" s="35">
        <f t="shared" si="23"/>
        <v>162.83333333333331</v>
      </c>
      <c r="AZ22" s="23">
        <f t="shared" ca="1" si="41"/>
        <v>108.55555555555554</v>
      </c>
      <c r="BA22" s="36">
        <f t="shared" si="25"/>
        <v>674.70999999999992</v>
      </c>
      <c r="BB22" s="27">
        <f t="shared" ca="1" si="38"/>
        <v>449.80666666666662</v>
      </c>
      <c r="BC22" s="23">
        <f t="shared" ca="1" si="39"/>
        <v>651.33333333333326</v>
      </c>
      <c r="BE22" s="50" t="s">
        <v>60</v>
      </c>
      <c r="BF22" s="48" t="s">
        <v>61</v>
      </c>
      <c r="BG22" s="49">
        <f>IF(WL_No="  ","  ",IF/V_Disp)</f>
        <v>182.07624069908218</v>
      </c>
    </row>
    <row r="23" spans="1:59" x14ac:dyDescent="0.25">
      <c r="A23" s="20">
        <f>Tools!$AD22</f>
        <v>17</v>
      </c>
      <c r="B23" s="33">
        <f t="shared" si="0"/>
        <v>9.99</v>
      </c>
      <c r="C23" s="22">
        <f>IF(A23="  ","  ",IF(AND(A22="  ",A24="  "),"?",IF(A22="  ",2*(A24-A23),IF(A24="  ",2*(A23-A22),2*(A24-A22)))))</f>
        <v>4</v>
      </c>
      <c r="D23" s="23">
        <f t="shared" si="26"/>
        <v>39.96</v>
      </c>
      <c r="E23" s="24">
        <f t="shared" si="1"/>
        <v>7</v>
      </c>
      <c r="F23" s="23">
        <f t="shared" si="27"/>
        <v>279.72000000000003</v>
      </c>
      <c r="G23" s="23">
        <f t="shared" si="28"/>
        <v>1958.0400000000002</v>
      </c>
      <c r="H23" s="23">
        <f t="shared" si="29"/>
        <v>997.00299900000005</v>
      </c>
      <c r="I23" s="23">
        <f t="shared" si="30"/>
        <v>3988.0119960000002</v>
      </c>
      <c r="J23" s="4"/>
      <c r="K23" s="37">
        <f t="shared" si="2"/>
        <v>142.70333333333332</v>
      </c>
      <c r="L23" s="23">
        <f t="shared" si="31"/>
        <v>570.81333333333328</v>
      </c>
      <c r="M23" s="38">
        <f t="shared" si="3"/>
        <v>605.24333333333334</v>
      </c>
      <c r="N23" s="27">
        <f t="shared" si="32"/>
        <v>2420.9733333333334</v>
      </c>
      <c r="O23" s="23">
        <f t="shared" si="33"/>
        <v>3995.6933333333327</v>
      </c>
      <c r="P23" s="4"/>
      <c r="Q23" s="50" t="s">
        <v>65</v>
      </c>
      <c r="R23" s="48" t="s">
        <v>66</v>
      </c>
      <c r="S23">
        <f>IF(Tools!$L$49="Use 141 rule only",I47,IF(Tools!$L$49="Use 141 and 1331 rules",BG24," "))</f>
        <v>4.1636815963945182</v>
      </c>
      <c r="W23" s="29">
        <f>IF(AO23="  ","  ",IF(AND(AO22="  ",AO24="  "),"?",IF(AO22="  ",2*(AO24-AO23),IF(AO24="  ",2*(AO23-AO22),2*(AO24-AO22)))))</f>
        <v>4</v>
      </c>
      <c r="X23" s="30" t="str">
        <f t="shared" si="4"/>
        <v>WW</v>
      </c>
      <c r="Y23" s="30" t="str">
        <f t="shared" si="5"/>
        <v>-</v>
      </c>
      <c r="Z23" s="29" t="b">
        <f t="shared" si="6"/>
        <v>0</v>
      </c>
      <c r="AA23" s="29" t="b">
        <f t="shared" si="7"/>
        <v>0</v>
      </c>
      <c r="AB23" s="29" t="str">
        <f t="shared" ca="1" si="8"/>
        <v>++</v>
      </c>
      <c r="AC23" s="29">
        <f t="shared" si="34"/>
        <v>6</v>
      </c>
      <c r="AD23" s="29">
        <f t="shared" ca="1" si="9"/>
        <v>6</v>
      </c>
      <c r="AE23" s="29">
        <v>20</v>
      </c>
      <c r="AF23" s="31">
        <f t="shared" si="42"/>
        <v>16</v>
      </c>
      <c r="AG23" s="29" t="b">
        <f t="shared" si="11"/>
        <v>1</v>
      </c>
      <c r="AH23" s="30" t="str">
        <f t="shared" ca="1" si="43"/>
        <v>141-4</v>
      </c>
      <c r="AI23" s="30" t="str">
        <f t="shared" ca="1" si="13"/>
        <v/>
      </c>
      <c r="AJ23" s="29">
        <f t="shared" ca="1" si="14"/>
        <v>0</v>
      </c>
      <c r="AK23" s="29" t="str">
        <f t="shared" ca="1" si="15"/>
        <v>4/3</v>
      </c>
      <c r="AL23" s="29">
        <f t="shared" ca="1" si="16"/>
        <v>1.3333333333333333</v>
      </c>
      <c r="AM23" s="32">
        <f t="shared" ca="1" si="35"/>
        <v>1.3333333333333333</v>
      </c>
      <c r="AO23" s="20">
        <f>Tools!$AD22</f>
        <v>17</v>
      </c>
      <c r="AP23" s="33">
        <f t="shared" si="36"/>
        <v>9.99</v>
      </c>
      <c r="AQ23" s="34" t="str">
        <f t="shared" ca="1" si="18"/>
        <v>4/3</v>
      </c>
      <c r="AR23" s="23">
        <f t="shared" ca="1" si="19"/>
        <v>13.32</v>
      </c>
      <c r="AS23" s="24">
        <f t="shared" si="20"/>
        <v>7</v>
      </c>
      <c r="AT23" s="23">
        <f t="shared" ca="1" si="37"/>
        <v>93.240000000000009</v>
      </c>
      <c r="AU23" s="23">
        <f t="shared" ca="1" si="40"/>
        <v>652.68000000000006</v>
      </c>
      <c r="AV23" s="23">
        <f t="shared" si="21"/>
        <v>997.00299900000005</v>
      </c>
      <c r="AW23" s="23">
        <f t="shared" ca="1" si="22"/>
        <v>1329.3373320000001</v>
      </c>
      <c r="AY23" s="35">
        <f t="shared" si="23"/>
        <v>142.70333333333332</v>
      </c>
      <c r="AZ23" s="23">
        <f t="shared" ca="1" si="41"/>
        <v>190.27111111111108</v>
      </c>
      <c r="BA23" s="36">
        <f t="shared" si="25"/>
        <v>605.24333333333334</v>
      </c>
      <c r="BB23" s="27">
        <f t="shared" ca="1" si="38"/>
        <v>806.99111111111108</v>
      </c>
      <c r="BC23" s="23">
        <f t="shared" ca="1" si="39"/>
        <v>1331.8977777777775</v>
      </c>
      <c r="BE23" s="50" t="s">
        <v>63</v>
      </c>
      <c r="BF23" s="48" t="s">
        <v>64</v>
      </c>
      <c r="BG23" s="49">
        <f>IF(WL_No="  ","  ",IT/V_Disp)</f>
        <v>4.7917167902981301</v>
      </c>
    </row>
    <row r="24" spans="1:59" x14ac:dyDescent="0.25">
      <c r="A24" s="20">
        <f>Tools!$AD23</f>
        <v>18</v>
      </c>
      <c r="B24" s="33">
        <f t="shared" si="0"/>
        <v>7.9291999999999998</v>
      </c>
      <c r="C24" s="22">
        <f>IF(A24="  ","  ",IF(AND(A23="  ",A25="  "),"?",IF(A23="  ",1*(A25-A24),IF(A25="  ",1*(A24-A23),1*(A25-A23)))))</f>
        <v>1.5</v>
      </c>
      <c r="D24" s="23">
        <f t="shared" si="26"/>
        <v>11.893799999999999</v>
      </c>
      <c r="E24" s="24">
        <f t="shared" si="1"/>
        <v>8</v>
      </c>
      <c r="F24" s="23">
        <f t="shared" si="27"/>
        <v>95.150399999999991</v>
      </c>
      <c r="G24" s="23">
        <f t="shared" si="28"/>
        <v>761.20319999999992</v>
      </c>
      <c r="H24" s="23">
        <f t="shared" si="29"/>
        <v>498.52634846508795</v>
      </c>
      <c r="I24" s="23">
        <f t="shared" si="30"/>
        <v>747.78952269763192</v>
      </c>
      <c r="J24" s="4"/>
      <c r="K24" s="37">
        <f t="shared" si="2"/>
        <v>107.92226666666666</v>
      </c>
      <c r="L24" s="23">
        <f t="shared" si="31"/>
        <v>161.88339999999999</v>
      </c>
      <c r="M24" s="38">
        <f t="shared" si="3"/>
        <v>467.82479999999998</v>
      </c>
      <c r="N24" s="27">
        <f t="shared" si="32"/>
        <v>701.73720000000003</v>
      </c>
      <c r="O24" s="23">
        <f t="shared" si="33"/>
        <v>1295.0672</v>
      </c>
      <c r="P24" s="4"/>
      <c r="Q24" s="50" t="s">
        <v>67</v>
      </c>
      <c r="R24" s="48" t="s">
        <v>68</v>
      </c>
      <c r="S24">
        <f>IF(Tools!$L$49="Use 141 rule only",I48,IF(Tools!$L$49="Use 141 and 1331 rules",BG25," "))</f>
        <v>8.9553983866926483</v>
      </c>
      <c r="W24" s="29">
        <f>IF(AO24="  ","  ",IF(AND(AO23="  ",AO25="  "),"?",IF(AO23="  ",1*(AO25-AO24),IF(AO25="  ",1*(AO24-AO23),1*(AO25-AO23)))))</f>
        <v>1.5</v>
      </c>
      <c r="X24" s="30" t="str">
        <f t="shared" si="4"/>
        <v>WD</v>
      </c>
      <c r="Y24" s="30" t="str">
        <f t="shared" si="5"/>
        <v>-</v>
      </c>
      <c r="Z24" s="29" t="b">
        <f t="shared" si="6"/>
        <v>1</v>
      </c>
      <c r="AA24" s="29" t="b">
        <f t="shared" si="7"/>
        <v>1</v>
      </c>
      <c r="AB24" s="29" t="str">
        <f t="shared" ca="1" si="8"/>
        <v>141-1</v>
      </c>
      <c r="AC24" s="29">
        <f t="shared" si="34"/>
        <v>5</v>
      </c>
      <c r="AD24" s="29">
        <f t="shared" ca="1" si="9"/>
        <v>5</v>
      </c>
      <c r="AE24" s="29">
        <v>21</v>
      </c>
      <c r="AF24" s="31">
        <f t="shared" si="42"/>
        <v>17</v>
      </c>
      <c r="AG24" s="29" t="b">
        <f t="shared" si="11"/>
        <v>1</v>
      </c>
      <c r="AH24" s="30" t="str">
        <f t="shared" ca="1" si="43"/>
        <v>141-1</v>
      </c>
      <c r="AI24" s="30" t="str">
        <f t="shared" ca="1" si="13"/>
        <v>(1/2)*(1/3)</v>
      </c>
      <c r="AJ24" s="29">
        <f t="shared" ca="1" si="14"/>
        <v>0.16666666666666666</v>
      </c>
      <c r="AK24" s="29" t="str">
        <f t="shared" ca="1" si="15"/>
        <v>1/3</v>
      </c>
      <c r="AL24" s="29">
        <f t="shared" ca="1" si="16"/>
        <v>0.33333333333333331</v>
      </c>
      <c r="AM24" s="32">
        <f t="shared" ca="1" si="35"/>
        <v>0.5</v>
      </c>
      <c r="AO24" s="20">
        <f>Tools!$AD23</f>
        <v>18</v>
      </c>
      <c r="AP24" s="33">
        <f t="shared" si="36"/>
        <v>7.9291999999999998</v>
      </c>
      <c r="AQ24" s="34" t="str">
        <f t="shared" ca="1" si="18"/>
        <v>(1/2)*(1/3)+1/3</v>
      </c>
      <c r="AR24" s="23">
        <f t="shared" ca="1" si="19"/>
        <v>3.9645999999999999</v>
      </c>
      <c r="AS24" s="24">
        <f t="shared" si="20"/>
        <v>8</v>
      </c>
      <c r="AT24" s="23">
        <f t="shared" ca="1" si="37"/>
        <v>31.716799999999999</v>
      </c>
      <c r="AU24" s="23">
        <f t="shared" ca="1" si="40"/>
        <v>253.73439999999999</v>
      </c>
      <c r="AV24" s="23">
        <f t="shared" si="21"/>
        <v>498.52634846508795</v>
      </c>
      <c r="AW24" s="23">
        <f t="shared" ca="1" si="22"/>
        <v>249.26317423254397</v>
      </c>
      <c r="AY24" s="35">
        <f t="shared" si="23"/>
        <v>107.92226666666666</v>
      </c>
      <c r="AZ24" s="23">
        <f t="shared" ca="1" si="41"/>
        <v>53.961133333333329</v>
      </c>
      <c r="BA24" s="36">
        <f t="shared" si="25"/>
        <v>467.82479999999998</v>
      </c>
      <c r="BB24" s="27">
        <f t="shared" ca="1" si="38"/>
        <v>233.91239999999999</v>
      </c>
      <c r="BC24" s="23">
        <f t="shared" ca="1" si="39"/>
        <v>431.68906666666663</v>
      </c>
      <c r="BE24" s="50" t="s">
        <v>65</v>
      </c>
      <c r="BF24" s="48" t="s">
        <v>66</v>
      </c>
      <c r="BG24" s="49">
        <f>IF(WL_No="  ","  ",MT/V_Disp)</f>
        <v>4.1636815963945182</v>
      </c>
    </row>
    <row r="25" spans="1:59" x14ac:dyDescent="0.25">
      <c r="A25" s="20">
        <f>Tools!$AD24</f>
        <v>18.5</v>
      </c>
      <c r="B25" s="33">
        <f t="shared" si="0"/>
        <v>6.39</v>
      </c>
      <c r="C25" s="22">
        <f>IF(A25="  ","  ",IF(AND(A24="  ",A26="  "),"?",IF(A24="  ",2*(A26-A25),IF(A26="  ",2*(A25-A24),2*(A26-A24)))))</f>
        <v>2</v>
      </c>
      <c r="D25" s="23">
        <f t="shared" si="26"/>
        <v>12.78</v>
      </c>
      <c r="E25" s="24">
        <f t="shared" si="1"/>
        <v>8.5</v>
      </c>
      <c r="F25" s="23">
        <f t="shared" si="27"/>
        <v>108.63</v>
      </c>
      <c r="G25" s="23">
        <f t="shared" si="28"/>
        <v>923.35500000000002</v>
      </c>
      <c r="H25" s="23">
        <f t="shared" si="29"/>
        <v>260.91711899999996</v>
      </c>
      <c r="I25" s="23">
        <f t="shared" si="30"/>
        <v>521.83423799999991</v>
      </c>
      <c r="J25" s="4"/>
      <c r="K25" s="37">
        <f t="shared" si="2"/>
        <v>85.31</v>
      </c>
      <c r="L25" s="23">
        <f t="shared" si="31"/>
        <v>170.62</v>
      </c>
      <c r="M25" s="38">
        <f t="shared" si="3"/>
        <v>373.28</v>
      </c>
      <c r="N25" s="27">
        <f t="shared" si="32"/>
        <v>746.56</v>
      </c>
      <c r="O25" s="23">
        <f t="shared" si="33"/>
        <v>1450.27</v>
      </c>
      <c r="P25" s="4"/>
      <c r="Q25" s="50" t="s">
        <v>69</v>
      </c>
      <c r="R25" s="48" t="s">
        <v>70</v>
      </c>
      <c r="S25">
        <f>IF(Tools!$L$49="Use 141 rule only",I49,IF(Tools!$L$49="Use 141 and 1331 rules",BG26," "))</f>
        <v>186.2399222954767</v>
      </c>
      <c r="W25" s="29">
        <f>IF(AO25="  ","  ",IF(AND(AO24="  ",AO26="  "),"?",IF(AO24="  ",2*(AO26-AO25),IF(AO26="  ",2*(AO25-AO24),2*(AO26-AO24)))))</f>
        <v>2</v>
      </c>
      <c r="X25" s="30" t="str">
        <f t="shared" si="4"/>
        <v>DD</v>
      </c>
      <c r="Y25" s="30" t="str">
        <f t="shared" si="5"/>
        <v>-</v>
      </c>
      <c r="Z25" s="29" t="b">
        <f t="shared" si="6"/>
        <v>1</v>
      </c>
      <c r="AA25" s="29" t="b">
        <f t="shared" si="7"/>
        <v>1</v>
      </c>
      <c r="AB25" s="29" t="str">
        <f t="shared" ca="1" si="8"/>
        <v>141-4</v>
      </c>
      <c r="AC25" s="29">
        <f t="shared" si="34"/>
        <v>4</v>
      </c>
      <c r="AD25" s="29">
        <f t="shared" ca="1" si="9"/>
        <v>4</v>
      </c>
      <c r="AE25" s="29">
        <v>22</v>
      </c>
      <c r="AF25" s="31">
        <f t="shared" si="42"/>
        <v>18</v>
      </c>
      <c r="AG25" s="29" t="b">
        <f t="shared" si="11"/>
        <v>0</v>
      </c>
      <c r="AH25" s="30" t="str">
        <f t="shared" si="43"/>
        <v>-</v>
      </c>
      <c r="AI25" s="30" t="str">
        <f t="shared" ca="1" si="13"/>
        <v>(1/2)*(4/3)</v>
      </c>
      <c r="AJ25" s="29">
        <f t="shared" ca="1" si="14"/>
        <v>0.66666666666666663</v>
      </c>
      <c r="AK25" s="29" t="str">
        <f t="shared" si="15"/>
        <v/>
      </c>
      <c r="AL25" s="29">
        <f t="shared" si="16"/>
        <v>0</v>
      </c>
      <c r="AM25" s="32">
        <f t="shared" ca="1" si="35"/>
        <v>0.66666666666666663</v>
      </c>
      <c r="AO25" s="20">
        <f>Tools!$AD24</f>
        <v>18.5</v>
      </c>
      <c r="AP25" s="33">
        <f t="shared" si="36"/>
        <v>6.39</v>
      </c>
      <c r="AQ25" s="34" t="str">
        <f t="shared" ca="1" si="18"/>
        <v>(1/2)*(4/3)</v>
      </c>
      <c r="AR25" s="23">
        <f t="shared" ca="1" si="19"/>
        <v>4.26</v>
      </c>
      <c r="AS25" s="24">
        <f t="shared" si="20"/>
        <v>8.5</v>
      </c>
      <c r="AT25" s="23">
        <f t="shared" ca="1" si="37"/>
        <v>36.21</v>
      </c>
      <c r="AU25" s="23">
        <f t="shared" ca="1" si="40"/>
        <v>307.78500000000003</v>
      </c>
      <c r="AV25" s="23">
        <f t="shared" si="21"/>
        <v>260.91711899999996</v>
      </c>
      <c r="AW25" s="23">
        <f t="shared" ca="1" si="22"/>
        <v>173.94474599999995</v>
      </c>
      <c r="AY25" s="35">
        <f t="shared" si="23"/>
        <v>85.31</v>
      </c>
      <c r="AZ25" s="23">
        <f t="shared" ca="1" si="41"/>
        <v>56.873333333333335</v>
      </c>
      <c r="BA25" s="36">
        <f t="shared" si="25"/>
        <v>373.28</v>
      </c>
      <c r="BB25" s="27">
        <f t="shared" ca="1" si="38"/>
        <v>248.8533333333333</v>
      </c>
      <c r="BC25" s="23">
        <f t="shared" ca="1" si="39"/>
        <v>483.42333333333335</v>
      </c>
      <c r="BE25" s="50" t="s">
        <v>67</v>
      </c>
      <c r="BF25" s="48" t="s">
        <v>68</v>
      </c>
      <c r="BG25" s="49">
        <f>IF(WL_No="  ","  ",KB+BMT)</f>
        <v>8.9553983866926483</v>
      </c>
    </row>
    <row r="26" spans="1:59" x14ac:dyDescent="0.25">
      <c r="A26" s="20">
        <f>Tools!$AD25</f>
        <v>19</v>
      </c>
      <c r="B26" s="33">
        <f t="shared" si="0"/>
        <v>4.47</v>
      </c>
      <c r="C26" s="22">
        <f>IF(A26="  ","  ",IF(AND(A25="  ",A27="  "),"?",IF(A25="  ",1*(A27-A26),IF(A27="  ",1*(A26-A25),1*(A27-A25)))))</f>
        <v>1</v>
      </c>
      <c r="D26" s="23">
        <f t="shared" si="26"/>
        <v>4.47</v>
      </c>
      <c r="E26" s="24">
        <f t="shared" si="1"/>
        <v>9</v>
      </c>
      <c r="F26" s="23">
        <f t="shared" si="27"/>
        <v>40.229999999999997</v>
      </c>
      <c r="G26" s="23">
        <f t="shared" si="28"/>
        <v>362.07</v>
      </c>
      <c r="H26" s="23">
        <f t="shared" si="29"/>
        <v>89.314622999999983</v>
      </c>
      <c r="I26" s="23">
        <f t="shared" si="30"/>
        <v>89.314622999999983</v>
      </c>
      <c r="J26" s="4"/>
      <c r="K26" s="37">
        <f t="shared" si="2"/>
        <v>60.336666666666666</v>
      </c>
      <c r="L26" s="23">
        <f t="shared" si="31"/>
        <v>60.336666666666666</v>
      </c>
      <c r="M26" s="38">
        <f t="shared" si="3"/>
        <v>263.92666666666662</v>
      </c>
      <c r="N26" s="27">
        <f t="shared" si="32"/>
        <v>263.92666666666662</v>
      </c>
      <c r="O26" s="23">
        <f t="shared" si="33"/>
        <v>543.03</v>
      </c>
      <c r="P26" s="4"/>
      <c r="Q26" s="50" t="s">
        <v>71</v>
      </c>
      <c r="R26" s="48" t="s">
        <v>72</v>
      </c>
      <c r="S26">
        <f>IF(Tools!$L$49="Use 141 rule only",I50,IF(Tools!$L$49="Use 141 and 1331 rules",BG27," "))</f>
        <v>27.609974532999995</v>
      </c>
      <c r="W26" s="29">
        <f>IF(AO26="  ","  ",IF(AND(AO25="  ",AO27="  "),"?",IF(AO25="  ",1*(AO27-AO26),IF(AO27="  ",1*(AO26-AO25),1*(AO27-AO25)))))</f>
        <v>1</v>
      </c>
      <c r="X26" s="30" t="str">
        <f t="shared" si="4"/>
        <v>DD</v>
      </c>
      <c r="Y26" s="30" t="str">
        <f t="shared" si="5"/>
        <v>-</v>
      </c>
      <c r="Z26" s="29" t="b">
        <f t="shared" si="6"/>
        <v>1</v>
      </c>
      <c r="AA26" s="29" t="b">
        <f t="shared" si="7"/>
        <v>1</v>
      </c>
      <c r="AB26" s="29" t="str">
        <f t="shared" ca="1" si="8"/>
        <v>141-2</v>
      </c>
      <c r="AC26" s="29">
        <f t="shared" si="34"/>
        <v>3</v>
      </c>
      <c r="AD26" s="29">
        <f t="shared" ca="1" si="9"/>
        <v>3</v>
      </c>
      <c r="AE26" s="29">
        <v>23</v>
      </c>
      <c r="AF26" s="31">
        <f t="shared" si="42"/>
        <v>19</v>
      </c>
      <c r="AG26" s="29" t="b">
        <f t="shared" si="11"/>
        <v>0</v>
      </c>
      <c r="AH26" s="30" t="str">
        <f t="shared" si="43"/>
        <v>-</v>
      </c>
      <c r="AI26" s="30" t="str">
        <f t="shared" ca="1" si="13"/>
        <v>(1/2)*(2/3)</v>
      </c>
      <c r="AJ26" s="29">
        <f t="shared" ca="1" si="14"/>
        <v>0.33333333333333331</v>
      </c>
      <c r="AK26" s="29" t="str">
        <f t="shared" si="15"/>
        <v/>
      </c>
      <c r="AL26" s="29">
        <f t="shared" si="16"/>
        <v>0</v>
      </c>
      <c r="AM26" s="32">
        <f t="shared" ca="1" si="35"/>
        <v>0.33333333333333331</v>
      </c>
      <c r="AO26" s="20">
        <f>Tools!$AD25</f>
        <v>19</v>
      </c>
      <c r="AP26" s="33">
        <f t="shared" si="36"/>
        <v>4.47</v>
      </c>
      <c r="AQ26" s="34" t="str">
        <f t="shared" ca="1" si="18"/>
        <v>(1/2)*(2/3)</v>
      </c>
      <c r="AR26" s="23">
        <f t="shared" ca="1" si="19"/>
        <v>1.4899999999999998</v>
      </c>
      <c r="AS26" s="24">
        <f t="shared" si="20"/>
        <v>9</v>
      </c>
      <c r="AT26" s="23">
        <f t="shared" ca="1" si="37"/>
        <v>13.409999999999998</v>
      </c>
      <c r="AU26" s="23">
        <f t="shared" ca="1" si="40"/>
        <v>120.68999999999998</v>
      </c>
      <c r="AV26" s="23">
        <f t="shared" si="21"/>
        <v>89.314622999999983</v>
      </c>
      <c r="AW26" s="23">
        <f t="shared" ca="1" si="22"/>
        <v>29.771540999999992</v>
      </c>
      <c r="AY26" s="35">
        <f t="shared" si="23"/>
        <v>60.336666666666666</v>
      </c>
      <c r="AZ26" s="23">
        <f t="shared" ca="1" si="41"/>
        <v>20.112222222222222</v>
      </c>
      <c r="BA26" s="36">
        <f t="shared" si="25"/>
        <v>263.92666666666662</v>
      </c>
      <c r="BB26" s="27">
        <f t="shared" ca="1" si="38"/>
        <v>87.97555555555553</v>
      </c>
      <c r="BC26" s="23">
        <f t="shared" ca="1" si="39"/>
        <v>181.01</v>
      </c>
      <c r="BE26" s="50" t="s">
        <v>69</v>
      </c>
      <c r="BF26" s="48" t="s">
        <v>70</v>
      </c>
      <c r="BG26" s="49">
        <f>IF(WL_No="  ","  ",KB+BML)</f>
        <v>186.2399222954767</v>
      </c>
    </row>
    <row r="27" spans="1:59" x14ac:dyDescent="0.25">
      <c r="A27" s="20">
        <f>Tools!$AD26</f>
        <v>19.5</v>
      </c>
      <c r="B27" s="33">
        <f t="shared" si="0"/>
        <v>2.25</v>
      </c>
      <c r="C27" s="22">
        <f>IF(A27="  ","  ",IF(AND(A26="  ",A28="  "),"?",IF(A26="  ",2*(A28-A27),IF(A28="  ",2*(A27-A26),2*(A28-A26)))))</f>
        <v>2</v>
      </c>
      <c r="D27" s="23">
        <f t="shared" si="26"/>
        <v>4.5</v>
      </c>
      <c r="E27" s="24">
        <f t="shared" si="1"/>
        <v>9.5</v>
      </c>
      <c r="F27" s="23">
        <f t="shared" si="27"/>
        <v>42.75</v>
      </c>
      <c r="G27" s="23">
        <f t="shared" si="28"/>
        <v>406.125</v>
      </c>
      <c r="H27" s="23">
        <f t="shared" si="29"/>
        <v>11.390625</v>
      </c>
      <c r="I27" s="23">
        <f t="shared" si="30"/>
        <v>22.78125</v>
      </c>
      <c r="J27" s="4"/>
      <c r="K27" s="37">
        <f t="shared" si="2"/>
        <v>35.566666666666663</v>
      </c>
      <c r="L27" s="23">
        <f t="shared" si="31"/>
        <v>71.133333333333326</v>
      </c>
      <c r="M27" s="38">
        <f t="shared" si="3"/>
        <v>152.02333333333331</v>
      </c>
      <c r="N27" s="27">
        <f t="shared" si="32"/>
        <v>304.04666666666662</v>
      </c>
      <c r="O27" s="23">
        <f t="shared" si="33"/>
        <v>675.76666666666665</v>
      </c>
      <c r="P27" s="4"/>
      <c r="Q27" s="50" t="s">
        <v>73</v>
      </c>
      <c r="R27" s="48" t="s">
        <v>74</v>
      </c>
      <c r="S27">
        <f>IF(Tools!$L$49="Use 141 rule only",I51,IF(Tools!$L$49="Use 141 and 1331 rules",BG28," "))</f>
        <v>3.6724905967949693</v>
      </c>
      <c r="W27" s="29">
        <f>IF(AO27="  ","  ",IF(AND(AO26="  ",AO28="  "),"?",IF(AO26="  ",2*(AO28-AO27),IF(AO28="  ",2*(AO27-AO26),2*(AO28-AO26)))))</f>
        <v>2</v>
      </c>
      <c r="X27" s="30" t="str">
        <f t="shared" si="4"/>
        <v>DD</v>
      </c>
      <c r="Y27" s="30" t="str">
        <f t="shared" si="5"/>
        <v>-</v>
      </c>
      <c r="Z27" s="29" t="b">
        <f t="shared" si="6"/>
        <v>1</v>
      </c>
      <c r="AA27" s="29" t="b">
        <f t="shared" si="7"/>
        <v>1</v>
      </c>
      <c r="AB27" s="29" t="str">
        <f t="shared" ca="1" si="8"/>
        <v>141-4</v>
      </c>
      <c r="AC27" s="29">
        <f t="shared" si="34"/>
        <v>2</v>
      </c>
      <c r="AD27" s="29">
        <f t="shared" ca="1" si="9"/>
        <v>2</v>
      </c>
      <c r="AE27" s="29">
        <v>24</v>
      </c>
      <c r="AF27" s="31">
        <f t="shared" si="42"/>
        <v>20</v>
      </c>
      <c r="AG27" s="29" t="b">
        <f t="shared" si="11"/>
        <v>0</v>
      </c>
      <c r="AH27" s="30" t="str">
        <f t="shared" si="43"/>
        <v>-</v>
      </c>
      <c r="AI27" s="30" t="str">
        <f t="shared" ca="1" si="13"/>
        <v>(1/2)*(4/3)</v>
      </c>
      <c r="AJ27" s="29">
        <f t="shared" ca="1" si="14"/>
        <v>0.66666666666666663</v>
      </c>
      <c r="AK27" s="29" t="str">
        <f t="shared" si="15"/>
        <v/>
      </c>
      <c r="AL27" s="29">
        <f t="shared" si="16"/>
        <v>0</v>
      </c>
      <c r="AM27" s="32">
        <f t="shared" ca="1" si="35"/>
        <v>0.66666666666666663</v>
      </c>
      <c r="AO27" s="20">
        <f>Tools!$AD26</f>
        <v>19.5</v>
      </c>
      <c r="AP27" s="33">
        <f t="shared" ref="AP27:AP28" si="44">VLOOKUP(AO27,OFFSET_A,Count_WL+1,FALSE)</f>
        <v>2.25</v>
      </c>
      <c r="AQ27" s="34" t="str">
        <f t="shared" ca="1" si="18"/>
        <v>(1/2)*(4/3)</v>
      </c>
      <c r="AR27" s="23">
        <f t="shared" ca="1" si="19"/>
        <v>1.5</v>
      </c>
      <c r="AS27" s="24">
        <f t="shared" si="20"/>
        <v>9.5</v>
      </c>
      <c r="AT27" s="23">
        <f t="shared" ca="1" si="37"/>
        <v>14.25</v>
      </c>
      <c r="AU27" s="23">
        <f t="shared" ca="1" si="40"/>
        <v>135.375</v>
      </c>
      <c r="AV27" s="23">
        <f t="shared" si="21"/>
        <v>11.390625</v>
      </c>
      <c r="AW27" s="23">
        <f t="shared" ca="1" si="22"/>
        <v>7.59375</v>
      </c>
      <c r="AY27" s="35">
        <f t="shared" si="23"/>
        <v>35.566666666666663</v>
      </c>
      <c r="AZ27" s="23">
        <f t="shared" ca="1" si="41"/>
        <v>23.711111111111109</v>
      </c>
      <c r="BA27" s="36">
        <f t="shared" si="25"/>
        <v>152.02333333333331</v>
      </c>
      <c r="BB27" s="27">
        <f t="shared" ca="1" si="38"/>
        <v>101.34888888888887</v>
      </c>
      <c r="BC27" s="23">
        <f t="shared" ca="1" si="39"/>
        <v>225.25555555555553</v>
      </c>
      <c r="BE27" s="50" t="s">
        <v>71</v>
      </c>
      <c r="BF27" s="48" t="s">
        <v>72</v>
      </c>
      <c r="BG27" s="49">
        <f>IF(WL_No="  ","  ",AWP*1.025/100)</f>
        <v>27.609974532999995</v>
      </c>
    </row>
    <row r="28" spans="1:59" ht="15.75" thickBot="1" x14ac:dyDescent="0.3">
      <c r="A28" s="20">
        <f>Tools!$AD27</f>
        <v>20</v>
      </c>
      <c r="B28" s="52">
        <f t="shared" si="0"/>
        <v>0.08</v>
      </c>
      <c r="C28" s="22">
        <f>IF(A28="  ","  ",IF(A27="  ","?",1*(A28-A27)))</f>
        <v>0.5</v>
      </c>
      <c r="D28" s="53">
        <f t="shared" si="26"/>
        <v>0.04</v>
      </c>
      <c r="E28" s="24">
        <f t="shared" si="1"/>
        <v>10</v>
      </c>
      <c r="F28" s="53">
        <f t="shared" si="27"/>
        <v>0.4</v>
      </c>
      <c r="G28" s="53">
        <f t="shared" si="28"/>
        <v>4</v>
      </c>
      <c r="H28" s="23">
        <f t="shared" si="29"/>
        <v>5.1200000000000009E-4</v>
      </c>
      <c r="I28" s="53">
        <f t="shared" si="30"/>
        <v>2.5600000000000004E-4</v>
      </c>
      <c r="J28" s="4"/>
      <c r="K28" s="35">
        <f t="shared" si="2"/>
        <v>13.953333333333333</v>
      </c>
      <c r="L28" s="53">
        <f t="shared" si="31"/>
        <v>6.9766666666666666</v>
      </c>
      <c r="M28" s="36">
        <f t="shared" si="3"/>
        <v>43.876666666666665</v>
      </c>
      <c r="N28" s="54">
        <f t="shared" si="32"/>
        <v>21.938333333333333</v>
      </c>
      <c r="O28" s="53">
        <f t="shared" si="33"/>
        <v>69.766666666666666</v>
      </c>
      <c r="P28" s="4"/>
      <c r="Q28" s="50" t="s">
        <v>75</v>
      </c>
      <c r="R28" s="55" t="s">
        <v>76</v>
      </c>
      <c r="S28">
        <f>IF(Tools!$L$49="Use 141 rule only",I52,IF(Tools!$L$49="Use 141 and 1331 rules",BG29," "))</f>
        <v>252.86692625054869</v>
      </c>
      <c r="W28" s="29">
        <f>IF(AO28="  ","  ",IF(AO27="  ","?",1*(AO28-AO27)))</f>
        <v>0.5</v>
      </c>
      <c r="X28" s="30" t="str">
        <f t="shared" si="4"/>
        <v>D-</v>
      </c>
      <c r="Y28" s="30" t="str">
        <f t="shared" si="5"/>
        <v>-</v>
      </c>
      <c r="Z28" s="29" t="b">
        <f t="shared" si="6"/>
        <v>1</v>
      </c>
      <c r="AA28" s="29" t="b">
        <f t="shared" si="7"/>
        <v>1</v>
      </c>
      <c r="AB28" s="29" t="str">
        <f t="shared" ca="1" si="8"/>
        <v>141-1</v>
      </c>
      <c r="AC28" s="29">
        <f>IF(ISNUMBER(AO28),IF(ISNUMBER(AO28),IF(OR(AO28=0,AO28=Long_Div),1,IF(AO28&gt;Long_Div/2,AF29+1,IF(AO28&lt;=Long_Div/2,AC27+1,"?")))," --")," ")</f>
        <v>1</v>
      </c>
      <c r="AD28" s="29">
        <f t="shared" ca="1" si="9"/>
        <v>1</v>
      </c>
      <c r="AE28" s="29">
        <v>25</v>
      </c>
      <c r="AF28" s="31">
        <f t="shared" si="42"/>
        <v>21</v>
      </c>
      <c r="AG28" s="29" t="b">
        <f t="shared" si="11"/>
        <v>0</v>
      </c>
      <c r="AH28" s="30" t="str">
        <f t="shared" si="43"/>
        <v>-</v>
      </c>
      <c r="AI28" s="30" t="str">
        <f t="shared" ca="1" si="13"/>
        <v>(1/2)*(1/3)</v>
      </c>
      <c r="AJ28" s="29">
        <f t="shared" ca="1" si="14"/>
        <v>0.16666666666666666</v>
      </c>
      <c r="AK28" s="29" t="str">
        <f t="shared" si="15"/>
        <v/>
      </c>
      <c r="AL28" s="29">
        <f t="shared" si="16"/>
        <v>0</v>
      </c>
      <c r="AM28" s="32">
        <f t="shared" ca="1" si="35"/>
        <v>0.16666666666666666</v>
      </c>
      <c r="AO28" s="20">
        <f>Tools!$AD27</f>
        <v>20</v>
      </c>
      <c r="AP28" s="33">
        <f t="shared" si="44"/>
        <v>0.08</v>
      </c>
      <c r="AQ28" s="34" t="str">
        <f t="shared" ca="1" si="18"/>
        <v>(1/2)*(1/3)</v>
      </c>
      <c r="AR28" s="23">
        <f t="shared" ca="1" si="19"/>
        <v>1.3333333333333332E-2</v>
      </c>
      <c r="AS28" s="24">
        <f t="shared" si="20"/>
        <v>10</v>
      </c>
      <c r="AT28" s="53">
        <f t="shared" ca="1" si="37"/>
        <v>0.13333333333333333</v>
      </c>
      <c r="AU28" s="53">
        <f t="shared" ca="1" si="40"/>
        <v>1.3333333333333333</v>
      </c>
      <c r="AV28" s="23">
        <f t="shared" si="21"/>
        <v>5.1200000000000009E-4</v>
      </c>
      <c r="AW28" s="23">
        <f t="shared" ca="1" si="22"/>
        <v>8.5333333333333339E-5</v>
      </c>
      <c r="AY28" s="35">
        <f t="shared" si="23"/>
        <v>13.953333333333333</v>
      </c>
      <c r="AZ28" s="23">
        <f t="shared" ca="1" si="41"/>
        <v>2.3255555555555554</v>
      </c>
      <c r="BA28" s="36">
        <f t="shared" si="25"/>
        <v>43.876666666666665</v>
      </c>
      <c r="BB28" s="27">
        <f t="shared" ca="1" si="38"/>
        <v>7.3127777777777769</v>
      </c>
      <c r="BC28" s="53">
        <f t="shared" ca="1" si="39"/>
        <v>23.255555555555553</v>
      </c>
      <c r="BE28" s="50" t="s">
        <v>73</v>
      </c>
      <c r="BF28" s="48" t="s">
        <v>74</v>
      </c>
      <c r="BG28" s="49">
        <f>IF(WL_No="  ","  ",ML/V_Disp)</f>
        <v>3.6724905967949693</v>
      </c>
    </row>
    <row r="29" spans="1:59" ht="15.75" thickBot="1" x14ac:dyDescent="0.3">
      <c r="A29" s="56" t="s">
        <v>77</v>
      </c>
      <c r="B29" s="56"/>
      <c r="C29" s="56"/>
      <c r="D29" s="57">
        <f>SUM(D4:D28)</f>
        <v>552.73379999999997</v>
      </c>
      <c r="E29" s="42"/>
      <c r="F29" s="58">
        <f>SUM(F4:F28)</f>
        <v>80.820400000000177</v>
      </c>
      <c r="G29" s="58">
        <f>SUM(G4:G28)</f>
        <v>13779.368200000001</v>
      </c>
      <c r="H29" s="42"/>
      <c r="I29" s="58">
        <f>SUM(I4:I28)</f>
        <v>58083.202848697634</v>
      </c>
      <c r="J29" s="4"/>
      <c r="K29" s="42"/>
      <c r="L29" s="58">
        <f>SUM(L4:L28)</f>
        <v>8081.056733333332</v>
      </c>
      <c r="M29" s="42"/>
      <c r="N29" s="58">
        <f>SUM(N4:N28)</f>
        <v>33646.947199999995</v>
      </c>
      <c r="O29" s="58">
        <f>SUM(O4:O28)</f>
        <v>4059.863866666667</v>
      </c>
      <c r="P29" s="4"/>
      <c r="Q29" s="50" t="s">
        <v>78</v>
      </c>
      <c r="R29" s="48" t="s">
        <v>79</v>
      </c>
      <c r="S29">
        <f>IF(Tools!$L$49="Use 141 rule only",I53,IF(Tools!$L$49="Use 141 and 1331 rules",BG30," "))</f>
        <v>8</v>
      </c>
      <c r="W29" s="56"/>
      <c r="X29" s="56"/>
      <c r="Y29" s="56"/>
      <c r="Z29" s="56"/>
      <c r="AA29" s="56"/>
      <c r="AB29" s="56"/>
      <c r="AC29" s="56"/>
      <c r="AD29" s="56"/>
      <c r="AE29" s="56"/>
      <c r="AF29" s="56"/>
      <c r="AG29" s="56"/>
      <c r="AH29" s="56"/>
      <c r="AI29" s="56"/>
      <c r="AJ29" s="56"/>
      <c r="AK29" s="56"/>
      <c r="AL29" s="56"/>
      <c r="AM29" s="56"/>
      <c r="AN29" s="56"/>
      <c r="AO29" s="56" t="s">
        <v>77</v>
      </c>
      <c r="AP29" s="56"/>
      <c r="AQ29" s="59"/>
      <c r="AR29" s="57">
        <f ca="1">SUM(AR4:AR28)</f>
        <v>184.24459999999996</v>
      </c>
      <c r="AS29" s="42"/>
      <c r="AT29" s="58">
        <f ca="1">SUM(AT4:AT28)</f>
        <v>26.940133333333357</v>
      </c>
      <c r="AU29" s="58">
        <f ca="1">SUM(AU4:AU28)</f>
        <v>4593.1227333333327</v>
      </c>
      <c r="AV29" s="42"/>
      <c r="AW29" s="58">
        <f ca="1">SUM(AW4:AW28)</f>
        <v>19361.067616232544</v>
      </c>
      <c r="AY29" s="42"/>
      <c r="AZ29" s="58">
        <f ca="1">SUM(AZ4:AZ28)</f>
        <v>2693.6855777777782</v>
      </c>
      <c r="BA29" s="42"/>
      <c r="BB29" s="58">
        <f ca="1">SUM(BB4:BB28)</f>
        <v>11215.649066666663</v>
      </c>
      <c r="BC29" s="58">
        <f ca="1">SUM(BC4:BC28)</f>
        <v>1353.2879555555551</v>
      </c>
      <c r="BE29" s="50" t="s">
        <v>75</v>
      </c>
      <c r="BF29" s="55" t="s">
        <v>76</v>
      </c>
      <c r="BG29" s="49">
        <f ca="1">IF(WL_No="  ","  ",M_Disp*BML/100/BG8)</f>
        <v>252.86692625054869</v>
      </c>
    </row>
    <row r="30" spans="1:59" x14ac:dyDescent="0.25">
      <c r="A30" s="15"/>
      <c r="B30" s="4"/>
      <c r="C30" s="4"/>
      <c r="D30" s="42"/>
      <c r="E30" s="4"/>
      <c r="F30" s="4"/>
      <c r="G30" s="4"/>
      <c r="H30" s="4"/>
      <c r="I30" s="4"/>
      <c r="J30" s="4"/>
      <c r="K30" s="4"/>
      <c r="L30" s="4"/>
      <c r="M30" s="4"/>
      <c r="N30" s="4"/>
      <c r="O30" s="4"/>
      <c r="P30" s="4"/>
      <c r="Q30" s="50" t="s">
        <v>80</v>
      </c>
      <c r="R30" s="48" t="s">
        <v>81</v>
      </c>
      <c r="S30">
        <f>IF(Tools!$L$49="Use 141 rule only",I54,IF(Tools!$L$49="Use 141 and 1331 rules",BG31," "))</f>
        <v>0.83747545454545458</v>
      </c>
      <c r="AA30" s="60"/>
      <c r="AB30" s="60"/>
      <c r="BE30" s="50" t="s">
        <v>78</v>
      </c>
      <c r="BF30" s="48" t="s">
        <v>79</v>
      </c>
      <c r="BG30" s="49">
        <f>IF(WL_No="  ","  ",WLS*WL_No)</f>
        <v>8</v>
      </c>
    </row>
    <row r="31" spans="1:59" x14ac:dyDescent="0.25">
      <c r="A31" s="15"/>
      <c r="B31" s="4"/>
      <c r="C31" s="4"/>
      <c r="D31" s="4"/>
      <c r="E31" s="4"/>
      <c r="F31" s="4"/>
      <c r="G31" s="4"/>
      <c r="H31" s="4"/>
      <c r="I31" s="4"/>
      <c r="J31" s="4"/>
      <c r="K31" s="4"/>
      <c r="L31" s="4"/>
      <c r="M31" s="4"/>
      <c r="N31" s="4"/>
      <c r="O31" s="4"/>
      <c r="P31" s="4"/>
      <c r="Q31" s="50" t="s">
        <v>82</v>
      </c>
      <c r="R31" s="48" t="s">
        <v>83</v>
      </c>
      <c r="S31">
        <f>IF(Tools!$L$49="Use 141 rule only",I55,IF(Tools!$L$49="Use 141 and 1331 rules",BG32," "))</f>
        <v>0.76525158459595943</v>
      </c>
      <c r="AF31" s="61" t="s">
        <v>84</v>
      </c>
      <c r="AG31" s="62">
        <f ca="1">COUNTIF(OFFSET(AQ4,,,ROUNDUP(Max_STN_count/2,0),1),"")</f>
        <v>0</v>
      </c>
      <c r="AH31" s="63">
        <f ca="1">HLOOKUP(Stn_WL,AREA_TABLE,AG31+2,FALSE)</f>
        <v>0</v>
      </c>
      <c r="AI31" s="63">
        <f ca="1">IF(AH31&gt;Long_Div/2,Long_Div/2,AH31)</f>
        <v>0</v>
      </c>
      <c r="AJ31" s="63">
        <f ca="1">AI31*STN_GAP</f>
        <v>0</v>
      </c>
      <c r="BE31" s="50" t="s">
        <v>80</v>
      </c>
      <c r="BF31" s="48" t="s">
        <v>81</v>
      </c>
      <c r="BG31" s="49">
        <f ca="1">IF(WL_No="  ","  ",AWP/(BG8*B_current))</f>
        <v>0.83747545454545458</v>
      </c>
    </row>
    <row r="32" spans="1:59" x14ac:dyDescent="0.25">
      <c r="A32" s="15"/>
      <c r="B32" s="4"/>
      <c r="C32" s="4"/>
      <c r="D32" s="4"/>
      <c r="E32" s="4"/>
      <c r="F32" s="4"/>
      <c r="G32" s="4"/>
      <c r="H32" s="4"/>
      <c r="I32" s="4"/>
      <c r="J32" s="64"/>
      <c r="K32" s="4"/>
      <c r="L32" s="4"/>
      <c r="M32" s="4"/>
      <c r="N32" s="4"/>
      <c r="O32" s="4"/>
      <c r="P32" s="4"/>
      <c r="Q32" s="50" t="s">
        <v>85</v>
      </c>
      <c r="R32" s="48" t="s">
        <v>86</v>
      </c>
      <c r="S32">
        <f>IF(Tools!$L$49="Use 141 rule only",I56,IF(Tools!$L$49="Use 141 and 1331 rules",BG33," "))</f>
        <v>0.99189393939393933</v>
      </c>
      <c r="AF32" s="61" t="s">
        <v>87</v>
      </c>
      <c r="AG32" s="62">
        <f ca="1">COUNTIF(OFFSET(AQ4,ROUNDUP(Max_STN_count/2,0),,ROUNDDOWN(Max_STN_count/2,0),1),"")</f>
        <v>0</v>
      </c>
      <c r="AH32" s="63">
        <f ca="1">HLOOKUP(Stn_WL,AREA_TABLE,AG32+2,FALSE)</f>
        <v>0</v>
      </c>
      <c r="AI32" s="63">
        <f ca="1">IF(AH32&gt;Long_Div/2,Long_Div/2,AH32)</f>
        <v>0</v>
      </c>
      <c r="AJ32" s="63">
        <f ca="1">AI32*STN_GAP</f>
        <v>0</v>
      </c>
      <c r="BE32" s="50" t="s">
        <v>82</v>
      </c>
      <c r="BF32" s="48" t="s">
        <v>83</v>
      </c>
      <c r="BG32" s="49">
        <f ca="1">IF(WL_No="  ","  ",V_Disp/(BG8*B_current*T))</f>
        <v>0.76525158459595943</v>
      </c>
    </row>
    <row r="33" spans="1:59" x14ac:dyDescent="0.25">
      <c r="A33" s="15"/>
      <c r="B33" s="4"/>
      <c r="C33" s="4"/>
      <c r="D33" s="4"/>
      <c r="E33" s="4"/>
      <c r="F33" s="4"/>
      <c r="G33" s="43" t="s">
        <v>31</v>
      </c>
      <c r="H33" s="44" t="s">
        <v>32</v>
      </c>
      <c r="I33" s="489" t="s">
        <v>33</v>
      </c>
      <c r="J33" s="4"/>
      <c r="K33" s="4"/>
      <c r="L33" s="4"/>
      <c r="M33" s="4"/>
      <c r="N33" s="4"/>
      <c r="O33" s="4"/>
      <c r="P33" s="4"/>
      <c r="Q33" s="50" t="s">
        <v>88</v>
      </c>
      <c r="R33" s="48" t="s">
        <v>89</v>
      </c>
      <c r="S33">
        <f>IF(Tools!$L$49="Use 141 rule only",I57,IF(Tools!$L$49="Use 141 and 1331 rules",BG34," "))</f>
        <v>0.77150545456859887</v>
      </c>
      <c r="AF33" s="63"/>
      <c r="AG33" s="63"/>
      <c r="AH33" s="63">
        <f ca="1">Long_Div-AH32</f>
        <v>20</v>
      </c>
      <c r="AI33" s="63"/>
      <c r="AJ33" s="63">
        <f ca="1">AJ32+AJ31</f>
        <v>0</v>
      </c>
      <c r="BE33" s="50" t="s">
        <v>85</v>
      </c>
      <c r="BF33" s="48" t="s">
        <v>86</v>
      </c>
      <c r="BG33" s="65">
        <f>IFERROR(IF(WL_No="  ","  ",(VLOOKUP(Long_Div/2,AREA_TABLE,Count_WL+1,FALSE))/(B_current*T)),"-")</f>
        <v>0.99189393939393933</v>
      </c>
    </row>
    <row r="34" spans="1:59" x14ac:dyDescent="0.25">
      <c r="G34" s="45"/>
      <c r="H34" s="46"/>
      <c r="I34" s="490"/>
      <c r="BE34" s="50" t="s">
        <v>88</v>
      </c>
      <c r="BF34" s="48" t="s">
        <v>89</v>
      </c>
      <c r="BG34" s="49">
        <f>IF(WL_No="  ","  ",CB/CM)</f>
        <v>0.77150545456859887</v>
      </c>
    </row>
    <row r="35" spans="1:59" x14ac:dyDescent="0.25">
      <c r="G35" s="47" t="s">
        <v>34</v>
      </c>
      <c r="H35" s="48" t="s">
        <v>35</v>
      </c>
      <c r="I35" s="49">
        <f>IF(WL_No="  ","  ",2/3*h*$D$29)</f>
        <v>2693.6560519999998</v>
      </c>
    </row>
    <row r="36" spans="1:59" x14ac:dyDescent="0.25">
      <c r="G36" s="47" t="s">
        <v>36</v>
      </c>
      <c r="H36" s="48" t="s">
        <v>37</v>
      </c>
      <c r="I36" s="49">
        <f>IF(WL_No="  ","  ",2/3*(h^2)*$F$29)</f>
        <v>2879.1513176266726</v>
      </c>
    </row>
    <row r="37" spans="1:59" x14ac:dyDescent="0.25">
      <c r="G37" s="50" t="s">
        <v>39</v>
      </c>
      <c r="H37" s="48" t="s">
        <v>40</v>
      </c>
      <c r="I37" s="49">
        <f>IF(WL_No="  ","  ",Mmid/AWP)</f>
        <v>1.0688637532208112</v>
      </c>
    </row>
    <row r="38" spans="1:59" x14ac:dyDescent="0.25">
      <c r="G38" s="50" t="s">
        <v>42</v>
      </c>
      <c r="H38" s="48" t="s">
        <v>43</v>
      </c>
      <c r="I38" s="49">
        <f>IF(WL_No="  ","  ",2/3*(h^3)*$G$29)</f>
        <v>3588311.8303976436</v>
      </c>
    </row>
    <row r="39" spans="1:59" x14ac:dyDescent="0.25">
      <c r="G39" s="51" t="s">
        <v>44</v>
      </c>
      <c r="H39" s="48" t="s">
        <v>45</v>
      </c>
      <c r="I39" s="49">
        <f>IF(WL_No="  ","  ",2/9*h*$I$29)</f>
        <v>94352.936183106591</v>
      </c>
    </row>
    <row r="40" spans="1:59" x14ac:dyDescent="0.25">
      <c r="G40" s="50" t="s">
        <v>47</v>
      </c>
      <c r="H40" s="48" t="s">
        <v>48</v>
      </c>
      <c r="I40" s="49">
        <f>IF(WL_No="  ","  ",IL-AWP*(LCF^2))</f>
        <v>3585234.4099141946</v>
      </c>
    </row>
    <row r="41" spans="1:59" x14ac:dyDescent="0.25">
      <c r="G41" s="50" t="s">
        <v>50</v>
      </c>
      <c r="H41" s="48" t="s">
        <v>51</v>
      </c>
      <c r="I41" s="49">
        <f>IF(WL_No="  ","  ",h/3*$L$29)</f>
        <v>19690.84157355555</v>
      </c>
    </row>
    <row r="42" spans="1:59" x14ac:dyDescent="0.25">
      <c r="G42" s="50" t="s">
        <v>52</v>
      </c>
      <c r="H42" s="48" t="s">
        <v>53</v>
      </c>
      <c r="I42" s="49">
        <f>IF(WL_No="  ","  ",V_Disp*1.025*1.006)</f>
        <v>20304.211288571805</v>
      </c>
    </row>
    <row r="43" spans="1:59" x14ac:dyDescent="0.25">
      <c r="G43" s="50" t="s">
        <v>55</v>
      </c>
      <c r="H43" s="48" t="s">
        <v>56</v>
      </c>
      <c r="I43" s="49">
        <f>IF(WL_No="  ","  ",h/3*$N$29)</f>
        <v>81986.394677333315</v>
      </c>
    </row>
    <row r="44" spans="1:59" x14ac:dyDescent="0.25">
      <c r="G44" s="50" t="s">
        <v>57</v>
      </c>
      <c r="H44" s="48" t="s">
        <v>58</v>
      </c>
      <c r="I44" s="49">
        <f>IF(WL_No="  ","  ",(h^2)/3*$O$29)</f>
        <v>72314.430521862218</v>
      </c>
    </row>
    <row r="45" spans="1:59" x14ac:dyDescent="0.25">
      <c r="G45" s="50" t="s">
        <v>60</v>
      </c>
      <c r="H45" s="48" t="s">
        <v>61</v>
      </c>
      <c r="I45" s="49">
        <f>IF(WL_No="  ","  ",IF/V_Disp)</f>
        <v>182.07624069908218</v>
      </c>
    </row>
    <row r="46" spans="1:59" x14ac:dyDescent="0.25">
      <c r="G46" s="50" t="s">
        <v>63</v>
      </c>
      <c r="H46" s="48" t="s">
        <v>64</v>
      </c>
      <c r="I46" s="49">
        <f>IF(WL_No="  ","  ",IT/V_Disp)</f>
        <v>4.7917167902981301</v>
      </c>
    </row>
    <row r="47" spans="1:59" x14ac:dyDescent="0.25">
      <c r="G47" s="50" t="s">
        <v>65</v>
      </c>
      <c r="H47" s="48" t="s">
        <v>66</v>
      </c>
      <c r="I47" s="49">
        <f>IF(WL_No="  ","  ",MT/V_Disp)</f>
        <v>4.1636815963945182</v>
      </c>
    </row>
    <row r="48" spans="1:59" x14ac:dyDescent="0.25">
      <c r="G48" s="50" t="s">
        <v>67</v>
      </c>
      <c r="H48" s="48" t="s">
        <v>68</v>
      </c>
      <c r="I48" s="49">
        <f>IF(WL_No="  ","  ",KB+BMT)</f>
        <v>8.9553983866926483</v>
      </c>
    </row>
    <row r="49" spans="7:9" x14ac:dyDescent="0.25">
      <c r="G49" s="50" t="s">
        <v>69</v>
      </c>
      <c r="H49" s="48" t="s">
        <v>70</v>
      </c>
      <c r="I49" s="49">
        <f>IF(WL_No="  ","  ",KB+BML)</f>
        <v>186.2399222954767</v>
      </c>
    </row>
    <row r="50" spans="7:9" x14ac:dyDescent="0.25">
      <c r="G50" s="50" t="s">
        <v>71</v>
      </c>
      <c r="H50" s="48" t="s">
        <v>72</v>
      </c>
      <c r="I50" s="49">
        <f>IF(WL_No="  ","  ",AWP*1.025/100)</f>
        <v>27.609974532999995</v>
      </c>
    </row>
    <row r="51" spans="7:9" x14ac:dyDescent="0.25">
      <c r="G51" s="50" t="s">
        <v>73</v>
      </c>
      <c r="H51" s="48" t="s">
        <v>74</v>
      </c>
      <c r="I51" s="49">
        <f>IF(WL_No="  ","  ",ML/V_Disp)</f>
        <v>3.6724905967949693</v>
      </c>
    </row>
    <row r="52" spans="7:9" x14ac:dyDescent="0.25">
      <c r="G52" s="50" t="s">
        <v>75</v>
      </c>
      <c r="H52" s="55" t="s">
        <v>76</v>
      </c>
      <c r="I52" s="49">
        <f>IF(WL_No="  ","  ",M_Disp*BML/100/LBP)</f>
        <v>252.86692625054869</v>
      </c>
    </row>
    <row r="53" spans="7:9" x14ac:dyDescent="0.25">
      <c r="G53" s="50" t="s">
        <v>78</v>
      </c>
      <c r="H53" s="48" t="s">
        <v>79</v>
      </c>
      <c r="I53" s="49">
        <f>IF(WL_No="  ","  ",WLS*WL_No)</f>
        <v>8</v>
      </c>
    </row>
    <row r="54" spans="7:9" x14ac:dyDescent="0.25">
      <c r="G54" s="50" t="s">
        <v>80</v>
      </c>
      <c r="H54" s="48" t="s">
        <v>81</v>
      </c>
      <c r="I54" s="49">
        <f>IF(WL_No="  ","  ",AWP/(LBP*B_current))</f>
        <v>0.83747545454545458</v>
      </c>
    </row>
    <row r="55" spans="7:9" x14ac:dyDescent="0.25">
      <c r="G55" s="50" t="s">
        <v>82</v>
      </c>
      <c r="H55" s="48" t="s">
        <v>83</v>
      </c>
      <c r="I55" s="49">
        <f>IF(WL_No="  ","  ",V_Disp/(LBP*B_current*T))</f>
        <v>0.76525158459595943</v>
      </c>
    </row>
    <row r="56" spans="7:9" x14ac:dyDescent="0.25">
      <c r="G56" s="50" t="s">
        <v>85</v>
      </c>
      <c r="H56" s="48" t="s">
        <v>86</v>
      </c>
      <c r="I56" s="65">
        <f>IF(WL_No="  ","  ",(VLOOKUP(Long_Div/2,AREA_TABLE,Count_WL+1,FALSE))/(B_current*T))</f>
        <v>0.99189393939393933</v>
      </c>
    </row>
    <row r="57" spans="7:9" x14ac:dyDescent="0.25">
      <c r="G57" s="50" t="s">
        <v>88</v>
      </c>
      <c r="H57" s="48" t="s">
        <v>89</v>
      </c>
      <c r="I57" s="49">
        <f>IF(WL_No="  ","  ",CB/CM)</f>
        <v>0.77150545456859887</v>
      </c>
    </row>
  </sheetData>
  <mergeCells count="7">
    <mergeCell ref="BG10:BG11"/>
    <mergeCell ref="I33:I34"/>
    <mergeCell ref="A2:I2"/>
    <mergeCell ref="K2:O2"/>
    <mergeCell ref="AO2:AW2"/>
    <mergeCell ref="AY2:BC2"/>
    <mergeCell ref="S9:S10"/>
  </mergeCells>
  <conditionalFormatting sqref="CB4:XFD30 BW4:BW28 BS4:BT28 W29:AX29 A33:F57 J33:R33 A11:R32 A2:T10 V2:AO2 AX2 BP29:BW29 A63:XFD1048576 T12:T37 U35:XFD37 BD2:BD29 BM31:XFD33 BM30:BW30 BH29:BI33 BH2:XFD3 U30:BD30 AR31:BD31 W3:AM28 A58:BD62 BH38:XFD62 J34:S37 BH34:XFD34 A1:AN1 AV1:XFD1 AO31:AP31 U33:BD34 AM31 U31:AG32 AK32:BD32 AO3:AX26 J43:BD57 J42:M42 O42:BD42 J38:BD41 AO27:AO28 AQ27:AX28">
    <cfRule type="containsErrors" dxfId="227" priority="14">
      <formula>ISERROR(A1)</formula>
    </cfRule>
  </conditionalFormatting>
  <conditionalFormatting sqref="G33:I34 G35:H57">
    <cfRule type="containsErrors" dxfId="226" priority="13">
      <formula>ISERROR(G33)</formula>
    </cfRule>
  </conditionalFormatting>
  <conditionalFormatting sqref="T12:T33">
    <cfRule type="containsErrors" dxfId="225" priority="12">
      <formula>ISERROR(T12)</formula>
    </cfRule>
  </conditionalFormatting>
  <conditionalFormatting sqref="I35:I57">
    <cfRule type="containsErrors" dxfId="224" priority="11">
      <formula>ISERROR(I35)</formula>
    </cfRule>
  </conditionalFormatting>
  <conditionalFormatting sqref="AY2:BC29">
    <cfRule type="containsErrors" dxfId="223" priority="8">
      <formula>ISERROR(AY2)</formula>
    </cfRule>
  </conditionalFormatting>
  <conditionalFormatting sqref="BE10:BG11 BE12:BF34">
    <cfRule type="containsErrors" dxfId="222" priority="10">
      <formula>ISERROR(BE10)</formula>
    </cfRule>
  </conditionalFormatting>
  <conditionalFormatting sqref="BG12:BG28 BG34">
    <cfRule type="containsErrors" dxfId="221" priority="9">
      <formula>ISERROR(BG12)</formula>
    </cfRule>
  </conditionalFormatting>
  <conditionalFormatting sqref="BE2:BG6">
    <cfRule type="containsErrors" dxfId="220" priority="7">
      <formula>ISERROR(BE2)</formula>
    </cfRule>
  </conditionalFormatting>
  <conditionalFormatting sqref="BF7:BG8">
    <cfRule type="containsErrors" dxfId="219" priority="5">
      <formula>ISERROR(BF7)</formula>
    </cfRule>
  </conditionalFormatting>
  <conditionalFormatting sqref="BE7:BE8">
    <cfRule type="containsErrors" dxfId="218" priority="6">
      <formula>ISERROR(BE7)</formula>
    </cfRule>
  </conditionalFormatting>
  <conditionalFormatting sqref="S30:S33">
    <cfRule type="containsErrors" dxfId="217" priority="4">
      <formula>ISERROR(S30)</formula>
    </cfRule>
  </conditionalFormatting>
  <conditionalFormatting sqref="AP27:AP28">
    <cfRule type="containsErrors" dxfId="216" priority="3">
      <formula>ISERROR(AP27)</formula>
    </cfRule>
  </conditionalFormatting>
  <conditionalFormatting sqref="BG29:BG32">
    <cfRule type="containsErrors" dxfId="215" priority="2">
      <formula>ISERROR(BG29)</formula>
    </cfRule>
  </conditionalFormatting>
  <conditionalFormatting sqref="BG33">
    <cfRule type="containsErrors" dxfId="214" priority="1">
      <formula>ISERROR(BG33)</formula>
    </cfRule>
  </conditionalFormatting>
  <pageMargins left="0.7" right="0.7" top="0.75" bottom="0.75" header="0.3" footer="0.3"/>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tabColor theme="4" tint="0.79998168889431442"/>
  </sheetPr>
  <dimension ref="A1:BH57"/>
  <sheetViews>
    <sheetView topLeftCell="AG1" zoomScale="55" zoomScaleNormal="55" workbookViewId="0">
      <pane ySplit="1" topLeftCell="A29" activePane="bottomLeft" state="frozen"/>
      <selection activeCell="AG8" sqref="AG8:AG10"/>
      <selection pane="bottomLeft" activeCell="AG8" sqref="AG8:AG10"/>
    </sheetView>
  </sheetViews>
  <sheetFormatPr defaultRowHeight="15" x14ac:dyDescent="0.25"/>
  <cols>
    <col min="1" max="1" width="8.28515625" customWidth="1"/>
    <col min="2" max="2" width="7.28515625" customWidth="1"/>
    <col min="4" max="4" width="6.5703125" customWidth="1"/>
    <col min="7" max="7" width="24" customWidth="1"/>
    <col min="8" max="8" width="30.5703125" customWidth="1"/>
    <col min="9" max="9" width="26.5703125" customWidth="1"/>
    <col min="10" max="10" width="10.5703125" bestFit="1" customWidth="1"/>
    <col min="11" max="11" width="9.140625" customWidth="1"/>
    <col min="13" max="13" width="7.85546875" customWidth="1"/>
    <col min="17" max="17" width="19.5703125" customWidth="1"/>
    <col min="18" max="18" width="11.85546875" customWidth="1"/>
    <col min="19" max="19" width="16.5703125" customWidth="1"/>
    <col min="20" max="20" width="14.140625" customWidth="1"/>
    <col min="35" max="35" width="14" customWidth="1"/>
    <col min="36" max="37" width="12" customWidth="1"/>
    <col min="39" max="39" width="19" customWidth="1"/>
    <col min="43" max="43" width="18" style="7" customWidth="1"/>
    <col min="49" max="49" width="11.28515625" customWidth="1"/>
    <col min="52" max="52" width="12" customWidth="1"/>
    <col min="54" max="54" width="10.7109375" bestFit="1" customWidth="1"/>
    <col min="56" max="56" width="4.5703125" customWidth="1"/>
    <col min="57" max="57" width="21.28515625" customWidth="1"/>
    <col min="58" max="58" width="15.42578125" customWidth="1"/>
    <col min="59" max="59" width="19.28515625" customWidth="1"/>
    <col min="61" max="61" width="5.7109375" customWidth="1"/>
    <col min="62" max="62" width="13" customWidth="1"/>
    <col min="63" max="63" width="17.42578125" customWidth="1"/>
  </cols>
  <sheetData>
    <row r="1" spans="1:60" x14ac:dyDescent="0.25">
      <c r="A1" s="1" t="s">
        <v>0</v>
      </c>
      <c r="B1" s="2">
        <f>VLOOKUP(Stn_WL,OFFSET_A,Count_WL+1,FALSE)</f>
        <v>3</v>
      </c>
      <c r="C1" s="3"/>
      <c r="D1" s="4"/>
      <c r="E1" s="4" t="s">
        <v>1</v>
      </c>
      <c r="F1" s="5">
        <v>7</v>
      </c>
      <c r="G1" s="4"/>
      <c r="H1" s="4"/>
      <c r="I1" s="4"/>
      <c r="J1" s="4"/>
      <c r="K1" s="4"/>
      <c r="L1" s="4"/>
      <c r="M1" s="4"/>
      <c r="N1" s="4"/>
      <c r="O1" s="4"/>
      <c r="P1" s="4"/>
      <c r="Q1" s="4"/>
      <c r="R1" s="4"/>
      <c r="S1" s="4"/>
      <c r="V1" t="s">
        <v>2</v>
      </c>
      <c r="W1">
        <f ca="1">COUNTIF(OFFSET(Z4,,,ROUNDDOWN(Max_STN_count/2+1,0),1),TRUE)</f>
        <v>5</v>
      </c>
      <c r="X1">
        <f ca="1">COUNTIF(OFFSET(AA4,,,ROUNDDOWN(Max_STN_count/2+1,0),1),TRUE)</f>
        <v>5</v>
      </c>
      <c r="Y1">
        <f ca="1">W1-X1</f>
        <v>0</v>
      </c>
      <c r="AB1" s="6" t="s">
        <v>3</v>
      </c>
      <c r="AC1">
        <f ca="1">COUNTIF(OFFSET(Z4,ROUNDUP(Max_STN_count/2,0),,ROUNDDOWN(Max_STN_count/2,0),1),TRUE)</f>
        <v>5</v>
      </c>
      <c r="AD1">
        <f ca="1">COUNTIF(OFFSET(AA4,ROUNDUP(Max_STN_count/2,0),,ROUNDDOWN(Max_STN_count/2,0),1),TRUE)</f>
        <v>5</v>
      </c>
      <c r="AE1">
        <f ca="1">AC1-AD1</f>
        <v>0</v>
      </c>
      <c r="AG1" t="s">
        <v>4</v>
      </c>
      <c r="AH1">
        <f>COUNTIF(AG4:AG28,TRUE)</f>
        <v>17</v>
      </c>
      <c r="AI1">
        <f ca="1">COUNTIF(OFFSET(AG4,,,ROUNDUP(Max_STN_count/2,0),1),FALSE)</f>
        <v>4</v>
      </c>
      <c r="AW1">
        <f ca="1">COUNTIF(OFFSET(AG4,,,Max_STN_count,1),TRUE)</f>
        <v>17</v>
      </c>
    </row>
    <row r="2" spans="1:60" x14ac:dyDescent="0.25">
      <c r="A2" s="491" t="s">
        <v>5</v>
      </c>
      <c r="B2" s="492"/>
      <c r="C2" s="492"/>
      <c r="D2" s="492"/>
      <c r="E2" s="492"/>
      <c r="F2" s="492"/>
      <c r="G2" s="492"/>
      <c r="H2" s="492"/>
      <c r="I2" s="493"/>
      <c r="J2" s="4"/>
      <c r="K2" s="491" t="s">
        <v>6</v>
      </c>
      <c r="L2" s="492"/>
      <c r="M2" s="492"/>
      <c r="N2" s="492"/>
      <c r="O2" s="493"/>
      <c r="P2" s="4"/>
      <c r="Q2" s="8" t="s">
        <v>7</v>
      </c>
      <c r="R2" s="9" t="s">
        <v>8</v>
      </c>
      <c r="S2" s="10">
        <f>WLS</f>
        <v>2</v>
      </c>
      <c r="V2" s="11"/>
      <c r="W2" s="11"/>
      <c r="X2" s="11"/>
      <c r="Y2" s="11"/>
      <c r="Z2" s="11"/>
      <c r="AA2" s="11"/>
      <c r="AB2" s="11"/>
      <c r="AC2" s="11"/>
      <c r="AD2" s="11"/>
      <c r="AE2" s="11"/>
      <c r="AF2" s="11"/>
      <c r="AG2" s="11"/>
      <c r="AH2" s="11"/>
      <c r="AI2" s="11"/>
      <c r="AJ2" s="11"/>
      <c r="AK2" s="11"/>
      <c r="AL2" s="11"/>
      <c r="AM2" s="11"/>
      <c r="AN2" s="11"/>
      <c r="AO2" s="491" t="s">
        <v>5</v>
      </c>
      <c r="AP2" s="492"/>
      <c r="AQ2" s="492"/>
      <c r="AR2" s="492"/>
      <c r="AS2" s="492"/>
      <c r="AT2" s="492"/>
      <c r="AU2" s="492"/>
      <c r="AV2" s="492"/>
      <c r="AW2" s="493"/>
      <c r="AY2" s="491" t="s">
        <v>6</v>
      </c>
      <c r="AZ2" s="492"/>
      <c r="BA2" s="492"/>
      <c r="BB2" s="492"/>
      <c r="BC2" s="493"/>
      <c r="BE2" s="8" t="s">
        <v>7</v>
      </c>
      <c r="BF2" s="9" t="s">
        <v>8</v>
      </c>
      <c r="BG2" s="10">
        <f>WLS</f>
        <v>2</v>
      </c>
    </row>
    <row r="3" spans="1:60" x14ac:dyDescent="0.25">
      <c r="A3" s="12" t="s">
        <v>9</v>
      </c>
      <c r="B3" s="13" t="s">
        <v>10</v>
      </c>
      <c r="C3" s="14" t="s">
        <v>11</v>
      </c>
      <c r="D3" s="14" t="s">
        <v>12</v>
      </c>
      <c r="E3" s="14" t="s">
        <v>13</v>
      </c>
      <c r="F3" s="14" t="s">
        <v>14</v>
      </c>
      <c r="G3" s="14" t="s">
        <v>15</v>
      </c>
      <c r="H3" s="14" t="s">
        <v>16</v>
      </c>
      <c r="I3" s="14" t="s">
        <v>17</v>
      </c>
      <c r="J3" s="15"/>
      <c r="K3" s="14" t="s">
        <v>18</v>
      </c>
      <c r="L3" s="14" t="s">
        <v>19</v>
      </c>
      <c r="M3" s="14" t="s">
        <v>20</v>
      </c>
      <c r="N3" s="14" t="s">
        <v>21</v>
      </c>
      <c r="O3" s="14" t="s">
        <v>22</v>
      </c>
      <c r="P3" s="15"/>
      <c r="Q3" s="16" t="s">
        <v>23</v>
      </c>
      <c r="R3" s="9" t="s">
        <v>8</v>
      </c>
      <c r="S3" s="10">
        <f>STN_GAP</f>
        <v>7.31</v>
      </c>
      <c r="W3" s="17" t="s">
        <v>11</v>
      </c>
      <c r="X3" s="17"/>
      <c r="Y3" s="17"/>
      <c r="Z3" s="17" t="s">
        <v>24</v>
      </c>
      <c r="AA3" s="17"/>
      <c r="AB3" s="17"/>
      <c r="AC3" s="17"/>
      <c r="AD3" s="17"/>
      <c r="AE3" s="17"/>
      <c r="AF3" s="17"/>
      <c r="AG3" s="17" t="s">
        <v>4</v>
      </c>
      <c r="AH3" s="17"/>
      <c r="AI3" s="17" t="s">
        <v>25</v>
      </c>
      <c r="AJ3" s="17"/>
      <c r="AK3" s="17"/>
      <c r="AL3" s="17"/>
      <c r="AM3" s="18" t="s">
        <v>11</v>
      </c>
      <c r="AO3" s="12" t="s">
        <v>9</v>
      </c>
      <c r="AP3" s="13" t="s">
        <v>10</v>
      </c>
      <c r="AQ3" s="19"/>
      <c r="AR3" s="14" t="s">
        <v>12</v>
      </c>
      <c r="AS3" s="14" t="s">
        <v>13</v>
      </c>
      <c r="AT3" s="14" t="s">
        <v>14</v>
      </c>
      <c r="AU3" s="14" t="s">
        <v>15</v>
      </c>
      <c r="AV3" s="14" t="s">
        <v>16</v>
      </c>
      <c r="AW3" s="14" t="s">
        <v>17</v>
      </c>
      <c r="AY3" s="14" t="s">
        <v>18</v>
      </c>
      <c r="AZ3" s="14" t="s">
        <v>19</v>
      </c>
      <c r="BA3" s="14" t="s">
        <v>20</v>
      </c>
      <c r="BB3" s="14" t="s">
        <v>21</v>
      </c>
      <c r="BC3" s="14" t="s">
        <v>22</v>
      </c>
      <c r="BE3" s="16" t="s">
        <v>23</v>
      </c>
      <c r="BF3" s="9" t="s">
        <v>8</v>
      </c>
      <c r="BG3" s="10">
        <f>STN_GAP</f>
        <v>7.31</v>
      </c>
    </row>
    <row r="4" spans="1:60" x14ac:dyDescent="0.25">
      <c r="A4" s="20">
        <f>Tools!$AD3</f>
        <v>0</v>
      </c>
      <c r="B4" s="21">
        <f t="shared" ref="B4:B28" si="0">VLOOKUP(A4,OFFSET_A,Count_WL+1,FALSE)</f>
        <v>0</v>
      </c>
      <c r="C4" s="22">
        <f>IF(A4="  ","  ",IF(A5="  ","?",1*(A5-A4)))</f>
        <v>0.5</v>
      </c>
      <c r="D4" s="23">
        <f>IFERROR(B4*C4,"  ")</f>
        <v>0</v>
      </c>
      <c r="E4" s="24">
        <f t="shared" ref="E4:E28" si="1">IFERROR(A4-(Long_Div/2),"  ")</f>
        <v>-10</v>
      </c>
      <c r="F4" s="23">
        <f>IFERROR(D4*E4,"  ")</f>
        <v>0</v>
      </c>
      <c r="G4" s="23">
        <f>IFERROR(F4*E4,"  ")</f>
        <v>0</v>
      </c>
      <c r="H4" s="23">
        <f>IFERROR(B4^3,"  ")</f>
        <v>0</v>
      </c>
      <c r="I4" s="23">
        <f>IFERROR(H4*C4,"  ")</f>
        <v>0</v>
      </c>
      <c r="J4" s="4"/>
      <c r="K4" s="25">
        <f t="shared" ref="K4:K28" si="2">VLOOKUP(A4,AREA_TABLE,Count_WL+1,FALSE)</f>
        <v>0</v>
      </c>
      <c r="L4" s="23">
        <f>IFERROR(K4*C4,"  ")</f>
        <v>0</v>
      </c>
      <c r="M4" s="26">
        <f t="shared" ref="M4:M28" si="3">VLOOKUP(A4,MOMENT_TABLE,Count_WL+1,FALSE)</f>
        <v>0</v>
      </c>
      <c r="N4" s="27">
        <f>IFERROR(M4*C4,"  ")</f>
        <v>0</v>
      </c>
      <c r="O4" s="23">
        <f>IFERROR(L4*E4,"  ")</f>
        <v>0</v>
      </c>
      <c r="P4" s="4"/>
      <c r="Q4" s="16" t="s">
        <v>26</v>
      </c>
      <c r="R4" s="9" t="s">
        <v>8</v>
      </c>
      <c r="S4" s="28">
        <f>LBP</f>
        <v>146.19999999999999</v>
      </c>
      <c r="W4" s="29">
        <f>IF(AO4="  ","  ",IF(AO5="  ","?",1*(AO5-AO4)))</f>
        <v>0.5</v>
      </c>
      <c r="X4" s="30" t="str">
        <f t="shared" ref="X4:X28" si="4">IF(Y4=0,"--",CONCATENATE(IF(AO4=0,"-",IF(Y3=0,"-",IF(AO4-AO3=0.5,"D",IF(AO4-AO3=1,"W","-")))),IF(AO4=Long_Div,"-",IF(Y5=0,"-",IF(AO5-AO4=0.5,"D",IF(AO5-AO4=1,"W","-"))))))</f>
        <v>-D</v>
      </c>
      <c r="Y4" s="30" t="str">
        <f t="shared" ref="Y4:Y28" si="5">IF(ISNUMBER(AO4),IF(AO4=Long_Div/2,"-",IF(AND(AO4=Long_Div,$AP4=0,$AP3=0),0,IF(AND(AO4=0,$AP4=0,$AP5=0),0,IF($AO4&lt;Long_Div/2,IF(AND(Y3=0,$AP4=0,$AP5=0),0,"-"),IF(AND(Y5=0,$AP4=0,$AP3=0),0,"-")))))," ")</f>
        <v>-</v>
      </c>
      <c r="Z4" s="29" t="b">
        <f t="shared" ref="Z4:Z28" si="6">IF(ISNUMBER(AO4),IF(AO4=0,IF(AO5=0.5,TRUE,FALSE),IF(AO4=Long_Div,IF(AO3=Long_Div-0.5,TRUE,FALSE),IF(OR(AO5-AO4=0.5,AO4-AO3=0.5),TRUE,FALSE)))," ")</f>
        <v>1</v>
      </c>
      <c r="AA4" s="29" t="b">
        <f t="shared" ref="AA4:AA28" si="7">IF(ISNUMBER(AO4),IF(Y4=0," ",IF(AO4=0,IF(AO5=0.5,TRUE,"-"),IF(AO4=Long_Div,IF(AO3=Long_Div-0.5,TRUE,"-"),IF(OR(AO5-AO4=0.5,AO4-AO3=0.5),TRUE,FALSE))))," ")</f>
        <v>1</v>
      </c>
      <c r="AB4" s="29" t="str">
        <f t="shared" ref="AB4:AB28" ca="1" si="8">IF(AO4&lt;=Long_Div/2,IF(ISNUMBER(AO4),IF($X$1=0,"---",IF($X$1=1,"##",IF($X$1=2,IF(AD4=1,"141-4",IF(OR(AD4=0,AD4=2),"141-1","**")),IF(AC4&lt;=($Y$1),"--",IF(AC4&gt;$W$1,"++",IF(ISODD($X$1),IF(OR(AD4=1,AD4=$X$1),"141-1",IF(ISODD(AD4),"141-2",IF(ISEVEN(AD4),"141-4","+"))),IF(ISEVEN($X$1),IF(AD4=1,"1331-1",IF(OR(AD4=2,AD4=3),"1331-3",IF(AD4=4,IF($X$1=4,"1331-1","1331-1,141-1"),IF(AD4=$X$1,"141-1",IF(AD4&lt;=4,"??",IF(ISODD(AD4),"141-4",IF(ISEVEN(AD4),"141-2","SS"))))))))))))))," "),IF(AO4&gt;Long_Div/2,IF(ISNUMBER(AO4),IF($AD$1=0,"---",IF($AD$1=1,"##",IF($AD$1=2,IF(AD4=1,"141-4",IF(OR(AD4=0,AD4=2),"141-1","**")),IF(AC4&lt;=($AE$1),"--",IF(AC4&gt;$AC$1,"++",IF(ISODD($AD$1),IF(OR(AD4=1,AD4=$AD$1),"141-1",IF(ISODD(AD4),"141-2",IF(ISEVEN(AD4),"141-4","+"))),IF(ISEVEN($AD$1),IF(AD4=1,"1331-1",IF(OR(AD4=2,AD4=3),"1331-3",IF(AD4=4,IF($AD$1=4,"1331-1","1331-1,141-1"),IF(AD4=$AD$1,"141-1",IF(AD4&lt;=4,"??",IF(ISODD(AD4),"141-4",IF(ISEVEN(AD4),"141-2","SS"))))))))))))))," "),"@"))</f>
        <v>141-1</v>
      </c>
      <c r="AC4" s="29">
        <f>IF(ISNUMBER(AO4),IF(ISNUMBER(AO4),IF(OR(AO4=0,AO4=Long_Div),1,IF(AO4&gt;Long_Div/2,AC5+1,IF(AO4&lt;=Long_Div/2,AE3+1,"?")))," --")," ")</f>
        <v>1</v>
      </c>
      <c r="AD4" s="29">
        <f t="shared" ref="AD4:AD28" ca="1" si="9">IF(ISNUMBER(AO4),IF(AO4&gt;Long_Div/2,4-ROW(AD4)+Max_STN_count-$AE$1,ROW(AD4)-3-$Y$1)," ")</f>
        <v>1</v>
      </c>
      <c r="AE4" s="29">
        <v>1</v>
      </c>
      <c r="AF4" s="31" t="str">
        <f t="shared" ref="AF4:AF8" si="10">IF(AND(AG4=TRUE,OR(NOT(AG3=TRUE),AG3="Full")),1,IF(ISNUMBER(AF3),AF3+1," "))</f>
        <v xml:space="preserve"> </v>
      </c>
      <c r="AG4" s="29" t="b">
        <f t="shared" ref="AG4:AG28" si="11">IF(ISNUMBER(AO4),IF(AA4=" "," ",IF(AO4=0,IF(AO5-AO4=1,TRUE,FALSE),IF(AO4=Long_Div,IF(AO4-AO3=1,TRUE,FALSE),IF(OR(AO5-AO4=1,AO4-AO3=1),TRUE,FALSE))))," ")</f>
        <v>0</v>
      </c>
      <c r="AH4" s="30" t="str">
        <f t="shared" ref="AH4:AH13" si="12">IF(AND(AG4=TRUE,$AH$1=1),"141-4",IF(AG4=" ",IF(AND($AH$1=2,AF4=3),"141-1","-"),IF(OR(AG4=FALSE,AG4=" "),"-",IF(AG4=TRUE,IF(AND($AH$1=2,AF4=1),"141-1",IF(AND($AH$1=2,AF4=2),"141-4",IF(OR(ISODD($AH$1),AF4&gt;4),IF(AF4=1,"141-1",IF(OR(AB4="141-1",AB4="1331-1",AB4="1331-1,141-1"),"141-1",IF(AG5=" ","141-1",IF(OR(AH3="141-1",AH3="141-2",AH3="1331-1,141-1"),"141-4",IF(AH3="141-4","141-2","$$"))))),IF(ISEVEN($AH$1),IF(AF4=1,"1331-1",IF(OR(AF4=2,AF4=3),"1331-3",IF(AF4=4,IF($AH$1=4,"1331-1","1331-1,141-1"),"")))))))))))</f>
        <v>-</v>
      </c>
      <c r="AI4" s="30" t="str">
        <f t="shared" ref="AI4:AI28" ca="1" si="13">IF(OR(AB4="1331-1",AB4="1331-1,141-1"),"(1/2)*(3/8)",IF(AB4="1331-3","(1/2)*(9/8)",IF(AB4="141-1","(1/2)*(1/3)",IF(AB4="141-2","(1/2)*(2/3)",IF(AB4="141-4","(1/2)*(4/3)","")))))</f>
        <v>(1/2)*(1/3)</v>
      </c>
      <c r="AJ4" s="29">
        <f t="shared" ref="AJ4:AJ28" ca="1" si="14">IF(OR(AB4="1331-1",AB4="1331-1,141-1"),(1/2)*(3/8),IF(AB4="1331-3",(1/2)*(9/8),IF(AB4="141-1",(1/2)*(1/3),IF(AB4="141-2",(1/2)*(2/3),IF(AB4="141-4",(1/2)*(4/3),0)))))</f>
        <v>0.16666666666666666</v>
      </c>
      <c r="AK4" s="29" t="str">
        <f t="shared" ref="AK4:AK28" si="15">IF(AH4="1331-1,141-1","(1*3/8)+(1/3)",IF(LEFT(AH4,4)="141-",CONCATENATE(RIGHT(AH4,1),"/3"),IF(LEFT(AH4,4)="1331",CONCATENATE(RIGHT(AH4,1),"*3/8"),"")))</f>
        <v/>
      </c>
      <c r="AL4" s="29">
        <f t="shared" ref="AL4:AL28" si="16">IF(AH4="1331-1,141-1",(1*3/8)+(1/3),IF(LEFT(AH4,4)="141-",(RIGHT(AH4,1)/3),IF(LEFT(AH4,4)="1331",RIGHT(AH4,1)*3/8,0)))</f>
        <v>0</v>
      </c>
      <c r="AM4" s="32">
        <f ca="1">IF(AQ4=""," ",AJ4+AL4)</f>
        <v>0.16666666666666666</v>
      </c>
      <c r="AO4" s="20">
        <f>Tools!$AD3</f>
        <v>0</v>
      </c>
      <c r="AP4" s="33">
        <f t="shared" ref="AP4" si="17">VLOOKUP(AO4,OFFSET_A,Count_WL+1,FALSE)</f>
        <v>0</v>
      </c>
      <c r="AQ4" s="34" t="str">
        <f t="shared" ref="AQ4:AQ28" ca="1" si="18">CONCATENATE(AI4,IF(NOT(OR(AI4="",AK4="")),"+",""),AK4)</f>
        <v>(1/2)*(1/3)</v>
      </c>
      <c r="AR4" s="23">
        <f t="shared" ref="AR4:AR28" ca="1" si="19">IFERROR(AP4*AM4,"  ")</f>
        <v>0</v>
      </c>
      <c r="AS4" s="24">
        <f t="shared" ref="AS4:AS28" si="20">IFERROR(AO4-(Long_Div/2),"  ")</f>
        <v>-10</v>
      </c>
      <c r="AT4" s="23">
        <f ca="1">IFERROR(AR4*AS4,"  ")</f>
        <v>0</v>
      </c>
      <c r="AU4" s="23">
        <f ca="1">IFERROR(AT4*AS4,"  ")</f>
        <v>0</v>
      </c>
      <c r="AV4" s="23">
        <f t="shared" ref="AV4:AV28" si="21">IFERROR(AP4^3,"  ")</f>
        <v>0</v>
      </c>
      <c r="AW4" s="23">
        <f t="shared" ref="AW4:AW28" ca="1" si="22">IFERROR(AV4*AM4,"  ")</f>
        <v>0</v>
      </c>
      <c r="AY4" s="35">
        <f t="shared" ref="AY4:AY28" si="23">IF(ROW(AY4)-3&gt;Max_STN_count," ",VLOOKUP(AO4,AREA_TABLE,Count_WL+1,FALSE))</f>
        <v>0</v>
      </c>
      <c r="AZ4" s="23">
        <f t="shared" ref="AZ4:AZ7" ca="1" si="24">IFERROR(AY4*AM4,"  ")</f>
        <v>0</v>
      </c>
      <c r="BA4" s="36">
        <f t="shared" ref="BA4:BA28" si="25">IF(ROW(AY4)-3&gt;Max_STN_count," ",VLOOKUP(AO4,MOMENT_TABLE,Count_WL+1,FALSE))</f>
        <v>0</v>
      </c>
      <c r="BB4" s="27">
        <f ca="1">IFERROR(BA4*AM4,"  ")</f>
        <v>0</v>
      </c>
      <c r="BC4" s="23">
        <f ca="1">IFERROR(AZ4*AS4,"  ")</f>
        <v>0</v>
      </c>
      <c r="BE4" s="16" t="s">
        <v>26</v>
      </c>
      <c r="BF4" s="9" t="s">
        <v>8</v>
      </c>
      <c r="BG4" s="28">
        <f>LBP</f>
        <v>146.19999999999999</v>
      </c>
    </row>
    <row r="5" spans="1:60" x14ac:dyDescent="0.25">
      <c r="A5" s="20">
        <f>Tools!$AD4</f>
        <v>0.5</v>
      </c>
      <c r="B5" s="33">
        <f t="shared" si="0"/>
        <v>0.66</v>
      </c>
      <c r="C5" s="22">
        <f>IF(A5="  ","  ",IF(AND(A4="  ",A6="  "),"?",IF(A4="  ",2*(A6-A5),IF(A6="  ",2*(A5-A4),2*(A6-A4)))))</f>
        <v>2</v>
      </c>
      <c r="D5" s="23">
        <f t="shared" ref="D5:D28" si="26">IFERROR(B5*C5,"  ")</f>
        <v>1.32</v>
      </c>
      <c r="E5" s="24">
        <f t="shared" si="1"/>
        <v>-9.5</v>
      </c>
      <c r="F5" s="23">
        <f t="shared" ref="F5:F28" si="27">IFERROR(D5*E5,"  ")</f>
        <v>-12.540000000000001</v>
      </c>
      <c r="G5" s="23">
        <f t="shared" ref="G5:G28" si="28">IFERROR(F5*E5,"  ")</f>
        <v>119.13000000000001</v>
      </c>
      <c r="H5" s="23">
        <f t="shared" ref="H5:H28" si="29">IFERROR(B5^3,"  ")</f>
        <v>0.28749600000000003</v>
      </c>
      <c r="I5" s="23">
        <f t="shared" ref="I5:I28" si="30">IFERROR(H5*C5,"  ")</f>
        <v>0.57499200000000006</v>
      </c>
      <c r="J5" s="4"/>
      <c r="K5" s="37">
        <f t="shared" si="2"/>
        <v>3.7699999999999996</v>
      </c>
      <c r="L5" s="23">
        <f t="shared" ref="L5:L28" si="31">IFERROR(K5*C5,"  ")</f>
        <v>7.5399999999999991</v>
      </c>
      <c r="M5" s="38">
        <f t="shared" si="3"/>
        <v>13.84</v>
      </c>
      <c r="N5" s="27">
        <f t="shared" ref="N5:N28" si="32">IFERROR(M5*C5,"  ")</f>
        <v>27.68</v>
      </c>
      <c r="O5" s="23">
        <f t="shared" ref="O5:O28" si="33">IFERROR(L5*E5,"  ")</f>
        <v>-71.63</v>
      </c>
      <c r="P5" s="4"/>
      <c r="Q5" s="8" t="s">
        <v>27</v>
      </c>
      <c r="R5" s="9" t="s">
        <v>8</v>
      </c>
      <c r="S5" s="10">
        <f>BREADTH</f>
        <v>22</v>
      </c>
      <c r="W5" s="29">
        <f>IF(AO5="  ","  ",IF(AND(AO4="  ",AO6="  "),"?",IF(AO4="  ",2*(AO6-AO5),IF(AO6="  ",2*(AO5-AO4),2*(AO6-AO4)))))</f>
        <v>2</v>
      </c>
      <c r="X5" s="30" t="str">
        <f t="shared" si="4"/>
        <v>DD</v>
      </c>
      <c r="Y5" s="30" t="str">
        <f t="shared" si="5"/>
        <v>-</v>
      </c>
      <c r="Z5" s="29" t="b">
        <f t="shared" si="6"/>
        <v>1</v>
      </c>
      <c r="AA5" s="29" t="b">
        <f t="shared" si="7"/>
        <v>1</v>
      </c>
      <c r="AB5" s="29" t="str">
        <f t="shared" ca="1" si="8"/>
        <v>141-4</v>
      </c>
      <c r="AC5" s="29">
        <f t="shared" ref="AC5:AC27" si="34">IF(ISNUMBER(AO5),IF(ISNUMBER(AO5),IF(OR(AO5=0,AO5=Long_Div),1,IF(AO5&gt;Long_Div/2,AC6+1,IF(AO5&lt;=Long_Div/2,AC4+1,"?")))," --")," ")</f>
        <v>2</v>
      </c>
      <c r="AD5" s="29">
        <f t="shared" ca="1" si="9"/>
        <v>2</v>
      </c>
      <c r="AE5" s="29">
        <v>2</v>
      </c>
      <c r="AF5" s="31" t="str">
        <f t="shared" si="10"/>
        <v xml:space="preserve"> </v>
      </c>
      <c r="AG5" s="29" t="b">
        <f t="shared" si="11"/>
        <v>0</v>
      </c>
      <c r="AH5" s="30" t="str">
        <f t="shared" si="12"/>
        <v>-</v>
      </c>
      <c r="AI5" s="30" t="str">
        <f t="shared" ca="1" si="13"/>
        <v>(1/2)*(4/3)</v>
      </c>
      <c r="AJ5" s="29">
        <f t="shared" ca="1" si="14"/>
        <v>0.66666666666666663</v>
      </c>
      <c r="AK5" s="29" t="str">
        <f t="shared" si="15"/>
        <v/>
      </c>
      <c r="AL5" s="29">
        <f t="shared" si="16"/>
        <v>0</v>
      </c>
      <c r="AM5" s="32">
        <f t="shared" ref="AM5:AM28" ca="1" si="35">IF(AQ5=""," ",AJ5+AL5)</f>
        <v>0.66666666666666663</v>
      </c>
      <c r="AO5" s="20">
        <f>Tools!$AD4</f>
        <v>0.5</v>
      </c>
      <c r="AP5" s="33">
        <f t="shared" ref="AP5:AP26" si="36">VLOOKUP(AO5,OFFSET_A,Count_WL+1,FALSE)</f>
        <v>0.66</v>
      </c>
      <c r="AQ5" s="34" t="str">
        <f t="shared" ca="1" si="18"/>
        <v>(1/2)*(4/3)</v>
      </c>
      <c r="AR5" s="23">
        <f t="shared" ca="1" si="19"/>
        <v>0.44</v>
      </c>
      <c r="AS5" s="24">
        <f t="shared" si="20"/>
        <v>-9.5</v>
      </c>
      <c r="AT5" s="23">
        <f t="shared" ref="AT5:AT28" ca="1" si="37">IFERROR(AR5*AS5,"  ")</f>
        <v>-4.18</v>
      </c>
      <c r="AU5" s="23">
        <f ca="1">IFERROR(AT5*AS5,"  ")</f>
        <v>39.709999999999994</v>
      </c>
      <c r="AV5" s="23">
        <f t="shared" si="21"/>
        <v>0.28749600000000003</v>
      </c>
      <c r="AW5" s="23">
        <f t="shared" ca="1" si="22"/>
        <v>0.191664</v>
      </c>
      <c r="AY5" s="35">
        <f t="shared" si="23"/>
        <v>3.7699999999999996</v>
      </c>
      <c r="AZ5" s="23">
        <f t="shared" ca="1" si="24"/>
        <v>2.5133333333333328</v>
      </c>
      <c r="BA5" s="36">
        <f t="shared" si="25"/>
        <v>13.84</v>
      </c>
      <c r="BB5" s="27">
        <f t="shared" ref="BB5:BB28" ca="1" si="38">IFERROR(BA5*AM5,"  ")</f>
        <v>9.2266666666666666</v>
      </c>
      <c r="BC5" s="23">
        <f t="shared" ref="BC5:BC28" ca="1" si="39">IFERROR(AZ5*AS5,"  ")</f>
        <v>-23.876666666666662</v>
      </c>
      <c r="BE5" s="8" t="s">
        <v>27</v>
      </c>
      <c r="BF5" s="9" t="s">
        <v>8</v>
      </c>
      <c r="BG5" s="10">
        <f>BREADTH</f>
        <v>22</v>
      </c>
    </row>
    <row r="6" spans="1:60" x14ac:dyDescent="0.25">
      <c r="A6" s="20">
        <f>Tools!$AD5</f>
        <v>1</v>
      </c>
      <c r="B6" s="33">
        <f t="shared" si="0"/>
        <v>2.27</v>
      </c>
      <c r="C6" s="22">
        <f>IF(A6="  ","  ",IF(AND(A5="  ",A7="  "),"?",IF(A5="  ",1*(A7-A6),IF(A7="  ",1*(A6-A5),1*(A7-A5)))))</f>
        <v>1</v>
      </c>
      <c r="D6" s="23">
        <f t="shared" si="26"/>
        <v>2.27</v>
      </c>
      <c r="E6" s="24">
        <f t="shared" si="1"/>
        <v>-9</v>
      </c>
      <c r="F6" s="23">
        <f t="shared" si="27"/>
        <v>-20.43</v>
      </c>
      <c r="G6" s="23">
        <f t="shared" si="28"/>
        <v>183.87</v>
      </c>
      <c r="H6" s="23">
        <f t="shared" si="29"/>
        <v>11.697082999999999</v>
      </c>
      <c r="I6" s="23">
        <f t="shared" si="30"/>
        <v>11.697082999999999</v>
      </c>
      <c r="J6" s="4"/>
      <c r="K6" s="37">
        <f t="shared" si="2"/>
        <v>14.666666666666664</v>
      </c>
      <c r="L6" s="23">
        <f t="shared" si="31"/>
        <v>14.666666666666664</v>
      </c>
      <c r="M6" s="38">
        <f t="shared" si="3"/>
        <v>54.593333333333341</v>
      </c>
      <c r="N6" s="27">
        <f t="shared" si="32"/>
        <v>54.593333333333341</v>
      </c>
      <c r="O6" s="23">
        <f t="shared" si="33"/>
        <v>-131.99999999999997</v>
      </c>
      <c r="P6" s="4"/>
      <c r="Q6" s="8" t="s">
        <v>28</v>
      </c>
      <c r="R6" s="9" t="s">
        <v>8</v>
      </c>
      <c r="S6" s="10">
        <f>DEPTH</f>
        <v>13</v>
      </c>
      <c r="W6" s="29">
        <f>IF(AO6="  ","  ",IF(AND(AO5="  ",AO7="  "),"?",IF(AO5="  ",1*(AO7-AO6),IF(AO7="  ",1*(AO6-AO5),1*(AO7-AO5)))))</f>
        <v>1</v>
      </c>
      <c r="X6" s="30" t="str">
        <f t="shared" si="4"/>
        <v>DD</v>
      </c>
      <c r="Y6" s="30" t="str">
        <f t="shared" si="5"/>
        <v>-</v>
      </c>
      <c r="Z6" s="29" t="b">
        <f t="shared" si="6"/>
        <v>1</v>
      </c>
      <c r="AA6" s="29" t="b">
        <f t="shared" si="7"/>
        <v>1</v>
      </c>
      <c r="AB6" s="29" t="str">
        <f t="shared" ca="1" si="8"/>
        <v>141-2</v>
      </c>
      <c r="AC6" s="29">
        <f t="shared" si="34"/>
        <v>3</v>
      </c>
      <c r="AD6" s="29">
        <f t="shared" ca="1" si="9"/>
        <v>3</v>
      </c>
      <c r="AE6" s="29">
        <v>3</v>
      </c>
      <c r="AF6" s="31" t="str">
        <f t="shared" si="10"/>
        <v xml:space="preserve"> </v>
      </c>
      <c r="AG6" s="29" t="b">
        <f t="shared" si="11"/>
        <v>0</v>
      </c>
      <c r="AH6" s="30" t="str">
        <f t="shared" si="12"/>
        <v>-</v>
      </c>
      <c r="AI6" s="30" t="str">
        <f t="shared" ca="1" si="13"/>
        <v>(1/2)*(2/3)</v>
      </c>
      <c r="AJ6" s="29">
        <f t="shared" ca="1" si="14"/>
        <v>0.33333333333333331</v>
      </c>
      <c r="AK6" s="29" t="str">
        <f t="shared" si="15"/>
        <v/>
      </c>
      <c r="AL6" s="29">
        <f t="shared" si="16"/>
        <v>0</v>
      </c>
      <c r="AM6" s="32">
        <f t="shared" ca="1" si="35"/>
        <v>0.33333333333333331</v>
      </c>
      <c r="AO6" s="20">
        <f>Tools!$AD5</f>
        <v>1</v>
      </c>
      <c r="AP6" s="33">
        <f t="shared" si="36"/>
        <v>2.27</v>
      </c>
      <c r="AQ6" s="34" t="str">
        <f t="shared" ca="1" si="18"/>
        <v>(1/2)*(2/3)</v>
      </c>
      <c r="AR6" s="23">
        <f t="shared" ca="1" si="19"/>
        <v>0.7566666666666666</v>
      </c>
      <c r="AS6" s="24">
        <f t="shared" si="20"/>
        <v>-9</v>
      </c>
      <c r="AT6" s="23">
        <f t="shared" ca="1" si="37"/>
        <v>-6.81</v>
      </c>
      <c r="AU6" s="23">
        <f ca="1">IFERROR(AT6*AS6,"  ")</f>
        <v>61.29</v>
      </c>
      <c r="AV6" s="23">
        <f t="shared" si="21"/>
        <v>11.697082999999999</v>
      </c>
      <c r="AW6" s="23">
        <f t="shared" ca="1" si="22"/>
        <v>3.8990276666666661</v>
      </c>
      <c r="AY6" s="35">
        <f t="shared" si="23"/>
        <v>14.666666666666664</v>
      </c>
      <c r="AZ6" s="23">
        <f t="shared" ca="1" si="24"/>
        <v>4.8888888888888875</v>
      </c>
      <c r="BA6" s="36">
        <f t="shared" si="25"/>
        <v>54.593333333333341</v>
      </c>
      <c r="BB6" s="27">
        <f t="shared" ca="1" si="38"/>
        <v>18.19777777777778</v>
      </c>
      <c r="BC6" s="23">
        <f t="shared" ca="1" si="39"/>
        <v>-43.999999999999986</v>
      </c>
      <c r="BE6" s="8" t="s">
        <v>28</v>
      </c>
      <c r="BF6" s="9" t="s">
        <v>8</v>
      </c>
      <c r="BG6" s="10">
        <f>DEPTH</f>
        <v>13</v>
      </c>
    </row>
    <row r="7" spans="1:60" x14ac:dyDescent="0.25">
      <c r="A7" s="20">
        <f>Tools!$AD6</f>
        <v>1.5</v>
      </c>
      <c r="B7" s="33">
        <f t="shared" si="0"/>
        <v>3.86</v>
      </c>
      <c r="C7" s="22">
        <f>IF(A7="  ","  ",IF(AND(A6="  ",A8="  "),"?",IF(A6="  ",2*(A8-A7),IF(A8="  ",2*(A7-A6),2*(A8-A6)))))</f>
        <v>2</v>
      </c>
      <c r="D7" s="23">
        <f t="shared" si="26"/>
        <v>7.72</v>
      </c>
      <c r="E7" s="24">
        <f t="shared" si="1"/>
        <v>-8.5</v>
      </c>
      <c r="F7" s="23">
        <f t="shared" si="27"/>
        <v>-65.62</v>
      </c>
      <c r="G7" s="23">
        <f t="shared" si="28"/>
        <v>557.77</v>
      </c>
      <c r="H7" s="23">
        <f t="shared" si="29"/>
        <v>57.512455999999993</v>
      </c>
      <c r="I7" s="23">
        <f t="shared" si="30"/>
        <v>115.02491199999999</v>
      </c>
      <c r="J7" s="4"/>
      <c r="K7" s="37">
        <f t="shared" si="2"/>
        <v>27.870000000000005</v>
      </c>
      <c r="L7" s="23">
        <f t="shared" si="31"/>
        <v>55.740000000000009</v>
      </c>
      <c r="M7" s="38">
        <f t="shared" si="3"/>
        <v>101.98666666666668</v>
      </c>
      <c r="N7" s="27">
        <f t="shared" si="32"/>
        <v>203.97333333333336</v>
      </c>
      <c r="O7" s="23">
        <f t="shared" si="33"/>
        <v>-473.79000000000008</v>
      </c>
      <c r="P7" s="4"/>
      <c r="Q7" s="39" t="s">
        <v>29</v>
      </c>
      <c r="R7" s="40" t="s">
        <v>8</v>
      </c>
      <c r="S7" s="41">
        <f>IF(MAX(B4:B28)=0," ",2*MAX(B4:B28))</f>
        <v>22</v>
      </c>
      <c r="W7" s="29">
        <f>IF(AO7="  ","  ",IF(AND(AO6="  ",AO8="  "),"?",IF(AO6="  ",2*(AO8-AO7),IF(AO8="  ",2*(AO7-AO6),2*(AO8-AO6)))))</f>
        <v>2</v>
      </c>
      <c r="X7" s="30" t="str">
        <f t="shared" si="4"/>
        <v>DD</v>
      </c>
      <c r="Y7" s="30" t="str">
        <f t="shared" si="5"/>
        <v>-</v>
      </c>
      <c r="Z7" s="29" t="b">
        <f t="shared" si="6"/>
        <v>1</v>
      </c>
      <c r="AA7" s="29" t="b">
        <f t="shared" si="7"/>
        <v>1</v>
      </c>
      <c r="AB7" s="29" t="str">
        <f t="shared" ca="1" si="8"/>
        <v>141-4</v>
      </c>
      <c r="AC7" s="29">
        <f t="shared" si="34"/>
        <v>4</v>
      </c>
      <c r="AD7" s="29">
        <f t="shared" ca="1" si="9"/>
        <v>4</v>
      </c>
      <c r="AE7" s="29">
        <v>4</v>
      </c>
      <c r="AF7" s="31" t="str">
        <f t="shared" si="10"/>
        <v xml:space="preserve"> </v>
      </c>
      <c r="AG7" s="29" t="b">
        <f t="shared" si="11"/>
        <v>0</v>
      </c>
      <c r="AH7" s="30" t="str">
        <f t="shared" si="12"/>
        <v>-</v>
      </c>
      <c r="AI7" s="30" t="str">
        <f t="shared" ca="1" si="13"/>
        <v>(1/2)*(4/3)</v>
      </c>
      <c r="AJ7" s="29">
        <f t="shared" ca="1" si="14"/>
        <v>0.66666666666666663</v>
      </c>
      <c r="AK7" s="29" t="str">
        <f t="shared" si="15"/>
        <v/>
      </c>
      <c r="AL7" s="29">
        <f t="shared" si="16"/>
        <v>0</v>
      </c>
      <c r="AM7" s="32">
        <f t="shared" ca="1" si="35"/>
        <v>0.66666666666666663</v>
      </c>
      <c r="AO7" s="20">
        <f>Tools!$AD6</f>
        <v>1.5</v>
      </c>
      <c r="AP7" s="33">
        <f t="shared" si="36"/>
        <v>3.86</v>
      </c>
      <c r="AQ7" s="34" t="str">
        <f t="shared" ca="1" si="18"/>
        <v>(1/2)*(4/3)</v>
      </c>
      <c r="AR7" s="23">
        <f t="shared" ca="1" si="19"/>
        <v>2.5733333333333333</v>
      </c>
      <c r="AS7" s="24">
        <f t="shared" si="20"/>
        <v>-8.5</v>
      </c>
      <c r="AT7" s="23">
        <f t="shared" ca="1" si="37"/>
        <v>-21.873333333333331</v>
      </c>
      <c r="AU7" s="23">
        <f t="shared" ref="AU7:AU28" ca="1" si="40">IFERROR(AT7*AS7,"  ")</f>
        <v>185.92333333333332</v>
      </c>
      <c r="AV7" s="23">
        <f t="shared" si="21"/>
        <v>57.512455999999993</v>
      </c>
      <c r="AW7" s="23">
        <f t="shared" ca="1" si="22"/>
        <v>38.341637333333324</v>
      </c>
      <c r="AY7" s="35">
        <f t="shared" si="23"/>
        <v>27.870000000000005</v>
      </c>
      <c r="AZ7" s="23">
        <f t="shared" ca="1" si="24"/>
        <v>18.580000000000002</v>
      </c>
      <c r="BA7" s="36">
        <f t="shared" si="25"/>
        <v>101.98666666666668</v>
      </c>
      <c r="BB7" s="27">
        <f t="shared" ca="1" si="38"/>
        <v>67.99111111111111</v>
      </c>
      <c r="BC7" s="23">
        <f t="shared" ca="1" si="39"/>
        <v>-157.93</v>
      </c>
      <c r="BE7" s="8" t="s">
        <v>29</v>
      </c>
      <c r="BF7" s="9" t="s">
        <v>8</v>
      </c>
      <c r="BG7" s="10">
        <f>IF(MAX(AP4:AP28)=0," ",2*MAX(AP4:AP28))</f>
        <v>22</v>
      </c>
    </row>
    <row r="8" spans="1:60" x14ac:dyDescent="0.25">
      <c r="A8" s="20">
        <f>Tools!$AD7</f>
        <v>2</v>
      </c>
      <c r="B8" s="33">
        <f t="shared" si="0"/>
        <v>5.28</v>
      </c>
      <c r="C8" s="22">
        <f>IF(A8="  ","  ",IF(AND(A7="  ",A9="  "),"?",IF(A7="  ",1*(A9-A8),IF(A9="  ",1*(A8-A7),1*(A9-A7)))))</f>
        <v>1.5</v>
      </c>
      <c r="D8" s="23">
        <f t="shared" si="26"/>
        <v>7.92</v>
      </c>
      <c r="E8" s="24">
        <f t="shared" si="1"/>
        <v>-8</v>
      </c>
      <c r="F8" s="23">
        <f t="shared" si="27"/>
        <v>-63.36</v>
      </c>
      <c r="G8" s="23">
        <f t="shared" si="28"/>
        <v>506.88</v>
      </c>
      <c r="H8" s="23">
        <f t="shared" si="29"/>
        <v>147.19795200000002</v>
      </c>
      <c r="I8" s="23">
        <f t="shared" si="30"/>
        <v>220.79692800000004</v>
      </c>
      <c r="J8" s="4"/>
      <c r="K8" s="37">
        <f t="shared" si="2"/>
        <v>41.463333333333331</v>
      </c>
      <c r="L8" s="23">
        <f t="shared" si="31"/>
        <v>62.194999999999993</v>
      </c>
      <c r="M8" s="38">
        <f t="shared" si="3"/>
        <v>148.63333333333333</v>
      </c>
      <c r="N8" s="27">
        <f t="shared" si="32"/>
        <v>222.95</v>
      </c>
      <c r="O8" s="23">
        <f t="shared" si="33"/>
        <v>-497.55999999999995</v>
      </c>
      <c r="P8" s="4"/>
      <c r="Q8" s="42"/>
      <c r="R8" s="42"/>
      <c r="S8" s="42"/>
      <c r="W8" s="29">
        <f>IF(AO8="  ","  ",IF(AND(AO7="  ",AO9="  "),"?",IF(AO7="  ",1*(AO9-AO8),IF(AO9="  ",1*(AO8-AO7),1*(AO9-AO7)))))</f>
        <v>1.5</v>
      </c>
      <c r="X8" s="30" t="str">
        <f t="shared" si="4"/>
        <v>DW</v>
      </c>
      <c r="Y8" s="30" t="str">
        <f t="shared" si="5"/>
        <v>-</v>
      </c>
      <c r="Z8" s="29" t="b">
        <f t="shared" si="6"/>
        <v>1</v>
      </c>
      <c r="AA8" s="29" t="b">
        <f t="shared" si="7"/>
        <v>1</v>
      </c>
      <c r="AB8" s="29" t="str">
        <f t="shared" ca="1" si="8"/>
        <v>141-1</v>
      </c>
      <c r="AC8" s="29">
        <f t="shared" si="34"/>
        <v>5</v>
      </c>
      <c r="AD8" s="29">
        <f t="shared" ca="1" si="9"/>
        <v>5</v>
      </c>
      <c r="AE8" s="29">
        <v>5</v>
      </c>
      <c r="AF8" s="31">
        <f t="shared" si="10"/>
        <v>1</v>
      </c>
      <c r="AG8" s="29" t="b">
        <f t="shared" si="11"/>
        <v>1</v>
      </c>
      <c r="AH8" s="30" t="str">
        <f t="shared" si="12"/>
        <v>141-1</v>
      </c>
      <c r="AI8" s="30" t="str">
        <f t="shared" ca="1" si="13"/>
        <v>(1/2)*(1/3)</v>
      </c>
      <c r="AJ8" s="29">
        <f t="shared" ca="1" si="14"/>
        <v>0.16666666666666666</v>
      </c>
      <c r="AK8" s="29" t="str">
        <f t="shared" si="15"/>
        <v>1/3</v>
      </c>
      <c r="AL8" s="29">
        <f t="shared" si="16"/>
        <v>0.33333333333333331</v>
      </c>
      <c r="AM8" s="32">
        <f t="shared" ca="1" si="35"/>
        <v>0.5</v>
      </c>
      <c r="AO8" s="20">
        <f>Tools!$AD7</f>
        <v>2</v>
      </c>
      <c r="AP8" s="33">
        <f t="shared" si="36"/>
        <v>5.28</v>
      </c>
      <c r="AQ8" s="34" t="str">
        <f t="shared" ca="1" si="18"/>
        <v>(1/2)*(1/3)+1/3</v>
      </c>
      <c r="AR8" s="23">
        <f t="shared" ca="1" si="19"/>
        <v>2.64</v>
      </c>
      <c r="AS8" s="24">
        <f t="shared" si="20"/>
        <v>-8</v>
      </c>
      <c r="AT8" s="23">
        <f t="shared" ca="1" si="37"/>
        <v>-21.12</v>
      </c>
      <c r="AU8" s="23">
        <f t="shared" ca="1" si="40"/>
        <v>168.96</v>
      </c>
      <c r="AV8" s="23">
        <f t="shared" si="21"/>
        <v>147.19795200000002</v>
      </c>
      <c r="AW8" s="23">
        <f t="shared" ca="1" si="22"/>
        <v>73.598976000000008</v>
      </c>
      <c r="AY8" s="35">
        <f t="shared" si="23"/>
        <v>41.463333333333331</v>
      </c>
      <c r="AZ8" s="23">
        <f ca="1">IFERROR(AY8*AM8,"  ")</f>
        <v>20.731666666666666</v>
      </c>
      <c r="BA8" s="36">
        <f t="shared" si="25"/>
        <v>148.63333333333333</v>
      </c>
      <c r="BB8" s="27">
        <f t="shared" ca="1" si="38"/>
        <v>74.316666666666663</v>
      </c>
      <c r="BC8" s="23">
        <f t="shared" ca="1" si="39"/>
        <v>-165.85333333333332</v>
      </c>
      <c r="BE8" s="8" t="s">
        <v>30</v>
      </c>
      <c r="BF8" s="9" t="s">
        <v>8</v>
      </c>
      <c r="BG8" s="10">
        <f ca="1">LBP-AJ33</f>
        <v>146.19999999999999</v>
      </c>
      <c r="BH8" t="str">
        <f ca="1">IF(AJ33&gt;0,CONCATENATE("(LWL is assumed between stations ",$AH$31," and ",$AH$33," as offset values extreme to these stations are zeros.)"),"")</f>
        <v/>
      </c>
    </row>
    <row r="9" spans="1:60" x14ac:dyDescent="0.25">
      <c r="A9" s="20">
        <f>Tools!$AD8</f>
        <v>3</v>
      </c>
      <c r="B9" s="33">
        <f t="shared" si="0"/>
        <v>7.76</v>
      </c>
      <c r="C9" s="22">
        <f>IF(A9="  ","  ",IF(AND(A8="  ",A10="  "),"?",IF(A8="  ",2*(A10-A9),IF(A10="  ",2*(A9-A8),2*(A10-A8)))))</f>
        <v>4</v>
      </c>
      <c r="D9" s="23">
        <f t="shared" si="26"/>
        <v>31.04</v>
      </c>
      <c r="E9" s="24">
        <f t="shared" si="1"/>
        <v>-7</v>
      </c>
      <c r="F9" s="23">
        <f t="shared" si="27"/>
        <v>-217.28</v>
      </c>
      <c r="G9" s="23">
        <f t="shared" si="28"/>
        <v>1520.96</v>
      </c>
      <c r="H9" s="23">
        <f t="shared" si="29"/>
        <v>467.28857599999998</v>
      </c>
      <c r="I9" s="23">
        <f t="shared" si="30"/>
        <v>1869.1543039999999</v>
      </c>
      <c r="J9" s="4"/>
      <c r="K9" s="37">
        <f t="shared" si="2"/>
        <v>68.636666666666656</v>
      </c>
      <c r="L9" s="23">
        <f t="shared" si="31"/>
        <v>274.54666666666662</v>
      </c>
      <c r="M9" s="38">
        <f t="shared" si="3"/>
        <v>235.9733333333333</v>
      </c>
      <c r="N9" s="27">
        <f t="shared" si="32"/>
        <v>943.8933333333332</v>
      </c>
      <c r="O9" s="23">
        <f t="shared" si="33"/>
        <v>-1921.8266666666664</v>
      </c>
      <c r="P9" s="4"/>
      <c r="Q9" s="43" t="s">
        <v>31</v>
      </c>
      <c r="R9" s="44" t="s">
        <v>32</v>
      </c>
      <c r="S9" s="489" t="s">
        <v>33</v>
      </c>
      <c r="W9" s="29">
        <f>IF(AO9="  ","  ",IF(AND(AO8="  ",AO10="  "),"?",IF(AO8="  ",2*(AO10-AO9),IF(AO10="  ",2*(AO9-AO8),2*(AO10-AO8)))))</f>
        <v>4</v>
      </c>
      <c r="X9" s="30" t="str">
        <f t="shared" si="4"/>
        <v>WW</v>
      </c>
      <c r="Y9" s="30" t="str">
        <f t="shared" si="5"/>
        <v>-</v>
      </c>
      <c r="Z9" s="29" t="b">
        <f t="shared" si="6"/>
        <v>0</v>
      </c>
      <c r="AA9" s="29" t="b">
        <f t="shared" si="7"/>
        <v>0</v>
      </c>
      <c r="AB9" s="29" t="str">
        <f t="shared" ca="1" si="8"/>
        <v>++</v>
      </c>
      <c r="AC9" s="29">
        <f t="shared" si="34"/>
        <v>6</v>
      </c>
      <c r="AD9" s="29">
        <f t="shared" ca="1" si="9"/>
        <v>6</v>
      </c>
      <c r="AE9" s="29">
        <v>6</v>
      </c>
      <c r="AF9" s="31">
        <f>IF(AND(AG9=TRUE,OR(NOT(AG8=TRUE),AG8="Full")),1,IF(ISNUMBER(AF8),AF8+1," "))</f>
        <v>2</v>
      </c>
      <c r="AG9" s="29" t="b">
        <f t="shared" si="11"/>
        <v>1</v>
      </c>
      <c r="AH9" s="30" t="str">
        <f t="shared" ca="1" si="12"/>
        <v>141-4</v>
      </c>
      <c r="AI9" s="30" t="str">
        <f t="shared" ca="1" si="13"/>
        <v/>
      </c>
      <c r="AJ9" s="29">
        <f t="shared" ca="1" si="14"/>
        <v>0</v>
      </c>
      <c r="AK9" s="29" t="str">
        <f t="shared" ca="1" si="15"/>
        <v>4/3</v>
      </c>
      <c r="AL9" s="29">
        <f t="shared" ca="1" si="16"/>
        <v>1.3333333333333333</v>
      </c>
      <c r="AM9" s="32">
        <f t="shared" ca="1" si="35"/>
        <v>1.3333333333333333</v>
      </c>
      <c r="AO9" s="20">
        <f>Tools!$AD8</f>
        <v>3</v>
      </c>
      <c r="AP9" s="33">
        <f t="shared" si="36"/>
        <v>7.76</v>
      </c>
      <c r="AQ9" s="34" t="str">
        <f t="shared" ca="1" si="18"/>
        <v>4/3</v>
      </c>
      <c r="AR9" s="23">
        <f t="shared" ca="1" si="19"/>
        <v>10.346666666666666</v>
      </c>
      <c r="AS9" s="24">
        <f t="shared" si="20"/>
        <v>-7</v>
      </c>
      <c r="AT9" s="23">
        <f t="shared" ca="1" si="37"/>
        <v>-72.426666666666662</v>
      </c>
      <c r="AU9" s="23">
        <f t="shared" ca="1" si="40"/>
        <v>506.98666666666662</v>
      </c>
      <c r="AV9" s="23">
        <f t="shared" si="21"/>
        <v>467.28857599999998</v>
      </c>
      <c r="AW9" s="23">
        <f t="shared" ca="1" si="22"/>
        <v>623.05143466666664</v>
      </c>
      <c r="AY9" s="35">
        <f t="shared" si="23"/>
        <v>68.636666666666656</v>
      </c>
      <c r="AZ9" s="23">
        <f t="shared" ref="AZ9:AZ28" ca="1" si="41">IFERROR(AY9*AM9,"  ")</f>
        <v>91.515555555555537</v>
      </c>
      <c r="BA9" s="36">
        <f t="shared" si="25"/>
        <v>235.9733333333333</v>
      </c>
      <c r="BB9" s="27">
        <f t="shared" ca="1" si="38"/>
        <v>314.63111111111107</v>
      </c>
      <c r="BC9" s="23">
        <f t="shared" ca="1" si="39"/>
        <v>-640.60888888888871</v>
      </c>
    </row>
    <row r="10" spans="1:60" x14ac:dyDescent="0.25">
      <c r="A10" s="20">
        <f>Tools!$AD9</f>
        <v>4</v>
      </c>
      <c r="B10" s="33">
        <f t="shared" si="0"/>
        <v>9.4499999999999993</v>
      </c>
      <c r="C10" s="22">
        <f>IF(A10="  ","  ",IF(AND(A9="  ",A11="  "),"?",IF(A9="  ",1*(A11-A10),IF(A11="  ",1*(A10-A9),1*(A11-A9)))))</f>
        <v>2</v>
      </c>
      <c r="D10" s="23">
        <f t="shared" si="26"/>
        <v>18.899999999999999</v>
      </c>
      <c r="E10" s="24">
        <f t="shared" si="1"/>
        <v>-6</v>
      </c>
      <c r="F10" s="23">
        <f t="shared" si="27"/>
        <v>-113.39999999999999</v>
      </c>
      <c r="G10" s="23">
        <f t="shared" si="28"/>
        <v>680.4</v>
      </c>
      <c r="H10" s="23">
        <f t="shared" si="29"/>
        <v>843.9086249999998</v>
      </c>
      <c r="I10" s="23">
        <f>IFERROR(H10*C10,"  ")</f>
        <v>1687.8172499999996</v>
      </c>
      <c r="J10" s="4"/>
      <c r="K10" s="37">
        <f t="shared" si="2"/>
        <v>92.323333333333309</v>
      </c>
      <c r="L10" s="23">
        <f t="shared" si="31"/>
        <v>184.64666666666662</v>
      </c>
      <c r="M10" s="38">
        <f t="shared" si="3"/>
        <v>304.96666666666664</v>
      </c>
      <c r="N10" s="27">
        <f t="shared" si="32"/>
        <v>609.93333333333328</v>
      </c>
      <c r="O10" s="23">
        <f t="shared" si="33"/>
        <v>-1107.8799999999997</v>
      </c>
      <c r="P10" s="4"/>
      <c r="Q10" s="45"/>
      <c r="R10" s="46"/>
      <c r="S10" s="490"/>
      <c r="W10" s="29">
        <f>IF(AO10="  ","  ",IF(AND(AO9="  ",AO11="  "),"?",IF(AO9="  ",1*(AO11-AO10),IF(AO11="  ",1*(AO10-AO9),1*(AO11-AO9)))))</f>
        <v>2</v>
      </c>
      <c r="X10" s="30" t="str">
        <f t="shared" si="4"/>
        <v>WW</v>
      </c>
      <c r="Y10" s="30" t="str">
        <f t="shared" si="5"/>
        <v>-</v>
      </c>
      <c r="Z10" s="29" t="b">
        <f t="shared" si="6"/>
        <v>0</v>
      </c>
      <c r="AA10" s="29" t="b">
        <f t="shared" si="7"/>
        <v>0</v>
      </c>
      <c r="AB10" s="29" t="str">
        <f t="shared" ca="1" si="8"/>
        <v>++</v>
      </c>
      <c r="AC10" s="29">
        <f t="shared" si="34"/>
        <v>7</v>
      </c>
      <c r="AD10" s="29">
        <f t="shared" ca="1" si="9"/>
        <v>7</v>
      </c>
      <c r="AE10" s="29">
        <v>7</v>
      </c>
      <c r="AF10" s="31">
        <f t="shared" ref="AF10:AF28" si="42">IF(AND(AG10=TRUE,OR(NOT(AG9=TRUE),AG9="Full")),1,IF(ISNUMBER(AF9),AF9+1," "))</f>
        <v>3</v>
      </c>
      <c r="AG10" s="29" t="b">
        <f t="shared" si="11"/>
        <v>1</v>
      </c>
      <c r="AH10" s="30" t="str">
        <f t="shared" ca="1" si="12"/>
        <v>141-2</v>
      </c>
      <c r="AI10" s="30" t="str">
        <f t="shared" ca="1" si="13"/>
        <v/>
      </c>
      <c r="AJ10" s="29">
        <f t="shared" ca="1" si="14"/>
        <v>0</v>
      </c>
      <c r="AK10" s="29" t="str">
        <f t="shared" ca="1" si="15"/>
        <v>2/3</v>
      </c>
      <c r="AL10" s="29">
        <f t="shared" ca="1" si="16"/>
        <v>0.66666666666666663</v>
      </c>
      <c r="AM10" s="32">
        <f t="shared" ca="1" si="35"/>
        <v>0.66666666666666663</v>
      </c>
      <c r="AO10" s="20">
        <f>Tools!$AD9</f>
        <v>4</v>
      </c>
      <c r="AP10" s="33">
        <f t="shared" si="36"/>
        <v>9.4499999999999993</v>
      </c>
      <c r="AQ10" s="34" t="str">
        <f t="shared" ca="1" si="18"/>
        <v>2/3</v>
      </c>
      <c r="AR10" s="23">
        <f t="shared" ca="1" si="19"/>
        <v>6.2999999999999989</v>
      </c>
      <c r="AS10" s="24">
        <f t="shared" si="20"/>
        <v>-6</v>
      </c>
      <c r="AT10" s="23">
        <f t="shared" ca="1" si="37"/>
        <v>-37.799999999999997</v>
      </c>
      <c r="AU10" s="23">
        <f ca="1">IFERROR(AT10*AS10,"  ")</f>
        <v>226.79999999999998</v>
      </c>
      <c r="AV10" s="23">
        <f t="shared" si="21"/>
        <v>843.9086249999998</v>
      </c>
      <c r="AW10" s="23">
        <f t="shared" ca="1" si="22"/>
        <v>562.60574999999983</v>
      </c>
      <c r="AY10" s="35">
        <f t="shared" si="23"/>
        <v>92.323333333333309</v>
      </c>
      <c r="AZ10" s="23">
        <f t="shared" ca="1" si="41"/>
        <v>61.548888888888868</v>
      </c>
      <c r="BA10" s="36">
        <f t="shared" si="25"/>
        <v>304.96666666666664</v>
      </c>
      <c r="BB10" s="27">
        <f t="shared" ca="1" si="38"/>
        <v>203.31111111111107</v>
      </c>
      <c r="BC10" s="23">
        <f t="shared" ca="1" si="39"/>
        <v>-369.29333333333318</v>
      </c>
      <c r="BE10" s="43" t="s">
        <v>31</v>
      </c>
      <c r="BF10" s="44" t="s">
        <v>32</v>
      </c>
      <c r="BG10" s="489" t="s">
        <v>33</v>
      </c>
    </row>
    <row r="11" spans="1:60" x14ac:dyDescent="0.25">
      <c r="A11" s="20">
        <f>Tools!$AD10</f>
        <v>5</v>
      </c>
      <c r="B11" s="33">
        <f t="shared" si="0"/>
        <v>10.3</v>
      </c>
      <c r="C11" s="22">
        <f>IF(A11="  ","  ",IF(AND(A10="  ",A12="  "),"?",IF(A10="  ",2*(A12-A11),IF(A12="  ",2*(A11-A10),2*(A12-A10)))))</f>
        <v>4</v>
      </c>
      <c r="D11" s="23">
        <f t="shared" si="26"/>
        <v>41.2</v>
      </c>
      <c r="E11" s="24">
        <f t="shared" si="1"/>
        <v>-5</v>
      </c>
      <c r="F11" s="23">
        <f t="shared" si="27"/>
        <v>-206</v>
      </c>
      <c r="G11" s="23">
        <f t="shared" si="28"/>
        <v>1030</v>
      </c>
      <c r="H11" s="23">
        <f t="shared" si="29"/>
        <v>1092.7270000000003</v>
      </c>
      <c r="I11" s="23">
        <f t="shared" si="30"/>
        <v>4370.9080000000013</v>
      </c>
      <c r="J11" s="4"/>
      <c r="K11" s="37">
        <f t="shared" si="2"/>
        <v>110.57666666666665</v>
      </c>
      <c r="L11" s="23">
        <f t="shared" si="31"/>
        <v>442.30666666666662</v>
      </c>
      <c r="M11" s="38">
        <f t="shared" si="3"/>
        <v>352.55333333333328</v>
      </c>
      <c r="N11" s="27">
        <f t="shared" si="32"/>
        <v>1410.2133333333331</v>
      </c>
      <c r="O11" s="23">
        <f t="shared" si="33"/>
        <v>-2211.5333333333328</v>
      </c>
      <c r="P11" s="4"/>
      <c r="Q11" s="47" t="s">
        <v>34</v>
      </c>
      <c r="R11" s="48" t="s">
        <v>35</v>
      </c>
      <c r="S11">
        <f>IF(Tools!$L$49="Use 141 rule only",I35,IF(Tools!$L$49="Use 141 and 1331 rules",BG12," "))</f>
        <v>2597.6084999999998</v>
      </c>
      <c r="W11" s="29">
        <f>IF(AO11="  ","  ",IF(AND(AO10="  ",AO12="  "),"?",IF(AO10="  ",2*(AO12-AO11),IF(AO12="  ",2*(AO11-AO10),2*(AO12-AO10)))))</f>
        <v>4</v>
      </c>
      <c r="X11" s="30" t="str">
        <f t="shared" si="4"/>
        <v>WW</v>
      </c>
      <c r="Y11" s="30" t="str">
        <f t="shared" si="5"/>
        <v>-</v>
      </c>
      <c r="Z11" s="29" t="b">
        <f t="shared" si="6"/>
        <v>0</v>
      </c>
      <c r="AA11" s="29" t="b">
        <f t="shared" si="7"/>
        <v>0</v>
      </c>
      <c r="AB11" s="29" t="str">
        <f t="shared" ca="1" si="8"/>
        <v>++</v>
      </c>
      <c r="AC11" s="29">
        <f t="shared" si="34"/>
        <v>8</v>
      </c>
      <c r="AD11" s="29">
        <f t="shared" ca="1" si="9"/>
        <v>8</v>
      </c>
      <c r="AE11" s="29">
        <v>8</v>
      </c>
      <c r="AF11" s="31">
        <f t="shared" si="42"/>
        <v>4</v>
      </c>
      <c r="AG11" s="29" t="b">
        <f t="shared" si="11"/>
        <v>1</v>
      </c>
      <c r="AH11" s="30" t="str">
        <f t="shared" ca="1" si="12"/>
        <v>141-4</v>
      </c>
      <c r="AI11" s="30" t="str">
        <f t="shared" ca="1" si="13"/>
        <v/>
      </c>
      <c r="AJ11" s="29">
        <f t="shared" ca="1" si="14"/>
        <v>0</v>
      </c>
      <c r="AK11" s="29" t="str">
        <f t="shared" ca="1" si="15"/>
        <v>4/3</v>
      </c>
      <c r="AL11" s="29">
        <f t="shared" ca="1" si="16"/>
        <v>1.3333333333333333</v>
      </c>
      <c r="AM11" s="32">
        <f t="shared" ca="1" si="35"/>
        <v>1.3333333333333333</v>
      </c>
      <c r="AO11" s="20">
        <f>Tools!$AD10</f>
        <v>5</v>
      </c>
      <c r="AP11" s="33">
        <f t="shared" si="36"/>
        <v>10.3</v>
      </c>
      <c r="AQ11" s="34" t="str">
        <f t="shared" ca="1" si="18"/>
        <v>4/3</v>
      </c>
      <c r="AR11" s="23">
        <f t="shared" ca="1" si="19"/>
        <v>13.733333333333334</v>
      </c>
      <c r="AS11" s="24">
        <f t="shared" si="20"/>
        <v>-5</v>
      </c>
      <c r="AT11" s="23">
        <f t="shared" ca="1" si="37"/>
        <v>-68.666666666666671</v>
      </c>
      <c r="AU11" s="23">
        <f t="shared" ca="1" si="40"/>
        <v>343.33333333333337</v>
      </c>
      <c r="AV11" s="23">
        <f t="shared" si="21"/>
        <v>1092.7270000000003</v>
      </c>
      <c r="AW11" s="23">
        <f t="shared" ca="1" si="22"/>
        <v>1456.9693333333337</v>
      </c>
      <c r="AY11" s="35">
        <f t="shared" si="23"/>
        <v>110.57666666666665</v>
      </c>
      <c r="AZ11" s="23">
        <f t="shared" ca="1" si="41"/>
        <v>147.43555555555554</v>
      </c>
      <c r="BA11" s="36">
        <f t="shared" si="25"/>
        <v>352.55333333333328</v>
      </c>
      <c r="BB11" s="27">
        <f t="shared" ca="1" si="38"/>
        <v>470.07111111111101</v>
      </c>
      <c r="BC11" s="23">
        <f ca="1">IFERROR(AZ11*AS11,"  ")</f>
        <v>-737.17777777777769</v>
      </c>
      <c r="BE11" s="45"/>
      <c r="BF11" s="46"/>
      <c r="BG11" s="490"/>
    </row>
    <row r="12" spans="1:60" x14ac:dyDescent="0.25">
      <c r="A12" s="20">
        <f>Tools!$AD11</f>
        <v>6</v>
      </c>
      <c r="B12" s="33">
        <f t="shared" si="0"/>
        <v>10.9</v>
      </c>
      <c r="C12" s="22">
        <f>IF(A12="  ","  ",IF(AND(A11="  ",A13="  "),"?",IF(A11="  ",1*(A13-A12),IF(A13="  ",1*(A12-A11),1*(A13-A11)))))</f>
        <v>2</v>
      </c>
      <c r="D12" s="23">
        <f t="shared" si="26"/>
        <v>21.8</v>
      </c>
      <c r="E12" s="24">
        <f t="shared" si="1"/>
        <v>-4</v>
      </c>
      <c r="F12" s="23">
        <f t="shared" si="27"/>
        <v>-87.2</v>
      </c>
      <c r="G12" s="23">
        <f t="shared" si="28"/>
        <v>348.8</v>
      </c>
      <c r="H12" s="23">
        <f t="shared" si="29"/>
        <v>1295.029</v>
      </c>
      <c r="I12" s="23">
        <f t="shared" si="30"/>
        <v>2590.058</v>
      </c>
      <c r="J12" s="4"/>
      <c r="K12" s="37">
        <f t="shared" si="2"/>
        <v>123.22000000000001</v>
      </c>
      <c r="L12" s="23">
        <f t="shared" si="31"/>
        <v>246.44000000000003</v>
      </c>
      <c r="M12" s="38">
        <f t="shared" si="3"/>
        <v>383.74666666666667</v>
      </c>
      <c r="N12" s="27">
        <f t="shared" si="32"/>
        <v>767.49333333333334</v>
      </c>
      <c r="O12" s="23">
        <f t="shared" si="33"/>
        <v>-985.7600000000001</v>
      </c>
      <c r="P12" s="4"/>
      <c r="Q12" s="47" t="s">
        <v>36</v>
      </c>
      <c r="R12" s="48" t="s">
        <v>37</v>
      </c>
      <c r="S12">
        <f>IF(Tools!$L$49="Use 141 rule only",I36,IF(Tools!$L$49="Use 141 and 1331 rules",BG13," "))</f>
        <v>7173.6183046666629</v>
      </c>
      <c r="W12" s="29">
        <f>IF(AO12="  ","  ",IF(AND(AO11="  ",AO13="  "),"?",IF(AO11="  ",1*(AO13-AO12),IF(AO13="  ",1*(AO12-AO11),1*(AO13-AO11)))))</f>
        <v>2</v>
      </c>
      <c r="X12" s="30" t="str">
        <f t="shared" si="4"/>
        <v>WW</v>
      </c>
      <c r="Y12" s="30" t="str">
        <f t="shared" si="5"/>
        <v>-</v>
      </c>
      <c r="Z12" s="29" t="b">
        <f t="shared" si="6"/>
        <v>0</v>
      </c>
      <c r="AA12" s="29" t="b">
        <f t="shared" si="7"/>
        <v>0</v>
      </c>
      <c r="AB12" s="29" t="str">
        <f t="shared" ca="1" si="8"/>
        <v>++</v>
      </c>
      <c r="AC12" s="29">
        <f t="shared" si="34"/>
        <v>9</v>
      </c>
      <c r="AD12" s="29">
        <f t="shared" ca="1" si="9"/>
        <v>9</v>
      </c>
      <c r="AE12" s="29">
        <v>9</v>
      </c>
      <c r="AF12" s="31">
        <f t="shared" si="42"/>
        <v>5</v>
      </c>
      <c r="AG12" s="29" t="b">
        <f t="shared" si="11"/>
        <v>1</v>
      </c>
      <c r="AH12" s="30" t="str">
        <f t="shared" ca="1" si="12"/>
        <v>141-2</v>
      </c>
      <c r="AI12" s="30" t="str">
        <f t="shared" ca="1" si="13"/>
        <v/>
      </c>
      <c r="AJ12" s="29">
        <f t="shared" ca="1" si="14"/>
        <v>0</v>
      </c>
      <c r="AK12" s="29" t="str">
        <f t="shared" ca="1" si="15"/>
        <v>2/3</v>
      </c>
      <c r="AL12" s="29">
        <f t="shared" ca="1" si="16"/>
        <v>0.66666666666666663</v>
      </c>
      <c r="AM12" s="32">
        <f t="shared" ca="1" si="35"/>
        <v>0.66666666666666663</v>
      </c>
      <c r="AO12" s="20">
        <f>Tools!$AD11</f>
        <v>6</v>
      </c>
      <c r="AP12" s="33">
        <f t="shared" si="36"/>
        <v>10.9</v>
      </c>
      <c r="AQ12" s="34" t="str">
        <f t="shared" ca="1" si="18"/>
        <v>2/3</v>
      </c>
      <c r="AR12" s="23">
        <f t="shared" ca="1" si="19"/>
        <v>7.2666666666666666</v>
      </c>
      <c r="AS12" s="24">
        <f t="shared" si="20"/>
        <v>-4</v>
      </c>
      <c r="AT12" s="23">
        <f t="shared" ca="1" si="37"/>
        <v>-29.066666666666666</v>
      </c>
      <c r="AU12" s="23">
        <f t="shared" ca="1" si="40"/>
        <v>116.26666666666667</v>
      </c>
      <c r="AV12" s="23">
        <f t="shared" si="21"/>
        <v>1295.029</v>
      </c>
      <c r="AW12" s="23">
        <f t="shared" ca="1" si="22"/>
        <v>863.35266666666666</v>
      </c>
      <c r="AY12" s="35">
        <f t="shared" si="23"/>
        <v>123.22000000000001</v>
      </c>
      <c r="AZ12" s="23">
        <f t="shared" ca="1" si="41"/>
        <v>82.146666666666675</v>
      </c>
      <c r="BA12" s="36">
        <f t="shared" si="25"/>
        <v>383.74666666666667</v>
      </c>
      <c r="BB12" s="27">
        <f t="shared" ca="1" si="38"/>
        <v>255.83111111111111</v>
      </c>
      <c r="BC12" s="23">
        <f t="shared" ca="1" si="39"/>
        <v>-328.5866666666667</v>
      </c>
      <c r="BE12" s="47" t="s">
        <v>34</v>
      </c>
      <c r="BF12" s="48" t="s">
        <v>38</v>
      </c>
      <c r="BG12" s="49">
        <f ca="1">IF(WL_No="  ","  ",2*h*$AR$29)</f>
        <v>2597.6084999999998</v>
      </c>
    </row>
    <row r="13" spans="1:60" x14ac:dyDescent="0.25">
      <c r="A13" s="20">
        <f>Tools!$AD12</f>
        <v>7</v>
      </c>
      <c r="B13" s="33">
        <f t="shared" si="0"/>
        <v>11</v>
      </c>
      <c r="C13" s="22">
        <f>IF(A13="  ","  ",IF(AND(A12="  ",A14="  "),"?",IF(A12="  ",2*(A14-A13),IF(A14="  ",2*(A13-A12),2*(A14-A12)))))</f>
        <v>4</v>
      </c>
      <c r="D13" s="23">
        <f t="shared" si="26"/>
        <v>44</v>
      </c>
      <c r="E13" s="24">
        <f t="shared" si="1"/>
        <v>-3</v>
      </c>
      <c r="F13" s="23">
        <f t="shared" si="27"/>
        <v>-132</v>
      </c>
      <c r="G13" s="23">
        <f t="shared" si="28"/>
        <v>396</v>
      </c>
      <c r="H13" s="23">
        <f t="shared" si="29"/>
        <v>1331</v>
      </c>
      <c r="I13" s="23">
        <f t="shared" si="30"/>
        <v>5324</v>
      </c>
      <c r="J13" s="4"/>
      <c r="K13" s="37">
        <f t="shared" si="2"/>
        <v>128.44</v>
      </c>
      <c r="L13" s="23">
        <f t="shared" si="31"/>
        <v>513.76</v>
      </c>
      <c r="M13" s="38">
        <f t="shared" si="3"/>
        <v>393.28666666666669</v>
      </c>
      <c r="N13" s="27">
        <f t="shared" si="32"/>
        <v>1573.1466666666668</v>
      </c>
      <c r="O13" s="23">
        <f t="shared" si="33"/>
        <v>-1541.28</v>
      </c>
      <c r="P13" s="4"/>
      <c r="Q13" s="50" t="s">
        <v>39</v>
      </c>
      <c r="R13" s="48" t="s">
        <v>40</v>
      </c>
      <c r="S13">
        <f>IF(Tools!$L$49="Use 141 rule only",I37,IF(Tools!$L$49="Use 141 and 1331 rules",BG14," "))</f>
        <v>2.7616241264481016</v>
      </c>
      <c r="W13" s="29">
        <f>IF(AO13="  ","  ",IF(AND(AO12="  ",AO14="  "),"?",IF(AO12="  ",2*(AO14-AO13),IF(AO14="  ",2*(AO13-AO12),2*(AO14-AO12)))))</f>
        <v>4</v>
      </c>
      <c r="X13" s="30" t="str">
        <f t="shared" si="4"/>
        <v>WW</v>
      </c>
      <c r="Y13" s="30" t="str">
        <f t="shared" si="5"/>
        <v>-</v>
      </c>
      <c r="Z13" s="29" t="b">
        <f t="shared" si="6"/>
        <v>0</v>
      </c>
      <c r="AA13" s="29" t="b">
        <f t="shared" si="7"/>
        <v>0</v>
      </c>
      <c r="AB13" s="29" t="str">
        <f t="shared" ca="1" si="8"/>
        <v>++</v>
      </c>
      <c r="AC13" s="29">
        <f t="shared" si="34"/>
        <v>10</v>
      </c>
      <c r="AD13" s="29">
        <f t="shared" ca="1" si="9"/>
        <v>10</v>
      </c>
      <c r="AE13" s="29">
        <v>10</v>
      </c>
      <c r="AF13" s="31">
        <f t="shared" si="42"/>
        <v>6</v>
      </c>
      <c r="AG13" s="29" t="b">
        <f t="shared" si="11"/>
        <v>1</v>
      </c>
      <c r="AH13" s="30" t="str">
        <f t="shared" ca="1" si="12"/>
        <v>141-4</v>
      </c>
      <c r="AI13" s="30" t="str">
        <f t="shared" ca="1" si="13"/>
        <v/>
      </c>
      <c r="AJ13" s="29">
        <f t="shared" ca="1" si="14"/>
        <v>0</v>
      </c>
      <c r="AK13" s="29" t="str">
        <f t="shared" ca="1" si="15"/>
        <v>4/3</v>
      </c>
      <c r="AL13" s="29">
        <f t="shared" ca="1" si="16"/>
        <v>1.3333333333333333</v>
      </c>
      <c r="AM13" s="32">
        <f t="shared" ca="1" si="35"/>
        <v>1.3333333333333333</v>
      </c>
      <c r="AO13" s="20">
        <f>Tools!$AD12</f>
        <v>7</v>
      </c>
      <c r="AP13" s="33">
        <f t="shared" si="36"/>
        <v>11</v>
      </c>
      <c r="AQ13" s="34" t="str">
        <f t="shared" ca="1" si="18"/>
        <v>4/3</v>
      </c>
      <c r="AR13" s="23">
        <f t="shared" ca="1" si="19"/>
        <v>14.666666666666666</v>
      </c>
      <c r="AS13" s="24">
        <f t="shared" si="20"/>
        <v>-3</v>
      </c>
      <c r="AT13" s="23">
        <f t="shared" ca="1" si="37"/>
        <v>-44</v>
      </c>
      <c r="AU13" s="23">
        <f t="shared" ca="1" si="40"/>
        <v>132</v>
      </c>
      <c r="AV13" s="23">
        <f t="shared" si="21"/>
        <v>1331</v>
      </c>
      <c r="AW13" s="23">
        <f t="shared" ca="1" si="22"/>
        <v>1774.6666666666665</v>
      </c>
      <c r="AY13" s="35">
        <f t="shared" si="23"/>
        <v>128.44</v>
      </c>
      <c r="AZ13" s="23">
        <f t="shared" ca="1" si="41"/>
        <v>171.25333333333333</v>
      </c>
      <c r="BA13" s="36">
        <f t="shared" si="25"/>
        <v>393.28666666666669</v>
      </c>
      <c r="BB13" s="27">
        <f t="shared" ca="1" si="38"/>
        <v>524.38222222222225</v>
      </c>
      <c r="BC13" s="23">
        <f t="shared" ca="1" si="39"/>
        <v>-513.76</v>
      </c>
      <c r="BE13" s="47" t="s">
        <v>36</v>
      </c>
      <c r="BF13" s="48" t="s">
        <v>41</v>
      </c>
      <c r="BG13" s="49">
        <f ca="1">IF(WL_No="  ","  ",2*(h^2)*$AT$29)</f>
        <v>7173.6183046666647</v>
      </c>
    </row>
    <row r="14" spans="1:60" x14ac:dyDescent="0.25">
      <c r="A14" s="20">
        <f>Tools!$AD13</f>
        <v>8</v>
      </c>
      <c r="B14" s="33">
        <f t="shared" si="0"/>
        <v>11</v>
      </c>
      <c r="C14" s="22">
        <f>IF(A14="  ","  ",IF(AND(A13="  ",A15="  "),"?",IF(A13="  ",1*(A15-A14),IF(A15="  ",1*(A14-A13),1*(A15-A13)))))</f>
        <v>2</v>
      </c>
      <c r="D14" s="23">
        <f t="shared" si="26"/>
        <v>22</v>
      </c>
      <c r="E14" s="24">
        <f t="shared" si="1"/>
        <v>-2</v>
      </c>
      <c r="F14" s="23">
        <f t="shared" si="27"/>
        <v>-44</v>
      </c>
      <c r="G14" s="23">
        <f t="shared" si="28"/>
        <v>88</v>
      </c>
      <c r="H14" s="23">
        <f t="shared" si="29"/>
        <v>1331</v>
      </c>
      <c r="I14" s="23">
        <f t="shared" si="30"/>
        <v>2662</v>
      </c>
      <c r="J14" s="4"/>
      <c r="K14" s="37">
        <f t="shared" si="2"/>
        <v>130.25333333333333</v>
      </c>
      <c r="L14" s="23">
        <f t="shared" si="31"/>
        <v>260.50666666666666</v>
      </c>
      <c r="M14" s="38">
        <f t="shared" si="3"/>
        <v>395.13333333333333</v>
      </c>
      <c r="N14" s="27">
        <f t="shared" si="32"/>
        <v>790.26666666666665</v>
      </c>
      <c r="O14" s="23">
        <f t="shared" si="33"/>
        <v>-521.01333333333332</v>
      </c>
      <c r="P14" s="4"/>
      <c r="Q14" s="50" t="s">
        <v>42</v>
      </c>
      <c r="R14" s="48" t="s">
        <v>43</v>
      </c>
      <c r="S14">
        <f>IF(Tools!$L$49="Use 141 rule only",I38,IF(Tools!$L$49="Use 141 and 1331 rules",BG15," "))</f>
        <v>3261298.7193306424</v>
      </c>
      <c r="W14" s="29">
        <f>IF(AO14="  ","  ",IF(AND(AO13="  ",AO15="  "),"?",IF(AO13="  ",1*(AO15-AO14),IF(AO15="  ",1*(AO14-AO13),1*(AO15-AO13)))))</f>
        <v>2</v>
      </c>
      <c r="X14" s="30" t="str">
        <f t="shared" si="4"/>
        <v>WW</v>
      </c>
      <c r="Y14" s="30" t="str">
        <f t="shared" si="5"/>
        <v>-</v>
      </c>
      <c r="Z14" s="29" t="b">
        <f t="shared" si="6"/>
        <v>0</v>
      </c>
      <c r="AA14" s="29" t="b">
        <f t="shared" si="7"/>
        <v>0</v>
      </c>
      <c r="AB14" s="29" t="str">
        <f t="shared" ca="1" si="8"/>
        <v>++</v>
      </c>
      <c r="AC14" s="29">
        <f t="shared" si="34"/>
        <v>11</v>
      </c>
      <c r="AD14" s="29">
        <f t="shared" ca="1" si="9"/>
        <v>11</v>
      </c>
      <c r="AE14" s="29">
        <v>11</v>
      </c>
      <c r="AF14" s="31">
        <f t="shared" si="42"/>
        <v>7</v>
      </c>
      <c r="AG14" s="29" t="b">
        <f t="shared" si="11"/>
        <v>1</v>
      </c>
      <c r="AH14" s="30" t="str">
        <f ca="1">IF(AND(AG14=TRUE,$AH$1=1),"141-4",IF(AG14=" ",IF(AND($AH$1=2,AF14=3),"141-1","-"),IF(OR(AG14=FALSE,AG14=" "),"-",IF(AG14=TRUE,IF(AND($AH$1=2,AF14=1),"141-1",IF(AND($AH$1=2,AF14=2),"141-4",IF(OR(ISODD($AH$1),AF14&gt;4),IF(AF14=1,"141-1",IF(OR(AB14="141-1",AB14="1331-1",AB14="1331-1,141-1"),"141-1",IF(AG15=" ","141-1",IF(OR(AH13="141-1",AH13="141-2",AH13="1331-1,141-1"),"141-4",IF(AH13="141-4","141-2","$$"))))),IF(ISEVEN($AH$1),IF(AF14=1,"1331-1",IF(OR(AF14=2,AF14=3),"1331-3",IF(AF14=4,IF($AH$1=4,"1331-1","1331-1,141-1"),"")))))))))))</f>
        <v>141-2</v>
      </c>
      <c r="AI14" s="30" t="str">
        <f t="shared" ca="1" si="13"/>
        <v/>
      </c>
      <c r="AJ14" s="29">
        <f t="shared" ca="1" si="14"/>
        <v>0</v>
      </c>
      <c r="AK14" s="29" t="str">
        <f t="shared" ca="1" si="15"/>
        <v>2/3</v>
      </c>
      <c r="AL14" s="29">
        <f t="shared" ca="1" si="16"/>
        <v>0.66666666666666663</v>
      </c>
      <c r="AM14" s="32">
        <f t="shared" ca="1" si="35"/>
        <v>0.66666666666666663</v>
      </c>
      <c r="AO14" s="20">
        <f>Tools!$AD13</f>
        <v>8</v>
      </c>
      <c r="AP14" s="33">
        <f t="shared" si="36"/>
        <v>11</v>
      </c>
      <c r="AQ14" s="34" t="str">
        <f t="shared" ca="1" si="18"/>
        <v>2/3</v>
      </c>
      <c r="AR14" s="23">
        <f t="shared" ca="1" si="19"/>
        <v>7.333333333333333</v>
      </c>
      <c r="AS14" s="24">
        <f t="shared" si="20"/>
        <v>-2</v>
      </c>
      <c r="AT14" s="23">
        <f t="shared" ca="1" si="37"/>
        <v>-14.666666666666666</v>
      </c>
      <c r="AU14" s="23">
        <f t="shared" ca="1" si="40"/>
        <v>29.333333333333332</v>
      </c>
      <c r="AV14" s="23">
        <f t="shared" si="21"/>
        <v>1331</v>
      </c>
      <c r="AW14" s="23">
        <f t="shared" ca="1" si="22"/>
        <v>887.33333333333326</v>
      </c>
      <c r="AY14" s="35">
        <f t="shared" si="23"/>
        <v>130.25333333333333</v>
      </c>
      <c r="AZ14" s="23">
        <f t="shared" ca="1" si="41"/>
        <v>86.835555555555544</v>
      </c>
      <c r="BA14" s="36">
        <f t="shared" si="25"/>
        <v>395.13333333333333</v>
      </c>
      <c r="BB14" s="27">
        <f t="shared" ca="1" si="38"/>
        <v>263.42222222222222</v>
      </c>
      <c r="BC14" s="23">
        <f t="shared" ca="1" si="39"/>
        <v>-173.67111111111109</v>
      </c>
      <c r="BE14" s="50" t="s">
        <v>39</v>
      </c>
      <c r="BF14" s="48" t="s">
        <v>40</v>
      </c>
      <c r="BG14" s="49">
        <f>IF(WL_No="  ","  ",Mmid/AWP)</f>
        <v>2.7616241264481016</v>
      </c>
    </row>
    <row r="15" spans="1:60" x14ac:dyDescent="0.25">
      <c r="A15" s="20">
        <f>Tools!$AD14</f>
        <v>9</v>
      </c>
      <c r="B15" s="33">
        <f t="shared" si="0"/>
        <v>11</v>
      </c>
      <c r="C15" s="22">
        <f>IF(A15="  ","  ",IF(AND(A14="  ",A16="  "),"?",IF(A14="  ",2*(A16-A15),IF(A16="  ",2*(A15-A14),2*(A16-A14)))))</f>
        <v>4</v>
      </c>
      <c r="D15" s="23">
        <f t="shared" si="26"/>
        <v>44</v>
      </c>
      <c r="E15" s="24">
        <f t="shared" si="1"/>
        <v>-1</v>
      </c>
      <c r="F15" s="23">
        <f t="shared" si="27"/>
        <v>-44</v>
      </c>
      <c r="G15" s="23">
        <f t="shared" si="28"/>
        <v>44</v>
      </c>
      <c r="H15" s="23">
        <f t="shared" si="29"/>
        <v>1331</v>
      </c>
      <c r="I15" s="23">
        <f t="shared" si="30"/>
        <v>5324</v>
      </c>
      <c r="J15" s="4"/>
      <c r="K15" s="37">
        <f t="shared" si="2"/>
        <v>130.57333333333332</v>
      </c>
      <c r="L15" s="23">
        <f t="shared" si="31"/>
        <v>522.29333333333329</v>
      </c>
      <c r="M15" s="38">
        <f t="shared" si="3"/>
        <v>395.32666666666665</v>
      </c>
      <c r="N15" s="27">
        <f t="shared" si="32"/>
        <v>1581.3066666666666</v>
      </c>
      <c r="O15" s="23">
        <f t="shared" si="33"/>
        <v>-522.29333333333329</v>
      </c>
      <c r="P15" s="4"/>
      <c r="Q15" s="51" t="s">
        <v>44</v>
      </c>
      <c r="R15" s="48" t="s">
        <v>45</v>
      </c>
      <c r="S15">
        <f>IF(Tools!$L$49="Use 141 rule only",I39,IF(Tools!$L$49="Use 141 and 1331 rules",BG16," "))</f>
        <v>90026.434477156668</v>
      </c>
      <c r="W15" s="29">
        <f>IF(AO15="  ","  ",IF(AND(AO14="  ",AO16="  "),"?",IF(AO14="  ",2*(AO16-AO15),IF(AO16="  ",2*(AO15-AO14),2*(AO16-AO14)))))</f>
        <v>4</v>
      </c>
      <c r="X15" s="30" t="str">
        <f t="shared" si="4"/>
        <v>WW</v>
      </c>
      <c r="Y15" s="30" t="str">
        <f t="shared" si="5"/>
        <v>-</v>
      </c>
      <c r="Z15" s="29" t="b">
        <f t="shared" si="6"/>
        <v>0</v>
      </c>
      <c r="AA15" s="29" t="b">
        <f t="shared" si="7"/>
        <v>0</v>
      </c>
      <c r="AB15" s="29" t="str">
        <f t="shared" ca="1" si="8"/>
        <v>++</v>
      </c>
      <c r="AC15" s="29">
        <f t="shared" si="34"/>
        <v>12</v>
      </c>
      <c r="AD15" s="29">
        <f t="shared" ca="1" si="9"/>
        <v>12</v>
      </c>
      <c r="AE15" s="29">
        <v>12</v>
      </c>
      <c r="AF15" s="31">
        <f t="shared" si="42"/>
        <v>8</v>
      </c>
      <c r="AG15" s="29" t="b">
        <f t="shared" si="11"/>
        <v>1</v>
      </c>
      <c r="AH15" s="30" t="str">
        <f t="shared" ref="AH15:AH28" ca="1" si="43">IF(AND(AG15=TRUE,$AH$1=1),"141-4",IF(AG15=" ",IF(AND($AH$1=2,AF15=3),"141-1","-"),IF(OR(AG15=FALSE,AG15=" "),"-",IF(AG15=TRUE,IF(AND($AH$1=2,AF15=1),"141-1",IF(AND($AH$1=2,AF15=2),"141-4",IF(OR(ISODD($AH$1),AF15&gt;4),IF(AF15=1,"141-1",IF(OR(AB15="141-1",AB15="1331-1",AB15="1331-1,141-1"),"141-1",IF(AG16=" ","141-1",IF(OR(AH14="141-1",AH14="141-2",AH14="1331-1,141-1"),"141-4",IF(AH14="141-4","141-2","$$"))))),IF(ISEVEN($AH$1),IF(AF15=1,"1331-1",IF(OR(AF15=2,AF15=3),"1331-3",IF(AF15=4,IF($AH$1=4,"1331-1","1331-1,141-1"),"")))))))))))</f>
        <v>141-4</v>
      </c>
      <c r="AI15" s="30" t="str">
        <f t="shared" ca="1" si="13"/>
        <v/>
      </c>
      <c r="AJ15" s="29">
        <f t="shared" ca="1" si="14"/>
        <v>0</v>
      </c>
      <c r="AK15" s="29" t="str">
        <f t="shared" ca="1" si="15"/>
        <v>4/3</v>
      </c>
      <c r="AL15" s="29">
        <f t="shared" ca="1" si="16"/>
        <v>1.3333333333333333</v>
      </c>
      <c r="AM15" s="32">
        <f t="shared" ca="1" si="35"/>
        <v>1.3333333333333333</v>
      </c>
      <c r="AO15" s="20">
        <f>Tools!$AD14</f>
        <v>9</v>
      </c>
      <c r="AP15" s="33">
        <f t="shared" si="36"/>
        <v>11</v>
      </c>
      <c r="AQ15" s="34" t="str">
        <f t="shared" ca="1" si="18"/>
        <v>4/3</v>
      </c>
      <c r="AR15" s="23">
        <f t="shared" ca="1" si="19"/>
        <v>14.666666666666666</v>
      </c>
      <c r="AS15" s="24">
        <f t="shared" si="20"/>
        <v>-1</v>
      </c>
      <c r="AT15" s="23">
        <f t="shared" ca="1" si="37"/>
        <v>-14.666666666666666</v>
      </c>
      <c r="AU15" s="23">
        <f t="shared" ca="1" si="40"/>
        <v>14.666666666666666</v>
      </c>
      <c r="AV15" s="23">
        <f t="shared" si="21"/>
        <v>1331</v>
      </c>
      <c r="AW15" s="23">
        <f t="shared" ca="1" si="22"/>
        <v>1774.6666666666665</v>
      </c>
      <c r="AY15" s="35">
        <f t="shared" si="23"/>
        <v>130.57333333333332</v>
      </c>
      <c r="AZ15" s="23">
        <f t="shared" ca="1" si="41"/>
        <v>174.09777777777776</v>
      </c>
      <c r="BA15" s="36">
        <f t="shared" si="25"/>
        <v>395.32666666666665</v>
      </c>
      <c r="BB15" s="27">
        <f ca="1">IFERROR(BA15*AM15,"  ")</f>
        <v>527.10222222222217</v>
      </c>
      <c r="BC15" s="23">
        <f t="shared" ca="1" si="39"/>
        <v>-174.09777777777776</v>
      </c>
      <c r="BE15" s="50" t="s">
        <v>42</v>
      </c>
      <c r="BF15" s="48" t="s">
        <v>46</v>
      </c>
      <c r="BG15" s="49">
        <f ca="1">IF(WL_No="  ","  ",2*(h^3)*$AU$29)</f>
        <v>3261298.7193306419</v>
      </c>
    </row>
    <row r="16" spans="1:60" x14ac:dyDescent="0.25">
      <c r="A16" s="20">
        <f>Tools!$AD15</f>
        <v>10</v>
      </c>
      <c r="B16" s="33">
        <f t="shared" si="0"/>
        <v>11</v>
      </c>
      <c r="C16" s="22">
        <f>IF(A16="  ","  ",IF(AND(A15="  ",A17="  "),"?",IF(A15="  ",1*(A17-A16),IF(A17="  ",1*(A16-A15),1*(A17-A15)))))</f>
        <v>2</v>
      </c>
      <c r="D16" s="23">
        <f t="shared" si="26"/>
        <v>22</v>
      </c>
      <c r="E16" s="24">
        <f t="shared" si="1"/>
        <v>0</v>
      </c>
      <c r="F16" s="23">
        <f t="shared" si="27"/>
        <v>0</v>
      </c>
      <c r="G16" s="23">
        <f t="shared" si="28"/>
        <v>0</v>
      </c>
      <c r="H16" s="23">
        <f t="shared" si="29"/>
        <v>1331</v>
      </c>
      <c r="I16" s="23">
        <f t="shared" si="30"/>
        <v>2662</v>
      </c>
      <c r="J16" s="4"/>
      <c r="K16" s="37">
        <f t="shared" si="2"/>
        <v>130.57333333333332</v>
      </c>
      <c r="L16" s="23">
        <f t="shared" si="31"/>
        <v>261.14666666666665</v>
      </c>
      <c r="M16" s="38">
        <f t="shared" si="3"/>
        <v>395.32666666666665</v>
      </c>
      <c r="N16" s="27">
        <f t="shared" si="32"/>
        <v>790.65333333333331</v>
      </c>
      <c r="O16" s="23">
        <f t="shared" si="33"/>
        <v>0</v>
      </c>
      <c r="P16" s="4"/>
      <c r="Q16" s="50" t="s">
        <v>47</v>
      </c>
      <c r="R16" s="48" t="s">
        <v>48</v>
      </c>
      <c r="S16">
        <f>IF(Tools!$L$49="Use 141 rule only",I40,IF(Tools!$L$49="Use 141 and 1331 rules",BG17," "))</f>
        <v>3241487.8819465451</v>
      </c>
      <c r="W16" s="29">
        <f>IF(AO16="  ","  ",IF(AND(AO15="  ",AO17="  "),"?",IF(AO15="  ",1*(AO17-AO16),IF(AO17="  ",1*(AO16-AO15),1*(AO17-AO15)))))</f>
        <v>2</v>
      </c>
      <c r="X16" s="30" t="str">
        <f t="shared" si="4"/>
        <v>WW</v>
      </c>
      <c r="Y16" s="30" t="str">
        <f t="shared" si="5"/>
        <v>-</v>
      </c>
      <c r="Z16" s="29" t="b">
        <f t="shared" si="6"/>
        <v>0</v>
      </c>
      <c r="AA16" s="29" t="b">
        <f t="shared" si="7"/>
        <v>0</v>
      </c>
      <c r="AB16" s="29" t="str">
        <f t="shared" ca="1" si="8"/>
        <v>++</v>
      </c>
      <c r="AC16" s="29">
        <f t="shared" si="34"/>
        <v>13</v>
      </c>
      <c r="AD16" s="29">
        <f t="shared" ca="1" si="9"/>
        <v>13</v>
      </c>
      <c r="AE16" s="29">
        <v>13</v>
      </c>
      <c r="AF16" s="31">
        <f t="shared" si="42"/>
        <v>9</v>
      </c>
      <c r="AG16" s="29" t="b">
        <f t="shared" si="11"/>
        <v>1</v>
      </c>
      <c r="AH16" s="30" t="str">
        <f t="shared" ca="1" si="43"/>
        <v>141-2</v>
      </c>
      <c r="AI16" s="30" t="str">
        <f t="shared" ca="1" si="13"/>
        <v/>
      </c>
      <c r="AJ16" s="29">
        <f t="shared" ca="1" si="14"/>
        <v>0</v>
      </c>
      <c r="AK16" s="29" t="str">
        <f t="shared" ca="1" si="15"/>
        <v>2/3</v>
      </c>
      <c r="AL16" s="29">
        <f t="shared" ca="1" si="16"/>
        <v>0.66666666666666663</v>
      </c>
      <c r="AM16" s="32">
        <f t="shared" ca="1" si="35"/>
        <v>0.66666666666666663</v>
      </c>
      <c r="AO16" s="20">
        <f>Tools!$AD15</f>
        <v>10</v>
      </c>
      <c r="AP16" s="33">
        <f t="shared" si="36"/>
        <v>11</v>
      </c>
      <c r="AQ16" s="34" t="str">
        <f t="shared" ca="1" si="18"/>
        <v>2/3</v>
      </c>
      <c r="AR16" s="23">
        <f t="shared" ca="1" si="19"/>
        <v>7.333333333333333</v>
      </c>
      <c r="AS16" s="24">
        <f t="shared" si="20"/>
        <v>0</v>
      </c>
      <c r="AT16" s="23">
        <f t="shared" ca="1" si="37"/>
        <v>0</v>
      </c>
      <c r="AU16" s="23">
        <f t="shared" ca="1" si="40"/>
        <v>0</v>
      </c>
      <c r="AV16" s="23">
        <f t="shared" si="21"/>
        <v>1331</v>
      </c>
      <c r="AW16" s="23">
        <f t="shared" ca="1" si="22"/>
        <v>887.33333333333326</v>
      </c>
      <c r="AY16" s="35">
        <f t="shared" si="23"/>
        <v>130.57333333333332</v>
      </c>
      <c r="AZ16" s="23">
        <f t="shared" ca="1" si="41"/>
        <v>87.048888888888882</v>
      </c>
      <c r="BA16" s="36">
        <f t="shared" si="25"/>
        <v>395.32666666666665</v>
      </c>
      <c r="BB16" s="27">
        <f t="shared" ca="1" si="38"/>
        <v>263.55111111111108</v>
      </c>
      <c r="BC16" s="23">
        <f ca="1">IFERROR(AZ16*AS16,"  ")</f>
        <v>0</v>
      </c>
      <c r="BE16" s="51" t="s">
        <v>44</v>
      </c>
      <c r="BF16" s="48" t="s">
        <v>49</v>
      </c>
      <c r="BG16" s="49">
        <f ca="1">IF(WL_No="  ","  ",2/3*h*$AW$29)</f>
        <v>90026.434477156654</v>
      </c>
    </row>
    <row r="17" spans="1:59" x14ac:dyDescent="0.25">
      <c r="A17" s="20">
        <f>Tools!$AD16</f>
        <v>11</v>
      </c>
      <c r="B17" s="33">
        <f t="shared" si="0"/>
        <v>11</v>
      </c>
      <c r="C17" s="22">
        <f>IF(A17="  ","  ",IF(AND(A16="  ",A18="  "),"?",IF(A16="  ",2*(A18-A17),IF(A18="  ",2*(A17-A16),2*(A18-A16)))))</f>
        <v>4</v>
      </c>
      <c r="D17" s="23">
        <f t="shared" si="26"/>
        <v>44</v>
      </c>
      <c r="E17" s="24">
        <f t="shared" si="1"/>
        <v>1</v>
      </c>
      <c r="F17" s="23">
        <f t="shared" si="27"/>
        <v>44</v>
      </c>
      <c r="G17" s="23">
        <f t="shared" si="28"/>
        <v>44</v>
      </c>
      <c r="H17" s="23">
        <f t="shared" si="29"/>
        <v>1331</v>
      </c>
      <c r="I17" s="23">
        <f t="shared" si="30"/>
        <v>5324</v>
      </c>
      <c r="J17" s="4"/>
      <c r="K17" s="37">
        <f t="shared" si="2"/>
        <v>130.57333333333332</v>
      </c>
      <c r="L17" s="23">
        <f t="shared" si="31"/>
        <v>522.29333333333329</v>
      </c>
      <c r="M17" s="38">
        <f t="shared" si="3"/>
        <v>395.32666666666665</v>
      </c>
      <c r="N17" s="27">
        <f t="shared" si="32"/>
        <v>1581.3066666666666</v>
      </c>
      <c r="O17" s="23">
        <f t="shared" si="33"/>
        <v>522.29333333333329</v>
      </c>
      <c r="P17" s="4"/>
      <c r="Q17" s="50" t="s">
        <v>50</v>
      </c>
      <c r="R17" s="48" t="s">
        <v>51</v>
      </c>
      <c r="S17">
        <f>IF(Tools!$L$49="Use 141 rule only",I41,IF(Tools!$L$49="Use 141 and 1331 rules",BG18," "))</f>
        <v>14416.818549999995</v>
      </c>
      <c r="W17" s="29">
        <f>IF(AO17="  ","  ",IF(AND(AO16="  ",AO18="  "),"?",IF(AO16="  ",2*(AO18-AO17),IF(AO18="  ",2*(AO17-AO16),2*(AO18-AO16)))))</f>
        <v>4</v>
      </c>
      <c r="X17" s="30" t="str">
        <f t="shared" si="4"/>
        <v>WW</v>
      </c>
      <c r="Y17" s="30" t="str">
        <f t="shared" si="5"/>
        <v>-</v>
      </c>
      <c r="Z17" s="29" t="b">
        <f t="shared" si="6"/>
        <v>0</v>
      </c>
      <c r="AA17" s="29" t="b">
        <f t="shared" si="7"/>
        <v>0</v>
      </c>
      <c r="AB17" s="29" t="str">
        <f t="shared" ca="1" si="8"/>
        <v>++</v>
      </c>
      <c r="AC17" s="29">
        <f t="shared" si="34"/>
        <v>12</v>
      </c>
      <c r="AD17" s="29">
        <f t="shared" ca="1" si="9"/>
        <v>12</v>
      </c>
      <c r="AE17" s="29">
        <v>14</v>
      </c>
      <c r="AF17" s="31">
        <f t="shared" si="42"/>
        <v>10</v>
      </c>
      <c r="AG17" s="29" t="b">
        <f t="shared" si="11"/>
        <v>1</v>
      </c>
      <c r="AH17" s="30" t="str">
        <f t="shared" ca="1" si="43"/>
        <v>141-4</v>
      </c>
      <c r="AI17" s="30" t="str">
        <f t="shared" ca="1" si="13"/>
        <v/>
      </c>
      <c r="AJ17" s="29">
        <f t="shared" ca="1" si="14"/>
        <v>0</v>
      </c>
      <c r="AK17" s="29" t="str">
        <f t="shared" ca="1" si="15"/>
        <v>4/3</v>
      </c>
      <c r="AL17" s="29">
        <f t="shared" ca="1" si="16"/>
        <v>1.3333333333333333</v>
      </c>
      <c r="AM17" s="32">
        <f t="shared" ca="1" si="35"/>
        <v>1.3333333333333333</v>
      </c>
      <c r="AO17" s="20">
        <f>Tools!$AD16</f>
        <v>11</v>
      </c>
      <c r="AP17" s="33">
        <f t="shared" si="36"/>
        <v>11</v>
      </c>
      <c r="AQ17" s="34" t="str">
        <f t="shared" ca="1" si="18"/>
        <v>4/3</v>
      </c>
      <c r="AR17" s="23">
        <f t="shared" ca="1" si="19"/>
        <v>14.666666666666666</v>
      </c>
      <c r="AS17" s="24">
        <f t="shared" si="20"/>
        <v>1</v>
      </c>
      <c r="AT17" s="23">
        <f t="shared" ca="1" si="37"/>
        <v>14.666666666666666</v>
      </c>
      <c r="AU17" s="23">
        <f t="shared" ca="1" si="40"/>
        <v>14.666666666666666</v>
      </c>
      <c r="AV17" s="23">
        <f t="shared" si="21"/>
        <v>1331</v>
      </c>
      <c r="AW17" s="23">
        <f t="shared" ca="1" si="22"/>
        <v>1774.6666666666665</v>
      </c>
      <c r="AY17" s="35">
        <f t="shared" si="23"/>
        <v>130.57333333333332</v>
      </c>
      <c r="AZ17" s="23">
        <f t="shared" ca="1" si="41"/>
        <v>174.09777777777776</v>
      </c>
      <c r="BA17" s="36">
        <f t="shared" si="25"/>
        <v>395.32666666666665</v>
      </c>
      <c r="BB17" s="27">
        <f t="shared" ca="1" si="38"/>
        <v>527.10222222222217</v>
      </c>
      <c r="BC17" s="23">
        <f t="shared" ca="1" si="39"/>
        <v>174.09777777777776</v>
      </c>
      <c r="BE17" s="50" t="s">
        <v>47</v>
      </c>
      <c r="BF17" s="48" t="s">
        <v>48</v>
      </c>
      <c r="BG17" s="49">
        <f>IF(WL_No="  ","  ",IL-AWP*(LCF^2))</f>
        <v>3241487.8819465451</v>
      </c>
    </row>
    <row r="18" spans="1:59" x14ac:dyDescent="0.25">
      <c r="A18" s="20">
        <f>Tools!$AD17</f>
        <v>12</v>
      </c>
      <c r="B18" s="33">
        <f t="shared" si="0"/>
        <v>11</v>
      </c>
      <c r="C18" s="22">
        <f>IF(A18="  ","  ",IF(AND(A17="  ",A19="  "),"?",IF(A17="  ",1*(A19-A18),IF(A19="  ",1*(A18-A17),1*(A19-A17)))))</f>
        <v>2</v>
      </c>
      <c r="D18" s="23">
        <f t="shared" si="26"/>
        <v>22</v>
      </c>
      <c r="E18" s="24">
        <f t="shared" si="1"/>
        <v>2</v>
      </c>
      <c r="F18" s="23">
        <f t="shared" si="27"/>
        <v>44</v>
      </c>
      <c r="G18" s="23">
        <f t="shared" si="28"/>
        <v>88</v>
      </c>
      <c r="H18" s="23">
        <f t="shared" si="29"/>
        <v>1331</v>
      </c>
      <c r="I18" s="23">
        <f t="shared" si="30"/>
        <v>2662</v>
      </c>
      <c r="J18" s="4"/>
      <c r="K18" s="37">
        <f t="shared" si="2"/>
        <v>130.57333333333332</v>
      </c>
      <c r="L18" s="23">
        <f t="shared" si="31"/>
        <v>261.14666666666665</v>
      </c>
      <c r="M18" s="38">
        <f t="shared" si="3"/>
        <v>395.32666666666665</v>
      </c>
      <c r="N18" s="27">
        <f t="shared" si="32"/>
        <v>790.65333333333331</v>
      </c>
      <c r="O18" s="23">
        <f t="shared" si="33"/>
        <v>522.29333333333329</v>
      </c>
      <c r="P18" s="4"/>
      <c r="Q18" s="50" t="s">
        <v>52</v>
      </c>
      <c r="R18" s="48" t="s">
        <v>53</v>
      </c>
      <c r="S18">
        <f>IF(Tools!$L$49="Use 141 rule only",I42,IF(Tools!$L$49="Use 141 and 1331 rules",BG19," "))</f>
        <v>14865.902447832494</v>
      </c>
      <c r="W18" s="29">
        <f>IF(AO18="  ","  ",IF(AND(AO17="  ",AO19="  "),"?",IF(AO17="  ",1*(AO19-AO18),IF(AO19="  ",1*(AO18-AO17),1*(AO19-AO17)))))</f>
        <v>2</v>
      </c>
      <c r="X18" s="30" t="str">
        <f t="shared" si="4"/>
        <v>WW</v>
      </c>
      <c r="Y18" s="30" t="str">
        <f t="shared" si="5"/>
        <v>-</v>
      </c>
      <c r="Z18" s="29" t="b">
        <f t="shared" si="6"/>
        <v>0</v>
      </c>
      <c r="AA18" s="29" t="b">
        <f t="shared" si="7"/>
        <v>0</v>
      </c>
      <c r="AB18" s="29" t="str">
        <f t="shared" ca="1" si="8"/>
        <v>++</v>
      </c>
      <c r="AC18" s="29">
        <f t="shared" si="34"/>
        <v>11</v>
      </c>
      <c r="AD18" s="29">
        <f t="shared" ca="1" si="9"/>
        <v>11</v>
      </c>
      <c r="AE18" s="29">
        <v>15</v>
      </c>
      <c r="AF18" s="31">
        <f t="shared" si="42"/>
        <v>11</v>
      </c>
      <c r="AG18" s="29" t="b">
        <f t="shared" si="11"/>
        <v>1</v>
      </c>
      <c r="AH18" s="30" t="str">
        <f t="shared" ca="1" si="43"/>
        <v>141-2</v>
      </c>
      <c r="AI18" s="30" t="str">
        <f t="shared" ca="1" si="13"/>
        <v/>
      </c>
      <c r="AJ18" s="29">
        <f t="shared" ca="1" si="14"/>
        <v>0</v>
      </c>
      <c r="AK18" s="29" t="str">
        <f t="shared" ca="1" si="15"/>
        <v>2/3</v>
      </c>
      <c r="AL18" s="29">
        <f t="shared" ca="1" si="16"/>
        <v>0.66666666666666663</v>
      </c>
      <c r="AM18" s="32">
        <f t="shared" ca="1" si="35"/>
        <v>0.66666666666666663</v>
      </c>
      <c r="AO18" s="20">
        <f>Tools!$AD17</f>
        <v>12</v>
      </c>
      <c r="AP18" s="33">
        <f t="shared" si="36"/>
        <v>11</v>
      </c>
      <c r="AQ18" s="34" t="str">
        <f t="shared" ca="1" si="18"/>
        <v>2/3</v>
      </c>
      <c r="AR18" s="23">
        <f t="shared" ca="1" si="19"/>
        <v>7.333333333333333</v>
      </c>
      <c r="AS18" s="24">
        <f t="shared" si="20"/>
        <v>2</v>
      </c>
      <c r="AT18" s="23">
        <f t="shared" ca="1" si="37"/>
        <v>14.666666666666666</v>
      </c>
      <c r="AU18" s="23">
        <f t="shared" ca="1" si="40"/>
        <v>29.333333333333332</v>
      </c>
      <c r="AV18" s="23">
        <f t="shared" si="21"/>
        <v>1331</v>
      </c>
      <c r="AW18" s="23">
        <f t="shared" ca="1" si="22"/>
        <v>887.33333333333326</v>
      </c>
      <c r="AY18" s="35">
        <f t="shared" si="23"/>
        <v>130.57333333333332</v>
      </c>
      <c r="AZ18" s="23">
        <f t="shared" ca="1" si="41"/>
        <v>87.048888888888882</v>
      </c>
      <c r="BA18" s="36">
        <f t="shared" si="25"/>
        <v>395.32666666666665</v>
      </c>
      <c r="BB18" s="27">
        <f t="shared" ca="1" si="38"/>
        <v>263.55111111111108</v>
      </c>
      <c r="BC18" s="23">
        <f t="shared" ca="1" si="39"/>
        <v>174.09777777777776</v>
      </c>
      <c r="BE18" s="50" t="s">
        <v>50</v>
      </c>
      <c r="BF18" s="48" t="s">
        <v>54</v>
      </c>
      <c r="BG18" s="49">
        <f ca="1">IF(WL_No="  ","  ",h*$AZ$29)</f>
        <v>14416.818549999996</v>
      </c>
    </row>
    <row r="19" spans="1:59" x14ac:dyDescent="0.25">
      <c r="A19" s="20">
        <f>Tools!$AD18</f>
        <v>13</v>
      </c>
      <c r="B19" s="33">
        <f t="shared" si="0"/>
        <v>11</v>
      </c>
      <c r="C19" s="22">
        <f>IF(A19="  ","  ",IF(AND(A18="  ",A20="  "),"?",IF(A18="  ",2*(A20-A19),IF(A20="  ",2*(A19-A18),2*(A20-A18)))))</f>
        <v>4</v>
      </c>
      <c r="D19" s="23">
        <f t="shared" si="26"/>
        <v>44</v>
      </c>
      <c r="E19" s="24">
        <f t="shared" si="1"/>
        <v>3</v>
      </c>
      <c r="F19" s="23">
        <f t="shared" si="27"/>
        <v>132</v>
      </c>
      <c r="G19" s="23">
        <f t="shared" si="28"/>
        <v>396</v>
      </c>
      <c r="H19" s="23">
        <f t="shared" si="29"/>
        <v>1331</v>
      </c>
      <c r="I19" s="23">
        <f t="shared" si="30"/>
        <v>5324</v>
      </c>
      <c r="J19" s="4"/>
      <c r="K19" s="37">
        <f t="shared" si="2"/>
        <v>130.57333333333332</v>
      </c>
      <c r="L19" s="23">
        <f t="shared" si="31"/>
        <v>522.29333333333329</v>
      </c>
      <c r="M19" s="38">
        <f t="shared" si="3"/>
        <v>395.32666666666665</v>
      </c>
      <c r="N19" s="27">
        <f t="shared" si="32"/>
        <v>1581.3066666666666</v>
      </c>
      <c r="O19" s="23">
        <f t="shared" si="33"/>
        <v>1566.8799999999999</v>
      </c>
      <c r="P19" s="4"/>
      <c r="Q19" s="50" t="s">
        <v>55</v>
      </c>
      <c r="R19" s="48" t="s">
        <v>56</v>
      </c>
      <c r="S19">
        <f>IF(Tools!$L$49="Use 141 rule only",I43,IF(Tools!$L$49="Use 141 and 1331 rules",BG20," "))</f>
        <v>45009.773655555568</v>
      </c>
      <c r="W19" s="29">
        <f>IF(AO19="  ","  ",IF(AND(AO18="  ",AO20="  "),"?",IF(AO18="  ",2*(AO20-AO19),IF(AO20="  ",2*(AO19-AO18),2*(AO20-AO18)))))</f>
        <v>4</v>
      </c>
      <c r="X19" s="30" t="str">
        <f t="shared" si="4"/>
        <v>WW</v>
      </c>
      <c r="Y19" s="30" t="str">
        <f t="shared" si="5"/>
        <v>-</v>
      </c>
      <c r="Z19" s="29" t="b">
        <f t="shared" si="6"/>
        <v>0</v>
      </c>
      <c r="AA19" s="29" t="b">
        <f t="shared" si="7"/>
        <v>0</v>
      </c>
      <c r="AB19" s="29" t="str">
        <f t="shared" ca="1" si="8"/>
        <v>++</v>
      </c>
      <c r="AC19" s="29">
        <f t="shared" si="34"/>
        <v>10</v>
      </c>
      <c r="AD19" s="29">
        <f t="shared" ca="1" si="9"/>
        <v>10</v>
      </c>
      <c r="AE19" s="29">
        <v>16</v>
      </c>
      <c r="AF19" s="31">
        <f t="shared" si="42"/>
        <v>12</v>
      </c>
      <c r="AG19" s="29" t="b">
        <f t="shared" si="11"/>
        <v>1</v>
      </c>
      <c r="AH19" s="30" t="str">
        <f t="shared" ca="1" si="43"/>
        <v>141-4</v>
      </c>
      <c r="AI19" s="30" t="str">
        <f t="shared" ca="1" si="13"/>
        <v/>
      </c>
      <c r="AJ19" s="29">
        <f t="shared" ca="1" si="14"/>
        <v>0</v>
      </c>
      <c r="AK19" s="29" t="str">
        <f t="shared" ca="1" si="15"/>
        <v>4/3</v>
      </c>
      <c r="AL19" s="29">
        <f t="shared" ca="1" si="16"/>
        <v>1.3333333333333333</v>
      </c>
      <c r="AM19" s="32">
        <f t="shared" ca="1" si="35"/>
        <v>1.3333333333333333</v>
      </c>
      <c r="AO19" s="20">
        <f>Tools!$AD18</f>
        <v>13</v>
      </c>
      <c r="AP19" s="33">
        <f t="shared" si="36"/>
        <v>11</v>
      </c>
      <c r="AQ19" s="34" t="str">
        <f t="shared" ca="1" si="18"/>
        <v>4/3</v>
      </c>
      <c r="AR19" s="23">
        <f t="shared" ca="1" si="19"/>
        <v>14.666666666666666</v>
      </c>
      <c r="AS19" s="24">
        <f t="shared" si="20"/>
        <v>3</v>
      </c>
      <c r="AT19" s="23">
        <f t="shared" ca="1" si="37"/>
        <v>44</v>
      </c>
      <c r="AU19" s="23">
        <f t="shared" ca="1" si="40"/>
        <v>132</v>
      </c>
      <c r="AV19" s="23">
        <f t="shared" si="21"/>
        <v>1331</v>
      </c>
      <c r="AW19" s="23">
        <f t="shared" ca="1" si="22"/>
        <v>1774.6666666666665</v>
      </c>
      <c r="AY19" s="35">
        <f t="shared" si="23"/>
        <v>130.57333333333332</v>
      </c>
      <c r="AZ19" s="23">
        <f t="shared" ca="1" si="41"/>
        <v>174.09777777777776</v>
      </c>
      <c r="BA19" s="36">
        <f t="shared" si="25"/>
        <v>395.32666666666665</v>
      </c>
      <c r="BB19" s="27">
        <f t="shared" ca="1" si="38"/>
        <v>527.10222222222217</v>
      </c>
      <c r="BC19" s="23">
        <f t="shared" ca="1" si="39"/>
        <v>522.29333333333329</v>
      </c>
      <c r="BE19" s="50" t="s">
        <v>52</v>
      </c>
      <c r="BF19" s="48" t="s">
        <v>53</v>
      </c>
      <c r="BG19" s="49">
        <f>IF(WL_No="  ","  ",V_Disp*1.025*1.006)</f>
        <v>14865.902447832494</v>
      </c>
    </row>
    <row r="20" spans="1:59" x14ac:dyDescent="0.25">
      <c r="A20" s="20">
        <f>Tools!$AD19</f>
        <v>14</v>
      </c>
      <c r="B20" s="33">
        <f t="shared" si="0"/>
        <v>11</v>
      </c>
      <c r="C20" s="22">
        <f>IF(A20="  ","  ",IF(AND(A19="  ",A21="  "),"?",IF(A19="  ",1*(A21-A20),IF(A21="  ",1*(A20-A19),1*(A21-A19)))))</f>
        <v>2</v>
      </c>
      <c r="D20" s="23">
        <f t="shared" si="26"/>
        <v>22</v>
      </c>
      <c r="E20" s="24">
        <f t="shared" si="1"/>
        <v>4</v>
      </c>
      <c r="F20" s="23">
        <f t="shared" si="27"/>
        <v>88</v>
      </c>
      <c r="G20" s="23">
        <f t="shared" si="28"/>
        <v>352</v>
      </c>
      <c r="H20" s="23">
        <f t="shared" si="29"/>
        <v>1331</v>
      </c>
      <c r="I20" s="23">
        <f t="shared" si="30"/>
        <v>2662</v>
      </c>
      <c r="J20" s="4"/>
      <c r="K20" s="37">
        <f t="shared" si="2"/>
        <v>130.19333333333333</v>
      </c>
      <c r="L20" s="23">
        <f t="shared" si="31"/>
        <v>260.38666666666666</v>
      </c>
      <c r="M20" s="38">
        <f t="shared" si="3"/>
        <v>395.06</v>
      </c>
      <c r="N20" s="27">
        <f t="shared" si="32"/>
        <v>790.12</v>
      </c>
      <c r="O20" s="23">
        <f t="shared" si="33"/>
        <v>1041.5466666666666</v>
      </c>
      <c r="P20" s="4"/>
      <c r="Q20" s="50" t="s">
        <v>57</v>
      </c>
      <c r="R20" s="48" t="s">
        <v>58</v>
      </c>
      <c r="S20">
        <f>IF(Tools!$L$49="Use 141 rule only",I44,IF(Tools!$L$49="Use 141 and 1331 rules",BG21," "))</f>
        <v>61837.20489511107</v>
      </c>
      <c r="W20" s="29">
        <f>IF(AO20="  ","  ",IF(AND(AO19="  ",AO21="  "),"?",IF(AO19="  ",1*(AO21-AO20),IF(AO21="  ",1*(AO20-AO19),1*(AO21-AO19)))))</f>
        <v>2</v>
      </c>
      <c r="X20" s="30" t="str">
        <f t="shared" si="4"/>
        <v>WW</v>
      </c>
      <c r="Y20" s="30" t="str">
        <f t="shared" si="5"/>
        <v>-</v>
      </c>
      <c r="Z20" s="29" t="b">
        <f t="shared" si="6"/>
        <v>0</v>
      </c>
      <c r="AA20" s="29" t="b">
        <f t="shared" si="7"/>
        <v>0</v>
      </c>
      <c r="AB20" s="29" t="str">
        <f t="shared" ca="1" si="8"/>
        <v>++</v>
      </c>
      <c r="AC20" s="29">
        <f t="shared" si="34"/>
        <v>9</v>
      </c>
      <c r="AD20" s="29">
        <f t="shared" ca="1" si="9"/>
        <v>9</v>
      </c>
      <c r="AE20" s="29">
        <v>17</v>
      </c>
      <c r="AF20" s="31">
        <f t="shared" si="42"/>
        <v>13</v>
      </c>
      <c r="AG20" s="29" t="b">
        <f t="shared" si="11"/>
        <v>1</v>
      </c>
      <c r="AH20" s="30" t="str">
        <f t="shared" ca="1" si="43"/>
        <v>141-2</v>
      </c>
      <c r="AI20" s="30" t="str">
        <f t="shared" ca="1" si="13"/>
        <v/>
      </c>
      <c r="AJ20" s="29">
        <f t="shared" ca="1" si="14"/>
        <v>0</v>
      </c>
      <c r="AK20" s="29" t="str">
        <f t="shared" ca="1" si="15"/>
        <v>2/3</v>
      </c>
      <c r="AL20" s="29">
        <f t="shared" ca="1" si="16"/>
        <v>0.66666666666666663</v>
      </c>
      <c r="AM20" s="32">
        <f t="shared" ca="1" si="35"/>
        <v>0.66666666666666663</v>
      </c>
      <c r="AO20" s="20">
        <f>Tools!$AD19</f>
        <v>14</v>
      </c>
      <c r="AP20" s="33">
        <f t="shared" si="36"/>
        <v>11</v>
      </c>
      <c r="AQ20" s="34" t="str">
        <f t="shared" ca="1" si="18"/>
        <v>2/3</v>
      </c>
      <c r="AR20" s="23">
        <f t="shared" ca="1" si="19"/>
        <v>7.333333333333333</v>
      </c>
      <c r="AS20" s="24">
        <f t="shared" si="20"/>
        <v>4</v>
      </c>
      <c r="AT20" s="23">
        <f t="shared" ca="1" si="37"/>
        <v>29.333333333333332</v>
      </c>
      <c r="AU20" s="23">
        <f t="shared" ca="1" si="40"/>
        <v>117.33333333333333</v>
      </c>
      <c r="AV20" s="23">
        <f t="shared" si="21"/>
        <v>1331</v>
      </c>
      <c r="AW20" s="23">
        <f t="shared" ca="1" si="22"/>
        <v>887.33333333333326</v>
      </c>
      <c r="AY20" s="35">
        <f t="shared" si="23"/>
        <v>130.19333333333333</v>
      </c>
      <c r="AZ20" s="23">
        <f t="shared" ca="1" si="41"/>
        <v>86.795555555555552</v>
      </c>
      <c r="BA20" s="36">
        <f t="shared" si="25"/>
        <v>395.06</v>
      </c>
      <c r="BB20" s="27">
        <f t="shared" ca="1" si="38"/>
        <v>263.37333333333333</v>
      </c>
      <c r="BC20" s="23">
        <f t="shared" ca="1" si="39"/>
        <v>347.18222222222221</v>
      </c>
      <c r="BE20" s="50" t="s">
        <v>55</v>
      </c>
      <c r="BF20" s="48" t="s">
        <v>59</v>
      </c>
      <c r="BG20" s="49">
        <f ca="1">IF(WL_No="  ","  ",h*$BB$29)</f>
        <v>45009.773655555538</v>
      </c>
    </row>
    <row r="21" spans="1:59" x14ac:dyDescent="0.25">
      <c r="A21" s="20">
        <f>Tools!$AD20</f>
        <v>15</v>
      </c>
      <c r="B21" s="33">
        <f t="shared" si="0"/>
        <v>11</v>
      </c>
      <c r="C21" s="22">
        <f>IF(A21="  ","  ",IF(AND(A20="  ",A22="  "),"?",IF(A20="  ",2*(A22-A21),IF(A22="  ",2*(A21-A20),2*(A22-A20)))))</f>
        <v>4</v>
      </c>
      <c r="D21" s="23">
        <f t="shared" si="26"/>
        <v>44</v>
      </c>
      <c r="E21" s="24">
        <f t="shared" si="1"/>
        <v>5</v>
      </c>
      <c r="F21" s="23">
        <f t="shared" si="27"/>
        <v>220</v>
      </c>
      <c r="G21" s="23">
        <f t="shared" si="28"/>
        <v>1100</v>
      </c>
      <c r="H21" s="23">
        <f t="shared" si="29"/>
        <v>1331</v>
      </c>
      <c r="I21" s="23">
        <f t="shared" si="30"/>
        <v>5324</v>
      </c>
      <c r="J21" s="4"/>
      <c r="K21" s="37">
        <f t="shared" si="2"/>
        <v>127.94666666666666</v>
      </c>
      <c r="L21" s="23">
        <f t="shared" si="31"/>
        <v>511.78666666666663</v>
      </c>
      <c r="M21" s="38">
        <f t="shared" si="3"/>
        <v>392.63999999999993</v>
      </c>
      <c r="N21" s="27">
        <f t="shared" si="32"/>
        <v>1570.5599999999997</v>
      </c>
      <c r="O21" s="23">
        <f t="shared" si="33"/>
        <v>2558.9333333333334</v>
      </c>
      <c r="P21" s="4"/>
      <c r="Q21" s="50" t="s">
        <v>60</v>
      </c>
      <c r="R21" s="48" t="s">
        <v>61</v>
      </c>
      <c r="S21">
        <f>IF(Tools!$L$49="Use 141 rule only",I45,IF(Tools!$L$49="Use 141 and 1331 rules",BG22," "))</f>
        <v>224.84072132173338</v>
      </c>
      <c r="W21" s="29">
        <f>IF(AO21="  ","  ",IF(AND(AO20="  ",AO22="  "),"?",IF(AO20="  ",2*(AO22-AO21),IF(AO22="  ",2*(AO21-AO20),2*(AO22-AO20)))))</f>
        <v>4</v>
      </c>
      <c r="X21" s="30" t="str">
        <f t="shared" si="4"/>
        <v>WW</v>
      </c>
      <c r="Y21" s="30" t="str">
        <f t="shared" si="5"/>
        <v>-</v>
      </c>
      <c r="Z21" s="29" t="b">
        <f t="shared" si="6"/>
        <v>0</v>
      </c>
      <c r="AA21" s="29" t="b">
        <f t="shared" si="7"/>
        <v>0</v>
      </c>
      <c r="AB21" s="29" t="str">
        <f t="shared" ca="1" si="8"/>
        <v>++</v>
      </c>
      <c r="AC21" s="29">
        <f t="shared" si="34"/>
        <v>8</v>
      </c>
      <c r="AD21" s="29">
        <f t="shared" ca="1" si="9"/>
        <v>8</v>
      </c>
      <c r="AE21" s="29">
        <v>18</v>
      </c>
      <c r="AF21" s="31">
        <f t="shared" si="42"/>
        <v>14</v>
      </c>
      <c r="AG21" s="29" t="b">
        <f t="shared" si="11"/>
        <v>1</v>
      </c>
      <c r="AH21" s="30" t="str">
        <f t="shared" ca="1" si="43"/>
        <v>141-4</v>
      </c>
      <c r="AI21" s="30" t="str">
        <f t="shared" ca="1" si="13"/>
        <v/>
      </c>
      <c r="AJ21" s="29">
        <f t="shared" ca="1" si="14"/>
        <v>0</v>
      </c>
      <c r="AK21" s="29" t="str">
        <f t="shared" ca="1" si="15"/>
        <v>4/3</v>
      </c>
      <c r="AL21" s="29">
        <f t="shared" ca="1" si="16"/>
        <v>1.3333333333333333</v>
      </c>
      <c r="AM21" s="32">
        <f t="shared" ca="1" si="35"/>
        <v>1.3333333333333333</v>
      </c>
      <c r="AO21" s="20">
        <f>Tools!$AD20</f>
        <v>15</v>
      </c>
      <c r="AP21" s="33">
        <f t="shared" si="36"/>
        <v>11</v>
      </c>
      <c r="AQ21" s="34" t="str">
        <f t="shared" ca="1" si="18"/>
        <v>4/3</v>
      </c>
      <c r="AR21" s="23">
        <f t="shared" ca="1" si="19"/>
        <v>14.666666666666666</v>
      </c>
      <c r="AS21" s="24">
        <f t="shared" si="20"/>
        <v>5</v>
      </c>
      <c r="AT21" s="23">
        <f t="shared" ca="1" si="37"/>
        <v>73.333333333333329</v>
      </c>
      <c r="AU21" s="23">
        <f t="shared" ca="1" si="40"/>
        <v>366.66666666666663</v>
      </c>
      <c r="AV21" s="23">
        <f t="shared" si="21"/>
        <v>1331</v>
      </c>
      <c r="AW21" s="23">
        <f t="shared" ca="1" si="22"/>
        <v>1774.6666666666665</v>
      </c>
      <c r="AY21" s="35">
        <f t="shared" si="23"/>
        <v>127.94666666666666</v>
      </c>
      <c r="AZ21" s="23">
        <f t="shared" ca="1" si="41"/>
        <v>170.59555555555553</v>
      </c>
      <c r="BA21" s="36">
        <f t="shared" si="25"/>
        <v>392.63999999999993</v>
      </c>
      <c r="BB21" s="27">
        <f t="shared" ca="1" si="38"/>
        <v>523.51999999999987</v>
      </c>
      <c r="BC21" s="23">
        <f t="shared" ca="1" si="39"/>
        <v>852.97777777777765</v>
      </c>
      <c r="BE21" s="50" t="s">
        <v>57</v>
      </c>
      <c r="BF21" s="48" t="s">
        <v>62</v>
      </c>
      <c r="BG21" s="49">
        <f ca="1">IF(WL_No="  ","  ",(h^2)*$BC$29)</f>
        <v>61837.204895111121</v>
      </c>
    </row>
    <row r="22" spans="1:59" x14ac:dyDescent="0.25">
      <c r="A22" s="20">
        <f>Tools!$AD21</f>
        <v>16</v>
      </c>
      <c r="B22" s="33">
        <f t="shared" si="0"/>
        <v>10.7</v>
      </c>
      <c r="C22" s="22">
        <f>IF(A22="  ","  ",IF(AND(A21="  ",A23="  "),"?",IF(A21="  ",1*(A23-A22),IF(A23="  ",1*(A22-A21),1*(A23-A21)))))</f>
        <v>2</v>
      </c>
      <c r="D22" s="23">
        <f t="shared" si="26"/>
        <v>21.4</v>
      </c>
      <c r="E22" s="24">
        <f t="shared" si="1"/>
        <v>6</v>
      </c>
      <c r="F22" s="23">
        <f t="shared" si="27"/>
        <v>128.39999999999998</v>
      </c>
      <c r="G22" s="23">
        <f t="shared" si="28"/>
        <v>770.39999999999986</v>
      </c>
      <c r="H22" s="23">
        <f t="shared" si="29"/>
        <v>1225.0429999999997</v>
      </c>
      <c r="I22" s="23">
        <f t="shared" si="30"/>
        <v>2450.0859999999993</v>
      </c>
      <c r="J22" s="4"/>
      <c r="K22" s="37">
        <f t="shared" si="2"/>
        <v>119.89666666666665</v>
      </c>
      <c r="L22" s="23">
        <f t="shared" si="31"/>
        <v>239.79333333333329</v>
      </c>
      <c r="M22" s="38">
        <f t="shared" si="3"/>
        <v>373.89333333333332</v>
      </c>
      <c r="N22" s="27">
        <f t="shared" si="32"/>
        <v>747.78666666666663</v>
      </c>
      <c r="O22" s="23">
        <f t="shared" si="33"/>
        <v>1438.7599999999998</v>
      </c>
      <c r="P22" s="4"/>
      <c r="Q22" s="50" t="s">
        <v>63</v>
      </c>
      <c r="R22" s="48" t="s">
        <v>64</v>
      </c>
      <c r="S22">
        <f>IF(Tools!$L$49="Use 141 rule only",I46,IF(Tools!$L$49="Use 141 and 1331 rules",BG23," "))</f>
        <v>6.2445423839475804</v>
      </c>
      <c r="W22" s="29">
        <f>IF(AO22="  ","  ",IF(AND(AO21="  ",AO23="  "),"?",IF(AO21="  ",1*(AO23-AO22),IF(AO23="  ",1*(AO22-AO21),1*(AO23-AO21)))))</f>
        <v>2</v>
      </c>
      <c r="X22" s="30" t="str">
        <f t="shared" si="4"/>
        <v>WW</v>
      </c>
      <c r="Y22" s="30" t="str">
        <f t="shared" si="5"/>
        <v>-</v>
      </c>
      <c r="Z22" s="29" t="b">
        <f t="shared" si="6"/>
        <v>0</v>
      </c>
      <c r="AA22" s="29" t="b">
        <f t="shared" si="7"/>
        <v>0</v>
      </c>
      <c r="AB22" s="29" t="str">
        <f t="shared" ca="1" si="8"/>
        <v>++</v>
      </c>
      <c r="AC22" s="29">
        <f t="shared" si="34"/>
        <v>7</v>
      </c>
      <c r="AD22" s="29">
        <f t="shared" ca="1" si="9"/>
        <v>7</v>
      </c>
      <c r="AE22" s="29">
        <v>19</v>
      </c>
      <c r="AF22" s="31">
        <f t="shared" si="42"/>
        <v>15</v>
      </c>
      <c r="AG22" s="29" t="b">
        <f t="shared" si="11"/>
        <v>1</v>
      </c>
      <c r="AH22" s="30" t="str">
        <f t="shared" ca="1" si="43"/>
        <v>141-2</v>
      </c>
      <c r="AI22" s="30" t="str">
        <f t="shared" ca="1" si="13"/>
        <v/>
      </c>
      <c r="AJ22" s="29">
        <f t="shared" ca="1" si="14"/>
        <v>0</v>
      </c>
      <c r="AK22" s="29" t="str">
        <f t="shared" ca="1" si="15"/>
        <v>2/3</v>
      </c>
      <c r="AL22" s="29">
        <f t="shared" ca="1" si="16"/>
        <v>0.66666666666666663</v>
      </c>
      <c r="AM22" s="32">
        <f t="shared" ca="1" si="35"/>
        <v>0.66666666666666663</v>
      </c>
      <c r="AO22" s="20">
        <f>Tools!$AD21</f>
        <v>16</v>
      </c>
      <c r="AP22" s="33">
        <f t="shared" si="36"/>
        <v>10.7</v>
      </c>
      <c r="AQ22" s="34" t="str">
        <f t="shared" ca="1" si="18"/>
        <v>2/3</v>
      </c>
      <c r="AR22" s="23">
        <f t="shared" ca="1" si="19"/>
        <v>7.1333333333333329</v>
      </c>
      <c r="AS22" s="24">
        <f t="shared" si="20"/>
        <v>6</v>
      </c>
      <c r="AT22" s="23">
        <f t="shared" ca="1" si="37"/>
        <v>42.8</v>
      </c>
      <c r="AU22" s="23">
        <f t="shared" ca="1" si="40"/>
        <v>256.79999999999995</v>
      </c>
      <c r="AV22" s="23">
        <f t="shared" si="21"/>
        <v>1225.0429999999997</v>
      </c>
      <c r="AW22" s="23">
        <f t="shared" ca="1" si="22"/>
        <v>816.69533333333311</v>
      </c>
      <c r="AY22" s="35">
        <f t="shared" si="23"/>
        <v>119.89666666666665</v>
      </c>
      <c r="AZ22" s="23">
        <f t="shared" ca="1" si="41"/>
        <v>79.931111111111093</v>
      </c>
      <c r="BA22" s="36">
        <f t="shared" si="25"/>
        <v>373.89333333333332</v>
      </c>
      <c r="BB22" s="27">
        <f t="shared" ca="1" si="38"/>
        <v>249.26222222222219</v>
      </c>
      <c r="BC22" s="23">
        <f t="shared" ca="1" si="39"/>
        <v>479.58666666666659</v>
      </c>
      <c r="BE22" s="50" t="s">
        <v>60</v>
      </c>
      <c r="BF22" s="48" t="s">
        <v>61</v>
      </c>
      <c r="BG22" s="49">
        <f>IF(WL_No="  ","  ",IF/V_Disp)</f>
        <v>224.84072132173338</v>
      </c>
    </row>
    <row r="23" spans="1:59" x14ac:dyDescent="0.25">
      <c r="A23" s="20">
        <f>Tools!$AD22</f>
        <v>17</v>
      </c>
      <c r="B23" s="33">
        <f t="shared" si="0"/>
        <v>9.69</v>
      </c>
      <c r="C23" s="22">
        <f>IF(A23="  ","  ",IF(AND(A22="  ",A24="  "),"?",IF(A22="  ",2*(A24-A23),IF(A24="  ",2*(A23-A22),2*(A24-A22)))))</f>
        <v>4</v>
      </c>
      <c r="D23" s="23">
        <f t="shared" si="26"/>
        <v>38.76</v>
      </c>
      <c r="E23" s="24">
        <f t="shared" si="1"/>
        <v>7</v>
      </c>
      <c r="F23" s="23">
        <f t="shared" si="27"/>
        <v>271.32</v>
      </c>
      <c r="G23" s="23">
        <f t="shared" si="28"/>
        <v>1899.24</v>
      </c>
      <c r="H23" s="23">
        <f t="shared" si="29"/>
        <v>909.85320899999988</v>
      </c>
      <c r="I23" s="23">
        <f t="shared" si="30"/>
        <v>3639.4128359999995</v>
      </c>
      <c r="J23" s="4"/>
      <c r="K23" s="37">
        <f t="shared" si="2"/>
        <v>103.47333333333333</v>
      </c>
      <c r="L23" s="23">
        <f t="shared" si="31"/>
        <v>413.89333333333332</v>
      </c>
      <c r="M23" s="38">
        <f t="shared" si="3"/>
        <v>330.12666666666667</v>
      </c>
      <c r="N23" s="27">
        <f t="shared" si="32"/>
        <v>1320.5066666666667</v>
      </c>
      <c r="O23" s="23">
        <f t="shared" si="33"/>
        <v>2897.2533333333331</v>
      </c>
      <c r="P23" s="4"/>
      <c r="Q23" s="50" t="s">
        <v>65</v>
      </c>
      <c r="R23" s="48" t="s">
        <v>66</v>
      </c>
      <c r="S23">
        <f>IF(Tools!$L$49="Use 141 rule only",I47,IF(Tools!$L$49="Use 141 and 1331 rules",BG24," "))</f>
        <v>3.122032333240095</v>
      </c>
      <c r="W23" s="29">
        <f>IF(AO23="  ","  ",IF(AND(AO22="  ",AO24="  "),"?",IF(AO22="  ",2*(AO24-AO23),IF(AO24="  ",2*(AO23-AO22),2*(AO24-AO22)))))</f>
        <v>4</v>
      </c>
      <c r="X23" s="30" t="str">
        <f t="shared" si="4"/>
        <v>WW</v>
      </c>
      <c r="Y23" s="30" t="str">
        <f t="shared" si="5"/>
        <v>-</v>
      </c>
      <c r="Z23" s="29" t="b">
        <f t="shared" si="6"/>
        <v>0</v>
      </c>
      <c r="AA23" s="29" t="b">
        <f t="shared" si="7"/>
        <v>0</v>
      </c>
      <c r="AB23" s="29" t="str">
        <f t="shared" ca="1" si="8"/>
        <v>++</v>
      </c>
      <c r="AC23" s="29">
        <f t="shared" si="34"/>
        <v>6</v>
      </c>
      <c r="AD23" s="29">
        <f t="shared" ca="1" si="9"/>
        <v>6</v>
      </c>
      <c r="AE23" s="29">
        <v>20</v>
      </c>
      <c r="AF23" s="31">
        <f t="shared" si="42"/>
        <v>16</v>
      </c>
      <c r="AG23" s="29" t="b">
        <f t="shared" si="11"/>
        <v>1</v>
      </c>
      <c r="AH23" s="30" t="str">
        <f t="shared" ca="1" si="43"/>
        <v>141-4</v>
      </c>
      <c r="AI23" s="30" t="str">
        <f t="shared" ca="1" si="13"/>
        <v/>
      </c>
      <c r="AJ23" s="29">
        <f t="shared" ca="1" si="14"/>
        <v>0</v>
      </c>
      <c r="AK23" s="29" t="str">
        <f t="shared" ca="1" si="15"/>
        <v>4/3</v>
      </c>
      <c r="AL23" s="29">
        <f t="shared" ca="1" si="16"/>
        <v>1.3333333333333333</v>
      </c>
      <c r="AM23" s="32">
        <f t="shared" ca="1" si="35"/>
        <v>1.3333333333333333</v>
      </c>
      <c r="AO23" s="20">
        <f>Tools!$AD22</f>
        <v>17</v>
      </c>
      <c r="AP23" s="33">
        <f t="shared" si="36"/>
        <v>9.69</v>
      </c>
      <c r="AQ23" s="34" t="str">
        <f t="shared" ca="1" si="18"/>
        <v>4/3</v>
      </c>
      <c r="AR23" s="23">
        <f t="shared" ca="1" si="19"/>
        <v>12.919999999999998</v>
      </c>
      <c r="AS23" s="24">
        <f t="shared" si="20"/>
        <v>7</v>
      </c>
      <c r="AT23" s="23">
        <f t="shared" ca="1" si="37"/>
        <v>90.439999999999984</v>
      </c>
      <c r="AU23" s="23">
        <f t="shared" ca="1" si="40"/>
        <v>633.07999999999993</v>
      </c>
      <c r="AV23" s="23">
        <f t="shared" si="21"/>
        <v>909.85320899999988</v>
      </c>
      <c r="AW23" s="23">
        <f t="shared" ca="1" si="22"/>
        <v>1213.1376119999998</v>
      </c>
      <c r="AY23" s="35">
        <f t="shared" si="23"/>
        <v>103.47333333333333</v>
      </c>
      <c r="AZ23" s="23">
        <f t="shared" ca="1" si="41"/>
        <v>137.96444444444444</v>
      </c>
      <c r="BA23" s="36">
        <f t="shared" si="25"/>
        <v>330.12666666666667</v>
      </c>
      <c r="BB23" s="27">
        <f t="shared" ca="1" si="38"/>
        <v>440.16888888888889</v>
      </c>
      <c r="BC23" s="23">
        <f t="shared" ca="1" si="39"/>
        <v>965.75111111111107</v>
      </c>
      <c r="BE23" s="50" t="s">
        <v>63</v>
      </c>
      <c r="BF23" s="48" t="s">
        <v>64</v>
      </c>
      <c r="BG23" s="49">
        <f>IF(WL_No="  ","  ",IT/V_Disp)</f>
        <v>6.2445423839475804</v>
      </c>
    </row>
    <row r="24" spans="1:59" x14ac:dyDescent="0.25">
      <c r="A24" s="20">
        <f>Tools!$AD23</f>
        <v>18</v>
      </c>
      <c r="B24" s="33">
        <f t="shared" si="0"/>
        <v>7.57</v>
      </c>
      <c r="C24" s="22">
        <f>IF(A24="  ","  ",IF(AND(A23="  ",A25="  "),"?",IF(A23="  ",1*(A25-A24),IF(A25="  ",1*(A24-A23),1*(A25-A23)))))</f>
        <v>1.5</v>
      </c>
      <c r="D24" s="23">
        <f t="shared" si="26"/>
        <v>11.355</v>
      </c>
      <c r="E24" s="24">
        <f t="shared" si="1"/>
        <v>8</v>
      </c>
      <c r="F24" s="23">
        <f t="shared" si="27"/>
        <v>90.84</v>
      </c>
      <c r="G24" s="23">
        <f t="shared" si="28"/>
        <v>726.72</v>
      </c>
      <c r="H24" s="23">
        <f t="shared" si="29"/>
        <v>433.79809300000005</v>
      </c>
      <c r="I24" s="23">
        <f t="shared" si="30"/>
        <v>650.69713950000005</v>
      </c>
      <c r="J24" s="4"/>
      <c r="K24" s="37">
        <f t="shared" si="2"/>
        <v>76.963333333333338</v>
      </c>
      <c r="L24" s="23">
        <f t="shared" si="31"/>
        <v>115.44500000000001</v>
      </c>
      <c r="M24" s="38">
        <f t="shared" si="3"/>
        <v>250.70666666666665</v>
      </c>
      <c r="N24" s="27">
        <f t="shared" si="32"/>
        <v>376.05999999999995</v>
      </c>
      <c r="O24" s="23">
        <f t="shared" si="33"/>
        <v>923.56000000000006</v>
      </c>
      <c r="P24" s="4"/>
      <c r="Q24" s="50" t="s">
        <v>67</v>
      </c>
      <c r="R24" s="48" t="s">
        <v>68</v>
      </c>
      <c r="S24">
        <f>IF(Tools!$L$49="Use 141 rule only",I48,IF(Tools!$L$49="Use 141 and 1331 rules",BG25," "))</f>
        <v>9.3665747171876745</v>
      </c>
      <c r="W24" s="29">
        <f>IF(AO24="  ","  ",IF(AND(AO23="  ",AO25="  "),"?",IF(AO23="  ",1*(AO25-AO24),IF(AO25="  ",1*(AO24-AO23),1*(AO25-AO23)))))</f>
        <v>1.5</v>
      </c>
      <c r="X24" s="30" t="str">
        <f t="shared" si="4"/>
        <v>WD</v>
      </c>
      <c r="Y24" s="30" t="str">
        <f t="shared" si="5"/>
        <v>-</v>
      </c>
      <c r="Z24" s="29" t="b">
        <f t="shared" si="6"/>
        <v>1</v>
      </c>
      <c r="AA24" s="29" t="b">
        <f t="shared" si="7"/>
        <v>1</v>
      </c>
      <c r="AB24" s="29" t="str">
        <f t="shared" ca="1" si="8"/>
        <v>141-1</v>
      </c>
      <c r="AC24" s="29">
        <f t="shared" si="34"/>
        <v>5</v>
      </c>
      <c r="AD24" s="29">
        <f t="shared" ca="1" si="9"/>
        <v>5</v>
      </c>
      <c r="AE24" s="29">
        <v>21</v>
      </c>
      <c r="AF24" s="31">
        <f t="shared" si="42"/>
        <v>17</v>
      </c>
      <c r="AG24" s="29" t="b">
        <f t="shared" si="11"/>
        <v>1</v>
      </c>
      <c r="AH24" s="30" t="str">
        <f t="shared" ca="1" si="43"/>
        <v>141-1</v>
      </c>
      <c r="AI24" s="30" t="str">
        <f t="shared" ca="1" si="13"/>
        <v>(1/2)*(1/3)</v>
      </c>
      <c r="AJ24" s="29">
        <f t="shared" ca="1" si="14"/>
        <v>0.16666666666666666</v>
      </c>
      <c r="AK24" s="29" t="str">
        <f t="shared" ca="1" si="15"/>
        <v>1/3</v>
      </c>
      <c r="AL24" s="29">
        <f t="shared" ca="1" si="16"/>
        <v>0.33333333333333331</v>
      </c>
      <c r="AM24" s="32">
        <f t="shared" ca="1" si="35"/>
        <v>0.5</v>
      </c>
      <c r="AO24" s="20">
        <f>Tools!$AD23</f>
        <v>18</v>
      </c>
      <c r="AP24" s="33">
        <f t="shared" si="36"/>
        <v>7.57</v>
      </c>
      <c r="AQ24" s="34" t="str">
        <f t="shared" ca="1" si="18"/>
        <v>(1/2)*(1/3)+1/3</v>
      </c>
      <c r="AR24" s="23">
        <f t="shared" ca="1" si="19"/>
        <v>3.7850000000000001</v>
      </c>
      <c r="AS24" s="24">
        <f t="shared" si="20"/>
        <v>8</v>
      </c>
      <c r="AT24" s="23">
        <f t="shared" ca="1" si="37"/>
        <v>30.28</v>
      </c>
      <c r="AU24" s="23">
        <f t="shared" ca="1" si="40"/>
        <v>242.24</v>
      </c>
      <c r="AV24" s="23">
        <f t="shared" si="21"/>
        <v>433.79809300000005</v>
      </c>
      <c r="AW24" s="23">
        <f t="shared" ca="1" si="22"/>
        <v>216.89904650000003</v>
      </c>
      <c r="AY24" s="35">
        <f t="shared" si="23"/>
        <v>76.963333333333338</v>
      </c>
      <c r="AZ24" s="23">
        <f t="shared" ca="1" si="41"/>
        <v>38.481666666666669</v>
      </c>
      <c r="BA24" s="36">
        <f t="shared" si="25"/>
        <v>250.70666666666665</v>
      </c>
      <c r="BB24" s="27">
        <f t="shared" ca="1" si="38"/>
        <v>125.35333333333332</v>
      </c>
      <c r="BC24" s="23">
        <f t="shared" ca="1" si="39"/>
        <v>307.85333333333335</v>
      </c>
      <c r="BE24" s="50" t="s">
        <v>65</v>
      </c>
      <c r="BF24" s="48" t="s">
        <v>66</v>
      </c>
      <c r="BG24" s="49">
        <f>IF(WL_No="  ","  ",MT/V_Disp)</f>
        <v>3.122032333240095</v>
      </c>
    </row>
    <row r="25" spans="1:59" x14ac:dyDescent="0.25">
      <c r="A25" s="20">
        <f>Tools!$AD24</f>
        <v>18.5</v>
      </c>
      <c r="B25" s="33">
        <f t="shared" si="0"/>
        <v>6.05</v>
      </c>
      <c r="C25" s="22">
        <f>IF(A25="  ","  ",IF(AND(A24="  ",A26="  "),"?",IF(A24="  ",2*(A26-A25),IF(A26="  ",2*(A25-A24),2*(A26-A24)))))</f>
        <v>2</v>
      </c>
      <c r="D25" s="23">
        <f t="shared" si="26"/>
        <v>12.1</v>
      </c>
      <c r="E25" s="24">
        <f t="shared" si="1"/>
        <v>8.5</v>
      </c>
      <c r="F25" s="23">
        <f t="shared" si="27"/>
        <v>102.85</v>
      </c>
      <c r="G25" s="23">
        <f t="shared" si="28"/>
        <v>874.22499999999991</v>
      </c>
      <c r="H25" s="23">
        <f t="shared" si="29"/>
        <v>221.44512499999999</v>
      </c>
      <c r="I25" s="23">
        <f t="shared" si="30"/>
        <v>442.89024999999998</v>
      </c>
      <c r="J25" s="4"/>
      <c r="K25" s="37">
        <f t="shared" si="2"/>
        <v>60.476666666666659</v>
      </c>
      <c r="L25" s="23">
        <f t="shared" si="31"/>
        <v>120.95333333333332</v>
      </c>
      <c r="M25" s="38">
        <f t="shared" si="3"/>
        <v>199.0733333333333</v>
      </c>
      <c r="N25" s="27">
        <f t="shared" si="32"/>
        <v>398.14666666666659</v>
      </c>
      <c r="O25" s="23">
        <f t="shared" si="33"/>
        <v>1028.1033333333332</v>
      </c>
      <c r="P25" s="4"/>
      <c r="Q25" s="50" t="s">
        <v>69</v>
      </c>
      <c r="R25" s="48" t="s">
        <v>70</v>
      </c>
      <c r="S25">
        <f>IF(Tools!$L$49="Use 141 rule only",I49,IF(Tools!$L$49="Use 141 and 1331 rules",BG26," "))</f>
        <v>227.96275365497348</v>
      </c>
      <c r="W25" s="29">
        <f>IF(AO25="  ","  ",IF(AND(AO24="  ",AO26="  "),"?",IF(AO24="  ",2*(AO26-AO25),IF(AO26="  ",2*(AO25-AO24),2*(AO26-AO24)))))</f>
        <v>2</v>
      </c>
      <c r="X25" s="30" t="str">
        <f t="shared" si="4"/>
        <v>DD</v>
      </c>
      <c r="Y25" s="30" t="str">
        <f t="shared" si="5"/>
        <v>-</v>
      </c>
      <c r="Z25" s="29" t="b">
        <f t="shared" si="6"/>
        <v>1</v>
      </c>
      <c r="AA25" s="29" t="b">
        <f t="shared" si="7"/>
        <v>1</v>
      </c>
      <c r="AB25" s="29" t="str">
        <f t="shared" ca="1" si="8"/>
        <v>141-4</v>
      </c>
      <c r="AC25" s="29">
        <f t="shared" si="34"/>
        <v>4</v>
      </c>
      <c r="AD25" s="29">
        <f t="shared" ca="1" si="9"/>
        <v>4</v>
      </c>
      <c r="AE25" s="29">
        <v>22</v>
      </c>
      <c r="AF25" s="31">
        <f t="shared" si="42"/>
        <v>18</v>
      </c>
      <c r="AG25" s="29" t="b">
        <f t="shared" si="11"/>
        <v>0</v>
      </c>
      <c r="AH25" s="30" t="str">
        <f t="shared" si="43"/>
        <v>-</v>
      </c>
      <c r="AI25" s="30" t="str">
        <f t="shared" ca="1" si="13"/>
        <v>(1/2)*(4/3)</v>
      </c>
      <c r="AJ25" s="29">
        <f t="shared" ca="1" si="14"/>
        <v>0.66666666666666663</v>
      </c>
      <c r="AK25" s="29" t="str">
        <f t="shared" si="15"/>
        <v/>
      </c>
      <c r="AL25" s="29">
        <f t="shared" si="16"/>
        <v>0</v>
      </c>
      <c r="AM25" s="32">
        <f t="shared" ca="1" si="35"/>
        <v>0.66666666666666663</v>
      </c>
      <c r="AO25" s="20">
        <f>Tools!$AD24</f>
        <v>18.5</v>
      </c>
      <c r="AP25" s="33">
        <f t="shared" si="36"/>
        <v>6.05</v>
      </c>
      <c r="AQ25" s="34" t="str">
        <f t="shared" ca="1" si="18"/>
        <v>(1/2)*(4/3)</v>
      </c>
      <c r="AR25" s="23">
        <f t="shared" ca="1" si="19"/>
        <v>4.0333333333333332</v>
      </c>
      <c r="AS25" s="24">
        <f t="shared" si="20"/>
        <v>8.5</v>
      </c>
      <c r="AT25" s="23">
        <f t="shared" ca="1" si="37"/>
        <v>34.283333333333331</v>
      </c>
      <c r="AU25" s="23">
        <f t="shared" ca="1" si="40"/>
        <v>291.4083333333333</v>
      </c>
      <c r="AV25" s="23">
        <f t="shared" si="21"/>
        <v>221.44512499999999</v>
      </c>
      <c r="AW25" s="23">
        <f t="shared" ca="1" si="22"/>
        <v>147.63008333333332</v>
      </c>
      <c r="AY25" s="35">
        <f t="shared" si="23"/>
        <v>60.476666666666659</v>
      </c>
      <c r="AZ25" s="23">
        <f t="shared" ca="1" si="41"/>
        <v>40.317777777777771</v>
      </c>
      <c r="BA25" s="36">
        <f t="shared" si="25"/>
        <v>199.0733333333333</v>
      </c>
      <c r="BB25" s="27">
        <f t="shared" ca="1" si="38"/>
        <v>132.71555555555551</v>
      </c>
      <c r="BC25" s="23">
        <f t="shared" ca="1" si="39"/>
        <v>342.70111111111106</v>
      </c>
      <c r="BE25" s="50" t="s">
        <v>67</v>
      </c>
      <c r="BF25" s="48" t="s">
        <v>68</v>
      </c>
      <c r="BG25" s="49">
        <f>IF(WL_No="  ","  ",KB+BMT)</f>
        <v>9.3665747171876745</v>
      </c>
    </row>
    <row r="26" spans="1:59" x14ac:dyDescent="0.25">
      <c r="A26" s="20">
        <f>Tools!$AD25</f>
        <v>19</v>
      </c>
      <c r="B26" s="33">
        <f t="shared" si="0"/>
        <v>4.2300000000000004</v>
      </c>
      <c r="C26" s="22">
        <f>IF(A26="  ","  ",IF(AND(A25="  ",A27="  "),"?",IF(A25="  ",1*(A27-A26),IF(A27="  ",1*(A26-A25),1*(A27-A25)))))</f>
        <v>1</v>
      </c>
      <c r="D26" s="23">
        <f t="shared" si="26"/>
        <v>4.2300000000000004</v>
      </c>
      <c r="E26" s="24">
        <f t="shared" si="1"/>
        <v>9</v>
      </c>
      <c r="F26" s="23">
        <f t="shared" si="27"/>
        <v>38.070000000000007</v>
      </c>
      <c r="G26" s="23">
        <f t="shared" si="28"/>
        <v>342.63000000000005</v>
      </c>
      <c r="H26" s="23">
        <f t="shared" si="29"/>
        <v>75.686967000000024</v>
      </c>
      <c r="I26" s="23">
        <f t="shared" si="30"/>
        <v>75.686967000000024</v>
      </c>
      <c r="J26" s="4"/>
      <c r="K26" s="37">
        <f t="shared" si="2"/>
        <v>43.17</v>
      </c>
      <c r="L26" s="23">
        <f t="shared" si="31"/>
        <v>43.17</v>
      </c>
      <c r="M26" s="38">
        <f t="shared" si="3"/>
        <v>143.21333333333334</v>
      </c>
      <c r="N26" s="27">
        <f t="shared" si="32"/>
        <v>143.21333333333334</v>
      </c>
      <c r="O26" s="23">
        <f t="shared" si="33"/>
        <v>388.53000000000003</v>
      </c>
      <c r="P26" s="4"/>
      <c r="Q26" s="50" t="s">
        <v>71</v>
      </c>
      <c r="R26" s="48" t="s">
        <v>72</v>
      </c>
      <c r="S26">
        <f>IF(Tools!$L$49="Use 141 rule only",I50,IF(Tools!$L$49="Use 141 and 1331 rules",BG27," "))</f>
        <v>26.625487124999996</v>
      </c>
      <c r="W26" s="29">
        <f>IF(AO26="  ","  ",IF(AND(AO25="  ",AO27="  "),"?",IF(AO25="  ",1*(AO27-AO26),IF(AO27="  ",1*(AO26-AO25),1*(AO27-AO25)))))</f>
        <v>1</v>
      </c>
      <c r="X26" s="30" t="str">
        <f t="shared" si="4"/>
        <v>DD</v>
      </c>
      <c r="Y26" s="30" t="str">
        <f t="shared" si="5"/>
        <v>-</v>
      </c>
      <c r="Z26" s="29" t="b">
        <f t="shared" si="6"/>
        <v>1</v>
      </c>
      <c r="AA26" s="29" t="b">
        <f t="shared" si="7"/>
        <v>1</v>
      </c>
      <c r="AB26" s="29" t="str">
        <f t="shared" ca="1" si="8"/>
        <v>141-2</v>
      </c>
      <c r="AC26" s="29">
        <f t="shared" si="34"/>
        <v>3</v>
      </c>
      <c r="AD26" s="29">
        <f t="shared" ca="1" si="9"/>
        <v>3</v>
      </c>
      <c r="AE26" s="29">
        <v>23</v>
      </c>
      <c r="AF26" s="31">
        <f t="shared" si="42"/>
        <v>19</v>
      </c>
      <c r="AG26" s="29" t="b">
        <f t="shared" si="11"/>
        <v>0</v>
      </c>
      <c r="AH26" s="30" t="str">
        <f t="shared" si="43"/>
        <v>-</v>
      </c>
      <c r="AI26" s="30" t="str">
        <f t="shared" ca="1" si="13"/>
        <v>(1/2)*(2/3)</v>
      </c>
      <c r="AJ26" s="29">
        <f t="shared" ca="1" si="14"/>
        <v>0.33333333333333331</v>
      </c>
      <c r="AK26" s="29" t="str">
        <f t="shared" si="15"/>
        <v/>
      </c>
      <c r="AL26" s="29">
        <f t="shared" si="16"/>
        <v>0</v>
      </c>
      <c r="AM26" s="32">
        <f t="shared" ca="1" si="35"/>
        <v>0.33333333333333331</v>
      </c>
      <c r="AO26" s="20">
        <f>Tools!$AD25</f>
        <v>19</v>
      </c>
      <c r="AP26" s="33">
        <f t="shared" si="36"/>
        <v>4.2300000000000004</v>
      </c>
      <c r="AQ26" s="34" t="str">
        <f t="shared" ca="1" si="18"/>
        <v>(1/2)*(2/3)</v>
      </c>
      <c r="AR26" s="23">
        <f t="shared" ca="1" si="19"/>
        <v>1.4100000000000001</v>
      </c>
      <c r="AS26" s="24">
        <f t="shared" si="20"/>
        <v>9</v>
      </c>
      <c r="AT26" s="23">
        <f t="shared" ca="1" si="37"/>
        <v>12.690000000000001</v>
      </c>
      <c r="AU26" s="23">
        <f t="shared" ca="1" si="40"/>
        <v>114.21000000000001</v>
      </c>
      <c r="AV26" s="23">
        <f t="shared" si="21"/>
        <v>75.686967000000024</v>
      </c>
      <c r="AW26" s="23">
        <f t="shared" ca="1" si="22"/>
        <v>25.228989000000006</v>
      </c>
      <c r="AY26" s="35">
        <f t="shared" si="23"/>
        <v>43.17</v>
      </c>
      <c r="AZ26" s="23">
        <f t="shared" ca="1" si="41"/>
        <v>14.39</v>
      </c>
      <c r="BA26" s="36">
        <f t="shared" si="25"/>
        <v>143.21333333333334</v>
      </c>
      <c r="BB26" s="27">
        <f t="shared" ca="1" si="38"/>
        <v>47.737777777777779</v>
      </c>
      <c r="BC26" s="23">
        <f t="shared" ca="1" si="39"/>
        <v>129.51</v>
      </c>
      <c r="BE26" s="50" t="s">
        <v>69</v>
      </c>
      <c r="BF26" s="48" t="s">
        <v>70</v>
      </c>
      <c r="BG26" s="49">
        <f>IF(WL_No="  ","  ",KB+BML)</f>
        <v>227.96275365497348</v>
      </c>
    </row>
    <row r="27" spans="1:59" x14ac:dyDescent="0.25">
      <c r="A27" s="20">
        <f>Tools!$AD26</f>
        <v>19.5</v>
      </c>
      <c r="B27" s="33">
        <f t="shared" si="0"/>
        <v>2.38</v>
      </c>
      <c r="C27" s="22">
        <f>IF(A27="  ","  ",IF(AND(A26="  ",A28="  "),"?",IF(A26="  ",2*(A28-A27),IF(A28="  ",2*(A27-A26),2*(A28-A26)))))</f>
        <v>2</v>
      </c>
      <c r="D27" s="23">
        <f t="shared" si="26"/>
        <v>4.76</v>
      </c>
      <c r="E27" s="24">
        <f t="shared" si="1"/>
        <v>9.5</v>
      </c>
      <c r="F27" s="23">
        <f t="shared" si="27"/>
        <v>45.22</v>
      </c>
      <c r="G27" s="23">
        <f t="shared" si="28"/>
        <v>429.59</v>
      </c>
      <c r="H27" s="23">
        <f t="shared" si="29"/>
        <v>13.481271999999999</v>
      </c>
      <c r="I27" s="23">
        <f t="shared" si="30"/>
        <v>26.962543999999998</v>
      </c>
      <c r="J27" s="4"/>
      <c r="K27" s="37">
        <f t="shared" si="2"/>
        <v>26.583333333333329</v>
      </c>
      <c r="L27" s="23">
        <f t="shared" si="31"/>
        <v>53.166666666666657</v>
      </c>
      <c r="M27" s="38">
        <f t="shared" si="3"/>
        <v>88.75333333333333</v>
      </c>
      <c r="N27" s="27">
        <f t="shared" si="32"/>
        <v>177.50666666666666</v>
      </c>
      <c r="O27" s="23">
        <f t="shared" si="33"/>
        <v>505.08333333333326</v>
      </c>
      <c r="P27" s="4"/>
      <c r="Q27" s="50" t="s">
        <v>73</v>
      </c>
      <c r="R27" s="48" t="s">
        <v>74</v>
      </c>
      <c r="S27">
        <f>IF(Tools!$L$49="Use 141 rule only",I51,IF(Tools!$L$49="Use 141 and 1331 rules",BG28," "))</f>
        <v>4.2892407004117485</v>
      </c>
      <c r="W27" s="29">
        <f>IF(AO27="  ","  ",IF(AND(AO26="  ",AO28="  "),"?",IF(AO26="  ",2*(AO28-AO27),IF(AO28="  ",2*(AO27-AO26),2*(AO28-AO26)))))</f>
        <v>2</v>
      </c>
      <c r="X27" s="30" t="str">
        <f t="shared" si="4"/>
        <v>DD</v>
      </c>
      <c r="Y27" s="30" t="str">
        <f t="shared" si="5"/>
        <v>-</v>
      </c>
      <c r="Z27" s="29" t="b">
        <f t="shared" si="6"/>
        <v>1</v>
      </c>
      <c r="AA27" s="29" t="b">
        <f t="shared" si="7"/>
        <v>1</v>
      </c>
      <c r="AB27" s="29" t="str">
        <f t="shared" ca="1" si="8"/>
        <v>141-4</v>
      </c>
      <c r="AC27" s="29">
        <f t="shared" si="34"/>
        <v>2</v>
      </c>
      <c r="AD27" s="29">
        <f t="shared" ca="1" si="9"/>
        <v>2</v>
      </c>
      <c r="AE27" s="29">
        <v>24</v>
      </c>
      <c r="AF27" s="31">
        <f t="shared" si="42"/>
        <v>20</v>
      </c>
      <c r="AG27" s="29" t="b">
        <f t="shared" si="11"/>
        <v>0</v>
      </c>
      <c r="AH27" s="30" t="str">
        <f t="shared" si="43"/>
        <v>-</v>
      </c>
      <c r="AI27" s="30" t="str">
        <f t="shared" ca="1" si="13"/>
        <v>(1/2)*(4/3)</v>
      </c>
      <c r="AJ27" s="29">
        <f t="shared" ca="1" si="14"/>
        <v>0.66666666666666663</v>
      </c>
      <c r="AK27" s="29" t="str">
        <f t="shared" si="15"/>
        <v/>
      </c>
      <c r="AL27" s="29">
        <f t="shared" si="16"/>
        <v>0</v>
      </c>
      <c r="AM27" s="32">
        <f t="shared" ca="1" si="35"/>
        <v>0.66666666666666663</v>
      </c>
      <c r="AO27" s="20">
        <f>Tools!$AD26</f>
        <v>19.5</v>
      </c>
      <c r="AP27" s="33">
        <f t="shared" ref="AP27:AP28" si="44">VLOOKUP(AO27,OFFSET_A,Count_WL+1,FALSE)</f>
        <v>2.38</v>
      </c>
      <c r="AQ27" s="34" t="str">
        <f t="shared" ca="1" si="18"/>
        <v>(1/2)*(4/3)</v>
      </c>
      <c r="AR27" s="23">
        <f t="shared" ca="1" si="19"/>
        <v>1.5866666666666664</v>
      </c>
      <c r="AS27" s="24">
        <f t="shared" si="20"/>
        <v>9.5</v>
      </c>
      <c r="AT27" s="23">
        <f t="shared" ca="1" si="37"/>
        <v>15.073333333333331</v>
      </c>
      <c r="AU27" s="23">
        <f t="shared" ca="1" si="40"/>
        <v>143.19666666666663</v>
      </c>
      <c r="AV27" s="23">
        <f t="shared" si="21"/>
        <v>13.481271999999999</v>
      </c>
      <c r="AW27" s="23">
        <f t="shared" ca="1" si="22"/>
        <v>8.9875146666666659</v>
      </c>
      <c r="AY27" s="35">
        <f t="shared" si="23"/>
        <v>26.583333333333329</v>
      </c>
      <c r="AZ27" s="23">
        <f t="shared" ca="1" si="41"/>
        <v>17.722222222222218</v>
      </c>
      <c r="BA27" s="36">
        <f t="shared" si="25"/>
        <v>88.75333333333333</v>
      </c>
      <c r="BB27" s="27">
        <f t="shared" ca="1" si="38"/>
        <v>59.168888888888887</v>
      </c>
      <c r="BC27" s="23">
        <f t="shared" ca="1" si="39"/>
        <v>168.36111111111106</v>
      </c>
      <c r="BE27" s="50" t="s">
        <v>71</v>
      </c>
      <c r="BF27" s="48" t="s">
        <v>72</v>
      </c>
      <c r="BG27" s="49">
        <f>IF(WL_No="  ","  ",AWP*1.025/100)</f>
        <v>26.625487124999996</v>
      </c>
    </row>
    <row r="28" spans="1:59" ht="15.75" thickBot="1" x14ac:dyDescent="0.3">
      <c r="A28" s="20">
        <f>Tools!$AD27</f>
        <v>20</v>
      </c>
      <c r="B28" s="52">
        <f t="shared" si="0"/>
        <v>0.5</v>
      </c>
      <c r="C28" s="22">
        <f>IF(A28="  ","  ",IF(A27="  ","?",1*(A28-A27)))</f>
        <v>0.5</v>
      </c>
      <c r="D28" s="53">
        <f t="shared" si="26"/>
        <v>0.25</v>
      </c>
      <c r="E28" s="24">
        <f t="shared" si="1"/>
        <v>10</v>
      </c>
      <c r="F28" s="53">
        <f t="shared" si="27"/>
        <v>2.5</v>
      </c>
      <c r="G28" s="53">
        <f t="shared" si="28"/>
        <v>25</v>
      </c>
      <c r="H28" s="23">
        <f t="shared" si="29"/>
        <v>0.125</v>
      </c>
      <c r="I28" s="53">
        <f t="shared" si="30"/>
        <v>6.25E-2</v>
      </c>
      <c r="J28" s="4"/>
      <c r="K28" s="35">
        <f t="shared" si="2"/>
        <v>12.996666666666666</v>
      </c>
      <c r="L28" s="53">
        <f t="shared" si="31"/>
        <v>6.4983333333333331</v>
      </c>
      <c r="M28" s="36">
        <f t="shared" si="3"/>
        <v>37.186666666666667</v>
      </c>
      <c r="N28" s="54">
        <f t="shared" si="32"/>
        <v>18.593333333333334</v>
      </c>
      <c r="O28" s="53">
        <f t="shared" si="33"/>
        <v>64.983333333333334</v>
      </c>
      <c r="P28" s="4"/>
      <c r="Q28" s="50" t="s">
        <v>75</v>
      </c>
      <c r="R28" s="55" t="s">
        <v>76</v>
      </c>
      <c r="S28">
        <f>IF(Tools!$L$49="Use 141 rule only",I52,IF(Tools!$L$49="Use 141 and 1331 rules",BG29," "))</f>
        <v>228.62245071608618</v>
      </c>
      <c r="W28" s="29">
        <f>IF(AO28="  ","  ",IF(AO27="  ","?",1*(AO28-AO27)))</f>
        <v>0.5</v>
      </c>
      <c r="X28" s="30" t="str">
        <f t="shared" si="4"/>
        <v>D-</v>
      </c>
      <c r="Y28" s="30" t="str">
        <f t="shared" si="5"/>
        <v>-</v>
      </c>
      <c r="Z28" s="29" t="b">
        <f t="shared" si="6"/>
        <v>1</v>
      </c>
      <c r="AA28" s="29" t="b">
        <f t="shared" si="7"/>
        <v>1</v>
      </c>
      <c r="AB28" s="29" t="str">
        <f t="shared" ca="1" si="8"/>
        <v>141-1</v>
      </c>
      <c r="AC28" s="29">
        <f>IF(ISNUMBER(AO28),IF(ISNUMBER(AO28),IF(OR(AO28=0,AO28=Long_Div),1,IF(AO28&gt;Long_Div/2,AF29+1,IF(AO28&lt;=Long_Div/2,AC27+1,"?")))," --")," ")</f>
        <v>1</v>
      </c>
      <c r="AD28" s="29">
        <f t="shared" ca="1" si="9"/>
        <v>1</v>
      </c>
      <c r="AE28" s="29">
        <v>25</v>
      </c>
      <c r="AF28" s="31">
        <f t="shared" si="42"/>
        <v>21</v>
      </c>
      <c r="AG28" s="29" t="b">
        <f t="shared" si="11"/>
        <v>0</v>
      </c>
      <c r="AH28" s="30" t="str">
        <f t="shared" si="43"/>
        <v>-</v>
      </c>
      <c r="AI28" s="30" t="str">
        <f t="shared" ca="1" si="13"/>
        <v>(1/2)*(1/3)</v>
      </c>
      <c r="AJ28" s="29">
        <f t="shared" ca="1" si="14"/>
        <v>0.16666666666666666</v>
      </c>
      <c r="AK28" s="29" t="str">
        <f t="shared" si="15"/>
        <v/>
      </c>
      <c r="AL28" s="29">
        <f t="shared" si="16"/>
        <v>0</v>
      </c>
      <c r="AM28" s="32">
        <f t="shared" ca="1" si="35"/>
        <v>0.16666666666666666</v>
      </c>
      <c r="AO28" s="20">
        <f>Tools!$AD27</f>
        <v>20</v>
      </c>
      <c r="AP28" s="33">
        <f t="shared" si="44"/>
        <v>0.5</v>
      </c>
      <c r="AQ28" s="34" t="str">
        <f t="shared" ca="1" si="18"/>
        <v>(1/2)*(1/3)</v>
      </c>
      <c r="AR28" s="23">
        <f t="shared" ca="1" si="19"/>
        <v>8.3333333333333329E-2</v>
      </c>
      <c r="AS28" s="24">
        <f t="shared" si="20"/>
        <v>10</v>
      </c>
      <c r="AT28" s="53">
        <f t="shared" ca="1" si="37"/>
        <v>0.83333333333333326</v>
      </c>
      <c r="AU28" s="53">
        <f t="shared" ca="1" si="40"/>
        <v>8.3333333333333321</v>
      </c>
      <c r="AV28" s="23">
        <f t="shared" si="21"/>
        <v>0.125</v>
      </c>
      <c r="AW28" s="23">
        <f t="shared" ca="1" si="22"/>
        <v>2.0833333333333332E-2</v>
      </c>
      <c r="AY28" s="35">
        <f t="shared" si="23"/>
        <v>12.996666666666666</v>
      </c>
      <c r="AZ28" s="23">
        <f t="shared" ca="1" si="41"/>
        <v>2.1661111111111109</v>
      </c>
      <c r="BA28" s="36">
        <f t="shared" si="25"/>
        <v>37.186666666666667</v>
      </c>
      <c r="BB28" s="27">
        <f t="shared" ca="1" si="38"/>
        <v>6.1977777777777776</v>
      </c>
      <c r="BC28" s="53">
        <f t="shared" ca="1" si="39"/>
        <v>21.661111111111108</v>
      </c>
      <c r="BE28" s="50" t="s">
        <v>73</v>
      </c>
      <c r="BF28" s="48" t="s">
        <v>74</v>
      </c>
      <c r="BG28" s="49">
        <f>IF(WL_No="  ","  ",ML/V_Disp)</f>
        <v>4.2892407004117485</v>
      </c>
    </row>
    <row r="29" spans="1:59" ht="15.75" thickBot="1" x14ac:dyDescent="0.3">
      <c r="A29" s="56" t="s">
        <v>77</v>
      </c>
      <c r="B29" s="56"/>
      <c r="C29" s="56"/>
      <c r="D29" s="57">
        <f>SUM(D4:D28)</f>
        <v>533.02499999999998</v>
      </c>
      <c r="E29" s="42"/>
      <c r="F29" s="58">
        <f>SUM(F4:F28)</f>
        <v>201.36999999999992</v>
      </c>
      <c r="G29" s="58">
        <f>SUM(G4:G28)</f>
        <v>12523.615</v>
      </c>
      <c r="H29" s="42"/>
      <c r="I29" s="58">
        <f>SUM(I4:I28)</f>
        <v>55419.829705500008</v>
      </c>
      <c r="J29" s="4"/>
      <c r="K29" s="42"/>
      <c r="L29" s="58">
        <f>SUM(L4:L28)</f>
        <v>5916.614999999998</v>
      </c>
      <c r="M29" s="42"/>
      <c r="N29" s="58">
        <f>SUM(N4:N28)</f>
        <v>18471.863333333338</v>
      </c>
      <c r="O29" s="58">
        <f>SUM(O4:O28)</f>
        <v>3471.6533333333314</v>
      </c>
      <c r="P29" s="4"/>
      <c r="Q29" s="50" t="s">
        <v>78</v>
      </c>
      <c r="R29" s="48" t="s">
        <v>79</v>
      </c>
      <c r="S29">
        <f>IF(Tools!$L$49="Use 141 rule only",I53,IF(Tools!$L$49="Use 141 and 1331 rules",BG30," "))</f>
        <v>6</v>
      </c>
      <c r="W29" s="56"/>
      <c r="X29" s="56"/>
      <c r="Y29" s="56"/>
      <c r="Z29" s="56"/>
      <c r="AA29" s="56"/>
      <c r="AB29" s="56"/>
      <c r="AC29" s="56"/>
      <c r="AD29" s="56"/>
      <c r="AE29" s="56"/>
      <c r="AF29" s="56"/>
      <c r="AG29" s="56"/>
      <c r="AH29" s="56"/>
      <c r="AI29" s="56"/>
      <c r="AJ29" s="56"/>
      <c r="AK29" s="56"/>
      <c r="AL29" s="56"/>
      <c r="AM29" s="56"/>
      <c r="AN29" s="56"/>
      <c r="AO29" s="56" t="s">
        <v>77</v>
      </c>
      <c r="AP29" s="56"/>
      <c r="AQ29" s="59"/>
      <c r="AR29" s="57">
        <f ca="1">SUM(AR4:AR28)</f>
        <v>177.67499999999998</v>
      </c>
      <c r="AS29" s="42"/>
      <c r="AT29" s="58">
        <f ca="1">SUM(AT4:AT28)</f>
        <v>67.123333333333321</v>
      </c>
      <c r="AU29" s="58">
        <f ca="1">SUM(AU4:AU28)</f>
        <v>4174.538333333332</v>
      </c>
      <c r="AV29" s="42"/>
      <c r="AW29" s="58">
        <f ca="1">SUM(AW4:AW28)</f>
        <v>18473.276568499998</v>
      </c>
      <c r="AY29" s="42"/>
      <c r="AZ29" s="58">
        <f ca="1">SUM(AZ4:AZ28)</f>
        <v>1972.2049999999997</v>
      </c>
      <c r="BA29" s="42"/>
      <c r="BB29" s="58">
        <f ca="1">SUM(BB4:BB28)</f>
        <v>6157.2877777777758</v>
      </c>
      <c r="BC29" s="58">
        <f ca="1">SUM(BC4:BC28)</f>
        <v>1157.2177777777781</v>
      </c>
      <c r="BE29" s="50" t="s">
        <v>75</v>
      </c>
      <c r="BF29" s="55" t="s">
        <v>76</v>
      </c>
      <c r="BG29" s="49">
        <f ca="1">IF(WL_No="  ","  ",M_Disp*BML/100/BG8)</f>
        <v>228.62245071608618</v>
      </c>
    </row>
    <row r="30" spans="1:59" x14ac:dyDescent="0.25">
      <c r="A30" s="15"/>
      <c r="B30" s="4"/>
      <c r="C30" s="4"/>
      <c r="D30" s="42"/>
      <c r="E30" s="4"/>
      <c r="F30" s="4"/>
      <c r="G30" s="4"/>
      <c r="H30" s="4"/>
      <c r="I30" s="4"/>
      <c r="J30" s="4"/>
      <c r="K30" s="4"/>
      <c r="L30" s="4"/>
      <c r="M30" s="4"/>
      <c r="N30" s="4"/>
      <c r="O30" s="4"/>
      <c r="P30" s="4"/>
      <c r="Q30" s="50" t="s">
        <v>80</v>
      </c>
      <c r="R30" s="48" t="s">
        <v>81</v>
      </c>
      <c r="S30">
        <f>IF(Tools!$L$49="Use 141 rule only",I54,IF(Tools!$L$49="Use 141 and 1331 rules",BG31," "))</f>
        <v>0.80761363636363637</v>
      </c>
      <c r="AA30" s="60"/>
      <c r="AB30" s="60"/>
      <c r="BE30" s="50" t="s">
        <v>78</v>
      </c>
      <c r="BF30" s="48" t="s">
        <v>79</v>
      </c>
      <c r="BG30" s="49">
        <f>IF(WL_No="  ","  ",WLS*WL_No)</f>
        <v>6</v>
      </c>
    </row>
    <row r="31" spans="1:59" x14ac:dyDescent="0.25">
      <c r="A31" s="15"/>
      <c r="B31" s="4"/>
      <c r="C31" s="4"/>
      <c r="D31" s="4"/>
      <c r="E31" s="4"/>
      <c r="F31" s="4"/>
      <c r="G31" s="4"/>
      <c r="H31" s="4"/>
      <c r="I31" s="4"/>
      <c r="J31" s="4"/>
      <c r="K31" s="4"/>
      <c r="L31" s="4"/>
      <c r="M31" s="4"/>
      <c r="N31" s="4"/>
      <c r="O31" s="4"/>
      <c r="P31" s="4"/>
      <c r="Q31" s="50" t="s">
        <v>82</v>
      </c>
      <c r="R31" s="48" t="s">
        <v>83</v>
      </c>
      <c r="S31">
        <f>IF(Tools!$L$49="Use 141 rule only",I55,IF(Tools!$L$49="Use 141 and 1331 rules",BG32," "))</f>
        <v>0.74704734848484833</v>
      </c>
      <c r="AF31" s="61" t="s">
        <v>84</v>
      </c>
      <c r="AG31" s="62">
        <f ca="1">COUNTIF(OFFSET(AQ4,,,ROUNDUP(Max_STN_count/2,0),1),"")</f>
        <v>0</v>
      </c>
      <c r="AH31" s="63">
        <f ca="1">HLOOKUP(Stn_WL,AREA_TABLE,AG31+2,FALSE)</f>
        <v>0</v>
      </c>
      <c r="AI31" s="63">
        <f ca="1">IF(AH31&gt;Long_Div/2,Long_Div/2,AH31)</f>
        <v>0</v>
      </c>
      <c r="AJ31" s="63">
        <f ca="1">AI31*STN_GAP</f>
        <v>0</v>
      </c>
      <c r="BE31" s="50" t="s">
        <v>80</v>
      </c>
      <c r="BF31" s="48" t="s">
        <v>81</v>
      </c>
      <c r="BG31" s="49">
        <f ca="1">IF(WL_No="  ","  ",AWP/(BG8*B_current))</f>
        <v>0.80761363636363637</v>
      </c>
    </row>
    <row r="32" spans="1:59" x14ac:dyDescent="0.25">
      <c r="A32" s="15"/>
      <c r="B32" s="4"/>
      <c r="C32" s="4"/>
      <c r="D32" s="4"/>
      <c r="E32" s="4"/>
      <c r="F32" s="4"/>
      <c r="G32" s="4"/>
      <c r="H32" s="4"/>
      <c r="I32" s="4"/>
      <c r="J32" s="64"/>
      <c r="K32" s="4"/>
      <c r="L32" s="4"/>
      <c r="M32" s="4"/>
      <c r="N32" s="4"/>
      <c r="O32" s="4"/>
      <c r="P32" s="4"/>
      <c r="Q32" s="50" t="s">
        <v>85</v>
      </c>
      <c r="R32" s="48" t="s">
        <v>86</v>
      </c>
      <c r="S32">
        <f>IF(Tools!$L$49="Use 141 rule only",I56,IF(Tools!$L$49="Use 141 and 1331 rules",BG33," "))</f>
        <v>0.98919191919191907</v>
      </c>
      <c r="AF32" s="61" t="s">
        <v>87</v>
      </c>
      <c r="AG32" s="62">
        <f ca="1">COUNTIF(OFFSET(AQ4,ROUNDUP(Max_STN_count/2,0),,ROUNDDOWN(Max_STN_count/2,0),1),"")</f>
        <v>0</v>
      </c>
      <c r="AH32" s="63">
        <f ca="1">HLOOKUP(Stn_WL,AREA_TABLE,AG32+2,FALSE)</f>
        <v>0</v>
      </c>
      <c r="AI32" s="63">
        <f ca="1">IF(AH32&gt;Long_Div/2,Long_Div/2,AH32)</f>
        <v>0</v>
      </c>
      <c r="AJ32" s="63">
        <f ca="1">AI32*STN_GAP</f>
        <v>0</v>
      </c>
      <c r="BE32" s="50" t="s">
        <v>82</v>
      </c>
      <c r="BF32" s="48" t="s">
        <v>83</v>
      </c>
      <c r="BG32" s="49">
        <f ca="1">IF(WL_No="  ","  ",V_Disp/(BG8*B_current*T))</f>
        <v>0.74704734848484833</v>
      </c>
    </row>
    <row r="33" spans="1:59" x14ac:dyDescent="0.25">
      <c r="A33" s="15"/>
      <c r="B33" s="4"/>
      <c r="C33" s="4"/>
      <c r="D33" s="4"/>
      <c r="E33" s="4"/>
      <c r="F33" s="4"/>
      <c r="G33" s="43" t="s">
        <v>31</v>
      </c>
      <c r="H33" s="44" t="s">
        <v>32</v>
      </c>
      <c r="I33" s="489" t="s">
        <v>33</v>
      </c>
      <c r="J33" s="4"/>
      <c r="K33" s="4"/>
      <c r="L33" s="4"/>
      <c r="M33" s="4"/>
      <c r="N33" s="4"/>
      <c r="O33" s="4"/>
      <c r="P33" s="4"/>
      <c r="Q33" s="50" t="s">
        <v>88</v>
      </c>
      <c r="R33" s="48" t="s">
        <v>89</v>
      </c>
      <c r="S33">
        <f>IF(Tools!$L$49="Use 141 rule only",I57,IF(Tools!$L$49="Use 141 and 1331 rules",BG34," "))</f>
        <v>0.75520971612376175</v>
      </c>
      <c r="AF33" s="63"/>
      <c r="AG33" s="63"/>
      <c r="AH33" s="63">
        <f ca="1">Long_Div-AH32</f>
        <v>20</v>
      </c>
      <c r="AI33" s="63"/>
      <c r="AJ33" s="63">
        <f ca="1">AJ32+AJ31</f>
        <v>0</v>
      </c>
      <c r="BE33" s="50" t="s">
        <v>85</v>
      </c>
      <c r="BF33" s="48" t="s">
        <v>86</v>
      </c>
      <c r="BG33" s="65">
        <f>IFERROR(IF(WL_No="  ","  ",(VLOOKUP(Long_Div/2,AREA_TABLE,Count_WL+1,FALSE))/(B_current*T)),"-")</f>
        <v>0.98919191919191907</v>
      </c>
    </row>
    <row r="34" spans="1:59" x14ac:dyDescent="0.25">
      <c r="G34" s="45"/>
      <c r="H34" s="46"/>
      <c r="I34" s="490"/>
      <c r="BE34" s="50" t="s">
        <v>88</v>
      </c>
      <c r="BF34" s="48" t="s">
        <v>89</v>
      </c>
      <c r="BG34" s="49">
        <f>IF(WL_No="  ","  ",CB/CM)</f>
        <v>0.75520971612376175</v>
      </c>
    </row>
    <row r="35" spans="1:59" x14ac:dyDescent="0.25">
      <c r="G35" s="47" t="s">
        <v>34</v>
      </c>
      <c r="H35" s="48" t="s">
        <v>35</v>
      </c>
      <c r="I35" s="49">
        <f>IF(WL_No="  ","  ",2/3*h*$D$29)</f>
        <v>2597.6084999999998</v>
      </c>
    </row>
    <row r="36" spans="1:59" x14ac:dyDescent="0.25">
      <c r="G36" s="47" t="s">
        <v>36</v>
      </c>
      <c r="H36" s="48" t="s">
        <v>37</v>
      </c>
      <c r="I36" s="49">
        <f>IF(WL_No="  ","  ",2/3*(h^2)*$F$29)</f>
        <v>7173.6183046666629</v>
      </c>
    </row>
    <row r="37" spans="1:59" x14ac:dyDescent="0.25">
      <c r="G37" s="50" t="s">
        <v>39</v>
      </c>
      <c r="H37" s="48" t="s">
        <v>40</v>
      </c>
      <c r="I37" s="49">
        <f>IF(WL_No="  ","  ",Mmid/AWP)</f>
        <v>2.7616241264481016</v>
      </c>
    </row>
    <row r="38" spans="1:59" x14ac:dyDescent="0.25">
      <c r="G38" s="50" t="s">
        <v>42</v>
      </c>
      <c r="H38" s="48" t="s">
        <v>43</v>
      </c>
      <c r="I38" s="49">
        <f>IF(WL_No="  ","  ",2/3*(h^3)*$G$29)</f>
        <v>3261298.7193306424</v>
      </c>
    </row>
    <row r="39" spans="1:59" x14ac:dyDescent="0.25">
      <c r="G39" s="51" t="s">
        <v>44</v>
      </c>
      <c r="H39" s="48" t="s">
        <v>45</v>
      </c>
      <c r="I39" s="49">
        <f>IF(WL_No="  ","  ",2/9*h*$I$29)</f>
        <v>90026.434477156668</v>
      </c>
    </row>
    <row r="40" spans="1:59" x14ac:dyDescent="0.25">
      <c r="G40" s="50" t="s">
        <v>47</v>
      </c>
      <c r="H40" s="48" t="s">
        <v>48</v>
      </c>
      <c r="I40" s="49">
        <f>IF(WL_No="  ","  ",IL-AWP*(LCF^2))</f>
        <v>3241487.8819465451</v>
      </c>
    </row>
    <row r="41" spans="1:59" x14ac:dyDescent="0.25">
      <c r="G41" s="50" t="s">
        <v>50</v>
      </c>
      <c r="H41" s="48" t="s">
        <v>51</v>
      </c>
      <c r="I41" s="49">
        <f>IF(WL_No="  ","  ",h/3*$L$29)</f>
        <v>14416.818549999995</v>
      </c>
    </row>
    <row r="42" spans="1:59" x14ac:dyDescent="0.25">
      <c r="G42" s="50" t="s">
        <v>52</v>
      </c>
      <c r="H42" s="48" t="s">
        <v>53</v>
      </c>
      <c r="I42" s="49">
        <f>IF(WL_No="  ","  ",V_Disp*1.025*1.006)</f>
        <v>14865.902447832494</v>
      </c>
    </row>
    <row r="43" spans="1:59" x14ac:dyDescent="0.25">
      <c r="G43" s="50" t="s">
        <v>55</v>
      </c>
      <c r="H43" s="48" t="s">
        <v>56</v>
      </c>
      <c r="I43" s="49">
        <f>IF(WL_No="  ","  ",h/3*$N$29)</f>
        <v>45009.773655555568</v>
      </c>
    </row>
    <row r="44" spans="1:59" x14ac:dyDescent="0.25">
      <c r="G44" s="50" t="s">
        <v>57</v>
      </c>
      <c r="H44" s="48" t="s">
        <v>58</v>
      </c>
      <c r="I44" s="49">
        <f>IF(WL_No="  ","  ",(h^2)/3*$O$29)</f>
        <v>61837.20489511107</v>
      </c>
    </row>
    <row r="45" spans="1:59" x14ac:dyDescent="0.25">
      <c r="G45" s="50" t="s">
        <v>60</v>
      </c>
      <c r="H45" s="48" t="s">
        <v>61</v>
      </c>
      <c r="I45" s="49">
        <f>IF(WL_No="  ","  ",IF/V_Disp)</f>
        <v>224.84072132173338</v>
      </c>
    </row>
    <row r="46" spans="1:59" x14ac:dyDescent="0.25">
      <c r="G46" s="50" t="s">
        <v>63</v>
      </c>
      <c r="H46" s="48" t="s">
        <v>64</v>
      </c>
      <c r="I46" s="49">
        <f>IF(WL_No="  ","  ",IT/V_Disp)</f>
        <v>6.2445423839475804</v>
      </c>
    </row>
    <row r="47" spans="1:59" x14ac:dyDescent="0.25">
      <c r="G47" s="50" t="s">
        <v>65</v>
      </c>
      <c r="H47" s="48" t="s">
        <v>66</v>
      </c>
      <c r="I47" s="49">
        <f>IF(WL_No="  ","  ",MT/V_Disp)</f>
        <v>3.122032333240095</v>
      </c>
    </row>
    <row r="48" spans="1:59" x14ac:dyDescent="0.25">
      <c r="G48" s="50" t="s">
        <v>67</v>
      </c>
      <c r="H48" s="48" t="s">
        <v>68</v>
      </c>
      <c r="I48" s="49">
        <f>IF(WL_No="  ","  ",KB+BMT)</f>
        <v>9.3665747171876745</v>
      </c>
    </row>
    <row r="49" spans="7:9" x14ac:dyDescent="0.25">
      <c r="G49" s="50" t="s">
        <v>69</v>
      </c>
      <c r="H49" s="48" t="s">
        <v>70</v>
      </c>
      <c r="I49" s="49">
        <f>IF(WL_No="  ","  ",KB+BML)</f>
        <v>227.96275365497348</v>
      </c>
    </row>
    <row r="50" spans="7:9" x14ac:dyDescent="0.25">
      <c r="G50" s="50" t="s">
        <v>71</v>
      </c>
      <c r="H50" s="48" t="s">
        <v>72</v>
      </c>
      <c r="I50" s="49">
        <f>IF(WL_No="  ","  ",AWP*1.025/100)</f>
        <v>26.625487124999996</v>
      </c>
    </row>
    <row r="51" spans="7:9" x14ac:dyDescent="0.25">
      <c r="G51" s="50" t="s">
        <v>73</v>
      </c>
      <c r="H51" s="48" t="s">
        <v>74</v>
      </c>
      <c r="I51" s="49">
        <f>IF(WL_No="  ","  ",ML/V_Disp)</f>
        <v>4.2892407004117485</v>
      </c>
    </row>
    <row r="52" spans="7:9" x14ac:dyDescent="0.25">
      <c r="G52" s="50" t="s">
        <v>75</v>
      </c>
      <c r="H52" s="55" t="s">
        <v>76</v>
      </c>
      <c r="I52" s="49">
        <f>IF(WL_No="  ","  ",M_Disp*BML/100/LBP)</f>
        <v>228.62245071608618</v>
      </c>
    </row>
    <row r="53" spans="7:9" x14ac:dyDescent="0.25">
      <c r="G53" s="50" t="s">
        <v>78</v>
      </c>
      <c r="H53" s="48" t="s">
        <v>79</v>
      </c>
      <c r="I53" s="49">
        <f>IF(WL_No="  ","  ",WLS*WL_No)</f>
        <v>6</v>
      </c>
    </row>
    <row r="54" spans="7:9" x14ac:dyDescent="0.25">
      <c r="G54" s="50" t="s">
        <v>80</v>
      </c>
      <c r="H54" s="48" t="s">
        <v>81</v>
      </c>
      <c r="I54" s="49">
        <f>IF(WL_No="  ","  ",AWP/(LBP*B_current))</f>
        <v>0.80761363636363637</v>
      </c>
    </row>
    <row r="55" spans="7:9" x14ac:dyDescent="0.25">
      <c r="G55" s="50" t="s">
        <v>82</v>
      </c>
      <c r="H55" s="48" t="s">
        <v>83</v>
      </c>
      <c r="I55" s="49">
        <f>IF(WL_No="  ","  ",V_Disp/(LBP*B_current*T))</f>
        <v>0.74704734848484833</v>
      </c>
    </row>
    <row r="56" spans="7:9" x14ac:dyDescent="0.25">
      <c r="G56" s="50" t="s">
        <v>85</v>
      </c>
      <c r="H56" s="48" t="s">
        <v>86</v>
      </c>
      <c r="I56" s="65">
        <f>IF(WL_No="  ","  ",(VLOOKUP(Long_Div/2,AREA_TABLE,Count_WL+1,FALSE))/(B_current*T))</f>
        <v>0.98919191919191907</v>
      </c>
    </row>
    <row r="57" spans="7:9" x14ac:dyDescent="0.25">
      <c r="G57" s="50" t="s">
        <v>88</v>
      </c>
      <c r="H57" s="48" t="s">
        <v>89</v>
      </c>
      <c r="I57" s="49">
        <f>IF(WL_No="  ","  ",CB/CM)</f>
        <v>0.75520971612376175</v>
      </c>
    </row>
  </sheetData>
  <mergeCells count="7">
    <mergeCell ref="BG10:BG11"/>
    <mergeCell ref="I33:I34"/>
    <mergeCell ref="A2:I2"/>
    <mergeCell ref="K2:O2"/>
    <mergeCell ref="AO2:AW2"/>
    <mergeCell ref="AY2:BC2"/>
    <mergeCell ref="S9:S10"/>
  </mergeCells>
  <conditionalFormatting sqref="CB4:XFD30 BW4:BW28 BS4:BT28 W29:AX29 A33:F57 J33:R33 A11:R32 A2:T10 V2:AO2 AX2 BP29:BW29 A63:XFD1048576 T12:T37 U35:XFD37 BD2:BD29 BM31:XFD33 BM30:BW30 BH29:BI33 BH2:XFD3 U30:BD30 AR31:BD31 W3:AM28 A58:BD62 BH38:XFD62 J34:S37 BH34:XFD34 A1:AN1 AV1:XFD1 AO31:AP31 U33:BD34 AM31 U31:AG32 AK32:BD32 AO3:AX26 J43:BD57 J42:M42 O42:BD42 J38:BD41 AO27:AO28 AQ27:AX28">
    <cfRule type="containsErrors" dxfId="213" priority="14">
      <formula>ISERROR(A1)</formula>
    </cfRule>
  </conditionalFormatting>
  <conditionalFormatting sqref="G33:I34 G35:H57">
    <cfRule type="containsErrors" dxfId="212" priority="13">
      <formula>ISERROR(G33)</formula>
    </cfRule>
  </conditionalFormatting>
  <conditionalFormatting sqref="T12:T33">
    <cfRule type="containsErrors" dxfId="211" priority="12">
      <formula>ISERROR(T12)</formula>
    </cfRule>
  </conditionalFormatting>
  <conditionalFormatting sqref="I35:I57">
    <cfRule type="containsErrors" dxfId="210" priority="11">
      <formula>ISERROR(I35)</formula>
    </cfRule>
  </conditionalFormatting>
  <conditionalFormatting sqref="AY2:BC29">
    <cfRule type="containsErrors" dxfId="209" priority="8">
      <formula>ISERROR(AY2)</formula>
    </cfRule>
  </conditionalFormatting>
  <conditionalFormatting sqref="BE10:BG11 BE12:BF34">
    <cfRule type="containsErrors" dxfId="208" priority="10">
      <formula>ISERROR(BE10)</formula>
    </cfRule>
  </conditionalFormatting>
  <conditionalFormatting sqref="BG12:BG28 BG34">
    <cfRule type="containsErrors" dxfId="207" priority="9">
      <formula>ISERROR(BG12)</formula>
    </cfRule>
  </conditionalFormatting>
  <conditionalFormatting sqref="BE2:BG6">
    <cfRule type="containsErrors" dxfId="206" priority="7">
      <formula>ISERROR(BE2)</formula>
    </cfRule>
  </conditionalFormatting>
  <conditionalFormatting sqref="BF7:BG8">
    <cfRule type="containsErrors" dxfId="205" priority="5">
      <formula>ISERROR(BF7)</formula>
    </cfRule>
  </conditionalFormatting>
  <conditionalFormatting sqref="BE7:BE8">
    <cfRule type="containsErrors" dxfId="204" priority="6">
      <formula>ISERROR(BE7)</formula>
    </cfRule>
  </conditionalFormatting>
  <conditionalFormatting sqref="S30:S33">
    <cfRule type="containsErrors" dxfId="203" priority="4">
      <formula>ISERROR(S30)</formula>
    </cfRule>
  </conditionalFormatting>
  <conditionalFormatting sqref="AP27:AP28">
    <cfRule type="containsErrors" dxfId="202" priority="3">
      <formula>ISERROR(AP27)</formula>
    </cfRule>
  </conditionalFormatting>
  <conditionalFormatting sqref="BG29:BG32">
    <cfRule type="containsErrors" dxfId="201" priority="2">
      <formula>ISERROR(BG29)</formula>
    </cfRule>
  </conditionalFormatting>
  <conditionalFormatting sqref="BG33">
    <cfRule type="containsErrors" dxfId="200" priority="1">
      <formula>ISERROR(BG33)</formula>
    </cfRule>
  </conditionalFormatting>
  <pageMargins left="0.7" right="0.7" top="0.75" bottom="0.75" header="0.3" footer="0.3"/>
  <pageSetup paperSize="9"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theme="4" tint="0.79998168889431442"/>
  </sheetPr>
  <dimension ref="A1:BH57"/>
  <sheetViews>
    <sheetView topLeftCell="AG1" zoomScale="55" zoomScaleNormal="55" workbookViewId="0">
      <pane ySplit="1" topLeftCell="A29" activePane="bottomLeft" state="frozen"/>
      <selection activeCell="AG8" sqref="AG8:AG10"/>
      <selection pane="bottomLeft" activeCell="AG8" sqref="AG8:AG10"/>
    </sheetView>
  </sheetViews>
  <sheetFormatPr defaultRowHeight="15" x14ac:dyDescent="0.25"/>
  <cols>
    <col min="1" max="1" width="8.28515625" customWidth="1"/>
    <col min="2" max="2" width="7.28515625" customWidth="1"/>
    <col min="4" max="4" width="6.5703125" customWidth="1"/>
    <col min="7" max="7" width="24" customWidth="1"/>
    <col min="8" max="8" width="30.5703125" customWidth="1"/>
    <col min="9" max="9" width="26.5703125" customWidth="1"/>
    <col min="10" max="10" width="10.5703125" bestFit="1" customWidth="1"/>
    <col min="11" max="11" width="9.140625" customWidth="1"/>
    <col min="13" max="13" width="7.85546875" customWidth="1"/>
    <col min="17" max="17" width="19.5703125" customWidth="1"/>
    <col min="18" max="18" width="11.85546875" customWidth="1"/>
    <col min="19" max="19" width="16.5703125" customWidth="1"/>
    <col min="20" max="20" width="14.140625" customWidth="1"/>
    <col min="35" max="35" width="14" customWidth="1"/>
    <col min="36" max="37" width="12" customWidth="1"/>
    <col min="39" max="39" width="19" customWidth="1"/>
    <col min="43" max="43" width="18" style="7" customWidth="1"/>
    <col min="49" max="49" width="11.28515625" customWidth="1"/>
    <col min="52" max="52" width="12" customWidth="1"/>
    <col min="54" max="54" width="10.7109375" bestFit="1" customWidth="1"/>
    <col min="56" max="56" width="4.5703125" customWidth="1"/>
    <col min="57" max="57" width="21.28515625" customWidth="1"/>
    <col min="58" max="58" width="15.42578125" customWidth="1"/>
    <col min="59" max="59" width="19.28515625" customWidth="1"/>
    <col min="61" max="61" width="5.7109375" customWidth="1"/>
    <col min="62" max="62" width="13" customWidth="1"/>
    <col min="63" max="63" width="17.42578125" customWidth="1"/>
  </cols>
  <sheetData>
    <row r="1" spans="1:60" x14ac:dyDescent="0.25">
      <c r="A1" s="1" t="s">
        <v>0</v>
      </c>
      <c r="B1" s="2">
        <f>VLOOKUP(Stn_WL,OFFSET_A,Count_WL+1,FALSE)</f>
        <v>2</v>
      </c>
      <c r="C1" s="3"/>
      <c r="D1" s="4"/>
      <c r="E1" s="4" t="s">
        <v>1</v>
      </c>
      <c r="F1" s="5">
        <v>6</v>
      </c>
      <c r="G1" s="4"/>
      <c r="H1" s="4"/>
      <c r="I1" s="4"/>
      <c r="J1" s="4"/>
      <c r="K1" s="4"/>
      <c r="L1" s="4"/>
      <c r="M1" s="4"/>
      <c r="N1" s="4"/>
      <c r="O1" s="4"/>
      <c r="P1" s="4"/>
      <c r="Q1" s="4"/>
      <c r="R1" s="4"/>
      <c r="S1" s="4"/>
      <c r="V1" t="s">
        <v>2</v>
      </c>
      <c r="W1">
        <f ca="1">COUNTIF(OFFSET(Z4,,,ROUNDDOWN(Max_STN_count/2+1,0),1),TRUE)</f>
        <v>5</v>
      </c>
      <c r="X1">
        <f ca="1">COUNTIF(OFFSET(AA4,,,ROUNDDOWN(Max_STN_count/2+1,0),1),TRUE)</f>
        <v>5</v>
      </c>
      <c r="Y1">
        <f ca="1">W1-X1</f>
        <v>0</v>
      </c>
      <c r="AB1" s="6" t="s">
        <v>3</v>
      </c>
      <c r="AC1">
        <f ca="1">COUNTIF(OFFSET(Z4,ROUNDUP(Max_STN_count/2,0),,ROUNDDOWN(Max_STN_count/2,0),1),TRUE)</f>
        <v>5</v>
      </c>
      <c r="AD1">
        <f ca="1">COUNTIF(OFFSET(AA4,ROUNDUP(Max_STN_count/2,0),,ROUNDDOWN(Max_STN_count/2,0),1),TRUE)</f>
        <v>5</v>
      </c>
      <c r="AE1">
        <f ca="1">AC1-AD1</f>
        <v>0</v>
      </c>
      <c r="AG1" t="s">
        <v>4</v>
      </c>
      <c r="AH1">
        <f>COUNTIF(AG4:AG28,TRUE)</f>
        <v>17</v>
      </c>
      <c r="AI1">
        <f ca="1">COUNTIF(OFFSET(AG4,,,ROUNDUP(Max_STN_count/2,0),1),FALSE)</f>
        <v>4</v>
      </c>
      <c r="AW1">
        <f ca="1">COUNTIF(OFFSET(AG4,,,Max_STN_count,1),TRUE)</f>
        <v>17</v>
      </c>
    </row>
    <row r="2" spans="1:60" x14ac:dyDescent="0.25">
      <c r="A2" s="491" t="s">
        <v>5</v>
      </c>
      <c r="B2" s="492"/>
      <c r="C2" s="492"/>
      <c r="D2" s="492"/>
      <c r="E2" s="492"/>
      <c r="F2" s="492"/>
      <c r="G2" s="492"/>
      <c r="H2" s="492"/>
      <c r="I2" s="493"/>
      <c r="J2" s="4"/>
      <c r="K2" s="491" t="s">
        <v>6</v>
      </c>
      <c r="L2" s="492"/>
      <c r="M2" s="492"/>
      <c r="N2" s="492"/>
      <c r="O2" s="493"/>
      <c r="P2" s="4"/>
      <c r="Q2" s="8" t="s">
        <v>7</v>
      </c>
      <c r="R2" s="9" t="s">
        <v>8</v>
      </c>
      <c r="S2" s="10">
        <f>WLS</f>
        <v>2</v>
      </c>
      <c r="V2" s="11"/>
      <c r="W2" s="11"/>
      <c r="X2" s="11"/>
      <c r="Y2" s="11"/>
      <c r="Z2" s="11"/>
      <c r="AA2" s="11"/>
      <c r="AB2" s="11"/>
      <c r="AC2" s="11"/>
      <c r="AD2" s="11"/>
      <c r="AE2" s="11"/>
      <c r="AF2" s="11"/>
      <c r="AG2" s="11"/>
      <c r="AH2" s="11"/>
      <c r="AI2" s="11"/>
      <c r="AJ2" s="11"/>
      <c r="AK2" s="11"/>
      <c r="AL2" s="11"/>
      <c r="AM2" s="11"/>
      <c r="AN2" s="11"/>
      <c r="AO2" s="491" t="s">
        <v>5</v>
      </c>
      <c r="AP2" s="492"/>
      <c r="AQ2" s="492"/>
      <c r="AR2" s="492"/>
      <c r="AS2" s="492"/>
      <c r="AT2" s="492"/>
      <c r="AU2" s="492"/>
      <c r="AV2" s="492"/>
      <c r="AW2" s="493"/>
      <c r="AY2" s="491" t="s">
        <v>6</v>
      </c>
      <c r="AZ2" s="492"/>
      <c r="BA2" s="492"/>
      <c r="BB2" s="492"/>
      <c r="BC2" s="493"/>
      <c r="BE2" s="8" t="s">
        <v>7</v>
      </c>
      <c r="BF2" s="9" t="s">
        <v>8</v>
      </c>
      <c r="BG2" s="10">
        <f>WLS</f>
        <v>2</v>
      </c>
    </row>
    <row r="3" spans="1:60" x14ac:dyDescent="0.25">
      <c r="A3" s="12" t="s">
        <v>9</v>
      </c>
      <c r="B3" s="13" t="s">
        <v>10</v>
      </c>
      <c r="C3" s="14" t="s">
        <v>11</v>
      </c>
      <c r="D3" s="14" t="s">
        <v>12</v>
      </c>
      <c r="E3" s="14" t="s">
        <v>13</v>
      </c>
      <c r="F3" s="14" t="s">
        <v>14</v>
      </c>
      <c r="G3" s="14" t="s">
        <v>15</v>
      </c>
      <c r="H3" s="14" t="s">
        <v>16</v>
      </c>
      <c r="I3" s="14" t="s">
        <v>17</v>
      </c>
      <c r="J3" s="15"/>
      <c r="K3" s="14" t="s">
        <v>18</v>
      </c>
      <c r="L3" s="14" t="s">
        <v>19</v>
      </c>
      <c r="M3" s="14" t="s">
        <v>20</v>
      </c>
      <c r="N3" s="14" t="s">
        <v>21</v>
      </c>
      <c r="O3" s="14" t="s">
        <v>22</v>
      </c>
      <c r="P3" s="15"/>
      <c r="Q3" s="16" t="s">
        <v>23</v>
      </c>
      <c r="R3" s="9" t="s">
        <v>8</v>
      </c>
      <c r="S3" s="10">
        <f>STN_GAP</f>
        <v>7.31</v>
      </c>
      <c r="W3" s="17" t="s">
        <v>11</v>
      </c>
      <c r="X3" s="17"/>
      <c r="Y3" s="17"/>
      <c r="Z3" s="17" t="s">
        <v>24</v>
      </c>
      <c r="AA3" s="17"/>
      <c r="AB3" s="17"/>
      <c r="AC3" s="17"/>
      <c r="AD3" s="17"/>
      <c r="AE3" s="17"/>
      <c r="AF3" s="17"/>
      <c r="AG3" s="17" t="s">
        <v>4</v>
      </c>
      <c r="AH3" s="17"/>
      <c r="AI3" s="17" t="s">
        <v>25</v>
      </c>
      <c r="AJ3" s="17"/>
      <c r="AK3" s="17"/>
      <c r="AL3" s="17"/>
      <c r="AM3" s="18" t="s">
        <v>11</v>
      </c>
      <c r="AO3" s="12" t="s">
        <v>9</v>
      </c>
      <c r="AP3" s="13" t="s">
        <v>10</v>
      </c>
      <c r="AQ3" s="19"/>
      <c r="AR3" s="14" t="s">
        <v>12</v>
      </c>
      <c r="AS3" s="14" t="s">
        <v>13</v>
      </c>
      <c r="AT3" s="14" t="s">
        <v>14</v>
      </c>
      <c r="AU3" s="14" t="s">
        <v>15</v>
      </c>
      <c r="AV3" s="14" t="s">
        <v>16</v>
      </c>
      <c r="AW3" s="14" t="s">
        <v>17</v>
      </c>
      <c r="AY3" s="14" t="s">
        <v>18</v>
      </c>
      <c r="AZ3" s="14" t="s">
        <v>19</v>
      </c>
      <c r="BA3" s="14" t="s">
        <v>20</v>
      </c>
      <c r="BB3" s="14" t="s">
        <v>21</v>
      </c>
      <c r="BC3" s="14" t="s">
        <v>22</v>
      </c>
      <c r="BE3" s="16" t="s">
        <v>23</v>
      </c>
      <c r="BF3" s="9" t="s">
        <v>8</v>
      </c>
      <c r="BG3" s="10">
        <f>STN_GAP</f>
        <v>7.31</v>
      </c>
    </row>
    <row r="4" spans="1:60" x14ac:dyDescent="0.25">
      <c r="A4" s="20">
        <f>Tools!$AD3</f>
        <v>0</v>
      </c>
      <c r="B4" s="21">
        <f t="shared" ref="B4:B28" si="0">VLOOKUP(A4,OFFSET_A,Count_WL+1,FALSE)</f>
        <v>0</v>
      </c>
      <c r="C4" s="22">
        <f>IF(A4="  ","  ",IF(A5="  ","?",1*(A5-A4)))</f>
        <v>0.5</v>
      </c>
      <c r="D4" s="23">
        <f>IFERROR(B4*C4,"  ")</f>
        <v>0</v>
      </c>
      <c r="E4" s="24">
        <f t="shared" ref="E4:E28" si="1">IFERROR(A4-(Long_Div/2),"  ")</f>
        <v>-10</v>
      </c>
      <c r="F4" s="23">
        <f>IFERROR(D4*E4,"  ")</f>
        <v>0</v>
      </c>
      <c r="G4" s="23">
        <f>IFERROR(F4*E4,"  ")</f>
        <v>0</v>
      </c>
      <c r="H4" s="23">
        <f>IFERROR(B4^3,"  ")</f>
        <v>0</v>
      </c>
      <c r="I4" s="23">
        <f>IFERROR(H4*C4,"  ")</f>
        <v>0</v>
      </c>
      <c r="J4" s="4"/>
      <c r="K4" s="25">
        <f t="shared" ref="K4:K28" si="2">VLOOKUP(A4,AREA_TABLE,Count_WL+1,FALSE)</f>
        <v>0</v>
      </c>
      <c r="L4" s="23">
        <f>IFERROR(K4*C4,"  ")</f>
        <v>0</v>
      </c>
      <c r="M4" s="26">
        <f t="shared" ref="M4:M28" si="3">VLOOKUP(A4,MOMENT_TABLE,Count_WL+1,FALSE)</f>
        <v>0</v>
      </c>
      <c r="N4" s="27">
        <f>IFERROR(M4*C4,"  ")</f>
        <v>0</v>
      </c>
      <c r="O4" s="23">
        <f>IFERROR(L4*E4,"  ")</f>
        <v>0</v>
      </c>
      <c r="P4" s="4"/>
      <c r="Q4" s="16" t="s">
        <v>26</v>
      </c>
      <c r="R4" s="9" t="s">
        <v>8</v>
      </c>
      <c r="S4" s="28">
        <f>LBP</f>
        <v>146.19999999999999</v>
      </c>
      <c r="W4" s="29">
        <f>IF(AO4="  ","  ",IF(AO5="  ","?",1*(AO5-AO4)))</f>
        <v>0.5</v>
      </c>
      <c r="X4" s="30" t="str">
        <f t="shared" ref="X4:X28" si="4">IF(Y4=0,"--",CONCATENATE(IF(AO4=0,"-",IF(Y3=0,"-",IF(AO4-AO3=0.5,"D",IF(AO4-AO3=1,"W","-")))),IF(AO4=Long_Div,"-",IF(Y5=0,"-",IF(AO5-AO4=0.5,"D",IF(AO5-AO4=1,"W","-"))))))</f>
        <v>-D</v>
      </c>
      <c r="Y4" s="30" t="str">
        <f t="shared" ref="Y4:Y28" si="5">IF(ISNUMBER(AO4),IF(AO4=Long_Div/2,"-",IF(AND(AO4=Long_Div,$AP4=0,$AP3=0),0,IF(AND(AO4=0,$AP4=0,$AP5=0),0,IF($AO4&lt;Long_Div/2,IF(AND(Y3=0,$AP4=0,$AP5=0),0,"-"),IF(AND(Y5=0,$AP4=0,$AP3=0),0,"-")))))," ")</f>
        <v>-</v>
      </c>
      <c r="Z4" s="29" t="b">
        <f t="shared" ref="Z4:Z28" si="6">IF(ISNUMBER(AO4),IF(AO4=0,IF(AO5=0.5,TRUE,FALSE),IF(AO4=Long_Div,IF(AO3=Long_Div-0.5,TRUE,FALSE),IF(OR(AO5-AO4=0.5,AO4-AO3=0.5),TRUE,FALSE)))," ")</f>
        <v>1</v>
      </c>
      <c r="AA4" s="29" t="b">
        <f t="shared" ref="AA4:AA28" si="7">IF(ISNUMBER(AO4),IF(Y4=0," ",IF(AO4=0,IF(AO5=0.5,TRUE,"-"),IF(AO4=Long_Div,IF(AO3=Long_Div-0.5,TRUE,"-"),IF(OR(AO5-AO4=0.5,AO4-AO3=0.5),TRUE,FALSE))))," ")</f>
        <v>1</v>
      </c>
      <c r="AB4" s="29" t="str">
        <f t="shared" ref="AB4:AB28" ca="1" si="8">IF(AO4&lt;=Long_Div/2,IF(ISNUMBER(AO4),IF($X$1=0,"---",IF($X$1=1,"##",IF($X$1=2,IF(AD4=1,"141-4",IF(OR(AD4=0,AD4=2),"141-1","**")),IF(AC4&lt;=($Y$1),"--",IF(AC4&gt;$W$1,"++",IF(ISODD($X$1),IF(OR(AD4=1,AD4=$X$1),"141-1",IF(ISODD(AD4),"141-2",IF(ISEVEN(AD4),"141-4","+"))),IF(ISEVEN($X$1),IF(AD4=1,"1331-1",IF(OR(AD4=2,AD4=3),"1331-3",IF(AD4=4,IF($X$1=4,"1331-1","1331-1,141-1"),IF(AD4=$X$1,"141-1",IF(AD4&lt;=4,"??",IF(ISODD(AD4),"141-4",IF(ISEVEN(AD4),"141-2","SS"))))))))))))))," "),IF(AO4&gt;Long_Div/2,IF(ISNUMBER(AO4),IF($AD$1=0,"---",IF($AD$1=1,"##",IF($AD$1=2,IF(AD4=1,"141-4",IF(OR(AD4=0,AD4=2),"141-1","**")),IF(AC4&lt;=($AE$1),"--",IF(AC4&gt;$AC$1,"++",IF(ISODD($AD$1),IF(OR(AD4=1,AD4=$AD$1),"141-1",IF(ISODD(AD4),"141-2",IF(ISEVEN(AD4),"141-4","+"))),IF(ISEVEN($AD$1),IF(AD4=1,"1331-1",IF(OR(AD4=2,AD4=3),"1331-3",IF(AD4=4,IF($AD$1=4,"1331-1","1331-1,141-1"),IF(AD4=$AD$1,"141-1",IF(AD4&lt;=4,"??",IF(ISODD(AD4),"141-4",IF(ISEVEN(AD4),"141-2","SS"))))))))))))))," "),"@"))</f>
        <v>141-1</v>
      </c>
      <c r="AC4" s="29">
        <f>IF(ISNUMBER(AO4),IF(ISNUMBER(AO4),IF(OR(AO4=0,AO4=Long_Div),1,IF(AO4&gt;Long_Div/2,AC5+1,IF(AO4&lt;=Long_Div/2,AE3+1,"?")))," --")," ")</f>
        <v>1</v>
      </c>
      <c r="AD4" s="29">
        <f t="shared" ref="AD4:AD28" ca="1" si="9">IF(ISNUMBER(AO4),IF(AO4&gt;Long_Div/2,4-ROW(AD4)+Max_STN_count-$AE$1,ROW(AD4)-3-$Y$1)," ")</f>
        <v>1</v>
      </c>
      <c r="AE4" s="29">
        <v>1</v>
      </c>
      <c r="AF4" s="31" t="str">
        <f t="shared" ref="AF4:AF8" si="10">IF(AND(AG4=TRUE,OR(NOT(AG3=TRUE),AG3="Full")),1,IF(ISNUMBER(AF3),AF3+1," "))</f>
        <v xml:space="preserve"> </v>
      </c>
      <c r="AG4" s="29" t="b">
        <f t="shared" ref="AG4:AG28" si="11">IF(ISNUMBER(AO4),IF(AA4=" "," ",IF(AO4=0,IF(AO5-AO4=1,TRUE,FALSE),IF(AO4=Long_Div,IF(AO4-AO3=1,TRUE,FALSE),IF(OR(AO5-AO4=1,AO4-AO3=1),TRUE,FALSE))))," ")</f>
        <v>0</v>
      </c>
      <c r="AH4" s="30" t="str">
        <f t="shared" ref="AH4:AH13" si="12">IF(AND(AG4=TRUE,$AH$1=1),"141-4",IF(AG4=" ",IF(AND($AH$1=2,AF4=3),"141-1","-"),IF(OR(AG4=FALSE,AG4=" "),"-",IF(AG4=TRUE,IF(AND($AH$1=2,AF4=1),"141-1",IF(AND($AH$1=2,AF4=2),"141-4",IF(OR(ISODD($AH$1),AF4&gt;4),IF(AF4=1,"141-1",IF(OR(AB4="141-1",AB4="1331-1",AB4="1331-1,141-1"),"141-1",IF(AG5=" ","141-1",IF(OR(AH3="141-1",AH3="141-2",AH3="1331-1,141-1"),"141-4",IF(AH3="141-4","141-2","$$"))))),IF(ISEVEN($AH$1),IF(AF4=1,"1331-1",IF(OR(AF4=2,AF4=3),"1331-3",IF(AF4=4,IF($AH$1=4,"1331-1","1331-1,141-1"),"")))))))))))</f>
        <v>-</v>
      </c>
      <c r="AI4" s="30" t="str">
        <f t="shared" ref="AI4:AI28" ca="1" si="13">IF(OR(AB4="1331-1",AB4="1331-1,141-1"),"(1/2)*(3/8)",IF(AB4="1331-3","(1/2)*(9/8)",IF(AB4="141-1","(1/2)*(1/3)",IF(AB4="141-2","(1/2)*(2/3)",IF(AB4="141-4","(1/2)*(4/3)","")))))</f>
        <v>(1/2)*(1/3)</v>
      </c>
      <c r="AJ4" s="29">
        <f t="shared" ref="AJ4:AJ28" ca="1" si="14">IF(OR(AB4="1331-1",AB4="1331-1,141-1"),(1/2)*(3/8),IF(AB4="1331-3",(1/2)*(9/8),IF(AB4="141-1",(1/2)*(1/3),IF(AB4="141-2",(1/2)*(2/3),IF(AB4="141-4",(1/2)*(4/3),0)))))</f>
        <v>0.16666666666666666</v>
      </c>
      <c r="AK4" s="29" t="str">
        <f t="shared" ref="AK4:AK28" si="15">IF(AH4="1331-1,141-1","(1*3/8)+(1/3)",IF(LEFT(AH4,4)="141-",CONCATENATE(RIGHT(AH4,1),"/3"),IF(LEFT(AH4,4)="1331",CONCATENATE(RIGHT(AH4,1),"*3/8"),"")))</f>
        <v/>
      </c>
      <c r="AL4" s="29">
        <f t="shared" ref="AL4:AL28" si="16">IF(AH4="1331-1,141-1",(1*3/8)+(1/3),IF(LEFT(AH4,4)="141-",(RIGHT(AH4,1)/3),IF(LEFT(AH4,4)="1331",RIGHT(AH4,1)*3/8,0)))</f>
        <v>0</v>
      </c>
      <c r="AM4" s="32">
        <f ca="1">IF(AQ4=""," ",AJ4+AL4)</f>
        <v>0.16666666666666666</v>
      </c>
      <c r="AO4" s="20">
        <f>Tools!$AD3</f>
        <v>0</v>
      </c>
      <c r="AP4" s="33">
        <f t="shared" ref="AP4" si="17">VLOOKUP(AO4,OFFSET_A,Count_WL+1,FALSE)</f>
        <v>0</v>
      </c>
      <c r="AQ4" s="34" t="str">
        <f t="shared" ref="AQ4:AQ28" ca="1" si="18">CONCATENATE(AI4,IF(NOT(OR(AI4="",AK4="")),"+",""),AK4)</f>
        <v>(1/2)*(1/3)</v>
      </c>
      <c r="AR4" s="23">
        <f t="shared" ref="AR4:AR28" ca="1" si="19">IFERROR(AP4*AM4,"  ")</f>
        <v>0</v>
      </c>
      <c r="AS4" s="24">
        <f t="shared" ref="AS4:AS28" si="20">IFERROR(AO4-(Long_Div/2),"  ")</f>
        <v>-10</v>
      </c>
      <c r="AT4" s="23">
        <f ca="1">IFERROR(AR4*AS4,"  ")</f>
        <v>0</v>
      </c>
      <c r="AU4" s="23">
        <f ca="1">IFERROR(AT4*AS4,"  ")</f>
        <v>0</v>
      </c>
      <c r="AV4" s="23">
        <f t="shared" ref="AV4:AV28" si="21">IFERROR(AP4^3,"  ")</f>
        <v>0</v>
      </c>
      <c r="AW4" s="23">
        <f t="shared" ref="AW4:AW28" ca="1" si="22">IFERROR(AV4*AM4,"  ")</f>
        <v>0</v>
      </c>
      <c r="AY4" s="35">
        <f t="shared" ref="AY4:AY28" si="23">IF(ROW(AY4)-3&gt;Max_STN_count," ",VLOOKUP(AO4,AREA_TABLE,Count_WL+1,FALSE))</f>
        <v>0</v>
      </c>
      <c r="AZ4" s="23">
        <f t="shared" ref="AZ4:AZ7" ca="1" si="24">IFERROR(AY4*AM4,"  ")</f>
        <v>0</v>
      </c>
      <c r="BA4" s="36">
        <f t="shared" ref="BA4:BA28" si="25">IF(ROW(AY4)-3&gt;Max_STN_count," ",VLOOKUP(AO4,MOMENT_TABLE,Count_WL+1,FALSE))</f>
        <v>0</v>
      </c>
      <c r="BB4" s="27">
        <f ca="1">IFERROR(BA4*AM4,"  ")</f>
        <v>0</v>
      </c>
      <c r="BC4" s="23">
        <f ca="1">IFERROR(AZ4*AS4,"  ")</f>
        <v>0</v>
      </c>
      <c r="BE4" s="16" t="s">
        <v>26</v>
      </c>
      <c r="BF4" s="9" t="s">
        <v>8</v>
      </c>
      <c r="BG4" s="28">
        <f>LBP</f>
        <v>146.19999999999999</v>
      </c>
    </row>
    <row r="5" spans="1:60" x14ac:dyDescent="0.25">
      <c r="A5" s="20">
        <f>Tools!$AD4</f>
        <v>0.5</v>
      </c>
      <c r="B5" s="33">
        <f t="shared" si="0"/>
        <v>0.33</v>
      </c>
      <c r="C5" s="22">
        <f>IF(A5="  ","  ",IF(AND(A4="  ",A6="  "),"?",IF(A4="  ",2*(A6-A5),IF(A6="  ",2*(A5-A4),2*(A6-A4)))))</f>
        <v>2</v>
      </c>
      <c r="D5" s="23">
        <f t="shared" ref="D5:D28" si="26">IFERROR(B5*C5,"  ")</f>
        <v>0.66</v>
      </c>
      <c r="E5" s="24">
        <f t="shared" si="1"/>
        <v>-9.5</v>
      </c>
      <c r="F5" s="23">
        <f t="shared" ref="F5:F28" si="27">IFERROR(D5*E5,"  ")</f>
        <v>-6.2700000000000005</v>
      </c>
      <c r="G5" s="23">
        <f t="shared" ref="G5:G28" si="28">IFERROR(F5*E5,"  ")</f>
        <v>59.565000000000005</v>
      </c>
      <c r="H5" s="23">
        <f t="shared" ref="H5:H28" si="29">IFERROR(B5^3,"  ")</f>
        <v>3.5937000000000004E-2</v>
      </c>
      <c r="I5" s="23">
        <f t="shared" ref="I5:I28" si="30">IFERROR(H5*C5,"  ")</f>
        <v>7.1874000000000007E-2</v>
      </c>
      <c r="J5" s="4"/>
      <c r="K5" s="37">
        <f t="shared" si="2"/>
        <v>1.8733333333333333</v>
      </c>
      <c r="L5" s="23">
        <f t="shared" ref="L5:L28" si="31">IFERROR(K5*C5,"  ")</f>
        <v>3.7466666666666666</v>
      </c>
      <c r="M5" s="38">
        <f t="shared" si="3"/>
        <v>4.1366666666666667</v>
      </c>
      <c r="N5" s="27">
        <f t="shared" ref="N5:N28" si="32">IFERROR(M5*C5,"  ")</f>
        <v>8.2733333333333334</v>
      </c>
      <c r="O5" s="23">
        <f t="shared" ref="O5:O28" si="33">IFERROR(L5*E5,"  ")</f>
        <v>-35.593333333333334</v>
      </c>
      <c r="P5" s="4"/>
      <c r="Q5" s="8" t="s">
        <v>27</v>
      </c>
      <c r="R5" s="9" t="s">
        <v>8</v>
      </c>
      <c r="S5" s="10">
        <f>BREADTH</f>
        <v>22</v>
      </c>
      <c r="W5" s="29">
        <f>IF(AO5="  ","  ",IF(AND(AO4="  ",AO6="  "),"?",IF(AO4="  ",2*(AO6-AO5),IF(AO6="  ",2*(AO5-AO4),2*(AO6-AO4)))))</f>
        <v>2</v>
      </c>
      <c r="X5" s="30" t="str">
        <f t="shared" si="4"/>
        <v>DD</v>
      </c>
      <c r="Y5" s="30" t="str">
        <f t="shared" si="5"/>
        <v>-</v>
      </c>
      <c r="Z5" s="29" t="b">
        <f t="shared" si="6"/>
        <v>1</v>
      </c>
      <c r="AA5" s="29" t="b">
        <f t="shared" si="7"/>
        <v>1</v>
      </c>
      <c r="AB5" s="29" t="str">
        <f t="shared" ca="1" si="8"/>
        <v>141-4</v>
      </c>
      <c r="AC5" s="29">
        <f t="shared" ref="AC5:AC27" si="34">IF(ISNUMBER(AO5),IF(ISNUMBER(AO5),IF(OR(AO5=0,AO5=Long_Div),1,IF(AO5&gt;Long_Div/2,AC6+1,IF(AO5&lt;=Long_Div/2,AC4+1,"?")))," --")," ")</f>
        <v>2</v>
      </c>
      <c r="AD5" s="29">
        <f t="shared" ca="1" si="9"/>
        <v>2</v>
      </c>
      <c r="AE5" s="29">
        <v>2</v>
      </c>
      <c r="AF5" s="31" t="str">
        <f t="shared" si="10"/>
        <v xml:space="preserve"> </v>
      </c>
      <c r="AG5" s="29" t="b">
        <f t="shared" si="11"/>
        <v>0</v>
      </c>
      <c r="AH5" s="30" t="str">
        <f t="shared" si="12"/>
        <v>-</v>
      </c>
      <c r="AI5" s="30" t="str">
        <f t="shared" ca="1" si="13"/>
        <v>(1/2)*(4/3)</v>
      </c>
      <c r="AJ5" s="29">
        <f t="shared" ca="1" si="14"/>
        <v>0.66666666666666663</v>
      </c>
      <c r="AK5" s="29" t="str">
        <f t="shared" si="15"/>
        <v/>
      </c>
      <c r="AL5" s="29">
        <f t="shared" si="16"/>
        <v>0</v>
      </c>
      <c r="AM5" s="32">
        <f t="shared" ref="AM5:AM28" ca="1" si="35">IF(AQ5=""," ",AJ5+AL5)</f>
        <v>0.66666666666666663</v>
      </c>
      <c r="AO5" s="20">
        <f>Tools!$AD4</f>
        <v>0.5</v>
      </c>
      <c r="AP5" s="33">
        <f t="shared" ref="AP5:AP26" si="36">VLOOKUP(AO5,OFFSET_A,Count_WL+1,FALSE)</f>
        <v>0.33</v>
      </c>
      <c r="AQ5" s="34" t="str">
        <f t="shared" ca="1" si="18"/>
        <v>(1/2)*(4/3)</v>
      </c>
      <c r="AR5" s="23">
        <f t="shared" ca="1" si="19"/>
        <v>0.22</v>
      </c>
      <c r="AS5" s="24">
        <f t="shared" si="20"/>
        <v>-9.5</v>
      </c>
      <c r="AT5" s="23">
        <f t="shared" ref="AT5:AT28" ca="1" si="37">IFERROR(AR5*AS5,"  ")</f>
        <v>-2.09</v>
      </c>
      <c r="AU5" s="23">
        <f ca="1">IFERROR(AT5*AS5,"  ")</f>
        <v>19.854999999999997</v>
      </c>
      <c r="AV5" s="23">
        <f t="shared" si="21"/>
        <v>3.5937000000000004E-2</v>
      </c>
      <c r="AW5" s="23">
        <f t="shared" ca="1" si="22"/>
        <v>2.3958E-2</v>
      </c>
      <c r="AY5" s="35">
        <f t="shared" si="23"/>
        <v>1.8733333333333333</v>
      </c>
      <c r="AZ5" s="23">
        <f t="shared" ca="1" si="24"/>
        <v>1.2488888888888887</v>
      </c>
      <c r="BA5" s="36">
        <f t="shared" si="25"/>
        <v>4.1366666666666667</v>
      </c>
      <c r="BB5" s="27">
        <f t="shared" ref="BB5:BB28" ca="1" si="38">IFERROR(BA5*AM5,"  ")</f>
        <v>2.7577777777777777</v>
      </c>
      <c r="BC5" s="23">
        <f t="shared" ref="BC5:BC28" ca="1" si="39">IFERROR(AZ5*AS5,"  ")</f>
        <v>-11.864444444444443</v>
      </c>
      <c r="BE5" s="8" t="s">
        <v>27</v>
      </c>
      <c r="BF5" s="9" t="s">
        <v>8</v>
      </c>
      <c r="BG5" s="10">
        <f>BREADTH</f>
        <v>22</v>
      </c>
    </row>
    <row r="6" spans="1:60" x14ac:dyDescent="0.25">
      <c r="A6" s="20">
        <f>Tools!$AD5</f>
        <v>1</v>
      </c>
      <c r="B6" s="33">
        <f t="shared" si="0"/>
        <v>1.44</v>
      </c>
      <c r="C6" s="22">
        <f>IF(A6="  ","  ",IF(AND(A5="  ",A7="  "),"?",IF(A5="  ",1*(A7-A6),IF(A7="  ",1*(A6-A5),1*(A7-A5)))))</f>
        <v>1</v>
      </c>
      <c r="D6" s="23">
        <f t="shared" si="26"/>
        <v>1.44</v>
      </c>
      <c r="E6" s="24">
        <f t="shared" si="1"/>
        <v>-9</v>
      </c>
      <c r="F6" s="23">
        <f t="shared" si="27"/>
        <v>-12.959999999999999</v>
      </c>
      <c r="G6" s="23">
        <f t="shared" si="28"/>
        <v>116.63999999999999</v>
      </c>
      <c r="H6" s="23">
        <f t="shared" si="29"/>
        <v>2.9859839999999997</v>
      </c>
      <c r="I6" s="23">
        <f t="shared" si="30"/>
        <v>2.9859839999999997</v>
      </c>
      <c r="J6" s="4"/>
      <c r="K6" s="37">
        <f t="shared" si="2"/>
        <v>7.37</v>
      </c>
      <c r="L6" s="23">
        <f t="shared" si="31"/>
        <v>7.37</v>
      </c>
      <c r="M6" s="38">
        <f t="shared" si="3"/>
        <v>17.556666666666665</v>
      </c>
      <c r="N6" s="27">
        <f t="shared" si="32"/>
        <v>17.556666666666665</v>
      </c>
      <c r="O6" s="23">
        <f t="shared" si="33"/>
        <v>-66.33</v>
      </c>
      <c r="P6" s="4"/>
      <c r="Q6" s="8" t="s">
        <v>28</v>
      </c>
      <c r="R6" s="9" t="s">
        <v>8</v>
      </c>
      <c r="S6" s="10">
        <f>DEPTH</f>
        <v>13</v>
      </c>
      <c r="W6" s="29">
        <f>IF(AO6="  ","  ",IF(AND(AO5="  ",AO7="  "),"?",IF(AO5="  ",1*(AO7-AO6),IF(AO7="  ",1*(AO6-AO5),1*(AO7-AO5)))))</f>
        <v>1</v>
      </c>
      <c r="X6" s="30" t="str">
        <f t="shared" si="4"/>
        <v>DD</v>
      </c>
      <c r="Y6" s="30" t="str">
        <f t="shared" si="5"/>
        <v>-</v>
      </c>
      <c r="Z6" s="29" t="b">
        <f t="shared" si="6"/>
        <v>1</v>
      </c>
      <c r="AA6" s="29" t="b">
        <f t="shared" si="7"/>
        <v>1</v>
      </c>
      <c r="AB6" s="29" t="str">
        <f t="shared" ca="1" si="8"/>
        <v>141-2</v>
      </c>
      <c r="AC6" s="29">
        <f t="shared" si="34"/>
        <v>3</v>
      </c>
      <c r="AD6" s="29">
        <f t="shared" ca="1" si="9"/>
        <v>3</v>
      </c>
      <c r="AE6" s="29">
        <v>3</v>
      </c>
      <c r="AF6" s="31" t="str">
        <f t="shared" si="10"/>
        <v xml:space="preserve"> </v>
      </c>
      <c r="AG6" s="29" t="b">
        <f t="shared" si="11"/>
        <v>0</v>
      </c>
      <c r="AH6" s="30" t="str">
        <f t="shared" si="12"/>
        <v>-</v>
      </c>
      <c r="AI6" s="30" t="str">
        <f t="shared" ca="1" si="13"/>
        <v>(1/2)*(2/3)</v>
      </c>
      <c r="AJ6" s="29">
        <f t="shared" ca="1" si="14"/>
        <v>0.33333333333333331</v>
      </c>
      <c r="AK6" s="29" t="str">
        <f t="shared" si="15"/>
        <v/>
      </c>
      <c r="AL6" s="29">
        <f t="shared" si="16"/>
        <v>0</v>
      </c>
      <c r="AM6" s="32">
        <f t="shared" ca="1" si="35"/>
        <v>0.33333333333333331</v>
      </c>
      <c r="AO6" s="20">
        <f>Tools!$AD5</f>
        <v>1</v>
      </c>
      <c r="AP6" s="33">
        <f t="shared" si="36"/>
        <v>1.44</v>
      </c>
      <c r="AQ6" s="34" t="str">
        <f t="shared" ca="1" si="18"/>
        <v>(1/2)*(2/3)</v>
      </c>
      <c r="AR6" s="23">
        <f t="shared" ca="1" si="19"/>
        <v>0.48</v>
      </c>
      <c r="AS6" s="24">
        <f t="shared" si="20"/>
        <v>-9</v>
      </c>
      <c r="AT6" s="23">
        <f t="shared" ca="1" si="37"/>
        <v>-4.32</v>
      </c>
      <c r="AU6" s="23">
        <f ca="1">IFERROR(AT6*AS6,"  ")</f>
        <v>38.880000000000003</v>
      </c>
      <c r="AV6" s="23">
        <f t="shared" si="21"/>
        <v>2.9859839999999997</v>
      </c>
      <c r="AW6" s="23">
        <f t="shared" ca="1" si="22"/>
        <v>0.99532799999999988</v>
      </c>
      <c r="AY6" s="35">
        <f t="shared" si="23"/>
        <v>7.37</v>
      </c>
      <c r="AZ6" s="23">
        <f t="shared" ca="1" si="24"/>
        <v>2.4566666666666666</v>
      </c>
      <c r="BA6" s="36">
        <f t="shared" si="25"/>
        <v>17.556666666666665</v>
      </c>
      <c r="BB6" s="27">
        <f t="shared" ca="1" si="38"/>
        <v>5.8522222222222213</v>
      </c>
      <c r="BC6" s="23">
        <f t="shared" ca="1" si="39"/>
        <v>-22.11</v>
      </c>
      <c r="BE6" s="8" t="s">
        <v>28</v>
      </c>
      <c r="BF6" s="9" t="s">
        <v>8</v>
      </c>
      <c r="BG6" s="10">
        <f>DEPTH</f>
        <v>13</v>
      </c>
    </row>
    <row r="7" spans="1:60" x14ac:dyDescent="0.25">
      <c r="A7" s="20">
        <f>Tools!$AD6</f>
        <v>1.5</v>
      </c>
      <c r="B7" s="33">
        <f t="shared" si="0"/>
        <v>2.81</v>
      </c>
      <c r="C7" s="22">
        <f>IF(A7="  ","  ",IF(AND(A6="  ",A8="  "),"?",IF(A6="  ",2*(A8-A7),IF(A8="  ",2*(A7-A6),2*(A8-A6)))))</f>
        <v>2</v>
      </c>
      <c r="D7" s="23">
        <f t="shared" si="26"/>
        <v>5.62</v>
      </c>
      <c r="E7" s="24">
        <f t="shared" si="1"/>
        <v>-8.5</v>
      </c>
      <c r="F7" s="23">
        <f t="shared" si="27"/>
        <v>-47.77</v>
      </c>
      <c r="G7" s="23">
        <f t="shared" si="28"/>
        <v>406.04500000000002</v>
      </c>
      <c r="H7" s="23">
        <f t="shared" si="29"/>
        <v>22.188041000000002</v>
      </c>
      <c r="I7" s="23">
        <f t="shared" si="30"/>
        <v>44.376082000000004</v>
      </c>
      <c r="J7" s="4"/>
      <c r="K7" s="37">
        <f t="shared" si="2"/>
        <v>14.573333333333332</v>
      </c>
      <c r="L7" s="23">
        <f t="shared" si="31"/>
        <v>29.146666666666665</v>
      </c>
      <c r="M7" s="38">
        <f t="shared" si="3"/>
        <v>34.803333333333327</v>
      </c>
      <c r="N7" s="27">
        <f t="shared" si="32"/>
        <v>69.606666666666655</v>
      </c>
      <c r="O7" s="23">
        <f t="shared" si="33"/>
        <v>-247.74666666666664</v>
      </c>
      <c r="P7" s="4"/>
      <c r="Q7" s="39" t="s">
        <v>29</v>
      </c>
      <c r="R7" s="40" t="s">
        <v>8</v>
      </c>
      <c r="S7" s="41">
        <f>IF(MAX(B4:B28)=0," ",2*MAX(B4:B28))</f>
        <v>22</v>
      </c>
      <c r="W7" s="29">
        <f>IF(AO7="  ","  ",IF(AND(AO6="  ",AO8="  "),"?",IF(AO6="  ",2*(AO8-AO7),IF(AO8="  ",2*(AO7-AO6),2*(AO8-AO6)))))</f>
        <v>2</v>
      </c>
      <c r="X7" s="30" t="str">
        <f t="shared" si="4"/>
        <v>DD</v>
      </c>
      <c r="Y7" s="30" t="str">
        <f t="shared" si="5"/>
        <v>-</v>
      </c>
      <c r="Z7" s="29" t="b">
        <f t="shared" si="6"/>
        <v>1</v>
      </c>
      <c r="AA7" s="29" t="b">
        <f t="shared" si="7"/>
        <v>1</v>
      </c>
      <c r="AB7" s="29" t="str">
        <f t="shared" ca="1" si="8"/>
        <v>141-4</v>
      </c>
      <c r="AC7" s="29">
        <f t="shared" si="34"/>
        <v>4</v>
      </c>
      <c r="AD7" s="29">
        <f t="shared" ca="1" si="9"/>
        <v>4</v>
      </c>
      <c r="AE7" s="29">
        <v>4</v>
      </c>
      <c r="AF7" s="31" t="str">
        <f t="shared" si="10"/>
        <v xml:space="preserve"> </v>
      </c>
      <c r="AG7" s="29" t="b">
        <f t="shared" si="11"/>
        <v>0</v>
      </c>
      <c r="AH7" s="30" t="str">
        <f t="shared" si="12"/>
        <v>-</v>
      </c>
      <c r="AI7" s="30" t="str">
        <f t="shared" ca="1" si="13"/>
        <v>(1/2)*(4/3)</v>
      </c>
      <c r="AJ7" s="29">
        <f t="shared" ca="1" si="14"/>
        <v>0.66666666666666663</v>
      </c>
      <c r="AK7" s="29" t="str">
        <f t="shared" si="15"/>
        <v/>
      </c>
      <c r="AL7" s="29">
        <f t="shared" si="16"/>
        <v>0</v>
      </c>
      <c r="AM7" s="32">
        <f t="shared" ca="1" si="35"/>
        <v>0.66666666666666663</v>
      </c>
      <c r="AO7" s="20">
        <f>Tools!$AD6</f>
        <v>1.5</v>
      </c>
      <c r="AP7" s="33">
        <f t="shared" si="36"/>
        <v>2.81</v>
      </c>
      <c r="AQ7" s="34" t="str">
        <f t="shared" ca="1" si="18"/>
        <v>(1/2)*(4/3)</v>
      </c>
      <c r="AR7" s="23">
        <f t="shared" ca="1" si="19"/>
        <v>1.8733333333333333</v>
      </c>
      <c r="AS7" s="24">
        <f t="shared" si="20"/>
        <v>-8.5</v>
      </c>
      <c r="AT7" s="23">
        <f t="shared" ca="1" si="37"/>
        <v>-15.923333333333334</v>
      </c>
      <c r="AU7" s="23">
        <f t="shared" ref="AU7:AU28" ca="1" si="40">IFERROR(AT7*AS7,"  ")</f>
        <v>135.34833333333333</v>
      </c>
      <c r="AV7" s="23">
        <f t="shared" si="21"/>
        <v>22.188041000000002</v>
      </c>
      <c r="AW7" s="23">
        <f t="shared" ca="1" si="22"/>
        <v>14.792027333333333</v>
      </c>
      <c r="AY7" s="35">
        <f t="shared" si="23"/>
        <v>14.573333333333332</v>
      </c>
      <c r="AZ7" s="23">
        <f t="shared" ca="1" si="24"/>
        <v>9.7155555555555537</v>
      </c>
      <c r="BA7" s="36">
        <f t="shared" si="25"/>
        <v>34.803333333333327</v>
      </c>
      <c r="BB7" s="27">
        <f t="shared" ca="1" si="38"/>
        <v>23.202222222222218</v>
      </c>
      <c r="BC7" s="23">
        <f t="shared" ca="1" si="39"/>
        <v>-82.582222222222214</v>
      </c>
      <c r="BE7" s="8" t="s">
        <v>29</v>
      </c>
      <c r="BF7" s="9" t="s">
        <v>8</v>
      </c>
      <c r="BG7" s="10">
        <f>IF(MAX(AP4:AP28)=0," ",2*MAX(AP4:AP28))</f>
        <v>22</v>
      </c>
    </row>
    <row r="8" spans="1:60" x14ac:dyDescent="0.25">
      <c r="A8" s="20">
        <f>Tools!$AD7</f>
        <v>2</v>
      </c>
      <c r="B8" s="33">
        <f t="shared" si="0"/>
        <v>4.17</v>
      </c>
      <c r="C8" s="22">
        <f>IF(A8="  ","  ",IF(AND(A7="  ",A9="  "),"?",IF(A7="  ",1*(A9-A8),IF(A9="  ",1*(A8-A7),1*(A9-A7)))))</f>
        <v>1.5</v>
      </c>
      <c r="D8" s="23">
        <f t="shared" si="26"/>
        <v>6.2549999999999999</v>
      </c>
      <c r="E8" s="24">
        <f t="shared" si="1"/>
        <v>-8</v>
      </c>
      <c r="F8" s="23">
        <f t="shared" si="27"/>
        <v>-50.04</v>
      </c>
      <c r="G8" s="23">
        <f t="shared" si="28"/>
        <v>400.32</v>
      </c>
      <c r="H8" s="23">
        <f t="shared" si="29"/>
        <v>72.511713</v>
      </c>
      <c r="I8" s="23">
        <f t="shared" si="30"/>
        <v>108.76756950000001</v>
      </c>
      <c r="J8" s="4"/>
      <c r="K8" s="37">
        <f t="shared" si="2"/>
        <v>22.519999999999996</v>
      </c>
      <c r="L8" s="23">
        <f t="shared" si="31"/>
        <v>33.779999999999994</v>
      </c>
      <c r="M8" s="38">
        <f t="shared" si="3"/>
        <v>53.176666666666662</v>
      </c>
      <c r="N8" s="27">
        <f t="shared" si="32"/>
        <v>79.764999999999986</v>
      </c>
      <c r="O8" s="23">
        <f t="shared" si="33"/>
        <v>-270.23999999999995</v>
      </c>
      <c r="P8" s="4"/>
      <c r="Q8" s="42"/>
      <c r="R8" s="42"/>
      <c r="S8" s="42"/>
      <c r="W8" s="29">
        <f>IF(AO8="  ","  ",IF(AND(AO7="  ",AO9="  "),"?",IF(AO7="  ",1*(AO9-AO8),IF(AO9="  ",1*(AO8-AO7),1*(AO9-AO7)))))</f>
        <v>1.5</v>
      </c>
      <c r="X8" s="30" t="str">
        <f t="shared" si="4"/>
        <v>DW</v>
      </c>
      <c r="Y8" s="30" t="str">
        <f t="shared" si="5"/>
        <v>-</v>
      </c>
      <c r="Z8" s="29" t="b">
        <f t="shared" si="6"/>
        <v>1</v>
      </c>
      <c r="AA8" s="29" t="b">
        <f t="shared" si="7"/>
        <v>1</v>
      </c>
      <c r="AB8" s="29" t="str">
        <f t="shared" ca="1" si="8"/>
        <v>141-1</v>
      </c>
      <c r="AC8" s="29">
        <f t="shared" si="34"/>
        <v>5</v>
      </c>
      <c r="AD8" s="29">
        <f t="shared" ca="1" si="9"/>
        <v>5</v>
      </c>
      <c r="AE8" s="29">
        <v>5</v>
      </c>
      <c r="AF8" s="31">
        <f t="shared" si="10"/>
        <v>1</v>
      </c>
      <c r="AG8" s="29" t="b">
        <f t="shared" si="11"/>
        <v>1</v>
      </c>
      <c r="AH8" s="30" t="str">
        <f t="shared" si="12"/>
        <v>141-1</v>
      </c>
      <c r="AI8" s="30" t="str">
        <f t="shared" ca="1" si="13"/>
        <v>(1/2)*(1/3)</v>
      </c>
      <c r="AJ8" s="29">
        <f t="shared" ca="1" si="14"/>
        <v>0.16666666666666666</v>
      </c>
      <c r="AK8" s="29" t="str">
        <f t="shared" si="15"/>
        <v>1/3</v>
      </c>
      <c r="AL8" s="29">
        <f t="shared" si="16"/>
        <v>0.33333333333333331</v>
      </c>
      <c r="AM8" s="32">
        <f t="shared" ca="1" si="35"/>
        <v>0.5</v>
      </c>
      <c r="AO8" s="20">
        <f>Tools!$AD7</f>
        <v>2</v>
      </c>
      <c r="AP8" s="33">
        <f t="shared" si="36"/>
        <v>4.17</v>
      </c>
      <c r="AQ8" s="34" t="str">
        <f t="shared" ca="1" si="18"/>
        <v>(1/2)*(1/3)+1/3</v>
      </c>
      <c r="AR8" s="23">
        <f t="shared" ca="1" si="19"/>
        <v>2.085</v>
      </c>
      <c r="AS8" s="24">
        <f t="shared" si="20"/>
        <v>-8</v>
      </c>
      <c r="AT8" s="23">
        <f t="shared" ca="1" si="37"/>
        <v>-16.68</v>
      </c>
      <c r="AU8" s="23">
        <f t="shared" ca="1" si="40"/>
        <v>133.44</v>
      </c>
      <c r="AV8" s="23">
        <f t="shared" si="21"/>
        <v>72.511713</v>
      </c>
      <c r="AW8" s="23">
        <f t="shared" ca="1" si="22"/>
        <v>36.2558565</v>
      </c>
      <c r="AY8" s="35">
        <f t="shared" si="23"/>
        <v>22.519999999999996</v>
      </c>
      <c r="AZ8" s="23">
        <f ca="1">IFERROR(AY8*AM8,"  ")</f>
        <v>11.259999999999998</v>
      </c>
      <c r="BA8" s="36">
        <f t="shared" si="25"/>
        <v>53.176666666666662</v>
      </c>
      <c r="BB8" s="27">
        <f t="shared" ca="1" si="38"/>
        <v>26.588333333333331</v>
      </c>
      <c r="BC8" s="23">
        <f t="shared" ca="1" si="39"/>
        <v>-90.079999999999984</v>
      </c>
      <c r="BE8" s="8" t="s">
        <v>30</v>
      </c>
      <c r="BF8" s="9" t="s">
        <v>8</v>
      </c>
      <c r="BG8" s="10">
        <f ca="1">LBP-AJ33</f>
        <v>146.19999999999999</v>
      </c>
      <c r="BH8" t="str">
        <f ca="1">IF(AJ33&gt;0,CONCATENATE("(LWL is assumed between stations ",$AH$31," and ",$AH$33," as offset values extreme to these stations are zeros.)"),"")</f>
        <v/>
      </c>
    </row>
    <row r="9" spans="1:60" x14ac:dyDescent="0.25">
      <c r="A9" s="20">
        <f>Tools!$AD8</f>
        <v>3</v>
      </c>
      <c r="B9" s="33">
        <f t="shared" si="0"/>
        <v>6.67</v>
      </c>
      <c r="C9" s="22">
        <f>IF(A9="  ","  ",IF(AND(A8="  ",A10="  "),"?",IF(A8="  ",2*(A10-A9),IF(A10="  ",2*(A9-A8),2*(A10-A8)))))</f>
        <v>4</v>
      </c>
      <c r="D9" s="23">
        <f t="shared" si="26"/>
        <v>26.68</v>
      </c>
      <c r="E9" s="24">
        <f t="shared" si="1"/>
        <v>-7</v>
      </c>
      <c r="F9" s="23">
        <f t="shared" si="27"/>
        <v>-186.76</v>
      </c>
      <c r="G9" s="23">
        <f t="shared" si="28"/>
        <v>1307.32</v>
      </c>
      <c r="H9" s="23">
        <f t="shared" si="29"/>
        <v>296.74096300000002</v>
      </c>
      <c r="I9" s="23">
        <f t="shared" si="30"/>
        <v>1186.9638520000001</v>
      </c>
      <c r="J9" s="4"/>
      <c r="K9" s="37">
        <f t="shared" si="2"/>
        <v>39.633333333333326</v>
      </c>
      <c r="L9" s="23">
        <f t="shared" si="31"/>
        <v>158.5333333333333</v>
      </c>
      <c r="M9" s="38">
        <f t="shared" si="3"/>
        <v>90.22999999999999</v>
      </c>
      <c r="N9" s="27">
        <f t="shared" si="32"/>
        <v>360.91999999999996</v>
      </c>
      <c r="O9" s="23">
        <f t="shared" si="33"/>
        <v>-1109.7333333333331</v>
      </c>
      <c r="P9" s="4"/>
      <c r="Q9" s="43" t="s">
        <v>31</v>
      </c>
      <c r="R9" s="44" t="s">
        <v>32</v>
      </c>
      <c r="S9" s="489" t="s">
        <v>33</v>
      </c>
      <c r="W9" s="29">
        <f>IF(AO9="  ","  ",IF(AND(AO8="  ",AO10="  "),"?",IF(AO8="  ",2*(AO10-AO9),IF(AO10="  ",2*(AO9-AO8),2*(AO10-AO8)))))</f>
        <v>4</v>
      </c>
      <c r="X9" s="30" t="str">
        <f t="shared" si="4"/>
        <v>WW</v>
      </c>
      <c r="Y9" s="30" t="str">
        <f t="shared" si="5"/>
        <v>-</v>
      </c>
      <c r="Z9" s="29" t="b">
        <f t="shared" si="6"/>
        <v>0</v>
      </c>
      <c r="AA9" s="29" t="b">
        <f t="shared" si="7"/>
        <v>0</v>
      </c>
      <c r="AB9" s="29" t="str">
        <f t="shared" ca="1" si="8"/>
        <v>++</v>
      </c>
      <c r="AC9" s="29">
        <f t="shared" si="34"/>
        <v>6</v>
      </c>
      <c r="AD9" s="29">
        <f t="shared" ca="1" si="9"/>
        <v>6</v>
      </c>
      <c r="AE9" s="29">
        <v>6</v>
      </c>
      <c r="AF9" s="31">
        <f>IF(AND(AG9=TRUE,OR(NOT(AG8=TRUE),AG8="Full")),1,IF(ISNUMBER(AF8),AF8+1," "))</f>
        <v>2</v>
      </c>
      <c r="AG9" s="29" t="b">
        <f t="shared" si="11"/>
        <v>1</v>
      </c>
      <c r="AH9" s="30" t="str">
        <f t="shared" ca="1" si="12"/>
        <v>141-4</v>
      </c>
      <c r="AI9" s="30" t="str">
        <f t="shared" ca="1" si="13"/>
        <v/>
      </c>
      <c r="AJ9" s="29">
        <f t="shared" ca="1" si="14"/>
        <v>0</v>
      </c>
      <c r="AK9" s="29" t="str">
        <f t="shared" ca="1" si="15"/>
        <v>4/3</v>
      </c>
      <c r="AL9" s="29">
        <f t="shared" ca="1" si="16"/>
        <v>1.3333333333333333</v>
      </c>
      <c r="AM9" s="32">
        <f t="shared" ca="1" si="35"/>
        <v>1.3333333333333333</v>
      </c>
      <c r="AO9" s="20">
        <f>Tools!$AD8</f>
        <v>3</v>
      </c>
      <c r="AP9" s="33">
        <f t="shared" si="36"/>
        <v>6.67</v>
      </c>
      <c r="AQ9" s="34" t="str">
        <f t="shared" ca="1" si="18"/>
        <v>4/3</v>
      </c>
      <c r="AR9" s="23">
        <f t="shared" ca="1" si="19"/>
        <v>8.8933333333333326</v>
      </c>
      <c r="AS9" s="24">
        <f t="shared" si="20"/>
        <v>-7</v>
      </c>
      <c r="AT9" s="23">
        <f t="shared" ca="1" si="37"/>
        <v>-62.25333333333333</v>
      </c>
      <c r="AU9" s="23">
        <f t="shared" ca="1" si="40"/>
        <v>435.77333333333331</v>
      </c>
      <c r="AV9" s="23">
        <f t="shared" si="21"/>
        <v>296.74096300000002</v>
      </c>
      <c r="AW9" s="23">
        <f t="shared" ca="1" si="22"/>
        <v>395.65461733333336</v>
      </c>
      <c r="AY9" s="35">
        <f t="shared" si="23"/>
        <v>39.633333333333326</v>
      </c>
      <c r="AZ9" s="23">
        <f t="shared" ref="AZ9:AZ28" ca="1" si="41">IFERROR(AY9*AM9,"  ")</f>
        <v>52.844444444444434</v>
      </c>
      <c r="BA9" s="36">
        <f t="shared" si="25"/>
        <v>90.22999999999999</v>
      </c>
      <c r="BB9" s="27">
        <f t="shared" ca="1" si="38"/>
        <v>120.30666666666664</v>
      </c>
      <c r="BC9" s="23">
        <f t="shared" ca="1" si="39"/>
        <v>-369.91111111111104</v>
      </c>
    </row>
    <row r="10" spans="1:60" x14ac:dyDescent="0.25">
      <c r="A10" s="20">
        <f>Tools!$AD9</f>
        <v>4</v>
      </c>
      <c r="B10" s="33">
        <f t="shared" si="0"/>
        <v>8.61</v>
      </c>
      <c r="C10" s="22">
        <f>IF(A10="  ","  ",IF(AND(A9="  ",A11="  "),"?",IF(A9="  ",1*(A11-A10),IF(A11="  ",1*(A10-A9),1*(A11-A9)))))</f>
        <v>2</v>
      </c>
      <c r="D10" s="23">
        <f t="shared" si="26"/>
        <v>17.22</v>
      </c>
      <c r="E10" s="24">
        <f t="shared" si="1"/>
        <v>-6</v>
      </c>
      <c r="F10" s="23">
        <f t="shared" si="27"/>
        <v>-103.32</v>
      </c>
      <c r="G10" s="23">
        <f t="shared" si="28"/>
        <v>619.91999999999996</v>
      </c>
      <c r="H10" s="23">
        <f t="shared" si="29"/>
        <v>638.27738099999988</v>
      </c>
      <c r="I10" s="23">
        <f>IFERROR(H10*C10,"  ")</f>
        <v>1276.5547619999998</v>
      </c>
      <c r="J10" s="4"/>
      <c r="K10" s="37">
        <f t="shared" si="2"/>
        <v>56.043333333333329</v>
      </c>
      <c r="L10" s="23">
        <f t="shared" si="31"/>
        <v>112.08666666666666</v>
      </c>
      <c r="M10" s="38">
        <f t="shared" si="3"/>
        <v>123.00666666666666</v>
      </c>
      <c r="N10" s="27">
        <f t="shared" si="32"/>
        <v>246.01333333333332</v>
      </c>
      <c r="O10" s="23">
        <f t="shared" si="33"/>
        <v>-672.52</v>
      </c>
      <c r="P10" s="4"/>
      <c r="Q10" s="45"/>
      <c r="R10" s="46"/>
      <c r="S10" s="490"/>
      <c r="W10" s="29">
        <f>IF(AO10="  ","  ",IF(AND(AO9="  ",AO11="  "),"?",IF(AO9="  ",1*(AO11-AO10),IF(AO11="  ",1*(AO10-AO9),1*(AO11-AO9)))))</f>
        <v>2</v>
      </c>
      <c r="X10" s="30" t="str">
        <f t="shared" si="4"/>
        <v>WW</v>
      </c>
      <c r="Y10" s="30" t="str">
        <f t="shared" si="5"/>
        <v>-</v>
      </c>
      <c r="Z10" s="29" t="b">
        <f t="shared" si="6"/>
        <v>0</v>
      </c>
      <c r="AA10" s="29" t="b">
        <f t="shared" si="7"/>
        <v>0</v>
      </c>
      <c r="AB10" s="29" t="str">
        <f t="shared" ca="1" si="8"/>
        <v>++</v>
      </c>
      <c r="AC10" s="29">
        <f t="shared" si="34"/>
        <v>7</v>
      </c>
      <c r="AD10" s="29">
        <f t="shared" ca="1" si="9"/>
        <v>7</v>
      </c>
      <c r="AE10" s="29">
        <v>7</v>
      </c>
      <c r="AF10" s="31">
        <f t="shared" ref="AF10:AF28" si="42">IF(AND(AG10=TRUE,OR(NOT(AG9=TRUE),AG9="Full")),1,IF(ISNUMBER(AF9),AF9+1," "))</f>
        <v>3</v>
      </c>
      <c r="AG10" s="29" t="b">
        <f t="shared" si="11"/>
        <v>1</v>
      </c>
      <c r="AH10" s="30" t="str">
        <f t="shared" ca="1" si="12"/>
        <v>141-2</v>
      </c>
      <c r="AI10" s="30" t="str">
        <f t="shared" ca="1" si="13"/>
        <v/>
      </c>
      <c r="AJ10" s="29">
        <f t="shared" ca="1" si="14"/>
        <v>0</v>
      </c>
      <c r="AK10" s="29" t="str">
        <f t="shared" ca="1" si="15"/>
        <v>2/3</v>
      </c>
      <c r="AL10" s="29">
        <f t="shared" ca="1" si="16"/>
        <v>0.66666666666666663</v>
      </c>
      <c r="AM10" s="32">
        <f t="shared" ca="1" si="35"/>
        <v>0.66666666666666663</v>
      </c>
      <c r="AO10" s="20">
        <f>Tools!$AD9</f>
        <v>4</v>
      </c>
      <c r="AP10" s="33">
        <f t="shared" si="36"/>
        <v>8.61</v>
      </c>
      <c r="AQ10" s="34" t="str">
        <f t="shared" ca="1" si="18"/>
        <v>2/3</v>
      </c>
      <c r="AR10" s="23">
        <f t="shared" ca="1" si="19"/>
        <v>5.7399999999999993</v>
      </c>
      <c r="AS10" s="24">
        <f t="shared" si="20"/>
        <v>-6</v>
      </c>
      <c r="AT10" s="23">
        <f t="shared" ca="1" si="37"/>
        <v>-34.44</v>
      </c>
      <c r="AU10" s="23">
        <f ca="1">IFERROR(AT10*AS10,"  ")</f>
        <v>206.64</v>
      </c>
      <c r="AV10" s="23">
        <f t="shared" si="21"/>
        <v>638.27738099999988</v>
      </c>
      <c r="AW10" s="23">
        <f t="shared" ca="1" si="22"/>
        <v>425.5182539999999</v>
      </c>
      <c r="AY10" s="35">
        <f t="shared" si="23"/>
        <v>56.043333333333329</v>
      </c>
      <c r="AZ10" s="23">
        <f t="shared" ca="1" si="41"/>
        <v>37.362222222222215</v>
      </c>
      <c r="BA10" s="36">
        <f t="shared" si="25"/>
        <v>123.00666666666666</v>
      </c>
      <c r="BB10" s="27">
        <f t="shared" ca="1" si="38"/>
        <v>82.004444444444431</v>
      </c>
      <c r="BC10" s="23">
        <f t="shared" ca="1" si="39"/>
        <v>-224.17333333333329</v>
      </c>
      <c r="BE10" s="43" t="s">
        <v>31</v>
      </c>
      <c r="BF10" s="44" t="s">
        <v>32</v>
      </c>
      <c r="BG10" s="489" t="s">
        <v>33</v>
      </c>
    </row>
    <row r="11" spans="1:60" x14ac:dyDescent="0.25">
      <c r="A11" s="20">
        <f>Tools!$AD10</f>
        <v>5</v>
      </c>
      <c r="B11" s="33">
        <f t="shared" si="0"/>
        <v>9.9499999999999993</v>
      </c>
      <c r="C11" s="22">
        <f>IF(A11="  ","  ",IF(AND(A10="  ",A12="  "),"?",IF(A10="  ",2*(A12-A11),IF(A12="  ",2*(A11-A10),2*(A12-A10)))))</f>
        <v>4</v>
      </c>
      <c r="D11" s="23">
        <f t="shared" si="26"/>
        <v>39.799999999999997</v>
      </c>
      <c r="E11" s="24">
        <f t="shared" si="1"/>
        <v>-5</v>
      </c>
      <c r="F11" s="23">
        <f t="shared" si="27"/>
        <v>-199</v>
      </c>
      <c r="G11" s="23">
        <f t="shared" si="28"/>
        <v>995</v>
      </c>
      <c r="H11" s="23">
        <f t="shared" si="29"/>
        <v>985.07487499999979</v>
      </c>
      <c r="I11" s="23">
        <f t="shared" si="30"/>
        <v>3940.2994999999992</v>
      </c>
      <c r="J11" s="4"/>
      <c r="K11" s="37">
        <f t="shared" si="2"/>
        <v>69.899999999999991</v>
      </c>
      <c r="L11" s="23">
        <f t="shared" si="31"/>
        <v>279.59999999999997</v>
      </c>
      <c r="M11" s="38">
        <f t="shared" si="3"/>
        <v>148.93666666666664</v>
      </c>
      <c r="N11" s="27">
        <f t="shared" si="32"/>
        <v>595.74666666666656</v>
      </c>
      <c r="O11" s="23">
        <f t="shared" si="33"/>
        <v>-1397.9999999999998</v>
      </c>
      <c r="P11" s="4"/>
      <c r="Q11" s="47" t="s">
        <v>34</v>
      </c>
      <c r="R11" s="48" t="s">
        <v>35</v>
      </c>
      <c r="S11">
        <f>IF(Tools!$L$49="Use 141 rule only",I35,IF(Tools!$L$49="Use 141 and 1331 rules",BG12," "))</f>
        <v>2521.2920999999992</v>
      </c>
      <c r="W11" s="29">
        <f>IF(AO11="  ","  ",IF(AND(AO10="  ",AO12="  "),"?",IF(AO10="  ",2*(AO12-AO11),IF(AO12="  ",2*(AO11-AO10),2*(AO12-AO10)))))</f>
        <v>4</v>
      </c>
      <c r="X11" s="30" t="str">
        <f t="shared" si="4"/>
        <v>WW</v>
      </c>
      <c r="Y11" s="30" t="str">
        <f t="shared" si="5"/>
        <v>-</v>
      </c>
      <c r="Z11" s="29" t="b">
        <f t="shared" si="6"/>
        <v>0</v>
      </c>
      <c r="AA11" s="29" t="b">
        <f t="shared" si="7"/>
        <v>0</v>
      </c>
      <c r="AB11" s="29" t="str">
        <f t="shared" ca="1" si="8"/>
        <v>++</v>
      </c>
      <c r="AC11" s="29">
        <f t="shared" si="34"/>
        <v>8</v>
      </c>
      <c r="AD11" s="29">
        <f t="shared" ca="1" si="9"/>
        <v>8</v>
      </c>
      <c r="AE11" s="29">
        <v>8</v>
      </c>
      <c r="AF11" s="31">
        <f t="shared" si="42"/>
        <v>4</v>
      </c>
      <c r="AG11" s="29" t="b">
        <f t="shared" si="11"/>
        <v>1</v>
      </c>
      <c r="AH11" s="30" t="str">
        <f t="shared" ca="1" si="12"/>
        <v>141-4</v>
      </c>
      <c r="AI11" s="30" t="str">
        <f t="shared" ca="1" si="13"/>
        <v/>
      </c>
      <c r="AJ11" s="29">
        <f t="shared" ca="1" si="14"/>
        <v>0</v>
      </c>
      <c r="AK11" s="29" t="str">
        <f t="shared" ca="1" si="15"/>
        <v>4/3</v>
      </c>
      <c r="AL11" s="29">
        <f t="shared" ca="1" si="16"/>
        <v>1.3333333333333333</v>
      </c>
      <c r="AM11" s="32">
        <f t="shared" ca="1" si="35"/>
        <v>1.3333333333333333</v>
      </c>
      <c r="AO11" s="20">
        <f>Tools!$AD10</f>
        <v>5</v>
      </c>
      <c r="AP11" s="33">
        <f t="shared" si="36"/>
        <v>9.9499999999999993</v>
      </c>
      <c r="AQ11" s="34" t="str">
        <f t="shared" ca="1" si="18"/>
        <v>4/3</v>
      </c>
      <c r="AR11" s="23">
        <f t="shared" ca="1" si="19"/>
        <v>13.266666666666666</v>
      </c>
      <c r="AS11" s="24">
        <f t="shared" si="20"/>
        <v>-5</v>
      </c>
      <c r="AT11" s="23">
        <f t="shared" ca="1" si="37"/>
        <v>-66.333333333333329</v>
      </c>
      <c r="AU11" s="23">
        <f t="shared" ca="1" si="40"/>
        <v>331.66666666666663</v>
      </c>
      <c r="AV11" s="23">
        <f t="shared" si="21"/>
        <v>985.07487499999979</v>
      </c>
      <c r="AW11" s="23">
        <f t="shared" ca="1" si="22"/>
        <v>1313.4331666666662</v>
      </c>
      <c r="AY11" s="35">
        <f t="shared" si="23"/>
        <v>69.899999999999991</v>
      </c>
      <c r="AZ11" s="23">
        <f t="shared" ca="1" si="41"/>
        <v>93.199999999999989</v>
      </c>
      <c r="BA11" s="36">
        <f t="shared" si="25"/>
        <v>148.93666666666664</v>
      </c>
      <c r="BB11" s="27">
        <f t="shared" ca="1" si="38"/>
        <v>198.58222222222219</v>
      </c>
      <c r="BC11" s="23">
        <f ca="1">IFERROR(AZ11*AS11,"  ")</f>
        <v>-465.99999999999994</v>
      </c>
      <c r="BE11" s="45"/>
      <c r="BF11" s="46"/>
      <c r="BG11" s="490"/>
    </row>
    <row r="12" spans="1:60" x14ac:dyDescent="0.25">
      <c r="A12" s="20">
        <f>Tools!$AD11</f>
        <v>6</v>
      </c>
      <c r="B12" s="33">
        <f t="shared" si="0"/>
        <v>10.8</v>
      </c>
      <c r="C12" s="22">
        <f>IF(A12="  ","  ",IF(AND(A11="  ",A13="  "),"?",IF(A11="  ",1*(A13-A12),IF(A13="  ",1*(A12-A11),1*(A13-A11)))))</f>
        <v>2</v>
      </c>
      <c r="D12" s="23">
        <f t="shared" si="26"/>
        <v>21.6</v>
      </c>
      <c r="E12" s="24">
        <f t="shared" si="1"/>
        <v>-4</v>
      </c>
      <c r="F12" s="23">
        <f t="shared" si="27"/>
        <v>-86.4</v>
      </c>
      <c r="G12" s="23">
        <f t="shared" si="28"/>
        <v>345.6</v>
      </c>
      <c r="H12" s="23">
        <f t="shared" si="29"/>
        <v>1259.7120000000002</v>
      </c>
      <c r="I12" s="23">
        <f t="shared" si="30"/>
        <v>2519.4240000000004</v>
      </c>
      <c r="J12" s="4"/>
      <c r="K12" s="37">
        <f t="shared" si="2"/>
        <v>79.653333333333336</v>
      </c>
      <c r="L12" s="23">
        <f t="shared" si="31"/>
        <v>159.30666666666667</v>
      </c>
      <c r="M12" s="38">
        <f t="shared" si="3"/>
        <v>165.84666666666666</v>
      </c>
      <c r="N12" s="27">
        <f t="shared" si="32"/>
        <v>331.69333333333333</v>
      </c>
      <c r="O12" s="23">
        <f t="shared" si="33"/>
        <v>-637.22666666666669</v>
      </c>
      <c r="P12" s="4"/>
      <c r="Q12" s="47" t="s">
        <v>36</v>
      </c>
      <c r="R12" s="48" t="s">
        <v>37</v>
      </c>
      <c r="S12">
        <f>IF(Tools!$L$49="Use 141 rule only",I36,IF(Tools!$L$49="Use 141 and 1331 rules",BG13," "))</f>
        <v>9820.4864580000067</v>
      </c>
      <c r="W12" s="29">
        <f>IF(AO12="  ","  ",IF(AND(AO11="  ",AO13="  "),"?",IF(AO11="  ",1*(AO13-AO12),IF(AO13="  ",1*(AO12-AO11),1*(AO13-AO11)))))</f>
        <v>2</v>
      </c>
      <c r="X12" s="30" t="str">
        <f t="shared" si="4"/>
        <v>WW</v>
      </c>
      <c r="Y12" s="30" t="str">
        <f t="shared" si="5"/>
        <v>-</v>
      </c>
      <c r="Z12" s="29" t="b">
        <f t="shared" si="6"/>
        <v>0</v>
      </c>
      <c r="AA12" s="29" t="b">
        <f t="shared" si="7"/>
        <v>0</v>
      </c>
      <c r="AB12" s="29" t="str">
        <f t="shared" ca="1" si="8"/>
        <v>++</v>
      </c>
      <c r="AC12" s="29">
        <f t="shared" si="34"/>
        <v>9</v>
      </c>
      <c r="AD12" s="29">
        <f t="shared" ca="1" si="9"/>
        <v>9</v>
      </c>
      <c r="AE12" s="29">
        <v>9</v>
      </c>
      <c r="AF12" s="31">
        <f t="shared" si="42"/>
        <v>5</v>
      </c>
      <c r="AG12" s="29" t="b">
        <f t="shared" si="11"/>
        <v>1</v>
      </c>
      <c r="AH12" s="30" t="str">
        <f t="shared" ca="1" si="12"/>
        <v>141-2</v>
      </c>
      <c r="AI12" s="30" t="str">
        <f t="shared" ca="1" si="13"/>
        <v/>
      </c>
      <c r="AJ12" s="29">
        <f t="shared" ca="1" si="14"/>
        <v>0</v>
      </c>
      <c r="AK12" s="29" t="str">
        <f t="shared" ca="1" si="15"/>
        <v>2/3</v>
      </c>
      <c r="AL12" s="29">
        <f t="shared" ca="1" si="16"/>
        <v>0.66666666666666663</v>
      </c>
      <c r="AM12" s="32">
        <f t="shared" ca="1" si="35"/>
        <v>0.66666666666666663</v>
      </c>
      <c r="AO12" s="20">
        <f>Tools!$AD11</f>
        <v>6</v>
      </c>
      <c r="AP12" s="33">
        <f t="shared" si="36"/>
        <v>10.8</v>
      </c>
      <c r="AQ12" s="34" t="str">
        <f t="shared" ca="1" si="18"/>
        <v>2/3</v>
      </c>
      <c r="AR12" s="23">
        <f t="shared" ca="1" si="19"/>
        <v>7.2</v>
      </c>
      <c r="AS12" s="24">
        <f t="shared" si="20"/>
        <v>-4</v>
      </c>
      <c r="AT12" s="23">
        <f t="shared" ca="1" si="37"/>
        <v>-28.8</v>
      </c>
      <c r="AU12" s="23">
        <f t="shared" ca="1" si="40"/>
        <v>115.2</v>
      </c>
      <c r="AV12" s="23">
        <f t="shared" si="21"/>
        <v>1259.7120000000002</v>
      </c>
      <c r="AW12" s="23">
        <f t="shared" ca="1" si="22"/>
        <v>839.80800000000011</v>
      </c>
      <c r="AY12" s="35">
        <f t="shared" si="23"/>
        <v>79.653333333333336</v>
      </c>
      <c r="AZ12" s="23">
        <f t="shared" ca="1" si="41"/>
        <v>53.102222222222224</v>
      </c>
      <c r="BA12" s="36">
        <f t="shared" si="25"/>
        <v>165.84666666666666</v>
      </c>
      <c r="BB12" s="27">
        <f t="shared" ca="1" si="38"/>
        <v>110.56444444444443</v>
      </c>
      <c r="BC12" s="23">
        <f t="shared" ca="1" si="39"/>
        <v>-212.4088888888889</v>
      </c>
      <c r="BE12" s="47" t="s">
        <v>34</v>
      </c>
      <c r="BF12" s="48" t="s">
        <v>38</v>
      </c>
      <c r="BG12" s="49">
        <f ca="1">IF(WL_No="  ","  ",2*h*$AR$29)</f>
        <v>2521.2920999999997</v>
      </c>
    </row>
    <row r="13" spans="1:60" x14ac:dyDescent="0.25">
      <c r="A13" s="20">
        <f>Tools!$AD12</f>
        <v>7</v>
      </c>
      <c r="B13" s="33">
        <f t="shared" si="0"/>
        <v>11</v>
      </c>
      <c r="C13" s="22">
        <f>IF(A13="  ","  ",IF(AND(A12="  ",A14="  "),"?",IF(A12="  ",2*(A14-A13),IF(A14="  ",2*(A13-A12),2*(A14-A12)))))</f>
        <v>4</v>
      </c>
      <c r="D13" s="23">
        <f t="shared" si="26"/>
        <v>44</v>
      </c>
      <c r="E13" s="24">
        <f t="shared" si="1"/>
        <v>-3</v>
      </c>
      <c r="F13" s="23">
        <f t="shared" si="27"/>
        <v>-132</v>
      </c>
      <c r="G13" s="23">
        <f t="shared" si="28"/>
        <v>396</v>
      </c>
      <c r="H13" s="23">
        <f t="shared" si="29"/>
        <v>1331</v>
      </c>
      <c r="I13" s="23">
        <f t="shared" si="30"/>
        <v>5324</v>
      </c>
      <c r="J13" s="4"/>
      <c r="K13" s="37">
        <f t="shared" si="2"/>
        <v>84.373333333333335</v>
      </c>
      <c r="L13" s="23">
        <f t="shared" si="31"/>
        <v>337.49333333333334</v>
      </c>
      <c r="M13" s="38">
        <f t="shared" si="3"/>
        <v>172.95333333333332</v>
      </c>
      <c r="N13" s="27">
        <f t="shared" si="32"/>
        <v>691.81333333333328</v>
      </c>
      <c r="O13" s="23">
        <f t="shared" si="33"/>
        <v>-1012.48</v>
      </c>
      <c r="P13" s="4"/>
      <c r="Q13" s="50" t="s">
        <v>39</v>
      </c>
      <c r="R13" s="48" t="s">
        <v>40</v>
      </c>
      <c r="S13">
        <f>IF(Tools!$L$49="Use 141 rule only",I37,IF(Tools!$L$49="Use 141 and 1331 rules",BG14," "))</f>
        <v>3.895021309906936</v>
      </c>
      <c r="W13" s="29">
        <f>IF(AO13="  ","  ",IF(AND(AO12="  ",AO14="  "),"?",IF(AO12="  ",2*(AO14-AO13),IF(AO14="  ",2*(AO13-AO12),2*(AO14-AO12)))))</f>
        <v>4</v>
      </c>
      <c r="X13" s="30" t="str">
        <f t="shared" si="4"/>
        <v>WW</v>
      </c>
      <c r="Y13" s="30" t="str">
        <f t="shared" si="5"/>
        <v>-</v>
      </c>
      <c r="Z13" s="29" t="b">
        <f t="shared" si="6"/>
        <v>0</v>
      </c>
      <c r="AA13" s="29" t="b">
        <f t="shared" si="7"/>
        <v>0</v>
      </c>
      <c r="AB13" s="29" t="str">
        <f t="shared" ca="1" si="8"/>
        <v>++</v>
      </c>
      <c r="AC13" s="29">
        <f t="shared" si="34"/>
        <v>10</v>
      </c>
      <c r="AD13" s="29">
        <f t="shared" ca="1" si="9"/>
        <v>10</v>
      </c>
      <c r="AE13" s="29">
        <v>10</v>
      </c>
      <c r="AF13" s="31">
        <f t="shared" si="42"/>
        <v>6</v>
      </c>
      <c r="AG13" s="29" t="b">
        <f t="shared" si="11"/>
        <v>1</v>
      </c>
      <c r="AH13" s="30" t="str">
        <f t="shared" ca="1" si="12"/>
        <v>141-4</v>
      </c>
      <c r="AI13" s="30" t="str">
        <f t="shared" ca="1" si="13"/>
        <v/>
      </c>
      <c r="AJ13" s="29">
        <f t="shared" ca="1" si="14"/>
        <v>0</v>
      </c>
      <c r="AK13" s="29" t="str">
        <f t="shared" ca="1" si="15"/>
        <v>4/3</v>
      </c>
      <c r="AL13" s="29">
        <f t="shared" ca="1" si="16"/>
        <v>1.3333333333333333</v>
      </c>
      <c r="AM13" s="32">
        <f t="shared" ca="1" si="35"/>
        <v>1.3333333333333333</v>
      </c>
      <c r="AO13" s="20">
        <f>Tools!$AD12</f>
        <v>7</v>
      </c>
      <c r="AP13" s="33">
        <f t="shared" si="36"/>
        <v>11</v>
      </c>
      <c r="AQ13" s="34" t="str">
        <f t="shared" ca="1" si="18"/>
        <v>4/3</v>
      </c>
      <c r="AR13" s="23">
        <f t="shared" ca="1" si="19"/>
        <v>14.666666666666666</v>
      </c>
      <c r="AS13" s="24">
        <f t="shared" si="20"/>
        <v>-3</v>
      </c>
      <c r="AT13" s="23">
        <f t="shared" ca="1" si="37"/>
        <v>-44</v>
      </c>
      <c r="AU13" s="23">
        <f t="shared" ca="1" si="40"/>
        <v>132</v>
      </c>
      <c r="AV13" s="23">
        <f t="shared" si="21"/>
        <v>1331</v>
      </c>
      <c r="AW13" s="23">
        <f t="shared" ca="1" si="22"/>
        <v>1774.6666666666665</v>
      </c>
      <c r="AY13" s="35">
        <f t="shared" si="23"/>
        <v>84.373333333333335</v>
      </c>
      <c r="AZ13" s="23">
        <f t="shared" ca="1" si="41"/>
        <v>112.49777777777777</v>
      </c>
      <c r="BA13" s="36">
        <f t="shared" si="25"/>
        <v>172.95333333333332</v>
      </c>
      <c r="BB13" s="27">
        <f t="shared" ca="1" si="38"/>
        <v>230.60444444444443</v>
      </c>
      <c r="BC13" s="23">
        <f t="shared" ca="1" si="39"/>
        <v>-337.49333333333334</v>
      </c>
      <c r="BE13" s="47" t="s">
        <v>36</v>
      </c>
      <c r="BF13" s="48" t="s">
        <v>41</v>
      </c>
      <c r="BG13" s="49">
        <f ca="1">IF(WL_No="  ","  ",2*(h^2)*$AT$29)</f>
        <v>9820.486458000003</v>
      </c>
    </row>
    <row r="14" spans="1:60" x14ac:dyDescent="0.25">
      <c r="A14" s="20">
        <f>Tools!$AD13</f>
        <v>8</v>
      </c>
      <c r="B14" s="33">
        <f t="shared" si="0"/>
        <v>11</v>
      </c>
      <c r="C14" s="22">
        <f>IF(A14="  ","  ",IF(AND(A13="  ",A15="  "),"?",IF(A13="  ",1*(A15-A14),IF(A15="  ",1*(A14-A13),1*(A15-A13)))))</f>
        <v>2</v>
      </c>
      <c r="D14" s="23">
        <f t="shared" si="26"/>
        <v>22</v>
      </c>
      <c r="E14" s="24">
        <f t="shared" si="1"/>
        <v>-2</v>
      </c>
      <c r="F14" s="23">
        <f t="shared" si="27"/>
        <v>-44</v>
      </c>
      <c r="G14" s="23">
        <f t="shared" si="28"/>
        <v>88</v>
      </c>
      <c r="H14" s="23">
        <f t="shared" si="29"/>
        <v>1331</v>
      </c>
      <c r="I14" s="23">
        <f t="shared" si="30"/>
        <v>2662</v>
      </c>
      <c r="J14" s="4"/>
      <c r="K14" s="37">
        <f t="shared" si="2"/>
        <v>86.25333333333333</v>
      </c>
      <c r="L14" s="23">
        <f t="shared" si="31"/>
        <v>172.50666666666666</v>
      </c>
      <c r="M14" s="38">
        <f t="shared" si="3"/>
        <v>175.13333333333333</v>
      </c>
      <c r="N14" s="27">
        <f t="shared" si="32"/>
        <v>350.26666666666665</v>
      </c>
      <c r="O14" s="23">
        <f t="shared" si="33"/>
        <v>-345.01333333333332</v>
      </c>
      <c r="P14" s="4"/>
      <c r="Q14" s="50" t="s">
        <v>42</v>
      </c>
      <c r="R14" s="48" t="s">
        <v>43</v>
      </c>
      <c r="S14">
        <f>IF(Tools!$L$49="Use 141 rule only",I38,IF(Tools!$L$49="Use 141 and 1331 rules",BG15," "))</f>
        <v>3046290.9135875129</v>
      </c>
      <c r="W14" s="29">
        <f>IF(AO14="  ","  ",IF(AND(AO13="  ",AO15="  "),"?",IF(AO13="  ",1*(AO15-AO14),IF(AO15="  ",1*(AO14-AO13),1*(AO15-AO13)))))</f>
        <v>2</v>
      </c>
      <c r="X14" s="30" t="str">
        <f t="shared" si="4"/>
        <v>WW</v>
      </c>
      <c r="Y14" s="30" t="str">
        <f t="shared" si="5"/>
        <v>-</v>
      </c>
      <c r="Z14" s="29" t="b">
        <f t="shared" si="6"/>
        <v>0</v>
      </c>
      <c r="AA14" s="29" t="b">
        <f t="shared" si="7"/>
        <v>0</v>
      </c>
      <c r="AB14" s="29" t="str">
        <f t="shared" ca="1" si="8"/>
        <v>++</v>
      </c>
      <c r="AC14" s="29">
        <f t="shared" si="34"/>
        <v>11</v>
      </c>
      <c r="AD14" s="29">
        <f t="shared" ca="1" si="9"/>
        <v>11</v>
      </c>
      <c r="AE14" s="29">
        <v>11</v>
      </c>
      <c r="AF14" s="31">
        <f t="shared" si="42"/>
        <v>7</v>
      </c>
      <c r="AG14" s="29" t="b">
        <f t="shared" si="11"/>
        <v>1</v>
      </c>
      <c r="AH14" s="30" t="str">
        <f ca="1">IF(AND(AG14=TRUE,$AH$1=1),"141-4",IF(AG14=" ",IF(AND($AH$1=2,AF14=3),"141-1","-"),IF(OR(AG14=FALSE,AG14=" "),"-",IF(AG14=TRUE,IF(AND($AH$1=2,AF14=1),"141-1",IF(AND($AH$1=2,AF14=2),"141-4",IF(OR(ISODD($AH$1),AF14&gt;4),IF(AF14=1,"141-1",IF(OR(AB14="141-1",AB14="1331-1",AB14="1331-1,141-1"),"141-1",IF(AG15=" ","141-1",IF(OR(AH13="141-1",AH13="141-2",AH13="1331-1,141-1"),"141-4",IF(AH13="141-4","141-2","$$"))))),IF(ISEVEN($AH$1),IF(AF14=1,"1331-1",IF(OR(AF14=2,AF14=3),"1331-3",IF(AF14=4,IF($AH$1=4,"1331-1","1331-1,141-1"),"")))))))))))</f>
        <v>141-2</v>
      </c>
      <c r="AI14" s="30" t="str">
        <f t="shared" ca="1" si="13"/>
        <v/>
      </c>
      <c r="AJ14" s="29">
        <f t="shared" ca="1" si="14"/>
        <v>0</v>
      </c>
      <c r="AK14" s="29" t="str">
        <f t="shared" ca="1" si="15"/>
        <v>2/3</v>
      </c>
      <c r="AL14" s="29">
        <f t="shared" ca="1" si="16"/>
        <v>0.66666666666666663</v>
      </c>
      <c r="AM14" s="32">
        <f t="shared" ca="1" si="35"/>
        <v>0.66666666666666663</v>
      </c>
      <c r="AO14" s="20">
        <f>Tools!$AD13</f>
        <v>8</v>
      </c>
      <c r="AP14" s="33">
        <f t="shared" si="36"/>
        <v>11</v>
      </c>
      <c r="AQ14" s="34" t="str">
        <f t="shared" ca="1" si="18"/>
        <v>2/3</v>
      </c>
      <c r="AR14" s="23">
        <f t="shared" ca="1" si="19"/>
        <v>7.333333333333333</v>
      </c>
      <c r="AS14" s="24">
        <f t="shared" si="20"/>
        <v>-2</v>
      </c>
      <c r="AT14" s="23">
        <f t="shared" ca="1" si="37"/>
        <v>-14.666666666666666</v>
      </c>
      <c r="AU14" s="23">
        <f t="shared" ca="1" si="40"/>
        <v>29.333333333333332</v>
      </c>
      <c r="AV14" s="23">
        <f t="shared" si="21"/>
        <v>1331</v>
      </c>
      <c r="AW14" s="23">
        <f t="shared" ca="1" si="22"/>
        <v>887.33333333333326</v>
      </c>
      <c r="AY14" s="35">
        <f t="shared" si="23"/>
        <v>86.25333333333333</v>
      </c>
      <c r="AZ14" s="23">
        <f t="shared" ca="1" si="41"/>
        <v>57.502222222222215</v>
      </c>
      <c r="BA14" s="36">
        <f t="shared" si="25"/>
        <v>175.13333333333333</v>
      </c>
      <c r="BB14" s="27">
        <f t="shared" ca="1" si="38"/>
        <v>116.75555555555555</v>
      </c>
      <c r="BC14" s="23">
        <f t="shared" ca="1" si="39"/>
        <v>-115.00444444444443</v>
      </c>
      <c r="BE14" s="50" t="s">
        <v>39</v>
      </c>
      <c r="BF14" s="48" t="s">
        <v>40</v>
      </c>
      <c r="BG14" s="49">
        <f>IF(WL_No="  ","  ",Mmid/AWP)</f>
        <v>3.895021309906936</v>
      </c>
    </row>
    <row r="15" spans="1:60" x14ac:dyDescent="0.25">
      <c r="A15" s="20">
        <f>Tools!$AD14</f>
        <v>9</v>
      </c>
      <c r="B15" s="33">
        <f t="shared" si="0"/>
        <v>11</v>
      </c>
      <c r="C15" s="22">
        <f>IF(A15="  ","  ",IF(AND(A14="  ",A16="  "),"?",IF(A14="  ",2*(A16-A15),IF(A16="  ",2*(A15-A14),2*(A16-A14)))))</f>
        <v>4</v>
      </c>
      <c r="D15" s="23">
        <f t="shared" si="26"/>
        <v>44</v>
      </c>
      <c r="E15" s="24">
        <f t="shared" si="1"/>
        <v>-1</v>
      </c>
      <c r="F15" s="23">
        <f t="shared" si="27"/>
        <v>-44</v>
      </c>
      <c r="G15" s="23">
        <f t="shared" si="28"/>
        <v>44</v>
      </c>
      <c r="H15" s="23">
        <f t="shared" si="29"/>
        <v>1331</v>
      </c>
      <c r="I15" s="23">
        <f t="shared" si="30"/>
        <v>5324</v>
      </c>
      <c r="J15" s="4"/>
      <c r="K15" s="37">
        <f t="shared" si="2"/>
        <v>86.573333333333323</v>
      </c>
      <c r="L15" s="23">
        <f t="shared" si="31"/>
        <v>346.29333333333329</v>
      </c>
      <c r="M15" s="38">
        <f t="shared" si="3"/>
        <v>175.32666666666665</v>
      </c>
      <c r="N15" s="27">
        <f t="shared" si="32"/>
        <v>701.30666666666662</v>
      </c>
      <c r="O15" s="23">
        <f t="shared" si="33"/>
        <v>-346.29333333333329</v>
      </c>
      <c r="P15" s="4"/>
      <c r="Q15" s="51" t="s">
        <v>44</v>
      </c>
      <c r="R15" s="48" t="s">
        <v>45</v>
      </c>
      <c r="S15">
        <f>IF(Tools!$L$49="Use 141 rule only",I39,IF(Tools!$L$49="Use 141 and 1331 rules",BG16," "))</f>
        <v>85927.726478203331</v>
      </c>
      <c r="W15" s="29">
        <f>IF(AO15="  ","  ",IF(AND(AO14="  ",AO16="  "),"?",IF(AO14="  ",2*(AO16-AO15),IF(AO16="  ",2*(AO15-AO14),2*(AO16-AO14)))))</f>
        <v>4</v>
      </c>
      <c r="X15" s="30" t="str">
        <f t="shared" si="4"/>
        <v>WW</v>
      </c>
      <c r="Y15" s="30" t="str">
        <f t="shared" si="5"/>
        <v>-</v>
      </c>
      <c r="Z15" s="29" t="b">
        <f t="shared" si="6"/>
        <v>0</v>
      </c>
      <c r="AA15" s="29" t="b">
        <f t="shared" si="7"/>
        <v>0</v>
      </c>
      <c r="AB15" s="29" t="str">
        <f t="shared" ca="1" si="8"/>
        <v>++</v>
      </c>
      <c r="AC15" s="29">
        <f t="shared" si="34"/>
        <v>12</v>
      </c>
      <c r="AD15" s="29">
        <f t="shared" ca="1" si="9"/>
        <v>12</v>
      </c>
      <c r="AE15" s="29">
        <v>12</v>
      </c>
      <c r="AF15" s="31">
        <f t="shared" si="42"/>
        <v>8</v>
      </c>
      <c r="AG15" s="29" t="b">
        <f t="shared" si="11"/>
        <v>1</v>
      </c>
      <c r="AH15" s="30" t="str">
        <f t="shared" ref="AH15:AH28" ca="1" si="43">IF(AND(AG15=TRUE,$AH$1=1),"141-4",IF(AG15=" ",IF(AND($AH$1=2,AF15=3),"141-1","-"),IF(OR(AG15=FALSE,AG15=" "),"-",IF(AG15=TRUE,IF(AND($AH$1=2,AF15=1),"141-1",IF(AND($AH$1=2,AF15=2),"141-4",IF(OR(ISODD($AH$1),AF15&gt;4),IF(AF15=1,"141-1",IF(OR(AB15="141-1",AB15="1331-1",AB15="1331-1,141-1"),"141-1",IF(AG16=" ","141-1",IF(OR(AH14="141-1",AH14="141-2",AH14="1331-1,141-1"),"141-4",IF(AH14="141-4","141-2","$$"))))),IF(ISEVEN($AH$1),IF(AF15=1,"1331-1",IF(OR(AF15=2,AF15=3),"1331-3",IF(AF15=4,IF($AH$1=4,"1331-1","1331-1,141-1"),"")))))))))))</f>
        <v>141-4</v>
      </c>
      <c r="AI15" s="30" t="str">
        <f t="shared" ca="1" si="13"/>
        <v/>
      </c>
      <c r="AJ15" s="29">
        <f t="shared" ca="1" si="14"/>
        <v>0</v>
      </c>
      <c r="AK15" s="29" t="str">
        <f t="shared" ca="1" si="15"/>
        <v>4/3</v>
      </c>
      <c r="AL15" s="29">
        <f t="shared" ca="1" si="16"/>
        <v>1.3333333333333333</v>
      </c>
      <c r="AM15" s="32">
        <f t="shared" ca="1" si="35"/>
        <v>1.3333333333333333</v>
      </c>
      <c r="AO15" s="20">
        <f>Tools!$AD14</f>
        <v>9</v>
      </c>
      <c r="AP15" s="33">
        <f t="shared" si="36"/>
        <v>11</v>
      </c>
      <c r="AQ15" s="34" t="str">
        <f t="shared" ca="1" si="18"/>
        <v>4/3</v>
      </c>
      <c r="AR15" s="23">
        <f t="shared" ca="1" si="19"/>
        <v>14.666666666666666</v>
      </c>
      <c r="AS15" s="24">
        <f t="shared" si="20"/>
        <v>-1</v>
      </c>
      <c r="AT15" s="23">
        <f t="shared" ca="1" si="37"/>
        <v>-14.666666666666666</v>
      </c>
      <c r="AU15" s="23">
        <f t="shared" ca="1" si="40"/>
        <v>14.666666666666666</v>
      </c>
      <c r="AV15" s="23">
        <f t="shared" si="21"/>
        <v>1331</v>
      </c>
      <c r="AW15" s="23">
        <f t="shared" ca="1" si="22"/>
        <v>1774.6666666666665</v>
      </c>
      <c r="AY15" s="35">
        <f t="shared" si="23"/>
        <v>86.573333333333323</v>
      </c>
      <c r="AZ15" s="23">
        <f t="shared" ca="1" si="41"/>
        <v>115.43111111111109</v>
      </c>
      <c r="BA15" s="36">
        <f t="shared" si="25"/>
        <v>175.32666666666665</v>
      </c>
      <c r="BB15" s="27">
        <f ca="1">IFERROR(BA15*AM15,"  ")</f>
        <v>233.76888888888885</v>
      </c>
      <c r="BC15" s="23">
        <f t="shared" ca="1" si="39"/>
        <v>-115.43111111111109</v>
      </c>
      <c r="BE15" s="50" t="s">
        <v>42</v>
      </c>
      <c r="BF15" s="48" t="s">
        <v>46</v>
      </c>
      <c r="BG15" s="49">
        <f ca="1">IF(WL_No="  ","  ",2*(h^3)*$AU$29)</f>
        <v>3046290.9135875124</v>
      </c>
    </row>
    <row r="16" spans="1:60" x14ac:dyDescent="0.25">
      <c r="A16" s="20">
        <f>Tools!$AD15</f>
        <v>10</v>
      </c>
      <c r="B16" s="33">
        <f t="shared" si="0"/>
        <v>11</v>
      </c>
      <c r="C16" s="22">
        <f>IF(A16="  ","  ",IF(AND(A15="  ",A17="  "),"?",IF(A15="  ",1*(A17-A16),IF(A17="  ",1*(A16-A15),1*(A17-A15)))))</f>
        <v>2</v>
      </c>
      <c r="D16" s="23">
        <f t="shared" si="26"/>
        <v>22</v>
      </c>
      <c r="E16" s="24">
        <f t="shared" si="1"/>
        <v>0</v>
      </c>
      <c r="F16" s="23">
        <f t="shared" si="27"/>
        <v>0</v>
      </c>
      <c r="G16" s="23">
        <f t="shared" si="28"/>
        <v>0</v>
      </c>
      <c r="H16" s="23">
        <f t="shared" si="29"/>
        <v>1331</v>
      </c>
      <c r="I16" s="23">
        <f t="shared" si="30"/>
        <v>2662</v>
      </c>
      <c r="J16" s="4"/>
      <c r="K16" s="37">
        <f t="shared" si="2"/>
        <v>86.573333333333323</v>
      </c>
      <c r="L16" s="23">
        <f t="shared" si="31"/>
        <v>173.14666666666665</v>
      </c>
      <c r="M16" s="38">
        <f t="shared" si="3"/>
        <v>175.32666666666665</v>
      </c>
      <c r="N16" s="27">
        <f t="shared" si="32"/>
        <v>350.65333333333331</v>
      </c>
      <c r="O16" s="23">
        <f t="shared" si="33"/>
        <v>0</v>
      </c>
      <c r="P16" s="4"/>
      <c r="Q16" s="50" t="s">
        <v>47</v>
      </c>
      <c r="R16" s="48" t="s">
        <v>48</v>
      </c>
      <c r="S16">
        <f>IF(Tools!$L$49="Use 141 rule only",I40,IF(Tools!$L$49="Use 141 and 1331 rules",BG17," "))</f>
        <v>3008039.9095599502</v>
      </c>
      <c r="W16" s="29">
        <f>IF(AO16="  ","  ",IF(AND(AO15="  ",AO17="  "),"?",IF(AO15="  ",1*(AO17-AO16),IF(AO17="  ",1*(AO16-AO15),1*(AO17-AO15)))))</f>
        <v>2</v>
      </c>
      <c r="X16" s="30" t="str">
        <f t="shared" si="4"/>
        <v>WW</v>
      </c>
      <c r="Y16" s="30" t="str">
        <f t="shared" si="5"/>
        <v>-</v>
      </c>
      <c r="Z16" s="29" t="b">
        <f t="shared" si="6"/>
        <v>0</v>
      </c>
      <c r="AA16" s="29" t="b">
        <f t="shared" si="7"/>
        <v>0</v>
      </c>
      <c r="AB16" s="29" t="str">
        <f t="shared" ca="1" si="8"/>
        <v>++</v>
      </c>
      <c r="AC16" s="29">
        <f t="shared" si="34"/>
        <v>13</v>
      </c>
      <c r="AD16" s="29">
        <f t="shared" ca="1" si="9"/>
        <v>13</v>
      </c>
      <c r="AE16" s="29">
        <v>13</v>
      </c>
      <c r="AF16" s="31">
        <f t="shared" si="42"/>
        <v>9</v>
      </c>
      <c r="AG16" s="29" t="b">
        <f t="shared" si="11"/>
        <v>1</v>
      </c>
      <c r="AH16" s="30" t="str">
        <f t="shared" ca="1" si="43"/>
        <v>141-2</v>
      </c>
      <c r="AI16" s="30" t="str">
        <f t="shared" ca="1" si="13"/>
        <v/>
      </c>
      <c r="AJ16" s="29">
        <f t="shared" ca="1" si="14"/>
        <v>0</v>
      </c>
      <c r="AK16" s="29" t="str">
        <f t="shared" ca="1" si="15"/>
        <v>2/3</v>
      </c>
      <c r="AL16" s="29">
        <f t="shared" ca="1" si="16"/>
        <v>0.66666666666666663</v>
      </c>
      <c r="AM16" s="32">
        <f t="shared" ca="1" si="35"/>
        <v>0.66666666666666663</v>
      </c>
      <c r="AO16" s="20">
        <f>Tools!$AD15</f>
        <v>10</v>
      </c>
      <c r="AP16" s="33">
        <f t="shared" si="36"/>
        <v>11</v>
      </c>
      <c r="AQ16" s="34" t="str">
        <f t="shared" ca="1" si="18"/>
        <v>2/3</v>
      </c>
      <c r="AR16" s="23">
        <f t="shared" ca="1" si="19"/>
        <v>7.333333333333333</v>
      </c>
      <c r="AS16" s="24">
        <f t="shared" si="20"/>
        <v>0</v>
      </c>
      <c r="AT16" s="23">
        <f t="shared" ca="1" si="37"/>
        <v>0</v>
      </c>
      <c r="AU16" s="23">
        <f t="shared" ca="1" si="40"/>
        <v>0</v>
      </c>
      <c r="AV16" s="23">
        <f t="shared" si="21"/>
        <v>1331</v>
      </c>
      <c r="AW16" s="23">
        <f t="shared" ca="1" si="22"/>
        <v>887.33333333333326</v>
      </c>
      <c r="AY16" s="35">
        <f t="shared" si="23"/>
        <v>86.573333333333323</v>
      </c>
      <c r="AZ16" s="23">
        <f t="shared" ca="1" si="41"/>
        <v>57.715555555555547</v>
      </c>
      <c r="BA16" s="36">
        <f t="shared" si="25"/>
        <v>175.32666666666665</v>
      </c>
      <c r="BB16" s="27">
        <f t="shared" ca="1" si="38"/>
        <v>116.88444444444443</v>
      </c>
      <c r="BC16" s="23">
        <f ca="1">IFERROR(AZ16*AS16,"  ")</f>
        <v>0</v>
      </c>
      <c r="BE16" s="51" t="s">
        <v>44</v>
      </c>
      <c r="BF16" s="48" t="s">
        <v>49</v>
      </c>
      <c r="BG16" s="49">
        <f ca="1">IF(WL_No="  ","  ",2/3*h*$AW$29)</f>
        <v>85927.72647820336</v>
      </c>
    </row>
    <row r="17" spans="1:59" x14ac:dyDescent="0.25">
      <c r="A17" s="20">
        <f>Tools!$AD16</f>
        <v>11</v>
      </c>
      <c r="B17" s="33">
        <f t="shared" si="0"/>
        <v>11</v>
      </c>
      <c r="C17" s="22">
        <f>IF(A17="  ","  ",IF(AND(A16="  ",A18="  "),"?",IF(A16="  ",2*(A18-A17),IF(A18="  ",2*(A17-A16),2*(A18-A16)))))</f>
        <v>4</v>
      </c>
      <c r="D17" s="23">
        <f t="shared" si="26"/>
        <v>44</v>
      </c>
      <c r="E17" s="24">
        <f t="shared" si="1"/>
        <v>1</v>
      </c>
      <c r="F17" s="23">
        <f t="shared" si="27"/>
        <v>44</v>
      </c>
      <c r="G17" s="23">
        <f t="shared" si="28"/>
        <v>44</v>
      </c>
      <c r="H17" s="23">
        <f t="shared" si="29"/>
        <v>1331</v>
      </c>
      <c r="I17" s="23">
        <f t="shared" si="30"/>
        <v>5324</v>
      </c>
      <c r="J17" s="4"/>
      <c r="K17" s="37">
        <f t="shared" si="2"/>
        <v>86.573333333333323</v>
      </c>
      <c r="L17" s="23">
        <f t="shared" si="31"/>
        <v>346.29333333333329</v>
      </c>
      <c r="M17" s="38">
        <f t="shared" si="3"/>
        <v>175.32666666666665</v>
      </c>
      <c r="N17" s="27">
        <f t="shared" si="32"/>
        <v>701.30666666666662</v>
      </c>
      <c r="O17" s="23">
        <f t="shared" si="33"/>
        <v>346.29333333333329</v>
      </c>
      <c r="P17" s="4"/>
      <c r="Q17" s="50" t="s">
        <v>50</v>
      </c>
      <c r="R17" s="48" t="s">
        <v>51</v>
      </c>
      <c r="S17">
        <f>IF(Tools!$L$49="Use 141 rule only",I41,IF(Tools!$L$49="Use 141 and 1331 rules",BG18," "))</f>
        <v>9287.6189722222207</v>
      </c>
      <c r="W17" s="29">
        <f>IF(AO17="  ","  ",IF(AND(AO16="  ",AO18="  "),"?",IF(AO16="  ",2*(AO18-AO17),IF(AO18="  ",2*(AO17-AO16),2*(AO18-AO16)))))</f>
        <v>4</v>
      </c>
      <c r="X17" s="30" t="str">
        <f t="shared" si="4"/>
        <v>WW</v>
      </c>
      <c r="Y17" s="30" t="str">
        <f t="shared" si="5"/>
        <v>-</v>
      </c>
      <c r="Z17" s="29" t="b">
        <f t="shared" si="6"/>
        <v>0</v>
      </c>
      <c r="AA17" s="29" t="b">
        <f t="shared" si="7"/>
        <v>0</v>
      </c>
      <c r="AB17" s="29" t="str">
        <f t="shared" ca="1" si="8"/>
        <v>++</v>
      </c>
      <c r="AC17" s="29">
        <f t="shared" si="34"/>
        <v>12</v>
      </c>
      <c r="AD17" s="29">
        <f t="shared" ca="1" si="9"/>
        <v>12</v>
      </c>
      <c r="AE17" s="29">
        <v>14</v>
      </c>
      <c r="AF17" s="31">
        <f t="shared" si="42"/>
        <v>10</v>
      </c>
      <c r="AG17" s="29" t="b">
        <f t="shared" si="11"/>
        <v>1</v>
      </c>
      <c r="AH17" s="30" t="str">
        <f t="shared" ca="1" si="43"/>
        <v>141-4</v>
      </c>
      <c r="AI17" s="30" t="str">
        <f t="shared" ca="1" si="13"/>
        <v/>
      </c>
      <c r="AJ17" s="29">
        <f t="shared" ca="1" si="14"/>
        <v>0</v>
      </c>
      <c r="AK17" s="29" t="str">
        <f t="shared" ca="1" si="15"/>
        <v>4/3</v>
      </c>
      <c r="AL17" s="29">
        <f t="shared" ca="1" si="16"/>
        <v>1.3333333333333333</v>
      </c>
      <c r="AM17" s="32">
        <f t="shared" ca="1" si="35"/>
        <v>1.3333333333333333</v>
      </c>
      <c r="AO17" s="20">
        <f>Tools!$AD16</f>
        <v>11</v>
      </c>
      <c r="AP17" s="33">
        <f t="shared" si="36"/>
        <v>11</v>
      </c>
      <c r="AQ17" s="34" t="str">
        <f t="shared" ca="1" si="18"/>
        <v>4/3</v>
      </c>
      <c r="AR17" s="23">
        <f t="shared" ca="1" si="19"/>
        <v>14.666666666666666</v>
      </c>
      <c r="AS17" s="24">
        <f t="shared" si="20"/>
        <v>1</v>
      </c>
      <c r="AT17" s="23">
        <f t="shared" ca="1" si="37"/>
        <v>14.666666666666666</v>
      </c>
      <c r="AU17" s="23">
        <f t="shared" ca="1" si="40"/>
        <v>14.666666666666666</v>
      </c>
      <c r="AV17" s="23">
        <f t="shared" si="21"/>
        <v>1331</v>
      </c>
      <c r="AW17" s="23">
        <f t="shared" ca="1" si="22"/>
        <v>1774.6666666666665</v>
      </c>
      <c r="AY17" s="35">
        <f t="shared" si="23"/>
        <v>86.573333333333323</v>
      </c>
      <c r="AZ17" s="23">
        <f t="shared" ca="1" si="41"/>
        <v>115.43111111111109</v>
      </c>
      <c r="BA17" s="36">
        <f t="shared" si="25"/>
        <v>175.32666666666665</v>
      </c>
      <c r="BB17" s="27">
        <f t="shared" ca="1" si="38"/>
        <v>233.76888888888885</v>
      </c>
      <c r="BC17" s="23">
        <f t="shared" ca="1" si="39"/>
        <v>115.43111111111109</v>
      </c>
      <c r="BE17" s="50" t="s">
        <v>47</v>
      </c>
      <c r="BF17" s="48" t="s">
        <v>48</v>
      </c>
      <c r="BG17" s="49">
        <f>IF(WL_No="  ","  ",IL-AWP*(LCF^2))</f>
        <v>3008039.9095599502</v>
      </c>
    </row>
    <row r="18" spans="1:59" x14ac:dyDescent="0.25">
      <c r="A18" s="20">
        <f>Tools!$AD17</f>
        <v>12</v>
      </c>
      <c r="B18" s="33">
        <f t="shared" si="0"/>
        <v>11</v>
      </c>
      <c r="C18" s="22">
        <f>IF(A18="  ","  ",IF(AND(A17="  ",A19="  "),"?",IF(A17="  ",1*(A19-A18),IF(A19="  ",1*(A18-A17),1*(A19-A17)))))</f>
        <v>2</v>
      </c>
      <c r="D18" s="23">
        <f t="shared" si="26"/>
        <v>22</v>
      </c>
      <c r="E18" s="24">
        <f t="shared" si="1"/>
        <v>2</v>
      </c>
      <c r="F18" s="23">
        <f t="shared" si="27"/>
        <v>44</v>
      </c>
      <c r="G18" s="23">
        <f t="shared" si="28"/>
        <v>88</v>
      </c>
      <c r="H18" s="23">
        <f t="shared" si="29"/>
        <v>1331</v>
      </c>
      <c r="I18" s="23">
        <f t="shared" si="30"/>
        <v>2662</v>
      </c>
      <c r="J18" s="4"/>
      <c r="K18" s="37">
        <f t="shared" si="2"/>
        <v>86.573333333333323</v>
      </c>
      <c r="L18" s="23">
        <f t="shared" si="31"/>
        <v>173.14666666666665</v>
      </c>
      <c r="M18" s="38">
        <f t="shared" si="3"/>
        <v>175.32666666666665</v>
      </c>
      <c r="N18" s="27">
        <f t="shared" si="32"/>
        <v>350.65333333333331</v>
      </c>
      <c r="O18" s="23">
        <f t="shared" si="33"/>
        <v>346.29333333333329</v>
      </c>
      <c r="P18" s="4"/>
      <c r="Q18" s="50" t="s">
        <v>52</v>
      </c>
      <c r="R18" s="48" t="s">
        <v>53</v>
      </c>
      <c r="S18">
        <f>IF(Tools!$L$49="Use 141 rule only",I42,IF(Tools!$L$49="Use 141 and 1331 rules",BG19," "))</f>
        <v>9576.9283032069416</v>
      </c>
      <c r="W18" s="29">
        <f>IF(AO18="  ","  ",IF(AND(AO17="  ",AO19="  "),"?",IF(AO17="  ",1*(AO19-AO18),IF(AO19="  ",1*(AO18-AO17),1*(AO19-AO17)))))</f>
        <v>2</v>
      </c>
      <c r="X18" s="30" t="str">
        <f t="shared" si="4"/>
        <v>WW</v>
      </c>
      <c r="Y18" s="30" t="str">
        <f t="shared" si="5"/>
        <v>-</v>
      </c>
      <c r="Z18" s="29" t="b">
        <f t="shared" si="6"/>
        <v>0</v>
      </c>
      <c r="AA18" s="29" t="b">
        <f t="shared" si="7"/>
        <v>0</v>
      </c>
      <c r="AB18" s="29" t="str">
        <f t="shared" ca="1" si="8"/>
        <v>++</v>
      </c>
      <c r="AC18" s="29">
        <f t="shared" si="34"/>
        <v>11</v>
      </c>
      <c r="AD18" s="29">
        <f t="shared" ca="1" si="9"/>
        <v>11</v>
      </c>
      <c r="AE18" s="29">
        <v>15</v>
      </c>
      <c r="AF18" s="31">
        <f t="shared" si="42"/>
        <v>11</v>
      </c>
      <c r="AG18" s="29" t="b">
        <f t="shared" si="11"/>
        <v>1</v>
      </c>
      <c r="AH18" s="30" t="str">
        <f t="shared" ca="1" si="43"/>
        <v>141-2</v>
      </c>
      <c r="AI18" s="30" t="str">
        <f t="shared" ca="1" si="13"/>
        <v/>
      </c>
      <c r="AJ18" s="29">
        <f t="shared" ca="1" si="14"/>
        <v>0</v>
      </c>
      <c r="AK18" s="29" t="str">
        <f t="shared" ca="1" si="15"/>
        <v>2/3</v>
      </c>
      <c r="AL18" s="29">
        <f t="shared" ca="1" si="16"/>
        <v>0.66666666666666663</v>
      </c>
      <c r="AM18" s="32">
        <f t="shared" ca="1" si="35"/>
        <v>0.66666666666666663</v>
      </c>
      <c r="AO18" s="20">
        <f>Tools!$AD17</f>
        <v>12</v>
      </c>
      <c r="AP18" s="33">
        <f t="shared" si="36"/>
        <v>11</v>
      </c>
      <c r="AQ18" s="34" t="str">
        <f t="shared" ca="1" si="18"/>
        <v>2/3</v>
      </c>
      <c r="AR18" s="23">
        <f t="shared" ca="1" si="19"/>
        <v>7.333333333333333</v>
      </c>
      <c r="AS18" s="24">
        <f t="shared" si="20"/>
        <v>2</v>
      </c>
      <c r="AT18" s="23">
        <f t="shared" ca="1" si="37"/>
        <v>14.666666666666666</v>
      </c>
      <c r="AU18" s="23">
        <f t="shared" ca="1" si="40"/>
        <v>29.333333333333332</v>
      </c>
      <c r="AV18" s="23">
        <f t="shared" si="21"/>
        <v>1331</v>
      </c>
      <c r="AW18" s="23">
        <f t="shared" ca="1" si="22"/>
        <v>887.33333333333326</v>
      </c>
      <c r="AY18" s="35">
        <f t="shared" si="23"/>
        <v>86.573333333333323</v>
      </c>
      <c r="AZ18" s="23">
        <f t="shared" ca="1" si="41"/>
        <v>57.715555555555547</v>
      </c>
      <c r="BA18" s="36">
        <f t="shared" si="25"/>
        <v>175.32666666666665</v>
      </c>
      <c r="BB18" s="27">
        <f t="shared" ca="1" si="38"/>
        <v>116.88444444444443</v>
      </c>
      <c r="BC18" s="23">
        <f t="shared" ca="1" si="39"/>
        <v>115.43111111111109</v>
      </c>
      <c r="BE18" s="50" t="s">
        <v>50</v>
      </c>
      <c r="BF18" s="48" t="s">
        <v>54</v>
      </c>
      <c r="BG18" s="49">
        <f ca="1">IF(WL_No="  ","  ",h*$AZ$29)</f>
        <v>9287.6189722222171</v>
      </c>
    </row>
    <row r="19" spans="1:59" x14ac:dyDescent="0.25">
      <c r="A19" s="20">
        <f>Tools!$AD18</f>
        <v>13</v>
      </c>
      <c r="B19" s="33">
        <f t="shared" si="0"/>
        <v>11</v>
      </c>
      <c r="C19" s="22">
        <f>IF(A19="  ","  ",IF(AND(A18="  ",A20="  "),"?",IF(A18="  ",2*(A20-A19),IF(A20="  ",2*(A19-A18),2*(A20-A18)))))</f>
        <v>4</v>
      </c>
      <c r="D19" s="23">
        <f t="shared" si="26"/>
        <v>44</v>
      </c>
      <c r="E19" s="24">
        <f t="shared" si="1"/>
        <v>3</v>
      </c>
      <c r="F19" s="23">
        <f t="shared" si="27"/>
        <v>132</v>
      </c>
      <c r="G19" s="23">
        <f t="shared" si="28"/>
        <v>396</v>
      </c>
      <c r="H19" s="23">
        <f t="shared" si="29"/>
        <v>1331</v>
      </c>
      <c r="I19" s="23">
        <f t="shared" si="30"/>
        <v>5324</v>
      </c>
      <c r="J19" s="4"/>
      <c r="K19" s="37">
        <f t="shared" si="2"/>
        <v>86.573333333333323</v>
      </c>
      <c r="L19" s="23">
        <f t="shared" si="31"/>
        <v>346.29333333333329</v>
      </c>
      <c r="M19" s="38">
        <f t="shared" si="3"/>
        <v>175.32666666666665</v>
      </c>
      <c r="N19" s="27">
        <f t="shared" si="32"/>
        <v>701.30666666666662</v>
      </c>
      <c r="O19" s="23">
        <f t="shared" si="33"/>
        <v>1038.8799999999999</v>
      </c>
      <c r="P19" s="4"/>
      <c r="Q19" s="50" t="s">
        <v>55</v>
      </c>
      <c r="R19" s="48" t="s">
        <v>56</v>
      </c>
      <c r="S19">
        <f>IF(Tools!$L$49="Use 141 rule only",I43,IF(Tools!$L$49="Use 141 and 1331 rules",BG20," "))</f>
        <v>19338.336966666666</v>
      </c>
      <c r="W19" s="29">
        <f>IF(AO19="  ","  ",IF(AND(AO18="  ",AO20="  "),"?",IF(AO18="  ",2*(AO20-AO19),IF(AO20="  ",2*(AO19-AO18),2*(AO20-AO18)))))</f>
        <v>4</v>
      </c>
      <c r="X19" s="30" t="str">
        <f t="shared" si="4"/>
        <v>WW</v>
      </c>
      <c r="Y19" s="30" t="str">
        <f t="shared" si="5"/>
        <v>-</v>
      </c>
      <c r="Z19" s="29" t="b">
        <f t="shared" si="6"/>
        <v>0</v>
      </c>
      <c r="AA19" s="29" t="b">
        <f t="shared" si="7"/>
        <v>0</v>
      </c>
      <c r="AB19" s="29" t="str">
        <f t="shared" ca="1" si="8"/>
        <v>++</v>
      </c>
      <c r="AC19" s="29">
        <f t="shared" si="34"/>
        <v>10</v>
      </c>
      <c r="AD19" s="29">
        <f t="shared" ca="1" si="9"/>
        <v>10</v>
      </c>
      <c r="AE19" s="29">
        <v>16</v>
      </c>
      <c r="AF19" s="31">
        <f t="shared" si="42"/>
        <v>12</v>
      </c>
      <c r="AG19" s="29" t="b">
        <f t="shared" si="11"/>
        <v>1</v>
      </c>
      <c r="AH19" s="30" t="str">
        <f t="shared" ca="1" si="43"/>
        <v>141-4</v>
      </c>
      <c r="AI19" s="30" t="str">
        <f t="shared" ca="1" si="13"/>
        <v/>
      </c>
      <c r="AJ19" s="29">
        <f t="shared" ca="1" si="14"/>
        <v>0</v>
      </c>
      <c r="AK19" s="29" t="str">
        <f t="shared" ca="1" si="15"/>
        <v>4/3</v>
      </c>
      <c r="AL19" s="29">
        <f t="shared" ca="1" si="16"/>
        <v>1.3333333333333333</v>
      </c>
      <c r="AM19" s="32">
        <f t="shared" ca="1" si="35"/>
        <v>1.3333333333333333</v>
      </c>
      <c r="AO19" s="20">
        <f>Tools!$AD18</f>
        <v>13</v>
      </c>
      <c r="AP19" s="33">
        <f t="shared" si="36"/>
        <v>11</v>
      </c>
      <c r="AQ19" s="34" t="str">
        <f t="shared" ca="1" si="18"/>
        <v>4/3</v>
      </c>
      <c r="AR19" s="23">
        <f t="shared" ca="1" si="19"/>
        <v>14.666666666666666</v>
      </c>
      <c r="AS19" s="24">
        <f t="shared" si="20"/>
        <v>3</v>
      </c>
      <c r="AT19" s="23">
        <f t="shared" ca="1" si="37"/>
        <v>44</v>
      </c>
      <c r="AU19" s="23">
        <f t="shared" ca="1" si="40"/>
        <v>132</v>
      </c>
      <c r="AV19" s="23">
        <f t="shared" si="21"/>
        <v>1331</v>
      </c>
      <c r="AW19" s="23">
        <f t="shared" ca="1" si="22"/>
        <v>1774.6666666666665</v>
      </c>
      <c r="AY19" s="35">
        <f t="shared" si="23"/>
        <v>86.573333333333323</v>
      </c>
      <c r="AZ19" s="23">
        <f t="shared" ca="1" si="41"/>
        <v>115.43111111111109</v>
      </c>
      <c r="BA19" s="36">
        <f t="shared" si="25"/>
        <v>175.32666666666665</v>
      </c>
      <c r="BB19" s="27">
        <f t="shared" ca="1" si="38"/>
        <v>233.76888888888885</v>
      </c>
      <c r="BC19" s="23">
        <f t="shared" ca="1" si="39"/>
        <v>346.29333333333329</v>
      </c>
      <c r="BE19" s="50" t="s">
        <v>52</v>
      </c>
      <c r="BF19" s="48" t="s">
        <v>53</v>
      </c>
      <c r="BG19" s="49">
        <f>IF(WL_No="  ","  ",V_Disp*1.025*1.006)</f>
        <v>9576.9283032069416</v>
      </c>
    </row>
    <row r="20" spans="1:59" x14ac:dyDescent="0.25">
      <c r="A20" s="20">
        <f>Tools!$AD19</f>
        <v>14</v>
      </c>
      <c r="B20" s="33">
        <f t="shared" si="0"/>
        <v>11</v>
      </c>
      <c r="C20" s="22">
        <f>IF(A20="  ","  ",IF(AND(A19="  ",A21="  "),"?",IF(A19="  ",1*(A21-A20),IF(A21="  ",1*(A20-A19),1*(A21-A19)))))</f>
        <v>2</v>
      </c>
      <c r="D20" s="23">
        <f t="shared" si="26"/>
        <v>22</v>
      </c>
      <c r="E20" s="24">
        <f t="shared" si="1"/>
        <v>4</v>
      </c>
      <c r="F20" s="23">
        <f t="shared" si="27"/>
        <v>88</v>
      </c>
      <c r="G20" s="23">
        <f t="shared" si="28"/>
        <v>352</v>
      </c>
      <c r="H20" s="23">
        <f t="shared" si="29"/>
        <v>1331</v>
      </c>
      <c r="I20" s="23">
        <f t="shared" si="30"/>
        <v>2662</v>
      </c>
      <c r="J20" s="4"/>
      <c r="K20" s="37">
        <f t="shared" si="2"/>
        <v>86.193333333333328</v>
      </c>
      <c r="L20" s="23">
        <f t="shared" si="31"/>
        <v>172.38666666666666</v>
      </c>
      <c r="M20" s="38">
        <f t="shared" si="3"/>
        <v>175.06</v>
      </c>
      <c r="N20" s="27">
        <f t="shared" si="32"/>
        <v>350.12</v>
      </c>
      <c r="O20" s="23">
        <f t="shared" si="33"/>
        <v>689.54666666666662</v>
      </c>
      <c r="P20" s="4"/>
      <c r="Q20" s="50" t="s">
        <v>57</v>
      </c>
      <c r="R20" s="48" t="s">
        <v>58</v>
      </c>
      <c r="S20">
        <f>IF(Tools!$L$49="Use 141 rule only",I44,IF(Tools!$L$49="Use 141 and 1331 rules",BG21," "))</f>
        <v>44691.638475666688</v>
      </c>
      <c r="W20" s="29">
        <f>IF(AO20="  ","  ",IF(AND(AO19="  ",AO21="  "),"?",IF(AO19="  ",1*(AO21-AO20),IF(AO21="  ",1*(AO20-AO19),1*(AO21-AO19)))))</f>
        <v>2</v>
      </c>
      <c r="X20" s="30" t="str">
        <f t="shared" si="4"/>
        <v>WW</v>
      </c>
      <c r="Y20" s="30" t="str">
        <f t="shared" si="5"/>
        <v>-</v>
      </c>
      <c r="Z20" s="29" t="b">
        <f t="shared" si="6"/>
        <v>0</v>
      </c>
      <c r="AA20" s="29" t="b">
        <f t="shared" si="7"/>
        <v>0</v>
      </c>
      <c r="AB20" s="29" t="str">
        <f t="shared" ca="1" si="8"/>
        <v>++</v>
      </c>
      <c r="AC20" s="29">
        <f t="shared" si="34"/>
        <v>9</v>
      </c>
      <c r="AD20" s="29">
        <f t="shared" ca="1" si="9"/>
        <v>9</v>
      </c>
      <c r="AE20" s="29">
        <v>17</v>
      </c>
      <c r="AF20" s="31">
        <f t="shared" si="42"/>
        <v>13</v>
      </c>
      <c r="AG20" s="29" t="b">
        <f t="shared" si="11"/>
        <v>1</v>
      </c>
      <c r="AH20" s="30" t="str">
        <f t="shared" ca="1" si="43"/>
        <v>141-2</v>
      </c>
      <c r="AI20" s="30" t="str">
        <f t="shared" ca="1" si="13"/>
        <v/>
      </c>
      <c r="AJ20" s="29">
        <f t="shared" ca="1" si="14"/>
        <v>0</v>
      </c>
      <c r="AK20" s="29" t="str">
        <f t="shared" ca="1" si="15"/>
        <v>2/3</v>
      </c>
      <c r="AL20" s="29">
        <f t="shared" ca="1" si="16"/>
        <v>0.66666666666666663</v>
      </c>
      <c r="AM20" s="32">
        <f t="shared" ca="1" si="35"/>
        <v>0.66666666666666663</v>
      </c>
      <c r="AO20" s="20">
        <f>Tools!$AD19</f>
        <v>14</v>
      </c>
      <c r="AP20" s="33">
        <f t="shared" si="36"/>
        <v>11</v>
      </c>
      <c r="AQ20" s="34" t="str">
        <f t="shared" ca="1" si="18"/>
        <v>2/3</v>
      </c>
      <c r="AR20" s="23">
        <f t="shared" ca="1" si="19"/>
        <v>7.333333333333333</v>
      </c>
      <c r="AS20" s="24">
        <f t="shared" si="20"/>
        <v>4</v>
      </c>
      <c r="AT20" s="23">
        <f t="shared" ca="1" si="37"/>
        <v>29.333333333333332</v>
      </c>
      <c r="AU20" s="23">
        <f t="shared" ca="1" si="40"/>
        <v>117.33333333333333</v>
      </c>
      <c r="AV20" s="23">
        <f t="shared" si="21"/>
        <v>1331</v>
      </c>
      <c r="AW20" s="23">
        <f t="shared" ca="1" si="22"/>
        <v>887.33333333333326</v>
      </c>
      <c r="AY20" s="35">
        <f t="shared" si="23"/>
        <v>86.193333333333328</v>
      </c>
      <c r="AZ20" s="23">
        <f t="shared" ca="1" si="41"/>
        <v>57.462222222222216</v>
      </c>
      <c r="BA20" s="36">
        <f t="shared" si="25"/>
        <v>175.06</v>
      </c>
      <c r="BB20" s="27">
        <f t="shared" ca="1" si="38"/>
        <v>116.70666666666666</v>
      </c>
      <c r="BC20" s="23">
        <f t="shared" ca="1" si="39"/>
        <v>229.84888888888887</v>
      </c>
      <c r="BE20" s="50" t="s">
        <v>55</v>
      </c>
      <c r="BF20" s="48" t="s">
        <v>59</v>
      </c>
      <c r="BG20" s="49">
        <f ca="1">IF(WL_No="  ","  ",h*$BB$29)</f>
        <v>19338.336966666662</v>
      </c>
    </row>
    <row r="21" spans="1:59" x14ac:dyDescent="0.25">
      <c r="A21" s="20">
        <f>Tools!$AD20</f>
        <v>15</v>
      </c>
      <c r="B21" s="33">
        <f t="shared" si="0"/>
        <v>11</v>
      </c>
      <c r="C21" s="22">
        <f>IF(A21="  ","  ",IF(AND(A20="  ",A22="  "),"?",IF(A20="  ",2*(A22-A21),IF(A22="  ",2*(A21-A20),2*(A22-A20)))))</f>
        <v>4</v>
      </c>
      <c r="D21" s="23">
        <f t="shared" si="26"/>
        <v>44</v>
      </c>
      <c r="E21" s="24">
        <f t="shared" si="1"/>
        <v>5</v>
      </c>
      <c r="F21" s="23">
        <f t="shared" si="27"/>
        <v>220</v>
      </c>
      <c r="G21" s="23">
        <f t="shared" si="28"/>
        <v>1100</v>
      </c>
      <c r="H21" s="23">
        <f t="shared" si="29"/>
        <v>1331</v>
      </c>
      <c r="I21" s="23">
        <f t="shared" si="30"/>
        <v>5324</v>
      </c>
      <c r="J21" s="4"/>
      <c r="K21" s="37">
        <f t="shared" si="2"/>
        <v>83.846666666666664</v>
      </c>
      <c r="L21" s="23">
        <f t="shared" si="31"/>
        <v>335.38666666666666</v>
      </c>
      <c r="M21" s="38">
        <f t="shared" si="3"/>
        <v>172.14</v>
      </c>
      <c r="N21" s="27">
        <f t="shared" si="32"/>
        <v>688.56</v>
      </c>
      <c r="O21" s="23">
        <f t="shared" si="33"/>
        <v>1676.9333333333334</v>
      </c>
      <c r="P21" s="4"/>
      <c r="Q21" s="50" t="s">
        <v>60</v>
      </c>
      <c r="R21" s="48" t="s">
        <v>61</v>
      </c>
      <c r="S21">
        <f>IF(Tools!$L$49="Use 141 rule only",I45,IF(Tools!$L$49="Use 141 and 1331 rules",BG22," "))</f>
        <v>323.87632595141071</v>
      </c>
      <c r="W21" s="29">
        <f>IF(AO21="  ","  ",IF(AND(AO20="  ",AO22="  "),"?",IF(AO20="  ",2*(AO22-AO21),IF(AO22="  ",2*(AO21-AO20),2*(AO22-AO20)))))</f>
        <v>4</v>
      </c>
      <c r="X21" s="30" t="str">
        <f t="shared" si="4"/>
        <v>WW</v>
      </c>
      <c r="Y21" s="30" t="str">
        <f t="shared" si="5"/>
        <v>-</v>
      </c>
      <c r="Z21" s="29" t="b">
        <f t="shared" si="6"/>
        <v>0</v>
      </c>
      <c r="AA21" s="29" t="b">
        <f t="shared" si="7"/>
        <v>0</v>
      </c>
      <c r="AB21" s="29" t="str">
        <f t="shared" ca="1" si="8"/>
        <v>++</v>
      </c>
      <c r="AC21" s="29">
        <f t="shared" si="34"/>
        <v>8</v>
      </c>
      <c r="AD21" s="29">
        <f t="shared" ca="1" si="9"/>
        <v>8</v>
      </c>
      <c r="AE21" s="29">
        <v>18</v>
      </c>
      <c r="AF21" s="31">
        <f t="shared" si="42"/>
        <v>14</v>
      </c>
      <c r="AG21" s="29" t="b">
        <f t="shared" si="11"/>
        <v>1</v>
      </c>
      <c r="AH21" s="30" t="str">
        <f t="shared" ca="1" si="43"/>
        <v>141-4</v>
      </c>
      <c r="AI21" s="30" t="str">
        <f t="shared" ca="1" si="13"/>
        <v/>
      </c>
      <c r="AJ21" s="29">
        <f t="shared" ca="1" si="14"/>
        <v>0</v>
      </c>
      <c r="AK21" s="29" t="str">
        <f t="shared" ca="1" si="15"/>
        <v>4/3</v>
      </c>
      <c r="AL21" s="29">
        <f t="shared" ca="1" si="16"/>
        <v>1.3333333333333333</v>
      </c>
      <c r="AM21" s="32">
        <f t="shared" ca="1" si="35"/>
        <v>1.3333333333333333</v>
      </c>
      <c r="AO21" s="20">
        <f>Tools!$AD20</f>
        <v>15</v>
      </c>
      <c r="AP21" s="33">
        <f t="shared" si="36"/>
        <v>11</v>
      </c>
      <c r="AQ21" s="34" t="str">
        <f t="shared" ca="1" si="18"/>
        <v>4/3</v>
      </c>
      <c r="AR21" s="23">
        <f t="shared" ca="1" si="19"/>
        <v>14.666666666666666</v>
      </c>
      <c r="AS21" s="24">
        <f t="shared" si="20"/>
        <v>5</v>
      </c>
      <c r="AT21" s="23">
        <f t="shared" ca="1" si="37"/>
        <v>73.333333333333329</v>
      </c>
      <c r="AU21" s="23">
        <f t="shared" ca="1" si="40"/>
        <v>366.66666666666663</v>
      </c>
      <c r="AV21" s="23">
        <f t="shared" si="21"/>
        <v>1331</v>
      </c>
      <c r="AW21" s="23">
        <f t="shared" ca="1" si="22"/>
        <v>1774.6666666666665</v>
      </c>
      <c r="AY21" s="35">
        <f t="shared" si="23"/>
        <v>83.846666666666664</v>
      </c>
      <c r="AZ21" s="23">
        <f t="shared" ca="1" si="41"/>
        <v>111.79555555555555</v>
      </c>
      <c r="BA21" s="36">
        <f t="shared" si="25"/>
        <v>172.14</v>
      </c>
      <c r="BB21" s="27">
        <f t="shared" ca="1" si="38"/>
        <v>229.51999999999998</v>
      </c>
      <c r="BC21" s="23">
        <f t="shared" ca="1" si="39"/>
        <v>558.97777777777776</v>
      </c>
      <c r="BE21" s="50" t="s">
        <v>57</v>
      </c>
      <c r="BF21" s="48" t="s">
        <v>62</v>
      </c>
      <c r="BG21" s="49">
        <f ca="1">IF(WL_No="  ","  ",(h^2)*$BC$29)</f>
        <v>44691.638475666659</v>
      </c>
    </row>
    <row r="22" spans="1:59" x14ac:dyDescent="0.25">
      <c r="A22" s="20">
        <f>Tools!$AD21</f>
        <v>16</v>
      </c>
      <c r="B22" s="33">
        <f t="shared" si="0"/>
        <v>10.5</v>
      </c>
      <c r="C22" s="22">
        <f>IF(A22="  ","  ",IF(AND(A21="  ",A23="  "),"?",IF(A21="  ",1*(A23-A22),IF(A23="  ",1*(A22-A21),1*(A23-A21)))))</f>
        <v>2</v>
      </c>
      <c r="D22" s="23">
        <f t="shared" si="26"/>
        <v>21</v>
      </c>
      <c r="E22" s="24">
        <f t="shared" si="1"/>
        <v>6</v>
      </c>
      <c r="F22" s="23">
        <f t="shared" si="27"/>
        <v>126</v>
      </c>
      <c r="G22" s="23">
        <f t="shared" si="28"/>
        <v>756</v>
      </c>
      <c r="H22" s="23">
        <f t="shared" si="29"/>
        <v>1157.625</v>
      </c>
      <c r="I22" s="23">
        <f t="shared" si="30"/>
        <v>2315.25</v>
      </c>
      <c r="J22" s="4"/>
      <c r="K22" s="37">
        <f t="shared" si="2"/>
        <v>77.366666666666674</v>
      </c>
      <c r="L22" s="23">
        <f t="shared" si="31"/>
        <v>154.73333333333335</v>
      </c>
      <c r="M22" s="38">
        <f t="shared" si="3"/>
        <v>161.11000000000001</v>
      </c>
      <c r="N22" s="27">
        <f t="shared" si="32"/>
        <v>322.22000000000003</v>
      </c>
      <c r="O22" s="23">
        <f t="shared" si="33"/>
        <v>928.40000000000009</v>
      </c>
      <c r="P22" s="4"/>
      <c r="Q22" s="50" t="s">
        <v>63</v>
      </c>
      <c r="R22" s="48" t="s">
        <v>64</v>
      </c>
      <c r="S22">
        <f>IF(Tools!$L$49="Use 141 rule only",I46,IF(Tools!$L$49="Use 141 and 1331 rules",BG23," "))</f>
        <v>9.2518574174069137</v>
      </c>
      <c r="W22" s="29">
        <f>IF(AO22="  ","  ",IF(AND(AO21="  ",AO23="  "),"?",IF(AO21="  ",1*(AO23-AO22),IF(AO23="  ",1*(AO22-AO21),1*(AO23-AO21)))))</f>
        <v>2</v>
      </c>
      <c r="X22" s="30" t="str">
        <f t="shared" si="4"/>
        <v>WW</v>
      </c>
      <c r="Y22" s="30" t="str">
        <f t="shared" si="5"/>
        <v>-</v>
      </c>
      <c r="Z22" s="29" t="b">
        <f t="shared" si="6"/>
        <v>0</v>
      </c>
      <c r="AA22" s="29" t="b">
        <f t="shared" si="7"/>
        <v>0</v>
      </c>
      <c r="AB22" s="29" t="str">
        <f t="shared" ca="1" si="8"/>
        <v>++</v>
      </c>
      <c r="AC22" s="29">
        <f t="shared" si="34"/>
        <v>7</v>
      </c>
      <c r="AD22" s="29">
        <f t="shared" ca="1" si="9"/>
        <v>7</v>
      </c>
      <c r="AE22" s="29">
        <v>19</v>
      </c>
      <c r="AF22" s="31">
        <f t="shared" si="42"/>
        <v>15</v>
      </c>
      <c r="AG22" s="29" t="b">
        <f t="shared" si="11"/>
        <v>1</v>
      </c>
      <c r="AH22" s="30" t="str">
        <f t="shared" ca="1" si="43"/>
        <v>141-2</v>
      </c>
      <c r="AI22" s="30" t="str">
        <f t="shared" ca="1" si="13"/>
        <v/>
      </c>
      <c r="AJ22" s="29">
        <f t="shared" ca="1" si="14"/>
        <v>0</v>
      </c>
      <c r="AK22" s="29" t="str">
        <f t="shared" ca="1" si="15"/>
        <v>2/3</v>
      </c>
      <c r="AL22" s="29">
        <f t="shared" ca="1" si="16"/>
        <v>0.66666666666666663</v>
      </c>
      <c r="AM22" s="32">
        <f t="shared" ca="1" si="35"/>
        <v>0.66666666666666663</v>
      </c>
      <c r="AO22" s="20">
        <f>Tools!$AD21</f>
        <v>16</v>
      </c>
      <c r="AP22" s="33">
        <f t="shared" si="36"/>
        <v>10.5</v>
      </c>
      <c r="AQ22" s="34" t="str">
        <f t="shared" ca="1" si="18"/>
        <v>2/3</v>
      </c>
      <c r="AR22" s="23">
        <f t="shared" ca="1" si="19"/>
        <v>7</v>
      </c>
      <c r="AS22" s="24">
        <f t="shared" si="20"/>
        <v>6</v>
      </c>
      <c r="AT22" s="23">
        <f t="shared" ca="1" si="37"/>
        <v>42</v>
      </c>
      <c r="AU22" s="23">
        <f t="shared" ca="1" si="40"/>
        <v>252</v>
      </c>
      <c r="AV22" s="23">
        <f t="shared" si="21"/>
        <v>1157.625</v>
      </c>
      <c r="AW22" s="23">
        <f t="shared" ca="1" si="22"/>
        <v>771.75</v>
      </c>
      <c r="AY22" s="35">
        <f t="shared" si="23"/>
        <v>77.366666666666674</v>
      </c>
      <c r="AZ22" s="23">
        <f t="shared" ca="1" si="41"/>
        <v>51.577777777777783</v>
      </c>
      <c r="BA22" s="36">
        <f t="shared" si="25"/>
        <v>161.11000000000001</v>
      </c>
      <c r="BB22" s="27">
        <f t="shared" ca="1" si="38"/>
        <v>107.40666666666667</v>
      </c>
      <c r="BC22" s="23">
        <f t="shared" ca="1" si="39"/>
        <v>309.4666666666667</v>
      </c>
      <c r="BE22" s="50" t="s">
        <v>60</v>
      </c>
      <c r="BF22" s="48" t="s">
        <v>61</v>
      </c>
      <c r="BG22" s="49">
        <f>IF(WL_No="  ","  ",IF/V_Disp)</f>
        <v>323.87632595141071</v>
      </c>
    </row>
    <row r="23" spans="1:59" x14ac:dyDescent="0.25">
      <c r="A23" s="20">
        <f>Tools!$AD22</f>
        <v>17</v>
      </c>
      <c r="B23" s="33">
        <f t="shared" si="0"/>
        <v>9.32</v>
      </c>
      <c r="C23" s="22">
        <f>IF(A23="  ","  ",IF(AND(A22="  ",A24="  "),"?",IF(A22="  ",2*(A24-A23),IF(A24="  ",2*(A23-A22),2*(A24-A22)))))</f>
        <v>4</v>
      </c>
      <c r="D23" s="23">
        <f t="shared" si="26"/>
        <v>37.28</v>
      </c>
      <c r="E23" s="24">
        <f t="shared" si="1"/>
        <v>7</v>
      </c>
      <c r="F23" s="23">
        <f t="shared" si="27"/>
        <v>260.96000000000004</v>
      </c>
      <c r="G23" s="23">
        <f t="shared" si="28"/>
        <v>1826.7200000000003</v>
      </c>
      <c r="H23" s="23">
        <f t="shared" si="29"/>
        <v>809.55756800000006</v>
      </c>
      <c r="I23" s="23">
        <f t="shared" si="30"/>
        <v>3238.2302720000002</v>
      </c>
      <c r="J23" s="4"/>
      <c r="K23" s="37">
        <f t="shared" si="2"/>
        <v>65.276666666666671</v>
      </c>
      <c r="L23" s="23">
        <f t="shared" si="31"/>
        <v>261.10666666666668</v>
      </c>
      <c r="M23" s="38">
        <f t="shared" si="3"/>
        <v>138.89666666666665</v>
      </c>
      <c r="N23" s="27">
        <f t="shared" si="32"/>
        <v>555.58666666666659</v>
      </c>
      <c r="O23" s="23">
        <f t="shared" si="33"/>
        <v>1827.7466666666669</v>
      </c>
      <c r="P23" s="4"/>
      <c r="Q23" s="50" t="s">
        <v>65</v>
      </c>
      <c r="R23" s="48" t="s">
        <v>66</v>
      </c>
      <c r="S23">
        <f>IF(Tools!$L$49="Use 141 rule only",I47,IF(Tools!$L$49="Use 141 and 1331 rules",BG24," "))</f>
        <v>2.0821630414107783</v>
      </c>
      <c r="W23" s="29">
        <f>IF(AO23="  ","  ",IF(AND(AO22="  ",AO24="  "),"?",IF(AO22="  ",2*(AO24-AO23),IF(AO24="  ",2*(AO23-AO22),2*(AO24-AO22)))))</f>
        <v>4</v>
      </c>
      <c r="X23" s="30" t="str">
        <f t="shared" si="4"/>
        <v>WW</v>
      </c>
      <c r="Y23" s="30" t="str">
        <f t="shared" si="5"/>
        <v>-</v>
      </c>
      <c r="Z23" s="29" t="b">
        <f t="shared" si="6"/>
        <v>0</v>
      </c>
      <c r="AA23" s="29" t="b">
        <f t="shared" si="7"/>
        <v>0</v>
      </c>
      <c r="AB23" s="29" t="str">
        <f t="shared" ca="1" si="8"/>
        <v>++</v>
      </c>
      <c r="AC23" s="29">
        <f t="shared" si="34"/>
        <v>6</v>
      </c>
      <c r="AD23" s="29">
        <f t="shared" ca="1" si="9"/>
        <v>6</v>
      </c>
      <c r="AE23" s="29">
        <v>20</v>
      </c>
      <c r="AF23" s="31">
        <f t="shared" si="42"/>
        <v>16</v>
      </c>
      <c r="AG23" s="29" t="b">
        <f t="shared" si="11"/>
        <v>1</v>
      </c>
      <c r="AH23" s="30" t="str">
        <f t="shared" ca="1" si="43"/>
        <v>141-4</v>
      </c>
      <c r="AI23" s="30" t="str">
        <f t="shared" ca="1" si="13"/>
        <v/>
      </c>
      <c r="AJ23" s="29">
        <f t="shared" ca="1" si="14"/>
        <v>0</v>
      </c>
      <c r="AK23" s="29" t="str">
        <f t="shared" ca="1" si="15"/>
        <v>4/3</v>
      </c>
      <c r="AL23" s="29">
        <f t="shared" ca="1" si="16"/>
        <v>1.3333333333333333</v>
      </c>
      <c r="AM23" s="32">
        <f t="shared" ca="1" si="35"/>
        <v>1.3333333333333333</v>
      </c>
      <c r="AO23" s="20">
        <f>Tools!$AD22</f>
        <v>17</v>
      </c>
      <c r="AP23" s="33">
        <f t="shared" si="36"/>
        <v>9.32</v>
      </c>
      <c r="AQ23" s="34" t="str">
        <f t="shared" ca="1" si="18"/>
        <v>4/3</v>
      </c>
      <c r="AR23" s="23">
        <f t="shared" ca="1" si="19"/>
        <v>12.426666666666666</v>
      </c>
      <c r="AS23" s="24">
        <f t="shared" si="20"/>
        <v>7</v>
      </c>
      <c r="AT23" s="23">
        <f t="shared" ca="1" si="37"/>
        <v>86.986666666666665</v>
      </c>
      <c r="AU23" s="23">
        <f t="shared" ca="1" si="40"/>
        <v>608.90666666666664</v>
      </c>
      <c r="AV23" s="23">
        <f t="shared" si="21"/>
        <v>809.55756800000006</v>
      </c>
      <c r="AW23" s="23">
        <f t="shared" ca="1" si="22"/>
        <v>1079.4100906666667</v>
      </c>
      <c r="AY23" s="35">
        <f t="shared" si="23"/>
        <v>65.276666666666671</v>
      </c>
      <c r="AZ23" s="23">
        <f t="shared" ca="1" si="41"/>
        <v>87.035555555555561</v>
      </c>
      <c r="BA23" s="36">
        <f t="shared" si="25"/>
        <v>138.89666666666665</v>
      </c>
      <c r="BB23" s="27">
        <f t="shared" ca="1" si="38"/>
        <v>185.19555555555553</v>
      </c>
      <c r="BC23" s="23">
        <f t="shared" ca="1" si="39"/>
        <v>609.24888888888893</v>
      </c>
      <c r="BE23" s="50" t="s">
        <v>63</v>
      </c>
      <c r="BF23" s="48" t="s">
        <v>64</v>
      </c>
      <c r="BG23" s="49">
        <f>IF(WL_No="  ","  ",IT/V_Disp)</f>
        <v>9.2518574174069137</v>
      </c>
    </row>
    <row r="24" spans="1:59" x14ac:dyDescent="0.25">
      <c r="A24" s="20">
        <f>Tools!$AD23</f>
        <v>18</v>
      </c>
      <c r="B24" s="33">
        <f t="shared" si="0"/>
        <v>7.08</v>
      </c>
      <c r="C24" s="22">
        <f>IF(A24="  ","  ",IF(AND(A23="  ",A25="  "),"?",IF(A23="  ",1*(A25-A24),IF(A25="  ",1*(A24-A23),1*(A25-A23)))))</f>
        <v>1.5</v>
      </c>
      <c r="D24" s="23">
        <f t="shared" si="26"/>
        <v>10.620000000000001</v>
      </c>
      <c r="E24" s="24">
        <f t="shared" si="1"/>
        <v>8</v>
      </c>
      <c r="F24" s="23">
        <f t="shared" si="27"/>
        <v>84.960000000000008</v>
      </c>
      <c r="G24" s="23">
        <f t="shared" si="28"/>
        <v>679.68000000000006</v>
      </c>
      <c r="H24" s="23">
        <f t="shared" si="29"/>
        <v>354.89491200000003</v>
      </c>
      <c r="I24" s="23">
        <f t="shared" si="30"/>
        <v>532.34236800000008</v>
      </c>
      <c r="J24" s="4"/>
      <c r="K24" s="37">
        <f t="shared" si="2"/>
        <v>47.536666666666662</v>
      </c>
      <c r="L24" s="23">
        <f t="shared" si="31"/>
        <v>71.304999999999993</v>
      </c>
      <c r="M24" s="38">
        <f t="shared" si="3"/>
        <v>103.24666666666666</v>
      </c>
      <c r="N24" s="27">
        <f t="shared" si="32"/>
        <v>154.86999999999998</v>
      </c>
      <c r="O24" s="23">
        <f t="shared" si="33"/>
        <v>570.43999999999994</v>
      </c>
      <c r="P24" s="4"/>
      <c r="Q24" s="50" t="s">
        <v>67</v>
      </c>
      <c r="R24" s="48" t="s">
        <v>68</v>
      </c>
      <c r="S24">
        <f>IF(Tools!$L$49="Use 141 rule only",I48,IF(Tools!$L$49="Use 141 and 1331 rules",BG25," "))</f>
        <v>11.334020458817692</v>
      </c>
      <c r="W24" s="29">
        <f>IF(AO24="  ","  ",IF(AND(AO23="  ",AO25="  "),"?",IF(AO23="  ",1*(AO25-AO24),IF(AO25="  ",1*(AO24-AO23),1*(AO25-AO23)))))</f>
        <v>1.5</v>
      </c>
      <c r="X24" s="30" t="str">
        <f t="shared" si="4"/>
        <v>WD</v>
      </c>
      <c r="Y24" s="30" t="str">
        <f t="shared" si="5"/>
        <v>-</v>
      </c>
      <c r="Z24" s="29" t="b">
        <f t="shared" si="6"/>
        <v>1</v>
      </c>
      <c r="AA24" s="29" t="b">
        <f t="shared" si="7"/>
        <v>1</v>
      </c>
      <c r="AB24" s="29" t="str">
        <f t="shared" ca="1" si="8"/>
        <v>141-1</v>
      </c>
      <c r="AC24" s="29">
        <f t="shared" si="34"/>
        <v>5</v>
      </c>
      <c r="AD24" s="29">
        <f t="shared" ca="1" si="9"/>
        <v>5</v>
      </c>
      <c r="AE24" s="29">
        <v>21</v>
      </c>
      <c r="AF24" s="31">
        <f t="shared" si="42"/>
        <v>17</v>
      </c>
      <c r="AG24" s="29" t="b">
        <f t="shared" si="11"/>
        <v>1</v>
      </c>
      <c r="AH24" s="30" t="str">
        <f t="shared" ca="1" si="43"/>
        <v>141-1</v>
      </c>
      <c r="AI24" s="30" t="str">
        <f t="shared" ca="1" si="13"/>
        <v>(1/2)*(1/3)</v>
      </c>
      <c r="AJ24" s="29">
        <f t="shared" ca="1" si="14"/>
        <v>0.16666666666666666</v>
      </c>
      <c r="AK24" s="29" t="str">
        <f t="shared" ca="1" si="15"/>
        <v>1/3</v>
      </c>
      <c r="AL24" s="29">
        <f t="shared" ca="1" si="16"/>
        <v>0.33333333333333331</v>
      </c>
      <c r="AM24" s="32">
        <f t="shared" ca="1" si="35"/>
        <v>0.5</v>
      </c>
      <c r="AO24" s="20">
        <f>Tools!$AD23</f>
        <v>18</v>
      </c>
      <c r="AP24" s="33">
        <f t="shared" si="36"/>
        <v>7.08</v>
      </c>
      <c r="AQ24" s="34" t="str">
        <f t="shared" ca="1" si="18"/>
        <v>(1/2)*(1/3)+1/3</v>
      </c>
      <c r="AR24" s="23">
        <f t="shared" ca="1" si="19"/>
        <v>3.54</v>
      </c>
      <c r="AS24" s="24">
        <f t="shared" si="20"/>
        <v>8</v>
      </c>
      <c r="AT24" s="23">
        <f t="shared" ca="1" si="37"/>
        <v>28.32</v>
      </c>
      <c r="AU24" s="23">
        <f t="shared" ca="1" si="40"/>
        <v>226.56</v>
      </c>
      <c r="AV24" s="23">
        <f t="shared" si="21"/>
        <v>354.89491200000003</v>
      </c>
      <c r="AW24" s="23">
        <f t="shared" ca="1" si="22"/>
        <v>177.44745600000002</v>
      </c>
      <c r="AY24" s="35">
        <f t="shared" si="23"/>
        <v>47.536666666666662</v>
      </c>
      <c r="AZ24" s="23">
        <f t="shared" ca="1" si="41"/>
        <v>23.768333333333331</v>
      </c>
      <c r="BA24" s="36">
        <f t="shared" si="25"/>
        <v>103.24666666666666</v>
      </c>
      <c r="BB24" s="27">
        <f t="shared" ca="1" si="38"/>
        <v>51.623333333333328</v>
      </c>
      <c r="BC24" s="23">
        <f t="shared" ca="1" si="39"/>
        <v>190.14666666666665</v>
      </c>
      <c r="BE24" s="50" t="s">
        <v>65</v>
      </c>
      <c r="BF24" s="48" t="s">
        <v>66</v>
      </c>
      <c r="BG24" s="49">
        <f>IF(WL_No="  ","  ",MT/V_Disp)</f>
        <v>2.0821630414107783</v>
      </c>
    </row>
    <row r="25" spans="1:59" x14ac:dyDescent="0.25">
      <c r="A25" s="20">
        <f>Tools!$AD24</f>
        <v>18.5</v>
      </c>
      <c r="B25" s="33">
        <f t="shared" si="0"/>
        <v>5.63</v>
      </c>
      <c r="C25" s="22">
        <f>IF(A25="  ","  ",IF(AND(A24="  ",A26="  "),"?",IF(A24="  ",2*(A26-A25),IF(A26="  ",2*(A25-A24),2*(A26-A24)))))</f>
        <v>2</v>
      </c>
      <c r="D25" s="23">
        <f t="shared" si="26"/>
        <v>11.26</v>
      </c>
      <c r="E25" s="24">
        <f t="shared" si="1"/>
        <v>8.5</v>
      </c>
      <c r="F25" s="23">
        <f t="shared" si="27"/>
        <v>95.71</v>
      </c>
      <c r="G25" s="23">
        <f t="shared" si="28"/>
        <v>813.53499999999997</v>
      </c>
      <c r="H25" s="23">
        <f t="shared" si="29"/>
        <v>178.45354699999999</v>
      </c>
      <c r="I25" s="23">
        <f t="shared" si="30"/>
        <v>356.90709399999997</v>
      </c>
      <c r="J25" s="4"/>
      <c r="K25" s="37">
        <f t="shared" si="2"/>
        <v>37.016666666666666</v>
      </c>
      <c r="L25" s="23">
        <f t="shared" si="31"/>
        <v>74.033333333333331</v>
      </c>
      <c r="M25" s="38">
        <f t="shared" si="3"/>
        <v>81.493333333333325</v>
      </c>
      <c r="N25" s="27">
        <f t="shared" si="32"/>
        <v>162.98666666666665</v>
      </c>
      <c r="O25" s="23">
        <f t="shared" si="33"/>
        <v>629.2833333333333</v>
      </c>
      <c r="P25" s="4"/>
      <c r="Q25" s="50" t="s">
        <v>69</v>
      </c>
      <c r="R25" s="48" t="s">
        <v>70</v>
      </c>
      <c r="S25">
        <f>IF(Tools!$L$49="Use 141 rule only",I49,IF(Tools!$L$49="Use 141 and 1331 rules",BG26," "))</f>
        <v>325.95848899282146</v>
      </c>
      <c r="W25" s="29">
        <f>IF(AO25="  ","  ",IF(AND(AO24="  ",AO26="  "),"?",IF(AO24="  ",2*(AO26-AO25),IF(AO26="  ",2*(AO25-AO24),2*(AO26-AO24)))))</f>
        <v>2</v>
      </c>
      <c r="X25" s="30" t="str">
        <f t="shared" si="4"/>
        <v>DD</v>
      </c>
      <c r="Y25" s="30" t="str">
        <f t="shared" si="5"/>
        <v>-</v>
      </c>
      <c r="Z25" s="29" t="b">
        <f t="shared" si="6"/>
        <v>1</v>
      </c>
      <c r="AA25" s="29" t="b">
        <f t="shared" si="7"/>
        <v>1</v>
      </c>
      <c r="AB25" s="29" t="str">
        <f t="shared" ca="1" si="8"/>
        <v>141-4</v>
      </c>
      <c r="AC25" s="29">
        <f t="shared" si="34"/>
        <v>4</v>
      </c>
      <c r="AD25" s="29">
        <f t="shared" ca="1" si="9"/>
        <v>4</v>
      </c>
      <c r="AE25" s="29">
        <v>22</v>
      </c>
      <c r="AF25" s="31">
        <f t="shared" si="42"/>
        <v>18</v>
      </c>
      <c r="AG25" s="29" t="b">
        <f t="shared" si="11"/>
        <v>0</v>
      </c>
      <c r="AH25" s="30" t="str">
        <f t="shared" si="43"/>
        <v>-</v>
      </c>
      <c r="AI25" s="30" t="str">
        <f t="shared" ca="1" si="13"/>
        <v>(1/2)*(4/3)</v>
      </c>
      <c r="AJ25" s="29">
        <f t="shared" ca="1" si="14"/>
        <v>0.66666666666666663</v>
      </c>
      <c r="AK25" s="29" t="str">
        <f t="shared" si="15"/>
        <v/>
      </c>
      <c r="AL25" s="29">
        <f t="shared" si="16"/>
        <v>0</v>
      </c>
      <c r="AM25" s="32">
        <f t="shared" ca="1" si="35"/>
        <v>0.66666666666666663</v>
      </c>
      <c r="AO25" s="20">
        <f>Tools!$AD24</f>
        <v>18.5</v>
      </c>
      <c r="AP25" s="33">
        <f t="shared" si="36"/>
        <v>5.63</v>
      </c>
      <c r="AQ25" s="34" t="str">
        <f t="shared" ca="1" si="18"/>
        <v>(1/2)*(4/3)</v>
      </c>
      <c r="AR25" s="23">
        <f t="shared" ca="1" si="19"/>
        <v>3.753333333333333</v>
      </c>
      <c r="AS25" s="24">
        <f t="shared" si="20"/>
        <v>8.5</v>
      </c>
      <c r="AT25" s="23">
        <f t="shared" ca="1" si="37"/>
        <v>31.903333333333329</v>
      </c>
      <c r="AU25" s="23">
        <f t="shared" ca="1" si="40"/>
        <v>271.17833333333328</v>
      </c>
      <c r="AV25" s="23">
        <f t="shared" si="21"/>
        <v>178.45354699999999</v>
      </c>
      <c r="AW25" s="23">
        <f t="shared" ca="1" si="22"/>
        <v>118.96903133333332</v>
      </c>
      <c r="AY25" s="35">
        <f t="shared" si="23"/>
        <v>37.016666666666666</v>
      </c>
      <c r="AZ25" s="23">
        <f t="shared" ca="1" si="41"/>
        <v>24.677777777777777</v>
      </c>
      <c r="BA25" s="36">
        <f t="shared" si="25"/>
        <v>81.493333333333325</v>
      </c>
      <c r="BB25" s="27">
        <f t="shared" ca="1" si="38"/>
        <v>54.328888888888883</v>
      </c>
      <c r="BC25" s="23">
        <f t="shared" ca="1" si="39"/>
        <v>209.76111111111112</v>
      </c>
      <c r="BE25" s="50" t="s">
        <v>67</v>
      </c>
      <c r="BF25" s="48" t="s">
        <v>68</v>
      </c>
      <c r="BG25" s="49">
        <f>IF(WL_No="  ","  ",KB+BMT)</f>
        <v>11.334020458817692</v>
      </c>
    </row>
    <row r="26" spans="1:59" x14ac:dyDescent="0.25">
      <c r="A26" s="20">
        <f>Tools!$AD25</f>
        <v>19</v>
      </c>
      <c r="B26" s="33">
        <f t="shared" si="0"/>
        <v>4.1100000000000003</v>
      </c>
      <c r="C26" s="22">
        <f>IF(A26="  ","  ",IF(AND(A25="  ",A27="  "),"?",IF(A25="  ",1*(A27-A26),IF(A27="  ",1*(A26-A25),1*(A27-A25)))))</f>
        <v>1</v>
      </c>
      <c r="D26" s="23">
        <f t="shared" si="26"/>
        <v>4.1100000000000003</v>
      </c>
      <c r="E26" s="24">
        <f t="shared" si="1"/>
        <v>9</v>
      </c>
      <c r="F26" s="23">
        <f t="shared" si="27"/>
        <v>36.99</v>
      </c>
      <c r="G26" s="23">
        <f t="shared" si="28"/>
        <v>332.91</v>
      </c>
      <c r="H26" s="23">
        <f t="shared" si="29"/>
        <v>69.426531000000011</v>
      </c>
      <c r="I26" s="23">
        <f t="shared" si="30"/>
        <v>69.426531000000011</v>
      </c>
      <c r="J26" s="4"/>
      <c r="K26" s="37">
        <f t="shared" si="2"/>
        <v>26.336666666666666</v>
      </c>
      <c r="L26" s="23">
        <f t="shared" si="31"/>
        <v>26.336666666666666</v>
      </c>
      <c r="M26" s="38">
        <f t="shared" si="3"/>
        <v>58.966666666666654</v>
      </c>
      <c r="N26" s="27">
        <f t="shared" si="32"/>
        <v>58.966666666666654</v>
      </c>
      <c r="O26" s="23">
        <f t="shared" si="33"/>
        <v>237.03</v>
      </c>
      <c r="P26" s="4"/>
      <c r="Q26" s="50" t="s">
        <v>71</v>
      </c>
      <c r="R26" s="48" t="s">
        <v>72</v>
      </c>
      <c r="S26">
        <f>IF(Tools!$L$49="Use 141 rule only",I50,IF(Tools!$L$49="Use 141 and 1331 rules",BG27," "))</f>
        <v>25.84324402499999</v>
      </c>
      <c r="W26" s="29">
        <f>IF(AO26="  ","  ",IF(AND(AO25="  ",AO27="  "),"?",IF(AO25="  ",1*(AO27-AO26),IF(AO27="  ",1*(AO26-AO25),1*(AO27-AO25)))))</f>
        <v>1</v>
      </c>
      <c r="X26" s="30" t="str">
        <f t="shared" si="4"/>
        <v>DD</v>
      </c>
      <c r="Y26" s="30" t="str">
        <f t="shared" si="5"/>
        <v>-</v>
      </c>
      <c r="Z26" s="29" t="b">
        <f t="shared" si="6"/>
        <v>1</v>
      </c>
      <c r="AA26" s="29" t="b">
        <f t="shared" si="7"/>
        <v>1</v>
      </c>
      <c r="AB26" s="29" t="str">
        <f t="shared" ca="1" si="8"/>
        <v>141-2</v>
      </c>
      <c r="AC26" s="29">
        <f t="shared" si="34"/>
        <v>3</v>
      </c>
      <c r="AD26" s="29">
        <f t="shared" ca="1" si="9"/>
        <v>3</v>
      </c>
      <c r="AE26" s="29">
        <v>23</v>
      </c>
      <c r="AF26" s="31">
        <f t="shared" si="42"/>
        <v>19</v>
      </c>
      <c r="AG26" s="29" t="b">
        <f t="shared" si="11"/>
        <v>0</v>
      </c>
      <c r="AH26" s="30" t="str">
        <f t="shared" si="43"/>
        <v>-</v>
      </c>
      <c r="AI26" s="30" t="str">
        <f t="shared" ca="1" si="13"/>
        <v>(1/2)*(2/3)</v>
      </c>
      <c r="AJ26" s="29">
        <f t="shared" ca="1" si="14"/>
        <v>0.33333333333333331</v>
      </c>
      <c r="AK26" s="29" t="str">
        <f t="shared" si="15"/>
        <v/>
      </c>
      <c r="AL26" s="29">
        <f t="shared" si="16"/>
        <v>0</v>
      </c>
      <c r="AM26" s="32">
        <f t="shared" ca="1" si="35"/>
        <v>0.33333333333333331</v>
      </c>
      <c r="AO26" s="20">
        <f>Tools!$AD25</f>
        <v>19</v>
      </c>
      <c r="AP26" s="33">
        <f t="shared" si="36"/>
        <v>4.1100000000000003</v>
      </c>
      <c r="AQ26" s="34" t="str">
        <f t="shared" ca="1" si="18"/>
        <v>(1/2)*(2/3)</v>
      </c>
      <c r="AR26" s="23">
        <f t="shared" ca="1" si="19"/>
        <v>1.37</v>
      </c>
      <c r="AS26" s="24">
        <f t="shared" si="20"/>
        <v>9</v>
      </c>
      <c r="AT26" s="23">
        <f t="shared" ca="1" si="37"/>
        <v>12.330000000000002</v>
      </c>
      <c r="AU26" s="23">
        <f t="shared" ca="1" si="40"/>
        <v>110.97000000000001</v>
      </c>
      <c r="AV26" s="23">
        <f t="shared" si="21"/>
        <v>69.426531000000011</v>
      </c>
      <c r="AW26" s="23">
        <f t="shared" ca="1" si="22"/>
        <v>23.142177000000004</v>
      </c>
      <c r="AY26" s="35">
        <f t="shared" si="23"/>
        <v>26.336666666666666</v>
      </c>
      <c r="AZ26" s="23">
        <f t="shared" ca="1" si="41"/>
        <v>8.7788888888888881</v>
      </c>
      <c r="BA26" s="36">
        <f t="shared" si="25"/>
        <v>58.966666666666654</v>
      </c>
      <c r="BB26" s="27">
        <f t="shared" ca="1" si="38"/>
        <v>19.655555555555551</v>
      </c>
      <c r="BC26" s="23">
        <f t="shared" ca="1" si="39"/>
        <v>79.009999999999991</v>
      </c>
      <c r="BE26" s="50" t="s">
        <v>69</v>
      </c>
      <c r="BF26" s="48" t="s">
        <v>70</v>
      </c>
      <c r="BG26" s="49">
        <f>IF(WL_No="  ","  ",KB+BML)</f>
        <v>325.95848899282146</v>
      </c>
    </row>
    <row r="27" spans="1:59" x14ac:dyDescent="0.25">
      <c r="A27" s="20">
        <f>Tools!$AD26</f>
        <v>19.5</v>
      </c>
      <c r="B27" s="33">
        <f t="shared" si="0"/>
        <v>2.63</v>
      </c>
      <c r="C27" s="22">
        <f>IF(A27="  ","  ",IF(AND(A26="  ",A28="  "),"?",IF(A26="  ",2*(A28-A27),IF(A28="  ",2*(A27-A26),2*(A28-A26)))))</f>
        <v>2</v>
      </c>
      <c r="D27" s="23">
        <f t="shared" si="26"/>
        <v>5.26</v>
      </c>
      <c r="E27" s="24">
        <f t="shared" si="1"/>
        <v>9.5</v>
      </c>
      <c r="F27" s="23">
        <f t="shared" si="27"/>
        <v>49.97</v>
      </c>
      <c r="G27" s="23">
        <f t="shared" si="28"/>
        <v>474.71499999999997</v>
      </c>
      <c r="H27" s="23">
        <f t="shared" si="29"/>
        <v>18.191446999999997</v>
      </c>
      <c r="I27" s="23">
        <f t="shared" si="30"/>
        <v>36.382893999999993</v>
      </c>
      <c r="J27" s="4"/>
      <c r="K27" s="37">
        <f t="shared" si="2"/>
        <v>16.366666666666664</v>
      </c>
      <c r="L27" s="23">
        <f t="shared" si="31"/>
        <v>32.733333333333327</v>
      </c>
      <c r="M27" s="38">
        <f t="shared" si="3"/>
        <v>37.836666666666659</v>
      </c>
      <c r="N27" s="27">
        <f t="shared" si="32"/>
        <v>75.673333333333318</v>
      </c>
      <c r="O27" s="23">
        <f t="shared" si="33"/>
        <v>310.96666666666658</v>
      </c>
      <c r="P27" s="4"/>
      <c r="Q27" s="50" t="s">
        <v>73</v>
      </c>
      <c r="R27" s="48" t="s">
        <v>74</v>
      </c>
      <c r="S27">
        <f>IF(Tools!$L$49="Use 141 rule only",I51,IF(Tools!$L$49="Use 141 and 1331 rules",BG28," "))</f>
        <v>4.81195865262477</v>
      </c>
      <c r="W27" s="29">
        <f>IF(AO27="  ","  ",IF(AND(AO26="  ",AO28="  "),"?",IF(AO26="  ",2*(AO28-AO27),IF(AO28="  ",2*(AO27-AO26),2*(AO28-AO26)))))</f>
        <v>2</v>
      </c>
      <c r="X27" s="30" t="str">
        <f t="shared" si="4"/>
        <v>DD</v>
      </c>
      <c r="Y27" s="30" t="str">
        <f t="shared" si="5"/>
        <v>-</v>
      </c>
      <c r="Z27" s="29" t="b">
        <f t="shared" si="6"/>
        <v>1</v>
      </c>
      <c r="AA27" s="29" t="b">
        <f t="shared" si="7"/>
        <v>1</v>
      </c>
      <c r="AB27" s="29" t="str">
        <f t="shared" ca="1" si="8"/>
        <v>141-4</v>
      </c>
      <c r="AC27" s="29">
        <f t="shared" si="34"/>
        <v>2</v>
      </c>
      <c r="AD27" s="29">
        <f t="shared" ca="1" si="9"/>
        <v>2</v>
      </c>
      <c r="AE27" s="29">
        <v>24</v>
      </c>
      <c r="AF27" s="31">
        <f t="shared" si="42"/>
        <v>20</v>
      </c>
      <c r="AG27" s="29" t="b">
        <f t="shared" si="11"/>
        <v>0</v>
      </c>
      <c r="AH27" s="30" t="str">
        <f t="shared" si="43"/>
        <v>-</v>
      </c>
      <c r="AI27" s="30" t="str">
        <f t="shared" ca="1" si="13"/>
        <v>(1/2)*(4/3)</v>
      </c>
      <c r="AJ27" s="29">
        <f t="shared" ca="1" si="14"/>
        <v>0.66666666666666663</v>
      </c>
      <c r="AK27" s="29" t="str">
        <f t="shared" si="15"/>
        <v/>
      </c>
      <c r="AL27" s="29">
        <f t="shared" si="16"/>
        <v>0</v>
      </c>
      <c r="AM27" s="32">
        <f t="shared" ca="1" si="35"/>
        <v>0.66666666666666663</v>
      </c>
      <c r="AO27" s="20">
        <f>Tools!$AD26</f>
        <v>19.5</v>
      </c>
      <c r="AP27" s="33">
        <f t="shared" ref="AP27:AP28" si="44">VLOOKUP(AO27,OFFSET_A,Count_WL+1,FALSE)</f>
        <v>2.63</v>
      </c>
      <c r="AQ27" s="34" t="str">
        <f t="shared" ca="1" si="18"/>
        <v>(1/2)*(4/3)</v>
      </c>
      <c r="AR27" s="23">
        <f t="shared" ca="1" si="19"/>
        <v>1.7533333333333332</v>
      </c>
      <c r="AS27" s="24">
        <f t="shared" si="20"/>
        <v>9.5</v>
      </c>
      <c r="AT27" s="23">
        <f t="shared" ca="1" si="37"/>
        <v>16.656666666666666</v>
      </c>
      <c r="AU27" s="23">
        <f t="shared" ca="1" si="40"/>
        <v>158.23833333333334</v>
      </c>
      <c r="AV27" s="23">
        <f t="shared" si="21"/>
        <v>18.191446999999997</v>
      </c>
      <c r="AW27" s="23">
        <f t="shared" ca="1" si="22"/>
        <v>12.12763133333333</v>
      </c>
      <c r="AY27" s="35">
        <f t="shared" si="23"/>
        <v>16.366666666666664</v>
      </c>
      <c r="AZ27" s="23">
        <f t="shared" ca="1" si="41"/>
        <v>10.911111111111108</v>
      </c>
      <c r="BA27" s="36">
        <f t="shared" si="25"/>
        <v>37.836666666666659</v>
      </c>
      <c r="BB27" s="27">
        <f t="shared" ca="1" si="38"/>
        <v>25.224444444444437</v>
      </c>
      <c r="BC27" s="23">
        <f t="shared" ca="1" si="39"/>
        <v>103.65555555555552</v>
      </c>
      <c r="BE27" s="50" t="s">
        <v>71</v>
      </c>
      <c r="BF27" s="48" t="s">
        <v>72</v>
      </c>
      <c r="BG27" s="49">
        <f>IF(WL_No="  ","  ",AWP*1.025/100)</f>
        <v>25.84324402499999</v>
      </c>
    </row>
    <row r="28" spans="1:59" ht="15.75" thickBot="1" x14ac:dyDescent="0.3">
      <c r="A28" s="20">
        <f>Tools!$AD27</f>
        <v>20</v>
      </c>
      <c r="B28" s="52">
        <f t="shared" si="0"/>
        <v>1.1200000000000001</v>
      </c>
      <c r="C28" s="22">
        <f>IF(A28="  ","  ",IF(A27="  ","?",1*(A28-A27)))</f>
        <v>0.5</v>
      </c>
      <c r="D28" s="53">
        <f t="shared" si="26"/>
        <v>0.56000000000000005</v>
      </c>
      <c r="E28" s="24">
        <f t="shared" si="1"/>
        <v>10</v>
      </c>
      <c r="F28" s="53">
        <f t="shared" si="27"/>
        <v>5.6000000000000005</v>
      </c>
      <c r="G28" s="53">
        <f t="shared" si="28"/>
        <v>56.000000000000007</v>
      </c>
      <c r="H28" s="23">
        <f t="shared" si="29"/>
        <v>1.4049280000000004</v>
      </c>
      <c r="I28" s="53">
        <f t="shared" si="30"/>
        <v>0.7024640000000002</v>
      </c>
      <c r="J28" s="4"/>
      <c r="K28" s="35">
        <f t="shared" si="2"/>
        <v>9.6866666666666656</v>
      </c>
      <c r="L28" s="53">
        <f t="shared" si="31"/>
        <v>4.8433333333333328</v>
      </c>
      <c r="M28" s="36">
        <f t="shared" si="3"/>
        <v>21.049999999999997</v>
      </c>
      <c r="N28" s="54">
        <f t="shared" si="32"/>
        <v>10.524999999999999</v>
      </c>
      <c r="O28" s="53">
        <f t="shared" si="33"/>
        <v>48.43333333333333</v>
      </c>
      <c r="P28" s="4"/>
      <c r="Q28" s="50" t="s">
        <v>75</v>
      </c>
      <c r="R28" s="55" t="s">
        <v>76</v>
      </c>
      <c r="S28">
        <f>IF(Tools!$L$49="Use 141 rule only",I52,IF(Tools!$L$49="Use 141 and 1331 rules",BG29," "))</f>
        <v>212.15734286886064</v>
      </c>
      <c r="W28" s="29">
        <f>IF(AO28="  ","  ",IF(AO27="  ","?",1*(AO28-AO27)))</f>
        <v>0.5</v>
      </c>
      <c r="X28" s="30" t="str">
        <f t="shared" si="4"/>
        <v>D-</v>
      </c>
      <c r="Y28" s="30" t="str">
        <f t="shared" si="5"/>
        <v>-</v>
      </c>
      <c r="Z28" s="29" t="b">
        <f t="shared" si="6"/>
        <v>1</v>
      </c>
      <c r="AA28" s="29" t="b">
        <f t="shared" si="7"/>
        <v>1</v>
      </c>
      <c r="AB28" s="29" t="str">
        <f t="shared" ca="1" si="8"/>
        <v>141-1</v>
      </c>
      <c r="AC28" s="29">
        <f>IF(ISNUMBER(AO28),IF(ISNUMBER(AO28),IF(OR(AO28=0,AO28=Long_Div),1,IF(AO28&gt;Long_Div/2,AF29+1,IF(AO28&lt;=Long_Div/2,AC27+1,"?")))," --")," ")</f>
        <v>1</v>
      </c>
      <c r="AD28" s="29">
        <f t="shared" ca="1" si="9"/>
        <v>1</v>
      </c>
      <c r="AE28" s="29">
        <v>25</v>
      </c>
      <c r="AF28" s="31">
        <f t="shared" si="42"/>
        <v>21</v>
      </c>
      <c r="AG28" s="29" t="b">
        <f t="shared" si="11"/>
        <v>0</v>
      </c>
      <c r="AH28" s="30" t="str">
        <f t="shared" si="43"/>
        <v>-</v>
      </c>
      <c r="AI28" s="30" t="str">
        <f t="shared" ca="1" si="13"/>
        <v>(1/2)*(1/3)</v>
      </c>
      <c r="AJ28" s="29">
        <f t="shared" ca="1" si="14"/>
        <v>0.16666666666666666</v>
      </c>
      <c r="AK28" s="29" t="str">
        <f t="shared" si="15"/>
        <v/>
      </c>
      <c r="AL28" s="29">
        <f t="shared" si="16"/>
        <v>0</v>
      </c>
      <c r="AM28" s="32">
        <f t="shared" ca="1" si="35"/>
        <v>0.16666666666666666</v>
      </c>
      <c r="AO28" s="20">
        <f>Tools!$AD27</f>
        <v>20</v>
      </c>
      <c r="AP28" s="33">
        <f t="shared" si="44"/>
        <v>1.1200000000000001</v>
      </c>
      <c r="AQ28" s="34" t="str">
        <f t="shared" ca="1" si="18"/>
        <v>(1/2)*(1/3)</v>
      </c>
      <c r="AR28" s="23">
        <f t="shared" ca="1" si="19"/>
        <v>0.18666666666666668</v>
      </c>
      <c r="AS28" s="24">
        <f t="shared" si="20"/>
        <v>10</v>
      </c>
      <c r="AT28" s="53">
        <f t="shared" ca="1" si="37"/>
        <v>1.8666666666666667</v>
      </c>
      <c r="AU28" s="53">
        <f t="shared" ca="1" si="40"/>
        <v>18.666666666666668</v>
      </c>
      <c r="AV28" s="23">
        <f t="shared" si="21"/>
        <v>1.4049280000000004</v>
      </c>
      <c r="AW28" s="23">
        <f t="shared" ca="1" si="22"/>
        <v>0.23415466666666673</v>
      </c>
      <c r="AY28" s="35">
        <f t="shared" si="23"/>
        <v>9.6866666666666656</v>
      </c>
      <c r="AZ28" s="23">
        <f t="shared" ca="1" si="41"/>
        <v>1.6144444444444441</v>
      </c>
      <c r="BA28" s="36">
        <f t="shared" si="25"/>
        <v>21.049999999999997</v>
      </c>
      <c r="BB28" s="27">
        <f t="shared" ca="1" si="38"/>
        <v>3.5083333333333329</v>
      </c>
      <c r="BC28" s="53">
        <f t="shared" ca="1" si="39"/>
        <v>16.144444444444442</v>
      </c>
      <c r="BE28" s="50" t="s">
        <v>73</v>
      </c>
      <c r="BF28" s="48" t="s">
        <v>74</v>
      </c>
      <c r="BG28" s="49">
        <f>IF(WL_No="  ","  ",ML/V_Disp)</f>
        <v>4.81195865262477</v>
      </c>
    </row>
    <row r="29" spans="1:59" ht="15.75" thickBot="1" x14ac:dyDescent="0.3">
      <c r="A29" s="56" t="s">
        <v>77</v>
      </c>
      <c r="B29" s="56"/>
      <c r="C29" s="56"/>
      <c r="D29" s="57">
        <f>SUM(D4:D28)</f>
        <v>517.3649999999999</v>
      </c>
      <c r="E29" s="42"/>
      <c r="F29" s="58">
        <f>SUM(F4:F28)</f>
        <v>275.67000000000019</v>
      </c>
      <c r="G29" s="58">
        <f>SUM(G4:G28)</f>
        <v>11697.970000000001</v>
      </c>
      <c r="H29" s="42"/>
      <c r="I29" s="58">
        <f>SUM(I4:I28)</f>
        <v>52896.685246500005</v>
      </c>
      <c r="J29" s="4"/>
      <c r="K29" s="42"/>
      <c r="L29" s="58">
        <f>SUM(L4:L28)</f>
        <v>3811.6083333333327</v>
      </c>
      <c r="M29" s="42"/>
      <c r="N29" s="58">
        <f>SUM(N4:N28)</f>
        <v>7936.3899999999994</v>
      </c>
      <c r="O29" s="58">
        <f>SUM(O4:O28)</f>
        <v>2509.0700000000015</v>
      </c>
      <c r="P29" s="4"/>
      <c r="Q29" s="50" t="s">
        <v>78</v>
      </c>
      <c r="R29" s="48" t="s">
        <v>79</v>
      </c>
      <c r="S29">
        <f>IF(Tools!$L$49="Use 141 rule only",I53,IF(Tools!$L$49="Use 141 and 1331 rules",BG30," "))</f>
        <v>4</v>
      </c>
      <c r="W29" s="56"/>
      <c r="X29" s="56"/>
      <c r="Y29" s="56"/>
      <c r="Z29" s="56"/>
      <c r="AA29" s="56"/>
      <c r="AB29" s="56"/>
      <c r="AC29" s="56"/>
      <c r="AD29" s="56"/>
      <c r="AE29" s="56"/>
      <c r="AF29" s="56"/>
      <c r="AG29" s="56"/>
      <c r="AH29" s="56"/>
      <c r="AI29" s="56"/>
      <c r="AJ29" s="56"/>
      <c r="AK29" s="56"/>
      <c r="AL29" s="56"/>
      <c r="AM29" s="56"/>
      <c r="AN29" s="56"/>
      <c r="AO29" s="56" t="s">
        <v>77</v>
      </c>
      <c r="AP29" s="56"/>
      <c r="AQ29" s="59"/>
      <c r="AR29" s="57">
        <f ca="1">SUM(AR4:AR28)</f>
        <v>172.45499999999998</v>
      </c>
      <c r="AS29" s="42"/>
      <c r="AT29" s="58">
        <f ca="1">SUM(AT4:AT28)</f>
        <v>91.890000000000029</v>
      </c>
      <c r="AU29" s="58">
        <f ca="1">SUM(AU4:AU28)</f>
        <v>3899.3233333333328</v>
      </c>
      <c r="AV29" s="42"/>
      <c r="AW29" s="58">
        <f ca="1">SUM(AW4:AW28)</f>
        <v>17632.228415500005</v>
      </c>
      <c r="AY29" s="42"/>
      <c r="AZ29" s="58">
        <f ca="1">SUM(AZ4:AZ28)</f>
        <v>1270.5361111111106</v>
      </c>
      <c r="BA29" s="42"/>
      <c r="BB29" s="58">
        <f ca="1">SUM(BB4:BB28)</f>
        <v>2645.4633333333327</v>
      </c>
      <c r="BC29" s="58">
        <f ca="1">SUM(BC4:BC28)</f>
        <v>836.35666666666657</v>
      </c>
      <c r="BE29" s="50" t="s">
        <v>75</v>
      </c>
      <c r="BF29" s="55" t="s">
        <v>76</v>
      </c>
      <c r="BG29" s="49">
        <f ca="1">IF(WL_No="  ","  ",M_Disp*BML/100/BG8)</f>
        <v>212.15734286886064</v>
      </c>
    </row>
    <row r="30" spans="1:59" x14ac:dyDescent="0.25">
      <c r="A30" s="15"/>
      <c r="B30" s="4"/>
      <c r="C30" s="4"/>
      <c r="D30" s="42"/>
      <c r="E30" s="4"/>
      <c r="F30" s="4"/>
      <c r="G30" s="4"/>
      <c r="H30" s="4"/>
      <c r="I30" s="4"/>
      <c r="J30" s="4"/>
      <c r="K30" s="4"/>
      <c r="L30" s="4"/>
      <c r="M30" s="4"/>
      <c r="N30" s="4"/>
      <c r="O30" s="4"/>
      <c r="P30" s="4"/>
      <c r="Q30" s="50" t="s">
        <v>80</v>
      </c>
      <c r="R30" s="48" t="s">
        <v>81</v>
      </c>
      <c r="S30">
        <f>IF(Tools!$L$49="Use 141 rule only",I54,IF(Tools!$L$49="Use 141 and 1331 rules",BG31," "))</f>
        <v>0.78388636363636344</v>
      </c>
      <c r="AA30" s="60"/>
      <c r="AB30" s="60"/>
      <c r="BE30" s="50" t="s">
        <v>78</v>
      </c>
      <c r="BF30" s="48" t="s">
        <v>79</v>
      </c>
      <c r="BG30" s="49">
        <f>IF(WL_No="  ","  ",WLS*WL_No)</f>
        <v>4</v>
      </c>
    </row>
    <row r="31" spans="1:59" x14ac:dyDescent="0.25">
      <c r="A31" s="15"/>
      <c r="B31" s="4"/>
      <c r="C31" s="4"/>
      <c r="D31" s="4"/>
      <c r="E31" s="4"/>
      <c r="F31" s="4"/>
      <c r="G31" s="4"/>
      <c r="H31" s="4"/>
      <c r="I31" s="4"/>
      <c r="J31" s="4"/>
      <c r="K31" s="4"/>
      <c r="L31" s="4"/>
      <c r="M31" s="4"/>
      <c r="N31" s="4"/>
      <c r="O31" s="4"/>
      <c r="P31" s="4"/>
      <c r="Q31" s="50" t="s">
        <v>82</v>
      </c>
      <c r="R31" s="48" t="s">
        <v>83</v>
      </c>
      <c r="S31">
        <f>IF(Tools!$L$49="Use 141 rule only",I55,IF(Tools!$L$49="Use 141 and 1331 rules",BG32," "))</f>
        <v>0.72189551767676763</v>
      </c>
      <c r="AF31" s="61" t="s">
        <v>84</v>
      </c>
      <c r="AG31" s="62">
        <f ca="1">COUNTIF(OFFSET(AQ4,,,ROUNDUP(Max_STN_count/2,0),1),"")</f>
        <v>0</v>
      </c>
      <c r="AH31" s="63">
        <f ca="1">HLOOKUP(Stn_WL,AREA_TABLE,AG31+2,FALSE)</f>
        <v>0</v>
      </c>
      <c r="AI31" s="63">
        <f ca="1">IF(AH31&gt;Long_Div/2,Long_Div/2,AH31)</f>
        <v>0</v>
      </c>
      <c r="AJ31" s="63">
        <f ca="1">AI31*STN_GAP</f>
        <v>0</v>
      </c>
      <c r="BE31" s="50" t="s">
        <v>80</v>
      </c>
      <c r="BF31" s="48" t="s">
        <v>81</v>
      </c>
      <c r="BG31" s="49">
        <f ca="1">IF(WL_No="  ","  ",AWP/(BG8*B_current))</f>
        <v>0.78388636363636344</v>
      </c>
    </row>
    <row r="32" spans="1:59" x14ac:dyDescent="0.25">
      <c r="A32" s="15"/>
      <c r="B32" s="4"/>
      <c r="C32" s="4"/>
      <c r="D32" s="4"/>
      <c r="E32" s="4"/>
      <c r="F32" s="4"/>
      <c r="G32" s="4"/>
      <c r="H32" s="4"/>
      <c r="I32" s="4"/>
      <c r="J32" s="64"/>
      <c r="K32" s="4"/>
      <c r="L32" s="4"/>
      <c r="M32" s="4"/>
      <c r="N32" s="4"/>
      <c r="O32" s="4"/>
      <c r="P32" s="4"/>
      <c r="Q32" s="50" t="s">
        <v>85</v>
      </c>
      <c r="R32" s="48" t="s">
        <v>86</v>
      </c>
      <c r="S32">
        <f>IF(Tools!$L$49="Use 141 rule only",I56,IF(Tools!$L$49="Use 141 and 1331 rules",BG33," "))</f>
        <v>0.98378787878787866</v>
      </c>
      <c r="AF32" s="61" t="s">
        <v>87</v>
      </c>
      <c r="AG32" s="62">
        <f ca="1">COUNTIF(OFFSET(AQ4,ROUNDUP(Max_STN_count/2,0),,ROUNDDOWN(Max_STN_count/2,0),1),"")</f>
        <v>0</v>
      </c>
      <c r="AH32" s="63">
        <f ca="1">HLOOKUP(Stn_WL,AREA_TABLE,AG32+2,FALSE)</f>
        <v>0</v>
      </c>
      <c r="AI32" s="63">
        <f ca="1">IF(AH32&gt;Long_Div/2,Long_Div/2,AH32)</f>
        <v>0</v>
      </c>
      <c r="AJ32" s="63">
        <f ca="1">AI32*STN_GAP</f>
        <v>0</v>
      </c>
      <c r="BE32" s="50" t="s">
        <v>82</v>
      </c>
      <c r="BF32" s="48" t="s">
        <v>83</v>
      </c>
      <c r="BG32" s="49">
        <f ca="1">IF(WL_No="  ","  ",V_Disp/(BG8*B_current*T))</f>
        <v>0.72189551767676763</v>
      </c>
    </row>
    <row r="33" spans="1:59" x14ac:dyDescent="0.25">
      <c r="A33" s="15"/>
      <c r="B33" s="4"/>
      <c r="C33" s="4"/>
      <c r="D33" s="4"/>
      <c r="E33" s="4"/>
      <c r="F33" s="4"/>
      <c r="G33" s="43" t="s">
        <v>31</v>
      </c>
      <c r="H33" s="44" t="s">
        <v>32</v>
      </c>
      <c r="I33" s="489" t="s">
        <v>33</v>
      </c>
      <c r="J33" s="4"/>
      <c r="K33" s="4"/>
      <c r="L33" s="4"/>
      <c r="M33" s="4"/>
      <c r="N33" s="4"/>
      <c r="O33" s="4"/>
      <c r="P33" s="4"/>
      <c r="Q33" s="50" t="s">
        <v>88</v>
      </c>
      <c r="R33" s="48" t="s">
        <v>89</v>
      </c>
      <c r="S33">
        <f>IF(Tools!$L$49="Use 141 rule only",I57,IF(Tools!$L$49="Use 141 and 1331 rules",BG34," "))</f>
        <v>0.73379183993018127</v>
      </c>
      <c r="AF33" s="63"/>
      <c r="AG33" s="63"/>
      <c r="AH33" s="63">
        <f ca="1">Long_Div-AH32</f>
        <v>20</v>
      </c>
      <c r="AI33" s="63"/>
      <c r="AJ33" s="63">
        <f ca="1">AJ32+AJ31</f>
        <v>0</v>
      </c>
      <c r="BE33" s="50" t="s">
        <v>85</v>
      </c>
      <c r="BF33" s="48" t="s">
        <v>86</v>
      </c>
      <c r="BG33" s="65">
        <f>IFERROR(IF(WL_No="  ","  ",(VLOOKUP(Long_Div/2,AREA_TABLE,Count_WL+1,FALSE))/(B_current*T)),"-")</f>
        <v>0.98378787878787866</v>
      </c>
    </row>
    <row r="34" spans="1:59" x14ac:dyDescent="0.25">
      <c r="G34" s="45"/>
      <c r="H34" s="46"/>
      <c r="I34" s="490"/>
      <c r="BE34" s="50" t="s">
        <v>88</v>
      </c>
      <c r="BF34" s="48" t="s">
        <v>89</v>
      </c>
      <c r="BG34" s="49">
        <f>IF(WL_No="  ","  ",CB/CM)</f>
        <v>0.73379183993018127</v>
      </c>
    </row>
    <row r="35" spans="1:59" x14ac:dyDescent="0.25">
      <c r="G35" s="47" t="s">
        <v>34</v>
      </c>
      <c r="H35" s="48" t="s">
        <v>35</v>
      </c>
      <c r="I35" s="49">
        <f>IF(WL_No="  ","  ",2/3*h*$D$29)</f>
        <v>2521.2920999999992</v>
      </c>
    </row>
    <row r="36" spans="1:59" x14ac:dyDescent="0.25">
      <c r="G36" s="47" t="s">
        <v>36</v>
      </c>
      <c r="H36" s="48" t="s">
        <v>37</v>
      </c>
      <c r="I36" s="49">
        <f>IF(WL_No="  ","  ",2/3*(h^2)*$F$29)</f>
        <v>9820.4864580000067</v>
      </c>
    </row>
    <row r="37" spans="1:59" x14ac:dyDescent="0.25">
      <c r="G37" s="50" t="s">
        <v>39</v>
      </c>
      <c r="H37" s="48" t="s">
        <v>40</v>
      </c>
      <c r="I37" s="49">
        <f>IF(WL_No="  ","  ",Mmid/AWP)</f>
        <v>3.895021309906936</v>
      </c>
    </row>
    <row r="38" spans="1:59" x14ac:dyDescent="0.25">
      <c r="G38" s="50" t="s">
        <v>42</v>
      </c>
      <c r="H38" s="48" t="s">
        <v>43</v>
      </c>
      <c r="I38" s="49">
        <f>IF(WL_No="  ","  ",2/3*(h^3)*$G$29)</f>
        <v>3046290.9135875129</v>
      </c>
    </row>
    <row r="39" spans="1:59" x14ac:dyDescent="0.25">
      <c r="G39" s="51" t="s">
        <v>44</v>
      </c>
      <c r="H39" s="48" t="s">
        <v>45</v>
      </c>
      <c r="I39" s="49">
        <f>IF(WL_No="  ","  ",2/9*h*$I$29)</f>
        <v>85927.726478203331</v>
      </c>
    </row>
    <row r="40" spans="1:59" x14ac:dyDescent="0.25">
      <c r="G40" s="50" t="s">
        <v>47</v>
      </c>
      <c r="H40" s="48" t="s">
        <v>48</v>
      </c>
      <c r="I40" s="49">
        <f>IF(WL_No="  ","  ",IL-AWP*(LCF^2))</f>
        <v>3008039.9095599502</v>
      </c>
    </row>
    <row r="41" spans="1:59" x14ac:dyDescent="0.25">
      <c r="G41" s="50" t="s">
        <v>50</v>
      </c>
      <c r="H41" s="48" t="s">
        <v>51</v>
      </c>
      <c r="I41" s="49">
        <f>IF(WL_No="  ","  ",h/3*$L$29)</f>
        <v>9287.6189722222207</v>
      </c>
    </row>
    <row r="42" spans="1:59" x14ac:dyDescent="0.25">
      <c r="G42" s="50" t="s">
        <v>52</v>
      </c>
      <c r="H42" s="48" t="s">
        <v>53</v>
      </c>
      <c r="I42" s="49">
        <f>IF(WL_No="  ","  ",V_Disp*1.025*1.006)</f>
        <v>9576.9283032069416</v>
      </c>
    </row>
    <row r="43" spans="1:59" x14ac:dyDescent="0.25">
      <c r="G43" s="50" t="s">
        <v>55</v>
      </c>
      <c r="H43" s="48" t="s">
        <v>56</v>
      </c>
      <c r="I43" s="49">
        <f>IF(WL_No="  ","  ",h/3*$N$29)</f>
        <v>19338.336966666666</v>
      </c>
    </row>
    <row r="44" spans="1:59" x14ac:dyDescent="0.25">
      <c r="G44" s="50" t="s">
        <v>57</v>
      </c>
      <c r="H44" s="48" t="s">
        <v>58</v>
      </c>
      <c r="I44" s="49">
        <f>IF(WL_No="  ","  ",(h^2)/3*$O$29)</f>
        <v>44691.638475666688</v>
      </c>
    </row>
    <row r="45" spans="1:59" x14ac:dyDescent="0.25">
      <c r="G45" s="50" t="s">
        <v>60</v>
      </c>
      <c r="H45" s="48" t="s">
        <v>61</v>
      </c>
      <c r="I45" s="49">
        <f>IF(WL_No="  ","  ",IF/V_Disp)</f>
        <v>323.87632595141071</v>
      </c>
    </row>
    <row r="46" spans="1:59" x14ac:dyDescent="0.25">
      <c r="G46" s="50" t="s">
        <v>63</v>
      </c>
      <c r="H46" s="48" t="s">
        <v>64</v>
      </c>
      <c r="I46" s="49">
        <f>IF(WL_No="  ","  ",IT/V_Disp)</f>
        <v>9.2518574174069137</v>
      </c>
    </row>
    <row r="47" spans="1:59" x14ac:dyDescent="0.25">
      <c r="G47" s="50" t="s">
        <v>65</v>
      </c>
      <c r="H47" s="48" t="s">
        <v>66</v>
      </c>
      <c r="I47" s="49">
        <f>IF(WL_No="  ","  ",MT/V_Disp)</f>
        <v>2.0821630414107783</v>
      </c>
    </row>
    <row r="48" spans="1:59" x14ac:dyDescent="0.25">
      <c r="G48" s="50" t="s">
        <v>67</v>
      </c>
      <c r="H48" s="48" t="s">
        <v>68</v>
      </c>
      <c r="I48" s="49">
        <f>IF(WL_No="  ","  ",KB+BMT)</f>
        <v>11.334020458817692</v>
      </c>
    </row>
    <row r="49" spans="7:9" x14ac:dyDescent="0.25">
      <c r="G49" s="50" t="s">
        <v>69</v>
      </c>
      <c r="H49" s="48" t="s">
        <v>70</v>
      </c>
      <c r="I49" s="49">
        <f>IF(WL_No="  ","  ",KB+BML)</f>
        <v>325.95848899282146</v>
      </c>
    </row>
    <row r="50" spans="7:9" x14ac:dyDescent="0.25">
      <c r="G50" s="50" t="s">
        <v>71</v>
      </c>
      <c r="H50" s="48" t="s">
        <v>72</v>
      </c>
      <c r="I50" s="49">
        <f>IF(WL_No="  ","  ",AWP*1.025/100)</f>
        <v>25.84324402499999</v>
      </c>
    </row>
    <row r="51" spans="7:9" x14ac:dyDescent="0.25">
      <c r="G51" s="50" t="s">
        <v>73</v>
      </c>
      <c r="H51" s="48" t="s">
        <v>74</v>
      </c>
      <c r="I51" s="49">
        <f>IF(WL_No="  ","  ",ML/V_Disp)</f>
        <v>4.81195865262477</v>
      </c>
    </row>
    <row r="52" spans="7:9" x14ac:dyDescent="0.25">
      <c r="G52" s="50" t="s">
        <v>75</v>
      </c>
      <c r="H52" s="55" t="s">
        <v>76</v>
      </c>
      <c r="I52" s="49">
        <f>IF(WL_No="  ","  ",M_Disp*BML/100/LBP)</f>
        <v>212.15734286886064</v>
      </c>
    </row>
    <row r="53" spans="7:9" x14ac:dyDescent="0.25">
      <c r="G53" s="50" t="s">
        <v>78</v>
      </c>
      <c r="H53" s="48" t="s">
        <v>79</v>
      </c>
      <c r="I53" s="49">
        <f>IF(WL_No="  ","  ",WLS*WL_No)</f>
        <v>4</v>
      </c>
    </row>
    <row r="54" spans="7:9" x14ac:dyDescent="0.25">
      <c r="G54" s="50" t="s">
        <v>80</v>
      </c>
      <c r="H54" s="48" t="s">
        <v>81</v>
      </c>
      <c r="I54" s="49">
        <f>IF(WL_No="  ","  ",AWP/(LBP*B_current))</f>
        <v>0.78388636363636344</v>
      </c>
    </row>
    <row r="55" spans="7:9" x14ac:dyDescent="0.25">
      <c r="G55" s="50" t="s">
        <v>82</v>
      </c>
      <c r="H55" s="48" t="s">
        <v>83</v>
      </c>
      <c r="I55" s="49">
        <f>IF(WL_No="  ","  ",V_Disp/(LBP*B_current*T))</f>
        <v>0.72189551767676763</v>
      </c>
    </row>
    <row r="56" spans="7:9" x14ac:dyDescent="0.25">
      <c r="G56" s="50" t="s">
        <v>85</v>
      </c>
      <c r="H56" s="48" t="s">
        <v>86</v>
      </c>
      <c r="I56" s="65">
        <f>IF(WL_No="  ","  ",(VLOOKUP(Long_Div/2,AREA_TABLE,Count_WL+1,FALSE))/(B_current*T))</f>
        <v>0.98378787878787866</v>
      </c>
    </row>
    <row r="57" spans="7:9" x14ac:dyDescent="0.25">
      <c r="G57" s="50" t="s">
        <v>88</v>
      </c>
      <c r="H57" s="48" t="s">
        <v>89</v>
      </c>
      <c r="I57" s="49">
        <f>IF(WL_No="  ","  ",CB/CM)</f>
        <v>0.73379183993018127</v>
      </c>
    </row>
  </sheetData>
  <mergeCells count="7">
    <mergeCell ref="BG10:BG11"/>
    <mergeCell ref="I33:I34"/>
    <mergeCell ref="A2:I2"/>
    <mergeCell ref="K2:O2"/>
    <mergeCell ref="AO2:AW2"/>
    <mergeCell ref="AY2:BC2"/>
    <mergeCell ref="S9:S10"/>
  </mergeCells>
  <conditionalFormatting sqref="CB4:XFD30 BW4:BW28 BS4:BT28 W29:AX29 A33:F57 J33:R33 A11:R32 A2:T10 V2:AO2 AX2 BP29:BW29 A63:XFD1048576 T12:T37 U35:XFD37 BD2:BD29 BM31:XFD33 BM30:BW30 BH29:BI33 BH2:XFD3 U30:BD30 AR31:BD31 W3:AM28 A58:BD62 BH38:XFD62 J34:S37 BH34:XFD34 A1:AN1 AV1:XFD1 AO31:AP31 U33:BD34 AM31 U31:AG32 AK32:BD32 AO3:AX26 J43:BD57 J42:M42 O42:BD42 J38:BD41 AO27:AO28 AQ27:AX28">
    <cfRule type="containsErrors" dxfId="199" priority="14">
      <formula>ISERROR(A1)</formula>
    </cfRule>
  </conditionalFormatting>
  <conditionalFormatting sqref="G33:I34 G35:H57">
    <cfRule type="containsErrors" dxfId="198" priority="13">
      <formula>ISERROR(G33)</formula>
    </cfRule>
  </conditionalFormatting>
  <conditionalFormatting sqref="T12:T33">
    <cfRule type="containsErrors" dxfId="197" priority="12">
      <formula>ISERROR(T12)</formula>
    </cfRule>
  </conditionalFormatting>
  <conditionalFormatting sqref="I35:I57">
    <cfRule type="containsErrors" dxfId="196" priority="11">
      <formula>ISERROR(I35)</formula>
    </cfRule>
  </conditionalFormatting>
  <conditionalFormatting sqref="AY2:BC29">
    <cfRule type="containsErrors" dxfId="195" priority="8">
      <formula>ISERROR(AY2)</formula>
    </cfRule>
  </conditionalFormatting>
  <conditionalFormatting sqref="BE10:BG11 BE12:BF34">
    <cfRule type="containsErrors" dxfId="194" priority="10">
      <formula>ISERROR(BE10)</formula>
    </cfRule>
  </conditionalFormatting>
  <conditionalFormatting sqref="BG12:BG28 BG34">
    <cfRule type="containsErrors" dxfId="193" priority="9">
      <formula>ISERROR(BG12)</formula>
    </cfRule>
  </conditionalFormatting>
  <conditionalFormatting sqref="BE2:BG6">
    <cfRule type="containsErrors" dxfId="192" priority="7">
      <formula>ISERROR(BE2)</formula>
    </cfRule>
  </conditionalFormatting>
  <conditionalFormatting sqref="BF7:BG8">
    <cfRule type="containsErrors" dxfId="191" priority="5">
      <formula>ISERROR(BF7)</formula>
    </cfRule>
  </conditionalFormatting>
  <conditionalFormatting sqref="BE7:BE8">
    <cfRule type="containsErrors" dxfId="190" priority="6">
      <formula>ISERROR(BE7)</formula>
    </cfRule>
  </conditionalFormatting>
  <conditionalFormatting sqref="S30:S33">
    <cfRule type="containsErrors" dxfId="189" priority="4">
      <formula>ISERROR(S30)</formula>
    </cfRule>
  </conditionalFormatting>
  <conditionalFormatting sqref="AP27:AP28">
    <cfRule type="containsErrors" dxfId="188" priority="3">
      <formula>ISERROR(AP27)</formula>
    </cfRule>
  </conditionalFormatting>
  <conditionalFormatting sqref="BG29:BG32">
    <cfRule type="containsErrors" dxfId="187" priority="2">
      <formula>ISERROR(BG29)</formula>
    </cfRule>
  </conditionalFormatting>
  <conditionalFormatting sqref="BG33">
    <cfRule type="containsErrors" dxfId="186" priority="1">
      <formula>ISERROR(BG33)</formula>
    </cfRule>
  </conditionalFormatting>
  <pageMargins left="0.7" right="0.7" top="0.75" bottom="0.75" header="0.3" footer="0.3"/>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4" tint="0.79998168889431442"/>
  </sheetPr>
  <dimension ref="A1:BH57"/>
  <sheetViews>
    <sheetView topLeftCell="AG1" zoomScale="55" zoomScaleNormal="55" workbookViewId="0">
      <pane ySplit="1" topLeftCell="A29" activePane="bottomLeft" state="frozen"/>
      <selection activeCell="AG8" sqref="AG8:AG10"/>
      <selection pane="bottomLeft" activeCell="AG8" sqref="AG8:AG10"/>
    </sheetView>
  </sheetViews>
  <sheetFormatPr defaultRowHeight="15" x14ac:dyDescent="0.25"/>
  <cols>
    <col min="1" max="1" width="8.28515625" customWidth="1"/>
    <col min="2" max="2" width="7.28515625" customWidth="1"/>
    <col min="4" max="4" width="6.5703125" customWidth="1"/>
    <col min="7" max="7" width="24" customWidth="1"/>
    <col min="8" max="8" width="30.5703125" customWidth="1"/>
    <col min="9" max="9" width="26.5703125" customWidth="1"/>
    <col min="10" max="10" width="10.5703125" bestFit="1" customWidth="1"/>
    <col min="11" max="11" width="9.140625" customWidth="1"/>
    <col min="13" max="13" width="7.85546875" customWidth="1"/>
    <col min="17" max="17" width="19.5703125" customWidth="1"/>
    <col min="18" max="18" width="11.85546875" customWidth="1"/>
    <col min="19" max="19" width="16.5703125" customWidth="1"/>
    <col min="20" max="20" width="14.140625" customWidth="1"/>
    <col min="35" max="35" width="14" customWidth="1"/>
    <col min="36" max="37" width="12" customWidth="1"/>
    <col min="39" max="39" width="19" customWidth="1"/>
    <col min="43" max="43" width="18" style="7" customWidth="1"/>
    <col min="49" max="49" width="11.28515625" customWidth="1"/>
    <col min="52" max="52" width="12" customWidth="1"/>
    <col min="54" max="54" width="10.7109375" bestFit="1" customWidth="1"/>
    <col min="56" max="56" width="4.5703125" customWidth="1"/>
    <col min="57" max="57" width="21.28515625" customWidth="1"/>
    <col min="58" max="58" width="15.42578125" customWidth="1"/>
    <col min="59" max="59" width="19.28515625" customWidth="1"/>
    <col min="61" max="61" width="5.7109375" customWidth="1"/>
    <col min="62" max="62" width="13" customWidth="1"/>
    <col min="63" max="63" width="17.42578125" customWidth="1"/>
  </cols>
  <sheetData>
    <row r="1" spans="1:60" x14ac:dyDescent="0.25">
      <c r="A1" s="1" t="s">
        <v>0</v>
      </c>
      <c r="B1" s="2">
        <f>VLOOKUP(Stn_WL,OFFSET_A,Count_WL+1,FALSE)</f>
        <v>1</v>
      </c>
      <c r="C1" s="3"/>
      <c r="D1" s="4"/>
      <c r="E1" s="4" t="s">
        <v>1</v>
      </c>
      <c r="F1" s="5">
        <v>5</v>
      </c>
      <c r="G1" s="4"/>
      <c r="H1" s="4"/>
      <c r="I1" s="4"/>
      <c r="J1" s="4"/>
      <c r="K1" s="4"/>
      <c r="L1" s="4"/>
      <c r="M1" s="4"/>
      <c r="N1" s="4"/>
      <c r="O1" s="4"/>
      <c r="P1" s="4"/>
      <c r="Q1" s="4"/>
      <c r="R1" s="4"/>
      <c r="S1" s="4"/>
      <c r="V1" t="s">
        <v>2</v>
      </c>
      <c r="W1">
        <f ca="1">COUNTIF(OFFSET(Z4,,,ROUNDDOWN(Max_STN_count/2+1,0),1),TRUE)</f>
        <v>5</v>
      </c>
      <c r="X1">
        <f ca="1">COUNTIF(OFFSET(AA4,,,ROUNDDOWN(Max_STN_count/2+1,0),1),TRUE)</f>
        <v>5</v>
      </c>
      <c r="Y1">
        <f ca="1">W1-X1</f>
        <v>0</v>
      </c>
      <c r="AB1" s="6" t="s">
        <v>3</v>
      </c>
      <c r="AC1">
        <f ca="1">COUNTIF(OFFSET(Z4,ROUNDUP(Max_STN_count/2,0),,ROUNDDOWN(Max_STN_count/2,0),1),TRUE)</f>
        <v>5</v>
      </c>
      <c r="AD1">
        <f ca="1">COUNTIF(OFFSET(AA4,ROUNDUP(Max_STN_count/2,0),,ROUNDDOWN(Max_STN_count/2,0),1),TRUE)</f>
        <v>5</v>
      </c>
      <c r="AE1">
        <f ca="1">AC1-AD1</f>
        <v>0</v>
      </c>
      <c r="AG1" t="s">
        <v>4</v>
      </c>
      <c r="AH1">
        <f>COUNTIF(AG4:AG28,TRUE)</f>
        <v>17</v>
      </c>
      <c r="AI1">
        <f ca="1">COUNTIF(OFFSET(AG4,,,ROUNDUP(Max_STN_count/2,0),1),FALSE)</f>
        <v>4</v>
      </c>
      <c r="AW1">
        <f ca="1">COUNTIF(OFFSET(AG4,,,Max_STN_count,1),TRUE)</f>
        <v>17</v>
      </c>
    </row>
    <row r="2" spans="1:60" x14ac:dyDescent="0.25">
      <c r="A2" s="491" t="s">
        <v>5</v>
      </c>
      <c r="B2" s="492"/>
      <c r="C2" s="492"/>
      <c r="D2" s="492"/>
      <c r="E2" s="492"/>
      <c r="F2" s="492"/>
      <c r="G2" s="492"/>
      <c r="H2" s="492"/>
      <c r="I2" s="493"/>
      <c r="J2" s="4"/>
      <c r="K2" s="491" t="s">
        <v>6</v>
      </c>
      <c r="L2" s="492"/>
      <c r="M2" s="492"/>
      <c r="N2" s="492"/>
      <c r="O2" s="493"/>
      <c r="P2" s="4"/>
      <c r="Q2" s="8" t="s">
        <v>7</v>
      </c>
      <c r="R2" s="9" t="s">
        <v>8</v>
      </c>
      <c r="S2" s="10">
        <f>WLS</f>
        <v>2</v>
      </c>
      <c r="V2" s="11"/>
      <c r="W2" s="11"/>
      <c r="X2" s="11"/>
      <c r="Y2" s="11"/>
      <c r="Z2" s="11"/>
      <c r="AA2" s="11"/>
      <c r="AB2" s="11"/>
      <c r="AC2" s="11"/>
      <c r="AD2" s="11"/>
      <c r="AE2" s="11"/>
      <c r="AF2" s="11"/>
      <c r="AG2" s="11"/>
      <c r="AH2" s="11"/>
      <c r="AI2" s="11"/>
      <c r="AJ2" s="11"/>
      <c r="AK2" s="11"/>
      <c r="AL2" s="11"/>
      <c r="AM2" s="11"/>
      <c r="AN2" s="11"/>
      <c r="AO2" s="491" t="s">
        <v>5</v>
      </c>
      <c r="AP2" s="492"/>
      <c r="AQ2" s="492"/>
      <c r="AR2" s="492"/>
      <c r="AS2" s="492"/>
      <c r="AT2" s="492"/>
      <c r="AU2" s="492"/>
      <c r="AV2" s="492"/>
      <c r="AW2" s="493"/>
      <c r="AY2" s="491" t="s">
        <v>6</v>
      </c>
      <c r="AZ2" s="492"/>
      <c r="BA2" s="492"/>
      <c r="BB2" s="492"/>
      <c r="BC2" s="493"/>
      <c r="BE2" s="8" t="s">
        <v>7</v>
      </c>
      <c r="BF2" s="9" t="s">
        <v>8</v>
      </c>
      <c r="BG2" s="10">
        <f>WLS</f>
        <v>2</v>
      </c>
    </row>
    <row r="3" spans="1:60" x14ac:dyDescent="0.25">
      <c r="A3" s="12" t="s">
        <v>9</v>
      </c>
      <c r="B3" s="13" t="s">
        <v>10</v>
      </c>
      <c r="C3" s="14" t="s">
        <v>11</v>
      </c>
      <c r="D3" s="14" t="s">
        <v>12</v>
      </c>
      <c r="E3" s="14" t="s">
        <v>13</v>
      </c>
      <c r="F3" s="14" t="s">
        <v>14</v>
      </c>
      <c r="G3" s="14" t="s">
        <v>15</v>
      </c>
      <c r="H3" s="14" t="s">
        <v>16</v>
      </c>
      <c r="I3" s="14" t="s">
        <v>17</v>
      </c>
      <c r="J3" s="15"/>
      <c r="K3" s="14" t="s">
        <v>18</v>
      </c>
      <c r="L3" s="14" t="s">
        <v>19</v>
      </c>
      <c r="M3" s="14" t="s">
        <v>20</v>
      </c>
      <c r="N3" s="14" t="s">
        <v>21</v>
      </c>
      <c r="O3" s="14" t="s">
        <v>22</v>
      </c>
      <c r="P3" s="15"/>
      <c r="Q3" s="16" t="s">
        <v>23</v>
      </c>
      <c r="R3" s="9" t="s">
        <v>8</v>
      </c>
      <c r="S3" s="10">
        <f>STN_GAP</f>
        <v>7.31</v>
      </c>
      <c r="W3" s="17" t="s">
        <v>11</v>
      </c>
      <c r="X3" s="17"/>
      <c r="Y3" s="17"/>
      <c r="Z3" s="17" t="s">
        <v>24</v>
      </c>
      <c r="AA3" s="17"/>
      <c r="AB3" s="17"/>
      <c r="AC3" s="17"/>
      <c r="AD3" s="17"/>
      <c r="AE3" s="17"/>
      <c r="AF3" s="17"/>
      <c r="AG3" s="17" t="s">
        <v>4</v>
      </c>
      <c r="AH3" s="17"/>
      <c r="AI3" s="17" t="s">
        <v>25</v>
      </c>
      <c r="AJ3" s="17"/>
      <c r="AK3" s="17"/>
      <c r="AL3" s="17"/>
      <c r="AM3" s="18" t="s">
        <v>11</v>
      </c>
      <c r="AO3" s="12" t="s">
        <v>9</v>
      </c>
      <c r="AP3" s="13" t="s">
        <v>10</v>
      </c>
      <c r="AQ3" s="19"/>
      <c r="AR3" s="14" t="s">
        <v>12</v>
      </c>
      <c r="AS3" s="14" t="s">
        <v>13</v>
      </c>
      <c r="AT3" s="14" t="s">
        <v>14</v>
      </c>
      <c r="AU3" s="14" t="s">
        <v>15</v>
      </c>
      <c r="AV3" s="14" t="s">
        <v>16</v>
      </c>
      <c r="AW3" s="14" t="s">
        <v>17</v>
      </c>
      <c r="AY3" s="14" t="s">
        <v>18</v>
      </c>
      <c r="AZ3" s="14" t="s">
        <v>19</v>
      </c>
      <c r="BA3" s="14" t="s">
        <v>20</v>
      </c>
      <c r="BB3" s="14" t="s">
        <v>21</v>
      </c>
      <c r="BC3" s="14" t="s">
        <v>22</v>
      </c>
      <c r="BE3" s="16" t="s">
        <v>23</v>
      </c>
      <c r="BF3" s="9" t="s">
        <v>8</v>
      </c>
      <c r="BG3" s="10">
        <f>STN_GAP</f>
        <v>7.31</v>
      </c>
    </row>
    <row r="4" spans="1:60" x14ac:dyDescent="0.25">
      <c r="A4" s="20">
        <f>Tools!$AD3</f>
        <v>0</v>
      </c>
      <c r="B4" s="21">
        <f t="shared" ref="B4:B28" si="0">VLOOKUP(A4,OFFSET_A,Count_WL+1,FALSE)</f>
        <v>0</v>
      </c>
      <c r="C4" s="22">
        <f>IF(A4="  ","  ",IF(A5="  ","?",1*(A5-A4)))</f>
        <v>0.5</v>
      </c>
      <c r="D4" s="23">
        <f>IFERROR(B4*C4,"  ")</f>
        <v>0</v>
      </c>
      <c r="E4" s="24">
        <f t="shared" ref="E4:E28" si="1">IFERROR(A4-(Long_Div/2),"  ")</f>
        <v>-10</v>
      </c>
      <c r="F4" s="23">
        <f>IFERROR(D4*E4,"  ")</f>
        <v>0</v>
      </c>
      <c r="G4" s="23">
        <f>IFERROR(F4*E4,"  ")</f>
        <v>0</v>
      </c>
      <c r="H4" s="23">
        <f>IFERROR(B4^3,"  ")</f>
        <v>0</v>
      </c>
      <c r="I4" s="23">
        <f>IFERROR(H4*C4,"  ")</f>
        <v>0</v>
      </c>
      <c r="J4" s="4"/>
      <c r="K4" s="25">
        <f t="shared" ref="K4:K28" si="2">VLOOKUP(A4,AREA_TABLE,Count_WL+1,FALSE)</f>
        <v>0</v>
      </c>
      <c r="L4" s="23">
        <f>IFERROR(K4*C4,"  ")</f>
        <v>0</v>
      </c>
      <c r="M4" s="26">
        <f t="shared" ref="M4:M28" si="3">VLOOKUP(A4,MOMENT_TABLE,Count_WL+1,FALSE)</f>
        <v>0</v>
      </c>
      <c r="N4" s="27">
        <f>IFERROR(M4*C4,"  ")</f>
        <v>0</v>
      </c>
      <c r="O4" s="23">
        <f>IFERROR(L4*E4,"  ")</f>
        <v>0</v>
      </c>
      <c r="P4" s="4"/>
      <c r="Q4" s="16" t="s">
        <v>26</v>
      </c>
      <c r="R4" s="9" t="s">
        <v>8</v>
      </c>
      <c r="S4" s="28">
        <f>LBP</f>
        <v>146.19999999999999</v>
      </c>
      <c r="W4" s="29">
        <f>IF(AO4="  ","  ",IF(AO5="  ","?",1*(AO5-AO4)))</f>
        <v>0.5</v>
      </c>
      <c r="X4" s="30" t="str">
        <f t="shared" ref="X4:X28" si="4">IF(Y4=0,"--",CONCATENATE(IF(AO4=0,"-",IF(Y3=0,"-",IF(AO4-AO3=0.5,"D",IF(AO4-AO3=1,"W","-")))),IF(AO4=Long_Div,"-",IF(Y5=0,"-",IF(AO5-AO4=0.5,"D",IF(AO5-AO4=1,"W","-"))))))</f>
        <v>-D</v>
      </c>
      <c r="Y4" s="30" t="str">
        <f t="shared" ref="Y4:Y28" si="5">IF(ISNUMBER(AO4),IF(AO4=Long_Div/2,"-",IF(AND(AO4=Long_Div,$AP4=0,$AP3=0),0,IF(AND(AO4=0,$AP4=0,$AP5=0),0,IF($AO4&lt;Long_Div/2,IF(AND(Y3=0,$AP4=0,$AP5=0),0,"-"),IF(AND(Y5=0,$AP4=0,$AP3=0),0,"-")))))," ")</f>
        <v>-</v>
      </c>
      <c r="Z4" s="29" t="b">
        <f t="shared" ref="Z4:Z28" si="6">IF(ISNUMBER(AO4),IF(AO4=0,IF(AO5=0.5,TRUE,FALSE),IF(AO4=Long_Div,IF(AO3=Long_Div-0.5,TRUE,FALSE),IF(OR(AO5-AO4=0.5,AO4-AO3=0.5),TRUE,FALSE)))," ")</f>
        <v>1</v>
      </c>
      <c r="AA4" s="29" t="b">
        <f t="shared" ref="AA4:AA28" si="7">IF(ISNUMBER(AO4),IF(Y4=0," ",IF(AO4=0,IF(AO5=0.5,TRUE,"-"),IF(AO4=Long_Div,IF(AO3=Long_Div-0.5,TRUE,"-"),IF(OR(AO5-AO4=0.5,AO4-AO3=0.5),TRUE,FALSE))))," ")</f>
        <v>1</v>
      </c>
      <c r="AB4" s="29" t="str">
        <f t="shared" ref="AB4:AB28" ca="1" si="8">IF(AO4&lt;=Long_Div/2,IF(ISNUMBER(AO4),IF($X$1=0,"---",IF($X$1=1,"##",IF($X$1=2,IF(AD4=1,"141-4",IF(OR(AD4=0,AD4=2),"141-1","**")),IF(AC4&lt;=($Y$1),"--",IF(AC4&gt;$W$1,"++",IF(ISODD($X$1),IF(OR(AD4=1,AD4=$X$1),"141-1",IF(ISODD(AD4),"141-2",IF(ISEVEN(AD4),"141-4","+"))),IF(ISEVEN($X$1),IF(AD4=1,"1331-1",IF(OR(AD4=2,AD4=3),"1331-3",IF(AD4=4,IF($X$1=4,"1331-1","1331-1,141-1"),IF(AD4=$X$1,"141-1",IF(AD4&lt;=4,"??",IF(ISODD(AD4),"141-4",IF(ISEVEN(AD4),"141-2","SS"))))))))))))))," "),IF(AO4&gt;Long_Div/2,IF(ISNUMBER(AO4),IF($AD$1=0,"---",IF($AD$1=1,"##",IF($AD$1=2,IF(AD4=1,"141-4",IF(OR(AD4=0,AD4=2),"141-1","**")),IF(AC4&lt;=($AE$1),"--",IF(AC4&gt;$AC$1,"++",IF(ISODD($AD$1),IF(OR(AD4=1,AD4=$AD$1),"141-1",IF(ISODD(AD4),"141-2",IF(ISEVEN(AD4),"141-4","+"))),IF(ISEVEN($AD$1),IF(AD4=1,"1331-1",IF(OR(AD4=2,AD4=3),"1331-3",IF(AD4=4,IF($AD$1=4,"1331-1","1331-1,141-1"),IF(AD4=$AD$1,"141-1",IF(AD4&lt;=4,"??",IF(ISODD(AD4),"141-4",IF(ISEVEN(AD4),"141-2","SS"))))))))))))))," "),"@"))</f>
        <v>141-1</v>
      </c>
      <c r="AC4" s="29">
        <f>IF(ISNUMBER(AO4),IF(ISNUMBER(AO4),IF(OR(AO4=0,AO4=Long_Div),1,IF(AO4&gt;Long_Div/2,AC5+1,IF(AO4&lt;=Long_Div/2,AE3+1,"?")))," --")," ")</f>
        <v>1</v>
      </c>
      <c r="AD4" s="29">
        <f t="shared" ref="AD4:AD28" ca="1" si="9">IF(ISNUMBER(AO4),IF(AO4&gt;Long_Div/2,4-ROW(AD4)+Max_STN_count-$AE$1,ROW(AD4)-3-$Y$1)," ")</f>
        <v>1</v>
      </c>
      <c r="AE4" s="29">
        <v>1</v>
      </c>
      <c r="AF4" s="31" t="str">
        <f t="shared" ref="AF4:AF8" si="10">IF(AND(AG4=TRUE,OR(NOT(AG3=TRUE),AG3="Full")),1,IF(ISNUMBER(AF3),AF3+1," "))</f>
        <v xml:space="preserve"> </v>
      </c>
      <c r="AG4" s="29" t="b">
        <f t="shared" ref="AG4:AG28" si="11">IF(ISNUMBER(AO4),IF(AA4=" "," ",IF(AO4=0,IF(AO5-AO4=1,TRUE,FALSE),IF(AO4=Long_Div,IF(AO4-AO3=1,TRUE,FALSE),IF(OR(AO5-AO4=1,AO4-AO3=1),TRUE,FALSE))))," ")</f>
        <v>0</v>
      </c>
      <c r="AH4" s="30" t="str">
        <f t="shared" ref="AH4:AH13" si="12">IF(AND(AG4=TRUE,$AH$1=1),"141-4",IF(AG4=" ",IF(AND($AH$1=2,AF4=3),"141-1","-"),IF(OR(AG4=FALSE,AG4=" "),"-",IF(AG4=TRUE,IF(AND($AH$1=2,AF4=1),"141-1",IF(AND($AH$1=2,AF4=2),"141-4",IF(OR(ISODD($AH$1),AF4&gt;4),IF(AF4=1,"141-1",IF(OR(AB4="141-1",AB4="1331-1",AB4="1331-1,141-1"),"141-1",IF(AG5=" ","141-1",IF(OR(AH3="141-1",AH3="141-2",AH3="1331-1,141-1"),"141-4",IF(AH3="141-4","141-2","$$"))))),IF(ISEVEN($AH$1),IF(AF4=1,"1331-1",IF(OR(AF4=2,AF4=3),"1331-3",IF(AF4=4,IF($AH$1=4,"1331-1","1331-1,141-1"),"")))))))))))</f>
        <v>-</v>
      </c>
      <c r="AI4" s="30" t="str">
        <f t="shared" ref="AI4:AI28" ca="1" si="13">IF(OR(AB4="1331-1",AB4="1331-1,141-1"),"(1/2)*(3/8)",IF(AB4="1331-3","(1/2)*(9/8)",IF(AB4="141-1","(1/2)*(1/3)",IF(AB4="141-2","(1/2)*(2/3)",IF(AB4="141-4","(1/2)*(4/3)","")))))</f>
        <v>(1/2)*(1/3)</v>
      </c>
      <c r="AJ4" s="29">
        <f t="shared" ref="AJ4:AJ28" ca="1" si="14">IF(OR(AB4="1331-1",AB4="1331-1,141-1"),(1/2)*(3/8),IF(AB4="1331-3",(1/2)*(9/8),IF(AB4="141-1",(1/2)*(1/3),IF(AB4="141-2",(1/2)*(2/3),IF(AB4="141-4",(1/2)*(4/3),0)))))</f>
        <v>0.16666666666666666</v>
      </c>
      <c r="AK4" s="29" t="str">
        <f t="shared" ref="AK4:AK28" si="15">IF(AH4="1331-1,141-1","(1*3/8)+(1/3)",IF(LEFT(AH4,4)="141-",CONCATENATE(RIGHT(AH4,1),"/3"),IF(LEFT(AH4,4)="1331",CONCATENATE(RIGHT(AH4,1),"*3/8"),"")))</f>
        <v/>
      </c>
      <c r="AL4" s="29">
        <f t="shared" ref="AL4:AL28" si="16">IF(AH4="1331-1,141-1",(1*3/8)+(1/3),IF(LEFT(AH4,4)="141-",(RIGHT(AH4,1)/3),IF(LEFT(AH4,4)="1331",RIGHT(AH4,1)*3/8,0)))</f>
        <v>0</v>
      </c>
      <c r="AM4" s="32">
        <f ca="1">IF(AQ4=""," ",AJ4+AL4)</f>
        <v>0.16666666666666666</v>
      </c>
      <c r="AO4" s="20">
        <f>Tools!$AD3</f>
        <v>0</v>
      </c>
      <c r="AP4" s="33">
        <f t="shared" ref="AP4" si="17">VLOOKUP(AO4,OFFSET_A,Count_WL+1,FALSE)</f>
        <v>0</v>
      </c>
      <c r="AQ4" s="34" t="str">
        <f t="shared" ref="AQ4:AQ28" ca="1" si="18">CONCATENATE(AI4,IF(NOT(OR(AI4="",AK4="")),"+",""),AK4)</f>
        <v>(1/2)*(1/3)</v>
      </c>
      <c r="AR4" s="23">
        <f t="shared" ref="AR4:AR28" ca="1" si="19">IFERROR(AP4*AM4,"  ")</f>
        <v>0</v>
      </c>
      <c r="AS4" s="24">
        <f t="shared" ref="AS4:AS28" si="20">IFERROR(AO4-(Long_Div/2),"  ")</f>
        <v>-10</v>
      </c>
      <c r="AT4" s="23">
        <f ca="1">IFERROR(AR4*AS4,"  ")</f>
        <v>0</v>
      </c>
      <c r="AU4" s="23">
        <f ca="1">IFERROR(AT4*AS4,"  ")</f>
        <v>0</v>
      </c>
      <c r="AV4" s="23">
        <f t="shared" ref="AV4:AV28" si="21">IFERROR(AP4^3,"  ")</f>
        <v>0</v>
      </c>
      <c r="AW4" s="23">
        <f t="shared" ref="AW4:AW28" ca="1" si="22">IFERROR(AV4*AM4,"  ")</f>
        <v>0</v>
      </c>
      <c r="AY4" s="35">
        <f t="shared" ref="AY4:AY28" si="23">IF(ROW(AY4)-3&gt;Max_STN_count," ",VLOOKUP(AO4,AREA_TABLE,Count_WL+1,FALSE))</f>
        <v>0</v>
      </c>
      <c r="AZ4" s="23">
        <f t="shared" ref="AZ4:AZ7" ca="1" si="24">IFERROR(AY4*AM4,"  ")</f>
        <v>0</v>
      </c>
      <c r="BA4" s="36">
        <f t="shared" ref="BA4:BA28" si="25">IF(ROW(AY4)-3&gt;Max_STN_count," ",VLOOKUP(AO4,MOMENT_TABLE,Count_WL+1,FALSE))</f>
        <v>0</v>
      </c>
      <c r="BB4" s="27">
        <f ca="1">IFERROR(BA4*AM4,"  ")</f>
        <v>0</v>
      </c>
      <c r="BC4" s="23">
        <f ca="1">IFERROR(AZ4*AS4,"  ")</f>
        <v>0</v>
      </c>
      <c r="BE4" s="16" t="s">
        <v>26</v>
      </c>
      <c r="BF4" s="9" t="s">
        <v>8</v>
      </c>
      <c r="BG4" s="28">
        <f>LBP</f>
        <v>146.19999999999999</v>
      </c>
    </row>
    <row r="5" spans="1:60" x14ac:dyDescent="0.25">
      <c r="A5" s="20">
        <f>Tools!$AD4</f>
        <v>0.5</v>
      </c>
      <c r="B5" s="33">
        <f t="shared" si="0"/>
        <v>0.25</v>
      </c>
      <c r="C5" s="22">
        <f>IF(A5="  ","  ",IF(AND(A4="  ",A6="  "),"?",IF(A4="  ",2*(A6-A5),IF(A6="  ",2*(A5-A4),2*(A6-A4)))))</f>
        <v>2</v>
      </c>
      <c r="D5" s="23">
        <f t="shared" ref="D5:D28" si="26">IFERROR(B5*C5,"  ")</f>
        <v>0.5</v>
      </c>
      <c r="E5" s="24">
        <f t="shared" si="1"/>
        <v>-9.5</v>
      </c>
      <c r="F5" s="23">
        <f t="shared" ref="F5:F28" si="27">IFERROR(D5*E5,"  ")</f>
        <v>-4.75</v>
      </c>
      <c r="G5" s="23">
        <f t="shared" ref="G5:G28" si="28">IFERROR(F5*E5,"  ")</f>
        <v>45.125</v>
      </c>
      <c r="H5" s="23">
        <f t="shared" ref="H5:H28" si="29">IFERROR(B5^3,"  ")</f>
        <v>1.5625E-2</v>
      </c>
      <c r="I5" s="23">
        <f t="shared" ref="I5:I28" si="30">IFERROR(H5*C5,"  ")</f>
        <v>3.125E-2</v>
      </c>
      <c r="J5" s="4"/>
      <c r="K5" s="37">
        <f t="shared" si="2"/>
        <v>0.79666666666666663</v>
      </c>
      <c r="L5" s="23">
        <f t="shared" ref="L5:L28" si="31">IFERROR(K5*C5,"  ")</f>
        <v>1.5933333333333333</v>
      </c>
      <c r="M5" s="38">
        <f t="shared" si="3"/>
        <v>0.85333333333333328</v>
      </c>
      <c r="N5" s="27">
        <f t="shared" ref="N5:N28" si="32">IFERROR(M5*C5,"  ")</f>
        <v>1.7066666666666666</v>
      </c>
      <c r="O5" s="23">
        <f t="shared" ref="O5:O28" si="33">IFERROR(L5*E5,"  ")</f>
        <v>-15.136666666666667</v>
      </c>
      <c r="P5" s="4"/>
      <c r="Q5" s="8" t="s">
        <v>27</v>
      </c>
      <c r="R5" s="9" t="s">
        <v>8</v>
      </c>
      <c r="S5" s="10">
        <f>BREADTH</f>
        <v>22</v>
      </c>
      <c r="W5" s="29">
        <f>IF(AO5="  ","  ",IF(AND(AO4="  ",AO6="  "),"?",IF(AO4="  ",2*(AO6-AO5),IF(AO6="  ",2*(AO5-AO4),2*(AO6-AO4)))))</f>
        <v>2</v>
      </c>
      <c r="X5" s="30" t="str">
        <f t="shared" si="4"/>
        <v>DD</v>
      </c>
      <c r="Y5" s="30" t="str">
        <f t="shared" si="5"/>
        <v>-</v>
      </c>
      <c r="Z5" s="29" t="b">
        <f t="shared" si="6"/>
        <v>1</v>
      </c>
      <c r="AA5" s="29" t="b">
        <f t="shared" si="7"/>
        <v>1</v>
      </c>
      <c r="AB5" s="29" t="str">
        <f t="shared" ca="1" si="8"/>
        <v>141-4</v>
      </c>
      <c r="AC5" s="29">
        <f t="shared" ref="AC5:AC27" si="34">IF(ISNUMBER(AO5),IF(ISNUMBER(AO5),IF(OR(AO5=0,AO5=Long_Div),1,IF(AO5&gt;Long_Div/2,AC6+1,IF(AO5&lt;=Long_Div/2,AC4+1,"?")))," --")," ")</f>
        <v>2</v>
      </c>
      <c r="AD5" s="29">
        <f t="shared" ca="1" si="9"/>
        <v>2</v>
      </c>
      <c r="AE5" s="29">
        <v>2</v>
      </c>
      <c r="AF5" s="31" t="str">
        <f t="shared" si="10"/>
        <v xml:space="preserve"> </v>
      </c>
      <c r="AG5" s="29" t="b">
        <f t="shared" si="11"/>
        <v>0</v>
      </c>
      <c r="AH5" s="30" t="str">
        <f t="shared" si="12"/>
        <v>-</v>
      </c>
      <c r="AI5" s="30" t="str">
        <f t="shared" ca="1" si="13"/>
        <v>(1/2)*(4/3)</v>
      </c>
      <c r="AJ5" s="29">
        <f t="shared" ca="1" si="14"/>
        <v>0.66666666666666663</v>
      </c>
      <c r="AK5" s="29" t="str">
        <f t="shared" si="15"/>
        <v/>
      </c>
      <c r="AL5" s="29">
        <f t="shared" si="16"/>
        <v>0</v>
      </c>
      <c r="AM5" s="32">
        <f t="shared" ref="AM5:AM28" ca="1" si="35">IF(AQ5=""," ",AJ5+AL5)</f>
        <v>0.66666666666666663</v>
      </c>
      <c r="AO5" s="20">
        <f>Tools!$AD4</f>
        <v>0.5</v>
      </c>
      <c r="AP5" s="33">
        <f t="shared" ref="AP5:AP26" si="36">VLOOKUP(AO5,OFFSET_A,Count_WL+1,FALSE)</f>
        <v>0.25</v>
      </c>
      <c r="AQ5" s="34" t="str">
        <f t="shared" ca="1" si="18"/>
        <v>(1/2)*(4/3)</v>
      </c>
      <c r="AR5" s="23">
        <f t="shared" ca="1" si="19"/>
        <v>0.16666666666666666</v>
      </c>
      <c r="AS5" s="24">
        <f t="shared" si="20"/>
        <v>-9.5</v>
      </c>
      <c r="AT5" s="23">
        <f t="shared" ref="AT5:AT28" ca="1" si="37">IFERROR(AR5*AS5,"  ")</f>
        <v>-1.5833333333333333</v>
      </c>
      <c r="AU5" s="23">
        <f ca="1">IFERROR(AT5*AS5,"  ")</f>
        <v>15.041666666666666</v>
      </c>
      <c r="AV5" s="23">
        <f t="shared" si="21"/>
        <v>1.5625E-2</v>
      </c>
      <c r="AW5" s="23">
        <f t="shared" ca="1" si="22"/>
        <v>1.0416666666666666E-2</v>
      </c>
      <c r="AY5" s="35">
        <f t="shared" si="23"/>
        <v>0.79666666666666663</v>
      </c>
      <c r="AZ5" s="23">
        <f t="shared" ca="1" si="24"/>
        <v>0.53111111111111109</v>
      </c>
      <c r="BA5" s="36">
        <f t="shared" si="25"/>
        <v>0.85333333333333328</v>
      </c>
      <c r="BB5" s="27">
        <f t="shared" ref="BB5:BB28" ca="1" si="38">IFERROR(BA5*AM5,"  ")</f>
        <v>0.56888888888888878</v>
      </c>
      <c r="BC5" s="23">
        <f t="shared" ref="BC5:BC28" ca="1" si="39">IFERROR(AZ5*AS5,"  ")</f>
        <v>-5.0455555555555556</v>
      </c>
      <c r="BE5" s="8" t="s">
        <v>27</v>
      </c>
      <c r="BF5" s="9" t="s">
        <v>8</v>
      </c>
      <c r="BG5" s="10">
        <f>BREADTH</f>
        <v>22</v>
      </c>
    </row>
    <row r="6" spans="1:60" x14ac:dyDescent="0.25">
      <c r="A6" s="20">
        <f>Tools!$AD5</f>
        <v>1</v>
      </c>
      <c r="B6" s="33">
        <f t="shared" si="0"/>
        <v>0.98</v>
      </c>
      <c r="C6" s="22">
        <f>IF(A6="  ","  ",IF(AND(A5="  ",A7="  "),"?",IF(A5="  ",1*(A7-A6),IF(A7="  ",1*(A6-A5),1*(A7-A5)))))</f>
        <v>1</v>
      </c>
      <c r="D6" s="23">
        <f t="shared" si="26"/>
        <v>0.98</v>
      </c>
      <c r="E6" s="24">
        <f t="shared" si="1"/>
        <v>-9</v>
      </c>
      <c r="F6" s="23">
        <f t="shared" si="27"/>
        <v>-8.82</v>
      </c>
      <c r="G6" s="23">
        <f t="shared" si="28"/>
        <v>79.38</v>
      </c>
      <c r="H6" s="23">
        <f t="shared" si="29"/>
        <v>0.94119199999999992</v>
      </c>
      <c r="I6" s="23">
        <f t="shared" si="30"/>
        <v>0.94119199999999992</v>
      </c>
      <c r="J6" s="4"/>
      <c r="K6" s="37">
        <f t="shared" si="2"/>
        <v>2.6533333333333333</v>
      </c>
      <c r="L6" s="23">
        <f t="shared" si="31"/>
        <v>2.6533333333333333</v>
      </c>
      <c r="M6" s="38">
        <f t="shared" si="3"/>
        <v>3.0999999999999996</v>
      </c>
      <c r="N6" s="27">
        <f t="shared" si="32"/>
        <v>3.0999999999999996</v>
      </c>
      <c r="O6" s="23">
        <f t="shared" si="33"/>
        <v>-23.88</v>
      </c>
      <c r="P6" s="4"/>
      <c r="Q6" s="8" t="s">
        <v>28</v>
      </c>
      <c r="R6" s="9" t="s">
        <v>8</v>
      </c>
      <c r="S6" s="10">
        <f>DEPTH</f>
        <v>13</v>
      </c>
      <c r="W6" s="29">
        <f>IF(AO6="  ","  ",IF(AND(AO5="  ",AO7="  "),"?",IF(AO5="  ",1*(AO7-AO6),IF(AO7="  ",1*(AO6-AO5),1*(AO7-AO5)))))</f>
        <v>1</v>
      </c>
      <c r="X6" s="30" t="str">
        <f t="shared" si="4"/>
        <v>DD</v>
      </c>
      <c r="Y6" s="30" t="str">
        <f t="shared" si="5"/>
        <v>-</v>
      </c>
      <c r="Z6" s="29" t="b">
        <f t="shared" si="6"/>
        <v>1</v>
      </c>
      <c r="AA6" s="29" t="b">
        <f t="shared" si="7"/>
        <v>1</v>
      </c>
      <c r="AB6" s="29" t="str">
        <f t="shared" ca="1" si="8"/>
        <v>141-2</v>
      </c>
      <c r="AC6" s="29">
        <f t="shared" si="34"/>
        <v>3</v>
      </c>
      <c r="AD6" s="29">
        <f t="shared" ca="1" si="9"/>
        <v>3</v>
      </c>
      <c r="AE6" s="29">
        <v>3</v>
      </c>
      <c r="AF6" s="31" t="str">
        <f t="shared" si="10"/>
        <v xml:space="preserve"> </v>
      </c>
      <c r="AG6" s="29" t="b">
        <f t="shared" si="11"/>
        <v>0</v>
      </c>
      <c r="AH6" s="30" t="str">
        <f t="shared" si="12"/>
        <v>-</v>
      </c>
      <c r="AI6" s="30" t="str">
        <f t="shared" ca="1" si="13"/>
        <v>(1/2)*(2/3)</v>
      </c>
      <c r="AJ6" s="29">
        <f t="shared" ca="1" si="14"/>
        <v>0.33333333333333331</v>
      </c>
      <c r="AK6" s="29" t="str">
        <f t="shared" si="15"/>
        <v/>
      </c>
      <c r="AL6" s="29">
        <f t="shared" si="16"/>
        <v>0</v>
      </c>
      <c r="AM6" s="32">
        <f t="shared" ca="1" si="35"/>
        <v>0.33333333333333331</v>
      </c>
      <c r="AO6" s="20">
        <f>Tools!$AD5</f>
        <v>1</v>
      </c>
      <c r="AP6" s="33">
        <f t="shared" si="36"/>
        <v>0.98</v>
      </c>
      <c r="AQ6" s="34" t="str">
        <f t="shared" ca="1" si="18"/>
        <v>(1/2)*(2/3)</v>
      </c>
      <c r="AR6" s="23">
        <f t="shared" ca="1" si="19"/>
        <v>0.32666666666666666</v>
      </c>
      <c r="AS6" s="24">
        <f t="shared" si="20"/>
        <v>-9</v>
      </c>
      <c r="AT6" s="23">
        <f t="shared" ca="1" si="37"/>
        <v>-2.94</v>
      </c>
      <c r="AU6" s="23">
        <f ca="1">IFERROR(AT6*AS6,"  ")</f>
        <v>26.46</v>
      </c>
      <c r="AV6" s="23">
        <f t="shared" si="21"/>
        <v>0.94119199999999992</v>
      </c>
      <c r="AW6" s="23">
        <f t="shared" ca="1" si="22"/>
        <v>0.3137306666666666</v>
      </c>
      <c r="AY6" s="35">
        <f t="shared" si="23"/>
        <v>2.6533333333333333</v>
      </c>
      <c r="AZ6" s="23">
        <f t="shared" ca="1" si="24"/>
        <v>0.88444444444444437</v>
      </c>
      <c r="BA6" s="36">
        <f t="shared" si="25"/>
        <v>3.0999999999999996</v>
      </c>
      <c r="BB6" s="27">
        <f t="shared" ca="1" si="38"/>
        <v>1.0333333333333332</v>
      </c>
      <c r="BC6" s="23">
        <f t="shared" ca="1" si="39"/>
        <v>-7.9599999999999991</v>
      </c>
      <c r="BE6" s="8" t="s">
        <v>28</v>
      </c>
      <c r="BF6" s="9" t="s">
        <v>8</v>
      </c>
      <c r="BG6" s="10">
        <f>DEPTH</f>
        <v>13</v>
      </c>
    </row>
    <row r="7" spans="1:60" x14ac:dyDescent="0.25">
      <c r="A7" s="20">
        <f>Tools!$AD6</f>
        <v>1.5</v>
      </c>
      <c r="B7" s="33">
        <f t="shared" si="0"/>
        <v>1.89</v>
      </c>
      <c r="C7" s="22">
        <f>IF(A7="  ","  ",IF(AND(A6="  ",A8="  "),"?",IF(A6="  ",2*(A8-A7),IF(A8="  ",2*(A7-A6),2*(A8-A6)))))</f>
        <v>2</v>
      </c>
      <c r="D7" s="23">
        <f t="shared" si="26"/>
        <v>3.78</v>
      </c>
      <c r="E7" s="24">
        <f t="shared" si="1"/>
        <v>-8.5</v>
      </c>
      <c r="F7" s="23">
        <f t="shared" si="27"/>
        <v>-32.129999999999995</v>
      </c>
      <c r="G7" s="23">
        <f t="shared" si="28"/>
        <v>273.10499999999996</v>
      </c>
      <c r="H7" s="23">
        <f t="shared" si="29"/>
        <v>6.7512689999999997</v>
      </c>
      <c r="I7" s="23">
        <f t="shared" si="30"/>
        <v>13.502537999999999</v>
      </c>
      <c r="J7" s="4"/>
      <c r="K7" s="37">
        <f t="shared" si="2"/>
        <v>5.2166666666666668</v>
      </c>
      <c r="L7" s="23">
        <f t="shared" si="31"/>
        <v>10.433333333333334</v>
      </c>
      <c r="M7" s="38">
        <f t="shared" si="3"/>
        <v>6.1199999999999992</v>
      </c>
      <c r="N7" s="27">
        <f t="shared" si="32"/>
        <v>12.239999999999998</v>
      </c>
      <c r="O7" s="23">
        <f t="shared" si="33"/>
        <v>-88.683333333333337</v>
      </c>
      <c r="P7" s="4"/>
      <c r="Q7" s="39" t="s">
        <v>29</v>
      </c>
      <c r="R7" s="40" t="s">
        <v>8</v>
      </c>
      <c r="S7" s="41">
        <f>IF(MAX(B4:B28)=0," ",2*MAX(B4:B28))</f>
        <v>22</v>
      </c>
      <c r="W7" s="29">
        <f>IF(AO7="  ","  ",IF(AND(AO6="  ",AO8="  "),"?",IF(AO6="  ",2*(AO8-AO7),IF(AO8="  ",2*(AO7-AO6),2*(AO8-AO6)))))</f>
        <v>2</v>
      </c>
      <c r="X7" s="30" t="str">
        <f t="shared" si="4"/>
        <v>DD</v>
      </c>
      <c r="Y7" s="30" t="str">
        <f t="shared" si="5"/>
        <v>-</v>
      </c>
      <c r="Z7" s="29" t="b">
        <f t="shared" si="6"/>
        <v>1</v>
      </c>
      <c r="AA7" s="29" t="b">
        <f t="shared" si="7"/>
        <v>1</v>
      </c>
      <c r="AB7" s="29" t="str">
        <f t="shared" ca="1" si="8"/>
        <v>141-4</v>
      </c>
      <c r="AC7" s="29">
        <f t="shared" si="34"/>
        <v>4</v>
      </c>
      <c r="AD7" s="29">
        <f t="shared" ca="1" si="9"/>
        <v>4</v>
      </c>
      <c r="AE7" s="29">
        <v>4</v>
      </c>
      <c r="AF7" s="31" t="str">
        <f t="shared" si="10"/>
        <v xml:space="preserve"> </v>
      </c>
      <c r="AG7" s="29" t="b">
        <f t="shared" si="11"/>
        <v>0</v>
      </c>
      <c r="AH7" s="30" t="str">
        <f t="shared" si="12"/>
        <v>-</v>
      </c>
      <c r="AI7" s="30" t="str">
        <f t="shared" ca="1" si="13"/>
        <v>(1/2)*(4/3)</v>
      </c>
      <c r="AJ7" s="29">
        <f t="shared" ca="1" si="14"/>
        <v>0.66666666666666663</v>
      </c>
      <c r="AK7" s="29" t="str">
        <f t="shared" si="15"/>
        <v/>
      </c>
      <c r="AL7" s="29">
        <f t="shared" si="16"/>
        <v>0</v>
      </c>
      <c r="AM7" s="32">
        <f t="shared" ca="1" si="35"/>
        <v>0.66666666666666663</v>
      </c>
      <c r="AO7" s="20">
        <f>Tools!$AD6</f>
        <v>1.5</v>
      </c>
      <c r="AP7" s="33">
        <f t="shared" si="36"/>
        <v>1.89</v>
      </c>
      <c r="AQ7" s="34" t="str">
        <f t="shared" ca="1" si="18"/>
        <v>(1/2)*(4/3)</v>
      </c>
      <c r="AR7" s="23">
        <f t="shared" ca="1" si="19"/>
        <v>1.2599999999999998</v>
      </c>
      <c r="AS7" s="24">
        <f t="shared" si="20"/>
        <v>-8.5</v>
      </c>
      <c r="AT7" s="23">
        <f t="shared" ca="1" si="37"/>
        <v>-10.709999999999997</v>
      </c>
      <c r="AU7" s="23">
        <f t="shared" ref="AU7:AU28" ca="1" si="40">IFERROR(AT7*AS7,"  ")</f>
        <v>91.034999999999982</v>
      </c>
      <c r="AV7" s="23">
        <f t="shared" si="21"/>
        <v>6.7512689999999997</v>
      </c>
      <c r="AW7" s="23">
        <f t="shared" ca="1" si="22"/>
        <v>4.5008459999999992</v>
      </c>
      <c r="AY7" s="35">
        <f t="shared" si="23"/>
        <v>5.2166666666666668</v>
      </c>
      <c r="AZ7" s="23">
        <f t="shared" ca="1" si="24"/>
        <v>3.4777777777777779</v>
      </c>
      <c r="BA7" s="36">
        <f t="shared" si="25"/>
        <v>6.1199999999999992</v>
      </c>
      <c r="BB7" s="27">
        <f t="shared" ca="1" si="38"/>
        <v>4.0799999999999992</v>
      </c>
      <c r="BC7" s="23">
        <f t="shared" ca="1" si="39"/>
        <v>-29.56111111111111</v>
      </c>
      <c r="BE7" s="8" t="s">
        <v>29</v>
      </c>
      <c r="BF7" s="9" t="s">
        <v>8</v>
      </c>
      <c r="BG7" s="10">
        <f>IF(MAX(AP4:AP28)=0," ",2*MAX(AP4:AP28))</f>
        <v>22</v>
      </c>
    </row>
    <row r="8" spans="1:60" x14ac:dyDescent="0.25">
      <c r="A8" s="20">
        <f>Tools!$AD7</f>
        <v>2</v>
      </c>
      <c r="B8" s="33">
        <f t="shared" si="0"/>
        <v>2.93</v>
      </c>
      <c r="C8" s="22">
        <f>IF(A8="  ","  ",IF(AND(A7="  ",A9="  "),"?",IF(A7="  ",1*(A9-A8),IF(A9="  ",1*(A8-A7),1*(A9-A7)))))</f>
        <v>1.5</v>
      </c>
      <c r="D8" s="23">
        <f t="shared" si="26"/>
        <v>4.3950000000000005</v>
      </c>
      <c r="E8" s="24">
        <f t="shared" si="1"/>
        <v>-8</v>
      </c>
      <c r="F8" s="23">
        <f t="shared" si="27"/>
        <v>-35.160000000000004</v>
      </c>
      <c r="G8" s="23">
        <f t="shared" si="28"/>
        <v>281.28000000000003</v>
      </c>
      <c r="H8" s="23">
        <f t="shared" si="29"/>
        <v>25.153757000000006</v>
      </c>
      <c r="I8" s="23">
        <f t="shared" si="30"/>
        <v>37.730635500000005</v>
      </c>
      <c r="J8" s="4"/>
      <c r="K8" s="37">
        <f t="shared" si="2"/>
        <v>8.2766666666666655</v>
      </c>
      <c r="L8" s="23">
        <f t="shared" si="31"/>
        <v>12.414999999999999</v>
      </c>
      <c r="M8" s="38">
        <f t="shared" si="3"/>
        <v>9.6199999999999992</v>
      </c>
      <c r="N8" s="27">
        <f t="shared" si="32"/>
        <v>14.43</v>
      </c>
      <c r="O8" s="23">
        <f t="shared" si="33"/>
        <v>-99.32</v>
      </c>
      <c r="P8" s="4"/>
      <c r="Q8" s="42"/>
      <c r="R8" s="42"/>
      <c r="S8" s="42"/>
      <c r="W8" s="29">
        <f>IF(AO8="  ","  ",IF(AND(AO7="  ",AO9="  "),"?",IF(AO7="  ",1*(AO9-AO8),IF(AO9="  ",1*(AO8-AO7),1*(AO9-AO7)))))</f>
        <v>1.5</v>
      </c>
      <c r="X8" s="30" t="str">
        <f t="shared" si="4"/>
        <v>DW</v>
      </c>
      <c r="Y8" s="30" t="str">
        <f t="shared" si="5"/>
        <v>-</v>
      </c>
      <c r="Z8" s="29" t="b">
        <f t="shared" si="6"/>
        <v>1</v>
      </c>
      <c r="AA8" s="29" t="b">
        <f t="shared" si="7"/>
        <v>1</v>
      </c>
      <c r="AB8" s="29" t="str">
        <f t="shared" ca="1" si="8"/>
        <v>141-1</v>
      </c>
      <c r="AC8" s="29">
        <f t="shared" si="34"/>
        <v>5</v>
      </c>
      <c r="AD8" s="29">
        <f t="shared" ca="1" si="9"/>
        <v>5</v>
      </c>
      <c r="AE8" s="29">
        <v>5</v>
      </c>
      <c r="AF8" s="31">
        <f t="shared" si="10"/>
        <v>1</v>
      </c>
      <c r="AG8" s="29" t="b">
        <f t="shared" si="11"/>
        <v>1</v>
      </c>
      <c r="AH8" s="30" t="str">
        <f t="shared" si="12"/>
        <v>141-1</v>
      </c>
      <c r="AI8" s="30" t="str">
        <f t="shared" ca="1" si="13"/>
        <v>(1/2)*(1/3)</v>
      </c>
      <c r="AJ8" s="29">
        <f t="shared" ca="1" si="14"/>
        <v>0.16666666666666666</v>
      </c>
      <c r="AK8" s="29" t="str">
        <f t="shared" si="15"/>
        <v>1/3</v>
      </c>
      <c r="AL8" s="29">
        <f t="shared" si="16"/>
        <v>0.33333333333333331</v>
      </c>
      <c r="AM8" s="32">
        <f t="shared" ca="1" si="35"/>
        <v>0.5</v>
      </c>
      <c r="AO8" s="20">
        <f>Tools!$AD7</f>
        <v>2</v>
      </c>
      <c r="AP8" s="33">
        <f t="shared" si="36"/>
        <v>2.93</v>
      </c>
      <c r="AQ8" s="34" t="str">
        <f t="shared" ca="1" si="18"/>
        <v>(1/2)*(1/3)+1/3</v>
      </c>
      <c r="AR8" s="23">
        <f t="shared" ca="1" si="19"/>
        <v>1.4650000000000001</v>
      </c>
      <c r="AS8" s="24">
        <f t="shared" si="20"/>
        <v>-8</v>
      </c>
      <c r="AT8" s="23">
        <f t="shared" ca="1" si="37"/>
        <v>-11.72</v>
      </c>
      <c r="AU8" s="23">
        <f t="shared" ca="1" si="40"/>
        <v>93.76</v>
      </c>
      <c r="AV8" s="23">
        <f t="shared" si="21"/>
        <v>25.153757000000006</v>
      </c>
      <c r="AW8" s="23">
        <f t="shared" ca="1" si="22"/>
        <v>12.576878500000003</v>
      </c>
      <c r="AY8" s="35">
        <f t="shared" si="23"/>
        <v>8.2766666666666655</v>
      </c>
      <c r="AZ8" s="23">
        <f ca="1">IFERROR(AY8*AM8,"  ")</f>
        <v>4.1383333333333328</v>
      </c>
      <c r="BA8" s="36">
        <f t="shared" si="25"/>
        <v>9.6199999999999992</v>
      </c>
      <c r="BB8" s="27">
        <f t="shared" ca="1" si="38"/>
        <v>4.8099999999999996</v>
      </c>
      <c r="BC8" s="23">
        <f t="shared" ca="1" si="39"/>
        <v>-33.106666666666662</v>
      </c>
      <c r="BE8" s="8" t="s">
        <v>30</v>
      </c>
      <c r="BF8" s="9" t="s">
        <v>8</v>
      </c>
      <c r="BG8" s="10">
        <f ca="1">LBP-AJ33</f>
        <v>146.19999999999999</v>
      </c>
      <c r="BH8" t="str">
        <f ca="1">IF(AJ33&gt;0,CONCATENATE("(LWL is assumed between stations ",$AH$31," and ",$AH$33," as offset values extreme to these stations are zeros.)"),"")</f>
        <v/>
      </c>
    </row>
    <row r="9" spans="1:60" x14ac:dyDescent="0.25">
      <c r="A9" s="20">
        <f>Tools!$AD8</f>
        <v>3</v>
      </c>
      <c r="B9" s="33">
        <f t="shared" si="0"/>
        <v>5.15</v>
      </c>
      <c r="C9" s="22">
        <f>IF(A9="  ","  ",IF(AND(A8="  ",A10="  "),"?",IF(A8="  ",2*(A10-A9),IF(A10="  ",2*(A9-A8),2*(A10-A8)))))</f>
        <v>4</v>
      </c>
      <c r="D9" s="23">
        <f t="shared" si="26"/>
        <v>20.6</v>
      </c>
      <c r="E9" s="24">
        <f t="shared" si="1"/>
        <v>-7</v>
      </c>
      <c r="F9" s="23">
        <f t="shared" si="27"/>
        <v>-144.20000000000002</v>
      </c>
      <c r="G9" s="23">
        <f t="shared" si="28"/>
        <v>1009.4000000000001</v>
      </c>
      <c r="H9" s="23">
        <f t="shared" si="29"/>
        <v>136.59087500000004</v>
      </c>
      <c r="I9" s="23">
        <f t="shared" si="30"/>
        <v>546.36350000000016</v>
      </c>
      <c r="J9" s="4"/>
      <c r="K9" s="37">
        <f t="shared" si="2"/>
        <v>15.849999999999998</v>
      </c>
      <c r="L9" s="23">
        <f t="shared" si="31"/>
        <v>63.399999999999991</v>
      </c>
      <c r="M9" s="38">
        <f t="shared" si="3"/>
        <v>17.866666666666667</v>
      </c>
      <c r="N9" s="27">
        <f t="shared" si="32"/>
        <v>71.466666666666669</v>
      </c>
      <c r="O9" s="23">
        <f t="shared" si="33"/>
        <v>-443.79999999999995</v>
      </c>
      <c r="P9" s="4"/>
      <c r="Q9" s="43" t="s">
        <v>31</v>
      </c>
      <c r="R9" s="44" t="s">
        <v>32</v>
      </c>
      <c r="S9" s="489" t="s">
        <v>33</v>
      </c>
      <c r="W9" s="29">
        <f>IF(AO9="  ","  ",IF(AND(AO8="  ",AO10="  "),"?",IF(AO8="  ",2*(AO10-AO9),IF(AO10="  ",2*(AO9-AO8),2*(AO10-AO8)))))</f>
        <v>4</v>
      </c>
      <c r="X9" s="30" t="str">
        <f t="shared" si="4"/>
        <v>WW</v>
      </c>
      <c r="Y9" s="30" t="str">
        <f t="shared" si="5"/>
        <v>-</v>
      </c>
      <c r="Z9" s="29" t="b">
        <f t="shared" si="6"/>
        <v>0</v>
      </c>
      <c r="AA9" s="29" t="b">
        <f t="shared" si="7"/>
        <v>0</v>
      </c>
      <c r="AB9" s="29" t="str">
        <f t="shared" ca="1" si="8"/>
        <v>++</v>
      </c>
      <c r="AC9" s="29">
        <f t="shared" si="34"/>
        <v>6</v>
      </c>
      <c r="AD9" s="29">
        <f t="shared" ca="1" si="9"/>
        <v>6</v>
      </c>
      <c r="AE9" s="29">
        <v>6</v>
      </c>
      <c r="AF9" s="31">
        <f>IF(AND(AG9=TRUE,OR(NOT(AG8=TRUE),AG8="Full")),1,IF(ISNUMBER(AF8),AF8+1," "))</f>
        <v>2</v>
      </c>
      <c r="AG9" s="29" t="b">
        <f t="shared" si="11"/>
        <v>1</v>
      </c>
      <c r="AH9" s="30" t="str">
        <f t="shared" ca="1" si="12"/>
        <v>141-4</v>
      </c>
      <c r="AI9" s="30" t="str">
        <f t="shared" ca="1" si="13"/>
        <v/>
      </c>
      <c r="AJ9" s="29">
        <f t="shared" ca="1" si="14"/>
        <v>0</v>
      </c>
      <c r="AK9" s="29" t="str">
        <f t="shared" ca="1" si="15"/>
        <v>4/3</v>
      </c>
      <c r="AL9" s="29">
        <f t="shared" ca="1" si="16"/>
        <v>1.3333333333333333</v>
      </c>
      <c r="AM9" s="32">
        <f t="shared" ca="1" si="35"/>
        <v>1.3333333333333333</v>
      </c>
      <c r="AO9" s="20">
        <f>Tools!$AD8</f>
        <v>3</v>
      </c>
      <c r="AP9" s="33">
        <f t="shared" si="36"/>
        <v>5.15</v>
      </c>
      <c r="AQ9" s="34" t="str">
        <f t="shared" ca="1" si="18"/>
        <v>4/3</v>
      </c>
      <c r="AR9" s="23">
        <f t="shared" ca="1" si="19"/>
        <v>6.8666666666666671</v>
      </c>
      <c r="AS9" s="24">
        <f t="shared" si="20"/>
        <v>-7</v>
      </c>
      <c r="AT9" s="23">
        <f t="shared" ca="1" si="37"/>
        <v>-48.06666666666667</v>
      </c>
      <c r="AU9" s="23">
        <f t="shared" ca="1" si="40"/>
        <v>336.4666666666667</v>
      </c>
      <c r="AV9" s="23">
        <f t="shared" si="21"/>
        <v>136.59087500000004</v>
      </c>
      <c r="AW9" s="23">
        <f t="shared" ca="1" si="22"/>
        <v>182.12116666666671</v>
      </c>
      <c r="AY9" s="35">
        <f t="shared" si="23"/>
        <v>15.849999999999998</v>
      </c>
      <c r="AZ9" s="23">
        <f t="shared" ref="AZ9:AZ28" ca="1" si="41">IFERROR(AY9*AM9,"  ")</f>
        <v>21.133333333333329</v>
      </c>
      <c r="BA9" s="36">
        <f t="shared" si="25"/>
        <v>17.866666666666667</v>
      </c>
      <c r="BB9" s="27">
        <f t="shared" ca="1" si="38"/>
        <v>23.822222222222223</v>
      </c>
      <c r="BC9" s="23">
        <f t="shared" ca="1" si="39"/>
        <v>-147.93333333333331</v>
      </c>
    </row>
    <row r="10" spans="1:60" x14ac:dyDescent="0.25">
      <c r="A10" s="20">
        <f>Tools!$AD9</f>
        <v>4</v>
      </c>
      <c r="B10" s="33">
        <f t="shared" si="0"/>
        <v>7.29</v>
      </c>
      <c r="C10" s="22">
        <f>IF(A10="  ","  ",IF(AND(A9="  ",A11="  "),"?",IF(A9="  ",1*(A11-A10),IF(A11="  ",1*(A10-A9),1*(A11-A9)))))</f>
        <v>2</v>
      </c>
      <c r="D10" s="23">
        <f t="shared" si="26"/>
        <v>14.58</v>
      </c>
      <c r="E10" s="24">
        <f t="shared" si="1"/>
        <v>-6</v>
      </c>
      <c r="F10" s="23">
        <f t="shared" si="27"/>
        <v>-87.48</v>
      </c>
      <c r="G10" s="23">
        <f t="shared" si="28"/>
        <v>524.88</v>
      </c>
      <c r="H10" s="23">
        <f t="shared" si="29"/>
        <v>387.42048900000003</v>
      </c>
      <c r="I10" s="23">
        <f>IFERROR(H10*C10,"  ")</f>
        <v>774.84097800000006</v>
      </c>
      <c r="J10" s="4"/>
      <c r="K10" s="37">
        <f t="shared" si="2"/>
        <v>24.083333333333332</v>
      </c>
      <c r="L10" s="23">
        <f t="shared" si="31"/>
        <v>48.166666666666664</v>
      </c>
      <c r="M10" s="38">
        <f t="shared" si="3"/>
        <v>26.246666666666666</v>
      </c>
      <c r="N10" s="27">
        <f t="shared" si="32"/>
        <v>52.493333333333332</v>
      </c>
      <c r="O10" s="23">
        <f t="shared" si="33"/>
        <v>-289</v>
      </c>
      <c r="P10" s="4"/>
      <c r="Q10" s="45"/>
      <c r="R10" s="46"/>
      <c r="S10" s="490"/>
      <c r="W10" s="29">
        <f>IF(AO10="  ","  ",IF(AND(AO9="  ",AO11="  "),"?",IF(AO9="  ",1*(AO11-AO10),IF(AO11="  ",1*(AO10-AO9),1*(AO11-AO9)))))</f>
        <v>2</v>
      </c>
      <c r="X10" s="30" t="str">
        <f t="shared" si="4"/>
        <v>WW</v>
      </c>
      <c r="Y10" s="30" t="str">
        <f t="shared" si="5"/>
        <v>-</v>
      </c>
      <c r="Z10" s="29" t="b">
        <f t="shared" si="6"/>
        <v>0</v>
      </c>
      <c r="AA10" s="29" t="b">
        <f t="shared" si="7"/>
        <v>0</v>
      </c>
      <c r="AB10" s="29" t="str">
        <f t="shared" ca="1" si="8"/>
        <v>++</v>
      </c>
      <c r="AC10" s="29">
        <f t="shared" si="34"/>
        <v>7</v>
      </c>
      <c r="AD10" s="29">
        <f t="shared" ca="1" si="9"/>
        <v>7</v>
      </c>
      <c r="AE10" s="29">
        <v>7</v>
      </c>
      <c r="AF10" s="31">
        <f t="shared" ref="AF10:AF28" si="42">IF(AND(AG10=TRUE,OR(NOT(AG9=TRUE),AG9="Full")),1,IF(ISNUMBER(AF9),AF9+1," "))</f>
        <v>3</v>
      </c>
      <c r="AG10" s="29" t="b">
        <f t="shared" si="11"/>
        <v>1</v>
      </c>
      <c r="AH10" s="30" t="str">
        <f t="shared" ca="1" si="12"/>
        <v>141-2</v>
      </c>
      <c r="AI10" s="30" t="str">
        <f t="shared" ca="1" si="13"/>
        <v/>
      </c>
      <c r="AJ10" s="29">
        <f t="shared" ca="1" si="14"/>
        <v>0</v>
      </c>
      <c r="AK10" s="29" t="str">
        <f t="shared" ca="1" si="15"/>
        <v>2/3</v>
      </c>
      <c r="AL10" s="29">
        <f t="shared" ca="1" si="16"/>
        <v>0.66666666666666663</v>
      </c>
      <c r="AM10" s="32">
        <f t="shared" ca="1" si="35"/>
        <v>0.66666666666666663</v>
      </c>
      <c r="AO10" s="20">
        <f>Tools!$AD9</f>
        <v>4</v>
      </c>
      <c r="AP10" s="33">
        <f t="shared" si="36"/>
        <v>7.29</v>
      </c>
      <c r="AQ10" s="34" t="str">
        <f t="shared" ca="1" si="18"/>
        <v>2/3</v>
      </c>
      <c r="AR10" s="23">
        <f t="shared" ca="1" si="19"/>
        <v>4.8599999999999994</v>
      </c>
      <c r="AS10" s="24">
        <f t="shared" si="20"/>
        <v>-6</v>
      </c>
      <c r="AT10" s="23">
        <f t="shared" ca="1" si="37"/>
        <v>-29.159999999999997</v>
      </c>
      <c r="AU10" s="23">
        <f ca="1">IFERROR(AT10*AS10,"  ")</f>
        <v>174.95999999999998</v>
      </c>
      <c r="AV10" s="23">
        <f t="shared" si="21"/>
        <v>387.42048900000003</v>
      </c>
      <c r="AW10" s="23">
        <f t="shared" ca="1" si="22"/>
        <v>258.280326</v>
      </c>
      <c r="AY10" s="35">
        <f t="shared" si="23"/>
        <v>24.083333333333332</v>
      </c>
      <c r="AZ10" s="23">
        <f t="shared" ca="1" si="41"/>
        <v>16.055555555555554</v>
      </c>
      <c r="BA10" s="36">
        <f t="shared" si="25"/>
        <v>26.246666666666666</v>
      </c>
      <c r="BB10" s="27">
        <f t="shared" ca="1" si="38"/>
        <v>17.497777777777777</v>
      </c>
      <c r="BC10" s="23">
        <f t="shared" ca="1" si="39"/>
        <v>-96.333333333333314</v>
      </c>
      <c r="BE10" s="43" t="s">
        <v>31</v>
      </c>
      <c r="BF10" s="44" t="s">
        <v>32</v>
      </c>
      <c r="BG10" s="489" t="s">
        <v>33</v>
      </c>
    </row>
    <row r="11" spans="1:60" x14ac:dyDescent="0.25">
      <c r="A11" s="20">
        <f>Tools!$AD10</f>
        <v>5</v>
      </c>
      <c r="B11" s="33">
        <f t="shared" si="0"/>
        <v>9.07</v>
      </c>
      <c r="C11" s="22">
        <f>IF(A11="  ","  ",IF(AND(A10="  ",A12="  "),"?",IF(A10="  ",2*(A12-A11),IF(A12="  ",2*(A11-A10),2*(A12-A10)))))</f>
        <v>4</v>
      </c>
      <c r="D11" s="23">
        <f t="shared" si="26"/>
        <v>36.28</v>
      </c>
      <c r="E11" s="24">
        <f t="shared" si="1"/>
        <v>-5</v>
      </c>
      <c r="F11" s="23">
        <f t="shared" si="27"/>
        <v>-181.4</v>
      </c>
      <c r="G11" s="23">
        <f t="shared" si="28"/>
        <v>907</v>
      </c>
      <c r="H11" s="23">
        <f t="shared" si="29"/>
        <v>746.14264300000013</v>
      </c>
      <c r="I11" s="23">
        <f t="shared" si="30"/>
        <v>2984.5705720000005</v>
      </c>
      <c r="J11" s="4"/>
      <c r="K11" s="37">
        <f t="shared" si="2"/>
        <v>31.68333333333333</v>
      </c>
      <c r="L11" s="23">
        <f t="shared" si="31"/>
        <v>126.73333333333332</v>
      </c>
      <c r="M11" s="38">
        <f t="shared" si="3"/>
        <v>33.699999999999996</v>
      </c>
      <c r="N11" s="27">
        <f t="shared" si="32"/>
        <v>134.79999999999998</v>
      </c>
      <c r="O11" s="23">
        <f t="shared" si="33"/>
        <v>-633.66666666666663</v>
      </c>
      <c r="P11" s="4"/>
      <c r="Q11" s="47" t="s">
        <v>34</v>
      </c>
      <c r="R11" s="48" t="s">
        <v>35</v>
      </c>
      <c r="S11">
        <f>IF(Tools!$L$49="Use 141 rule only",I35,IF(Tools!$L$49="Use 141 and 1331 rules",BG12," "))</f>
        <v>2383.1818333333331</v>
      </c>
      <c r="W11" s="29">
        <f>IF(AO11="  ","  ",IF(AND(AO10="  ",AO12="  "),"?",IF(AO10="  ",2*(AO12-AO11),IF(AO12="  ",2*(AO11-AO10),2*(AO12-AO10)))))</f>
        <v>4</v>
      </c>
      <c r="X11" s="30" t="str">
        <f t="shared" si="4"/>
        <v>WW</v>
      </c>
      <c r="Y11" s="30" t="str">
        <f t="shared" si="5"/>
        <v>-</v>
      </c>
      <c r="Z11" s="29" t="b">
        <f t="shared" si="6"/>
        <v>0</v>
      </c>
      <c r="AA11" s="29" t="b">
        <f t="shared" si="7"/>
        <v>0</v>
      </c>
      <c r="AB11" s="29" t="str">
        <f t="shared" ca="1" si="8"/>
        <v>++</v>
      </c>
      <c r="AC11" s="29">
        <f t="shared" si="34"/>
        <v>8</v>
      </c>
      <c r="AD11" s="29">
        <f t="shared" ca="1" si="9"/>
        <v>8</v>
      </c>
      <c r="AE11" s="29">
        <v>8</v>
      </c>
      <c r="AF11" s="31">
        <f t="shared" si="42"/>
        <v>4</v>
      </c>
      <c r="AG11" s="29" t="b">
        <f t="shared" si="11"/>
        <v>1</v>
      </c>
      <c r="AH11" s="30" t="str">
        <f t="shared" ca="1" si="12"/>
        <v>141-4</v>
      </c>
      <c r="AI11" s="30" t="str">
        <f t="shared" ca="1" si="13"/>
        <v/>
      </c>
      <c r="AJ11" s="29">
        <f t="shared" ca="1" si="14"/>
        <v>0</v>
      </c>
      <c r="AK11" s="29" t="str">
        <f t="shared" ca="1" si="15"/>
        <v>4/3</v>
      </c>
      <c r="AL11" s="29">
        <f t="shared" ca="1" si="16"/>
        <v>1.3333333333333333</v>
      </c>
      <c r="AM11" s="32">
        <f t="shared" ca="1" si="35"/>
        <v>1.3333333333333333</v>
      </c>
      <c r="AO11" s="20">
        <f>Tools!$AD10</f>
        <v>5</v>
      </c>
      <c r="AP11" s="33">
        <f t="shared" si="36"/>
        <v>9.07</v>
      </c>
      <c r="AQ11" s="34" t="str">
        <f t="shared" ca="1" si="18"/>
        <v>4/3</v>
      </c>
      <c r="AR11" s="23">
        <f t="shared" ca="1" si="19"/>
        <v>12.093333333333334</v>
      </c>
      <c r="AS11" s="24">
        <f t="shared" si="20"/>
        <v>-5</v>
      </c>
      <c r="AT11" s="23">
        <f t="shared" ca="1" si="37"/>
        <v>-60.466666666666669</v>
      </c>
      <c r="AU11" s="23">
        <f t="shared" ca="1" si="40"/>
        <v>302.33333333333337</v>
      </c>
      <c r="AV11" s="23">
        <f t="shared" si="21"/>
        <v>746.14264300000013</v>
      </c>
      <c r="AW11" s="23">
        <f t="shared" ca="1" si="22"/>
        <v>994.85685733333344</v>
      </c>
      <c r="AY11" s="35">
        <f t="shared" si="23"/>
        <v>31.68333333333333</v>
      </c>
      <c r="AZ11" s="23">
        <f t="shared" ca="1" si="41"/>
        <v>42.24444444444444</v>
      </c>
      <c r="BA11" s="36">
        <f t="shared" si="25"/>
        <v>33.699999999999996</v>
      </c>
      <c r="BB11" s="27">
        <f t="shared" ca="1" si="38"/>
        <v>44.933333333333323</v>
      </c>
      <c r="BC11" s="23">
        <f ca="1">IFERROR(AZ11*AS11,"  ")</f>
        <v>-211.2222222222222</v>
      </c>
      <c r="BE11" s="45"/>
      <c r="BF11" s="46"/>
      <c r="BG11" s="490"/>
    </row>
    <row r="12" spans="1:60" x14ac:dyDescent="0.25">
      <c r="A12" s="20">
        <f>Tools!$AD11</f>
        <v>6</v>
      </c>
      <c r="B12" s="33">
        <f t="shared" si="0"/>
        <v>10.199999999999999</v>
      </c>
      <c r="C12" s="22">
        <f>IF(A12="  ","  ",IF(AND(A11="  ",A13="  "),"?",IF(A11="  ",1*(A13-A12),IF(A13="  ",1*(A12-A11),1*(A13-A11)))))</f>
        <v>2</v>
      </c>
      <c r="D12" s="23">
        <f t="shared" si="26"/>
        <v>20.399999999999999</v>
      </c>
      <c r="E12" s="24">
        <f t="shared" si="1"/>
        <v>-4</v>
      </c>
      <c r="F12" s="23">
        <f t="shared" si="27"/>
        <v>-81.599999999999994</v>
      </c>
      <c r="G12" s="23">
        <f t="shared" si="28"/>
        <v>326.39999999999998</v>
      </c>
      <c r="H12" s="23">
        <f t="shared" si="29"/>
        <v>1061.2079999999999</v>
      </c>
      <c r="I12" s="23">
        <f t="shared" si="30"/>
        <v>2122.4159999999997</v>
      </c>
      <c r="J12" s="4"/>
      <c r="K12" s="37">
        <f t="shared" si="2"/>
        <v>37.486666666666665</v>
      </c>
      <c r="L12" s="23">
        <f t="shared" si="31"/>
        <v>74.973333333333329</v>
      </c>
      <c r="M12" s="38">
        <f t="shared" si="3"/>
        <v>38.946666666666665</v>
      </c>
      <c r="N12" s="27">
        <f t="shared" si="32"/>
        <v>77.893333333333331</v>
      </c>
      <c r="O12" s="23">
        <f t="shared" si="33"/>
        <v>-299.89333333333332</v>
      </c>
      <c r="P12" s="4"/>
      <c r="Q12" s="47" t="s">
        <v>36</v>
      </c>
      <c r="R12" s="48" t="s">
        <v>37</v>
      </c>
      <c r="S12">
        <f>IF(Tools!$L$49="Use 141 rule only",I36,IF(Tools!$L$49="Use 141 and 1331 rules",BG13," "))</f>
        <v>11558.584670666662</v>
      </c>
      <c r="W12" s="29">
        <f>IF(AO12="  ","  ",IF(AND(AO11="  ",AO13="  "),"?",IF(AO11="  ",1*(AO13-AO12),IF(AO13="  ",1*(AO12-AO11),1*(AO13-AO11)))))</f>
        <v>2</v>
      </c>
      <c r="X12" s="30" t="str">
        <f t="shared" si="4"/>
        <v>WW</v>
      </c>
      <c r="Y12" s="30" t="str">
        <f t="shared" si="5"/>
        <v>-</v>
      </c>
      <c r="Z12" s="29" t="b">
        <f t="shared" si="6"/>
        <v>0</v>
      </c>
      <c r="AA12" s="29" t="b">
        <f t="shared" si="7"/>
        <v>0</v>
      </c>
      <c r="AB12" s="29" t="str">
        <f t="shared" ca="1" si="8"/>
        <v>++</v>
      </c>
      <c r="AC12" s="29">
        <f t="shared" si="34"/>
        <v>9</v>
      </c>
      <c r="AD12" s="29">
        <f t="shared" ca="1" si="9"/>
        <v>9</v>
      </c>
      <c r="AE12" s="29">
        <v>9</v>
      </c>
      <c r="AF12" s="31">
        <f t="shared" si="42"/>
        <v>5</v>
      </c>
      <c r="AG12" s="29" t="b">
        <f t="shared" si="11"/>
        <v>1</v>
      </c>
      <c r="AH12" s="30" t="str">
        <f t="shared" ca="1" si="12"/>
        <v>141-2</v>
      </c>
      <c r="AI12" s="30" t="str">
        <f t="shared" ca="1" si="13"/>
        <v/>
      </c>
      <c r="AJ12" s="29">
        <f t="shared" ca="1" si="14"/>
        <v>0</v>
      </c>
      <c r="AK12" s="29" t="str">
        <f t="shared" ca="1" si="15"/>
        <v>2/3</v>
      </c>
      <c r="AL12" s="29">
        <f t="shared" ca="1" si="16"/>
        <v>0.66666666666666663</v>
      </c>
      <c r="AM12" s="32">
        <f t="shared" ca="1" si="35"/>
        <v>0.66666666666666663</v>
      </c>
      <c r="AO12" s="20">
        <f>Tools!$AD11</f>
        <v>6</v>
      </c>
      <c r="AP12" s="33">
        <f t="shared" si="36"/>
        <v>10.199999999999999</v>
      </c>
      <c r="AQ12" s="34" t="str">
        <f t="shared" ca="1" si="18"/>
        <v>2/3</v>
      </c>
      <c r="AR12" s="23">
        <f t="shared" ca="1" si="19"/>
        <v>6.7999999999999989</v>
      </c>
      <c r="AS12" s="24">
        <f t="shared" si="20"/>
        <v>-4</v>
      </c>
      <c r="AT12" s="23">
        <f t="shared" ca="1" si="37"/>
        <v>-27.199999999999996</v>
      </c>
      <c r="AU12" s="23">
        <f t="shared" ca="1" si="40"/>
        <v>108.79999999999998</v>
      </c>
      <c r="AV12" s="23">
        <f t="shared" si="21"/>
        <v>1061.2079999999999</v>
      </c>
      <c r="AW12" s="23">
        <f t="shared" ca="1" si="22"/>
        <v>707.47199999999987</v>
      </c>
      <c r="AY12" s="35">
        <f t="shared" si="23"/>
        <v>37.486666666666665</v>
      </c>
      <c r="AZ12" s="23">
        <f t="shared" ca="1" si="41"/>
        <v>24.99111111111111</v>
      </c>
      <c r="BA12" s="36">
        <f t="shared" si="25"/>
        <v>38.946666666666665</v>
      </c>
      <c r="BB12" s="27">
        <f t="shared" ca="1" si="38"/>
        <v>25.964444444444442</v>
      </c>
      <c r="BC12" s="23">
        <f t="shared" ca="1" si="39"/>
        <v>-99.964444444444439</v>
      </c>
      <c r="BE12" s="47" t="s">
        <v>34</v>
      </c>
      <c r="BF12" s="48" t="s">
        <v>38</v>
      </c>
      <c r="BG12" s="49">
        <f ca="1">IF(WL_No="  ","  ",2*h*$AR$29)</f>
        <v>2383.1818333333326</v>
      </c>
    </row>
    <row r="13" spans="1:60" x14ac:dyDescent="0.25">
      <c r="A13" s="20">
        <f>Tools!$AD12</f>
        <v>7</v>
      </c>
      <c r="B13" s="33">
        <f t="shared" si="0"/>
        <v>10.8</v>
      </c>
      <c r="C13" s="22">
        <f>IF(A13="  ","  ",IF(AND(A12="  ",A14="  "),"?",IF(A12="  ",2*(A14-A13),IF(A14="  ",2*(A13-A12),2*(A14-A12)))))</f>
        <v>4</v>
      </c>
      <c r="D13" s="23">
        <f t="shared" si="26"/>
        <v>43.2</v>
      </c>
      <c r="E13" s="24">
        <f t="shared" si="1"/>
        <v>-3</v>
      </c>
      <c r="F13" s="23">
        <f t="shared" si="27"/>
        <v>-129.60000000000002</v>
      </c>
      <c r="G13" s="23">
        <f t="shared" si="28"/>
        <v>388.80000000000007</v>
      </c>
      <c r="H13" s="23">
        <f t="shared" si="29"/>
        <v>1259.7120000000002</v>
      </c>
      <c r="I13" s="23">
        <f t="shared" si="30"/>
        <v>5038.8480000000009</v>
      </c>
      <c r="J13" s="4"/>
      <c r="K13" s="37">
        <f t="shared" si="2"/>
        <v>40.706666666666663</v>
      </c>
      <c r="L13" s="23">
        <f t="shared" si="31"/>
        <v>162.82666666666665</v>
      </c>
      <c r="M13" s="38">
        <f t="shared" si="3"/>
        <v>41.82</v>
      </c>
      <c r="N13" s="27">
        <f t="shared" si="32"/>
        <v>167.28</v>
      </c>
      <c r="O13" s="23">
        <f t="shared" si="33"/>
        <v>-488.47999999999996</v>
      </c>
      <c r="P13" s="4"/>
      <c r="Q13" s="50" t="s">
        <v>39</v>
      </c>
      <c r="R13" s="48" t="s">
        <v>40</v>
      </c>
      <c r="S13">
        <f>IF(Tools!$L$49="Use 141 rule only",I37,IF(Tools!$L$49="Use 141 and 1331 rules",BG14," "))</f>
        <v>4.8500641071519848</v>
      </c>
      <c r="W13" s="29">
        <f>IF(AO13="  ","  ",IF(AND(AO12="  ",AO14="  "),"?",IF(AO12="  ",2*(AO14-AO13),IF(AO14="  ",2*(AO13-AO12),2*(AO14-AO12)))))</f>
        <v>4</v>
      </c>
      <c r="X13" s="30" t="str">
        <f t="shared" si="4"/>
        <v>WW</v>
      </c>
      <c r="Y13" s="30" t="str">
        <f t="shared" si="5"/>
        <v>-</v>
      </c>
      <c r="Z13" s="29" t="b">
        <f t="shared" si="6"/>
        <v>0</v>
      </c>
      <c r="AA13" s="29" t="b">
        <f t="shared" si="7"/>
        <v>0</v>
      </c>
      <c r="AB13" s="29" t="str">
        <f t="shared" ca="1" si="8"/>
        <v>++</v>
      </c>
      <c r="AC13" s="29">
        <f t="shared" si="34"/>
        <v>10</v>
      </c>
      <c r="AD13" s="29">
        <f t="shared" ca="1" si="9"/>
        <v>10</v>
      </c>
      <c r="AE13" s="29">
        <v>10</v>
      </c>
      <c r="AF13" s="31">
        <f t="shared" si="42"/>
        <v>6</v>
      </c>
      <c r="AG13" s="29" t="b">
        <f t="shared" si="11"/>
        <v>1</v>
      </c>
      <c r="AH13" s="30" t="str">
        <f t="shared" ca="1" si="12"/>
        <v>141-4</v>
      </c>
      <c r="AI13" s="30" t="str">
        <f t="shared" ca="1" si="13"/>
        <v/>
      </c>
      <c r="AJ13" s="29">
        <f t="shared" ca="1" si="14"/>
        <v>0</v>
      </c>
      <c r="AK13" s="29" t="str">
        <f t="shared" ca="1" si="15"/>
        <v>4/3</v>
      </c>
      <c r="AL13" s="29">
        <f t="shared" ca="1" si="16"/>
        <v>1.3333333333333333</v>
      </c>
      <c r="AM13" s="32">
        <f t="shared" ca="1" si="35"/>
        <v>1.3333333333333333</v>
      </c>
      <c r="AO13" s="20">
        <f>Tools!$AD12</f>
        <v>7</v>
      </c>
      <c r="AP13" s="33">
        <f t="shared" si="36"/>
        <v>10.8</v>
      </c>
      <c r="AQ13" s="34" t="str">
        <f t="shared" ca="1" si="18"/>
        <v>4/3</v>
      </c>
      <c r="AR13" s="23">
        <f t="shared" ca="1" si="19"/>
        <v>14.4</v>
      </c>
      <c r="AS13" s="24">
        <f t="shared" si="20"/>
        <v>-3</v>
      </c>
      <c r="AT13" s="23">
        <f t="shared" ca="1" si="37"/>
        <v>-43.2</v>
      </c>
      <c r="AU13" s="23">
        <f t="shared" ca="1" si="40"/>
        <v>129.60000000000002</v>
      </c>
      <c r="AV13" s="23">
        <f t="shared" si="21"/>
        <v>1259.7120000000002</v>
      </c>
      <c r="AW13" s="23">
        <f t="shared" ca="1" si="22"/>
        <v>1679.6160000000002</v>
      </c>
      <c r="AY13" s="35">
        <f t="shared" si="23"/>
        <v>40.706666666666663</v>
      </c>
      <c r="AZ13" s="23">
        <f t="shared" ca="1" si="41"/>
        <v>54.275555555555549</v>
      </c>
      <c r="BA13" s="36">
        <f t="shared" si="25"/>
        <v>41.82</v>
      </c>
      <c r="BB13" s="27">
        <f t="shared" ca="1" si="38"/>
        <v>55.76</v>
      </c>
      <c r="BC13" s="23">
        <f t="shared" ca="1" si="39"/>
        <v>-162.82666666666665</v>
      </c>
      <c r="BE13" s="47" t="s">
        <v>36</v>
      </c>
      <c r="BF13" s="48" t="s">
        <v>41</v>
      </c>
      <c r="BG13" s="49">
        <f ca="1">IF(WL_No="  ","  ",2*(h^2)*$AT$29)</f>
        <v>11558.584670666665</v>
      </c>
    </row>
    <row r="14" spans="1:60" x14ac:dyDescent="0.25">
      <c r="A14" s="20">
        <f>Tools!$AD13</f>
        <v>8</v>
      </c>
      <c r="B14" s="33">
        <f t="shared" si="0"/>
        <v>11</v>
      </c>
      <c r="C14" s="22">
        <f>IF(A14="  ","  ",IF(AND(A13="  ",A15="  "),"?",IF(A13="  ",1*(A15-A14),IF(A15="  ",1*(A14-A13),1*(A15-A13)))))</f>
        <v>2</v>
      </c>
      <c r="D14" s="23">
        <f t="shared" si="26"/>
        <v>22</v>
      </c>
      <c r="E14" s="24">
        <f t="shared" si="1"/>
        <v>-2</v>
      </c>
      <c r="F14" s="23">
        <f t="shared" si="27"/>
        <v>-44</v>
      </c>
      <c r="G14" s="23">
        <f t="shared" si="28"/>
        <v>88</v>
      </c>
      <c r="H14" s="23">
        <f t="shared" si="29"/>
        <v>1331</v>
      </c>
      <c r="I14" s="23">
        <f t="shared" si="30"/>
        <v>2662</v>
      </c>
      <c r="J14" s="4"/>
      <c r="K14" s="37">
        <f t="shared" si="2"/>
        <v>42.25333333333333</v>
      </c>
      <c r="L14" s="23">
        <f t="shared" si="31"/>
        <v>84.506666666666661</v>
      </c>
      <c r="M14" s="38">
        <f t="shared" si="3"/>
        <v>43.133333333333326</v>
      </c>
      <c r="N14" s="27">
        <f t="shared" si="32"/>
        <v>86.266666666666652</v>
      </c>
      <c r="O14" s="23">
        <f t="shared" si="33"/>
        <v>-169.01333333333332</v>
      </c>
      <c r="P14" s="4"/>
      <c r="Q14" s="50" t="s">
        <v>42</v>
      </c>
      <c r="R14" s="48" t="s">
        <v>43</v>
      </c>
      <c r="S14">
        <f>IF(Tools!$L$49="Use 141 rule only",I38,IF(Tools!$L$49="Use 141 and 1331 rules",BG15," "))</f>
        <v>2698555.0546614928</v>
      </c>
      <c r="W14" s="29">
        <f>IF(AO14="  ","  ",IF(AND(AO13="  ",AO15="  "),"?",IF(AO13="  ",1*(AO15-AO14),IF(AO15="  ",1*(AO14-AO13),1*(AO15-AO13)))))</f>
        <v>2</v>
      </c>
      <c r="X14" s="30" t="str">
        <f t="shared" si="4"/>
        <v>WW</v>
      </c>
      <c r="Y14" s="30" t="str">
        <f t="shared" si="5"/>
        <v>-</v>
      </c>
      <c r="Z14" s="29" t="b">
        <f t="shared" si="6"/>
        <v>0</v>
      </c>
      <c r="AA14" s="29" t="b">
        <f t="shared" si="7"/>
        <v>0</v>
      </c>
      <c r="AB14" s="29" t="str">
        <f t="shared" ca="1" si="8"/>
        <v>++</v>
      </c>
      <c r="AC14" s="29">
        <f t="shared" si="34"/>
        <v>11</v>
      </c>
      <c r="AD14" s="29">
        <f t="shared" ca="1" si="9"/>
        <v>11</v>
      </c>
      <c r="AE14" s="29">
        <v>11</v>
      </c>
      <c r="AF14" s="31">
        <f t="shared" si="42"/>
        <v>7</v>
      </c>
      <c r="AG14" s="29" t="b">
        <f t="shared" si="11"/>
        <v>1</v>
      </c>
      <c r="AH14" s="30" t="str">
        <f ca="1">IF(AND(AG14=TRUE,$AH$1=1),"141-4",IF(AG14=" ",IF(AND($AH$1=2,AF14=3),"141-1","-"),IF(OR(AG14=FALSE,AG14=" "),"-",IF(AG14=TRUE,IF(AND($AH$1=2,AF14=1),"141-1",IF(AND($AH$1=2,AF14=2),"141-4",IF(OR(ISODD($AH$1),AF14&gt;4),IF(AF14=1,"141-1",IF(OR(AB14="141-1",AB14="1331-1",AB14="1331-1,141-1"),"141-1",IF(AG15=" ","141-1",IF(OR(AH13="141-1",AH13="141-2",AH13="1331-1,141-1"),"141-4",IF(AH13="141-4","141-2","$$"))))),IF(ISEVEN($AH$1),IF(AF14=1,"1331-1",IF(OR(AF14=2,AF14=3),"1331-3",IF(AF14=4,IF($AH$1=4,"1331-1","1331-1,141-1"),"")))))))))))</f>
        <v>141-2</v>
      </c>
      <c r="AI14" s="30" t="str">
        <f t="shared" ca="1" si="13"/>
        <v/>
      </c>
      <c r="AJ14" s="29">
        <f t="shared" ca="1" si="14"/>
        <v>0</v>
      </c>
      <c r="AK14" s="29" t="str">
        <f t="shared" ca="1" si="15"/>
        <v>2/3</v>
      </c>
      <c r="AL14" s="29">
        <f t="shared" ca="1" si="16"/>
        <v>0.66666666666666663</v>
      </c>
      <c r="AM14" s="32">
        <f t="shared" ca="1" si="35"/>
        <v>0.66666666666666663</v>
      </c>
      <c r="AO14" s="20">
        <f>Tools!$AD13</f>
        <v>8</v>
      </c>
      <c r="AP14" s="33">
        <f t="shared" si="36"/>
        <v>11</v>
      </c>
      <c r="AQ14" s="34" t="str">
        <f t="shared" ca="1" si="18"/>
        <v>2/3</v>
      </c>
      <c r="AR14" s="23">
        <f t="shared" ca="1" si="19"/>
        <v>7.333333333333333</v>
      </c>
      <c r="AS14" s="24">
        <f t="shared" si="20"/>
        <v>-2</v>
      </c>
      <c r="AT14" s="23">
        <f t="shared" ca="1" si="37"/>
        <v>-14.666666666666666</v>
      </c>
      <c r="AU14" s="23">
        <f t="shared" ca="1" si="40"/>
        <v>29.333333333333332</v>
      </c>
      <c r="AV14" s="23">
        <f t="shared" si="21"/>
        <v>1331</v>
      </c>
      <c r="AW14" s="23">
        <f t="shared" ca="1" si="22"/>
        <v>887.33333333333326</v>
      </c>
      <c r="AY14" s="35">
        <f t="shared" si="23"/>
        <v>42.25333333333333</v>
      </c>
      <c r="AZ14" s="23">
        <f t="shared" ca="1" si="41"/>
        <v>28.168888888888887</v>
      </c>
      <c r="BA14" s="36">
        <f t="shared" si="25"/>
        <v>43.133333333333326</v>
      </c>
      <c r="BB14" s="27">
        <f t="shared" ca="1" si="38"/>
        <v>28.755555555555549</v>
      </c>
      <c r="BC14" s="23">
        <f t="shared" ca="1" si="39"/>
        <v>-56.337777777777774</v>
      </c>
      <c r="BE14" s="50" t="s">
        <v>39</v>
      </c>
      <c r="BF14" s="48" t="s">
        <v>40</v>
      </c>
      <c r="BG14" s="49">
        <f>IF(WL_No="  ","  ",Mmid/AWP)</f>
        <v>4.8500641071519848</v>
      </c>
    </row>
    <row r="15" spans="1:60" x14ac:dyDescent="0.25">
      <c r="A15" s="20">
        <f>Tools!$AD14</f>
        <v>9</v>
      </c>
      <c r="B15" s="33">
        <f t="shared" si="0"/>
        <v>11</v>
      </c>
      <c r="C15" s="22">
        <f>IF(A15="  ","  ",IF(AND(A14="  ",A16="  "),"?",IF(A14="  ",2*(A16-A15),IF(A16="  ",2*(A15-A14),2*(A16-A14)))))</f>
        <v>4</v>
      </c>
      <c r="D15" s="23">
        <f t="shared" si="26"/>
        <v>44</v>
      </c>
      <c r="E15" s="24">
        <f t="shared" si="1"/>
        <v>-1</v>
      </c>
      <c r="F15" s="23">
        <f t="shared" si="27"/>
        <v>-44</v>
      </c>
      <c r="G15" s="23">
        <f t="shared" si="28"/>
        <v>44</v>
      </c>
      <c r="H15" s="23">
        <f t="shared" si="29"/>
        <v>1331</v>
      </c>
      <c r="I15" s="23">
        <f t="shared" si="30"/>
        <v>5324</v>
      </c>
      <c r="J15" s="4"/>
      <c r="K15" s="37">
        <f t="shared" si="2"/>
        <v>42.573333333333331</v>
      </c>
      <c r="L15" s="23">
        <f t="shared" si="31"/>
        <v>170.29333333333332</v>
      </c>
      <c r="M15" s="38">
        <f t="shared" si="3"/>
        <v>43.326666666666661</v>
      </c>
      <c r="N15" s="27">
        <f t="shared" si="32"/>
        <v>173.30666666666664</v>
      </c>
      <c r="O15" s="23">
        <f t="shared" si="33"/>
        <v>-170.29333333333332</v>
      </c>
      <c r="P15" s="4"/>
      <c r="Q15" s="51" t="s">
        <v>44</v>
      </c>
      <c r="R15" s="48" t="s">
        <v>45</v>
      </c>
      <c r="S15">
        <f>IF(Tools!$L$49="Use 141 rule only",I39,IF(Tools!$L$49="Use 141 and 1331 rules",BG16," "))</f>
        <v>78037.423898847788</v>
      </c>
      <c r="W15" s="29">
        <f>IF(AO15="  ","  ",IF(AND(AO14="  ",AO16="  "),"?",IF(AO14="  ",2*(AO16-AO15),IF(AO16="  ",2*(AO15-AO14),2*(AO16-AO14)))))</f>
        <v>4</v>
      </c>
      <c r="X15" s="30" t="str">
        <f t="shared" si="4"/>
        <v>WW</v>
      </c>
      <c r="Y15" s="30" t="str">
        <f t="shared" si="5"/>
        <v>-</v>
      </c>
      <c r="Z15" s="29" t="b">
        <f t="shared" si="6"/>
        <v>0</v>
      </c>
      <c r="AA15" s="29" t="b">
        <f t="shared" si="7"/>
        <v>0</v>
      </c>
      <c r="AB15" s="29" t="str">
        <f t="shared" ca="1" si="8"/>
        <v>++</v>
      </c>
      <c r="AC15" s="29">
        <f t="shared" si="34"/>
        <v>12</v>
      </c>
      <c r="AD15" s="29">
        <f t="shared" ca="1" si="9"/>
        <v>12</v>
      </c>
      <c r="AE15" s="29">
        <v>12</v>
      </c>
      <c r="AF15" s="31">
        <f t="shared" si="42"/>
        <v>8</v>
      </c>
      <c r="AG15" s="29" t="b">
        <f t="shared" si="11"/>
        <v>1</v>
      </c>
      <c r="AH15" s="30" t="str">
        <f t="shared" ref="AH15:AH28" ca="1" si="43">IF(AND(AG15=TRUE,$AH$1=1),"141-4",IF(AG15=" ",IF(AND($AH$1=2,AF15=3),"141-1","-"),IF(OR(AG15=FALSE,AG15=" "),"-",IF(AG15=TRUE,IF(AND($AH$1=2,AF15=1),"141-1",IF(AND($AH$1=2,AF15=2),"141-4",IF(OR(ISODD($AH$1),AF15&gt;4),IF(AF15=1,"141-1",IF(OR(AB15="141-1",AB15="1331-1",AB15="1331-1,141-1"),"141-1",IF(AG16=" ","141-1",IF(OR(AH14="141-1",AH14="141-2",AH14="1331-1,141-1"),"141-4",IF(AH14="141-4","141-2","$$"))))),IF(ISEVEN($AH$1),IF(AF15=1,"1331-1",IF(OR(AF15=2,AF15=3),"1331-3",IF(AF15=4,IF($AH$1=4,"1331-1","1331-1,141-1"),"")))))))))))</f>
        <v>141-4</v>
      </c>
      <c r="AI15" s="30" t="str">
        <f t="shared" ca="1" si="13"/>
        <v/>
      </c>
      <c r="AJ15" s="29">
        <f t="shared" ca="1" si="14"/>
        <v>0</v>
      </c>
      <c r="AK15" s="29" t="str">
        <f t="shared" ca="1" si="15"/>
        <v>4/3</v>
      </c>
      <c r="AL15" s="29">
        <f t="shared" ca="1" si="16"/>
        <v>1.3333333333333333</v>
      </c>
      <c r="AM15" s="32">
        <f t="shared" ca="1" si="35"/>
        <v>1.3333333333333333</v>
      </c>
      <c r="AO15" s="20">
        <f>Tools!$AD14</f>
        <v>9</v>
      </c>
      <c r="AP15" s="33">
        <f t="shared" si="36"/>
        <v>11</v>
      </c>
      <c r="AQ15" s="34" t="str">
        <f t="shared" ca="1" si="18"/>
        <v>4/3</v>
      </c>
      <c r="AR15" s="23">
        <f t="shared" ca="1" si="19"/>
        <v>14.666666666666666</v>
      </c>
      <c r="AS15" s="24">
        <f t="shared" si="20"/>
        <v>-1</v>
      </c>
      <c r="AT15" s="23">
        <f t="shared" ca="1" si="37"/>
        <v>-14.666666666666666</v>
      </c>
      <c r="AU15" s="23">
        <f t="shared" ca="1" si="40"/>
        <v>14.666666666666666</v>
      </c>
      <c r="AV15" s="23">
        <f t="shared" si="21"/>
        <v>1331</v>
      </c>
      <c r="AW15" s="23">
        <f t="shared" ca="1" si="22"/>
        <v>1774.6666666666665</v>
      </c>
      <c r="AY15" s="35">
        <f t="shared" si="23"/>
        <v>42.573333333333331</v>
      </c>
      <c r="AZ15" s="23">
        <f t="shared" ca="1" si="41"/>
        <v>56.764444444444436</v>
      </c>
      <c r="BA15" s="36">
        <f t="shared" si="25"/>
        <v>43.326666666666661</v>
      </c>
      <c r="BB15" s="27">
        <f ca="1">IFERROR(BA15*AM15,"  ")</f>
        <v>57.768888888888881</v>
      </c>
      <c r="BC15" s="23">
        <f t="shared" ca="1" si="39"/>
        <v>-56.764444444444436</v>
      </c>
      <c r="BE15" s="50" t="s">
        <v>42</v>
      </c>
      <c r="BF15" s="48" t="s">
        <v>46</v>
      </c>
      <c r="BG15" s="49">
        <f ca="1">IF(WL_No="  ","  ",2*(h^3)*$AU$29)</f>
        <v>2698555.0546614928</v>
      </c>
    </row>
    <row r="16" spans="1:60" x14ac:dyDescent="0.25">
      <c r="A16" s="20">
        <f>Tools!$AD15</f>
        <v>10</v>
      </c>
      <c r="B16" s="33">
        <f t="shared" si="0"/>
        <v>11</v>
      </c>
      <c r="C16" s="22">
        <f>IF(A16="  ","  ",IF(AND(A15="  ",A17="  "),"?",IF(A15="  ",1*(A17-A16),IF(A17="  ",1*(A16-A15),1*(A17-A15)))))</f>
        <v>2</v>
      </c>
      <c r="D16" s="23">
        <f t="shared" si="26"/>
        <v>22</v>
      </c>
      <c r="E16" s="24">
        <f t="shared" si="1"/>
        <v>0</v>
      </c>
      <c r="F16" s="23">
        <f t="shared" si="27"/>
        <v>0</v>
      </c>
      <c r="G16" s="23">
        <f t="shared" si="28"/>
        <v>0</v>
      </c>
      <c r="H16" s="23">
        <f t="shared" si="29"/>
        <v>1331</v>
      </c>
      <c r="I16" s="23">
        <f t="shared" si="30"/>
        <v>2662</v>
      </c>
      <c r="J16" s="4"/>
      <c r="K16" s="37">
        <f t="shared" si="2"/>
        <v>42.573333333333331</v>
      </c>
      <c r="L16" s="23">
        <f t="shared" si="31"/>
        <v>85.146666666666661</v>
      </c>
      <c r="M16" s="38">
        <f t="shared" si="3"/>
        <v>43.326666666666661</v>
      </c>
      <c r="N16" s="27">
        <f t="shared" si="32"/>
        <v>86.653333333333322</v>
      </c>
      <c r="O16" s="23">
        <f t="shared" si="33"/>
        <v>0</v>
      </c>
      <c r="P16" s="4"/>
      <c r="Q16" s="50" t="s">
        <v>47</v>
      </c>
      <c r="R16" s="48" t="s">
        <v>48</v>
      </c>
      <c r="S16">
        <f>IF(Tools!$L$49="Use 141 rule only",I40,IF(Tools!$L$49="Use 141 and 1331 rules",BG17," "))</f>
        <v>2642495.1780208154</v>
      </c>
      <c r="W16" s="29">
        <f>IF(AO16="  ","  ",IF(AND(AO15="  ",AO17="  "),"?",IF(AO15="  ",1*(AO17-AO16),IF(AO17="  ",1*(AO16-AO15),1*(AO17-AO15)))))</f>
        <v>2</v>
      </c>
      <c r="X16" s="30" t="str">
        <f t="shared" si="4"/>
        <v>WW</v>
      </c>
      <c r="Y16" s="30" t="str">
        <f t="shared" si="5"/>
        <v>-</v>
      </c>
      <c r="Z16" s="29" t="b">
        <f t="shared" si="6"/>
        <v>0</v>
      </c>
      <c r="AA16" s="29" t="b">
        <f t="shared" si="7"/>
        <v>0</v>
      </c>
      <c r="AB16" s="29" t="str">
        <f t="shared" ca="1" si="8"/>
        <v>++</v>
      </c>
      <c r="AC16" s="29">
        <f t="shared" si="34"/>
        <v>13</v>
      </c>
      <c r="AD16" s="29">
        <f t="shared" ca="1" si="9"/>
        <v>13</v>
      </c>
      <c r="AE16" s="29">
        <v>13</v>
      </c>
      <c r="AF16" s="31">
        <f t="shared" si="42"/>
        <v>9</v>
      </c>
      <c r="AG16" s="29" t="b">
        <f t="shared" si="11"/>
        <v>1</v>
      </c>
      <c r="AH16" s="30" t="str">
        <f t="shared" ca="1" si="43"/>
        <v>141-2</v>
      </c>
      <c r="AI16" s="30" t="str">
        <f t="shared" ca="1" si="13"/>
        <v/>
      </c>
      <c r="AJ16" s="29">
        <f t="shared" ca="1" si="14"/>
        <v>0</v>
      </c>
      <c r="AK16" s="29" t="str">
        <f t="shared" ca="1" si="15"/>
        <v>2/3</v>
      </c>
      <c r="AL16" s="29">
        <f t="shared" ca="1" si="16"/>
        <v>0.66666666666666663</v>
      </c>
      <c r="AM16" s="32">
        <f t="shared" ca="1" si="35"/>
        <v>0.66666666666666663</v>
      </c>
      <c r="AO16" s="20">
        <f>Tools!$AD15</f>
        <v>10</v>
      </c>
      <c r="AP16" s="33">
        <f t="shared" si="36"/>
        <v>11</v>
      </c>
      <c r="AQ16" s="34" t="str">
        <f t="shared" ca="1" si="18"/>
        <v>2/3</v>
      </c>
      <c r="AR16" s="23">
        <f t="shared" ca="1" si="19"/>
        <v>7.333333333333333</v>
      </c>
      <c r="AS16" s="24">
        <f t="shared" si="20"/>
        <v>0</v>
      </c>
      <c r="AT16" s="23">
        <f t="shared" ca="1" si="37"/>
        <v>0</v>
      </c>
      <c r="AU16" s="23">
        <f t="shared" ca="1" si="40"/>
        <v>0</v>
      </c>
      <c r="AV16" s="23">
        <f t="shared" si="21"/>
        <v>1331</v>
      </c>
      <c r="AW16" s="23">
        <f t="shared" ca="1" si="22"/>
        <v>887.33333333333326</v>
      </c>
      <c r="AY16" s="35">
        <f t="shared" si="23"/>
        <v>42.573333333333331</v>
      </c>
      <c r="AZ16" s="23">
        <f t="shared" ca="1" si="41"/>
        <v>28.382222222222218</v>
      </c>
      <c r="BA16" s="36">
        <f t="shared" si="25"/>
        <v>43.326666666666661</v>
      </c>
      <c r="BB16" s="27">
        <f t="shared" ca="1" si="38"/>
        <v>28.884444444444441</v>
      </c>
      <c r="BC16" s="23">
        <f ca="1">IFERROR(AZ16*AS16,"  ")</f>
        <v>0</v>
      </c>
      <c r="BE16" s="51" t="s">
        <v>44</v>
      </c>
      <c r="BF16" s="48" t="s">
        <v>49</v>
      </c>
      <c r="BG16" s="49">
        <f ca="1">IF(WL_No="  ","  ",2/3*h*$AW$29)</f>
        <v>78037.423898847774</v>
      </c>
    </row>
    <row r="17" spans="1:59" x14ac:dyDescent="0.25">
      <c r="A17" s="20">
        <f>Tools!$AD16</f>
        <v>11</v>
      </c>
      <c r="B17" s="33">
        <f t="shared" si="0"/>
        <v>11</v>
      </c>
      <c r="C17" s="22">
        <f>IF(A17="  ","  ",IF(AND(A16="  ",A18="  "),"?",IF(A16="  ",2*(A18-A17),IF(A18="  ",2*(A17-A16),2*(A18-A16)))))</f>
        <v>4</v>
      </c>
      <c r="D17" s="23">
        <f t="shared" si="26"/>
        <v>44</v>
      </c>
      <c r="E17" s="24">
        <f t="shared" si="1"/>
        <v>1</v>
      </c>
      <c r="F17" s="23">
        <f t="shared" si="27"/>
        <v>44</v>
      </c>
      <c r="G17" s="23">
        <f t="shared" si="28"/>
        <v>44</v>
      </c>
      <c r="H17" s="23">
        <f t="shared" si="29"/>
        <v>1331</v>
      </c>
      <c r="I17" s="23">
        <f t="shared" si="30"/>
        <v>5324</v>
      </c>
      <c r="J17" s="4"/>
      <c r="K17" s="37">
        <f t="shared" si="2"/>
        <v>42.573333333333331</v>
      </c>
      <c r="L17" s="23">
        <f t="shared" si="31"/>
        <v>170.29333333333332</v>
      </c>
      <c r="M17" s="38">
        <f t="shared" si="3"/>
        <v>43.326666666666661</v>
      </c>
      <c r="N17" s="27">
        <f t="shared" si="32"/>
        <v>173.30666666666664</v>
      </c>
      <c r="O17" s="23">
        <f t="shared" si="33"/>
        <v>170.29333333333332</v>
      </c>
      <c r="P17" s="4"/>
      <c r="Q17" s="50" t="s">
        <v>50</v>
      </c>
      <c r="R17" s="48" t="s">
        <v>51</v>
      </c>
      <c r="S17">
        <f>IF(Tools!$L$49="Use 141 rule only",I41,IF(Tools!$L$49="Use 141 and 1331 rules",BG18," "))</f>
        <v>4372.8460611111104</v>
      </c>
      <c r="W17" s="29">
        <f>IF(AO17="  ","  ",IF(AND(AO16="  ",AO18="  "),"?",IF(AO16="  ",2*(AO18-AO17),IF(AO18="  ",2*(AO17-AO16),2*(AO18-AO16)))))</f>
        <v>4</v>
      </c>
      <c r="X17" s="30" t="str">
        <f t="shared" si="4"/>
        <v>WW</v>
      </c>
      <c r="Y17" s="30" t="str">
        <f t="shared" si="5"/>
        <v>-</v>
      </c>
      <c r="Z17" s="29" t="b">
        <f t="shared" si="6"/>
        <v>0</v>
      </c>
      <c r="AA17" s="29" t="b">
        <f t="shared" si="7"/>
        <v>0</v>
      </c>
      <c r="AB17" s="29" t="str">
        <f t="shared" ca="1" si="8"/>
        <v>++</v>
      </c>
      <c r="AC17" s="29">
        <f t="shared" si="34"/>
        <v>12</v>
      </c>
      <c r="AD17" s="29">
        <f t="shared" ca="1" si="9"/>
        <v>12</v>
      </c>
      <c r="AE17" s="29">
        <v>14</v>
      </c>
      <c r="AF17" s="31">
        <f t="shared" si="42"/>
        <v>10</v>
      </c>
      <c r="AG17" s="29" t="b">
        <f t="shared" si="11"/>
        <v>1</v>
      </c>
      <c r="AH17" s="30" t="str">
        <f t="shared" ca="1" si="43"/>
        <v>141-4</v>
      </c>
      <c r="AI17" s="30" t="str">
        <f t="shared" ca="1" si="13"/>
        <v/>
      </c>
      <c r="AJ17" s="29">
        <f t="shared" ca="1" si="14"/>
        <v>0</v>
      </c>
      <c r="AK17" s="29" t="str">
        <f t="shared" ca="1" si="15"/>
        <v>4/3</v>
      </c>
      <c r="AL17" s="29">
        <f t="shared" ca="1" si="16"/>
        <v>1.3333333333333333</v>
      </c>
      <c r="AM17" s="32">
        <f t="shared" ca="1" si="35"/>
        <v>1.3333333333333333</v>
      </c>
      <c r="AO17" s="20">
        <f>Tools!$AD16</f>
        <v>11</v>
      </c>
      <c r="AP17" s="33">
        <f t="shared" si="36"/>
        <v>11</v>
      </c>
      <c r="AQ17" s="34" t="str">
        <f t="shared" ca="1" si="18"/>
        <v>4/3</v>
      </c>
      <c r="AR17" s="23">
        <f t="shared" ca="1" si="19"/>
        <v>14.666666666666666</v>
      </c>
      <c r="AS17" s="24">
        <f t="shared" si="20"/>
        <v>1</v>
      </c>
      <c r="AT17" s="23">
        <f t="shared" ca="1" si="37"/>
        <v>14.666666666666666</v>
      </c>
      <c r="AU17" s="23">
        <f t="shared" ca="1" si="40"/>
        <v>14.666666666666666</v>
      </c>
      <c r="AV17" s="23">
        <f t="shared" si="21"/>
        <v>1331</v>
      </c>
      <c r="AW17" s="23">
        <f t="shared" ca="1" si="22"/>
        <v>1774.6666666666665</v>
      </c>
      <c r="AY17" s="35">
        <f t="shared" si="23"/>
        <v>42.573333333333331</v>
      </c>
      <c r="AZ17" s="23">
        <f t="shared" ca="1" si="41"/>
        <v>56.764444444444436</v>
      </c>
      <c r="BA17" s="36">
        <f t="shared" si="25"/>
        <v>43.326666666666661</v>
      </c>
      <c r="BB17" s="27">
        <f t="shared" ca="1" si="38"/>
        <v>57.768888888888881</v>
      </c>
      <c r="BC17" s="23">
        <f t="shared" ca="1" si="39"/>
        <v>56.764444444444436</v>
      </c>
      <c r="BE17" s="50" t="s">
        <v>47</v>
      </c>
      <c r="BF17" s="48" t="s">
        <v>48</v>
      </c>
      <c r="BG17" s="49">
        <f>IF(WL_No="  ","  ",IL-AWP*(LCF^2))</f>
        <v>2642495.1780208154</v>
      </c>
    </row>
    <row r="18" spans="1:59" x14ac:dyDescent="0.25">
      <c r="A18" s="20">
        <f>Tools!$AD17</f>
        <v>12</v>
      </c>
      <c r="B18" s="33">
        <f t="shared" si="0"/>
        <v>11</v>
      </c>
      <c r="C18" s="22">
        <f>IF(A18="  ","  ",IF(AND(A17="  ",A19="  "),"?",IF(A17="  ",1*(A19-A18),IF(A19="  ",1*(A18-A17),1*(A19-A17)))))</f>
        <v>2</v>
      </c>
      <c r="D18" s="23">
        <f t="shared" si="26"/>
        <v>22</v>
      </c>
      <c r="E18" s="24">
        <f t="shared" si="1"/>
        <v>2</v>
      </c>
      <c r="F18" s="23">
        <f t="shared" si="27"/>
        <v>44</v>
      </c>
      <c r="G18" s="23">
        <f t="shared" si="28"/>
        <v>88</v>
      </c>
      <c r="H18" s="23">
        <f t="shared" si="29"/>
        <v>1331</v>
      </c>
      <c r="I18" s="23">
        <f t="shared" si="30"/>
        <v>2662</v>
      </c>
      <c r="J18" s="4"/>
      <c r="K18" s="37">
        <f t="shared" si="2"/>
        <v>42.573333333333331</v>
      </c>
      <c r="L18" s="23">
        <f t="shared" si="31"/>
        <v>85.146666666666661</v>
      </c>
      <c r="M18" s="38">
        <f t="shared" si="3"/>
        <v>43.326666666666661</v>
      </c>
      <c r="N18" s="27">
        <f t="shared" si="32"/>
        <v>86.653333333333322</v>
      </c>
      <c r="O18" s="23">
        <f t="shared" si="33"/>
        <v>170.29333333333332</v>
      </c>
      <c r="P18" s="4"/>
      <c r="Q18" s="50" t="s">
        <v>52</v>
      </c>
      <c r="R18" s="48" t="s">
        <v>53</v>
      </c>
      <c r="S18">
        <f>IF(Tools!$L$49="Use 141 rule only",I42,IF(Tools!$L$49="Use 141 and 1331 rules",BG19," "))</f>
        <v>4509.0602159147211</v>
      </c>
      <c r="W18" s="29">
        <f>IF(AO18="  ","  ",IF(AND(AO17="  ",AO19="  "),"?",IF(AO17="  ",1*(AO19-AO18),IF(AO19="  ",1*(AO18-AO17),1*(AO19-AO17)))))</f>
        <v>2</v>
      </c>
      <c r="X18" s="30" t="str">
        <f t="shared" si="4"/>
        <v>WW</v>
      </c>
      <c r="Y18" s="30" t="str">
        <f t="shared" si="5"/>
        <v>-</v>
      </c>
      <c r="Z18" s="29" t="b">
        <f t="shared" si="6"/>
        <v>0</v>
      </c>
      <c r="AA18" s="29" t="b">
        <f t="shared" si="7"/>
        <v>0</v>
      </c>
      <c r="AB18" s="29" t="str">
        <f t="shared" ca="1" si="8"/>
        <v>++</v>
      </c>
      <c r="AC18" s="29">
        <f t="shared" si="34"/>
        <v>11</v>
      </c>
      <c r="AD18" s="29">
        <f t="shared" ca="1" si="9"/>
        <v>11</v>
      </c>
      <c r="AE18" s="29">
        <v>15</v>
      </c>
      <c r="AF18" s="31">
        <f t="shared" si="42"/>
        <v>11</v>
      </c>
      <c r="AG18" s="29" t="b">
        <f t="shared" si="11"/>
        <v>1</v>
      </c>
      <c r="AH18" s="30" t="str">
        <f t="shared" ca="1" si="43"/>
        <v>141-2</v>
      </c>
      <c r="AI18" s="30" t="str">
        <f t="shared" ca="1" si="13"/>
        <v/>
      </c>
      <c r="AJ18" s="29">
        <f t="shared" ca="1" si="14"/>
        <v>0</v>
      </c>
      <c r="AK18" s="29" t="str">
        <f t="shared" ca="1" si="15"/>
        <v>2/3</v>
      </c>
      <c r="AL18" s="29">
        <f t="shared" ca="1" si="16"/>
        <v>0.66666666666666663</v>
      </c>
      <c r="AM18" s="32">
        <f t="shared" ca="1" si="35"/>
        <v>0.66666666666666663</v>
      </c>
      <c r="AO18" s="20">
        <f>Tools!$AD17</f>
        <v>12</v>
      </c>
      <c r="AP18" s="33">
        <f t="shared" si="36"/>
        <v>11</v>
      </c>
      <c r="AQ18" s="34" t="str">
        <f t="shared" ca="1" si="18"/>
        <v>2/3</v>
      </c>
      <c r="AR18" s="23">
        <f t="shared" ca="1" si="19"/>
        <v>7.333333333333333</v>
      </c>
      <c r="AS18" s="24">
        <f t="shared" si="20"/>
        <v>2</v>
      </c>
      <c r="AT18" s="23">
        <f t="shared" ca="1" si="37"/>
        <v>14.666666666666666</v>
      </c>
      <c r="AU18" s="23">
        <f t="shared" ca="1" si="40"/>
        <v>29.333333333333332</v>
      </c>
      <c r="AV18" s="23">
        <f t="shared" si="21"/>
        <v>1331</v>
      </c>
      <c r="AW18" s="23">
        <f t="shared" ca="1" si="22"/>
        <v>887.33333333333326</v>
      </c>
      <c r="AY18" s="35">
        <f t="shared" si="23"/>
        <v>42.573333333333331</v>
      </c>
      <c r="AZ18" s="23">
        <f t="shared" ca="1" si="41"/>
        <v>28.382222222222218</v>
      </c>
      <c r="BA18" s="36">
        <f t="shared" si="25"/>
        <v>43.326666666666661</v>
      </c>
      <c r="BB18" s="27">
        <f t="shared" ca="1" si="38"/>
        <v>28.884444444444441</v>
      </c>
      <c r="BC18" s="23">
        <f t="shared" ca="1" si="39"/>
        <v>56.764444444444436</v>
      </c>
      <c r="BE18" s="50" t="s">
        <v>50</v>
      </c>
      <c r="BF18" s="48" t="s">
        <v>54</v>
      </c>
      <c r="BG18" s="49">
        <f ca="1">IF(WL_No="  ","  ",h*$AZ$29)</f>
        <v>4372.8460611111095</v>
      </c>
    </row>
    <row r="19" spans="1:59" x14ac:dyDescent="0.25">
      <c r="A19" s="20">
        <f>Tools!$AD18</f>
        <v>13</v>
      </c>
      <c r="B19" s="33">
        <f t="shared" si="0"/>
        <v>11</v>
      </c>
      <c r="C19" s="22">
        <f>IF(A19="  ","  ",IF(AND(A18="  ",A20="  "),"?",IF(A18="  ",2*(A20-A19),IF(A20="  ",2*(A19-A18),2*(A20-A18)))))</f>
        <v>4</v>
      </c>
      <c r="D19" s="23">
        <f t="shared" si="26"/>
        <v>44</v>
      </c>
      <c r="E19" s="24">
        <f t="shared" si="1"/>
        <v>3</v>
      </c>
      <c r="F19" s="23">
        <f t="shared" si="27"/>
        <v>132</v>
      </c>
      <c r="G19" s="23">
        <f t="shared" si="28"/>
        <v>396</v>
      </c>
      <c r="H19" s="23">
        <f t="shared" si="29"/>
        <v>1331</v>
      </c>
      <c r="I19" s="23">
        <f t="shared" si="30"/>
        <v>5324</v>
      </c>
      <c r="J19" s="4"/>
      <c r="K19" s="37">
        <f t="shared" si="2"/>
        <v>42.573333333333331</v>
      </c>
      <c r="L19" s="23">
        <f t="shared" si="31"/>
        <v>170.29333333333332</v>
      </c>
      <c r="M19" s="38">
        <f t="shared" si="3"/>
        <v>43.326666666666661</v>
      </c>
      <c r="N19" s="27">
        <f t="shared" si="32"/>
        <v>173.30666666666664</v>
      </c>
      <c r="O19" s="23">
        <f t="shared" si="33"/>
        <v>510.88</v>
      </c>
      <c r="P19" s="4"/>
      <c r="Q19" s="50" t="s">
        <v>55</v>
      </c>
      <c r="R19" s="48" t="s">
        <v>56</v>
      </c>
      <c r="S19">
        <f>IF(Tools!$L$49="Use 141 rule only",I43,IF(Tools!$L$49="Use 141 and 1331 rules",BG20," "))</f>
        <v>4547.9814777777765</v>
      </c>
      <c r="W19" s="29">
        <f>IF(AO19="  ","  ",IF(AND(AO18="  ",AO20="  "),"?",IF(AO18="  ",2*(AO20-AO19),IF(AO20="  ",2*(AO19-AO18),2*(AO20-AO18)))))</f>
        <v>4</v>
      </c>
      <c r="X19" s="30" t="str">
        <f t="shared" si="4"/>
        <v>WW</v>
      </c>
      <c r="Y19" s="30" t="str">
        <f t="shared" si="5"/>
        <v>-</v>
      </c>
      <c r="Z19" s="29" t="b">
        <f t="shared" si="6"/>
        <v>0</v>
      </c>
      <c r="AA19" s="29" t="b">
        <f t="shared" si="7"/>
        <v>0</v>
      </c>
      <c r="AB19" s="29" t="str">
        <f t="shared" ca="1" si="8"/>
        <v>++</v>
      </c>
      <c r="AC19" s="29">
        <f t="shared" si="34"/>
        <v>10</v>
      </c>
      <c r="AD19" s="29">
        <f t="shared" ca="1" si="9"/>
        <v>10</v>
      </c>
      <c r="AE19" s="29">
        <v>16</v>
      </c>
      <c r="AF19" s="31">
        <f t="shared" si="42"/>
        <v>12</v>
      </c>
      <c r="AG19" s="29" t="b">
        <f t="shared" si="11"/>
        <v>1</v>
      </c>
      <c r="AH19" s="30" t="str">
        <f t="shared" ca="1" si="43"/>
        <v>141-4</v>
      </c>
      <c r="AI19" s="30" t="str">
        <f t="shared" ca="1" si="13"/>
        <v/>
      </c>
      <c r="AJ19" s="29">
        <f t="shared" ca="1" si="14"/>
        <v>0</v>
      </c>
      <c r="AK19" s="29" t="str">
        <f t="shared" ca="1" si="15"/>
        <v>4/3</v>
      </c>
      <c r="AL19" s="29">
        <f t="shared" ca="1" si="16"/>
        <v>1.3333333333333333</v>
      </c>
      <c r="AM19" s="32">
        <f t="shared" ca="1" si="35"/>
        <v>1.3333333333333333</v>
      </c>
      <c r="AO19" s="20">
        <f>Tools!$AD18</f>
        <v>13</v>
      </c>
      <c r="AP19" s="33">
        <f t="shared" si="36"/>
        <v>11</v>
      </c>
      <c r="AQ19" s="34" t="str">
        <f t="shared" ca="1" si="18"/>
        <v>4/3</v>
      </c>
      <c r="AR19" s="23">
        <f t="shared" ca="1" si="19"/>
        <v>14.666666666666666</v>
      </c>
      <c r="AS19" s="24">
        <f t="shared" si="20"/>
        <v>3</v>
      </c>
      <c r="AT19" s="23">
        <f t="shared" ca="1" si="37"/>
        <v>44</v>
      </c>
      <c r="AU19" s="23">
        <f t="shared" ca="1" si="40"/>
        <v>132</v>
      </c>
      <c r="AV19" s="23">
        <f t="shared" si="21"/>
        <v>1331</v>
      </c>
      <c r="AW19" s="23">
        <f t="shared" ca="1" si="22"/>
        <v>1774.6666666666665</v>
      </c>
      <c r="AY19" s="35">
        <f t="shared" si="23"/>
        <v>42.573333333333331</v>
      </c>
      <c r="AZ19" s="23">
        <f t="shared" ca="1" si="41"/>
        <v>56.764444444444436</v>
      </c>
      <c r="BA19" s="36">
        <f t="shared" si="25"/>
        <v>43.326666666666661</v>
      </c>
      <c r="BB19" s="27">
        <f t="shared" ca="1" si="38"/>
        <v>57.768888888888881</v>
      </c>
      <c r="BC19" s="23">
        <f t="shared" ca="1" si="39"/>
        <v>170.29333333333329</v>
      </c>
      <c r="BE19" s="50" t="s">
        <v>52</v>
      </c>
      <c r="BF19" s="48" t="s">
        <v>53</v>
      </c>
      <c r="BG19" s="49">
        <f>IF(WL_No="  ","  ",V_Disp*1.025*1.006)</f>
        <v>4509.0602159147211</v>
      </c>
    </row>
    <row r="20" spans="1:59" x14ac:dyDescent="0.25">
      <c r="A20" s="20">
        <f>Tools!$AD19</f>
        <v>14</v>
      </c>
      <c r="B20" s="33">
        <f t="shared" si="0"/>
        <v>11</v>
      </c>
      <c r="C20" s="22">
        <f>IF(A20="  ","  ",IF(AND(A19="  ",A21="  "),"?",IF(A19="  ",1*(A21-A20),IF(A21="  ",1*(A20-A19),1*(A21-A19)))))</f>
        <v>2</v>
      </c>
      <c r="D20" s="23">
        <f t="shared" si="26"/>
        <v>22</v>
      </c>
      <c r="E20" s="24">
        <f t="shared" si="1"/>
        <v>4</v>
      </c>
      <c r="F20" s="23">
        <f t="shared" si="27"/>
        <v>88</v>
      </c>
      <c r="G20" s="23">
        <f t="shared" si="28"/>
        <v>352</v>
      </c>
      <c r="H20" s="23">
        <f t="shared" si="29"/>
        <v>1331</v>
      </c>
      <c r="I20" s="23">
        <f t="shared" si="30"/>
        <v>2662</v>
      </c>
      <c r="J20" s="4"/>
      <c r="K20" s="37">
        <f t="shared" si="2"/>
        <v>42.193333333333328</v>
      </c>
      <c r="L20" s="23">
        <f t="shared" si="31"/>
        <v>84.386666666666656</v>
      </c>
      <c r="M20" s="38">
        <f t="shared" si="3"/>
        <v>43.06</v>
      </c>
      <c r="N20" s="27">
        <f t="shared" si="32"/>
        <v>86.12</v>
      </c>
      <c r="O20" s="23">
        <f t="shared" si="33"/>
        <v>337.54666666666662</v>
      </c>
      <c r="P20" s="4"/>
      <c r="Q20" s="50" t="s">
        <v>57</v>
      </c>
      <c r="R20" s="48" t="s">
        <v>58</v>
      </c>
      <c r="S20">
        <f>IF(Tools!$L$49="Use 141 rule only",I44,IF(Tools!$L$49="Use 141 and 1331 rules",BG21," "))</f>
        <v>23161.105690222219</v>
      </c>
      <c r="W20" s="29">
        <f>IF(AO20="  ","  ",IF(AND(AO19="  ",AO21="  "),"?",IF(AO19="  ",1*(AO21-AO20),IF(AO21="  ",1*(AO20-AO19),1*(AO21-AO19)))))</f>
        <v>2</v>
      </c>
      <c r="X20" s="30" t="str">
        <f t="shared" si="4"/>
        <v>WW</v>
      </c>
      <c r="Y20" s="30" t="str">
        <f t="shared" si="5"/>
        <v>-</v>
      </c>
      <c r="Z20" s="29" t="b">
        <f t="shared" si="6"/>
        <v>0</v>
      </c>
      <c r="AA20" s="29" t="b">
        <f t="shared" si="7"/>
        <v>0</v>
      </c>
      <c r="AB20" s="29" t="str">
        <f t="shared" ca="1" si="8"/>
        <v>++</v>
      </c>
      <c r="AC20" s="29">
        <f t="shared" si="34"/>
        <v>9</v>
      </c>
      <c r="AD20" s="29">
        <f t="shared" ca="1" si="9"/>
        <v>9</v>
      </c>
      <c r="AE20" s="29">
        <v>17</v>
      </c>
      <c r="AF20" s="31">
        <f t="shared" si="42"/>
        <v>13</v>
      </c>
      <c r="AG20" s="29" t="b">
        <f t="shared" si="11"/>
        <v>1</v>
      </c>
      <c r="AH20" s="30" t="str">
        <f t="shared" ca="1" si="43"/>
        <v>141-2</v>
      </c>
      <c r="AI20" s="30" t="str">
        <f t="shared" ca="1" si="13"/>
        <v/>
      </c>
      <c r="AJ20" s="29">
        <f t="shared" ca="1" si="14"/>
        <v>0</v>
      </c>
      <c r="AK20" s="29" t="str">
        <f t="shared" ca="1" si="15"/>
        <v>2/3</v>
      </c>
      <c r="AL20" s="29">
        <f t="shared" ca="1" si="16"/>
        <v>0.66666666666666663</v>
      </c>
      <c r="AM20" s="32">
        <f t="shared" ca="1" si="35"/>
        <v>0.66666666666666663</v>
      </c>
      <c r="AO20" s="20">
        <f>Tools!$AD19</f>
        <v>14</v>
      </c>
      <c r="AP20" s="33">
        <f t="shared" si="36"/>
        <v>11</v>
      </c>
      <c r="AQ20" s="34" t="str">
        <f t="shared" ca="1" si="18"/>
        <v>2/3</v>
      </c>
      <c r="AR20" s="23">
        <f t="shared" ca="1" si="19"/>
        <v>7.333333333333333</v>
      </c>
      <c r="AS20" s="24">
        <f t="shared" si="20"/>
        <v>4</v>
      </c>
      <c r="AT20" s="23">
        <f t="shared" ca="1" si="37"/>
        <v>29.333333333333332</v>
      </c>
      <c r="AU20" s="23">
        <f t="shared" ca="1" si="40"/>
        <v>117.33333333333333</v>
      </c>
      <c r="AV20" s="23">
        <f t="shared" si="21"/>
        <v>1331</v>
      </c>
      <c r="AW20" s="23">
        <f t="shared" ca="1" si="22"/>
        <v>887.33333333333326</v>
      </c>
      <c r="AY20" s="35">
        <f t="shared" si="23"/>
        <v>42.193333333333328</v>
      </c>
      <c r="AZ20" s="23">
        <f t="shared" ca="1" si="41"/>
        <v>28.128888888888884</v>
      </c>
      <c r="BA20" s="36">
        <f t="shared" si="25"/>
        <v>43.06</v>
      </c>
      <c r="BB20" s="27">
        <f t="shared" ca="1" si="38"/>
        <v>28.706666666666667</v>
      </c>
      <c r="BC20" s="23">
        <f t="shared" ca="1" si="39"/>
        <v>112.51555555555554</v>
      </c>
      <c r="BE20" s="50" t="s">
        <v>55</v>
      </c>
      <c r="BF20" s="48" t="s">
        <v>59</v>
      </c>
      <c r="BG20" s="49">
        <f ca="1">IF(WL_No="  ","  ",h*$BB$29)</f>
        <v>4547.9814777777765</v>
      </c>
    </row>
    <row r="21" spans="1:59" x14ac:dyDescent="0.25">
      <c r="A21" s="20">
        <f>Tools!$AD20</f>
        <v>15</v>
      </c>
      <c r="B21" s="33">
        <f t="shared" si="0"/>
        <v>10.7</v>
      </c>
      <c r="C21" s="22">
        <f>IF(A21="  ","  ",IF(AND(A20="  ",A22="  "),"?",IF(A20="  ",2*(A22-A21),IF(A22="  ",2*(A21-A20),2*(A22-A20)))))</f>
        <v>4</v>
      </c>
      <c r="D21" s="23">
        <f t="shared" si="26"/>
        <v>42.8</v>
      </c>
      <c r="E21" s="24">
        <f t="shared" si="1"/>
        <v>5</v>
      </c>
      <c r="F21" s="23">
        <f t="shared" si="27"/>
        <v>214</v>
      </c>
      <c r="G21" s="23">
        <f t="shared" si="28"/>
        <v>1070</v>
      </c>
      <c r="H21" s="23">
        <f t="shared" si="29"/>
        <v>1225.0429999999997</v>
      </c>
      <c r="I21" s="23">
        <f t="shared" si="30"/>
        <v>4900.1719999999987</v>
      </c>
      <c r="J21" s="4"/>
      <c r="K21" s="37">
        <f t="shared" si="2"/>
        <v>40.346666666666664</v>
      </c>
      <c r="L21" s="23">
        <f t="shared" si="31"/>
        <v>161.38666666666666</v>
      </c>
      <c r="M21" s="38">
        <f t="shared" si="3"/>
        <v>41.44</v>
      </c>
      <c r="N21" s="27">
        <f t="shared" si="32"/>
        <v>165.76</v>
      </c>
      <c r="O21" s="23">
        <f t="shared" si="33"/>
        <v>806.93333333333328</v>
      </c>
      <c r="P21" s="4"/>
      <c r="Q21" s="50" t="s">
        <v>60</v>
      </c>
      <c r="R21" s="48" t="s">
        <v>61</v>
      </c>
      <c r="S21">
        <f>IF(Tools!$L$49="Use 141 rule only",I45,IF(Tools!$L$49="Use 141 and 1331 rules",BG22," "))</f>
        <v>604.29641041362777</v>
      </c>
      <c r="W21" s="29">
        <f>IF(AO21="  ","  ",IF(AND(AO20="  ",AO22="  "),"?",IF(AO20="  ",2*(AO22-AO21),IF(AO22="  ",2*(AO21-AO20),2*(AO22-AO20)))))</f>
        <v>4</v>
      </c>
      <c r="X21" s="30" t="str">
        <f t="shared" si="4"/>
        <v>WW</v>
      </c>
      <c r="Y21" s="30" t="str">
        <f t="shared" si="5"/>
        <v>-</v>
      </c>
      <c r="Z21" s="29" t="b">
        <f t="shared" si="6"/>
        <v>0</v>
      </c>
      <c r="AA21" s="29" t="b">
        <f t="shared" si="7"/>
        <v>0</v>
      </c>
      <c r="AB21" s="29" t="str">
        <f t="shared" ca="1" si="8"/>
        <v>++</v>
      </c>
      <c r="AC21" s="29">
        <f t="shared" si="34"/>
        <v>8</v>
      </c>
      <c r="AD21" s="29">
        <f t="shared" ca="1" si="9"/>
        <v>8</v>
      </c>
      <c r="AE21" s="29">
        <v>18</v>
      </c>
      <c r="AF21" s="31">
        <f t="shared" si="42"/>
        <v>14</v>
      </c>
      <c r="AG21" s="29" t="b">
        <f t="shared" si="11"/>
        <v>1</v>
      </c>
      <c r="AH21" s="30" t="str">
        <f t="shared" ca="1" si="43"/>
        <v>141-4</v>
      </c>
      <c r="AI21" s="30" t="str">
        <f t="shared" ca="1" si="13"/>
        <v/>
      </c>
      <c r="AJ21" s="29">
        <f t="shared" ca="1" si="14"/>
        <v>0</v>
      </c>
      <c r="AK21" s="29" t="str">
        <f t="shared" ca="1" si="15"/>
        <v>4/3</v>
      </c>
      <c r="AL21" s="29">
        <f t="shared" ca="1" si="16"/>
        <v>1.3333333333333333</v>
      </c>
      <c r="AM21" s="32">
        <f t="shared" ca="1" si="35"/>
        <v>1.3333333333333333</v>
      </c>
      <c r="AO21" s="20">
        <f>Tools!$AD20</f>
        <v>15</v>
      </c>
      <c r="AP21" s="33">
        <f t="shared" si="36"/>
        <v>10.7</v>
      </c>
      <c r="AQ21" s="34" t="str">
        <f t="shared" ca="1" si="18"/>
        <v>4/3</v>
      </c>
      <c r="AR21" s="23">
        <f t="shared" ca="1" si="19"/>
        <v>14.266666666666666</v>
      </c>
      <c r="AS21" s="24">
        <f t="shared" si="20"/>
        <v>5</v>
      </c>
      <c r="AT21" s="23">
        <f t="shared" ca="1" si="37"/>
        <v>71.333333333333329</v>
      </c>
      <c r="AU21" s="23">
        <f t="shared" ca="1" si="40"/>
        <v>356.66666666666663</v>
      </c>
      <c r="AV21" s="23">
        <f t="shared" si="21"/>
        <v>1225.0429999999997</v>
      </c>
      <c r="AW21" s="23">
        <f t="shared" ca="1" si="22"/>
        <v>1633.3906666666662</v>
      </c>
      <c r="AY21" s="35">
        <f t="shared" si="23"/>
        <v>40.346666666666664</v>
      </c>
      <c r="AZ21" s="23">
        <f t="shared" ca="1" si="41"/>
        <v>53.795555555555552</v>
      </c>
      <c r="BA21" s="36">
        <f t="shared" si="25"/>
        <v>41.44</v>
      </c>
      <c r="BB21" s="27">
        <f t="shared" ca="1" si="38"/>
        <v>55.25333333333333</v>
      </c>
      <c r="BC21" s="23">
        <f t="shared" ca="1" si="39"/>
        <v>268.97777777777776</v>
      </c>
      <c r="BE21" s="50" t="s">
        <v>57</v>
      </c>
      <c r="BF21" s="48" t="s">
        <v>62</v>
      </c>
      <c r="BG21" s="49">
        <f ca="1">IF(WL_No="  ","  ",(h^2)*$BC$29)</f>
        <v>23161.105690222215</v>
      </c>
    </row>
    <row r="22" spans="1:59" x14ac:dyDescent="0.25">
      <c r="A22" s="20">
        <f>Tools!$AD21</f>
        <v>16</v>
      </c>
      <c r="B22" s="33">
        <f t="shared" si="0"/>
        <v>9.91</v>
      </c>
      <c r="C22" s="22">
        <f>IF(A22="  ","  ",IF(AND(A21="  ",A23="  "),"?",IF(A21="  ",1*(A23-A22),IF(A23="  ",1*(A22-A21),1*(A23-A21)))))</f>
        <v>2</v>
      </c>
      <c r="D22" s="23">
        <f t="shared" si="26"/>
        <v>19.82</v>
      </c>
      <c r="E22" s="24">
        <f t="shared" si="1"/>
        <v>6</v>
      </c>
      <c r="F22" s="23">
        <f t="shared" si="27"/>
        <v>118.92</v>
      </c>
      <c r="G22" s="23">
        <f t="shared" si="28"/>
        <v>713.52</v>
      </c>
      <c r="H22" s="23">
        <f t="shared" si="29"/>
        <v>973.24227100000007</v>
      </c>
      <c r="I22" s="23">
        <f t="shared" si="30"/>
        <v>1946.4845420000001</v>
      </c>
      <c r="J22" s="4"/>
      <c r="K22" s="37">
        <f t="shared" si="2"/>
        <v>36.416666666666664</v>
      </c>
      <c r="L22" s="23">
        <f t="shared" si="31"/>
        <v>72.833333333333329</v>
      </c>
      <c r="M22" s="38">
        <f t="shared" si="3"/>
        <v>37.866666666666667</v>
      </c>
      <c r="N22" s="27">
        <f t="shared" si="32"/>
        <v>75.733333333333334</v>
      </c>
      <c r="O22" s="23">
        <f t="shared" si="33"/>
        <v>437</v>
      </c>
      <c r="P22" s="4"/>
      <c r="Q22" s="50" t="s">
        <v>63</v>
      </c>
      <c r="R22" s="48" t="s">
        <v>64</v>
      </c>
      <c r="S22">
        <f>IF(Tools!$L$49="Use 141 rule only",I46,IF(Tools!$L$49="Use 141 and 1331 rules",BG23," "))</f>
        <v>17.845911520383822</v>
      </c>
      <c r="W22" s="29">
        <f>IF(AO22="  ","  ",IF(AND(AO21="  ",AO23="  "),"?",IF(AO21="  ",1*(AO23-AO22),IF(AO23="  ",1*(AO22-AO21),1*(AO23-AO21)))))</f>
        <v>2</v>
      </c>
      <c r="X22" s="30" t="str">
        <f t="shared" si="4"/>
        <v>WW</v>
      </c>
      <c r="Y22" s="30" t="str">
        <f t="shared" si="5"/>
        <v>-</v>
      </c>
      <c r="Z22" s="29" t="b">
        <f t="shared" si="6"/>
        <v>0</v>
      </c>
      <c r="AA22" s="29" t="b">
        <f t="shared" si="7"/>
        <v>0</v>
      </c>
      <c r="AB22" s="29" t="str">
        <f t="shared" ca="1" si="8"/>
        <v>++</v>
      </c>
      <c r="AC22" s="29">
        <f t="shared" si="34"/>
        <v>7</v>
      </c>
      <c r="AD22" s="29">
        <f t="shared" ca="1" si="9"/>
        <v>7</v>
      </c>
      <c r="AE22" s="29">
        <v>19</v>
      </c>
      <c r="AF22" s="31">
        <f t="shared" si="42"/>
        <v>15</v>
      </c>
      <c r="AG22" s="29" t="b">
        <f t="shared" si="11"/>
        <v>1</v>
      </c>
      <c r="AH22" s="30" t="str">
        <f t="shared" ca="1" si="43"/>
        <v>141-2</v>
      </c>
      <c r="AI22" s="30" t="str">
        <f t="shared" ca="1" si="13"/>
        <v/>
      </c>
      <c r="AJ22" s="29">
        <f t="shared" ca="1" si="14"/>
        <v>0</v>
      </c>
      <c r="AK22" s="29" t="str">
        <f t="shared" ca="1" si="15"/>
        <v>2/3</v>
      </c>
      <c r="AL22" s="29">
        <f t="shared" ca="1" si="16"/>
        <v>0.66666666666666663</v>
      </c>
      <c r="AM22" s="32">
        <f t="shared" ca="1" si="35"/>
        <v>0.66666666666666663</v>
      </c>
      <c r="AO22" s="20">
        <f>Tools!$AD21</f>
        <v>16</v>
      </c>
      <c r="AP22" s="33">
        <f t="shared" si="36"/>
        <v>9.91</v>
      </c>
      <c r="AQ22" s="34" t="str">
        <f t="shared" ca="1" si="18"/>
        <v>2/3</v>
      </c>
      <c r="AR22" s="23">
        <f t="shared" ca="1" si="19"/>
        <v>6.6066666666666665</v>
      </c>
      <c r="AS22" s="24">
        <f t="shared" si="20"/>
        <v>6</v>
      </c>
      <c r="AT22" s="23">
        <f t="shared" ca="1" si="37"/>
        <v>39.64</v>
      </c>
      <c r="AU22" s="23">
        <f t="shared" ca="1" si="40"/>
        <v>237.84</v>
      </c>
      <c r="AV22" s="23">
        <f t="shared" si="21"/>
        <v>973.24227100000007</v>
      </c>
      <c r="AW22" s="23">
        <f t="shared" ca="1" si="22"/>
        <v>648.82818066666664</v>
      </c>
      <c r="AY22" s="35">
        <f t="shared" si="23"/>
        <v>36.416666666666664</v>
      </c>
      <c r="AZ22" s="23">
        <f t="shared" ca="1" si="41"/>
        <v>24.277777777777775</v>
      </c>
      <c r="BA22" s="36">
        <f t="shared" si="25"/>
        <v>37.866666666666667</v>
      </c>
      <c r="BB22" s="27">
        <f t="shared" ca="1" si="38"/>
        <v>25.244444444444444</v>
      </c>
      <c r="BC22" s="23">
        <f t="shared" ca="1" si="39"/>
        <v>145.66666666666666</v>
      </c>
      <c r="BE22" s="50" t="s">
        <v>60</v>
      </c>
      <c r="BF22" s="48" t="s">
        <v>61</v>
      </c>
      <c r="BG22" s="49">
        <f>IF(WL_No="  ","  ",IF/V_Disp)</f>
        <v>604.29641041362777</v>
      </c>
    </row>
    <row r="23" spans="1:59" x14ac:dyDescent="0.25">
      <c r="A23" s="20">
        <f>Tools!$AD22</f>
        <v>17</v>
      </c>
      <c r="B23" s="33">
        <f t="shared" si="0"/>
        <v>8.42</v>
      </c>
      <c r="C23" s="22">
        <f>IF(A23="  ","  ",IF(AND(A22="  ",A24="  "),"?",IF(A22="  ",2*(A24-A23),IF(A24="  ",2*(A23-A22),2*(A24-A22)))))</f>
        <v>4</v>
      </c>
      <c r="D23" s="23">
        <f t="shared" si="26"/>
        <v>33.68</v>
      </c>
      <c r="E23" s="24">
        <f t="shared" si="1"/>
        <v>7</v>
      </c>
      <c r="F23" s="23">
        <f t="shared" si="27"/>
        <v>235.76</v>
      </c>
      <c r="G23" s="23">
        <f t="shared" si="28"/>
        <v>1650.32</v>
      </c>
      <c r="H23" s="23">
        <f t="shared" si="29"/>
        <v>596.94768799999997</v>
      </c>
      <c r="I23" s="23">
        <f t="shared" si="30"/>
        <v>2387.7907519999999</v>
      </c>
      <c r="J23" s="4"/>
      <c r="K23" s="37">
        <f t="shared" si="2"/>
        <v>29.619999999999997</v>
      </c>
      <c r="L23" s="23">
        <f t="shared" si="31"/>
        <v>118.47999999999999</v>
      </c>
      <c r="M23" s="38">
        <f t="shared" si="3"/>
        <v>31.326666666666664</v>
      </c>
      <c r="N23" s="27">
        <f t="shared" si="32"/>
        <v>125.30666666666666</v>
      </c>
      <c r="O23" s="23">
        <f t="shared" si="33"/>
        <v>829.3599999999999</v>
      </c>
      <c r="P23" s="4"/>
      <c r="Q23" s="50" t="s">
        <v>65</v>
      </c>
      <c r="R23" s="48" t="s">
        <v>66</v>
      </c>
      <c r="S23">
        <f>IF(Tools!$L$49="Use 141 rule only",I47,IF(Tools!$L$49="Use 141 and 1331 rules",BG24," "))</f>
        <v>1.0400506704830503</v>
      </c>
      <c r="W23" s="29">
        <f>IF(AO23="  ","  ",IF(AND(AO22="  ",AO24="  "),"?",IF(AO22="  ",2*(AO24-AO23),IF(AO24="  ",2*(AO23-AO22),2*(AO24-AO22)))))</f>
        <v>4</v>
      </c>
      <c r="X23" s="30" t="str">
        <f t="shared" si="4"/>
        <v>WW</v>
      </c>
      <c r="Y23" s="30" t="str">
        <f t="shared" si="5"/>
        <v>-</v>
      </c>
      <c r="Z23" s="29" t="b">
        <f t="shared" si="6"/>
        <v>0</v>
      </c>
      <c r="AA23" s="29" t="b">
        <f t="shared" si="7"/>
        <v>0</v>
      </c>
      <c r="AB23" s="29" t="str">
        <f t="shared" ca="1" si="8"/>
        <v>++</v>
      </c>
      <c r="AC23" s="29">
        <f t="shared" si="34"/>
        <v>6</v>
      </c>
      <c r="AD23" s="29">
        <f t="shared" ca="1" si="9"/>
        <v>6</v>
      </c>
      <c r="AE23" s="29">
        <v>20</v>
      </c>
      <c r="AF23" s="31">
        <f t="shared" si="42"/>
        <v>16</v>
      </c>
      <c r="AG23" s="29" t="b">
        <f t="shared" si="11"/>
        <v>1</v>
      </c>
      <c r="AH23" s="30" t="str">
        <f t="shared" ca="1" si="43"/>
        <v>141-4</v>
      </c>
      <c r="AI23" s="30" t="str">
        <f t="shared" ca="1" si="13"/>
        <v/>
      </c>
      <c r="AJ23" s="29">
        <f t="shared" ca="1" si="14"/>
        <v>0</v>
      </c>
      <c r="AK23" s="29" t="str">
        <f t="shared" ca="1" si="15"/>
        <v>4/3</v>
      </c>
      <c r="AL23" s="29">
        <f t="shared" ca="1" si="16"/>
        <v>1.3333333333333333</v>
      </c>
      <c r="AM23" s="32">
        <f t="shared" ca="1" si="35"/>
        <v>1.3333333333333333</v>
      </c>
      <c r="AO23" s="20">
        <f>Tools!$AD22</f>
        <v>17</v>
      </c>
      <c r="AP23" s="33">
        <f t="shared" si="36"/>
        <v>8.42</v>
      </c>
      <c r="AQ23" s="34" t="str">
        <f t="shared" ca="1" si="18"/>
        <v>4/3</v>
      </c>
      <c r="AR23" s="23">
        <f t="shared" ca="1" si="19"/>
        <v>11.226666666666667</v>
      </c>
      <c r="AS23" s="24">
        <f t="shared" si="20"/>
        <v>7</v>
      </c>
      <c r="AT23" s="23">
        <f t="shared" ca="1" si="37"/>
        <v>78.586666666666673</v>
      </c>
      <c r="AU23" s="23">
        <f t="shared" ca="1" si="40"/>
        <v>550.10666666666668</v>
      </c>
      <c r="AV23" s="23">
        <f t="shared" si="21"/>
        <v>596.94768799999997</v>
      </c>
      <c r="AW23" s="23">
        <f t="shared" ca="1" si="22"/>
        <v>795.93025066666655</v>
      </c>
      <c r="AY23" s="35">
        <f t="shared" si="23"/>
        <v>29.619999999999997</v>
      </c>
      <c r="AZ23" s="23">
        <f t="shared" ca="1" si="41"/>
        <v>39.493333333333325</v>
      </c>
      <c r="BA23" s="36">
        <f t="shared" si="25"/>
        <v>31.326666666666664</v>
      </c>
      <c r="BB23" s="27">
        <f t="shared" ca="1" si="38"/>
        <v>41.768888888888881</v>
      </c>
      <c r="BC23" s="23">
        <f t="shared" ca="1" si="39"/>
        <v>276.45333333333326</v>
      </c>
      <c r="BE23" s="50" t="s">
        <v>63</v>
      </c>
      <c r="BF23" s="48" t="s">
        <v>64</v>
      </c>
      <c r="BG23" s="49">
        <f>IF(WL_No="  ","  ",IT/V_Disp)</f>
        <v>17.845911520383822</v>
      </c>
    </row>
    <row r="24" spans="1:59" x14ac:dyDescent="0.25">
      <c r="A24" s="20">
        <f>Tools!$AD23</f>
        <v>18</v>
      </c>
      <c r="B24" s="33">
        <f t="shared" si="0"/>
        <v>6.21</v>
      </c>
      <c r="C24" s="22">
        <f>IF(A24="  ","  ",IF(AND(A23="  ",A25="  "),"?",IF(A23="  ",1*(A25-A24),IF(A25="  ",1*(A24-A23),1*(A25-A23)))))</f>
        <v>1.5</v>
      </c>
      <c r="D24" s="23">
        <f t="shared" si="26"/>
        <v>9.3149999999999995</v>
      </c>
      <c r="E24" s="24">
        <f t="shared" si="1"/>
        <v>8</v>
      </c>
      <c r="F24" s="23">
        <f t="shared" si="27"/>
        <v>74.52</v>
      </c>
      <c r="G24" s="23">
        <f t="shared" si="28"/>
        <v>596.16</v>
      </c>
      <c r="H24" s="23">
        <f t="shared" si="29"/>
        <v>239.48306099999996</v>
      </c>
      <c r="I24" s="23">
        <f t="shared" si="30"/>
        <v>359.22459149999997</v>
      </c>
      <c r="J24" s="4"/>
      <c r="K24" s="37">
        <f t="shared" si="2"/>
        <v>20.83</v>
      </c>
      <c r="L24" s="23">
        <f t="shared" si="31"/>
        <v>31.244999999999997</v>
      </c>
      <c r="M24" s="38">
        <f t="shared" si="3"/>
        <v>22.546666666666667</v>
      </c>
      <c r="N24" s="27">
        <f t="shared" si="32"/>
        <v>33.82</v>
      </c>
      <c r="O24" s="23">
        <f t="shared" si="33"/>
        <v>249.95999999999998</v>
      </c>
      <c r="P24" s="4"/>
      <c r="Q24" s="50" t="s">
        <v>67</v>
      </c>
      <c r="R24" s="48" t="s">
        <v>68</v>
      </c>
      <c r="S24">
        <f>IF(Tools!$L$49="Use 141 rule only",I48,IF(Tools!$L$49="Use 141 and 1331 rules",BG25," "))</f>
        <v>18.885962190866874</v>
      </c>
      <c r="W24" s="29">
        <f>IF(AO24="  ","  ",IF(AND(AO23="  ",AO25="  "),"?",IF(AO23="  ",1*(AO25-AO24),IF(AO25="  ",1*(AO24-AO23),1*(AO25-AO23)))))</f>
        <v>1.5</v>
      </c>
      <c r="X24" s="30" t="str">
        <f t="shared" si="4"/>
        <v>WD</v>
      </c>
      <c r="Y24" s="30" t="str">
        <f t="shared" si="5"/>
        <v>-</v>
      </c>
      <c r="Z24" s="29" t="b">
        <f t="shared" si="6"/>
        <v>1</v>
      </c>
      <c r="AA24" s="29" t="b">
        <f t="shared" si="7"/>
        <v>1</v>
      </c>
      <c r="AB24" s="29" t="str">
        <f t="shared" ca="1" si="8"/>
        <v>141-1</v>
      </c>
      <c r="AC24" s="29">
        <f t="shared" si="34"/>
        <v>5</v>
      </c>
      <c r="AD24" s="29">
        <f t="shared" ca="1" si="9"/>
        <v>5</v>
      </c>
      <c r="AE24" s="29">
        <v>21</v>
      </c>
      <c r="AF24" s="31">
        <f t="shared" si="42"/>
        <v>17</v>
      </c>
      <c r="AG24" s="29" t="b">
        <f t="shared" si="11"/>
        <v>1</v>
      </c>
      <c r="AH24" s="30" t="str">
        <f t="shared" ca="1" si="43"/>
        <v>141-1</v>
      </c>
      <c r="AI24" s="30" t="str">
        <f t="shared" ca="1" si="13"/>
        <v>(1/2)*(1/3)</v>
      </c>
      <c r="AJ24" s="29">
        <f t="shared" ca="1" si="14"/>
        <v>0.16666666666666666</v>
      </c>
      <c r="AK24" s="29" t="str">
        <f t="shared" ca="1" si="15"/>
        <v>1/3</v>
      </c>
      <c r="AL24" s="29">
        <f t="shared" ca="1" si="16"/>
        <v>0.33333333333333331</v>
      </c>
      <c r="AM24" s="32">
        <f t="shared" ca="1" si="35"/>
        <v>0.5</v>
      </c>
      <c r="AO24" s="20">
        <f>Tools!$AD23</f>
        <v>18</v>
      </c>
      <c r="AP24" s="33">
        <f t="shared" si="36"/>
        <v>6.21</v>
      </c>
      <c r="AQ24" s="34" t="str">
        <f t="shared" ca="1" si="18"/>
        <v>(1/2)*(1/3)+1/3</v>
      </c>
      <c r="AR24" s="23">
        <f t="shared" ca="1" si="19"/>
        <v>3.105</v>
      </c>
      <c r="AS24" s="24">
        <f t="shared" si="20"/>
        <v>8</v>
      </c>
      <c r="AT24" s="23">
        <f t="shared" ca="1" si="37"/>
        <v>24.84</v>
      </c>
      <c r="AU24" s="23">
        <f t="shared" ca="1" si="40"/>
        <v>198.72</v>
      </c>
      <c r="AV24" s="23">
        <f t="shared" si="21"/>
        <v>239.48306099999996</v>
      </c>
      <c r="AW24" s="23">
        <f t="shared" ca="1" si="22"/>
        <v>119.74153049999998</v>
      </c>
      <c r="AY24" s="35">
        <f t="shared" si="23"/>
        <v>20.83</v>
      </c>
      <c r="AZ24" s="23">
        <f t="shared" ca="1" si="41"/>
        <v>10.414999999999999</v>
      </c>
      <c r="BA24" s="36">
        <f t="shared" si="25"/>
        <v>22.546666666666667</v>
      </c>
      <c r="BB24" s="27">
        <f t="shared" ca="1" si="38"/>
        <v>11.273333333333333</v>
      </c>
      <c r="BC24" s="23">
        <f t="shared" ca="1" si="39"/>
        <v>83.32</v>
      </c>
      <c r="BE24" s="50" t="s">
        <v>65</v>
      </c>
      <c r="BF24" s="48" t="s">
        <v>66</v>
      </c>
      <c r="BG24" s="49">
        <f>IF(WL_No="  ","  ",MT/V_Disp)</f>
        <v>1.0400506704830503</v>
      </c>
    </row>
    <row r="25" spans="1:59" x14ac:dyDescent="0.25">
      <c r="A25" s="20">
        <f>Tools!$AD24</f>
        <v>18.5</v>
      </c>
      <c r="B25" s="33">
        <f t="shared" si="0"/>
        <v>4.91</v>
      </c>
      <c r="C25" s="22">
        <f>IF(A25="  ","  ",IF(AND(A24="  ",A26="  "),"?",IF(A24="  ",2*(A26-A25),IF(A26="  ",2*(A25-A24),2*(A26-A24)))))</f>
        <v>2</v>
      </c>
      <c r="D25" s="23">
        <f t="shared" si="26"/>
        <v>9.82</v>
      </c>
      <c r="E25" s="24">
        <f t="shared" si="1"/>
        <v>8.5</v>
      </c>
      <c r="F25" s="23">
        <f t="shared" si="27"/>
        <v>83.47</v>
      </c>
      <c r="G25" s="23">
        <f t="shared" si="28"/>
        <v>709.495</v>
      </c>
      <c r="H25" s="23">
        <f t="shared" si="29"/>
        <v>118.370771</v>
      </c>
      <c r="I25" s="23">
        <f t="shared" si="30"/>
        <v>236.74154200000001</v>
      </c>
      <c r="J25" s="4"/>
      <c r="K25" s="37">
        <f t="shared" si="2"/>
        <v>15.836666666666666</v>
      </c>
      <c r="L25" s="23">
        <f t="shared" si="31"/>
        <v>31.673333333333332</v>
      </c>
      <c r="M25" s="38">
        <f t="shared" si="3"/>
        <v>17.473333333333333</v>
      </c>
      <c r="N25" s="27">
        <f t="shared" si="32"/>
        <v>34.946666666666665</v>
      </c>
      <c r="O25" s="23">
        <f t="shared" si="33"/>
        <v>269.2233333333333</v>
      </c>
      <c r="P25" s="4"/>
      <c r="Q25" s="50" t="s">
        <v>69</v>
      </c>
      <c r="R25" s="48" t="s">
        <v>70</v>
      </c>
      <c r="S25">
        <f>IF(Tools!$L$49="Use 141 rule only",I49,IF(Tools!$L$49="Use 141 and 1331 rules",BG26," "))</f>
        <v>605.33646108411085</v>
      </c>
      <c r="W25" s="29">
        <f>IF(AO25="  ","  ",IF(AND(AO24="  ",AO26="  "),"?",IF(AO24="  ",2*(AO26-AO25),IF(AO26="  ",2*(AO25-AO24),2*(AO26-AO24)))))</f>
        <v>2</v>
      </c>
      <c r="X25" s="30" t="str">
        <f t="shared" si="4"/>
        <v>DD</v>
      </c>
      <c r="Y25" s="30" t="str">
        <f t="shared" si="5"/>
        <v>-</v>
      </c>
      <c r="Z25" s="29" t="b">
        <f t="shared" si="6"/>
        <v>1</v>
      </c>
      <c r="AA25" s="29" t="b">
        <f t="shared" si="7"/>
        <v>1</v>
      </c>
      <c r="AB25" s="29" t="str">
        <f t="shared" ca="1" si="8"/>
        <v>141-4</v>
      </c>
      <c r="AC25" s="29">
        <f t="shared" si="34"/>
        <v>4</v>
      </c>
      <c r="AD25" s="29">
        <f t="shared" ca="1" si="9"/>
        <v>4</v>
      </c>
      <c r="AE25" s="29">
        <v>22</v>
      </c>
      <c r="AF25" s="31">
        <f t="shared" si="42"/>
        <v>18</v>
      </c>
      <c r="AG25" s="29" t="b">
        <f t="shared" si="11"/>
        <v>0</v>
      </c>
      <c r="AH25" s="30" t="str">
        <f t="shared" si="43"/>
        <v>-</v>
      </c>
      <c r="AI25" s="30" t="str">
        <f t="shared" ca="1" si="13"/>
        <v>(1/2)*(4/3)</v>
      </c>
      <c r="AJ25" s="29">
        <f t="shared" ca="1" si="14"/>
        <v>0.66666666666666663</v>
      </c>
      <c r="AK25" s="29" t="str">
        <f t="shared" si="15"/>
        <v/>
      </c>
      <c r="AL25" s="29">
        <f t="shared" si="16"/>
        <v>0</v>
      </c>
      <c r="AM25" s="32">
        <f t="shared" ca="1" si="35"/>
        <v>0.66666666666666663</v>
      </c>
      <c r="AO25" s="20">
        <f>Tools!$AD24</f>
        <v>18.5</v>
      </c>
      <c r="AP25" s="33">
        <f t="shared" si="36"/>
        <v>4.91</v>
      </c>
      <c r="AQ25" s="34" t="str">
        <f t="shared" ca="1" si="18"/>
        <v>(1/2)*(4/3)</v>
      </c>
      <c r="AR25" s="23">
        <f t="shared" ca="1" si="19"/>
        <v>3.2733333333333334</v>
      </c>
      <c r="AS25" s="24">
        <f t="shared" si="20"/>
        <v>8.5</v>
      </c>
      <c r="AT25" s="23">
        <f t="shared" ca="1" si="37"/>
        <v>27.823333333333334</v>
      </c>
      <c r="AU25" s="23">
        <f t="shared" ca="1" si="40"/>
        <v>236.49833333333333</v>
      </c>
      <c r="AV25" s="23">
        <f t="shared" si="21"/>
        <v>118.370771</v>
      </c>
      <c r="AW25" s="23">
        <f t="shared" ca="1" si="22"/>
        <v>78.913847333333337</v>
      </c>
      <c r="AY25" s="35">
        <f t="shared" si="23"/>
        <v>15.836666666666666</v>
      </c>
      <c r="AZ25" s="23">
        <f t="shared" ca="1" si="41"/>
        <v>10.557777777777776</v>
      </c>
      <c r="BA25" s="36">
        <f t="shared" si="25"/>
        <v>17.473333333333333</v>
      </c>
      <c r="BB25" s="27">
        <f t="shared" ca="1" si="38"/>
        <v>11.648888888888887</v>
      </c>
      <c r="BC25" s="23">
        <f t="shared" ca="1" si="39"/>
        <v>89.741111111111096</v>
      </c>
      <c r="BE25" s="50" t="s">
        <v>67</v>
      </c>
      <c r="BF25" s="48" t="s">
        <v>68</v>
      </c>
      <c r="BG25" s="49">
        <f>IF(WL_No="  ","  ",KB+BMT)</f>
        <v>18.885962190866874</v>
      </c>
    </row>
    <row r="26" spans="1:59" x14ac:dyDescent="0.25">
      <c r="A26" s="20">
        <f>Tools!$AD25</f>
        <v>19</v>
      </c>
      <c r="B26" s="33">
        <f t="shared" si="0"/>
        <v>3.53</v>
      </c>
      <c r="C26" s="22">
        <f>IF(A26="  ","  ",IF(AND(A25="  ",A27="  "),"?",IF(A25="  ",1*(A27-A26),IF(A27="  ",1*(A26-A25),1*(A27-A25)))))</f>
        <v>1</v>
      </c>
      <c r="D26" s="23">
        <f t="shared" si="26"/>
        <v>3.53</v>
      </c>
      <c r="E26" s="24">
        <f t="shared" si="1"/>
        <v>9</v>
      </c>
      <c r="F26" s="23">
        <f t="shared" si="27"/>
        <v>31.77</v>
      </c>
      <c r="G26" s="23">
        <f t="shared" si="28"/>
        <v>285.93</v>
      </c>
      <c r="H26" s="23">
        <f t="shared" si="29"/>
        <v>43.986976999999996</v>
      </c>
      <c r="I26" s="23">
        <f t="shared" si="30"/>
        <v>43.986976999999996</v>
      </c>
      <c r="J26" s="4"/>
      <c r="K26" s="37">
        <f t="shared" si="2"/>
        <v>10.903333333333332</v>
      </c>
      <c r="L26" s="23">
        <f t="shared" si="31"/>
        <v>10.903333333333332</v>
      </c>
      <c r="M26" s="38">
        <f t="shared" si="3"/>
        <v>12.279999999999998</v>
      </c>
      <c r="N26" s="27">
        <f t="shared" si="32"/>
        <v>12.279999999999998</v>
      </c>
      <c r="O26" s="23">
        <f t="shared" si="33"/>
        <v>98.13</v>
      </c>
      <c r="P26" s="4"/>
      <c r="Q26" s="50" t="s">
        <v>71</v>
      </c>
      <c r="R26" s="48" t="s">
        <v>72</v>
      </c>
      <c r="S26">
        <f>IF(Tools!$L$49="Use 141 rule only",I50,IF(Tools!$L$49="Use 141 and 1331 rules",BG27," "))</f>
        <v>24.427613791666662</v>
      </c>
      <c r="W26" s="29">
        <f>IF(AO26="  ","  ",IF(AND(AO25="  ",AO27="  "),"?",IF(AO25="  ",1*(AO27-AO26),IF(AO27="  ",1*(AO26-AO25),1*(AO27-AO25)))))</f>
        <v>1</v>
      </c>
      <c r="X26" s="30" t="str">
        <f t="shared" si="4"/>
        <v>DD</v>
      </c>
      <c r="Y26" s="30" t="str">
        <f t="shared" si="5"/>
        <v>-</v>
      </c>
      <c r="Z26" s="29" t="b">
        <f t="shared" si="6"/>
        <v>1</v>
      </c>
      <c r="AA26" s="29" t="b">
        <f t="shared" si="7"/>
        <v>1</v>
      </c>
      <c r="AB26" s="29" t="str">
        <f t="shared" ca="1" si="8"/>
        <v>141-2</v>
      </c>
      <c r="AC26" s="29">
        <f t="shared" si="34"/>
        <v>3</v>
      </c>
      <c r="AD26" s="29">
        <f t="shared" ca="1" si="9"/>
        <v>3</v>
      </c>
      <c r="AE26" s="29">
        <v>23</v>
      </c>
      <c r="AF26" s="31">
        <f t="shared" si="42"/>
        <v>19</v>
      </c>
      <c r="AG26" s="29" t="b">
        <f t="shared" si="11"/>
        <v>0</v>
      </c>
      <c r="AH26" s="30" t="str">
        <f t="shared" si="43"/>
        <v>-</v>
      </c>
      <c r="AI26" s="30" t="str">
        <f t="shared" ca="1" si="13"/>
        <v>(1/2)*(2/3)</v>
      </c>
      <c r="AJ26" s="29">
        <f t="shared" ca="1" si="14"/>
        <v>0.33333333333333331</v>
      </c>
      <c r="AK26" s="29" t="str">
        <f t="shared" si="15"/>
        <v/>
      </c>
      <c r="AL26" s="29">
        <f t="shared" si="16"/>
        <v>0</v>
      </c>
      <c r="AM26" s="32">
        <f t="shared" ca="1" si="35"/>
        <v>0.33333333333333331</v>
      </c>
      <c r="AO26" s="20">
        <f>Tools!$AD25</f>
        <v>19</v>
      </c>
      <c r="AP26" s="33">
        <f t="shared" si="36"/>
        <v>3.53</v>
      </c>
      <c r="AQ26" s="34" t="str">
        <f t="shared" ca="1" si="18"/>
        <v>(1/2)*(2/3)</v>
      </c>
      <c r="AR26" s="23">
        <f t="shared" ca="1" si="19"/>
        <v>1.1766666666666665</v>
      </c>
      <c r="AS26" s="24">
        <f t="shared" si="20"/>
        <v>9</v>
      </c>
      <c r="AT26" s="23">
        <f t="shared" ca="1" si="37"/>
        <v>10.589999999999998</v>
      </c>
      <c r="AU26" s="23">
        <f t="shared" ca="1" si="40"/>
        <v>95.309999999999988</v>
      </c>
      <c r="AV26" s="23">
        <f t="shared" si="21"/>
        <v>43.986976999999996</v>
      </c>
      <c r="AW26" s="23">
        <f t="shared" ca="1" si="22"/>
        <v>14.662325666666664</v>
      </c>
      <c r="AY26" s="35">
        <f t="shared" si="23"/>
        <v>10.903333333333332</v>
      </c>
      <c r="AZ26" s="23">
        <f t="shared" ca="1" si="41"/>
        <v>3.6344444444444441</v>
      </c>
      <c r="BA26" s="36">
        <f t="shared" si="25"/>
        <v>12.279999999999998</v>
      </c>
      <c r="BB26" s="27">
        <f t="shared" ca="1" si="38"/>
        <v>4.0933333333333319</v>
      </c>
      <c r="BC26" s="23">
        <f t="shared" ca="1" si="39"/>
        <v>32.709999999999994</v>
      </c>
      <c r="BE26" s="50" t="s">
        <v>69</v>
      </c>
      <c r="BF26" s="48" t="s">
        <v>70</v>
      </c>
      <c r="BG26" s="49">
        <f>IF(WL_No="  ","  ",KB+BML)</f>
        <v>605.33646108411085</v>
      </c>
    </row>
    <row r="27" spans="1:59" x14ac:dyDescent="0.25">
      <c r="A27" s="20">
        <f>Tools!$AD26</f>
        <v>19.5</v>
      </c>
      <c r="B27" s="33">
        <f t="shared" si="0"/>
        <v>2.29</v>
      </c>
      <c r="C27" s="22">
        <f>IF(A27="  ","  ",IF(AND(A26="  ",A28="  "),"?",IF(A26="  ",2*(A28-A27),IF(A28="  ",2*(A27-A26),2*(A28-A26)))))</f>
        <v>2</v>
      </c>
      <c r="D27" s="23">
        <f t="shared" si="26"/>
        <v>4.58</v>
      </c>
      <c r="E27" s="24">
        <f t="shared" si="1"/>
        <v>9.5</v>
      </c>
      <c r="F27" s="23">
        <f t="shared" si="27"/>
        <v>43.51</v>
      </c>
      <c r="G27" s="23">
        <f t="shared" si="28"/>
        <v>413.34499999999997</v>
      </c>
      <c r="H27" s="23">
        <f t="shared" si="29"/>
        <v>12.008989000000001</v>
      </c>
      <c r="I27" s="23">
        <f t="shared" si="30"/>
        <v>24.017978000000003</v>
      </c>
      <c r="J27" s="4"/>
      <c r="K27" s="37">
        <f t="shared" si="2"/>
        <v>6.3299999999999992</v>
      </c>
      <c r="L27" s="23">
        <f t="shared" si="31"/>
        <v>12.659999999999998</v>
      </c>
      <c r="M27" s="38">
        <f t="shared" si="3"/>
        <v>7.5</v>
      </c>
      <c r="N27" s="27">
        <f t="shared" si="32"/>
        <v>15</v>
      </c>
      <c r="O27" s="23">
        <f t="shared" si="33"/>
        <v>120.26999999999998</v>
      </c>
      <c r="P27" s="4"/>
      <c r="Q27" s="50" t="s">
        <v>73</v>
      </c>
      <c r="R27" s="48" t="s">
        <v>74</v>
      </c>
      <c r="S27">
        <f>IF(Tools!$L$49="Use 141 rule only",I51,IF(Tools!$L$49="Use 141 and 1331 rules",BG28," "))</f>
        <v>5.2965746716309381</v>
      </c>
      <c r="W27" s="29">
        <f>IF(AO27="  ","  ",IF(AND(AO26="  ",AO28="  "),"?",IF(AO26="  ",2*(AO28-AO27),IF(AO28="  ",2*(AO27-AO26),2*(AO28-AO26)))))</f>
        <v>2</v>
      </c>
      <c r="X27" s="30" t="str">
        <f t="shared" si="4"/>
        <v>DD</v>
      </c>
      <c r="Y27" s="30" t="str">
        <f t="shared" si="5"/>
        <v>-</v>
      </c>
      <c r="Z27" s="29" t="b">
        <f t="shared" si="6"/>
        <v>1</v>
      </c>
      <c r="AA27" s="29" t="b">
        <f t="shared" si="7"/>
        <v>1</v>
      </c>
      <c r="AB27" s="29" t="str">
        <f t="shared" ca="1" si="8"/>
        <v>141-4</v>
      </c>
      <c r="AC27" s="29">
        <f t="shared" si="34"/>
        <v>2</v>
      </c>
      <c r="AD27" s="29">
        <f t="shared" ca="1" si="9"/>
        <v>2</v>
      </c>
      <c r="AE27" s="29">
        <v>24</v>
      </c>
      <c r="AF27" s="31">
        <f t="shared" si="42"/>
        <v>20</v>
      </c>
      <c r="AG27" s="29" t="b">
        <f t="shared" si="11"/>
        <v>0</v>
      </c>
      <c r="AH27" s="30" t="str">
        <f t="shared" si="43"/>
        <v>-</v>
      </c>
      <c r="AI27" s="30" t="str">
        <f t="shared" ca="1" si="13"/>
        <v>(1/2)*(4/3)</v>
      </c>
      <c r="AJ27" s="29">
        <f t="shared" ca="1" si="14"/>
        <v>0.66666666666666663</v>
      </c>
      <c r="AK27" s="29" t="str">
        <f t="shared" si="15"/>
        <v/>
      </c>
      <c r="AL27" s="29">
        <f t="shared" si="16"/>
        <v>0</v>
      </c>
      <c r="AM27" s="32">
        <f t="shared" ca="1" si="35"/>
        <v>0.66666666666666663</v>
      </c>
      <c r="AO27" s="20">
        <f>Tools!$AD26</f>
        <v>19.5</v>
      </c>
      <c r="AP27" s="33">
        <f t="shared" ref="AP27:AP28" si="44">VLOOKUP(AO27,OFFSET_A,Count_WL+1,FALSE)</f>
        <v>2.29</v>
      </c>
      <c r="AQ27" s="34" t="str">
        <f t="shared" ca="1" si="18"/>
        <v>(1/2)*(4/3)</v>
      </c>
      <c r="AR27" s="23">
        <f t="shared" ca="1" si="19"/>
        <v>1.5266666666666666</v>
      </c>
      <c r="AS27" s="24">
        <f t="shared" si="20"/>
        <v>9.5</v>
      </c>
      <c r="AT27" s="23">
        <f t="shared" ca="1" si="37"/>
        <v>14.503333333333332</v>
      </c>
      <c r="AU27" s="23">
        <f t="shared" ca="1" si="40"/>
        <v>137.78166666666667</v>
      </c>
      <c r="AV27" s="23">
        <f t="shared" si="21"/>
        <v>12.008989000000001</v>
      </c>
      <c r="AW27" s="23">
        <f t="shared" ca="1" si="22"/>
        <v>8.0059926666666676</v>
      </c>
      <c r="AY27" s="35">
        <f t="shared" si="23"/>
        <v>6.3299999999999992</v>
      </c>
      <c r="AZ27" s="23">
        <f t="shared" ca="1" si="41"/>
        <v>4.2199999999999989</v>
      </c>
      <c r="BA27" s="36">
        <f t="shared" si="25"/>
        <v>7.5</v>
      </c>
      <c r="BB27" s="27">
        <f t="shared" ca="1" si="38"/>
        <v>5</v>
      </c>
      <c r="BC27" s="23">
        <f t="shared" ca="1" si="39"/>
        <v>40.089999999999989</v>
      </c>
      <c r="BE27" s="50" t="s">
        <v>71</v>
      </c>
      <c r="BF27" s="48" t="s">
        <v>72</v>
      </c>
      <c r="BG27" s="49">
        <f>IF(WL_No="  ","  ",AWP*1.025/100)</f>
        <v>24.427613791666662</v>
      </c>
    </row>
    <row r="28" spans="1:59" ht="15.75" thickBot="1" x14ac:dyDescent="0.3">
      <c r="A28" s="20">
        <f>Tools!$AD27</f>
        <v>20</v>
      </c>
      <c r="B28" s="52">
        <f t="shared" si="0"/>
        <v>1.53</v>
      </c>
      <c r="C28" s="22">
        <f>IF(A28="  ","  ",IF(A27="  ","?",1*(A28-A27)))</f>
        <v>0.5</v>
      </c>
      <c r="D28" s="53">
        <f t="shared" si="26"/>
        <v>0.76500000000000001</v>
      </c>
      <c r="E28" s="24">
        <f t="shared" si="1"/>
        <v>10</v>
      </c>
      <c r="F28" s="53">
        <f t="shared" si="27"/>
        <v>7.65</v>
      </c>
      <c r="G28" s="53">
        <f t="shared" si="28"/>
        <v>76.5</v>
      </c>
      <c r="H28" s="23">
        <f t="shared" si="29"/>
        <v>3.5815770000000002</v>
      </c>
      <c r="I28" s="53">
        <f t="shared" si="30"/>
        <v>1.7907885000000001</v>
      </c>
      <c r="J28" s="4"/>
      <c r="K28" s="35">
        <f t="shared" si="2"/>
        <v>4.3166666666666664</v>
      </c>
      <c r="L28" s="53">
        <f t="shared" si="31"/>
        <v>2.1583333333333332</v>
      </c>
      <c r="M28" s="36">
        <f t="shared" si="3"/>
        <v>5.2133333333333329</v>
      </c>
      <c r="N28" s="54">
        <f t="shared" si="32"/>
        <v>2.6066666666666665</v>
      </c>
      <c r="O28" s="53">
        <f t="shared" si="33"/>
        <v>21.583333333333332</v>
      </c>
      <c r="P28" s="4"/>
      <c r="Q28" s="50" t="s">
        <v>75</v>
      </c>
      <c r="R28" s="55" t="s">
        <v>76</v>
      </c>
      <c r="S28">
        <f>IF(Tools!$L$49="Use 141 rule only",I52,IF(Tools!$L$49="Use 141 and 1331 rules",BG29," "))</f>
        <v>186.37543794912199</v>
      </c>
      <c r="W28" s="29">
        <f>IF(AO28="  ","  ",IF(AO27="  ","?",1*(AO28-AO27)))</f>
        <v>0.5</v>
      </c>
      <c r="X28" s="30" t="str">
        <f t="shared" si="4"/>
        <v>D-</v>
      </c>
      <c r="Y28" s="30" t="str">
        <f t="shared" si="5"/>
        <v>-</v>
      </c>
      <c r="Z28" s="29" t="b">
        <f t="shared" si="6"/>
        <v>1</v>
      </c>
      <c r="AA28" s="29" t="b">
        <f t="shared" si="7"/>
        <v>1</v>
      </c>
      <c r="AB28" s="29" t="str">
        <f t="shared" ca="1" si="8"/>
        <v>141-1</v>
      </c>
      <c r="AC28" s="29">
        <f>IF(ISNUMBER(AO28),IF(ISNUMBER(AO28),IF(OR(AO28=0,AO28=Long_Div),1,IF(AO28&gt;Long_Div/2,AF29+1,IF(AO28&lt;=Long_Div/2,AC27+1,"?")))," --")," ")</f>
        <v>1</v>
      </c>
      <c r="AD28" s="29">
        <f t="shared" ca="1" si="9"/>
        <v>1</v>
      </c>
      <c r="AE28" s="29">
        <v>25</v>
      </c>
      <c r="AF28" s="31">
        <f t="shared" si="42"/>
        <v>21</v>
      </c>
      <c r="AG28" s="29" t="b">
        <f t="shared" si="11"/>
        <v>0</v>
      </c>
      <c r="AH28" s="30" t="str">
        <f t="shared" si="43"/>
        <v>-</v>
      </c>
      <c r="AI28" s="30" t="str">
        <f t="shared" ca="1" si="13"/>
        <v>(1/2)*(1/3)</v>
      </c>
      <c r="AJ28" s="29">
        <f t="shared" ca="1" si="14"/>
        <v>0.16666666666666666</v>
      </c>
      <c r="AK28" s="29" t="str">
        <f t="shared" si="15"/>
        <v/>
      </c>
      <c r="AL28" s="29">
        <f t="shared" si="16"/>
        <v>0</v>
      </c>
      <c r="AM28" s="32">
        <f t="shared" ca="1" si="35"/>
        <v>0.16666666666666666</v>
      </c>
      <c r="AO28" s="20">
        <f>Tools!$AD27</f>
        <v>20</v>
      </c>
      <c r="AP28" s="33">
        <f t="shared" si="44"/>
        <v>1.53</v>
      </c>
      <c r="AQ28" s="34" t="str">
        <f t="shared" ca="1" si="18"/>
        <v>(1/2)*(1/3)</v>
      </c>
      <c r="AR28" s="23">
        <f t="shared" ca="1" si="19"/>
        <v>0.255</v>
      </c>
      <c r="AS28" s="24">
        <f t="shared" si="20"/>
        <v>10</v>
      </c>
      <c r="AT28" s="53">
        <f t="shared" ca="1" si="37"/>
        <v>2.5499999999999998</v>
      </c>
      <c r="AU28" s="53">
        <f t="shared" ca="1" si="40"/>
        <v>25.5</v>
      </c>
      <c r="AV28" s="23">
        <f t="shared" si="21"/>
        <v>3.5815770000000002</v>
      </c>
      <c r="AW28" s="23">
        <f t="shared" ca="1" si="22"/>
        <v>0.5969295</v>
      </c>
      <c r="AY28" s="35">
        <f t="shared" si="23"/>
        <v>4.3166666666666664</v>
      </c>
      <c r="AZ28" s="23">
        <f t="shared" ca="1" si="41"/>
        <v>0.71944444444444433</v>
      </c>
      <c r="BA28" s="36">
        <f t="shared" si="25"/>
        <v>5.2133333333333329</v>
      </c>
      <c r="BB28" s="27">
        <f t="shared" ca="1" si="38"/>
        <v>0.86888888888888882</v>
      </c>
      <c r="BC28" s="53">
        <f t="shared" ca="1" si="39"/>
        <v>7.1944444444444429</v>
      </c>
      <c r="BE28" s="50" t="s">
        <v>73</v>
      </c>
      <c r="BF28" s="48" t="s">
        <v>74</v>
      </c>
      <c r="BG28" s="49">
        <f>IF(WL_No="  ","  ",ML/V_Disp)</f>
        <v>5.2965746716309381</v>
      </c>
    </row>
    <row r="29" spans="1:59" ht="15.75" thickBot="1" x14ac:dyDescent="0.3">
      <c r="A29" s="56" t="s">
        <v>77</v>
      </c>
      <c r="B29" s="56"/>
      <c r="C29" s="56"/>
      <c r="D29" s="57">
        <f>SUM(D4:D28)</f>
        <v>489.02499999999998</v>
      </c>
      <c r="E29" s="42"/>
      <c r="F29" s="58">
        <f>SUM(F4:F28)</f>
        <v>324.45999999999987</v>
      </c>
      <c r="G29" s="58">
        <f>SUM(G4:G28)</f>
        <v>10362.640000000001</v>
      </c>
      <c r="H29" s="42"/>
      <c r="I29" s="58">
        <f>SUM(I4:I28)</f>
        <v>48039.453836500012</v>
      </c>
      <c r="J29" s="4"/>
      <c r="K29" s="42"/>
      <c r="L29" s="58">
        <f>SUM(L4:L28)</f>
        <v>1794.6016666666665</v>
      </c>
      <c r="M29" s="42"/>
      <c r="N29" s="58">
        <f>SUM(N4:N28)</f>
        <v>1866.4766666666662</v>
      </c>
      <c r="O29" s="58">
        <f>SUM(O4:O28)</f>
        <v>1300.3066666666666</v>
      </c>
      <c r="P29" s="4"/>
      <c r="Q29" s="50" t="s">
        <v>78</v>
      </c>
      <c r="R29" s="48" t="s">
        <v>79</v>
      </c>
      <c r="S29">
        <f>IF(Tools!$L$49="Use 141 rule only",I53,IF(Tools!$L$49="Use 141 and 1331 rules",BG30," "))</f>
        <v>2</v>
      </c>
      <c r="W29" s="56"/>
      <c r="X29" s="56"/>
      <c r="Y29" s="56"/>
      <c r="Z29" s="56"/>
      <c r="AA29" s="56"/>
      <c r="AB29" s="56"/>
      <c r="AC29" s="56"/>
      <c r="AD29" s="56"/>
      <c r="AE29" s="56"/>
      <c r="AF29" s="56"/>
      <c r="AG29" s="56"/>
      <c r="AH29" s="56"/>
      <c r="AI29" s="56"/>
      <c r="AJ29" s="56"/>
      <c r="AK29" s="56"/>
      <c r="AL29" s="56"/>
      <c r="AM29" s="56"/>
      <c r="AN29" s="56"/>
      <c r="AO29" s="56" t="s">
        <v>77</v>
      </c>
      <c r="AP29" s="56"/>
      <c r="AQ29" s="59"/>
      <c r="AR29" s="57">
        <f ca="1">SUM(AR4:AR28)</f>
        <v>163.0083333333333</v>
      </c>
      <c r="AS29" s="42"/>
      <c r="AT29" s="58">
        <f ca="1">SUM(AT4:AT28)</f>
        <v>108.15333333333334</v>
      </c>
      <c r="AU29" s="58">
        <f ca="1">SUM(AU4:AU28)</f>
        <v>3454.2133333333336</v>
      </c>
      <c r="AV29" s="42"/>
      <c r="AW29" s="58">
        <f ca="1">SUM(AW4:AW28)</f>
        <v>16013.151278833333</v>
      </c>
      <c r="AY29" s="42"/>
      <c r="AZ29" s="58">
        <f ca="1">SUM(AZ4:AZ28)</f>
        <v>598.20055555555541</v>
      </c>
      <c r="BA29" s="42"/>
      <c r="BB29" s="58">
        <f ca="1">SUM(BB4:BB28)</f>
        <v>622.15888888888878</v>
      </c>
      <c r="BC29" s="58">
        <f ca="1">SUM(BC4:BC28)</f>
        <v>433.43555555555542</v>
      </c>
      <c r="BE29" s="50" t="s">
        <v>75</v>
      </c>
      <c r="BF29" s="55" t="s">
        <v>76</v>
      </c>
      <c r="BG29" s="49">
        <f ca="1">IF(WL_No="  ","  ",M_Disp*BML/100/BG8)</f>
        <v>186.37543794912199</v>
      </c>
    </row>
    <row r="30" spans="1:59" x14ac:dyDescent="0.25">
      <c r="A30" s="15"/>
      <c r="B30" s="4"/>
      <c r="C30" s="4"/>
      <c r="D30" s="42"/>
      <c r="E30" s="4"/>
      <c r="F30" s="4"/>
      <c r="G30" s="4"/>
      <c r="H30" s="4"/>
      <c r="I30" s="4"/>
      <c r="J30" s="4"/>
      <c r="K30" s="4"/>
      <c r="L30" s="4"/>
      <c r="M30" s="4"/>
      <c r="N30" s="4"/>
      <c r="O30" s="4"/>
      <c r="P30" s="4"/>
      <c r="Q30" s="50" t="s">
        <v>80</v>
      </c>
      <c r="R30" s="48" t="s">
        <v>81</v>
      </c>
      <c r="S30">
        <f>IF(Tools!$L$49="Use 141 rule only",I54,IF(Tools!$L$49="Use 141 and 1331 rules",BG31," "))</f>
        <v>0.74094696969696972</v>
      </c>
      <c r="AA30" s="60"/>
      <c r="AB30" s="60"/>
      <c r="BE30" s="50" t="s">
        <v>78</v>
      </c>
      <c r="BF30" s="48" t="s">
        <v>79</v>
      </c>
      <c r="BG30" s="49">
        <f>IF(WL_No="  ","  ",WLS*WL_No)</f>
        <v>2</v>
      </c>
    </row>
    <row r="31" spans="1:59" x14ac:dyDescent="0.25">
      <c r="A31" s="15"/>
      <c r="B31" s="4"/>
      <c r="C31" s="4"/>
      <c r="D31" s="4"/>
      <c r="E31" s="4"/>
      <c r="F31" s="4"/>
      <c r="G31" s="4"/>
      <c r="H31" s="4"/>
      <c r="I31" s="4"/>
      <c r="J31" s="4"/>
      <c r="K31" s="4"/>
      <c r="L31" s="4"/>
      <c r="M31" s="4"/>
      <c r="N31" s="4"/>
      <c r="O31" s="4"/>
      <c r="P31" s="4"/>
      <c r="Q31" s="50" t="s">
        <v>82</v>
      </c>
      <c r="R31" s="48" t="s">
        <v>83</v>
      </c>
      <c r="S31">
        <f>IF(Tools!$L$49="Use 141 rule only",I55,IF(Tools!$L$49="Use 141 and 1331 rules",BG32," "))</f>
        <v>0.67977335858585852</v>
      </c>
      <c r="AF31" s="61" t="s">
        <v>84</v>
      </c>
      <c r="AG31" s="62">
        <f ca="1">COUNTIF(OFFSET(AQ4,,,ROUNDUP(Max_STN_count/2,0),1),"")</f>
        <v>0</v>
      </c>
      <c r="AH31" s="63">
        <f ca="1">HLOOKUP(Stn_WL,AREA_TABLE,AG31+2,FALSE)</f>
        <v>0</v>
      </c>
      <c r="AI31" s="63">
        <f ca="1">IF(AH31&gt;Long_Div/2,Long_Div/2,AH31)</f>
        <v>0</v>
      </c>
      <c r="AJ31" s="63">
        <f ca="1">AI31*STN_GAP</f>
        <v>0</v>
      </c>
      <c r="BE31" s="50" t="s">
        <v>80</v>
      </c>
      <c r="BF31" s="48" t="s">
        <v>81</v>
      </c>
      <c r="BG31" s="49">
        <f ca="1">IF(WL_No="  ","  ",AWP/(BG8*B_current))</f>
        <v>0.74094696969696972</v>
      </c>
    </row>
    <row r="32" spans="1:59" x14ac:dyDescent="0.25">
      <c r="A32" s="15"/>
      <c r="B32" s="4"/>
      <c r="C32" s="4"/>
      <c r="D32" s="4"/>
      <c r="E32" s="4"/>
      <c r="F32" s="4"/>
      <c r="G32" s="4"/>
      <c r="H32" s="4"/>
      <c r="I32" s="4"/>
      <c r="J32" s="64"/>
      <c r="K32" s="4"/>
      <c r="L32" s="4"/>
      <c r="M32" s="4"/>
      <c r="N32" s="4"/>
      <c r="O32" s="4"/>
      <c r="P32" s="4"/>
      <c r="Q32" s="50" t="s">
        <v>85</v>
      </c>
      <c r="R32" s="48" t="s">
        <v>86</v>
      </c>
      <c r="S32">
        <f>IF(Tools!$L$49="Use 141 rule only",I56,IF(Tools!$L$49="Use 141 and 1331 rules",BG33," "))</f>
        <v>0.96757575757575753</v>
      </c>
      <c r="AF32" s="61" t="s">
        <v>87</v>
      </c>
      <c r="AG32" s="62">
        <f ca="1">COUNTIF(OFFSET(AQ4,ROUNDUP(Max_STN_count/2,0),,ROUNDDOWN(Max_STN_count/2,0),1),"")</f>
        <v>0</v>
      </c>
      <c r="AH32" s="63">
        <f ca="1">HLOOKUP(Stn_WL,AREA_TABLE,AG32+2,FALSE)</f>
        <v>0</v>
      </c>
      <c r="AI32" s="63">
        <f ca="1">IF(AH32&gt;Long_Div/2,Long_Div/2,AH32)</f>
        <v>0</v>
      </c>
      <c r="AJ32" s="63">
        <f ca="1">AI32*STN_GAP</f>
        <v>0</v>
      </c>
      <c r="BE32" s="50" t="s">
        <v>82</v>
      </c>
      <c r="BF32" s="48" t="s">
        <v>83</v>
      </c>
      <c r="BG32" s="49">
        <f ca="1">IF(WL_No="  ","  ",V_Disp/(BG8*B_current*T))</f>
        <v>0.67977335858585852</v>
      </c>
    </row>
    <row r="33" spans="1:59" x14ac:dyDescent="0.25">
      <c r="A33" s="15"/>
      <c r="B33" s="4"/>
      <c r="C33" s="4"/>
      <c r="D33" s="4"/>
      <c r="E33" s="4"/>
      <c r="F33" s="4"/>
      <c r="G33" s="43" t="s">
        <v>31</v>
      </c>
      <c r="H33" s="44" t="s">
        <v>32</v>
      </c>
      <c r="I33" s="489" t="s">
        <v>33</v>
      </c>
      <c r="J33" s="4"/>
      <c r="K33" s="4"/>
      <c r="L33" s="4"/>
      <c r="M33" s="4"/>
      <c r="N33" s="4"/>
      <c r="O33" s="4"/>
      <c r="P33" s="4"/>
      <c r="Q33" s="50" t="s">
        <v>88</v>
      </c>
      <c r="R33" s="48" t="s">
        <v>89</v>
      </c>
      <c r="S33">
        <f>IF(Tools!$L$49="Use 141 rule only",I57,IF(Tools!$L$49="Use 141 and 1331 rules",BG34," "))</f>
        <v>0.70255311097191775</v>
      </c>
      <c r="AF33" s="63"/>
      <c r="AG33" s="63"/>
      <c r="AH33" s="63">
        <f ca="1">Long_Div-AH32</f>
        <v>20</v>
      </c>
      <c r="AI33" s="63"/>
      <c r="AJ33" s="63">
        <f ca="1">AJ32+AJ31</f>
        <v>0</v>
      </c>
      <c r="BE33" s="50" t="s">
        <v>85</v>
      </c>
      <c r="BF33" s="48" t="s">
        <v>86</v>
      </c>
      <c r="BG33" s="65">
        <f>IFERROR(IF(WL_No="  ","  ",(VLOOKUP(Long_Div/2,AREA_TABLE,Count_WL+1,FALSE))/(B_current*T)),"-")</f>
        <v>0.96757575757575753</v>
      </c>
    </row>
    <row r="34" spans="1:59" x14ac:dyDescent="0.25">
      <c r="G34" s="45"/>
      <c r="H34" s="46"/>
      <c r="I34" s="490"/>
      <c r="BE34" s="50" t="s">
        <v>88</v>
      </c>
      <c r="BF34" s="48" t="s">
        <v>89</v>
      </c>
      <c r="BG34" s="49">
        <f>IF(WL_No="  ","  ",CB/CM)</f>
        <v>0.70255311097191775</v>
      </c>
    </row>
    <row r="35" spans="1:59" x14ac:dyDescent="0.25">
      <c r="G35" s="47" t="s">
        <v>34</v>
      </c>
      <c r="H35" s="48" t="s">
        <v>35</v>
      </c>
      <c r="I35" s="49">
        <f>IF(WL_No="  ","  ",2/3*h*$D$29)</f>
        <v>2383.1818333333331</v>
      </c>
    </row>
    <row r="36" spans="1:59" x14ac:dyDescent="0.25">
      <c r="G36" s="47" t="s">
        <v>36</v>
      </c>
      <c r="H36" s="48" t="s">
        <v>37</v>
      </c>
      <c r="I36" s="49">
        <f>IF(WL_No="  ","  ",2/3*(h^2)*$F$29)</f>
        <v>11558.584670666662</v>
      </c>
    </row>
    <row r="37" spans="1:59" x14ac:dyDescent="0.25">
      <c r="G37" s="50" t="s">
        <v>39</v>
      </c>
      <c r="H37" s="48" t="s">
        <v>40</v>
      </c>
      <c r="I37" s="49">
        <f>IF(WL_No="  ","  ",Mmid/AWP)</f>
        <v>4.8500641071519848</v>
      </c>
    </row>
    <row r="38" spans="1:59" x14ac:dyDescent="0.25">
      <c r="G38" s="50" t="s">
        <v>42</v>
      </c>
      <c r="H38" s="48" t="s">
        <v>43</v>
      </c>
      <c r="I38" s="49">
        <f>IF(WL_No="  ","  ",2/3*(h^3)*$G$29)</f>
        <v>2698555.0546614928</v>
      </c>
    </row>
    <row r="39" spans="1:59" x14ac:dyDescent="0.25">
      <c r="G39" s="51" t="s">
        <v>44</v>
      </c>
      <c r="H39" s="48" t="s">
        <v>45</v>
      </c>
      <c r="I39" s="49">
        <f>IF(WL_No="  ","  ",2/9*h*$I$29)</f>
        <v>78037.423898847788</v>
      </c>
    </row>
    <row r="40" spans="1:59" x14ac:dyDescent="0.25">
      <c r="G40" s="50" t="s">
        <v>47</v>
      </c>
      <c r="H40" s="48" t="s">
        <v>48</v>
      </c>
      <c r="I40" s="49">
        <f>IF(WL_No="  ","  ",IL-AWP*(LCF^2))</f>
        <v>2642495.1780208154</v>
      </c>
    </row>
    <row r="41" spans="1:59" x14ac:dyDescent="0.25">
      <c r="G41" s="50" t="s">
        <v>50</v>
      </c>
      <c r="H41" s="48" t="s">
        <v>51</v>
      </c>
      <c r="I41" s="49">
        <f>IF(WL_No="  ","  ",h/3*$L$29)</f>
        <v>4372.8460611111104</v>
      </c>
    </row>
    <row r="42" spans="1:59" x14ac:dyDescent="0.25">
      <c r="G42" s="50" t="s">
        <v>52</v>
      </c>
      <c r="H42" s="48" t="s">
        <v>53</v>
      </c>
      <c r="I42" s="49">
        <f>IF(WL_No="  ","  ",V_Disp*1.025*1.006)</f>
        <v>4509.0602159147211</v>
      </c>
    </row>
    <row r="43" spans="1:59" x14ac:dyDescent="0.25">
      <c r="G43" s="50" t="s">
        <v>55</v>
      </c>
      <c r="H43" s="48" t="s">
        <v>56</v>
      </c>
      <c r="I43" s="49">
        <f>IF(WL_No="  ","  ",h/3*$N$29)</f>
        <v>4547.9814777777765</v>
      </c>
    </row>
    <row r="44" spans="1:59" x14ac:dyDescent="0.25">
      <c r="G44" s="50" t="s">
        <v>57</v>
      </c>
      <c r="H44" s="48" t="s">
        <v>58</v>
      </c>
      <c r="I44" s="49">
        <f>IF(WL_No="  ","  ",(h^2)/3*$O$29)</f>
        <v>23161.105690222219</v>
      </c>
    </row>
    <row r="45" spans="1:59" x14ac:dyDescent="0.25">
      <c r="G45" s="50" t="s">
        <v>60</v>
      </c>
      <c r="H45" s="48" t="s">
        <v>61</v>
      </c>
      <c r="I45" s="49">
        <f>IF(WL_No="  ","  ",IF/V_Disp)</f>
        <v>604.29641041362777</v>
      </c>
    </row>
    <row r="46" spans="1:59" x14ac:dyDescent="0.25">
      <c r="G46" s="50" t="s">
        <v>63</v>
      </c>
      <c r="H46" s="48" t="s">
        <v>64</v>
      </c>
      <c r="I46" s="49">
        <f>IF(WL_No="  ","  ",IT/V_Disp)</f>
        <v>17.845911520383822</v>
      </c>
    </row>
    <row r="47" spans="1:59" x14ac:dyDescent="0.25">
      <c r="G47" s="50" t="s">
        <v>65</v>
      </c>
      <c r="H47" s="48" t="s">
        <v>66</v>
      </c>
      <c r="I47" s="49">
        <f>IF(WL_No="  ","  ",MT/V_Disp)</f>
        <v>1.0400506704830503</v>
      </c>
    </row>
    <row r="48" spans="1:59" x14ac:dyDescent="0.25">
      <c r="G48" s="50" t="s">
        <v>67</v>
      </c>
      <c r="H48" s="48" t="s">
        <v>68</v>
      </c>
      <c r="I48" s="49">
        <f>IF(WL_No="  ","  ",KB+BMT)</f>
        <v>18.885962190866874</v>
      </c>
    </row>
    <row r="49" spans="7:9" x14ac:dyDescent="0.25">
      <c r="G49" s="50" t="s">
        <v>69</v>
      </c>
      <c r="H49" s="48" t="s">
        <v>70</v>
      </c>
      <c r="I49" s="49">
        <f>IF(WL_No="  ","  ",KB+BML)</f>
        <v>605.33646108411085</v>
      </c>
    </row>
    <row r="50" spans="7:9" x14ac:dyDescent="0.25">
      <c r="G50" s="50" t="s">
        <v>71</v>
      </c>
      <c r="H50" s="48" t="s">
        <v>72</v>
      </c>
      <c r="I50" s="49">
        <f>IF(WL_No="  ","  ",AWP*1.025/100)</f>
        <v>24.427613791666662</v>
      </c>
    </row>
    <row r="51" spans="7:9" x14ac:dyDescent="0.25">
      <c r="G51" s="50" t="s">
        <v>73</v>
      </c>
      <c r="H51" s="48" t="s">
        <v>74</v>
      </c>
      <c r="I51" s="49">
        <f>IF(WL_No="  ","  ",ML/V_Disp)</f>
        <v>5.2965746716309381</v>
      </c>
    </row>
    <row r="52" spans="7:9" x14ac:dyDescent="0.25">
      <c r="G52" s="50" t="s">
        <v>75</v>
      </c>
      <c r="H52" s="55" t="s">
        <v>76</v>
      </c>
      <c r="I52" s="49">
        <f>IF(WL_No="  ","  ",M_Disp*BML/100/LBP)</f>
        <v>186.37543794912199</v>
      </c>
    </row>
    <row r="53" spans="7:9" x14ac:dyDescent="0.25">
      <c r="G53" s="50" t="s">
        <v>78</v>
      </c>
      <c r="H53" s="48" t="s">
        <v>79</v>
      </c>
      <c r="I53" s="49">
        <f>IF(WL_No="  ","  ",WLS*WL_No)</f>
        <v>2</v>
      </c>
    </row>
    <row r="54" spans="7:9" x14ac:dyDescent="0.25">
      <c r="G54" s="50" t="s">
        <v>80</v>
      </c>
      <c r="H54" s="48" t="s">
        <v>81</v>
      </c>
      <c r="I54" s="49">
        <f>IF(WL_No="  ","  ",AWP/(LBP*B_current))</f>
        <v>0.74094696969696972</v>
      </c>
    </row>
    <row r="55" spans="7:9" x14ac:dyDescent="0.25">
      <c r="G55" s="50" t="s">
        <v>82</v>
      </c>
      <c r="H55" s="48" t="s">
        <v>83</v>
      </c>
      <c r="I55" s="49">
        <f>IF(WL_No="  ","  ",V_Disp/(LBP*B_current*T))</f>
        <v>0.67977335858585852</v>
      </c>
    </row>
    <row r="56" spans="7:9" x14ac:dyDescent="0.25">
      <c r="G56" s="50" t="s">
        <v>85</v>
      </c>
      <c r="H56" s="48" t="s">
        <v>86</v>
      </c>
      <c r="I56" s="65">
        <f>IF(WL_No="  ","  ",(VLOOKUP(Long_Div/2,AREA_TABLE,Count_WL+1,FALSE))/(B_current*T))</f>
        <v>0.96757575757575753</v>
      </c>
    </row>
    <row r="57" spans="7:9" x14ac:dyDescent="0.25">
      <c r="G57" s="50" t="s">
        <v>88</v>
      </c>
      <c r="H57" s="48" t="s">
        <v>89</v>
      </c>
      <c r="I57" s="49">
        <f>IF(WL_No="  ","  ",CB/CM)</f>
        <v>0.70255311097191775</v>
      </c>
    </row>
  </sheetData>
  <mergeCells count="7">
    <mergeCell ref="BG10:BG11"/>
    <mergeCell ref="I33:I34"/>
    <mergeCell ref="A2:I2"/>
    <mergeCell ref="K2:O2"/>
    <mergeCell ref="AO2:AW2"/>
    <mergeCell ref="AY2:BC2"/>
    <mergeCell ref="S9:S10"/>
  </mergeCells>
  <conditionalFormatting sqref="CB4:XFD30 BW4:BW28 BS4:BT28 W29:AX29 A33:F57 J33:R33 A11:R32 A2:T10 V2:AO2 AX2 BP29:BW29 A63:XFD1048576 T12:T37 U35:XFD37 BD2:BD29 BM31:XFD33 BM30:BW30 BH29:BI33 BH2:XFD3 U30:BD30 AR31:BD31 W3:AM28 A58:BD62 BH38:XFD62 J34:S37 BH34:XFD34 A1:AN1 AV1:XFD1 AO31:AP31 U33:BD34 AM31 U31:AG32 AK32:BD32 J43:BD57 J42:M42 O42:BD42 J38:BD41 AO3:AX26 AO27:AO28 AQ27:AX28">
    <cfRule type="containsErrors" dxfId="185" priority="14">
      <formula>ISERROR(A1)</formula>
    </cfRule>
  </conditionalFormatting>
  <conditionalFormatting sqref="G33:I34 G35:H57">
    <cfRule type="containsErrors" dxfId="184" priority="13">
      <formula>ISERROR(G33)</formula>
    </cfRule>
  </conditionalFormatting>
  <conditionalFormatting sqref="T12:T33">
    <cfRule type="containsErrors" dxfId="183" priority="12">
      <formula>ISERROR(T12)</formula>
    </cfRule>
  </conditionalFormatting>
  <conditionalFormatting sqref="I35:I57">
    <cfRule type="containsErrors" dxfId="182" priority="11">
      <formula>ISERROR(I35)</formula>
    </cfRule>
  </conditionalFormatting>
  <conditionalFormatting sqref="AY2:BC29">
    <cfRule type="containsErrors" dxfId="181" priority="8">
      <formula>ISERROR(AY2)</formula>
    </cfRule>
  </conditionalFormatting>
  <conditionalFormatting sqref="BE10:BG11 BE12:BF34">
    <cfRule type="containsErrors" dxfId="180" priority="10">
      <formula>ISERROR(BE10)</formula>
    </cfRule>
  </conditionalFormatting>
  <conditionalFormatting sqref="BG12:BG28 BG34">
    <cfRule type="containsErrors" dxfId="179" priority="9">
      <formula>ISERROR(BG12)</formula>
    </cfRule>
  </conditionalFormatting>
  <conditionalFormatting sqref="BE2:BG6">
    <cfRule type="containsErrors" dxfId="178" priority="7">
      <formula>ISERROR(BE2)</formula>
    </cfRule>
  </conditionalFormatting>
  <conditionalFormatting sqref="BF7:BG8">
    <cfRule type="containsErrors" dxfId="177" priority="5">
      <formula>ISERROR(BF7)</formula>
    </cfRule>
  </conditionalFormatting>
  <conditionalFormatting sqref="BE7:BE8">
    <cfRule type="containsErrors" dxfId="176" priority="6">
      <formula>ISERROR(BE7)</formula>
    </cfRule>
  </conditionalFormatting>
  <conditionalFormatting sqref="S30:S33">
    <cfRule type="containsErrors" dxfId="175" priority="4">
      <formula>ISERROR(S30)</formula>
    </cfRule>
  </conditionalFormatting>
  <conditionalFormatting sqref="AP27:AP28">
    <cfRule type="containsErrors" dxfId="174" priority="3">
      <formula>ISERROR(AP27)</formula>
    </cfRule>
  </conditionalFormatting>
  <conditionalFormatting sqref="BG29:BG32">
    <cfRule type="containsErrors" dxfId="173" priority="2">
      <formula>ISERROR(BG29)</formula>
    </cfRule>
  </conditionalFormatting>
  <conditionalFormatting sqref="BG33">
    <cfRule type="containsErrors" dxfId="172" priority="1">
      <formula>ISERROR(BG33)</formula>
    </cfRule>
  </conditionalFormatting>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tabColor theme="4" tint="0.79998168889431442"/>
  </sheetPr>
  <dimension ref="A1:BH57"/>
  <sheetViews>
    <sheetView topLeftCell="AG1" zoomScale="55" zoomScaleNormal="55" workbookViewId="0">
      <pane ySplit="1" topLeftCell="A29" activePane="bottomLeft" state="frozen"/>
      <selection activeCell="AG8" sqref="AG8:AG10"/>
      <selection pane="bottomLeft" activeCell="AG8" sqref="AG8:AG10"/>
    </sheetView>
  </sheetViews>
  <sheetFormatPr defaultRowHeight="15" x14ac:dyDescent="0.25"/>
  <cols>
    <col min="1" max="1" width="8.28515625" customWidth="1"/>
    <col min="2" max="2" width="7.28515625" customWidth="1"/>
    <col min="4" max="4" width="6.5703125" customWidth="1"/>
    <col min="7" max="7" width="24" customWidth="1"/>
    <col min="8" max="8" width="30.5703125" customWidth="1"/>
    <col min="9" max="9" width="26.5703125" customWidth="1"/>
    <col min="10" max="10" width="10.5703125" bestFit="1" customWidth="1"/>
    <col min="11" max="11" width="9.140625" customWidth="1"/>
    <col min="13" max="13" width="7.85546875" customWidth="1"/>
    <col min="17" max="17" width="19.5703125" customWidth="1"/>
    <col min="18" max="18" width="11.85546875" customWidth="1"/>
    <col min="19" max="19" width="16.5703125" customWidth="1"/>
    <col min="20" max="20" width="14.140625" customWidth="1"/>
    <col min="35" max="35" width="14" customWidth="1"/>
    <col min="36" max="37" width="12" customWidth="1"/>
    <col min="39" max="39" width="19" customWidth="1"/>
    <col min="43" max="43" width="18" style="7" customWidth="1"/>
    <col min="49" max="49" width="11.28515625" customWidth="1"/>
    <col min="52" max="52" width="12" customWidth="1"/>
    <col min="54" max="54" width="10.7109375" bestFit="1" customWidth="1"/>
    <col min="56" max="56" width="4.5703125" customWidth="1"/>
    <col min="57" max="57" width="21.28515625" customWidth="1"/>
    <col min="58" max="58" width="15.42578125" customWidth="1"/>
    <col min="59" max="59" width="19.28515625" customWidth="1"/>
    <col min="61" max="61" width="5.7109375" customWidth="1"/>
    <col min="62" max="62" width="13" customWidth="1"/>
    <col min="63" max="63" width="17.42578125" customWidth="1"/>
  </cols>
  <sheetData>
    <row r="1" spans="1:60" x14ac:dyDescent="0.25">
      <c r="A1" s="1" t="s">
        <v>0</v>
      </c>
      <c r="B1" s="2">
        <f>VLOOKUP(Stn_WL,OFFSET_A,Count_WL+1,FALSE)</f>
        <v>0.75</v>
      </c>
      <c r="C1" s="3"/>
      <c r="D1" s="4"/>
      <c r="E1" s="4" t="s">
        <v>1</v>
      </c>
      <c r="F1" s="5">
        <v>4</v>
      </c>
      <c r="G1" s="4"/>
      <c r="H1" s="4"/>
      <c r="I1" s="4"/>
      <c r="J1" s="4"/>
      <c r="K1" s="4"/>
      <c r="L1" s="4"/>
      <c r="M1" s="4"/>
      <c r="N1" s="4"/>
      <c r="O1" s="4"/>
      <c r="P1" s="4"/>
      <c r="Q1" s="4"/>
      <c r="R1" s="4"/>
      <c r="S1" s="4"/>
      <c r="V1" t="s">
        <v>2</v>
      </c>
      <c r="W1">
        <f ca="1">COUNTIF(OFFSET(Z4,,,ROUNDDOWN(Max_STN_count/2+1,0),1),TRUE)</f>
        <v>5</v>
      </c>
      <c r="X1">
        <f ca="1">COUNTIF(OFFSET(AA4,,,ROUNDDOWN(Max_STN_count/2+1,0),1),TRUE)</f>
        <v>5</v>
      </c>
      <c r="Y1">
        <f ca="1">W1-X1</f>
        <v>0</v>
      </c>
      <c r="AB1" s="6" t="s">
        <v>3</v>
      </c>
      <c r="AC1">
        <f ca="1">COUNTIF(OFFSET(Z4,ROUNDUP(Max_STN_count/2,0),,ROUNDDOWN(Max_STN_count/2,0),1),TRUE)</f>
        <v>5</v>
      </c>
      <c r="AD1">
        <f ca="1">COUNTIF(OFFSET(AA4,ROUNDUP(Max_STN_count/2,0),,ROUNDDOWN(Max_STN_count/2,0),1),TRUE)</f>
        <v>5</v>
      </c>
      <c r="AE1">
        <f ca="1">AC1-AD1</f>
        <v>0</v>
      </c>
      <c r="AG1" t="s">
        <v>4</v>
      </c>
      <c r="AH1">
        <f>COUNTIF(AG4:AG28,TRUE)</f>
        <v>17</v>
      </c>
      <c r="AI1">
        <f ca="1">COUNTIF(OFFSET(AG4,,,ROUNDUP(Max_STN_count/2,0),1),FALSE)</f>
        <v>4</v>
      </c>
      <c r="AW1">
        <f ca="1">COUNTIF(OFFSET(AG4,,,Max_STN_count,1),TRUE)</f>
        <v>17</v>
      </c>
    </row>
    <row r="2" spans="1:60" x14ac:dyDescent="0.25">
      <c r="A2" s="491" t="s">
        <v>5</v>
      </c>
      <c r="B2" s="492"/>
      <c r="C2" s="492"/>
      <c r="D2" s="492"/>
      <c r="E2" s="492"/>
      <c r="F2" s="492"/>
      <c r="G2" s="492"/>
      <c r="H2" s="492"/>
      <c r="I2" s="493"/>
      <c r="J2" s="4"/>
      <c r="K2" s="491" t="s">
        <v>6</v>
      </c>
      <c r="L2" s="492"/>
      <c r="M2" s="492"/>
      <c r="N2" s="492"/>
      <c r="O2" s="493"/>
      <c r="P2" s="4"/>
      <c r="Q2" s="8" t="s">
        <v>7</v>
      </c>
      <c r="R2" s="9" t="s">
        <v>8</v>
      </c>
      <c r="S2" s="10">
        <f>WLS</f>
        <v>2</v>
      </c>
      <c r="V2" s="11"/>
      <c r="W2" s="11"/>
      <c r="X2" s="11"/>
      <c r="Y2" s="11"/>
      <c r="Z2" s="11"/>
      <c r="AA2" s="11"/>
      <c r="AB2" s="11"/>
      <c r="AC2" s="11"/>
      <c r="AD2" s="11"/>
      <c r="AE2" s="11"/>
      <c r="AF2" s="11"/>
      <c r="AG2" s="11"/>
      <c r="AH2" s="11"/>
      <c r="AI2" s="11"/>
      <c r="AJ2" s="11"/>
      <c r="AK2" s="11"/>
      <c r="AL2" s="11"/>
      <c r="AM2" s="11"/>
      <c r="AN2" s="11"/>
      <c r="AO2" s="491" t="s">
        <v>5</v>
      </c>
      <c r="AP2" s="492"/>
      <c r="AQ2" s="492"/>
      <c r="AR2" s="492"/>
      <c r="AS2" s="492"/>
      <c r="AT2" s="492"/>
      <c r="AU2" s="492"/>
      <c r="AV2" s="492"/>
      <c r="AW2" s="493"/>
      <c r="AY2" s="491" t="s">
        <v>6</v>
      </c>
      <c r="AZ2" s="492"/>
      <c r="BA2" s="492"/>
      <c r="BB2" s="492"/>
      <c r="BC2" s="493"/>
      <c r="BE2" s="8" t="s">
        <v>7</v>
      </c>
      <c r="BF2" s="9" t="s">
        <v>8</v>
      </c>
      <c r="BG2" s="10">
        <f>WLS</f>
        <v>2</v>
      </c>
    </row>
    <row r="3" spans="1:60" x14ac:dyDescent="0.25">
      <c r="A3" s="12" t="s">
        <v>9</v>
      </c>
      <c r="B3" s="13" t="s">
        <v>10</v>
      </c>
      <c r="C3" s="14" t="s">
        <v>11</v>
      </c>
      <c r="D3" s="14" t="s">
        <v>12</v>
      </c>
      <c r="E3" s="14" t="s">
        <v>13</v>
      </c>
      <c r="F3" s="14" t="s">
        <v>14</v>
      </c>
      <c r="G3" s="14" t="s">
        <v>15</v>
      </c>
      <c r="H3" s="14" t="s">
        <v>16</v>
      </c>
      <c r="I3" s="14" t="s">
        <v>17</v>
      </c>
      <c r="J3" s="15"/>
      <c r="K3" s="14" t="s">
        <v>18</v>
      </c>
      <c r="L3" s="14" t="s">
        <v>19</v>
      </c>
      <c r="M3" s="14" t="s">
        <v>20</v>
      </c>
      <c r="N3" s="14" t="s">
        <v>21</v>
      </c>
      <c r="O3" s="14" t="s">
        <v>22</v>
      </c>
      <c r="P3" s="15"/>
      <c r="Q3" s="16" t="s">
        <v>23</v>
      </c>
      <c r="R3" s="9" t="s">
        <v>8</v>
      </c>
      <c r="S3" s="10">
        <f>STN_GAP</f>
        <v>7.31</v>
      </c>
      <c r="W3" s="17" t="s">
        <v>11</v>
      </c>
      <c r="X3" s="17"/>
      <c r="Y3" s="17"/>
      <c r="Z3" s="17" t="s">
        <v>24</v>
      </c>
      <c r="AA3" s="17"/>
      <c r="AB3" s="17"/>
      <c r="AC3" s="17"/>
      <c r="AD3" s="17"/>
      <c r="AE3" s="17"/>
      <c r="AF3" s="17"/>
      <c r="AG3" s="17" t="s">
        <v>4</v>
      </c>
      <c r="AH3" s="17"/>
      <c r="AI3" s="17" t="s">
        <v>25</v>
      </c>
      <c r="AJ3" s="17"/>
      <c r="AK3" s="17"/>
      <c r="AL3" s="17"/>
      <c r="AM3" s="18" t="s">
        <v>11</v>
      </c>
      <c r="AO3" s="12" t="s">
        <v>9</v>
      </c>
      <c r="AP3" s="13" t="s">
        <v>10</v>
      </c>
      <c r="AQ3" s="19"/>
      <c r="AR3" s="14" t="s">
        <v>12</v>
      </c>
      <c r="AS3" s="14" t="s">
        <v>13</v>
      </c>
      <c r="AT3" s="14" t="s">
        <v>14</v>
      </c>
      <c r="AU3" s="14" t="s">
        <v>15</v>
      </c>
      <c r="AV3" s="14" t="s">
        <v>16</v>
      </c>
      <c r="AW3" s="14" t="s">
        <v>17</v>
      </c>
      <c r="AY3" s="14" t="s">
        <v>18</v>
      </c>
      <c r="AZ3" s="14" t="s">
        <v>19</v>
      </c>
      <c r="BA3" s="14" t="s">
        <v>20</v>
      </c>
      <c r="BB3" s="14" t="s">
        <v>21</v>
      </c>
      <c r="BC3" s="14" t="s">
        <v>22</v>
      </c>
      <c r="BE3" s="16" t="s">
        <v>23</v>
      </c>
      <c r="BF3" s="9" t="s">
        <v>8</v>
      </c>
      <c r="BG3" s="10">
        <f>STN_GAP</f>
        <v>7.31</v>
      </c>
    </row>
    <row r="4" spans="1:60" x14ac:dyDescent="0.25">
      <c r="A4" s="20">
        <f>Tools!$AD3</f>
        <v>0</v>
      </c>
      <c r="B4" s="21">
        <f t="shared" ref="B4:B28" si="0">VLOOKUP(A4,OFFSET_A,Count_WL+1,FALSE)</f>
        <v>0</v>
      </c>
      <c r="C4" s="22">
        <f>IF(A4="  ","  ",IF(A5="  ","?",1*(A5-A4)))</f>
        <v>0.5</v>
      </c>
      <c r="D4" s="23">
        <f>IFERROR(B4*C4,"  ")</f>
        <v>0</v>
      </c>
      <c r="E4" s="24">
        <f t="shared" ref="E4:E28" si="1">IFERROR(A4-(Long_Div/2),"  ")</f>
        <v>-10</v>
      </c>
      <c r="F4" s="23">
        <f>IFERROR(D4*E4,"  ")</f>
        <v>0</v>
      </c>
      <c r="G4" s="23">
        <f>IFERROR(F4*E4,"  ")</f>
        <v>0</v>
      </c>
      <c r="H4" s="23">
        <f>IFERROR(B4^3,"  ")</f>
        <v>0</v>
      </c>
      <c r="I4" s="23">
        <f>IFERROR(H4*C4,"  ")</f>
        <v>0</v>
      </c>
      <c r="J4" s="4"/>
      <c r="K4" s="25">
        <f t="shared" ref="K4:K28" si="2">VLOOKUP(A4,AREA_TABLE,Count_WL+1,FALSE)</f>
        <v>0</v>
      </c>
      <c r="L4" s="23">
        <f>IFERROR(K4*C4,"  ")</f>
        <v>0</v>
      </c>
      <c r="M4" s="26">
        <f t="shared" ref="M4:M28" si="3">VLOOKUP(A4,MOMENT_TABLE,Count_WL+1,FALSE)</f>
        <v>0</v>
      </c>
      <c r="N4" s="27">
        <f>IFERROR(M4*C4,"  ")</f>
        <v>0</v>
      </c>
      <c r="O4" s="23">
        <f>IFERROR(L4*E4,"  ")</f>
        <v>0</v>
      </c>
      <c r="P4" s="4"/>
      <c r="Q4" s="16" t="s">
        <v>26</v>
      </c>
      <c r="R4" s="9" t="s">
        <v>8</v>
      </c>
      <c r="S4" s="28">
        <f>LBP</f>
        <v>146.19999999999999</v>
      </c>
      <c r="W4" s="29">
        <f>IF(AO4="  ","  ",IF(AO5="  ","?",1*(AO5-AO4)))</f>
        <v>0.5</v>
      </c>
      <c r="X4" s="30" t="str">
        <f t="shared" ref="X4:X28" si="4">IF(Y4=0,"--",CONCATENATE(IF(AO4=0,"-",IF(Y3=0,"-",IF(AO4-AO3=0.5,"D",IF(AO4-AO3=1,"W","-")))),IF(AO4=Long_Div,"-",IF(Y5=0,"-",IF(AO5-AO4=0.5,"D",IF(AO5-AO4=1,"W","-"))))))</f>
        <v>-D</v>
      </c>
      <c r="Y4" s="30" t="str">
        <f t="shared" ref="Y4:Y28" si="5">IF(ISNUMBER(AO4),IF(AO4=Long_Div/2,"-",IF(AND(AO4=Long_Div,$AP4=0,$AP3=0),0,IF(AND(AO4=0,$AP4=0,$AP5=0),0,IF($AO4&lt;Long_Div/2,IF(AND(Y3=0,$AP4=0,$AP5=0),0,"-"),IF(AND(Y5=0,$AP4=0,$AP3=0),0,"-")))))," ")</f>
        <v>-</v>
      </c>
      <c r="Z4" s="29" t="b">
        <f t="shared" ref="Z4:Z28" si="6">IF(ISNUMBER(AO4),IF(AO4=0,IF(AO5=0.5,TRUE,FALSE),IF(AO4=Long_Div,IF(AO3=Long_Div-0.5,TRUE,FALSE),IF(OR(AO5-AO4=0.5,AO4-AO3=0.5),TRUE,FALSE)))," ")</f>
        <v>1</v>
      </c>
      <c r="AA4" s="29" t="b">
        <f t="shared" ref="AA4:AA28" si="7">IF(ISNUMBER(AO4),IF(Y4=0," ",IF(AO4=0,IF(AO5=0.5,TRUE,"-"),IF(AO4=Long_Div,IF(AO3=Long_Div-0.5,TRUE,"-"),IF(OR(AO5-AO4=0.5,AO4-AO3=0.5),TRUE,FALSE))))," ")</f>
        <v>1</v>
      </c>
      <c r="AB4" s="29" t="str">
        <f t="shared" ref="AB4:AB28" ca="1" si="8">IF(AO4&lt;=Long_Div/2,IF(ISNUMBER(AO4),IF($X$1=0,"---",IF($X$1=1,"##",IF($X$1=2,IF(AD4=1,"141-4",IF(OR(AD4=0,AD4=2),"141-1","**")),IF(AC4&lt;=($Y$1),"--",IF(AC4&gt;$W$1,"++",IF(ISODD($X$1),IF(OR(AD4=1,AD4=$X$1),"141-1",IF(ISODD(AD4),"141-2",IF(ISEVEN(AD4),"141-4","+"))),IF(ISEVEN($X$1),IF(AD4=1,"1331-1",IF(OR(AD4=2,AD4=3),"1331-3",IF(AD4=4,IF($X$1=4,"1331-1","1331-1,141-1"),IF(AD4=$X$1,"141-1",IF(AD4&lt;=4,"??",IF(ISODD(AD4),"141-4",IF(ISEVEN(AD4),"141-2","SS"))))))))))))))," "),IF(AO4&gt;Long_Div/2,IF(ISNUMBER(AO4),IF($AD$1=0,"---",IF($AD$1=1,"##",IF($AD$1=2,IF(AD4=1,"141-4",IF(OR(AD4=0,AD4=2),"141-1","**")),IF(AC4&lt;=($AE$1),"--",IF(AC4&gt;$AC$1,"++",IF(ISODD($AD$1),IF(OR(AD4=1,AD4=$AD$1),"141-1",IF(ISODD(AD4),"141-2",IF(ISEVEN(AD4),"141-4","+"))),IF(ISEVEN($AD$1),IF(AD4=1,"1331-1",IF(OR(AD4=2,AD4=3),"1331-3",IF(AD4=4,IF($AD$1=4,"1331-1","1331-1,141-1"),IF(AD4=$AD$1,"141-1",IF(AD4&lt;=4,"??",IF(ISODD(AD4),"141-4",IF(ISEVEN(AD4),"141-2","SS"))))))))))))))," "),"@"))</f>
        <v>141-1</v>
      </c>
      <c r="AC4" s="29">
        <f>IF(ISNUMBER(AO4),IF(ISNUMBER(AO4),IF(OR(AO4=0,AO4=Long_Div),1,IF(AO4&gt;Long_Div/2,AC5+1,IF(AO4&lt;=Long_Div/2,AE3+1,"?")))," --")," ")</f>
        <v>1</v>
      </c>
      <c r="AD4" s="29">
        <f t="shared" ref="AD4:AD28" ca="1" si="9">IF(ISNUMBER(AO4),IF(AO4&gt;Long_Div/2,4-ROW(AD4)+Max_STN_count-$AE$1,ROW(AD4)-3-$Y$1)," ")</f>
        <v>1</v>
      </c>
      <c r="AE4" s="29">
        <v>1</v>
      </c>
      <c r="AF4" s="31" t="str">
        <f t="shared" ref="AF4:AF8" si="10">IF(AND(AG4=TRUE,OR(NOT(AG3=TRUE),AG3="Full")),1,IF(ISNUMBER(AF3),AF3+1," "))</f>
        <v xml:space="preserve"> </v>
      </c>
      <c r="AG4" s="29" t="b">
        <f t="shared" ref="AG4:AG28" si="11">IF(ISNUMBER(AO4),IF(AA4=" "," ",IF(AO4=0,IF(AO5-AO4=1,TRUE,FALSE),IF(AO4=Long_Div,IF(AO4-AO3=1,TRUE,FALSE),IF(OR(AO5-AO4=1,AO4-AO3=1),TRUE,FALSE))))," ")</f>
        <v>0</v>
      </c>
      <c r="AH4" s="30" t="str">
        <f t="shared" ref="AH4:AH13" si="12">IF(AND(AG4=TRUE,$AH$1=1),"141-4",IF(AG4=" ",IF(AND($AH$1=2,AF4=3),"141-1","-"),IF(OR(AG4=FALSE,AG4=" "),"-",IF(AG4=TRUE,IF(AND($AH$1=2,AF4=1),"141-1",IF(AND($AH$1=2,AF4=2),"141-4",IF(OR(ISODD($AH$1),AF4&gt;4),IF(AF4=1,"141-1",IF(OR(AB4="141-1",AB4="1331-1",AB4="1331-1,141-1"),"141-1",IF(AG5=" ","141-1",IF(OR(AH3="141-1",AH3="141-2",AH3="1331-1,141-1"),"141-4",IF(AH3="141-4","141-2","$$"))))),IF(ISEVEN($AH$1),IF(AF4=1,"1331-1",IF(OR(AF4=2,AF4=3),"1331-3",IF(AF4=4,IF($AH$1=4,"1331-1","1331-1,141-1"),"")))))))))))</f>
        <v>-</v>
      </c>
      <c r="AI4" s="30" t="str">
        <f t="shared" ref="AI4:AI28" ca="1" si="13">IF(OR(AB4="1331-1",AB4="1331-1,141-1"),"(1/2)*(3/8)",IF(AB4="1331-3","(1/2)*(9/8)",IF(AB4="141-1","(1/2)*(1/3)",IF(AB4="141-2","(1/2)*(2/3)",IF(AB4="141-4","(1/2)*(4/3)","")))))</f>
        <v>(1/2)*(1/3)</v>
      </c>
      <c r="AJ4" s="29">
        <f t="shared" ref="AJ4:AJ28" ca="1" si="14">IF(OR(AB4="1331-1",AB4="1331-1,141-1"),(1/2)*(3/8),IF(AB4="1331-3",(1/2)*(9/8),IF(AB4="141-1",(1/2)*(1/3),IF(AB4="141-2",(1/2)*(2/3),IF(AB4="141-4",(1/2)*(4/3),0)))))</f>
        <v>0.16666666666666666</v>
      </c>
      <c r="AK4" s="29" t="str">
        <f t="shared" ref="AK4:AK28" si="15">IF(AH4="1331-1,141-1","(1*3/8)+(1/3)",IF(LEFT(AH4,4)="141-",CONCATENATE(RIGHT(AH4,1),"/3"),IF(LEFT(AH4,4)="1331",CONCATENATE(RIGHT(AH4,1),"*3/8"),"")))</f>
        <v/>
      </c>
      <c r="AL4" s="29">
        <f t="shared" ref="AL4:AL28" si="16">IF(AH4="1331-1,141-1",(1*3/8)+(1/3),IF(LEFT(AH4,4)="141-",(RIGHT(AH4,1)/3),IF(LEFT(AH4,4)="1331",RIGHT(AH4,1)*3/8,0)))</f>
        <v>0</v>
      </c>
      <c r="AM4" s="32">
        <f ca="1">IF(AQ4=""," ",AJ4+AL4)</f>
        <v>0.16666666666666666</v>
      </c>
      <c r="AO4" s="20">
        <f>Tools!$AD3</f>
        <v>0</v>
      </c>
      <c r="AP4" s="33">
        <f t="shared" ref="AP4" si="17">VLOOKUP(AO4,OFFSET_A,Count_WL+1,FALSE)</f>
        <v>0</v>
      </c>
      <c r="AQ4" s="34" t="str">
        <f t="shared" ref="AQ4:AQ28" ca="1" si="18">CONCATENATE(AI4,IF(NOT(OR(AI4="",AK4="")),"+",""),AK4)</f>
        <v>(1/2)*(1/3)</v>
      </c>
      <c r="AR4" s="23">
        <f t="shared" ref="AR4:AR28" ca="1" si="19">IFERROR(AP4*AM4,"  ")</f>
        <v>0</v>
      </c>
      <c r="AS4" s="24">
        <f t="shared" ref="AS4:AS28" si="20">IFERROR(AO4-(Long_Div/2),"  ")</f>
        <v>-10</v>
      </c>
      <c r="AT4" s="23">
        <f ca="1">IFERROR(AR4*AS4,"  ")</f>
        <v>0</v>
      </c>
      <c r="AU4" s="23">
        <f ca="1">IFERROR(AT4*AS4,"  ")</f>
        <v>0</v>
      </c>
      <c r="AV4" s="23">
        <f t="shared" ref="AV4:AV28" si="21">IFERROR(AP4^3,"  ")</f>
        <v>0</v>
      </c>
      <c r="AW4" s="23">
        <f t="shared" ref="AW4:AW28" ca="1" si="22">IFERROR(AV4*AM4,"  ")</f>
        <v>0</v>
      </c>
      <c r="AY4" s="35">
        <f t="shared" ref="AY4:AY28" si="23">IF(ROW(AY4)-3&gt;Max_STN_count," ",VLOOKUP(AO4,AREA_TABLE,Count_WL+1,FALSE))</f>
        <v>0</v>
      </c>
      <c r="AZ4" s="23">
        <f t="shared" ref="AZ4:AZ7" ca="1" si="24">IFERROR(AY4*AM4,"  ")</f>
        <v>0</v>
      </c>
      <c r="BA4" s="36">
        <f t="shared" ref="BA4:BA28" si="25">IF(ROW(AY4)-3&gt;Max_STN_count," ",VLOOKUP(AO4,MOMENT_TABLE,Count_WL+1,FALSE))</f>
        <v>0</v>
      </c>
      <c r="BB4" s="27">
        <f ca="1">IFERROR(BA4*AM4,"  ")</f>
        <v>0</v>
      </c>
      <c r="BC4" s="23">
        <f ca="1">IFERROR(AZ4*AS4,"  ")</f>
        <v>0</v>
      </c>
      <c r="BE4" s="16" t="s">
        <v>26</v>
      </c>
      <c r="BF4" s="9" t="s">
        <v>8</v>
      </c>
      <c r="BG4" s="28">
        <f>LBP</f>
        <v>146.19999999999999</v>
      </c>
    </row>
    <row r="5" spans="1:60" x14ac:dyDescent="0.25">
      <c r="A5" s="20">
        <f>Tools!$AD4</f>
        <v>0.5</v>
      </c>
      <c r="B5" s="33">
        <f t="shared" si="0"/>
        <v>0.21</v>
      </c>
      <c r="C5" s="22">
        <f>IF(A5="  ","  ",IF(AND(A4="  ",A6="  "),"?",IF(A4="  ",2*(A6-A5),IF(A6="  ",2*(A5-A4),2*(A6-A4)))))</f>
        <v>2</v>
      </c>
      <c r="D5" s="23">
        <f t="shared" ref="D5:D28" si="26">IFERROR(B5*C5,"  ")</f>
        <v>0.42</v>
      </c>
      <c r="E5" s="24">
        <f t="shared" si="1"/>
        <v>-9.5</v>
      </c>
      <c r="F5" s="23">
        <f t="shared" ref="F5:F28" si="27">IFERROR(D5*E5,"  ")</f>
        <v>-3.9899999999999998</v>
      </c>
      <c r="G5" s="23">
        <f t="shared" ref="G5:G28" si="28">IFERROR(F5*E5,"  ")</f>
        <v>37.905000000000001</v>
      </c>
      <c r="H5" s="23">
        <f t="shared" ref="H5:H28" si="29">IFERROR(B5^3,"  ")</f>
        <v>9.2609999999999984E-3</v>
      </c>
      <c r="I5" s="23">
        <f t="shared" ref="I5:I28" si="30">IFERROR(H5*C5,"  ")</f>
        <v>1.8521999999999997E-2</v>
      </c>
      <c r="J5" s="4"/>
      <c r="K5" s="37">
        <f t="shared" si="2"/>
        <v>0.56166666666666665</v>
      </c>
      <c r="L5" s="23">
        <f t="shared" ref="L5:L28" si="31">IFERROR(K5*C5,"  ")</f>
        <v>1.1233333333333333</v>
      </c>
      <c r="M5" s="38">
        <f t="shared" si="3"/>
        <v>0.44875000000000004</v>
      </c>
      <c r="N5" s="27">
        <f t="shared" ref="N5:N28" si="32">IFERROR(M5*C5,"  ")</f>
        <v>0.89750000000000008</v>
      </c>
      <c r="O5" s="23">
        <f t="shared" ref="O5:O28" si="33">IFERROR(L5*E5,"  ")</f>
        <v>-10.671666666666667</v>
      </c>
      <c r="P5" s="4"/>
      <c r="Q5" s="8" t="s">
        <v>27</v>
      </c>
      <c r="R5" s="9" t="s">
        <v>8</v>
      </c>
      <c r="S5" s="10">
        <f>BREADTH</f>
        <v>22</v>
      </c>
      <c r="W5" s="29">
        <f>IF(AO5="  ","  ",IF(AND(AO4="  ",AO6="  "),"?",IF(AO4="  ",2*(AO6-AO5),IF(AO6="  ",2*(AO5-AO4),2*(AO6-AO4)))))</f>
        <v>2</v>
      </c>
      <c r="X5" s="30" t="str">
        <f t="shared" si="4"/>
        <v>DD</v>
      </c>
      <c r="Y5" s="30" t="str">
        <f t="shared" si="5"/>
        <v>-</v>
      </c>
      <c r="Z5" s="29" t="b">
        <f t="shared" si="6"/>
        <v>1</v>
      </c>
      <c r="AA5" s="29" t="b">
        <f t="shared" si="7"/>
        <v>1</v>
      </c>
      <c r="AB5" s="29" t="str">
        <f t="shared" ca="1" si="8"/>
        <v>141-4</v>
      </c>
      <c r="AC5" s="29">
        <f t="shared" ref="AC5:AC27" si="34">IF(ISNUMBER(AO5),IF(ISNUMBER(AO5),IF(OR(AO5=0,AO5=Long_Div),1,IF(AO5&gt;Long_Div/2,AC6+1,IF(AO5&lt;=Long_Div/2,AC4+1,"?")))," --")," ")</f>
        <v>2</v>
      </c>
      <c r="AD5" s="29">
        <f t="shared" ca="1" si="9"/>
        <v>2</v>
      </c>
      <c r="AE5" s="29">
        <v>2</v>
      </c>
      <c r="AF5" s="31" t="str">
        <f t="shared" si="10"/>
        <v xml:space="preserve"> </v>
      </c>
      <c r="AG5" s="29" t="b">
        <f t="shared" si="11"/>
        <v>0</v>
      </c>
      <c r="AH5" s="30" t="str">
        <f t="shared" si="12"/>
        <v>-</v>
      </c>
      <c r="AI5" s="30" t="str">
        <f t="shared" ca="1" si="13"/>
        <v>(1/2)*(4/3)</v>
      </c>
      <c r="AJ5" s="29">
        <f t="shared" ca="1" si="14"/>
        <v>0.66666666666666663</v>
      </c>
      <c r="AK5" s="29" t="str">
        <f t="shared" si="15"/>
        <v/>
      </c>
      <c r="AL5" s="29">
        <f t="shared" si="16"/>
        <v>0</v>
      </c>
      <c r="AM5" s="32">
        <f t="shared" ref="AM5:AM28" ca="1" si="35">IF(AQ5=""," ",AJ5+AL5)</f>
        <v>0.66666666666666663</v>
      </c>
      <c r="AO5" s="20">
        <f>Tools!$AD4</f>
        <v>0.5</v>
      </c>
      <c r="AP5" s="33">
        <f t="shared" ref="AP5:AP28" si="36">VLOOKUP(AO5,OFFSET_A,Count_WL+1,FALSE)</f>
        <v>0.21</v>
      </c>
      <c r="AQ5" s="34" t="str">
        <f t="shared" ca="1" si="18"/>
        <v>(1/2)*(4/3)</v>
      </c>
      <c r="AR5" s="23">
        <f t="shared" ca="1" si="19"/>
        <v>0.13999999999999999</v>
      </c>
      <c r="AS5" s="24">
        <f t="shared" si="20"/>
        <v>-9.5</v>
      </c>
      <c r="AT5" s="23">
        <f t="shared" ref="AT5:AT28" ca="1" si="37">IFERROR(AR5*AS5,"  ")</f>
        <v>-1.3299999999999998</v>
      </c>
      <c r="AU5" s="23">
        <f ca="1">IFERROR(AT5*AS5,"  ")</f>
        <v>12.634999999999998</v>
      </c>
      <c r="AV5" s="23">
        <f t="shared" si="21"/>
        <v>9.2609999999999984E-3</v>
      </c>
      <c r="AW5" s="23">
        <f t="shared" ca="1" si="22"/>
        <v>6.1739999999999989E-3</v>
      </c>
      <c r="AY5" s="35">
        <f t="shared" si="23"/>
        <v>0.56166666666666665</v>
      </c>
      <c r="AZ5" s="23">
        <f t="shared" ca="1" si="24"/>
        <v>0.37444444444444441</v>
      </c>
      <c r="BA5" s="36">
        <f t="shared" si="25"/>
        <v>0.44875000000000004</v>
      </c>
      <c r="BB5" s="27">
        <f t="shared" ref="BB5:BB28" ca="1" si="38">IFERROR(BA5*AM5,"  ")</f>
        <v>0.29916666666666669</v>
      </c>
      <c r="BC5" s="23">
        <f t="shared" ref="BC5:BC28" ca="1" si="39">IFERROR(AZ5*AS5,"  ")</f>
        <v>-3.5572222222222218</v>
      </c>
      <c r="BE5" s="8" t="s">
        <v>27</v>
      </c>
      <c r="BF5" s="9" t="s">
        <v>8</v>
      </c>
      <c r="BG5" s="10">
        <f>BREADTH</f>
        <v>22</v>
      </c>
    </row>
    <row r="6" spans="1:60" x14ac:dyDescent="0.25">
      <c r="A6" s="20">
        <f>Tools!$AD5</f>
        <v>1</v>
      </c>
      <c r="B6" s="33">
        <f t="shared" si="0"/>
        <v>0.83</v>
      </c>
      <c r="C6" s="22">
        <f>IF(A6="  ","  ",IF(AND(A5="  ",A7="  "),"?",IF(A5="  ",1*(A7-A6),IF(A7="  ",1*(A6-A5),1*(A7-A5)))))</f>
        <v>1</v>
      </c>
      <c r="D6" s="23">
        <f t="shared" si="26"/>
        <v>0.83</v>
      </c>
      <c r="E6" s="24">
        <f t="shared" si="1"/>
        <v>-9</v>
      </c>
      <c r="F6" s="23">
        <f t="shared" si="27"/>
        <v>-7.47</v>
      </c>
      <c r="G6" s="23">
        <f t="shared" si="28"/>
        <v>67.23</v>
      </c>
      <c r="H6" s="23">
        <f t="shared" si="29"/>
        <v>0.57178699999999993</v>
      </c>
      <c r="I6" s="23">
        <f t="shared" si="30"/>
        <v>0.57178699999999993</v>
      </c>
      <c r="J6" s="4"/>
      <c r="K6" s="37">
        <f t="shared" si="2"/>
        <v>1.7516666666666665</v>
      </c>
      <c r="L6" s="23">
        <f t="shared" si="31"/>
        <v>1.7516666666666665</v>
      </c>
      <c r="M6" s="38">
        <f t="shared" si="3"/>
        <v>1.5137499999999999</v>
      </c>
      <c r="N6" s="27">
        <f t="shared" si="32"/>
        <v>1.5137499999999999</v>
      </c>
      <c r="O6" s="23">
        <f t="shared" si="33"/>
        <v>-15.764999999999999</v>
      </c>
      <c r="P6" s="4"/>
      <c r="Q6" s="8" t="s">
        <v>28</v>
      </c>
      <c r="R6" s="9" t="s">
        <v>8</v>
      </c>
      <c r="S6" s="10">
        <f>DEPTH</f>
        <v>13</v>
      </c>
      <c r="W6" s="29">
        <f>IF(AO6="  ","  ",IF(AND(AO5="  ",AO7="  "),"?",IF(AO5="  ",1*(AO7-AO6),IF(AO7="  ",1*(AO6-AO5),1*(AO7-AO5)))))</f>
        <v>1</v>
      </c>
      <c r="X6" s="30" t="str">
        <f t="shared" si="4"/>
        <v>DD</v>
      </c>
      <c r="Y6" s="30" t="str">
        <f t="shared" si="5"/>
        <v>-</v>
      </c>
      <c r="Z6" s="29" t="b">
        <f t="shared" si="6"/>
        <v>1</v>
      </c>
      <c r="AA6" s="29" t="b">
        <f t="shared" si="7"/>
        <v>1</v>
      </c>
      <c r="AB6" s="29" t="str">
        <f t="shared" ca="1" si="8"/>
        <v>141-2</v>
      </c>
      <c r="AC6" s="29">
        <f t="shared" si="34"/>
        <v>3</v>
      </c>
      <c r="AD6" s="29">
        <f t="shared" ca="1" si="9"/>
        <v>3</v>
      </c>
      <c r="AE6" s="29">
        <v>3</v>
      </c>
      <c r="AF6" s="31" t="str">
        <f t="shared" si="10"/>
        <v xml:space="preserve"> </v>
      </c>
      <c r="AG6" s="29" t="b">
        <f t="shared" si="11"/>
        <v>0</v>
      </c>
      <c r="AH6" s="30" t="str">
        <f t="shared" si="12"/>
        <v>-</v>
      </c>
      <c r="AI6" s="30" t="str">
        <f t="shared" ca="1" si="13"/>
        <v>(1/2)*(2/3)</v>
      </c>
      <c r="AJ6" s="29">
        <f t="shared" ca="1" si="14"/>
        <v>0.33333333333333331</v>
      </c>
      <c r="AK6" s="29" t="str">
        <f t="shared" si="15"/>
        <v/>
      </c>
      <c r="AL6" s="29">
        <f t="shared" si="16"/>
        <v>0</v>
      </c>
      <c r="AM6" s="32">
        <f t="shared" ca="1" si="35"/>
        <v>0.33333333333333331</v>
      </c>
      <c r="AO6" s="20">
        <f>Tools!$AD5</f>
        <v>1</v>
      </c>
      <c r="AP6" s="33">
        <f t="shared" si="36"/>
        <v>0.83</v>
      </c>
      <c r="AQ6" s="34" t="str">
        <f t="shared" ca="1" si="18"/>
        <v>(1/2)*(2/3)</v>
      </c>
      <c r="AR6" s="23">
        <f t="shared" ca="1" si="19"/>
        <v>0.27666666666666662</v>
      </c>
      <c r="AS6" s="24">
        <f t="shared" si="20"/>
        <v>-9</v>
      </c>
      <c r="AT6" s="23">
        <f t="shared" ca="1" si="37"/>
        <v>-2.4899999999999993</v>
      </c>
      <c r="AU6" s="23">
        <f ca="1">IFERROR(AT6*AS6,"  ")</f>
        <v>22.409999999999993</v>
      </c>
      <c r="AV6" s="23">
        <f t="shared" si="21"/>
        <v>0.57178699999999993</v>
      </c>
      <c r="AW6" s="23">
        <f t="shared" ca="1" si="22"/>
        <v>0.19059566666666664</v>
      </c>
      <c r="AY6" s="35">
        <f t="shared" si="23"/>
        <v>1.7516666666666665</v>
      </c>
      <c r="AZ6" s="23">
        <f t="shared" ca="1" si="24"/>
        <v>0.58388888888888879</v>
      </c>
      <c r="BA6" s="36">
        <f t="shared" si="25"/>
        <v>1.5137499999999999</v>
      </c>
      <c r="BB6" s="27">
        <f t="shared" ca="1" si="38"/>
        <v>0.50458333333333327</v>
      </c>
      <c r="BC6" s="23">
        <f t="shared" ca="1" si="39"/>
        <v>-5.254999999999999</v>
      </c>
      <c r="BE6" s="8" t="s">
        <v>28</v>
      </c>
      <c r="BF6" s="9" t="s">
        <v>8</v>
      </c>
      <c r="BG6" s="10">
        <f>DEPTH</f>
        <v>13</v>
      </c>
    </row>
    <row r="7" spans="1:60" x14ac:dyDescent="0.25">
      <c r="A7" s="20">
        <f>Tools!$AD6</f>
        <v>1.5</v>
      </c>
      <c r="B7" s="33">
        <f t="shared" si="0"/>
        <v>1.65</v>
      </c>
      <c r="C7" s="22">
        <f>IF(A7="  ","  ",IF(AND(A6="  ",A8="  "),"?",IF(A6="  ",2*(A8-A7),IF(A8="  ",2*(A7-A6),2*(A8-A6)))))</f>
        <v>2</v>
      </c>
      <c r="D7" s="23">
        <f t="shared" si="26"/>
        <v>3.3</v>
      </c>
      <c r="E7" s="24">
        <f t="shared" si="1"/>
        <v>-8.5</v>
      </c>
      <c r="F7" s="23">
        <f t="shared" si="27"/>
        <v>-28.049999999999997</v>
      </c>
      <c r="G7" s="23">
        <f t="shared" si="28"/>
        <v>238.42499999999998</v>
      </c>
      <c r="H7" s="23">
        <f t="shared" si="29"/>
        <v>4.4921249999999997</v>
      </c>
      <c r="I7" s="23">
        <f t="shared" si="30"/>
        <v>8.9842499999999994</v>
      </c>
      <c r="J7" s="4"/>
      <c r="K7" s="37">
        <f t="shared" si="2"/>
        <v>3.4358333333333335</v>
      </c>
      <c r="L7" s="23">
        <f t="shared" si="31"/>
        <v>6.871666666666667</v>
      </c>
      <c r="M7" s="38">
        <f t="shared" si="3"/>
        <v>2.9993750000000001</v>
      </c>
      <c r="N7" s="27">
        <f t="shared" si="32"/>
        <v>5.9987500000000002</v>
      </c>
      <c r="O7" s="23">
        <f t="shared" si="33"/>
        <v>-58.409166666666671</v>
      </c>
      <c r="P7" s="4"/>
      <c r="Q7" s="39" t="s">
        <v>29</v>
      </c>
      <c r="R7" s="40" t="s">
        <v>8</v>
      </c>
      <c r="S7" s="41">
        <f>IF(MAX(B4:B28)=0," ",2*MAX(B4:B28))</f>
        <v>21.86</v>
      </c>
      <c r="W7" s="29">
        <f>IF(AO7="  ","  ",IF(AND(AO6="  ",AO8="  "),"?",IF(AO6="  ",2*(AO8-AO7),IF(AO8="  ",2*(AO7-AO6),2*(AO8-AO6)))))</f>
        <v>2</v>
      </c>
      <c r="X7" s="30" t="str">
        <f t="shared" si="4"/>
        <v>DD</v>
      </c>
      <c r="Y7" s="30" t="str">
        <f t="shared" si="5"/>
        <v>-</v>
      </c>
      <c r="Z7" s="29" t="b">
        <f t="shared" si="6"/>
        <v>1</v>
      </c>
      <c r="AA7" s="29" t="b">
        <f t="shared" si="7"/>
        <v>1</v>
      </c>
      <c r="AB7" s="29" t="str">
        <f t="shared" ca="1" si="8"/>
        <v>141-4</v>
      </c>
      <c r="AC7" s="29">
        <f t="shared" si="34"/>
        <v>4</v>
      </c>
      <c r="AD7" s="29">
        <f t="shared" ca="1" si="9"/>
        <v>4</v>
      </c>
      <c r="AE7" s="29">
        <v>4</v>
      </c>
      <c r="AF7" s="31" t="str">
        <f t="shared" si="10"/>
        <v xml:space="preserve"> </v>
      </c>
      <c r="AG7" s="29" t="b">
        <f t="shared" si="11"/>
        <v>0</v>
      </c>
      <c r="AH7" s="30" t="str">
        <f t="shared" si="12"/>
        <v>-</v>
      </c>
      <c r="AI7" s="30" t="str">
        <f t="shared" ca="1" si="13"/>
        <v>(1/2)*(4/3)</v>
      </c>
      <c r="AJ7" s="29">
        <f t="shared" ca="1" si="14"/>
        <v>0.66666666666666663</v>
      </c>
      <c r="AK7" s="29" t="str">
        <f t="shared" si="15"/>
        <v/>
      </c>
      <c r="AL7" s="29">
        <f t="shared" si="16"/>
        <v>0</v>
      </c>
      <c r="AM7" s="32">
        <f t="shared" ca="1" si="35"/>
        <v>0.66666666666666663</v>
      </c>
      <c r="AO7" s="20">
        <f>Tools!$AD6</f>
        <v>1.5</v>
      </c>
      <c r="AP7" s="33">
        <f t="shared" si="36"/>
        <v>1.65</v>
      </c>
      <c r="AQ7" s="34" t="str">
        <f t="shared" ca="1" si="18"/>
        <v>(1/2)*(4/3)</v>
      </c>
      <c r="AR7" s="23">
        <f t="shared" ca="1" si="19"/>
        <v>1.0999999999999999</v>
      </c>
      <c r="AS7" s="24">
        <f t="shared" si="20"/>
        <v>-8.5</v>
      </c>
      <c r="AT7" s="23">
        <f t="shared" ca="1" si="37"/>
        <v>-9.35</v>
      </c>
      <c r="AU7" s="23">
        <f t="shared" ref="AU7:AU28" ca="1" si="40">IFERROR(AT7*AS7,"  ")</f>
        <v>79.474999999999994</v>
      </c>
      <c r="AV7" s="23">
        <f t="shared" si="21"/>
        <v>4.4921249999999997</v>
      </c>
      <c r="AW7" s="23">
        <f t="shared" ca="1" si="22"/>
        <v>2.9947499999999998</v>
      </c>
      <c r="AY7" s="35">
        <f t="shared" si="23"/>
        <v>3.4358333333333335</v>
      </c>
      <c r="AZ7" s="23">
        <f t="shared" ca="1" si="24"/>
        <v>2.2905555555555557</v>
      </c>
      <c r="BA7" s="36">
        <f t="shared" si="25"/>
        <v>2.9993750000000001</v>
      </c>
      <c r="BB7" s="27">
        <f t="shared" ca="1" si="38"/>
        <v>1.9995833333333333</v>
      </c>
      <c r="BC7" s="23">
        <f t="shared" ca="1" si="39"/>
        <v>-19.469722222222224</v>
      </c>
      <c r="BE7" s="8" t="s">
        <v>29</v>
      </c>
      <c r="BF7" s="9" t="s">
        <v>8</v>
      </c>
      <c r="BG7" s="10">
        <f>IF(MAX(AP4:AP28)=0," ",2*MAX(AP4:AP28))</f>
        <v>21.86</v>
      </c>
    </row>
    <row r="8" spans="1:60" x14ac:dyDescent="0.25">
      <c r="A8" s="20">
        <f>Tools!$AD7</f>
        <v>2</v>
      </c>
      <c r="B8" s="33">
        <f t="shared" si="0"/>
        <v>2.59</v>
      </c>
      <c r="C8" s="22">
        <f>IF(A8="  ","  ",IF(AND(A7="  ",A9="  "),"?",IF(A7="  ",1*(A9-A8),IF(A9="  ",1*(A8-A7),1*(A9-A7)))))</f>
        <v>1.5</v>
      </c>
      <c r="D8" s="23">
        <f t="shared" si="26"/>
        <v>3.8849999999999998</v>
      </c>
      <c r="E8" s="24">
        <f t="shared" si="1"/>
        <v>-8</v>
      </c>
      <c r="F8" s="23">
        <f t="shared" si="27"/>
        <v>-31.08</v>
      </c>
      <c r="G8" s="23">
        <f t="shared" si="28"/>
        <v>248.64</v>
      </c>
      <c r="H8" s="23">
        <f t="shared" si="29"/>
        <v>17.373978999999995</v>
      </c>
      <c r="I8" s="23">
        <f t="shared" si="30"/>
        <v>26.060968499999994</v>
      </c>
      <c r="J8" s="4"/>
      <c r="K8" s="37">
        <f t="shared" si="2"/>
        <v>5.5033333333333321</v>
      </c>
      <c r="L8" s="23">
        <f t="shared" si="31"/>
        <v>8.254999999999999</v>
      </c>
      <c r="M8" s="38">
        <f t="shared" si="3"/>
        <v>4.7562499999999996</v>
      </c>
      <c r="N8" s="27">
        <f t="shared" si="32"/>
        <v>7.1343749999999995</v>
      </c>
      <c r="O8" s="23">
        <f t="shared" si="33"/>
        <v>-66.039999999999992</v>
      </c>
      <c r="P8" s="4"/>
      <c r="Q8" s="42"/>
      <c r="R8" s="42"/>
      <c r="S8" s="42"/>
      <c r="W8" s="29">
        <f>IF(AO8="  ","  ",IF(AND(AO7="  ",AO9="  "),"?",IF(AO7="  ",1*(AO9-AO8),IF(AO9="  ",1*(AO8-AO7),1*(AO9-AO7)))))</f>
        <v>1.5</v>
      </c>
      <c r="X8" s="30" t="str">
        <f t="shared" si="4"/>
        <v>DW</v>
      </c>
      <c r="Y8" s="30" t="str">
        <f t="shared" si="5"/>
        <v>-</v>
      </c>
      <c r="Z8" s="29" t="b">
        <f t="shared" si="6"/>
        <v>1</v>
      </c>
      <c r="AA8" s="29" t="b">
        <f t="shared" si="7"/>
        <v>1</v>
      </c>
      <c r="AB8" s="29" t="str">
        <f t="shared" ca="1" si="8"/>
        <v>141-1</v>
      </c>
      <c r="AC8" s="29">
        <f t="shared" si="34"/>
        <v>5</v>
      </c>
      <c r="AD8" s="29">
        <f t="shared" ca="1" si="9"/>
        <v>5</v>
      </c>
      <c r="AE8" s="29">
        <v>5</v>
      </c>
      <c r="AF8" s="31">
        <f t="shared" si="10"/>
        <v>1</v>
      </c>
      <c r="AG8" s="29" t="b">
        <f t="shared" si="11"/>
        <v>1</v>
      </c>
      <c r="AH8" s="30" t="str">
        <f t="shared" si="12"/>
        <v>141-1</v>
      </c>
      <c r="AI8" s="30" t="str">
        <f t="shared" ca="1" si="13"/>
        <v>(1/2)*(1/3)</v>
      </c>
      <c r="AJ8" s="29">
        <f t="shared" ca="1" si="14"/>
        <v>0.16666666666666666</v>
      </c>
      <c r="AK8" s="29" t="str">
        <f t="shared" si="15"/>
        <v>1/3</v>
      </c>
      <c r="AL8" s="29">
        <f t="shared" si="16"/>
        <v>0.33333333333333331</v>
      </c>
      <c r="AM8" s="32">
        <f t="shared" ca="1" si="35"/>
        <v>0.5</v>
      </c>
      <c r="AO8" s="20">
        <f>Tools!$AD7</f>
        <v>2</v>
      </c>
      <c r="AP8" s="33">
        <f t="shared" si="36"/>
        <v>2.59</v>
      </c>
      <c r="AQ8" s="34" t="str">
        <f t="shared" ca="1" si="18"/>
        <v>(1/2)*(1/3)+1/3</v>
      </c>
      <c r="AR8" s="23">
        <f t="shared" ca="1" si="19"/>
        <v>1.2949999999999999</v>
      </c>
      <c r="AS8" s="24">
        <f t="shared" si="20"/>
        <v>-8</v>
      </c>
      <c r="AT8" s="23">
        <f t="shared" ca="1" si="37"/>
        <v>-10.36</v>
      </c>
      <c r="AU8" s="23">
        <f t="shared" ca="1" si="40"/>
        <v>82.88</v>
      </c>
      <c r="AV8" s="23">
        <f t="shared" si="21"/>
        <v>17.373978999999995</v>
      </c>
      <c r="AW8" s="23">
        <f t="shared" ca="1" si="22"/>
        <v>8.6869894999999975</v>
      </c>
      <c r="AY8" s="35">
        <f t="shared" si="23"/>
        <v>5.5033333333333321</v>
      </c>
      <c r="AZ8" s="23">
        <f ca="1">IFERROR(AY8*AM8,"  ")</f>
        <v>2.751666666666666</v>
      </c>
      <c r="BA8" s="36">
        <f t="shared" si="25"/>
        <v>4.7562499999999996</v>
      </c>
      <c r="BB8" s="27">
        <f t="shared" ca="1" si="38"/>
        <v>2.3781249999999998</v>
      </c>
      <c r="BC8" s="23">
        <f t="shared" ca="1" si="39"/>
        <v>-22.013333333333328</v>
      </c>
      <c r="BE8" s="8" t="s">
        <v>30</v>
      </c>
      <c r="BF8" s="9" t="s">
        <v>8</v>
      </c>
      <c r="BG8" s="10">
        <f ca="1">LBP-AJ33</f>
        <v>146.19999999999999</v>
      </c>
      <c r="BH8" t="str">
        <f ca="1">IF(AJ33&gt;0,CONCATENATE("(LWL is assumed between stations ",$AH$31," and ",$AH$33," as offset values extreme to these stations are zeros.)"),"")</f>
        <v/>
      </c>
    </row>
    <row r="9" spans="1:60" x14ac:dyDescent="0.25">
      <c r="A9" s="20">
        <f>Tools!$AD8</f>
        <v>3</v>
      </c>
      <c r="B9" s="33">
        <f t="shared" si="0"/>
        <v>4.72</v>
      </c>
      <c r="C9" s="22">
        <f>IF(A9="  ","  ",IF(AND(A8="  ",A10="  "),"?",IF(A8="  ",2*(A10-A9),IF(A10="  ",2*(A9-A8),2*(A10-A8)))))</f>
        <v>4</v>
      </c>
      <c r="D9" s="23">
        <f t="shared" si="26"/>
        <v>18.88</v>
      </c>
      <c r="E9" s="24">
        <f t="shared" si="1"/>
        <v>-7</v>
      </c>
      <c r="F9" s="23">
        <f t="shared" si="27"/>
        <v>-132.16</v>
      </c>
      <c r="G9" s="23">
        <f t="shared" si="28"/>
        <v>925.12</v>
      </c>
      <c r="H9" s="23">
        <f t="shared" si="29"/>
        <v>105.15404799999999</v>
      </c>
      <c r="I9" s="23">
        <f t="shared" si="30"/>
        <v>420.61619199999996</v>
      </c>
      <c r="J9" s="4"/>
      <c r="K9" s="37">
        <f t="shared" si="2"/>
        <v>10.897499999999997</v>
      </c>
      <c r="L9" s="23">
        <f t="shared" si="31"/>
        <v>43.589999999999989</v>
      </c>
      <c r="M9" s="38">
        <f t="shared" si="3"/>
        <v>9.1968749999999986</v>
      </c>
      <c r="N9" s="27">
        <f t="shared" si="32"/>
        <v>36.787499999999994</v>
      </c>
      <c r="O9" s="23">
        <f t="shared" si="33"/>
        <v>-305.12999999999994</v>
      </c>
      <c r="P9" s="4"/>
      <c r="Q9" s="43" t="s">
        <v>31</v>
      </c>
      <c r="R9" s="44" t="s">
        <v>32</v>
      </c>
      <c r="S9" s="489" t="s">
        <v>33</v>
      </c>
      <c r="W9" s="29">
        <f>IF(AO9="  ","  ",IF(AND(AO8="  ",AO10="  "),"?",IF(AO8="  ",2*(AO10-AO9),IF(AO10="  ",2*(AO9-AO8),2*(AO10-AO8)))))</f>
        <v>4</v>
      </c>
      <c r="X9" s="30" t="str">
        <f t="shared" si="4"/>
        <v>WW</v>
      </c>
      <c r="Y9" s="30" t="str">
        <f t="shared" si="5"/>
        <v>-</v>
      </c>
      <c r="Z9" s="29" t="b">
        <f t="shared" si="6"/>
        <v>0</v>
      </c>
      <c r="AA9" s="29" t="b">
        <f t="shared" si="7"/>
        <v>0</v>
      </c>
      <c r="AB9" s="29" t="str">
        <f t="shared" ca="1" si="8"/>
        <v>++</v>
      </c>
      <c r="AC9" s="29">
        <f t="shared" si="34"/>
        <v>6</v>
      </c>
      <c r="AD9" s="29">
        <f t="shared" ca="1" si="9"/>
        <v>6</v>
      </c>
      <c r="AE9" s="29">
        <v>6</v>
      </c>
      <c r="AF9" s="31">
        <f>IF(AND(AG9=TRUE,OR(NOT(AG8=TRUE),AG8="Full")),1,IF(ISNUMBER(AF8),AF8+1," "))</f>
        <v>2</v>
      </c>
      <c r="AG9" s="29" t="b">
        <f t="shared" si="11"/>
        <v>1</v>
      </c>
      <c r="AH9" s="30" t="str">
        <f t="shared" ca="1" si="12"/>
        <v>141-4</v>
      </c>
      <c r="AI9" s="30" t="str">
        <f t="shared" ca="1" si="13"/>
        <v/>
      </c>
      <c r="AJ9" s="29">
        <f t="shared" ca="1" si="14"/>
        <v>0</v>
      </c>
      <c r="AK9" s="29" t="str">
        <f t="shared" ca="1" si="15"/>
        <v>4/3</v>
      </c>
      <c r="AL9" s="29">
        <f t="shared" ca="1" si="16"/>
        <v>1.3333333333333333</v>
      </c>
      <c r="AM9" s="32">
        <f t="shared" ca="1" si="35"/>
        <v>1.3333333333333333</v>
      </c>
      <c r="AO9" s="20">
        <f>Tools!$AD8</f>
        <v>3</v>
      </c>
      <c r="AP9" s="33">
        <f t="shared" si="36"/>
        <v>4.72</v>
      </c>
      <c r="AQ9" s="34" t="str">
        <f t="shared" ca="1" si="18"/>
        <v>4/3</v>
      </c>
      <c r="AR9" s="23">
        <f t="shared" ca="1" si="19"/>
        <v>6.293333333333333</v>
      </c>
      <c r="AS9" s="24">
        <f t="shared" si="20"/>
        <v>-7</v>
      </c>
      <c r="AT9" s="23">
        <f t="shared" ca="1" si="37"/>
        <v>-44.053333333333327</v>
      </c>
      <c r="AU9" s="23">
        <f t="shared" ca="1" si="40"/>
        <v>308.37333333333328</v>
      </c>
      <c r="AV9" s="23">
        <f t="shared" si="21"/>
        <v>105.15404799999999</v>
      </c>
      <c r="AW9" s="23">
        <f t="shared" ca="1" si="22"/>
        <v>140.20539733333331</v>
      </c>
      <c r="AY9" s="35">
        <f t="shared" si="23"/>
        <v>10.897499999999997</v>
      </c>
      <c r="AZ9" s="23">
        <f t="shared" ref="AZ9:AZ28" ca="1" si="41">IFERROR(AY9*AM9,"  ")</f>
        <v>14.529999999999996</v>
      </c>
      <c r="BA9" s="36">
        <f t="shared" si="25"/>
        <v>9.1968749999999986</v>
      </c>
      <c r="BB9" s="27">
        <f t="shared" ca="1" si="38"/>
        <v>12.262499999999998</v>
      </c>
      <c r="BC9" s="23">
        <f t="shared" ca="1" si="39"/>
        <v>-101.70999999999997</v>
      </c>
    </row>
    <row r="10" spans="1:60" x14ac:dyDescent="0.25">
      <c r="A10" s="20">
        <f>Tools!$AD9</f>
        <v>4</v>
      </c>
      <c r="B10" s="33">
        <f t="shared" si="0"/>
        <v>6.83</v>
      </c>
      <c r="C10" s="22">
        <f>IF(A10="  ","  ",IF(AND(A9="  ",A11="  "),"?",IF(A9="  ",1*(A11-A10),IF(A11="  ",1*(A10-A9),1*(A11-A9)))))</f>
        <v>2</v>
      </c>
      <c r="D10" s="23">
        <f t="shared" si="26"/>
        <v>13.66</v>
      </c>
      <c r="E10" s="24">
        <f t="shared" si="1"/>
        <v>-6</v>
      </c>
      <c r="F10" s="23">
        <f t="shared" si="27"/>
        <v>-81.960000000000008</v>
      </c>
      <c r="G10" s="23">
        <f t="shared" si="28"/>
        <v>491.76000000000005</v>
      </c>
      <c r="H10" s="23">
        <f t="shared" si="29"/>
        <v>318.611987</v>
      </c>
      <c r="I10" s="23">
        <f>IFERROR(H10*C10,"  ")</f>
        <v>637.223974</v>
      </c>
      <c r="J10" s="4"/>
      <c r="K10" s="37">
        <f t="shared" si="2"/>
        <v>17.015000000000001</v>
      </c>
      <c r="L10" s="23">
        <f t="shared" si="31"/>
        <v>34.03</v>
      </c>
      <c r="M10" s="38">
        <f t="shared" si="3"/>
        <v>13.8675</v>
      </c>
      <c r="N10" s="27">
        <f t="shared" si="32"/>
        <v>27.734999999999999</v>
      </c>
      <c r="O10" s="23">
        <f t="shared" si="33"/>
        <v>-204.18</v>
      </c>
      <c r="P10" s="4"/>
      <c r="Q10" s="45"/>
      <c r="R10" s="46"/>
      <c r="S10" s="490"/>
      <c r="W10" s="29">
        <f>IF(AO10="  ","  ",IF(AND(AO9="  ",AO11="  "),"?",IF(AO9="  ",1*(AO11-AO10),IF(AO11="  ",1*(AO10-AO9),1*(AO11-AO9)))))</f>
        <v>2</v>
      </c>
      <c r="X10" s="30" t="str">
        <f t="shared" si="4"/>
        <v>WW</v>
      </c>
      <c r="Y10" s="30" t="str">
        <f t="shared" si="5"/>
        <v>-</v>
      </c>
      <c r="Z10" s="29" t="b">
        <f t="shared" si="6"/>
        <v>0</v>
      </c>
      <c r="AA10" s="29" t="b">
        <f t="shared" si="7"/>
        <v>0</v>
      </c>
      <c r="AB10" s="29" t="str">
        <f t="shared" ca="1" si="8"/>
        <v>++</v>
      </c>
      <c r="AC10" s="29">
        <f t="shared" si="34"/>
        <v>7</v>
      </c>
      <c r="AD10" s="29">
        <f t="shared" ca="1" si="9"/>
        <v>7</v>
      </c>
      <c r="AE10" s="29">
        <v>7</v>
      </c>
      <c r="AF10" s="31">
        <f t="shared" ref="AF10:AF28" si="42">IF(AND(AG10=TRUE,OR(NOT(AG9=TRUE),AG9="Full")),1,IF(ISNUMBER(AF9),AF9+1," "))</f>
        <v>3</v>
      </c>
      <c r="AG10" s="29" t="b">
        <f t="shared" si="11"/>
        <v>1</v>
      </c>
      <c r="AH10" s="30" t="str">
        <f t="shared" ca="1" si="12"/>
        <v>141-2</v>
      </c>
      <c r="AI10" s="30" t="str">
        <f t="shared" ca="1" si="13"/>
        <v/>
      </c>
      <c r="AJ10" s="29">
        <f t="shared" ca="1" si="14"/>
        <v>0</v>
      </c>
      <c r="AK10" s="29" t="str">
        <f t="shared" ca="1" si="15"/>
        <v>2/3</v>
      </c>
      <c r="AL10" s="29">
        <f t="shared" ca="1" si="16"/>
        <v>0.66666666666666663</v>
      </c>
      <c r="AM10" s="32">
        <f t="shared" ca="1" si="35"/>
        <v>0.66666666666666663</v>
      </c>
      <c r="AO10" s="20">
        <f>Tools!$AD9</f>
        <v>4</v>
      </c>
      <c r="AP10" s="33">
        <f t="shared" si="36"/>
        <v>6.83</v>
      </c>
      <c r="AQ10" s="34" t="str">
        <f t="shared" ca="1" si="18"/>
        <v>2/3</v>
      </c>
      <c r="AR10" s="23">
        <f t="shared" ca="1" si="19"/>
        <v>4.5533333333333328</v>
      </c>
      <c r="AS10" s="24">
        <f t="shared" si="20"/>
        <v>-6</v>
      </c>
      <c r="AT10" s="23">
        <f t="shared" ca="1" si="37"/>
        <v>-27.319999999999997</v>
      </c>
      <c r="AU10" s="23">
        <f ca="1">IFERROR(AT10*AS10,"  ")</f>
        <v>163.92</v>
      </c>
      <c r="AV10" s="23">
        <f t="shared" si="21"/>
        <v>318.611987</v>
      </c>
      <c r="AW10" s="23">
        <f t="shared" ca="1" si="22"/>
        <v>212.40799133333331</v>
      </c>
      <c r="AY10" s="35">
        <f t="shared" si="23"/>
        <v>17.015000000000001</v>
      </c>
      <c r="AZ10" s="23">
        <f t="shared" ca="1" si="41"/>
        <v>11.343333333333334</v>
      </c>
      <c r="BA10" s="36">
        <f t="shared" si="25"/>
        <v>13.8675</v>
      </c>
      <c r="BB10" s="27">
        <f t="shared" ca="1" si="38"/>
        <v>9.2449999999999992</v>
      </c>
      <c r="BC10" s="23">
        <f t="shared" ca="1" si="39"/>
        <v>-68.06</v>
      </c>
      <c r="BE10" s="43" t="s">
        <v>31</v>
      </c>
      <c r="BF10" s="44" t="s">
        <v>32</v>
      </c>
      <c r="BG10" s="489" t="s">
        <v>33</v>
      </c>
    </row>
    <row r="11" spans="1:60" x14ac:dyDescent="0.25">
      <c r="A11" s="20">
        <f>Tools!$AD10</f>
        <v>5</v>
      </c>
      <c r="B11" s="33">
        <f t="shared" si="0"/>
        <v>8.6999999999999993</v>
      </c>
      <c r="C11" s="22">
        <f>IF(A11="  ","  ",IF(AND(A10="  ",A12="  "),"?",IF(A10="  ",2*(A12-A11),IF(A12="  ",2*(A11-A10),2*(A12-A10)))))</f>
        <v>4</v>
      </c>
      <c r="D11" s="23">
        <f t="shared" si="26"/>
        <v>34.799999999999997</v>
      </c>
      <c r="E11" s="24">
        <f t="shared" si="1"/>
        <v>-5</v>
      </c>
      <c r="F11" s="23">
        <f t="shared" si="27"/>
        <v>-174</v>
      </c>
      <c r="G11" s="23">
        <f t="shared" si="28"/>
        <v>870</v>
      </c>
      <c r="H11" s="23">
        <f t="shared" si="29"/>
        <v>658.50299999999982</v>
      </c>
      <c r="I11" s="23">
        <f t="shared" si="30"/>
        <v>2634.0119999999993</v>
      </c>
      <c r="J11" s="4"/>
      <c r="K11" s="37">
        <f t="shared" si="2"/>
        <v>22.768333333333331</v>
      </c>
      <c r="L11" s="23">
        <f t="shared" si="31"/>
        <v>91.073333333333323</v>
      </c>
      <c r="M11" s="38">
        <f t="shared" si="3"/>
        <v>18.098749999999995</v>
      </c>
      <c r="N11" s="27">
        <f t="shared" si="32"/>
        <v>72.394999999999982</v>
      </c>
      <c r="O11" s="23">
        <f t="shared" si="33"/>
        <v>-455.36666666666662</v>
      </c>
      <c r="P11" s="4"/>
      <c r="Q11" s="47" t="s">
        <v>34</v>
      </c>
      <c r="R11" s="48" t="s">
        <v>35</v>
      </c>
      <c r="S11">
        <f>IF(Tools!$L$49="Use 141 rule only",I35,IF(Tools!$L$49="Use 141 and 1331 rules",BG12," "))</f>
        <v>2319.341166666667</v>
      </c>
      <c r="W11" s="29">
        <f>IF(AO11="  ","  ",IF(AND(AO10="  ",AO12="  "),"?",IF(AO10="  ",2*(AO12-AO11),IF(AO12="  ",2*(AO11-AO10),2*(AO12-AO10)))))</f>
        <v>4</v>
      </c>
      <c r="X11" s="30" t="str">
        <f t="shared" si="4"/>
        <v>WW</v>
      </c>
      <c r="Y11" s="30" t="str">
        <f t="shared" si="5"/>
        <v>-</v>
      </c>
      <c r="Z11" s="29" t="b">
        <f t="shared" si="6"/>
        <v>0</v>
      </c>
      <c r="AA11" s="29" t="b">
        <f t="shared" si="7"/>
        <v>0</v>
      </c>
      <c r="AB11" s="29" t="str">
        <f t="shared" ca="1" si="8"/>
        <v>++</v>
      </c>
      <c r="AC11" s="29">
        <f t="shared" si="34"/>
        <v>8</v>
      </c>
      <c r="AD11" s="29">
        <f t="shared" ca="1" si="9"/>
        <v>8</v>
      </c>
      <c r="AE11" s="29">
        <v>8</v>
      </c>
      <c r="AF11" s="31">
        <f t="shared" si="42"/>
        <v>4</v>
      </c>
      <c r="AG11" s="29" t="b">
        <f t="shared" si="11"/>
        <v>1</v>
      </c>
      <c r="AH11" s="30" t="str">
        <f t="shared" ca="1" si="12"/>
        <v>141-4</v>
      </c>
      <c r="AI11" s="30" t="str">
        <f t="shared" ca="1" si="13"/>
        <v/>
      </c>
      <c r="AJ11" s="29">
        <f t="shared" ca="1" si="14"/>
        <v>0</v>
      </c>
      <c r="AK11" s="29" t="str">
        <f t="shared" ca="1" si="15"/>
        <v>4/3</v>
      </c>
      <c r="AL11" s="29">
        <f t="shared" ca="1" si="16"/>
        <v>1.3333333333333333</v>
      </c>
      <c r="AM11" s="32">
        <f t="shared" ca="1" si="35"/>
        <v>1.3333333333333333</v>
      </c>
      <c r="AO11" s="20">
        <f>Tools!$AD10</f>
        <v>5</v>
      </c>
      <c r="AP11" s="33">
        <f t="shared" si="36"/>
        <v>8.6999999999999993</v>
      </c>
      <c r="AQ11" s="34" t="str">
        <f t="shared" ca="1" si="18"/>
        <v>4/3</v>
      </c>
      <c r="AR11" s="23">
        <f t="shared" ca="1" si="19"/>
        <v>11.599999999999998</v>
      </c>
      <c r="AS11" s="24">
        <f t="shared" si="20"/>
        <v>-5</v>
      </c>
      <c r="AT11" s="23">
        <f t="shared" ca="1" si="37"/>
        <v>-57.999999999999986</v>
      </c>
      <c r="AU11" s="23">
        <f t="shared" ca="1" si="40"/>
        <v>289.99999999999994</v>
      </c>
      <c r="AV11" s="23">
        <f t="shared" si="21"/>
        <v>658.50299999999982</v>
      </c>
      <c r="AW11" s="23">
        <f t="shared" ca="1" si="22"/>
        <v>878.00399999999968</v>
      </c>
      <c r="AY11" s="35">
        <f t="shared" si="23"/>
        <v>22.768333333333331</v>
      </c>
      <c r="AZ11" s="23">
        <f t="shared" ca="1" si="41"/>
        <v>30.357777777777773</v>
      </c>
      <c r="BA11" s="36">
        <f t="shared" si="25"/>
        <v>18.098749999999995</v>
      </c>
      <c r="BB11" s="27">
        <f t="shared" ca="1" si="38"/>
        <v>24.131666666666661</v>
      </c>
      <c r="BC11" s="23">
        <f ca="1">IFERROR(AZ11*AS11,"  ")</f>
        <v>-151.78888888888886</v>
      </c>
      <c r="BE11" s="45"/>
      <c r="BF11" s="46"/>
      <c r="BG11" s="490"/>
    </row>
    <row r="12" spans="1:60" x14ac:dyDescent="0.25">
      <c r="A12" s="20">
        <f>Tools!$AD11</f>
        <v>6</v>
      </c>
      <c r="B12" s="33">
        <f t="shared" si="0"/>
        <v>9.94</v>
      </c>
      <c r="C12" s="22">
        <f>IF(A12="  ","  ",IF(AND(A11="  ",A13="  "),"?",IF(A11="  ",1*(A13-A12),IF(A13="  ",1*(A12-A11),1*(A13-A11)))))</f>
        <v>2</v>
      </c>
      <c r="D12" s="23">
        <f t="shared" si="26"/>
        <v>19.88</v>
      </c>
      <c r="E12" s="24">
        <f t="shared" si="1"/>
        <v>-4</v>
      </c>
      <c r="F12" s="23">
        <f t="shared" si="27"/>
        <v>-79.52</v>
      </c>
      <c r="G12" s="23">
        <f t="shared" si="28"/>
        <v>318.08</v>
      </c>
      <c r="H12" s="23">
        <f t="shared" si="29"/>
        <v>982.10778399999981</v>
      </c>
      <c r="I12" s="23">
        <f t="shared" si="30"/>
        <v>1964.2155679999996</v>
      </c>
      <c r="J12" s="4"/>
      <c r="K12" s="37">
        <f t="shared" si="2"/>
        <v>27.38</v>
      </c>
      <c r="L12" s="23">
        <f t="shared" si="31"/>
        <v>54.76</v>
      </c>
      <c r="M12" s="38">
        <f t="shared" si="3"/>
        <v>21.269999999999996</v>
      </c>
      <c r="N12" s="27">
        <f t="shared" si="32"/>
        <v>42.539999999999992</v>
      </c>
      <c r="O12" s="23">
        <f t="shared" si="33"/>
        <v>-219.04</v>
      </c>
      <c r="P12" s="4"/>
      <c r="Q12" s="47" t="s">
        <v>36</v>
      </c>
      <c r="R12" s="48" t="s">
        <v>37</v>
      </c>
      <c r="S12">
        <f>IF(Tools!$L$49="Use 141 rule only",I36,IF(Tools!$L$49="Use 141 and 1331 rules",BG13," "))</f>
        <v>11646.576115333326</v>
      </c>
      <c r="W12" s="29">
        <f>IF(AO12="  ","  ",IF(AND(AO11="  ",AO13="  "),"?",IF(AO11="  ",1*(AO13-AO12),IF(AO13="  ",1*(AO12-AO11),1*(AO13-AO11)))))</f>
        <v>2</v>
      </c>
      <c r="X12" s="30" t="str">
        <f t="shared" si="4"/>
        <v>WW</v>
      </c>
      <c r="Y12" s="30" t="str">
        <f t="shared" si="5"/>
        <v>-</v>
      </c>
      <c r="Z12" s="29" t="b">
        <f t="shared" si="6"/>
        <v>0</v>
      </c>
      <c r="AA12" s="29" t="b">
        <f t="shared" si="7"/>
        <v>0</v>
      </c>
      <c r="AB12" s="29" t="str">
        <f t="shared" ca="1" si="8"/>
        <v>++</v>
      </c>
      <c r="AC12" s="29">
        <f t="shared" si="34"/>
        <v>9</v>
      </c>
      <c r="AD12" s="29">
        <f t="shared" ca="1" si="9"/>
        <v>9</v>
      </c>
      <c r="AE12" s="29">
        <v>9</v>
      </c>
      <c r="AF12" s="31">
        <f t="shared" si="42"/>
        <v>5</v>
      </c>
      <c r="AG12" s="29" t="b">
        <f t="shared" si="11"/>
        <v>1</v>
      </c>
      <c r="AH12" s="30" t="str">
        <f t="shared" ca="1" si="12"/>
        <v>141-2</v>
      </c>
      <c r="AI12" s="30" t="str">
        <f t="shared" ca="1" si="13"/>
        <v/>
      </c>
      <c r="AJ12" s="29">
        <f t="shared" ca="1" si="14"/>
        <v>0</v>
      </c>
      <c r="AK12" s="29" t="str">
        <f t="shared" ca="1" si="15"/>
        <v>2/3</v>
      </c>
      <c r="AL12" s="29">
        <f t="shared" ca="1" si="16"/>
        <v>0.66666666666666663</v>
      </c>
      <c r="AM12" s="32">
        <f t="shared" ca="1" si="35"/>
        <v>0.66666666666666663</v>
      </c>
      <c r="AO12" s="20">
        <f>Tools!$AD11</f>
        <v>6</v>
      </c>
      <c r="AP12" s="33">
        <f t="shared" si="36"/>
        <v>9.94</v>
      </c>
      <c r="AQ12" s="34" t="str">
        <f t="shared" ca="1" si="18"/>
        <v>2/3</v>
      </c>
      <c r="AR12" s="23">
        <f t="shared" ca="1" si="19"/>
        <v>6.626666666666666</v>
      </c>
      <c r="AS12" s="24">
        <f t="shared" si="20"/>
        <v>-4</v>
      </c>
      <c r="AT12" s="23">
        <f t="shared" ca="1" si="37"/>
        <v>-26.506666666666664</v>
      </c>
      <c r="AU12" s="23">
        <f t="shared" ca="1" si="40"/>
        <v>106.02666666666666</v>
      </c>
      <c r="AV12" s="23">
        <f t="shared" si="21"/>
        <v>982.10778399999981</v>
      </c>
      <c r="AW12" s="23">
        <f t="shared" ca="1" si="22"/>
        <v>654.73852266666654</v>
      </c>
      <c r="AY12" s="35">
        <f t="shared" si="23"/>
        <v>27.38</v>
      </c>
      <c r="AZ12" s="23">
        <f t="shared" ca="1" si="41"/>
        <v>18.25333333333333</v>
      </c>
      <c r="BA12" s="36">
        <f t="shared" si="25"/>
        <v>21.269999999999996</v>
      </c>
      <c r="BB12" s="27">
        <f t="shared" ca="1" si="38"/>
        <v>14.179999999999996</v>
      </c>
      <c r="BC12" s="23">
        <f t="shared" ca="1" si="39"/>
        <v>-73.013333333333321</v>
      </c>
      <c r="BE12" s="47" t="s">
        <v>34</v>
      </c>
      <c r="BF12" s="48" t="s">
        <v>38</v>
      </c>
      <c r="BG12" s="49">
        <f ca="1">IF(WL_No="  ","  ",2*h*$AR$29)</f>
        <v>2319.3411666666666</v>
      </c>
    </row>
    <row r="13" spans="1:60" x14ac:dyDescent="0.25">
      <c r="A13" s="20">
        <f>Tools!$AD12</f>
        <v>7</v>
      </c>
      <c r="B13" s="33">
        <f t="shared" si="0"/>
        <v>10.6</v>
      </c>
      <c r="C13" s="22">
        <f>IF(A13="  ","  ",IF(AND(A12="  ",A14="  "),"?",IF(A12="  ",2*(A14-A13),IF(A14="  ",2*(A13-A12),2*(A14-A12)))))</f>
        <v>4</v>
      </c>
      <c r="D13" s="23">
        <f t="shared" si="26"/>
        <v>42.4</v>
      </c>
      <c r="E13" s="24">
        <f t="shared" si="1"/>
        <v>-3</v>
      </c>
      <c r="F13" s="23">
        <f t="shared" si="27"/>
        <v>-127.19999999999999</v>
      </c>
      <c r="G13" s="23">
        <f t="shared" si="28"/>
        <v>381.59999999999997</v>
      </c>
      <c r="H13" s="23">
        <f t="shared" si="29"/>
        <v>1191.0159999999998</v>
      </c>
      <c r="I13" s="23">
        <f t="shared" si="30"/>
        <v>4764.0639999999994</v>
      </c>
      <c r="J13" s="4"/>
      <c r="K13" s="37">
        <f t="shared" si="2"/>
        <v>29.988333333333333</v>
      </c>
      <c r="L13" s="23">
        <f t="shared" si="31"/>
        <v>119.95333333333333</v>
      </c>
      <c r="M13" s="38">
        <f t="shared" si="3"/>
        <v>23.067499999999999</v>
      </c>
      <c r="N13" s="27">
        <f t="shared" si="32"/>
        <v>92.27</v>
      </c>
      <c r="O13" s="23">
        <f t="shared" si="33"/>
        <v>-359.86</v>
      </c>
      <c r="P13" s="4"/>
      <c r="Q13" s="50" t="s">
        <v>39</v>
      </c>
      <c r="R13" s="48" t="s">
        <v>40</v>
      </c>
      <c r="S13">
        <f>IF(Tools!$L$49="Use 141 rule only",I37,IF(Tools!$L$49="Use 141 and 1331 rules",BG14," "))</f>
        <v>5.0215019173189015</v>
      </c>
      <c r="W13" s="29">
        <f>IF(AO13="  ","  ",IF(AND(AO12="  ",AO14="  "),"?",IF(AO12="  ",2*(AO14-AO13),IF(AO14="  ",2*(AO13-AO12),2*(AO14-AO12)))))</f>
        <v>4</v>
      </c>
      <c r="X13" s="30" t="str">
        <f t="shared" si="4"/>
        <v>WW</v>
      </c>
      <c r="Y13" s="30" t="str">
        <f t="shared" si="5"/>
        <v>-</v>
      </c>
      <c r="Z13" s="29" t="b">
        <f t="shared" si="6"/>
        <v>0</v>
      </c>
      <c r="AA13" s="29" t="b">
        <f t="shared" si="7"/>
        <v>0</v>
      </c>
      <c r="AB13" s="29" t="str">
        <f t="shared" ca="1" si="8"/>
        <v>++</v>
      </c>
      <c r="AC13" s="29">
        <f t="shared" si="34"/>
        <v>10</v>
      </c>
      <c r="AD13" s="29">
        <f t="shared" ca="1" si="9"/>
        <v>10</v>
      </c>
      <c r="AE13" s="29">
        <v>10</v>
      </c>
      <c r="AF13" s="31">
        <f t="shared" si="42"/>
        <v>6</v>
      </c>
      <c r="AG13" s="29" t="b">
        <f t="shared" si="11"/>
        <v>1</v>
      </c>
      <c r="AH13" s="30" t="str">
        <f t="shared" ca="1" si="12"/>
        <v>141-4</v>
      </c>
      <c r="AI13" s="30" t="str">
        <f t="shared" ca="1" si="13"/>
        <v/>
      </c>
      <c r="AJ13" s="29">
        <f t="shared" ca="1" si="14"/>
        <v>0</v>
      </c>
      <c r="AK13" s="29" t="str">
        <f t="shared" ca="1" si="15"/>
        <v>4/3</v>
      </c>
      <c r="AL13" s="29">
        <f t="shared" ca="1" si="16"/>
        <v>1.3333333333333333</v>
      </c>
      <c r="AM13" s="32">
        <f t="shared" ca="1" si="35"/>
        <v>1.3333333333333333</v>
      </c>
      <c r="AO13" s="20">
        <f>Tools!$AD12</f>
        <v>7</v>
      </c>
      <c r="AP13" s="33">
        <f t="shared" si="36"/>
        <v>10.6</v>
      </c>
      <c r="AQ13" s="34" t="str">
        <f t="shared" ca="1" si="18"/>
        <v>4/3</v>
      </c>
      <c r="AR13" s="23">
        <f t="shared" ca="1" si="19"/>
        <v>14.133333333333333</v>
      </c>
      <c r="AS13" s="24">
        <f t="shared" si="20"/>
        <v>-3</v>
      </c>
      <c r="AT13" s="23">
        <f t="shared" ca="1" si="37"/>
        <v>-42.4</v>
      </c>
      <c r="AU13" s="23">
        <f t="shared" ca="1" si="40"/>
        <v>127.19999999999999</v>
      </c>
      <c r="AV13" s="23">
        <f t="shared" si="21"/>
        <v>1191.0159999999998</v>
      </c>
      <c r="AW13" s="23">
        <f t="shared" ca="1" si="22"/>
        <v>1588.0213333333331</v>
      </c>
      <c r="AY13" s="35">
        <f t="shared" si="23"/>
        <v>29.988333333333333</v>
      </c>
      <c r="AZ13" s="23">
        <f t="shared" ca="1" si="41"/>
        <v>39.984444444444442</v>
      </c>
      <c r="BA13" s="36">
        <f t="shared" si="25"/>
        <v>23.067499999999999</v>
      </c>
      <c r="BB13" s="27">
        <f t="shared" ca="1" si="38"/>
        <v>30.756666666666664</v>
      </c>
      <c r="BC13" s="23">
        <f t="shared" ca="1" si="39"/>
        <v>-119.95333333333332</v>
      </c>
      <c r="BE13" s="47" t="s">
        <v>36</v>
      </c>
      <c r="BF13" s="48" t="s">
        <v>41</v>
      </c>
      <c r="BG13" s="49">
        <f ca="1">IF(WL_No="  ","  ",2*(h^2)*$AT$29)</f>
        <v>11646.576115333333</v>
      </c>
    </row>
    <row r="14" spans="1:60" x14ac:dyDescent="0.25">
      <c r="A14" s="20">
        <f>Tools!$AD13</f>
        <v>8</v>
      </c>
      <c r="B14" s="33">
        <f t="shared" si="0"/>
        <v>10.9</v>
      </c>
      <c r="C14" s="22">
        <f>IF(A14="  ","  ",IF(AND(A13="  ",A15="  "),"?",IF(A13="  ",1*(A15-A14),IF(A15="  ",1*(A14-A13),1*(A15-A13)))))</f>
        <v>2</v>
      </c>
      <c r="D14" s="23">
        <f t="shared" si="26"/>
        <v>21.8</v>
      </c>
      <c r="E14" s="24">
        <f t="shared" si="1"/>
        <v>-2</v>
      </c>
      <c r="F14" s="23">
        <f t="shared" si="27"/>
        <v>-43.6</v>
      </c>
      <c r="G14" s="23">
        <f t="shared" si="28"/>
        <v>87.2</v>
      </c>
      <c r="H14" s="23">
        <f t="shared" si="29"/>
        <v>1295.029</v>
      </c>
      <c r="I14" s="23">
        <f t="shared" si="30"/>
        <v>2590.058</v>
      </c>
      <c r="J14" s="4"/>
      <c r="K14" s="37">
        <f t="shared" si="2"/>
        <v>31.259166666666662</v>
      </c>
      <c r="L14" s="23">
        <f t="shared" si="31"/>
        <v>62.518333333333324</v>
      </c>
      <c r="M14" s="38">
        <f t="shared" si="3"/>
        <v>23.921874999999996</v>
      </c>
      <c r="N14" s="27">
        <f t="shared" si="32"/>
        <v>47.843749999999993</v>
      </c>
      <c r="O14" s="23">
        <f t="shared" si="33"/>
        <v>-125.03666666666665</v>
      </c>
      <c r="P14" s="4"/>
      <c r="Q14" s="50" t="s">
        <v>42</v>
      </c>
      <c r="R14" s="48" t="s">
        <v>43</v>
      </c>
      <c r="S14">
        <f>IF(Tools!$L$49="Use 141 rule only",I38,IF(Tools!$L$49="Use 141 and 1331 rules",BG15," "))</f>
        <v>2559383.1083367397</v>
      </c>
      <c r="W14" s="29">
        <f>IF(AO14="  ","  ",IF(AND(AO13="  ",AO15="  "),"?",IF(AO13="  ",1*(AO15-AO14),IF(AO15="  ",1*(AO14-AO13),1*(AO15-AO13)))))</f>
        <v>2</v>
      </c>
      <c r="X14" s="30" t="str">
        <f t="shared" si="4"/>
        <v>WW</v>
      </c>
      <c r="Y14" s="30" t="str">
        <f t="shared" si="5"/>
        <v>-</v>
      </c>
      <c r="Z14" s="29" t="b">
        <f t="shared" si="6"/>
        <v>0</v>
      </c>
      <c r="AA14" s="29" t="b">
        <f t="shared" si="7"/>
        <v>0</v>
      </c>
      <c r="AB14" s="29" t="str">
        <f t="shared" ca="1" si="8"/>
        <v>++</v>
      </c>
      <c r="AC14" s="29">
        <f t="shared" si="34"/>
        <v>11</v>
      </c>
      <c r="AD14" s="29">
        <f t="shared" ca="1" si="9"/>
        <v>11</v>
      </c>
      <c r="AE14" s="29">
        <v>11</v>
      </c>
      <c r="AF14" s="31">
        <f t="shared" si="42"/>
        <v>7</v>
      </c>
      <c r="AG14" s="29" t="b">
        <f t="shared" si="11"/>
        <v>1</v>
      </c>
      <c r="AH14" s="30" t="str">
        <f ca="1">IF(AND(AG14=TRUE,$AH$1=1),"141-4",IF(AG14=" ",IF(AND($AH$1=2,AF14=3),"141-1","-"),IF(OR(AG14=FALSE,AG14=" "),"-",IF(AG14=TRUE,IF(AND($AH$1=2,AF14=1),"141-1",IF(AND($AH$1=2,AF14=2),"141-4",IF(OR(ISODD($AH$1),AF14&gt;4),IF(AF14=1,"141-1",IF(OR(AB14="141-1",AB14="1331-1",AB14="1331-1,141-1"),"141-1",IF(AG15=" ","141-1",IF(OR(AH13="141-1",AH13="141-2",AH13="1331-1,141-1"),"141-4",IF(AH13="141-4","141-2","$$"))))),IF(ISEVEN($AH$1),IF(AF14=1,"1331-1",IF(OR(AF14=2,AF14=3),"1331-3",IF(AF14=4,IF($AH$1=4,"1331-1","1331-1,141-1"),"")))))))))))</f>
        <v>141-2</v>
      </c>
      <c r="AI14" s="30" t="str">
        <f t="shared" ca="1" si="13"/>
        <v/>
      </c>
      <c r="AJ14" s="29">
        <f t="shared" ca="1" si="14"/>
        <v>0</v>
      </c>
      <c r="AK14" s="29" t="str">
        <f t="shared" ca="1" si="15"/>
        <v>2/3</v>
      </c>
      <c r="AL14" s="29">
        <f t="shared" ca="1" si="16"/>
        <v>0.66666666666666663</v>
      </c>
      <c r="AM14" s="32">
        <f t="shared" ca="1" si="35"/>
        <v>0.66666666666666663</v>
      </c>
      <c r="AO14" s="20">
        <f>Tools!$AD13</f>
        <v>8</v>
      </c>
      <c r="AP14" s="33">
        <f t="shared" si="36"/>
        <v>10.9</v>
      </c>
      <c r="AQ14" s="34" t="str">
        <f t="shared" ca="1" si="18"/>
        <v>2/3</v>
      </c>
      <c r="AR14" s="23">
        <f t="shared" ca="1" si="19"/>
        <v>7.2666666666666666</v>
      </c>
      <c r="AS14" s="24">
        <f t="shared" si="20"/>
        <v>-2</v>
      </c>
      <c r="AT14" s="23">
        <f t="shared" ca="1" si="37"/>
        <v>-14.533333333333333</v>
      </c>
      <c r="AU14" s="23">
        <f t="shared" ca="1" si="40"/>
        <v>29.066666666666666</v>
      </c>
      <c r="AV14" s="23">
        <f t="shared" si="21"/>
        <v>1295.029</v>
      </c>
      <c r="AW14" s="23">
        <f t="shared" ca="1" si="22"/>
        <v>863.35266666666666</v>
      </c>
      <c r="AY14" s="35">
        <f t="shared" si="23"/>
        <v>31.259166666666662</v>
      </c>
      <c r="AZ14" s="23">
        <f t="shared" ca="1" si="41"/>
        <v>20.839444444444439</v>
      </c>
      <c r="BA14" s="36">
        <f t="shared" si="25"/>
        <v>23.921874999999996</v>
      </c>
      <c r="BB14" s="27">
        <f t="shared" ca="1" si="38"/>
        <v>15.947916666666664</v>
      </c>
      <c r="BC14" s="23">
        <f t="shared" ca="1" si="39"/>
        <v>-41.678888888888878</v>
      </c>
      <c r="BE14" s="50" t="s">
        <v>39</v>
      </c>
      <c r="BF14" s="48" t="s">
        <v>40</v>
      </c>
      <c r="BG14" s="49">
        <f>IF(WL_No="  ","  ",Mmid/AWP)</f>
        <v>5.0215019173189015</v>
      </c>
    </row>
    <row r="15" spans="1:60" x14ac:dyDescent="0.25">
      <c r="A15" s="20">
        <f>Tools!$AD14</f>
        <v>9</v>
      </c>
      <c r="B15" s="33">
        <f t="shared" si="0"/>
        <v>10.93</v>
      </c>
      <c r="C15" s="22">
        <f>IF(A15="  ","  ",IF(AND(A14="  ",A16="  "),"?",IF(A14="  ",2*(A16-A15),IF(A16="  ",2*(A15-A14),2*(A16-A14)))))</f>
        <v>4</v>
      </c>
      <c r="D15" s="23">
        <f t="shared" si="26"/>
        <v>43.72</v>
      </c>
      <c r="E15" s="24">
        <f t="shared" si="1"/>
        <v>-1</v>
      </c>
      <c r="F15" s="23">
        <f t="shared" si="27"/>
        <v>-43.72</v>
      </c>
      <c r="G15" s="23">
        <f t="shared" si="28"/>
        <v>43.72</v>
      </c>
      <c r="H15" s="23">
        <f t="shared" si="29"/>
        <v>1305.7513569999999</v>
      </c>
      <c r="I15" s="23">
        <f t="shared" si="30"/>
        <v>5223.0054279999995</v>
      </c>
      <c r="J15" s="4"/>
      <c r="K15" s="37">
        <f t="shared" si="2"/>
        <v>31.572499999999998</v>
      </c>
      <c r="L15" s="23">
        <f t="shared" si="31"/>
        <v>126.28999999999999</v>
      </c>
      <c r="M15" s="38">
        <f t="shared" si="3"/>
        <v>24.099374999999998</v>
      </c>
      <c r="N15" s="27">
        <f t="shared" si="32"/>
        <v>96.397499999999994</v>
      </c>
      <c r="O15" s="23">
        <f t="shared" si="33"/>
        <v>-126.28999999999999</v>
      </c>
      <c r="P15" s="4"/>
      <c r="Q15" s="51" t="s">
        <v>44</v>
      </c>
      <c r="R15" s="48" t="s">
        <v>45</v>
      </c>
      <c r="S15">
        <f>IF(Tools!$L$49="Use 141 rule only",I39,IF(Tools!$L$49="Use 141 and 1331 rules",BG16," "))</f>
        <v>74020.444498812212</v>
      </c>
      <c r="W15" s="29">
        <f>IF(AO15="  ","  ",IF(AND(AO14="  ",AO16="  "),"?",IF(AO14="  ",2*(AO16-AO15),IF(AO16="  ",2*(AO15-AO14),2*(AO16-AO14)))))</f>
        <v>4</v>
      </c>
      <c r="X15" s="30" t="str">
        <f t="shared" si="4"/>
        <v>WW</v>
      </c>
      <c r="Y15" s="30" t="str">
        <f t="shared" si="5"/>
        <v>-</v>
      </c>
      <c r="Z15" s="29" t="b">
        <f t="shared" si="6"/>
        <v>0</v>
      </c>
      <c r="AA15" s="29" t="b">
        <f t="shared" si="7"/>
        <v>0</v>
      </c>
      <c r="AB15" s="29" t="str">
        <f t="shared" ca="1" si="8"/>
        <v>++</v>
      </c>
      <c r="AC15" s="29">
        <f t="shared" si="34"/>
        <v>12</v>
      </c>
      <c r="AD15" s="29">
        <f t="shared" ca="1" si="9"/>
        <v>12</v>
      </c>
      <c r="AE15" s="29">
        <v>12</v>
      </c>
      <c r="AF15" s="31">
        <f t="shared" si="42"/>
        <v>8</v>
      </c>
      <c r="AG15" s="29" t="b">
        <f t="shared" si="11"/>
        <v>1</v>
      </c>
      <c r="AH15" s="30" t="str">
        <f t="shared" ref="AH15:AH28" ca="1" si="43">IF(AND(AG15=TRUE,$AH$1=1),"141-4",IF(AG15=" ",IF(AND($AH$1=2,AF15=3),"141-1","-"),IF(OR(AG15=FALSE,AG15=" "),"-",IF(AG15=TRUE,IF(AND($AH$1=2,AF15=1),"141-1",IF(AND($AH$1=2,AF15=2),"141-4",IF(OR(ISODD($AH$1),AF15&gt;4),IF(AF15=1,"141-1",IF(OR(AB15="141-1",AB15="1331-1",AB15="1331-1,141-1"),"141-1",IF(AG16=" ","141-1",IF(OR(AH14="141-1",AH14="141-2",AH14="1331-1,141-1"),"141-4",IF(AH14="141-4","141-2","$$"))))),IF(ISEVEN($AH$1),IF(AF15=1,"1331-1",IF(OR(AF15=2,AF15=3),"1331-3",IF(AF15=4,IF($AH$1=4,"1331-1","1331-1,141-1"),"")))))))))))</f>
        <v>141-4</v>
      </c>
      <c r="AI15" s="30" t="str">
        <f t="shared" ca="1" si="13"/>
        <v/>
      </c>
      <c r="AJ15" s="29">
        <f t="shared" ca="1" si="14"/>
        <v>0</v>
      </c>
      <c r="AK15" s="29" t="str">
        <f t="shared" ca="1" si="15"/>
        <v>4/3</v>
      </c>
      <c r="AL15" s="29">
        <f t="shared" ca="1" si="16"/>
        <v>1.3333333333333333</v>
      </c>
      <c r="AM15" s="32">
        <f t="shared" ca="1" si="35"/>
        <v>1.3333333333333333</v>
      </c>
      <c r="AO15" s="20">
        <f>Tools!$AD14</f>
        <v>9</v>
      </c>
      <c r="AP15" s="33">
        <f t="shared" si="36"/>
        <v>10.93</v>
      </c>
      <c r="AQ15" s="34" t="str">
        <f t="shared" ca="1" si="18"/>
        <v>4/3</v>
      </c>
      <c r="AR15" s="23">
        <f t="shared" ca="1" si="19"/>
        <v>14.573333333333332</v>
      </c>
      <c r="AS15" s="24">
        <f t="shared" si="20"/>
        <v>-1</v>
      </c>
      <c r="AT15" s="23">
        <f t="shared" ca="1" si="37"/>
        <v>-14.573333333333332</v>
      </c>
      <c r="AU15" s="23">
        <f t="shared" ca="1" si="40"/>
        <v>14.573333333333332</v>
      </c>
      <c r="AV15" s="23">
        <f t="shared" si="21"/>
        <v>1305.7513569999999</v>
      </c>
      <c r="AW15" s="23">
        <f t="shared" ca="1" si="22"/>
        <v>1741.0018093333331</v>
      </c>
      <c r="AY15" s="35">
        <f t="shared" si="23"/>
        <v>31.572499999999998</v>
      </c>
      <c r="AZ15" s="23">
        <f t="shared" ca="1" si="41"/>
        <v>42.096666666666664</v>
      </c>
      <c r="BA15" s="36">
        <f t="shared" si="25"/>
        <v>24.099374999999998</v>
      </c>
      <c r="BB15" s="27">
        <f ca="1">IFERROR(BA15*AM15,"  ")</f>
        <v>32.132499999999993</v>
      </c>
      <c r="BC15" s="23">
        <f t="shared" ca="1" si="39"/>
        <v>-42.096666666666664</v>
      </c>
      <c r="BE15" s="50" t="s">
        <v>42</v>
      </c>
      <c r="BF15" s="48" t="s">
        <v>46</v>
      </c>
      <c r="BG15" s="49">
        <f ca="1">IF(WL_No="  ","  ",2*(h^3)*$AU$29)</f>
        <v>2559383.1083367397</v>
      </c>
    </row>
    <row r="16" spans="1:60" x14ac:dyDescent="0.25">
      <c r="A16" s="20">
        <f>Tools!$AD15</f>
        <v>10</v>
      </c>
      <c r="B16" s="33">
        <f t="shared" si="0"/>
        <v>10.93</v>
      </c>
      <c r="C16" s="22">
        <f>IF(A16="  ","  ",IF(AND(A15="  ",A17="  "),"?",IF(A15="  ",1*(A17-A16),IF(A17="  ",1*(A16-A15),1*(A17-A15)))))</f>
        <v>2</v>
      </c>
      <c r="D16" s="23">
        <f t="shared" si="26"/>
        <v>21.86</v>
      </c>
      <c r="E16" s="24">
        <f t="shared" si="1"/>
        <v>0</v>
      </c>
      <c r="F16" s="23">
        <f t="shared" si="27"/>
        <v>0</v>
      </c>
      <c r="G16" s="23">
        <f t="shared" si="28"/>
        <v>0</v>
      </c>
      <c r="H16" s="23">
        <f t="shared" si="29"/>
        <v>1305.7513569999999</v>
      </c>
      <c r="I16" s="23">
        <f t="shared" si="30"/>
        <v>2611.5027139999997</v>
      </c>
      <c r="J16" s="4"/>
      <c r="K16" s="37">
        <f t="shared" si="2"/>
        <v>31.572499999999998</v>
      </c>
      <c r="L16" s="23">
        <f t="shared" si="31"/>
        <v>63.144999999999996</v>
      </c>
      <c r="M16" s="38">
        <f t="shared" si="3"/>
        <v>24.099374999999998</v>
      </c>
      <c r="N16" s="27">
        <f t="shared" si="32"/>
        <v>48.198749999999997</v>
      </c>
      <c r="O16" s="23">
        <f t="shared" si="33"/>
        <v>0</v>
      </c>
      <c r="P16" s="4"/>
      <c r="Q16" s="50" t="s">
        <v>47</v>
      </c>
      <c r="R16" s="48" t="s">
        <v>48</v>
      </c>
      <c r="S16">
        <f>IF(Tools!$L$49="Use 141 rule only",I40,IF(Tools!$L$49="Use 141 and 1331 rules",BG17," "))</f>
        <v>2500899.8040433931</v>
      </c>
      <c r="W16" s="29">
        <f>IF(AO16="  ","  ",IF(AND(AO15="  ",AO17="  "),"?",IF(AO15="  ",1*(AO17-AO16),IF(AO17="  ",1*(AO16-AO15),1*(AO17-AO15)))))</f>
        <v>2</v>
      </c>
      <c r="X16" s="30" t="str">
        <f t="shared" si="4"/>
        <v>WW</v>
      </c>
      <c r="Y16" s="30" t="str">
        <f t="shared" si="5"/>
        <v>-</v>
      </c>
      <c r="Z16" s="29" t="b">
        <f t="shared" si="6"/>
        <v>0</v>
      </c>
      <c r="AA16" s="29" t="b">
        <f t="shared" si="7"/>
        <v>0</v>
      </c>
      <c r="AB16" s="29" t="str">
        <f t="shared" ca="1" si="8"/>
        <v>++</v>
      </c>
      <c r="AC16" s="29">
        <f t="shared" si="34"/>
        <v>13</v>
      </c>
      <c r="AD16" s="29">
        <f t="shared" ca="1" si="9"/>
        <v>13</v>
      </c>
      <c r="AE16" s="29">
        <v>13</v>
      </c>
      <c r="AF16" s="31">
        <f t="shared" si="42"/>
        <v>9</v>
      </c>
      <c r="AG16" s="29" t="b">
        <f t="shared" si="11"/>
        <v>1</v>
      </c>
      <c r="AH16" s="30" t="str">
        <f t="shared" ca="1" si="43"/>
        <v>141-2</v>
      </c>
      <c r="AI16" s="30" t="str">
        <f t="shared" ca="1" si="13"/>
        <v/>
      </c>
      <c r="AJ16" s="29">
        <f t="shared" ca="1" si="14"/>
        <v>0</v>
      </c>
      <c r="AK16" s="29" t="str">
        <f t="shared" ca="1" si="15"/>
        <v>2/3</v>
      </c>
      <c r="AL16" s="29">
        <f t="shared" ca="1" si="16"/>
        <v>0.66666666666666663</v>
      </c>
      <c r="AM16" s="32">
        <f t="shared" ca="1" si="35"/>
        <v>0.66666666666666663</v>
      </c>
      <c r="AO16" s="20">
        <f>Tools!$AD15</f>
        <v>10</v>
      </c>
      <c r="AP16" s="33">
        <f t="shared" si="36"/>
        <v>10.93</v>
      </c>
      <c r="AQ16" s="34" t="str">
        <f t="shared" ca="1" si="18"/>
        <v>2/3</v>
      </c>
      <c r="AR16" s="23">
        <f t="shared" ca="1" si="19"/>
        <v>7.2866666666666662</v>
      </c>
      <c r="AS16" s="24">
        <f t="shared" si="20"/>
        <v>0</v>
      </c>
      <c r="AT16" s="23">
        <f t="shared" ca="1" si="37"/>
        <v>0</v>
      </c>
      <c r="AU16" s="23">
        <f t="shared" ca="1" si="40"/>
        <v>0</v>
      </c>
      <c r="AV16" s="23">
        <f t="shared" si="21"/>
        <v>1305.7513569999999</v>
      </c>
      <c r="AW16" s="23">
        <f t="shared" ca="1" si="22"/>
        <v>870.50090466666654</v>
      </c>
      <c r="AY16" s="35">
        <f t="shared" si="23"/>
        <v>31.572499999999998</v>
      </c>
      <c r="AZ16" s="23">
        <f t="shared" ca="1" si="41"/>
        <v>21.048333333333332</v>
      </c>
      <c r="BA16" s="36">
        <f t="shared" si="25"/>
        <v>24.099374999999998</v>
      </c>
      <c r="BB16" s="27">
        <f t="shared" ca="1" si="38"/>
        <v>16.066249999999997</v>
      </c>
      <c r="BC16" s="23">
        <f ca="1">IFERROR(AZ16*AS16,"  ")</f>
        <v>0</v>
      </c>
      <c r="BE16" s="51" t="s">
        <v>44</v>
      </c>
      <c r="BF16" s="48" t="s">
        <v>49</v>
      </c>
      <c r="BG16" s="49">
        <f ca="1">IF(WL_No="  ","  ",2/3*h*$AW$29)</f>
        <v>74020.444498812212</v>
      </c>
    </row>
    <row r="17" spans="1:59" x14ac:dyDescent="0.25">
      <c r="A17" s="20">
        <f>Tools!$AD16</f>
        <v>11</v>
      </c>
      <c r="B17" s="33">
        <f t="shared" si="0"/>
        <v>10.93</v>
      </c>
      <c r="C17" s="22">
        <f>IF(A17="  ","  ",IF(AND(A16="  ",A18="  "),"?",IF(A16="  ",2*(A18-A17),IF(A18="  ",2*(A17-A16),2*(A18-A16)))))</f>
        <v>4</v>
      </c>
      <c r="D17" s="23">
        <f t="shared" si="26"/>
        <v>43.72</v>
      </c>
      <c r="E17" s="24">
        <f t="shared" si="1"/>
        <v>1</v>
      </c>
      <c r="F17" s="23">
        <f t="shared" si="27"/>
        <v>43.72</v>
      </c>
      <c r="G17" s="23">
        <f t="shared" si="28"/>
        <v>43.72</v>
      </c>
      <c r="H17" s="23">
        <f t="shared" si="29"/>
        <v>1305.7513569999999</v>
      </c>
      <c r="I17" s="23">
        <f t="shared" si="30"/>
        <v>5223.0054279999995</v>
      </c>
      <c r="J17" s="4"/>
      <c r="K17" s="37">
        <f t="shared" si="2"/>
        <v>31.572499999999998</v>
      </c>
      <c r="L17" s="23">
        <f t="shared" si="31"/>
        <v>126.28999999999999</v>
      </c>
      <c r="M17" s="38">
        <f t="shared" si="3"/>
        <v>24.099374999999998</v>
      </c>
      <c r="N17" s="27">
        <f t="shared" si="32"/>
        <v>96.397499999999994</v>
      </c>
      <c r="O17" s="23">
        <f t="shared" si="33"/>
        <v>126.28999999999999</v>
      </c>
      <c r="P17" s="4"/>
      <c r="Q17" s="50" t="s">
        <v>50</v>
      </c>
      <c r="R17" s="48" t="s">
        <v>51</v>
      </c>
      <c r="S17">
        <f>IF(Tools!$L$49="Use 141 rule only",I41,IF(Tools!$L$49="Use 141 and 1331 rules",BG18," "))</f>
        <v>3193.3684236111103</v>
      </c>
      <c r="W17" s="29">
        <f>IF(AO17="  ","  ",IF(AND(AO16="  ",AO18="  "),"?",IF(AO16="  ",2*(AO18-AO17),IF(AO18="  ",2*(AO17-AO16),2*(AO18-AO16)))))</f>
        <v>4</v>
      </c>
      <c r="X17" s="30" t="str">
        <f t="shared" si="4"/>
        <v>WW</v>
      </c>
      <c r="Y17" s="30" t="str">
        <f t="shared" si="5"/>
        <v>-</v>
      </c>
      <c r="Z17" s="29" t="b">
        <f t="shared" si="6"/>
        <v>0</v>
      </c>
      <c r="AA17" s="29" t="b">
        <f t="shared" si="7"/>
        <v>0</v>
      </c>
      <c r="AB17" s="29" t="str">
        <f t="shared" ca="1" si="8"/>
        <v>++</v>
      </c>
      <c r="AC17" s="29">
        <f t="shared" si="34"/>
        <v>12</v>
      </c>
      <c r="AD17" s="29">
        <f t="shared" ca="1" si="9"/>
        <v>12</v>
      </c>
      <c r="AE17" s="29">
        <v>14</v>
      </c>
      <c r="AF17" s="31">
        <f t="shared" si="42"/>
        <v>10</v>
      </c>
      <c r="AG17" s="29" t="b">
        <f t="shared" si="11"/>
        <v>1</v>
      </c>
      <c r="AH17" s="30" t="str">
        <f t="shared" ca="1" si="43"/>
        <v>141-4</v>
      </c>
      <c r="AI17" s="30" t="str">
        <f t="shared" ca="1" si="13"/>
        <v/>
      </c>
      <c r="AJ17" s="29">
        <f t="shared" ca="1" si="14"/>
        <v>0</v>
      </c>
      <c r="AK17" s="29" t="str">
        <f t="shared" ca="1" si="15"/>
        <v>4/3</v>
      </c>
      <c r="AL17" s="29">
        <f t="shared" ca="1" si="16"/>
        <v>1.3333333333333333</v>
      </c>
      <c r="AM17" s="32">
        <f t="shared" ca="1" si="35"/>
        <v>1.3333333333333333</v>
      </c>
      <c r="AO17" s="20">
        <f>Tools!$AD16</f>
        <v>11</v>
      </c>
      <c r="AP17" s="33">
        <f t="shared" si="36"/>
        <v>10.93</v>
      </c>
      <c r="AQ17" s="34" t="str">
        <f t="shared" ca="1" si="18"/>
        <v>4/3</v>
      </c>
      <c r="AR17" s="23">
        <f t="shared" ca="1" si="19"/>
        <v>14.573333333333332</v>
      </c>
      <c r="AS17" s="24">
        <f t="shared" si="20"/>
        <v>1</v>
      </c>
      <c r="AT17" s="23">
        <f t="shared" ca="1" si="37"/>
        <v>14.573333333333332</v>
      </c>
      <c r="AU17" s="23">
        <f t="shared" ca="1" si="40"/>
        <v>14.573333333333332</v>
      </c>
      <c r="AV17" s="23">
        <f t="shared" si="21"/>
        <v>1305.7513569999999</v>
      </c>
      <c r="AW17" s="23">
        <f t="shared" ca="1" si="22"/>
        <v>1741.0018093333331</v>
      </c>
      <c r="AY17" s="35">
        <f t="shared" si="23"/>
        <v>31.572499999999998</v>
      </c>
      <c r="AZ17" s="23">
        <f t="shared" ca="1" si="41"/>
        <v>42.096666666666664</v>
      </c>
      <c r="BA17" s="36">
        <f t="shared" si="25"/>
        <v>24.099374999999998</v>
      </c>
      <c r="BB17" s="27">
        <f t="shared" ca="1" si="38"/>
        <v>32.132499999999993</v>
      </c>
      <c r="BC17" s="23">
        <f t="shared" ca="1" si="39"/>
        <v>42.096666666666664</v>
      </c>
      <c r="BE17" s="50" t="s">
        <v>47</v>
      </c>
      <c r="BF17" s="48" t="s">
        <v>48</v>
      </c>
      <c r="BG17" s="49">
        <f>IF(WL_No="  ","  ",IL-AWP*(LCF^2))</f>
        <v>2500899.8040433931</v>
      </c>
    </row>
    <row r="18" spans="1:59" x14ac:dyDescent="0.25">
      <c r="A18" s="20">
        <f>Tools!$AD17</f>
        <v>12</v>
      </c>
      <c r="B18" s="33">
        <f t="shared" si="0"/>
        <v>10.93</v>
      </c>
      <c r="C18" s="22">
        <f>IF(A18="  ","  ",IF(AND(A17="  ",A19="  "),"?",IF(A17="  ",1*(A19-A18),IF(A19="  ",1*(A18-A17),1*(A19-A17)))))</f>
        <v>2</v>
      </c>
      <c r="D18" s="23">
        <f t="shared" si="26"/>
        <v>21.86</v>
      </c>
      <c r="E18" s="24">
        <f t="shared" si="1"/>
        <v>2</v>
      </c>
      <c r="F18" s="23">
        <f t="shared" si="27"/>
        <v>43.72</v>
      </c>
      <c r="G18" s="23">
        <f t="shared" si="28"/>
        <v>87.44</v>
      </c>
      <c r="H18" s="23">
        <f t="shared" si="29"/>
        <v>1305.7513569999999</v>
      </c>
      <c r="I18" s="23">
        <f t="shared" si="30"/>
        <v>2611.5027139999997</v>
      </c>
      <c r="J18" s="4"/>
      <c r="K18" s="37">
        <f t="shared" si="2"/>
        <v>31.572499999999998</v>
      </c>
      <c r="L18" s="23">
        <f t="shared" si="31"/>
        <v>63.144999999999996</v>
      </c>
      <c r="M18" s="38">
        <f t="shared" si="3"/>
        <v>24.099374999999998</v>
      </c>
      <c r="N18" s="27">
        <f t="shared" si="32"/>
        <v>48.198749999999997</v>
      </c>
      <c r="O18" s="23">
        <f t="shared" si="33"/>
        <v>126.28999999999999</v>
      </c>
      <c r="P18" s="4"/>
      <c r="Q18" s="50" t="s">
        <v>52</v>
      </c>
      <c r="R18" s="48" t="s">
        <v>53</v>
      </c>
      <c r="S18">
        <f>IF(Tools!$L$49="Use 141 rule only",I42,IF(Tools!$L$49="Use 141 and 1331 rules",BG19," "))</f>
        <v>3292.8418500065964</v>
      </c>
      <c r="W18" s="29">
        <f>IF(AO18="  ","  ",IF(AND(AO17="  ",AO19="  "),"?",IF(AO17="  ",1*(AO19-AO18),IF(AO19="  ",1*(AO18-AO17),1*(AO19-AO17)))))</f>
        <v>2</v>
      </c>
      <c r="X18" s="30" t="str">
        <f t="shared" si="4"/>
        <v>WW</v>
      </c>
      <c r="Y18" s="30" t="str">
        <f t="shared" si="5"/>
        <v>-</v>
      </c>
      <c r="Z18" s="29" t="b">
        <f t="shared" si="6"/>
        <v>0</v>
      </c>
      <c r="AA18" s="29" t="b">
        <f t="shared" si="7"/>
        <v>0</v>
      </c>
      <c r="AB18" s="29" t="str">
        <f t="shared" ca="1" si="8"/>
        <v>++</v>
      </c>
      <c r="AC18" s="29">
        <f t="shared" si="34"/>
        <v>11</v>
      </c>
      <c r="AD18" s="29">
        <f t="shared" ca="1" si="9"/>
        <v>11</v>
      </c>
      <c r="AE18" s="29">
        <v>15</v>
      </c>
      <c r="AF18" s="31">
        <f t="shared" si="42"/>
        <v>11</v>
      </c>
      <c r="AG18" s="29" t="b">
        <f t="shared" si="11"/>
        <v>1</v>
      </c>
      <c r="AH18" s="30" t="str">
        <f t="shared" ca="1" si="43"/>
        <v>141-2</v>
      </c>
      <c r="AI18" s="30" t="str">
        <f t="shared" ca="1" si="13"/>
        <v/>
      </c>
      <c r="AJ18" s="29">
        <f t="shared" ca="1" si="14"/>
        <v>0</v>
      </c>
      <c r="AK18" s="29" t="str">
        <f t="shared" ca="1" si="15"/>
        <v>2/3</v>
      </c>
      <c r="AL18" s="29">
        <f t="shared" ca="1" si="16"/>
        <v>0.66666666666666663</v>
      </c>
      <c r="AM18" s="32">
        <f t="shared" ca="1" si="35"/>
        <v>0.66666666666666663</v>
      </c>
      <c r="AO18" s="20">
        <f>Tools!$AD17</f>
        <v>12</v>
      </c>
      <c r="AP18" s="33">
        <f t="shared" si="36"/>
        <v>10.93</v>
      </c>
      <c r="AQ18" s="34" t="str">
        <f t="shared" ca="1" si="18"/>
        <v>2/3</v>
      </c>
      <c r="AR18" s="23">
        <f t="shared" ca="1" si="19"/>
        <v>7.2866666666666662</v>
      </c>
      <c r="AS18" s="24">
        <f t="shared" si="20"/>
        <v>2</v>
      </c>
      <c r="AT18" s="23">
        <f t="shared" ca="1" si="37"/>
        <v>14.573333333333332</v>
      </c>
      <c r="AU18" s="23">
        <f t="shared" ca="1" si="40"/>
        <v>29.146666666666665</v>
      </c>
      <c r="AV18" s="23">
        <f t="shared" si="21"/>
        <v>1305.7513569999999</v>
      </c>
      <c r="AW18" s="23">
        <f t="shared" ca="1" si="22"/>
        <v>870.50090466666654</v>
      </c>
      <c r="AY18" s="35">
        <f t="shared" si="23"/>
        <v>31.572499999999998</v>
      </c>
      <c r="AZ18" s="23">
        <f t="shared" ca="1" si="41"/>
        <v>21.048333333333332</v>
      </c>
      <c r="BA18" s="36">
        <f t="shared" si="25"/>
        <v>24.099374999999998</v>
      </c>
      <c r="BB18" s="27">
        <f t="shared" ca="1" si="38"/>
        <v>16.066249999999997</v>
      </c>
      <c r="BC18" s="23">
        <f t="shared" ca="1" si="39"/>
        <v>42.096666666666664</v>
      </c>
      <c r="BE18" s="50" t="s">
        <v>50</v>
      </c>
      <c r="BF18" s="48" t="s">
        <v>54</v>
      </c>
      <c r="BG18" s="49">
        <f ca="1">IF(WL_No="  ","  ",h*$AZ$29)</f>
        <v>3193.3684236111103</v>
      </c>
    </row>
    <row r="19" spans="1:59" x14ac:dyDescent="0.25">
      <c r="A19" s="20">
        <f>Tools!$AD18</f>
        <v>13</v>
      </c>
      <c r="B19" s="33">
        <f t="shared" si="0"/>
        <v>10.93</v>
      </c>
      <c r="C19" s="22">
        <f>IF(A19="  ","  ",IF(AND(A18="  ",A20="  "),"?",IF(A18="  ",2*(A20-A19),IF(A20="  ",2*(A19-A18),2*(A20-A18)))))</f>
        <v>4</v>
      </c>
      <c r="D19" s="23">
        <f t="shared" si="26"/>
        <v>43.72</v>
      </c>
      <c r="E19" s="24">
        <f t="shared" si="1"/>
        <v>3</v>
      </c>
      <c r="F19" s="23">
        <f t="shared" si="27"/>
        <v>131.16</v>
      </c>
      <c r="G19" s="23">
        <f t="shared" si="28"/>
        <v>393.48</v>
      </c>
      <c r="H19" s="23">
        <f t="shared" si="29"/>
        <v>1305.7513569999999</v>
      </c>
      <c r="I19" s="23">
        <f t="shared" si="30"/>
        <v>5223.0054279999995</v>
      </c>
      <c r="J19" s="4"/>
      <c r="K19" s="37">
        <f t="shared" si="2"/>
        <v>31.572499999999998</v>
      </c>
      <c r="L19" s="23">
        <f t="shared" si="31"/>
        <v>126.28999999999999</v>
      </c>
      <c r="M19" s="38">
        <f t="shared" si="3"/>
        <v>24.099374999999998</v>
      </c>
      <c r="N19" s="27">
        <f t="shared" si="32"/>
        <v>96.397499999999994</v>
      </c>
      <c r="O19" s="23">
        <f t="shared" si="33"/>
        <v>378.87</v>
      </c>
      <c r="P19" s="4"/>
      <c r="Q19" s="50" t="s">
        <v>55</v>
      </c>
      <c r="R19" s="48" t="s">
        <v>56</v>
      </c>
      <c r="S19">
        <f>IF(Tools!$L$49="Use 141 rule only",I43,IF(Tools!$L$49="Use 141 and 1331 rules",BG20," "))</f>
        <v>2485.3946697916667</v>
      </c>
      <c r="W19" s="29">
        <f>IF(AO19="  ","  ",IF(AND(AO18="  ",AO20="  "),"?",IF(AO18="  ",2*(AO20-AO19),IF(AO20="  ",2*(AO19-AO18),2*(AO20-AO18)))))</f>
        <v>4</v>
      </c>
      <c r="X19" s="30" t="str">
        <f t="shared" si="4"/>
        <v>WW</v>
      </c>
      <c r="Y19" s="30" t="str">
        <f t="shared" si="5"/>
        <v>-</v>
      </c>
      <c r="Z19" s="29" t="b">
        <f t="shared" si="6"/>
        <v>0</v>
      </c>
      <c r="AA19" s="29" t="b">
        <f t="shared" si="7"/>
        <v>0</v>
      </c>
      <c r="AB19" s="29" t="str">
        <f t="shared" ca="1" si="8"/>
        <v>++</v>
      </c>
      <c r="AC19" s="29">
        <f t="shared" si="34"/>
        <v>10</v>
      </c>
      <c r="AD19" s="29">
        <f t="shared" ca="1" si="9"/>
        <v>10</v>
      </c>
      <c r="AE19" s="29">
        <v>16</v>
      </c>
      <c r="AF19" s="31">
        <f t="shared" si="42"/>
        <v>12</v>
      </c>
      <c r="AG19" s="29" t="b">
        <f t="shared" si="11"/>
        <v>1</v>
      </c>
      <c r="AH19" s="30" t="str">
        <f t="shared" ca="1" si="43"/>
        <v>141-4</v>
      </c>
      <c r="AI19" s="30" t="str">
        <f t="shared" ca="1" si="13"/>
        <v/>
      </c>
      <c r="AJ19" s="29">
        <f t="shared" ca="1" si="14"/>
        <v>0</v>
      </c>
      <c r="AK19" s="29" t="str">
        <f t="shared" ca="1" si="15"/>
        <v>4/3</v>
      </c>
      <c r="AL19" s="29">
        <f t="shared" ca="1" si="16"/>
        <v>1.3333333333333333</v>
      </c>
      <c r="AM19" s="32">
        <f t="shared" ca="1" si="35"/>
        <v>1.3333333333333333</v>
      </c>
      <c r="AO19" s="20">
        <f>Tools!$AD18</f>
        <v>13</v>
      </c>
      <c r="AP19" s="33">
        <f t="shared" si="36"/>
        <v>10.93</v>
      </c>
      <c r="AQ19" s="34" t="str">
        <f t="shared" ca="1" si="18"/>
        <v>4/3</v>
      </c>
      <c r="AR19" s="23">
        <f t="shared" ca="1" si="19"/>
        <v>14.573333333333332</v>
      </c>
      <c r="AS19" s="24">
        <f t="shared" si="20"/>
        <v>3</v>
      </c>
      <c r="AT19" s="23">
        <f t="shared" ca="1" si="37"/>
        <v>43.72</v>
      </c>
      <c r="AU19" s="23">
        <f t="shared" ca="1" si="40"/>
        <v>131.16</v>
      </c>
      <c r="AV19" s="23">
        <f t="shared" si="21"/>
        <v>1305.7513569999999</v>
      </c>
      <c r="AW19" s="23">
        <f t="shared" ca="1" si="22"/>
        <v>1741.0018093333331</v>
      </c>
      <c r="AY19" s="35">
        <f t="shared" si="23"/>
        <v>31.572499999999998</v>
      </c>
      <c r="AZ19" s="23">
        <f t="shared" ca="1" si="41"/>
        <v>42.096666666666664</v>
      </c>
      <c r="BA19" s="36">
        <f t="shared" si="25"/>
        <v>24.099374999999998</v>
      </c>
      <c r="BB19" s="27">
        <f t="shared" ca="1" si="38"/>
        <v>32.132499999999993</v>
      </c>
      <c r="BC19" s="23">
        <f t="shared" ca="1" si="39"/>
        <v>126.28999999999999</v>
      </c>
      <c r="BE19" s="50" t="s">
        <v>52</v>
      </c>
      <c r="BF19" s="48" t="s">
        <v>53</v>
      </c>
      <c r="BG19" s="49">
        <f>IF(WL_No="  ","  ",V_Disp*1.025*1.006)</f>
        <v>3292.8418500065964</v>
      </c>
    </row>
    <row r="20" spans="1:59" x14ac:dyDescent="0.25">
      <c r="A20" s="20">
        <f>Tools!$AD19</f>
        <v>14</v>
      </c>
      <c r="B20" s="33">
        <f t="shared" si="0"/>
        <v>10.87</v>
      </c>
      <c r="C20" s="22">
        <f>IF(A20="  ","  ",IF(AND(A19="  ",A21="  "),"?",IF(A19="  ",1*(A21-A20),IF(A21="  ",1*(A20-A19),1*(A21-A19)))))</f>
        <v>2</v>
      </c>
      <c r="D20" s="23">
        <f t="shared" si="26"/>
        <v>21.74</v>
      </c>
      <c r="E20" s="24">
        <f t="shared" si="1"/>
        <v>4</v>
      </c>
      <c r="F20" s="23">
        <f t="shared" si="27"/>
        <v>86.96</v>
      </c>
      <c r="G20" s="23">
        <f t="shared" si="28"/>
        <v>347.84</v>
      </c>
      <c r="H20" s="23">
        <f t="shared" si="29"/>
        <v>1284.3655029999998</v>
      </c>
      <c r="I20" s="23">
        <f t="shared" si="30"/>
        <v>2568.7310059999995</v>
      </c>
      <c r="J20" s="4"/>
      <c r="K20" s="37">
        <f t="shared" si="2"/>
        <v>31.226666666666663</v>
      </c>
      <c r="L20" s="23">
        <f t="shared" si="31"/>
        <v>62.453333333333326</v>
      </c>
      <c r="M20" s="38">
        <f t="shared" si="3"/>
        <v>23.889999999999993</v>
      </c>
      <c r="N20" s="27">
        <f t="shared" si="32"/>
        <v>47.779999999999987</v>
      </c>
      <c r="O20" s="23">
        <f t="shared" si="33"/>
        <v>249.8133333333333</v>
      </c>
      <c r="P20" s="4"/>
      <c r="Q20" s="50" t="s">
        <v>57</v>
      </c>
      <c r="R20" s="48" t="s">
        <v>58</v>
      </c>
      <c r="S20">
        <f>IF(Tools!$L$49="Use 141 rule only",I44,IF(Tools!$L$49="Use 141 and 1331 rules",BG21," "))</f>
        <v>17329.431133527782</v>
      </c>
      <c r="W20" s="29">
        <f>IF(AO20="  ","  ",IF(AND(AO19="  ",AO21="  "),"?",IF(AO19="  ",1*(AO21-AO20),IF(AO21="  ",1*(AO20-AO19),1*(AO21-AO19)))))</f>
        <v>2</v>
      </c>
      <c r="X20" s="30" t="str">
        <f t="shared" si="4"/>
        <v>WW</v>
      </c>
      <c r="Y20" s="30" t="str">
        <f t="shared" si="5"/>
        <v>-</v>
      </c>
      <c r="Z20" s="29" t="b">
        <f t="shared" si="6"/>
        <v>0</v>
      </c>
      <c r="AA20" s="29" t="b">
        <f t="shared" si="7"/>
        <v>0</v>
      </c>
      <c r="AB20" s="29" t="str">
        <f t="shared" ca="1" si="8"/>
        <v>++</v>
      </c>
      <c r="AC20" s="29">
        <f t="shared" si="34"/>
        <v>9</v>
      </c>
      <c r="AD20" s="29">
        <f t="shared" ca="1" si="9"/>
        <v>9</v>
      </c>
      <c r="AE20" s="29">
        <v>17</v>
      </c>
      <c r="AF20" s="31">
        <f t="shared" si="42"/>
        <v>13</v>
      </c>
      <c r="AG20" s="29" t="b">
        <f t="shared" si="11"/>
        <v>1</v>
      </c>
      <c r="AH20" s="30" t="str">
        <f t="shared" ca="1" si="43"/>
        <v>141-2</v>
      </c>
      <c r="AI20" s="30" t="str">
        <f t="shared" ca="1" si="13"/>
        <v/>
      </c>
      <c r="AJ20" s="29">
        <f t="shared" ca="1" si="14"/>
        <v>0</v>
      </c>
      <c r="AK20" s="29" t="str">
        <f t="shared" ca="1" si="15"/>
        <v>2/3</v>
      </c>
      <c r="AL20" s="29">
        <f t="shared" ca="1" si="16"/>
        <v>0.66666666666666663</v>
      </c>
      <c r="AM20" s="32">
        <f t="shared" ca="1" si="35"/>
        <v>0.66666666666666663</v>
      </c>
      <c r="AO20" s="20">
        <f>Tools!$AD19</f>
        <v>14</v>
      </c>
      <c r="AP20" s="33">
        <f t="shared" si="36"/>
        <v>10.87</v>
      </c>
      <c r="AQ20" s="34" t="str">
        <f t="shared" ca="1" si="18"/>
        <v>2/3</v>
      </c>
      <c r="AR20" s="23">
        <f t="shared" ca="1" si="19"/>
        <v>7.2466666666666661</v>
      </c>
      <c r="AS20" s="24">
        <f t="shared" si="20"/>
        <v>4</v>
      </c>
      <c r="AT20" s="23">
        <f t="shared" ca="1" si="37"/>
        <v>28.986666666666665</v>
      </c>
      <c r="AU20" s="23">
        <f t="shared" ca="1" si="40"/>
        <v>115.94666666666666</v>
      </c>
      <c r="AV20" s="23">
        <f t="shared" si="21"/>
        <v>1284.3655029999998</v>
      </c>
      <c r="AW20" s="23">
        <f t="shared" ca="1" si="22"/>
        <v>856.24366866666651</v>
      </c>
      <c r="AY20" s="35">
        <f t="shared" si="23"/>
        <v>31.226666666666663</v>
      </c>
      <c r="AZ20" s="23">
        <f t="shared" ca="1" si="41"/>
        <v>20.817777777777774</v>
      </c>
      <c r="BA20" s="36">
        <f t="shared" si="25"/>
        <v>23.889999999999993</v>
      </c>
      <c r="BB20" s="27">
        <f t="shared" ca="1" si="38"/>
        <v>15.926666666666662</v>
      </c>
      <c r="BC20" s="23">
        <f t="shared" ca="1" si="39"/>
        <v>83.271111111111097</v>
      </c>
      <c r="BE20" s="50" t="s">
        <v>55</v>
      </c>
      <c r="BF20" s="48" t="s">
        <v>59</v>
      </c>
      <c r="BG20" s="49">
        <f ca="1">IF(WL_No="  ","  ",h*$BB$29)</f>
        <v>2485.3946697916654</v>
      </c>
    </row>
    <row r="21" spans="1:59" x14ac:dyDescent="0.25">
      <c r="A21" s="20">
        <f>Tools!$AD20</f>
        <v>15</v>
      </c>
      <c r="B21" s="33">
        <f t="shared" si="0"/>
        <v>10.5</v>
      </c>
      <c r="C21" s="22">
        <f>IF(A21="  ","  ",IF(AND(A20="  ",A22="  "),"?",IF(A20="  ",2*(A22-A21),IF(A22="  ",2*(A21-A20),2*(A22-A20)))))</f>
        <v>4</v>
      </c>
      <c r="D21" s="23">
        <f t="shared" si="26"/>
        <v>42</v>
      </c>
      <c r="E21" s="24">
        <f t="shared" si="1"/>
        <v>5</v>
      </c>
      <c r="F21" s="23">
        <f t="shared" si="27"/>
        <v>210</v>
      </c>
      <c r="G21" s="23">
        <f t="shared" si="28"/>
        <v>1050</v>
      </c>
      <c r="H21" s="23">
        <f t="shared" si="29"/>
        <v>1157.625</v>
      </c>
      <c r="I21" s="23">
        <f t="shared" si="30"/>
        <v>4630.5</v>
      </c>
      <c r="J21" s="4"/>
      <c r="K21" s="37">
        <f t="shared" si="2"/>
        <v>29.71833333333333</v>
      </c>
      <c r="L21" s="23">
        <f t="shared" si="31"/>
        <v>118.87333333333332</v>
      </c>
      <c r="M21" s="38">
        <f t="shared" si="3"/>
        <v>22.853749999999998</v>
      </c>
      <c r="N21" s="27">
        <f t="shared" si="32"/>
        <v>91.414999999999992</v>
      </c>
      <c r="O21" s="23">
        <f t="shared" si="33"/>
        <v>594.36666666666656</v>
      </c>
      <c r="P21" s="4"/>
      <c r="Q21" s="50" t="s">
        <v>60</v>
      </c>
      <c r="R21" s="48" t="s">
        <v>61</v>
      </c>
      <c r="S21">
        <f>IF(Tools!$L$49="Use 141 rule only",I45,IF(Tools!$L$49="Use 141 and 1331 rules",BG22," "))</f>
        <v>783.15417211251088</v>
      </c>
      <c r="W21" s="29">
        <f>IF(AO21="  ","  ",IF(AND(AO20="  ",AO22="  "),"?",IF(AO20="  ",2*(AO22-AO21),IF(AO22="  ",2*(AO21-AO20),2*(AO22-AO20)))))</f>
        <v>4</v>
      </c>
      <c r="X21" s="30" t="str">
        <f t="shared" si="4"/>
        <v>WW</v>
      </c>
      <c r="Y21" s="30" t="str">
        <f t="shared" si="5"/>
        <v>-</v>
      </c>
      <c r="Z21" s="29" t="b">
        <f t="shared" si="6"/>
        <v>0</v>
      </c>
      <c r="AA21" s="29" t="b">
        <f t="shared" si="7"/>
        <v>0</v>
      </c>
      <c r="AB21" s="29" t="str">
        <f t="shared" ca="1" si="8"/>
        <v>++</v>
      </c>
      <c r="AC21" s="29">
        <f t="shared" si="34"/>
        <v>8</v>
      </c>
      <c r="AD21" s="29">
        <f t="shared" ca="1" si="9"/>
        <v>8</v>
      </c>
      <c r="AE21" s="29">
        <v>18</v>
      </c>
      <c r="AF21" s="31">
        <f t="shared" si="42"/>
        <v>14</v>
      </c>
      <c r="AG21" s="29" t="b">
        <f t="shared" si="11"/>
        <v>1</v>
      </c>
      <c r="AH21" s="30" t="str">
        <f t="shared" ca="1" si="43"/>
        <v>141-4</v>
      </c>
      <c r="AI21" s="30" t="str">
        <f t="shared" ca="1" si="13"/>
        <v/>
      </c>
      <c r="AJ21" s="29">
        <f t="shared" ca="1" si="14"/>
        <v>0</v>
      </c>
      <c r="AK21" s="29" t="str">
        <f t="shared" ca="1" si="15"/>
        <v>4/3</v>
      </c>
      <c r="AL21" s="29">
        <f t="shared" ca="1" si="16"/>
        <v>1.3333333333333333</v>
      </c>
      <c r="AM21" s="32">
        <f t="shared" ca="1" si="35"/>
        <v>1.3333333333333333</v>
      </c>
      <c r="AO21" s="20">
        <f>Tools!$AD20</f>
        <v>15</v>
      </c>
      <c r="AP21" s="33">
        <f t="shared" si="36"/>
        <v>10.5</v>
      </c>
      <c r="AQ21" s="34" t="str">
        <f t="shared" ca="1" si="18"/>
        <v>4/3</v>
      </c>
      <c r="AR21" s="23">
        <f t="shared" ca="1" si="19"/>
        <v>14</v>
      </c>
      <c r="AS21" s="24">
        <f t="shared" si="20"/>
        <v>5</v>
      </c>
      <c r="AT21" s="23">
        <f t="shared" ca="1" si="37"/>
        <v>70</v>
      </c>
      <c r="AU21" s="23">
        <f t="shared" ca="1" si="40"/>
        <v>350</v>
      </c>
      <c r="AV21" s="23">
        <f t="shared" si="21"/>
        <v>1157.625</v>
      </c>
      <c r="AW21" s="23">
        <f t="shared" ca="1" si="22"/>
        <v>1543.5</v>
      </c>
      <c r="AY21" s="35">
        <f t="shared" si="23"/>
        <v>29.71833333333333</v>
      </c>
      <c r="AZ21" s="23">
        <f t="shared" ca="1" si="41"/>
        <v>39.624444444444435</v>
      </c>
      <c r="BA21" s="36">
        <f t="shared" si="25"/>
        <v>22.853749999999998</v>
      </c>
      <c r="BB21" s="27">
        <f t="shared" ca="1" si="38"/>
        <v>30.471666666666664</v>
      </c>
      <c r="BC21" s="23">
        <f t="shared" ca="1" si="39"/>
        <v>198.12222222222218</v>
      </c>
      <c r="BE21" s="50" t="s">
        <v>57</v>
      </c>
      <c r="BF21" s="48" t="s">
        <v>62</v>
      </c>
      <c r="BG21" s="49">
        <f ca="1">IF(WL_No="  ","  ",(h^2)*$BC$29)</f>
        <v>17329.431133527778</v>
      </c>
    </row>
    <row r="22" spans="1:59" x14ac:dyDescent="0.25">
      <c r="A22" s="20">
        <f>Tools!$AD21</f>
        <v>16</v>
      </c>
      <c r="B22" s="33">
        <f t="shared" si="0"/>
        <v>9.66</v>
      </c>
      <c r="C22" s="22">
        <f>IF(A22="  ","  ",IF(AND(A21="  ",A23="  "),"?",IF(A21="  ",1*(A23-A22),IF(A23="  ",1*(A22-A21),1*(A23-A21)))))</f>
        <v>2</v>
      </c>
      <c r="D22" s="23">
        <f t="shared" si="26"/>
        <v>19.32</v>
      </c>
      <c r="E22" s="24">
        <f t="shared" si="1"/>
        <v>6</v>
      </c>
      <c r="F22" s="23">
        <f t="shared" si="27"/>
        <v>115.92</v>
      </c>
      <c r="G22" s="23">
        <f t="shared" si="28"/>
        <v>695.52</v>
      </c>
      <c r="H22" s="23">
        <f t="shared" si="29"/>
        <v>901.42869600000006</v>
      </c>
      <c r="I22" s="23">
        <f t="shared" si="30"/>
        <v>1802.8573920000001</v>
      </c>
      <c r="J22" s="4"/>
      <c r="K22" s="37">
        <f t="shared" si="2"/>
        <v>26.614166666666662</v>
      </c>
      <c r="L22" s="23">
        <f t="shared" si="31"/>
        <v>53.228333333333325</v>
      </c>
      <c r="M22" s="38">
        <f t="shared" si="3"/>
        <v>20.711874999999999</v>
      </c>
      <c r="N22" s="27">
        <f t="shared" si="32"/>
        <v>41.423749999999998</v>
      </c>
      <c r="O22" s="23">
        <f t="shared" si="33"/>
        <v>319.36999999999995</v>
      </c>
      <c r="P22" s="4"/>
      <c r="Q22" s="50" t="s">
        <v>63</v>
      </c>
      <c r="R22" s="48" t="s">
        <v>64</v>
      </c>
      <c r="S22">
        <f>IF(Tools!$L$49="Use 141 rule only",I46,IF(Tools!$L$49="Use 141 and 1331 rules",BG23," "))</f>
        <v>23.179425196140929</v>
      </c>
      <c r="W22" s="29">
        <f>IF(AO22="  ","  ",IF(AND(AO21="  ",AO23="  "),"?",IF(AO21="  ",1*(AO23-AO22),IF(AO23="  ",1*(AO22-AO21),1*(AO23-AO21)))))</f>
        <v>2</v>
      </c>
      <c r="X22" s="30" t="str">
        <f t="shared" si="4"/>
        <v>WW</v>
      </c>
      <c r="Y22" s="30" t="str">
        <f t="shared" si="5"/>
        <v>-</v>
      </c>
      <c r="Z22" s="29" t="b">
        <f t="shared" si="6"/>
        <v>0</v>
      </c>
      <c r="AA22" s="29" t="b">
        <f t="shared" si="7"/>
        <v>0</v>
      </c>
      <c r="AB22" s="29" t="str">
        <f t="shared" ca="1" si="8"/>
        <v>++</v>
      </c>
      <c r="AC22" s="29">
        <f t="shared" si="34"/>
        <v>7</v>
      </c>
      <c r="AD22" s="29">
        <f t="shared" ca="1" si="9"/>
        <v>7</v>
      </c>
      <c r="AE22" s="29">
        <v>19</v>
      </c>
      <c r="AF22" s="31">
        <f t="shared" si="42"/>
        <v>15</v>
      </c>
      <c r="AG22" s="29" t="b">
        <f t="shared" si="11"/>
        <v>1</v>
      </c>
      <c r="AH22" s="30" t="str">
        <f t="shared" ca="1" si="43"/>
        <v>141-2</v>
      </c>
      <c r="AI22" s="30" t="str">
        <f t="shared" ca="1" si="13"/>
        <v/>
      </c>
      <c r="AJ22" s="29">
        <f t="shared" ca="1" si="14"/>
        <v>0</v>
      </c>
      <c r="AK22" s="29" t="str">
        <f t="shared" ca="1" si="15"/>
        <v>2/3</v>
      </c>
      <c r="AL22" s="29">
        <f t="shared" ca="1" si="16"/>
        <v>0.66666666666666663</v>
      </c>
      <c r="AM22" s="32">
        <f t="shared" ca="1" si="35"/>
        <v>0.66666666666666663</v>
      </c>
      <c r="AO22" s="20">
        <f>Tools!$AD21</f>
        <v>16</v>
      </c>
      <c r="AP22" s="33">
        <f t="shared" si="36"/>
        <v>9.66</v>
      </c>
      <c r="AQ22" s="34" t="str">
        <f t="shared" ca="1" si="18"/>
        <v>2/3</v>
      </c>
      <c r="AR22" s="23">
        <f t="shared" ca="1" si="19"/>
        <v>6.4399999999999995</v>
      </c>
      <c r="AS22" s="24">
        <f t="shared" si="20"/>
        <v>6</v>
      </c>
      <c r="AT22" s="23">
        <f t="shared" ca="1" si="37"/>
        <v>38.64</v>
      </c>
      <c r="AU22" s="23">
        <f t="shared" ca="1" si="40"/>
        <v>231.84</v>
      </c>
      <c r="AV22" s="23">
        <f t="shared" si="21"/>
        <v>901.42869600000006</v>
      </c>
      <c r="AW22" s="23">
        <f t="shared" ca="1" si="22"/>
        <v>600.95246399999996</v>
      </c>
      <c r="AY22" s="35">
        <f t="shared" si="23"/>
        <v>26.614166666666662</v>
      </c>
      <c r="AZ22" s="23">
        <f t="shared" ca="1" si="41"/>
        <v>17.742777777777775</v>
      </c>
      <c r="BA22" s="36">
        <f t="shared" si="25"/>
        <v>20.711874999999999</v>
      </c>
      <c r="BB22" s="27">
        <f t="shared" ca="1" si="38"/>
        <v>13.807916666666666</v>
      </c>
      <c r="BC22" s="23">
        <f t="shared" ca="1" si="39"/>
        <v>106.45666666666665</v>
      </c>
      <c r="BE22" s="50" t="s">
        <v>60</v>
      </c>
      <c r="BF22" s="48" t="s">
        <v>61</v>
      </c>
      <c r="BG22" s="49">
        <f>IF(WL_No="  ","  ",IF/V_Disp)</f>
        <v>783.15417211251088</v>
      </c>
    </row>
    <row r="23" spans="1:59" x14ac:dyDescent="0.25">
      <c r="A23" s="20">
        <f>Tools!$AD22</f>
        <v>17</v>
      </c>
      <c r="B23" s="33">
        <f t="shared" si="0"/>
        <v>8.0399999999999991</v>
      </c>
      <c r="C23" s="22">
        <f>IF(A23="  ","  ",IF(AND(A22="  ",A24="  "),"?",IF(A22="  ",2*(A24-A23),IF(A24="  ",2*(A23-A22),2*(A24-A22)))))</f>
        <v>4</v>
      </c>
      <c r="D23" s="23">
        <f t="shared" si="26"/>
        <v>32.159999999999997</v>
      </c>
      <c r="E23" s="24">
        <f t="shared" si="1"/>
        <v>7</v>
      </c>
      <c r="F23" s="23">
        <f t="shared" si="27"/>
        <v>225.11999999999998</v>
      </c>
      <c r="G23" s="23">
        <f t="shared" si="28"/>
        <v>1575.84</v>
      </c>
      <c r="H23" s="23">
        <f t="shared" si="29"/>
        <v>519.71846399999981</v>
      </c>
      <c r="I23" s="23">
        <f t="shared" si="30"/>
        <v>2078.8738559999993</v>
      </c>
      <c r="J23" s="4"/>
      <c r="K23" s="37">
        <f t="shared" si="2"/>
        <v>21.353333333333332</v>
      </c>
      <c r="L23" s="23">
        <f t="shared" si="31"/>
        <v>85.413333333333327</v>
      </c>
      <c r="M23" s="38">
        <f t="shared" si="3"/>
        <v>16.876249999999995</v>
      </c>
      <c r="N23" s="27">
        <f t="shared" si="32"/>
        <v>67.504999999999981</v>
      </c>
      <c r="O23" s="23">
        <f t="shared" si="33"/>
        <v>597.89333333333332</v>
      </c>
      <c r="P23" s="4"/>
      <c r="Q23" s="50" t="s">
        <v>65</v>
      </c>
      <c r="R23" s="48" t="s">
        <v>66</v>
      </c>
      <c r="S23">
        <f>IF(Tools!$L$49="Use 141 rule only",I47,IF(Tools!$L$49="Use 141 and 1331 rules",BG24," "))</f>
        <v>0.77829875545056715</v>
      </c>
      <c r="W23" s="29">
        <f>IF(AO23="  ","  ",IF(AND(AO22="  ",AO24="  "),"?",IF(AO22="  ",2*(AO24-AO23),IF(AO24="  ",2*(AO23-AO22),2*(AO24-AO22)))))</f>
        <v>4</v>
      </c>
      <c r="X23" s="30" t="str">
        <f t="shared" si="4"/>
        <v>WW</v>
      </c>
      <c r="Y23" s="30" t="str">
        <f t="shared" si="5"/>
        <v>-</v>
      </c>
      <c r="Z23" s="29" t="b">
        <f t="shared" si="6"/>
        <v>0</v>
      </c>
      <c r="AA23" s="29" t="b">
        <f t="shared" si="7"/>
        <v>0</v>
      </c>
      <c r="AB23" s="29" t="str">
        <f t="shared" ca="1" si="8"/>
        <v>++</v>
      </c>
      <c r="AC23" s="29">
        <f t="shared" si="34"/>
        <v>6</v>
      </c>
      <c r="AD23" s="29">
        <f t="shared" ca="1" si="9"/>
        <v>6</v>
      </c>
      <c r="AE23" s="29">
        <v>20</v>
      </c>
      <c r="AF23" s="31">
        <f t="shared" si="42"/>
        <v>16</v>
      </c>
      <c r="AG23" s="29" t="b">
        <f t="shared" si="11"/>
        <v>1</v>
      </c>
      <c r="AH23" s="30" t="str">
        <f t="shared" ca="1" si="43"/>
        <v>141-4</v>
      </c>
      <c r="AI23" s="30" t="str">
        <f t="shared" ca="1" si="13"/>
        <v/>
      </c>
      <c r="AJ23" s="29">
        <f t="shared" ca="1" si="14"/>
        <v>0</v>
      </c>
      <c r="AK23" s="29" t="str">
        <f t="shared" ca="1" si="15"/>
        <v>4/3</v>
      </c>
      <c r="AL23" s="29">
        <f t="shared" ca="1" si="16"/>
        <v>1.3333333333333333</v>
      </c>
      <c r="AM23" s="32">
        <f t="shared" ca="1" si="35"/>
        <v>1.3333333333333333</v>
      </c>
      <c r="AO23" s="20">
        <f>Tools!$AD22</f>
        <v>17</v>
      </c>
      <c r="AP23" s="33">
        <f t="shared" si="36"/>
        <v>8.0399999999999991</v>
      </c>
      <c r="AQ23" s="34" t="str">
        <f t="shared" ca="1" si="18"/>
        <v>4/3</v>
      </c>
      <c r="AR23" s="23">
        <f t="shared" ca="1" si="19"/>
        <v>10.719999999999999</v>
      </c>
      <c r="AS23" s="24">
        <f t="shared" si="20"/>
        <v>7</v>
      </c>
      <c r="AT23" s="23">
        <f t="shared" ca="1" si="37"/>
        <v>75.039999999999992</v>
      </c>
      <c r="AU23" s="23">
        <f t="shared" ca="1" si="40"/>
        <v>525.28</v>
      </c>
      <c r="AV23" s="23">
        <f t="shared" si="21"/>
        <v>519.71846399999981</v>
      </c>
      <c r="AW23" s="23">
        <f t="shared" ca="1" si="22"/>
        <v>692.95795199999975</v>
      </c>
      <c r="AY23" s="35">
        <f t="shared" si="23"/>
        <v>21.353333333333332</v>
      </c>
      <c r="AZ23" s="23">
        <f t="shared" ca="1" si="41"/>
        <v>28.471111111111107</v>
      </c>
      <c r="BA23" s="36">
        <f t="shared" si="25"/>
        <v>16.876249999999995</v>
      </c>
      <c r="BB23" s="27">
        <f t="shared" ca="1" si="38"/>
        <v>22.501666666666658</v>
      </c>
      <c r="BC23" s="23">
        <f t="shared" ca="1" si="39"/>
        <v>199.29777777777775</v>
      </c>
      <c r="BE23" s="50" t="s">
        <v>63</v>
      </c>
      <c r="BF23" s="48" t="s">
        <v>64</v>
      </c>
      <c r="BG23" s="49">
        <f>IF(WL_No="  ","  ",IT/V_Disp)</f>
        <v>23.179425196140929</v>
      </c>
    </row>
    <row r="24" spans="1:59" x14ac:dyDescent="0.25">
      <c r="A24" s="20">
        <f>Tools!$AD23</f>
        <v>18</v>
      </c>
      <c r="B24" s="33">
        <f t="shared" si="0"/>
        <v>5.87</v>
      </c>
      <c r="C24" s="22">
        <f>IF(A24="  ","  ",IF(AND(A23="  ",A25="  "),"?",IF(A23="  ",1*(A25-A24),IF(A25="  ",1*(A24-A23),1*(A25-A23)))))</f>
        <v>1.5</v>
      </c>
      <c r="D24" s="23">
        <f t="shared" si="26"/>
        <v>8.8049999999999997</v>
      </c>
      <c r="E24" s="24">
        <f t="shared" si="1"/>
        <v>8</v>
      </c>
      <c r="F24" s="23">
        <f t="shared" si="27"/>
        <v>70.44</v>
      </c>
      <c r="G24" s="23">
        <f t="shared" si="28"/>
        <v>563.52</v>
      </c>
      <c r="H24" s="23">
        <f t="shared" si="29"/>
        <v>202.26200300000002</v>
      </c>
      <c r="I24" s="23">
        <f t="shared" si="30"/>
        <v>303.39300450000002</v>
      </c>
      <c r="J24" s="4"/>
      <c r="K24" s="37">
        <f t="shared" si="2"/>
        <v>14.752499999999998</v>
      </c>
      <c r="L24" s="23">
        <f t="shared" si="31"/>
        <v>22.128749999999997</v>
      </c>
      <c r="M24" s="38">
        <f t="shared" si="3"/>
        <v>11.919375</v>
      </c>
      <c r="N24" s="27">
        <f t="shared" si="32"/>
        <v>17.8790625</v>
      </c>
      <c r="O24" s="23">
        <f t="shared" si="33"/>
        <v>177.02999999999997</v>
      </c>
      <c r="P24" s="4"/>
      <c r="Q24" s="50" t="s">
        <v>67</v>
      </c>
      <c r="R24" s="48" t="s">
        <v>68</v>
      </c>
      <c r="S24">
        <f>IF(Tools!$L$49="Use 141 rule only",I48,IF(Tools!$L$49="Use 141 and 1331 rules",BG25," "))</f>
        <v>23.957723951591497</v>
      </c>
      <c r="W24" s="29">
        <f>IF(AO24="  ","  ",IF(AND(AO23="  ",AO25="  "),"?",IF(AO23="  ",1*(AO25-AO24),IF(AO25="  ",1*(AO24-AO23),1*(AO25-AO23)))))</f>
        <v>1.5</v>
      </c>
      <c r="X24" s="30" t="str">
        <f t="shared" si="4"/>
        <v>WD</v>
      </c>
      <c r="Y24" s="30" t="str">
        <f t="shared" si="5"/>
        <v>-</v>
      </c>
      <c r="Z24" s="29" t="b">
        <f t="shared" si="6"/>
        <v>1</v>
      </c>
      <c r="AA24" s="29" t="b">
        <f t="shared" si="7"/>
        <v>1</v>
      </c>
      <c r="AB24" s="29" t="str">
        <f t="shared" ca="1" si="8"/>
        <v>141-1</v>
      </c>
      <c r="AC24" s="29">
        <f t="shared" si="34"/>
        <v>5</v>
      </c>
      <c r="AD24" s="29">
        <f t="shared" ca="1" si="9"/>
        <v>5</v>
      </c>
      <c r="AE24" s="29">
        <v>21</v>
      </c>
      <c r="AF24" s="31">
        <f t="shared" si="42"/>
        <v>17</v>
      </c>
      <c r="AG24" s="29" t="b">
        <f t="shared" si="11"/>
        <v>1</v>
      </c>
      <c r="AH24" s="30" t="str">
        <f t="shared" ca="1" si="43"/>
        <v>141-1</v>
      </c>
      <c r="AI24" s="30" t="str">
        <f t="shared" ca="1" si="13"/>
        <v>(1/2)*(1/3)</v>
      </c>
      <c r="AJ24" s="29">
        <f t="shared" ca="1" si="14"/>
        <v>0.16666666666666666</v>
      </c>
      <c r="AK24" s="29" t="str">
        <f t="shared" ca="1" si="15"/>
        <v>1/3</v>
      </c>
      <c r="AL24" s="29">
        <f t="shared" ca="1" si="16"/>
        <v>0.33333333333333331</v>
      </c>
      <c r="AM24" s="32">
        <f t="shared" ca="1" si="35"/>
        <v>0.5</v>
      </c>
      <c r="AO24" s="20">
        <f>Tools!$AD23</f>
        <v>18</v>
      </c>
      <c r="AP24" s="33">
        <f t="shared" si="36"/>
        <v>5.87</v>
      </c>
      <c r="AQ24" s="34" t="str">
        <f t="shared" ca="1" si="18"/>
        <v>(1/2)*(1/3)+1/3</v>
      </c>
      <c r="AR24" s="23">
        <f t="shared" ca="1" si="19"/>
        <v>2.9350000000000001</v>
      </c>
      <c r="AS24" s="24">
        <f t="shared" si="20"/>
        <v>8</v>
      </c>
      <c r="AT24" s="23">
        <f t="shared" ca="1" si="37"/>
        <v>23.48</v>
      </c>
      <c r="AU24" s="23">
        <f t="shared" ca="1" si="40"/>
        <v>187.84</v>
      </c>
      <c r="AV24" s="23">
        <f t="shared" si="21"/>
        <v>202.26200300000002</v>
      </c>
      <c r="AW24" s="23">
        <f t="shared" ca="1" si="22"/>
        <v>101.13100150000001</v>
      </c>
      <c r="AY24" s="35">
        <f t="shared" si="23"/>
        <v>14.752499999999998</v>
      </c>
      <c r="AZ24" s="23">
        <f t="shared" ca="1" si="41"/>
        <v>7.3762499999999989</v>
      </c>
      <c r="BA24" s="36">
        <f t="shared" si="25"/>
        <v>11.919375</v>
      </c>
      <c r="BB24" s="27">
        <f t="shared" ca="1" si="38"/>
        <v>5.9596875000000002</v>
      </c>
      <c r="BC24" s="23">
        <f t="shared" ca="1" si="39"/>
        <v>59.009999999999991</v>
      </c>
      <c r="BE24" s="50" t="s">
        <v>65</v>
      </c>
      <c r="BF24" s="48" t="s">
        <v>66</v>
      </c>
      <c r="BG24" s="49">
        <f>IF(WL_No="  ","  ",MT/V_Disp)</f>
        <v>0.77829875545056715</v>
      </c>
    </row>
    <row r="25" spans="1:59" x14ac:dyDescent="0.25">
      <c r="A25" s="20">
        <f>Tools!$AD24</f>
        <v>18.5</v>
      </c>
      <c r="B25" s="33">
        <f t="shared" si="0"/>
        <v>4.58</v>
      </c>
      <c r="C25" s="22">
        <f>IF(A25="  ","  ",IF(AND(A24="  ",A26="  "),"?",IF(A24="  ",2*(A26-A25),IF(A26="  ",2*(A25-A24),2*(A26-A24)))))</f>
        <v>2</v>
      </c>
      <c r="D25" s="23">
        <f t="shared" si="26"/>
        <v>9.16</v>
      </c>
      <c r="E25" s="24">
        <f t="shared" si="1"/>
        <v>8.5</v>
      </c>
      <c r="F25" s="23">
        <f t="shared" si="27"/>
        <v>77.86</v>
      </c>
      <c r="G25" s="23">
        <f t="shared" si="28"/>
        <v>661.81</v>
      </c>
      <c r="H25" s="23">
        <f t="shared" si="29"/>
        <v>96.071912000000012</v>
      </c>
      <c r="I25" s="23">
        <f t="shared" si="30"/>
        <v>192.14382400000002</v>
      </c>
      <c r="J25" s="4"/>
      <c r="K25" s="37">
        <f t="shared" si="2"/>
        <v>11.077499999999999</v>
      </c>
      <c r="L25" s="23">
        <f t="shared" si="31"/>
        <v>22.154999999999998</v>
      </c>
      <c r="M25" s="38">
        <f t="shared" si="3"/>
        <v>9.1406249999999982</v>
      </c>
      <c r="N25" s="27">
        <f t="shared" si="32"/>
        <v>18.281249999999996</v>
      </c>
      <c r="O25" s="23">
        <f t="shared" si="33"/>
        <v>188.31749999999997</v>
      </c>
      <c r="P25" s="4"/>
      <c r="Q25" s="50" t="s">
        <v>69</v>
      </c>
      <c r="R25" s="48" t="s">
        <v>70</v>
      </c>
      <c r="S25">
        <f>IF(Tools!$L$49="Use 141 rule only",I49,IF(Tools!$L$49="Use 141 and 1331 rules",BG26," "))</f>
        <v>783.93247086796146</v>
      </c>
      <c r="W25" s="29">
        <f>IF(AO25="  ","  ",IF(AND(AO24="  ",AO26="  "),"?",IF(AO24="  ",2*(AO26-AO25),IF(AO26="  ",2*(AO25-AO24),2*(AO26-AO24)))))</f>
        <v>2</v>
      </c>
      <c r="X25" s="30" t="str">
        <f t="shared" si="4"/>
        <v>DD</v>
      </c>
      <c r="Y25" s="30" t="str">
        <f t="shared" si="5"/>
        <v>-</v>
      </c>
      <c r="Z25" s="29" t="b">
        <f t="shared" si="6"/>
        <v>1</v>
      </c>
      <c r="AA25" s="29" t="b">
        <f t="shared" si="7"/>
        <v>1</v>
      </c>
      <c r="AB25" s="29" t="str">
        <f t="shared" ca="1" si="8"/>
        <v>141-4</v>
      </c>
      <c r="AC25" s="29">
        <f t="shared" si="34"/>
        <v>4</v>
      </c>
      <c r="AD25" s="29">
        <f t="shared" ca="1" si="9"/>
        <v>4</v>
      </c>
      <c r="AE25" s="29">
        <v>22</v>
      </c>
      <c r="AF25" s="31">
        <f t="shared" si="42"/>
        <v>18</v>
      </c>
      <c r="AG25" s="29" t="b">
        <f t="shared" si="11"/>
        <v>0</v>
      </c>
      <c r="AH25" s="30" t="str">
        <f t="shared" si="43"/>
        <v>-</v>
      </c>
      <c r="AI25" s="30" t="str">
        <f t="shared" ca="1" si="13"/>
        <v>(1/2)*(4/3)</v>
      </c>
      <c r="AJ25" s="29">
        <f t="shared" ca="1" si="14"/>
        <v>0.66666666666666663</v>
      </c>
      <c r="AK25" s="29" t="str">
        <f t="shared" si="15"/>
        <v/>
      </c>
      <c r="AL25" s="29">
        <f t="shared" si="16"/>
        <v>0</v>
      </c>
      <c r="AM25" s="32">
        <f t="shared" ca="1" si="35"/>
        <v>0.66666666666666663</v>
      </c>
      <c r="AO25" s="20">
        <f>Tools!$AD24</f>
        <v>18.5</v>
      </c>
      <c r="AP25" s="33">
        <f t="shared" si="36"/>
        <v>4.58</v>
      </c>
      <c r="AQ25" s="34" t="str">
        <f t="shared" ca="1" si="18"/>
        <v>(1/2)*(4/3)</v>
      </c>
      <c r="AR25" s="23">
        <f t="shared" ca="1" si="19"/>
        <v>3.0533333333333332</v>
      </c>
      <c r="AS25" s="24">
        <f t="shared" si="20"/>
        <v>8.5</v>
      </c>
      <c r="AT25" s="23">
        <f t="shared" ca="1" si="37"/>
        <v>25.953333333333333</v>
      </c>
      <c r="AU25" s="23">
        <f t="shared" ca="1" si="40"/>
        <v>220.60333333333332</v>
      </c>
      <c r="AV25" s="23">
        <f t="shared" si="21"/>
        <v>96.071912000000012</v>
      </c>
      <c r="AW25" s="23">
        <f t="shared" ca="1" si="22"/>
        <v>64.047941333333341</v>
      </c>
      <c r="AY25" s="35">
        <f t="shared" si="23"/>
        <v>11.077499999999999</v>
      </c>
      <c r="AZ25" s="23">
        <f t="shared" ca="1" si="41"/>
        <v>7.3849999999999989</v>
      </c>
      <c r="BA25" s="36">
        <f t="shared" si="25"/>
        <v>9.1406249999999982</v>
      </c>
      <c r="BB25" s="27">
        <f t="shared" ca="1" si="38"/>
        <v>6.0937499999999982</v>
      </c>
      <c r="BC25" s="23">
        <f t="shared" ca="1" si="39"/>
        <v>62.772499999999994</v>
      </c>
      <c r="BE25" s="50" t="s">
        <v>67</v>
      </c>
      <c r="BF25" s="48" t="s">
        <v>68</v>
      </c>
      <c r="BG25" s="49">
        <f>IF(WL_No="  ","  ",KB+BMT)</f>
        <v>23.957723951591497</v>
      </c>
    </row>
    <row r="26" spans="1:59" x14ac:dyDescent="0.25">
      <c r="A26" s="20">
        <f>Tools!$AD25</f>
        <v>19</v>
      </c>
      <c r="B26" s="33">
        <f t="shared" si="0"/>
        <v>3.25</v>
      </c>
      <c r="C26" s="22">
        <f>IF(A26="  ","  ",IF(AND(A25="  ",A27="  "),"?",IF(A25="  ",1*(A27-A26),IF(A27="  ",1*(A26-A25),1*(A27-A25)))))</f>
        <v>1</v>
      </c>
      <c r="D26" s="23">
        <f t="shared" si="26"/>
        <v>3.25</v>
      </c>
      <c r="E26" s="24">
        <f t="shared" si="1"/>
        <v>9</v>
      </c>
      <c r="F26" s="23">
        <f t="shared" si="27"/>
        <v>29.25</v>
      </c>
      <c r="G26" s="23">
        <f t="shared" si="28"/>
        <v>263.25</v>
      </c>
      <c r="H26" s="23">
        <f t="shared" si="29"/>
        <v>34.328125</v>
      </c>
      <c r="I26" s="23">
        <f t="shared" si="30"/>
        <v>34.328125</v>
      </c>
      <c r="J26" s="4"/>
      <c r="K26" s="37">
        <f t="shared" si="2"/>
        <v>7.4749999999999996</v>
      </c>
      <c r="L26" s="23">
        <f t="shared" si="31"/>
        <v>7.4749999999999996</v>
      </c>
      <c r="M26" s="38">
        <f t="shared" si="3"/>
        <v>6.2962499999999988</v>
      </c>
      <c r="N26" s="27">
        <f t="shared" si="32"/>
        <v>6.2962499999999988</v>
      </c>
      <c r="O26" s="23">
        <f t="shared" si="33"/>
        <v>67.274999999999991</v>
      </c>
      <c r="P26" s="4"/>
      <c r="Q26" s="50" t="s">
        <v>71</v>
      </c>
      <c r="R26" s="48" t="s">
        <v>72</v>
      </c>
      <c r="S26">
        <f>IF(Tools!$L$49="Use 141 rule only",I50,IF(Tools!$L$49="Use 141 and 1331 rules",BG27," "))</f>
        <v>23.773246958333335</v>
      </c>
      <c r="W26" s="29">
        <f>IF(AO26="  ","  ",IF(AND(AO25="  ",AO27="  "),"?",IF(AO25="  ",1*(AO27-AO26),IF(AO27="  ",1*(AO26-AO25),1*(AO27-AO25)))))</f>
        <v>1</v>
      </c>
      <c r="X26" s="30" t="str">
        <f t="shared" si="4"/>
        <v>DD</v>
      </c>
      <c r="Y26" s="30" t="str">
        <f t="shared" si="5"/>
        <v>-</v>
      </c>
      <c r="Z26" s="29" t="b">
        <f t="shared" si="6"/>
        <v>1</v>
      </c>
      <c r="AA26" s="29" t="b">
        <f t="shared" si="7"/>
        <v>1</v>
      </c>
      <c r="AB26" s="29" t="str">
        <f t="shared" ca="1" si="8"/>
        <v>141-2</v>
      </c>
      <c r="AC26" s="29">
        <f t="shared" si="34"/>
        <v>3</v>
      </c>
      <c r="AD26" s="29">
        <f t="shared" ca="1" si="9"/>
        <v>3</v>
      </c>
      <c r="AE26" s="29">
        <v>23</v>
      </c>
      <c r="AF26" s="31">
        <f t="shared" si="42"/>
        <v>19</v>
      </c>
      <c r="AG26" s="29" t="b">
        <f t="shared" si="11"/>
        <v>0</v>
      </c>
      <c r="AH26" s="30" t="str">
        <f t="shared" si="43"/>
        <v>-</v>
      </c>
      <c r="AI26" s="30" t="str">
        <f t="shared" ca="1" si="13"/>
        <v>(1/2)*(2/3)</v>
      </c>
      <c r="AJ26" s="29">
        <f t="shared" ca="1" si="14"/>
        <v>0.33333333333333331</v>
      </c>
      <c r="AK26" s="29" t="str">
        <f t="shared" si="15"/>
        <v/>
      </c>
      <c r="AL26" s="29">
        <f t="shared" si="16"/>
        <v>0</v>
      </c>
      <c r="AM26" s="32">
        <f t="shared" ca="1" si="35"/>
        <v>0.33333333333333331</v>
      </c>
      <c r="AO26" s="20">
        <f>Tools!$AD25</f>
        <v>19</v>
      </c>
      <c r="AP26" s="33">
        <f t="shared" si="36"/>
        <v>3.25</v>
      </c>
      <c r="AQ26" s="34" t="str">
        <f t="shared" ca="1" si="18"/>
        <v>(1/2)*(2/3)</v>
      </c>
      <c r="AR26" s="23">
        <f t="shared" ca="1" si="19"/>
        <v>1.0833333333333333</v>
      </c>
      <c r="AS26" s="24">
        <f t="shared" si="20"/>
        <v>9</v>
      </c>
      <c r="AT26" s="23">
        <f t="shared" ca="1" si="37"/>
        <v>9.75</v>
      </c>
      <c r="AU26" s="23">
        <f t="shared" ca="1" si="40"/>
        <v>87.75</v>
      </c>
      <c r="AV26" s="23">
        <f t="shared" si="21"/>
        <v>34.328125</v>
      </c>
      <c r="AW26" s="23">
        <f t="shared" ca="1" si="22"/>
        <v>11.442708333333332</v>
      </c>
      <c r="AY26" s="35">
        <f t="shared" si="23"/>
        <v>7.4749999999999996</v>
      </c>
      <c r="AZ26" s="23">
        <f t="shared" ca="1" si="41"/>
        <v>2.4916666666666663</v>
      </c>
      <c r="BA26" s="36">
        <f t="shared" si="25"/>
        <v>6.2962499999999988</v>
      </c>
      <c r="BB26" s="27">
        <f t="shared" ca="1" si="38"/>
        <v>2.0987499999999994</v>
      </c>
      <c r="BC26" s="23">
        <f t="shared" ca="1" si="39"/>
        <v>22.424999999999997</v>
      </c>
      <c r="BE26" s="50" t="s">
        <v>69</v>
      </c>
      <c r="BF26" s="48" t="s">
        <v>70</v>
      </c>
      <c r="BG26" s="49">
        <f>IF(WL_No="  ","  ",KB+BML)</f>
        <v>783.93247086796146</v>
      </c>
    </row>
    <row r="27" spans="1:59" x14ac:dyDescent="0.25">
      <c r="A27" s="20">
        <f>Tools!$AD26</f>
        <v>19.5</v>
      </c>
      <c r="B27" s="33">
        <f t="shared" si="0"/>
        <v>2.02</v>
      </c>
      <c r="C27" s="22">
        <f>IF(A27="  ","  ",IF(AND(A26="  ",A28="  "),"?",IF(A26="  ",2*(A28-A27),IF(A28="  ",2*(A27-A26),2*(A28-A26)))))</f>
        <v>2</v>
      </c>
      <c r="D27" s="23">
        <f t="shared" si="26"/>
        <v>4.04</v>
      </c>
      <c r="E27" s="24">
        <f t="shared" si="1"/>
        <v>9.5</v>
      </c>
      <c r="F27" s="23">
        <f t="shared" si="27"/>
        <v>38.380000000000003</v>
      </c>
      <c r="G27" s="23">
        <f t="shared" si="28"/>
        <v>364.61</v>
      </c>
      <c r="H27" s="23">
        <f t="shared" si="29"/>
        <v>8.2424079999999993</v>
      </c>
      <c r="I27" s="23">
        <f t="shared" si="30"/>
        <v>16.484815999999999</v>
      </c>
      <c r="J27" s="4"/>
      <c r="K27" s="37">
        <f t="shared" si="2"/>
        <v>4.1624999999999996</v>
      </c>
      <c r="L27" s="23">
        <f t="shared" si="31"/>
        <v>8.3249999999999993</v>
      </c>
      <c r="M27" s="38">
        <f t="shared" si="3"/>
        <v>3.7068749999999997</v>
      </c>
      <c r="N27" s="27">
        <f t="shared" si="32"/>
        <v>7.4137499999999994</v>
      </c>
      <c r="O27" s="23">
        <f t="shared" si="33"/>
        <v>79.087499999999991</v>
      </c>
      <c r="P27" s="4"/>
      <c r="Q27" s="50" t="s">
        <v>73</v>
      </c>
      <c r="R27" s="48" t="s">
        <v>74</v>
      </c>
      <c r="S27">
        <f>IF(Tools!$L$49="Use 141 rule only",I51,IF(Tools!$L$49="Use 141 and 1331 rules",BG28," "))</f>
        <v>5.4266933327822517</v>
      </c>
      <c r="W27" s="29">
        <f>IF(AO27="  ","  ",IF(AND(AO26="  ",AO28="  "),"?",IF(AO26="  ",2*(AO28-AO27),IF(AO28="  ",2*(AO27-AO26),2*(AO28-AO26)))))</f>
        <v>2</v>
      </c>
      <c r="X27" s="30" t="str">
        <f t="shared" si="4"/>
        <v>DD</v>
      </c>
      <c r="Y27" s="30" t="str">
        <f t="shared" si="5"/>
        <v>-</v>
      </c>
      <c r="Z27" s="29" t="b">
        <f t="shared" si="6"/>
        <v>1</v>
      </c>
      <c r="AA27" s="29" t="b">
        <f t="shared" si="7"/>
        <v>1</v>
      </c>
      <c r="AB27" s="29" t="str">
        <f t="shared" ca="1" si="8"/>
        <v>141-4</v>
      </c>
      <c r="AC27" s="29">
        <f t="shared" si="34"/>
        <v>2</v>
      </c>
      <c r="AD27" s="29">
        <f t="shared" ca="1" si="9"/>
        <v>2</v>
      </c>
      <c r="AE27" s="29">
        <v>24</v>
      </c>
      <c r="AF27" s="31">
        <f t="shared" si="42"/>
        <v>20</v>
      </c>
      <c r="AG27" s="29" t="b">
        <f t="shared" si="11"/>
        <v>0</v>
      </c>
      <c r="AH27" s="30" t="str">
        <f t="shared" si="43"/>
        <v>-</v>
      </c>
      <c r="AI27" s="30" t="str">
        <f t="shared" ca="1" si="13"/>
        <v>(1/2)*(4/3)</v>
      </c>
      <c r="AJ27" s="29">
        <f t="shared" ca="1" si="14"/>
        <v>0.66666666666666663</v>
      </c>
      <c r="AK27" s="29" t="str">
        <f t="shared" si="15"/>
        <v/>
      </c>
      <c r="AL27" s="29">
        <f t="shared" si="16"/>
        <v>0</v>
      </c>
      <c r="AM27" s="32">
        <f t="shared" ca="1" si="35"/>
        <v>0.66666666666666663</v>
      </c>
      <c r="AO27" s="20">
        <f>Tools!$AD26</f>
        <v>19.5</v>
      </c>
      <c r="AP27" s="33">
        <f t="shared" si="36"/>
        <v>2.02</v>
      </c>
      <c r="AQ27" s="34" t="str">
        <f t="shared" ca="1" si="18"/>
        <v>(1/2)*(4/3)</v>
      </c>
      <c r="AR27" s="23">
        <f t="shared" ca="1" si="19"/>
        <v>1.3466666666666667</v>
      </c>
      <c r="AS27" s="24">
        <f t="shared" si="20"/>
        <v>9.5</v>
      </c>
      <c r="AT27" s="23">
        <f t="shared" ca="1" si="37"/>
        <v>12.793333333333333</v>
      </c>
      <c r="AU27" s="23">
        <f t="shared" ca="1" si="40"/>
        <v>121.53666666666666</v>
      </c>
      <c r="AV27" s="23">
        <f t="shared" si="21"/>
        <v>8.2424079999999993</v>
      </c>
      <c r="AW27" s="23">
        <f t="shared" ca="1" si="22"/>
        <v>5.4949386666666662</v>
      </c>
      <c r="AY27" s="35">
        <f t="shared" si="23"/>
        <v>4.1624999999999996</v>
      </c>
      <c r="AZ27" s="23">
        <f t="shared" ca="1" si="41"/>
        <v>2.7749999999999995</v>
      </c>
      <c r="BA27" s="36">
        <f t="shared" si="25"/>
        <v>3.7068749999999997</v>
      </c>
      <c r="BB27" s="27">
        <f t="shared" ca="1" si="38"/>
        <v>2.4712499999999995</v>
      </c>
      <c r="BC27" s="23">
        <f t="shared" ca="1" si="39"/>
        <v>26.362499999999994</v>
      </c>
      <c r="BE27" s="50" t="s">
        <v>71</v>
      </c>
      <c r="BF27" s="48" t="s">
        <v>72</v>
      </c>
      <c r="BG27" s="49">
        <f>IF(WL_No="  ","  ",AWP*1.025/100)</f>
        <v>23.773246958333335</v>
      </c>
    </row>
    <row r="28" spans="1:59" ht="15.75" thickBot="1" x14ac:dyDescent="0.3">
      <c r="A28" s="20">
        <f>Tools!$AD27</f>
        <v>20</v>
      </c>
      <c r="B28" s="52">
        <f t="shared" si="0"/>
        <v>1.43</v>
      </c>
      <c r="C28" s="22">
        <f>IF(A28="  ","  ",IF(A27="  ","?",1*(A28-A27)))</f>
        <v>0.5</v>
      </c>
      <c r="D28" s="53">
        <f t="shared" si="26"/>
        <v>0.71499999999999997</v>
      </c>
      <c r="E28" s="24">
        <f t="shared" si="1"/>
        <v>10</v>
      </c>
      <c r="F28" s="53">
        <f t="shared" si="27"/>
        <v>7.1499999999999995</v>
      </c>
      <c r="G28" s="53">
        <f t="shared" si="28"/>
        <v>71.5</v>
      </c>
      <c r="H28" s="23">
        <f t="shared" si="29"/>
        <v>2.9242069999999996</v>
      </c>
      <c r="I28" s="53">
        <f t="shared" si="30"/>
        <v>1.4621034999999998</v>
      </c>
      <c r="J28" s="4"/>
      <c r="K28" s="35">
        <f t="shared" si="2"/>
        <v>2.8183333333333329</v>
      </c>
      <c r="L28" s="53">
        <f t="shared" si="31"/>
        <v>1.4091666666666665</v>
      </c>
      <c r="M28" s="36">
        <f t="shared" si="3"/>
        <v>2.5962499999999999</v>
      </c>
      <c r="N28" s="54">
        <f t="shared" si="32"/>
        <v>1.298125</v>
      </c>
      <c r="O28" s="53">
        <f t="shared" si="33"/>
        <v>14.091666666666665</v>
      </c>
      <c r="P28" s="4"/>
      <c r="Q28" s="50" t="s">
        <v>75</v>
      </c>
      <c r="R28" s="55" t="s">
        <v>76</v>
      </c>
      <c r="S28">
        <f>IF(Tools!$L$49="Use 141 rule only",I52,IF(Tools!$L$49="Use 141 and 1331 rules",BG29," "))</f>
        <v>176.38870266342988</v>
      </c>
      <c r="W28" s="29">
        <f>IF(AO28="  ","  ",IF(AO27="  ","?",1*(AO28-AO27)))</f>
        <v>0.5</v>
      </c>
      <c r="X28" s="30" t="str">
        <f t="shared" si="4"/>
        <v>D-</v>
      </c>
      <c r="Y28" s="30" t="str">
        <f t="shared" si="5"/>
        <v>-</v>
      </c>
      <c r="Z28" s="29" t="b">
        <f t="shared" si="6"/>
        <v>1</v>
      </c>
      <c r="AA28" s="29" t="b">
        <f t="shared" si="7"/>
        <v>1</v>
      </c>
      <c r="AB28" s="29" t="str">
        <f t="shared" ca="1" si="8"/>
        <v>141-1</v>
      </c>
      <c r="AC28" s="29">
        <f>IF(ISNUMBER(AO28),IF(ISNUMBER(AO28),IF(OR(AO28=0,AO28=Long_Div),1,IF(AO28&gt;Long_Div/2,AF29+1,IF(AO28&lt;=Long_Div/2,AC27+1,"?")))," --")," ")</f>
        <v>1</v>
      </c>
      <c r="AD28" s="29">
        <f t="shared" ca="1" si="9"/>
        <v>1</v>
      </c>
      <c r="AE28" s="29">
        <v>25</v>
      </c>
      <c r="AF28" s="31">
        <f t="shared" si="42"/>
        <v>21</v>
      </c>
      <c r="AG28" s="29" t="b">
        <f t="shared" si="11"/>
        <v>0</v>
      </c>
      <c r="AH28" s="30" t="str">
        <f t="shared" si="43"/>
        <v>-</v>
      </c>
      <c r="AI28" s="30" t="str">
        <f t="shared" ca="1" si="13"/>
        <v>(1/2)*(1/3)</v>
      </c>
      <c r="AJ28" s="29">
        <f t="shared" ca="1" si="14"/>
        <v>0.16666666666666666</v>
      </c>
      <c r="AK28" s="29" t="str">
        <f t="shared" si="15"/>
        <v/>
      </c>
      <c r="AL28" s="29">
        <f t="shared" si="16"/>
        <v>0</v>
      </c>
      <c r="AM28" s="32">
        <f t="shared" ca="1" si="35"/>
        <v>0.16666666666666666</v>
      </c>
      <c r="AO28" s="20">
        <f>Tools!$AD27</f>
        <v>20</v>
      </c>
      <c r="AP28" s="33">
        <f t="shared" si="36"/>
        <v>1.43</v>
      </c>
      <c r="AQ28" s="34" t="str">
        <f t="shared" ca="1" si="18"/>
        <v>(1/2)*(1/3)</v>
      </c>
      <c r="AR28" s="23">
        <f t="shared" ca="1" si="19"/>
        <v>0.23833333333333331</v>
      </c>
      <c r="AS28" s="24">
        <f t="shared" si="20"/>
        <v>10</v>
      </c>
      <c r="AT28" s="53">
        <f t="shared" ca="1" si="37"/>
        <v>2.3833333333333333</v>
      </c>
      <c r="AU28" s="53">
        <f t="shared" ca="1" si="40"/>
        <v>23.833333333333332</v>
      </c>
      <c r="AV28" s="23">
        <f t="shared" si="21"/>
        <v>2.9242069999999996</v>
      </c>
      <c r="AW28" s="23">
        <f t="shared" ca="1" si="22"/>
        <v>0.48736783333333322</v>
      </c>
      <c r="AY28" s="35">
        <f t="shared" si="23"/>
        <v>2.8183333333333329</v>
      </c>
      <c r="AZ28" s="23">
        <f t="shared" ca="1" si="41"/>
        <v>0.46972222222222215</v>
      </c>
      <c r="BA28" s="36">
        <f t="shared" si="25"/>
        <v>2.5962499999999999</v>
      </c>
      <c r="BB28" s="27">
        <f t="shared" ca="1" si="38"/>
        <v>0.43270833333333331</v>
      </c>
      <c r="BC28" s="53">
        <f t="shared" ca="1" si="39"/>
        <v>4.6972222222222211</v>
      </c>
      <c r="BE28" s="50" t="s">
        <v>73</v>
      </c>
      <c r="BF28" s="48" t="s">
        <v>74</v>
      </c>
      <c r="BG28" s="49">
        <f>IF(WL_No="  ","  ",ML/V_Disp)</f>
        <v>5.4266933327822517</v>
      </c>
    </row>
    <row r="29" spans="1:59" ht="15.75" thickBot="1" x14ac:dyDescent="0.3">
      <c r="A29" s="56" t="s">
        <v>77</v>
      </c>
      <c r="B29" s="56"/>
      <c r="C29" s="56"/>
      <c r="D29" s="57">
        <f>SUM(D4:D28)</f>
        <v>475.92500000000007</v>
      </c>
      <c r="E29" s="42"/>
      <c r="F29" s="58">
        <f>SUM(F4:F28)</f>
        <v>326.92999999999984</v>
      </c>
      <c r="G29" s="58">
        <f>SUM(G4:G28)</f>
        <v>9828.2100000000009</v>
      </c>
      <c r="H29" s="42"/>
      <c r="I29" s="58">
        <f>SUM(I4:I28)</f>
        <v>45566.621100499993</v>
      </c>
      <c r="J29" s="4"/>
      <c r="K29" s="42"/>
      <c r="L29" s="58">
        <f>SUM(L4:L28)</f>
        <v>1310.5479166666664</v>
      </c>
      <c r="M29" s="42"/>
      <c r="N29" s="58">
        <f>SUM(N4:N28)</f>
        <v>1019.9978125000001</v>
      </c>
      <c r="O29" s="58">
        <f>SUM(O4:O28)</f>
        <v>972.90583333333359</v>
      </c>
      <c r="P29" s="4"/>
      <c r="Q29" s="50" t="s">
        <v>78</v>
      </c>
      <c r="R29" s="48" t="s">
        <v>79</v>
      </c>
      <c r="S29">
        <f>IF(Tools!$L$49="Use 141 rule only",I53,IF(Tools!$L$49="Use 141 and 1331 rules",BG30," "))</f>
        <v>1.5</v>
      </c>
      <c r="W29" s="56"/>
      <c r="X29" s="56"/>
      <c r="Y29" s="56"/>
      <c r="Z29" s="56"/>
      <c r="AA29" s="56"/>
      <c r="AB29" s="56"/>
      <c r="AC29" s="56"/>
      <c r="AD29" s="56"/>
      <c r="AE29" s="56"/>
      <c r="AF29" s="56"/>
      <c r="AG29" s="56"/>
      <c r="AH29" s="56"/>
      <c r="AI29" s="56"/>
      <c r="AJ29" s="56"/>
      <c r="AK29" s="56"/>
      <c r="AL29" s="56"/>
      <c r="AM29" s="56"/>
      <c r="AN29" s="56"/>
      <c r="AO29" s="56" t="s">
        <v>77</v>
      </c>
      <c r="AP29" s="56"/>
      <c r="AQ29" s="59"/>
      <c r="AR29" s="57">
        <f ca="1">SUM(AR4:AR28)</f>
        <v>158.64166666666668</v>
      </c>
      <c r="AS29" s="42"/>
      <c r="AT29" s="58">
        <f ca="1">SUM(AT4:AT28)</f>
        <v>108.97666666666667</v>
      </c>
      <c r="AU29" s="58">
        <f ca="1">SUM(AU4:AU28)</f>
        <v>3276.07</v>
      </c>
      <c r="AV29" s="42"/>
      <c r="AW29" s="58">
        <f ca="1">SUM(AW4:AW28)</f>
        <v>15188.873700166665</v>
      </c>
      <c r="AY29" s="42"/>
      <c r="AZ29" s="58">
        <f ca="1">SUM(AZ4:AZ28)</f>
        <v>436.84930555555547</v>
      </c>
      <c r="BA29" s="42"/>
      <c r="BB29" s="58">
        <f ca="1">SUM(BB4:BB28)</f>
        <v>339.99927083333318</v>
      </c>
      <c r="BC29" s="58">
        <f ca="1">SUM(BC4:BC28)</f>
        <v>324.30194444444447</v>
      </c>
      <c r="BE29" s="50" t="s">
        <v>75</v>
      </c>
      <c r="BF29" s="55" t="s">
        <v>76</v>
      </c>
      <c r="BG29" s="49">
        <f ca="1">IF(WL_No="  ","  ",M_Disp*BML/100/BG8)</f>
        <v>176.38870266342988</v>
      </c>
    </row>
    <row r="30" spans="1:59" x14ac:dyDescent="0.25">
      <c r="A30" s="15"/>
      <c r="B30" s="4"/>
      <c r="C30" s="4"/>
      <c r="D30" s="42"/>
      <c r="E30" s="4"/>
      <c r="F30" s="4"/>
      <c r="G30" s="4"/>
      <c r="H30" s="4"/>
      <c r="I30" s="4"/>
      <c r="J30" s="4"/>
      <c r="K30" s="4"/>
      <c r="L30" s="4"/>
      <c r="M30" s="4"/>
      <c r="N30" s="4"/>
      <c r="O30" s="4"/>
      <c r="P30" s="4"/>
      <c r="Q30" s="50" t="s">
        <v>80</v>
      </c>
      <c r="R30" s="48" t="s">
        <v>81</v>
      </c>
      <c r="S30">
        <f>IF(Tools!$L$49="Use 141 rule only",I54,IF(Tools!$L$49="Use 141 and 1331 rules",BG31," "))</f>
        <v>0.72571668191521821</v>
      </c>
      <c r="AA30" s="60"/>
      <c r="AB30" s="60"/>
      <c r="BE30" s="50" t="s">
        <v>78</v>
      </c>
      <c r="BF30" s="48" t="s">
        <v>79</v>
      </c>
      <c r="BG30" s="49">
        <f>IF(WL_No="  ","  ",WLS*WL_No)</f>
        <v>1.5</v>
      </c>
    </row>
    <row r="31" spans="1:59" x14ac:dyDescent="0.25">
      <c r="A31" s="15"/>
      <c r="B31" s="4"/>
      <c r="C31" s="4"/>
      <c r="D31" s="4"/>
      <c r="E31" s="4"/>
      <c r="F31" s="4"/>
      <c r="G31" s="4"/>
      <c r="H31" s="4"/>
      <c r="I31" s="4"/>
      <c r="J31" s="4"/>
      <c r="K31" s="4"/>
      <c r="L31" s="4"/>
      <c r="M31" s="4"/>
      <c r="N31" s="4"/>
      <c r="O31" s="4"/>
      <c r="P31" s="4"/>
      <c r="Q31" s="50" t="s">
        <v>82</v>
      </c>
      <c r="R31" s="48" t="s">
        <v>83</v>
      </c>
      <c r="S31">
        <f>IF(Tools!$L$49="Use 141 rule only",I55,IF(Tools!$L$49="Use 141 and 1331 rules",BG32," "))</f>
        <v>0.6661319084409203</v>
      </c>
      <c r="AF31" s="61" t="s">
        <v>84</v>
      </c>
      <c r="AG31" s="62">
        <f ca="1">COUNTIF(OFFSET(AQ4,,,ROUNDUP(Max_STN_count/2,0),1),"")</f>
        <v>0</v>
      </c>
      <c r="AH31" s="63">
        <f ca="1">HLOOKUP(Stn_WL,AREA_TABLE,AG31+2,FALSE)</f>
        <v>0</v>
      </c>
      <c r="AI31" s="63">
        <f ca="1">IF(AH31&gt;Long_Div/2,Long_Div/2,AH31)</f>
        <v>0</v>
      </c>
      <c r="AJ31" s="63">
        <f ca="1">AI31*STN_GAP</f>
        <v>0</v>
      </c>
      <c r="BE31" s="50" t="s">
        <v>80</v>
      </c>
      <c r="BF31" s="48" t="s">
        <v>81</v>
      </c>
      <c r="BG31" s="49">
        <f ca="1">IF(WL_No="  ","  ",AWP/(BG8*B_current))</f>
        <v>0.72571668191521821</v>
      </c>
    </row>
    <row r="32" spans="1:59" x14ac:dyDescent="0.25">
      <c r="A32" s="15"/>
      <c r="B32" s="4"/>
      <c r="C32" s="4"/>
      <c r="D32" s="4"/>
      <c r="E32" s="4"/>
      <c r="F32" s="4"/>
      <c r="G32" s="4"/>
      <c r="H32" s="4"/>
      <c r="I32" s="4"/>
      <c r="J32" s="64"/>
      <c r="K32" s="4"/>
      <c r="L32" s="4"/>
      <c r="M32" s="4"/>
      <c r="N32" s="4"/>
      <c r="O32" s="4"/>
      <c r="P32" s="4"/>
      <c r="Q32" s="50" t="s">
        <v>85</v>
      </c>
      <c r="R32" s="48" t="s">
        <v>86</v>
      </c>
      <c r="S32">
        <f>IF(Tools!$L$49="Use 141 rule only",I56,IF(Tools!$L$49="Use 141 and 1331 rules",BG33," "))</f>
        <v>0.96286977737114976</v>
      </c>
      <c r="AF32" s="61" t="s">
        <v>87</v>
      </c>
      <c r="AG32" s="62">
        <f ca="1">COUNTIF(OFFSET(AQ4,ROUNDUP(Max_STN_count/2,0),,ROUNDDOWN(Max_STN_count/2,0),1),"")</f>
        <v>0</v>
      </c>
      <c r="AH32" s="63">
        <f ca="1">HLOOKUP(Stn_WL,AREA_TABLE,AG32+2,FALSE)</f>
        <v>0</v>
      </c>
      <c r="AI32" s="63">
        <f ca="1">IF(AH32&gt;Long_Div/2,Long_Div/2,AH32)</f>
        <v>0</v>
      </c>
      <c r="AJ32" s="63">
        <f ca="1">AI32*STN_GAP</f>
        <v>0</v>
      </c>
      <c r="BE32" s="50" t="s">
        <v>82</v>
      </c>
      <c r="BF32" s="48" t="s">
        <v>83</v>
      </c>
      <c r="BG32" s="49">
        <f ca="1">IF(WL_No="  ","  ",V_Disp/(BG8*B_current*T))</f>
        <v>0.6661319084409203</v>
      </c>
    </row>
    <row r="33" spans="1:59" x14ac:dyDescent="0.25">
      <c r="A33" s="15"/>
      <c r="B33" s="4"/>
      <c r="C33" s="4"/>
      <c r="D33" s="4"/>
      <c r="E33" s="4"/>
      <c r="F33" s="4"/>
      <c r="G33" s="43" t="s">
        <v>31</v>
      </c>
      <c r="H33" s="44" t="s">
        <v>32</v>
      </c>
      <c r="I33" s="489" t="s">
        <v>33</v>
      </c>
      <c r="J33" s="4"/>
      <c r="K33" s="4"/>
      <c r="L33" s="4"/>
      <c r="M33" s="4"/>
      <c r="N33" s="4"/>
      <c r="O33" s="4"/>
      <c r="P33" s="4"/>
      <c r="Q33" s="50" t="s">
        <v>88</v>
      </c>
      <c r="R33" s="48" t="s">
        <v>89</v>
      </c>
      <c r="S33">
        <f>IF(Tools!$L$49="Use 141 rule only",I57,IF(Tools!$L$49="Use 141 and 1331 rules",BG34," "))</f>
        <v>0.69181931357281734</v>
      </c>
      <c r="AF33" s="63"/>
      <c r="AG33" s="63"/>
      <c r="AH33" s="63">
        <f ca="1">Long_Div-AH32</f>
        <v>20</v>
      </c>
      <c r="AI33" s="63"/>
      <c r="AJ33" s="63">
        <f ca="1">AJ32+AJ31</f>
        <v>0</v>
      </c>
      <c r="BE33" s="50" t="s">
        <v>85</v>
      </c>
      <c r="BF33" s="48" t="s">
        <v>86</v>
      </c>
      <c r="BG33" s="65">
        <f>IFERROR(IF(WL_No="  ","  ",(VLOOKUP(Long_Div/2,AREA_TABLE,Count_WL+1,FALSE))/(B_current*T)),"-")</f>
        <v>0.96286977737114976</v>
      </c>
    </row>
    <row r="34" spans="1:59" x14ac:dyDescent="0.25">
      <c r="G34" s="45"/>
      <c r="H34" s="46"/>
      <c r="I34" s="490"/>
      <c r="BE34" s="50" t="s">
        <v>88</v>
      </c>
      <c r="BF34" s="48" t="s">
        <v>89</v>
      </c>
      <c r="BG34" s="49">
        <f>IF(WL_No="  ","  ",CB/CM)</f>
        <v>0.69181931357281734</v>
      </c>
    </row>
    <row r="35" spans="1:59" x14ac:dyDescent="0.25">
      <c r="G35" s="47" t="s">
        <v>34</v>
      </c>
      <c r="H35" s="48" t="s">
        <v>35</v>
      </c>
      <c r="I35" s="49">
        <f>IF(WL_No="  ","  ",2/3*h*$D$29)</f>
        <v>2319.341166666667</v>
      </c>
    </row>
    <row r="36" spans="1:59" x14ac:dyDescent="0.25">
      <c r="G36" s="47" t="s">
        <v>36</v>
      </c>
      <c r="H36" s="48" t="s">
        <v>37</v>
      </c>
      <c r="I36" s="49">
        <f>IF(WL_No="  ","  ",2/3*(h^2)*$F$29)</f>
        <v>11646.576115333326</v>
      </c>
    </row>
    <row r="37" spans="1:59" x14ac:dyDescent="0.25">
      <c r="G37" s="50" t="s">
        <v>39</v>
      </c>
      <c r="H37" s="48" t="s">
        <v>40</v>
      </c>
      <c r="I37" s="49">
        <f>IF(WL_No="  ","  ",Mmid/AWP)</f>
        <v>5.0215019173189015</v>
      </c>
    </row>
    <row r="38" spans="1:59" x14ac:dyDescent="0.25">
      <c r="G38" s="50" t="s">
        <v>42</v>
      </c>
      <c r="H38" s="48" t="s">
        <v>43</v>
      </c>
      <c r="I38" s="49">
        <f>IF(WL_No="  ","  ",2/3*(h^3)*$G$29)</f>
        <v>2559383.1083367397</v>
      </c>
    </row>
    <row r="39" spans="1:59" x14ac:dyDescent="0.25">
      <c r="G39" s="51" t="s">
        <v>44</v>
      </c>
      <c r="H39" s="48" t="s">
        <v>45</v>
      </c>
      <c r="I39" s="49">
        <f>IF(WL_No="  ","  ",2/9*h*$I$29)</f>
        <v>74020.444498812212</v>
      </c>
    </row>
    <row r="40" spans="1:59" x14ac:dyDescent="0.25">
      <c r="G40" s="50" t="s">
        <v>47</v>
      </c>
      <c r="H40" s="48" t="s">
        <v>48</v>
      </c>
      <c r="I40" s="49">
        <f>IF(WL_No="  ","  ",IL-AWP*(LCF^2))</f>
        <v>2500899.8040433931</v>
      </c>
    </row>
    <row r="41" spans="1:59" x14ac:dyDescent="0.25">
      <c r="G41" s="50" t="s">
        <v>50</v>
      </c>
      <c r="H41" s="48" t="s">
        <v>51</v>
      </c>
      <c r="I41" s="49">
        <f>IF(WL_No="  ","  ",h/3*$L$29)</f>
        <v>3193.3684236111103</v>
      </c>
    </row>
    <row r="42" spans="1:59" x14ac:dyDescent="0.25">
      <c r="G42" s="50" t="s">
        <v>52</v>
      </c>
      <c r="H42" s="48" t="s">
        <v>53</v>
      </c>
      <c r="I42" s="49">
        <f>IF(WL_No="  ","  ",V_Disp*1.025*1.006)</f>
        <v>3292.8418500065964</v>
      </c>
    </row>
    <row r="43" spans="1:59" x14ac:dyDescent="0.25">
      <c r="G43" s="50" t="s">
        <v>55</v>
      </c>
      <c r="H43" s="48" t="s">
        <v>56</v>
      </c>
      <c r="I43" s="49">
        <f>IF(WL_No="  ","  ",h/3*$N$29)</f>
        <v>2485.3946697916667</v>
      </c>
    </row>
    <row r="44" spans="1:59" x14ac:dyDescent="0.25">
      <c r="G44" s="50" t="s">
        <v>57</v>
      </c>
      <c r="H44" s="48" t="s">
        <v>58</v>
      </c>
      <c r="I44" s="49">
        <f>IF(WL_No="  ","  ",(h^2)/3*$O$29)</f>
        <v>17329.431133527782</v>
      </c>
    </row>
    <row r="45" spans="1:59" x14ac:dyDescent="0.25">
      <c r="G45" s="50" t="s">
        <v>60</v>
      </c>
      <c r="H45" s="48" t="s">
        <v>61</v>
      </c>
      <c r="I45" s="49">
        <f>IF(WL_No="  ","  ",IF/V_Disp)</f>
        <v>783.15417211251088</v>
      </c>
    </row>
    <row r="46" spans="1:59" x14ac:dyDescent="0.25">
      <c r="G46" s="50" t="s">
        <v>63</v>
      </c>
      <c r="H46" s="48" t="s">
        <v>64</v>
      </c>
      <c r="I46" s="49">
        <f>IF(WL_No="  ","  ",IT/V_Disp)</f>
        <v>23.179425196140929</v>
      </c>
    </row>
    <row r="47" spans="1:59" x14ac:dyDescent="0.25">
      <c r="G47" s="50" t="s">
        <v>65</v>
      </c>
      <c r="H47" s="48" t="s">
        <v>66</v>
      </c>
      <c r="I47" s="49">
        <f>IF(WL_No="  ","  ",MT/V_Disp)</f>
        <v>0.77829875545056715</v>
      </c>
    </row>
    <row r="48" spans="1:59" x14ac:dyDescent="0.25">
      <c r="G48" s="50" t="s">
        <v>67</v>
      </c>
      <c r="H48" s="48" t="s">
        <v>68</v>
      </c>
      <c r="I48" s="49">
        <f>IF(WL_No="  ","  ",KB+BMT)</f>
        <v>23.957723951591497</v>
      </c>
    </row>
    <row r="49" spans="7:9" x14ac:dyDescent="0.25">
      <c r="G49" s="50" t="s">
        <v>69</v>
      </c>
      <c r="H49" s="48" t="s">
        <v>70</v>
      </c>
      <c r="I49" s="49">
        <f>IF(WL_No="  ","  ",KB+BML)</f>
        <v>783.93247086796146</v>
      </c>
    </row>
    <row r="50" spans="7:9" x14ac:dyDescent="0.25">
      <c r="G50" s="50" t="s">
        <v>71</v>
      </c>
      <c r="H50" s="48" t="s">
        <v>72</v>
      </c>
      <c r="I50" s="49">
        <f>IF(WL_No="  ","  ",AWP*1.025/100)</f>
        <v>23.773246958333335</v>
      </c>
    </row>
    <row r="51" spans="7:9" x14ac:dyDescent="0.25">
      <c r="G51" s="50" t="s">
        <v>73</v>
      </c>
      <c r="H51" s="48" t="s">
        <v>74</v>
      </c>
      <c r="I51" s="49">
        <f>IF(WL_No="  ","  ",ML/V_Disp)</f>
        <v>5.4266933327822517</v>
      </c>
    </row>
    <row r="52" spans="7:9" x14ac:dyDescent="0.25">
      <c r="G52" s="50" t="s">
        <v>75</v>
      </c>
      <c r="H52" s="55" t="s">
        <v>76</v>
      </c>
      <c r="I52" s="49">
        <f>IF(WL_No="  ","  ",M_Disp*BML/100/LBP)</f>
        <v>176.38870266342988</v>
      </c>
    </row>
    <row r="53" spans="7:9" x14ac:dyDescent="0.25">
      <c r="G53" s="50" t="s">
        <v>78</v>
      </c>
      <c r="H53" s="48" t="s">
        <v>79</v>
      </c>
      <c r="I53" s="49">
        <f>IF(WL_No="  ","  ",WLS*WL_No)</f>
        <v>1.5</v>
      </c>
    </row>
    <row r="54" spans="7:9" x14ac:dyDescent="0.25">
      <c r="G54" s="50" t="s">
        <v>80</v>
      </c>
      <c r="H54" s="48" t="s">
        <v>81</v>
      </c>
      <c r="I54" s="49">
        <f>IF(WL_No="  ","  ",AWP/(LBP*B_current))</f>
        <v>0.72571668191521821</v>
      </c>
    </row>
    <row r="55" spans="7:9" x14ac:dyDescent="0.25">
      <c r="G55" s="50" t="s">
        <v>82</v>
      </c>
      <c r="H55" s="48" t="s">
        <v>83</v>
      </c>
      <c r="I55" s="49">
        <f>IF(WL_No="  ","  ",V_Disp/(LBP*B_current*T))</f>
        <v>0.6661319084409203</v>
      </c>
    </row>
    <row r="56" spans="7:9" x14ac:dyDescent="0.25">
      <c r="G56" s="50" t="s">
        <v>85</v>
      </c>
      <c r="H56" s="48" t="s">
        <v>86</v>
      </c>
      <c r="I56" s="65">
        <f>IF(WL_No="  ","  ",(VLOOKUP(Long_Div/2,AREA_TABLE,Count_WL+1,FALSE))/(B_current*T))</f>
        <v>0.96286977737114976</v>
      </c>
    </row>
    <row r="57" spans="7:9" x14ac:dyDescent="0.25">
      <c r="G57" s="50" t="s">
        <v>88</v>
      </c>
      <c r="H57" s="48" t="s">
        <v>89</v>
      </c>
      <c r="I57" s="49">
        <f>IF(WL_No="  ","  ",CB/CM)</f>
        <v>0.69181931357281734</v>
      </c>
    </row>
  </sheetData>
  <mergeCells count="7">
    <mergeCell ref="BG10:BG11"/>
    <mergeCell ref="I33:I34"/>
    <mergeCell ref="A2:I2"/>
    <mergeCell ref="K2:O2"/>
    <mergeCell ref="AO2:AW2"/>
    <mergeCell ref="AY2:BC2"/>
    <mergeCell ref="S9:S10"/>
  </mergeCells>
  <conditionalFormatting sqref="CB4:XFD30 BW4:BW28 BS4:BT28 W29:AX29 A33:F57 J33:R33 A11:R32 A2:T10 V2:AO2 AX2 BP29:BW29 A63:XFD1048576 T12:T37 U35:XFD37 BD2:BD29 BM31:XFD33 BM30:BW30 BH29:BI33 BH2:XFD3 U30:BD30 AR31:BD31 W3:AM28 A58:BD62 BH38:XFD62 J34:S37 BH34:XFD34 A1:AN1 AV1:XFD1 AO31:AP31 U33:BD34 AM31 U31:AG32 AK32:BD32 J43:BD57 J42:M42 O42:BD42 J38:BD41 AO3:AX28">
    <cfRule type="containsErrors" dxfId="171" priority="13">
      <formula>ISERROR(A1)</formula>
    </cfRule>
  </conditionalFormatting>
  <conditionalFormatting sqref="G33:I34 G35:H57">
    <cfRule type="containsErrors" dxfId="170" priority="12">
      <formula>ISERROR(G33)</formula>
    </cfRule>
  </conditionalFormatting>
  <conditionalFormatting sqref="T12:T33">
    <cfRule type="containsErrors" dxfId="169" priority="11">
      <formula>ISERROR(T12)</formula>
    </cfRule>
  </conditionalFormatting>
  <conditionalFormatting sqref="I35:I57">
    <cfRule type="containsErrors" dxfId="168" priority="10">
      <formula>ISERROR(I35)</formula>
    </cfRule>
  </conditionalFormatting>
  <conditionalFormatting sqref="AY2:BC29">
    <cfRule type="containsErrors" dxfId="167" priority="7">
      <formula>ISERROR(AY2)</formula>
    </cfRule>
  </conditionalFormatting>
  <conditionalFormatting sqref="BE10:BG11 BE12:BF34">
    <cfRule type="containsErrors" dxfId="166" priority="9">
      <formula>ISERROR(BE10)</formula>
    </cfRule>
  </conditionalFormatting>
  <conditionalFormatting sqref="BG12:BG28 BG34">
    <cfRule type="containsErrors" dxfId="165" priority="8">
      <formula>ISERROR(BG12)</formula>
    </cfRule>
  </conditionalFormatting>
  <conditionalFormatting sqref="BE2:BG6">
    <cfRule type="containsErrors" dxfId="164" priority="6">
      <formula>ISERROR(BE2)</formula>
    </cfRule>
  </conditionalFormatting>
  <conditionalFormatting sqref="BF7:BG8">
    <cfRule type="containsErrors" dxfId="163" priority="4">
      <formula>ISERROR(BF7)</formula>
    </cfRule>
  </conditionalFormatting>
  <conditionalFormatting sqref="BE7:BE8">
    <cfRule type="containsErrors" dxfId="162" priority="5">
      <formula>ISERROR(BE7)</formula>
    </cfRule>
  </conditionalFormatting>
  <conditionalFormatting sqref="S30:S33">
    <cfRule type="containsErrors" dxfId="161" priority="3">
      <formula>ISERROR(S30)</formula>
    </cfRule>
  </conditionalFormatting>
  <conditionalFormatting sqref="BG29:BG32">
    <cfRule type="containsErrors" dxfId="160" priority="2">
      <formula>ISERROR(BG29)</formula>
    </cfRule>
  </conditionalFormatting>
  <conditionalFormatting sqref="BG33">
    <cfRule type="containsErrors" dxfId="159" priority="1">
      <formula>ISERROR(BG33)</formula>
    </cfRule>
  </conditionalFormatting>
  <pageMargins left="0.7" right="0.7" top="0.75" bottom="0.75" header="0.3" footer="0.3"/>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theme="4" tint="0.79998168889431442"/>
  </sheetPr>
  <dimension ref="A1:BH57"/>
  <sheetViews>
    <sheetView topLeftCell="AG1" zoomScale="55" zoomScaleNormal="55" workbookViewId="0">
      <pane ySplit="1" topLeftCell="A7" activePane="bottomLeft" state="frozen"/>
      <selection activeCell="AG8" sqref="AG8:AG10"/>
      <selection pane="bottomLeft" activeCell="AG8" sqref="AG8:AG10"/>
    </sheetView>
  </sheetViews>
  <sheetFormatPr defaultRowHeight="15" x14ac:dyDescent="0.25"/>
  <cols>
    <col min="1" max="1" width="8.28515625" customWidth="1"/>
    <col min="2" max="2" width="7.28515625" customWidth="1"/>
    <col min="4" max="4" width="6.5703125" customWidth="1"/>
    <col min="7" max="7" width="24" customWidth="1"/>
    <col min="8" max="8" width="30.5703125" customWidth="1"/>
    <col min="9" max="9" width="26.5703125" customWidth="1"/>
    <col min="10" max="10" width="10.5703125" bestFit="1" customWidth="1"/>
    <col min="11" max="11" width="9.140625" customWidth="1"/>
    <col min="13" max="13" width="7.85546875" customWidth="1"/>
    <col min="17" max="17" width="19.5703125" customWidth="1"/>
    <col min="18" max="18" width="11.85546875" customWidth="1"/>
    <col min="19" max="19" width="16.5703125" customWidth="1"/>
    <col min="20" max="20" width="14.140625" customWidth="1"/>
    <col min="35" max="35" width="14" customWidth="1"/>
    <col min="36" max="37" width="12" customWidth="1"/>
    <col min="39" max="39" width="19" customWidth="1"/>
    <col min="43" max="43" width="18" style="7" customWidth="1"/>
    <col min="49" max="49" width="11.28515625" customWidth="1"/>
    <col min="52" max="52" width="12" customWidth="1"/>
    <col min="54" max="54" width="10.7109375" bestFit="1" customWidth="1"/>
    <col min="56" max="56" width="4.5703125" customWidth="1"/>
    <col min="57" max="57" width="21.28515625" customWidth="1"/>
    <col min="58" max="58" width="15.42578125" customWidth="1"/>
    <col min="59" max="59" width="19.28515625" customWidth="1"/>
    <col min="61" max="61" width="5.7109375" customWidth="1"/>
    <col min="62" max="62" width="13" customWidth="1"/>
    <col min="63" max="63" width="17.42578125" customWidth="1"/>
  </cols>
  <sheetData>
    <row r="1" spans="1:60" x14ac:dyDescent="0.25">
      <c r="A1" s="1" t="s">
        <v>0</v>
      </c>
      <c r="B1" s="2">
        <f>VLOOKUP(Stn_WL,OFFSET_A,Count_WL+1,FALSE)</f>
        <v>0.5</v>
      </c>
      <c r="C1" s="3"/>
      <c r="D1" s="4"/>
      <c r="E1" s="4" t="s">
        <v>1</v>
      </c>
      <c r="F1" s="5">
        <v>3</v>
      </c>
      <c r="G1" s="4"/>
      <c r="H1" s="4"/>
      <c r="I1" s="4"/>
      <c r="J1" s="4"/>
      <c r="K1" s="4"/>
      <c r="L1" s="4"/>
      <c r="M1" s="4"/>
      <c r="N1" s="4"/>
      <c r="O1" s="4"/>
      <c r="P1" s="4"/>
      <c r="Q1" s="4"/>
      <c r="R1" s="4"/>
      <c r="S1" s="4"/>
      <c r="V1" t="s">
        <v>2</v>
      </c>
      <c r="W1">
        <f ca="1">COUNTIF(OFFSET(Z4,,,ROUNDDOWN(Max_STN_count/2+1,0),1),TRUE)</f>
        <v>5</v>
      </c>
      <c r="X1">
        <f ca="1">COUNTIF(OFFSET(AA4,,,ROUNDDOWN(Max_STN_count/2+1,0),1),TRUE)</f>
        <v>5</v>
      </c>
      <c r="Y1">
        <f ca="1">W1-X1</f>
        <v>0</v>
      </c>
      <c r="AB1" s="6" t="s">
        <v>3</v>
      </c>
      <c r="AC1">
        <f ca="1">COUNTIF(OFFSET(Z4,ROUNDUP(Max_STN_count/2,0),,ROUNDDOWN(Max_STN_count/2,0),1),TRUE)</f>
        <v>5</v>
      </c>
      <c r="AD1">
        <f ca="1">COUNTIF(OFFSET(AA4,ROUNDUP(Max_STN_count/2,0),,ROUNDDOWN(Max_STN_count/2,0),1),TRUE)</f>
        <v>5</v>
      </c>
      <c r="AE1">
        <f ca="1">AC1-AD1</f>
        <v>0</v>
      </c>
      <c r="AG1" t="s">
        <v>4</v>
      </c>
      <c r="AH1">
        <f>COUNTIF(AG4:AG28,TRUE)</f>
        <v>17</v>
      </c>
      <c r="AI1">
        <f ca="1">COUNTIF(OFFSET(AG4,,,ROUNDUP(Max_STN_count/2,0),1),FALSE)</f>
        <v>4</v>
      </c>
      <c r="AW1">
        <f ca="1">COUNTIF(OFFSET(AG4,,,Max_STN_count,1),TRUE)</f>
        <v>17</v>
      </c>
    </row>
    <row r="2" spans="1:60" x14ac:dyDescent="0.25">
      <c r="A2" s="491" t="s">
        <v>5</v>
      </c>
      <c r="B2" s="492"/>
      <c r="C2" s="492"/>
      <c r="D2" s="492"/>
      <c r="E2" s="492"/>
      <c r="F2" s="492"/>
      <c r="G2" s="492"/>
      <c r="H2" s="492"/>
      <c r="I2" s="493"/>
      <c r="J2" s="4"/>
      <c r="K2" s="491" t="s">
        <v>6</v>
      </c>
      <c r="L2" s="492"/>
      <c r="M2" s="492"/>
      <c r="N2" s="492"/>
      <c r="O2" s="493"/>
      <c r="P2" s="4"/>
      <c r="Q2" s="8" t="s">
        <v>7</v>
      </c>
      <c r="R2" s="9" t="s">
        <v>8</v>
      </c>
      <c r="S2" s="10">
        <f>WLS</f>
        <v>2</v>
      </c>
      <c r="V2" s="11"/>
      <c r="W2" s="11"/>
      <c r="X2" s="11"/>
      <c r="Y2" s="11"/>
      <c r="Z2" s="11"/>
      <c r="AA2" s="11"/>
      <c r="AB2" s="11"/>
      <c r="AC2" s="11"/>
      <c r="AD2" s="11"/>
      <c r="AE2" s="11"/>
      <c r="AF2" s="11"/>
      <c r="AG2" s="11"/>
      <c r="AH2" s="11"/>
      <c r="AI2" s="11"/>
      <c r="AJ2" s="11"/>
      <c r="AK2" s="11"/>
      <c r="AL2" s="11"/>
      <c r="AM2" s="11"/>
      <c r="AN2" s="11"/>
      <c r="AO2" s="491" t="s">
        <v>5</v>
      </c>
      <c r="AP2" s="492"/>
      <c r="AQ2" s="492"/>
      <c r="AR2" s="492"/>
      <c r="AS2" s="492"/>
      <c r="AT2" s="492"/>
      <c r="AU2" s="492"/>
      <c r="AV2" s="492"/>
      <c r="AW2" s="493"/>
      <c r="AY2" s="491" t="s">
        <v>6</v>
      </c>
      <c r="AZ2" s="492"/>
      <c r="BA2" s="492"/>
      <c r="BB2" s="492"/>
      <c r="BC2" s="493"/>
      <c r="BE2" s="8" t="s">
        <v>7</v>
      </c>
      <c r="BF2" s="9" t="s">
        <v>8</v>
      </c>
      <c r="BG2" s="10">
        <f>WLS</f>
        <v>2</v>
      </c>
    </row>
    <row r="3" spans="1:60" x14ac:dyDescent="0.25">
      <c r="A3" s="12" t="s">
        <v>9</v>
      </c>
      <c r="B3" s="13" t="s">
        <v>10</v>
      </c>
      <c r="C3" s="14" t="s">
        <v>11</v>
      </c>
      <c r="D3" s="14" t="s">
        <v>12</v>
      </c>
      <c r="E3" s="14" t="s">
        <v>13</v>
      </c>
      <c r="F3" s="14" t="s">
        <v>14</v>
      </c>
      <c r="G3" s="14" t="s">
        <v>15</v>
      </c>
      <c r="H3" s="14" t="s">
        <v>16</v>
      </c>
      <c r="I3" s="14" t="s">
        <v>17</v>
      </c>
      <c r="J3" s="15"/>
      <c r="K3" s="14" t="s">
        <v>18</v>
      </c>
      <c r="L3" s="14" t="s">
        <v>19</v>
      </c>
      <c r="M3" s="14" t="s">
        <v>20</v>
      </c>
      <c r="N3" s="14" t="s">
        <v>21</v>
      </c>
      <c r="O3" s="14" t="s">
        <v>22</v>
      </c>
      <c r="P3" s="15"/>
      <c r="Q3" s="16" t="s">
        <v>23</v>
      </c>
      <c r="R3" s="9" t="s">
        <v>8</v>
      </c>
      <c r="S3" s="10">
        <f>STN_GAP</f>
        <v>7.31</v>
      </c>
      <c r="W3" s="17" t="s">
        <v>11</v>
      </c>
      <c r="X3" s="17"/>
      <c r="Y3" s="17"/>
      <c r="Z3" s="17" t="s">
        <v>24</v>
      </c>
      <c r="AA3" s="17"/>
      <c r="AB3" s="17"/>
      <c r="AC3" s="17"/>
      <c r="AD3" s="17"/>
      <c r="AE3" s="17"/>
      <c r="AF3" s="17"/>
      <c r="AG3" s="17" t="s">
        <v>4</v>
      </c>
      <c r="AH3" s="17"/>
      <c r="AI3" s="17" t="s">
        <v>25</v>
      </c>
      <c r="AJ3" s="17"/>
      <c r="AK3" s="17"/>
      <c r="AL3" s="17"/>
      <c r="AM3" s="18" t="s">
        <v>11</v>
      </c>
      <c r="AO3" s="12" t="s">
        <v>9</v>
      </c>
      <c r="AP3" s="13" t="s">
        <v>10</v>
      </c>
      <c r="AQ3" s="19"/>
      <c r="AR3" s="14" t="s">
        <v>12</v>
      </c>
      <c r="AS3" s="14" t="s">
        <v>13</v>
      </c>
      <c r="AT3" s="14" t="s">
        <v>14</v>
      </c>
      <c r="AU3" s="14" t="s">
        <v>15</v>
      </c>
      <c r="AV3" s="14" t="s">
        <v>16</v>
      </c>
      <c r="AW3" s="14" t="s">
        <v>17</v>
      </c>
      <c r="AY3" s="14" t="s">
        <v>18</v>
      </c>
      <c r="AZ3" s="14" t="s">
        <v>19</v>
      </c>
      <c r="BA3" s="14" t="s">
        <v>20</v>
      </c>
      <c r="BB3" s="14" t="s">
        <v>21</v>
      </c>
      <c r="BC3" s="14" t="s">
        <v>22</v>
      </c>
      <c r="BE3" s="16" t="s">
        <v>23</v>
      </c>
      <c r="BF3" s="9" t="s">
        <v>8</v>
      </c>
      <c r="BG3" s="10">
        <f>STN_GAP</f>
        <v>7.31</v>
      </c>
    </row>
    <row r="4" spans="1:60" x14ac:dyDescent="0.25">
      <c r="A4" s="20">
        <f>Tools!$AD3</f>
        <v>0</v>
      </c>
      <c r="B4" s="21">
        <f t="shared" ref="B4:B28" si="0">VLOOKUP(A4,OFFSET_A,Count_WL+1,FALSE)</f>
        <v>0</v>
      </c>
      <c r="C4" s="22">
        <f>IF(A4="  ","  ",IF(A5="  ","?",1*(A5-A4)))</f>
        <v>0.5</v>
      </c>
      <c r="D4" s="23">
        <f>IFERROR(B4*C4,"  ")</f>
        <v>0</v>
      </c>
      <c r="E4" s="24">
        <f t="shared" ref="E4:E28" si="1">IFERROR(A4-(Long_Div/2),"  ")</f>
        <v>-10</v>
      </c>
      <c r="F4" s="23">
        <f>IFERROR(D4*E4,"  ")</f>
        <v>0</v>
      </c>
      <c r="G4" s="23">
        <f>IFERROR(F4*E4,"  ")</f>
        <v>0</v>
      </c>
      <c r="H4" s="23">
        <f>IFERROR(B4^3,"  ")</f>
        <v>0</v>
      </c>
      <c r="I4" s="23">
        <f>IFERROR(H4*C4,"  ")</f>
        <v>0</v>
      </c>
      <c r="J4" s="4"/>
      <c r="K4" s="25">
        <f t="shared" ref="K4:K28" si="2">VLOOKUP(A4,AREA_TABLE,Count_WL+1,FALSE)</f>
        <v>0</v>
      </c>
      <c r="L4" s="23">
        <f>IFERROR(K4*C4,"  ")</f>
        <v>0</v>
      </c>
      <c r="M4" s="26">
        <f t="shared" ref="M4:M28" si="3">VLOOKUP(A4,MOMENT_TABLE,Count_WL+1,FALSE)</f>
        <v>0</v>
      </c>
      <c r="N4" s="27">
        <f>IFERROR(M4*C4,"  ")</f>
        <v>0</v>
      </c>
      <c r="O4" s="23">
        <f>IFERROR(L4*E4,"  ")</f>
        <v>0</v>
      </c>
      <c r="P4" s="4"/>
      <c r="Q4" s="16" t="s">
        <v>26</v>
      </c>
      <c r="R4" s="9" t="s">
        <v>8</v>
      </c>
      <c r="S4" s="28">
        <f>LBP</f>
        <v>146.19999999999999</v>
      </c>
      <c r="W4" s="29">
        <f>IF(AO4="  ","  ",IF(AO5="  ","?",1*(AO5-AO4)))</f>
        <v>0.5</v>
      </c>
      <c r="X4" s="30" t="str">
        <f t="shared" ref="X4:X28" si="4">IF(Y4=0,"--",CONCATENATE(IF(AO4=0,"-",IF(Y3=0,"-",IF(AO4-AO3=0.5,"D",IF(AO4-AO3=1,"W","-")))),IF(AO4=Long_Div,"-",IF(Y5=0,"-",IF(AO5-AO4=0.5,"D",IF(AO5-AO4=1,"W","-"))))))</f>
        <v>-D</v>
      </c>
      <c r="Y4" s="30" t="str">
        <f t="shared" ref="Y4:Y28" si="5">IF(ISNUMBER(AO4),IF(AO4=Long_Div/2,"-",IF(AND(AO4=Long_Div,$AP4=0,$AP3=0),0,IF(AND(AO4=0,$AP4=0,$AP5=0),0,IF($AO4&lt;Long_Div/2,IF(AND(Y3=0,$AP4=0,$AP5=0),0,"-"),IF(AND(Y5=0,$AP4=0,$AP3=0),0,"-")))))," ")</f>
        <v>-</v>
      </c>
      <c r="Z4" s="29" t="b">
        <f t="shared" ref="Z4:Z28" si="6">IF(ISNUMBER(AO4),IF(AO4=0,IF(AO5=0.5,TRUE,FALSE),IF(AO4=Long_Div,IF(AO3=Long_Div-0.5,TRUE,FALSE),IF(OR(AO5-AO4=0.5,AO4-AO3=0.5),TRUE,FALSE)))," ")</f>
        <v>1</v>
      </c>
      <c r="AA4" s="29" t="b">
        <f t="shared" ref="AA4:AA28" si="7">IF(ISNUMBER(AO4),IF(Y4=0," ",IF(AO4=0,IF(AO5=0.5,TRUE,"-"),IF(AO4=Long_Div,IF(AO3=Long_Div-0.5,TRUE,"-"),IF(OR(AO5-AO4=0.5,AO4-AO3=0.5),TRUE,FALSE))))," ")</f>
        <v>1</v>
      </c>
      <c r="AB4" s="29" t="str">
        <f t="shared" ref="AB4:AB28" ca="1" si="8">IF(AO4&lt;=Long_Div/2,IF(ISNUMBER(AO4),IF($X$1=0,"---",IF($X$1=1,"##",IF($X$1=2,IF(AD4=1,"141-4",IF(OR(AD4=0,AD4=2),"141-1","**")),IF(AC4&lt;=($Y$1),"--",IF(AC4&gt;$W$1,"++",IF(ISODD($X$1),IF(OR(AD4=1,AD4=$X$1),"141-1",IF(ISODD(AD4),"141-2",IF(ISEVEN(AD4),"141-4","+"))),IF(ISEVEN($X$1),IF(AD4=1,"1331-1",IF(OR(AD4=2,AD4=3),"1331-3",IF(AD4=4,IF($X$1=4,"1331-1","1331-1,141-1"),IF(AD4=$X$1,"141-1",IF(AD4&lt;=4,"??",IF(ISODD(AD4),"141-4",IF(ISEVEN(AD4),"141-2","SS"))))))))))))))," "),IF(AO4&gt;Long_Div/2,IF(ISNUMBER(AO4),IF($AD$1=0,"---",IF($AD$1=1,"##",IF($AD$1=2,IF(AD4=1,"141-4",IF(OR(AD4=0,AD4=2),"141-1","**")),IF(AC4&lt;=($AE$1),"--",IF(AC4&gt;$AC$1,"++",IF(ISODD($AD$1),IF(OR(AD4=1,AD4=$AD$1),"141-1",IF(ISODD(AD4),"141-2",IF(ISEVEN(AD4),"141-4","+"))),IF(ISEVEN($AD$1),IF(AD4=1,"1331-1",IF(OR(AD4=2,AD4=3),"1331-3",IF(AD4=4,IF($AD$1=4,"1331-1","1331-1,141-1"),IF(AD4=$AD$1,"141-1",IF(AD4&lt;=4,"??",IF(ISODD(AD4),"141-4",IF(ISEVEN(AD4),"141-2","SS"))))))))))))))," "),"@"))</f>
        <v>141-1</v>
      </c>
      <c r="AC4" s="29">
        <f>IF(ISNUMBER(AO4),IF(ISNUMBER(AO4),IF(OR(AO4=0,AO4=Long_Div),1,IF(AO4&gt;Long_Div/2,AC5+1,IF(AO4&lt;=Long_Div/2,AE3+1,"?")))," --")," ")</f>
        <v>1</v>
      </c>
      <c r="AD4" s="29">
        <f t="shared" ref="AD4:AD28" ca="1" si="9">IF(ISNUMBER(AO4),IF(AO4&gt;Long_Div/2,4-ROW(AD4)+Max_STN_count-$AE$1,ROW(AD4)-3-$Y$1)," ")</f>
        <v>1</v>
      </c>
      <c r="AE4" s="29">
        <v>1</v>
      </c>
      <c r="AF4" s="31" t="str">
        <f t="shared" ref="AF4:AF8" si="10">IF(AND(AG4=TRUE,OR(NOT(AG3=TRUE),AG3="Full")),1,IF(ISNUMBER(AF3),AF3+1," "))</f>
        <v xml:space="preserve"> </v>
      </c>
      <c r="AG4" s="29" t="b">
        <f t="shared" ref="AG4:AG28" si="11">IF(ISNUMBER(AO4),IF(AA4=" "," ",IF(AO4=0,IF(AO5-AO4=1,TRUE,FALSE),IF(AO4=Long_Div,IF(AO4-AO3=1,TRUE,FALSE),IF(OR(AO5-AO4=1,AO4-AO3=1),TRUE,FALSE))))," ")</f>
        <v>0</v>
      </c>
      <c r="AH4" s="30" t="str">
        <f t="shared" ref="AH4:AH13" si="12">IF(AND(AG4=TRUE,$AH$1=1),"141-4",IF(AG4=" ",IF(AND($AH$1=2,AF4=3),"141-1","-"),IF(OR(AG4=FALSE,AG4=" "),"-",IF(AG4=TRUE,IF(AND($AH$1=2,AF4=1),"141-1",IF(AND($AH$1=2,AF4=2),"141-4",IF(OR(ISODD($AH$1),AF4&gt;4),IF(AF4=1,"141-1",IF(OR(AB4="141-1",AB4="1331-1",AB4="1331-1,141-1"),"141-1",IF(AG5=" ","141-1",IF(OR(AH3="141-1",AH3="141-2",AH3="1331-1,141-1"),"141-4",IF(AH3="141-4","141-2","$$"))))),IF(ISEVEN($AH$1),IF(AF4=1,"1331-1",IF(OR(AF4=2,AF4=3),"1331-3",IF(AF4=4,IF($AH$1=4,"1331-1","1331-1,141-1"),"")))))))))))</f>
        <v>-</v>
      </c>
      <c r="AI4" s="30" t="str">
        <f t="shared" ref="AI4:AI28" ca="1" si="13">IF(OR(AB4="1331-1",AB4="1331-1,141-1"),"(1/2)*(3/8)",IF(AB4="1331-3","(1/2)*(9/8)",IF(AB4="141-1","(1/2)*(1/3)",IF(AB4="141-2","(1/2)*(2/3)",IF(AB4="141-4","(1/2)*(4/3)","")))))</f>
        <v>(1/2)*(1/3)</v>
      </c>
      <c r="AJ4" s="29">
        <f t="shared" ref="AJ4:AJ28" ca="1" si="14">IF(OR(AB4="1331-1",AB4="1331-1,141-1"),(1/2)*(3/8),IF(AB4="1331-3",(1/2)*(9/8),IF(AB4="141-1",(1/2)*(1/3),IF(AB4="141-2",(1/2)*(2/3),IF(AB4="141-4",(1/2)*(4/3),0)))))</f>
        <v>0.16666666666666666</v>
      </c>
      <c r="AK4" s="29" t="str">
        <f t="shared" ref="AK4:AK28" si="15">IF(AH4="1331-1,141-1","(1*3/8)+(1/3)",IF(LEFT(AH4,4)="141-",CONCATENATE(RIGHT(AH4,1),"/3"),IF(LEFT(AH4,4)="1331",CONCATENATE(RIGHT(AH4,1),"*3/8"),"")))</f>
        <v/>
      </c>
      <c r="AL4" s="29">
        <f t="shared" ref="AL4:AL28" si="16">IF(AH4="1331-1,141-1",(1*3/8)+(1/3),IF(LEFT(AH4,4)="141-",(RIGHT(AH4,1)/3),IF(LEFT(AH4,4)="1331",RIGHT(AH4,1)*3/8,0)))</f>
        <v>0</v>
      </c>
      <c r="AM4" s="32">
        <f ca="1">IF(AQ4=""," ",AJ4+AL4)</f>
        <v>0.16666666666666666</v>
      </c>
      <c r="AO4" s="20">
        <f>Tools!$AD3</f>
        <v>0</v>
      </c>
      <c r="AP4" s="33">
        <f t="shared" ref="AP4" si="17">VLOOKUP(AO4,OFFSET_A,Count_WL+1,FALSE)</f>
        <v>0</v>
      </c>
      <c r="AQ4" s="34" t="str">
        <f t="shared" ref="AQ4:AQ28" ca="1" si="18">CONCATENATE(AI4,IF(NOT(OR(AI4="",AK4="")),"+",""),AK4)</f>
        <v>(1/2)*(1/3)</v>
      </c>
      <c r="AR4" s="23">
        <f t="shared" ref="AR4:AR28" ca="1" si="19">IFERROR(AP4*AM4,"  ")</f>
        <v>0</v>
      </c>
      <c r="AS4" s="24">
        <f t="shared" ref="AS4:AS28" si="20">IFERROR(AO4-(Long_Div/2),"  ")</f>
        <v>-10</v>
      </c>
      <c r="AT4" s="23">
        <f ca="1">IFERROR(AR4*AS4,"  ")</f>
        <v>0</v>
      </c>
      <c r="AU4" s="23">
        <f ca="1">IFERROR(AT4*AS4,"  ")</f>
        <v>0</v>
      </c>
      <c r="AV4" s="23">
        <f t="shared" ref="AV4:AV28" si="21">IFERROR(AP4^3,"  ")</f>
        <v>0</v>
      </c>
      <c r="AW4" s="23">
        <f t="shared" ref="AW4:AW28" ca="1" si="22">IFERROR(AV4*AM4,"  ")</f>
        <v>0</v>
      </c>
      <c r="AY4" s="35">
        <f t="shared" ref="AY4:AY28" si="23">IF(ROW(AY4)-3&gt;Max_STN_count," ",VLOOKUP(AO4,AREA_TABLE,Count_WL+1,FALSE))</f>
        <v>0</v>
      </c>
      <c r="AZ4" s="23">
        <f t="shared" ref="AZ4:AZ7" ca="1" si="24">IFERROR(AY4*AM4,"  ")</f>
        <v>0</v>
      </c>
      <c r="BA4" s="36">
        <f t="shared" ref="BA4:BA28" si="25">IF(ROW(AY4)-3&gt;Max_STN_count," ",VLOOKUP(AO4,MOMENT_TABLE,Count_WL+1,FALSE))</f>
        <v>0</v>
      </c>
      <c r="BB4" s="27">
        <f ca="1">IFERROR(BA4*AM4,"  ")</f>
        <v>0</v>
      </c>
      <c r="BC4" s="23">
        <f ca="1">IFERROR(AZ4*AS4,"  ")</f>
        <v>0</v>
      </c>
      <c r="BE4" s="16" t="s">
        <v>26</v>
      </c>
      <c r="BF4" s="9" t="s">
        <v>8</v>
      </c>
      <c r="BG4" s="28">
        <f>LBP</f>
        <v>146.19999999999999</v>
      </c>
    </row>
    <row r="5" spans="1:60" x14ac:dyDescent="0.25">
      <c r="A5" s="20">
        <f>Tools!$AD4</f>
        <v>0.5</v>
      </c>
      <c r="B5" s="33">
        <f t="shared" si="0"/>
        <v>0.2</v>
      </c>
      <c r="C5" s="22">
        <f>IF(A5="  ","  ",IF(AND(A4="  ",A6="  "),"?",IF(A4="  ",2*(A6-A5),IF(A6="  ",2*(A5-A4),2*(A6-A4)))))</f>
        <v>2</v>
      </c>
      <c r="D5" s="23">
        <f t="shared" ref="D5:D28" si="26">IFERROR(B5*C5,"  ")</f>
        <v>0.4</v>
      </c>
      <c r="E5" s="24">
        <f t="shared" si="1"/>
        <v>-9.5</v>
      </c>
      <c r="F5" s="23">
        <f t="shared" ref="F5:F28" si="27">IFERROR(D5*E5,"  ")</f>
        <v>-3.8000000000000003</v>
      </c>
      <c r="G5" s="23">
        <f t="shared" ref="G5:G28" si="28">IFERROR(F5*E5,"  ")</f>
        <v>36.1</v>
      </c>
      <c r="H5" s="23">
        <f t="shared" ref="H5:H28" si="29">IFERROR(B5^3,"  ")</f>
        <v>8.0000000000000019E-3</v>
      </c>
      <c r="I5" s="23">
        <f t="shared" ref="I5:I28" si="30">IFERROR(H5*C5,"  ")</f>
        <v>1.6000000000000004E-2</v>
      </c>
      <c r="J5" s="4"/>
      <c r="K5" s="37">
        <f t="shared" si="2"/>
        <v>0.3666666666666667</v>
      </c>
      <c r="L5" s="23">
        <f t="shared" ref="L5:L28" si="31">IFERROR(K5*C5,"  ")</f>
        <v>0.73333333333333339</v>
      </c>
      <c r="M5" s="38">
        <f t="shared" si="3"/>
        <v>0.2</v>
      </c>
      <c r="N5" s="27">
        <f t="shared" ref="N5:N28" si="32">IFERROR(M5*C5,"  ")</f>
        <v>0.4</v>
      </c>
      <c r="O5" s="23">
        <f t="shared" ref="O5:O28" si="33">IFERROR(L5*E5,"  ")</f>
        <v>-6.9666666666666668</v>
      </c>
      <c r="P5" s="4"/>
      <c r="Q5" s="8" t="s">
        <v>27</v>
      </c>
      <c r="R5" s="9" t="s">
        <v>8</v>
      </c>
      <c r="S5" s="10">
        <f>BREADTH</f>
        <v>22</v>
      </c>
      <c r="W5" s="29">
        <f>IF(AO5="  ","  ",IF(AND(AO4="  ",AO6="  "),"?",IF(AO4="  ",2*(AO6-AO5),IF(AO6="  ",2*(AO5-AO4),2*(AO6-AO4)))))</f>
        <v>2</v>
      </c>
      <c r="X5" s="30" t="str">
        <f t="shared" si="4"/>
        <v>DD</v>
      </c>
      <c r="Y5" s="30" t="str">
        <f t="shared" si="5"/>
        <v>-</v>
      </c>
      <c r="Z5" s="29" t="b">
        <f t="shared" si="6"/>
        <v>1</v>
      </c>
      <c r="AA5" s="29" t="b">
        <f t="shared" si="7"/>
        <v>1</v>
      </c>
      <c r="AB5" s="29" t="str">
        <f t="shared" ca="1" si="8"/>
        <v>141-4</v>
      </c>
      <c r="AC5" s="29">
        <f t="shared" ref="AC5:AC27" si="34">IF(ISNUMBER(AO5),IF(ISNUMBER(AO5),IF(OR(AO5=0,AO5=Long_Div),1,IF(AO5&gt;Long_Div/2,AC6+1,IF(AO5&lt;=Long_Div/2,AC4+1,"?")))," --")," ")</f>
        <v>2</v>
      </c>
      <c r="AD5" s="29">
        <f t="shared" ca="1" si="9"/>
        <v>2</v>
      </c>
      <c r="AE5" s="29">
        <v>2</v>
      </c>
      <c r="AF5" s="31" t="str">
        <f t="shared" si="10"/>
        <v xml:space="preserve"> </v>
      </c>
      <c r="AG5" s="29" t="b">
        <f t="shared" si="11"/>
        <v>0</v>
      </c>
      <c r="AH5" s="30" t="str">
        <f t="shared" si="12"/>
        <v>-</v>
      </c>
      <c r="AI5" s="30" t="str">
        <f t="shared" ca="1" si="13"/>
        <v>(1/2)*(4/3)</v>
      </c>
      <c r="AJ5" s="29">
        <f t="shared" ca="1" si="14"/>
        <v>0.66666666666666663</v>
      </c>
      <c r="AK5" s="29" t="str">
        <f t="shared" si="15"/>
        <v/>
      </c>
      <c r="AL5" s="29">
        <f t="shared" si="16"/>
        <v>0</v>
      </c>
      <c r="AM5" s="32">
        <f t="shared" ref="AM5:AM28" ca="1" si="35">IF(AQ5=""," ",AJ5+AL5)</f>
        <v>0.66666666666666663</v>
      </c>
      <c r="AO5" s="20">
        <f>Tools!$AD4</f>
        <v>0.5</v>
      </c>
      <c r="AP5" s="33">
        <f t="shared" ref="AP5:AP26" si="36">VLOOKUP(AO5,OFFSET_A,Count_WL+1,FALSE)</f>
        <v>0.2</v>
      </c>
      <c r="AQ5" s="34" t="str">
        <f t="shared" ca="1" si="18"/>
        <v>(1/2)*(4/3)</v>
      </c>
      <c r="AR5" s="23">
        <f t="shared" ca="1" si="19"/>
        <v>0.13333333333333333</v>
      </c>
      <c r="AS5" s="24">
        <f t="shared" si="20"/>
        <v>-9.5</v>
      </c>
      <c r="AT5" s="23">
        <f t="shared" ref="AT5:AT28" ca="1" si="37">IFERROR(AR5*AS5,"  ")</f>
        <v>-1.2666666666666666</v>
      </c>
      <c r="AU5" s="23">
        <f ca="1">IFERROR(AT5*AS5,"  ")</f>
        <v>12.033333333333333</v>
      </c>
      <c r="AV5" s="23">
        <f t="shared" si="21"/>
        <v>8.0000000000000019E-3</v>
      </c>
      <c r="AW5" s="23">
        <f t="shared" ca="1" si="22"/>
        <v>5.333333333333334E-3</v>
      </c>
      <c r="AY5" s="35">
        <f t="shared" si="23"/>
        <v>0.3666666666666667</v>
      </c>
      <c r="AZ5" s="23">
        <f t="shared" ca="1" si="24"/>
        <v>0.24444444444444446</v>
      </c>
      <c r="BA5" s="36">
        <f t="shared" si="25"/>
        <v>0.2</v>
      </c>
      <c r="BB5" s="27">
        <f t="shared" ref="BB5:BB28" ca="1" si="38">IFERROR(BA5*AM5,"  ")</f>
        <v>0.13333333333333333</v>
      </c>
      <c r="BC5" s="23">
        <f t="shared" ref="BC5:BC28" ca="1" si="39">IFERROR(AZ5*AS5,"  ")</f>
        <v>-2.3222222222222224</v>
      </c>
      <c r="BE5" s="8" t="s">
        <v>27</v>
      </c>
      <c r="BF5" s="9" t="s">
        <v>8</v>
      </c>
      <c r="BG5" s="10">
        <f>BREADTH</f>
        <v>22</v>
      </c>
    </row>
    <row r="6" spans="1:60" x14ac:dyDescent="0.25">
      <c r="A6" s="20">
        <f>Tools!$AD5</f>
        <v>1</v>
      </c>
      <c r="B6" s="33">
        <f t="shared" si="0"/>
        <v>0.68</v>
      </c>
      <c r="C6" s="22">
        <f>IF(A6="  ","  ",IF(AND(A5="  ",A7="  "),"?",IF(A5="  ",1*(A7-A6),IF(A7="  ",1*(A6-A5),1*(A7-A5)))))</f>
        <v>1</v>
      </c>
      <c r="D6" s="23">
        <f t="shared" si="26"/>
        <v>0.68</v>
      </c>
      <c r="E6" s="24">
        <f t="shared" si="1"/>
        <v>-9</v>
      </c>
      <c r="F6" s="23">
        <f t="shared" si="27"/>
        <v>-6.12</v>
      </c>
      <c r="G6" s="23">
        <f t="shared" si="28"/>
        <v>55.08</v>
      </c>
      <c r="H6" s="23">
        <f t="shared" si="29"/>
        <v>0.3144320000000001</v>
      </c>
      <c r="I6" s="23">
        <f t="shared" si="30"/>
        <v>0.3144320000000001</v>
      </c>
      <c r="J6" s="4"/>
      <c r="K6" s="37">
        <f t="shared" si="2"/>
        <v>0.99333333333333329</v>
      </c>
      <c r="L6" s="23">
        <f t="shared" si="31"/>
        <v>0.99333333333333329</v>
      </c>
      <c r="M6" s="38">
        <f t="shared" si="3"/>
        <v>0.56000000000000005</v>
      </c>
      <c r="N6" s="27">
        <f t="shared" si="32"/>
        <v>0.56000000000000005</v>
      </c>
      <c r="O6" s="23">
        <f t="shared" si="33"/>
        <v>-8.94</v>
      </c>
      <c r="P6" s="4"/>
      <c r="Q6" s="8" t="s">
        <v>28</v>
      </c>
      <c r="R6" s="9" t="s">
        <v>8</v>
      </c>
      <c r="S6" s="10">
        <f>DEPTH</f>
        <v>13</v>
      </c>
      <c r="W6" s="29">
        <f>IF(AO6="  ","  ",IF(AND(AO5="  ",AO7="  "),"?",IF(AO5="  ",1*(AO7-AO6),IF(AO7="  ",1*(AO6-AO5),1*(AO7-AO5)))))</f>
        <v>1</v>
      </c>
      <c r="X6" s="30" t="str">
        <f t="shared" si="4"/>
        <v>DD</v>
      </c>
      <c r="Y6" s="30" t="str">
        <f t="shared" si="5"/>
        <v>-</v>
      </c>
      <c r="Z6" s="29" t="b">
        <f t="shared" si="6"/>
        <v>1</v>
      </c>
      <c r="AA6" s="29" t="b">
        <f t="shared" si="7"/>
        <v>1</v>
      </c>
      <c r="AB6" s="29" t="str">
        <f t="shared" ca="1" si="8"/>
        <v>141-2</v>
      </c>
      <c r="AC6" s="29">
        <f t="shared" si="34"/>
        <v>3</v>
      </c>
      <c r="AD6" s="29">
        <f t="shared" ca="1" si="9"/>
        <v>3</v>
      </c>
      <c r="AE6" s="29">
        <v>3</v>
      </c>
      <c r="AF6" s="31" t="str">
        <f t="shared" si="10"/>
        <v xml:space="preserve"> </v>
      </c>
      <c r="AG6" s="29" t="b">
        <f t="shared" si="11"/>
        <v>0</v>
      </c>
      <c r="AH6" s="30" t="str">
        <f t="shared" si="12"/>
        <v>-</v>
      </c>
      <c r="AI6" s="30" t="str">
        <f t="shared" ca="1" si="13"/>
        <v>(1/2)*(2/3)</v>
      </c>
      <c r="AJ6" s="29">
        <f t="shared" ca="1" si="14"/>
        <v>0.33333333333333331</v>
      </c>
      <c r="AK6" s="29" t="str">
        <f t="shared" si="15"/>
        <v/>
      </c>
      <c r="AL6" s="29">
        <f t="shared" si="16"/>
        <v>0</v>
      </c>
      <c r="AM6" s="32">
        <f t="shared" ca="1" si="35"/>
        <v>0.33333333333333331</v>
      </c>
      <c r="AO6" s="20">
        <f>Tools!$AD5</f>
        <v>1</v>
      </c>
      <c r="AP6" s="33">
        <f t="shared" si="36"/>
        <v>0.68</v>
      </c>
      <c r="AQ6" s="34" t="str">
        <f t="shared" ca="1" si="18"/>
        <v>(1/2)*(2/3)</v>
      </c>
      <c r="AR6" s="23">
        <f t="shared" ca="1" si="19"/>
        <v>0.22666666666666668</v>
      </c>
      <c r="AS6" s="24">
        <f t="shared" si="20"/>
        <v>-9</v>
      </c>
      <c r="AT6" s="23">
        <f t="shared" ca="1" si="37"/>
        <v>-2.04</v>
      </c>
      <c r="AU6" s="23">
        <f ca="1">IFERROR(AT6*AS6,"  ")</f>
        <v>18.36</v>
      </c>
      <c r="AV6" s="23">
        <f t="shared" si="21"/>
        <v>0.3144320000000001</v>
      </c>
      <c r="AW6" s="23">
        <f t="shared" ca="1" si="22"/>
        <v>0.10481066666666669</v>
      </c>
      <c r="AY6" s="35">
        <f t="shared" si="23"/>
        <v>0.99333333333333329</v>
      </c>
      <c r="AZ6" s="23">
        <f t="shared" ca="1" si="24"/>
        <v>0.33111111111111108</v>
      </c>
      <c r="BA6" s="36">
        <f t="shared" si="25"/>
        <v>0.56000000000000005</v>
      </c>
      <c r="BB6" s="27">
        <f t="shared" ca="1" si="38"/>
        <v>0.18666666666666668</v>
      </c>
      <c r="BC6" s="23">
        <f t="shared" ca="1" si="39"/>
        <v>-2.9799999999999995</v>
      </c>
      <c r="BE6" s="8" t="s">
        <v>28</v>
      </c>
      <c r="BF6" s="9" t="s">
        <v>8</v>
      </c>
      <c r="BG6" s="10">
        <f>DEPTH</f>
        <v>13</v>
      </c>
    </row>
    <row r="7" spans="1:60" x14ac:dyDescent="0.25">
      <c r="A7" s="20">
        <f>Tools!$AD6</f>
        <v>1.5</v>
      </c>
      <c r="B7" s="33">
        <f t="shared" si="0"/>
        <v>1.35</v>
      </c>
      <c r="C7" s="22">
        <f>IF(A7="  ","  ",IF(AND(A6="  ",A8="  "),"?",IF(A6="  ",2*(A8-A7),IF(A8="  ",2*(A7-A6),2*(A8-A6)))))</f>
        <v>2</v>
      </c>
      <c r="D7" s="23">
        <f t="shared" si="26"/>
        <v>2.7</v>
      </c>
      <c r="E7" s="24">
        <f t="shared" si="1"/>
        <v>-8.5</v>
      </c>
      <c r="F7" s="23">
        <f t="shared" si="27"/>
        <v>-22.950000000000003</v>
      </c>
      <c r="G7" s="23">
        <f t="shared" si="28"/>
        <v>195.07500000000002</v>
      </c>
      <c r="H7" s="23">
        <f t="shared" si="29"/>
        <v>2.4603750000000004</v>
      </c>
      <c r="I7" s="23">
        <f t="shared" si="30"/>
        <v>4.9207500000000008</v>
      </c>
      <c r="J7" s="4"/>
      <c r="K7" s="37">
        <f t="shared" si="2"/>
        <v>1.9366666666666668</v>
      </c>
      <c r="L7" s="23">
        <f t="shared" si="31"/>
        <v>3.8733333333333335</v>
      </c>
      <c r="M7" s="38">
        <f t="shared" si="3"/>
        <v>1.1099999999999999</v>
      </c>
      <c r="N7" s="27">
        <f t="shared" si="32"/>
        <v>2.2199999999999998</v>
      </c>
      <c r="O7" s="23">
        <f t="shared" si="33"/>
        <v>-32.923333333333332</v>
      </c>
      <c r="P7" s="4"/>
      <c r="Q7" s="39" t="s">
        <v>29</v>
      </c>
      <c r="R7" s="40" t="s">
        <v>8</v>
      </c>
      <c r="S7" s="41">
        <f>IF(MAX(B4:B28)=0," ",2*MAX(B4:B28))</f>
        <v>21.5</v>
      </c>
      <c r="W7" s="29">
        <f>IF(AO7="  ","  ",IF(AND(AO6="  ",AO8="  "),"?",IF(AO6="  ",2*(AO8-AO7),IF(AO8="  ",2*(AO7-AO6),2*(AO8-AO6)))))</f>
        <v>2</v>
      </c>
      <c r="X7" s="30" t="str">
        <f t="shared" si="4"/>
        <v>DD</v>
      </c>
      <c r="Y7" s="30" t="str">
        <f t="shared" si="5"/>
        <v>-</v>
      </c>
      <c r="Z7" s="29" t="b">
        <f t="shared" si="6"/>
        <v>1</v>
      </c>
      <c r="AA7" s="29" t="b">
        <f t="shared" si="7"/>
        <v>1</v>
      </c>
      <c r="AB7" s="29" t="str">
        <f t="shared" ca="1" si="8"/>
        <v>141-4</v>
      </c>
      <c r="AC7" s="29">
        <f t="shared" si="34"/>
        <v>4</v>
      </c>
      <c r="AD7" s="29">
        <f t="shared" ca="1" si="9"/>
        <v>4</v>
      </c>
      <c r="AE7" s="29">
        <v>4</v>
      </c>
      <c r="AF7" s="31" t="str">
        <f t="shared" si="10"/>
        <v xml:space="preserve"> </v>
      </c>
      <c r="AG7" s="29" t="b">
        <f t="shared" si="11"/>
        <v>0</v>
      </c>
      <c r="AH7" s="30" t="str">
        <f t="shared" si="12"/>
        <v>-</v>
      </c>
      <c r="AI7" s="30" t="str">
        <f t="shared" ca="1" si="13"/>
        <v>(1/2)*(4/3)</v>
      </c>
      <c r="AJ7" s="29">
        <f t="shared" ca="1" si="14"/>
        <v>0.66666666666666663</v>
      </c>
      <c r="AK7" s="29" t="str">
        <f t="shared" si="15"/>
        <v/>
      </c>
      <c r="AL7" s="29">
        <f t="shared" si="16"/>
        <v>0</v>
      </c>
      <c r="AM7" s="32">
        <f t="shared" ca="1" si="35"/>
        <v>0.66666666666666663</v>
      </c>
      <c r="AO7" s="20">
        <f>Tools!$AD6</f>
        <v>1.5</v>
      </c>
      <c r="AP7" s="33">
        <f t="shared" si="36"/>
        <v>1.35</v>
      </c>
      <c r="AQ7" s="34" t="str">
        <f t="shared" ca="1" si="18"/>
        <v>(1/2)*(4/3)</v>
      </c>
      <c r="AR7" s="23">
        <f t="shared" ca="1" si="19"/>
        <v>0.9</v>
      </c>
      <c r="AS7" s="24">
        <f t="shared" si="20"/>
        <v>-8.5</v>
      </c>
      <c r="AT7" s="23">
        <f t="shared" ca="1" si="37"/>
        <v>-7.65</v>
      </c>
      <c r="AU7" s="23">
        <f t="shared" ref="AU7:AU28" ca="1" si="40">IFERROR(AT7*AS7,"  ")</f>
        <v>65.025000000000006</v>
      </c>
      <c r="AV7" s="23">
        <f t="shared" si="21"/>
        <v>2.4603750000000004</v>
      </c>
      <c r="AW7" s="23">
        <f t="shared" ca="1" si="22"/>
        <v>1.6402500000000002</v>
      </c>
      <c r="AY7" s="35">
        <f t="shared" si="23"/>
        <v>1.9366666666666668</v>
      </c>
      <c r="AZ7" s="23">
        <f t="shared" ca="1" si="24"/>
        <v>1.2911111111111111</v>
      </c>
      <c r="BA7" s="36">
        <f t="shared" si="25"/>
        <v>1.1099999999999999</v>
      </c>
      <c r="BB7" s="27">
        <f t="shared" ca="1" si="38"/>
        <v>0.73999999999999988</v>
      </c>
      <c r="BC7" s="23">
        <f t="shared" ca="1" si="39"/>
        <v>-10.974444444444444</v>
      </c>
      <c r="BE7" s="8" t="s">
        <v>29</v>
      </c>
      <c r="BF7" s="9" t="s">
        <v>8</v>
      </c>
      <c r="BG7" s="10">
        <f>IF(MAX(AP4:AP28)=0," ",2*MAX(AP4:AP28))</f>
        <v>21.5</v>
      </c>
    </row>
    <row r="8" spans="1:60" x14ac:dyDescent="0.25">
      <c r="A8" s="20">
        <f>Tools!$AD7</f>
        <v>2</v>
      </c>
      <c r="B8" s="33">
        <f t="shared" si="0"/>
        <v>2.14</v>
      </c>
      <c r="C8" s="22">
        <f>IF(A8="  ","  ",IF(AND(A7="  ",A9="  "),"?",IF(A7="  ",1*(A9-A8),IF(A9="  ",1*(A8-A7),1*(A9-A7)))))</f>
        <v>1.5</v>
      </c>
      <c r="D8" s="23">
        <f t="shared" si="26"/>
        <v>3.21</v>
      </c>
      <c r="E8" s="24">
        <f t="shared" si="1"/>
        <v>-8</v>
      </c>
      <c r="F8" s="23">
        <f t="shared" si="27"/>
        <v>-25.68</v>
      </c>
      <c r="G8" s="23">
        <f t="shared" si="28"/>
        <v>205.44</v>
      </c>
      <c r="H8" s="23">
        <f t="shared" si="29"/>
        <v>9.8003440000000008</v>
      </c>
      <c r="I8" s="23">
        <f t="shared" si="30"/>
        <v>14.700516</v>
      </c>
      <c r="J8" s="4"/>
      <c r="K8" s="37">
        <f t="shared" si="2"/>
        <v>3.1333333333333333</v>
      </c>
      <c r="L8" s="23">
        <f t="shared" si="31"/>
        <v>4.7</v>
      </c>
      <c r="M8" s="38">
        <f t="shared" si="3"/>
        <v>1.7733333333333334</v>
      </c>
      <c r="N8" s="27">
        <f t="shared" si="32"/>
        <v>2.66</v>
      </c>
      <c r="O8" s="23">
        <f t="shared" si="33"/>
        <v>-37.6</v>
      </c>
      <c r="P8" s="4"/>
      <c r="Q8" s="42"/>
      <c r="R8" s="42"/>
      <c r="S8" s="42"/>
      <c r="W8" s="29">
        <f>IF(AO8="  ","  ",IF(AND(AO7="  ",AO9="  "),"?",IF(AO7="  ",1*(AO9-AO8),IF(AO9="  ",1*(AO8-AO7),1*(AO9-AO7)))))</f>
        <v>1.5</v>
      </c>
      <c r="X8" s="30" t="str">
        <f t="shared" si="4"/>
        <v>DW</v>
      </c>
      <c r="Y8" s="30" t="str">
        <f t="shared" si="5"/>
        <v>-</v>
      </c>
      <c r="Z8" s="29" t="b">
        <f t="shared" si="6"/>
        <v>1</v>
      </c>
      <c r="AA8" s="29" t="b">
        <f t="shared" si="7"/>
        <v>1</v>
      </c>
      <c r="AB8" s="29" t="str">
        <f t="shared" ca="1" si="8"/>
        <v>141-1</v>
      </c>
      <c r="AC8" s="29">
        <f t="shared" si="34"/>
        <v>5</v>
      </c>
      <c r="AD8" s="29">
        <f t="shared" ca="1" si="9"/>
        <v>5</v>
      </c>
      <c r="AE8" s="29">
        <v>5</v>
      </c>
      <c r="AF8" s="31">
        <f t="shared" si="10"/>
        <v>1</v>
      </c>
      <c r="AG8" s="29" t="b">
        <f t="shared" si="11"/>
        <v>1</v>
      </c>
      <c r="AH8" s="30" t="str">
        <f t="shared" si="12"/>
        <v>141-1</v>
      </c>
      <c r="AI8" s="30" t="str">
        <f t="shared" ca="1" si="13"/>
        <v>(1/2)*(1/3)</v>
      </c>
      <c r="AJ8" s="29">
        <f t="shared" ca="1" si="14"/>
        <v>0.16666666666666666</v>
      </c>
      <c r="AK8" s="29" t="str">
        <f t="shared" si="15"/>
        <v>1/3</v>
      </c>
      <c r="AL8" s="29">
        <f t="shared" si="16"/>
        <v>0.33333333333333331</v>
      </c>
      <c r="AM8" s="32">
        <f t="shared" ca="1" si="35"/>
        <v>0.5</v>
      </c>
      <c r="AO8" s="20">
        <f>Tools!$AD7</f>
        <v>2</v>
      </c>
      <c r="AP8" s="33">
        <f t="shared" si="36"/>
        <v>2.14</v>
      </c>
      <c r="AQ8" s="34" t="str">
        <f t="shared" ca="1" si="18"/>
        <v>(1/2)*(1/3)+1/3</v>
      </c>
      <c r="AR8" s="23">
        <f t="shared" ca="1" si="19"/>
        <v>1.07</v>
      </c>
      <c r="AS8" s="24">
        <f t="shared" si="20"/>
        <v>-8</v>
      </c>
      <c r="AT8" s="23">
        <f t="shared" ca="1" si="37"/>
        <v>-8.56</v>
      </c>
      <c r="AU8" s="23">
        <f t="shared" ca="1" si="40"/>
        <v>68.48</v>
      </c>
      <c r="AV8" s="23">
        <f t="shared" si="21"/>
        <v>9.8003440000000008</v>
      </c>
      <c r="AW8" s="23">
        <f t="shared" ca="1" si="22"/>
        <v>4.9001720000000004</v>
      </c>
      <c r="AY8" s="35">
        <f t="shared" si="23"/>
        <v>3.1333333333333333</v>
      </c>
      <c r="AZ8" s="23">
        <f ca="1">IFERROR(AY8*AM8,"  ")</f>
        <v>1.5666666666666667</v>
      </c>
      <c r="BA8" s="36">
        <f t="shared" si="25"/>
        <v>1.7733333333333334</v>
      </c>
      <c r="BB8" s="27">
        <f t="shared" ca="1" si="38"/>
        <v>0.88666666666666671</v>
      </c>
      <c r="BC8" s="23">
        <f t="shared" ca="1" si="39"/>
        <v>-12.533333333333333</v>
      </c>
      <c r="BE8" s="8" t="s">
        <v>30</v>
      </c>
      <c r="BF8" s="9" t="s">
        <v>8</v>
      </c>
      <c r="BG8" s="10">
        <f ca="1">LBP-AJ33</f>
        <v>146.19999999999999</v>
      </c>
      <c r="BH8" t="str">
        <f ca="1">IF(AJ33&gt;0,CONCATENATE("(LWL is assumed between stations ",$AH$31," and ",$AH$33," as offset values extreme to these stations are zeros.)"),"")</f>
        <v/>
      </c>
    </row>
    <row r="9" spans="1:60" x14ac:dyDescent="0.25">
      <c r="A9" s="20">
        <f>Tools!$AD8</f>
        <v>3</v>
      </c>
      <c r="B9" s="33">
        <f t="shared" si="0"/>
        <v>4.17</v>
      </c>
      <c r="C9" s="22">
        <f>IF(A9="  ","  ",IF(AND(A8="  ",A10="  "),"?",IF(A8="  ",2*(A10-A9),IF(A10="  ",2*(A9-A8),2*(A10-A8)))))</f>
        <v>4</v>
      </c>
      <c r="D9" s="23">
        <f t="shared" si="26"/>
        <v>16.68</v>
      </c>
      <c r="E9" s="24">
        <f t="shared" si="1"/>
        <v>-7</v>
      </c>
      <c r="F9" s="23">
        <f t="shared" si="27"/>
        <v>-116.75999999999999</v>
      </c>
      <c r="G9" s="23">
        <f t="shared" si="28"/>
        <v>817.31999999999994</v>
      </c>
      <c r="H9" s="23">
        <f t="shared" si="29"/>
        <v>72.511713</v>
      </c>
      <c r="I9" s="23">
        <f t="shared" si="30"/>
        <v>290.046852</v>
      </c>
      <c r="J9" s="4"/>
      <c r="K9" s="37">
        <f t="shared" si="2"/>
        <v>6.45</v>
      </c>
      <c r="L9" s="23">
        <f t="shared" si="31"/>
        <v>25.8</v>
      </c>
      <c r="M9" s="38">
        <f t="shared" si="3"/>
        <v>3.6033333333333326</v>
      </c>
      <c r="N9" s="27">
        <f t="shared" si="32"/>
        <v>14.41333333333333</v>
      </c>
      <c r="O9" s="23">
        <f t="shared" si="33"/>
        <v>-180.6</v>
      </c>
      <c r="P9" s="4"/>
      <c r="Q9" s="43" t="s">
        <v>31</v>
      </c>
      <c r="R9" s="44" t="s">
        <v>32</v>
      </c>
      <c r="S9" s="489" t="s">
        <v>33</v>
      </c>
      <c r="W9" s="29">
        <f>IF(AO9="  ","  ",IF(AND(AO8="  ",AO10="  "),"?",IF(AO8="  ",2*(AO10-AO9),IF(AO10="  ",2*(AO9-AO8),2*(AO10-AO8)))))</f>
        <v>4</v>
      </c>
      <c r="X9" s="30" t="str">
        <f t="shared" si="4"/>
        <v>WW</v>
      </c>
      <c r="Y9" s="30" t="str">
        <f t="shared" si="5"/>
        <v>-</v>
      </c>
      <c r="Z9" s="29" t="b">
        <f t="shared" si="6"/>
        <v>0</v>
      </c>
      <c r="AA9" s="29" t="b">
        <f t="shared" si="7"/>
        <v>0</v>
      </c>
      <c r="AB9" s="29" t="str">
        <f t="shared" ca="1" si="8"/>
        <v>++</v>
      </c>
      <c r="AC9" s="29">
        <f t="shared" si="34"/>
        <v>6</v>
      </c>
      <c r="AD9" s="29">
        <f t="shared" ca="1" si="9"/>
        <v>6</v>
      </c>
      <c r="AE9" s="29">
        <v>6</v>
      </c>
      <c r="AF9" s="31">
        <f>IF(AND(AG9=TRUE,OR(NOT(AG8=TRUE),AG8="Full")),1,IF(ISNUMBER(AF8),AF8+1," "))</f>
        <v>2</v>
      </c>
      <c r="AG9" s="29" t="b">
        <f t="shared" si="11"/>
        <v>1</v>
      </c>
      <c r="AH9" s="30" t="str">
        <f t="shared" ca="1" si="12"/>
        <v>141-4</v>
      </c>
      <c r="AI9" s="30" t="str">
        <f t="shared" ca="1" si="13"/>
        <v/>
      </c>
      <c r="AJ9" s="29">
        <f t="shared" ca="1" si="14"/>
        <v>0</v>
      </c>
      <c r="AK9" s="29" t="str">
        <f t="shared" ca="1" si="15"/>
        <v>4/3</v>
      </c>
      <c r="AL9" s="29">
        <f t="shared" ca="1" si="16"/>
        <v>1.3333333333333333</v>
      </c>
      <c r="AM9" s="32">
        <f t="shared" ca="1" si="35"/>
        <v>1.3333333333333333</v>
      </c>
      <c r="AO9" s="20">
        <f>Tools!$AD8</f>
        <v>3</v>
      </c>
      <c r="AP9" s="33">
        <f t="shared" si="36"/>
        <v>4.17</v>
      </c>
      <c r="AQ9" s="34" t="str">
        <f t="shared" ca="1" si="18"/>
        <v>4/3</v>
      </c>
      <c r="AR9" s="23">
        <f t="shared" ca="1" si="19"/>
        <v>5.56</v>
      </c>
      <c r="AS9" s="24">
        <f t="shared" si="20"/>
        <v>-7</v>
      </c>
      <c r="AT9" s="23">
        <f t="shared" ca="1" si="37"/>
        <v>-38.919999999999995</v>
      </c>
      <c r="AU9" s="23">
        <f t="shared" ca="1" si="40"/>
        <v>272.43999999999994</v>
      </c>
      <c r="AV9" s="23">
        <f t="shared" si="21"/>
        <v>72.511713</v>
      </c>
      <c r="AW9" s="23">
        <f t="shared" ca="1" si="22"/>
        <v>96.682283999999996</v>
      </c>
      <c r="AY9" s="35">
        <f t="shared" si="23"/>
        <v>6.45</v>
      </c>
      <c r="AZ9" s="23">
        <f t="shared" ref="AZ9:AZ28" ca="1" si="41">IFERROR(AY9*AM9,"  ")</f>
        <v>8.6</v>
      </c>
      <c r="BA9" s="36">
        <f t="shared" si="25"/>
        <v>3.6033333333333326</v>
      </c>
      <c r="BB9" s="27">
        <f t="shared" ca="1" si="38"/>
        <v>4.8044444444444432</v>
      </c>
      <c r="BC9" s="23">
        <f t="shared" ca="1" si="39"/>
        <v>-60.199999999999996</v>
      </c>
    </row>
    <row r="10" spans="1:60" x14ac:dyDescent="0.25">
      <c r="A10" s="20">
        <f>Tools!$AD9</f>
        <v>4</v>
      </c>
      <c r="B10" s="33">
        <f t="shared" si="0"/>
        <v>6.26</v>
      </c>
      <c r="C10" s="22">
        <f>IF(A10="  ","  ",IF(AND(A9="  ",A11="  "),"?",IF(A9="  ",1*(A11-A10),IF(A11="  ",1*(A10-A9),1*(A11-A9)))))</f>
        <v>2</v>
      </c>
      <c r="D10" s="23">
        <f t="shared" si="26"/>
        <v>12.52</v>
      </c>
      <c r="E10" s="24">
        <f t="shared" si="1"/>
        <v>-6</v>
      </c>
      <c r="F10" s="23">
        <f t="shared" si="27"/>
        <v>-75.12</v>
      </c>
      <c r="G10" s="23">
        <f t="shared" si="28"/>
        <v>450.72</v>
      </c>
      <c r="H10" s="23">
        <f t="shared" si="29"/>
        <v>245.31437599999998</v>
      </c>
      <c r="I10" s="23">
        <f>IFERROR(H10*C10,"  ")</f>
        <v>490.62875199999996</v>
      </c>
      <c r="J10" s="4"/>
      <c r="K10" s="37">
        <f t="shared" si="2"/>
        <v>10.46</v>
      </c>
      <c r="L10" s="23">
        <f t="shared" si="31"/>
        <v>20.92</v>
      </c>
      <c r="M10" s="38">
        <f t="shared" si="3"/>
        <v>5.6400000000000006</v>
      </c>
      <c r="N10" s="27">
        <f t="shared" si="32"/>
        <v>11.280000000000001</v>
      </c>
      <c r="O10" s="23">
        <f t="shared" si="33"/>
        <v>-125.52000000000001</v>
      </c>
      <c r="P10" s="4"/>
      <c r="Q10" s="45"/>
      <c r="R10" s="46"/>
      <c r="S10" s="490"/>
      <c r="W10" s="29">
        <f>IF(AO10="  ","  ",IF(AND(AO9="  ",AO11="  "),"?",IF(AO9="  ",1*(AO11-AO10),IF(AO11="  ",1*(AO10-AO9),1*(AO11-AO9)))))</f>
        <v>2</v>
      </c>
      <c r="X10" s="30" t="str">
        <f t="shared" si="4"/>
        <v>WW</v>
      </c>
      <c r="Y10" s="30" t="str">
        <f t="shared" si="5"/>
        <v>-</v>
      </c>
      <c r="Z10" s="29" t="b">
        <f t="shared" si="6"/>
        <v>0</v>
      </c>
      <c r="AA10" s="29" t="b">
        <f t="shared" si="7"/>
        <v>0</v>
      </c>
      <c r="AB10" s="29" t="str">
        <f t="shared" ca="1" si="8"/>
        <v>++</v>
      </c>
      <c r="AC10" s="29">
        <f t="shared" si="34"/>
        <v>7</v>
      </c>
      <c r="AD10" s="29">
        <f t="shared" ca="1" si="9"/>
        <v>7</v>
      </c>
      <c r="AE10" s="29">
        <v>7</v>
      </c>
      <c r="AF10" s="31">
        <f t="shared" ref="AF10:AF28" si="42">IF(AND(AG10=TRUE,OR(NOT(AG9=TRUE),AG9="Full")),1,IF(ISNUMBER(AF9),AF9+1," "))</f>
        <v>3</v>
      </c>
      <c r="AG10" s="29" t="b">
        <f t="shared" si="11"/>
        <v>1</v>
      </c>
      <c r="AH10" s="30" t="str">
        <f t="shared" ca="1" si="12"/>
        <v>141-2</v>
      </c>
      <c r="AI10" s="30" t="str">
        <f t="shared" ca="1" si="13"/>
        <v/>
      </c>
      <c r="AJ10" s="29">
        <f t="shared" ca="1" si="14"/>
        <v>0</v>
      </c>
      <c r="AK10" s="29" t="str">
        <f t="shared" ca="1" si="15"/>
        <v>2/3</v>
      </c>
      <c r="AL10" s="29">
        <f t="shared" ca="1" si="16"/>
        <v>0.66666666666666663</v>
      </c>
      <c r="AM10" s="32">
        <f t="shared" ca="1" si="35"/>
        <v>0.66666666666666663</v>
      </c>
      <c r="AO10" s="20">
        <f>Tools!$AD9</f>
        <v>4</v>
      </c>
      <c r="AP10" s="33">
        <f t="shared" si="36"/>
        <v>6.26</v>
      </c>
      <c r="AQ10" s="34" t="str">
        <f t="shared" ca="1" si="18"/>
        <v>2/3</v>
      </c>
      <c r="AR10" s="23">
        <f t="shared" ca="1" si="19"/>
        <v>4.1733333333333329</v>
      </c>
      <c r="AS10" s="24">
        <f t="shared" si="20"/>
        <v>-6</v>
      </c>
      <c r="AT10" s="23">
        <f t="shared" ca="1" si="37"/>
        <v>-25.04</v>
      </c>
      <c r="AU10" s="23">
        <f ca="1">IFERROR(AT10*AS10,"  ")</f>
        <v>150.24</v>
      </c>
      <c r="AV10" s="23">
        <f t="shared" si="21"/>
        <v>245.31437599999998</v>
      </c>
      <c r="AW10" s="23">
        <f t="shared" ca="1" si="22"/>
        <v>163.54291733333332</v>
      </c>
      <c r="AY10" s="35">
        <f t="shared" si="23"/>
        <v>10.46</v>
      </c>
      <c r="AZ10" s="23">
        <f t="shared" ca="1" si="41"/>
        <v>6.9733333333333336</v>
      </c>
      <c r="BA10" s="36">
        <f t="shared" si="25"/>
        <v>5.6400000000000006</v>
      </c>
      <c r="BB10" s="27">
        <f t="shared" ca="1" si="38"/>
        <v>3.7600000000000002</v>
      </c>
      <c r="BC10" s="23">
        <f t="shared" ca="1" si="39"/>
        <v>-41.84</v>
      </c>
      <c r="BE10" s="43" t="s">
        <v>31</v>
      </c>
      <c r="BF10" s="44" t="s">
        <v>32</v>
      </c>
      <c r="BG10" s="489" t="s">
        <v>33</v>
      </c>
    </row>
    <row r="11" spans="1:60" x14ac:dyDescent="0.25">
      <c r="A11" s="20">
        <f>Tools!$AD10</f>
        <v>5</v>
      </c>
      <c r="B11" s="33">
        <f t="shared" si="0"/>
        <v>8.1199999999999992</v>
      </c>
      <c r="C11" s="22">
        <f>IF(A11="  ","  ",IF(AND(A10="  ",A12="  "),"?",IF(A10="  ",2*(A12-A11),IF(A12="  ",2*(A11-A10),2*(A12-A10)))))</f>
        <v>4</v>
      </c>
      <c r="D11" s="23">
        <f t="shared" si="26"/>
        <v>32.479999999999997</v>
      </c>
      <c r="E11" s="24">
        <f t="shared" si="1"/>
        <v>-5</v>
      </c>
      <c r="F11" s="23">
        <f t="shared" si="27"/>
        <v>-162.39999999999998</v>
      </c>
      <c r="G11" s="23">
        <f t="shared" si="28"/>
        <v>811.99999999999989</v>
      </c>
      <c r="H11" s="23">
        <f t="shared" si="29"/>
        <v>535.3873279999998</v>
      </c>
      <c r="I11" s="23">
        <f t="shared" si="30"/>
        <v>2141.5493119999992</v>
      </c>
      <c r="J11" s="4"/>
      <c r="K11" s="37">
        <f t="shared" si="2"/>
        <v>14.353333333333332</v>
      </c>
      <c r="L11" s="23">
        <f t="shared" si="31"/>
        <v>57.413333333333327</v>
      </c>
      <c r="M11" s="38">
        <f t="shared" si="3"/>
        <v>7.5466666666666669</v>
      </c>
      <c r="N11" s="27">
        <f t="shared" si="32"/>
        <v>30.186666666666667</v>
      </c>
      <c r="O11" s="23">
        <f t="shared" si="33"/>
        <v>-287.06666666666661</v>
      </c>
      <c r="P11" s="4"/>
      <c r="Q11" s="47" t="s">
        <v>34</v>
      </c>
      <c r="R11" s="48" t="s">
        <v>35</v>
      </c>
      <c r="S11">
        <f>IF(Tools!$L$49="Use 141 rule only",I35,IF(Tools!$L$49="Use 141 and 1331 rules",BG12," "))</f>
        <v>2223.2877666666668</v>
      </c>
      <c r="W11" s="29">
        <f>IF(AO11="  ","  ",IF(AND(AO10="  ",AO12="  "),"?",IF(AO10="  ",2*(AO12-AO11),IF(AO12="  ",2*(AO11-AO10),2*(AO12-AO10)))))</f>
        <v>4</v>
      </c>
      <c r="X11" s="30" t="str">
        <f t="shared" si="4"/>
        <v>WW</v>
      </c>
      <c r="Y11" s="30" t="str">
        <f t="shared" si="5"/>
        <v>-</v>
      </c>
      <c r="Z11" s="29" t="b">
        <f t="shared" si="6"/>
        <v>0</v>
      </c>
      <c r="AA11" s="29" t="b">
        <f t="shared" si="7"/>
        <v>0</v>
      </c>
      <c r="AB11" s="29" t="str">
        <f t="shared" ca="1" si="8"/>
        <v>++</v>
      </c>
      <c r="AC11" s="29">
        <f t="shared" si="34"/>
        <v>8</v>
      </c>
      <c r="AD11" s="29">
        <f t="shared" ca="1" si="9"/>
        <v>8</v>
      </c>
      <c r="AE11" s="29">
        <v>8</v>
      </c>
      <c r="AF11" s="31">
        <f t="shared" si="42"/>
        <v>4</v>
      </c>
      <c r="AG11" s="29" t="b">
        <f t="shared" si="11"/>
        <v>1</v>
      </c>
      <c r="AH11" s="30" t="str">
        <f t="shared" ca="1" si="12"/>
        <v>141-4</v>
      </c>
      <c r="AI11" s="30" t="str">
        <f t="shared" ca="1" si="13"/>
        <v/>
      </c>
      <c r="AJ11" s="29">
        <f t="shared" ca="1" si="14"/>
        <v>0</v>
      </c>
      <c r="AK11" s="29" t="str">
        <f t="shared" ca="1" si="15"/>
        <v>4/3</v>
      </c>
      <c r="AL11" s="29">
        <f t="shared" ca="1" si="16"/>
        <v>1.3333333333333333</v>
      </c>
      <c r="AM11" s="32">
        <f t="shared" ca="1" si="35"/>
        <v>1.3333333333333333</v>
      </c>
      <c r="AO11" s="20">
        <f>Tools!$AD10</f>
        <v>5</v>
      </c>
      <c r="AP11" s="33">
        <f t="shared" si="36"/>
        <v>8.1199999999999992</v>
      </c>
      <c r="AQ11" s="34" t="str">
        <f t="shared" ca="1" si="18"/>
        <v>4/3</v>
      </c>
      <c r="AR11" s="23">
        <f t="shared" ca="1" si="19"/>
        <v>10.826666666666664</v>
      </c>
      <c r="AS11" s="24">
        <f t="shared" si="20"/>
        <v>-5</v>
      </c>
      <c r="AT11" s="23">
        <f t="shared" ca="1" si="37"/>
        <v>-54.133333333333326</v>
      </c>
      <c r="AU11" s="23">
        <f t="shared" ca="1" si="40"/>
        <v>270.66666666666663</v>
      </c>
      <c r="AV11" s="23">
        <f t="shared" si="21"/>
        <v>535.3873279999998</v>
      </c>
      <c r="AW11" s="23">
        <f t="shared" ca="1" si="22"/>
        <v>713.84977066666636</v>
      </c>
      <c r="AY11" s="35">
        <f t="shared" si="23"/>
        <v>14.353333333333332</v>
      </c>
      <c r="AZ11" s="23">
        <f t="shared" ca="1" si="41"/>
        <v>19.137777777777774</v>
      </c>
      <c r="BA11" s="36">
        <f t="shared" si="25"/>
        <v>7.5466666666666669</v>
      </c>
      <c r="BB11" s="27">
        <f t="shared" ca="1" si="38"/>
        <v>10.062222222222221</v>
      </c>
      <c r="BC11" s="23">
        <f ca="1">IFERROR(AZ11*AS11,"  ")</f>
        <v>-95.688888888888869</v>
      </c>
      <c r="BE11" s="45"/>
      <c r="BF11" s="46"/>
      <c r="BG11" s="490"/>
    </row>
    <row r="12" spans="1:60" x14ac:dyDescent="0.25">
      <c r="A12" s="20">
        <f>Tools!$AD11</f>
        <v>6</v>
      </c>
      <c r="B12" s="33">
        <f t="shared" si="0"/>
        <v>9.5</v>
      </c>
      <c r="C12" s="22">
        <f>IF(A12="  ","  ",IF(AND(A11="  ",A13="  "),"?",IF(A11="  ",1*(A13-A12),IF(A13="  ",1*(A12-A11),1*(A13-A11)))))</f>
        <v>2</v>
      </c>
      <c r="D12" s="23">
        <f t="shared" si="26"/>
        <v>19</v>
      </c>
      <c r="E12" s="24">
        <f t="shared" si="1"/>
        <v>-4</v>
      </c>
      <c r="F12" s="23">
        <f t="shared" si="27"/>
        <v>-76</v>
      </c>
      <c r="G12" s="23">
        <f t="shared" si="28"/>
        <v>304</v>
      </c>
      <c r="H12" s="23">
        <f t="shared" si="29"/>
        <v>857.375</v>
      </c>
      <c r="I12" s="23">
        <f t="shared" si="30"/>
        <v>1714.75</v>
      </c>
      <c r="J12" s="4"/>
      <c r="K12" s="37">
        <f t="shared" si="2"/>
        <v>17.666666666666664</v>
      </c>
      <c r="L12" s="23">
        <f t="shared" si="31"/>
        <v>35.333333333333329</v>
      </c>
      <c r="M12" s="38">
        <f t="shared" si="3"/>
        <v>9.1</v>
      </c>
      <c r="N12" s="27">
        <f t="shared" si="32"/>
        <v>18.2</v>
      </c>
      <c r="O12" s="23">
        <f t="shared" si="33"/>
        <v>-141.33333333333331</v>
      </c>
      <c r="P12" s="4"/>
      <c r="Q12" s="47" t="s">
        <v>36</v>
      </c>
      <c r="R12" s="48" t="s">
        <v>37</v>
      </c>
      <c r="S12">
        <f>IF(Tools!$L$49="Use 141 rule only",I36,IF(Tools!$L$49="Use 141 and 1331 rules",BG13," "))</f>
        <v>11655.125891333333</v>
      </c>
      <c r="W12" s="29">
        <f>IF(AO12="  ","  ",IF(AND(AO11="  ",AO13="  "),"?",IF(AO11="  ",1*(AO13-AO12),IF(AO13="  ",1*(AO12-AO11),1*(AO13-AO11)))))</f>
        <v>2</v>
      </c>
      <c r="X12" s="30" t="str">
        <f t="shared" si="4"/>
        <v>WW</v>
      </c>
      <c r="Y12" s="30" t="str">
        <f t="shared" si="5"/>
        <v>-</v>
      </c>
      <c r="Z12" s="29" t="b">
        <f t="shared" si="6"/>
        <v>0</v>
      </c>
      <c r="AA12" s="29" t="b">
        <f t="shared" si="7"/>
        <v>0</v>
      </c>
      <c r="AB12" s="29" t="str">
        <f t="shared" ca="1" si="8"/>
        <v>++</v>
      </c>
      <c r="AC12" s="29">
        <f t="shared" si="34"/>
        <v>9</v>
      </c>
      <c r="AD12" s="29">
        <f t="shared" ca="1" si="9"/>
        <v>9</v>
      </c>
      <c r="AE12" s="29">
        <v>9</v>
      </c>
      <c r="AF12" s="31">
        <f t="shared" si="42"/>
        <v>5</v>
      </c>
      <c r="AG12" s="29" t="b">
        <f t="shared" si="11"/>
        <v>1</v>
      </c>
      <c r="AH12" s="30" t="str">
        <f t="shared" ca="1" si="12"/>
        <v>141-2</v>
      </c>
      <c r="AI12" s="30" t="str">
        <f t="shared" ca="1" si="13"/>
        <v/>
      </c>
      <c r="AJ12" s="29">
        <f t="shared" ca="1" si="14"/>
        <v>0</v>
      </c>
      <c r="AK12" s="29" t="str">
        <f t="shared" ca="1" si="15"/>
        <v>2/3</v>
      </c>
      <c r="AL12" s="29">
        <f t="shared" ca="1" si="16"/>
        <v>0.66666666666666663</v>
      </c>
      <c r="AM12" s="32">
        <f t="shared" ca="1" si="35"/>
        <v>0.66666666666666663</v>
      </c>
      <c r="AO12" s="20">
        <f>Tools!$AD11</f>
        <v>6</v>
      </c>
      <c r="AP12" s="33">
        <f t="shared" si="36"/>
        <v>9.5</v>
      </c>
      <c r="AQ12" s="34" t="str">
        <f t="shared" ca="1" si="18"/>
        <v>2/3</v>
      </c>
      <c r="AR12" s="23">
        <f t="shared" ca="1" si="19"/>
        <v>6.333333333333333</v>
      </c>
      <c r="AS12" s="24">
        <f t="shared" si="20"/>
        <v>-4</v>
      </c>
      <c r="AT12" s="23">
        <f t="shared" ca="1" si="37"/>
        <v>-25.333333333333332</v>
      </c>
      <c r="AU12" s="23">
        <f t="shared" ca="1" si="40"/>
        <v>101.33333333333333</v>
      </c>
      <c r="AV12" s="23">
        <f t="shared" si="21"/>
        <v>857.375</v>
      </c>
      <c r="AW12" s="23">
        <f t="shared" ca="1" si="22"/>
        <v>571.58333333333326</v>
      </c>
      <c r="AY12" s="35">
        <f t="shared" si="23"/>
        <v>17.666666666666664</v>
      </c>
      <c r="AZ12" s="23">
        <f t="shared" ca="1" si="41"/>
        <v>11.777777777777775</v>
      </c>
      <c r="BA12" s="36">
        <f t="shared" si="25"/>
        <v>9.1</v>
      </c>
      <c r="BB12" s="27">
        <f t="shared" ca="1" si="38"/>
        <v>6.0666666666666664</v>
      </c>
      <c r="BC12" s="23">
        <f t="shared" ca="1" si="39"/>
        <v>-47.1111111111111</v>
      </c>
      <c r="BE12" s="47" t="s">
        <v>34</v>
      </c>
      <c r="BF12" s="48" t="s">
        <v>38</v>
      </c>
      <c r="BG12" s="49">
        <f ca="1">IF(WL_No="  ","  ",2*h*$AR$29)</f>
        <v>2223.2877666666664</v>
      </c>
    </row>
    <row r="13" spans="1:60" x14ac:dyDescent="0.25">
      <c r="A13" s="20">
        <f>Tools!$AD12</f>
        <v>7</v>
      </c>
      <c r="B13" s="33">
        <f t="shared" si="0"/>
        <v>10.3</v>
      </c>
      <c r="C13" s="22">
        <f>IF(A13="  ","  ",IF(AND(A12="  ",A14="  "),"?",IF(A12="  ",2*(A14-A13),IF(A14="  ",2*(A13-A12),2*(A14-A12)))))</f>
        <v>4</v>
      </c>
      <c r="D13" s="23">
        <f t="shared" si="26"/>
        <v>41.2</v>
      </c>
      <c r="E13" s="24">
        <f t="shared" si="1"/>
        <v>-3</v>
      </c>
      <c r="F13" s="23">
        <f t="shared" si="27"/>
        <v>-123.60000000000001</v>
      </c>
      <c r="G13" s="23">
        <f t="shared" si="28"/>
        <v>370.8</v>
      </c>
      <c r="H13" s="23">
        <f t="shared" si="29"/>
        <v>1092.7270000000003</v>
      </c>
      <c r="I13" s="23">
        <f t="shared" si="30"/>
        <v>4370.9080000000013</v>
      </c>
      <c r="J13" s="4"/>
      <c r="K13" s="37">
        <f t="shared" si="2"/>
        <v>19.54</v>
      </c>
      <c r="L13" s="23">
        <f t="shared" si="31"/>
        <v>78.16</v>
      </c>
      <c r="M13" s="38">
        <f t="shared" si="3"/>
        <v>9.9866666666666664</v>
      </c>
      <c r="N13" s="27">
        <f t="shared" si="32"/>
        <v>39.946666666666665</v>
      </c>
      <c r="O13" s="23">
        <f t="shared" si="33"/>
        <v>-234.48</v>
      </c>
      <c r="P13" s="4"/>
      <c r="Q13" s="50" t="s">
        <v>39</v>
      </c>
      <c r="R13" s="48" t="s">
        <v>40</v>
      </c>
      <c r="S13">
        <f>IF(Tools!$L$49="Use 141 rule only",I37,IF(Tools!$L$49="Use 141 and 1331 rules",BG14," "))</f>
        <v>5.2422929978190105</v>
      </c>
      <c r="W13" s="29">
        <f>IF(AO13="  ","  ",IF(AND(AO12="  ",AO14="  "),"?",IF(AO12="  ",2*(AO14-AO13),IF(AO14="  ",2*(AO13-AO12),2*(AO14-AO12)))))</f>
        <v>4</v>
      </c>
      <c r="X13" s="30" t="str">
        <f t="shared" si="4"/>
        <v>WW</v>
      </c>
      <c r="Y13" s="30" t="str">
        <f t="shared" si="5"/>
        <v>-</v>
      </c>
      <c r="Z13" s="29" t="b">
        <f t="shared" si="6"/>
        <v>0</v>
      </c>
      <c r="AA13" s="29" t="b">
        <f t="shared" si="7"/>
        <v>0</v>
      </c>
      <c r="AB13" s="29" t="str">
        <f t="shared" ca="1" si="8"/>
        <v>++</v>
      </c>
      <c r="AC13" s="29">
        <f t="shared" si="34"/>
        <v>10</v>
      </c>
      <c r="AD13" s="29">
        <f t="shared" ca="1" si="9"/>
        <v>10</v>
      </c>
      <c r="AE13" s="29">
        <v>10</v>
      </c>
      <c r="AF13" s="31">
        <f t="shared" si="42"/>
        <v>6</v>
      </c>
      <c r="AG13" s="29" t="b">
        <f t="shared" si="11"/>
        <v>1</v>
      </c>
      <c r="AH13" s="30" t="str">
        <f t="shared" ca="1" si="12"/>
        <v>141-4</v>
      </c>
      <c r="AI13" s="30" t="str">
        <f t="shared" ca="1" si="13"/>
        <v/>
      </c>
      <c r="AJ13" s="29">
        <f t="shared" ca="1" si="14"/>
        <v>0</v>
      </c>
      <c r="AK13" s="29" t="str">
        <f t="shared" ca="1" si="15"/>
        <v>4/3</v>
      </c>
      <c r="AL13" s="29">
        <f t="shared" ca="1" si="16"/>
        <v>1.3333333333333333</v>
      </c>
      <c r="AM13" s="32">
        <f t="shared" ca="1" si="35"/>
        <v>1.3333333333333333</v>
      </c>
      <c r="AO13" s="20">
        <f>Tools!$AD12</f>
        <v>7</v>
      </c>
      <c r="AP13" s="33">
        <f t="shared" si="36"/>
        <v>10.3</v>
      </c>
      <c r="AQ13" s="34" t="str">
        <f t="shared" ca="1" si="18"/>
        <v>4/3</v>
      </c>
      <c r="AR13" s="23">
        <f t="shared" ca="1" si="19"/>
        <v>13.733333333333334</v>
      </c>
      <c r="AS13" s="24">
        <f t="shared" si="20"/>
        <v>-3</v>
      </c>
      <c r="AT13" s="23">
        <f t="shared" ca="1" si="37"/>
        <v>-41.2</v>
      </c>
      <c r="AU13" s="23">
        <f t="shared" ca="1" si="40"/>
        <v>123.60000000000001</v>
      </c>
      <c r="AV13" s="23">
        <f t="shared" si="21"/>
        <v>1092.7270000000003</v>
      </c>
      <c r="AW13" s="23">
        <f t="shared" ca="1" si="22"/>
        <v>1456.9693333333337</v>
      </c>
      <c r="AY13" s="35">
        <f t="shared" si="23"/>
        <v>19.54</v>
      </c>
      <c r="AZ13" s="23">
        <f t="shared" ca="1" si="41"/>
        <v>26.053333333333331</v>
      </c>
      <c r="BA13" s="36">
        <f t="shared" si="25"/>
        <v>9.9866666666666664</v>
      </c>
      <c r="BB13" s="27">
        <f t="shared" ca="1" si="38"/>
        <v>13.315555555555555</v>
      </c>
      <c r="BC13" s="23">
        <f t="shared" ca="1" si="39"/>
        <v>-78.16</v>
      </c>
      <c r="BE13" s="47" t="s">
        <v>36</v>
      </c>
      <c r="BF13" s="48" t="s">
        <v>41</v>
      </c>
      <c r="BG13" s="49">
        <f ca="1">IF(WL_No="  ","  ",2*(h^2)*$AT$29)</f>
        <v>11655.125891333333</v>
      </c>
    </row>
    <row r="14" spans="1:60" x14ac:dyDescent="0.25">
      <c r="A14" s="20">
        <f>Tools!$AD13</f>
        <v>8</v>
      </c>
      <c r="B14" s="33">
        <f t="shared" si="0"/>
        <v>10.67</v>
      </c>
      <c r="C14" s="22">
        <f>IF(A14="  ","  ",IF(AND(A13="  ",A15="  "),"?",IF(A13="  ",1*(A15-A14),IF(A15="  ",1*(A14-A13),1*(A15-A13)))))</f>
        <v>2</v>
      </c>
      <c r="D14" s="23">
        <f t="shared" si="26"/>
        <v>21.34</v>
      </c>
      <c r="E14" s="24">
        <f t="shared" si="1"/>
        <v>-2</v>
      </c>
      <c r="F14" s="23">
        <f t="shared" si="27"/>
        <v>-42.68</v>
      </c>
      <c r="G14" s="23">
        <f t="shared" si="28"/>
        <v>85.36</v>
      </c>
      <c r="H14" s="23">
        <f t="shared" si="29"/>
        <v>1214.7677630000001</v>
      </c>
      <c r="I14" s="23">
        <f t="shared" si="30"/>
        <v>2429.5355260000001</v>
      </c>
      <c r="J14" s="4"/>
      <c r="K14" s="37">
        <f t="shared" si="2"/>
        <v>20.496666666666666</v>
      </c>
      <c r="L14" s="23">
        <f t="shared" si="31"/>
        <v>40.993333333333332</v>
      </c>
      <c r="M14" s="38">
        <f t="shared" si="3"/>
        <v>10.443333333333332</v>
      </c>
      <c r="N14" s="27">
        <f t="shared" si="32"/>
        <v>20.886666666666663</v>
      </c>
      <c r="O14" s="23">
        <f t="shared" si="33"/>
        <v>-81.986666666666665</v>
      </c>
      <c r="P14" s="4"/>
      <c r="Q14" s="50" t="s">
        <v>42</v>
      </c>
      <c r="R14" s="48" t="s">
        <v>43</v>
      </c>
      <c r="S14">
        <f>IF(Tools!$L$49="Use 141 rule only",I38,IF(Tools!$L$49="Use 141 and 1331 rules",BG15," "))</f>
        <v>2371489.3924675565</v>
      </c>
      <c r="W14" s="29">
        <f>IF(AO14="  ","  ",IF(AND(AO13="  ",AO15="  "),"?",IF(AO13="  ",1*(AO15-AO14),IF(AO15="  ",1*(AO14-AO13),1*(AO15-AO13)))))</f>
        <v>2</v>
      </c>
      <c r="X14" s="30" t="str">
        <f t="shared" si="4"/>
        <v>WW</v>
      </c>
      <c r="Y14" s="30" t="str">
        <f t="shared" si="5"/>
        <v>-</v>
      </c>
      <c r="Z14" s="29" t="b">
        <f t="shared" si="6"/>
        <v>0</v>
      </c>
      <c r="AA14" s="29" t="b">
        <f t="shared" si="7"/>
        <v>0</v>
      </c>
      <c r="AB14" s="29" t="str">
        <f t="shared" ca="1" si="8"/>
        <v>++</v>
      </c>
      <c r="AC14" s="29">
        <f t="shared" si="34"/>
        <v>11</v>
      </c>
      <c r="AD14" s="29">
        <f t="shared" ca="1" si="9"/>
        <v>11</v>
      </c>
      <c r="AE14" s="29">
        <v>11</v>
      </c>
      <c r="AF14" s="31">
        <f t="shared" si="42"/>
        <v>7</v>
      </c>
      <c r="AG14" s="29" t="b">
        <f t="shared" si="11"/>
        <v>1</v>
      </c>
      <c r="AH14" s="30" t="str">
        <f ca="1">IF(AND(AG14=TRUE,$AH$1=1),"141-4",IF(AG14=" ",IF(AND($AH$1=2,AF14=3),"141-1","-"),IF(OR(AG14=FALSE,AG14=" "),"-",IF(AG14=TRUE,IF(AND($AH$1=2,AF14=1),"141-1",IF(AND($AH$1=2,AF14=2),"141-4",IF(OR(ISODD($AH$1),AF14&gt;4),IF(AF14=1,"141-1",IF(OR(AB14="141-1",AB14="1331-1",AB14="1331-1,141-1"),"141-1",IF(AG15=" ","141-1",IF(OR(AH13="141-1",AH13="141-2",AH13="1331-1,141-1"),"141-4",IF(AH13="141-4","141-2","$$"))))),IF(ISEVEN($AH$1),IF(AF14=1,"1331-1",IF(OR(AF14=2,AF14=3),"1331-3",IF(AF14=4,IF($AH$1=4,"1331-1","1331-1,141-1"),"")))))))))))</f>
        <v>141-2</v>
      </c>
      <c r="AI14" s="30" t="str">
        <f t="shared" ca="1" si="13"/>
        <v/>
      </c>
      <c r="AJ14" s="29">
        <f t="shared" ca="1" si="14"/>
        <v>0</v>
      </c>
      <c r="AK14" s="29" t="str">
        <f t="shared" ca="1" si="15"/>
        <v>2/3</v>
      </c>
      <c r="AL14" s="29">
        <f t="shared" ca="1" si="16"/>
        <v>0.66666666666666663</v>
      </c>
      <c r="AM14" s="32">
        <f t="shared" ca="1" si="35"/>
        <v>0.66666666666666663</v>
      </c>
      <c r="AO14" s="20">
        <f>Tools!$AD13</f>
        <v>8</v>
      </c>
      <c r="AP14" s="33">
        <f t="shared" si="36"/>
        <v>10.67</v>
      </c>
      <c r="AQ14" s="34" t="str">
        <f t="shared" ca="1" si="18"/>
        <v>2/3</v>
      </c>
      <c r="AR14" s="23">
        <f t="shared" ca="1" si="19"/>
        <v>7.1133333333333333</v>
      </c>
      <c r="AS14" s="24">
        <f t="shared" si="20"/>
        <v>-2</v>
      </c>
      <c r="AT14" s="23">
        <f t="shared" ca="1" si="37"/>
        <v>-14.226666666666667</v>
      </c>
      <c r="AU14" s="23">
        <f t="shared" ca="1" si="40"/>
        <v>28.453333333333333</v>
      </c>
      <c r="AV14" s="23">
        <f t="shared" si="21"/>
        <v>1214.7677630000001</v>
      </c>
      <c r="AW14" s="23">
        <f t="shared" ca="1" si="22"/>
        <v>809.84517533333337</v>
      </c>
      <c r="AY14" s="35">
        <f t="shared" si="23"/>
        <v>20.496666666666666</v>
      </c>
      <c r="AZ14" s="23">
        <f t="shared" ca="1" si="41"/>
        <v>13.664444444444444</v>
      </c>
      <c r="BA14" s="36">
        <f t="shared" si="25"/>
        <v>10.443333333333332</v>
      </c>
      <c r="BB14" s="27">
        <f t="shared" ca="1" si="38"/>
        <v>6.9622222222222208</v>
      </c>
      <c r="BC14" s="23">
        <f t="shared" ca="1" si="39"/>
        <v>-27.328888888888887</v>
      </c>
      <c r="BE14" s="50" t="s">
        <v>39</v>
      </c>
      <c r="BF14" s="48" t="s">
        <v>40</v>
      </c>
      <c r="BG14" s="49">
        <f>IF(WL_No="  ","  ",Mmid/AWP)</f>
        <v>5.2422929978190105</v>
      </c>
    </row>
    <row r="15" spans="1:60" x14ac:dyDescent="0.25">
      <c r="A15" s="20">
        <f>Tools!$AD14</f>
        <v>9</v>
      </c>
      <c r="B15" s="33">
        <f t="shared" si="0"/>
        <v>10.75</v>
      </c>
      <c r="C15" s="22">
        <f>IF(A15="  ","  ",IF(AND(A14="  ",A16="  "),"?",IF(A14="  ",2*(A16-A15),IF(A16="  ",2*(A15-A14),2*(A16-A14)))))</f>
        <v>4</v>
      </c>
      <c r="D15" s="23">
        <f t="shared" si="26"/>
        <v>43</v>
      </c>
      <c r="E15" s="24">
        <f t="shared" si="1"/>
        <v>-1</v>
      </c>
      <c r="F15" s="23">
        <f t="shared" si="27"/>
        <v>-43</v>
      </c>
      <c r="G15" s="23">
        <f t="shared" si="28"/>
        <v>43</v>
      </c>
      <c r="H15" s="23">
        <f t="shared" si="29"/>
        <v>1242.296875</v>
      </c>
      <c r="I15" s="23">
        <f t="shared" si="30"/>
        <v>4969.1875</v>
      </c>
      <c r="J15" s="4"/>
      <c r="K15" s="37">
        <f t="shared" si="2"/>
        <v>20.75</v>
      </c>
      <c r="L15" s="23">
        <f t="shared" si="31"/>
        <v>83</v>
      </c>
      <c r="M15" s="38">
        <f t="shared" si="3"/>
        <v>10.549999999999999</v>
      </c>
      <c r="N15" s="27">
        <f t="shared" si="32"/>
        <v>42.199999999999996</v>
      </c>
      <c r="O15" s="23">
        <f t="shared" si="33"/>
        <v>-83</v>
      </c>
      <c r="P15" s="4"/>
      <c r="Q15" s="51" t="s">
        <v>44</v>
      </c>
      <c r="R15" s="48" t="s">
        <v>45</v>
      </c>
      <c r="S15">
        <f>IF(Tools!$L$49="Use 141 rule only",I39,IF(Tools!$L$49="Use 141 and 1331 rules",BG16," "))</f>
        <v>67783.507566678876</v>
      </c>
      <c r="W15" s="29">
        <f>IF(AO15="  ","  ",IF(AND(AO14="  ",AO16="  "),"?",IF(AO14="  ",2*(AO16-AO15),IF(AO16="  ",2*(AO15-AO14),2*(AO16-AO14)))))</f>
        <v>4</v>
      </c>
      <c r="X15" s="30" t="str">
        <f t="shared" si="4"/>
        <v>WW</v>
      </c>
      <c r="Y15" s="30" t="str">
        <f t="shared" si="5"/>
        <v>-</v>
      </c>
      <c r="Z15" s="29" t="b">
        <f t="shared" si="6"/>
        <v>0</v>
      </c>
      <c r="AA15" s="29" t="b">
        <f t="shared" si="7"/>
        <v>0</v>
      </c>
      <c r="AB15" s="29" t="str">
        <f t="shared" ca="1" si="8"/>
        <v>++</v>
      </c>
      <c r="AC15" s="29">
        <f t="shared" si="34"/>
        <v>12</v>
      </c>
      <c r="AD15" s="29">
        <f t="shared" ca="1" si="9"/>
        <v>12</v>
      </c>
      <c r="AE15" s="29">
        <v>12</v>
      </c>
      <c r="AF15" s="31">
        <f t="shared" si="42"/>
        <v>8</v>
      </c>
      <c r="AG15" s="29" t="b">
        <f t="shared" si="11"/>
        <v>1</v>
      </c>
      <c r="AH15" s="30" t="str">
        <f t="shared" ref="AH15:AH28" ca="1" si="43">IF(AND(AG15=TRUE,$AH$1=1),"141-4",IF(AG15=" ",IF(AND($AH$1=2,AF15=3),"141-1","-"),IF(OR(AG15=FALSE,AG15=" "),"-",IF(AG15=TRUE,IF(AND($AH$1=2,AF15=1),"141-1",IF(AND($AH$1=2,AF15=2),"141-4",IF(OR(ISODD($AH$1),AF15&gt;4),IF(AF15=1,"141-1",IF(OR(AB15="141-1",AB15="1331-1",AB15="1331-1,141-1"),"141-1",IF(AG16=" ","141-1",IF(OR(AH14="141-1",AH14="141-2",AH14="1331-1,141-1"),"141-4",IF(AH14="141-4","141-2","$$"))))),IF(ISEVEN($AH$1),IF(AF15=1,"1331-1",IF(OR(AF15=2,AF15=3),"1331-3",IF(AF15=4,IF($AH$1=4,"1331-1","1331-1,141-1"),"")))))))))))</f>
        <v>141-4</v>
      </c>
      <c r="AI15" s="30" t="str">
        <f t="shared" ca="1" si="13"/>
        <v/>
      </c>
      <c r="AJ15" s="29">
        <f t="shared" ca="1" si="14"/>
        <v>0</v>
      </c>
      <c r="AK15" s="29" t="str">
        <f t="shared" ca="1" si="15"/>
        <v>4/3</v>
      </c>
      <c r="AL15" s="29">
        <f t="shared" ca="1" si="16"/>
        <v>1.3333333333333333</v>
      </c>
      <c r="AM15" s="32">
        <f t="shared" ca="1" si="35"/>
        <v>1.3333333333333333</v>
      </c>
      <c r="AO15" s="20">
        <f>Tools!$AD14</f>
        <v>9</v>
      </c>
      <c r="AP15" s="33">
        <f t="shared" si="36"/>
        <v>10.75</v>
      </c>
      <c r="AQ15" s="34" t="str">
        <f t="shared" ca="1" si="18"/>
        <v>4/3</v>
      </c>
      <c r="AR15" s="23">
        <f t="shared" ca="1" si="19"/>
        <v>14.333333333333332</v>
      </c>
      <c r="AS15" s="24">
        <f t="shared" si="20"/>
        <v>-1</v>
      </c>
      <c r="AT15" s="23">
        <f t="shared" ca="1" si="37"/>
        <v>-14.333333333333332</v>
      </c>
      <c r="AU15" s="23">
        <f t="shared" ca="1" si="40"/>
        <v>14.333333333333332</v>
      </c>
      <c r="AV15" s="23">
        <f t="shared" si="21"/>
        <v>1242.296875</v>
      </c>
      <c r="AW15" s="23">
        <f t="shared" ca="1" si="22"/>
        <v>1656.3958333333333</v>
      </c>
      <c r="AY15" s="35">
        <f t="shared" si="23"/>
        <v>20.75</v>
      </c>
      <c r="AZ15" s="23">
        <f t="shared" ca="1" si="41"/>
        <v>27.666666666666664</v>
      </c>
      <c r="BA15" s="36">
        <f t="shared" si="25"/>
        <v>10.549999999999999</v>
      </c>
      <c r="BB15" s="27">
        <f ca="1">IFERROR(BA15*AM15,"  ")</f>
        <v>14.066666666666665</v>
      </c>
      <c r="BC15" s="23">
        <f t="shared" ca="1" si="39"/>
        <v>-27.666666666666664</v>
      </c>
      <c r="BE15" s="50" t="s">
        <v>42</v>
      </c>
      <c r="BF15" s="48" t="s">
        <v>46</v>
      </c>
      <c r="BG15" s="49">
        <f ca="1">IF(WL_No="  ","  ",2*(h^3)*$AU$29)</f>
        <v>2371489.3924675561</v>
      </c>
    </row>
    <row r="16" spans="1:60" x14ac:dyDescent="0.25">
      <c r="A16" s="20">
        <f>Tools!$AD15</f>
        <v>10</v>
      </c>
      <c r="B16" s="33">
        <f t="shared" si="0"/>
        <v>10.75</v>
      </c>
      <c r="C16" s="22">
        <f>IF(A16="  ","  ",IF(AND(A15="  ",A17="  "),"?",IF(A15="  ",1*(A17-A16),IF(A17="  ",1*(A16-A15),1*(A17-A15)))))</f>
        <v>2</v>
      </c>
      <c r="D16" s="23">
        <f t="shared" si="26"/>
        <v>21.5</v>
      </c>
      <c r="E16" s="24">
        <f t="shared" si="1"/>
        <v>0</v>
      </c>
      <c r="F16" s="23">
        <f t="shared" si="27"/>
        <v>0</v>
      </c>
      <c r="G16" s="23">
        <f t="shared" si="28"/>
        <v>0</v>
      </c>
      <c r="H16" s="23">
        <f t="shared" si="29"/>
        <v>1242.296875</v>
      </c>
      <c r="I16" s="23">
        <f t="shared" si="30"/>
        <v>2484.59375</v>
      </c>
      <c r="J16" s="4"/>
      <c r="K16" s="37">
        <f t="shared" si="2"/>
        <v>20.75</v>
      </c>
      <c r="L16" s="23">
        <f t="shared" si="31"/>
        <v>41.5</v>
      </c>
      <c r="M16" s="38">
        <f t="shared" si="3"/>
        <v>10.549999999999999</v>
      </c>
      <c r="N16" s="27">
        <f t="shared" si="32"/>
        <v>21.099999999999998</v>
      </c>
      <c r="O16" s="23">
        <f t="shared" si="33"/>
        <v>0</v>
      </c>
      <c r="P16" s="4"/>
      <c r="Q16" s="50" t="s">
        <v>47</v>
      </c>
      <c r="R16" s="48" t="s">
        <v>48</v>
      </c>
      <c r="S16">
        <f>IF(Tools!$L$49="Use 141 rule only",I40,IF(Tools!$L$49="Use 141 and 1331 rules",BG17," "))</f>
        <v>2310389.8076187209</v>
      </c>
      <c r="W16" s="29">
        <f>IF(AO16="  ","  ",IF(AND(AO15="  ",AO17="  "),"?",IF(AO15="  ",1*(AO17-AO16),IF(AO17="  ",1*(AO16-AO15),1*(AO17-AO15)))))</f>
        <v>2</v>
      </c>
      <c r="X16" s="30" t="str">
        <f t="shared" si="4"/>
        <v>WW</v>
      </c>
      <c r="Y16" s="30" t="str">
        <f t="shared" si="5"/>
        <v>-</v>
      </c>
      <c r="Z16" s="29" t="b">
        <f t="shared" si="6"/>
        <v>0</v>
      </c>
      <c r="AA16" s="29" t="b">
        <f t="shared" si="7"/>
        <v>0</v>
      </c>
      <c r="AB16" s="29" t="str">
        <f t="shared" ca="1" si="8"/>
        <v>++</v>
      </c>
      <c r="AC16" s="29">
        <f t="shared" si="34"/>
        <v>13</v>
      </c>
      <c r="AD16" s="29">
        <f t="shared" ca="1" si="9"/>
        <v>13</v>
      </c>
      <c r="AE16" s="29">
        <v>13</v>
      </c>
      <c r="AF16" s="31">
        <f t="shared" si="42"/>
        <v>9</v>
      </c>
      <c r="AG16" s="29" t="b">
        <f t="shared" si="11"/>
        <v>1</v>
      </c>
      <c r="AH16" s="30" t="str">
        <f t="shared" ca="1" si="43"/>
        <v>141-2</v>
      </c>
      <c r="AI16" s="30" t="str">
        <f t="shared" ca="1" si="13"/>
        <v/>
      </c>
      <c r="AJ16" s="29">
        <f t="shared" ca="1" si="14"/>
        <v>0</v>
      </c>
      <c r="AK16" s="29" t="str">
        <f t="shared" ca="1" si="15"/>
        <v>2/3</v>
      </c>
      <c r="AL16" s="29">
        <f t="shared" ca="1" si="16"/>
        <v>0.66666666666666663</v>
      </c>
      <c r="AM16" s="32">
        <f t="shared" ca="1" si="35"/>
        <v>0.66666666666666663</v>
      </c>
      <c r="AO16" s="20">
        <f>Tools!$AD15</f>
        <v>10</v>
      </c>
      <c r="AP16" s="33">
        <f t="shared" si="36"/>
        <v>10.75</v>
      </c>
      <c r="AQ16" s="34" t="str">
        <f t="shared" ca="1" si="18"/>
        <v>2/3</v>
      </c>
      <c r="AR16" s="23">
        <f t="shared" ca="1" si="19"/>
        <v>7.1666666666666661</v>
      </c>
      <c r="AS16" s="24">
        <f t="shared" si="20"/>
        <v>0</v>
      </c>
      <c r="AT16" s="23">
        <f t="shared" ca="1" si="37"/>
        <v>0</v>
      </c>
      <c r="AU16" s="23">
        <f t="shared" ca="1" si="40"/>
        <v>0</v>
      </c>
      <c r="AV16" s="23">
        <f t="shared" si="21"/>
        <v>1242.296875</v>
      </c>
      <c r="AW16" s="23">
        <f t="shared" ca="1" si="22"/>
        <v>828.19791666666663</v>
      </c>
      <c r="AY16" s="35">
        <f t="shared" si="23"/>
        <v>20.75</v>
      </c>
      <c r="AZ16" s="23">
        <f t="shared" ca="1" si="41"/>
        <v>13.833333333333332</v>
      </c>
      <c r="BA16" s="36">
        <f t="shared" si="25"/>
        <v>10.549999999999999</v>
      </c>
      <c r="BB16" s="27">
        <f t="shared" ca="1" si="38"/>
        <v>7.0333333333333323</v>
      </c>
      <c r="BC16" s="23">
        <f ca="1">IFERROR(AZ16*AS16,"  ")</f>
        <v>0</v>
      </c>
      <c r="BE16" s="51" t="s">
        <v>44</v>
      </c>
      <c r="BF16" s="48" t="s">
        <v>49</v>
      </c>
      <c r="BG16" s="49">
        <f ca="1">IF(WL_No="  ","  ",2/3*h*$AW$29)</f>
        <v>67783.507566678876</v>
      </c>
    </row>
    <row r="17" spans="1:59" x14ac:dyDescent="0.25">
      <c r="A17" s="20">
        <f>Tools!$AD16</f>
        <v>11</v>
      </c>
      <c r="B17" s="33">
        <f t="shared" si="0"/>
        <v>10.75</v>
      </c>
      <c r="C17" s="22">
        <f>IF(A17="  ","  ",IF(AND(A16="  ",A18="  "),"?",IF(A16="  ",2*(A18-A17),IF(A18="  ",2*(A17-A16),2*(A18-A16)))))</f>
        <v>4</v>
      </c>
      <c r="D17" s="23">
        <f t="shared" si="26"/>
        <v>43</v>
      </c>
      <c r="E17" s="24">
        <f t="shared" si="1"/>
        <v>1</v>
      </c>
      <c r="F17" s="23">
        <f t="shared" si="27"/>
        <v>43</v>
      </c>
      <c r="G17" s="23">
        <f t="shared" si="28"/>
        <v>43</v>
      </c>
      <c r="H17" s="23">
        <f t="shared" si="29"/>
        <v>1242.296875</v>
      </c>
      <c r="I17" s="23">
        <f t="shared" si="30"/>
        <v>4969.1875</v>
      </c>
      <c r="J17" s="4"/>
      <c r="K17" s="37">
        <f t="shared" si="2"/>
        <v>20.75</v>
      </c>
      <c r="L17" s="23">
        <f t="shared" si="31"/>
        <v>83</v>
      </c>
      <c r="M17" s="38">
        <f t="shared" si="3"/>
        <v>10.549999999999999</v>
      </c>
      <c r="N17" s="27">
        <f t="shared" si="32"/>
        <v>42.199999999999996</v>
      </c>
      <c r="O17" s="23">
        <f t="shared" si="33"/>
        <v>83</v>
      </c>
      <c r="P17" s="4"/>
      <c r="Q17" s="50" t="s">
        <v>50</v>
      </c>
      <c r="R17" s="48" t="s">
        <v>51</v>
      </c>
      <c r="S17">
        <f>IF(Tools!$L$49="Use 141 rule only",I41,IF(Tools!$L$49="Use 141 and 1331 rules",BG18," "))</f>
        <v>2058.8736833333332</v>
      </c>
      <c r="W17" s="29">
        <f>IF(AO17="  ","  ",IF(AND(AO16="  ",AO18="  "),"?",IF(AO16="  ",2*(AO18-AO17),IF(AO18="  ",2*(AO17-AO16),2*(AO18-AO16)))))</f>
        <v>4</v>
      </c>
      <c r="X17" s="30" t="str">
        <f t="shared" si="4"/>
        <v>WW</v>
      </c>
      <c r="Y17" s="30" t="str">
        <f t="shared" si="5"/>
        <v>-</v>
      </c>
      <c r="Z17" s="29" t="b">
        <f t="shared" si="6"/>
        <v>0</v>
      </c>
      <c r="AA17" s="29" t="b">
        <f t="shared" si="7"/>
        <v>0</v>
      </c>
      <c r="AB17" s="29" t="str">
        <f t="shared" ca="1" si="8"/>
        <v>++</v>
      </c>
      <c r="AC17" s="29">
        <f t="shared" si="34"/>
        <v>12</v>
      </c>
      <c r="AD17" s="29">
        <f t="shared" ca="1" si="9"/>
        <v>12</v>
      </c>
      <c r="AE17" s="29">
        <v>14</v>
      </c>
      <c r="AF17" s="31">
        <f t="shared" si="42"/>
        <v>10</v>
      </c>
      <c r="AG17" s="29" t="b">
        <f t="shared" si="11"/>
        <v>1</v>
      </c>
      <c r="AH17" s="30" t="str">
        <f t="shared" ca="1" si="43"/>
        <v>141-4</v>
      </c>
      <c r="AI17" s="30" t="str">
        <f t="shared" ca="1" si="13"/>
        <v/>
      </c>
      <c r="AJ17" s="29">
        <f t="shared" ca="1" si="14"/>
        <v>0</v>
      </c>
      <c r="AK17" s="29" t="str">
        <f t="shared" ca="1" si="15"/>
        <v>4/3</v>
      </c>
      <c r="AL17" s="29">
        <f t="shared" ca="1" si="16"/>
        <v>1.3333333333333333</v>
      </c>
      <c r="AM17" s="32">
        <f t="shared" ca="1" si="35"/>
        <v>1.3333333333333333</v>
      </c>
      <c r="AO17" s="20">
        <f>Tools!$AD16</f>
        <v>11</v>
      </c>
      <c r="AP17" s="33">
        <f t="shared" si="36"/>
        <v>10.75</v>
      </c>
      <c r="AQ17" s="34" t="str">
        <f t="shared" ca="1" si="18"/>
        <v>4/3</v>
      </c>
      <c r="AR17" s="23">
        <f t="shared" ca="1" si="19"/>
        <v>14.333333333333332</v>
      </c>
      <c r="AS17" s="24">
        <f t="shared" si="20"/>
        <v>1</v>
      </c>
      <c r="AT17" s="23">
        <f t="shared" ca="1" si="37"/>
        <v>14.333333333333332</v>
      </c>
      <c r="AU17" s="23">
        <f t="shared" ca="1" si="40"/>
        <v>14.333333333333332</v>
      </c>
      <c r="AV17" s="23">
        <f t="shared" si="21"/>
        <v>1242.296875</v>
      </c>
      <c r="AW17" s="23">
        <f t="shared" ca="1" si="22"/>
        <v>1656.3958333333333</v>
      </c>
      <c r="AY17" s="35">
        <f t="shared" si="23"/>
        <v>20.75</v>
      </c>
      <c r="AZ17" s="23">
        <f t="shared" ca="1" si="41"/>
        <v>27.666666666666664</v>
      </c>
      <c r="BA17" s="36">
        <f t="shared" si="25"/>
        <v>10.549999999999999</v>
      </c>
      <c r="BB17" s="27">
        <f t="shared" ca="1" si="38"/>
        <v>14.066666666666665</v>
      </c>
      <c r="BC17" s="23">
        <f t="shared" ca="1" si="39"/>
        <v>27.666666666666664</v>
      </c>
      <c r="BE17" s="50" t="s">
        <v>47</v>
      </c>
      <c r="BF17" s="48" t="s">
        <v>48</v>
      </c>
      <c r="BG17" s="49">
        <f>IF(WL_No="  ","  ",IL-AWP*(LCF^2))</f>
        <v>2310389.8076187209</v>
      </c>
    </row>
    <row r="18" spans="1:59" x14ac:dyDescent="0.25">
      <c r="A18" s="20">
        <f>Tools!$AD17</f>
        <v>12</v>
      </c>
      <c r="B18" s="33">
        <f t="shared" si="0"/>
        <v>10.75</v>
      </c>
      <c r="C18" s="22">
        <f>IF(A18="  ","  ",IF(AND(A17="  ",A19="  "),"?",IF(A17="  ",1*(A19-A18),IF(A19="  ",1*(A18-A17),1*(A19-A17)))))</f>
        <v>2</v>
      </c>
      <c r="D18" s="23">
        <f t="shared" si="26"/>
        <v>21.5</v>
      </c>
      <c r="E18" s="24">
        <f t="shared" si="1"/>
        <v>2</v>
      </c>
      <c r="F18" s="23">
        <f t="shared" si="27"/>
        <v>43</v>
      </c>
      <c r="G18" s="23">
        <f t="shared" si="28"/>
        <v>86</v>
      </c>
      <c r="H18" s="23">
        <f t="shared" si="29"/>
        <v>1242.296875</v>
      </c>
      <c r="I18" s="23">
        <f t="shared" si="30"/>
        <v>2484.59375</v>
      </c>
      <c r="J18" s="4"/>
      <c r="K18" s="37">
        <f t="shared" si="2"/>
        <v>20.75</v>
      </c>
      <c r="L18" s="23">
        <f t="shared" si="31"/>
        <v>41.5</v>
      </c>
      <c r="M18" s="38">
        <f t="shared" si="3"/>
        <v>10.549999999999999</v>
      </c>
      <c r="N18" s="27">
        <f t="shared" si="32"/>
        <v>21.099999999999998</v>
      </c>
      <c r="O18" s="23">
        <f t="shared" si="33"/>
        <v>83</v>
      </c>
      <c r="P18" s="4"/>
      <c r="Q18" s="50" t="s">
        <v>52</v>
      </c>
      <c r="R18" s="48" t="s">
        <v>53</v>
      </c>
      <c r="S18">
        <f>IF(Tools!$L$49="Use 141 rule only",I42,IF(Tools!$L$49="Use 141 and 1331 rules",BG19," "))</f>
        <v>2123.0075985691665</v>
      </c>
      <c r="W18" s="29">
        <f>IF(AO18="  ","  ",IF(AND(AO17="  ",AO19="  "),"?",IF(AO17="  ",1*(AO19-AO18),IF(AO19="  ",1*(AO18-AO17),1*(AO19-AO17)))))</f>
        <v>2</v>
      </c>
      <c r="X18" s="30" t="str">
        <f t="shared" si="4"/>
        <v>WW</v>
      </c>
      <c r="Y18" s="30" t="str">
        <f t="shared" si="5"/>
        <v>-</v>
      </c>
      <c r="Z18" s="29" t="b">
        <f t="shared" si="6"/>
        <v>0</v>
      </c>
      <c r="AA18" s="29" t="b">
        <f t="shared" si="7"/>
        <v>0</v>
      </c>
      <c r="AB18" s="29" t="str">
        <f t="shared" ca="1" si="8"/>
        <v>++</v>
      </c>
      <c r="AC18" s="29">
        <f t="shared" si="34"/>
        <v>11</v>
      </c>
      <c r="AD18" s="29">
        <f t="shared" ca="1" si="9"/>
        <v>11</v>
      </c>
      <c r="AE18" s="29">
        <v>15</v>
      </c>
      <c r="AF18" s="31">
        <f t="shared" si="42"/>
        <v>11</v>
      </c>
      <c r="AG18" s="29" t="b">
        <f t="shared" si="11"/>
        <v>1</v>
      </c>
      <c r="AH18" s="30" t="str">
        <f t="shared" ca="1" si="43"/>
        <v>141-2</v>
      </c>
      <c r="AI18" s="30" t="str">
        <f t="shared" ca="1" si="13"/>
        <v/>
      </c>
      <c r="AJ18" s="29">
        <f t="shared" ca="1" si="14"/>
        <v>0</v>
      </c>
      <c r="AK18" s="29" t="str">
        <f t="shared" ca="1" si="15"/>
        <v>2/3</v>
      </c>
      <c r="AL18" s="29">
        <f t="shared" ca="1" si="16"/>
        <v>0.66666666666666663</v>
      </c>
      <c r="AM18" s="32">
        <f t="shared" ca="1" si="35"/>
        <v>0.66666666666666663</v>
      </c>
      <c r="AO18" s="20">
        <f>Tools!$AD17</f>
        <v>12</v>
      </c>
      <c r="AP18" s="33">
        <f t="shared" si="36"/>
        <v>10.75</v>
      </c>
      <c r="AQ18" s="34" t="str">
        <f t="shared" ca="1" si="18"/>
        <v>2/3</v>
      </c>
      <c r="AR18" s="23">
        <f t="shared" ca="1" si="19"/>
        <v>7.1666666666666661</v>
      </c>
      <c r="AS18" s="24">
        <f t="shared" si="20"/>
        <v>2</v>
      </c>
      <c r="AT18" s="23">
        <f t="shared" ca="1" si="37"/>
        <v>14.333333333333332</v>
      </c>
      <c r="AU18" s="23">
        <f t="shared" ca="1" si="40"/>
        <v>28.666666666666664</v>
      </c>
      <c r="AV18" s="23">
        <f t="shared" si="21"/>
        <v>1242.296875</v>
      </c>
      <c r="AW18" s="23">
        <f t="shared" ca="1" si="22"/>
        <v>828.19791666666663</v>
      </c>
      <c r="AY18" s="35">
        <f t="shared" si="23"/>
        <v>20.75</v>
      </c>
      <c r="AZ18" s="23">
        <f t="shared" ca="1" si="41"/>
        <v>13.833333333333332</v>
      </c>
      <c r="BA18" s="36">
        <f t="shared" si="25"/>
        <v>10.549999999999999</v>
      </c>
      <c r="BB18" s="27">
        <f t="shared" ca="1" si="38"/>
        <v>7.0333333333333323</v>
      </c>
      <c r="BC18" s="23">
        <f t="shared" ca="1" si="39"/>
        <v>27.666666666666664</v>
      </c>
      <c r="BE18" s="50" t="s">
        <v>50</v>
      </c>
      <c r="BF18" s="48" t="s">
        <v>54</v>
      </c>
      <c r="BG18" s="49">
        <f ca="1">IF(WL_No="  ","  ",h*$AZ$29)</f>
        <v>2058.8736833333332</v>
      </c>
    </row>
    <row r="19" spans="1:59" x14ac:dyDescent="0.25">
      <c r="A19" s="20">
        <f>Tools!$AD18</f>
        <v>13</v>
      </c>
      <c r="B19" s="33">
        <f t="shared" si="0"/>
        <v>10.75</v>
      </c>
      <c r="C19" s="22">
        <f>IF(A19="  ","  ",IF(AND(A18="  ",A20="  "),"?",IF(A18="  ",2*(A20-A19),IF(A20="  ",2*(A19-A18),2*(A20-A18)))))</f>
        <v>4</v>
      </c>
      <c r="D19" s="23">
        <f t="shared" si="26"/>
        <v>43</v>
      </c>
      <c r="E19" s="24">
        <f t="shared" si="1"/>
        <v>3</v>
      </c>
      <c r="F19" s="23">
        <f t="shared" si="27"/>
        <v>129</v>
      </c>
      <c r="G19" s="23">
        <f t="shared" si="28"/>
        <v>387</v>
      </c>
      <c r="H19" s="23">
        <f t="shared" si="29"/>
        <v>1242.296875</v>
      </c>
      <c r="I19" s="23">
        <f t="shared" si="30"/>
        <v>4969.1875</v>
      </c>
      <c r="J19" s="4"/>
      <c r="K19" s="37">
        <f t="shared" si="2"/>
        <v>20.75</v>
      </c>
      <c r="L19" s="23">
        <f t="shared" si="31"/>
        <v>83</v>
      </c>
      <c r="M19" s="38">
        <f t="shared" si="3"/>
        <v>10.549999999999999</v>
      </c>
      <c r="N19" s="27">
        <f t="shared" si="32"/>
        <v>42.199999999999996</v>
      </c>
      <c r="O19" s="23">
        <f t="shared" si="33"/>
        <v>249</v>
      </c>
      <c r="P19" s="4"/>
      <c r="Q19" s="50" t="s">
        <v>55</v>
      </c>
      <c r="R19" s="48" t="s">
        <v>56</v>
      </c>
      <c r="S19">
        <f>IF(Tools!$L$49="Use 141 rule only",I43,IF(Tools!$L$49="Use 141 and 1331 rules",BG20," "))</f>
        <v>1063.6984055555554</v>
      </c>
      <c r="W19" s="29">
        <f>IF(AO19="  ","  ",IF(AND(AO18="  ",AO20="  "),"?",IF(AO18="  ",2*(AO20-AO19),IF(AO20="  ",2*(AO19-AO18),2*(AO20-AO18)))))</f>
        <v>4</v>
      </c>
      <c r="X19" s="30" t="str">
        <f t="shared" si="4"/>
        <v>WW</v>
      </c>
      <c r="Y19" s="30" t="str">
        <f t="shared" si="5"/>
        <v>-</v>
      </c>
      <c r="Z19" s="29" t="b">
        <f t="shared" si="6"/>
        <v>0</v>
      </c>
      <c r="AA19" s="29" t="b">
        <f t="shared" si="7"/>
        <v>0</v>
      </c>
      <c r="AB19" s="29" t="str">
        <f t="shared" ca="1" si="8"/>
        <v>++</v>
      </c>
      <c r="AC19" s="29">
        <f t="shared" si="34"/>
        <v>10</v>
      </c>
      <c r="AD19" s="29">
        <f t="shared" ca="1" si="9"/>
        <v>10</v>
      </c>
      <c r="AE19" s="29">
        <v>16</v>
      </c>
      <c r="AF19" s="31">
        <f t="shared" si="42"/>
        <v>12</v>
      </c>
      <c r="AG19" s="29" t="b">
        <f t="shared" si="11"/>
        <v>1</v>
      </c>
      <c r="AH19" s="30" t="str">
        <f t="shared" ca="1" si="43"/>
        <v>141-4</v>
      </c>
      <c r="AI19" s="30" t="str">
        <f t="shared" ca="1" si="13"/>
        <v/>
      </c>
      <c r="AJ19" s="29">
        <f t="shared" ca="1" si="14"/>
        <v>0</v>
      </c>
      <c r="AK19" s="29" t="str">
        <f t="shared" ca="1" si="15"/>
        <v>4/3</v>
      </c>
      <c r="AL19" s="29">
        <f t="shared" ca="1" si="16"/>
        <v>1.3333333333333333</v>
      </c>
      <c r="AM19" s="32">
        <f t="shared" ca="1" si="35"/>
        <v>1.3333333333333333</v>
      </c>
      <c r="AO19" s="20">
        <f>Tools!$AD18</f>
        <v>13</v>
      </c>
      <c r="AP19" s="33">
        <f t="shared" si="36"/>
        <v>10.75</v>
      </c>
      <c r="AQ19" s="34" t="str">
        <f t="shared" ca="1" si="18"/>
        <v>4/3</v>
      </c>
      <c r="AR19" s="23">
        <f t="shared" ca="1" si="19"/>
        <v>14.333333333333332</v>
      </c>
      <c r="AS19" s="24">
        <f t="shared" si="20"/>
        <v>3</v>
      </c>
      <c r="AT19" s="23">
        <f t="shared" ca="1" si="37"/>
        <v>43</v>
      </c>
      <c r="AU19" s="23">
        <f t="shared" ca="1" si="40"/>
        <v>129</v>
      </c>
      <c r="AV19" s="23">
        <f t="shared" si="21"/>
        <v>1242.296875</v>
      </c>
      <c r="AW19" s="23">
        <f t="shared" ca="1" si="22"/>
        <v>1656.3958333333333</v>
      </c>
      <c r="AY19" s="35">
        <f t="shared" si="23"/>
        <v>20.75</v>
      </c>
      <c r="AZ19" s="23">
        <f t="shared" ca="1" si="41"/>
        <v>27.666666666666664</v>
      </c>
      <c r="BA19" s="36">
        <f t="shared" si="25"/>
        <v>10.549999999999999</v>
      </c>
      <c r="BB19" s="27">
        <f t="shared" ca="1" si="38"/>
        <v>14.066666666666665</v>
      </c>
      <c r="BC19" s="23">
        <f t="shared" ca="1" si="39"/>
        <v>83</v>
      </c>
      <c r="BE19" s="50" t="s">
        <v>52</v>
      </c>
      <c r="BF19" s="48" t="s">
        <v>53</v>
      </c>
      <c r="BG19" s="49">
        <f>IF(WL_No="  ","  ",V_Disp*1.025*1.006)</f>
        <v>2123.0075985691665</v>
      </c>
    </row>
    <row r="20" spans="1:59" x14ac:dyDescent="0.25">
      <c r="A20" s="20">
        <f>Tools!$AD19</f>
        <v>14</v>
      </c>
      <c r="B20" s="33">
        <f t="shared" si="0"/>
        <v>10.66</v>
      </c>
      <c r="C20" s="22">
        <f>IF(A20="  ","  ",IF(AND(A19="  ",A21="  "),"?",IF(A19="  ",1*(A21-A20),IF(A21="  ",1*(A20-A19),1*(A21-A19)))))</f>
        <v>2</v>
      </c>
      <c r="D20" s="23">
        <f t="shared" si="26"/>
        <v>21.32</v>
      </c>
      <c r="E20" s="24">
        <f t="shared" si="1"/>
        <v>4</v>
      </c>
      <c r="F20" s="23">
        <f t="shared" si="27"/>
        <v>85.28</v>
      </c>
      <c r="G20" s="23">
        <f t="shared" si="28"/>
        <v>341.12</v>
      </c>
      <c r="H20" s="23">
        <f t="shared" si="29"/>
        <v>1211.3554959999999</v>
      </c>
      <c r="I20" s="23">
        <f t="shared" si="30"/>
        <v>2422.7109919999998</v>
      </c>
      <c r="J20" s="4"/>
      <c r="K20" s="37">
        <f t="shared" si="2"/>
        <v>20.479999999999997</v>
      </c>
      <c r="L20" s="23">
        <f t="shared" si="31"/>
        <v>40.959999999999994</v>
      </c>
      <c r="M20" s="38">
        <f t="shared" si="3"/>
        <v>10.433333333333334</v>
      </c>
      <c r="N20" s="27">
        <f t="shared" si="32"/>
        <v>20.866666666666667</v>
      </c>
      <c r="O20" s="23">
        <f t="shared" si="33"/>
        <v>163.83999999999997</v>
      </c>
      <c r="P20" s="4"/>
      <c r="Q20" s="50" t="s">
        <v>57</v>
      </c>
      <c r="R20" s="48" t="s">
        <v>58</v>
      </c>
      <c r="S20">
        <f>IF(Tools!$L$49="Use 141 rule only",I44,IF(Tools!$L$49="Use 141 and 1331 rules",BG21," "))</f>
        <v>11527.769852999998</v>
      </c>
      <c r="W20" s="29">
        <f>IF(AO20="  ","  ",IF(AND(AO19="  ",AO21="  "),"?",IF(AO19="  ",1*(AO21-AO20),IF(AO21="  ",1*(AO20-AO19),1*(AO21-AO19)))))</f>
        <v>2</v>
      </c>
      <c r="X20" s="30" t="str">
        <f t="shared" si="4"/>
        <v>WW</v>
      </c>
      <c r="Y20" s="30" t="str">
        <f t="shared" si="5"/>
        <v>-</v>
      </c>
      <c r="Z20" s="29" t="b">
        <f t="shared" si="6"/>
        <v>0</v>
      </c>
      <c r="AA20" s="29" t="b">
        <f t="shared" si="7"/>
        <v>0</v>
      </c>
      <c r="AB20" s="29" t="str">
        <f t="shared" ca="1" si="8"/>
        <v>++</v>
      </c>
      <c r="AC20" s="29">
        <f t="shared" si="34"/>
        <v>9</v>
      </c>
      <c r="AD20" s="29">
        <f t="shared" ca="1" si="9"/>
        <v>9</v>
      </c>
      <c r="AE20" s="29">
        <v>17</v>
      </c>
      <c r="AF20" s="31">
        <f t="shared" si="42"/>
        <v>13</v>
      </c>
      <c r="AG20" s="29" t="b">
        <f t="shared" si="11"/>
        <v>1</v>
      </c>
      <c r="AH20" s="30" t="str">
        <f t="shared" ca="1" si="43"/>
        <v>141-2</v>
      </c>
      <c r="AI20" s="30" t="str">
        <f t="shared" ca="1" si="13"/>
        <v/>
      </c>
      <c r="AJ20" s="29">
        <f t="shared" ca="1" si="14"/>
        <v>0</v>
      </c>
      <c r="AK20" s="29" t="str">
        <f t="shared" ca="1" si="15"/>
        <v>2/3</v>
      </c>
      <c r="AL20" s="29">
        <f t="shared" ca="1" si="16"/>
        <v>0.66666666666666663</v>
      </c>
      <c r="AM20" s="32">
        <f t="shared" ca="1" si="35"/>
        <v>0.66666666666666663</v>
      </c>
      <c r="AO20" s="20">
        <f>Tools!$AD19</f>
        <v>14</v>
      </c>
      <c r="AP20" s="33">
        <f t="shared" si="36"/>
        <v>10.66</v>
      </c>
      <c r="AQ20" s="34" t="str">
        <f t="shared" ca="1" si="18"/>
        <v>2/3</v>
      </c>
      <c r="AR20" s="23">
        <f t="shared" ca="1" si="19"/>
        <v>7.1066666666666665</v>
      </c>
      <c r="AS20" s="24">
        <f t="shared" si="20"/>
        <v>4</v>
      </c>
      <c r="AT20" s="23">
        <f t="shared" ca="1" si="37"/>
        <v>28.426666666666666</v>
      </c>
      <c r="AU20" s="23">
        <f t="shared" ca="1" si="40"/>
        <v>113.70666666666666</v>
      </c>
      <c r="AV20" s="23">
        <f t="shared" si="21"/>
        <v>1211.3554959999999</v>
      </c>
      <c r="AW20" s="23">
        <f t="shared" ca="1" si="22"/>
        <v>807.57033066666656</v>
      </c>
      <c r="AY20" s="35">
        <f t="shared" si="23"/>
        <v>20.479999999999997</v>
      </c>
      <c r="AZ20" s="23">
        <f t="shared" ca="1" si="41"/>
        <v>13.653333333333331</v>
      </c>
      <c r="BA20" s="36">
        <f t="shared" si="25"/>
        <v>10.433333333333334</v>
      </c>
      <c r="BB20" s="27">
        <f t="shared" ca="1" si="38"/>
        <v>6.9555555555555557</v>
      </c>
      <c r="BC20" s="23">
        <f t="shared" ca="1" si="39"/>
        <v>54.613333333333323</v>
      </c>
      <c r="BE20" s="50" t="s">
        <v>55</v>
      </c>
      <c r="BF20" s="48" t="s">
        <v>59</v>
      </c>
      <c r="BG20" s="49">
        <f ca="1">IF(WL_No="  ","  ",h*$BB$29)</f>
        <v>1063.6984055555554</v>
      </c>
    </row>
    <row r="21" spans="1:59" x14ac:dyDescent="0.25">
      <c r="A21" s="20">
        <f>Tools!$AD20</f>
        <v>15</v>
      </c>
      <c r="B21" s="33">
        <f t="shared" si="0"/>
        <v>10.199999999999999</v>
      </c>
      <c r="C21" s="22">
        <f>IF(A21="  ","  ",IF(AND(A20="  ",A22="  "),"?",IF(A20="  ",2*(A22-A21),IF(A22="  ",2*(A21-A20),2*(A22-A20)))))</f>
        <v>4</v>
      </c>
      <c r="D21" s="23">
        <f t="shared" si="26"/>
        <v>40.799999999999997</v>
      </c>
      <c r="E21" s="24">
        <f t="shared" si="1"/>
        <v>5</v>
      </c>
      <c r="F21" s="23">
        <f t="shared" si="27"/>
        <v>204</v>
      </c>
      <c r="G21" s="23">
        <f t="shared" si="28"/>
        <v>1020</v>
      </c>
      <c r="H21" s="23">
        <f t="shared" si="29"/>
        <v>1061.2079999999999</v>
      </c>
      <c r="I21" s="23">
        <f t="shared" si="30"/>
        <v>4244.8319999999994</v>
      </c>
      <c r="J21" s="4"/>
      <c r="K21" s="37">
        <f t="shared" si="2"/>
        <v>19.38</v>
      </c>
      <c r="L21" s="23">
        <f t="shared" si="31"/>
        <v>77.52</v>
      </c>
      <c r="M21" s="38">
        <f t="shared" si="3"/>
        <v>9.9066666666666663</v>
      </c>
      <c r="N21" s="27">
        <f t="shared" si="32"/>
        <v>39.626666666666665</v>
      </c>
      <c r="O21" s="23">
        <f t="shared" si="33"/>
        <v>387.59999999999997</v>
      </c>
      <c r="P21" s="4"/>
      <c r="Q21" s="50" t="s">
        <v>60</v>
      </c>
      <c r="R21" s="48" t="s">
        <v>61</v>
      </c>
      <c r="S21">
        <f>IF(Tools!$L$49="Use 141 rule only",I45,IF(Tools!$L$49="Use 141 and 1331 rules",BG22," "))</f>
        <v>1122.1619987284412</v>
      </c>
      <c r="W21" s="29">
        <f>IF(AO21="  ","  ",IF(AND(AO20="  ",AO22="  "),"?",IF(AO20="  ",2*(AO22-AO21),IF(AO22="  ",2*(AO21-AO20),2*(AO22-AO20)))))</f>
        <v>4</v>
      </c>
      <c r="X21" s="30" t="str">
        <f t="shared" si="4"/>
        <v>WW</v>
      </c>
      <c r="Y21" s="30" t="str">
        <f t="shared" si="5"/>
        <v>-</v>
      </c>
      <c r="Z21" s="29" t="b">
        <f t="shared" si="6"/>
        <v>0</v>
      </c>
      <c r="AA21" s="29" t="b">
        <f t="shared" si="7"/>
        <v>0</v>
      </c>
      <c r="AB21" s="29" t="str">
        <f t="shared" ca="1" si="8"/>
        <v>++</v>
      </c>
      <c r="AC21" s="29">
        <f t="shared" si="34"/>
        <v>8</v>
      </c>
      <c r="AD21" s="29">
        <f t="shared" ca="1" si="9"/>
        <v>8</v>
      </c>
      <c r="AE21" s="29">
        <v>18</v>
      </c>
      <c r="AF21" s="31">
        <f t="shared" si="42"/>
        <v>14</v>
      </c>
      <c r="AG21" s="29" t="b">
        <f t="shared" si="11"/>
        <v>1</v>
      </c>
      <c r="AH21" s="30" t="str">
        <f t="shared" ca="1" si="43"/>
        <v>141-4</v>
      </c>
      <c r="AI21" s="30" t="str">
        <f t="shared" ca="1" si="13"/>
        <v/>
      </c>
      <c r="AJ21" s="29">
        <f t="shared" ca="1" si="14"/>
        <v>0</v>
      </c>
      <c r="AK21" s="29" t="str">
        <f t="shared" ca="1" si="15"/>
        <v>4/3</v>
      </c>
      <c r="AL21" s="29">
        <f t="shared" ca="1" si="16"/>
        <v>1.3333333333333333</v>
      </c>
      <c r="AM21" s="32">
        <f t="shared" ca="1" si="35"/>
        <v>1.3333333333333333</v>
      </c>
      <c r="AO21" s="20">
        <f>Tools!$AD20</f>
        <v>15</v>
      </c>
      <c r="AP21" s="33">
        <f t="shared" si="36"/>
        <v>10.199999999999999</v>
      </c>
      <c r="AQ21" s="34" t="str">
        <f t="shared" ca="1" si="18"/>
        <v>4/3</v>
      </c>
      <c r="AR21" s="23">
        <f t="shared" ca="1" si="19"/>
        <v>13.599999999999998</v>
      </c>
      <c r="AS21" s="24">
        <f t="shared" si="20"/>
        <v>5</v>
      </c>
      <c r="AT21" s="23">
        <f t="shared" ca="1" si="37"/>
        <v>67.999999999999986</v>
      </c>
      <c r="AU21" s="23">
        <f t="shared" ca="1" si="40"/>
        <v>339.99999999999994</v>
      </c>
      <c r="AV21" s="23">
        <f t="shared" si="21"/>
        <v>1061.2079999999999</v>
      </c>
      <c r="AW21" s="23">
        <f t="shared" ca="1" si="22"/>
        <v>1414.9439999999997</v>
      </c>
      <c r="AY21" s="35">
        <f t="shared" si="23"/>
        <v>19.38</v>
      </c>
      <c r="AZ21" s="23">
        <f t="shared" ca="1" si="41"/>
        <v>25.839999999999996</v>
      </c>
      <c r="BA21" s="36">
        <f t="shared" si="25"/>
        <v>9.9066666666666663</v>
      </c>
      <c r="BB21" s="27">
        <f t="shared" ca="1" si="38"/>
        <v>13.208888888888888</v>
      </c>
      <c r="BC21" s="23">
        <f t="shared" ca="1" si="39"/>
        <v>129.19999999999999</v>
      </c>
      <c r="BE21" s="50" t="s">
        <v>57</v>
      </c>
      <c r="BF21" s="48" t="s">
        <v>62</v>
      </c>
      <c r="BG21" s="49">
        <f ca="1">IF(WL_No="  ","  ",(h^2)*$BC$29)</f>
        <v>11527.769852999998</v>
      </c>
    </row>
    <row r="22" spans="1:59" x14ac:dyDescent="0.25">
      <c r="A22" s="20">
        <f>Tools!$AD21</f>
        <v>16</v>
      </c>
      <c r="B22" s="33">
        <f t="shared" si="0"/>
        <v>9.27</v>
      </c>
      <c r="C22" s="22">
        <f>IF(A22="  ","  ",IF(AND(A21="  ",A23="  "),"?",IF(A21="  ",1*(A23-A22),IF(A23="  ",1*(A22-A21),1*(A23-A21)))))</f>
        <v>2</v>
      </c>
      <c r="D22" s="23">
        <f t="shared" si="26"/>
        <v>18.54</v>
      </c>
      <c r="E22" s="24">
        <f t="shared" si="1"/>
        <v>6</v>
      </c>
      <c r="F22" s="23">
        <f t="shared" si="27"/>
        <v>111.24</v>
      </c>
      <c r="G22" s="23">
        <f t="shared" si="28"/>
        <v>667.43999999999994</v>
      </c>
      <c r="H22" s="23">
        <f t="shared" si="29"/>
        <v>796.59798299999989</v>
      </c>
      <c r="I22" s="23">
        <f t="shared" si="30"/>
        <v>1593.1959659999998</v>
      </c>
      <c r="J22" s="4"/>
      <c r="K22" s="37">
        <f t="shared" si="2"/>
        <v>17.143333333333334</v>
      </c>
      <c r="L22" s="23">
        <f t="shared" si="31"/>
        <v>34.286666666666669</v>
      </c>
      <c r="M22" s="38">
        <f t="shared" si="3"/>
        <v>8.85</v>
      </c>
      <c r="N22" s="27">
        <f t="shared" si="32"/>
        <v>17.7</v>
      </c>
      <c r="O22" s="23">
        <f t="shared" si="33"/>
        <v>205.72000000000003</v>
      </c>
      <c r="P22" s="4"/>
      <c r="Q22" s="50" t="s">
        <v>63</v>
      </c>
      <c r="R22" s="48" t="s">
        <v>64</v>
      </c>
      <c r="S22">
        <f>IF(Tools!$L$49="Use 141 rule only",I46,IF(Tools!$L$49="Use 141 and 1331 rules",BG23," "))</f>
        <v>32.922615950356324</v>
      </c>
      <c r="W22" s="29">
        <f>IF(AO22="  ","  ",IF(AND(AO21="  ",AO23="  "),"?",IF(AO21="  ",1*(AO23-AO22),IF(AO23="  ",1*(AO22-AO21),1*(AO23-AO21)))))</f>
        <v>2</v>
      </c>
      <c r="X22" s="30" t="str">
        <f t="shared" si="4"/>
        <v>WW</v>
      </c>
      <c r="Y22" s="30" t="str">
        <f t="shared" si="5"/>
        <v>-</v>
      </c>
      <c r="Z22" s="29" t="b">
        <f t="shared" si="6"/>
        <v>0</v>
      </c>
      <c r="AA22" s="29" t="b">
        <f t="shared" si="7"/>
        <v>0</v>
      </c>
      <c r="AB22" s="29" t="str">
        <f t="shared" ca="1" si="8"/>
        <v>++</v>
      </c>
      <c r="AC22" s="29">
        <f t="shared" si="34"/>
        <v>7</v>
      </c>
      <c r="AD22" s="29">
        <f t="shared" ca="1" si="9"/>
        <v>7</v>
      </c>
      <c r="AE22" s="29">
        <v>19</v>
      </c>
      <c r="AF22" s="31">
        <f t="shared" si="42"/>
        <v>15</v>
      </c>
      <c r="AG22" s="29" t="b">
        <f t="shared" si="11"/>
        <v>1</v>
      </c>
      <c r="AH22" s="30" t="str">
        <f t="shared" ca="1" si="43"/>
        <v>141-2</v>
      </c>
      <c r="AI22" s="30" t="str">
        <f t="shared" ca="1" si="13"/>
        <v/>
      </c>
      <c r="AJ22" s="29">
        <f t="shared" ca="1" si="14"/>
        <v>0</v>
      </c>
      <c r="AK22" s="29" t="str">
        <f t="shared" ca="1" si="15"/>
        <v>2/3</v>
      </c>
      <c r="AL22" s="29">
        <f t="shared" ca="1" si="16"/>
        <v>0.66666666666666663</v>
      </c>
      <c r="AM22" s="32">
        <f t="shared" ca="1" si="35"/>
        <v>0.66666666666666663</v>
      </c>
      <c r="AO22" s="20">
        <f>Tools!$AD21</f>
        <v>16</v>
      </c>
      <c r="AP22" s="33">
        <f t="shared" si="36"/>
        <v>9.27</v>
      </c>
      <c r="AQ22" s="34" t="str">
        <f t="shared" ca="1" si="18"/>
        <v>2/3</v>
      </c>
      <c r="AR22" s="23">
        <f t="shared" ca="1" si="19"/>
        <v>6.18</v>
      </c>
      <c r="AS22" s="24">
        <f t="shared" si="20"/>
        <v>6</v>
      </c>
      <c r="AT22" s="23">
        <f t="shared" ca="1" si="37"/>
        <v>37.08</v>
      </c>
      <c r="AU22" s="23">
        <f t="shared" ca="1" si="40"/>
        <v>222.48</v>
      </c>
      <c r="AV22" s="23">
        <f t="shared" si="21"/>
        <v>796.59798299999989</v>
      </c>
      <c r="AW22" s="23">
        <f t="shared" ca="1" si="22"/>
        <v>531.06532199999992</v>
      </c>
      <c r="AY22" s="35">
        <f t="shared" si="23"/>
        <v>17.143333333333334</v>
      </c>
      <c r="AZ22" s="23">
        <f t="shared" ca="1" si="41"/>
        <v>11.428888888888888</v>
      </c>
      <c r="BA22" s="36">
        <f t="shared" si="25"/>
        <v>8.85</v>
      </c>
      <c r="BB22" s="27">
        <f t="shared" ca="1" si="38"/>
        <v>5.8999999999999995</v>
      </c>
      <c r="BC22" s="23">
        <f t="shared" ca="1" si="39"/>
        <v>68.573333333333323</v>
      </c>
      <c r="BE22" s="50" t="s">
        <v>60</v>
      </c>
      <c r="BF22" s="48" t="s">
        <v>61</v>
      </c>
      <c r="BG22" s="49">
        <f>IF(WL_No="  ","  ",IF/V_Disp)</f>
        <v>1122.1619987284412</v>
      </c>
    </row>
    <row r="23" spans="1:59" x14ac:dyDescent="0.25">
      <c r="A23" s="20">
        <f>Tools!$AD22</f>
        <v>17</v>
      </c>
      <c r="B23" s="33">
        <f t="shared" si="0"/>
        <v>7.56</v>
      </c>
      <c r="C23" s="22">
        <f>IF(A23="  ","  ",IF(AND(A22="  ",A24="  "),"?",IF(A22="  ",2*(A24-A23),IF(A24="  ",2*(A23-A22),2*(A24-A22)))))</f>
        <v>4</v>
      </c>
      <c r="D23" s="23">
        <f t="shared" si="26"/>
        <v>30.24</v>
      </c>
      <c r="E23" s="24">
        <f t="shared" si="1"/>
        <v>7</v>
      </c>
      <c r="F23" s="23">
        <f t="shared" si="27"/>
        <v>211.67999999999998</v>
      </c>
      <c r="G23" s="23">
        <f t="shared" si="28"/>
        <v>1481.7599999999998</v>
      </c>
      <c r="H23" s="23">
        <f t="shared" si="29"/>
        <v>432.08121599999998</v>
      </c>
      <c r="I23" s="23">
        <f t="shared" si="30"/>
        <v>1728.3248639999999</v>
      </c>
      <c r="J23" s="4"/>
      <c r="K23" s="37">
        <f t="shared" si="2"/>
        <v>13.573333333333332</v>
      </c>
      <c r="L23" s="23">
        <f t="shared" si="31"/>
        <v>54.293333333333329</v>
      </c>
      <c r="M23" s="38">
        <f t="shared" si="3"/>
        <v>7.1133333333333333</v>
      </c>
      <c r="N23" s="27">
        <f t="shared" si="32"/>
        <v>28.453333333333333</v>
      </c>
      <c r="O23" s="23">
        <f t="shared" si="33"/>
        <v>380.05333333333328</v>
      </c>
      <c r="P23" s="4"/>
      <c r="Q23" s="50" t="s">
        <v>65</v>
      </c>
      <c r="R23" s="48" t="s">
        <v>66</v>
      </c>
      <c r="S23">
        <f>IF(Tools!$L$49="Use 141 rule only",I47,IF(Tools!$L$49="Use 141 and 1331 rules",BG24," "))</f>
        <v>0.51664092565087283</v>
      </c>
      <c r="W23" s="29">
        <f>IF(AO23="  ","  ",IF(AND(AO22="  ",AO24="  "),"?",IF(AO22="  ",2*(AO24-AO23),IF(AO24="  ",2*(AO23-AO22),2*(AO24-AO22)))))</f>
        <v>4</v>
      </c>
      <c r="X23" s="30" t="str">
        <f t="shared" si="4"/>
        <v>WW</v>
      </c>
      <c r="Y23" s="30" t="str">
        <f t="shared" si="5"/>
        <v>-</v>
      </c>
      <c r="Z23" s="29" t="b">
        <f t="shared" si="6"/>
        <v>0</v>
      </c>
      <c r="AA23" s="29" t="b">
        <f t="shared" si="7"/>
        <v>0</v>
      </c>
      <c r="AB23" s="29" t="str">
        <f t="shared" ca="1" si="8"/>
        <v>++</v>
      </c>
      <c r="AC23" s="29">
        <f t="shared" si="34"/>
        <v>6</v>
      </c>
      <c r="AD23" s="29">
        <f t="shared" ca="1" si="9"/>
        <v>6</v>
      </c>
      <c r="AE23" s="29">
        <v>20</v>
      </c>
      <c r="AF23" s="31">
        <f t="shared" si="42"/>
        <v>16</v>
      </c>
      <c r="AG23" s="29" t="b">
        <f t="shared" si="11"/>
        <v>1</v>
      </c>
      <c r="AH23" s="30" t="str">
        <f t="shared" ca="1" si="43"/>
        <v>141-4</v>
      </c>
      <c r="AI23" s="30" t="str">
        <f t="shared" ca="1" si="13"/>
        <v/>
      </c>
      <c r="AJ23" s="29">
        <f t="shared" ca="1" si="14"/>
        <v>0</v>
      </c>
      <c r="AK23" s="29" t="str">
        <f t="shared" ca="1" si="15"/>
        <v>4/3</v>
      </c>
      <c r="AL23" s="29">
        <f t="shared" ca="1" si="16"/>
        <v>1.3333333333333333</v>
      </c>
      <c r="AM23" s="32">
        <f t="shared" ca="1" si="35"/>
        <v>1.3333333333333333</v>
      </c>
      <c r="AO23" s="20">
        <f>Tools!$AD22</f>
        <v>17</v>
      </c>
      <c r="AP23" s="33">
        <f t="shared" si="36"/>
        <v>7.56</v>
      </c>
      <c r="AQ23" s="34" t="str">
        <f t="shared" ca="1" si="18"/>
        <v>4/3</v>
      </c>
      <c r="AR23" s="23">
        <f t="shared" ca="1" si="19"/>
        <v>10.079999999999998</v>
      </c>
      <c r="AS23" s="24">
        <f t="shared" si="20"/>
        <v>7</v>
      </c>
      <c r="AT23" s="23">
        <f t="shared" ca="1" si="37"/>
        <v>70.559999999999988</v>
      </c>
      <c r="AU23" s="23">
        <f t="shared" ca="1" si="40"/>
        <v>493.9199999999999</v>
      </c>
      <c r="AV23" s="23">
        <f t="shared" si="21"/>
        <v>432.08121599999998</v>
      </c>
      <c r="AW23" s="23">
        <f t="shared" ca="1" si="22"/>
        <v>576.1082879999999</v>
      </c>
      <c r="AY23" s="35">
        <f t="shared" si="23"/>
        <v>13.573333333333332</v>
      </c>
      <c r="AZ23" s="23">
        <f t="shared" ca="1" si="41"/>
        <v>18.097777777777775</v>
      </c>
      <c r="BA23" s="36">
        <f t="shared" si="25"/>
        <v>7.1133333333333333</v>
      </c>
      <c r="BB23" s="27">
        <f t="shared" ca="1" si="38"/>
        <v>9.4844444444444438</v>
      </c>
      <c r="BC23" s="23">
        <f t="shared" ca="1" si="39"/>
        <v>126.68444444444442</v>
      </c>
      <c r="BE23" s="50" t="s">
        <v>63</v>
      </c>
      <c r="BF23" s="48" t="s">
        <v>64</v>
      </c>
      <c r="BG23" s="49">
        <f>IF(WL_No="  ","  ",IT/V_Disp)</f>
        <v>32.922615950356324</v>
      </c>
    </row>
    <row r="24" spans="1:59" x14ac:dyDescent="0.25">
      <c r="A24" s="20">
        <f>Tools!$AD23</f>
        <v>18</v>
      </c>
      <c r="B24" s="33">
        <f t="shared" si="0"/>
        <v>5.35</v>
      </c>
      <c r="C24" s="22">
        <f>IF(A24="  ","  ",IF(AND(A23="  ",A25="  "),"?",IF(A23="  ",1*(A25-A24),IF(A25="  ",1*(A24-A23),1*(A25-A23)))))</f>
        <v>1.5</v>
      </c>
      <c r="D24" s="23">
        <f t="shared" si="26"/>
        <v>8.0249999999999986</v>
      </c>
      <c r="E24" s="24">
        <f t="shared" si="1"/>
        <v>8</v>
      </c>
      <c r="F24" s="23">
        <f t="shared" si="27"/>
        <v>64.199999999999989</v>
      </c>
      <c r="G24" s="23">
        <f t="shared" si="28"/>
        <v>513.59999999999991</v>
      </c>
      <c r="H24" s="23">
        <f t="shared" si="29"/>
        <v>153.13037499999996</v>
      </c>
      <c r="I24" s="23">
        <f t="shared" si="30"/>
        <v>229.69556249999994</v>
      </c>
      <c r="J24" s="4"/>
      <c r="K24" s="37">
        <f t="shared" si="2"/>
        <v>9.15</v>
      </c>
      <c r="L24" s="23">
        <f t="shared" si="31"/>
        <v>13.725000000000001</v>
      </c>
      <c r="M24" s="38">
        <f t="shared" si="3"/>
        <v>4.8833333333333329</v>
      </c>
      <c r="N24" s="27">
        <f t="shared" si="32"/>
        <v>7.3249999999999993</v>
      </c>
      <c r="O24" s="23">
        <f t="shared" si="33"/>
        <v>109.80000000000001</v>
      </c>
      <c r="P24" s="4"/>
      <c r="Q24" s="50" t="s">
        <v>67</v>
      </c>
      <c r="R24" s="48" t="s">
        <v>68</v>
      </c>
      <c r="S24">
        <f>IF(Tools!$L$49="Use 141 rule only",I48,IF(Tools!$L$49="Use 141 and 1331 rules",BG25," "))</f>
        <v>33.4392568760072</v>
      </c>
      <c r="W24" s="29">
        <f>IF(AO24="  ","  ",IF(AND(AO23="  ",AO25="  "),"?",IF(AO23="  ",1*(AO25-AO24),IF(AO25="  ",1*(AO24-AO23),1*(AO25-AO23)))))</f>
        <v>1.5</v>
      </c>
      <c r="X24" s="30" t="str">
        <f t="shared" si="4"/>
        <v>WD</v>
      </c>
      <c r="Y24" s="30" t="str">
        <f t="shared" si="5"/>
        <v>-</v>
      </c>
      <c r="Z24" s="29" t="b">
        <f t="shared" si="6"/>
        <v>1</v>
      </c>
      <c r="AA24" s="29" t="b">
        <f t="shared" si="7"/>
        <v>1</v>
      </c>
      <c r="AB24" s="29" t="str">
        <f t="shared" ca="1" si="8"/>
        <v>141-1</v>
      </c>
      <c r="AC24" s="29">
        <f t="shared" si="34"/>
        <v>5</v>
      </c>
      <c r="AD24" s="29">
        <f t="shared" ca="1" si="9"/>
        <v>5</v>
      </c>
      <c r="AE24" s="29">
        <v>21</v>
      </c>
      <c r="AF24" s="31">
        <f t="shared" si="42"/>
        <v>17</v>
      </c>
      <c r="AG24" s="29" t="b">
        <f t="shared" si="11"/>
        <v>1</v>
      </c>
      <c r="AH24" s="30" t="str">
        <f t="shared" ca="1" si="43"/>
        <v>141-1</v>
      </c>
      <c r="AI24" s="30" t="str">
        <f t="shared" ca="1" si="13"/>
        <v>(1/2)*(1/3)</v>
      </c>
      <c r="AJ24" s="29">
        <f t="shared" ca="1" si="14"/>
        <v>0.16666666666666666</v>
      </c>
      <c r="AK24" s="29" t="str">
        <f t="shared" ca="1" si="15"/>
        <v>1/3</v>
      </c>
      <c r="AL24" s="29">
        <f t="shared" ca="1" si="16"/>
        <v>0.33333333333333331</v>
      </c>
      <c r="AM24" s="32">
        <f t="shared" ca="1" si="35"/>
        <v>0.5</v>
      </c>
      <c r="AO24" s="20">
        <f>Tools!$AD23</f>
        <v>18</v>
      </c>
      <c r="AP24" s="33">
        <f t="shared" si="36"/>
        <v>5.35</v>
      </c>
      <c r="AQ24" s="34" t="str">
        <f t="shared" ca="1" si="18"/>
        <v>(1/2)*(1/3)+1/3</v>
      </c>
      <c r="AR24" s="23">
        <f t="shared" ca="1" si="19"/>
        <v>2.6749999999999998</v>
      </c>
      <c r="AS24" s="24">
        <f t="shared" si="20"/>
        <v>8</v>
      </c>
      <c r="AT24" s="23">
        <f t="shared" ca="1" si="37"/>
        <v>21.4</v>
      </c>
      <c r="AU24" s="23">
        <f t="shared" ca="1" si="40"/>
        <v>171.2</v>
      </c>
      <c r="AV24" s="23">
        <f t="shared" si="21"/>
        <v>153.13037499999996</v>
      </c>
      <c r="AW24" s="23">
        <f t="shared" ca="1" si="22"/>
        <v>76.565187499999979</v>
      </c>
      <c r="AY24" s="35">
        <f t="shared" si="23"/>
        <v>9.15</v>
      </c>
      <c r="AZ24" s="23">
        <f t="shared" ca="1" si="41"/>
        <v>4.5750000000000002</v>
      </c>
      <c r="BA24" s="36">
        <f t="shared" si="25"/>
        <v>4.8833333333333329</v>
      </c>
      <c r="BB24" s="27">
        <f t="shared" ca="1" si="38"/>
        <v>2.4416666666666664</v>
      </c>
      <c r="BC24" s="23">
        <f t="shared" ca="1" si="39"/>
        <v>36.6</v>
      </c>
      <c r="BE24" s="50" t="s">
        <v>65</v>
      </c>
      <c r="BF24" s="48" t="s">
        <v>66</v>
      </c>
      <c r="BG24" s="49">
        <f>IF(WL_No="  ","  ",MT/V_Disp)</f>
        <v>0.51664092565087283</v>
      </c>
    </row>
    <row r="25" spans="1:59" x14ac:dyDescent="0.25">
      <c r="A25" s="20">
        <f>Tools!$AD24</f>
        <v>18.5</v>
      </c>
      <c r="B25" s="33">
        <f t="shared" si="0"/>
        <v>4.13</v>
      </c>
      <c r="C25" s="22">
        <f>IF(A25="  ","  ",IF(AND(A24="  ",A26="  "),"?",IF(A24="  ",2*(A26-A25),IF(A26="  ",2*(A25-A24),2*(A26-A24)))))</f>
        <v>2</v>
      </c>
      <c r="D25" s="23">
        <f t="shared" si="26"/>
        <v>8.26</v>
      </c>
      <c r="E25" s="24">
        <f t="shared" si="1"/>
        <v>8.5</v>
      </c>
      <c r="F25" s="23">
        <f t="shared" si="27"/>
        <v>70.209999999999994</v>
      </c>
      <c r="G25" s="23">
        <f t="shared" si="28"/>
        <v>596.78499999999997</v>
      </c>
      <c r="H25" s="23">
        <f t="shared" si="29"/>
        <v>70.444996999999987</v>
      </c>
      <c r="I25" s="23">
        <f t="shared" si="30"/>
        <v>140.88999399999997</v>
      </c>
      <c r="J25" s="4"/>
      <c r="K25" s="37">
        <f t="shared" si="2"/>
        <v>6.7166666666666659</v>
      </c>
      <c r="L25" s="23">
        <f t="shared" si="31"/>
        <v>13.433333333333332</v>
      </c>
      <c r="M25" s="38">
        <f t="shared" si="3"/>
        <v>3.6633333333333331</v>
      </c>
      <c r="N25" s="27">
        <f t="shared" si="32"/>
        <v>7.3266666666666662</v>
      </c>
      <c r="O25" s="23">
        <f t="shared" si="33"/>
        <v>114.18333333333332</v>
      </c>
      <c r="P25" s="4"/>
      <c r="Q25" s="50" t="s">
        <v>69</v>
      </c>
      <c r="R25" s="48" t="s">
        <v>70</v>
      </c>
      <c r="S25">
        <f>IF(Tools!$L$49="Use 141 rule only",I49,IF(Tools!$L$49="Use 141 and 1331 rules",BG26," "))</f>
        <v>1122.678639654092</v>
      </c>
      <c r="W25" s="29">
        <f>IF(AO25="  ","  ",IF(AND(AO24="  ",AO26="  "),"?",IF(AO24="  ",2*(AO26-AO25),IF(AO26="  ",2*(AO25-AO24),2*(AO26-AO24)))))</f>
        <v>2</v>
      </c>
      <c r="X25" s="30" t="str">
        <f t="shared" si="4"/>
        <v>DD</v>
      </c>
      <c r="Y25" s="30" t="str">
        <f t="shared" si="5"/>
        <v>-</v>
      </c>
      <c r="Z25" s="29" t="b">
        <f t="shared" si="6"/>
        <v>1</v>
      </c>
      <c r="AA25" s="29" t="b">
        <f t="shared" si="7"/>
        <v>1</v>
      </c>
      <c r="AB25" s="29" t="str">
        <f t="shared" ca="1" si="8"/>
        <v>141-4</v>
      </c>
      <c r="AC25" s="29">
        <f t="shared" si="34"/>
        <v>4</v>
      </c>
      <c r="AD25" s="29">
        <f t="shared" ca="1" si="9"/>
        <v>4</v>
      </c>
      <c r="AE25" s="29">
        <v>22</v>
      </c>
      <c r="AF25" s="31">
        <f t="shared" si="42"/>
        <v>18</v>
      </c>
      <c r="AG25" s="29" t="b">
        <f t="shared" si="11"/>
        <v>0</v>
      </c>
      <c r="AH25" s="30" t="str">
        <f t="shared" si="43"/>
        <v>-</v>
      </c>
      <c r="AI25" s="30" t="str">
        <f t="shared" ca="1" si="13"/>
        <v>(1/2)*(4/3)</v>
      </c>
      <c r="AJ25" s="29">
        <f t="shared" ca="1" si="14"/>
        <v>0.66666666666666663</v>
      </c>
      <c r="AK25" s="29" t="str">
        <f t="shared" si="15"/>
        <v/>
      </c>
      <c r="AL25" s="29">
        <f t="shared" si="16"/>
        <v>0</v>
      </c>
      <c r="AM25" s="32">
        <f t="shared" ca="1" si="35"/>
        <v>0.66666666666666663</v>
      </c>
      <c r="AO25" s="20">
        <f>Tools!$AD24</f>
        <v>18.5</v>
      </c>
      <c r="AP25" s="33">
        <f t="shared" si="36"/>
        <v>4.13</v>
      </c>
      <c r="AQ25" s="34" t="str">
        <f t="shared" ca="1" si="18"/>
        <v>(1/2)*(4/3)</v>
      </c>
      <c r="AR25" s="23">
        <f t="shared" ca="1" si="19"/>
        <v>2.753333333333333</v>
      </c>
      <c r="AS25" s="24">
        <f t="shared" si="20"/>
        <v>8.5</v>
      </c>
      <c r="AT25" s="23">
        <f t="shared" ca="1" si="37"/>
        <v>23.403333333333329</v>
      </c>
      <c r="AU25" s="23">
        <f t="shared" ca="1" si="40"/>
        <v>198.92833333333328</v>
      </c>
      <c r="AV25" s="23">
        <f t="shared" si="21"/>
        <v>70.444996999999987</v>
      </c>
      <c r="AW25" s="23">
        <f t="shared" ca="1" si="22"/>
        <v>46.963331333333322</v>
      </c>
      <c r="AY25" s="35">
        <f t="shared" si="23"/>
        <v>6.7166666666666659</v>
      </c>
      <c r="AZ25" s="23">
        <f t="shared" ca="1" si="41"/>
        <v>4.477777777777777</v>
      </c>
      <c r="BA25" s="36">
        <f t="shared" si="25"/>
        <v>3.6633333333333331</v>
      </c>
      <c r="BB25" s="27">
        <f t="shared" ca="1" si="38"/>
        <v>2.4422222222222221</v>
      </c>
      <c r="BC25" s="23">
        <f t="shared" ca="1" si="39"/>
        <v>38.061111111111103</v>
      </c>
      <c r="BE25" s="50" t="s">
        <v>67</v>
      </c>
      <c r="BF25" s="48" t="s">
        <v>68</v>
      </c>
      <c r="BG25" s="49">
        <f>IF(WL_No="  ","  ",KB+BMT)</f>
        <v>33.4392568760072</v>
      </c>
    </row>
    <row r="26" spans="1:59" x14ac:dyDescent="0.25">
      <c r="A26" s="20">
        <f>Tools!$AD25</f>
        <v>19</v>
      </c>
      <c r="B26" s="33">
        <f t="shared" si="0"/>
        <v>2.84</v>
      </c>
      <c r="C26" s="22">
        <f>IF(A26="  ","  ",IF(AND(A25="  ",A27="  "),"?",IF(A25="  ",1*(A27-A26),IF(A27="  ",1*(A26-A25),1*(A27-A25)))))</f>
        <v>1</v>
      </c>
      <c r="D26" s="23">
        <f t="shared" si="26"/>
        <v>2.84</v>
      </c>
      <c r="E26" s="24">
        <f t="shared" si="1"/>
        <v>9</v>
      </c>
      <c r="F26" s="23">
        <f t="shared" si="27"/>
        <v>25.56</v>
      </c>
      <c r="G26" s="23">
        <f t="shared" si="28"/>
        <v>230.04</v>
      </c>
      <c r="H26" s="23">
        <f t="shared" si="29"/>
        <v>22.906303999999999</v>
      </c>
      <c r="I26" s="23">
        <f t="shared" si="30"/>
        <v>22.906303999999999</v>
      </c>
      <c r="J26" s="4"/>
      <c r="K26" s="37">
        <f t="shared" si="2"/>
        <v>4.4466666666666663</v>
      </c>
      <c r="L26" s="23">
        <f t="shared" si="31"/>
        <v>4.4466666666666663</v>
      </c>
      <c r="M26" s="38">
        <f t="shared" si="3"/>
        <v>2.4799999999999995</v>
      </c>
      <c r="N26" s="27">
        <f t="shared" si="32"/>
        <v>2.4799999999999995</v>
      </c>
      <c r="O26" s="23">
        <f t="shared" si="33"/>
        <v>40.019999999999996</v>
      </c>
      <c r="P26" s="4"/>
      <c r="Q26" s="50" t="s">
        <v>71</v>
      </c>
      <c r="R26" s="48" t="s">
        <v>72</v>
      </c>
      <c r="S26">
        <f>IF(Tools!$L$49="Use 141 rule only",I50,IF(Tools!$L$49="Use 141 and 1331 rules",BG27," "))</f>
        <v>22.788699608333332</v>
      </c>
      <c r="W26" s="29">
        <f>IF(AO26="  ","  ",IF(AND(AO25="  ",AO27="  "),"?",IF(AO25="  ",1*(AO27-AO26),IF(AO27="  ",1*(AO26-AO25),1*(AO27-AO25)))))</f>
        <v>1</v>
      </c>
      <c r="X26" s="30" t="str">
        <f t="shared" si="4"/>
        <v>DD</v>
      </c>
      <c r="Y26" s="30" t="str">
        <f t="shared" si="5"/>
        <v>-</v>
      </c>
      <c r="Z26" s="29" t="b">
        <f t="shared" si="6"/>
        <v>1</v>
      </c>
      <c r="AA26" s="29" t="b">
        <f t="shared" si="7"/>
        <v>1</v>
      </c>
      <c r="AB26" s="29" t="str">
        <f t="shared" ca="1" si="8"/>
        <v>141-2</v>
      </c>
      <c r="AC26" s="29">
        <f t="shared" si="34"/>
        <v>3</v>
      </c>
      <c r="AD26" s="29">
        <f t="shared" ca="1" si="9"/>
        <v>3</v>
      </c>
      <c r="AE26" s="29">
        <v>23</v>
      </c>
      <c r="AF26" s="31">
        <f t="shared" si="42"/>
        <v>19</v>
      </c>
      <c r="AG26" s="29" t="b">
        <f t="shared" si="11"/>
        <v>0</v>
      </c>
      <c r="AH26" s="30" t="str">
        <f t="shared" si="43"/>
        <v>-</v>
      </c>
      <c r="AI26" s="30" t="str">
        <f t="shared" ca="1" si="13"/>
        <v>(1/2)*(2/3)</v>
      </c>
      <c r="AJ26" s="29">
        <f t="shared" ca="1" si="14"/>
        <v>0.33333333333333331</v>
      </c>
      <c r="AK26" s="29" t="str">
        <f t="shared" si="15"/>
        <v/>
      </c>
      <c r="AL26" s="29">
        <f t="shared" si="16"/>
        <v>0</v>
      </c>
      <c r="AM26" s="32">
        <f t="shared" ca="1" si="35"/>
        <v>0.33333333333333331</v>
      </c>
      <c r="AO26" s="20">
        <f>Tools!$AD25</f>
        <v>19</v>
      </c>
      <c r="AP26" s="33">
        <f t="shared" si="36"/>
        <v>2.84</v>
      </c>
      <c r="AQ26" s="34" t="str">
        <f t="shared" ca="1" si="18"/>
        <v>(1/2)*(2/3)</v>
      </c>
      <c r="AR26" s="23">
        <f t="shared" ca="1" si="19"/>
        <v>0.94666666666666655</v>
      </c>
      <c r="AS26" s="24">
        <f t="shared" si="20"/>
        <v>9</v>
      </c>
      <c r="AT26" s="23">
        <f t="shared" ca="1" si="37"/>
        <v>8.52</v>
      </c>
      <c r="AU26" s="23">
        <f t="shared" ca="1" si="40"/>
        <v>76.679999999999993</v>
      </c>
      <c r="AV26" s="23">
        <f t="shared" si="21"/>
        <v>22.906303999999999</v>
      </c>
      <c r="AW26" s="23">
        <f t="shared" ca="1" si="22"/>
        <v>7.6354346666666659</v>
      </c>
      <c r="AY26" s="35">
        <f t="shared" si="23"/>
        <v>4.4466666666666663</v>
      </c>
      <c r="AZ26" s="23">
        <f t="shared" ca="1" si="41"/>
        <v>1.4822222222222221</v>
      </c>
      <c r="BA26" s="36">
        <f t="shared" si="25"/>
        <v>2.4799999999999995</v>
      </c>
      <c r="BB26" s="27">
        <f t="shared" ca="1" si="38"/>
        <v>0.82666666666666644</v>
      </c>
      <c r="BC26" s="23">
        <f t="shared" ca="1" si="39"/>
        <v>13.34</v>
      </c>
      <c r="BE26" s="50" t="s">
        <v>69</v>
      </c>
      <c r="BF26" s="48" t="s">
        <v>70</v>
      </c>
      <c r="BG26" s="49">
        <f>IF(WL_No="  ","  ",KB+BML)</f>
        <v>1122.678639654092</v>
      </c>
    </row>
    <row r="27" spans="1:59" x14ac:dyDescent="0.25">
      <c r="A27" s="20">
        <f>Tools!$AD26</f>
        <v>19.5</v>
      </c>
      <c r="B27" s="33">
        <f t="shared" si="0"/>
        <v>1.69</v>
      </c>
      <c r="C27" s="22">
        <f>IF(A27="  ","  ",IF(AND(A26="  ",A28="  "),"?",IF(A26="  ",2*(A28-A27),IF(A28="  ",2*(A27-A26),2*(A28-A26)))))</f>
        <v>2</v>
      </c>
      <c r="D27" s="23">
        <f t="shared" si="26"/>
        <v>3.38</v>
      </c>
      <c r="E27" s="24">
        <f t="shared" si="1"/>
        <v>9.5</v>
      </c>
      <c r="F27" s="23">
        <f t="shared" si="27"/>
        <v>32.11</v>
      </c>
      <c r="G27" s="23">
        <f t="shared" si="28"/>
        <v>305.04500000000002</v>
      </c>
      <c r="H27" s="23">
        <f t="shared" si="29"/>
        <v>4.826808999999999</v>
      </c>
      <c r="I27" s="23">
        <f t="shared" si="30"/>
        <v>9.653617999999998</v>
      </c>
      <c r="J27" s="4"/>
      <c r="K27" s="37">
        <f t="shared" si="2"/>
        <v>2.3099999999999996</v>
      </c>
      <c r="L27" s="23">
        <f t="shared" si="31"/>
        <v>4.6199999999999992</v>
      </c>
      <c r="M27" s="38">
        <f t="shared" si="3"/>
        <v>1.3699999999999997</v>
      </c>
      <c r="N27" s="27">
        <f t="shared" si="32"/>
        <v>2.7399999999999993</v>
      </c>
      <c r="O27" s="23">
        <f t="shared" si="33"/>
        <v>43.889999999999993</v>
      </c>
      <c r="P27" s="4"/>
      <c r="Q27" s="50" t="s">
        <v>73</v>
      </c>
      <c r="R27" s="48" t="s">
        <v>74</v>
      </c>
      <c r="S27">
        <f>IF(Tools!$L$49="Use 141 rule only",I51,IF(Tools!$L$49="Use 141 and 1331 rules",BG28," "))</f>
        <v>5.5990661041120529</v>
      </c>
      <c r="W27" s="29">
        <f>IF(AO27="  ","  ",IF(AND(AO26="  ",AO28="  "),"?",IF(AO26="  ",2*(AO28-AO27),IF(AO28="  ",2*(AO27-AO26),2*(AO28-AO26)))))</f>
        <v>2</v>
      </c>
      <c r="X27" s="30" t="str">
        <f t="shared" si="4"/>
        <v>DD</v>
      </c>
      <c r="Y27" s="30" t="str">
        <f t="shared" si="5"/>
        <v>-</v>
      </c>
      <c r="Z27" s="29" t="b">
        <f t="shared" si="6"/>
        <v>1</v>
      </c>
      <c r="AA27" s="29" t="b">
        <f t="shared" si="7"/>
        <v>1</v>
      </c>
      <c r="AB27" s="29" t="str">
        <f t="shared" ca="1" si="8"/>
        <v>141-4</v>
      </c>
      <c r="AC27" s="29">
        <f t="shared" si="34"/>
        <v>2</v>
      </c>
      <c r="AD27" s="29">
        <f t="shared" ca="1" si="9"/>
        <v>2</v>
      </c>
      <c r="AE27" s="29">
        <v>24</v>
      </c>
      <c r="AF27" s="31">
        <f t="shared" si="42"/>
        <v>20</v>
      </c>
      <c r="AG27" s="29" t="b">
        <f t="shared" si="11"/>
        <v>0</v>
      </c>
      <c r="AH27" s="30" t="str">
        <f t="shared" si="43"/>
        <v>-</v>
      </c>
      <c r="AI27" s="30" t="str">
        <f t="shared" ca="1" si="13"/>
        <v>(1/2)*(4/3)</v>
      </c>
      <c r="AJ27" s="29">
        <f t="shared" ca="1" si="14"/>
        <v>0.66666666666666663</v>
      </c>
      <c r="AK27" s="29" t="str">
        <f t="shared" si="15"/>
        <v/>
      </c>
      <c r="AL27" s="29">
        <f t="shared" si="16"/>
        <v>0</v>
      </c>
      <c r="AM27" s="32">
        <f t="shared" ca="1" si="35"/>
        <v>0.66666666666666663</v>
      </c>
      <c r="AO27" s="20">
        <f>Tools!$AD26</f>
        <v>19.5</v>
      </c>
      <c r="AP27" s="33">
        <f t="shared" ref="AP27:AP28" si="44">VLOOKUP(AO27,OFFSET_A,Count_WL+1,FALSE)</f>
        <v>1.69</v>
      </c>
      <c r="AQ27" s="34" t="str">
        <f t="shared" ca="1" si="18"/>
        <v>(1/2)*(4/3)</v>
      </c>
      <c r="AR27" s="23">
        <f t="shared" ca="1" si="19"/>
        <v>1.1266666666666665</v>
      </c>
      <c r="AS27" s="24">
        <f t="shared" si="20"/>
        <v>9.5</v>
      </c>
      <c r="AT27" s="23">
        <f t="shared" ca="1" si="37"/>
        <v>10.703333333333331</v>
      </c>
      <c r="AU27" s="23">
        <f t="shared" ca="1" si="40"/>
        <v>101.68166666666664</v>
      </c>
      <c r="AV27" s="23">
        <f t="shared" si="21"/>
        <v>4.826808999999999</v>
      </c>
      <c r="AW27" s="23">
        <f t="shared" ca="1" si="22"/>
        <v>3.2178726666666657</v>
      </c>
      <c r="AY27" s="35">
        <f t="shared" si="23"/>
        <v>2.3099999999999996</v>
      </c>
      <c r="AZ27" s="23">
        <f t="shared" ca="1" si="41"/>
        <v>1.5399999999999996</v>
      </c>
      <c r="BA27" s="36">
        <f t="shared" si="25"/>
        <v>1.3699999999999997</v>
      </c>
      <c r="BB27" s="27">
        <f t="shared" ca="1" si="38"/>
        <v>0.91333333333333311</v>
      </c>
      <c r="BC27" s="23">
        <f t="shared" ca="1" si="39"/>
        <v>14.629999999999995</v>
      </c>
      <c r="BE27" s="50" t="s">
        <v>71</v>
      </c>
      <c r="BF27" s="48" t="s">
        <v>72</v>
      </c>
      <c r="BG27" s="49">
        <f>IF(WL_No="  ","  ",AWP*1.025/100)</f>
        <v>22.788699608333332</v>
      </c>
    </row>
    <row r="28" spans="1:59" ht="15.75" thickBot="1" x14ac:dyDescent="0.3">
      <c r="A28" s="20">
        <f>Tools!$AD27</f>
        <v>20</v>
      </c>
      <c r="B28" s="52">
        <f t="shared" si="0"/>
        <v>1.2</v>
      </c>
      <c r="C28" s="22">
        <f>IF(A28="  ","  ",IF(A27="  ","?",1*(A28-A27)))</f>
        <v>0.5</v>
      </c>
      <c r="D28" s="53">
        <f t="shared" si="26"/>
        <v>0.6</v>
      </c>
      <c r="E28" s="24">
        <f t="shared" si="1"/>
        <v>10</v>
      </c>
      <c r="F28" s="53">
        <f t="shared" si="27"/>
        <v>6</v>
      </c>
      <c r="G28" s="53">
        <f t="shared" si="28"/>
        <v>60</v>
      </c>
      <c r="H28" s="23">
        <f t="shared" si="29"/>
        <v>1.728</v>
      </c>
      <c r="I28" s="53">
        <f t="shared" si="30"/>
        <v>0.86399999999999999</v>
      </c>
      <c r="J28" s="4"/>
      <c r="K28" s="35">
        <f t="shared" si="2"/>
        <v>1.5</v>
      </c>
      <c r="L28" s="53">
        <f t="shared" si="31"/>
        <v>0.75</v>
      </c>
      <c r="M28" s="36">
        <f t="shared" si="3"/>
        <v>0.93333333333333324</v>
      </c>
      <c r="N28" s="54">
        <f t="shared" si="32"/>
        <v>0.46666666666666662</v>
      </c>
      <c r="O28" s="53">
        <f t="shared" si="33"/>
        <v>7.5</v>
      </c>
      <c r="P28" s="4"/>
      <c r="Q28" s="50" t="s">
        <v>75</v>
      </c>
      <c r="R28" s="55" t="s">
        <v>76</v>
      </c>
      <c r="S28">
        <f>IF(Tools!$L$49="Use 141 rule only",I52,IF(Tools!$L$49="Use 141 and 1331 rules",BG29," "))</f>
        <v>162.95201437250645</v>
      </c>
      <c r="W28" s="29">
        <f>IF(AO28="  ","  ",IF(AO27="  ","?",1*(AO28-AO27)))</f>
        <v>0.5</v>
      </c>
      <c r="X28" s="30" t="str">
        <f t="shared" si="4"/>
        <v>D-</v>
      </c>
      <c r="Y28" s="30" t="str">
        <f t="shared" si="5"/>
        <v>-</v>
      </c>
      <c r="Z28" s="29" t="b">
        <f t="shared" si="6"/>
        <v>1</v>
      </c>
      <c r="AA28" s="29" t="b">
        <f t="shared" si="7"/>
        <v>1</v>
      </c>
      <c r="AB28" s="29" t="str">
        <f t="shared" ca="1" si="8"/>
        <v>141-1</v>
      </c>
      <c r="AC28" s="29">
        <f>IF(ISNUMBER(AO28),IF(ISNUMBER(AO28),IF(OR(AO28=0,AO28=Long_Div),1,IF(AO28&gt;Long_Div/2,AF29+1,IF(AO28&lt;=Long_Div/2,AC27+1,"?")))," --")," ")</f>
        <v>1</v>
      </c>
      <c r="AD28" s="29">
        <f t="shared" ca="1" si="9"/>
        <v>1</v>
      </c>
      <c r="AE28" s="29">
        <v>25</v>
      </c>
      <c r="AF28" s="31">
        <f t="shared" si="42"/>
        <v>21</v>
      </c>
      <c r="AG28" s="29" t="b">
        <f t="shared" si="11"/>
        <v>0</v>
      </c>
      <c r="AH28" s="30" t="str">
        <f t="shared" si="43"/>
        <v>-</v>
      </c>
      <c r="AI28" s="30" t="str">
        <f t="shared" ca="1" si="13"/>
        <v>(1/2)*(1/3)</v>
      </c>
      <c r="AJ28" s="29">
        <f t="shared" ca="1" si="14"/>
        <v>0.16666666666666666</v>
      </c>
      <c r="AK28" s="29" t="str">
        <f t="shared" si="15"/>
        <v/>
      </c>
      <c r="AL28" s="29">
        <f t="shared" si="16"/>
        <v>0</v>
      </c>
      <c r="AM28" s="32">
        <f t="shared" ca="1" si="35"/>
        <v>0.16666666666666666</v>
      </c>
      <c r="AO28" s="20">
        <f>Tools!$AD27</f>
        <v>20</v>
      </c>
      <c r="AP28" s="33">
        <f t="shared" si="44"/>
        <v>1.2</v>
      </c>
      <c r="AQ28" s="34" t="str">
        <f t="shared" ca="1" si="18"/>
        <v>(1/2)*(1/3)</v>
      </c>
      <c r="AR28" s="23">
        <f t="shared" ca="1" si="19"/>
        <v>0.19999999999999998</v>
      </c>
      <c r="AS28" s="24">
        <f t="shared" si="20"/>
        <v>10</v>
      </c>
      <c r="AT28" s="53">
        <f t="shared" ca="1" si="37"/>
        <v>1.9999999999999998</v>
      </c>
      <c r="AU28" s="53">
        <f t="shared" ca="1" si="40"/>
        <v>19.999999999999996</v>
      </c>
      <c r="AV28" s="23">
        <f t="shared" si="21"/>
        <v>1.728</v>
      </c>
      <c r="AW28" s="23">
        <f t="shared" ca="1" si="22"/>
        <v>0.28799999999999998</v>
      </c>
      <c r="AY28" s="35">
        <f t="shared" si="23"/>
        <v>1.5</v>
      </c>
      <c r="AZ28" s="23">
        <f t="shared" ca="1" si="41"/>
        <v>0.25</v>
      </c>
      <c r="BA28" s="36">
        <f t="shared" si="25"/>
        <v>0.93333333333333324</v>
      </c>
      <c r="BB28" s="27">
        <f t="shared" ca="1" si="38"/>
        <v>0.15555555555555553</v>
      </c>
      <c r="BC28" s="53">
        <f t="shared" ca="1" si="39"/>
        <v>2.5</v>
      </c>
      <c r="BE28" s="50" t="s">
        <v>73</v>
      </c>
      <c r="BF28" s="48" t="s">
        <v>74</v>
      </c>
      <c r="BG28" s="49">
        <f>IF(WL_No="  ","  ",ML/V_Disp)</f>
        <v>5.5990661041120529</v>
      </c>
    </row>
    <row r="29" spans="1:59" ht="15.75" thickBot="1" x14ac:dyDescent="0.3">
      <c r="A29" s="56" t="s">
        <v>77</v>
      </c>
      <c r="B29" s="56"/>
      <c r="C29" s="56"/>
      <c r="D29" s="57">
        <f>SUM(D4:D28)</f>
        <v>456.21500000000003</v>
      </c>
      <c r="E29" s="42"/>
      <c r="F29" s="58">
        <f>SUM(F4:F28)</f>
        <v>327.17</v>
      </c>
      <c r="G29" s="58">
        <f>SUM(G4:G28)</f>
        <v>9106.6850000000013</v>
      </c>
      <c r="H29" s="42"/>
      <c r="I29" s="58">
        <f>SUM(I4:I28)</f>
        <v>41727.193440499992</v>
      </c>
      <c r="J29" s="4"/>
      <c r="K29" s="42"/>
      <c r="L29" s="58">
        <f>SUM(L4:L28)</f>
        <v>844.95499999999993</v>
      </c>
      <c r="M29" s="42"/>
      <c r="N29" s="58">
        <f>SUM(N4:N28)</f>
        <v>436.53833333333324</v>
      </c>
      <c r="O29" s="58">
        <f>SUM(O4:O28)</f>
        <v>647.18999999999994</v>
      </c>
      <c r="P29" s="4"/>
      <c r="Q29" s="50" t="s">
        <v>78</v>
      </c>
      <c r="R29" s="48" t="s">
        <v>79</v>
      </c>
      <c r="S29">
        <f>IF(Tools!$L$49="Use 141 rule only",I53,IF(Tools!$L$49="Use 141 and 1331 rules",BG30," "))</f>
        <v>1</v>
      </c>
      <c r="W29" s="56"/>
      <c r="X29" s="56"/>
      <c r="Y29" s="56"/>
      <c r="Z29" s="56"/>
      <c r="AA29" s="56"/>
      <c r="AB29" s="56"/>
      <c r="AC29" s="56"/>
      <c r="AD29" s="56"/>
      <c r="AE29" s="56"/>
      <c r="AF29" s="56"/>
      <c r="AG29" s="56"/>
      <c r="AH29" s="56"/>
      <c r="AI29" s="56"/>
      <c r="AJ29" s="56"/>
      <c r="AK29" s="56"/>
      <c r="AL29" s="56"/>
      <c r="AM29" s="56"/>
      <c r="AN29" s="56"/>
      <c r="AO29" s="56" t="s">
        <v>77</v>
      </c>
      <c r="AP29" s="56"/>
      <c r="AQ29" s="59"/>
      <c r="AR29" s="57">
        <f ca="1">SUM(AR4:AR28)</f>
        <v>152.07166666666666</v>
      </c>
      <c r="AS29" s="42"/>
      <c r="AT29" s="58">
        <f ca="1">SUM(AT4:AT28)</f>
        <v>109.05666666666667</v>
      </c>
      <c r="AU29" s="58">
        <f ca="1">SUM(AU4:AU28)</f>
        <v>3035.5616666666665</v>
      </c>
      <c r="AV29" s="42"/>
      <c r="AW29" s="58">
        <f ca="1">SUM(AW4:AW28)</f>
        <v>13909.064480166666</v>
      </c>
      <c r="AY29" s="42"/>
      <c r="AZ29" s="58">
        <f ca="1">SUM(AZ4:AZ28)</f>
        <v>281.65166666666664</v>
      </c>
      <c r="BA29" s="42"/>
      <c r="BB29" s="58">
        <f ca="1">SUM(BB4:BB28)</f>
        <v>145.51277777777776</v>
      </c>
      <c r="BC29" s="58">
        <f ca="1">SUM(BC4:BC28)</f>
        <v>215.73</v>
      </c>
      <c r="BE29" s="50" t="s">
        <v>75</v>
      </c>
      <c r="BF29" s="55" t="s">
        <v>76</v>
      </c>
      <c r="BG29" s="49">
        <f ca="1">IF(WL_No="  ","  ",M_Disp*BML/100/BG8)</f>
        <v>162.95201437250645</v>
      </c>
    </row>
    <row r="30" spans="1:59" x14ac:dyDescent="0.25">
      <c r="A30" s="15"/>
      <c r="B30" s="4"/>
      <c r="C30" s="4"/>
      <c r="D30" s="42"/>
      <c r="E30" s="4"/>
      <c r="F30" s="4"/>
      <c r="G30" s="4"/>
      <c r="H30" s="4"/>
      <c r="I30" s="4"/>
      <c r="J30" s="4"/>
      <c r="K30" s="4"/>
      <c r="L30" s="4"/>
      <c r="M30" s="4"/>
      <c r="N30" s="4"/>
      <c r="O30" s="4"/>
      <c r="P30" s="4"/>
      <c r="Q30" s="50" t="s">
        <v>80</v>
      </c>
      <c r="R30" s="48" t="s">
        <v>81</v>
      </c>
      <c r="S30">
        <f>IF(Tools!$L$49="Use 141 rule only",I54,IF(Tools!$L$49="Use 141 and 1331 rules",BG31," "))</f>
        <v>0.70731007751937991</v>
      </c>
      <c r="AA30" s="60"/>
      <c r="AB30" s="60"/>
      <c r="BE30" s="50" t="s">
        <v>78</v>
      </c>
      <c r="BF30" s="48" t="s">
        <v>79</v>
      </c>
      <c r="BG30" s="49">
        <f>IF(WL_No="  ","  ",WLS*WL_No)</f>
        <v>1</v>
      </c>
    </row>
    <row r="31" spans="1:59" x14ac:dyDescent="0.25">
      <c r="A31" s="15"/>
      <c r="B31" s="4"/>
      <c r="C31" s="4"/>
      <c r="D31" s="4"/>
      <c r="E31" s="4"/>
      <c r="F31" s="4"/>
      <c r="G31" s="4"/>
      <c r="H31" s="4"/>
      <c r="I31" s="4"/>
      <c r="J31" s="4"/>
      <c r="K31" s="4"/>
      <c r="L31" s="4"/>
      <c r="M31" s="4"/>
      <c r="N31" s="4"/>
      <c r="O31" s="4"/>
      <c r="P31" s="4"/>
      <c r="Q31" s="50" t="s">
        <v>82</v>
      </c>
      <c r="R31" s="48" t="s">
        <v>83</v>
      </c>
      <c r="S31">
        <f>IF(Tools!$L$49="Use 141 rule only",I55,IF(Tools!$L$49="Use 141 and 1331 rules",BG32," "))</f>
        <v>0.65500387596899223</v>
      </c>
      <c r="AF31" s="61" t="s">
        <v>84</v>
      </c>
      <c r="AG31" s="62">
        <f ca="1">COUNTIF(OFFSET(AQ4,,,ROUNDUP(Max_STN_count/2,0),1),"")</f>
        <v>0</v>
      </c>
      <c r="AH31" s="63">
        <f ca="1">HLOOKUP(Stn_WL,AREA_TABLE,AG31+2,FALSE)</f>
        <v>0</v>
      </c>
      <c r="AI31" s="63">
        <f ca="1">IF(AH31&gt;Long_Div/2,Long_Div/2,AH31)</f>
        <v>0</v>
      </c>
      <c r="AJ31" s="63">
        <f ca="1">AI31*STN_GAP</f>
        <v>0</v>
      </c>
      <c r="BE31" s="50" t="s">
        <v>80</v>
      </c>
      <c r="BF31" s="48" t="s">
        <v>81</v>
      </c>
      <c r="BG31" s="49">
        <f ca="1">IF(WL_No="  ","  ",AWP/(BG8*B_current))</f>
        <v>0.70731007751937991</v>
      </c>
    </row>
    <row r="32" spans="1:59" x14ac:dyDescent="0.25">
      <c r="A32" s="15"/>
      <c r="B32" s="4"/>
      <c r="C32" s="4"/>
      <c r="D32" s="4"/>
      <c r="E32" s="4"/>
      <c r="F32" s="4"/>
      <c r="G32" s="4"/>
      <c r="H32" s="4"/>
      <c r="I32" s="4"/>
      <c r="J32" s="64"/>
      <c r="K32" s="4"/>
      <c r="L32" s="4"/>
      <c r="M32" s="4"/>
      <c r="N32" s="4"/>
      <c r="O32" s="4"/>
      <c r="P32" s="4"/>
      <c r="Q32" s="50" t="s">
        <v>85</v>
      </c>
      <c r="R32" s="48" t="s">
        <v>86</v>
      </c>
      <c r="S32">
        <f>IF(Tools!$L$49="Use 141 rule only",I56,IF(Tools!$L$49="Use 141 and 1331 rules",BG33," "))</f>
        <v>0.96511627906976749</v>
      </c>
      <c r="AF32" s="61" t="s">
        <v>87</v>
      </c>
      <c r="AG32" s="62">
        <f ca="1">COUNTIF(OFFSET(AQ4,ROUNDUP(Max_STN_count/2,0),,ROUNDDOWN(Max_STN_count/2,0),1),"")</f>
        <v>0</v>
      </c>
      <c r="AH32" s="63">
        <f ca="1">HLOOKUP(Stn_WL,AREA_TABLE,AG32+2,FALSE)</f>
        <v>0</v>
      </c>
      <c r="AI32" s="63">
        <f ca="1">IF(AH32&gt;Long_Div/2,Long_Div/2,AH32)</f>
        <v>0</v>
      </c>
      <c r="AJ32" s="63">
        <f ca="1">AI32*STN_GAP</f>
        <v>0</v>
      </c>
      <c r="BE32" s="50" t="s">
        <v>82</v>
      </c>
      <c r="BF32" s="48" t="s">
        <v>83</v>
      </c>
      <c r="BG32" s="49">
        <f ca="1">IF(WL_No="  ","  ",V_Disp/(BG8*B_current*T))</f>
        <v>0.65500387596899223</v>
      </c>
    </row>
    <row r="33" spans="1:59" x14ac:dyDescent="0.25">
      <c r="A33" s="15"/>
      <c r="B33" s="4"/>
      <c r="C33" s="4"/>
      <c r="D33" s="4"/>
      <c r="E33" s="4"/>
      <c r="F33" s="4"/>
      <c r="G33" s="43" t="s">
        <v>31</v>
      </c>
      <c r="H33" s="44" t="s">
        <v>32</v>
      </c>
      <c r="I33" s="489" t="s">
        <v>33</v>
      </c>
      <c r="J33" s="4"/>
      <c r="K33" s="4"/>
      <c r="L33" s="4"/>
      <c r="M33" s="4"/>
      <c r="N33" s="4"/>
      <c r="O33" s="4"/>
      <c r="P33" s="4"/>
      <c r="Q33" s="50" t="s">
        <v>88</v>
      </c>
      <c r="R33" s="48" t="s">
        <v>89</v>
      </c>
      <c r="S33">
        <f>IF(Tools!$L$49="Use 141 rule only",I57,IF(Tools!$L$49="Use 141 and 1331 rules",BG34," "))</f>
        <v>0.67867871485943765</v>
      </c>
      <c r="AF33" s="63"/>
      <c r="AG33" s="63"/>
      <c r="AH33" s="63">
        <f ca="1">Long_Div-AH32</f>
        <v>20</v>
      </c>
      <c r="AI33" s="63"/>
      <c r="AJ33" s="63">
        <f ca="1">AJ32+AJ31</f>
        <v>0</v>
      </c>
      <c r="BE33" s="50" t="s">
        <v>85</v>
      </c>
      <c r="BF33" s="48" t="s">
        <v>86</v>
      </c>
      <c r="BG33" s="65">
        <f>IFERROR(IF(WL_No="  ","  ",(VLOOKUP(Long_Div/2,AREA_TABLE,Count_WL+1,FALSE))/(B_current*T)),"-")</f>
        <v>0.96511627906976749</v>
      </c>
    </row>
    <row r="34" spans="1:59" x14ac:dyDescent="0.25">
      <c r="G34" s="45"/>
      <c r="H34" s="46"/>
      <c r="I34" s="490"/>
      <c r="BE34" s="50" t="s">
        <v>88</v>
      </c>
      <c r="BF34" s="48" t="s">
        <v>89</v>
      </c>
      <c r="BG34" s="49">
        <f>IF(WL_No="  ","  ",CB/CM)</f>
        <v>0.67867871485943765</v>
      </c>
    </row>
    <row r="35" spans="1:59" x14ac:dyDescent="0.25">
      <c r="G35" s="47" t="s">
        <v>34</v>
      </c>
      <c r="H35" s="48" t="s">
        <v>35</v>
      </c>
      <c r="I35" s="49">
        <f>IF(WL_No="  ","  ",2/3*h*$D$29)</f>
        <v>2223.2877666666668</v>
      </c>
    </row>
    <row r="36" spans="1:59" x14ac:dyDescent="0.25">
      <c r="G36" s="47" t="s">
        <v>36</v>
      </c>
      <c r="H36" s="48" t="s">
        <v>37</v>
      </c>
      <c r="I36" s="49">
        <f>IF(WL_No="  ","  ",2/3*(h^2)*$F$29)</f>
        <v>11655.125891333333</v>
      </c>
    </row>
    <row r="37" spans="1:59" x14ac:dyDescent="0.25">
      <c r="G37" s="50" t="s">
        <v>39</v>
      </c>
      <c r="H37" s="48" t="s">
        <v>40</v>
      </c>
      <c r="I37" s="49">
        <f>IF(WL_No="  ","  ",Mmid/AWP)</f>
        <v>5.2422929978190105</v>
      </c>
    </row>
    <row r="38" spans="1:59" x14ac:dyDescent="0.25">
      <c r="G38" s="50" t="s">
        <v>42</v>
      </c>
      <c r="H38" s="48" t="s">
        <v>43</v>
      </c>
      <c r="I38" s="49">
        <f>IF(WL_No="  ","  ",2/3*(h^3)*$G$29)</f>
        <v>2371489.3924675565</v>
      </c>
    </row>
    <row r="39" spans="1:59" x14ac:dyDescent="0.25">
      <c r="G39" s="51" t="s">
        <v>44</v>
      </c>
      <c r="H39" s="48" t="s">
        <v>45</v>
      </c>
      <c r="I39" s="49">
        <f>IF(WL_No="  ","  ",2/9*h*$I$29)</f>
        <v>67783.507566678876</v>
      </c>
    </row>
    <row r="40" spans="1:59" x14ac:dyDescent="0.25">
      <c r="G40" s="50" t="s">
        <v>47</v>
      </c>
      <c r="H40" s="48" t="s">
        <v>48</v>
      </c>
      <c r="I40" s="49">
        <f>IF(WL_No="  ","  ",IL-AWP*(LCF^2))</f>
        <v>2310389.8076187209</v>
      </c>
    </row>
    <row r="41" spans="1:59" x14ac:dyDescent="0.25">
      <c r="G41" s="50" t="s">
        <v>50</v>
      </c>
      <c r="H41" s="48" t="s">
        <v>51</v>
      </c>
      <c r="I41" s="49">
        <f>IF(WL_No="  ","  ",h/3*$L$29)</f>
        <v>2058.8736833333332</v>
      </c>
    </row>
    <row r="42" spans="1:59" x14ac:dyDescent="0.25">
      <c r="G42" s="50" t="s">
        <v>52</v>
      </c>
      <c r="H42" s="48" t="s">
        <v>53</v>
      </c>
      <c r="I42" s="49">
        <f>IF(WL_No="  ","  ",V_Disp*1.025*1.006)</f>
        <v>2123.0075985691665</v>
      </c>
    </row>
    <row r="43" spans="1:59" x14ac:dyDescent="0.25">
      <c r="G43" s="50" t="s">
        <v>55</v>
      </c>
      <c r="H43" s="48" t="s">
        <v>56</v>
      </c>
      <c r="I43" s="49">
        <f>IF(WL_No="  ","  ",h/3*$N$29)</f>
        <v>1063.6984055555554</v>
      </c>
    </row>
    <row r="44" spans="1:59" x14ac:dyDescent="0.25">
      <c r="G44" s="50" t="s">
        <v>57</v>
      </c>
      <c r="H44" s="48" t="s">
        <v>58</v>
      </c>
      <c r="I44" s="49">
        <f>IF(WL_No="  ","  ",(h^2)/3*$O$29)</f>
        <v>11527.769852999998</v>
      </c>
    </row>
    <row r="45" spans="1:59" x14ac:dyDescent="0.25">
      <c r="G45" s="50" t="s">
        <v>60</v>
      </c>
      <c r="H45" s="48" t="s">
        <v>61</v>
      </c>
      <c r="I45" s="49">
        <f>IF(WL_No="  ","  ",IF/V_Disp)</f>
        <v>1122.1619987284412</v>
      </c>
    </row>
    <row r="46" spans="1:59" x14ac:dyDescent="0.25">
      <c r="G46" s="50" t="s">
        <v>63</v>
      </c>
      <c r="H46" s="48" t="s">
        <v>64</v>
      </c>
      <c r="I46" s="49">
        <f>IF(WL_No="  ","  ",IT/V_Disp)</f>
        <v>32.922615950356324</v>
      </c>
    </row>
    <row r="47" spans="1:59" x14ac:dyDescent="0.25">
      <c r="G47" s="50" t="s">
        <v>65</v>
      </c>
      <c r="H47" s="48" t="s">
        <v>66</v>
      </c>
      <c r="I47" s="49">
        <f>IF(WL_No="  ","  ",MT/V_Disp)</f>
        <v>0.51664092565087283</v>
      </c>
    </row>
    <row r="48" spans="1:59" x14ac:dyDescent="0.25">
      <c r="G48" s="50" t="s">
        <v>67</v>
      </c>
      <c r="H48" s="48" t="s">
        <v>68</v>
      </c>
      <c r="I48" s="49">
        <f>IF(WL_No="  ","  ",KB+BMT)</f>
        <v>33.4392568760072</v>
      </c>
    </row>
    <row r="49" spans="7:9" x14ac:dyDescent="0.25">
      <c r="G49" s="50" t="s">
        <v>69</v>
      </c>
      <c r="H49" s="48" t="s">
        <v>70</v>
      </c>
      <c r="I49" s="49">
        <f>IF(WL_No="  ","  ",KB+BML)</f>
        <v>1122.678639654092</v>
      </c>
    </row>
    <row r="50" spans="7:9" x14ac:dyDescent="0.25">
      <c r="G50" s="50" t="s">
        <v>71</v>
      </c>
      <c r="H50" s="48" t="s">
        <v>72</v>
      </c>
      <c r="I50" s="49">
        <f>IF(WL_No="  ","  ",AWP*1.025/100)</f>
        <v>22.788699608333332</v>
      </c>
    </row>
    <row r="51" spans="7:9" x14ac:dyDescent="0.25">
      <c r="G51" s="50" t="s">
        <v>73</v>
      </c>
      <c r="H51" s="48" t="s">
        <v>74</v>
      </c>
      <c r="I51" s="49">
        <f>IF(WL_No="  ","  ",ML/V_Disp)</f>
        <v>5.5990661041120529</v>
      </c>
    </row>
    <row r="52" spans="7:9" x14ac:dyDescent="0.25">
      <c r="G52" s="50" t="s">
        <v>75</v>
      </c>
      <c r="H52" s="55" t="s">
        <v>76</v>
      </c>
      <c r="I52" s="49">
        <f>IF(WL_No="  ","  ",M_Disp*BML/100/LBP)</f>
        <v>162.95201437250645</v>
      </c>
    </row>
    <row r="53" spans="7:9" x14ac:dyDescent="0.25">
      <c r="G53" s="50" t="s">
        <v>78</v>
      </c>
      <c r="H53" s="48" t="s">
        <v>79</v>
      </c>
      <c r="I53" s="49">
        <f>IF(WL_No="  ","  ",WLS*WL_No)</f>
        <v>1</v>
      </c>
    </row>
    <row r="54" spans="7:9" x14ac:dyDescent="0.25">
      <c r="G54" s="50" t="s">
        <v>80</v>
      </c>
      <c r="H54" s="48" t="s">
        <v>81</v>
      </c>
      <c r="I54" s="49">
        <f>IF(WL_No="  ","  ",AWP/(LBP*B_current))</f>
        <v>0.70731007751937991</v>
      </c>
    </row>
    <row r="55" spans="7:9" x14ac:dyDescent="0.25">
      <c r="G55" s="50" t="s">
        <v>82</v>
      </c>
      <c r="H55" s="48" t="s">
        <v>83</v>
      </c>
      <c r="I55" s="49">
        <f>IF(WL_No="  ","  ",V_Disp/(LBP*B_current*T))</f>
        <v>0.65500387596899223</v>
      </c>
    </row>
    <row r="56" spans="7:9" x14ac:dyDescent="0.25">
      <c r="G56" s="50" t="s">
        <v>85</v>
      </c>
      <c r="H56" s="48" t="s">
        <v>86</v>
      </c>
      <c r="I56" s="65">
        <f>IF(WL_No="  ","  ",(VLOOKUP(Long_Div/2,AREA_TABLE,Count_WL+1,FALSE))/(B_current*T))</f>
        <v>0.96511627906976749</v>
      </c>
    </row>
    <row r="57" spans="7:9" x14ac:dyDescent="0.25">
      <c r="G57" s="50" t="s">
        <v>88</v>
      </c>
      <c r="H57" s="48" t="s">
        <v>89</v>
      </c>
      <c r="I57" s="49">
        <f>IF(WL_No="  ","  ",CB/CM)</f>
        <v>0.67867871485943765</v>
      </c>
    </row>
  </sheetData>
  <mergeCells count="7">
    <mergeCell ref="BG10:BG11"/>
    <mergeCell ref="I33:I34"/>
    <mergeCell ref="A2:I2"/>
    <mergeCell ref="K2:O2"/>
    <mergeCell ref="AO2:AW2"/>
    <mergeCell ref="AY2:BC2"/>
    <mergeCell ref="S9:S10"/>
  </mergeCells>
  <conditionalFormatting sqref="CB4:XFD30 BW4:BW28 BS4:BT28 W29:AX29 A33:F57 J33:R33 A11:R32 A2:T10 V2:AO2 AX2 BP29:BW29 A63:XFD1048576 T12:T37 U35:XFD37 BD2:BD29 BM31:XFD33 BM30:BW30 BH29:BI33 BH2:XFD3 U30:BD30 AR31:BD31 W3:AM28 A58:BD62 BH38:XFD62 J34:S37 BH34:XFD34 A1:AN1 AV1:XFD1 AO31:AP31 U33:BD34 AM31 U31:AG32 AK32:BD32 J43:BD57 J42:M42 O42:BD42 J38:BD41 AO3:AX26 AO27:AO28 AQ27:AX28">
    <cfRule type="containsErrors" dxfId="158" priority="14">
      <formula>ISERROR(A1)</formula>
    </cfRule>
  </conditionalFormatting>
  <conditionalFormatting sqref="G33:I34 G35:H57">
    <cfRule type="containsErrors" dxfId="157" priority="13">
      <formula>ISERROR(G33)</formula>
    </cfRule>
  </conditionalFormatting>
  <conditionalFormatting sqref="T12:T33">
    <cfRule type="containsErrors" dxfId="156" priority="12">
      <formula>ISERROR(T12)</formula>
    </cfRule>
  </conditionalFormatting>
  <conditionalFormatting sqref="I35:I57">
    <cfRule type="containsErrors" dxfId="155" priority="11">
      <formula>ISERROR(I35)</formula>
    </cfRule>
  </conditionalFormatting>
  <conditionalFormatting sqref="AY2:BC29">
    <cfRule type="containsErrors" dxfId="154" priority="8">
      <formula>ISERROR(AY2)</formula>
    </cfRule>
  </conditionalFormatting>
  <conditionalFormatting sqref="BE10:BG11 BE12:BF34">
    <cfRule type="containsErrors" dxfId="153" priority="10">
      <formula>ISERROR(BE10)</formula>
    </cfRule>
  </conditionalFormatting>
  <conditionalFormatting sqref="BG12:BG28 BG34">
    <cfRule type="containsErrors" dxfId="152" priority="9">
      <formula>ISERROR(BG12)</formula>
    </cfRule>
  </conditionalFormatting>
  <conditionalFormatting sqref="BE2:BG6">
    <cfRule type="containsErrors" dxfId="151" priority="7">
      <formula>ISERROR(BE2)</formula>
    </cfRule>
  </conditionalFormatting>
  <conditionalFormatting sqref="BF7:BG8">
    <cfRule type="containsErrors" dxfId="150" priority="5">
      <formula>ISERROR(BF7)</formula>
    </cfRule>
  </conditionalFormatting>
  <conditionalFormatting sqref="BE7:BE8">
    <cfRule type="containsErrors" dxfId="149" priority="6">
      <formula>ISERROR(BE7)</formula>
    </cfRule>
  </conditionalFormatting>
  <conditionalFormatting sqref="S30:S33">
    <cfRule type="containsErrors" dxfId="148" priority="4">
      <formula>ISERROR(S30)</formula>
    </cfRule>
  </conditionalFormatting>
  <conditionalFormatting sqref="AP27:AP28">
    <cfRule type="containsErrors" dxfId="147" priority="3">
      <formula>ISERROR(AP27)</formula>
    </cfRule>
  </conditionalFormatting>
  <conditionalFormatting sqref="BG29:BG32">
    <cfRule type="containsErrors" dxfId="146" priority="2">
      <formula>ISERROR(BG29)</formula>
    </cfRule>
  </conditionalFormatting>
  <conditionalFormatting sqref="BG33">
    <cfRule type="containsErrors" dxfId="145" priority="1">
      <formula>ISERROR(BG33)</formula>
    </cfRule>
  </conditionalFormatting>
  <pageMargins left="0.7" right="0.7" top="0.75" bottom="0.75" header="0.3" footer="0.3"/>
  <pageSetup paperSize="9"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tabColor theme="4" tint="0.79998168889431442"/>
  </sheetPr>
  <dimension ref="A1:BH57"/>
  <sheetViews>
    <sheetView topLeftCell="AG1" zoomScale="55" zoomScaleNormal="55" workbookViewId="0">
      <pane ySplit="1" topLeftCell="A29" activePane="bottomLeft" state="frozen"/>
      <selection activeCell="AG8" sqref="AG8:AG10"/>
      <selection pane="bottomLeft" activeCell="AG8" sqref="AG8:AG10"/>
    </sheetView>
  </sheetViews>
  <sheetFormatPr defaultRowHeight="15" x14ac:dyDescent="0.25"/>
  <cols>
    <col min="1" max="1" width="8.28515625" customWidth="1"/>
    <col min="2" max="2" width="7.28515625" customWidth="1"/>
    <col min="4" max="4" width="6.5703125" customWidth="1"/>
    <col min="7" max="7" width="24" customWidth="1"/>
    <col min="8" max="8" width="30.5703125" customWidth="1"/>
    <col min="9" max="9" width="26.5703125" customWidth="1"/>
    <col min="10" max="10" width="10.5703125" bestFit="1" customWidth="1"/>
    <col min="11" max="11" width="9.140625" customWidth="1"/>
    <col min="13" max="13" width="7.85546875" customWidth="1"/>
    <col min="17" max="17" width="19.5703125" customWidth="1"/>
    <col min="18" max="18" width="11.85546875" customWidth="1"/>
    <col min="19" max="19" width="16.5703125" customWidth="1"/>
    <col min="20" max="20" width="14.140625" customWidth="1"/>
    <col min="35" max="35" width="14" customWidth="1"/>
    <col min="36" max="37" width="12" customWidth="1"/>
    <col min="39" max="39" width="19" customWidth="1"/>
    <col min="43" max="43" width="18" style="7" customWidth="1"/>
    <col min="49" max="49" width="11.28515625" customWidth="1"/>
    <col min="52" max="52" width="12" customWidth="1"/>
    <col min="54" max="54" width="10.7109375" bestFit="1" customWidth="1"/>
    <col min="56" max="56" width="4.5703125" customWidth="1"/>
    <col min="57" max="57" width="21.28515625" customWidth="1"/>
    <col min="58" max="58" width="15.42578125" customWidth="1"/>
    <col min="59" max="59" width="19.28515625" customWidth="1"/>
    <col min="61" max="61" width="5.7109375" customWidth="1"/>
    <col min="62" max="62" width="13" customWidth="1"/>
    <col min="63" max="63" width="17.42578125" customWidth="1"/>
  </cols>
  <sheetData>
    <row r="1" spans="1:60" x14ac:dyDescent="0.25">
      <c r="A1" s="1" t="s">
        <v>0</v>
      </c>
      <c r="B1" s="2">
        <f>VLOOKUP(Stn_WL,OFFSET_A,Count_WL+1,FALSE)</f>
        <v>0.25</v>
      </c>
      <c r="C1" s="3"/>
      <c r="D1" s="4"/>
      <c r="E1" s="4" t="s">
        <v>1</v>
      </c>
      <c r="F1" s="5">
        <v>2</v>
      </c>
      <c r="G1" s="4"/>
      <c r="H1" s="4"/>
      <c r="I1" s="4"/>
      <c r="J1" s="4"/>
      <c r="K1" s="4"/>
      <c r="L1" s="4"/>
      <c r="M1" s="4"/>
      <c r="N1" s="4"/>
      <c r="O1" s="4"/>
      <c r="P1" s="4"/>
      <c r="Q1" s="4"/>
      <c r="R1" s="4"/>
      <c r="S1" s="4"/>
      <c r="V1" t="s">
        <v>2</v>
      </c>
      <c r="W1">
        <f ca="1">COUNTIF(OFFSET(Z4,,,ROUNDDOWN(Max_STN_count/2+1,0),1),TRUE)</f>
        <v>5</v>
      </c>
      <c r="X1">
        <f ca="1">COUNTIF(OFFSET(AA4,,,ROUNDDOWN(Max_STN_count/2+1,0),1),TRUE)</f>
        <v>5</v>
      </c>
      <c r="Y1">
        <f ca="1">W1-X1</f>
        <v>0</v>
      </c>
      <c r="AB1" s="6" t="s">
        <v>3</v>
      </c>
      <c r="AC1">
        <f ca="1">COUNTIF(OFFSET(Z4,ROUNDUP(Max_STN_count/2,0),,ROUNDDOWN(Max_STN_count/2,0),1),TRUE)</f>
        <v>5</v>
      </c>
      <c r="AD1">
        <f ca="1">COUNTIF(OFFSET(AA4,ROUNDUP(Max_STN_count/2,0),,ROUNDDOWN(Max_STN_count/2,0),1),TRUE)</f>
        <v>5</v>
      </c>
      <c r="AE1">
        <f ca="1">AC1-AD1</f>
        <v>0</v>
      </c>
      <c r="AG1" t="s">
        <v>4</v>
      </c>
      <c r="AH1">
        <f>COUNTIF(AG4:AG28,TRUE)</f>
        <v>17</v>
      </c>
      <c r="AI1">
        <f ca="1">COUNTIF(OFFSET(AG4,,,ROUNDUP(Max_STN_count/2,0),1),FALSE)</f>
        <v>4</v>
      </c>
      <c r="AW1">
        <f ca="1">COUNTIF(OFFSET(AG4,,,Max_STN_count,1),TRUE)</f>
        <v>17</v>
      </c>
    </row>
    <row r="2" spans="1:60" x14ac:dyDescent="0.25">
      <c r="A2" s="491" t="s">
        <v>5</v>
      </c>
      <c r="B2" s="492"/>
      <c r="C2" s="492"/>
      <c r="D2" s="492"/>
      <c r="E2" s="492"/>
      <c r="F2" s="492"/>
      <c r="G2" s="492"/>
      <c r="H2" s="492"/>
      <c r="I2" s="493"/>
      <c r="J2" s="4"/>
      <c r="K2" s="491" t="s">
        <v>6</v>
      </c>
      <c r="L2" s="492"/>
      <c r="M2" s="492"/>
      <c r="N2" s="492"/>
      <c r="O2" s="493"/>
      <c r="P2" s="4"/>
      <c r="Q2" s="8" t="s">
        <v>7</v>
      </c>
      <c r="R2" s="9" t="s">
        <v>8</v>
      </c>
      <c r="S2" s="10">
        <f>WLS</f>
        <v>2</v>
      </c>
      <c r="V2" s="11"/>
      <c r="W2" s="11"/>
      <c r="X2" s="11"/>
      <c r="Y2" s="11"/>
      <c r="Z2" s="11"/>
      <c r="AA2" s="11"/>
      <c r="AB2" s="11"/>
      <c r="AC2" s="11"/>
      <c r="AD2" s="11"/>
      <c r="AE2" s="11"/>
      <c r="AF2" s="11"/>
      <c r="AG2" s="11"/>
      <c r="AH2" s="11"/>
      <c r="AI2" s="11"/>
      <c r="AJ2" s="11"/>
      <c r="AK2" s="11"/>
      <c r="AL2" s="11"/>
      <c r="AM2" s="11"/>
      <c r="AN2" s="11"/>
      <c r="AO2" s="491" t="s">
        <v>5</v>
      </c>
      <c r="AP2" s="492"/>
      <c r="AQ2" s="492"/>
      <c r="AR2" s="492"/>
      <c r="AS2" s="492"/>
      <c r="AT2" s="492"/>
      <c r="AU2" s="492"/>
      <c r="AV2" s="492"/>
      <c r="AW2" s="493"/>
      <c r="AY2" s="491" t="s">
        <v>6</v>
      </c>
      <c r="AZ2" s="492"/>
      <c r="BA2" s="492"/>
      <c r="BB2" s="492"/>
      <c r="BC2" s="493"/>
      <c r="BE2" s="8" t="s">
        <v>7</v>
      </c>
      <c r="BF2" s="9" t="s">
        <v>8</v>
      </c>
      <c r="BG2" s="10">
        <f>WLS</f>
        <v>2</v>
      </c>
    </row>
    <row r="3" spans="1:60" x14ac:dyDescent="0.25">
      <c r="A3" s="12" t="s">
        <v>9</v>
      </c>
      <c r="B3" s="13" t="s">
        <v>10</v>
      </c>
      <c r="C3" s="14" t="s">
        <v>11</v>
      </c>
      <c r="D3" s="14" t="s">
        <v>12</v>
      </c>
      <c r="E3" s="14" t="s">
        <v>13</v>
      </c>
      <c r="F3" s="14" t="s">
        <v>14</v>
      </c>
      <c r="G3" s="14" t="s">
        <v>15</v>
      </c>
      <c r="H3" s="14" t="s">
        <v>16</v>
      </c>
      <c r="I3" s="14" t="s">
        <v>17</v>
      </c>
      <c r="J3" s="15"/>
      <c r="K3" s="14" t="s">
        <v>18</v>
      </c>
      <c r="L3" s="14" t="s">
        <v>19</v>
      </c>
      <c r="M3" s="14" t="s">
        <v>20</v>
      </c>
      <c r="N3" s="14" t="s">
        <v>21</v>
      </c>
      <c r="O3" s="14" t="s">
        <v>22</v>
      </c>
      <c r="P3" s="15"/>
      <c r="Q3" s="16" t="s">
        <v>23</v>
      </c>
      <c r="R3" s="9" t="s">
        <v>8</v>
      </c>
      <c r="S3" s="10">
        <f>STN_GAP</f>
        <v>7.31</v>
      </c>
      <c r="W3" s="17" t="s">
        <v>11</v>
      </c>
      <c r="X3" s="17"/>
      <c r="Y3" s="17"/>
      <c r="Z3" s="17" t="s">
        <v>24</v>
      </c>
      <c r="AA3" s="17"/>
      <c r="AB3" s="17"/>
      <c r="AC3" s="17"/>
      <c r="AD3" s="17"/>
      <c r="AE3" s="17"/>
      <c r="AF3" s="17"/>
      <c r="AG3" s="17" t="s">
        <v>4</v>
      </c>
      <c r="AH3" s="17"/>
      <c r="AI3" s="17" t="s">
        <v>25</v>
      </c>
      <c r="AJ3" s="17"/>
      <c r="AK3" s="17"/>
      <c r="AL3" s="17"/>
      <c r="AM3" s="18" t="s">
        <v>11</v>
      </c>
      <c r="AO3" s="12" t="s">
        <v>9</v>
      </c>
      <c r="AP3" s="13" t="s">
        <v>10</v>
      </c>
      <c r="AQ3" s="19"/>
      <c r="AR3" s="14" t="s">
        <v>12</v>
      </c>
      <c r="AS3" s="14" t="s">
        <v>13</v>
      </c>
      <c r="AT3" s="14" t="s">
        <v>14</v>
      </c>
      <c r="AU3" s="14" t="s">
        <v>15</v>
      </c>
      <c r="AV3" s="14" t="s">
        <v>16</v>
      </c>
      <c r="AW3" s="14" t="s">
        <v>17</v>
      </c>
      <c r="AY3" s="14" t="s">
        <v>18</v>
      </c>
      <c r="AZ3" s="14" t="s">
        <v>19</v>
      </c>
      <c r="BA3" s="14" t="s">
        <v>20</v>
      </c>
      <c r="BB3" s="14" t="s">
        <v>21</v>
      </c>
      <c r="BC3" s="14" t="s">
        <v>22</v>
      </c>
      <c r="BE3" s="16" t="s">
        <v>23</v>
      </c>
      <c r="BF3" s="9" t="s">
        <v>8</v>
      </c>
      <c r="BG3" s="10">
        <f>STN_GAP</f>
        <v>7.31</v>
      </c>
    </row>
    <row r="4" spans="1:60" x14ac:dyDescent="0.25">
      <c r="A4" s="20">
        <f>Tools!$AD3</f>
        <v>0</v>
      </c>
      <c r="B4" s="21">
        <f t="shared" ref="B4:B28" si="0">VLOOKUP(A4,OFFSET_A,Count_WL+1,FALSE)</f>
        <v>0</v>
      </c>
      <c r="C4" s="22">
        <f>IF(A4="  ","  ",IF(A5="  ","?",1*(A5-A4)))</f>
        <v>0.5</v>
      </c>
      <c r="D4" s="23">
        <f>IFERROR(B4*C4,"  ")</f>
        <v>0</v>
      </c>
      <c r="E4" s="24">
        <f t="shared" ref="E4:E28" si="1">IFERROR(A4-(Long_Div/2),"  ")</f>
        <v>-10</v>
      </c>
      <c r="F4" s="23">
        <f>IFERROR(D4*E4,"  ")</f>
        <v>0</v>
      </c>
      <c r="G4" s="23">
        <f>IFERROR(F4*E4,"  ")</f>
        <v>0</v>
      </c>
      <c r="H4" s="23">
        <f>IFERROR(B4^3,"  ")</f>
        <v>0</v>
      </c>
      <c r="I4" s="23">
        <f>IFERROR(H4*C4,"  ")</f>
        <v>0</v>
      </c>
      <c r="J4" s="4"/>
      <c r="K4" s="25">
        <f t="shared" ref="K4:K28" si="2">VLOOKUP(A4,AREA_TABLE,Count_WL+1,FALSE)</f>
        <v>0</v>
      </c>
      <c r="L4" s="23">
        <f>IFERROR(K4*C4,"  ")</f>
        <v>0</v>
      </c>
      <c r="M4" s="26">
        <f t="shared" ref="M4:M28" si="3">VLOOKUP(A4,MOMENT_TABLE,Count_WL+1,FALSE)</f>
        <v>0</v>
      </c>
      <c r="N4" s="27">
        <f>IFERROR(M4*C4,"  ")</f>
        <v>0</v>
      </c>
      <c r="O4" s="23">
        <f>IFERROR(L4*E4,"  ")</f>
        <v>0</v>
      </c>
      <c r="P4" s="4"/>
      <c r="Q4" s="16" t="s">
        <v>26</v>
      </c>
      <c r="R4" s="9" t="s">
        <v>8</v>
      </c>
      <c r="S4" s="28">
        <f>LBP</f>
        <v>146.19999999999999</v>
      </c>
      <c r="W4" s="29">
        <f>IF(AO4="  ","  ",IF(AO5="  ","?",1*(AO5-AO4)))</f>
        <v>0.5</v>
      </c>
      <c r="X4" s="30" t="str">
        <f t="shared" ref="X4:X28" si="4">IF(Y4=0,"--",CONCATENATE(IF(AO4=0,"-",IF(Y3=0,"-",IF(AO4-AO3=0.5,"D",IF(AO4-AO3=1,"W","-")))),IF(AO4=Long_Div,"-",IF(Y5=0,"-",IF(AO5-AO4=0.5,"D",IF(AO5-AO4=1,"W","-"))))))</f>
        <v>-D</v>
      </c>
      <c r="Y4" s="30" t="str">
        <f t="shared" ref="Y4:Y28" si="5">IF(ISNUMBER(AO4),IF(AO4=Long_Div/2,"-",IF(AND(AO4=Long_Div,$AP4=0,$AP3=0),0,IF(AND(AO4=0,$AP4=0,$AP5=0),0,IF($AO4&lt;Long_Div/2,IF(AND(Y3=0,$AP4=0,$AP5=0),0,"-"),IF(AND(Y5=0,$AP4=0,$AP3=0),0,"-")))))," ")</f>
        <v>-</v>
      </c>
      <c r="Z4" s="29" t="b">
        <f t="shared" ref="Z4:Z28" si="6">IF(ISNUMBER(AO4),IF(AO4=0,IF(AO5=0.5,TRUE,FALSE),IF(AO4=Long_Div,IF(AO3=Long_Div-0.5,TRUE,FALSE),IF(OR(AO5-AO4=0.5,AO4-AO3=0.5),TRUE,FALSE)))," ")</f>
        <v>1</v>
      </c>
      <c r="AA4" s="29" t="b">
        <f t="shared" ref="AA4:AA28" si="7">IF(ISNUMBER(AO4),IF(Y4=0," ",IF(AO4=0,IF(AO5=0.5,TRUE,"-"),IF(AO4=Long_Div,IF(AO3=Long_Div-0.5,TRUE,"-"),IF(OR(AO5-AO4=0.5,AO4-AO3=0.5),TRUE,FALSE))))," ")</f>
        <v>1</v>
      </c>
      <c r="AB4" s="29" t="str">
        <f t="shared" ref="AB4:AB28" ca="1" si="8">IF(AO4&lt;=Long_Div/2,IF(ISNUMBER(AO4),IF($X$1=0,"---",IF($X$1=1,"##",IF($X$1=2,IF(AD4=1,"141-4",IF(OR(AD4=0,AD4=2),"141-1","**")),IF(AC4&lt;=($Y$1),"--",IF(AC4&gt;$W$1,"++",IF(ISODD($X$1),IF(OR(AD4=1,AD4=$X$1),"141-1",IF(ISODD(AD4),"141-2",IF(ISEVEN(AD4),"141-4","+"))),IF(ISEVEN($X$1),IF(AD4=1,"1331-1",IF(OR(AD4=2,AD4=3),"1331-3",IF(AD4=4,IF($X$1=4,"1331-1","1331-1,141-1"),IF(AD4=$X$1,"141-1",IF(AD4&lt;=4,"??",IF(ISODD(AD4),"141-4",IF(ISEVEN(AD4),"141-2","SS"))))))))))))))," "),IF(AO4&gt;Long_Div/2,IF(ISNUMBER(AO4),IF($AD$1=0,"---",IF($AD$1=1,"##",IF($AD$1=2,IF(AD4=1,"141-4",IF(OR(AD4=0,AD4=2),"141-1","**")),IF(AC4&lt;=($AE$1),"--",IF(AC4&gt;$AC$1,"++",IF(ISODD($AD$1),IF(OR(AD4=1,AD4=$AD$1),"141-1",IF(ISODD(AD4),"141-2",IF(ISEVEN(AD4),"141-4","+"))),IF(ISEVEN($AD$1),IF(AD4=1,"1331-1",IF(OR(AD4=2,AD4=3),"1331-3",IF(AD4=4,IF($AD$1=4,"1331-1","1331-1,141-1"),IF(AD4=$AD$1,"141-1",IF(AD4&lt;=4,"??",IF(ISODD(AD4),"141-4",IF(ISEVEN(AD4),"141-2","SS"))))))))))))))," "),"@"))</f>
        <v>141-1</v>
      </c>
      <c r="AC4" s="29">
        <f>IF(ISNUMBER(AO4),IF(ISNUMBER(AO4),IF(OR(AO4=0,AO4=Long_Div),1,IF(AO4&gt;Long_Div/2,AC5+1,IF(AO4&lt;=Long_Div/2,AE3+1,"?")))," --")," ")</f>
        <v>1</v>
      </c>
      <c r="AD4" s="29">
        <f t="shared" ref="AD4:AD28" ca="1" si="9">IF(ISNUMBER(AO4),IF(AO4&gt;Long_Div/2,4-ROW(AD4)+Max_STN_count-$AE$1,ROW(AD4)-3-$Y$1)," ")</f>
        <v>1</v>
      </c>
      <c r="AE4" s="29">
        <v>1</v>
      </c>
      <c r="AF4" s="31" t="str">
        <f t="shared" ref="AF4:AF8" si="10">IF(AND(AG4=TRUE,OR(NOT(AG3=TRUE),AG3="Full")),1,IF(ISNUMBER(AF3),AF3+1," "))</f>
        <v xml:space="preserve"> </v>
      </c>
      <c r="AG4" s="29" t="b">
        <f t="shared" ref="AG4:AG28" si="11">IF(ISNUMBER(AO4),IF(AA4=" "," ",IF(AO4=0,IF(AO5-AO4=1,TRUE,FALSE),IF(AO4=Long_Div,IF(AO4-AO3=1,TRUE,FALSE),IF(OR(AO5-AO4=1,AO4-AO3=1),TRUE,FALSE))))," ")</f>
        <v>0</v>
      </c>
      <c r="AH4" s="30" t="str">
        <f t="shared" ref="AH4:AH13" si="12">IF(AND(AG4=TRUE,$AH$1=1),"141-4",IF(AG4=" ",IF(AND($AH$1=2,AF4=3),"141-1","-"),IF(OR(AG4=FALSE,AG4=" "),"-",IF(AG4=TRUE,IF(AND($AH$1=2,AF4=1),"141-1",IF(AND($AH$1=2,AF4=2),"141-4",IF(OR(ISODD($AH$1),AF4&gt;4),IF(AF4=1,"141-1",IF(OR(AB4="141-1",AB4="1331-1",AB4="1331-1,141-1"),"141-1",IF(AG5=" ","141-1",IF(OR(AH3="141-1",AH3="141-2",AH3="1331-1,141-1"),"141-4",IF(AH3="141-4","141-2","$$"))))),IF(ISEVEN($AH$1),IF(AF4=1,"1331-1",IF(OR(AF4=2,AF4=3),"1331-3",IF(AF4=4,IF($AH$1=4,"1331-1","1331-1,141-1"),"")))))))))))</f>
        <v>-</v>
      </c>
      <c r="AI4" s="30" t="str">
        <f t="shared" ref="AI4:AI28" ca="1" si="13">IF(OR(AB4="1331-1",AB4="1331-1,141-1"),"(1/2)*(3/8)",IF(AB4="1331-3","(1/2)*(9/8)",IF(AB4="141-1","(1/2)*(1/3)",IF(AB4="141-2","(1/2)*(2/3)",IF(AB4="141-4","(1/2)*(4/3)","")))))</f>
        <v>(1/2)*(1/3)</v>
      </c>
      <c r="AJ4" s="29">
        <f t="shared" ref="AJ4:AJ28" ca="1" si="14">IF(OR(AB4="1331-1",AB4="1331-1,141-1"),(1/2)*(3/8),IF(AB4="1331-3",(1/2)*(9/8),IF(AB4="141-1",(1/2)*(1/3),IF(AB4="141-2",(1/2)*(2/3),IF(AB4="141-4",(1/2)*(4/3),0)))))</f>
        <v>0.16666666666666666</v>
      </c>
      <c r="AK4" s="29" t="str">
        <f t="shared" ref="AK4:AK28" si="15">IF(AH4="1331-1,141-1","(1*3/8)+(1/3)",IF(LEFT(AH4,4)="141-",CONCATENATE(RIGHT(AH4,1),"/3"),IF(LEFT(AH4,4)="1331",CONCATENATE(RIGHT(AH4,1),"*3/8"),"")))</f>
        <v/>
      </c>
      <c r="AL4" s="29">
        <f t="shared" ref="AL4:AL28" si="16">IF(AH4="1331-1,141-1",(1*3/8)+(1/3),IF(LEFT(AH4,4)="141-",(RIGHT(AH4,1)/3),IF(LEFT(AH4,4)="1331",RIGHT(AH4,1)*3/8,0)))</f>
        <v>0</v>
      </c>
      <c r="AM4" s="32">
        <f ca="1">IF(AQ4=""," ",AJ4+AL4)</f>
        <v>0.16666666666666666</v>
      </c>
      <c r="AO4" s="20">
        <f>Tools!$AD3</f>
        <v>0</v>
      </c>
      <c r="AP4" s="33">
        <f t="shared" ref="AP4" si="17">VLOOKUP(AO4,OFFSET_A,Count_WL+1,FALSE)</f>
        <v>0</v>
      </c>
      <c r="AQ4" s="34" t="str">
        <f t="shared" ref="AQ4:AQ28" ca="1" si="18">CONCATENATE(AI4,IF(NOT(OR(AI4="",AK4="")),"+",""),AK4)</f>
        <v>(1/2)*(1/3)</v>
      </c>
      <c r="AR4" s="23">
        <f t="shared" ref="AR4:AR28" ca="1" si="19">IFERROR(AP4*AM4,"  ")</f>
        <v>0</v>
      </c>
      <c r="AS4" s="24">
        <f t="shared" ref="AS4:AS28" si="20">IFERROR(AO4-(Long_Div/2),"  ")</f>
        <v>-10</v>
      </c>
      <c r="AT4" s="23">
        <f ca="1">IFERROR(AR4*AS4,"  ")</f>
        <v>0</v>
      </c>
      <c r="AU4" s="23">
        <f ca="1">IFERROR(AT4*AS4,"  ")</f>
        <v>0</v>
      </c>
      <c r="AV4" s="23">
        <f t="shared" ref="AV4:AV28" si="21">IFERROR(AP4^3,"  ")</f>
        <v>0</v>
      </c>
      <c r="AW4" s="23">
        <f t="shared" ref="AW4:AW28" ca="1" si="22">IFERROR(AV4*AM4,"  ")</f>
        <v>0</v>
      </c>
      <c r="AY4" s="35">
        <f t="shared" ref="AY4:AY28" si="23">IF(ROW(AY4)-3&gt;Max_STN_count," ",VLOOKUP(AO4,AREA_TABLE,Count_WL+1,FALSE))</f>
        <v>0</v>
      </c>
      <c r="AZ4" s="23">
        <f t="shared" ref="AZ4:AZ7" ca="1" si="24">IFERROR(AY4*AM4,"  ")</f>
        <v>0</v>
      </c>
      <c r="BA4" s="36">
        <f t="shared" ref="BA4:BA28" si="25">IF(ROW(AY4)-3&gt;Max_STN_count," ",VLOOKUP(AO4,MOMENT_TABLE,Count_WL+1,FALSE))</f>
        <v>0</v>
      </c>
      <c r="BB4" s="27">
        <f ca="1">IFERROR(BA4*AM4,"  ")</f>
        <v>0</v>
      </c>
      <c r="BC4" s="23">
        <f ca="1">IFERROR(AZ4*AS4,"  ")</f>
        <v>0</v>
      </c>
      <c r="BE4" s="16" t="s">
        <v>26</v>
      </c>
      <c r="BF4" s="9" t="s">
        <v>8</v>
      </c>
      <c r="BG4" s="28">
        <f>LBP</f>
        <v>146.19999999999999</v>
      </c>
    </row>
    <row r="5" spans="1:60" x14ac:dyDescent="0.25">
      <c r="A5" s="20">
        <f>Tools!$AD4</f>
        <v>0.5</v>
      </c>
      <c r="B5" s="33">
        <f t="shared" si="0"/>
        <v>0.2</v>
      </c>
      <c r="C5" s="22">
        <f>IF(A5="  ","  ",IF(AND(A4="  ",A6="  "),"?",IF(A4="  ",2*(A6-A5),IF(A6="  ",2*(A5-A4),2*(A6-A4)))))</f>
        <v>2</v>
      </c>
      <c r="D5" s="23">
        <f t="shared" ref="D5:D28" si="26">IFERROR(B5*C5,"  ")</f>
        <v>0.4</v>
      </c>
      <c r="E5" s="24">
        <f t="shared" si="1"/>
        <v>-9.5</v>
      </c>
      <c r="F5" s="23">
        <f t="shared" ref="F5:F28" si="27">IFERROR(D5*E5,"  ")</f>
        <v>-3.8000000000000003</v>
      </c>
      <c r="G5" s="23">
        <f t="shared" ref="G5:G28" si="28">IFERROR(F5*E5,"  ")</f>
        <v>36.1</v>
      </c>
      <c r="H5" s="23">
        <f t="shared" ref="H5:H28" si="29">IFERROR(B5^3,"  ")</f>
        <v>8.0000000000000019E-3</v>
      </c>
      <c r="I5" s="23">
        <f t="shared" ref="I5:I28" si="30">IFERROR(H5*C5,"  ")</f>
        <v>1.6000000000000004E-2</v>
      </c>
      <c r="J5" s="4"/>
      <c r="K5" s="37">
        <f t="shared" si="2"/>
        <v>0.15833333333333333</v>
      </c>
      <c r="L5" s="23">
        <f t="shared" ref="L5:L28" si="31">IFERROR(K5*C5,"  ")</f>
        <v>0.31666666666666665</v>
      </c>
      <c r="M5" s="38">
        <f t="shared" si="3"/>
        <v>4.374999999999999E-2</v>
      </c>
      <c r="N5" s="27">
        <f t="shared" ref="N5:N28" si="32">IFERROR(M5*C5,"  ")</f>
        <v>8.7499999999999981E-2</v>
      </c>
      <c r="O5" s="23">
        <f t="shared" ref="O5:O28" si="33">IFERROR(L5*E5,"  ")</f>
        <v>-3.0083333333333333</v>
      </c>
      <c r="P5" s="4"/>
      <c r="Q5" s="8" t="s">
        <v>27</v>
      </c>
      <c r="R5" s="9" t="s">
        <v>8</v>
      </c>
      <c r="S5" s="10">
        <f>BREADTH</f>
        <v>22</v>
      </c>
      <c r="W5" s="29">
        <f>IF(AO5="  ","  ",IF(AND(AO4="  ",AO6="  "),"?",IF(AO4="  ",2*(AO6-AO5),IF(AO6="  ",2*(AO5-AO4),2*(AO6-AO4)))))</f>
        <v>2</v>
      </c>
      <c r="X5" s="30" t="str">
        <f t="shared" si="4"/>
        <v>DD</v>
      </c>
      <c r="Y5" s="30" t="str">
        <f t="shared" si="5"/>
        <v>-</v>
      </c>
      <c r="Z5" s="29" t="b">
        <f t="shared" si="6"/>
        <v>1</v>
      </c>
      <c r="AA5" s="29" t="b">
        <f t="shared" si="7"/>
        <v>1</v>
      </c>
      <c r="AB5" s="29" t="str">
        <f t="shared" ca="1" si="8"/>
        <v>141-4</v>
      </c>
      <c r="AC5" s="29">
        <f t="shared" ref="AC5:AC27" si="34">IF(ISNUMBER(AO5),IF(ISNUMBER(AO5),IF(OR(AO5=0,AO5=Long_Div),1,IF(AO5&gt;Long_Div/2,AC6+1,IF(AO5&lt;=Long_Div/2,AC4+1,"?")))," --")," ")</f>
        <v>2</v>
      </c>
      <c r="AD5" s="29">
        <f t="shared" ca="1" si="9"/>
        <v>2</v>
      </c>
      <c r="AE5" s="29">
        <v>2</v>
      </c>
      <c r="AF5" s="31" t="str">
        <f t="shared" si="10"/>
        <v xml:space="preserve"> </v>
      </c>
      <c r="AG5" s="29" t="b">
        <f t="shared" si="11"/>
        <v>0</v>
      </c>
      <c r="AH5" s="30" t="str">
        <f t="shared" si="12"/>
        <v>-</v>
      </c>
      <c r="AI5" s="30" t="str">
        <f t="shared" ca="1" si="13"/>
        <v>(1/2)*(4/3)</v>
      </c>
      <c r="AJ5" s="29">
        <f t="shared" ca="1" si="14"/>
        <v>0.66666666666666663</v>
      </c>
      <c r="AK5" s="29" t="str">
        <f t="shared" si="15"/>
        <v/>
      </c>
      <c r="AL5" s="29">
        <f t="shared" si="16"/>
        <v>0</v>
      </c>
      <c r="AM5" s="32">
        <f t="shared" ref="AM5:AM28" ca="1" si="35">IF(AQ5=""," ",AJ5+AL5)</f>
        <v>0.66666666666666663</v>
      </c>
      <c r="AO5" s="20">
        <f>Tools!$AD4</f>
        <v>0.5</v>
      </c>
      <c r="AP5" s="33">
        <f t="shared" ref="AP5:AP28" si="36">VLOOKUP(AO5,OFFSET_A,Count_WL+1,FALSE)</f>
        <v>0.2</v>
      </c>
      <c r="AQ5" s="34" t="str">
        <f t="shared" ca="1" si="18"/>
        <v>(1/2)*(4/3)</v>
      </c>
      <c r="AR5" s="23">
        <f t="shared" ca="1" si="19"/>
        <v>0.13333333333333333</v>
      </c>
      <c r="AS5" s="24">
        <f t="shared" si="20"/>
        <v>-9.5</v>
      </c>
      <c r="AT5" s="23">
        <f t="shared" ref="AT5:AT28" ca="1" si="37">IFERROR(AR5*AS5,"  ")</f>
        <v>-1.2666666666666666</v>
      </c>
      <c r="AU5" s="23">
        <f ca="1">IFERROR(AT5*AS5,"  ")</f>
        <v>12.033333333333333</v>
      </c>
      <c r="AV5" s="23">
        <f t="shared" si="21"/>
        <v>8.0000000000000019E-3</v>
      </c>
      <c r="AW5" s="23">
        <f t="shared" ca="1" si="22"/>
        <v>5.333333333333334E-3</v>
      </c>
      <c r="AY5" s="35">
        <f t="shared" si="23"/>
        <v>0.15833333333333333</v>
      </c>
      <c r="AZ5" s="23">
        <f t="shared" ca="1" si="24"/>
        <v>0.10555555555555554</v>
      </c>
      <c r="BA5" s="36">
        <f t="shared" si="25"/>
        <v>4.374999999999999E-2</v>
      </c>
      <c r="BB5" s="27">
        <f t="shared" ref="BB5:BB28" ca="1" si="38">IFERROR(BA5*AM5,"  ")</f>
        <v>2.916666666666666E-2</v>
      </c>
      <c r="BC5" s="23">
        <f t="shared" ref="BC5:BC28" ca="1" si="39">IFERROR(AZ5*AS5,"  ")</f>
        <v>-1.0027777777777775</v>
      </c>
      <c r="BE5" s="8" t="s">
        <v>27</v>
      </c>
      <c r="BF5" s="9" t="s">
        <v>8</v>
      </c>
      <c r="BG5" s="10">
        <f>BREADTH</f>
        <v>22</v>
      </c>
    </row>
    <row r="6" spans="1:60" x14ac:dyDescent="0.25">
      <c r="A6" s="20">
        <f>Tools!$AD5</f>
        <v>1</v>
      </c>
      <c r="B6" s="33">
        <f t="shared" si="0"/>
        <v>0.5</v>
      </c>
      <c r="C6" s="22">
        <f>IF(A6="  ","  ",IF(AND(A5="  ",A7="  "),"?",IF(A5="  ",1*(A7-A6),IF(A7="  ",1*(A6-A5),1*(A7-A5)))))</f>
        <v>1</v>
      </c>
      <c r="D6" s="23">
        <f t="shared" si="26"/>
        <v>0.5</v>
      </c>
      <c r="E6" s="24">
        <f t="shared" si="1"/>
        <v>-9</v>
      </c>
      <c r="F6" s="23">
        <f t="shared" si="27"/>
        <v>-4.5</v>
      </c>
      <c r="G6" s="23">
        <f t="shared" si="28"/>
        <v>40.5</v>
      </c>
      <c r="H6" s="23">
        <f t="shared" si="29"/>
        <v>0.125</v>
      </c>
      <c r="I6" s="23">
        <f t="shared" si="30"/>
        <v>0.125</v>
      </c>
      <c r="J6" s="4"/>
      <c r="K6" s="37">
        <f t="shared" si="2"/>
        <v>0.40166666666666667</v>
      </c>
      <c r="L6" s="23">
        <f t="shared" si="31"/>
        <v>0.40166666666666667</v>
      </c>
      <c r="M6" s="38">
        <f t="shared" si="3"/>
        <v>0.10875000000000001</v>
      </c>
      <c r="N6" s="27">
        <f t="shared" si="32"/>
        <v>0.10875000000000001</v>
      </c>
      <c r="O6" s="23">
        <f t="shared" si="33"/>
        <v>-3.6150000000000002</v>
      </c>
      <c r="P6" s="4"/>
      <c r="Q6" s="8" t="s">
        <v>28</v>
      </c>
      <c r="R6" s="9" t="s">
        <v>8</v>
      </c>
      <c r="S6" s="10">
        <f>DEPTH</f>
        <v>13</v>
      </c>
      <c r="W6" s="29">
        <f>IF(AO6="  ","  ",IF(AND(AO5="  ",AO7="  "),"?",IF(AO5="  ",1*(AO7-AO6),IF(AO7="  ",1*(AO6-AO5),1*(AO7-AO5)))))</f>
        <v>1</v>
      </c>
      <c r="X6" s="30" t="str">
        <f t="shared" si="4"/>
        <v>DD</v>
      </c>
      <c r="Y6" s="30" t="str">
        <f t="shared" si="5"/>
        <v>-</v>
      </c>
      <c r="Z6" s="29" t="b">
        <f t="shared" si="6"/>
        <v>1</v>
      </c>
      <c r="AA6" s="29" t="b">
        <f t="shared" si="7"/>
        <v>1</v>
      </c>
      <c r="AB6" s="29" t="str">
        <f t="shared" ca="1" si="8"/>
        <v>141-2</v>
      </c>
      <c r="AC6" s="29">
        <f t="shared" si="34"/>
        <v>3</v>
      </c>
      <c r="AD6" s="29">
        <f t="shared" ca="1" si="9"/>
        <v>3</v>
      </c>
      <c r="AE6" s="29">
        <v>3</v>
      </c>
      <c r="AF6" s="31" t="str">
        <f t="shared" si="10"/>
        <v xml:space="preserve"> </v>
      </c>
      <c r="AG6" s="29" t="b">
        <f t="shared" si="11"/>
        <v>0</v>
      </c>
      <c r="AH6" s="30" t="str">
        <f t="shared" si="12"/>
        <v>-</v>
      </c>
      <c r="AI6" s="30" t="str">
        <f t="shared" ca="1" si="13"/>
        <v>(1/2)*(2/3)</v>
      </c>
      <c r="AJ6" s="29">
        <f t="shared" ca="1" si="14"/>
        <v>0.33333333333333331</v>
      </c>
      <c r="AK6" s="29" t="str">
        <f t="shared" si="15"/>
        <v/>
      </c>
      <c r="AL6" s="29">
        <f t="shared" si="16"/>
        <v>0</v>
      </c>
      <c r="AM6" s="32">
        <f t="shared" ca="1" si="35"/>
        <v>0.33333333333333331</v>
      </c>
      <c r="AO6" s="20">
        <f>Tools!$AD5</f>
        <v>1</v>
      </c>
      <c r="AP6" s="33">
        <f t="shared" si="36"/>
        <v>0.5</v>
      </c>
      <c r="AQ6" s="34" t="str">
        <f t="shared" ca="1" si="18"/>
        <v>(1/2)*(2/3)</v>
      </c>
      <c r="AR6" s="23">
        <f t="shared" ca="1" si="19"/>
        <v>0.16666666666666666</v>
      </c>
      <c r="AS6" s="24">
        <f t="shared" si="20"/>
        <v>-9</v>
      </c>
      <c r="AT6" s="23">
        <f t="shared" ca="1" si="37"/>
        <v>-1.5</v>
      </c>
      <c r="AU6" s="23">
        <f ca="1">IFERROR(AT6*AS6,"  ")</f>
        <v>13.5</v>
      </c>
      <c r="AV6" s="23">
        <f t="shared" si="21"/>
        <v>0.125</v>
      </c>
      <c r="AW6" s="23">
        <f t="shared" ca="1" si="22"/>
        <v>4.1666666666666664E-2</v>
      </c>
      <c r="AY6" s="35">
        <f t="shared" si="23"/>
        <v>0.40166666666666667</v>
      </c>
      <c r="AZ6" s="23">
        <f t="shared" ca="1" si="24"/>
        <v>0.13388888888888889</v>
      </c>
      <c r="BA6" s="36">
        <f t="shared" si="25"/>
        <v>0.10875000000000001</v>
      </c>
      <c r="BB6" s="27">
        <f t="shared" ca="1" si="38"/>
        <v>3.6250000000000004E-2</v>
      </c>
      <c r="BC6" s="23">
        <f t="shared" ca="1" si="39"/>
        <v>-1.2050000000000001</v>
      </c>
      <c r="BE6" s="8" t="s">
        <v>28</v>
      </c>
      <c r="BF6" s="9" t="s">
        <v>8</v>
      </c>
      <c r="BG6" s="10">
        <f>DEPTH</f>
        <v>13</v>
      </c>
    </row>
    <row r="7" spans="1:60" x14ac:dyDescent="0.25">
      <c r="A7" s="20">
        <f>Tools!$AD6</f>
        <v>1.5</v>
      </c>
      <c r="B7" s="33">
        <f t="shared" si="0"/>
        <v>0.99</v>
      </c>
      <c r="C7" s="22">
        <f>IF(A7="  ","  ",IF(AND(A6="  ",A8="  "),"?",IF(A6="  ",2*(A8-A7),IF(A8="  ",2*(A7-A6),2*(A8-A6)))))</f>
        <v>2</v>
      </c>
      <c r="D7" s="23">
        <f t="shared" si="26"/>
        <v>1.98</v>
      </c>
      <c r="E7" s="24">
        <f t="shared" si="1"/>
        <v>-8.5</v>
      </c>
      <c r="F7" s="23">
        <f t="shared" si="27"/>
        <v>-16.829999999999998</v>
      </c>
      <c r="G7" s="23">
        <f t="shared" si="28"/>
        <v>143.05499999999998</v>
      </c>
      <c r="H7" s="23">
        <f t="shared" si="29"/>
        <v>0.97029899999999991</v>
      </c>
      <c r="I7" s="23">
        <f t="shared" si="30"/>
        <v>1.9405979999999998</v>
      </c>
      <c r="J7" s="4"/>
      <c r="K7" s="37">
        <f t="shared" si="2"/>
        <v>0.75583333333333336</v>
      </c>
      <c r="L7" s="23">
        <f t="shared" si="31"/>
        <v>1.5116666666666667</v>
      </c>
      <c r="M7" s="38">
        <f t="shared" si="3"/>
        <v>0.20937500000000001</v>
      </c>
      <c r="N7" s="27">
        <f t="shared" si="32"/>
        <v>0.41875000000000001</v>
      </c>
      <c r="O7" s="23">
        <f t="shared" si="33"/>
        <v>-12.849166666666667</v>
      </c>
      <c r="P7" s="4"/>
      <c r="Q7" s="39" t="s">
        <v>29</v>
      </c>
      <c r="R7" s="40" t="s">
        <v>8</v>
      </c>
      <c r="S7" s="41">
        <f>IF(MAX(B4:B28)=0," ",2*MAX(B4:B28))</f>
        <v>20.9</v>
      </c>
      <c r="W7" s="29">
        <f>IF(AO7="  ","  ",IF(AND(AO6="  ",AO8="  "),"?",IF(AO6="  ",2*(AO8-AO7),IF(AO8="  ",2*(AO7-AO6),2*(AO8-AO6)))))</f>
        <v>2</v>
      </c>
      <c r="X7" s="30" t="str">
        <f t="shared" si="4"/>
        <v>DD</v>
      </c>
      <c r="Y7" s="30" t="str">
        <f t="shared" si="5"/>
        <v>-</v>
      </c>
      <c r="Z7" s="29" t="b">
        <f t="shared" si="6"/>
        <v>1</v>
      </c>
      <c r="AA7" s="29" t="b">
        <f t="shared" si="7"/>
        <v>1</v>
      </c>
      <c r="AB7" s="29" t="str">
        <f t="shared" ca="1" si="8"/>
        <v>141-4</v>
      </c>
      <c r="AC7" s="29">
        <f t="shared" si="34"/>
        <v>4</v>
      </c>
      <c r="AD7" s="29">
        <f t="shared" ca="1" si="9"/>
        <v>4</v>
      </c>
      <c r="AE7" s="29">
        <v>4</v>
      </c>
      <c r="AF7" s="31" t="str">
        <f t="shared" si="10"/>
        <v xml:space="preserve"> </v>
      </c>
      <c r="AG7" s="29" t="b">
        <f t="shared" si="11"/>
        <v>0</v>
      </c>
      <c r="AH7" s="30" t="str">
        <f t="shared" si="12"/>
        <v>-</v>
      </c>
      <c r="AI7" s="30" t="str">
        <f t="shared" ca="1" si="13"/>
        <v>(1/2)*(4/3)</v>
      </c>
      <c r="AJ7" s="29">
        <f t="shared" ca="1" si="14"/>
        <v>0.66666666666666663</v>
      </c>
      <c r="AK7" s="29" t="str">
        <f t="shared" si="15"/>
        <v/>
      </c>
      <c r="AL7" s="29">
        <f t="shared" si="16"/>
        <v>0</v>
      </c>
      <c r="AM7" s="32">
        <f t="shared" ca="1" si="35"/>
        <v>0.66666666666666663</v>
      </c>
      <c r="AO7" s="20">
        <f>Tools!$AD6</f>
        <v>1.5</v>
      </c>
      <c r="AP7" s="33">
        <f t="shared" si="36"/>
        <v>0.99</v>
      </c>
      <c r="AQ7" s="34" t="str">
        <f t="shared" ca="1" si="18"/>
        <v>(1/2)*(4/3)</v>
      </c>
      <c r="AR7" s="23">
        <f t="shared" ca="1" si="19"/>
        <v>0.65999999999999992</v>
      </c>
      <c r="AS7" s="24">
        <f t="shared" si="20"/>
        <v>-8.5</v>
      </c>
      <c r="AT7" s="23">
        <f t="shared" ca="1" si="37"/>
        <v>-5.6099999999999994</v>
      </c>
      <c r="AU7" s="23">
        <f t="shared" ref="AU7:AU28" ca="1" si="40">IFERROR(AT7*AS7,"  ")</f>
        <v>47.684999999999995</v>
      </c>
      <c r="AV7" s="23">
        <f t="shared" si="21"/>
        <v>0.97029899999999991</v>
      </c>
      <c r="AW7" s="23">
        <f t="shared" ca="1" si="22"/>
        <v>0.64686599999999994</v>
      </c>
      <c r="AY7" s="35">
        <f t="shared" si="23"/>
        <v>0.75583333333333336</v>
      </c>
      <c r="AZ7" s="23">
        <f t="shared" ca="1" si="24"/>
        <v>0.50388888888888883</v>
      </c>
      <c r="BA7" s="36">
        <f t="shared" si="25"/>
        <v>0.20937500000000001</v>
      </c>
      <c r="BB7" s="27">
        <f t="shared" ca="1" si="38"/>
        <v>0.13958333333333334</v>
      </c>
      <c r="BC7" s="23">
        <f t="shared" ca="1" si="39"/>
        <v>-4.2830555555555554</v>
      </c>
      <c r="BE7" s="8" t="s">
        <v>29</v>
      </c>
      <c r="BF7" s="9" t="s">
        <v>8</v>
      </c>
      <c r="BG7" s="10">
        <f>IF(MAX(AP4:AP28)=0," ",2*MAX(AP4:AP28))</f>
        <v>20.9</v>
      </c>
    </row>
    <row r="8" spans="1:60" x14ac:dyDescent="0.25">
      <c r="A8" s="20">
        <f>Tools!$AD7</f>
        <v>2</v>
      </c>
      <c r="B8" s="33">
        <f t="shared" si="0"/>
        <v>1.59</v>
      </c>
      <c r="C8" s="22">
        <f>IF(A8="  ","  ",IF(AND(A7="  ",A9="  "),"?",IF(A7="  ",1*(A9-A8),IF(A9="  ",1*(A8-A7),1*(A9-A7)))))</f>
        <v>1.5</v>
      </c>
      <c r="D8" s="23">
        <f t="shared" si="26"/>
        <v>2.3850000000000002</v>
      </c>
      <c r="E8" s="24">
        <f t="shared" si="1"/>
        <v>-8</v>
      </c>
      <c r="F8" s="23">
        <f t="shared" si="27"/>
        <v>-19.080000000000002</v>
      </c>
      <c r="G8" s="23">
        <f t="shared" si="28"/>
        <v>152.64000000000001</v>
      </c>
      <c r="H8" s="23">
        <f t="shared" si="29"/>
        <v>4.0196790000000009</v>
      </c>
      <c r="I8" s="23">
        <f t="shared" si="30"/>
        <v>6.0295185000000018</v>
      </c>
      <c r="J8" s="4"/>
      <c r="K8" s="37">
        <f t="shared" si="2"/>
        <v>1.2566666666666664</v>
      </c>
      <c r="L8" s="23">
        <f t="shared" si="31"/>
        <v>1.8849999999999996</v>
      </c>
      <c r="M8" s="38">
        <f t="shared" si="3"/>
        <v>0.34291666666666665</v>
      </c>
      <c r="N8" s="27">
        <f t="shared" si="32"/>
        <v>0.51437500000000003</v>
      </c>
      <c r="O8" s="23">
        <f t="shared" si="33"/>
        <v>-15.079999999999997</v>
      </c>
      <c r="P8" s="4"/>
      <c r="Q8" s="42"/>
      <c r="R8" s="42"/>
      <c r="S8" s="42"/>
      <c r="W8" s="29">
        <f>IF(AO8="  ","  ",IF(AND(AO7="  ",AO9="  "),"?",IF(AO7="  ",1*(AO9-AO8),IF(AO9="  ",1*(AO8-AO7),1*(AO9-AO7)))))</f>
        <v>1.5</v>
      </c>
      <c r="X8" s="30" t="str">
        <f t="shared" si="4"/>
        <v>DW</v>
      </c>
      <c r="Y8" s="30" t="str">
        <f t="shared" si="5"/>
        <v>-</v>
      </c>
      <c r="Z8" s="29" t="b">
        <f t="shared" si="6"/>
        <v>1</v>
      </c>
      <c r="AA8" s="29" t="b">
        <f t="shared" si="7"/>
        <v>1</v>
      </c>
      <c r="AB8" s="29" t="str">
        <f t="shared" ca="1" si="8"/>
        <v>141-1</v>
      </c>
      <c r="AC8" s="29">
        <f t="shared" si="34"/>
        <v>5</v>
      </c>
      <c r="AD8" s="29">
        <f t="shared" ca="1" si="9"/>
        <v>5</v>
      </c>
      <c r="AE8" s="29">
        <v>5</v>
      </c>
      <c r="AF8" s="31">
        <f t="shared" si="10"/>
        <v>1</v>
      </c>
      <c r="AG8" s="29" t="b">
        <f t="shared" si="11"/>
        <v>1</v>
      </c>
      <c r="AH8" s="30" t="str">
        <f t="shared" si="12"/>
        <v>141-1</v>
      </c>
      <c r="AI8" s="30" t="str">
        <f t="shared" ca="1" si="13"/>
        <v>(1/2)*(1/3)</v>
      </c>
      <c r="AJ8" s="29">
        <f t="shared" ca="1" si="14"/>
        <v>0.16666666666666666</v>
      </c>
      <c r="AK8" s="29" t="str">
        <f t="shared" si="15"/>
        <v>1/3</v>
      </c>
      <c r="AL8" s="29">
        <f t="shared" si="16"/>
        <v>0.33333333333333331</v>
      </c>
      <c r="AM8" s="32">
        <f t="shared" ca="1" si="35"/>
        <v>0.5</v>
      </c>
      <c r="AO8" s="20">
        <f>Tools!$AD7</f>
        <v>2</v>
      </c>
      <c r="AP8" s="33">
        <f t="shared" si="36"/>
        <v>1.59</v>
      </c>
      <c r="AQ8" s="34" t="str">
        <f t="shared" ca="1" si="18"/>
        <v>(1/2)*(1/3)+1/3</v>
      </c>
      <c r="AR8" s="23">
        <f t="shared" ca="1" si="19"/>
        <v>0.79500000000000004</v>
      </c>
      <c r="AS8" s="24">
        <f t="shared" si="20"/>
        <v>-8</v>
      </c>
      <c r="AT8" s="23">
        <f t="shared" ca="1" si="37"/>
        <v>-6.36</v>
      </c>
      <c r="AU8" s="23">
        <f t="shared" ca="1" si="40"/>
        <v>50.88</v>
      </c>
      <c r="AV8" s="23">
        <f t="shared" si="21"/>
        <v>4.0196790000000009</v>
      </c>
      <c r="AW8" s="23">
        <f t="shared" ca="1" si="22"/>
        <v>2.0098395000000004</v>
      </c>
      <c r="AY8" s="35">
        <f t="shared" si="23"/>
        <v>1.2566666666666664</v>
      </c>
      <c r="AZ8" s="23">
        <f ca="1">IFERROR(AY8*AM8,"  ")</f>
        <v>0.62833333333333319</v>
      </c>
      <c r="BA8" s="36">
        <f t="shared" si="25"/>
        <v>0.34291666666666665</v>
      </c>
      <c r="BB8" s="27">
        <f t="shared" ca="1" si="38"/>
        <v>0.17145833333333332</v>
      </c>
      <c r="BC8" s="23">
        <f t="shared" ca="1" si="39"/>
        <v>-5.0266666666666655</v>
      </c>
      <c r="BE8" s="8" t="s">
        <v>30</v>
      </c>
      <c r="BF8" s="9" t="s">
        <v>8</v>
      </c>
      <c r="BG8" s="10">
        <f ca="1">LBP-AJ33</f>
        <v>146.19999999999999</v>
      </c>
      <c r="BH8" t="str">
        <f ca="1">IF(AJ33&gt;0,CONCATENATE("(LWL is assumed between stations ",$AH$31," and ",$AH$33," as offset values extreme to these stations are zeros.)"),"")</f>
        <v/>
      </c>
    </row>
    <row r="9" spans="1:60" x14ac:dyDescent="0.25">
      <c r="A9" s="20">
        <f>Tools!$AD8</f>
        <v>3</v>
      </c>
      <c r="B9" s="33">
        <f t="shared" si="0"/>
        <v>3.32</v>
      </c>
      <c r="C9" s="22">
        <f>IF(A9="  ","  ",IF(AND(A8="  ",A10="  "),"?",IF(A8="  ",2*(A10-A9),IF(A10="  ",2*(A9-A8),2*(A10-A8)))))</f>
        <v>4</v>
      </c>
      <c r="D9" s="23">
        <f t="shared" si="26"/>
        <v>13.28</v>
      </c>
      <c r="E9" s="24">
        <f t="shared" si="1"/>
        <v>-7</v>
      </c>
      <c r="F9" s="23">
        <f t="shared" si="27"/>
        <v>-92.96</v>
      </c>
      <c r="G9" s="23">
        <f t="shared" si="28"/>
        <v>650.71999999999991</v>
      </c>
      <c r="H9" s="23">
        <f t="shared" si="29"/>
        <v>36.594367999999996</v>
      </c>
      <c r="I9" s="23">
        <f t="shared" si="30"/>
        <v>146.37747199999998</v>
      </c>
      <c r="J9" s="4"/>
      <c r="K9" s="37">
        <f t="shared" si="2"/>
        <v>2.6574999999999998</v>
      </c>
      <c r="L9" s="23">
        <f t="shared" si="31"/>
        <v>10.629999999999999</v>
      </c>
      <c r="M9" s="38">
        <f t="shared" si="3"/>
        <v>0.72354166666666642</v>
      </c>
      <c r="N9" s="27">
        <f t="shared" si="32"/>
        <v>2.8941666666666657</v>
      </c>
      <c r="O9" s="23">
        <f t="shared" si="33"/>
        <v>-74.41</v>
      </c>
      <c r="P9" s="4"/>
      <c r="Q9" s="43" t="s">
        <v>31</v>
      </c>
      <c r="R9" s="44" t="s">
        <v>32</v>
      </c>
      <c r="S9" s="489" t="s">
        <v>33</v>
      </c>
      <c r="W9" s="29">
        <f>IF(AO9="  ","  ",IF(AND(AO8="  ",AO10="  "),"?",IF(AO8="  ",2*(AO10-AO9),IF(AO10="  ",2*(AO9-AO8),2*(AO10-AO8)))))</f>
        <v>4</v>
      </c>
      <c r="X9" s="30" t="str">
        <f t="shared" si="4"/>
        <v>WW</v>
      </c>
      <c r="Y9" s="30" t="str">
        <f t="shared" si="5"/>
        <v>-</v>
      </c>
      <c r="Z9" s="29" t="b">
        <f t="shared" si="6"/>
        <v>0</v>
      </c>
      <c r="AA9" s="29" t="b">
        <f t="shared" si="7"/>
        <v>0</v>
      </c>
      <c r="AB9" s="29" t="str">
        <f t="shared" ca="1" si="8"/>
        <v>++</v>
      </c>
      <c r="AC9" s="29">
        <f t="shared" si="34"/>
        <v>6</v>
      </c>
      <c r="AD9" s="29">
        <f t="shared" ca="1" si="9"/>
        <v>6</v>
      </c>
      <c r="AE9" s="29">
        <v>6</v>
      </c>
      <c r="AF9" s="31">
        <f>IF(AND(AG9=TRUE,OR(NOT(AG8=TRUE),AG8="Full")),1,IF(ISNUMBER(AF8),AF8+1," "))</f>
        <v>2</v>
      </c>
      <c r="AG9" s="29" t="b">
        <f t="shared" si="11"/>
        <v>1</v>
      </c>
      <c r="AH9" s="30" t="str">
        <f t="shared" ca="1" si="12"/>
        <v>141-4</v>
      </c>
      <c r="AI9" s="30" t="str">
        <f t="shared" ca="1" si="13"/>
        <v/>
      </c>
      <c r="AJ9" s="29">
        <f t="shared" ca="1" si="14"/>
        <v>0</v>
      </c>
      <c r="AK9" s="29" t="str">
        <f t="shared" ca="1" si="15"/>
        <v>4/3</v>
      </c>
      <c r="AL9" s="29">
        <f t="shared" ca="1" si="16"/>
        <v>1.3333333333333333</v>
      </c>
      <c r="AM9" s="32">
        <f t="shared" ca="1" si="35"/>
        <v>1.3333333333333333</v>
      </c>
      <c r="AO9" s="20">
        <f>Tools!$AD8</f>
        <v>3</v>
      </c>
      <c r="AP9" s="33">
        <f t="shared" si="36"/>
        <v>3.32</v>
      </c>
      <c r="AQ9" s="34" t="str">
        <f t="shared" ca="1" si="18"/>
        <v>4/3</v>
      </c>
      <c r="AR9" s="23">
        <f t="shared" ca="1" si="19"/>
        <v>4.4266666666666659</v>
      </c>
      <c r="AS9" s="24">
        <f t="shared" si="20"/>
        <v>-7</v>
      </c>
      <c r="AT9" s="23">
        <f t="shared" ca="1" si="37"/>
        <v>-30.986666666666661</v>
      </c>
      <c r="AU9" s="23">
        <f t="shared" ca="1" si="40"/>
        <v>216.90666666666664</v>
      </c>
      <c r="AV9" s="23">
        <f t="shared" si="21"/>
        <v>36.594367999999996</v>
      </c>
      <c r="AW9" s="23">
        <f t="shared" ca="1" si="22"/>
        <v>48.792490666666659</v>
      </c>
      <c r="AY9" s="35">
        <f t="shared" si="23"/>
        <v>2.6574999999999998</v>
      </c>
      <c r="AZ9" s="23">
        <f t="shared" ref="AZ9:AZ28" ca="1" si="41">IFERROR(AY9*AM9,"  ")</f>
        <v>3.543333333333333</v>
      </c>
      <c r="BA9" s="36">
        <f t="shared" si="25"/>
        <v>0.72354166666666642</v>
      </c>
      <c r="BB9" s="27">
        <f t="shared" ca="1" si="38"/>
        <v>0.96472222222222181</v>
      </c>
      <c r="BC9" s="23">
        <f t="shared" ca="1" si="39"/>
        <v>-24.803333333333331</v>
      </c>
    </row>
    <row r="10" spans="1:60" x14ac:dyDescent="0.25">
      <c r="A10" s="20">
        <f>Tools!$AD9</f>
        <v>4</v>
      </c>
      <c r="B10" s="33">
        <f t="shared" si="0"/>
        <v>5.33</v>
      </c>
      <c r="C10" s="22">
        <f>IF(A10="  ","  ",IF(AND(A9="  ",A11="  "),"?",IF(A9="  ",1*(A11-A10),IF(A11="  ",1*(A10-A9),1*(A11-A9)))))</f>
        <v>2</v>
      </c>
      <c r="D10" s="23">
        <f t="shared" si="26"/>
        <v>10.66</v>
      </c>
      <c r="E10" s="24">
        <f t="shared" si="1"/>
        <v>-6</v>
      </c>
      <c r="F10" s="23">
        <f t="shared" si="27"/>
        <v>-63.96</v>
      </c>
      <c r="G10" s="23">
        <f t="shared" si="28"/>
        <v>383.76</v>
      </c>
      <c r="H10" s="23">
        <f t="shared" si="29"/>
        <v>151.41943699999999</v>
      </c>
      <c r="I10" s="23">
        <f>IFERROR(H10*C10,"  ")</f>
        <v>302.83887399999998</v>
      </c>
      <c r="J10" s="4"/>
      <c r="K10" s="37">
        <f t="shared" si="2"/>
        <v>4.6150000000000002</v>
      </c>
      <c r="L10" s="23">
        <f t="shared" si="31"/>
        <v>9.23</v>
      </c>
      <c r="M10" s="38">
        <f t="shared" si="3"/>
        <v>1.2174999999999998</v>
      </c>
      <c r="N10" s="27">
        <f t="shared" si="32"/>
        <v>2.4349999999999996</v>
      </c>
      <c r="O10" s="23">
        <f t="shared" si="33"/>
        <v>-55.38</v>
      </c>
      <c r="P10" s="4"/>
      <c r="Q10" s="45"/>
      <c r="R10" s="46"/>
      <c r="S10" s="490"/>
      <c r="W10" s="29">
        <f>IF(AO10="  ","  ",IF(AND(AO9="  ",AO11="  "),"?",IF(AO9="  ",1*(AO11-AO10),IF(AO11="  ",1*(AO10-AO9),1*(AO11-AO9)))))</f>
        <v>2</v>
      </c>
      <c r="X10" s="30" t="str">
        <f t="shared" si="4"/>
        <v>WW</v>
      </c>
      <c r="Y10" s="30" t="str">
        <f t="shared" si="5"/>
        <v>-</v>
      </c>
      <c r="Z10" s="29" t="b">
        <f t="shared" si="6"/>
        <v>0</v>
      </c>
      <c r="AA10" s="29" t="b">
        <f t="shared" si="7"/>
        <v>0</v>
      </c>
      <c r="AB10" s="29" t="str">
        <f t="shared" ca="1" si="8"/>
        <v>++</v>
      </c>
      <c r="AC10" s="29">
        <f t="shared" si="34"/>
        <v>7</v>
      </c>
      <c r="AD10" s="29">
        <f t="shared" ca="1" si="9"/>
        <v>7</v>
      </c>
      <c r="AE10" s="29">
        <v>7</v>
      </c>
      <c r="AF10" s="31">
        <f t="shared" ref="AF10:AF28" si="42">IF(AND(AG10=TRUE,OR(NOT(AG9=TRUE),AG9="Full")),1,IF(ISNUMBER(AF9),AF9+1," "))</f>
        <v>3</v>
      </c>
      <c r="AG10" s="29" t="b">
        <f t="shared" si="11"/>
        <v>1</v>
      </c>
      <c r="AH10" s="30" t="str">
        <f t="shared" ca="1" si="12"/>
        <v>141-2</v>
      </c>
      <c r="AI10" s="30" t="str">
        <f t="shared" ca="1" si="13"/>
        <v/>
      </c>
      <c r="AJ10" s="29">
        <f t="shared" ca="1" si="14"/>
        <v>0</v>
      </c>
      <c r="AK10" s="29" t="str">
        <f t="shared" ca="1" si="15"/>
        <v>2/3</v>
      </c>
      <c r="AL10" s="29">
        <f t="shared" ca="1" si="16"/>
        <v>0.66666666666666663</v>
      </c>
      <c r="AM10" s="32">
        <f t="shared" ca="1" si="35"/>
        <v>0.66666666666666663</v>
      </c>
      <c r="AO10" s="20">
        <f>Tools!$AD9</f>
        <v>4</v>
      </c>
      <c r="AP10" s="33">
        <f t="shared" si="36"/>
        <v>5.33</v>
      </c>
      <c r="AQ10" s="34" t="str">
        <f t="shared" ca="1" si="18"/>
        <v>2/3</v>
      </c>
      <c r="AR10" s="23">
        <f t="shared" ca="1" si="19"/>
        <v>3.5533333333333332</v>
      </c>
      <c r="AS10" s="24">
        <f t="shared" si="20"/>
        <v>-6</v>
      </c>
      <c r="AT10" s="23">
        <f t="shared" ca="1" si="37"/>
        <v>-21.32</v>
      </c>
      <c r="AU10" s="23">
        <f ca="1">IFERROR(AT10*AS10,"  ")</f>
        <v>127.92</v>
      </c>
      <c r="AV10" s="23">
        <f t="shared" si="21"/>
        <v>151.41943699999999</v>
      </c>
      <c r="AW10" s="23">
        <f t="shared" ca="1" si="22"/>
        <v>100.94629133333332</v>
      </c>
      <c r="AY10" s="35">
        <f t="shared" si="23"/>
        <v>4.6150000000000002</v>
      </c>
      <c r="AZ10" s="23">
        <f t="shared" ca="1" si="41"/>
        <v>3.0766666666666667</v>
      </c>
      <c r="BA10" s="36">
        <f t="shared" si="25"/>
        <v>1.2174999999999998</v>
      </c>
      <c r="BB10" s="27">
        <f t="shared" ca="1" si="38"/>
        <v>0.81166666666666654</v>
      </c>
      <c r="BC10" s="23">
        <f t="shared" ca="1" si="39"/>
        <v>-18.46</v>
      </c>
      <c r="BE10" s="43" t="s">
        <v>31</v>
      </c>
      <c r="BF10" s="44" t="s">
        <v>32</v>
      </c>
      <c r="BG10" s="489" t="s">
        <v>33</v>
      </c>
    </row>
    <row r="11" spans="1:60" x14ac:dyDescent="0.25">
      <c r="A11" s="20">
        <f>Tools!$AD10</f>
        <v>5</v>
      </c>
      <c r="B11" s="33">
        <f t="shared" si="0"/>
        <v>7.26</v>
      </c>
      <c r="C11" s="22">
        <f>IF(A11="  ","  ",IF(AND(A10="  ",A12="  "),"?",IF(A10="  ",2*(A12-A11),IF(A12="  ",2*(A11-A10),2*(A12-A10)))))</f>
        <v>4</v>
      </c>
      <c r="D11" s="23">
        <f t="shared" si="26"/>
        <v>29.04</v>
      </c>
      <c r="E11" s="24">
        <f t="shared" si="1"/>
        <v>-5</v>
      </c>
      <c r="F11" s="23">
        <f t="shared" si="27"/>
        <v>-145.19999999999999</v>
      </c>
      <c r="G11" s="23">
        <f t="shared" si="28"/>
        <v>726</v>
      </c>
      <c r="H11" s="23">
        <f t="shared" si="29"/>
        <v>382.65717599999999</v>
      </c>
      <c r="I11" s="23">
        <f t="shared" si="30"/>
        <v>1530.628704</v>
      </c>
      <c r="J11" s="4"/>
      <c r="K11" s="37">
        <f t="shared" si="2"/>
        <v>6.6216666666666661</v>
      </c>
      <c r="L11" s="23">
        <f t="shared" si="31"/>
        <v>26.486666666666665</v>
      </c>
      <c r="M11" s="38">
        <f t="shared" si="3"/>
        <v>1.7120833333333332</v>
      </c>
      <c r="N11" s="27">
        <f t="shared" si="32"/>
        <v>6.8483333333333327</v>
      </c>
      <c r="O11" s="23">
        <f t="shared" si="33"/>
        <v>-132.43333333333334</v>
      </c>
      <c r="P11" s="4"/>
      <c r="Q11" s="47" t="s">
        <v>34</v>
      </c>
      <c r="R11" s="48" t="s">
        <v>35</v>
      </c>
      <c r="S11">
        <f>IF(Tools!$L$49="Use 141 rule only",I35,IF(Tools!$L$49="Use 141 and 1331 rules",BG12," "))</f>
        <v>2079.451333333333</v>
      </c>
      <c r="W11" s="29">
        <f>IF(AO11="  ","  ",IF(AND(AO10="  ",AO12="  "),"?",IF(AO10="  ",2*(AO12-AO11),IF(AO12="  ",2*(AO11-AO10),2*(AO12-AO10)))))</f>
        <v>4</v>
      </c>
      <c r="X11" s="30" t="str">
        <f t="shared" si="4"/>
        <v>WW</v>
      </c>
      <c r="Y11" s="30" t="str">
        <f t="shared" si="5"/>
        <v>-</v>
      </c>
      <c r="Z11" s="29" t="b">
        <f t="shared" si="6"/>
        <v>0</v>
      </c>
      <c r="AA11" s="29" t="b">
        <f t="shared" si="7"/>
        <v>0</v>
      </c>
      <c r="AB11" s="29" t="str">
        <f t="shared" ca="1" si="8"/>
        <v>++</v>
      </c>
      <c r="AC11" s="29">
        <f t="shared" si="34"/>
        <v>8</v>
      </c>
      <c r="AD11" s="29">
        <f t="shared" ca="1" si="9"/>
        <v>8</v>
      </c>
      <c r="AE11" s="29">
        <v>8</v>
      </c>
      <c r="AF11" s="31">
        <f t="shared" si="42"/>
        <v>4</v>
      </c>
      <c r="AG11" s="29" t="b">
        <f t="shared" si="11"/>
        <v>1</v>
      </c>
      <c r="AH11" s="30" t="str">
        <f t="shared" ca="1" si="12"/>
        <v>141-4</v>
      </c>
      <c r="AI11" s="30" t="str">
        <f t="shared" ca="1" si="13"/>
        <v/>
      </c>
      <c r="AJ11" s="29">
        <f t="shared" ca="1" si="14"/>
        <v>0</v>
      </c>
      <c r="AK11" s="29" t="str">
        <f t="shared" ca="1" si="15"/>
        <v>4/3</v>
      </c>
      <c r="AL11" s="29">
        <f t="shared" ca="1" si="16"/>
        <v>1.3333333333333333</v>
      </c>
      <c r="AM11" s="32">
        <f t="shared" ca="1" si="35"/>
        <v>1.3333333333333333</v>
      </c>
      <c r="AO11" s="20">
        <f>Tools!$AD10</f>
        <v>5</v>
      </c>
      <c r="AP11" s="33">
        <f t="shared" si="36"/>
        <v>7.26</v>
      </c>
      <c r="AQ11" s="34" t="str">
        <f t="shared" ca="1" si="18"/>
        <v>4/3</v>
      </c>
      <c r="AR11" s="23">
        <f t="shared" ca="1" si="19"/>
        <v>9.68</v>
      </c>
      <c r="AS11" s="24">
        <f t="shared" si="20"/>
        <v>-5</v>
      </c>
      <c r="AT11" s="23">
        <f t="shared" ca="1" si="37"/>
        <v>-48.4</v>
      </c>
      <c r="AU11" s="23">
        <f t="shared" ca="1" si="40"/>
        <v>242</v>
      </c>
      <c r="AV11" s="23">
        <f t="shared" si="21"/>
        <v>382.65717599999999</v>
      </c>
      <c r="AW11" s="23">
        <f t="shared" ca="1" si="22"/>
        <v>510.20956799999999</v>
      </c>
      <c r="AY11" s="35">
        <f t="shared" si="23"/>
        <v>6.6216666666666661</v>
      </c>
      <c r="AZ11" s="23">
        <f t="shared" ca="1" si="41"/>
        <v>8.828888888888887</v>
      </c>
      <c r="BA11" s="36">
        <f t="shared" si="25"/>
        <v>1.7120833333333332</v>
      </c>
      <c r="BB11" s="27">
        <f t="shared" ca="1" si="38"/>
        <v>2.2827777777777776</v>
      </c>
      <c r="BC11" s="23">
        <f ca="1">IFERROR(AZ11*AS11,"  ")</f>
        <v>-44.144444444444431</v>
      </c>
      <c r="BE11" s="45"/>
      <c r="BF11" s="46"/>
      <c r="BG11" s="490"/>
    </row>
    <row r="12" spans="1:60" x14ac:dyDescent="0.25">
      <c r="A12" s="20">
        <f>Tools!$AD11</f>
        <v>6</v>
      </c>
      <c r="B12" s="33">
        <f t="shared" si="0"/>
        <v>8.9</v>
      </c>
      <c r="C12" s="22">
        <f>IF(A12="  ","  ",IF(AND(A11="  ",A13="  "),"?",IF(A11="  ",1*(A13-A12),IF(A13="  ",1*(A12-A11),1*(A13-A11)))))</f>
        <v>2</v>
      </c>
      <c r="D12" s="23">
        <f t="shared" si="26"/>
        <v>17.8</v>
      </c>
      <c r="E12" s="24">
        <f t="shared" si="1"/>
        <v>-4</v>
      </c>
      <c r="F12" s="23">
        <f t="shared" si="27"/>
        <v>-71.2</v>
      </c>
      <c r="G12" s="23">
        <f t="shared" si="28"/>
        <v>284.8</v>
      </c>
      <c r="H12" s="23">
        <f t="shared" si="29"/>
        <v>704.96900000000005</v>
      </c>
      <c r="I12" s="23">
        <f t="shared" si="30"/>
        <v>1409.9380000000001</v>
      </c>
      <c r="J12" s="4"/>
      <c r="K12" s="37">
        <f t="shared" si="2"/>
        <v>8.4333333333333336</v>
      </c>
      <c r="L12" s="23">
        <f t="shared" si="31"/>
        <v>16.866666666666667</v>
      </c>
      <c r="M12" s="38">
        <f t="shared" si="3"/>
        <v>2.15</v>
      </c>
      <c r="N12" s="27">
        <f t="shared" si="32"/>
        <v>4.3</v>
      </c>
      <c r="O12" s="23">
        <f t="shared" si="33"/>
        <v>-67.466666666666669</v>
      </c>
      <c r="P12" s="4"/>
      <c r="Q12" s="47" t="s">
        <v>36</v>
      </c>
      <c r="R12" s="48" t="s">
        <v>37</v>
      </c>
      <c r="S12">
        <f>IF(Tools!$L$49="Use 141 rule only",I36,IF(Tools!$L$49="Use 141 and 1331 rules",BG13," "))</f>
        <v>11633.038969999996</v>
      </c>
      <c r="W12" s="29">
        <f>IF(AO12="  ","  ",IF(AND(AO11="  ",AO13="  "),"?",IF(AO11="  ",1*(AO13-AO12),IF(AO13="  ",1*(AO12-AO11),1*(AO13-AO11)))))</f>
        <v>2</v>
      </c>
      <c r="X12" s="30" t="str">
        <f t="shared" si="4"/>
        <v>WW</v>
      </c>
      <c r="Y12" s="30" t="str">
        <f t="shared" si="5"/>
        <v>-</v>
      </c>
      <c r="Z12" s="29" t="b">
        <f t="shared" si="6"/>
        <v>0</v>
      </c>
      <c r="AA12" s="29" t="b">
        <f t="shared" si="7"/>
        <v>0</v>
      </c>
      <c r="AB12" s="29" t="str">
        <f t="shared" ca="1" si="8"/>
        <v>++</v>
      </c>
      <c r="AC12" s="29">
        <f t="shared" si="34"/>
        <v>9</v>
      </c>
      <c r="AD12" s="29">
        <f t="shared" ca="1" si="9"/>
        <v>9</v>
      </c>
      <c r="AE12" s="29">
        <v>9</v>
      </c>
      <c r="AF12" s="31">
        <f t="shared" si="42"/>
        <v>5</v>
      </c>
      <c r="AG12" s="29" t="b">
        <f t="shared" si="11"/>
        <v>1</v>
      </c>
      <c r="AH12" s="30" t="str">
        <f t="shared" ca="1" si="12"/>
        <v>141-2</v>
      </c>
      <c r="AI12" s="30" t="str">
        <f t="shared" ca="1" si="13"/>
        <v/>
      </c>
      <c r="AJ12" s="29">
        <f t="shared" ca="1" si="14"/>
        <v>0</v>
      </c>
      <c r="AK12" s="29" t="str">
        <f t="shared" ca="1" si="15"/>
        <v>2/3</v>
      </c>
      <c r="AL12" s="29">
        <f t="shared" ca="1" si="16"/>
        <v>0.66666666666666663</v>
      </c>
      <c r="AM12" s="32">
        <f t="shared" ca="1" si="35"/>
        <v>0.66666666666666663</v>
      </c>
      <c r="AO12" s="20">
        <f>Tools!$AD11</f>
        <v>6</v>
      </c>
      <c r="AP12" s="33">
        <f t="shared" si="36"/>
        <v>8.9</v>
      </c>
      <c r="AQ12" s="34" t="str">
        <f t="shared" ca="1" si="18"/>
        <v>2/3</v>
      </c>
      <c r="AR12" s="23">
        <f t="shared" ca="1" si="19"/>
        <v>5.9333333333333336</v>
      </c>
      <c r="AS12" s="24">
        <f t="shared" si="20"/>
        <v>-4</v>
      </c>
      <c r="AT12" s="23">
        <f t="shared" ca="1" si="37"/>
        <v>-23.733333333333334</v>
      </c>
      <c r="AU12" s="23">
        <f t="shared" ca="1" si="40"/>
        <v>94.933333333333337</v>
      </c>
      <c r="AV12" s="23">
        <f t="shared" si="21"/>
        <v>704.96900000000005</v>
      </c>
      <c r="AW12" s="23">
        <f t="shared" ca="1" si="22"/>
        <v>469.97933333333333</v>
      </c>
      <c r="AY12" s="35">
        <f t="shared" si="23"/>
        <v>8.4333333333333336</v>
      </c>
      <c r="AZ12" s="23">
        <f t="shared" ca="1" si="41"/>
        <v>5.6222222222222218</v>
      </c>
      <c r="BA12" s="36">
        <f t="shared" si="25"/>
        <v>2.15</v>
      </c>
      <c r="BB12" s="27">
        <f t="shared" ca="1" si="38"/>
        <v>1.4333333333333331</v>
      </c>
      <c r="BC12" s="23">
        <f t="shared" ca="1" si="39"/>
        <v>-22.488888888888887</v>
      </c>
      <c r="BE12" s="47" t="s">
        <v>34</v>
      </c>
      <c r="BF12" s="48" t="s">
        <v>38</v>
      </c>
      <c r="BG12" s="49">
        <f ca="1">IF(WL_No="  ","  ",2*h*$AR$29)</f>
        <v>2079.451333333333</v>
      </c>
    </row>
    <row r="13" spans="1:60" x14ac:dyDescent="0.25">
      <c r="A13" s="20">
        <f>Tools!$AD12</f>
        <v>7</v>
      </c>
      <c r="B13" s="33">
        <f t="shared" si="0"/>
        <v>9.83</v>
      </c>
      <c r="C13" s="22">
        <f>IF(A13="  ","  ",IF(AND(A12="  ",A14="  "),"?",IF(A12="  ",2*(A14-A13),IF(A14="  ",2*(A13-A12),2*(A14-A12)))))</f>
        <v>4</v>
      </c>
      <c r="D13" s="23">
        <f t="shared" si="26"/>
        <v>39.32</v>
      </c>
      <c r="E13" s="24">
        <f t="shared" si="1"/>
        <v>-3</v>
      </c>
      <c r="F13" s="23">
        <f t="shared" si="27"/>
        <v>-117.96000000000001</v>
      </c>
      <c r="G13" s="23">
        <f t="shared" si="28"/>
        <v>353.88</v>
      </c>
      <c r="H13" s="23">
        <f t="shared" si="29"/>
        <v>949.86208699999997</v>
      </c>
      <c r="I13" s="23">
        <f t="shared" si="30"/>
        <v>3799.4483479999999</v>
      </c>
      <c r="J13" s="4"/>
      <c r="K13" s="37">
        <f t="shared" si="2"/>
        <v>9.4450000000000003</v>
      </c>
      <c r="L13" s="23">
        <f t="shared" si="31"/>
        <v>37.78</v>
      </c>
      <c r="M13" s="38">
        <f t="shared" si="3"/>
        <v>2.395833333333333</v>
      </c>
      <c r="N13" s="27">
        <f t="shared" si="32"/>
        <v>9.5833333333333321</v>
      </c>
      <c r="O13" s="23">
        <f t="shared" si="33"/>
        <v>-113.34</v>
      </c>
      <c r="P13" s="4"/>
      <c r="Q13" s="50" t="s">
        <v>39</v>
      </c>
      <c r="R13" s="48" t="s">
        <v>40</v>
      </c>
      <c r="S13">
        <f>IF(Tools!$L$49="Use 141 rule only",I37,IF(Tools!$L$49="Use 141 and 1331 rules",BG14," "))</f>
        <v>5.5942828685258954</v>
      </c>
      <c r="W13" s="29">
        <f>IF(AO13="  ","  ",IF(AND(AO12="  ",AO14="  "),"?",IF(AO12="  ",2*(AO14-AO13),IF(AO14="  ",2*(AO13-AO12),2*(AO14-AO12)))))</f>
        <v>4</v>
      </c>
      <c r="X13" s="30" t="str">
        <f t="shared" si="4"/>
        <v>WW</v>
      </c>
      <c r="Y13" s="30" t="str">
        <f t="shared" si="5"/>
        <v>-</v>
      </c>
      <c r="Z13" s="29" t="b">
        <f t="shared" si="6"/>
        <v>0</v>
      </c>
      <c r="AA13" s="29" t="b">
        <f t="shared" si="7"/>
        <v>0</v>
      </c>
      <c r="AB13" s="29" t="str">
        <f t="shared" ca="1" si="8"/>
        <v>++</v>
      </c>
      <c r="AC13" s="29">
        <f t="shared" si="34"/>
        <v>10</v>
      </c>
      <c r="AD13" s="29">
        <f t="shared" ca="1" si="9"/>
        <v>10</v>
      </c>
      <c r="AE13" s="29">
        <v>10</v>
      </c>
      <c r="AF13" s="31">
        <f t="shared" si="42"/>
        <v>6</v>
      </c>
      <c r="AG13" s="29" t="b">
        <f t="shared" si="11"/>
        <v>1</v>
      </c>
      <c r="AH13" s="30" t="str">
        <f t="shared" ca="1" si="12"/>
        <v>141-4</v>
      </c>
      <c r="AI13" s="30" t="str">
        <f t="shared" ca="1" si="13"/>
        <v/>
      </c>
      <c r="AJ13" s="29">
        <f t="shared" ca="1" si="14"/>
        <v>0</v>
      </c>
      <c r="AK13" s="29" t="str">
        <f t="shared" ca="1" si="15"/>
        <v>4/3</v>
      </c>
      <c r="AL13" s="29">
        <f t="shared" ca="1" si="16"/>
        <v>1.3333333333333333</v>
      </c>
      <c r="AM13" s="32">
        <f t="shared" ca="1" si="35"/>
        <v>1.3333333333333333</v>
      </c>
      <c r="AO13" s="20">
        <f>Tools!$AD12</f>
        <v>7</v>
      </c>
      <c r="AP13" s="33">
        <f t="shared" si="36"/>
        <v>9.83</v>
      </c>
      <c r="AQ13" s="34" t="str">
        <f t="shared" ca="1" si="18"/>
        <v>4/3</v>
      </c>
      <c r="AR13" s="23">
        <f t="shared" ca="1" si="19"/>
        <v>13.106666666666666</v>
      </c>
      <c r="AS13" s="24">
        <f t="shared" si="20"/>
        <v>-3</v>
      </c>
      <c r="AT13" s="23">
        <f t="shared" ca="1" si="37"/>
        <v>-39.319999999999993</v>
      </c>
      <c r="AU13" s="23">
        <f t="shared" ca="1" si="40"/>
        <v>117.95999999999998</v>
      </c>
      <c r="AV13" s="23">
        <f t="shared" si="21"/>
        <v>949.86208699999997</v>
      </c>
      <c r="AW13" s="23">
        <f t="shared" ca="1" si="22"/>
        <v>1266.4827826666665</v>
      </c>
      <c r="AY13" s="35">
        <f t="shared" si="23"/>
        <v>9.4450000000000003</v>
      </c>
      <c r="AZ13" s="23">
        <f t="shared" ca="1" si="41"/>
        <v>12.593333333333334</v>
      </c>
      <c r="BA13" s="36">
        <f t="shared" si="25"/>
        <v>2.395833333333333</v>
      </c>
      <c r="BB13" s="27">
        <f t="shared" ca="1" si="38"/>
        <v>3.1944444444444438</v>
      </c>
      <c r="BC13" s="23">
        <f t="shared" ca="1" si="39"/>
        <v>-37.78</v>
      </c>
      <c r="BE13" s="47" t="s">
        <v>36</v>
      </c>
      <c r="BF13" s="48" t="s">
        <v>41</v>
      </c>
      <c r="BG13" s="49">
        <f ca="1">IF(WL_No="  ","  ",2*(h^2)*$AT$29)</f>
        <v>11633.038969999994</v>
      </c>
    </row>
    <row r="14" spans="1:60" x14ac:dyDescent="0.25">
      <c r="A14" s="20">
        <f>Tools!$AD13</f>
        <v>8</v>
      </c>
      <c r="B14" s="33">
        <f t="shared" si="0"/>
        <v>10.33</v>
      </c>
      <c r="C14" s="22">
        <f>IF(A14="  ","  ",IF(AND(A13="  ",A15="  "),"?",IF(A13="  ",1*(A15-A14),IF(A15="  ",1*(A14-A13),1*(A15-A13)))))</f>
        <v>2</v>
      </c>
      <c r="D14" s="23">
        <f t="shared" si="26"/>
        <v>20.66</v>
      </c>
      <c r="E14" s="24">
        <f t="shared" si="1"/>
        <v>-2</v>
      </c>
      <c r="F14" s="23">
        <f t="shared" si="27"/>
        <v>-41.32</v>
      </c>
      <c r="G14" s="23">
        <f t="shared" si="28"/>
        <v>82.64</v>
      </c>
      <c r="H14" s="23">
        <f t="shared" si="29"/>
        <v>1102.3029369999999</v>
      </c>
      <c r="I14" s="23">
        <f t="shared" si="30"/>
        <v>2204.6058739999999</v>
      </c>
      <c r="J14" s="4"/>
      <c r="K14" s="37">
        <f t="shared" si="2"/>
        <v>9.9558333333333309</v>
      </c>
      <c r="L14" s="23">
        <f t="shared" si="31"/>
        <v>19.911666666666662</v>
      </c>
      <c r="M14" s="38">
        <f t="shared" si="3"/>
        <v>2.5235416666666666</v>
      </c>
      <c r="N14" s="27">
        <f t="shared" si="32"/>
        <v>5.0470833333333331</v>
      </c>
      <c r="O14" s="23">
        <f t="shared" si="33"/>
        <v>-39.823333333333323</v>
      </c>
      <c r="P14" s="4"/>
      <c r="Q14" s="50" t="s">
        <v>42</v>
      </c>
      <c r="R14" s="48" t="s">
        <v>43</v>
      </c>
      <c r="S14">
        <f>IF(Tools!$L$49="Use 141 rule only",I38,IF(Tools!$L$49="Use 141 and 1331 rules",BG15," "))</f>
        <v>2099700.0680290293</v>
      </c>
      <c r="W14" s="29">
        <f>IF(AO14="  ","  ",IF(AND(AO13="  ",AO15="  "),"?",IF(AO13="  ",1*(AO15-AO14),IF(AO15="  ",1*(AO14-AO13),1*(AO15-AO13)))))</f>
        <v>2</v>
      </c>
      <c r="X14" s="30" t="str">
        <f t="shared" si="4"/>
        <v>WW</v>
      </c>
      <c r="Y14" s="30" t="str">
        <f t="shared" si="5"/>
        <v>-</v>
      </c>
      <c r="Z14" s="29" t="b">
        <f t="shared" si="6"/>
        <v>0</v>
      </c>
      <c r="AA14" s="29" t="b">
        <f t="shared" si="7"/>
        <v>0</v>
      </c>
      <c r="AB14" s="29" t="str">
        <f t="shared" ca="1" si="8"/>
        <v>++</v>
      </c>
      <c r="AC14" s="29">
        <f t="shared" si="34"/>
        <v>11</v>
      </c>
      <c r="AD14" s="29">
        <f t="shared" ca="1" si="9"/>
        <v>11</v>
      </c>
      <c r="AE14" s="29">
        <v>11</v>
      </c>
      <c r="AF14" s="31">
        <f t="shared" si="42"/>
        <v>7</v>
      </c>
      <c r="AG14" s="29" t="b">
        <f t="shared" si="11"/>
        <v>1</v>
      </c>
      <c r="AH14" s="30" t="str">
        <f ca="1">IF(AND(AG14=TRUE,$AH$1=1),"141-4",IF(AG14=" ",IF(AND($AH$1=2,AF14=3),"141-1","-"),IF(OR(AG14=FALSE,AG14=" "),"-",IF(AG14=TRUE,IF(AND($AH$1=2,AF14=1),"141-1",IF(AND($AH$1=2,AF14=2),"141-4",IF(OR(ISODD($AH$1),AF14&gt;4),IF(AF14=1,"141-1",IF(OR(AB14="141-1",AB14="1331-1",AB14="1331-1,141-1"),"141-1",IF(AG15=" ","141-1",IF(OR(AH13="141-1",AH13="141-2",AH13="1331-1,141-1"),"141-4",IF(AH13="141-4","141-2","$$"))))),IF(ISEVEN($AH$1),IF(AF14=1,"1331-1",IF(OR(AF14=2,AF14=3),"1331-3",IF(AF14=4,IF($AH$1=4,"1331-1","1331-1,141-1"),"")))))))))))</f>
        <v>141-2</v>
      </c>
      <c r="AI14" s="30" t="str">
        <f t="shared" ca="1" si="13"/>
        <v/>
      </c>
      <c r="AJ14" s="29">
        <f t="shared" ca="1" si="14"/>
        <v>0</v>
      </c>
      <c r="AK14" s="29" t="str">
        <f t="shared" ca="1" si="15"/>
        <v>2/3</v>
      </c>
      <c r="AL14" s="29">
        <f t="shared" ca="1" si="16"/>
        <v>0.66666666666666663</v>
      </c>
      <c r="AM14" s="32">
        <f t="shared" ca="1" si="35"/>
        <v>0.66666666666666663</v>
      </c>
      <c r="AO14" s="20">
        <f>Tools!$AD13</f>
        <v>8</v>
      </c>
      <c r="AP14" s="33">
        <f t="shared" si="36"/>
        <v>10.33</v>
      </c>
      <c r="AQ14" s="34" t="str">
        <f t="shared" ca="1" si="18"/>
        <v>2/3</v>
      </c>
      <c r="AR14" s="23">
        <f t="shared" ca="1" si="19"/>
        <v>6.8866666666666667</v>
      </c>
      <c r="AS14" s="24">
        <f t="shared" si="20"/>
        <v>-2</v>
      </c>
      <c r="AT14" s="23">
        <f t="shared" ca="1" si="37"/>
        <v>-13.773333333333333</v>
      </c>
      <c r="AU14" s="23">
        <f t="shared" ca="1" si="40"/>
        <v>27.546666666666667</v>
      </c>
      <c r="AV14" s="23">
        <f t="shared" si="21"/>
        <v>1102.3029369999999</v>
      </c>
      <c r="AW14" s="23">
        <f t="shared" ca="1" si="22"/>
        <v>734.86862466666662</v>
      </c>
      <c r="AY14" s="35">
        <f t="shared" si="23"/>
        <v>9.9558333333333309</v>
      </c>
      <c r="AZ14" s="23">
        <f t="shared" ca="1" si="41"/>
        <v>6.6372222222222206</v>
      </c>
      <c r="BA14" s="36">
        <f t="shared" si="25"/>
        <v>2.5235416666666666</v>
      </c>
      <c r="BB14" s="27">
        <f t="shared" ca="1" si="38"/>
        <v>1.682361111111111</v>
      </c>
      <c r="BC14" s="23">
        <f t="shared" ca="1" si="39"/>
        <v>-13.274444444444441</v>
      </c>
      <c r="BE14" s="50" t="s">
        <v>39</v>
      </c>
      <c r="BF14" s="48" t="s">
        <v>40</v>
      </c>
      <c r="BG14" s="49">
        <f>IF(WL_No="  ","  ",Mmid/AWP)</f>
        <v>5.5942828685258954</v>
      </c>
    </row>
    <row r="15" spans="1:60" x14ac:dyDescent="0.25">
      <c r="A15" s="20">
        <f>Tools!$AD14</f>
        <v>9</v>
      </c>
      <c r="B15" s="33">
        <f t="shared" si="0"/>
        <v>10.45</v>
      </c>
      <c r="C15" s="22">
        <f>IF(A15="  ","  ",IF(AND(A14="  ",A16="  "),"?",IF(A14="  ",2*(A16-A15),IF(A16="  ",2*(A15-A14),2*(A16-A14)))))</f>
        <v>4</v>
      </c>
      <c r="D15" s="23">
        <f t="shared" si="26"/>
        <v>41.8</v>
      </c>
      <c r="E15" s="24">
        <f t="shared" si="1"/>
        <v>-1</v>
      </c>
      <c r="F15" s="23">
        <f t="shared" si="27"/>
        <v>-41.8</v>
      </c>
      <c r="G15" s="23">
        <f t="shared" si="28"/>
        <v>41.8</v>
      </c>
      <c r="H15" s="23">
        <f t="shared" si="29"/>
        <v>1141.1661249999997</v>
      </c>
      <c r="I15" s="23">
        <f t="shared" si="30"/>
        <v>4564.664499999999</v>
      </c>
      <c r="J15" s="4"/>
      <c r="K15" s="37">
        <f t="shared" si="2"/>
        <v>10.112499999999999</v>
      </c>
      <c r="L15" s="23">
        <f t="shared" si="31"/>
        <v>40.449999999999996</v>
      </c>
      <c r="M15" s="38">
        <f t="shared" si="3"/>
        <v>2.5593749999999997</v>
      </c>
      <c r="N15" s="27">
        <f t="shared" si="32"/>
        <v>10.237499999999999</v>
      </c>
      <c r="O15" s="23">
        <f t="shared" si="33"/>
        <v>-40.449999999999996</v>
      </c>
      <c r="P15" s="4"/>
      <c r="Q15" s="51" t="s">
        <v>44</v>
      </c>
      <c r="R15" s="48" t="s">
        <v>45</v>
      </c>
      <c r="S15">
        <f>IF(Tools!$L$49="Use 141 rule only",I39,IF(Tools!$L$49="Use 141 and 1331 rules",BG16," "))</f>
        <v>59167.853238324453</v>
      </c>
      <c r="W15" s="29">
        <f>IF(AO15="  ","  ",IF(AND(AO14="  ",AO16="  "),"?",IF(AO14="  ",2*(AO16-AO15),IF(AO16="  ",2*(AO15-AO14),2*(AO16-AO14)))))</f>
        <v>4</v>
      </c>
      <c r="X15" s="30" t="str">
        <f t="shared" si="4"/>
        <v>WW</v>
      </c>
      <c r="Y15" s="30" t="str">
        <f t="shared" si="5"/>
        <v>-</v>
      </c>
      <c r="Z15" s="29" t="b">
        <f t="shared" si="6"/>
        <v>0</v>
      </c>
      <c r="AA15" s="29" t="b">
        <f t="shared" si="7"/>
        <v>0</v>
      </c>
      <c r="AB15" s="29" t="str">
        <f t="shared" ca="1" si="8"/>
        <v>++</v>
      </c>
      <c r="AC15" s="29">
        <f t="shared" si="34"/>
        <v>12</v>
      </c>
      <c r="AD15" s="29">
        <f t="shared" ca="1" si="9"/>
        <v>12</v>
      </c>
      <c r="AE15" s="29">
        <v>12</v>
      </c>
      <c r="AF15" s="31">
        <f t="shared" si="42"/>
        <v>8</v>
      </c>
      <c r="AG15" s="29" t="b">
        <f t="shared" si="11"/>
        <v>1</v>
      </c>
      <c r="AH15" s="30" t="str">
        <f t="shared" ref="AH15:AH28" ca="1" si="43">IF(AND(AG15=TRUE,$AH$1=1),"141-4",IF(AG15=" ",IF(AND($AH$1=2,AF15=3),"141-1","-"),IF(OR(AG15=FALSE,AG15=" "),"-",IF(AG15=TRUE,IF(AND($AH$1=2,AF15=1),"141-1",IF(AND($AH$1=2,AF15=2),"141-4",IF(OR(ISODD($AH$1),AF15&gt;4),IF(AF15=1,"141-1",IF(OR(AB15="141-1",AB15="1331-1",AB15="1331-1,141-1"),"141-1",IF(AG16=" ","141-1",IF(OR(AH14="141-1",AH14="141-2",AH14="1331-1,141-1"),"141-4",IF(AH14="141-4","141-2","$$"))))),IF(ISEVEN($AH$1),IF(AF15=1,"1331-1",IF(OR(AF15=2,AF15=3),"1331-3",IF(AF15=4,IF($AH$1=4,"1331-1","1331-1,141-1"),"")))))))))))</f>
        <v>141-4</v>
      </c>
      <c r="AI15" s="30" t="str">
        <f t="shared" ca="1" si="13"/>
        <v/>
      </c>
      <c r="AJ15" s="29">
        <f t="shared" ca="1" si="14"/>
        <v>0</v>
      </c>
      <c r="AK15" s="29" t="str">
        <f t="shared" ca="1" si="15"/>
        <v>4/3</v>
      </c>
      <c r="AL15" s="29">
        <f t="shared" ca="1" si="16"/>
        <v>1.3333333333333333</v>
      </c>
      <c r="AM15" s="32">
        <f t="shared" ca="1" si="35"/>
        <v>1.3333333333333333</v>
      </c>
      <c r="AO15" s="20">
        <f>Tools!$AD14</f>
        <v>9</v>
      </c>
      <c r="AP15" s="33">
        <f t="shared" si="36"/>
        <v>10.45</v>
      </c>
      <c r="AQ15" s="34" t="str">
        <f t="shared" ca="1" si="18"/>
        <v>4/3</v>
      </c>
      <c r="AR15" s="23">
        <f t="shared" ca="1" si="19"/>
        <v>13.933333333333332</v>
      </c>
      <c r="AS15" s="24">
        <f t="shared" si="20"/>
        <v>-1</v>
      </c>
      <c r="AT15" s="23">
        <f t="shared" ca="1" si="37"/>
        <v>-13.933333333333332</v>
      </c>
      <c r="AU15" s="23">
        <f t="shared" ca="1" si="40"/>
        <v>13.933333333333332</v>
      </c>
      <c r="AV15" s="23">
        <f t="shared" si="21"/>
        <v>1141.1661249999997</v>
      </c>
      <c r="AW15" s="23">
        <f t="shared" ca="1" si="22"/>
        <v>1521.5548333333329</v>
      </c>
      <c r="AY15" s="35">
        <f t="shared" si="23"/>
        <v>10.112499999999999</v>
      </c>
      <c r="AZ15" s="23">
        <f t="shared" ca="1" si="41"/>
        <v>13.483333333333331</v>
      </c>
      <c r="BA15" s="36">
        <f t="shared" si="25"/>
        <v>2.5593749999999997</v>
      </c>
      <c r="BB15" s="27">
        <f ca="1">IFERROR(BA15*AM15,"  ")</f>
        <v>3.4124999999999996</v>
      </c>
      <c r="BC15" s="23">
        <f t="shared" ca="1" si="39"/>
        <v>-13.483333333333331</v>
      </c>
      <c r="BE15" s="50" t="s">
        <v>42</v>
      </c>
      <c r="BF15" s="48" t="s">
        <v>46</v>
      </c>
      <c r="BG15" s="49">
        <f ca="1">IF(WL_No="  ","  ",2*(h^3)*$AU$29)</f>
        <v>2099700.0680290298</v>
      </c>
    </row>
    <row r="16" spans="1:60" x14ac:dyDescent="0.25">
      <c r="A16" s="20">
        <f>Tools!$AD15</f>
        <v>10</v>
      </c>
      <c r="B16" s="33">
        <f t="shared" si="0"/>
        <v>10.45</v>
      </c>
      <c r="C16" s="22">
        <f>IF(A16="  ","  ",IF(AND(A15="  ",A17="  "),"?",IF(A15="  ",1*(A17-A16),IF(A17="  ",1*(A16-A15),1*(A17-A15)))))</f>
        <v>2</v>
      </c>
      <c r="D16" s="23">
        <f t="shared" si="26"/>
        <v>20.9</v>
      </c>
      <c r="E16" s="24">
        <f t="shared" si="1"/>
        <v>0</v>
      </c>
      <c r="F16" s="23">
        <f t="shared" si="27"/>
        <v>0</v>
      </c>
      <c r="G16" s="23">
        <f t="shared" si="28"/>
        <v>0</v>
      </c>
      <c r="H16" s="23">
        <f t="shared" si="29"/>
        <v>1141.1661249999997</v>
      </c>
      <c r="I16" s="23">
        <f t="shared" si="30"/>
        <v>2282.3322499999995</v>
      </c>
      <c r="J16" s="4"/>
      <c r="K16" s="37">
        <f t="shared" si="2"/>
        <v>10.112499999999999</v>
      </c>
      <c r="L16" s="23">
        <f t="shared" si="31"/>
        <v>20.224999999999998</v>
      </c>
      <c r="M16" s="38">
        <f t="shared" si="3"/>
        <v>2.5593749999999997</v>
      </c>
      <c r="N16" s="27">
        <f t="shared" si="32"/>
        <v>5.1187499999999995</v>
      </c>
      <c r="O16" s="23">
        <f t="shared" si="33"/>
        <v>0</v>
      </c>
      <c r="P16" s="4"/>
      <c r="Q16" s="50" t="s">
        <v>47</v>
      </c>
      <c r="R16" s="48" t="s">
        <v>48</v>
      </c>
      <c r="S16">
        <f>IF(Tools!$L$49="Use 141 rule only",I40,IF(Tools!$L$49="Use 141 and 1331 rules",BG17," "))</f>
        <v>2034621.5574102642</v>
      </c>
      <c r="W16" s="29">
        <f>IF(AO16="  ","  ",IF(AND(AO15="  ",AO17="  "),"?",IF(AO15="  ",1*(AO17-AO16),IF(AO17="  ",1*(AO16-AO15),1*(AO17-AO15)))))</f>
        <v>2</v>
      </c>
      <c r="X16" s="30" t="str">
        <f t="shared" si="4"/>
        <v>WW</v>
      </c>
      <c r="Y16" s="30" t="str">
        <f t="shared" si="5"/>
        <v>-</v>
      </c>
      <c r="Z16" s="29" t="b">
        <f t="shared" si="6"/>
        <v>0</v>
      </c>
      <c r="AA16" s="29" t="b">
        <f t="shared" si="7"/>
        <v>0</v>
      </c>
      <c r="AB16" s="29" t="str">
        <f t="shared" ca="1" si="8"/>
        <v>++</v>
      </c>
      <c r="AC16" s="29">
        <f t="shared" si="34"/>
        <v>13</v>
      </c>
      <c r="AD16" s="29">
        <f t="shared" ca="1" si="9"/>
        <v>13</v>
      </c>
      <c r="AE16" s="29">
        <v>13</v>
      </c>
      <c r="AF16" s="31">
        <f t="shared" si="42"/>
        <v>9</v>
      </c>
      <c r="AG16" s="29" t="b">
        <f t="shared" si="11"/>
        <v>1</v>
      </c>
      <c r="AH16" s="30" t="str">
        <f t="shared" ca="1" si="43"/>
        <v>141-2</v>
      </c>
      <c r="AI16" s="30" t="str">
        <f t="shared" ca="1" si="13"/>
        <v/>
      </c>
      <c r="AJ16" s="29">
        <f t="shared" ca="1" si="14"/>
        <v>0</v>
      </c>
      <c r="AK16" s="29" t="str">
        <f t="shared" ca="1" si="15"/>
        <v>2/3</v>
      </c>
      <c r="AL16" s="29">
        <f t="shared" ca="1" si="16"/>
        <v>0.66666666666666663</v>
      </c>
      <c r="AM16" s="32">
        <f t="shared" ca="1" si="35"/>
        <v>0.66666666666666663</v>
      </c>
      <c r="AO16" s="20">
        <f>Tools!$AD15</f>
        <v>10</v>
      </c>
      <c r="AP16" s="33">
        <f t="shared" si="36"/>
        <v>10.45</v>
      </c>
      <c r="AQ16" s="34" t="str">
        <f t="shared" ca="1" si="18"/>
        <v>2/3</v>
      </c>
      <c r="AR16" s="23">
        <f t="shared" ca="1" si="19"/>
        <v>6.9666666666666659</v>
      </c>
      <c r="AS16" s="24">
        <f t="shared" si="20"/>
        <v>0</v>
      </c>
      <c r="AT16" s="23">
        <f t="shared" ca="1" si="37"/>
        <v>0</v>
      </c>
      <c r="AU16" s="23">
        <f t="shared" ca="1" si="40"/>
        <v>0</v>
      </c>
      <c r="AV16" s="23">
        <f t="shared" si="21"/>
        <v>1141.1661249999997</v>
      </c>
      <c r="AW16" s="23">
        <f t="shared" ca="1" si="22"/>
        <v>760.77741666666645</v>
      </c>
      <c r="AY16" s="35">
        <f t="shared" si="23"/>
        <v>10.112499999999999</v>
      </c>
      <c r="AZ16" s="23">
        <f t="shared" ca="1" si="41"/>
        <v>6.7416666666666654</v>
      </c>
      <c r="BA16" s="36">
        <f t="shared" si="25"/>
        <v>2.5593749999999997</v>
      </c>
      <c r="BB16" s="27">
        <f t="shared" ca="1" si="38"/>
        <v>1.7062499999999998</v>
      </c>
      <c r="BC16" s="23">
        <f ca="1">IFERROR(AZ16*AS16,"  ")</f>
        <v>0</v>
      </c>
      <c r="BE16" s="51" t="s">
        <v>44</v>
      </c>
      <c r="BF16" s="48" t="s">
        <v>49</v>
      </c>
      <c r="BG16" s="49">
        <f ca="1">IF(WL_No="  ","  ",2/3*h*$AW$29)</f>
        <v>59167.853238324438</v>
      </c>
    </row>
    <row r="17" spans="1:59" x14ac:dyDescent="0.25">
      <c r="A17" s="20">
        <f>Tools!$AD16</f>
        <v>11</v>
      </c>
      <c r="B17" s="33">
        <f t="shared" si="0"/>
        <v>10.45</v>
      </c>
      <c r="C17" s="22">
        <f>IF(A17="  ","  ",IF(AND(A16="  ",A18="  "),"?",IF(A16="  ",2*(A18-A17),IF(A18="  ",2*(A17-A16),2*(A18-A16)))))</f>
        <v>4</v>
      </c>
      <c r="D17" s="23">
        <f t="shared" si="26"/>
        <v>41.8</v>
      </c>
      <c r="E17" s="24">
        <f t="shared" si="1"/>
        <v>1</v>
      </c>
      <c r="F17" s="23">
        <f t="shared" si="27"/>
        <v>41.8</v>
      </c>
      <c r="G17" s="23">
        <f t="shared" si="28"/>
        <v>41.8</v>
      </c>
      <c r="H17" s="23">
        <f t="shared" si="29"/>
        <v>1141.1661249999997</v>
      </c>
      <c r="I17" s="23">
        <f t="shared" si="30"/>
        <v>4564.664499999999</v>
      </c>
      <c r="J17" s="4"/>
      <c r="K17" s="37">
        <f t="shared" si="2"/>
        <v>10.112499999999999</v>
      </c>
      <c r="L17" s="23">
        <f t="shared" si="31"/>
        <v>40.449999999999996</v>
      </c>
      <c r="M17" s="38">
        <f t="shared" si="3"/>
        <v>2.5593749999999997</v>
      </c>
      <c r="N17" s="27">
        <f t="shared" si="32"/>
        <v>10.237499999999999</v>
      </c>
      <c r="O17" s="23">
        <f t="shared" si="33"/>
        <v>40.449999999999996</v>
      </c>
      <c r="P17" s="4"/>
      <c r="Q17" s="50" t="s">
        <v>50</v>
      </c>
      <c r="R17" s="48" t="s">
        <v>51</v>
      </c>
      <c r="S17">
        <f>IF(Tools!$L$49="Use 141 rule only",I41,IF(Tools!$L$49="Use 141 and 1331 rules",BG18," "))</f>
        <v>978.04449583333303</v>
      </c>
      <c r="W17" s="29">
        <f>IF(AO17="  ","  ",IF(AND(AO16="  ",AO18="  "),"?",IF(AO16="  ",2*(AO18-AO17),IF(AO18="  ",2*(AO17-AO16),2*(AO18-AO16)))))</f>
        <v>4</v>
      </c>
      <c r="X17" s="30" t="str">
        <f t="shared" si="4"/>
        <v>WW</v>
      </c>
      <c r="Y17" s="30" t="str">
        <f t="shared" si="5"/>
        <v>-</v>
      </c>
      <c r="Z17" s="29" t="b">
        <f t="shared" si="6"/>
        <v>0</v>
      </c>
      <c r="AA17" s="29" t="b">
        <f t="shared" si="7"/>
        <v>0</v>
      </c>
      <c r="AB17" s="29" t="str">
        <f t="shared" ca="1" si="8"/>
        <v>++</v>
      </c>
      <c r="AC17" s="29">
        <f t="shared" si="34"/>
        <v>12</v>
      </c>
      <c r="AD17" s="29">
        <f t="shared" ca="1" si="9"/>
        <v>12</v>
      </c>
      <c r="AE17" s="29">
        <v>14</v>
      </c>
      <c r="AF17" s="31">
        <f t="shared" si="42"/>
        <v>10</v>
      </c>
      <c r="AG17" s="29" t="b">
        <f t="shared" si="11"/>
        <v>1</v>
      </c>
      <c r="AH17" s="30" t="str">
        <f t="shared" ca="1" si="43"/>
        <v>141-4</v>
      </c>
      <c r="AI17" s="30" t="str">
        <f t="shared" ca="1" si="13"/>
        <v/>
      </c>
      <c r="AJ17" s="29">
        <f t="shared" ca="1" si="14"/>
        <v>0</v>
      </c>
      <c r="AK17" s="29" t="str">
        <f t="shared" ca="1" si="15"/>
        <v>4/3</v>
      </c>
      <c r="AL17" s="29">
        <f t="shared" ca="1" si="16"/>
        <v>1.3333333333333333</v>
      </c>
      <c r="AM17" s="32">
        <f t="shared" ca="1" si="35"/>
        <v>1.3333333333333333</v>
      </c>
      <c r="AO17" s="20">
        <f>Tools!$AD16</f>
        <v>11</v>
      </c>
      <c r="AP17" s="33">
        <f t="shared" si="36"/>
        <v>10.45</v>
      </c>
      <c r="AQ17" s="34" t="str">
        <f t="shared" ca="1" si="18"/>
        <v>4/3</v>
      </c>
      <c r="AR17" s="23">
        <f t="shared" ca="1" si="19"/>
        <v>13.933333333333332</v>
      </c>
      <c r="AS17" s="24">
        <f t="shared" si="20"/>
        <v>1</v>
      </c>
      <c r="AT17" s="23">
        <f t="shared" ca="1" si="37"/>
        <v>13.933333333333332</v>
      </c>
      <c r="AU17" s="23">
        <f t="shared" ca="1" si="40"/>
        <v>13.933333333333332</v>
      </c>
      <c r="AV17" s="23">
        <f t="shared" si="21"/>
        <v>1141.1661249999997</v>
      </c>
      <c r="AW17" s="23">
        <f t="shared" ca="1" si="22"/>
        <v>1521.5548333333329</v>
      </c>
      <c r="AY17" s="35">
        <f t="shared" si="23"/>
        <v>10.112499999999999</v>
      </c>
      <c r="AZ17" s="23">
        <f t="shared" ca="1" si="41"/>
        <v>13.483333333333331</v>
      </c>
      <c r="BA17" s="36">
        <f t="shared" si="25"/>
        <v>2.5593749999999997</v>
      </c>
      <c r="BB17" s="27">
        <f t="shared" ca="1" si="38"/>
        <v>3.4124999999999996</v>
      </c>
      <c r="BC17" s="23">
        <f t="shared" ca="1" si="39"/>
        <v>13.483333333333331</v>
      </c>
      <c r="BE17" s="50" t="s">
        <v>47</v>
      </c>
      <c r="BF17" s="48" t="s">
        <v>48</v>
      </c>
      <c r="BG17" s="49">
        <f>IF(WL_No="  ","  ",IL-AWP*(LCF^2))</f>
        <v>2034621.5574102642</v>
      </c>
    </row>
    <row r="18" spans="1:59" x14ac:dyDescent="0.25">
      <c r="A18" s="20">
        <f>Tools!$AD17</f>
        <v>12</v>
      </c>
      <c r="B18" s="33">
        <f t="shared" si="0"/>
        <v>10.45</v>
      </c>
      <c r="C18" s="22">
        <f>IF(A18="  ","  ",IF(AND(A17="  ",A19="  "),"?",IF(A17="  ",1*(A19-A18),IF(A19="  ",1*(A18-A17),1*(A19-A17)))))</f>
        <v>2</v>
      </c>
      <c r="D18" s="23">
        <f t="shared" si="26"/>
        <v>20.9</v>
      </c>
      <c r="E18" s="24">
        <f t="shared" si="1"/>
        <v>2</v>
      </c>
      <c r="F18" s="23">
        <f t="shared" si="27"/>
        <v>41.8</v>
      </c>
      <c r="G18" s="23">
        <f t="shared" si="28"/>
        <v>83.6</v>
      </c>
      <c r="H18" s="23">
        <f t="shared" si="29"/>
        <v>1141.1661249999997</v>
      </c>
      <c r="I18" s="23">
        <f t="shared" si="30"/>
        <v>2282.3322499999995</v>
      </c>
      <c r="J18" s="4"/>
      <c r="K18" s="37">
        <f t="shared" si="2"/>
        <v>10.112499999999999</v>
      </c>
      <c r="L18" s="23">
        <f t="shared" si="31"/>
        <v>20.224999999999998</v>
      </c>
      <c r="M18" s="38">
        <f t="shared" si="3"/>
        <v>2.5593749999999997</v>
      </c>
      <c r="N18" s="27">
        <f t="shared" si="32"/>
        <v>5.1187499999999995</v>
      </c>
      <c r="O18" s="23">
        <f t="shared" si="33"/>
        <v>40.449999999999996</v>
      </c>
      <c r="P18" s="4"/>
      <c r="Q18" s="50" t="s">
        <v>52</v>
      </c>
      <c r="R18" s="48" t="s">
        <v>53</v>
      </c>
      <c r="S18">
        <f>IF(Tools!$L$49="Use 141 rule only",I42,IF(Tools!$L$49="Use 141 and 1331 rules",BG19," "))</f>
        <v>1008.5105818785412</v>
      </c>
      <c r="W18" s="29">
        <f>IF(AO18="  ","  ",IF(AND(AO17="  ",AO19="  "),"?",IF(AO17="  ",1*(AO19-AO18),IF(AO19="  ",1*(AO18-AO17),1*(AO19-AO17)))))</f>
        <v>2</v>
      </c>
      <c r="X18" s="30" t="str">
        <f t="shared" si="4"/>
        <v>WW</v>
      </c>
      <c r="Y18" s="30" t="str">
        <f t="shared" si="5"/>
        <v>-</v>
      </c>
      <c r="Z18" s="29" t="b">
        <f t="shared" si="6"/>
        <v>0</v>
      </c>
      <c r="AA18" s="29" t="b">
        <f t="shared" si="7"/>
        <v>0</v>
      </c>
      <c r="AB18" s="29" t="str">
        <f t="shared" ca="1" si="8"/>
        <v>++</v>
      </c>
      <c r="AC18" s="29">
        <f t="shared" si="34"/>
        <v>11</v>
      </c>
      <c r="AD18" s="29">
        <f t="shared" ca="1" si="9"/>
        <v>11</v>
      </c>
      <c r="AE18" s="29">
        <v>15</v>
      </c>
      <c r="AF18" s="31">
        <f t="shared" si="42"/>
        <v>11</v>
      </c>
      <c r="AG18" s="29" t="b">
        <f t="shared" si="11"/>
        <v>1</v>
      </c>
      <c r="AH18" s="30" t="str">
        <f t="shared" ca="1" si="43"/>
        <v>141-2</v>
      </c>
      <c r="AI18" s="30" t="str">
        <f t="shared" ca="1" si="13"/>
        <v/>
      </c>
      <c r="AJ18" s="29">
        <f t="shared" ca="1" si="14"/>
        <v>0</v>
      </c>
      <c r="AK18" s="29" t="str">
        <f t="shared" ca="1" si="15"/>
        <v>2/3</v>
      </c>
      <c r="AL18" s="29">
        <f t="shared" ca="1" si="16"/>
        <v>0.66666666666666663</v>
      </c>
      <c r="AM18" s="32">
        <f t="shared" ca="1" si="35"/>
        <v>0.66666666666666663</v>
      </c>
      <c r="AO18" s="20">
        <f>Tools!$AD17</f>
        <v>12</v>
      </c>
      <c r="AP18" s="33">
        <f t="shared" si="36"/>
        <v>10.45</v>
      </c>
      <c r="AQ18" s="34" t="str">
        <f t="shared" ca="1" si="18"/>
        <v>2/3</v>
      </c>
      <c r="AR18" s="23">
        <f t="shared" ca="1" si="19"/>
        <v>6.9666666666666659</v>
      </c>
      <c r="AS18" s="24">
        <f t="shared" si="20"/>
        <v>2</v>
      </c>
      <c r="AT18" s="23">
        <f t="shared" ca="1" si="37"/>
        <v>13.933333333333332</v>
      </c>
      <c r="AU18" s="23">
        <f t="shared" ca="1" si="40"/>
        <v>27.866666666666664</v>
      </c>
      <c r="AV18" s="23">
        <f t="shared" si="21"/>
        <v>1141.1661249999997</v>
      </c>
      <c r="AW18" s="23">
        <f t="shared" ca="1" si="22"/>
        <v>760.77741666666645</v>
      </c>
      <c r="AY18" s="35">
        <f t="shared" si="23"/>
        <v>10.112499999999999</v>
      </c>
      <c r="AZ18" s="23">
        <f t="shared" ca="1" si="41"/>
        <v>6.7416666666666654</v>
      </c>
      <c r="BA18" s="36">
        <f t="shared" si="25"/>
        <v>2.5593749999999997</v>
      </c>
      <c r="BB18" s="27">
        <f t="shared" ca="1" si="38"/>
        <v>1.7062499999999998</v>
      </c>
      <c r="BC18" s="23">
        <f t="shared" ca="1" si="39"/>
        <v>13.483333333333331</v>
      </c>
      <c r="BE18" s="50" t="s">
        <v>50</v>
      </c>
      <c r="BF18" s="48" t="s">
        <v>54</v>
      </c>
      <c r="BG18" s="49">
        <f ca="1">IF(WL_No="  ","  ",h*$AZ$29)</f>
        <v>978.04449583333337</v>
      </c>
    </row>
    <row r="19" spans="1:59" x14ac:dyDescent="0.25">
      <c r="A19" s="20">
        <f>Tools!$AD18</f>
        <v>13</v>
      </c>
      <c r="B19" s="33">
        <f t="shared" si="0"/>
        <v>10.45</v>
      </c>
      <c r="C19" s="22">
        <f>IF(A19="  ","  ",IF(AND(A18="  ",A20="  "),"?",IF(A18="  ",2*(A20-A19),IF(A20="  ",2*(A19-A18),2*(A20-A18)))))</f>
        <v>4</v>
      </c>
      <c r="D19" s="23">
        <f t="shared" si="26"/>
        <v>41.8</v>
      </c>
      <c r="E19" s="24">
        <f t="shared" si="1"/>
        <v>3</v>
      </c>
      <c r="F19" s="23">
        <f t="shared" si="27"/>
        <v>125.39999999999999</v>
      </c>
      <c r="G19" s="23">
        <f t="shared" si="28"/>
        <v>376.2</v>
      </c>
      <c r="H19" s="23">
        <f t="shared" si="29"/>
        <v>1141.1661249999997</v>
      </c>
      <c r="I19" s="23">
        <f t="shared" si="30"/>
        <v>4564.664499999999</v>
      </c>
      <c r="J19" s="4"/>
      <c r="K19" s="37">
        <f t="shared" si="2"/>
        <v>10.112499999999999</v>
      </c>
      <c r="L19" s="23">
        <f t="shared" si="31"/>
        <v>40.449999999999996</v>
      </c>
      <c r="M19" s="38">
        <f t="shared" si="3"/>
        <v>2.5593749999999997</v>
      </c>
      <c r="N19" s="27">
        <f t="shared" si="32"/>
        <v>10.237499999999999</v>
      </c>
      <c r="O19" s="23">
        <f t="shared" si="33"/>
        <v>121.35</v>
      </c>
      <c r="P19" s="4"/>
      <c r="Q19" s="50" t="s">
        <v>55</v>
      </c>
      <c r="R19" s="48" t="s">
        <v>56</v>
      </c>
      <c r="S19">
        <f>IF(Tools!$L$49="Use 141 rule only",I43,IF(Tools!$L$49="Use 141 and 1331 rules",BG20," "))</f>
        <v>250.07992256944442</v>
      </c>
      <c r="W19" s="29">
        <f>IF(AO19="  ","  ",IF(AND(AO18="  ",AO20="  "),"?",IF(AO18="  ",2*(AO20-AO19),IF(AO20="  ",2*(AO19-AO18),2*(AO20-AO18)))))</f>
        <v>4</v>
      </c>
      <c r="X19" s="30" t="str">
        <f t="shared" si="4"/>
        <v>WW</v>
      </c>
      <c r="Y19" s="30" t="str">
        <f t="shared" si="5"/>
        <v>-</v>
      </c>
      <c r="Z19" s="29" t="b">
        <f t="shared" si="6"/>
        <v>0</v>
      </c>
      <c r="AA19" s="29" t="b">
        <f t="shared" si="7"/>
        <v>0</v>
      </c>
      <c r="AB19" s="29" t="str">
        <f t="shared" ca="1" si="8"/>
        <v>++</v>
      </c>
      <c r="AC19" s="29">
        <f t="shared" si="34"/>
        <v>10</v>
      </c>
      <c r="AD19" s="29">
        <f t="shared" ca="1" si="9"/>
        <v>10</v>
      </c>
      <c r="AE19" s="29">
        <v>16</v>
      </c>
      <c r="AF19" s="31">
        <f t="shared" si="42"/>
        <v>12</v>
      </c>
      <c r="AG19" s="29" t="b">
        <f t="shared" si="11"/>
        <v>1</v>
      </c>
      <c r="AH19" s="30" t="str">
        <f t="shared" ca="1" si="43"/>
        <v>141-4</v>
      </c>
      <c r="AI19" s="30" t="str">
        <f t="shared" ca="1" si="13"/>
        <v/>
      </c>
      <c r="AJ19" s="29">
        <f t="shared" ca="1" si="14"/>
        <v>0</v>
      </c>
      <c r="AK19" s="29" t="str">
        <f t="shared" ca="1" si="15"/>
        <v>4/3</v>
      </c>
      <c r="AL19" s="29">
        <f t="shared" ca="1" si="16"/>
        <v>1.3333333333333333</v>
      </c>
      <c r="AM19" s="32">
        <f t="shared" ca="1" si="35"/>
        <v>1.3333333333333333</v>
      </c>
      <c r="AO19" s="20">
        <f>Tools!$AD18</f>
        <v>13</v>
      </c>
      <c r="AP19" s="33">
        <f t="shared" si="36"/>
        <v>10.45</v>
      </c>
      <c r="AQ19" s="34" t="str">
        <f t="shared" ca="1" si="18"/>
        <v>4/3</v>
      </c>
      <c r="AR19" s="23">
        <f t="shared" ca="1" si="19"/>
        <v>13.933333333333332</v>
      </c>
      <c r="AS19" s="24">
        <f t="shared" si="20"/>
        <v>3</v>
      </c>
      <c r="AT19" s="23">
        <f t="shared" ca="1" si="37"/>
        <v>41.8</v>
      </c>
      <c r="AU19" s="23">
        <f t="shared" ca="1" si="40"/>
        <v>125.39999999999999</v>
      </c>
      <c r="AV19" s="23">
        <f t="shared" si="21"/>
        <v>1141.1661249999997</v>
      </c>
      <c r="AW19" s="23">
        <f t="shared" ca="1" si="22"/>
        <v>1521.5548333333329</v>
      </c>
      <c r="AY19" s="35">
        <f t="shared" si="23"/>
        <v>10.112499999999999</v>
      </c>
      <c r="AZ19" s="23">
        <f t="shared" ca="1" si="41"/>
        <v>13.483333333333331</v>
      </c>
      <c r="BA19" s="36">
        <f t="shared" si="25"/>
        <v>2.5593749999999997</v>
      </c>
      <c r="BB19" s="27">
        <f t="shared" ca="1" si="38"/>
        <v>3.4124999999999996</v>
      </c>
      <c r="BC19" s="23">
        <f t="shared" ca="1" si="39"/>
        <v>40.449999999999989</v>
      </c>
      <c r="BE19" s="50" t="s">
        <v>52</v>
      </c>
      <c r="BF19" s="48" t="s">
        <v>53</v>
      </c>
      <c r="BG19" s="49">
        <f>IF(WL_No="  ","  ",V_Disp*1.025*1.006)</f>
        <v>1008.5105818785412</v>
      </c>
    </row>
    <row r="20" spans="1:59" x14ac:dyDescent="0.25">
      <c r="A20" s="20">
        <f>Tools!$AD19</f>
        <v>14</v>
      </c>
      <c r="B20" s="33">
        <f t="shared" si="0"/>
        <v>10.32</v>
      </c>
      <c r="C20" s="22">
        <f>IF(A20="  ","  ",IF(AND(A19="  ",A21="  "),"?",IF(A19="  ",1*(A21-A20),IF(A21="  ",1*(A20-A19),1*(A21-A19)))))</f>
        <v>2</v>
      </c>
      <c r="D20" s="23">
        <f t="shared" si="26"/>
        <v>20.64</v>
      </c>
      <c r="E20" s="24">
        <f t="shared" si="1"/>
        <v>4</v>
      </c>
      <c r="F20" s="23">
        <f t="shared" si="27"/>
        <v>82.56</v>
      </c>
      <c r="G20" s="23">
        <f t="shared" si="28"/>
        <v>330.24</v>
      </c>
      <c r="H20" s="23">
        <f t="shared" si="29"/>
        <v>1099.1047680000001</v>
      </c>
      <c r="I20" s="23">
        <f t="shared" si="30"/>
        <v>2198.2095360000003</v>
      </c>
      <c r="J20" s="4"/>
      <c r="K20" s="37">
        <f t="shared" si="2"/>
        <v>9.9499999999999993</v>
      </c>
      <c r="L20" s="23">
        <f t="shared" si="31"/>
        <v>19.899999999999999</v>
      </c>
      <c r="M20" s="38">
        <f t="shared" si="3"/>
        <v>2.5216666666666665</v>
      </c>
      <c r="N20" s="27">
        <f t="shared" si="32"/>
        <v>5.043333333333333</v>
      </c>
      <c r="O20" s="23">
        <f t="shared" si="33"/>
        <v>79.599999999999994</v>
      </c>
      <c r="P20" s="4"/>
      <c r="Q20" s="50" t="s">
        <v>57</v>
      </c>
      <c r="R20" s="48" t="s">
        <v>58</v>
      </c>
      <c r="S20">
        <f>IF(Tools!$L$49="Use 141 rule only",I44,IF(Tools!$L$49="Use 141 and 1331 rules",BG21," "))</f>
        <v>5679.4113584166626</v>
      </c>
      <c r="W20" s="29">
        <f>IF(AO20="  ","  ",IF(AND(AO19="  ",AO21="  "),"?",IF(AO19="  ",1*(AO21-AO20),IF(AO21="  ",1*(AO20-AO19),1*(AO21-AO19)))))</f>
        <v>2</v>
      </c>
      <c r="X20" s="30" t="str">
        <f t="shared" si="4"/>
        <v>WW</v>
      </c>
      <c r="Y20" s="30" t="str">
        <f t="shared" si="5"/>
        <v>-</v>
      </c>
      <c r="Z20" s="29" t="b">
        <f t="shared" si="6"/>
        <v>0</v>
      </c>
      <c r="AA20" s="29" t="b">
        <f t="shared" si="7"/>
        <v>0</v>
      </c>
      <c r="AB20" s="29" t="str">
        <f t="shared" ca="1" si="8"/>
        <v>++</v>
      </c>
      <c r="AC20" s="29">
        <f t="shared" si="34"/>
        <v>9</v>
      </c>
      <c r="AD20" s="29">
        <f t="shared" ca="1" si="9"/>
        <v>9</v>
      </c>
      <c r="AE20" s="29">
        <v>17</v>
      </c>
      <c r="AF20" s="31">
        <f t="shared" si="42"/>
        <v>13</v>
      </c>
      <c r="AG20" s="29" t="b">
        <f t="shared" si="11"/>
        <v>1</v>
      </c>
      <c r="AH20" s="30" t="str">
        <f t="shared" ca="1" si="43"/>
        <v>141-2</v>
      </c>
      <c r="AI20" s="30" t="str">
        <f t="shared" ca="1" si="13"/>
        <v/>
      </c>
      <c r="AJ20" s="29">
        <f t="shared" ca="1" si="14"/>
        <v>0</v>
      </c>
      <c r="AK20" s="29" t="str">
        <f t="shared" ca="1" si="15"/>
        <v>2/3</v>
      </c>
      <c r="AL20" s="29">
        <f t="shared" ca="1" si="16"/>
        <v>0.66666666666666663</v>
      </c>
      <c r="AM20" s="32">
        <f t="shared" ca="1" si="35"/>
        <v>0.66666666666666663</v>
      </c>
      <c r="AO20" s="20">
        <f>Tools!$AD19</f>
        <v>14</v>
      </c>
      <c r="AP20" s="33">
        <f t="shared" si="36"/>
        <v>10.32</v>
      </c>
      <c r="AQ20" s="34" t="str">
        <f t="shared" ca="1" si="18"/>
        <v>2/3</v>
      </c>
      <c r="AR20" s="23">
        <f t="shared" ca="1" si="19"/>
        <v>6.88</v>
      </c>
      <c r="AS20" s="24">
        <f t="shared" si="20"/>
        <v>4</v>
      </c>
      <c r="AT20" s="23">
        <f t="shared" ca="1" si="37"/>
        <v>27.52</v>
      </c>
      <c r="AU20" s="23">
        <f t="shared" ca="1" si="40"/>
        <v>110.08</v>
      </c>
      <c r="AV20" s="23">
        <f t="shared" si="21"/>
        <v>1099.1047680000001</v>
      </c>
      <c r="AW20" s="23">
        <f t="shared" ca="1" si="22"/>
        <v>732.73651200000006</v>
      </c>
      <c r="AY20" s="35">
        <f t="shared" si="23"/>
        <v>9.9499999999999993</v>
      </c>
      <c r="AZ20" s="23">
        <f t="shared" ca="1" si="41"/>
        <v>6.6333333333333329</v>
      </c>
      <c r="BA20" s="36">
        <f t="shared" si="25"/>
        <v>2.5216666666666665</v>
      </c>
      <c r="BB20" s="27">
        <f t="shared" ca="1" si="38"/>
        <v>1.681111111111111</v>
      </c>
      <c r="BC20" s="23">
        <f t="shared" ca="1" si="39"/>
        <v>26.533333333333331</v>
      </c>
      <c r="BE20" s="50" t="s">
        <v>55</v>
      </c>
      <c r="BF20" s="48" t="s">
        <v>59</v>
      </c>
      <c r="BG20" s="49">
        <f ca="1">IF(WL_No="  ","  ",h*$BB$29)</f>
        <v>250.07992256944434</v>
      </c>
    </row>
    <row r="21" spans="1:59" x14ac:dyDescent="0.25">
      <c r="A21" s="20">
        <f>Tools!$AD20</f>
        <v>15</v>
      </c>
      <c r="B21" s="33">
        <f t="shared" si="0"/>
        <v>9.76</v>
      </c>
      <c r="C21" s="22">
        <f>IF(A21="  ","  ",IF(AND(A20="  ",A22="  "),"?",IF(A20="  ",2*(A22-A21),IF(A22="  ",2*(A21-A20),2*(A22-A20)))))</f>
        <v>4</v>
      </c>
      <c r="D21" s="23">
        <f t="shared" si="26"/>
        <v>39.04</v>
      </c>
      <c r="E21" s="24">
        <f t="shared" si="1"/>
        <v>5</v>
      </c>
      <c r="F21" s="23">
        <f t="shared" si="27"/>
        <v>195.2</v>
      </c>
      <c r="G21" s="23">
        <f t="shared" si="28"/>
        <v>976</v>
      </c>
      <c r="H21" s="23">
        <f t="shared" si="29"/>
        <v>929.71417599999995</v>
      </c>
      <c r="I21" s="23">
        <f t="shared" si="30"/>
        <v>3718.8567039999998</v>
      </c>
      <c r="J21" s="4"/>
      <c r="K21" s="37">
        <f t="shared" si="2"/>
        <v>9.3649999999999984</v>
      </c>
      <c r="L21" s="23">
        <f t="shared" si="31"/>
        <v>37.459999999999994</v>
      </c>
      <c r="M21" s="38">
        <f t="shared" si="3"/>
        <v>2.3770833333333332</v>
      </c>
      <c r="N21" s="27">
        <f t="shared" si="32"/>
        <v>9.5083333333333329</v>
      </c>
      <c r="O21" s="23">
        <f t="shared" si="33"/>
        <v>187.29999999999995</v>
      </c>
      <c r="P21" s="4"/>
      <c r="Q21" s="50" t="s">
        <v>60</v>
      </c>
      <c r="R21" s="48" t="s">
        <v>61</v>
      </c>
      <c r="S21">
        <f>IF(Tools!$L$49="Use 141 rule only",I45,IF(Tools!$L$49="Use 141 and 1331 rules",BG22," "))</f>
        <v>2080.2954937921154</v>
      </c>
      <c r="W21" s="29">
        <f>IF(AO21="  ","  ",IF(AND(AO20="  ",AO22="  "),"?",IF(AO20="  ",2*(AO22-AO21),IF(AO22="  ",2*(AO21-AO20),2*(AO22-AO20)))))</f>
        <v>4</v>
      </c>
      <c r="X21" s="30" t="str">
        <f t="shared" si="4"/>
        <v>WW</v>
      </c>
      <c r="Y21" s="30" t="str">
        <f t="shared" si="5"/>
        <v>-</v>
      </c>
      <c r="Z21" s="29" t="b">
        <f t="shared" si="6"/>
        <v>0</v>
      </c>
      <c r="AA21" s="29" t="b">
        <f t="shared" si="7"/>
        <v>0</v>
      </c>
      <c r="AB21" s="29" t="str">
        <f t="shared" ca="1" si="8"/>
        <v>++</v>
      </c>
      <c r="AC21" s="29">
        <f t="shared" si="34"/>
        <v>8</v>
      </c>
      <c r="AD21" s="29">
        <f t="shared" ca="1" si="9"/>
        <v>8</v>
      </c>
      <c r="AE21" s="29">
        <v>18</v>
      </c>
      <c r="AF21" s="31">
        <f t="shared" si="42"/>
        <v>14</v>
      </c>
      <c r="AG21" s="29" t="b">
        <f t="shared" si="11"/>
        <v>1</v>
      </c>
      <c r="AH21" s="30" t="str">
        <f t="shared" ca="1" si="43"/>
        <v>141-4</v>
      </c>
      <c r="AI21" s="30" t="str">
        <f t="shared" ca="1" si="13"/>
        <v/>
      </c>
      <c r="AJ21" s="29">
        <f t="shared" ca="1" si="14"/>
        <v>0</v>
      </c>
      <c r="AK21" s="29" t="str">
        <f t="shared" ca="1" si="15"/>
        <v>4/3</v>
      </c>
      <c r="AL21" s="29">
        <f t="shared" ca="1" si="16"/>
        <v>1.3333333333333333</v>
      </c>
      <c r="AM21" s="32">
        <f t="shared" ca="1" si="35"/>
        <v>1.3333333333333333</v>
      </c>
      <c r="AO21" s="20">
        <f>Tools!$AD20</f>
        <v>15</v>
      </c>
      <c r="AP21" s="33">
        <f t="shared" si="36"/>
        <v>9.76</v>
      </c>
      <c r="AQ21" s="34" t="str">
        <f t="shared" ca="1" si="18"/>
        <v>4/3</v>
      </c>
      <c r="AR21" s="23">
        <f t="shared" ca="1" si="19"/>
        <v>13.013333333333332</v>
      </c>
      <c r="AS21" s="24">
        <f t="shared" si="20"/>
        <v>5</v>
      </c>
      <c r="AT21" s="23">
        <f t="shared" ca="1" si="37"/>
        <v>65.066666666666663</v>
      </c>
      <c r="AU21" s="23">
        <f t="shared" ca="1" si="40"/>
        <v>325.33333333333331</v>
      </c>
      <c r="AV21" s="23">
        <f t="shared" si="21"/>
        <v>929.71417599999995</v>
      </c>
      <c r="AW21" s="23">
        <f t="shared" ca="1" si="22"/>
        <v>1239.6189013333333</v>
      </c>
      <c r="AY21" s="35">
        <f t="shared" si="23"/>
        <v>9.3649999999999984</v>
      </c>
      <c r="AZ21" s="23">
        <f t="shared" ca="1" si="41"/>
        <v>12.486666666666665</v>
      </c>
      <c r="BA21" s="36">
        <f t="shared" si="25"/>
        <v>2.3770833333333332</v>
      </c>
      <c r="BB21" s="27">
        <f t="shared" ca="1" si="38"/>
        <v>3.1694444444444443</v>
      </c>
      <c r="BC21" s="23">
        <f t="shared" ca="1" si="39"/>
        <v>62.433333333333323</v>
      </c>
      <c r="BE21" s="50" t="s">
        <v>57</v>
      </c>
      <c r="BF21" s="48" t="s">
        <v>62</v>
      </c>
      <c r="BG21" s="49">
        <f ca="1">IF(WL_No="  ","  ",(h^2)*$BC$29)</f>
        <v>5679.4113584166662</v>
      </c>
    </row>
    <row r="22" spans="1:59" x14ac:dyDescent="0.25">
      <c r="A22" s="20">
        <f>Tools!$AD21</f>
        <v>16</v>
      </c>
      <c r="B22" s="33">
        <f t="shared" si="0"/>
        <v>8.64</v>
      </c>
      <c r="C22" s="22">
        <f>IF(A22="  ","  ",IF(AND(A21="  ",A23="  "),"?",IF(A21="  ",1*(A23-A22),IF(A23="  ",1*(A22-A21),1*(A23-A21)))))</f>
        <v>2</v>
      </c>
      <c r="D22" s="23">
        <f t="shared" si="26"/>
        <v>17.28</v>
      </c>
      <c r="E22" s="24">
        <f t="shared" si="1"/>
        <v>6</v>
      </c>
      <c r="F22" s="23">
        <f t="shared" si="27"/>
        <v>103.68</v>
      </c>
      <c r="G22" s="23">
        <f t="shared" si="28"/>
        <v>622.08000000000004</v>
      </c>
      <c r="H22" s="23">
        <f t="shared" si="29"/>
        <v>644.97254400000008</v>
      </c>
      <c r="I22" s="23">
        <f t="shared" si="30"/>
        <v>1289.9450880000002</v>
      </c>
      <c r="J22" s="4"/>
      <c r="K22" s="37">
        <f t="shared" si="2"/>
        <v>8.1541666666666668</v>
      </c>
      <c r="L22" s="23">
        <f t="shared" si="31"/>
        <v>16.308333333333334</v>
      </c>
      <c r="M22" s="38">
        <f t="shared" si="3"/>
        <v>2.0818750000000001</v>
      </c>
      <c r="N22" s="27">
        <f t="shared" si="32"/>
        <v>4.1637500000000003</v>
      </c>
      <c r="O22" s="23">
        <f t="shared" si="33"/>
        <v>97.85</v>
      </c>
      <c r="P22" s="4"/>
      <c r="Q22" s="50" t="s">
        <v>63</v>
      </c>
      <c r="R22" s="48" t="s">
        <v>64</v>
      </c>
      <c r="S22">
        <f>IF(Tools!$L$49="Use 141 rule only",I46,IF(Tools!$L$49="Use 141 and 1331 rules",BG23," "))</f>
        <v>60.496075066514308</v>
      </c>
      <c r="W22" s="29">
        <f>IF(AO22="  ","  ",IF(AND(AO21="  ",AO23="  "),"?",IF(AO21="  ",1*(AO23-AO22),IF(AO23="  ",1*(AO22-AO21),1*(AO23-AO21)))))</f>
        <v>2</v>
      </c>
      <c r="X22" s="30" t="str">
        <f t="shared" si="4"/>
        <v>WW</v>
      </c>
      <c r="Y22" s="30" t="str">
        <f t="shared" si="5"/>
        <v>-</v>
      </c>
      <c r="Z22" s="29" t="b">
        <f t="shared" si="6"/>
        <v>0</v>
      </c>
      <c r="AA22" s="29" t="b">
        <f t="shared" si="7"/>
        <v>0</v>
      </c>
      <c r="AB22" s="29" t="str">
        <f t="shared" ca="1" si="8"/>
        <v>++</v>
      </c>
      <c r="AC22" s="29">
        <f t="shared" si="34"/>
        <v>7</v>
      </c>
      <c r="AD22" s="29">
        <f t="shared" ca="1" si="9"/>
        <v>7</v>
      </c>
      <c r="AE22" s="29">
        <v>19</v>
      </c>
      <c r="AF22" s="31">
        <f t="shared" si="42"/>
        <v>15</v>
      </c>
      <c r="AG22" s="29" t="b">
        <f t="shared" si="11"/>
        <v>1</v>
      </c>
      <c r="AH22" s="30" t="str">
        <f t="shared" ca="1" si="43"/>
        <v>141-2</v>
      </c>
      <c r="AI22" s="30" t="str">
        <f t="shared" ca="1" si="13"/>
        <v/>
      </c>
      <c r="AJ22" s="29">
        <f t="shared" ca="1" si="14"/>
        <v>0</v>
      </c>
      <c r="AK22" s="29" t="str">
        <f t="shared" ca="1" si="15"/>
        <v>2/3</v>
      </c>
      <c r="AL22" s="29">
        <f t="shared" ca="1" si="16"/>
        <v>0.66666666666666663</v>
      </c>
      <c r="AM22" s="32">
        <f t="shared" ca="1" si="35"/>
        <v>0.66666666666666663</v>
      </c>
      <c r="AO22" s="20">
        <f>Tools!$AD21</f>
        <v>16</v>
      </c>
      <c r="AP22" s="33">
        <f t="shared" si="36"/>
        <v>8.64</v>
      </c>
      <c r="AQ22" s="34" t="str">
        <f t="shared" ca="1" si="18"/>
        <v>2/3</v>
      </c>
      <c r="AR22" s="23">
        <f t="shared" ca="1" si="19"/>
        <v>5.76</v>
      </c>
      <c r="AS22" s="24">
        <f t="shared" si="20"/>
        <v>6</v>
      </c>
      <c r="AT22" s="23">
        <f t="shared" ca="1" si="37"/>
        <v>34.56</v>
      </c>
      <c r="AU22" s="23">
        <f t="shared" ca="1" si="40"/>
        <v>207.36</v>
      </c>
      <c r="AV22" s="23">
        <f t="shared" si="21"/>
        <v>644.97254400000008</v>
      </c>
      <c r="AW22" s="23">
        <f t="shared" ca="1" si="22"/>
        <v>429.98169600000006</v>
      </c>
      <c r="AY22" s="35">
        <f t="shared" si="23"/>
        <v>8.1541666666666668</v>
      </c>
      <c r="AZ22" s="23">
        <f t="shared" ca="1" si="41"/>
        <v>5.4361111111111109</v>
      </c>
      <c r="BA22" s="36">
        <f t="shared" si="25"/>
        <v>2.0818750000000001</v>
      </c>
      <c r="BB22" s="27">
        <f t="shared" ca="1" si="38"/>
        <v>1.3879166666666667</v>
      </c>
      <c r="BC22" s="23">
        <f t="shared" ca="1" si="39"/>
        <v>32.616666666666667</v>
      </c>
      <c r="BE22" s="50" t="s">
        <v>60</v>
      </c>
      <c r="BF22" s="48" t="s">
        <v>61</v>
      </c>
      <c r="BG22" s="49">
        <f>IF(WL_No="  ","  ",IF/V_Disp)</f>
        <v>2080.2954937921154</v>
      </c>
    </row>
    <row r="23" spans="1:59" x14ac:dyDescent="0.25">
      <c r="A23" s="20">
        <f>Tools!$AD22</f>
        <v>17</v>
      </c>
      <c r="B23" s="33">
        <f t="shared" si="0"/>
        <v>6.89</v>
      </c>
      <c r="C23" s="22">
        <f>IF(A23="  ","  ",IF(AND(A22="  ",A24="  "),"?",IF(A22="  ",2*(A24-A23),IF(A24="  ",2*(A23-A22),2*(A24-A22)))))</f>
        <v>4</v>
      </c>
      <c r="D23" s="23">
        <f t="shared" si="26"/>
        <v>27.56</v>
      </c>
      <c r="E23" s="24">
        <f t="shared" si="1"/>
        <v>7</v>
      </c>
      <c r="F23" s="23">
        <f t="shared" si="27"/>
        <v>192.92</v>
      </c>
      <c r="G23" s="23">
        <f t="shared" si="28"/>
        <v>1350.4399999999998</v>
      </c>
      <c r="H23" s="23">
        <f t="shared" si="29"/>
        <v>327.08276899999998</v>
      </c>
      <c r="I23" s="23">
        <f t="shared" si="30"/>
        <v>1308.3310759999999</v>
      </c>
      <c r="J23" s="4"/>
      <c r="K23" s="37">
        <f t="shared" si="2"/>
        <v>6.2966666666666669</v>
      </c>
      <c r="L23" s="23">
        <f t="shared" si="31"/>
        <v>25.186666666666667</v>
      </c>
      <c r="M23" s="38">
        <f t="shared" si="3"/>
        <v>1.6279166666666662</v>
      </c>
      <c r="N23" s="27">
        <f t="shared" si="32"/>
        <v>6.5116666666666649</v>
      </c>
      <c r="O23" s="23">
        <f t="shared" si="33"/>
        <v>176.30666666666667</v>
      </c>
      <c r="P23" s="4"/>
      <c r="Q23" s="50" t="s">
        <v>65</v>
      </c>
      <c r="R23" s="48" t="s">
        <v>66</v>
      </c>
      <c r="S23">
        <f>IF(Tools!$L$49="Use 141 rule only",I47,IF(Tools!$L$49="Use 141 and 1331 rules",BG24," "))</f>
        <v>0.25569380905964439</v>
      </c>
      <c r="W23" s="29">
        <f>IF(AO23="  ","  ",IF(AND(AO22="  ",AO24="  "),"?",IF(AO22="  ",2*(AO24-AO23),IF(AO24="  ",2*(AO23-AO22),2*(AO24-AO22)))))</f>
        <v>4</v>
      </c>
      <c r="X23" s="30" t="str">
        <f t="shared" si="4"/>
        <v>WW</v>
      </c>
      <c r="Y23" s="30" t="str">
        <f t="shared" si="5"/>
        <v>-</v>
      </c>
      <c r="Z23" s="29" t="b">
        <f t="shared" si="6"/>
        <v>0</v>
      </c>
      <c r="AA23" s="29" t="b">
        <f t="shared" si="7"/>
        <v>0</v>
      </c>
      <c r="AB23" s="29" t="str">
        <f t="shared" ca="1" si="8"/>
        <v>++</v>
      </c>
      <c r="AC23" s="29">
        <f t="shared" si="34"/>
        <v>6</v>
      </c>
      <c r="AD23" s="29">
        <f t="shared" ca="1" si="9"/>
        <v>6</v>
      </c>
      <c r="AE23" s="29">
        <v>20</v>
      </c>
      <c r="AF23" s="31">
        <f t="shared" si="42"/>
        <v>16</v>
      </c>
      <c r="AG23" s="29" t="b">
        <f t="shared" si="11"/>
        <v>1</v>
      </c>
      <c r="AH23" s="30" t="str">
        <f t="shared" ca="1" si="43"/>
        <v>141-4</v>
      </c>
      <c r="AI23" s="30" t="str">
        <f t="shared" ca="1" si="13"/>
        <v/>
      </c>
      <c r="AJ23" s="29">
        <f t="shared" ca="1" si="14"/>
        <v>0</v>
      </c>
      <c r="AK23" s="29" t="str">
        <f t="shared" ca="1" si="15"/>
        <v>4/3</v>
      </c>
      <c r="AL23" s="29">
        <f t="shared" ca="1" si="16"/>
        <v>1.3333333333333333</v>
      </c>
      <c r="AM23" s="32">
        <f t="shared" ca="1" si="35"/>
        <v>1.3333333333333333</v>
      </c>
      <c r="AO23" s="20">
        <f>Tools!$AD22</f>
        <v>17</v>
      </c>
      <c r="AP23" s="33">
        <f t="shared" si="36"/>
        <v>6.89</v>
      </c>
      <c r="AQ23" s="34" t="str">
        <f t="shared" ca="1" si="18"/>
        <v>4/3</v>
      </c>
      <c r="AR23" s="23">
        <f t="shared" ca="1" si="19"/>
        <v>9.1866666666666656</v>
      </c>
      <c r="AS23" s="24">
        <f t="shared" si="20"/>
        <v>7</v>
      </c>
      <c r="AT23" s="23">
        <f t="shared" ca="1" si="37"/>
        <v>64.306666666666658</v>
      </c>
      <c r="AU23" s="23">
        <f t="shared" ca="1" si="40"/>
        <v>450.14666666666659</v>
      </c>
      <c r="AV23" s="23">
        <f t="shared" si="21"/>
        <v>327.08276899999998</v>
      </c>
      <c r="AW23" s="23">
        <f t="shared" ca="1" si="22"/>
        <v>436.11035866666663</v>
      </c>
      <c r="AY23" s="35">
        <f t="shared" si="23"/>
        <v>6.2966666666666669</v>
      </c>
      <c r="AZ23" s="23">
        <f t="shared" ca="1" si="41"/>
        <v>8.3955555555555552</v>
      </c>
      <c r="BA23" s="36">
        <f t="shared" si="25"/>
        <v>1.6279166666666662</v>
      </c>
      <c r="BB23" s="27">
        <f t="shared" ca="1" si="38"/>
        <v>2.1705555555555547</v>
      </c>
      <c r="BC23" s="23">
        <f t="shared" ca="1" si="39"/>
        <v>58.768888888888888</v>
      </c>
      <c r="BE23" s="50" t="s">
        <v>63</v>
      </c>
      <c r="BF23" s="48" t="s">
        <v>64</v>
      </c>
      <c r="BG23" s="49">
        <f>IF(WL_No="  ","  ",IT/V_Disp)</f>
        <v>60.496075066514308</v>
      </c>
    </row>
    <row r="24" spans="1:59" x14ac:dyDescent="0.25">
      <c r="A24" s="20">
        <f>Tools!$AD23</f>
        <v>18</v>
      </c>
      <c r="B24" s="33">
        <f t="shared" si="0"/>
        <v>4.6500000000000004</v>
      </c>
      <c r="C24" s="22">
        <f>IF(A24="  ","  ",IF(AND(A23="  ",A25="  "),"?",IF(A23="  ",1*(A25-A24),IF(A25="  ",1*(A24-A23),1*(A25-A23)))))</f>
        <v>1.5</v>
      </c>
      <c r="D24" s="23">
        <f t="shared" si="26"/>
        <v>6.9750000000000005</v>
      </c>
      <c r="E24" s="24">
        <f t="shared" si="1"/>
        <v>8</v>
      </c>
      <c r="F24" s="23">
        <f t="shared" si="27"/>
        <v>55.800000000000004</v>
      </c>
      <c r="G24" s="23">
        <f t="shared" si="28"/>
        <v>446.40000000000003</v>
      </c>
      <c r="H24" s="23">
        <f t="shared" si="29"/>
        <v>100.54462500000002</v>
      </c>
      <c r="I24" s="23">
        <f t="shared" si="30"/>
        <v>150.81693750000005</v>
      </c>
      <c r="J24" s="4"/>
      <c r="K24" s="37">
        <f t="shared" si="2"/>
        <v>4.1124999999999998</v>
      </c>
      <c r="L24" s="23">
        <f t="shared" si="31"/>
        <v>6.1687499999999993</v>
      </c>
      <c r="M24" s="38">
        <f t="shared" si="3"/>
        <v>1.0760416666666666</v>
      </c>
      <c r="N24" s="27">
        <f t="shared" si="32"/>
        <v>1.6140624999999997</v>
      </c>
      <c r="O24" s="23">
        <f t="shared" si="33"/>
        <v>49.349999999999994</v>
      </c>
      <c r="P24" s="4"/>
      <c r="Q24" s="50" t="s">
        <v>67</v>
      </c>
      <c r="R24" s="48" t="s">
        <v>68</v>
      </c>
      <c r="S24">
        <f>IF(Tools!$L$49="Use 141 rule only",I48,IF(Tools!$L$49="Use 141 and 1331 rules",BG25," "))</f>
        <v>60.751768875573951</v>
      </c>
      <c r="W24" s="29">
        <f>IF(AO24="  ","  ",IF(AND(AO23="  ",AO25="  "),"?",IF(AO23="  ",1*(AO25-AO24),IF(AO25="  ",1*(AO24-AO23),1*(AO25-AO23)))))</f>
        <v>1.5</v>
      </c>
      <c r="X24" s="30" t="str">
        <f t="shared" si="4"/>
        <v>WD</v>
      </c>
      <c r="Y24" s="30" t="str">
        <f t="shared" si="5"/>
        <v>-</v>
      </c>
      <c r="Z24" s="29" t="b">
        <f t="shared" si="6"/>
        <v>1</v>
      </c>
      <c r="AA24" s="29" t="b">
        <f t="shared" si="7"/>
        <v>1</v>
      </c>
      <c r="AB24" s="29" t="str">
        <f t="shared" ca="1" si="8"/>
        <v>141-1</v>
      </c>
      <c r="AC24" s="29">
        <f t="shared" si="34"/>
        <v>5</v>
      </c>
      <c r="AD24" s="29">
        <f t="shared" ca="1" si="9"/>
        <v>5</v>
      </c>
      <c r="AE24" s="29">
        <v>21</v>
      </c>
      <c r="AF24" s="31">
        <f t="shared" si="42"/>
        <v>17</v>
      </c>
      <c r="AG24" s="29" t="b">
        <f t="shared" si="11"/>
        <v>1</v>
      </c>
      <c r="AH24" s="30" t="str">
        <f t="shared" ca="1" si="43"/>
        <v>141-1</v>
      </c>
      <c r="AI24" s="30" t="str">
        <f t="shared" ca="1" si="13"/>
        <v>(1/2)*(1/3)</v>
      </c>
      <c r="AJ24" s="29">
        <f t="shared" ca="1" si="14"/>
        <v>0.16666666666666666</v>
      </c>
      <c r="AK24" s="29" t="str">
        <f t="shared" ca="1" si="15"/>
        <v>1/3</v>
      </c>
      <c r="AL24" s="29">
        <f t="shared" ca="1" si="16"/>
        <v>0.33333333333333331</v>
      </c>
      <c r="AM24" s="32">
        <f t="shared" ca="1" si="35"/>
        <v>0.5</v>
      </c>
      <c r="AO24" s="20">
        <f>Tools!$AD23</f>
        <v>18</v>
      </c>
      <c r="AP24" s="33">
        <f t="shared" si="36"/>
        <v>4.6500000000000004</v>
      </c>
      <c r="AQ24" s="34" t="str">
        <f t="shared" ca="1" si="18"/>
        <v>(1/2)*(1/3)+1/3</v>
      </c>
      <c r="AR24" s="23">
        <f t="shared" ca="1" si="19"/>
        <v>2.3250000000000002</v>
      </c>
      <c r="AS24" s="24">
        <f t="shared" si="20"/>
        <v>8</v>
      </c>
      <c r="AT24" s="23">
        <f t="shared" ca="1" si="37"/>
        <v>18.600000000000001</v>
      </c>
      <c r="AU24" s="23">
        <f t="shared" ca="1" si="40"/>
        <v>148.80000000000001</v>
      </c>
      <c r="AV24" s="23">
        <f t="shared" si="21"/>
        <v>100.54462500000002</v>
      </c>
      <c r="AW24" s="23">
        <f t="shared" ca="1" si="22"/>
        <v>50.272312500000012</v>
      </c>
      <c r="AY24" s="35">
        <f t="shared" si="23"/>
        <v>4.1124999999999998</v>
      </c>
      <c r="AZ24" s="23">
        <f t="shared" ca="1" si="41"/>
        <v>2.0562499999999999</v>
      </c>
      <c r="BA24" s="36">
        <f t="shared" si="25"/>
        <v>1.0760416666666666</v>
      </c>
      <c r="BB24" s="27">
        <f t="shared" ca="1" si="38"/>
        <v>0.53802083333333328</v>
      </c>
      <c r="BC24" s="23">
        <f t="shared" ca="1" si="39"/>
        <v>16.45</v>
      </c>
      <c r="BE24" s="50" t="s">
        <v>65</v>
      </c>
      <c r="BF24" s="48" t="s">
        <v>66</v>
      </c>
      <c r="BG24" s="49">
        <f>IF(WL_No="  ","  ",MT/V_Disp)</f>
        <v>0.25569380905964439</v>
      </c>
    </row>
    <row r="25" spans="1:59" x14ac:dyDescent="0.25">
      <c r="A25" s="20">
        <f>Tools!$AD24</f>
        <v>18.5</v>
      </c>
      <c r="B25" s="33">
        <f t="shared" si="0"/>
        <v>3.43</v>
      </c>
      <c r="C25" s="22">
        <f>IF(A25="  ","  ",IF(AND(A24="  ",A26="  "),"?",IF(A24="  ",2*(A26-A25),IF(A26="  ",2*(A25-A24),2*(A26-A24)))))</f>
        <v>2</v>
      </c>
      <c r="D25" s="23">
        <f t="shared" si="26"/>
        <v>6.86</v>
      </c>
      <c r="E25" s="24">
        <f t="shared" si="1"/>
        <v>8.5</v>
      </c>
      <c r="F25" s="23">
        <f t="shared" si="27"/>
        <v>58.31</v>
      </c>
      <c r="G25" s="23">
        <f t="shared" si="28"/>
        <v>495.63499999999999</v>
      </c>
      <c r="H25" s="23">
        <f t="shared" si="29"/>
        <v>40.353607000000004</v>
      </c>
      <c r="I25" s="23">
        <f t="shared" si="30"/>
        <v>80.707214000000008</v>
      </c>
      <c r="J25" s="4"/>
      <c r="K25" s="37">
        <f t="shared" si="2"/>
        <v>2.9008333333333329</v>
      </c>
      <c r="L25" s="23">
        <f t="shared" si="31"/>
        <v>5.8016666666666659</v>
      </c>
      <c r="M25" s="38">
        <f t="shared" si="3"/>
        <v>0.7722916666666666</v>
      </c>
      <c r="N25" s="27">
        <f t="shared" si="32"/>
        <v>1.5445833333333332</v>
      </c>
      <c r="O25" s="23">
        <f t="shared" si="33"/>
        <v>49.314166666666658</v>
      </c>
      <c r="P25" s="4"/>
      <c r="Q25" s="50" t="s">
        <v>69</v>
      </c>
      <c r="R25" s="48" t="s">
        <v>70</v>
      </c>
      <c r="S25">
        <f>IF(Tools!$L$49="Use 141 rule only",I49,IF(Tools!$L$49="Use 141 and 1331 rules",BG26," "))</f>
        <v>2080.5511876011751</v>
      </c>
      <c r="W25" s="29">
        <f>IF(AO25="  ","  ",IF(AND(AO24="  ",AO26="  "),"?",IF(AO24="  ",2*(AO26-AO25),IF(AO26="  ",2*(AO25-AO24),2*(AO26-AO24)))))</f>
        <v>2</v>
      </c>
      <c r="X25" s="30" t="str">
        <f t="shared" si="4"/>
        <v>DD</v>
      </c>
      <c r="Y25" s="30" t="str">
        <f t="shared" si="5"/>
        <v>-</v>
      </c>
      <c r="Z25" s="29" t="b">
        <f t="shared" si="6"/>
        <v>1</v>
      </c>
      <c r="AA25" s="29" t="b">
        <f t="shared" si="7"/>
        <v>1</v>
      </c>
      <c r="AB25" s="29" t="str">
        <f t="shared" ca="1" si="8"/>
        <v>141-4</v>
      </c>
      <c r="AC25" s="29">
        <f t="shared" si="34"/>
        <v>4</v>
      </c>
      <c r="AD25" s="29">
        <f t="shared" ca="1" si="9"/>
        <v>4</v>
      </c>
      <c r="AE25" s="29">
        <v>22</v>
      </c>
      <c r="AF25" s="31">
        <f t="shared" si="42"/>
        <v>18</v>
      </c>
      <c r="AG25" s="29" t="b">
        <f t="shared" si="11"/>
        <v>0</v>
      </c>
      <c r="AH25" s="30" t="str">
        <f t="shared" si="43"/>
        <v>-</v>
      </c>
      <c r="AI25" s="30" t="str">
        <f t="shared" ca="1" si="13"/>
        <v>(1/2)*(4/3)</v>
      </c>
      <c r="AJ25" s="29">
        <f t="shared" ca="1" si="14"/>
        <v>0.66666666666666663</v>
      </c>
      <c r="AK25" s="29" t="str">
        <f t="shared" si="15"/>
        <v/>
      </c>
      <c r="AL25" s="29">
        <f t="shared" si="16"/>
        <v>0</v>
      </c>
      <c r="AM25" s="32">
        <f t="shared" ca="1" si="35"/>
        <v>0.66666666666666663</v>
      </c>
      <c r="AO25" s="20">
        <f>Tools!$AD24</f>
        <v>18.5</v>
      </c>
      <c r="AP25" s="33">
        <f t="shared" si="36"/>
        <v>3.43</v>
      </c>
      <c r="AQ25" s="34" t="str">
        <f t="shared" ca="1" si="18"/>
        <v>(1/2)*(4/3)</v>
      </c>
      <c r="AR25" s="23">
        <f t="shared" ca="1" si="19"/>
        <v>2.2866666666666666</v>
      </c>
      <c r="AS25" s="24">
        <f t="shared" si="20"/>
        <v>8.5</v>
      </c>
      <c r="AT25" s="23">
        <f t="shared" ca="1" si="37"/>
        <v>19.436666666666667</v>
      </c>
      <c r="AU25" s="23">
        <f t="shared" ca="1" si="40"/>
        <v>165.21166666666667</v>
      </c>
      <c r="AV25" s="23">
        <f t="shared" si="21"/>
        <v>40.353607000000004</v>
      </c>
      <c r="AW25" s="23">
        <f t="shared" ca="1" si="22"/>
        <v>26.902404666666669</v>
      </c>
      <c r="AY25" s="35">
        <f t="shared" si="23"/>
        <v>2.9008333333333329</v>
      </c>
      <c r="AZ25" s="23">
        <f t="shared" ca="1" si="41"/>
        <v>1.9338888888888885</v>
      </c>
      <c r="BA25" s="36">
        <f t="shared" si="25"/>
        <v>0.7722916666666666</v>
      </c>
      <c r="BB25" s="27">
        <f t="shared" ca="1" si="38"/>
        <v>0.51486111111111099</v>
      </c>
      <c r="BC25" s="23">
        <f t="shared" ca="1" si="39"/>
        <v>16.438055555555554</v>
      </c>
      <c r="BE25" s="50" t="s">
        <v>67</v>
      </c>
      <c r="BF25" s="48" t="s">
        <v>68</v>
      </c>
      <c r="BG25" s="49">
        <f>IF(WL_No="  ","  ",KB+BMT)</f>
        <v>60.751768875573951</v>
      </c>
    </row>
    <row r="26" spans="1:59" x14ac:dyDescent="0.25">
      <c r="A26" s="20">
        <f>Tools!$AD25</f>
        <v>19</v>
      </c>
      <c r="B26" s="33">
        <f t="shared" si="0"/>
        <v>2.2999999999999998</v>
      </c>
      <c r="C26" s="22">
        <f>IF(A26="  ","  ",IF(AND(A25="  ",A27="  "),"?",IF(A25="  ",1*(A27-A26),IF(A27="  ",1*(A26-A25),1*(A27-A25)))))</f>
        <v>1</v>
      </c>
      <c r="D26" s="23">
        <f t="shared" si="26"/>
        <v>2.2999999999999998</v>
      </c>
      <c r="E26" s="24">
        <f t="shared" si="1"/>
        <v>9</v>
      </c>
      <c r="F26" s="23">
        <f t="shared" si="27"/>
        <v>20.7</v>
      </c>
      <c r="G26" s="23">
        <f t="shared" si="28"/>
        <v>186.29999999999998</v>
      </c>
      <c r="H26" s="23">
        <f t="shared" si="29"/>
        <v>12.166999999999996</v>
      </c>
      <c r="I26" s="23">
        <f t="shared" si="30"/>
        <v>12.166999999999996</v>
      </c>
      <c r="J26" s="4"/>
      <c r="K26" s="37">
        <f t="shared" si="2"/>
        <v>1.8383333333333332</v>
      </c>
      <c r="L26" s="23">
        <f t="shared" si="31"/>
        <v>1.8383333333333332</v>
      </c>
      <c r="M26" s="38">
        <f t="shared" si="3"/>
        <v>0.50124999999999997</v>
      </c>
      <c r="N26" s="27">
        <f t="shared" si="32"/>
        <v>0.50124999999999997</v>
      </c>
      <c r="O26" s="23">
        <f t="shared" si="33"/>
        <v>16.544999999999998</v>
      </c>
      <c r="P26" s="4"/>
      <c r="Q26" s="50" t="s">
        <v>71</v>
      </c>
      <c r="R26" s="48" t="s">
        <v>72</v>
      </c>
      <c r="S26">
        <f>IF(Tools!$L$49="Use 141 rule only",I50,IF(Tools!$L$49="Use 141 and 1331 rules",BG27," "))</f>
        <v>21.314376166666662</v>
      </c>
      <c r="W26" s="29">
        <f>IF(AO26="  ","  ",IF(AND(AO25="  ",AO27="  "),"?",IF(AO25="  ",1*(AO27-AO26),IF(AO27="  ",1*(AO26-AO25),1*(AO27-AO25)))))</f>
        <v>1</v>
      </c>
      <c r="X26" s="30" t="str">
        <f t="shared" si="4"/>
        <v>DD</v>
      </c>
      <c r="Y26" s="30" t="str">
        <f t="shared" si="5"/>
        <v>-</v>
      </c>
      <c r="Z26" s="29" t="b">
        <f t="shared" si="6"/>
        <v>1</v>
      </c>
      <c r="AA26" s="29" t="b">
        <f t="shared" si="7"/>
        <v>1</v>
      </c>
      <c r="AB26" s="29" t="str">
        <f t="shared" ca="1" si="8"/>
        <v>141-2</v>
      </c>
      <c r="AC26" s="29">
        <f t="shared" si="34"/>
        <v>3</v>
      </c>
      <c r="AD26" s="29">
        <f t="shared" ca="1" si="9"/>
        <v>3</v>
      </c>
      <c r="AE26" s="29">
        <v>23</v>
      </c>
      <c r="AF26" s="31">
        <f t="shared" si="42"/>
        <v>19</v>
      </c>
      <c r="AG26" s="29" t="b">
        <f t="shared" si="11"/>
        <v>0</v>
      </c>
      <c r="AH26" s="30" t="str">
        <f t="shared" si="43"/>
        <v>-</v>
      </c>
      <c r="AI26" s="30" t="str">
        <f t="shared" ca="1" si="13"/>
        <v>(1/2)*(2/3)</v>
      </c>
      <c r="AJ26" s="29">
        <f t="shared" ca="1" si="14"/>
        <v>0.33333333333333331</v>
      </c>
      <c r="AK26" s="29" t="str">
        <f t="shared" si="15"/>
        <v/>
      </c>
      <c r="AL26" s="29">
        <f t="shared" si="16"/>
        <v>0</v>
      </c>
      <c r="AM26" s="32">
        <f t="shared" ca="1" si="35"/>
        <v>0.33333333333333331</v>
      </c>
      <c r="AO26" s="20">
        <f>Tools!$AD25</f>
        <v>19</v>
      </c>
      <c r="AP26" s="33">
        <f t="shared" si="36"/>
        <v>2.2999999999999998</v>
      </c>
      <c r="AQ26" s="34" t="str">
        <f t="shared" ca="1" si="18"/>
        <v>(1/2)*(2/3)</v>
      </c>
      <c r="AR26" s="23">
        <f t="shared" ca="1" si="19"/>
        <v>0.76666666666666661</v>
      </c>
      <c r="AS26" s="24">
        <f t="shared" si="20"/>
        <v>9</v>
      </c>
      <c r="AT26" s="23">
        <f t="shared" ca="1" si="37"/>
        <v>6.8999999999999995</v>
      </c>
      <c r="AU26" s="23">
        <f t="shared" ca="1" si="40"/>
        <v>62.099999999999994</v>
      </c>
      <c r="AV26" s="23">
        <f t="shared" si="21"/>
        <v>12.166999999999996</v>
      </c>
      <c r="AW26" s="23">
        <f t="shared" ca="1" si="22"/>
        <v>4.0556666666666654</v>
      </c>
      <c r="AY26" s="35">
        <f t="shared" si="23"/>
        <v>1.8383333333333332</v>
      </c>
      <c r="AZ26" s="23">
        <f t="shared" ca="1" si="41"/>
        <v>0.61277777777777764</v>
      </c>
      <c r="BA26" s="36">
        <f t="shared" si="25"/>
        <v>0.50124999999999997</v>
      </c>
      <c r="BB26" s="27">
        <f t="shared" ca="1" si="38"/>
        <v>0.16708333333333331</v>
      </c>
      <c r="BC26" s="23">
        <f t="shared" ca="1" si="39"/>
        <v>5.5149999999999988</v>
      </c>
      <c r="BE26" s="50" t="s">
        <v>69</v>
      </c>
      <c r="BF26" s="48" t="s">
        <v>70</v>
      </c>
      <c r="BG26" s="49">
        <f>IF(WL_No="  ","  ",KB+BML)</f>
        <v>2080.5511876011751</v>
      </c>
    </row>
    <row r="27" spans="1:59" x14ac:dyDescent="0.25">
      <c r="A27" s="20">
        <f>Tools!$AD26</f>
        <v>19.5</v>
      </c>
      <c r="B27" s="33">
        <f t="shared" si="0"/>
        <v>1.21</v>
      </c>
      <c r="C27" s="22">
        <f>IF(A27="  ","  ",IF(AND(A26="  ",A28="  "),"?",IF(A26="  ",2*(A28-A27),IF(A28="  ",2*(A27-A26),2*(A28-A26)))))</f>
        <v>2</v>
      </c>
      <c r="D27" s="23">
        <f t="shared" si="26"/>
        <v>2.42</v>
      </c>
      <c r="E27" s="24">
        <f t="shared" si="1"/>
        <v>9.5</v>
      </c>
      <c r="F27" s="23">
        <f t="shared" si="27"/>
        <v>22.99</v>
      </c>
      <c r="G27" s="23">
        <f t="shared" si="28"/>
        <v>218.40499999999997</v>
      </c>
      <c r="H27" s="23">
        <f t="shared" si="29"/>
        <v>1.7715609999999999</v>
      </c>
      <c r="I27" s="23">
        <f t="shared" si="30"/>
        <v>3.5431219999999999</v>
      </c>
      <c r="J27" s="4"/>
      <c r="K27" s="37">
        <f t="shared" si="2"/>
        <v>0.83250000000000002</v>
      </c>
      <c r="L27" s="23">
        <f t="shared" si="31"/>
        <v>1.665</v>
      </c>
      <c r="M27" s="38">
        <f t="shared" si="3"/>
        <v>0.24187500000000001</v>
      </c>
      <c r="N27" s="27">
        <f t="shared" si="32"/>
        <v>0.48375000000000001</v>
      </c>
      <c r="O27" s="23">
        <f t="shared" si="33"/>
        <v>15.817500000000001</v>
      </c>
      <c r="P27" s="4"/>
      <c r="Q27" s="50" t="s">
        <v>73</v>
      </c>
      <c r="R27" s="48" t="s">
        <v>74</v>
      </c>
      <c r="S27">
        <f>IF(Tools!$L$49="Use 141 rule only",I51,IF(Tools!$L$49="Use 141 and 1331 rules",BG28," "))</f>
        <v>5.8069048827656626</v>
      </c>
      <c r="W27" s="29">
        <f>IF(AO27="  ","  ",IF(AND(AO26="  ",AO28="  "),"?",IF(AO26="  ",2*(AO28-AO27),IF(AO28="  ",2*(AO27-AO26),2*(AO28-AO26)))))</f>
        <v>2</v>
      </c>
      <c r="X27" s="30" t="str">
        <f t="shared" si="4"/>
        <v>DD</v>
      </c>
      <c r="Y27" s="30" t="str">
        <f t="shared" si="5"/>
        <v>-</v>
      </c>
      <c r="Z27" s="29" t="b">
        <f t="shared" si="6"/>
        <v>1</v>
      </c>
      <c r="AA27" s="29" t="b">
        <f t="shared" si="7"/>
        <v>1</v>
      </c>
      <c r="AB27" s="29" t="str">
        <f t="shared" ca="1" si="8"/>
        <v>141-4</v>
      </c>
      <c r="AC27" s="29">
        <f t="shared" si="34"/>
        <v>2</v>
      </c>
      <c r="AD27" s="29">
        <f t="shared" ca="1" si="9"/>
        <v>2</v>
      </c>
      <c r="AE27" s="29">
        <v>24</v>
      </c>
      <c r="AF27" s="31">
        <f t="shared" si="42"/>
        <v>20</v>
      </c>
      <c r="AG27" s="29" t="b">
        <f t="shared" si="11"/>
        <v>0</v>
      </c>
      <c r="AH27" s="30" t="str">
        <f t="shared" si="43"/>
        <v>-</v>
      </c>
      <c r="AI27" s="30" t="str">
        <f t="shared" ca="1" si="13"/>
        <v>(1/2)*(4/3)</v>
      </c>
      <c r="AJ27" s="29">
        <f t="shared" ca="1" si="14"/>
        <v>0.66666666666666663</v>
      </c>
      <c r="AK27" s="29" t="str">
        <f t="shared" si="15"/>
        <v/>
      </c>
      <c r="AL27" s="29">
        <f t="shared" si="16"/>
        <v>0</v>
      </c>
      <c r="AM27" s="32">
        <f t="shared" ca="1" si="35"/>
        <v>0.66666666666666663</v>
      </c>
      <c r="AO27" s="20">
        <f>Tools!$AD26</f>
        <v>19.5</v>
      </c>
      <c r="AP27" s="33">
        <f t="shared" si="36"/>
        <v>1.21</v>
      </c>
      <c r="AQ27" s="34" t="str">
        <f t="shared" ca="1" si="18"/>
        <v>(1/2)*(4/3)</v>
      </c>
      <c r="AR27" s="23">
        <f t="shared" ca="1" si="19"/>
        <v>0.80666666666666664</v>
      </c>
      <c r="AS27" s="24">
        <f t="shared" si="20"/>
        <v>9.5</v>
      </c>
      <c r="AT27" s="23">
        <f t="shared" ca="1" si="37"/>
        <v>7.6633333333333331</v>
      </c>
      <c r="AU27" s="23">
        <f t="shared" ca="1" si="40"/>
        <v>72.801666666666662</v>
      </c>
      <c r="AV27" s="23">
        <f t="shared" si="21"/>
        <v>1.7715609999999999</v>
      </c>
      <c r="AW27" s="23">
        <f t="shared" ca="1" si="22"/>
        <v>1.1810406666666666</v>
      </c>
      <c r="AY27" s="35">
        <f t="shared" si="23"/>
        <v>0.83250000000000002</v>
      </c>
      <c r="AZ27" s="23">
        <f t="shared" ca="1" si="41"/>
        <v>0.55499999999999994</v>
      </c>
      <c r="BA27" s="36">
        <f t="shared" si="25"/>
        <v>0.24187500000000001</v>
      </c>
      <c r="BB27" s="27">
        <f t="shared" ca="1" si="38"/>
        <v>0.16125</v>
      </c>
      <c r="BC27" s="23">
        <f t="shared" ca="1" si="39"/>
        <v>5.2724999999999991</v>
      </c>
      <c r="BE27" s="50" t="s">
        <v>71</v>
      </c>
      <c r="BF27" s="48" t="s">
        <v>72</v>
      </c>
      <c r="BG27" s="49">
        <f>IF(WL_No="  ","  ",AWP*1.025/100)</f>
        <v>21.314376166666662</v>
      </c>
    </row>
    <row r="28" spans="1:59" ht="15.75" thickBot="1" x14ac:dyDescent="0.3">
      <c r="A28" s="20">
        <f>Tools!$AD27</f>
        <v>20</v>
      </c>
      <c r="B28" s="52">
        <f t="shared" si="0"/>
        <v>0.8</v>
      </c>
      <c r="C28" s="22">
        <f>IF(A28="  ","  ",IF(A27="  ","?",1*(A28-A27)))</f>
        <v>0.5</v>
      </c>
      <c r="D28" s="53">
        <f t="shared" si="26"/>
        <v>0.4</v>
      </c>
      <c r="E28" s="24">
        <f t="shared" si="1"/>
        <v>10</v>
      </c>
      <c r="F28" s="53">
        <f t="shared" si="27"/>
        <v>4</v>
      </c>
      <c r="G28" s="53">
        <f t="shared" si="28"/>
        <v>40</v>
      </c>
      <c r="H28" s="23">
        <f t="shared" si="29"/>
        <v>0.51200000000000012</v>
      </c>
      <c r="I28" s="53">
        <f t="shared" si="30"/>
        <v>0.25600000000000006</v>
      </c>
      <c r="J28" s="4"/>
      <c r="K28" s="35">
        <f t="shared" si="2"/>
        <v>0.47499999999999998</v>
      </c>
      <c r="L28" s="53">
        <f t="shared" si="31"/>
        <v>0.23749999999999999</v>
      </c>
      <c r="M28" s="36">
        <f t="shared" si="3"/>
        <v>0.14791666666666667</v>
      </c>
      <c r="N28" s="54">
        <f t="shared" si="32"/>
        <v>7.3958333333333334E-2</v>
      </c>
      <c r="O28" s="53">
        <f t="shared" si="33"/>
        <v>2.375</v>
      </c>
      <c r="P28" s="4"/>
      <c r="Q28" s="50" t="s">
        <v>75</v>
      </c>
      <c r="R28" s="55" t="s">
        <v>76</v>
      </c>
      <c r="S28">
        <f>IF(Tools!$L$49="Use 141 rule only",I52,IF(Tools!$L$49="Use 141 and 1331 rules",BG29," "))</f>
        <v>143.5020532779476</v>
      </c>
      <c r="W28" s="29">
        <f>IF(AO28="  ","  ",IF(AO27="  ","?",1*(AO28-AO27)))</f>
        <v>0.5</v>
      </c>
      <c r="X28" s="30" t="str">
        <f t="shared" si="4"/>
        <v>D-</v>
      </c>
      <c r="Y28" s="30" t="str">
        <f t="shared" si="5"/>
        <v>-</v>
      </c>
      <c r="Z28" s="29" t="b">
        <f t="shared" si="6"/>
        <v>1</v>
      </c>
      <c r="AA28" s="29" t="b">
        <f t="shared" si="7"/>
        <v>1</v>
      </c>
      <c r="AB28" s="29" t="str">
        <f t="shared" ca="1" si="8"/>
        <v>141-1</v>
      </c>
      <c r="AC28" s="29">
        <f>IF(ISNUMBER(AO28),IF(ISNUMBER(AO28),IF(OR(AO28=0,AO28=Long_Div),1,IF(AO28&gt;Long_Div/2,AF29+1,IF(AO28&lt;=Long_Div/2,AC27+1,"?")))," --")," ")</f>
        <v>1</v>
      </c>
      <c r="AD28" s="29">
        <f t="shared" ca="1" si="9"/>
        <v>1</v>
      </c>
      <c r="AE28" s="29">
        <v>25</v>
      </c>
      <c r="AF28" s="31">
        <f t="shared" si="42"/>
        <v>21</v>
      </c>
      <c r="AG28" s="29" t="b">
        <f t="shared" si="11"/>
        <v>0</v>
      </c>
      <c r="AH28" s="30" t="str">
        <f t="shared" si="43"/>
        <v>-</v>
      </c>
      <c r="AI28" s="30" t="str">
        <f t="shared" ca="1" si="13"/>
        <v>(1/2)*(1/3)</v>
      </c>
      <c r="AJ28" s="29">
        <f t="shared" ca="1" si="14"/>
        <v>0.16666666666666666</v>
      </c>
      <c r="AK28" s="29" t="str">
        <f t="shared" si="15"/>
        <v/>
      </c>
      <c r="AL28" s="29">
        <f t="shared" si="16"/>
        <v>0</v>
      </c>
      <c r="AM28" s="32">
        <f t="shared" ca="1" si="35"/>
        <v>0.16666666666666666</v>
      </c>
      <c r="AO28" s="20">
        <f>Tools!$AD27</f>
        <v>20</v>
      </c>
      <c r="AP28" s="33">
        <f t="shared" si="36"/>
        <v>0.8</v>
      </c>
      <c r="AQ28" s="34" t="str">
        <f t="shared" ca="1" si="18"/>
        <v>(1/2)*(1/3)</v>
      </c>
      <c r="AR28" s="23">
        <f t="shared" ca="1" si="19"/>
        <v>0.13333333333333333</v>
      </c>
      <c r="AS28" s="24">
        <f t="shared" si="20"/>
        <v>10</v>
      </c>
      <c r="AT28" s="53">
        <f t="shared" ca="1" si="37"/>
        <v>1.3333333333333333</v>
      </c>
      <c r="AU28" s="53">
        <f t="shared" ca="1" si="40"/>
        <v>13.333333333333332</v>
      </c>
      <c r="AV28" s="23">
        <f t="shared" si="21"/>
        <v>0.51200000000000012</v>
      </c>
      <c r="AW28" s="23">
        <f t="shared" ca="1" si="22"/>
        <v>8.5333333333333344E-2</v>
      </c>
      <c r="AY28" s="35">
        <f t="shared" si="23"/>
        <v>0.47499999999999998</v>
      </c>
      <c r="AZ28" s="23">
        <f t="shared" ca="1" si="41"/>
        <v>7.9166666666666663E-2</v>
      </c>
      <c r="BA28" s="36">
        <f t="shared" si="25"/>
        <v>0.14791666666666667</v>
      </c>
      <c r="BB28" s="27">
        <f t="shared" ca="1" si="38"/>
        <v>2.4652777777777777E-2</v>
      </c>
      <c r="BC28" s="53">
        <f t="shared" ca="1" si="39"/>
        <v>0.79166666666666663</v>
      </c>
      <c r="BE28" s="50" t="s">
        <v>73</v>
      </c>
      <c r="BF28" s="48" t="s">
        <v>74</v>
      </c>
      <c r="BG28" s="49">
        <f>IF(WL_No="  ","  ",ML/V_Disp)</f>
        <v>5.8069048827656626</v>
      </c>
    </row>
    <row r="29" spans="1:59" ht="15.75" thickBot="1" x14ac:dyDescent="0.3">
      <c r="A29" s="56" t="s">
        <v>77</v>
      </c>
      <c r="B29" s="56"/>
      <c r="C29" s="56"/>
      <c r="D29" s="57">
        <f>SUM(D4:D28)</f>
        <v>426.7</v>
      </c>
      <c r="E29" s="42"/>
      <c r="F29" s="58">
        <f>SUM(F4:F28)</f>
        <v>326.5499999999999</v>
      </c>
      <c r="G29" s="58">
        <f>SUM(G4:G28)</f>
        <v>8062.994999999999</v>
      </c>
      <c r="H29" s="42"/>
      <c r="I29" s="58">
        <f>SUM(I4:I28)</f>
        <v>36423.439066000006</v>
      </c>
      <c r="J29" s="4"/>
      <c r="K29" s="42"/>
      <c r="L29" s="58">
        <f>SUM(L4:L28)</f>
        <v>401.3862499999999</v>
      </c>
      <c r="M29" s="42"/>
      <c r="N29" s="58">
        <f>SUM(N4:N28)</f>
        <v>102.63197916666667</v>
      </c>
      <c r="O29" s="58">
        <f>SUM(O4:O28)</f>
        <v>318.85249999999979</v>
      </c>
      <c r="P29" s="4"/>
      <c r="Q29" s="50" t="s">
        <v>78</v>
      </c>
      <c r="R29" s="48" t="s">
        <v>79</v>
      </c>
      <c r="S29">
        <f>IF(Tools!$L$49="Use 141 rule only",I53,IF(Tools!$L$49="Use 141 and 1331 rules",BG30," "))</f>
        <v>0.5</v>
      </c>
      <c r="W29" s="56"/>
      <c r="X29" s="56"/>
      <c r="Y29" s="56"/>
      <c r="Z29" s="56"/>
      <c r="AA29" s="56"/>
      <c r="AB29" s="56"/>
      <c r="AC29" s="56"/>
      <c r="AD29" s="56"/>
      <c r="AE29" s="56"/>
      <c r="AF29" s="56"/>
      <c r="AG29" s="56"/>
      <c r="AH29" s="56"/>
      <c r="AI29" s="56"/>
      <c r="AJ29" s="56"/>
      <c r="AK29" s="56"/>
      <c r="AL29" s="56"/>
      <c r="AM29" s="56"/>
      <c r="AN29" s="56"/>
      <c r="AO29" s="56" t="s">
        <v>77</v>
      </c>
      <c r="AP29" s="56"/>
      <c r="AQ29" s="59"/>
      <c r="AR29" s="57">
        <f ca="1">SUM(AR4:AR28)</f>
        <v>142.23333333333332</v>
      </c>
      <c r="AS29" s="42"/>
      <c r="AT29" s="58">
        <f ca="1">SUM(AT4:AT28)</f>
        <v>108.84999999999995</v>
      </c>
      <c r="AU29" s="58">
        <f ca="1">SUM(AU4:AU28)</f>
        <v>2687.665</v>
      </c>
      <c r="AV29" s="42"/>
      <c r="AW29" s="58">
        <f ca="1">SUM(AW4:AW28)</f>
        <v>12141.146355333332</v>
      </c>
      <c r="AY29" s="42"/>
      <c r="AZ29" s="58">
        <f ca="1">SUM(AZ4:AZ28)</f>
        <v>133.79541666666668</v>
      </c>
      <c r="BA29" s="42"/>
      <c r="BB29" s="58">
        <f ca="1">SUM(BB4:BB28)</f>
        <v>34.210659722222211</v>
      </c>
      <c r="BC29" s="58">
        <f ca="1">SUM(BC4:BC28)</f>
        <v>106.28416666666666</v>
      </c>
      <c r="BE29" s="50" t="s">
        <v>75</v>
      </c>
      <c r="BF29" s="55" t="s">
        <v>76</v>
      </c>
      <c r="BG29" s="49">
        <f ca="1">IF(WL_No="  ","  ",M_Disp*BML/100/BG8)</f>
        <v>143.5020532779476</v>
      </c>
    </row>
    <row r="30" spans="1:59" x14ac:dyDescent="0.25">
      <c r="A30" s="15"/>
      <c r="B30" s="4"/>
      <c r="C30" s="4"/>
      <c r="D30" s="42"/>
      <c r="E30" s="4"/>
      <c r="F30" s="4"/>
      <c r="G30" s="4"/>
      <c r="H30" s="4"/>
      <c r="I30" s="4"/>
      <c r="J30" s="4"/>
      <c r="K30" s="4"/>
      <c r="L30" s="4"/>
      <c r="M30" s="4"/>
      <c r="N30" s="4"/>
      <c r="O30" s="4"/>
      <c r="P30" s="4"/>
      <c r="Q30" s="50" t="s">
        <v>80</v>
      </c>
      <c r="R30" s="48" t="s">
        <v>81</v>
      </c>
      <c r="S30">
        <f>IF(Tools!$L$49="Use 141 rule only",I54,IF(Tools!$L$49="Use 141 and 1331 rules",BG31," "))</f>
        <v>0.68054226475279112</v>
      </c>
      <c r="AA30" s="60"/>
      <c r="AB30" s="60"/>
      <c r="BE30" s="50" t="s">
        <v>78</v>
      </c>
      <c r="BF30" s="48" t="s">
        <v>79</v>
      </c>
      <c r="BG30" s="49">
        <f>IF(WL_No="  ","  ",WLS*WL_No)</f>
        <v>0.5</v>
      </c>
    </row>
    <row r="31" spans="1:59" x14ac:dyDescent="0.25">
      <c r="A31" s="15"/>
      <c r="B31" s="4"/>
      <c r="C31" s="4"/>
      <c r="D31" s="4"/>
      <c r="E31" s="4"/>
      <c r="F31" s="4"/>
      <c r="G31" s="4"/>
      <c r="H31" s="4"/>
      <c r="I31" s="4"/>
      <c r="J31" s="4"/>
      <c r="K31" s="4"/>
      <c r="L31" s="4"/>
      <c r="M31" s="4"/>
      <c r="N31" s="4"/>
      <c r="O31" s="4"/>
      <c r="P31" s="4"/>
      <c r="Q31" s="50" t="s">
        <v>82</v>
      </c>
      <c r="R31" s="48" t="s">
        <v>83</v>
      </c>
      <c r="S31">
        <f>IF(Tools!$L$49="Use 141 rule only",I55,IF(Tools!$L$49="Use 141 and 1331 rules",BG32," "))</f>
        <v>0.64016945773524714</v>
      </c>
      <c r="AF31" s="61" t="s">
        <v>84</v>
      </c>
      <c r="AG31" s="62">
        <f ca="1">COUNTIF(OFFSET(AQ4,,,ROUNDUP(Max_STN_count/2,0),1),"")</f>
        <v>0</v>
      </c>
      <c r="AH31" s="63">
        <f ca="1">HLOOKUP(Stn_WL,AREA_TABLE,AG31+2,FALSE)</f>
        <v>0</v>
      </c>
      <c r="AI31" s="63">
        <f ca="1">IF(AH31&gt;Long_Div/2,Long_Div/2,AH31)</f>
        <v>0</v>
      </c>
      <c r="AJ31" s="63">
        <f ca="1">AI31*STN_GAP</f>
        <v>0</v>
      </c>
      <c r="BE31" s="50" t="s">
        <v>80</v>
      </c>
      <c r="BF31" s="48" t="s">
        <v>81</v>
      </c>
      <c r="BG31" s="49">
        <f ca="1">IF(WL_No="  ","  ",AWP/(BG8*B_current))</f>
        <v>0.68054226475279112</v>
      </c>
    </row>
    <row r="32" spans="1:59" x14ac:dyDescent="0.25">
      <c r="A32" s="15"/>
      <c r="B32" s="4"/>
      <c r="C32" s="4"/>
      <c r="D32" s="4"/>
      <c r="E32" s="4"/>
      <c r="F32" s="4"/>
      <c r="G32" s="4"/>
      <c r="H32" s="4"/>
      <c r="I32" s="4"/>
      <c r="J32" s="64"/>
      <c r="K32" s="4"/>
      <c r="L32" s="4"/>
      <c r="M32" s="4"/>
      <c r="N32" s="4"/>
      <c r="O32" s="4"/>
      <c r="P32" s="4"/>
      <c r="Q32" s="50" t="s">
        <v>85</v>
      </c>
      <c r="R32" s="48" t="s">
        <v>86</v>
      </c>
      <c r="S32">
        <f>IF(Tools!$L$49="Use 141 rule only",I56,IF(Tools!$L$49="Use 141 and 1331 rules",BG33," "))</f>
        <v>0.96770334928229662</v>
      </c>
      <c r="AF32" s="61" t="s">
        <v>87</v>
      </c>
      <c r="AG32" s="62">
        <f ca="1">COUNTIF(OFFSET(AQ4,ROUNDUP(Max_STN_count/2,0),,ROUNDDOWN(Max_STN_count/2,0),1),"")</f>
        <v>0</v>
      </c>
      <c r="AH32" s="63">
        <f ca="1">HLOOKUP(Stn_WL,AREA_TABLE,AG32+2,FALSE)</f>
        <v>0</v>
      </c>
      <c r="AI32" s="63">
        <f ca="1">IF(AH32&gt;Long_Div/2,Long_Div/2,AH32)</f>
        <v>0</v>
      </c>
      <c r="AJ32" s="63">
        <f ca="1">AI32*STN_GAP</f>
        <v>0</v>
      </c>
      <c r="BE32" s="50" t="s">
        <v>82</v>
      </c>
      <c r="BF32" s="48" t="s">
        <v>83</v>
      </c>
      <c r="BG32" s="49">
        <f ca="1">IF(WL_No="  ","  ",V_Disp/(BG8*B_current*T))</f>
        <v>0.64016945773524714</v>
      </c>
    </row>
    <row r="33" spans="1:59" x14ac:dyDescent="0.25">
      <c r="A33" s="15"/>
      <c r="B33" s="4"/>
      <c r="C33" s="4"/>
      <c r="D33" s="4"/>
      <c r="E33" s="4"/>
      <c r="F33" s="4"/>
      <c r="G33" s="43" t="s">
        <v>31</v>
      </c>
      <c r="H33" s="44" t="s">
        <v>32</v>
      </c>
      <c r="I33" s="489" t="s">
        <v>33</v>
      </c>
      <c r="J33" s="4"/>
      <c r="K33" s="4"/>
      <c r="L33" s="4"/>
      <c r="M33" s="4"/>
      <c r="N33" s="4"/>
      <c r="O33" s="4"/>
      <c r="P33" s="4"/>
      <c r="Q33" s="50" t="s">
        <v>88</v>
      </c>
      <c r="R33" s="48" t="s">
        <v>89</v>
      </c>
      <c r="S33">
        <f>IF(Tools!$L$49="Use 141 rule only",I57,IF(Tools!$L$49="Use 141 and 1331 rules",BG34," "))</f>
        <v>0.66153481664606506</v>
      </c>
      <c r="AF33" s="63"/>
      <c r="AG33" s="63"/>
      <c r="AH33" s="63">
        <f ca="1">Long_Div-AH32</f>
        <v>20</v>
      </c>
      <c r="AI33" s="63"/>
      <c r="AJ33" s="63">
        <f ca="1">AJ32+AJ31</f>
        <v>0</v>
      </c>
      <c r="BE33" s="50" t="s">
        <v>85</v>
      </c>
      <c r="BF33" s="48" t="s">
        <v>86</v>
      </c>
      <c r="BG33" s="65">
        <f>IFERROR(IF(WL_No="  ","  ",(VLOOKUP(Long_Div/2,AREA_TABLE,Count_WL+1,FALSE))/(B_current*T)),"-")</f>
        <v>0.96770334928229662</v>
      </c>
    </row>
    <row r="34" spans="1:59" x14ac:dyDescent="0.25">
      <c r="G34" s="45"/>
      <c r="H34" s="46"/>
      <c r="I34" s="490"/>
      <c r="BE34" s="50" t="s">
        <v>88</v>
      </c>
      <c r="BF34" s="48" t="s">
        <v>89</v>
      </c>
      <c r="BG34" s="49">
        <f>IF(WL_No="  ","  ",CB/CM)</f>
        <v>0.66153481664606506</v>
      </c>
    </row>
    <row r="35" spans="1:59" x14ac:dyDescent="0.25">
      <c r="G35" s="47" t="s">
        <v>34</v>
      </c>
      <c r="H35" s="48" t="s">
        <v>35</v>
      </c>
      <c r="I35" s="49">
        <f>IF(WL_No="  ","  ",2/3*h*$D$29)</f>
        <v>2079.451333333333</v>
      </c>
    </row>
    <row r="36" spans="1:59" x14ac:dyDescent="0.25">
      <c r="G36" s="47" t="s">
        <v>36</v>
      </c>
      <c r="H36" s="48" t="s">
        <v>37</v>
      </c>
      <c r="I36" s="49">
        <f>IF(WL_No="  ","  ",2/3*(h^2)*$F$29)</f>
        <v>11633.038969999996</v>
      </c>
    </row>
    <row r="37" spans="1:59" x14ac:dyDescent="0.25">
      <c r="G37" s="50" t="s">
        <v>39</v>
      </c>
      <c r="H37" s="48" t="s">
        <v>40</v>
      </c>
      <c r="I37" s="49">
        <f>IF(WL_No="  ","  ",Mmid/AWP)</f>
        <v>5.5942828685258954</v>
      </c>
    </row>
    <row r="38" spans="1:59" x14ac:dyDescent="0.25">
      <c r="G38" s="50" t="s">
        <v>42</v>
      </c>
      <c r="H38" s="48" t="s">
        <v>43</v>
      </c>
      <c r="I38" s="49">
        <f>IF(WL_No="  ","  ",2/3*(h^3)*$G$29)</f>
        <v>2099700.0680290293</v>
      </c>
    </row>
    <row r="39" spans="1:59" x14ac:dyDescent="0.25">
      <c r="G39" s="51" t="s">
        <v>44</v>
      </c>
      <c r="H39" s="48" t="s">
        <v>45</v>
      </c>
      <c r="I39" s="49">
        <f>IF(WL_No="  ","  ",2/9*h*$I$29)</f>
        <v>59167.853238324453</v>
      </c>
    </row>
    <row r="40" spans="1:59" x14ac:dyDescent="0.25">
      <c r="G40" s="50" t="s">
        <v>47</v>
      </c>
      <c r="H40" s="48" t="s">
        <v>48</v>
      </c>
      <c r="I40" s="49">
        <f>IF(WL_No="  ","  ",IL-AWP*(LCF^2))</f>
        <v>2034621.5574102642</v>
      </c>
    </row>
    <row r="41" spans="1:59" x14ac:dyDescent="0.25">
      <c r="G41" s="50" t="s">
        <v>50</v>
      </c>
      <c r="H41" s="48" t="s">
        <v>51</v>
      </c>
      <c r="I41" s="49">
        <f>IF(WL_No="  ","  ",h/3*$L$29)</f>
        <v>978.04449583333303</v>
      </c>
    </row>
    <row r="42" spans="1:59" x14ac:dyDescent="0.25">
      <c r="G42" s="50" t="s">
        <v>52</v>
      </c>
      <c r="H42" s="48" t="s">
        <v>53</v>
      </c>
      <c r="I42" s="49">
        <f>IF(WL_No="  ","  ",V_Disp*1.025*1.006)</f>
        <v>1008.5105818785412</v>
      </c>
    </row>
    <row r="43" spans="1:59" x14ac:dyDescent="0.25">
      <c r="G43" s="50" t="s">
        <v>55</v>
      </c>
      <c r="H43" s="48" t="s">
        <v>56</v>
      </c>
      <c r="I43" s="49">
        <f>IF(WL_No="  ","  ",h/3*$N$29)</f>
        <v>250.07992256944442</v>
      </c>
    </row>
    <row r="44" spans="1:59" x14ac:dyDescent="0.25">
      <c r="G44" s="50" t="s">
        <v>57</v>
      </c>
      <c r="H44" s="48" t="s">
        <v>58</v>
      </c>
      <c r="I44" s="49">
        <f>IF(WL_No="  ","  ",(h^2)/3*$O$29)</f>
        <v>5679.4113584166626</v>
      </c>
    </row>
    <row r="45" spans="1:59" x14ac:dyDescent="0.25">
      <c r="G45" s="50" t="s">
        <v>60</v>
      </c>
      <c r="H45" s="48" t="s">
        <v>61</v>
      </c>
      <c r="I45" s="49">
        <f>IF(WL_No="  ","  ",IF/V_Disp)</f>
        <v>2080.2954937921154</v>
      </c>
    </row>
    <row r="46" spans="1:59" x14ac:dyDescent="0.25">
      <c r="G46" s="50" t="s">
        <v>63</v>
      </c>
      <c r="H46" s="48" t="s">
        <v>64</v>
      </c>
      <c r="I46" s="49">
        <f>IF(WL_No="  ","  ",IT/V_Disp)</f>
        <v>60.496075066514308</v>
      </c>
    </row>
    <row r="47" spans="1:59" x14ac:dyDescent="0.25">
      <c r="G47" s="50" t="s">
        <v>65</v>
      </c>
      <c r="H47" s="48" t="s">
        <v>66</v>
      </c>
      <c r="I47" s="49">
        <f>IF(WL_No="  ","  ",MT/V_Disp)</f>
        <v>0.25569380905964439</v>
      </c>
    </row>
    <row r="48" spans="1:59" x14ac:dyDescent="0.25">
      <c r="G48" s="50" t="s">
        <v>67</v>
      </c>
      <c r="H48" s="48" t="s">
        <v>68</v>
      </c>
      <c r="I48" s="49">
        <f>IF(WL_No="  ","  ",KB+BMT)</f>
        <v>60.751768875573951</v>
      </c>
    </row>
    <row r="49" spans="7:9" x14ac:dyDescent="0.25">
      <c r="G49" s="50" t="s">
        <v>69</v>
      </c>
      <c r="H49" s="48" t="s">
        <v>70</v>
      </c>
      <c r="I49" s="49">
        <f>IF(WL_No="  ","  ",KB+BML)</f>
        <v>2080.5511876011751</v>
      </c>
    </row>
    <row r="50" spans="7:9" x14ac:dyDescent="0.25">
      <c r="G50" s="50" t="s">
        <v>71</v>
      </c>
      <c r="H50" s="48" t="s">
        <v>72</v>
      </c>
      <c r="I50" s="49">
        <f>IF(WL_No="  ","  ",AWP*1.025/100)</f>
        <v>21.314376166666662</v>
      </c>
    </row>
    <row r="51" spans="7:9" x14ac:dyDescent="0.25">
      <c r="G51" s="50" t="s">
        <v>73</v>
      </c>
      <c r="H51" s="48" t="s">
        <v>74</v>
      </c>
      <c r="I51" s="49">
        <f>IF(WL_No="  ","  ",ML/V_Disp)</f>
        <v>5.8069048827656626</v>
      </c>
    </row>
    <row r="52" spans="7:9" x14ac:dyDescent="0.25">
      <c r="G52" s="50" t="s">
        <v>75</v>
      </c>
      <c r="H52" s="55" t="s">
        <v>76</v>
      </c>
      <c r="I52" s="49">
        <f>IF(WL_No="  ","  ",M_Disp*BML/100/LBP)</f>
        <v>143.5020532779476</v>
      </c>
    </row>
    <row r="53" spans="7:9" x14ac:dyDescent="0.25">
      <c r="G53" s="50" t="s">
        <v>78</v>
      </c>
      <c r="H53" s="48" t="s">
        <v>79</v>
      </c>
      <c r="I53" s="49">
        <f>IF(WL_No="  ","  ",WLS*WL_No)</f>
        <v>0.5</v>
      </c>
    </row>
    <row r="54" spans="7:9" x14ac:dyDescent="0.25">
      <c r="G54" s="50" t="s">
        <v>80</v>
      </c>
      <c r="H54" s="48" t="s">
        <v>81</v>
      </c>
      <c r="I54" s="49">
        <f>IF(WL_No="  ","  ",AWP/(LBP*B_current))</f>
        <v>0.68054226475279112</v>
      </c>
    </row>
    <row r="55" spans="7:9" x14ac:dyDescent="0.25">
      <c r="G55" s="50" t="s">
        <v>82</v>
      </c>
      <c r="H55" s="48" t="s">
        <v>83</v>
      </c>
      <c r="I55" s="49">
        <f>IF(WL_No="  ","  ",V_Disp/(LBP*B_current*T))</f>
        <v>0.64016945773524714</v>
      </c>
    </row>
    <row r="56" spans="7:9" x14ac:dyDescent="0.25">
      <c r="G56" s="50" t="s">
        <v>85</v>
      </c>
      <c r="H56" s="48" t="s">
        <v>86</v>
      </c>
      <c r="I56" s="65">
        <f>IF(WL_No="  ","  ",(VLOOKUP(Long_Div/2,AREA_TABLE,Count_WL+1,FALSE))/(B_current*T))</f>
        <v>0.96770334928229662</v>
      </c>
    </row>
    <row r="57" spans="7:9" x14ac:dyDescent="0.25">
      <c r="G57" s="50" t="s">
        <v>88</v>
      </c>
      <c r="H57" s="48" t="s">
        <v>89</v>
      </c>
      <c r="I57" s="49">
        <f>IF(WL_No="  ","  ",CB/CM)</f>
        <v>0.66153481664606506</v>
      </c>
    </row>
  </sheetData>
  <mergeCells count="7">
    <mergeCell ref="BG10:BG11"/>
    <mergeCell ref="I33:I34"/>
    <mergeCell ref="A2:I2"/>
    <mergeCell ref="K2:O2"/>
    <mergeCell ref="AO2:AW2"/>
    <mergeCell ref="AY2:BC2"/>
    <mergeCell ref="S9:S10"/>
  </mergeCells>
  <conditionalFormatting sqref="CB4:XFD30 BW4:BW28 BS4:BT28 W29:AX29 A33:F57 J33:R33 A11:R32 A2:T10 V2:AO2 AX2 BP29:BW29 A63:XFD1048576 T12:T37 U35:XFD37 BD2:BD29 BM31:XFD33 BM30:BW30 BH29:BI33 BH2:XFD3 U30:BD30 AR31:BD31 W3:AM28 A58:BD62 BH38:XFD62 J34:S37 BH34:XFD34 A1:AN1 AV1:XFD1 AO31:AP31 U33:BD34 AM31 U31:AG32 AK32:BD32 J43:BD57 J42:M42 O42:BD42 J38:BD41 AO3:AX28">
    <cfRule type="containsErrors" dxfId="144" priority="13">
      <formula>ISERROR(A1)</formula>
    </cfRule>
  </conditionalFormatting>
  <conditionalFormatting sqref="G33:I34 G35:H57">
    <cfRule type="containsErrors" dxfId="143" priority="12">
      <formula>ISERROR(G33)</formula>
    </cfRule>
  </conditionalFormatting>
  <conditionalFormatting sqref="T12:T33">
    <cfRule type="containsErrors" dxfId="142" priority="11">
      <formula>ISERROR(T12)</formula>
    </cfRule>
  </conditionalFormatting>
  <conditionalFormatting sqref="I35:I57">
    <cfRule type="containsErrors" dxfId="141" priority="10">
      <formula>ISERROR(I35)</formula>
    </cfRule>
  </conditionalFormatting>
  <conditionalFormatting sqref="AY2:BC29">
    <cfRule type="containsErrors" dxfId="140" priority="7">
      <formula>ISERROR(AY2)</formula>
    </cfRule>
  </conditionalFormatting>
  <conditionalFormatting sqref="BE10:BG11 BE12:BF34">
    <cfRule type="containsErrors" dxfId="139" priority="9">
      <formula>ISERROR(BE10)</formula>
    </cfRule>
  </conditionalFormatting>
  <conditionalFormatting sqref="BG12:BG28 BG34">
    <cfRule type="containsErrors" dxfId="138" priority="8">
      <formula>ISERROR(BG12)</formula>
    </cfRule>
  </conditionalFormatting>
  <conditionalFormatting sqref="BE2:BG6">
    <cfRule type="containsErrors" dxfId="137" priority="6">
      <formula>ISERROR(BE2)</formula>
    </cfRule>
  </conditionalFormatting>
  <conditionalFormatting sqref="BF7:BG8">
    <cfRule type="containsErrors" dxfId="136" priority="4">
      <formula>ISERROR(BF7)</formula>
    </cfRule>
  </conditionalFormatting>
  <conditionalFormatting sqref="BE7:BE8">
    <cfRule type="containsErrors" dxfId="135" priority="5">
      <formula>ISERROR(BE7)</formula>
    </cfRule>
  </conditionalFormatting>
  <conditionalFormatting sqref="S30:S33">
    <cfRule type="containsErrors" dxfId="134" priority="3">
      <formula>ISERROR(S30)</formula>
    </cfRule>
  </conditionalFormatting>
  <conditionalFormatting sqref="BG29:BG32">
    <cfRule type="containsErrors" dxfId="133" priority="2">
      <formula>ISERROR(BG29)</formula>
    </cfRule>
  </conditionalFormatting>
  <conditionalFormatting sqref="BG33">
    <cfRule type="containsErrors" dxfId="132" priority="1">
      <formula>ISERROR(BG33)</formula>
    </cfRule>
  </conditionalFormatting>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theme="4" tint="0.79998168889431442"/>
  </sheetPr>
  <dimension ref="A1:BH57"/>
  <sheetViews>
    <sheetView topLeftCell="AH1" zoomScale="55" zoomScaleNormal="55" workbookViewId="0">
      <pane ySplit="1" topLeftCell="A7" activePane="bottomLeft" state="frozen"/>
      <selection activeCell="AG8" sqref="AG8:AG10"/>
      <selection pane="bottomLeft" activeCell="AG8" sqref="AG8:AG10"/>
    </sheetView>
  </sheetViews>
  <sheetFormatPr defaultRowHeight="15" x14ac:dyDescent="0.25"/>
  <cols>
    <col min="1" max="1" width="8.28515625" customWidth="1"/>
    <col min="2" max="2" width="7.28515625" customWidth="1"/>
    <col min="4" max="4" width="6.5703125" customWidth="1"/>
    <col min="7" max="7" width="24" customWidth="1"/>
    <col min="8" max="8" width="30.5703125" customWidth="1"/>
    <col min="9" max="9" width="26.5703125" customWidth="1"/>
    <col min="10" max="10" width="10.5703125" bestFit="1" customWidth="1"/>
    <col min="11" max="11" width="9.140625" customWidth="1"/>
    <col min="13" max="13" width="7.85546875" customWidth="1"/>
    <col min="17" max="17" width="19.5703125" customWidth="1"/>
    <col min="18" max="18" width="11.85546875" customWidth="1"/>
    <col min="19" max="19" width="16.5703125" customWidth="1"/>
    <col min="20" max="20" width="14.140625" customWidth="1"/>
    <col min="35" max="35" width="14" customWidth="1"/>
    <col min="36" max="37" width="12" customWidth="1"/>
    <col min="39" max="39" width="19" customWidth="1"/>
    <col min="43" max="43" width="18" style="7" customWidth="1"/>
    <col min="49" max="49" width="11.28515625" customWidth="1"/>
    <col min="52" max="52" width="12" customWidth="1"/>
    <col min="54" max="54" width="10.7109375" bestFit="1" customWidth="1"/>
    <col min="56" max="56" width="4.5703125" customWidth="1"/>
    <col min="57" max="57" width="21.28515625" customWidth="1"/>
    <col min="58" max="58" width="15.42578125" customWidth="1"/>
    <col min="59" max="59" width="19.28515625" customWidth="1"/>
    <col min="61" max="61" width="5.7109375" customWidth="1"/>
    <col min="62" max="62" width="13" customWidth="1"/>
    <col min="63" max="63" width="17.42578125" customWidth="1"/>
  </cols>
  <sheetData>
    <row r="1" spans="1:60" x14ac:dyDescent="0.25">
      <c r="A1" s="1" t="s">
        <v>0</v>
      </c>
      <c r="B1" s="2">
        <f>VLOOKUP(Stn_WL,OFFSET_A,Count_WL+1,FALSE)</f>
        <v>0</v>
      </c>
      <c r="C1" s="3"/>
      <c r="D1" s="4"/>
      <c r="E1" s="4" t="s">
        <v>1</v>
      </c>
      <c r="F1" s="5">
        <v>1</v>
      </c>
      <c r="G1" s="4"/>
      <c r="H1" s="4"/>
      <c r="I1" s="4"/>
      <c r="J1" s="4"/>
      <c r="K1" s="4"/>
      <c r="L1" s="4"/>
      <c r="M1" s="4"/>
      <c r="N1" s="4"/>
      <c r="O1" s="4"/>
      <c r="P1" s="4"/>
      <c r="Q1" s="4"/>
      <c r="R1" s="4"/>
      <c r="S1" s="4"/>
      <c r="V1" t="s">
        <v>2</v>
      </c>
      <c r="W1">
        <f ca="1">COUNTIF(OFFSET(Z4,,,ROUNDDOWN(Max_STN_count/2+1,0),1),TRUE)</f>
        <v>5</v>
      </c>
      <c r="X1">
        <f ca="1">COUNTIF(OFFSET(AA4,,,ROUNDDOWN(Max_STN_count/2+1,0),1),TRUE)</f>
        <v>5</v>
      </c>
      <c r="Y1">
        <f ca="1">W1-X1</f>
        <v>0</v>
      </c>
      <c r="AB1" s="6" t="s">
        <v>3</v>
      </c>
      <c r="AC1">
        <f ca="1">COUNTIF(OFFSET(Z4,ROUNDUP(Max_STN_count/2,0),,ROUNDDOWN(Max_STN_count/2,0),1),TRUE)</f>
        <v>5</v>
      </c>
      <c r="AD1">
        <f ca="1">COUNTIF(OFFSET(AA4,ROUNDUP(Max_STN_count/2,0),,ROUNDDOWN(Max_STN_count/2,0),1),TRUE)</f>
        <v>5</v>
      </c>
      <c r="AE1">
        <f ca="1">AC1-AD1</f>
        <v>0</v>
      </c>
      <c r="AG1" t="s">
        <v>4</v>
      </c>
      <c r="AH1">
        <f>COUNTIF(AG4:AG28,TRUE)</f>
        <v>17</v>
      </c>
      <c r="AI1">
        <f ca="1">COUNTIF(OFFSET(AG4,,,ROUNDUP(Max_STN_count/2,0),1),FALSE)</f>
        <v>4</v>
      </c>
      <c r="AW1">
        <f ca="1">COUNTIF(OFFSET(AG4,,,Max_STN_count,1),TRUE)</f>
        <v>17</v>
      </c>
    </row>
    <row r="2" spans="1:60" x14ac:dyDescent="0.25">
      <c r="A2" s="491" t="s">
        <v>5</v>
      </c>
      <c r="B2" s="492"/>
      <c r="C2" s="492"/>
      <c r="D2" s="492"/>
      <c r="E2" s="492"/>
      <c r="F2" s="492"/>
      <c r="G2" s="492"/>
      <c r="H2" s="492"/>
      <c r="I2" s="493"/>
      <c r="J2" s="4"/>
      <c r="K2" s="491" t="s">
        <v>6</v>
      </c>
      <c r="L2" s="492"/>
      <c r="M2" s="492"/>
      <c r="N2" s="492"/>
      <c r="O2" s="493"/>
      <c r="P2" s="4"/>
      <c r="Q2" s="8" t="s">
        <v>7</v>
      </c>
      <c r="R2" s="9" t="s">
        <v>8</v>
      </c>
      <c r="S2" s="10">
        <f>WLS</f>
        <v>2</v>
      </c>
      <c r="V2" s="11"/>
      <c r="W2" s="11"/>
      <c r="X2" s="11"/>
      <c r="Y2" s="11"/>
      <c r="Z2" s="11"/>
      <c r="AA2" s="11"/>
      <c r="AB2" s="11"/>
      <c r="AC2" s="11"/>
      <c r="AD2" s="11"/>
      <c r="AE2" s="11"/>
      <c r="AF2" s="11"/>
      <c r="AG2" s="11"/>
      <c r="AH2" s="11"/>
      <c r="AI2" s="11"/>
      <c r="AJ2" s="11"/>
      <c r="AK2" s="11"/>
      <c r="AL2" s="11"/>
      <c r="AM2" s="11"/>
      <c r="AN2" s="11"/>
      <c r="AO2" s="491" t="s">
        <v>5</v>
      </c>
      <c r="AP2" s="492"/>
      <c r="AQ2" s="492"/>
      <c r="AR2" s="492"/>
      <c r="AS2" s="492"/>
      <c r="AT2" s="492"/>
      <c r="AU2" s="492"/>
      <c r="AV2" s="492"/>
      <c r="AW2" s="493"/>
      <c r="AY2" s="491" t="s">
        <v>6</v>
      </c>
      <c r="AZ2" s="492"/>
      <c r="BA2" s="492"/>
      <c r="BB2" s="492"/>
      <c r="BC2" s="493"/>
      <c r="BE2" s="8" t="s">
        <v>7</v>
      </c>
      <c r="BF2" s="9" t="s">
        <v>8</v>
      </c>
      <c r="BG2" s="10">
        <f>WLS</f>
        <v>2</v>
      </c>
    </row>
    <row r="3" spans="1:60" x14ac:dyDescent="0.25">
      <c r="A3" s="12" t="s">
        <v>9</v>
      </c>
      <c r="B3" s="13" t="s">
        <v>10</v>
      </c>
      <c r="C3" s="14" t="s">
        <v>11</v>
      </c>
      <c r="D3" s="14" t="s">
        <v>12</v>
      </c>
      <c r="E3" s="14" t="s">
        <v>13</v>
      </c>
      <c r="F3" s="14" t="s">
        <v>14</v>
      </c>
      <c r="G3" s="14" t="s">
        <v>15</v>
      </c>
      <c r="H3" s="14" t="s">
        <v>16</v>
      </c>
      <c r="I3" s="14" t="s">
        <v>17</v>
      </c>
      <c r="J3" s="15"/>
      <c r="K3" s="14" t="s">
        <v>18</v>
      </c>
      <c r="L3" s="14" t="s">
        <v>19</v>
      </c>
      <c r="M3" s="14" t="s">
        <v>20</v>
      </c>
      <c r="N3" s="14" t="s">
        <v>21</v>
      </c>
      <c r="O3" s="14" t="s">
        <v>22</v>
      </c>
      <c r="P3" s="15"/>
      <c r="Q3" s="16" t="s">
        <v>23</v>
      </c>
      <c r="R3" s="9" t="s">
        <v>8</v>
      </c>
      <c r="S3" s="10">
        <f>STN_GAP</f>
        <v>7.31</v>
      </c>
      <c r="W3" s="17" t="s">
        <v>11</v>
      </c>
      <c r="X3" s="17"/>
      <c r="Y3" s="17"/>
      <c r="Z3" s="17" t="s">
        <v>24</v>
      </c>
      <c r="AA3" s="17"/>
      <c r="AB3" s="17"/>
      <c r="AC3" s="17"/>
      <c r="AD3" s="17"/>
      <c r="AE3" s="17"/>
      <c r="AF3" s="17"/>
      <c r="AG3" s="17" t="s">
        <v>4</v>
      </c>
      <c r="AH3" s="17"/>
      <c r="AI3" s="17" t="s">
        <v>25</v>
      </c>
      <c r="AJ3" s="17"/>
      <c r="AK3" s="17"/>
      <c r="AL3" s="17"/>
      <c r="AM3" s="18" t="s">
        <v>11</v>
      </c>
      <c r="AO3" s="12" t="s">
        <v>9</v>
      </c>
      <c r="AP3" s="13" t="s">
        <v>10</v>
      </c>
      <c r="AQ3" s="19"/>
      <c r="AR3" s="14" t="s">
        <v>12</v>
      </c>
      <c r="AS3" s="14" t="s">
        <v>13</v>
      </c>
      <c r="AT3" s="14" t="s">
        <v>14</v>
      </c>
      <c r="AU3" s="14" t="s">
        <v>15</v>
      </c>
      <c r="AV3" s="14" t="s">
        <v>16</v>
      </c>
      <c r="AW3" s="14" t="s">
        <v>17</v>
      </c>
      <c r="AY3" s="14" t="s">
        <v>18</v>
      </c>
      <c r="AZ3" s="14" t="s">
        <v>19</v>
      </c>
      <c r="BA3" s="14" t="s">
        <v>20</v>
      </c>
      <c r="BB3" s="14" t="s">
        <v>21</v>
      </c>
      <c r="BC3" s="14" t="s">
        <v>22</v>
      </c>
      <c r="BE3" s="16" t="s">
        <v>23</v>
      </c>
      <c r="BF3" s="9" t="s">
        <v>8</v>
      </c>
      <c r="BG3" s="10">
        <f>STN_GAP</f>
        <v>7.31</v>
      </c>
    </row>
    <row r="4" spans="1:60" x14ac:dyDescent="0.25">
      <c r="A4" s="20">
        <f>Tools!$AD3</f>
        <v>0</v>
      </c>
      <c r="B4" s="21">
        <f t="shared" ref="B4:B28" si="0">VLOOKUP(A4,OFFSET_A,Count_WL+1,FALSE)</f>
        <v>0</v>
      </c>
      <c r="C4" s="22">
        <f>IF(A4="  ","  ",IF(A5="  ","?",1*(A5-A4)))</f>
        <v>0.5</v>
      </c>
      <c r="D4" s="23">
        <f>IFERROR(B4*C4,"  ")</f>
        <v>0</v>
      </c>
      <c r="E4" s="24">
        <f t="shared" ref="E4:E28" si="1">IFERROR(A4-(Long_Div/2),"  ")</f>
        <v>-10</v>
      </c>
      <c r="F4" s="23">
        <f>IFERROR(D4*E4,"  ")</f>
        <v>0</v>
      </c>
      <c r="G4" s="23">
        <f>IFERROR(F4*E4,"  ")</f>
        <v>0</v>
      </c>
      <c r="H4" s="23">
        <f>IFERROR(B4^3,"  ")</f>
        <v>0</v>
      </c>
      <c r="I4" s="23">
        <f>IFERROR(H4*C4,"  ")</f>
        <v>0</v>
      </c>
      <c r="J4" s="4"/>
      <c r="K4" s="25">
        <f t="shared" ref="K4:K28" si="2">VLOOKUP(A4,AREA_TABLE,Count_WL+1,FALSE)</f>
        <v>0</v>
      </c>
      <c r="L4" s="23">
        <f>IFERROR(K4*C4,"  ")</f>
        <v>0</v>
      </c>
      <c r="M4" s="26">
        <f t="shared" ref="M4:M28" si="3">VLOOKUP(A4,MOMENT_TABLE,Count_WL+1,FALSE)</f>
        <v>0</v>
      </c>
      <c r="N4" s="27">
        <f>IFERROR(M4*C4,"  ")</f>
        <v>0</v>
      </c>
      <c r="O4" s="23">
        <f>IFERROR(L4*E4,"  ")</f>
        <v>0</v>
      </c>
      <c r="P4" s="4"/>
      <c r="Q4" s="16" t="s">
        <v>26</v>
      </c>
      <c r="R4" s="9" t="s">
        <v>8</v>
      </c>
      <c r="S4" s="28">
        <f>LBP</f>
        <v>146.19999999999999</v>
      </c>
      <c r="W4" s="29">
        <f>IF(AO4="  ","  ",IF(AO5="  ","?",1*(AO5-AO4)))</f>
        <v>0.5</v>
      </c>
      <c r="X4" s="30" t="str">
        <f t="shared" ref="X4:X28" si="4">IF(Y4=0,"--",CONCATENATE(IF(AO4=0,"-",IF(Y3=0,"-",IF(AO4-AO3=0.5,"D",IF(AO4-AO3=1,"W","-")))),IF(AO4=Long_Div,"-",IF(Y5=0,"-",IF(AO5-AO4=0.5,"D",IF(AO5-AO4=1,"W","-"))))))</f>
        <v>-D</v>
      </c>
      <c r="Y4" s="30" t="str">
        <f t="shared" ref="Y4:Y28" si="5">IF(ISNUMBER(AO4),IF(AO4=Long_Div/2,"-",IF(AND(AO4=Long_Div,$AP4=0,$AP3=0),0,IF(AND(AO4=0,$AP4=0,$AP5=0),0,IF($AO4&lt;Long_Div/2,IF(AND(Y3=0,$AP4=0,$AP5=0),0,"-"),IF(AND(Y5=0,$AP4=0,$AP3=0),0,"-")))))," ")</f>
        <v>-</v>
      </c>
      <c r="Z4" s="29" t="b">
        <f t="shared" ref="Z4:Z28" si="6">IF(ISNUMBER(AO4),IF(AO4=0,IF(AO5=0.5,TRUE,FALSE),IF(AO4=Long_Div,IF(AO3=Long_Div-0.5,TRUE,FALSE),IF(OR(AO5-AO4=0.5,AO4-AO3=0.5),TRUE,FALSE)))," ")</f>
        <v>1</v>
      </c>
      <c r="AA4" s="29" t="b">
        <f t="shared" ref="AA4:AA28" si="7">IF(ISNUMBER(AO4),IF(Y4=0," ",IF(AO4=0,IF(AO5=0.5,TRUE,"-"),IF(AO4=Long_Div,IF(AO3=Long_Div-0.5,TRUE,"-"),IF(OR(AO5-AO4=0.5,AO4-AO3=0.5),TRUE,FALSE))))," ")</f>
        <v>1</v>
      </c>
      <c r="AB4" s="29" t="str">
        <f t="shared" ref="AB4:AB28" ca="1" si="8">IF(AO4&lt;=Long_Div/2,IF(ISNUMBER(AO4),IF($X$1=0,"---",IF($X$1=1,"##",IF($X$1=2,IF(AD4=1,"141-4",IF(OR(AD4=0,AD4=2),"141-1","**")),IF(AC4&lt;=($Y$1),"--",IF(AC4&gt;$W$1,"++",IF(ISODD($X$1),IF(OR(AD4=1,AD4=$X$1),"141-1",IF(ISODD(AD4),"141-2",IF(ISEVEN(AD4),"141-4","+"))),IF(ISEVEN($X$1),IF(AD4=1,"1331-1",IF(OR(AD4=2,AD4=3),"1331-3",IF(AD4=4,IF($X$1=4,"1331-1","1331-1,141-1"),IF(AD4=$X$1,"141-1",IF(AD4&lt;=4,"??",IF(ISODD(AD4),"141-4",IF(ISEVEN(AD4),"141-2","SS"))))))))))))))," "),IF(AO4&gt;Long_Div/2,IF(ISNUMBER(AO4),IF($AD$1=0,"---",IF($AD$1=1,"##",IF($AD$1=2,IF(AD4=1,"141-4",IF(OR(AD4=0,AD4=2),"141-1","**")),IF(AC4&lt;=($AE$1),"--",IF(AC4&gt;$AC$1,"++",IF(ISODD($AD$1),IF(OR(AD4=1,AD4=$AD$1),"141-1",IF(ISODD(AD4),"141-2",IF(ISEVEN(AD4),"141-4","+"))),IF(ISEVEN($AD$1),IF(AD4=1,"1331-1",IF(OR(AD4=2,AD4=3),"1331-3",IF(AD4=4,IF($AD$1=4,"1331-1","1331-1,141-1"),IF(AD4=$AD$1,"141-1",IF(AD4&lt;=4,"??",IF(ISODD(AD4),"141-4",IF(ISEVEN(AD4),"141-2","SS"))))))))))))))," "),"@"))</f>
        <v>141-1</v>
      </c>
      <c r="AC4" s="29">
        <f>IF(ISNUMBER(AO4),IF(ISNUMBER(AO4),IF(OR(AO4=0,AO4=Long_Div),1,IF(AO4&gt;Long_Div/2,AC5+1,IF(AO4&lt;=Long_Div/2,AE3+1,"?")))," --")," ")</f>
        <v>1</v>
      </c>
      <c r="AD4" s="29">
        <f t="shared" ref="AD4:AD28" ca="1" si="9">IF(ISNUMBER(AO4),IF(AO4&gt;Long_Div/2,4-ROW(AD4)+Max_STN_count-$AE$1,ROW(AD4)-3-$Y$1)," ")</f>
        <v>1</v>
      </c>
      <c r="AE4" s="29">
        <v>1</v>
      </c>
      <c r="AF4" s="31" t="str">
        <f t="shared" ref="AF4:AF8" si="10">IF(AND(AG4=TRUE,OR(NOT(AG3=TRUE),AG3="Full")),1,IF(ISNUMBER(AF3),AF3+1," "))</f>
        <v xml:space="preserve"> </v>
      </c>
      <c r="AG4" s="29" t="b">
        <f t="shared" ref="AG4:AG28" si="11">IF(ISNUMBER(AO4),IF(AA4=" "," ",IF(AO4=0,IF(AO5-AO4=1,TRUE,FALSE),IF(AO4=Long_Div,IF(AO4-AO3=1,TRUE,FALSE),IF(OR(AO5-AO4=1,AO4-AO3=1),TRUE,FALSE))))," ")</f>
        <v>0</v>
      </c>
      <c r="AH4" s="30" t="str">
        <f t="shared" ref="AH4:AH13" si="12">IF(AND(AG4=TRUE,$AH$1=1),"141-4",IF(AG4=" ",IF(AND($AH$1=2,AF4=3),"141-1","-"),IF(OR(AG4=FALSE,AG4=" "),"-",IF(AG4=TRUE,IF(AND($AH$1=2,AF4=1),"141-1",IF(AND($AH$1=2,AF4=2),"141-4",IF(OR(ISODD($AH$1),AF4&gt;4),IF(AF4=1,"141-1",IF(OR(AB4="141-1",AB4="1331-1",AB4="1331-1,141-1"),"141-1",IF(AG5=" ","141-1",IF(OR(AH3="141-1",AH3="141-2",AH3="1331-1,141-1"),"141-4",IF(AH3="141-4","141-2","$$"))))),IF(ISEVEN($AH$1),IF(AF4=1,"1331-1",IF(OR(AF4=2,AF4=3),"1331-3",IF(AF4=4,IF($AH$1=4,"1331-1","1331-1,141-1"),"")))))))))))</f>
        <v>-</v>
      </c>
      <c r="AI4" s="30" t="str">
        <f t="shared" ref="AI4:AI28" ca="1" si="13">IF(OR(AB4="1331-1",AB4="1331-1,141-1"),"(1/2)*(3/8)",IF(AB4="1331-3","(1/2)*(9/8)",IF(AB4="141-1","(1/2)*(1/3)",IF(AB4="141-2","(1/2)*(2/3)",IF(AB4="141-4","(1/2)*(4/3)","")))))</f>
        <v>(1/2)*(1/3)</v>
      </c>
      <c r="AJ4" s="29">
        <f t="shared" ref="AJ4:AJ28" ca="1" si="14">IF(OR(AB4="1331-1",AB4="1331-1,141-1"),(1/2)*(3/8),IF(AB4="1331-3",(1/2)*(9/8),IF(AB4="141-1",(1/2)*(1/3),IF(AB4="141-2",(1/2)*(2/3),IF(AB4="141-4",(1/2)*(4/3),0)))))</f>
        <v>0.16666666666666666</v>
      </c>
      <c r="AK4" s="29" t="str">
        <f t="shared" ref="AK4:AK28" si="15">IF(AH4="1331-1,141-1","(1*3/8)+(1/3)",IF(LEFT(AH4,4)="141-",CONCATENATE(RIGHT(AH4,1),"/3"),IF(LEFT(AH4,4)="1331",CONCATENATE(RIGHT(AH4,1),"*3/8"),"")))</f>
        <v/>
      </c>
      <c r="AL4" s="29">
        <f t="shared" ref="AL4:AL28" si="16">IF(AH4="1331-1,141-1",(1*3/8)+(1/3),IF(LEFT(AH4,4)="141-",(RIGHT(AH4,1)/3),IF(LEFT(AH4,4)="1331",RIGHT(AH4,1)*3/8,0)))</f>
        <v>0</v>
      </c>
      <c r="AM4" s="32">
        <f ca="1">IF(AQ4=""," ",AJ4+AL4)</f>
        <v>0.16666666666666666</v>
      </c>
      <c r="AO4" s="20">
        <f>Tools!$AD3</f>
        <v>0</v>
      </c>
      <c r="AP4" s="33">
        <f t="shared" ref="AP4" si="17">VLOOKUP(AO4,OFFSET_A,Count_WL+1,FALSE)</f>
        <v>0</v>
      </c>
      <c r="AQ4" s="34" t="str">
        <f t="shared" ref="AQ4:AQ28" ca="1" si="18">CONCATENATE(AI4,IF(NOT(OR(AI4="",AK4="")),"+",""),AK4)</f>
        <v>(1/2)*(1/3)</v>
      </c>
      <c r="AR4" s="23">
        <f t="shared" ref="AR4:AR28" ca="1" si="19">IFERROR(AP4*AM4,"  ")</f>
        <v>0</v>
      </c>
      <c r="AS4" s="24">
        <f t="shared" ref="AS4:AS28" si="20">IFERROR(AO4-(Long_Div/2),"  ")</f>
        <v>-10</v>
      </c>
      <c r="AT4" s="23">
        <f ca="1">IFERROR(AR4*AS4,"  ")</f>
        <v>0</v>
      </c>
      <c r="AU4" s="23">
        <f ca="1">IFERROR(AT4*AS4,"  ")</f>
        <v>0</v>
      </c>
      <c r="AV4" s="23">
        <f t="shared" ref="AV4:AV28" si="21">IFERROR(AP4^3,"  ")</f>
        <v>0</v>
      </c>
      <c r="AW4" s="23">
        <f t="shared" ref="AW4:AW28" ca="1" si="22">IFERROR(AV4*AM4,"  ")</f>
        <v>0</v>
      </c>
      <c r="AY4" s="35">
        <f t="shared" ref="AY4:AY28" si="23">IF(ROW(AY4)-3&gt;Max_STN_count," ",VLOOKUP(AO4,AREA_TABLE,Count_WL+1,FALSE))</f>
        <v>0</v>
      </c>
      <c r="AZ4" s="23">
        <f t="shared" ref="AZ4:AZ7" ca="1" si="24">IFERROR(AY4*AM4,"  ")</f>
        <v>0</v>
      </c>
      <c r="BA4" s="36">
        <f t="shared" ref="BA4:BA28" si="25">IF(ROW(AY4)-3&gt;Max_STN_count," ",VLOOKUP(AO4,MOMENT_TABLE,Count_WL+1,FALSE))</f>
        <v>0</v>
      </c>
      <c r="BB4" s="27">
        <f ca="1">IFERROR(BA4*AM4,"  ")</f>
        <v>0</v>
      </c>
      <c r="BC4" s="23">
        <f ca="1">IFERROR(AZ4*AS4,"  ")</f>
        <v>0</v>
      </c>
      <c r="BE4" s="16" t="s">
        <v>26</v>
      </c>
      <c r="BF4" s="9" t="s">
        <v>8</v>
      </c>
      <c r="BG4" s="28">
        <f>LBP</f>
        <v>146.19999999999999</v>
      </c>
    </row>
    <row r="5" spans="1:60" x14ac:dyDescent="0.25">
      <c r="A5" s="20">
        <f>Tools!$AD4</f>
        <v>0.5</v>
      </c>
      <c r="B5" s="33">
        <f t="shared" si="0"/>
        <v>0.1</v>
      </c>
      <c r="C5" s="22">
        <f>IF(A5="  ","  ",IF(AND(A4="  ",A6="  "),"?",IF(A4="  ",2*(A6-A5),IF(A6="  ",2*(A5-A4),2*(A6-A4)))))</f>
        <v>2</v>
      </c>
      <c r="D5" s="23">
        <f t="shared" ref="D5:D28" si="26">IFERROR(B5*C5,"  ")</f>
        <v>0.2</v>
      </c>
      <c r="E5" s="24">
        <f t="shared" si="1"/>
        <v>-9.5</v>
      </c>
      <c r="F5" s="23">
        <f t="shared" ref="F5:F28" si="27">IFERROR(D5*E5,"  ")</f>
        <v>-1.9000000000000001</v>
      </c>
      <c r="G5" s="23">
        <f t="shared" ref="G5:G28" si="28">IFERROR(F5*E5,"  ")</f>
        <v>18.05</v>
      </c>
      <c r="H5" s="23">
        <f t="shared" ref="H5:H28" si="29">IFERROR(B5^3,"  ")</f>
        <v>1.0000000000000002E-3</v>
      </c>
      <c r="I5" s="23">
        <f t="shared" ref="I5:I28" si="30">IFERROR(H5*C5,"  ")</f>
        <v>2.0000000000000005E-3</v>
      </c>
      <c r="J5" s="4"/>
      <c r="K5" s="37">
        <f t="shared" si="2"/>
        <v>0</v>
      </c>
      <c r="L5" s="23">
        <f t="shared" ref="L5:L28" si="31">IFERROR(K5*C5,"  ")</f>
        <v>0</v>
      </c>
      <c r="M5" s="38">
        <f t="shared" si="3"/>
        <v>0</v>
      </c>
      <c r="N5" s="27">
        <f t="shared" ref="N5:N28" si="32">IFERROR(M5*C5,"  ")</f>
        <v>0</v>
      </c>
      <c r="O5" s="23">
        <f t="shared" ref="O5:O28" si="33">IFERROR(L5*E5,"  ")</f>
        <v>0</v>
      </c>
      <c r="P5" s="4"/>
      <c r="Q5" s="8" t="s">
        <v>27</v>
      </c>
      <c r="R5" s="9" t="s">
        <v>8</v>
      </c>
      <c r="S5" s="10">
        <f>BREADTH</f>
        <v>22</v>
      </c>
      <c r="W5" s="29">
        <f>IF(AO5="  ","  ",IF(AND(AO4="  ",AO6="  "),"?",IF(AO4="  ",2*(AO6-AO5),IF(AO6="  ",2*(AO5-AO4),2*(AO6-AO4)))))</f>
        <v>2</v>
      </c>
      <c r="X5" s="30" t="str">
        <f t="shared" si="4"/>
        <v>DD</v>
      </c>
      <c r="Y5" s="30" t="str">
        <f t="shared" si="5"/>
        <v>-</v>
      </c>
      <c r="Z5" s="29" t="b">
        <f t="shared" si="6"/>
        <v>1</v>
      </c>
      <c r="AA5" s="29" t="b">
        <f t="shared" si="7"/>
        <v>1</v>
      </c>
      <c r="AB5" s="29" t="str">
        <f t="shared" ca="1" si="8"/>
        <v>141-4</v>
      </c>
      <c r="AC5" s="29">
        <f t="shared" ref="AC5:AC27" si="34">IF(ISNUMBER(AO5),IF(ISNUMBER(AO5),IF(OR(AO5=0,AO5=Long_Div),1,IF(AO5&gt;Long_Div/2,AC6+1,IF(AO5&lt;=Long_Div/2,AC4+1,"?")))," --")," ")</f>
        <v>2</v>
      </c>
      <c r="AD5" s="29">
        <f t="shared" ca="1" si="9"/>
        <v>2</v>
      </c>
      <c r="AE5" s="29">
        <v>2</v>
      </c>
      <c r="AF5" s="31" t="str">
        <f t="shared" si="10"/>
        <v xml:space="preserve"> </v>
      </c>
      <c r="AG5" s="29" t="b">
        <f t="shared" si="11"/>
        <v>0</v>
      </c>
      <c r="AH5" s="30" t="str">
        <f t="shared" si="12"/>
        <v>-</v>
      </c>
      <c r="AI5" s="30" t="str">
        <f t="shared" ca="1" si="13"/>
        <v>(1/2)*(4/3)</v>
      </c>
      <c r="AJ5" s="29">
        <f t="shared" ca="1" si="14"/>
        <v>0.66666666666666663</v>
      </c>
      <c r="AK5" s="29" t="str">
        <f t="shared" si="15"/>
        <v/>
      </c>
      <c r="AL5" s="29">
        <f t="shared" si="16"/>
        <v>0</v>
      </c>
      <c r="AM5" s="32">
        <f t="shared" ref="AM5:AM28" ca="1" si="35">IF(AQ5=""," ",AJ5+AL5)</f>
        <v>0.66666666666666663</v>
      </c>
      <c r="AO5" s="20">
        <f>Tools!$AD4</f>
        <v>0.5</v>
      </c>
      <c r="AP5" s="33">
        <f t="shared" ref="AP5:AP28" si="36">VLOOKUP(AO5,OFFSET_A,Count_WL+1,FALSE)</f>
        <v>0.1</v>
      </c>
      <c r="AQ5" s="34" t="str">
        <f t="shared" ca="1" si="18"/>
        <v>(1/2)*(4/3)</v>
      </c>
      <c r="AR5" s="23">
        <f t="shared" ca="1" si="19"/>
        <v>6.6666666666666666E-2</v>
      </c>
      <c r="AS5" s="24">
        <f t="shared" si="20"/>
        <v>-9.5</v>
      </c>
      <c r="AT5" s="23">
        <f t="shared" ref="AT5:AT28" ca="1" si="37">IFERROR(AR5*AS5,"  ")</f>
        <v>-0.6333333333333333</v>
      </c>
      <c r="AU5" s="23">
        <f ca="1">IFERROR(AT5*AS5,"  ")</f>
        <v>6.0166666666666666</v>
      </c>
      <c r="AV5" s="23">
        <f t="shared" si="21"/>
        <v>1.0000000000000002E-3</v>
      </c>
      <c r="AW5" s="23">
        <f t="shared" ca="1" si="22"/>
        <v>6.6666666666666675E-4</v>
      </c>
      <c r="AY5" s="35">
        <f t="shared" si="23"/>
        <v>0</v>
      </c>
      <c r="AZ5" s="23">
        <f t="shared" ca="1" si="24"/>
        <v>0</v>
      </c>
      <c r="BA5" s="36">
        <f t="shared" si="25"/>
        <v>0</v>
      </c>
      <c r="BB5" s="27">
        <f t="shared" ref="BB5:BB28" ca="1" si="38">IFERROR(BA5*AM5,"  ")</f>
        <v>0</v>
      </c>
      <c r="BC5" s="23">
        <f t="shared" ref="BC5:BC28" ca="1" si="39">IFERROR(AZ5*AS5,"  ")</f>
        <v>0</v>
      </c>
      <c r="BE5" s="8" t="s">
        <v>27</v>
      </c>
      <c r="BF5" s="9" t="s">
        <v>8</v>
      </c>
      <c r="BG5" s="10">
        <f>BREADTH</f>
        <v>22</v>
      </c>
    </row>
    <row r="6" spans="1:60" x14ac:dyDescent="0.25">
      <c r="A6" s="20">
        <f>Tools!$AD5</f>
        <v>1</v>
      </c>
      <c r="B6" s="33">
        <f t="shared" si="0"/>
        <v>0.3</v>
      </c>
      <c r="C6" s="22">
        <f>IF(A6="  ","  ",IF(AND(A5="  ",A7="  "),"?",IF(A5="  ",1*(A7-A6),IF(A7="  ",1*(A6-A5),1*(A7-A5)))))</f>
        <v>1</v>
      </c>
      <c r="D6" s="23">
        <f t="shared" si="26"/>
        <v>0.3</v>
      </c>
      <c r="E6" s="24">
        <f t="shared" si="1"/>
        <v>-9</v>
      </c>
      <c r="F6" s="23">
        <f t="shared" si="27"/>
        <v>-2.6999999999999997</v>
      </c>
      <c r="G6" s="23">
        <f t="shared" si="28"/>
        <v>24.299999999999997</v>
      </c>
      <c r="H6" s="23">
        <f t="shared" si="29"/>
        <v>2.7E-2</v>
      </c>
      <c r="I6" s="23">
        <f t="shared" si="30"/>
        <v>2.7E-2</v>
      </c>
      <c r="J6" s="4"/>
      <c r="K6" s="37">
        <f t="shared" si="2"/>
        <v>0</v>
      </c>
      <c r="L6" s="23">
        <f t="shared" si="31"/>
        <v>0</v>
      </c>
      <c r="M6" s="38">
        <f t="shared" si="3"/>
        <v>0</v>
      </c>
      <c r="N6" s="27">
        <f t="shared" si="32"/>
        <v>0</v>
      </c>
      <c r="O6" s="23">
        <f t="shared" si="33"/>
        <v>0</v>
      </c>
      <c r="P6" s="4"/>
      <c r="Q6" s="8" t="s">
        <v>28</v>
      </c>
      <c r="R6" s="9" t="s">
        <v>8</v>
      </c>
      <c r="S6" s="10">
        <f>DEPTH</f>
        <v>13</v>
      </c>
      <c r="W6" s="29">
        <f>IF(AO6="  ","  ",IF(AND(AO5="  ",AO7="  "),"?",IF(AO5="  ",1*(AO7-AO6),IF(AO7="  ",1*(AO6-AO5),1*(AO7-AO5)))))</f>
        <v>1</v>
      </c>
      <c r="X6" s="30" t="str">
        <f t="shared" si="4"/>
        <v>DD</v>
      </c>
      <c r="Y6" s="30" t="str">
        <f t="shared" si="5"/>
        <v>-</v>
      </c>
      <c r="Z6" s="29" t="b">
        <f t="shared" si="6"/>
        <v>1</v>
      </c>
      <c r="AA6" s="29" t="b">
        <f t="shared" si="7"/>
        <v>1</v>
      </c>
      <c r="AB6" s="29" t="str">
        <f t="shared" ca="1" si="8"/>
        <v>141-2</v>
      </c>
      <c r="AC6" s="29">
        <f t="shared" si="34"/>
        <v>3</v>
      </c>
      <c r="AD6" s="29">
        <f t="shared" ca="1" si="9"/>
        <v>3</v>
      </c>
      <c r="AE6" s="29">
        <v>3</v>
      </c>
      <c r="AF6" s="31" t="str">
        <f t="shared" si="10"/>
        <v xml:space="preserve"> </v>
      </c>
      <c r="AG6" s="29" t="b">
        <f t="shared" si="11"/>
        <v>0</v>
      </c>
      <c r="AH6" s="30" t="str">
        <f t="shared" si="12"/>
        <v>-</v>
      </c>
      <c r="AI6" s="30" t="str">
        <f t="shared" ca="1" si="13"/>
        <v>(1/2)*(2/3)</v>
      </c>
      <c r="AJ6" s="29">
        <f t="shared" ca="1" si="14"/>
        <v>0.33333333333333331</v>
      </c>
      <c r="AK6" s="29" t="str">
        <f t="shared" si="15"/>
        <v/>
      </c>
      <c r="AL6" s="29">
        <f t="shared" si="16"/>
        <v>0</v>
      </c>
      <c r="AM6" s="32">
        <f t="shared" ca="1" si="35"/>
        <v>0.33333333333333331</v>
      </c>
      <c r="AO6" s="20">
        <f>Tools!$AD5</f>
        <v>1</v>
      </c>
      <c r="AP6" s="33">
        <f t="shared" si="36"/>
        <v>0.3</v>
      </c>
      <c r="AQ6" s="34" t="str">
        <f t="shared" ca="1" si="18"/>
        <v>(1/2)*(2/3)</v>
      </c>
      <c r="AR6" s="23">
        <f t="shared" ca="1" si="19"/>
        <v>9.9999999999999992E-2</v>
      </c>
      <c r="AS6" s="24">
        <f t="shared" si="20"/>
        <v>-9</v>
      </c>
      <c r="AT6" s="23">
        <f t="shared" ca="1" si="37"/>
        <v>-0.89999999999999991</v>
      </c>
      <c r="AU6" s="23">
        <f ca="1">IFERROR(AT6*AS6,"  ")</f>
        <v>8.1</v>
      </c>
      <c r="AV6" s="23">
        <f t="shared" si="21"/>
        <v>2.7E-2</v>
      </c>
      <c r="AW6" s="23">
        <f t="shared" ca="1" si="22"/>
        <v>8.9999999999999993E-3</v>
      </c>
      <c r="AY6" s="35">
        <f t="shared" si="23"/>
        <v>0</v>
      </c>
      <c r="AZ6" s="23">
        <f t="shared" ca="1" si="24"/>
        <v>0</v>
      </c>
      <c r="BA6" s="36">
        <f t="shared" si="25"/>
        <v>0</v>
      </c>
      <c r="BB6" s="27">
        <f t="shared" ca="1" si="38"/>
        <v>0</v>
      </c>
      <c r="BC6" s="23">
        <f t="shared" ca="1" si="39"/>
        <v>0</v>
      </c>
      <c r="BE6" s="8" t="s">
        <v>28</v>
      </c>
      <c r="BF6" s="9" t="s">
        <v>8</v>
      </c>
      <c r="BG6" s="10">
        <f>DEPTH</f>
        <v>13</v>
      </c>
    </row>
    <row r="7" spans="1:60" x14ac:dyDescent="0.25">
      <c r="A7" s="20">
        <f>Tools!$AD6</f>
        <v>1.5</v>
      </c>
      <c r="B7" s="33">
        <f t="shared" si="0"/>
        <v>0.5</v>
      </c>
      <c r="C7" s="22">
        <f>IF(A7="  ","  ",IF(AND(A6="  ",A8="  "),"?",IF(A6="  ",2*(A8-A7),IF(A8="  ",2*(A7-A6),2*(A8-A6)))))</f>
        <v>2</v>
      </c>
      <c r="D7" s="23">
        <f t="shared" si="26"/>
        <v>1</v>
      </c>
      <c r="E7" s="24">
        <f t="shared" si="1"/>
        <v>-8.5</v>
      </c>
      <c r="F7" s="23">
        <f t="shared" si="27"/>
        <v>-8.5</v>
      </c>
      <c r="G7" s="23">
        <f t="shared" si="28"/>
        <v>72.25</v>
      </c>
      <c r="H7" s="23">
        <f t="shared" si="29"/>
        <v>0.125</v>
      </c>
      <c r="I7" s="23">
        <f t="shared" si="30"/>
        <v>0.25</v>
      </c>
      <c r="J7" s="4"/>
      <c r="K7" s="37">
        <f t="shared" si="2"/>
        <v>0</v>
      </c>
      <c r="L7" s="23">
        <f t="shared" si="31"/>
        <v>0</v>
      </c>
      <c r="M7" s="38">
        <f t="shared" si="3"/>
        <v>0</v>
      </c>
      <c r="N7" s="27">
        <f t="shared" si="32"/>
        <v>0</v>
      </c>
      <c r="O7" s="23">
        <f t="shared" si="33"/>
        <v>0</v>
      </c>
      <c r="P7" s="4"/>
      <c r="Q7" s="39" t="s">
        <v>29</v>
      </c>
      <c r="R7" s="40" t="s">
        <v>8</v>
      </c>
      <c r="S7" s="41">
        <f>IF(MAX(B4:B28)=0," ",2*MAX(B4:B28))</f>
        <v>19.399999999999999</v>
      </c>
      <c r="W7" s="29">
        <f>IF(AO7="  ","  ",IF(AND(AO6="  ",AO8="  "),"?",IF(AO6="  ",2*(AO8-AO7),IF(AO8="  ",2*(AO7-AO6),2*(AO8-AO6)))))</f>
        <v>2</v>
      </c>
      <c r="X7" s="30" t="str">
        <f t="shared" si="4"/>
        <v>DD</v>
      </c>
      <c r="Y7" s="30" t="str">
        <f t="shared" si="5"/>
        <v>-</v>
      </c>
      <c r="Z7" s="29" t="b">
        <f t="shared" si="6"/>
        <v>1</v>
      </c>
      <c r="AA7" s="29" t="b">
        <f t="shared" si="7"/>
        <v>1</v>
      </c>
      <c r="AB7" s="29" t="str">
        <f t="shared" ca="1" si="8"/>
        <v>141-4</v>
      </c>
      <c r="AC7" s="29">
        <f t="shared" si="34"/>
        <v>4</v>
      </c>
      <c r="AD7" s="29">
        <f t="shared" ca="1" si="9"/>
        <v>4</v>
      </c>
      <c r="AE7" s="29">
        <v>4</v>
      </c>
      <c r="AF7" s="31" t="str">
        <f t="shared" si="10"/>
        <v xml:space="preserve"> </v>
      </c>
      <c r="AG7" s="29" t="b">
        <f t="shared" si="11"/>
        <v>0</v>
      </c>
      <c r="AH7" s="30" t="str">
        <f t="shared" si="12"/>
        <v>-</v>
      </c>
      <c r="AI7" s="30" t="str">
        <f t="shared" ca="1" si="13"/>
        <v>(1/2)*(4/3)</v>
      </c>
      <c r="AJ7" s="29">
        <f t="shared" ca="1" si="14"/>
        <v>0.66666666666666663</v>
      </c>
      <c r="AK7" s="29" t="str">
        <f t="shared" si="15"/>
        <v/>
      </c>
      <c r="AL7" s="29">
        <f t="shared" si="16"/>
        <v>0</v>
      </c>
      <c r="AM7" s="32">
        <f t="shared" ca="1" si="35"/>
        <v>0.66666666666666663</v>
      </c>
      <c r="AO7" s="20">
        <f>Tools!$AD6</f>
        <v>1.5</v>
      </c>
      <c r="AP7" s="33">
        <f t="shared" si="36"/>
        <v>0.5</v>
      </c>
      <c r="AQ7" s="34" t="str">
        <f t="shared" ca="1" si="18"/>
        <v>(1/2)*(4/3)</v>
      </c>
      <c r="AR7" s="23">
        <f t="shared" ca="1" si="19"/>
        <v>0.33333333333333331</v>
      </c>
      <c r="AS7" s="24">
        <f t="shared" si="20"/>
        <v>-8.5</v>
      </c>
      <c r="AT7" s="23">
        <f t="shared" ca="1" si="37"/>
        <v>-2.833333333333333</v>
      </c>
      <c r="AU7" s="23">
        <f t="shared" ref="AU7:AU28" ca="1" si="40">IFERROR(AT7*AS7,"  ")</f>
        <v>24.083333333333332</v>
      </c>
      <c r="AV7" s="23">
        <f t="shared" si="21"/>
        <v>0.125</v>
      </c>
      <c r="AW7" s="23">
        <f t="shared" ca="1" si="22"/>
        <v>8.3333333333333329E-2</v>
      </c>
      <c r="AY7" s="35">
        <f t="shared" si="23"/>
        <v>0</v>
      </c>
      <c r="AZ7" s="23">
        <f t="shared" ca="1" si="24"/>
        <v>0</v>
      </c>
      <c r="BA7" s="36">
        <f t="shared" si="25"/>
        <v>0</v>
      </c>
      <c r="BB7" s="27">
        <f t="shared" ca="1" si="38"/>
        <v>0</v>
      </c>
      <c r="BC7" s="23">
        <f t="shared" ca="1" si="39"/>
        <v>0</v>
      </c>
      <c r="BE7" s="8" t="s">
        <v>29</v>
      </c>
      <c r="BF7" s="9" t="s">
        <v>8</v>
      </c>
      <c r="BG7" s="10">
        <f>IF(MAX(AP4:AP28)=0," ",2*MAX(AP4:AP28))</f>
        <v>19.399999999999999</v>
      </c>
    </row>
    <row r="8" spans="1:60" x14ac:dyDescent="0.25">
      <c r="A8" s="20">
        <f>Tools!$AD7</f>
        <v>2</v>
      </c>
      <c r="B8" s="33">
        <f t="shared" si="0"/>
        <v>0.9</v>
      </c>
      <c r="C8" s="22">
        <f>IF(A8="  ","  ",IF(AND(A7="  ",A9="  "),"?",IF(A7="  ",1*(A9-A8),IF(A9="  ",1*(A8-A7),1*(A9-A7)))))</f>
        <v>1.5</v>
      </c>
      <c r="D8" s="23">
        <f t="shared" si="26"/>
        <v>1.35</v>
      </c>
      <c r="E8" s="24">
        <f t="shared" si="1"/>
        <v>-8</v>
      </c>
      <c r="F8" s="23">
        <f t="shared" si="27"/>
        <v>-10.8</v>
      </c>
      <c r="G8" s="23">
        <f t="shared" si="28"/>
        <v>86.4</v>
      </c>
      <c r="H8" s="23">
        <f t="shared" si="29"/>
        <v>0.72900000000000009</v>
      </c>
      <c r="I8" s="23">
        <f t="shared" si="30"/>
        <v>1.0935000000000001</v>
      </c>
      <c r="J8" s="4"/>
      <c r="K8" s="37">
        <f t="shared" si="2"/>
        <v>0</v>
      </c>
      <c r="L8" s="23">
        <f t="shared" si="31"/>
        <v>0</v>
      </c>
      <c r="M8" s="38">
        <f t="shared" si="3"/>
        <v>0</v>
      </c>
      <c r="N8" s="27">
        <f t="shared" si="32"/>
        <v>0</v>
      </c>
      <c r="O8" s="23">
        <f t="shared" si="33"/>
        <v>0</v>
      </c>
      <c r="P8" s="4"/>
      <c r="Q8" s="42"/>
      <c r="R8" s="42"/>
      <c r="S8" s="42"/>
      <c r="W8" s="29">
        <f>IF(AO8="  ","  ",IF(AND(AO7="  ",AO9="  "),"?",IF(AO7="  ",1*(AO9-AO8),IF(AO9="  ",1*(AO8-AO7),1*(AO9-AO7)))))</f>
        <v>1.5</v>
      </c>
      <c r="X8" s="30" t="str">
        <f t="shared" si="4"/>
        <v>DW</v>
      </c>
      <c r="Y8" s="30" t="str">
        <f t="shared" si="5"/>
        <v>-</v>
      </c>
      <c r="Z8" s="29" t="b">
        <f t="shared" si="6"/>
        <v>1</v>
      </c>
      <c r="AA8" s="29" t="b">
        <f t="shared" si="7"/>
        <v>1</v>
      </c>
      <c r="AB8" s="29" t="str">
        <f t="shared" ca="1" si="8"/>
        <v>141-1</v>
      </c>
      <c r="AC8" s="29">
        <f t="shared" si="34"/>
        <v>5</v>
      </c>
      <c r="AD8" s="29">
        <f t="shared" ca="1" si="9"/>
        <v>5</v>
      </c>
      <c r="AE8" s="29">
        <v>5</v>
      </c>
      <c r="AF8" s="31">
        <f t="shared" si="10"/>
        <v>1</v>
      </c>
      <c r="AG8" s="29" t="b">
        <f t="shared" si="11"/>
        <v>1</v>
      </c>
      <c r="AH8" s="30" t="str">
        <f t="shared" si="12"/>
        <v>141-1</v>
      </c>
      <c r="AI8" s="30" t="str">
        <f t="shared" ca="1" si="13"/>
        <v>(1/2)*(1/3)</v>
      </c>
      <c r="AJ8" s="29">
        <f t="shared" ca="1" si="14"/>
        <v>0.16666666666666666</v>
      </c>
      <c r="AK8" s="29" t="str">
        <f t="shared" si="15"/>
        <v>1/3</v>
      </c>
      <c r="AL8" s="29">
        <f t="shared" si="16"/>
        <v>0.33333333333333331</v>
      </c>
      <c r="AM8" s="32">
        <f t="shared" ca="1" si="35"/>
        <v>0.5</v>
      </c>
      <c r="AO8" s="20">
        <f>Tools!$AD7</f>
        <v>2</v>
      </c>
      <c r="AP8" s="33">
        <f t="shared" si="36"/>
        <v>0.9</v>
      </c>
      <c r="AQ8" s="34" t="str">
        <f t="shared" ca="1" si="18"/>
        <v>(1/2)*(1/3)+1/3</v>
      </c>
      <c r="AR8" s="23">
        <f t="shared" ca="1" si="19"/>
        <v>0.45</v>
      </c>
      <c r="AS8" s="24">
        <f t="shared" si="20"/>
        <v>-8</v>
      </c>
      <c r="AT8" s="23">
        <f t="shared" ca="1" si="37"/>
        <v>-3.6</v>
      </c>
      <c r="AU8" s="23">
        <f t="shared" ca="1" si="40"/>
        <v>28.8</v>
      </c>
      <c r="AV8" s="23">
        <f t="shared" si="21"/>
        <v>0.72900000000000009</v>
      </c>
      <c r="AW8" s="23">
        <f t="shared" ca="1" si="22"/>
        <v>0.36450000000000005</v>
      </c>
      <c r="AY8" s="35">
        <f t="shared" si="23"/>
        <v>0</v>
      </c>
      <c r="AZ8" s="23">
        <f ca="1">IFERROR(AY8*AM8,"  ")</f>
        <v>0</v>
      </c>
      <c r="BA8" s="36">
        <f t="shared" si="25"/>
        <v>0</v>
      </c>
      <c r="BB8" s="27">
        <f t="shared" ca="1" si="38"/>
        <v>0</v>
      </c>
      <c r="BC8" s="23">
        <f t="shared" ca="1" si="39"/>
        <v>0</v>
      </c>
      <c r="BE8" s="8" t="s">
        <v>30</v>
      </c>
      <c r="BF8" s="9" t="s">
        <v>8</v>
      </c>
      <c r="BG8" s="10">
        <f ca="1">LBP-AJ33</f>
        <v>146.19999999999999</v>
      </c>
      <c r="BH8" t="str">
        <f ca="1">IF(AJ33&gt;0,CONCATENATE("(LWL is assumed between stations ",$AH$31," and ",$AH$33," as offset values extreme to these stations are zeros.)"),"")</f>
        <v/>
      </c>
    </row>
    <row r="9" spans="1:60" x14ac:dyDescent="0.25">
      <c r="A9" s="20">
        <f>Tools!$AD8</f>
        <v>3</v>
      </c>
      <c r="B9" s="33">
        <f t="shared" si="0"/>
        <v>1.9</v>
      </c>
      <c r="C9" s="22">
        <f>IF(A9="  ","  ",IF(AND(A8="  ",A10="  "),"?",IF(A8="  ",2*(A10-A9),IF(A10="  ",2*(A9-A8),2*(A10-A8)))))</f>
        <v>4</v>
      </c>
      <c r="D9" s="23">
        <f t="shared" si="26"/>
        <v>7.6</v>
      </c>
      <c r="E9" s="24">
        <f t="shared" si="1"/>
        <v>-7</v>
      </c>
      <c r="F9" s="23">
        <f t="shared" si="27"/>
        <v>-53.199999999999996</v>
      </c>
      <c r="G9" s="23">
        <f t="shared" si="28"/>
        <v>372.4</v>
      </c>
      <c r="H9" s="23">
        <f t="shared" si="29"/>
        <v>6.8589999999999991</v>
      </c>
      <c r="I9" s="23">
        <f t="shared" si="30"/>
        <v>27.435999999999996</v>
      </c>
      <c r="J9" s="4"/>
      <c r="K9" s="37">
        <f t="shared" si="2"/>
        <v>0</v>
      </c>
      <c r="L9" s="23">
        <f t="shared" si="31"/>
        <v>0</v>
      </c>
      <c r="M9" s="38">
        <f t="shared" si="3"/>
        <v>0</v>
      </c>
      <c r="N9" s="27">
        <f t="shared" si="32"/>
        <v>0</v>
      </c>
      <c r="O9" s="23">
        <f t="shared" si="33"/>
        <v>0</v>
      </c>
      <c r="P9" s="4"/>
      <c r="Q9" s="43" t="s">
        <v>31</v>
      </c>
      <c r="R9" s="44" t="s">
        <v>32</v>
      </c>
      <c r="S9" s="489" t="s">
        <v>33</v>
      </c>
      <c r="W9" s="29">
        <f>IF(AO9="  ","  ",IF(AND(AO8="  ",AO10="  "),"?",IF(AO8="  ",2*(AO10-AO9),IF(AO10="  ",2*(AO9-AO8),2*(AO10-AO8)))))</f>
        <v>4</v>
      </c>
      <c r="X9" s="30" t="str">
        <f t="shared" si="4"/>
        <v>WW</v>
      </c>
      <c r="Y9" s="30" t="str">
        <f t="shared" si="5"/>
        <v>-</v>
      </c>
      <c r="Z9" s="29" t="b">
        <f t="shared" si="6"/>
        <v>0</v>
      </c>
      <c r="AA9" s="29" t="b">
        <f t="shared" si="7"/>
        <v>0</v>
      </c>
      <c r="AB9" s="29" t="str">
        <f t="shared" ca="1" si="8"/>
        <v>++</v>
      </c>
      <c r="AC9" s="29">
        <f t="shared" si="34"/>
        <v>6</v>
      </c>
      <c r="AD9" s="29">
        <f t="shared" ca="1" si="9"/>
        <v>6</v>
      </c>
      <c r="AE9" s="29">
        <v>6</v>
      </c>
      <c r="AF9" s="31">
        <f>IF(AND(AG9=TRUE,OR(NOT(AG8=TRUE),AG8="Full")),1,IF(ISNUMBER(AF8),AF8+1," "))</f>
        <v>2</v>
      </c>
      <c r="AG9" s="29" t="b">
        <f t="shared" si="11"/>
        <v>1</v>
      </c>
      <c r="AH9" s="30" t="str">
        <f t="shared" ca="1" si="12"/>
        <v>141-4</v>
      </c>
      <c r="AI9" s="30" t="str">
        <f t="shared" ca="1" si="13"/>
        <v/>
      </c>
      <c r="AJ9" s="29">
        <f t="shared" ca="1" si="14"/>
        <v>0</v>
      </c>
      <c r="AK9" s="29" t="str">
        <f t="shared" ca="1" si="15"/>
        <v>4/3</v>
      </c>
      <c r="AL9" s="29">
        <f t="shared" ca="1" si="16"/>
        <v>1.3333333333333333</v>
      </c>
      <c r="AM9" s="32">
        <f t="shared" ca="1" si="35"/>
        <v>1.3333333333333333</v>
      </c>
      <c r="AO9" s="20">
        <f>Tools!$AD8</f>
        <v>3</v>
      </c>
      <c r="AP9" s="33">
        <f t="shared" si="36"/>
        <v>1.9</v>
      </c>
      <c r="AQ9" s="34" t="str">
        <f t="shared" ca="1" si="18"/>
        <v>4/3</v>
      </c>
      <c r="AR9" s="23">
        <f t="shared" ca="1" si="19"/>
        <v>2.5333333333333332</v>
      </c>
      <c r="AS9" s="24">
        <f t="shared" si="20"/>
        <v>-7</v>
      </c>
      <c r="AT9" s="23">
        <f t="shared" ca="1" si="37"/>
        <v>-17.733333333333334</v>
      </c>
      <c r="AU9" s="23">
        <f t="shared" ca="1" si="40"/>
        <v>124.13333333333334</v>
      </c>
      <c r="AV9" s="23">
        <f t="shared" si="21"/>
        <v>6.8589999999999991</v>
      </c>
      <c r="AW9" s="23">
        <f t="shared" ca="1" si="22"/>
        <v>9.1453333333333315</v>
      </c>
      <c r="AY9" s="35">
        <f t="shared" si="23"/>
        <v>0</v>
      </c>
      <c r="AZ9" s="23">
        <f t="shared" ref="AZ9:AZ28" ca="1" si="41">IFERROR(AY9*AM9,"  ")</f>
        <v>0</v>
      </c>
      <c r="BA9" s="36">
        <f t="shared" si="25"/>
        <v>0</v>
      </c>
      <c r="BB9" s="27">
        <f t="shared" ca="1" si="38"/>
        <v>0</v>
      </c>
      <c r="BC9" s="23">
        <f t="shared" ca="1" si="39"/>
        <v>0</v>
      </c>
    </row>
    <row r="10" spans="1:60" x14ac:dyDescent="0.25">
      <c r="A10" s="20">
        <f>Tools!$AD9</f>
        <v>4</v>
      </c>
      <c r="B10" s="33">
        <f t="shared" si="0"/>
        <v>3.8</v>
      </c>
      <c r="C10" s="22">
        <f>IF(A10="  ","  ",IF(AND(A9="  ",A11="  "),"?",IF(A9="  ",1*(A11-A10),IF(A11="  ",1*(A10-A9),1*(A11-A9)))))</f>
        <v>2</v>
      </c>
      <c r="D10" s="23">
        <f t="shared" si="26"/>
        <v>7.6</v>
      </c>
      <c r="E10" s="24">
        <f t="shared" si="1"/>
        <v>-6</v>
      </c>
      <c r="F10" s="23">
        <f t="shared" si="27"/>
        <v>-45.599999999999994</v>
      </c>
      <c r="G10" s="23">
        <f t="shared" si="28"/>
        <v>273.59999999999997</v>
      </c>
      <c r="H10" s="23">
        <f t="shared" si="29"/>
        <v>54.871999999999993</v>
      </c>
      <c r="I10" s="23">
        <f>IFERROR(H10*C10,"  ")</f>
        <v>109.74399999999999</v>
      </c>
      <c r="J10" s="4"/>
      <c r="K10" s="37">
        <f t="shared" si="2"/>
        <v>0</v>
      </c>
      <c r="L10" s="23">
        <f t="shared" si="31"/>
        <v>0</v>
      </c>
      <c r="M10" s="38">
        <f t="shared" si="3"/>
        <v>0</v>
      </c>
      <c r="N10" s="27">
        <f t="shared" si="32"/>
        <v>0</v>
      </c>
      <c r="O10" s="23">
        <f t="shared" si="33"/>
        <v>0</v>
      </c>
      <c r="P10" s="4"/>
      <c r="Q10" s="45"/>
      <c r="R10" s="46"/>
      <c r="S10" s="490"/>
      <c r="W10" s="29">
        <f>IF(AO10="  ","  ",IF(AND(AO9="  ",AO11="  "),"?",IF(AO9="  ",1*(AO11-AO10),IF(AO11="  ",1*(AO10-AO9),1*(AO11-AO9)))))</f>
        <v>2</v>
      </c>
      <c r="X10" s="30" t="str">
        <f t="shared" si="4"/>
        <v>WW</v>
      </c>
      <c r="Y10" s="30" t="str">
        <f t="shared" si="5"/>
        <v>-</v>
      </c>
      <c r="Z10" s="29" t="b">
        <f t="shared" si="6"/>
        <v>0</v>
      </c>
      <c r="AA10" s="29" t="b">
        <f t="shared" si="7"/>
        <v>0</v>
      </c>
      <c r="AB10" s="29" t="str">
        <f t="shared" ca="1" si="8"/>
        <v>++</v>
      </c>
      <c r="AC10" s="29">
        <f t="shared" si="34"/>
        <v>7</v>
      </c>
      <c r="AD10" s="29">
        <f t="shared" ca="1" si="9"/>
        <v>7</v>
      </c>
      <c r="AE10" s="29">
        <v>7</v>
      </c>
      <c r="AF10" s="31">
        <f t="shared" ref="AF10:AF28" si="42">IF(AND(AG10=TRUE,OR(NOT(AG9=TRUE),AG9="Full")),1,IF(ISNUMBER(AF9),AF9+1," "))</f>
        <v>3</v>
      </c>
      <c r="AG10" s="29" t="b">
        <f t="shared" si="11"/>
        <v>1</v>
      </c>
      <c r="AH10" s="30" t="str">
        <f t="shared" ca="1" si="12"/>
        <v>141-2</v>
      </c>
      <c r="AI10" s="30" t="str">
        <f t="shared" ca="1" si="13"/>
        <v/>
      </c>
      <c r="AJ10" s="29">
        <f t="shared" ca="1" si="14"/>
        <v>0</v>
      </c>
      <c r="AK10" s="29" t="str">
        <f t="shared" ca="1" si="15"/>
        <v>2/3</v>
      </c>
      <c r="AL10" s="29">
        <f t="shared" ca="1" si="16"/>
        <v>0.66666666666666663</v>
      </c>
      <c r="AM10" s="32">
        <f t="shared" ca="1" si="35"/>
        <v>0.66666666666666663</v>
      </c>
      <c r="AO10" s="20">
        <f>Tools!$AD9</f>
        <v>4</v>
      </c>
      <c r="AP10" s="33">
        <f t="shared" si="36"/>
        <v>3.8</v>
      </c>
      <c r="AQ10" s="34" t="str">
        <f t="shared" ca="1" si="18"/>
        <v>2/3</v>
      </c>
      <c r="AR10" s="23">
        <f t="shared" ca="1" si="19"/>
        <v>2.5333333333333332</v>
      </c>
      <c r="AS10" s="24">
        <f t="shared" si="20"/>
        <v>-6</v>
      </c>
      <c r="AT10" s="23">
        <f t="shared" ca="1" si="37"/>
        <v>-15.2</v>
      </c>
      <c r="AU10" s="23">
        <f ca="1">IFERROR(AT10*AS10,"  ")</f>
        <v>91.199999999999989</v>
      </c>
      <c r="AV10" s="23">
        <f t="shared" si="21"/>
        <v>54.871999999999993</v>
      </c>
      <c r="AW10" s="23">
        <f t="shared" ca="1" si="22"/>
        <v>36.581333333333326</v>
      </c>
      <c r="AY10" s="35">
        <f t="shared" si="23"/>
        <v>0</v>
      </c>
      <c r="AZ10" s="23">
        <f t="shared" ca="1" si="41"/>
        <v>0</v>
      </c>
      <c r="BA10" s="36">
        <f t="shared" si="25"/>
        <v>0</v>
      </c>
      <c r="BB10" s="27">
        <f t="shared" ca="1" si="38"/>
        <v>0</v>
      </c>
      <c r="BC10" s="23">
        <f t="shared" ca="1" si="39"/>
        <v>0</v>
      </c>
      <c r="BE10" s="43" t="s">
        <v>31</v>
      </c>
      <c r="BF10" s="44" t="s">
        <v>32</v>
      </c>
      <c r="BG10" s="489" t="s">
        <v>33</v>
      </c>
    </row>
    <row r="11" spans="1:60" x14ac:dyDescent="0.25">
      <c r="A11" s="20">
        <f>Tools!$AD10</f>
        <v>5</v>
      </c>
      <c r="B11" s="33">
        <f t="shared" si="0"/>
        <v>5.9</v>
      </c>
      <c r="C11" s="22">
        <f>IF(A11="  ","  ",IF(AND(A10="  ",A12="  "),"?",IF(A10="  ",2*(A12-A11),IF(A12="  ",2*(A11-A10),2*(A12-A10)))))</f>
        <v>4</v>
      </c>
      <c r="D11" s="23">
        <f t="shared" si="26"/>
        <v>23.6</v>
      </c>
      <c r="E11" s="24">
        <f t="shared" si="1"/>
        <v>-5</v>
      </c>
      <c r="F11" s="23">
        <f t="shared" si="27"/>
        <v>-118</v>
      </c>
      <c r="G11" s="23">
        <f t="shared" si="28"/>
        <v>590</v>
      </c>
      <c r="H11" s="23">
        <f t="shared" si="29"/>
        <v>205.37900000000002</v>
      </c>
      <c r="I11" s="23">
        <f t="shared" si="30"/>
        <v>821.51600000000008</v>
      </c>
      <c r="J11" s="4"/>
      <c r="K11" s="37">
        <f t="shared" si="2"/>
        <v>0</v>
      </c>
      <c r="L11" s="23">
        <f t="shared" si="31"/>
        <v>0</v>
      </c>
      <c r="M11" s="38">
        <f t="shared" si="3"/>
        <v>0</v>
      </c>
      <c r="N11" s="27">
        <f t="shared" si="32"/>
        <v>0</v>
      </c>
      <c r="O11" s="23">
        <f t="shared" si="33"/>
        <v>0</v>
      </c>
      <c r="P11" s="4"/>
      <c r="Q11" s="47" t="s">
        <v>34</v>
      </c>
      <c r="R11" s="48" t="s">
        <v>35</v>
      </c>
      <c r="S11">
        <f>IF(Tools!$L$49="Use 141 rule only",I35,IF(Tools!$L$49="Use 141 and 1331 rules",BG12," "))</f>
        <v>1812.1490000000001</v>
      </c>
      <c r="W11" s="29">
        <f>IF(AO11="  ","  ",IF(AND(AO10="  ",AO12="  "),"?",IF(AO10="  ",2*(AO12-AO11),IF(AO12="  ",2*(AO11-AO10),2*(AO12-AO10)))))</f>
        <v>4</v>
      </c>
      <c r="X11" s="30" t="str">
        <f t="shared" si="4"/>
        <v>WW</v>
      </c>
      <c r="Y11" s="30" t="str">
        <f t="shared" si="5"/>
        <v>-</v>
      </c>
      <c r="Z11" s="29" t="b">
        <f t="shared" si="6"/>
        <v>0</v>
      </c>
      <c r="AA11" s="29" t="b">
        <f t="shared" si="7"/>
        <v>0</v>
      </c>
      <c r="AB11" s="29" t="str">
        <f t="shared" ca="1" si="8"/>
        <v>++</v>
      </c>
      <c r="AC11" s="29">
        <f t="shared" si="34"/>
        <v>8</v>
      </c>
      <c r="AD11" s="29">
        <f t="shared" ca="1" si="9"/>
        <v>8</v>
      </c>
      <c r="AE11" s="29">
        <v>8</v>
      </c>
      <c r="AF11" s="31">
        <f t="shared" si="42"/>
        <v>4</v>
      </c>
      <c r="AG11" s="29" t="b">
        <f t="shared" si="11"/>
        <v>1</v>
      </c>
      <c r="AH11" s="30" t="str">
        <f t="shared" ca="1" si="12"/>
        <v>141-4</v>
      </c>
      <c r="AI11" s="30" t="str">
        <f t="shared" ca="1" si="13"/>
        <v/>
      </c>
      <c r="AJ11" s="29">
        <f t="shared" ca="1" si="14"/>
        <v>0</v>
      </c>
      <c r="AK11" s="29" t="str">
        <f t="shared" ca="1" si="15"/>
        <v>4/3</v>
      </c>
      <c r="AL11" s="29">
        <f t="shared" ca="1" si="16"/>
        <v>1.3333333333333333</v>
      </c>
      <c r="AM11" s="32">
        <f t="shared" ca="1" si="35"/>
        <v>1.3333333333333333</v>
      </c>
      <c r="AO11" s="20">
        <f>Tools!$AD10</f>
        <v>5</v>
      </c>
      <c r="AP11" s="33">
        <f t="shared" si="36"/>
        <v>5.9</v>
      </c>
      <c r="AQ11" s="34" t="str">
        <f t="shared" ca="1" si="18"/>
        <v>4/3</v>
      </c>
      <c r="AR11" s="23">
        <f t="shared" ca="1" si="19"/>
        <v>7.8666666666666671</v>
      </c>
      <c r="AS11" s="24">
        <f t="shared" si="20"/>
        <v>-5</v>
      </c>
      <c r="AT11" s="23">
        <f t="shared" ca="1" si="37"/>
        <v>-39.333333333333336</v>
      </c>
      <c r="AU11" s="23">
        <f t="shared" ca="1" si="40"/>
        <v>196.66666666666669</v>
      </c>
      <c r="AV11" s="23">
        <f t="shared" si="21"/>
        <v>205.37900000000002</v>
      </c>
      <c r="AW11" s="23">
        <f t="shared" ca="1" si="22"/>
        <v>273.83866666666665</v>
      </c>
      <c r="AY11" s="35">
        <f t="shared" si="23"/>
        <v>0</v>
      </c>
      <c r="AZ11" s="23">
        <f t="shared" ca="1" si="41"/>
        <v>0</v>
      </c>
      <c r="BA11" s="36">
        <f t="shared" si="25"/>
        <v>0</v>
      </c>
      <c r="BB11" s="27">
        <f t="shared" ca="1" si="38"/>
        <v>0</v>
      </c>
      <c r="BC11" s="23">
        <f ca="1">IFERROR(AZ11*AS11,"  ")</f>
        <v>0</v>
      </c>
      <c r="BE11" s="45"/>
      <c r="BF11" s="46"/>
      <c r="BG11" s="490"/>
    </row>
    <row r="12" spans="1:60" x14ac:dyDescent="0.25">
      <c r="A12" s="20">
        <f>Tools!$AD11</f>
        <v>6</v>
      </c>
      <c r="B12" s="33">
        <f t="shared" si="0"/>
        <v>7.9</v>
      </c>
      <c r="C12" s="22">
        <f>IF(A12="  ","  ",IF(AND(A11="  ",A13="  "),"?",IF(A11="  ",1*(A13-A12),IF(A13="  ",1*(A12-A11),1*(A13-A11)))))</f>
        <v>2</v>
      </c>
      <c r="D12" s="23">
        <f t="shared" si="26"/>
        <v>15.8</v>
      </c>
      <c r="E12" s="24">
        <f t="shared" si="1"/>
        <v>-4</v>
      </c>
      <c r="F12" s="23">
        <f t="shared" si="27"/>
        <v>-63.2</v>
      </c>
      <c r="G12" s="23">
        <f t="shared" si="28"/>
        <v>252.8</v>
      </c>
      <c r="H12" s="23">
        <f t="shared" si="29"/>
        <v>493.03900000000004</v>
      </c>
      <c r="I12" s="23">
        <f t="shared" si="30"/>
        <v>986.07800000000009</v>
      </c>
      <c r="J12" s="4"/>
      <c r="K12" s="37">
        <f t="shared" si="2"/>
        <v>0</v>
      </c>
      <c r="L12" s="23">
        <f t="shared" si="31"/>
        <v>0</v>
      </c>
      <c r="M12" s="38">
        <f t="shared" si="3"/>
        <v>0</v>
      </c>
      <c r="N12" s="27">
        <f t="shared" si="32"/>
        <v>0</v>
      </c>
      <c r="O12" s="23">
        <f t="shared" si="33"/>
        <v>0</v>
      </c>
      <c r="P12" s="4"/>
      <c r="Q12" s="47" t="s">
        <v>36</v>
      </c>
      <c r="R12" s="48" t="s">
        <v>37</v>
      </c>
      <c r="S12">
        <f>IF(Tools!$L$49="Use 141 rule only",I36,IF(Tools!$L$49="Use 141 and 1331 rules",BG13," "))</f>
        <v>10979.337346666665</v>
      </c>
      <c r="W12" s="29">
        <f>IF(AO12="  ","  ",IF(AND(AO11="  ",AO13="  "),"?",IF(AO11="  ",1*(AO13-AO12),IF(AO13="  ",1*(AO12-AO11),1*(AO13-AO11)))))</f>
        <v>2</v>
      </c>
      <c r="X12" s="30" t="str">
        <f t="shared" si="4"/>
        <v>WW</v>
      </c>
      <c r="Y12" s="30" t="str">
        <f t="shared" si="5"/>
        <v>-</v>
      </c>
      <c r="Z12" s="29" t="b">
        <f t="shared" si="6"/>
        <v>0</v>
      </c>
      <c r="AA12" s="29" t="b">
        <f t="shared" si="7"/>
        <v>0</v>
      </c>
      <c r="AB12" s="29" t="str">
        <f t="shared" ca="1" si="8"/>
        <v>++</v>
      </c>
      <c r="AC12" s="29">
        <f t="shared" si="34"/>
        <v>9</v>
      </c>
      <c r="AD12" s="29">
        <f t="shared" ca="1" si="9"/>
        <v>9</v>
      </c>
      <c r="AE12" s="29">
        <v>9</v>
      </c>
      <c r="AF12" s="31">
        <f t="shared" si="42"/>
        <v>5</v>
      </c>
      <c r="AG12" s="29" t="b">
        <f t="shared" si="11"/>
        <v>1</v>
      </c>
      <c r="AH12" s="30" t="str">
        <f t="shared" ca="1" si="12"/>
        <v>141-2</v>
      </c>
      <c r="AI12" s="30" t="str">
        <f t="shared" ca="1" si="13"/>
        <v/>
      </c>
      <c r="AJ12" s="29">
        <f t="shared" ca="1" si="14"/>
        <v>0</v>
      </c>
      <c r="AK12" s="29" t="str">
        <f t="shared" ca="1" si="15"/>
        <v>2/3</v>
      </c>
      <c r="AL12" s="29">
        <f t="shared" ca="1" si="16"/>
        <v>0.66666666666666663</v>
      </c>
      <c r="AM12" s="32">
        <f t="shared" ca="1" si="35"/>
        <v>0.66666666666666663</v>
      </c>
      <c r="AO12" s="20">
        <f>Tools!$AD11</f>
        <v>6</v>
      </c>
      <c r="AP12" s="33">
        <f t="shared" si="36"/>
        <v>7.9</v>
      </c>
      <c r="AQ12" s="34" t="str">
        <f t="shared" ca="1" si="18"/>
        <v>2/3</v>
      </c>
      <c r="AR12" s="23">
        <f t="shared" ca="1" si="19"/>
        <v>5.2666666666666666</v>
      </c>
      <c r="AS12" s="24">
        <f t="shared" si="20"/>
        <v>-4</v>
      </c>
      <c r="AT12" s="23">
        <f t="shared" ca="1" si="37"/>
        <v>-21.066666666666666</v>
      </c>
      <c r="AU12" s="23">
        <f t="shared" ca="1" si="40"/>
        <v>84.266666666666666</v>
      </c>
      <c r="AV12" s="23">
        <f t="shared" si="21"/>
        <v>493.03900000000004</v>
      </c>
      <c r="AW12" s="23">
        <f t="shared" ca="1" si="22"/>
        <v>328.6926666666667</v>
      </c>
      <c r="AY12" s="35">
        <f t="shared" si="23"/>
        <v>0</v>
      </c>
      <c r="AZ12" s="23">
        <f t="shared" ca="1" si="41"/>
        <v>0</v>
      </c>
      <c r="BA12" s="36">
        <f t="shared" si="25"/>
        <v>0</v>
      </c>
      <c r="BB12" s="27">
        <f t="shared" ca="1" si="38"/>
        <v>0</v>
      </c>
      <c r="BC12" s="23">
        <f t="shared" ca="1" si="39"/>
        <v>0</v>
      </c>
      <c r="BE12" s="47" t="s">
        <v>34</v>
      </c>
      <c r="BF12" s="48" t="s">
        <v>38</v>
      </c>
      <c r="BG12" s="49">
        <f ca="1">IF(WL_No="  ","  ",2*h*$AR$29)</f>
        <v>1812.1489999999997</v>
      </c>
    </row>
    <row r="13" spans="1:60" x14ac:dyDescent="0.25">
      <c r="A13" s="20">
        <f>Tools!$AD12</f>
        <v>7</v>
      </c>
      <c r="B13" s="33">
        <f t="shared" si="0"/>
        <v>9</v>
      </c>
      <c r="C13" s="22">
        <f>IF(A13="  ","  ",IF(AND(A12="  ",A14="  "),"?",IF(A12="  ",2*(A14-A13),IF(A14="  ",2*(A13-A12),2*(A14-A12)))))</f>
        <v>4</v>
      </c>
      <c r="D13" s="23">
        <f t="shared" si="26"/>
        <v>36</v>
      </c>
      <c r="E13" s="24">
        <f t="shared" si="1"/>
        <v>-3</v>
      </c>
      <c r="F13" s="23">
        <f t="shared" si="27"/>
        <v>-108</v>
      </c>
      <c r="G13" s="23">
        <f t="shared" si="28"/>
        <v>324</v>
      </c>
      <c r="H13" s="23">
        <f t="shared" si="29"/>
        <v>729</v>
      </c>
      <c r="I13" s="23">
        <f t="shared" si="30"/>
        <v>2916</v>
      </c>
      <c r="J13" s="4"/>
      <c r="K13" s="37">
        <f t="shared" si="2"/>
        <v>0</v>
      </c>
      <c r="L13" s="23">
        <f t="shared" si="31"/>
        <v>0</v>
      </c>
      <c r="M13" s="38">
        <f t="shared" si="3"/>
        <v>0</v>
      </c>
      <c r="N13" s="27">
        <f t="shared" si="32"/>
        <v>0</v>
      </c>
      <c r="O13" s="23">
        <f t="shared" si="33"/>
        <v>0</v>
      </c>
      <c r="P13" s="4"/>
      <c r="Q13" s="50" t="s">
        <v>39</v>
      </c>
      <c r="R13" s="48" t="s">
        <v>40</v>
      </c>
      <c r="S13">
        <f>IF(Tools!$L$49="Use 141 rule only",I37,IF(Tools!$L$49="Use 141 and 1331 rules",BG14," "))</f>
        <v>6.0587387387387377</v>
      </c>
      <c r="W13" s="29">
        <f>IF(AO13="  ","  ",IF(AND(AO12="  ",AO14="  "),"?",IF(AO12="  ",2*(AO14-AO13),IF(AO14="  ",2*(AO13-AO12),2*(AO14-AO12)))))</f>
        <v>4</v>
      </c>
      <c r="X13" s="30" t="str">
        <f t="shared" si="4"/>
        <v>WW</v>
      </c>
      <c r="Y13" s="30" t="str">
        <f t="shared" si="5"/>
        <v>-</v>
      </c>
      <c r="Z13" s="29" t="b">
        <f t="shared" si="6"/>
        <v>0</v>
      </c>
      <c r="AA13" s="29" t="b">
        <f t="shared" si="7"/>
        <v>0</v>
      </c>
      <c r="AB13" s="29" t="str">
        <f t="shared" ca="1" si="8"/>
        <v>++</v>
      </c>
      <c r="AC13" s="29">
        <f t="shared" si="34"/>
        <v>10</v>
      </c>
      <c r="AD13" s="29">
        <f t="shared" ca="1" si="9"/>
        <v>10</v>
      </c>
      <c r="AE13" s="29">
        <v>10</v>
      </c>
      <c r="AF13" s="31">
        <f t="shared" si="42"/>
        <v>6</v>
      </c>
      <c r="AG13" s="29" t="b">
        <f t="shared" si="11"/>
        <v>1</v>
      </c>
      <c r="AH13" s="30" t="str">
        <f t="shared" ca="1" si="12"/>
        <v>141-4</v>
      </c>
      <c r="AI13" s="30" t="str">
        <f t="shared" ca="1" si="13"/>
        <v/>
      </c>
      <c r="AJ13" s="29">
        <f t="shared" ca="1" si="14"/>
        <v>0</v>
      </c>
      <c r="AK13" s="29" t="str">
        <f t="shared" ca="1" si="15"/>
        <v>4/3</v>
      </c>
      <c r="AL13" s="29">
        <f t="shared" ca="1" si="16"/>
        <v>1.3333333333333333</v>
      </c>
      <c r="AM13" s="32">
        <f t="shared" ca="1" si="35"/>
        <v>1.3333333333333333</v>
      </c>
      <c r="AO13" s="20">
        <f>Tools!$AD12</f>
        <v>7</v>
      </c>
      <c r="AP13" s="33">
        <f t="shared" si="36"/>
        <v>9</v>
      </c>
      <c r="AQ13" s="34" t="str">
        <f t="shared" ca="1" si="18"/>
        <v>4/3</v>
      </c>
      <c r="AR13" s="23">
        <f t="shared" ca="1" si="19"/>
        <v>12</v>
      </c>
      <c r="AS13" s="24">
        <f t="shared" si="20"/>
        <v>-3</v>
      </c>
      <c r="AT13" s="23">
        <f t="shared" ca="1" si="37"/>
        <v>-36</v>
      </c>
      <c r="AU13" s="23">
        <f t="shared" ca="1" si="40"/>
        <v>108</v>
      </c>
      <c r="AV13" s="23">
        <f t="shared" si="21"/>
        <v>729</v>
      </c>
      <c r="AW13" s="23">
        <f t="shared" ca="1" si="22"/>
        <v>972</v>
      </c>
      <c r="AY13" s="35">
        <f t="shared" si="23"/>
        <v>0</v>
      </c>
      <c r="AZ13" s="23">
        <f t="shared" ca="1" si="41"/>
        <v>0</v>
      </c>
      <c r="BA13" s="36">
        <f t="shared" si="25"/>
        <v>0</v>
      </c>
      <c r="BB13" s="27">
        <f t="shared" ca="1" si="38"/>
        <v>0</v>
      </c>
      <c r="BC13" s="23">
        <f t="shared" ca="1" si="39"/>
        <v>0</v>
      </c>
      <c r="BE13" s="47" t="s">
        <v>36</v>
      </c>
      <c r="BF13" s="48" t="s">
        <v>41</v>
      </c>
      <c r="BG13" s="49">
        <f ca="1">IF(WL_No="  ","  ",2*(h^2)*$AT$29)</f>
        <v>10979.337346666665</v>
      </c>
    </row>
    <row r="14" spans="1:60" x14ac:dyDescent="0.25">
      <c r="A14" s="20">
        <f>Tools!$AD13</f>
        <v>8</v>
      </c>
      <c r="B14" s="33">
        <f t="shared" si="0"/>
        <v>9.5</v>
      </c>
      <c r="C14" s="22">
        <f>IF(A14="  ","  ",IF(AND(A13="  ",A15="  "),"?",IF(A13="  ",1*(A15-A14),IF(A15="  ",1*(A14-A13),1*(A15-A13)))))</f>
        <v>2</v>
      </c>
      <c r="D14" s="23">
        <f t="shared" si="26"/>
        <v>19</v>
      </c>
      <c r="E14" s="24">
        <f t="shared" si="1"/>
        <v>-2</v>
      </c>
      <c r="F14" s="23">
        <f t="shared" si="27"/>
        <v>-38</v>
      </c>
      <c r="G14" s="23">
        <f t="shared" si="28"/>
        <v>76</v>
      </c>
      <c r="H14" s="23">
        <f t="shared" si="29"/>
        <v>857.375</v>
      </c>
      <c r="I14" s="23">
        <f t="shared" si="30"/>
        <v>1714.75</v>
      </c>
      <c r="J14" s="4"/>
      <c r="K14" s="37">
        <f t="shared" si="2"/>
        <v>0</v>
      </c>
      <c r="L14" s="23">
        <f t="shared" si="31"/>
        <v>0</v>
      </c>
      <c r="M14" s="38">
        <f t="shared" si="3"/>
        <v>0</v>
      </c>
      <c r="N14" s="27">
        <f t="shared" si="32"/>
        <v>0</v>
      </c>
      <c r="O14" s="23">
        <f t="shared" si="33"/>
        <v>0</v>
      </c>
      <c r="P14" s="4"/>
      <c r="Q14" s="50" t="s">
        <v>42</v>
      </c>
      <c r="R14" s="48" t="s">
        <v>43</v>
      </c>
      <c r="S14">
        <f>IF(Tools!$L$49="Use 141 rule only",I38,IF(Tools!$L$49="Use 141 and 1331 rules",BG15," "))</f>
        <v>1636389.4895735662</v>
      </c>
      <c r="W14" s="29">
        <f>IF(AO14="  ","  ",IF(AND(AO13="  ",AO15="  "),"?",IF(AO13="  ",1*(AO15-AO14),IF(AO15="  ",1*(AO14-AO13),1*(AO15-AO13)))))</f>
        <v>2</v>
      </c>
      <c r="X14" s="30" t="str">
        <f t="shared" si="4"/>
        <v>WW</v>
      </c>
      <c r="Y14" s="30" t="str">
        <f t="shared" si="5"/>
        <v>-</v>
      </c>
      <c r="Z14" s="29" t="b">
        <f t="shared" si="6"/>
        <v>0</v>
      </c>
      <c r="AA14" s="29" t="b">
        <f t="shared" si="7"/>
        <v>0</v>
      </c>
      <c r="AB14" s="29" t="str">
        <f t="shared" ca="1" si="8"/>
        <v>++</v>
      </c>
      <c r="AC14" s="29">
        <f t="shared" si="34"/>
        <v>11</v>
      </c>
      <c r="AD14" s="29">
        <f t="shared" ca="1" si="9"/>
        <v>11</v>
      </c>
      <c r="AE14" s="29">
        <v>11</v>
      </c>
      <c r="AF14" s="31">
        <f t="shared" si="42"/>
        <v>7</v>
      </c>
      <c r="AG14" s="29" t="b">
        <f t="shared" si="11"/>
        <v>1</v>
      </c>
      <c r="AH14" s="30" t="str">
        <f ca="1">IF(AND(AG14=TRUE,$AH$1=1),"141-4",IF(AG14=" ",IF(AND($AH$1=2,AF14=3),"141-1","-"),IF(OR(AG14=FALSE,AG14=" "),"-",IF(AG14=TRUE,IF(AND($AH$1=2,AF14=1),"141-1",IF(AND($AH$1=2,AF14=2),"141-4",IF(OR(ISODD($AH$1),AF14&gt;4),IF(AF14=1,"141-1",IF(OR(AB14="141-1",AB14="1331-1",AB14="1331-1,141-1"),"141-1",IF(AG15=" ","141-1",IF(OR(AH13="141-1",AH13="141-2",AH13="1331-1,141-1"),"141-4",IF(AH13="141-4","141-2","$$"))))),IF(ISEVEN($AH$1),IF(AF14=1,"1331-1",IF(OR(AF14=2,AF14=3),"1331-3",IF(AF14=4,IF($AH$1=4,"1331-1","1331-1,141-1"),"")))))))))))</f>
        <v>141-2</v>
      </c>
      <c r="AI14" s="30" t="str">
        <f t="shared" ca="1" si="13"/>
        <v/>
      </c>
      <c r="AJ14" s="29">
        <f t="shared" ca="1" si="14"/>
        <v>0</v>
      </c>
      <c r="AK14" s="29" t="str">
        <f t="shared" ca="1" si="15"/>
        <v>2/3</v>
      </c>
      <c r="AL14" s="29">
        <f t="shared" ca="1" si="16"/>
        <v>0.66666666666666663</v>
      </c>
      <c r="AM14" s="32">
        <f t="shared" ca="1" si="35"/>
        <v>0.66666666666666663</v>
      </c>
      <c r="AO14" s="20">
        <f>Tools!$AD13</f>
        <v>8</v>
      </c>
      <c r="AP14" s="33">
        <f t="shared" si="36"/>
        <v>9.5</v>
      </c>
      <c r="AQ14" s="34" t="str">
        <f t="shared" ca="1" si="18"/>
        <v>2/3</v>
      </c>
      <c r="AR14" s="23">
        <f t="shared" ca="1" si="19"/>
        <v>6.333333333333333</v>
      </c>
      <c r="AS14" s="24">
        <f t="shared" si="20"/>
        <v>-2</v>
      </c>
      <c r="AT14" s="23">
        <f t="shared" ca="1" si="37"/>
        <v>-12.666666666666666</v>
      </c>
      <c r="AU14" s="23">
        <f t="shared" ca="1" si="40"/>
        <v>25.333333333333332</v>
      </c>
      <c r="AV14" s="23">
        <f t="shared" si="21"/>
        <v>857.375</v>
      </c>
      <c r="AW14" s="23">
        <f t="shared" ca="1" si="22"/>
        <v>571.58333333333326</v>
      </c>
      <c r="AY14" s="35">
        <f t="shared" si="23"/>
        <v>0</v>
      </c>
      <c r="AZ14" s="23">
        <f t="shared" ca="1" si="41"/>
        <v>0</v>
      </c>
      <c r="BA14" s="36">
        <f t="shared" si="25"/>
        <v>0</v>
      </c>
      <c r="BB14" s="27">
        <f t="shared" ca="1" si="38"/>
        <v>0</v>
      </c>
      <c r="BC14" s="23">
        <f t="shared" ca="1" si="39"/>
        <v>0</v>
      </c>
      <c r="BE14" s="50" t="s">
        <v>39</v>
      </c>
      <c r="BF14" s="48" t="s">
        <v>40</v>
      </c>
      <c r="BG14" s="49">
        <f>IF(WL_No="  ","  ",Mmid/AWP)</f>
        <v>6.0587387387387377</v>
      </c>
    </row>
    <row r="15" spans="1:60" x14ac:dyDescent="0.25">
      <c r="A15" s="20">
        <f>Tools!$AD14</f>
        <v>9</v>
      </c>
      <c r="B15" s="33">
        <f t="shared" si="0"/>
        <v>9.6999999999999993</v>
      </c>
      <c r="C15" s="22">
        <f>IF(A15="  ","  ",IF(AND(A14="  ",A16="  "),"?",IF(A14="  ",2*(A16-A15),IF(A16="  ",2*(A15-A14),2*(A16-A14)))))</f>
        <v>4</v>
      </c>
      <c r="D15" s="23">
        <f t="shared" si="26"/>
        <v>38.799999999999997</v>
      </c>
      <c r="E15" s="24">
        <f t="shared" si="1"/>
        <v>-1</v>
      </c>
      <c r="F15" s="23">
        <f t="shared" si="27"/>
        <v>-38.799999999999997</v>
      </c>
      <c r="G15" s="23">
        <f t="shared" si="28"/>
        <v>38.799999999999997</v>
      </c>
      <c r="H15" s="23">
        <f t="shared" si="29"/>
        <v>912.67299999999977</v>
      </c>
      <c r="I15" s="23">
        <f t="shared" si="30"/>
        <v>3650.6919999999991</v>
      </c>
      <c r="J15" s="4"/>
      <c r="K15" s="37">
        <f t="shared" si="2"/>
        <v>0</v>
      </c>
      <c r="L15" s="23">
        <f t="shared" si="31"/>
        <v>0</v>
      </c>
      <c r="M15" s="38">
        <f t="shared" si="3"/>
        <v>0</v>
      </c>
      <c r="N15" s="27">
        <f t="shared" si="32"/>
        <v>0</v>
      </c>
      <c r="O15" s="23">
        <f t="shared" si="33"/>
        <v>0</v>
      </c>
      <c r="P15" s="4"/>
      <c r="Q15" s="51" t="s">
        <v>44</v>
      </c>
      <c r="R15" s="48" t="s">
        <v>45</v>
      </c>
      <c r="S15">
        <f>IF(Tools!$L$49="Use 141 rule only",I39,IF(Tools!$L$49="Use 141 and 1331 rules",BG16," "))</f>
        <v>44486.513296666657</v>
      </c>
      <c r="W15" s="29">
        <f>IF(AO15="  ","  ",IF(AND(AO14="  ",AO16="  "),"?",IF(AO14="  ",2*(AO16-AO15),IF(AO16="  ",2*(AO15-AO14),2*(AO16-AO14)))))</f>
        <v>4</v>
      </c>
      <c r="X15" s="30" t="str">
        <f t="shared" si="4"/>
        <v>WW</v>
      </c>
      <c r="Y15" s="30" t="str">
        <f t="shared" si="5"/>
        <v>-</v>
      </c>
      <c r="Z15" s="29" t="b">
        <f t="shared" si="6"/>
        <v>0</v>
      </c>
      <c r="AA15" s="29" t="b">
        <f t="shared" si="7"/>
        <v>0</v>
      </c>
      <c r="AB15" s="29" t="str">
        <f t="shared" ca="1" si="8"/>
        <v>++</v>
      </c>
      <c r="AC15" s="29">
        <f t="shared" si="34"/>
        <v>12</v>
      </c>
      <c r="AD15" s="29">
        <f t="shared" ca="1" si="9"/>
        <v>12</v>
      </c>
      <c r="AE15" s="29">
        <v>12</v>
      </c>
      <c r="AF15" s="31">
        <f t="shared" si="42"/>
        <v>8</v>
      </c>
      <c r="AG15" s="29" t="b">
        <f t="shared" si="11"/>
        <v>1</v>
      </c>
      <c r="AH15" s="30" t="str">
        <f t="shared" ref="AH15:AH28" ca="1" si="43">IF(AND(AG15=TRUE,$AH$1=1),"141-4",IF(AG15=" ",IF(AND($AH$1=2,AF15=3),"141-1","-"),IF(OR(AG15=FALSE,AG15=" "),"-",IF(AG15=TRUE,IF(AND($AH$1=2,AF15=1),"141-1",IF(AND($AH$1=2,AF15=2),"141-4",IF(OR(ISODD($AH$1),AF15&gt;4),IF(AF15=1,"141-1",IF(OR(AB15="141-1",AB15="1331-1",AB15="1331-1,141-1"),"141-1",IF(AG16=" ","141-1",IF(OR(AH14="141-1",AH14="141-2",AH14="1331-1,141-1"),"141-4",IF(AH14="141-4","141-2","$$"))))),IF(ISEVEN($AH$1),IF(AF15=1,"1331-1",IF(OR(AF15=2,AF15=3),"1331-3",IF(AF15=4,IF($AH$1=4,"1331-1","1331-1,141-1"),"")))))))))))</f>
        <v>141-4</v>
      </c>
      <c r="AI15" s="30" t="str">
        <f t="shared" ca="1" si="13"/>
        <v/>
      </c>
      <c r="AJ15" s="29">
        <f t="shared" ca="1" si="14"/>
        <v>0</v>
      </c>
      <c r="AK15" s="29" t="str">
        <f t="shared" ca="1" si="15"/>
        <v>4/3</v>
      </c>
      <c r="AL15" s="29">
        <f t="shared" ca="1" si="16"/>
        <v>1.3333333333333333</v>
      </c>
      <c r="AM15" s="32">
        <f t="shared" ca="1" si="35"/>
        <v>1.3333333333333333</v>
      </c>
      <c r="AO15" s="20">
        <f>Tools!$AD14</f>
        <v>9</v>
      </c>
      <c r="AP15" s="33">
        <f t="shared" si="36"/>
        <v>9.6999999999999993</v>
      </c>
      <c r="AQ15" s="34" t="str">
        <f t="shared" ca="1" si="18"/>
        <v>4/3</v>
      </c>
      <c r="AR15" s="23">
        <f t="shared" ca="1" si="19"/>
        <v>12.933333333333332</v>
      </c>
      <c r="AS15" s="24">
        <f t="shared" si="20"/>
        <v>-1</v>
      </c>
      <c r="AT15" s="23">
        <f t="shared" ca="1" si="37"/>
        <v>-12.933333333333332</v>
      </c>
      <c r="AU15" s="23">
        <f t="shared" ca="1" si="40"/>
        <v>12.933333333333332</v>
      </c>
      <c r="AV15" s="23">
        <f t="shared" si="21"/>
        <v>912.67299999999977</v>
      </c>
      <c r="AW15" s="23">
        <f t="shared" ca="1" si="22"/>
        <v>1216.8973333333329</v>
      </c>
      <c r="AY15" s="35">
        <f t="shared" si="23"/>
        <v>0</v>
      </c>
      <c r="AZ15" s="23">
        <f t="shared" ca="1" si="41"/>
        <v>0</v>
      </c>
      <c r="BA15" s="36">
        <f t="shared" si="25"/>
        <v>0</v>
      </c>
      <c r="BB15" s="27">
        <f ca="1">IFERROR(BA15*AM15,"  ")</f>
        <v>0</v>
      </c>
      <c r="BC15" s="23">
        <f t="shared" ca="1" si="39"/>
        <v>0</v>
      </c>
      <c r="BE15" s="50" t="s">
        <v>42</v>
      </c>
      <c r="BF15" s="48" t="s">
        <v>46</v>
      </c>
      <c r="BG15" s="49">
        <f ca="1">IF(WL_No="  ","  ",2*(h^3)*$AU$29)</f>
        <v>1636389.489573566</v>
      </c>
    </row>
    <row r="16" spans="1:60" x14ac:dyDescent="0.25">
      <c r="A16" s="20">
        <f>Tools!$AD15</f>
        <v>10</v>
      </c>
      <c r="B16" s="33">
        <f t="shared" si="0"/>
        <v>9.6999999999999993</v>
      </c>
      <c r="C16" s="22">
        <f>IF(A16="  ","  ",IF(AND(A15="  ",A17="  "),"?",IF(A15="  ",1*(A17-A16),IF(A17="  ",1*(A16-A15),1*(A17-A15)))))</f>
        <v>2</v>
      </c>
      <c r="D16" s="23">
        <f t="shared" si="26"/>
        <v>19.399999999999999</v>
      </c>
      <c r="E16" s="24">
        <f t="shared" si="1"/>
        <v>0</v>
      </c>
      <c r="F16" s="23">
        <f t="shared" si="27"/>
        <v>0</v>
      </c>
      <c r="G16" s="23">
        <f t="shared" si="28"/>
        <v>0</v>
      </c>
      <c r="H16" s="23">
        <f t="shared" si="29"/>
        <v>912.67299999999977</v>
      </c>
      <c r="I16" s="23">
        <f t="shared" si="30"/>
        <v>1825.3459999999995</v>
      </c>
      <c r="J16" s="4"/>
      <c r="K16" s="37">
        <f t="shared" si="2"/>
        <v>0</v>
      </c>
      <c r="L16" s="23">
        <f t="shared" si="31"/>
        <v>0</v>
      </c>
      <c r="M16" s="38">
        <f t="shared" si="3"/>
        <v>0</v>
      </c>
      <c r="N16" s="27">
        <f t="shared" si="32"/>
        <v>0</v>
      </c>
      <c r="O16" s="23">
        <f t="shared" si="33"/>
        <v>0</v>
      </c>
      <c r="P16" s="4"/>
      <c r="Q16" s="50" t="s">
        <v>47</v>
      </c>
      <c r="R16" s="48" t="s">
        <v>48</v>
      </c>
      <c r="S16">
        <f>IF(Tools!$L$49="Use 141 rule only",I40,IF(Tools!$L$49="Use 141 and 1331 rules",BG17," "))</f>
        <v>1569868.553065636</v>
      </c>
      <c r="W16" s="29">
        <f>IF(AO16="  ","  ",IF(AND(AO15="  ",AO17="  "),"?",IF(AO15="  ",1*(AO17-AO16),IF(AO17="  ",1*(AO16-AO15),1*(AO17-AO15)))))</f>
        <v>2</v>
      </c>
      <c r="X16" s="30" t="str">
        <f t="shared" si="4"/>
        <v>WW</v>
      </c>
      <c r="Y16" s="30" t="str">
        <f t="shared" si="5"/>
        <v>-</v>
      </c>
      <c r="Z16" s="29" t="b">
        <f t="shared" si="6"/>
        <v>0</v>
      </c>
      <c r="AA16" s="29" t="b">
        <f t="shared" si="7"/>
        <v>0</v>
      </c>
      <c r="AB16" s="29" t="str">
        <f t="shared" ca="1" si="8"/>
        <v>++</v>
      </c>
      <c r="AC16" s="29">
        <f t="shared" si="34"/>
        <v>13</v>
      </c>
      <c r="AD16" s="29">
        <f t="shared" ca="1" si="9"/>
        <v>13</v>
      </c>
      <c r="AE16" s="29">
        <v>13</v>
      </c>
      <c r="AF16" s="31">
        <f t="shared" si="42"/>
        <v>9</v>
      </c>
      <c r="AG16" s="29" t="b">
        <f t="shared" si="11"/>
        <v>1</v>
      </c>
      <c r="AH16" s="30" t="str">
        <f t="shared" ca="1" si="43"/>
        <v>141-2</v>
      </c>
      <c r="AI16" s="30" t="str">
        <f t="shared" ca="1" si="13"/>
        <v/>
      </c>
      <c r="AJ16" s="29">
        <f t="shared" ca="1" si="14"/>
        <v>0</v>
      </c>
      <c r="AK16" s="29" t="str">
        <f t="shared" ca="1" si="15"/>
        <v>2/3</v>
      </c>
      <c r="AL16" s="29">
        <f t="shared" ca="1" si="16"/>
        <v>0.66666666666666663</v>
      </c>
      <c r="AM16" s="32">
        <f t="shared" ca="1" si="35"/>
        <v>0.66666666666666663</v>
      </c>
      <c r="AO16" s="20">
        <f>Tools!$AD15</f>
        <v>10</v>
      </c>
      <c r="AP16" s="33">
        <f t="shared" si="36"/>
        <v>9.6999999999999993</v>
      </c>
      <c r="AQ16" s="34" t="str">
        <f t="shared" ca="1" si="18"/>
        <v>2/3</v>
      </c>
      <c r="AR16" s="23">
        <f t="shared" ca="1" si="19"/>
        <v>6.4666666666666659</v>
      </c>
      <c r="AS16" s="24">
        <f t="shared" si="20"/>
        <v>0</v>
      </c>
      <c r="AT16" s="23">
        <f t="shared" ca="1" si="37"/>
        <v>0</v>
      </c>
      <c r="AU16" s="23">
        <f t="shared" ca="1" si="40"/>
        <v>0</v>
      </c>
      <c r="AV16" s="23">
        <f t="shared" si="21"/>
        <v>912.67299999999977</v>
      </c>
      <c r="AW16" s="23">
        <f t="shared" ca="1" si="22"/>
        <v>608.44866666666644</v>
      </c>
      <c r="AY16" s="35">
        <f t="shared" si="23"/>
        <v>0</v>
      </c>
      <c r="AZ16" s="23">
        <f t="shared" ca="1" si="41"/>
        <v>0</v>
      </c>
      <c r="BA16" s="36">
        <f t="shared" si="25"/>
        <v>0</v>
      </c>
      <c r="BB16" s="27">
        <f t="shared" ca="1" si="38"/>
        <v>0</v>
      </c>
      <c r="BC16" s="23">
        <f ca="1">IFERROR(AZ16*AS16,"  ")</f>
        <v>0</v>
      </c>
      <c r="BE16" s="51" t="s">
        <v>44</v>
      </c>
      <c r="BF16" s="48" t="s">
        <v>49</v>
      </c>
      <c r="BG16" s="49">
        <f ca="1">IF(WL_No="  ","  ",2/3*h*$AW$29)</f>
        <v>44486.513296666664</v>
      </c>
    </row>
    <row r="17" spans="1:59" x14ac:dyDescent="0.25">
      <c r="A17" s="20">
        <f>Tools!$AD16</f>
        <v>11</v>
      </c>
      <c r="B17" s="33">
        <f t="shared" si="0"/>
        <v>9.6999999999999993</v>
      </c>
      <c r="C17" s="22">
        <f>IF(A17="  ","  ",IF(AND(A16="  ",A18="  "),"?",IF(A16="  ",2*(A18-A17),IF(A18="  ",2*(A17-A16),2*(A18-A16)))))</f>
        <v>4</v>
      </c>
      <c r="D17" s="23">
        <f t="shared" si="26"/>
        <v>38.799999999999997</v>
      </c>
      <c r="E17" s="24">
        <f t="shared" si="1"/>
        <v>1</v>
      </c>
      <c r="F17" s="23">
        <f t="shared" si="27"/>
        <v>38.799999999999997</v>
      </c>
      <c r="G17" s="23">
        <f t="shared" si="28"/>
        <v>38.799999999999997</v>
      </c>
      <c r="H17" s="23">
        <f t="shared" si="29"/>
        <v>912.67299999999977</v>
      </c>
      <c r="I17" s="23">
        <f t="shared" si="30"/>
        <v>3650.6919999999991</v>
      </c>
      <c r="J17" s="4"/>
      <c r="K17" s="37">
        <f t="shared" si="2"/>
        <v>0</v>
      </c>
      <c r="L17" s="23">
        <f t="shared" si="31"/>
        <v>0</v>
      </c>
      <c r="M17" s="38">
        <f t="shared" si="3"/>
        <v>0</v>
      </c>
      <c r="N17" s="27">
        <f t="shared" si="32"/>
        <v>0</v>
      </c>
      <c r="O17" s="23">
        <f t="shared" si="33"/>
        <v>0</v>
      </c>
      <c r="P17" s="4"/>
      <c r="Q17" s="50" t="s">
        <v>50</v>
      </c>
      <c r="R17" s="48" t="s">
        <v>51</v>
      </c>
      <c r="S17">
        <f>IF(Tools!$L$49="Use 141 rule only",I41,IF(Tools!$L$49="Use 141 and 1331 rules",BG18," "))</f>
        <v>0</v>
      </c>
      <c r="W17" s="29">
        <f>IF(AO17="  ","  ",IF(AND(AO16="  ",AO18="  "),"?",IF(AO16="  ",2*(AO18-AO17),IF(AO18="  ",2*(AO17-AO16),2*(AO18-AO16)))))</f>
        <v>4</v>
      </c>
      <c r="X17" s="30" t="str">
        <f t="shared" si="4"/>
        <v>WW</v>
      </c>
      <c r="Y17" s="30" t="str">
        <f t="shared" si="5"/>
        <v>-</v>
      </c>
      <c r="Z17" s="29" t="b">
        <f t="shared" si="6"/>
        <v>0</v>
      </c>
      <c r="AA17" s="29" t="b">
        <f t="shared" si="7"/>
        <v>0</v>
      </c>
      <c r="AB17" s="29" t="str">
        <f t="shared" ca="1" si="8"/>
        <v>++</v>
      </c>
      <c r="AC17" s="29">
        <f t="shared" si="34"/>
        <v>12</v>
      </c>
      <c r="AD17" s="29">
        <f t="shared" ca="1" si="9"/>
        <v>12</v>
      </c>
      <c r="AE17" s="29">
        <v>14</v>
      </c>
      <c r="AF17" s="31">
        <f t="shared" si="42"/>
        <v>10</v>
      </c>
      <c r="AG17" s="29" t="b">
        <f t="shared" si="11"/>
        <v>1</v>
      </c>
      <c r="AH17" s="30" t="str">
        <f t="shared" ca="1" si="43"/>
        <v>141-4</v>
      </c>
      <c r="AI17" s="30" t="str">
        <f t="shared" ca="1" si="13"/>
        <v/>
      </c>
      <c r="AJ17" s="29">
        <f t="shared" ca="1" si="14"/>
        <v>0</v>
      </c>
      <c r="AK17" s="29" t="str">
        <f t="shared" ca="1" si="15"/>
        <v>4/3</v>
      </c>
      <c r="AL17" s="29">
        <f t="shared" ca="1" si="16"/>
        <v>1.3333333333333333</v>
      </c>
      <c r="AM17" s="32">
        <f t="shared" ca="1" si="35"/>
        <v>1.3333333333333333</v>
      </c>
      <c r="AO17" s="20">
        <f>Tools!$AD16</f>
        <v>11</v>
      </c>
      <c r="AP17" s="33">
        <f t="shared" si="36"/>
        <v>9.6999999999999993</v>
      </c>
      <c r="AQ17" s="34" t="str">
        <f t="shared" ca="1" si="18"/>
        <v>4/3</v>
      </c>
      <c r="AR17" s="23">
        <f t="shared" ca="1" si="19"/>
        <v>12.933333333333332</v>
      </c>
      <c r="AS17" s="24">
        <f t="shared" si="20"/>
        <v>1</v>
      </c>
      <c r="AT17" s="23">
        <f t="shared" ca="1" si="37"/>
        <v>12.933333333333332</v>
      </c>
      <c r="AU17" s="23">
        <f t="shared" ca="1" si="40"/>
        <v>12.933333333333332</v>
      </c>
      <c r="AV17" s="23">
        <f t="shared" si="21"/>
        <v>912.67299999999977</v>
      </c>
      <c r="AW17" s="23">
        <f t="shared" ca="1" si="22"/>
        <v>1216.8973333333329</v>
      </c>
      <c r="AY17" s="35">
        <f t="shared" si="23"/>
        <v>0</v>
      </c>
      <c r="AZ17" s="23">
        <f t="shared" ca="1" si="41"/>
        <v>0</v>
      </c>
      <c r="BA17" s="36">
        <f t="shared" si="25"/>
        <v>0</v>
      </c>
      <c r="BB17" s="27">
        <f t="shared" ca="1" si="38"/>
        <v>0</v>
      </c>
      <c r="BC17" s="23">
        <f t="shared" ca="1" si="39"/>
        <v>0</v>
      </c>
      <c r="BE17" s="50" t="s">
        <v>47</v>
      </c>
      <c r="BF17" s="48" t="s">
        <v>48</v>
      </c>
      <c r="BG17" s="49">
        <f>IF(WL_No="  ","  ",IL-AWP*(LCF^2))</f>
        <v>1569868.553065636</v>
      </c>
    </row>
    <row r="18" spans="1:59" x14ac:dyDescent="0.25">
      <c r="A18" s="20">
        <f>Tools!$AD17</f>
        <v>12</v>
      </c>
      <c r="B18" s="33">
        <f t="shared" si="0"/>
        <v>9.6999999999999993</v>
      </c>
      <c r="C18" s="22">
        <f>IF(A18="  ","  ",IF(AND(A17="  ",A19="  "),"?",IF(A17="  ",1*(A19-A18),IF(A19="  ",1*(A18-A17),1*(A19-A17)))))</f>
        <v>2</v>
      </c>
      <c r="D18" s="23">
        <f t="shared" si="26"/>
        <v>19.399999999999999</v>
      </c>
      <c r="E18" s="24">
        <f t="shared" si="1"/>
        <v>2</v>
      </c>
      <c r="F18" s="23">
        <f t="shared" si="27"/>
        <v>38.799999999999997</v>
      </c>
      <c r="G18" s="23">
        <f t="shared" si="28"/>
        <v>77.599999999999994</v>
      </c>
      <c r="H18" s="23">
        <f t="shared" si="29"/>
        <v>912.67299999999977</v>
      </c>
      <c r="I18" s="23">
        <f t="shared" si="30"/>
        <v>1825.3459999999995</v>
      </c>
      <c r="J18" s="4"/>
      <c r="K18" s="37">
        <f t="shared" si="2"/>
        <v>0</v>
      </c>
      <c r="L18" s="23">
        <f t="shared" si="31"/>
        <v>0</v>
      </c>
      <c r="M18" s="38">
        <f t="shared" si="3"/>
        <v>0</v>
      </c>
      <c r="N18" s="27">
        <f t="shared" si="32"/>
        <v>0</v>
      </c>
      <c r="O18" s="23">
        <f t="shared" si="33"/>
        <v>0</v>
      </c>
      <c r="P18" s="4"/>
      <c r="Q18" s="50" t="s">
        <v>52</v>
      </c>
      <c r="R18" s="48" t="s">
        <v>53</v>
      </c>
      <c r="S18">
        <f>IF(Tools!$L$49="Use 141 rule only",I42,IF(Tools!$L$49="Use 141 and 1331 rules",BG19," "))</f>
        <v>0</v>
      </c>
      <c r="W18" s="29">
        <f>IF(AO18="  ","  ",IF(AND(AO17="  ",AO19="  "),"?",IF(AO17="  ",1*(AO19-AO18),IF(AO19="  ",1*(AO18-AO17),1*(AO19-AO17)))))</f>
        <v>2</v>
      </c>
      <c r="X18" s="30" t="str">
        <f t="shared" si="4"/>
        <v>WW</v>
      </c>
      <c r="Y18" s="30" t="str">
        <f t="shared" si="5"/>
        <v>-</v>
      </c>
      <c r="Z18" s="29" t="b">
        <f t="shared" si="6"/>
        <v>0</v>
      </c>
      <c r="AA18" s="29" t="b">
        <f t="shared" si="7"/>
        <v>0</v>
      </c>
      <c r="AB18" s="29" t="str">
        <f t="shared" ca="1" si="8"/>
        <v>++</v>
      </c>
      <c r="AC18" s="29">
        <f t="shared" si="34"/>
        <v>11</v>
      </c>
      <c r="AD18" s="29">
        <f t="shared" ca="1" si="9"/>
        <v>11</v>
      </c>
      <c r="AE18" s="29">
        <v>15</v>
      </c>
      <c r="AF18" s="31">
        <f t="shared" si="42"/>
        <v>11</v>
      </c>
      <c r="AG18" s="29" t="b">
        <f t="shared" si="11"/>
        <v>1</v>
      </c>
      <c r="AH18" s="30" t="str">
        <f t="shared" ca="1" si="43"/>
        <v>141-2</v>
      </c>
      <c r="AI18" s="30" t="str">
        <f t="shared" ca="1" si="13"/>
        <v/>
      </c>
      <c r="AJ18" s="29">
        <f t="shared" ca="1" si="14"/>
        <v>0</v>
      </c>
      <c r="AK18" s="29" t="str">
        <f t="shared" ca="1" si="15"/>
        <v>2/3</v>
      </c>
      <c r="AL18" s="29">
        <f t="shared" ca="1" si="16"/>
        <v>0.66666666666666663</v>
      </c>
      <c r="AM18" s="32">
        <f t="shared" ca="1" si="35"/>
        <v>0.66666666666666663</v>
      </c>
      <c r="AO18" s="20">
        <f>Tools!$AD17</f>
        <v>12</v>
      </c>
      <c r="AP18" s="33">
        <f t="shared" si="36"/>
        <v>9.6999999999999993</v>
      </c>
      <c r="AQ18" s="34" t="str">
        <f t="shared" ca="1" si="18"/>
        <v>2/3</v>
      </c>
      <c r="AR18" s="23">
        <f t="shared" ca="1" si="19"/>
        <v>6.4666666666666659</v>
      </c>
      <c r="AS18" s="24">
        <f t="shared" si="20"/>
        <v>2</v>
      </c>
      <c r="AT18" s="23">
        <f t="shared" ca="1" si="37"/>
        <v>12.933333333333332</v>
      </c>
      <c r="AU18" s="23">
        <f t="shared" ca="1" si="40"/>
        <v>25.866666666666664</v>
      </c>
      <c r="AV18" s="23">
        <f t="shared" si="21"/>
        <v>912.67299999999977</v>
      </c>
      <c r="AW18" s="23">
        <f t="shared" ca="1" si="22"/>
        <v>608.44866666666644</v>
      </c>
      <c r="AY18" s="35">
        <f t="shared" si="23"/>
        <v>0</v>
      </c>
      <c r="AZ18" s="23">
        <f t="shared" ca="1" si="41"/>
        <v>0</v>
      </c>
      <c r="BA18" s="36">
        <f t="shared" si="25"/>
        <v>0</v>
      </c>
      <c r="BB18" s="27">
        <f t="shared" ca="1" si="38"/>
        <v>0</v>
      </c>
      <c r="BC18" s="23">
        <f t="shared" ca="1" si="39"/>
        <v>0</v>
      </c>
      <c r="BE18" s="50" t="s">
        <v>50</v>
      </c>
      <c r="BF18" s="48" t="s">
        <v>54</v>
      </c>
      <c r="BG18" s="49">
        <f ca="1">IF(WL_No="  ","  ",h*$AZ$29)</f>
        <v>0</v>
      </c>
    </row>
    <row r="19" spans="1:59" x14ac:dyDescent="0.25">
      <c r="A19" s="20">
        <f>Tools!$AD18</f>
        <v>13</v>
      </c>
      <c r="B19" s="33">
        <f t="shared" si="0"/>
        <v>9.6999999999999993</v>
      </c>
      <c r="C19" s="22">
        <f>IF(A19="  ","  ",IF(AND(A18="  ",A20="  "),"?",IF(A18="  ",2*(A20-A19),IF(A20="  ",2*(A19-A18),2*(A20-A18)))))</f>
        <v>4</v>
      </c>
      <c r="D19" s="23">
        <f t="shared" si="26"/>
        <v>38.799999999999997</v>
      </c>
      <c r="E19" s="24">
        <f t="shared" si="1"/>
        <v>3</v>
      </c>
      <c r="F19" s="23">
        <f t="shared" si="27"/>
        <v>116.39999999999999</v>
      </c>
      <c r="G19" s="23">
        <f t="shared" si="28"/>
        <v>349.2</v>
      </c>
      <c r="H19" s="23">
        <f t="shared" si="29"/>
        <v>912.67299999999977</v>
      </c>
      <c r="I19" s="23">
        <f t="shared" si="30"/>
        <v>3650.6919999999991</v>
      </c>
      <c r="J19" s="4"/>
      <c r="K19" s="37">
        <f t="shared" si="2"/>
        <v>0</v>
      </c>
      <c r="L19" s="23">
        <f t="shared" si="31"/>
        <v>0</v>
      </c>
      <c r="M19" s="38">
        <f t="shared" si="3"/>
        <v>0</v>
      </c>
      <c r="N19" s="27">
        <f t="shared" si="32"/>
        <v>0</v>
      </c>
      <c r="O19" s="23">
        <f t="shared" si="33"/>
        <v>0</v>
      </c>
      <c r="P19" s="4"/>
      <c r="Q19" s="50" t="s">
        <v>55</v>
      </c>
      <c r="R19" s="48" t="s">
        <v>56</v>
      </c>
      <c r="S19">
        <f>IF(Tools!$L$49="Use 141 rule only",I43,IF(Tools!$L$49="Use 141 and 1331 rules",BG20," "))</f>
        <v>0</v>
      </c>
      <c r="W19" s="29">
        <f>IF(AO19="  ","  ",IF(AND(AO18="  ",AO20="  "),"?",IF(AO18="  ",2*(AO20-AO19),IF(AO20="  ",2*(AO19-AO18),2*(AO20-AO18)))))</f>
        <v>4</v>
      </c>
      <c r="X19" s="30" t="str">
        <f t="shared" si="4"/>
        <v>WW</v>
      </c>
      <c r="Y19" s="30" t="str">
        <f t="shared" si="5"/>
        <v>-</v>
      </c>
      <c r="Z19" s="29" t="b">
        <f t="shared" si="6"/>
        <v>0</v>
      </c>
      <c r="AA19" s="29" t="b">
        <f t="shared" si="7"/>
        <v>0</v>
      </c>
      <c r="AB19" s="29" t="str">
        <f t="shared" ca="1" si="8"/>
        <v>++</v>
      </c>
      <c r="AC19" s="29">
        <f t="shared" si="34"/>
        <v>10</v>
      </c>
      <c r="AD19" s="29">
        <f t="shared" ca="1" si="9"/>
        <v>10</v>
      </c>
      <c r="AE19" s="29">
        <v>16</v>
      </c>
      <c r="AF19" s="31">
        <f t="shared" si="42"/>
        <v>12</v>
      </c>
      <c r="AG19" s="29" t="b">
        <f t="shared" si="11"/>
        <v>1</v>
      </c>
      <c r="AH19" s="30" t="str">
        <f t="shared" ca="1" si="43"/>
        <v>141-4</v>
      </c>
      <c r="AI19" s="30" t="str">
        <f t="shared" ca="1" si="13"/>
        <v/>
      </c>
      <c r="AJ19" s="29">
        <f t="shared" ca="1" si="14"/>
        <v>0</v>
      </c>
      <c r="AK19" s="29" t="str">
        <f t="shared" ca="1" si="15"/>
        <v>4/3</v>
      </c>
      <c r="AL19" s="29">
        <f t="shared" ca="1" si="16"/>
        <v>1.3333333333333333</v>
      </c>
      <c r="AM19" s="32">
        <f t="shared" ca="1" si="35"/>
        <v>1.3333333333333333</v>
      </c>
      <c r="AO19" s="20">
        <f>Tools!$AD18</f>
        <v>13</v>
      </c>
      <c r="AP19" s="33">
        <f t="shared" si="36"/>
        <v>9.6999999999999993</v>
      </c>
      <c r="AQ19" s="34" t="str">
        <f t="shared" ca="1" si="18"/>
        <v>4/3</v>
      </c>
      <c r="AR19" s="23">
        <f t="shared" ca="1" si="19"/>
        <v>12.933333333333332</v>
      </c>
      <c r="AS19" s="24">
        <f t="shared" si="20"/>
        <v>3</v>
      </c>
      <c r="AT19" s="23">
        <f t="shared" ca="1" si="37"/>
        <v>38.799999999999997</v>
      </c>
      <c r="AU19" s="23">
        <f t="shared" ca="1" si="40"/>
        <v>116.39999999999999</v>
      </c>
      <c r="AV19" s="23">
        <f t="shared" si="21"/>
        <v>912.67299999999977</v>
      </c>
      <c r="AW19" s="23">
        <f t="shared" ca="1" si="22"/>
        <v>1216.8973333333329</v>
      </c>
      <c r="AY19" s="35">
        <f t="shared" si="23"/>
        <v>0</v>
      </c>
      <c r="AZ19" s="23">
        <f t="shared" ca="1" si="41"/>
        <v>0</v>
      </c>
      <c r="BA19" s="36">
        <f t="shared" si="25"/>
        <v>0</v>
      </c>
      <c r="BB19" s="27">
        <f t="shared" ca="1" si="38"/>
        <v>0</v>
      </c>
      <c r="BC19" s="23">
        <f t="shared" ca="1" si="39"/>
        <v>0</v>
      </c>
      <c r="BE19" s="50" t="s">
        <v>52</v>
      </c>
      <c r="BF19" s="48" t="s">
        <v>53</v>
      </c>
      <c r="BG19" s="49">
        <f>IF(WL_No="  ","  ",V_Disp*1.025*1.006)</f>
        <v>0</v>
      </c>
    </row>
    <row r="20" spans="1:59" x14ac:dyDescent="0.25">
      <c r="A20" s="20">
        <f>Tools!$AD19</f>
        <v>14</v>
      </c>
      <c r="B20" s="33">
        <f t="shared" si="0"/>
        <v>9.5</v>
      </c>
      <c r="C20" s="22">
        <f>IF(A20="  ","  ",IF(AND(A19="  ",A21="  "),"?",IF(A19="  ",1*(A21-A20),IF(A21="  ",1*(A20-A19),1*(A21-A19)))))</f>
        <v>2</v>
      </c>
      <c r="D20" s="23">
        <f t="shared" si="26"/>
        <v>19</v>
      </c>
      <c r="E20" s="24">
        <f t="shared" si="1"/>
        <v>4</v>
      </c>
      <c r="F20" s="23">
        <f t="shared" si="27"/>
        <v>76</v>
      </c>
      <c r="G20" s="23">
        <f t="shared" si="28"/>
        <v>304</v>
      </c>
      <c r="H20" s="23">
        <f t="shared" si="29"/>
        <v>857.375</v>
      </c>
      <c r="I20" s="23">
        <f t="shared" si="30"/>
        <v>1714.75</v>
      </c>
      <c r="J20" s="4"/>
      <c r="K20" s="37">
        <f t="shared" si="2"/>
        <v>0</v>
      </c>
      <c r="L20" s="23">
        <f t="shared" si="31"/>
        <v>0</v>
      </c>
      <c r="M20" s="38">
        <f t="shared" si="3"/>
        <v>0</v>
      </c>
      <c r="N20" s="27">
        <f t="shared" si="32"/>
        <v>0</v>
      </c>
      <c r="O20" s="23">
        <f t="shared" si="33"/>
        <v>0</v>
      </c>
      <c r="P20" s="4"/>
      <c r="Q20" s="50" t="s">
        <v>57</v>
      </c>
      <c r="R20" s="48" t="s">
        <v>58</v>
      </c>
      <c r="S20">
        <f>IF(Tools!$L$49="Use 141 rule only",I44,IF(Tools!$L$49="Use 141 and 1331 rules",BG21," "))</f>
        <v>0</v>
      </c>
      <c r="W20" s="29">
        <f>IF(AO20="  ","  ",IF(AND(AO19="  ",AO21="  "),"?",IF(AO19="  ",1*(AO21-AO20),IF(AO21="  ",1*(AO20-AO19),1*(AO21-AO19)))))</f>
        <v>2</v>
      </c>
      <c r="X20" s="30" t="str">
        <f t="shared" si="4"/>
        <v>WW</v>
      </c>
      <c r="Y20" s="30" t="str">
        <f t="shared" si="5"/>
        <v>-</v>
      </c>
      <c r="Z20" s="29" t="b">
        <f t="shared" si="6"/>
        <v>0</v>
      </c>
      <c r="AA20" s="29" t="b">
        <f t="shared" si="7"/>
        <v>0</v>
      </c>
      <c r="AB20" s="29" t="str">
        <f t="shared" ca="1" si="8"/>
        <v>++</v>
      </c>
      <c r="AC20" s="29">
        <f t="shared" si="34"/>
        <v>9</v>
      </c>
      <c r="AD20" s="29">
        <f t="shared" ca="1" si="9"/>
        <v>9</v>
      </c>
      <c r="AE20" s="29">
        <v>17</v>
      </c>
      <c r="AF20" s="31">
        <f t="shared" si="42"/>
        <v>13</v>
      </c>
      <c r="AG20" s="29" t="b">
        <f t="shared" si="11"/>
        <v>1</v>
      </c>
      <c r="AH20" s="30" t="str">
        <f t="shared" ca="1" si="43"/>
        <v>141-2</v>
      </c>
      <c r="AI20" s="30" t="str">
        <f t="shared" ca="1" si="13"/>
        <v/>
      </c>
      <c r="AJ20" s="29">
        <f t="shared" ca="1" si="14"/>
        <v>0</v>
      </c>
      <c r="AK20" s="29" t="str">
        <f t="shared" ca="1" si="15"/>
        <v>2/3</v>
      </c>
      <c r="AL20" s="29">
        <f t="shared" ca="1" si="16"/>
        <v>0.66666666666666663</v>
      </c>
      <c r="AM20" s="32">
        <f t="shared" ca="1" si="35"/>
        <v>0.66666666666666663</v>
      </c>
      <c r="AO20" s="20">
        <f>Tools!$AD19</f>
        <v>14</v>
      </c>
      <c r="AP20" s="33">
        <f t="shared" si="36"/>
        <v>9.5</v>
      </c>
      <c r="AQ20" s="34" t="str">
        <f t="shared" ca="1" si="18"/>
        <v>2/3</v>
      </c>
      <c r="AR20" s="23">
        <f t="shared" ca="1" si="19"/>
        <v>6.333333333333333</v>
      </c>
      <c r="AS20" s="24">
        <f t="shared" si="20"/>
        <v>4</v>
      </c>
      <c r="AT20" s="23">
        <f t="shared" ca="1" si="37"/>
        <v>25.333333333333332</v>
      </c>
      <c r="AU20" s="23">
        <f t="shared" ca="1" si="40"/>
        <v>101.33333333333333</v>
      </c>
      <c r="AV20" s="23">
        <f t="shared" si="21"/>
        <v>857.375</v>
      </c>
      <c r="AW20" s="23">
        <f t="shared" ca="1" si="22"/>
        <v>571.58333333333326</v>
      </c>
      <c r="AY20" s="35">
        <f t="shared" si="23"/>
        <v>0</v>
      </c>
      <c r="AZ20" s="23">
        <f t="shared" ca="1" si="41"/>
        <v>0</v>
      </c>
      <c r="BA20" s="36">
        <f t="shared" si="25"/>
        <v>0</v>
      </c>
      <c r="BB20" s="27">
        <f t="shared" ca="1" si="38"/>
        <v>0</v>
      </c>
      <c r="BC20" s="23">
        <f t="shared" ca="1" si="39"/>
        <v>0</v>
      </c>
      <c r="BE20" s="50" t="s">
        <v>55</v>
      </c>
      <c r="BF20" s="48" t="s">
        <v>59</v>
      </c>
      <c r="BG20" s="49">
        <f ca="1">IF(WL_No="  ","  ",h*$BB$29)</f>
        <v>0</v>
      </c>
    </row>
    <row r="21" spans="1:59" x14ac:dyDescent="0.25">
      <c r="A21" s="20">
        <f>Tools!$AD20</f>
        <v>15</v>
      </c>
      <c r="B21" s="33">
        <f t="shared" si="0"/>
        <v>8.9</v>
      </c>
      <c r="C21" s="22">
        <f>IF(A21="  ","  ",IF(AND(A20="  ",A22="  "),"?",IF(A20="  ",2*(A22-A21),IF(A22="  ",2*(A21-A20),2*(A22-A20)))))</f>
        <v>4</v>
      </c>
      <c r="D21" s="23">
        <f t="shared" si="26"/>
        <v>35.6</v>
      </c>
      <c r="E21" s="24">
        <f t="shared" si="1"/>
        <v>5</v>
      </c>
      <c r="F21" s="23">
        <f t="shared" si="27"/>
        <v>178</v>
      </c>
      <c r="G21" s="23">
        <f t="shared" si="28"/>
        <v>890</v>
      </c>
      <c r="H21" s="23">
        <f t="shared" si="29"/>
        <v>704.96900000000005</v>
      </c>
      <c r="I21" s="23">
        <f t="shared" si="30"/>
        <v>2819.8760000000002</v>
      </c>
      <c r="J21" s="4"/>
      <c r="K21" s="37">
        <f t="shared" si="2"/>
        <v>0</v>
      </c>
      <c r="L21" s="23">
        <f t="shared" si="31"/>
        <v>0</v>
      </c>
      <c r="M21" s="38">
        <f t="shared" si="3"/>
        <v>0</v>
      </c>
      <c r="N21" s="27">
        <f t="shared" si="32"/>
        <v>0</v>
      </c>
      <c r="O21" s="23">
        <f t="shared" si="33"/>
        <v>0</v>
      </c>
      <c r="P21" s="4"/>
      <c r="Q21" s="50" t="s">
        <v>60</v>
      </c>
      <c r="R21" s="48" t="s">
        <v>61</v>
      </c>
      <c r="S21" t="e">
        <f>IF(Tools!$L$49="Use 141 rule only",I45,IF(Tools!$L$49="Use 141 and 1331 rules",BG22," "))</f>
        <v>#DIV/0!</v>
      </c>
      <c r="W21" s="29">
        <f>IF(AO21="  ","  ",IF(AND(AO20="  ",AO22="  "),"?",IF(AO20="  ",2*(AO22-AO21),IF(AO22="  ",2*(AO21-AO20),2*(AO22-AO20)))))</f>
        <v>4</v>
      </c>
      <c r="X21" s="30" t="str">
        <f t="shared" si="4"/>
        <v>WW</v>
      </c>
      <c r="Y21" s="30" t="str">
        <f t="shared" si="5"/>
        <v>-</v>
      </c>
      <c r="Z21" s="29" t="b">
        <f t="shared" si="6"/>
        <v>0</v>
      </c>
      <c r="AA21" s="29" t="b">
        <f t="shared" si="7"/>
        <v>0</v>
      </c>
      <c r="AB21" s="29" t="str">
        <f t="shared" ca="1" si="8"/>
        <v>++</v>
      </c>
      <c r="AC21" s="29">
        <f t="shared" si="34"/>
        <v>8</v>
      </c>
      <c r="AD21" s="29">
        <f t="shared" ca="1" si="9"/>
        <v>8</v>
      </c>
      <c r="AE21" s="29">
        <v>18</v>
      </c>
      <c r="AF21" s="31">
        <f t="shared" si="42"/>
        <v>14</v>
      </c>
      <c r="AG21" s="29" t="b">
        <f t="shared" si="11"/>
        <v>1</v>
      </c>
      <c r="AH21" s="30" t="str">
        <f t="shared" ca="1" si="43"/>
        <v>141-4</v>
      </c>
      <c r="AI21" s="30" t="str">
        <f t="shared" ca="1" si="13"/>
        <v/>
      </c>
      <c r="AJ21" s="29">
        <f t="shared" ca="1" si="14"/>
        <v>0</v>
      </c>
      <c r="AK21" s="29" t="str">
        <f t="shared" ca="1" si="15"/>
        <v>4/3</v>
      </c>
      <c r="AL21" s="29">
        <f t="shared" ca="1" si="16"/>
        <v>1.3333333333333333</v>
      </c>
      <c r="AM21" s="32">
        <f t="shared" ca="1" si="35"/>
        <v>1.3333333333333333</v>
      </c>
      <c r="AO21" s="20">
        <f>Tools!$AD20</f>
        <v>15</v>
      </c>
      <c r="AP21" s="33">
        <f t="shared" si="36"/>
        <v>8.9</v>
      </c>
      <c r="AQ21" s="34" t="str">
        <f t="shared" ca="1" si="18"/>
        <v>4/3</v>
      </c>
      <c r="AR21" s="23">
        <f t="shared" ca="1" si="19"/>
        <v>11.866666666666667</v>
      </c>
      <c r="AS21" s="24">
        <f t="shared" si="20"/>
        <v>5</v>
      </c>
      <c r="AT21" s="23">
        <f t="shared" ca="1" si="37"/>
        <v>59.333333333333336</v>
      </c>
      <c r="AU21" s="23">
        <f t="shared" ca="1" si="40"/>
        <v>296.66666666666669</v>
      </c>
      <c r="AV21" s="23">
        <f t="shared" si="21"/>
        <v>704.96900000000005</v>
      </c>
      <c r="AW21" s="23">
        <f t="shared" ca="1" si="22"/>
        <v>939.95866666666666</v>
      </c>
      <c r="AY21" s="35">
        <f t="shared" si="23"/>
        <v>0</v>
      </c>
      <c r="AZ21" s="23">
        <f t="shared" ca="1" si="41"/>
        <v>0</v>
      </c>
      <c r="BA21" s="36">
        <f t="shared" si="25"/>
        <v>0</v>
      </c>
      <c r="BB21" s="27">
        <f t="shared" ca="1" si="38"/>
        <v>0</v>
      </c>
      <c r="BC21" s="23">
        <f t="shared" ca="1" si="39"/>
        <v>0</v>
      </c>
      <c r="BE21" s="50" t="s">
        <v>57</v>
      </c>
      <c r="BF21" s="48" t="s">
        <v>62</v>
      </c>
      <c r="BG21" s="49">
        <f ca="1">IF(WL_No="  ","  ",(h^2)*$BC$29)</f>
        <v>0</v>
      </c>
    </row>
    <row r="22" spans="1:59" x14ac:dyDescent="0.25">
      <c r="A22" s="20">
        <f>Tools!$AD21</f>
        <v>16</v>
      </c>
      <c r="B22" s="33">
        <f t="shared" si="0"/>
        <v>7.6</v>
      </c>
      <c r="C22" s="22">
        <f>IF(A22="  ","  ",IF(AND(A21="  ",A23="  "),"?",IF(A21="  ",1*(A23-A22),IF(A23="  ",1*(A22-A21),1*(A23-A21)))))</f>
        <v>2</v>
      </c>
      <c r="D22" s="23">
        <f t="shared" si="26"/>
        <v>15.2</v>
      </c>
      <c r="E22" s="24">
        <f t="shared" si="1"/>
        <v>6</v>
      </c>
      <c r="F22" s="23">
        <f t="shared" si="27"/>
        <v>91.199999999999989</v>
      </c>
      <c r="G22" s="23">
        <f t="shared" si="28"/>
        <v>547.19999999999993</v>
      </c>
      <c r="H22" s="23">
        <f t="shared" si="29"/>
        <v>438.97599999999994</v>
      </c>
      <c r="I22" s="23">
        <f t="shared" si="30"/>
        <v>877.95199999999988</v>
      </c>
      <c r="J22" s="4"/>
      <c r="K22" s="37">
        <f t="shared" si="2"/>
        <v>0</v>
      </c>
      <c r="L22" s="23">
        <f t="shared" si="31"/>
        <v>0</v>
      </c>
      <c r="M22" s="38">
        <f t="shared" si="3"/>
        <v>0</v>
      </c>
      <c r="N22" s="27">
        <f t="shared" si="32"/>
        <v>0</v>
      </c>
      <c r="O22" s="23">
        <f t="shared" si="33"/>
        <v>0</v>
      </c>
      <c r="P22" s="4"/>
      <c r="Q22" s="50" t="s">
        <v>63</v>
      </c>
      <c r="R22" s="48" t="s">
        <v>64</v>
      </c>
      <c r="S22" t="e">
        <f>IF(Tools!$L$49="Use 141 rule only",I46,IF(Tools!$L$49="Use 141 and 1331 rules",BG23," "))</f>
        <v>#DIV/0!</v>
      </c>
      <c r="W22" s="29">
        <f>IF(AO22="  ","  ",IF(AND(AO21="  ",AO23="  "),"?",IF(AO21="  ",1*(AO23-AO22),IF(AO23="  ",1*(AO22-AO21),1*(AO23-AO21)))))</f>
        <v>2</v>
      </c>
      <c r="X22" s="30" t="str">
        <f t="shared" si="4"/>
        <v>WW</v>
      </c>
      <c r="Y22" s="30" t="str">
        <f t="shared" si="5"/>
        <v>-</v>
      </c>
      <c r="Z22" s="29" t="b">
        <f t="shared" si="6"/>
        <v>0</v>
      </c>
      <c r="AA22" s="29" t="b">
        <f t="shared" si="7"/>
        <v>0</v>
      </c>
      <c r="AB22" s="29" t="str">
        <f t="shared" ca="1" si="8"/>
        <v>++</v>
      </c>
      <c r="AC22" s="29">
        <f t="shared" si="34"/>
        <v>7</v>
      </c>
      <c r="AD22" s="29">
        <f t="shared" ca="1" si="9"/>
        <v>7</v>
      </c>
      <c r="AE22" s="29">
        <v>19</v>
      </c>
      <c r="AF22" s="31">
        <f t="shared" si="42"/>
        <v>15</v>
      </c>
      <c r="AG22" s="29" t="b">
        <f t="shared" si="11"/>
        <v>1</v>
      </c>
      <c r="AH22" s="30" t="str">
        <f t="shared" ca="1" si="43"/>
        <v>141-2</v>
      </c>
      <c r="AI22" s="30" t="str">
        <f t="shared" ca="1" si="13"/>
        <v/>
      </c>
      <c r="AJ22" s="29">
        <f t="shared" ca="1" si="14"/>
        <v>0</v>
      </c>
      <c r="AK22" s="29" t="str">
        <f t="shared" ca="1" si="15"/>
        <v>2/3</v>
      </c>
      <c r="AL22" s="29">
        <f t="shared" ca="1" si="16"/>
        <v>0.66666666666666663</v>
      </c>
      <c r="AM22" s="32">
        <f t="shared" ca="1" si="35"/>
        <v>0.66666666666666663</v>
      </c>
      <c r="AO22" s="20">
        <f>Tools!$AD21</f>
        <v>16</v>
      </c>
      <c r="AP22" s="33">
        <f t="shared" si="36"/>
        <v>7.6</v>
      </c>
      <c r="AQ22" s="34" t="str">
        <f t="shared" ca="1" si="18"/>
        <v>2/3</v>
      </c>
      <c r="AR22" s="23">
        <f t="shared" ca="1" si="19"/>
        <v>5.0666666666666664</v>
      </c>
      <c r="AS22" s="24">
        <f t="shared" si="20"/>
        <v>6</v>
      </c>
      <c r="AT22" s="23">
        <f t="shared" ca="1" si="37"/>
        <v>30.4</v>
      </c>
      <c r="AU22" s="23">
        <f t="shared" ca="1" si="40"/>
        <v>182.39999999999998</v>
      </c>
      <c r="AV22" s="23">
        <f t="shared" si="21"/>
        <v>438.97599999999994</v>
      </c>
      <c r="AW22" s="23">
        <f t="shared" ca="1" si="22"/>
        <v>292.65066666666661</v>
      </c>
      <c r="AY22" s="35">
        <f t="shared" si="23"/>
        <v>0</v>
      </c>
      <c r="AZ22" s="23">
        <f t="shared" ca="1" si="41"/>
        <v>0</v>
      </c>
      <c r="BA22" s="36">
        <f t="shared" si="25"/>
        <v>0</v>
      </c>
      <c r="BB22" s="27">
        <f t="shared" ca="1" si="38"/>
        <v>0</v>
      </c>
      <c r="BC22" s="23">
        <f t="shared" ca="1" si="39"/>
        <v>0</v>
      </c>
      <c r="BE22" s="50" t="s">
        <v>60</v>
      </c>
      <c r="BF22" s="48" t="s">
        <v>61</v>
      </c>
      <c r="BG22" s="49" t="e">
        <f>IF(WL_No="  ","  ",IF/V_Disp)</f>
        <v>#DIV/0!</v>
      </c>
    </row>
    <row r="23" spans="1:59" x14ac:dyDescent="0.25">
      <c r="A23" s="20">
        <f>Tools!$AD22</f>
        <v>17</v>
      </c>
      <c r="B23" s="33">
        <f t="shared" si="0"/>
        <v>5.6</v>
      </c>
      <c r="C23" s="22">
        <f>IF(A23="  ","  ",IF(AND(A22="  ",A24="  "),"?",IF(A22="  ",2*(A24-A23),IF(A24="  ",2*(A23-A22),2*(A24-A22)))))</f>
        <v>4</v>
      </c>
      <c r="D23" s="23">
        <f t="shared" si="26"/>
        <v>22.4</v>
      </c>
      <c r="E23" s="24">
        <f t="shared" si="1"/>
        <v>7</v>
      </c>
      <c r="F23" s="23">
        <f t="shared" si="27"/>
        <v>156.79999999999998</v>
      </c>
      <c r="G23" s="23">
        <f t="shared" si="28"/>
        <v>1097.5999999999999</v>
      </c>
      <c r="H23" s="23">
        <f t="shared" si="29"/>
        <v>175.61599999999996</v>
      </c>
      <c r="I23" s="23">
        <f t="shared" si="30"/>
        <v>702.46399999999983</v>
      </c>
      <c r="J23" s="4"/>
      <c r="K23" s="37">
        <f t="shared" si="2"/>
        <v>0</v>
      </c>
      <c r="L23" s="23">
        <f t="shared" si="31"/>
        <v>0</v>
      </c>
      <c r="M23" s="38">
        <f t="shared" si="3"/>
        <v>0</v>
      </c>
      <c r="N23" s="27">
        <f t="shared" si="32"/>
        <v>0</v>
      </c>
      <c r="O23" s="23">
        <f t="shared" si="33"/>
        <v>0</v>
      </c>
      <c r="P23" s="4"/>
      <c r="Q23" s="50" t="s">
        <v>65</v>
      </c>
      <c r="R23" s="48" t="s">
        <v>66</v>
      </c>
      <c r="S23" t="e">
        <f>IF(Tools!$L$49="Use 141 rule only",I47,IF(Tools!$L$49="Use 141 and 1331 rules",BG24," "))</f>
        <v>#DIV/0!</v>
      </c>
      <c r="W23" s="29">
        <f>IF(AO23="  ","  ",IF(AND(AO22="  ",AO24="  "),"?",IF(AO22="  ",2*(AO24-AO23),IF(AO24="  ",2*(AO23-AO22),2*(AO24-AO22)))))</f>
        <v>4</v>
      </c>
      <c r="X23" s="30" t="str">
        <f t="shared" si="4"/>
        <v>WW</v>
      </c>
      <c r="Y23" s="30" t="str">
        <f t="shared" si="5"/>
        <v>-</v>
      </c>
      <c r="Z23" s="29" t="b">
        <f t="shared" si="6"/>
        <v>0</v>
      </c>
      <c r="AA23" s="29" t="b">
        <f t="shared" si="7"/>
        <v>0</v>
      </c>
      <c r="AB23" s="29" t="str">
        <f t="shared" ca="1" si="8"/>
        <v>++</v>
      </c>
      <c r="AC23" s="29">
        <f t="shared" si="34"/>
        <v>6</v>
      </c>
      <c r="AD23" s="29">
        <f t="shared" ca="1" si="9"/>
        <v>6</v>
      </c>
      <c r="AE23" s="29">
        <v>20</v>
      </c>
      <c r="AF23" s="31">
        <f t="shared" si="42"/>
        <v>16</v>
      </c>
      <c r="AG23" s="29" t="b">
        <f t="shared" si="11"/>
        <v>1</v>
      </c>
      <c r="AH23" s="30" t="str">
        <f t="shared" ca="1" si="43"/>
        <v>141-4</v>
      </c>
      <c r="AI23" s="30" t="str">
        <f t="shared" ca="1" si="13"/>
        <v/>
      </c>
      <c r="AJ23" s="29">
        <f t="shared" ca="1" si="14"/>
        <v>0</v>
      </c>
      <c r="AK23" s="29" t="str">
        <f t="shared" ca="1" si="15"/>
        <v>4/3</v>
      </c>
      <c r="AL23" s="29">
        <f t="shared" ca="1" si="16"/>
        <v>1.3333333333333333</v>
      </c>
      <c r="AM23" s="32">
        <f t="shared" ca="1" si="35"/>
        <v>1.3333333333333333</v>
      </c>
      <c r="AO23" s="20">
        <f>Tools!$AD22</f>
        <v>17</v>
      </c>
      <c r="AP23" s="33">
        <f t="shared" si="36"/>
        <v>5.6</v>
      </c>
      <c r="AQ23" s="34" t="str">
        <f t="shared" ca="1" si="18"/>
        <v>4/3</v>
      </c>
      <c r="AR23" s="23">
        <f t="shared" ca="1" si="19"/>
        <v>7.4666666666666659</v>
      </c>
      <c r="AS23" s="24">
        <f t="shared" si="20"/>
        <v>7</v>
      </c>
      <c r="AT23" s="23">
        <f t="shared" ca="1" si="37"/>
        <v>52.266666666666659</v>
      </c>
      <c r="AU23" s="23">
        <f t="shared" ca="1" si="40"/>
        <v>365.86666666666662</v>
      </c>
      <c r="AV23" s="23">
        <f t="shared" si="21"/>
        <v>175.61599999999996</v>
      </c>
      <c r="AW23" s="23">
        <f t="shared" ca="1" si="22"/>
        <v>234.1546666666666</v>
      </c>
      <c r="AY23" s="35">
        <f t="shared" si="23"/>
        <v>0</v>
      </c>
      <c r="AZ23" s="23">
        <f t="shared" ca="1" si="41"/>
        <v>0</v>
      </c>
      <c r="BA23" s="36">
        <f t="shared" si="25"/>
        <v>0</v>
      </c>
      <c r="BB23" s="27">
        <f t="shared" ca="1" si="38"/>
        <v>0</v>
      </c>
      <c r="BC23" s="23">
        <f t="shared" ca="1" si="39"/>
        <v>0</v>
      </c>
      <c r="BE23" s="50" t="s">
        <v>63</v>
      </c>
      <c r="BF23" s="48" t="s">
        <v>64</v>
      </c>
      <c r="BG23" s="49" t="e">
        <f>IF(WL_No="  ","  ",IT/V_Disp)</f>
        <v>#DIV/0!</v>
      </c>
    </row>
    <row r="24" spans="1:59" x14ac:dyDescent="0.25">
      <c r="A24" s="20">
        <f>Tools!$AD23</f>
        <v>18</v>
      </c>
      <c r="B24" s="33">
        <f t="shared" si="0"/>
        <v>3.5</v>
      </c>
      <c r="C24" s="22">
        <f>IF(A24="  ","  ",IF(AND(A23="  ",A25="  "),"?",IF(A23="  ",1*(A25-A24),IF(A25="  ",1*(A24-A23),1*(A25-A23)))))</f>
        <v>1.5</v>
      </c>
      <c r="D24" s="23">
        <f t="shared" si="26"/>
        <v>5.25</v>
      </c>
      <c r="E24" s="24">
        <f t="shared" si="1"/>
        <v>8</v>
      </c>
      <c r="F24" s="23">
        <f t="shared" si="27"/>
        <v>42</v>
      </c>
      <c r="G24" s="23">
        <f t="shared" si="28"/>
        <v>336</v>
      </c>
      <c r="H24" s="23">
        <f t="shared" si="29"/>
        <v>42.875</v>
      </c>
      <c r="I24" s="23">
        <f t="shared" si="30"/>
        <v>64.3125</v>
      </c>
      <c r="J24" s="4"/>
      <c r="K24" s="37">
        <f t="shared" si="2"/>
        <v>0</v>
      </c>
      <c r="L24" s="23">
        <f t="shared" si="31"/>
        <v>0</v>
      </c>
      <c r="M24" s="38">
        <f t="shared" si="3"/>
        <v>0</v>
      </c>
      <c r="N24" s="27">
        <f t="shared" si="32"/>
        <v>0</v>
      </c>
      <c r="O24" s="23">
        <f t="shared" si="33"/>
        <v>0</v>
      </c>
      <c r="P24" s="4"/>
      <c r="Q24" s="50" t="s">
        <v>67</v>
      </c>
      <c r="R24" s="48" t="s">
        <v>68</v>
      </c>
      <c r="S24" t="e">
        <f>IF(Tools!$L$49="Use 141 rule only",I48,IF(Tools!$L$49="Use 141 and 1331 rules",BG25," "))</f>
        <v>#DIV/0!</v>
      </c>
      <c r="W24" s="29">
        <f>IF(AO24="  ","  ",IF(AND(AO23="  ",AO25="  "),"?",IF(AO23="  ",1*(AO25-AO24),IF(AO25="  ",1*(AO24-AO23),1*(AO25-AO23)))))</f>
        <v>1.5</v>
      </c>
      <c r="X24" s="30" t="str">
        <f t="shared" si="4"/>
        <v>WD</v>
      </c>
      <c r="Y24" s="30" t="str">
        <f t="shared" si="5"/>
        <v>-</v>
      </c>
      <c r="Z24" s="29" t="b">
        <f t="shared" si="6"/>
        <v>1</v>
      </c>
      <c r="AA24" s="29" t="b">
        <f t="shared" si="7"/>
        <v>1</v>
      </c>
      <c r="AB24" s="29" t="str">
        <f t="shared" ca="1" si="8"/>
        <v>141-1</v>
      </c>
      <c r="AC24" s="29">
        <f t="shared" si="34"/>
        <v>5</v>
      </c>
      <c r="AD24" s="29">
        <f t="shared" ca="1" si="9"/>
        <v>5</v>
      </c>
      <c r="AE24" s="29">
        <v>21</v>
      </c>
      <c r="AF24" s="31">
        <f t="shared" si="42"/>
        <v>17</v>
      </c>
      <c r="AG24" s="29" t="b">
        <f t="shared" si="11"/>
        <v>1</v>
      </c>
      <c r="AH24" s="30" t="str">
        <f t="shared" ca="1" si="43"/>
        <v>141-1</v>
      </c>
      <c r="AI24" s="30" t="str">
        <f t="shared" ca="1" si="13"/>
        <v>(1/2)*(1/3)</v>
      </c>
      <c r="AJ24" s="29">
        <f t="shared" ca="1" si="14"/>
        <v>0.16666666666666666</v>
      </c>
      <c r="AK24" s="29" t="str">
        <f t="shared" ca="1" si="15"/>
        <v>1/3</v>
      </c>
      <c r="AL24" s="29">
        <f t="shared" ca="1" si="16"/>
        <v>0.33333333333333331</v>
      </c>
      <c r="AM24" s="32">
        <f t="shared" ca="1" si="35"/>
        <v>0.5</v>
      </c>
      <c r="AO24" s="20">
        <f>Tools!$AD23</f>
        <v>18</v>
      </c>
      <c r="AP24" s="33">
        <f t="shared" si="36"/>
        <v>3.5</v>
      </c>
      <c r="AQ24" s="34" t="str">
        <f t="shared" ca="1" si="18"/>
        <v>(1/2)*(1/3)+1/3</v>
      </c>
      <c r="AR24" s="23">
        <f t="shared" ca="1" si="19"/>
        <v>1.75</v>
      </c>
      <c r="AS24" s="24">
        <f t="shared" si="20"/>
        <v>8</v>
      </c>
      <c r="AT24" s="23">
        <f t="shared" ca="1" si="37"/>
        <v>14</v>
      </c>
      <c r="AU24" s="23">
        <f t="shared" ca="1" si="40"/>
        <v>112</v>
      </c>
      <c r="AV24" s="23">
        <f t="shared" si="21"/>
        <v>42.875</v>
      </c>
      <c r="AW24" s="23">
        <f t="shared" ca="1" si="22"/>
        <v>21.4375</v>
      </c>
      <c r="AY24" s="35">
        <f t="shared" si="23"/>
        <v>0</v>
      </c>
      <c r="AZ24" s="23">
        <f t="shared" ca="1" si="41"/>
        <v>0</v>
      </c>
      <c r="BA24" s="36">
        <f t="shared" si="25"/>
        <v>0</v>
      </c>
      <c r="BB24" s="27">
        <f t="shared" ca="1" si="38"/>
        <v>0</v>
      </c>
      <c r="BC24" s="23">
        <f t="shared" ca="1" si="39"/>
        <v>0</v>
      </c>
      <c r="BE24" s="50" t="s">
        <v>65</v>
      </c>
      <c r="BF24" s="48" t="s">
        <v>66</v>
      </c>
      <c r="BG24" s="49" t="e">
        <f>IF(WL_No="  ","  ",MT/V_Disp)</f>
        <v>#DIV/0!</v>
      </c>
    </row>
    <row r="25" spans="1:59" x14ac:dyDescent="0.25">
      <c r="A25" s="20">
        <f>Tools!$AD24</f>
        <v>18.5</v>
      </c>
      <c r="B25" s="33">
        <f t="shared" si="0"/>
        <v>2.2999999999999998</v>
      </c>
      <c r="C25" s="22">
        <f>IF(A25="  ","  ",IF(AND(A24="  ",A26="  "),"?",IF(A24="  ",2*(A26-A25),IF(A26="  ",2*(A25-A24),2*(A26-A24)))))</f>
        <v>2</v>
      </c>
      <c r="D25" s="23">
        <f t="shared" si="26"/>
        <v>4.5999999999999996</v>
      </c>
      <c r="E25" s="24">
        <f t="shared" si="1"/>
        <v>8.5</v>
      </c>
      <c r="F25" s="23">
        <f t="shared" si="27"/>
        <v>39.099999999999994</v>
      </c>
      <c r="G25" s="23">
        <f t="shared" si="28"/>
        <v>332.34999999999997</v>
      </c>
      <c r="H25" s="23">
        <f t="shared" si="29"/>
        <v>12.166999999999996</v>
      </c>
      <c r="I25" s="23">
        <f t="shared" si="30"/>
        <v>24.333999999999993</v>
      </c>
      <c r="J25" s="4"/>
      <c r="K25" s="37">
        <f t="shared" si="2"/>
        <v>0</v>
      </c>
      <c r="L25" s="23">
        <f t="shared" si="31"/>
        <v>0</v>
      </c>
      <c r="M25" s="38">
        <f t="shared" si="3"/>
        <v>0</v>
      </c>
      <c r="N25" s="27">
        <f t="shared" si="32"/>
        <v>0</v>
      </c>
      <c r="O25" s="23">
        <f t="shared" si="33"/>
        <v>0</v>
      </c>
      <c r="P25" s="4"/>
      <c r="Q25" s="50" t="s">
        <v>69</v>
      </c>
      <c r="R25" s="48" t="s">
        <v>70</v>
      </c>
      <c r="S25" t="e">
        <f>IF(Tools!$L$49="Use 141 rule only",I49,IF(Tools!$L$49="Use 141 and 1331 rules",BG26," "))</f>
        <v>#DIV/0!</v>
      </c>
      <c r="W25" s="29">
        <f>IF(AO25="  ","  ",IF(AND(AO24="  ",AO26="  "),"?",IF(AO24="  ",2*(AO26-AO25),IF(AO26="  ",2*(AO25-AO24),2*(AO26-AO24)))))</f>
        <v>2</v>
      </c>
      <c r="X25" s="30" t="str">
        <f t="shared" si="4"/>
        <v>DD</v>
      </c>
      <c r="Y25" s="30" t="str">
        <f t="shared" si="5"/>
        <v>-</v>
      </c>
      <c r="Z25" s="29" t="b">
        <f t="shared" si="6"/>
        <v>1</v>
      </c>
      <c r="AA25" s="29" t="b">
        <f t="shared" si="7"/>
        <v>1</v>
      </c>
      <c r="AB25" s="29" t="str">
        <f t="shared" ca="1" si="8"/>
        <v>141-4</v>
      </c>
      <c r="AC25" s="29">
        <f t="shared" si="34"/>
        <v>4</v>
      </c>
      <c r="AD25" s="29">
        <f t="shared" ca="1" si="9"/>
        <v>4</v>
      </c>
      <c r="AE25" s="29">
        <v>22</v>
      </c>
      <c r="AF25" s="31">
        <f t="shared" si="42"/>
        <v>18</v>
      </c>
      <c r="AG25" s="29" t="b">
        <f t="shared" si="11"/>
        <v>0</v>
      </c>
      <c r="AH25" s="30" t="str">
        <f t="shared" si="43"/>
        <v>-</v>
      </c>
      <c r="AI25" s="30" t="str">
        <f t="shared" ca="1" si="13"/>
        <v>(1/2)*(4/3)</v>
      </c>
      <c r="AJ25" s="29">
        <f t="shared" ca="1" si="14"/>
        <v>0.66666666666666663</v>
      </c>
      <c r="AK25" s="29" t="str">
        <f t="shared" si="15"/>
        <v/>
      </c>
      <c r="AL25" s="29">
        <f t="shared" si="16"/>
        <v>0</v>
      </c>
      <c r="AM25" s="32">
        <f t="shared" ca="1" si="35"/>
        <v>0.66666666666666663</v>
      </c>
      <c r="AO25" s="20">
        <f>Tools!$AD24</f>
        <v>18.5</v>
      </c>
      <c r="AP25" s="33">
        <f t="shared" si="36"/>
        <v>2.2999999999999998</v>
      </c>
      <c r="AQ25" s="34" t="str">
        <f t="shared" ca="1" si="18"/>
        <v>(1/2)*(4/3)</v>
      </c>
      <c r="AR25" s="23">
        <f t="shared" ca="1" si="19"/>
        <v>1.5333333333333332</v>
      </c>
      <c r="AS25" s="24">
        <f t="shared" si="20"/>
        <v>8.5</v>
      </c>
      <c r="AT25" s="23">
        <f t="shared" ca="1" si="37"/>
        <v>13.033333333333331</v>
      </c>
      <c r="AU25" s="23">
        <f t="shared" ca="1" si="40"/>
        <v>110.78333333333332</v>
      </c>
      <c r="AV25" s="23">
        <f t="shared" si="21"/>
        <v>12.166999999999996</v>
      </c>
      <c r="AW25" s="23">
        <f t="shared" ca="1" si="22"/>
        <v>8.1113333333333308</v>
      </c>
      <c r="AY25" s="35">
        <f t="shared" si="23"/>
        <v>0</v>
      </c>
      <c r="AZ25" s="23">
        <f t="shared" ca="1" si="41"/>
        <v>0</v>
      </c>
      <c r="BA25" s="36">
        <f t="shared" si="25"/>
        <v>0</v>
      </c>
      <c r="BB25" s="27">
        <f t="shared" ca="1" si="38"/>
        <v>0</v>
      </c>
      <c r="BC25" s="23">
        <f t="shared" ca="1" si="39"/>
        <v>0</v>
      </c>
      <c r="BE25" s="50" t="s">
        <v>67</v>
      </c>
      <c r="BF25" s="48" t="s">
        <v>68</v>
      </c>
      <c r="BG25" s="49" t="e">
        <f>IF(WL_No="  ","  ",KB+BMT)</f>
        <v>#DIV/0!</v>
      </c>
    </row>
    <row r="26" spans="1:59" x14ac:dyDescent="0.25">
      <c r="A26" s="20">
        <f>Tools!$AD25</f>
        <v>19</v>
      </c>
      <c r="B26" s="33">
        <f t="shared" si="0"/>
        <v>1.3</v>
      </c>
      <c r="C26" s="22">
        <f>IF(A26="  ","  ",IF(AND(A25="  ",A27="  "),"?",IF(A25="  ",1*(A27-A26),IF(A27="  ",1*(A26-A25),1*(A27-A25)))))</f>
        <v>1</v>
      </c>
      <c r="D26" s="23">
        <f t="shared" si="26"/>
        <v>1.3</v>
      </c>
      <c r="E26" s="24">
        <f t="shared" si="1"/>
        <v>9</v>
      </c>
      <c r="F26" s="23">
        <f t="shared" si="27"/>
        <v>11.700000000000001</v>
      </c>
      <c r="G26" s="23">
        <f t="shared" si="28"/>
        <v>105.30000000000001</v>
      </c>
      <c r="H26" s="23">
        <f t="shared" si="29"/>
        <v>2.1970000000000005</v>
      </c>
      <c r="I26" s="23">
        <f t="shared" si="30"/>
        <v>2.1970000000000005</v>
      </c>
      <c r="J26" s="4"/>
      <c r="K26" s="37">
        <f t="shared" si="2"/>
        <v>0</v>
      </c>
      <c r="L26" s="23">
        <f t="shared" si="31"/>
        <v>0</v>
      </c>
      <c r="M26" s="38">
        <f t="shared" si="3"/>
        <v>0</v>
      </c>
      <c r="N26" s="27">
        <f t="shared" si="32"/>
        <v>0</v>
      </c>
      <c r="O26" s="23">
        <f t="shared" si="33"/>
        <v>0</v>
      </c>
      <c r="P26" s="4"/>
      <c r="Q26" s="50" t="s">
        <v>71</v>
      </c>
      <c r="R26" s="48" t="s">
        <v>72</v>
      </c>
      <c r="S26">
        <f>IF(Tools!$L$49="Use 141 rule only",I50,IF(Tools!$L$49="Use 141 and 1331 rules",BG27," "))</f>
        <v>18.574527249999999</v>
      </c>
      <c r="W26" s="29">
        <f>IF(AO26="  ","  ",IF(AND(AO25="  ",AO27="  "),"?",IF(AO25="  ",1*(AO27-AO26),IF(AO27="  ",1*(AO26-AO25),1*(AO27-AO25)))))</f>
        <v>1</v>
      </c>
      <c r="X26" s="30" t="str">
        <f t="shared" si="4"/>
        <v>DD</v>
      </c>
      <c r="Y26" s="30" t="str">
        <f t="shared" si="5"/>
        <v>-</v>
      </c>
      <c r="Z26" s="29" t="b">
        <f t="shared" si="6"/>
        <v>1</v>
      </c>
      <c r="AA26" s="29" t="b">
        <f t="shared" si="7"/>
        <v>1</v>
      </c>
      <c r="AB26" s="29" t="str">
        <f t="shared" ca="1" si="8"/>
        <v>141-2</v>
      </c>
      <c r="AC26" s="29">
        <f t="shared" si="34"/>
        <v>3</v>
      </c>
      <c r="AD26" s="29">
        <f t="shared" ca="1" si="9"/>
        <v>3</v>
      </c>
      <c r="AE26" s="29">
        <v>23</v>
      </c>
      <c r="AF26" s="31">
        <f t="shared" si="42"/>
        <v>19</v>
      </c>
      <c r="AG26" s="29" t="b">
        <f t="shared" si="11"/>
        <v>0</v>
      </c>
      <c r="AH26" s="30" t="str">
        <f t="shared" si="43"/>
        <v>-</v>
      </c>
      <c r="AI26" s="30" t="str">
        <f t="shared" ca="1" si="13"/>
        <v>(1/2)*(2/3)</v>
      </c>
      <c r="AJ26" s="29">
        <f t="shared" ca="1" si="14"/>
        <v>0.33333333333333331</v>
      </c>
      <c r="AK26" s="29" t="str">
        <f t="shared" si="15"/>
        <v/>
      </c>
      <c r="AL26" s="29">
        <f t="shared" si="16"/>
        <v>0</v>
      </c>
      <c r="AM26" s="32">
        <f t="shared" ca="1" si="35"/>
        <v>0.33333333333333331</v>
      </c>
      <c r="AO26" s="20">
        <f>Tools!$AD25</f>
        <v>19</v>
      </c>
      <c r="AP26" s="33">
        <f t="shared" si="36"/>
        <v>1.3</v>
      </c>
      <c r="AQ26" s="34" t="str">
        <f t="shared" ca="1" si="18"/>
        <v>(1/2)*(2/3)</v>
      </c>
      <c r="AR26" s="23">
        <f t="shared" ca="1" si="19"/>
        <v>0.43333333333333335</v>
      </c>
      <c r="AS26" s="24">
        <f t="shared" si="20"/>
        <v>9</v>
      </c>
      <c r="AT26" s="23">
        <f t="shared" ca="1" si="37"/>
        <v>3.9000000000000004</v>
      </c>
      <c r="AU26" s="23">
        <f t="shared" ca="1" si="40"/>
        <v>35.1</v>
      </c>
      <c r="AV26" s="23">
        <f t="shared" si="21"/>
        <v>2.1970000000000005</v>
      </c>
      <c r="AW26" s="23">
        <f t="shared" ca="1" si="22"/>
        <v>0.7323333333333335</v>
      </c>
      <c r="AY26" s="35">
        <f t="shared" si="23"/>
        <v>0</v>
      </c>
      <c r="AZ26" s="23">
        <f t="shared" ca="1" si="41"/>
        <v>0</v>
      </c>
      <c r="BA26" s="36">
        <f t="shared" si="25"/>
        <v>0</v>
      </c>
      <c r="BB26" s="27">
        <f t="shared" ca="1" si="38"/>
        <v>0</v>
      </c>
      <c r="BC26" s="23">
        <f t="shared" ca="1" si="39"/>
        <v>0</v>
      </c>
      <c r="BE26" s="50" t="s">
        <v>69</v>
      </c>
      <c r="BF26" s="48" t="s">
        <v>70</v>
      </c>
      <c r="BG26" s="49" t="e">
        <f>IF(WL_No="  ","  ",KB+BML)</f>
        <v>#DIV/0!</v>
      </c>
    </row>
    <row r="27" spans="1:59" x14ac:dyDescent="0.25">
      <c r="A27" s="20">
        <f>Tools!$AD26</f>
        <v>19.5</v>
      </c>
      <c r="B27" s="33">
        <f t="shared" si="0"/>
        <v>0.4</v>
      </c>
      <c r="C27" s="22">
        <f>IF(A27="  ","  ",IF(AND(A26="  ",A28="  "),"?",IF(A26="  ",2*(A28-A27),IF(A28="  ",2*(A27-A26),2*(A28-A26)))))</f>
        <v>2</v>
      </c>
      <c r="D27" s="23">
        <f t="shared" si="26"/>
        <v>0.8</v>
      </c>
      <c r="E27" s="24">
        <f t="shared" si="1"/>
        <v>9.5</v>
      </c>
      <c r="F27" s="23">
        <f t="shared" si="27"/>
        <v>7.6000000000000005</v>
      </c>
      <c r="G27" s="23">
        <f t="shared" si="28"/>
        <v>72.2</v>
      </c>
      <c r="H27" s="23">
        <f t="shared" si="29"/>
        <v>6.4000000000000015E-2</v>
      </c>
      <c r="I27" s="23">
        <f t="shared" si="30"/>
        <v>0.12800000000000003</v>
      </c>
      <c r="J27" s="4"/>
      <c r="K27" s="37">
        <f t="shared" si="2"/>
        <v>0</v>
      </c>
      <c r="L27" s="23">
        <f t="shared" si="31"/>
        <v>0</v>
      </c>
      <c r="M27" s="38">
        <f t="shared" si="3"/>
        <v>0</v>
      </c>
      <c r="N27" s="27">
        <f t="shared" si="32"/>
        <v>0</v>
      </c>
      <c r="O27" s="23">
        <f t="shared" si="33"/>
        <v>0</v>
      </c>
      <c r="P27" s="4"/>
      <c r="Q27" s="50" t="s">
        <v>73</v>
      </c>
      <c r="R27" s="48" t="s">
        <v>74</v>
      </c>
      <c r="S27" t="e">
        <f>IF(Tools!$L$49="Use 141 rule only",I51,IF(Tools!$L$49="Use 141 and 1331 rules",BG28," "))</f>
        <v>#DIV/0!</v>
      </c>
      <c r="W27" s="29">
        <f>IF(AO27="  ","  ",IF(AND(AO26="  ",AO28="  "),"?",IF(AO26="  ",2*(AO28-AO27),IF(AO28="  ",2*(AO27-AO26),2*(AO28-AO26)))))</f>
        <v>2</v>
      </c>
      <c r="X27" s="30" t="str">
        <f t="shared" si="4"/>
        <v>DD</v>
      </c>
      <c r="Y27" s="30" t="str">
        <f t="shared" si="5"/>
        <v>-</v>
      </c>
      <c r="Z27" s="29" t="b">
        <f t="shared" si="6"/>
        <v>1</v>
      </c>
      <c r="AA27" s="29" t="b">
        <f t="shared" si="7"/>
        <v>1</v>
      </c>
      <c r="AB27" s="29" t="str">
        <f t="shared" ca="1" si="8"/>
        <v>141-4</v>
      </c>
      <c r="AC27" s="29">
        <f t="shared" si="34"/>
        <v>2</v>
      </c>
      <c r="AD27" s="29">
        <f t="shared" ca="1" si="9"/>
        <v>2</v>
      </c>
      <c r="AE27" s="29">
        <v>24</v>
      </c>
      <c r="AF27" s="31">
        <f t="shared" si="42"/>
        <v>20</v>
      </c>
      <c r="AG27" s="29" t="b">
        <f t="shared" si="11"/>
        <v>0</v>
      </c>
      <c r="AH27" s="30" t="str">
        <f t="shared" si="43"/>
        <v>-</v>
      </c>
      <c r="AI27" s="30" t="str">
        <f t="shared" ca="1" si="13"/>
        <v>(1/2)*(4/3)</v>
      </c>
      <c r="AJ27" s="29">
        <f t="shared" ca="1" si="14"/>
        <v>0.66666666666666663</v>
      </c>
      <c r="AK27" s="29" t="str">
        <f t="shared" si="15"/>
        <v/>
      </c>
      <c r="AL27" s="29">
        <f t="shared" si="16"/>
        <v>0</v>
      </c>
      <c r="AM27" s="32">
        <f t="shared" ca="1" si="35"/>
        <v>0.66666666666666663</v>
      </c>
      <c r="AO27" s="20">
        <f>Tools!$AD26</f>
        <v>19.5</v>
      </c>
      <c r="AP27" s="33">
        <f t="shared" si="36"/>
        <v>0.4</v>
      </c>
      <c r="AQ27" s="34" t="str">
        <f t="shared" ca="1" si="18"/>
        <v>(1/2)*(4/3)</v>
      </c>
      <c r="AR27" s="23">
        <f t="shared" ca="1" si="19"/>
        <v>0.26666666666666666</v>
      </c>
      <c r="AS27" s="24">
        <f t="shared" si="20"/>
        <v>9.5</v>
      </c>
      <c r="AT27" s="23">
        <f t="shared" ca="1" si="37"/>
        <v>2.5333333333333332</v>
      </c>
      <c r="AU27" s="23">
        <f t="shared" ca="1" si="40"/>
        <v>24.066666666666666</v>
      </c>
      <c r="AV27" s="23">
        <f t="shared" si="21"/>
        <v>6.4000000000000015E-2</v>
      </c>
      <c r="AW27" s="23">
        <f t="shared" ca="1" si="22"/>
        <v>4.2666666666666672E-2</v>
      </c>
      <c r="AY27" s="35">
        <f t="shared" si="23"/>
        <v>0</v>
      </c>
      <c r="AZ27" s="23">
        <f t="shared" ca="1" si="41"/>
        <v>0</v>
      </c>
      <c r="BA27" s="36">
        <f t="shared" si="25"/>
        <v>0</v>
      </c>
      <c r="BB27" s="27">
        <f t="shared" ca="1" si="38"/>
        <v>0</v>
      </c>
      <c r="BC27" s="23">
        <f t="shared" ca="1" si="39"/>
        <v>0</v>
      </c>
      <c r="BE27" s="50" t="s">
        <v>71</v>
      </c>
      <c r="BF27" s="48" t="s">
        <v>72</v>
      </c>
      <c r="BG27" s="49">
        <f>IF(WL_No="  ","  ",AWP*1.025/100)</f>
        <v>18.574527249999999</v>
      </c>
    </row>
    <row r="28" spans="1:59" ht="15.75" thickBot="1" x14ac:dyDescent="0.3">
      <c r="A28" s="20">
        <f>Tools!$AD27</f>
        <v>20</v>
      </c>
      <c r="B28" s="52">
        <f t="shared" si="0"/>
        <v>0.1</v>
      </c>
      <c r="C28" s="22">
        <f>IF(A28="  ","  ",IF(A27="  ","?",1*(A28-A27)))</f>
        <v>0.5</v>
      </c>
      <c r="D28" s="53">
        <f t="shared" si="26"/>
        <v>0.05</v>
      </c>
      <c r="E28" s="24">
        <f t="shared" si="1"/>
        <v>10</v>
      </c>
      <c r="F28" s="53">
        <f t="shared" si="27"/>
        <v>0.5</v>
      </c>
      <c r="G28" s="53">
        <f t="shared" si="28"/>
        <v>5</v>
      </c>
      <c r="H28" s="23">
        <f t="shared" si="29"/>
        <v>1.0000000000000002E-3</v>
      </c>
      <c r="I28" s="53">
        <f t="shared" si="30"/>
        <v>5.0000000000000012E-4</v>
      </c>
      <c r="J28" s="4"/>
      <c r="K28" s="35">
        <f t="shared" si="2"/>
        <v>0</v>
      </c>
      <c r="L28" s="53">
        <f t="shared" si="31"/>
        <v>0</v>
      </c>
      <c r="M28" s="36">
        <f t="shared" si="3"/>
        <v>0</v>
      </c>
      <c r="N28" s="54">
        <f t="shared" si="32"/>
        <v>0</v>
      </c>
      <c r="O28" s="53">
        <f t="shared" si="33"/>
        <v>0</v>
      </c>
      <c r="P28" s="4"/>
      <c r="Q28" s="50" t="s">
        <v>75</v>
      </c>
      <c r="R28" s="55" t="s">
        <v>76</v>
      </c>
      <c r="S28" t="e">
        <f>IF(Tools!$L$49="Use 141 rule only",I52,IF(Tools!$L$49="Use 141 and 1331 rules",BG29," "))</f>
        <v>#DIV/0!</v>
      </c>
      <c r="W28" s="29">
        <f>IF(AO28="  ","  ",IF(AO27="  ","?",1*(AO28-AO27)))</f>
        <v>0.5</v>
      </c>
      <c r="X28" s="30" t="str">
        <f t="shared" si="4"/>
        <v>D-</v>
      </c>
      <c r="Y28" s="30" t="str">
        <f t="shared" si="5"/>
        <v>-</v>
      </c>
      <c r="Z28" s="29" t="b">
        <f t="shared" si="6"/>
        <v>1</v>
      </c>
      <c r="AA28" s="29" t="b">
        <f t="shared" si="7"/>
        <v>1</v>
      </c>
      <c r="AB28" s="29" t="str">
        <f t="shared" ca="1" si="8"/>
        <v>141-1</v>
      </c>
      <c r="AC28" s="29">
        <f>IF(ISNUMBER(AO28),IF(ISNUMBER(AO28),IF(OR(AO28=0,AO28=Long_Div),1,IF(AO28&gt;Long_Div/2,AF29+1,IF(AO28&lt;=Long_Div/2,AC27+1,"?")))," --")," ")</f>
        <v>1</v>
      </c>
      <c r="AD28" s="29">
        <f t="shared" ca="1" si="9"/>
        <v>1</v>
      </c>
      <c r="AE28" s="29">
        <v>25</v>
      </c>
      <c r="AF28" s="31">
        <f t="shared" si="42"/>
        <v>21</v>
      </c>
      <c r="AG28" s="29" t="b">
        <f t="shared" si="11"/>
        <v>0</v>
      </c>
      <c r="AH28" s="30" t="str">
        <f t="shared" si="43"/>
        <v>-</v>
      </c>
      <c r="AI28" s="30" t="str">
        <f t="shared" ca="1" si="13"/>
        <v>(1/2)*(1/3)</v>
      </c>
      <c r="AJ28" s="29">
        <f t="shared" ca="1" si="14"/>
        <v>0.16666666666666666</v>
      </c>
      <c r="AK28" s="29" t="str">
        <f t="shared" si="15"/>
        <v/>
      </c>
      <c r="AL28" s="29">
        <f t="shared" si="16"/>
        <v>0</v>
      </c>
      <c r="AM28" s="32">
        <f t="shared" ca="1" si="35"/>
        <v>0.16666666666666666</v>
      </c>
      <c r="AO28" s="20">
        <f>Tools!$AD27</f>
        <v>20</v>
      </c>
      <c r="AP28" s="33">
        <f t="shared" si="36"/>
        <v>0.1</v>
      </c>
      <c r="AQ28" s="34" t="str">
        <f t="shared" ca="1" si="18"/>
        <v>(1/2)*(1/3)</v>
      </c>
      <c r="AR28" s="23">
        <f t="shared" ca="1" si="19"/>
        <v>1.6666666666666666E-2</v>
      </c>
      <c r="AS28" s="24">
        <f t="shared" si="20"/>
        <v>10</v>
      </c>
      <c r="AT28" s="53">
        <f t="shared" ca="1" si="37"/>
        <v>0.16666666666666666</v>
      </c>
      <c r="AU28" s="53">
        <f t="shared" ca="1" si="40"/>
        <v>1.6666666666666665</v>
      </c>
      <c r="AV28" s="23">
        <f t="shared" si="21"/>
        <v>1.0000000000000002E-3</v>
      </c>
      <c r="AW28" s="23">
        <f t="shared" ca="1" si="22"/>
        <v>1.6666666666666669E-4</v>
      </c>
      <c r="AY28" s="35">
        <f t="shared" si="23"/>
        <v>0</v>
      </c>
      <c r="AZ28" s="23">
        <f t="shared" ca="1" si="41"/>
        <v>0</v>
      </c>
      <c r="BA28" s="36">
        <f t="shared" si="25"/>
        <v>0</v>
      </c>
      <c r="BB28" s="27">
        <f t="shared" ca="1" si="38"/>
        <v>0</v>
      </c>
      <c r="BC28" s="53">
        <f t="shared" ca="1" si="39"/>
        <v>0</v>
      </c>
      <c r="BE28" s="50" t="s">
        <v>73</v>
      </c>
      <c r="BF28" s="48" t="s">
        <v>74</v>
      </c>
      <c r="BG28" s="49" t="e">
        <f>IF(WL_No="  ","  ",ML/V_Disp)</f>
        <v>#DIV/0!</v>
      </c>
    </row>
    <row r="29" spans="1:59" ht="15.75" thickBot="1" x14ac:dyDescent="0.3">
      <c r="A29" s="56" t="s">
        <v>77</v>
      </c>
      <c r="B29" s="56"/>
      <c r="C29" s="56"/>
      <c r="D29" s="57">
        <f>SUM(D4:D28)</f>
        <v>371.85</v>
      </c>
      <c r="E29" s="42"/>
      <c r="F29" s="58">
        <f>SUM(F4:F28)</f>
        <v>308.2</v>
      </c>
      <c r="G29" s="58">
        <f>SUM(G4:G28)</f>
        <v>6283.85</v>
      </c>
      <c r="H29" s="42"/>
      <c r="I29" s="58">
        <f>SUM(I4:I28)</f>
        <v>27385.678499999995</v>
      </c>
      <c r="J29" s="4"/>
      <c r="K29" s="42"/>
      <c r="L29" s="58">
        <f>SUM(L4:L28)</f>
        <v>0</v>
      </c>
      <c r="M29" s="42"/>
      <c r="N29" s="58">
        <f>SUM(N4:N28)</f>
        <v>0</v>
      </c>
      <c r="O29" s="58">
        <f>SUM(O4:O28)</f>
        <v>0</v>
      </c>
      <c r="P29" s="4"/>
      <c r="Q29" s="50" t="s">
        <v>78</v>
      </c>
      <c r="R29" s="48" t="s">
        <v>79</v>
      </c>
      <c r="S29">
        <f>IF(Tools!$L$49="Use 141 rule only",I53,IF(Tools!$L$49="Use 141 and 1331 rules",BG30," "))</f>
        <v>0</v>
      </c>
      <c r="W29" s="56"/>
      <c r="X29" s="56"/>
      <c r="Y29" s="56"/>
      <c r="Z29" s="56"/>
      <c r="AA29" s="56"/>
      <c r="AB29" s="56"/>
      <c r="AC29" s="56"/>
      <c r="AD29" s="56"/>
      <c r="AE29" s="56"/>
      <c r="AF29" s="56"/>
      <c r="AG29" s="56"/>
      <c r="AH29" s="56"/>
      <c r="AI29" s="56"/>
      <c r="AJ29" s="56"/>
      <c r="AK29" s="56"/>
      <c r="AL29" s="56"/>
      <c r="AM29" s="56"/>
      <c r="AN29" s="56"/>
      <c r="AO29" s="56" t="s">
        <v>77</v>
      </c>
      <c r="AP29" s="56"/>
      <c r="AQ29" s="59"/>
      <c r="AR29" s="57">
        <f ca="1">SUM(AR4:AR28)</f>
        <v>123.94999999999999</v>
      </c>
      <c r="AS29" s="42"/>
      <c r="AT29" s="58">
        <f ca="1">SUM(AT4:AT28)</f>
        <v>102.73333333333333</v>
      </c>
      <c r="AU29" s="58">
        <f ca="1">SUM(AU4:AU28)</f>
        <v>2094.6166666666663</v>
      </c>
      <c r="AV29" s="42"/>
      <c r="AW29" s="58">
        <f ca="1">SUM(AW4:AW28)</f>
        <v>9128.5594999999994</v>
      </c>
      <c r="AY29" s="42"/>
      <c r="AZ29" s="58">
        <f ca="1">SUM(AZ4:AZ28)</f>
        <v>0</v>
      </c>
      <c r="BA29" s="42"/>
      <c r="BB29" s="58">
        <f ca="1">SUM(BB4:BB28)</f>
        <v>0</v>
      </c>
      <c r="BC29" s="58">
        <f ca="1">SUM(BC4:BC28)</f>
        <v>0</v>
      </c>
      <c r="BE29" s="50" t="s">
        <v>75</v>
      </c>
      <c r="BF29" s="55" t="s">
        <v>76</v>
      </c>
      <c r="BG29" s="49" t="e">
        <f ca="1">IF(WL_No="  ","  ",M_Disp*BML/100/BG8)</f>
        <v>#DIV/0!</v>
      </c>
    </row>
    <row r="30" spans="1:59" x14ac:dyDescent="0.25">
      <c r="A30" s="15"/>
      <c r="B30" s="4"/>
      <c r="C30" s="4"/>
      <c r="D30" s="42"/>
      <c r="E30" s="4"/>
      <c r="F30" s="4"/>
      <c r="G30" s="4"/>
      <c r="H30" s="4"/>
      <c r="I30" s="4"/>
      <c r="J30" s="4"/>
      <c r="K30" s="4"/>
      <c r="L30" s="4"/>
      <c r="M30" s="4"/>
      <c r="N30" s="4"/>
      <c r="O30" s="4"/>
      <c r="P30" s="4"/>
      <c r="Q30" s="50" t="s">
        <v>80</v>
      </c>
      <c r="R30" s="48" t="s">
        <v>81</v>
      </c>
      <c r="S30">
        <f>IF(Tools!$L$49="Use 141 rule only",I54,IF(Tools!$L$49="Use 141 and 1331 rules",BG31," "))</f>
        <v>0.63891752577319594</v>
      </c>
      <c r="AA30" s="60"/>
      <c r="AB30" s="60"/>
      <c r="BE30" s="50" t="s">
        <v>78</v>
      </c>
      <c r="BF30" s="48" t="s">
        <v>79</v>
      </c>
      <c r="BG30" s="49">
        <f>IF(WL_No="  ","  ",WLS*WL_No)</f>
        <v>0</v>
      </c>
    </row>
    <row r="31" spans="1:59" x14ac:dyDescent="0.25">
      <c r="A31" s="15"/>
      <c r="B31" s="4"/>
      <c r="C31" s="4"/>
      <c r="D31" s="4"/>
      <c r="E31" s="4"/>
      <c r="F31" s="4"/>
      <c r="G31" s="4"/>
      <c r="H31" s="4"/>
      <c r="I31" s="4"/>
      <c r="J31" s="4"/>
      <c r="K31" s="4"/>
      <c r="L31" s="4"/>
      <c r="M31" s="4"/>
      <c r="N31" s="4"/>
      <c r="O31" s="4"/>
      <c r="P31" s="4"/>
      <c r="Q31" s="50" t="s">
        <v>82</v>
      </c>
      <c r="R31" s="48" t="s">
        <v>83</v>
      </c>
      <c r="S31" t="e">
        <f>IF(Tools!$L$49="Use 141 rule only",I55,IF(Tools!$L$49="Use 141 and 1331 rules",BG32," "))</f>
        <v>#DIV/0!</v>
      </c>
      <c r="AF31" s="61" t="s">
        <v>84</v>
      </c>
      <c r="AG31" s="62">
        <f ca="1">COUNTIF(OFFSET(AQ4,,,ROUNDUP(Max_STN_count/2,0),1),"")</f>
        <v>0</v>
      </c>
      <c r="AH31" s="63">
        <f ca="1">HLOOKUP(Stn_WL,AREA_TABLE,AG31+2,FALSE)</f>
        <v>0</v>
      </c>
      <c r="AI31" s="63">
        <f ca="1">IF(AH31&gt;Long_Div/2,Long_Div/2,AH31)</f>
        <v>0</v>
      </c>
      <c r="AJ31" s="63">
        <f ca="1">AI31*STN_GAP</f>
        <v>0</v>
      </c>
      <c r="BE31" s="50" t="s">
        <v>80</v>
      </c>
      <c r="BF31" s="48" t="s">
        <v>81</v>
      </c>
      <c r="BG31" s="49">
        <f ca="1">IF(WL_No="  ","  ",AWP/(BG8*B_current))</f>
        <v>0.63891752577319594</v>
      </c>
    </row>
    <row r="32" spans="1:59" x14ac:dyDescent="0.25">
      <c r="A32" s="15"/>
      <c r="B32" s="4"/>
      <c r="C32" s="4"/>
      <c r="D32" s="4"/>
      <c r="E32" s="4"/>
      <c r="F32" s="4"/>
      <c r="G32" s="4"/>
      <c r="H32" s="4"/>
      <c r="I32" s="4"/>
      <c r="J32" s="64"/>
      <c r="K32" s="4"/>
      <c r="L32" s="4"/>
      <c r="M32" s="4"/>
      <c r="N32" s="4"/>
      <c r="O32" s="4"/>
      <c r="P32" s="4"/>
      <c r="Q32" s="50" t="s">
        <v>85</v>
      </c>
      <c r="R32" s="48" t="s">
        <v>86</v>
      </c>
      <c r="S32" t="e">
        <f>IF(Tools!$L$49="Use 141 rule only",I56,IF(Tools!$L$49="Use 141 and 1331 rules",BG33," "))</f>
        <v>#DIV/0!</v>
      </c>
      <c r="AF32" s="61" t="s">
        <v>87</v>
      </c>
      <c r="AG32" s="62">
        <f ca="1">COUNTIF(OFFSET(AQ4,ROUNDUP(Max_STN_count/2,0),,ROUNDDOWN(Max_STN_count/2,0),1),"")</f>
        <v>0</v>
      </c>
      <c r="AH32" s="63">
        <f ca="1">HLOOKUP(Stn_WL,AREA_TABLE,AG32+2,FALSE)</f>
        <v>0</v>
      </c>
      <c r="AI32" s="63">
        <f ca="1">IF(AH32&gt;Long_Div/2,Long_Div/2,AH32)</f>
        <v>0</v>
      </c>
      <c r="AJ32" s="63">
        <f ca="1">AI32*STN_GAP</f>
        <v>0</v>
      </c>
      <c r="BE32" s="50" t="s">
        <v>82</v>
      </c>
      <c r="BF32" s="48" t="s">
        <v>83</v>
      </c>
      <c r="BG32" s="49" t="e">
        <f ca="1">IF(WL_No="  ","  ",V_Disp/(BG8*B_current*T))</f>
        <v>#DIV/0!</v>
      </c>
    </row>
    <row r="33" spans="1:59" x14ac:dyDescent="0.25">
      <c r="A33" s="15"/>
      <c r="B33" s="4"/>
      <c r="C33" s="4"/>
      <c r="D33" s="4"/>
      <c r="E33" s="4"/>
      <c r="F33" s="4"/>
      <c r="G33" s="43" t="s">
        <v>31</v>
      </c>
      <c r="H33" s="44" t="s">
        <v>32</v>
      </c>
      <c r="I33" s="489" t="s">
        <v>33</v>
      </c>
      <c r="J33" s="4"/>
      <c r="K33" s="4"/>
      <c r="L33" s="4"/>
      <c r="M33" s="4"/>
      <c r="N33" s="4"/>
      <c r="O33" s="4"/>
      <c r="P33" s="4"/>
      <c r="Q33" s="50" t="s">
        <v>88</v>
      </c>
      <c r="R33" s="48" t="s">
        <v>89</v>
      </c>
      <c r="S33" t="e">
        <f>IF(Tools!$L$49="Use 141 rule only",I57,IF(Tools!$L$49="Use 141 and 1331 rules",BG34," "))</f>
        <v>#DIV/0!</v>
      </c>
      <c r="AF33" s="63"/>
      <c r="AG33" s="63"/>
      <c r="AH33" s="63">
        <f ca="1">Long_Div-AH32</f>
        <v>20</v>
      </c>
      <c r="AI33" s="63"/>
      <c r="AJ33" s="63">
        <f ca="1">AJ32+AJ31</f>
        <v>0</v>
      </c>
      <c r="BE33" s="50" t="s">
        <v>85</v>
      </c>
      <c r="BF33" s="48" t="s">
        <v>86</v>
      </c>
      <c r="BG33" s="65" t="str">
        <f>IFERROR(IF(WL_No="  ","  ",(VLOOKUP(Long_Div/2,AREA_TABLE,Count_WL+1,FALSE))/(B_current*T)),"-")</f>
        <v>-</v>
      </c>
    </row>
    <row r="34" spans="1:59" x14ac:dyDescent="0.25">
      <c r="G34" s="45"/>
      <c r="H34" s="46"/>
      <c r="I34" s="490"/>
      <c r="BE34" s="50" t="s">
        <v>88</v>
      </c>
      <c r="BF34" s="48" t="s">
        <v>89</v>
      </c>
      <c r="BG34" s="49" t="e">
        <f>IF(WL_No="  ","  ",CB/CM)</f>
        <v>#DIV/0!</v>
      </c>
    </row>
    <row r="35" spans="1:59" x14ac:dyDescent="0.25">
      <c r="G35" s="47" t="s">
        <v>34</v>
      </c>
      <c r="H35" s="48" t="s">
        <v>35</v>
      </c>
      <c r="I35" s="49">
        <f>IF(WL_No="  ","  ",2/3*h*$D$29)</f>
        <v>1812.1490000000001</v>
      </c>
    </row>
    <row r="36" spans="1:59" x14ac:dyDescent="0.25">
      <c r="G36" s="47" t="s">
        <v>36</v>
      </c>
      <c r="H36" s="48" t="s">
        <v>37</v>
      </c>
      <c r="I36" s="49">
        <f>IF(WL_No="  ","  ",2/3*(h^2)*$F$29)</f>
        <v>10979.337346666665</v>
      </c>
    </row>
    <row r="37" spans="1:59" x14ac:dyDescent="0.25">
      <c r="G37" s="50" t="s">
        <v>39</v>
      </c>
      <c r="H37" s="48" t="s">
        <v>40</v>
      </c>
      <c r="I37" s="49">
        <f>IF(WL_No="  ","  ",Mmid/AWP)</f>
        <v>6.0587387387387377</v>
      </c>
    </row>
    <row r="38" spans="1:59" x14ac:dyDescent="0.25">
      <c r="G38" s="50" t="s">
        <v>42</v>
      </c>
      <c r="H38" s="48" t="s">
        <v>43</v>
      </c>
      <c r="I38" s="49">
        <f>IF(WL_No="  ","  ",2/3*(h^3)*$G$29)</f>
        <v>1636389.4895735662</v>
      </c>
    </row>
    <row r="39" spans="1:59" x14ac:dyDescent="0.25">
      <c r="G39" s="51" t="s">
        <v>44</v>
      </c>
      <c r="H39" s="48" t="s">
        <v>45</v>
      </c>
      <c r="I39" s="49">
        <f>IF(WL_No="  ","  ",2/9*h*$I$29)</f>
        <v>44486.513296666657</v>
      </c>
    </row>
    <row r="40" spans="1:59" x14ac:dyDescent="0.25">
      <c r="G40" s="50" t="s">
        <v>47</v>
      </c>
      <c r="H40" s="48" t="s">
        <v>48</v>
      </c>
      <c r="I40" s="49">
        <f>IF(WL_No="  ","  ",IL-AWP*(LCF^2))</f>
        <v>1569868.553065636</v>
      </c>
    </row>
    <row r="41" spans="1:59" x14ac:dyDescent="0.25">
      <c r="G41" s="50" t="s">
        <v>50</v>
      </c>
      <c r="H41" s="48" t="s">
        <v>51</v>
      </c>
      <c r="I41" s="49">
        <f>IF(WL_No="  ","  ",h/3*$L$29)</f>
        <v>0</v>
      </c>
    </row>
    <row r="42" spans="1:59" x14ac:dyDescent="0.25">
      <c r="G42" s="50" t="s">
        <v>52</v>
      </c>
      <c r="H42" s="48" t="s">
        <v>53</v>
      </c>
      <c r="I42" s="49">
        <f>IF(WL_No="  ","  ",V_Disp*1.025*1.006)</f>
        <v>0</v>
      </c>
    </row>
    <row r="43" spans="1:59" x14ac:dyDescent="0.25">
      <c r="G43" s="50" t="s">
        <v>55</v>
      </c>
      <c r="H43" s="48" t="s">
        <v>56</v>
      </c>
      <c r="I43" s="49">
        <f>IF(WL_No="  ","  ",h/3*$N$29)</f>
        <v>0</v>
      </c>
    </row>
    <row r="44" spans="1:59" x14ac:dyDescent="0.25">
      <c r="G44" s="50" t="s">
        <v>57</v>
      </c>
      <c r="H44" s="48" t="s">
        <v>58</v>
      </c>
      <c r="I44" s="49">
        <f>IF(WL_No="  ","  ",(h^2)/3*$O$29)</f>
        <v>0</v>
      </c>
    </row>
    <row r="45" spans="1:59" x14ac:dyDescent="0.25">
      <c r="G45" s="50" t="s">
        <v>60</v>
      </c>
      <c r="H45" s="48" t="s">
        <v>61</v>
      </c>
      <c r="I45" s="49" t="e">
        <f>IF(WL_No="  ","  ",IF/V_Disp)</f>
        <v>#DIV/0!</v>
      </c>
    </row>
    <row r="46" spans="1:59" x14ac:dyDescent="0.25">
      <c r="G46" s="50" t="s">
        <v>63</v>
      </c>
      <c r="H46" s="48" t="s">
        <v>64</v>
      </c>
      <c r="I46" s="49" t="e">
        <f>IF(WL_No="  ","  ",IT/V_Disp)</f>
        <v>#DIV/0!</v>
      </c>
    </row>
    <row r="47" spans="1:59" x14ac:dyDescent="0.25">
      <c r="G47" s="50" t="s">
        <v>65</v>
      </c>
      <c r="H47" s="48" t="s">
        <v>66</v>
      </c>
      <c r="I47" s="49" t="e">
        <f>IF(WL_No="  ","  ",MT/V_Disp)</f>
        <v>#DIV/0!</v>
      </c>
    </row>
    <row r="48" spans="1:59" x14ac:dyDescent="0.25">
      <c r="G48" s="50" t="s">
        <v>67</v>
      </c>
      <c r="H48" s="48" t="s">
        <v>68</v>
      </c>
      <c r="I48" s="49" t="e">
        <f>IF(WL_No="  ","  ",KB+BMT)</f>
        <v>#DIV/0!</v>
      </c>
    </row>
    <row r="49" spans="7:9" x14ac:dyDescent="0.25">
      <c r="G49" s="50" t="s">
        <v>69</v>
      </c>
      <c r="H49" s="48" t="s">
        <v>70</v>
      </c>
      <c r="I49" s="49" t="e">
        <f>IF(WL_No="  ","  ",KB+BML)</f>
        <v>#DIV/0!</v>
      </c>
    </row>
    <row r="50" spans="7:9" x14ac:dyDescent="0.25">
      <c r="G50" s="50" t="s">
        <v>71</v>
      </c>
      <c r="H50" s="48" t="s">
        <v>72</v>
      </c>
      <c r="I50" s="49">
        <f>IF(WL_No="  ","  ",AWP*1.025/100)</f>
        <v>18.574527249999999</v>
      </c>
    </row>
    <row r="51" spans="7:9" x14ac:dyDescent="0.25">
      <c r="G51" s="50" t="s">
        <v>73</v>
      </c>
      <c r="H51" s="48" t="s">
        <v>74</v>
      </c>
      <c r="I51" s="49" t="e">
        <f>IF(WL_No="  ","  ",ML/V_Disp)</f>
        <v>#DIV/0!</v>
      </c>
    </row>
    <row r="52" spans="7:9" x14ac:dyDescent="0.25">
      <c r="G52" s="50" t="s">
        <v>75</v>
      </c>
      <c r="H52" s="55" t="s">
        <v>76</v>
      </c>
      <c r="I52" s="49" t="e">
        <f>IF(WL_No="  ","  ",M_Disp*BML/100/LBP)</f>
        <v>#DIV/0!</v>
      </c>
    </row>
    <row r="53" spans="7:9" x14ac:dyDescent="0.25">
      <c r="G53" s="50" t="s">
        <v>78</v>
      </c>
      <c r="H53" s="48" t="s">
        <v>79</v>
      </c>
      <c r="I53" s="49">
        <f>IF(WL_No="  ","  ",WLS*WL_No)</f>
        <v>0</v>
      </c>
    </row>
    <row r="54" spans="7:9" x14ac:dyDescent="0.25">
      <c r="G54" s="50" t="s">
        <v>80</v>
      </c>
      <c r="H54" s="48" t="s">
        <v>81</v>
      </c>
      <c r="I54" s="49">
        <f>IF(WL_No="  ","  ",AWP/(LBP*B_current))</f>
        <v>0.63891752577319594</v>
      </c>
    </row>
    <row r="55" spans="7:9" x14ac:dyDescent="0.25">
      <c r="G55" s="50" t="s">
        <v>82</v>
      </c>
      <c r="H55" s="48" t="s">
        <v>83</v>
      </c>
      <c r="I55" s="49" t="e">
        <f>IF(WL_No="  ","  ",V_Disp/(LBP*B_current*T))</f>
        <v>#DIV/0!</v>
      </c>
    </row>
    <row r="56" spans="7:9" x14ac:dyDescent="0.25">
      <c r="G56" s="50" t="s">
        <v>85</v>
      </c>
      <c r="H56" s="48" t="s">
        <v>86</v>
      </c>
      <c r="I56" s="65" t="e">
        <f>IF(WL_No="  ","  ",(VLOOKUP(Long_Div/2,AREA_TABLE,Count_WL+1,FALSE))/(B_current*T))</f>
        <v>#DIV/0!</v>
      </c>
    </row>
    <row r="57" spans="7:9" x14ac:dyDescent="0.25">
      <c r="G57" s="50" t="s">
        <v>88</v>
      </c>
      <c r="H57" s="48" t="s">
        <v>89</v>
      </c>
      <c r="I57" s="49" t="e">
        <f>IF(WL_No="  ","  ",CB/CM)</f>
        <v>#DIV/0!</v>
      </c>
    </row>
  </sheetData>
  <mergeCells count="7">
    <mergeCell ref="BG10:BG11"/>
    <mergeCell ref="I33:I34"/>
    <mergeCell ref="A2:I2"/>
    <mergeCell ref="K2:O2"/>
    <mergeCell ref="AO2:AW2"/>
    <mergeCell ref="AY2:BC2"/>
    <mergeCell ref="S9:S10"/>
  </mergeCells>
  <conditionalFormatting sqref="CB4:XFD30 BW4:BW28 BS4:BT28 W29:AX29 A33:F57 J33:R33 A11:R32 A2:T10 V2:AO2 AX2 BP29:BW29 A63:XFD1048576 T12:T37 U35:XFD37 BD2:BD29 BM31:XFD33 BM30:BW30 BH29:BI33 BH2:XFD3 U30:BD30 AR31:BD31 W3:AM28 A58:BD62 BH38:XFD62 J34:S37 BH34:XFD34 A1:AN1 AV1:XFD1 AO31:AP31 U33:BD34 AM31 U31:AG32 AK32:BD32 AO3:AX26 J43:BD57 J42:M42 O42:BD42 J38:BD41 AO27:AO28 AQ27:AX28">
    <cfRule type="containsErrors" dxfId="131" priority="14">
      <formula>ISERROR(A1)</formula>
    </cfRule>
  </conditionalFormatting>
  <conditionalFormatting sqref="G33:I34 G35:H57">
    <cfRule type="containsErrors" dxfId="130" priority="13">
      <formula>ISERROR(G33)</formula>
    </cfRule>
  </conditionalFormatting>
  <conditionalFormatting sqref="T12:T33">
    <cfRule type="containsErrors" dxfId="129" priority="12">
      <formula>ISERROR(T12)</formula>
    </cfRule>
  </conditionalFormatting>
  <conditionalFormatting sqref="I35:I57">
    <cfRule type="containsErrors" dxfId="128" priority="11">
      <formula>ISERROR(I35)</formula>
    </cfRule>
  </conditionalFormatting>
  <conditionalFormatting sqref="AY2:BC29">
    <cfRule type="containsErrors" dxfId="127" priority="8">
      <formula>ISERROR(AY2)</formula>
    </cfRule>
  </conditionalFormatting>
  <conditionalFormatting sqref="BE10:BG11 BE12:BF34">
    <cfRule type="containsErrors" dxfId="126" priority="10">
      <formula>ISERROR(BE10)</formula>
    </cfRule>
  </conditionalFormatting>
  <conditionalFormatting sqref="BG12:BG28 BG34">
    <cfRule type="containsErrors" dxfId="125" priority="9">
      <formula>ISERROR(BG12)</formula>
    </cfRule>
  </conditionalFormatting>
  <conditionalFormatting sqref="BE2:BG6">
    <cfRule type="containsErrors" dxfId="124" priority="7">
      <formula>ISERROR(BE2)</formula>
    </cfRule>
  </conditionalFormatting>
  <conditionalFormatting sqref="BF7:BG8">
    <cfRule type="containsErrors" dxfId="123" priority="5">
      <formula>ISERROR(BF7)</formula>
    </cfRule>
  </conditionalFormatting>
  <conditionalFormatting sqref="BE7:BE8">
    <cfRule type="containsErrors" dxfId="122" priority="6">
      <formula>ISERROR(BE7)</formula>
    </cfRule>
  </conditionalFormatting>
  <conditionalFormatting sqref="S30:S33">
    <cfRule type="containsErrors" dxfId="121" priority="4">
      <formula>ISERROR(S30)</formula>
    </cfRule>
  </conditionalFormatting>
  <conditionalFormatting sqref="BG29:BG32">
    <cfRule type="containsErrors" dxfId="120" priority="2">
      <formula>ISERROR(BG29)</formula>
    </cfRule>
  </conditionalFormatting>
  <conditionalFormatting sqref="AP27:AP28">
    <cfRule type="containsErrors" dxfId="119" priority="3">
      <formula>ISERROR(AP27)</formula>
    </cfRule>
  </conditionalFormatting>
  <conditionalFormatting sqref="BG33">
    <cfRule type="containsErrors" dxfId="118" priority="1">
      <formula>ISERROR(BG33)</formula>
    </cfRule>
  </conditionalFormatting>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U171"/>
  <sheetViews>
    <sheetView topLeftCell="N1" workbookViewId="0">
      <pane ySplit="1" topLeftCell="A8" activePane="bottomLeft" state="frozen"/>
      <selection activeCell="AG8" sqref="AG8:AG10"/>
      <selection pane="bottomLeft" activeCell="AG8" sqref="AG8:AG10"/>
    </sheetView>
  </sheetViews>
  <sheetFormatPr defaultRowHeight="15" x14ac:dyDescent="0.25"/>
  <sheetData>
    <row r="1" spans="1:46" x14ac:dyDescent="0.25">
      <c r="A1" s="494" t="s">
        <v>90</v>
      </c>
      <c r="B1" s="494"/>
      <c r="C1">
        <f>HLOOKUP(Stn_WL,OFFSET_A,Count_STN+1,FALSE)</f>
        <v>20</v>
      </c>
      <c r="E1" s="494" t="s">
        <v>91</v>
      </c>
      <c r="F1" s="494"/>
      <c r="G1" t="str">
        <f>VLOOKUP(Station_No,RISE_CALC,2,FALSE)</f>
        <v>-</v>
      </c>
      <c r="L1" s="494" t="s">
        <v>92</v>
      </c>
      <c r="M1" s="494"/>
      <c r="N1">
        <v>25</v>
      </c>
    </row>
    <row r="2" spans="1:46" x14ac:dyDescent="0.25">
      <c r="Q2" s="66" t="str">
        <f t="shared" ref="Q2:R6" si="0">G4</f>
        <v>Rise</v>
      </c>
      <c r="R2" s="67" t="e">
        <f t="shared" si="0"/>
        <v>#VALUE!</v>
      </c>
      <c r="S2" s="68" t="e">
        <f>IF(OR(R5-R4=R4-R3,R6-R4=R4-R3),R3,IF(OR(R5-R4=R4-R2,R6-R4=R4-R2),R2,"-"))</f>
        <v>#VALUE!</v>
      </c>
      <c r="T2" s="69" t="e">
        <f>IFERROR(VLOOKUP(S2,STN_TABLE,2,FALSE),IF(R2=RisePerWLS,0,"-"))</f>
        <v>#VALUE!</v>
      </c>
      <c r="U2" s="69">
        <v>5</v>
      </c>
      <c r="V2" s="69" t="e">
        <f>T2*U2</f>
        <v>#VALUE!</v>
      </c>
      <c r="W2" s="69">
        <v>3</v>
      </c>
      <c r="X2" s="69" t="e">
        <f>T2*W2</f>
        <v>#VALUE!</v>
      </c>
      <c r="Y2" s="6" t="s">
        <v>93</v>
      </c>
      <c r="Z2" s="70" t="e">
        <f>IF(AND(S4-S3=S3-S2,NOT(AND(S2=0,S3=0)),NOT(AND(S3=0,S4=0))),WLS*(S4-S3),"#NA")</f>
        <v>#VALUE!</v>
      </c>
      <c r="AE2" s="71" t="s">
        <v>94</v>
      </c>
    </row>
    <row r="3" spans="1:46" x14ac:dyDescent="0.25">
      <c r="B3" s="72" t="s">
        <v>0</v>
      </c>
      <c r="C3" s="73" t="s">
        <v>95</v>
      </c>
      <c r="D3" s="73" t="s">
        <v>18</v>
      </c>
      <c r="E3" s="74" t="s">
        <v>20</v>
      </c>
      <c r="H3" s="75" t="s">
        <v>96</v>
      </c>
      <c r="K3" t="str">
        <f>IF(Rise=0,"(Not considered)","(Considered)")</f>
        <v>(Considered)</v>
      </c>
      <c r="Q3" s="66" t="str">
        <f t="shared" si="0"/>
        <v>1st_UWL</v>
      </c>
      <c r="R3" s="67" t="str">
        <f t="shared" si="0"/>
        <v>#NA</v>
      </c>
      <c r="S3" s="76" t="str">
        <f>R4</f>
        <v>#NA</v>
      </c>
      <c r="T3" s="77" t="e">
        <f>VLOOKUP(S3,STN_TABLE,2,FALSE)</f>
        <v>#N/A</v>
      </c>
      <c r="U3" s="77">
        <v>8</v>
      </c>
      <c r="V3" s="77" t="e">
        <f>T3*U3</f>
        <v>#N/A</v>
      </c>
      <c r="W3" s="77">
        <v>10</v>
      </c>
      <c r="X3" s="77" t="e">
        <f>T3*W3</f>
        <v>#N/A</v>
      </c>
      <c r="Y3" s="78" t="s">
        <v>97</v>
      </c>
      <c r="Z3" s="78"/>
      <c r="AA3" s="78" t="s">
        <v>98</v>
      </c>
      <c r="AB3" s="78"/>
      <c r="AC3" s="7" t="s">
        <v>99</v>
      </c>
      <c r="AD3" s="7"/>
      <c r="AE3" s="66" t="str">
        <f t="shared" ref="AE3:AF7" si="1">G4</f>
        <v>Rise</v>
      </c>
      <c r="AF3" s="67" t="e">
        <f t="shared" si="1"/>
        <v>#VALUE!</v>
      </c>
      <c r="AG3" s="79" t="e">
        <f>IF(AF7-AF6=AF6-AF5,AF5,IF(OR(AF7-AF6=AF6-AF4,AF7-AF5=AF5-AF4),AF4,IF(OR(AF7-AF6=AF6-AF3,AF7-AF5=AF5-AF3,AF7-AF4=AF4-AF3),AF3,"#NA")))</f>
        <v>#VALUE!</v>
      </c>
      <c r="AH3" s="69" t="e">
        <f>IFERROR(VLOOKUP(AG3,STN_TABLE,2,FALSE),IF(AF3=RisePerWLS,0,"-"))</f>
        <v>#VALUE!</v>
      </c>
      <c r="AI3" s="69">
        <v>1</v>
      </c>
      <c r="AJ3" s="69" t="e">
        <f>AH3*AI3</f>
        <v>#VALUE!</v>
      </c>
      <c r="AK3" s="69" t="e">
        <f>AG3</f>
        <v>#VALUE!</v>
      </c>
      <c r="AL3" s="69" t="e">
        <f>AJ3*AK3</f>
        <v>#VALUE!</v>
      </c>
      <c r="AM3" s="6" t="s">
        <v>93</v>
      </c>
      <c r="AN3" s="70" t="e">
        <f>IF(AND(AH3=0,AH4=0,AH5=0),WLS*(AG5-AG4),IF(AND(AG5-AG4=AG4-AG3,AG4&lt;&gt;AG5,AG3&lt;&gt;AG4,AG3&lt;&gt;AG5,AH5&lt;&gt;0,OR(AH3&lt;&gt;0,AH4&lt;&gt;0)),WLS*(AG5-AG4),"#NA"))</f>
        <v>#VALUE!</v>
      </c>
    </row>
    <row r="4" spans="1:46" x14ac:dyDescent="0.25">
      <c r="A4">
        <v>1</v>
      </c>
      <c r="B4" s="80">
        <f t="shared" ref="B4:B28" si="2">VLOOKUP(Stn_WL,OFFSET_A,A4+1,FALSE)</f>
        <v>0</v>
      </c>
      <c r="C4" s="81">
        <f t="shared" ref="C4:C28" si="3">VLOOKUP(Station_No,OFFSET_A,A4+1,FALSE)</f>
        <v>0.1</v>
      </c>
      <c r="D4" s="81">
        <v>0</v>
      </c>
      <c r="E4" s="77">
        <v>0</v>
      </c>
      <c r="G4" t="s">
        <v>100</v>
      </c>
      <c r="H4" t="e">
        <f>Rise/WLS</f>
        <v>#VALUE!</v>
      </c>
      <c r="K4" t="str">
        <f>CONCATENATE("A(",H5,")=")</f>
        <v>A(#NA)=</v>
      </c>
      <c r="L4" t="e">
        <f>IFERROR(N18,N22)</f>
        <v>#VALUE!</v>
      </c>
      <c r="Q4" s="66" t="str">
        <f t="shared" si="0"/>
        <v>2nd_UWL</v>
      </c>
      <c r="R4" s="67" t="str">
        <f t="shared" si="0"/>
        <v>#NA</v>
      </c>
      <c r="S4" s="82" t="e">
        <f>IF((S2-S3)=S3-R5,R5,IF(S2-S3=S3-R6,R6,"-"))</f>
        <v>#VALUE!</v>
      </c>
      <c r="T4" s="83" t="e">
        <f>VLOOKUP(S4,STN_TABLE,2,FALSE)</f>
        <v>#VALUE!</v>
      </c>
      <c r="U4" s="83">
        <v>-1</v>
      </c>
      <c r="V4" s="83" t="e">
        <f>T4*U4</f>
        <v>#VALUE!</v>
      </c>
      <c r="W4" s="83">
        <v>-1</v>
      </c>
      <c r="X4" s="83" t="e">
        <f>T4*W4</f>
        <v>#VALUE!</v>
      </c>
      <c r="Y4" s="84" t="str">
        <f>CONCATENATE("a'(",S3,")=")</f>
        <v>a'(#NA)=</v>
      </c>
      <c r="Z4" s="85" t="e">
        <f>2*Z2/12*V5</f>
        <v>#VALUE!</v>
      </c>
      <c r="AA4" s="84" t="e">
        <f>CONCATENATE("A(",S2,")=")</f>
        <v>#VALUE!</v>
      </c>
      <c r="AB4" s="84" t="e">
        <f>IF(S2=RisePerWLS,0,VLOOKUP(S2,STN_TABLE,3,FALSE))</f>
        <v>#VALUE!</v>
      </c>
      <c r="AC4" t="str">
        <f>CONCATENATE("A(",S3,")=")</f>
        <v>A(#NA)=</v>
      </c>
      <c r="AD4" t="e">
        <f>Z4+AB4</f>
        <v>#VALUE!</v>
      </c>
      <c r="AE4" s="66" t="str">
        <f t="shared" si="1"/>
        <v>1st_UWL</v>
      </c>
      <c r="AF4" s="67" t="str">
        <f t="shared" si="1"/>
        <v>#NA</v>
      </c>
      <c r="AG4" s="80" t="e">
        <f>IF(OR(AF7-AF6=AF6-AF5,AF7-AF6=AF6-AF4,AF7-AF6=AF6-AF3),AF6,IF(OR(AF7-AF5=AF5-AF4,AF7-AF5=AF5-AF3),AF5,IF(AF7-AF4=AF4-AF3,AF4,"#NA")))</f>
        <v>#VALUE!</v>
      </c>
      <c r="AH4" s="77" t="e">
        <f>VLOOKUP(AG4,STN_TABLE,2,FALSE)</f>
        <v>#VALUE!</v>
      </c>
      <c r="AI4" s="77">
        <v>4</v>
      </c>
      <c r="AJ4" s="77" t="e">
        <f>AH4*AI4</f>
        <v>#VALUE!</v>
      </c>
      <c r="AK4" s="77" t="e">
        <f>AG4</f>
        <v>#VALUE!</v>
      </c>
      <c r="AL4" s="77" t="e">
        <f>AJ4*AK4</f>
        <v>#VALUE!</v>
      </c>
      <c r="AM4" s="78" t="s">
        <v>97</v>
      </c>
      <c r="AN4" s="78"/>
      <c r="AO4" s="78" t="s">
        <v>98</v>
      </c>
      <c r="AP4" s="78"/>
      <c r="AQ4" s="7" t="s">
        <v>99</v>
      </c>
      <c r="AR4" s="7"/>
      <c r="AS4" s="7"/>
      <c r="AT4" s="7"/>
    </row>
    <row r="5" spans="1:46" x14ac:dyDescent="0.25">
      <c r="A5">
        <v>2</v>
      </c>
      <c r="B5" s="80">
        <f t="shared" si="2"/>
        <v>0.25</v>
      </c>
      <c r="C5" s="81">
        <f t="shared" si="3"/>
        <v>0.8</v>
      </c>
      <c r="D5" s="81">
        <f t="shared" ref="D5:D28" si="4">IFERROR(VLOOKUP(CONCATENATE("A(",B5,")="),RESULT_TABLE,6,FALSE)," ")</f>
        <v>0.47499999999999998</v>
      </c>
      <c r="E5" s="77">
        <f t="shared" ref="E5:E28" si="5">IFERROR(VLOOKUP(CONCATENATE("M(",B5,")="),RESULT_TABLE,6,FALSE)," ")</f>
        <v>0.14791666666666667</v>
      </c>
      <c r="G5" t="s">
        <v>101</v>
      </c>
      <c r="H5" t="str">
        <f>VLOOKUP(Station_No,RISE_CALC,4,FALSE)</f>
        <v>#NA</v>
      </c>
      <c r="K5" t="str">
        <f>CONCATENATE("M(",H5,")=")</f>
        <v>M(#NA)=</v>
      </c>
      <c r="L5" t="e">
        <f>IFERROR(N19,N23)</f>
        <v>#VALUE!</v>
      </c>
      <c r="Q5" s="66" t="str">
        <f t="shared" si="0"/>
        <v>3rd_UWL</v>
      </c>
      <c r="R5" s="67" t="str">
        <f t="shared" si="0"/>
        <v>#NA</v>
      </c>
      <c r="V5" s="86" t="e">
        <f>SUM(V2:V4)</f>
        <v>#VALUE!</v>
      </c>
      <c r="X5" s="87" t="e">
        <f>SUM(X2:X4)</f>
        <v>#VALUE!</v>
      </c>
      <c r="Y5" s="84" t="str">
        <f>CONCATENATE("m'(",S3,")=")</f>
        <v>m'(#NA)=</v>
      </c>
      <c r="Z5" s="85" t="e">
        <f>(2*(Z2^2)/24*X5)+(Z4*S2*WLS)</f>
        <v>#VALUE!</v>
      </c>
      <c r="AA5" s="84" t="e">
        <f>CONCATENATE("M(",S2,")=")</f>
        <v>#VALUE!</v>
      </c>
      <c r="AB5" s="84" t="e">
        <f>IF(S2=RisePerWLS,0,VLOOKUP(S2,STN_TABLE,4,FALSE))</f>
        <v>#VALUE!</v>
      </c>
      <c r="AC5" t="str">
        <f>CONCATENATE("M(",S3,")=")</f>
        <v>M(#NA)=</v>
      </c>
      <c r="AD5" t="e">
        <f>Z5+AB5</f>
        <v>#VALUE!</v>
      </c>
      <c r="AE5" s="66" t="str">
        <f t="shared" si="1"/>
        <v>2nd_UWL</v>
      </c>
      <c r="AF5" s="67" t="str">
        <f t="shared" si="1"/>
        <v>#NA</v>
      </c>
      <c r="AG5" s="88" t="str">
        <f>AF7</f>
        <v>#NA</v>
      </c>
      <c r="AH5" s="83" t="e">
        <f>VLOOKUP(AG5,STN_TABLE,2,FALSE)</f>
        <v>#N/A</v>
      </c>
      <c r="AI5" s="83">
        <v>1</v>
      </c>
      <c r="AJ5" s="83" t="e">
        <f>AH5*AI5</f>
        <v>#N/A</v>
      </c>
      <c r="AK5" s="83" t="str">
        <f>AG5</f>
        <v>#NA</v>
      </c>
      <c r="AL5" s="83" t="e">
        <f>AJ5*AK5</f>
        <v>#N/A</v>
      </c>
      <c r="AM5" s="84" t="str">
        <f>CONCATENATE("a'(",AG5,")=")</f>
        <v>a'(#NA)=</v>
      </c>
      <c r="AN5" s="84" t="e">
        <f>2*AN3/3*AJ6</f>
        <v>#VALUE!</v>
      </c>
      <c r="AO5" s="84" t="e">
        <f>CONCATENATE("A(",AG3,")=")</f>
        <v>#VALUE!</v>
      </c>
      <c r="AP5" s="84" t="e">
        <f>IF(AG3=RisePerWLS,0,VLOOKUP(AG3,STN_TABLE,3,FALSE))</f>
        <v>#VALUE!</v>
      </c>
      <c r="AQ5" t="str">
        <f>CONCATENATE("A(",AG5,")=")</f>
        <v>A(#NA)=</v>
      </c>
      <c r="AR5" t="e">
        <f>AN5+AP5</f>
        <v>#VALUE!</v>
      </c>
    </row>
    <row r="6" spans="1:46" x14ac:dyDescent="0.25">
      <c r="A6">
        <v>3</v>
      </c>
      <c r="B6" s="80">
        <f t="shared" si="2"/>
        <v>0.5</v>
      </c>
      <c r="C6" s="81">
        <f t="shared" si="3"/>
        <v>1.2</v>
      </c>
      <c r="D6" s="81">
        <f t="shared" si="4"/>
        <v>1.5</v>
      </c>
      <c r="E6" s="77">
        <f t="shared" si="5"/>
        <v>0.93333333333333324</v>
      </c>
      <c r="G6" t="s">
        <v>102</v>
      </c>
      <c r="H6" t="str">
        <f>VLOOKUP(Station_No,RISE_CALC,5,FALSE)</f>
        <v>#NA</v>
      </c>
      <c r="K6" t="str">
        <f>CONCATENATE("A(",H6,")=")</f>
        <v>A(#NA)=</v>
      </c>
      <c r="L6" t="e">
        <f>IFERROR(P27,IFERROR(X6,AD9))</f>
        <v>#VALUE!</v>
      </c>
      <c r="Q6" s="66" t="str">
        <f t="shared" si="0"/>
        <v>4th_UWL</v>
      </c>
      <c r="R6" s="67" t="str">
        <f t="shared" si="0"/>
        <v>#NA</v>
      </c>
      <c r="U6" t="s">
        <v>103</v>
      </c>
      <c r="W6" t="str">
        <f>CONCATENATE("A(",S3,")=")</f>
        <v>A(#NA)=</v>
      </c>
      <c r="X6" t="e">
        <f>IF(OR(AD4&lt;=0,AD5&lt;=0),AD9,AD4)</f>
        <v>#VALUE!</v>
      </c>
      <c r="AE6" s="66" t="str">
        <f t="shared" si="1"/>
        <v>3rd_UWL</v>
      </c>
      <c r="AF6" s="67" t="str">
        <f t="shared" si="1"/>
        <v>#NA</v>
      </c>
      <c r="AJ6" s="89" t="e">
        <f>SUM(AJ3:AJ5)</f>
        <v>#VALUE!</v>
      </c>
      <c r="AL6" s="89" t="e">
        <f>SUM(AL3:AL5)</f>
        <v>#VALUE!</v>
      </c>
      <c r="AM6" s="84" t="str">
        <f>CONCATENATE("m'(",AG5,")=")</f>
        <v>m'(#NA)=</v>
      </c>
      <c r="AN6" s="84" t="e">
        <f>2*(AN3*WLS)/3*AL6</f>
        <v>#VALUE!</v>
      </c>
      <c r="AO6" s="84" t="e">
        <f>CONCATENATE("M(",AG3,")=")</f>
        <v>#VALUE!</v>
      </c>
      <c r="AP6" s="84" t="e">
        <f>IF(AG3=RisePerWLS,0,VLOOKUP(AG3,STN_TABLE,4,FALSE))</f>
        <v>#VALUE!</v>
      </c>
      <c r="AQ6" t="str">
        <f>CONCATENATE("M(",AG5,")=")</f>
        <v>M(#NA)=</v>
      </c>
      <c r="AR6" t="e">
        <f>AN6+AP6</f>
        <v>#VALUE!</v>
      </c>
    </row>
    <row r="7" spans="1:46" x14ac:dyDescent="0.25">
      <c r="A7">
        <v>4</v>
      </c>
      <c r="B7" s="80">
        <f t="shared" si="2"/>
        <v>0.75</v>
      </c>
      <c r="C7" s="81">
        <f t="shared" si="3"/>
        <v>1.43</v>
      </c>
      <c r="D7" s="81">
        <f t="shared" si="4"/>
        <v>2.8183333333333329</v>
      </c>
      <c r="E7" s="77">
        <f t="shared" si="5"/>
        <v>2.5962499999999999</v>
      </c>
      <c r="G7" t="s">
        <v>104</v>
      </c>
      <c r="H7" t="str">
        <f>VLOOKUP(Station_No,RISE_CALC,6,FALSE)</f>
        <v>#NA</v>
      </c>
      <c r="K7" t="str">
        <f>CONCATENATE("M(",H6,")=")</f>
        <v>M(#NA)=</v>
      </c>
      <c r="L7" t="e">
        <f>IFERROR(P28,IFERROR(X7,AD10))</f>
        <v>#VALUE!</v>
      </c>
      <c r="Q7" s="66"/>
      <c r="R7" s="67"/>
      <c r="W7" t="str">
        <f>CONCATENATE("M(",S3,")=")</f>
        <v>M(#NA)=</v>
      </c>
      <c r="X7" t="e">
        <f>IF(OR(AD4&lt;=0,AD5&lt;=0),AD10,AD5)</f>
        <v>#VALUE!</v>
      </c>
      <c r="Y7" s="6" t="s">
        <v>93</v>
      </c>
      <c r="Z7" s="70" t="e">
        <f>WLS*(U9-U8)</f>
        <v>#VALUE!</v>
      </c>
      <c r="AE7" s="66" t="str">
        <f t="shared" si="1"/>
        <v>4th_UWL</v>
      </c>
      <c r="AF7" s="67" t="str">
        <f t="shared" si="1"/>
        <v>#NA</v>
      </c>
      <c r="AH7" s="81"/>
    </row>
    <row r="8" spans="1:46" x14ac:dyDescent="0.25">
      <c r="A8">
        <v>5</v>
      </c>
      <c r="B8" s="80">
        <f t="shared" si="2"/>
        <v>1</v>
      </c>
      <c r="C8" s="81">
        <f t="shared" si="3"/>
        <v>1.53</v>
      </c>
      <c r="D8" s="81">
        <f t="shared" si="4"/>
        <v>4.3166666666666664</v>
      </c>
      <c r="E8" s="77">
        <f t="shared" si="5"/>
        <v>5.2133333333333329</v>
      </c>
      <c r="G8" t="s">
        <v>105</v>
      </c>
      <c r="H8" t="str">
        <f>VLOOKUP(Station_No,RISE_CALC,7,FALSE)</f>
        <v>#NA</v>
      </c>
      <c r="K8" t="str">
        <f>CONCATENATE("A(",H7,")=")</f>
        <v>A(#NA)=</v>
      </c>
      <c r="L8" t="e">
        <f>IFERROR(AD15,IFERROR(X24,AD27))</f>
        <v>#VALUE!</v>
      </c>
      <c r="Q8" s="80"/>
      <c r="R8" s="81"/>
      <c r="U8" s="79" t="str">
        <f>R3</f>
        <v>#NA</v>
      </c>
      <c r="V8" s="68" t="e">
        <f>VLOOKUP(U8,STN_TABLE,2,FALSE)</f>
        <v>#N/A</v>
      </c>
      <c r="W8" s="68">
        <v>1</v>
      </c>
      <c r="X8" s="69" t="e">
        <f>V8*W8</f>
        <v>#N/A</v>
      </c>
      <c r="Y8" s="78" t="s">
        <v>97</v>
      </c>
      <c r="Z8" s="78"/>
      <c r="AA8" s="78" t="s">
        <v>98</v>
      </c>
      <c r="AB8" s="78"/>
      <c r="AC8" s="7" t="s">
        <v>99</v>
      </c>
      <c r="AD8" s="7"/>
      <c r="AE8" s="66"/>
      <c r="AF8" s="67"/>
      <c r="AG8" s="68" t="e">
        <f>IF(OR(AF12-AF11=AF11-AF10,AF13-AF11=AF11-AF10),AF10,IF(OR(AF12-AF11=AF11-AF9,AF13-AF11=AF11-AF9),AF9,"-"))</f>
        <v>#VALUE!</v>
      </c>
      <c r="AH8" s="69" t="e">
        <f>IFERROR(VLOOKUP(AG8,STN_TABLE,2,FALSE),IF(AF8=RisePerWLS,0,"-"))</f>
        <v>#VALUE!</v>
      </c>
      <c r="AI8" s="69">
        <v>5</v>
      </c>
      <c r="AJ8" s="69" t="e">
        <f>AH8*AI8</f>
        <v>#VALUE!</v>
      </c>
      <c r="AK8" s="69">
        <v>3</v>
      </c>
      <c r="AL8" s="69" t="e">
        <f>AH8*AK8</f>
        <v>#VALUE!</v>
      </c>
      <c r="AM8" s="6" t="s">
        <v>93</v>
      </c>
      <c r="AN8" s="70" t="e">
        <f>IF(AND(AG10-AG9=AG9-AG8,NOT(AND(AG8=0,AG9=0)),NOT(AND(AG9=0,AG10=0))),WLS*(AG10-AG9),"#NA")</f>
        <v>#VALUE!</v>
      </c>
    </row>
    <row r="9" spans="1:46" x14ac:dyDescent="0.25">
      <c r="A9">
        <v>6</v>
      </c>
      <c r="B9" s="80">
        <f t="shared" si="2"/>
        <v>2</v>
      </c>
      <c r="C9" s="81">
        <f t="shared" si="3"/>
        <v>1.1200000000000001</v>
      </c>
      <c r="D9" s="81">
        <f t="shared" si="4"/>
        <v>9.6866666666666656</v>
      </c>
      <c r="E9" s="77">
        <f t="shared" si="5"/>
        <v>21.049999999999997</v>
      </c>
      <c r="G9" t="s">
        <v>106</v>
      </c>
      <c r="H9" t="str">
        <f>VLOOKUP(Station_No,RISE_CALC,8,FALSE)</f>
        <v>#NA</v>
      </c>
      <c r="K9" t="str">
        <f>CONCATENATE("M(",H7,")=")</f>
        <v>M(#NA)=</v>
      </c>
      <c r="L9" t="e">
        <f>IFERROR(AD16,IFERROR(X25,AD28))</f>
        <v>#VALUE!</v>
      </c>
      <c r="Q9" s="80"/>
      <c r="R9" s="81"/>
      <c r="U9" s="88" t="str">
        <f>R4</f>
        <v>#NA</v>
      </c>
      <c r="V9" s="82" t="e">
        <f>VLOOKUP(U9,STN_TABLE,2,FALSE)</f>
        <v>#N/A</v>
      </c>
      <c r="W9" s="82">
        <v>2</v>
      </c>
      <c r="X9" s="83" t="e">
        <f>V9*W9</f>
        <v>#N/A</v>
      </c>
      <c r="Y9" s="84" t="str">
        <f>CONCATENATE("a'(",U9,")=")</f>
        <v>a'(#NA)=</v>
      </c>
      <c r="Z9" s="84" t="e">
        <f>2*Z7/2*V10</f>
        <v>#VALUE!</v>
      </c>
      <c r="AA9" s="84" t="str">
        <f>CONCATENATE("A(",U8,")=")</f>
        <v>A(#NA)=</v>
      </c>
      <c r="AB9" s="84" t="e">
        <f>IF(U8=RisePerWLS,0,VLOOKUP(U8,STN_TABLE,3,FALSE))</f>
        <v>#VALUE!</v>
      </c>
      <c r="AC9" t="str">
        <f>CONCATENATE("A(",U9,")=")</f>
        <v>A(#NA)=</v>
      </c>
      <c r="AD9" t="e">
        <f>Z9+AB9</f>
        <v>#VALUE!</v>
      </c>
      <c r="AE9" s="66" t="str">
        <f t="shared" ref="AE9:AF13" si="6">G6</f>
        <v>2nd_UWL</v>
      </c>
      <c r="AF9" s="67" t="str">
        <f t="shared" si="6"/>
        <v>#NA</v>
      </c>
      <c r="AG9" s="76" t="str">
        <f>AF11</f>
        <v>#NA</v>
      </c>
      <c r="AH9" s="77" t="e">
        <f>VLOOKUP(AG9,STN_TABLE,2,FALSE)</f>
        <v>#N/A</v>
      </c>
      <c r="AI9" s="77">
        <v>8</v>
      </c>
      <c r="AJ9" s="77" t="e">
        <f>AH9*AI9</f>
        <v>#N/A</v>
      </c>
      <c r="AK9" s="77">
        <v>10</v>
      </c>
      <c r="AL9" s="77" t="e">
        <f>AH9*AK9</f>
        <v>#N/A</v>
      </c>
      <c r="AM9" s="78" t="s">
        <v>97</v>
      </c>
      <c r="AN9" s="78"/>
      <c r="AO9" s="78" t="s">
        <v>98</v>
      </c>
      <c r="AP9" s="78"/>
      <c r="AQ9" s="7" t="s">
        <v>99</v>
      </c>
      <c r="AR9" s="7"/>
      <c r="AS9" s="7"/>
      <c r="AT9" s="7"/>
    </row>
    <row r="10" spans="1:46" x14ac:dyDescent="0.25">
      <c r="A10">
        <v>7</v>
      </c>
      <c r="B10" s="80">
        <f t="shared" si="2"/>
        <v>3</v>
      </c>
      <c r="C10" s="81">
        <f t="shared" si="3"/>
        <v>0.5</v>
      </c>
      <c r="D10" s="81">
        <f t="shared" si="4"/>
        <v>12.996666666666666</v>
      </c>
      <c r="E10" s="77">
        <f t="shared" si="5"/>
        <v>37.186666666666667</v>
      </c>
      <c r="G10" t="s">
        <v>107</v>
      </c>
      <c r="H10" t="str">
        <f>VLOOKUP(Station_No,RISE_CALC,9,FALSE)</f>
        <v>#NA</v>
      </c>
      <c r="K10" t="str">
        <f>CONCATENATE("A(",H8,")=")</f>
        <v>A(#NA)=</v>
      </c>
      <c r="L10" t="e">
        <f>IFERROR(AR5,IFERROR(AL12,AR15))</f>
        <v>#VALUE!</v>
      </c>
      <c r="Q10" s="80"/>
      <c r="R10" s="81"/>
      <c r="V10" s="89" t="e">
        <f>SUM(V8:V9)</f>
        <v>#N/A</v>
      </c>
      <c r="X10" s="89" t="e">
        <f>SUM(X8:X9)</f>
        <v>#N/A</v>
      </c>
      <c r="Y10" s="84" t="str">
        <f>CONCATENATE("m'(",U9,")=")</f>
        <v>m'(#NA)=</v>
      </c>
      <c r="Z10" s="84" t="e">
        <f>(2*(Z7^2)/6*X10)+(Z9*U8*WLS)</f>
        <v>#VALUE!</v>
      </c>
      <c r="AA10" s="84" t="str">
        <f>CONCATENATE("M(",U8,")=")</f>
        <v>M(#NA)=</v>
      </c>
      <c r="AB10" s="84" t="e">
        <f>IF(U8=RisePerWLS,0,VLOOKUP(U8,STN_TABLE,4,FALSE))</f>
        <v>#VALUE!</v>
      </c>
      <c r="AC10" t="str">
        <f>CONCATENATE("M(",U9,")=")</f>
        <v>M(#NA)=</v>
      </c>
      <c r="AD10" t="e">
        <f>Z10+AB10</f>
        <v>#VALUE!</v>
      </c>
      <c r="AE10" s="66" t="str">
        <f t="shared" si="6"/>
        <v>3rd_UWL</v>
      </c>
      <c r="AF10" s="67" t="str">
        <f t="shared" si="6"/>
        <v>#NA</v>
      </c>
      <c r="AG10" s="82" t="e">
        <f>IF(AG8-AG9=AG9-AF12,AF12,IF(AG8-AG9=AG9-AF13,AF13,"-"))</f>
        <v>#VALUE!</v>
      </c>
      <c r="AH10" s="83" t="e">
        <f>VLOOKUP(AG10,STN_TABLE,2,FALSE)</f>
        <v>#VALUE!</v>
      </c>
      <c r="AI10" s="83">
        <v>-1</v>
      </c>
      <c r="AJ10" s="83" t="e">
        <f>AH10*AI10</f>
        <v>#VALUE!</v>
      </c>
      <c r="AK10" s="83">
        <v>-1</v>
      </c>
      <c r="AL10" s="83" t="e">
        <f>AH10*AK10</f>
        <v>#VALUE!</v>
      </c>
      <c r="AM10" s="84" t="str">
        <f>CONCATENATE("a'(",AG9,")=")</f>
        <v>a'(#NA)=</v>
      </c>
      <c r="AN10" s="84" t="e">
        <f>2*AN8/12*AJ11</f>
        <v>#VALUE!</v>
      </c>
      <c r="AO10" s="84" t="e">
        <f>CONCATENATE("A(",AG8,")=")</f>
        <v>#VALUE!</v>
      </c>
      <c r="AP10" s="84" t="e">
        <f>VLOOKUP(AG8,STN_TABLE,3,FALSE)</f>
        <v>#VALUE!</v>
      </c>
      <c r="AQ10" t="str">
        <f>CONCATENATE("A(",AG9,")=")</f>
        <v>A(#NA)=</v>
      </c>
      <c r="AR10" t="e">
        <f>AN10+AP10</f>
        <v>#VALUE!</v>
      </c>
    </row>
    <row r="11" spans="1:46" x14ac:dyDescent="0.25">
      <c r="A11">
        <v>8</v>
      </c>
      <c r="B11" s="80">
        <f t="shared" si="2"/>
        <v>4</v>
      </c>
      <c r="C11" s="81">
        <f t="shared" si="3"/>
        <v>0.08</v>
      </c>
      <c r="D11" s="81">
        <f t="shared" si="4"/>
        <v>13.953333333333333</v>
      </c>
      <c r="E11" s="77">
        <f t="shared" si="5"/>
        <v>43.876666666666665</v>
      </c>
      <c r="G11" t="s">
        <v>108</v>
      </c>
      <c r="H11" t="str">
        <f>VLOOKUP(Station_No,RISE_CALC,10,FALSE)</f>
        <v>#NA</v>
      </c>
      <c r="K11" t="str">
        <f>CONCATENATE("M(",H8,")=")</f>
        <v>M(#NA)=</v>
      </c>
      <c r="L11" t="e">
        <f>IFERROR(AR6,IFERROR(AL13,AR16))</f>
        <v>#VALUE!</v>
      </c>
      <c r="Q11" s="80"/>
      <c r="R11" s="81"/>
      <c r="AE11" s="66" t="str">
        <f t="shared" si="6"/>
        <v>4th_UWL</v>
      </c>
      <c r="AF11" s="67" t="str">
        <f t="shared" si="6"/>
        <v>#NA</v>
      </c>
      <c r="AJ11" s="89" t="e">
        <f>SUM(AJ8:AJ10)</f>
        <v>#VALUE!</v>
      </c>
      <c r="AL11" s="89" t="e">
        <f>SUM(AL8:AL10)</f>
        <v>#VALUE!</v>
      </c>
      <c r="AM11" s="84" t="str">
        <f>CONCATENATE("m'(",AG9,")=")</f>
        <v>m'(#NA)=</v>
      </c>
      <c r="AN11" s="84" t="e">
        <f>(2*(AN8^2)/24*AL11)+(AN10*AG8*WLS)</f>
        <v>#VALUE!</v>
      </c>
      <c r="AO11" s="84" t="e">
        <f>CONCATENATE("M(",AG8,")=")</f>
        <v>#VALUE!</v>
      </c>
      <c r="AP11" s="84" t="e">
        <f>VLOOKUP(AG8,STN_TABLE,4,FALSE)</f>
        <v>#VALUE!</v>
      </c>
      <c r="AQ11" t="str">
        <f>CONCATENATE("M(",AG9,")=")</f>
        <v>M(#NA)=</v>
      </c>
      <c r="AR11" t="e">
        <f>AN11+AP11</f>
        <v>#VALUE!</v>
      </c>
    </row>
    <row r="12" spans="1:46" x14ac:dyDescent="0.25">
      <c r="A12">
        <v>9</v>
      </c>
      <c r="B12" s="80">
        <f t="shared" si="2"/>
        <v>4.8499999999999996</v>
      </c>
      <c r="C12" s="81">
        <f t="shared" si="3"/>
        <v>0</v>
      </c>
      <c r="D12" s="81">
        <f t="shared" si="4"/>
        <v>14.089333333333332</v>
      </c>
      <c r="E12" s="77">
        <f t="shared" si="5"/>
        <v>45.041733333333333</v>
      </c>
      <c r="Q12" s="90" t="s">
        <v>109</v>
      </c>
      <c r="R12" s="81"/>
      <c r="AE12" s="66" t="str">
        <f t="shared" si="6"/>
        <v>5th_UWL</v>
      </c>
      <c r="AF12" s="67" t="str">
        <f t="shared" si="6"/>
        <v>#NA</v>
      </c>
      <c r="AI12" t="s">
        <v>103</v>
      </c>
      <c r="AK12" t="str">
        <f>CONCATENATE("A(",AG9,")=")</f>
        <v>A(#NA)=</v>
      </c>
      <c r="AL12" t="e">
        <f>IF(OR(AR10&lt;=0,AR11&lt;=0),AR15,AR10)</f>
        <v>#VALUE!</v>
      </c>
    </row>
    <row r="13" spans="1:46" x14ac:dyDescent="0.25">
      <c r="A13">
        <v>10</v>
      </c>
      <c r="B13" s="80">
        <f t="shared" si="2"/>
        <v>5</v>
      </c>
      <c r="C13" s="81">
        <f t="shared" si="3"/>
        <v>0.03</v>
      </c>
      <c r="D13" s="81">
        <f t="shared" si="4"/>
        <v>14.129999999999999</v>
      </c>
      <c r="E13" s="77">
        <f t="shared" si="5"/>
        <v>45</v>
      </c>
      <c r="G13" s="71" t="s">
        <v>110</v>
      </c>
      <c r="Q13" s="66" t="str">
        <f t="shared" ref="Q13:R16" si="7">G4</f>
        <v>Rise</v>
      </c>
      <c r="R13" s="67" t="e">
        <f t="shared" si="7"/>
        <v>#VALUE!</v>
      </c>
      <c r="S13" s="68" t="e">
        <f>IF(R16-R15=R15-R14,R14,IF(R16-R14=R14-R13,R13,"-"))</f>
        <v>#VALUE!</v>
      </c>
      <c r="T13" s="69" t="e">
        <f>IFERROR(VLOOKUP(S13,STN_TABLE,2,FALSE),IF(R13=RisePerWLS,0,"-"))</f>
        <v>#VALUE!</v>
      </c>
      <c r="U13" s="69">
        <v>1</v>
      </c>
      <c r="V13" s="69" t="e">
        <f>T13*U13</f>
        <v>#VALUE!</v>
      </c>
      <c r="W13" s="69" t="e">
        <f>S13</f>
        <v>#VALUE!</v>
      </c>
      <c r="X13" s="69" t="e">
        <f>V13*W13</f>
        <v>#VALUE!</v>
      </c>
      <c r="Y13" s="6" t="s">
        <v>93</v>
      </c>
      <c r="Z13" s="70" t="e">
        <f>IF(AND(T13=0,T14=0,T15=0),WLS*(S15-S14),IF(AND(S15-S14=S14-S13,S14&lt;&gt;S15,S13&lt;&gt;S14,S13&lt;&gt;S15,T15&lt;&gt;0,OR(T13&lt;&gt;0,T14&lt;&gt;0)),WLS*(S15-S14),"#NA"))</f>
        <v>#VALUE!</v>
      </c>
      <c r="AE13" s="66" t="str">
        <f t="shared" si="6"/>
        <v>6th_UWL</v>
      </c>
      <c r="AF13" s="67" t="str">
        <f t="shared" si="6"/>
        <v>#NA</v>
      </c>
      <c r="AK13" t="str">
        <f>CONCATENATE("M(",AG9,")=")</f>
        <v>M(#NA)=</v>
      </c>
      <c r="AL13" t="e">
        <f>IF(OR(AR10&lt;=0,AR11&lt;=0),AR16,AR11)</f>
        <v>#VALUE!</v>
      </c>
      <c r="AM13" s="6" t="s">
        <v>93</v>
      </c>
      <c r="AN13" s="70" t="e">
        <f>WLS*(AI15-AI14)</f>
        <v>#VALUE!</v>
      </c>
    </row>
    <row r="14" spans="1:46" x14ac:dyDescent="0.25">
      <c r="A14">
        <v>11</v>
      </c>
      <c r="B14" s="80">
        <f t="shared" si="2"/>
        <v>6</v>
      </c>
      <c r="C14" s="81">
        <f t="shared" si="3"/>
        <v>0.8</v>
      </c>
      <c r="D14" s="81">
        <f t="shared" si="4"/>
        <v>15.286666666666667</v>
      </c>
      <c r="E14" s="77">
        <f t="shared" si="5"/>
        <v>59.129999999999995</v>
      </c>
      <c r="G14" s="91" t="str">
        <f>G4</f>
        <v>Rise</v>
      </c>
      <c r="H14" s="91" t="e">
        <f>RisePerWLS</f>
        <v>#VALUE!</v>
      </c>
      <c r="I14" s="68" t="e">
        <f>H14</f>
        <v>#VALUE!</v>
      </c>
      <c r="J14" s="69">
        <v>0</v>
      </c>
      <c r="K14" s="69">
        <v>5</v>
      </c>
      <c r="L14" s="69">
        <f>J14*K14</f>
        <v>0</v>
      </c>
      <c r="M14" s="69">
        <v>3</v>
      </c>
      <c r="N14" s="69">
        <f>J14*M14</f>
        <v>0</v>
      </c>
      <c r="O14" t="s">
        <v>93</v>
      </c>
      <c r="P14" t="e">
        <f>IF(AND(NOT(AND(J14=0,J15=0)),I14&lt;&gt;I15,I15&lt;&gt;I16,I16-I15=I15-I14),(I16-I15)*WLS,"#NA")</f>
        <v>#N/A</v>
      </c>
      <c r="Q14" s="66" t="str">
        <f t="shared" si="7"/>
        <v>1st_UWL</v>
      </c>
      <c r="R14" s="67" t="str">
        <f t="shared" si="7"/>
        <v>#NA</v>
      </c>
      <c r="S14" s="76" t="e">
        <f>IF(R16-R15=R15-R14,R15,IF(R16-R14=R14-R13,R14,"-"))</f>
        <v>#VALUE!</v>
      </c>
      <c r="T14" s="77" t="e">
        <f>VLOOKUP(S14,STN_TABLE,2,FALSE)</f>
        <v>#VALUE!</v>
      </c>
      <c r="U14" s="77">
        <v>4</v>
      </c>
      <c r="V14" s="77" t="e">
        <f>T14*U14</f>
        <v>#VALUE!</v>
      </c>
      <c r="W14" s="77" t="e">
        <f>S14</f>
        <v>#VALUE!</v>
      </c>
      <c r="X14" s="77" t="e">
        <f>V14*W14</f>
        <v>#VALUE!</v>
      </c>
      <c r="Y14" s="78" t="s">
        <v>97</v>
      </c>
      <c r="Z14" s="78"/>
      <c r="AA14" s="78" t="s">
        <v>98</v>
      </c>
      <c r="AB14" s="78"/>
      <c r="AC14" s="7" t="s">
        <v>99</v>
      </c>
      <c r="AD14" s="7"/>
      <c r="AE14" s="66"/>
      <c r="AF14" s="67"/>
      <c r="AI14" s="79" t="str">
        <f>AF10</f>
        <v>#NA</v>
      </c>
      <c r="AJ14" s="68" t="e">
        <f>VLOOKUP(AI14,STN_TABLE,2,FALSE)</f>
        <v>#N/A</v>
      </c>
      <c r="AK14" s="68">
        <v>1</v>
      </c>
      <c r="AL14" s="69" t="e">
        <f>AJ14*AK14</f>
        <v>#N/A</v>
      </c>
      <c r="AM14" s="78" t="s">
        <v>97</v>
      </c>
      <c r="AN14" s="78"/>
      <c r="AO14" s="78" t="s">
        <v>98</v>
      </c>
      <c r="AP14" s="78"/>
      <c r="AQ14" s="7" t="s">
        <v>99</v>
      </c>
      <c r="AR14" s="7"/>
      <c r="AS14" s="7"/>
      <c r="AT14" s="7"/>
    </row>
    <row r="15" spans="1:46" x14ac:dyDescent="0.25">
      <c r="A15">
        <v>12</v>
      </c>
      <c r="B15" s="80">
        <f t="shared" si="2"/>
        <v>6.5</v>
      </c>
      <c r="C15" s="81">
        <f t="shared" si="3"/>
        <v>1.63</v>
      </c>
      <c r="D15" s="81">
        <f t="shared" si="4"/>
        <v>17.716666666666669</v>
      </c>
      <c r="E15" s="77">
        <f t="shared" si="5"/>
        <v>89.643333333333317</v>
      </c>
      <c r="G15" s="91" t="str">
        <f>G5</f>
        <v>1st_UWL</v>
      </c>
      <c r="H15" s="91" t="str">
        <f>H5</f>
        <v>#NA</v>
      </c>
      <c r="I15" s="76" t="str">
        <f>H15</f>
        <v>#NA</v>
      </c>
      <c r="J15" s="77" t="e">
        <f>VLOOKUP(I15,STN_TABLE,2,FALSE)</f>
        <v>#N/A</v>
      </c>
      <c r="K15" s="77">
        <v>8</v>
      </c>
      <c r="L15" s="77" t="e">
        <f>J15*K15</f>
        <v>#N/A</v>
      </c>
      <c r="M15" s="77">
        <v>10</v>
      </c>
      <c r="N15" s="77" t="e">
        <f>J15*M15</f>
        <v>#N/A</v>
      </c>
      <c r="O15" t="str">
        <f>CONCATENATE("A(",I15,")=")</f>
        <v>A(#NA)=</v>
      </c>
      <c r="P15" t="e">
        <f>2*P14/12*L17</f>
        <v>#N/A</v>
      </c>
      <c r="Q15" s="66" t="str">
        <f t="shared" si="7"/>
        <v>2nd_UWL</v>
      </c>
      <c r="R15" s="67" t="str">
        <f t="shared" si="7"/>
        <v>#NA</v>
      </c>
      <c r="S15" s="82" t="str">
        <f>R16</f>
        <v>#NA</v>
      </c>
      <c r="T15" s="83" t="e">
        <f>VLOOKUP(S15,STN_TABLE,2,FALSE)</f>
        <v>#N/A</v>
      </c>
      <c r="U15" s="83">
        <v>1</v>
      </c>
      <c r="V15" s="83" t="e">
        <f>T15*U15</f>
        <v>#N/A</v>
      </c>
      <c r="W15" s="83" t="str">
        <f>S15</f>
        <v>#NA</v>
      </c>
      <c r="X15" s="83" t="e">
        <f>V15*W15</f>
        <v>#N/A</v>
      </c>
      <c r="Y15" s="84" t="str">
        <f>CONCATENATE("a'(",S15,")=")</f>
        <v>a'(#NA)=</v>
      </c>
      <c r="Z15" s="84" t="e">
        <f>2*Z13/3*V16</f>
        <v>#VALUE!</v>
      </c>
      <c r="AA15" s="84" t="e">
        <f>CONCATENATE("A(",S13,")=")</f>
        <v>#VALUE!</v>
      </c>
      <c r="AB15" s="84" t="e">
        <f>IF(S13=RisePerWLS,0,VLOOKUP(S13,STN_TABLE,3,FALSE))</f>
        <v>#VALUE!</v>
      </c>
      <c r="AC15" t="str">
        <f>CONCATENATE("A(",S15,")=")</f>
        <v>A(#NA)=</v>
      </c>
      <c r="AD15" t="e">
        <f>Z15+AB15</f>
        <v>#VALUE!</v>
      </c>
      <c r="AE15" s="80"/>
      <c r="AI15" s="88" t="str">
        <f>AF11</f>
        <v>#NA</v>
      </c>
      <c r="AJ15" s="82" t="e">
        <f>VLOOKUP(AI15,STN_TABLE,2,FALSE)</f>
        <v>#N/A</v>
      </c>
      <c r="AK15" s="82">
        <v>2</v>
      </c>
      <c r="AL15" s="83" t="e">
        <f>AJ15*AK15</f>
        <v>#N/A</v>
      </c>
      <c r="AM15" s="84" t="str">
        <f>CONCATENATE("a'(",AI15,")=")</f>
        <v>a'(#NA)=</v>
      </c>
      <c r="AN15" s="84" t="e">
        <f>2*AN13/2*AJ16</f>
        <v>#VALUE!</v>
      </c>
      <c r="AO15" s="84" t="str">
        <f>CONCATENATE("A(",AI14,")=")</f>
        <v>A(#NA)=</v>
      </c>
      <c r="AP15" s="84" t="e">
        <f>IF(AI14=RisePerWLS,0,VLOOKUP(AI14,STN_TABLE,3,FALSE))</f>
        <v>#VALUE!</v>
      </c>
      <c r="AQ15" t="str">
        <f>CONCATENATE("A(",AI15,")=")</f>
        <v>A(#NA)=</v>
      </c>
      <c r="AR15" t="e">
        <f>AN15+AP15</f>
        <v>#VALUE!</v>
      </c>
    </row>
    <row r="16" spans="1:46" x14ac:dyDescent="0.25">
      <c r="A16">
        <v>13</v>
      </c>
      <c r="B16" s="80" t="str">
        <f t="shared" si="2"/>
        <v xml:space="preserve">  </v>
      </c>
      <c r="C16" s="81" t="str">
        <f t="shared" si="3"/>
        <v xml:space="preserve">  </v>
      </c>
      <c r="D16" s="81" t="str">
        <f t="shared" si="4"/>
        <v xml:space="preserve"> </v>
      </c>
      <c r="E16" s="77" t="str">
        <f t="shared" si="5"/>
        <v xml:space="preserve"> </v>
      </c>
      <c r="G16" s="91" t="str">
        <f>G6</f>
        <v>2nd_UWL</v>
      </c>
      <c r="H16" s="91" t="str">
        <f>H6</f>
        <v>#NA</v>
      </c>
      <c r="I16" s="82" t="e">
        <f>IF(H16-H15=H15-H14,H16,"#NA")</f>
        <v>#VALUE!</v>
      </c>
      <c r="J16" s="83" t="e">
        <f>VLOOKUP(I16,STN_TABLE,2,FALSE)</f>
        <v>#VALUE!</v>
      </c>
      <c r="K16" s="83">
        <v>-1</v>
      </c>
      <c r="L16" s="83" t="e">
        <f>J16*K16</f>
        <v>#VALUE!</v>
      </c>
      <c r="M16" s="83">
        <v>-1</v>
      </c>
      <c r="N16" s="83" t="e">
        <f>J16*M16</f>
        <v>#VALUE!</v>
      </c>
      <c r="O16" t="str">
        <f>CONCATENATE("M(",I15,")=")</f>
        <v>M(#NA)=</v>
      </c>
      <c r="P16" t="e">
        <f>(2*(P14^2)/24*N17)+P15*I14*WLS</f>
        <v>#N/A</v>
      </c>
      <c r="Q16" s="66" t="str">
        <f t="shared" si="7"/>
        <v>3rd_UWL</v>
      </c>
      <c r="R16" s="67" t="str">
        <f t="shared" si="7"/>
        <v>#NA</v>
      </c>
      <c r="V16" s="89" t="e">
        <f>SUM(V13:V15)</f>
        <v>#VALUE!</v>
      </c>
      <c r="X16" s="89" t="e">
        <f>SUM(X13:X15)</f>
        <v>#VALUE!</v>
      </c>
      <c r="Y16" s="84" t="str">
        <f>CONCATENATE("m'(",S15,")=")</f>
        <v>m'(#NA)=</v>
      </c>
      <c r="Z16" s="84" t="e">
        <f>2*(Z13*WLS)/3*X16</f>
        <v>#VALUE!</v>
      </c>
      <c r="AA16" s="84" t="e">
        <f>CONCATENATE("M(",S13,")=")</f>
        <v>#VALUE!</v>
      </c>
      <c r="AB16" s="84" t="e">
        <f>IF(S13=RisePerWLS,0,VLOOKUP(S13,STN_TABLE,4,FALSE))</f>
        <v>#VALUE!</v>
      </c>
      <c r="AC16" t="str">
        <f>CONCATENATE("M(",S15,")=")</f>
        <v>M(#NA)=</v>
      </c>
      <c r="AD16" t="e">
        <f>Z16+AB16</f>
        <v>#VALUE!</v>
      </c>
      <c r="AE16" s="80"/>
      <c r="AJ16" s="89" t="e">
        <f>SUM(AJ14:AJ15)</f>
        <v>#N/A</v>
      </c>
      <c r="AL16" s="89" t="e">
        <f>SUM(AL14:AL15)</f>
        <v>#N/A</v>
      </c>
      <c r="AM16" s="84" t="str">
        <f>CONCATENATE("m'(",AI15,")=")</f>
        <v>m'(#NA)=</v>
      </c>
      <c r="AN16" s="84" t="e">
        <f>(2*(AN13^2)/6*AL16)+(AN15*AI14*WLS)</f>
        <v>#VALUE!</v>
      </c>
      <c r="AO16" s="84" t="str">
        <f>CONCATENATE("M(",AI14,")=")</f>
        <v>M(#NA)=</v>
      </c>
      <c r="AP16" s="84" t="e">
        <f>IF(AI14=RisePerWLS,0,VLOOKUP(AI14,STN_TABLE,4,FALSE))</f>
        <v>#VALUE!</v>
      </c>
      <c r="AQ16" t="str">
        <f>CONCATENATE("M(",AI15,")=")</f>
        <v>M(#NA)=</v>
      </c>
      <c r="AR16" t="e">
        <f>AN16+AP16</f>
        <v>#VALUE!</v>
      </c>
    </row>
    <row r="17" spans="1:35" x14ac:dyDescent="0.25">
      <c r="A17">
        <v>14</v>
      </c>
      <c r="B17" s="80" t="str">
        <f t="shared" si="2"/>
        <v xml:space="preserve">  </v>
      </c>
      <c r="C17" s="81" t="str">
        <f t="shared" si="3"/>
        <v xml:space="preserve">  </v>
      </c>
      <c r="D17" s="81" t="str">
        <f t="shared" si="4"/>
        <v xml:space="preserve"> </v>
      </c>
      <c r="E17" s="77" t="str">
        <f t="shared" si="5"/>
        <v xml:space="preserve"> </v>
      </c>
      <c r="G17" s="91"/>
      <c r="H17" s="91"/>
      <c r="L17" s="89" t="e">
        <f>SUM(L14:L16)</f>
        <v>#N/A</v>
      </c>
      <c r="N17" s="89" t="e">
        <f>SUM(N14:N16)</f>
        <v>#N/A</v>
      </c>
      <c r="Q17" s="66"/>
      <c r="R17" s="67"/>
      <c r="AE17" s="90"/>
    </row>
    <row r="18" spans="1:35" x14ac:dyDescent="0.25">
      <c r="A18">
        <v>15</v>
      </c>
      <c r="B18" s="80" t="str">
        <f t="shared" si="2"/>
        <v xml:space="preserve">  </v>
      </c>
      <c r="C18" s="81" t="str">
        <f t="shared" si="3"/>
        <v xml:space="preserve">  </v>
      </c>
      <c r="D18" s="81" t="str">
        <f t="shared" si="4"/>
        <v xml:space="preserve"> </v>
      </c>
      <c r="E18" s="77" t="str">
        <f t="shared" si="5"/>
        <v xml:space="preserve"> </v>
      </c>
      <c r="G18" s="91"/>
      <c r="H18" s="91"/>
      <c r="K18" t="s">
        <v>103</v>
      </c>
      <c r="M18" t="str">
        <f>CONCATENATE("A(",I15,")=")</f>
        <v>A(#NA)=</v>
      </c>
      <c r="N18" t="e">
        <f>IF(OR(P15&lt;=0,P16&lt;=0),N22,P15)</f>
        <v>#N/A</v>
      </c>
      <c r="Q18" s="66"/>
      <c r="R18" s="67"/>
      <c r="AE18" s="80"/>
    </row>
    <row r="19" spans="1:35" x14ac:dyDescent="0.25">
      <c r="A19">
        <v>16</v>
      </c>
      <c r="B19" s="80" t="str">
        <f t="shared" si="2"/>
        <v xml:space="preserve">  </v>
      </c>
      <c r="C19" s="81" t="str">
        <f t="shared" si="3"/>
        <v xml:space="preserve">  </v>
      </c>
      <c r="D19" s="81" t="str">
        <f t="shared" si="4"/>
        <v xml:space="preserve"> </v>
      </c>
      <c r="E19" s="77" t="str">
        <f t="shared" si="5"/>
        <v xml:space="preserve"> </v>
      </c>
      <c r="G19" s="91"/>
      <c r="H19" s="91"/>
      <c r="M19" t="str">
        <f>CONCATENATE("M(",I15,")=")</f>
        <v>M(#NA)=</v>
      </c>
      <c r="N19" t="e">
        <f>IF(OR(P15&lt;=0,P16&lt;=0),N23,P16)</f>
        <v>#N/A</v>
      </c>
      <c r="Q19" s="66"/>
      <c r="R19" s="67"/>
      <c r="AE19" s="80"/>
    </row>
    <row r="20" spans="1:35" x14ac:dyDescent="0.25">
      <c r="A20">
        <v>17</v>
      </c>
      <c r="B20" s="80" t="str">
        <f t="shared" si="2"/>
        <v xml:space="preserve">  </v>
      </c>
      <c r="C20" s="81" t="str">
        <f t="shared" si="3"/>
        <v xml:space="preserve">  </v>
      </c>
      <c r="D20" s="81" t="str">
        <f t="shared" si="4"/>
        <v xml:space="preserve"> </v>
      </c>
      <c r="E20" s="77" t="str">
        <f t="shared" si="5"/>
        <v xml:space="preserve"> </v>
      </c>
      <c r="G20" s="91"/>
      <c r="H20" s="91"/>
      <c r="Q20" s="66"/>
      <c r="R20" s="67"/>
      <c r="S20" s="68" t="e">
        <f>IF(OR(R24-R23=R23-R22,R25-R23=R23-R22),R22,IF(OR(R24-R23=R23-R21,R25-R23=R23-R21),R21,"-"))</f>
        <v>#VALUE!</v>
      </c>
      <c r="T20" s="69" t="e">
        <f>IFERROR(VLOOKUP(S20,STN_TABLE,2,FALSE),IF(R20=RisePerWLS,0,"-"))</f>
        <v>#VALUE!</v>
      </c>
      <c r="U20" s="69">
        <v>5</v>
      </c>
      <c r="V20" s="69" t="e">
        <f>T20*U20</f>
        <v>#VALUE!</v>
      </c>
      <c r="W20" s="69">
        <v>3</v>
      </c>
      <c r="X20" s="69" t="e">
        <f>T20*W20</f>
        <v>#VALUE!</v>
      </c>
      <c r="Y20" s="6" t="s">
        <v>93</v>
      </c>
      <c r="Z20" s="70" t="e">
        <f>IF(AND(S22-S21=S21-S20,NOT(AND(S20=0,S21=0)),NOT(AND(S21=0,S22=0))),WLS*(S22-S21),"#NA")</f>
        <v>#VALUE!</v>
      </c>
      <c r="AE20" s="80"/>
    </row>
    <row r="21" spans="1:35" x14ac:dyDescent="0.25">
      <c r="A21">
        <v>18</v>
      </c>
      <c r="B21" s="80" t="str">
        <f t="shared" si="2"/>
        <v xml:space="preserve">  </v>
      </c>
      <c r="C21" s="81" t="str">
        <f t="shared" si="3"/>
        <v xml:space="preserve">  </v>
      </c>
      <c r="D21" s="81" t="str">
        <f t="shared" si="4"/>
        <v xml:space="preserve"> </v>
      </c>
      <c r="E21" s="77" t="str">
        <f t="shared" si="5"/>
        <v xml:space="preserve"> </v>
      </c>
      <c r="G21" s="91"/>
      <c r="H21" s="91" t="str">
        <f>G14</f>
        <v>Rise</v>
      </c>
      <c r="I21" s="79" t="e">
        <f>H14</f>
        <v>#VALUE!</v>
      </c>
      <c r="J21" s="68">
        <v>0</v>
      </c>
      <c r="K21" s="68">
        <v>1</v>
      </c>
      <c r="L21" s="69">
        <f>J21*K21</f>
        <v>0</v>
      </c>
      <c r="M21" t="s">
        <v>93</v>
      </c>
      <c r="N21" t="e">
        <f>(I22-I21)*WLS</f>
        <v>#VALUE!</v>
      </c>
      <c r="Q21" s="66" t="str">
        <f t="shared" ref="Q21:R25" si="8">G5</f>
        <v>1st_UWL</v>
      </c>
      <c r="R21" s="67" t="str">
        <f t="shared" si="8"/>
        <v>#NA</v>
      </c>
      <c r="S21" s="76" t="str">
        <f>R23</f>
        <v>#NA</v>
      </c>
      <c r="T21" s="77" t="e">
        <f>VLOOKUP(S21,STN_TABLE,2,FALSE)</f>
        <v>#N/A</v>
      </c>
      <c r="U21" s="77">
        <v>8</v>
      </c>
      <c r="V21" s="77" t="e">
        <f>T21*U21</f>
        <v>#N/A</v>
      </c>
      <c r="W21" s="77">
        <v>10</v>
      </c>
      <c r="X21" s="77" t="e">
        <f>T21*W21</f>
        <v>#N/A</v>
      </c>
      <c r="Y21" s="78" t="s">
        <v>97</v>
      </c>
      <c r="Z21" s="78"/>
      <c r="AA21" s="78" t="s">
        <v>98</v>
      </c>
      <c r="AB21" s="78"/>
      <c r="AC21" s="7" t="s">
        <v>99</v>
      </c>
      <c r="AD21" s="7"/>
      <c r="AE21" s="80"/>
    </row>
    <row r="22" spans="1:35" x14ac:dyDescent="0.25">
      <c r="A22">
        <v>19</v>
      </c>
      <c r="B22" s="80" t="str">
        <f t="shared" si="2"/>
        <v xml:space="preserve">  </v>
      </c>
      <c r="C22" s="81" t="str">
        <f t="shared" si="3"/>
        <v xml:space="preserve">  </v>
      </c>
      <c r="D22" s="81" t="str">
        <f t="shared" si="4"/>
        <v xml:space="preserve"> </v>
      </c>
      <c r="E22" s="77" t="str">
        <f t="shared" si="5"/>
        <v xml:space="preserve"> </v>
      </c>
      <c r="G22" s="91"/>
      <c r="H22" s="91" t="str">
        <f>G15</f>
        <v>1st_UWL</v>
      </c>
      <c r="I22" s="88" t="str">
        <f>H15</f>
        <v>#NA</v>
      </c>
      <c r="J22" s="82" t="e">
        <f>VLOOKUP(I22,STN_TABLE,2,FALSE)</f>
        <v>#N/A</v>
      </c>
      <c r="K22" s="82">
        <v>2</v>
      </c>
      <c r="L22" s="83" t="e">
        <f>J22*K22</f>
        <v>#N/A</v>
      </c>
      <c r="M22" t="str">
        <f>CONCATENATE("A(",I22,")=")</f>
        <v>A(#NA)=</v>
      </c>
      <c r="N22" t="e">
        <f>2*N21/2*J23</f>
        <v>#VALUE!</v>
      </c>
      <c r="Q22" s="66" t="str">
        <f t="shared" si="8"/>
        <v>2nd_UWL</v>
      </c>
      <c r="R22" s="67" t="str">
        <f t="shared" si="8"/>
        <v>#NA</v>
      </c>
      <c r="S22" s="82" t="e">
        <f>IF(S20-S21=S21-R24,R24,IF(S20-S21=S21-R25,R25,"-"))</f>
        <v>#VALUE!</v>
      </c>
      <c r="T22" s="83" t="e">
        <f>VLOOKUP(S22,STN_TABLE,2,FALSE)</f>
        <v>#VALUE!</v>
      </c>
      <c r="U22" s="83">
        <v>-1</v>
      </c>
      <c r="V22" s="83" t="e">
        <f>T22*U22</f>
        <v>#VALUE!</v>
      </c>
      <c r="W22" s="83">
        <v>-1</v>
      </c>
      <c r="X22" s="83" t="e">
        <f>T22*W22</f>
        <v>#VALUE!</v>
      </c>
      <c r="Y22" s="84" t="str">
        <f>CONCATENATE("a'(",S21,")=")</f>
        <v>a'(#NA)=</v>
      </c>
      <c r="Z22" s="84" t="e">
        <f>2*Z20/12*V23</f>
        <v>#VALUE!</v>
      </c>
      <c r="AA22" s="84" t="e">
        <f>CONCATENATE("A(",S20,")=")</f>
        <v>#VALUE!</v>
      </c>
      <c r="AB22" s="84" t="e">
        <f>IF(S20=RisePerWLS,0,VLOOKUP(S20,STN_TABLE,3,FALSE))</f>
        <v>#VALUE!</v>
      </c>
      <c r="AC22" t="str">
        <f>CONCATENATE("A(",S21,")=")</f>
        <v>A(#NA)=</v>
      </c>
      <c r="AD22" t="e">
        <f>Z22+AB22</f>
        <v>#VALUE!</v>
      </c>
      <c r="AE22" s="80"/>
    </row>
    <row r="23" spans="1:35" x14ac:dyDescent="0.25">
      <c r="A23">
        <v>20</v>
      </c>
      <c r="B23" s="80" t="str">
        <f t="shared" si="2"/>
        <v xml:space="preserve">  </v>
      </c>
      <c r="C23" s="81" t="str">
        <f t="shared" si="3"/>
        <v xml:space="preserve">  </v>
      </c>
      <c r="D23" s="81" t="str">
        <f t="shared" si="4"/>
        <v xml:space="preserve"> </v>
      </c>
      <c r="E23" s="77" t="str">
        <f t="shared" si="5"/>
        <v xml:space="preserve"> </v>
      </c>
      <c r="J23" s="89" t="e">
        <f>SUM(J21:J22)</f>
        <v>#N/A</v>
      </c>
      <c r="L23" s="89" t="e">
        <f>SUM(L21:L22)</f>
        <v>#N/A</v>
      </c>
      <c r="M23" t="str">
        <f>CONCATENATE("M(",I22,")=")</f>
        <v>M(#NA)=</v>
      </c>
      <c r="N23" t="e">
        <f>(2*(N21^2)/6*L23)+N22*I21*WLS</f>
        <v>#VALUE!</v>
      </c>
      <c r="Q23" s="66" t="str">
        <f t="shared" si="8"/>
        <v>3rd_UWL</v>
      </c>
      <c r="R23" s="67" t="str">
        <f t="shared" si="8"/>
        <v>#NA</v>
      </c>
      <c r="V23" s="89" t="e">
        <f>SUM(V20:V22)</f>
        <v>#VALUE!</v>
      </c>
      <c r="X23" s="89" t="e">
        <f>SUM(X20:X22)</f>
        <v>#VALUE!</v>
      </c>
      <c r="Y23" s="84" t="str">
        <f>CONCATENATE("m'(",S21,")=")</f>
        <v>m'(#NA)=</v>
      </c>
      <c r="Z23" s="84" t="e">
        <f>(2*(Z20^2)/24*X23)+(Z22*S20*WLS)</f>
        <v>#VALUE!</v>
      </c>
      <c r="AA23" s="84" t="e">
        <f>CONCATENATE("M(",S20,")=")</f>
        <v>#VALUE!</v>
      </c>
      <c r="AB23" s="84" t="e">
        <f>IF(S20=RisePerWLS,0,VLOOKUP(S20,STN_TABLE,4,FALSE))</f>
        <v>#VALUE!</v>
      </c>
      <c r="AC23" t="str">
        <f>CONCATENATE("M(",S21,")=")</f>
        <v>M(#NA)=</v>
      </c>
      <c r="AD23" t="e">
        <f>Z23+AB23</f>
        <v>#VALUE!</v>
      </c>
      <c r="AE23" s="80"/>
    </row>
    <row r="24" spans="1:35" x14ac:dyDescent="0.25">
      <c r="A24">
        <v>21</v>
      </c>
      <c r="B24" s="80" t="str">
        <f t="shared" si="2"/>
        <v xml:space="preserve">  </v>
      </c>
      <c r="C24" s="81" t="str">
        <f t="shared" si="3"/>
        <v xml:space="preserve">  </v>
      </c>
      <c r="D24" s="81" t="str">
        <f t="shared" si="4"/>
        <v xml:space="preserve"> </v>
      </c>
      <c r="E24" s="77" t="str">
        <f t="shared" si="5"/>
        <v xml:space="preserve"> </v>
      </c>
      <c r="Q24" s="66" t="str">
        <f t="shared" si="8"/>
        <v>4th_UWL</v>
      </c>
      <c r="R24" s="67" t="str">
        <f t="shared" si="8"/>
        <v>#NA</v>
      </c>
      <c r="U24" t="s">
        <v>103</v>
      </c>
      <c r="W24" t="str">
        <f>CONCATENATE("A(",S21,")=")</f>
        <v>A(#NA)=</v>
      </c>
      <c r="X24" t="e">
        <f>IF(OR(AD22&lt;=0,AD23&lt;=0),AD27,AD22)</f>
        <v>#VALUE!</v>
      </c>
      <c r="AE24" s="80"/>
    </row>
    <row r="25" spans="1:35" x14ac:dyDescent="0.25">
      <c r="A25">
        <v>22</v>
      </c>
      <c r="B25" s="80" t="str">
        <f t="shared" si="2"/>
        <v xml:space="preserve">  </v>
      </c>
      <c r="C25" s="81" t="str">
        <f t="shared" si="3"/>
        <v xml:space="preserve">  </v>
      </c>
      <c r="D25" s="81" t="str">
        <f t="shared" si="4"/>
        <v xml:space="preserve"> </v>
      </c>
      <c r="E25" s="77" t="str">
        <f t="shared" si="5"/>
        <v xml:space="preserve"> </v>
      </c>
      <c r="G25" s="71" t="s">
        <v>111</v>
      </c>
      <c r="Q25" s="66" t="str">
        <f t="shared" si="8"/>
        <v>5th_UWL</v>
      </c>
      <c r="R25" s="67" t="str">
        <f t="shared" si="8"/>
        <v>#NA</v>
      </c>
      <c r="W25" t="str">
        <f>CONCATENATE("M(",S21,")=")</f>
        <v>M(#NA)=</v>
      </c>
      <c r="X25" t="e">
        <f>IF(OR(AD22&lt;=0,AD23&lt;=0),AD28,AD23)</f>
        <v>#VALUE!</v>
      </c>
      <c r="Y25" s="6" t="s">
        <v>93</v>
      </c>
      <c r="Z25" s="70" t="e">
        <f>WLS*(U27-U26)</f>
        <v>#VALUE!</v>
      </c>
      <c r="AE25" s="80"/>
    </row>
    <row r="26" spans="1:35" x14ac:dyDescent="0.25">
      <c r="A26">
        <v>23</v>
      </c>
      <c r="B26" s="80" t="str">
        <f t="shared" si="2"/>
        <v xml:space="preserve">  </v>
      </c>
      <c r="C26" s="81" t="str">
        <f t="shared" si="3"/>
        <v xml:space="preserve">  </v>
      </c>
      <c r="D26" s="81" t="str">
        <f t="shared" si="4"/>
        <v xml:space="preserve"> </v>
      </c>
      <c r="E26" s="77" t="str">
        <f t="shared" si="5"/>
        <v xml:space="preserve"> </v>
      </c>
      <c r="G26" s="91" t="str">
        <f t="shared" ref="G26:H28" si="9">G4</f>
        <v>Rise</v>
      </c>
      <c r="H26" s="91" t="e">
        <f t="shared" si="9"/>
        <v>#VALUE!</v>
      </c>
      <c r="I26" s="68" t="e">
        <f>H26</f>
        <v>#VALUE!</v>
      </c>
      <c r="J26" s="69">
        <v>0</v>
      </c>
      <c r="K26" s="69">
        <v>1</v>
      </c>
      <c r="L26" s="69">
        <f>J26*K26</f>
        <v>0</v>
      </c>
      <c r="M26" s="69" t="e">
        <f>I26</f>
        <v>#VALUE!</v>
      </c>
      <c r="N26" s="69" t="e">
        <f>L26*M26</f>
        <v>#VALUE!</v>
      </c>
      <c r="O26" t="s">
        <v>93</v>
      </c>
      <c r="P26" t="e">
        <f>IF(OR(J26=0,J27=0,J28=0),"#NA",IF(I28-I27=I27-I26,WLS*(I27-I26),"#NA"))</f>
        <v>#VALUE!</v>
      </c>
      <c r="Q26" s="66"/>
      <c r="R26" s="67"/>
      <c r="U26" s="79" t="str">
        <f>R22</f>
        <v>#NA</v>
      </c>
      <c r="V26" s="68" t="e">
        <f>VLOOKUP(U26,STN_TABLE,2,FALSE)</f>
        <v>#N/A</v>
      </c>
      <c r="W26" s="68">
        <v>1</v>
      </c>
      <c r="X26" s="69" t="e">
        <f>V26*W26</f>
        <v>#N/A</v>
      </c>
      <c r="Y26" s="78" t="s">
        <v>97</v>
      </c>
      <c r="Z26" s="78"/>
      <c r="AA26" s="78" t="s">
        <v>98</v>
      </c>
      <c r="AB26" s="78"/>
      <c r="AC26" s="7" t="s">
        <v>99</v>
      </c>
      <c r="AD26" s="7"/>
      <c r="AE26" s="80"/>
    </row>
    <row r="27" spans="1:35" x14ac:dyDescent="0.25">
      <c r="A27">
        <v>24</v>
      </c>
      <c r="B27" s="80" t="str">
        <f t="shared" si="2"/>
        <v xml:space="preserve">  </v>
      </c>
      <c r="C27" s="81" t="str">
        <f t="shared" si="3"/>
        <v xml:space="preserve">  </v>
      </c>
      <c r="D27" s="81" t="str">
        <f t="shared" si="4"/>
        <v xml:space="preserve"> </v>
      </c>
      <c r="E27" s="77" t="str">
        <f t="shared" si="5"/>
        <v xml:space="preserve"> </v>
      </c>
      <c r="G27" s="91" t="str">
        <f t="shared" si="9"/>
        <v>1st_UWL</v>
      </c>
      <c r="H27" s="91" t="str">
        <f t="shared" si="9"/>
        <v>#NA</v>
      </c>
      <c r="I27" s="76" t="e">
        <f>IF(H28-H27=H27-H26,H28,"#NA")</f>
        <v>#VALUE!</v>
      </c>
      <c r="J27" s="77" t="e">
        <f>VLOOKUP(I27,STN_TABLE,2,FALSE)</f>
        <v>#VALUE!</v>
      </c>
      <c r="K27" s="77">
        <v>4</v>
      </c>
      <c r="L27" s="77" t="e">
        <f>J27*K27</f>
        <v>#VALUE!</v>
      </c>
      <c r="M27" s="77" t="e">
        <f>I27</f>
        <v>#VALUE!</v>
      </c>
      <c r="N27" s="77" t="e">
        <f>L27*M27</f>
        <v>#VALUE!</v>
      </c>
      <c r="O27" t="e">
        <f>CONCATENATE("A(",I28,")=")</f>
        <v>#VALUE!</v>
      </c>
      <c r="P27" t="e">
        <f>2*P26/3*L29</f>
        <v>#VALUE!</v>
      </c>
      <c r="Q27" s="80"/>
      <c r="R27" s="81"/>
      <c r="U27" s="88" t="str">
        <f>R23</f>
        <v>#NA</v>
      </c>
      <c r="V27" s="82" t="e">
        <f>VLOOKUP(U27,STN_TABLE,2,FALSE)</f>
        <v>#N/A</v>
      </c>
      <c r="W27" s="82">
        <v>2</v>
      </c>
      <c r="X27" s="83" t="e">
        <f>V27*W27</f>
        <v>#N/A</v>
      </c>
      <c r="Y27" s="84" t="str">
        <f>CONCATENATE("a'(",U27,")=")</f>
        <v>a'(#NA)=</v>
      </c>
      <c r="Z27" s="84" t="e">
        <f>2*Z25/2*V28</f>
        <v>#VALUE!</v>
      </c>
      <c r="AA27" s="84" t="str">
        <f>CONCATENATE("A(",U26,")=")</f>
        <v>A(#NA)=</v>
      </c>
      <c r="AB27" s="84" t="e">
        <f>IF(U26=RisePerWLS,0,VLOOKUP(U26,STN_TABLE,3,FALSE))</f>
        <v>#VALUE!</v>
      </c>
      <c r="AC27" t="str">
        <f>CONCATENATE("A(",U27,")=")</f>
        <v>A(#NA)=</v>
      </c>
      <c r="AD27" t="e">
        <f>Z27+AB27</f>
        <v>#VALUE!</v>
      </c>
      <c r="AE27" s="80"/>
    </row>
    <row r="28" spans="1:35" x14ac:dyDescent="0.25">
      <c r="A28">
        <v>25</v>
      </c>
      <c r="B28" s="88" t="str">
        <f t="shared" si="2"/>
        <v xml:space="preserve">  </v>
      </c>
      <c r="C28" s="92" t="str">
        <f t="shared" si="3"/>
        <v xml:space="preserve">  </v>
      </c>
      <c r="D28" s="81" t="str">
        <f t="shared" si="4"/>
        <v xml:space="preserve"> </v>
      </c>
      <c r="E28" s="77" t="str">
        <f t="shared" si="5"/>
        <v xml:space="preserve"> </v>
      </c>
      <c r="G28" s="91" t="str">
        <f t="shared" si="9"/>
        <v>2nd_UWL</v>
      </c>
      <c r="H28" s="91" t="str">
        <f t="shared" si="9"/>
        <v>#NA</v>
      </c>
      <c r="I28" s="82" t="e">
        <f>IF(H28-H27=H27-H26,H28,"#NA")</f>
        <v>#VALUE!</v>
      </c>
      <c r="J28" s="83" t="e">
        <f>VLOOKUP(I28,STN_TABLE,2,FALSE)</f>
        <v>#VALUE!</v>
      </c>
      <c r="K28" s="83">
        <v>1</v>
      </c>
      <c r="L28" s="83" t="e">
        <f>J28*K28</f>
        <v>#VALUE!</v>
      </c>
      <c r="M28" s="83" t="e">
        <f>I28</f>
        <v>#VALUE!</v>
      </c>
      <c r="N28" s="83" t="e">
        <f>L28*M28</f>
        <v>#VALUE!</v>
      </c>
      <c r="O28" t="e">
        <f>CONCATENATE("M(",I28,")=")</f>
        <v>#VALUE!</v>
      </c>
      <c r="P28" t="e">
        <f>2*(P26*WLS)/3*N29</f>
        <v>#VALUE!</v>
      </c>
      <c r="Q28" s="80"/>
      <c r="R28" s="81"/>
      <c r="V28" s="89" t="e">
        <f>SUM(V26:V27)</f>
        <v>#N/A</v>
      </c>
      <c r="X28" s="89" t="e">
        <f>SUM(X26:X27)</f>
        <v>#N/A</v>
      </c>
      <c r="Y28" s="84" t="str">
        <f>CONCATENATE("m'(",U27,")=")</f>
        <v>m'(#NA)=</v>
      </c>
      <c r="Z28" s="84" t="e">
        <f>(2*(Z25^2)/6*X28)+(Z27*U26*WLS)</f>
        <v>#VALUE!</v>
      </c>
      <c r="AA28" s="84" t="str">
        <f>CONCATENATE("M(",U26,")=")</f>
        <v>M(#NA)=</v>
      </c>
      <c r="AB28" s="84" t="e">
        <f>IF(U26=RisePerWLS,0,VLOOKUP(U26,STN_TABLE,4,FALSE))</f>
        <v>#VALUE!</v>
      </c>
      <c r="AC28" t="str">
        <f>CONCATENATE("M(",U27,")=")</f>
        <v>M(#NA)=</v>
      </c>
      <c r="AD28" t="e">
        <f>Z28+AB28</f>
        <v>#VALUE!</v>
      </c>
      <c r="AE28" s="80"/>
    </row>
    <row r="29" spans="1:35" x14ac:dyDescent="0.25">
      <c r="G29" s="91"/>
      <c r="H29" s="91"/>
      <c r="L29" s="89" t="e">
        <f>SUM(L26:L28)</f>
        <v>#VALUE!</v>
      </c>
      <c r="N29" s="89" t="e">
        <f>SUM(N26:N28)</f>
        <v>#VALUE!</v>
      </c>
      <c r="Q29" s="80"/>
      <c r="R29" s="81"/>
      <c r="AE29" s="80"/>
    </row>
    <row r="30" spans="1:35" x14ac:dyDescent="0.25">
      <c r="G30" s="91"/>
      <c r="H30" s="91"/>
    </row>
    <row r="31" spans="1:35" x14ac:dyDescent="0.25">
      <c r="G31" s="91"/>
      <c r="H31" s="91"/>
    </row>
    <row r="32" spans="1:35" x14ac:dyDescent="0.25">
      <c r="G32" s="91"/>
      <c r="H32" s="91"/>
      <c r="Q32" s="68">
        <f>B4</f>
        <v>0</v>
      </c>
      <c r="R32" s="69">
        <f>VLOOKUP(Q32,STN_TABLE,2,FALSE)</f>
        <v>0.1</v>
      </c>
      <c r="S32" s="69">
        <v>5</v>
      </c>
      <c r="T32" s="68">
        <f>R32*S32</f>
        <v>0.5</v>
      </c>
      <c r="U32" s="79">
        <v>3</v>
      </c>
      <c r="V32" s="68">
        <f>R32*U32</f>
        <v>0.30000000000000004</v>
      </c>
      <c r="W32" t="s">
        <v>93</v>
      </c>
      <c r="X32" s="70">
        <f>IF(AND(Q34-Q33=Q33-Q32,NOT(AND(Q32=0,Q33=0)),NOT(AND(Q33=0,Q34=0))),WLS*(Q34-Q33),"#NA")</f>
        <v>0.5</v>
      </c>
      <c r="AD32" s="93"/>
      <c r="AH32" s="6" t="s">
        <v>93</v>
      </c>
      <c r="AI32" s="70">
        <f>WLS*(AD34-AD33)</f>
        <v>0.5</v>
      </c>
    </row>
    <row r="33" spans="1:47" x14ac:dyDescent="0.25">
      <c r="Q33" s="76">
        <f>B5</f>
        <v>0.25</v>
      </c>
      <c r="R33" s="77">
        <f>VLOOKUP(Q33,STN_TABLE,2,FALSE)</f>
        <v>0.8</v>
      </c>
      <c r="S33" s="77">
        <v>8</v>
      </c>
      <c r="T33" s="76">
        <f>R33*S33</f>
        <v>6.4</v>
      </c>
      <c r="U33" s="80">
        <v>10</v>
      </c>
      <c r="V33" s="76">
        <f>R33*U33</f>
        <v>8</v>
      </c>
      <c r="W33" s="495" t="s">
        <v>97</v>
      </c>
      <c r="X33" s="496"/>
      <c r="Y33" s="496" t="s">
        <v>98</v>
      </c>
      <c r="Z33" s="496"/>
      <c r="AA33" s="494" t="s">
        <v>99</v>
      </c>
      <c r="AB33" s="494"/>
      <c r="AC33" s="94">
        <v>1</v>
      </c>
      <c r="AD33" s="95">
        <f>VLOOKUP(AC33,STN_TABLE_2,2,FALSE)</f>
        <v>0</v>
      </c>
      <c r="AE33" s="68">
        <f>VLOOKUP(AD33,STN_TABLE,2,FALSE)</f>
        <v>0.1</v>
      </c>
      <c r="AF33" s="68">
        <v>1</v>
      </c>
      <c r="AG33" s="69">
        <f>AE33*AF33</f>
        <v>0.1</v>
      </c>
      <c r="AH33" s="496" t="s">
        <v>97</v>
      </c>
      <c r="AI33" s="496"/>
      <c r="AJ33" s="496" t="s">
        <v>98</v>
      </c>
      <c r="AK33" s="496"/>
      <c r="AL33" s="494" t="s">
        <v>99</v>
      </c>
      <c r="AM33" s="494"/>
      <c r="AP33" s="96" t="s">
        <v>112</v>
      </c>
      <c r="AQ33" s="89" t="s">
        <v>113</v>
      </c>
      <c r="AR33" s="89" t="s">
        <v>114</v>
      </c>
      <c r="AS33" s="89" t="s">
        <v>115</v>
      </c>
      <c r="AT33" s="97" t="s">
        <v>116</v>
      </c>
      <c r="AU33" s="98"/>
    </row>
    <row r="34" spans="1:47" x14ac:dyDescent="0.25">
      <c r="Q34" s="82">
        <f>B6</f>
        <v>0.5</v>
      </c>
      <c r="R34" s="83">
        <f>VLOOKUP(Q34,STN_TABLE,2,FALSE)</f>
        <v>1.2</v>
      </c>
      <c r="S34" s="83">
        <v>-1</v>
      </c>
      <c r="T34" s="82">
        <f>R34*S34</f>
        <v>-1.2</v>
      </c>
      <c r="U34" s="88">
        <v>-1</v>
      </c>
      <c r="V34" s="82">
        <f>R34*U34</f>
        <v>-1.2</v>
      </c>
      <c r="W34" s="84" t="str">
        <f>CONCATENATE("a'(",Q33,")=")</f>
        <v>a'(0.25)=</v>
      </c>
      <c r="X34" s="84">
        <f>2*X32/12*T35</f>
        <v>0.47499999999999998</v>
      </c>
      <c r="Y34" s="84" t="str">
        <f>CONCATENATE("A(",Q32,")=")</f>
        <v>A(0)=</v>
      </c>
      <c r="Z34" s="84">
        <f>VLOOKUP(Q32,STN_TABLE,3,FALSE)</f>
        <v>0</v>
      </c>
      <c r="AA34" t="str">
        <f>CONCATENATE("A(",Q33,")=")</f>
        <v>A(0.25)=</v>
      </c>
      <c r="AB34">
        <f>X34+Z34</f>
        <v>0.47499999999999998</v>
      </c>
      <c r="AC34" s="99">
        <f>AC33+1</f>
        <v>2</v>
      </c>
      <c r="AD34" s="100">
        <f>VLOOKUP(AC34,STN_TABLE_2,2,FALSE)</f>
        <v>0.25</v>
      </c>
      <c r="AE34" s="82">
        <f>VLOOKUP(AD34,STN_TABLE,2,FALSE)</f>
        <v>0.8</v>
      </c>
      <c r="AF34" s="82">
        <v>2</v>
      </c>
      <c r="AG34" s="83">
        <f>AE34*AF34</f>
        <v>1.6</v>
      </c>
      <c r="AH34" s="84" t="str">
        <f>CONCATENATE("a'(",AD34,")=")</f>
        <v>a'(0.25)=</v>
      </c>
      <c r="AI34" s="84">
        <f>2*AI32/2*AE35</f>
        <v>0.45</v>
      </c>
      <c r="AJ34" s="84" t="str">
        <f>CONCATENATE("A(",AD33,")=")</f>
        <v>A(0)=</v>
      </c>
      <c r="AK34" s="84">
        <f>VLOOKUP(AD33,STN_TABLE,3,FALSE)</f>
        <v>0</v>
      </c>
      <c r="AL34" t="str">
        <f>CONCATENATE("A(",AD34,")=")</f>
        <v>A(0.25)=</v>
      </c>
      <c r="AM34">
        <f>AI34+AK34</f>
        <v>0.45</v>
      </c>
      <c r="AO34" s="68" t="str">
        <f>AA34</f>
        <v>A(0.25)=</v>
      </c>
      <c r="AP34" s="79" t="e">
        <f>VLOOKUP(AO34,Rise_Results,2,FALSE)</f>
        <v>#N/A</v>
      </c>
      <c r="AQ34" s="76" t="s">
        <v>117</v>
      </c>
      <c r="AR34" s="76">
        <f>IF(OR(AB34&lt;=0,AB35&lt;=0),1/0,AB34)</f>
        <v>0.47499999999999998</v>
      </c>
      <c r="AS34" s="76">
        <f>AM34</f>
        <v>0.45</v>
      </c>
      <c r="AT34" s="80">
        <f>IFERROR(AP34,IFERROR(AR34,AS34))</f>
        <v>0.47499999999999998</v>
      </c>
    </row>
    <row r="35" spans="1:47" x14ac:dyDescent="0.25">
      <c r="A35" s="101"/>
      <c r="T35" s="89">
        <f>SUM(T32:T34)</f>
        <v>5.7</v>
      </c>
      <c r="V35" s="82">
        <f>SUM(V32:V34)</f>
        <v>7.1000000000000005</v>
      </c>
      <c r="W35" s="84" t="str">
        <f>CONCATENATE("m'(",Q33,")=")</f>
        <v>m'(0.25)=</v>
      </c>
      <c r="X35" s="84">
        <f>(2*(X32^2)/24*V35)</f>
        <v>0.14791666666666667</v>
      </c>
      <c r="Y35" s="84" t="str">
        <f>CONCATENATE("M(",Q32,")=")</f>
        <v>M(0)=</v>
      </c>
      <c r="Z35" s="84">
        <f>VLOOKUP(Q32,STN_TABLE,4,FALSE)</f>
        <v>0</v>
      </c>
      <c r="AA35" t="str">
        <f>CONCATENATE("M(",Q33,")=")</f>
        <v>M(0.25)=</v>
      </c>
      <c r="AB35">
        <f>X35+Z35</f>
        <v>0.14791666666666667</v>
      </c>
      <c r="AE35" s="89">
        <f>SUM(AE33:AE34)</f>
        <v>0.9</v>
      </c>
      <c r="AG35" s="89">
        <f>SUM(AG33:AG34)</f>
        <v>1.7000000000000002</v>
      </c>
      <c r="AH35" s="84" t="str">
        <f>CONCATENATE("m'(",AD34,")=")</f>
        <v>m'(0.25)=</v>
      </c>
      <c r="AI35" s="84">
        <f>(2*(AI32^2)/6*AG35)+(AI34*AD33*WLS)</f>
        <v>0.14166666666666666</v>
      </c>
      <c r="AJ35" s="84" t="str">
        <f>CONCATENATE("M(",AD33,")=")</f>
        <v>M(0)=</v>
      </c>
      <c r="AK35" s="84">
        <f>VLOOKUP(AD33,STN_TABLE,4,FALSE)</f>
        <v>0</v>
      </c>
      <c r="AL35" t="str">
        <f>CONCATENATE("M(",AD34,")=")</f>
        <v>M(0.25)=</v>
      </c>
      <c r="AM35">
        <f>AI35+AK35</f>
        <v>0.14166666666666666</v>
      </c>
      <c r="AO35" s="82" t="str">
        <f>AA35</f>
        <v>M(0.25)=</v>
      </c>
      <c r="AP35" s="88" t="e">
        <f>VLOOKUP(AO35,Rise_Results,2,FALSE)</f>
        <v>#N/A</v>
      </c>
      <c r="AQ35" s="82" t="s">
        <v>117</v>
      </c>
      <c r="AR35" s="82">
        <f>IF(OR(AB34&lt;=0,AB35&lt;=0),1/0,AB35)</f>
        <v>0.14791666666666667</v>
      </c>
      <c r="AS35" s="82">
        <f>AM35</f>
        <v>0.14166666666666666</v>
      </c>
      <c r="AT35" s="80">
        <f>IFERROR(AP35,IFERROR(AR35,AS35))</f>
        <v>0.14791666666666667</v>
      </c>
    </row>
    <row r="36" spans="1:47" x14ac:dyDescent="0.25">
      <c r="O36" s="94">
        <v>1</v>
      </c>
      <c r="P36" s="101">
        <f t="shared" ref="P36:P67" si="10">VLOOKUP(O36,STN_TABLE_2,2,FALSE)</f>
        <v>0</v>
      </c>
      <c r="AU36" s="81"/>
    </row>
    <row r="37" spans="1:47" x14ac:dyDescent="0.25">
      <c r="A37" s="94">
        <v>1</v>
      </c>
      <c r="B37" s="94">
        <f>VLOOKUP(A37,STN_TABLE_2,2,FALSE)</f>
        <v>0</v>
      </c>
      <c r="C37" s="79">
        <f>B37</f>
        <v>0</v>
      </c>
      <c r="D37" s="68">
        <f>VLOOKUP(C37,STN_TABLE,2,FALSE)</f>
        <v>0.1</v>
      </c>
      <c r="E37" s="102">
        <v>1</v>
      </c>
      <c r="F37" s="68">
        <f>D37*E37</f>
        <v>0.1</v>
      </c>
      <c r="G37" s="69">
        <f>C37</f>
        <v>0</v>
      </c>
      <c r="H37" s="69">
        <f>F37*G37</f>
        <v>0</v>
      </c>
      <c r="I37" s="6" t="s">
        <v>93</v>
      </c>
      <c r="J37" s="70">
        <f>IF(OR(D37=0,D38=0,D39=0),"#NA",IF(AND(C39-C38=C38-C37,C38&lt;&gt;C39,C37&lt;&gt;C38,C37&lt;&gt;C39,D39&lt;&gt;0,OR(D37&lt;&gt;0,D38&lt;&gt;0)),WLS*(C39-C38),"#NA"))</f>
        <v>0.5</v>
      </c>
      <c r="O37" s="99">
        <f>O36+1</f>
        <v>2</v>
      </c>
      <c r="P37" s="99">
        <f t="shared" si="10"/>
        <v>0.25</v>
      </c>
      <c r="Q37" s="68">
        <f>IF(OR(P39-P38=P38-P37,P40-P38=P38-P37),P37,IF(OR(P39-P38=P38-P36,P40-P38=P38-P36),P36,"-"))</f>
        <v>0.25</v>
      </c>
      <c r="R37" s="69">
        <f>VLOOKUP(Q37,STN_TABLE,2,FALSE)</f>
        <v>0.8</v>
      </c>
      <c r="S37" s="69">
        <v>5</v>
      </c>
      <c r="T37" s="68">
        <f>R37*S37</f>
        <v>4</v>
      </c>
      <c r="U37" s="79">
        <v>3</v>
      </c>
      <c r="V37" s="68">
        <f>R37*U37</f>
        <v>2.4000000000000004</v>
      </c>
      <c r="W37" s="6" t="s">
        <v>93</v>
      </c>
      <c r="X37" s="70">
        <f>IF(AND(Q39-Q38=Q38-Q37,NOT(AND(Q37=0,Q38=0)),NOT(AND(Q38=0,Q39=0))),WLS*(Q39-Q38),"#NA")</f>
        <v>0.5</v>
      </c>
      <c r="AD37" s="93"/>
      <c r="AH37" s="6" t="s">
        <v>93</v>
      </c>
      <c r="AI37" s="70">
        <f>WLS*(AD39-AD38)</f>
        <v>0.5</v>
      </c>
      <c r="AU37" s="81"/>
    </row>
    <row r="38" spans="1:47" x14ac:dyDescent="0.25">
      <c r="A38" s="94">
        <f>A37+1</f>
        <v>2</v>
      </c>
      <c r="B38" s="94">
        <f>VLOOKUP(A38,STN_TABLE_2,2,FALSE)</f>
        <v>0.25</v>
      </c>
      <c r="C38" s="80">
        <f>B38</f>
        <v>0.25</v>
      </c>
      <c r="D38" s="76">
        <f>VLOOKUP(C38,STN_TABLE,2,FALSE)</f>
        <v>0.8</v>
      </c>
      <c r="E38" s="81">
        <v>4</v>
      </c>
      <c r="F38" s="76">
        <f>D38*E38</f>
        <v>3.2</v>
      </c>
      <c r="G38" s="77">
        <f>C38</f>
        <v>0.25</v>
      </c>
      <c r="H38" s="77">
        <f>F38*G38</f>
        <v>0.8</v>
      </c>
      <c r="I38" s="496" t="s">
        <v>97</v>
      </c>
      <c r="J38" s="496"/>
      <c r="K38" s="78" t="s">
        <v>98</v>
      </c>
      <c r="L38" s="78"/>
      <c r="M38" s="7" t="s">
        <v>99</v>
      </c>
      <c r="N38" s="7"/>
      <c r="O38" s="99">
        <f>O37+1</f>
        <v>3</v>
      </c>
      <c r="P38" s="99">
        <f t="shared" si="10"/>
        <v>0.5</v>
      </c>
      <c r="Q38" s="76">
        <f>P38</f>
        <v>0.5</v>
      </c>
      <c r="R38" s="77">
        <f>VLOOKUP(Q38,STN_TABLE,2,FALSE)</f>
        <v>1.2</v>
      </c>
      <c r="S38" s="77">
        <v>8</v>
      </c>
      <c r="T38" s="76">
        <f>R38*S38</f>
        <v>9.6</v>
      </c>
      <c r="U38" s="80">
        <v>10</v>
      </c>
      <c r="V38" s="76">
        <f>R38*U38</f>
        <v>12</v>
      </c>
      <c r="W38" s="496" t="s">
        <v>97</v>
      </c>
      <c r="X38" s="496"/>
      <c r="Y38" s="496" t="s">
        <v>98</v>
      </c>
      <c r="Z38" s="496"/>
      <c r="AA38" s="494" t="s">
        <v>99</v>
      </c>
      <c r="AB38" s="494"/>
      <c r="AC38" s="99">
        <f>AC33+1</f>
        <v>2</v>
      </c>
      <c r="AD38" s="95">
        <f>VLOOKUP(AC38,STN_TABLE_2,2,FALSE)</f>
        <v>0.25</v>
      </c>
      <c r="AE38" s="68">
        <f>VLOOKUP(AD38,STN_TABLE,2,FALSE)</f>
        <v>0.8</v>
      </c>
      <c r="AF38" s="68">
        <v>1</v>
      </c>
      <c r="AG38" s="69">
        <f>AE38*AF38</f>
        <v>0.8</v>
      </c>
      <c r="AH38" s="496" t="s">
        <v>97</v>
      </c>
      <c r="AI38" s="496"/>
      <c r="AJ38" s="496" t="s">
        <v>98</v>
      </c>
      <c r="AK38" s="496"/>
      <c r="AL38" s="494" t="s">
        <v>99</v>
      </c>
      <c r="AM38" s="494"/>
      <c r="AP38" s="86" t="s">
        <v>112</v>
      </c>
      <c r="AQ38" s="89" t="s">
        <v>113</v>
      </c>
      <c r="AR38" s="89" t="s">
        <v>114</v>
      </c>
      <c r="AS38" s="89" t="s">
        <v>115</v>
      </c>
    </row>
    <row r="39" spans="1:47" x14ac:dyDescent="0.25">
      <c r="A39" s="94">
        <f>A38+1</f>
        <v>3</v>
      </c>
      <c r="B39" s="94">
        <f>VLOOKUP(A39,STN_TABLE_2,2,FALSE)</f>
        <v>0.5</v>
      </c>
      <c r="C39" s="88">
        <f>B39</f>
        <v>0.5</v>
      </c>
      <c r="D39" s="82">
        <f>VLOOKUP(C39,STN_TABLE,2,FALSE)</f>
        <v>1.2</v>
      </c>
      <c r="E39" s="92">
        <v>1</v>
      </c>
      <c r="F39" s="82">
        <f>D39*E39</f>
        <v>1.2</v>
      </c>
      <c r="G39" s="83">
        <f>C39</f>
        <v>0.5</v>
      </c>
      <c r="H39" s="83">
        <f>F39*G39</f>
        <v>0.6</v>
      </c>
      <c r="I39" s="84" t="str">
        <f>CONCATENATE("a'(",C39,")=")</f>
        <v>a'(0.5)=</v>
      </c>
      <c r="J39" s="84">
        <f>2*J37/3*F40</f>
        <v>1.5</v>
      </c>
      <c r="K39" s="84" t="str">
        <f>CONCATENATE("A(",C37,")=")</f>
        <v>A(0)=</v>
      </c>
      <c r="L39" s="84">
        <f>VLOOKUP(C37,STN_TABLE,3,FALSE)</f>
        <v>0</v>
      </c>
      <c r="M39" t="str">
        <f>CONCATENATE("A(",C39,")=")</f>
        <v>A(0.5)=</v>
      </c>
      <c r="N39">
        <f>J39+L39</f>
        <v>1.5</v>
      </c>
      <c r="O39" s="99">
        <f>O38+1</f>
        <v>4</v>
      </c>
      <c r="P39" s="99">
        <f t="shared" si="10"/>
        <v>0.75</v>
      </c>
      <c r="Q39" s="82">
        <f>IF(P39-P38=P38-P37,P39,IF(P40-P38=P38-P37,P40,IF(P39-P38=P38-P36,P39,IF(P40-P38=P38-P36,P40,"-"))))</f>
        <v>0.75</v>
      </c>
      <c r="R39" s="83">
        <f>VLOOKUP(Q39,STN_TABLE,2,FALSE)</f>
        <v>1.43</v>
      </c>
      <c r="S39" s="83">
        <v>-1</v>
      </c>
      <c r="T39" s="82">
        <f>R39*S39</f>
        <v>-1.43</v>
      </c>
      <c r="U39" s="88">
        <v>-1</v>
      </c>
      <c r="V39" s="82">
        <f>R39*U39</f>
        <v>-1.43</v>
      </c>
      <c r="W39" s="84" t="str">
        <f>CONCATENATE("a'(",Q38,")=")</f>
        <v>a'(0.5)=</v>
      </c>
      <c r="X39" s="84">
        <f>2*X37/12*T40</f>
        <v>1.0141666666666667</v>
      </c>
      <c r="Y39" s="84" t="str">
        <f>CONCATENATE("A(",Q37,")=")</f>
        <v>A(0.25)=</v>
      </c>
      <c r="Z39" s="84">
        <f>VLOOKUP(Q37,STN_TABLE,3,FALSE)</f>
        <v>0.47499999999999998</v>
      </c>
      <c r="AA39" t="str">
        <f>CONCATENATE("A(",Q38,")=")</f>
        <v>A(0.5)=</v>
      </c>
      <c r="AB39">
        <f>X39+Z39</f>
        <v>1.4891666666666667</v>
      </c>
      <c r="AC39" s="99">
        <f>AC38+1</f>
        <v>3</v>
      </c>
      <c r="AD39" s="100">
        <f>VLOOKUP(AC39,STN_TABLE_2,2,FALSE)</f>
        <v>0.5</v>
      </c>
      <c r="AE39" s="82">
        <f>VLOOKUP(AD39,STN_TABLE,2,FALSE)</f>
        <v>1.2</v>
      </c>
      <c r="AF39" s="82">
        <v>2</v>
      </c>
      <c r="AG39" s="83">
        <f>AE39*AF39</f>
        <v>2.4</v>
      </c>
      <c r="AH39" s="84" t="str">
        <f>CONCATENATE("a'(",AD39,")=")</f>
        <v>a'(0.5)=</v>
      </c>
      <c r="AI39" s="84">
        <f>2*AI37/2*AE40</f>
        <v>1</v>
      </c>
      <c r="AJ39" s="84" t="str">
        <f>CONCATENATE("A(",AD38,")=")</f>
        <v>A(0.25)=</v>
      </c>
      <c r="AK39" s="84">
        <f>VLOOKUP(AD38,STN_TABLE,3,FALSE)</f>
        <v>0.47499999999999998</v>
      </c>
      <c r="AL39" t="str">
        <f>CONCATENATE("A(",AD39,")=")</f>
        <v>A(0.5)=</v>
      </c>
      <c r="AM39">
        <f>AI39+AK39</f>
        <v>1.4750000000000001</v>
      </c>
      <c r="AO39" s="68" t="str">
        <f>AA39</f>
        <v>A(0.5)=</v>
      </c>
      <c r="AP39" s="68" t="e">
        <f>VLOOKUP(AO39,Rise_Results,2,FALSE)</f>
        <v>#N/A</v>
      </c>
      <c r="AQ39" s="76">
        <f>N39</f>
        <v>1.5</v>
      </c>
      <c r="AR39" s="76">
        <f>IF(OR(AB39&lt;=0,AB40&lt;=0),1/0,AB39)</f>
        <v>1.4891666666666667</v>
      </c>
      <c r="AS39" s="76">
        <f>AM39</f>
        <v>1.4750000000000001</v>
      </c>
      <c r="AT39">
        <f>IFERROR(AP39,IFERROR(AQ39,IFERROR(AR39,AS39)))</f>
        <v>1.5</v>
      </c>
    </row>
    <row r="40" spans="1:47" x14ac:dyDescent="0.25">
      <c r="A40">
        <v>4</v>
      </c>
      <c r="F40" s="82">
        <f>SUM(F37:F39)</f>
        <v>4.5</v>
      </c>
      <c r="H40" s="82">
        <f>SUM(H37:H39)</f>
        <v>1.4</v>
      </c>
      <c r="I40" s="84" t="str">
        <f>CONCATENATE("m'(",C39,")=")</f>
        <v>m'(0.5)=</v>
      </c>
      <c r="J40" s="84">
        <f>2*(J37*(WLS))/3*H40</f>
        <v>0.93333333333333324</v>
      </c>
      <c r="K40" s="84" t="str">
        <f>CONCATENATE("M(",C37,")=")</f>
        <v>M(0)=</v>
      </c>
      <c r="L40" s="84">
        <f>VLOOKUP(C37,STN_TABLE,4,FALSE)</f>
        <v>0</v>
      </c>
      <c r="M40" t="str">
        <f>CONCATENATE("M(",C39,")=")</f>
        <v>M(0.5)=</v>
      </c>
      <c r="N40">
        <f>J40+L40</f>
        <v>0.93333333333333324</v>
      </c>
      <c r="O40" s="99">
        <f>O39+1</f>
        <v>5</v>
      </c>
      <c r="P40" s="99">
        <f t="shared" si="10"/>
        <v>1</v>
      </c>
      <c r="T40" s="89">
        <f>SUM(T37:T39)</f>
        <v>12.17</v>
      </c>
      <c r="V40" s="82">
        <f>SUM(V37:V39)</f>
        <v>12.97</v>
      </c>
      <c r="W40" s="84" t="str">
        <f>CONCATENATE("m'(",Q38,")=")</f>
        <v>m'(0.5)=</v>
      </c>
      <c r="X40" s="84">
        <f>(2*(X37^2)/24*V40)+(X39*Q37*WLS)</f>
        <v>0.77729166666666671</v>
      </c>
      <c r="Y40" s="84" t="str">
        <f>CONCATENATE("M(",Q37,")=")</f>
        <v>M(0.25)=</v>
      </c>
      <c r="Z40" s="84">
        <f>VLOOKUP(Q37,STN_TABLE,4,FALSE)</f>
        <v>0.14791666666666667</v>
      </c>
      <c r="AA40" t="str">
        <f>CONCATENATE("M(",Q38,")=")</f>
        <v>M(0.5)=</v>
      </c>
      <c r="AB40">
        <f>X40+Z40</f>
        <v>0.92520833333333341</v>
      </c>
      <c r="AE40" s="89">
        <f>SUM(AE38:AE39)</f>
        <v>2</v>
      </c>
      <c r="AG40" s="89">
        <f>SUM(AG38:AG39)</f>
        <v>3.2</v>
      </c>
      <c r="AH40" s="84" t="str">
        <f>CONCATENATE("m'(",AD39,")=")</f>
        <v>m'(0.5)=</v>
      </c>
      <c r="AI40" s="84">
        <f>(2*(AI37^2)/6*AG40)+(AI39*AD38*WLS)</f>
        <v>0.76666666666666661</v>
      </c>
      <c r="AJ40" s="84" t="str">
        <f>CONCATENATE("M(",AD38,")=")</f>
        <v>M(0.25)=</v>
      </c>
      <c r="AK40" s="84">
        <f>VLOOKUP(AD38,STN_TABLE,4,FALSE)</f>
        <v>0.14791666666666667</v>
      </c>
      <c r="AL40" t="str">
        <f>CONCATENATE("M(",AD39,")=")</f>
        <v>M(0.5)=</v>
      </c>
      <c r="AM40">
        <f>AI40+AK40</f>
        <v>0.9145833333333333</v>
      </c>
      <c r="AO40" s="82" t="str">
        <f>AA40</f>
        <v>M(0.5)=</v>
      </c>
      <c r="AP40" s="82" t="e">
        <f>VLOOKUP(AO40,Rise_Results,2,FALSE)</f>
        <v>#N/A</v>
      </c>
      <c r="AQ40" s="82">
        <f>N40</f>
        <v>0.93333333333333324</v>
      </c>
      <c r="AR40" s="82">
        <f>IF(OR(AB39&lt;=0,AB40&lt;=0),1/0,AB40)</f>
        <v>0.92520833333333341</v>
      </c>
      <c r="AS40" s="82">
        <f>AM40</f>
        <v>0.9145833333333333</v>
      </c>
      <c r="AT40">
        <f>IFERROR(AP40,IFERROR(AQ40,IFERROR(AR40,AS40)))</f>
        <v>0.93333333333333324</v>
      </c>
    </row>
    <row r="41" spans="1:47" x14ac:dyDescent="0.25">
      <c r="A41" s="94">
        <v>0</v>
      </c>
      <c r="O41" s="101">
        <f>O36+1</f>
        <v>2</v>
      </c>
      <c r="P41" s="101">
        <f t="shared" si="10"/>
        <v>0.25</v>
      </c>
    </row>
    <row r="42" spans="1:47" x14ac:dyDescent="0.25">
      <c r="A42" s="94">
        <f>A41+1</f>
        <v>1</v>
      </c>
      <c r="B42" s="94">
        <f t="shared" ref="B42:B73" si="11">VLOOKUP(A42,STN_TABLE_2,2,FALSE)</f>
        <v>0</v>
      </c>
      <c r="C42" s="79">
        <f>IF(C43=B43,B42,IF(C43=B44,IF(C44-C43=C43-B43,B43,IF(C44-C43=C43-B42,B42,"NA"))))</f>
        <v>0.25</v>
      </c>
      <c r="D42" s="68">
        <f>VLOOKUP(C42,STN_TABLE,2,FALSE)</f>
        <v>0.8</v>
      </c>
      <c r="E42" s="102">
        <v>1</v>
      </c>
      <c r="F42" s="68">
        <f>D42*E42</f>
        <v>0.8</v>
      </c>
      <c r="G42" s="69">
        <f>C42</f>
        <v>0.25</v>
      </c>
      <c r="H42" s="69">
        <f>F42*G42</f>
        <v>0.2</v>
      </c>
      <c r="I42" s="6" t="s">
        <v>93</v>
      </c>
      <c r="J42" s="70">
        <f>IF(OR(D42=0,D43=0,D44=0),"#NA",IF(AND(C44-C43=C43-C42,C43&lt;&gt;C44,C42&lt;&gt;C43,C42&lt;&gt;C44,D44&lt;&gt;0,OR(D42&lt;&gt;0,D43&lt;&gt;0)),WLS*(C44-C43),"#NA"))</f>
        <v>0.5</v>
      </c>
      <c r="O42" s="99">
        <f>O41+1</f>
        <v>3</v>
      </c>
      <c r="P42" s="99">
        <f t="shared" si="10"/>
        <v>0.5</v>
      </c>
      <c r="Q42" s="68">
        <f>IF(OR(P44-P43=P43-P42,P45-P43=P43-P42),P42,IF(OR(P44-P43=P43-P41,P45-P43=P43-P41),P41,"-"))</f>
        <v>0.5</v>
      </c>
      <c r="R42" s="69">
        <f>VLOOKUP(Q42,STN_TABLE,2,FALSE)</f>
        <v>1.2</v>
      </c>
      <c r="S42" s="69">
        <v>5</v>
      </c>
      <c r="T42" s="68">
        <f>R42*S42</f>
        <v>6</v>
      </c>
      <c r="U42" s="79">
        <v>3</v>
      </c>
      <c r="V42" s="68">
        <f>R42*U42</f>
        <v>3.5999999999999996</v>
      </c>
      <c r="W42" s="6" t="s">
        <v>93</v>
      </c>
      <c r="X42" s="70">
        <f>IF(AND(Q44-Q43=Q43-Q42,NOT(AND(Q42=0,Q43=0)),NOT(AND(Q43=0,Q44=0))),WLS*(Q44-Q43),"#NA")</f>
        <v>0.5</v>
      </c>
      <c r="AD42" s="93"/>
      <c r="AH42" s="6" t="s">
        <v>93</v>
      </c>
      <c r="AI42" s="70">
        <f>WLS*(AD44-AD43)</f>
        <v>0.5</v>
      </c>
      <c r="AU42" s="81"/>
    </row>
    <row r="43" spans="1:47" x14ac:dyDescent="0.25">
      <c r="A43" s="94">
        <f>A42+1</f>
        <v>2</v>
      </c>
      <c r="B43" s="94">
        <f t="shared" si="11"/>
        <v>0.25</v>
      </c>
      <c r="C43" s="80">
        <f>IF(OR(B45-B44=B44-B43,B45-B44=B44-B42,),B44,IF(B45-B43=B43-B42,B43,"#NA"))</f>
        <v>0.5</v>
      </c>
      <c r="D43" s="76">
        <f>VLOOKUP(C43,STN_TABLE,2,FALSE)</f>
        <v>1.2</v>
      </c>
      <c r="E43" s="81">
        <v>4</v>
      </c>
      <c r="F43" s="76">
        <f>D43*E43</f>
        <v>4.8</v>
      </c>
      <c r="G43" s="77">
        <f>C43</f>
        <v>0.5</v>
      </c>
      <c r="H43" s="77">
        <f>F43*G43</f>
        <v>2.4</v>
      </c>
      <c r="I43" s="496" t="s">
        <v>97</v>
      </c>
      <c r="J43" s="496"/>
      <c r="K43" s="78" t="s">
        <v>98</v>
      </c>
      <c r="L43" s="78"/>
      <c r="M43" s="7" t="s">
        <v>99</v>
      </c>
      <c r="N43" s="7"/>
      <c r="O43" s="99">
        <f>O42+1</f>
        <v>4</v>
      </c>
      <c r="P43" s="99">
        <f t="shared" si="10"/>
        <v>0.75</v>
      </c>
      <c r="Q43" s="76">
        <f>P43</f>
        <v>0.75</v>
      </c>
      <c r="R43" s="77">
        <f>VLOOKUP(Q43,STN_TABLE,2,FALSE)</f>
        <v>1.43</v>
      </c>
      <c r="S43" s="77">
        <v>8</v>
      </c>
      <c r="T43" s="76">
        <f>R43*S43</f>
        <v>11.44</v>
      </c>
      <c r="U43" s="80">
        <v>10</v>
      </c>
      <c r="V43" s="76">
        <f>R43*U43</f>
        <v>14.299999999999999</v>
      </c>
      <c r="W43" s="496" t="s">
        <v>97</v>
      </c>
      <c r="X43" s="496"/>
      <c r="Y43" s="496" t="s">
        <v>98</v>
      </c>
      <c r="Z43" s="496"/>
      <c r="AA43" s="494" t="s">
        <v>99</v>
      </c>
      <c r="AB43" s="494"/>
      <c r="AC43" s="99">
        <f>AC38+1</f>
        <v>3</v>
      </c>
      <c r="AD43" s="95">
        <f>VLOOKUP(AC43,STN_TABLE_2,2,FALSE)</f>
        <v>0.5</v>
      </c>
      <c r="AE43" s="68">
        <f>VLOOKUP(AD43,STN_TABLE,2,FALSE)</f>
        <v>1.2</v>
      </c>
      <c r="AF43" s="68">
        <v>1</v>
      </c>
      <c r="AG43" s="69">
        <f>AE43*AF43</f>
        <v>1.2</v>
      </c>
      <c r="AH43" s="496" t="s">
        <v>97</v>
      </c>
      <c r="AI43" s="496"/>
      <c r="AJ43" s="496" t="s">
        <v>98</v>
      </c>
      <c r="AK43" s="496"/>
      <c r="AL43" s="494" t="s">
        <v>99</v>
      </c>
      <c r="AM43" s="494"/>
      <c r="AP43" s="86" t="s">
        <v>112</v>
      </c>
      <c r="AQ43" s="89" t="s">
        <v>113</v>
      </c>
      <c r="AR43" s="89" t="s">
        <v>114</v>
      </c>
      <c r="AS43" s="89" t="s">
        <v>115</v>
      </c>
      <c r="AU43" s="81"/>
    </row>
    <row r="44" spans="1:47" x14ac:dyDescent="0.25">
      <c r="A44" s="94">
        <f>A43+1</f>
        <v>3</v>
      </c>
      <c r="B44" s="94">
        <f t="shared" si="11"/>
        <v>0.5</v>
      </c>
      <c r="C44" s="88">
        <f>B45</f>
        <v>0.75</v>
      </c>
      <c r="D44" s="82">
        <f>VLOOKUP(C44,STN_TABLE,2,FALSE)</f>
        <v>1.43</v>
      </c>
      <c r="E44" s="92">
        <v>1</v>
      </c>
      <c r="F44" s="82">
        <f>D44*E44</f>
        <v>1.43</v>
      </c>
      <c r="G44" s="83">
        <f>C44</f>
        <v>0.75</v>
      </c>
      <c r="H44" s="83">
        <f>F44*G44</f>
        <v>1.0725</v>
      </c>
      <c r="I44" s="84" t="str">
        <f>CONCATENATE("a'(",C44,")=")</f>
        <v>a'(0.75)=</v>
      </c>
      <c r="J44" s="84">
        <f>2*J42/3*F45</f>
        <v>2.3433333333333328</v>
      </c>
      <c r="K44" s="84" t="str">
        <f>CONCATENATE("A(",C42,")=")</f>
        <v>A(0.25)=</v>
      </c>
      <c r="L44" s="84">
        <f>VLOOKUP(C42,STN_TABLE,3,FALSE)</f>
        <v>0.47499999999999998</v>
      </c>
      <c r="M44" t="str">
        <f>CONCATENATE("A(",C44,")=")</f>
        <v>A(0.75)=</v>
      </c>
      <c r="N44">
        <f>J44+L44</f>
        <v>2.8183333333333329</v>
      </c>
      <c r="O44" s="99">
        <f>O43+1</f>
        <v>5</v>
      </c>
      <c r="P44" s="99">
        <f t="shared" si="10"/>
        <v>1</v>
      </c>
      <c r="Q44" s="82">
        <f>IF(P44-P43=P43-P42,P44,IF(P45-P43=P43-P42,P45,IF(P44-P43=P43-P41,P44,IF(P45-P43=P43-P41,P45,"-"))))</f>
        <v>1</v>
      </c>
      <c r="R44" s="83">
        <f>VLOOKUP(Q44,STN_TABLE,2,FALSE)</f>
        <v>1.53</v>
      </c>
      <c r="S44" s="83">
        <v>-1</v>
      </c>
      <c r="T44" s="82">
        <f>R44*S44</f>
        <v>-1.53</v>
      </c>
      <c r="U44" s="88">
        <v>-1</v>
      </c>
      <c r="V44" s="82">
        <f>R44*U44</f>
        <v>-1.53</v>
      </c>
      <c r="W44" s="84" t="str">
        <f>CONCATENATE("a'(",Q43,")=")</f>
        <v>a'(0.75)=</v>
      </c>
      <c r="X44" s="84">
        <f>2*X42/12*T45</f>
        <v>1.3258333333333332</v>
      </c>
      <c r="Y44" s="84" t="str">
        <f>CONCATENATE("A(",Q42,")=")</f>
        <v>A(0.5)=</v>
      </c>
      <c r="Z44" s="84">
        <f>VLOOKUP(Q42,STN_TABLE,3,FALSE)</f>
        <v>1.5</v>
      </c>
      <c r="AA44" t="str">
        <f>CONCATENATE("A(",Q43,")=")</f>
        <v>A(0.75)=</v>
      </c>
      <c r="AB44">
        <f>X44+Z44</f>
        <v>2.8258333333333332</v>
      </c>
      <c r="AC44" s="99">
        <f>AC43+1</f>
        <v>4</v>
      </c>
      <c r="AD44" s="100">
        <f>VLOOKUP(AC44,STN_TABLE_2,2,FALSE)</f>
        <v>0.75</v>
      </c>
      <c r="AE44" s="82">
        <f>VLOOKUP(AD44,STN_TABLE,2,FALSE)</f>
        <v>1.43</v>
      </c>
      <c r="AF44" s="82">
        <v>2</v>
      </c>
      <c r="AG44" s="83">
        <f>AE44*AF44</f>
        <v>2.86</v>
      </c>
      <c r="AH44" s="84" t="str">
        <f>CONCATENATE("a'(",AD44,")=")</f>
        <v>a'(0.75)=</v>
      </c>
      <c r="AI44" s="84">
        <f>2*AI42/2*AE45</f>
        <v>1.3149999999999999</v>
      </c>
      <c r="AJ44" s="84" t="str">
        <f>CONCATENATE("A(",AD43,")=")</f>
        <v>A(0.5)=</v>
      </c>
      <c r="AK44" s="84">
        <f>VLOOKUP(AD43,STN_TABLE,3,FALSE)</f>
        <v>1.5</v>
      </c>
      <c r="AL44" t="str">
        <f>CONCATENATE("A(",AD44,")=")</f>
        <v>A(0.75)=</v>
      </c>
      <c r="AM44">
        <f>AI44+AK44</f>
        <v>2.8149999999999999</v>
      </c>
      <c r="AO44" s="68" t="str">
        <f>AA44</f>
        <v>A(0.75)=</v>
      </c>
      <c r="AP44" s="68" t="e">
        <f>VLOOKUP(AO44,Rise_Results,2,FALSE)</f>
        <v>#N/A</v>
      </c>
      <c r="AQ44" s="76">
        <f>N44</f>
        <v>2.8183333333333329</v>
      </c>
      <c r="AR44" s="76">
        <f>IF(OR(AB44&lt;=0,AB45&lt;=0),1/0,AB44)</f>
        <v>2.8258333333333332</v>
      </c>
      <c r="AS44" s="76">
        <f>AM44</f>
        <v>2.8149999999999999</v>
      </c>
      <c r="AT44">
        <f>IFERROR(AP44,IFERROR(AQ44,IFERROR(AR44,AS44)))</f>
        <v>2.8183333333333329</v>
      </c>
      <c r="AU44" s="81"/>
    </row>
    <row r="45" spans="1:47" x14ac:dyDescent="0.25">
      <c r="A45" s="94">
        <f>A44+1</f>
        <v>4</v>
      </c>
      <c r="B45" s="94">
        <f t="shared" si="11"/>
        <v>0.75</v>
      </c>
      <c r="F45" s="82">
        <f>SUM(F42:F44)</f>
        <v>7.0299999999999994</v>
      </c>
      <c r="H45" s="82">
        <f>SUM(H42:H44)</f>
        <v>3.6725000000000003</v>
      </c>
      <c r="I45" s="84" t="str">
        <f>CONCATENATE("m'(",C44,")=")</f>
        <v>m'(0.75)=</v>
      </c>
      <c r="J45" s="84">
        <f>2*(J42*(WLS))/3*H45</f>
        <v>2.4483333333333333</v>
      </c>
      <c r="K45" s="84" t="str">
        <f>CONCATENATE("M(",C42,")=")</f>
        <v>M(0.25)=</v>
      </c>
      <c r="L45" s="84">
        <f>VLOOKUP(C42,STN_TABLE,4,FALSE)</f>
        <v>0.14791666666666667</v>
      </c>
      <c r="M45" t="str">
        <f>CONCATENATE("M(",C44,")=")</f>
        <v>M(0.75)=</v>
      </c>
      <c r="N45">
        <f>J45+L45</f>
        <v>2.5962499999999999</v>
      </c>
      <c r="O45" s="99">
        <f>O44+1</f>
        <v>6</v>
      </c>
      <c r="P45" s="99">
        <f t="shared" si="10"/>
        <v>2</v>
      </c>
      <c r="T45" s="89">
        <f>SUM(T42:T44)</f>
        <v>15.909999999999998</v>
      </c>
      <c r="V45" s="82">
        <f>SUM(V42:V44)</f>
        <v>16.369999999999997</v>
      </c>
      <c r="W45" s="84" t="str">
        <f>CONCATENATE("m'(",Q43,")=")</f>
        <v>m'(0.75)=</v>
      </c>
      <c r="X45" s="84">
        <f>(2*(X42^2)/24*V45)+(X44*Q42*WLS)</f>
        <v>1.6668749999999997</v>
      </c>
      <c r="Y45" s="84" t="str">
        <f>CONCATENATE("M(",Q42,")=")</f>
        <v>M(0.5)=</v>
      </c>
      <c r="Z45" s="84">
        <f>VLOOKUP(Q42,STN_TABLE,4,FALSE)</f>
        <v>0.93333333333333324</v>
      </c>
      <c r="AA45" t="str">
        <f>CONCATENATE("M(",Q43,")=")</f>
        <v>M(0.75)=</v>
      </c>
      <c r="AB45">
        <f>X45+Z45</f>
        <v>2.6002083333333328</v>
      </c>
      <c r="AE45" s="89">
        <f>SUM(AE43:AE44)</f>
        <v>2.63</v>
      </c>
      <c r="AG45" s="89">
        <f>SUM(AG43:AG44)</f>
        <v>4.0599999999999996</v>
      </c>
      <c r="AH45" s="84" t="str">
        <f>CONCATENATE("m'(",AD44,")=")</f>
        <v>m'(0.75)=</v>
      </c>
      <c r="AI45" s="84">
        <f>(2*(AI42^2)/6*AG45)+(AI44*AD43*WLS)</f>
        <v>1.6533333333333333</v>
      </c>
      <c r="AJ45" s="84" t="str">
        <f>CONCATENATE("M(",AD43,")=")</f>
        <v>M(0.5)=</v>
      </c>
      <c r="AK45" s="84">
        <f>VLOOKUP(AD43,STN_TABLE,4,FALSE)</f>
        <v>0.93333333333333324</v>
      </c>
      <c r="AL45" t="str">
        <f>CONCATENATE("M(",AD44,")=")</f>
        <v>M(0.75)=</v>
      </c>
      <c r="AM45">
        <f>AI45+AK45</f>
        <v>2.5866666666666664</v>
      </c>
      <c r="AO45" s="82" t="str">
        <f>AA45</f>
        <v>M(0.75)=</v>
      </c>
      <c r="AP45" s="82" t="e">
        <f>VLOOKUP(AO45,Rise_Results,2,FALSE)</f>
        <v>#N/A</v>
      </c>
      <c r="AQ45" s="82">
        <f>N45</f>
        <v>2.5962499999999999</v>
      </c>
      <c r="AR45" s="82">
        <f>IF(OR(AB44&lt;=0,AB45&lt;=0),1/0,AB45)</f>
        <v>2.6002083333333328</v>
      </c>
      <c r="AS45" s="82">
        <f>AM45</f>
        <v>2.5866666666666664</v>
      </c>
      <c r="AT45">
        <f>IFERROR(AP45,IFERROR(AQ45,IFERROR(AR45,AS45)))</f>
        <v>2.5962499999999999</v>
      </c>
      <c r="AU45" s="81"/>
    </row>
    <row r="46" spans="1:47" x14ac:dyDescent="0.25">
      <c r="A46" s="101">
        <f>A41+1</f>
        <v>1</v>
      </c>
      <c r="B46" s="101">
        <f t="shared" si="11"/>
        <v>0</v>
      </c>
      <c r="O46" s="101">
        <f>O41+1</f>
        <v>3</v>
      </c>
      <c r="P46" s="101">
        <f t="shared" si="10"/>
        <v>0.5</v>
      </c>
      <c r="AU46" s="81"/>
    </row>
    <row r="47" spans="1:47" x14ac:dyDescent="0.25">
      <c r="A47" s="84">
        <f>A46+1</f>
        <v>2</v>
      </c>
      <c r="B47" s="84">
        <f t="shared" si="11"/>
        <v>0.25</v>
      </c>
      <c r="C47" s="79">
        <f>IF(C48=B49,IF(C49-C48=C48-B48,B48,IF(C49-C48=C48-B47,B47,"#NA")),IF(C48=B48,IF(C49-C48=C48-B47,B47,IF(C49-C48=C48-B46,B46,"#NA")),"#NA"))</f>
        <v>0.5</v>
      </c>
      <c r="D47" s="68">
        <f>VLOOKUP(C47,STN_TABLE,2,FALSE)</f>
        <v>1.2</v>
      </c>
      <c r="E47" s="102">
        <v>1</v>
      </c>
      <c r="F47" s="68">
        <f>D47*E47</f>
        <v>1.2</v>
      </c>
      <c r="G47" s="69">
        <f>C47</f>
        <v>0.5</v>
      </c>
      <c r="H47" s="69">
        <f>F47*G47</f>
        <v>0.6</v>
      </c>
      <c r="I47" s="6" t="s">
        <v>93</v>
      </c>
      <c r="J47" s="70">
        <f>IF(OR(D47=0,D48=0,D49=0),"#NA",IF(AND(C49-C48=C48-C47,C48&lt;&gt;C49,C47&lt;&gt;C48,C47&lt;&gt;C49,D49&lt;&gt;0,OR(D47&lt;&gt;0,D48&lt;&gt;0)),WLS*(C49-C48),"#NA"))</f>
        <v>0.5</v>
      </c>
      <c r="O47" s="99">
        <f>O46+1</f>
        <v>4</v>
      </c>
      <c r="P47" s="99">
        <f t="shared" si="10"/>
        <v>0.75</v>
      </c>
      <c r="Q47" s="68" t="str">
        <f>IF(OR(P49-P48=P48-P47,P50-P48=P48-P47),P47,IF(OR(P49-P48=P48-P46,P50-P48=P48-P46),P46,"-"))</f>
        <v>-</v>
      </c>
      <c r="R47" s="69" t="e">
        <f>VLOOKUP(Q47,STN_TABLE,2,FALSE)</f>
        <v>#N/A</v>
      </c>
      <c r="S47" s="69">
        <v>5</v>
      </c>
      <c r="T47" s="68" t="e">
        <f>R47*S47</f>
        <v>#N/A</v>
      </c>
      <c r="U47" s="79">
        <v>3</v>
      </c>
      <c r="V47" s="68" t="e">
        <f>R47*U47</f>
        <v>#N/A</v>
      </c>
      <c r="W47" s="6" t="s">
        <v>93</v>
      </c>
      <c r="X47" s="70" t="e">
        <f>IF(AND(Q49-Q48=Q48-Q47,NOT(AND(Q47=0,Q48=0)),NOT(AND(Q48=0,Q49=0))),WLS*(Q49-Q48),"#NA")</f>
        <v>#VALUE!</v>
      </c>
      <c r="AD47" s="93"/>
      <c r="AH47" s="6" t="s">
        <v>93</v>
      </c>
      <c r="AI47" s="70">
        <f>WLS*(AD49-AD48)</f>
        <v>0.5</v>
      </c>
      <c r="AU47" s="81"/>
    </row>
    <row r="48" spans="1:47" x14ac:dyDescent="0.25">
      <c r="A48" s="84">
        <f>A47+1</f>
        <v>3</v>
      </c>
      <c r="B48" s="84">
        <f t="shared" si="11"/>
        <v>0.5</v>
      </c>
      <c r="C48" s="80">
        <f>IF(OR(B50-B49=B49-B48,B50-B49=B49-B47,B50-B49=B49-B46),B49,IF(OR(B50-B48=B48-B47,B50-B48=B48-B46),B48,IF(B50-B47=B47-B46,B47,"#NA")))</f>
        <v>0.75</v>
      </c>
      <c r="D48" s="76">
        <f>VLOOKUP(C48,STN_TABLE,2,FALSE)</f>
        <v>1.43</v>
      </c>
      <c r="E48" s="81">
        <v>4</v>
      </c>
      <c r="F48" s="76">
        <f>D48*E48</f>
        <v>5.72</v>
      </c>
      <c r="G48" s="77">
        <f>C48</f>
        <v>0.75</v>
      </c>
      <c r="H48" s="77">
        <f>F48*G48</f>
        <v>4.29</v>
      </c>
      <c r="I48" s="496" t="s">
        <v>97</v>
      </c>
      <c r="J48" s="496"/>
      <c r="K48" s="78" t="s">
        <v>98</v>
      </c>
      <c r="L48" s="78"/>
      <c r="M48" s="7" t="s">
        <v>99</v>
      </c>
      <c r="N48" s="7"/>
      <c r="O48" s="99">
        <f>O47+1</f>
        <v>5</v>
      </c>
      <c r="P48" s="99">
        <f t="shared" si="10"/>
        <v>1</v>
      </c>
      <c r="Q48" s="76">
        <f>P48</f>
        <v>1</v>
      </c>
      <c r="R48" s="77">
        <f>VLOOKUP(Q48,STN_TABLE,2,FALSE)</f>
        <v>1.53</v>
      </c>
      <c r="S48" s="77">
        <v>8</v>
      </c>
      <c r="T48" s="76">
        <f>R48*S48</f>
        <v>12.24</v>
      </c>
      <c r="U48" s="80">
        <v>10</v>
      </c>
      <c r="V48" s="76">
        <f>R48*U48</f>
        <v>15.3</v>
      </c>
      <c r="W48" s="496" t="s">
        <v>97</v>
      </c>
      <c r="X48" s="496"/>
      <c r="Y48" s="496" t="s">
        <v>98</v>
      </c>
      <c r="Z48" s="496"/>
      <c r="AA48" s="494" t="s">
        <v>99</v>
      </c>
      <c r="AB48" s="494"/>
      <c r="AC48" s="99">
        <f>AC43+1</f>
        <v>4</v>
      </c>
      <c r="AD48" s="95">
        <f>VLOOKUP(AC48,STN_TABLE_2,2,FALSE)</f>
        <v>0.75</v>
      </c>
      <c r="AE48" s="68">
        <f>VLOOKUP(AD48,STN_TABLE,2,FALSE)</f>
        <v>1.43</v>
      </c>
      <c r="AF48" s="68">
        <v>1</v>
      </c>
      <c r="AG48" s="69">
        <f>AE48*AF48</f>
        <v>1.43</v>
      </c>
      <c r="AH48" s="496" t="s">
        <v>97</v>
      </c>
      <c r="AI48" s="496"/>
      <c r="AJ48" s="496" t="s">
        <v>98</v>
      </c>
      <c r="AK48" s="496"/>
      <c r="AL48" s="494" t="s">
        <v>99</v>
      </c>
      <c r="AM48" s="494"/>
      <c r="AP48" s="86" t="s">
        <v>112</v>
      </c>
      <c r="AQ48" s="89" t="s">
        <v>113</v>
      </c>
      <c r="AR48" s="89" t="s">
        <v>114</v>
      </c>
      <c r="AS48" s="89" t="s">
        <v>115</v>
      </c>
      <c r="AU48" s="81"/>
    </row>
    <row r="49" spans="1:47" x14ac:dyDescent="0.25">
      <c r="A49" s="84">
        <f>A48+1</f>
        <v>4</v>
      </c>
      <c r="B49" s="84">
        <f t="shared" si="11"/>
        <v>0.75</v>
      </c>
      <c r="C49" s="88">
        <f>B50</f>
        <v>1</v>
      </c>
      <c r="D49" s="82">
        <f>VLOOKUP(C49,STN_TABLE,2,FALSE)</f>
        <v>1.53</v>
      </c>
      <c r="E49" s="92">
        <v>1</v>
      </c>
      <c r="F49" s="82">
        <f>D49*E49</f>
        <v>1.53</v>
      </c>
      <c r="G49" s="83">
        <f>C49</f>
        <v>1</v>
      </c>
      <c r="H49" s="83">
        <f>F49*G49</f>
        <v>1.53</v>
      </c>
      <c r="I49" s="84" t="str">
        <f>CONCATENATE("a'(",C49,")=")</f>
        <v>a'(1)=</v>
      </c>
      <c r="J49" s="84">
        <f>2*J47/3*F50</f>
        <v>2.8166666666666664</v>
      </c>
      <c r="K49" s="84" t="str">
        <f>CONCATENATE("A(",C47,")=")</f>
        <v>A(0.5)=</v>
      </c>
      <c r="L49" s="84">
        <f>VLOOKUP(C47,STN_TABLE,3,FALSE)</f>
        <v>1.5</v>
      </c>
      <c r="M49" t="str">
        <f>CONCATENATE("A(",C49,")=")</f>
        <v>A(1)=</v>
      </c>
      <c r="N49">
        <f>J49+L49</f>
        <v>4.3166666666666664</v>
      </c>
      <c r="O49" s="99">
        <f>O48+1</f>
        <v>6</v>
      </c>
      <c r="P49" s="99">
        <f t="shared" si="10"/>
        <v>2</v>
      </c>
      <c r="Q49" s="82" t="str">
        <f>IF(P49-P48=P48-P47,P49,IF(P50-P48=P48-P47,P50,IF(P49-P48=P48-P46,P49,IF(P50-P48=P48-P46,P50,"-"))))</f>
        <v>-</v>
      </c>
      <c r="R49" s="83" t="e">
        <f>VLOOKUP(Q49,STN_TABLE,2,FALSE)</f>
        <v>#N/A</v>
      </c>
      <c r="S49" s="83">
        <v>-1</v>
      </c>
      <c r="T49" s="82" t="e">
        <f>R49*S49</f>
        <v>#N/A</v>
      </c>
      <c r="U49" s="88">
        <v>-1</v>
      </c>
      <c r="V49" s="82" t="e">
        <f>R49*U49</f>
        <v>#N/A</v>
      </c>
      <c r="W49" s="84" t="str">
        <f>CONCATENATE("a'(",Q48,")=")</f>
        <v>a'(1)=</v>
      </c>
      <c r="X49" s="84" t="e">
        <f>2*X47/12*T50</f>
        <v>#VALUE!</v>
      </c>
      <c r="Y49" s="84" t="str">
        <f>CONCATENATE("A(",Q47,")=")</f>
        <v>A(-)=</v>
      </c>
      <c r="Z49" s="84" t="e">
        <f>VLOOKUP(Q47,STN_TABLE,3,FALSE)</f>
        <v>#N/A</v>
      </c>
      <c r="AA49" t="str">
        <f>CONCATENATE("A(",Q48,")=")</f>
        <v>A(1)=</v>
      </c>
      <c r="AB49" t="e">
        <f>X49+Z49</f>
        <v>#VALUE!</v>
      </c>
      <c r="AC49" s="99">
        <f>AC48+1</f>
        <v>5</v>
      </c>
      <c r="AD49" s="100">
        <f>VLOOKUP(AC49,STN_TABLE_2,2,FALSE)</f>
        <v>1</v>
      </c>
      <c r="AE49" s="82">
        <f>VLOOKUP(AD49,STN_TABLE,2,FALSE)</f>
        <v>1.53</v>
      </c>
      <c r="AF49" s="82">
        <v>2</v>
      </c>
      <c r="AG49" s="83">
        <f>AE49*AF49</f>
        <v>3.06</v>
      </c>
      <c r="AH49" s="84" t="str">
        <f>CONCATENATE("a'(",AD49,")=")</f>
        <v>a'(1)=</v>
      </c>
      <c r="AI49" s="84">
        <f>2*AI47/2*AE50</f>
        <v>1.48</v>
      </c>
      <c r="AJ49" s="84" t="str">
        <f>CONCATENATE("A(",AD48,")=")</f>
        <v>A(0.75)=</v>
      </c>
      <c r="AK49" s="84">
        <f>VLOOKUP(AD48,STN_TABLE,3,FALSE)</f>
        <v>2.8183333333333329</v>
      </c>
      <c r="AL49" t="str">
        <f>CONCATENATE("A(",AD49,")=")</f>
        <v>A(1)=</v>
      </c>
      <c r="AM49">
        <f>AI49+AK49</f>
        <v>4.2983333333333329</v>
      </c>
      <c r="AO49" s="68" t="str">
        <f>AA49</f>
        <v>A(1)=</v>
      </c>
      <c r="AP49" s="68" t="e">
        <f>VLOOKUP(AO49,Rise_Results,2,FALSE)</f>
        <v>#N/A</v>
      </c>
      <c r="AQ49" s="76">
        <f>N49</f>
        <v>4.3166666666666664</v>
      </c>
      <c r="AR49" s="76" t="e">
        <f>IF(OR(AB49&lt;=0,AB50&lt;=0),1/0,AB49)</f>
        <v>#VALUE!</v>
      </c>
      <c r="AS49" s="76">
        <f>AM49</f>
        <v>4.2983333333333329</v>
      </c>
      <c r="AT49">
        <f>IFERROR(AP49,IFERROR(AQ49,IFERROR(AR49,AS49)))</f>
        <v>4.3166666666666664</v>
      </c>
      <c r="AU49" s="81"/>
    </row>
    <row r="50" spans="1:47" x14ac:dyDescent="0.25">
      <c r="A50" s="84">
        <f>A49+1</f>
        <v>5</v>
      </c>
      <c r="B50" s="84">
        <f t="shared" si="11"/>
        <v>1</v>
      </c>
      <c r="F50" s="82">
        <f>SUM(F47:F49)</f>
        <v>8.4499999999999993</v>
      </c>
      <c r="H50" s="82">
        <f>SUM(H47:H49)</f>
        <v>6.42</v>
      </c>
      <c r="I50" s="84" t="str">
        <f>CONCATENATE("m'(",C49,")=")</f>
        <v>m'(1)=</v>
      </c>
      <c r="J50" s="84">
        <f>2*(J47*(WLS))/3*H50</f>
        <v>4.2799999999999994</v>
      </c>
      <c r="K50" s="84" t="str">
        <f>CONCATENATE("M(",C47,")=")</f>
        <v>M(0.5)=</v>
      </c>
      <c r="L50" s="84">
        <f>VLOOKUP(C47,STN_TABLE,4,FALSE)</f>
        <v>0.93333333333333324</v>
      </c>
      <c r="M50" t="str">
        <f>CONCATENATE("M(",C49,")=")</f>
        <v>M(1)=</v>
      </c>
      <c r="N50">
        <f>J50+L50</f>
        <v>5.2133333333333329</v>
      </c>
      <c r="O50" s="99">
        <f>O49+1</f>
        <v>7</v>
      </c>
      <c r="P50" s="99">
        <f t="shared" si="10"/>
        <v>3</v>
      </c>
      <c r="T50" s="89" t="e">
        <f>SUM(T47:T49)</f>
        <v>#N/A</v>
      </c>
      <c r="V50" s="82" t="e">
        <f>SUM(V47:V49)</f>
        <v>#N/A</v>
      </c>
      <c r="W50" s="84" t="str">
        <f>CONCATENATE("m'(",Q48,")=")</f>
        <v>m'(1)=</v>
      </c>
      <c r="X50" s="84" t="e">
        <f>(2*(X47^2)/24*V50)+(X49*Q47*WLS)</f>
        <v>#VALUE!</v>
      </c>
      <c r="Y50" s="84" t="str">
        <f>CONCATENATE("M(",Q47,")=")</f>
        <v>M(-)=</v>
      </c>
      <c r="Z50" s="84" t="e">
        <f>VLOOKUP(Q47,STN_TABLE,4,FALSE)</f>
        <v>#N/A</v>
      </c>
      <c r="AA50" t="str">
        <f>CONCATENATE("M(",Q48,")=")</f>
        <v>M(1)=</v>
      </c>
      <c r="AB50" t="e">
        <f>X50+Z50</f>
        <v>#VALUE!</v>
      </c>
      <c r="AE50" s="89">
        <f>SUM(AE48:AE49)</f>
        <v>2.96</v>
      </c>
      <c r="AG50" s="89">
        <f>SUM(AG48:AG49)</f>
        <v>4.49</v>
      </c>
      <c r="AH50" s="84" t="str">
        <f>CONCATENATE("m'(",AD49,")=")</f>
        <v>m'(1)=</v>
      </c>
      <c r="AI50" s="84">
        <f>(2*(AI47^2)/6*AG50)+(AI49*AD48*WLS)</f>
        <v>2.5941666666666663</v>
      </c>
      <c r="AJ50" s="84" t="str">
        <f>CONCATENATE("M(",AD48,")=")</f>
        <v>M(0.75)=</v>
      </c>
      <c r="AK50" s="84">
        <f>VLOOKUP(AD48,STN_TABLE,4,FALSE)</f>
        <v>2.5962499999999999</v>
      </c>
      <c r="AL50" t="str">
        <f>CONCATENATE("M(",AD49,")=")</f>
        <v>M(1)=</v>
      </c>
      <c r="AM50">
        <f>AI50+AK50</f>
        <v>5.1904166666666658</v>
      </c>
      <c r="AO50" s="82" t="str">
        <f>AA50</f>
        <v>M(1)=</v>
      </c>
      <c r="AP50" s="82" t="e">
        <f>VLOOKUP(AO50,Rise_Results,2,FALSE)</f>
        <v>#N/A</v>
      </c>
      <c r="AQ50" s="82">
        <f>N50</f>
        <v>5.2133333333333329</v>
      </c>
      <c r="AR50" s="82" t="e">
        <f>IF(OR(AB49&lt;=0,AB50&lt;=0),1/0,AB50)</f>
        <v>#VALUE!</v>
      </c>
      <c r="AS50" s="82">
        <f>AM50</f>
        <v>5.1904166666666658</v>
      </c>
      <c r="AT50">
        <f>IFERROR(AP50,IFERROR(AQ50,IFERROR(AR50,AS50)))</f>
        <v>5.2133333333333329</v>
      </c>
      <c r="AU50" s="81"/>
    </row>
    <row r="51" spans="1:47" x14ac:dyDescent="0.25">
      <c r="A51" s="101">
        <f>A46+1</f>
        <v>2</v>
      </c>
      <c r="B51" s="101">
        <f t="shared" si="11"/>
        <v>0.25</v>
      </c>
      <c r="O51" s="101">
        <f>O46+1</f>
        <v>4</v>
      </c>
      <c r="P51" s="101">
        <f t="shared" si="10"/>
        <v>0.75</v>
      </c>
      <c r="AU51" s="81"/>
    </row>
    <row r="52" spans="1:47" x14ac:dyDescent="0.25">
      <c r="A52" s="84">
        <f>A51+1</f>
        <v>3</v>
      </c>
      <c r="B52" s="84">
        <f t="shared" si="11"/>
        <v>0.5</v>
      </c>
      <c r="C52" s="79" t="str">
        <f t="shared" ref="C52" si="12">IF(C53=B54,IF(C54-C53=C53-B53,B53,IF(C54-C53=C53-B52,B52,"#NA")),IF(C53=B53,IF(C54-C53=C53-B52,B52,IF(C54-C53=C53-B51,B51,"#NA")),"#NA"))</f>
        <v>#NA</v>
      </c>
      <c r="D52" s="68" t="e">
        <f>VLOOKUP(C52,STN_TABLE,2,FALSE)</f>
        <v>#N/A</v>
      </c>
      <c r="E52" s="102">
        <v>1</v>
      </c>
      <c r="F52" s="68" t="e">
        <f>D52*E52</f>
        <v>#N/A</v>
      </c>
      <c r="G52" s="69" t="str">
        <f>C52</f>
        <v>#NA</v>
      </c>
      <c r="H52" s="69" t="e">
        <f>F52*G52</f>
        <v>#N/A</v>
      </c>
      <c r="I52" s="6" t="s">
        <v>93</v>
      </c>
      <c r="J52" s="70" t="e">
        <f>IF(OR(D52=0,D53=0,D54=0),"#NA",IF(AND(C54-C53=C53-C52,C53&lt;&gt;C54,C52&lt;&gt;C53,C52&lt;&gt;C54,D54&lt;&gt;0,OR(D52&lt;&gt;0,D53&lt;&gt;0)),WLS*(C54-C53),"#NA"))</f>
        <v>#N/A</v>
      </c>
      <c r="O52" s="99">
        <f>O51+1</f>
        <v>5</v>
      </c>
      <c r="P52" s="99">
        <f t="shared" si="10"/>
        <v>1</v>
      </c>
      <c r="Q52" s="68">
        <f>IF(OR(P54-P53=P53-P52,P55-P53=P53-P52),P52,IF(OR(P54-P53=P53-P51,P55-P53=P53-P51),P51,"-"))</f>
        <v>1</v>
      </c>
      <c r="R52" s="69">
        <f>VLOOKUP(Q52,STN_TABLE,2,FALSE)</f>
        <v>1.53</v>
      </c>
      <c r="S52" s="69">
        <v>5</v>
      </c>
      <c r="T52" s="68">
        <f>R52*S52</f>
        <v>7.65</v>
      </c>
      <c r="U52" s="79">
        <v>3</v>
      </c>
      <c r="V52" s="68">
        <f>R52*U52</f>
        <v>4.59</v>
      </c>
      <c r="W52" s="6" t="s">
        <v>93</v>
      </c>
      <c r="X52" s="70">
        <f>IF(AND(Q54-Q53=Q53-Q52,NOT(AND(Q52=0,Q53=0)),NOT(AND(Q53=0,Q54=0))),WLS*(Q54-Q53),"#NA")</f>
        <v>2</v>
      </c>
      <c r="AD52" s="93"/>
      <c r="AH52" s="6" t="s">
        <v>93</v>
      </c>
      <c r="AI52" s="70">
        <f>WLS*(AD54-AD53)</f>
        <v>2</v>
      </c>
      <c r="AU52" s="81"/>
    </row>
    <row r="53" spans="1:47" x14ac:dyDescent="0.25">
      <c r="A53" s="84">
        <f>A52+1</f>
        <v>4</v>
      </c>
      <c r="B53" s="84">
        <f t="shared" si="11"/>
        <v>0.75</v>
      </c>
      <c r="C53" s="80" t="str">
        <f t="shared" ref="C53" si="13">IF(OR(B55-B54=B54-B53,B55-B54=B54-B52,B55-B54=B54-B51),B54,IF(OR(B55-B53=B53-B52,B55-B53=B53-B51),B53,IF(B55-B52=B52-B51,B52,"#NA")))</f>
        <v>#NA</v>
      </c>
      <c r="D53" s="76" t="e">
        <f>VLOOKUP(C53,STN_TABLE,2,FALSE)</f>
        <v>#N/A</v>
      </c>
      <c r="E53" s="81">
        <v>4</v>
      </c>
      <c r="F53" s="76" t="e">
        <f>D53*E53</f>
        <v>#N/A</v>
      </c>
      <c r="G53" s="77" t="str">
        <f>C53</f>
        <v>#NA</v>
      </c>
      <c r="H53" s="77" t="e">
        <f>F53*G53</f>
        <v>#N/A</v>
      </c>
      <c r="I53" s="495" t="s">
        <v>97</v>
      </c>
      <c r="J53" s="496"/>
      <c r="K53" s="78" t="s">
        <v>98</v>
      </c>
      <c r="L53" s="78"/>
      <c r="M53" s="7" t="s">
        <v>99</v>
      </c>
      <c r="N53" s="7"/>
      <c r="O53" s="99">
        <f>O52+1</f>
        <v>6</v>
      </c>
      <c r="P53" s="99">
        <f t="shared" si="10"/>
        <v>2</v>
      </c>
      <c r="Q53" s="76">
        <f>P53</f>
        <v>2</v>
      </c>
      <c r="R53" s="77">
        <f>VLOOKUP(Q53,STN_TABLE,2,FALSE)</f>
        <v>1.1200000000000001</v>
      </c>
      <c r="S53" s="77">
        <v>8</v>
      </c>
      <c r="T53" s="76">
        <f>R53*S53</f>
        <v>8.9600000000000009</v>
      </c>
      <c r="U53" s="80">
        <v>10</v>
      </c>
      <c r="V53" s="76">
        <f>R53*U53</f>
        <v>11.200000000000001</v>
      </c>
      <c r="W53" s="496" t="s">
        <v>97</v>
      </c>
      <c r="X53" s="496"/>
      <c r="Y53" s="496" t="s">
        <v>98</v>
      </c>
      <c r="Z53" s="496"/>
      <c r="AA53" s="494" t="s">
        <v>99</v>
      </c>
      <c r="AB53" s="494"/>
      <c r="AC53" s="99">
        <f>AC48+1</f>
        <v>5</v>
      </c>
      <c r="AD53" s="95">
        <f>VLOOKUP(AC53,STN_TABLE_2,2,FALSE)</f>
        <v>1</v>
      </c>
      <c r="AE53" s="68">
        <f>VLOOKUP(AD53,STN_TABLE,2,FALSE)</f>
        <v>1.53</v>
      </c>
      <c r="AF53" s="68">
        <v>1</v>
      </c>
      <c r="AG53" s="69">
        <f>AE53*AF53</f>
        <v>1.53</v>
      </c>
      <c r="AH53" s="496" t="s">
        <v>97</v>
      </c>
      <c r="AI53" s="496"/>
      <c r="AJ53" s="496" t="s">
        <v>98</v>
      </c>
      <c r="AK53" s="496"/>
      <c r="AL53" s="494" t="s">
        <v>99</v>
      </c>
      <c r="AM53" s="494"/>
      <c r="AP53" s="86" t="s">
        <v>112</v>
      </c>
      <c r="AQ53" s="89" t="s">
        <v>113</v>
      </c>
      <c r="AR53" s="89" t="s">
        <v>114</v>
      </c>
      <c r="AS53" s="89" t="s">
        <v>115</v>
      </c>
      <c r="AU53" s="81"/>
    </row>
    <row r="54" spans="1:47" x14ac:dyDescent="0.25">
      <c r="A54" s="84">
        <f>A53+1</f>
        <v>5</v>
      </c>
      <c r="B54" s="84">
        <f t="shared" si="11"/>
        <v>1</v>
      </c>
      <c r="C54" s="88">
        <f t="shared" ref="C54" si="14">B55</f>
        <v>2</v>
      </c>
      <c r="D54" s="82">
        <f>VLOOKUP(C54,STN_TABLE,2,FALSE)</f>
        <v>1.1200000000000001</v>
      </c>
      <c r="E54" s="92">
        <v>1</v>
      </c>
      <c r="F54" s="82">
        <f>D54*E54</f>
        <v>1.1200000000000001</v>
      </c>
      <c r="G54" s="83">
        <f>C54</f>
        <v>2</v>
      </c>
      <c r="H54" s="83">
        <f>F54*G54</f>
        <v>2.2400000000000002</v>
      </c>
      <c r="I54" s="84" t="str">
        <f>CONCATENATE("a'(",C54,")=")</f>
        <v>a'(2)=</v>
      </c>
      <c r="J54" s="84" t="e">
        <f>2*J52/3*F55</f>
        <v>#N/A</v>
      </c>
      <c r="K54" s="84" t="str">
        <f>CONCATENATE("A(",C52,")=")</f>
        <v>A(#NA)=</v>
      </c>
      <c r="L54" s="84" t="e">
        <f>VLOOKUP(C52,STN_TABLE,3,FALSE)</f>
        <v>#N/A</v>
      </c>
      <c r="M54" t="str">
        <f>CONCATENATE("A(",C54,")=")</f>
        <v>A(2)=</v>
      </c>
      <c r="N54" t="e">
        <f>J54+L54</f>
        <v>#N/A</v>
      </c>
      <c r="O54" s="99">
        <f>O53+1</f>
        <v>7</v>
      </c>
      <c r="P54" s="99">
        <f t="shared" si="10"/>
        <v>3</v>
      </c>
      <c r="Q54" s="82">
        <f>IF(P54-P53=P53-P52,P54,IF(P55-P53=P53-P52,P55,IF(P54-P53=P53-P51,P54,IF(P55-P53=P53-P51,P55,"-"))))</f>
        <v>3</v>
      </c>
      <c r="R54" s="83">
        <f>VLOOKUP(Q54,STN_TABLE,2,FALSE)</f>
        <v>0.5</v>
      </c>
      <c r="S54" s="83">
        <v>-1</v>
      </c>
      <c r="T54" s="82">
        <f>R54*S54</f>
        <v>-0.5</v>
      </c>
      <c r="U54" s="88">
        <v>-1</v>
      </c>
      <c r="V54" s="82">
        <f>R54*U54</f>
        <v>-0.5</v>
      </c>
      <c r="W54" s="84" t="str">
        <f>CONCATENATE("a'(",Q53,")=")</f>
        <v>a'(2)=</v>
      </c>
      <c r="X54" s="84">
        <f>2*X52/12*T55</f>
        <v>5.3699999999999992</v>
      </c>
      <c r="Y54" s="84" t="str">
        <f>CONCATENATE("A(",Q52,")=")</f>
        <v>A(1)=</v>
      </c>
      <c r="Z54" s="84">
        <f>VLOOKUP(Q52,STN_TABLE,3,FALSE)</f>
        <v>4.3166666666666664</v>
      </c>
      <c r="AA54" t="str">
        <f>CONCATENATE("A(",Q53,")=")</f>
        <v>A(2)=</v>
      </c>
      <c r="AB54">
        <f>X54+Z54</f>
        <v>9.6866666666666656</v>
      </c>
      <c r="AC54" s="99">
        <f>AC53+1</f>
        <v>6</v>
      </c>
      <c r="AD54" s="100">
        <f>VLOOKUP(AC54,STN_TABLE_2,2,FALSE)</f>
        <v>2</v>
      </c>
      <c r="AE54" s="82">
        <f>VLOOKUP(AD54,STN_TABLE,2,FALSE)</f>
        <v>1.1200000000000001</v>
      </c>
      <c r="AF54" s="82">
        <v>2</v>
      </c>
      <c r="AG54" s="83">
        <f>AE54*AF54</f>
        <v>2.2400000000000002</v>
      </c>
      <c r="AH54" s="84" t="str">
        <f>CONCATENATE("a'(",AD54,")=")</f>
        <v>a'(2)=</v>
      </c>
      <c r="AI54" s="84">
        <f>2*AI52/2*AE55</f>
        <v>5.3000000000000007</v>
      </c>
      <c r="AJ54" s="84" t="str">
        <f>CONCATENATE("A(",AD53,")=")</f>
        <v>A(1)=</v>
      </c>
      <c r="AK54" s="84">
        <f>VLOOKUP(AD53,STN_TABLE,3,FALSE)</f>
        <v>4.3166666666666664</v>
      </c>
      <c r="AL54" t="str">
        <f>CONCATENATE("A(",AD54,")=")</f>
        <v>A(2)=</v>
      </c>
      <c r="AM54">
        <f>AI54+AK54</f>
        <v>9.6166666666666671</v>
      </c>
      <c r="AO54" s="68" t="str">
        <f>AA54</f>
        <v>A(2)=</v>
      </c>
      <c r="AP54" s="68" t="e">
        <f>VLOOKUP(AO54,Rise_Results,2,FALSE)</f>
        <v>#N/A</v>
      </c>
      <c r="AQ54" s="76" t="e">
        <f>N54</f>
        <v>#N/A</v>
      </c>
      <c r="AR54" s="76">
        <f>IF(OR(AB54&lt;=0,AB55&lt;=0),1/0,AB54)</f>
        <v>9.6866666666666656</v>
      </c>
      <c r="AS54" s="76">
        <f>AM54</f>
        <v>9.6166666666666671</v>
      </c>
      <c r="AT54">
        <f>IFERROR(AP54,IFERROR(AQ54,IFERROR(AR54,AS54)))</f>
        <v>9.6866666666666656</v>
      </c>
      <c r="AU54" s="81"/>
    </row>
    <row r="55" spans="1:47" x14ac:dyDescent="0.25">
      <c r="A55" s="84">
        <f>A54+1</f>
        <v>6</v>
      </c>
      <c r="B55" s="84">
        <f t="shared" si="11"/>
        <v>2</v>
      </c>
      <c r="F55" s="82" t="e">
        <f>SUM(F52:F54)</f>
        <v>#N/A</v>
      </c>
      <c r="H55" s="82" t="e">
        <f>SUM(H52:H54)</f>
        <v>#N/A</v>
      </c>
      <c r="I55" s="84" t="str">
        <f>CONCATENATE("m'(",C54,")=")</f>
        <v>m'(2)=</v>
      </c>
      <c r="J55" s="84" t="e">
        <f>2*(J52*(WLS))/3*H55</f>
        <v>#N/A</v>
      </c>
      <c r="K55" s="84" t="str">
        <f>CONCATENATE("M(",C52,")=")</f>
        <v>M(#NA)=</v>
      </c>
      <c r="L55" s="84" t="e">
        <f>VLOOKUP(C52,STN_TABLE,4,FALSE)</f>
        <v>#N/A</v>
      </c>
      <c r="M55" t="str">
        <f>CONCATENATE("M(",C54,")=")</f>
        <v>M(2)=</v>
      </c>
      <c r="N55" t="e">
        <f>J55+L55</f>
        <v>#N/A</v>
      </c>
      <c r="O55" s="99">
        <f>O54+1</f>
        <v>8</v>
      </c>
      <c r="P55" s="99">
        <f t="shared" si="10"/>
        <v>4</v>
      </c>
      <c r="T55" s="89">
        <f>SUM(T52:T54)</f>
        <v>16.11</v>
      </c>
      <c r="V55" s="82">
        <f>SUM(V52:V54)</f>
        <v>15.290000000000001</v>
      </c>
      <c r="W55" s="84" t="str">
        <f>CONCATENATE("m'(",Q53,")=")</f>
        <v>m'(2)=</v>
      </c>
      <c r="X55" s="84">
        <f>(2*(X52^2)/24*V55)+(X54*Q52*WLS)</f>
        <v>15.836666666666666</v>
      </c>
      <c r="Y55" s="84" t="str">
        <f>CONCATENATE("M(",Q52,")=")</f>
        <v>M(1)=</v>
      </c>
      <c r="Z55" s="84">
        <f>VLOOKUP(Q52,STN_TABLE,4,FALSE)</f>
        <v>5.2133333333333329</v>
      </c>
      <c r="AA55" t="str">
        <f>CONCATENATE("M(",Q53,")=")</f>
        <v>M(2)=</v>
      </c>
      <c r="AB55">
        <f>X55+Z55</f>
        <v>21.049999999999997</v>
      </c>
      <c r="AE55" s="89">
        <f>SUM(AE53:AE54)</f>
        <v>2.6500000000000004</v>
      </c>
      <c r="AG55" s="89">
        <f>SUM(AG53:AG54)</f>
        <v>3.7700000000000005</v>
      </c>
      <c r="AH55" s="84" t="str">
        <f>CONCATENATE("m'(",AD54,")=")</f>
        <v>m'(2)=</v>
      </c>
      <c r="AI55" s="84">
        <f>(2*(AI52^2)/6*AG55)+(AI54*AD53*WLS)</f>
        <v>15.626666666666669</v>
      </c>
      <c r="AJ55" s="84" t="str">
        <f>CONCATENATE("M(",AD53,")=")</f>
        <v>M(1)=</v>
      </c>
      <c r="AK55" s="84">
        <f>VLOOKUP(AD53,STN_TABLE,4,FALSE)</f>
        <v>5.2133333333333329</v>
      </c>
      <c r="AL55" t="str">
        <f>CONCATENATE("M(",AD54,")=")</f>
        <v>M(2)=</v>
      </c>
      <c r="AM55">
        <f>AI55+AK55</f>
        <v>20.840000000000003</v>
      </c>
      <c r="AO55" s="82" t="str">
        <f>AA55</f>
        <v>M(2)=</v>
      </c>
      <c r="AP55" s="82" t="e">
        <f>VLOOKUP(AO55,Rise_Results,2,FALSE)</f>
        <v>#N/A</v>
      </c>
      <c r="AQ55" s="82" t="e">
        <f>N55</f>
        <v>#N/A</v>
      </c>
      <c r="AR55" s="82">
        <f>IF(OR(AB54&lt;=0,AB55&lt;=0),1/0,AB55)</f>
        <v>21.049999999999997</v>
      </c>
      <c r="AS55" s="82">
        <f>AM55</f>
        <v>20.840000000000003</v>
      </c>
      <c r="AT55">
        <f>IFERROR(AP55,IFERROR(AQ55,IFERROR(AR55,AS55)))</f>
        <v>21.049999999999997</v>
      </c>
      <c r="AU55" s="81"/>
    </row>
    <row r="56" spans="1:47" x14ac:dyDescent="0.25">
      <c r="A56" s="101">
        <f>A51+1</f>
        <v>3</v>
      </c>
      <c r="B56" s="101">
        <f t="shared" si="11"/>
        <v>0.5</v>
      </c>
      <c r="O56" s="101">
        <f>O51+1</f>
        <v>5</v>
      </c>
      <c r="P56" s="101">
        <f t="shared" si="10"/>
        <v>1</v>
      </c>
      <c r="AU56" s="81"/>
    </row>
    <row r="57" spans="1:47" x14ac:dyDescent="0.25">
      <c r="A57" s="84">
        <f>A56+1</f>
        <v>4</v>
      </c>
      <c r="B57" s="84">
        <f t="shared" si="11"/>
        <v>0.75</v>
      </c>
      <c r="C57" s="79">
        <f t="shared" ref="C57" si="15">IF(C58=B59,IF(C59-C58=C58-B58,B58,IF(C59-C58=C58-B57,B57,"#NA")),IF(C58=B58,IF(C59-C58=C58-B57,B57,IF(C59-C58=C58-B56,B56,"#NA")),"#NA"))</f>
        <v>1</v>
      </c>
      <c r="D57" s="68">
        <f>VLOOKUP(C57,STN_TABLE,2,FALSE)</f>
        <v>1.53</v>
      </c>
      <c r="E57" s="102">
        <v>1</v>
      </c>
      <c r="F57" s="68">
        <f>D57*E57</f>
        <v>1.53</v>
      </c>
      <c r="G57" s="69">
        <f>C57</f>
        <v>1</v>
      </c>
      <c r="H57" s="69">
        <f>F57*G57</f>
        <v>1.53</v>
      </c>
      <c r="I57" s="6" t="s">
        <v>93</v>
      </c>
      <c r="J57" s="70">
        <f>IF(OR(D57=0,D58=0,D59=0),"#NA",IF(AND(C59-C58=C58-C57,C58&lt;&gt;C59,C57&lt;&gt;C58,C57&lt;&gt;C59,D59&lt;&gt;0,OR(D57&lt;&gt;0,D58&lt;&gt;0)),WLS*(C59-C58),"#NA"))</f>
        <v>2</v>
      </c>
      <c r="O57" s="99">
        <f>O56+1</f>
        <v>6</v>
      </c>
      <c r="P57" s="99">
        <f t="shared" si="10"/>
        <v>2</v>
      </c>
      <c r="Q57" s="68">
        <f>IF(OR(P59-P58=P58-P57,P60-P58=P58-P57),P57,IF(OR(P59-P58=P58-P56,P60-P58=P58-P56),P56,"-"))</f>
        <v>2</v>
      </c>
      <c r="R57" s="69">
        <f>VLOOKUP(Q57,STN_TABLE,2,FALSE)</f>
        <v>1.1200000000000001</v>
      </c>
      <c r="S57" s="69">
        <v>5</v>
      </c>
      <c r="T57" s="68">
        <f>R57*S57</f>
        <v>5.6000000000000005</v>
      </c>
      <c r="U57" s="79">
        <v>3</v>
      </c>
      <c r="V57" s="68">
        <f>R57*U57</f>
        <v>3.3600000000000003</v>
      </c>
      <c r="W57" s="6" t="s">
        <v>93</v>
      </c>
      <c r="X57" s="70">
        <f>IF(AND(Q59-Q58=Q58-Q57,NOT(AND(Q57=0,Q58=0)),NOT(AND(Q58=0,Q59=0))),WLS*(Q59-Q58),"#NA")</f>
        <v>2</v>
      </c>
      <c r="AD57" s="93"/>
      <c r="AH57" s="6" t="s">
        <v>93</v>
      </c>
      <c r="AI57" s="70">
        <f>WLS*(AD59-AD58)</f>
        <v>2</v>
      </c>
      <c r="AU57" s="81"/>
    </row>
    <row r="58" spans="1:47" x14ac:dyDescent="0.25">
      <c r="A58" s="84">
        <f>A57+1</f>
        <v>5</v>
      </c>
      <c r="B58" s="84">
        <f t="shared" si="11"/>
        <v>1</v>
      </c>
      <c r="C58" s="80">
        <f t="shared" ref="C58" si="16">IF(OR(B60-B59=B59-B58,B60-B59=B59-B57,B60-B59=B59-B56),B59,IF(OR(B60-B58=B58-B57,B60-B58=B58-B56),B58,IF(B60-B57=B57-B56,B57,"#NA")))</f>
        <v>2</v>
      </c>
      <c r="D58" s="76">
        <f>VLOOKUP(C58,STN_TABLE,2,FALSE)</f>
        <v>1.1200000000000001</v>
      </c>
      <c r="E58" s="81">
        <v>4</v>
      </c>
      <c r="F58" s="76">
        <f>D58*E58</f>
        <v>4.4800000000000004</v>
      </c>
      <c r="G58" s="77">
        <f>C58</f>
        <v>2</v>
      </c>
      <c r="H58" s="77">
        <f>F58*G58</f>
        <v>8.9600000000000009</v>
      </c>
      <c r="I58" s="495" t="s">
        <v>97</v>
      </c>
      <c r="J58" s="496"/>
      <c r="K58" s="78" t="s">
        <v>98</v>
      </c>
      <c r="L58" s="78"/>
      <c r="M58" s="7" t="s">
        <v>99</v>
      </c>
      <c r="N58" s="7"/>
      <c r="O58" s="99">
        <f>O57+1</f>
        <v>7</v>
      </c>
      <c r="P58" s="99">
        <f t="shared" si="10"/>
        <v>3</v>
      </c>
      <c r="Q58" s="76">
        <f>P58</f>
        <v>3</v>
      </c>
      <c r="R58" s="77">
        <f>VLOOKUP(Q58,STN_TABLE,2,FALSE)</f>
        <v>0.5</v>
      </c>
      <c r="S58" s="77">
        <v>8</v>
      </c>
      <c r="T58" s="76">
        <f>R58*S58</f>
        <v>4</v>
      </c>
      <c r="U58" s="80">
        <v>10</v>
      </c>
      <c r="V58" s="76">
        <f>R58*U58</f>
        <v>5</v>
      </c>
      <c r="W58" s="78" t="s">
        <v>97</v>
      </c>
      <c r="X58" s="78"/>
      <c r="Y58" s="78" t="s">
        <v>98</v>
      </c>
      <c r="Z58" s="78"/>
      <c r="AA58" s="7" t="s">
        <v>99</v>
      </c>
      <c r="AB58" s="7"/>
      <c r="AC58" s="99">
        <f>AC53+1</f>
        <v>6</v>
      </c>
      <c r="AD58" s="95">
        <f>VLOOKUP(AC58,STN_TABLE_2,2,FALSE)</f>
        <v>2</v>
      </c>
      <c r="AE58" s="68">
        <f>VLOOKUP(AD58,STN_TABLE,2,FALSE)</f>
        <v>1.1200000000000001</v>
      </c>
      <c r="AF58" s="68">
        <v>1</v>
      </c>
      <c r="AG58" s="69">
        <f>AE58*AF58</f>
        <v>1.1200000000000001</v>
      </c>
      <c r="AH58" s="496" t="s">
        <v>97</v>
      </c>
      <c r="AI58" s="496"/>
      <c r="AJ58" s="496" t="s">
        <v>98</v>
      </c>
      <c r="AK58" s="496"/>
      <c r="AL58" s="494" t="s">
        <v>99</v>
      </c>
      <c r="AM58" s="494"/>
      <c r="AP58" s="86" t="s">
        <v>112</v>
      </c>
      <c r="AQ58" s="89" t="s">
        <v>113</v>
      </c>
      <c r="AR58" s="89" t="s">
        <v>114</v>
      </c>
      <c r="AS58" s="89" t="s">
        <v>115</v>
      </c>
      <c r="AU58" s="81"/>
    </row>
    <row r="59" spans="1:47" x14ac:dyDescent="0.25">
      <c r="A59" s="84">
        <f>A58+1</f>
        <v>6</v>
      </c>
      <c r="B59" s="84">
        <f t="shared" si="11"/>
        <v>2</v>
      </c>
      <c r="C59" s="88">
        <f t="shared" ref="C59" si="17">B60</f>
        <v>3</v>
      </c>
      <c r="D59" s="82">
        <f>VLOOKUP(C59,STN_TABLE,2,FALSE)</f>
        <v>0.5</v>
      </c>
      <c r="E59" s="92">
        <v>1</v>
      </c>
      <c r="F59" s="82">
        <f>D59*E59</f>
        <v>0.5</v>
      </c>
      <c r="G59" s="83">
        <f>C59</f>
        <v>3</v>
      </c>
      <c r="H59" s="83">
        <f>F59*G59</f>
        <v>1.5</v>
      </c>
      <c r="I59" s="84" t="str">
        <f>CONCATENATE("a'(",C59,")=")</f>
        <v>a'(3)=</v>
      </c>
      <c r="J59" s="84">
        <f>2*J57/3*F60</f>
        <v>8.68</v>
      </c>
      <c r="K59" s="84" t="str">
        <f>CONCATENATE("A(",C57,")=")</f>
        <v>A(1)=</v>
      </c>
      <c r="L59" s="84">
        <f>VLOOKUP(C57,STN_TABLE,3,FALSE)</f>
        <v>4.3166666666666664</v>
      </c>
      <c r="M59" t="str">
        <f>CONCATENATE("A(",C59,")=")</f>
        <v>A(3)=</v>
      </c>
      <c r="N59">
        <f>J59+L59</f>
        <v>12.996666666666666</v>
      </c>
      <c r="O59" s="99">
        <f>O58+1</f>
        <v>8</v>
      </c>
      <c r="P59" s="99">
        <f t="shared" si="10"/>
        <v>4</v>
      </c>
      <c r="Q59" s="82">
        <f>IF(P59-P58=P58-P57,P59,IF(P60-P58=P58-P57,P60,IF(P59-P58=P58-P56,P59,IF(P60-P58=P58-P56,P60,"-"))))</f>
        <v>4</v>
      </c>
      <c r="R59" s="83">
        <f>VLOOKUP(Q59,STN_TABLE,2,FALSE)</f>
        <v>0.08</v>
      </c>
      <c r="S59" s="83">
        <v>-1</v>
      </c>
      <c r="T59" s="82">
        <f>R59*S59</f>
        <v>-0.08</v>
      </c>
      <c r="U59" s="88">
        <v>-1</v>
      </c>
      <c r="V59" s="82">
        <f>R59*U59</f>
        <v>-0.08</v>
      </c>
      <c r="W59" s="84" t="str">
        <f>CONCATENATE("a'(",Q58,")=")</f>
        <v>a'(3)=</v>
      </c>
      <c r="X59" s="84">
        <f>2*X57/12*T60</f>
        <v>3.1733333333333338</v>
      </c>
      <c r="Y59" s="84" t="str">
        <f>CONCATENATE("A(",Q57,")=")</f>
        <v>A(2)=</v>
      </c>
      <c r="Z59" s="84">
        <f>VLOOKUP(Q57,STN_TABLE,3,FALSE)</f>
        <v>9.6866666666666656</v>
      </c>
      <c r="AA59" t="str">
        <f>CONCATENATE("A(",Q58,")=")</f>
        <v>A(3)=</v>
      </c>
      <c r="AB59">
        <f>X59+Z59</f>
        <v>12.86</v>
      </c>
      <c r="AC59" s="99">
        <f>AC58+1</f>
        <v>7</v>
      </c>
      <c r="AD59" s="100">
        <f>VLOOKUP(AC59,STN_TABLE_2,2,FALSE)</f>
        <v>3</v>
      </c>
      <c r="AE59" s="82">
        <f>VLOOKUP(AD59,STN_TABLE,2,FALSE)</f>
        <v>0.5</v>
      </c>
      <c r="AF59" s="82">
        <v>2</v>
      </c>
      <c r="AG59" s="83">
        <f>AE59*AF59</f>
        <v>1</v>
      </c>
      <c r="AH59" s="84" t="str">
        <f>CONCATENATE("a'(",AD59,")=")</f>
        <v>a'(3)=</v>
      </c>
      <c r="AI59" s="84">
        <f>2*AI57/2*AE60</f>
        <v>3.24</v>
      </c>
      <c r="AJ59" s="84" t="str">
        <f>CONCATENATE("A(",AD58,")=")</f>
        <v>A(2)=</v>
      </c>
      <c r="AK59" s="84">
        <f>VLOOKUP(AD58,STN_TABLE,3,FALSE)</f>
        <v>9.6866666666666656</v>
      </c>
      <c r="AL59" t="str">
        <f>CONCATENATE("A(",AD59,")=")</f>
        <v>A(3)=</v>
      </c>
      <c r="AM59">
        <f>AI59+AK59</f>
        <v>12.926666666666666</v>
      </c>
      <c r="AO59" s="68" t="str">
        <f>AA59</f>
        <v>A(3)=</v>
      </c>
      <c r="AP59" s="68" t="e">
        <f>VLOOKUP(AO59,Rise_Results,2,FALSE)</f>
        <v>#N/A</v>
      </c>
      <c r="AQ59" s="76">
        <f>N59</f>
        <v>12.996666666666666</v>
      </c>
      <c r="AR59" s="76">
        <f>IF(OR(AB59&lt;=0,AB60&lt;=0),1/0,AB59)</f>
        <v>12.86</v>
      </c>
      <c r="AS59" s="76">
        <f>AM59</f>
        <v>12.926666666666666</v>
      </c>
      <c r="AT59">
        <f>IFERROR(AP59,IFERROR(AQ59,IFERROR(AR59,AS59)))</f>
        <v>12.996666666666666</v>
      </c>
      <c r="AU59" s="81"/>
    </row>
    <row r="60" spans="1:47" x14ac:dyDescent="0.25">
      <c r="A60" s="84">
        <f>A59+1</f>
        <v>7</v>
      </c>
      <c r="B60" s="84">
        <f t="shared" si="11"/>
        <v>3</v>
      </c>
      <c r="F60" s="82">
        <f>SUM(F57:F59)</f>
        <v>6.5100000000000007</v>
      </c>
      <c r="H60" s="82">
        <f>SUM(H57:H59)</f>
        <v>11.99</v>
      </c>
      <c r="I60" s="84" t="str">
        <f>CONCATENATE("m'(",C59,")=")</f>
        <v>m'(3)=</v>
      </c>
      <c r="J60" s="84">
        <f>2*(J57*(WLS))/3*H60</f>
        <v>31.973333333333333</v>
      </c>
      <c r="K60" s="84" t="str">
        <f>CONCATENATE("M(",C57,")=")</f>
        <v>M(1)=</v>
      </c>
      <c r="L60" s="84">
        <f>VLOOKUP(C57,STN_TABLE,4,FALSE)</f>
        <v>5.2133333333333329</v>
      </c>
      <c r="M60" t="str">
        <f>CONCATENATE("M(",C59,")=")</f>
        <v>M(3)=</v>
      </c>
      <c r="N60">
        <f>J60+L60</f>
        <v>37.186666666666667</v>
      </c>
      <c r="O60" s="99">
        <f>O59+1</f>
        <v>9</v>
      </c>
      <c r="P60" s="99">
        <f t="shared" si="10"/>
        <v>4.8499999999999996</v>
      </c>
      <c r="T60" s="89">
        <f>SUM(T57:T59)</f>
        <v>9.5200000000000014</v>
      </c>
      <c r="V60" s="82">
        <f>SUM(V57:V59)</f>
        <v>8.2799999999999994</v>
      </c>
      <c r="W60" s="84" t="str">
        <f>CONCATENATE("m'(",Q58,")=")</f>
        <v>m'(3)=</v>
      </c>
      <c r="X60" s="84">
        <f>(2*(X57^2)/24*V60)+(X59*Q57*WLS)</f>
        <v>15.453333333333335</v>
      </c>
      <c r="Y60" s="84" t="str">
        <f>CONCATENATE("M(",Q57,")=")</f>
        <v>M(2)=</v>
      </c>
      <c r="Z60" s="84">
        <f>VLOOKUP(Q57,STN_TABLE,4,FALSE)</f>
        <v>21.049999999999997</v>
      </c>
      <c r="AA60" t="str">
        <f>CONCATENATE("M(",Q58,")=")</f>
        <v>M(3)=</v>
      </c>
      <c r="AB60">
        <f>X60+Z60</f>
        <v>36.50333333333333</v>
      </c>
      <c r="AE60" s="89">
        <f>SUM(AE58:AE59)</f>
        <v>1.62</v>
      </c>
      <c r="AG60" s="89">
        <f>SUM(AG58:AG59)</f>
        <v>2.12</v>
      </c>
      <c r="AH60" s="84" t="str">
        <f>CONCATENATE("m'(",AD59,")=")</f>
        <v>m'(3)=</v>
      </c>
      <c r="AI60" s="84">
        <f>(2*(AI57^2)/6*AG60)+(AI59*AD58*WLS)</f>
        <v>15.786666666666667</v>
      </c>
      <c r="AJ60" s="84" t="str">
        <f>CONCATENATE("M(",AD58,")=")</f>
        <v>M(2)=</v>
      </c>
      <c r="AK60" s="84">
        <f>VLOOKUP(AD57,STN_TABLE,4,FALSE)</f>
        <v>0</v>
      </c>
      <c r="AL60" t="str">
        <f>CONCATENATE("M(",AD59,")=")</f>
        <v>M(3)=</v>
      </c>
      <c r="AM60">
        <f>AI60+AK60</f>
        <v>15.786666666666667</v>
      </c>
      <c r="AO60" s="82" t="str">
        <f>AA60</f>
        <v>M(3)=</v>
      </c>
      <c r="AP60" s="82" t="e">
        <f>VLOOKUP(AO60,Rise_Results,2,FALSE)</f>
        <v>#N/A</v>
      </c>
      <c r="AQ60" s="82">
        <f>N60</f>
        <v>37.186666666666667</v>
      </c>
      <c r="AR60" s="82">
        <f>IF(OR(AB59&lt;=0,AB60&lt;=0),1/0,AB60)</f>
        <v>36.50333333333333</v>
      </c>
      <c r="AS60" s="82">
        <f>AM60</f>
        <v>15.786666666666667</v>
      </c>
      <c r="AT60">
        <f>IFERROR(AP60,IFERROR(AQ60,IFERROR(AR60,AS60)))</f>
        <v>37.186666666666667</v>
      </c>
      <c r="AU60" s="81"/>
    </row>
    <row r="61" spans="1:47" x14ac:dyDescent="0.25">
      <c r="A61" s="101">
        <f>A56+1</f>
        <v>4</v>
      </c>
      <c r="B61" s="101">
        <f t="shared" si="11"/>
        <v>0.75</v>
      </c>
      <c r="O61" s="101">
        <f>O56+1</f>
        <v>6</v>
      </c>
      <c r="P61" s="101">
        <f t="shared" si="10"/>
        <v>2</v>
      </c>
      <c r="AU61" s="81"/>
    </row>
    <row r="62" spans="1:47" x14ac:dyDescent="0.25">
      <c r="A62" s="84">
        <f>A61+1</f>
        <v>5</v>
      </c>
      <c r="B62" s="84">
        <f t="shared" si="11"/>
        <v>1</v>
      </c>
      <c r="C62" s="79">
        <f t="shared" ref="C62" si="18">IF(C63=B64,IF(C64-C63=C63-B63,B63,IF(C64-C63=C63-B62,B62,"#NA")),IF(C63=B63,IF(C64-C63=C63-B62,B62,IF(C64-C63=C63-B61,B61,"#NA")),"#NA"))</f>
        <v>2</v>
      </c>
      <c r="D62" s="68">
        <f>VLOOKUP(C62,STN_TABLE,2,FALSE)</f>
        <v>1.1200000000000001</v>
      </c>
      <c r="E62" s="102">
        <v>1</v>
      </c>
      <c r="F62" s="68">
        <f>D62*E62</f>
        <v>1.1200000000000001</v>
      </c>
      <c r="G62" s="69">
        <f>C62</f>
        <v>2</v>
      </c>
      <c r="H62" s="69">
        <f>F62*G62</f>
        <v>2.2400000000000002</v>
      </c>
      <c r="I62" s="6" t="s">
        <v>93</v>
      </c>
      <c r="J62" s="70">
        <f>IF(OR(D62=0,D63=0,D64=0),"#NA",IF(AND(C64-C63=C63-C62,C63&lt;&gt;C64,C62&lt;&gt;C63,C62&lt;&gt;C64,D64&lt;&gt;0,OR(D62&lt;&gt;0,D63&lt;&gt;0)),WLS*(C64-C63),"#NA"))</f>
        <v>2</v>
      </c>
      <c r="O62" s="99">
        <f>O61+1</f>
        <v>7</v>
      </c>
      <c r="P62" s="99">
        <f t="shared" si="10"/>
        <v>3</v>
      </c>
      <c r="Q62" s="68">
        <f>IF(OR(P64-P63=P63-P62,P65-P63=P63-P62),P62,IF(OR(P64-P63=P63-P61,P65-P63=P63-P61),P61,"-"))</f>
        <v>3</v>
      </c>
      <c r="R62" s="69">
        <f>VLOOKUP(Q62,STN_TABLE,2,FALSE)</f>
        <v>0.5</v>
      </c>
      <c r="S62" s="69">
        <v>5</v>
      </c>
      <c r="T62" s="68">
        <f>R62*S62</f>
        <v>2.5</v>
      </c>
      <c r="U62" s="79">
        <v>3</v>
      </c>
      <c r="V62" s="68">
        <f>R62*U62</f>
        <v>1.5</v>
      </c>
      <c r="W62" s="6" t="s">
        <v>93</v>
      </c>
      <c r="X62" s="70">
        <f>IF(AND(Q64-Q63=Q63-Q62,NOT(AND(Q62=0,Q63=0)),NOT(AND(Q63=0,Q64=0))),WLS*(Q64-Q63),"#NA")</f>
        <v>2</v>
      </c>
      <c r="AD62" s="93"/>
      <c r="AH62" s="6" t="s">
        <v>93</v>
      </c>
      <c r="AI62" s="70">
        <f>WLS*(AD64-AD63)</f>
        <v>2</v>
      </c>
      <c r="AU62" s="81"/>
    </row>
    <row r="63" spans="1:47" x14ac:dyDescent="0.25">
      <c r="A63" s="84">
        <f>A62+1</f>
        <v>6</v>
      </c>
      <c r="B63" s="84">
        <f t="shared" si="11"/>
        <v>2</v>
      </c>
      <c r="C63" s="80">
        <f t="shared" ref="C63" si="19">IF(OR(B65-B64=B64-B63,B65-B64=B64-B62,B65-B64=B64-B61),B64,IF(OR(B65-B63=B63-B62,B65-B63=B63-B61),B63,IF(B65-B62=B62-B61,B62,"#NA")))</f>
        <v>3</v>
      </c>
      <c r="D63" s="76">
        <f>VLOOKUP(C63,STN_TABLE,2,FALSE)</f>
        <v>0.5</v>
      </c>
      <c r="E63" s="81">
        <v>4</v>
      </c>
      <c r="F63" s="76">
        <f>D63*E63</f>
        <v>2</v>
      </c>
      <c r="G63" s="77">
        <f>C63</f>
        <v>3</v>
      </c>
      <c r="H63" s="77">
        <f>F63*G63</f>
        <v>6</v>
      </c>
      <c r="I63" s="495" t="s">
        <v>97</v>
      </c>
      <c r="J63" s="496"/>
      <c r="K63" s="78" t="s">
        <v>98</v>
      </c>
      <c r="L63" s="78"/>
      <c r="M63" s="7" t="s">
        <v>99</v>
      </c>
      <c r="N63" s="7"/>
      <c r="O63" s="99">
        <f>O62+1</f>
        <v>8</v>
      </c>
      <c r="P63" s="99">
        <f t="shared" si="10"/>
        <v>4</v>
      </c>
      <c r="Q63" s="76">
        <f>P63</f>
        <v>4</v>
      </c>
      <c r="R63" s="77">
        <f>VLOOKUP(Q63,STN_TABLE,2,FALSE)</f>
        <v>0.08</v>
      </c>
      <c r="S63" s="77">
        <v>8</v>
      </c>
      <c r="T63" s="76">
        <f>R63*S63</f>
        <v>0.64</v>
      </c>
      <c r="U63" s="80">
        <v>10</v>
      </c>
      <c r="V63" s="76">
        <f>R63*U63</f>
        <v>0.8</v>
      </c>
      <c r="W63" s="496" t="s">
        <v>97</v>
      </c>
      <c r="X63" s="496"/>
      <c r="Y63" s="496" t="s">
        <v>98</v>
      </c>
      <c r="Z63" s="496"/>
      <c r="AA63" s="494" t="s">
        <v>99</v>
      </c>
      <c r="AB63" s="494"/>
      <c r="AC63" s="99">
        <f>AC58+1</f>
        <v>7</v>
      </c>
      <c r="AD63" s="95">
        <f>VLOOKUP(AC63,STN_TABLE_2,2,FALSE)</f>
        <v>3</v>
      </c>
      <c r="AE63" s="68">
        <f>VLOOKUP(AD63,STN_TABLE,2,FALSE)</f>
        <v>0.5</v>
      </c>
      <c r="AF63" s="68">
        <v>1</v>
      </c>
      <c r="AG63" s="69">
        <f>AE63*AF63</f>
        <v>0.5</v>
      </c>
      <c r="AH63" s="496" t="s">
        <v>97</v>
      </c>
      <c r="AI63" s="496"/>
      <c r="AJ63" s="496" t="s">
        <v>98</v>
      </c>
      <c r="AK63" s="496"/>
      <c r="AL63" s="494" t="s">
        <v>99</v>
      </c>
      <c r="AM63" s="494"/>
      <c r="AP63" s="86" t="s">
        <v>112</v>
      </c>
      <c r="AQ63" s="89" t="s">
        <v>113</v>
      </c>
      <c r="AR63" s="89" t="s">
        <v>114</v>
      </c>
      <c r="AS63" s="89" t="s">
        <v>115</v>
      </c>
      <c r="AU63" s="81"/>
    </row>
    <row r="64" spans="1:47" x14ac:dyDescent="0.25">
      <c r="A64" s="84">
        <f>A63+1</f>
        <v>7</v>
      </c>
      <c r="B64" s="84">
        <f t="shared" si="11"/>
        <v>3</v>
      </c>
      <c r="C64" s="88">
        <f t="shared" ref="C64" si="20">B65</f>
        <v>4</v>
      </c>
      <c r="D64" s="82">
        <f>VLOOKUP(C64,STN_TABLE,2,FALSE)</f>
        <v>0.08</v>
      </c>
      <c r="E64" s="92">
        <v>1</v>
      </c>
      <c r="F64" s="82">
        <f>D64*E64</f>
        <v>0.08</v>
      </c>
      <c r="G64" s="83">
        <f>C64</f>
        <v>4</v>
      </c>
      <c r="H64" s="83">
        <f>F64*G64</f>
        <v>0.32</v>
      </c>
      <c r="I64" s="84" t="str">
        <f>CONCATENATE("a'(",C64,")=")</f>
        <v>a'(4)=</v>
      </c>
      <c r="J64" s="84">
        <f>2*J62/3*F65</f>
        <v>4.2666666666666666</v>
      </c>
      <c r="K64" s="84" t="str">
        <f>CONCATENATE("A(",C62,")=")</f>
        <v>A(2)=</v>
      </c>
      <c r="L64" s="84">
        <f>VLOOKUP(C62,STN_TABLE,3,FALSE)</f>
        <v>9.6866666666666656</v>
      </c>
      <c r="M64" t="str">
        <f>CONCATENATE("A(",C64,")=")</f>
        <v>A(4)=</v>
      </c>
      <c r="N64">
        <f>J64+L64</f>
        <v>13.953333333333333</v>
      </c>
      <c r="O64" s="99">
        <f>O63+1</f>
        <v>9</v>
      </c>
      <c r="P64" s="99">
        <f t="shared" si="10"/>
        <v>4.8499999999999996</v>
      </c>
      <c r="Q64" s="82">
        <f>IF(P64-P63=P63-P62,P64,IF(P65-P63=P63-P62,P65,IF(P64-P63=P63-P61,P64,IF(P65-P63=P63-P61,P65,"-"))))</f>
        <v>5</v>
      </c>
      <c r="R64" s="83">
        <f>VLOOKUP(Q64,STN_TABLE,2,FALSE)</f>
        <v>0.03</v>
      </c>
      <c r="S64" s="83">
        <v>-1</v>
      </c>
      <c r="T64" s="82">
        <f>R64*S64</f>
        <v>-0.03</v>
      </c>
      <c r="U64" s="88">
        <v>-1</v>
      </c>
      <c r="V64" s="82">
        <f>R64*U64</f>
        <v>-0.03</v>
      </c>
      <c r="W64" s="84" t="str">
        <f>CONCATENATE("a'(",Q63,")=")</f>
        <v>a'(4)=</v>
      </c>
      <c r="X64" s="84">
        <f>2*X62/12*T65</f>
        <v>1.0366666666666666</v>
      </c>
      <c r="Y64" s="84" t="str">
        <f>CONCATENATE("A(",Q62,")=")</f>
        <v>A(3)=</v>
      </c>
      <c r="Z64" s="84">
        <f>VLOOKUP(Q62,STN_TABLE,3,FALSE)</f>
        <v>12.996666666666666</v>
      </c>
      <c r="AA64" t="str">
        <f>CONCATENATE("A(",Q63,")=")</f>
        <v>A(4)=</v>
      </c>
      <c r="AB64">
        <f>X64+Z64</f>
        <v>14.033333333333333</v>
      </c>
      <c r="AC64" s="99">
        <f>AC63+1</f>
        <v>8</v>
      </c>
      <c r="AD64" s="100">
        <f>VLOOKUP(AC64,STN_TABLE_2,2,FALSE)</f>
        <v>4</v>
      </c>
      <c r="AE64" s="82">
        <f>VLOOKUP(AD64,STN_TABLE,2,FALSE)</f>
        <v>0.08</v>
      </c>
      <c r="AF64" s="82">
        <v>2</v>
      </c>
      <c r="AG64" s="83">
        <f>AE64*AF64</f>
        <v>0.16</v>
      </c>
      <c r="AH64" s="84" t="str">
        <f>CONCATENATE("a'(",AD64,")=")</f>
        <v>a'(4)=</v>
      </c>
      <c r="AI64" s="84">
        <f>2*AI62/2*AE65</f>
        <v>1.1599999999999999</v>
      </c>
      <c r="AJ64" s="84" t="str">
        <f>CONCATENATE("A(",AD63,")=")</f>
        <v>A(3)=</v>
      </c>
      <c r="AK64" s="84">
        <f>VLOOKUP(AD63,STN_TABLE,3,FALSE)</f>
        <v>12.996666666666666</v>
      </c>
      <c r="AL64" t="str">
        <f>CONCATENATE("A(",AD64,")=")</f>
        <v>A(4)=</v>
      </c>
      <c r="AM64">
        <f>AI64+AK64</f>
        <v>14.156666666666666</v>
      </c>
      <c r="AO64" s="68" t="str">
        <f>AA64</f>
        <v>A(4)=</v>
      </c>
      <c r="AP64" s="68" t="e">
        <f>VLOOKUP(AO64,Rise_Results,2,FALSE)</f>
        <v>#N/A</v>
      </c>
      <c r="AQ64" s="76">
        <f>N64</f>
        <v>13.953333333333333</v>
      </c>
      <c r="AR64" s="76">
        <f>IF(OR(AB64&lt;=0,AB65&lt;=0),1/0,AB64)</f>
        <v>14.033333333333333</v>
      </c>
      <c r="AS64" s="76">
        <f>AM64</f>
        <v>14.156666666666666</v>
      </c>
      <c r="AT64">
        <f>IFERROR(AP64,IFERROR(AQ64,IFERROR(AR64,AS64)))</f>
        <v>13.953333333333333</v>
      </c>
      <c r="AU64" s="81"/>
    </row>
    <row r="65" spans="1:47" x14ac:dyDescent="0.25">
      <c r="A65" s="84">
        <f>A64+1</f>
        <v>8</v>
      </c>
      <c r="B65" s="84">
        <f t="shared" si="11"/>
        <v>4</v>
      </c>
      <c r="F65" s="82">
        <f>SUM(F62:F64)</f>
        <v>3.2</v>
      </c>
      <c r="H65" s="82">
        <f>SUM(H62:H64)</f>
        <v>8.56</v>
      </c>
      <c r="I65" s="84" t="str">
        <f>CONCATENATE("m'(",C64,")=")</f>
        <v>m'(4)=</v>
      </c>
      <c r="J65" s="84">
        <f>2*(J62*(WLS))/3*H65</f>
        <v>22.826666666666668</v>
      </c>
      <c r="K65" s="84" t="str">
        <f>CONCATENATE("M(",C62,")=")</f>
        <v>M(2)=</v>
      </c>
      <c r="L65" s="84">
        <f>VLOOKUP(C62,STN_TABLE,4,FALSE)</f>
        <v>21.049999999999997</v>
      </c>
      <c r="M65" t="str">
        <f>CONCATENATE("M(",C64,")=")</f>
        <v>M(4)=</v>
      </c>
      <c r="N65">
        <f>J65+L65</f>
        <v>43.876666666666665</v>
      </c>
      <c r="O65" s="99">
        <f>O64+1</f>
        <v>10</v>
      </c>
      <c r="P65" s="99">
        <f t="shared" si="10"/>
        <v>5</v>
      </c>
      <c r="T65" s="89">
        <f>SUM(T62:T64)</f>
        <v>3.1100000000000003</v>
      </c>
      <c r="V65" s="82">
        <f>SUM(V62:V64)</f>
        <v>2.27</v>
      </c>
      <c r="W65" s="84" t="str">
        <f>CONCATENATE("m'(",Q63,")=")</f>
        <v>m'(4)=</v>
      </c>
      <c r="X65" s="84">
        <f>(2*(X62^2)/24*V65)+(X64*Q62*WLS)</f>
        <v>6.9766666666666666</v>
      </c>
      <c r="Y65" s="84" t="str">
        <f>CONCATENATE("M(",Q62,")=")</f>
        <v>M(3)=</v>
      </c>
      <c r="Z65" s="84">
        <f>VLOOKUP(Q62,STN_TABLE,4,FALSE)</f>
        <v>37.186666666666667</v>
      </c>
      <c r="AA65" t="str">
        <f>CONCATENATE("M(",Q63,")=")</f>
        <v>M(4)=</v>
      </c>
      <c r="AB65">
        <f>X65+Z65</f>
        <v>44.163333333333334</v>
      </c>
      <c r="AE65" s="89">
        <f>SUM(AE63:AE64)</f>
        <v>0.57999999999999996</v>
      </c>
      <c r="AG65" s="89">
        <f>SUM(AG63:AG64)</f>
        <v>0.66</v>
      </c>
      <c r="AH65" s="84" t="str">
        <f>CONCATENATE("m'(",AD64,")=")</f>
        <v>m'(4)=</v>
      </c>
      <c r="AI65" s="84">
        <f>(2*(AI62^2)/6*AG65)+(AI64*AD63*WLS)</f>
        <v>7.839999999999999</v>
      </c>
      <c r="AJ65" s="84" t="str">
        <f>CONCATENATE("M(",AD63,")=")</f>
        <v>M(3)=</v>
      </c>
      <c r="AK65" s="84">
        <f>VLOOKUP(AD63,STN_TABLE,4,FALSE)</f>
        <v>37.186666666666667</v>
      </c>
      <c r="AL65" t="str">
        <f>CONCATENATE("M(",AD64,")=")</f>
        <v>M(4)=</v>
      </c>
      <c r="AM65">
        <f>AI65+AK65</f>
        <v>45.026666666666664</v>
      </c>
      <c r="AO65" s="82" t="str">
        <f>AA65</f>
        <v>M(4)=</v>
      </c>
      <c r="AP65" s="82" t="e">
        <f>VLOOKUP(AO65,Rise_Results,2,FALSE)</f>
        <v>#N/A</v>
      </c>
      <c r="AQ65" s="82">
        <f>N65</f>
        <v>43.876666666666665</v>
      </c>
      <c r="AR65" s="82">
        <f>IF(OR(AB64&lt;=0,AB65&lt;=0),1/0,AB65)</f>
        <v>44.163333333333334</v>
      </c>
      <c r="AS65" s="82">
        <f>AM65</f>
        <v>45.026666666666664</v>
      </c>
      <c r="AT65">
        <f>IFERROR(AP65,IFERROR(AQ65,IFERROR(AR65,AS65)))</f>
        <v>43.876666666666665</v>
      </c>
      <c r="AU65" s="81"/>
    </row>
    <row r="66" spans="1:47" x14ac:dyDescent="0.25">
      <c r="A66" s="101">
        <f>A61+1</f>
        <v>5</v>
      </c>
      <c r="B66" s="101">
        <f t="shared" si="11"/>
        <v>1</v>
      </c>
      <c r="O66" s="101">
        <f>O61+1</f>
        <v>7</v>
      </c>
      <c r="P66" s="101">
        <f t="shared" si="10"/>
        <v>3</v>
      </c>
      <c r="AU66" s="81"/>
    </row>
    <row r="67" spans="1:47" x14ac:dyDescent="0.25">
      <c r="A67" s="84">
        <f>A66+1</f>
        <v>6</v>
      </c>
      <c r="B67" s="84">
        <f t="shared" si="11"/>
        <v>2</v>
      </c>
      <c r="C67" s="79" t="str">
        <f t="shared" ref="C67" si="21">IF(C68=B69,IF(C69-C68=C68-B68,B68,IF(C69-C68=C68-B67,B67,"#NA")),IF(C68=B68,IF(C69-C68=C68-B67,B67,IF(C69-C68=C68-B66,B66,"#NA")),"#NA"))</f>
        <v>#NA</v>
      </c>
      <c r="D67" s="68" t="e">
        <f>VLOOKUP(C67,STN_TABLE,2,FALSE)</f>
        <v>#N/A</v>
      </c>
      <c r="E67" s="102">
        <v>1</v>
      </c>
      <c r="F67" s="68" t="e">
        <f>D67*E67</f>
        <v>#N/A</v>
      </c>
      <c r="G67" s="69" t="str">
        <f>C67</f>
        <v>#NA</v>
      </c>
      <c r="H67" s="69" t="e">
        <f>F67*G67</f>
        <v>#N/A</v>
      </c>
      <c r="I67" s="6" t="s">
        <v>93</v>
      </c>
      <c r="J67" s="70" t="e">
        <f>IF(OR(D67=0,D68=0,D69=0),"#NA",IF(AND(C69-C68=C68-C67,C68&lt;&gt;C69,C67&lt;&gt;C68,C67&lt;&gt;C69,D69&lt;&gt;0,OR(D67&lt;&gt;0,D68&lt;&gt;0)),WLS*(C69-C68),"#NA"))</f>
        <v>#N/A</v>
      </c>
      <c r="O67" s="99">
        <f>O66+1</f>
        <v>8</v>
      </c>
      <c r="P67" s="99">
        <f t="shared" si="10"/>
        <v>4</v>
      </c>
      <c r="Q67" s="68" t="str">
        <f>IF(OR(P69-P68=P68-P67,P70-P68=P68-P67),P67,IF(OR(P69-P68=P68-P66,P70-P68=P68-P66),P66,"-"))</f>
        <v>-</v>
      </c>
      <c r="R67" s="69" t="e">
        <f>VLOOKUP(Q67,STN_TABLE,2,FALSE)</f>
        <v>#N/A</v>
      </c>
      <c r="S67" s="69">
        <v>5</v>
      </c>
      <c r="T67" s="68" t="e">
        <f>R67*S67</f>
        <v>#N/A</v>
      </c>
      <c r="U67" s="79">
        <v>3</v>
      </c>
      <c r="V67" s="68" t="e">
        <f>R67*U67</f>
        <v>#N/A</v>
      </c>
      <c r="W67" s="6" t="s">
        <v>93</v>
      </c>
      <c r="X67" s="70" t="e">
        <f>IF(AND(Q69-Q68=Q68-Q67,NOT(AND(Q67=0,Q68=0)),NOT(AND(Q68=0,Q69=0))),WLS*(Q69-Q68),"#NA")</f>
        <v>#VALUE!</v>
      </c>
      <c r="AD67" s="93"/>
      <c r="AH67" s="6" t="s">
        <v>93</v>
      </c>
      <c r="AI67" s="70">
        <f>WLS*(AD69-AD68)</f>
        <v>1.6999999999999993</v>
      </c>
      <c r="AU67" s="81"/>
    </row>
    <row r="68" spans="1:47" x14ac:dyDescent="0.25">
      <c r="A68" s="84">
        <f>A67+1</f>
        <v>7</v>
      </c>
      <c r="B68" s="84">
        <f t="shared" si="11"/>
        <v>3</v>
      </c>
      <c r="C68" s="80" t="str">
        <f t="shared" ref="C68" si="22">IF(OR(B70-B69=B69-B68,B70-B69=B69-B67,B70-B69=B69-B66),B69,IF(OR(B70-B68=B68-B67,B70-B68=B68-B66),B68,IF(B70-B67=B67-B66,B67,"#NA")))</f>
        <v>#NA</v>
      </c>
      <c r="D68" s="76" t="e">
        <f>VLOOKUP(C68,STN_TABLE,2,FALSE)</f>
        <v>#N/A</v>
      </c>
      <c r="E68" s="81">
        <v>4</v>
      </c>
      <c r="F68" s="76" t="e">
        <f>D68*E68</f>
        <v>#N/A</v>
      </c>
      <c r="G68" s="77" t="str">
        <f>C68</f>
        <v>#NA</v>
      </c>
      <c r="H68" s="77" t="e">
        <f>F68*G68</f>
        <v>#N/A</v>
      </c>
      <c r="I68" s="495" t="s">
        <v>97</v>
      </c>
      <c r="J68" s="496"/>
      <c r="K68" s="78" t="s">
        <v>98</v>
      </c>
      <c r="L68" s="78"/>
      <c r="M68" s="7" t="s">
        <v>99</v>
      </c>
      <c r="N68" s="7"/>
      <c r="O68" s="99">
        <f>O67+1</f>
        <v>9</v>
      </c>
      <c r="P68" s="99">
        <f t="shared" ref="P68:P99" si="23">VLOOKUP(O68,STN_TABLE_2,2,FALSE)</f>
        <v>4.8499999999999996</v>
      </c>
      <c r="Q68" s="76">
        <f>P68</f>
        <v>4.8499999999999996</v>
      </c>
      <c r="R68" s="77">
        <f>VLOOKUP(Q68,STN_TABLE,2,FALSE)</f>
        <v>0</v>
      </c>
      <c r="S68" s="77">
        <v>8</v>
      </c>
      <c r="T68" s="76">
        <f>R68*S68</f>
        <v>0</v>
      </c>
      <c r="U68" s="80">
        <v>10</v>
      </c>
      <c r="V68" s="76">
        <f>R68*U68</f>
        <v>0</v>
      </c>
      <c r="W68" s="496" t="s">
        <v>97</v>
      </c>
      <c r="X68" s="496"/>
      <c r="Y68" s="496" t="s">
        <v>98</v>
      </c>
      <c r="Z68" s="496"/>
      <c r="AA68" s="494" t="s">
        <v>99</v>
      </c>
      <c r="AB68" s="494"/>
      <c r="AC68" s="99">
        <f>AC63+1</f>
        <v>8</v>
      </c>
      <c r="AD68" s="95">
        <f>VLOOKUP(AC68,STN_TABLE_2,2,FALSE)</f>
        <v>4</v>
      </c>
      <c r="AE68" s="68">
        <f>VLOOKUP(AD68,STN_TABLE,2,FALSE)</f>
        <v>0.08</v>
      </c>
      <c r="AF68" s="68">
        <v>1</v>
      </c>
      <c r="AG68" s="69">
        <f>AE68*AF68</f>
        <v>0.08</v>
      </c>
      <c r="AH68" s="496" t="s">
        <v>97</v>
      </c>
      <c r="AI68" s="496"/>
      <c r="AJ68" s="496" t="s">
        <v>98</v>
      </c>
      <c r="AK68" s="496"/>
      <c r="AL68" s="494" t="s">
        <v>99</v>
      </c>
      <c r="AM68" s="494"/>
      <c r="AP68" s="86" t="s">
        <v>112</v>
      </c>
      <c r="AQ68" s="89" t="s">
        <v>113</v>
      </c>
      <c r="AR68" s="89" t="s">
        <v>114</v>
      </c>
      <c r="AS68" s="89" t="s">
        <v>115</v>
      </c>
      <c r="AU68" s="81"/>
    </row>
    <row r="69" spans="1:47" x14ac:dyDescent="0.25">
      <c r="A69" s="84">
        <f>A68+1</f>
        <v>8</v>
      </c>
      <c r="B69" s="84">
        <f t="shared" si="11"/>
        <v>4</v>
      </c>
      <c r="C69" s="88">
        <f t="shared" ref="C69" si="24">B70</f>
        <v>4.8499999999999996</v>
      </c>
      <c r="D69" s="82">
        <f>VLOOKUP(C69,STN_TABLE,2,FALSE)</f>
        <v>0</v>
      </c>
      <c r="E69" s="92">
        <v>1</v>
      </c>
      <c r="F69" s="82">
        <f>D69*E69</f>
        <v>0</v>
      </c>
      <c r="G69" s="83">
        <f>C69</f>
        <v>4.8499999999999996</v>
      </c>
      <c r="H69" s="83">
        <f>F69*G69</f>
        <v>0</v>
      </c>
      <c r="I69" s="84" t="str">
        <f>CONCATENATE("a'(",C69,")=")</f>
        <v>a'(4.85)=</v>
      </c>
      <c r="J69" s="84" t="e">
        <f>2*J67/3*F70</f>
        <v>#N/A</v>
      </c>
      <c r="K69" s="84" t="str">
        <f>CONCATENATE("A(",C67,")=")</f>
        <v>A(#NA)=</v>
      </c>
      <c r="L69" s="84" t="e">
        <f>VLOOKUP(C67,STN_TABLE,3,FALSE)</f>
        <v>#N/A</v>
      </c>
      <c r="M69" t="str">
        <f>CONCATENATE("A(",C69,")=")</f>
        <v>A(4.85)=</v>
      </c>
      <c r="N69" t="e">
        <f>J69+L69</f>
        <v>#N/A</v>
      </c>
      <c r="O69" s="99">
        <f>O68+1</f>
        <v>10</v>
      </c>
      <c r="P69" s="99">
        <f t="shared" si="23"/>
        <v>5</v>
      </c>
      <c r="Q69" s="82" t="str">
        <f>IF(P69-P68=P68-P67,P69,IF(P70-P68=P68-P67,P70,IF(P69-P68=P68-P66,P69,IF(P70-P68=P68-P66,P70,"-"))))</f>
        <v>-</v>
      </c>
      <c r="R69" s="83" t="e">
        <f>VLOOKUP(Q69,STN_TABLE,2,FALSE)</f>
        <v>#N/A</v>
      </c>
      <c r="S69" s="83">
        <v>-1</v>
      </c>
      <c r="T69" s="82" t="e">
        <f>R69*S69</f>
        <v>#N/A</v>
      </c>
      <c r="U69" s="88">
        <v>-1</v>
      </c>
      <c r="V69" s="82" t="e">
        <f>R69*U69</f>
        <v>#N/A</v>
      </c>
      <c r="W69" s="84" t="str">
        <f>CONCATENATE("a'(",Q68,")=")</f>
        <v>a'(4.85)=</v>
      </c>
      <c r="X69" s="84" t="e">
        <f>2*X67/12*T70</f>
        <v>#VALUE!</v>
      </c>
      <c r="Y69" s="84" t="str">
        <f>CONCATENATE("A(",Q67,")=")</f>
        <v>A(-)=</v>
      </c>
      <c r="Z69" s="84" t="e">
        <f>VLOOKUP(Q67,STN_TABLE,3,FALSE)</f>
        <v>#N/A</v>
      </c>
      <c r="AA69" t="str">
        <f>CONCATENATE("A(",Q68,")=")</f>
        <v>A(4.85)=</v>
      </c>
      <c r="AB69" t="e">
        <f>X69+Z69</f>
        <v>#VALUE!</v>
      </c>
      <c r="AC69" s="99">
        <f>AC68+1</f>
        <v>9</v>
      </c>
      <c r="AD69" s="100">
        <f>VLOOKUP(AC69,STN_TABLE_2,2,FALSE)</f>
        <v>4.8499999999999996</v>
      </c>
      <c r="AE69" s="82">
        <f>VLOOKUP(AD69,STN_TABLE,2,FALSE)</f>
        <v>0</v>
      </c>
      <c r="AF69" s="82">
        <v>2</v>
      </c>
      <c r="AG69" s="83">
        <f>AE69*AF69</f>
        <v>0</v>
      </c>
      <c r="AH69" s="84" t="str">
        <f>CONCATENATE("a'(",AD69,")=")</f>
        <v>a'(4.85)=</v>
      </c>
      <c r="AI69" s="84">
        <f>2*AI67/2*AE70</f>
        <v>0.13599999999999995</v>
      </c>
      <c r="AJ69" s="84" t="str">
        <f>CONCATENATE("A(",AD68,")=")</f>
        <v>A(4)=</v>
      </c>
      <c r="AK69" s="84">
        <f>VLOOKUP(AD68,STN_TABLE,3,FALSE)</f>
        <v>13.953333333333333</v>
      </c>
      <c r="AL69" t="str">
        <f>CONCATENATE("A(",AD69,")=")</f>
        <v>A(4.85)=</v>
      </c>
      <c r="AM69">
        <f>AI69+AK69</f>
        <v>14.089333333333332</v>
      </c>
      <c r="AO69" s="68" t="str">
        <f>AA69</f>
        <v>A(4.85)=</v>
      </c>
      <c r="AP69" s="68" t="e">
        <f>VLOOKUP(AO69,Rise_Results,2,FALSE)</f>
        <v>#N/A</v>
      </c>
      <c r="AQ69" s="76" t="e">
        <f>N69</f>
        <v>#N/A</v>
      </c>
      <c r="AR69" s="76" t="e">
        <f>IF(OR(AB69&lt;=0,AB70&lt;=0),1/0,AB69)</f>
        <v>#VALUE!</v>
      </c>
      <c r="AS69" s="76">
        <f>AM69</f>
        <v>14.089333333333332</v>
      </c>
      <c r="AT69">
        <f>IFERROR(AP69,IFERROR(AQ69,IFERROR(AR69,AS69)))</f>
        <v>14.089333333333332</v>
      </c>
      <c r="AU69" s="81"/>
    </row>
    <row r="70" spans="1:47" x14ac:dyDescent="0.25">
      <c r="A70" s="84">
        <f>A69+1</f>
        <v>9</v>
      </c>
      <c r="B70" s="84">
        <f t="shared" si="11"/>
        <v>4.8499999999999996</v>
      </c>
      <c r="F70" s="82" t="e">
        <f>SUM(F67:F69)</f>
        <v>#N/A</v>
      </c>
      <c r="H70" s="82" t="e">
        <f>SUM(H67:H69)</f>
        <v>#N/A</v>
      </c>
      <c r="I70" s="84" t="str">
        <f>CONCATENATE("m'(",C69,")=")</f>
        <v>m'(4.85)=</v>
      </c>
      <c r="J70" s="84" t="e">
        <f>2*(J67*(WLS))/3*H70</f>
        <v>#N/A</v>
      </c>
      <c r="K70" s="84" t="str">
        <f>CONCATENATE("M(",C67,")=")</f>
        <v>M(#NA)=</v>
      </c>
      <c r="L70" s="84" t="e">
        <f>VLOOKUP(C67,STN_TABLE,4,FALSE)</f>
        <v>#N/A</v>
      </c>
      <c r="M70" t="str">
        <f>CONCATENATE("M(",C69,")=")</f>
        <v>M(4.85)=</v>
      </c>
      <c r="N70" t="e">
        <f>J70+L70</f>
        <v>#N/A</v>
      </c>
      <c r="O70" s="99">
        <f>O69+1</f>
        <v>11</v>
      </c>
      <c r="P70" s="99">
        <f t="shared" si="23"/>
        <v>6</v>
      </c>
      <c r="T70" s="89" t="e">
        <f>SUM(T67:T69)</f>
        <v>#N/A</v>
      </c>
      <c r="V70" s="82" t="e">
        <f>SUM(V67:V69)</f>
        <v>#N/A</v>
      </c>
      <c r="W70" s="84" t="str">
        <f>CONCATENATE("m'(",Q68,")=")</f>
        <v>m'(4.85)=</v>
      </c>
      <c r="X70" s="84" t="e">
        <f>(2*(X67^2)/24*V70)+(X69*Q67*WLS)</f>
        <v>#VALUE!</v>
      </c>
      <c r="Y70" s="84" t="str">
        <f>CONCATENATE("M(",Q67,")=")</f>
        <v>M(-)=</v>
      </c>
      <c r="Z70" s="84" t="e">
        <f>VLOOKUP(Q67,STN_TABLE,4,FALSE)</f>
        <v>#N/A</v>
      </c>
      <c r="AA70" t="str">
        <f>CONCATENATE("M(",Q68,")=")</f>
        <v>M(4.85)=</v>
      </c>
      <c r="AB70" t="e">
        <f>X70+Z70</f>
        <v>#VALUE!</v>
      </c>
      <c r="AE70" s="89">
        <f>SUM(AE68:AE69)</f>
        <v>0.08</v>
      </c>
      <c r="AG70" s="89">
        <f>SUM(AG68:AG69)</f>
        <v>0.08</v>
      </c>
      <c r="AH70" s="84" t="str">
        <f>CONCATENATE("m'(",AD69,")=")</f>
        <v>m'(4.85)=</v>
      </c>
      <c r="AI70" s="84">
        <f>(2*(AI67^2)/6*AG70)+(AI69*AD68*WLS)</f>
        <v>1.1650666666666663</v>
      </c>
      <c r="AJ70" s="84" t="str">
        <f>CONCATENATE("M(",AD68,")=")</f>
        <v>M(4)=</v>
      </c>
      <c r="AK70" s="84">
        <f>VLOOKUP(AD68,STN_TABLE,4,FALSE)</f>
        <v>43.876666666666665</v>
      </c>
      <c r="AL70" t="str">
        <f>CONCATENATE("M(",AD69,")=")</f>
        <v>M(4.85)=</v>
      </c>
      <c r="AM70">
        <f>AI70+AK70</f>
        <v>45.041733333333333</v>
      </c>
      <c r="AO70" s="82" t="str">
        <f>AA70</f>
        <v>M(4.85)=</v>
      </c>
      <c r="AP70" s="82" t="e">
        <f>VLOOKUP(AO70,Rise_Results,2,FALSE)</f>
        <v>#N/A</v>
      </c>
      <c r="AQ70" s="82" t="e">
        <f>N70</f>
        <v>#N/A</v>
      </c>
      <c r="AR70" s="82" t="e">
        <f>IF(OR(AB69&lt;=0,AB70&lt;=0),1/0,AB70)</f>
        <v>#VALUE!</v>
      </c>
      <c r="AS70" s="82">
        <f>AM70</f>
        <v>45.041733333333333</v>
      </c>
      <c r="AT70">
        <f>IFERROR(AP70,IFERROR(AQ70,IFERROR(AR70,AS70)))</f>
        <v>45.041733333333333</v>
      </c>
      <c r="AU70" s="81"/>
    </row>
    <row r="71" spans="1:47" x14ac:dyDescent="0.25">
      <c r="A71" s="101">
        <f>A66+1</f>
        <v>6</v>
      </c>
      <c r="B71" s="101">
        <f t="shared" si="11"/>
        <v>2</v>
      </c>
      <c r="O71" s="101">
        <f>O66+1</f>
        <v>8</v>
      </c>
      <c r="P71" s="101">
        <f t="shared" si="23"/>
        <v>4</v>
      </c>
      <c r="AU71" s="81"/>
    </row>
    <row r="72" spans="1:47" x14ac:dyDescent="0.25">
      <c r="A72" s="84">
        <f>A71+1</f>
        <v>7</v>
      </c>
      <c r="B72" s="84">
        <f t="shared" si="11"/>
        <v>3</v>
      </c>
      <c r="C72" s="79">
        <f t="shared" ref="C72" si="25">IF(C73=B74,IF(C74-C73=C73-B73,B73,IF(C74-C73=C73-B72,B72,"#NA")),IF(C73=B73,IF(C74-C73=C73-B72,B72,IF(C74-C73=C73-B71,B71,"#NA")),"#NA"))</f>
        <v>3</v>
      </c>
      <c r="D72" s="68">
        <f>VLOOKUP(C72,STN_TABLE,2,FALSE)</f>
        <v>0.5</v>
      </c>
      <c r="E72" s="102">
        <v>1</v>
      </c>
      <c r="F72" s="68">
        <f>D72*E72</f>
        <v>0.5</v>
      </c>
      <c r="G72" s="69">
        <f>C72</f>
        <v>3</v>
      </c>
      <c r="H72" s="69">
        <f>F72*G72</f>
        <v>1.5</v>
      </c>
      <c r="I72" s="6" t="s">
        <v>93</v>
      </c>
      <c r="J72" s="70">
        <f>IF(OR(D72=0,D73=0,D74=0),"#NA",IF(AND(C74-C73=C73-C72,C73&lt;&gt;C74,C72&lt;&gt;C73,C72&lt;&gt;C74,D74&lt;&gt;0,OR(D72&lt;&gt;0,D73&lt;&gt;0)),WLS*(C74-C73),"#NA"))</f>
        <v>2</v>
      </c>
      <c r="O72" s="99">
        <f>O71+1</f>
        <v>9</v>
      </c>
      <c r="P72" s="99">
        <f t="shared" si="23"/>
        <v>4.8499999999999996</v>
      </c>
      <c r="Q72" s="68">
        <f>IF(OR(P74-P73=P73-P72,P75-P73=P73-P72),P72,IF(OR(P74-P73=P73-P71,P75-P73=P73-P71),P71,"-"))</f>
        <v>4</v>
      </c>
      <c r="R72" s="69">
        <f>VLOOKUP(Q72,STN_TABLE,2,FALSE)</f>
        <v>0.08</v>
      </c>
      <c r="S72" s="69">
        <v>5</v>
      </c>
      <c r="T72" s="68">
        <f>R72*S72</f>
        <v>0.4</v>
      </c>
      <c r="U72" s="79">
        <v>3</v>
      </c>
      <c r="V72" s="68">
        <f>R72*U72</f>
        <v>0.24</v>
      </c>
      <c r="W72" s="6" t="s">
        <v>93</v>
      </c>
      <c r="X72" s="70">
        <f>IF(AND(Q74-Q73=Q73-Q72,NOT(AND(Q72=0,Q73=0)),NOT(AND(Q73=0,Q74=0))),WLS*(Q74-Q73),"#NA")</f>
        <v>2</v>
      </c>
      <c r="AD72" s="93"/>
      <c r="AH72" s="6" t="s">
        <v>93</v>
      </c>
      <c r="AI72" s="70">
        <f>WLS*(AD74-AD73)</f>
        <v>0.30000000000000071</v>
      </c>
      <c r="AU72" s="81"/>
    </row>
    <row r="73" spans="1:47" x14ac:dyDescent="0.25">
      <c r="A73" s="84">
        <f>A72+1</f>
        <v>8</v>
      </c>
      <c r="B73" s="84">
        <f t="shared" si="11"/>
        <v>4</v>
      </c>
      <c r="C73" s="80">
        <f t="shared" ref="C73" si="26">IF(OR(B75-B74=B74-B73,B75-B74=B74-B72,B75-B74=B74-B71),B74,IF(OR(B75-B73=B73-B72,B75-B73=B73-B71),B73,IF(B75-B72=B72-B71,B72,"#NA")))</f>
        <v>4</v>
      </c>
      <c r="D73" s="76">
        <f>VLOOKUP(C73,STN_TABLE,2,FALSE)</f>
        <v>0.08</v>
      </c>
      <c r="E73" s="81">
        <v>4</v>
      </c>
      <c r="F73" s="76">
        <f>D73*E73</f>
        <v>0.32</v>
      </c>
      <c r="G73" s="77">
        <f>C73</f>
        <v>4</v>
      </c>
      <c r="H73" s="77">
        <f>F73*G73</f>
        <v>1.28</v>
      </c>
      <c r="I73" s="495" t="s">
        <v>97</v>
      </c>
      <c r="J73" s="496"/>
      <c r="K73" s="78" t="s">
        <v>98</v>
      </c>
      <c r="L73" s="78"/>
      <c r="M73" s="7" t="s">
        <v>99</v>
      </c>
      <c r="N73" s="7"/>
      <c r="O73" s="99">
        <f>O72+1</f>
        <v>10</v>
      </c>
      <c r="P73" s="99">
        <f t="shared" si="23"/>
        <v>5</v>
      </c>
      <c r="Q73" s="76">
        <f>P73</f>
        <v>5</v>
      </c>
      <c r="R73" s="77">
        <f>VLOOKUP(Q73,STN_TABLE,2,FALSE)</f>
        <v>0.03</v>
      </c>
      <c r="S73" s="77">
        <v>8</v>
      </c>
      <c r="T73" s="76">
        <f>R73*S73</f>
        <v>0.24</v>
      </c>
      <c r="U73" s="80">
        <v>10</v>
      </c>
      <c r="V73" s="76">
        <f>R73*U73</f>
        <v>0.3</v>
      </c>
      <c r="W73" s="496" t="s">
        <v>97</v>
      </c>
      <c r="X73" s="496"/>
      <c r="Y73" s="496" t="s">
        <v>98</v>
      </c>
      <c r="Z73" s="496"/>
      <c r="AA73" s="494" t="s">
        <v>99</v>
      </c>
      <c r="AB73" s="494"/>
      <c r="AC73" s="99">
        <f>AC68+1</f>
        <v>9</v>
      </c>
      <c r="AD73" s="95">
        <f>VLOOKUP(AC73,STN_TABLE_2,2,FALSE)</f>
        <v>4.8499999999999996</v>
      </c>
      <c r="AE73" s="68">
        <f>VLOOKUP(AD73,STN_TABLE,2,FALSE)</f>
        <v>0</v>
      </c>
      <c r="AF73" s="68">
        <v>1</v>
      </c>
      <c r="AG73" s="69">
        <f>AE73*AF73</f>
        <v>0</v>
      </c>
      <c r="AH73" s="496" t="s">
        <v>97</v>
      </c>
      <c r="AI73" s="496"/>
      <c r="AJ73" s="496" t="s">
        <v>98</v>
      </c>
      <c r="AK73" s="496"/>
      <c r="AL73" s="494" t="s">
        <v>99</v>
      </c>
      <c r="AM73" s="494"/>
      <c r="AP73" s="86" t="s">
        <v>112</v>
      </c>
      <c r="AQ73" s="89" t="s">
        <v>113</v>
      </c>
      <c r="AR73" s="89" t="s">
        <v>114</v>
      </c>
      <c r="AS73" s="89" t="s">
        <v>115</v>
      </c>
      <c r="AU73" s="81"/>
    </row>
    <row r="74" spans="1:47" x14ac:dyDescent="0.25">
      <c r="A74" s="84">
        <f>A73+1</f>
        <v>9</v>
      </c>
      <c r="B74" s="84">
        <f t="shared" ref="B74:B105" si="27">VLOOKUP(A74,STN_TABLE_2,2,FALSE)</f>
        <v>4.8499999999999996</v>
      </c>
      <c r="C74" s="88">
        <f t="shared" ref="C74" si="28">B75</f>
        <v>5</v>
      </c>
      <c r="D74" s="82">
        <f>VLOOKUP(C74,STN_TABLE,2,FALSE)</f>
        <v>0.03</v>
      </c>
      <c r="E74" s="92">
        <v>1</v>
      </c>
      <c r="F74" s="82">
        <f>D74*E74</f>
        <v>0.03</v>
      </c>
      <c r="G74" s="83">
        <f>C74</f>
        <v>5</v>
      </c>
      <c r="H74" s="83">
        <f>F74*G74</f>
        <v>0.15</v>
      </c>
      <c r="I74" s="84" t="str">
        <f>CONCATENATE("a'(",C74,")=")</f>
        <v>a'(5)=</v>
      </c>
      <c r="J74" s="84">
        <f>2*J72/3*F75</f>
        <v>1.1333333333333333</v>
      </c>
      <c r="K74" s="84" t="str">
        <f>CONCATENATE("A(",C72,")=")</f>
        <v>A(3)=</v>
      </c>
      <c r="L74" s="84">
        <f>VLOOKUP(C72,STN_TABLE,3,FALSE)</f>
        <v>12.996666666666666</v>
      </c>
      <c r="M74" t="str">
        <f>CONCATENATE("A(",C74,")=")</f>
        <v>A(5)=</v>
      </c>
      <c r="N74">
        <f>J74+L74</f>
        <v>14.129999999999999</v>
      </c>
      <c r="O74" s="99">
        <f>O73+1</f>
        <v>11</v>
      </c>
      <c r="P74" s="99">
        <f t="shared" si="23"/>
        <v>6</v>
      </c>
      <c r="Q74" s="82">
        <f>IF(P74-P73=P73-P72,P74,IF(P75-P73=P73-P72,P75,IF(P74-P73=P73-P71,P74,IF(P75-P73=P73-P71,P75,"-"))))</f>
        <v>6</v>
      </c>
      <c r="R74" s="83">
        <f>VLOOKUP(Q74,STN_TABLE,2,FALSE)</f>
        <v>0.8</v>
      </c>
      <c r="S74" s="83">
        <v>-1</v>
      </c>
      <c r="T74" s="82">
        <f>R74*S74</f>
        <v>-0.8</v>
      </c>
      <c r="U74" s="88">
        <v>-1</v>
      </c>
      <c r="V74" s="82">
        <f>R74*U74</f>
        <v>-0.8</v>
      </c>
      <c r="W74" s="84" t="str">
        <f>CONCATENATE("a'(",Q73,")=")</f>
        <v>a'(5)=</v>
      </c>
      <c r="X74" s="84">
        <f>2*X72/12*T75</f>
        <v>-5.3333333333333344E-2</v>
      </c>
      <c r="Y74" s="84" t="str">
        <f>CONCATENATE("A(",Q72,")=")</f>
        <v>A(4)=</v>
      </c>
      <c r="Z74" s="84">
        <f>VLOOKUP(Q72,STN_TABLE,3,FALSE)</f>
        <v>13.953333333333333</v>
      </c>
      <c r="AA74" t="str">
        <f>CONCATENATE("A(",Q73,")=")</f>
        <v>A(5)=</v>
      </c>
      <c r="AB74">
        <f>X74+Z74</f>
        <v>13.9</v>
      </c>
      <c r="AC74" s="99">
        <f>AC73+1</f>
        <v>10</v>
      </c>
      <c r="AD74" s="100">
        <f>VLOOKUP(AC74,STN_TABLE_2,2,FALSE)</f>
        <v>5</v>
      </c>
      <c r="AE74" s="82">
        <f>VLOOKUP(AD74,STN_TABLE,2,FALSE)</f>
        <v>0.03</v>
      </c>
      <c r="AF74" s="82">
        <v>2</v>
      </c>
      <c r="AG74" s="83">
        <f>AE74*AF74</f>
        <v>0.06</v>
      </c>
      <c r="AH74" s="84" t="str">
        <f>CONCATENATE("a'(",AD74,")=")</f>
        <v>a'(5)=</v>
      </c>
      <c r="AI74" s="84">
        <f>2*AI72/2*AE75</f>
        <v>9.0000000000000201E-3</v>
      </c>
      <c r="AJ74" s="84" t="str">
        <f>CONCATENATE("A(",AD73,")=")</f>
        <v>A(4.85)=</v>
      </c>
      <c r="AK74" s="84">
        <f>VLOOKUP(AD73,STN_TABLE,3,FALSE)</f>
        <v>14.089333333333332</v>
      </c>
      <c r="AL74" t="str">
        <f>CONCATENATE("A(",AD74,")=")</f>
        <v>A(5)=</v>
      </c>
      <c r="AM74">
        <f>AI74+AK74</f>
        <v>14.098333333333333</v>
      </c>
      <c r="AO74" s="68" t="str">
        <f>AA74</f>
        <v>A(5)=</v>
      </c>
      <c r="AP74" s="68" t="e">
        <f>VLOOKUP(AO74,Rise_Results,2,FALSE)</f>
        <v>#N/A</v>
      </c>
      <c r="AQ74" s="76">
        <f>N74</f>
        <v>14.129999999999999</v>
      </c>
      <c r="AR74" s="76">
        <f>IF(OR(AB74&lt;=0,AB75&lt;=0),1/0,AB74)</f>
        <v>13.9</v>
      </c>
      <c r="AS74" s="76">
        <f>AM74</f>
        <v>14.098333333333333</v>
      </c>
      <c r="AT74">
        <f>IFERROR(AP74,IFERROR(AQ74,IFERROR(AR74,AS74)))</f>
        <v>14.129999999999999</v>
      </c>
      <c r="AU74" s="81"/>
    </row>
    <row r="75" spans="1:47" x14ac:dyDescent="0.25">
      <c r="A75" s="84">
        <f>A74+1</f>
        <v>10</v>
      </c>
      <c r="B75" s="84">
        <f t="shared" si="27"/>
        <v>5</v>
      </c>
      <c r="F75" s="82">
        <f>SUM(F72:F74)</f>
        <v>0.85000000000000009</v>
      </c>
      <c r="H75" s="82">
        <f>SUM(H72:H74)</f>
        <v>2.93</v>
      </c>
      <c r="I75" s="84" t="str">
        <f>CONCATENATE("m'(",C74,")=")</f>
        <v>m'(5)=</v>
      </c>
      <c r="J75" s="84">
        <f>2*(J72*(WLS))/3*H75</f>
        <v>7.8133333333333335</v>
      </c>
      <c r="K75" s="84" t="str">
        <f>CONCATENATE("M(",C72,")=")</f>
        <v>M(3)=</v>
      </c>
      <c r="L75" s="84">
        <f>VLOOKUP(C72,STN_TABLE,4,FALSE)</f>
        <v>37.186666666666667</v>
      </c>
      <c r="M75" t="str">
        <f>CONCATENATE("M(",C74,")=")</f>
        <v>M(5)=</v>
      </c>
      <c r="N75">
        <f>J75+L75</f>
        <v>45</v>
      </c>
      <c r="O75" s="99">
        <f>O74+1</f>
        <v>12</v>
      </c>
      <c r="P75" s="99">
        <f t="shared" si="23"/>
        <v>6.5</v>
      </c>
      <c r="T75" s="89">
        <f>SUM(T72:T74)</f>
        <v>-0.16000000000000003</v>
      </c>
      <c r="V75" s="82">
        <f>SUM(V72:V74)</f>
        <v>-0.26</v>
      </c>
      <c r="W75" s="84" t="str">
        <f>CONCATENATE("m'(",Q73,")=")</f>
        <v>m'(5)=</v>
      </c>
      <c r="X75" s="84">
        <f>(2*(X72^2)/24*V75)+(X74*Q72*WLS)</f>
        <v>-0.51333333333333342</v>
      </c>
      <c r="Y75" s="84" t="str">
        <f>CONCATENATE("M(",Q72,")=")</f>
        <v>M(4)=</v>
      </c>
      <c r="Z75" s="84">
        <f>VLOOKUP(Q72,STN_TABLE,4,FALSE)</f>
        <v>43.876666666666665</v>
      </c>
      <c r="AA75" t="str">
        <f>CONCATENATE("M(",Q73,")=")</f>
        <v>M(5)=</v>
      </c>
      <c r="AB75">
        <f>X75+Z75</f>
        <v>43.36333333333333</v>
      </c>
      <c r="AE75" s="89">
        <f>SUM(AE73:AE74)</f>
        <v>0.03</v>
      </c>
      <c r="AG75" s="89">
        <f>SUM(AG73:AG74)</f>
        <v>0.06</v>
      </c>
      <c r="AH75" s="84" t="str">
        <f>CONCATENATE("m'(",AD74,")=")</f>
        <v>m'(5)=</v>
      </c>
      <c r="AI75" s="84">
        <f>(2*(AI72^2)/6*AG75)+(AI74*AD73*WLS)</f>
        <v>8.9100000000000193E-2</v>
      </c>
      <c r="AJ75" s="84" t="str">
        <f>CONCATENATE("M(",AD73,")=")</f>
        <v>M(4.85)=</v>
      </c>
      <c r="AK75" s="84">
        <f>VLOOKUP(AD73,STN_TABLE,4,FALSE)</f>
        <v>45.041733333333333</v>
      </c>
      <c r="AL75" t="str">
        <f>CONCATENATE("M(",AD74,")=")</f>
        <v>M(5)=</v>
      </c>
      <c r="AM75">
        <f>AI75+AK75</f>
        <v>45.130833333333335</v>
      </c>
      <c r="AO75" s="82" t="str">
        <f>AA75</f>
        <v>M(5)=</v>
      </c>
      <c r="AP75" s="82" t="e">
        <f>VLOOKUP(AO75,Rise_Results,2,FALSE)</f>
        <v>#N/A</v>
      </c>
      <c r="AQ75" s="82">
        <f>N75</f>
        <v>45</v>
      </c>
      <c r="AR75" s="82">
        <f>IF(OR(AB74&lt;=0,AB75&lt;=0),1/0,AB75)</f>
        <v>43.36333333333333</v>
      </c>
      <c r="AS75" s="82">
        <f>AM75</f>
        <v>45.130833333333335</v>
      </c>
      <c r="AT75">
        <f>IFERROR(AP75,IFERROR(AQ75,IFERROR(AR75,AS75)))</f>
        <v>45</v>
      </c>
      <c r="AU75" s="81"/>
    </row>
    <row r="76" spans="1:47" x14ac:dyDescent="0.25">
      <c r="A76" s="101">
        <f>A71+1</f>
        <v>7</v>
      </c>
      <c r="B76" s="101">
        <f t="shared" si="27"/>
        <v>3</v>
      </c>
      <c r="O76" s="101">
        <f>O71+1</f>
        <v>9</v>
      </c>
      <c r="P76" s="101">
        <f t="shared" si="23"/>
        <v>4.8499999999999996</v>
      </c>
      <c r="AU76" s="81"/>
    </row>
    <row r="77" spans="1:47" x14ac:dyDescent="0.25">
      <c r="A77" s="84">
        <f>A76+1</f>
        <v>8</v>
      </c>
      <c r="B77" s="84">
        <f t="shared" si="27"/>
        <v>4</v>
      </c>
      <c r="C77" s="79">
        <f t="shared" ref="C77" si="29">IF(C78=B79,IF(C79-C78=C78-B78,B78,IF(C79-C78=C78-B77,B77,"#NA")),IF(C78=B78,IF(C79-C78=C78-B77,B77,IF(C79-C78=C78-B76,B76,"#NA")),"#NA"))</f>
        <v>4</v>
      </c>
      <c r="D77" s="68">
        <f>VLOOKUP(C77,STN_TABLE,2,FALSE)</f>
        <v>0.08</v>
      </c>
      <c r="E77" s="102">
        <v>1</v>
      </c>
      <c r="F77" s="68">
        <f>D77*E77</f>
        <v>0.08</v>
      </c>
      <c r="G77" s="69">
        <f>C77</f>
        <v>4</v>
      </c>
      <c r="H77" s="69">
        <f>F77*G77</f>
        <v>0.32</v>
      </c>
      <c r="I77" s="6" t="s">
        <v>93</v>
      </c>
      <c r="J77" s="70">
        <f>IF(OR(D77=0,D78=0,D79=0),"#NA",IF(AND(C79-C78=C78-C77,C78&lt;&gt;C79,C77&lt;&gt;C78,C77&lt;&gt;C79,D79&lt;&gt;0,OR(D77&lt;&gt;0,D78&lt;&gt;0)),WLS*(C79-C78),"#NA"))</f>
        <v>2</v>
      </c>
      <c r="O77" s="99">
        <f>O76+1</f>
        <v>10</v>
      </c>
      <c r="P77" s="99">
        <f t="shared" si="23"/>
        <v>5</v>
      </c>
      <c r="Q77" s="68" t="e">
        <f>IF(OR(P79-P78=P78-P77,P80-P78=P78-P77),P77,IF(OR(P79-P78=P78-P76,P80-P78=P78-P76),P76,"-"))</f>
        <v>#VALUE!</v>
      </c>
      <c r="R77" s="69" t="e">
        <f>VLOOKUP(Q77,STN_TABLE,2,FALSE)</f>
        <v>#VALUE!</v>
      </c>
      <c r="S77" s="69">
        <v>5</v>
      </c>
      <c r="T77" s="68" t="e">
        <f>R77*S77</f>
        <v>#VALUE!</v>
      </c>
      <c r="U77" s="79">
        <v>3</v>
      </c>
      <c r="V77" s="68" t="e">
        <f>R77*U77</f>
        <v>#VALUE!</v>
      </c>
      <c r="W77" s="6" t="s">
        <v>93</v>
      </c>
      <c r="X77" s="70" t="e">
        <f>IF(AND(Q79-Q78=Q78-Q77,NOT(AND(Q77=0,Q78=0)),NOT(AND(Q78=0,Q79=0))),WLS*(Q79-Q78),"#NA")</f>
        <v>#VALUE!</v>
      </c>
      <c r="AD77" s="93"/>
      <c r="AH77" s="6" t="s">
        <v>93</v>
      </c>
      <c r="AI77" s="70">
        <f>WLS*(AD79-AD78)</f>
        <v>2</v>
      </c>
      <c r="AU77" s="81"/>
    </row>
    <row r="78" spans="1:47" x14ac:dyDescent="0.25">
      <c r="A78" s="84">
        <f>A77+1</f>
        <v>9</v>
      </c>
      <c r="B78" s="84">
        <f t="shared" si="27"/>
        <v>4.8499999999999996</v>
      </c>
      <c r="C78" s="80">
        <f t="shared" ref="C78" si="30">IF(OR(B80-B79=B79-B78,B80-B79=B79-B77,B80-B79=B79-B76),B79,IF(OR(B80-B78=B78-B77,B80-B78=B78-B76),B78,IF(B80-B77=B77-B76,B77,"#NA")))</f>
        <v>5</v>
      </c>
      <c r="D78" s="76">
        <f>VLOOKUP(C78,STN_TABLE,2,FALSE)</f>
        <v>0.03</v>
      </c>
      <c r="E78" s="81">
        <v>4</v>
      </c>
      <c r="F78" s="76">
        <f>D78*E78</f>
        <v>0.12</v>
      </c>
      <c r="G78" s="77">
        <f>C78</f>
        <v>5</v>
      </c>
      <c r="H78" s="77">
        <f>F78*G78</f>
        <v>0.6</v>
      </c>
      <c r="I78" s="495" t="s">
        <v>97</v>
      </c>
      <c r="J78" s="496"/>
      <c r="K78" s="78" t="s">
        <v>98</v>
      </c>
      <c r="L78" s="78"/>
      <c r="M78" s="7" t="s">
        <v>99</v>
      </c>
      <c r="N78" s="7"/>
      <c r="O78" s="99">
        <f>O77+1</f>
        <v>11</v>
      </c>
      <c r="P78" s="99">
        <f t="shared" si="23"/>
        <v>6</v>
      </c>
      <c r="Q78" s="76">
        <f>P78</f>
        <v>6</v>
      </c>
      <c r="R78" s="77">
        <f>VLOOKUP(Q78,STN_TABLE,2,FALSE)</f>
        <v>0.8</v>
      </c>
      <c r="S78" s="77">
        <v>8</v>
      </c>
      <c r="T78" s="76">
        <f>R78*S78</f>
        <v>6.4</v>
      </c>
      <c r="U78" s="80">
        <v>10</v>
      </c>
      <c r="V78" s="76">
        <f>R78*U78</f>
        <v>8</v>
      </c>
      <c r="W78" s="496" t="s">
        <v>97</v>
      </c>
      <c r="X78" s="496"/>
      <c r="Y78" s="496" t="s">
        <v>98</v>
      </c>
      <c r="Z78" s="496"/>
      <c r="AA78" s="494" t="s">
        <v>99</v>
      </c>
      <c r="AB78" s="494"/>
      <c r="AC78" s="99">
        <f>AC73+1</f>
        <v>10</v>
      </c>
      <c r="AD78" s="95">
        <f>VLOOKUP(AC78,STN_TABLE_2,2,FALSE)</f>
        <v>5</v>
      </c>
      <c r="AE78" s="68">
        <f>VLOOKUP(AD78,STN_TABLE,2,FALSE)</f>
        <v>0.03</v>
      </c>
      <c r="AF78" s="68">
        <v>1</v>
      </c>
      <c r="AG78" s="69">
        <f>AE78*AF78</f>
        <v>0.03</v>
      </c>
      <c r="AH78" s="496" t="s">
        <v>97</v>
      </c>
      <c r="AI78" s="496"/>
      <c r="AJ78" s="496" t="s">
        <v>98</v>
      </c>
      <c r="AK78" s="496"/>
      <c r="AL78" s="494" t="s">
        <v>99</v>
      </c>
      <c r="AM78" s="494"/>
      <c r="AP78" s="86" t="s">
        <v>112</v>
      </c>
      <c r="AQ78" s="89" t="s">
        <v>113</v>
      </c>
      <c r="AR78" s="89" t="s">
        <v>114</v>
      </c>
      <c r="AS78" s="89" t="s">
        <v>115</v>
      </c>
      <c r="AU78" s="81"/>
    </row>
    <row r="79" spans="1:47" x14ac:dyDescent="0.25">
      <c r="A79" s="84">
        <f>A78+1</f>
        <v>10</v>
      </c>
      <c r="B79" s="84">
        <f t="shared" si="27"/>
        <v>5</v>
      </c>
      <c r="C79" s="88">
        <f t="shared" ref="C79" si="31">B80</f>
        <v>6</v>
      </c>
      <c r="D79" s="82">
        <f>VLOOKUP(C79,STN_TABLE,2,FALSE)</f>
        <v>0.8</v>
      </c>
      <c r="E79" s="92">
        <v>1</v>
      </c>
      <c r="F79" s="82">
        <f>D79*E79</f>
        <v>0.8</v>
      </c>
      <c r="G79" s="83">
        <f>C79</f>
        <v>6</v>
      </c>
      <c r="H79" s="83">
        <f>F79*G79</f>
        <v>4.8000000000000007</v>
      </c>
      <c r="I79" s="84" t="str">
        <f>CONCATENATE("a'(",C79,")=")</f>
        <v>a'(6)=</v>
      </c>
      <c r="J79" s="84">
        <f>2*J77/3*F80</f>
        <v>1.3333333333333333</v>
      </c>
      <c r="K79" s="84" t="str">
        <f>CONCATENATE("A(",C77,")=")</f>
        <v>A(4)=</v>
      </c>
      <c r="L79" s="84">
        <f>VLOOKUP(C77,STN_TABLE,3,FALSE)</f>
        <v>13.953333333333333</v>
      </c>
      <c r="M79" t="str">
        <f>CONCATENATE("A(",C79,")=")</f>
        <v>A(6)=</v>
      </c>
      <c r="N79">
        <f>J79+L79</f>
        <v>15.286666666666667</v>
      </c>
      <c r="O79" s="99">
        <f>O78+1</f>
        <v>12</v>
      </c>
      <c r="P79" s="99">
        <f t="shared" si="23"/>
        <v>6.5</v>
      </c>
      <c r="Q79" s="82" t="e">
        <f>IF(P79-P78=P78-P77,P79,IF(P80-P78=P78-P77,P80,IF(P79-P78=P78-P76,P79,IF(P80-P78=P78-P76,P80,"-"))))</f>
        <v>#VALUE!</v>
      </c>
      <c r="R79" s="83" t="e">
        <f>VLOOKUP(Q79,STN_TABLE,2,FALSE)</f>
        <v>#VALUE!</v>
      </c>
      <c r="S79" s="83">
        <v>-1</v>
      </c>
      <c r="T79" s="82" t="e">
        <f>R79*S79</f>
        <v>#VALUE!</v>
      </c>
      <c r="U79" s="88">
        <v>-1</v>
      </c>
      <c r="V79" s="82" t="e">
        <f>R79*U79</f>
        <v>#VALUE!</v>
      </c>
      <c r="W79" s="84" t="str">
        <f>CONCATENATE("a'(",Q78,")=")</f>
        <v>a'(6)=</v>
      </c>
      <c r="X79" s="84" t="e">
        <f>2*X77/12*T80</f>
        <v>#VALUE!</v>
      </c>
      <c r="Y79" s="84" t="e">
        <f>CONCATENATE("A(",Q77,")=")</f>
        <v>#VALUE!</v>
      </c>
      <c r="Z79" s="84" t="e">
        <f>VLOOKUP(Q77,STN_TABLE,3,FALSE)</f>
        <v>#VALUE!</v>
      </c>
      <c r="AA79" t="str">
        <f>CONCATENATE("A(",Q78,")=")</f>
        <v>A(6)=</v>
      </c>
      <c r="AB79" t="e">
        <f>X79+Z79</f>
        <v>#VALUE!</v>
      </c>
      <c r="AC79" s="99">
        <f>AC78+1</f>
        <v>11</v>
      </c>
      <c r="AD79" s="100">
        <f>VLOOKUP(AC79,STN_TABLE_2,2,FALSE)</f>
        <v>6</v>
      </c>
      <c r="AE79" s="82">
        <f>VLOOKUP(AD79,STN_TABLE,2,FALSE)</f>
        <v>0.8</v>
      </c>
      <c r="AF79" s="82">
        <v>2</v>
      </c>
      <c r="AG79" s="83">
        <f>AE79*AF79</f>
        <v>1.6</v>
      </c>
      <c r="AH79" s="84" t="str">
        <f>CONCATENATE("a'(",AD79,")=")</f>
        <v>a'(6)=</v>
      </c>
      <c r="AI79" s="84">
        <f>2*AI77/2*AE80</f>
        <v>1.6600000000000001</v>
      </c>
      <c r="AJ79" s="84" t="str">
        <f>CONCATENATE("A(",AD78,")=")</f>
        <v>A(5)=</v>
      </c>
      <c r="AK79" s="84">
        <f>VLOOKUP(AD78,STN_TABLE,3,FALSE)</f>
        <v>14.129999999999999</v>
      </c>
      <c r="AL79" t="str">
        <f>CONCATENATE("A(",AD79,")=")</f>
        <v>A(6)=</v>
      </c>
      <c r="AM79">
        <f>AI79+AK79</f>
        <v>15.79</v>
      </c>
      <c r="AO79" s="68" t="str">
        <f>AA79</f>
        <v>A(6)=</v>
      </c>
      <c r="AP79" s="68" t="e">
        <f>VLOOKUP(AO79,Rise_Results,2,FALSE)</f>
        <v>#N/A</v>
      </c>
      <c r="AQ79" s="76">
        <f>N79</f>
        <v>15.286666666666667</v>
      </c>
      <c r="AR79" s="76" t="e">
        <f>IF(OR(AB79&lt;=0,AB80&lt;=0),1/0,AB79)</f>
        <v>#VALUE!</v>
      </c>
      <c r="AS79" s="76">
        <f>AM79</f>
        <v>15.79</v>
      </c>
      <c r="AT79">
        <f>IFERROR(AP79,IFERROR(AQ79,IFERROR(AR79,AS79)))</f>
        <v>15.286666666666667</v>
      </c>
      <c r="AU79" s="81"/>
    </row>
    <row r="80" spans="1:47" x14ac:dyDescent="0.25">
      <c r="A80" s="84">
        <f>A79+1</f>
        <v>11</v>
      </c>
      <c r="B80" s="84">
        <f t="shared" si="27"/>
        <v>6</v>
      </c>
      <c r="F80" s="82">
        <f>SUM(F77:F79)</f>
        <v>1</v>
      </c>
      <c r="H80" s="82">
        <f>SUM(H77:H79)</f>
        <v>5.7200000000000006</v>
      </c>
      <c r="I80" s="84" t="str">
        <f>CONCATENATE("m'(",C79,")=")</f>
        <v>m'(6)=</v>
      </c>
      <c r="J80" s="84">
        <f>2*(J77*(WLS))/3*H80</f>
        <v>15.253333333333334</v>
      </c>
      <c r="K80" s="84" t="str">
        <f>CONCATENATE("M(",C77,")=")</f>
        <v>M(4)=</v>
      </c>
      <c r="L80" s="84">
        <f>VLOOKUP(C77,STN_TABLE,4,FALSE)</f>
        <v>43.876666666666665</v>
      </c>
      <c r="M80" t="str">
        <f>CONCATENATE("M(",C79,")=")</f>
        <v>M(6)=</v>
      </c>
      <c r="N80">
        <f>J80+L80</f>
        <v>59.129999999999995</v>
      </c>
      <c r="O80" s="99">
        <f>O79+1</f>
        <v>13</v>
      </c>
      <c r="P80" s="99" t="str">
        <f t="shared" si="23"/>
        <v xml:space="preserve">  </v>
      </c>
      <c r="T80" s="89" t="e">
        <f>SUM(T77:T79)</f>
        <v>#VALUE!</v>
      </c>
      <c r="V80" s="82" t="e">
        <f>SUM(V77:V79)</f>
        <v>#VALUE!</v>
      </c>
      <c r="W80" s="84" t="str">
        <f>CONCATENATE("m'(",Q78,")=")</f>
        <v>m'(6)=</v>
      </c>
      <c r="X80" s="84" t="e">
        <f>(2*(X77^2)/24*V80)+(X79*Q77*WLS)</f>
        <v>#VALUE!</v>
      </c>
      <c r="Y80" s="84" t="e">
        <f>CONCATENATE("M(",Q77,")=")</f>
        <v>#VALUE!</v>
      </c>
      <c r="Z80" s="84" t="e">
        <f>VLOOKUP(Q77,STN_TABLE,4,FALSE)</f>
        <v>#VALUE!</v>
      </c>
      <c r="AA80" t="str">
        <f>CONCATENATE("M(",Q78,")=")</f>
        <v>M(6)=</v>
      </c>
      <c r="AB80" t="e">
        <f>X80+Z80</f>
        <v>#VALUE!</v>
      </c>
      <c r="AE80" s="89">
        <f>SUM(AE78:AE79)</f>
        <v>0.83000000000000007</v>
      </c>
      <c r="AG80" s="89">
        <f>SUM(AG78:AG79)</f>
        <v>1.6300000000000001</v>
      </c>
      <c r="AH80" s="84" t="str">
        <f>CONCATENATE("m'(",AD79,")=")</f>
        <v>m'(6)=</v>
      </c>
      <c r="AI80" s="84">
        <f>(2*(AI77^2)/6*AG80)+(AI79*AD78*WLS)</f>
        <v>18.773333333333333</v>
      </c>
      <c r="AJ80" s="84" t="str">
        <f>CONCATENATE("M(",AD78,")=")</f>
        <v>M(5)=</v>
      </c>
      <c r="AK80" s="84">
        <f>VLOOKUP(AD78,STN_TABLE,4,FALSE)</f>
        <v>45</v>
      </c>
      <c r="AL80" t="str">
        <f>CONCATENATE("M(",AD79,")=")</f>
        <v>M(6)=</v>
      </c>
      <c r="AM80">
        <f>AI80+AK80</f>
        <v>63.773333333333333</v>
      </c>
      <c r="AO80" s="82" t="str">
        <f>AA80</f>
        <v>M(6)=</v>
      </c>
      <c r="AP80" s="82" t="e">
        <f>VLOOKUP(AO80,Rise_Results,2,FALSE)</f>
        <v>#N/A</v>
      </c>
      <c r="AQ80" s="82">
        <f>N80</f>
        <v>59.129999999999995</v>
      </c>
      <c r="AR80" s="82" t="e">
        <f>IF(OR(AB79&lt;=0,AB80&lt;=0),1/0,AB80)</f>
        <v>#VALUE!</v>
      </c>
      <c r="AS80" s="82">
        <f>AM80</f>
        <v>63.773333333333333</v>
      </c>
      <c r="AT80">
        <f>IFERROR(AP80,IFERROR(AQ80,IFERROR(AR80,AS80)))</f>
        <v>59.129999999999995</v>
      </c>
      <c r="AU80" s="81"/>
    </row>
    <row r="81" spans="1:47" x14ac:dyDescent="0.25">
      <c r="A81" s="101">
        <f>A76+1</f>
        <v>8</v>
      </c>
      <c r="B81" s="101">
        <f t="shared" si="27"/>
        <v>4</v>
      </c>
      <c r="O81" s="101">
        <f>O76+1</f>
        <v>10</v>
      </c>
      <c r="P81" s="101">
        <f t="shared" si="23"/>
        <v>5</v>
      </c>
      <c r="AU81" s="81"/>
    </row>
    <row r="82" spans="1:47" x14ac:dyDescent="0.25">
      <c r="A82" s="84">
        <f>A81+1</f>
        <v>9</v>
      </c>
      <c r="B82" s="84">
        <f t="shared" si="27"/>
        <v>4.8499999999999996</v>
      </c>
      <c r="C82" s="79" t="str">
        <f t="shared" ref="C82" si="32">IF(C83=B84,IF(C84-C83=C83-B83,B83,IF(C84-C83=C83-B82,B82,"#NA")),IF(C83=B83,IF(C84-C83=C83-B82,B82,IF(C84-C83=C83-B81,B81,"#NA")),"#NA"))</f>
        <v>#NA</v>
      </c>
      <c r="D82" s="68" t="e">
        <f>VLOOKUP(C82,STN_TABLE,2,FALSE)</f>
        <v>#N/A</v>
      </c>
      <c r="E82" s="102">
        <v>1</v>
      </c>
      <c r="F82" s="68" t="e">
        <f>D82*E82</f>
        <v>#N/A</v>
      </c>
      <c r="G82" s="69" t="str">
        <f>C82</f>
        <v>#NA</v>
      </c>
      <c r="H82" s="69" t="e">
        <f>F82*G82</f>
        <v>#N/A</v>
      </c>
      <c r="I82" s="6" t="s">
        <v>93</v>
      </c>
      <c r="J82" s="70" t="e">
        <f>IF(OR(D82=0,D83=0,D84=0),"#NA",IF(AND(C84-C83=C83-C82,C83&lt;&gt;C84,C82&lt;&gt;C83,C82&lt;&gt;C84,D84&lt;&gt;0,OR(D82&lt;&gt;0,D83&lt;&gt;0)),WLS*(C84-C83),"#NA"))</f>
        <v>#N/A</v>
      </c>
      <c r="O82" s="99">
        <f>O81+1</f>
        <v>11</v>
      </c>
      <c r="P82" s="99">
        <f t="shared" si="23"/>
        <v>6</v>
      </c>
      <c r="Q82" s="68" t="e">
        <f>IF(OR(P84-P83=P83-P82,P85-P83=P83-P82),P82,IF(OR(P84-P83=P83-P81,P85-P83=P83-P81),P81,"-"))</f>
        <v>#VALUE!</v>
      </c>
      <c r="R82" s="69" t="e">
        <f>VLOOKUP(Q82,STN_TABLE,2,FALSE)</f>
        <v>#VALUE!</v>
      </c>
      <c r="S82" s="69">
        <v>5</v>
      </c>
      <c r="T82" s="68" t="e">
        <f>R82*S82</f>
        <v>#VALUE!</v>
      </c>
      <c r="U82" s="79">
        <v>3</v>
      </c>
      <c r="V82" s="68" t="e">
        <f>R82*U82</f>
        <v>#VALUE!</v>
      </c>
      <c r="W82" s="6" t="s">
        <v>93</v>
      </c>
      <c r="X82" s="70" t="e">
        <f>IF(AND(Q84-Q83=Q83-Q82,NOT(AND(Q82=0,Q83=0)),NOT(AND(Q83=0,Q84=0))),WLS*(Q84-Q83),"#NA")</f>
        <v>#VALUE!</v>
      </c>
      <c r="AD82" s="93"/>
      <c r="AH82" s="6" t="s">
        <v>93</v>
      </c>
      <c r="AI82" s="70">
        <f>WLS*(AD84-AD83)</f>
        <v>1</v>
      </c>
      <c r="AU82" s="81"/>
    </row>
    <row r="83" spans="1:47" x14ac:dyDescent="0.25">
      <c r="A83" s="84">
        <f>A82+1</f>
        <v>10</v>
      </c>
      <c r="B83" s="84">
        <f t="shared" si="27"/>
        <v>5</v>
      </c>
      <c r="C83" s="80" t="str">
        <f t="shared" ref="C83" si="33">IF(OR(B85-B84=B84-B83,B85-B84=B84-B82,B85-B84=B84-B81),B84,IF(OR(B85-B83=B83-B82,B85-B83=B83-B81),B83,IF(B85-B82=B82-B81,B82,"#NA")))</f>
        <v>#NA</v>
      </c>
      <c r="D83" s="76" t="e">
        <f>VLOOKUP(C83,STN_TABLE,2,FALSE)</f>
        <v>#N/A</v>
      </c>
      <c r="E83" s="81">
        <v>4</v>
      </c>
      <c r="F83" s="76" t="e">
        <f>D83*E83</f>
        <v>#N/A</v>
      </c>
      <c r="G83" s="77" t="str">
        <f>C83</f>
        <v>#NA</v>
      </c>
      <c r="H83" s="77" t="e">
        <f>F83*G83</f>
        <v>#N/A</v>
      </c>
      <c r="I83" s="495" t="s">
        <v>97</v>
      </c>
      <c r="J83" s="496"/>
      <c r="K83" s="78" t="s">
        <v>98</v>
      </c>
      <c r="L83" s="78"/>
      <c r="M83" s="7" t="s">
        <v>99</v>
      </c>
      <c r="N83" s="7"/>
      <c r="O83" s="99">
        <f>O82+1</f>
        <v>12</v>
      </c>
      <c r="P83" s="99">
        <f t="shared" si="23"/>
        <v>6.5</v>
      </c>
      <c r="Q83" s="76">
        <f>P83</f>
        <v>6.5</v>
      </c>
      <c r="R83" s="77">
        <f>VLOOKUP(Q83,STN_TABLE,2,FALSE)</f>
        <v>1.63</v>
      </c>
      <c r="S83" s="77">
        <v>8</v>
      </c>
      <c r="T83" s="76">
        <f>R83*S83</f>
        <v>13.04</v>
      </c>
      <c r="U83" s="80">
        <v>10</v>
      </c>
      <c r="V83" s="76">
        <f>R83*U83</f>
        <v>16.299999999999997</v>
      </c>
      <c r="W83" s="496" t="s">
        <v>97</v>
      </c>
      <c r="X83" s="496"/>
      <c r="Y83" s="496" t="s">
        <v>98</v>
      </c>
      <c r="Z83" s="496"/>
      <c r="AA83" s="494" t="s">
        <v>99</v>
      </c>
      <c r="AB83" s="494"/>
      <c r="AC83" s="99">
        <f>AC78+1</f>
        <v>11</v>
      </c>
      <c r="AD83" s="95">
        <f>VLOOKUP(AC83,STN_TABLE_2,2,FALSE)</f>
        <v>6</v>
      </c>
      <c r="AE83" s="68">
        <f>VLOOKUP(AD83,STN_TABLE,2,FALSE)</f>
        <v>0.8</v>
      </c>
      <c r="AF83" s="68">
        <v>1</v>
      </c>
      <c r="AG83" s="69">
        <f>AE83*AF83</f>
        <v>0.8</v>
      </c>
      <c r="AH83" s="496" t="s">
        <v>97</v>
      </c>
      <c r="AI83" s="496"/>
      <c r="AJ83" s="496" t="s">
        <v>98</v>
      </c>
      <c r="AK83" s="496"/>
      <c r="AL83" s="494" t="s">
        <v>99</v>
      </c>
      <c r="AM83" s="494"/>
      <c r="AP83" s="86" t="s">
        <v>112</v>
      </c>
      <c r="AQ83" s="89" t="s">
        <v>113</v>
      </c>
      <c r="AR83" s="89" t="s">
        <v>114</v>
      </c>
      <c r="AS83" s="89" t="s">
        <v>115</v>
      </c>
      <c r="AU83" s="81"/>
    </row>
    <row r="84" spans="1:47" x14ac:dyDescent="0.25">
      <c r="A84" s="84">
        <f>A83+1</f>
        <v>11</v>
      </c>
      <c r="B84" s="84">
        <f t="shared" si="27"/>
        <v>6</v>
      </c>
      <c r="C84" s="88">
        <f t="shared" ref="C84" si="34">B85</f>
        <v>6.5</v>
      </c>
      <c r="D84" s="82">
        <f>VLOOKUP(C84,STN_TABLE,2,FALSE)</f>
        <v>1.63</v>
      </c>
      <c r="E84" s="92">
        <v>1</v>
      </c>
      <c r="F84" s="82">
        <f>D84*E84</f>
        <v>1.63</v>
      </c>
      <c r="G84" s="83">
        <f>C84</f>
        <v>6.5</v>
      </c>
      <c r="H84" s="83">
        <f>F84*G84</f>
        <v>10.594999999999999</v>
      </c>
      <c r="I84" s="84" t="str">
        <f>CONCATENATE("a'(",C84,")=")</f>
        <v>a'(6.5)=</v>
      </c>
      <c r="J84" s="84" t="e">
        <f>2*J82/3*F85</f>
        <v>#N/A</v>
      </c>
      <c r="K84" s="84" t="str">
        <f>CONCATENATE("A(",C82,")=")</f>
        <v>A(#NA)=</v>
      </c>
      <c r="L84" s="84" t="e">
        <f>VLOOKUP(C82,STN_TABLE,3,FALSE)</f>
        <v>#N/A</v>
      </c>
      <c r="M84" t="str">
        <f>CONCATENATE("A(",C84,")=")</f>
        <v>A(6.5)=</v>
      </c>
      <c r="N84" t="e">
        <f>J84+L84</f>
        <v>#N/A</v>
      </c>
      <c r="O84" s="99">
        <f>O83+1</f>
        <v>13</v>
      </c>
      <c r="P84" s="99" t="str">
        <f t="shared" si="23"/>
        <v xml:space="preserve">  </v>
      </c>
      <c r="Q84" s="82" t="e">
        <f>IF(P84-P83=P83-P82,P84,IF(P85-P83=P83-P82,P85,IF(P84-P83=P83-P81,P84,IF(P85-P83=P83-P81,P85,"-"))))</f>
        <v>#VALUE!</v>
      </c>
      <c r="R84" s="83" t="e">
        <f>VLOOKUP(Q84,STN_TABLE,2,FALSE)</f>
        <v>#VALUE!</v>
      </c>
      <c r="S84" s="83">
        <v>-1</v>
      </c>
      <c r="T84" s="82" t="e">
        <f>R84*S84</f>
        <v>#VALUE!</v>
      </c>
      <c r="U84" s="88">
        <v>-1</v>
      </c>
      <c r="V84" s="82" t="e">
        <f>R84*U84</f>
        <v>#VALUE!</v>
      </c>
      <c r="W84" s="84" t="str">
        <f>CONCATENATE("a'(",Q83,")=")</f>
        <v>a'(6.5)=</v>
      </c>
      <c r="X84" s="84" t="e">
        <f>2*X82/12*T85</f>
        <v>#VALUE!</v>
      </c>
      <c r="Y84" s="84" t="e">
        <f>CONCATENATE("A(",Q82,")=")</f>
        <v>#VALUE!</v>
      </c>
      <c r="Z84" s="84" t="e">
        <f>VLOOKUP(Q82,STN_TABLE,3,FALSE)</f>
        <v>#VALUE!</v>
      </c>
      <c r="AA84" t="str">
        <f>CONCATENATE("A(",Q83,")=")</f>
        <v>A(6.5)=</v>
      </c>
      <c r="AB84" t="e">
        <f>X84+Z84</f>
        <v>#VALUE!</v>
      </c>
      <c r="AC84" s="99">
        <f>AC83+1</f>
        <v>12</v>
      </c>
      <c r="AD84" s="100">
        <f>VLOOKUP(AC84,STN_TABLE_2,2,FALSE)</f>
        <v>6.5</v>
      </c>
      <c r="AE84" s="82">
        <f>VLOOKUP(AD84,STN_TABLE,2,FALSE)</f>
        <v>1.63</v>
      </c>
      <c r="AF84" s="82">
        <v>2</v>
      </c>
      <c r="AG84" s="83">
        <f>AE84*AF84</f>
        <v>3.26</v>
      </c>
      <c r="AH84" s="84" t="str">
        <f>CONCATENATE("a'(",AD84,")=")</f>
        <v>a'(6.5)=</v>
      </c>
      <c r="AI84" s="84">
        <f>2*AI82/2*AE85</f>
        <v>2.4299999999999997</v>
      </c>
      <c r="AJ84" s="84" t="str">
        <f>CONCATENATE("A(",AD83,")=")</f>
        <v>A(6)=</v>
      </c>
      <c r="AK84" s="84">
        <f>VLOOKUP(AD83,STN_TABLE,3,FALSE)</f>
        <v>15.286666666666667</v>
      </c>
      <c r="AL84" t="str">
        <f>CONCATENATE("A(",AD84,")=")</f>
        <v>A(6.5)=</v>
      </c>
      <c r="AM84">
        <f>AI84+AK84</f>
        <v>17.716666666666669</v>
      </c>
      <c r="AO84" s="68" t="str">
        <f>AA84</f>
        <v>A(6.5)=</v>
      </c>
      <c r="AP84" s="68" t="e">
        <f>VLOOKUP(AO84,Rise_Results,2,FALSE)</f>
        <v>#N/A</v>
      </c>
      <c r="AQ84" s="76" t="e">
        <f>N84</f>
        <v>#N/A</v>
      </c>
      <c r="AR84" s="76" t="e">
        <f>IF(OR(AB84&lt;=0,AB85&lt;=0),1/0,AB84)</f>
        <v>#VALUE!</v>
      </c>
      <c r="AS84" s="76">
        <f>AM84</f>
        <v>17.716666666666669</v>
      </c>
      <c r="AT84">
        <f>IFERROR(AP84,IFERROR(AQ84,IFERROR(AR84,AS84)))</f>
        <v>17.716666666666669</v>
      </c>
      <c r="AU84" s="81"/>
    </row>
    <row r="85" spans="1:47" x14ac:dyDescent="0.25">
      <c r="A85" s="84">
        <f>A84+1</f>
        <v>12</v>
      </c>
      <c r="B85" s="84">
        <f t="shared" si="27"/>
        <v>6.5</v>
      </c>
      <c r="F85" s="82" t="e">
        <f>SUM(F82:F84)</f>
        <v>#N/A</v>
      </c>
      <c r="H85" s="82" t="e">
        <f>SUM(H82:H84)</f>
        <v>#N/A</v>
      </c>
      <c r="I85" s="84" t="str">
        <f>CONCATENATE("m'(",C84,")=")</f>
        <v>m'(6.5)=</v>
      </c>
      <c r="J85" s="84" t="e">
        <f>2*(J82*(WLS))/3*H85</f>
        <v>#N/A</v>
      </c>
      <c r="K85" s="84" t="str">
        <f>CONCATENATE("M(",C82,")=")</f>
        <v>M(#NA)=</v>
      </c>
      <c r="L85" s="84" t="e">
        <f>VLOOKUP(C82,STN_TABLE,4,FALSE)</f>
        <v>#N/A</v>
      </c>
      <c r="M85" t="str">
        <f>CONCATENATE("M(",C84,")=")</f>
        <v>M(6.5)=</v>
      </c>
      <c r="N85" t="e">
        <f>J85+L85</f>
        <v>#N/A</v>
      </c>
      <c r="O85" s="99">
        <f>O84+1</f>
        <v>14</v>
      </c>
      <c r="P85" s="99" t="str">
        <f t="shared" si="23"/>
        <v xml:space="preserve">  </v>
      </c>
      <c r="T85" s="89" t="e">
        <f>SUM(T82:T84)</f>
        <v>#VALUE!</v>
      </c>
      <c r="V85" s="82" t="e">
        <f>SUM(V82:V84)</f>
        <v>#VALUE!</v>
      </c>
      <c r="W85" s="84" t="str">
        <f>CONCATENATE("m'(",Q83,")=")</f>
        <v>m'(6.5)=</v>
      </c>
      <c r="X85" s="84" t="e">
        <f>(2*(X82^2)/24*V85)+(X84*Q82*WLS)</f>
        <v>#VALUE!</v>
      </c>
      <c r="Y85" s="84" t="e">
        <f>CONCATENATE("M(",Q82,")=")</f>
        <v>#VALUE!</v>
      </c>
      <c r="Z85" s="84" t="e">
        <f>VLOOKUP(Q82,STN_TABLE,4,FALSE)</f>
        <v>#VALUE!</v>
      </c>
      <c r="AA85" t="str">
        <f>CONCATENATE("M(",Q83,")=")</f>
        <v>M(6.5)=</v>
      </c>
      <c r="AB85" t="e">
        <f>X85+Z85</f>
        <v>#VALUE!</v>
      </c>
      <c r="AE85" s="89">
        <f>SUM(AE83:AE84)</f>
        <v>2.4299999999999997</v>
      </c>
      <c r="AG85" s="89">
        <f>SUM(AG83:AG84)</f>
        <v>4.0599999999999996</v>
      </c>
      <c r="AH85" s="84" t="str">
        <f>CONCATENATE("m'(",AD84,")=")</f>
        <v>m'(6.5)=</v>
      </c>
      <c r="AI85" s="84">
        <f>(2*(AI82^2)/6*AG85)+(AI84*AD83*WLS)</f>
        <v>30.513333333333328</v>
      </c>
      <c r="AJ85" s="84" t="str">
        <f>CONCATENATE("M(",AD83,")=")</f>
        <v>M(6)=</v>
      </c>
      <c r="AK85" s="84">
        <f>VLOOKUP(AD83,STN_TABLE,4,FALSE)</f>
        <v>59.129999999999995</v>
      </c>
      <c r="AL85" t="str">
        <f>CONCATENATE("M(",AD84,")=")</f>
        <v>M(6.5)=</v>
      </c>
      <c r="AM85">
        <f>AI85+AK85</f>
        <v>89.643333333333317</v>
      </c>
      <c r="AO85" s="82" t="str">
        <f>AA85</f>
        <v>M(6.5)=</v>
      </c>
      <c r="AP85" s="82" t="e">
        <f>VLOOKUP(AO85,Rise_Results,2,FALSE)</f>
        <v>#N/A</v>
      </c>
      <c r="AQ85" s="82" t="e">
        <f>N85</f>
        <v>#N/A</v>
      </c>
      <c r="AR85" s="82" t="e">
        <f>IF(OR(AB84&lt;=0,AB85&lt;=0),1/0,AB85)</f>
        <v>#VALUE!</v>
      </c>
      <c r="AS85" s="82">
        <f>AM85</f>
        <v>89.643333333333317</v>
      </c>
      <c r="AT85">
        <f>IFERROR(AP85,IFERROR(AQ85,IFERROR(AR85,AS85)))</f>
        <v>89.643333333333317</v>
      </c>
      <c r="AU85" s="81"/>
    </row>
    <row r="86" spans="1:47" x14ac:dyDescent="0.25">
      <c r="A86" s="101">
        <f>A81+1</f>
        <v>9</v>
      </c>
      <c r="B86" s="101">
        <f t="shared" si="27"/>
        <v>4.8499999999999996</v>
      </c>
      <c r="O86" s="101">
        <f>O81+1</f>
        <v>11</v>
      </c>
      <c r="P86" s="101">
        <f t="shared" si="23"/>
        <v>6</v>
      </c>
      <c r="AU86" s="81"/>
    </row>
    <row r="87" spans="1:47" x14ac:dyDescent="0.25">
      <c r="A87" s="84">
        <f>A86+1</f>
        <v>10</v>
      </c>
      <c r="B87" s="84">
        <f t="shared" si="27"/>
        <v>5</v>
      </c>
      <c r="C87" s="79" t="e">
        <f t="shared" ref="C87" si="35">IF(C88=B89,IF(C89-C88=C88-B88,B88,IF(C89-C88=C88-B87,B87,"#NA")),IF(C88=B88,IF(C89-C88=C88-B87,B87,IF(C89-C88=C88-B86,B86,"#NA")),"#NA"))</f>
        <v>#VALUE!</v>
      </c>
      <c r="D87" s="68" t="e">
        <f>VLOOKUP(C87,STN_TABLE,2,FALSE)</f>
        <v>#VALUE!</v>
      </c>
      <c r="E87" s="102">
        <v>1</v>
      </c>
      <c r="F87" s="68" t="e">
        <f>D87*E87</f>
        <v>#VALUE!</v>
      </c>
      <c r="G87" s="69" t="e">
        <f>C87</f>
        <v>#VALUE!</v>
      </c>
      <c r="H87" s="69" t="e">
        <f>F87*G87</f>
        <v>#VALUE!</v>
      </c>
      <c r="I87" s="6" t="s">
        <v>93</v>
      </c>
      <c r="J87" s="70" t="e">
        <f>IF(OR(D87=0,D88=0,D89=0),"#NA",IF(AND(C89-C88=C88-C87,C88&lt;&gt;C89,C87&lt;&gt;C88,C87&lt;&gt;C89,D89&lt;&gt;0,OR(D87&lt;&gt;0,D88&lt;&gt;0)),WLS*(C89-C88),"#NA"))</f>
        <v>#VALUE!</v>
      </c>
      <c r="O87" s="99">
        <f>O86+1</f>
        <v>12</v>
      </c>
      <c r="P87" s="99">
        <f t="shared" si="23"/>
        <v>6.5</v>
      </c>
      <c r="Q87" s="68" t="e">
        <f>IF(OR(P89-P88=P88-P87,P90-P88=P88-P87),P87,IF(OR(P89-P88=P88-P86,P90-P88=P88-P86),P86,"-"))</f>
        <v>#VALUE!</v>
      </c>
      <c r="R87" s="69" t="e">
        <f>VLOOKUP(Q87,STN_TABLE,2,FALSE)</f>
        <v>#VALUE!</v>
      </c>
      <c r="S87" s="69">
        <v>5</v>
      </c>
      <c r="T87" s="68" t="e">
        <f>R87*S87</f>
        <v>#VALUE!</v>
      </c>
      <c r="U87" s="79">
        <v>3</v>
      </c>
      <c r="V87" s="68" t="e">
        <f>R87*U87</f>
        <v>#VALUE!</v>
      </c>
      <c r="W87" s="6" t="s">
        <v>93</v>
      </c>
      <c r="X87" s="70" t="e">
        <f>IF(AND(Q89-Q88=Q88-Q87,NOT(AND(Q87=0,Q88=0)),NOT(AND(Q88=0,Q89=0))),WLS*(Q89-Q88),"#NA")</f>
        <v>#VALUE!</v>
      </c>
      <c r="AD87" s="93"/>
      <c r="AH87" s="6" t="s">
        <v>93</v>
      </c>
      <c r="AI87" s="70" t="e">
        <f>WLS*(AD89-AD88)</f>
        <v>#VALUE!</v>
      </c>
      <c r="AU87" s="81"/>
    </row>
    <row r="88" spans="1:47" x14ac:dyDescent="0.25">
      <c r="A88" s="84">
        <f>A87+1</f>
        <v>11</v>
      </c>
      <c r="B88" s="84">
        <f t="shared" si="27"/>
        <v>6</v>
      </c>
      <c r="C88" s="80" t="e">
        <f t="shared" ref="C88" si="36">IF(OR(B90-B89=B89-B88,B90-B89=B89-B87,B90-B89=B89-B86),B89,IF(OR(B90-B88=B88-B87,B90-B88=B88-B86),B88,IF(B90-B87=B87-B86,B87,"#NA")))</f>
        <v>#VALUE!</v>
      </c>
      <c r="D88" s="76" t="e">
        <f>VLOOKUP(C88,STN_TABLE,2,FALSE)</f>
        <v>#VALUE!</v>
      </c>
      <c r="E88" s="81">
        <v>4</v>
      </c>
      <c r="F88" s="76" t="e">
        <f>D88*E88</f>
        <v>#VALUE!</v>
      </c>
      <c r="G88" s="77" t="e">
        <f>C88</f>
        <v>#VALUE!</v>
      </c>
      <c r="H88" s="77" t="e">
        <f>F88*G88</f>
        <v>#VALUE!</v>
      </c>
      <c r="I88" s="495" t="s">
        <v>97</v>
      </c>
      <c r="J88" s="496"/>
      <c r="K88" s="78" t="s">
        <v>98</v>
      </c>
      <c r="L88" s="78"/>
      <c r="M88" s="7" t="s">
        <v>99</v>
      </c>
      <c r="N88" s="7"/>
      <c r="O88" s="99">
        <f>O87+1</f>
        <v>13</v>
      </c>
      <c r="P88" s="99" t="str">
        <f t="shared" si="23"/>
        <v xml:space="preserve">  </v>
      </c>
      <c r="Q88" s="76" t="str">
        <f>P88</f>
        <v xml:space="preserve">  </v>
      </c>
      <c r="R88" s="77" t="str">
        <f>VLOOKUP(Q88,STN_TABLE,2,FALSE)</f>
        <v xml:space="preserve">  </v>
      </c>
      <c r="S88" s="77">
        <v>8</v>
      </c>
      <c r="T88" s="76" t="e">
        <f>R88*S88</f>
        <v>#VALUE!</v>
      </c>
      <c r="U88" s="80">
        <v>10</v>
      </c>
      <c r="V88" s="76" t="e">
        <f>R88*U88</f>
        <v>#VALUE!</v>
      </c>
      <c r="W88" s="496" t="s">
        <v>97</v>
      </c>
      <c r="X88" s="496"/>
      <c r="Y88" s="496" t="s">
        <v>98</v>
      </c>
      <c r="Z88" s="496"/>
      <c r="AA88" s="494" t="s">
        <v>99</v>
      </c>
      <c r="AB88" s="494"/>
      <c r="AC88" s="99">
        <f>AC83+1</f>
        <v>12</v>
      </c>
      <c r="AD88" s="95">
        <f>VLOOKUP(AC88,STN_TABLE_2,2,FALSE)</f>
        <v>6.5</v>
      </c>
      <c r="AE88" s="68">
        <f>VLOOKUP(AD88,STN_TABLE,2,FALSE)</f>
        <v>1.63</v>
      </c>
      <c r="AF88" s="68">
        <v>1</v>
      </c>
      <c r="AG88" s="69">
        <f>AE88*AF88</f>
        <v>1.63</v>
      </c>
      <c r="AH88" s="496" t="s">
        <v>97</v>
      </c>
      <c r="AI88" s="496"/>
      <c r="AJ88" s="496" t="s">
        <v>98</v>
      </c>
      <c r="AK88" s="496"/>
      <c r="AL88" s="494" t="s">
        <v>99</v>
      </c>
      <c r="AM88" s="494"/>
      <c r="AP88" s="86" t="s">
        <v>112</v>
      </c>
      <c r="AQ88" s="89" t="s">
        <v>113</v>
      </c>
      <c r="AR88" s="89" t="s">
        <v>114</v>
      </c>
      <c r="AS88" s="89" t="s">
        <v>115</v>
      </c>
      <c r="AU88" s="81"/>
    </row>
    <row r="89" spans="1:47" x14ac:dyDescent="0.25">
      <c r="A89" s="84">
        <f>A88+1</f>
        <v>12</v>
      </c>
      <c r="B89" s="84">
        <f t="shared" si="27"/>
        <v>6.5</v>
      </c>
      <c r="C89" s="88" t="str">
        <f t="shared" ref="C89" si="37">B90</f>
        <v xml:space="preserve">  </v>
      </c>
      <c r="D89" s="82" t="str">
        <f>VLOOKUP(C89,STN_TABLE,2,FALSE)</f>
        <v xml:space="preserve">  </v>
      </c>
      <c r="E89" s="92">
        <v>1</v>
      </c>
      <c r="F89" s="82" t="e">
        <f>D89*E89</f>
        <v>#VALUE!</v>
      </c>
      <c r="G89" s="83" t="str">
        <f>C89</f>
        <v xml:space="preserve">  </v>
      </c>
      <c r="H89" s="83" t="e">
        <f>F89*G89</f>
        <v>#VALUE!</v>
      </c>
      <c r="I89" s="84" t="str">
        <f>CONCATENATE("a'(",C89,")=")</f>
        <v>a'(  )=</v>
      </c>
      <c r="J89" s="84" t="e">
        <f>2*J87/3*F90</f>
        <v>#VALUE!</v>
      </c>
      <c r="K89" s="84" t="e">
        <f>CONCATENATE("A(",C87,")=")</f>
        <v>#VALUE!</v>
      </c>
      <c r="L89" s="84" t="e">
        <f>VLOOKUP(C87,STN_TABLE,3,FALSE)</f>
        <v>#VALUE!</v>
      </c>
      <c r="M89" t="str">
        <f>CONCATENATE("A(",C89,")=")</f>
        <v>A(  )=</v>
      </c>
      <c r="N89" t="e">
        <f>J89+L89</f>
        <v>#VALUE!</v>
      </c>
      <c r="O89" s="99">
        <f>O88+1</f>
        <v>14</v>
      </c>
      <c r="P89" s="99" t="str">
        <f t="shared" si="23"/>
        <v xml:space="preserve">  </v>
      </c>
      <c r="Q89" s="82" t="e">
        <f>IF(P89-P88=P88-P87,P89,IF(P90-P88=P88-P87,P90,IF(P89-P88=P88-P86,P89,IF(P90-P88=P88-P86,P90,"-"))))</f>
        <v>#VALUE!</v>
      </c>
      <c r="R89" s="83" t="e">
        <f>VLOOKUP(Q89,STN_TABLE,2,FALSE)</f>
        <v>#VALUE!</v>
      </c>
      <c r="S89" s="83">
        <v>-1</v>
      </c>
      <c r="T89" s="82" t="e">
        <f>R89*S89</f>
        <v>#VALUE!</v>
      </c>
      <c r="U89" s="88">
        <v>-1</v>
      </c>
      <c r="V89" s="82" t="e">
        <f>R89*U89</f>
        <v>#VALUE!</v>
      </c>
      <c r="W89" s="84" t="str">
        <f>CONCATENATE("a'(",Q88,")=")</f>
        <v>a'(  )=</v>
      </c>
      <c r="X89" s="84" t="e">
        <f>2*X87/12*T90</f>
        <v>#VALUE!</v>
      </c>
      <c r="Y89" s="84" t="e">
        <f>CONCATENATE("A(",Q87,")=")</f>
        <v>#VALUE!</v>
      </c>
      <c r="Z89" s="84" t="e">
        <f>VLOOKUP(Q87,STN_TABLE,3,FALSE)</f>
        <v>#VALUE!</v>
      </c>
      <c r="AA89" t="str">
        <f>CONCATENATE("A(",Q88,")=")</f>
        <v>A(  )=</v>
      </c>
      <c r="AB89" t="e">
        <f>X89+Z89</f>
        <v>#VALUE!</v>
      </c>
      <c r="AC89" s="99">
        <f>AC88+1</f>
        <v>13</v>
      </c>
      <c r="AD89" s="100" t="str">
        <f>VLOOKUP(AC89,STN_TABLE_2,2,FALSE)</f>
        <v xml:space="preserve">  </v>
      </c>
      <c r="AE89" s="82" t="str">
        <f>VLOOKUP(AD89,STN_TABLE,2,FALSE)</f>
        <v xml:space="preserve">  </v>
      </c>
      <c r="AF89" s="82">
        <v>2</v>
      </c>
      <c r="AG89" s="83" t="e">
        <f>AE89*AF89</f>
        <v>#VALUE!</v>
      </c>
      <c r="AH89" s="84" t="str">
        <f>CONCATENATE("a'(",AD89,")=")</f>
        <v>a'(  )=</v>
      </c>
      <c r="AI89" s="84" t="e">
        <f>2*AI87/2*AE90</f>
        <v>#VALUE!</v>
      </c>
      <c r="AJ89" s="84" t="str">
        <f>CONCATENATE("A(",AD88,")=")</f>
        <v>A(6.5)=</v>
      </c>
      <c r="AK89" s="84">
        <f>VLOOKUP(AD88,STN_TABLE,3,FALSE)</f>
        <v>17.716666666666669</v>
      </c>
      <c r="AL89" t="str">
        <f>CONCATENATE("A(",AD89,")=")</f>
        <v>A(  )=</v>
      </c>
      <c r="AM89" t="e">
        <f>AI89+AK89</f>
        <v>#VALUE!</v>
      </c>
      <c r="AO89" s="68" t="str">
        <f>AA89</f>
        <v>A(  )=</v>
      </c>
      <c r="AP89" s="68" t="e">
        <f>VLOOKUP(AO89,Rise_Results,2,FALSE)</f>
        <v>#N/A</v>
      </c>
      <c r="AQ89" s="76" t="e">
        <f>N89</f>
        <v>#VALUE!</v>
      </c>
      <c r="AR89" s="76" t="e">
        <f>IF(OR(AB89&lt;=0,AB90&lt;=0),1/0,AB89)</f>
        <v>#VALUE!</v>
      </c>
      <c r="AS89" s="76" t="e">
        <f>AM89</f>
        <v>#VALUE!</v>
      </c>
      <c r="AT89" t="e">
        <f>IFERROR(AP89,IFERROR(AQ89,IFERROR(AR89,AS89)))</f>
        <v>#VALUE!</v>
      </c>
      <c r="AU89" s="81"/>
    </row>
    <row r="90" spans="1:47" x14ac:dyDescent="0.25">
      <c r="A90" s="84">
        <f>A89+1</f>
        <v>13</v>
      </c>
      <c r="B90" s="84" t="str">
        <f t="shared" si="27"/>
        <v xml:space="preserve">  </v>
      </c>
      <c r="F90" s="82" t="e">
        <f>SUM(F87:F89)</f>
        <v>#VALUE!</v>
      </c>
      <c r="H90" s="82" t="e">
        <f>SUM(H87:H89)</f>
        <v>#VALUE!</v>
      </c>
      <c r="I90" s="84" t="str">
        <f>CONCATENATE("m'(",C89,")=")</f>
        <v>m'(  )=</v>
      </c>
      <c r="J90" s="84" t="e">
        <f>2*(J87*(WLS))/3*H90</f>
        <v>#VALUE!</v>
      </c>
      <c r="K90" s="84" t="e">
        <f>CONCATENATE("M(",C87,")=")</f>
        <v>#VALUE!</v>
      </c>
      <c r="L90" s="84" t="e">
        <f>VLOOKUP(C87,STN_TABLE,4,FALSE)</f>
        <v>#VALUE!</v>
      </c>
      <c r="M90" t="str">
        <f>CONCATENATE("M(",C89,")=")</f>
        <v>M(  )=</v>
      </c>
      <c r="N90" t="e">
        <f>J90+L90</f>
        <v>#VALUE!</v>
      </c>
      <c r="O90" s="99">
        <f>O89+1</f>
        <v>15</v>
      </c>
      <c r="P90" s="99" t="str">
        <f t="shared" si="23"/>
        <v xml:space="preserve">  </v>
      </c>
      <c r="T90" s="89" t="e">
        <f>SUM(T87:T89)</f>
        <v>#VALUE!</v>
      </c>
      <c r="V90" s="82" t="e">
        <f>SUM(V87:V89)</f>
        <v>#VALUE!</v>
      </c>
      <c r="W90" s="84" t="str">
        <f>CONCATENATE("m'(",Q88,")=")</f>
        <v>m'(  )=</v>
      </c>
      <c r="X90" s="84" t="e">
        <f>(2*(X87^2)/24*V90)+(X89*Q87*WLS)</f>
        <v>#VALUE!</v>
      </c>
      <c r="Y90" s="84" t="e">
        <f>CONCATENATE("M(",Q87,")=")</f>
        <v>#VALUE!</v>
      </c>
      <c r="Z90" s="84" t="e">
        <f>VLOOKUP(Q87,STN_TABLE,4,FALSE)</f>
        <v>#VALUE!</v>
      </c>
      <c r="AA90" t="str">
        <f>CONCATENATE("M(",Q88,")=")</f>
        <v>M(  )=</v>
      </c>
      <c r="AB90" t="e">
        <f>X90+Z90</f>
        <v>#VALUE!</v>
      </c>
      <c r="AE90" s="89">
        <f>SUM(AE88:AE89)</f>
        <v>1.63</v>
      </c>
      <c r="AG90" s="89" t="e">
        <f>SUM(AG88:AG89)</f>
        <v>#VALUE!</v>
      </c>
      <c r="AH90" s="84" t="str">
        <f>CONCATENATE("m'(",AD89,")=")</f>
        <v>m'(  )=</v>
      </c>
      <c r="AI90" s="84" t="e">
        <f>(2*(AI87^2)/6*AG90)+(AI89*AD88*WLS)</f>
        <v>#VALUE!</v>
      </c>
      <c r="AJ90" s="84" t="str">
        <f>CONCATENATE("M(",AD88,")=")</f>
        <v>M(6.5)=</v>
      </c>
      <c r="AK90" s="84">
        <f>VLOOKUP(AD88,STN_TABLE,4,FALSE)</f>
        <v>89.643333333333317</v>
      </c>
      <c r="AL90" t="str">
        <f>CONCATENATE("M(",AD89,")=")</f>
        <v>M(  )=</v>
      </c>
      <c r="AM90" t="e">
        <f>AI90+AK90</f>
        <v>#VALUE!</v>
      </c>
      <c r="AO90" s="82" t="str">
        <f>AA90</f>
        <v>M(  )=</v>
      </c>
      <c r="AP90" s="82" t="e">
        <f>VLOOKUP(AO90,Rise_Results,2,FALSE)</f>
        <v>#N/A</v>
      </c>
      <c r="AQ90" s="82" t="e">
        <f>N90</f>
        <v>#VALUE!</v>
      </c>
      <c r="AR90" s="82" t="e">
        <f>IF(OR(AB89&lt;=0,AB90&lt;=0),1/0,AB90)</f>
        <v>#VALUE!</v>
      </c>
      <c r="AS90" s="82" t="e">
        <f>AM90</f>
        <v>#VALUE!</v>
      </c>
      <c r="AT90" t="e">
        <f>IFERROR(AP90,IFERROR(AQ90,IFERROR(AR90,AS90)))</f>
        <v>#VALUE!</v>
      </c>
      <c r="AU90" s="81"/>
    </row>
    <row r="91" spans="1:47" x14ac:dyDescent="0.25">
      <c r="A91" s="101">
        <f>A86+1</f>
        <v>10</v>
      </c>
      <c r="B91" s="101">
        <f t="shared" si="27"/>
        <v>5</v>
      </c>
      <c r="O91" s="101">
        <f>O86+1</f>
        <v>12</v>
      </c>
      <c r="P91" s="101">
        <f t="shared" si="23"/>
        <v>6.5</v>
      </c>
      <c r="AU91" s="81"/>
    </row>
    <row r="92" spans="1:47" x14ac:dyDescent="0.25">
      <c r="A92" s="84">
        <f>A91+1</f>
        <v>11</v>
      </c>
      <c r="B92" s="84">
        <f t="shared" si="27"/>
        <v>6</v>
      </c>
      <c r="C92" s="79" t="e">
        <f t="shared" ref="C92" si="38">IF(C93=B94,IF(C94-C93=C93-B93,B93,IF(C94-C93=C93-B92,B92,"#NA")),IF(C93=B93,IF(C94-C93=C93-B92,B92,IF(C94-C93=C93-B91,B91,"#NA")),"#NA"))</f>
        <v>#VALUE!</v>
      </c>
      <c r="D92" s="68" t="e">
        <f>VLOOKUP(C92,STN_TABLE,2,FALSE)</f>
        <v>#VALUE!</v>
      </c>
      <c r="E92" s="102">
        <v>1</v>
      </c>
      <c r="F92" s="68" t="e">
        <f>D92*E92</f>
        <v>#VALUE!</v>
      </c>
      <c r="G92" s="69" t="e">
        <f>C92</f>
        <v>#VALUE!</v>
      </c>
      <c r="H92" s="69" t="e">
        <f>F92*G92</f>
        <v>#VALUE!</v>
      </c>
      <c r="I92" s="6" t="s">
        <v>93</v>
      </c>
      <c r="J92" s="70" t="e">
        <f>IF(OR(D92=0,D93=0,D94=0),"#NA",IF(AND(C94-C93=C93-C92,C93&lt;&gt;C94,C92&lt;&gt;C93,C92&lt;&gt;C94,D94&lt;&gt;0,OR(D92&lt;&gt;0,D93&lt;&gt;0)),WLS*(C94-C93),"#NA"))</f>
        <v>#VALUE!</v>
      </c>
      <c r="O92" s="99">
        <f>O91+1</f>
        <v>13</v>
      </c>
      <c r="P92" s="99" t="str">
        <f t="shared" si="23"/>
        <v xml:space="preserve">  </v>
      </c>
      <c r="Q92" s="68" t="e">
        <f>IF(OR(P94-P93=P93-P92,P95-P93=P93-P92),P92,IF(OR(P94-P93=P93-P91,P95-P93=P93-P91),P91,"-"))</f>
        <v>#VALUE!</v>
      </c>
      <c r="R92" s="69" t="e">
        <f>VLOOKUP(Q92,STN_TABLE,2,FALSE)</f>
        <v>#VALUE!</v>
      </c>
      <c r="S92" s="69">
        <v>5</v>
      </c>
      <c r="T92" s="68" t="e">
        <f>R92*S92</f>
        <v>#VALUE!</v>
      </c>
      <c r="U92" s="79">
        <v>3</v>
      </c>
      <c r="V92" s="68" t="e">
        <f>R92*U92</f>
        <v>#VALUE!</v>
      </c>
      <c r="W92" s="6" t="s">
        <v>93</v>
      </c>
      <c r="X92" s="70" t="e">
        <f>IF(AND(Q94-Q93=Q93-Q92,NOT(AND(Q92=0,Q93=0)),NOT(AND(Q93=0,Q94=0))),WLS*(Q94-Q93),"#NA")</f>
        <v>#VALUE!</v>
      </c>
      <c r="AD92" s="93"/>
      <c r="AH92" s="6" t="s">
        <v>93</v>
      </c>
      <c r="AI92" s="70" t="e">
        <f>WLS*(AD94-AD93)</f>
        <v>#VALUE!</v>
      </c>
      <c r="AU92" s="81"/>
    </row>
    <row r="93" spans="1:47" x14ac:dyDescent="0.25">
      <c r="A93" s="84">
        <f>A92+1</f>
        <v>12</v>
      </c>
      <c r="B93" s="84">
        <f t="shared" si="27"/>
        <v>6.5</v>
      </c>
      <c r="C93" s="80" t="e">
        <f t="shared" ref="C93" si="39">IF(OR(B95-B94=B94-B93,B95-B94=B94-B92,B95-B94=B94-B91),B94,IF(OR(B95-B93=B93-B92,B95-B93=B93-B91),B93,IF(B95-B92=B92-B91,B92,"#NA")))</f>
        <v>#VALUE!</v>
      </c>
      <c r="D93" s="76" t="e">
        <f>VLOOKUP(C93,STN_TABLE,2,FALSE)</f>
        <v>#VALUE!</v>
      </c>
      <c r="E93" s="81">
        <v>4</v>
      </c>
      <c r="F93" s="76" t="e">
        <f>D93*E93</f>
        <v>#VALUE!</v>
      </c>
      <c r="G93" s="77" t="e">
        <f>C93</f>
        <v>#VALUE!</v>
      </c>
      <c r="H93" s="77" t="e">
        <f>F93*G93</f>
        <v>#VALUE!</v>
      </c>
      <c r="I93" s="495" t="s">
        <v>97</v>
      </c>
      <c r="J93" s="496"/>
      <c r="K93" s="78" t="s">
        <v>98</v>
      </c>
      <c r="L93" s="78"/>
      <c r="M93" s="7" t="s">
        <v>99</v>
      </c>
      <c r="N93" s="7"/>
      <c r="O93" s="99">
        <f>O92+1</f>
        <v>14</v>
      </c>
      <c r="P93" s="99" t="str">
        <f t="shared" si="23"/>
        <v xml:space="preserve">  </v>
      </c>
      <c r="Q93" s="76" t="str">
        <f>P93</f>
        <v xml:space="preserve">  </v>
      </c>
      <c r="R93" s="77" t="str">
        <f>VLOOKUP(Q93,STN_TABLE,2,FALSE)</f>
        <v xml:space="preserve">  </v>
      </c>
      <c r="S93" s="77">
        <v>8</v>
      </c>
      <c r="T93" s="76" t="e">
        <f>R93*S93</f>
        <v>#VALUE!</v>
      </c>
      <c r="U93" s="80">
        <v>10</v>
      </c>
      <c r="V93" s="76" t="e">
        <f>R93*U93</f>
        <v>#VALUE!</v>
      </c>
      <c r="W93" s="496" t="s">
        <v>97</v>
      </c>
      <c r="X93" s="496"/>
      <c r="Y93" s="496" t="s">
        <v>98</v>
      </c>
      <c r="Z93" s="496"/>
      <c r="AA93" s="494" t="s">
        <v>99</v>
      </c>
      <c r="AB93" s="494"/>
      <c r="AC93" s="99">
        <f>AC88+1</f>
        <v>13</v>
      </c>
      <c r="AD93" s="95" t="str">
        <f>VLOOKUP(AC93,STN_TABLE_2,2,FALSE)</f>
        <v xml:space="preserve">  </v>
      </c>
      <c r="AE93" s="68" t="str">
        <f>VLOOKUP(AD93,STN_TABLE,2,FALSE)</f>
        <v xml:space="preserve">  </v>
      </c>
      <c r="AF93" s="68">
        <v>1</v>
      </c>
      <c r="AG93" s="69" t="e">
        <f>AE93*AF93</f>
        <v>#VALUE!</v>
      </c>
      <c r="AH93" s="496" t="s">
        <v>97</v>
      </c>
      <c r="AI93" s="496"/>
      <c r="AJ93" s="496" t="s">
        <v>98</v>
      </c>
      <c r="AK93" s="496"/>
      <c r="AL93" s="494" t="s">
        <v>99</v>
      </c>
      <c r="AM93" s="494"/>
      <c r="AP93" s="86" t="s">
        <v>112</v>
      </c>
      <c r="AQ93" s="89" t="s">
        <v>113</v>
      </c>
      <c r="AR93" s="89" t="s">
        <v>114</v>
      </c>
      <c r="AS93" s="89" t="s">
        <v>115</v>
      </c>
      <c r="AU93" s="81"/>
    </row>
    <row r="94" spans="1:47" x14ac:dyDescent="0.25">
      <c r="A94" s="84">
        <f>A93+1</f>
        <v>13</v>
      </c>
      <c r="B94" s="84" t="str">
        <f t="shared" si="27"/>
        <v xml:space="preserve">  </v>
      </c>
      <c r="C94" s="88" t="str">
        <f t="shared" ref="C94" si="40">B95</f>
        <v xml:space="preserve">  </v>
      </c>
      <c r="D94" s="82" t="str">
        <f>VLOOKUP(C94,STN_TABLE,2,FALSE)</f>
        <v xml:space="preserve">  </v>
      </c>
      <c r="E94" s="92">
        <v>1</v>
      </c>
      <c r="F94" s="82" t="e">
        <f>D94*E94</f>
        <v>#VALUE!</v>
      </c>
      <c r="G94" s="83" t="str">
        <f>C94</f>
        <v xml:space="preserve">  </v>
      </c>
      <c r="H94" s="83" t="e">
        <f>F94*G94</f>
        <v>#VALUE!</v>
      </c>
      <c r="I94" s="84" t="str">
        <f>CONCATENATE("a'(",C94,")=")</f>
        <v>a'(  )=</v>
      </c>
      <c r="J94" s="84" t="e">
        <f>2*J92/3*F95</f>
        <v>#VALUE!</v>
      </c>
      <c r="K94" s="84" t="e">
        <f>CONCATENATE("A(",C92,")=")</f>
        <v>#VALUE!</v>
      </c>
      <c r="L94" s="84" t="e">
        <f>VLOOKUP(C92,STN_TABLE,3,FALSE)</f>
        <v>#VALUE!</v>
      </c>
      <c r="M94" t="str">
        <f>CONCATENATE("A(",C94,")=")</f>
        <v>A(  )=</v>
      </c>
      <c r="N94" t="e">
        <f>J94+L94</f>
        <v>#VALUE!</v>
      </c>
      <c r="O94" s="99">
        <f>O93+1</f>
        <v>15</v>
      </c>
      <c r="P94" s="99" t="str">
        <f t="shared" si="23"/>
        <v xml:space="preserve">  </v>
      </c>
      <c r="Q94" s="82" t="e">
        <f>IF(P94-P93=P93-P92,P94,IF(P95-P93=P93-P92,P95,IF(P94-P93=P93-P91,P94,IF(P95-P93=P93-P91,P95,"-"))))</f>
        <v>#VALUE!</v>
      </c>
      <c r="R94" s="83" t="e">
        <f>VLOOKUP(Q94,STN_TABLE,2,FALSE)</f>
        <v>#VALUE!</v>
      </c>
      <c r="S94" s="83">
        <v>-1</v>
      </c>
      <c r="T94" s="82" t="e">
        <f>R94*S94</f>
        <v>#VALUE!</v>
      </c>
      <c r="U94" s="88">
        <v>-1</v>
      </c>
      <c r="V94" s="82" t="e">
        <f>R94*U94</f>
        <v>#VALUE!</v>
      </c>
      <c r="W94" s="84" t="str">
        <f>CONCATENATE("a'(",Q93,")=")</f>
        <v>a'(  )=</v>
      </c>
      <c r="X94" s="84" t="e">
        <f>2*X92/12*T95</f>
        <v>#VALUE!</v>
      </c>
      <c r="Y94" s="84" t="e">
        <f>CONCATENATE("A(",Q92,")=")</f>
        <v>#VALUE!</v>
      </c>
      <c r="Z94" s="84" t="e">
        <f>VLOOKUP(Q92,STN_TABLE,3,FALSE)</f>
        <v>#VALUE!</v>
      </c>
      <c r="AA94" t="str">
        <f>CONCATENATE("A(",Q93,")=")</f>
        <v>A(  )=</v>
      </c>
      <c r="AB94" t="e">
        <f>X94+Z94</f>
        <v>#VALUE!</v>
      </c>
      <c r="AC94" s="99">
        <f>AC93+1</f>
        <v>14</v>
      </c>
      <c r="AD94" s="100" t="str">
        <f>VLOOKUP(AC94,STN_TABLE_2,2,FALSE)</f>
        <v xml:space="preserve">  </v>
      </c>
      <c r="AE94" s="82" t="str">
        <f>VLOOKUP(AD94,STN_TABLE,2,FALSE)</f>
        <v xml:space="preserve">  </v>
      </c>
      <c r="AF94" s="82">
        <v>2</v>
      </c>
      <c r="AG94" s="83" t="e">
        <f>AE94*AF94</f>
        <v>#VALUE!</v>
      </c>
      <c r="AH94" s="84" t="str">
        <f>CONCATENATE("a'(",AD94,")=")</f>
        <v>a'(  )=</v>
      </c>
      <c r="AI94" s="84" t="e">
        <f>2*AI92/2*AE95</f>
        <v>#VALUE!</v>
      </c>
      <c r="AJ94" s="84" t="str">
        <f>CONCATENATE("A(",AD93,")=")</f>
        <v>A(  )=</v>
      </c>
      <c r="AK94" s="84" t="str">
        <f>VLOOKUP(AD93,STN_TABLE,3,FALSE)</f>
        <v xml:space="preserve"> </v>
      </c>
      <c r="AL94" t="str">
        <f>CONCATENATE("A(",AD94,")=")</f>
        <v>A(  )=</v>
      </c>
      <c r="AM94" t="e">
        <f>AI94+AK94</f>
        <v>#VALUE!</v>
      </c>
      <c r="AO94" s="68" t="str">
        <f>AA94</f>
        <v>A(  )=</v>
      </c>
      <c r="AP94" s="68" t="e">
        <f>VLOOKUP(AO94,Rise_Results,2,FALSE)</f>
        <v>#N/A</v>
      </c>
      <c r="AQ94" s="76" t="e">
        <f>N94</f>
        <v>#VALUE!</v>
      </c>
      <c r="AR94" s="76" t="e">
        <f>IF(OR(AB94&lt;=0,AB95&lt;=0),1/0,AB94)</f>
        <v>#VALUE!</v>
      </c>
      <c r="AS94" s="76" t="e">
        <f>AM94</f>
        <v>#VALUE!</v>
      </c>
      <c r="AT94" t="e">
        <f>IFERROR(AP94,IFERROR(AQ94,IFERROR(AR94,AS94)))</f>
        <v>#VALUE!</v>
      </c>
      <c r="AU94" s="81"/>
    </row>
    <row r="95" spans="1:47" x14ac:dyDescent="0.25">
      <c r="A95" s="84">
        <f>A94+1</f>
        <v>14</v>
      </c>
      <c r="B95" s="84" t="str">
        <f t="shared" si="27"/>
        <v xml:space="preserve">  </v>
      </c>
      <c r="F95" s="82" t="e">
        <f>SUM(F92:F94)</f>
        <v>#VALUE!</v>
      </c>
      <c r="H95" s="82" t="e">
        <f>SUM(H92:H94)</f>
        <v>#VALUE!</v>
      </c>
      <c r="I95" s="84" t="str">
        <f>CONCATENATE("m'(",C94,")=")</f>
        <v>m'(  )=</v>
      </c>
      <c r="J95" s="84" t="e">
        <f>2*(J92*(WLS))/3*H95</f>
        <v>#VALUE!</v>
      </c>
      <c r="K95" s="84" t="e">
        <f>CONCATENATE("M(",C92,")=")</f>
        <v>#VALUE!</v>
      </c>
      <c r="L95" s="84" t="e">
        <f>VLOOKUP(C92,STN_TABLE,4,FALSE)</f>
        <v>#VALUE!</v>
      </c>
      <c r="M95" t="str">
        <f>CONCATENATE("M(",C94,")=")</f>
        <v>M(  )=</v>
      </c>
      <c r="N95" t="e">
        <f>J95+L95</f>
        <v>#VALUE!</v>
      </c>
      <c r="O95" s="99">
        <f>O94+1</f>
        <v>16</v>
      </c>
      <c r="P95" s="99" t="str">
        <f t="shared" si="23"/>
        <v xml:space="preserve">  </v>
      </c>
      <c r="T95" s="89" t="e">
        <f>SUM(T92:T94)</f>
        <v>#VALUE!</v>
      </c>
      <c r="V95" s="82" t="e">
        <f>SUM(V92:V94)</f>
        <v>#VALUE!</v>
      </c>
      <c r="W95" s="84" t="str">
        <f>CONCATENATE("m'(",Q93,")=")</f>
        <v>m'(  )=</v>
      </c>
      <c r="X95" s="84" t="e">
        <f>(2*(X92^2)/24*V95)+(X94*Q92*WLS)</f>
        <v>#VALUE!</v>
      </c>
      <c r="Y95" s="84" t="e">
        <f>CONCATENATE("M(",Q92,")=")</f>
        <v>#VALUE!</v>
      </c>
      <c r="Z95" s="84" t="e">
        <f>VLOOKUP(Q92,STN_TABLE,4,FALSE)</f>
        <v>#VALUE!</v>
      </c>
      <c r="AA95" t="str">
        <f>CONCATENATE("M(",Q93,")=")</f>
        <v>M(  )=</v>
      </c>
      <c r="AB95" t="e">
        <f>X95+Z95</f>
        <v>#VALUE!</v>
      </c>
      <c r="AE95" s="89">
        <f>SUM(AE93:AE94)</f>
        <v>0</v>
      </c>
      <c r="AG95" s="89" t="e">
        <f>SUM(AG93:AG94)</f>
        <v>#VALUE!</v>
      </c>
      <c r="AH95" s="84" t="str">
        <f>CONCATENATE("m'(",AD94,")=")</f>
        <v>m'(  )=</v>
      </c>
      <c r="AI95" s="84" t="e">
        <f>(2*(AI92^2)/6*AG95)+(AI94*AD93*WLS)</f>
        <v>#VALUE!</v>
      </c>
      <c r="AJ95" s="84" t="str">
        <f>CONCATENATE("M(",AD93,")=")</f>
        <v>M(  )=</v>
      </c>
      <c r="AK95" s="84" t="str">
        <f>VLOOKUP(AD93,STN_TABLE,4,FALSE)</f>
        <v xml:space="preserve"> </v>
      </c>
      <c r="AL95" t="str">
        <f>CONCATENATE("M(",AD94,")=")</f>
        <v>M(  )=</v>
      </c>
      <c r="AM95" t="e">
        <f>AI95+AK95</f>
        <v>#VALUE!</v>
      </c>
      <c r="AO95" s="82" t="str">
        <f>AA95</f>
        <v>M(  )=</v>
      </c>
      <c r="AP95" s="82" t="e">
        <f>VLOOKUP(AO95,Rise_Results,2,FALSE)</f>
        <v>#N/A</v>
      </c>
      <c r="AQ95" s="82" t="e">
        <f>N95</f>
        <v>#VALUE!</v>
      </c>
      <c r="AR95" s="82" t="e">
        <f>IF(OR(AB94&lt;=0,AB95&lt;=0),1/0,AB95)</f>
        <v>#VALUE!</v>
      </c>
      <c r="AS95" s="82" t="e">
        <f>AM95</f>
        <v>#VALUE!</v>
      </c>
      <c r="AT95" t="e">
        <f>IFERROR(AP95,IFERROR(AQ95,IFERROR(AR95,AS95)))</f>
        <v>#VALUE!</v>
      </c>
      <c r="AU95" s="81"/>
    </row>
    <row r="96" spans="1:47" x14ac:dyDescent="0.25">
      <c r="A96" s="101">
        <f>A91+1</f>
        <v>11</v>
      </c>
      <c r="B96" s="101">
        <f t="shared" si="27"/>
        <v>6</v>
      </c>
      <c r="O96" s="101">
        <f>O91+1</f>
        <v>13</v>
      </c>
      <c r="P96" s="101" t="str">
        <f t="shared" si="23"/>
        <v xml:space="preserve">  </v>
      </c>
      <c r="AU96" s="81"/>
    </row>
    <row r="97" spans="1:47" x14ac:dyDescent="0.25">
      <c r="A97" s="84">
        <f>A96+1</f>
        <v>12</v>
      </c>
      <c r="B97" s="84">
        <f t="shared" si="27"/>
        <v>6.5</v>
      </c>
      <c r="C97" s="79" t="e">
        <f t="shared" ref="C97" si="41">IF(C98=B99,IF(C99-C98=C98-B98,B98,IF(C99-C98=C98-B97,B97,"#NA")),IF(C98=B98,IF(C99-C98=C98-B97,B97,IF(C99-C98=C98-B96,B96,"#NA")),"#NA"))</f>
        <v>#VALUE!</v>
      </c>
      <c r="D97" s="68" t="e">
        <f>VLOOKUP(C97,STN_TABLE,2,FALSE)</f>
        <v>#VALUE!</v>
      </c>
      <c r="E97" s="102">
        <v>1</v>
      </c>
      <c r="F97" s="68" t="e">
        <f>D97*E97</f>
        <v>#VALUE!</v>
      </c>
      <c r="G97" s="69" t="e">
        <f>C97</f>
        <v>#VALUE!</v>
      </c>
      <c r="H97" s="69" t="e">
        <f>F97*G97</f>
        <v>#VALUE!</v>
      </c>
      <c r="I97" s="6" t="s">
        <v>93</v>
      </c>
      <c r="J97" s="70" t="e">
        <f>IF(OR(D97=0,D98=0,D99=0),"#NA",IF(AND(C99-C98=C98-C97,C98&lt;&gt;C99,C97&lt;&gt;C98,C97&lt;&gt;C99,D99&lt;&gt;0,OR(D97&lt;&gt;0,D98&lt;&gt;0)),WLS*(C99-C98),"#NA"))</f>
        <v>#VALUE!</v>
      </c>
      <c r="O97" s="99">
        <f>O96+1</f>
        <v>14</v>
      </c>
      <c r="P97" s="99" t="str">
        <f t="shared" si="23"/>
        <v xml:space="preserve">  </v>
      </c>
      <c r="Q97" s="68" t="e">
        <f>IF(OR(P99-P98=P98-P97,P100-P98=P98-P97),P97,IF(OR(P99-P98=P98-P96,P100-P98=P98-P96),P96,"-"))</f>
        <v>#VALUE!</v>
      </c>
      <c r="R97" s="69" t="e">
        <f>VLOOKUP(Q97,STN_TABLE,2,FALSE)</f>
        <v>#VALUE!</v>
      </c>
      <c r="S97" s="69">
        <v>5</v>
      </c>
      <c r="T97" s="68" t="e">
        <f>R97*S97</f>
        <v>#VALUE!</v>
      </c>
      <c r="U97" s="79">
        <v>3</v>
      </c>
      <c r="V97" s="68" t="e">
        <f>R97*U97</f>
        <v>#VALUE!</v>
      </c>
      <c r="W97" s="6" t="s">
        <v>93</v>
      </c>
      <c r="X97" s="70" t="e">
        <f>IF(AND(Q99-Q98=Q98-Q97,NOT(AND(Q97=0,Q98=0)),NOT(AND(Q98=0,Q99=0))),WLS*(Q99-Q98),"#NA")</f>
        <v>#VALUE!</v>
      </c>
      <c r="AD97" s="93"/>
      <c r="AH97" s="6" t="s">
        <v>93</v>
      </c>
      <c r="AI97" s="70" t="e">
        <f>WLS*(AD99-AD98)</f>
        <v>#VALUE!</v>
      </c>
      <c r="AU97" s="81"/>
    </row>
    <row r="98" spans="1:47" x14ac:dyDescent="0.25">
      <c r="A98" s="84">
        <f>A97+1</f>
        <v>13</v>
      </c>
      <c r="B98" s="84" t="str">
        <f t="shared" si="27"/>
        <v xml:space="preserve">  </v>
      </c>
      <c r="C98" s="80" t="e">
        <f t="shared" ref="C98" si="42">IF(OR(B100-B99=B99-B98,B100-B99=B99-B97,B100-B99=B99-B96),B99,IF(OR(B100-B98=B98-B97,B100-B98=B98-B96),B98,IF(B100-B97=B97-B96,B97,"#NA")))</f>
        <v>#VALUE!</v>
      </c>
      <c r="D98" s="76" t="e">
        <f>VLOOKUP(C98,STN_TABLE,2,FALSE)</f>
        <v>#VALUE!</v>
      </c>
      <c r="E98" s="81">
        <v>4</v>
      </c>
      <c r="F98" s="76" t="e">
        <f>D98*E98</f>
        <v>#VALUE!</v>
      </c>
      <c r="G98" s="77" t="e">
        <f>C98</f>
        <v>#VALUE!</v>
      </c>
      <c r="H98" s="77" t="e">
        <f>F98*G98</f>
        <v>#VALUE!</v>
      </c>
      <c r="I98" s="495" t="s">
        <v>97</v>
      </c>
      <c r="J98" s="496"/>
      <c r="K98" s="78" t="s">
        <v>98</v>
      </c>
      <c r="L98" s="78"/>
      <c r="M98" s="7" t="s">
        <v>99</v>
      </c>
      <c r="N98" s="7"/>
      <c r="O98" s="99">
        <f>O97+1</f>
        <v>15</v>
      </c>
      <c r="P98" s="99" t="str">
        <f t="shared" si="23"/>
        <v xml:space="preserve">  </v>
      </c>
      <c r="Q98" s="76" t="str">
        <f>P98</f>
        <v xml:space="preserve">  </v>
      </c>
      <c r="R98" s="77" t="str">
        <f>VLOOKUP(Q98,STN_TABLE,2,FALSE)</f>
        <v xml:space="preserve">  </v>
      </c>
      <c r="S98" s="77">
        <v>8</v>
      </c>
      <c r="T98" s="76" t="e">
        <f>R98*S98</f>
        <v>#VALUE!</v>
      </c>
      <c r="U98" s="80">
        <v>10</v>
      </c>
      <c r="V98" s="76" t="e">
        <f>R98*U98</f>
        <v>#VALUE!</v>
      </c>
      <c r="W98" s="496" t="s">
        <v>97</v>
      </c>
      <c r="X98" s="496"/>
      <c r="Y98" s="496" t="s">
        <v>98</v>
      </c>
      <c r="Z98" s="496"/>
      <c r="AA98" s="494" t="s">
        <v>99</v>
      </c>
      <c r="AB98" s="494"/>
      <c r="AC98" s="99">
        <f>AC93+1</f>
        <v>14</v>
      </c>
      <c r="AD98" s="95" t="str">
        <f>VLOOKUP(AC98,STN_TABLE_2,2,FALSE)</f>
        <v xml:space="preserve">  </v>
      </c>
      <c r="AE98" s="68" t="str">
        <f>VLOOKUP(AD98,STN_TABLE,2,FALSE)</f>
        <v xml:space="preserve">  </v>
      </c>
      <c r="AF98" s="68">
        <v>1</v>
      </c>
      <c r="AG98" s="69" t="e">
        <f>AE98*AF98</f>
        <v>#VALUE!</v>
      </c>
      <c r="AH98" s="496" t="s">
        <v>97</v>
      </c>
      <c r="AI98" s="496"/>
      <c r="AJ98" s="496" t="s">
        <v>98</v>
      </c>
      <c r="AK98" s="496"/>
      <c r="AL98" s="494" t="s">
        <v>99</v>
      </c>
      <c r="AM98" s="494"/>
      <c r="AP98" s="86" t="s">
        <v>112</v>
      </c>
      <c r="AQ98" s="89" t="s">
        <v>113</v>
      </c>
      <c r="AR98" s="89" t="s">
        <v>114</v>
      </c>
      <c r="AS98" s="89" t="s">
        <v>115</v>
      </c>
      <c r="AU98" s="81"/>
    </row>
    <row r="99" spans="1:47" x14ac:dyDescent="0.25">
      <c r="A99" s="84">
        <f>A98+1</f>
        <v>14</v>
      </c>
      <c r="B99" s="84" t="str">
        <f t="shared" si="27"/>
        <v xml:space="preserve">  </v>
      </c>
      <c r="C99" s="88" t="str">
        <f t="shared" ref="C99" si="43">B100</f>
        <v xml:space="preserve">  </v>
      </c>
      <c r="D99" s="82" t="str">
        <f>VLOOKUP(C99,STN_TABLE,2,FALSE)</f>
        <v xml:space="preserve">  </v>
      </c>
      <c r="E99" s="92">
        <v>1</v>
      </c>
      <c r="F99" s="82" t="e">
        <f>D99*E99</f>
        <v>#VALUE!</v>
      </c>
      <c r="G99" s="83" t="str">
        <f>C99</f>
        <v xml:space="preserve">  </v>
      </c>
      <c r="H99" s="83" t="e">
        <f>F99*G99</f>
        <v>#VALUE!</v>
      </c>
      <c r="I99" s="84" t="str">
        <f>CONCATENATE("a'(",C99,")=")</f>
        <v>a'(  )=</v>
      </c>
      <c r="J99" s="84" t="e">
        <f>2*J97/3*F100</f>
        <v>#VALUE!</v>
      </c>
      <c r="K99" s="84" t="e">
        <f>CONCATENATE("A(",C97,")=")</f>
        <v>#VALUE!</v>
      </c>
      <c r="L99" s="84" t="e">
        <f>VLOOKUP(C97,STN_TABLE,3,FALSE)</f>
        <v>#VALUE!</v>
      </c>
      <c r="M99" t="str">
        <f>CONCATENATE("A(",C99,")=")</f>
        <v>A(  )=</v>
      </c>
      <c r="N99" t="e">
        <f>J99+L99</f>
        <v>#VALUE!</v>
      </c>
      <c r="O99" s="99">
        <f>O98+1</f>
        <v>16</v>
      </c>
      <c r="P99" s="99" t="str">
        <f t="shared" si="23"/>
        <v xml:space="preserve">  </v>
      </c>
      <c r="Q99" s="82" t="e">
        <f>IF(P99-P98=P98-P97,P99,IF(P100-P98=P98-P97,P100,IF(P99-P98=P98-P96,P99,IF(P100-P98=P98-P96,P100,"-"))))</f>
        <v>#VALUE!</v>
      </c>
      <c r="R99" s="83" t="e">
        <f>VLOOKUP(Q99,STN_TABLE,2,FALSE)</f>
        <v>#VALUE!</v>
      </c>
      <c r="S99" s="83">
        <v>-1</v>
      </c>
      <c r="T99" s="82" t="e">
        <f>R99*S99</f>
        <v>#VALUE!</v>
      </c>
      <c r="U99" s="88">
        <v>-1</v>
      </c>
      <c r="V99" s="82" t="e">
        <f>R99*U99</f>
        <v>#VALUE!</v>
      </c>
      <c r="W99" s="84" t="str">
        <f>CONCATENATE("a'(",Q98,")=")</f>
        <v>a'(  )=</v>
      </c>
      <c r="X99" s="84" t="e">
        <f>2*X97/12*T100</f>
        <v>#VALUE!</v>
      </c>
      <c r="Y99" s="84" t="e">
        <f>CONCATENATE("A(",Q97,")=")</f>
        <v>#VALUE!</v>
      </c>
      <c r="Z99" s="84" t="e">
        <f>VLOOKUP(Q97,STN_TABLE,3,FALSE)</f>
        <v>#VALUE!</v>
      </c>
      <c r="AA99" t="str">
        <f>CONCATENATE("A(",Q98,")=")</f>
        <v>A(  )=</v>
      </c>
      <c r="AB99" t="e">
        <f>X99+Z99</f>
        <v>#VALUE!</v>
      </c>
      <c r="AC99" s="99">
        <f>AC98+1</f>
        <v>15</v>
      </c>
      <c r="AD99" s="100" t="str">
        <f>VLOOKUP(AC99,STN_TABLE_2,2,FALSE)</f>
        <v xml:space="preserve">  </v>
      </c>
      <c r="AE99" s="82" t="str">
        <f>VLOOKUP(AD99,STN_TABLE,2,FALSE)</f>
        <v xml:space="preserve">  </v>
      </c>
      <c r="AF99" s="82">
        <v>2</v>
      </c>
      <c r="AG99" s="83" t="e">
        <f>AE99*AF99</f>
        <v>#VALUE!</v>
      </c>
      <c r="AH99" s="84" t="str">
        <f>CONCATENATE("a'(",AD99,")=")</f>
        <v>a'(  )=</v>
      </c>
      <c r="AI99" s="84" t="e">
        <f>2*AI97/2*AE100</f>
        <v>#VALUE!</v>
      </c>
      <c r="AJ99" s="84" t="str">
        <f>CONCATENATE("A(",AD98,")=")</f>
        <v>A(  )=</v>
      </c>
      <c r="AK99" s="84" t="str">
        <f>VLOOKUP(AD98,STN_TABLE,3,FALSE)</f>
        <v xml:space="preserve"> </v>
      </c>
      <c r="AL99" t="str">
        <f>CONCATENATE("A(",AD99,")=")</f>
        <v>A(  )=</v>
      </c>
      <c r="AM99" t="e">
        <f>AI99+AK99</f>
        <v>#VALUE!</v>
      </c>
      <c r="AO99" s="68" t="str">
        <f>AA99</f>
        <v>A(  )=</v>
      </c>
      <c r="AP99" s="68" t="e">
        <f>VLOOKUP(AO99,Rise_Results,2,FALSE)</f>
        <v>#N/A</v>
      </c>
      <c r="AQ99" s="76" t="e">
        <f>N99</f>
        <v>#VALUE!</v>
      </c>
      <c r="AR99" s="76" t="e">
        <f>IF(OR(AB99&lt;=0,AB100&lt;=0),1/0,AB99)</f>
        <v>#VALUE!</v>
      </c>
      <c r="AS99" s="76" t="e">
        <f>AM99</f>
        <v>#VALUE!</v>
      </c>
      <c r="AT99" t="e">
        <f>IFERROR(AP99,IFERROR(AQ99,IFERROR(AR99,AS99)))</f>
        <v>#VALUE!</v>
      </c>
      <c r="AU99" s="81"/>
    </row>
    <row r="100" spans="1:47" x14ac:dyDescent="0.25">
      <c r="A100" s="84">
        <f>A99+1</f>
        <v>15</v>
      </c>
      <c r="B100" s="84" t="str">
        <f t="shared" si="27"/>
        <v xml:space="preserve">  </v>
      </c>
      <c r="F100" s="82" t="e">
        <f>SUM(F97:F99)</f>
        <v>#VALUE!</v>
      </c>
      <c r="H100" s="82" t="e">
        <f>SUM(H97:H99)</f>
        <v>#VALUE!</v>
      </c>
      <c r="I100" s="84" t="str">
        <f>CONCATENATE("m'(",C99,")=")</f>
        <v>m'(  )=</v>
      </c>
      <c r="J100" s="84" t="e">
        <f>2*(J97*(WLS))/3*H100</f>
        <v>#VALUE!</v>
      </c>
      <c r="K100" s="84" t="e">
        <f>CONCATENATE("M(",C97,")=")</f>
        <v>#VALUE!</v>
      </c>
      <c r="L100" s="84" t="e">
        <f>VLOOKUP(C97,STN_TABLE,4,FALSE)</f>
        <v>#VALUE!</v>
      </c>
      <c r="M100" t="str">
        <f>CONCATENATE("M(",C99,")=")</f>
        <v>M(  )=</v>
      </c>
      <c r="N100" t="e">
        <f>J100+L100</f>
        <v>#VALUE!</v>
      </c>
      <c r="O100" s="99">
        <f>O99+1</f>
        <v>17</v>
      </c>
      <c r="P100" s="99" t="str">
        <f t="shared" ref="P100:P131" si="44">VLOOKUP(O100,STN_TABLE_2,2,FALSE)</f>
        <v xml:space="preserve">  </v>
      </c>
      <c r="T100" s="89" t="e">
        <f>SUM(T97:T99)</f>
        <v>#VALUE!</v>
      </c>
      <c r="V100" s="82" t="e">
        <f>SUM(V97:V99)</f>
        <v>#VALUE!</v>
      </c>
      <c r="W100" s="84" t="str">
        <f>CONCATENATE("m'(",Q98,")=")</f>
        <v>m'(  )=</v>
      </c>
      <c r="X100" s="84" t="e">
        <f>(2*(X97^2)/24*V100)+(X99*Q97*WLS)</f>
        <v>#VALUE!</v>
      </c>
      <c r="Y100" s="84" t="e">
        <f>CONCATENATE("M(",Q97,")=")</f>
        <v>#VALUE!</v>
      </c>
      <c r="Z100" s="84" t="e">
        <f>VLOOKUP(Q97,STN_TABLE,4,FALSE)</f>
        <v>#VALUE!</v>
      </c>
      <c r="AA100" t="str">
        <f>CONCATENATE("M(",Q98,")=")</f>
        <v>M(  )=</v>
      </c>
      <c r="AB100" t="e">
        <f>X100+Z100</f>
        <v>#VALUE!</v>
      </c>
      <c r="AE100" s="89">
        <f>SUM(AE98:AE99)</f>
        <v>0</v>
      </c>
      <c r="AG100" s="89" t="e">
        <f>SUM(AG98:AG99)</f>
        <v>#VALUE!</v>
      </c>
      <c r="AH100" s="84" t="str">
        <f>CONCATENATE("m'(",AD99,")=")</f>
        <v>m'(  )=</v>
      </c>
      <c r="AI100" s="84" t="e">
        <f>(2*(AI97^2)/6*AG100)+(AI99*AD98*WLS)</f>
        <v>#VALUE!</v>
      </c>
      <c r="AJ100" s="84" t="str">
        <f>CONCATENATE("M(",AD98,")=")</f>
        <v>M(  )=</v>
      </c>
      <c r="AK100" s="84" t="str">
        <f>VLOOKUP(AD98,STN_TABLE,4,FALSE)</f>
        <v xml:space="preserve"> </v>
      </c>
      <c r="AL100" t="str">
        <f>CONCATENATE("M(",AD99,")=")</f>
        <v>M(  )=</v>
      </c>
      <c r="AM100" t="e">
        <f>AI100+AK100</f>
        <v>#VALUE!</v>
      </c>
      <c r="AO100" s="82" t="str">
        <f>AA100</f>
        <v>M(  )=</v>
      </c>
      <c r="AP100" s="82" t="e">
        <f>VLOOKUP(AO100,Rise_Results,2,FALSE)</f>
        <v>#N/A</v>
      </c>
      <c r="AQ100" s="82" t="e">
        <f>N100</f>
        <v>#VALUE!</v>
      </c>
      <c r="AR100" s="82" t="e">
        <f>IF(OR(AB99&lt;=0,AB100&lt;=0),1/0,AB100)</f>
        <v>#VALUE!</v>
      </c>
      <c r="AS100" s="82" t="e">
        <f>AM100</f>
        <v>#VALUE!</v>
      </c>
      <c r="AT100" t="e">
        <f>IFERROR(AP100,IFERROR(AQ100,IFERROR(AR100,AS100)))</f>
        <v>#VALUE!</v>
      </c>
      <c r="AU100" s="81"/>
    </row>
    <row r="101" spans="1:47" x14ac:dyDescent="0.25">
      <c r="A101" s="101">
        <f>A96+1</f>
        <v>12</v>
      </c>
      <c r="B101" s="101">
        <f t="shared" si="27"/>
        <v>6.5</v>
      </c>
      <c r="O101" s="101">
        <f>O96+1</f>
        <v>14</v>
      </c>
      <c r="P101" s="101" t="str">
        <f t="shared" si="44"/>
        <v xml:space="preserve">  </v>
      </c>
      <c r="AU101" s="81"/>
    </row>
    <row r="102" spans="1:47" x14ac:dyDescent="0.25">
      <c r="A102" s="84">
        <f>A101+1</f>
        <v>13</v>
      </c>
      <c r="B102" s="84" t="str">
        <f t="shared" si="27"/>
        <v xml:space="preserve">  </v>
      </c>
      <c r="C102" s="79" t="e">
        <f t="shared" ref="C102" si="45">IF(C103=B104,IF(C104-C103=C103-B103,B103,IF(C104-C103=C103-B102,B102,"#NA")),IF(C103=B103,IF(C104-C103=C103-B102,B102,IF(C104-C103=C103-B101,B101,"#NA")),"#NA"))</f>
        <v>#VALUE!</v>
      </c>
      <c r="D102" s="68" t="e">
        <f>VLOOKUP(C102,STN_TABLE,2,FALSE)</f>
        <v>#VALUE!</v>
      </c>
      <c r="E102" s="102">
        <v>1</v>
      </c>
      <c r="F102" s="68" t="e">
        <f>D102*E102</f>
        <v>#VALUE!</v>
      </c>
      <c r="G102" s="69" t="e">
        <f>C102</f>
        <v>#VALUE!</v>
      </c>
      <c r="H102" s="69" t="e">
        <f>F102*G102</f>
        <v>#VALUE!</v>
      </c>
      <c r="I102" s="6" t="s">
        <v>93</v>
      </c>
      <c r="J102" s="70" t="e">
        <f>IF(OR(D102=0,D103=0,D104=0),"#NA",IF(AND(C104-C103=C103-C102,C103&lt;&gt;C104,C102&lt;&gt;C103,C102&lt;&gt;C104,D104&lt;&gt;0,OR(D102&lt;&gt;0,D103&lt;&gt;0)),WLS*(C104-C103),"#NA"))</f>
        <v>#VALUE!</v>
      </c>
      <c r="O102" s="99">
        <f>O101+1</f>
        <v>15</v>
      </c>
      <c r="P102" s="99" t="str">
        <f t="shared" si="44"/>
        <v xml:space="preserve">  </v>
      </c>
      <c r="Q102" s="68" t="e">
        <f>IF(OR(P104-P103=P103-P102,P105-P103=P103-P102),P102,IF(OR(P104-P103=P103-P101,P105-P103=P103-P101),P101,"-"))</f>
        <v>#VALUE!</v>
      </c>
      <c r="R102" s="69" t="e">
        <f>VLOOKUP(Q102,STN_TABLE,2,FALSE)</f>
        <v>#VALUE!</v>
      </c>
      <c r="S102" s="69">
        <v>5</v>
      </c>
      <c r="T102" s="68" t="e">
        <f>R102*S102</f>
        <v>#VALUE!</v>
      </c>
      <c r="U102" s="79">
        <v>3</v>
      </c>
      <c r="V102" s="68" t="e">
        <f>R102*U102</f>
        <v>#VALUE!</v>
      </c>
      <c r="W102" s="6" t="s">
        <v>93</v>
      </c>
      <c r="X102" s="70" t="e">
        <f>IF(AND(Q104-Q103=Q103-Q102,NOT(AND(Q102=0,Q103=0)),NOT(AND(Q103=0,Q104=0))),WLS*(Q104-Q103),"#NA")</f>
        <v>#VALUE!</v>
      </c>
      <c r="AD102" s="93"/>
      <c r="AH102" s="6" t="s">
        <v>93</v>
      </c>
      <c r="AI102" s="70" t="e">
        <f>WLS*(AD104-AD103)</f>
        <v>#VALUE!</v>
      </c>
      <c r="AU102" s="81"/>
    </row>
    <row r="103" spans="1:47" x14ac:dyDescent="0.25">
      <c r="A103" s="84">
        <f>A102+1</f>
        <v>14</v>
      </c>
      <c r="B103" s="84" t="str">
        <f t="shared" si="27"/>
        <v xml:space="preserve">  </v>
      </c>
      <c r="C103" s="80" t="e">
        <f t="shared" ref="C103" si="46">IF(OR(B105-B104=B104-B103,B105-B104=B104-B102,B105-B104=B104-B101),B104,IF(OR(B105-B103=B103-B102,B105-B103=B103-B101),B103,IF(B105-B102=B102-B101,B102,"#NA")))</f>
        <v>#VALUE!</v>
      </c>
      <c r="D103" s="76" t="e">
        <f>VLOOKUP(C103,STN_TABLE,2,FALSE)</f>
        <v>#VALUE!</v>
      </c>
      <c r="E103" s="81">
        <v>4</v>
      </c>
      <c r="F103" s="76" t="e">
        <f>D103*E103</f>
        <v>#VALUE!</v>
      </c>
      <c r="G103" s="77" t="e">
        <f>C103</f>
        <v>#VALUE!</v>
      </c>
      <c r="H103" s="77" t="e">
        <f>F103*G103</f>
        <v>#VALUE!</v>
      </c>
      <c r="I103" s="495" t="s">
        <v>97</v>
      </c>
      <c r="J103" s="496"/>
      <c r="K103" s="78" t="s">
        <v>98</v>
      </c>
      <c r="L103" s="78"/>
      <c r="M103" s="7" t="s">
        <v>99</v>
      </c>
      <c r="N103" s="7"/>
      <c r="O103" s="99">
        <f>O102+1</f>
        <v>16</v>
      </c>
      <c r="P103" s="99" t="str">
        <f t="shared" si="44"/>
        <v xml:space="preserve">  </v>
      </c>
      <c r="Q103" s="76" t="str">
        <f>P103</f>
        <v xml:space="preserve">  </v>
      </c>
      <c r="R103" s="77" t="str">
        <f>VLOOKUP(Q103,STN_TABLE,2,FALSE)</f>
        <v xml:space="preserve">  </v>
      </c>
      <c r="S103" s="77">
        <v>8</v>
      </c>
      <c r="T103" s="76" t="e">
        <f>R103*S103</f>
        <v>#VALUE!</v>
      </c>
      <c r="U103" s="80">
        <v>10</v>
      </c>
      <c r="V103" s="76" t="e">
        <f>R103*U103</f>
        <v>#VALUE!</v>
      </c>
      <c r="W103" s="496" t="s">
        <v>97</v>
      </c>
      <c r="X103" s="496"/>
      <c r="Y103" s="496" t="s">
        <v>98</v>
      </c>
      <c r="Z103" s="496"/>
      <c r="AA103" s="494" t="s">
        <v>99</v>
      </c>
      <c r="AB103" s="494"/>
      <c r="AC103" s="99">
        <f>AC98+1</f>
        <v>15</v>
      </c>
      <c r="AD103" s="95" t="str">
        <f>VLOOKUP(AC103,STN_TABLE_2,2,FALSE)</f>
        <v xml:space="preserve">  </v>
      </c>
      <c r="AE103" s="68" t="str">
        <f>VLOOKUP(AD103,STN_TABLE,2,FALSE)</f>
        <v xml:space="preserve">  </v>
      </c>
      <c r="AF103" s="68">
        <v>1</v>
      </c>
      <c r="AG103" s="69" t="e">
        <f>AE103*AF103</f>
        <v>#VALUE!</v>
      </c>
      <c r="AH103" s="496" t="s">
        <v>97</v>
      </c>
      <c r="AI103" s="496"/>
      <c r="AJ103" s="496" t="s">
        <v>98</v>
      </c>
      <c r="AK103" s="496"/>
      <c r="AL103" s="494" t="s">
        <v>99</v>
      </c>
      <c r="AM103" s="494"/>
      <c r="AP103" s="86" t="s">
        <v>112</v>
      </c>
      <c r="AQ103" s="89" t="s">
        <v>113</v>
      </c>
      <c r="AR103" s="89" t="s">
        <v>114</v>
      </c>
      <c r="AS103" s="89" t="s">
        <v>115</v>
      </c>
      <c r="AU103" s="81"/>
    </row>
    <row r="104" spans="1:47" x14ac:dyDescent="0.25">
      <c r="A104" s="84">
        <f>A103+1</f>
        <v>15</v>
      </c>
      <c r="B104" s="84" t="str">
        <f t="shared" si="27"/>
        <v xml:space="preserve">  </v>
      </c>
      <c r="C104" s="88" t="str">
        <f t="shared" ref="C104" si="47">B105</f>
        <v xml:space="preserve">  </v>
      </c>
      <c r="D104" s="82" t="str">
        <f>VLOOKUP(C104,STN_TABLE,2,FALSE)</f>
        <v xml:space="preserve">  </v>
      </c>
      <c r="E104" s="92">
        <v>1</v>
      </c>
      <c r="F104" s="82" t="e">
        <f>D104*E104</f>
        <v>#VALUE!</v>
      </c>
      <c r="G104" s="83" t="str">
        <f>C104</f>
        <v xml:space="preserve">  </v>
      </c>
      <c r="H104" s="83" t="e">
        <f>F104*G104</f>
        <v>#VALUE!</v>
      </c>
      <c r="I104" s="84" t="str">
        <f>CONCATENATE("a'(",C104,")=")</f>
        <v>a'(  )=</v>
      </c>
      <c r="J104" s="84" t="e">
        <f>2*J102/3*F105</f>
        <v>#VALUE!</v>
      </c>
      <c r="K104" s="84" t="e">
        <f>CONCATENATE("A(",C102,")=")</f>
        <v>#VALUE!</v>
      </c>
      <c r="L104" s="84" t="e">
        <f>VLOOKUP(C102,STN_TABLE,3,FALSE)</f>
        <v>#VALUE!</v>
      </c>
      <c r="M104" t="str">
        <f>CONCATENATE("A(",C104,")=")</f>
        <v>A(  )=</v>
      </c>
      <c r="N104" t="e">
        <f>J104+L104</f>
        <v>#VALUE!</v>
      </c>
      <c r="O104" s="99">
        <f>O103+1</f>
        <v>17</v>
      </c>
      <c r="P104" s="99" t="str">
        <f t="shared" si="44"/>
        <v xml:space="preserve">  </v>
      </c>
      <c r="Q104" s="82" t="e">
        <f>IF(P104-P103=P103-P102,P104,IF(P105-P103=P103-P102,P105,IF(P104-P103=P103-P101,P104,IF(P105-P103=P103-P101,P105,"-"))))</f>
        <v>#VALUE!</v>
      </c>
      <c r="R104" s="83" t="e">
        <f>VLOOKUP(Q104,STN_TABLE,2,FALSE)</f>
        <v>#VALUE!</v>
      </c>
      <c r="S104" s="83">
        <v>-1</v>
      </c>
      <c r="T104" s="82" t="e">
        <f>R104*S104</f>
        <v>#VALUE!</v>
      </c>
      <c r="U104" s="88">
        <v>-1</v>
      </c>
      <c r="V104" s="82" t="e">
        <f>R104*U104</f>
        <v>#VALUE!</v>
      </c>
      <c r="W104" s="84" t="str">
        <f>CONCATENATE("a'(",Q103,")=")</f>
        <v>a'(  )=</v>
      </c>
      <c r="X104" s="84" t="e">
        <f>2*X102/12*T105</f>
        <v>#VALUE!</v>
      </c>
      <c r="Y104" s="84" t="e">
        <f>CONCATENATE("A(",Q102,")=")</f>
        <v>#VALUE!</v>
      </c>
      <c r="Z104" s="84" t="e">
        <f>VLOOKUP(Q102,STN_TABLE,3,FALSE)</f>
        <v>#VALUE!</v>
      </c>
      <c r="AA104" t="str">
        <f>CONCATENATE("A(",Q103,")=")</f>
        <v>A(  )=</v>
      </c>
      <c r="AB104" t="e">
        <f>X104+Z104</f>
        <v>#VALUE!</v>
      </c>
      <c r="AC104" s="99">
        <f>AC103+1</f>
        <v>16</v>
      </c>
      <c r="AD104" s="100" t="str">
        <f>VLOOKUP(AC104,STN_TABLE_2,2,FALSE)</f>
        <v xml:space="preserve">  </v>
      </c>
      <c r="AE104" s="82" t="str">
        <f>VLOOKUP(AD104,STN_TABLE,2,FALSE)</f>
        <v xml:space="preserve">  </v>
      </c>
      <c r="AF104" s="82">
        <v>2</v>
      </c>
      <c r="AG104" s="83" t="e">
        <f>AE104*AF104</f>
        <v>#VALUE!</v>
      </c>
      <c r="AH104" s="84" t="str">
        <f>CONCATENATE("a'(",AD104,")=")</f>
        <v>a'(  )=</v>
      </c>
      <c r="AI104" s="84" t="e">
        <f>2*AI102/2*AE105</f>
        <v>#VALUE!</v>
      </c>
      <c r="AJ104" s="84" t="str">
        <f>CONCATENATE("A(",AD103,")=")</f>
        <v>A(  )=</v>
      </c>
      <c r="AK104" s="84" t="str">
        <f>VLOOKUP(AD103,STN_TABLE,3,FALSE)</f>
        <v xml:space="preserve"> </v>
      </c>
      <c r="AL104" t="str">
        <f>CONCATENATE("A(",AD104,")=")</f>
        <v>A(  )=</v>
      </c>
      <c r="AM104" t="e">
        <f>AI104+AK104</f>
        <v>#VALUE!</v>
      </c>
      <c r="AO104" s="68" t="str">
        <f>AA104</f>
        <v>A(  )=</v>
      </c>
      <c r="AP104" s="68" t="e">
        <f>VLOOKUP(AO104,Rise_Results,2,FALSE)</f>
        <v>#N/A</v>
      </c>
      <c r="AQ104" s="76" t="e">
        <f>N104</f>
        <v>#VALUE!</v>
      </c>
      <c r="AR104" s="76" t="e">
        <f>IF(OR(AB104&lt;=0,AB105&lt;=0),1/0,AB104)</f>
        <v>#VALUE!</v>
      </c>
      <c r="AS104" s="76" t="e">
        <f>AM104</f>
        <v>#VALUE!</v>
      </c>
      <c r="AT104" t="e">
        <f>IFERROR(AP104,IFERROR(AQ104,IFERROR(AR104,AS104)))</f>
        <v>#VALUE!</v>
      </c>
      <c r="AU104" s="81"/>
    </row>
    <row r="105" spans="1:47" x14ac:dyDescent="0.25">
      <c r="A105" s="84">
        <f>A104+1</f>
        <v>16</v>
      </c>
      <c r="B105" s="84" t="str">
        <f t="shared" si="27"/>
        <v xml:space="preserve">  </v>
      </c>
      <c r="F105" s="82" t="e">
        <f>SUM(F102:F104)</f>
        <v>#VALUE!</v>
      </c>
      <c r="H105" s="82" t="e">
        <f>SUM(H102:H104)</f>
        <v>#VALUE!</v>
      </c>
      <c r="I105" s="84" t="str">
        <f>CONCATENATE("m'(",C104,")=")</f>
        <v>m'(  )=</v>
      </c>
      <c r="J105" s="84" t="e">
        <f>2*(J102*(WLS))/3*H105</f>
        <v>#VALUE!</v>
      </c>
      <c r="K105" s="84" t="e">
        <f>CONCATENATE("M(",C102,")=")</f>
        <v>#VALUE!</v>
      </c>
      <c r="L105" s="84" t="e">
        <f>VLOOKUP(C102,STN_TABLE,4,FALSE)</f>
        <v>#VALUE!</v>
      </c>
      <c r="M105" t="str">
        <f>CONCATENATE("M(",C104,")=")</f>
        <v>M(  )=</v>
      </c>
      <c r="N105" t="e">
        <f>J105+L105</f>
        <v>#VALUE!</v>
      </c>
      <c r="O105" s="99">
        <f>O104+1</f>
        <v>18</v>
      </c>
      <c r="P105" s="99" t="str">
        <f t="shared" si="44"/>
        <v xml:space="preserve">  </v>
      </c>
      <c r="T105" s="89" t="e">
        <f>SUM(T102:T104)</f>
        <v>#VALUE!</v>
      </c>
      <c r="V105" s="82" t="e">
        <f>SUM(V102:V104)</f>
        <v>#VALUE!</v>
      </c>
      <c r="W105" s="84" t="str">
        <f>CONCATENATE("m'(",Q103,")=")</f>
        <v>m'(  )=</v>
      </c>
      <c r="X105" s="84" t="e">
        <f>(2*(X102^2)/24*V105)+(X104*Q102*WLS)</f>
        <v>#VALUE!</v>
      </c>
      <c r="Y105" s="84" t="e">
        <f>CONCATENATE("M(",Q102,")=")</f>
        <v>#VALUE!</v>
      </c>
      <c r="Z105" s="84" t="e">
        <f>VLOOKUP(Q102,STN_TABLE,4,FALSE)</f>
        <v>#VALUE!</v>
      </c>
      <c r="AA105" t="str">
        <f>CONCATENATE("M(",Q103,")=")</f>
        <v>M(  )=</v>
      </c>
      <c r="AB105" t="e">
        <f>X105+Z105</f>
        <v>#VALUE!</v>
      </c>
      <c r="AE105" s="89">
        <f>SUM(AE103:AE104)</f>
        <v>0</v>
      </c>
      <c r="AG105" s="89" t="e">
        <f>SUM(AG103:AG104)</f>
        <v>#VALUE!</v>
      </c>
      <c r="AH105" s="84" t="str">
        <f>CONCATENATE("m'(",AD104,")=")</f>
        <v>m'(  )=</v>
      </c>
      <c r="AI105" s="84" t="e">
        <f>(2*(AI102^2)/6*AG105)+(AI104*AD103*WLS)</f>
        <v>#VALUE!</v>
      </c>
      <c r="AJ105" s="84" t="str">
        <f>CONCATENATE("M(",AD103,")=")</f>
        <v>M(  )=</v>
      </c>
      <c r="AK105" s="84" t="str">
        <f>VLOOKUP(AD103,STN_TABLE,4,FALSE)</f>
        <v xml:space="preserve"> </v>
      </c>
      <c r="AL105" t="str">
        <f>CONCATENATE("M(",AD104,")=")</f>
        <v>M(  )=</v>
      </c>
      <c r="AM105" t="e">
        <f>AI105+AK105</f>
        <v>#VALUE!</v>
      </c>
      <c r="AO105" s="82" t="str">
        <f>AA105</f>
        <v>M(  )=</v>
      </c>
      <c r="AP105" s="82" t="e">
        <f>VLOOKUP(AO105,Rise_Results,2,FALSE)</f>
        <v>#N/A</v>
      </c>
      <c r="AQ105" s="82" t="e">
        <f>N105</f>
        <v>#VALUE!</v>
      </c>
      <c r="AR105" s="82" t="e">
        <f>IF(OR(AB104&lt;=0,AB105&lt;=0),1/0,AB105)</f>
        <v>#VALUE!</v>
      </c>
      <c r="AS105" s="82" t="e">
        <f>AM105</f>
        <v>#VALUE!</v>
      </c>
      <c r="AT105" t="e">
        <f>IFERROR(AP105,IFERROR(AQ105,IFERROR(AR105,AS105)))</f>
        <v>#VALUE!</v>
      </c>
      <c r="AU105" s="81"/>
    </row>
    <row r="106" spans="1:47" x14ac:dyDescent="0.25">
      <c r="A106" s="101">
        <f>A101+1</f>
        <v>13</v>
      </c>
      <c r="B106" s="101" t="str">
        <f t="shared" ref="B106:B137" si="48">VLOOKUP(A106,STN_TABLE_2,2,FALSE)</f>
        <v xml:space="preserve">  </v>
      </c>
      <c r="O106" s="101">
        <f>O101+1</f>
        <v>15</v>
      </c>
      <c r="P106" s="101" t="str">
        <f t="shared" si="44"/>
        <v xml:space="preserve">  </v>
      </c>
      <c r="AU106" s="81"/>
    </row>
    <row r="107" spans="1:47" x14ac:dyDescent="0.25">
      <c r="A107" s="84">
        <f>A106+1</f>
        <v>14</v>
      </c>
      <c r="B107" s="84" t="str">
        <f t="shared" si="48"/>
        <v xml:space="preserve">  </v>
      </c>
      <c r="C107" s="79" t="e">
        <f t="shared" ref="C107" si="49">IF(C108=B109,IF(C109-C108=C108-B108,B108,IF(C109-C108=C108-B107,B107,"#NA")),IF(C108=B108,IF(C109-C108=C108-B107,B107,IF(C109-C108=C108-B106,B106,"#NA")),"#NA"))</f>
        <v>#VALUE!</v>
      </c>
      <c r="D107" s="68" t="e">
        <f>VLOOKUP(C107,STN_TABLE,2,FALSE)</f>
        <v>#VALUE!</v>
      </c>
      <c r="E107" s="102">
        <v>1</v>
      </c>
      <c r="F107" s="68" t="e">
        <f>D107*E107</f>
        <v>#VALUE!</v>
      </c>
      <c r="G107" s="69" t="e">
        <f>C107</f>
        <v>#VALUE!</v>
      </c>
      <c r="H107" s="69" t="e">
        <f>F107*G107</f>
        <v>#VALUE!</v>
      </c>
      <c r="I107" s="6" t="s">
        <v>93</v>
      </c>
      <c r="J107" s="70" t="e">
        <f>IF(OR(D107=0,D108=0,D109=0),"#NA",IF(AND(C109-C108=C108-C107,C108&lt;&gt;C109,C107&lt;&gt;C108,C107&lt;&gt;C109,D109&lt;&gt;0,OR(D107&lt;&gt;0,D108&lt;&gt;0)),WLS*(C109-C108),"#NA"))</f>
        <v>#VALUE!</v>
      </c>
      <c r="O107" s="99">
        <f>O106+1</f>
        <v>16</v>
      </c>
      <c r="P107" s="99" t="str">
        <f t="shared" si="44"/>
        <v xml:space="preserve">  </v>
      </c>
      <c r="Q107" s="68" t="e">
        <f>IF(OR(P109-P108=P108-P107,P110-P108=P108-P107),P107,IF(OR(P109-P108=P108-P106,P110-P108=P108-P106),P106,"-"))</f>
        <v>#VALUE!</v>
      </c>
      <c r="R107" s="69" t="e">
        <f>VLOOKUP(Q107,STN_TABLE,2,FALSE)</f>
        <v>#VALUE!</v>
      </c>
      <c r="S107" s="69">
        <v>5</v>
      </c>
      <c r="T107" s="68" t="e">
        <f>R107*S107</f>
        <v>#VALUE!</v>
      </c>
      <c r="U107" s="79">
        <v>3</v>
      </c>
      <c r="V107" s="68" t="e">
        <f>R107*U107</f>
        <v>#VALUE!</v>
      </c>
      <c r="W107" s="6" t="s">
        <v>93</v>
      </c>
      <c r="X107" s="70" t="e">
        <f>IF(AND(Q109-Q108=Q108-Q107,NOT(AND(Q107=0,Q108=0)),NOT(AND(Q108=0,Q109=0))),WLS*(Q109-Q108),"#NA")</f>
        <v>#VALUE!</v>
      </c>
      <c r="AD107" s="93"/>
      <c r="AH107" s="6" t="s">
        <v>93</v>
      </c>
      <c r="AI107" s="70" t="e">
        <f>WLS*(AD109-AD108)</f>
        <v>#VALUE!</v>
      </c>
      <c r="AU107" s="81"/>
    </row>
    <row r="108" spans="1:47" x14ac:dyDescent="0.25">
      <c r="A108" s="84">
        <f>A107+1</f>
        <v>15</v>
      </c>
      <c r="B108" s="84" t="str">
        <f t="shared" si="48"/>
        <v xml:space="preserve">  </v>
      </c>
      <c r="C108" s="80" t="e">
        <f t="shared" ref="C108" si="50">IF(OR(B110-B109=B109-B108,B110-B109=B109-B107,B110-B109=B109-B106),B109,IF(OR(B110-B108=B108-B107,B110-B108=B108-B106),B108,IF(B110-B107=B107-B106,B107,"#NA")))</f>
        <v>#VALUE!</v>
      </c>
      <c r="D108" s="76" t="e">
        <f>VLOOKUP(C108,STN_TABLE,2,FALSE)</f>
        <v>#VALUE!</v>
      </c>
      <c r="E108" s="81">
        <v>4</v>
      </c>
      <c r="F108" s="76" t="e">
        <f>D108*E108</f>
        <v>#VALUE!</v>
      </c>
      <c r="G108" s="77" t="e">
        <f>C108</f>
        <v>#VALUE!</v>
      </c>
      <c r="H108" s="77" t="e">
        <f>F108*G108</f>
        <v>#VALUE!</v>
      </c>
      <c r="I108" s="495" t="s">
        <v>97</v>
      </c>
      <c r="J108" s="496"/>
      <c r="K108" s="78" t="s">
        <v>98</v>
      </c>
      <c r="L108" s="78"/>
      <c r="M108" s="7" t="s">
        <v>99</v>
      </c>
      <c r="N108" s="7"/>
      <c r="O108" s="99">
        <f>O107+1</f>
        <v>17</v>
      </c>
      <c r="P108" s="99" t="str">
        <f t="shared" si="44"/>
        <v xml:space="preserve">  </v>
      </c>
      <c r="Q108" s="76" t="str">
        <f>P108</f>
        <v xml:space="preserve">  </v>
      </c>
      <c r="R108" s="77" t="str">
        <f>VLOOKUP(Q108,STN_TABLE,2,FALSE)</f>
        <v xml:space="preserve">  </v>
      </c>
      <c r="S108" s="77">
        <v>8</v>
      </c>
      <c r="T108" s="76" t="e">
        <f>R108*S108</f>
        <v>#VALUE!</v>
      </c>
      <c r="U108" s="80">
        <v>10</v>
      </c>
      <c r="V108" s="76" t="e">
        <f>R108*U108</f>
        <v>#VALUE!</v>
      </c>
      <c r="W108" s="496" t="s">
        <v>97</v>
      </c>
      <c r="X108" s="496"/>
      <c r="Y108" s="496" t="s">
        <v>98</v>
      </c>
      <c r="Z108" s="496"/>
      <c r="AA108" s="494" t="s">
        <v>99</v>
      </c>
      <c r="AB108" s="494"/>
      <c r="AC108" s="99">
        <f>AC103+1</f>
        <v>16</v>
      </c>
      <c r="AD108" s="95" t="str">
        <f>VLOOKUP(AC108,STN_TABLE_2,2,FALSE)</f>
        <v xml:space="preserve">  </v>
      </c>
      <c r="AE108" s="68" t="str">
        <f>VLOOKUP(AD108,STN_TABLE,2,FALSE)</f>
        <v xml:space="preserve">  </v>
      </c>
      <c r="AF108" s="68">
        <v>1</v>
      </c>
      <c r="AG108" s="69" t="e">
        <f>AE108*AF108</f>
        <v>#VALUE!</v>
      </c>
      <c r="AH108" s="496" t="s">
        <v>97</v>
      </c>
      <c r="AI108" s="496"/>
      <c r="AJ108" s="496" t="s">
        <v>98</v>
      </c>
      <c r="AK108" s="496"/>
      <c r="AL108" s="494" t="s">
        <v>99</v>
      </c>
      <c r="AM108" s="494"/>
      <c r="AP108" s="86" t="s">
        <v>112</v>
      </c>
      <c r="AQ108" s="89" t="s">
        <v>113</v>
      </c>
      <c r="AR108" s="89" t="s">
        <v>114</v>
      </c>
      <c r="AS108" s="89" t="s">
        <v>115</v>
      </c>
      <c r="AU108" s="81"/>
    </row>
    <row r="109" spans="1:47" x14ac:dyDescent="0.25">
      <c r="A109" s="84">
        <f>A108+1</f>
        <v>16</v>
      </c>
      <c r="B109" s="84" t="str">
        <f t="shared" si="48"/>
        <v xml:space="preserve">  </v>
      </c>
      <c r="C109" s="88" t="str">
        <f t="shared" ref="C109" si="51">B110</f>
        <v xml:space="preserve">  </v>
      </c>
      <c r="D109" s="82" t="str">
        <f>VLOOKUP(C109,STN_TABLE,2,FALSE)</f>
        <v xml:space="preserve">  </v>
      </c>
      <c r="E109" s="92">
        <v>1</v>
      </c>
      <c r="F109" s="82" t="e">
        <f>D109*E109</f>
        <v>#VALUE!</v>
      </c>
      <c r="G109" s="83" t="str">
        <f>C109</f>
        <v xml:space="preserve">  </v>
      </c>
      <c r="H109" s="83" t="e">
        <f>F109*G109</f>
        <v>#VALUE!</v>
      </c>
      <c r="I109" s="84" t="str">
        <f>CONCATENATE("a'(",C109,")=")</f>
        <v>a'(  )=</v>
      </c>
      <c r="J109" s="84" t="e">
        <f>2*J107/3*F110</f>
        <v>#VALUE!</v>
      </c>
      <c r="K109" s="84" t="e">
        <f>CONCATENATE("A(",C107,")=")</f>
        <v>#VALUE!</v>
      </c>
      <c r="L109" s="84" t="e">
        <f>VLOOKUP(C107,STN_TABLE,3,FALSE)</f>
        <v>#VALUE!</v>
      </c>
      <c r="M109" t="str">
        <f>CONCATENATE("A(",C109,")=")</f>
        <v>A(  )=</v>
      </c>
      <c r="N109" t="e">
        <f>J109+L109</f>
        <v>#VALUE!</v>
      </c>
      <c r="O109" s="99">
        <f>O108+1</f>
        <v>18</v>
      </c>
      <c r="P109" s="99" t="str">
        <f t="shared" si="44"/>
        <v xml:space="preserve">  </v>
      </c>
      <c r="Q109" s="82" t="e">
        <f>IF(P109-P108=P108-P107,P109,IF(P110-P108=P108-P107,P110,IF(P109-P108=P108-P106,P109,IF(P110-P108=P108-P106,P110,"-"))))</f>
        <v>#VALUE!</v>
      </c>
      <c r="R109" s="83" t="e">
        <f>VLOOKUP(Q109,STN_TABLE,2,FALSE)</f>
        <v>#VALUE!</v>
      </c>
      <c r="S109" s="83">
        <v>-1</v>
      </c>
      <c r="T109" s="82" t="e">
        <f>R109*S109</f>
        <v>#VALUE!</v>
      </c>
      <c r="U109" s="88">
        <v>-1</v>
      </c>
      <c r="V109" s="82" t="e">
        <f>R109*U109</f>
        <v>#VALUE!</v>
      </c>
      <c r="W109" s="84" t="str">
        <f>CONCATENATE("a'(",Q108,")=")</f>
        <v>a'(  )=</v>
      </c>
      <c r="X109" s="84" t="e">
        <f>2*X107/12*T110</f>
        <v>#VALUE!</v>
      </c>
      <c r="Y109" s="84" t="e">
        <f>CONCATENATE("A(",Q107,")=")</f>
        <v>#VALUE!</v>
      </c>
      <c r="Z109" s="84" t="e">
        <f>VLOOKUP(Q107,STN_TABLE,3,FALSE)</f>
        <v>#VALUE!</v>
      </c>
      <c r="AA109" t="str">
        <f>CONCATENATE("A(",Q108,")=")</f>
        <v>A(  )=</v>
      </c>
      <c r="AB109" t="e">
        <f>X109+Z109</f>
        <v>#VALUE!</v>
      </c>
      <c r="AC109" s="99">
        <f>AC108+1</f>
        <v>17</v>
      </c>
      <c r="AD109" s="100" t="str">
        <f>VLOOKUP(AC109,STN_TABLE_2,2,FALSE)</f>
        <v xml:space="preserve">  </v>
      </c>
      <c r="AE109" s="82" t="str">
        <f>VLOOKUP(AD109,STN_TABLE,2,FALSE)</f>
        <v xml:space="preserve">  </v>
      </c>
      <c r="AF109" s="82">
        <v>2</v>
      </c>
      <c r="AG109" s="83" t="e">
        <f>AE109*AF109</f>
        <v>#VALUE!</v>
      </c>
      <c r="AH109" s="84" t="str">
        <f>CONCATENATE("a'(",AD109,")=")</f>
        <v>a'(  )=</v>
      </c>
      <c r="AI109" s="84" t="e">
        <f>2*AI107/2*AE110</f>
        <v>#VALUE!</v>
      </c>
      <c r="AJ109" s="84" t="str">
        <f>CONCATENATE("A(",AD108,")=")</f>
        <v>A(  )=</v>
      </c>
      <c r="AK109" s="84" t="str">
        <f>VLOOKUP(AD108,STN_TABLE,3,FALSE)</f>
        <v xml:space="preserve"> </v>
      </c>
      <c r="AL109" t="str">
        <f>CONCATENATE("A(",AD109,")=")</f>
        <v>A(  )=</v>
      </c>
      <c r="AM109" t="e">
        <f>AI109+AK109</f>
        <v>#VALUE!</v>
      </c>
      <c r="AO109" s="68" t="str">
        <f>AA109</f>
        <v>A(  )=</v>
      </c>
      <c r="AP109" s="68" t="e">
        <f>VLOOKUP(AO109,Rise_Results,2,FALSE)</f>
        <v>#N/A</v>
      </c>
      <c r="AQ109" s="76" t="e">
        <f>N109</f>
        <v>#VALUE!</v>
      </c>
      <c r="AR109" s="76" t="e">
        <f>IF(OR(AB109&lt;=0,AB110&lt;=0),1/0,AB109)</f>
        <v>#VALUE!</v>
      </c>
      <c r="AS109" s="76" t="e">
        <f>AM109</f>
        <v>#VALUE!</v>
      </c>
      <c r="AT109" t="e">
        <f>IFERROR(AP109,IFERROR(AQ109,IFERROR(AR109,AS109)))</f>
        <v>#VALUE!</v>
      </c>
      <c r="AU109" s="81"/>
    </row>
    <row r="110" spans="1:47" x14ac:dyDescent="0.25">
      <c r="A110" s="84">
        <f>A109+1</f>
        <v>17</v>
      </c>
      <c r="B110" s="84" t="str">
        <f t="shared" si="48"/>
        <v xml:space="preserve">  </v>
      </c>
      <c r="F110" s="82" t="e">
        <f>SUM(F107:F109)</f>
        <v>#VALUE!</v>
      </c>
      <c r="H110" s="82" t="e">
        <f>SUM(H107:H109)</f>
        <v>#VALUE!</v>
      </c>
      <c r="I110" s="84" t="str">
        <f>CONCATENATE("m'(",C109,")=")</f>
        <v>m'(  )=</v>
      </c>
      <c r="J110" s="84" t="e">
        <f>2*(J107*(WLS))/3*H110</f>
        <v>#VALUE!</v>
      </c>
      <c r="K110" s="84" t="e">
        <f>CONCATENATE("M(",C107,")=")</f>
        <v>#VALUE!</v>
      </c>
      <c r="L110" s="84" t="e">
        <f>VLOOKUP(C107,STN_TABLE,4,FALSE)</f>
        <v>#VALUE!</v>
      </c>
      <c r="M110" t="str">
        <f>CONCATENATE("M(",C109,")=")</f>
        <v>M(  )=</v>
      </c>
      <c r="N110" t="e">
        <f>J110+L110</f>
        <v>#VALUE!</v>
      </c>
      <c r="O110" s="99">
        <f>O109+1</f>
        <v>19</v>
      </c>
      <c r="P110" s="99" t="str">
        <f t="shared" si="44"/>
        <v xml:space="preserve">  </v>
      </c>
      <c r="T110" s="89" t="e">
        <f>SUM(T107:T109)</f>
        <v>#VALUE!</v>
      </c>
      <c r="V110" s="82" t="e">
        <f>SUM(V107:V109)</f>
        <v>#VALUE!</v>
      </c>
      <c r="W110" s="84" t="str">
        <f>CONCATENATE("m'(",Q108,")=")</f>
        <v>m'(  )=</v>
      </c>
      <c r="X110" s="84" t="e">
        <f>(2*(X107^2)/24*V110)+(X109*Q107*WLS)</f>
        <v>#VALUE!</v>
      </c>
      <c r="Y110" s="84" t="e">
        <f>CONCATENATE("M(",Q107,")=")</f>
        <v>#VALUE!</v>
      </c>
      <c r="Z110" s="84" t="e">
        <f>VLOOKUP(Q107,STN_TABLE,4,FALSE)</f>
        <v>#VALUE!</v>
      </c>
      <c r="AA110" t="str">
        <f>CONCATENATE("M(",Q108,")=")</f>
        <v>M(  )=</v>
      </c>
      <c r="AB110" t="e">
        <f>X110+Z110</f>
        <v>#VALUE!</v>
      </c>
      <c r="AE110" s="89">
        <f>SUM(AE108:AE109)</f>
        <v>0</v>
      </c>
      <c r="AG110" s="89" t="e">
        <f>SUM(AG108:AG109)</f>
        <v>#VALUE!</v>
      </c>
      <c r="AH110" s="84" t="str">
        <f>CONCATENATE("m'(",AD109,")=")</f>
        <v>m'(  )=</v>
      </c>
      <c r="AI110" s="84" t="e">
        <f>(2*(AI107^2)/6*AG110)+(AI109*AD108*WLS)</f>
        <v>#VALUE!</v>
      </c>
      <c r="AJ110" s="84" t="str">
        <f>CONCATENATE("M(",AD108,")=")</f>
        <v>M(  )=</v>
      </c>
      <c r="AK110" s="84" t="str">
        <f>VLOOKUP(AD108,STN_TABLE,4,FALSE)</f>
        <v xml:space="preserve"> </v>
      </c>
      <c r="AL110" t="str">
        <f>CONCATENATE("M(",AD109,")=")</f>
        <v>M(  )=</v>
      </c>
      <c r="AM110" t="e">
        <f>AI110+AK110</f>
        <v>#VALUE!</v>
      </c>
      <c r="AO110" s="82" t="str">
        <f>AA110</f>
        <v>M(  )=</v>
      </c>
      <c r="AP110" s="82" t="e">
        <f>VLOOKUP(AO110,Rise_Results,2,FALSE)</f>
        <v>#N/A</v>
      </c>
      <c r="AQ110" s="82" t="e">
        <f>N110</f>
        <v>#VALUE!</v>
      </c>
      <c r="AR110" s="82" t="e">
        <f>IF(OR(AB109&lt;=0,AB110&lt;=0),1/0,AB110)</f>
        <v>#VALUE!</v>
      </c>
      <c r="AS110" s="82" t="e">
        <f>AM110</f>
        <v>#VALUE!</v>
      </c>
      <c r="AT110" t="e">
        <f>IFERROR(AP110,IFERROR(AQ110,IFERROR(AR110,AS110)))</f>
        <v>#VALUE!</v>
      </c>
      <c r="AU110" s="81"/>
    </row>
    <row r="111" spans="1:47" x14ac:dyDescent="0.25">
      <c r="A111" s="101">
        <f>A106+1</f>
        <v>14</v>
      </c>
      <c r="B111" s="101" t="str">
        <f t="shared" si="48"/>
        <v xml:space="preserve">  </v>
      </c>
      <c r="O111" s="101">
        <f>O106+1</f>
        <v>16</v>
      </c>
      <c r="P111" s="101" t="str">
        <f t="shared" si="44"/>
        <v xml:space="preserve">  </v>
      </c>
      <c r="AU111" s="81"/>
    </row>
    <row r="112" spans="1:47" x14ac:dyDescent="0.25">
      <c r="A112" s="84">
        <f>A111+1</f>
        <v>15</v>
      </c>
      <c r="B112" s="84" t="str">
        <f t="shared" si="48"/>
        <v xml:space="preserve">  </v>
      </c>
      <c r="C112" s="79" t="e">
        <f t="shared" ref="C112" si="52">IF(C113=B114,IF(C114-C113=C113-B113,B113,IF(C114-C113=C113-B112,B112,"#NA")),IF(C113=B113,IF(C114-C113=C113-B112,B112,IF(C114-C113=C113-B111,B111,"#NA")),"#NA"))</f>
        <v>#VALUE!</v>
      </c>
      <c r="D112" s="68" t="e">
        <f>VLOOKUP(C112,STN_TABLE,2,FALSE)</f>
        <v>#VALUE!</v>
      </c>
      <c r="E112" s="102">
        <v>1</v>
      </c>
      <c r="F112" s="68" t="e">
        <f>D112*E112</f>
        <v>#VALUE!</v>
      </c>
      <c r="G112" s="69" t="e">
        <f>C112</f>
        <v>#VALUE!</v>
      </c>
      <c r="H112" s="69" t="e">
        <f>F112*G112</f>
        <v>#VALUE!</v>
      </c>
      <c r="I112" s="6" t="s">
        <v>93</v>
      </c>
      <c r="J112" s="70" t="e">
        <f>IF(OR(D112=0,D113=0,D114=0),"#NA",IF(AND(C114-C113=C113-C112,C113&lt;&gt;C114,C112&lt;&gt;C113,C112&lt;&gt;C114,D114&lt;&gt;0,OR(D112&lt;&gt;0,D113&lt;&gt;0)),WLS*(C114-C113),"#NA"))</f>
        <v>#VALUE!</v>
      </c>
      <c r="O112" s="99">
        <f>O111+1</f>
        <v>17</v>
      </c>
      <c r="P112" s="99" t="str">
        <f t="shared" si="44"/>
        <v xml:space="preserve">  </v>
      </c>
      <c r="Q112" s="68" t="e">
        <f>IF(OR(P114-P113=P113-P112,P115-P113=P113-P112),P112,IF(OR(P114-P113=P113-P111,P115-P113=P113-P111),P111,"-"))</f>
        <v>#VALUE!</v>
      </c>
      <c r="R112" s="69" t="e">
        <f>VLOOKUP(Q112,STN_TABLE,2,FALSE)</f>
        <v>#VALUE!</v>
      </c>
      <c r="S112" s="69">
        <v>5</v>
      </c>
      <c r="T112" s="68" t="e">
        <f>R112*S112</f>
        <v>#VALUE!</v>
      </c>
      <c r="U112" s="79">
        <v>3</v>
      </c>
      <c r="V112" s="68" t="e">
        <f>R112*U112</f>
        <v>#VALUE!</v>
      </c>
      <c r="W112" s="6" t="s">
        <v>93</v>
      </c>
      <c r="X112" s="70" t="e">
        <f>IF(AND(Q114-Q113=Q113-Q112,NOT(AND(Q112=0,Q113=0)),NOT(AND(Q113=0,Q114=0))),WLS*(Q114-Q113),"#NA")</f>
        <v>#VALUE!</v>
      </c>
      <c r="AD112" s="93"/>
      <c r="AH112" s="6" t="s">
        <v>93</v>
      </c>
      <c r="AI112" s="70" t="e">
        <f>WLS*(AD114-AD113)</f>
        <v>#VALUE!</v>
      </c>
      <c r="AU112" s="81"/>
    </row>
    <row r="113" spans="1:47" x14ac:dyDescent="0.25">
      <c r="A113" s="84">
        <f>A112+1</f>
        <v>16</v>
      </c>
      <c r="B113" s="84" t="str">
        <f t="shared" si="48"/>
        <v xml:space="preserve">  </v>
      </c>
      <c r="C113" s="80" t="e">
        <f t="shared" ref="C113" si="53">IF(OR(B115-B114=B114-B113,B115-B114=B114-B112,B115-B114=B114-B111),B114,IF(OR(B115-B113=B113-B112,B115-B113=B113-B111),B113,IF(B115-B112=B112-B111,B112,"#NA")))</f>
        <v>#VALUE!</v>
      </c>
      <c r="D113" s="76" t="e">
        <f>VLOOKUP(C113,STN_TABLE,2,FALSE)</f>
        <v>#VALUE!</v>
      </c>
      <c r="E113" s="81">
        <v>4</v>
      </c>
      <c r="F113" s="76" t="e">
        <f>D113*E113</f>
        <v>#VALUE!</v>
      </c>
      <c r="G113" s="77" t="e">
        <f>C113</f>
        <v>#VALUE!</v>
      </c>
      <c r="H113" s="77" t="e">
        <f>F113*G113</f>
        <v>#VALUE!</v>
      </c>
      <c r="I113" s="495" t="s">
        <v>97</v>
      </c>
      <c r="J113" s="496"/>
      <c r="K113" s="78" t="s">
        <v>98</v>
      </c>
      <c r="L113" s="78"/>
      <c r="M113" s="7" t="s">
        <v>99</v>
      </c>
      <c r="N113" s="7"/>
      <c r="O113" s="99">
        <f>O112+1</f>
        <v>18</v>
      </c>
      <c r="P113" s="99" t="str">
        <f t="shared" si="44"/>
        <v xml:space="preserve">  </v>
      </c>
      <c r="Q113" s="76" t="str">
        <f>P113</f>
        <v xml:space="preserve">  </v>
      </c>
      <c r="R113" s="77" t="str">
        <f>VLOOKUP(Q113,STN_TABLE,2,FALSE)</f>
        <v xml:space="preserve">  </v>
      </c>
      <c r="S113" s="77">
        <v>8</v>
      </c>
      <c r="T113" s="76" t="e">
        <f>R113*S113</f>
        <v>#VALUE!</v>
      </c>
      <c r="U113" s="80">
        <v>10</v>
      </c>
      <c r="V113" s="76" t="e">
        <f>R113*U113</f>
        <v>#VALUE!</v>
      </c>
      <c r="W113" s="496" t="s">
        <v>97</v>
      </c>
      <c r="X113" s="496"/>
      <c r="Y113" s="496" t="s">
        <v>98</v>
      </c>
      <c r="Z113" s="496"/>
      <c r="AA113" s="494" t="s">
        <v>99</v>
      </c>
      <c r="AB113" s="494"/>
      <c r="AC113" s="99">
        <f>AC108+1</f>
        <v>17</v>
      </c>
      <c r="AD113" s="95" t="str">
        <f>VLOOKUP(AC113,STN_TABLE_2,2,FALSE)</f>
        <v xml:space="preserve">  </v>
      </c>
      <c r="AE113" s="68" t="str">
        <f>VLOOKUP(AD113,STN_TABLE,2,FALSE)</f>
        <v xml:space="preserve">  </v>
      </c>
      <c r="AF113" s="68">
        <v>1</v>
      </c>
      <c r="AG113" s="69" t="e">
        <f>AE113*AF113</f>
        <v>#VALUE!</v>
      </c>
      <c r="AH113" s="496" t="s">
        <v>97</v>
      </c>
      <c r="AI113" s="496"/>
      <c r="AJ113" s="496" t="s">
        <v>98</v>
      </c>
      <c r="AK113" s="496"/>
      <c r="AL113" s="494" t="s">
        <v>99</v>
      </c>
      <c r="AM113" s="494"/>
      <c r="AP113" s="86" t="s">
        <v>112</v>
      </c>
      <c r="AQ113" s="89" t="s">
        <v>113</v>
      </c>
      <c r="AR113" s="89" t="s">
        <v>114</v>
      </c>
      <c r="AS113" s="89" t="s">
        <v>115</v>
      </c>
      <c r="AU113" s="81"/>
    </row>
    <row r="114" spans="1:47" x14ac:dyDescent="0.25">
      <c r="A114" s="84">
        <f>A113+1</f>
        <v>17</v>
      </c>
      <c r="B114" s="84" t="str">
        <f t="shared" si="48"/>
        <v xml:space="preserve">  </v>
      </c>
      <c r="C114" s="88" t="str">
        <f t="shared" ref="C114" si="54">B115</f>
        <v xml:space="preserve">  </v>
      </c>
      <c r="D114" s="82" t="str">
        <f>VLOOKUP(C114,STN_TABLE,2,FALSE)</f>
        <v xml:space="preserve">  </v>
      </c>
      <c r="E114" s="92">
        <v>1</v>
      </c>
      <c r="F114" s="82" t="e">
        <f>D114*E114</f>
        <v>#VALUE!</v>
      </c>
      <c r="G114" s="83" t="str">
        <f>C114</f>
        <v xml:space="preserve">  </v>
      </c>
      <c r="H114" s="83" t="e">
        <f>F114*G114</f>
        <v>#VALUE!</v>
      </c>
      <c r="I114" s="84" t="str">
        <f>CONCATENATE("a'(",C114,")=")</f>
        <v>a'(  )=</v>
      </c>
      <c r="J114" s="84" t="e">
        <f>2*J112/3*F115</f>
        <v>#VALUE!</v>
      </c>
      <c r="K114" s="84" t="e">
        <f>CONCATENATE("A(",C112,")=")</f>
        <v>#VALUE!</v>
      </c>
      <c r="L114" s="84" t="e">
        <f>VLOOKUP(C112,STN_TABLE,3,FALSE)</f>
        <v>#VALUE!</v>
      </c>
      <c r="M114" t="str">
        <f>CONCATENATE("A(",C114,")=")</f>
        <v>A(  )=</v>
      </c>
      <c r="N114" t="e">
        <f>J114+L114</f>
        <v>#VALUE!</v>
      </c>
      <c r="O114" s="99">
        <f>O113+1</f>
        <v>19</v>
      </c>
      <c r="P114" s="99" t="str">
        <f t="shared" si="44"/>
        <v xml:space="preserve">  </v>
      </c>
      <c r="Q114" s="82" t="e">
        <f>IF(P114-P113=P113-P112,P114,IF(P115-P113=P113-P112,P115,IF(P114-P113=P113-P111,P114,IF(P115-P113=P113-P111,P115,"-"))))</f>
        <v>#VALUE!</v>
      </c>
      <c r="R114" s="83" t="e">
        <f>VLOOKUP(Q114,STN_TABLE,2,FALSE)</f>
        <v>#VALUE!</v>
      </c>
      <c r="S114" s="83">
        <v>-1</v>
      </c>
      <c r="T114" s="82" t="e">
        <f>R114*S114</f>
        <v>#VALUE!</v>
      </c>
      <c r="U114" s="88">
        <v>-1</v>
      </c>
      <c r="V114" s="82" t="e">
        <f>R114*U114</f>
        <v>#VALUE!</v>
      </c>
      <c r="W114" s="84" t="str">
        <f>CONCATENATE("a'(",Q113,")=")</f>
        <v>a'(  )=</v>
      </c>
      <c r="X114" s="84" t="e">
        <f>2*X112/12*T115</f>
        <v>#VALUE!</v>
      </c>
      <c r="Y114" s="84" t="e">
        <f>CONCATENATE("A(",Q112,")=")</f>
        <v>#VALUE!</v>
      </c>
      <c r="Z114" s="84" t="e">
        <f>VLOOKUP(Q112,STN_TABLE,3,FALSE)</f>
        <v>#VALUE!</v>
      </c>
      <c r="AA114" t="str">
        <f>CONCATENATE("A(",Q113,")=")</f>
        <v>A(  )=</v>
      </c>
      <c r="AB114" t="e">
        <f>X114+Z114</f>
        <v>#VALUE!</v>
      </c>
      <c r="AC114" s="99">
        <f>AC113+1</f>
        <v>18</v>
      </c>
      <c r="AD114" s="100" t="str">
        <f>VLOOKUP(AC114,STN_TABLE_2,2,FALSE)</f>
        <v xml:space="preserve">  </v>
      </c>
      <c r="AE114" s="82" t="str">
        <f>VLOOKUP(AD114,STN_TABLE,2,FALSE)</f>
        <v xml:space="preserve">  </v>
      </c>
      <c r="AF114" s="82">
        <v>2</v>
      </c>
      <c r="AG114" s="83" t="e">
        <f>AE114*AF114</f>
        <v>#VALUE!</v>
      </c>
      <c r="AH114" s="84" t="str">
        <f>CONCATENATE("a'(",AD114,")=")</f>
        <v>a'(  )=</v>
      </c>
      <c r="AI114" s="84" t="e">
        <f>2*AI112/2*AE115</f>
        <v>#VALUE!</v>
      </c>
      <c r="AJ114" s="84" t="str">
        <f>CONCATENATE("A(",AD113,")=")</f>
        <v>A(  )=</v>
      </c>
      <c r="AK114" s="84" t="str">
        <f>VLOOKUP(AD113,STN_TABLE,3,FALSE)</f>
        <v xml:space="preserve"> </v>
      </c>
      <c r="AL114" t="str">
        <f>CONCATENATE("A(",AD114,")=")</f>
        <v>A(  )=</v>
      </c>
      <c r="AM114" t="e">
        <f>AI114+AK114</f>
        <v>#VALUE!</v>
      </c>
      <c r="AO114" s="68" t="str">
        <f>AA114</f>
        <v>A(  )=</v>
      </c>
      <c r="AP114" s="68" t="e">
        <f>VLOOKUP(AO114,Rise_Results,2,FALSE)</f>
        <v>#N/A</v>
      </c>
      <c r="AQ114" s="76" t="e">
        <f>N114</f>
        <v>#VALUE!</v>
      </c>
      <c r="AR114" s="76" t="e">
        <f>IF(OR(AB114&lt;=0,AB115&lt;=0),1/0,AB114)</f>
        <v>#VALUE!</v>
      </c>
      <c r="AS114" s="76" t="e">
        <f>AM114</f>
        <v>#VALUE!</v>
      </c>
      <c r="AT114" t="e">
        <f>IFERROR(AP114,IFERROR(AQ114,IFERROR(AR114,AS114)))</f>
        <v>#VALUE!</v>
      </c>
      <c r="AU114" s="81"/>
    </row>
    <row r="115" spans="1:47" x14ac:dyDescent="0.25">
      <c r="A115" s="84">
        <f>A114+1</f>
        <v>18</v>
      </c>
      <c r="B115" s="84" t="str">
        <f t="shared" si="48"/>
        <v xml:space="preserve">  </v>
      </c>
      <c r="F115" s="82" t="e">
        <f>SUM(F112:F114)</f>
        <v>#VALUE!</v>
      </c>
      <c r="H115" s="82" t="e">
        <f>SUM(H112:H114)</f>
        <v>#VALUE!</v>
      </c>
      <c r="I115" s="84" t="str">
        <f>CONCATENATE("m'(",C114,")=")</f>
        <v>m'(  )=</v>
      </c>
      <c r="J115" s="84" t="e">
        <f>2*(J112*(WLS))/3*H115</f>
        <v>#VALUE!</v>
      </c>
      <c r="K115" s="84" t="e">
        <f>CONCATENATE("M(",C112,")=")</f>
        <v>#VALUE!</v>
      </c>
      <c r="L115" s="84" t="e">
        <f>VLOOKUP(C112,STN_TABLE,4,FALSE)</f>
        <v>#VALUE!</v>
      </c>
      <c r="M115" t="str">
        <f>CONCATENATE("M(",C114,")=")</f>
        <v>M(  )=</v>
      </c>
      <c r="N115" t="e">
        <f>J115+L115</f>
        <v>#VALUE!</v>
      </c>
      <c r="O115" s="99">
        <f>O114+1</f>
        <v>20</v>
      </c>
      <c r="P115" s="99" t="str">
        <f t="shared" si="44"/>
        <v xml:space="preserve">  </v>
      </c>
      <c r="T115" s="89" t="e">
        <f>SUM(T112:T114)</f>
        <v>#VALUE!</v>
      </c>
      <c r="V115" s="82" t="e">
        <f>SUM(V112:V114)</f>
        <v>#VALUE!</v>
      </c>
      <c r="W115" s="84" t="str">
        <f>CONCATENATE("m'(",Q113,")=")</f>
        <v>m'(  )=</v>
      </c>
      <c r="X115" s="84" t="e">
        <f>(2*(X112^2)/24*V115)+(X114*Q112*WLS)</f>
        <v>#VALUE!</v>
      </c>
      <c r="Y115" s="84" t="e">
        <f>CONCATENATE("M(",Q112,")=")</f>
        <v>#VALUE!</v>
      </c>
      <c r="Z115" s="84" t="e">
        <f>VLOOKUP(Q112,STN_TABLE,4,FALSE)</f>
        <v>#VALUE!</v>
      </c>
      <c r="AA115" t="str">
        <f>CONCATENATE("M(",Q113,")=")</f>
        <v>M(  )=</v>
      </c>
      <c r="AB115" t="e">
        <f>X115+Z115</f>
        <v>#VALUE!</v>
      </c>
      <c r="AE115" s="89">
        <f>SUM(AE113:AE114)</f>
        <v>0</v>
      </c>
      <c r="AG115" s="89" t="e">
        <f>SUM(AG113:AG114)</f>
        <v>#VALUE!</v>
      </c>
      <c r="AH115" s="84" t="str">
        <f>CONCATENATE("m'(",AD114,")=")</f>
        <v>m'(  )=</v>
      </c>
      <c r="AI115" s="84" t="e">
        <f>(2*(AI112^2)/6*AG115)+(AI114*AD113*WLS)</f>
        <v>#VALUE!</v>
      </c>
      <c r="AJ115" s="84" t="str">
        <f>CONCATENATE("M(",AD113,")=")</f>
        <v>M(  )=</v>
      </c>
      <c r="AK115" s="84" t="str">
        <f>VLOOKUP(AD113,STN_TABLE,4,FALSE)</f>
        <v xml:space="preserve"> </v>
      </c>
      <c r="AL115" t="str">
        <f>CONCATENATE("M(",AD114,")=")</f>
        <v>M(  )=</v>
      </c>
      <c r="AM115" t="e">
        <f>AI115+AK115</f>
        <v>#VALUE!</v>
      </c>
      <c r="AO115" s="82" t="str">
        <f>AA115</f>
        <v>M(  )=</v>
      </c>
      <c r="AP115" s="82" t="e">
        <f>VLOOKUP(AO115,Rise_Results,2,FALSE)</f>
        <v>#N/A</v>
      </c>
      <c r="AQ115" s="82" t="e">
        <f>N115</f>
        <v>#VALUE!</v>
      </c>
      <c r="AR115" s="82" t="e">
        <f>IF(OR(AB114&lt;=0,AB115&lt;=0),1/0,AB115)</f>
        <v>#VALUE!</v>
      </c>
      <c r="AS115" s="82" t="e">
        <f>AM115</f>
        <v>#VALUE!</v>
      </c>
      <c r="AT115" t="e">
        <f>IFERROR(AP115,IFERROR(AQ115,IFERROR(AR115,AS115)))</f>
        <v>#VALUE!</v>
      </c>
      <c r="AU115" s="81"/>
    </row>
    <row r="116" spans="1:47" x14ac:dyDescent="0.25">
      <c r="A116" s="101">
        <f>A111+1</f>
        <v>15</v>
      </c>
      <c r="B116" s="101" t="str">
        <f t="shared" si="48"/>
        <v xml:space="preserve">  </v>
      </c>
      <c r="O116" s="101">
        <f>O111+1</f>
        <v>17</v>
      </c>
      <c r="P116" s="101" t="str">
        <f t="shared" si="44"/>
        <v xml:space="preserve">  </v>
      </c>
      <c r="AU116" s="81"/>
    </row>
    <row r="117" spans="1:47" x14ac:dyDescent="0.25">
      <c r="A117" s="84">
        <f>A116+1</f>
        <v>16</v>
      </c>
      <c r="B117" s="84" t="str">
        <f t="shared" si="48"/>
        <v xml:space="preserve">  </v>
      </c>
      <c r="C117" s="79" t="e">
        <f t="shared" ref="C117" si="55">IF(C118=B119,IF(C119-C118=C118-B118,B118,IF(C119-C118=C118-B117,B117,"#NA")),IF(C118=B118,IF(C119-C118=C118-B117,B117,IF(C119-C118=C118-B116,B116,"#NA")),"#NA"))</f>
        <v>#VALUE!</v>
      </c>
      <c r="D117" s="68" t="e">
        <f>VLOOKUP(C117,STN_TABLE,2,FALSE)</f>
        <v>#VALUE!</v>
      </c>
      <c r="E117" s="102">
        <v>1</v>
      </c>
      <c r="F117" s="68" t="e">
        <f>D117*E117</f>
        <v>#VALUE!</v>
      </c>
      <c r="G117" s="69" t="e">
        <f>C117</f>
        <v>#VALUE!</v>
      </c>
      <c r="H117" s="69" t="e">
        <f>F117*G117</f>
        <v>#VALUE!</v>
      </c>
      <c r="I117" s="6" t="s">
        <v>93</v>
      </c>
      <c r="J117" s="70" t="e">
        <f>IF(OR(D117=0,D118=0,D119=0),"#NA",IF(AND(C119-C118=C118-C117,C118&lt;&gt;C119,C117&lt;&gt;C118,C117&lt;&gt;C119,D119&lt;&gt;0,OR(D117&lt;&gt;0,D118&lt;&gt;0)),WLS*(C119-C118),"#NA"))</f>
        <v>#VALUE!</v>
      </c>
      <c r="O117" s="99">
        <f>O116+1</f>
        <v>18</v>
      </c>
      <c r="P117" s="99" t="str">
        <f t="shared" si="44"/>
        <v xml:space="preserve">  </v>
      </c>
      <c r="Q117" s="68" t="e">
        <f>IF(OR(P119-P118=P118-P117,P120-P118=P118-P117),P117,IF(OR(P119-P118=P118-P116,P120-P118=P118-P116),P116,"-"))</f>
        <v>#VALUE!</v>
      </c>
      <c r="R117" s="69" t="e">
        <f>VLOOKUP(Q117,STN_TABLE,2,FALSE)</f>
        <v>#VALUE!</v>
      </c>
      <c r="S117" s="69">
        <v>5</v>
      </c>
      <c r="T117" s="68" t="e">
        <f>R117*S117</f>
        <v>#VALUE!</v>
      </c>
      <c r="U117" s="79">
        <v>3</v>
      </c>
      <c r="V117" s="68" t="e">
        <f>R117*U117</f>
        <v>#VALUE!</v>
      </c>
      <c r="W117" s="6" t="s">
        <v>93</v>
      </c>
      <c r="X117" s="70" t="e">
        <f>IF(AND(Q119-Q118=Q118-Q117,NOT(AND(Q117=0,Q118=0)),NOT(AND(Q118=0,Q119=0))),WLS*(Q119-Q118),"#NA")</f>
        <v>#VALUE!</v>
      </c>
      <c r="AD117" s="93"/>
      <c r="AH117" s="6" t="s">
        <v>93</v>
      </c>
      <c r="AI117" s="70" t="e">
        <f>WLS*(AD119-AD118)</f>
        <v>#VALUE!</v>
      </c>
      <c r="AU117" s="81"/>
    </row>
    <row r="118" spans="1:47" x14ac:dyDescent="0.25">
      <c r="A118" s="84">
        <f>A117+1</f>
        <v>17</v>
      </c>
      <c r="B118" s="84" t="str">
        <f t="shared" si="48"/>
        <v xml:space="preserve">  </v>
      </c>
      <c r="C118" s="80" t="e">
        <f t="shared" ref="C118" si="56">IF(OR(B120-B119=B119-B118,B120-B119=B119-B117,B120-B119=B119-B116),B119,IF(OR(B120-B118=B118-B117,B120-B118=B118-B116),B118,IF(B120-B117=B117-B116,B117,"#NA")))</f>
        <v>#VALUE!</v>
      </c>
      <c r="D118" s="76" t="e">
        <f>VLOOKUP(C118,STN_TABLE,2,FALSE)</f>
        <v>#VALUE!</v>
      </c>
      <c r="E118" s="81">
        <v>4</v>
      </c>
      <c r="F118" s="76" t="e">
        <f>D118*E118</f>
        <v>#VALUE!</v>
      </c>
      <c r="G118" s="77" t="e">
        <f>C118</f>
        <v>#VALUE!</v>
      </c>
      <c r="H118" s="77" t="e">
        <f>F118*G118</f>
        <v>#VALUE!</v>
      </c>
      <c r="I118" s="495" t="s">
        <v>97</v>
      </c>
      <c r="J118" s="496"/>
      <c r="K118" s="78" t="s">
        <v>98</v>
      </c>
      <c r="L118" s="78"/>
      <c r="M118" s="7" t="s">
        <v>99</v>
      </c>
      <c r="N118" s="7"/>
      <c r="O118" s="99">
        <f>O117+1</f>
        <v>19</v>
      </c>
      <c r="P118" s="99" t="str">
        <f t="shared" si="44"/>
        <v xml:space="preserve">  </v>
      </c>
      <c r="Q118" s="76" t="str">
        <f>P118</f>
        <v xml:space="preserve">  </v>
      </c>
      <c r="R118" s="77" t="str">
        <f>VLOOKUP(Q118,STN_TABLE,2,FALSE)</f>
        <v xml:space="preserve">  </v>
      </c>
      <c r="S118" s="77">
        <v>8</v>
      </c>
      <c r="T118" s="76" t="e">
        <f>R118*S118</f>
        <v>#VALUE!</v>
      </c>
      <c r="U118" s="80">
        <v>10</v>
      </c>
      <c r="V118" s="76" t="e">
        <f>R118*U118</f>
        <v>#VALUE!</v>
      </c>
      <c r="W118" s="496" t="s">
        <v>97</v>
      </c>
      <c r="X118" s="496"/>
      <c r="Y118" s="496" t="s">
        <v>98</v>
      </c>
      <c r="Z118" s="496"/>
      <c r="AA118" s="494" t="s">
        <v>99</v>
      </c>
      <c r="AB118" s="494"/>
      <c r="AC118" s="99">
        <f>AC113+1</f>
        <v>18</v>
      </c>
      <c r="AD118" s="95" t="str">
        <f>VLOOKUP(AC118,STN_TABLE_2,2,FALSE)</f>
        <v xml:space="preserve">  </v>
      </c>
      <c r="AE118" s="68" t="str">
        <f>VLOOKUP(AD118,STN_TABLE,2,FALSE)</f>
        <v xml:space="preserve">  </v>
      </c>
      <c r="AF118" s="68">
        <v>1</v>
      </c>
      <c r="AG118" s="69" t="e">
        <f>AE118*AF118</f>
        <v>#VALUE!</v>
      </c>
      <c r="AH118" s="496" t="s">
        <v>97</v>
      </c>
      <c r="AI118" s="496"/>
      <c r="AJ118" s="496" t="s">
        <v>98</v>
      </c>
      <c r="AK118" s="496"/>
      <c r="AL118" s="494" t="s">
        <v>99</v>
      </c>
      <c r="AM118" s="494"/>
      <c r="AP118" s="86" t="s">
        <v>112</v>
      </c>
      <c r="AQ118" s="89" t="s">
        <v>113</v>
      </c>
      <c r="AR118" s="89" t="s">
        <v>114</v>
      </c>
      <c r="AS118" s="89" t="s">
        <v>115</v>
      </c>
      <c r="AU118" s="81"/>
    </row>
    <row r="119" spans="1:47" x14ac:dyDescent="0.25">
      <c r="A119" s="84">
        <f>A118+1</f>
        <v>18</v>
      </c>
      <c r="B119" s="84" t="str">
        <f t="shared" si="48"/>
        <v xml:space="preserve">  </v>
      </c>
      <c r="C119" s="88" t="str">
        <f t="shared" ref="C119" si="57">B120</f>
        <v xml:space="preserve">  </v>
      </c>
      <c r="D119" s="82" t="str">
        <f>VLOOKUP(C119,STN_TABLE,2,FALSE)</f>
        <v xml:space="preserve">  </v>
      </c>
      <c r="E119" s="92">
        <v>1</v>
      </c>
      <c r="F119" s="82" t="e">
        <f>D119*E119</f>
        <v>#VALUE!</v>
      </c>
      <c r="G119" s="83" t="str">
        <f>C119</f>
        <v xml:space="preserve">  </v>
      </c>
      <c r="H119" s="83" t="e">
        <f>F119*G119</f>
        <v>#VALUE!</v>
      </c>
      <c r="I119" s="84" t="str">
        <f>CONCATENATE("a'(",C119,")=")</f>
        <v>a'(  )=</v>
      </c>
      <c r="J119" s="84" t="e">
        <f>2*J117/3*F120</f>
        <v>#VALUE!</v>
      </c>
      <c r="K119" s="84" t="e">
        <f>CONCATENATE("A(",C117,")=")</f>
        <v>#VALUE!</v>
      </c>
      <c r="L119" s="84" t="e">
        <f>VLOOKUP(C117,STN_TABLE,3,FALSE)</f>
        <v>#VALUE!</v>
      </c>
      <c r="M119" t="str">
        <f>CONCATENATE("A(",C119,")=")</f>
        <v>A(  )=</v>
      </c>
      <c r="N119" t="e">
        <f>J119+L119</f>
        <v>#VALUE!</v>
      </c>
      <c r="O119" s="99">
        <f>O118+1</f>
        <v>20</v>
      </c>
      <c r="P119" s="99" t="str">
        <f t="shared" si="44"/>
        <v xml:space="preserve">  </v>
      </c>
      <c r="Q119" s="82" t="e">
        <f>IF(P119-P118=P118-P117,P119,IF(P120-P118=P118-P117,P120,IF(P119-P118=P118-P116,P119,IF(P120-P118=P118-P116,P120,"-"))))</f>
        <v>#VALUE!</v>
      </c>
      <c r="R119" s="83" t="e">
        <f>VLOOKUP(Q119,STN_TABLE,2,FALSE)</f>
        <v>#VALUE!</v>
      </c>
      <c r="S119" s="83">
        <v>-1</v>
      </c>
      <c r="T119" s="82" t="e">
        <f>R119*S119</f>
        <v>#VALUE!</v>
      </c>
      <c r="U119" s="88">
        <v>-1</v>
      </c>
      <c r="V119" s="82" t="e">
        <f>R119*U119</f>
        <v>#VALUE!</v>
      </c>
      <c r="W119" s="84" t="str">
        <f>CONCATENATE("a'(",Q118,")=")</f>
        <v>a'(  )=</v>
      </c>
      <c r="X119" s="84" t="e">
        <f>2*X117/12*T120</f>
        <v>#VALUE!</v>
      </c>
      <c r="Y119" s="84" t="e">
        <f>CONCATENATE("A(",Q117,")=")</f>
        <v>#VALUE!</v>
      </c>
      <c r="Z119" s="84" t="e">
        <f>VLOOKUP(Q117,STN_TABLE,3,FALSE)</f>
        <v>#VALUE!</v>
      </c>
      <c r="AA119" t="str">
        <f>CONCATENATE("A(",Q118,")=")</f>
        <v>A(  )=</v>
      </c>
      <c r="AB119" t="e">
        <f>X119+Z119</f>
        <v>#VALUE!</v>
      </c>
      <c r="AC119" s="99">
        <f>AC118+1</f>
        <v>19</v>
      </c>
      <c r="AD119" s="100" t="str">
        <f>VLOOKUP(AC119,STN_TABLE_2,2,FALSE)</f>
        <v xml:space="preserve">  </v>
      </c>
      <c r="AE119" s="82" t="str">
        <f>VLOOKUP(AD119,STN_TABLE,2,FALSE)</f>
        <v xml:space="preserve">  </v>
      </c>
      <c r="AF119" s="82">
        <v>2</v>
      </c>
      <c r="AG119" s="83" t="e">
        <f>AE119*AF119</f>
        <v>#VALUE!</v>
      </c>
      <c r="AH119" s="84" t="str">
        <f>CONCATENATE("a'(",AD119,")=")</f>
        <v>a'(  )=</v>
      </c>
      <c r="AI119" s="84" t="e">
        <f>2*AI117/2*AE120</f>
        <v>#VALUE!</v>
      </c>
      <c r="AJ119" s="84" t="str">
        <f>CONCATENATE("A(",AD118,")=")</f>
        <v>A(  )=</v>
      </c>
      <c r="AK119" s="84" t="str">
        <f>VLOOKUP(AD118,STN_TABLE,3,FALSE)</f>
        <v xml:space="preserve"> </v>
      </c>
      <c r="AL119" t="str">
        <f>CONCATENATE("A(",AD119,")=")</f>
        <v>A(  )=</v>
      </c>
      <c r="AM119" t="e">
        <f>AI119+AK119</f>
        <v>#VALUE!</v>
      </c>
      <c r="AO119" s="68" t="str">
        <f>AA119</f>
        <v>A(  )=</v>
      </c>
      <c r="AP119" s="68" t="e">
        <f>VLOOKUP(AO119,Rise_Results,2,FALSE)</f>
        <v>#N/A</v>
      </c>
      <c r="AQ119" s="76" t="e">
        <f>N119</f>
        <v>#VALUE!</v>
      </c>
      <c r="AR119" s="76" t="e">
        <f>IF(OR(AB119&lt;=0,AB120&lt;=0),1/0,AB119)</f>
        <v>#VALUE!</v>
      </c>
      <c r="AS119" s="76" t="e">
        <f>AM119</f>
        <v>#VALUE!</v>
      </c>
      <c r="AT119" t="e">
        <f>IFERROR(AP119,IFERROR(AQ119,IFERROR(AR119,AS119)))</f>
        <v>#VALUE!</v>
      </c>
      <c r="AU119" s="81"/>
    </row>
    <row r="120" spans="1:47" x14ac:dyDescent="0.25">
      <c r="A120" s="84">
        <f>A119+1</f>
        <v>19</v>
      </c>
      <c r="B120" s="84" t="str">
        <f t="shared" si="48"/>
        <v xml:space="preserve">  </v>
      </c>
      <c r="F120" s="82" t="e">
        <f>SUM(F117:F119)</f>
        <v>#VALUE!</v>
      </c>
      <c r="H120" s="82" t="e">
        <f>SUM(H117:H119)</f>
        <v>#VALUE!</v>
      </c>
      <c r="I120" s="84" t="str">
        <f>CONCATENATE("m'(",C119,")=")</f>
        <v>m'(  )=</v>
      </c>
      <c r="J120" s="84" t="e">
        <f>2*(J117*(WLS))/3*H120</f>
        <v>#VALUE!</v>
      </c>
      <c r="K120" s="84" t="e">
        <f>CONCATENATE("M(",C117,")=")</f>
        <v>#VALUE!</v>
      </c>
      <c r="L120" s="84" t="e">
        <f>VLOOKUP(C117,STN_TABLE,4,FALSE)</f>
        <v>#VALUE!</v>
      </c>
      <c r="M120" t="str">
        <f>CONCATENATE("M(",C119,")=")</f>
        <v>M(  )=</v>
      </c>
      <c r="N120" t="e">
        <f>J120+L120</f>
        <v>#VALUE!</v>
      </c>
      <c r="O120" s="99">
        <f>O119+1</f>
        <v>21</v>
      </c>
      <c r="P120" s="99" t="str">
        <f t="shared" si="44"/>
        <v xml:space="preserve">  </v>
      </c>
      <c r="T120" s="89" t="e">
        <f>SUM(T117:T119)</f>
        <v>#VALUE!</v>
      </c>
      <c r="V120" s="82" t="e">
        <f>SUM(V117:V119)</f>
        <v>#VALUE!</v>
      </c>
      <c r="W120" s="84" t="str">
        <f>CONCATENATE("m'(",Q118,")=")</f>
        <v>m'(  )=</v>
      </c>
      <c r="X120" s="84" t="e">
        <f>(2*(X117^2)/24*V120)+(X119*Q117*WLS)</f>
        <v>#VALUE!</v>
      </c>
      <c r="Y120" s="84" t="e">
        <f>CONCATENATE("M(",Q117,")=")</f>
        <v>#VALUE!</v>
      </c>
      <c r="Z120" s="84" t="e">
        <f>VLOOKUP(Q117,STN_TABLE,4,FALSE)</f>
        <v>#VALUE!</v>
      </c>
      <c r="AA120" t="str">
        <f>CONCATENATE("M(",Q118,")=")</f>
        <v>M(  )=</v>
      </c>
      <c r="AB120" t="e">
        <f>X120+Z120</f>
        <v>#VALUE!</v>
      </c>
      <c r="AE120" s="89">
        <f>SUM(AE118:AE119)</f>
        <v>0</v>
      </c>
      <c r="AG120" s="89" t="e">
        <f>SUM(AG118:AG119)</f>
        <v>#VALUE!</v>
      </c>
      <c r="AH120" s="84" t="str">
        <f>CONCATENATE("m'(",AD119,")=")</f>
        <v>m'(  )=</v>
      </c>
      <c r="AI120" s="84" t="e">
        <f>(2*(AI117^2)/6*AG120)+(AI119*AD118*WLS)</f>
        <v>#VALUE!</v>
      </c>
      <c r="AJ120" s="84" t="str">
        <f>CONCATENATE("M(",AD118,")=")</f>
        <v>M(  )=</v>
      </c>
      <c r="AK120" s="84" t="str">
        <f>VLOOKUP(AD118,STN_TABLE,4,FALSE)</f>
        <v xml:space="preserve"> </v>
      </c>
      <c r="AL120" t="str">
        <f>CONCATENATE("M(",AD119,")=")</f>
        <v>M(  )=</v>
      </c>
      <c r="AM120" t="e">
        <f>AI120+AK120</f>
        <v>#VALUE!</v>
      </c>
      <c r="AO120" s="82" t="str">
        <f>AA120</f>
        <v>M(  )=</v>
      </c>
      <c r="AP120" s="82" t="e">
        <f>VLOOKUP(AO120,Rise_Results,2,FALSE)</f>
        <v>#N/A</v>
      </c>
      <c r="AQ120" s="82" t="e">
        <f>N120</f>
        <v>#VALUE!</v>
      </c>
      <c r="AR120" s="82" t="e">
        <f>IF(OR(AB119&lt;=0,AB120&lt;=0),1/0,AB120)</f>
        <v>#VALUE!</v>
      </c>
      <c r="AS120" s="82" t="e">
        <f>AM120</f>
        <v>#VALUE!</v>
      </c>
      <c r="AT120" t="e">
        <f>IFERROR(AP120,IFERROR(AQ120,IFERROR(AR120,AS120)))</f>
        <v>#VALUE!</v>
      </c>
      <c r="AU120" s="81"/>
    </row>
    <row r="121" spans="1:47" x14ac:dyDescent="0.25">
      <c r="A121" s="101">
        <f>A116+1</f>
        <v>16</v>
      </c>
      <c r="B121" s="101" t="str">
        <f t="shared" si="48"/>
        <v xml:space="preserve">  </v>
      </c>
      <c r="O121" s="101">
        <f>O116+1</f>
        <v>18</v>
      </c>
      <c r="P121" s="101" t="str">
        <f t="shared" si="44"/>
        <v xml:space="preserve">  </v>
      </c>
      <c r="AU121" s="81"/>
    </row>
    <row r="122" spans="1:47" x14ac:dyDescent="0.25">
      <c r="A122" s="84">
        <f>A121+1</f>
        <v>17</v>
      </c>
      <c r="B122" s="84" t="str">
        <f t="shared" si="48"/>
        <v xml:space="preserve">  </v>
      </c>
      <c r="C122" s="79" t="e">
        <f t="shared" ref="C122" si="58">IF(C123=B124,IF(C124-C123=C123-B123,B123,IF(C124-C123=C123-B122,B122,"#NA")),IF(C123=B123,IF(C124-C123=C123-B122,B122,IF(C124-C123=C123-B121,B121,"#NA")),"#NA"))</f>
        <v>#VALUE!</v>
      </c>
      <c r="D122" s="68" t="e">
        <f>VLOOKUP(C122,STN_TABLE,2,FALSE)</f>
        <v>#VALUE!</v>
      </c>
      <c r="E122" s="102">
        <v>1</v>
      </c>
      <c r="F122" s="68" t="e">
        <f>D122*E122</f>
        <v>#VALUE!</v>
      </c>
      <c r="G122" s="69" t="e">
        <f>C122</f>
        <v>#VALUE!</v>
      </c>
      <c r="H122" s="69" t="e">
        <f>F122*G122</f>
        <v>#VALUE!</v>
      </c>
      <c r="I122" s="6" t="s">
        <v>93</v>
      </c>
      <c r="J122" s="70" t="e">
        <f>IF(OR(D122=0,D123=0,D124=0),"#NA",IF(AND(C124-C123=C123-C122,C123&lt;&gt;C124,C122&lt;&gt;C123,C122&lt;&gt;C124,D124&lt;&gt;0,OR(D122&lt;&gt;0,D123&lt;&gt;0)),WLS*(C124-C123),"#NA"))</f>
        <v>#VALUE!</v>
      </c>
      <c r="O122" s="99">
        <f>O121+1</f>
        <v>19</v>
      </c>
      <c r="P122" s="99" t="str">
        <f t="shared" si="44"/>
        <v xml:space="preserve">  </v>
      </c>
      <c r="Q122" s="68" t="e">
        <f>IF(OR(P124-P123=P123-P122,P125-P123=P123-P122),P122,IF(OR(P124-P123=P123-P121,P125-P123=P123-P121),P121,"-"))</f>
        <v>#VALUE!</v>
      </c>
      <c r="R122" s="69" t="e">
        <f>VLOOKUP(Q122,STN_TABLE,2,FALSE)</f>
        <v>#VALUE!</v>
      </c>
      <c r="S122" s="69">
        <v>5</v>
      </c>
      <c r="T122" s="68" t="e">
        <f>R122*S122</f>
        <v>#VALUE!</v>
      </c>
      <c r="U122" s="79">
        <v>3</v>
      </c>
      <c r="V122" s="68" t="e">
        <f>R122*U122</f>
        <v>#VALUE!</v>
      </c>
      <c r="W122" s="6" t="s">
        <v>93</v>
      </c>
      <c r="X122" s="70" t="e">
        <f>IF(AND(Q124-Q123=Q123-Q122,NOT(AND(Q122=0,Q123=0)),NOT(AND(Q123=0,Q124=0))),WLS*(Q124-Q123),"#NA")</f>
        <v>#VALUE!</v>
      </c>
      <c r="AD122" s="93"/>
      <c r="AH122" s="6" t="s">
        <v>93</v>
      </c>
      <c r="AI122" s="70" t="e">
        <f>WLS*(AD124-AD123)</f>
        <v>#VALUE!</v>
      </c>
      <c r="AU122" s="81"/>
    </row>
    <row r="123" spans="1:47" x14ac:dyDescent="0.25">
      <c r="A123" s="84">
        <f>A122+1</f>
        <v>18</v>
      </c>
      <c r="B123" s="84" t="str">
        <f t="shared" si="48"/>
        <v xml:space="preserve">  </v>
      </c>
      <c r="C123" s="80" t="e">
        <f t="shared" ref="C123" si="59">IF(OR(B125-B124=B124-B123,B125-B124=B124-B122,B125-B124=B124-B121),B124,IF(OR(B125-B123=B123-B122,B125-B123=B123-B121),B123,IF(B125-B122=B122-B121,B122,"#NA")))</f>
        <v>#VALUE!</v>
      </c>
      <c r="D123" s="76" t="e">
        <f>VLOOKUP(C123,STN_TABLE,2,FALSE)</f>
        <v>#VALUE!</v>
      </c>
      <c r="E123" s="81">
        <v>4</v>
      </c>
      <c r="F123" s="76" t="e">
        <f>D123*E123</f>
        <v>#VALUE!</v>
      </c>
      <c r="G123" s="77" t="e">
        <f>C123</f>
        <v>#VALUE!</v>
      </c>
      <c r="H123" s="77" t="e">
        <f>F123*G123</f>
        <v>#VALUE!</v>
      </c>
      <c r="I123" s="495" t="s">
        <v>97</v>
      </c>
      <c r="J123" s="496"/>
      <c r="K123" s="78" t="s">
        <v>98</v>
      </c>
      <c r="L123" s="78"/>
      <c r="M123" s="7" t="s">
        <v>99</v>
      </c>
      <c r="N123" s="7"/>
      <c r="O123" s="99">
        <f>O122+1</f>
        <v>20</v>
      </c>
      <c r="P123" s="99" t="str">
        <f t="shared" si="44"/>
        <v xml:space="preserve">  </v>
      </c>
      <c r="Q123" s="76" t="str">
        <f>P123</f>
        <v xml:space="preserve">  </v>
      </c>
      <c r="R123" s="77" t="str">
        <f>VLOOKUP(Q123,STN_TABLE,2,FALSE)</f>
        <v xml:space="preserve">  </v>
      </c>
      <c r="S123" s="77">
        <v>8</v>
      </c>
      <c r="T123" s="76" t="e">
        <f>R123*S123</f>
        <v>#VALUE!</v>
      </c>
      <c r="U123" s="80">
        <v>10</v>
      </c>
      <c r="V123" s="76" t="e">
        <f>R123*U123</f>
        <v>#VALUE!</v>
      </c>
      <c r="W123" s="496" t="s">
        <v>97</v>
      </c>
      <c r="X123" s="496"/>
      <c r="Y123" s="496" t="s">
        <v>98</v>
      </c>
      <c r="Z123" s="496"/>
      <c r="AA123" s="494" t="s">
        <v>99</v>
      </c>
      <c r="AB123" s="494"/>
      <c r="AC123" s="99">
        <f>AC118+1</f>
        <v>19</v>
      </c>
      <c r="AD123" s="95" t="str">
        <f>VLOOKUP(AC123,STN_TABLE_2,2,FALSE)</f>
        <v xml:space="preserve">  </v>
      </c>
      <c r="AE123" s="68" t="str">
        <f>VLOOKUP(AD123,STN_TABLE,2,FALSE)</f>
        <v xml:space="preserve">  </v>
      </c>
      <c r="AF123" s="68">
        <v>1</v>
      </c>
      <c r="AG123" s="69" t="e">
        <f>AE123*AF123</f>
        <v>#VALUE!</v>
      </c>
      <c r="AH123" s="496" t="s">
        <v>97</v>
      </c>
      <c r="AI123" s="496"/>
      <c r="AJ123" s="496" t="s">
        <v>98</v>
      </c>
      <c r="AK123" s="496"/>
      <c r="AL123" s="494" t="s">
        <v>99</v>
      </c>
      <c r="AM123" s="494"/>
      <c r="AP123" s="86" t="s">
        <v>112</v>
      </c>
      <c r="AQ123" s="89" t="s">
        <v>113</v>
      </c>
      <c r="AR123" s="89" t="s">
        <v>114</v>
      </c>
      <c r="AS123" s="89" t="s">
        <v>115</v>
      </c>
      <c r="AU123" s="81"/>
    </row>
    <row r="124" spans="1:47" x14ac:dyDescent="0.25">
      <c r="A124" s="84">
        <f>A123+1</f>
        <v>19</v>
      </c>
      <c r="B124" s="84" t="str">
        <f t="shared" si="48"/>
        <v xml:space="preserve">  </v>
      </c>
      <c r="C124" s="88" t="str">
        <f t="shared" ref="C124" si="60">B125</f>
        <v xml:space="preserve">  </v>
      </c>
      <c r="D124" s="82" t="str">
        <f>VLOOKUP(C124,STN_TABLE,2,FALSE)</f>
        <v xml:space="preserve">  </v>
      </c>
      <c r="E124" s="92">
        <v>1</v>
      </c>
      <c r="F124" s="82" t="e">
        <f>D124*E124</f>
        <v>#VALUE!</v>
      </c>
      <c r="G124" s="83" t="str">
        <f>C124</f>
        <v xml:space="preserve">  </v>
      </c>
      <c r="H124" s="83" t="e">
        <f>F124*G124</f>
        <v>#VALUE!</v>
      </c>
      <c r="I124" s="84" t="str">
        <f>CONCATENATE("a'(",C124,")=")</f>
        <v>a'(  )=</v>
      </c>
      <c r="J124" s="84" t="e">
        <f>2*J122/3*F125</f>
        <v>#VALUE!</v>
      </c>
      <c r="K124" s="84" t="e">
        <f>CONCATENATE("A(",C122,")=")</f>
        <v>#VALUE!</v>
      </c>
      <c r="L124" s="84" t="e">
        <f>VLOOKUP(C122,STN_TABLE,3,FALSE)</f>
        <v>#VALUE!</v>
      </c>
      <c r="M124" t="str">
        <f>CONCATENATE("A(",C124,")=")</f>
        <v>A(  )=</v>
      </c>
      <c r="N124" t="e">
        <f>J124+L124</f>
        <v>#VALUE!</v>
      </c>
      <c r="O124" s="99">
        <f>O123+1</f>
        <v>21</v>
      </c>
      <c r="P124" s="99" t="str">
        <f t="shared" si="44"/>
        <v xml:space="preserve">  </v>
      </c>
      <c r="Q124" s="82" t="e">
        <f>IF(P124-P123=P123-P122,P124,IF(P125-P123=P123-P122,P125,IF(P124-P123=P123-P121,P124,IF(P125-P123=P123-P121,P125,"-"))))</f>
        <v>#VALUE!</v>
      </c>
      <c r="R124" s="83" t="e">
        <f>VLOOKUP(Q124,STN_TABLE,2,FALSE)</f>
        <v>#VALUE!</v>
      </c>
      <c r="S124" s="83">
        <v>-1</v>
      </c>
      <c r="T124" s="82" t="e">
        <f>R124*S124</f>
        <v>#VALUE!</v>
      </c>
      <c r="U124" s="88">
        <v>-1</v>
      </c>
      <c r="V124" s="82" t="e">
        <f>R124*U124</f>
        <v>#VALUE!</v>
      </c>
      <c r="W124" s="84" t="str">
        <f>CONCATENATE("a'(",Q123,")=")</f>
        <v>a'(  )=</v>
      </c>
      <c r="X124" s="84" t="e">
        <f>2*X122/12*T125</f>
        <v>#VALUE!</v>
      </c>
      <c r="Y124" s="84" t="e">
        <f>CONCATENATE("A(",Q122,")=")</f>
        <v>#VALUE!</v>
      </c>
      <c r="Z124" s="84" t="e">
        <f>VLOOKUP(Q122,STN_TABLE,3,FALSE)</f>
        <v>#VALUE!</v>
      </c>
      <c r="AA124" t="str">
        <f>CONCATENATE("A(",Q123,")=")</f>
        <v>A(  )=</v>
      </c>
      <c r="AB124" t="e">
        <f>X124+Z124</f>
        <v>#VALUE!</v>
      </c>
      <c r="AC124" s="99">
        <f>AC123+1</f>
        <v>20</v>
      </c>
      <c r="AD124" s="100" t="str">
        <f>VLOOKUP(AC124,STN_TABLE_2,2,FALSE)</f>
        <v xml:space="preserve">  </v>
      </c>
      <c r="AE124" s="82" t="str">
        <f>VLOOKUP(AD124,STN_TABLE,2,FALSE)</f>
        <v xml:space="preserve">  </v>
      </c>
      <c r="AF124" s="82">
        <v>2</v>
      </c>
      <c r="AG124" s="83" t="e">
        <f>AE124*AF124</f>
        <v>#VALUE!</v>
      </c>
      <c r="AH124" s="84" t="str">
        <f>CONCATENATE("a'(",AD124,")=")</f>
        <v>a'(  )=</v>
      </c>
      <c r="AI124" s="84" t="e">
        <f>2*AI122/2*AE125</f>
        <v>#VALUE!</v>
      </c>
      <c r="AJ124" s="84" t="str">
        <f>CONCATENATE("A(",AD123,")=")</f>
        <v>A(  )=</v>
      </c>
      <c r="AK124" s="84" t="str">
        <f>VLOOKUP(AD123,STN_TABLE,3,FALSE)</f>
        <v xml:space="preserve"> </v>
      </c>
      <c r="AL124" t="str">
        <f>CONCATENATE("A(",AD124,")=")</f>
        <v>A(  )=</v>
      </c>
      <c r="AM124" t="e">
        <f>AI124+AK124</f>
        <v>#VALUE!</v>
      </c>
      <c r="AO124" s="68" t="str">
        <f>AA124</f>
        <v>A(  )=</v>
      </c>
      <c r="AP124" s="68" t="e">
        <f>VLOOKUP(AO124,Rise_Results,2,FALSE)</f>
        <v>#N/A</v>
      </c>
      <c r="AQ124" s="76" t="e">
        <f>N124</f>
        <v>#VALUE!</v>
      </c>
      <c r="AR124" s="76" t="e">
        <f>IF(OR(AB124&lt;=0,AB125&lt;=0),1/0,AB124)</f>
        <v>#VALUE!</v>
      </c>
      <c r="AS124" s="76" t="e">
        <f>AM124</f>
        <v>#VALUE!</v>
      </c>
      <c r="AT124" t="e">
        <f>IFERROR(AP124,IFERROR(AQ124,IFERROR(AR124,AS124)))</f>
        <v>#VALUE!</v>
      </c>
      <c r="AU124" s="81"/>
    </row>
    <row r="125" spans="1:47" x14ac:dyDescent="0.25">
      <c r="A125" s="84">
        <f>A124+1</f>
        <v>20</v>
      </c>
      <c r="B125" s="84" t="str">
        <f t="shared" si="48"/>
        <v xml:space="preserve">  </v>
      </c>
      <c r="F125" s="82" t="e">
        <f>SUM(F122:F124)</f>
        <v>#VALUE!</v>
      </c>
      <c r="H125" s="82" t="e">
        <f>SUM(H122:H124)</f>
        <v>#VALUE!</v>
      </c>
      <c r="I125" s="84" t="str">
        <f>CONCATENATE("m'(",C124,")=")</f>
        <v>m'(  )=</v>
      </c>
      <c r="J125" s="84" t="e">
        <f>2*(J122*(WLS))/3*H125</f>
        <v>#VALUE!</v>
      </c>
      <c r="K125" s="84" t="e">
        <f>CONCATENATE("M(",C122,")=")</f>
        <v>#VALUE!</v>
      </c>
      <c r="L125" s="84" t="e">
        <f>VLOOKUP(C122,STN_TABLE,4,FALSE)</f>
        <v>#VALUE!</v>
      </c>
      <c r="M125" t="str">
        <f>CONCATENATE("M(",C124,")=")</f>
        <v>M(  )=</v>
      </c>
      <c r="N125" t="e">
        <f>J125+L125</f>
        <v>#VALUE!</v>
      </c>
      <c r="O125" s="99">
        <f>O124+1</f>
        <v>22</v>
      </c>
      <c r="P125" s="99" t="str">
        <f t="shared" si="44"/>
        <v xml:space="preserve">  </v>
      </c>
      <c r="T125" s="89" t="e">
        <f>SUM(T122:T124)</f>
        <v>#VALUE!</v>
      </c>
      <c r="V125" s="82" t="e">
        <f>SUM(V122:V124)</f>
        <v>#VALUE!</v>
      </c>
      <c r="W125" s="84" t="str">
        <f>CONCATENATE("m'(",Q123,")=")</f>
        <v>m'(  )=</v>
      </c>
      <c r="X125" s="84" t="e">
        <f>(2*(X122^2)/24*V125)+(X124*Q122*WLS)</f>
        <v>#VALUE!</v>
      </c>
      <c r="Y125" s="84" t="e">
        <f>CONCATENATE("M(",Q122,")=")</f>
        <v>#VALUE!</v>
      </c>
      <c r="Z125" s="84" t="e">
        <f>VLOOKUP(Q122,STN_TABLE,4,FALSE)</f>
        <v>#VALUE!</v>
      </c>
      <c r="AA125" t="str">
        <f>CONCATENATE("M(",Q123,")=")</f>
        <v>M(  )=</v>
      </c>
      <c r="AB125" t="e">
        <f>X125+Z125</f>
        <v>#VALUE!</v>
      </c>
      <c r="AE125" s="89">
        <f>SUM(AE123:AE124)</f>
        <v>0</v>
      </c>
      <c r="AG125" s="89" t="e">
        <f>SUM(AG123:AG124)</f>
        <v>#VALUE!</v>
      </c>
      <c r="AH125" s="84" t="str">
        <f>CONCATENATE("m'(",AD124,")=")</f>
        <v>m'(  )=</v>
      </c>
      <c r="AI125" s="84" t="e">
        <f>(2*(AI122^2)/6*AG125)+(AI124*AD123*WLS)</f>
        <v>#VALUE!</v>
      </c>
      <c r="AJ125" s="84" t="str">
        <f>CONCATENATE("M(",AD123,")=")</f>
        <v>M(  )=</v>
      </c>
      <c r="AK125" s="84" t="str">
        <f>VLOOKUP(AD123,STN_TABLE,4,FALSE)</f>
        <v xml:space="preserve"> </v>
      </c>
      <c r="AL125" t="str">
        <f>CONCATENATE("M(",AD124,")=")</f>
        <v>M(  )=</v>
      </c>
      <c r="AM125" t="e">
        <f>AI125+AK125</f>
        <v>#VALUE!</v>
      </c>
      <c r="AO125" s="82" t="str">
        <f>AA125</f>
        <v>M(  )=</v>
      </c>
      <c r="AP125" s="82" t="e">
        <f>VLOOKUP(AO125,Rise_Results,2,FALSE)</f>
        <v>#N/A</v>
      </c>
      <c r="AQ125" s="82" t="e">
        <f>N125</f>
        <v>#VALUE!</v>
      </c>
      <c r="AR125" s="82" t="e">
        <f>IF(OR(AB124&lt;=0,AB125&lt;=0),1/0,AB125)</f>
        <v>#VALUE!</v>
      </c>
      <c r="AS125" s="82" t="e">
        <f>AM125</f>
        <v>#VALUE!</v>
      </c>
      <c r="AT125" t="e">
        <f>IFERROR(AP125,IFERROR(AQ125,IFERROR(AR125,AS125)))</f>
        <v>#VALUE!</v>
      </c>
      <c r="AU125" s="81"/>
    </row>
    <row r="126" spans="1:47" x14ac:dyDescent="0.25">
      <c r="A126" s="101">
        <f>A121+1</f>
        <v>17</v>
      </c>
      <c r="B126" s="101" t="str">
        <f t="shared" si="48"/>
        <v xml:space="preserve">  </v>
      </c>
      <c r="O126" s="101">
        <f>O121+1</f>
        <v>19</v>
      </c>
      <c r="P126" s="101" t="str">
        <f t="shared" si="44"/>
        <v xml:space="preserve">  </v>
      </c>
      <c r="AU126" s="81"/>
    </row>
    <row r="127" spans="1:47" x14ac:dyDescent="0.25">
      <c r="A127" s="84">
        <f>A126+1</f>
        <v>18</v>
      </c>
      <c r="B127" s="84" t="str">
        <f t="shared" si="48"/>
        <v xml:space="preserve">  </v>
      </c>
      <c r="C127" s="79" t="e">
        <f t="shared" ref="C127" si="61">IF(C128=B129,IF(C129-C128=C128-B128,B128,IF(C129-C128=C128-B127,B127,"#NA")),IF(C128=B128,IF(C129-C128=C128-B127,B127,IF(C129-C128=C128-B126,B126,"#NA")),"#NA"))</f>
        <v>#VALUE!</v>
      </c>
      <c r="D127" s="68" t="e">
        <f>VLOOKUP(C127,STN_TABLE,2,FALSE)</f>
        <v>#VALUE!</v>
      </c>
      <c r="E127" s="102">
        <v>1</v>
      </c>
      <c r="F127" s="68" t="e">
        <f>D127*E127</f>
        <v>#VALUE!</v>
      </c>
      <c r="G127" s="69" t="e">
        <f>C127</f>
        <v>#VALUE!</v>
      </c>
      <c r="H127" s="69" t="e">
        <f>F127*G127</f>
        <v>#VALUE!</v>
      </c>
      <c r="I127" s="6" t="s">
        <v>93</v>
      </c>
      <c r="J127" s="70" t="e">
        <f>IF(OR(D127=0,D128=0,D129=0),"#NA",IF(AND(C129-C128=C128-C127,C128&lt;&gt;C129,C127&lt;&gt;C128,C127&lt;&gt;C129,D129&lt;&gt;0,OR(D127&lt;&gt;0,D128&lt;&gt;0)),WLS*(C129-C128),"#NA"))</f>
        <v>#VALUE!</v>
      </c>
      <c r="O127" s="99">
        <f>O126+1</f>
        <v>20</v>
      </c>
      <c r="P127" s="99" t="str">
        <f t="shared" si="44"/>
        <v xml:space="preserve">  </v>
      </c>
      <c r="Q127" s="68" t="e">
        <f>IF(OR(P129-P128=P128-P127,P130-P128=P128-P127),P127,IF(OR(P129-P128=P128-P126,P130-P128=P128-P126),P126,"-"))</f>
        <v>#VALUE!</v>
      </c>
      <c r="R127" s="69" t="e">
        <f>VLOOKUP(Q127,STN_TABLE,2,FALSE)</f>
        <v>#VALUE!</v>
      </c>
      <c r="S127" s="69">
        <v>5</v>
      </c>
      <c r="T127" s="68" t="e">
        <f>R127*S127</f>
        <v>#VALUE!</v>
      </c>
      <c r="U127" s="79">
        <v>3</v>
      </c>
      <c r="V127" s="68" t="e">
        <f>R127*U127</f>
        <v>#VALUE!</v>
      </c>
      <c r="W127" s="6" t="s">
        <v>93</v>
      </c>
      <c r="X127" s="70" t="e">
        <f>IF(AND(Q129-Q128=Q128-Q127,NOT(AND(Q127=0,Q128=0)),NOT(AND(Q128=0,Q129=0))),WLS*(Q129-Q128),"#NA")</f>
        <v>#VALUE!</v>
      </c>
      <c r="AD127" s="93"/>
      <c r="AH127" s="6" t="s">
        <v>93</v>
      </c>
      <c r="AI127" s="70" t="e">
        <f>WLS*(AD129-AD128)</f>
        <v>#VALUE!</v>
      </c>
      <c r="AU127" s="81"/>
    </row>
    <row r="128" spans="1:47" x14ac:dyDescent="0.25">
      <c r="A128" s="84">
        <f>A127+1</f>
        <v>19</v>
      </c>
      <c r="B128" s="84" t="str">
        <f t="shared" si="48"/>
        <v xml:space="preserve">  </v>
      </c>
      <c r="C128" s="80" t="e">
        <f t="shared" ref="C128" si="62">IF(OR(B130-B129=B129-B128,B130-B129=B129-B127,B130-B129=B129-B126),B129,IF(OR(B130-B128=B128-B127,B130-B128=B128-B126),B128,IF(B130-B127=B127-B126,B127,"#NA")))</f>
        <v>#VALUE!</v>
      </c>
      <c r="D128" s="76" t="e">
        <f>VLOOKUP(C128,STN_TABLE,2,FALSE)</f>
        <v>#VALUE!</v>
      </c>
      <c r="E128" s="81">
        <v>4</v>
      </c>
      <c r="F128" s="76" t="e">
        <f>D128*E128</f>
        <v>#VALUE!</v>
      </c>
      <c r="G128" s="77" t="e">
        <f>C128</f>
        <v>#VALUE!</v>
      </c>
      <c r="H128" s="77" t="e">
        <f>F128*G128</f>
        <v>#VALUE!</v>
      </c>
      <c r="I128" s="495" t="s">
        <v>97</v>
      </c>
      <c r="J128" s="496"/>
      <c r="K128" s="78" t="s">
        <v>98</v>
      </c>
      <c r="L128" s="78"/>
      <c r="M128" s="7" t="s">
        <v>99</v>
      </c>
      <c r="N128" s="7"/>
      <c r="O128" s="99">
        <f>O127+1</f>
        <v>21</v>
      </c>
      <c r="P128" s="99" t="str">
        <f t="shared" si="44"/>
        <v xml:space="preserve">  </v>
      </c>
      <c r="Q128" s="76" t="str">
        <f>P128</f>
        <v xml:space="preserve">  </v>
      </c>
      <c r="R128" s="77" t="str">
        <f>VLOOKUP(Q128,STN_TABLE,2,FALSE)</f>
        <v xml:space="preserve">  </v>
      </c>
      <c r="S128" s="77">
        <v>8</v>
      </c>
      <c r="T128" s="76" t="e">
        <f>R128*S128</f>
        <v>#VALUE!</v>
      </c>
      <c r="U128" s="80">
        <v>10</v>
      </c>
      <c r="V128" s="76" t="e">
        <f>R128*U128</f>
        <v>#VALUE!</v>
      </c>
      <c r="W128" s="496" t="s">
        <v>97</v>
      </c>
      <c r="X128" s="496"/>
      <c r="Y128" s="496" t="s">
        <v>98</v>
      </c>
      <c r="Z128" s="496"/>
      <c r="AA128" s="494" t="s">
        <v>99</v>
      </c>
      <c r="AB128" s="494"/>
      <c r="AC128" s="99">
        <f>AC123+1</f>
        <v>20</v>
      </c>
      <c r="AD128" s="95" t="str">
        <f>VLOOKUP(AC128,STN_TABLE_2,2,FALSE)</f>
        <v xml:space="preserve">  </v>
      </c>
      <c r="AE128" s="68" t="str">
        <f>VLOOKUP(AD128,STN_TABLE,2,FALSE)</f>
        <v xml:space="preserve">  </v>
      </c>
      <c r="AF128" s="68">
        <v>1</v>
      </c>
      <c r="AG128" s="69" t="e">
        <f>AE128*AF128</f>
        <v>#VALUE!</v>
      </c>
      <c r="AH128" s="496" t="s">
        <v>97</v>
      </c>
      <c r="AI128" s="496"/>
      <c r="AJ128" s="496" t="s">
        <v>98</v>
      </c>
      <c r="AK128" s="496"/>
      <c r="AL128" s="494" t="s">
        <v>99</v>
      </c>
      <c r="AM128" s="494"/>
      <c r="AP128" s="86" t="s">
        <v>112</v>
      </c>
      <c r="AQ128" s="89" t="s">
        <v>113</v>
      </c>
      <c r="AR128" s="89" t="s">
        <v>114</v>
      </c>
      <c r="AS128" s="89" t="s">
        <v>115</v>
      </c>
      <c r="AU128" s="81"/>
    </row>
    <row r="129" spans="1:47" x14ac:dyDescent="0.25">
      <c r="A129" s="84">
        <f>A128+1</f>
        <v>20</v>
      </c>
      <c r="B129" s="84" t="str">
        <f t="shared" si="48"/>
        <v xml:space="preserve">  </v>
      </c>
      <c r="C129" s="88" t="str">
        <f t="shared" ref="C129" si="63">B130</f>
        <v xml:space="preserve">  </v>
      </c>
      <c r="D129" s="82" t="str">
        <f>VLOOKUP(C129,STN_TABLE,2,FALSE)</f>
        <v xml:space="preserve">  </v>
      </c>
      <c r="E129" s="92">
        <v>1</v>
      </c>
      <c r="F129" s="82" t="e">
        <f>D129*E129</f>
        <v>#VALUE!</v>
      </c>
      <c r="G129" s="83" t="str">
        <f>C129</f>
        <v xml:space="preserve">  </v>
      </c>
      <c r="H129" s="83" t="e">
        <f>F129*G129</f>
        <v>#VALUE!</v>
      </c>
      <c r="I129" s="84" t="str">
        <f>CONCATENATE("a'(",C129,")=")</f>
        <v>a'(  )=</v>
      </c>
      <c r="J129" s="84" t="e">
        <f>2*J127/3*F130</f>
        <v>#VALUE!</v>
      </c>
      <c r="K129" s="84" t="e">
        <f>CONCATENATE("A(",C127,")=")</f>
        <v>#VALUE!</v>
      </c>
      <c r="L129" s="84" t="e">
        <f>VLOOKUP(C127,STN_TABLE,3,FALSE)</f>
        <v>#VALUE!</v>
      </c>
      <c r="M129" t="str">
        <f>CONCATENATE("A(",C129,")=")</f>
        <v>A(  )=</v>
      </c>
      <c r="N129" t="e">
        <f>J129+L129</f>
        <v>#VALUE!</v>
      </c>
      <c r="O129" s="99">
        <f>O128+1</f>
        <v>22</v>
      </c>
      <c r="P129" s="99" t="str">
        <f t="shared" si="44"/>
        <v xml:space="preserve">  </v>
      </c>
      <c r="Q129" s="82" t="e">
        <f>IF(P129-P128=P128-P127,P129,IF(P130-P128=P128-P127,P130,IF(P129-P128=P128-P126,P129,IF(P130-P128=P128-P126,P130,"-"))))</f>
        <v>#VALUE!</v>
      </c>
      <c r="R129" s="83" t="e">
        <f>VLOOKUP(Q129,STN_TABLE,2,FALSE)</f>
        <v>#VALUE!</v>
      </c>
      <c r="S129" s="83">
        <v>-1</v>
      </c>
      <c r="T129" s="82" t="e">
        <f>R129*S129</f>
        <v>#VALUE!</v>
      </c>
      <c r="U129" s="88">
        <v>-1</v>
      </c>
      <c r="V129" s="82" t="e">
        <f>R129*U129</f>
        <v>#VALUE!</v>
      </c>
      <c r="W129" s="84" t="str">
        <f>CONCATENATE("a'(",Q128,")=")</f>
        <v>a'(  )=</v>
      </c>
      <c r="X129" s="84" t="e">
        <f>2*X127/12*T130</f>
        <v>#VALUE!</v>
      </c>
      <c r="Y129" s="84" t="e">
        <f>CONCATENATE("A(",Q127,")=")</f>
        <v>#VALUE!</v>
      </c>
      <c r="Z129" s="84" t="e">
        <f>VLOOKUP(Q127,STN_TABLE,3,FALSE)</f>
        <v>#VALUE!</v>
      </c>
      <c r="AA129" t="str">
        <f>CONCATENATE("A(",Q128,")=")</f>
        <v>A(  )=</v>
      </c>
      <c r="AB129" t="e">
        <f>X129+Z129</f>
        <v>#VALUE!</v>
      </c>
      <c r="AC129" s="99">
        <f>AC128+1</f>
        <v>21</v>
      </c>
      <c r="AD129" s="100" t="str">
        <f>VLOOKUP(AC129,STN_TABLE_2,2,FALSE)</f>
        <v xml:space="preserve">  </v>
      </c>
      <c r="AE129" s="82" t="str">
        <f>VLOOKUP(AD129,STN_TABLE,2,FALSE)</f>
        <v xml:space="preserve">  </v>
      </c>
      <c r="AF129" s="82">
        <v>2</v>
      </c>
      <c r="AG129" s="83" t="e">
        <f>AE129*AF129</f>
        <v>#VALUE!</v>
      </c>
      <c r="AH129" s="84" t="str">
        <f>CONCATENATE("a'(",AD129,")=")</f>
        <v>a'(  )=</v>
      </c>
      <c r="AI129" s="84" t="e">
        <f>2*AI127/2*AE130</f>
        <v>#VALUE!</v>
      </c>
      <c r="AJ129" s="84" t="str">
        <f>CONCATENATE("A(",AD128,")=")</f>
        <v>A(  )=</v>
      </c>
      <c r="AK129" s="84" t="str">
        <f>VLOOKUP(AD128,STN_TABLE,3,FALSE)</f>
        <v xml:space="preserve"> </v>
      </c>
      <c r="AL129" t="str">
        <f>CONCATENATE("A(",AD129,")=")</f>
        <v>A(  )=</v>
      </c>
      <c r="AM129" t="e">
        <f>AI129+AK129</f>
        <v>#VALUE!</v>
      </c>
      <c r="AO129" s="68" t="str">
        <f>AA129</f>
        <v>A(  )=</v>
      </c>
      <c r="AP129" s="68" t="e">
        <f>VLOOKUP(AO129,Rise_Results,2,FALSE)</f>
        <v>#N/A</v>
      </c>
      <c r="AQ129" s="76" t="e">
        <f>N129</f>
        <v>#VALUE!</v>
      </c>
      <c r="AR129" s="76" t="e">
        <f>IF(OR(AB129&lt;=0,AB130&lt;=0),1/0,AB129)</f>
        <v>#VALUE!</v>
      </c>
      <c r="AS129" s="76" t="e">
        <f>AM129</f>
        <v>#VALUE!</v>
      </c>
      <c r="AT129" t="e">
        <f>IFERROR(AP129,IFERROR(AQ129,IFERROR(AR129,AS129)))</f>
        <v>#VALUE!</v>
      </c>
      <c r="AU129" s="81"/>
    </row>
    <row r="130" spans="1:47" x14ac:dyDescent="0.25">
      <c r="A130" s="84">
        <f>A129+1</f>
        <v>21</v>
      </c>
      <c r="B130" s="84" t="str">
        <f t="shared" si="48"/>
        <v xml:space="preserve">  </v>
      </c>
      <c r="F130" s="82" t="e">
        <f>SUM(F127:F129)</f>
        <v>#VALUE!</v>
      </c>
      <c r="H130" s="82" t="e">
        <f>SUM(H127:H129)</f>
        <v>#VALUE!</v>
      </c>
      <c r="I130" s="84" t="str">
        <f>CONCATENATE("m'(",C129,")=")</f>
        <v>m'(  )=</v>
      </c>
      <c r="J130" s="84" t="e">
        <f>2*(J127*(WLS))/3*H130</f>
        <v>#VALUE!</v>
      </c>
      <c r="K130" s="84" t="e">
        <f>CONCATENATE("M(",C127,")=")</f>
        <v>#VALUE!</v>
      </c>
      <c r="L130" s="84" t="e">
        <f>VLOOKUP(C127,STN_TABLE,4,FALSE)</f>
        <v>#VALUE!</v>
      </c>
      <c r="M130" t="str">
        <f>CONCATENATE("M(",C129,")=")</f>
        <v>M(  )=</v>
      </c>
      <c r="N130" t="e">
        <f>J130+L130</f>
        <v>#VALUE!</v>
      </c>
      <c r="O130" s="99">
        <f>O129+1</f>
        <v>23</v>
      </c>
      <c r="P130" s="99" t="str">
        <f t="shared" si="44"/>
        <v xml:space="preserve">  </v>
      </c>
      <c r="T130" s="89" t="e">
        <f>SUM(T127:T129)</f>
        <v>#VALUE!</v>
      </c>
      <c r="V130" s="82" t="e">
        <f>SUM(V127:V129)</f>
        <v>#VALUE!</v>
      </c>
      <c r="W130" s="84" t="str">
        <f>CONCATENATE("m'(",Q128,")=")</f>
        <v>m'(  )=</v>
      </c>
      <c r="X130" s="84" t="e">
        <f>(2*(X127^2)/24*V130)+(X129*Q127*WLS)</f>
        <v>#VALUE!</v>
      </c>
      <c r="Y130" s="84" t="e">
        <f>CONCATENATE("M(",Q127,")=")</f>
        <v>#VALUE!</v>
      </c>
      <c r="Z130" s="84" t="e">
        <f>VLOOKUP(Q127,STN_TABLE,4,FALSE)</f>
        <v>#VALUE!</v>
      </c>
      <c r="AA130" t="str">
        <f>CONCATENATE("M(",Q128,")=")</f>
        <v>M(  )=</v>
      </c>
      <c r="AB130" t="e">
        <f>X130+Z130</f>
        <v>#VALUE!</v>
      </c>
      <c r="AE130" s="89">
        <f>SUM(AE128:AE129)</f>
        <v>0</v>
      </c>
      <c r="AG130" s="89" t="e">
        <f>SUM(AG128:AG129)</f>
        <v>#VALUE!</v>
      </c>
      <c r="AH130" s="84" t="str">
        <f>CONCATENATE("m'(",AD129,")=")</f>
        <v>m'(  )=</v>
      </c>
      <c r="AI130" s="84" t="e">
        <f>(2*(AI127^2)/6*AG130)+(AI129*AD128*WLS)</f>
        <v>#VALUE!</v>
      </c>
      <c r="AJ130" s="84" t="str">
        <f>CONCATENATE("M(",AD128,")=")</f>
        <v>M(  )=</v>
      </c>
      <c r="AK130" s="84" t="str">
        <f>VLOOKUP(AD128,STN_TABLE,4,FALSE)</f>
        <v xml:space="preserve"> </v>
      </c>
      <c r="AL130" t="str">
        <f>CONCATENATE("M(",AD129,")=")</f>
        <v>M(  )=</v>
      </c>
      <c r="AM130" t="e">
        <f>AI130+AK130</f>
        <v>#VALUE!</v>
      </c>
      <c r="AO130" s="82" t="str">
        <f>AA130</f>
        <v>M(  )=</v>
      </c>
      <c r="AP130" s="82" t="e">
        <f>VLOOKUP(AO130,Rise_Results,2,FALSE)</f>
        <v>#N/A</v>
      </c>
      <c r="AQ130" s="82" t="e">
        <f>N130</f>
        <v>#VALUE!</v>
      </c>
      <c r="AR130" s="82" t="e">
        <f>IF(OR(AB129&lt;=0,AB130&lt;=0),1/0,AB130)</f>
        <v>#VALUE!</v>
      </c>
      <c r="AS130" s="82" t="e">
        <f>AM130</f>
        <v>#VALUE!</v>
      </c>
      <c r="AT130" t="e">
        <f>IFERROR(AP130,IFERROR(AQ130,IFERROR(AR130,AS130)))</f>
        <v>#VALUE!</v>
      </c>
      <c r="AU130" s="81"/>
    </row>
    <row r="131" spans="1:47" x14ac:dyDescent="0.25">
      <c r="A131" s="101">
        <f>A126+1</f>
        <v>18</v>
      </c>
      <c r="B131" s="101" t="str">
        <f t="shared" si="48"/>
        <v xml:space="preserve">  </v>
      </c>
      <c r="O131" s="101">
        <f>O126+1</f>
        <v>20</v>
      </c>
      <c r="P131" s="101" t="str">
        <f t="shared" si="44"/>
        <v xml:space="preserve">  </v>
      </c>
      <c r="AU131" s="81"/>
    </row>
    <row r="132" spans="1:47" x14ac:dyDescent="0.25">
      <c r="A132" s="84">
        <f>A131+1</f>
        <v>19</v>
      </c>
      <c r="B132" s="84" t="str">
        <f t="shared" si="48"/>
        <v xml:space="preserve">  </v>
      </c>
      <c r="C132" s="79" t="e">
        <f t="shared" ref="C132" si="64">IF(C133=B134,IF(C134-C133=C133-B133,B133,IF(C134-C133=C133-B132,B132,"#NA")),IF(C133=B133,IF(C134-C133=C133-B132,B132,IF(C134-C133=C133-B131,B131,"#NA")),"#NA"))</f>
        <v>#VALUE!</v>
      </c>
      <c r="D132" s="68" t="e">
        <f>VLOOKUP(C132,STN_TABLE,2,FALSE)</f>
        <v>#VALUE!</v>
      </c>
      <c r="E132" s="102">
        <v>1</v>
      </c>
      <c r="F132" s="68" t="e">
        <f>D132*E132</f>
        <v>#VALUE!</v>
      </c>
      <c r="G132" s="69" t="e">
        <f>C132</f>
        <v>#VALUE!</v>
      </c>
      <c r="H132" s="69" t="e">
        <f>F132*G132</f>
        <v>#VALUE!</v>
      </c>
      <c r="I132" s="6" t="s">
        <v>93</v>
      </c>
      <c r="J132" s="70" t="e">
        <f>IF(OR(D132=0,D133=0,D134=0),"#NA",IF(AND(C134-C133=C133-C132,C133&lt;&gt;C134,C132&lt;&gt;C133,C132&lt;&gt;C134,D134&lt;&gt;0,OR(D132&lt;&gt;0,D133&lt;&gt;0)),WLS*(C134-C133),"#NA"))</f>
        <v>#VALUE!</v>
      </c>
      <c r="O132" s="99">
        <f>O131+1</f>
        <v>21</v>
      </c>
      <c r="P132" s="99" t="str">
        <f t="shared" ref="P132:P150" si="65">VLOOKUP(O132,STN_TABLE_2,2,FALSE)</f>
        <v xml:space="preserve">  </v>
      </c>
      <c r="Q132" s="68" t="e">
        <f>IF(OR(P134-P133=P133-P132,P135-P133=P133-P132),P132,IF(OR(P134-P133=P133-P131,P135-P133=P133-P131),P131,"-"))</f>
        <v>#VALUE!</v>
      </c>
      <c r="R132" s="69" t="e">
        <f>VLOOKUP(Q132,STN_TABLE,2,FALSE)</f>
        <v>#VALUE!</v>
      </c>
      <c r="S132" s="69">
        <v>5</v>
      </c>
      <c r="T132" s="68" t="e">
        <f>R132*S132</f>
        <v>#VALUE!</v>
      </c>
      <c r="U132" s="79">
        <v>3</v>
      </c>
      <c r="V132" s="68" t="e">
        <f>R132*U132</f>
        <v>#VALUE!</v>
      </c>
      <c r="W132" s="6" t="s">
        <v>93</v>
      </c>
      <c r="X132" s="70" t="e">
        <f>IF(AND(Q134-Q133=Q133-Q132,NOT(AND(Q132=0,Q133=0)),NOT(AND(Q133=0,Q134=0))),WLS*(Q134-Q133),"#NA")</f>
        <v>#VALUE!</v>
      </c>
      <c r="AD132" s="93"/>
      <c r="AH132" s="6" t="s">
        <v>93</v>
      </c>
      <c r="AI132" s="70" t="e">
        <f>WLS*(AD134-AD133)</f>
        <v>#VALUE!</v>
      </c>
      <c r="AU132" s="81"/>
    </row>
    <row r="133" spans="1:47" x14ac:dyDescent="0.25">
      <c r="A133" s="84">
        <f>A132+1</f>
        <v>20</v>
      </c>
      <c r="B133" s="84" t="str">
        <f t="shared" si="48"/>
        <v xml:space="preserve">  </v>
      </c>
      <c r="C133" s="80" t="e">
        <f t="shared" ref="C133" si="66">IF(OR(B135-B134=B134-B133,B135-B134=B134-B132,B135-B134=B134-B131),B134,IF(OR(B135-B133=B133-B132,B135-B133=B133-B131),B133,IF(B135-B132=B132-B131,B132,"#NA")))</f>
        <v>#VALUE!</v>
      </c>
      <c r="D133" s="76" t="e">
        <f>VLOOKUP(C133,STN_TABLE,2,FALSE)</f>
        <v>#VALUE!</v>
      </c>
      <c r="E133" s="81">
        <v>4</v>
      </c>
      <c r="F133" s="76" t="e">
        <f>D133*E133</f>
        <v>#VALUE!</v>
      </c>
      <c r="G133" s="77" t="e">
        <f>C133</f>
        <v>#VALUE!</v>
      </c>
      <c r="H133" s="77" t="e">
        <f>F133*G133</f>
        <v>#VALUE!</v>
      </c>
      <c r="I133" s="495" t="s">
        <v>97</v>
      </c>
      <c r="J133" s="496"/>
      <c r="K133" s="78" t="s">
        <v>98</v>
      </c>
      <c r="L133" s="78"/>
      <c r="M133" s="7" t="s">
        <v>99</v>
      </c>
      <c r="N133" s="7"/>
      <c r="O133" s="99">
        <f>O132+1</f>
        <v>22</v>
      </c>
      <c r="P133" s="99" t="str">
        <f t="shared" si="65"/>
        <v xml:space="preserve">  </v>
      </c>
      <c r="Q133" s="76" t="str">
        <f>P133</f>
        <v xml:space="preserve">  </v>
      </c>
      <c r="R133" s="77" t="str">
        <f>VLOOKUP(Q133,STN_TABLE,2,FALSE)</f>
        <v xml:space="preserve">  </v>
      </c>
      <c r="S133" s="77">
        <v>8</v>
      </c>
      <c r="T133" s="76" t="e">
        <f>R133*S133</f>
        <v>#VALUE!</v>
      </c>
      <c r="U133" s="80">
        <v>10</v>
      </c>
      <c r="V133" s="76" t="e">
        <f>R133*U133</f>
        <v>#VALUE!</v>
      </c>
      <c r="W133" s="496" t="s">
        <v>97</v>
      </c>
      <c r="X133" s="496"/>
      <c r="Y133" s="496" t="s">
        <v>98</v>
      </c>
      <c r="Z133" s="496"/>
      <c r="AA133" s="494" t="s">
        <v>99</v>
      </c>
      <c r="AB133" s="494"/>
      <c r="AC133" s="99">
        <f>AC128+1</f>
        <v>21</v>
      </c>
      <c r="AD133" s="95" t="str">
        <f>VLOOKUP(AC133,STN_TABLE_2,2,FALSE)</f>
        <v xml:space="preserve">  </v>
      </c>
      <c r="AE133" s="68" t="str">
        <f>VLOOKUP(AD133,STN_TABLE,2,FALSE)</f>
        <v xml:space="preserve">  </v>
      </c>
      <c r="AF133" s="68">
        <v>1</v>
      </c>
      <c r="AG133" s="69" t="e">
        <f>AE133*AF133</f>
        <v>#VALUE!</v>
      </c>
      <c r="AH133" s="496" t="s">
        <v>97</v>
      </c>
      <c r="AI133" s="496"/>
      <c r="AJ133" s="496" t="s">
        <v>98</v>
      </c>
      <c r="AK133" s="496"/>
      <c r="AL133" s="494" t="s">
        <v>99</v>
      </c>
      <c r="AM133" s="494"/>
      <c r="AP133" s="86" t="s">
        <v>112</v>
      </c>
      <c r="AQ133" s="89" t="s">
        <v>113</v>
      </c>
      <c r="AR133" s="89" t="s">
        <v>114</v>
      </c>
      <c r="AS133" s="89" t="s">
        <v>115</v>
      </c>
      <c r="AU133" s="81"/>
    </row>
    <row r="134" spans="1:47" x14ac:dyDescent="0.25">
      <c r="A134" s="84">
        <f>A133+1</f>
        <v>21</v>
      </c>
      <c r="B134" s="84" t="str">
        <f t="shared" si="48"/>
        <v xml:space="preserve">  </v>
      </c>
      <c r="C134" s="88" t="str">
        <f t="shared" ref="C134" si="67">B135</f>
        <v xml:space="preserve">  </v>
      </c>
      <c r="D134" s="82" t="str">
        <f>VLOOKUP(C134,STN_TABLE,2,FALSE)</f>
        <v xml:space="preserve">  </v>
      </c>
      <c r="E134" s="92">
        <v>1</v>
      </c>
      <c r="F134" s="82" t="e">
        <f>D134*E134</f>
        <v>#VALUE!</v>
      </c>
      <c r="G134" s="83" t="str">
        <f>C134</f>
        <v xml:space="preserve">  </v>
      </c>
      <c r="H134" s="83" t="e">
        <f>F134*G134</f>
        <v>#VALUE!</v>
      </c>
      <c r="I134" s="84" t="str">
        <f>CONCATENATE("a'(",C134,")=")</f>
        <v>a'(  )=</v>
      </c>
      <c r="J134" s="84" t="e">
        <f>2*J132/3*F135</f>
        <v>#VALUE!</v>
      </c>
      <c r="K134" s="84" t="e">
        <f>CONCATENATE("A(",C132,")=")</f>
        <v>#VALUE!</v>
      </c>
      <c r="L134" s="84" t="e">
        <f>VLOOKUP(C132,STN_TABLE,3,FALSE)</f>
        <v>#VALUE!</v>
      </c>
      <c r="M134" t="str">
        <f>CONCATENATE("A(",C134,")=")</f>
        <v>A(  )=</v>
      </c>
      <c r="N134" t="e">
        <f>J134+L134</f>
        <v>#VALUE!</v>
      </c>
      <c r="O134" s="99">
        <f>O133+1</f>
        <v>23</v>
      </c>
      <c r="P134" s="99" t="str">
        <f t="shared" si="65"/>
        <v xml:space="preserve">  </v>
      </c>
      <c r="Q134" s="82" t="e">
        <f>IF(P134-P133=P133-P132,P134,IF(P135-P133=P133-P132,P135,IF(P134-P133=P133-P131,P134,IF(P135-P133=P133-P131,P135,"-"))))</f>
        <v>#VALUE!</v>
      </c>
      <c r="R134" s="83" t="e">
        <f>VLOOKUP(Q134,STN_TABLE,2,FALSE)</f>
        <v>#VALUE!</v>
      </c>
      <c r="S134" s="83">
        <v>-1</v>
      </c>
      <c r="T134" s="82" t="e">
        <f>R134*S134</f>
        <v>#VALUE!</v>
      </c>
      <c r="U134" s="88">
        <v>-1</v>
      </c>
      <c r="V134" s="82" t="e">
        <f>R134*U134</f>
        <v>#VALUE!</v>
      </c>
      <c r="W134" s="84" t="str">
        <f>CONCATENATE("a'(",Q133,")=")</f>
        <v>a'(  )=</v>
      </c>
      <c r="X134" s="84" t="e">
        <f>2*X132/12*T135</f>
        <v>#VALUE!</v>
      </c>
      <c r="Y134" s="84" t="e">
        <f>CONCATENATE("A(",Q132,")=")</f>
        <v>#VALUE!</v>
      </c>
      <c r="Z134" s="84" t="e">
        <f>VLOOKUP(Q132,STN_TABLE,3,FALSE)</f>
        <v>#VALUE!</v>
      </c>
      <c r="AA134" t="str">
        <f>CONCATENATE("A(",Q133,")=")</f>
        <v>A(  )=</v>
      </c>
      <c r="AB134" t="e">
        <f>X134+Z134</f>
        <v>#VALUE!</v>
      </c>
      <c r="AC134" s="99">
        <f>AC133+1</f>
        <v>22</v>
      </c>
      <c r="AD134" s="100" t="str">
        <f>VLOOKUP(AC134,STN_TABLE_2,2,FALSE)</f>
        <v xml:space="preserve">  </v>
      </c>
      <c r="AE134" s="82" t="str">
        <f>VLOOKUP(AD134,STN_TABLE,2,FALSE)</f>
        <v xml:space="preserve">  </v>
      </c>
      <c r="AF134" s="82">
        <v>2</v>
      </c>
      <c r="AG134" s="83" t="e">
        <f>AE134*AF134</f>
        <v>#VALUE!</v>
      </c>
      <c r="AH134" s="84" t="str">
        <f>CONCATENATE("a'(",AD134,")=")</f>
        <v>a'(  )=</v>
      </c>
      <c r="AI134" s="84" t="e">
        <f>2*AI132/2*AE135</f>
        <v>#VALUE!</v>
      </c>
      <c r="AJ134" s="84" t="str">
        <f>CONCATENATE("A(",AD133,")=")</f>
        <v>A(  )=</v>
      </c>
      <c r="AK134" s="84" t="str">
        <f>VLOOKUP(AD133,STN_TABLE,3,FALSE)</f>
        <v xml:space="preserve"> </v>
      </c>
      <c r="AL134" t="str">
        <f>CONCATENATE("A(",AD134,")=")</f>
        <v>A(  )=</v>
      </c>
      <c r="AM134" t="e">
        <f>AI134+AK134</f>
        <v>#VALUE!</v>
      </c>
      <c r="AO134" s="68" t="str">
        <f>AA134</f>
        <v>A(  )=</v>
      </c>
      <c r="AP134" s="68" t="e">
        <f>VLOOKUP(AO134,Rise_Results,2,FALSE)</f>
        <v>#N/A</v>
      </c>
      <c r="AQ134" s="76" t="e">
        <f>N134</f>
        <v>#VALUE!</v>
      </c>
      <c r="AR134" s="76" t="e">
        <f>IF(OR(AB134&lt;=0,AB135&lt;=0),1/0,AB134)</f>
        <v>#VALUE!</v>
      </c>
      <c r="AS134" s="76" t="e">
        <f>AM134</f>
        <v>#VALUE!</v>
      </c>
      <c r="AT134" t="e">
        <f>IFERROR(AP134,IFERROR(AQ134,IFERROR(AR134,AS134)))</f>
        <v>#VALUE!</v>
      </c>
      <c r="AU134" s="81"/>
    </row>
    <row r="135" spans="1:47" x14ac:dyDescent="0.25">
      <c r="A135" s="84">
        <f>A134+1</f>
        <v>22</v>
      </c>
      <c r="B135" s="84" t="str">
        <f t="shared" si="48"/>
        <v xml:space="preserve">  </v>
      </c>
      <c r="F135" s="82" t="e">
        <f>SUM(F132:F134)</f>
        <v>#VALUE!</v>
      </c>
      <c r="H135" s="82" t="e">
        <f>SUM(H132:H134)</f>
        <v>#VALUE!</v>
      </c>
      <c r="I135" s="84" t="str">
        <f>CONCATENATE("m'(",C134,")=")</f>
        <v>m'(  )=</v>
      </c>
      <c r="J135" s="84" t="e">
        <f>2*(J132*(WLS))/3*H135</f>
        <v>#VALUE!</v>
      </c>
      <c r="K135" s="84" t="e">
        <f>CONCATENATE("M(",C132,")=")</f>
        <v>#VALUE!</v>
      </c>
      <c r="L135" s="84" t="e">
        <f>VLOOKUP(C132,STN_TABLE,4,FALSE)</f>
        <v>#VALUE!</v>
      </c>
      <c r="M135" t="str">
        <f>CONCATENATE("M(",C134,")=")</f>
        <v>M(  )=</v>
      </c>
      <c r="N135" t="e">
        <f>J135+L135</f>
        <v>#VALUE!</v>
      </c>
      <c r="O135" s="99">
        <f>O134+1</f>
        <v>24</v>
      </c>
      <c r="P135" s="99" t="str">
        <f t="shared" si="65"/>
        <v xml:space="preserve">  </v>
      </c>
      <c r="T135" s="89" t="e">
        <f>SUM(T132:T134)</f>
        <v>#VALUE!</v>
      </c>
      <c r="V135" s="82" t="e">
        <f>SUM(V132:V134)</f>
        <v>#VALUE!</v>
      </c>
      <c r="W135" s="84" t="str">
        <f>CONCATENATE("m'(",Q133,")=")</f>
        <v>m'(  )=</v>
      </c>
      <c r="X135" s="84" t="e">
        <f>(2*(X132^2)/24*V135)+(X134*Q132*WLS)</f>
        <v>#VALUE!</v>
      </c>
      <c r="Y135" s="84" t="e">
        <f>CONCATENATE("M(",Q132,")=")</f>
        <v>#VALUE!</v>
      </c>
      <c r="Z135" s="84" t="e">
        <f>VLOOKUP(Q132,STN_TABLE,4,FALSE)</f>
        <v>#VALUE!</v>
      </c>
      <c r="AA135" t="str">
        <f>CONCATENATE("M(",Q133,")=")</f>
        <v>M(  )=</v>
      </c>
      <c r="AB135" t="e">
        <f>X135+Z135</f>
        <v>#VALUE!</v>
      </c>
      <c r="AE135" s="89">
        <f>SUM(AE133:AE134)</f>
        <v>0</v>
      </c>
      <c r="AG135" s="89" t="e">
        <f>SUM(AG133:AG134)</f>
        <v>#VALUE!</v>
      </c>
      <c r="AH135" s="84" t="str">
        <f>CONCATENATE("m'(",AD134,")=")</f>
        <v>m'(  )=</v>
      </c>
      <c r="AI135" s="84" t="e">
        <f>(2*(AI132^2)/6*AG135)+(AI134*AD133*WLS)</f>
        <v>#VALUE!</v>
      </c>
      <c r="AJ135" s="84" t="str">
        <f>CONCATENATE("M(",AD133,")=")</f>
        <v>M(  )=</v>
      </c>
      <c r="AK135" s="84" t="str">
        <f>VLOOKUP(AD133,STN_TABLE,4,FALSE)</f>
        <v xml:space="preserve"> </v>
      </c>
      <c r="AL135" t="str">
        <f>CONCATENATE("M(",AD134,")=")</f>
        <v>M(  )=</v>
      </c>
      <c r="AM135" t="e">
        <f>AI135+AK135</f>
        <v>#VALUE!</v>
      </c>
      <c r="AO135" s="82" t="str">
        <f>AA135</f>
        <v>M(  )=</v>
      </c>
      <c r="AP135" s="82" t="e">
        <f>VLOOKUP(AO135,Rise_Results,2,FALSE)</f>
        <v>#N/A</v>
      </c>
      <c r="AQ135" s="82" t="e">
        <f>N135</f>
        <v>#VALUE!</v>
      </c>
      <c r="AR135" s="82" t="e">
        <f>IF(OR(AB134&lt;=0,AB135&lt;=0),1/0,AB135)</f>
        <v>#VALUE!</v>
      </c>
      <c r="AS135" s="82" t="e">
        <f>AM135</f>
        <v>#VALUE!</v>
      </c>
      <c r="AT135" t="e">
        <f>IFERROR(AP135,IFERROR(AQ135,IFERROR(AR135,AS135)))</f>
        <v>#VALUE!</v>
      </c>
      <c r="AU135" s="81"/>
    </row>
    <row r="136" spans="1:47" x14ac:dyDescent="0.25">
      <c r="A136" s="101">
        <f>A131+1</f>
        <v>19</v>
      </c>
      <c r="B136" s="101" t="str">
        <f t="shared" si="48"/>
        <v xml:space="preserve">  </v>
      </c>
      <c r="O136" s="101">
        <f>O131+1</f>
        <v>21</v>
      </c>
      <c r="P136" s="101" t="str">
        <f t="shared" si="65"/>
        <v xml:space="preserve">  </v>
      </c>
      <c r="AU136" s="81"/>
    </row>
    <row r="137" spans="1:47" x14ac:dyDescent="0.25">
      <c r="A137" s="84">
        <f>A136+1</f>
        <v>20</v>
      </c>
      <c r="B137" s="84" t="str">
        <f t="shared" si="48"/>
        <v xml:space="preserve">  </v>
      </c>
      <c r="C137" s="79" t="e">
        <f t="shared" ref="C137" si="68">IF(C138=B139,IF(C139-C138=C138-B138,B138,IF(C139-C138=C138-B137,B137,"#NA")),IF(C138=B138,IF(C139-C138=C138-B137,B137,IF(C139-C138=C138-B136,B136,"#NA")),"#NA"))</f>
        <v>#VALUE!</v>
      </c>
      <c r="D137" s="68" t="e">
        <f>VLOOKUP(C137,STN_TABLE,2,FALSE)</f>
        <v>#VALUE!</v>
      </c>
      <c r="E137" s="102">
        <v>1</v>
      </c>
      <c r="F137" s="68" t="e">
        <f>D137*E137</f>
        <v>#VALUE!</v>
      </c>
      <c r="G137" s="69" t="e">
        <f>C137</f>
        <v>#VALUE!</v>
      </c>
      <c r="H137" s="69" t="e">
        <f>F137*G137</f>
        <v>#VALUE!</v>
      </c>
      <c r="I137" s="6" t="s">
        <v>93</v>
      </c>
      <c r="J137" s="70" t="e">
        <f>IF(OR(D137=0,D138=0,D139=0),"#NA",IF(AND(C139-C138=C138-C137,C138&lt;&gt;C139,C137&lt;&gt;C138,C137&lt;&gt;C139,D139&lt;&gt;0,OR(D137&lt;&gt;0,D138&lt;&gt;0)),WLS*(C139-C138),"#NA"))</f>
        <v>#VALUE!</v>
      </c>
      <c r="O137" s="99">
        <f>O136+1</f>
        <v>22</v>
      </c>
      <c r="P137" s="99" t="str">
        <f t="shared" si="65"/>
        <v xml:space="preserve">  </v>
      </c>
      <c r="Q137" s="68" t="e">
        <f>IF(OR(P139-P138=P138-P137,P140-P138=P138-P137),P137,IF(OR(P139-P138=P138-P136,P140-P138=P138-P136),P136,"-"))</f>
        <v>#VALUE!</v>
      </c>
      <c r="R137" s="69" t="e">
        <f>VLOOKUP(Q137,STN_TABLE,2,FALSE)</f>
        <v>#VALUE!</v>
      </c>
      <c r="S137" s="69">
        <v>5</v>
      </c>
      <c r="T137" s="68" t="e">
        <f>R137*S137</f>
        <v>#VALUE!</v>
      </c>
      <c r="U137" s="79">
        <v>3</v>
      </c>
      <c r="V137" s="68" t="e">
        <f>R137*U137</f>
        <v>#VALUE!</v>
      </c>
      <c r="W137" s="6" t="s">
        <v>93</v>
      </c>
      <c r="X137" s="70" t="e">
        <f>IF(AND(Q139-Q138=Q138-Q137,NOT(AND(Q137=0,Q138=0)),NOT(AND(Q138=0,Q139=0))),WLS*(Q139-Q138),"#NA")</f>
        <v>#VALUE!</v>
      </c>
      <c r="AD137" s="93"/>
      <c r="AH137" s="6" t="s">
        <v>93</v>
      </c>
      <c r="AI137" s="70" t="e">
        <f>WLS*(AD139-AD138)</f>
        <v>#VALUE!</v>
      </c>
      <c r="AU137" s="81"/>
    </row>
    <row r="138" spans="1:47" x14ac:dyDescent="0.25">
      <c r="A138" s="84">
        <f>A137+1</f>
        <v>21</v>
      </c>
      <c r="B138" s="84" t="str">
        <f t="shared" ref="B138:B150" si="69">VLOOKUP(A138,STN_TABLE_2,2,FALSE)</f>
        <v xml:space="preserve">  </v>
      </c>
      <c r="C138" s="80" t="e">
        <f t="shared" ref="C138" si="70">IF(OR(B140-B139=B139-B138,B140-B139=B139-B137,B140-B139=B139-B136),B139,IF(OR(B140-B138=B138-B137,B140-B138=B138-B136),B138,IF(B140-B137=B137-B136,B137,"#NA")))</f>
        <v>#VALUE!</v>
      </c>
      <c r="D138" s="76" t="e">
        <f>VLOOKUP(C138,STN_TABLE,2,FALSE)</f>
        <v>#VALUE!</v>
      </c>
      <c r="E138" s="81">
        <v>4</v>
      </c>
      <c r="F138" s="76" t="e">
        <f>D138*E138</f>
        <v>#VALUE!</v>
      </c>
      <c r="G138" s="77" t="e">
        <f>C138</f>
        <v>#VALUE!</v>
      </c>
      <c r="H138" s="77" t="e">
        <f>F138*G138</f>
        <v>#VALUE!</v>
      </c>
      <c r="I138" s="495" t="s">
        <v>97</v>
      </c>
      <c r="J138" s="496"/>
      <c r="K138" s="78" t="s">
        <v>98</v>
      </c>
      <c r="L138" s="78"/>
      <c r="M138" s="7" t="s">
        <v>99</v>
      </c>
      <c r="N138" s="7"/>
      <c r="O138" s="99">
        <f>O137+1</f>
        <v>23</v>
      </c>
      <c r="P138" s="99" t="str">
        <f t="shared" si="65"/>
        <v xml:space="preserve">  </v>
      </c>
      <c r="Q138" s="76" t="str">
        <f>P138</f>
        <v xml:space="preserve">  </v>
      </c>
      <c r="R138" s="77" t="str">
        <f>VLOOKUP(Q138,STN_TABLE,2,FALSE)</f>
        <v xml:space="preserve">  </v>
      </c>
      <c r="S138" s="77">
        <v>8</v>
      </c>
      <c r="T138" s="76" t="e">
        <f>R138*S138</f>
        <v>#VALUE!</v>
      </c>
      <c r="U138" s="80">
        <v>10</v>
      </c>
      <c r="V138" s="76" t="e">
        <f>R138*U138</f>
        <v>#VALUE!</v>
      </c>
      <c r="W138" s="496" t="s">
        <v>97</v>
      </c>
      <c r="X138" s="496"/>
      <c r="Y138" s="496" t="s">
        <v>98</v>
      </c>
      <c r="Z138" s="496"/>
      <c r="AA138" s="494" t="s">
        <v>99</v>
      </c>
      <c r="AB138" s="494"/>
      <c r="AC138" s="99">
        <f>AC133+1</f>
        <v>22</v>
      </c>
      <c r="AD138" s="95" t="str">
        <f>VLOOKUP(AC138,STN_TABLE_2,2,FALSE)</f>
        <v xml:space="preserve">  </v>
      </c>
      <c r="AE138" s="68" t="str">
        <f>VLOOKUP(AD138,STN_TABLE,2,FALSE)</f>
        <v xml:space="preserve">  </v>
      </c>
      <c r="AF138" s="68">
        <v>1</v>
      </c>
      <c r="AG138" s="69" t="e">
        <f>AE138*AF138</f>
        <v>#VALUE!</v>
      </c>
      <c r="AH138" s="496" t="s">
        <v>97</v>
      </c>
      <c r="AI138" s="496"/>
      <c r="AJ138" s="496" t="s">
        <v>98</v>
      </c>
      <c r="AK138" s="496"/>
      <c r="AL138" s="494" t="s">
        <v>99</v>
      </c>
      <c r="AM138" s="494"/>
      <c r="AP138" s="86" t="s">
        <v>112</v>
      </c>
      <c r="AQ138" s="89" t="s">
        <v>113</v>
      </c>
      <c r="AR138" s="89" t="s">
        <v>114</v>
      </c>
      <c r="AS138" s="89" t="s">
        <v>115</v>
      </c>
      <c r="AU138" s="81"/>
    </row>
    <row r="139" spans="1:47" x14ac:dyDescent="0.25">
      <c r="A139" s="84">
        <f>A138+1</f>
        <v>22</v>
      </c>
      <c r="B139" s="84" t="str">
        <f t="shared" si="69"/>
        <v xml:space="preserve">  </v>
      </c>
      <c r="C139" s="88" t="str">
        <f t="shared" ref="C139" si="71">B140</f>
        <v xml:space="preserve">  </v>
      </c>
      <c r="D139" s="82" t="str">
        <f>VLOOKUP(C139,STN_TABLE,2,FALSE)</f>
        <v xml:space="preserve">  </v>
      </c>
      <c r="E139" s="92">
        <v>1</v>
      </c>
      <c r="F139" s="82" t="e">
        <f>D139*E139</f>
        <v>#VALUE!</v>
      </c>
      <c r="G139" s="83" t="str">
        <f>C139</f>
        <v xml:space="preserve">  </v>
      </c>
      <c r="H139" s="83" t="e">
        <f>F139*G139</f>
        <v>#VALUE!</v>
      </c>
      <c r="I139" s="84" t="str">
        <f>CONCATENATE("a'(",C139,")=")</f>
        <v>a'(  )=</v>
      </c>
      <c r="J139" s="84" t="e">
        <f>2*J137/3*F140</f>
        <v>#VALUE!</v>
      </c>
      <c r="K139" s="84" t="e">
        <f>CONCATENATE("A(",C137,")=")</f>
        <v>#VALUE!</v>
      </c>
      <c r="L139" s="84" t="e">
        <f>VLOOKUP(C137,STN_TABLE,3,FALSE)</f>
        <v>#VALUE!</v>
      </c>
      <c r="M139" t="str">
        <f>CONCATENATE("A(",C139,")=")</f>
        <v>A(  )=</v>
      </c>
      <c r="N139" t="e">
        <f>J139+L139</f>
        <v>#VALUE!</v>
      </c>
      <c r="O139" s="99">
        <f>O138+1</f>
        <v>24</v>
      </c>
      <c r="P139" s="99" t="str">
        <f t="shared" si="65"/>
        <v xml:space="preserve">  </v>
      </c>
      <c r="Q139" s="82" t="e">
        <f>IF(P139-P138=P138-P137,P139,IF(P140-P138=P138-P137,P140,IF(P139-P138=P138-P136,P139,IF(P140-P138=P138-P136,P140,"-"))))</f>
        <v>#VALUE!</v>
      </c>
      <c r="R139" s="83" t="e">
        <f>VLOOKUP(Q139,STN_TABLE,2,FALSE)</f>
        <v>#VALUE!</v>
      </c>
      <c r="S139" s="83">
        <v>-1</v>
      </c>
      <c r="T139" s="82" t="e">
        <f>R139*S139</f>
        <v>#VALUE!</v>
      </c>
      <c r="U139" s="88">
        <v>-1</v>
      </c>
      <c r="V139" s="82" t="e">
        <f>R139*U139</f>
        <v>#VALUE!</v>
      </c>
      <c r="W139" s="84" t="str">
        <f>CONCATENATE("a'(",Q138,")=")</f>
        <v>a'(  )=</v>
      </c>
      <c r="X139" s="84" t="e">
        <f>2*X137/12*T140</f>
        <v>#VALUE!</v>
      </c>
      <c r="Y139" s="84" t="e">
        <f>CONCATENATE("A(",Q137,")=")</f>
        <v>#VALUE!</v>
      </c>
      <c r="Z139" s="84" t="e">
        <f>VLOOKUP(Q137,STN_TABLE,3,FALSE)</f>
        <v>#VALUE!</v>
      </c>
      <c r="AA139" t="str">
        <f>CONCATENATE("A(",Q138,")=")</f>
        <v>A(  )=</v>
      </c>
      <c r="AB139" t="e">
        <f>X139+Z139</f>
        <v>#VALUE!</v>
      </c>
      <c r="AC139" s="99">
        <f>AC138+1</f>
        <v>23</v>
      </c>
      <c r="AD139" s="100" t="str">
        <f>VLOOKUP(AC139,STN_TABLE_2,2,FALSE)</f>
        <v xml:space="preserve">  </v>
      </c>
      <c r="AE139" s="82" t="str">
        <f>VLOOKUP(AD139,STN_TABLE,2,FALSE)</f>
        <v xml:space="preserve">  </v>
      </c>
      <c r="AF139" s="82">
        <v>2</v>
      </c>
      <c r="AG139" s="83" t="e">
        <f>AE139*AF139</f>
        <v>#VALUE!</v>
      </c>
      <c r="AH139" s="84" t="str">
        <f>CONCATENATE("a'(",AD139,")=")</f>
        <v>a'(  )=</v>
      </c>
      <c r="AI139" s="84" t="e">
        <f>2*AI137/2*AE140</f>
        <v>#VALUE!</v>
      </c>
      <c r="AJ139" s="84" t="str">
        <f>CONCATENATE("A(",AD138,")=")</f>
        <v>A(  )=</v>
      </c>
      <c r="AK139" s="84" t="str">
        <f>VLOOKUP(AD138,STN_TABLE,3,FALSE)</f>
        <v xml:space="preserve"> </v>
      </c>
      <c r="AL139" t="str">
        <f>CONCATENATE("A(",AD139,")=")</f>
        <v>A(  )=</v>
      </c>
      <c r="AM139" t="e">
        <f>AI139+AK139</f>
        <v>#VALUE!</v>
      </c>
      <c r="AO139" s="68" t="str">
        <f>AA139</f>
        <v>A(  )=</v>
      </c>
      <c r="AP139" s="68" t="e">
        <f>VLOOKUP(AO139,Rise_Results,2,FALSE)</f>
        <v>#N/A</v>
      </c>
      <c r="AQ139" s="76" t="e">
        <f>N139</f>
        <v>#VALUE!</v>
      </c>
      <c r="AR139" s="76" t="e">
        <f>IF(OR(AB139&lt;=0,AB140&lt;=0),1/0,AB139)</f>
        <v>#VALUE!</v>
      </c>
      <c r="AS139" s="76" t="e">
        <f>AM139</f>
        <v>#VALUE!</v>
      </c>
      <c r="AT139" t="e">
        <f>IFERROR(AP139,IFERROR(AQ139,IFERROR(AR139,AS139)))</f>
        <v>#VALUE!</v>
      </c>
      <c r="AU139" s="81"/>
    </row>
    <row r="140" spans="1:47" x14ac:dyDescent="0.25">
      <c r="A140" s="84">
        <f>A139+1</f>
        <v>23</v>
      </c>
      <c r="B140" s="84" t="str">
        <f t="shared" si="69"/>
        <v xml:space="preserve">  </v>
      </c>
      <c r="F140" s="82" t="e">
        <f>SUM(F137:F139)</f>
        <v>#VALUE!</v>
      </c>
      <c r="H140" s="82" t="e">
        <f>SUM(H137:H139)</f>
        <v>#VALUE!</v>
      </c>
      <c r="I140" s="84" t="str">
        <f>CONCATENATE("m'(",C139,")=")</f>
        <v>m'(  )=</v>
      </c>
      <c r="J140" s="84" t="e">
        <f>2*(J137*(WLS))/3*H140</f>
        <v>#VALUE!</v>
      </c>
      <c r="K140" s="84" t="e">
        <f>CONCATENATE("M(",C137,")=")</f>
        <v>#VALUE!</v>
      </c>
      <c r="L140" s="84" t="e">
        <f>VLOOKUP(C137,STN_TABLE,4,FALSE)</f>
        <v>#VALUE!</v>
      </c>
      <c r="M140" t="str">
        <f>CONCATENATE("M(",C139,")=")</f>
        <v>M(  )=</v>
      </c>
      <c r="N140" t="e">
        <f>J140+L140</f>
        <v>#VALUE!</v>
      </c>
      <c r="O140" s="99">
        <f>O139+1</f>
        <v>25</v>
      </c>
      <c r="P140" s="99" t="str">
        <f t="shared" si="65"/>
        <v xml:space="preserve">  </v>
      </c>
      <c r="T140" s="89" t="e">
        <f>SUM(T137:T139)</f>
        <v>#VALUE!</v>
      </c>
      <c r="V140" s="82" t="e">
        <f>SUM(V137:V139)</f>
        <v>#VALUE!</v>
      </c>
      <c r="W140" s="84" t="str">
        <f>CONCATENATE("m'(",Q138,")=")</f>
        <v>m'(  )=</v>
      </c>
      <c r="X140" s="84" t="e">
        <f>(2*(X137^2)/24*V140)+(X139*Q137*WLS)</f>
        <v>#VALUE!</v>
      </c>
      <c r="Y140" s="84" t="e">
        <f>CONCATENATE("M(",Q137,")=")</f>
        <v>#VALUE!</v>
      </c>
      <c r="Z140" s="84" t="e">
        <f>VLOOKUP(Q137,STN_TABLE,4,FALSE)</f>
        <v>#VALUE!</v>
      </c>
      <c r="AA140" t="str">
        <f>CONCATENATE("M(",Q138,")=")</f>
        <v>M(  )=</v>
      </c>
      <c r="AB140" t="e">
        <f>X140+Z140</f>
        <v>#VALUE!</v>
      </c>
      <c r="AE140" s="89">
        <f>SUM(AE138:AE139)</f>
        <v>0</v>
      </c>
      <c r="AG140" s="89" t="e">
        <f>SUM(AG138:AG139)</f>
        <v>#VALUE!</v>
      </c>
      <c r="AH140" s="84" t="str">
        <f>CONCATENATE("m'(",AD139,")=")</f>
        <v>m'(  )=</v>
      </c>
      <c r="AI140" s="84" t="e">
        <f>(2*(AI137^2)/6*AG140)+(AI139*AD138*WLS)</f>
        <v>#VALUE!</v>
      </c>
      <c r="AJ140" s="84" t="str">
        <f>CONCATENATE("M(",AD138,")=")</f>
        <v>M(  )=</v>
      </c>
      <c r="AK140" s="84" t="str">
        <f>VLOOKUP(AD138,STN_TABLE,4,FALSE)</f>
        <v xml:space="preserve"> </v>
      </c>
      <c r="AL140" t="str">
        <f>CONCATENATE("M(",AD139,")=")</f>
        <v>M(  )=</v>
      </c>
      <c r="AM140" t="e">
        <f>AI140+AK140</f>
        <v>#VALUE!</v>
      </c>
      <c r="AO140" s="82" t="str">
        <f>AA140</f>
        <v>M(  )=</v>
      </c>
      <c r="AP140" s="82" t="e">
        <f>VLOOKUP(AO140,Rise_Results,2,FALSE)</f>
        <v>#N/A</v>
      </c>
      <c r="AQ140" s="82" t="e">
        <f>N140</f>
        <v>#VALUE!</v>
      </c>
      <c r="AR140" s="82" t="e">
        <f>IF(OR(AB139&lt;=0,AB140&lt;=0),1/0,AB140)</f>
        <v>#VALUE!</v>
      </c>
      <c r="AS140" s="82" t="e">
        <f>AM140</f>
        <v>#VALUE!</v>
      </c>
      <c r="AT140" t="e">
        <f>IFERROR(AP140,IFERROR(AQ140,IFERROR(AR140,AS140)))</f>
        <v>#VALUE!</v>
      </c>
      <c r="AU140" s="81"/>
    </row>
    <row r="141" spans="1:47" x14ac:dyDescent="0.25">
      <c r="A141" s="101">
        <f>A136+1</f>
        <v>20</v>
      </c>
      <c r="B141" s="101" t="str">
        <f t="shared" si="69"/>
        <v xml:space="preserve">  </v>
      </c>
      <c r="O141" s="101">
        <f>O136+1</f>
        <v>22</v>
      </c>
      <c r="P141" s="101" t="str">
        <f t="shared" si="65"/>
        <v xml:space="preserve">  </v>
      </c>
      <c r="AU141" s="81"/>
    </row>
    <row r="142" spans="1:47" x14ac:dyDescent="0.25">
      <c r="A142" s="84">
        <f>A141+1</f>
        <v>21</v>
      </c>
      <c r="B142" s="84" t="str">
        <f t="shared" si="69"/>
        <v xml:space="preserve">  </v>
      </c>
      <c r="C142" s="79" t="e">
        <f t="shared" ref="C142" si="72">IF(C143=B144,IF(C144-C143=C143-B143,B143,IF(C144-C143=C143-B142,B142,"#NA")),IF(C143=B143,IF(C144-C143=C143-B142,B142,IF(C144-C143=C143-B141,B141,"#NA")),"#NA"))</f>
        <v>#VALUE!</v>
      </c>
      <c r="D142" s="68" t="e">
        <f>VLOOKUP(C142,STN_TABLE,2,FALSE)</f>
        <v>#VALUE!</v>
      </c>
      <c r="E142" s="102">
        <v>1</v>
      </c>
      <c r="F142" s="68" t="e">
        <f>D142*E142</f>
        <v>#VALUE!</v>
      </c>
      <c r="G142" s="69" t="e">
        <f>C142</f>
        <v>#VALUE!</v>
      </c>
      <c r="H142" s="69" t="e">
        <f>F142*G142</f>
        <v>#VALUE!</v>
      </c>
      <c r="I142" s="6" t="s">
        <v>93</v>
      </c>
      <c r="J142" s="70" t="e">
        <f>IF(OR(D142=0,D143=0,D144=0),"#NA",IF(AND(C144-C143=C143-C142,C143&lt;&gt;C144,C142&lt;&gt;C143,C142&lt;&gt;C144,D144&lt;&gt;0,OR(D142&lt;&gt;0,D143&lt;&gt;0)),WLS*(C144-C143),"#NA"))</f>
        <v>#VALUE!</v>
      </c>
      <c r="O142" s="99">
        <f>O141+1</f>
        <v>23</v>
      </c>
      <c r="P142" s="99" t="str">
        <f t="shared" si="65"/>
        <v xml:space="preserve">  </v>
      </c>
      <c r="Q142" s="68" t="e">
        <f>IF(OR(P144-P143=P143-P142,P145-P143=P143-P142),P142,IF(OR(P144-P143=P143-P141,P145-P143=P143-P141),P141,"-"))</f>
        <v>#VALUE!</v>
      </c>
      <c r="R142" s="69" t="e">
        <f>VLOOKUP(Q142,STN_TABLE,2,FALSE)</f>
        <v>#VALUE!</v>
      </c>
      <c r="S142" s="69">
        <v>5</v>
      </c>
      <c r="T142" s="68" t="e">
        <f>R142*S142</f>
        <v>#VALUE!</v>
      </c>
      <c r="U142" s="79">
        <v>3</v>
      </c>
      <c r="V142" s="68" t="e">
        <f>R142*U142</f>
        <v>#VALUE!</v>
      </c>
      <c r="W142" s="6" t="s">
        <v>93</v>
      </c>
      <c r="X142" s="70" t="e">
        <f>IF(AND(Q144-Q143=Q143-Q142,NOT(AND(Q142=0,Q143=0)),NOT(AND(Q143=0,Q144=0))),WLS*(Q144-Q143),"#NA")</f>
        <v>#VALUE!</v>
      </c>
      <c r="AD142" s="93"/>
      <c r="AH142" s="6" t="s">
        <v>93</v>
      </c>
      <c r="AI142" s="70" t="e">
        <f>WLS*(AD144-AD143)</f>
        <v>#VALUE!</v>
      </c>
      <c r="AU142" s="81"/>
    </row>
    <row r="143" spans="1:47" x14ac:dyDescent="0.25">
      <c r="A143" s="84">
        <f>A142+1</f>
        <v>22</v>
      </c>
      <c r="B143" s="84" t="str">
        <f t="shared" si="69"/>
        <v xml:space="preserve">  </v>
      </c>
      <c r="C143" s="80" t="e">
        <f t="shared" ref="C143" si="73">IF(OR(B145-B144=B144-B143,B145-B144=B144-B142,B145-B144=B144-B141),B144,IF(OR(B145-B143=B143-B142,B145-B143=B143-B141),B143,IF(B145-B142=B142-B141,B142,"#NA")))</f>
        <v>#VALUE!</v>
      </c>
      <c r="D143" s="76" t="e">
        <f>VLOOKUP(C143,STN_TABLE,2,FALSE)</f>
        <v>#VALUE!</v>
      </c>
      <c r="E143" s="81">
        <v>4</v>
      </c>
      <c r="F143" s="76" t="e">
        <f>D143*E143</f>
        <v>#VALUE!</v>
      </c>
      <c r="G143" s="77" t="e">
        <f>C143</f>
        <v>#VALUE!</v>
      </c>
      <c r="H143" s="77" t="e">
        <f>F143*G143</f>
        <v>#VALUE!</v>
      </c>
      <c r="I143" s="495" t="s">
        <v>97</v>
      </c>
      <c r="J143" s="496"/>
      <c r="K143" s="78" t="s">
        <v>98</v>
      </c>
      <c r="L143" s="78"/>
      <c r="M143" s="7" t="s">
        <v>99</v>
      </c>
      <c r="N143" s="7"/>
      <c r="O143" s="99">
        <f>O142+1</f>
        <v>24</v>
      </c>
      <c r="P143" s="99" t="str">
        <f t="shared" si="65"/>
        <v xml:space="preserve">  </v>
      </c>
      <c r="Q143" s="76" t="str">
        <f>P143</f>
        <v xml:space="preserve">  </v>
      </c>
      <c r="R143" s="77" t="str">
        <f>VLOOKUP(Q143,STN_TABLE,2,FALSE)</f>
        <v xml:space="preserve">  </v>
      </c>
      <c r="S143" s="77">
        <v>8</v>
      </c>
      <c r="T143" s="76" t="e">
        <f>R143*S143</f>
        <v>#VALUE!</v>
      </c>
      <c r="U143" s="80">
        <v>10</v>
      </c>
      <c r="V143" s="76" t="e">
        <f>R143*U143</f>
        <v>#VALUE!</v>
      </c>
      <c r="W143" s="496" t="s">
        <v>97</v>
      </c>
      <c r="X143" s="496"/>
      <c r="Y143" s="496" t="s">
        <v>98</v>
      </c>
      <c r="Z143" s="496"/>
      <c r="AA143" s="494" t="s">
        <v>99</v>
      </c>
      <c r="AB143" s="494"/>
      <c r="AC143" s="99">
        <f>AC138+1</f>
        <v>23</v>
      </c>
      <c r="AD143" s="95" t="str">
        <f>VLOOKUP(AC143,STN_TABLE_2,2,FALSE)</f>
        <v xml:space="preserve">  </v>
      </c>
      <c r="AE143" s="68" t="str">
        <f>VLOOKUP(AD143,STN_TABLE,2,FALSE)</f>
        <v xml:space="preserve">  </v>
      </c>
      <c r="AF143" s="68">
        <v>1</v>
      </c>
      <c r="AG143" s="69" t="e">
        <f>AE143*AF143</f>
        <v>#VALUE!</v>
      </c>
      <c r="AH143" s="496" t="s">
        <v>97</v>
      </c>
      <c r="AI143" s="496"/>
      <c r="AJ143" s="496" t="s">
        <v>98</v>
      </c>
      <c r="AK143" s="496"/>
      <c r="AL143" s="494" t="s">
        <v>99</v>
      </c>
      <c r="AM143" s="494"/>
      <c r="AP143" s="86" t="s">
        <v>112</v>
      </c>
      <c r="AQ143" s="89" t="s">
        <v>113</v>
      </c>
      <c r="AR143" s="89" t="s">
        <v>114</v>
      </c>
      <c r="AS143" s="89" t="s">
        <v>115</v>
      </c>
      <c r="AU143" s="81"/>
    </row>
    <row r="144" spans="1:47" x14ac:dyDescent="0.25">
      <c r="A144" s="84">
        <f>A143+1</f>
        <v>23</v>
      </c>
      <c r="B144" s="84" t="str">
        <f t="shared" si="69"/>
        <v xml:space="preserve">  </v>
      </c>
      <c r="C144" s="88" t="str">
        <f t="shared" ref="C144" si="74">B145</f>
        <v xml:space="preserve">  </v>
      </c>
      <c r="D144" s="82" t="str">
        <f>VLOOKUP(C144,STN_TABLE,2,FALSE)</f>
        <v xml:space="preserve">  </v>
      </c>
      <c r="E144" s="92">
        <v>1</v>
      </c>
      <c r="F144" s="82" t="e">
        <f>D144*E144</f>
        <v>#VALUE!</v>
      </c>
      <c r="G144" s="83" t="str">
        <f>C144</f>
        <v xml:space="preserve">  </v>
      </c>
      <c r="H144" s="83" t="e">
        <f>F144*G144</f>
        <v>#VALUE!</v>
      </c>
      <c r="I144" s="84" t="str">
        <f>CONCATENATE("a'(",C144,")=")</f>
        <v>a'(  )=</v>
      </c>
      <c r="J144" s="84" t="e">
        <f>2*J142/3*F145</f>
        <v>#VALUE!</v>
      </c>
      <c r="K144" s="84" t="e">
        <f>CONCATENATE("A(",C142,")=")</f>
        <v>#VALUE!</v>
      </c>
      <c r="L144" s="84" t="e">
        <f>VLOOKUP(C142,STN_TABLE,3,FALSE)</f>
        <v>#VALUE!</v>
      </c>
      <c r="M144" t="str">
        <f>CONCATENATE("A(",C144,")=")</f>
        <v>A(  )=</v>
      </c>
      <c r="N144" t="e">
        <f>J144+L144</f>
        <v>#VALUE!</v>
      </c>
      <c r="O144" s="99">
        <f>O143+1</f>
        <v>25</v>
      </c>
      <c r="P144" s="99" t="str">
        <f t="shared" si="65"/>
        <v xml:space="preserve">  </v>
      </c>
      <c r="Q144" s="82" t="e">
        <f>IF(P144-P143=P143-P142,P144,IF(P145-P143=P143-P142,P145,IF(P144-P143=P143-P141,P144,IF(P145-P143=P143-P141,P145,"-"))))</f>
        <v>#VALUE!</v>
      </c>
      <c r="R144" s="83" t="e">
        <f>VLOOKUP(Q144,STN_TABLE,2,FALSE)</f>
        <v>#VALUE!</v>
      </c>
      <c r="S144" s="83">
        <v>-1</v>
      </c>
      <c r="T144" s="82" t="e">
        <f>R144*S144</f>
        <v>#VALUE!</v>
      </c>
      <c r="U144" s="88">
        <v>-1</v>
      </c>
      <c r="V144" s="82" t="e">
        <f>R144*U144</f>
        <v>#VALUE!</v>
      </c>
      <c r="W144" s="84" t="str">
        <f>CONCATENATE("a'(",Q143,")=")</f>
        <v>a'(  )=</v>
      </c>
      <c r="X144" s="84" t="e">
        <f>2*X142/12*T145</f>
        <v>#VALUE!</v>
      </c>
      <c r="Y144" s="84" t="e">
        <f>CONCATENATE("A(",Q142,")=")</f>
        <v>#VALUE!</v>
      </c>
      <c r="Z144" s="84" t="e">
        <f>VLOOKUP(Q142,STN_TABLE,3,FALSE)</f>
        <v>#VALUE!</v>
      </c>
      <c r="AA144" t="str">
        <f>CONCATENATE("A(",Q143,")=")</f>
        <v>A(  )=</v>
      </c>
      <c r="AB144" t="e">
        <f>X144+Z144</f>
        <v>#VALUE!</v>
      </c>
      <c r="AC144" s="99">
        <f>AC143+1</f>
        <v>24</v>
      </c>
      <c r="AD144" s="100" t="str">
        <f>VLOOKUP(AC144,STN_TABLE_2,2,FALSE)</f>
        <v xml:space="preserve">  </v>
      </c>
      <c r="AE144" s="82" t="str">
        <f>VLOOKUP(AD144,STN_TABLE,2,FALSE)</f>
        <v xml:space="preserve">  </v>
      </c>
      <c r="AF144" s="82">
        <v>2</v>
      </c>
      <c r="AG144" s="83" t="e">
        <f>AE144*AF144</f>
        <v>#VALUE!</v>
      </c>
      <c r="AH144" s="84" t="str">
        <f>CONCATENATE("a'(",AD144,")=")</f>
        <v>a'(  )=</v>
      </c>
      <c r="AI144" s="84" t="e">
        <f>2*AI142/2*AE145</f>
        <v>#VALUE!</v>
      </c>
      <c r="AJ144" s="84" t="str">
        <f>CONCATENATE("A(",AD143,")=")</f>
        <v>A(  )=</v>
      </c>
      <c r="AK144" s="84" t="str">
        <f>VLOOKUP(AD143,STN_TABLE,3,FALSE)</f>
        <v xml:space="preserve"> </v>
      </c>
      <c r="AL144" t="str">
        <f>CONCATENATE("A(",AD144,")=")</f>
        <v>A(  )=</v>
      </c>
      <c r="AM144" t="e">
        <f>AI144+AK144</f>
        <v>#VALUE!</v>
      </c>
      <c r="AO144" s="68" t="str">
        <f>AA144</f>
        <v>A(  )=</v>
      </c>
      <c r="AP144" s="68" t="e">
        <f>VLOOKUP(AO144,Rise_Results,2,FALSE)</f>
        <v>#N/A</v>
      </c>
      <c r="AQ144" s="76" t="e">
        <f>N144</f>
        <v>#VALUE!</v>
      </c>
      <c r="AR144" s="76" t="e">
        <f>IF(OR(AB144&lt;=0,AB145&lt;=0),1/0,AB144)</f>
        <v>#VALUE!</v>
      </c>
      <c r="AS144" s="76" t="e">
        <f>AM144</f>
        <v>#VALUE!</v>
      </c>
      <c r="AT144" t="e">
        <f>IFERROR(AP144,IFERROR(AQ144,IFERROR(AR144,AS144)))</f>
        <v>#VALUE!</v>
      </c>
      <c r="AU144" s="81"/>
    </row>
    <row r="145" spans="1:47" x14ac:dyDescent="0.25">
      <c r="A145" s="84">
        <f>A144+1</f>
        <v>24</v>
      </c>
      <c r="B145" s="84" t="str">
        <f t="shared" si="69"/>
        <v xml:space="preserve">  </v>
      </c>
      <c r="F145" s="82" t="e">
        <f>SUM(F142:F144)</f>
        <v>#VALUE!</v>
      </c>
      <c r="H145" s="82" t="e">
        <f>SUM(H142:H144)</f>
        <v>#VALUE!</v>
      </c>
      <c r="I145" s="84" t="str">
        <f>CONCATENATE("m'(",C144,")=")</f>
        <v>m'(  )=</v>
      </c>
      <c r="J145" s="84" t="e">
        <f>2*(J142*(WLS))/3*H145</f>
        <v>#VALUE!</v>
      </c>
      <c r="K145" s="84" t="e">
        <f>CONCATENATE("M(",C142,")=")</f>
        <v>#VALUE!</v>
      </c>
      <c r="L145" s="84" t="e">
        <f>VLOOKUP(C142,STN_TABLE,4,FALSE)</f>
        <v>#VALUE!</v>
      </c>
      <c r="M145" t="str">
        <f>CONCATENATE("M(",C144,")=")</f>
        <v>M(  )=</v>
      </c>
      <c r="N145" t="e">
        <f>J145+L145</f>
        <v>#VALUE!</v>
      </c>
      <c r="O145" s="99">
        <f>O144+1</f>
        <v>26</v>
      </c>
      <c r="P145" s="99" t="e">
        <f t="shared" si="65"/>
        <v>#N/A</v>
      </c>
      <c r="T145" s="89" t="e">
        <f>SUM(T142:T144)</f>
        <v>#VALUE!</v>
      </c>
      <c r="V145" s="82" t="e">
        <f>SUM(V142:V144)</f>
        <v>#VALUE!</v>
      </c>
      <c r="W145" s="84" t="str">
        <f>CONCATENATE("m'(",Q143,")=")</f>
        <v>m'(  )=</v>
      </c>
      <c r="X145" s="84" t="e">
        <f>(2*(X142^2)/24*V145)+(X144*Q142*WLS)</f>
        <v>#VALUE!</v>
      </c>
      <c r="Y145" s="84" t="e">
        <f>CONCATENATE("M(",Q142,")=")</f>
        <v>#VALUE!</v>
      </c>
      <c r="Z145" s="84" t="e">
        <f>VLOOKUP(Q142,STN_TABLE,4,FALSE)</f>
        <v>#VALUE!</v>
      </c>
      <c r="AA145" t="str">
        <f>CONCATENATE("M(",Q143,")=")</f>
        <v>M(  )=</v>
      </c>
      <c r="AB145" t="e">
        <f>X145+Z145</f>
        <v>#VALUE!</v>
      </c>
      <c r="AE145" s="89">
        <f>SUM(AE143:AE144)</f>
        <v>0</v>
      </c>
      <c r="AG145" s="89" t="e">
        <f>SUM(AG143:AG144)</f>
        <v>#VALUE!</v>
      </c>
      <c r="AH145" s="84" t="str">
        <f>CONCATENATE("m'(",AD144,")=")</f>
        <v>m'(  )=</v>
      </c>
      <c r="AI145" s="84" t="e">
        <f>(2*(AI142^2)/6*AG145)+(AI144*AD143*WLS)</f>
        <v>#VALUE!</v>
      </c>
      <c r="AJ145" s="84" t="str">
        <f>CONCATENATE("M(",AD143,")=")</f>
        <v>M(  )=</v>
      </c>
      <c r="AK145" s="84" t="str">
        <f>VLOOKUP(AD143,STN_TABLE,4,FALSE)</f>
        <v xml:space="preserve"> </v>
      </c>
      <c r="AL145" t="str">
        <f>CONCATENATE("M(",AD144,")=")</f>
        <v>M(  )=</v>
      </c>
      <c r="AM145" t="e">
        <f>AI145+AK145</f>
        <v>#VALUE!</v>
      </c>
      <c r="AO145" s="82" t="str">
        <f>AA145</f>
        <v>M(  )=</v>
      </c>
      <c r="AP145" s="82" t="e">
        <f>VLOOKUP(AO145,Rise_Results,2,FALSE)</f>
        <v>#N/A</v>
      </c>
      <c r="AQ145" s="82" t="e">
        <f>N145</f>
        <v>#VALUE!</v>
      </c>
      <c r="AR145" s="82" t="e">
        <f>IF(OR(AB144&lt;=0,AB145&lt;=0),1/0,AB145)</f>
        <v>#VALUE!</v>
      </c>
      <c r="AS145" s="82" t="e">
        <f>AM145</f>
        <v>#VALUE!</v>
      </c>
      <c r="AT145" t="e">
        <f>IFERROR(AP145,IFERROR(AQ145,IFERROR(AR145,AS145)))</f>
        <v>#VALUE!</v>
      </c>
      <c r="AU145" s="81"/>
    </row>
    <row r="146" spans="1:47" x14ac:dyDescent="0.25">
      <c r="A146" s="101">
        <f>A141+1</f>
        <v>21</v>
      </c>
      <c r="B146" s="101" t="str">
        <f t="shared" si="69"/>
        <v xml:space="preserve">  </v>
      </c>
      <c r="O146" s="101">
        <f>O141+1</f>
        <v>23</v>
      </c>
      <c r="P146" s="101" t="str">
        <f t="shared" si="65"/>
        <v xml:space="preserve">  </v>
      </c>
      <c r="AU146" s="81"/>
    </row>
    <row r="147" spans="1:47" x14ac:dyDescent="0.25">
      <c r="A147" s="84">
        <f>A146+1</f>
        <v>22</v>
      </c>
      <c r="B147" s="84" t="str">
        <f t="shared" si="69"/>
        <v xml:space="preserve">  </v>
      </c>
      <c r="C147" s="79" t="e">
        <f t="shared" ref="C147" si="75">IF(C148=B149,IF(C149-C148=C148-B148,B148,IF(C149-C148=C148-B147,B147,"#NA")),IF(C148=B148,IF(C149-C148=C148-B147,B147,IF(C149-C148=C148-B146,B146,"#NA")),"#NA"))</f>
        <v>#VALUE!</v>
      </c>
      <c r="D147" s="68" t="e">
        <f>VLOOKUP(C147,STN_TABLE,2,FALSE)</f>
        <v>#VALUE!</v>
      </c>
      <c r="E147" s="102">
        <v>1</v>
      </c>
      <c r="F147" s="68" t="e">
        <f>D147*E147</f>
        <v>#VALUE!</v>
      </c>
      <c r="G147" s="69" t="e">
        <f>C147</f>
        <v>#VALUE!</v>
      </c>
      <c r="H147" s="69" t="e">
        <f>F147*G147</f>
        <v>#VALUE!</v>
      </c>
      <c r="I147" s="6" t="s">
        <v>93</v>
      </c>
      <c r="J147" s="70" t="e">
        <f>IF(OR(D147=0,D148=0,D149=0),"#NA",IF(AND(C149-C148=C148-C147,C148&lt;&gt;C149,C147&lt;&gt;C148,C147&lt;&gt;C149,D149&lt;&gt;0,OR(D147&lt;&gt;0,D148&lt;&gt;0)),WLS*(C149-C148),"#NA"))</f>
        <v>#VALUE!</v>
      </c>
      <c r="O147" s="99">
        <f>O146+1</f>
        <v>24</v>
      </c>
      <c r="P147" s="99" t="str">
        <f t="shared" si="65"/>
        <v xml:space="preserve">  </v>
      </c>
      <c r="Q147" s="68" t="e">
        <f>IF(OR(P149-P148=P148-P147,P150-P148=P148-P147),P147,IF(OR(P149-P148=P148-P146,P150-P148=P148-P146),P146,"-"))</f>
        <v>#N/A</v>
      </c>
      <c r="R147" s="69" t="e">
        <f>VLOOKUP(Q147,STN_TABLE,2,FALSE)</f>
        <v>#N/A</v>
      </c>
      <c r="S147" s="69">
        <v>5</v>
      </c>
      <c r="T147" s="68" t="e">
        <f>R147*S147</f>
        <v>#N/A</v>
      </c>
      <c r="U147" s="79">
        <v>3</v>
      </c>
      <c r="V147" s="68" t="e">
        <f>R147*U147</f>
        <v>#N/A</v>
      </c>
      <c r="W147" s="6" t="s">
        <v>93</v>
      </c>
      <c r="X147" s="70" t="e">
        <f>IF(AND(Q149-Q148=Q148-Q147,NOT(AND(Q147=0,Q148=0)),NOT(AND(Q148=0,Q149=0))),WLS*(Q149-Q148),"#NA")</f>
        <v>#N/A</v>
      </c>
      <c r="AD147" s="93"/>
      <c r="AH147" s="6" t="s">
        <v>93</v>
      </c>
      <c r="AI147" s="70" t="e">
        <f>WLS*(AD149-AD148)</f>
        <v>#VALUE!</v>
      </c>
      <c r="AU147" s="81"/>
    </row>
    <row r="148" spans="1:47" x14ac:dyDescent="0.25">
      <c r="A148" s="84">
        <f>A147+1</f>
        <v>23</v>
      </c>
      <c r="B148" s="84" t="str">
        <f t="shared" si="69"/>
        <v xml:space="preserve">  </v>
      </c>
      <c r="C148" s="80" t="e">
        <f t="shared" ref="C148" si="76">IF(OR(B150-B149=B149-B148,B150-B149=B149-B147,B150-B149=B149-B146),B149,IF(OR(B150-B148=B148-B147,B150-B148=B148-B146),B148,IF(B150-B147=B147-B146,B147,"#NA")))</f>
        <v>#VALUE!</v>
      </c>
      <c r="D148" s="76" t="e">
        <f>VLOOKUP(C148,STN_TABLE,2,FALSE)</f>
        <v>#VALUE!</v>
      </c>
      <c r="E148" s="81">
        <v>4</v>
      </c>
      <c r="F148" s="76" t="e">
        <f>D148*E148</f>
        <v>#VALUE!</v>
      </c>
      <c r="G148" s="77" t="e">
        <f>C148</f>
        <v>#VALUE!</v>
      </c>
      <c r="H148" s="77" t="e">
        <f>F148*G148</f>
        <v>#VALUE!</v>
      </c>
      <c r="I148" s="495" t="s">
        <v>97</v>
      </c>
      <c r="J148" s="496"/>
      <c r="K148" s="78" t="s">
        <v>98</v>
      </c>
      <c r="L148" s="78"/>
      <c r="M148" s="7" t="s">
        <v>99</v>
      </c>
      <c r="N148" s="7"/>
      <c r="O148" s="99">
        <f>O147+1</f>
        <v>25</v>
      </c>
      <c r="P148" s="99" t="str">
        <f t="shared" si="65"/>
        <v xml:space="preserve">  </v>
      </c>
      <c r="Q148" s="76" t="str">
        <f>P148</f>
        <v xml:space="preserve">  </v>
      </c>
      <c r="R148" s="77" t="str">
        <f>VLOOKUP(Q148,STN_TABLE,2,FALSE)</f>
        <v xml:space="preserve">  </v>
      </c>
      <c r="S148" s="77">
        <v>8</v>
      </c>
      <c r="T148" s="76" t="e">
        <f>R148*S148</f>
        <v>#VALUE!</v>
      </c>
      <c r="U148" s="80">
        <v>10</v>
      </c>
      <c r="V148" s="76" t="e">
        <f>R148*U148</f>
        <v>#VALUE!</v>
      </c>
      <c r="W148" s="496" t="s">
        <v>97</v>
      </c>
      <c r="X148" s="496"/>
      <c r="Y148" s="496" t="s">
        <v>98</v>
      </c>
      <c r="Z148" s="496"/>
      <c r="AA148" s="494" t="s">
        <v>99</v>
      </c>
      <c r="AB148" s="494"/>
      <c r="AC148" s="99">
        <f>AC143+1</f>
        <v>24</v>
      </c>
      <c r="AD148" s="95" t="str">
        <f>VLOOKUP(AC148,STN_TABLE_2,2,FALSE)</f>
        <v xml:space="preserve">  </v>
      </c>
      <c r="AE148" s="68" t="str">
        <f>VLOOKUP(AD148,STN_TABLE,2,FALSE)</f>
        <v xml:space="preserve">  </v>
      </c>
      <c r="AF148" s="68">
        <v>1</v>
      </c>
      <c r="AG148" s="69" t="e">
        <f>AE148*AF148</f>
        <v>#VALUE!</v>
      </c>
      <c r="AH148" s="496" t="s">
        <v>97</v>
      </c>
      <c r="AI148" s="496"/>
      <c r="AJ148" s="496" t="s">
        <v>98</v>
      </c>
      <c r="AK148" s="496"/>
      <c r="AL148" s="494" t="s">
        <v>99</v>
      </c>
      <c r="AM148" s="494"/>
      <c r="AP148" s="86" t="s">
        <v>112</v>
      </c>
      <c r="AQ148" s="89" t="s">
        <v>113</v>
      </c>
      <c r="AR148" s="89" t="s">
        <v>114</v>
      </c>
      <c r="AS148" s="89" t="s">
        <v>115</v>
      </c>
      <c r="AU148" s="81"/>
    </row>
    <row r="149" spans="1:47" x14ac:dyDescent="0.25">
      <c r="A149" s="84">
        <f>A148+1</f>
        <v>24</v>
      </c>
      <c r="B149" s="84" t="str">
        <f t="shared" si="69"/>
        <v xml:space="preserve">  </v>
      </c>
      <c r="C149" s="88" t="str">
        <f t="shared" ref="C149" si="77">B150</f>
        <v xml:space="preserve">  </v>
      </c>
      <c r="D149" s="82" t="str">
        <f>VLOOKUP(C149,STN_TABLE,2,FALSE)</f>
        <v xml:space="preserve">  </v>
      </c>
      <c r="E149" s="92">
        <v>1</v>
      </c>
      <c r="F149" s="82" t="e">
        <f>D149*E149</f>
        <v>#VALUE!</v>
      </c>
      <c r="G149" s="83" t="str">
        <f>C149</f>
        <v xml:space="preserve">  </v>
      </c>
      <c r="H149" s="83" t="e">
        <f>F149*G149</f>
        <v>#VALUE!</v>
      </c>
      <c r="I149" s="84" t="str">
        <f>CONCATENATE("a'(",C149,")=")</f>
        <v>a'(  )=</v>
      </c>
      <c r="J149" s="84" t="e">
        <f>2*J147/3*F150</f>
        <v>#VALUE!</v>
      </c>
      <c r="K149" s="84" t="e">
        <f>CONCATENATE("A(",C147,")=")</f>
        <v>#VALUE!</v>
      </c>
      <c r="L149" s="84" t="e">
        <f>VLOOKUP(C147,STN_TABLE,3,FALSE)</f>
        <v>#VALUE!</v>
      </c>
      <c r="M149" t="str">
        <f>CONCATENATE("A(",C149,")=")</f>
        <v>A(  )=</v>
      </c>
      <c r="N149" t="e">
        <f>J149+L149</f>
        <v>#VALUE!</v>
      </c>
      <c r="O149" s="99">
        <f>O148+1</f>
        <v>26</v>
      </c>
      <c r="P149" s="99" t="e">
        <f t="shared" si="65"/>
        <v>#N/A</v>
      </c>
      <c r="Q149" s="82" t="e">
        <f>IF(P149-P148=P148-P147,P149,IF(P150-P148=P148-P147,P150,IF(P149-P148=P148-P146,P149,IF(P150-P148=P148-P146,P150,"-"))))</f>
        <v>#N/A</v>
      </c>
      <c r="R149" s="83" t="e">
        <f>VLOOKUP(Q149,STN_TABLE,2,FALSE)</f>
        <v>#N/A</v>
      </c>
      <c r="S149" s="83">
        <v>-1</v>
      </c>
      <c r="T149" s="82" t="e">
        <f>R149*S149</f>
        <v>#N/A</v>
      </c>
      <c r="U149" s="88">
        <v>-1</v>
      </c>
      <c r="V149" s="82" t="e">
        <f>R149*U149</f>
        <v>#N/A</v>
      </c>
      <c r="W149" s="84" t="str">
        <f>CONCATENATE("a'(",Q148,")=")</f>
        <v>a'(  )=</v>
      </c>
      <c r="X149" s="84" t="e">
        <f>2*X147/12*T150</f>
        <v>#N/A</v>
      </c>
      <c r="Y149" s="84" t="e">
        <f>CONCATENATE("A(",Q147,")=")</f>
        <v>#N/A</v>
      </c>
      <c r="Z149" s="84" t="e">
        <f>VLOOKUP(Q147,STN_TABLE,3,FALSE)</f>
        <v>#N/A</v>
      </c>
      <c r="AA149" t="str">
        <f>CONCATENATE("A(",Q148,")=")</f>
        <v>A(  )=</v>
      </c>
      <c r="AB149" t="e">
        <f>X149+Z149</f>
        <v>#N/A</v>
      </c>
      <c r="AC149" s="99">
        <f>AC148+1</f>
        <v>25</v>
      </c>
      <c r="AD149" s="100" t="str">
        <f>VLOOKUP(AC149,STN_TABLE_2,2,FALSE)</f>
        <v xml:space="preserve">  </v>
      </c>
      <c r="AE149" s="82" t="str">
        <f>VLOOKUP(AD149,STN_TABLE,2,FALSE)</f>
        <v xml:space="preserve">  </v>
      </c>
      <c r="AF149" s="82">
        <v>2</v>
      </c>
      <c r="AG149" s="83" t="e">
        <f>AE149*AF149</f>
        <v>#VALUE!</v>
      </c>
      <c r="AH149" s="84" t="str">
        <f>CONCATENATE("a'(",AD149,")=")</f>
        <v>a'(  )=</v>
      </c>
      <c r="AI149" s="84" t="e">
        <f>2*AI147/2*AE150</f>
        <v>#VALUE!</v>
      </c>
      <c r="AJ149" s="84" t="str">
        <f>CONCATENATE("A(",AD148,")=")</f>
        <v>A(  )=</v>
      </c>
      <c r="AK149" s="84" t="str">
        <f>VLOOKUP(AD148,STN_TABLE,3,FALSE)</f>
        <v xml:space="preserve"> </v>
      </c>
      <c r="AL149" t="str">
        <f>CONCATENATE("A(",AD149,")=")</f>
        <v>A(  )=</v>
      </c>
      <c r="AM149" t="e">
        <f>AI149+AK149</f>
        <v>#VALUE!</v>
      </c>
      <c r="AO149" s="68" t="str">
        <f>AA149</f>
        <v>A(  )=</v>
      </c>
      <c r="AP149" s="68" t="e">
        <f>VLOOKUP(AO149,Rise_Results,2,FALSE)</f>
        <v>#N/A</v>
      </c>
      <c r="AQ149" s="76" t="e">
        <f>N149</f>
        <v>#VALUE!</v>
      </c>
      <c r="AR149" s="76" t="e">
        <f>IF(OR(AB149&lt;=0,AB150&lt;=0),1/0,AB149)</f>
        <v>#N/A</v>
      </c>
      <c r="AS149" s="76" t="e">
        <f>AM149</f>
        <v>#VALUE!</v>
      </c>
      <c r="AT149" t="e">
        <f>IFERROR(AP149,IFERROR(AQ149,IFERROR(AR149,AS149)))</f>
        <v>#VALUE!</v>
      </c>
      <c r="AU149" s="81"/>
    </row>
    <row r="150" spans="1:47" x14ac:dyDescent="0.25">
      <c r="A150" s="84">
        <f>A149+1</f>
        <v>25</v>
      </c>
      <c r="B150" s="84" t="str">
        <f t="shared" si="69"/>
        <v xml:space="preserve">  </v>
      </c>
      <c r="F150" s="82" t="e">
        <f>SUM(F147:F149)</f>
        <v>#VALUE!</v>
      </c>
      <c r="H150" s="82" t="e">
        <f>SUM(H147:H149)</f>
        <v>#VALUE!</v>
      </c>
      <c r="I150" s="84" t="str">
        <f>CONCATENATE("m'(",C149,")=")</f>
        <v>m'(  )=</v>
      </c>
      <c r="J150" s="84" t="e">
        <f>2*(J147*(WLS))/3*H150</f>
        <v>#VALUE!</v>
      </c>
      <c r="K150" s="84" t="e">
        <f>CONCATENATE("M(",C147,")=")</f>
        <v>#VALUE!</v>
      </c>
      <c r="L150" s="84" t="e">
        <f>VLOOKUP(C147,STN_TABLE,4,FALSE)</f>
        <v>#VALUE!</v>
      </c>
      <c r="M150" t="str">
        <f>CONCATENATE("M(",C149,")=")</f>
        <v>M(  )=</v>
      </c>
      <c r="N150" t="e">
        <f>J150+L150</f>
        <v>#VALUE!</v>
      </c>
      <c r="O150" s="99">
        <f>O149+1</f>
        <v>27</v>
      </c>
      <c r="P150" s="99" t="e">
        <f t="shared" si="65"/>
        <v>#N/A</v>
      </c>
      <c r="T150" s="89" t="e">
        <f>SUM(T147:T149)</f>
        <v>#N/A</v>
      </c>
      <c r="V150" s="82" t="e">
        <f>SUM(V147:V149)</f>
        <v>#N/A</v>
      </c>
      <c r="W150" s="84" t="str">
        <f>CONCATENATE("m'(",Q148,")=")</f>
        <v>m'(  )=</v>
      </c>
      <c r="X150" s="84" t="e">
        <f>(2*(X147^2)/24*V150)+(X149*Q147*WLS)</f>
        <v>#N/A</v>
      </c>
      <c r="Y150" s="84" t="e">
        <f>CONCATENATE("M(",Q147,")=")</f>
        <v>#N/A</v>
      </c>
      <c r="Z150" s="84" t="e">
        <f>VLOOKUP(Q147,STN_TABLE,4,FALSE)</f>
        <v>#N/A</v>
      </c>
      <c r="AA150" t="str">
        <f>CONCATENATE("M(",Q148,")=")</f>
        <v>M(  )=</v>
      </c>
      <c r="AB150" t="e">
        <f>X150+Z150</f>
        <v>#N/A</v>
      </c>
      <c r="AE150" s="89">
        <f>SUM(AE148:AE149)</f>
        <v>0</v>
      </c>
      <c r="AG150" s="89" t="e">
        <f>SUM(AG148:AG149)</f>
        <v>#VALUE!</v>
      </c>
      <c r="AH150" s="84" t="str">
        <f>CONCATENATE("m'(",AD149,")=")</f>
        <v>m'(  )=</v>
      </c>
      <c r="AI150" s="84" t="e">
        <f>(2*(AI147^2)/6*AG150)+(AI149*AD148*WLS)</f>
        <v>#VALUE!</v>
      </c>
      <c r="AJ150" s="84" t="str">
        <f>CONCATENATE("M(",AD148,")=")</f>
        <v>M(  )=</v>
      </c>
      <c r="AK150" s="84" t="str">
        <f>VLOOKUP(AD148,STN_TABLE,4,FALSE)</f>
        <v xml:space="preserve"> </v>
      </c>
      <c r="AL150" t="str">
        <f>CONCATENATE("M(",AD149,")=")</f>
        <v>M(  )=</v>
      </c>
      <c r="AM150" t="e">
        <f>AI150+AK150</f>
        <v>#VALUE!</v>
      </c>
      <c r="AO150" s="82" t="str">
        <f>AA150</f>
        <v>M(  )=</v>
      </c>
      <c r="AP150" s="82" t="e">
        <f>VLOOKUP(AO150,Rise_Results,2,FALSE)</f>
        <v>#N/A</v>
      </c>
      <c r="AQ150" s="82" t="e">
        <f>N150</f>
        <v>#VALUE!</v>
      </c>
      <c r="AR150" s="82" t="e">
        <f>IF(OR(AB149&lt;=0,AB150&lt;=0),1/0,AB150)</f>
        <v>#N/A</v>
      </c>
      <c r="AS150" s="82" t="e">
        <f>AM150</f>
        <v>#VALUE!</v>
      </c>
      <c r="AT150" t="e">
        <f>IFERROR(AP150,IFERROR(AQ150,IFERROR(AR150,AS150)))</f>
        <v>#VALUE!</v>
      </c>
      <c r="AU150" s="81"/>
    </row>
    <row r="151" spans="1:47" x14ac:dyDescent="0.25">
      <c r="A151" s="101"/>
      <c r="B151" s="101"/>
      <c r="AU151" s="81"/>
    </row>
    <row r="152" spans="1:47" x14ac:dyDescent="0.25">
      <c r="A152" s="84"/>
      <c r="B152" s="84"/>
      <c r="E152" s="81"/>
      <c r="F152" s="81"/>
      <c r="G152" s="81"/>
      <c r="H152" s="81"/>
      <c r="I152" s="103"/>
      <c r="J152" s="70"/>
      <c r="AU152" s="81"/>
    </row>
    <row r="153" spans="1:47" x14ac:dyDescent="0.25">
      <c r="A153" s="84"/>
      <c r="B153" s="84"/>
      <c r="E153" s="81"/>
      <c r="F153" s="81"/>
      <c r="G153" s="81"/>
      <c r="H153" s="81"/>
      <c r="I153" s="104"/>
      <c r="J153" s="78"/>
      <c r="K153" s="78"/>
      <c r="L153" s="78"/>
      <c r="M153" s="7"/>
      <c r="N153" s="7"/>
      <c r="AO153" s="81"/>
      <c r="AP153" s="81"/>
      <c r="AQ153" s="81"/>
      <c r="AR153" s="81"/>
      <c r="AS153" s="81"/>
      <c r="AT153" s="81"/>
      <c r="AU153" s="81"/>
    </row>
    <row r="154" spans="1:47" x14ac:dyDescent="0.25">
      <c r="A154" s="84"/>
      <c r="B154" s="84"/>
      <c r="E154" s="81"/>
      <c r="F154" s="81"/>
      <c r="G154" s="81"/>
      <c r="H154" s="81"/>
      <c r="I154" s="105"/>
      <c r="J154" s="84"/>
      <c r="K154" s="84"/>
      <c r="L154" s="84"/>
      <c r="AO154" s="81"/>
      <c r="AP154" s="81"/>
      <c r="AQ154" s="81"/>
      <c r="AR154" s="81"/>
      <c r="AS154" s="81"/>
      <c r="AT154" s="81"/>
      <c r="AU154" s="81"/>
    </row>
    <row r="155" spans="1:47" x14ac:dyDescent="0.25">
      <c r="A155" s="84"/>
      <c r="B155" s="84"/>
      <c r="E155" s="81"/>
      <c r="F155" s="81"/>
      <c r="G155" s="81"/>
      <c r="H155" s="81"/>
      <c r="I155" s="105"/>
      <c r="J155" s="84"/>
      <c r="K155" s="84"/>
      <c r="L155" s="84"/>
      <c r="AO155" s="81"/>
      <c r="AP155" s="81"/>
      <c r="AQ155" s="81"/>
      <c r="AR155" s="81"/>
      <c r="AS155" s="81"/>
      <c r="AT155" s="81"/>
      <c r="AU155" s="81"/>
    </row>
    <row r="156" spans="1:47" x14ac:dyDescent="0.25">
      <c r="A156" s="101"/>
      <c r="B156" s="101"/>
      <c r="E156" s="81"/>
      <c r="F156" s="81"/>
      <c r="G156" s="81"/>
      <c r="H156" s="81"/>
      <c r="I156" s="81"/>
      <c r="AO156" s="81"/>
      <c r="AP156" s="81"/>
      <c r="AQ156" s="81"/>
      <c r="AR156" s="81"/>
      <c r="AS156" s="81"/>
      <c r="AT156" s="81"/>
      <c r="AU156" s="81"/>
    </row>
    <row r="157" spans="1:47" x14ac:dyDescent="0.25">
      <c r="A157" s="84"/>
      <c r="B157" s="84"/>
      <c r="E157" s="81"/>
      <c r="F157" s="81"/>
      <c r="G157" s="81"/>
      <c r="H157" s="81"/>
      <c r="I157" s="103"/>
      <c r="J157" s="70"/>
      <c r="AO157" s="81"/>
      <c r="AP157" s="81"/>
      <c r="AQ157" s="81"/>
      <c r="AR157" s="81"/>
      <c r="AS157" s="81"/>
      <c r="AT157" s="81"/>
      <c r="AU157" s="81"/>
    </row>
    <row r="158" spans="1:47" x14ac:dyDescent="0.25">
      <c r="A158" s="84"/>
      <c r="B158" s="84"/>
      <c r="E158" s="81"/>
      <c r="F158" s="81"/>
      <c r="G158" s="81"/>
      <c r="H158" s="81"/>
      <c r="I158" s="104"/>
      <c r="J158" s="78"/>
      <c r="K158" s="78"/>
      <c r="L158" s="78"/>
      <c r="M158" s="7"/>
      <c r="N158" s="7"/>
      <c r="AO158" s="81"/>
      <c r="AP158" s="81"/>
      <c r="AQ158" s="81"/>
      <c r="AR158" s="81"/>
      <c r="AS158" s="81"/>
      <c r="AT158" s="81"/>
      <c r="AU158" s="81"/>
    </row>
    <row r="159" spans="1:47" x14ac:dyDescent="0.25">
      <c r="A159" s="84"/>
      <c r="B159" s="84"/>
      <c r="E159" s="81"/>
      <c r="F159" s="81"/>
      <c r="G159" s="81"/>
      <c r="H159" s="81"/>
      <c r="I159" s="105"/>
      <c r="J159" s="84"/>
      <c r="K159" s="84"/>
      <c r="L159" s="84"/>
      <c r="AO159" s="81"/>
      <c r="AP159" s="81"/>
      <c r="AQ159" s="81"/>
      <c r="AR159" s="81"/>
      <c r="AS159" s="81"/>
      <c r="AT159" s="81"/>
      <c r="AU159" s="81"/>
    </row>
    <row r="160" spans="1:47" x14ac:dyDescent="0.25">
      <c r="A160" s="84"/>
      <c r="B160" s="84"/>
      <c r="E160" s="81"/>
      <c r="F160" s="81"/>
      <c r="G160" s="81"/>
      <c r="H160" s="81"/>
      <c r="I160" s="105"/>
      <c r="J160" s="84"/>
      <c r="K160" s="84"/>
      <c r="L160" s="84"/>
      <c r="AO160" s="81"/>
      <c r="AP160" s="81"/>
      <c r="AQ160" s="81"/>
      <c r="AR160" s="81"/>
      <c r="AS160" s="81"/>
      <c r="AT160" s="81"/>
      <c r="AU160" s="81"/>
    </row>
    <row r="161" spans="1:47" x14ac:dyDescent="0.25">
      <c r="A161" s="101"/>
      <c r="B161" s="101"/>
      <c r="E161" s="81"/>
      <c r="F161" s="81"/>
      <c r="G161" s="81"/>
      <c r="H161" s="81"/>
      <c r="I161" s="81"/>
      <c r="AO161" s="81"/>
      <c r="AP161" s="81"/>
      <c r="AQ161" s="81"/>
      <c r="AR161" s="81"/>
      <c r="AS161" s="81"/>
      <c r="AT161" s="81"/>
      <c r="AU161" s="81"/>
    </row>
    <row r="162" spans="1:47" x14ac:dyDescent="0.25">
      <c r="A162" s="84"/>
      <c r="B162" s="84"/>
      <c r="E162" s="81"/>
      <c r="F162" s="81"/>
      <c r="G162" s="81"/>
      <c r="H162" s="81"/>
      <c r="I162" s="103"/>
      <c r="J162" s="70"/>
      <c r="AO162" s="81"/>
      <c r="AP162" s="81"/>
      <c r="AQ162" s="81"/>
      <c r="AR162" s="81"/>
      <c r="AS162" s="81"/>
      <c r="AT162" s="81"/>
      <c r="AU162" s="81"/>
    </row>
    <row r="163" spans="1:47" x14ac:dyDescent="0.25">
      <c r="A163" s="84"/>
      <c r="B163" s="84"/>
      <c r="E163" s="81"/>
      <c r="F163" s="81"/>
      <c r="G163" s="81"/>
      <c r="H163" s="81"/>
      <c r="I163" s="104"/>
      <c r="J163" s="78"/>
      <c r="K163" s="78"/>
      <c r="L163" s="78"/>
      <c r="M163" s="7"/>
      <c r="N163" s="7"/>
      <c r="AO163" s="81"/>
      <c r="AP163" s="81"/>
      <c r="AQ163" s="81"/>
      <c r="AR163" s="81"/>
      <c r="AS163" s="81"/>
      <c r="AT163" s="81"/>
      <c r="AU163" s="81"/>
    </row>
    <row r="164" spans="1:47" x14ac:dyDescent="0.25">
      <c r="A164" s="84"/>
      <c r="B164" s="84"/>
      <c r="E164" s="81"/>
      <c r="F164" s="81"/>
      <c r="G164" s="81"/>
      <c r="H164" s="81"/>
      <c r="I164" s="105"/>
      <c r="J164" s="84"/>
      <c r="K164" s="84"/>
      <c r="L164" s="84"/>
    </row>
    <row r="165" spans="1:47" x14ac:dyDescent="0.25">
      <c r="A165" s="84"/>
      <c r="B165" s="84"/>
      <c r="E165" s="81"/>
      <c r="F165" s="81"/>
      <c r="G165" s="81"/>
      <c r="H165" s="81"/>
      <c r="I165" s="105"/>
      <c r="J165" s="84"/>
      <c r="K165" s="84"/>
      <c r="L165" s="84"/>
    </row>
    <row r="166" spans="1:47" x14ac:dyDescent="0.25">
      <c r="A166" s="101"/>
      <c r="B166" s="101"/>
      <c r="E166" s="81"/>
      <c r="F166" s="81"/>
      <c r="G166" s="81"/>
      <c r="H166" s="81"/>
      <c r="I166" s="81"/>
    </row>
    <row r="167" spans="1:47" x14ac:dyDescent="0.25">
      <c r="A167" s="84"/>
      <c r="B167" s="84"/>
      <c r="E167" s="81"/>
      <c r="F167" s="81"/>
      <c r="G167" s="81"/>
      <c r="H167" s="81"/>
      <c r="I167" s="103"/>
      <c r="J167" s="70"/>
    </row>
    <row r="168" spans="1:47" x14ac:dyDescent="0.25">
      <c r="A168" s="84"/>
      <c r="B168" s="84"/>
      <c r="E168" s="81"/>
      <c r="F168" s="81"/>
      <c r="G168" s="81"/>
      <c r="H168" s="81"/>
      <c r="I168" s="104"/>
      <c r="J168" s="78"/>
      <c r="K168" s="78"/>
      <c r="L168" s="78"/>
      <c r="M168" s="7"/>
      <c r="N168" s="7"/>
    </row>
    <row r="169" spans="1:47" x14ac:dyDescent="0.25">
      <c r="A169" s="84"/>
      <c r="B169" s="84"/>
      <c r="E169" s="81"/>
      <c r="F169" s="81"/>
      <c r="G169" s="81"/>
      <c r="H169" s="81"/>
      <c r="I169" s="105"/>
      <c r="J169" s="84"/>
      <c r="K169" s="84"/>
      <c r="L169" s="84"/>
    </row>
    <row r="170" spans="1:47" x14ac:dyDescent="0.25">
      <c r="A170" s="84"/>
      <c r="B170" s="84"/>
      <c r="E170" s="81"/>
      <c r="F170" s="81"/>
      <c r="G170" s="81"/>
      <c r="H170" s="81"/>
      <c r="I170" s="105"/>
      <c r="J170" s="84"/>
      <c r="K170" s="84"/>
      <c r="L170" s="84"/>
    </row>
    <row r="171" spans="1:47" x14ac:dyDescent="0.25">
      <c r="E171" s="81"/>
      <c r="F171" s="81"/>
      <c r="G171" s="81"/>
      <c r="H171" s="81"/>
      <c r="I171" s="81"/>
    </row>
  </sheetData>
  <sheetProtection password="CB5D" sheet="1" objects="1" scenarios="1" selectLockedCells="1" selectUnlockedCells="1"/>
  <mergeCells count="167">
    <mergeCell ref="A1:B1"/>
    <mergeCell ref="E1:F1"/>
    <mergeCell ref="L1:M1"/>
    <mergeCell ref="W33:X33"/>
    <mergeCell ref="Y33:Z33"/>
    <mergeCell ref="AA33:AB33"/>
    <mergeCell ref="AH33:AI33"/>
    <mergeCell ref="AJ33:AK33"/>
    <mergeCell ref="AL33:AM33"/>
    <mergeCell ref="I38:J38"/>
    <mergeCell ref="W38:X38"/>
    <mergeCell ref="Y38:Z38"/>
    <mergeCell ref="AA38:AB38"/>
    <mergeCell ref="AH38:AI38"/>
    <mergeCell ref="AJ38:AK38"/>
    <mergeCell ref="AL38:AM38"/>
    <mergeCell ref="AL43:AM43"/>
    <mergeCell ref="I48:J48"/>
    <mergeCell ref="W48:X48"/>
    <mergeCell ref="Y48:Z48"/>
    <mergeCell ref="AA48:AB48"/>
    <mergeCell ref="AH48:AI48"/>
    <mergeCell ref="AJ48:AK48"/>
    <mergeCell ref="AL48:AM48"/>
    <mergeCell ref="I43:J43"/>
    <mergeCell ref="W43:X43"/>
    <mergeCell ref="Y43:Z43"/>
    <mergeCell ref="AA43:AB43"/>
    <mergeCell ref="AH43:AI43"/>
    <mergeCell ref="AJ43:AK43"/>
    <mergeCell ref="AL53:AM53"/>
    <mergeCell ref="I58:J58"/>
    <mergeCell ref="AH58:AI58"/>
    <mergeCell ref="AJ58:AK58"/>
    <mergeCell ref="AL58:AM58"/>
    <mergeCell ref="I63:J63"/>
    <mergeCell ref="W63:X63"/>
    <mergeCell ref="Y63:Z63"/>
    <mergeCell ref="AA63:AB63"/>
    <mergeCell ref="AH63:AI63"/>
    <mergeCell ref="I53:J53"/>
    <mergeCell ref="W53:X53"/>
    <mergeCell ref="Y53:Z53"/>
    <mergeCell ref="AA53:AB53"/>
    <mergeCell ref="AH53:AI53"/>
    <mergeCell ref="AJ53:AK53"/>
    <mergeCell ref="AJ63:AK63"/>
    <mergeCell ref="AL63:AM63"/>
    <mergeCell ref="I68:J68"/>
    <mergeCell ref="W68:X68"/>
    <mergeCell ref="Y68:Z68"/>
    <mergeCell ref="AA68:AB68"/>
    <mergeCell ref="AH68:AI68"/>
    <mergeCell ref="AJ68:AK68"/>
    <mergeCell ref="AL68:AM68"/>
    <mergeCell ref="AL73:AM73"/>
    <mergeCell ref="I78:J78"/>
    <mergeCell ref="W78:X78"/>
    <mergeCell ref="Y78:Z78"/>
    <mergeCell ref="AA78:AB78"/>
    <mergeCell ref="AH78:AI78"/>
    <mergeCell ref="AJ78:AK78"/>
    <mergeCell ref="AL78:AM78"/>
    <mergeCell ref="I73:J73"/>
    <mergeCell ref="W73:X73"/>
    <mergeCell ref="Y73:Z73"/>
    <mergeCell ref="AA73:AB73"/>
    <mergeCell ref="AH73:AI73"/>
    <mergeCell ref="AJ73:AK73"/>
    <mergeCell ref="AL83:AM83"/>
    <mergeCell ref="I88:J88"/>
    <mergeCell ref="W88:X88"/>
    <mergeCell ref="Y88:Z88"/>
    <mergeCell ref="AA88:AB88"/>
    <mergeCell ref="AH88:AI88"/>
    <mergeCell ref="AJ88:AK88"/>
    <mergeCell ref="AL88:AM88"/>
    <mergeCell ref="I83:J83"/>
    <mergeCell ref="W83:X83"/>
    <mergeCell ref="Y83:Z83"/>
    <mergeCell ref="AA83:AB83"/>
    <mergeCell ref="AH83:AI83"/>
    <mergeCell ref="AJ83:AK83"/>
    <mergeCell ref="AL93:AM93"/>
    <mergeCell ref="I98:J98"/>
    <mergeCell ref="W98:X98"/>
    <mergeCell ref="Y98:Z98"/>
    <mergeCell ref="AA98:AB98"/>
    <mergeCell ref="AH98:AI98"/>
    <mergeCell ref="AJ98:AK98"/>
    <mergeCell ref="AL98:AM98"/>
    <mergeCell ref="I93:J93"/>
    <mergeCell ref="W93:X93"/>
    <mergeCell ref="Y93:Z93"/>
    <mergeCell ref="AA93:AB93"/>
    <mergeCell ref="AH93:AI93"/>
    <mergeCell ref="AJ93:AK93"/>
    <mergeCell ref="AL103:AM103"/>
    <mergeCell ref="I108:J108"/>
    <mergeCell ref="W108:X108"/>
    <mergeCell ref="Y108:Z108"/>
    <mergeCell ref="AA108:AB108"/>
    <mergeCell ref="AH108:AI108"/>
    <mergeCell ref="AJ108:AK108"/>
    <mergeCell ref="AL108:AM108"/>
    <mergeCell ref="I103:J103"/>
    <mergeCell ref="W103:X103"/>
    <mergeCell ref="Y103:Z103"/>
    <mergeCell ref="AA103:AB103"/>
    <mergeCell ref="AH103:AI103"/>
    <mergeCell ref="AJ103:AK103"/>
    <mergeCell ref="AL113:AM113"/>
    <mergeCell ref="I118:J118"/>
    <mergeCell ref="W118:X118"/>
    <mergeCell ref="Y118:Z118"/>
    <mergeCell ref="AA118:AB118"/>
    <mergeCell ref="AH118:AI118"/>
    <mergeCell ref="AJ118:AK118"/>
    <mergeCell ref="AL118:AM118"/>
    <mergeCell ref="I113:J113"/>
    <mergeCell ref="W113:X113"/>
    <mergeCell ref="Y113:Z113"/>
    <mergeCell ref="AA113:AB113"/>
    <mergeCell ref="AH113:AI113"/>
    <mergeCell ref="AJ113:AK113"/>
    <mergeCell ref="AL123:AM123"/>
    <mergeCell ref="I128:J128"/>
    <mergeCell ref="W128:X128"/>
    <mergeCell ref="Y128:Z128"/>
    <mergeCell ref="AA128:AB128"/>
    <mergeCell ref="AH128:AI128"/>
    <mergeCell ref="AJ128:AK128"/>
    <mergeCell ref="AL128:AM128"/>
    <mergeCell ref="I123:J123"/>
    <mergeCell ref="W123:X123"/>
    <mergeCell ref="Y123:Z123"/>
    <mergeCell ref="AA123:AB123"/>
    <mergeCell ref="AH123:AI123"/>
    <mergeCell ref="AJ123:AK123"/>
    <mergeCell ref="AL133:AM133"/>
    <mergeCell ref="I138:J138"/>
    <mergeCell ref="W138:X138"/>
    <mergeCell ref="Y138:Z138"/>
    <mergeCell ref="AA138:AB138"/>
    <mergeCell ref="AH138:AI138"/>
    <mergeCell ref="AJ138:AK138"/>
    <mergeCell ref="AL138:AM138"/>
    <mergeCell ref="I133:J133"/>
    <mergeCell ref="W133:X133"/>
    <mergeCell ref="Y133:Z133"/>
    <mergeCell ref="AA133:AB133"/>
    <mergeCell ref="AH133:AI133"/>
    <mergeCell ref="AJ133:AK133"/>
    <mergeCell ref="AL143:AM143"/>
    <mergeCell ref="I148:J148"/>
    <mergeCell ref="W148:X148"/>
    <mergeCell ref="Y148:Z148"/>
    <mergeCell ref="AA148:AB148"/>
    <mergeCell ref="AH148:AI148"/>
    <mergeCell ref="AJ148:AK148"/>
    <mergeCell ref="AL148:AM148"/>
    <mergeCell ref="I143:J143"/>
    <mergeCell ref="W143:X143"/>
    <mergeCell ref="Y143:Z143"/>
    <mergeCell ref="AA143:AB143"/>
    <mergeCell ref="AH143:AI143"/>
    <mergeCell ref="AJ143:AK143"/>
  </mergeCells>
  <pageMargins left="0.7" right="0.7" top="0.75" bottom="0.75" header="0.3" footer="0.3"/>
  <pageSetup paperSize="9"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U171"/>
  <sheetViews>
    <sheetView topLeftCell="N1" workbookViewId="0">
      <pane ySplit="1" topLeftCell="A8" activePane="bottomLeft" state="frozen"/>
      <selection activeCell="AG8" sqref="AG8:AG10"/>
      <selection pane="bottomLeft" activeCell="AG8" sqref="AG8:AG10"/>
    </sheetView>
  </sheetViews>
  <sheetFormatPr defaultRowHeight="15" x14ac:dyDescent="0.25"/>
  <sheetData>
    <row r="1" spans="1:46" x14ac:dyDescent="0.25">
      <c r="A1" s="494" t="s">
        <v>90</v>
      </c>
      <c r="B1" s="494"/>
      <c r="C1">
        <f>HLOOKUP(Stn_WL,OFFSET_A,Count_STN+1,FALSE)</f>
        <v>19.5</v>
      </c>
      <c r="E1" s="494" t="s">
        <v>91</v>
      </c>
      <c r="F1" s="494"/>
      <c r="G1" t="str">
        <f>VLOOKUP(Station_No,RISE_CALC,2,FALSE)</f>
        <v>-</v>
      </c>
      <c r="L1" s="494" t="s">
        <v>92</v>
      </c>
      <c r="M1" s="494"/>
      <c r="N1">
        <v>24</v>
      </c>
    </row>
    <row r="2" spans="1:46" x14ac:dyDescent="0.25">
      <c r="Q2" s="66" t="str">
        <f t="shared" ref="Q2:R6" si="0">G4</f>
        <v>Rise</v>
      </c>
      <c r="R2" s="67" t="e">
        <f t="shared" si="0"/>
        <v>#VALUE!</v>
      </c>
      <c r="S2" s="68" t="e">
        <f>IF(OR(R5-R4=R4-R3,R6-R4=R4-R3),R3,IF(OR(R5-R4=R4-R2,R6-R4=R4-R2),R2,"-"))</f>
        <v>#VALUE!</v>
      </c>
      <c r="T2" s="69" t="e">
        <f>IFERROR(VLOOKUP(S2,STN_TABLE,2,FALSE),IF(R2=RisePerWLS,0,"-"))</f>
        <v>#VALUE!</v>
      </c>
      <c r="U2" s="69">
        <v>5</v>
      </c>
      <c r="V2" s="69" t="e">
        <f>T2*U2</f>
        <v>#VALUE!</v>
      </c>
      <c r="W2" s="69">
        <v>3</v>
      </c>
      <c r="X2" s="69" t="e">
        <f>T2*W2</f>
        <v>#VALUE!</v>
      </c>
      <c r="Y2" s="6" t="s">
        <v>93</v>
      </c>
      <c r="Z2" s="70" t="e">
        <f>IF(AND(S4-S3=S3-S2,NOT(AND(S2=0,S3=0)),NOT(AND(S3=0,S4=0))),WLS*(S4-S3),"#NA")</f>
        <v>#VALUE!</v>
      </c>
      <c r="AE2" s="71" t="s">
        <v>94</v>
      </c>
    </row>
    <row r="3" spans="1:46" x14ac:dyDescent="0.25">
      <c r="B3" s="72" t="s">
        <v>0</v>
      </c>
      <c r="C3" s="73" t="s">
        <v>95</v>
      </c>
      <c r="D3" s="73" t="s">
        <v>18</v>
      </c>
      <c r="E3" s="74" t="s">
        <v>20</v>
      </c>
      <c r="H3" s="75" t="s">
        <v>96</v>
      </c>
      <c r="K3" t="str">
        <f>IF(Rise=0,"(Not considered)","(Considered)")</f>
        <v>(Considered)</v>
      </c>
      <c r="Q3" s="66" t="str">
        <f t="shared" si="0"/>
        <v>1st_UWL</v>
      </c>
      <c r="R3" s="67" t="str">
        <f t="shared" si="0"/>
        <v>#NA</v>
      </c>
      <c r="S3" s="76" t="str">
        <f>R4</f>
        <v>#NA</v>
      </c>
      <c r="T3" s="77" t="e">
        <f>VLOOKUP(S3,STN_TABLE,2,FALSE)</f>
        <v>#N/A</v>
      </c>
      <c r="U3" s="77">
        <v>8</v>
      </c>
      <c r="V3" s="77" t="e">
        <f>T3*U3</f>
        <v>#N/A</v>
      </c>
      <c r="W3" s="77">
        <v>10</v>
      </c>
      <c r="X3" s="77" t="e">
        <f>T3*W3</f>
        <v>#N/A</v>
      </c>
      <c r="Y3" s="78" t="s">
        <v>97</v>
      </c>
      <c r="Z3" s="78"/>
      <c r="AA3" s="78" t="s">
        <v>98</v>
      </c>
      <c r="AB3" s="78"/>
      <c r="AC3" s="7" t="s">
        <v>99</v>
      </c>
      <c r="AD3" s="7"/>
      <c r="AE3" s="66" t="str">
        <f t="shared" ref="AE3:AF7" si="1">G4</f>
        <v>Rise</v>
      </c>
      <c r="AF3" s="67" t="e">
        <f t="shared" si="1"/>
        <v>#VALUE!</v>
      </c>
      <c r="AG3" s="79" t="e">
        <f>IF(AF7-AF6=AF6-AF5,AF5,IF(OR(AF7-AF6=AF6-AF4,AF7-AF5=AF5-AF4),AF4,IF(OR(AF7-AF6=AF6-AF3,AF7-AF5=AF5-AF3,AF7-AF4=AF4-AF3),AF3,"#NA")))</f>
        <v>#VALUE!</v>
      </c>
      <c r="AH3" s="69" t="e">
        <f>IFERROR(VLOOKUP(AG3,STN_TABLE,2,FALSE),IF(AF3=RisePerWLS,0,"-"))</f>
        <v>#VALUE!</v>
      </c>
      <c r="AI3" s="69">
        <v>1</v>
      </c>
      <c r="AJ3" s="69" t="e">
        <f>AH3*AI3</f>
        <v>#VALUE!</v>
      </c>
      <c r="AK3" s="69" t="e">
        <f>AG3</f>
        <v>#VALUE!</v>
      </c>
      <c r="AL3" s="69" t="e">
        <f>AJ3*AK3</f>
        <v>#VALUE!</v>
      </c>
      <c r="AM3" s="6" t="s">
        <v>93</v>
      </c>
      <c r="AN3" s="70" t="e">
        <f>IF(AND(AH3=0,AH4=0,AH5=0),WLS*(AG5-AG4),IF(AND(AG5-AG4=AG4-AG3,AG4&lt;&gt;AG5,AG3&lt;&gt;AG4,AG3&lt;&gt;AG5,AH5&lt;&gt;0,OR(AH3&lt;&gt;0,AH4&lt;&gt;0)),WLS*(AG5-AG4),"#NA"))</f>
        <v>#VALUE!</v>
      </c>
    </row>
    <row r="4" spans="1:46" x14ac:dyDescent="0.25">
      <c r="A4">
        <v>1</v>
      </c>
      <c r="B4" s="80">
        <f t="shared" ref="B4:B28" si="2">VLOOKUP(Stn_WL,OFFSET_A,A4+1,FALSE)</f>
        <v>0</v>
      </c>
      <c r="C4" s="81">
        <f t="shared" ref="C4:C28" si="3">VLOOKUP(Station_No,OFFSET_A,A4+1,FALSE)</f>
        <v>0.4</v>
      </c>
      <c r="D4" s="81">
        <v>0</v>
      </c>
      <c r="E4" s="77">
        <v>0</v>
      </c>
      <c r="G4" t="s">
        <v>100</v>
      </c>
      <c r="H4" t="e">
        <f>Rise/WLS</f>
        <v>#VALUE!</v>
      </c>
      <c r="K4" t="str">
        <f>CONCATENATE("A(",H5,")=")</f>
        <v>A(#NA)=</v>
      </c>
      <c r="L4" t="e">
        <f>IFERROR(N18,N22)</f>
        <v>#VALUE!</v>
      </c>
      <c r="Q4" s="66" t="str">
        <f t="shared" si="0"/>
        <v>2nd_UWL</v>
      </c>
      <c r="R4" s="67" t="str">
        <f t="shared" si="0"/>
        <v>#NA</v>
      </c>
      <c r="S4" s="82" t="e">
        <f>IF((S2-S3)=S3-R5,R5,IF(S2-S3=S3-R6,R6,"-"))</f>
        <v>#VALUE!</v>
      </c>
      <c r="T4" s="83" t="e">
        <f>VLOOKUP(S4,STN_TABLE,2,FALSE)</f>
        <v>#VALUE!</v>
      </c>
      <c r="U4" s="83">
        <v>-1</v>
      </c>
      <c r="V4" s="83" t="e">
        <f>T4*U4</f>
        <v>#VALUE!</v>
      </c>
      <c r="W4" s="83">
        <v>-1</v>
      </c>
      <c r="X4" s="83" t="e">
        <f>T4*W4</f>
        <v>#VALUE!</v>
      </c>
      <c r="Y4" s="84" t="str">
        <f>CONCATENATE("a'(",S3,")=")</f>
        <v>a'(#NA)=</v>
      </c>
      <c r="Z4" s="85" t="e">
        <f>2*Z2/12*V5</f>
        <v>#VALUE!</v>
      </c>
      <c r="AA4" s="84" t="e">
        <f>CONCATENATE("A(",S2,")=")</f>
        <v>#VALUE!</v>
      </c>
      <c r="AB4" s="84" t="e">
        <f>IF(S2=RisePerWLS,0,VLOOKUP(S2,STN_TABLE,3,FALSE))</f>
        <v>#VALUE!</v>
      </c>
      <c r="AC4" t="str">
        <f>CONCATENATE("A(",S3,")=")</f>
        <v>A(#NA)=</v>
      </c>
      <c r="AD4" t="e">
        <f>Z4+AB4</f>
        <v>#VALUE!</v>
      </c>
      <c r="AE4" s="66" t="str">
        <f t="shared" si="1"/>
        <v>1st_UWL</v>
      </c>
      <c r="AF4" s="67" t="str">
        <f t="shared" si="1"/>
        <v>#NA</v>
      </c>
      <c r="AG4" s="80" t="e">
        <f>IF(OR(AF7-AF6=AF6-AF5,AF7-AF6=AF6-AF4,AF7-AF6=AF6-AF3),AF6,IF(OR(AF7-AF5=AF5-AF4,AF7-AF5=AF5-AF3),AF5,IF(AF7-AF4=AF4-AF3,AF4,"#NA")))</f>
        <v>#VALUE!</v>
      </c>
      <c r="AH4" s="77" t="e">
        <f>VLOOKUP(AG4,STN_TABLE,2,FALSE)</f>
        <v>#VALUE!</v>
      </c>
      <c r="AI4" s="77">
        <v>4</v>
      </c>
      <c r="AJ4" s="77" t="e">
        <f>AH4*AI4</f>
        <v>#VALUE!</v>
      </c>
      <c r="AK4" s="77" t="e">
        <f>AG4</f>
        <v>#VALUE!</v>
      </c>
      <c r="AL4" s="77" t="e">
        <f>AJ4*AK4</f>
        <v>#VALUE!</v>
      </c>
      <c r="AM4" s="78" t="s">
        <v>97</v>
      </c>
      <c r="AN4" s="78"/>
      <c r="AO4" s="78" t="s">
        <v>98</v>
      </c>
      <c r="AP4" s="78"/>
      <c r="AQ4" s="7" t="s">
        <v>99</v>
      </c>
      <c r="AR4" s="7"/>
      <c r="AS4" s="7"/>
      <c r="AT4" s="7"/>
    </row>
    <row r="5" spans="1:46" x14ac:dyDescent="0.25">
      <c r="A5">
        <v>2</v>
      </c>
      <c r="B5" s="80">
        <f t="shared" si="2"/>
        <v>0.25</v>
      </c>
      <c r="C5" s="81">
        <f t="shared" si="3"/>
        <v>1.21</v>
      </c>
      <c r="D5" s="81">
        <f t="shared" ref="D5:D28" si="4">IFERROR(VLOOKUP(CONCATENATE("A(",B5,")="),RESULT_TABLE,6,FALSE)," ")</f>
        <v>0.83250000000000002</v>
      </c>
      <c r="E5" s="77">
        <f t="shared" ref="E5:E28" si="5">IFERROR(VLOOKUP(CONCATENATE("M(",B5,")="),RESULT_TABLE,6,FALSE)," ")</f>
        <v>0.24187500000000001</v>
      </c>
      <c r="G5" t="s">
        <v>101</v>
      </c>
      <c r="H5" t="str">
        <f>VLOOKUP(Station_No,RISE_CALC,4,FALSE)</f>
        <v>#NA</v>
      </c>
      <c r="K5" t="str">
        <f>CONCATENATE("M(",H5,")=")</f>
        <v>M(#NA)=</v>
      </c>
      <c r="L5" t="e">
        <f>IFERROR(N19,N23)</f>
        <v>#VALUE!</v>
      </c>
      <c r="Q5" s="66" t="str">
        <f t="shared" si="0"/>
        <v>3rd_UWL</v>
      </c>
      <c r="R5" s="67" t="str">
        <f t="shared" si="0"/>
        <v>#NA</v>
      </c>
      <c r="V5" s="86" t="e">
        <f>SUM(V2:V4)</f>
        <v>#VALUE!</v>
      </c>
      <c r="X5" s="87" t="e">
        <f>SUM(X2:X4)</f>
        <v>#VALUE!</v>
      </c>
      <c r="Y5" s="84" t="str">
        <f>CONCATENATE("m'(",S3,")=")</f>
        <v>m'(#NA)=</v>
      </c>
      <c r="Z5" s="85" t="e">
        <f>(2*(Z2^2)/24*X5)+(Z4*S2*WLS)</f>
        <v>#VALUE!</v>
      </c>
      <c r="AA5" s="84" t="e">
        <f>CONCATENATE("M(",S2,")=")</f>
        <v>#VALUE!</v>
      </c>
      <c r="AB5" s="84" t="e">
        <f>IF(S2=RisePerWLS,0,VLOOKUP(S2,STN_TABLE,4,FALSE))</f>
        <v>#VALUE!</v>
      </c>
      <c r="AC5" t="str">
        <f>CONCATENATE("M(",S3,")=")</f>
        <v>M(#NA)=</v>
      </c>
      <c r="AD5" t="e">
        <f>Z5+AB5</f>
        <v>#VALUE!</v>
      </c>
      <c r="AE5" s="66" t="str">
        <f t="shared" si="1"/>
        <v>2nd_UWL</v>
      </c>
      <c r="AF5" s="67" t="str">
        <f t="shared" si="1"/>
        <v>#NA</v>
      </c>
      <c r="AG5" s="88" t="str">
        <f>AF7</f>
        <v>#NA</v>
      </c>
      <c r="AH5" s="83" t="e">
        <f>VLOOKUP(AG5,STN_TABLE,2,FALSE)</f>
        <v>#N/A</v>
      </c>
      <c r="AI5" s="83">
        <v>1</v>
      </c>
      <c r="AJ5" s="83" t="e">
        <f>AH5*AI5</f>
        <v>#N/A</v>
      </c>
      <c r="AK5" s="83" t="str">
        <f>AG5</f>
        <v>#NA</v>
      </c>
      <c r="AL5" s="83" t="e">
        <f>AJ5*AK5</f>
        <v>#N/A</v>
      </c>
      <c r="AM5" s="84" t="str">
        <f>CONCATENATE("a'(",AG5,")=")</f>
        <v>a'(#NA)=</v>
      </c>
      <c r="AN5" s="84" t="e">
        <f>2*AN3/3*AJ6</f>
        <v>#VALUE!</v>
      </c>
      <c r="AO5" s="84" t="e">
        <f>CONCATENATE("A(",AG3,")=")</f>
        <v>#VALUE!</v>
      </c>
      <c r="AP5" s="84" t="e">
        <f>IF(AG3=RisePerWLS,0,VLOOKUP(AG3,STN_TABLE,3,FALSE))</f>
        <v>#VALUE!</v>
      </c>
      <c r="AQ5" t="str">
        <f>CONCATENATE("A(",AG5,")=")</f>
        <v>A(#NA)=</v>
      </c>
      <c r="AR5" t="e">
        <f>AN5+AP5</f>
        <v>#VALUE!</v>
      </c>
    </row>
    <row r="6" spans="1:46" x14ac:dyDescent="0.25">
      <c r="A6">
        <v>3</v>
      </c>
      <c r="B6" s="80">
        <f t="shared" si="2"/>
        <v>0.5</v>
      </c>
      <c r="C6" s="81">
        <f t="shared" si="3"/>
        <v>1.69</v>
      </c>
      <c r="D6" s="81">
        <f t="shared" si="4"/>
        <v>2.3099999999999996</v>
      </c>
      <c r="E6" s="77">
        <f t="shared" si="5"/>
        <v>1.3699999999999997</v>
      </c>
      <c r="G6" t="s">
        <v>102</v>
      </c>
      <c r="H6" t="str">
        <f>VLOOKUP(Station_No,RISE_CALC,5,FALSE)</f>
        <v>#NA</v>
      </c>
      <c r="K6" t="str">
        <f>CONCATENATE("A(",H6,")=")</f>
        <v>A(#NA)=</v>
      </c>
      <c r="L6" t="e">
        <f>IFERROR(P27,IFERROR(X6,AD9))</f>
        <v>#VALUE!</v>
      </c>
      <c r="Q6" s="66" t="str">
        <f t="shared" si="0"/>
        <v>4th_UWL</v>
      </c>
      <c r="R6" s="67" t="str">
        <f t="shared" si="0"/>
        <v>#NA</v>
      </c>
      <c r="U6" t="s">
        <v>103</v>
      </c>
      <c r="W6" t="str">
        <f>CONCATENATE("A(",S3,")=")</f>
        <v>A(#NA)=</v>
      </c>
      <c r="X6" t="e">
        <f>IF(OR(AD4&lt;=0,AD5&lt;=0),AD9,AD4)</f>
        <v>#VALUE!</v>
      </c>
      <c r="AE6" s="66" t="str">
        <f t="shared" si="1"/>
        <v>3rd_UWL</v>
      </c>
      <c r="AF6" s="67" t="str">
        <f t="shared" si="1"/>
        <v>#NA</v>
      </c>
      <c r="AJ6" s="89" t="e">
        <f>SUM(AJ3:AJ5)</f>
        <v>#VALUE!</v>
      </c>
      <c r="AL6" s="89" t="e">
        <f>SUM(AL3:AL5)</f>
        <v>#VALUE!</v>
      </c>
      <c r="AM6" s="84" t="str">
        <f>CONCATENATE("m'(",AG5,")=")</f>
        <v>m'(#NA)=</v>
      </c>
      <c r="AN6" s="84" t="e">
        <f>2*(AN3*WLS)/3*AL6</f>
        <v>#VALUE!</v>
      </c>
      <c r="AO6" s="84" t="e">
        <f>CONCATENATE("M(",AG3,")=")</f>
        <v>#VALUE!</v>
      </c>
      <c r="AP6" s="84" t="e">
        <f>IF(AG3=RisePerWLS,0,VLOOKUP(AG3,STN_TABLE,4,FALSE))</f>
        <v>#VALUE!</v>
      </c>
      <c r="AQ6" t="str">
        <f>CONCATENATE("M(",AG5,")=")</f>
        <v>M(#NA)=</v>
      </c>
      <c r="AR6" t="e">
        <f>AN6+AP6</f>
        <v>#VALUE!</v>
      </c>
    </row>
    <row r="7" spans="1:46" x14ac:dyDescent="0.25">
      <c r="A7">
        <v>4</v>
      </c>
      <c r="B7" s="80">
        <f t="shared" si="2"/>
        <v>0.75</v>
      </c>
      <c r="C7" s="81">
        <f t="shared" si="3"/>
        <v>2.02</v>
      </c>
      <c r="D7" s="81">
        <f t="shared" si="4"/>
        <v>4.1624999999999996</v>
      </c>
      <c r="E7" s="77">
        <f t="shared" si="5"/>
        <v>3.7068749999999997</v>
      </c>
      <c r="G7" t="s">
        <v>104</v>
      </c>
      <c r="H7" t="str">
        <f>VLOOKUP(Station_No,RISE_CALC,6,FALSE)</f>
        <v>#NA</v>
      </c>
      <c r="K7" t="str">
        <f>CONCATENATE("M(",H6,")=")</f>
        <v>M(#NA)=</v>
      </c>
      <c r="L7" t="e">
        <f>IFERROR(P28,IFERROR(X7,AD10))</f>
        <v>#VALUE!</v>
      </c>
      <c r="Q7" s="66"/>
      <c r="R7" s="67"/>
      <c r="W7" t="str">
        <f>CONCATENATE("M(",S3,")=")</f>
        <v>M(#NA)=</v>
      </c>
      <c r="X7" t="e">
        <f>IF(OR(AD4&lt;=0,AD5&lt;=0),AD10,AD5)</f>
        <v>#VALUE!</v>
      </c>
      <c r="Y7" s="6" t="s">
        <v>93</v>
      </c>
      <c r="Z7" s="70" t="e">
        <f>WLS*(U9-U8)</f>
        <v>#VALUE!</v>
      </c>
      <c r="AE7" s="66" t="str">
        <f t="shared" si="1"/>
        <v>4th_UWL</v>
      </c>
      <c r="AF7" s="67" t="str">
        <f t="shared" si="1"/>
        <v>#NA</v>
      </c>
      <c r="AH7" s="81"/>
    </row>
    <row r="8" spans="1:46" x14ac:dyDescent="0.25">
      <c r="A8">
        <v>5</v>
      </c>
      <c r="B8" s="80">
        <f t="shared" si="2"/>
        <v>1</v>
      </c>
      <c r="C8" s="81">
        <f t="shared" si="3"/>
        <v>2.29</v>
      </c>
      <c r="D8" s="81">
        <f t="shared" si="4"/>
        <v>6.3299999999999992</v>
      </c>
      <c r="E8" s="77">
        <f t="shared" si="5"/>
        <v>7.5</v>
      </c>
      <c r="G8" t="s">
        <v>105</v>
      </c>
      <c r="H8" t="str">
        <f>VLOOKUP(Station_No,RISE_CALC,7,FALSE)</f>
        <v>#NA</v>
      </c>
      <c r="K8" t="str">
        <f>CONCATENATE("A(",H7,")=")</f>
        <v>A(#NA)=</v>
      </c>
      <c r="L8" t="e">
        <f>IFERROR(AD15,IFERROR(X24,AD27))</f>
        <v>#VALUE!</v>
      </c>
      <c r="Q8" s="80"/>
      <c r="R8" s="81"/>
      <c r="U8" s="79" t="str">
        <f>R3</f>
        <v>#NA</v>
      </c>
      <c r="V8" s="68" t="e">
        <f>VLOOKUP(U8,STN_TABLE,2,FALSE)</f>
        <v>#N/A</v>
      </c>
      <c r="W8" s="68">
        <v>1</v>
      </c>
      <c r="X8" s="69" t="e">
        <f>V8*W8</f>
        <v>#N/A</v>
      </c>
      <c r="Y8" s="78" t="s">
        <v>97</v>
      </c>
      <c r="Z8" s="78"/>
      <c r="AA8" s="78" t="s">
        <v>98</v>
      </c>
      <c r="AB8" s="78"/>
      <c r="AC8" s="7" t="s">
        <v>99</v>
      </c>
      <c r="AD8" s="7"/>
      <c r="AE8" s="66"/>
      <c r="AF8" s="67"/>
      <c r="AG8" s="68" t="e">
        <f>IF(OR(AF12-AF11=AF11-AF10,AF13-AF11=AF11-AF10),AF10,IF(OR(AF12-AF11=AF11-AF9,AF13-AF11=AF11-AF9),AF9,"-"))</f>
        <v>#VALUE!</v>
      </c>
      <c r="AH8" s="69" t="e">
        <f>IFERROR(VLOOKUP(AG8,STN_TABLE,2,FALSE),IF(AF8=RisePerWLS,0,"-"))</f>
        <v>#VALUE!</v>
      </c>
      <c r="AI8" s="69">
        <v>5</v>
      </c>
      <c r="AJ8" s="69" t="e">
        <f>AH8*AI8</f>
        <v>#VALUE!</v>
      </c>
      <c r="AK8" s="69">
        <v>3</v>
      </c>
      <c r="AL8" s="69" t="e">
        <f>AH8*AK8</f>
        <v>#VALUE!</v>
      </c>
      <c r="AM8" s="6" t="s">
        <v>93</v>
      </c>
      <c r="AN8" s="70" t="e">
        <f>IF(AND(AG10-AG9=AG9-AG8,NOT(AND(AG8=0,AG9=0)),NOT(AND(AG9=0,AG10=0))),WLS*(AG10-AG9),"#NA")</f>
        <v>#VALUE!</v>
      </c>
    </row>
    <row r="9" spans="1:46" x14ac:dyDescent="0.25">
      <c r="A9">
        <v>6</v>
      </c>
      <c r="B9" s="80">
        <f t="shared" si="2"/>
        <v>2</v>
      </c>
      <c r="C9" s="81">
        <f t="shared" si="3"/>
        <v>2.63</v>
      </c>
      <c r="D9" s="81">
        <f t="shared" si="4"/>
        <v>16.366666666666664</v>
      </c>
      <c r="E9" s="77">
        <f t="shared" si="5"/>
        <v>37.836666666666659</v>
      </c>
      <c r="G9" t="s">
        <v>106</v>
      </c>
      <c r="H9" t="str">
        <f>VLOOKUP(Station_No,RISE_CALC,8,FALSE)</f>
        <v>#NA</v>
      </c>
      <c r="K9" t="str">
        <f>CONCATENATE("M(",H7,")=")</f>
        <v>M(#NA)=</v>
      </c>
      <c r="L9" t="e">
        <f>IFERROR(AD16,IFERROR(X25,AD28))</f>
        <v>#VALUE!</v>
      </c>
      <c r="Q9" s="80"/>
      <c r="R9" s="81"/>
      <c r="U9" s="88" t="str">
        <f>R4</f>
        <v>#NA</v>
      </c>
      <c r="V9" s="82" t="e">
        <f>VLOOKUP(U9,STN_TABLE,2,FALSE)</f>
        <v>#N/A</v>
      </c>
      <c r="W9" s="82">
        <v>2</v>
      </c>
      <c r="X9" s="83" t="e">
        <f>V9*W9</f>
        <v>#N/A</v>
      </c>
      <c r="Y9" s="84" t="str">
        <f>CONCATENATE("a'(",U9,")=")</f>
        <v>a'(#NA)=</v>
      </c>
      <c r="Z9" s="84" t="e">
        <f>2*Z7/2*V10</f>
        <v>#VALUE!</v>
      </c>
      <c r="AA9" s="84" t="str">
        <f>CONCATENATE("A(",U8,")=")</f>
        <v>A(#NA)=</v>
      </c>
      <c r="AB9" s="84" t="e">
        <f>IF(U8=RisePerWLS,0,VLOOKUP(U8,STN_TABLE,3,FALSE))</f>
        <v>#VALUE!</v>
      </c>
      <c r="AC9" t="str">
        <f>CONCATENATE("A(",U9,")=")</f>
        <v>A(#NA)=</v>
      </c>
      <c r="AD9" t="e">
        <f>Z9+AB9</f>
        <v>#VALUE!</v>
      </c>
      <c r="AE9" s="66" t="str">
        <f t="shared" ref="AE9:AF13" si="6">G6</f>
        <v>2nd_UWL</v>
      </c>
      <c r="AF9" s="67" t="str">
        <f t="shared" si="6"/>
        <v>#NA</v>
      </c>
      <c r="AG9" s="76" t="str">
        <f>AF11</f>
        <v>#NA</v>
      </c>
      <c r="AH9" s="77" t="e">
        <f>VLOOKUP(AG9,STN_TABLE,2,FALSE)</f>
        <v>#N/A</v>
      </c>
      <c r="AI9" s="77">
        <v>8</v>
      </c>
      <c r="AJ9" s="77" t="e">
        <f>AH9*AI9</f>
        <v>#N/A</v>
      </c>
      <c r="AK9" s="77">
        <v>10</v>
      </c>
      <c r="AL9" s="77" t="e">
        <f>AH9*AK9</f>
        <v>#N/A</v>
      </c>
      <c r="AM9" s="78" t="s">
        <v>97</v>
      </c>
      <c r="AN9" s="78"/>
      <c r="AO9" s="78" t="s">
        <v>98</v>
      </c>
      <c r="AP9" s="78"/>
      <c r="AQ9" s="7" t="s">
        <v>99</v>
      </c>
      <c r="AR9" s="7"/>
      <c r="AS9" s="7"/>
      <c r="AT9" s="7"/>
    </row>
    <row r="10" spans="1:46" x14ac:dyDescent="0.25">
      <c r="A10">
        <v>7</v>
      </c>
      <c r="B10" s="80">
        <f t="shared" si="2"/>
        <v>3</v>
      </c>
      <c r="C10" s="81">
        <f t="shared" si="3"/>
        <v>2.38</v>
      </c>
      <c r="D10" s="81">
        <f t="shared" si="4"/>
        <v>26.583333333333329</v>
      </c>
      <c r="E10" s="77">
        <f t="shared" si="5"/>
        <v>88.75333333333333</v>
      </c>
      <c r="G10" t="s">
        <v>107</v>
      </c>
      <c r="H10" t="str">
        <f>VLOOKUP(Station_No,RISE_CALC,9,FALSE)</f>
        <v>#NA</v>
      </c>
      <c r="K10" t="str">
        <f>CONCATENATE("A(",H8,")=")</f>
        <v>A(#NA)=</v>
      </c>
      <c r="L10" t="e">
        <f>IFERROR(AR5,IFERROR(AL12,AR15))</f>
        <v>#VALUE!</v>
      </c>
      <c r="Q10" s="80"/>
      <c r="R10" s="81"/>
      <c r="V10" s="89" t="e">
        <f>SUM(V8:V9)</f>
        <v>#N/A</v>
      </c>
      <c r="X10" s="89" t="e">
        <f>SUM(X8:X9)</f>
        <v>#N/A</v>
      </c>
      <c r="Y10" s="84" t="str">
        <f>CONCATENATE("m'(",U9,")=")</f>
        <v>m'(#NA)=</v>
      </c>
      <c r="Z10" s="84" t="e">
        <f>(2*(Z7^2)/6*X10)+(Z9*U8*WLS)</f>
        <v>#VALUE!</v>
      </c>
      <c r="AA10" s="84" t="str">
        <f>CONCATENATE("M(",U8,")=")</f>
        <v>M(#NA)=</v>
      </c>
      <c r="AB10" s="84" t="e">
        <f>IF(U8=RisePerWLS,0,VLOOKUP(U8,STN_TABLE,4,FALSE))</f>
        <v>#VALUE!</v>
      </c>
      <c r="AC10" t="str">
        <f>CONCATENATE("M(",U9,")=")</f>
        <v>M(#NA)=</v>
      </c>
      <c r="AD10" t="e">
        <f>Z10+AB10</f>
        <v>#VALUE!</v>
      </c>
      <c r="AE10" s="66" t="str">
        <f t="shared" si="6"/>
        <v>3rd_UWL</v>
      </c>
      <c r="AF10" s="67" t="str">
        <f t="shared" si="6"/>
        <v>#NA</v>
      </c>
      <c r="AG10" s="82" t="e">
        <f>IF(AG8-AG9=AG9-AF12,AF12,IF(AG8-AG9=AG9-AF13,AF13,"-"))</f>
        <v>#VALUE!</v>
      </c>
      <c r="AH10" s="83" t="e">
        <f>VLOOKUP(AG10,STN_TABLE,2,FALSE)</f>
        <v>#VALUE!</v>
      </c>
      <c r="AI10" s="83">
        <v>-1</v>
      </c>
      <c r="AJ10" s="83" t="e">
        <f>AH10*AI10</f>
        <v>#VALUE!</v>
      </c>
      <c r="AK10" s="83">
        <v>-1</v>
      </c>
      <c r="AL10" s="83" t="e">
        <f>AH10*AK10</f>
        <v>#VALUE!</v>
      </c>
      <c r="AM10" s="84" t="str">
        <f>CONCATENATE("a'(",AG9,")=")</f>
        <v>a'(#NA)=</v>
      </c>
      <c r="AN10" s="84" t="e">
        <f>2*AN8/12*AJ11</f>
        <v>#VALUE!</v>
      </c>
      <c r="AO10" s="84" t="e">
        <f>CONCATENATE("A(",AG8,")=")</f>
        <v>#VALUE!</v>
      </c>
      <c r="AP10" s="84" t="e">
        <f>VLOOKUP(AG8,STN_TABLE,3,FALSE)</f>
        <v>#VALUE!</v>
      </c>
      <c r="AQ10" t="str">
        <f>CONCATENATE("A(",AG9,")=")</f>
        <v>A(#NA)=</v>
      </c>
      <c r="AR10" t="e">
        <f>AN10+AP10</f>
        <v>#VALUE!</v>
      </c>
    </row>
    <row r="11" spans="1:46" x14ac:dyDescent="0.25">
      <c r="A11">
        <v>8</v>
      </c>
      <c r="B11" s="80">
        <f t="shared" si="2"/>
        <v>4</v>
      </c>
      <c r="C11" s="81">
        <f t="shared" si="3"/>
        <v>2.25</v>
      </c>
      <c r="D11" s="81">
        <f t="shared" si="4"/>
        <v>35.566666666666663</v>
      </c>
      <c r="E11" s="77">
        <f t="shared" si="5"/>
        <v>152.02333333333331</v>
      </c>
      <c r="G11" t="s">
        <v>108</v>
      </c>
      <c r="H11" t="str">
        <f>VLOOKUP(Station_No,RISE_CALC,10,FALSE)</f>
        <v>#NA</v>
      </c>
      <c r="K11" t="str">
        <f>CONCATENATE("M(",H8,")=")</f>
        <v>M(#NA)=</v>
      </c>
      <c r="L11" t="e">
        <f>IFERROR(AR6,IFERROR(AL13,AR16))</f>
        <v>#VALUE!</v>
      </c>
      <c r="Q11" s="80"/>
      <c r="R11" s="81"/>
      <c r="AE11" s="66" t="str">
        <f t="shared" si="6"/>
        <v>4th_UWL</v>
      </c>
      <c r="AF11" s="67" t="str">
        <f t="shared" si="6"/>
        <v>#NA</v>
      </c>
      <c r="AJ11" s="89" t="e">
        <f>SUM(AJ8:AJ10)</f>
        <v>#VALUE!</v>
      </c>
      <c r="AL11" s="89" t="e">
        <f>SUM(AL8:AL10)</f>
        <v>#VALUE!</v>
      </c>
      <c r="AM11" s="84" t="str">
        <f>CONCATENATE("m'(",AG9,")=")</f>
        <v>m'(#NA)=</v>
      </c>
      <c r="AN11" s="84" t="e">
        <f>(2*(AN8^2)/24*AL11)+(AN10*AG8*WLS)</f>
        <v>#VALUE!</v>
      </c>
      <c r="AO11" s="84" t="e">
        <f>CONCATENATE("M(",AG8,")=")</f>
        <v>#VALUE!</v>
      </c>
      <c r="AP11" s="84" t="e">
        <f>VLOOKUP(AG8,STN_TABLE,4,FALSE)</f>
        <v>#VALUE!</v>
      </c>
      <c r="AQ11" t="str">
        <f>CONCATENATE("M(",AG9,")=")</f>
        <v>M(#NA)=</v>
      </c>
      <c r="AR11" t="e">
        <f>AN11+AP11</f>
        <v>#VALUE!</v>
      </c>
    </row>
    <row r="12" spans="1:46" x14ac:dyDescent="0.25">
      <c r="A12">
        <v>9</v>
      </c>
      <c r="B12" s="80">
        <f t="shared" si="2"/>
        <v>4.8499999999999996</v>
      </c>
      <c r="C12" s="81">
        <f t="shared" si="3"/>
        <v>2.42</v>
      </c>
      <c r="D12" s="81">
        <f t="shared" si="4"/>
        <v>43.505666666666656</v>
      </c>
      <c r="E12" s="77">
        <f t="shared" si="5"/>
        <v>222.3653666666666</v>
      </c>
      <c r="Q12" s="90" t="s">
        <v>109</v>
      </c>
      <c r="R12" s="81"/>
      <c r="AE12" s="66" t="str">
        <f t="shared" si="6"/>
        <v>5th_UWL</v>
      </c>
      <c r="AF12" s="67" t="str">
        <f t="shared" si="6"/>
        <v>#NA</v>
      </c>
      <c r="AI12" t="s">
        <v>103</v>
      </c>
      <c r="AK12" t="str">
        <f>CONCATENATE("A(",AG9,")=")</f>
        <v>A(#NA)=</v>
      </c>
      <c r="AL12" t="e">
        <f>IF(OR(AR10&lt;=0,AR11&lt;=0),AR15,AR10)</f>
        <v>#VALUE!</v>
      </c>
    </row>
    <row r="13" spans="1:46" x14ac:dyDescent="0.25">
      <c r="A13">
        <v>10</v>
      </c>
      <c r="B13" s="80">
        <f t="shared" si="2"/>
        <v>5</v>
      </c>
      <c r="C13" s="81">
        <f t="shared" si="3"/>
        <v>2.4962</v>
      </c>
      <c r="D13" s="81">
        <f t="shared" si="4"/>
        <v>45.084933333333325</v>
      </c>
      <c r="E13" s="77">
        <f t="shared" si="5"/>
        <v>237.07599999999999</v>
      </c>
      <c r="G13" s="71" t="s">
        <v>110</v>
      </c>
      <c r="Q13" s="66" t="str">
        <f t="shared" ref="Q13:R16" si="7">G4</f>
        <v>Rise</v>
      </c>
      <c r="R13" s="67" t="e">
        <f t="shared" si="7"/>
        <v>#VALUE!</v>
      </c>
      <c r="S13" s="68" t="e">
        <f>IF(R16-R15=R15-R14,R14,IF(R16-R14=R14-R13,R13,"-"))</f>
        <v>#VALUE!</v>
      </c>
      <c r="T13" s="69" t="e">
        <f>IFERROR(VLOOKUP(S13,STN_TABLE,2,FALSE),IF(R13=RisePerWLS,0,"-"))</f>
        <v>#VALUE!</v>
      </c>
      <c r="U13" s="69">
        <v>1</v>
      </c>
      <c r="V13" s="69" t="e">
        <f>T13*U13</f>
        <v>#VALUE!</v>
      </c>
      <c r="W13" s="69" t="e">
        <f>S13</f>
        <v>#VALUE!</v>
      </c>
      <c r="X13" s="69" t="e">
        <f>V13*W13</f>
        <v>#VALUE!</v>
      </c>
      <c r="Y13" s="6" t="s">
        <v>93</v>
      </c>
      <c r="Z13" s="70" t="e">
        <f>IF(AND(T13=0,T14=0,T15=0),WLS*(S15-S14),IF(AND(S15-S14=S14-S13,S14&lt;&gt;S15,S13&lt;&gt;S14,S13&lt;&gt;S15,T15&lt;&gt;0,OR(T13&lt;&gt;0,T14&lt;&gt;0)),WLS*(S15-S14),"#NA"))</f>
        <v>#VALUE!</v>
      </c>
      <c r="AE13" s="66" t="str">
        <f t="shared" si="6"/>
        <v>6th_UWL</v>
      </c>
      <c r="AF13" s="67" t="str">
        <f t="shared" si="6"/>
        <v>#NA</v>
      </c>
      <c r="AK13" t="str">
        <f>CONCATENATE("M(",AG9,")=")</f>
        <v>M(#NA)=</v>
      </c>
      <c r="AL13" t="e">
        <f>IF(OR(AR10&lt;=0,AR11&lt;=0),AR16,AR11)</f>
        <v>#VALUE!</v>
      </c>
      <c r="AM13" s="6" t="s">
        <v>93</v>
      </c>
      <c r="AN13" s="70" t="e">
        <f>WLS*(AI15-AI14)</f>
        <v>#VALUE!</v>
      </c>
    </row>
    <row r="14" spans="1:46" x14ac:dyDescent="0.25">
      <c r="A14">
        <v>11</v>
      </c>
      <c r="B14" s="80">
        <f t="shared" si="2"/>
        <v>6</v>
      </c>
      <c r="C14" s="81">
        <f t="shared" si="3"/>
        <v>3.19</v>
      </c>
      <c r="D14" s="81">
        <f t="shared" si="4"/>
        <v>56.133066666666664</v>
      </c>
      <c r="E14" s="77">
        <f t="shared" si="5"/>
        <v>360.19399999999996</v>
      </c>
      <c r="G14" s="91" t="str">
        <f>G4</f>
        <v>Rise</v>
      </c>
      <c r="H14" s="91" t="e">
        <f>RisePerWLS</f>
        <v>#VALUE!</v>
      </c>
      <c r="I14" s="68" t="e">
        <f>H14</f>
        <v>#VALUE!</v>
      </c>
      <c r="J14" s="69">
        <v>0</v>
      </c>
      <c r="K14" s="69">
        <v>5</v>
      </c>
      <c r="L14" s="69">
        <f>J14*K14</f>
        <v>0</v>
      </c>
      <c r="M14" s="69">
        <v>3</v>
      </c>
      <c r="N14" s="69">
        <f>J14*M14</f>
        <v>0</v>
      </c>
      <c r="O14" t="s">
        <v>93</v>
      </c>
      <c r="P14" t="e">
        <f>IF(AND(NOT(AND(J14=0,J15=0)),I14&lt;&gt;I15,I15&lt;&gt;I16,I16-I15=I15-I14),(I16-I15)*WLS,"#NA")</f>
        <v>#N/A</v>
      </c>
      <c r="Q14" s="66" t="str">
        <f t="shared" si="7"/>
        <v>1st_UWL</v>
      </c>
      <c r="R14" s="67" t="str">
        <f t="shared" si="7"/>
        <v>#NA</v>
      </c>
      <c r="S14" s="76" t="e">
        <f>IF(R16-R15=R15-R14,R15,IF(R16-R14=R14-R13,R14,"-"))</f>
        <v>#VALUE!</v>
      </c>
      <c r="T14" s="77" t="e">
        <f>VLOOKUP(S14,STN_TABLE,2,FALSE)</f>
        <v>#VALUE!</v>
      </c>
      <c r="U14" s="77">
        <v>4</v>
      </c>
      <c r="V14" s="77" t="e">
        <f>T14*U14</f>
        <v>#VALUE!</v>
      </c>
      <c r="W14" s="77" t="e">
        <f>S14</f>
        <v>#VALUE!</v>
      </c>
      <c r="X14" s="77" t="e">
        <f>V14*W14</f>
        <v>#VALUE!</v>
      </c>
      <c r="Y14" s="78" t="s">
        <v>97</v>
      </c>
      <c r="Z14" s="78"/>
      <c r="AA14" s="78" t="s">
        <v>98</v>
      </c>
      <c r="AB14" s="78"/>
      <c r="AC14" s="7" t="s">
        <v>99</v>
      </c>
      <c r="AD14" s="7"/>
      <c r="AE14" s="66"/>
      <c r="AF14" s="67"/>
      <c r="AI14" s="79" t="str">
        <f>AF10</f>
        <v>#NA</v>
      </c>
      <c r="AJ14" s="68" t="e">
        <f>VLOOKUP(AI14,STN_TABLE,2,FALSE)</f>
        <v>#N/A</v>
      </c>
      <c r="AK14" s="68">
        <v>1</v>
      </c>
      <c r="AL14" s="69" t="e">
        <f>AJ14*AK14</f>
        <v>#N/A</v>
      </c>
      <c r="AM14" s="78" t="s">
        <v>97</v>
      </c>
      <c r="AN14" s="78"/>
      <c r="AO14" s="78" t="s">
        <v>98</v>
      </c>
      <c r="AP14" s="78"/>
      <c r="AQ14" s="7" t="s">
        <v>99</v>
      </c>
      <c r="AR14" s="7"/>
      <c r="AS14" s="7"/>
      <c r="AT14" s="7"/>
    </row>
    <row r="15" spans="1:46" x14ac:dyDescent="0.25">
      <c r="A15">
        <v>12</v>
      </c>
      <c r="B15" s="80">
        <f t="shared" si="2"/>
        <v>6.5</v>
      </c>
      <c r="C15" s="81">
        <f t="shared" si="3"/>
        <v>3.63</v>
      </c>
      <c r="D15" s="81">
        <f t="shared" si="4"/>
        <v>62.953066666666665</v>
      </c>
      <c r="E15" s="77">
        <f t="shared" si="5"/>
        <v>445.51733333333328</v>
      </c>
      <c r="G15" s="91" t="str">
        <f>G5</f>
        <v>1st_UWL</v>
      </c>
      <c r="H15" s="91" t="str">
        <f>H5</f>
        <v>#NA</v>
      </c>
      <c r="I15" s="76" t="str">
        <f>H15</f>
        <v>#NA</v>
      </c>
      <c r="J15" s="77" t="e">
        <f>VLOOKUP(I15,STN_TABLE,2,FALSE)</f>
        <v>#N/A</v>
      </c>
      <c r="K15" s="77">
        <v>8</v>
      </c>
      <c r="L15" s="77" t="e">
        <f>J15*K15</f>
        <v>#N/A</v>
      </c>
      <c r="M15" s="77">
        <v>10</v>
      </c>
      <c r="N15" s="77" t="e">
        <f>J15*M15</f>
        <v>#N/A</v>
      </c>
      <c r="O15" t="str">
        <f>CONCATENATE("A(",I15,")=")</f>
        <v>A(#NA)=</v>
      </c>
      <c r="P15" t="e">
        <f>2*P14/12*L17</f>
        <v>#N/A</v>
      </c>
      <c r="Q15" s="66" t="str">
        <f t="shared" si="7"/>
        <v>2nd_UWL</v>
      </c>
      <c r="R15" s="67" t="str">
        <f t="shared" si="7"/>
        <v>#NA</v>
      </c>
      <c r="S15" s="82" t="str">
        <f>R16</f>
        <v>#NA</v>
      </c>
      <c r="T15" s="83" t="e">
        <f>VLOOKUP(S15,STN_TABLE,2,FALSE)</f>
        <v>#N/A</v>
      </c>
      <c r="U15" s="83">
        <v>1</v>
      </c>
      <c r="V15" s="83" t="e">
        <f>T15*U15</f>
        <v>#N/A</v>
      </c>
      <c r="W15" s="83" t="str">
        <f>S15</f>
        <v>#NA</v>
      </c>
      <c r="X15" s="83" t="e">
        <f>V15*W15</f>
        <v>#N/A</v>
      </c>
      <c r="Y15" s="84" t="str">
        <f>CONCATENATE("a'(",S15,")=")</f>
        <v>a'(#NA)=</v>
      </c>
      <c r="Z15" s="84" t="e">
        <f>2*Z13/3*V16</f>
        <v>#VALUE!</v>
      </c>
      <c r="AA15" s="84" t="e">
        <f>CONCATENATE("A(",S13,")=")</f>
        <v>#VALUE!</v>
      </c>
      <c r="AB15" s="84" t="e">
        <f>IF(S13=RisePerWLS,0,VLOOKUP(S13,STN_TABLE,3,FALSE))</f>
        <v>#VALUE!</v>
      </c>
      <c r="AC15" t="str">
        <f>CONCATENATE("A(",S15,")=")</f>
        <v>A(#NA)=</v>
      </c>
      <c r="AD15" t="e">
        <f>Z15+AB15</f>
        <v>#VALUE!</v>
      </c>
      <c r="AE15" s="80"/>
      <c r="AI15" s="88" t="str">
        <f>AF11</f>
        <v>#NA</v>
      </c>
      <c r="AJ15" s="82" t="e">
        <f>VLOOKUP(AI15,STN_TABLE,2,FALSE)</f>
        <v>#N/A</v>
      </c>
      <c r="AK15" s="82">
        <v>2</v>
      </c>
      <c r="AL15" s="83" t="e">
        <f>AJ15*AK15</f>
        <v>#N/A</v>
      </c>
      <c r="AM15" s="84" t="str">
        <f>CONCATENATE("a'(",AI15,")=")</f>
        <v>a'(#NA)=</v>
      </c>
      <c r="AN15" s="84" t="e">
        <f>2*AN13/2*AJ16</f>
        <v>#VALUE!</v>
      </c>
      <c r="AO15" s="84" t="str">
        <f>CONCATENATE("A(",AI14,")=")</f>
        <v>A(#NA)=</v>
      </c>
      <c r="AP15" s="84" t="e">
        <f>IF(AI14=RisePerWLS,0,VLOOKUP(AI14,STN_TABLE,3,FALSE))</f>
        <v>#VALUE!</v>
      </c>
      <c r="AQ15" t="str">
        <f>CONCATENATE("A(",AI15,")=")</f>
        <v>A(#NA)=</v>
      </c>
      <c r="AR15" t="e">
        <f>AN15+AP15</f>
        <v>#VALUE!</v>
      </c>
    </row>
    <row r="16" spans="1:46" x14ac:dyDescent="0.25">
      <c r="A16">
        <v>13</v>
      </c>
      <c r="B16" s="80" t="str">
        <f t="shared" si="2"/>
        <v xml:space="preserve">  </v>
      </c>
      <c r="C16" s="81" t="str">
        <f t="shared" si="3"/>
        <v xml:space="preserve">  </v>
      </c>
      <c r="D16" s="81" t="str">
        <f t="shared" si="4"/>
        <v xml:space="preserve"> </v>
      </c>
      <c r="E16" s="77" t="str">
        <f t="shared" si="5"/>
        <v xml:space="preserve"> </v>
      </c>
      <c r="G16" s="91" t="str">
        <f>G6</f>
        <v>2nd_UWL</v>
      </c>
      <c r="H16" s="91" t="str">
        <f>H6</f>
        <v>#NA</v>
      </c>
      <c r="I16" s="82" t="e">
        <f>IF(H16-H15=H15-H14,H16,"#NA")</f>
        <v>#VALUE!</v>
      </c>
      <c r="J16" s="83" t="e">
        <f>VLOOKUP(I16,STN_TABLE,2,FALSE)</f>
        <v>#VALUE!</v>
      </c>
      <c r="K16" s="83">
        <v>-1</v>
      </c>
      <c r="L16" s="83" t="e">
        <f>J16*K16</f>
        <v>#VALUE!</v>
      </c>
      <c r="M16" s="83">
        <v>-1</v>
      </c>
      <c r="N16" s="83" t="e">
        <f>J16*M16</f>
        <v>#VALUE!</v>
      </c>
      <c r="O16" t="str">
        <f>CONCATENATE("M(",I15,")=")</f>
        <v>M(#NA)=</v>
      </c>
      <c r="P16" t="e">
        <f>(2*(P14^2)/24*N17)+P15*I14*WLS</f>
        <v>#N/A</v>
      </c>
      <c r="Q16" s="66" t="str">
        <f t="shared" si="7"/>
        <v>3rd_UWL</v>
      </c>
      <c r="R16" s="67" t="str">
        <f t="shared" si="7"/>
        <v>#NA</v>
      </c>
      <c r="V16" s="89" t="e">
        <f>SUM(V13:V15)</f>
        <v>#VALUE!</v>
      </c>
      <c r="X16" s="89" t="e">
        <f>SUM(X13:X15)</f>
        <v>#VALUE!</v>
      </c>
      <c r="Y16" s="84" t="str">
        <f>CONCATENATE("m'(",S15,")=")</f>
        <v>m'(#NA)=</v>
      </c>
      <c r="Z16" s="84" t="e">
        <f>2*(Z13*WLS)/3*X16</f>
        <v>#VALUE!</v>
      </c>
      <c r="AA16" s="84" t="e">
        <f>CONCATENATE("M(",S13,")=")</f>
        <v>#VALUE!</v>
      </c>
      <c r="AB16" s="84" t="e">
        <f>IF(S13=RisePerWLS,0,VLOOKUP(S13,STN_TABLE,4,FALSE))</f>
        <v>#VALUE!</v>
      </c>
      <c r="AC16" t="str">
        <f>CONCATENATE("M(",S15,")=")</f>
        <v>M(#NA)=</v>
      </c>
      <c r="AD16" t="e">
        <f>Z16+AB16</f>
        <v>#VALUE!</v>
      </c>
      <c r="AE16" s="80"/>
      <c r="AJ16" s="89" t="e">
        <f>SUM(AJ14:AJ15)</f>
        <v>#N/A</v>
      </c>
      <c r="AL16" s="89" t="e">
        <f>SUM(AL14:AL15)</f>
        <v>#N/A</v>
      </c>
      <c r="AM16" s="84" t="str">
        <f>CONCATENATE("m'(",AI15,")=")</f>
        <v>m'(#NA)=</v>
      </c>
      <c r="AN16" s="84" t="e">
        <f>(2*(AN13^2)/6*AL16)+(AN15*AI14*WLS)</f>
        <v>#VALUE!</v>
      </c>
      <c r="AO16" s="84" t="str">
        <f>CONCATENATE("M(",AI14,")=")</f>
        <v>M(#NA)=</v>
      </c>
      <c r="AP16" s="84" t="e">
        <f>IF(AI14=RisePerWLS,0,VLOOKUP(AI14,STN_TABLE,4,FALSE))</f>
        <v>#VALUE!</v>
      </c>
      <c r="AQ16" t="str">
        <f>CONCATENATE("M(",AI15,")=")</f>
        <v>M(#NA)=</v>
      </c>
      <c r="AR16" t="e">
        <f>AN16+AP16</f>
        <v>#VALUE!</v>
      </c>
    </row>
    <row r="17" spans="1:35" x14ac:dyDescent="0.25">
      <c r="A17">
        <v>14</v>
      </c>
      <c r="B17" s="80" t="str">
        <f t="shared" si="2"/>
        <v xml:space="preserve">  </v>
      </c>
      <c r="C17" s="81" t="str">
        <f t="shared" si="3"/>
        <v xml:space="preserve">  </v>
      </c>
      <c r="D17" s="81" t="str">
        <f t="shared" si="4"/>
        <v xml:space="preserve"> </v>
      </c>
      <c r="E17" s="77" t="str">
        <f t="shared" si="5"/>
        <v xml:space="preserve"> </v>
      </c>
      <c r="G17" s="91"/>
      <c r="H17" s="91"/>
      <c r="L17" s="89" t="e">
        <f>SUM(L14:L16)</f>
        <v>#N/A</v>
      </c>
      <c r="N17" s="89" t="e">
        <f>SUM(N14:N16)</f>
        <v>#N/A</v>
      </c>
      <c r="Q17" s="66"/>
      <c r="R17" s="67"/>
      <c r="AE17" s="90"/>
    </row>
    <row r="18" spans="1:35" x14ac:dyDescent="0.25">
      <c r="A18">
        <v>15</v>
      </c>
      <c r="B18" s="80" t="str">
        <f t="shared" si="2"/>
        <v xml:space="preserve">  </v>
      </c>
      <c r="C18" s="81" t="str">
        <f t="shared" si="3"/>
        <v xml:space="preserve">  </v>
      </c>
      <c r="D18" s="81" t="str">
        <f t="shared" si="4"/>
        <v xml:space="preserve"> </v>
      </c>
      <c r="E18" s="77" t="str">
        <f t="shared" si="5"/>
        <v xml:space="preserve"> </v>
      </c>
      <c r="G18" s="91"/>
      <c r="H18" s="91"/>
      <c r="K18" t="s">
        <v>103</v>
      </c>
      <c r="M18" t="str">
        <f>CONCATENATE("A(",I15,")=")</f>
        <v>A(#NA)=</v>
      </c>
      <c r="N18" t="e">
        <f>IF(OR(P15&lt;=0,P16&lt;=0),N22,P15)</f>
        <v>#N/A</v>
      </c>
      <c r="Q18" s="66"/>
      <c r="R18" s="67"/>
      <c r="AE18" s="80"/>
    </row>
    <row r="19" spans="1:35" x14ac:dyDescent="0.25">
      <c r="A19">
        <v>16</v>
      </c>
      <c r="B19" s="80" t="str">
        <f t="shared" si="2"/>
        <v xml:space="preserve">  </v>
      </c>
      <c r="C19" s="81" t="str">
        <f t="shared" si="3"/>
        <v xml:space="preserve">  </v>
      </c>
      <c r="D19" s="81" t="str">
        <f t="shared" si="4"/>
        <v xml:space="preserve"> </v>
      </c>
      <c r="E19" s="77" t="str">
        <f t="shared" si="5"/>
        <v xml:space="preserve"> </v>
      </c>
      <c r="G19" s="91"/>
      <c r="H19" s="91"/>
      <c r="M19" t="str">
        <f>CONCATENATE("M(",I15,")=")</f>
        <v>M(#NA)=</v>
      </c>
      <c r="N19" t="e">
        <f>IF(OR(P15&lt;=0,P16&lt;=0),N23,P16)</f>
        <v>#N/A</v>
      </c>
      <c r="Q19" s="66"/>
      <c r="R19" s="67"/>
      <c r="AE19" s="80"/>
    </row>
    <row r="20" spans="1:35" x14ac:dyDescent="0.25">
      <c r="A20">
        <v>17</v>
      </c>
      <c r="B20" s="80" t="str">
        <f t="shared" si="2"/>
        <v xml:space="preserve">  </v>
      </c>
      <c r="C20" s="81" t="str">
        <f t="shared" si="3"/>
        <v xml:space="preserve">  </v>
      </c>
      <c r="D20" s="81" t="str">
        <f t="shared" si="4"/>
        <v xml:space="preserve"> </v>
      </c>
      <c r="E20" s="77" t="str">
        <f t="shared" si="5"/>
        <v xml:space="preserve"> </v>
      </c>
      <c r="G20" s="91"/>
      <c r="H20" s="91"/>
      <c r="Q20" s="66"/>
      <c r="R20" s="67"/>
      <c r="S20" s="68" t="e">
        <f>IF(OR(R24-R23=R23-R22,R25-R23=R23-R22),R22,IF(OR(R24-R23=R23-R21,R25-R23=R23-R21),R21,"-"))</f>
        <v>#VALUE!</v>
      </c>
      <c r="T20" s="69" t="e">
        <f>IFERROR(VLOOKUP(S20,STN_TABLE,2,FALSE),IF(R20=RisePerWLS,0,"-"))</f>
        <v>#VALUE!</v>
      </c>
      <c r="U20" s="69">
        <v>5</v>
      </c>
      <c r="V20" s="69" t="e">
        <f>T20*U20</f>
        <v>#VALUE!</v>
      </c>
      <c r="W20" s="69">
        <v>3</v>
      </c>
      <c r="X20" s="69" t="e">
        <f>T20*W20</f>
        <v>#VALUE!</v>
      </c>
      <c r="Y20" s="6" t="s">
        <v>93</v>
      </c>
      <c r="Z20" s="70" t="e">
        <f>IF(AND(S22-S21=S21-S20,NOT(AND(S20=0,S21=0)),NOT(AND(S21=0,S22=0))),WLS*(S22-S21),"#NA")</f>
        <v>#VALUE!</v>
      </c>
      <c r="AE20" s="80"/>
    </row>
    <row r="21" spans="1:35" x14ac:dyDescent="0.25">
      <c r="A21">
        <v>18</v>
      </c>
      <c r="B21" s="80" t="str">
        <f t="shared" si="2"/>
        <v xml:space="preserve">  </v>
      </c>
      <c r="C21" s="81" t="str">
        <f t="shared" si="3"/>
        <v xml:space="preserve">  </v>
      </c>
      <c r="D21" s="81" t="str">
        <f t="shared" si="4"/>
        <v xml:space="preserve"> </v>
      </c>
      <c r="E21" s="77" t="str">
        <f t="shared" si="5"/>
        <v xml:space="preserve"> </v>
      </c>
      <c r="G21" s="91"/>
      <c r="H21" s="91" t="str">
        <f>G14</f>
        <v>Rise</v>
      </c>
      <c r="I21" s="79" t="e">
        <f>H14</f>
        <v>#VALUE!</v>
      </c>
      <c r="J21" s="68">
        <v>0</v>
      </c>
      <c r="K21" s="68">
        <v>1</v>
      </c>
      <c r="L21" s="69">
        <f>J21*K21</f>
        <v>0</v>
      </c>
      <c r="M21" t="s">
        <v>93</v>
      </c>
      <c r="N21" t="e">
        <f>(I22-I21)*WLS</f>
        <v>#VALUE!</v>
      </c>
      <c r="Q21" s="66" t="str">
        <f t="shared" ref="Q21:R25" si="8">G5</f>
        <v>1st_UWL</v>
      </c>
      <c r="R21" s="67" t="str">
        <f t="shared" si="8"/>
        <v>#NA</v>
      </c>
      <c r="S21" s="76" t="str">
        <f>R23</f>
        <v>#NA</v>
      </c>
      <c r="T21" s="77" t="e">
        <f>VLOOKUP(S21,STN_TABLE,2,FALSE)</f>
        <v>#N/A</v>
      </c>
      <c r="U21" s="77">
        <v>8</v>
      </c>
      <c r="V21" s="77" t="e">
        <f>T21*U21</f>
        <v>#N/A</v>
      </c>
      <c r="W21" s="77">
        <v>10</v>
      </c>
      <c r="X21" s="77" t="e">
        <f>T21*W21</f>
        <v>#N/A</v>
      </c>
      <c r="Y21" s="78" t="s">
        <v>97</v>
      </c>
      <c r="Z21" s="78"/>
      <c r="AA21" s="78" t="s">
        <v>98</v>
      </c>
      <c r="AB21" s="78"/>
      <c r="AC21" s="7" t="s">
        <v>99</v>
      </c>
      <c r="AD21" s="7"/>
      <c r="AE21" s="80"/>
    </row>
    <row r="22" spans="1:35" x14ac:dyDescent="0.25">
      <c r="A22">
        <v>19</v>
      </c>
      <c r="B22" s="80" t="str">
        <f t="shared" si="2"/>
        <v xml:space="preserve">  </v>
      </c>
      <c r="C22" s="81" t="str">
        <f t="shared" si="3"/>
        <v xml:space="preserve">  </v>
      </c>
      <c r="D22" s="81" t="str">
        <f t="shared" si="4"/>
        <v xml:space="preserve"> </v>
      </c>
      <c r="E22" s="77" t="str">
        <f t="shared" si="5"/>
        <v xml:space="preserve"> </v>
      </c>
      <c r="G22" s="91"/>
      <c r="H22" s="91" t="str">
        <f>G15</f>
        <v>1st_UWL</v>
      </c>
      <c r="I22" s="88" t="str">
        <f>H15</f>
        <v>#NA</v>
      </c>
      <c r="J22" s="82" t="e">
        <f>VLOOKUP(I22,STN_TABLE,2,FALSE)</f>
        <v>#N/A</v>
      </c>
      <c r="K22" s="82">
        <v>2</v>
      </c>
      <c r="L22" s="83" t="e">
        <f>J22*K22</f>
        <v>#N/A</v>
      </c>
      <c r="M22" t="str">
        <f>CONCATENATE("A(",I22,")=")</f>
        <v>A(#NA)=</v>
      </c>
      <c r="N22" t="e">
        <f>2*N21/2*J23</f>
        <v>#VALUE!</v>
      </c>
      <c r="Q22" s="66" t="str">
        <f t="shared" si="8"/>
        <v>2nd_UWL</v>
      </c>
      <c r="R22" s="67" t="str">
        <f t="shared" si="8"/>
        <v>#NA</v>
      </c>
      <c r="S22" s="82" t="e">
        <f>IF(S20-S21=S21-R24,R24,IF(S20-S21=S21-R25,R25,"-"))</f>
        <v>#VALUE!</v>
      </c>
      <c r="T22" s="83" t="e">
        <f>VLOOKUP(S22,STN_TABLE,2,FALSE)</f>
        <v>#VALUE!</v>
      </c>
      <c r="U22" s="83">
        <v>-1</v>
      </c>
      <c r="V22" s="83" t="e">
        <f>T22*U22</f>
        <v>#VALUE!</v>
      </c>
      <c r="W22" s="83">
        <v>-1</v>
      </c>
      <c r="X22" s="83" t="e">
        <f>T22*W22</f>
        <v>#VALUE!</v>
      </c>
      <c r="Y22" s="84" t="str">
        <f>CONCATENATE("a'(",S21,")=")</f>
        <v>a'(#NA)=</v>
      </c>
      <c r="Z22" s="84" t="e">
        <f>2*Z20/12*V23</f>
        <v>#VALUE!</v>
      </c>
      <c r="AA22" s="84" t="e">
        <f>CONCATENATE("A(",S20,")=")</f>
        <v>#VALUE!</v>
      </c>
      <c r="AB22" s="84" t="e">
        <f>IF(S20=RisePerWLS,0,VLOOKUP(S20,STN_TABLE,3,FALSE))</f>
        <v>#VALUE!</v>
      </c>
      <c r="AC22" t="str">
        <f>CONCATENATE("A(",S21,")=")</f>
        <v>A(#NA)=</v>
      </c>
      <c r="AD22" t="e">
        <f>Z22+AB22</f>
        <v>#VALUE!</v>
      </c>
      <c r="AE22" s="80"/>
    </row>
    <row r="23" spans="1:35" x14ac:dyDescent="0.25">
      <c r="A23">
        <v>20</v>
      </c>
      <c r="B23" s="80" t="str">
        <f t="shared" si="2"/>
        <v xml:space="preserve">  </v>
      </c>
      <c r="C23" s="81" t="str">
        <f t="shared" si="3"/>
        <v xml:space="preserve">  </v>
      </c>
      <c r="D23" s="81" t="str">
        <f t="shared" si="4"/>
        <v xml:space="preserve"> </v>
      </c>
      <c r="E23" s="77" t="str">
        <f t="shared" si="5"/>
        <v xml:space="preserve"> </v>
      </c>
      <c r="J23" s="89" t="e">
        <f>SUM(J21:J22)</f>
        <v>#N/A</v>
      </c>
      <c r="L23" s="89" t="e">
        <f>SUM(L21:L22)</f>
        <v>#N/A</v>
      </c>
      <c r="M23" t="str">
        <f>CONCATENATE("M(",I22,")=")</f>
        <v>M(#NA)=</v>
      </c>
      <c r="N23" t="e">
        <f>(2*(N21^2)/6*L23)+N22*I21*WLS</f>
        <v>#VALUE!</v>
      </c>
      <c r="Q23" s="66" t="str">
        <f t="shared" si="8"/>
        <v>3rd_UWL</v>
      </c>
      <c r="R23" s="67" t="str">
        <f t="shared" si="8"/>
        <v>#NA</v>
      </c>
      <c r="V23" s="89" t="e">
        <f>SUM(V20:V22)</f>
        <v>#VALUE!</v>
      </c>
      <c r="X23" s="89" t="e">
        <f>SUM(X20:X22)</f>
        <v>#VALUE!</v>
      </c>
      <c r="Y23" s="84" t="str">
        <f>CONCATENATE("m'(",S21,")=")</f>
        <v>m'(#NA)=</v>
      </c>
      <c r="Z23" s="84" t="e">
        <f>(2*(Z20^2)/24*X23)+(Z22*S20*WLS)</f>
        <v>#VALUE!</v>
      </c>
      <c r="AA23" s="84" t="e">
        <f>CONCATENATE("M(",S20,")=")</f>
        <v>#VALUE!</v>
      </c>
      <c r="AB23" s="84" t="e">
        <f>IF(S20=RisePerWLS,0,VLOOKUP(S20,STN_TABLE,4,FALSE))</f>
        <v>#VALUE!</v>
      </c>
      <c r="AC23" t="str">
        <f>CONCATENATE("M(",S21,")=")</f>
        <v>M(#NA)=</v>
      </c>
      <c r="AD23" t="e">
        <f>Z23+AB23</f>
        <v>#VALUE!</v>
      </c>
      <c r="AE23" s="80"/>
    </row>
    <row r="24" spans="1:35" x14ac:dyDescent="0.25">
      <c r="A24">
        <v>21</v>
      </c>
      <c r="B24" s="80" t="str">
        <f t="shared" si="2"/>
        <v xml:space="preserve">  </v>
      </c>
      <c r="C24" s="81" t="str">
        <f t="shared" si="3"/>
        <v xml:space="preserve">  </v>
      </c>
      <c r="D24" s="81" t="str">
        <f t="shared" si="4"/>
        <v xml:space="preserve"> </v>
      </c>
      <c r="E24" s="77" t="str">
        <f t="shared" si="5"/>
        <v xml:space="preserve"> </v>
      </c>
      <c r="Q24" s="66" t="str">
        <f t="shared" si="8"/>
        <v>4th_UWL</v>
      </c>
      <c r="R24" s="67" t="str">
        <f t="shared" si="8"/>
        <v>#NA</v>
      </c>
      <c r="U24" t="s">
        <v>103</v>
      </c>
      <c r="W24" t="str">
        <f>CONCATENATE("A(",S21,")=")</f>
        <v>A(#NA)=</v>
      </c>
      <c r="X24" t="e">
        <f>IF(OR(AD22&lt;=0,AD23&lt;=0),AD27,AD22)</f>
        <v>#VALUE!</v>
      </c>
      <c r="AE24" s="80"/>
    </row>
    <row r="25" spans="1:35" x14ac:dyDescent="0.25">
      <c r="A25">
        <v>22</v>
      </c>
      <c r="B25" s="80" t="str">
        <f t="shared" si="2"/>
        <v xml:space="preserve">  </v>
      </c>
      <c r="C25" s="81" t="str">
        <f t="shared" si="3"/>
        <v xml:space="preserve">  </v>
      </c>
      <c r="D25" s="81" t="str">
        <f t="shared" si="4"/>
        <v xml:space="preserve"> </v>
      </c>
      <c r="E25" s="77" t="str">
        <f t="shared" si="5"/>
        <v xml:space="preserve"> </v>
      </c>
      <c r="G25" s="71" t="s">
        <v>111</v>
      </c>
      <c r="Q25" s="66" t="str">
        <f t="shared" si="8"/>
        <v>5th_UWL</v>
      </c>
      <c r="R25" s="67" t="str">
        <f t="shared" si="8"/>
        <v>#NA</v>
      </c>
      <c r="W25" t="str">
        <f>CONCATENATE("M(",S21,")=")</f>
        <v>M(#NA)=</v>
      </c>
      <c r="X25" t="e">
        <f>IF(OR(AD22&lt;=0,AD23&lt;=0),AD28,AD23)</f>
        <v>#VALUE!</v>
      </c>
      <c r="Y25" s="6" t="s">
        <v>93</v>
      </c>
      <c r="Z25" s="70" t="e">
        <f>WLS*(U27-U26)</f>
        <v>#VALUE!</v>
      </c>
      <c r="AE25" s="80"/>
    </row>
    <row r="26" spans="1:35" x14ac:dyDescent="0.25">
      <c r="A26">
        <v>23</v>
      </c>
      <c r="B26" s="80" t="str">
        <f t="shared" si="2"/>
        <v xml:space="preserve">  </v>
      </c>
      <c r="C26" s="81" t="str">
        <f t="shared" si="3"/>
        <v xml:space="preserve">  </v>
      </c>
      <c r="D26" s="81" t="str">
        <f t="shared" si="4"/>
        <v xml:space="preserve"> </v>
      </c>
      <c r="E26" s="77" t="str">
        <f t="shared" si="5"/>
        <v xml:space="preserve"> </v>
      </c>
      <c r="G26" s="91" t="str">
        <f t="shared" ref="G26:H28" si="9">G4</f>
        <v>Rise</v>
      </c>
      <c r="H26" s="91" t="e">
        <f t="shared" si="9"/>
        <v>#VALUE!</v>
      </c>
      <c r="I26" s="68" t="e">
        <f>H26</f>
        <v>#VALUE!</v>
      </c>
      <c r="J26" s="69">
        <v>0</v>
      </c>
      <c r="K26" s="69">
        <v>1</v>
      </c>
      <c r="L26" s="69">
        <f>J26*K26</f>
        <v>0</v>
      </c>
      <c r="M26" s="69" t="e">
        <f>I26</f>
        <v>#VALUE!</v>
      </c>
      <c r="N26" s="69" t="e">
        <f>L26*M26</f>
        <v>#VALUE!</v>
      </c>
      <c r="O26" t="s">
        <v>93</v>
      </c>
      <c r="P26" t="e">
        <f>IF(OR(J26=0,J27=0,J28=0),"#NA",IF(I28-I27=I27-I26,WLS*(I27-I26),"#NA"))</f>
        <v>#VALUE!</v>
      </c>
      <c r="Q26" s="66"/>
      <c r="R26" s="67"/>
      <c r="U26" s="79" t="str">
        <f>R22</f>
        <v>#NA</v>
      </c>
      <c r="V26" s="68" t="e">
        <f>VLOOKUP(U26,STN_TABLE,2,FALSE)</f>
        <v>#N/A</v>
      </c>
      <c r="W26" s="68">
        <v>1</v>
      </c>
      <c r="X26" s="69" t="e">
        <f>V26*W26</f>
        <v>#N/A</v>
      </c>
      <c r="Y26" s="78" t="s">
        <v>97</v>
      </c>
      <c r="Z26" s="78"/>
      <c r="AA26" s="78" t="s">
        <v>98</v>
      </c>
      <c r="AB26" s="78"/>
      <c r="AC26" s="7" t="s">
        <v>99</v>
      </c>
      <c r="AD26" s="7"/>
      <c r="AE26" s="80"/>
    </row>
    <row r="27" spans="1:35" x14ac:dyDescent="0.25">
      <c r="A27">
        <v>24</v>
      </c>
      <c r="B27" s="80" t="str">
        <f t="shared" si="2"/>
        <v xml:space="preserve">  </v>
      </c>
      <c r="C27" s="81" t="str">
        <f t="shared" si="3"/>
        <v xml:space="preserve">  </v>
      </c>
      <c r="D27" s="81" t="str">
        <f t="shared" si="4"/>
        <v xml:space="preserve"> </v>
      </c>
      <c r="E27" s="77" t="str">
        <f t="shared" si="5"/>
        <v xml:space="preserve"> </v>
      </c>
      <c r="G27" s="91" t="str">
        <f t="shared" si="9"/>
        <v>1st_UWL</v>
      </c>
      <c r="H27" s="91" t="str">
        <f t="shared" si="9"/>
        <v>#NA</v>
      </c>
      <c r="I27" s="76" t="e">
        <f>IF(H28-H27=H27-H26,H28,"#NA")</f>
        <v>#VALUE!</v>
      </c>
      <c r="J27" s="77" t="e">
        <f>VLOOKUP(I27,STN_TABLE,2,FALSE)</f>
        <v>#VALUE!</v>
      </c>
      <c r="K27" s="77">
        <v>4</v>
      </c>
      <c r="L27" s="77" t="e">
        <f>J27*K27</f>
        <v>#VALUE!</v>
      </c>
      <c r="M27" s="77" t="e">
        <f>I27</f>
        <v>#VALUE!</v>
      </c>
      <c r="N27" s="77" t="e">
        <f>L27*M27</f>
        <v>#VALUE!</v>
      </c>
      <c r="O27" t="e">
        <f>CONCATENATE("A(",I28,")=")</f>
        <v>#VALUE!</v>
      </c>
      <c r="P27" t="e">
        <f>2*P26/3*L29</f>
        <v>#VALUE!</v>
      </c>
      <c r="Q27" s="80"/>
      <c r="R27" s="81"/>
      <c r="U27" s="88" t="str">
        <f>R23</f>
        <v>#NA</v>
      </c>
      <c r="V27" s="82" t="e">
        <f>VLOOKUP(U27,STN_TABLE,2,FALSE)</f>
        <v>#N/A</v>
      </c>
      <c r="W27" s="82">
        <v>2</v>
      </c>
      <c r="X27" s="83" t="e">
        <f>V27*W27</f>
        <v>#N/A</v>
      </c>
      <c r="Y27" s="84" t="str">
        <f>CONCATENATE("a'(",U27,")=")</f>
        <v>a'(#NA)=</v>
      </c>
      <c r="Z27" s="84" t="e">
        <f>2*Z25/2*V28</f>
        <v>#VALUE!</v>
      </c>
      <c r="AA27" s="84" t="str">
        <f>CONCATENATE("A(",U26,")=")</f>
        <v>A(#NA)=</v>
      </c>
      <c r="AB27" s="84" t="e">
        <f>IF(U26=RisePerWLS,0,VLOOKUP(U26,STN_TABLE,3,FALSE))</f>
        <v>#VALUE!</v>
      </c>
      <c r="AC27" t="str">
        <f>CONCATENATE("A(",U27,")=")</f>
        <v>A(#NA)=</v>
      </c>
      <c r="AD27" t="e">
        <f>Z27+AB27</f>
        <v>#VALUE!</v>
      </c>
      <c r="AE27" s="80"/>
    </row>
    <row r="28" spans="1:35" x14ac:dyDescent="0.25">
      <c r="A28">
        <v>25</v>
      </c>
      <c r="B28" s="88" t="str">
        <f t="shared" si="2"/>
        <v xml:space="preserve">  </v>
      </c>
      <c r="C28" s="92" t="str">
        <f t="shared" si="3"/>
        <v xml:space="preserve">  </v>
      </c>
      <c r="D28" s="81" t="str">
        <f t="shared" si="4"/>
        <v xml:space="preserve"> </v>
      </c>
      <c r="E28" s="77" t="str">
        <f t="shared" si="5"/>
        <v xml:space="preserve"> </v>
      </c>
      <c r="G28" s="91" t="str">
        <f t="shared" si="9"/>
        <v>2nd_UWL</v>
      </c>
      <c r="H28" s="91" t="str">
        <f t="shared" si="9"/>
        <v>#NA</v>
      </c>
      <c r="I28" s="82" t="e">
        <f>IF(H28-H27=H27-H26,H28,"#NA")</f>
        <v>#VALUE!</v>
      </c>
      <c r="J28" s="83" t="e">
        <f>VLOOKUP(I28,STN_TABLE,2,FALSE)</f>
        <v>#VALUE!</v>
      </c>
      <c r="K28" s="83">
        <v>1</v>
      </c>
      <c r="L28" s="83" t="e">
        <f>J28*K28</f>
        <v>#VALUE!</v>
      </c>
      <c r="M28" s="83" t="e">
        <f>I28</f>
        <v>#VALUE!</v>
      </c>
      <c r="N28" s="83" t="e">
        <f>L28*M28</f>
        <v>#VALUE!</v>
      </c>
      <c r="O28" t="e">
        <f>CONCATENATE("M(",I28,")=")</f>
        <v>#VALUE!</v>
      </c>
      <c r="P28" t="e">
        <f>2*(P26*WLS)/3*N29</f>
        <v>#VALUE!</v>
      </c>
      <c r="Q28" s="80"/>
      <c r="R28" s="81"/>
      <c r="V28" s="89" t="e">
        <f>SUM(V26:V27)</f>
        <v>#N/A</v>
      </c>
      <c r="X28" s="89" t="e">
        <f>SUM(X26:X27)</f>
        <v>#N/A</v>
      </c>
      <c r="Y28" s="84" t="str">
        <f>CONCATENATE("m'(",U27,")=")</f>
        <v>m'(#NA)=</v>
      </c>
      <c r="Z28" s="84" t="e">
        <f>(2*(Z25^2)/6*X28)+(Z27*U26*WLS)</f>
        <v>#VALUE!</v>
      </c>
      <c r="AA28" s="84" t="str">
        <f>CONCATENATE("M(",U26,")=")</f>
        <v>M(#NA)=</v>
      </c>
      <c r="AB28" s="84" t="e">
        <f>IF(U26=RisePerWLS,0,VLOOKUP(U26,STN_TABLE,4,FALSE))</f>
        <v>#VALUE!</v>
      </c>
      <c r="AC28" t="str">
        <f>CONCATENATE("M(",U27,")=")</f>
        <v>M(#NA)=</v>
      </c>
      <c r="AD28" t="e">
        <f>Z28+AB28</f>
        <v>#VALUE!</v>
      </c>
      <c r="AE28" s="80"/>
    </row>
    <row r="29" spans="1:35" x14ac:dyDescent="0.25">
      <c r="G29" s="91"/>
      <c r="H29" s="91"/>
      <c r="L29" s="89" t="e">
        <f>SUM(L26:L28)</f>
        <v>#VALUE!</v>
      </c>
      <c r="N29" s="89" t="e">
        <f>SUM(N26:N28)</f>
        <v>#VALUE!</v>
      </c>
      <c r="Q29" s="80"/>
      <c r="R29" s="81"/>
      <c r="AE29" s="80"/>
    </row>
    <row r="30" spans="1:35" x14ac:dyDescent="0.25">
      <c r="G30" s="91"/>
      <c r="H30" s="91"/>
    </row>
    <row r="31" spans="1:35" x14ac:dyDescent="0.25">
      <c r="G31" s="91"/>
      <c r="H31" s="91"/>
    </row>
    <row r="32" spans="1:35" x14ac:dyDescent="0.25">
      <c r="G32" s="91"/>
      <c r="H32" s="91"/>
      <c r="Q32" s="68">
        <f>B4</f>
        <v>0</v>
      </c>
      <c r="R32" s="69">
        <f>VLOOKUP(Q32,STN_TABLE,2,FALSE)</f>
        <v>0.4</v>
      </c>
      <c r="S32" s="69">
        <v>5</v>
      </c>
      <c r="T32" s="68">
        <f>R32*S32</f>
        <v>2</v>
      </c>
      <c r="U32" s="79">
        <v>3</v>
      </c>
      <c r="V32" s="68">
        <f>R32*U32</f>
        <v>1.2000000000000002</v>
      </c>
      <c r="W32" t="s">
        <v>93</v>
      </c>
      <c r="X32" s="70">
        <f>IF(AND(Q34-Q33=Q33-Q32,NOT(AND(Q32=0,Q33=0)),NOT(AND(Q33=0,Q34=0))),WLS*(Q34-Q33),"#NA")</f>
        <v>0.5</v>
      </c>
      <c r="AD32" s="93"/>
      <c r="AH32" s="6" t="s">
        <v>93</v>
      </c>
      <c r="AI32" s="70">
        <f>WLS*(AD34-AD33)</f>
        <v>0.5</v>
      </c>
    </row>
    <row r="33" spans="1:47" x14ac:dyDescent="0.25">
      <c r="Q33" s="76">
        <f>B5</f>
        <v>0.25</v>
      </c>
      <c r="R33" s="77">
        <f>VLOOKUP(Q33,STN_TABLE,2,FALSE)</f>
        <v>1.21</v>
      </c>
      <c r="S33" s="77">
        <v>8</v>
      </c>
      <c r="T33" s="76">
        <f>R33*S33</f>
        <v>9.68</v>
      </c>
      <c r="U33" s="80">
        <v>10</v>
      </c>
      <c r="V33" s="76">
        <f>R33*U33</f>
        <v>12.1</v>
      </c>
      <c r="W33" s="495" t="s">
        <v>97</v>
      </c>
      <c r="X33" s="496"/>
      <c r="Y33" s="496" t="s">
        <v>98</v>
      </c>
      <c r="Z33" s="496"/>
      <c r="AA33" s="494" t="s">
        <v>99</v>
      </c>
      <c r="AB33" s="494"/>
      <c r="AC33" s="94">
        <v>1</v>
      </c>
      <c r="AD33" s="95">
        <f>VLOOKUP(AC33,STN_TABLE_2,2,FALSE)</f>
        <v>0</v>
      </c>
      <c r="AE33" s="68">
        <f>VLOOKUP(AD33,STN_TABLE,2,FALSE)</f>
        <v>0.4</v>
      </c>
      <c r="AF33" s="68">
        <v>1</v>
      </c>
      <c r="AG33" s="69">
        <f>AE33*AF33</f>
        <v>0.4</v>
      </c>
      <c r="AH33" s="496" t="s">
        <v>97</v>
      </c>
      <c r="AI33" s="496"/>
      <c r="AJ33" s="496" t="s">
        <v>98</v>
      </c>
      <c r="AK33" s="496"/>
      <c r="AL33" s="494" t="s">
        <v>99</v>
      </c>
      <c r="AM33" s="494"/>
      <c r="AP33" s="96" t="s">
        <v>112</v>
      </c>
      <c r="AQ33" s="89" t="s">
        <v>113</v>
      </c>
      <c r="AR33" s="89" t="s">
        <v>114</v>
      </c>
      <c r="AS33" s="89" t="s">
        <v>115</v>
      </c>
      <c r="AT33" s="97" t="s">
        <v>116</v>
      </c>
      <c r="AU33" s="98"/>
    </row>
    <row r="34" spans="1:47" x14ac:dyDescent="0.25">
      <c r="Q34" s="82">
        <f>B6</f>
        <v>0.5</v>
      </c>
      <c r="R34" s="83">
        <f>VLOOKUP(Q34,STN_TABLE,2,FALSE)</f>
        <v>1.69</v>
      </c>
      <c r="S34" s="83">
        <v>-1</v>
      </c>
      <c r="T34" s="82">
        <f>R34*S34</f>
        <v>-1.69</v>
      </c>
      <c r="U34" s="88">
        <v>-1</v>
      </c>
      <c r="V34" s="82">
        <f>R34*U34</f>
        <v>-1.69</v>
      </c>
      <c r="W34" s="84" t="str">
        <f>CONCATENATE("a'(",Q33,")=")</f>
        <v>a'(0.25)=</v>
      </c>
      <c r="X34" s="84">
        <f>2*X32/12*T35</f>
        <v>0.83250000000000002</v>
      </c>
      <c r="Y34" s="84" t="str">
        <f>CONCATENATE("A(",Q32,")=")</f>
        <v>A(0)=</v>
      </c>
      <c r="Z34" s="84">
        <f>VLOOKUP(Q32,STN_TABLE,3,FALSE)</f>
        <v>0</v>
      </c>
      <c r="AA34" t="str">
        <f>CONCATENATE("A(",Q33,")=")</f>
        <v>A(0.25)=</v>
      </c>
      <c r="AB34">
        <f>X34+Z34</f>
        <v>0.83250000000000002</v>
      </c>
      <c r="AC34" s="99">
        <f>AC33+1</f>
        <v>2</v>
      </c>
      <c r="AD34" s="100">
        <f>VLOOKUP(AC34,STN_TABLE_2,2,FALSE)</f>
        <v>0.25</v>
      </c>
      <c r="AE34" s="82">
        <f>VLOOKUP(AD34,STN_TABLE,2,FALSE)</f>
        <v>1.21</v>
      </c>
      <c r="AF34" s="82">
        <v>2</v>
      </c>
      <c r="AG34" s="83">
        <f>AE34*AF34</f>
        <v>2.42</v>
      </c>
      <c r="AH34" s="84" t="str">
        <f>CONCATENATE("a'(",AD34,")=")</f>
        <v>a'(0.25)=</v>
      </c>
      <c r="AI34" s="84">
        <f>2*AI32/2*AE35</f>
        <v>0.80499999999999994</v>
      </c>
      <c r="AJ34" s="84" t="str">
        <f>CONCATENATE("A(",AD33,")=")</f>
        <v>A(0)=</v>
      </c>
      <c r="AK34" s="84">
        <f>VLOOKUP(AD33,STN_TABLE,3,FALSE)</f>
        <v>0</v>
      </c>
      <c r="AL34" t="str">
        <f>CONCATENATE("A(",AD34,")=")</f>
        <v>A(0.25)=</v>
      </c>
      <c r="AM34">
        <f>AI34+AK34</f>
        <v>0.80499999999999994</v>
      </c>
      <c r="AO34" s="68" t="str">
        <f>AA34</f>
        <v>A(0.25)=</v>
      </c>
      <c r="AP34" s="79" t="e">
        <f>VLOOKUP(AO34,Rise_Results,2,FALSE)</f>
        <v>#N/A</v>
      </c>
      <c r="AQ34" s="76" t="s">
        <v>117</v>
      </c>
      <c r="AR34" s="76">
        <f>IF(OR(AB34&lt;=0,AB35&lt;=0),1/0,AB34)</f>
        <v>0.83250000000000002</v>
      </c>
      <c r="AS34" s="76">
        <f>AM34</f>
        <v>0.80499999999999994</v>
      </c>
      <c r="AT34" s="80">
        <f>IFERROR(AP34,IFERROR(AR34,AS34))</f>
        <v>0.83250000000000002</v>
      </c>
    </row>
    <row r="35" spans="1:47" x14ac:dyDescent="0.25">
      <c r="A35" s="101"/>
      <c r="T35" s="89">
        <f>SUM(T32:T34)</f>
        <v>9.99</v>
      </c>
      <c r="V35" s="82">
        <f>SUM(V32:V34)</f>
        <v>11.610000000000001</v>
      </c>
      <c r="W35" s="84" t="str">
        <f>CONCATENATE("m'(",Q33,")=")</f>
        <v>m'(0.25)=</v>
      </c>
      <c r="X35" s="84">
        <f>(2*(X32^2)/24*V35)</f>
        <v>0.24187500000000001</v>
      </c>
      <c r="Y35" s="84" t="str">
        <f>CONCATENATE("M(",Q32,")=")</f>
        <v>M(0)=</v>
      </c>
      <c r="Z35" s="84">
        <f>VLOOKUP(Q32,STN_TABLE,4,FALSE)</f>
        <v>0</v>
      </c>
      <c r="AA35" t="str">
        <f>CONCATENATE("M(",Q33,")=")</f>
        <v>M(0.25)=</v>
      </c>
      <c r="AB35">
        <f>X35+Z35</f>
        <v>0.24187500000000001</v>
      </c>
      <c r="AE35" s="89">
        <f>SUM(AE33:AE34)</f>
        <v>1.6099999999999999</v>
      </c>
      <c r="AG35" s="89">
        <f>SUM(AG33:AG34)</f>
        <v>2.82</v>
      </c>
      <c r="AH35" s="84" t="str">
        <f>CONCATENATE("m'(",AD34,")=")</f>
        <v>m'(0.25)=</v>
      </c>
      <c r="AI35" s="84">
        <f>(2*(AI32^2)/6*AG35)+(AI34*AD33*WLS)</f>
        <v>0.23499999999999999</v>
      </c>
      <c r="AJ35" s="84" t="str">
        <f>CONCATENATE("M(",AD33,")=")</f>
        <v>M(0)=</v>
      </c>
      <c r="AK35" s="84">
        <f>VLOOKUP(AD33,STN_TABLE,4,FALSE)</f>
        <v>0</v>
      </c>
      <c r="AL35" t="str">
        <f>CONCATENATE("M(",AD34,")=")</f>
        <v>M(0.25)=</v>
      </c>
      <c r="AM35">
        <f>AI35+AK35</f>
        <v>0.23499999999999999</v>
      </c>
      <c r="AO35" s="82" t="str">
        <f>AA35</f>
        <v>M(0.25)=</v>
      </c>
      <c r="AP35" s="88" t="e">
        <f>VLOOKUP(AO35,Rise_Results,2,FALSE)</f>
        <v>#N/A</v>
      </c>
      <c r="AQ35" s="82" t="s">
        <v>117</v>
      </c>
      <c r="AR35" s="82">
        <f>IF(OR(AB34&lt;=0,AB35&lt;=0),1/0,AB35)</f>
        <v>0.24187500000000001</v>
      </c>
      <c r="AS35" s="82">
        <f>AM35</f>
        <v>0.23499999999999999</v>
      </c>
      <c r="AT35" s="80">
        <f>IFERROR(AP35,IFERROR(AR35,AS35))</f>
        <v>0.24187500000000001</v>
      </c>
    </row>
    <row r="36" spans="1:47" x14ac:dyDescent="0.25">
      <c r="O36" s="94">
        <v>1</v>
      </c>
      <c r="P36" s="101">
        <f t="shared" ref="P36:P67" si="10">VLOOKUP(O36,STN_TABLE_2,2,FALSE)</f>
        <v>0</v>
      </c>
      <c r="AU36" s="81"/>
    </row>
    <row r="37" spans="1:47" x14ac:dyDescent="0.25">
      <c r="A37" s="94">
        <v>1</v>
      </c>
      <c r="B37" s="94">
        <f>VLOOKUP(A37,STN_TABLE_2,2,FALSE)</f>
        <v>0</v>
      </c>
      <c r="C37" s="79">
        <f>B37</f>
        <v>0</v>
      </c>
      <c r="D37" s="68">
        <f>VLOOKUP(C37,STN_TABLE,2,FALSE)</f>
        <v>0.4</v>
      </c>
      <c r="E37" s="102">
        <v>1</v>
      </c>
      <c r="F37" s="68">
        <f>D37*E37</f>
        <v>0.4</v>
      </c>
      <c r="G37" s="69">
        <f>C37</f>
        <v>0</v>
      </c>
      <c r="H37" s="69">
        <f>F37*G37</f>
        <v>0</v>
      </c>
      <c r="I37" s="6" t="s">
        <v>93</v>
      </c>
      <c r="J37" s="70">
        <f>IF(OR(D37=0,D38=0,D39=0),"#NA",IF(AND(C39-C38=C38-C37,C38&lt;&gt;C39,C37&lt;&gt;C38,C37&lt;&gt;C39,D39&lt;&gt;0,OR(D37&lt;&gt;0,D38&lt;&gt;0)),WLS*(C39-C38),"#NA"))</f>
        <v>0.5</v>
      </c>
      <c r="O37" s="99">
        <f>O36+1</f>
        <v>2</v>
      </c>
      <c r="P37" s="99">
        <f t="shared" si="10"/>
        <v>0.25</v>
      </c>
      <c r="Q37" s="68">
        <f>IF(OR(P39-P38=P38-P37,P40-P38=P38-P37),P37,IF(OR(P39-P38=P38-P36,P40-P38=P38-P36),P36,"-"))</f>
        <v>0.25</v>
      </c>
      <c r="R37" s="69">
        <f>VLOOKUP(Q37,STN_TABLE,2,FALSE)</f>
        <v>1.21</v>
      </c>
      <c r="S37" s="69">
        <v>5</v>
      </c>
      <c r="T37" s="68">
        <f>R37*S37</f>
        <v>6.05</v>
      </c>
      <c r="U37" s="79">
        <v>3</v>
      </c>
      <c r="V37" s="68">
        <f>R37*U37</f>
        <v>3.63</v>
      </c>
      <c r="W37" s="6" t="s">
        <v>93</v>
      </c>
      <c r="X37" s="70">
        <f>IF(AND(Q39-Q38=Q38-Q37,NOT(AND(Q37=0,Q38=0)),NOT(AND(Q38=0,Q39=0))),WLS*(Q39-Q38),"#NA")</f>
        <v>0.5</v>
      </c>
      <c r="AD37" s="93"/>
      <c r="AH37" s="6" t="s">
        <v>93</v>
      </c>
      <c r="AI37" s="70">
        <f>WLS*(AD39-AD38)</f>
        <v>0.5</v>
      </c>
      <c r="AU37" s="81"/>
    </row>
    <row r="38" spans="1:47" x14ac:dyDescent="0.25">
      <c r="A38" s="94">
        <f>A37+1</f>
        <v>2</v>
      </c>
      <c r="B38" s="94">
        <f>VLOOKUP(A38,STN_TABLE_2,2,FALSE)</f>
        <v>0.25</v>
      </c>
      <c r="C38" s="80">
        <f>B38</f>
        <v>0.25</v>
      </c>
      <c r="D38" s="76">
        <f>VLOOKUP(C38,STN_TABLE,2,FALSE)</f>
        <v>1.21</v>
      </c>
      <c r="E38" s="81">
        <v>4</v>
      </c>
      <c r="F38" s="76">
        <f>D38*E38</f>
        <v>4.84</v>
      </c>
      <c r="G38" s="77">
        <f>C38</f>
        <v>0.25</v>
      </c>
      <c r="H38" s="77">
        <f>F38*G38</f>
        <v>1.21</v>
      </c>
      <c r="I38" s="496" t="s">
        <v>97</v>
      </c>
      <c r="J38" s="496"/>
      <c r="K38" s="78" t="s">
        <v>98</v>
      </c>
      <c r="L38" s="78"/>
      <c r="M38" s="7" t="s">
        <v>99</v>
      </c>
      <c r="N38" s="7"/>
      <c r="O38" s="99">
        <f>O37+1</f>
        <v>3</v>
      </c>
      <c r="P38" s="99">
        <f t="shared" si="10"/>
        <v>0.5</v>
      </c>
      <c r="Q38" s="76">
        <f>P38</f>
        <v>0.5</v>
      </c>
      <c r="R38" s="77">
        <f>VLOOKUP(Q38,STN_TABLE,2,FALSE)</f>
        <v>1.69</v>
      </c>
      <c r="S38" s="77">
        <v>8</v>
      </c>
      <c r="T38" s="76">
        <f>R38*S38</f>
        <v>13.52</v>
      </c>
      <c r="U38" s="80">
        <v>10</v>
      </c>
      <c r="V38" s="76">
        <f>R38*U38</f>
        <v>16.899999999999999</v>
      </c>
      <c r="W38" s="496" t="s">
        <v>97</v>
      </c>
      <c r="X38" s="496"/>
      <c r="Y38" s="496" t="s">
        <v>98</v>
      </c>
      <c r="Z38" s="496"/>
      <c r="AA38" s="494" t="s">
        <v>99</v>
      </c>
      <c r="AB38" s="494"/>
      <c r="AC38" s="99">
        <f>AC33+1</f>
        <v>2</v>
      </c>
      <c r="AD38" s="95">
        <f>VLOOKUP(AC38,STN_TABLE_2,2,FALSE)</f>
        <v>0.25</v>
      </c>
      <c r="AE38" s="68">
        <f>VLOOKUP(AD38,STN_TABLE,2,FALSE)</f>
        <v>1.21</v>
      </c>
      <c r="AF38" s="68">
        <v>1</v>
      </c>
      <c r="AG38" s="69">
        <f>AE38*AF38</f>
        <v>1.21</v>
      </c>
      <c r="AH38" s="496" t="s">
        <v>97</v>
      </c>
      <c r="AI38" s="496"/>
      <c r="AJ38" s="496" t="s">
        <v>98</v>
      </c>
      <c r="AK38" s="496"/>
      <c r="AL38" s="494" t="s">
        <v>99</v>
      </c>
      <c r="AM38" s="494"/>
      <c r="AP38" s="86" t="s">
        <v>112</v>
      </c>
      <c r="AQ38" s="89" t="s">
        <v>113</v>
      </c>
      <c r="AR38" s="89" t="s">
        <v>114</v>
      </c>
      <c r="AS38" s="89" t="s">
        <v>115</v>
      </c>
    </row>
    <row r="39" spans="1:47" x14ac:dyDescent="0.25">
      <c r="A39" s="94">
        <f>A38+1</f>
        <v>3</v>
      </c>
      <c r="B39" s="94">
        <f>VLOOKUP(A39,STN_TABLE_2,2,FALSE)</f>
        <v>0.5</v>
      </c>
      <c r="C39" s="88">
        <f>B39</f>
        <v>0.5</v>
      </c>
      <c r="D39" s="82">
        <f>VLOOKUP(C39,STN_TABLE,2,FALSE)</f>
        <v>1.69</v>
      </c>
      <c r="E39" s="92">
        <v>1</v>
      </c>
      <c r="F39" s="82">
        <f>D39*E39</f>
        <v>1.69</v>
      </c>
      <c r="G39" s="83">
        <f>C39</f>
        <v>0.5</v>
      </c>
      <c r="H39" s="83">
        <f>F39*G39</f>
        <v>0.84499999999999997</v>
      </c>
      <c r="I39" s="84" t="str">
        <f>CONCATENATE("a'(",C39,")=")</f>
        <v>a'(0.5)=</v>
      </c>
      <c r="J39" s="84">
        <f>2*J37/3*F40</f>
        <v>2.3099999999999996</v>
      </c>
      <c r="K39" s="84" t="str">
        <f>CONCATENATE("A(",C37,")=")</f>
        <v>A(0)=</v>
      </c>
      <c r="L39" s="84">
        <f>VLOOKUP(C37,STN_TABLE,3,FALSE)</f>
        <v>0</v>
      </c>
      <c r="M39" t="str">
        <f>CONCATENATE("A(",C39,")=")</f>
        <v>A(0.5)=</v>
      </c>
      <c r="N39">
        <f>J39+L39</f>
        <v>2.3099999999999996</v>
      </c>
      <c r="O39" s="99">
        <f>O38+1</f>
        <v>4</v>
      </c>
      <c r="P39" s="99">
        <f t="shared" si="10"/>
        <v>0.75</v>
      </c>
      <c r="Q39" s="82">
        <f>IF(P39-P38=P38-P37,P39,IF(P40-P38=P38-P37,P40,IF(P39-P38=P38-P36,P39,IF(P40-P38=P38-P36,P40,"-"))))</f>
        <v>0.75</v>
      </c>
      <c r="R39" s="83">
        <f>VLOOKUP(Q39,STN_TABLE,2,FALSE)</f>
        <v>2.02</v>
      </c>
      <c r="S39" s="83">
        <v>-1</v>
      </c>
      <c r="T39" s="82">
        <f>R39*S39</f>
        <v>-2.02</v>
      </c>
      <c r="U39" s="88">
        <v>-1</v>
      </c>
      <c r="V39" s="82">
        <f>R39*U39</f>
        <v>-2.02</v>
      </c>
      <c r="W39" s="84" t="str">
        <f>CONCATENATE("a'(",Q38,")=")</f>
        <v>a'(0.5)=</v>
      </c>
      <c r="X39" s="84">
        <f>2*X37/12*T40</f>
        <v>1.4624999999999999</v>
      </c>
      <c r="Y39" s="84" t="str">
        <f>CONCATENATE("A(",Q37,")=")</f>
        <v>A(0.25)=</v>
      </c>
      <c r="Z39" s="84">
        <f>VLOOKUP(Q37,STN_TABLE,3,FALSE)</f>
        <v>0.83250000000000002</v>
      </c>
      <c r="AA39" t="str">
        <f>CONCATENATE("A(",Q38,")=")</f>
        <v>A(0.5)=</v>
      </c>
      <c r="AB39">
        <f>X39+Z39</f>
        <v>2.2949999999999999</v>
      </c>
      <c r="AC39" s="99">
        <f>AC38+1</f>
        <v>3</v>
      </c>
      <c r="AD39" s="100">
        <f>VLOOKUP(AC39,STN_TABLE_2,2,FALSE)</f>
        <v>0.5</v>
      </c>
      <c r="AE39" s="82">
        <f>VLOOKUP(AD39,STN_TABLE,2,FALSE)</f>
        <v>1.69</v>
      </c>
      <c r="AF39" s="82">
        <v>2</v>
      </c>
      <c r="AG39" s="83">
        <f>AE39*AF39</f>
        <v>3.38</v>
      </c>
      <c r="AH39" s="84" t="str">
        <f>CONCATENATE("a'(",AD39,")=")</f>
        <v>a'(0.5)=</v>
      </c>
      <c r="AI39" s="84">
        <f>2*AI37/2*AE40</f>
        <v>1.45</v>
      </c>
      <c r="AJ39" s="84" t="str">
        <f>CONCATENATE("A(",AD38,")=")</f>
        <v>A(0.25)=</v>
      </c>
      <c r="AK39" s="84">
        <f>VLOOKUP(AD38,STN_TABLE,3,FALSE)</f>
        <v>0.83250000000000002</v>
      </c>
      <c r="AL39" t="str">
        <f>CONCATENATE("A(",AD39,")=")</f>
        <v>A(0.5)=</v>
      </c>
      <c r="AM39">
        <f>AI39+AK39</f>
        <v>2.2824999999999998</v>
      </c>
      <c r="AO39" s="68" t="str">
        <f>AA39</f>
        <v>A(0.5)=</v>
      </c>
      <c r="AP39" s="68" t="e">
        <f>VLOOKUP(AO39,Rise_Results,2,FALSE)</f>
        <v>#N/A</v>
      </c>
      <c r="AQ39" s="76">
        <f>N39</f>
        <v>2.3099999999999996</v>
      </c>
      <c r="AR39" s="76">
        <f>IF(OR(AB39&lt;=0,AB40&lt;=0),1/0,AB39)</f>
        <v>2.2949999999999999</v>
      </c>
      <c r="AS39" s="76">
        <f>AM39</f>
        <v>2.2824999999999998</v>
      </c>
      <c r="AT39">
        <f>IFERROR(AP39,IFERROR(AQ39,IFERROR(AR39,AS39)))</f>
        <v>2.3099999999999996</v>
      </c>
    </row>
    <row r="40" spans="1:47" x14ac:dyDescent="0.25">
      <c r="A40">
        <v>4</v>
      </c>
      <c r="F40" s="82">
        <f>SUM(F37:F39)</f>
        <v>6.93</v>
      </c>
      <c r="H40" s="82">
        <f>SUM(H37:H39)</f>
        <v>2.0549999999999997</v>
      </c>
      <c r="I40" s="84" t="str">
        <f>CONCATENATE("m'(",C39,")=")</f>
        <v>m'(0.5)=</v>
      </c>
      <c r="J40" s="84">
        <f>2*(J37*(WLS))/3*H40</f>
        <v>1.3699999999999997</v>
      </c>
      <c r="K40" s="84" t="str">
        <f>CONCATENATE("M(",C37,")=")</f>
        <v>M(0)=</v>
      </c>
      <c r="L40" s="84">
        <f>VLOOKUP(C37,STN_TABLE,4,FALSE)</f>
        <v>0</v>
      </c>
      <c r="M40" t="str">
        <f>CONCATENATE("M(",C39,")=")</f>
        <v>M(0.5)=</v>
      </c>
      <c r="N40">
        <f>J40+L40</f>
        <v>1.3699999999999997</v>
      </c>
      <c r="O40" s="99">
        <f>O39+1</f>
        <v>5</v>
      </c>
      <c r="P40" s="99">
        <f t="shared" si="10"/>
        <v>1</v>
      </c>
      <c r="T40" s="89">
        <f>SUM(T37:T39)</f>
        <v>17.55</v>
      </c>
      <c r="V40" s="82">
        <f>SUM(V37:V39)</f>
        <v>18.509999999999998</v>
      </c>
      <c r="W40" s="84" t="str">
        <f>CONCATENATE("m'(",Q38,")=")</f>
        <v>m'(0.5)=</v>
      </c>
      <c r="X40" s="84">
        <f>(2*(X37^2)/24*V40)+(X39*Q37*WLS)</f>
        <v>1.1168749999999998</v>
      </c>
      <c r="Y40" s="84" t="str">
        <f>CONCATENATE("M(",Q37,")=")</f>
        <v>M(0.25)=</v>
      </c>
      <c r="Z40" s="84">
        <f>VLOOKUP(Q37,STN_TABLE,4,FALSE)</f>
        <v>0.24187500000000001</v>
      </c>
      <c r="AA40" t="str">
        <f>CONCATENATE("M(",Q38,")=")</f>
        <v>M(0.5)=</v>
      </c>
      <c r="AB40">
        <f>X40+Z40</f>
        <v>1.3587499999999999</v>
      </c>
      <c r="AE40" s="89">
        <f>SUM(AE38:AE39)</f>
        <v>2.9</v>
      </c>
      <c r="AG40" s="89">
        <f>SUM(AG38:AG39)</f>
        <v>4.59</v>
      </c>
      <c r="AH40" s="84" t="str">
        <f>CONCATENATE("m'(",AD39,")=")</f>
        <v>m'(0.5)=</v>
      </c>
      <c r="AI40" s="84">
        <f>(2*(AI37^2)/6*AG40)+(AI39*AD38*WLS)</f>
        <v>1.1074999999999999</v>
      </c>
      <c r="AJ40" s="84" t="str">
        <f>CONCATENATE("M(",AD38,")=")</f>
        <v>M(0.25)=</v>
      </c>
      <c r="AK40" s="84">
        <f>VLOOKUP(AD38,STN_TABLE,4,FALSE)</f>
        <v>0.24187500000000001</v>
      </c>
      <c r="AL40" t="str">
        <f>CONCATENATE("M(",AD39,")=")</f>
        <v>M(0.5)=</v>
      </c>
      <c r="AM40">
        <f>AI40+AK40</f>
        <v>1.349375</v>
      </c>
      <c r="AO40" s="82" t="str">
        <f>AA40</f>
        <v>M(0.5)=</v>
      </c>
      <c r="AP40" s="82" t="e">
        <f>VLOOKUP(AO40,Rise_Results,2,FALSE)</f>
        <v>#N/A</v>
      </c>
      <c r="AQ40" s="82">
        <f>N40</f>
        <v>1.3699999999999997</v>
      </c>
      <c r="AR40" s="82">
        <f>IF(OR(AB39&lt;=0,AB40&lt;=0),1/0,AB40)</f>
        <v>1.3587499999999999</v>
      </c>
      <c r="AS40" s="82">
        <f>AM40</f>
        <v>1.349375</v>
      </c>
      <c r="AT40">
        <f>IFERROR(AP40,IFERROR(AQ40,IFERROR(AR40,AS40)))</f>
        <v>1.3699999999999997</v>
      </c>
    </row>
    <row r="41" spans="1:47" x14ac:dyDescent="0.25">
      <c r="A41" s="94">
        <v>0</v>
      </c>
      <c r="O41" s="101">
        <f>O36+1</f>
        <v>2</v>
      </c>
      <c r="P41" s="101">
        <f t="shared" si="10"/>
        <v>0.25</v>
      </c>
    </row>
    <row r="42" spans="1:47" x14ac:dyDescent="0.25">
      <c r="A42" s="94">
        <f>A41+1</f>
        <v>1</v>
      </c>
      <c r="B42" s="94">
        <f t="shared" ref="B42:B73" si="11">VLOOKUP(A42,STN_TABLE_2,2,FALSE)</f>
        <v>0</v>
      </c>
      <c r="C42" s="79">
        <f>IF(C43=B43,B42,IF(C43=B44,IF(C44-C43=C43-B43,B43,IF(C44-C43=C43-B42,B42,"NA"))))</f>
        <v>0.25</v>
      </c>
      <c r="D42" s="68">
        <f>VLOOKUP(C42,STN_TABLE,2,FALSE)</f>
        <v>1.21</v>
      </c>
      <c r="E42" s="102">
        <v>1</v>
      </c>
      <c r="F42" s="68">
        <f>D42*E42</f>
        <v>1.21</v>
      </c>
      <c r="G42" s="69">
        <f>C42</f>
        <v>0.25</v>
      </c>
      <c r="H42" s="69">
        <f>F42*G42</f>
        <v>0.30249999999999999</v>
      </c>
      <c r="I42" s="6" t="s">
        <v>93</v>
      </c>
      <c r="J42" s="70">
        <f>IF(OR(D42=0,D43=0,D44=0),"#NA",IF(AND(C44-C43=C43-C42,C43&lt;&gt;C44,C42&lt;&gt;C43,C42&lt;&gt;C44,D44&lt;&gt;0,OR(D42&lt;&gt;0,D43&lt;&gt;0)),WLS*(C44-C43),"#NA"))</f>
        <v>0.5</v>
      </c>
      <c r="O42" s="99">
        <f>O41+1</f>
        <v>3</v>
      </c>
      <c r="P42" s="99">
        <f t="shared" si="10"/>
        <v>0.5</v>
      </c>
      <c r="Q42" s="68">
        <f>IF(OR(P44-P43=P43-P42,P45-P43=P43-P42),P42,IF(OR(P44-P43=P43-P41,P45-P43=P43-P41),P41,"-"))</f>
        <v>0.5</v>
      </c>
      <c r="R42" s="69">
        <f>VLOOKUP(Q42,STN_TABLE,2,FALSE)</f>
        <v>1.69</v>
      </c>
      <c r="S42" s="69">
        <v>5</v>
      </c>
      <c r="T42" s="68">
        <f>R42*S42</f>
        <v>8.4499999999999993</v>
      </c>
      <c r="U42" s="79">
        <v>3</v>
      </c>
      <c r="V42" s="68">
        <f>R42*U42</f>
        <v>5.07</v>
      </c>
      <c r="W42" s="6" t="s">
        <v>93</v>
      </c>
      <c r="X42" s="70">
        <f>IF(AND(Q44-Q43=Q43-Q42,NOT(AND(Q42=0,Q43=0)),NOT(AND(Q43=0,Q44=0))),WLS*(Q44-Q43),"#NA")</f>
        <v>0.5</v>
      </c>
      <c r="AD42" s="93"/>
      <c r="AH42" s="6" t="s">
        <v>93</v>
      </c>
      <c r="AI42" s="70">
        <f>WLS*(AD44-AD43)</f>
        <v>0.5</v>
      </c>
      <c r="AU42" s="81"/>
    </row>
    <row r="43" spans="1:47" x14ac:dyDescent="0.25">
      <c r="A43" s="94">
        <f>A42+1</f>
        <v>2</v>
      </c>
      <c r="B43" s="94">
        <f t="shared" si="11"/>
        <v>0.25</v>
      </c>
      <c r="C43" s="80">
        <f>IF(OR(B45-B44=B44-B43,B45-B44=B44-B42,),B44,IF(B45-B43=B43-B42,B43,"#NA"))</f>
        <v>0.5</v>
      </c>
      <c r="D43" s="76">
        <f>VLOOKUP(C43,STN_TABLE,2,FALSE)</f>
        <v>1.69</v>
      </c>
      <c r="E43" s="81">
        <v>4</v>
      </c>
      <c r="F43" s="76">
        <f>D43*E43</f>
        <v>6.76</v>
      </c>
      <c r="G43" s="77">
        <f>C43</f>
        <v>0.5</v>
      </c>
      <c r="H43" s="77">
        <f>F43*G43</f>
        <v>3.38</v>
      </c>
      <c r="I43" s="496" t="s">
        <v>97</v>
      </c>
      <c r="J43" s="496"/>
      <c r="K43" s="78" t="s">
        <v>98</v>
      </c>
      <c r="L43" s="78"/>
      <c r="M43" s="7" t="s">
        <v>99</v>
      </c>
      <c r="N43" s="7"/>
      <c r="O43" s="99">
        <f>O42+1</f>
        <v>4</v>
      </c>
      <c r="P43" s="99">
        <f t="shared" si="10"/>
        <v>0.75</v>
      </c>
      <c r="Q43" s="76">
        <f>P43</f>
        <v>0.75</v>
      </c>
      <c r="R43" s="77">
        <f>VLOOKUP(Q43,STN_TABLE,2,FALSE)</f>
        <v>2.02</v>
      </c>
      <c r="S43" s="77">
        <v>8</v>
      </c>
      <c r="T43" s="76">
        <f>R43*S43</f>
        <v>16.16</v>
      </c>
      <c r="U43" s="80">
        <v>10</v>
      </c>
      <c r="V43" s="76">
        <f>R43*U43</f>
        <v>20.2</v>
      </c>
      <c r="W43" s="496" t="s">
        <v>97</v>
      </c>
      <c r="X43" s="496"/>
      <c r="Y43" s="496" t="s">
        <v>98</v>
      </c>
      <c r="Z43" s="496"/>
      <c r="AA43" s="494" t="s">
        <v>99</v>
      </c>
      <c r="AB43" s="494"/>
      <c r="AC43" s="99">
        <f>AC38+1</f>
        <v>3</v>
      </c>
      <c r="AD43" s="95">
        <f>VLOOKUP(AC43,STN_TABLE_2,2,FALSE)</f>
        <v>0.5</v>
      </c>
      <c r="AE43" s="68">
        <f>VLOOKUP(AD43,STN_TABLE,2,FALSE)</f>
        <v>1.69</v>
      </c>
      <c r="AF43" s="68">
        <v>1</v>
      </c>
      <c r="AG43" s="69">
        <f>AE43*AF43</f>
        <v>1.69</v>
      </c>
      <c r="AH43" s="496" t="s">
        <v>97</v>
      </c>
      <c r="AI43" s="496"/>
      <c r="AJ43" s="496" t="s">
        <v>98</v>
      </c>
      <c r="AK43" s="496"/>
      <c r="AL43" s="494" t="s">
        <v>99</v>
      </c>
      <c r="AM43" s="494"/>
      <c r="AP43" s="86" t="s">
        <v>112</v>
      </c>
      <c r="AQ43" s="89" t="s">
        <v>113</v>
      </c>
      <c r="AR43" s="89" t="s">
        <v>114</v>
      </c>
      <c r="AS43" s="89" t="s">
        <v>115</v>
      </c>
      <c r="AU43" s="81"/>
    </row>
    <row r="44" spans="1:47" x14ac:dyDescent="0.25">
      <c r="A44" s="94">
        <f>A43+1</f>
        <v>3</v>
      </c>
      <c r="B44" s="94">
        <f t="shared" si="11"/>
        <v>0.5</v>
      </c>
      <c r="C44" s="88">
        <f>B45</f>
        <v>0.75</v>
      </c>
      <c r="D44" s="82">
        <f>VLOOKUP(C44,STN_TABLE,2,FALSE)</f>
        <v>2.02</v>
      </c>
      <c r="E44" s="92">
        <v>1</v>
      </c>
      <c r="F44" s="82">
        <f>D44*E44</f>
        <v>2.02</v>
      </c>
      <c r="G44" s="83">
        <f>C44</f>
        <v>0.75</v>
      </c>
      <c r="H44" s="83">
        <f>F44*G44</f>
        <v>1.5150000000000001</v>
      </c>
      <c r="I44" s="84" t="str">
        <f>CONCATENATE("a'(",C44,")=")</f>
        <v>a'(0.75)=</v>
      </c>
      <c r="J44" s="84">
        <f>2*J42/3*F45</f>
        <v>3.33</v>
      </c>
      <c r="K44" s="84" t="str">
        <f>CONCATENATE("A(",C42,")=")</f>
        <v>A(0.25)=</v>
      </c>
      <c r="L44" s="84">
        <f>VLOOKUP(C42,STN_TABLE,3,FALSE)</f>
        <v>0.83250000000000002</v>
      </c>
      <c r="M44" t="str">
        <f>CONCATENATE("A(",C44,")=")</f>
        <v>A(0.75)=</v>
      </c>
      <c r="N44">
        <f>J44+L44</f>
        <v>4.1624999999999996</v>
      </c>
      <c r="O44" s="99">
        <f>O43+1</f>
        <v>5</v>
      </c>
      <c r="P44" s="99">
        <f t="shared" si="10"/>
        <v>1</v>
      </c>
      <c r="Q44" s="82">
        <f>IF(P44-P43=P43-P42,P44,IF(P45-P43=P43-P42,P45,IF(P44-P43=P43-P41,P44,IF(P45-P43=P43-P41,P45,"-"))))</f>
        <v>1</v>
      </c>
      <c r="R44" s="83">
        <f>VLOOKUP(Q44,STN_TABLE,2,FALSE)</f>
        <v>2.29</v>
      </c>
      <c r="S44" s="83">
        <v>-1</v>
      </c>
      <c r="T44" s="82">
        <f>R44*S44</f>
        <v>-2.29</v>
      </c>
      <c r="U44" s="88">
        <v>-1</v>
      </c>
      <c r="V44" s="82">
        <f>R44*U44</f>
        <v>-2.29</v>
      </c>
      <c r="W44" s="84" t="str">
        <f>CONCATENATE("a'(",Q43,")=")</f>
        <v>a'(0.75)=</v>
      </c>
      <c r="X44" s="84">
        <f>2*X42/12*T45</f>
        <v>1.8599999999999999</v>
      </c>
      <c r="Y44" s="84" t="str">
        <f>CONCATENATE("A(",Q42,")=")</f>
        <v>A(0.5)=</v>
      </c>
      <c r="Z44" s="84">
        <f>VLOOKUP(Q42,STN_TABLE,3,FALSE)</f>
        <v>2.3099999999999996</v>
      </c>
      <c r="AA44" t="str">
        <f>CONCATENATE("A(",Q43,")=")</f>
        <v>A(0.75)=</v>
      </c>
      <c r="AB44">
        <f>X44+Z44</f>
        <v>4.17</v>
      </c>
      <c r="AC44" s="99">
        <f>AC43+1</f>
        <v>4</v>
      </c>
      <c r="AD44" s="100">
        <f>VLOOKUP(AC44,STN_TABLE_2,2,FALSE)</f>
        <v>0.75</v>
      </c>
      <c r="AE44" s="82">
        <f>VLOOKUP(AD44,STN_TABLE,2,FALSE)</f>
        <v>2.02</v>
      </c>
      <c r="AF44" s="82">
        <v>2</v>
      </c>
      <c r="AG44" s="83">
        <f>AE44*AF44</f>
        <v>4.04</v>
      </c>
      <c r="AH44" s="84" t="str">
        <f>CONCATENATE("a'(",AD44,")=")</f>
        <v>a'(0.75)=</v>
      </c>
      <c r="AI44" s="84">
        <f>2*AI42/2*AE45</f>
        <v>1.855</v>
      </c>
      <c r="AJ44" s="84" t="str">
        <f>CONCATENATE("A(",AD43,")=")</f>
        <v>A(0.5)=</v>
      </c>
      <c r="AK44" s="84">
        <f>VLOOKUP(AD43,STN_TABLE,3,FALSE)</f>
        <v>2.3099999999999996</v>
      </c>
      <c r="AL44" t="str">
        <f>CONCATENATE("A(",AD44,")=")</f>
        <v>A(0.75)=</v>
      </c>
      <c r="AM44">
        <f>AI44+AK44</f>
        <v>4.1649999999999991</v>
      </c>
      <c r="AO44" s="68" t="str">
        <f>AA44</f>
        <v>A(0.75)=</v>
      </c>
      <c r="AP44" s="68" t="e">
        <f>VLOOKUP(AO44,Rise_Results,2,FALSE)</f>
        <v>#N/A</v>
      </c>
      <c r="AQ44" s="76">
        <f>N44</f>
        <v>4.1624999999999996</v>
      </c>
      <c r="AR44" s="76">
        <f>IF(OR(AB44&lt;=0,AB45&lt;=0),1/0,AB44)</f>
        <v>4.17</v>
      </c>
      <c r="AS44" s="76">
        <f>AM44</f>
        <v>4.1649999999999991</v>
      </c>
      <c r="AT44">
        <f>IFERROR(AP44,IFERROR(AQ44,IFERROR(AR44,AS44)))</f>
        <v>4.1624999999999996</v>
      </c>
      <c r="AU44" s="81"/>
    </row>
    <row r="45" spans="1:47" x14ac:dyDescent="0.25">
      <c r="A45" s="94">
        <f>A44+1</f>
        <v>4</v>
      </c>
      <c r="B45" s="94">
        <f t="shared" si="11"/>
        <v>0.75</v>
      </c>
      <c r="F45" s="82">
        <f>SUM(F42:F44)</f>
        <v>9.99</v>
      </c>
      <c r="H45" s="82">
        <f>SUM(H42:H44)</f>
        <v>5.1974999999999998</v>
      </c>
      <c r="I45" s="84" t="str">
        <f>CONCATENATE("m'(",C44,")=")</f>
        <v>m'(0.75)=</v>
      </c>
      <c r="J45" s="84">
        <f>2*(J42*(WLS))/3*H45</f>
        <v>3.4649999999999999</v>
      </c>
      <c r="K45" s="84" t="str">
        <f>CONCATENATE("M(",C42,")=")</f>
        <v>M(0.25)=</v>
      </c>
      <c r="L45" s="84">
        <f>VLOOKUP(C42,STN_TABLE,4,FALSE)</f>
        <v>0.24187500000000001</v>
      </c>
      <c r="M45" t="str">
        <f>CONCATENATE("M(",C44,")=")</f>
        <v>M(0.75)=</v>
      </c>
      <c r="N45">
        <f>J45+L45</f>
        <v>3.7068749999999997</v>
      </c>
      <c r="O45" s="99">
        <f>O44+1</f>
        <v>6</v>
      </c>
      <c r="P45" s="99">
        <f t="shared" si="10"/>
        <v>2</v>
      </c>
      <c r="T45" s="89">
        <f>SUM(T42:T44)</f>
        <v>22.32</v>
      </c>
      <c r="V45" s="82">
        <f>SUM(V42:V44)</f>
        <v>22.98</v>
      </c>
      <c r="W45" s="84" t="str">
        <f>CONCATENATE("m'(",Q43,")=")</f>
        <v>m'(0.75)=</v>
      </c>
      <c r="X45" s="84">
        <f>(2*(X42^2)/24*V45)+(X44*Q42*WLS)</f>
        <v>2.3387500000000001</v>
      </c>
      <c r="Y45" s="84" t="str">
        <f>CONCATENATE("M(",Q42,")=")</f>
        <v>M(0.5)=</v>
      </c>
      <c r="Z45" s="84">
        <f>VLOOKUP(Q42,STN_TABLE,4,FALSE)</f>
        <v>1.3699999999999997</v>
      </c>
      <c r="AA45" t="str">
        <f>CONCATENATE("M(",Q43,")=")</f>
        <v>M(0.75)=</v>
      </c>
      <c r="AB45">
        <f>X45+Z45</f>
        <v>3.7087499999999998</v>
      </c>
      <c r="AE45" s="89">
        <f>SUM(AE43:AE44)</f>
        <v>3.71</v>
      </c>
      <c r="AG45" s="89">
        <f>SUM(AG43:AG44)</f>
        <v>5.73</v>
      </c>
      <c r="AH45" s="84" t="str">
        <f>CONCATENATE("m'(",AD44,")=")</f>
        <v>m'(0.75)=</v>
      </c>
      <c r="AI45" s="84">
        <f>(2*(AI42^2)/6*AG45)+(AI44*AD43*WLS)</f>
        <v>2.3325</v>
      </c>
      <c r="AJ45" s="84" t="str">
        <f>CONCATENATE("M(",AD43,")=")</f>
        <v>M(0.5)=</v>
      </c>
      <c r="AK45" s="84">
        <f>VLOOKUP(AD43,STN_TABLE,4,FALSE)</f>
        <v>1.3699999999999997</v>
      </c>
      <c r="AL45" t="str">
        <f>CONCATENATE("M(",AD44,")=")</f>
        <v>M(0.75)=</v>
      </c>
      <c r="AM45">
        <f>AI45+AK45</f>
        <v>3.7024999999999997</v>
      </c>
      <c r="AO45" s="82" t="str">
        <f>AA45</f>
        <v>M(0.75)=</v>
      </c>
      <c r="AP45" s="82" t="e">
        <f>VLOOKUP(AO45,Rise_Results,2,FALSE)</f>
        <v>#N/A</v>
      </c>
      <c r="AQ45" s="82">
        <f>N45</f>
        <v>3.7068749999999997</v>
      </c>
      <c r="AR45" s="82">
        <f>IF(OR(AB44&lt;=0,AB45&lt;=0),1/0,AB45)</f>
        <v>3.7087499999999998</v>
      </c>
      <c r="AS45" s="82">
        <f>AM45</f>
        <v>3.7024999999999997</v>
      </c>
      <c r="AT45">
        <f>IFERROR(AP45,IFERROR(AQ45,IFERROR(AR45,AS45)))</f>
        <v>3.7068749999999997</v>
      </c>
      <c r="AU45" s="81"/>
    </row>
    <row r="46" spans="1:47" x14ac:dyDescent="0.25">
      <c r="A46" s="101">
        <f>A41+1</f>
        <v>1</v>
      </c>
      <c r="B46" s="101">
        <f t="shared" si="11"/>
        <v>0</v>
      </c>
      <c r="O46" s="101">
        <f>O41+1</f>
        <v>3</v>
      </c>
      <c r="P46" s="101">
        <f t="shared" si="10"/>
        <v>0.5</v>
      </c>
      <c r="AU46" s="81"/>
    </row>
    <row r="47" spans="1:47" x14ac:dyDescent="0.25">
      <c r="A47" s="84">
        <f>A46+1</f>
        <v>2</v>
      </c>
      <c r="B47" s="84">
        <f t="shared" si="11"/>
        <v>0.25</v>
      </c>
      <c r="C47" s="79">
        <f>IF(C48=B49,IF(C49-C48=C48-B48,B48,IF(C49-C48=C48-B47,B47,"#NA")),IF(C48=B48,IF(C49-C48=C48-B47,B47,IF(C49-C48=C48-B46,B46,"#NA")),"#NA"))</f>
        <v>0.5</v>
      </c>
      <c r="D47" s="68">
        <f>VLOOKUP(C47,STN_TABLE,2,FALSE)</f>
        <v>1.69</v>
      </c>
      <c r="E47" s="102">
        <v>1</v>
      </c>
      <c r="F47" s="68">
        <f>D47*E47</f>
        <v>1.69</v>
      </c>
      <c r="G47" s="69">
        <f>C47</f>
        <v>0.5</v>
      </c>
      <c r="H47" s="69">
        <f>F47*G47</f>
        <v>0.84499999999999997</v>
      </c>
      <c r="I47" s="6" t="s">
        <v>93</v>
      </c>
      <c r="J47" s="70">
        <f>IF(OR(D47=0,D48=0,D49=0),"#NA",IF(AND(C49-C48=C48-C47,C48&lt;&gt;C49,C47&lt;&gt;C48,C47&lt;&gt;C49,D49&lt;&gt;0,OR(D47&lt;&gt;0,D48&lt;&gt;0)),WLS*(C49-C48),"#NA"))</f>
        <v>0.5</v>
      </c>
      <c r="O47" s="99">
        <f>O46+1</f>
        <v>4</v>
      </c>
      <c r="P47" s="99">
        <f t="shared" si="10"/>
        <v>0.75</v>
      </c>
      <c r="Q47" s="68" t="str">
        <f>IF(OR(P49-P48=P48-P47,P50-P48=P48-P47),P47,IF(OR(P49-P48=P48-P46,P50-P48=P48-P46),P46,"-"))</f>
        <v>-</v>
      </c>
      <c r="R47" s="69" t="e">
        <f>VLOOKUP(Q47,STN_TABLE,2,FALSE)</f>
        <v>#N/A</v>
      </c>
      <c r="S47" s="69">
        <v>5</v>
      </c>
      <c r="T47" s="68" t="e">
        <f>R47*S47</f>
        <v>#N/A</v>
      </c>
      <c r="U47" s="79">
        <v>3</v>
      </c>
      <c r="V47" s="68" t="e">
        <f>R47*U47</f>
        <v>#N/A</v>
      </c>
      <c r="W47" s="6" t="s">
        <v>93</v>
      </c>
      <c r="X47" s="70" t="e">
        <f>IF(AND(Q49-Q48=Q48-Q47,NOT(AND(Q47=0,Q48=0)),NOT(AND(Q48=0,Q49=0))),WLS*(Q49-Q48),"#NA")</f>
        <v>#VALUE!</v>
      </c>
      <c r="AD47" s="93"/>
      <c r="AH47" s="6" t="s">
        <v>93</v>
      </c>
      <c r="AI47" s="70">
        <f>WLS*(AD49-AD48)</f>
        <v>0.5</v>
      </c>
      <c r="AU47" s="81"/>
    </row>
    <row r="48" spans="1:47" x14ac:dyDescent="0.25">
      <c r="A48" s="84">
        <f>A47+1</f>
        <v>3</v>
      </c>
      <c r="B48" s="84">
        <f t="shared" si="11"/>
        <v>0.5</v>
      </c>
      <c r="C48" s="80">
        <f>IF(OR(B50-B49=B49-B48,B50-B49=B49-B47,B50-B49=B49-B46),B49,IF(OR(B50-B48=B48-B47,B50-B48=B48-B46),B48,IF(B50-B47=B47-B46,B47,"#NA")))</f>
        <v>0.75</v>
      </c>
      <c r="D48" s="76">
        <f>VLOOKUP(C48,STN_TABLE,2,FALSE)</f>
        <v>2.02</v>
      </c>
      <c r="E48" s="81">
        <v>4</v>
      </c>
      <c r="F48" s="76">
        <f>D48*E48</f>
        <v>8.08</v>
      </c>
      <c r="G48" s="77">
        <f>C48</f>
        <v>0.75</v>
      </c>
      <c r="H48" s="77">
        <f>F48*G48</f>
        <v>6.0600000000000005</v>
      </c>
      <c r="I48" s="496" t="s">
        <v>97</v>
      </c>
      <c r="J48" s="496"/>
      <c r="K48" s="78" t="s">
        <v>98</v>
      </c>
      <c r="L48" s="78"/>
      <c r="M48" s="7" t="s">
        <v>99</v>
      </c>
      <c r="N48" s="7"/>
      <c r="O48" s="99">
        <f>O47+1</f>
        <v>5</v>
      </c>
      <c r="P48" s="99">
        <f t="shared" si="10"/>
        <v>1</v>
      </c>
      <c r="Q48" s="76">
        <f>P48</f>
        <v>1</v>
      </c>
      <c r="R48" s="77">
        <f>VLOOKUP(Q48,STN_TABLE,2,FALSE)</f>
        <v>2.29</v>
      </c>
      <c r="S48" s="77">
        <v>8</v>
      </c>
      <c r="T48" s="76">
        <f>R48*S48</f>
        <v>18.32</v>
      </c>
      <c r="U48" s="80">
        <v>10</v>
      </c>
      <c r="V48" s="76">
        <f>R48*U48</f>
        <v>22.9</v>
      </c>
      <c r="W48" s="496" t="s">
        <v>97</v>
      </c>
      <c r="X48" s="496"/>
      <c r="Y48" s="496" t="s">
        <v>98</v>
      </c>
      <c r="Z48" s="496"/>
      <c r="AA48" s="494" t="s">
        <v>99</v>
      </c>
      <c r="AB48" s="494"/>
      <c r="AC48" s="99">
        <f>AC43+1</f>
        <v>4</v>
      </c>
      <c r="AD48" s="95">
        <f>VLOOKUP(AC48,STN_TABLE_2,2,FALSE)</f>
        <v>0.75</v>
      </c>
      <c r="AE48" s="68">
        <f>VLOOKUP(AD48,STN_TABLE,2,FALSE)</f>
        <v>2.02</v>
      </c>
      <c r="AF48" s="68">
        <v>1</v>
      </c>
      <c r="AG48" s="69">
        <f>AE48*AF48</f>
        <v>2.02</v>
      </c>
      <c r="AH48" s="496" t="s">
        <v>97</v>
      </c>
      <c r="AI48" s="496"/>
      <c r="AJ48" s="496" t="s">
        <v>98</v>
      </c>
      <c r="AK48" s="496"/>
      <c r="AL48" s="494" t="s">
        <v>99</v>
      </c>
      <c r="AM48" s="494"/>
      <c r="AP48" s="86" t="s">
        <v>112</v>
      </c>
      <c r="AQ48" s="89" t="s">
        <v>113</v>
      </c>
      <c r="AR48" s="89" t="s">
        <v>114</v>
      </c>
      <c r="AS48" s="89" t="s">
        <v>115</v>
      </c>
      <c r="AU48" s="81"/>
    </row>
    <row r="49" spans="1:47" x14ac:dyDescent="0.25">
      <c r="A49" s="84">
        <f>A48+1</f>
        <v>4</v>
      </c>
      <c r="B49" s="84">
        <f t="shared" si="11"/>
        <v>0.75</v>
      </c>
      <c r="C49" s="88">
        <f>B50</f>
        <v>1</v>
      </c>
      <c r="D49" s="82">
        <f>VLOOKUP(C49,STN_TABLE,2,FALSE)</f>
        <v>2.29</v>
      </c>
      <c r="E49" s="92">
        <v>1</v>
      </c>
      <c r="F49" s="82">
        <f>D49*E49</f>
        <v>2.29</v>
      </c>
      <c r="G49" s="83">
        <f>C49</f>
        <v>1</v>
      </c>
      <c r="H49" s="83">
        <f>F49*G49</f>
        <v>2.29</v>
      </c>
      <c r="I49" s="84" t="str">
        <f>CONCATENATE("a'(",C49,")=")</f>
        <v>a'(1)=</v>
      </c>
      <c r="J49" s="84">
        <f>2*J47/3*F50</f>
        <v>4.0199999999999996</v>
      </c>
      <c r="K49" s="84" t="str">
        <f>CONCATENATE("A(",C47,")=")</f>
        <v>A(0.5)=</v>
      </c>
      <c r="L49" s="84">
        <f>VLOOKUP(C47,STN_TABLE,3,FALSE)</f>
        <v>2.3099999999999996</v>
      </c>
      <c r="M49" t="str">
        <f>CONCATENATE("A(",C49,")=")</f>
        <v>A(1)=</v>
      </c>
      <c r="N49">
        <f>J49+L49</f>
        <v>6.3299999999999992</v>
      </c>
      <c r="O49" s="99">
        <f>O48+1</f>
        <v>6</v>
      </c>
      <c r="P49" s="99">
        <f t="shared" si="10"/>
        <v>2</v>
      </c>
      <c r="Q49" s="82" t="str">
        <f>IF(P49-P48=P48-P47,P49,IF(P50-P48=P48-P47,P50,IF(P49-P48=P48-P46,P49,IF(P50-P48=P48-P46,P50,"-"))))</f>
        <v>-</v>
      </c>
      <c r="R49" s="83" t="e">
        <f>VLOOKUP(Q49,STN_TABLE,2,FALSE)</f>
        <v>#N/A</v>
      </c>
      <c r="S49" s="83">
        <v>-1</v>
      </c>
      <c r="T49" s="82" t="e">
        <f>R49*S49</f>
        <v>#N/A</v>
      </c>
      <c r="U49" s="88">
        <v>-1</v>
      </c>
      <c r="V49" s="82" t="e">
        <f>R49*U49</f>
        <v>#N/A</v>
      </c>
      <c r="W49" s="84" t="str">
        <f>CONCATENATE("a'(",Q48,")=")</f>
        <v>a'(1)=</v>
      </c>
      <c r="X49" s="84" t="e">
        <f>2*X47/12*T50</f>
        <v>#VALUE!</v>
      </c>
      <c r="Y49" s="84" t="str">
        <f>CONCATENATE("A(",Q47,")=")</f>
        <v>A(-)=</v>
      </c>
      <c r="Z49" s="84" t="e">
        <f>VLOOKUP(Q47,STN_TABLE,3,FALSE)</f>
        <v>#N/A</v>
      </c>
      <c r="AA49" t="str">
        <f>CONCATENATE("A(",Q48,")=")</f>
        <v>A(1)=</v>
      </c>
      <c r="AB49" t="e">
        <f>X49+Z49</f>
        <v>#VALUE!</v>
      </c>
      <c r="AC49" s="99">
        <f>AC48+1</f>
        <v>5</v>
      </c>
      <c r="AD49" s="100">
        <f>VLOOKUP(AC49,STN_TABLE_2,2,FALSE)</f>
        <v>1</v>
      </c>
      <c r="AE49" s="82">
        <f>VLOOKUP(AD49,STN_TABLE,2,FALSE)</f>
        <v>2.29</v>
      </c>
      <c r="AF49" s="82">
        <v>2</v>
      </c>
      <c r="AG49" s="83">
        <f>AE49*AF49</f>
        <v>4.58</v>
      </c>
      <c r="AH49" s="84" t="str">
        <f>CONCATENATE("a'(",AD49,")=")</f>
        <v>a'(1)=</v>
      </c>
      <c r="AI49" s="84">
        <f>2*AI47/2*AE50</f>
        <v>2.1550000000000002</v>
      </c>
      <c r="AJ49" s="84" t="str">
        <f>CONCATENATE("A(",AD48,")=")</f>
        <v>A(0.75)=</v>
      </c>
      <c r="AK49" s="84">
        <f>VLOOKUP(AD48,STN_TABLE,3,FALSE)</f>
        <v>4.1624999999999996</v>
      </c>
      <c r="AL49" t="str">
        <f>CONCATENATE("A(",AD49,")=")</f>
        <v>A(1)=</v>
      </c>
      <c r="AM49">
        <f>AI49+AK49</f>
        <v>6.3174999999999999</v>
      </c>
      <c r="AO49" s="68" t="str">
        <f>AA49</f>
        <v>A(1)=</v>
      </c>
      <c r="AP49" s="68" t="e">
        <f>VLOOKUP(AO49,Rise_Results,2,FALSE)</f>
        <v>#N/A</v>
      </c>
      <c r="AQ49" s="76">
        <f>N49</f>
        <v>6.3299999999999992</v>
      </c>
      <c r="AR49" s="76" t="e">
        <f>IF(OR(AB49&lt;=0,AB50&lt;=0),1/0,AB49)</f>
        <v>#VALUE!</v>
      </c>
      <c r="AS49" s="76">
        <f>AM49</f>
        <v>6.3174999999999999</v>
      </c>
      <c r="AT49">
        <f>IFERROR(AP49,IFERROR(AQ49,IFERROR(AR49,AS49)))</f>
        <v>6.3299999999999992</v>
      </c>
      <c r="AU49" s="81"/>
    </row>
    <row r="50" spans="1:47" x14ac:dyDescent="0.25">
      <c r="A50" s="84">
        <f>A49+1</f>
        <v>5</v>
      </c>
      <c r="B50" s="84">
        <f t="shared" si="11"/>
        <v>1</v>
      </c>
      <c r="F50" s="82">
        <f>SUM(F47:F49)</f>
        <v>12.059999999999999</v>
      </c>
      <c r="H50" s="82">
        <f>SUM(H47:H49)</f>
        <v>9.1950000000000003</v>
      </c>
      <c r="I50" s="84" t="str">
        <f>CONCATENATE("m'(",C49,")=")</f>
        <v>m'(1)=</v>
      </c>
      <c r="J50" s="84">
        <f>2*(J47*(WLS))/3*H50</f>
        <v>6.13</v>
      </c>
      <c r="K50" s="84" t="str">
        <f>CONCATENATE("M(",C47,")=")</f>
        <v>M(0.5)=</v>
      </c>
      <c r="L50" s="84">
        <f>VLOOKUP(C47,STN_TABLE,4,FALSE)</f>
        <v>1.3699999999999997</v>
      </c>
      <c r="M50" t="str">
        <f>CONCATENATE("M(",C49,")=")</f>
        <v>M(1)=</v>
      </c>
      <c r="N50">
        <f>J50+L50</f>
        <v>7.5</v>
      </c>
      <c r="O50" s="99">
        <f>O49+1</f>
        <v>7</v>
      </c>
      <c r="P50" s="99">
        <f t="shared" si="10"/>
        <v>3</v>
      </c>
      <c r="T50" s="89" t="e">
        <f>SUM(T47:T49)</f>
        <v>#N/A</v>
      </c>
      <c r="V50" s="82" t="e">
        <f>SUM(V47:V49)</f>
        <v>#N/A</v>
      </c>
      <c r="W50" s="84" t="str">
        <f>CONCATENATE("m'(",Q48,")=")</f>
        <v>m'(1)=</v>
      </c>
      <c r="X50" s="84" t="e">
        <f>(2*(X47^2)/24*V50)+(X49*Q47*WLS)</f>
        <v>#VALUE!</v>
      </c>
      <c r="Y50" s="84" t="str">
        <f>CONCATENATE("M(",Q47,")=")</f>
        <v>M(-)=</v>
      </c>
      <c r="Z50" s="84" t="e">
        <f>VLOOKUP(Q47,STN_TABLE,4,FALSE)</f>
        <v>#N/A</v>
      </c>
      <c r="AA50" t="str">
        <f>CONCATENATE("M(",Q48,")=")</f>
        <v>M(1)=</v>
      </c>
      <c r="AB50" t="e">
        <f>X50+Z50</f>
        <v>#VALUE!</v>
      </c>
      <c r="AE50" s="89">
        <f>SUM(AE48:AE49)</f>
        <v>4.3100000000000005</v>
      </c>
      <c r="AG50" s="89">
        <f>SUM(AG48:AG49)</f>
        <v>6.6</v>
      </c>
      <c r="AH50" s="84" t="str">
        <f>CONCATENATE("m'(",AD49,")=")</f>
        <v>m'(1)=</v>
      </c>
      <c r="AI50" s="84">
        <f>(2*(AI47^2)/6*AG50)+(AI49*AD48*WLS)</f>
        <v>3.7825000000000002</v>
      </c>
      <c r="AJ50" s="84" t="str">
        <f>CONCATENATE("M(",AD48,")=")</f>
        <v>M(0.75)=</v>
      </c>
      <c r="AK50" s="84">
        <f>VLOOKUP(AD48,STN_TABLE,4,FALSE)</f>
        <v>3.7068749999999997</v>
      </c>
      <c r="AL50" t="str">
        <f>CONCATENATE("M(",AD49,")=")</f>
        <v>M(1)=</v>
      </c>
      <c r="AM50">
        <f>AI50+AK50</f>
        <v>7.4893749999999999</v>
      </c>
      <c r="AO50" s="82" t="str">
        <f>AA50</f>
        <v>M(1)=</v>
      </c>
      <c r="AP50" s="82" t="e">
        <f>VLOOKUP(AO50,Rise_Results,2,FALSE)</f>
        <v>#N/A</v>
      </c>
      <c r="AQ50" s="82">
        <f>N50</f>
        <v>7.5</v>
      </c>
      <c r="AR50" s="82" t="e">
        <f>IF(OR(AB49&lt;=0,AB50&lt;=0),1/0,AB50)</f>
        <v>#VALUE!</v>
      </c>
      <c r="AS50" s="82">
        <f>AM50</f>
        <v>7.4893749999999999</v>
      </c>
      <c r="AT50">
        <f>IFERROR(AP50,IFERROR(AQ50,IFERROR(AR50,AS50)))</f>
        <v>7.5</v>
      </c>
      <c r="AU50" s="81"/>
    </row>
    <row r="51" spans="1:47" x14ac:dyDescent="0.25">
      <c r="A51" s="101">
        <f>A46+1</f>
        <v>2</v>
      </c>
      <c r="B51" s="101">
        <f t="shared" si="11"/>
        <v>0.25</v>
      </c>
      <c r="O51" s="101">
        <f>O46+1</f>
        <v>4</v>
      </c>
      <c r="P51" s="101">
        <f t="shared" si="10"/>
        <v>0.75</v>
      </c>
      <c r="AU51" s="81"/>
    </row>
    <row r="52" spans="1:47" x14ac:dyDescent="0.25">
      <c r="A52" s="84">
        <f>A51+1</f>
        <v>3</v>
      </c>
      <c r="B52" s="84">
        <f t="shared" si="11"/>
        <v>0.5</v>
      </c>
      <c r="C52" s="79" t="str">
        <f t="shared" ref="C52" si="12">IF(C53=B54,IF(C54-C53=C53-B53,B53,IF(C54-C53=C53-B52,B52,"#NA")),IF(C53=B53,IF(C54-C53=C53-B52,B52,IF(C54-C53=C53-B51,B51,"#NA")),"#NA"))</f>
        <v>#NA</v>
      </c>
      <c r="D52" s="68" t="e">
        <f>VLOOKUP(C52,STN_TABLE,2,FALSE)</f>
        <v>#N/A</v>
      </c>
      <c r="E52" s="102">
        <v>1</v>
      </c>
      <c r="F52" s="68" t="e">
        <f>D52*E52</f>
        <v>#N/A</v>
      </c>
      <c r="G52" s="69" t="str">
        <f>C52</f>
        <v>#NA</v>
      </c>
      <c r="H52" s="69" t="e">
        <f>F52*G52</f>
        <v>#N/A</v>
      </c>
      <c r="I52" s="6" t="s">
        <v>93</v>
      </c>
      <c r="J52" s="70" t="e">
        <f>IF(OR(D52=0,D53=0,D54=0),"#NA",IF(AND(C54-C53=C53-C52,C53&lt;&gt;C54,C52&lt;&gt;C53,C52&lt;&gt;C54,D54&lt;&gt;0,OR(D52&lt;&gt;0,D53&lt;&gt;0)),WLS*(C54-C53),"#NA"))</f>
        <v>#N/A</v>
      </c>
      <c r="O52" s="99">
        <f>O51+1</f>
        <v>5</v>
      </c>
      <c r="P52" s="99">
        <f t="shared" si="10"/>
        <v>1</v>
      </c>
      <c r="Q52" s="68">
        <f>IF(OR(P54-P53=P53-P52,P55-P53=P53-P52),P52,IF(OR(P54-P53=P53-P51,P55-P53=P53-P51),P51,"-"))</f>
        <v>1</v>
      </c>
      <c r="R52" s="69">
        <f>VLOOKUP(Q52,STN_TABLE,2,FALSE)</f>
        <v>2.29</v>
      </c>
      <c r="S52" s="69">
        <v>5</v>
      </c>
      <c r="T52" s="68">
        <f>R52*S52</f>
        <v>11.45</v>
      </c>
      <c r="U52" s="79">
        <v>3</v>
      </c>
      <c r="V52" s="68">
        <f>R52*U52</f>
        <v>6.87</v>
      </c>
      <c r="W52" s="6" t="s">
        <v>93</v>
      </c>
      <c r="X52" s="70">
        <f>IF(AND(Q54-Q53=Q53-Q52,NOT(AND(Q52=0,Q53=0)),NOT(AND(Q53=0,Q54=0))),WLS*(Q54-Q53),"#NA")</f>
        <v>2</v>
      </c>
      <c r="AD52" s="93"/>
      <c r="AH52" s="6" t="s">
        <v>93</v>
      </c>
      <c r="AI52" s="70">
        <f>WLS*(AD54-AD53)</f>
        <v>2</v>
      </c>
      <c r="AU52" s="81"/>
    </row>
    <row r="53" spans="1:47" x14ac:dyDescent="0.25">
      <c r="A53" s="84">
        <f>A52+1</f>
        <v>4</v>
      </c>
      <c r="B53" s="84">
        <f t="shared" si="11"/>
        <v>0.75</v>
      </c>
      <c r="C53" s="80" t="str">
        <f t="shared" ref="C53" si="13">IF(OR(B55-B54=B54-B53,B55-B54=B54-B52,B55-B54=B54-B51),B54,IF(OR(B55-B53=B53-B52,B55-B53=B53-B51),B53,IF(B55-B52=B52-B51,B52,"#NA")))</f>
        <v>#NA</v>
      </c>
      <c r="D53" s="76" t="e">
        <f>VLOOKUP(C53,STN_TABLE,2,FALSE)</f>
        <v>#N/A</v>
      </c>
      <c r="E53" s="81">
        <v>4</v>
      </c>
      <c r="F53" s="76" t="e">
        <f>D53*E53</f>
        <v>#N/A</v>
      </c>
      <c r="G53" s="77" t="str">
        <f>C53</f>
        <v>#NA</v>
      </c>
      <c r="H53" s="77" t="e">
        <f>F53*G53</f>
        <v>#N/A</v>
      </c>
      <c r="I53" s="495" t="s">
        <v>97</v>
      </c>
      <c r="J53" s="496"/>
      <c r="K53" s="78" t="s">
        <v>98</v>
      </c>
      <c r="L53" s="78"/>
      <c r="M53" s="7" t="s">
        <v>99</v>
      </c>
      <c r="N53" s="7"/>
      <c r="O53" s="99">
        <f>O52+1</f>
        <v>6</v>
      </c>
      <c r="P53" s="99">
        <f t="shared" si="10"/>
        <v>2</v>
      </c>
      <c r="Q53" s="76">
        <f>P53</f>
        <v>2</v>
      </c>
      <c r="R53" s="77">
        <f>VLOOKUP(Q53,STN_TABLE,2,FALSE)</f>
        <v>2.63</v>
      </c>
      <c r="S53" s="77">
        <v>8</v>
      </c>
      <c r="T53" s="76">
        <f>R53*S53</f>
        <v>21.04</v>
      </c>
      <c r="U53" s="80">
        <v>10</v>
      </c>
      <c r="V53" s="76">
        <f>R53*U53</f>
        <v>26.299999999999997</v>
      </c>
      <c r="W53" s="496" t="s">
        <v>97</v>
      </c>
      <c r="X53" s="496"/>
      <c r="Y53" s="496" t="s">
        <v>98</v>
      </c>
      <c r="Z53" s="496"/>
      <c r="AA53" s="494" t="s">
        <v>99</v>
      </c>
      <c r="AB53" s="494"/>
      <c r="AC53" s="99">
        <f>AC48+1</f>
        <v>5</v>
      </c>
      <c r="AD53" s="95">
        <f>VLOOKUP(AC53,STN_TABLE_2,2,FALSE)</f>
        <v>1</v>
      </c>
      <c r="AE53" s="68">
        <f>VLOOKUP(AD53,STN_TABLE,2,FALSE)</f>
        <v>2.29</v>
      </c>
      <c r="AF53" s="68">
        <v>1</v>
      </c>
      <c r="AG53" s="69">
        <f>AE53*AF53</f>
        <v>2.29</v>
      </c>
      <c r="AH53" s="496" t="s">
        <v>97</v>
      </c>
      <c r="AI53" s="496"/>
      <c r="AJ53" s="496" t="s">
        <v>98</v>
      </c>
      <c r="AK53" s="496"/>
      <c r="AL53" s="494" t="s">
        <v>99</v>
      </c>
      <c r="AM53" s="494"/>
      <c r="AP53" s="86" t="s">
        <v>112</v>
      </c>
      <c r="AQ53" s="89" t="s">
        <v>113</v>
      </c>
      <c r="AR53" s="89" t="s">
        <v>114</v>
      </c>
      <c r="AS53" s="89" t="s">
        <v>115</v>
      </c>
      <c r="AU53" s="81"/>
    </row>
    <row r="54" spans="1:47" x14ac:dyDescent="0.25">
      <c r="A54" s="84">
        <f>A53+1</f>
        <v>5</v>
      </c>
      <c r="B54" s="84">
        <f t="shared" si="11"/>
        <v>1</v>
      </c>
      <c r="C54" s="88">
        <f t="shared" ref="C54" si="14">B55</f>
        <v>2</v>
      </c>
      <c r="D54" s="82">
        <f>VLOOKUP(C54,STN_TABLE,2,FALSE)</f>
        <v>2.63</v>
      </c>
      <c r="E54" s="92">
        <v>1</v>
      </c>
      <c r="F54" s="82">
        <f>D54*E54</f>
        <v>2.63</v>
      </c>
      <c r="G54" s="83">
        <f>C54</f>
        <v>2</v>
      </c>
      <c r="H54" s="83">
        <f>F54*G54</f>
        <v>5.26</v>
      </c>
      <c r="I54" s="84" t="str">
        <f>CONCATENATE("a'(",C54,")=")</f>
        <v>a'(2)=</v>
      </c>
      <c r="J54" s="84" t="e">
        <f>2*J52/3*F55</f>
        <v>#N/A</v>
      </c>
      <c r="K54" s="84" t="str">
        <f>CONCATENATE("A(",C52,")=")</f>
        <v>A(#NA)=</v>
      </c>
      <c r="L54" s="84" t="e">
        <f>VLOOKUP(C52,STN_TABLE,3,FALSE)</f>
        <v>#N/A</v>
      </c>
      <c r="M54" t="str">
        <f>CONCATENATE("A(",C54,")=")</f>
        <v>A(2)=</v>
      </c>
      <c r="N54" t="e">
        <f>J54+L54</f>
        <v>#N/A</v>
      </c>
      <c r="O54" s="99">
        <f>O53+1</f>
        <v>7</v>
      </c>
      <c r="P54" s="99">
        <f t="shared" si="10"/>
        <v>3</v>
      </c>
      <c r="Q54" s="82">
        <f>IF(P54-P53=P53-P52,P54,IF(P55-P53=P53-P52,P55,IF(P54-P53=P53-P51,P54,IF(P55-P53=P53-P51,P55,"-"))))</f>
        <v>3</v>
      </c>
      <c r="R54" s="83">
        <f>VLOOKUP(Q54,STN_TABLE,2,FALSE)</f>
        <v>2.38</v>
      </c>
      <c r="S54" s="83">
        <v>-1</v>
      </c>
      <c r="T54" s="82">
        <f>R54*S54</f>
        <v>-2.38</v>
      </c>
      <c r="U54" s="88">
        <v>-1</v>
      </c>
      <c r="V54" s="82">
        <f>R54*U54</f>
        <v>-2.38</v>
      </c>
      <c r="W54" s="84" t="str">
        <f>CONCATENATE("a'(",Q53,")=")</f>
        <v>a'(2)=</v>
      </c>
      <c r="X54" s="84">
        <f>2*X52/12*T55</f>
        <v>10.036666666666665</v>
      </c>
      <c r="Y54" s="84" t="str">
        <f>CONCATENATE("A(",Q52,")=")</f>
        <v>A(1)=</v>
      </c>
      <c r="Z54" s="84">
        <f>VLOOKUP(Q52,STN_TABLE,3,FALSE)</f>
        <v>6.3299999999999992</v>
      </c>
      <c r="AA54" t="str">
        <f>CONCATENATE("A(",Q53,")=")</f>
        <v>A(2)=</v>
      </c>
      <c r="AB54">
        <f>X54+Z54</f>
        <v>16.366666666666664</v>
      </c>
      <c r="AC54" s="99">
        <f>AC53+1</f>
        <v>6</v>
      </c>
      <c r="AD54" s="100">
        <f>VLOOKUP(AC54,STN_TABLE_2,2,FALSE)</f>
        <v>2</v>
      </c>
      <c r="AE54" s="82">
        <f>VLOOKUP(AD54,STN_TABLE,2,FALSE)</f>
        <v>2.63</v>
      </c>
      <c r="AF54" s="82">
        <v>2</v>
      </c>
      <c r="AG54" s="83">
        <f>AE54*AF54</f>
        <v>5.26</v>
      </c>
      <c r="AH54" s="84" t="str">
        <f>CONCATENATE("a'(",AD54,")=")</f>
        <v>a'(2)=</v>
      </c>
      <c r="AI54" s="84">
        <f>2*AI52/2*AE55</f>
        <v>9.84</v>
      </c>
      <c r="AJ54" s="84" t="str">
        <f>CONCATENATE("A(",AD53,")=")</f>
        <v>A(1)=</v>
      </c>
      <c r="AK54" s="84">
        <f>VLOOKUP(AD53,STN_TABLE,3,FALSE)</f>
        <v>6.3299999999999992</v>
      </c>
      <c r="AL54" t="str">
        <f>CONCATENATE("A(",AD54,")=")</f>
        <v>A(2)=</v>
      </c>
      <c r="AM54">
        <f>AI54+AK54</f>
        <v>16.169999999999998</v>
      </c>
      <c r="AO54" s="68" t="str">
        <f>AA54</f>
        <v>A(2)=</v>
      </c>
      <c r="AP54" s="68" t="e">
        <f>VLOOKUP(AO54,Rise_Results,2,FALSE)</f>
        <v>#N/A</v>
      </c>
      <c r="AQ54" s="76" t="e">
        <f>N54</f>
        <v>#N/A</v>
      </c>
      <c r="AR54" s="76">
        <f>IF(OR(AB54&lt;=0,AB55&lt;=0),1/0,AB54)</f>
        <v>16.366666666666664</v>
      </c>
      <c r="AS54" s="76">
        <f>AM54</f>
        <v>16.169999999999998</v>
      </c>
      <c r="AT54">
        <f>IFERROR(AP54,IFERROR(AQ54,IFERROR(AR54,AS54)))</f>
        <v>16.366666666666664</v>
      </c>
      <c r="AU54" s="81"/>
    </row>
    <row r="55" spans="1:47" x14ac:dyDescent="0.25">
      <c r="A55" s="84">
        <f>A54+1</f>
        <v>6</v>
      </c>
      <c r="B55" s="84">
        <f t="shared" si="11"/>
        <v>2</v>
      </c>
      <c r="F55" s="82" t="e">
        <f>SUM(F52:F54)</f>
        <v>#N/A</v>
      </c>
      <c r="H55" s="82" t="e">
        <f>SUM(H52:H54)</f>
        <v>#N/A</v>
      </c>
      <c r="I55" s="84" t="str">
        <f>CONCATENATE("m'(",C54,")=")</f>
        <v>m'(2)=</v>
      </c>
      <c r="J55" s="84" t="e">
        <f>2*(J52*(WLS))/3*H55</f>
        <v>#N/A</v>
      </c>
      <c r="K55" s="84" t="str">
        <f>CONCATENATE("M(",C52,")=")</f>
        <v>M(#NA)=</v>
      </c>
      <c r="L55" s="84" t="e">
        <f>VLOOKUP(C52,STN_TABLE,4,FALSE)</f>
        <v>#N/A</v>
      </c>
      <c r="M55" t="str">
        <f>CONCATENATE("M(",C54,")=")</f>
        <v>M(2)=</v>
      </c>
      <c r="N55" t="e">
        <f>J55+L55</f>
        <v>#N/A</v>
      </c>
      <c r="O55" s="99">
        <f>O54+1</f>
        <v>8</v>
      </c>
      <c r="P55" s="99">
        <f t="shared" si="10"/>
        <v>4</v>
      </c>
      <c r="T55" s="89">
        <f>SUM(T52:T54)</f>
        <v>30.109999999999996</v>
      </c>
      <c r="V55" s="82">
        <f>SUM(V52:V54)</f>
        <v>30.789999999999996</v>
      </c>
      <c r="W55" s="84" t="str">
        <f>CONCATENATE("m'(",Q53,")=")</f>
        <v>m'(2)=</v>
      </c>
      <c r="X55" s="84">
        <f>(2*(X52^2)/24*V55)+(X54*Q52*WLS)</f>
        <v>30.336666666666662</v>
      </c>
      <c r="Y55" s="84" t="str">
        <f>CONCATENATE("M(",Q52,")=")</f>
        <v>M(1)=</v>
      </c>
      <c r="Z55" s="84">
        <f>VLOOKUP(Q52,STN_TABLE,4,FALSE)</f>
        <v>7.5</v>
      </c>
      <c r="AA55" t="str">
        <f>CONCATENATE("M(",Q53,")=")</f>
        <v>M(2)=</v>
      </c>
      <c r="AB55">
        <f>X55+Z55</f>
        <v>37.836666666666659</v>
      </c>
      <c r="AE55" s="89">
        <f>SUM(AE53:AE54)</f>
        <v>4.92</v>
      </c>
      <c r="AG55" s="89">
        <f>SUM(AG53:AG54)</f>
        <v>7.55</v>
      </c>
      <c r="AH55" s="84" t="str">
        <f>CONCATENATE("m'(",AD54,")=")</f>
        <v>m'(2)=</v>
      </c>
      <c r="AI55" s="84">
        <f>(2*(AI52^2)/6*AG55)+(AI54*AD53*WLS)</f>
        <v>29.746666666666666</v>
      </c>
      <c r="AJ55" s="84" t="str">
        <f>CONCATENATE("M(",AD53,")=")</f>
        <v>M(1)=</v>
      </c>
      <c r="AK55" s="84">
        <f>VLOOKUP(AD53,STN_TABLE,4,FALSE)</f>
        <v>7.5</v>
      </c>
      <c r="AL55" t="str">
        <f>CONCATENATE("M(",AD54,")=")</f>
        <v>M(2)=</v>
      </c>
      <c r="AM55">
        <f>AI55+AK55</f>
        <v>37.24666666666667</v>
      </c>
      <c r="AO55" s="82" t="str">
        <f>AA55</f>
        <v>M(2)=</v>
      </c>
      <c r="AP55" s="82" t="e">
        <f>VLOOKUP(AO55,Rise_Results,2,FALSE)</f>
        <v>#N/A</v>
      </c>
      <c r="AQ55" s="82" t="e">
        <f>N55</f>
        <v>#N/A</v>
      </c>
      <c r="AR55" s="82">
        <f>IF(OR(AB54&lt;=0,AB55&lt;=0),1/0,AB55)</f>
        <v>37.836666666666659</v>
      </c>
      <c r="AS55" s="82">
        <f>AM55</f>
        <v>37.24666666666667</v>
      </c>
      <c r="AT55">
        <f>IFERROR(AP55,IFERROR(AQ55,IFERROR(AR55,AS55)))</f>
        <v>37.836666666666659</v>
      </c>
      <c r="AU55" s="81"/>
    </row>
    <row r="56" spans="1:47" x14ac:dyDescent="0.25">
      <c r="A56" s="101">
        <f>A51+1</f>
        <v>3</v>
      </c>
      <c r="B56" s="101">
        <f t="shared" si="11"/>
        <v>0.5</v>
      </c>
      <c r="O56" s="101">
        <f>O51+1</f>
        <v>5</v>
      </c>
      <c r="P56" s="101">
        <f t="shared" si="10"/>
        <v>1</v>
      </c>
      <c r="AU56" s="81"/>
    </row>
    <row r="57" spans="1:47" x14ac:dyDescent="0.25">
      <c r="A57" s="84">
        <f>A56+1</f>
        <v>4</v>
      </c>
      <c r="B57" s="84">
        <f t="shared" si="11"/>
        <v>0.75</v>
      </c>
      <c r="C57" s="79">
        <f t="shared" ref="C57" si="15">IF(C58=B59,IF(C59-C58=C58-B58,B58,IF(C59-C58=C58-B57,B57,"#NA")),IF(C58=B58,IF(C59-C58=C58-B57,B57,IF(C59-C58=C58-B56,B56,"#NA")),"#NA"))</f>
        <v>1</v>
      </c>
      <c r="D57" s="68">
        <f>VLOOKUP(C57,STN_TABLE,2,FALSE)</f>
        <v>2.29</v>
      </c>
      <c r="E57" s="102">
        <v>1</v>
      </c>
      <c r="F57" s="68">
        <f>D57*E57</f>
        <v>2.29</v>
      </c>
      <c r="G57" s="69">
        <f>C57</f>
        <v>1</v>
      </c>
      <c r="H57" s="69">
        <f>F57*G57</f>
        <v>2.29</v>
      </c>
      <c r="I57" s="6" t="s">
        <v>93</v>
      </c>
      <c r="J57" s="70">
        <f>IF(OR(D57=0,D58=0,D59=0),"#NA",IF(AND(C59-C58=C58-C57,C58&lt;&gt;C59,C57&lt;&gt;C58,C57&lt;&gt;C59,D59&lt;&gt;0,OR(D57&lt;&gt;0,D58&lt;&gt;0)),WLS*(C59-C58),"#NA"))</f>
        <v>2</v>
      </c>
      <c r="O57" s="99">
        <f>O56+1</f>
        <v>6</v>
      </c>
      <c r="P57" s="99">
        <f t="shared" si="10"/>
        <v>2</v>
      </c>
      <c r="Q57" s="68">
        <f>IF(OR(P59-P58=P58-P57,P60-P58=P58-P57),P57,IF(OR(P59-P58=P58-P56,P60-P58=P58-P56),P56,"-"))</f>
        <v>2</v>
      </c>
      <c r="R57" s="69">
        <f>VLOOKUP(Q57,STN_TABLE,2,FALSE)</f>
        <v>2.63</v>
      </c>
      <c r="S57" s="69">
        <v>5</v>
      </c>
      <c r="T57" s="68">
        <f>R57*S57</f>
        <v>13.149999999999999</v>
      </c>
      <c r="U57" s="79">
        <v>3</v>
      </c>
      <c r="V57" s="68">
        <f>R57*U57</f>
        <v>7.89</v>
      </c>
      <c r="W57" s="6" t="s">
        <v>93</v>
      </c>
      <c r="X57" s="70">
        <f>IF(AND(Q59-Q58=Q58-Q57,NOT(AND(Q57=0,Q58=0)),NOT(AND(Q58=0,Q59=0))),WLS*(Q59-Q58),"#NA")</f>
        <v>2</v>
      </c>
      <c r="AD57" s="93"/>
      <c r="AH57" s="6" t="s">
        <v>93</v>
      </c>
      <c r="AI57" s="70">
        <f>WLS*(AD59-AD58)</f>
        <v>2</v>
      </c>
      <c r="AU57" s="81"/>
    </row>
    <row r="58" spans="1:47" x14ac:dyDescent="0.25">
      <c r="A58" s="84">
        <f>A57+1</f>
        <v>5</v>
      </c>
      <c r="B58" s="84">
        <f t="shared" si="11"/>
        <v>1</v>
      </c>
      <c r="C58" s="80">
        <f t="shared" ref="C58" si="16">IF(OR(B60-B59=B59-B58,B60-B59=B59-B57,B60-B59=B59-B56),B59,IF(OR(B60-B58=B58-B57,B60-B58=B58-B56),B58,IF(B60-B57=B57-B56,B57,"#NA")))</f>
        <v>2</v>
      </c>
      <c r="D58" s="76">
        <f>VLOOKUP(C58,STN_TABLE,2,FALSE)</f>
        <v>2.63</v>
      </c>
      <c r="E58" s="81">
        <v>4</v>
      </c>
      <c r="F58" s="76">
        <f>D58*E58</f>
        <v>10.52</v>
      </c>
      <c r="G58" s="77">
        <f>C58</f>
        <v>2</v>
      </c>
      <c r="H58" s="77">
        <f>F58*G58</f>
        <v>21.04</v>
      </c>
      <c r="I58" s="495" t="s">
        <v>97</v>
      </c>
      <c r="J58" s="496"/>
      <c r="K58" s="78" t="s">
        <v>98</v>
      </c>
      <c r="L58" s="78"/>
      <c r="M58" s="7" t="s">
        <v>99</v>
      </c>
      <c r="N58" s="7"/>
      <c r="O58" s="99">
        <f>O57+1</f>
        <v>7</v>
      </c>
      <c r="P58" s="99">
        <f t="shared" si="10"/>
        <v>3</v>
      </c>
      <c r="Q58" s="76">
        <f>P58</f>
        <v>3</v>
      </c>
      <c r="R58" s="77">
        <f>VLOOKUP(Q58,STN_TABLE,2,FALSE)</f>
        <v>2.38</v>
      </c>
      <c r="S58" s="77">
        <v>8</v>
      </c>
      <c r="T58" s="76">
        <f>R58*S58</f>
        <v>19.04</v>
      </c>
      <c r="U58" s="80">
        <v>10</v>
      </c>
      <c r="V58" s="76">
        <f>R58*U58</f>
        <v>23.799999999999997</v>
      </c>
      <c r="W58" s="78" t="s">
        <v>97</v>
      </c>
      <c r="X58" s="78"/>
      <c r="Y58" s="78" t="s">
        <v>98</v>
      </c>
      <c r="Z58" s="78"/>
      <c r="AA58" s="7" t="s">
        <v>99</v>
      </c>
      <c r="AB58" s="7"/>
      <c r="AC58" s="99">
        <f>AC53+1</f>
        <v>6</v>
      </c>
      <c r="AD58" s="95">
        <f>VLOOKUP(AC58,STN_TABLE_2,2,FALSE)</f>
        <v>2</v>
      </c>
      <c r="AE58" s="68">
        <f>VLOOKUP(AD58,STN_TABLE,2,FALSE)</f>
        <v>2.63</v>
      </c>
      <c r="AF58" s="68">
        <v>1</v>
      </c>
      <c r="AG58" s="69">
        <f>AE58*AF58</f>
        <v>2.63</v>
      </c>
      <c r="AH58" s="496" t="s">
        <v>97</v>
      </c>
      <c r="AI58" s="496"/>
      <c r="AJ58" s="496" t="s">
        <v>98</v>
      </c>
      <c r="AK58" s="496"/>
      <c r="AL58" s="494" t="s">
        <v>99</v>
      </c>
      <c r="AM58" s="494"/>
      <c r="AP58" s="86" t="s">
        <v>112</v>
      </c>
      <c r="AQ58" s="89" t="s">
        <v>113</v>
      </c>
      <c r="AR58" s="89" t="s">
        <v>114</v>
      </c>
      <c r="AS58" s="89" t="s">
        <v>115</v>
      </c>
      <c r="AU58" s="81"/>
    </row>
    <row r="59" spans="1:47" x14ac:dyDescent="0.25">
      <c r="A59" s="84">
        <f>A58+1</f>
        <v>6</v>
      </c>
      <c r="B59" s="84">
        <f t="shared" si="11"/>
        <v>2</v>
      </c>
      <c r="C59" s="88">
        <f t="shared" ref="C59" si="17">B60</f>
        <v>3</v>
      </c>
      <c r="D59" s="82">
        <f>VLOOKUP(C59,STN_TABLE,2,FALSE)</f>
        <v>2.38</v>
      </c>
      <c r="E59" s="92">
        <v>1</v>
      </c>
      <c r="F59" s="82">
        <f>D59*E59</f>
        <v>2.38</v>
      </c>
      <c r="G59" s="83">
        <f>C59</f>
        <v>3</v>
      </c>
      <c r="H59" s="83">
        <f>F59*G59</f>
        <v>7.14</v>
      </c>
      <c r="I59" s="84" t="str">
        <f>CONCATENATE("a'(",C59,")=")</f>
        <v>a'(3)=</v>
      </c>
      <c r="J59" s="84">
        <f>2*J57/3*F60</f>
        <v>20.25333333333333</v>
      </c>
      <c r="K59" s="84" t="str">
        <f>CONCATENATE("A(",C57,")=")</f>
        <v>A(1)=</v>
      </c>
      <c r="L59" s="84">
        <f>VLOOKUP(C57,STN_TABLE,3,FALSE)</f>
        <v>6.3299999999999992</v>
      </c>
      <c r="M59" t="str">
        <f>CONCATENATE("A(",C59,")=")</f>
        <v>A(3)=</v>
      </c>
      <c r="N59">
        <f>J59+L59</f>
        <v>26.583333333333329</v>
      </c>
      <c r="O59" s="99">
        <f>O58+1</f>
        <v>8</v>
      </c>
      <c r="P59" s="99">
        <f t="shared" si="10"/>
        <v>4</v>
      </c>
      <c r="Q59" s="82">
        <f>IF(P59-P58=P58-P57,P59,IF(P60-P58=P58-P57,P60,IF(P59-P58=P58-P56,P59,IF(P60-P58=P58-P56,P60,"-"))))</f>
        <v>4</v>
      </c>
      <c r="R59" s="83">
        <f>VLOOKUP(Q59,STN_TABLE,2,FALSE)</f>
        <v>2.25</v>
      </c>
      <c r="S59" s="83">
        <v>-1</v>
      </c>
      <c r="T59" s="82">
        <f>R59*S59</f>
        <v>-2.25</v>
      </c>
      <c r="U59" s="88">
        <v>-1</v>
      </c>
      <c r="V59" s="82">
        <f>R59*U59</f>
        <v>-2.25</v>
      </c>
      <c r="W59" s="84" t="str">
        <f>CONCATENATE("a'(",Q58,")=")</f>
        <v>a'(3)=</v>
      </c>
      <c r="X59" s="84">
        <f>2*X57/12*T60</f>
        <v>9.9799999999999986</v>
      </c>
      <c r="Y59" s="84" t="str">
        <f>CONCATENATE("A(",Q57,")=")</f>
        <v>A(2)=</v>
      </c>
      <c r="Z59" s="84">
        <f>VLOOKUP(Q57,STN_TABLE,3,FALSE)</f>
        <v>16.366666666666664</v>
      </c>
      <c r="AA59" t="str">
        <f>CONCATENATE("A(",Q58,")=")</f>
        <v>A(3)=</v>
      </c>
      <c r="AB59">
        <f>X59+Z59</f>
        <v>26.346666666666664</v>
      </c>
      <c r="AC59" s="99">
        <f>AC58+1</f>
        <v>7</v>
      </c>
      <c r="AD59" s="100">
        <f>VLOOKUP(AC59,STN_TABLE_2,2,FALSE)</f>
        <v>3</v>
      </c>
      <c r="AE59" s="82">
        <f>VLOOKUP(AD59,STN_TABLE,2,FALSE)</f>
        <v>2.38</v>
      </c>
      <c r="AF59" s="82">
        <v>2</v>
      </c>
      <c r="AG59" s="83">
        <f>AE59*AF59</f>
        <v>4.76</v>
      </c>
      <c r="AH59" s="84" t="str">
        <f>CONCATENATE("a'(",AD59,")=")</f>
        <v>a'(3)=</v>
      </c>
      <c r="AI59" s="84">
        <f>2*AI57/2*AE60</f>
        <v>10.02</v>
      </c>
      <c r="AJ59" s="84" t="str">
        <f>CONCATENATE("A(",AD58,")=")</f>
        <v>A(2)=</v>
      </c>
      <c r="AK59" s="84">
        <f>VLOOKUP(AD58,STN_TABLE,3,FALSE)</f>
        <v>16.366666666666664</v>
      </c>
      <c r="AL59" t="str">
        <f>CONCATENATE("A(",AD59,")=")</f>
        <v>A(3)=</v>
      </c>
      <c r="AM59">
        <f>AI59+AK59</f>
        <v>26.386666666666663</v>
      </c>
      <c r="AO59" s="68" t="str">
        <f>AA59</f>
        <v>A(3)=</v>
      </c>
      <c r="AP59" s="68" t="e">
        <f>VLOOKUP(AO59,Rise_Results,2,FALSE)</f>
        <v>#N/A</v>
      </c>
      <c r="AQ59" s="76">
        <f>N59</f>
        <v>26.583333333333329</v>
      </c>
      <c r="AR59" s="76">
        <f>IF(OR(AB59&lt;=0,AB60&lt;=0),1/0,AB59)</f>
        <v>26.346666666666664</v>
      </c>
      <c r="AS59" s="76">
        <f>AM59</f>
        <v>26.386666666666663</v>
      </c>
      <c r="AT59">
        <f>IFERROR(AP59,IFERROR(AQ59,IFERROR(AR59,AS59)))</f>
        <v>26.583333333333329</v>
      </c>
      <c r="AU59" s="81"/>
    </row>
    <row r="60" spans="1:47" x14ac:dyDescent="0.25">
      <c r="A60" s="84">
        <f>A59+1</f>
        <v>7</v>
      </c>
      <c r="B60" s="84">
        <f t="shared" si="11"/>
        <v>3</v>
      </c>
      <c r="F60" s="82">
        <f>SUM(F57:F59)</f>
        <v>15.189999999999998</v>
      </c>
      <c r="H60" s="82">
        <f>SUM(H57:H59)</f>
        <v>30.47</v>
      </c>
      <c r="I60" s="84" t="str">
        <f>CONCATENATE("m'(",C59,")=")</f>
        <v>m'(3)=</v>
      </c>
      <c r="J60" s="84">
        <f>2*(J57*(WLS))/3*H60</f>
        <v>81.25333333333333</v>
      </c>
      <c r="K60" s="84" t="str">
        <f>CONCATENATE("M(",C57,")=")</f>
        <v>M(1)=</v>
      </c>
      <c r="L60" s="84">
        <f>VLOOKUP(C57,STN_TABLE,4,FALSE)</f>
        <v>7.5</v>
      </c>
      <c r="M60" t="str">
        <f>CONCATENATE("M(",C59,")=")</f>
        <v>M(3)=</v>
      </c>
      <c r="N60">
        <f>J60+L60</f>
        <v>88.75333333333333</v>
      </c>
      <c r="O60" s="99">
        <f>O59+1</f>
        <v>9</v>
      </c>
      <c r="P60" s="99">
        <f t="shared" si="10"/>
        <v>4.8499999999999996</v>
      </c>
      <c r="T60" s="89">
        <f>SUM(T57:T59)</f>
        <v>29.939999999999998</v>
      </c>
      <c r="V60" s="82">
        <f>SUM(V57:V59)</f>
        <v>29.439999999999998</v>
      </c>
      <c r="W60" s="84" t="str">
        <f>CONCATENATE("m'(",Q58,")=")</f>
        <v>m'(3)=</v>
      </c>
      <c r="X60" s="84">
        <f>(2*(X57^2)/24*V60)+(X59*Q57*WLS)</f>
        <v>49.733333333333327</v>
      </c>
      <c r="Y60" s="84" t="str">
        <f>CONCATENATE("M(",Q57,")=")</f>
        <v>M(2)=</v>
      </c>
      <c r="Z60" s="84">
        <f>VLOOKUP(Q57,STN_TABLE,4,FALSE)</f>
        <v>37.836666666666659</v>
      </c>
      <c r="AA60" t="str">
        <f>CONCATENATE("M(",Q58,")=")</f>
        <v>M(3)=</v>
      </c>
      <c r="AB60">
        <f>X60+Z60</f>
        <v>87.57</v>
      </c>
      <c r="AE60" s="89">
        <f>SUM(AE58:AE59)</f>
        <v>5.01</v>
      </c>
      <c r="AG60" s="89">
        <f>SUM(AG58:AG59)</f>
        <v>7.39</v>
      </c>
      <c r="AH60" s="84" t="str">
        <f>CONCATENATE("m'(",AD59,")=")</f>
        <v>m'(3)=</v>
      </c>
      <c r="AI60" s="84">
        <f>(2*(AI57^2)/6*AG60)+(AI59*AD58*WLS)</f>
        <v>49.93333333333333</v>
      </c>
      <c r="AJ60" s="84" t="str">
        <f>CONCATENATE("M(",AD58,")=")</f>
        <v>M(2)=</v>
      </c>
      <c r="AK60" s="84">
        <f>VLOOKUP(AD57,STN_TABLE,4,FALSE)</f>
        <v>0</v>
      </c>
      <c r="AL60" t="str">
        <f>CONCATENATE("M(",AD59,")=")</f>
        <v>M(3)=</v>
      </c>
      <c r="AM60">
        <f>AI60+AK60</f>
        <v>49.93333333333333</v>
      </c>
      <c r="AO60" s="82" t="str">
        <f>AA60</f>
        <v>M(3)=</v>
      </c>
      <c r="AP60" s="82" t="e">
        <f>VLOOKUP(AO60,Rise_Results,2,FALSE)</f>
        <v>#N/A</v>
      </c>
      <c r="AQ60" s="82">
        <f>N60</f>
        <v>88.75333333333333</v>
      </c>
      <c r="AR60" s="82">
        <f>IF(OR(AB59&lt;=0,AB60&lt;=0),1/0,AB60)</f>
        <v>87.57</v>
      </c>
      <c r="AS60" s="82">
        <f>AM60</f>
        <v>49.93333333333333</v>
      </c>
      <c r="AT60">
        <f>IFERROR(AP60,IFERROR(AQ60,IFERROR(AR60,AS60)))</f>
        <v>88.75333333333333</v>
      </c>
      <c r="AU60" s="81"/>
    </row>
    <row r="61" spans="1:47" x14ac:dyDescent="0.25">
      <c r="A61" s="101">
        <f>A56+1</f>
        <v>4</v>
      </c>
      <c r="B61" s="101">
        <f t="shared" si="11"/>
        <v>0.75</v>
      </c>
      <c r="O61" s="101">
        <f>O56+1</f>
        <v>6</v>
      </c>
      <c r="P61" s="101">
        <f t="shared" si="10"/>
        <v>2</v>
      </c>
      <c r="AU61" s="81"/>
    </row>
    <row r="62" spans="1:47" x14ac:dyDescent="0.25">
      <c r="A62" s="84">
        <f>A61+1</f>
        <v>5</v>
      </c>
      <c r="B62" s="84">
        <f t="shared" si="11"/>
        <v>1</v>
      </c>
      <c r="C62" s="79">
        <f t="shared" ref="C62" si="18">IF(C63=B64,IF(C64-C63=C63-B63,B63,IF(C64-C63=C63-B62,B62,"#NA")),IF(C63=B63,IF(C64-C63=C63-B62,B62,IF(C64-C63=C63-B61,B61,"#NA")),"#NA"))</f>
        <v>2</v>
      </c>
      <c r="D62" s="68">
        <f>VLOOKUP(C62,STN_TABLE,2,FALSE)</f>
        <v>2.63</v>
      </c>
      <c r="E62" s="102">
        <v>1</v>
      </c>
      <c r="F62" s="68">
        <f>D62*E62</f>
        <v>2.63</v>
      </c>
      <c r="G62" s="69">
        <f>C62</f>
        <v>2</v>
      </c>
      <c r="H62" s="69">
        <f>F62*G62</f>
        <v>5.26</v>
      </c>
      <c r="I62" s="6" t="s">
        <v>93</v>
      </c>
      <c r="J62" s="70">
        <f>IF(OR(D62=0,D63=0,D64=0),"#NA",IF(AND(C64-C63=C63-C62,C63&lt;&gt;C64,C62&lt;&gt;C63,C62&lt;&gt;C64,D64&lt;&gt;0,OR(D62&lt;&gt;0,D63&lt;&gt;0)),WLS*(C64-C63),"#NA"))</f>
        <v>2</v>
      </c>
      <c r="O62" s="99">
        <f>O61+1</f>
        <v>7</v>
      </c>
      <c r="P62" s="99">
        <f t="shared" si="10"/>
        <v>3</v>
      </c>
      <c r="Q62" s="68">
        <f>IF(OR(P64-P63=P63-P62,P65-P63=P63-P62),P62,IF(OR(P64-P63=P63-P61,P65-P63=P63-P61),P61,"-"))</f>
        <v>3</v>
      </c>
      <c r="R62" s="69">
        <f>VLOOKUP(Q62,STN_TABLE,2,FALSE)</f>
        <v>2.38</v>
      </c>
      <c r="S62" s="69">
        <v>5</v>
      </c>
      <c r="T62" s="68">
        <f>R62*S62</f>
        <v>11.899999999999999</v>
      </c>
      <c r="U62" s="79">
        <v>3</v>
      </c>
      <c r="V62" s="68">
        <f>R62*U62</f>
        <v>7.14</v>
      </c>
      <c r="W62" s="6" t="s">
        <v>93</v>
      </c>
      <c r="X62" s="70">
        <f>IF(AND(Q64-Q63=Q63-Q62,NOT(AND(Q62=0,Q63=0)),NOT(AND(Q63=0,Q64=0))),WLS*(Q64-Q63),"#NA")</f>
        <v>2</v>
      </c>
      <c r="AD62" s="93"/>
      <c r="AH62" s="6" t="s">
        <v>93</v>
      </c>
      <c r="AI62" s="70">
        <f>WLS*(AD64-AD63)</f>
        <v>2</v>
      </c>
      <c r="AU62" s="81"/>
    </row>
    <row r="63" spans="1:47" x14ac:dyDescent="0.25">
      <c r="A63" s="84">
        <f>A62+1</f>
        <v>6</v>
      </c>
      <c r="B63" s="84">
        <f t="shared" si="11"/>
        <v>2</v>
      </c>
      <c r="C63" s="80">
        <f t="shared" ref="C63" si="19">IF(OR(B65-B64=B64-B63,B65-B64=B64-B62,B65-B64=B64-B61),B64,IF(OR(B65-B63=B63-B62,B65-B63=B63-B61),B63,IF(B65-B62=B62-B61,B62,"#NA")))</f>
        <v>3</v>
      </c>
      <c r="D63" s="76">
        <f>VLOOKUP(C63,STN_TABLE,2,FALSE)</f>
        <v>2.38</v>
      </c>
      <c r="E63" s="81">
        <v>4</v>
      </c>
      <c r="F63" s="76">
        <f>D63*E63</f>
        <v>9.52</v>
      </c>
      <c r="G63" s="77">
        <f>C63</f>
        <v>3</v>
      </c>
      <c r="H63" s="77">
        <f>F63*G63</f>
        <v>28.56</v>
      </c>
      <c r="I63" s="495" t="s">
        <v>97</v>
      </c>
      <c r="J63" s="496"/>
      <c r="K63" s="78" t="s">
        <v>98</v>
      </c>
      <c r="L63" s="78"/>
      <c r="M63" s="7" t="s">
        <v>99</v>
      </c>
      <c r="N63" s="7"/>
      <c r="O63" s="99">
        <f>O62+1</f>
        <v>8</v>
      </c>
      <c r="P63" s="99">
        <f t="shared" si="10"/>
        <v>4</v>
      </c>
      <c r="Q63" s="76">
        <f>P63</f>
        <v>4</v>
      </c>
      <c r="R63" s="77">
        <f>VLOOKUP(Q63,STN_TABLE,2,FALSE)</f>
        <v>2.25</v>
      </c>
      <c r="S63" s="77">
        <v>8</v>
      </c>
      <c r="T63" s="76">
        <f>R63*S63</f>
        <v>18</v>
      </c>
      <c r="U63" s="80">
        <v>10</v>
      </c>
      <c r="V63" s="76">
        <f>R63*U63</f>
        <v>22.5</v>
      </c>
      <c r="W63" s="496" t="s">
        <v>97</v>
      </c>
      <c r="X63" s="496"/>
      <c r="Y63" s="496" t="s">
        <v>98</v>
      </c>
      <c r="Z63" s="496"/>
      <c r="AA63" s="494" t="s">
        <v>99</v>
      </c>
      <c r="AB63" s="494"/>
      <c r="AC63" s="99">
        <f>AC58+1</f>
        <v>7</v>
      </c>
      <c r="AD63" s="95">
        <f>VLOOKUP(AC63,STN_TABLE_2,2,FALSE)</f>
        <v>3</v>
      </c>
      <c r="AE63" s="68">
        <f>VLOOKUP(AD63,STN_TABLE,2,FALSE)</f>
        <v>2.38</v>
      </c>
      <c r="AF63" s="68">
        <v>1</v>
      </c>
      <c r="AG63" s="69">
        <f>AE63*AF63</f>
        <v>2.38</v>
      </c>
      <c r="AH63" s="496" t="s">
        <v>97</v>
      </c>
      <c r="AI63" s="496"/>
      <c r="AJ63" s="496" t="s">
        <v>98</v>
      </c>
      <c r="AK63" s="496"/>
      <c r="AL63" s="494" t="s">
        <v>99</v>
      </c>
      <c r="AM63" s="494"/>
      <c r="AP63" s="86" t="s">
        <v>112</v>
      </c>
      <c r="AQ63" s="89" t="s">
        <v>113</v>
      </c>
      <c r="AR63" s="89" t="s">
        <v>114</v>
      </c>
      <c r="AS63" s="89" t="s">
        <v>115</v>
      </c>
      <c r="AU63" s="81"/>
    </row>
    <row r="64" spans="1:47" x14ac:dyDescent="0.25">
      <c r="A64" s="84">
        <f>A63+1</f>
        <v>7</v>
      </c>
      <c r="B64" s="84">
        <f t="shared" si="11"/>
        <v>3</v>
      </c>
      <c r="C64" s="88">
        <f t="shared" ref="C64" si="20">B65</f>
        <v>4</v>
      </c>
      <c r="D64" s="82">
        <f>VLOOKUP(C64,STN_TABLE,2,FALSE)</f>
        <v>2.25</v>
      </c>
      <c r="E64" s="92">
        <v>1</v>
      </c>
      <c r="F64" s="82">
        <f>D64*E64</f>
        <v>2.25</v>
      </c>
      <c r="G64" s="83">
        <f>C64</f>
        <v>4</v>
      </c>
      <c r="H64" s="83">
        <f>F64*G64</f>
        <v>9</v>
      </c>
      <c r="I64" s="84" t="str">
        <f>CONCATENATE("a'(",C64,")=")</f>
        <v>a'(4)=</v>
      </c>
      <c r="J64" s="84">
        <f>2*J62/3*F65</f>
        <v>19.199999999999996</v>
      </c>
      <c r="K64" s="84" t="str">
        <f>CONCATENATE("A(",C62,")=")</f>
        <v>A(2)=</v>
      </c>
      <c r="L64" s="84">
        <f>VLOOKUP(C62,STN_TABLE,3,FALSE)</f>
        <v>16.366666666666664</v>
      </c>
      <c r="M64" t="str">
        <f>CONCATENATE("A(",C64,")=")</f>
        <v>A(4)=</v>
      </c>
      <c r="N64">
        <f>J64+L64</f>
        <v>35.566666666666663</v>
      </c>
      <c r="O64" s="99">
        <f>O63+1</f>
        <v>9</v>
      </c>
      <c r="P64" s="99">
        <f t="shared" si="10"/>
        <v>4.8499999999999996</v>
      </c>
      <c r="Q64" s="82">
        <f>IF(P64-P63=P63-P62,P64,IF(P65-P63=P63-P62,P65,IF(P64-P63=P63-P61,P64,IF(P65-P63=P63-P61,P65,"-"))))</f>
        <v>5</v>
      </c>
      <c r="R64" s="83">
        <f>VLOOKUP(Q64,STN_TABLE,2,FALSE)</f>
        <v>2.4962</v>
      </c>
      <c r="S64" s="83">
        <v>-1</v>
      </c>
      <c r="T64" s="82">
        <f>R64*S64</f>
        <v>-2.4962</v>
      </c>
      <c r="U64" s="88">
        <v>-1</v>
      </c>
      <c r="V64" s="82">
        <f>R64*U64</f>
        <v>-2.4962</v>
      </c>
      <c r="W64" s="84" t="str">
        <f>CONCATENATE("a'(",Q63,")=")</f>
        <v>a'(4)=</v>
      </c>
      <c r="X64" s="84">
        <f>2*X62/12*T65</f>
        <v>9.1345999999999989</v>
      </c>
      <c r="Y64" s="84" t="str">
        <f>CONCATENATE("A(",Q62,")=")</f>
        <v>A(3)=</v>
      </c>
      <c r="Z64" s="84">
        <f>VLOOKUP(Q62,STN_TABLE,3,FALSE)</f>
        <v>26.583333333333329</v>
      </c>
      <c r="AA64" t="str">
        <f>CONCATENATE("A(",Q63,")=")</f>
        <v>A(4)=</v>
      </c>
      <c r="AB64">
        <f>X64+Z64</f>
        <v>35.717933333333328</v>
      </c>
      <c r="AC64" s="99">
        <f>AC63+1</f>
        <v>8</v>
      </c>
      <c r="AD64" s="100">
        <f>VLOOKUP(AC64,STN_TABLE_2,2,FALSE)</f>
        <v>4</v>
      </c>
      <c r="AE64" s="82">
        <f>VLOOKUP(AD64,STN_TABLE,2,FALSE)</f>
        <v>2.25</v>
      </c>
      <c r="AF64" s="82">
        <v>2</v>
      </c>
      <c r="AG64" s="83">
        <f>AE64*AF64</f>
        <v>4.5</v>
      </c>
      <c r="AH64" s="84" t="str">
        <f>CONCATENATE("a'(",AD64,")=")</f>
        <v>a'(4)=</v>
      </c>
      <c r="AI64" s="84">
        <f>2*AI62/2*AE65</f>
        <v>9.26</v>
      </c>
      <c r="AJ64" s="84" t="str">
        <f>CONCATENATE("A(",AD63,")=")</f>
        <v>A(3)=</v>
      </c>
      <c r="AK64" s="84">
        <f>VLOOKUP(AD63,STN_TABLE,3,FALSE)</f>
        <v>26.583333333333329</v>
      </c>
      <c r="AL64" t="str">
        <f>CONCATENATE("A(",AD64,")=")</f>
        <v>A(4)=</v>
      </c>
      <c r="AM64">
        <f>AI64+AK64</f>
        <v>35.843333333333327</v>
      </c>
      <c r="AO64" s="68" t="str">
        <f>AA64</f>
        <v>A(4)=</v>
      </c>
      <c r="AP64" s="68" t="e">
        <f>VLOOKUP(AO64,Rise_Results,2,FALSE)</f>
        <v>#N/A</v>
      </c>
      <c r="AQ64" s="76">
        <f>N64</f>
        <v>35.566666666666663</v>
      </c>
      <c r="AR64" s="76">
        <f>IF(OR(AB64&lt;=0,AB65&lt;=0),1/0,AB64)</f>
        <v>35.717933333333328</v>
      </c>
      <c r="AS64" s="76">
        <f>AM64</f>
        <v>35.843333333333327</v>
      </c>
      <c r="AT64">
        <f>IFERROR(AP64,IFERROR(AQ64,IFERROR(AR64,AS64)))</f>
        <v>35.566666666666663</v>
      </c>
      <c r="AU64" s="81"/>
    </row>
    <row r="65" spans="1:47" x14ac:dyDescent="0.25">
      <c r="A65" s="84">
        <f>A64+1</f>
        <v>8</v>
      </c>
      <c r="B65" s="84">
        <f t="shared" si="11"/>
        <v>4</v>
      </c>
      <c r="F65" s="82">
        <f>SUM(F62:F64)</f>
        <v>14.399999999999999</v>
      </c>
      <c r="H65" s="82">
        <f>SUM(H62:H64)</f>
        <v>42.82</v>
      </c>
      <c r="I65" s="84" t="str">
        <f>CONCATENATE("m'(",C64,")=")</f>
        <v>m'(4)=</v>
      </c>
      <c r="J65" s="84">
        <f>2*(J62*(WLS))/3*H65</f>
        <v>114.18666666666667</v>
      </c>
      <c r="K65" s="84" t="str">
        <f>CONCATENATE("M(",C62,")=")</f>
        <v>M(2)=</v>
      </c>
      <c r="L65" s="84">
        <f>VLOOKUP(C62,STN_TABLE,4,FALSE)</f>
        <v>37.836666666666659</v>
      </c>
      <c r="M65" t="str">
        <f>CONCATENATE("M(",C64,")=")</f>
        <v>M(4)=</v>
      </c>
      <c r="N65">
        <f>J65+L65</f>
        <v>152.02333333333331</v>
      </c>
      <c r="O65" s="99">
        <f>O64+1</f>
        <v>10</v>
      </c>
      <c r="P65" s="99">
        <f t="shared" si="10"/>
        <v>5</v>
      </c>
      <c r="T65" s="89">
        <f>SUM(T62:T64)</f>
        <v>27.403799999999997</v>
      </c>
      <c r="V65" s="82">
        <f>SUM(V62:V64)</f>
        <v>27.143799999999999</v>
      </c>
      <c r="W65" s="84" t="str">
        <f>CONCATENATE("m'(",Q63,")=")</f>
        <v>m'(4)=</v>
      </c>
      <c r="X65" s="84">
        <f>(2*(X62^2)/24*V65)+(X64*Q62*WLS)</f>
        <v>63.855533333333327</v>
      </c>
      <c r="Y65" s="84" t="str">
        <f>CONCATENATE("M(",Q62,")=")</f>
        <v>M(3)=</v>
      </c>
      <c r="Z65" s="84">
        <f>VLOOKUP(Q62,STN_TABLE,4,FALSE)</f>
        <v>88.75333333333333</v>
      </c>
      <c r="AA65" t="str">
        <f>CONCATENATE("M(",Q63,")=")</f>
        <v>M(4)=</v>
      </c>
      <c r="AB65">
        <f>X65+Z65</f>
        <v>152.60886666666664</v>
      </c>
      <c r="AE65" s="89">
        <f>SUM(AE63:AE64)</f>
        <v>4.63</v>
      </c>
      <c r="AG65" s="89">
        <f>SUM(AG63:AG64)</f>
        <v>6.88</v>
      </c>
      <c r="AH65" s="84" t="str">
        <f>CONCATENATE("m'(",AD64,")=")</f>
        <v>m'(4)=</v>
      </c>
      <c r="AI65" s="84">
        <f>(2*(AI62^2)/6*AG65)+(AI64*AD63*WLS)</f>
        <v>64.733333333333334</v>
      </c>
      <c r="AJ65" s="84" t="str">
        <f>CONCATENATE("M(",AD63,")=")</f>
        <v>M(3)=</v>
      </c>
      <c r="AK65" s="84">
        <f>VLOOKUP(AD63,STN_TABLE,4,FALSE)</f>
        <v>88.75333333333333</v>
      </c>
      <c r="AL65" t="str">
        <f>CONCATENATE("M(",AD64,")=")</f>
        <v>M(4)=</v>
      </c>
      <c r="AM65">
        <f>AI65+AK65</f>
        <v>153.48666666666668</v>
      </c>
      <c r="AO65" s="82" t="str">
        <f>AA65</f>
        <v>M(4)=</v>
      </c>
      <c r="AP65" s="82" t="e">
        <f>VLOOKUP(AO65,Rise_Results,2,FALSE)</f>
        <v>#N/A</v>
      </c>
      <c r="AQ65" s="82">
        <f>N65</f>
        <v>152.02333333333331</v>
      </c>
      <c r="AR65" s="82">
        <f>IF(OR(AB64&lt;=0,AB65&lt;=0),1/0,AB65)</f>
        <v>152.60886666666664</v>
      </c>
      <c r="AS65" s="82">
        <f>AM65</f>
        <v>153.48666666666668</v>
      </c>
      <c r="AT65">
        <f>IFERROR(AP65,IFERROR(AQ65,IFERROR(AR65,AS65)))</f>
        <v>152.02333333333331</v>
      </c>
      <c r="AU65" s="81"/>
    </row>
    <row r="66" spans="1:47" x14ac:dyDescent="0.25">
      <c r="A66" s="101">
        <f>A61+1</f>
        <v>5</v>
      </c>
      <c r="B66" s="101">
        <f t="shared" si="11"/>
        <v>1</v>
      </c>
      <c r="O66" s="101">
        <f>O61+1</f>
        <v>7</v>
      </c>
      <c r="P66" s="101">
        <f t="shared" si="10"/>
        <v>3</v>
      </c>
      <c r="AU66" s="81"/>
    </row>
    <row r="67" spans="1:47" x14ac:dyDescent="0.25">
      <c r="A67" s="84">
        <f>A66+1</f>
        <v>6</v>
      </c>
      <c r="B67" s="84">
        <f t="shared" si="11"/>
        <v>2</v>
      </c>
      <c r="C67" s="79" t="str">
        <f t="shared" ref="C67" si="21">IF(C68=B69,IF(C69-C68=C68-B68,B68,IF(C69-C68=C68-B67,B67,"#NA")),IF(C68=B68,IF(C69-C68=C68-B67,B67,IF(C69-C68=C68-B66,B66,"#NA")),"#NA"))</f>
        <v>#NA</v>
      </c>
      <c r="D67" s="68" t="e">
        <f>VLOOKUP(C67,STN_TABLE,2,FALSE)</f>
        <v>#N/A</v>
      </c>
      <c r="E67" s="102">
        <v>1</v>
      </c>
      <c r="F67" s="68" t="e">
        <f>D67*E67</f>
        <v>#N/A</v>
      </c>
      <c r="G67" s="69" t="str">
        <f>C67</f>
        <v>#NA</v>
      </c>
      <c r="H67" s="69" t="e">
        <f>F67*G67</f>
        <v>#N/A</v>
      </c>
      <c r="I67" s="6" t="s">
        <v>93</v>
      </c>
      <c r="J67" s="70" t="e">
        <f>IF(OR(D67=0,D68=0,D69=0),"#NA",IF(AND(C69-C68=C68-C67,C68&lt;&gt;C69,C67&lt;&gt;C68,C67&lt;&gt;C69,D69&lt;&gt;0,OR(D67&lt;&gt;0,D68&lt;&gt;0)),WLS*(C69-C68),"#NA"))</f>
        <v>#N/A</v>
      </c>
      <c r="O67" s="99">
        <f>O66+1</f>
        <v>8</v>
      </c>
      <c r="P67" s="99">
        <f t="shared" si="10"/>
        <v>4</v>
      </c>
      <c r="Q67" s="68" t="str">
        <f>IF(OR(P69-P68=P68-P67,P70-P68=P68-P67),P67,IF(OR(P69-P68=P68-P66,P70-P68=P68-P66),P66,"-"))</f>
        <v>-</v>
      </c>
      <c r="R67" s="69" t="e">
        <f>VLOOKUP(Q67,STN_TABLE,2,FALSE)</f>
        <v>#N/A</v>
      </c>
      <c r="S67" s="69">
        <v>5</v>
      </c>
      <c r="T67" s="68" t="e">
        <f>R67*S67</f>
        <v>#N/A</v>
      </c>
      <c r="U67" s="79">
        <v>3</v>
      </c>
      <c r="V67" s="68" t="e">
        <f>R67*U67</f>
        <v>#N/A</v>
      </c>
      <c r="W67" s="6" t="s">
        <v>93</v>
      </c>
      <c r="X67" s="70" t="e">
        <f>IF(AND(Q69-Q68=Q68-Q67,NOT(AND(Q67=0,Q68=0)),NOT(AND(Q68=0,Q69=0))),WLS*(Q69-Q68),"#NA")</f>
        <v>#VALUE!</v>
      </c>
      <c r="AD67" s="93"/>
      <c r="AH67" s="6" t="s">
        <v>93</v>
      </c>
      <c r="AI67" s="70">
        <f>WLS*(AD69-AD68)</f>
        <v>1.6999999999999993</v>
      </c>
      <c r="AU67" s="81"/>
    </row>
    <row r="68" spans="1:47" x14ac:dyDescent="0.25">
      <c r="A68" s="84">
        <f>A67+1</f>
        <v>7</v>
      </c>
      <c r="B68" s="84">
        <f t="shared" si="11"/>
        <v>3</v>
      </c>
      <c r="C68" s="80" t="str">
        <f t="shared" ref="C68" si="22">IF(OR(B70-B69=B69-B68,B70-B69=B69-B67,B70-B69=B69-B66),B69,IF(OR(B70-B68=B68-B67,B70-B68=B68-B66),B68,IF(B70-B67=B67-B66,B67,"#NA")))</f>
        <v>#NA</v>
      </c>
      <c r="D68" s="76" t="e">
        <f>VLOOKUP(C68,STN_TABLE,2,FALSE)</f>
        <v>#N/A</v>
      </c>
      <c r="E68" s="81">
        <v>4</v>
      </c>
      <c r="F68" s="76" t="e">
        <f>D68*E68</f>
        <v>#N/A</v>
      </c>
      <c r="G68" s="77" t="str">
        <f>C68</f>
        <v>#NA</v>
      </c>
      <c r="H68" s="77" t="e">
        <f>F68*G68</f>
        <v>#N/A</v>
      </c>
      <c r="I68" s="495" t="s">
        <v>97</v>
      </c>
      <c r="J68" s="496"/>
      <c r="K68" s="78" t="s">
        <v>98</v>
      </c>
      <c r="L68" s="78"/>
      <c r="M68" s="7" t="s">
        <v>99</v>
      </c>
      <c r="N68" s="7"/>
      <c r="O68" s="99">
        <f>O67+1</f>
        <v>9</v>
      </c>
      <c r="P68" s="99">
        <f t="shared" ref="P68:P99" si="23">VLOOKUP(O68,STN_TABLE_2,2,FALSE)</f>
        <v>4.8499999999999996</v>
      </c>
      <c r="Q68" s="76">
        <f>P68</f>
        <v>4.8499999999999996</v>
      </c>
      <c r="R68" s="77">
        <f>VLOOKUP(Q68,STN_TABLE,2,FALSE)</f>
        <v>2.42</v>
      </c>
      <c r="S68" s="77">
        <v>8</v>
      </c>
      <c r="T68" s="76">
        <f>R68*S68</f>
        <v>19.36</v>
      </c>
      <c r="U68" s="80">
        <v>10</v>
      </c>
      <c r="V68" s="76">
        <f>R68*U68</f>
        <v>24.2</v>
      </c>
      <c r="W68" s="496" t="s">
        <v>97</v>
      </c>
      <c r="X68" s="496"/>
      <c r="Y68" s="496" t="s">
        <v>98</v>
      </c>
      <c r="Z68" s="496"/>
      <c r="AA68" s="494" t="s">
        <v>99</v>
      </c>
      <c r="AB68" s="494"/>
      <c r="AC68" s="99">
        <f>AC63+1</f>
        <v>8</v>
      </c>
      <c r="AD68" s="95">
        <f>VLOOKUP(AC68,STN_TABLE_2,2,FALSE)</f>
        <v>4</v>
      </c>
      <c r="AE68" s="68">
        <f>VLOOKUP(AD68,STN_TABLE,2,FALSE)</f>
        <v>2.25</v>
      </c>
      <c r="AF68" s="68">
        <v>1</v>
      </c>
      <c r="AG68" s="69">
        <f>AE68*AF68</f>
        <v>2.25</v>
      </c>
      <c r="AH68" s="496" t="s">
        <v>97</v>
      </c>
      <c r="AI68" s="496"/>
      <c r="AJ68" s="496" t="s">
        <v>98</v>
      </c>
      <c r="AK68" s="496"/>
      <c r="AL68" s="494" t="s">
        <v>99</v>
      </c>
      <c r="AM68" s="494"/>
      <c r="AP68" s="86" t="s">
        <v>112</v>
      </c>
      <c r="AQ68" s="89" t="s">
        <v>113</v>
      </c>
      <c r="AR68" s="89" t="s">
        <v>114</v>
      </c>
      <c r="AS68" s="89" t="s">
        <v>115</v>
      </c>
      <c r="AU68" s="81"/>
    </row>
    <row r="69" spans="1:47" x14ac:dyDescent="0.25">
      <c r="A69" s="84">
        <f>A68+1</f>
        <v>8</v>
      </c>
      <c r="B69" s="84">
        <f t="shared" si="11"/>
        <v>4</v>
      </c>
      <c r="C69" s="88">
        <f t="shared" ref="C69" si="24">B70</f>
        <v>4.8499999999999996</v>
      </c>
      <c r="D69" s="82">
        <f>VLOOKUP(C69,STN_TABLE,2,FALSE)</f>
        <v>2.42</v>
      </c>
      <c r="E69" s="92">
        <v>1</v>
      </c>
      <c r="F69" s="82">
        <f>D69*E69</f>
        <v>2.42</v>
      </c>
      <c r="G69" s="83">
        <f>C69</f>
        <v>4.8499999999999996</v>
      </c>
      <c r="H69" s="83">
        <f>F69*G69</f>
        <v>11.736999999999998</v>
      </c>
      <c r="I69" s="84" t="str">
        <f>CONCATENATE("a'(",C69,")=")</f>
        <v>a'(4.85)=</v>
      </c>
      <c r="J69" s="84" t="e">
        <f>2*J67/3*F70</f>
        <v>#N/A</v>
      </c>
      <c r="K69" s="84" t="str">
        <f>CONCATENATE("A(",C67,")=")</f>
        <v>A(#NA)=</v>
      </c>
      <c r="L69" s="84" t="e">
        <f>VLOOKUP(C67,STN_TABLE,3,FALSE)</f>
        <v>#N/A</v>
      </c>
      <c r="M69" t="str">
        <f>CONCATENATE("A(",C69,")=")</f>
        <v>A(4.85)=</v>
      </c>
      <c r="N69" t="e">
        <f>J69+L69</f>
        <v>#N/A</v>
      </c>
      <c r="O69" s="99">
        <f>O68+1</f>
        <v>10</v>
      </c>
      <c r="P69" s="99">
        <f t="shared" si="23"/>
        <v>5</v>
      </c>
      <c r="Q69" s="82" t="str">
        <f>IF(P69-P68=P68-P67,P69,IF(P70-P68=P68-P67,P70,IF(P69-P68=P68-P66,P69,IF(P70-P68=P68-P66,P70,"-"))))</f>
        <v>-</v>
      </c>
      <c r="R69" s="83" t="e">
        <f>VLOOKUP(Q69,STN_TABLE,2,FALSE)</f>
        <v>#N/A</v>
      </c>
      <c r="S69" s="83">
        <v>-1</v>
      </c>
      <c r="T69" s="82" t="e">
        <f>R69*S69</f>
        <v>#N/A</v>
      </c>
      <c r="U69" s="88">
        <v>-1</v>
      </c>
      <c r="V69" s="82" t="e">
        <f>R69*U69</f>
        <v>#N/A</v>
      </c>
      <c r="W69" s="84" t="str">
        <f>CONCATENATE("a'(",Q68,")=")</f>
        <v>a'(4.85)=</v>
      </c>
      <c r="X69" s="84" t="e">
        <f>2*X67/12*T70</f>
        <v>#VALUE!</v>
      </c>
      <c r="Y69" s="84" t="str">
        <f>CONCATENATE("A(",Q67,")=")</f>
        <v>A(-)=</v>
      </c>
      <c r="Z69" s="84" t="e">
        <f>VLOOKUP(Q67,STN_TABLE,3,FALSE)</f>
        <v>#N/A</v>
      </c>
      <c r="AA69" t="str">
        <f>CONCATENATE("A(",Q68,")=")</f>
        <v>A(4.85)=</v>
      </c>
      <c r="AB69" t="e">
        <f>X69+Z69</f>
        <v>#VALUE!</v>
      </c>
      <c r="AC69" s="99">
        <f>AC68+1</f>
        <v>9</v>
      </c>
      <c r="AD69" s="100">
        <f>VLOOKUP(AC69,STN_TABLE_2,2,FALSE)</f>
        <v>4.8499999999999996</v>
      </c>
      <c r="AE69" s="82">
        <f>VLOOKUP(AD69,STN_TABLE,2,FALSE)</f>
        <v>2.42</v>
      </c>
      <c r="AF69" s="82">
        <v>2</v>
      </c>
      <c r="AG69" s="83">
        <f>AE69*AF69</f>
        <v>4.84</v>
      </c>
      <c r="AH69" s="84" t="str">
        <f>CONCATENATE("a'(",AD69,")=")</f>
        <v>a'(4.85)=</v>
      </c>
      <c r="AI69" s="84">
        <f>2*AI67/2*AE70</f>
        <v>7.9389999999999965</v>
      </c>
      <c r="AJ69" s="84" t="str">
        <f>CONCATENATE("A(",AD68,")=")</f>
        <v>A(4)=</v>
      </c>
      <c r="AK69" s="84">
        <f>VLOOKUP(AD68,STN_TABLE,3,FALSE)</f>
        <v>35.566666666666663</v>
      </c>
      <c r="AL69" t="str">
        <f>CONCATENATE("A(",AD69,")=")</f>
        <v>A(4.85)=</v>
      </c>
      <c r="AM69">
        <f>AI69+AK69</f>
        <v>43.505666666666656</v>
      </c>
      <c r="AO69" s="68" t="str">
        <f>AA69</f>
        <v>A(4.85)=</v>
      </c>
      <c r="AP69" s="68" t="e">
        <f>VLOOKUP(AO69,Rise_Results,2,FALSE)</f>
        <v>#N/A</v>
      </c>
      <c r="AQ69" s="76" t="e">
        <f>N69</f>
        <v>#N/A</v>
      </c>
      <c r="AR69" s="76" t="e">
        <f>IF(OR(AB69&lt;=0,AB70&lt;=0),1/0,AB69)</f>
        <v>#VALUE!</v>
      </c>
      <c r="AS69" s="76">
        <f>AM69</f>
        <v>43.505666666666656</v>
      </c>
      <c r="AT69">
        <f>IFERROR(AP69,IFERROR(AQ69,IFERROR(AR69,AS69)))</f>
        <v>43.505666666666656</v>
      </c>
      <c r="AU69" s="81"/>
    </row>
    <row r="70" spans="1:47" x14ac:dyDescent="0.25">
      <c r="A70" s="84">
        <f>A69+1</f>
        <v>9</v>
      </c>
      <c r="B70" s="84">
        <f t="shared" si="11"/>
        <v>4.8499999999999996</v>
      </c>
      <c r="F70" s="82" t="e">
        <f>SUM(F67:F69)</f>
        <v>#N/A</v>
      </c>
      <c r="H70" s="82" t="e">
        <f>SUM(H67:H69)</f>
        <v>#N/A</v>
      </c>
      <c r="I70" s="84" t="str">
        <f>CONCATENATE("m'(",C69,")=")</f>
        <v>m'(4.85)=</v>
      </c>
      <c r="J70" s="84" t="e">
        <f>2*(J67*(WLS))/3*H70</f>
        <v>#N/A</v>
      </c>
      <c r="K70" s="84" t="str">
        <f>CONCATENATE("M(",C67,")=")</f>
        <v>M(#NA)=</v>
      </c>
      <c r="L70" s="84" t="e">
        <f>VLOOKUP(C67,STN_TABLE,4,FALSE)</f>
        <v>#N/A</v>
      </c>
      <c r="M70" t="str">
        <f>CONCATENATE("M(",C69,")=")</f>
        <v>M(4.85)=</v>
      </c>
      <c r="N70" t="e">
        <f>J70+L70</f>
        <v>#N/A</v>
      </c>
      <c r="O70" s="99">
        <f>O69+1</f>
        <v>11</v>
      </c>
      <c r="P70" s="99">
        <f t="shared" si="23"/>
        <v>6</v>
      </c>
      <c r="T70" s="89" t="e">
        <f>SUM(T67:T69)</f>
        <v>#N/A</v>
      </c>
      <c r="V70" s="82" t="e">
        <f>SUM(V67:V69)</f>
        <v>#N/A</v>
      </c>
      <c r="W70" s="84" t="str">
        <f>CONCATENATE("m'(",Q68,")=")</f>
        <v>m'(4.85)=</v>
      </c>
      <c r="X70" s="84" t="e">
        <f>(2*(X67^2)/24*V70)+(X69*Q67*WLS)</f>
        <v>#VALUE!</v>
      </c>
      <c r="Y70" s="84" t="str">
        <f>CONCATENATE("M(",Q67,")=")</f>
        <v>M(-)=</v>
      </c>
      <c r="Z70" s="84" t="e">
        <f>VLOOKUP(Q67,STN_TABLE,4,FALSE)</f>
        <v>#N/A</v>
      </c>
      <c r="AA70" t="str">
        <f>CONCATENATE("M(",Q68,")=")</f>
        <v>M(4.85)=</v>
      </c>
      <c r="AB70" t="e">
        <f>X70+Z70</f>
        <v>#VALUE!</v>
      </c>
      <c r="AE70" s="89">
        <f>SUM(AE68:AE69)</f>
        <v>4.67</v>
      </c>
      <c r="AG70" s="89">
        <f>SUM(AG68:AG69)</f>
        <v>7.09</v>
      </c>
      <c r="AH70" s="84" t="str">
        <f>CONCATENATE("m'(",AD69,")=")</f>
        <v>m'(4.85)=</v>
      </c>
      <c r="AI70" s="84">
        <f>(2*(AI67^2)/6*AG70)+(AI69*AD68*WLS)</f>
        <v>70.342033333333305</v>
      </c>
      <c r="AJ70" s="84" t="str">
        <f>CONCATENATE("M(",AD68,")=")</f>
        <v>M(4)=</v>
      </c>
      <c r="AK70" s="84">
        <f>VLOOKUP(AD68,STN_TABLE,4,FALSE)</f>
        <v>152.02333333333331</v>
      </c>
      <c r="AL70" t="str">
        <f>CONCATENATE("M(",AD69,")=")</f>
        <v>M(4.85)=</v>
      </c>
      <c r="AM70">
        <f>AI70+AK70</f>
        <v>222.3653666666666</v>
      </c>
      <c r="AO70" s="82" t="str">
        <f>AA70</f>
        <v>M(4.85)=</v>
      </c>
      <c r="AP70" s="82" t="e">
        <f>VLOOKUP(AO70,Rise_Results,2,FALSE)</f>
        <v>#N/A</v>
      </c>
      <c r="AQ70" s="82" t="e">
        <f>N70</f>
        <v>#N/A</v>
      </c>
      <c r="AR70" s="82" t="e">
        <f>IF(OR(AB69&lt;=0,AB70&lt;=0),1/0,AB70)</f>
        <v>#VALUE!</v>
      </c>
      <c r="AS70" s="82">
        <f>AM70</f>
        <v>222.3653666666666</v>
      </c>
      <c r="AT70">
        <f>IFERROR(AP70,IFERROR(AQ70,IFERROR(AR70,AS70)))</f>
        <v>222.3653666666666</v>
      </c>
      <c r="AU70" s="81"/>
    </row>
    <row r="71" spans="1:47" x14ac:dyDescent="0.25">
      <c r="A71" s="101">
        <f>A66+1</f>
        <v>6</v>
      </c>
      <c r="B71" s="101">
        <f t="shared" si="11"/>
        <v>2</v>
      </c>
      <c r="O71" s="101">
        <f>O66+1</f>
        <v>8</v>
      </c>
      <c r="P71" s="101">
        <f t="shared" si="23"/>
        <v>4</v>
      </c>
      <c r="AU71" s="81"/>
    </row>
    <row r="72" spans="1:47" x14ac:dyDescent="0.25">
      <c r="A72" s="84">
        <f>A71+1</f>
        <v>7</v>
      </c>
      <c r="B72" s="84">
        <f t="shared" si="11"/>
        <v>3</v>
      </c>
      <c r="C72" s="79">
        <f t="shared" ref="C72" si="25">IF(C73=B74,IF(C74-C73=C73-B73,B73,IF(C74-C73=C73-B72,B72,"#NA")),IF(C73=B73,IF(C74-C73=C73-B72,B72,IF(C74-C73=C73-B71,B71,"#NA")),"#NA"))</f>
        <v>3</v>
      </c>
      <c r="D72" s="68">
        <f>VLOOKUP(C72,STN_TABLE,2,FALSE)</f>
        <v>2.38</v>
      </c>
      <c r="E72" s="102">
        <v>1</v>
      </c>
      <c r="F72" s="68">
        <f>D72*E72</f>
        <v>2.38</v>
      </c>
      <c r="G72" s="69">
        <f>C72</f>
        <v>3</v>
      </c>
      <c r="H72" s="69">
        <f>F72*G72</f>
        <v>7.14</v>
      </c>
      <c r="I72" s="6" t="s">
        <v>93</v>
      </c>
      <c r="J72" s="70">
        <f>IF(OR(D72=0,D73=0,D74=0),"#NA",IF(AND(C74-C73=C73-C72,C73&lt;&gt;C74,C72&lt;&gt;C73,C72&lt;&gt;C74,D74&lt;&gt;0,OR(D72&lt;&gt;0,D73&lt;&gt;0)),WLS*(C74-C73),"#NA"))</f>
        <v>2</v>
      </c>
      <c r="O72" s="99">
        <f>O71+1</f>
        <v>9</v>
      </c>
      <c r="P72" s="99">
        <f t="shared" si="23"/>
        <v>4.8499999999999996</v>
      </c>
      <c r="Q72" s="68">
        <f>IF(OR(P74-P73=P73-P72,P75-P73=P73-P72),P72,IF(OR(P74-P73=P73-P71,P75-P73=P73-P71),P71,"-"))</f>
        <v>4</v>
      </c>
      <c r="R72" s="69">
        <f>VLOOKUP(Q72,STN_TABLE,2,FALSE)</f>
        <v>2.25</v>
      </c>
      <c r="S72" s="69">
        <v>5</v>
      </c>
      <c r="T72" s="68">
        <f>R72*S72</f>
        <v>11.25</v>
      </c>
      <c r="U72" s="79">
        <v>3</v>
      </c>
      <c r="V72" s="68">
        <f>R72*U72</f>
        <v>6.75</v>
      </c>
      <c r="W72" s="6" t="s">
        <v>93</v>
      </c>
      <c r="X72" s="70">
        <f>IF(AND(Q74-Q73=Q73-Q72,NOT(AND(Q72=0,Q73=0)),NOT(AND(Q73=0,Q74=0))),WLS*(Q74-Q73),"#NA")</f>
        <v>2</v>
      </c>
      <c r="AD72" s="93"/>
      <c r="AH72" s="6" t="s">
        <v>93</v>
      </c>
      <c r="AI72" s="70">
        <f>WLS*(AD74-AD73)</f>
        <v>0.30000000000000071</v>
      </c>
      <c r="AU72" s="81"/>
    </row>
    <row r="73" spans="1:47" x14ac:dyDescent="0.25">
      <c r="A73" s="84">
        <f>A72+1</f>
        <v>8</v>
      </c>
      <c r="B73" s="84">
        <f t="shared" si="11"/>
        <v>4</v>
      </c>
      <c r="C73" s="80">
        <f t="shared" ref="C73" si="26">IF(OR(B75-B74=B74-B73,B75-B74=B74-B72,B75-B74=B74-B71),B74,IF(OR(B75-B73=B73-B72,B75-B73=B73-B71),B73,IF(B75-B72=B72-B71,B72,"#NA")))</f>
        <v>4</v>
      </c>
      <c r="D73" s="76">
        <f>VLOOKUP(C73,STN_TABLE,2,FALSE)</f>
        <v>2.25</v>
      </c>
      <c r="E73" s="81">
        <v>4</v>
      </c>
      <c r="F73" s="76">
        <f>D73*E73</f>
        <v>9</v>
      </c>
      <c r="G73" s="77">
        <f>C73</f>
        <v>4</v>
      </c>
      <c r="H73" s="77">
        <f>F73*G73</f>
        <v>36</v>
      </c>
      <c r="I73" s="495" t="s">
        <v>97</v>
      </c>
      <c r="J73" s="496"/>
      <c r="K73" s="78" t="s">
        <v>98</v>
      </c>
      <c r="L73" s="78"/>
      <c r="M73" s="7" t="s">
        <v>99</v>
      </c>
      <c r="N73" s="7"/>
      <c r="O73" s="99">
        <f>O72+1</f>
        <v>10</v>
      </c>
      <c r="P73" s="99">
        <f t="shared" si="23"/>
        <v>5</v>
      </c>
      <c r="Q73" s="76">
        <f>P73</f>
        <v>5</v>
      </c>
      <c r="R73" s="77">
        <f>VLOOKUP(Q73,STN_TABLE,2,FALSE)</f>
        <v>2.4962</v>
      </c>
      <c r="S73" s="77">
        <v>8</v>
      </c>
      <c r="T73" s="76">
        <f>R73*S73</f>
        <v>19.9696</v>
      </c>
      <c r="U73" s="80">
        <v>10</v>
      </c>
      <c r="V73" s="76">
        <f>R73*U73</f>
        <v>24.962</v>
      </c>
      <c r="W73" s="496" t="s">
        <v>97</v>
      </c>
      <c r="X73" s="496"/>
      <c r="Y73" s="496" t="s">
        <v>98</v>
      </c>
      <c r="Z73" s="496"/>
      <c r="AA73" s="494" t="s">
        <v>99</v>
      </c>
      <c r="AB73" s="494"/>
      <c r="AC73" s="99">
        <f>AC68+1</f>
        <v>9</v>
      </c>
      <c r="AD73" s="95">
        <f>VLOOKUP(AC73,STN_TABLE_2,2,FALSE)</f>
        <v>4.8499999999999996</v>
      </c>
      <c r="AE73" s="68">
        <f>VLOOKUP(AD73,STN_TABLE,2,FALSE)</f>
        <v>2.42</v>
      </c>
      <c r="AF73" s="68">
        <v>1</v>
      </c>
      <c r="AG73" s="69">
        <f>AE73*AF73</f>
        <v>2.42</v>
      </c>
      <c r="AH73" s="496" t="s">
        <v>97</v>
      </c>
      <c r="AI73" s="496"/>
      <c r="AJ73" s="496" t="s">
        <v>98</v>
      </c>
      <c r="AK73" s="496"/>
      <c r="AL73" s="494" t="s">
        <v>99</v>
      </c>
      <c r="AM73" s="494"/>
      <c r="AP73" s="86" t="s">
        <v>112</v>
      </c>
      <c r="AQ73" s="89" t="s">
        <v>113</v>
      </c>
      <c r="AR73" s="89" t="s">
        <v>114</v>
      </c>
      <c r="AS73" s="89" t="s">
        <v>115</v>
      </c>
      <c r="AU73" s="81"/>
    </row>
    <row r="74" spans="1:47" x14ac:dyDescent="0.25">
      <c r="A74" s="84">
        <f>A73+1</f>
        <v>9</v>
      </c>
      <c r="B74" s="84">
        <f t="shared" ref="B74:B105" si="27">VLOOKUP(A74,STN_TABLE_2,2,FALSE)</f>
        <v>4.8499999999999996</v>
      </c>
      <c r="C74" s="88">
        <f t="shared" ref="C74" si="28">B75</f>
        <v>5</v>
      </c>
      <c r="D74" s="82">
        <f>VLOOKUP(C74,STN_TABLE,2,FALSE)</f>
        <v>2.4962</v>
      </c>
      <c r="E74" s="92">
        <v>1</v>
      </c>
      <c r="F74" s="82">
        <f>D74*E74</f>
        <v>2.4962</v>
      </c>
      <c r="G74" s="83">
        <f>C74</f>
        <v>5</v>
      </c>
      <c r="H74" s="83">
        <f>F74*G74</f>
        <v>12.481</v>
      </c>
      <c r="I74" s="84" t="str">
        <f>CONCATENATE("a'(",C74,")=")</f>
        <v>a'(5)=</v>
      </c>
      <c r="J74" s="84">
        <f>2*J72/3*F75</f>
        <v>18.501599999999996</v>
      </c>
      <c r="K74" s="84" t="str">
        <f>CONCATENATE("A(",C72,")=")</f>
        <v>A(3)=</v>
      </c>
      <c r="L74" s="84">
        <f>VLOOKUP(C72,STN_TABLE,3,FALSE)</f>
        <v>26.583333333333329</v>
      </c>
      <c r="M74" t="str">
        <f>CONCATENATE("A(",C74,")=")</f>
        <v>A(5)=</v>
      </c>
      <c r="N74">
        <f>J74+L74</f>
        <v>45.084933333333325</v>
      </c>
      <c r="O74" s="99">
        <f>O73+1</f>
        <v>11</v>
      </c>
      <c r="P74" s="99">
        <f t="shared" si="23"/>
        <v>6</v>
      </c>
      <c r="Q74" s="82">
        <f>IF(P74-P73=P73-P72,P74,IF(P75-P73=P73-P72,P75,IF(P74-P73=P73-P71,P74,IF(P75-P73=P73-P71,P75,"-"))))</f>
        <v>6</v>
      </c>
      <c r="R74" s="83">
        <f>VLOOKUP(Q74,STN_TABLE,2,FALSE)</f>
        <v>3.19</v>
      </c>
      <c r="S74" s="83">
        <v>-1</v>
      </c>
      <c r="T74" s="82">
        <f>R74*S74</f>
        <v>-3.19</v>
      </c>
      <c r="U74" s="88">
        <v>-1</v>
      </c>
      <c r="V74" s="82">
        <f>R74*U74</f>
        <v>-3.19</v>
      </c>
      <c r="W74" s="84" t="str">
        <f>CONCATENATE("a'(",Q73,")=")</f>
        <v>a'(5)=</v>
      </c>
      <c r="X74" s="84">
        <f>2*X72/12*T75</f>
        <v>9.3431999999999995</v>
      </c>
      <c r="Y74" s="84" t="str">
        <f>CONCATENATE("A(",Q72,")=")</f>
        <v>A(4)=</v>
      </c>
      <c r="Z74" s="84">
        <f>VLOOKUP(Q72,STN_TABLE,3,FALSE)</f>
        <v>35.566666666666663</v>
      </c>
      <c r="AA74" t="str">
        <f>CONCATENATE("A(",Q73,")=")</f>
        <v>A(5)=</v>
      </c>
      <c r="AB74">
        <f>X74+Z74</f>
        <v>44.909866666666659</v>
      </c>
      <c r="AC74" s="99">
        <f>AC73+1</f>
        <v>10</v>
      </c>
      <c r="AD74" s="100">
        <f>VLOOKUP(AC74,STN_TABLE_2,2,FALSE)</f>
        <v>5</v>
      </c>
      <c r="AE74" s="82">
        <f>VLOOKUP(AD74,STN_TABLE,2,FALSE)</f>
        <v>2.4962</v>
      </c>
      <c r="AF74" s="82">
        <v>2</v>
      </c>
      <c r="AG74" s="83">
        <f>AE74*AF74</f>
        <v>4.9923999999999999</v>
      </c>
      <c r="AH74" s="84" t="str">
        <f>CONCATENATE("a'(",AD74,")=")</f>
        <v>a'(5)=</v>
      </c>
      <c r="AI74" s="84">
        <f>2*AI72/2*AE75</f>
        <v>1.4748600000000034</v>
      </c>
      <c r="AJ74" s="84" t="str">
        <f>CONCATENATE("A(",AD73,")=")</f>
        <v>A(4.85)=</v>
      </c>
      <c r="AK74" s="84">
        <f>VLOOKUP(AD73,STN_TABLE,3,FALSE)</f>
        <v>43.505666666666656</v>
      </c>
      <c r="AL74" t="str">
        <f>CONCATENATE("A(",AD74,")=")</f>
        <v>A(5)=</v>
      </c>
      <c r="AM74">
        <f>AI74+AK74</f>
        <v>44.980526666666663</v>
      </c>
      <c r="AO74" s="68" t="str">
        <f>AA74</f>
        <v>A(5)=</v>
      </c>
      <c r="AP74" s="68" t="e">
        <f>VLOOKUP(AO74,Rise_Results,2,FALSE)</f>
        <v>#N/A</v>
      </c>
      <c r="AQ74" s="76">
        <f>N74</f>
        <v>45.084933333333325</v>
      </c>
      <c r="AR74" s="76">
        <f>IF(OR(AB74&lt;=0,AB75&lt;=0),1/0,AB74)</f>
        <v>44.909866666666659</v>
      </c>
      <c r="AS74" s="76">
        <f>AM74</f>
        <v>44.980526666666663</v>
      </c>
      <c r="AT74">
        <f>IFERROR(AP74,IFERROR(AQ74,IFERROR(AR74,AS74)))</f>
        <v>45.084933333333325</v>
      </c>
      <c r="AU74" s="81"/>
    </row>
    <row r="75" spans="1:47" x14ac:dyDescent="0.25">
      <c r="A75" s="84">
        <f>A74+1</f>
        <v>10</v>
      </c>
      <c r="B75" s="84">
        <f t="shared" si="27"/>
        <v>5</v>
      </c>
      <c r="F75" s="82">
        <f>SUM(F72:F74)</f>
        <v>13.876199999999999</v>
      </c>
      <c r="H75" s="82">
        <f>SUM(H72:H74)</f>
        <v>55.621000000000002</v>
      </c>
      <c r="I75" s="84" t="str">
        <f>CONCATENATE("m'(",C74,")=")</f>
        <v>m'(5)=</v>
      </c>
      <c r="J75" s="84">
        <f>2*(J72*(WLS))/3*H75</f>
        <v>148.32266666666666</v>
      </c>
      <c r="K75" s="84" t="str">
        <f>CONCATENATE("M(",C72,")=")</f>
        <v>M(3)=</v>
      </c>
      <c r="L75" s="84">
        <f>VLOOKUP(C72,STN_TABLE,4,FALSE)</f>
        <v>88.75333333333333</v>
      </c>
      <c r="M75" t="str">
        <f>CONCATENATE("M(",C74,")=")</f>
        <v>M(5)=</v>
      </c>
      <c r="N75">
        <f>J75+L75</f>
        <v>237.07599999999999</v>
      </c>
      <c r="O75" s="99">
        <f>O74+1</f>
        <v>12</v>
      </c>
      <c r="P75" s="99">
        <f t="shared" si="23"/>
        <v>6.5</v>
      </c>
      <c r="T75" s="89">
        <f>SUM(T72:T74)</f>
        <v>28.029599999999999</v>
      </c>
      <c r="V75" s="82">
        <f>SUM(V72:V74)</f>
        <v>28.521999999999998</v>
      </c>
      <c r="W75" s="84" t="str">
        <f>CONCATENATE("m'(",Q73,")=")</f>
        <v>m'(5)=</v>
      </c>
      <c r="X75" s="84">
        <f>(2*(X72^2)/24*V75)+(X74*Q72*WLS)</f>
        <v>84.252933333333331</v>
      </c>
      <c r="Y75" s="84" t="str">
        <f>CONCATENATE("M(",Q72,")=")</f>
        <v>M(4)=</v>
      </c>
      <c r="Z75" s="84">
        <f>VLOOKUP(Q72,STN_TABLE,4,FALSE)</f>
        <v>152.02333333333331</v>
      </c>
      <c r="AA75" t="str">
        <f>CONCATENATE("M(",Q73,")=")</f>
        <v>M(5)=</v>
      </c>
      <c r="AB75">
        <f>X75+Z75</f>
        <v>236.27626666666663</v>
      </c>
      <c r="AE75" s="89">
        <f>SUM(AE73:AE74)</f>
        <v>4.9161999999999999</v>
      </c>
      <c r="AG75" s="89">
        <f>SUM(AG73:AG74)</f>
        <v>7.4123999999999999</v>
      </c>
      <c r="AH75" s="84" t="str">
        <f>CONCATENATE("m'(",AD74,")=")</f>
        <v>m'(5)=</v>
      </c>
      <c r="AI75" s="84">
        <f>(2*(AI72^2)/6*AG75)+(AI74*AD73*WLS)</f>
        <v>14.528514000000033</v>
      </c>
      <c r="AJ75" s="84" t="str">
        <f>CONCATENATE("M(",AD73,")=")</f>
        <v>M(4.85)=</v>
      </c>
      <c r="AK75" s="84">
        <f>VLOOKUP(AD73,STN_TABLE,4,FALSE)</f>
        <v>222.3653666666666</v>
      </c>
      <c r="AL75" t="str">
        <f>CONCATENATE("M(",AD74,")=")</f>
        <v>M(5)=</v>
      </c>
      <c r="AM75">
        <f>AI75+AK75</f>
        <v>236.89388066666663</v>
      </c>
      <c r="AO75" s="82" t="str">
        <f>AA75</f>
        <v>M(5)=</v>
      </c>
      <c r="AP75" s="82" t="e">
        <f>VLOOKUP(AO75,Rise_Results,2,FALSE)</f>
        <v>#N/A</v>
      </c>
      <c r="AQ75" s="82">
        <f>N75</f>
        <v>237.07599999999999</v>
      </c>
      <c r="AR75" s="82">
        <f>IF(OR(AB74&lt;=0,AB75&lt;=0),1/0,AB75)</f>
        <v>236.27626666666663</v>
      </c>
      <c r="AS75" s="82">
        <f>AM75</f>
        <v>236.89388066666663</v>
      </c>
      <c r="AT75">
        <f>IFERROR(AP75,IFERROR(AQ75,IFERROR(AR75,AS75)))</f>
        <v>237.07599999999999</v>
      </c>
      <c r="AU75" s="81"/>
    </row>
    <row r="76" spans="1:47" x14ac:dyDescent="0.25">
      <c r="A76" s="101">
        <f>A71+1</f>
        <v>7</v>
      </c>
      <c r="B76" s="101">
        <f t="shared" si="27"/>
        <v>3</v>
      </c>
      <c r="O76" s="101">
        <f>O71+1</f>
        <v>9</v>
      </c>
      <c r="P76" s="101">
        <f t="shared" si="23"/>
        <v>4.8499999999999996</v>
      </c>
      <c r="AU76" s="81"/>
    </row>
    <row r="77" spans="1:47" x14ac:dyDescent="0.25">
      <c r="A77" s="84">
        <f>A76+1</f>
        <v>8</v>
      </c>
      <c r="B77" s="84">
        <f t="shared" si="27"/>
        <v>4</v>
      </c>
      <c r="C77" s="79">
        <f t="shared" ref="C77" si="29">IF(C78=B79,IF(C79-C78=C78-B78,B78,IF(C79-C78=C78-B77,B77,"#NA")),IF(C78=B78,IF(C79-C78=C78-B77,B77,IF(C79-C78=C78-B76,B76,"#NA")),"#NA"))</f>
        <v>4</v>
      </c>
      <c r="D77" s="68">
        <f>VLOOKUP(C77,STN_TABLE,2,FALSE)</f>
        <v>2.25</v>
      </c>
      <c r="E77" s="102">
        <v>1</v>
      </c>
      <c r="F77" s="68">
        <f>D77*E77</f>
        <v>2.25</v>
      </c>
      <c r="G77" s="69">
        <f>C77</f>
        <v>4</v>
      </c>
      <c r="H77" s="69">
        <f>F77*G77</f>
        <v>9</v>
      </c>
      <c r="I77" s="6" t="s">
        <v>93</v>
      </c>
      <c r="J77" s="70">
        <f>IF(OR(D77=0,D78=0,D79=0),"#NA",IF(AND(C79-C78=C78-C77,C78&lt;&gt;C79,C77&lt;&gt;C78,C77&lt;&gt;C79,D79&lt;&gt;0,OR(D77&lt;&gt;0,D78&lt;&gt;0)),WLS*(C79-C78),"#NA"))</f>
        <v>2</v>
      </c>
      <c r="O77" s="99">
        <f>O76+1</f>
        <v>10</v>
      </c>
      <c r="P77" s="99">
        <f t="shared" si="23"/>
        <v>5</v>
      </c>
      <c r="Q77" s="68" t="e">
        <f>IF(OR(P79-P78=P78-P77,P80-P78=P78-P77),P77,IF(OR(P79-P78=P78-P76,P80-P78=P78-P76),P76,"-"))</f>
        <v>#VALUE!</v>
      </c>
      <c r="R77" s="69" t="e">
        <f>VLOOKUP(Q77,STN_TABLE,2,FALSE)</f>
        <v>#VALUE!</v>
      </c>
      <c r="S77" s="69">
        <v>5</v>
      </c>
      <c r="T77" s="68" t="e">
        <f>R77*S77</f>
        <v>#VALUE!</v>
      </c>
      <c r="U77" s="79">
        <v>3</v>
      </c>
      <c r="V77" s="68" t="e">
        <f>R77*U77</f>
        <v>#VALUE!</v>
      </c>
      <c r="W77" s="6" t="s">
        <v>93</v>
      </c>
      <c r="X77" s="70" t="e">
        <f>IF(AND(Q79-Q78=Q78-Q77,NOT(AND(Q77=0,Q78=0)),NOT(AND(Q78=0,Q79=0))),WLS*(Q79-Q78),"#NA")</f>
        <v>#VALUE!</v>
      </c>
      <c r="AD77" s="93"/>
      <c r="AH77" s="6" t="s">
        <v>93</v>
      </c>
      <c r="AI77" s="70">
        <f>WLS*(AD79-AD78)</f>
        <v>2</v>
      </c>
      <c r="AU77" s="81"/>
    </row>
    <row r="78" spans="1:47" x14ac:dyDescent="0.25">
      <c r="A78" s="84">
        <f>A77+1</f>
        <v>9</v>
      </c>
      <c r="B78" s="84">
        <f t="shared" si="27"/>
        <v>4.8499999999999996</v>
      </c>
      <c r="C78" s="80">
        <f t="shared" ref="C78" si="30">IF(OR(B80-B79=B79-B78,B80-B79=B79-B77,B80-B79=B79-B76),B79,IF(OR(B80-B78=B78-B77,B80-B78=B78-B76),B78,IF(B80-B77=B77-B76,B77,"#NA")))</f>
        <v>5</v>
      </c>
      <c r="D78" s="76">
        <f>VLOOKUP(C78,STN_TABLE,2,FALSE)</f>
        <v>2.4962</v>
      </c>
      <c r="E78" s="81">
        <v>4</v>
      </c>
      <c r="F78" s="76">
        <f>D78*E78</f>
        <v>9.9847999999999999</v>
      </c>
      <c r="G78" s="77">
        <f>C78</f>
        <v>5</v>
      </c>
      <c r="H78" s="77">
        <f>F78*G78</f>
        <v>49.923999999999999</v>
      </c>
      <c r="I78" s="495" t="s">
        <v>97</v>
      </c>
      <c r="J78" s="496"/>
      <c r="K78" s="78" t="s">
        <v>98</v>
      </c>
      <c r="L78" s="78"/>
      <c r="M78" s="7" t="s">
        <v>99</v>
      </c>
      <c r="N78" s="7"/>
      <c r="O78" s="99">
        <f>O77+1</f>
        <v>11</v>
      </c>
      <c r="P78" s="99">
        <f t="shared" si="23"/>
        <v>6</v>
      </c>
      <c r="Q78" s="76">
        <f>P78</f>
        <v>6</v>
      </c>
      <c r="R78" s="77">
        <f>VLOOKUP(Q78,STN_TABLE,2,FALSE)</f>
        <v>3.19</v>
      </c>
      <c r="S78" s="77">
        <v>8</v>
      </c>
      <c r="T78" s="76">
        <f>R78*S78</f>
        <v>25.52</v>
      </c>
      <c r="U78" s="80">
        <v>10</v>
      </c>
      <c r="V78" s="76">
        <f>R78*U78</f>
        <v>31.9</v>
      </c>
      <c r="W78" s="496" t="s">
        <v>97</v>
      </c>
      <c r="X78" s="496"/>
      <c r="Y78" s="496" t="s">
        <v>98</v>
      </c>
      <c r="Z78" s="496"/>
      <c r="AA78" s="494" t="s">
        <v>99</v>
      </c>
      <c r="AB78" s="494"/>
      <c r="AC78" s="99">
        <f>AC73+1</f>
        <v>10</v>
      </c>
      <c r="AD78" s="95">
        <f>VLOOKUP(AC78,STN_TABLE_2,2,FALSE)</f>
        <v>5</v>
      </c>
      <c r="AE78" s="68">
        <f>VLOOKUP(AD78,STN_TABLE,2,FALSE)</f>
        <v>2.4962</v>
      </c>
      <c r="AF78" s="68">
        <v>1</v>
      </c>
      <c r="AG78" s="69">
        <f>AE78*AF78</f>
        <v>2.4962</v>
      </c>
      <c r="AH78" s="496" t="s">
        <v>97</v>
      </c>
      <c r="AI78" s="496"/>
      <c r="AJ78" s="496" t="s">
        <v>98</v>
      </c>
      <c r="AK78" s="496"/>
      <c r="AL78" s="494" t="s">
        <v>99</v>
      </c>
      <c r="AM78" s="494"/>
      <c r="AP78" s="86" t="s">
        <v>112</v>
      </c>
      <c r="AQ78" s="89" t="s">
        <v>113</v>
      </c>
      <c r="AR78" s="89" t="s">
        <v>114</v>
      </c>
      <c r="AS78" s="89" t="s">
        <v>115</v>
      </c>
      <c r="AU78" s="81"/>
    </row>
    <row r="79" spans="1:47" x14ac:dyDescent="0.25">
      <c r="A79" s="84">
        <f>A78+1</f>
        <v>10</v>
      </c>
      <c r="B79" s="84">
        <f t="shared" si="27"/>
        <v>5</v>
      </c>
      <c r="C79" s="88">
        <f t="shared" ref="C79" si="31">B80</f>
        <v>6</v>
      </c>
      <c r="D79" s="82">
        <f>VLOOKUP(C79,STN_TABLE,2,FALSE)</f>
        <v>3.19</v>
      </c>
      <c r="E79" s="92">
        <v>1</v>
      </c>
      <c r="F79" s="82">
        <f>D79*E79</f>
        <v>3.19</v>
      </c>
      <c r="G79" s="83">
        <f>C79</f>
        <v>6</v>
      </c>
      <c r="H79" s="83">
        <f>F79*G79</f>
        <v>19.14</v>
      </c>
      <c r="I79" s="84" t="str">
        <f>CONCATENATE("a'(",C79,")=")</f>
        <v>a'(6)=</v>
      </c>
      <c r="J79" s="84">
        <f>2*J77/3*F80</f>
        <v>20.566399999999998</v>
      </c>
      <c r="K79" s="84" t="str">
        <f>CONCATENATE("A(",C77,")=")</f>
        <v>A(4)=</v>
      </c>
      <c r="L79" s="84">
        <f>VLOOKUP(C77,STN_TABLE,3,FALSE)</f>
        <v>35.566666666666663</v>
      </c>
      <c r="M79" t="str">
        <f>CONCATENATE("A(",C79,")=")</f>
        <v>A(6)=</v>
      </c>
      <c r="N79">
        <f>J79+L79</f>
        <v>56.133066666666664</v>
      </c>
      <c r="O79" s="99">
        <f>O78+1</f>
        <v>12</v>
      </c>
      <c r="P79" s="99">
        <f t="shared" si="23"/>
        <v>6.5</v>
      </c>
      <c r="Q79" s="82" t="e">
        <f>IF(P79-P78=P78-P77,P79,IF(P80-P78=P78-P77,P80,IF(P79-P78=P78-P76,P79,IF(P80-P78=P78-P76,P80,"-"))))</f>
        <v>#VALUE!</v>
      </c>
      <c r="R79" s="83" t="e">
        <f>VLOOKUP(Q79,STN_TABLE,2,FALSE)</f>
        <v>#VALUE!</v>
      </c>
      <c r="S79" s="83">
        <v>-1</v>
      </c>
      <c r="T79" s="82" t="e">
        <f>R79*S79</f>
        <v>#VALUE!</v>
      </c>
      <c r="U79" s="88">
        <v>-1</v>
      </c>
      <c r="V79" s="82" t="e">
        <f>R79*U79</f>
        <v>#VALUE!</v>
      </c>
      <c r="W79" s="84" t="str">
        <f>CONCATENATE("a'(",Q78,")=")</f>
        <v>a'(6)=</v>
      </c>
      <c r="X79" s="84" t="e">
        <f>2*X77/12*T80</f>
        <v>#VALUE!</v>
      </c>
      <c r="Y79" s="84" t="e">
        <f>CONCATENATE("A(",Q77,")=")</f>
        <v>#VALUE!</v>
      </c>
      <c r="Z79" s="84" t="e">
        <f>VLOOKUP(Q77,STN_TABLE,3,FALSE)</f>
        <v>#VALUE!</v>
      </c>
      <c r="AA79" t="str">
        <f>CONCATENATE("A(",Q78,")=")</f>
        <v>A(6)=</v>
      </c>
      <c r="AB79" t="e">
        <f>X79+Z79</f>
        <v>#VALUE!</v>
      </c>
      <c r="AC79" s="99">
        <f>AC78+1</f>
        <v>11</v>
      </c>
      <c r="AD79" s="100">
        <f>VLOOKUP(AC79,STN_TABLE_2,2,FALSE)</f>
        <v>6</v>
      </c>
      <c r="AE79" s="82">
        <f>VLOOKUP(AD79,STN_TABLE,2,FALSE)</f>
        <v>3.19</v>
      </c>
      <c r="AF79" s="82">
        <v>2</v>
      </c>
      <c r="AG79" s="83">
        <f>AE79*AF79</f>
        <v>6.38</v>
      </c>
      <c r="AH79" s="84" t="str">
        <f>CONCATENATE("a'(",AD79,")=")</f>
        <v>a'(6)=</v>
      </c>
      <c r="AI79" s="84">
        <f>2*AI77/2*AE80</f>
        <v>11.372399999999999</v>
      </c>
      <c r="AJ79" s="84" t="str">
        <f>CONCATENATE("A(",AD78,")=")</f>
        <v>A(5)=</v>
      </c>
      <c r="AK79" s="84">
        <f>VLOOKUP(AD78,STN_TABLE,3,FALSE)</f>
        <v>45.084933333333325</v>
      </c>
      <c r="AL79" t="str">
        <f>CONCATENATE("A(",AD79,")=")</f>
        <v>A(6)=</v>
      </c>
      <c r="AM79">
        <f>AI79+AK79</f>
        <v>56.457333333333324</v>
      </c>
      <c r="AO79" s="68" t="str">
        <f>AA79</f>
        <v>A(6)=</v>
      </c>
      <c r="AP79" s="68" t="e">
        <f>VLOOKUP(AO79,Rise_Results,2,FALSE)</f>
        <v>#N/A</v>
      </c>
      <c r="AQ79" s="76">
        <f>N79</f>
        <v>56.133066666666664</v>
      </c>
      <c r="AR79" s="76" t="e">
        <f>IF(OR(AB79&lt;=0,AB80&lt;=0),1/0,AB79)</f>
        <v>#VALUE!</v>
      </c>
      <c r="AS79" s="76">
        <f>AM79</f>
        <v>56.457333333333324</v>
      </c>
      <c r="AT79">
        <f>IFERROR(AP79,IFERROR(AQ79,IFERROR(AR79,AS79)))</f>
        <v>56.133066666666664</v>
      </c>
      <c r="AU79" s="81"/>
    </row>
    <row r="80" spans="1:47" x14ac:dyDescent="0.25">
      <c r="A80" s="84">
        <f>A79+1</f>
        <v>11</v>
      </c>
      <c r="B80" s="84">
        <f t="shared" si="27"/>
        <v>6</v>
      </c>
      <c r="F80" s="82">
        <f>SUM(F77:F79)</f>
        <v>15.424799999999999</v>
      </c>
      <c r="H80" s="82">
        <f>SUM(H77:H79)</f>
        <v>78.063999999999993</v>
      </c>
      <c r="I80" s="84" t="str">
        <f>CONCATENATE("m'(",C79,")=")</f>
        <v>m'(6)=</v>
      </c>
      <c r="J80" s="84">
        <f>2*(J77*(WLS))/3*H80</f>
        <v>208.17066666666665</v>
      </c>
      <c r="K80" s="84" t="str">
        <f>CONCATENATE("M(",C77,")=")</f>
        <v>M(4)=</v>
      </c>
      <c r="L80" s="84">
        <f>VLOOKUP(C77,STN_TABLE,4,FALSE)</f>
        <v>152.02333333333331</v>
      </c>
      <c r="M80" t="str">
        <f>CONCATENATE("M(",C79,")=")</f>
        <v>M(6)=</v>
      </c>
      <c r="N80">
        <f>J80+L80</f>
        <v>360.19399999999996</v>
      </c>
      <c r="O80" s="99">
        <f>O79+1</f>
        <v>13</v>
      </c>
      <c r="P80" s="99" t="str">
        <f t="shared" si="23"/>
        <v xml:space="preserve">  </v>
      </c>
      <c r="T80" s="89" t="e">
        <f>SUM(T77:T79)</f>
        <v>#VALUE!</v>
      </c>
      <c r="V80" s="82" t="e">
        <f>SUM(V77:V79)</f>
        <v>#VALUE!</v>
      </c>
      <c r="W80" s="84" t="str">
        <f>CONCATENATE("m'(",Q78,")=")</f>
        <v>m'(6)=</v>
      </c>
      <c r="X80" s="84" t="e">
        <f>(2*(X77^2)/24*V80)+(X79*Q77*WLS)</f>
        <v>#VALUE!</v>
      </c>
      <c r="Y80" s="84" t="e">
        <f>CONCATENATE("M(",Q77,")=")</f>
        <v>#VALUE!</v>
      </c>
      <c r="Z80" s="84" t="e">
        <f>VLOOKUP(Q77,STN_TABLE,4,FALSE)</f>
        <v>#VALUE!</v>
      </c>
      <c r="AA80" t="str">
        <f>CONCATENATE("M(",Q78,")=")</f>
        <v>M(6)=</v>
      </c>
      <c r="AB80" t="e">
        <f>X80+Z80</f>
        <v>#VALUE!</v>
      </c>
      <c r="AE80" s="89">
        <f>SUM(AE78:AE79)</f>
        <v>5.6861999999999995</v>
      </c>
      <c r="AG80" s="89">
        <f>SUM(AG78:AG79)</f>
        <v>8.8762000000000008</v>
      </c>
      <c r="AH80" s="84" t="str">
        <f>CONCATENATE("m'(",AD79,")=")</f>
        <v>m'(6)=</v>
      </c>
      <c r="AI80" s="84">
        <f>(2*(AI77^2)/6*AG80)+(AI79*AD78*WLS)</f>
        <v>125.55893333333333</v>
      </c>
      <c r="AJ80" s="84" t="str">
        <f>CONCATENATE("M(",AD78,")=")</f>
        <v>M(5)=</v>
      </c>
      <c r="AK80" s="84">
        <f>VLOOKUP(AD78,STN_TABLE,4,FALSE)</f>
        <v>237.07599999999999</v>
      </c>
      <c r="AL80" t="str">
        <f>CONCATENATE("M(",AD79,")=")</f>
        <v>M(6)=</v>
      </c>
      <c r="AM80">
        <f>AI80+AK80</f>
        <v>362.63493333333332</v>
      </c>
      <c r="AO80" s="82" t="str">
        <f>AA80</f>
        <v>M(6)=</v>
      </c>
      <c r="AP80" s="82" t="e">
        <f>VLOOKUP(AO80,Rise_Results,2,FALSE)</f>
        <v>#N/A</v>
      </c>
      <c r="AQ80" s="82">
        <f>N80</f>
        <v>360.19399999999996</v>
      </c>
      <c r="AR80" s="82" t="e">
        <f>IF(OR(AB79&lt;=0,AB80&lt;=0),1/0,AB80)</f>
        <v>#VALUE!</v>
      </c>
      <c r="AS80" s="82">
        <f>AM80</f>
        <v>362.63493333333332</v>
      </c>
      <c r="AT80">
        <f>IFERROR(AP80,IFERROR(AQ80,IFERROR(AR80,AS80)))</f>
        <v>360.19399999999996</v>
      </c>
      <c r="AU80" s="81"/>
    </row>
    <row r="81" spans="1:47" x14ac:dyDescent="0.25">
      <c r="A81" s="101">
        <f>A76+1</f>
        <v>8</v>
      </c>
      <c r="B81" s="101">
        <f t="shared" si="27"/>
        <v>4</v>
      </c>
      <c r="O81" s="101">
        <f>O76+1</f>
        <v>10</v>
      </c>
      <c r="P81" s="101">
        <f t="shared" si="23"/>
        <v>5</v>
      </c>
      <c r="AU81" s="81"/>
    </row>
    <row r="82" spans="1:47" x14ac:dyDescent="0.25">
      <c r="A82" s="84">
        <f>A81+1</f>
        <v>9</v>
      </c>
      <c r="B82" s="84">
        <f t="shared" si="27"/>
        <v>4.8499999999999996</v>
      </c>
      <c r="C82" s="79" t="str">
        <f t="shared" ref="C82" si="32">IF(C83=B84,IF(C84-C83=C83-B83,B83,IF(C84-C83=C83-B82,B82,"#NA")),IF(C83=B83,IF(C84-C83=C83-B82,B82,IF(C84-C83=C83-B81,B81,"#NA")),"#NA"))</f>
        <v>#NA</v>
      </c>
      <c r="D82" s="68" t="e">
        <f>VLOOKUP(C82,STN_TABLE,2,FALSE)</f>
        <v>#N/A</v>
      </c>
      <c r="E82" s="102">
        <v>1</v>
      </c>
      <c r="F82" s="68" t="e">
        <f>D82*E82</f>
        <v>#N/A</v>
      </c>
      <c r="G82" s="69" t="str">
        <f>C82</f>
        <v>#NA</v>
      </c>
      <c r="H82" s="69" t="e">
        <f>F82*G82</f>
        <v>#N/A</v>
      </c>
      <c r="I82" s="6" t="s">
        <v>93</v>
      </c>
      <c r="J82" s="70" t="e">
        <f>IF(OR(D82=0,D83=0,D84=0),"#NA",IF(AND(C84-C83=C83-C82,C83&lt;&gt;C84,C82&lt;&gt;C83,C82&lt;&gt;C84,D84&lt;&gt;0,OR(D82&lt;&gt;0,D83&lt;&gt;0)),WLS*(C84-C83),"#NA"))</f>
        <v>#N/A</v>
      </c>
      <c r="O82" s="99">
        <f>O81+1</f>
        <v>11</v>
      </c>
      <c r="P82" s="99">
        <f t="shared" si="23"/>
        <v>6</v>
      </c>
      <c r="Q82" s="68" t="e">
        <f>IF(OR(P84-P83=P83-P82,P85-P83=P83-P82),P82,IF(OR(P84-P83=P83-P81,P85-P83=P83-P81),P81,"-"))</f>
        <v>#VALUE!</v>
      </c>
      <c r="R82" s="69" t="e">
        <f>VLOOKUP(Q82,STN_TABLE,2,FALSE)</f>
        <v>#VALUE!</v>
      </c>
      <c r="S82" s="69">
        <v>5</v>
      </c>
      <c r="T82" s="68" t="e">
        <f>R82*S82</f>
        <v>#VALUE!</v>
      </c>
      <c r="U82" s="79">
        <v>3</v>
      </c>
      <c r="V82" s="68" t="e">
        <f>R82*U82</f>
        <v>#VALUE!</v>
      </c>
      <c r="W82" s="6" t="s">
        <v>93</v>
      </c>
      <c r="X82" s="70" t="e">
        <f>IF(AND(Q84-Q83=Q83-Q82,NOT(AND(Q82=0,Q83=0)),NOT(AND(Q83=0,Q84=0))),WLS*(Q84-Q83),"#NA")</f>
        <v>#VALUE!</v>
      </c>
      <c r="AD82" s="93"/>
      <c r="AH82" s="6" t="s">
        <v>93</v>
      </c>
      <c r="AI82" s="70">
        <f>WLS*(AD84-AD83)</f>
        <v>1</v>
      </c>
      <c r="AU82" s="81"/>
    </row>
    <row r="83" spans="1:47" x14ac:dyDescent="0.25">
      <c r="A83" s="84">
        <f>A82+1</f>
        <v>10</v>
      </c>
      <c r="B83" s="84">
        <f t="shared" si="27"/>
        <v>5</v>
      </c>
      <c r="C83" s="80" t="str">
        <f t="shared" ref="C83" si="33">IF(OR(B85-B84=B84-B83,B85-B84=B84-B82,B85-B84=B84-B81),B84,IF(OR(B85-B83=B83-B82,B85-B83=B83-B81),B83,IF(B85-B82=B82-B81,B82,"#NA")))</f>
        <v>#NA</v>
      </c>
      <c r="D83" s="76" t="e">
        <f>VLOOKUP(C83,STN_TABLE,2,FALSE)</f>
        <v>#N/A</v>
      </c>
      <c r="E83" s="81">
        <v>4</v>
      </c>
      <c r="F83" s="76" t="e">
        <f>D83*E83</f>
        <v>#N/A</v>
      </c>
      <c r="G83" s="77" t="str">
        <f>C83</f>
        <v>#NA</v>
      </c>
      <c r="H83" s="77" t="e">
        <f>F83*G83</f>
        <v>#N/A</v>
      </c>
      <c r="I83" s="495" t="s">
        <v>97</v>
      </c>
      <c r="J83" s="496"/>
      <c r="K83" s="78" t="s">
        <v>98</v>
      </c>
      <c r="L83" s="78"/>
      <c r="M83" s="7" t="s">
        <v>99</v>
      </c>
      <c r="N83" s="7"/>
      <c r="O83" s="99">
        <f>O82+1</f>
        <v>12</v>
      </c>
      <c r="P83" s="99">
        <f t="shared" si="23"/>
        <v>6.5</v>
      </c>
      <c r="Q83" s="76">
        <f>P83</f>
        <v>6.5</v>
      </c>
      <c r="R83" s="77">
        <f>VLOOKUP(Q83,STN_TABLE,2,FALSE)</f>
        <v>3.63</v>
      </c>
      <c r="S83" s="77">
        <v>8</v>
      </c>
      <c r="T83" s="76">
        <f>R83*S83</f>
        <v>29.04</v>
      </c>
      <c r="U83" s="80">
        <v>10</v>
      </c>
      <c r="V83" s="76">
        <f>R83*U83</f>
        <v>36.299999999999997</v>
      </c>
      <c r="W83" s="496" t="s">
        <v>97</v>
      </c>
      <c r="X83" s="496"/>
      <c r="Y83" s="496" t="s">
        <v>98</v>
      </c>
      <c r="Z83" s="496"/>
      <c r="AA83" s="494" t="s">
        <v>99</v>
      </c>
      <c r="AB83" s="494"/>
      <c r="AC83" s="99">
        <f>AC78+1</f>
        <v>11</v>
      </c>
      <c r="AD83" s="95">
        <f>VLOOKUP(AC83,STN_TABLE_2,2,FALSE)</f>
        <v>6</v>
      </c>
      <c r="AE83" s="68">
        <f>VLOOKUP(AD83,STN_TABLE,2,FALSE)</f>
        <v>3.19</v>
      </c>
      <c r="AF83" s="68">
        <v>1</v>
      </c>
      <c r="AG83" s="69">
        <f>AE83*AF83</f>
        <v>3.19</v>
      </c>
      <c r="AH83" s="496" t="s">
        <v>97</v>
      </c>
      <c r="AI83" s="496"/>
      <c r="AJ83" s="496" t="s">
        <v>98</v>
      </c>
      <c r="AK83" s="496"/>
      <c r="AL83" s="494" t="s">
        <v>99</v>
      </c>
      <c r="AM83" s="494"/>
      <c r="AP83" s="86" t="s">
        <v>112</v>
      </c>
      <c r="AQ83" s="89" t="s">
        <v>113</v>
      </c>
      <c r="AR83" s="89" t="s">
        <v>114</v>
      </c>
      <c r="AS83" s="89" t="s">
        <v>115</v>
      </c>
      <c r="AU83" s="81"/>
    </row>
    <row r="84" spans="1:47" x14ac:dyDescent="0.25">
      <c r="A84" s="84">
        <f>A83+1</f>
        <v>11</v>
      </c>
      <c r="B84" s="84">
        <f t="shared" si="27"/>
        <v>6</v>
      </c>
      <c r="C84" s="88">
        <f t="shared" ref="C84" si="34">B85</f>
        <v>6.5</v>
      </c>
      <c r="D84" s="82">
        <f>VLOOKUP(C84,STN_TABLE,2,FALSE)</f>
        <v>3.63</v>
      </c>
      <c r="E84" s="92">
        <v>1</v>
      </c>
      <c r="F84" s="82">
        <f>D84*E84</f>
        <v>3.63</v>
      </c>
      <c r="G84" s="83">
        <f>C84</f>
        <v>6.5</v>
      </c>
      <c r="H84" s="83">
        <f>F84*G84</f>
        <v>23.594999999999999</v>
      </c>
      <c r="I84" s="84" t="str">
        <f>CONCATENATE("a'(",C84,")=")</f>
        <v>a'(6.5)=</v>
      </c>
      <c r="J84" s="84" t="e">
        <f>2*J82/3*F85</f>
        <v>#N/A</v>
      </c>
      <c r="K84" s="84" t="str">
        <f>CONCATENATE("A(",C82,")=")</f>
        <v>A(#NA)=</v>
      </c>
      <c r="L84" s="84" t="e">
        <f>VLOOKUP(C82,STN_TABLE,3,FALSE)</f>
        <v>#N/A</v>
      </c>
      <c r="M84" t="str">
        <f>CONCATENATE("A(",C84,")=")</f>
        <v>A(6.5)=</v>
      </c>
      <c r="N84" t="e">
        <f>J84+L84</f>
        <v>#N/A</v>
      </c>
      <c r="O84" s="99">
        <f>O83+1</f>
        <v>13</v>
      </c>
      <c r="P84" s="99" t="str">
        <f t="shared" si="23"/>
        <v xml:space="preserve">  </v>
      </c>
      <c r="Q84" s="82" t="e">
        <f>IF(P84-P83=P83-P82,P84,IF(P85-P83=P83-P82,P85,IF(P84-P83=P83-P81,P84,IF(P85-P83=P83-P81,P85,"-"))))</f>
        <v>#VALUE!</v>
      </c>
      <c r="R84" s="83" t="e">
        <f>VLOOKUP(Q84,STN_TABLE,2,FALSE)</f>
        <v>#VALUE!</v>
      </c>
      <c r="S84" s="83">
        <v>-1</v>
      </c>
      <c r="T84" s="82" t="e">
        <f>R84*S84</f>
        <v>#VALUE!</v>
      </c>
      <c r="U84" s="88">
        <v>-1</v>
      </c>
      <c r="V84" s="82" t="e">
        <f>R84*U84</f>
        <v>#VALUE!</v>
      </c>
      <c r="W84" s="84" t="str">
        <f>CONCATENATE("a'(",Q83,")=")</f>
        <v>a'(6.5)=</v>
      </c>
      <c r="X84" s="84" t="e">
        <f>2*X82/12*T85</f>
        <v>#VALUE!</v>
      </c>
      <c r="Y84" s="84" t="e">
        <f>CONCATENATE("A(",Q82,")=")</f>
        <v>#VALUE!</v>
      </c>
      <c r="Z84" s="84" t="e">
        <f>VLOOKUP(Q82,STN_TABLE,3,FALSE)</f>
        <v>#VALUE!</v>
      </c>
      <c r="AA84" t="str">
        <f>CONCATENATE("A(",Q83,")=")</f>
        <v>A(6.5)=</v>
      </c>
      <c r="AB84" t="e">
        <f>X84+Z84</f>
        <v>#VALUE!</v>
      </c>
      <c r="AC84" s="99">
        <f>AC83+1</f>
        <v>12</v>
      </c>
      <c r="AD84" s="100">
        <f>VLOOKUP(AC84,STN_TABLE_2,2,FALSE)</f>
        <v>6.5</v>
      </c>
      <c r="AE84" s="82">
        <f>VLOOKUP(AD84,STN_TABLE,2,FALSE)</f>
        <v>3.63</v>
      </c>
      <c r="AF84" s="82">
        <v>2</v>
      </c>
      <c r="AG84" s="83">
        <f>AE84*AF84</f>
        <v>7.26</v>
      </c>
      <c r="AH84" s="84" t="str">
        <f>CONCATENATE("a'(",AD84,")=")</f>
        <v>a'(6.5)=</v>
      </c>
      <c r="AI84" s="84">
        <f>2*AI82/2*AE85</f>
        <v>6.82</v>
      </c>
      <c r="AJ84" s="84" t="str">
        <f>CONCATENATE("A(",AD83,")=")</f>
        <v>A(6)=</v>
      </c>
      <c r="AK84" s="84">
        <f>VLOOKUP(AD83,STN_TABLE,3,FALSE)</f>
        <v>56.133066666666664</v>
      </c>
      <c r="AL84" t="str">
        <f>CONCATENATE("A(",AD84,")=")</f>
        <v>A(6.5)=</v>
      </c>
      <c r="AM84">
        <f>AI84+AK84</f>
        <v>62.953066666666665</v>
      </c>
      <c r="AO84" s="68" t="str">
        <f>AA84</f>
        <v>A(6.5)=</v>
      </c>
      <c r="AP84" s="68" t="e">
        <f>VLOOKUP(AO84,Rise_Results,2,FALSE)</f>
        <v>#N/A</v>
      </c>
      <c r="AQ84" s="76" t="e">
        <f>N84</f>
        <v>#N/A</v>
      </c>
      <c r="AR84" s="76" t="e">
        <f>IF(OR(AB84&lt;=0,AB85&lt;=0),1/0,AB84)</f>
        <v>#VALUE!</v>
      </c>
      <c r="AS84" s="76">
        <f>AM84</f>
        <v>62.953066666666665</v>
      </c>
      <c r="AT84">
        <f>IFERROR(AP84,IFERROR(AQ84,IFERROR(AR84,AS84)))</f>
        <v>62.953066666666665</v>
      </c>
      <c r="AU84" s="81"/>
    </row>
    <row r="85" spans="1:47" x14ac:dyDescent="0.25">
      <c r="A85" s="84">
        <f>A84+1</f>
        <v>12</v>
      </c>
      <c r="B85" s="84">
        <f t="shared" si="27"/>
        <v>6.5</v>
      </c>
      <c r="F85" s="82" t="e">
        <f>SUM(F82:F84)</f>
        <v>#N/A</v>
      </c>
      <c r="H85" s="82" t="e">
        <f>SUM(H82:H84)</f>
        <v>#N/A</v>
      </c>
      <c r="I85" s="84" t="str">
        <f>CONCATENATE("m'(",C84,")=")</f>
        <v>m'(6.5)=</v>
      </c>
      <c r="J85" s="84" t="e">
        <f>2*(J82*(WLS))/3*H85</f>
        <v>#N/A</v>
      </c>
      <c r="K85" s="84" t="str">
        <f>CONCATENATE("M(",C82,")=")</f>
        <v>M(#NA)=</v>
      </c>
      <c r="L85" s="84" t="e">
        <f>VLOOKUP(C82,STN_TABLE,4,FALSE)</f>
        <v>#N/A</v>
      </c>
      <c r="M85" t="str">
        <f>CONCATENATE("M(",C84,")=")</f>
        <v>M(6.5)=</v>
      </c>
      <c r="N85" t="e">
        <f>J85+L85</f>
        <v>#N/A</v>
      </c>
      <c r="O85" s="99">
        <f>O84+1</f>
        <v>14</v>
      </c>
      <c r="P85" s="99" t="str">
        <f t="shared" si="23"/>
        <v xml:space="preserve">  </v>
      </c>
      <c r="T85" s="89" t="e">
        <f>SUM(T82:T84)</f>
        <v>#VALUE!</v>
      </c>
      <c r="V85" s="82" t="e">
        <f>SUM(V82:V84)</f>
        <v>#VALUE!</v>
      </c>
      <c r="W85" s="84" t="str">
        <f>CONCATENATE("m'(",Q83,")=")</f>
        <v>m'(6.5)=</v>
      </c>
      <c r="X85" s="84" t="e">
        <f>(2*(X82^2)/24*V85)+(X84*Q82*WLS)</f>
        <v>#VALUE!</v>
      </c>
      <c r="Y85" s="84" t="e">
        <f>CONCATENATE("M(",Q82,")=")</f>
        <v>#VALUE!</v>
      </c>
      <c r="Z85" s="84" t="e">
        <f>VLOOKUP(Q82,STN_TABLE,4,FALSE)</f>
        <v>#VALUE!</v>
      </c>
      <c r="AA85" t="str">
        <f>CONCATENATE("M(",Q83,")=")</f>
        <v>M(6.5)=</v>
      </c>
      <c r="AB85" t="e">
        <f>X85+Z85</f>
        <v>#VALUE!</v>
      </c>
      <c r="AE85" s="89">
        <f>SUM(AE83:AE84)</f>
        <v>6.82</v>
      </c>
      <c r="AG85" s="89">
        <f>SUM(AG83:AG84)</f>
        <v>10.45</v>
      </c>
      <c r="AH85" s="84" t="str">
        <f>CONCATENATE("m'(",AD84,")=")</f>
        <v>m'(6.5)=</v>
      </c>
      <c r="AI85" s="84">
        <f>(2*(AI82^2)/6*AG85)+(AI84*AD83*WLS)</f>
        <v>85.323333333333338</v>
      </c>
      <c r="AJ85" s="84" t="str">
        <f>CONCATENATE("M(",AD83,")=")</f>
        <v>M(6)=</v>
      </c>
      <c r="AK85" s="84">
        <f>VLOOKUP(AD83,STN_TABLE,4,FALSE)</f>
        <v>360.19399999999996</v>
      </c>
      <c r="AL85" t="str">
        <f>CONCATENATE("M(",AD84,")=")</f>
        <v>M(6.5)=</v>
      </c>
      <c r="AM85">
        <f>AI85+AK85</f>
        <v>445.51733333333328</v>
      </c>
      <c r="AO85" s="82" t="str">
        <f>AA85</f>
        <v>M(6.5)=</v>
      </c>
      <c r="AP85" s="82" t="e">
        <f>VLOOKUP(AO85,Rise_Results,2,FALSE)</f>
        <v>#N/A</v>
      </c>
      <c r="AQ85" s="82" t="e">
        <f>N85</f>
        <v>#N/A</v>
      </c>
      <c r="AR85" s="82" t="e">
        <f>IF(OR(AB84&lt;=0,AB85&lt;=0),1/0,AB85)</f>
        <v>#VALUE!</v>
      </c>
      <c r="AS85" s="82">
        <f>AM85</f>
        <v>445.51733333333328</v>
      </c>
      <c r="AT85">
        <f>IFERROR(AP85,IFERROR(AQ85,IFERROR(AR85,AS85)))</f>
        <v>445.51733333333328</v>
      </c>
      <c r="AU85" s="81"/>
    </row>
    <row r="86" spans="1:47" x14ac:dyDescent="0.25">
      <c r="A86" s="101">
        <f>A81+1</f>
        <v>9</v>
      </c>
      <c r="B86" s="101">
        <f t="shared" si="27"/>
        <v>4.8499999999999996</v>
      </c>
      <c r="O86" s="101">
        <f>O81+1</f>
        <v>11</v>
      </c>
      <c r="P86" s="101">
        <f t="shared" si="23"/>
        <v>6</v>
      </c>
      <c r="AU86" s="81"/>
    </row>
    <row r="87" spans="1:47" x14ac:dyDescent="0.25">
      <c r="A87" s="84">
        <f>A86+1</f>
        <v>10</v>
      </c>
      <c r="B87" s="84">
        <f t="shared" si="27"/>
        <v>5</v>
      </c>
      <c r="C87" s="79" t="e">
        <f t="shared" ref="C87" si="35">IF(C88=B89,IF(C89-C88=C88-B88,B88,IF(C89-C88=C88-B87,B87,"#NA")),IF(C88=B88,IF(C89-C88=C88-B87,B87,IF(C89-C88=C88-B86,B86,"#NA")),"#NA"))</f>
        <v>#VALUE!</v>
      </c>
      <c r="D87" s="68" t="e">
        <f>VLOOKUP(C87,STN_TABLE,2,FALSE)</f>
        <v>#VALUE!</v>
      </c>
      <c r="E87" s="102">
        <v>1</v>
      </c>
      <c r="F87" s="68" t="e">
        <f>D87*E87</f>
        <v>#VALUE!</v>
      </c>
      <c r="G87" s="69" t="e">
        <f>C87</f>
        <v>#VALUE!</v>
      </c>
      <c r="H87" s="69" t="e">
        <f>F87*G87</f>
        <v>#VALUE!</v>
      </c>
      <c r="I87" s="6" t="s">
        <v>93</v>
      </c>
      <c r="J87" s="70" t="e">
        <f>IF(OR(D87=0,D88=0,D89=0),"#NA",IF(AND(C89-C88=C88-C87,C88&lt;&gt;C89,C87&lt;&gt;C88,C87&lt;&gt;C89,D89&lt;&gt;0,OR(D87&lt;&gt;0,D88&lt;&gt;0)),WLS*(C89-C88),"#NA"))</f>
        <v>#VALUE!</v>
      </c>
      <c r="O87" s="99">
        <f>O86+1</f>
        <v>12</v>
      </c>
      <c r="P87" s="99">
        <f t="shared" si="23"/>
        <v>6.5</v>
      </c>
      <c r="Q87" s="68" t="e">
        <f>IF(OR(P89-P88=P88-P87,P90-P88=P88-P87),P87,IF(OR(P89-P88=P88-P86,P90-P88=P88-P86),P86,"-"))</f>
        <v>#VALUE!</v>
      </c>
      <c r="R87" s="69" t="e">
        <f>VLOOKUP(Q87,STN_TABLE,2,FALSE)</f>
        <v>#VALUE!</v>
      </c>
      <c r="S87" s="69">
        <v>5</v>
      </c>
      <c r="T87" s="68" t="e">
        <f>R87*S87</f>
        <v>#VALUE!</v>
      </c>
      <c r="U87" s="79">
        <v>3</v>
      </c>
      <c r="V87" s="68" t="e">
        <f>R87*U87</f>
        <v>#VALUE!</v>
      </c>
      <c r="W87" s="6" t="s">
        <v>93</v>
      </c>
      <c r="X87" s="70" t="e">
        <f>IF(AND(Q89-Q88=Q88-Q87,NOT(AND(Q87=0,Q88=0)),NOT(AND(Q88=0,Q89=0))),WLS*(Q89-Q88),"#NA")</f>
        <v>#VALUE!</v>
      </c>
      <c r="AD87" s="93"/>
      <c r="AH87" s="6" t="s">
        <v>93</v>
      </c>
      <c r="AI87" s="70" t="e">
        <f>WLS*(AD89-AD88)</f>
        <v>#VALUE!</v>
      </c>
      <c r="AU87" s="81"/>
    </row>
    <row r="88" spans="1:47" x14ac:dyDescent="0.25">
      <c r="A88" s="84">
        <f>A87+1</f>
        <v>11</v>
      </c>
      <c r="B88" s="84">
        <f t="shared" si="27"/>
        <v>6</v>
      </c>
      <c r="C88" s="80" t="e">
        <f t="shared" ref="C88" si="36">IF(OR(B90-B89=B89-B88,B90-B89=B89-B87,B90-B89=B89-B86),B89,IF(OR(B90-B88=B88-B87,B90-B88=B88-B86),B88,IF(B90-B87=B87-B86,B87,"#NA")))</f>
        <v>#VALUE!</v>
      </c>
      <c r="D88" s="76" t="e">
        <f>VLOOKUP(C88,STN_TABLE,2,FALSE)</f>
        <v>#VALUE!</v>
      </c>
      <c r="E88" s="81">
        <v>4</v>
      </c>
      <c r="F88" s="76" t="e">
        <f>D88*E88</f>
        <v>#VALUE!</v>
      </c>
      <c r="G88" s="77" t="e">
        <f>C88</f>
        <v>#VALUE!</v>
      </c>
      <c r="H88" s="77" t="e">
        <f>F88*G88</f>
        <v>#VALUE!</v>
      </c>
      <c r="I88" s="495" t="s">
        <v>97</v>
      </c>
      <c r="J88" s="496"/>
      <c r="K88" s="78" t="s">
        <v>98</v>
      </c>
      <c r="L88" s="78"/>
      <c r="M88" s="7" t="s">
        <v>99</v>
      </c>
      <c r="N88" s="7"/>
      <c r="O88" s="99">
        <f>O87+1</f>
        <v>13</v>
      </c>
      <c r="P88" s="99" t="str">
        <f t="shared" si="23"/>
        <v xml:space="preserve">  </v>
      </c>
      <c r="Q88" s="76" t="str">
        <f>P88</f>
        <v xml:space="preserve">  </v>
      </c>
      <c r="R88" s="77" t="str">
        <f>VLOOKUP(Q88,STN_TABLE,2,FALSE)</f>
        <v xml:space="preserve">  </v>
      </c>
      <c r="S88" s="77">
        <v>8</v>
      </c>
      <c r="T88" s="76" t="e">
        <f>R88*S88</f>
        <v>#VALUE!</v>
      </c>
      <c r="U88" s="80">
        <v>10</v>
      </c>
      <c r="V88" s="76" t="e">
        <f>R88*U88</f>
        <v>#VALUE!</v>
      </c>
      <c r="W88" s="496" t="s">
        <v>97</v>
      </c>
      <c r="X88" s="496"/>
      <c r="Y88" s="496" t="s">
        <v>98</v>
      </c>
      <c r="Z88" s="496"/>
      <c r="AA88" s="494" t="s">
        <v>99</v>
      </c>
      <c r="AB88" s="494"/>
      <c r="AC88" s="99">
        <f>AC83+1</f>
        <v>12</v>
      </c>
      <c r="AD88" s="95">
        <f>VLOOKUP(AC88,STN_TABLE_2,2,FALSE)</f>
        <v>6.5</v>
      </c>
      <c r="AE88" s="68">
        <f>VLOOKUP(AD88,STN_TABLE,2,FALSE)</f>
        <v>3.63</v>
      </c>
      <c r="AF88" s="68">
        <v>1</v>
      </c>
      <c r="AG88" s="69">
        <f>AE88*AF88</f>
        <v>3.63</v>
      </c>
      <c r="AH88" s="496" t="s">
        <v>97</v>
      </c>
      <c r="AI88" s="496"/>
      <c r="AJ88" s="496" t="s">
        <v>98</v>
      </c>
      <c r="AK88" s="496"/>
      <c r="AL88" s="494" t="s">
        <v>99</v>
      </c>
      <c r="AM88" s="494"/>
      <c r="AP88" s="86" t="s">
        <v>112</v>
      </c>
      <c r="AQ88" s="89" t="s">
        <v>113</v>
      </c>
      <c r="AR88" s="89" t="s">
        <v>114</v>
      </c>
      <c r="AS88" s="89" t="s">
        <v>115</v>
      </c>
      <c r="AU88" s="81"/>
    </row>
    <row r="89" spans="1:47" x14ac:dyDescent="0.25">
      <c r="A89" s="84">
        <f>A88+1</f>
        <v>12</v>
      </c>
      <c r="B89" s="84">
        <f t="shared" si="27"/>
        <v>6.5</v>
      </c>
      <c r="C89" s="88" t="str">
        <f t="shared" ref="C89" si="37">B90</f>
        <v xml:space="preserve">  </v>
      </c>
      <c r="D89" s="82" t="str">
        <f>VLOOKUP(C89,STN_TABLE,2,FALSE)</f>
        <v xml:space="preserve">  </v>
      </c>
      <c r="E89" s="92">
        <v>1</v>
      </c>
      <c r="F89" s="82" t="e">
        <f>D89*E89</f>
        <v>#VALUE!</v>
      </c>
      <c r="G89" s="83" t="str">
        <f>C89</f>
        <v xml:space="preserve">  </v>
      </c>
      <c r="H89" s="83" t="e">
        <f>F89*G89</f>
        <v>#VALUE!</v>
      </c>
      <c r="I89" s="84" t="str">
        <f>CONCATENATE("a'(",C89,")=")</f>
        <v>a'(  )=</v>
      </c>
      <c r="J89" s="84" t="e">
        <f>2*J87/3*F90</f>
        <v>#VALUE!</v>
      </c>
      <c r="K89" s="84" t="e">
        <f>CONCATENATE("A(",C87,")=")</f>
        <v>#VALUE!</v>
      </c>
      <c r="L89" s="84" t="e">
        <f>VLOOKUP(C87,STN_TABLE,3,FALSE)</f>
        <v>#VALUE!</v>
      </c>
      <c r="M89" t="str">
        <f>CONCATENATE("A(",C89,")=")</f>
        <v>A(  )=</v>
      </c>
      <c r="N89" t="e">
        <f>J89+L89</f>
        <v>#VALUE!</v>
      </c>
      <c r="O89" s="99">
        <f>O88+1</f>
        <v>14</v>
      </c>
      <c r="P89" s="99" t="str">
        <f t="shared" si="23"/>
        <v xml:space="preserve">  </v>
      </c>
      <c r="Q89" s="82" t="e">
        <f>IF(P89-P88=P88-P87,P89,IF(P90-P88=P88-P87,P90,IF(P89-P88=P88-P86,P89,IF(P90-P88=P88-P86,P90,"-"))))</f>
        <v>#VALUE!</v>
      </c>
      <c r="R89" s="83" t="e">
        <f>VLOOKUP(Q89,STN_TABLE,2,FALSE)</f>
        <v>#VALUE!</v>
      </c>
      <c r="S89" s="83">
        <v>-1</v>
      </c>
      <c r="T89" s="82" t="e">
        <f>R89*S89</f>
        <v>#VALUE!</v>
      </c>
      <c r="U89" s="88">
        <v>-1</v>
      </c>
      <c r="V89" s="82" t="e">
        <f>R89*U89</f>
        <v>#VALUE!</v>
      </c>
      <c r="W89" s="84" t="str">
        <f>CONCATENATE("a'(",Q88,")=")</f>
        <v>a'(  )=</v>
      </c>
      <c r="X89" s="84" t="e">
        <f>2*X87/12*T90</f>
        <v>#VALUE!</v>
      </c>
      <c r="Y89" s="84" t="e">
        <f>CONCATENATE("A(",Q87,")=")</f>
        <v>#VALUE!</v>
      </c>
      <c r="Z89" s="84" t="e">
        <f>VLOOKUP(Q87,STN_TABLE,3,FALSE)</f>
        <v>#VALUE!</v>
      </c>
      <c r="AA89" t="str">
        <f>CONCATENATE("A(",Q88,")=")</f>
        <v>A(  )=</v>
      </c>
      <c r="AB89" t="e">
        <f>X89+Z89</f>
        <v>#VALUE!</v>
      </c>
      <c r="AC89" s="99">
        <f>AC88+1</f>
        <v>13</v>
      </c>
      <c r="AD89" s="100" t="str">
        <f>VLOOKUP(AC89,STN_TABLE_2,2,FALSE)</f>
        <v xml:space="preserve">  </v>
      </c>
      <c r="AE89" s="82" t="str">
        <f>VLOOKUP(AD89,STN_TABLE,2,FALSE)</f>
        <v xml:space="preserve">  </v>
      </c>
      <c r="AF89" s="82">
        <v>2</v>
      </c>
      <c r="AG89" s="83" t="e">
        <f>AE89*AF89</f>
        <v>#VALUE!</v>
      </c>
      <c r="AH89" s="84" t="str">
        <f>CONCATENATE("a'(",AD89,")=")</f>
        <v>a'(  )=</v>
      </c>
      <c r="AI89" s="84" t="e">
        <f>2*AI87/2*AE90</f>
        <v>#VALUE!</v>
      </c>
      <c r="AJ89" s="84" t="str">
        <f>CONCATENATE("A(",AD88,")=")</f>
        <v>A(6.5)=</v>
      </c>
      <c r="AK89" s="84">
        <f>VLOOKUP(AD88,STN_TABLE,3,FALSE)</f>
        <v>62.953066666666665</v>
      </c>
      <c r="AL89" t="str">
        <f>CONCATENATE("A(",AD89,")=")</f>
        <v>A(  )=</v>
      </c>
      <c r="AM89" t="e">
        <f>AI89+AK89</f>
        <v>#VALUE!</v>
      </c>
      <c r="AO89" s="68" t="str">
        <f>AA89</f>
        <v>A(  )=</v>
      </c>
      <c r="AP89" s="68" t="e">
        <f>VLOOKUP(AO89,Rise_Results,2,FALSE)</f>
        <v>#N/A</v>
      </c>
      <c r="AQ89" s="76" t="e">
        <f>N89</f>
        <v>#VALUE!</v>
      </c>
      <c r="AR89" s="76" t="e">
        <f>IF(OR(AB89&lt;=0,AB90&lt;=0),1/0,AB89)</f>
        <v>#VALUE!</v>
      </c>
      <c r="AS89" s="76" t="e">
        <f>AM89</f>
        <v>#VALUE!</v>
      </c>
      <c r="AT89" t="e">
        <f>IFERROR(AP89,IFERROR(AQ89,IFERROR(AR89,AS89)))</f>
        <v>#VALUE!</v>
      </c>
      <c r="AU89" s="81"/>
    </row>
    <row r="90" spans="1:47" x14ac:dyDescent="0.25">
      <c r="A90" s="84">
        <f>A89+1</f>
        <v>13</v>
      </c>
      <c r="B90" s="84" t="str">
        <f t="shared" si="27"/>
        <v xml:space="preserve">  </v>
      </c>
      <c r="F90" s="82" t="e">
        <f>SUM(F87:F89)</f>
        <v>#VALUE!</v>
      </c>
      <c r="H90" s="82" t="e">
        <f>SUM(H87:H89)</f>
        <v>#VALUE!</v>
      </c>
      <c r="I90" s="84" t="str">
        <f>CONCATENATE("m'(",C89,")=")</f>
        <v>m'(  )=</v>
      </c>
      <c r="J90" s="84" t="e">
        <f>2*(J87*(WLS))/3*H90</f>
        <v>#VALUE!</v>
      </c>
      <c r="K90" s="84" t="e">
        <f>CONCATENATE("M(",C87,")=")</f>
        <v>#VALUE!</v>
      </c>
      <c r="L90" s="84" t="e">
        <f>VLOOKUP(C87,STN_TABLE,4,FALSE)</f>
        <v>#VALUE!</v>
      </c>
      <c r="M90" t="str">
        <f>CONCATENATE("M(",C89,")=")</f>
        <v>M(  )=</v>
      </c>
      <c r="N90" t="e">
        <f>J90+L90</f>
        <v>#VALUE!</v>
      </c>
      <c r="O90" s="99">
        <f>O89+1</f>
        <v>15</v>
      </c>
      <c r="P90" s="99" t="str">
        <f t="shared" si="23"/>
        <v xml:space="preserve">  </v>
      </c>
      <c r="T90" s="89" t="e">
        <f>SUM(T87:T89)</f>
        <v>#VALUE!</v>
      </c>
      <c r="V90" s="82" t="e">
        <f>SUM(V87:V89)</f>
        <v>#VALUE!</v>
      </c>
      <c r="W90" s="84" t="str">
        <f>CONCATENATE("m'(",Q88,")=")</f>
        <v>m'(  )=</v>
      </c>
      <c r="X90" s="84" t="e">
        <f>(2*(X87^2)/24*V90)+(X89*Q87*WLS)</f>
        <v>#VALUE!</v>
      </c>
      <c r="Y90" s="84" t="e">
        <f>CONCATENATE("M(",Q87,")=")</f>
        <v>#VALUE!</v>
      </c>
      <c r="Z90" s="84" t="e">
        <f>VLOOKUP(Q87,STN_TABLE,4,FALSE)</f>
        <v>#VALUE!</v>
      </c>
      <c r="AA90" t="str">
        <f>CONCATENATE("M(",Q88,")=")</f>
        <v>M(  )=</v>
      </c>
      <c r="AB90" t="e">
        <f>X90+Z90</f>
        <v>#VALUE!</v>
      </c>
      <c r="AE90" s="89">
        <f>SUM(AE88:AE89)</f>
        <v>3.63</v>
      </c>
      <c r="AG90" s="89" t="e">
        <f>SUM(AG88:AG89)</f>
        <v>#VALUE!</v>
      </c>
      <c r="AH90" s="84" t="str">
        <f>CONCATENATE("m'(",AD89,")=")</f>
        <v>m'(  )=</v>
      </c>
      <c r="AI90" s="84" t="e">
        <f>(2*(AI87^2)/6*AG90)+(AI89*AD88*WLS)</f>
        <v>#VALUE!</v>
      </c>
      <c r="AJ90" s="84" t="str">
        <f>CONCATENATE("M(",AD88,")=")</f>
        <v>M(6.5)=</v>
      </c>
      <c r="AK90" s="84">
        <f>VLOOKUP(AD88,STN_TABLE,4,FALSE)</f>
        <v>445.51733333333328</v>
      </c>
      <c r="AL90" t="str">
        <f>CONCATENATE("M(",AD89,")=")</f>
        <v>M(  )=</v>
      </c>
      <c r="AM90" t="e">
        <f>AI90+AK90</f>
        <v>#VALUE!</v>
      </c>
      <c r="AO90" s="82" t="str">
        <f>AA90</f>
        <v>M(  )=</v>
      </c>
      <c r="AP90" s="82" t="e">
        <f>VLOOKUP(AO90,Rise_Results,2,FALSE)</f>
        <v>#N/A</v>
      </c>
      <c r="AQ90" s="82" t="e">
        <f>N90</f>
        <v>#VALUE!</v>
      </c>
      <c r="AR90" s="82" t="e">
        <f>IF(OR(AB89&lt;=0,AB90&lt;=0),1/0,AB90)</f>
        <v>#VALUE!</v>
      </c>
      <c r="AS90" s="82" t="e">
        <f>AM90</f>
        <v>#VALUE!</v>
      </c>
      <c r="AT90" t="e">
        <f>IFERROR(AP90,IFERROR(AQ90,IFERROR(AR90,AS90)))</f>
        <v>#VALUE!</v>
      </c>
      <c r="AU90" s="81"/>
    </row>
    <row r="91" spans="1:47" x14ac:dyDescent="0.25">
      <c r="A91" s="101">
        <f>A86+1</f>
        <v>10</v>
      </c>
      <c r="B91" s="101">
        <f t="shared" si="27"/>
        <v>5</v>
      </c>
      <c r="O91" s="101">
        <f>O86+1</f>
        <v>12</v>
      </c>
      <c r="P91" s="101">
        <f t="shared" si="23"/>
        <v>6.5</v>
      </c>
      <c r="AU91" s="81"/>
    </row>
    <row r="92" spans="1:47" x14ac:dyDescent="0.25">
      <c r="A92" s="84">
        <f>A91+1</f>
        <v>11</v>
      </c>
      <c r="B92" s="84">
        <f t="shared" si="27"/>
        <v>6</v>
      </c>
      <c r="C92" s="79" t="e">
        <f t="shared" ref="C92" si="38">IF(C93=B94,IF(C94-C93=C93-B93,B93,IF(C94-C93=C93-B92,B92,"#NA")),IF(C93=B93,IF(C94-C93=C93-B92,B92,IF(C94-C93=C93-B91,B91,"#NA")),"#NA"))</f>
        <v>#VALUE!</v>
      </c>
      <c r="D92" s="68" t="e">
        <f>VLOOKUP(C92,STN_TABLE,2,FALSE)</f>
        <v>#VALUE!</v>
      </c>
      <c r="E92" s="102">
        <v>1</v>
      </c>
      <c r="F92" s="68" t="e">
        <f>D92*E92</f>
        <v>#VALUE!</v>
      </c>
      <c r="G92" s="69" t="e">
        <f>C92</f>
        <v>#VALUE!</v>
      </c>
      <c r="H92" s="69" t="e">
        <f>F92*G92</f>
        <v>#VALUE!</v>
      </c>
      <c r="I92" s="6" t="s">
        <v>93</v>
      </c>
      <c r="J92" s="70" t="e">
        <f>IF(OR(D92=0,D93=0,D94=0),"#NA",IF(AND(C94-C93=C93-C92,C93&lt;&gt;C94,C92&lt;&gt;C93,C92&lt;&gt;C94,D94&lt;&gt;0,OR(D92&lt;&gt;0,D93&lt;&gt;0)),WLS*(C94-C93),"#NA"))</f>
        <v>#VALUE!</v>
      </c>
      <c r="O92" s="99">
        <f>O91+1</f>
        <v>13</v>
      </c>
      <c r="P92" s="99" t="str">
        <f t="shared" si="23"/>
        <v xml:space="preserve">  </v>
      </c>
      <c r="Q92" s="68" t="e">
        <f>IF(OR(P94-P93=P93-P92,P95-P93=P93-P92),P92,IF(OR(P94-P93=P93-P91,P95-P93=P93-P91),P91,"-"))</f>
        <v>#VALUE!</v>
      </c>
      <c r="R92" s="69" t="e">
        <f>VLOOKUP(Q92,STN_TABLE,2,FALSE)</f>
        <v>#VALUE!</v>
      </c>
      <c r="S92" s="69">
        <v>5</v>
      </c>
      <c r="T92" s="68" t="e">
        <f>R92*S92</f>
        <v>#VALUE!</v>
      </c>
      <c r="U92" s="79">
        <v>3</v>
      </c>
      <c r="V92" s="68" t="e">
        <f>R92*U92</f>
        <v>#VALUE!</v>
      </c>
      <c r="W92" s="6" t="s">
        <v>93</v>
      </c>
      <c r="X92" s="70" t="e">
        <f>IF(AND(Q94-Q93=Q93-Q92,NOT(AND(Q92=0,Q93=0)),NOT(AND(Q93=0,Q94=0))),WLS*(Q94-Q93),"#NA")</f>
        <v>#VALUE!</v>
      </c>
      <c r="AD92" s="93"/>
      <c r="AH92" s="6" t="s">
        <v>93</v>
      </c>
      <c r="AI92" s="70" t="e">
        <f>WLS*(AD94-AD93)</f>
        <v>#VALUE!</v>
      </c>
      <c r="AU92" s="81"/>
    </row>
    <row r="93" spans="1:47" x14ac:dyDescent="0.25">
      <c r="A93" s="84">
        <f>A92+1</f>
        <v>12</v>
      </c>
      <c r="B93" s="84">
        <f t="shared" si="27"/>
        <v>6.5</v>
      </c>
      <c r="C93" s="80" t="e">
        <f t="shared" ref="C93" si="39">IF(OR(B95-B94=B94-B93,B95-B94=B94-B92,B95-B94=B94-B91),B94,IF(OR(B95-B93=B93-B92,B95-B93=B93-B91),B93,IF(B95-B92=B92-B91,B92,"#NA")))</f>
        <v>#VALUE!</v>
      </c>
      <c r="D93" s="76" t="e">
        <f>VLOOKUP(C93,STN_TABLE,2,FALSE)</f>
        <v>#VALUE!</v>
      </c>
      <c r="E93" s="81">
        <v>4</v>
      </c>
      <c r="F93" s="76" t="e">
        <f>D93*E93</f>
        <v>#VALUE!</v>
      </c>
      <c r="G93" s="77" t="e">
        <f>C93</f>
        <v>#VALUE!</v>
      </c>
      <c r="H93" s="77" t="e">
        <f>F93*G93</f>
        <v>#VALUE!</v>
      </c>
      <c r="I93" s="495" t="s">
        <v>97</v>
      </c>
      <c r="J93" s="496"/>
      <c r="K93" s="78" t="s">
        <v>98</v>
      </c>
      <c r="L93" s="78"/>
      <c r="M93" s="7" t="s">
        <v>99</v>
      </c>
      <c r="N93" s="7"/>
      <c r="O93" s="99">
        <f>O92+1</f>
        <v>14</v>
      </c>
      <c r="P93" s="99" t="str">
        <f t="shared" si="23"/>
        <v xml:space="preserve">  </v>
      </c>
      <c r="Q93" s="76" t="str">
        <f>P93</f>
        <v xml:space="preserve">  </v>
      </c>
      <c r="R93" s="77" t="str">
        <f>VLOOKUP(Q93,STN_TABLE,2,FALSE)</f>
        <v xml:space="preserve">  </v>
      </c>
      <c r="S93" s="77">
        <v>8</v>
      </c>
      <c r="T93" s="76" t="e">
        <f>R93*S93</f>
        <v>#VALUE!</v>
      </c>
      <c r="U93" s="80">
        <v>10</v>
      </c>
      <c r="V93" s="76" t="e">
        <f>R93*U93</f>
        <v>#VALUE!</v>
      </c>
      <c r="W93" s="496" t="s">
        <v>97</v>
      </c>
      <c r="X93" s="496"/>
      <c r="Y93" s="496" t="s">
        <v>98</v>
      </c>
      <c r="Z93" s="496"/>
      <c r="AA93" s="494" t="s">
        <v>99</v>
      </c>
      <c r="AB93" s="494"/>
      <c r="AC93" s="99">
        <f>AC88+1</f>
        <v>13</v>
      </c>
      <c r="AD93" s="95" t="str">
        <f>VLOOKUP(AC93,STN_TABLE_2,2,FALSE)</f>
        <v xml:space="preserve">  </v>
      </c>
      <c r="AE93" s="68" t="str">
        <f>VLOOKUP(AD93,STN_TABLE,2,FALSE)</f>
        <v xml:space="preserve">  </v>
      </c>
      <c r="AF93" s="68">
        <v>1</v>
      </c>
      <c r="AG93" s="69" t="e">
        <f>AE93*AF93</f>
        <v>#VALUE!</v>
      </c>
      <c r="AH93" s="496" t="s">
        <v>97</v>
      </c>
      <c r="AI93" s="496"/>
      <c r="AJ93" s="496" t="s">
        <v>98</v>
      </c>
      <c r="AK93" s="496"/>
      <c r="AL93" s="494" t="s">
        <v>99</v>
      </c>
      <c r="AM93" s="494"/>
      <c r="AP93" s="86" t="s">
        <v>112</v>
      </c>
      <c r="AQ93" s="89" t="s">
        <v>113</v>
      </c>
      <c r="AR93" s="89" t="s">
        <v>114</v>
      </c>
      <c r="AS93" s="89" t="s">
        <v>115</v>
      </c>
      <c r="AU93" s="81"/>
    </row>
    <row r="94" spans="1:47" x14ac:dyDescent="0.25">
      <c r="A94" s="84">
        <f>A93+1</f>
        <v>13</v>
      </c>
      <c r="B94" s="84" t="str">
        <f t="shared" si="27"/>
        <v xml:space="preserve">  </v>
      </c>
      <c r="C94" s="88" t="str">
        <f t="shared" ref="C94" si="40">B95</f>
        <v xml:space="preserve">  </v>
      </c>
      <c r="D94" s="82" t="str">
        <f>VLOOKUP(C94,STN_TABLE,2,FALSE)</f>
        <v xml:space="preserve">  </v>
      </c>
      <c r="E94" s="92">
        <v>1</v>
      </c>
      <c r="F94" s="82" t="e">
        <f>D94*E94</f>
        <v>#VALUE!</v>
      </c>
      <c r="G94" s="83" t="str">
        <f>C94</f>
        <v xml:space="preserve">  </v>
      </c>
      <c r="H94" s="83" t="e">
        <f>F94*G94</f>
        <v>#VALUE!</v>
      </c>
      <c r="I94" s="84" t="str">
        <f>CONCATENATE("a'(",C94,")=")</f>
        <v>a'(  )=</v>
      </c>
      <c r="J94" s="84" t="e">
        <f>2*J92/3*F95</f>
        <v>#VALUE!</v>
      </c>
      <c r="K94" s="84" t="e">
        <f>CONCATENATE("A(",C92,")=")</f>
        <v>#VALUE!</v>
      </c>
      <c r="L94" s="84" t="e">
        <f>VLOOKUP(C92,STN_TABLE,3,FALSE)</f>
        <v>#VALUE!</v>
      </c>
      <c r="M94" t="str">
        <f>CONCATENATE("A(",C94,")=")</f>
        <v>A(  )=</v>
      </c>
      <c r="N94" t="e">
        <f>J94+L94</f>
        <v>#VALUE!</v>
      </c>
      <c r="O94" s="99">
        <f>O93+1</f>
        <v>15</v>
      </c>
      <c r="P94" s="99" t="str">
        <f t="shared" si="23"/>
        <v xml:space="preserve">  </v>
      </c>
      <c r="Q94" s="82" t="e">
        <f>IF(P94-P93=P93-P92,P94,IF(P95-P93=P93-P92,P95,IF(P94-P93=P93-P91,P94,IF(P95-P93=P93-P91,P95,"-"))))</f>
        <v>#VALUE!</v>
      </c>
      <c r="R94" s="83" t="e">
        <f>VLOOKUP(Q94,STN_TABLE,2,FALSE)</f>
        <v>#VALUE!</v>
      </c>
      <c r="S94" s="83">
        <v>-1</v>
      </c>
      <c r="T94" s="82" t="e">
        <f>R94*S94</f>
        <v>#VALUE!</v>
      </c>
      <c r="U94" s="88">
        <v>-1</v>
      </c>
      <c r="V94" s="82" t="e">
        <f>R94*U94</f>
        <v>#VALUE!</v>
      </c>
      <c r="W94" s="84" t="str">
        <f>CONCATENATE("a'(",Q93,")=")</f>
        <v>a'(  )=</v>
      </c>
      <c r="X94" s="84" t="e">
        <f>2*X92/12*T95</f>
        <v>#VALUE!</v>
      </c>
      <c r="Y94" s="84" t="e">
        <f>CONCATENATE("A(",Q92,")=")</f>
        <v>#VALUE!</v>
      </c>
      <c r="Z94" s="84" t="e">
        <f>VLOOKUP(Q92,STN_TABLE,3,FALSE)</f>
        <v>#VALUE!</v>
      </c>
      <c r="AA94" t="str">
        <f>CONCATENATE("A(",Q93,")=")</f>
        <v>A(  )=</v>
      </c>
      <c r="AB94" t="e">
        <f>X94+Z94</f>
        <v>#VALUE!</v>
      </c>
      <c r="AC94" s="99">
        <f>AC93+1</f>
        <v>14</v>
      </c>
      <c r="AD94" s="100" t="str">
        <f>VLOOKUP(AC94,STN_TABLE_2,2,FALSE)</f>
        <v xml:space="preserve">  </v>
      </c>
      <c r="AE94" s="82" t="str">
        <f>VLOOKUP(AD94,STN_TABLE,2,FALSE)</f>
        <v xml:space="preserve">  </v>
      </c>
      <c r="AF94" s="82">
        <v>2</v>
      </c>
      <c r="AG94" s="83" t="e">
        <f>AE94*AF94</f>
        <v>#VALUE!</v>
      </c>
      <c r="AH94" s="84" t="str">
        <f>CONCATENATE("a'(",AD94,")=")</f>
        <v>a'(  )=</v>
      </c>
      <c r="AI94" s="84" t="e">
        <f>2*AI92/2*AE95</f>
        <v>#VALUE!</v>
      </c>
      <c r="AJ94" s="84" t="str">
        <f>CONCATENATE("A(",AD93,")=")</f>
        <v>A(  )=</v>
      </c>
      <c r="AK94" s="84" t="str">
        <f>VLOOKUP(AD93,STN_TABLE,3,FALSE)</f>
        <v xml:space="preserve"> </v>
      </c>
      <c r="AL94" t="str">
        <f>CONCATENATE("A(",AD94,")=")</f>
        <v>A(  )=</v>
      </c>
      <c r="AM94" t="e">
        <f>AI94+AK94</f>
        <v>#VALUE!</v>
      </c>
      <c r="AO94" s="68" t="str">
        <f>AA94</f>
        <v>A(  )=</v>
      </c>
      <c r="AP94" s="68" t="e">
        <f>VLOOKUP(AO94,Rise_Results,2,FALSE)</f>
        <v>#N/A</v>
      </c>
      <c r="AQ94" s="76" t="e">
        <f>N94</f>
        <v>#VALUE!</v>
      </c>
      <c r="AR94" s="76" t="e">
        <f>IF(OR(AB94&lt;=0,AB95&lt;=0),1/0,AB94)</f>
        <v>#VALUE!</v>
      </c>
      <c r="AS94" s="76" t="e">
        <f>AM94</f>
        <v>#VALUE!</v>
      </c>
      <c r="AT94" t="e">
        <f>IFERROR(AP94,IFERROR(AQ94,IFERROR(AR94,AS94)))</f>
        <v>#VALUE!</v>
      </c>
      <c r="AU94" s="81"/>
    </row>
    <row r="95" spans="1:47" x14ac:dyDescent="0.25">
      <c r="A95" s="84">
        <f>A94+1</f>
        <v>14</v>
      </c>
      <c r="B95" s="84" t="str">
        <f t="shared" si="27"/>
        <v xml:space="preserve">  </v>
      </c>
      <c r="F95" s="82" t="e">
        <f>SUM(F92:F94)</f>
        <v>#VALUE!</v>
      </c>
      <c r="H95" s="82" t="e">
        <f>SUM(H92:H94)</f>
        <v>#VALUE!</v>
      </c>
      <c r="I95" s="84" t="str">
        <f>CONCATENATE("m'(",C94,")=")</f>
        <v>m'(  )=</v>
      </c>
      <c r="J95" s="84" t="e">
        <f>2*(J92*(WLS))/3*H95</f>
        <v>#VALUE!</v>
      </c>
      <c r="K95" s="84" t="e">
        <f>CONCATENATE("M(",C92,")=")</f>
        <v>#VALUE!</v>
      </c>
      <c r="L95" s="84" t="e">
        <f>VLOOKUP(C92,STN_TABLE,4,FALSE)</f>
        <v>#VALUE!</v>
      </c>
      <c r="M95" t="str">
        <f>CONCATENATE("M(",C94,")=")</f>
        <v>M(  )=</v>
      </c>
      <c r="N95" t="e">
        <f>J95+L95</f>
        <v>#VALUE!</v>
      </c>
      <c r="O95" s="99">
        <f>O94+1</f>
        <v>16</v>
      </c>
      <c r="P95" s="99" t="str">
        <f t="shared" si="23"/>
        <v xml:space="preserve">  </v>
      </c>
      <c r="T95" s="89" t="e">
        <f>SUM(T92:T94)</f>
        <v>#VALUE!</v>
      </c>
      <c r="V95" s="82" t="e">
        <f>SUM(V92:V94)</f>
        <v>#VALUE!</v>
      </c>
      <c r="W95" s="84" t="str">
        <f>CONCATENATE("m'(",Q93,")=")</f>
        <v>m'(  )=</v>
      </c>
      <c r="X95" s="84" t="e">
        <f>(2*(X92^2)/24*V95)+(X94*Q92*WLS)</f>
        <v>#VALUE!</v>
      </c>
      <c r="Y95" s="84" t="e">
        <f>CONCATENATE("M(",Q92,")=")</f>
        <v>#VALUE!</v>
      </c>
      <c r="Z95" s="84" t="e">
        <f>VLOOKUP(Q92,STN_TABLE,4,FALSE)</f>
        <v>#VALUE!</v>
      </c>
      <c r="AA95" t="str">
        <f>CONCATENATE("M(",Q93,")=")</f>
        <v>M(  )=</v>
      </c>
      <c r="AB95" t="e">
        <f>X95+Z95</f>
        <v>#VALUE!</v>
      </c>
      <c r="AE95" s="89">
        <f>SUM(AE93:AE94)</f>
        <v>0</v>
      </c>
      <c r="AG95" s="89" t="e">
        <f>SUM(AG93:AG94)</f>
        <v>#VALUE!</v>
      </c>
      <c r="AH95" s="84" t="str">
        <f>CONCATENATE("m'(",AD94,")=")</f>
        <v>m'(  )=</v>
      </c>
      <c r="AI95" s="84" t="e">
        <f>(2*(AI92^2)/6*AG95)+(AI94*AD93*WLS)</f>
        <v>#VALUE!</v>
      </c>
      <c r="AJ95" s="84" t="str">
        <f>CONCATENATE("M(",AD93,")=")</f>
        <v>M(  )=</v>
      </c>
      <c r="AK95" s="84" t="str">
        <f>VLOOKUP(AD93,STN_TABLE,4,FALSE)</f>
        <v xml:space="preserve"> </v>
      </c>
      <c r="AL95" t="str">
        <f>CONCATENATE("M(",AD94,")=")</f>
        <v>M(  )=</v>
      </c>
      <c r="AM95" t="e">
        <f>AI95+AK95</f>
        <v>#VALUE!</v>
      </c>
      <c r="AO95" s="82" t="str">
        <f>AA95</f>
        <v>M(  )=</v>
      </c>
      <c r="AP95" s="82" t="e">
        <f>VLOOKUP(AO95,Rise_Results,2,FALSE)</f>
        <v>#N/A</v>
      </c>
      <c r="AQ95" s="82" t="e">
        <f>N95</f>
        <v>#VALUE!</v>
      </c>
      <c r="AR95" s="82" t="e">
        <f>IF(OR(AB94&lt;=0,AB95&lt;=0),1/0,AB95)</f>
        <v>#VALUE!</v>
      </c>
      <c r="AS95" s="82" t="e">
        <f>AM95</f>
        <v>#VALUE!</v>
      </c>
      <c r="AT95" t="e">
        <f>IFERROR(AP95,IFERROR(AQ95,IFERROR(AR95,AS95)))</f>
        <v>#VALUE!</v>
      </c>
      <c r="AU95" s="81"/>
    </row>
    <row r="96" spans="1:47" x14ac:dyDescent="0.25">
      <c r="A96" s="101">
        <f>A91+1</f>
        <v>11</v>
      </c>
      <c r="B96" s="101">
        <f t="shared" si="27"/>
        <v>6</v>
      </c>
      <c r="O96" s="101">
        <f>O91+1</f>
        <v>13</v>
      </c>
      <c r="P96" s="101" t="str">
        <f t="shared" si="23"/>
        <v xml:space="preserve">  </v>
      </c>
      <c r="AU96" s="81"/>
    </row>
    <row r="97" spans="1:47" x14ac:dyDescent="0.25">
      <c r="A97" s="84">
        <f>A96+1</f>
        <v>12</v>
      </c>
      <c r="B97" s="84">
        <f t="shared" si="27"/>
        <v>6.5</v>
      </c>
      <c r="C97" s="79" t="e">
        <f t="shared" ref="C97" si="41">IF(C98=B99,IF(C99-C98=C98-B98,B98,IF(C99-C98=C98-B97,B97,"#NA")),IF(C98=B98,IF(C99-C98=C98-B97,B97,IF(C99-C98=C98-B96,B96,"#NA")),"#NA"))</f>
        <v>#VALUE!</v>
      </c>
      <c r="D97" s="68" t="e">
        <f>VLOOKUP(C97,STN_TABLE,2,FALSE)</f>
        <v>#VALUE!</v>
      </c>
      <c r="E97" s="102">
        <v>1</v>
      </c>
      <c r="F97" s="68" t="e">
        <f>D97*E97</f>
        <v>#VALUE!</v>
      </c>
      <c r="G97" s="69" t="e">
        <f>C97</f>
        <v>#VALUE!</v>
      </c>
      <c r="H97" s="69" t="e">
        <f>F97*G97</f>
        <v>#VALUE!</v>
      </c>
      <c r="I97" s="6" t="s">
        <v>93</v>
      </c>
      <c r="J97" s="70" t="e">
        <f>IF(OR(D97=0,D98=0,D99=0),"#NA",IF(AND(C99-C98=C98-C97,C98&lt;&gt;C99,C97&lt;&gt;C98,C97&lt;&gt;C99,D99&lt;&gt;0,OR(D97&lt;&gt;0,D98&lt;&gt;0)),WLS*(C99-C98),"#NA"))</f>
        <v>#VALUE!</v>
      </c>
      <c r="O97" s="99">
        <f>O96+1</f>
        <v>14</v>
      </c>
      <c r="P97" s="99" t="str">
        <f t="shared" si="23"/>
        <v xml:space="preserve">  </v>
      </c>
      <c r="Q97" s="68" t="e">
        <f>IF(OR(P99-P98=P98-P97,P100-P98=P98-P97),P97,IF(OR(P99-P98=P98-P96,P100-P98=P98-P96),P96,"-"))</f>
        <v>#VALUE!</v>
      </c>
      <c r="R97" s="69" t="e">
        <f>VLOOKUP(Q97,STN_TABLE,2,FALSE)</f>
        <v>#VALUE!</v>
      </c>
      <c r="S97" s="69">
        <v>5</v>
      </c>
      <c r="T97" s="68" t="e">
        <f>R97*S97</f>
        <v>#VALUE!</v>
      </c>
      <c r="U97" s="79">
        <v>3</v>
      </c>
      <c r="V97" s="68" t="e">
        <f>R97*U97</f>
        <v>#VALUE!</v>
      </c>
      <c r="W97" s="6" t="s">
        <v>93</v>
      </c>
      <c r="X97" s="70" t="e">
        <f>IF(AND(Q99-Q98=Q98-Q97,NOT(AND(Q97=0,Q98=0)),NOT(AND(Q98=0,Q99=0))),WLS*(Q99-Q98),"#NA")</f>
        <v>#VALUE!</v>
      </c>
      <c r="AD97" s="93"/>
      <c r="AH97" s="6" t="s">
        <v>93</v>
      </c>
      <c r="AI97" s="70" t="e">
        <f>WLS*(AD99-AD98)</f>
        <v>#VALUE!</v>
      </c>
      <c r="AU97" s="81"/>
    </row>
    <row r="98" spans="1:47" x14ac:dyDescent="0.25">
      <c r="A98" s="84">
        <f>A97+1</f>
        <v>13</v>
      </c>
      <c r="B98" s="84" t="str">
        <f t="shared" si="27"/>
        <v xml:space="preserve">  </v>
      </c>
      <c r="C98" s="80" t="e">
        <f t="shared" ref="C98" si="42">IF(OR(B100-B99=B99-B98,B100-B99=B99-B97,B100-B99=B99-B96),B99,IF(OR(B100-B98=B98-B97,B100-B98=B98-B96),B98,IF(B100-B97=B97-B96,B97,"#NA")))</f>
        <v>#VALUE!</v>
      </c>
      <c r="D98" s="76" t="e">
        <f>VLOOKUP(C98,STN_TABLE,2,FALSE)</f>
        <v>#VALUE!</v>
      </c>
      <c r="E98" s="81">
        <v>4</v>
      </c>
      <c r="F98" s="76" t="e">
        <f>D98*E98</f>
        <v>#VALUE!</v>
      </c>
      <c r="G98" s="77" t="e">
        <f>C98</f>
        <v>#VALUE!</v>
      </c>
      <c r="H98" s="77" t="e">
        <f>F98*G98</f>
        <v>#VALUE!</v>
      </c>
      <c r="I98" s="495" t="s">
        <v>97</v>
      </c>
      <c r="J98" s="496"/>
      <c r="K98" s="78" t="s">
        <v>98</v>
      </c>
      <c r="L98" s="78"/>
      <c r="M98" s="7" t="s">
        <v>99</v>
      </c>
      <c r="N98" s="7"/>
      <c r="O98" s="99">
        <f>O97+1</f>
        <v>15</v>
      </c>
      <c r="P98" s="99" t="str">
        <f t="shared" si="23"/>
        <v xml:space="preserve">  </v>
      </c>
      <c r="Q98" s="76" t="str">
        <f>P98</f>
        <v xml:space="preserve">  </v>
      </c>
      <c r="R98" s="77" t="str">
        <f>VLOOKUP(Q98,STN_TABLE,2,FALSE)</f>
        <v xml:space="preserve">  </v>
      </c>
      <c r="S98" s="77">
        <v>8</v>
      </c>
      <c r="T98" s="76" t="e">
        <f>R98*S98</f>
        <v>#VALUE!</v>
      </c>
      <c r="U98" s="80">
        <v>10</v>
      </c>
      <c r="V98" s="76" t="e">
        <f>R98*U98</f>
        <v>#VALUE!</v>
      </c>
      <c r="W98" s="496" t="s">
        <v>97</v>
      </c>
      <c r="X98" s="496"/>
      <c r="Y98" s="496" t="s">
        <v>98</v>
      </c>
      <c r="Z98" s="496"/>
      <c r="AA98" s="494" t="s">
        <v>99</v>
      </c>
      <c r="AB98" s="494"/>
      <c r="AC98" s="99">
        <f>AC93+1</f>
        <v>14</v>
      </c>
      <c r="AD98" s="95" t="str">
        <f>VLOOKUP(AC98,STN_TABLE_2,2,FALSE)</f>
        <v xml:space="preserve">  </v>
      </c>
      <c r="AE98" s="68" t="str">
        <f>VLOOKUP(AD98,STN_TABLE,2,FALSE)</f>
        <v xml:space="preserve">  </v>
      </c>
      <c r="AF98" s="68">
        <v>1</v>
      </c>
      <c r="AG98" s="69" t="e">
        <f>AE98*AF98</f>
        <v>#VALUE!</v>
      </c>
      <c r="AH98" s="496" t="s">
        <v>97</v>
      </c>
      <c r="AI98" s="496"/>
      <c r="AJ98" s="496" t="s">
        <v>98</v>
      </c>
      <c r="AK98" s="496"/>
      <c r="AL98" s="494" t="s">
        <v>99</v>
      </c>
      <c r="AM98" s="494"/>
      <c r="AP98" s="86" t="s">
        <v>112</v>
      </c>
      <c r="AQ98" s="89" t="s">
        <v>113</v>
      </c>
      <c r="AR98" s="89" t="s">
        <v>114</v>
      </c>
      <c r="AS98" s="89" t="s">
        <v>115</v>
      </c>
      <c r="AU98" s="81"/>
    </row>
    <row r="99" spans="1:47" x14ac:dyDescent="0.25">
      <c r="A99" s="84">
        <f>A98+1</f>
        <v>14</v>
      </c>
      <c r="B99" s="84" t="str">
        <f t="shared" si="27"/>
        <v xml:space="preserve">  </v>
      </c>
      <c r="C99" s="88" t="str">
        <f t="shared" ref="C99" si="43">B100</f>
        <v xml:space="preserve">  </v>
      </c>
      <c r="D99" s="82" t="str">
        <f>VLOOKUP(C99,STN_TABLE,2,FALSE)</f>
        <v xml:space="preserve">  </v>
      </c>
      <c r="E99" s="92">
        <v>1</v>
      </c>
      <c r="F99" s="82" t="e">
        <f>D99*E99</f>
        <v>#VALUE!</v>
      </c>
      <c r="G99" s="83" t="str">
        <f>C99</f>
        <v xml:space="preserve">  </v>
      </c>
      <c r="H99" s="83" t="e">
        <f>F99*G99</f>
        <v>#VALUE!</v>
      </c>
      <c r="I99" s="84" t="str">
        <f>CONCATENATE("a'(",C99,")=")</f>
        <v>a'(  )=</v>
      </c>
      <c r="J99" s="84" t="e">
        <f>2*J97/3*F100</f>
        <v>#VALUE!</v>
      </c>
      <c r="K99" s="84" t="e">
        <f>CONCATENATE("A(",C97,")=")</f>
        <v>#VALUE!</v>
      </c>
      <c r="L99" s="84" t="e">
        <f>VLOOKUP(C97,STN_TABLE,3,FALSE)</f>
        <v>#VALUE!</v>
      </c>
      <c r="M99" t="str">
        <f>CONCATENATE("A(",C99,")=")</f>
        <v>A(  )=</v>
      </c>
      <c r="N99" t="e">
        <f>J99+L99</f>
        <v>#VALUE!</v>
      </c>
      <c r="O99" s="99">
        <f>O98+1</f>
        <v>16</v>
      </c>
      <c r="P99" s="99" t="str">
        <f t="shared" si="23"/>
        <v xml:space="preserve">  </v>
      </c>
      <c r="Q99" s="82" t="e">
        <f>IF(P99-P98=P98-P97,P99,IF(P100-P98=P98-P97,P100,IF(P99-P98=P98-P96,P99,IF(P100-P98=P98-P96,P100,"-"))))</f>
        <v>#VALUE!</v>
      </c>
      <c r="R99" s="83" t="e">
        <f>VLOOKUP(Q99,STN_TABLE,2,FALSE)</f>
        <v>#VALUE!</v>
      </c>
      <c r="S99" s="83">
        <v>-1</v>
      </c>
      <c r="T99" s="82" t="e">
        <f>R99*S99</f>
        <v>#VALUE!</v>
      </c>
      <c r="U99" s="88">
        <v>-1</v>
      </c>
      <c r="V99" s="82" t="e">
        <f>R99*U99</f>
        <v>#VALUE!</v>
      </c>
      <c r="W99" s="84" t="str">
        <f>CONCATENATE("a'(",Q98,")=")</f>
        <v>a'(  )=</v>
      </c>
      <c r="X99" s="84" t="e">
        <f>2*X97/12*T100</f>
        <v>#VALUE!</v>
      </c>
      <c r="Y99" s="84" t="e">
        <f>CONCATENATE("A(",Q97,")=")</f>
        <v>#VALUE!</v>
      </c>
      <c r="Z99" s="84" t="e">
        <f>VLOOKUP(Q97,STN_TABLE,3,FALSE)</f>
        <v>#VALUE!</v>
      </c>
      <c r="AA99" t="str">
        <f>CONCATENATE("A(",Q98,")=")</f>
        <v>A(  )=</v>
      </c>
      <c r="AB99" t="e">
        <f>X99+Z99</f>
        <v>#VALUE!</v>
      </c>
      <c r="AC99" s="99">
        <f>AC98+1</f>
        <v>15</v>
      </c>
      <c r="AD99" s="100" t="str">
        <f>VLOOKUP(AC99,STN_TABLE_2,2,FALSE)</f>
        <v xml:space="preserve">  </v>
      </c>
      <c r="AE99" s="82" t="str">
        <f>VLOOKUP(AD99,STN_TABLE,2,FALSE)</f>
        <v xml:space="preserve">  </v>
      </c>
      <c r="AF99" s="82">
        <v>2</v>
      </c>
      <c r="AG99" s="83" t="e">
        <f>AE99*AF99</f>
        <v>#VALUE!</v>
      </c>
      <c r="AH99" s="84" t="str">
        <f>CONCATENATE("a'(",AD99,")=")</f>
        <v>a'(  )=</v>
      </c>
      <c r="AI99" s="84" t="e">
        <f>2*AI97/2*AE100</f>
        <v>#VALUE!</v>
      </c>
      <c r="AJ99" s="84" t="str">
        <f>CONCATENATE("A(",AD98,")=")</f>
        <v>A(  )=</v>
      </c>
      <c r="AK99" s="84" t="str">
        <f>VLOOKUP(AD98,STN_TABLE,3,FALSE)</f>
        <v xml:space="preserve"> </v>
      </c>
      <c r="AL99" t="str">
        <f>CONCATENATE("A(",AD99,")=")</f>
        <v>A(  )=</v>
      </c>
      <c r="AM99" t="e">
        <f>AI99+AK99</f>
        <v>#VALUE!</v>
      </c>
      <c r="AO99" s="68" t="str">
        <f>AA99</f>
        <v>A(  )=</v>
      </c>
      <c r="AP99" s="68" t="e">
        <f>VLOOKUP(AO99,Rise_Results,2,FALSE)</f>
        <v>#N/A</v>
      </c>
      <c r="AQ99" s="76" t="e">
        <f>N99</f>
        <v>#VALUE!</v>
      </c>
      <c r="AR99" s="76" t="e">
        <f>IF(OR(AB99&lt;=0,AB100&lt;=0),1/0,AB99)</f>
        <v>#VALUE!</v>
      </c>
      <c r="AS99" s="76" t="e">
        <f>AM99</f>
        <v>#VALUE!</v>
      </c>
      <c r="AT99" t="e">
        <f>IFERROR(AP99,IFERROR(AQ99,IFERROR(AR99,AS99)))</f>
        <v>#VALUE!</v>
      </c>
      <c r="AU99" s="81"/>
    </row>
    <row r="100" spans="1:47" x14ac:dyDescent="0.25">
      <c r="A100" s="84">
        <f>A99+1</f>
        <v>15</v>
      </c>
      <c r="B100" s="84" t="str">
        <f t="shared" si="27"/>
        <v xml:space="preserve">  </v>
      </c>
      <c r="F100" s="82" t="e">
        <f>SUM(F97:F99)</f>
        <v>#VALUE!</v>
      </c>
      <c r="H100" s="82" t="e">
        <f>SUM(H97:H99)</f>
        <v>#VALUE!</v>
      </c>
      <c r="I100" s="84" t="str">
        <f>CONCATENATE("m'(",C99,")=")</f>
        <v>m'(  )=</v>
      </c>
      <c r="J100" s="84" t="e">
        <f>2*(J97*(WLS))/3*H100</f>
        <v>#VALUE!</v>
      </c>
      <c r="K100" s="84" t="e">
        <f>CONCATENATE("M(",C97,")=")</f>
        <v>#VALUE!</v>
      </c>
      <c r="L100" s="84" t="e">
        <f>VLOOKUP(C97,STN_TABLE,4,FALSE)</f>
        <v>#VALUE!</v>
      </c>
      <c r="M100" t="str">
        <f>CONCATENATE("M(",C99,")=")</f>
        <v>M(  )=</v>
      </c>
      <c r="N100" t="e">
        <f>J100+L100</f>
        <v>#VALUE!</v>
      </c>
      <c r="O100" s="99">
        <f>O99+1</f>
        <v>17</v>
      </c>
      <c r="P100" s="99" t="str">
        <f t="shared" ref="P100:P131" si="44">VLOOKUP(O100,STN_TABLE_2,2,FALSE)</f>
        <v xml:space="preserve">  </v>
      </c>
      <c r="T100" s="89" t="e">
        <f>SUM(T97:T99)</f>
        <v>#VALUE!</v>
      </c>
      <c r="V100" s="82" t="e">
        <f>SUM(V97:V99)</f>
        <v>#VALUE!</v>
      </c>
      <c r="W100" s="84" t="str">
        <f>CONCATENATE("m'(",Q98,")=")</f>
        <v>m'(  )=</v>
      </c>
      <c r="X100" s="84" t="e">
        <f>(2*(X97^2)/24*V100)+(X99*Q97*WLS)</f>
        <v>#VALUE!</v>
      </c>
      <c r="Y100" s="84" t="e">
        <f>CONCATENATE("M(",Q97,")=")</f>
        <v>#VALUE!</v>
      </c>
      <c r="Z100" s="84" t="e">
        <f>VLOOKUP(Q97,STN_TABLE,4,FALSE)</f>
        <v>#VALUE!</v>
      </c>
      <c r="AA100" t="str">
        <f>CONCATENATE("M(",Q98,")=")</f>
        <v>M(  )=</v>
      </c>
      <c r="AB100" t="e">
        <f>X100+Z100</f>
        <v>#VALUE!</v>
      </c>
      <c r="AE100" s="89">
        <f>SUM(AE98:AE99)</f>
        <v>0</v>
      </c>
      <c r="AG100" s="89" t="e">
        <f>SUM(AG98:AG99)</f>
        <v>#VALUE!</v>
      </c>
      <c r="AH100" s="84" t="str">
        <f>CONCATENATE("m'(",AD99,")=")</f>
        <v>m'(  )=</v>
      </c>
      <c r="AI100" s="84" t="e">
        <f>(2*(AI97^2)/6*AG100)+(AI99*AD98*WLS)</f>
        <v>#VALUE!</v>
      </c>
      <c r="AJ100" s="84" t="str">
        <f>CONCATENATE("M(",AD98,")=")</f>
        <v>M(  )=</v>
      </c>
      <c r="AK100" s="84" t="str">
        <f>VLOOKUP(AD98,STN_TABLE,4,FALSE)</f>
        <v xml:space="preserve"> </v>
      </c>
      <c r="AL100" t="str">
        <f>CONCATENATE("M(",AD99,")=")</f>
        <v>M(  )=</v>
      </c>
      <c r="AM100" t="e">
        <f>AI100+AK100</f>
        <v>#VALUE!</v>
      </c>
      <c r="AO100" s="82" t="str">
        <f>AA100</f>
        <v>M(  )=</v>
      </c>
      <c r="AP100" s="82" t="e">
        <f>VLOOKUP(AO100,Rise_Results,2,FALSE)</f>
        <v>#N/A</v>
      </c>
      <c r="AQ100" s="82" t="e">
        <f>N100</f>
        <v>#VALUE!</v>
      </c>
      <c r="AR100" s="82" t="e">
        <f>IF(OR(AB99&lt;=0,AB100&lt;=0),1/0,AB100)</f>
        <v>#VALUE!</v>
      </c>
      <c r="AS100" s="82" t="e">
        <f>AM100</f>
        <v>#VALUE!</v>
      </c>
      <c r="AT100" t="e">
        <f>IFERROR(AP100,IFERROR(AQ100,IFERROR(AR100,AS100)))</f>
        <v>#VALUE!</v>
      </c>
      <c r="AU100" s="81"/>
    </row>
    <row r="101" spans="1:47" x14ac:dyDescent="0.25">
      <c r="A101" s="101">
        <f>A96+1</f>
        <v>12</v>
      </c>
      <c r="B101" s="101">
        <f t="shared" si="27"/>
        <v>6.5</v>
      </c>
      <c r="O101" s="101">
        <f>O96+1</f>
        <v>14</v>
      </c>
      <c r="P101" s="101" t="str">
        <f t="shared" si="44"/>
        <v xml:space="preserve">  </v>
      </c>
      <c r="AU101" s="81"/>
    </row>
    <row r="102" spans="1:47" x14ac:dyDescent="0.25">
      <c r="A102" s="84">
        <f>A101+1</f>
        <v>13</v>
      </c>
      <c r="B102" s="84" t="str">
        <f t="shared" si="27"/>
        <v xml:space="preserve">  </v>
      </c>
      <c r="C102" s="79" t="e">
        <f t="shared" ref="C102" si="45">IF(C103=B104,IF(C104-C103=C103-B103,B103,IF(C104-C103=C103-B102,B102,"#NA")),IF(C103=B103,IF(C104-C103=C103-B102,B102,IF(C104-C103=C103-B101,B101,"#NA")),"#NA"))</f>
        <v>#VALUE!</v>
      </c>
      <c r="D102" s="68" t="e">
        <f>VLOOKUP(C102,STN_TABLE,2,FALSE)</f>
        <v>#VALUE!</v>
      </c>
      <c r="E102" s="102">
        <v>1</v>
      </c>
      <c r="F102" s="68" t="e">
        <f>D102*E102</f>
        <v>#VALUE!</v>
      </c>
      <c r="G102" s="69" t="e">
        <f>C102</f>
        <v>#VALUE!</v>
      </c>
      <c r="H102" s="69" t="e">
        <f>F102*G102</f>
        <v>#VALUE!</v>
      </c>
      <c r="I102" s="6" t="s">
        <v>93</v>
      </c>
      <c r="J102" s="70" t="e">
        <f>IF(OR(D102=0,D103=0,D104=0),"#NA",IF(AND(C104-C103=C103-C102,C103&lt;&gt;C104,C102&lt;&gt;C103,C102&lt;&gt;C104,D104&lt;&gt;0,OR(D102&lt;&gt;0,D103&lt;&gt;0)),WLS*(C104-C103),"#NA"))</f>
        <v>#VALUE!</v>
      </c>
      <c r="O102" s="99">
        <f>O101+1</f>
        <v>15</v>
      </c>
      <c r="P102" s="99" t="str">
        <f t="shared" si="44"/>
        <v xml:space="preserve">  </v>
      </c>
      <c r="Q102" s="68" t="e">
        <f>IF(OR(P104-P103=P103-P102,P105-P103=P103-P102),P102,IF(OR(P104-P103=P103-P101,P105-P103=P103-P101),P101,"-"))</f>
        <v>#VALUE!</v>
      </c>
      <c r="R102" s="69" t="e">
        <f>VLOOKUP(Q102,STN_TABLE,2,FALSE)</f>
        <v>#VALUE!</v>
      </c>
      <c r="S102" s="69">
        <v>5</v>
      </c>
      <c r="T102" s="68" t="e">
        <f>R102*S102</f>
        <v>#VALUE!</v>
      </c>
      <c r="U102" s="79">
        <v>3</v>
      </c>
      <c r="V102" s="68" t="e">
        <f>R102*U102</f>
        <v>#VALUE!</v>
      </c>
      <c r="W102" s="6" t="s">
        <v>93</v>
      </c>
      <c r="X102" s="70" t="e">
        <f>IF(AND(Q104-Q103=Q103-Q102,NOT(AND(Q102=0,Q103=0)),NOT(AND(Q103=0,Q104=0))),WLS*(Q104-Q103),"#NA")</f>
        <v>#VALUE!</v>
      </c>
      <c r="AD102" s="93"/>
      <c r="AH102" s="6" t="s">
        <v>93</v>
      </c>
      <c r="AI102" s="70" t="e">
        <f>WLS*(AD104-AD103)</f>
        <v>#VALUE!</v>
      </c>
      <c r="AU102" s="81"/>
    </row>
    <row r="103" spans="1:47" x14ac:dyDescent="0.25">
      <c r="A103" s="84">
        <f>A102+1</f>
        <v>14</v>
      </c>
      <c r="B103" s="84" t="str">
        <f t="shared" si="27"/>
        <v xml:space="preserve">  </v>
      </c>
      <c r="C103" s="80" t="e">
        <f t="shared" ref="C103" si="46">IF(OR(B105-B104=B104-B103,B105-B104=B104-B102,B105-B104=B104-B101),B104,IF(OR(B105-B103=B103-B102,B105-B103=B103-B101),B103,IF(B105-B102=B102-B101,B102,"#NA")))</f>
        <v>#VALUE!</v>
      </c>
      <c r="D103" s="76" t="e">
        <f>VLOOKUP(C103,STN_TABLE,2,FALSE)</f>
        <v>#VALUE!</v>
      </c>
      <c r="E103" s="81">
        <v>4</v>
      </c>
      <c r="F103" s="76" t="e">
        <f>D103*E103</f>
        <v>#VALUE!</v>
      </c>
      <c r="G103" s="77" t="e">
        <f>C103</f>
        <v>#VALUE!</v>
      </c>
      <c r="H103" s="77" t="e">
        <f>F103*G103</f>
        <v>#VALUE!</v>
      </c>
      <c r="I103" s="495" t="s">
        <v>97</v>
      </c>
      <c r="J103" s="496"/>
      <c r="K103" s="78" t="s">
        <v>98</v>
      </c>
      <c r="L103" s="78"/>
      <c r="M103" s="7" t="s">
        <v>99</v>
      </c>
      <c r="N103" s="7"/>
      <c r="O103" s="99">
        <f>O102+1</f>
        <v>16</v>
      </c>
      <c r="P103" s="99" t="str">
        <f t="shared" si="44"/>
        <v xml:space="preserve">  </v>
      </c>
      <c r="Q103" s="76" t="str">
        <f>P103</f>
        <v xml:space="preserve">  </v>
      </c>
      <c r="R103" s="77" t="str">
        <f>VLOOKUP(Q103,STN_TABLE,2,FALSE)</f>
        <v xml:space="preserve">  </v>
      </c>
      <c r="S103" s="77">
        <v>8</v>
      </c>
      <c r="T103" s="76" t="e">
        <f>R103*S103</f>
        <v>#VALUE!</v>
      </c>
      <c r="U103" s="80">
        <v>10</v>
      </c>
      <c r="V103" s="76" t="e">
        <f>R103*U103</f>
        <v>#VALUE!</v>
      </c>
      <c r="W103" s="496" t="s">
        <v>97</v>
      </c>
      <c r="X103" s="496"/>
      <c r="Y103" s="496" t="s">
        <v>98</v>
      </c>
      <c r="Z103" s="496"/>
      <c r="AA103" s="494" t="s">
        <v>99</v>
      </c>
      <c r="AB103" s="494"/>
      <c r="AC103" s="99">
        <f>AC98+1</f>
        <v>15</v>
      </c>
      <c r="AD103" s="95" t="str">
        <f>VLOOKUP(AC103,STN_TABLE_2,2,FALSE)</f>
        <v xml:space="preserve">  </v>
      </c>
      <c r="AE103" s="68" t="str">
        <f>VLOOKUP(AD103,STN_TABLE,2,FALSE)</f>
        <v xml:space="preserve">  </v>
      </c>
      <c r="AF103" s="68">
        <v>1</v>
      </c>
      <c r="AG103" s="69" t="e">
        <f>AE103*AF103</f>
        <v>#VALUE!</v>
      </c>
      <c r="AH103" s="496" t="s">
        <v>97</v>
      </c>
      <c r="AI103" s="496"/>
      <c r="AJ103" s="496" t="s">
        <v>98</v>
      </c>
      <c r="AK103" s="496"/>
      <c r="AL103" s="494" t="s">
        <v>99</v>
      </c>
      <c r="AM103" s="494"/>
      <c r="AP103" s="86" t="s">
        <v>112</v>
      </c>
      <c r="AQ103" s="89" t="s">
        <v>113</v>
      </c>
      <c r="AR103" s="89" t="s">
        <v>114</v>
      </c>
      <c r="AS103" s="89" t="s">
        <v>115</v>
      </c>
      <c r="AU103" s="81"/>
    </row>
    <row r="104" spans="1:47" x14ac:dyDescent="0.25">
      <c r="A104" s="84">
        <f>A103+1</f>
        <v>15</v>
      </c>
      <c r="B104" s="84" t="str">
        <f t="shared" si="27"/>
        <v xml:space="preserve">  </v>
      </c>
      <c r="C104" s="88" t="str">
        <f t="shared" ref="C104" si="47">B105</f>
        <v xml:space="preserve">  </v>
      </c>
      <c r="D104" s="82" t="str">
        <f>VLOOKUP(C104,STN_TABLE,2,FALSE)</f>
        <v xml:space="preserve">  </v>
      </c>
      <c r="E104" s="92">
        <v>1</v>
      </c>
      <c r="F104" s="82" t="e">
        <f>D104*E104</f>
        <v>#VALUE!</v>
      </c>
      <c r="G104" s="83" t="str">
        <f>C104</f>
        <v xml:space="preserve">  </v>
      </c>
      <c r="H104" s="83" t="e">
        <f>F104*G104</f>
        <v>#VALUE!</v>
      </c>
      <c r="I104" s="84" t="str">
        <f>CONCATENATE("a'(",C104,")=")</f>
        <v>a'(  )=</v>
      </c>
      <c r="J104" s="84" t="e">
        <f>2*J102/3*F105</f>
        <v>#VALUE!</v>
      </c>
      <c r="K104" s="84" t="e">
        <f>CONCATENATE("A(",C102,")=")</f>
        <v>#VALUE!</v>
      </c>
      <c r="L104" s="84" t="e">
        <f>VLOOKUP(C102,STN_TABLE,3,FALSE)</f>
        <v>#VALUE!</v>
      </c>
      <c r="M104" t="str">
        <f>CONCATENATE("A(",C104,")=")</f>
        <v>A(  )=</v>
      </c>
      <c r="N104" t="e">
        <f>J104+L104</f>
        <v>#VALUE!</v>
      </c>
      <c r="O104" s="99">
        <f>O103+1</f>
        <v>17</v>
      </c>
      <c r="P104" s="99" t="str">
        <f t="shared" si="44"/>
        <v xml:space="preserve">  </v>
      </c>
      <c r="Q104" s="82" t="e">
        <f>IF(P104-P103=P103-P102,P104,IF(P105-P103=P103-P102,P105,IF(P104-P103=P103-P101,P104,IF(P105-P103=P103-P101,P105,"-"))))</f>
        <v>#VALUE!</v>
      </c>
      <c r="R104" s="83" t="e">
        <f>VLOOKUP(Q104,STN_TABLE,2,FALSE)</f>
        <v>#VALUE!</v>
      </c>
      <c r="S104" s="83">
        <v>-1</v>
      </c>
      <c r="T104" s="82" t="e">
        <f>R104*S104</f>
        <v>#VALUE!</v>
      </c>
      <c r="U104" s="88">
        <v>-1</v>
      </c>
      <c r="V104" s="82" t="e">
        <f>R104*U104</f>
        <v>#VALUE!</v>
      </c>
      <c r="W104" s="84" t="str">
        <f>CONCATENATE("a'(",Q103,")=")</f>
        <v>a'(  )=</v>
      </c>
      <c r="X104" s="84" t="e">
        <f>2*X102/12*T105</f>
        <v>#VALUE!</v>
      </c>
      <c r="Y104" s="84" t="e">
        <f>CONCATENATE("A(",Q102,")=")</f>
        <v>#VALUE!</v>
      </c>
      <c r="Z104" s="84" t="e">
        <f>VLOOKUP(Q102,STN_TABLE,3,FALSE)</f>
        <v>#VALUE!</v>
      </c>
      <c r="AA104" t="str">
        <f>CONCATENATE("A(",Q103,")=")</f>
        <v>A(  )=</v>
      </c>
      <c r="AB104" t="e">
        <f>X104+Z104</f>
        <v>#VALUE!</v>
      </c>
      <c r="AC104" s="99">
        <f>AC103+1</f>
        <v>16</v>
      </c>
      <c r="AD104" s="100" t="str">
        <f>VLOOKUP(AC104,STN_TABLE_2,2,FALSE)</f>
        <v xml:space="preserve">  </v>
      </c>
      <c r="AE104" s="82" t="str">
        <f>VLOOKUP(AD104,STN_TABLE,2,FALSE)</f>
        <v xml:space="preserve">  </v>
      </c>
      <c r="AF104" s="82">
        <v>2</v>
      </c>
      <c r="AG104" s="83" t="e">
        <f>AE104*AF104</f>
        <v>#VALUE!</v>
      </c>
      <c r="AH104" s="84" t="str">
        <f>CONCATENATE("a'(",AD104,")=")</f>
        <v>a'(  )=</v>
      </c>
      <c r="AI104" s="84" t="e">
        <f>2*AI102/2*AE105</f>
        <v>#VALUE!</v>
      </c>
      <c r="AJ104" s="84" t="str">
        <f>CONCATENATE("A(",AD103,")=")</f>
        <v>A(  )=</v>
      </c>
      <c r="AK104" s="84" t="str">
        <f>VLOOKUP(AD103,STN_TABLE,3,FALSE)</f>
        <v xml:space="preserve"> </v>
      </c>
      <c r="AL104" t="str">
        <f>CONCATENATE("A(",AD104,")=")</f>
        <v>A(  )=</v>
      </c>
      <c r="AM104" t="e">
        <f>AI104+AK104</f>
        <v>#VALUE!</v>
      </c>
      <c r="AO104" s="68" t="str">
        <f>AA104</f>
        <v>A(  )=</v>
      </c>
      <c r="AP104" s="68" t="e">
        <f>VLOOKUP(AO104,Rise_Results,2,FALSE)</f>
        <v>#N/A</v>
      </c>
      <c r="AQ104" s="76" t="e">
        <f>N104</f>
        <v>#VALUE!</v>
      </c>
      <c r="AR104" s="76" t="e">
        <f>IF(OR(AB104&lt;=0,AB105&lt;=0),1/0,AB104)</f>
        <v>#VALUE!</v>
      </c>
      <c r="AS104" s="76" t="e">
        <f>AM104</f>
        <v>#VALUE!</v>
      </c>
      <c r="AT104" t="e">
        <f>IFERROR(AP104,IFERROR(AQ104,IFERROR(AR104,AS104)))</f>
        <v>#VALUE!</v>
      </c>
      <c r="AU104" s="81"/>
    </row>
    <row r="105" spans="1:47" x14ac:dyDescent="0.25">
      <c r="A105" s="84">
        <f>A104+1</f>
        <v>16</v>
      </c>
      <c r="B105" s="84" t="str">
        <f t="shared" si="27"/>
        <v xml:space="preserve">  </v>
      </c>
      <c r="F105" s="82" t="e">
        <f>SUM(F102:F104)</f>
        <v>#VALUE!</v>
      </c>
      <c r="H105" s="82" t="e">
        <f>SUM(H102:H104)</f>
        <v>#VALUE!</v>
      </c>
      <c r="I105" s="84" t="str">
        <f>CONCATENATE("m'(",C104,")=")</f>
        <v>m'(  )=</v>
      </c>
      <c r="J105" s="84" t="e">
        <f>2*(J102*(WLS))/3*H105</f>
        <v>#VALUE!</v>
      </c>
      <c r="K105" s="84" t="e">
        <f>CONCATENATE("M(",C102,")=")</f>
        <v>#VALUE!</v>
      </c>
      <c r="L105" s="84" t="e">
        <f>VLOOKUP(C102,STN_TABLE,4,FALSE)</f>
        <v>#VALUE!</v>
      </c>
      <c r="M105" t="str">
        <f>CONCATENATE("M(",C104,")=")</f>
        <v>M(  )=</v>
      </c>
      <c r="N105" t="e">
        <f>J105+L105</f>
        <v>#VALUE!</v>
      </c>
      <c r="O105" s="99">
        <f>O104+1</f>
        <v>18</v>
      </c>
      <c r="P105" s="99" t="str">
        <f t="shared" si="44"/>
        <v xml:space="preserve">  </v>
      </c>
      <c r="T105" s="89" t="e">
        <f>SUM(T102:T104)</f>
        <v>#VALUE!</v>
      </c>
      <c r="V105" s="82" t="e">
        <f>SUM(V102:V104)</f>
        <v>#VALUE!</v>
      </c>
      <c r="W105" s="84" t="str">
        <f>CONCATENATE("m'(",Q103,")=")</f>
        <v>m'(  )=</v>
      </c>
      <c r="X105" s="84" t="e">
        <f>(2*(X102^2)/24*V105)+(X104*Q102*WLS)</f>
        <v>#VALUE!</v>
      </c>
      <c r="Y105" s="84" t="e">
        <f>CONCATENATE("M(",Q102,")=")</f>
        <v>#VALUE!</v>
      </c>
      <c r="Z105" s="84" t="e">
        <f>VLOOKUP(Q102,STN_TABLE,4,FALSE)</f>
        <v>#VALUE!</v>
      </c>
      <c r="AA105" t="str">
        <f>CONCATENATE("M(",Q103,")=")</f>
        <v>M(  )=</v>
      </c>
      <c r="AB105" t="e">
        <f>X105+Z105</f>
        <v>#VALUE!</v>
      </c>
      <c r="AE105" s="89">
        <f>SUM(AE103:AE104)</f>
        <v>0</v>
      </c>
      <c r="AG105" s="89" t="e">
        <f>SUM(AG103:AG104)</f>
        <v>#VALUE!</v>
      </c>
      <c r="AH105" s="84" t="str">
        <f>CONCATENATE("m'(",AD104,")=")</f>
        <v>m'(  )=</v>
      </c>
      <c r="AI105" s="84" t="e">
        <f>(2*(AI102^2)/6*AG105)+(AI104*AD103*WLS)</f>
        <v>#VALUE!</v>
      </c>
      <c r="AJ105" s="84" t="str">
        <f>CONCATENATE("M(",AD103,")=")</f>
        <v>M(  )=</v>
      </c>
      <c r="AK105" s="84" t="str">
        <f>VLOOKUP(AD103,STN_TABLE,4,FALSE)</f>
        <v xml:space="preserve"> </v>
      </c>
      <c r="AL105" t="str">
        <f>CONCATENATE("M(",AD104,")=")</f>
        <v>M(  )=</v>
      </c>
      <c r="AM105" t="e">
        <f>AI105+AK105</f>
        <v>#VALUE!</v>
      </c>
      <c r="AO105" s="82" t="str">
        <f>AA105</f>
        <v>M(  )=</v>
      </c>
      <c r="AP105" s="82" t="e">
        <f>VLOOKUP(AO105,Rise_Results,2,FALSE)</f>
        <v>#N/A</v>
      </c>
      <c r="AQ105" s="82" t="e">
        <f>N105</f>
        <v>#VALUE!</v>
      </c>
      <c r="AR105" s="82" t="e">
        <f>IF(OR(AB104&lt;=0,AB105&lt;=0),1/0,AB105)</f>
        <v>#VALUE!</v>
      </c>
      <c r="AS105" s="82" t="e">
        <f>AM105</f>
        <v>#VALUE!</v>
      </c>
      <c r="AT105" t="e">
        <f>IFERROR(AP105,IFERROR(AQ105,IFERROR(AR105,AS105)))</f>
        <v>#VALUE!</v>
      </c>
      <c r="AU105" s="81"/>
    </row>
    <row r="106" spans="1:47" x14ac:dyDescent="0.25">
      <c r="A106" s="101">
        <f>A101+1</f>
        <v>13</v>
      </c>
      <c r="B106" s="101" t="str">
        <f t="shared" ref="B106:B137" si="48">VLOOKUP(A106,STN_TABLE_2,2,FALSE)</f>
        <v xml:space="preserve">  </v>
      </c>
      <c r="O106" s="101">
        <f>O101+1</f>
        <v>15</v>
      </c>
      <c r="P106" s="101" t="str">
        <f t="shared" si="44"/>
        <v xml:space="preserve">  </v>
      </c>
      <c r="AU106" s="81"/>
    </row>
    <row r="107" spans="1:47" x14ac:dyDescent="0.25">
      <c r="A107" s="84">
        <f>A106+1</f>
        <v>14</v>
      </c>
      <c r="B107" s="84" t="str">
        <f t="shared" si="48"/>
        <v xml:space="preserve">  </v>
      </c>
      <c r="C107" s="79" t="e">
        <f t="shared" ref="C107" si="49">IF(C108=B109,IF(C109-C108=C108-B108,B108,IF(C109-C108=C108-B107,B107,"#NA")),IF(C108=B108,IF(C109-C108=C108-B107,B107,IF(C109-C108=C108-B106,B106,"#NA")),"#NA"))</f>
        <v>#VALUE!</v>
      </c>
      <c r="D107" s="68" t="e">
        <f>VLOOKUP(C107,STN_TABLE,2,FALSE)</f>
        <v>#VALUE!</v>
      </c>
      <c r="E107" s="102">
        <v>1</v>
      </c>
      <c r="F107" s="68" t="e">
        <f>D107*E107</f>
        <v>#VALUE!</v>
      </c>
      <c r="G107" s="69" t="e">
        <f>C107</f>
        <v>#VALUE!</v>
      </c>
      <c r="H107" s="69" t="e">
        <f>F107*G107</f>
        <v>#VALUE!</v>
      </c>
      <c r="I107" s="6" t="s">
        <v>93</v>
      </c>
      <c r="J107" s="70" t="e">
        <f>IF(OR(D107=0,D108=0,D109=0),"#NA",IF(AND(C109-C108=C108-C107,C108&lt;&gt;C109,C107&lt;&gt;C108,C107&lt;&gt;C109,D109&lt;&gt;0,OR(D107&lt;&gt;0,D108&lt;&gt;0)),WLS*(C109-C108),"#NA"))</f>
        <v>#VALUE!</v>
      </c>
      <c r="O107" s="99">
        <f>O106+1</f>
        <v>16</v>
      </c>
      <c r="P107" s="99" t="str">
        <f t="shared" si="44"/>
        <v xml:space="preserve">  </v>
      </c>
      <c r="Q107" s="68" t="e">
        <f>IF(OR(P109-P108=P108-P107,P110-P108=P108-P107),P107,IF(OR(P109-P108=P108-P106,P110-P108=P108-P106),P106,"-"))</f>
        <v>#VALUE!</v>
      </c>
      <c r="R107" s="69" t="e">
        <f>VLOOKUP(Q107,STN_TABLE,2,FALSE)</f>
        <v>#VALUE!</v>
      </c>
      <c r="S107" s="69">
        <v>5</v>
      </c>
      <c r="T107" s="68" t="e">
        <f>R107*S107</f>
        <v>#VALUE!</v>
      </c>
      <c r="U107" s="79">
        <v>3</v>
      </c>
      <c r="V107" s="68" t="e">
        <f>R107*U107</f>
        <v>#VALUE!</v>
      </c>
      <c r="W107" s="6" t="s">
        <v>93</v>
      </c>
      <c r="X107" s="70" t="e">
        <f>IF(AND(Q109-Q108=Q108-Q107,NOT(AND(Q107=0,Q108=0)),NOT(AND(Q108=0,Q109=0))),WLS*(Q109-Q108),"#NA")</f>
        <v>#VALUE!</v>
      </c>
      <c r="AD107" s="93"/>
      <c r="AH107" s="6" t="s">
        <v>93</v>
      </c>
      <c r="AI107" s="70" t="e">
        <f>WLS*(AD109-AD108)</f>
        <v>#VALUE!</v>
      </c>
      <c r="AU107" s="81"/>
    </row>
    <row r="108" spans="1:47" x14ac:dyDescent="0.25">
      <c r="A108" s="84">
        <f>A107+1</f>
        <v>15</v>
      </c>
      <c r="B108" s="84" t="str">
        <f t="shared" si="48"/>
        <v xml:space="preserve">  </v>
      </c>
      <c r="C108" s="80" t="e">
        <f t="shared" ref="C108" si="50">IF(OR(B110-B109=B109-B108,B110-B109=B109-B107,B110-B109=B109-B106),B109,IF(OR(B110-B108=B108-B107,B110-B108=B108-B106),B108,IF(B110-B107=B107-B106,B107,"#NA")))</f>
        <v>#VALUE!</v>
      </c>
      <c r="D108" s="76" t="e">
        <f>VLOOKUP(C108,STN_TABLE,2,FALSE)</f>
        <v>#VALUE!</v>
      </c>
      <c r="E108" s="81">
        <v>4</v>
      </c>
      <c r="F108" s="76" t="e">
        <f>D108*E108</f>
        <v>#VALUE!</v>
      </c>
      <c r="G108" s="77" t="e">
        <f>C108</f>
        <v>#VALUE!</v>
      </c>
      <c r="H108" s="77" t="e">
        <f>F108*G108</f>
        <v>#VALUE!</v>
      </c>
      <c r="I108" s="495" t="s">
        <v>97</v>
      </c>
      <c r="J108" s="496"/>
      <c r="K108" s="78" t="s">
        <v>98</v>
      </c>
      <c r="L108" s="78"/>
      <c r="M108" s="7" t="s">
        <v>99</v>
      </c>
      <c r="N108" s="7"/>
      <c r="O108" s="99">
        <f>O107+1</f>
        <v>17</v>
      </c>
      <c r="P108" s="99" t="str">
        <f t="shared" si="44"/>
        <v xml:space="preserve">  </v>
      </c>
      <c r="Q108" s="76" t="str">
        <f>P108</f>
        <v xml:space="preserve">  </v>
      </c>
      <c r="R108" s="77" t="str">
        <f>VLOOKUP(Q108,STN_TABLE,2,FALSE)</f>
        <v xml:space="preserve">  </v>
      </c>
      <c r="S108" s="77">
        <v>8</v>
      </c>
      <c r="T108" s="76" t="e">
        <f>R108*S108</f>
        <v>#VALUE!</v>
      </c>
      <c r="U108" s="80">
        <v>10</v>
      </c>
      <c r="V108" s="76" t="e">
        <f>R108*U108</f>
        <v>#VALUE!</v>
      </c>
      <c r="W108" s="496" t="s">
        <v>97</v>
      </c>
      <c r="X108" s="496"/>
      <c r="Y108" s="496" t="s">
        <v>98</v>
      </c>
      <c r="Z108" s="496"/>
      <c r="AA108" s="494" t="s">
        <v>99</v>
      </c>
      <c r="AB108" s="494"/>
      <c r="AC108" s="99">
        <f>AC103+1</f>
        <v>16</v>
      </c>
      <c r="AD108" s="95" t="str">
        <f>VLOOKUP(AC108,STN_TABLE_2,2,FALSE)</f>
        <v xml:space="preserve">  </v>
      </c>
      <c r="AE108" s="68" t="str">
        <f>VLOOKUP(AD108,STN_TABLE,2,FALSE)</f>
        <v xml:space="preserve">  </v>
      </c>
      <c r="AF108" s="68">
        <v>1</v>
      </c>
      <c r="AG108" s="69" t="e">
        <f>AE108*AF108</f>
        <v>#VALUE!</v>
      </c>
      <c r="AH108" s="496" t="s">
        <v>97</v>
      </c>
      <c r="AI108" s="496"/>
      <c r="AJ108" s="496" t="s">
        <v>98</v>
      </c>
      <c r="AK108" s="496"/>
      <c r="AL108" s="494" t="s">
        <v>99</v>
      </c>
      <c r="AM108" s="494"/>
      <c r="AP108" s="86" t="s">
        <v>112</v>
      </c>
      <c r="AQ108" s="89" t="s">
        <v>113</v>
      </c>
      <c r="AR108" s="89" t="s">
        <v>114</v>
      </c>
      <c r="AS108" s="89" t="s">
        <v>115</v>
      </c>
      <c r="AU108" s="81"/>
    </row>
    <row r="109" spans="1:47" x14ac:dyDescent="0.25">
      <c r="A109" s="84">
        <f>A108+1</f>
        <v>16</v>
      </c>
      <c r="B109" s="84" t="str">
        <f t="shared" si="48"/>
        <v xml:space="preserve">  </v>
      </c>
      <c r="C109" s="88" t="str">
        <f t="shared" ref="C109" si="51">B110</f>
        <v xml:space="preserve">  </v>
      </c>
      <c r="D109" s="82" t="str">
        <f>VLOOKUP(C109,STN_TABLE,2,FALSE)</f>
        <v xml:space="preserve">  </v>
      </c>
      <c r="E109" s="92">
        <v>1</v>
      </c>
      <c r="F109" s="82" t="e">
        <f>D109*E109</f>
        <v>#VALUE!</v>
      </c>
      <c r="G109" s="83" t="str">
        <f>C109</f>
        <v xml:space="preserve">  </v>
      </c>
      <c r="H109" s="83" t="e">
        <f>F109*G109</f>
        <v>#VALUE!</v>
      </c>
      <c r="I109" s="84" t="str">
        <f>CONCATENATE("a'(",C109,")=")</f>
        <v>a'(  )=</v>
      </c>
      <c r="J109" s="84" t="e">
        <f>2*J107/3*F110</f>
        <v>#VALUE!</v>
      </c>
      <c r="K109" s="84" t="e">
        <f>CONCATENATE("A(",C107,")=")</f>
        <v>#VALUE!</v>
      </c>
      <c r="L109" s="84" t="e">
        <f>VLOOKUP(C107,STN_TABLE,3,FALSE)</f>
        <v>#VALUE!</v>
      </c>
      <c r="M109" t="str">
        <f>CONCATENATE("A(",C109,")=")</f>
        <v>A(  )=</v>
      </c>
      <c r="N109" t="e">
        <f>J109+L109</f>
        <v>#VALUE!</v>
      </c>
      <c r="O109" s="99">
        <f>O108+1</f>
        <v>18</v>
      </c>
      <c r="P109" s="99" t="str">
        <f t="shared" si="44"/>
        <v xml:space="preserve">  </v>
      </c>
      <c r="Q109" s="82" t="e">
        <f>IF(P109-P108=P108-P107,P109,IF(P110-P108=P108-P107,P110,IF(P109-P108=P108-P106,P109,IF(P110-P108=P108-P106,P110,"-"))))</f>
        <v>#VALUE!</v>
      </c>
      <c r="R109" s="83" t="e">
        <f>VLOOKUP(Q109,STN_TABLE,2,FALSE)</f>
        <v>#VALUE!</v>
      </c>
      <c r="S109" s="83">
        <v>-1</v>
      </c>
      <c r="T109" s="82" t="e">
        <f>R109*S109</f>
        <v>#VALUE!</v>
      </c>
      <c r="U109" s="88">
        <v>-1</v>
      </c>
      <c r="V109" s="82" t="e">
        <f>R109*U109</f>
        <v>#VALUE!</v>
      </c>
      <c r="W109" s="84" t="str">
        <f>CONCATENATE("a'(",Q108,")=")</f>
        <v>a'(  )=</v>
      </c>
      <c r="X109" s="84" t="e">
        <f>2*X107/12*T110</f>
        <v>#VALUE!</v>
      </c>
      <c r="Y109" s="84" t="e">
        <f>CONCATENATE("A(",Q107,")=")</f>
        <v>#VALUE!</v>
      </c>
      <c r="Z109" s="84" t="e">
        <f>VLOOKUP(Q107,STN_TABLE,3,FALSE)</f>
        <v>#VALUE!</v>
      </c>
      <c r="AA109" t="str">
        <f>CONCATENATE("A(",Q108,")=")</f>
        <v>A(  )=</v>
      </c>
      <c r="AB109" t="e">
        <f>X109+Z109</f>
        <v>#VALUE!</v>
      </c>
      <c r="AC109" s="99">
        <f>AC108+1</f>
        <v>17</v>
      </c>
      <c r="AD109" s="100" t="str">
        <f>VLOOKUP(AC109,STN_TABLE_2,2,FALSE)</f>
        <v xml:space="preserve">  </v>
      </c>
      <c r="AE109" s="82" t="str">
        <f>VLOOKUP(AD109,STN_TABLE,2,FALSE)</f>
        <v xml:space="preserve">  </v>
      </c>
      <c r="AF109" s="82">
        <v>2</v>
      </c>
      <c r="AG109" s="83" t="e">
        <f>AE109*AF109</f>
        <v>#VALUE!</v>
      </c>
      <c r="AH109" s="84" t="str">
        <f>CONCATENATE("a'(",AD109,")=")</f>
        <v>a'(  )=</v>
      </c>
      <c r="AI109" s="84" t="e">
        <f>2*AI107/2*AE110</f>
        <v>#VALUE!</v>
      </c>
      <c r="AJ109" s="84" t="str">
        <f>CONCATENATE("A(",AD108,")=")</f>
        <v>A(  )=</v>
      </c>
      <c r="AK109" s="84" t="str">
        <f>VLOOKUP(AD108,STN_TABLE,3,FALSE)</f>
        <v xml:space="preserve"> </v>
      </c>
      <c r="AL109" t="str">
        <f>CONCATENATE("A(",AD109,")=")</f>
        <v>A(  )=</v>
      </c>
      <c r="AM109" t="e">
        <f>AI109+AK109</f>
        <v>#VALUE!</v>
      </c>
      <c r="AO109" s="68" t="str">
        <f>AA109</f>
        <v>A(  )=</v>
      </c>
      <c r="AP109" s="68" t="e">
        <f>VLOOKUP(AO109,Rise_Results,2,FALSE)</f>
        <v>#N/A</v>
      </c>
      <c r="AQ109" s="76" t="e">
        <f>N109</f>
        <v>#VALUE!</v>
      </c>
      <c r="AR109" s="76" t="e">
        <f>IF(OR(AB109&lt;=0,AB110&lt;=0),1/0,AB109)</f>
        <v>#VALUE!</v>
      </c>
      <c r="AS109" s="76" t="e">
        <f>AM109</f>
        <v>#VALUE!</v>
      </c>
      <c r="AT109" t="e">
        <f>IFERROR(AP109,IFERROR(AQ109,IFERROR(AR109,AS109)))</f>
        <v>#VALUE!</v>
      </c>
      <c r="AU109" s="81"/>
    </row>
    <row r="110" spans="1:47" x14ac:dyDescent="0.25">
      <c r="A110" s="84">
        <f>A109+1</f>
        <v>17</v>
      </c>
      <c r="B110" s="84" t="str">
        <f t="shared" si="48"/>
        <v xml:space="preserve">  </v>
      </c>
      <c r="F110" s="82" t="e">
        <f>SUM(F107:F109)</f>
        <v>#VALUE!</v>
      </c>
      <c r="H110" s="82" t="e">
        <f>SUM(H107:H109)</f>
        <v>#VALUE!</v>
      </c>
      <c r="I110" s="84" t="str">
        <f>CONCATENATE("m'(",C109,")=")</f>
        <v>m'(  )=</v>
      </c>
      <c r="J110" s="84" t="e">
        <f>2*(J107*(WLS))/3*H110</f>
        <v>#VALUE!</v>
      </c>
      <c r="K110" s="84" t="e">
        <f>CONCATENATE("M(",C107,")=")</f>
        <v>#VALUE!</v>
      </c>
      <c r="L110" s="84" t="e">
        <f>VLOOKUP(C107,STN_TABLE,4,FALSE)</f>
        <v>#VALUE!</v>
      </c>
      <c r="M110" t="str">
        <f>CONCATENATE("M(",C109,")=")</f>
        <v>M(  )=</v>
      </c>
      <c r="N110" t="e">
        <f>J110+L110</f>
        <v>#VALUE!</v>
      </c>
      <c r="O110" s="99">
        <f>O109+1</f>
        <v>19</v>
      </c>
      <c r="P110" s="99" t="str">
        <f t="shared" si="44"/>
        <v xml:space="preserve">  </v>
      </c>
      <c r="T110" s="89" t="e">
        <f>SUM(T107:T109)</f>
        <v>#VALUE!</v>
      </c>
      <c r="V110" s="82" t="e">
        <f>SUM(V107:V109)</f>
        <v>#VALUE!</v>
      </c>
      <c r="W110" s="84" t="str">
        <f>CONCATENATE("m'(",Q108,")=")</f>
        <v>m'(  )=</v>
      </c>
      <c r="X110" s="84" t="e">
        <f>(2*(X107^2)/24*V110)+(X109*Q107*WLS)</f>
        <v>#VALUE!</v>
      </c>
      <c r="Y110" s="84" t="e">
        <f>CONCATENATE("M(",Q107,")=")</f>
        <v>#VALUE!</v>
      </c>
      <c r="Z110" s="84" t="e">
        <f>VLOOKUP(Q107,STN_TABLE,4,FALSE)</f>
        <v>#VALUE!</v>
      </c>
      <c r="AA110" t="str">
        <f>CONCATENATE("M(",Q108,")=")</f>
        <v>M(  )=</v>
      </c>
      <c r="AB110" t="e">
        <f>X110+Z110</f>
        <v>#VALUE!</v>
      </c>
      <c r="AE110" s="89">
        <f>SUM(AE108:AE109)</f>
        <v>0</v>
      </c>
      <c r="AG110" s="89" t="e">
        <f>SUM(AG108:AG109)</f>
        <v>#VALUE!</v>
      </c>
      <c r="AH110" s="84" t="str">
        <f>CONCATENATE("m'(",AD109,")=")</f>
        <v>m'(  )=</v>
      </c>
      <c r="AI110" s="84" t="e">
        <f>(2*(AI107^2)/6*AG110)+(AI109*AD108*WLS)</f>
        <v>#VALUE!</v>
      </c>
      <c r="AJ110" s="84" t="str">
        <f>CONCATENATE("M(",AD108,")=")</f>
        <v>M(  )=</v>
      </c>
      <c r="AK110" s="84" t="str">
        <f>VLOOKUP(AD108,STN_TABLE,4,FALSE)</f>
        <v xml:space="preserve"> </v>
      </c>
      <c r="AL110" t="str">
        <f>CONCATENATE("M(",AD109,")=")</f>
        <v>M(  )=</v>
      </c>
      <c r="AM110" t="e">
        <f>AI110+AK110</f>
        <v>#VALUE!</v>
      </c>
      <c r="AO110" s="82" t="str">
        <f>AA110</f>
        <v>M(  )=</v>
      </c>
      <c r="AP110" s="82" t="e">
        <f>VLOOKUP(AO110,Rise_Results,2,FALSE)</f>
        <v>#N/A</v>
      </c>
      <c r="AQ110" s="82" t="e">
        <f>N110</f>
        <v>#VALUE!</v>
      </c>
      <c r="AR110" s="82" t="e">
        <f>IF(OR(AB109&lt;=0,AB110&lt;=0),1/0,AB110)</f>
        <v>#VALUE!</v>
      </c>
      <c r="AS110" s="82" t="e">
        <f>AM110</f>
        <v>#VALUE!</v>
      </c>
      <c r="AT110" t="e">
        <f>IFERROR(AP110,IFERROR(AQ110,IFERROR(AR110,AS110)))</f>
        <v>#VALUE!</v>
      </c>
      <c r="AU110" s="81"/>
    </row>
    <row r="111" spans="1:47" x14ac:dyDescent="0.25">
      <c r="A111" s="101">
        <f>A106+1</f>
        <v>14</v>
      </c>
      <c r="B111" s="101" t="str">
        <f t="shared" si="48"/>
        <v xml:space="preserve">  </v>
      </c>
      <c r="O111" s="101">
        <f>O106+1</f>
        <v>16</v>
      </c>
      <c r="P111" s="101" t="str">
        <f t="shared" si="44"/>
        <v xml:space="preserve">  </v>
      </c>
      <c r="AU111" s="81"/>
    </row>
    <row r="112" spans="1:47" x14ac:dyDescent="0.25">
      <c r="A112" s="84">
        <f>A111+1</f>
        <v>15</v>
      </c>
      <c r="B112" s="84" t="str">
        <f t="shared" si="48"/>
        <v xml:space="preserve">  </v>
      </c>
      <c r="C112" s="79" t="e">
        <f t="shared" ref="C112" si="52">IF(C113=B114,IF(C114-C113=C113-B113,B113,IF(C114-C113=C113-B112,B112,"#NA")),IF(C113=B113,IF(C114-C113=C113-B112,B112,IF(C114-C113=C113-B111,B111,"#NA")),"#NA"))</f>
        <v>#VALUE!</v>
      </c>
      <c r="D112" s="68" t="e">
        <f>VLOOKUP(C112,STN_TABLE,2,FALSE)</f>
        <v>#VALUE!</v>
      </c>
      <c r="E112" s="102">
        <v>1</v>
      </c>
      <c r="F112" s="68" t="e">
        <f>D112*E112</f>
        <v>#VALUE!</v>
      </c>
      <c r="G112" s="69" t="e">
        <f>C112</f>
        <v>#VALUE!</v>
      </c>
      <c r="H112" s="69" t="e">
        <f>F112*G112</f>
        <v>#VALUE!</v>
      </c>
      <c r="I112" s="6" t="s">
        <v>93</v>
      </c>
      <c r="J112" s="70" t="e">
        <f>IF(OR(D112=0,D113=0,D114=0),"#NA",IF(AND(C114-C113=C113-C112,C113&lt;&gt;C114,C112&lt;&gt;C113,C112&lt;&gt;C114,D114&lt;&gt;0,OR(D112&lt;&gt;0,D113&lt;&gt;0)),WLS*(C114-C113),"#NA"))</f>
        <v>#VALUE!</v>
      </c>
      <c r="O112" s="99">
        <f>O111+1</f>
        <v>17</v>
      </c>
      <c r="P112" s="99" t="str">
        <f t="shared" si="44"/>
        <v xml:space="preserve">  </v>
      </c>
      <c r="Q112" s="68" t="e">
        <f>IF(OR(P114-P113=P113-P112,P115-P113=P113-P112),P112,IF(OR(P114-P113=P113-P111,P115-P113=P113-P111),P111,"-"))</f>
        <v>#VALUE!</v>
      </c>
      <c r="R112" s="69" t="e">
        <f>VLOOKUP(Q112,STN_TABLE,2,FALSE)</f>
        <v>#VALUE!</v>
      </c>
      <c r="S112" s="69">
        <v>5</v>
      </c>
      <c r="T112" s="68" t="e">
        <f>R112*S112</f>
        <v>#VALUE!</v>
      </c>
      <c r="U112" s="79">
        <v>3</v>
      </c>
      <c r="V112" s="68" t="e">
        <f>R112*U112</f>
        <v>#VALUE!</v>
      </c>
      <c r="W112" s="6" t="s">
        <v>93</v>
      </c>
      <c r="X112" s="70" t="e">
        <f>IF(AND(Q114-Q113=Q113-Q112,NOT(AND(Q112=0,Q113=0)),NOT(AND(Q113=0,Q114=0))),WLS*(Q114-Q113),"#NA")</f>
        <v>#VALUE!</v>
      </c>
      <c r="AD112" s="93"/>
      <c r="AH112" s="6" t="s">
        <v>93</v>
      </c>
      <c r="AI112" s="70" t="e">
        <f>WLS*(AD114-AD113)</f>
        <v>#VALUE!</v>
      </c>
      <c r="AU112" s="81"/>
    </row>
    <row r="113" spans="1:47" x14ac:dyDescent="0.25">
      <c r="A113" s="84">
        <f>A112+1</f>
        <v>16</v>
      </c>
      <c r="B113" s="84" t="str">
        <f t="shared" si="48"/>
        <v xml:space="preserve">  </v>
      </c>
      <c r="C113" s="80" t="e">
        <f t="shared" ref="C113" si="53">IF(OR(B115-B114=B114-B113,B115-B114=B114-B112,B115-B114=B114-B111),B114,IF(OR(B115-B113=B113-B112,B115-B113=B113-B111),B113,IF(B115-B112=B112-B111,B112,"#NA")))</f>
        <v>#VALUE!</v>
      </c>
      <c r="D113" s="76" t="e">
        <f>VLOOKUP(C113,STN_TABLE,2,FALSE)</f>
        <v>#VALUE!</v>
      </c>
      <c r="E113" s="81">
        <v>4</v>
      </c>
      <c r="F113" s="76" t="e">
        <f>D113*E113</f>
        <v>#VALUE!</v>
      </c>
      <c r="G113" s="77" t="e">
        <f>C113</f>
        <v>#VALUE!</v>
      </c>
      <c r="H113" s="77" t="e">
        <f>F113*G113</f>
        <v>#VALUE!</v>
      </c>
      <c r="I113" s="495" t="s">
        <v>97</v>
      </c>
      <c r="J113" s="496"/>
      <c r="K113" s="78" t="s">
        <v>98</v>
      </c>
      <c r="L113" s="78"/>
      <c r="M113" s="7" t="s">
        <v>99</v>
      </c>
      <c r="N113" s="7"/>
      <c r="O113" s="99">
        <f>O112+1</f>
        <v>18</v>
      </c>
      <c r="P113" s="99" t="str">
        <f t="shared" si="44"/>
        <v xml:space="preserve">  </v>
      </c>
      <c r="Q113" s="76" t="str">
        <f>P113</f>
        <v xml:space="preserve">  </v>
      </c>
      <c r="R113" s="77" t="str">
        <f>VLOOKUP(Q113,STN_TABLE,2,FALSE)</f>
        <v xml:space="preserve">  </v>
      </c>
      <c r="S113" s="77">
        <v>8</v>
      </c>
      <c r="T113" s="76" t="e">
        <f>R113*S113</f>
        <v>#VALUE!</v>
      </c>
      <c r="U113" s="80">
        <v>10</v>
      </c>
      <c r="V113" s="76" t="e">
        <f>R113*U113</f>
        <v>#VALUE!</v>
      </c>
      <c r="W113" s="496" t="s">
        <v>97</v>
      </c>
      <c r="X113" s="496"/>
      <c r="Y113" s="496" t="s">
        <v>98</v>
      </c>
      <c r="Z113" s="496"/>
      <c r="AA113" s="494" t="s">
        <v>99</v>
      </c>
      <c r="AB113" s="494"/>
      <c r="AC113" s="99">
        <f>AC108+1</f>
        <v>17</v>
      </c>
      <c r="AD113" s="95" t="str">
        <f>VLOOKUP(AC113,STN_TABLE_2,2,FALSE)</f>
        <v xml:space="preserve">  </v>
      </c>
      <c r="AE113" s="68" t="str">
        <f>VLOOKUP(AD113,STN_TABLE,2,FALSE)</f>
        <v xml:space="preserve">  </v>
      </c>
      <c r="AF113" s="68">
        <v>1</v>
      </c>
      <c r="AG113" s="69" t="e">
        <f>AE113*AF113</f>
        <v>#VALUE!</v>
      </c>
      <c r="AH113" s="496" t="s">
        <v>97</v>
      </c>
      <c r="AI113" s="496"/>
      <c r="AJ113" s="496" t="s">
        <v>98</v>
      </c>
      <c r="AK113" s="496"/>
      <c r="AL113" s="494" t="s">
        <v>99</v>
      </c>
      <c r="AM113" s="494"/>
      <c r="AP113" s="86" t="s">
        <v>112</v>
      </c>
      <c r="AQ113" s="89" t="s">
        <v>113</v>
      </c>
      <c r="AR113" s="89" t="s">
        <v>114</v>
      </c>
      <c r="AS113" s="89" t="s">
        <v>115</v>
      </c>
      <c r="AU113" s="81"/>
    </row>
    <row r="114" spans="1:47" x14ac:dyDescent="0.25">
      <c r="A114" s="84">
        <f>A113+1</f>
        <v>17</v>
      </c>
      <c r="B114" s="84" t="str">
        <f t="shared" si="48"/>
        <v xml:space="preserve">  </v>
      </c>
      <c r="C114" s="88" t="str">
        <f t="shared" ref="C114" si="54">B115</f>
        <v xml:space="preserve">  </v>
      </c>
      <c r="D114" s="82" t="str">
        <f>VLOOKUP(C114,STN_TABLE,2,FALSE)</f>
        <v xml:space="preserve">  </v>
      </c>
      <c r="E114" s="92">
        <v>1</v>
      </c>
      <c r="F114" s="82" t="e">
        <f>D114*E114</f>
        <v>#VALUE!</v>
      </c>
      <c r="G114" s="83" t="str">
        <f>C114</f>
        <v xml:space="preserve">  </v>
      </c>
      <c r="H114" s="83" t="e">
        <f>F114*G114</f>
        <v>#VALUE!</v>
      </c>
      <c r="I114" s="84" t="str">
        <f>CONCATENATE("a'(",C114,")=")</f>
        <v>a'(  )=</v>
      </c>
      <c r="J114" s="84" t="e">
        <f>2*J112/3*F115</f>
        <v>#VALUE!</v>
      </c>
      <c r="K114" s="84" t="e">
        <f>CONCATENATE("A(",C112,")=")</f>
        <v>#VALUE!</v>
      </c>
      <c r="L114" s="84" t="e">
        <f>VLOOKUP(C112,STN_TABLE,3,FALSE)</f>
        <v>#VALUE!</v>
      </c>
      <c r="M114" t="str">
        <f>CONCATENATE("A(",C114,")=")</f>
        <v>A(  )=</v>
      </c>
      <c r="N114" t="e">
        <f>J114+L114</f>
        <v>#VALUE!</v>
      </c>
      <c r="O114" s="99">
        <f>O113+1</f>
        <v>19</v>
      </c>
      <c r="P114" s="99" t="str">
        <f t="shared" si="44"/>
        <v xml:space="preserve">  </v>
      </c>
      <c r="Q114" s="82" t="e">
        <f>IF(P114-P113=P113-P112,P114,IF(P115-P113=P113-P112,P115,IF(P114-P113=P113-P111,P114,IF(P115-P113=P113-P111,P115,"-"))))</f>
        <v>#VALUE!</v>
      </c>
      <c r="R114" s="83" t="e">
        <f>VLOOKUP(Q114,STN_TABLE,2,FALSE)</f>
        <v>#VALUE!</v>
      </c>
      <c r="S114" s="83">
        <v>-1</v>
      </c>
      <c r="T114" s="82" t="e">
        <f>R114*S114</f>
        <v>#VALUE!</v>
      </c>
      <c r="U114" s="88">
        <v>-1</v>
      </c>
      <c r="V114" s="82" t="e">
        <f>R114*U114</f>
        <v>#VALUE!</v>
      </c>
      <c r="W114" s="84" t="str">
        <f>CONCATENATE("a'(",Q113,")=")</f>
        <v>a'(  )=</v>
      </c>
      <c r="X114" s="84" t="e">
        <f>2*X112/12*T115</f>
        <v>#VALUE!</v>
      </c>
      <c r="Y114" s="84" t="e">
        <f>CONCATENATE("A(",Q112,")=")</f>
        <v>#VALUE!</v>
      </c>
      <c r="Z114" s="84" t="e">
        <f>VLOOKUP(Q112,STN_TABLE,3,FALSE)</f>
        <v>#VALUE!</v>
      </c>
      <c r="AA114" t="str">
        <f>CONCATENATE("A(",Q113,")=")</f>
        <v>A(  )=</v>
      </c>
      <c r="AB114" t="e">
        <f>X114+Z114</f>
        <v>#VALUE!</v>
      </c>
      <c r="AC114" s="99">
        <f>AC113+1</f>
        <v>18</v>
      </c>
      <c r="AD114" s="100" t="str">
        <f>VLOOKUP(AC114,STN_TABLE_2,2,FALSE)</f>
        <v xml:space="preserve">  </v>
      </c>
      <c r="AE114" s="82" t="str">
        <f>VLOOKUP(AD114,STN_TABLE,2,FALSE)</f>
        <v xml:space="preserve">  </v>
      </c>
      <c r="AF114" s="82">
        <v>2</v>
      </c>
      <c r="AG114" s="83" t="e">
        <f>AE114*AF114</f>
        <v>#VALUE!</v>
      </c>
      <c r="AH114" s="84" t="str">
        <f>CONCATENATE("a'(",AD114,")=")</f>
        <v>a'(  )=</v>
      </c>
      <c r="AI114" s="84" t="e">
        <f>2*AI112/2*AE115</f>
        <v>#VALUE!</v>
      </c>
      <c r="AJ114" s="84" t="str">
        <f>CONCATENATE("A(",AD113,")=")</f>
        <v>A(  )=</v>
      </c>
      <c r="AK114" s="84" t="str">
        <f>VLOOKUP(AD113,STN_TABLE,3,FALSE)</f>
        <v xml:space="preserve"> </v>
      </c>
      <c r="AL114" t="str">
        <f>CONCATENATE("A(",AD114,")=")</f>
        <v>A(  )=</v>
      </c>
      <c r="AM114" t="e">
        <f>AI114+AK114</f>
        <v>#VALUE!</v>
      </c>
      <c r="AO114" s="68" t="str">
        <f>AA114</f>
        <v>A(  )=</v>
      </c>
      <c r="AP114" s="68" t="e">
        <f>VLOOKUP(AO114,Rise_Results,2,FALSE)</f>
        <v>#N/A</v>
      </c>
      <c r="AQ114" s="76" t="e">
        <f>N114</f>
        <v>#VALUE!</v>
      </c>
      <c r="AR114" s="76" t="e">
        <f>IF(OR(AB114&lt;=0,AB115&lt;=0),1/0,AB114)</f>
        <v>#VALUE!</v>
      </c>
      <c r="AS114" s="76" t="e">
        <f>AM114</f>
        <v>#VALUE!</v>
      </c>
      <c r="AT114" t="e">
        <f>IFERROR(AP114,IFERROR(AQ114,IFERROR(AR114,AS114)))</f>
        <v>#VALUE!</v>
      </c>
      <c r="AU114" s="81"/>
    </row>
    <row r="115" spans="1:47" x14ac:dyDescent="0.25">
      <c r="A115" s="84">
        <f>A114+1</f>
        <v>18</v>
      </c>
      <c r="B115" s="84" t="str">
        <f t="shared" si="48"/>
        <v xml:space="preserve">  </v>
      </c>
      <c r="F115" s="82" t="e">
        <f>SUM(F112:F114)</f>
        <v>#VALUE!</v>
      </c>
      <c r="H115" s="82" t="e">
        <f>SUM(H112:H114)</f>
        <v>#VALUE!</v>
      </c>
      <c r="I115" s="84" t="str">
        <f>CONCATENATE("m'(",C114,")=")</f>
        <v>m'(  )=</v>
      </c>
      <c r="J115" s="84" t="e">
        <f>2*(J112*(WLS))/3*H115</f>
        <v>#VALUE!</v>
      </c>
      <c r="K115" s="84" t="e">
        <f>CONCATENATE("M(",C112,")=")</f>
        <v>#VALUE!</v>
      </c>
      <c r="L115" s="84" t="e">
        <f>VLOOKUP(C112,STN_TABLE,4,FALSE)</f>
        <v>#VALUE!</v>
      </c>
      <c r="M115" t="str">
        <f>CONCATENATE("M(",C114,")=")</f>
        <v>M(  )=</v>
      </c>
      <c r="N115" t="e">
        <f>J115+L115</f>
        <v>#VALUE!</v>
      </c>
      <c r="O115" s="99">
        <f>O114+1</f>
        <v>20</v>
      </c>
      <c r="P115" s="99" t="str">
        <f t="shared" si="44"/>
        <v xml:space="preserve">  </v>
      </c>
      <c r="T115" s="89" t="e">
        <f>SUM(T112:T114)</f>
        <v>#VALUE!</v>
      </c>
      <c r="V115" s="82" t="e">
        <f>SUM(V112:V114)</f>
        <v>#VALUE!</v>
      </c>
      <c r="W115" s="84" t="str">
        <f>CONCATENATE("m'(",Q113,")=")</f>
        <v>m'(  )=</v>
      </c>
      <c r="X115" s="84" t="e">
        <f>(2*(X112^2)/24*V115)+(X114*Q112*WLS)</f>
        <v>#VALUE!</v>
      </c>
      <c r="Y115" s="84" t="e">
        <f>CONCATENATE("M(",Q112,")=")</f>
        <v>#VALUE!</v>
      </c>
      <c r="Z115" s="84" t="e">
        <f>VLOOKUP(Q112,STN_TABLE,4,FALSE)</f>
        <v>#VALUE!</v>
      </c>
      <c r="AA115" t="str">
        <f>CONCATENATE("M(",Q113,")=")</f>
        <v>M(  )=</v>
      </c>
      <c r="AB115" t="e">
        <f>X115+Z115</f>
        <v>#VALUE!</v>
      </c>
      <c r="AE115" s="89">
        <f>SUM(AE113:AE114)</f>
        <v>0</v>
      </c>
      <c r="AG115" s="89" t="e">
        <f>SUM(AG113:AG114)</f>
        <v>#VALUE!</v>
      </c>
      <c r="AH115" s="84" t="str">
        <f>CONCATENATE("m'(",AD114,")=")</f>
        <v>m'(  )=</v>
      </c>
      <c r="AI115" s="84" t="e">
        <f>(2*(AI112^2)/6*AG115)+(AI114*AD113*WLS)</f>
        <v>#VALUE!</v>
      </c>
      <c r="AJ115" s="84" t="str">
        <f>CONCATENATE("M(",AD113,")=")</f>
        <v>M(  )=</v>
      </c>
      <c r="AK115" s="84" t="str">
        <f>VLOOKUP(AD113,STN_TABLE,4,FALSE)</f>
        <v xml:space="preserve"> </v>
      </c>
      <c r="AL115" t="str">
        <f>CONCATENATE("M(",AD114,")=")</f>
        <v>M(  )=</v>
      </c>
      <c r="AM115" t="e">
        <f>AI115+AK115</f>
        <v>#VALUE!</v>
      </c>
      <c r="AO115" s="82" t="str">
        <f>AA115</f>
        <v>M(  )=</v>
      </c>
      <c r="AP115" s="82" t="e">
        <f>VLOOKUP(AO115,Rise_Results,2,FALSE)</f>
        <v>#N/A</v>
      </c>
      <c r="AQ115" s="82" t="e">
        <f>N115</f>
        <v>#VALUE!</v>
      </c>
      <c r="AR115" s="82" t="e">
        <f>IF(OR(AB114&lt;=0,AB115&lt;=0),1/0,AB115)</f>
        <v>#VALUE!</v>
      </c>
      <c r="AS115" s="82" t="e">
        <f>AM115</f>
        <v>#VALUE!</v>
      </c>
      <c r="AT115" t="e">
        <f>IFERROR(AP115,IFERROR(AQ115,IFERROR(AR115,AS115)))</f>
        <v>#VALUE!</v>
      </c>
      <c r="AU115" s="81"/>
    </row>
    <row r="116" spans="1:47" x14ac:dyDescent="0.25">
      <c r="A116" s="101">
        <f>A111+1</f>
        <v>15</v>
      </c>
      <c r="B116" s="101" t="str">
        <f t="shared" si="48"/>
        <v xml:space="preserve">  </v>
      </c>
      <c r="O116" s="101">
        <f>O111+1</f>
        <v>17</v>
      </c>
      <c r="P116" s="101" t="str">
        <f t="shared" si="44"/>
        <v xml:space="preserve">  </v>
      </c>
      <c r="AU116" s="81"/>
    </row>
    <row r="117" spans="1:47" x14ac:dyDescent="0.25">
      <c r="A117" s="84">
        <f>A116+1</f>
        <v>16</v>
      </c>
      <c r="B117" s="84" t="str">
        <f t="shared" si="48"/>
        <v xml:space="preserve">  </v>
      </c>
      <c r="C117" s="79" t="e">
        <f t="shared" ref="C117" si="55">IF(C118=B119,IF(C119-C118=C118-B118,B118,IF(C119-C118=C118-B117,B117,"#NA")),IF(C118=B118,IF(C119-C118=C118-B117,B117,IF(C119-C118=C118-B116,B116,"#NA")),"#NA"))</f>
        <v>#VALUE!</v>
      </c>
      <c r="D117" s="68" t="e">
        <f>VLOOKUP(C117,STN_TABLE,2,FALSE)</f>
        <v>#VALUE!</v>
      </c>
      <c r="E117" s="102">
        <v>1</v>
      </c>
      <c r="F117" s="68" t="e">
        <f>D117*E117</f>
        <v>#VALUE!</v>
      </c>
      <c r="G117" s="69" t="e">
        <f>C117</f>
        <v>#VALUE!</v>
      </c>
      <c r="H117" s="69" t="e">
        <f>F117*G117</f>
        <v>#VALUE!</v>
      </c>
      <c r="I117" s="6" t="s">
        <v>93</v>
      </c>
      <c r="J117" s="70" t="e">
        <f>IF(OR(D117=0,D118=0,D119=0),"#NA",IF(AND(C119-C118=C118-C117,C118&lt;&gt;C119,C117&lt;&gt;C118,C117&lt;&gt;C119,D119&lt;&gt;0,OR(D117&lt;&gt;0,D118&lt;&gt;0)),WLS*(C119-C118),"#NA"))</f>
        <v>#VALUE!</v>
      </c>
      <c r="O117" s="99">
        <f>O116+1</f>
        <v>18</v>
      </c>
      <c r="P117" s="99" t="str">
        <f t="shared" si="44"/>
        <v xml:space="preserve">  </v>
      </c>
      <c r="Q117" s="68" t="e">
        <f>IF(OR(P119-P118=P118-P117,P120-P118=P118-P117),P117,IF(OR(P119-P118=P118-P116,P120-P118=P118-P116),P116,"-"))</f>
        <v>#VALUE!</v>
      </c>
      <c r="R117" s="69" t="e">
        <f>VLOOKUP(Q117,STN_TABLE,2,FALSE)</f>
        <v>#VALUE!</v>
      </c>
      <c r="S117" s="69">
        <v>5</v>
      </c>
      <c r="T117" s="68" t="e">
        <f>R117*S117</f>
        <v>#VALUE!</v>
      </c>
      <c r="U117" s="79">
        <v>3</v>
      </c>
      <c r="V117" s="68" t="e">
        <f>R117*U117</f>
        <v>#VALUE!</v>
      </c>
      <c r="W117" s="6" t="s">
        <v>93</v>
      </c>
      <c r="X117" s="70" t="e">
        <f>IF(AND(Q119-Q118=Q118-Q117,NOT(AND(Q117=0,Q118=0)),NOT(AND(Q118=0,Q119=0))),WLS*(Q119-Q118),"#NA")</f>
        <v>#VALUE!</v>
      </c>
      <c r="AD117" s="93"/>
      <c r="AH117" s="6" t="s">
        <v>93</v>
      </c>
      <c r="AI117" s="70" t="e">
        <f>WLS*(AD119-AD118)</f>
        <v>#VALUE!</v>
      </c>
      <c r="AU117" s="81"/>
    </row>
    <row r="118" spans="1:47" x14ac:dyDescent="0.25">
      <c r="A118" s="84">
        <f>A117+1</f>
        <v>17</v>
      </c>
      <c r="B118" s="84" t="str">
        <f t="shared" si="48"/>
        <v xml:space="preserve">  </v>
      </c>
      <c r="C118" s="80" t="e">
        <f t="shared" ref="C118" si="56">IF(OR(B120-B119=B119-B118,B120-B119=B119-B117,B120-B119=B119-B116),B119,IF(OR(B120-B118=B118-B117,B120-B118=B118-B116),B118,IF(B120-B117=B117-B116,B117,"#NA")))</f>
        <v>#VALUE!</v>
      </c>
      <c r="D118" s="76" t="e">
        <f>VLOOKUP(C118,STN_TABLE,2,FALSE)</f>
        <v>#VALUE!</v>
      </c>
      <c r="E118" s="81">
        <v>4</v>
      </c>
      <c r="F118" s="76" t="e">
        <f>D118*E118</f>
        <v>#VALUE!</v>
      </c>
      <c r="G118" s="77" t="e">
        <f>C118</f>
        <v>#VALUE!</v>
      </c>
      <c r="H118" s="77" t="e">
        <f>F118*G118</f>
        <v>#VALUE!</v>
      </c>
      <c r="I118" s="495" t="s">
        <v>97</v>
      </c>
      <c r="J118" s="496"/>
      <c r="K118" s="78" t="s">
        <v>98</v>
      </c>
      <c r="L118" s="78"/>
      <c r="M118" s="7" t="s">
        <v>99</v>
      </c>
      <c r="N118" s="7"/>
      <c r="O118" s="99">
        <f>O117+1</f>
        <v>19</v>
      </c>
      <c r="P118" s="99" t="str">
        <f t="shared" si="44"/>
        <v xml:space="preserve">  </v>
      </c>
      <c r="Q118" s="76" t="str">
        <f>P118</f>
        <v xml:space="preserve">  </v>
      </c>
      <c r="R118" s="77" t="str">
        <f>VLOOKUP(Q118,STN_TABLE,2,FALSE)</f>
        <v xml:space="preserve">  </v>
      </c>
      <c r="S118" s="77">
        <v>8</v>
      </c>
      <c r="T118" s="76" t="e">
        <f>R118*S118</f>
        <v>#VALUE!</v>
      </c>
      <c r="U118" s="80">
        <v>10</v>
      </c>
      <c r="V118" s="76" t="e">
        <f>R118*U118</f>
        <v>#VALUE!</v>
      </c>
      <c r="W118" s="496" t="s">
        <v>97</v>
      </c>
      <c r="X118" s="496"/>
      <c r="Y118" s="496" t="s">
        <v>98</v>
      </c>
      <c r="Z118" s="496"/>
      <c r="AA118" s="494" t="s">
        <v>99</v>
      </c>
      <c r="AB118" s="494"/>
      <c r="AC118" s="99">
        <f>AC113+1</f>
        <v>18</v>
      </c>
      <c r="AD118" s="95" t="str">
        <f>VLOOKUP(AC118,STN_TABLE_2,2,FALSE)</f>
        <v xml:space="preserve">  </v>
      </c>
      <c r="AE118" s="68" t="str">
        <f>VLOOKUP(AD118,STN_TABLE,2,FALSE)</f>
        <v xml:space="preserve">  </v>
      </c>
      <c r="AF118" s="68">
        <v>1</v>
      </c>
      <c r="AG118" s="69" t="e">
        <f>AE118*AF118</f>
        <v>#VALUE!</v>
      </c>
      <c r="AH118" s="496" t="s">
        <v>97</v>
      </c>
      <c r="AI118" s="496"/>
      <c r="AJ118" s="496" t="s">
        <v>98</v>
      </c>
      <c r="AK118" s="496"/>
      <c r="AL118" s="494" t="s">
        <v>99</v>
      </c>
      <c r="AM118" s="494"/>
      <c r="AP118" s="86" t="s">
        <v>112</v>
      </c>
      <c r="AQ118" s="89" t="s">
        <v>113</v>
      </c>
      <c r="AR118" s="89" t="s">
        <v>114</v>
      </c>
      <c r="AS118" s="89" t="s">
        <v>115</v>
      </c>
      <c r="AU118" s="81"/>
    </row>
    <row r="119" spans="1:47" x14ac:dyDescent="0.25">
      <c r="A119" s="84">
        <f>A118+1</f>
        <v>18</v>
      </c>
      <c r="B119" s="84" t="str">
        <f t="shared" si="48"/>
        <v xml:space="preserve">  </v>
      </c>
      <c r="C119" s="88" t="str">
        <f t="shared" ref="C119" si="57">B120</f>
        <v xml:space="preserve">  </v>
      </c>
      <c r="D119" s="82" t="str">
        <f>VLOOKUP(C119,STN_TABLE,2,FALSE)</f>
        <v xml:space="preserve">  </v>
      </c>
      <c r="E119" s="92">
        <v>1</v>
      </c>
      <c r="F119" s="82" t="e">
        <f>D119*E119</f>
        <v>#VALUE!</v>
      </c>
      <c r="G119" s="83" t="str">
        <f>C119</f>
        <v xml:space="preserve">  </v>
      </c>
      <c r="H119" s="83" t="e">
        <f>F119*G119</f>
        <v>#VALUE!</v>
      </c>
      <c r="I119" s="84" t="str">
        <f>CONCATENATE("a'(",C119,")=")</f>
        <v>a'(  )=</v>
      </c>
      <c r="J119" s="84" t="e">
        <f>2*J117/3*F120</f>
        <v>#VALUE!</v>
      </c>
      <c r="K119" s="84" t="e">
        <f>CONCATENATE("A(",C117,")=")</f>
        <v>#VALUE!</v>
      </c>
      <c r="L119" s="84" t="e">
        <f>VLOOKUP(C117,STN_TABLE,3,FALSE)</f>
        <v>#VALUE!</v>
      </c>
      <c r="M119" t="str">
        <f>CONCATENATE("A(",C119,")=")</f>
        <v>A(  )=</v>
      </c>
      <c r="N119" t="e">
        <f>J119+L119</f>
        <v>#VALUE!</v>
      </c>
      <c r="O119" s="99">
        <f>O118+1</f>
        <v>20</v>
      </c>
      <c r="P119" s="99" t="str">
        <f t="shared" si="44"/>
        <v xml:space="preserve">  </v>
      </c>
      <c r="Q119" s="82" t="e">
        <f>IF(P119-P118=P118-P117,P119,IF(P120-P118=P118-P117,P120,IF(P119-P118=P118-P116,P119,IF(P120-P118=P118-P116,P120,"-"))))</f>
        <v>#VALUE!</v>
      </c>
      <c r="R119" s="83" t="e">
        <f>VLOOKUP(Q119,STN_TABLE,2,FALSE)</f>
        <v>#VALUE!</v>
      </c>
      <c r="S119" s="83">
        <v>-1</v>
      </c>
      <c r="T119" s="82" t="e">
        <f>R119*S119</f>
        <v>#VALUE!</v>
      </c>
      <c r="U119" s="88">
        <v>-1</v>
      </c>
      <c r="V119" s="82" t="e">
        <f>R119*U119</f>
        <v>#VALUE!</v>
      </c>
      <c r="W119" s="84" t="str">
        <f>CONCATENATE("a'(",Q118,")=")</f>
        <v>a'(  )=</v>
      </c>
      <c r="X119" s="84" t="e">
        <f>2*X117/12*T120</f>
        <v>#VALUE!</v>
      </c>
      <c r="Y119" s="84" t="e">
        <f>CONCATENATE("A(",Q117,")=")</f>
        <v>#VALUE!</v>
      </c>
      <c r="Z119" s="84" t="e">
        <f>VLOOKUP(Q117,STN_TABLE,3,FALSE)</f>
        <v>#VALUE!</v>
      </c>
      <c r="AA119" t="str">
        <f>CONCATENATE("A(",Q118,")=")</f>
        <v>A(  )=</v>
      </c>
      <c r="AB119" t="e">
        <f>X119+Z119</f>
        <v>#VALUE!</v>
      </c>
      <c r="AC119" s="99">
        <f>AC118+1</f>
        <v>19</v>
      </c>
      <c r="AD119" s="100" t="str">
        <f>VLOOKUP(AC119,STN_TABLE_2,2,FALSE)</f>
        <v xml:space="preserve">  </v>
      </c>
      <c r="AE119" s="82" t="str">
        <f>VLOOKUP(AD119,STN_TABLE,2,FALSE)</f>
        <v xml:space="preserve">  </v>
      </c>
      <c r="AF119" s="82">
        <v>2</v>
      </c>
      <c r="AG119" s="83" t="e">
        <f>AE119*AF119</f>
        <v>#VALUE!</v>
      </c>
      <c r="AH119" s="84" t="str">
        <f>CONCATENATE("a'(",AD119,")=")</f>
        <v>a'(  )=</v>
      </c>
      <c r="AI119" s="84" t="e">
        <f>2*AI117/2*AE120</f>
        <v>#VALUE!</v>
      </c>
      <c r="AJ119" s="84" t="str">
        <f>CONCATENATE("A(",AD118,")=")</f>
        <v>A(  )=</v>
      </c>
      <c r="AK119" s="84" t="str">
        <f>VLOOKUP(AD118,STN_TABLE,3,FALSE)</f>
        <v xml:space="preserve"> </v>
      </c>
      <c r="AL119" t="str">
        <f>CONCATENATE("A(",AD119,")=")</f>
        <v>A(  )=</v>
      </c>
      <c r="AM119" t="e">
        <f>AI119+AK119</f>
        <v>#VALUE!</v>
      </c>
      <c r="AO119" s="68" t="str">
        <f>AA119</f>
        <v>A(  )=</v>
      </c>
      <c r="AP119" s="68" t="e">
        <f>VLOOKUP(AO119,Rise_Results,2,FALSE)</f>
        <v>#N/A</v>
      </c>
      <c r="AQ119" s="76" t="e">
        <f>N119</f>
        <v>#VALUE!</v>
      </c>
      <c r="AR119" s="76" t="e">
        <f>IF(OR(AB119&lt;=0,AB120&lt;=0),1/0,AB119)</f>
        <v>#VALUE!</v>
      </c>
      <c r="AS119" s="76" t="e">
        <f>AM119</f>
        <v>#VALUE!</v>
      </c>
      <c r="AT119" t="e">
        <f>IFERROR(AP119,IFERROR(AQ119,IFERROR(AR119,AS119)))</f>
        <v>#VALUE!</v>
      </c>
      <c r="AU119" s="81"/>
    </row>
    <row r="120" spans="1:47" x14ac:dyDescent="0.25">
      <c r="A120" s="84">
        <f>A119+1</f>
        <v>19</v>
      </c>
      <c r="B120" s="84" t="str">
        <f t="shared" si="48"/>
        <v xml:space="preserve">  </v>
      </c>
      <c r="F120" s="82" t="e">
        <f>SUM(F117:F119)</f>
        <v>#VALUE!</v>
      </c>
      <c r="H120" s="82" t="e">
        <f>SUM(H117:H119)</f>
        <v>#VALUE!</v>
      </c>
      <c r="I120" s="84" t="str">
        <f>CONCATENATE("m'(",C119,")=")</f>
        <v>m'(  )=</v>
      </c>
      <c r="J120" s="84" t="e">
        <f>2*(J117*(WLS))/3*H120</f>
        <v>#VALUE!</v>
      </c>
      <c r="K120" s="84" t="e">
        <f>CONCATENATE("M(",C117,")=")</f>
        <v>#VALUE!</v>
      </c>
      <c r="L120" s="84" t="e">
        <f>VLOOKUP(C117,STN_TABLE,4,FALSE)</f>
        <v>#VALUE!</v>
      </c>
      <c r="M120" t="str">
        <f>CONCATENATE("M(",C119,")=")</f>
        <v>M(  )=</v>
      </c>
      <c r="N120" t="e">
        <f>J120+L120</f>
        <v>#VALUE!</v>
      </c>
      <c r="O120" s="99">
        <f>O119+1</f>
        <v>21</v>
      </c>
      <c r="P120" s="99" t="str">
        <f t="shared" si="44"/>
        <v xml:space="preserve">  </v>
      </c>
      <c r="T120" s="89" t="e">
        <f>SUM(T117:T119)</f>
        <v>#VALUE!</v>
      </c>
      <c r="V120" s="82" t="e">
        <f>SUM(V117:V119)</f>
        <v>#VALUE!</v>
      </c>
      <c r="W120" s="84" t="str">
        <f>CONCATENATE("m'(",Q118,")=")</f>
        <v>m'(  )=</v>
      </c>
      <c r="X120" s="84" t="e">
        <f>(2*(X117^2)/24*V120)+(X119*Q117*WLS)</f>
        <v>#VALUE!</v>
      </c>
      <c r="Y120" s="84" t="e">
        <f>CONCATENATE("M(",Q117,")=")</f>
        <v>#VALUE!</v>
      </c>
      <c r="Z120" s="84" t="e">
        <f>VLOOKUP(Q117,STN_TABLE,4,FALSE)</f>
        <v>#VALUE!</v>
      </c>
      <c r="AA120" t="str">
        <f>CONCATENATE("M(",Q118,")=")</f>
        <v>M(  )=</v>
      </c>
      <c r="AB120" t="e">
        <f>X120+Z120</f>
        <v>#VALUE!</v>
      </c>
      <c r="AE120" s="89">
        <f>SUM(AE118:AE119)</f>
        <v>0</v>
      </c>
      <c r="AG120" s="89" t="e">
        <f>SUM(AG118:AG119)</f>
        <v>#VALUE!</v>
      </c>
      <c r="AH120" s="84" t="str">
        <f>CONCATENATE("m'(",AD119,")=")</f>
        <v>m'(  )=</v>
      </c>
      <c r="AI120" s="84" t="e">
        <f>(2*(AI117^2)/6*AG120)+(AI119*AD118*WLS)</f>
        <v>#VALUE!</v>
      </c>
      <c r="AJ120" s="84" t="str">
        <f>CONCATENATE("M(",AD118,")=")</f>
        <v>M(  )=</v>
      </c>
      <c r="AK120" s="84" t="str">
        <f>VLOOKUP(AD118,STN_TABLE,4,FALSE)</f>
        <v xml:space="preserve"> </v>
      </c>
      <c r="AL120" t="str">
        <f>CONCATENATE("M(",AD119,")=")</f>
        <v>M(  )=</v>
      </c>
      <c r="AM120" t="e">
        <f>AI120+AK120</f>
        <v>#VALUE!</v>
      </c>
      <c r="AO120" s="82" t="str">
        <f>AA120</f>
        <v>M(  )=</v>
      </c>
      <c r="AP120" s="82" t="e">
        <f>VLOOKUP(AO120,Rise_Results,2,FALSE)</f>
        <v>#N/A</v>
      </c>
      <c r="AQ120" s="82" t="e">
        <f>N120</f>
        <v>#VALUE!</v>
      </c>
      <c r="AR120" s="82" t="e">
        <f>IF(OR(AB119&lt;=0,AB120&lt;=0),1/0,AB120)</f>
        <v>#VALUE!</v>
      </c>
      <c r="AS120" s="82" t="e">
        <f>AM120</f>
        <v>#VALUE!</v>
      </c>
      <c r="AT120" t="e">
        <f>IFERROR(AP120,IFERROR(AQ120,IFERROR(AR120,AS120)))</f>
        <v>#VALUE!</v>
      </c>
      <c r="AU120" s="81"/>
    </row>
    <row r="121" spans="1:47" x14ac:dyDescent="0.25">
      <c r="A121" s="101">
        <f>A116+1</f>
        <v>16</v>
      </c>
      <c r="B121" s="101" t="str">
        <f t="shared" si="48"/>
        <v xml:space="preserve">  </v>
      </c>
      <c r="O121" s="101">
        <f>O116+1</f>
        <v>18</v>
      </c>
      <c r="P121" s="101" t="str">
        <f t="shared" si="44"/>
        <v xml:space="preserve">  </v>
      </c>
      <c r="AU121" s="81"/>
    </row>
    <row r="122" spans="1:47" x14ac:dyDescent="0.25">
      <c r="A122" s="84">
        <f>A121+1</f>
        <v>17</v>
      </c>
      <c r="B122" s="84" t="str">
        <f t="shared" si="48"/>
        <v xml:space="preserve">  </v>
      </c>
      <c r="C122" s="79" t="e">
        <f t="shared" ref="C122" si="58">IF(C123=B124,IF(C124-C123=C123-B123,B123,IF(C124-C123=C123-B122,B122,"#NA")),IF(C123=B123,IF(C124-C123=C123-B122,B122,IF(C124-C123=C123-B121,B121,"#NA")),"#NA"))</f>
        <v>#VALUE!</v>
      </c>
      <c r="D122" s="68" t="e">
        <f>VLOOKUP(C122,STN_TABLE,2,FALSE)</f>
        <v>#VALUE!</v>
      </c>
      <c r="E122" s="102">
        <v>1</v>
      </c>
      <c r="F122" s="68" t="e">
        <f>D122*E122</f>
        <v>#VALUE!</v>
      </c>
      <c r="G122" s="69" t="e">
        <f>C122</f>
        <v>#VALUE!</v>
      </c>
      <c r="H122" s="69" t="e">
        <f>F122*G122</f>
        <v>#VALUE!</v>
      </c>
      <c r="I122" s="6" t="s">
        <v>93</v>
      </c>
      <c r="J122" s="70" t="e">
        <f>IF(OR(D122=0,D123=0,D124=0),"#NA",IF(AND(C124-C123=C123-C122,C123&lt;&gt;C124,C122&lt;&gt;C123,C122&lt;&gt;C124,D124&lt;&gt;0,OR(D122&lt;&gt;0,D123&lt;&gt;0)),WLS*(C124-C123),"#NA"))</f>
        <v>#VALUE!</v>
      </c>
      <c r="O122" s="99">
        <f>O121+1</f>
        <v>19</v>
      </c>
      <c r="P122" s="99" t="str">
        <f t="shared" si="44"/>
        <v xml:space="preserve">  </v>
      </c>
      <c r="Q122" s="68" t="e">
        <f>IF(OR(P124-P123=P123-P122,P125-P123=P123-P122),P122,IF(OR(P124-P123=P123-P121,P125-P123=P123-P121),P121,"-"))</f>
        <v>#VALUE!</v>
      </c>
      <c r="R122" s="69" t="e">
        <f>VLOOKUP(Q122,STN_TABLE,2,FALSE)</f>
        <v>#VALUE!</v>
      </c>
      <c r="S122" s="69">
        <v>5</v>
      </c>
      <c r="T122" s="68" t="e">
        <f>R122*S122</f>
        <v>#VALUE!</v>
      </c>
      <c r="U122" s="79">
        <v>3</v>
      </c>
      <c r="V122" s="68" t="e">
        <f>R122*U122</f>
        <v>#VALUE!</v>
      </c>
      <c r="W122" s="6" t="s">
        <v>93</v>
      </c>
      <c r="X122" s="70" t="e">
        <f>IF(AND(Q124-Q123=Q123-Q122,NOT(AND(Q122=0,Q123=0)),NOT(AND(Q123=0,Q124=0))),WLS*(Q124-Q123),"#NA")</f>
        <v>#VALUE!</v>
      </c>
      <c r="AD122" s="93"/>
      <c r="AH122" s="6" t="s">
        <v>93</v>
      </c>
      <c r="AI122" s="70" t="e">
        <f>WLS*(AD124-AD123)</f>
        <v>#VALUE!</v>
      </c>
      <c r="AU122" s="81"/>
    </row>
    <row r="123" spans="1:47" x14ac:dyDescent="0.25">
      <c r="A123" s="84">
        <f>A122+1</f>
        <v>18</v>
      </c>
      <c r="B123" s="84" t="str">
        <f t="shared" si="48"/>
        <v xml:space="preserve">  </v>
      </c>
      <c r="C123" s="80" t="e">
        <f t="shared" ref="C123" si="59">IF(OR(B125-B124=B124-B123,B125-B124=B124-B122,B125-B124=B124-B121),B124,IF(OR(B125-B123=B123-B122,B125-B123=B123-B121),B123,IF(B125-B122=B122-B121,B122,"#NA")))</f>
        <v>#VALUE!</v>
      </c>
      <c r="D123" s="76" t="e">
        <f>VLOOKUP(C123,STN_TABLE,2,FALSE)</f>
        <v>#VALUE!</v>
      </c>
      <c r="E123" s="81">
        <v>4</v>
      </c>
      <c r="F123" s="76" t="e">
        <f>D123*E123</f>
        <v>#VALUE!</v>
      </c>
      <c r="G123" s="77" t="e">
        <f>C123</f>
        <v>#VALUE!</v>
      </c>
      <c r="H123" s="77" t="e">
        <f>F123*G123</f>
        <v>#VALUE!</v>
      </c>
      <c r="I123" s="495" t="s">
        <v>97</v>
      </c>
      <c r="J123" s="496"/>
      <c r="K123" s="78" t="s">
        <v>98</v>
      </c>
      <c r="L123" s="78"/>
      <c r="M123" s="7" t="s">
        <v>99</v>
      </c>
      <c r="N123" s="7"/>
      <c r="O123" s="99">
        <f>O122+1</f>
        <v>20</v>
      </c>
      <c r="P123" s="99" t="str">
        <f t="shared" si="44"/>
        <v xml:space="preserve">  </v>
      </c>
      <c r="Q123" s="76" t="str">
        <f>P123</f>
        <v xml:space="preserve">  </v>
      </c>
      <c r="R123" s="77" t="str">
        <f>VLOOKUP(Q123,STN_TABLE,2,FALSE)</f>
        <v xml:space="preserve">  </v>
      </c>
      <c r="S123" s="77">
        <v>8</v>
      </c>
      <c r="T123" s="76" t="e">
        <f>R123*S123</f>
        <v>#VALUE!</v>
      </c>
      <c r="U123" s="80">
        <v>10</v>
      </c>
      <c r="V123" s="76" t="e">
        <f>R123*U123</f>
        <v>#VALUE!</v>
      </c>
      <c r="W123" s="496" t="s">
        <v>97</v>
      </c>
      <c r="X123" s="496"/>
      <c r="Y123" s="496" t="s">
        <v>98</v>
      </c>
      <c r="Z123" s="496"/>
      <c r="AA123" s="494" t="s">
        <v>99</v>
      </c>
      <c r="AB123" s="494"/>
      <c r="AC123" s="99">
        <f>AC118+1</f>
        <v>19</v>
      </c>
      <c r="AD123" s="95" t="str">
        <f>VLOOKUP(AC123,STN_TABLE_2,2,FALSE)</f>
        <v xml:space="preserve">  </v>
      </c>
      <c r="AE123" s="68" t="str">
        <f>VLOOKUP(AD123,STN_TABLE,2,FALSE)</f>
        <v xml:space="preserve">  </v>
      </c>
      <c r="AF123" s="68">
        <v>1</v>
      </c>
      <c r="AG123" s="69" t="e">
        <f>AE123*AF123</f>
        <v>#VALUE!</v>
      </c>
      <c r="AH123" s="496" t="s">
        <v>97</v>
      </c>
      <c r="AI123" s="496"/>
      <c r="AJ123" s="496" t="s">
        <v>98</v>
      </c>
      <c r="AK123" s="496"/>
      <c r="AL123" s="494" t="s">
        <v>99</v>
      </c>
      <c r="AM123" s="494"/>
      <c r="AP123" s="86" t="s">
        <v>112</v>
      </c>
      <c r="AQ123" s="89" t="s">
        <v>113</v>
      </c>
      <c r="AR123" s="89" t="s">
        <v>114</v>
      </c>
      <c r="AS123" s="89" t="s">
        <v>115</v>
      </c>
      <c r="AU123" s="81"/>
    </row>
    <row r="124" spans="1:47" x14ac:dyDescent="0.25">
      <c r="A124" s="84">
        <f>A123+1</f>
        <v>19</v>
      </c>
      <c r="B124" s="84" t="str">
        <f t="shared" si="48"/>
        <v xml:space="preserve">  </v>
      </c>
      <c r="C124" s="88" t="str">
        <f t="shared" ref="C124" si="60">B125</f>
        <v xml:space="preserve">  </v>
      </c>
      <c r="D124" s="82" t="str">
        <f>VLOOKUP(C124,STN_TABLE,2,FALSE)</f>
        <v xml:space="preserve">  </v>
      </c>
      <c r="E124" s="92">
        <v>1</v>
      </c>
      <c r="F124" s="82" t="e">
        <f>D124*E124</f>
        <v>#VALUE!</v>
      </c>
      <c r="G124" s="83" t="str">
        <f>C124</f>
        <v xml:space="preserve">  </v>
      </c>
      <c r="H124" s="83" t="e">
        <f>F124*G124</f>
        <v>#VALUE!</v>
      </c>
      <c r="I124" s="84" t="str">
        <f>CONCATENATE("a'(",C124,")=")</f>
        <v>a'(  )=</v>
      </c>
      <c r="J124" s="84" t="e">
        <f>2*J122/3*F125</f>
        <v>#VALUE!</v>
      </c>
      <c r="K124" s="84" t="e">
        <f>CONCATENATE("A(",C122,")=")</f>
        <v>#VALUE!</v>
      </c>
      <c r="L124" s="84" t="e">
        <f>VLOOKUP(C122,STN_TABLE,3,FALSE)</f>
        <v>#VALUE!</v>
      </c>
      <c r="M124" t="str">
        <f>CONCATENATE("A(",C124,")=")</f>
        <v>A(  )=</v>
      </c>
      <c r="N124" t="e">
        <f>J124+L124</f>
        <v>#VALUE!</v>
      </c>
      <c r="O124" s="99">
        <f>O123+1</f>
        <v>21</v>
      </c>
      <c r="P124" s="99" t="str">
        <f t="shared" si="44"/>
        <v xml:space="preserve">  </v>
      </c>
      <c r="Q124" s="82" t="e">
        <f>IF(P124-P123=P123-P122,P124,IF(P125-P123=P123-P122,P125,IF(P124-P123=P123-P121,P124,IF(P125-P123=P123-P121,P125,"-"))))</f>
        <v>#VALUE!</v>
      </c>
      <c r="R124" s="83" t="e">
        <f>VLOOKUP(Q124,STN_TABLE,2,FALSE)</f>
        <v>#VALUE!</v>
      </c>
      <c r="S124" s="83">
        <v>-1</v>
      </c>
      <c r="T124" s="82" t="e">
        <f>R124*S124</f>
        <v>#VALUE!</v>
      </c>
      <c r="U124" s="88">
        <v>-1</v>
      </c>
      <c r="V124" s="82" t="e">
        <f>R124*U124</f>
        <v>#VALUE!</v>
      </c>
      <c r="W124" s="84" t="str">
        <f>CONCATENATE("a'(",Q123,")=")</f>
        <v>a'(  )=</v>
      </c>
      <c r="X124" s="84" t="e">
        <f>2*X122/12*T125</f>
        <v>#VALUE!</v>
      </c>
      <c r="Y124" s="84" t="e">
        <f>CONCATENATE("A(",Q122,")=")</f>
        <v>#VALUE!</v>
      </c>
      <c r="Z124" s="84" t="e">
        <f>VLOOKUP(Q122,STN_TABLE,3,FALSE)</f>
        <v>#VALUE!</v>
      </c>
      <c r="AA124" t="str">
        <f>CONCATENATE("A(",Q123,")=")</f>
        <v>A(  )=</v>
      </c>
      <c r="AB124" t="e">
        <f>X124+Z124</f>
        <v>#VALUE!</v>
      </c>
      <c r="AC124" s="99">
        <f>AC123+1</f>
        <v>20</v>
      </c>
      <c r="AD124" s="100" t="str">
        <f>VLOOKUP(AC124,STN_TABLE_2,2,FALSE)</f>
        <v xml:space="preserve">  </v>
      </c>
      <c r="AE124" s="82" t="str">
        <f>VLOOKUP(AD124,STN_TABLE,2,FALSE)</f>
        <v xml:space="preserve">  </v>
      </c>
      <c r="AF124" s="82">
        <v>2</v>
      </c>
      <c r="AG124" s="83" t="e">
        <f>AE124*AF124</f>
        <v>#VALUE!</v>
      </c>
      <c r="AH124" s="84" t="str">
        <f>CONCATENATE("a'(",AD124,")=")</f>
        <v>a'(  )=</v>
      </c>
      <c r="AI124" s="84" t="e">
        <f>2*AI122/2*AE125</f>
        <v>#VALUE!</v>
      </c>
      <c r="AJ124" s="84" t="str">
        <f>CONCATENATE("A(",AD123,")=")</f>
        <v>A(  )=</v>
      </c>
      <c r="AK124" s="84" t="str">
        <f>VLOOKUP(AD123,STN_TABLE,3,FALSE)</f>
        <v xml:space="preserve"> </v>
      </c>
      <c r="AL124" t="str">
        <f>CONCATENATE("A(",AD124,")=")</f>
        <v>A(  )=</v>
      </c>
      <c r="AM124" t="e">
        <f>AI124+AK124</f>
        <v>#VALUE!</v>
      </c>
      <c r="AO124" s="68" t="str">
        <f>AA124</f>
        <v>A(  )=</v>
      </c>
      <c r="AP124" s="68" t="e">
        <f>VLOOKUP(AO124,Rise_Results,2,FALSE)</f>
        <v>#N/A</v>
      </c>
      <c r="AQ124" s="76" t="e">
        <f>N124</f>
        <v>#VALUE!</v>
      </c>
      <c r="AR124" s="76" t="e">
        <f>IF(OR(AB124&lt;=0,AB125&lt;=0),1/0,AB124)</f>
        <v>#VALUE!</v>
      </c>
      <c r="AS124" s="76" t="e">
        <f>AM124</f>
        <v>#VALUE!</v>
      </c>
      <c r="AT124" t="e">
        <f>IFERROR(AP124,IFERROR(AQ124,IFERROR(AR124,AS124)))</f>
        <v>#VALUE!</v>
      </c>
      <c r="AU124" s="81"/>
    </row>
    <row r="125" spans="1:47" x14ac:dyDescent="0.25">
      <c r="A125" s="84">
        <f>A124+1</f>
        <v>20</v>
      </c>
      <c r="B125" s="84" t="str">
        <f t="shared" si="48"/>
        <v xml:space="preserve">  </v>
      </c>
      <c r="F125" s="82" t="e">
        <f>SUM(F122:F124)</f>
        <v>#VALUE!</v>
      </c>
      <c r="H125" s="82" t="e">
        <f>SUM(H122:H124)</f>
        <v>#VALUE!</v>
      </c>
      <c r="I125" s="84" t="str">
        <f>CONCATENATE("m'(",C124,")=")</f>
        <v>m'(  )=</v>
      </c>
      <c r="J125" s="84" t="e">
        <f>2*(J122*(WLS))/3*H125</f>
        <v>#VALUE!</v>
      </c>
      <c r="K125" s="84" t="e">
        <f>CONCATENATE("M(",C122,")=")</f>
        <v>#VALUE!</v>
      </c>
      <c r="L125" s="84" t="e">
        <f>VLOOKUP(C122,STN_TABLE,4,FALSE)</f>
        <v>#VALUE!</v>
      </c>
      <c r="M125" t="str">
        <f>CONCATENATE("M(",C124,")=")</f>
        <v>M(  )=</v>
      </c>
      <c r="N125" t="e">
        <f>J125+L125</f>
        <v>#VALUE!</v>
      </c>
      <c r="O125" s="99">
        <f>O124+1</f>
        <v>22</v>
      </c>
      <c r="P125" s="99" t="str">
        <f t="shared" si="44"/>
        <v xml:space="preserve">  </v>
      </c>
      <c r="T125" s="89" t="e">
        <f>SUM(T122:T124)</f>
        <v>#VALUE!</v>
      </c>
      <c r="V125" s="82" t="e">
        <f>SUM(V122:V124)</f>
        <v>#VALUE!</v>
      </c>
      <c r="W125" s="84" t="str">
        <f>CONCATENATE("m'(",Q123,")=")</f>
        <v>m'(  )=</v>
      </c>
      <c r="X125" s="84" t="e">
        <f>(2*(X122^2)/24*V125)+(X124*Q122*WLS)</f>
        <v>#VALUE!</v>
      </c>
      <c r="Y125" s="84" t="e">
        <f>CONCATENATE("M(",Q122,")=")</f>
        <v>#VALUE!</v>
      </c>
      <c r="Z125" s="84" t="e">
        <f>VLOOKUP(Q122,STN_TABLE,4,FALSE)</f>
        <v>#VALUE!</v>
      </c>
      <c r="AA125" t="str">
        <f>CONCATENATE("M(",Q123,")=")</f>
        <v>M(  )=</v>
      </c>
      <c r="AB125" t="e">
        <f>X125+Z125</f>
        <v>#VALUE!</v>
      </c>
      <c r="AE125" s="89">
        <f>SUM(AE123:AE124)</f>
        <v>0</v>
      </c>
      <c r="AG125" s="89" t="e">
        <f>SUM(AG123:AG124)</f>
        <v>#VALUE!</v>
      </c>
      <c r="AH125" s="84" t="str">
        <f>CONCATENATE("m'(",AD124,")=")</f>
        <v>m'(  )=</v>
      </c>
      <c r="AI125" s="84" t="e">
        <f>(2*(AI122^2)/6*AG125)+(AI124*AD123*WLS)</f>
        <v>#VALUE!</v>
      </c>
      <c r="AJ125" s="84" t="str">
        <f>CONCATENATE("M(",AD123,")=")</f>
        <v>M(  )=</v>
      </c>
      <c r="AK125" s="84" t="str">
        <f>VLOOKUP(AD123,STN_TABLE,4,FALSE)</f>
        <v xml:space="preserve"> </v>
      </c>
      <c r="AL125" t="str">
        <f>CONCATENATE("M(",AD124,")=")</f>
        <v>M(  )=</v>
      </c>
      <c r="AM125" t="e">
        <f>AI125+AK125</f>
        <v>#VALUE!</v>
      </c>
      <c r="AO125" s="82" t="str">
        <f>AA125</f>
        <v>M(  )=</v>
      </c>
      <c r="AP125" s="82" t="e">
        <f>VLOOKUP(AO125,Rise_Results,2,FALSE)</f>
        <v>#N/A</v>
      </c>
      <c r="AQ125" s="82" t="e">
        <f>N125</f>
        <v>#VALUE!</v>
      </c>
      <c r="AR125" s="82" t="e">
        <f>IF(OR(AB124&lt;=0,AB125&lt;=0),1/0,AB125)</f>
        <v>#VALUE!</v>
      </c>
      <c r="AS125" s="82" t="e">
        <f>AM125</f>
        <v>#VALUE!</v>
      </c>
      <c r="AT125" t="e">
        <f>IFERROR(AP125,IFERROR(AQ125,IFERROR(AR125,AS125)))</f>
        <v>#VALUE!</v>
      </c>
      <c r="AU125" s="81"/>
    </row>
    <row r="126" spans="1:47" x14ac:dyDescent="0.25">
      <c r="A126" s="101">
        <f>A121+1</f>
        <v>17</v>
      </c>
      <c r="B126" s="101" t="str">
        <f t="shared" si="48"/>
        <v xml:space="preserve">  </v>
      </c>
      <c r="O126" s="101">
        <f>O121+1</f>
        <v>19</v>
      </c>
      <c r="P126" s="101" t="str">
        <f t="shared" si="44"/>
        <v xml:space="preserve">  </v>
      </c>
      <c r="AU126" s="81"/>
    </row>
    <row r="127" spans="1:47" x14ac:dyDescent="0.25">
      <c r="A127" s="84">
        <f>A126+1</f>
        <v>18</v>
      </c>
      <c r="B127" s="84" t="str">
        <f t="shared" si="48"/>
        <v xml:space="preserve">  </v>
      </c>
      <c r="C127" s="79" t="e">
        <f t="shared" ref="C127" si="61">IF(C128=B129,IF(C129-C128=C128-B128,B128,IF(C129-C128=C128-B127,B127,"#NA")),IF(C128=B128,IF(C129-C128=C128-B127,B127,IF(C129-C128=C128-B126,B126,"#NA")),"#NA"))</f>
        <v>#VALUE!</v>
      </c>
      <c r="D127" s="68" t="e">
        <f>VLOOKUP(C127,STN_TABLE,2,FALSE)</f>
        <v>#VALUE!</v>
      </c>
      <c r="E127" s="102">
        <v>1</v>
      </c>
      <c r="F127" s="68" t="e">
        <f>D127*E127</f>
        <v>#VALUE!</v>
      </c>
      <c r="G127" s="69" t="e">
        <f>C127</f>
        <v>#VALUE!</v>
      </c>
      <c r="H127" s="69" t="e">
        <f>F127*G127</f>
        <v>#VALUE!</v>
      </c>
      <c r="I127" s="6" t="s">
        <v>93</v>
      </c>
      <c r="J127" s="70" t="e">
        <f>IF(OR(D127=0,D128=0,D129=0),"#NA",IF(AND(C129-C128=C128-C127,C128&lt;&gt;C129,C127&lt;&gt;C128,C127&lt;&gt;C129,D129&lt;&gt;0,OR(D127&lt;&gt;0,D128&lt;&gt;0)),WLS*(C129-C128),"#NA"))</f>
        <v>#VALUE!</v>
      </c>
      <c r="O127" s="99">
        <f>O126+1</f>
        <v>20</v>
      </c>
      <c r="P127" s="99" t="str">
        <f t="shared" si="44"/>
        <v xml:space="preserve">  </v>
      </c>
      <c r="Q127" s="68" t="e">
        <f>IF(OR(P129-P128=P128-P127,P130-P128=P128-P127),P127,IF(OR(P129-P128=P128-P126,P130-P128=P128-P126),P126,"-"))</f>
        <v>#VALUE!</v>
      </c>
      <c r="R127" s="69" t="e">
        <f>VLOOKUP(Q127,STN_TABLE,2,FALSE)</f>
        <v>#VALUE!</v>
      </c>
      <c r="S127" s="69">
        <v>5</v>
      </c>
      <c r="T127" s="68" t="e">
        <f>R127*S127</f>
        <v>#VALUE!</v>
      </c>
      <c r="U127" s="79">
        <v>3</v>
      </c>
      <c r="V127" s="68" t="e">
        <f>R127*U127</f>
        <v>#VALUE!</v>
      </c>
      <c r="W127" s="6" t="s">
        <v>93</v>
      </c>
      <c r="X127" s="70" t="e">
        <f>IF(AND(Q129-Q128=Q128-Q127,NOT(AND(Q127=0,Q128=0)),NOT(AND(Q128=0,Q129=0))),WLS*(Q129-Q128),"#NA")</f>
        <v>#VALUE!</v>
      </c>
      <c r="AD127" s="93"/>
      <c r="AH127" s="6" t="s">
        <v>93</v>
      </c>
      <c r="AI127" s="70" t="e">
        <f>WLS*(AD129-AD128)</f>
        <v>#VALUE!</v>
      </c>
      <c r="AU127" s="81"/>
    </row>
    <row r="128" spans="1:47" x14ac:dyDescent="0.25">
      <c r="A128" s="84">
        <f>A127+1</f>
        <v>19</v>
      </c>
      <c r="B128" s="84" t="str">
        <f t="shared" si="48"/>
        <v xml:space="preserve">  </v>
      </c>
      <c r="C128" s="80" t="e">
        <f t="shared" ref="C128" si="62">IF(OR(B130-B129=B129-B128,B130-B129=B129-B127,B130-B129=B129-B126),B129,IF(OR(B130-B128=B128-B127,B130-B128=B128-B126),B128,IF(B130-B127=B127-B126,B127,"#NA")))</f>
        <v>#VALUE!</v>
      </c>
      <c r="D128" s="76" t="e">
        <f>VLOOKUP(C128,STN_TABLE,2,FALSE)</f>
        <v>#VALUE!</v>
      </c>
      <c r="E128" s="81">
        <v>4</v>
      </c>
      <c r="F128" s="76" t="e">
        <f>D128*E128</f>
        <v>#VALUE!</v>
      </c>
      <c r="G128" s="77" t="e">
        <f>C128</f>
        <v>#VALUE!</v>
      </c>
      <c r="H128" s="77" t="e">
        <f>F128*G128</f>
        <v>#VALUE!</v>
      </c>
      <c r="I128" s="495" t="s">
        <v>97</v>
      </c>
      <c r="J128" s="496"/>
      <c r="K128" s="78" t="s">
        <v>98</v>
      </c>
      <c r="L128" s="78"/>
      <c r="M128" s="7" t="s">
        <v>99</v>
      </c>
      <c r="N128" s="7"/>
      <c r="O128" s="99">
        <f>O127+1</f>
        <v>21</v>
      </c>
      <c r="P128" s="99" t="str">
        <f t="shared" si="44"/>
        <v xml:space="preserve">  </v>
      </c>
      <c r="Q128" s="76" t="str">
        <f>P128</f>
        <v xml:space="preserve">  </v>
      </c>
      <c r="R128" s="77" t="str">
        <f>VLOOKUP(Q128,STN_TABLE,2,FALSE)</f>
        <v xml:space="preserve">  </v>
      </c>
      <c r="S128" s="77">
        <v>8</v>
      </c>
      <c r="T128" s="76" t="e">
        <f>R128*S128</f>
        <v>#VALUE!</v>
      </c>
      <c r="U128" s="80">
        <v>10</v>
      </c>
      <c r="V128" s="76" t="e">
        <f>R128*U128</f>
        <v>#VALUE!</v>
      </c>
      <c r="W128" s="496" t="s">
        <v>97</v>
      </c>
      <c r="X128" s="496"/>
      <c r="Y128" s="496" t="s">
        <v>98</v>
      </c>
      <c r="Z128" s="496"/>
      <c r="AA128" s="494" t="s">
        <v>99</v>
      </c>
      <c r="AB128" s="494"/>
      <c r="AC128" s="99">
        <f>AC123+1</f>
        <v>20</v>
      </c>
      <c r="AD128" s="95" t="str">
        <f>VLOOKUP(AC128,STN_TABLE_2,2,FALSE)</f>
        <v xml:space="preserve">  </v>
      </c>
      <c r="AE128" s="68" t="str">
        <f>VLOOKUP(AD128,STN_TABLE,2,FALSE)</f>
        <v xml:space="preserve">  </v>
      </c>
      <c r="AF128" s="68">
        <v>1</v>
      </c>
      <c r="AG128" s="69" t="e">
        <f>AE128*AF128</f>
        <v>#VALUE!</v>
      </c>
      <c r="AH128" s="496" t="s">
        <v>97</v>
      </c>
      <c r="AI128" s="496"/>
      <c r="AJ128" s="496" t="s">
        <v>98</v>
      </c>
      <c r="AK128" s="496"/>
      <c r="AL128" s="494" t="s">
        <v>99</v>
      </c>
      <c r="AM128" s="494"/>
      <c r="AP128" s="86" t="s">
        <v>112</v>
      </c>
      <c r="AQ128" s="89" t="s">
        <v>113</v>
      </c>
      <c r="AR128" s="89" t="s">
        <v>114</v>
      </c>
      <c r="AS128" s="89" t="s">
        <v>115</v>
      </c>
      <c r="AU128" s="81"/>
    </row>
    <row r="129" spans="1:47" x14ac:dyDescent="0.25">
      <c r="A129" s="84">
        <f>A128+1</f>
        <v>20</v>
      </c>
      <c r="B129" s="84" t="str">
        <f t="shared" si="48"/>
        <v xml:space="preserve">  </v>
      </c>
      <c r="C129" s="88" t="str">
        <f t="shared" ref="C129" si="63">B130</f>
        <v xml:space="preserve">  </v>
      </c>
      <c r="D129" s="82" t="str">
        <f>VLOOKUP(C129,STN_TABLE,2,FALSE)</f>
        <v xml:space="preserve">  </v>
      </c>
      <c r="E129" s="92">
        <v>1</v>
      </c>
      <c r="F129" s="82" t="e">
        <f>D129*E129</f>
        <v>#VALUE!</v>
      </c>
      <c r="G129" s="83" t="str">
        <f>C129</f>
        <v xml:space="preserve">  </v>
      </c>
      <c r="H129" s="83" t="e">
        <f>F129*G129</f>
        <v>#VALUE!</v>
      </c>
      <c r="I129" s="84" t="str">
        <f>CONCATENATE("a'(",C129,")=")</f>
        <v>a'(  )=</v>
      </c>
      <c r="J129" s="84" t="e">
        <f>2*J127/3*F130</f>
        <v>#VALUE!</v>
      </c>
      <c r="K129" s="84" t="e">
        <f>CONCATENATE("A(",C127,")=")</f>
        <v>#VALUE!</v>
      </c>
      <c r="L129" s="84" t="e">
        <f>VLOOKUP(C127,STN_TABLE,3,FALSE)</f>
        <v>#VALUE!</v>
      </c>
      <c r="M129" t="str">
        <f>CONCATENATE("A(",C129,")=")</f>
        <v>A(  )=</v>
      </c>
      <c r="N129" t="e">
        <f>J129+L129</f>
        <v>#VALUE!</v>
      </c>
      <c r="O129" s="99">
        <f>O128+1</f>
        <v>22</v>
      </c>
      <c r="P129" s="99" t="str">
        <f t="shared" si="44"/>
        <v xml:space="preserve">  </v>
      </c>
      <c r="Q129" s="82" t="e">
        <f>IF(P129-P128=P128-P127,P129,IF(P130-P128=P128-P127,P130,IF(P129-P128=P128-P126,P129,IF(P130-P128=P128-P126,P130,"-"))))</f>
        <v>#VALUE!</v>
      </c>
      <c r="R129" s="83" t="e">
        <f>VLOOKUP(Q129,STN_TABLE,2,FALSE)</f>
        <v>#VALUE!</v>
      </c>
      <c r="S129" s="83">
        <v>-1</v>
      </c>
      <c r="T129" s="82" t="e">
        <f>R129*S129</f>
        <v>#VALUE!</v>
      </c>
      <c r="U129" s="88">
        <v>-1</v>
      </c>
      <c r="V129" s="82" t="e">
        <f>R129*U129</f>
        <v>#VALUE!</v>
      </c>
      <c r="W129" s="84" t="str">
        <f>CONCATENATE("a'(",Q128,")=")</f>
        <v>a'(  )=</v>
      </c>
      <c r="X129" s="84" t="e">
        <f>2*X127/12*T130</f>
        <v>#VALUE!</v>
      </c>
      <c r="Y129" s="84" t="e">
        <f>CONCATENATE("A(",Q127,")=")</f>
        <v>#VALUE!</v>
      </c>
      <c r="Z129" s="84" t="e">
        <f>VLOOKUP(Q127,STN_TABLE,3,FALSE)</f>
        <v>#VALUE!</v>
      </c>
      <c r="AA129" t="str">
        <f>CONCATENATE("A(",Q128,")=")</f>
        <v>A(  )=</v>
      </c>
      <c r="AB129" t="e">
        <f>X129+Z129</f>
        <v>#VALUE!</v>
      </c>
      <c r="AC129" s="99">
        <f>AC128+1</f>
        <v>21</v>
      </c>
      <c r="AD129" s="100" t="str">
        <f>VLOOKUP(AC129,STN_TABLE_2,2,FALSE)</f>
        <v xml:space="preserve">  </v>
      </c>
      <c r="AE129" s="82" t="str">
        <f>VLOOKUP(AD129,STN_TABLE,2,FALSE)</f>
        <v xml:space="preserve">  </v>
      </c>
      <c r="AF129" s="82">
        <v>2</v>
      </c>
      <c r="AG129" s="83" t="e">
        <f>AE129*AF129</f>
        <v>#VALUE!</v>
      </c>
      <c r="AH129" s="84" t="str">
        <f>CONCATENATE("a'(",AD129,")=")</f>
        <v>a'(  )=</v>
      </c>
      <c r="AI129" s="84" t="e">
        <f>2*AI127/2*AE130</f>
        <v>#VALUE!</v>
      </c>
      <c r="AJ129" s="84" t="str">
        <f>CONCATENATE("A(",AD128,")=")</f>
        <v>A(  )=</v>
      </c>
      <c r="AK129" s="84" t="str">
        <f>VLOOKUP(AD128,STN_TABLE,3,FALSE)</f>
        <v xml:space="preserve"> </v>
      </c>
      <c r="AL129" t="str">
        <f>CONCATENATE("A(",AD129,")=")</f>
        <v>A(  )=</v>
      </c>
      <c r="AM129" t="e">
        <f>AI129+AK129</f>
        <v>#VALUE!</v>
      </c>
      <c r="AO129" s="68" t="str">
        <f>AA129</f>
        <v>A(  )=</v>
      </c>
      <c r="AP129" s="68" t="e">
        <f>VLOOKUP(AO129,Rise_Results,2,FALSE)</f>
        <v>#N/A</v>
      </c>
      <c r="AQ129" s="76" t="e">
        <f>N129</f>
        <v>#VALUE!</v>
      </c>
      <c r="AR129" s="76" t="e">
        <f>IF(OR(AB129&lt;=0,AB130&lt;=0),1/0,AB129)</f>
        <v>#VALUE!</v>
      </c>
      <c r="AS129" s="76" t="e">
        <f>AM129</f>
        <v>#VALUE!</v>
      </c>
      <c r="AT129" t="e">
        <f>IFERROR(AP129,IFERROR(AQ129,IFERROR(AR129,AS129)))</f>
        <v>#VALUE!</v>
      </c>
      <c r="AU129" s="81"/>
    </row>
    <row r="130" spans="1:47" x14ac:dyDescent="0.25">
      <c r="A130" s="84">
        <f>A129+1</f>
        <v>21</v>
      </c>
      <c r="B130" s="84" t="str">
        <f t="shared" si="48"/>
        <v xml:space="preserve">  </v>
      </c>
      <c r="F130" s="82" t="e">
        <f>SUM(F127:F129)</f>
        <v>#VALUE!</v>
      </c>
      <c r="H130" s="82" t="e">
        <f>SUM(H127:H129)</f>
        <v>#VALUE!</v>
      </c>
      <c r="I130" s="84" t="str">
        <f>CONCATENATE("m'(",C129,")=")</f>
        <v>m'(  )=</v>
      </c>
      <c r="J130" s="84" t="e">
        <f>2*(J127*(WLS))/3*H130</f>
        <v>#VALUE!</v>
      </c>
      <c r="K130" s="84" t="e">
        <f>CONCATENATE("M(",C127,")=")</f>
        <v>#VALUE!</v>
      </c>
      <c r="L130" s="84" t="e">
        <f>VLOOKUP(C127,STN_TABLE,4,FALSE)</f>
        <v>#VALUE!</v>
      </c>
      <c r="M130" t="str">
        <f>CONCATENATE("M(",C129,")=")</f>
        <v>M(  )=</v>
      </c>
      <c r="N130" t="e">
        <f>J130+L130</f>
        <v>#VALUE!</v>
      </c>
      <c r="O130" s="99">
        <f>O129+1</f>
        <v>23</v>
      </c>
      <c r="P130" s="99" t="str">
        <f t="shared" si="44"/>
        <v xml:space="preserve">  </v>
      </c>
      <c r="T130" s="89" t="e">
        <f>SUM(T127:T129)</f>
        <v>#VALUE!</v>
      </c>
      <c r="V130" s="82" t="e">
        <f>SUM(V127:V129)</f>
        <v>#VALUE!</v>
      </c>
      <c r="W130" s="84" t="str">
        <f>CONCATENATE("m'(",Q128,")=")</f>
        <v>m'(  )=</v>
      </c>
      <c r="X130" s="84" t="e">
        <f>(2*(X127^2)/24*V130)+(X129*Q127*WLS)</f>
        <v>#VALUE!</v>
      </c>
      <c r="Y130" s="84" t="e">
        <f>CONCATENATE("M(",Q127,")=")</f>
        <v>#VALUE!</v>
      </c>
      <c r="Z130" s="84" t="e">
        <f>VLOOKUP(Q127,STN_TABLE,4,FALSE)</f>
        <v>#VALUE!</v>
      </c>
      <c r="AA130" t="str">
        <f>CONCATENATE("M(",Q128,")=")</f>
        <v>M(  )=</v>
      </c>
      <c r="AB130" t="e">
        <f>X130+Z130</f>
        <v>#VALUE!</v>
      </c>
      <c r="AE130" s="89">
        <f>SUM(AE128:AE129)</f>
        <v>0</v>
      </c>
      <c r="AG130" s="89" t="e">
        <f>SUM(AG128:AG129)</f>
        <v>#VALUE!</v>
      </c>
      <c r="AH130" s="84" t="str">
        <f>CONCATENATE("m'(",AD129,")=")</f>
        <v>m'(  )=</v>
      </c>
      <c r="AI130" s="84" t="e">
        <f>(2*(AI127^2)/6*AG130)+(AI129*AD128*WLS)</f>
        <v>#VALUE!</v>
      </c>
      <c r="AJ130" s="84" t="str">
        <f>CONCATENATE("M(",AD128,")=")</f>
        <v>M(  )=</v>
      </c>
      <c r="AK130" s="84" t="str">
        <f>VLOOKUP(AD128,STN_TABLE,4,FALSE)</f>
        <v xml:space="preserve"> </v>
      </c>
      <c r="AL130" t="str">
        <f>CONCATENATE("M(",AD129,")=")</f>
        <v>M(  )=</v>
      </c>
      <c r="AM130" t="e">
        <f>AI130+AK130</f>
        <v>#VALUE!</v>
      </c>
      <c r="AO130" s="82" t="str">
        <f>AA130</f>
        <v>M(  )=</v>
      </c>
      <c r="AP130" s="82" t="e">
        <f>VLOOKUP(AO130,Rise_Results,2,FALSE)</f>
        <v>#N/A</v>
      </c>
      <c r="AQ130" s="82" t="e">
        <f>N130</f>
        <v>#VALUE!</v>
      </c>
      <c r="AR130" s="82" t="e">
        <f>IF(OR(AB129&lt;=0,AB130&lt;=0),1/0,AB130)</f>
        <v>#VALUE!</v>
      </c>
      <c r="AS130" s="82" t="e">
        <f>AM130</f>
        <v>#VALUE!</v>
      </c>
      <c r="AT130" t="e">
        <f>IFERROR(AP130,IFERROR(AQ130,IFERROR(AR130,AS130)))</f>
        <v>#VALUE!</v>
      </c>
      <c r="AU130" s="81"/>
    </row>
    <row r="131" spans="1:47" x14ac:dyDescent="0.25">
      <c r="A131" s="101">
        <f>A126+1</f>
        <v>18</v>
      </c>
      <c r="B131" s="101" t="str">
        <f t="shared" si="48"/>
        <v xml:space="preserve">  </v>
      </c>
      <c r="O131" s="101">
        <f>O126+1</f>
        <v>20</v>
      </c>
      <c r="P131" s="101" t="str">
        <f t="shared" si="44"/>
        <v xml:space="preserve">  </v>
      </c>
      <c r="AU131" s="81"/>
    </row>
    <row r="132" spans="1:47" x14ac:dyDescent="0.25">
      <c r="A132" s="84">
        <f>A131+1</f>
        <v>19</v>
      </c>
      <c r="B132" s="84" t="str">
        <f t="shared" si="48"/>
        <v xml:space="preserve">  </v>
      </c>
      <c r="C132" s="79" t="e">
        <f t="shared" ref="C132" si="64">IF(C133=B134,IF(C134-C133=C133-B133,B133,IF(C134-C133=C133-B132,B132,"#NA")),IF(C133=B133,IF(C134-C133=C133-B132,B132,IF(C134-C133=C133-B131,B131,"#NA")),"#NA"))</f>
        <v>#VALUE!</v>
      </c>
      <c r="D132" s="68" t="e">
        <f>VLOOKUP(C132,STN_TABLE,2,FALSE)</f>
        <v>#VALUE!</v>
      </c>
      <c r="E132" s="102">
        <v>1</v>
      </c>
      <c r="F132" s="68" t="e">
        <f>D132*E132</f>
        <v>#VALUE!</v>
      </c>
      <c r="G132" s="69" t="e">
        <f>C132</f>
        <v>#VALUE!</v>
      </c>
      <c r="H132" s="69" t="e">
        <f>F132*G132</f>
        <v>#VALUE!</v>
      </c>
      <c r="I132" s="6" t="s">
        <v>93</v>
      </c>
      <c r="J132" s="70" t="e">
        <f>IF(OR(D132=0,D133=0,D134=0),"#NA",IF(AND(C134-C133=C133-C132,C133&lt;&gt;C134,C132&lt;&gt;C133,C132&lt;&gt;C134,D134&lt;&gt;0,OR(D132&lt;&gt;0,D133&lt;&gt;0)),WLS*(C134-C133),"#NA"))</f>
        <v>#VALUE!</v>
      </c>
      <c r="O132" s="99">
        <f>O131+1</f>
        <v>21</v>
      </c>
      <c r="P132" s="99" t="str">
        <f t="shared" ref="P132:P150" si="65">VLOOKUP(O132,STN_TABLE_2,2,FALSE)</f>
        <v xml:space="preserve">  </v>
      </c>
      <c r="Q132" s="68" t="e">
        <f>IF(OR(P134-P133=P133-P132,P135-P133=P133-P132),P132,IF(OR(P134-P133=P133-P131,P135-P133=P133-P131),P131,"-"))</f>
        <v>#VALUE!</v>
      </c>
      <c r="R132" s="69" t="e">
        <f>VLOOKUP(Q132,STN_TABLE,2,FALSE)</f>
        <v>#VALUE!</v>
      </c>
      <c r="S132" s="69">
        <v>5</v>
      </c>
      <c r="T132" s="68" t="e">
        <f>R132*S132</f>
        <v>#VALUE!</v>
      </c>
      <c r="U132" s="79">
        <v>3</v>
      </c>
      <c r="V132" s="68" t="e">
        <f>R132*U132</f>
        <v>#VALUE!</v>
      </c>
      <c r="W132" s="6" t="s">
        <v>93</v>
      </c>
      <c r="X132" s="70" t="e">
        <f>IF(AND(Q134-Q133=Q133-Q132,NOT(AND(Q132=0,Q133=0)),NOT(AND(Q133=0,Q134=0))),WLS*(Q134-Q133),"#NA")</f>
        <v>#VALUE!</v>
      </c>
      <c r="AD132" s="93"/>
      <c r="AH132" s="6" t="s">
        <v>93</v>
      </c>
      <c r="AI132" s="70" t="e">
        <f>WLS*(AD134-AD133)</f>
        <v>#VALUE!</v>
      </c>
      <c r="AU132" s="81"/>
    </row>
    <row r="133" spans="1:47" x14ac:dyDescent="0.25">
      <c r="A133" s="84">
        <f>A132+1</f>
        <v>20</v>
      </c>
      <c r="B133" s="84" t="str">
        <f t="shared" si="48"/>
        <v xml:space="preserve">  </v>
      </c>
      <c r="C133" s="80" t="e">
        <f t="shared" ref="C133" si="66">IF(OR(B135-B134=B134-B133,B135-B134=B134-B132,B135-B134=B134-B131),B134,IF(OR(B135-B133=B133-B132,B135-B133=B133-B131),B133,IF(B135-B132=B132-B131,B132,"#NA")))</f>
        <v>#VALUE!</v>
      </c>
      <c r="D133" s="76" t="e">
        <f>VLOOKUP(C133,STN_TABLE,2,FALSE)</f>
        <v>#VALUE!</v>
      </c>
      <c r="E133" s="81">
        <v>4</v>
      </c>
      <c r="F133" s="76" t="e">
        <f>D133*E133</f>
        <v>#VALUE!</v>
      </c>
      <c r="G133" s="77" t="e">
        <f>C133</f>
        <v>#VALUE!</v>
      </c>
      <c r="H133" s="77" t="e">
        <f>F133*G133</f>
        <v>#VALUE!</v>
      </c>
      <c r="I133" s="495" t="s">
        <v>97</v>
      </c>
      <c r="J133" s="496"/>
      <c r="K133" s="78" t="s">
        <v>98</v>
      </c>
      <c r="L133" s="78"/>
      <c r="M133" s="7" t="s">
        <v>99</v>
      </c>
      <c r="N133" s="7"/>
      <c r="O133" s="99">
        <f>O132+1</f>
        <v>22</v>
      </c>
      <c r="P133" s="99" t="str">
        <f t="shared" si="65"/>
        <v xml:space="preserve">  </v>
      </c>
      <c r="Q133" s="76" t="str">
        <f>P133</f>
        <v xml:space="preserve">  </v>
      </c>
      <c r="R133" s="77" t="str">
        <f>VLOOKUP(Q133,STN_TABLE,2,FALSE)</f>
        <v xml:space="preserve">  </v>
      </c>
      <c r="S133" s="77">
        <v>8</v>
      </c>
      <c r="T133" s="76" t="e">
        <f>R133*S133</f>
        <v>#VALUE!</v>
      </c>
      <c r="U133" s="80">
        <v>10</v>
      </c>
      <c r="V133" s="76" t="e">
        <f>R133*U133</f>
        <v>#VALUE!</v>
      </c>
      <c r="W133" s="496" t="s">
        <v>97</v>
      </c>
      <c r="X133" s="496"/>
      <c r="Y133" s="496" t="s">
        <v>98</v>
      </c>
      <c r="Z133" s="496"/>
      <c r="AA133" s="494" t="s">
        <v>99</v>
      </c>
      <c r="AB133" s="494"/>
      <c r="AC133" s="99">
        <f>AC128+1</f>
        <v>21</v>
      </c>
      <c r="AD133" s="95" t="str">
        <f>VLOOKUP(AC133,STN_TABLE_2,2,FALSE)</f>
        <v xml:space="preserve">  </v>
      </c>
      <c r="AE133" s="68" t="str">
        <f>VLOOKUP(AD133,STN_TABLE,2,FALSE)</f>
        <v xml:space="preserve">  </v>
      </c>
      <c r="AF133" s="68">
        <v>1</v>
      </c>
      <c r="AG133" s="69" t="e">
        <f>AE133*AF133</f>
        <v>#VALUE!</v>
      </c>
      <c r="AH133" s="496" t="s">
        <v>97</v>
      </c>
      <c r="AI133" s="496"/>
      <c r="AJ133" s="496" t="s">
        <v>98</v>
      </c>
      <c r="AK133" s="496"/>
      <c r="AL133" s="494" t="s">
        <v>99</v>
      </c>
      <c r="AM133" s="494"/>
      <c r="AP133" s="86" t="s">
        <v>112</v>
      </c>
      <c r="AQ133" s="89" t="s">
        <v>113</v>
      </c>
      <c r="AR133" s="89" t="s">
        <v>114</v>
      </c>
      <c r="AS133" s="89" t="s">
        <v>115</v>
      </c>
      <c r="AU133" s="81"/>
    </row>
    <row r="134" spans="1:47" x14ac:dyDescent="0.25">
      <c r="A134" s="84">
        <f>A133+1</f>
        <v>21</v>
      </c>
      <c r="B134" s="84" t="str">
        <f t="shared" si="48"/>
        <v xml:space="preserve">  </v>
      </c>
      <c r="C134" s="88" t="str">
        <f t="shared" ref="C134" si="67">B135</f>
        <v xml:space="preserve">  </v>
      </c>
      <c r="D134" s="82" t="str">
        <f>VLOOKUP(C134,STN_TABLE,2,FALSE)</f>
        <v xml:space="preserve">  </v>
      </c>
      <c r="E134" s="92">
        <v>1</v>
      </c>
      <c r="F134" s="82" t="e">
        <f>D134*E134</f>
        <v>#VALUE!</v>
      </c>
      <c r="G134" s="83" t="str">
        <f>C134</f>
        <v xml:space="preserve">  </v>
      </c>
      <c r="H134" s="83" t="e">
        <f>F134*G134</f>
        <v>#VALUE!</v>
      </c>
      <c r="I134" s="84" t="str">
        <f>CONCATENATE("a'(",C134,")=")</f>
        <v>a'(  )=</v>
      </c>
      <c r="J134" s="84" t="e">
        <f>2*J132/3*F135</f>
        <v>#VALUE!</v>
      </c>
      <c r="K134" s="84" t="e">
        <f>CONCATENATE("A(",C132,")=")</f>
        <v>#VALUE!</v>
      </c>
      <c r="L134" s="84" t="e">
        <f>VLOOKUP(C132,STN_TABLE,3,FALSE)</f>
        <v>#VALUE!</v>
      </c>
      <c r="M134" t="str">
        <f>CONCATENATE("A(",C134,")=")</f>
        <v>A(  )=</v>
      </c>
      <c r="N134" t="e">
        <f>J134+L134</f>
        <v>#VALUE!</v>
      </c>
      <c r="O134" s="99">
        <f>O133+1</f>
        <v>23</v>
      </c>
      <c r="P134" s="99" t="str">
        <f t="shared" si="65"/>
        <v xml:space="preserve">  </v>
      </c>
      <c r="Q134" s="82" t="e">
        <f>IF(P134-P133=P133-P132,P134,IF(P135-P133=P133-P132,P135,IF(P134-P133=P133-P131,P134,IF(P135-P133=P133-P131,P135,"-"))))</f>
        <v>#VALUE!</v>
      </c>
      <c r="R134" s="83" t="e">
        <f>VLOOKUP(Q134,STN_TABLE,2,FALSE)</f>
        <v>#VALUE!</v>
      </c>
      <c r="S134" s="83">
        <v>-1</v>
      </c>
      <c r="T134" s="82" t="e">
        <f>R134*S134</f>
        <v>#VALUE!</v>
      </c>
      <c r="U134" s="88">
        <v>-1</v>
      </c>
      <c r="V134" s="82" t="e">
        <f>R134*U134</f>
        <v>#VALUE!</v>
      </c>
      <c r="W134" s="84" t="str">
        <f>CONCATENATE("a'(",Q133,")=")</f>
        <v>a'(  )=</v>
      </c>
      <c r="X134" s="84" t="e">
        <f>2*X132/12*T135</f>
        <v>#VALUE!</v>
      </c>
      <c r="Y134" s="84" t="e">
        <f>CONCATENATE("A(",Q132,")=")</f>
        <v>#VALUE!</v>
      </c>
      <c r="Z134" s="84" t="e">
        <f>VLOOKUP(Q132,STN_TABLE,3,FALSE)</f>
        <v>#VALUE!</v>
      </c>
      <c r="AA134" t="str">
        <f>CONCATENATE("A(",Q133,")=")</f>
        <v>A(  )=</v>
      </c>
      <c r="AB134" t="e">
        <f>X134+Z134</f>
        <v>#VALUE!</v>
      </c>
      <c r="AC134" s="99">
        <f>AC133+1</f>
        <v>22</v>
      </c>
      <c r="AD134" s="100" t="str">
        <f>VLOOKUP(AC134,STN_TABLE_2,2,FALSE)</f>
        <v xml:space="preserve">  </v>
      </c>
      <c r="AE134" s="82" t="str">
        <f>VLOOKUP(AD134,STN_TABLE,2,FALSE)</f>
        <v xml:space="preserve">  </v>
      </c>
      <c r="AF134" s="82">
        <v>2</v>
      </c>
      <c r="AG134" s="83" t="e">
        <f>AE134*AF134</f>
        <v>#VALUE!</v>
      </c>
      <c r="AH134" s="84" t="str">
        <f>CONCATENATE("a'(",AD134,")=")</f>
        <v>a'(  )=</v>
      </c>
      <c r="AI134" s="84" t="e">
        <f>2*AI132/2*AE135</f>
        <v>#VALUE!</v>
      </c>
      <c r="AJ134" s="84" t="str">
        <f>CONCATENATE("A(",AD133,")=")</f>
        <v>A(  )=</v>
      </c>
      <c r="AK134" s="84" t="str">
        <f>VLOOKUP(AD133,STN_TABLE,3,FALSE)</f>
        <v xml:space="preserve"> </v>
      </c>
      <c r="AL134" t="str">
        <f>CONCATENATE("A(",AD134,")=")</f>
        <v>A(  )=</v>
      </c>
      <c r="AM134" t="e">
        <f>AI134+AK134</f>
        <v>#VALUE!</v>
      </c>
      <c r="AO134" s="68" t="str">
        <f>AA134</f>
        <v>A(  )=</v>
      </c>
      <c r="AP134" s="68" t="e">
        <f>VLOOKUP(AO134,Rise_Results,2,FALSE)</f>
        <v>#N/A</v>
      </c>
      <c r="AQ134" s="76" t="e">
        <f>N134</f>
        <v>#VALUE!</v>
      </c>
      <c r="AR134" s="76" t="e">
        <f>IF(OR(AB134&lt;=0,AB135&lt;=0),1/0,AB134)</f>
        <v>#VALUE!</v>
      </c>
      <c r="AS134" s="76" t="e">
        <f>AM134</f>
        <v>#VALUE!</v>
      </c>
      <c r="AT134" t="e">
        <f>IFERROR(AP134,IFERROR(AQ134,IFERROR(AR134,AS134)))</f>
        <v>#VALUE!</v>
      </c>
      <c r="AU134" s="81"/>
    </row>
    <row r="135" spans="1:47" x14ac:dyDescent="0.25">
      <c r="A135" s="84">
        <f>A134+1</f>
        <v>22</v>
      </c>
      <c r="B135" s="84" t="str">
        <f t="shared" si="48"/>
        <v xml:space="preserve">  </v>
      </c>
      <c r="F135" s="82" t="e">
        <f>SUM(F132:F134)</f>
        <v>#VALUE!</v>
      </c>
      <c r="H135" s="82" t="e">
        <f>SUM(H132:H134)</f>
        <v>#VALUE!</v>
      </c>
      <c r="I135" s="84" t="str">
        <f>CONCATENATE("m'(",C134,")=")</f>
        <v>m'(  )=</v>
      </c>
      <c r="J135" s="84" t="e">
        <f>2*(J132*(WLS))/3*H135</f>
        <v>#VALUE!</v>
      </c>
      <c r="K135" s="84" t="e">
        <f>CONCATENATE("M(",C132,")=")</f>
        <v>#VALUE!</v>
      </c>
      <c r="L135" s="84" t="e">
        <f>VLOOKUP(C132,STN_TABLE,4,FALSE)</f>
        <v>#VALUE!</v>
      </c>
      <c r="M135" t="str">
        <f>CONCATENATE("M(",C134,")=")</f>
        <v>M(  )=</v>
      </c>
      <c r="N135" t="e">
        <f>J135+L135</f>
        <v>#VALUE!</v>
      </c>
      <c r="O135" s="99">
        <f>O134+1</f>
        <v>24</v>
      </c>
      <c r="P135" s="99" t="str">
        <f t="shared" si="65"/>
        <v xml:space="preserve">  </v>
      </c>
      <c r="T135" s="89" t="e">
        <f>SUM(T132:T134)</f>
        <v>#VALUE!</v>
      </c>
      <c r="V135" s="82" t="e">
        <f>SUM(V132:V134)</f>
        <v>#VALUE!</v>
      </c>
      <c r="W135" s="84" t="str">
        <f>CONCATENATE("m'(",Q133,")=")</f>
        <v>m'(  )=</v>
      </c>
      <c r="X135" s="84" t="e">
        <f>(2*(X132^2)/24*V135)+(X134*Q132*WLS)</f>
        <v>#VALUE!</v>
      </c>
      <c r="Y135" s="84" t="e">
        <f>CONCATENATE("M(",Q132,")=")</f>
        <v>#VALUE!</v>
      </c>
      <c r="Z135" s="84" t="e">
        <f>VLOOKUP(Q132,STN_TABLE,4,FALSE)</f>
        <v>#VALUE!</v>
      </c>
      <c r="AA135" t="str">
        <f>CONCATENATE("M(",Q133,")=")</f>
        <v>M(  )=</v>
      </c>
      <c r="AB135" t="e">
        <f>X135+Z135</f>
        <v>#VALUE!</v>
      </c>
      <c r="AE135" s="89">
        <f>SUM(AE133:AE134)</f>
        <v>0</v>
      </c>
      <c r="AG135" s="89" t="e">
        <f>SUM(AG133:AG134)</f>
        <v>#VALUE!</v>
      </c>
      <c r="AH135" s="84" t="str">
        <f>CONCATENATE("m'(",AD134,")=")</f>
        <v>m'(  )=</v>
      </c>
      <c r="AI135" s="84" t="e">
        <f>(2*(AI132^2)/6*AG135)+(AI134*AD133*WLS)</f>
        <v>#VALUE!</v>
      </c>
      <c r="AJ135" s="84" t="str">
        <f>CONCATENATE("M(",AD133,")=")</f>
        <v>M(  )=</v>
      </c>
      <c r="AK135" s="84" t="str">
        <f>VLOOKUP(AD133,STN_TABLE,4,FALSE)</f>
        <v xml:space="preserve"> </v>
      </c>
      <c r="AL135" t="str">
        <f>CONCATENATE("M(",AD134,")=")</f>
        <v>M(  )=</v>
      </c>
      <c r="AM135" t="e">
        <f>AI135+AK135</f>
        <v>#VALUE!</v>
      </c>
      <c r="AO135" s="82" t="str">
        <f>AA135</f>
        <v>M(  )=</v>
      </c>
      <c r="AP135" s="82" t="e">
        <f>VLOOKUP(AO135,Rise_Results,2,FALSE)</f>
        <v>#N/A</v>
      </c>
      <c r="AQ135" s="82" t="e">
        <f>N135</f>
        <v>#VALUE!</v>
      </c>
      <c r="AR135" s="82" t="e">
        <f>IF(OR(AB134&lt;=0,AB135&lt;=0),1/0,AB135)</f>
        <v>#VALUE!</v>
      </c>
      <c r="AS135" s="82" t="e">
        <f>AM135</f>
        <v>#VALUE!</v>
      </c>
      <c r="AT135" t="e">
        <f>IFERROR(AP135,IFERROR(AQ135,IFERROR(AR135,AS135)))</f>
        <v>#VALUE!</v>
      </c>
      <c r="AU135" s="81"/>
    </row>
    <row r="136" spans="1:47" x14ac:dyDescent="0.25">
      <c r="A136" s="101">
        <f>A131+1</f>
        <v>19</v>
      </c>
      <c r="B136" s="101" t="str">
        <f t="shared" si="48"/>
        <v xml:space="preserve">  </v>
      </c>
      <c r="O136" s="101">
        <f>O131+1</f>
        <v>21</v>
      </c>
      <c r="P136" s="101" t="str">
        <f t="shared" si="65"/>
        <v xml:space="preserve">  </v>
      </c>
      <c r="AU136" s="81"/>
    </row>
    <row r="137" spans="1:47" x14ac:dyDescent="0.25">
      <c r="A137" s="84">
        <f>A136+1</f>
        <v>20</v>
      </c>
      <c r="B137" s="84" t="str">
        <f t="shared" si="48"/>
        <v xml:space="preserve">  </v>
      </c>
      <c r="C137" s="79" t="e">
        <f t="shared" ref="C137" si="68">IF(C138=B139,IF(C139-C138=C138-B138,B138,IF(C139-C138=C138-B137,B137,"#NA")),IF(C138=B138,IF(C139-C138=C138-B137,B137,IF(C139-C138=C138-B136,B136,"#NA")),"#NA"))</f>
        <v>#VALUE!</v>
      </c>
      <c r="D137" s="68" t="e">
        <f>VLOOKUP(C137,STN_TABLE,2,FALSE)</f>
        <v>#VALUE!</v>
      </c>
      <c r="E137" s="102">
        <v>1</v>
      </c>
      <c r="F137" s="68" t="e">
        <f>D137*E137</f>
        <v>#VALUE!</v>
      </c>
      <c r="G137" s="69" t="e">
        <f>C137</f>
        <v>#VALUE!</v>
      </c>
      <c r="H137" s="69" t="e">
        <f>F137*G137</f>
        <v>#VALUE!</v>
      </c>
      <c r="I137" s="6" t="s">
        <v>93</v>
      </c>
      <c r="J137" s="70" t="e">
        <f>IF(OR(D137=0,D138=0,D139=0),"#NA",IF(AND(C139-C138=C138-C137,C138&lt;&gt;C139,C137&lt;&gt;C138,C137&lt;&gt;C139,D139&lt;&gt;0,OR(D137&lt;&gt;0,D138&lt;&gt;0)),WLS*(C139-C138),"#NA"))</f>
        <v>#VALUE!</v>
      </c>
      <c r="O137" s="99">
        <f>O136+1</f>
        <v>22</v>
      </c>
      <c r="P137" s="99" t="str">
        <f t="shared" si="65"/>
        <v xml:space="preserve">  </v>
      </c>
      <c r="Q137" s="68" t="e">
        <f>IF(OR(P139-P138=P138-P137,P140-P138=P138-P137),P137,IF(OR(P139-P138=P138-P136,P140-P138=P138-P136),P136,"-"))</f>
        <v>#VALUE!</v>
      </c>
      <c r="R137" s="69" t="e">
        <f>VLOOKUP(Q137,STN_TABLE,2,FALSE)</f>
        <v>#VALUE!</v>
      </c>
      <c r="S137" s="69">
        <v>5</v>
      </c>
      <c r="T137" s="68" t="e">
        <f>R137*S137</f>
        <v>#VALUE!</v>
      </c>
      <c r="U137" s="79">
        <v>3</v>
      </c>
      <c r="V137" s="68" t="e">
        <f>R137*U137</f>
        <v>#VALUE!</v>
      </c>
      <c r="W137" s="6" t="s">
        <v>93</v>
      </c>
      <c r="X137" s="70" t="e">
        <f>IF(AND(Q139-Q138=Q138-Q137,NOT(AND(Q137=0,Q138=0)),NOT(AND(Q138=0,Q139=0))),WLS*(Q139-Q138),"#NA")</f>
        <v>#VALUE!</v>
      </c>
      <c r="AD137" s="93"/>
      <c r="AH137" s="6" t="s">
        <v>93</v>
      </c>
      <c r="AI137" s="70" t="e">
        <f>WLS*(AD139-AD138)</f>
        <v>#VALUE!</v>
      </c>
      <c r="AU137" s="81"/>
    </row>
    <row r="138" spans="1:47" x14ac:dyDescent="0.25">
      <c r="A138" s="84">
        <f>A137+1</f>
        <v>21</v>
      </c>
      <c r="B138" s="84" t="str">
        <f t="shared" ref="B138:B150" si="69">VLOOKUP(A138,STN_TABLE_2,2,FALSE)</f>
        <v xml:space="preserve">  </v>
      </c>
      <c r="C138" s="80" t="e">
        <f t="shared" ref="C138" si="70">IF(OR(B140-B139=B139-B138,B140-B139=B139-B137,B140-B139=B139-B136),B139,IF(OR(B140-B138=B138-B137,B140-B138=B138-B136),B138,IF(B140-B137=B137-B136,B137,"#NA")))</f>
        <v>#VALUE!</v>
      </c>
      <c r="D138" s="76" t="e">
        <f>VLOOKUP(C138,STN_TABLE,2,FALSE)</f>
        <v>#VALUE!</v>
      </c>
      <c r="E138" s="81">
        <v>4</v>
      </c>
      <c r="F138" s="76" t="e">
        <f>D138*E138</f>
        <v>#VALUE!</v>
      </c>
      <c r="G138" s="77" t="e">
        <f>C138</f>
        <v>#VALUE!</v>
      </c>
      <c r="H138" s="77" t="e">
        <f>F138*G138</f>
        <v>#VALUE!</v>
      </c>
      <c r="I138" s="495" t="s">
        <v>97</v>
      </c>
      <c r="J138" s="496"/>
      <c r="K138" s="78" t="s">
        <v>98</v>
      </c>
      <c r="L138" s="78"/>
      <c r="M138" s="7" t="s">
        <v>99</v>
      </c>
      <c r="N138" s="7"/>
      <c r="O138" s="99">
        <f>O137+1</f>
        <v>23</v>
      </c>
      <c r="P138" s="99" t="str">
        <f t="shared" si="65"/>
        <v xml:space="preserve">  </v>
      </c>
      <c r="Q138" s="76" t="str">
        <f>P138</f>
        <v xml:space="preserve">  </v>
      </c>
      <c r="R138" s="77" t="str">
        <f>VLOOKUP(Q138,STN_TABLE,2,FALSE)</f>
        <v xml:space="preserve">  </v>
      </c>
      <c r="S138" s="77">
        <v>8</v>
      </c>
      <c r="T138" s="76" t="e">
        <f>R138*S138</f>
        <v>#VALUE!</v>
      </c>
      <c r="U138" s="80">
        <v>10</v>
      </c>
      <c r="V138" s="76" t="e">
        <f>R138*U138</f>
        <v>#VALUE!</v>
      </c>
      <c r="W138" s="496" t="s">
        <v>97</v>
      </c>
      <c r="X138" s="496"/>
      <c r="Y138" s="496" t="s">
        <v>98</v>
      </c>
      <c r="Z138" s="496"/>
      <c r="AA138" s="494" t="s">
        <v>99</v>
      </c>
      <c r="AB138" s="494"/>
      <c r="AC138" s="99">
        <f>AC133+1</f>
        <v>22</v>
      </c>
      <c r="AD138" s="95" t="str">
        <f>VLOOKUP(AC138,STN_TABLE_2,2,FALSE)</f>
        <v xml:space="preserve">  </v>
      </c>
      <c r="AE138" s="68" t="str">
        <f>VLOOKUP(AD138,STN_TABLE,2,FALSE)</f>
        <v xml:space="preserve">  </v>
      </c>
      <c r="AF138" s="68">
        <v>1</v>
      </c>
      <c r="AG138" s="69" t="e">
        <f>AE138*AF138</f>
        <v>#VALUE!</v>
      </c>
      <c r="AH138" s="496" t="s">
        <v>97</v>
      </c>
      <c r="AI138" s="496"/>
      <c r="AJ138" s="496" t="s">
        <v>98</v>
      </c>
      <c r="AK138" s="496"/>
      <c r="AL138" s="494" t="s">
        <v>99</v>
      </c>
      <c r="AM138" s="494"/>
      <c r="AP138" s="86" t="s">
        <v>112</v>
      </c>
      <c r="AQ138" s="89" t="s">
        <v>113</v>
      </c>
      <c r="AR138" s="89" t="s">
        <v>114</v>
      </c>
      <c r="AS138" s="89" t="s">
        <v>115</v>
      </c>
      <c r="AU138" s="81"/>
    </row>
    <row r="139" spans="1:47" x14ac:dyDescent="0.25">
      <c r="A139" s="84">
        <f>A138+1</f>
        <v>22</v>
      </c>
      <c r="B139" s="84" t="str">
        <f t="shared" si="69"/>
        <v xml:space="preserve">  </v>
      </c>
      <c r="C139" s="88" t="str">
        <f t="shared" ref="C139" si="71">B140</f>
        <v xml:space="preserve">  </v>
      </c>
      <c r="D139" s="82" t="str">
        <f>VLOOKUP(C139,STN_TABLE,2,FALSE)</f>
        <v xml:space="preserve">  </v>
      </c>
      <c r="E139" s="92">
        <v>1</v>
      </c>
      <c r="F139" s="82" t="e">
        <f>D139*E139</f>
        <v>#VALUE!</v>
      </c>
      <c r="G139" s="83" t="str">
        <f>C139</f>
        <v xml:space="preserve">  </v>
      </c>
      <c r="H139" s="83" t="e">
        <f>F139*G139</f>
        <v>#VALUE!</v>
      </c>
      <c r="I139" s="84" t="str">
        <f>CONCATENATE("a'(",C139,")=")</f>
        <v>a'(  )=</v>
      </c>
      <c r="J139" s="84" t="e">
        <f>2*J137/3*F140</f>
        <v>#VALUE!</v>
      </c>
      <c r="K139" s="84" t="e">
        <f>CONCATENATE("A(",C137,")=")</f>
        <v>#VALUE!</v>
      </c>
      <c r="L139" s="84" t="e">
        <f>VLOOKUP(C137,STN_TABLE,3,FALSE)</f>
        <v>#VALUE!</v>
      </c>
      <c r="M139" t="str">
        <f>CONCATENATE("A(",C139,")=")</f>
        <v>A(  )=</v>
      </c>
      <c r="N139" t="e">
        <f>J139+L139</f>
        <v>#VALUE!</v>
      </c>
      <c r="O139" s="99">
        <f>O138+1</f>
        <v>24</v>
      </c>
      <c r="P139" s="99" t="str">
        <f t="shared" si="65"/>
        <v xml:space="preserve">  </v>
      </c>
      <c r="Q139" s="82" t="e">
        <f>IF(P139-P138=P138-P137,P139,IF(P140-P138=P138-P137,P140,IF(P139-P138=P138-P136,P139,IF(P140-P138=P138-P136,P140,"-"))))</f>
        <v>#VALUE!</v>
      </c>
      <c r="R139" s="83" t="e">
        <f>VLOOKUP(Q139,STN_TABLE,2,FALSE)</f>
        <v>#VALUE!</v>
      </c>
      <c r="S139" s="83">
        <v>-1</v>
      </c>
      <c r="T139" s="82" t="e">
        <f>R139*S139</f>
        <v>#VALUE!</v>
      </c>
      <c r="U139" s="88">
        <v>-1</v>
      </c>
      <c r="V139" s="82" t="e">
        <f>R139*U139</f>
        <v>#VALUE!</v>
      </c>
      <c r="W139" s="84" t="str">
        <f>CONCATENATE("a'(",Q138,")=")</f>
        <v>a'(  )=</v>
      </c>
      <c r="X139" s="84" t="e">
        <f>2*X137/12*T140</f>
        <v>#VALUE!</v>
      </c>
      <c r="Y139" s="84" t="e">
        <f>CONCATENATE("A(",Q137,")=")</f>
        <v>#VALUE!</v>
      </c>
      <c r="Z139" s="84" t="e">
        <f>VLOOKUP(Q137,STN_TABLE,3,FALSE)</f>
        <v>#VALUE!</v>
      </c>
      <c r="AA139" t="str">
        <f>CONCATENATE("A(",Q138,")=")</f>
        <v>A(  )=</v>
      </c>
      <c r="AB139" t="e">
        <f>X139+Z139</f>
        <v>#VALUE!</v>
      </c>
      <c r="AC139" s="99">
        <f>AC138+1</f>
        <v>23</v>
      </c>
      <c r="AD139" s="100" t="str">
        <f>VLOOKUP(AC139,STN_TABLE_2,2,FALSE)</f>
        <v xml:space="preserve">  </v>
      </c>
      <c r="AE139" s="82" t="str">
        <f>VLOOKUP(AD139,STN_TABLE,2,FALSE)</f>
        <v xml:space="preserve">  </v>
      </c>
      <c r="AF139" s="82">
        <v>2</v>
      </c>
      <c r="AG139" s="83" t="e">
        <f>AE139*AF139</f>
        <v>#VALUE!</v>
      </c>
      <c r="AH139" s="84" t="str">
        <f>CONCATENATE("a'(",AD139,")=")</f>
        <v>a'(  )=</v>
      </c>
      <c r="AI139" s="84" t="e">
        <f>2*AI137/2*AE140</f>
        <v>#VALUE!</v>
      </c>
      <c r="AJ139" s="84" t="str">
        <f>CONCATENATE("A(",AD138,")=")</f>
        <v>A(  )=</v>
      </c>
      <c r="AK139" s="84" t="str">
        <f>VLOOKUP(AD138,STN_TABLE,3,FALSE)</f>
        <v xml:space="preserve"> </v>
      </c>
      <c r="AL139" t="str">
        <f>CONCATENATE("A(",AD139,")=")</f>
        <v>A(  )=</v>
      </c>
      <c r="AM139" t="e">
        <f>AI139+AK139</f>
        <v>#VALUE!</v>
      </c>
      <c r="AO139" s="68" t="str">
        <f>AA139</f>
        <v>A(  )=</v>
      </c>
      <c r="AP139" s="68" t="e">
        <f>VLOOKUP(AO139,Rise_Results,2,FALSE)</f>
        <v>#N/A</v>
      </c>
      <c r="AQ139" s="76" t="e">
        <f>N139</f>
        <v>#VALUE!</v>
      </c>
      <c r="AR139" s="76" t="e">
        <f>IF(OR(AB139&lt;=0,AB140&lt;=0),1/0,AB139)</f>
        <v>#VALUE!</v>
      </c>
      <c r="AS139" s="76" t="e">
        <f>AM139</f>
        <v>#VALUE!</v>
      </c>
      <c r="AT139" t="e">
        <f>IFERROR(AP139,IFERROR(AQ139,IFERROR(AR139,AS139)))</f>
        <v>#VALUE!</v>
      </c>
      <c r="AU139" s="81"/>
    </row>
    <row r="140" spans="1:47" x14ac:dyDescent="0.25">
      <c r="A140" s="84">
        <f>A139+1</f>
        <v>23</v>
      </c>
      <c r="B140" s="84" t="str">
        <f t="shared" si="69"/>
        <v xml:space="preserve">  </v>
      </c>
      <c r="F140" s="82" t="e">
        <f>SUM(F137:F139)</f>
        <v>#VALUE!</v>
      </c>
      <c r="H140" s="82" t="e">
        <f>SUM(H137:H139)</f>
        <v>#VALUE!</v>
      </c>
      <c r="I140" s="84" t="str">
        <f>CONCATENATE("m'(",C139,")=")</f>
        <v>m'(  )=</v>
      </c>
      <c r="J140" s="84" t="e">
        <f>2*(J137*(WLS))/3*H140</f>
        <v>#VALUE!</v>
      </c>
      <c r="K140" s="84" t="e">
        <f>CONCATENATE("M(",C137,")=")</f>
        <v>#VALUE!</v>
      </c>
      <c r="L140" s="84" t="e">
        <f>VLOOKUP(C137,STN_TABLE,4,FALSE)</f>
        <v>#VALUE!</v>
      </c>
      <c r="M140" t="str">
        <f>CONCATENATE("M(",C139,")=")</f>
        <v>M(  )=</v>
      </c>
      <c r="N140" t="e">
        <f>J140+L140</f>
        <v>#VALUE!</v>
      </c>
      <c r="O140" s="99">
        <f>O139+1</f>
        <v>25</v>
      </c>
      <c r="P140" s="99" t="str">
        <f t="shared" si="65"/>
        <v xml:space="preserve">  </v>
      </c>
      <c r="T140" s="89" t="e">
        <f>SUM(T137:T139)</f>
        <v>#VALUE!</v>
      </c>
      <c r="V140" s="82" t="e">
        <f>SUM(V137:V139)</f>
        <v>#VALUE!</v>
      </c>
      <c r="W140" s="84" t="str">
        <f>CONCATENATE("m'(",Q138,")=")</f>
        <v>m'(  )=</v>
      </c>
      <c r="X140" s="84" t="e">
        <f>(2*(X137^2)/24*V140)+(X139*Q137*WLS)</f>
        <v>#VALUE!</v>
      </c>
      <c r="Y140" s="84" t="e">
        <f>CONCATENATE("M(",Q137,")=")</f>
        <v>#VALUE!</v>
      </c>
      <c r="Z140" s="84" t="e">
        <f>VLOOKUP(Q137,STN_TABLE,4,FALSE)</f>
        <v>#VALUE!</v>
      </c>
      <c r="AA140" t="str">
        <f>CONCATENATE("M(",Q138,")=")</f>
        <v>M(  )=</v>
      </c>
      <c r="AB140" t="e">
        <f>X140+Z140</f>
        <v>#VALUE!</v>
      </c>
      <c r="AE140" s="89">
        <f>SUM(AE138:AE139)</f>
        <v>0</v>
      </c>
      <c r="AG140" s="89" t="e">
        <f>SUM(AG138:AG139)</f>
        <v>#VALUE!</v>
      </c>
      <c r="AH140" s="84" t="str">
        <f>CONCATENATE("m'(",AD139,")=")</f>
        <v>m'(  )=</v>
      </c>
      <c r="AI140" s="84" t="e">
        <f>(2*(AI137^2)/6*AG140)+(AI139*AD138*WLS)</f>
        <v>#VALUE!</v>
      </c>
      <c r="AJ140" s="84" t="str">
        <f>CONCATENATE("M(",AD138,")=")</f>
        <v>M(  )=</v>
      </c>
      <c r="AK140" s="84" t="str">
        <f>VLOOKUP(AD138,STN_TABLE,4,FALSE)</f>
        <v xml:space="preserve"> </v>
      </c>
      <c r="AL140" t="str">
        <f>CONCATENATE("M(",AD139,")=")</f>
        <v>M(  )=</v>
      </c>
      <c r="AM140" t="e">
        <f>AI140+AK140</f>
        <v>#VALUE!</v>
      </c>
      <c r="AO140" s="82" t="str">
        <f>AA140</f>
        <v>M(  )=</v>
      </c>
      <c r="AP140" s="82" t="e">
        <f>VLOOKUP(AO140,Rise_Results,2,FALSE)</f>
        <v>#N/A</v>
      </c>
      <c r="AQ140" s="82" t="e">
        <f>N140</f>
        <v>#VALUE!</v>
      </c>
      <c r="AR140" s="82" t="e">
        <f>IF(OR(AB139&lt;=0,AB140&lt;=0),1/0,AB140)</f>
        <v>#VALUE!</v>
      </c>
      <c r="AS140" s="82" t="e">
        <f>AM140</f>
        <v>#VALUE!</v>
      </c>
      <c r="AT140" t="e">
        <f>IFERROR(AP140,IFERROR(AQ140,IFERROR(AR140,AS140)))</f>
        <v>#VALUE!</v>
      </c>
      <c r="AU140" s="81"/>
    </row>
    <row r="141" spans="1:47" x14ac:dyDescent="0.25">
      <c r="A141" s="101">
        <f>A136+1</f>
        <v>20</v>
      </c>
      <c r="B141" s="101" t="str">
        <f t="shared" si="69"/>
        <v xml:space="preserve">  </v>
      </c>
      <c r="O141" s="101">
        <f>O136+1</f>
        <v>22</v>
      </c>
      <c r="P141" s="101" t="str">
        <f t="shared" si="65"/>
        <v xml:space="preserve">  </v>
      </c>
      <c r="AU141" s="81"/>
    </row>
    <row r="142" spans="1:47" x14ac:dyDescent="0.25">
      <c r="A142" s="84">
        <f>A141+1</f>
        <v>21</v>
      </c>
      <c r="B142" s="84" t="str">
        <f t="shared" si="69"/>
        <v xml:space="preserve">  </v>
      </c>
      <c r="C142" s="79" t="e">
        <f t="shared" ref="C142" si="72">IF(C143=B144,IF(C144-C143=C143-B143,B143,IF(C144-C143=C143-B142,B142,"#NA")),IF(C143=B143,IF(C144-C143=C143-B142,B142,IF(C144-C143=C143-B141,B141,"#NA")),"#NA"))</f>
        <v>#VALUE!</v>
      </c>
      <c r="D142" s="68" t="e">
        <f>VLOOKUP(C142,STN_TABLE,2,FALSE)</f>
        <v>#VALUE!</v>
      </c>
      <c r="E142" s="102">
        <v>1</v>
      </c>
      <c r="F142" s="68" t="e">
        <f>D142*E142</f>
        <v>#VALUE!</v>
      </c>
      <c r="G142" s="69" t="e">
        <f>C142</f>
        <v>#VALUE!</v>
      </c>
      <c r="H142" s="69" t="e">
        <f>F142*G142</f>
        <v>#VALUE!</v>
      </c>
      <c r="I142" s="6" t="s">
        <v>93</v>
      </c>
      <c r="J142" s="70" t="e">
        <f>IF(OR(D142=0,D143=0,D144=0),"#NA",IF(AND(C144-C143=C143-C142,C143&lt;&gt;C144,C142&lt;&gt;C143,C142&lt;&gt;C144,D144&lt;&gt;0,OR(D142&lt;&gt;0,D143&lt;&gt;0)),WLS*(C144-C143),"#NA"))</f>
        <v>#VALUE!</v>
      </c>
      <c r="O142" s="99">
        <f>O141+1</f>
        <v>23</v>
      </c>
      <c r="P142" s="99" t="str">
        <f t="shared" si="65"/>
        <v xml:space="preserve">  </v>
      </c>
      <c r="Q142" s="68" t="e">
        <f>IF(OR(P144-P143=P143-P142,P145-P143=P143-P142),P142,IF(OR(P144-P143=P143-P141,P145-P143=P143-P141),P141,"-"))</f>
        <v>#VALUE!</v>
      </c>
      <c r="R142" s="69" t="e">
        <f>VLOOKUP(Q142,STN_TABLE,2,FALSE)</f>
        <v>#VALUE!</v>
      </c>
      <c r="S142" s="69">
        <v>5</v>
      </c>
      <c r="T142" s="68" t="e">
        <f>R142*S142</f>
        <v>#VALUE!</v>
      </c>
      <c r="U142" s="79">
        <v>3</v>
      </c>
      <c r="V142" s="68" t="e">
        <f>R142*U142</f>
        <v>#VALUE!</v>
      </c>
      <c r="W142" s="6" t="s">
        <v>93</v>
      </c>
      <c r="X142" s="70" t="e">
        <f>IF(AND(Q144-Q143=Q143-Q142,NOT(AND(Q142=0,Q143=0)),NOT(AND(Q143=0,Q144=0))),WLS*(Q144-Q143),"#NA")</f>
        <v>#VALUE!</v>
      </c>
      <c r="AD142" s="93"/>
      <c r="AH142" s="6" t="s">
        <v>93</v>
      </c>
      <c r="AI142" s="70" t="e">
        <f>WLS*(AD144-AD143)</f>
        <v>#VALUE!</v>
      </c>
      <c r="AU142" s="81"/>
    </row>
    <row r="143" spans="1:47" x14ac:dyDescent="0.25">
      <c r="A143" s="84">
        <f>A142+1</f>
        <v>22</v>
      </c>
      <c r="B143" s="84" t="str">
        <f t="shared" si="69"/>
        <v xml:space="preserve">  </v>
      </c>
      <c r="C143" s="80" t="e">
        <f t="shared" ref="C143" si="73">IF(OR(B145-B144=B144-B143,B145-B144=B144-B142,B145-B144=B144-B141),B144,IF(OR(B145-B143=B143-B142,B145-B143=B143-B141),B143,IF(B145-B142=B142-B141,B142,"#NA")))</f>
        <v>#VALUE!</v>
      </c>
      <c r="D143" s="76" t="e">
        <f>VLOOKUP(C143,STN_TABLE,2,FALSE)</f>
        <v>#VALUE!</v>
      </c>
      <c r="E143" s="81">
        <v>4</v>
      </c>
      <c r="F143" s="76" t="e">
        <f>D143*E143</f>
        <v>#VALUE!</v>
      </c>
      <c r="G143" s="77" t="e">
        <f>C143</f>
        <v>#VALUE!</v>
      </c>
      <c r="H143" s="77" t="e">
        <f>F143*G143</f>
        <v>#VALUE!</v>
      </c>
      <c r="I143" s="495" t="s">
        <v>97</v>
      </c>
      <c r="J143" s="496"/>
      <c r="K143" s="78" t="s">
        <v>98</v>
      </c>
      <c r="L143" s="78"/>
      <c r="M143" s="7" t="s">
        <v>99</v>
      </c>
      <c r="N143" s="7"/>
      <c r="O143" s="99">
        <f>O142+1</f>
        <v>24</v>
      </c>
      <c r="P143" s="99" t="str">
        <f t="shared" si="65"/>
        <v xml:space="preserve">  </v>
      </c>
      <c r="Q143" s="76" t="str">
        <f>P143</f>
        <v xml:space="preserve">  </v>
      </c>
      <c r="R143" s="77" t="str">
        <f>VLOOKUP(Q143,STN_TABLE,2,FALSE)</f>
        <v xml:space="preserve">  </v>
      </c>
      <c r="S143" s="77">
        <v>8</v>
      </c>
      <c r="T143" s="76" t="e">
        <f>R143*S143</f>
        <v>#VALUE!</v>
      </c>
      <c r="U143" s="80">
        <v>10</v>
      </c>
      <c r="V143" s="76" t="e">
        <f>R143*U143</f>
        <v>#VALUE!</v>
      </c>
      <c r="W143" s="496" t="s">
        <v>97</v>
      </c>
      <c r="X143" s="496"/>
      <c r="Y143" s="496" t="s">
        <v>98</v>
      </c>
      <c r="Z143" s="496"/>
      <c r="AA143" s="494" t="s">
        <v>99</v>
      </c>
      <c r="AB143" s="494"/>
      <c r="AC143" s="99">
        <f>AC138+1</f>
        <v>23</v>
      </c>
      <c r="AD143" s="95" t="str">
        <f>VLOOKUP(AC143,STN_TABLE_2,2,FALSE)</f>
        <v xml:space="preserve">  </v>
      </c>
      <c r="AE143" s="68" t="str">
        <f>VLOOKUP(AD143,STN_TABLE,2,FALSE)</f>
        <v xml:space="preserve">  </v>
      </c>
      <c r="AF143" s="68">
        <v>1</v>
      </c>
      <c r="AG143" s="69" t="e">
        <f>AE143*AF143</f>
        <v>#VALUE!</v>
      </c>
      <c r="AH143" s="496" t="s">
        <v>97</v>
      </c>
      <c r="AI143" s="496"/>
      <c r="AJ143" s="496" t="s">
        <v>98</v>
      </c>
      <c r="AK143" s="496"/>
      <c r="AL143" s="494" t="s">
        <v>99</v>
      </c>
      <c r="AM143" s="494"/>
      <c r="AP143" s="86" t="s">
        <v>112</v>
      </c>
      <c r="AQ143" s="89" t="s">
        <v>113</v>
      </c>
      <c r="AR143" s="89" t="s">
        <v>114</v>
      </c>
      <c r="AS143" s="89" t="s">
        <v>115</v>
      </c>
      <c r="AU143" s="81"/>
    </row>
    <row r="144" spans="1:47" x14ac:dyDescent="0.25">
      <c r="A144" s="84">
        <f>A143+1</f>
        <v>23</v>
      </c>
      <c r="B144" s="84" t="str">
        <f t="shared" si="69"/>
        <v xml:space="preserve">  </v>
      </c>
      <c r="C144" s="88" t="str">
        <f t="shared" ref="C144" si="74">B145</f>
        <v xml:space="preserve">  </v>
      </c>
      <c r="D144" s="82" t="str">
        <f>VLOOKUP(C144,STN_TABLE,2,FALSE)</f>
        <v xml:space="preserve">  </v>
      </c>
      <c r="E144" s="92">
        <v>1</v>
      </c>
      <c r="F144" s="82" t="e">
        <f>D144*E144</f>
        <v>#VALUE!</v>
      </c>
      <c r="G144" s="83" t="str">
        <f>C144</f>
        <v xml:space="preserve">  </v>
      </c>
      <c r="H144" s="83" t="e">
        <f>F144*G144</f>
        <v>#VALUE!</v>
      </c>
      <c r="I144" s="84" t="str">
        <f>CONCATENATE("a'(",C144,")=")</f>
        <v>a'(  )=</v>
      </c>
      <c r="J144" s="84" t="e">
        <f>2*J142/3*F145</f>
        <v>#VALUE!</v>
      </c>
      <c r="K144" s="84" t="e">
        <f>CONCATENATE("A(",C142,")=")</f>
        <v>#VALUE!</v>
      </c>
      <c r="L144" s="84" t="e">
        <f>VLOOKUP(C142,STN_TABLE,3,FALSE)</f>
        <v>#VALUE!</v>
      </c>
      <c r="M144" t="str">
        <f>CONCATENATE("A(",C144,")=")</f>
        <v>A(  )=</v>
      </c>
      <c r="N144" t="e">
        <f>J144+L144</f>
        <v>#VALUE!</v>
      </c>
      <c r="O144" s="99">
        <f>O143+1</f>
        <v>25</v>
      </c>
      <c r="P144" s="99" t="str">
        <f t="shared" si="65"/>
        <v xml:space="preserve">  </v>
      </c>
      <c r="Q144" s="82" t="e">
        <f>IF(P144-P143=P143-P142,P144,IF(P145-P143=P143-P142,P145,IF(P144-P143=P143-P141,P144,IF(P145-P143=P143-P141,P145,"-"))))</f>
        <v>#VALUE!</v>
      </c>
      <c r="R144" s="83" t="e">
        <f>VLOOKUP(Q144,STN_TABLE,2,FALSE)</f>
        <v>#VALUE!</v>
      </c>
      <c r="S144" s="83">
        <v>-1</v>
      </c>
      <c r="T144" s="82" t="e">
        <f>R144*S144</f>
        <v>#VALUE!</v>
      </c>
      <c r="U144" s="88">
        <v>-1</v>
      </c>
      <c r="V144" s="82" t="e">
        <f>R144*U144</f>
        <v>#VALUE!</v>
      </c>
      <c r="W144" s="84" t="str">
        <f>CONCATENATE("a'(",Q143,")=")</f>
        <v>a'(  )=</v>
      </c>
      <c r="X144" s="84" t="e">
        <f>2*X142/12*T145</f>
        <v>#VALUE!</v>
      </c>
      <c r="Y144" s="84" t="e">
        <f>CONCATENATE("A(",Q142,")=")</f>
        <v>#VALUE!</v>
      </c>
      <c r="Z144" s="84" t="e">
        <f>VLOOKUP(Q142,STN_TABLE,3,FALSE)</f>
        <v>#VALUE!</v>
      </c>
      <c r="AA144" t="str">
        <f>CONCATENATE("A(",Q143,")=")</f>
        <v>A(  )=</v>
      </c>
      <c r="AB144" t="e">
        <f>X144+Z144</f>
        <v>#VALUE!</v>
      </c>
      <c r="AC144" s="99">
        <f>AC143+1</f>
        <v>24</v>
      </c>
      <c r="AD144" s="100" t="str">
        <f>VLOOKUP(AC144,STN_TABLE_2,2,FALSE)</f>
        <v xml:space="preserve">  </v>
      </c>
      <c r="AE144" s="82" t="str">
        <f>VLOOKUP(AD144,STN_TABLE,2,FALSE)</f>
        <v xml:space="preserve">  </v>
      </c>
      <c r="AF144" s="82">
        <v>2</v>
      </c>
      <c r="AG144" s="83" t="e">
        <f>AE144*AF144</f>
        <v>#VALUE!</v>
      </c>
      <c r="AH144" s="84" t="str">
        <f>CONCATENATE("a'(",AD144,")=")</f>
        <v>a'(  )=</v>
      </c>
      <c r="AI144" s="84" t="e">
        <f>2*AI142/2*AE145</f>
        <v>#VALUE!</v>
      </c>
      <c r="AJ144" s="84" t="str">
        <f>CONCATENATE("A(",AD143,")=")</f>
        <v>A(  )=</v>
      </c>
      <c r="AK144" s="84" t="str">
        <f>VLOOKUP(AD143,STN_TABLE,3,FALSE)</f>
        <v xml:space="preserve"> </v>
      </c>
      <c r="AL144" t="str">
        <f>CONCATENATE("A(",AD144,")=")</f>
        <v>A(  )=</v>
      </c>
      <c r="AM144" t="e">
        <f>AI144+AK144</f>
        <v>#VALUE!</v>
      </c>
      <c r="AO144" s="68" t="str">
        <f>AA144</f>
        <v>A(  )=</v>
      </c>
      <c r="AP144" s="68" t="e">
        <f>VLOOKUP(AO144,Rise_Results,2,FALSE)</f>
        <v>#N/A</v>
      </c>
      <c r="AQ144" s="76" t="e">
        <f>N144</f>
        <v>#VALUE!</v>
      </c>
      <c r="AR144" s="76" t="e">
        <f>IF(OR(AB144&lt;=0,AB145&lt;=0),1/0,AB144)</f>
        <v>#VALUE!</v>
      </c>
      <c r="AS144" s="76" t="e">
        <f>AM144</f>
        <v>#VALUE!</v>
      </c>
      <c r="AT144" t="e">
        <f>IFERROR(AP144,IFERROR(AQ144,IFERROR(AR144,AS144)))</f>
        <v>#VALUE!</v>
      </c>
      <c r="AU144" s="81"/>
    </row>
    <row r="145" spans="1:47" x14ac:dyDescent="0.25">
      <c r="A145" s="84">
        <f>A144+1</f>
        <v>24</v>
      </c>
      <c r="B145" s="84" t="str">
        <f t="shared" si="69"/>
        <v xml:space="preserve">  </v>
      </c>
      <c r="F145" s="82" t="e">
        <f>SUM(F142:F144)</f>
        <v>#VALUE!</v>
      </c>
      <c r="H145" s="82" t="e">
        <f>SUM(H142:H144)</f>
        <v>#VALUE!</v>
      </c>
      <c r="I145" s="84" t="str">
        <f>CONCATENATE("m'(",C144,")=")</f>
        <v>m'(  )=</v>
      </c>
      <c r="J145" s="84" t="e">
        <f>2*(J142*(WLS))/3*H145</f>
        <v>#VALUE!</v>
      </c>
      <c r="K145" s="84" t="e">
        <f>CONCATENATE("M(",C142,")=")</f>
        <v>#VALUE!</v>
      </c>
      <c r="L145" s="84" t="e">
        <f>VLOOKUP(C142,STN_TABLE,4,FALSE)</f>
        <v>#VALUE!</v>
      </c>
      <c r="M145" t="str">
        <f>CONCATENATE("M(",C144,")=")</f>
        <v>M(  )=</v>
      </c>
      <c r="N145" t="e">
        <f>J145+L145</f>
        <v>#VALUE!</v>
      </c>
      <c r="O145" s="99">
        <f>O144+1</f>
        <v>26</v>
      </c>
      <c r="P145" s="99" t="e">
        <f t="shared" si="65"/>
        <v>#N/A</v>
      </c>
      <c r="T145" s="89" t="e">
        <f>SUM(T142:T144)</f>
        <v>#VALUE!</v>
      </c>
      <c r="V145" s="82" t="e">
        <f>SUM(V142:V144)</f>
        <v>#VALUE!</v>
      </c>
      <c r="W145" s="84" t="str">
        <f>CONCATENATE("m'(",Q143,")=")</f>
        <v>m'(  )=</v>
      </c>
      <c r="X145" s="84" t="e">
        <f>(2*(X142^2)/24*V145)+(X144*Q142*WLS)</f>
        <v>#VALUE!</v>
      </c>
      <c r="Y145" s="84" t="e">
        <f>CONCATENATE("M(",Q142,")=")</f>
        <v>#VALUE!</v>
      </c>
      <c r="Z145" s="84" t="e">
        <f>VLOOKUP(Q142,STN_TABLE,4,FALSE)</f>
        <v>#VALUE!</v>
      </c>
      <c r="AA145" t="str">
        <f>CONCATENATE("M(",Q143,")=")</f>
        <v>M(  )=</v>
      </c>
      <c r="AB145" t="e">
        <f>X145+Z145</f>
        <v>#VALUE!</v>
      </c>
      <c r="AE145" s="89">
        <f>SUM(AE143:AE144)</f>
        <v>0</v>
      </c>
      <c r="AG145" s="89" t="e">
        <f>SUM(AG143:AG144)</f>
        <v>#VALUE!</v>
      </c>
      <c r="AH145" s="84" t="str">
        <f>CONCATENATE("m'(",AD144,")=")</f>
        <v>m'(  )=</v>
      </c>
      <c r="AI145" s="84" t="e">
        <f>(2*(AI142^2)/6*AG145)+(AI144*AD143*WLS)</f>
        <v>#VALUE!</v>
      </c>
      <c r="AJ145" s="84" t="str">
        <f>CONCATENATE("M(",AD143,")=")</f>
        <v>M(  )=</v>
      </c>
      <c r="AK145" s="84" t="str">
        <f>VLOOKUP(AD143,STN_TABLE,4,FALSE)</f>
        <v xml:space="preserve"> </v>
      </c>
      <c r="AL145" t="str">
        <f>CONCATENATE("M(",AD144,")=")</f>
        <v>M(  )=</v>
      </c>
      <c r="AM145" t="e">
        <f>AI145+AK145</f>
        <v>#VALUE!</v>
      </c>
      <c r="AO145" s="82" t="str">
        <f>AA145</f>
        <v>M(  )=</v>
      </c>
      <c r="AP145" s="82" t="e">
        <f>VLOOKUP(AO145,Rise_Results,2,FALSE)</f>
        <v>#N/A</v>
      </c>
      <c r="AQ145" s="82" t="e">
        <f>N145</f>
        <v>#VALUE!</v>
      </c>
      <c r="AR145" s="82" t="e">
        <f>IF(OR(AB144&lt;=0,AB145&lt;=0),1/0,AB145)</f>
        <v>#VALUE!</v>
      </c>
      <c r="AS145" s="82" t="e">
        <f>AM145</f>
        <v>#VALUE!</v>
      </c>
      <c r="AT145" t="e">
        <f>IFERROR(AP145,IFERROR(AQ145,IFERROR(AR145,AS145)))</f>
        <v>#VALUE!</v>
      </c>
      <c r="AU145" s="81"/>
    </row>
    <row r="146" spans="1:47" x14ac:dyDescent="0.25">
      <c r="A146" s="101">
        <f>A141+1</f>
        <v>21</v>
      </c>
      <c r="B146" s="101" t="str">
        <f t="shared" si="69"/>
        <v xml:space="preserve">  </v>
      </c>
      <c r="O146" s="101">
        <f>O141+1</f>
        <v>23</v>
      </c>
      <c r="P146" s="101" t="str">
        <f t="shared" si="65"/>
        <v xml:space="preserve">  </v>
      </c>
      <c r="AU146" s="81"/>
    </row>
    <row r="147" spans="1:47" x14ac:dyDescent="0.25">
      <c r="A147" s="84">
        <f>A146+1</f>
        <v>22</v>
      </c>
      <c r="B147" s="84" t="str">
        <f t="shared" si="69"/>
        <v xml:space="preserve">  </v>
      </c>
      <c r="C147" s="79" t="e">
        <f t="shared" ref="C147" si="75">IF(C148=B149,IF(C149-C148=C148-B148,B148,IF(C149-C148=C148-B147,B147,"#NA")),IF(C148=B148,IF(C149-C148=C148-B147,B147,IF(C149-C148=C148-B146,B146,"#NA")),"#NA"))</f>
        <v>#VALUE!</v>
      </c>
      <c r="D147" s="68" t="e">
        <f>VLOOKUP(C147,STN_TABLE,2,FALSE)</f>
        <v>#VALUE!</v>
      </c>
      <c r="E147" s="102">
        <v>1</v>
      </c>
      <c r="F147" s="68" t="e">
        <f>D147*E147</f>
        <v>#VALUE!</v>
      </c>
      <c r="G147" s="69" t="e">
        <f>C147</f>
        <v>#VALUE!</v>
      </c>
      <c r="H147" s="69" t="e">
        <f>F147*G147</f>
        <v>#VALUE!</v>
      </c>
      <c r="I147" s="6" t="s">
        <v>93</v>
      </c>
      <c r="J147" s="70" t="e">
        <f>IF(OR(D147=0,D148=0,D149=0),"#NA",IF(AND(C149-C148=C148-C147,C148&lt;&gt;C149,C147&lt;&gt;C148,C147&lt;&gt;C149,D149&lt;&gt;0,OR(D147&lt;&gt;0,D148&lt;&gt;0)),WLS*(C149-C148),"#NA"))</f>
        <v>#VALUE!</v>
      </c>
      <c r="O147" s="99">
        <f>O146+1</f>
        <v>24</v>
      </c>
      <c r="P147" s="99" t="str">
        <f t="shared" si="65"/>
        <v xml:space="preserve">  </v>
      </c>
      <c r="Q147" s="68" t="e">
        <f>IF(OR(P149-P148=P148-P147,P150-P148=P148-P147),P147,IF(OR(P149-P148=P148-P146,P150-P148=P148-P146),P146,"-"))</f>
        <v>#N/A</v>
      </c>
      <c r="R147" s="69" t="e">
        <f>VLOOKUP(Q147,STN_TABLE,2,FALSE)</f>
        <v>#N/A</v>
      </c>
      <c r="S147" s="69">
        <v>5</v>
      </c>
      <c r="T147" s="68" t="e">
        <f>R147*S147</f>
        <v>#N/A</v>
      </c>
      <c r="U147" s="79">
        <v>3</v>
      </c>
      <c r="V147" s="68" t="e">
        <f>R147*U147</f>
        <v>#N/A</v>
      </c>
      <c r="W147" s="6" t="s">
        <v>93</v>
      </c>
      <c r="X147" s="70" t="e">
        <f>IF(AND(Q149-Q148=Q148-Q147,NOT(AND(Q147=0,Q148=0)),NOT(AND(Q148=0,Q149=0))),WLS*(Q149-Q148),"#NA")</f>
        <v>#N/A</v>
      </c>
      <c r="AD147" s="93"/>
      <c r="AH147" s="6" t="s">
        <v>93</v>
      </c>
      <c r="AI147" s="70" t="e">
        <f>WLS*(AD149-AD148)</f>
        <v>#VALUE!</v>
      </c>
      <c r="AU147" s="81"/>
    </row>
    <row r="148" spans="1:47" x14ac:dyDescent="0.25">
      <c r="A148" s="84">
        <f>A147+1</f>
        <v>23</v>
      </c>
      <c r="B148" s="84" t="str">
        <f t="shared" si="69"/>
        <v xml:space="preserve">  </v>
      </c>
      <c r="C148" s="80" t="e">
        <f t="shared" ref="C148" si="76">IF(OR(B150-B149=B149-B148,B150-B149=B149-B147,B150-B149=B149-B146),B149,IF(OR(B150-B148=B148-B147,B150-B148=B148-B146),B148,IF(B150-B147=B147-B146,B147,"#NA")))</f>
        <v>#VALUE!</v>
      </c>
      <c r="D148" s="76" t="e">
        <f>VLOOKUP(C148,STN_TABLE,2,FALSE)</f>
        <v>#VALUE!</v>
      </c>
      <c r="E148" s="81">
        <v>4</v>
      </c>
      <c r="F148" s="76" t="e">
        <f>D148*E148</f>
        <v>#VALUE!</v>
      </c>
      <c r="G148" s="77" t="e">
        <f>C148</f>
        <v>#VALUE!</v>
      </c>
      <c r="H148" s="77" t="e">
        <f>F148*G148</f>
        <v>#VALUE!</v>
      </c>
      <c r="I148" s="495" t="s">
        <v>97</v>
      </c>
      <c r="J148" s="496"/>
      <c r="K148" s="78" t="s">
        <v>98</v>
      </c>
      <c r="L148" s="78"/>
      <c r="M148" s="7" t="s">
        <v>99</v>
      </c>
      <c r="N148" s="7"/>
      <c r="O148" s="99">
        <f>O147+1</f>
        <v>25</v>
      </c>
      <c r="P148" s="99" t="str">
        <f t="shared" si="65"/>
        <v xml:space="preserve">  </v>
      </c>
      <c r="Q148" s="76" t="str">
        <f>P148</f>
        <v xml:space="preserve">  </v>
      </c>
      <c r="R148" s="77" t="str">
        <f>VLOOKUP(Q148,STN_TABLE,2,FALSE)</f>
        <v xml:space="preserve">  </v>
      </c>
      <c r="S148" s="77">
        <v>8</v>
      </c>
      <c r="T148" s="76" t="e">
        <f>R148*S148</f>
        <v>#VALUE!</v>
      </c>
      <c r="U148" s="80">
        <v>10</v>
      </c>
      <c r="V148" s="76" t="e">
        <f>R148*U148</f>
        <v>#VALUE!</v>
      </c>
      <c r="W148" s="496" t="s">
        <v>97</v>
      </c>
      <c r="X148" s="496"/>
      <c r="Y148" s="496" t="s">
        <v>98</v>
      </c>
      <c r="Z148" s="496"/>
      <c r="AA148" s="494" t="s">
        <v>99</v>
      </c>
      <c r="AB148" s="494"/>
      <c r="AC148" s="99">
        <f>AC143+1</f>
        <v>24</v>
      </c>
      <c r="AD148" s="95" t="str">
        <f>VLOOKUP(AC148,STN_TABLE_2,2,FALSE)</f>
        <v xml:space="preserve">  </v>
      </c>
      <c r="AE148" s="68" t="str">
        <f>VLOOKUP(AD148,STN_TABLE,2,FALSE)</f>
        <v xml:space="preserve">  </v>
      </c>
      <c r="AF148" s="68">
        <v>1</v>
      </c>
      <c r="AG148" s="69" t="e">
        <f>AE148*AF148</f>
        <v>#VALUE!</v>
      </c>
      <c r="AH148" s="496" t="s">
        <v>97</v>
      </c>
      <c r="AI148" s="496"/>
      <c r="AJ148" s="496" t="s">
        <v>98</v>
      </c>
      <c r="AK148" s="496"/>
      <c r="AL148" s="494" t="s">
        <v>99</v>
      </c>
      <c r="AM148" s="494"/>
      <c r="AP148" s="86" t="s">
        <v>112</v>
      </c>
      <c r="AQ148" s="89" t="s">
        <v>113</v>
      </c>
      <c r="AR148" s="89" t="s">
        <v>114</v>
      </c>
      <c r="AS148" s="89" t="s">
        <v>115</v>
      </c>
      <c r="AU148" s="81"/>
    </row>
    <row r="149" spans="1:47" x14ac:dyDescent="0.25">
      <c r="A149" s="84">
        <f>A148+1</f>
        <v>24</v>
      </c>
      <c r="B149" s="84" t="str">
        <f t="shared" si="69"/>
        <v xml:space="preserve">  </v>
      </c>
      <c r="C149" s="88" t="str">
        <f t="shared" ref="C149" si="77">B150</f>
        <v xml:space="preserve">  </v>
      </c>
      <c r="D149" s="82" t="str">
        <f>VLOOKUP(C149,STN_TABLE,2,FALSE)</f>
        <v xml:space="preserve">  </v>
      </c>
      <c r="E149" s="92">
        <v>1</v>
      </c>
      <c r="F149" s="82" t="e">
        <f>D149*E149</f>
        <v>#VALUE!</v>
      </c>
      <c r="G149" s="83" t="str">
        <f>C149</f>
        <v xml:space="preserve">  </v>
      </c>
      <c r="H149" s="83" t="e">
        <f>F149*G149</f>
        <v>#VALUE!</v>
      </c>
      <c r="I149" s="84" t="str">
        <f>CONCATENATE("a'(",C149,")=")</f>
        <v>a'(  )=</v>
      </c>
      <c r="J149" s="84" t="e">
        <f>2*J147/3*F150</f>
        <v>#VALUE!</v>
      </c>
      <c r="K149" s="84" t="e">
        <f>CONCATENATE("A(",C147,")=")</f>
        <v>#VALUE!</v>
      </c>
      <c r="L149" s="84" t="e">
        <f>VLOOKUP(C147,STN_TABLE,3,FALSE)</f>
        <v>#VALUE!</v>
      </c>
      <c r="M149" t="str">
        <f>CONCATENATE("A(",C149,")=")</f>
        <v>A(  )=</v>
      </c>
      <c r="N149" t="e">
        <f>J149+L149</f>
        <v>#VALUE!</v>
      </c>
      <c r="O149" s="99">
        <f>O148+1</f>
        <v>26</v>
      </c>
      <c r="P149" s="99" t="e">
        <f t="shared" si="65"/>
        <v>#N/A</v>
      </c>
      <c r="Q149" s="82" t="e">
        <f>IF(P149-P148=P148-P147,P149,IF(P150-P148=P148-P147,P150,IF(P149-P148=P148-P146,P149,IF(P150-P148=P148-P146,P150,"-"))))</f>
        <v>#N/A</v>
      </c>
      <c r="R149" s="83" t="e">
        <f>VLOOKUP(Q149,STN_TABLE,2,FALSE)</f>
        <v>#N/A</v>
      </c>
      <c r="S149" s="83">
        <v>-1</v>
      </c>
      <c r="T149" s="82" t="e">
        <f>R149*S149</f>
        <v>#N/A</v>
      </c>
      <c r="U149" s="88">
        <v>-1</v>
      </c>
      <c r="V149" s="82" t="e">
        <f>R149*U149</f>
        <v>#N/A</v>
      </c>
      <c r="W149" s="84" t="str">
        <f>CONCATENATE("a'(",Q148,")=")</f>
        <v>a'(  )=</v>
      </c>
      <c r="X149" s="84" t="e">
        <f>2*X147/12*T150</f>
        <v>#N/A</v>
      </c>
      <c r="Y149" s="84" t="e">
        <f>CONCATENATE("A(",Q147,")=")</f>
        <v>#N/A</v>
      </c>
      <c r="Z149" s="84" t="e">
        <f>VLOOKUP(Q147,STN_TABLE,3,FALSE)</f>
        <v>#N/A</v>
      </c>
      <c r="AA149" t="str">
        <f>CONCATENATE("A(",Q148,")=")</f>
        <v>A(  )=</v>
      </c>
      <c r="AB149" t="e">
        <f>X149+Z149</f>
        <v>#N/A</v>
      </c>
      <c r="AC149" s="99">
        <f>AC148+1</f>
        <v>25</v>
      </c>
      <c r="AD149" s="100" t="str">
        <f>VLOOKUP(AC149,STN_TABLE_2,2,FALSE)</f>
        <v xml:space="preserve">  </v>
      </c>
      <c r="AE149" s="82" t="str">
        <f>VLOOKUP(AD149,STN_TABLE,2,FALSE)</f>
        <v xml:space="preserve">  </v>
      </c>
      <c r="AF149" s="82">
        <v>2</v>
      </c>
      <c r="AG149" s="83" t="e">
        <f>AE149*AF149</f>
        <v>#VALUE!</v>
      </c>
      <c r="AH149" s="84" t="str">
        <f>CONCATENATE("a'(",AD149,")=")</f>
        <v>a'(  )=</v>
      </c>
      <c r="AI149" s="84" t="e">
        <f>2*AI147/2*AE150</f>
        <v>#VALUE!</v>
      </c>
      <c r="AJ149" s="84" t="str">
        <f>CONCATENATE("A(",AD148,")=")</f>
        <v>A(  )=</v>
      </c>
      <c r="AK149" s="84" t="str">
        <f>VLOOKUP(AD148,STN_TABLE,3,FALSE)</f>
        <v xml:space="preserve"> </v>
      </c>
      <c r="AL149" t="str">
        <f>CONCATENATE("A(",AD149,")=")</f>
        <v>A(  )=</v>
      </c>
      <c r="AM149" t="e">
        <f>AI149+AK149</f>
        <v>#VALUE!</v>
      </c>
      <c r="AO149" s="68" t="str">
        <f>AA149</f>
        <v>A(  )=</v>
      </c>
      <c r="AP149" s="68" t="e">
        <f>VLOOKUP(AO149,Rise_Results,2,FALSE)</f>
        <v>#N/A</v>
      </c>
      <c r="AQ149" s="76" t="e">
        <f>N149</f>
        <v>#VALUE!</v>
      </c>
      <c r="AR149" s="76" t="e">
        <f>IF(OR(AB149&lt;=0,AB150&lt;=0),1/0,AB149)</f>
        <v>#N/A</v>
      </c>
      <c r="AS149" s="76" t="e">
        <f>AM149</f>
        <v>#VALUE!</v>
      </c>
      <c r="AT149" t="e">
        <f>IFERROR(AP149,IFERROR(AQ149,IFERROR(AR149,AS149)))</f>
        <v>#VALUE!</v>
      </c>
      <c r="AU149" s="81"/>
    </row>
    <row r="150" spans="1:47" x14ac:dyDescent="0.25">
      <c r="A150" s="84">
        <f>A149+1</f>
        <v>25</v>
      </c>
      <c r="B150" s="84" t="str">
        <f t="shared" si="69"/>
        <v xml:space="preserve">  </v>
      </c>
      <c r="F150" s="82" t="e">
        <f>SUM(F147:F149)</f>
        <v>#VALUE!</v>
      </c>
      <c r="H150" s="82" t="e">
        <f>SUM(H147:H149)</f>
        <v>#VALUE!</v>
      </c>
      <c r="I150" s="84" t="str">
        <f>CONCATENATE("m'(",C149,")=")</f>
        <v>m'(  )=</v>
      </c>
      <c r="J150" s="84" t="e">
        <f>2*(J147*(WLS))/3*H150</f>
        <v>#VALUE!</v>
      </c>
      <c r="K150" s="84" t="e">
        <f>CONCATENATE("M(",C147,")=")</f>
        <v>#VALUE!</v>
      </c>
      <c r="L150" s="84" t="e">
        <f>VLOOKUP(C147,STN_TABLE,4,FALSE)</f>
        <v>#VALUE!</v>
      </c>
      <c r="M150" t="str">
        <f>CONCATENATE("M(",C149,")=")</f>
        <v>M(  )=</v>
      </c>
      <c r="N150" t="e">
        <f>J150+L150</f>
        <v>#VALUE!</v>
      </c>
      <c r="O150" s="99">
        <f>O149+1</f>
        <v>27</v>
      </c>
      <c r="P150" s="99" t="e">
        <f t="shared" si="65"/>
        <v>#N/A</v>
      </c>
      <c r="T150" s="89" t="e">
        <f>SUM(T147:T149)</f>
        <v>#N/A</v>
      </c>
      <c r="V150" s="82" t="e">
        <f>SUM(V147:V149)</f>
        <v>#N/A</v>
      </c>
      <c r="W150" s="84" t="str">
        <f>CONCATENATE("m'(",Q148,")=")</f>
        <v>m'(  )=</v>
      </c>
      <c r="X150" s="84" t="e">
        <f>(2*(X147^2)/24*V150)+(X149*Q147*WLS)</f>
        <v>#N/A</v>
      </c>
      <c r="Y150" s="84" t="e">
        <f>CONCATENATE("M(",Q147,")=")</f>
        <v>#N/A</v>
      </c>
      <c r="Z150" s="84" t="e">
        <f>VLOOKUP(Q147,STN_TABLE,4,FALSE)</f>
        <v>#N/A</v>
      </c>
      <c r="AA150" t="str">
        <f>CONCATENATE("M(",Q148,")=")</f>
        <v>M(  )=</v>
      </c>
      <c r="AB150" t="e">
        <f>X150+Z150</f>
        <v>#N/A</v>
      </c>
      <c r="AE150" s="89">
        <f>SUM(AE148:AE149)</f>
        <v>0</v>
      </c>
      <c r="AG150" s="89" t="e">
        <f>SUM(AG148:AG149)</f>
        <v>#VALUE!</v>
      </c>
      <c r="AH150" s="84" t="str">
        <f>CONCATENATE("m'(",AD149,")=")</f>
        <v>m'(  )=</v>
      </c>
      <c r="AI150" s="84" t="e">
        <f>(2*(AI147^2)/6*AG150)+(AI149*AD148*WLS)</f>
        <v>#VALUE!</v>
      </c>
      <c r="AJ150" s="84" t="str">
        <f>CONCATENATE("M(",AD148,")=")</f>
        <v>M(  )=</v>
      </c>
      <c r="AK150" s="84" t="str">
        <f>VLOOKUP(AD148,STN_TABLE,4,FALSE)</f>
        <v xml:space="preserve"> </v>
      </c>
      <c r="AL150" t="str">
        <f>CONCATENATE("M(",AD149,")=")</f>
        <v>M(  )=</v>
      </c>
      <c r="AM150" t="e">
        <f>AI150+AK150</f>
        <v>#VALUE!</v>
      </c>
      <c r="AO150" s="82" t="str">
        <f>AA150</f>
        <v>M(  )=</v>
      </c>
      <c r="AP150" s="82" t="e">
        <f>VLOOKUP(AO150,Rise_Results,2,FALSE)</f>
        <v>#N/A</v>
      </c>
      <c r="AQ150" s="82" t="e">
        <f>N150</f>
        <v>#VALUE!</v>
      </c>
      <c r="AR150" s="82" t="e">
        <f>IF(OR(AB149&lt;=0,AB150&lt;=0),1/0,AB150)</f>
        <v>#N/A</v>
      </c>
      <c r="AS150" s="82" t="e">
        <f>AM150</f>
        <v>#VALUE!</v>
      </c>
      <c r="AT150" t="e">
        <f>IFERROR(AP150,IFERROR(AQ150,IFERROR(AR150,AS150)))</f>
        <v>#VALUE!</v>
      </c>
      <c r="AU150" s="81"/>
    </row>
    <row r="151" spans="1:47" x14ac:dyDescent="0.25">
      <c r="A151" s="101"/>
      <c r="B151" s="101"/>
      <c r="AU151" s="81"/>
    </row>
    <row r="152" spans="1:47" x14ac:dyDescent="0.25">
      <c r="A152" s="84"/>
      <c r="B152" s="84"/>
      <c r="E152" s="81"/>
      <c r="F152" s="81"/>
      <c r="G152" s="81"/>
      <c r="H152" s="81"/>
      <c r="I152" s="103"/>
      <c r="J152" s="70"/>
      <c r="AU152" s="81"/>
    </row>
    <row r="153" spans="1:47" x14ac:dyDescent="0.25">
      <c r="A153" s="84"/>
      <c r="B153" s="84"/>
      <c r="E153" s="81"/>
      <c r="F153" s="81"/>
      <c r="G153" s="81"/>
      <c r="H153" s="81"/>
      <c r="I153" s="104"/>
      <c r="J153" s="78"/>
      <c r="K153" s="78"/>
      <c r="L153" s="78"/>
      <c r="M153" s="7"/>
      <c r="N153" s="7"/>
      <c r="AO153" s="81"/>
      <c r="AP153" s="81"/>
      <c r="AQ153" s="81"/>
      <c r="AR153" s="81"/>
      <c r="AS153" s="81"/>
      <c r="AT153" s="81"/>
      <c r="AU153" s="81"/>
    </row>
    <row r="154" spans="1:47" x14ac:dyDescent="0.25">
      <c r="A154" s="84"/>
      <c r="B154" s="84"/>
      <c r="E154" s="81"/>
      <c r="F154" s="81"/>
      <c r="G154" s="81"/>
      <c r="H154" s="81"/>
      <c r="I154" s="105"/>
      <c r="J154" s="84"/>
      <c r="K154" s="84"/>
      <c r="L154" s="84"/>
      <c r="AO154" s="81"/>
      <c r="AP154" s="81"/>
      <c r="AQ154" s="81"/>
      <c r="AR154" s="81"/>
      <c r="AS154" s="81"/>
      <c r="AT154" s="81"/>
      <c r="AU154" s="81"/>
    </row>
    <row r="155" spans="1:47" x14ac:dyDescent="0.25">
      <c r="A155" s="84"/>
      <c r="B155" s="84"/>
      <c r="E155" s="81"/>
      <c r="F155" s="81"/>
      <c r="G155" s="81"/>
      <c r="H155" s="81"/>
      <c r="I155" s="105"/>
      <c r="J155" s="84"/>
      <c r="K155" s="84"/>
      <c r="L155" s="84"/>
      <c r="AO155" s="81"/>
      <c r="AP155" s="81"/>
      <c r="AQ155" s="81"/>
      <c r="AR155" s="81"/>
      <c r="AS155" s="81"/>
      <c r="AT155" s="81"/>
      <c r="AU155" s="81"/>
    </row>
    <row r="156" spans="1:47" x14ac:dyDescent="0.25">
      <c r="A156" s="101"/>
      <c r="B156" s="101"/>
      <c r="E156" s="81"/>
      <c r="F156" s="81"/>
      <c r="G156" s="81"/>
      <c r="H156" s="81"/>
      <c r="I156" s="81"/>
      <c r="AO156" s="81"/>
      <c r="AP156" s="81"/>
      <c r="AQ156" s="81"/>
      <c r="AR156" s="81"/>
      <c r="AS156" s="81"/>
      <c r="AT156" s="81"/>
      <c r="AU156" s="81"/>
    </row>
    <row r="157" spans="1:47" x14ac:dyDescent="0.25">
      <c r="A157" s="84"/>
      <c r="B157" s="84"/>
      <c r="E157" s="81"/>
      <c r="F157" s="81"/>
      <c r="G157" s="81"/>
      <c r="H157" s="81"/>
      <c r="I157" s="103"/>
      <c r="J157" s="70"/>
      <c r="AO157" s="81"/>
      <c r="AP157" s="81"/>
      <c r="AQ157" s="81"/>
      <c r="AR157" s="81"/>
      <c r="AS157" s="81"/>
      <c r="AT157" s="81"/>
      <c r="AU157" s="81"/>
    </row>
    <row r="158" spans="1:47" x14ac:dyDescent="0.25">
      <c r="A158" s="84"/>
      <c r="B158" s="84"/>
      <c r="E158" s="81"/>
      <c r="F158" s="81"/>
      <c r="G158" s="81"/>
      <c r="H158" s="81"/>
      <c r="I158" s="104"/>
      <c r="J158" s="78"/>
      <c r="K158" s="78"/>
      <c r="L158" s="78"/>
      <c r="M158" s="7"/>
      <c r="N158" s="7"/>
      <c r="AO158" s="81"/>
      <c r="AP158" s="81"/>
      <c r="AQ158" s="81"/>
      <c r="AR158" s="81"/>
      <c r="AS158" s="81"/>
      <c r="AT158" s="81"/>
      <c r="AU158" s="81"/>
    </row>
    <row r="159" spans="1:47" x14ac:dyDescent="0.25">
      <c r="A159" s="84"/>
      <c r="B159" s="84"/>
      <c r="E159" s="81"/>
      <c r="F159" s="81"/>
      <c r="G159" s="81"/>
      <c r="H159" s="81"/>
      <c r="I159" s="105"/>
      <c r="J159" s="84"/>
      <c r="K159" s="84"/>
      <c r="L159" s="84"/>
      <c r="AO159" s="81"/>
      <c r="AP159" s="81"/>
      <c r="AQ159" s="81"/>
      <c r="AR159" s="81"/>
      <c r="AS159" s="81"/>
      <c r="AT159" s="81"/>
      <c r="AU159" s="81"/>
    </row>
    <row r="160" spans="1:47" x14ac:dyDescent="0.25">
      <c r="A160" s="84"/>
      <c r="B160" s="84"/>
      <c r="E160" s="81"/>
      <c r="F160" s="81"/>
      <c r="G160" s="81"/>
      <c r="H160" s="81"/>
      <c r="I160" s="105"/>
      <c r="J160" s="84"/>
      <c r="K160" s="84"/>
      <c r="L160" s="84"/>
      <c r="AO160" s="81"/>
      <c r="AP160" s="81"/>
      <c r="AQ160" s="81"/>
      <c r="AR160" s="81"/>
      <c r="AS160" s="81"/>
      <c r="AT160" s="81"/>
      <c r="AU160" s="81"/>
    </row>
    <row r="161" spans="1:47" x14ac:dyDescent="0.25">
      <c r="A161" s="101"/>
      <c r="B161" s="101"/>
      <c r="E161" s="81"/>
      <c r="F161" s="81"/>
      <c r="G161" s="81"/>
      <c r="H161" s="81"/>
      <c r="I161" s="81"/>
      <c r="AO161" s="81"/>
      <c r="AP161" s="81"/>
      <c r="AQ161" s="81"/>
      <c r="AR161" s="81"/>
      <c r="AS161" s="81"/>
      <c r="AT161" s="81"/>
      <c r="AU161" s="81"/>
    </row>
    <row r="162" spans="1:47" x14ac:dyDescent="0.25">
      <c r="A162" s="84"/>
      <c r="B162" s="84"/>
      <c r="E162" s="81"/>
      <c r="F162" s="81"/>
      <c r="G162" s="81"/>
      <c r="H162" s="81"/>
      <c r="I162" s="103"/>
      <c r="J162" s="70"/>
      <c r="AO162" s="81"/>
      <c r="AP162" s="81"/>
      <c r="AQ162" s="81"/>
      <c r="AR162" s="81"/>
      <c r="AS162" s="81"/>
      <c r="AT162" s="81"/>
      <c r="AU162" s="81"/>
    </row>
    <row r="163" spans="1:47" x14ac:dyDescent="0.25">
      <c r="A163" s="84"/>
      <c r="B163" s="84"/>
      <c r="E163" s="81"/>
      <c r="F163" s="81"/>
      <c r="G163" s="81"/>
      <c r="H163" s="81"/>
      <c r="I163" s="104"/>
      <c r="J163" s="78"/>
      <c r="K163" s="78"/>
      <c r="L163" s="78"/>
      <c r="M163" s="7"/>
      <c r="N163" s="7"/>
      <c r="AO163" s="81"/>
      <c r="AP163" s="81"/>
      <c r="AQ163" s="81"/>
      <c r="AR163" s="81"/>
      <c r="AS163" s="81"/>
      <c r="AT163" s="81"/>
      <c r="AU163" s="81"/>
    </row>
    <row r="164" spans="1:47" x14ac:dyDescent="0.25">
      <c r="A164" s="84"/>
      <c r="B164" s="84"/>
      <c r="E164" s="81"/>
      <c r="F164" s="81"/>
      <c r="G164" s="81"/>
      <c r="H164" s="81"/>
      <c r="I164" s="105"/>
      <c r="J164" s="84"/>
      <c r="K164" s="84"/>
      <c r="L164" s="84"/>
    </row>
    <row r="165" spans="1:47" x14ac:dyDescent="0.25">
      <c r="A165" s="84"/>
      <c r="B165" s="84"/>
      <c r="E165" s="81"/>
      <c r="F165" s="81"/>
      <c r="G165" s="81"/>
      <c r="H165" s="81"/>
      <c r="I165" s="105"/>
      <c r="J165" s="84"/>
      <c r="K165" s="84"/>
      <c r="L165" s="84"/>
    </row>
    <row r="166" spans="1:47" x14ac:dyDescent="0.25">
      <c r="A166" s="101"/>
      <c r="B166" s="101"/>
      <c r="E166" s="81"/>
      <c r="F166" s="81"/>
      <c r="G166" s="81"/>
      <c r="H166" s="81"/>
      <c r="I166" s="81"/>
    </row>
    <row r="167" spans="1:47" x14ac:dyDescent="0.25">
      <c r="A167" s="84"/>
      <c r="B167" s="84"/>
      <c r="E167" s="81"/>
      <c r="F167" s="81"/>
      <c r="G167" s="81"/>
      <c r="H167" s="81"/>
      <c r="I167" s="103"/>
      <c r="J167" s="70"/>
    </row>
    <row r="168" spans="1:47" x14ac:dyDescent="0.25">
      <c r="A168" s="84"/>
      <c r="B168" s="84"/>
      <c r="E168" s="81"/>
      <c r="F168" s="81"/>
      <c r="G168" s="81"/>
      <c r="H168" s="81"/>
      <c r="I168" s="104"/>
      <c r="J168" s="78"/>
      <c r="K168" s="78"/>
      <c r="L168" s="78"/>
      <c r="M168" s="7"/>
      <c r="N168" s="7"/>
    </row>
    <row r="169" spans="1:47" x14ac:dyDescent="0.25">
      <c r="A169" s="84"/>
      <c r="B169" s="84"/>
      <c r="E169" s="81"/>
      <c r="F169" s="81"/>
      <c r="G169" s="81"/>
      <c r="H169" s="81"/>
      <c r="I169" s="105"/>
      <c r="J169" s="84"/>
      <c r="K169" s="84"/>
      <c r="L169" s="84"/>
    </row>
    <row r="170" spans="1:47" x14ac:dyDescent="0.25">
      <c r="A170" s="84"/>
      <c r="B170" s="84"/>
      <c r="E170" s="81"/>
      <c r="F170" s="81"/>
      <c r="G170" s="81"/>
      <c r="H170" s="81"/>
      <c r="I170" s="105"/>
      <c r="J170" s="84"/>
      <c r="K170" s="84"/>
      <c r="L170" s="84"/>
    </row>
    <row r="171" spans="1:47" x14ac:dyDescent="0.25">
      <c r="E171" s="81"/>
      <c r="F171" s="81"/>
      <c r="G171" s="81"/>
      <c r="H171" s="81"/>
      <c r="I171" s="81"/>
    </row>
  </sheetData>
  <sheetProtection selectLockedCells="1" selectUnlockedCells="1"/>
  <mergeCells count="167">
    <mergeCell ref="A1:B1"/>
    <mergeCell ref="E1:F1"/>
    <mergeCell ref="L1:M1"/>
    <mergeCell ref="W33:X33"/>
    <mergeCell ref="Y33:Z33"/>
    <mergeCell ref="AA33:AB33"/>
    <mergeCell ref="AH33:AI33"/>
    <mergeCell ref="AJ33:AK33"/>
    <mergeCell ref="AL33:AM33"/>
    <mergeCell ref="I38:J38"/>
    <mergeCell ref="W38:X38"/>
    <mergeCell ref="Y38:Z38"/>
    <mergeCell ref="AA38:AB38"/>
    <mergeCell ref="AH38:AI38"/>
    <mergeCell ref="AJ38:AK38"/>
    <mergeCell ref="AL38:AM38"/>
    <mergeCell ref="AL43:AM43"/>
    <mergeCell ref="I48:J48"/>
    <mergeCell ref="W48:X48"/>
    <mergeCell ref="Y48:Z48"/>
    <mergeCell ref="AA48:AB48"/>
    <mergeCell ref="AH48:AI48"/>
    <mergeCell ref="AJ48:AK48"/>
    <mergeCell ref="AL48:AM48"/>
    <mergeCell ref="I43:J43"/>
    <mergeCell ref="W43:X43"/>
    <mergeCell ref="Y43:Z43"/>
    <mergeCell ref="AA43:AB43"/>
    <mergeCell ref="AH43:AI43"/>
    <mergeCell ref="AJ43:AK43"/>
    <mergeCell ref="AL53:AM53"/>
    <mergeCell ref="I58:J58"/>
    <mergeCell ref="AH58:AI58"/>
    <mergeCell ref="AJ58:AK58"/>
    <mergeCell ref="AL58:AM58"/>
    <mergeCell ref="I63:J63"/>
    <mergeCell ref="W63:X63"/>
    <mergeCell ref="Y63:Z63"/>
    <mergeCell ref="AA63:AB63"/>
    <mergeCell ref="AH63:AI63"/>
    <mergeCell ref="I53:J53"/>
    <mergeCell ref="W53:X53"/>
    <mergeCell ref="Y53:Z53"/>
    <mergeCell ref="AA53:AB53"/>
    <mergeCell ref="AH53:AI53"/>
    <mergeCell ref="AJ53:AK53"/>
    <mergeCell ref="AJ63:AK63"/>
    <mergeCell ref="AL63:AM63"/>
    <mergeCell ref="I68:J68"/>
    <mergeCell ref="W68:X68"/>
    <mergeCell ref="Y68:Z68"/>
    <mergeCell ref="AA68:AB68"/>
    <mergeCell ref="AH68:AI68"/>
    <mergeCell ref="AJ68:AK68"/>
    <mergeCell ref="AL68:AM68"/>
    <mergeCell ref="AL73:AM73"/>
    <mergeCell ref="I78:J78"/>
    <mergeCell ref="W78:X78"/>
    <mergeCell ref="Y78:Z78"/>
    <mergeCell ref="AA78:AB78"/>
    <mergeCell ref="AH78:AI78"/>
    <mergeCell ref="AJ78:AK78"/>
    <mergeCell ref="AL78:AM78"/>
    <mergeCell ref="I73:J73"/>
    <mergeCell ref="W73:X73"/>
    <mergeCell ref="Y73:Z73"/>
    <mergeCell ref="AA73:AB73"/>
    <mergeCell ref="AH73:AI73"/>
    <mergeCell ref="AJ73:AK73"/>
    <mergeCell ref="AL83:AM83"/>
    <mergeCell ref="I88:J88"/>
    <mergeCell ref="W88:X88"/>
    <mergeCell ref="Y88:Z88"/>
    <mergeCell ref="AA88:AB88"/>
    <mergeCell ref="AH88:AI88"/>
    <mergeCell ref="AJ88:AK88"/>
    <mergeCell ref="AL88:AM88"/>
    <mergeCell ref="I83:J83"/>
    <mergeCell ref="W83:X83"/>
    <mergeCell ref="Y83:Z83"/>
    <mergeCell ref="AA83:AB83"/>
    <mergeCell ref="AH83:AI83"/>
    <mergeCell ref="AJ83:AK83"/>
    <mergeCell ref="AL93:AM93"/>
    <mergeCell ref="I98:J98"/>
    <mergeCell ref="W98:X98"/>
    <mergeCell ref="Y98:Z98"/>
    <mergeCell ref="AA98:AB98"/>
    <mergeCell ref="AH98:AI98"/>
    <mergeCell ref="AJ98:AK98"/>
    <mergeCell ref="AL98:AM98"/>
    <mergeCell ref="I93:J93"/>
    <mergeCell ref="W93:X93"/>
    <mergeCell ref="Y93:Z93"/>
    <mergeCell ref="AA93:AB93"/>
    <mergeCell ref="AH93:AI93"/>
    <mergeCell ref="AJ93:AK93"/>
    <mergeCell ref="AL103:AM103"/>
    <mergeCell ref="I108:J108"/>
    <mergeCell ref="W108:X108"/>
    <mergeCell ref="Y108:Z108"/>
    <mergeCell ref="AA108:AB108"/>
    <mergeCell ref="AH108:AI108"/>
    <mergeCell ref="AJ108:AK108"/>
    <mergeCell ref="AL108:AM108"/>
    <mergeCell ref="I103:J103"/>
    <mergeCell ref="W103:X103"/>
    <mergeCell ref="Y103:Z103"/>
    <mergeCell ref="AA103:AB103"/>
    <mergeCell ref="AH103:AI103"/>
    <mergeCell ref="AJ103:AK103"/>
    <mergeCell ref="AL113:AM113"/>
    <mergeCell ref="I118:J118"/>
    <mergeCell ref="W118:X118"/>
    <mergeCell ref="Y118:Z118"/>
    <mergeCell ref="AA118:AB118"/>
    <mergeCell ref="AH118:AI118"/>
    <mergeCell ref="AJ118:AK118"/>
    <mergeCell ref="AL118:AM118"/>
    <mergeCell ref="I113:J113"/>
    <mergeCell ref="W113:X113"/>
    <mergeCell ref="Y113:Z113"/>
    <mergeCell ref="AA113:AB113"/>
    <mergeCell ref="AH113:AI113"/>
    <mergeCell ref="AJ113:AK113"/>
    <mergeCell ref="AL123:AM123"/>
    <mergeCell ref="I128:J128"/>
    <mergeCell ref="W128:X128"/>
    <mergeCell ref="Y128:Z128"/>
    <mergeCell ref="AA128:AB128"/>
    <mergeCell ref="AH128:AI128"/>
    <mergeCell ref="AJ128:AK128"/>
    <mergeCell ref="AL128:AM128"/>
    <mergeCell ref="I123:J123"/>
    <mergeCell ref="W123:X123"/>
    <mergeCell ref="Y123:Z123"/>
    <mergeCell ref="AA123:AB123"/>
    <mergeCell ref="AH123:AI123"/>
    <mergeCell ref="AJ123:AK123"/>
    <mergeCell ref="AL133:AM133"/>
    <mergeCell ref="I138:J138"/>
    <mergeCell ref="W138:X138"/>
    <mergeCell ref="Y138:Z138"/>
    <mergeCell ref="AA138:AB138"/>
    <mergeCell ref="AH138:AI138"/>
    <mergeCell ref="AJ138:AK138"/>
    <mergeCell ref="AL138:AM138"/>
    <mergeCell ref="I133:J133"/>
    <mergeCell ref="W133:X133"/>
    <mergeCell ref="Y133:Z133"/>
    <mergeCell ref="AA133:AB133"/>
    <mergeCell ref="AH133:AI133"/>
    <mergeCell ref="AJ133:AK133"/>
    <mergeCell ref="AL143:AM143"/>
    <mergeCell ref="I148:J148"/>
    <mergeCell ref="W148:X148"/>
    <mergeCell ref="Y148:Z148"/>
    <mergeCell ref="AA148:AB148"/>
    <mergeCell ref="AH148:AI148"/>
    <mergeCell ref="AJ148:AK148"/>
    <mergeCell ref="AL148:AM148"/>
    <mergeCell ref="I143:J143"/>
    <mergeCell ref="W143:X143"/>
    <mergeCell ref="Y143:Z143"/>
    <mergeCell ref="AA143:AB143"/>
    <mergeCell ref="AH143:AI143"/>
    <mergeCell ref="AJ143:AK143"/>
  </mergeCells>
  <pageMargins left="0.7" right="0.7" top="0.75" bottom="0.75" header="0.3" footer="0.3"/>
  <pageSetup paperSize="9"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U171"/>
  <sheetViews>
    <sheetView topLeftCell="N1" workbookViewId="0">
      <pane ySplit="1" topLeftCell="A8" activePane="bottomLeft" state="frozen"/>
      <selection activeCell="AG8" sqref="AG8:AG10"/>
      <selection pane="bottomLeft" activeCell="AG8" sqref="AG8:AG10"/>
    </sheetView>
  </sheetViews>
  <sheetFormatPr defaultRowHeight="15" x14ac:dyDescent="0.25"/>
  <sheetData>
    <row r="1" spans="1:46" x14ac:dyDescent="0.25">
      <c r="A1" s="494" t="s">
        <v>90</v>
      </c>
      <c r="B1" s="494"/>
      <c r="C1">
        <f>HLOOKUP(Stn_WL,OFFSET_A,Count_STN+1,FALSE)</f>
        <v>19</v>
      </c>
      <c r="E1" s="494" t="s">
        <v>91</v>
      </c>
      <c r="F1" s="494"/>
      <c r="G1" t="str">
        <f>VLOOKUP(Station_No,RISE_CALC,2,FALSE)</f>
        <v>-</v>
      </c>
      <c r="L1" s="494" t="s">
        <v>92</v>
      </c>
      <c r="M1" s="494"/>
      <c r="N1">
        <v>23</v>
      </c>
    </row>
    <row r="2" spans="1:46" x14ac:dyDescent="0.25">
      <c r="Q2" s="66" t="str">
        <f t="shared" ref="Q2:R6" si="0">G4</f>
        <v>Rise</v>
      </c>
      <c r="R2" s="67" t="e">
        <f t="shared" si="0"/>
        <v>#VALUE!</v>
      </c>
      <c r="S2" s="68" t="e">
        <f>IF(OR(R5-R4=R4-R3,R6-R4=R4-R3),R3,IF(OR(R5-R4=R4-R2,R6-R4=R4-R2),R2,"-"))</f>
        <v>#VALUE!</v>
      </c>
      <c r="T2" s="69" t="e">
        <f>IFERROR(VLOOKUP(S2,STN_TABLE,2,FALSE),IF(R2=RisePerWLS,0,"-"))</f>
        <v>#VALUE!</v>
      </c>
      <c r="U2" s="69">
        <v>5</v>
      </c>
      <c r="V2" s="69" t="e">
        <f>T2*U2</f>
        <v>#VALUE!</v>
      </c>
      <c r="W2" s="69">
        <v>3</v>
      </c>
      <c r="X2" s="69" t="e">
        <f>T2*W2</f>
        <v>#VALUE!</v>
      </c>
      <c r="Y2" s="6" t="s">
        <v>93</v>
      </c>
      <c r="Z2" s="70" t="e">
        <f>IF(AND(S4-S3=S3-S2,NOT(AND(S2=0,S3=0)),NOT(AND(S3=0,S4=0))),WLS*(S4-S3),"#NA")</f>
        <v>#VALUE!</v>
      </c>
      <c r="AE2" s="71" t="s">
        <v>94</v>
      </c>
    </row>
    <row r="3" spans="1:46" x14ac:dyDescent="0.25">
      <c r="B3" s="72" t="s">
        <v>0</v>
      </c>
      <c r="C3" s="73" t="s">
        <v>95</v>
      </c>
      <c r="D3" s="73" t="s">
        <v>18</v>
      </c>
      <c r="E3" s="74" t="s">
        <v>20</v>
      </c>
      <c r="H3" s="75" t="s">
        <v>96</v>
      </c>
      <c r="K3" t="str">
        <f>IF(Rise=0,"(Not considered)","(Considered)")</f>
        <v>(Considered)</v>
      </c>
      <c r="Q3" s="66" t="str">
        <f t="shared" si="0"/>
        <v>1st_UWL</v>
      </c>
      <c r="R3" s="67" t="str">
        <f t="shared" si="0"/>
        <v>#NA</v>
      </c>
      <c r="S3" s="76" t="str">
        <f>R4</f>
        <v>#NA</v>
      </c>
      <c r="T3" s="77" t="e">
        <f>VLOOKUP(S3,STN_TABLE,2,FALSE)</f>
        <v>#N/A</v>
      </c>
      <c r="U3" s="77">
        <v>8</v>
      </c>
      <c r="V3" s="77" t="e">
        <f>T3*U3</f>
        <v>#N/A</v>
      </c>
      <c r="W3" s="77">
        <v>10</v>
      </c>
      <c r="X3" s="77" t="e">
        <f>T3*W3</f>
        <v>#N/A</v>
      </c>
      <c r="Y3" s="78" t="s">
        <v>97</v>
      </c>
      <c r="Z3" s="78"/>
      <c r="AA3" s="78" t="s">
        <v>98</v>
      </c>
      <c r="AB3" s="78"/>
      <c r="AC3" s="7" t="s">
        <v>99</v>
      </c>
      <c r="AD3" s="7"/>
      <c r="AE3" s="66" t="str">
        <f t="shared" ref="AE3:AF7" si="1">G4</f>
        <v>Rise</v>
      </c>
      <c r="AF3" s="67" t="e">
        <f t="shared" si="1"/>
        <v>#VALUE!</v>
      </c>
      <c r="AG3" s="79" t="e">
        <f>IF(AF7-AF6=AF6-AF5,AF5,IF(OR(AF7-AF6=AF6-AF4,AF7-AF5=AF5-AF4),AF4,IF(OR(AF7-AF6=AF6-AF3,AF7-AF5=AF5-AF3,AF7-AF4=AF4-AF3),AF3,"#NA")))</f>
        <v>#VALUE!</v>
      </c>
      <c r="AH3" s="69" t="e">
        <f>IFERROR(VLOOKUP(AG3,STN_TABLE,2,FALSE),IF(AF3=RisePerWLS,0,"-"))</f>
        <v>#VALUE!</v>
      </c>
      <c r="AI3" s="69">
        <v>1</v>
      </c>
      <c r="AJ3" s="69" t="e">
        <f>AH3*AI3</f>
        <v>#VALUE!</v>
      </c>
      <c r="AK3" s="69" t="e">
        <f>AG3</f>
        <v>#VALUE!</v>
      </c>
      <c r="AL3" s="69" t="e">
        <f>AJ3*AK3</f>
        <v>#VALUE!</v>
      </c>
      <c r="AM3" s="6" t="s">
        <v>93</v>
      </c>
      <c r="AN3" s="70" t="e">
        <f>IF(AND(AH3=0,AH4=0,AH5=0),WLS*(AG5-AG4),IF(AND(AG5-AG4=AG4-AG3,AG4&lt;&gt;AG5,AG3&lt;&gt;AG4,AG3&lt;&gt;AG5,AH5&lt;&gt;0,OR(AH3&lt;&gt;0,AH4&lt;&gt;0)),WLS*(AG5-AG4),"#NA"))</f>
        <v>#VALUE!</v>
      </c>
    </row>
    <row r="4" spans="1:46" x14ac:dyDescent="0.25">
      <c r="A4">
        <v>1</v>
      </c>
      <c r="B4" s="80">
        <f t="shared" ref="B4:B28" si="2">VLOOKUP(Stn_WL,OFFSET_A,A4+1,FALSE)</f>
        <v>0</v>
      </c>
      <c r="C4" s="81">
        <f t="shared" ref="C4:C28" si="3">VLOOKUP(Station_No,OFFSET_A,A4+1,FALSE)</f>
        <v>1.3</v>
      </c>
      <c r="D4" s="81">
        <v>0</v>
      </c>
      <c r="E4" s="77">
        <v>0</v>
      </c>
      <c r="G4" t="s">
        <v>100</v>
      </c>
      <c r="H4" t="e">
        <f>Rise/WLS</f>
        <v>#VALUE!</v>
      </c>
      <c r="K4" t="str">
        <f>CONCATENATE("A(",H5,")=")</f>
        <v>A(#NA)=</v>
      </c>
      <c r="L4" t="e">
        <f>IFERROR(N18,N22)</f>
        <v>#VALUE!</v>
      </c>
      <c r="Q4" s="66" t="str">
        <f t="shared" si="0"/>
        <v>2nd_UWL</v>
      </c>
      <c r="R4" s="67" t="str">
        <f t="shared" si="0"/>
        <v>#NA</v>
      </c>
      <c r="S4" s="82" t="e">
        <f>IF((S2-S3)=S3-R5,R5,IF(S2-S3=S3-R6,R6,"-"))</f>
        <v>#VALUE!</v>
      </c>
      <c r="T4" s="83" t="e">
        <f>VLOOKUP(S4,STN_TABLE,2,FALSE)</f>
        <v>#VALUE!</v>
      </c>
      <c r="U4" s="83">
        <v>-1</v>
      </c>
      <c r="V4" s="83" t="e">
        <f>T4*U4</f>
        <v>#VALUE!</v>
      </c>
      <c r="W4" s="83">
        <v>-1</v>
      </c>
      <c r="X4" s="83" t="e">
        <f>T4*W4</f>
        <v>#VALUE!</v>
      </c>
      <c r="Y4" s="84" t="str">
        <f>CONCATENATE("a'(",S3,")=")</f>
        <v>a'(#NA)=</v>
      </c>
      <c r="Z4" s="85" t="e">
        <f>2*Z2/12*V5</f>
        <v>#VALUE!</v>
      </c>
      <c r="AA4" s="84" t="e">
        <f>CONCATENATE("A(",S2,")=")</f>
        <v>#VALUE!</v>
      </c>
      <c r="AB4" s="84" t="e">
        <f>IF(S2=RisePerWLS,0,VLOOKUP(S2,STN_TABLE,3,FALSE))</f>
        <v>#VALUE!</v>
      </c>
      <c r="AC4" t="str">
        <f>CONCATENATE("A(",S3,")=")</f>
        <v>A(#NA)=</v>
      </c>
      <c r="AD4" t="e">
        <f>Z4+AB4</f>
        <v>#VALUE!</v>
      </c>
      <c r="AE4" s="66" t="str">
        <f t="shared" si="1"/>
        <v>1st_UWL</v>
      </c>
      <c r="AF4" s="67" t="str">
        <f t="shared" si="1"/>
        <v>#NA</v>
      </c>
      <c r="AG4" s="80" t="e">
        <f>IF(OR(AF7-AF6=AF6-AF5,AF7-AF6=AF6-AF4,AF7-AF6=AF6-AF3),AF6,IF(OR(AF7-AF5=AF5-AF4,AF7-AF5=AF5-AF3),AF5,IF(AF7-AF4=AF4-AF3,AF4,"#NA")))</f>
        <v>#VALUE!</v>
      </c>
      <c r="AH4" s="77" t="e">
        <f>VLOOKUP(AG4,STN_TABLE,2,FALSE)</f>
        <v>#VALUE!</v>
      </c>
      <c r="AI4" s="77">
        <v>4</v>
      </c>
      <c r="AJ4" s="77" t="e">
        <f>AH4*AI4</f>
        <v>#VALUE!</v>
      </c>
      <c r="AK4" s="77" t="e">
        <f>AG4</f>
        <v>#VALUE!</v>
      </c>
      <c r="AL4" s="77" t="e">
        <f>AJ4*AK4</f>
        <v>#VALUE!</v>
      </c>
      <c r="AM4" s="78" t="s">
        <v>97</v>
      </c>
      <c r="AN4" s="78"/>
      <c r="AO4" s="78" t="s">
        <v>98</v>
      </c>
      <c r="AP4" s="78"/>
      <c r="AQ4" s="7" t="s">
        <v>99</v>
      </c>
      <c r="AR4" s="7"/>
      <c r="AS4" s="7"/>
      <c r="AT4" s="7"/>
    </row>
    <row r="5" spans="1:46" x14ac:dyDescent="0.25">
      <c r="A5">
        <v>2</v>
      </c>
      <c r="B5" s="80">
        <f t="shared" si="2"/>
        <v>0.25</v>
      </c>
      <c r="C5" s="81">
        <f t="shared" si="3"/>
        <v>2.2999999999999998</v>
      </c>
      <c r="D5" s="81">
        <f t="shared" ref="D5:D28" si="4">IFERROR(VLOOKUP(CONCATENATE("A(",B5,")="),RESULT_TABLE,6,FALSE)," ")</f>
        <v>1.8383333333333332</v>
      </c>
      <c r="E5" s="77">
        <f t="shared" ref="E5:E28" si="5">IFERROR(VLOOKUP(CONCATENATE("M(",B5,")="),RESULT_TABLE,6,FALSE)," ")</f>
        <v>0.50124999999999997</v>
      </c>
      <c r="G5" t="s">
        <v>101</v>
      </c>
      <c r="H5" t="str">
        <f>VLOOKUP(Station_No,RISE_CALC,4,FALSE)</f>
        <v>#NA</v>
      </c>
      <c r="K5" t="str">
        <f>CONCATENATE("M(",H5,")=")</f>
        <v>M(#NA)=</v>
      </c>
      <c r="L5" t="e">
        <f>IFERROR(N19,N23)</f>
        <v>#VALUE!</v>
      </c>
      <c r="Q5" s="66" t="str">
        <f t="shared" si="0"/>
        <v>3rd_UWL</v>
      </c>
      <c r="R5" s="67" t="str">
        <f t="shared" si="0"/>
        <v>#NA</v>
      </c>
      <c r="V5" s="86" t="e">
        <f>SUM(V2:V4)</f>
        <v>#VALUE!</v>
      </c>
      <c r="X5" s="87" t="e">
        <f>SUM(X2:X4)</f>
        <v>#VALUE!</v>
      </c>
      <c r="Y5" s="84" t="str">
        <f>CONCATENATE("m'(",S3,")=")</f>
        <v>m'(#NA)=</v>
      </c>
      <c r="Z5" s="85" t="e">
        <f>(2*(Z2^2)/24*X5)+(Z4*S2*WLS)</f>
        <v>#VALUE!</v>
      </c>
      <c r="AA5" s="84" t="e">
        <f>CONCATENATE("M(",S2,")=")</f>
        <v>#VALUE!</v>
      </c>
      <c r="AB5" s="84" t="e">
        <f>IF(S2=RisePerWLS,0,VLOOKUP(S2,STN_TABLE,4,FALSE))</f>
        <v>#VALUE!</v>
      </c>
      <c r="AC5" t="str">
        <f>CONCATENATE("M(",S3,")=")</f>
        <v>M(#NA)=</v>
      </c>
      <c r="AD5" t="e">
        <f>Z5+AB5</f>
        <v>#VALUE!</v>
      </c>
      <c r="AE5" s="66" t="str">
        <f t="shared" si="1"/>
        <v>2nd_UWL</v>
      </c>
      <c r="AF5" s="67" t="str">
        <f t="shared" si="1"/>
        <v>#NA</v>
      </c>
      <c r="AG5" s="88" t="str">
        <f>AF7</f>
        <v>#NA</v>
      </c>
      <c r="AH5" s="83" t="e">
        <f>VLOOKUP(AG5,STN_TABLE,2,FALSE)</f>
        <v>#N/A</v>
      </c>
      <c r="AI5" s="83">
        <v>1</v>
      </c>
      <c r="AJ5" s="83" t="e">
        <f>AH5*AI5</f>
        <v>#N/A</v>
      </c>
      <c r="AK5" s="83" t="str">
        <f>AG5</f>
        <v>#NA</v>
      </c>
      <c r="AL5" s="83" t="e">
        <f>AJ5*AK5</f>
        <v>#N/A</v>
      </c>
      <c r="AM5" s="84" t="str">
        <f>CONCATENATE("a'(",AG5,")=")</f>
        <v>a'(#NA)=</v>
      </c>
      <c r="AN5" s="84" t="e">
        <f>2*AN3/3*AJ6</f>
        <v>#VALUE!</v>
      </c>
      <c r="AO5" s="84" t="e">
        <f>CONCATENATE("A(",AG3,")=")</f>
        <v>#VALUE!</v>
      </c>
      <c r="AP5" s="84" t="e">
        <f>IF(AG3=RisePerWLS,0,VLOOKUP(AG3,STN_TABLE,3,FALSE))</f>
        <v>#VALUE!</v>
      </c>
      <c r="AQ5" t="str">
        <f>CONCATENATE("A(",AG5,")=")</f>
        <v>A(#NA)=</v>
      </c>
      <c r="AR5" t="e">
        <f>AN5+AP5</f>
        <v>#VALUE!</v>
      </c>
    </row>
    <row r="6" spans="1:46" x14ac:dyDescent="0.25">
      <c r="A6">
        <v>3</v>
      </c>
      <c r="B6" s="80">
        <f t="shared" si="2"/>
        <v>0.5</v>
      </c>
      <c r="C6" s="81">
        <f t="shared" si="3"/>
        <v>2.84</v>
      </c>
      <c r="D6" s="81">
        <f t="shared" si="4"/>
        <v>4.4466666666666663</v>
      </c>
      <c r="E6" s="77">
        <f t="shared" si="5"/>
        <v>2.4799999999999995</v>
      </c>
      <c r="G6" t="s">
        <v>102</v>
      </c>
      <c r="H6" t="str">
        <f>VLOOKUP(Station_No,RISE_CALC,5,FALSE)</f>
        <v>#NA</v>
      </c>
      <c r="K6" t="str">
        <f>CONCATENATE("A(",H6,")=")</f>
        <v>A(#NA)=</v>
      </c>
      <c r="L6" t="e">
        <f>IFERROR(P27,IFERROR(X6,AD9))</f>
        <v>#VALUE!</v>
      </c>
      <c r="Q6" s="66" t="str">
        <f t="shared" si="0"/>
        <v>4th_UWL</v>
      </c>
      <c r="R6" s="67" t="str">
        <f t="shared" si="0"/>
        <v>#NA</v>
      </c>
      <c r="U6" t="s">
        <v>103</v>
      </c>
      <c r="W6" t="str">
        <f>CONCATENATE("A(",S3,")=")</f>
        <v>A(#NA)=</v>
      </c>
      <c r="X6" t="e">
        <f>IF(OR(AD4&lt;=0,AD5&lt;=0),AD9,AD4)</f>
        <v>#VALUE!</v>
      </c>
      <c r="AE6" s="66" t="str">
        <f t="shared" si="1"/>
        <v>3rd_UWL</v>
      </c>
      <c r="AF6" s="67" t="str">
        <f t="shared" si="1"/>
        <v>#NA</v>
      </c>
      <c r="AJ6" s="89" t="e">
        <f>SUM(AJ3:AJ5)</f>
        <v>#VALUE!</v>
      </c>
      <c r="AL6" s="89" t="e">
        <f>SUM(AL3:AL5)</f>
        <v>#VALUE!</v>
      </c>
      <c r="AM6" s="84" t="str">
        <f>CONCATENATE("m'(",AG5,")=")</f>
        <v>m'(#NA)=</v>
      </c>
      <c r="AN6" s="84" t="e">
        <f>2*(AN3*WLS)/3*AL6</f>
        <v>#VALUE!</v>
      </c>
      <c r="AO6" s="84" t="e">
        <f>CONCATENATE("M(",AG3,")=")</f>
        <v>#VALUE!</v>
      </c>
      <c r="AP6" s="84" t="e">
        <f>IF(AG3=RisePerWLS,0,VLOOKUP(AG3,STN_TABLE,4,FALSE))</f>
        <v>#VALUE!</v>
      </c>
      <c r="AQ6" t="str">
        <f>CONCATENATE("M(",AG5,")=")</f>
        <v>M(#NA)=</v>
      </c>
      <c r="AR6" t="e">
        <f>AN6+AP6</f>
        <v>#VALUE!</v>
      </c>
    </row>
    <row r="7" spans="1:46" x14ac:dyDescent="0.25">
      <c r="A7">
        <v>4</v>
      </c>
      <c r="B7" s="80">
        <f t="shared" si="2"/>
        <v>0.75</v>
      </c>
      <c r="C7" s="81">
        <f t="shared" si="3"/>
        <v>3.25</v>
      </c>
      <c r="D7" s="81">
        <f t="shared" si="4"/>
        <v>7.4749999999999996</v>
      </c>
      <c r="E7" s="77">
        <f t="shared" si="5"/>
        <v>6.2962499999999988</v>
      </c>
      <c r="G7" t="s">
        <v>104</v>
      </c>
      <c r="H7" t="str">
        <f>VLOOKUP(Station_No,RISE_CALC,6,FALSE)</f>
        <v>#NA</v>
      </c>
      <c r="K7" t="str">
        <f>CONCATENATE("M(",H6,")=")</f>
        <v>M(#NA)=</v>
      </c>
      <c r="L7" t="e">
        <f>IFERROR(P28,IFERROR(X7,AD10))</f>
        <v>#VALUE!</v>
      </c>
      <c r="Q7" s="66"/>
      <c r="R7" s="67"/>
      <c r="W7" t="str">
        <f>CONCATENATE("M(",S3,")=")</f>
        <v>M(#NA)=</v>
      </c>
      <c r="X7" t="e">
        <f>IF(OR(AD4&lt;=0,AD5&lt;=0),AD10,AD5)</f>
        <v>#VALUE!</v>
      </c>
      <c r="Y7" s="6" t="s">
        <v>93</v>
      </c>
      <c r="Z7" s="70" t="e">
        <f>WLS*(U9-U8)</f>
        <v>#VALUE!</v>
      </c>
      <c r="AE7" s="66" t="str">
        <f t="shared" si="1"/>
        <v>4th_UWL</v>
      </c>
      <c r="AF7" s="67" t="str">
        <f t="shared" si="1"/>
        <v>#NA</v>
      </c>
      <c r="AH7" s="81"/>
    </row>
    <row r="8" spans="1:46" x14ac:dyDescent="0.25">
      <c r="A8">
        <v>5</v>
      </c>
      <c r="B8" s="80">
        <f t="shared" si="2"/>
        <v>1</v>
      </c>
      <c r="C8" s="81">
        <f t="shared" si="3"/>
        <v>3.53</v>
      </c>
      <c r="D8" s="81">
        <f t="shared" si="4"/>
        <v>10.903333333333332</v>
      </c>
      <c r="E8" s="77">
        <f t="shared" si="5"/>
        <v>12.279999999999998</v>
      </c>
      <c r="G8" t="s">
        <v>105</v>
      </c>
      <c r="H8" t="str">
        <f>VLOOKUP(Station_No,RISE_CALC,7,FALSE)</f>
        <v>#NA</v>
      </c>
      <c r="K8" t="str">
        <f>CONCATENATE("A(",H7,")=")</f>
        <v>A(#NA)=</v>
      </c>
      <c r="L8" t="e">
        <f>IFERROR(AD15,IFERROR(X24,AD27))</f>
        <v>#VALUE!</v>
      </c>
      <c r="Q8" s="80"/>
      <c r="R8" s="81"/>
      <c r="U8" s="79" t="str">
        <f>R3</f>
        <v>#NA</v>
      </c>
      <c r="V8" s="68" t="e">
        <f>VLOOKUP(U8,STN_TABLE,2,FALSE)</f>
        <v>#N/A</v>
      </c>
      <c r="W8" s="68">
        <v>1</v>
      </c>
      <c r="X8" s="69" t="e">
        <f>V8*W8</f>
        <v>#N/A</v>
      </c>
      <c r="Y8" s="78" t="s">
        <v>97</v>
      </c>
      <c r="Z8" s="78"/>
      <c r="AA8" s="78" t="s">
        <v>98</v>
      </c>
      <c r="AB8" s="78"/>
      <c r="AC8" s="7" t="s">
        <v>99</v>
      </c>
      <c r="AD8" s="7"/>
      <c r="AE8" s="66"/>
      <c r="AF8" s="67"/>
      <c r="AG8" s="68" t="e">
        <f>IF(OR(AF12-AF11=AF11-AF10,AF13-AF11=AF11-AF10),AF10,IF(OR(AF12-AF11=AF11-AF9,AF13-AF11=AF11-AF9),AF9,"-"))</f>
        <v>#VALUE!</v>
      </c>
      <c r="AH8" s="69" t="e">
        <f>IFERROR(VLOOKUP(AG8,STN_TABLE,2,FALSE),IF(AF8=RisePerWLS,0,"-"))</f>
        <v>#VALUE!</v>
      </c>
      <c r="AI8" s="69">
        <v>5</v>
      </c>
      <c r="AJ8" s="69" t="e">
        <f>AH8*AI8</f>
        <v>#VALUE!</v>
      </c>
      <c r="AK8" s="69">
        <v>3</v>
      </c>
      <c r="AL8" s="69" t="e">
        <f>AH8*AK8</f>
        <v>#VALUE!</v>
      </c>
      <c r="AM8" s="6" t="s">
        <v>93</v>
      </c>
      <c r="AN8" s="70" t="e">
        <f>IF(AND(AG10-AG9=AG9-AG8,NOT(AND(AG8=0,AG9=0)),NOT(AND(AG9=0,AG10=0))),WLS*(AG10-AG9),"#NA")</f>
        <v>#VALUE!</v>
      </c>
    </row>
    <row r="9" spans="1:46" x14ac:dyDescent="0.25">
      <c r="A9">
        <v>6</v>
      </c>
      <c r="B9" s="80">
        <f t="shared" si="2"/>
        <v>2</v>
      </c>
      <c r="C9" s="81">
        <f t="shared" si="3"/>
        <v>4.1100000000000003</v>
      </c>
      <c r="D9" s="81">
        <f t="shared" si="4"/>
        <v>26.336666666666666</v>
      </c>
      <c r="E9" s="77">
        <f t="shared" si="5"/>
        <v>58.966666666666654</v>
      </c>
      <c r="G9" t="s">
        <v>106</v>
      </c>
      <c r="H9" t="str">
        <f>VLOOKUP(Station_No,RISE_CALC,8,FALSE)</f>
        <v>#NA</v>
      </c>
      <c r="K9" t="str">
        <f>CONCATENATE("M(",H7,")=")</f>
        <v>M(#NA)=</v>
      </c>
      <c r="L9" t="e">
        <f>IFERROR(AD16,IFERROR(X25,AD28))</f>
        <v>#VALUE!</v>
      </c>
      <c r="Q9" s="80"/>
      <c r="R9" s="81"/>
      <c r="U9" s="88" t="str">
        <f>R4</f>
        <v>#NA</v>
      </c>
      <c r="V9" s="82" t="e">
        <f>VLOOKUP(U9,STN_TABLE,2,FALSE)</f>
        <v>#N/A</v>
      </c>
      <c r="W9" s="82">
        <v>2</v>
      </c>
      <c r="X9" s="83" t="e">
        <f>V9*W9</f>
        <v>#N/A</v>
      </c>
      <c r="Y9" s="84" t="str">
        <f>CONCATENATE("a'(",U9,")=")</f>
        <v>a'(#NA)=</v>
      </c>
      <c r="Z9" s="84" t="e">
        <f>2*Z7/2*V10</f>
        <v>#VALUE!</v>
      </c>
      <c r="AA9" s="84" t="str">
        <f>CONCATENATE("A(",U8,")=")</f>
        <v>A(#NA)=</v>
      </c>
      <c r="AB9" s="84" t="e">
        <f>IF(U8=RisePerWLS,0,VLOOKUP(U8,STN_TABLE,3,FALSE))</f>
        <v>#VALUE!</v>
      </c>
      <c r="AC9" t="str">
        <f>CONCATENATE("A(",U9,")=")</f>
        <v>A(#NA)=</v>
      </c>
      <c r="AD9" t="e">
        <f>Z9+AB9</f>
        <v>#VALUE!</v>
      </c>
      <c r="AE9" s="66" t="str">
        <f t="shared" ref="AE9:AF13" si="6">G6</f>
        <v>2nd_UWL</v>
      </c>
      <c r="AF9" s="67" t="str">
        <f t="shared" si="6"/>
        <v>#NA</v>
      </c>
      <c r="AG9" s="76" t="str">
        <f>AF11</f>
        <v>#NA</v>
      </c>
      <c r="AH9" s="77" t="e">
        <f>VLOOKUP(AG9,STN_TABLE,2,FALSE)</f>
        <v>#N/A</v>
      </c>
      <c r="AI9" s="77">
        <v>8</v>
      </c>
      <c r="AJ9" s="77" t="e">
        <f>AH9*AI9</f>
        <v>#N/A</v>
      </c>
      <c r="AK9" s="77">
        <v>10</v>
      </c>
      <c r="AL9" s="77" t="e">
        <f>AH9*AK9</f>
        <v>#N/A</v>
      </c>
      <c r="AM9" s="78" t="s">
        <v>97</v>
      </c>
      <c r="AN9" s="78"/>
      <c r="AO9" s="78" t="s">
        <v>98</v>
      </c>
      <c r="AP9" s="78"/>
      <c r="AQ9" s="7" t="s">
        <v>99</v>
      </c>
      <c r="AR9" s="7"/>
      <c r="AS9" s="7"/>
      <c r="AT9" s="7"/>
    </row>
    <row r="10" spans="1:46" x14ac:dyDescent="0.25">
      <c r="A10">
        <v>7</v>
      </c>
      <c r="B10" s="80">
        <f t="shared" si="2"/>
        <v>3</v>
      </c>
      <c r="C10" s="81">
        <f t="shared" si="3"/>
        <v>4.2300000000000004</v>
      </c>
      <c r="D10" s="81">
        <f t="shared" si="4"/>
        <v>43.17</v>
      </c>
      <c r="E10" s="77">
        <f t="shared" si="5"/>
        <v>143.21333333333334</v>
      </c>
      <c r="G10" t="s">
        <v>107</v>
      </c>
      <c r="H10" t="str">
        <f>VLOOKUP(Station_No,RISE_CALC,9,FALSE)</f>
        <v>#NA</v>
      </c>
      <c r="K10" t="str">
        <f>CONCATENATE("A(",H8,")=")</f>
        <v>A(#NA)=</v>
      </c>
      <c r="L10" t="e">
        <f>IFERROR(AR5,IFERROR(AL12,AR15))</f>
        <v>#VALUE!</v>
      </c>
      <c r="Q10" s="80"/>
      <c r="R10" s="81"/>
      <c r="V10" s="89" t="e">
        <f>SUM(V8:V9)</f>
        <v>#N/A</v>
      </c>
      <c r="X10" s="89" t="e">
        <f>SUM(X8:X9)</f>
        <v>#N/A</v>
      </c>
      <c r="Y10" s="84" t="str">
        <f>CONCATENATE("m'(",U9,")=")</f>
        <v>m'(#NA)=</v>
      </c>
      <c r="Z10" s="84" t="e">
        <f>(2*(Z7^2)/6*X10)+(Z9*U8*WLS)</f>
        <v>#VALUE!</v>
      </c>
      <c r="AA10" s="84" t="str">
        <f>CONCATENATE("M(",U8,")=")</f>
        <v>M(#NA)=</v>
      </c>
      <c r="AB10" s="84" t="e">
        <f>IF(U8=RisePerWLS,0,VLOOKUP(U8,STN_TABLE,4,FALSE))</f>
        <v>#VALUE!</v>
      </c>
      <c r="AC10" t="str">
        <f>CONCATENATE("M(",U9,")=")</f>
        <v>M(#NA)=</v>
      </c>
      <c r="AD10" t="e">
        <f>Z10+AB10</f>
        <v>#VALUE!</v>
      </c>
      <c r="AE10" s="66" t="str">
        <f t="shared" si="6"/>
        <v>3rd_UWL</v>
      </c>
      <c r="AF10" s="67" t="str">
        <f t="shared" si="6"/>
        <v>#NA</v>
      </c>
      <c r="AG10" s="82" t="e">
        <f>IF(AG8-AG9=AG9-AF12,AF12,IF(AG8-AG9=AG9-AF13,AF13,"-"))</f>
        <v>#VALUE!</v>
      </c>
      <c r="AH10" s="83" t="e">
        <f>VLOOKUP(AG10,STN_TABLE,2,FALSE)</f>
        <v>#VALUE!</v>
      </c>
      <c r="AI10" s="83">
        <v>-1</v>
      </c>
      <c r="AJ10" s="83" t="e">
        <f>AH10*AI10</f>
        <v>#VALUE!</v>
      </c>
      <c r="AK10" s="83">
        <v>-1</v>
      </c>
      <c r="AL10" s="83" t="e">
        <f>AH10*AK10</f>
        <v>#VALUE!</v>
      </c>
      <c r="AM10" s="84" t="str">
        <f>CONCATENATE("a'(",AG9,")=")</f>
        <v>a'(#NA)=</v>
      </c>
      <c r="AN10" s="84" t="e">
        <f>2*AN8/12*AJ11</f>
        <v>#VALUE!</v>
      </c>
      <c r="AO10" s="84" t="e">
        <f>CONCATENATE("A(",AG8,")=")</f>
        <v>#VALUE!</v>
      </c>
      <c r="AP10" s="84" t="e">
        <f>VLOOKUP(AG8,STN_TABLE,3,FALSE)</f>
        <v>#VALUE!</v>
      </c>
      <c r="AQ10" t="str">
        <f>CONCATENATE("A(",AG9,")=")</f>
        <v>A(#NA)=</v>
      </c>
      <c r="AR10" t="e">
        <f>AN10+AP10</f>
        <v>#VALUE!</v>
      </c>
    </row>
    <row r="11" spans="1:46" x14ac:dyDescent="0.25">
      <c r="A11">
        <v>8</v>
      </c>
      <c r="B11" s="80">
        <f t="shared" si="2"/>
        <v>4</v>
      </c>
      <c r="C11" s="81">
        <f t="shared" si="3"/>
        <v>4.47</v>
      </c>
      <c r="D11" s="81">
        <f t="shared" si="4"/>
        <v>60.336666666666666</v>
      </c>
      <c r="E11" s="77">
        <f t="shared" si="5"/>
        <v>263.92666666666662</v>
      </c>
      <c r="G11" t="s">
        <v>108</v>
      </c>
      <c r="H11" t="str">
        <f>VLOOKUP(Station_No,RISE_CALC,10,FALSE)</f>
        <v>#NA</v>
      </c>
      <c r="K11" t="str">
        <f>CONCATENATE("M(",H8,")=")</f>
        <v>M(#NA)=</v>
      </c>
      <c r="L11" t="e">
        <f>IFERROR(AR6,IFERROR(AL13,AR16))</f>
        <v>#VALUE!</v>
      </c>
      <c r="Q11" s="80"/>
      <c r="R11" s="81"/>
      <c r="AE11" s="66" t="str">
        <f t="shared" si="6"/>
        <v>4th_UWL</v>
      </c>
      <c r="AF11" s="67" t="str">
        <f t="shared" si="6"/>
        <v>#NA</v>
      </c>
      <c r="AJ11" s="89" t="e">
        <f>SUM(AJ8:AJ10)</f>
        <v>#VALUE!</v>
      </c>
      <c r="AL11" s="89" t="e">
        <f>SUM(AL8:AL10)</f>
        <v>#VALUE!</v>
      </c>
      <c r="AM11" s="84" t="str">
        <f>CONCATENATE("m'(",AG9,")=")</f>
        <v>m'(#NA)=</v>
      </c>
      <c r="AN11" s="84" t="e">
        <f>(2*(AN8^2)/24*AL11)+(AN10*AG8*WLS)</f>
        <v>#VALUE!</v>
      </c>
      <c r="AO11" s="84" t="e">
        <f>CONCATENATE("M(",AG8,")=")</f>
        <v>#VALUE!</v>
      </c>
      <c r="AP11" s="84" t="e">
        <f>VLOOKUP(AG8,STN_TABLE,4,FALSE)</f>
        <v>#VALUE!</v>
      </c>
      <c r="AQ11" t="str">
        <f>CONCATENATE("M(",AG9,")=")</f>
        <v>M(#NA)=</v>
      </c>
      <c r="AR11" t="e">
        <f>AN11+AP11</f>
        <v>#VALUE!</v>
      </c>
    </row>
    <row r="12" spans="1:46" x14ac:dyDescent="0.25">
      <c r="A12">
        <v>9</v>
      </c>
      <c r="B12" s="80">
        <f t="shared" si="2"/>
        <v>4.8499999999999996</v>
      </c>
      <c r="C12" s="81">
        <f t="shared" si="3"/>
        <v>4.87</v>
      </c>
      <c r="D12" s="81">
        <f t="shared" si="4"/>
        <v>76.214666666666659</v>
      </c>
      <c r="E12" s="77">
        <f t="shared" si="5"/>
        <v>404.63963333333322</v>
      </c>
      <c r="Q12" s="90" t="s">
        <v>109</v>
      </c>
      <c r="R12" s="81"/>
      <c r="AE12" s="66" t="str">
        <f t="shared" si="6"/>
        <v>5th_UWL</v>
      </c>
      <c r="AF12" s="67" t="str">
        <f t="shared" si="6"/>
        <v>#NA</v>
      </c>
      <c r="AI12" t="s">
        <v>103</v>
      </c>
      <c r="AK12" t="str">
        <f>CONCATENATE("A(",AG9,")=")</f>
        <v>A(#NA)=</v>
      </c>
      <c r="AL12" t="e">
        <f>IF(OR(AR10&lt;=0,AR11&lt;=0),AR15,AR10)</f>
        <v>#VALUE!</v>
      </c>
    </row>
    <row r="13" spans="1:46" x14ac:dyDescent="0.25">
      <c r="A13">
        <v>10</v>
      </c>
      <c r="B13" s="80">
        <f t="shared" si="2"/>
        <v>5</v>
      </c>
      <c r="C13" s="81">
        <f t="shared" si="3"/>
        <v>4.9399999999999995</v>
      </c>
      <c r="D13" s="81">
        <f t="shared" si="4"/>
        <v>79.236666666666665</v>
      </c>
      <c r="E13" s="77">
        <f t="shared" si="5"/>
        <v>433.64</v>
      </c>
      <c r="G13" s="71" t="s">
        <v>110</v>
      </c>
      <c r="Q13" s="66" t="str">
        <f t="shared" ref="Q13:R16" si="7">G4</f>
        <v>Rise</v>
      </c>
      <c r="R13" s="67" t="e">
        <f t="shared" si="7"/>
        <v>#VALUE!</v>
      </c>
      <c r="S13" s="68" t="e">
        <f>IF(R16-R15=R15-R14,R14,IF(R16-R14=R14-R13,R13,"-"))</f>
        <v>#VALUE!</v>
      </c>
      <c r="T13" s="69" t="e">
        <f>IFERROR(VLOOKUP(S13,STN_TABLE,2,FALSE),IF(R13=RisePerWLS,0,"-"))</f>
        <v>#VALUE!</v>
      </c>
      <c r="U13" s="69">
        <v>1</v>
      </c>
      <c r="V13" s="69" t="e">
        <f>T13*U13</f>
        <v>#VALUE!</v>
      </c>
      <c r="W13" s="69" t="e">
        <f>S13</f>
        <v>#VALUE!</v>
      </c>
      <c r="X13" s="69" t="e">
        <f>V13*W13</f>
        <v>#VALUE!</v>
      </c>
      <c r="Y13" s="6" t="s">
        <v>93</v>
      </c>
      <c r="Z13" s="70" t="e">
        <f>IF(AND(T13=0,T14=0,T15=0),WLS*(S15-S14),IF(AND(S15-S14=S14-S13,S14&lt;&gt;S15,S13&lt;&gt;S14,S13&lt;&gt;S15,T15&lt;&gt;0,OR(T13&lt;&gt;0,T14&lt;&gt;0)),WLS*(S15-S14),"#NA"))</f>
        <v>#VALUE!</v>
      </c>
      <c r="AE13" s="66" t="str">
        <f t="shared" si="6"/>
        <v>6th_UWL</v>
      </c>
      <c r="AF13" s="67" t="str">
        <f t="shared" si="6"/>
        <v>#NA</v>
      </c>
      <c r="AK13" t="str">
        <f>CONCATENATE("M(",AG9,")=")</f>
        <v>M(#NA)=</v>
      </c>
      <c r="AL13" t="e">
        <f>IF(OR(AR10&lt;=0,AR11&lt;=0),AR16,AR11)</f>
        <v>#VALUE!</v>
      </c>
      <c r="AM13" s="6" t="s">
        <v>93</v>
      </c>
      <c r="AN13" s="70" t="e">
        <f>WLS*(AI15-AI14)</f>
        <v>#VALUE!</v>
      </c>
    </row>
    <row r="14" spans="1:46" x14ac:dyDescent="0.25">
      <c r="A14">
        <v>11</v>
      </c>
      <c r="B14" s="80">
        <f t="shared" si="2"/>
        <v>6</v>
      </c>
      <c r="C14" s="81">
        <f t="shared" si="3"/>
        <v>5.59</v>
      </c>
      <c r="D14" s="81">
        <f t="shared" si="4"/>
        <v>100.09666666666666</v>
      </c>
      <c r="E14" s="77">
        <f t="shared" si="5"/>
        <v>664.51333333333321</v>
      </c>
      <c r="G14" s="91" t="str">
        <f>G4</f>
        <v>Rise</v>
      </c>
      <c r="H14" s="91" t="e">
        <f>RisePerWLS</f>
        <v>#VALUE!</v>
      </c>
      <c r="I14" s="68" t="e">
        <f>H14</f>
        <v>#VALUE!</v>
      </c>
      <c r="J14" s="69">
        <v>0</v>
      </c>
      <c r="K14" s="69">
        <v>5</v>
      </c>
      <c r="L14" s="69">
        <f>J14*K14</f>
        <v>0</v>
      </c>
      <c r="M14" s="69">
        <v>3</v>
      </c>
      <c r="N14" s="69">
        <f>J14*M14</f>
        <v>0</v>
      </c>
      <c r="O14" t="s">
        <v>93</v>
      </c>
      <c r="P14" t="e">
        <f>IF(AND(NOT(AND(J14=0,J15=0)),I14&lt;&gt;I15,I15&lt;&gt;I16,I16-I15=I15-I14),(I16-I15)*WLS,"#NA")</f>
        <v>#N/A</v>
      </c>
      <c r="Q14" s="66" t="str">
        <f t="shared" si="7"/>
        <v>1st_UWL</v>
      </c>
      <c r="R14" s="67" t="str">
        <f t="shared" si="7"/>
        <v>#NA</v>
      </c>
      <c r="S14" s="76" t="e">
        <f>IF(R16-R15=R15-R14,R15,IF(R16-R14=R14-R13,R14,"-"))</f>
        <v>#VALUE!</v>
      </c>
      <c r="T14" s="77" t="e">
        <f>VLOOKUP(S14,STN_TABLE,2,FALSE)</f>
        <v>#VALUE!</v>
      </c>
      <c r="U14" s="77">
        <v>4</v>
      </c>
      <c r="V14" s="77" t="e">
        <f>T14*U14</f>
        <v>#VALUE!</v>
      </c>
      <c r="W14" s="77" t="e">
        <f>S14</f>
        <v>#VALUE!</v>
      </c>
      <c r="X14" s="77" t="e">
        <f>V14*W14</f>
        <v>#VALUE!</v>
      </c>
      <c r="Y14" s="78" t="s">
        <v>97</v>
      </c>
      <c r="Z14" s="78"/>
      <c r="AA14" s="78" t="s">
        <v>98</v>
      </c>
      <c r="AB14" s="78"/>
      <c r="AC14" s="7" t="s">
        <v>99</v>
      </c>
      <c r="AD14" s="7"/>
      <c r="AE14" s="66"/>
      <c r="AF14" s="67"/>
      <c r="AI14" s="79" t="str">
        <f>AF10</f>
        <v>#NA</v>
      </c>
      <c r="AJ14" s="68" t="e">
        <f>VLOOKUP(AI14,STN_TABLE,2,FALSE)</f>
        <v>#N/A</v>
      </c>
      <c r="AK14" s="68">
        <v>1</v>
      </c>
      <c r="AL14" s="69" t="e">
        <f>AJ14*AK14</f>
        <v>#N/A</v>
      </c>
      <c r="AM14" s="78" t="s">
        <v>97</v>
      </c>
      <c r="AN14" s="78"/>
      <c r="AO14" s="78" t="s">
        <v>98</v>
      </c>
      <c r="AP14" s="78"/>
      <c r="AQ14" s="7" t="s">
        <v>99</v>
      </c>
      <c r="AR14" s="7"/>
      <c r="AS14" s="7"/>
      <c r="AT14" s="7"/>
    </row>
    <row r="15" spans="1:46" x14ac:dyDescent="0.25">
      <c r="A15">
        <v>12</v>
      </c>
      <c r="B15" s="80">
        <f t="shared" si="2"/>
        <v>6.5</v>
      </c>
      <c r="C15" s="81">
        <f t="shared" si="3"/>
        <v>5.94</v>
      </c>
      <c r="D15" s="81">
        <f t="shared" si="4"/>
        <v>111.62666666666667</v>
      </c>
      <c r="E15" s="77">
        <f t="shared" si="5"/>
        <v>808.69666666666649</v>
      </c>
      <c r="G15" s="91" t="str">
        <f>G5</f>
        <v>1st_UWL</v>
      </c>
      <c r="H15" s="91" t="str">
        <f>H5</f>
        <v>#NA</v>
      </c>
      <c r="I15" s="76" t="str">
        <f>H15</f>
        <v>#NA</v>
      </c>
      <c r="J15" s="77" t="e">
        <f>VLOOKUP(I15,STN_TABLE,2,FALSE)</f>
        <v>#N/A</v>
      </c>
      <c r="K15" s="77">
        <v>8</v>
      </c>
      <c r="L15" s="77" t="e">
        <f>J15*K15</f>
        <v>#N/A</v>
      </c>
      <c r="M15" s="77">
        <v>10</v>
      </c>
      <c r="N15" s="77" t="e">
        <f>J15*M15</f>
        <v>#N/A</v>
      </c>
      <c r="O15" t="str">
        <f>CONCATENATE("A(",I15,")=")</f>
        <v>A(#NA)=</v>
      </c>
      <c r="P15" t="e">
        <f>2*P14/12*L17</f>
        <v>#N/A</v>
      </c>
      <c r="Q15" s="66" t="str">
        <f t="shared" si="7"/>
        <v>2nd_UWL</v>
      </c>
      <c r="R15" s="67" t="str">
        <f t="shared" si="7"/>
        <v>#NA</v>
      </c>
      <c r="S15" s="82" t="str">
        <f>R16</f>
        <v>#NA</v>
      </c>
      <c r="T15" s="83" t="e">
        <f>VLOOKUP(S15,STN_TABLE,2,FALSE)</f>
        <v>#N/A</v>
      </c>
      <c r="U15" s="83">
        <v>1</v>
      </c>
      <c r="V15" s="83" t="e">
        <f>T15*U15</f>
        <v>#N/A</v>
      </c>
      <c r="W15" s="83" t="str">
        <f>S15</f>
        <v>#NA</v>
      </c>
      <c r="X15" s="83" t="e">
        <f>V15*W15</f>
        <v>#N/A</v>
      </c>
      <c r="Y15" s="84" t="str">
        <f>CONCATENATE("a'(",S15,")=")</f>
        <v>a'(#NA)=</v>
      </c>
      <c r="Z15" s="84" t="e">
        <f>2*Z13/3*V16</f>
        <v>#VALUE!</v>
      </c>
      <c r="AA15" s="84" t="e">
        <f>CONCATENATE("A(",S13,")=")</f>
        <v>#VALUE!</v>
      </c>
      <c r="AB15" s="84" t="e">
        <f>IF(S13=RisePerWLS,0,VLOOKUP(S13,STN_TABLE,3,FALSE))</f>
        <v>#VALUE!</v>
      </c>
      <c r="AC15" t="str">
        <f>CONCATENATE("A(",S15,")=")</f>
        <v>A(#NA)=</v>
      </c>
      <c r="AD15" t="e">
        <f>Z15+AB15</f>
        <v>#VALUE!</v>
      </c>
      <c r="AE15" s="80"/>
      <c r="AI15" s="88" t="str">
        <f>AF11</f>
        <v>#NA</v>
      </c>
      <c r="AJ15" s="82" t="e">
        <f>VLOOKUP(AI15,STN_TABLE,2,FALSE)</f>
        <v>#N/A</v>
      </c>
      <c r="AK15" s="82">
        <v>2</v>
      </c>
      <c r="AL15" s="83" t="e">
        <f>AJ15*AK15</f>
        <v>#N/A</v>
      </c>
      <c r="AM15" s="84" t="str">
        <f>CONCATENATE("a'(",AI15,")=")</f>
        <v>a'(#NA)=</v>
      </c>
      <c r="AN15" s="84" t="e">
        <f>2*AN13/2*AJ16</f>
        <v>#VALUE!</v>
      </c>
      <c r="AO15" s="84" t="str">
        <f>CONCATENATE("A(",AI14,")=")</f>
        <v>A(#NA)=</v>
      </c>
      <c r="AP15" s="84" t="e">
        <f>IF(AI14=RisePerWLS,0,VLOOKUP(AI14,STN_TABLE,3,FALSE))</f>
        <v>#VALUE!</v>
      </c>
      <c r="AQ15" t="str">
        <f>CONCATENATE("A(",AI15,")=")</f>
        <v>A(#NA)=</v>
      </c>
      <c r="AR15" t="e">
        <f>AN15+AP15</f>
        <v>#VALUE!</v>
      </c>
    </row>
    <row r="16" spans="1:46" x14ac:dyDescent="0.25">
      <c r="A16">
        <v>13</v>
      </c>
      <c r="B16" s="80" t="str">
        <f t="shared" si="2"/>
        <v xml:space="preserve">  </v>
      </c>
      <c r="C16" s="81" t="str">
        <f t="shared" si="3"/>
        <v xml:space="preserve">  </v>
      </c>
      <c r="D16" s="81" t="str">
        <f t="shared" si="4"/>
        <v xml:space="preserve"> </v>
      </c>
      <c r="E16" s="77" t="str">
        <f t="shared" si="5"/>
        <v xml:space="preserve"> </v>
      </c>
      <c r="G16" s="91" t="str">
        <f>G6</f>
        <v>2nd_UWL</v>
      </c>
      <c r="H16" s="91" t="str">
        <f>H6</f>
        <v>#NA</v>
      </c>
      <c r="I16" s="82" t="e">
        <f>IF(H16-H15=H15-H14,H16,"#NA")</f>
        <v>#VALUE!</v>
      </c>
      <c r="J16" s="83" t="e">
        <f>VLOOKUP(I16,STN_TABLE,2,FALSE)</f>
        <v>#VALUE!</v>
      </c>
      <c r="K16" s="83">
        <v>-1</v>
      </c>
      <c r="L16" s="83" t="e">
        <f>J16*K16</f>
        <v>#VALUE!</v>
      </c>
      <c r="M16" s="83">
        <v>-1</v>
      </c>
      <c r="N16" s="83" t="e">
        <f>J16*M16</f>
        <v>#VALUE!</v>
      </c>
      <c r="O16" t="str">
        <f>CONCATENATE("M(",I15,")=")</f>
        <v>M(#NA)=</v>
      </c>
      <c r="P16" t="e">
        <f>(2*(P14^2)/24*N17)+P15*I14*WLS</f>
        <v>#N/A</v>
      </c>
      <c r="Q16" s="66" t="str">
        <f t="shared" si="7"/>
        <v>3rd_UWL</v>
      </c>
      <c r="R16" s="67" t="str">
        <f t="shared" si="7"/>
        <v>#NA</v>
      </c>
      <c r="V16" s="89" t="e">
        <f>SUM(V13:V15)</f>
        <v>#VALUE!</v>
      </c>
      <c r="X16" s="89" t="e">
        <f>SUM(X13:X15)</f>
        <v>#VALUE!</v>
      </c>
      <c r="Y16" s="84" t="str">
        <f>CONCATENATE("m'(",S15,")=")</f>
        <v>m'(#NA)=</v>
      </c>
      <c r="Z16" s="84" t="e">
        <f>2*(Z13*WLS)/3*X16</f>
        <v>#VALUE!</v>
      </c>
      <c r="AA16" s="84" t="e">
        <f>CONCATENATE("M(",S13,")=")</f>
        <v>#VALUE!</v>
      </c>
      <c r="AB16" s="84" t="e">
        <f>IF(S13=RisePerWLS,0,VLOOKUP(S13,STN_TABLE,4,FALSE))</f>
        <v>#VALUE!</v>
      </c>
      <c r="AC16" t="str">
        <f>CONCATENATE("M(",S15,")=")</f>
        <v>M(#NA)=</v>
      </c>
      <c r="AD16" t="e">
        <f>Z16+AB16</f>
        <v>#VALUE!</v>
      </c>
      <c r="AE16" s="80"/>
      <c r="AJ16" s="89" t="e">
        <f>SUM(AJ14:AJ15)</f>
        <v>#N/A</v>
      </c>
      <c r="AL16" s="89" t="e">
        <f>SUM(AL14:AL15)</f>
        <v>#N/A</v>
      </c>
      <c r="AM16" s="84" t="str">
        <f>CONCATENATE("m'(",AI15,")=")</f>
        <v>m'(#NA)=</v>
      </c>
      <c r="AN16" s="84" t="e">
        <f>(2*(AN13^2)/6*AL16)+(AN15*AI14*WLS)</f>
        <v>#VALUE!</v>
      </c>
      <c r="AO16" s="84" t="str">
        <f>CONCATENATE("M(",AI14,")=")</f>
        <v>M(#NA)=</v>
      </c>
      <c r="AP16" s="84" t="e">
        <f>IF(AI14=RisePerWLS,0,VLOOKUP(AI14,STN_TABLE,4,FALSE))</f>
        <v>#VALUE!</v>
      </c>
      <c r="AQ16" t="str">
        <f>CONCATENATE("M(",AI15,")=")</f>
        <v>M(#NA)=</v>
      </c>
      <c r="AR16" t="e">
        <f>AN16+AP16</f>
        <v>#VALUE!</v>
      </c>
    </row>
    <row r="17" spans="1:35" x14ac:dyDescent="0.25">
      <c r="A17">
        <v>14</v>
      </c>
      <c r="B17" s="80" t="str">
        <f t="shared" si="2"/>
        <v xml:space="preserve">  </v>
      </c>
      <c r="C17" s="81" t="str">
        <f t="shared" si="3"/>
        <v xml:space="preserve">  </v>
      </c>
      <c r="D17" s="81" t="str">
        <f t="shared" si="4"/>
        <v xml:space="preserve"> </v>
      </c>
      <c r="E17" s="77" t="str">
        <f t="shared" si="5"/>
        <v xml:space="preserve"> </v>
      </c>
      <c r="G17" s="91"/>
      <c r="H17" s="91"/>
      <c r="L17" s="89" t="e">
        <f>SUM(L14:L16)</f>
        <v>#N/A</v>
      </c>
      <c r="N17" s="89" t="e">
        <f>SUM(N14:N16)</f>
        <v>#N/A</v>
      </c>
      <c r="Q17" s="66"/>
      <c r="R17" s="67"/>
      <c r="AE17" s="90"/>
    </row>
    <row r="18" spans="1:35" x14ac:dyDescent="0.25">
      <c r="A18">
        <v>15</v>
      </c>
      <c r="B18" s="80" t="str">
        <f t="shared" si="2"/>
        <v xml:space="preserve">  </v>
      </c>
      <c r="C18" s="81" t="str">
        <f t="shared" si="3"/>
        <v xml:space="preserve">  </v>
      </c>
      <c r="D18" s="81" t="str">
        <f t="shared" si="4"/>
        <v xml:space="preserve"> </v>
      </c>
      <c r="E18" s="77" t="str">
        <f t="shared" si="5"/>
        <v xml:space="preserve"> </v>
      </c>
      <c r="G18" s="91"/>
      <c r="H18" s="91"/>
      <c r="K18" t="s">
        <v>103</v>
      </c>
      <c r="M18" t="str">
        <f>CONCATENATE("A(",I15,")=")</f>
        <v>A(#NA)=</v>
      </c>
      <c r="N18" t="e">
        <f>IF(OR(P15&lt;=0,P16&lt;=0),N22,P15)</f>
        <v>#N/A</v>
      </c>
      <c r="Q18" s="66"/>
      <c r="R18" s="67"/>
      <c r="AE18" s="80"/>
    </row>
    <row r="19" spans="1:35" x14ac:dyDescent="0.25">
      <c r="A19">
        <v>16</v>
      </c>
      <c r="B19" s="80" t="str">
        <f t="shared" si="2"/>
        <v xml:space="preserve">  </v>
      </c>
      <c r="C19" s="81" t="str">
        <f t="shared" si="3"/>
        <v xml:space="preserve">  </v>
      </c>
      <c r="D19" s="81" t="str">
        <f t="shared" si="4"/>
        <v xml:space="preserve"> </v>
      </c>
      <c r="E19" s="77" t="str">
        <f t="shared" si="5"/>
        <v xml:space="preserve"> </v>
      </c>
      <c r="G19" s="91"/>
      <c r="H19" s="91"/>
      <c r="M19" t="str">
        <f>CONCATENATE("M(",I15,")=")</f>
        <v>M(#NA)=</v>
      </c>
      <c r="N19" t="e">
        <f>IF(OR(P15&lt;=0,P16&lt;=0),N23,P16)</f>
        <v>#N/A</v>
      </c>
      <c r="Q19" s="66"/>
      <c r="R19" s="67"/>
      <c r="AE19" s="80"/>
    </row>
    <row r="20" spans="1:35" x14ac:dyDescent="0.25">
      <c r="A20">
        <v>17</v>
      </c>
      <c r="B20" s="80" t="str">
        <f t="shared" si="2"/>
        <v xml:space="preserve">  </v>
      </c>
      <c r="C20" s="81" t="str">
        <f t="shared" si="3"/>
        <v xml:space="preserve">  </v>
      </c>
      <c r="D20" s="81" t="str">
        <f t="shared" si="4"/>
        <v xml:space="preserve"> </v>
      </c>
      <c r="E20" s="77" t="str">
        <f t="shared" si="5"/>
        <v xml:space="preserve"> </v>
      </c>
      <c r="G20" s="91"/>
      <c r="H20" s="91"/>
      <c r="Q20" s="66"/>
      <c r="R20" s="67"/>
      <c r="S20" s="68" t="e">
        <f>IF(OR(R24-R23=R23-R22,R25-R23=R23-R22),R22,IF(OR(R24-R23=R23-R21,R25-R23=R23-R21),R21,"-"))</f>
        <v>#VALUE!</v>
      </c>
      <c r="T20" s="69" t="e">
        <f>IFERROR(VLOOKUP(S20,STN_TABLE,2,FALSE),IF(R20=RisePerWLS,0,"-"))</f>
        <v>#VALUE!</v>
      </c>
      <c r="U20" s="69">
        <v>5</v>
      </c>
      <c r="V20" s="69" t="e">
        <f>T20*U20</f>
        <v>#VALUE!</v>
      </c>
      <c r="W20" s="69">
        <v>3</v>
      </c>
      <c r="X20" s="69" t="e">
        <f>T20*W20</f>
        <v>#VALUE!</v>
      </c>
      <c r="Y20" s="6" t="s">
        <v>93</v>
      </c>
      <c r="Z20" s="70" t="e">
        <f>IF(AND(S22-S21=S21-S20,NOT(AND(S20=0,S21=0)),NOT(AND(S21=0,S22=0))),WLS*(S22-S21),"#NA")</f>
        <v>#VALUE!</v>
      </c>
      <c r="AE20" s="80"/>
    </row>
    <row r="21" spans="1:35" x14ac:dyDescent="0.25">
      <c r="A21">
        <v>18</v>
      </c>
      <c r="B21" s="80" t="str">
        <f t="shared" si="2"/>
        <v xml:space="preserve">  </v>
      </c>
      <c r="C21" s="81" t="str">
        <f t="shared" si="3"/>
        <v xml:space="preserve">  </v>
      </c>
      <c r="D21" s="81" t="str">
        <f t="shared" si="4"/>
        <v xml:space="preserve"> </v>
      </c>
      <c r="E21" s="77" t="str">
        <f t="shared" si="5"/>
        <v xml:space="preserve"> </v>
      </c>
      <c r="G21" s="91"/>
      <c r="H21" s="91" t="str">
        <f>G14</f>
        <v>Rise</v>
      </c>
      <c r="I21" s="79" t="e">
        <f>H14</f>
        <v>#VALUE!</v>
      </c>
      <c r="J21" s="68">
        <v>0</v>
      </c>
      <c r="K21" s="68">
        <v>1</v>
      </c>
      <c r="L21" s="69">
        <f>J21*K21</f>
        <v>0</v>
      </c>
      <c r="M21" t="s">
        <v>93</v>
      </c>
      <c r="N21" t="e">
        <f>(I22-I21)*WLS</f>
        <v>#VALUE!</v>
      </c>
      <c r="Q21" s="66" t="str">
        <f t="shared" ref="Q21:R25" si="8">G5</f>
        <v>1st_UWL</v>
      </c>
      <c r="R21" s="67" t="str">
        <f t="shared" si="8"/>
        <v>#NA</v>
      </c>
      <c r="S21" s="76" t="str">
        <f>R23</f>
        <v>#NA</v>
      </c>
      <c r="T21" s="77" t="e">
        <f>VLOOKUP(S21,STN_TABLE,2,FALSE)</f>
        <v>#N/A</v>
      </c>
      <c r="U21" s="77">
        <v>8</v>
      </c>
      <c r="V21" s="77" t="e">
        <f>T21*U21</f>
        <v>#N/A</v>
      </c>
      <c r="W21" s="77">
        <v>10</v>
      </c>
      <c r="X21" s="77" t="e">
        <f>T21*W21</f>
        <v>#N/A</v>
      </c>
      <c r="Y21" s="78" t="s">
        <v>97</v>
      </c>
      <c r="Z21" s="78"/>
      <c r="AA21" s="78" t="s">
        <v>98</v>
      </c>
      <c r="AB21" s="78"/>
      <c r="AC21" s="7" t="s">
        <v>99</v>
      </c>
      <c r="AD21" s="7"/>
      <c r="AE21" s="80"/>
    </row>
    <row r="22" spans="1:35" x14ac:dyDescent="0.25">
      <c r="A22">
        <v>19</v>
      </c>
      <c r="B22" s="80" t="str">
        <f t="shared" si="2"/>
        <v xml:space="preserve">  </v>
      </c>
      <c r="C22" s="81" t="str">
        <f t="shared" si="3"/>
        <v xml:space="preserve">  </v>
      </c>
      <c r="D22" s="81" t="str">
        <f t="shared" si="4"/>
        <v xml:space="preserve"> </v>
      </c>
      <c r="E22" s="77" t="str">
        <f t="shared" si="5"/>
        <v xml:space="preserve"> </v>
      </c>
      <c r="G22" s="91"/>
      <c r="H22" s="91" t="str">
        <f>G15</f>
        <v>1st_UWL</v>
      </c>
      <c r="I22" s="88" t="str">
        <f>H15</f>
        <v>#NA</v>
      </c>
      <c r="J22" s="82" t="e">
        <f>VLOOKUP(I22,STN_TABLE,2,FALSE)</f>
        <v>#N/A</v>
      </c>
      <c r="K22" s="82">
        <v>2</v>
      </c>
      <c r="L22" s="83" t="e">
        <f>J22*K22</f>
        <v>#N/A</v>
      </c>
      <c r="M22" t="str">
        <f>CONCATENATE("A(",I22,")=")</f>
        <v>A(#NA)=</v>
      </c>
      <c r="N22" t="e">
        <f>2*N21/2*J23</f>
        <v>#VALUE!</v>
      </c>
      <c r="Q22" s="66" t="str">
        <f t="shared" si="8"/>
        <v>2nd_UWL</v>
      </c>
      <c r="R22" s="67" t="str">
        <f t="shared" si="8"/>
        <v>#NA</v>
      </c>
      <c r="S22" s="82" t="e">
        <f>IF(S20-S21=S21-R24,R24,IF(S20-S21=S21-R25,R25,"-"))</f>
        <v>#VALUE!</v>
      </c>
      <c r="T22" s="83" t="e">
        <f>VLOOKUP(S22,STN_TABLE,2,FALSE)</f>
        <v>#VALUE!</v>
      </c>
      <c r="U22" s="83">
        <v>-1</v>
      </c>
      <c r="V22" s="83" t="e">
        <f>T22*U22</f>
        <v>#VALUE!</v>
      </c>
      <c r="W22" s="83">
        <v>-1</v>
      </c>
      <c r="X22" s="83" t="e">
        <f>T22*W22</f>
        <v>#VALUE!</v>
      </c>
      <c r="Y22" s="84" t="str">
        <f>CONCATENATE("a'(",S21,")=")</f>
        <v>a'(#NA)=</v>
      </c>
      <c r="Z22" s="84" t="e">
        <f>2*Z20/12*V23</f>
        <v>#VALUE!</v>
      </c>
      <c r="AA22" s="84" t="e">
        <f>CONCATENATE("A(",S20,")=")</f>
        <v>#VALUE!</v>
      </c>
      <c r="AB22" s="84" t="e">
        <f>IF(S20=RisePerWLS,0,VLOOKUP(S20,STN_TABLE,3,FALSE))</f>
        <v>#VALUE!</v>
      </c>
      <c r="AC22" t="str">
        <f>CONCATENATE("A(",S21,")=")</f>
        <v>A(#NA)=</v>
      </c>
      <c r="AD22" t="e">
        <f>Z22+AB22</f>
        <v>#VALUE!</v>
      </c>
      <c r="AE22" s="80"/>
    </row>
    <row r="23" spans="1:35" x14ac:dyDescent="0.25">
      <c r="A23">
        <v>20</v>
      </c>
      <c r="B23" s="80" t="str">
        <f t="shared" si="2"/>
        <v xml:space="preserve">  </v>
      </c>
      <c r="C23" s="81" t="str">
        <f t="shared" si="3"/>
        <v xml:space="preserve">  </v>
      </c>
      <c r="D23" s="81" t="str">
        <f t="shared" si="4"/>
        <v xml:space="preserve"> </v>
      </c>
      <c r="E23" s="77" t="str">
        <f t="shared" si="5"/>
        <v xml:space="preserve"> </v>
      </c>
      <c r="J23" s="89" t="e">
        <f>SUM(J21:J22)</f>
        <v>#N/A</v>
      </c>
      <c r="L23" s="89" t="e">
        <f>SUM(L21:L22)</f>
        <v>#N/A</v>
      </c>
      <c r="M23" t="str">
        <f>CONCATENATE("M(",I22,")=")</f>
        <v>M(#NA)=</v>
      </c>
      <c r="N23" t="e">
        <f>(2*(N21^2)/6*L23)+N22*I21*WLS</f>
        <v>#VALUE!</v>
      </c>
      <c r="Q23" s="66" t="str">
        <f t="shared" si="8"/>
        <v>3rd_UWL</v>
      </c>
      <c r="R23" s="67" t="str">
        <f t="shared" si="8"/>
        <v>#NA</v>
      </c>
      <c r="V23" s="89" t="e">
        <f>SUM(V20:V22)</f>
        <v>#VALUE!</v>
      </c>
      <c r="X23" s="89" t="e">
        <f>SUM(X20:X22)</f>
        <v>#VALUE!</v>
      </c>
      <c r="Y23" s="84" t="str">
        <f>CONCATENATE("m'(",S21,")=")</f>
        <v>m'(#NA)=</v>
      </c>
      <c r="Z23" s="84" t="e">
        <f>(2*(Z20^2)/24*X23)+(Z22*S20*WLS)</f>
        <v>#VALUE!</v>
      </c>
      <c r="AA23" s="84" t="e">
        <f>CONCATENATE("M(",S20,")=")</f>
        <v>#VALUE!</v>
      </c>
      <c r="AB23" s="84" t="e">
        <f>IF(S20=RisePerWLS,0,VLOOKUP(S20,STN_TABLE,4,FALSE))</f>
        <v>#VALUE!</v>
      </c>
      <c r="AC23" t="str">
        <f>CONCATENATE("M(",S21,")=")</f>
        <v>M(#NA)=</v>
      </c>
      <c r="AD23" t="e">
        <f>Z23+AB23</f>
        <v>#VALUE!</v>
      </c>
      <c r="AE23" s="80"/>
    </row>
    <row r="24" spans="1:35" x14ac:dyDescent="0.25">
      <c r="A24">
        <v>21</v>
      </c>
      <c r="B24" s="80" t="str">
        <f t="shared" si="2"/>
        <v xml:space="preserve">  </v>
      </c>
      <c r="C24" s="81" t="str">
        <f t="shared" si="3"/>
        <v xml:space="preserve">  </v>
      </c>
      <c r="D24" s="81" t="str">
        <f t="shared" si="4"/>
        <v xml:space="preserve"> </v>
      </c>
      <c r="E24" s="77" t="str">
        <f t="shared" si="5"/>
        <v xml:space="preserve"> </v>
      </c>
      <c r="Q24" s="66" t="str">
        <f t="shared" si="8"/>
        <v>4th_UWL</v>
      </c>
      <c r="R24" s="67" t="str">
        <f t="shared" si="8"/>
        <v>#NA</v>
      </c>
      <c r="U24" t="s">
        <v>103</v>
      </c>
      <c r="W24" t="str">
        <f>CONCATENATE("A(",S21,")=")</f>
        <v>A(#NA)=</v>
      </c>
      <c r="X24" t="e">
        <f>IF(OR(AD22&lt;=0,AD23&lt;=0),AD27,AD22)</f>
        <v>#VALUE!</v>
      </c>
      <c r="AE24" s="80"/>
    </row>
    <row r="25" spans="1:35" x14ac:dyDescent="0.25">
      <c r="A25">
        <v>22</v>
      </c>
      <c r="B25" s="80" t="str">
        <f t="shared" si="2"/>
        <v xml:space="preserve">  </v>
      </c>
      <c r="C25" s="81" t="str">
        <f t="shared" si="3"/>
        <v xml:space="preserve">  </v>
      </c>
      <c r="D25" s="81" t="str">
        <f t="shared" si="4"/>
        <v xml:space="preserve"> </v>
      </c>
      <c r="E25" s="77" t="str">
        <f t="shared" si="5"/>
        <v xml:space="preserve"> </v>
      </c>
      <c r="G25" s="71" t="s">
        <v>111</v>
      </c>
      <c r="Q25" s="66" t="str">
        <f t="shared" si="8"/>
        <v>5th_UWL</v>
      </c>
      <c r="R25" s="67" t="str">
        <f t="shared" si="8"/>
        <v>#NA</v>
      </c>
      <c r="W25" t="str">
        <f>CONCATENATE("M(",S21,")=")</f>
        <v>M(#NA)=</v>
      </c>
      <c r="X25" t="e">
        <f>IF(OR(AD22&lt;=0,AD23&lt;=0),AD28,AD23)</f>
        <v>#VALUE!</v>
      </c>
      <c r="Y25" s="6" t="s">
        <v>93</v>
      </c>
      <c r="Z25" s="70" t="e">
        <f>WLS*(U27-U26)</f>
        <v>#VALUE!</v>
      </c>
      <c r="AE25" s="80"/>
    </row>
    <row r="26" spans="1:35" x14ac:dyDescent="0.25">
      <c r="A26">
        <v>23</v>
      </c>
      <c r="B26" s="80" t="str">
        <f t="shared" si="2"/>
        <v xml:space="preserve">  </v>
      </c>
      <c r="C26" s="81" t="str">
        <f t="shared" si="3"/>
        <v xml:space="preserve">  </v>
      </c>
      <c r="D26" s="81" t="str">
        <f t="shared" si="4"/>
        <v xml:space="preserve"> </v>
      </c>
      <c r="E26" s="77" t="str">
        <f t="shared" si="5"/>
        <v xml:space="preserve"> </v>
      </c>
      <c r="G26" s="91" t="str">
        <f t="shared" ref="G26:H28" si="9">G4</f>
        <v>Rise</v>
      </c>
      <c r="H26" s="91" t="e">
        <f t="shared" si="9"/>
        <v>#VALUE!</v>
      </c>
      <c r="I26" s="68" t="e">
        <f>H26</f>
        <v>#VALUE!</v>
      </c>
      <c r="J26" s="69">
        <v>0</v>
      </c>
      <c r="K26" s="69">
        <v>1</v>
      </c>
      <c r="L26" s="69">
        <f>J26*K26</f>
        <v>0</v>
      </c>
      <c r="M26" s="69" t="e">
        <f>I26</f>
        <v>#VALUE!</v>
      </c>
      <c r="N26" s="69" t="e">
        <f>L26*M26</f>
        <v>#VALUE!</v>
      </c>
      <c r="O26" t="s">
        <v>93</v>
      </c>
      <c r="P26" t="e">
        <f>IF(OR(J26=0,J27=0,J28=0),"#NA",IF(I28-I27=I27-I26,WLS*(I27-I26),"#NA"))</f>
        <v>#VALUE!</v>
      </c>
      <c r="Q26" s="66"/>
      <c r="R26" s="67"/>
      <c r="U26" s="79" t="str">
        <f>R22</f>
        <v>#NA</v>
      </c>
      <c r="V26" s="68" t="e">
        <f>VLOOKUP(U26,STN_TABLE,2,FALSE)</f>
        <v>#N/A</v>
      </c>
      <c r="W26" s="68">
        <v>1</v>
      </c>
      <c r="X26" s="69" t="e">
        <f>V26*W26</f>
        <v>#N/A</v>
      </c>
      <c r="Y26" s="78" t="s">
        <v>97</v>
      </c>
      <c r="Z26" s="78"/>
      <c r="AA26" s="78" t="s">
        <v>98</v>
      </c>
      <c r="AB26" s="78"/>
      <c r="AC26" s="7" t="s">
        <v>99</v>
      </c>
      <c r="AD26" s="7"/>
      <c r="AE26" s="80"/>
    </row>
    <row r="27" spans="1:35" x14ac:dyDescent="0.25">
      <c r="A27">
        <v>24</v>
      </c>
      <c r="B27" s="80" t="str">
        <f t="shared" si="2"/>
        <v xml:space="preserve">  </v>
      </c>
      <c r="C27" s="81" t="str">
        <f t="shared" si="3"/>
        <v xml:space="preserve">  </v>
      </c>
      <c r="D27" s="81" t="str">
        <f t="shared" si="4"/>
        <v xml:space="preserve"> </v>
      </c>
      <c r="E27" s="77" t="str">
        <f t="shared" si="5"/>
        <v xml:space="preserve"> </v>
      </c>
      <c r="G27" s="91" t="str">
        <f t="shared" si="9"/>
        <v>1st_UWL</v>
      </c>
      <c r="H27" s="91" t="str">
        <f t="shared" si="9"/>
        <v>#NA</v>
      </c>
      <c r="I27" s="76" t="e">
        <f>IF(H28-H27=H27-H26,H28,"#NA")</f>
        <v>#VALUE!</v>
      </c>
      <c r="J27" s="77" t="e">
        <f>VLOOKUP(I27,STN_TABLE,2,FALSE)</f>
        <v>#VALUE!</v>
      </c>
      <c r="K27" s="77">
        <v>4</v>
      </c>
      <c r="L27" s="77" t="e">
        <f>J27*K27</f>
        <v>#VALUE!</v>
      </c>
      <c r="M27" s="77" t="e">
        <f>I27</f>
        <v>#VALUE!</v>
      </c>
      <c r="N27" s="77" t="e">
        <f>L27*M27</f>
        <v>#VALUE!</v>
      </c>
      <c r="O27" t="e">
        <f>CONCATENATE("A(",I28,")=")</f>
        <v>#VALUE!</v>
      </c>
      <c r="P27" t="e">
        <f>2*P26/3*L29</f>
        <v>#VALUE!</v>
      </c>
      <c r="Q27" s="80"/>
      <c r="R27" s="81"/>
      <c r="U27" s="88" t="str">
        <f>R23</f>
        <v>#NA</v>
      </c>
      <c r="V27" s="82" t="e">
        <f>VLOOKUP(U27,STN_TABLE,2,FALSE)</f>
        <v>#N/A</v>
      </c>
      <c r="W27" s="82">
        <v>2</v>
      </c>
      <c r="X27" s="83" t="e">
        <f>V27*W27</f>
        <v>#N/A</v>
      </c>
      <c r="Y27" s="84" t="str">
        <f>CONCATENATE("a'(",U27,")=")</f>
        <v>a'(#NA)=</v>
      </c>
      <c r="Z27" s="84" t="e">
        <f>2*Z25/2*V28</f>
        <v>#VALUE!</v>
      </c>
      <c r="AA27" s="84" t="str">
        <f>CONCATENATE("A(",U26,")=")</f>
        <v>A(#NA)=</v>
      </c>
      <c r="AB27" s="84" t="e">
        <f>IF(U26=RisePerWLS,0,VLOOKUP(U26,STN_TABLE,3,FALSE))</f>
        <v>#VALUE!</v>
      </c>
      <c r="AC27" t="str">
        <f>CONCATENATE("A(",U27,")=")</f>
        <v>A(#NA)=</v>
      </c>
      <c r="AD27" t="e">
        <f>Z27+AB27</f>
        <v>#VALUE!</v>
      </c>
      <c r="AE27" s="80"/>
    </row>
    <row r="28" spans="1:35" x14ac:dyDescent="0.25">
      <c r="A28">
        <v>25</v>
      </c>
      <c r="B28" s="88" t="str">
        <f t="shared" si="2"/>
        <v xml:space="preserve">  </v>
      </c>
      <c r="C28" s="92" t="str">
        <f t="shared" si="3"/>
        <v xml:space="preserve">  </v>
      </c>
      <c r="D28" s="81" t="str">
        <f t="shared" si="4"/>
        <v xml:space="preserve"> </v>
      </c>
      <c r="E28" s="77" t="str">
        <f t="shared" si="5"/>
        <v xml:space="preserve"> </v>
      </c>
      <c r="G28" s="91" t="str">
        <f t="shared" si="9"/>
        <v>2nd_UWL</v>
      </c>
      <c r="H28" s="91" t="str">
        <f t="shared" si="9"/>
        <v>#NA</v>
      </c>
      <c r="I28" s="82" t="e">
        <f>IF(H28-H27=H27-H26,H28,"#NA")</f>
        <v>#VALUE!</v>
      </c>
      <c r="J28" s="83" t="e">
        <f>VLOOKUP(I28,STN_TABLE,2,FALSE)</f>
        <v>#VALUE!</v>
      </c>
      <c r="K28" s="83">
        <v>1</v>
      </c>
      <c r="L28" s="83" t="e">
        <f>J28*K28</f>
        <v>#VALUE!</v>
      </c>
      <c r="M28" s="83" t="e">
        <f>I28</f>
        <v>#VALUE!</v>
      </c>
      <c r="N28" s="83" t="e">
        <f>L28*M28</f>
        <v>#VALUE!</v>
      </c>
      <c r="O28" t="e">
        <f>CONCATENATE("M(",I28,")=")</f>
        <v>#VALUE!</v>
      </c>
      <c r="P28" t="e">
        <f>2*(P26*WLS)/3*N29</f>
        <v>#VALUE!</v>
      </c>
      <c r="Q28" s="80"/>
      <c r="R28" s="81"/>
      <c r="V28" s="89" t="e">
        <f>SUM(V26:V27)</f>
        <v>#N/A</v>
      </c>
      <c r="X28" s="89" t="e">
        <f>SUM(X26:X27)</f>
        <v>#N/A</v>
      </c>
      <c r="Y28" s="84" t="str">
        <f>CONCATENATE("m'(",U27,")=")</f>
        <v>m'(#NA)=</v>
      </c>
      <c r="Z28" s="84" t="e">
        <f>(2*(Z25^2)/6*X28)+(Z27*U26*WLS)</f>
        <v>#VALUE!</v>
      </c>
      <c r="AA28" s="84" t="str">
        <f>CONCATENATE("M(",U26,")=")</f>
        <v>M(#NA)=</v>
      </c>
      <c r="AB28" s="84" t="e">
        <f>IF(U26=RisePerWLS,0,VLOOKUP(U26,STN_TABLE,4,FALSE))</f>
        <v>#VALUE!</v>
      </c>
      <c r="AC28" t="str">
        <f>CONCATENATE("M(",U27,")=")</f>
        <v>M(#NA)=</v>
      </c>
      <c r="AD28" t="e">
        <f>Z28+AB28</f>
        <v>#VALUE!</v>
      </c>
      <c r="AE28" s="80"/>
    </row>
    <row r="29" spans="1:35" x14ac:dyDescent="0.25">
      <c r="G29" s="91"/>
      <c r="H29" s="91"/>
      <c r="L29" s="89" t="e">
        <f>SUM(L26:L28)</f>
        <v>#VALUE!</v>
      </c>
      <c r="N29" s="89" t="e">
        <f>SUM(N26:N28)</f>
        <v>#VALUE!</v>
      </c>
      <c r="Q29" s="80"/>
      <c r="R29" s="81"/>
      <c r="AE29" s="80"/>
    </row>
    <row r="30" spans="1:35" x14ac:dyDescent="0.25">
      <c r="G30" s="91"/>
      <c r="H30" s="91"/>
    </row>
    <row r="31" spans="1:35" x14ac:dyDescent="0.25">
      <c r="G31" s="91"/>
      <c r="H31" s="91"/>
    </row>
    <row r="32" spans="1:35" x14ac:dyDescent="0.25">
      <c r="G32" s="91"/>
      <c r="H32" s="91"/>
      <c r="Q32" s="68">
        <f>B4</f>
        <v>0</v>
      </c>
      <c r="R32" s="69">
        <f>VLOOKUP(Q32,STN_TABLE,2,FALSE)</f>
        <v>1.3</v>
      </c>
      <c r="S32" s="69">
        <v>5</v>
      </c>
      <c r="T32" s="68">
        <f>R32*S32</f>
        <v>6.5</v>
      </c>
      <c r="U32" s="79">
        <v>3</v>
      </c>
      <c r="V32" s="68">
        <f>R32*U32</f>
        <v>3.9000000000000004</v>
      </c>
      <c r="W32" t="s">
        <v>93</v>
      </c>
      <c r="X32" s="70">
        <f>IF(AND(Q34-Q33=Q33-Q32,NOT(AND(Q32=0,Q33=0)),NOT(AND(Q33=0,Q34=0))),WLS*(Q34-Q33),"#NA")</f>
        <v>0.5</v>
      </c>
      <c r="AD32" s="93"/>
      <c r="AH32" s="6" t="s">
        <v>93</v>
      </c>
      <c r="AI32" s="70">
        <f>WLS*(AD34-AD33)</f>
        <v>0.5</v>
      </c>
    </row>
    <row r="33" spans="1:47" x14ac:dyDescent="0.25">
      <c r="Q33" s="76">
        <f>B5</f>
        <v>0.25</v>
      </c>
      <c r="R33" s="77">
        <f>VLOOKUP(Q33,STN_TABLE,2,FALSE)</f>
        <v>2.2999999999999998</v>
      </c>
      <c r="S33" s="77">
        <v>8</v>
      </c>
      <c r="T33" s="76">
        <f>R33*S33</f>
        <v>18.399999999999999</v>
      </c>
      <c r="U33" s="80">
        <v>10</v>
      </c>
      <c r="V33" s="76">
        <f>R33*U33</f>
        <v>23</v>
      </c>
      <c r="W33" s="495" t="s">
        <v>97</v>
      </c>
      <c r="X33" s="496"/>
      <c r="Y33" s="496" t="s">
        <v>98</v>
      </c>
      <c r="Z33" s="496"/>
      <c r="AA33" s="494" t="s">
        <v>99</v>
      </c>
      <c r="AB33" s="494"/>
      <c r="AC33" s="94">
        <v>1</v>
      </c>
      <c r="AD33" s="95">
        <f>VLOOKUP(AC33,STN_TABLE_2,2,FALSE)</f>
        <v>0</v>
      </c>
      <c r="AE33" s="68">
        <f>VLOOKUP(AD33,STN_TABLE,2,FALSE)</f>
        <v>1.3</v>
      </c>
      <c r="AF33" s="68">
        <v>1</v>
      </c>
      <c r="AG33" s="69">
        <f>AE33*AF33</f>
        <v>1.3</v>
      </c>
      <c r="AH33" s="496" t="s">
        <v>97</v>
      </c>
      <c r="AI33" s="496"/>
      <c r="AJ33" s="496" t="s">
        <v>98</v>
      </c>
      <c r="AK33" s="496"/>
      <c r="AL33" s="494" t="s">
        <v>99</v>
      </c>
      <c r="AM33" s="494"/>
      <c r="AP33" s="96" t="s">
        <v>112</v>
      </c>
      <c r="AQ33" s="89" t="s">
        <v>113</v>
      </c>
      <c r="AR33" s="89" t="s">
        <v>114</v>
      </c>
      <c r="AS33" s="89" t="s">
        <v>115</v>
      </c>
      <c r="AT33" s="97" t="s">
        <v>116</v>
      </c>
      <c r="AU33" s="98"/>
    </row>
    <row r="34" spans="1:47" x14ac:dyDescent="0.25">
      <c r="Q34" s="82">
        <f>B6</f>
        <v>0.5</v>
      </c>
      <c r="R34" s="83">
        <f>VLOOKUP(Q34,STN_TABLE,2,FALSE)</f>
        <v>2.84</v>
      </c>
      <c r="S34" s="83">
        <v>-1</v>
      </c>
      <c r="T34" s="82">
        <f>R34*S34</f>
        <v>-2.84</v>
      </c>
      <c r="U34" s="88">
        <v>-1</v>
      </c>
      <c r="V34" s="82">
        <f>R34*U34</f>
        <v>-2.84</v>
      </c>
      <c r="W34" s="84" t="str">
        <f>CONCATENATE("a'(",Q33,")=")</f>
        <v>a'(0.25)=</v>
      </c>
      <c r="X34" s="84">
        <f>2*X32/12*T35</f>
        <v>1.8383333333333332</v>
      </c>
      <c r="Y34" s="84" t="str">
        <f>CONCATENATE("A(",Q32,")=")</f>
        <v>A(0)=</v>
      </c>
      <c r="Z34" s="84">
        <f>VLOOKUP(Q32,STN_TABLE,3,FALSE)</f>
        <v>0</v>
      </c>
      <c r="AA34" t="str">
        <f>CONCATENATE("A(",Q33,")=")</f>
        <v>A(0.25)=</v>
      </c>
      <c r="AB34">
        <f>X34+Z34</f>
        <v>1.8383333333333332</v>
      </c>
      <c r="AC34" s="99">
        <f>AC33+1</f>
        <v>2</v>
      </c>
      <c r="AD34" s="100">
        <f>VLOOKUP(AC34,STN_TABLE_2,2,FALSE)</f>
        <v>0.25</v>
      </c>
      <c r="AE34" s="82">
        <f>VLOOKUP(AD34,STN_TABLE,2,FALSE)</f>
        <v>2.2999999999999998</v>
      </c>
      <c r="AF34" s="82">
        <v>2</v>
      </c>
      <c r="AG34" s="83">
        <f>AE34*AF34</f>
        <v>4.5999999999999996</v>
      </c>
      <c r="AH34" s="84" t="str">
        <f>CONCATENATE("a'(",AD34,")=")</f>
        <v>a'(0.25)=</v>
      </c>
      <c r="AI34" s="84">
        <f>2*AI32/2*AE35</f>
        <v>1.7999999999999998</v>
      </c>
      <c r="AJ34" s="84" t="str">
        <f>CONCATENATE("A(",AD33,")=")</f>
        <v>A(0)=</v>
      </c>
      <c r="AK34" s="84">
        <f>VLOOKUP(AD33,STN_TABLE,3,FALSE)</f>
        <v>0</v>
      </c>
      <c r="AL34" t="str">
        <f>CONCATENATE("A(",AD34,")=")</f>
        <v>A(0.25)=</v>
      </c>
      <c r="AM34">
        <f>AI34+AK34</f>
        <v>1.7999999999999998</v>
      </c>
      <c r="AO34" s="68" t="str">
        <f>AA34</f>
        <v>A(0.25)=</v>
      </c>
      <c r="AP34" s="79" t="e">
        <f>VLOOKUP(AO34,Rise_Results,2,FALSE)</f>
        <v>#N/A</v>
      </c>
      <c r="AQ34" s="76" t="s">
        <v>117</v>
      </c>
      <c r="AR34" s="76">
        <f>IF(OR(AB34&lt;=0,AB35&lt;=0),1/0,AB34)</f>
        <v>1.8383333333333332</v>
      </c>
      <c r="AS34" s="76">
        <f>AM34</f>
        <v>1.7999999999999998</v>
      </c>
      <c r="AT34" s="80">
        <f>IFERROR(AP34,IFERROR(AR34,AS34))</f>
        <v>1.8383333333333332</v>
      </c>
    </row>
    <row r="35" spans="1:47" x14ac:dyDescent="0.25">
      <c r="A35" s="101"/>
      <c r="T35" s="89">
        <f>SUM(T32:T34)</f>
        <v>22.06</v>
      </c>
      <c r="V35" s="82">
        <f>SUM(V32:V34)</f>
        <v>24.06</v>
      </c>
      <c r="W35" s="84" t="str">
        <f>CONCATENATE("m'(",Q33,")=")</f>
        <v>m'(0.25)=</v>
      </c>
      <c r="X35" s="84">
        <f>(2*(X32^2)/24*V35)</f>
        <v>0.50124999999999997</v>
      </c>
      <c r="Y35" s="84" t="str">
        <f>CONCATENATE("M(",Q32,")=")</f>
        <v>M(0)=</v>
      </c>
      <c r="Z35" s="84">
        <f>VLOOKUP(Q32,STN_TABLE,4,FALSE)</f>
        <v>0</v>
      </c>
      <c r="AA35" t="str">
        <f>CONCATENATE("M(",Q33,")=")</f>
        <v>M(0.25)=</v>
      </c>
      <c r="AB35">
        <f>X35+Z35</f>
        <v>0.50124999999999997</v>
      </c>
      <c r="AE35" s="89">
        <f>SUM(AE33:AE34)</f>
        <v>3.5999999999999996</v>
      </c>
      <c r="AG35" s="89">
        <f>SUM(AG33:AG34)</f>
        <v>5.8999999999999995</v>
      </c>
      <c r="AH35" s="84" t="str">
        <f>CONCATENATE("m'(",AD34,")=")</f>
        <v>m'(0.25)=</v>
      </c>
      <c r="AI35" s="84">
        <f>(2*(AI32^2)/6*AG35)+(AI34*AD33*WLS)</f>
        <v>0.49166666666666659</v>
      </c>
      <c r="AJ35" s="84" t="str">
        <f>CONCATENATE("M(",AD33,")=")</f>
        <v>M(0)=</v>
      </c>
      <c r="AK35" s="84">
        <f>VLOOKUP(AD33,STN_TABLE,4,FALSE)</f>
        <v>0</v>
      </c>
      <c r="AL35" t="str">
        <f>CONCATENATE("M(",AD34,")=")</f>
        <v>M(0.25)=</v>
      </c>
      <c r="AM35">
        <f>AI35+AK35</f>
        <v>0.49166666666666659</v>
      </c>
      <c r="AO35" s="82" t="str">
        <f>AA35</f>
        <v>M(0.25)=</v>
      </c>
      <c r="AP35" s="88" t="e">
        <f>VLOOKUP(AO35,Rise_Results,2,FALSE)</f>
        <v>#N/A</v>
      </c>
      <c r="AQ35" s="82" t="s">
        <v>117</v>
      </c>
      <c r="AR35" s="82">
        <f>IF(OR(AB34&lt;=0,AB35&lt;=0),1/0,AB35)</f>
        <v>0.50124999999999997</v>
      </c>
      <c r="AS35" s="82">
        <f>AM35</f>
        <v>0.49166666666666659</v>
      </c>
      <c r="AT35" s="80">
        <f>IFERROR(AP35,IFERROR(AR35,AS35))</f>
        <v>0.50124999999999997</v>
      </c>
    </row>
    <row r="36" spans="1:47" x14ac:dyDescent="0.25">
      <c r="O36" s="94">
        <v>1</v>
      </c>
      <c r="P36" s="101">
        <f t="shared" ref="P36:P67" si="10">VLOOKUP(O36,STN_TABLE_2,2,FALSE)</f>
        <v>0</v>
      </c>
      <c r="AU36" s="81"/>
    </row>
    <row r="37" spans="1:47" x14ac:dyDescent="0.25">
      <c r="A37" s="94">
        <v>1</v>
      </c>
      <c r="B37" s="94">
        <f>VLOOKUP(A37,STN_TABLE_2,2,FALSE)</f>
        <v>0</v>
      </c>
      <c r="C37" s="79">
        <f>B37</f>
        <v>0</v>
      </c>
      <c r="D37" s="68">
        <f>VLOOKUP(C37,STN_TABLE,2,FALSE)</f>
        <v>1.3</v>
      </c>
      <c r="E37" s="102">
        <v>1</v>
      </c>
      <c r="F37" s="68">
        <f>D37*E37</f>
        <v>1.3</v>
      </c>
      <c r="G37" s="69">
        <f>C37</f>
        <v>0</v>
      </c>
      <c r="H37" s="69">
        <f>F37*G37</f>
        <v>0</v>
      </c>
      <c r="I37" s="6" t="s">
        <v>93</v>
      </c>
      <c r="J37" s="70">
        <f>IF(OR(D37=0,D38=0,D39=0),"#NA",IF(AND(C39-C38=C38-C37,C38&lt;&gt;C39,C37&lt;&gt;C38,C37&lt;&gt;C39,D39&lt;&gt;0,OR(D37&lt;&gt;0,D38&lt;&gt;0)),WLS*(C39-C38),"#NA"))</f>
        <v>0.5</v>
      </c>
      <c r="O37" s="99">
        <f>O36+1</f>
        <v>2</v>
      </c>
      <c r="P37" s="99">
        <f t="shared" si="10"/>
        <v>0.25</v>
      </c>
      <c r="Q37" s="68">
        <f>IF(OR(P39-P38=P38-P37,P40-P38=P38-P37),P37,IF(OR(P39-P38=P38-P36,P40-P38=P38-P36),P36,"-"))</f>
        <v>0.25</v>
      </c>
      <c r="R37" s="69">
        <f>VLOOKUP(Q37,STN_TABLE,2,FALSE)</f>
        <v>2.2999999999999998</v>
      </c>
      <c r="S37" s="69">
        <v>5</v>
      </c>
      <c r="T37" s="68">
        <f>R37*S37</f>
        <v>11.5</v>
      </c>
      <c r="U37" s="79">
        <v>3</v>
      </c>
      <c r="V37" s="68">
        <f>R37*U37</f>
        <v>6.8999999999999995</v>
      </c>
      <c r="W37" s="6" t="s">
        <v>93</v>
      </c>
      <c r="X37" s="70">
        <f>IF(AND(Q39-Q38=Q38-Q37,NOT(AND(Q37=0,Q38=0)),NOT(AND(Q38=0,Q39=0))),WLS*(Q39-Q38),"#NA")</f>
        <v>0.5</v>
      </c>
      <c r="AD37" s="93"/>
      <c r="AH37" s="6" t="s">
        <v>93</v>
      </c>
      <c r="AI37" s="70">
        <f>WLS*(AD39-AD38)</f>
        <v>0.5</v>
      </c>
      <c r="AU37" s="81"/>
    </row>
    <row r="38" spans="1:47" x14ac:dyDescent="0.25">
      <c r="A38" s="94">
        <f>A37+1</f>
        <v>2</v>
      </c>
      <c r="B38" s="94">
        <f>VLOOKUP(A38,STN_TABLE_2,2,FALSE)</f>
        <v>0.25</v>
      </c>
      <c r="C38" s="80">
        <f>B38</f>
        <v>0.25</v>
      </c>
      <c r="D38" s="76">
        <f>VLOOKUP(C38,STN_TABLE,2,FALSE)</f>
        <v>2.2999999999999998</v>
      </c>
      <c r="E38" s="81">
        <v>4</v>
      </c>
      <c r="F38" s="76">
        <f>D38*E38</f>
        <v>9.1999999999999993</v>
      </c>
      <c r="G38" s="77">
        <f>C38</f>
        <v>0.25</v>
      </c>
      <c r="H38" s="77">
        <f>F38*G38</f>
        <v>2.2999999999999998</v>
      </c>
      <c r="I38" s="496" t="s">
        <v>97</v>
      </c>
      <c r="J38" s="496"/>
      <c r="K38" s="78" t="s">
        <v>98</v>
      </c>
      <c r="L38" s="78"/>
      <c r="M38" s="7" t="s">
        <v>99</v>
      </c>
      <c r="N38" s="7"/>
      <c r="O38" s="99">
        <f>O37+1</f>
        <v>3</v>
      </c>
      <c r="P38" s="99">
        <f t="shared" si="10"/>
        <v>0.5</v>
      </c>
      <c r="Q38" s="76">
        <f>P38</f>
        <v>0.5</v>
      </c>
      <c r="R38" s="77">
        <f>VLOOKUP(Q38,STN_TABLE,2,FALSE)</f>
        <v>2.84</v>
      </c>
      <c r="S38" s="77">
        <v>8</v>
      </c>
      <c r="T38" s="76">
        <f>R38*S38</f>
        <v>22.72</v>
      </c>
      <c r="U38" s="80">
        <v>10</v>
      </c>
      <c r="V38" s="76">
        <f>R38*U38</f>
        <v>28.4</v>
      </c>
      <c r="W38" s="496" t="s">
        <v>97</v>
      </c>
      <c r="X38" s="496"/>
      <c r="Y38" s="496" t="s">
        <v>98</v>
      </c>
      <c r="Z38" s="496"/>
      <c r="AA38" s="494" t="s">
        <v>99</v>
      </c>
      <c r="AB38" s="494"/>
      <c r="AC38" s="99">
        <f>AC33+1</f>
        <v>2</v>
      </c>
      <c r="AD38" s="95">
        <f>VLOOKUP(AC38,STN_TABLE_2,2,FALSE)</f>
        <v>0.25</v>
      </c>
      <c r="AE38" s="68">
        <f>VLOOKUP(AD38,STN_TABLE,2,FALSE)</f>
        <v>2.2999999999999998</v>
      </c>
      <c r="AF38" s="68">
        <v>1</v>
      </c>
      <c r="AG38" s="69">
        <f>AE38*AF38</f>
        <v>2.2999999999999998</v>
      </c>
      <c r="AH38" s="496" t="s">
        <v>97</v>
      </c>
      <c r="AI38" s="496"/>
      <c r="AJ38" s="496" t="s">
        <v>98</v>
      </c>
      <c r="AK38" s="496"/>
      <c r="AL38" s="494" t="s">
        <v>99</v>
      </c>
      <c r="AM38" s="494"/>
      <c r="AP38" s="86" t="s">
        <v>112</v>
      </c>
      <c r="AQ38" s="89" t="s">
        <v>113</v>
      </c>
      <c r="AR38" s="89" t="s">
        <v>114</v>
      </c>
      <c r="AS38" s="89" t="s">
        <v>115</v>
      </c>
    </row>
    <row r="39" spans="1:47" x14ac:dyDescent="0.25">
      <c r="A39" s="94">
        <f>A38+1</f>
        <v>3</v>
      </c>
      <c r="B39" s="94">
        <f>VLOOKUP(A39,STN_TABLE_2,2,FALSE)</f>
        <v>0.5</v>
      </c>
      <c r="C39" s="88">
        <f>B39</f>
        <v>0.5</v>
      </c>
      <c r="D39" s="82">
        <f>VLOOKUP(C39,STN_TABLE,2,FALSE)</f>
        <v>2.84</v>
      </c>
      <c r="E39" s="92">
        <v>1</v>
      </c>
      <c r="F39" s="82">
        <f>D39*E39</f>
        <v>2.84</v>
      </c>
      <c r="G39" s="83">
        <f>C39</f>
        <v>0.5</v>
      </c>
      <c r="H39" s="83">
        <f>F39*G39</f>
        <v>1.42</v>
      </c>
      <c r="I39" s="84" t="str">
        <f>CONCATENATE("a'(",C39,")=")</f>
        <v>a'(0.5)=</v>
      </c>
      <c r="J39" s="84">
        <f>2*J37/3*F40</f>
        <v>4.4466666666666663</v>
      </c>
      <c r="K39" s="84" t="str">
        <f>CONCATENATE("A(",C37,")=")</f>
        <v>A(0)=</v>
      </c>
      <c r="L39" s="84">
        <f>VLOOKUP(C37,STN_TABLE,3,FALSE)</f>
        <v>0</v>
      </c>
      <c r="M39" t="str">
        <f>CONCATENATE("A(",C39,")=")</f>
        <v>A(0.5)=</v>
      </c>
      <c r="N39">
        <f>J39+L39</f>
        <v>4.4466666666666663</v>
      </c>
      <c r="O39" s="99">
        <f>O38+1</f>
        <v>4</v>
      </c>
      <c r="P39" s="99">
        <f t="shared" si="10"/>
        <v>0.75</v>
      </c>
      <c r="Q39" s="82">
        <f>IF(P39-P38=P38-P37,P39,IF(P40-P38=P38-P37,P40,IF(P39-P38=P38-P36,P39,IF(P40-P38=P38-P36,P40,"-"))))</f>
        <v>0.75</v>
      </c>
      <c r="R39" s="83">
        <f>VLOOKUP(Q39,STN_TABLE,2,FALSE)</f>
        <v>3.25</v>
      </c>
      <c r="S39" s="83">
        <v>-1</v>
      </c>
      <c r="T39" s="82">
        <f>R39*S39</f>
        <v>-3.25</v>
      </c>
      <c r="U39" s="88">
        <v>-1</v>
      </c>
      <c r="V39" s="82">
        <f>R39*U39</f>
        <v>-3.25</v>
      </c>
      <c r="W39" s="84" t="str">
        <f>CONCATENATE("a'(",Q38,")=")</f>
        <v>a'(0.5)=</v>
      </c>
      <c r="X39" s="84">
        <f>2*X37/12*T40</f>
        <v>2.5808333333333331</v>
      </c>
      <c r="Y39" s="84" t="str">
        <f>CONCATENATE("A(",Q37,")=")</f>
        <v>A(0.25)=</v>
      </c>
      <c r="Z39" s="84">
        <f>VLOOKUP(Q37,STN_TABLE,3,FALSE)</f>
        <v>1.8383333333333332</v>
      </c>
      <c r="AA39" t="str">
        <f>CONCATENATE("A(",Q38,")=")</f>
        <v>A(0.5)=</v>
      </c>
      <c r="AB39">
        <f>X39+Z39</f>
        <v>4.4191666666666665</v>
      </c>
      <c r="AC39" s="99">
        <f>AC38+1</f>
        <v>3</v>
      </c>
      <c r="AD39" s="100">
        <f>VLOOKUP(AC39,STN_TABLE_2,2,FALSE)</f>
        <v>0.5</v>
      </c>
      <c r="AE39" s="82">
        <f>VLOOKUP(AD39,STN_TABLE,2,FALSE)</f>
        <v>2.84</v>
      </c>
      <c r="AF39" s="82">
        <v>2</v>
      </c>
      <c r="AG39" s="83">
        <f>AE39*AF39</f>
        <v>5.68</v>
      </c>
      <c r="AH39" s="84" t="str">
        <f>CONCATENATE("a'(",AD39,")=")</f>
        <v>a'(0.5)=</v>
      </c>
      <c r="AI39" s="84">
        <f>2*AI37/2*AE40</f>
        <v>2.57</v>
      </c>
      <c r="AJ39" s="84" t="str">
        <f>CONCATENATE("A(",AD38,")=")</f>
        <v>A(0.25)=</v>
      </c>
      <c r="AK39" s="84">
        <f>VLOOKUP(AD38,STN_TABLE,3,FALSE)</f>
        <v>1.8383333333333332</v>
      </c>
      <c r="AL39" t="str">
        <f>CONCATENATE("A(",AD39,")=")</f>
        <v>A(0.5)=</v>
      </c>
      <c r="AM39">
        <f>AI39+AK39</f>
        <v>4.4083333333333332</v>
      </c>
      <c r="AO39" s="68" t="str">
        <f>AA39</f>
        <v>A(0.5)=</v>
      </c>
      <c r="AP39" s="68" t="e">
        <f>VLOOKUP(AO39,Rise_Results,2,FALSE)</f>
        <v>#N/A</v>
      </c>
      <c r="AQ39" s="76">
        <f>N39</f>
        <v>4.4466666666666663</v>
      </c>
      <c r="AR39" s="76">
        <f>IF(OR(AB39&lt;=0,AB40&lt;=0),1/0,AB39)</f>
        <v>4.4191666666666665</v>
      </c>
      <c r="AS39" s="76">
        <f>AM39</f>
        <v>4.4083333333333332</v>
      </c>
      <c r="AT39">
        <f>IFERROR(AP39,IFERROR(AQ39,IFERROR(AR39,AS39)))</f>
        <v>4.4466666666666663</v>
      </c>
    </row>
    <row r="40" spans="1:47" x14ac:dyDescent="0.25">
      <c r="A40">
        <v>4</v>
      </c>
      <c r="F40" s="82">
        <f>SUM(F37:F39)</f>
        <v>13.34</v>
      </c>
      <c r="H40" s="82">
        <f>SUM(H37:H39)</f>
        <v>3.7199999999999998</v>
      </c>
      <c r="I40" s="84" t="str">
        <f>CONCATENATE("m'(",C39,")=")</f>
        <v>m'(0.5)=</v>
      </c>
      <c r="J40" s="84">
        <f>2*(J37*(WLS))/3*H40</f>
        <v>2.4799999999999995</v>
      </c>
      <c r="K40" s="84" t="str">
        <f>CONCATENATE("M(",C37,")=")</f>
        <v>M(0)=</v>
      </c>
      <c r="L40" s="84">
        <f>VLOOKUP(C37,STN_TABLE,4,FALSE)</f>
        <v>0</v>
      </c>
      <c r="M40" t="str">
        <f>CONCATENATE("M(",C39,")=")</f>
        <v>M(0.5)=</v>
      </c>
      <c r="N40">
        <f>J40+L40</f>
        <v>2.4799999999999995</v>
      </c>
      <c r="O40" s="99">
        <f>O39+1</f>
        <v>5</v>
      </c>
      <c r="P40" s="99">
        <f t="shared" si="10"/>
        <v>1</v>
      </c>
      <c r="T40" s="89">
        <f>SUM(T37:T39)</f>
        <v>30.97</v>
      </c>
      <c r="V40" s="82">
        <f>SUM(V37:V39)</f>
        <v>32.049999999999997</v>
      </c>
      <c r="W40" s="84" t="str">
        <f>CONCATENATE("m'(",Q38,")=")</f>
        <v>m'(0.5)=</v>
      </c>
      <c r="X40" s="84">
        <f>(2*(X37^2)/24*V40)+(X39*Q37*WLS)</f>
        <v>1.9581249999999999</v>
      </c>
      <c r="Y40" s="84" t="str">
        <f>CONCATENATE("M(",Q37,")=")</f>
        <v>M(0.25)=</v>
      </c>
      <c r="Z40" s="84">
        <f>VLOOKUP(Q37,STN_TABLE,4,FALSE)</f>
        <v>0.50124999999999997</v>
      </c>
      <c r="AA40" t="str">
        <f>CONCATENATE("M(",Q38,")=")</f>
        <v>M(0.5)=</v>
      </c>
      <c r="AB40">
        <f>X40+Z40</f>
        <v>2.4593749999999996</v>
      </c>
      <c r="AE40" s="89">
        <f>SUM(AE38:AE39)</f>
        <v>5.14</v>
      </c>
      <c r="AG40" s="89">
        <f>SUM(AG38:AG39)</f>
        <v>7.9799999999999995</v>
      </c>
      <c r="AH40" s="84" t="str">
        <f>CONCATENATE("m'(",AD39,")=")</f>
        <v>m'(0.5)=</v>
      </c>
      <c r="AI40" s="84">
        <f>(2*(AI37^2)/6*AG40)+(AI39*AD38*WLS)</f>
        <v>1.9499999999999997</v>
      </c>
      <c r="AJ40" s="84" t="str">
        <f>CONCATENATE("M(",AD38,")=")</f>
        <v>M(0.25)=</v>
      </c>
      <c r="AK40" s="84">
        <f>VLOOKUP(AD38,STN_TABLE,4,FALSE)</f>
        <v>0.50124999999999997</v>
      </c>
      <c r="AL40" t="str">
        <f>CONCATENATE("M(",AD39,")=")</f>
        <v>M(0.5)=</v>
      </c>
      <c r="AM40">
        <f>AI40+AK40</f>
        <v>2.4512499999999999</v>
      </c>
      <c r="AO40" s="82" t="str">
        <f>AA40</f>
        <v>M(0.5)=</v>
      </c>
      <c r="AP40" s="82" t="e">
        <f>VLOOKUP(AO40,Rise_Results,2,FALSE)</f>
        <v>#N/A</v>
      </c>
      <c r="AQ40" s="82">
        <f>N40</f>
        <v>2.4799999999999995</v>
      </c>
      <c r="AR40" s="82">
        <f>IF(OR(AB39&lt;=0,AB40&lt;=0),1/0,AB40)</f>
        <v>2.4593749999999996</v>
      </c>
      <c r="AS40" s="82">
        <f>AM40</f>
        <v>2.4512499999999999</v>
      </c>
      <c r="AT40">
        <f>IFERROR(AP40,IFERROR(AQ40,IFERROR(AR40,AS40)))</f>
        <v>2.4799999999999995</v>
      </c>
    </row>
    <row r="41" spans="1:47" x14ac:dyDescent="0.25">
      <c r="A41" s="94">
        <v>0</v>
      </c>
      <c r="O41" s="101">
        <f>O36+1</f>
        <v>2</v>
      </c>
      <c r="P41" s="101">
        <f t="shared" si="10"/>
        <v>0.25</v>
      </c>
    </row>
    <row r="42" spans="1:47" x14ac:dyDescent="0.25">
      <c r="A42" s="94">
        <f>A41+1</f>
        <v>1</v>
      </c>
      <c r="B42" s="94">
        <f t="shared" ref="B42:B73" si="11">VLOOKUP(A42,STN_TABLE_2,2,FALSE)</f>
        <v>0</v>
      </c>
      <c r="C42" s="79">
        <f>IF(C43=B43,B42,IF(C43=B44,IF(C44-C43=C43-B43,B43,IF(C44-C43=C43-B42,B42,"NA"))))</f>
        <v>0.25</v>
      </c>
      <c r="D42" s="68">
        <f>VLOOKUP(C42,STN_TABLE,2,FALSE)</f>
        <v>2.2999999999999998</v>
      </c>
      <c r="E42" s="102">
        <v>1</v>
      </c>
      <c r="F42" s="68">
        <f>D42*E42</f>
        <v>2.2999999999999998</v>
      </c>
      <c r="G42" s="69">
        <f>C42</f>
        <v>0.25</v>
      </c>
      <c r="H42" s="69">
        <f>F42*G42</f>
        <v>0.57499999999999996</v>
      </c>
      <c r="I42" s="6" t="s">
        <v>93</v>
      </c>
      <c r="J42" s="70">
        <f>IF(OR(D42=0,D43=0,D44=0),"#NA",IF(AND(C44-C43=C43-C42,C43&lt;&gt;C44,C42&lt;&gt;C43,C42&lt;&gt;C44,D44&lt;&gt;0,OR(D42&lt;&gt;0,D43&lt;&gt;0)),WLS*(C44-C43),"#NA"))</f>
        <v>0.5</v>
      </c>
      <c r="O42" s="99">
        <f>O41+1</f>
        <v>3</v>
      </c>
      <c r="P42" s="99">
        <f t="shared" si="10"/>
        <v>0.5</v>
      </c>
      <c r="Q42" s="68">
        <f>IF(OR(P44-P43=P43-P42,P45-P43=P43-P42),P42,IF(OR(P44-P43=P43-P41,P45-P43=P43-P41),P41,"-"))</f>
        <v>0.5</v>
      </c>
      <c r="R42" s="69">
        <f>VLOOKUP(Q42,STN_TABLE,2,FALSE)</f>
        <v>2.84</v>
      </c>
      <c r="S42" s="69">
        <v>5</v>
      </c>
      <c r="T42" s="68">
        <f>R42*S42</f>
        <v>14.2</v>
      </c>
      <c r="U42" s="79">
        <v>3</v>
      </c>
      <c r="V42" s="68">
        <f>R42*U42</f>
        <v>8.52</v>
      </c>
      <c r="W42" s="6" t="s">
        <v>93</v>
      </c>
      <c r="X42" s="70">
        <f>IF(AND(Q44-Q43=Q43-Q42,NOT(AND(Q42=0,Q43=0)),NOT(AND(Q43=0,Q44=0))),WLS*(Q44-Q43),"#NA")</f>
        <v>0.5</v>
      </c>
      <c r="AD42" s="93"/>
      <c r="AH42" s="6" t="s">
        <v>93</v>
      </c>
      <c r="AI42" s="70">
        <f>WLS*(AD44-AD43)</f>
        <v>0.5</v>
      </c>
      <c r="AU42" s="81"/>
    </row>
    <row r="43" spans="1:47" x14ac:dyDescent="0.25">
      <c r="A43" s="94">
        <f>A42+1</f>
        <v>2</v>
      </c>
      <c r="B43" s="94">
        <f t="shared" si="11"/>
        <v>0.25</v>
      </c>
      <c r="C43" s="80">
        <f>IF(OR(B45-B44=B44-B43,B45-B44=B44-B42,),B44,IF(B45-B43=B43-B42,B43,"#NA"))</f>
        <v>0.5</v>
      </c>
      <c r="D43" s="76">
        <f>VLOOKUP(C43,STN_TABLE,2,FALSE)</f>
        <v>2.84</v>
      </c>
      <c r="E43" s="81">
        <v>4</v>
      </c>
      <c r="F43" s="76">
        <f>D43*E43</f>
        <v>11.36</v>
      </c>
      <c r="G43" s="77">
        <f>C43</f>
        <v>0.5</v>
      </c>
      <c r="H43" s="77">
        <f>F43*G43</f>
        <v>5.68</v>
      </c>
      <c r="I43" s="496" t="s">
        <v>97</v>
      </c>
      <c r="J43" s="496"/>
      <c r="K43" s="78" t="s">
        <v>98</v>
      </c>
      <c r="L43" s="78"/>
      <c r="M43" s="7" t="s">
        <v>99</v>
      </c>
      <c r="N43" s="7"/>
      <c r="O43" s="99">
        <f>O42+1</f>
        <v>4</v>
      </c>
      <c r="P43" s="99">
        <f t="shared" si="10"/>
        <v>0.75</v>
      </c>
      <c r="Q43" s="76">
        <f>P43</f>
        <v>0.75</v>
      </c>
      <c r="R43" s="77">
        <f>VLOOKUP(Q43,STN_TABLE,2,FALSE)</f>
        <v>3.25</v>
      </c>
      <c r="S43" s="77">
        <v>8</v>
      </c>
      <c r="T43" s="76">
        <f>R43*S43</f>
        <v>26</v>
      </c>
      <c r="U43" s="80">
        <v>10</v>
      </c>
      <c r="V43" s="76">
        <f>R43*U43</f>
        <v>32.5</v>
      </c>
      <c r="W43" s="496" t="s">
        <v>97</v>
      </c>
      <c r="X43" s="496"/>
      <c r="Y43" s="496" t="s">
        <v>98</v>
      </c>
      <c r="Z43" s="496"/>
      <c r="AA43" s="494" t="s">
        <v>99</v>
      </c>
      <c r="AB43" s="494"/>
      <c r="AC43" s="99">
        <f>AC38+1</f>
        <v>3</v>
      </c>
      <c r="AD43" s="95">
        <f>VLOOKUP(AC43,STN_TABLE_2,2,FALSE)</f>
        <v>0.5</v>
      </c>
      <c r="AE43" s="68">
        <f>VLOOKUP(AD43,STN_TABLE,2,FALSE)</f>
        <v>2.84</v>
      </c>
      <c r="AF43" s="68">
        <v>1</v>
      </c>
      <c r="AG43" s="69">
        <f>AE43*AF43</f>
        <v>2.84</v>
      </c>
      <c r="AH43" s="496" t="s">
        <v>97</v>
      </c>
      <c r="AI43" s="496"/>
      <c r="AJ43" s="496" t="s">
        <v>98</v>
      </c>
      <c r="AK43" s="496"/>
      <c r="AL43" s="494" t="s">
        <v>99</v>
      </c>
      <c r="AM43" s="494"/>
      <c r="AP43" s="86" t="s">
        <v>112</v>
      </c>
      <c r="AQ43" s="89" t="s">
        <v>113</v>
      </c>
      <c r="AR43" s="89" t="s">
        <v>114</v>
      </c>
      <c r="AS43" s="89" t="s">
        <v>115</v>
      </c>
      <c r="AU43" s="81"/>
    </row>
    <row r="44" spans="1:47" x14ac:dyDescent="0.25">
      <c r="A44" s="94">
        <f>A43+1</f>
        <v>3</v>
      </c>
      <c r="B44" s="94">
        <f t="shared" si="11"/>
        <v>0.5</v>
      </c>
      <c r="C44" s="88">
        <f>B45</f>
        <v>0.75</v>
      </c>
      <c r="D44" s="82">
        <f>VLOOKUP(C44,STN_TABLE,2,FALSE)</f>
        <v>3.25</v>
      </c>
      <c r="E44" s="92">
        <v>1</v>
      </c>
      <c r="F44" s="82">
        <f>D44*E44</f>
        <v>3.25</v>
      </c>
      <c r="G44" s="83">
        <f>C44</f>
        <v>0.75</v>
      </c>
      <c r="H44" s="83">
        <f>F44*G44</f>
        <v>2.4375</v>
      </c>
      <c r="I44" s="84" t="str">
        <f>CONCATENATE("a'(",C44,")=")</f>
        <v>a'(0.75)=</v>
      </c>
      <c r="J44" s="84">
        <f>2*J42/3*F45</f>
        <v>5.6366666666666667</v>
      </c>
      <c r="K44" s="84" t="str">
        <f>CONCATENATE("A(",C42,")=")</f>
        <v>A(0.25)=</v>
      </c>
      <c r="L44" s="84">
        <f>VLOOKUP(C42,STN_TABLE,3,FALSE)</f>
        <v>1.8383333333333332</v>
      </c>
      <c r="M44" t="str">
        <f>CONCATENATE("A(",C44,")=")</f>
        <v>A(0.75)=</v>
      </c>
      <c r="N44">
        <f>J44+L44</f>
        <v>7.4749999999999996</v>
      </c>
      <c r="O44" s="99">
        <f>O43+1</f>
        <v>5</v>
      </c>
      <c r="P44" s="99">
        <f t="shared" si="10"/>
        <v>1</v>
      </c>
      <c r="Q44" s="82">
        <f>IF(P44-P43=P43-P42,P44,IF(P45-P43=P43-P42,P45,IF(P44-P43=P43-P41,P44,IF(P45-P43=P43-P41,P45,"-"))))</f>
        <v>1</v>
      </c>
      <c r="R44" s="83">
        <f>VLOOKUP(Q44,STN_TABLE,2,FALSE)</f>
        <v>3.53</v>
      </c>
      <c r="S44" s="83">
        <v>-1</v>
      </c>
      <c r="T44" s="82">
        <f>R44*S44</f>
        <v>-3.53</v>
      </c>
      <c r="U44" s="88">
        <v>-1</v>
      </c>
      <c r="V44" s="82">
        <f>R44*U44</f>
        <v>-3.53</v>
      </c>
      <c r="W44" s="84" t="str">
        <f>CONCATENATE("a'(",Q43,")=")</f>
        <v>a'(0.75)=</v>
      </c>
      <c r="X44" s="84">
        <f>2*X42/12*T45</f>
        <v>3.0558333333333332</v>
      </c>
      <c r="Y44" s="84" t="str">
        <f>CONCATENATE("A(",Q42,")=")</f>
        <v>A(0.5)=</v>
      </c>
      <c r="Z44" s="84">
        <f>VLOOKUP(Q42,STN_TABLE,3,FALSE)</f>
        <v>4.4466666666666663</v>
      </c>
      <c r="AA44" t="str">
        <f>CONCATENATE("A(",Q43,")=")</f>
        <v>A(0.75)=</v>
      </c>
      <c r="AB44">
        <f>X44+Z44</f>
        <v>7.5024999999999995</v>
      </c>
      <c r="AC44" s="99">
        <f>AC43+1</f>
        <v>4</v>
      </c>
      <c r="AD44" s="100">
        <f>VLOOKUP(AC44,STN_TABLE_2,2,FALSE)</f>
        <v>0.75</v>
      </c>
      <c r="AE44" s="82">
        <f>VLOOKUP(AD44,STN_TABLE,2,FALSE)</f>
        <v>3.25</v>
      </c>
      <c r="AF44" s="82">
        <v>2</v>
      </c>
      <c r="AG44" s="83">
        <f>AE44*AF44</f>
        <v>6.5</v>
      </c>
      <c r="AH44" s="84" t="str">
        <f>CONCATENATE("a'(",AD44,")=")</f>
        <v>a'(0.75)=</v>
      </c>
      <c r="AI44" s="84">
        <f>2*AI42/2*AE45</f>
        <v>3.0449999999999999</v>
      </c>
      <c r="AJ44" s="84" t="str">
        <f>CONCATENATE("A(",AD43,")=")</f>
        <v>A(0.5)=</v>
      </c>
      <c r="AK44" s="84">
        <f>VLOOKUP(AD43,STN_TABLE,3,FALSE)</f>
        <v>4.4466666666666663</v>
      </c>
      <c r="AL44" t="str">
        <f>CONCATENATE("A(",AD44,")=")</f>
        <v>A(0.75)=</v>
      </c>
      <c r="AM44">
        <f>AI44+AK44</f>
        <v>7.4916666666666663</v>
      </c>
      <c r="AO44" s="68" t="str">
        <f>AA44</f>
        <v>A(0.75)=</v>
      </c>
      <c r="AP44" s="68" t="e">
        <f>VLOOKUP(AO44,Rise_Results,2,FALSE)</f>
        <v>#N/A</v>
      </c>
      <c r="AQ44" s="76">
        <f>N44</f>
        <v>7.4749999999999996</v>
      </c>
      <c r="AR44" s="76">
        <f>IF(OR(AB44&lt;=0,AB45&lt;=0),1/0,AB44)</f>
        <v>7.5024999999999995</v>
      </c>
      <c r="AS44" s="76">
        <f>AM44</f>
        <v>7.4916666666666663</v>
      </c>
      <c r="AT44">
        <f>IFERROR(AP44,IFERROR(AQ44,IFERROR(AR44,AS44)))</f>
        <v>7.4749999999999996</v>
      </c>
      <c r="AU44" s="81"/>
    </row>
    <row r="45" spans="1:47" x14ac:dyDescent="0.25">
      <c r="A45" s="94">
        <f>A44+1</f>
        <v>4</v>
      </c>
      <c r="B45" s="94">
        <f t="shared" si="11"/>
        <v>0.75</v>
      </c>
      <c r="F45" s="82">
        <f>SUM(F42:F44)</f>
        <v>16.91</v>
      </c>
      <c r="H45" s="82">
        <f>SUM(H42:H44)</f>
        <v>8.692499999999999</v>
      </c>
      <c r="I45" s="84" t="str">
        <f>CONCATENATE("m'(",C44,")=")</f>
        <v>m'(0.75)=</v>
      </c>
      <c r="J45" s="84">
        <f>2*(J42*(WLS))/3*H45</f>
        <v>5.794999999999999</v>
      </c>
      <c r="K45" s="84" t="str">
        <f>CONCATENATE("M(",C42,")=")</f>
        <v>M(0.25)=</v>
      </c>
      <c r="L45" s="84">
        <f>VLOOKUP(C42,STN_TABLE,4,FALSE)</f>
        <v>0.50124999999999997</v>
      </c>
      <c r="M45" t="str">
        <f>CONCATENATE("M(",C44,")=")</f>
        <v>M(0.75)=</v>
      </c>
      <c r="N45">
        <f>J45+L45</f>
        <v>6.2962499999999988</v>
      </c>
      <c r="O45" s="99">
        <f>O44+1</f>
        <v>6</v>
      </c>
      <c r="P45" s="99">
        <f t="shared" si="10"/>
        <v>2</v>
      </c>
      <c r="T45" s="89">
        <f>SUM(T42:T44)</f>
        <v>36.67</v>
      </c>
      <c r="V45" s="82">
        <f>SUM(V42:V44)</f>
        <v>37.489999999999995</v>
      </c>
      <c r="W45" s="84" t="str">
        <f>CONCATENATE("m'(",Q43,")=")</f>
        <v>m'(0.75)=</v>
      </c>
      <c r="X45" s="84">
        <f>(2*(X42^2)/24*V45)+(X44*Q42*WLS)</f>
        <v>3.8368749999999996</v>
      </c>
      <c r="Y45" s="84" t="str">
        <f>CONCATENATE("M(",Q42,")=")</f>
        <v>M(0.5)=</v>
      </c>
      <c r="Z45" s="84">
        <f>VLOOKUP(Q42,STN_TABLE,4,FALSE)</f>
        <v>2.4799999999999995</v>
      </c>
      <c r="AA45" t="str">
        <f>CONCATENATE("M(",Q43,")=")</f>
        <v>M(0.75)=</v>
      </c>
      <c r="AB45">
        <f>X45+Z45</f>
        <v>6.3168749999999996</v>
      </c>
      <c r="AE45" s="89">
        <f>SUM(AE43:AE44)</f>
        <v>6.09</v>
      </c>
      <c r="AG45" s="89">
        <f>SUM(AG43:AG44)</f>
        <v>9.34</v>
      </c>
      <c r="AH45" s="84" t="str">
        <f>CONCATENATE("m'(",AD44,")=")</f>
        <v>m'(0.75)=</v>
      </c>
      <c r="AI45" s="84">
        <f>(2*(AI42^2)/6*AG45)+(AI44*AD43*WLS)</f>
        <v>3.8233333333333333</v>
      </c>
      <c r="AJ45" s="84" t="str">
        <f>CONCATENATE("M(",AD43,")=")</f>
        <v>M(0.5)=</v>
      </c>
      <c r="AK45" s="84">
        <f>VLOOKUP(AD43,STN_TABLE,4,FALSE)</f>
        <v>2.4799999999999995</v>
      </c>
      <c r="AL45" t="str">
        <f>CONCATENATE("M(",AD44,")=")</f>
        <v>M(0.75)=</v>
      </c>
      <c r="AM45">
        <f>AI45+AK45</f>
        <v>6.3033333333333328</v>
      </c>
      <c r="AO45" s="82" t="str">
        <f>AA45</f>
        <v>M(0.75)=</v>
      </c>
      <c r="AP45" s="82" t="e">
        <f>VLOOKUP(AO45,Rise_Results,2,FALSE)</f>
        <v>#N/A</v>
      </c>
      <c r="AQ45" s="82">
        <f>N45</f>
        <v>6.2962499999999988</v>
      </c>
      <c r="AR45" s="82">
        <f>IF(OR(AB44&lt;=0,AB45&lt;=0),1/0,AB45)</f>
        <v>6.3168749999999996</v>
      </c>
      <c r="AS45" s="82">
        <f>AM45</f>
        <v>6.3033333333333328</v>
      </c>
      <c r="AT45">
        <f>IFERROR(AP45,IFERROR(AQ45,IFERROR(AR45,AS45)))</f>
        <v>6.2962499999999988</v>
      </c>
      <c r="AU45" s="81"/>
    </row>
    <row r="46" spans="1:47" x14ac:dyDescent="0.25">
      <c r="A46" s="101">
        <f>A41+1</f>
        <v>1</v>
      </c>
      <c r="B46" s="101">
        <f t="shared" si="11"/>
        <v>0</v>
      </c>
      <c r="O46" s="101">
        <f>O41+1</f>
        <v>3</v>
      </c>
      <c r="P46" s="101">
        <f t="shared" si="10"/>
        <v>0.5</v>
      </c>
      <c r="AU46" s="81"/>
    </row>
    <row r="47" spans="1:47" x14ac:dyDescent="0.25">
      <c r="A47" s="84">
        <f>A46+1</f>
        <v>2</v>
      </c>
      <c r="B47" s="84">
        <f t="shared" si="11"/>
        <v>0.25</v>
      </c>
      <c r="C47" s="79">
        <f>IF(C48=B49,IF(C49-C48=C48-B48,B48,IF(C49-C48=C48-B47,B47,"#NA")),IF(C48=B48,IF(C49-C48=C48-B47,B47,IF(C49-C48=C48-B46,B46,"#NA")),"#NA"))</f>
        <v>0.5</v>
      </c>
      <c r="D47" s="68">
        <f>VLOOKUP(C47,STN_TABLE,2,FALSE)</f>
        <v>2.84</v>
      </c>
      <c r="E47" s="102">
        <v>1</v>
      </c>
      <c r="F47" s="68">
        <f>D47*E47</f>
        <v>2.84</v>
      </c>
      <c r="G47" s="69">
        <f>C47</f>
        <v>0.5</v>
      </c>
      <c r="H47" s="69">
        <f>F47*G47</f>
        <v>1.42</v>
      </c>
      <c r="I47" s="6" t="s">
        <v>93</v>
      </c>
      <c r="J47" s="70">
        <f>IF(OR(D47=0,D48=0,D49=0),"#NA",IF(AND(C49-C48=C48-C47,C48&lt;&gt;C49,C47&lt;&gt;C48,C47&lt;&gt;C49,D49&lt;&gt;0,OR(D47&lt;&gt;0,D48&lt;&gt;0)),WLS*(C49-C48),"#NA"))</f>
        <v>0.5</v>
      </c>
      <c r="O47" s="99">
        <f>O46+1</f>
        <v>4</v>
      </c>
      <c r="P47" s="99">
        <f t="shared" si="10"/>
        <v>0.75</v>
      </c>
      <c r="Q47" s="68" t="str">
        <f>IF(OR(P49-P48=P48-P47,P50-P48=P48-P47),P47,IF(OR(P49-P48=P48-P46,P50-P48=P48-P46),P46,"-"))</f>
        <v>-</v>
      </c>
      <c r="R47" s="69" t="e">
        <f>VLOOKUP(Q47,STN_TABLE,2,FALSE)</f>
        <v>#N/A</v>
      </c>
      <c r="S47" s="69">
        <v>5</v>
      </c>
      <c r="T47" s="68" t="e">
        <f>R47*S47</f>
        <v>#N/A</v>
      </c>
      <c r="U47" s="79">
        <v>3</v>
      </c>
      <c r="V47" s="68" t="e">
        <f>R47*U47</f>
        <v>#N/A</v>
      </c>
      <c r="W47" s="6" t="s">
        <v>93</v>
      </c>
      <c r="X47" s="70" t="e">
        <f>IF(AND(Q49-Q48=Q48-Q47,NOT(AND(Q47=0,Q48=0)),NOT(AND(Q48=0,Q49=0))),WLS*(Q49-Q48),"#NA")</f>
        <v>#VALUE!</v>
      </c>
      <c r="AD47" s="93"/>
      <c r="AH47" s="6" t="s">
        <v>93</v>
      </c>
      <c r="AI47" s="70">
        <f>WLS*(AD49-AD48)</f>
        <v>0.5</v>
      </c>
      <c r="AU47" s="81"/>
    </row>
    <row r="48" spans="1:47" x14ac:dyDescent="0.25">
      <c r="A48" s="84">
        <f>A47+1</f>
        <v>3</v>
      </c>
      <c r="B48" s="84">
        <f t="shared" si="11"/>
        <v>0.5</v>
      </c>
      <c r="C48" s="80">
        <f>IF(OR(B50-B49=B49-B48,B50-B49=B49-B47,B50-B49=B49-B46),B49,IF(OR(B50-B48=B48-B47,B50-B48=B48-B46),B48,IF(B50-B47=B47-B46,B47,"#NA")))</f>
        <v>0.75</v>
      </c>
      <c r="D48" s="76">
        <f>VLOOKUP(C48,STN_TABLE,2,FALSE)</f>
        <v>3.25</v>
      </c>
      <c r="E48" s="81">
        <v>4</v>
      </c>
      <c r="F48" s="76">
        <f>D48*E48</f>
        <v>13</v>
      </c>
      <c r="G48" s="77">
        <f>C48</f>
        <v>0.75</v>
      </c>
      <c r="H48" s="77">
        <f>F48*G48</f>
        <v>9.75</v>
      </c>
      <c r="I48" s="496" t="s">
        <v>97</v>
      </c>
      <c r="J48" s="496"/>
      <c r="K48" s="78" t="s">
        <v>98</v>
      </c>
      <c r="L48" s="78"/>
      <c r="M48" s="7" t="s">
        <v>99</v>
      </c>
      <c r="N48" s="7"/>
      <c r="O48" s="99">
        <f>O47+1</f>
        <v>5</v>
      </c>
      <c r="P48" s="99">
        <f t="shared" si="10"/>
        <v>1</v>
      </c>
      <c r="Q48" s="76">
        <f>P48</f>
        <v>1</v>
      </c>
      <c r="R48" s="77">
        <f>VLOOKUP(Q48,STN_TABLE,2,FALSE)</f>
        <v>3.53</v>
      </c>
      <c r="S48" s="77">
        <v>8</v>
      </c>
      <c r="T48" s="76">
        <f>R48*S48</f>
        <v>28.24</v>
      </c>
      <c r="U48" s="80">
        <v>10</v>
      </c>
      <c r="V48" s="76">
        <f>R48*U48</f>
        <v>35.299999999999997</v>
      </c>
      <c r="W48" s="496" t="s">
        <v>97</v>
      </c>
      <c r="X48" s="496"/>
      <c r="Y48" s="496" t="s">
        <v>98</v>
      </c>
      <c r="Z48" s="496"/>
      <c r="AA48" s="494" t="s">
        <v>99</v>
      </c>
      <c r="AB48" s="494"/>
      <c r="AC48" s="99">
        <f>AC43+1</f>
        <v>4</v>
      </c>
      <c r="AD48" s="95">
        <f>VLOOKUP(AC48,STN_TABLE_2,2,FALSE)</f>
        <v>0.75</v>
      </c>
      <c r="AE48" s="68">
        <f>VLOOKUP(AD48,STN_TABLE,2,FALSE)</f>
        <v>3.25</v>
      </c>
      <c r="AF48" s="68">
        <v>1</v>
      </c>
      <c r="AG48" s="69">
        <f>AE48*AF48</f>
        <v>3.25</v>
      </c>
      <c r="AH48" s="496" t="s">
        <v>97</v>
      </c>
      <c r="AI48" s="496"/>
      <c r="AJ48" s="496" t="s">
        <v>98</v>
      </c>
      <c r="AK48" s="496"/>
      <c r="AL48" s="494" t="s">
        <v>99</v>
      </c>
      <c r="AM48" s="494"/>
      <c r="AP48" s="86" t="s">
        <v>112</v>
      </c>
      <c r="AQ48" s="89" t="s">
        <v>113</v>
      </c>
      <c r="AR48" s="89" t="s">
        <v>114</v>
      </c>
      <c r="AS48" s="89" t="s">
        <v>115</v>
      </c>
      <c r="AU48" s="81"/>
    </row>
    <row r="49" spans="1:47" x14ac:dyDescent="0.25">
      <c r="A49" s="84">
        <f>A48+1</f>
        <v>4</v>
      </c>
      <c r="B49" s="84">
        <f t="shared" si="11"/>
        <v>0.75</v>
      </c>
      <c r="C49" s="88">
        <f>B50</f>
        <v>1</v>
      </c>
      <c r="D49" s="82">
        <f>VLOOKUP(C49,STN_TABLE,2,FALSE)</f>
        <v>3.53</v>
      </c>
      <c r="E49" s="92">
        <v>1</v>
      </c>
      <c r="F49" s="82">
        <f>D49*E49</f>
        <v>3.53</v>
      </c>
      <c r="G49" s="83">
        <f>C49</f>
        <v>1</v>
      </c>
      <c r="H49" s="83">
        <f>F49*G49</f>
        <v>3.53</v>
      </c>
      <c r="I49" s="84" t="str">
        <f>CONCATENATE("a'(",C49,")=")</f>
        <v>a'(1)=</v>
      </c>
      <c r="J49" s="84">
        <f>2*J47/3*F50</f>
        <v>6.456666666666667</v>
      </c>
      <c r="K49" s="84" t="str">
        <f>CONCATENATE("A(",C47,")=")</f>
        <v>A(0.5)=</v>
      </c>
      <c r="L49" s="84">
        <f>VLOOKUP(C47,STN_TABLE,3,FALSE)</f>
        <v>4.4466666666666663</v>
      </c>
      <c r="M49" t="str">
        <f>CONCATENATE("A(",C49,")=")</f>
        <v>A(1)=</v>
      </c>
      <c r="N49">
        <f>J49+L49</f>
        <v>10.903333333333332</v>
      </c>
      <c r="O49" s="99">
        <f>O48+1</f>
        <v>6</v>
      </c>
      <c r="P49" s="99">
        <f t="shared" si="10"/>
        <v>2</v>
      </c>
      <c r="Q49" s="82" t="str">
        <f>IF(P49-P48=P48-P47,P49,IF(P50-P48=P48-P47,P50,IF(P49-P48=P48-P46,P49,IF(P50-P48=P48-P46,P50,"-"))))</f>
        <v>-</v>
      </c>
      <c r="R49" s="83" t="e">
        <f>VLOOKUP(Q49,STN_TABLE,2,FALSE)</f>
        <v>#N/A</v>
      </c>
      <c r="S49" s="83">
        <v>-1</v>
      </c>
      <c r="T49" s="82" t="e">
        <f>R49*S49</f>
        <v>#N/A</v>
      </c>
      <c r="U49" s="88">
        <v>-1</v>
      </c>
      <c r="V49" s="82" t="e">
        <f>R49*U49</f>
        <v>#N/A</v>
      </c>
      <c r="W49" s="84" t="str">
        <f>CONCATENATE("a'(",Q48,")=")</f>
        <v>a'(1)=</v>
      </c>
      <c r="X49" s="84" t="e">
        <f>2*X47/12*T50</f>
        <v>#VALUE!</v>
      </c>
      <c r="Y49" s="84" t="str">
        <f>CONCATENATE("A(",Q47,")=")</f>
        <v>A(-)=</v>
      </c>
      <c r="Z49" s="84" t="e">
        <f>VLOOKUP(Q47,STN_TABLE,3,FALSE)</f>
        <v>#N/A</v>
      </c>
      <c r="AA49" t="str">
        <f>CONCATENATE("A(",Q48,")=")</f>
        <v>A(1)=</v>
      </c>
      <c r="AB49" t="e">
        <f>X49+Z49</f>
        <v>#VALUE!</v>
      </c>
      <c r="AC49" s="99">
        <f>AC48+1</f>
        <v>5</v>
      </c>
      <c r="AD49" s="100">
        <f>VLOOKUP(AC49,STN_TABLE_2,2,FALSE)</f>
        <v>1</v>
      </c>
      <c r="AE49" s="82">
        <f>VLOOKUP(AD49,STN_TABLE,2,FALSE)</f>
        <v>3.53</v>
      </c>
      <c r="AF49" s="82">
        <v>2</v>
      </c>
      <c r="AG49" s="83">
        <f>AE49*AF49</f>
        <v>7.06</v>
      </c>
      <c r="AH49" s="84" t="str">
        <f>CONCATENATE("a'(",AD49,")=")</f>
        <v>a'(1)=</v>
      </c>
      <c r="AI49" s="84">
        <f>2*AI47/2*AE50</f>
        <v>3.3899999999999997</v>
      </c>
      <c r="AJ49" s="84" t="str">
        <f>CONCATENATE("A(",AD48,")=")</f>
        <v>A(0.75)=</v>
      </c>
      <c r="AK49" s="84">
        <f>VLOOKUP(AD48,STN_TABLE,3,FALSE)</f>
        <v>7.4749999999999996</v>
      </c>
      <c r="AL49" t="str">
        <f>CONCATENATE("A(",AD49,")=")</f>
        <v>A(1)=</v>
      </c>
      <c r="AM49">
        <f>AI49+AK49</f>
        <v>10.864999999999998</v>
      </c>
      <c r="AO49" s="68" t="str">
        <f>AA49</f>
        <v>A(1)=</v>
      </c>
      <c r="AP49" s="68" t="e">
        <f>VLOOKUP(AO49,Rise_Results,2,FALSE)</f>
        <v>#N/A</v>
      </c>
      <c r="AQ49" s="76">
        <f>N49</f>
        <v>10.903333333333332</v>
      </c>
      <c r="AR49" s="76" t="e">
        <f>IF(OR(AB49&lt;=0,AB50&lt;=0),1/0,AB49)</f>
        <v>#VALUE!</v>
      </c>
      <c r="AS49" s="76">
        <f>AM49</f>
        <v>10.864999999999998</v>
      </c>
      <c r="AT49">
        <f>IFERROR(AP49,IFERROR(AQ49,IFERROR(AR49,AS49)))</f>
        <v>10.903333333333332</v>
      </c>
      <c r="AU49" s="81"/>
    </row>
    <row r="50" spans="1:47" x14ac:dyDescent="0.25">
      <c r="A50" s="84">
        <f>A49+1</f>
        <v>5</v>
      </c>
      <c r="B50" s="84">
        <f t="shared" si="11"/>
        <v>1</v>
      </c>
      <c r="F50" s="82">
        <f>SUM(F47:F49)</f>
        <v>19.37</v>
      </c>
      <c r="H50" s="82">
        <f>SUM(H47:H49)</f>
        <v>14.7</v>
      </c>
      <c r="I50" s="84" t="str">
        <f>CONCATENATE("m'(",C49,")=")</f>
        <v>m'(1)=</v>
      </c>
      <c r="J50" s="84">
        <f>2*(J47*(WLS))/3*H50</f>
        <v>9.7999999999999989</v>
      </c>
      <c r="K50" s="84" t="str">
        <f>CONCATENATE("M(",C47,")=")</f>
        <v>M(0.5)=</v>
      </c>
      <c r="L50" s="84">
        <f>VLOOKUP(C47,STN_TABLE,4,FALSE)</f>
        <v>2.4799999999999995</v>
      </c>
      <c r="M50" t="str">
        <f>CONCATENATE("M(",C49,")=")</f>
        <v>M(1)=</v>
      </c>
      <c r="N50">
        <f>J50+L50</f>
        <v>12.279999999999998</v>
      </c>
      <c r="O50" s="99">
        <f>O49+1</f>
        <v>7</v>
      </c>
      <c r="P50" s="99">
        <f t="shared" si="10"/>
        <v>3</v>
      </c>
      <c r="T50" s="89" t="e">
        <f>SUM(T47:T49)</f>
        <v>#N/A</v>
      </c>
      <c r="V50" s="82" t="e">
        <f>SUM(V47:V49)</f>
        <v>#N/A</v>
      </c>
      <c r="W50" s="84" t="str">
        <f>CONCATENATE("m'(",Q48,")=")</f>
        <v>m'(1)=</v>
      </c>
      <c r="X50" s="84" t="e">
        <f>(2*(X47^2)/24*V50)+(X49*Q47*WLS)</f>
        <v>#VALUE!</v>
      </c>
      <c r="Y50" s="84" t="str">
        <f>CONCATENATE("M(",Q47,")=")</f>
        <v>M(-)=</v>
      </c>
      <c r="Z50" s="84" t="e">
        <f>VLOOKUP(Q47,STN_TABLE,4,FALSE)</f>
        <v>#N/A</v>
      </c>
      <c r="AA50" t="str">
        <f>CONCATENATE("M(",Q48,")=")</f>
        <v>M(1)=</v>
      </c>
      <c r="AB50" t="e">
        <f>X50+Z50</f>
        <v>#VALUE!</v>
      </c>
      <c r="AE50" s="89">
        <f>SUM(AE48:AE49)</f>
        <v>6.7799999999999994</v>
      </c>
      <c r="AG50" s="89">
        <f>SUM(AG48:AG49)</f>
        <v>10.309999999999999</v>
      </c>
      <c r="AH50" s="84" t="str">
        <f>CONCATENATE("m'(",AD49,")=")</f>
        <v>m'(1)=</v>
      </c>
      <c r="AI50" s="84">
        <f>(2*(AI47^2)/6*AG50)+(AI49*AD48*WLS)</f>
        <v>5.9441666666666659</v>
      </c>
      <c r="AJ50" s="84" t="str">
        <f>CONCATENATE("M(",AD48,")=")</f>
        <v>M(0.75)=</v>
      </c>
      <c r="AK50" s="84">
        <f>VLOOKUP(AD48,STN_TABLE,4,FALSE)</f>
        <v>6.2962499999999988</v>
      </c>
      <c r="AL50" t="str">
        <f>CONCATENATE("M(",AD49,")=")</f>
        <v>M(1)=</v>
      </c>
      <c r="AM50">
        <f>AI50+AK50</f>
        <v>12.240416666666665</v>
      </c>
      <c r="AO50" s="82" t="str">
        <f>AA50</f>
        <v>M(1)=</v>
      </c>
      <c r="AP50" s="82" t="e">
        <f>VLOOKUP(AO50,Rise_Results,2,FALSE)</f>
        <v>#N/A</v>
      </c>
      <c r="AQ50" s="82">
        <f>N50</f>
        <v>12.279999999999998</v>
      </c>
      <c r="AR50" s="82" t="e">
        <f>IF(OR(AB49&lt;=0,AB50&lt;=0),1/0,AB50)</f>
        <v>#VALUE!</v>
      </c>
      <c r="AS50" s="82">
        <f>AM50</f>
        <v>12.240416666666665</v>
      </c>
      <c r="AT50">
        <f>IFERROR(AP50,IFERROR(AQ50,IFERROR(AR50,AS50)))</f>
        <v>12.279999999999998</v>
      </c>
      <c r="AU50" s="81"/>
    </row>
    <row r="51" spans="1:47" x14ac:dyDescent="0.25">
      <c r="A51" s="101">
        <f>A46+1</f>
        <v>2</v>
      </c>
      <c r="B51" s="101">
        <f t="shared" si="11"/>
        <v>0.25</v>
      </c>
      <c r="O51" s="101">
        <f>O46+1</f>
        <v>4</v>
      </c>
      <c r="P51" s="101">
        <f t="shared" si="10"/>
        <v>0.75</v>
      </c>
      <c r="AU51" s="81"/>
    </row>
    <row r="52" spans="1:47" x14ac:dyDescent="0.25">
      <c r="A52" s="84">
        <f>A51+1</f>
        <v>3</v>
      </c>
      <c r="B52" s="84">
        <f t="shared" si="11"/>
        <v>0.5</v>
      </c>
      <c r="C52" s="79" t="str">
        <f t="shared" ref="C52" si="12">IF(C53=B54,IF(C54-C53=C53-B53,B53,IF(C54-C53=C53-B52,B52,"#NA")),IF(C53=B53,IF(C54-C53=C53-B52,B52,IF(C54-C53=C53-B51,B51,"#NA")),"#NA"))</f>
        <v>#NA</v>
      </c>
      <c r="D52" s="68" t="e">
        <f>VLOOKUP(C52,STN_TABLE,2,FALSE)</f>
        <v>#N/A</v>
      </c>
      <c r="E52" s="102">
        <v>1</v>
      </c>
      <c r="F52" s="68" t="e">
        <f>D52*E52</f>
        <v>#N/A</v>
      </c>
      <c r="G52" s="69" t="str">
        <f>C52</f>
        <v>#NA</v>
      </c>
      <c r="H52" s="69" t="e">
        <f>F52*G52</f>
        <v>#N/A</v>
      </c>
      <c r="I52" s="6" t="s">
        <v>93</v>
      </c>
      <c r="J52" s="70" t="e">
        <f>IF(OR(D52=0,D53=0,D54=0),"#NA",IF(AND(C54-C53=C53-C52,C53&lt;&gt;C54,C52&lt;&gt;C53,C52&lt;&gt;C54,D54&lt;&gt;0,OR(D52&lt;&gt;0,D53&lt;&gt;0)),WLS*(C54-C53),"#NA"))</f>
        <v>#N/A</v>
      </c>
      <c r="O52" s="99">
        <f>O51+1</f>
        <v>5</v>
      </c>
      <c r="P52" s="99">
        <f t="shared" si="10"/>
        <v>1</v>
      </c>
      <c r="Q52" s="68">
        <f>IF(OR(P54-P53=P53-P52,P55-P53=P53-P52),P52,IF(OR(P54-P53=P53-P51,P55-P53=P53-P51),P51,"-"))</f>
        <v>1</v>
      </c>
      <c r="R52" s="69">
        <f>VLOOKUP(Q52,STN_TABLE,2,FALSE)</f>
        <v>3.53</v>
      </c>
      <c r="S52" s="69">
        <v>5</v>
      </c>
      <c r="T52" s="68">
        <f>R52*S52</f>
        <v>17.649999999999999</v>
      </c>
      <c r="U52" s="79">
        <v>3</v>
      </c>
      <c r="V52" s="68">
        <f>R52*U52</f>
        <v>10.59</v>
      </c>
      <c r="W52" s="6" t="s">
        <v>93</v>
      </c>
      <c r="X52" s="70">
        <f>IF(AND(Q54-Q53=Q53-Q52,NOT(AND(Q52=0,Q53=0)),NOT(AND(Q53=0,Q54=0))),WLS*(Q54-Q53),"#NA")</f>
        <v>2</v>
      </c>
      <c r="AD52" s="93"/>
      <c r="AH52" s="6" t="s">
        <v>93</v>
      </c>
      <c r="AI52" s="70">
        <f>WLS*(AD54-AD53)</f>
        <v>2</v>
      </c>
      <c r="AU52" s="81"/>
    </row>
    <row r="53" spans="1:47" x14ac:dyDescent="0.25">
      <c r="A53" s="84">
        <f>A52+1</f>
        <v>4</v>
      </c>
      <c r="B53" s="84">
        <f t="shared" si="11"/>
        <v>0.75</v>
      </c>
      <c r="C53" s="80" t="str">
        <f t="shared" ref="C53" si="13">IF(OR(B55-B54=B54-B53,B55-B54=B54-B52,B55-B54=B54-B51),B54,IF(OR(B55-B53=B53-B52,B55-B53=B53-B51),B53,IF(B55-B52=B52-B51,B52,"#NA")))</f>
        <v>#NA</v>
      </c>
      <c r="D53" s="76" t="e">
        <f>VLOOKUP(C53,STN_TABLE,2,FALSE)</f>
        <v>#N/A</v>
      </c>
      <c r="E53" s="81">
        <v>4</v>
      </c>
      <c r="F53" s="76" t="e">
        <f>D53*E53</f>
        <v>#N/A</v>
      </c>
      <c r="G53" s="77" t="str">
        <f>C53</f>
        <v>#NA</v>
      </c>
      <c r="H53" s="77" t="e">
        <f>F53*G53</f>
        <v>#N/A</v>
      </c>
      <c r="I53" s="495" t="s">
        <v>97</v>
      </c>
      <c r="J53" s="496"/>
      <c r="K53" s="78" t="s">
        <v>98</v>
      </c>
      <c r="L53" s="78"/>
      <c r="M53" s="7" t="s">
        <v>99</v>
      </c>
      <c r="N53" s="7"/>
      <c r="O53" s="99">
        <f>O52+1</f>
        <v>6</v>
      </c>
      <c r="P53" s="99">
        <f t="shared" si="10"/>
        <v>2</v>
      </c>
      <c r="Q53" s="76">
        <f>P53</f>
        <v>2</v>
      </c>
      <c r="R53" s="77">
        <f>VLOOKUP(Q53,STN_TABLE,2,FALSE)</f>
        <v>4.1100000000000003</v>
      </c>
      <c r="S53" s="77">
        <v>8</v>
      </c>
      <c r="T53" s="76">
        <f>R53*S53</f>
        <v>32.880000000000003</v>
      </c>
      <c r="U53" s="80">
        <v>10</v>
      </c>
      <c r="V53" s="76">
        <f>R53*U53</f>
        <v>41.1</v>
      </c>
      <c r="W53" s="496" t="s">
        <v>97</v>
      </c>
      <c r="X53" s="496"/>
      <c r="Y53" s="496" t="s">
        <v>98</v>
      </c>
      <c r="Z53" s="496"/>
      <c r="AA53" s="494" t="s">
        <v>99</v>
      </c>
      <c r="AB53" s="494"/>
      <c r="AC53" s="99">
        <f>AC48+1</f>
        <v>5</v>
      </c>
      <c r="AD53" s="95">
        <f>VLOOKUP(AC53,STN_TABLE_2,2,FALSE)</f>
        <v>1</v>
      </c>
      <c r="AE53" s="68">
        <f>VLOOKUP(AD53,STN_TABLE,2,FALSE)</f>
        <v>3.53</v>
      </c>
      <c r="AF53" s="68">
        <v>1</v>
      </c>
      <c r="AG53" s="69">
        <f>AE53*AF53</f>
        <v>3.53</v>
      </c>
      <c r="AH53" s="496" t="s">
        <v>97</v>
      </c>
      <c r="AI53" s="496"/>
      <c r="AJ53" s="496" t="s">
        <v>98</v>
      </c>
      <c r="AK53" s="496"/>
      <c r="AL53" s="494" t="s">
        <v>99</v>
      </c>
      <c r="AM53" s="494"/>
      <c r="AP53" s="86" t="s">
        <v>112</v>
      </c>
      <c r="AQ53" s="89" t="s">
        <v>113</v>
      </c>
      <c r="AR53" s="89" t="s">
        <v>114</v>
      </c>
      <c r="AS53" s="89" t="s">
        <v>115</v>
      </c>
      <c r="AU53" s="81"/>
    </row>
    <row r="54" spans="1:47" x14ac:dyDescent="0.25">
      <c r="A54" s="84">
        <f>A53+1</f>
        <v>5</v>
      </c>
      <c r="B54" s="84">
        <f t="shared" si="11"/>
        <v>1</v>
      </c>
      <c r="C54" s="88">
        <f t="shared" ref="C54" si="14">B55</f>
        <v>2</v>
      </c>
      <c r="D54" s="82">
        <f>VLOOKUP(C54,STN_TABLE,2,FALSE)</f>
        <v>4.1100000000000003</v>
      </c>
      <c r="E54" s="92">
        <v>1</v>
      </c>
      <c r="F54" s="82">
        <f>D54*E54</f>
        <v>4.1100000000000003</v>
      </c>
      <c r="G54" s="83">
        <f>C54</f>
        <v>2</v>
      </c>
      <c r="H54" s="83">
        <f>F54*G54</f>
        <v>8.2200000000000006</v>
      </c>
      <c r="I54" s="84" t="str">
        <f>CONCATENATE("a'(",C54,")=")</f>
        <v>a'(2)=</v>
      </c>
      <c r="J54" s="84" t="e">
        <f>2*J52/3*F55</f>
        <v>#N/A</v>
      </c>
      <c r="K54" s="84" t="str">
        <f>CONCATENATE("A(",C52,")=")</f>
        <v>A(#NA)=</v>
      </c>
      <c r="L54" s="84" t="e">
        <f>VLOOKUP(C52,STN_TABLE,3,FALSE)</f>
        <v>#N/A</v>
      </c>
      <c r="M54" t="str">
        <f>CONCATENATE("A(",C54,")=")</f>
        <v>A(2)=</v>
      </c>
      <c r="N54" t="e">
        <f>J54+L54</f>
        <v>#N/A</v>
      </c>
      <c r="O54" s="99">
        <f>O53+1</f>
        <v>7</v>
      </c>
      <c r="P54" s="99">
        <f t="shared" si="10"/>
        <v>3</v>
      </c>
      <c r="Q54" s="82">
        <f>IF(P54-P53=P53-P52,P54,IF(P55-P53=P53-P52,P55,IF(P54-P53=P53-P51,P54,IF(P55-P53=P53-P51,P55,"-"))))</f>
        <v>3</v>
      </c>
      <c r="R54" s="83">
        <f>VLOOKUP(Q54,STN_TABLE,2,FALSE)</f>
        <v>4.2300000000000004</v>
      </c>
      <c r="S54" s="83">
        <v>-1</v>
      </c>
      <c r="T54" s="82">
        <f>R54*S54</f>
        <v>-4.2300000000000004</v>
      </c>
      <c r="U54" s="88">
        <v>-1</v>
      </c>
      <c r="V54" s="82">
        <f>R54*U54</f>
        <v>-4.2300000000000004</v>
      </c>
      <c r="W54" s="84" t="str">
        <f>CONCATENATE("a'(",Q53,")=")</f>
        <v>a'(2)=</v>
      </c>
      <c r="X54" s="84">
        <f>2*X52/12*T55</f>
        <v>15.433333333333332</v>
      </c>
      <c r="Y54" s="84" t="str">
        <f>CONCATENATE("A(",Q52,")=")</f>
        <v>A(1)=</v>
      </c>
      <c r="Z54" s="84">
        <f>VLOOKUP(Q52,STN_TABLE,3,FALSE)</f>
        <v>10.903333333333332</v>
      </c>
      <c r="AA54" t="str">
        <f>CONCATENATE("A(",Q53,")=")</f>
        <v>A(2)=</v>
      </c>
      <c r="AB54">
        <f>X54+Z54</f>
        <v>26.336666666666666</v>
      </c>
      <c r="AC54" s="99">
        <f>AC53+1</f>
        <v>6</v>
      </c>
      <c r="AD54" s="100">
        <f>VLOOKUP(AC54,STN_TABLE_2,2,FALSE)</f>
        <v>2</v>
      </c>
      <c r="AE54" s="82">
        <f>VLOOKUP(AD54,STN_TABLE,2,FALSE)</f>
        <v>4.1100000000000003</v>
      </c>
      <c r="AF54" s="82">
        <v>2</v>
      </c>
      <c r="AG54" s="83">
        <f>AE54*AF54</f>
        <v>8.2200000000000006</v>
      </c>
      <c r="AH54" s="84" t="str">
        <f>CONCATENATE("a'(",AD54,")=")</f>
        <v>a'(2)=</v>
      </c>
      <c r="AI54" s="84">
        <f>2*AI52/2*AE55</f>
        <v>15.280000000000001</v>
      </c>
      <c r="AJ54" s="84" t="str">
        <f>CONCATENATE("A(",AD53,")=")</f>
        <v>A(1)=</v>
      </c>
      <c r="AK54" s="84">
        <f>VLOOKUP(AD53,STN_TABLE,3,FALSE)</f>
        <v>10.903333333333332</v>
      </c>
      <c r="AL54" t="str">
        <f>CONCATENATE("A(",AD54,")=")</f>
        <v>A(2)=</v>
      </c>
      <c r="AM54">
        <f>AI54+AK54</f>
        <v>26.183333333333334</v>
      </c>
      <c r="AO54" s="68" t="str">
        <f>AA54</f>
        <v>A(2)=</v>
      </c>
      <c r="AP54" s="68" t="e">
        <f>VLOOKUP(AO54,Rise_Results,2,FALSE)</f>
        <v>#N/A</v>
      </c>
      <c r="AQ54" s="76" t="e">
        <f>N54</f>
        <v>#N/A</v>
      </c>
      <c r="AR54" s="76">
        <f>IF(OR(AB54&lt;=0,AB55&lt;=0),1/0,AB54)</f>
        <v>26.336666666666666</v>
      </c>
      <c r="AS54" s="76">
        <f>AM54</f>
        <v>26.183333333333334</v>
      </c>
      <c r="AT54">
        <f>IFERROR(AP54,IFERROR(AQ54,IFERROR(AR54,AS54)))</f>
        <v>26.336666666666666</v>
      </c>
      <c r="AU54" s="81"/>
    </row>
    <row r="55" spans="1:47" x14ac:dyDescent="0.25">
      <c r="A55" s="84">
        <f>A54+1</f>
        <v>6</v>
      </c>
      <c r="B55" s="84">
        <f t="shared" si="11"/>
        <v>2</v>
      </c>
      <c r="F55" s="82" t="e">
        <f>SUM(F52:F54)</f>
        <v>#N/A</v>
      </c>
      <c r="H55" s="82" t="e">
        <f>SUM(H52:H54)</f>
        <v>#N/A</v>
      </c>
      <c r="I55" s="84" t="str">
        <f>CONCATENATE("m'(",C54,")=")</f>
        <v>m'(2)=</v>
      </c>
      <c r="J55" s="84" t="e">
        <f>2*(J52*(WLS))/3*H55</f>
        <v>#N/A</v>
      </c>
      <c r="K55" s="84" t="str">
        <f>CONCATENATE("M(",C52,")=")</f>
        <v>M(#NA)=</v>
      </c>
      <c r="L55" s="84" t="e">
        <f>VLOOKUP(C52,STN_TABLE,4,FALSE)</f>
        <v>#N/A</v>
      </c>
      <c r="M55" t="str">
        <f>CONCATENATE("M(",C54,")=")</f>
        <v>M(2)=</v>
      </c>
      <c r="N55" t="e">
        <f>J55+L55</f>
        <v>#N/A</v>
      </c>
      <c r="O55" s="99">
        <f>O54+1</f>
        <v>8</v>
      </c>
      <c r="P55" s="99">
        <f t="shared" si="10"/>
        <v>4</v>
      </c>
      <c r="T55" s="89">
        <f>SUM(T52:T54)</f>
        <v>46.3</v>
      </c>
      <c r="V55" s="82">
        <f>SUM(V52:V54)</f>
        <v>47.459999999999994</v>
      </c>
      <c r="W55" s="84" t="str">
        <f>CONCATENATE("m'(",Q53,")=")</f>
        <v>m'(2)=</v>
      </c>
      <c r="X55" s="84">
        <f>(2*(X52^2)/24*V55)+(X54*Q52*WLS)</f>
        <v>46.68666666666666</v>
      </c>
      <c r="Y55" s="84" t="str">
        <f>CONCATENATE("M(",Q52,")=")</f>
        <v>M(1)=</v>
      </c>
      <c r="Z55" s="84">
        <f>VLOOKUP(Q52,STN_TABLE,4,FALSE)</f>
        <v>12.279999999999998</v>
      </c>
      <c r="AA55" t="str">
        <f>CONCATENATE("M(",Q53,")=")</f>
        <v>M(2)=</v>
      </c>
      <c r="AB55">
        <f>X55+Z55</f>
        <v>58.966666666666654</v>
      </c>
      <c r="AE55" s="89">
        <f>SUM(AE53:AE54)</f>
        <v>7.6400000000000006</v>
      </c>
      <c r="AG55" s="89">
        <f>SUM(AG53:AG54)</f>
        <v>11.75</v>
      </c>
      <c r="AH55" s="84" t="str">
        <f>CONCATENATE("m'(",AD54,")=")</f>
        <v>m'(2)=</v>
      </c>
      <c r="AI55" s="84">
        <f>(2*(AI52^2)/6*AG55)+(AI54*AD53*WLS)</f>
        <v>46.226666666666667</v>
      </c>
      <c r="AJ55" s="84" t="str">
        <f>CONCATENATE("M(",AD53,")=")</f>
        <v>M(1)=</v>
      </c>
      <c r="AK55" s="84">
        <f>VLOOKUP(AD53,STN_TABLE,4,FALSE)</f>
        <v>12.279999999999998</v>
      </c>
      <c r="AL55" t="str">
        <f>CONCATENATE("M(",AD54,")=")</f>
        <v>M(2)=</v>
      </c>
      <c r="AM55">
        <f>AI55+AK55</f>
        <v>58.506666666666661</v>
      </c>
      <c r="AO55" s="82" t="str">
        <f>AA55</f>
        <v>M(2)=</v>
      </c>
      <c r="AP55" s="82" t="e">
        <f>VLOOKUP(AO55,Rise_Results,2,FALSE)</f>
        <v>#N/A</v>
      </c>
      <c r="AQ55" s="82" t="e">
        <f>N55</f>
        <v>#N/A</v>
      </c>
      <c r="AR55" s="82">
        <f>IF(OR(AB54&lt;=0,AB55&lt;=0),1/0,AB55)</f>
        <v>58.966666666666654</v>
      </c>
      <c r="AS55" s="82">
        <f>AM55</f>
        <v>58.506666666666661</v>
      </c>
      <c r="AT55">
        <f>IFERROR(AP55,IFERROR(AQ55,IFERROR(AR55,AS55)))</f>
        <v>58.966666666666654</v>
      </c>
      <c r="AU55" s="81"/>
    </row>
    <row r="56" spans="1:47" x14ac:dyDescent="0.25">
      <c r="A56" s="101">
        <f>A51+1</f>
        <v>3</v>
      </c>
      <c r="B56" s="101">
        <f t="shared" si="11"/>
        <v>0.5</v>
      </c>
      <c r="O56" s="101">
        <f>O51+1</f>
        <v>5</v>
      </c>
      <c r="P56" s="101">
        <f t="shared" si="10"/>
        <v>1</v>
      </c>
      <c r="AU56" s="81"/>
    </row>
    <row r="57" spans="1:47" x14ac:dyDescent="0.25">
      <c r="A57" s="84">
        <f>A56+1</f>
        <v>4</v>
      </c>
      <c r="B57" s="84">
        <f t="shared" si="11"/>
        <v>0.75</v>
      </c>
      <c r="C57" s="79">
        <f t="shared" ref="C57" si="15">IF(C58=B59,IF(C59-C58=C58-B58,B58,IF(C59-C58=C58-B57,B57,"#NA")),IF(C58=B58,IF(C59-C58=C58-B57,B57,IF(C59-C58=C58-B56,B56,"#NA")),"#NA"))</f>
        <v>1</v>
      </c>
      <c r="D57" s="68">
        <f>VLOOKUP(C57,STN_TABLE,2,FALSE)</f>
        <v>3.53</v>
      </c>
      <c r="E57" s="102">
        <v>1</v>
      </c>
      <c r="F57" s="68">
        <f>D57*E57</f>
        <v>3.53</v>
      </c>
      <c r="G57" s="69">
        <f>C57</f>
        <v>1</v>
      </c>
      <c r="H57" s="69">
        <f>F57*G57</f>
        <v>3.53</v>
      </c>
      <c r="I57" s="6" t="s">
        <v>93</v>
      </c>
      <c r="J57" s="70">
        <f>IF(OR(D57=0,D58=0,D59=0),"#NA",IF(AND(C59-C58=C58-C57,C58&lt;&gt;C59,C57&lt;&gt;C58,C57&lt;&gt;C59,D59&lt;&gt;0,OR(D57&lt;&gt;0,D58&lt;&gt;0)),WLS*(C59-C58),"#NA"))</f>
        <v>2</v>
      </c>
      <c r="O57" s="99">
        <f>O56+1</f>
        <v>6</v>
      </c>
      <c r="P57" s="99">
        <f t="shared" si="10"/>
        <v>2</v>
      </c>
      <c r="Q57" s="68">
        <f>IF(OR(P59-P58=P58-P57,P60-P58=P58-P57),P57,IF(OR(P59-P58=P58-P56,P60-P58=P58-P56),P56,"-"))</f>
        <v>2</v>
      </c>
      <c r="R57" s="69">
        <f>VLOOKUP(Q57,STN_TABLE,2,FALSE)</f>
        <v>4.1100000000000003</v>
      </c>
      <c r="S57" s="69">
        <v>5</v>
      </c>
      <c r="T57" s="68">
        <f>R57*S57</f>
        <v>20.55</v>
      </c>
      <c r="U57" s="79">
        <v>3</v>
      </c>
      <c r="V57" s="68">
        <f>R57*U57</f>
        <v>12.330000000000002</v>
      </c>
      <c r="W57" s="6" t="s">
        <v>93</v>
      </c>
      <c r="X57" s="70">
        <f>IF(AND(Q59-Q58=Q58-Q57,NOT(AND(Q57=0,Q58=0)),NOT(AND(Q58=0,Q59=0))),WLS*(Q59-Q58),"#NA")</f>
        <v>2</v>
      </c>
      <c r="AD57" s="93"/>
      <c r="AH57" s="6" t="s">
        <v>93</v>
      </c>
      <c r="AI57" s="70">
        <f>WLS*(AD59-AD58)</f>
        <v>2</v>
      </c>
      <c r="AU57" s="81"/>
    </row>
    <row r="58" spans="1:47" x14ac:dyDescent="0.25">
      <c r="A58" s="84">
        <f>A57+1</f>
        <v>5</v>
      </c>
      <c r="B58" s="84">
        <f t="shared" si="11"/>
        <v>1</v>
      </c>
      <c r="C58" s="80">
        <f t="shared" ref="C58" si="16">IF(OR(B60-B59=B59-B58,B60-B59=B59-B57,B60-B59=B59-B56),B59,IF(OR(B60-B58=B58-B57,B60-B58=B58-B56),B58,IF(B60-B57=B57-B56,B57,"#NA")))</f>
        <v>2</v>
      </c>
      <c r="D58" s="76">
        <f>VLOOKUP(C58,STN_TABLE,2,FALSE)</f>
        <v>4.1100000000000003</v>
      </c>
      <c r="E58" s="81">
        <v>4</v>
      </c>
      <c r="F58" s="76">
        <f>D58*E58</f>
        <v>16.440000000000001</v>
      </c>
      <c r="G58" s="77">
        <f>C58</f>
        <v>2</v>
      </c>
      <c r="H58" s="77">
        <f>F58*G58</f>
        <v>32.880000000000003</v>
      </c>
      <c r="I58" s="495" t="s">
        <v>97</v>
      </c>
      <c r="J58" s="496"/>
      <c r="K58" s="78" t="s">
        <v>98</v>
      </c>
      <c r="L58" s="78"/>
      <c r="M58" s="7" t="s">
        <v>99</v>
      </c>
      <c r="N58" s="7"/>
      <c r="O58" s="99">
        <f>O57+1</f>
        <v>7</v>
      </c>
      <c r="P58" s="99">
        <f t="shared" si="10"/>
        <v>3</v>
      </c>
      <c r="Q58" s="76">
        <f>P58</f>
        <v>3</v>
      </c>
      <c r="R58" s="77">
        <f>VLOOKUP(Q58,STN_TABLE,2,FALSE)</f>
        <v>4.2300000000000004</v>
      </c>
      <c r="S58" s="77">
        <v>8</v>
      </c>
      <c r="T58" s="76">
        <f>R58*S58</f>
        <v>33.840000000000003</v>
      </c>
      <c r="U58" s="80">
        <v>10</v>
      </c>
      <c r="V58" s="76">
        <f>R58*U58</f>
        <v>42.300000000000004</v>
      </c>
      <c r="W58" s="78" t="s">
        <v>97</v>
      </c>
      <c r="X58" s="78"/>
      <c r="Y58" s="78" t="s">
        <v>98</v>
      </c>
      <c r="Z58" s="78"/>
      <c r="AA58" s="7" t="s">
        <v>99</v>
      </c>
      <c r="AB58" s="7"/>
      <c r="AC58" s="99">
        <f>AC53+1</f>
        <v>6</v>
      </c>
      <c r="AD58" s="95">
        <f>VLOOKUP(AC58,STN_TABLE_2,2,FALSE)</f>
        <v>2</v>
      </c>
      <c r="AE58" s="68">
        <f>VLOOKUP(AD58,STN_TABLE,2,FALSE)</f>
        <v>4.1100000000000003</v>
      </c>
      <c r="AF58" s="68">
        <v>1</v>
      </c>
      <c r="AG58" s="69">
        <f>AE58*AF58</f>
        <v>4.1100000000000003</v>
      </c>
      <c r="AH58" s="496" t="s">
        <v>97</v>
      </c>
      <c r="AI58" s="496"/>
      <c r="AJ58" s="496" t="s">
        <v>98</v>
      </c>
      <c r="AK58" s="496"/>
      <c r="AL58" s="494" t="s">
        <v>99</v>
      </c>
      <c r="AM58" s="494"/>
      <c r="AP58" s="86" t="s">
        <v>112</v>
      </c>
      <c r="AQ58" s="89" t="s">
        <v>113</v>
      </c>
      <c r="AR58" s="89" t="s">
        <v>114</v>
      </c>
      <c r="AS58" s="89" t="s">
        <v>115</v>
      </c>
      <c r="AU58" s="81"/>
    </row>
    <row r="59" spans="1:47" x14ac:dyDescent="0.25">
      <c r="A59" s="84">
        <f>A58+1</f>
        <v>6</v>
      </c>
      <c r="B59" s="84">
        <f t="shared" si="11"/>
        <v>2</v>
      </c>
      <c r="C59" s="88">
        <f t="shared" ref="C59" si="17">B60</f>
        <v>3</v>
      </c>
      <c r="D59" s="82">
        <f>VLOOKUP(C59,STN_TABLE,2,FALSE)</f>
        <v>4.2300000000000004</v>
      </c>
      <c r="E59" s="92">
        <v>1</v>
      </c>
      <c r="F59" s="82">
        <f>D59*E59</f>
        <v>4.2300000000000004</v>
      </c>
      <c r="G59" s="83">
        <f>C59</f>
        <v>3</v>
      </c>
      <c r="H59" s="83">
        <f>F59*G59</f>
        <v>12.690000000000001</v>
      </c>
      <c r="I59" s="84" t="str">
        <f>CONCATENATE("a'(",C59,")=")</f>
        <v>a'(3)=</v>
      </c>
      <c r="J59" s="84">
        <f>2*J57/3*F60</f>
        <v>32.266666666666666</v>
      </c>
      <c r="K59" s="84" t="str">
        <f>CONCATENATE("A(",C57,")=")</f>
        <v>A(1)=</v>
      </c>
      <c r="L59" s="84">
        <f>VLOOKUP(C57,STN_TABLE,3,FALSE)</f>
        <v>10.903333333333332</v>
      </c>
      <c r="M59" t="str">
        <f>CONCATENATE("A(",C59,")=")</f>
        <v>A(3)=</v>
      </c>
      <c r="N59">
        <f>J59+L59</f>
        <v>43.17</v>
      </c>
      <c r="O59" s="99">
        <f>O58+1</f>
        <v>8</v>
      </c>
      <c r="P59" s="99">
        <f t="shared" si="10"/>
        <v>4</v>
      </c>
      <c r="Q59" s="82">
        <f>IF(P59-P58=P58-P57,P59,IF(P60-P58=P58-P57,P60,IF(P59-P58=P58-P56,P59,IF(P60-P58=P58-P56,P60,"-"))))</f>
        <v>4</v>
      </c>
      <c r="R59" s="83">
        <f>VLOOKUP(Q59,STN_TABLE,2,FALSE)</f>
        <v>4.47</v>
      </c>
      <c r="S59" s="83">
        <v>-1</v>
      </c>
      <c r="T59" s="82">
        <f>R59*S59</f>
        <v>-4.47</v>
      </c>
      <c r="U59" s="88">
        <v>-1</v>
      </c>
      <c r="V59" s="82">
        <f>R59*U59</f>
        <v>-4.47</v>
      </c>
      <c r="W59" s="84" t="str">
        <f>CONCATENATE("a'(",Q58,")=")</f>
        <v>a'(3)=</v>
      </c>
      <c r="X59" s="84">
        <f>2*X57/12*T60</f>
        <v>16.64</v>
      </c>
      <c r="Y59" s="84" t="str">
        <f>CONCATENATE("A(",Q57,")=")</f>
        <v>A(2)=</v>
      </c>
      <c r="Z59" s="84">
        <f>VLOOKUP(Q57,STN_TABLE,3,FALSE)</f>
        <v>26.336666666666666</v>
      </c>
      <c r="AA59" t="str">
        <f>CONCATENATE("A(",Q58,")=")</f>
        <v>A(3)=</v>
      </c>
      <c r="AB59">
        <f>X59+Z59</f>
        <v>42.976666666666667</v>
      </c>
      <c r="AC59" s="99">
        <f>AC58+1</f>
        <v>7</v>
      </c>
      <c r="AD59" s="100">
        <f>VLOOKUP(AC59,STN_TABLE_2,2,FALSE)</f>
        <v>3</v>
      </c>
      <c r="AE59" s="82">
        <f>VLOOKUP(AD59,STN_TABLE,2,FALSE)</f>
        <v>4.2300000000000004</v>
      </c>
      <c r="AF59" s="82">
        <v>2</v>
      </c>
      <c r="AG59" s="83">
        <f>AE59*AF59</f>
        <v>8.4600000000000009</v>
      </c>
      <c r="AH59" s="84" t="str">
        <f>CONCATENATE("a'(",AD59,")=")</f>
        <v>a'(3)=</v>
      </c>
      <c r="AI59" s="84">
        <f>2*AI57/2*AE60</f>
        <v>16.68</v>
      </c>
      <c r="AJ59" s="84" t="str">
        <f>CONCATENATE("A(",AD58,")=")</f>
        <v>A(2)=</v>
      </c>
      <c r="AK59" s="84">
        <f>VLOOKUP(AD58,STN_TABLE,3,FALSE)</f>
        <v>26.336666666666666</v>
      </c>
      <c r="AL59" t="str">
        <f>CONCATENATE("A(",AD59,")=")</f>
        <v>A(3)=</v>
      </c>
      <c r="AM59">
        <f>AI59+AK59</f>
        <v>43.016666666666666</v>
      </c>
      <c r="AO59" s="68" t="str">
        <f>AA59</f>
        <v>A(3)=</v>
      </c>
      <c r="AP59" s="68" t="e">
        <f>VLOOKUP(AO59,Rise_Results,2,FALSE)</f>
        <v>#N/A</v>
      </c>
      <c r="AQ59" s="76">
        <f>N59</f>
        <v>43.17</v>
      </c>
      <c r="AR59" s="76">
        <f>IF(OR(AB59&lt;=0,AB60&lt;=0),1/0,AB59)</f>
        <v>42.976666666666667</v>
      </c>
      <c r="AS59" s="76">
        <f>AM59</f>
        <v>43.016666666666666</v>
      </c>
      <c r="AT59">
        <f>IFERROR(AP59,IFERROR(AQ59,IFERROR(AR59,AS59)))</f>
        <v>43.17</v>
      </c>
      <c r="AU59" s="81"/>
    </row>
    <row r="60" spans="1:47" x14ac:dyDescent="0.25">
      <c r="A60" s="84">
        <f>A59+1</f>
        <v>7</v>
      </c>
      <c r="B60" s="84">
        <f t="shared" si="11"/>
        <v>3</v>
      </c>
      <c r="F60" s="82">
        <f>SUM(F57:F59)</f>
        <v>24.200000000000003</v>
      </c>
      <c r="H60" s="82">
        <f>SUM(H57:H59)</f>
        <v>49.100000000000009</v>
      </c>
      <c r="I60" s="84" t="str">
        <f>CONCATENATE("m'(",C59,")=")</f>
        <v>m'(3)=</v>
      </c>
      <c r="J60" s="84">
        <f>2*(J57*(WLS))/3*H60</f>
        <v>130.93333333333334</v>
      </c>
      <c r="K60" s="84" t="str">
        <f>CONCATENATE("M(",C57,")=")</f>
        <v>M(1)=</v>
      </c>
      <c r="L60" s="84">
        <f>VLOOKUP(C57,STN_TABLE,4,FALSE)</f>
        <v>12.279999999999998</v>
      </c>
      <c r="M60" t="str">
        <f>CONCATENATE("M(",C59,")=")</f>
        <v>M(3)=</v>
      </c>
      <c r="N60">
        <f>J60+L60</f>
        <v>143.21333333333334</v>
      </c>
      <c r="O60" s="99">
        <f>O59+1</f>
        <v>9</v>
      </c>
      <c r="P60" s="99">
        <f t="shared" si="10"/>
        <v>4.8499999999999996</v>
      </c>
      <c r="T60" s="89">
        <f>SUM(T57:T59)</f>
        <v>49.92</v>
      </c>
      <c r="V60" s="82">
        <f>SUM(V57:V59)</f>
        <v>50.160000000000011</v>
      </c>
      <c r="W60" s="84" t="str">
        <f>CONCATENATE("m'(",Q58,")=")</f>
        <v>m'(3)=</v>
      </c>
      <c r="X60" s="84">
        <f>(2*(X57^2)/24*V60)+(X59*Q57*WLS)</f>
        <v>83.28</v>
      </c>
      <c r="Y60" s="84" t="str">
        <f>CONCATENATE("M(",Q57,")=")</f>
        <v>M(2)=</v>
      </c>
      <c r="Z60" s="84">
        <f>VLOOKUP(Q57,STN_TABLE,4,FALSE)</f>
        <v>58.966666666666654</v>
      </c>
      <c r="AA60" t="str">
        <f>CONCATENATE("M(",Q58,")=")</f>
        <v>M(3)=</v>
      </c>
      <c r="AB60">
        <f>X60+Z60</f>
        <v>142.24666666666667</v>
      </c>
      <c r="AE60" s="89">
        <f>SUM(AE58:AE59)</f>
        <v>8.34</v>
      </c>
      <c r="AG60" s="89">
        <f>SUM(AG58:AG59)</f>
        <v>12.57</v>
      </c>
      <c r="AH60" s="84" t="str">
        <f>CONCATENATE("m'(",AD59,")=")</f>
        <v>m'(3)=</v>
      </c>
      <c r="AI60" s="84">
        <f>(2*(AI57^2)/6*AG60)+(AI59*AD58*WLS)</f>
        <v>83.47999999999999</v>
      </c>
      <c r="AJ60" s="84" t="str">
        <f>CONCATENATE("M(",AD58,")=")</f>
        <v>M(2)=</v>
      </c>
      <c r="AK60" s="84">
        <f>VLOOKUP(AD57,STN_TABLE,4,FALSE)</f>
        <v>0</v>
      </c>
      <c r="AL60" t="str">
        <f>CONCATENATE("M(",AD59,")=")</f>
        <v>M(3)=</v>
      </c>
      <c r="AM60">
        <f>AI60+AK60</f>
        <v>83.47999999999999</v>
      </c>
      <c r="AO60" s="82" t="str">
        <f>AA60</f>
        <v>M(3)=</v>
      </c>
      <c r="AP60" s="82" t="e">
        <f>VLOOKUP(AO60,Rise_Results,2,FALSE)</f>
        <v>#N/A</v>
      </c>
      <c r="AQ60" s="82">
        <f>N60</f>
        <v>143.21333333333334</v>
      </c>
      <c r="AR60" s="82">
        <f>IF(OR(AB59&lt;=0,AB60&lt;=0),1/0,AB60)</f>
        <v>142.24666666666667</v>
      </c>
      <c r="AS60" s="82">
        <f>AM60</f>
        <v>83.47999999999999</v>
      </c>
      <c r="AT60">
        <f>IFERROR(AP60,IFERROR(AQ60,IFERROR(AR60,AS60)))</f>
        <v>143.21333333333334</v>
      </c>
      <c r="AU60" s="81"/>
    </row>
    <row r="61" spans="1:47" x14ac:dyDescent="0.25">
      <c r="A61" s="101">
        <f>A56+1</f>
        <v>4</v>
      </c>
      <c r="B61" s="101">
        <f t="shared" si="11"/>
        <v>0.75</v>
      </c>
      <c r="O61" s="101">
        <f>O56+1</f>
        <v>6</v>
      </c>
      <c r="P61" s="101">
        <f t="shared" si="10"/>
        <v>2</v>
      </c>
      <c r="AU61" s="81"/>
    </row>
    <row r="62" spans="1:47" x14ac:dyDescent="0.25">
      <c r="A62" s="84">
        <f>A61+1</f>
        <v>5</v>
      </c>
      <c r="B62" s="84">
        <f t="shared" si="11"/>
        <v>1</v>
      </c>
      <c r="C62" s="79">
        <f t="shared" ref="C62" si="18">IF(C63=B64,IF(C64-C63=C63-B63,B63,IF(C64-C63=C63-B62,B62,"#NA")),IF(C63=B63,IF(C64-C63=C63-B62,B62,IF(C64-C63=C63-B61,B61,"#NA")),"#NA"))</f>
        <v>2</v>
      </c>
      <c r="D62" s="68">
        <f>VLOOKUP(C62,STN_TABLE,2,FALSE)</f>
        <v>4.1100000000000003</v>
      </c>
      <c r="E62" s="102">
        <v>1</v>
      </c>
      <c r="F62" s="68">
        <f>D62*E62</f>
        <v>4.1100000000000003</v>
      </c>
      <c r="G62" s="69">
        <f>C62</f>
        <v>2</v>
      </c>
      <c r="H62" s="69">
        <f>F62*G62</f>
        <v>8.2200000000000006</v>
      </c>
      <c r="I62" s="6" t="s">
        <v>93</v>
      </c>
      <c r="J62" s="70">
        <f>IF(OR(D62=0,D63=0,D64=0),"#NA",IF(AND(C64-C63=C63-C62,C63&lt;&gt;C64,C62&lt;&gt;C63,C62&lt;&gt;C64,D64&lt;&gt;0,OR(D62&lt;&gt;0,D63&lt;&gt;0)),WLS*(C64-C63),"#NA"))</f>
        <v>2</v>
      </c>
      <c r="O62" s="99">
        <f>O61+1</f>
        <v>7</v>
      </c>
      <c r="P62" s="99">
        <f t="shared" si="10"/>
        <v>3</v>
      </c>
      <c r="Q62" s="68">
        <f>IF(OR(P64-P63=P63-P62,P65-P63=P63-P62),P62,IF(OR(P64-P63=P63-P61,P65-P63=P63-P61),P61,"-"))</f>
        <v>3</v>
      </c>
      <c r="R62" s="69">
        <f>VLOOKUP(Q62,STN_TABLE,2,FALSE)</f>
        <v>4.2300000000000004</v>
      </c>
      <c r="S62" s="69">
        <v>5</v>
      </c>
      <c r="T62" s="68">
        <f>R62*S62</f>
        <v>21.150000000000002</v>
      </c>
      <c r="U62" s="79">
        <v>3</v>
      </c>
      <c r="V62" s="68">
        <f>R62*U62</f>
        <v>12.690000000000001</v>
      </c>
      <c r="W62" s="6" t="s">
        <v>93</v>
      </c>
      <c r="X62" s="70">
        <f>IF(AND(Q64-Q63=Q63-Q62,NOT(AND(Q62=0,Q63=0)),NOT(AND(Q63=0,Q64=0))),WLS*(Q64-Q63),"#NA")</f>
        <v>2</v>
      </c>
      <c r="AD62" s="93"/>
      <c r="AH62" s="6" t="s">
        <v>93</v>
      </c>
      <c r="AI62" s="70">
        <f>WLS*(AD64-AD63)</f>
        <v>2</v>
      </c>
      <c r="AU62" s="81"/>
    </row>
    <row r="63" spans="1:47" x14ac:dyDescent="0.25">
      <c r="A63" s="84">
        <f>A62+1</f>
        <v>6</v>
      </c>
      <c r="B63" s="84">
        <f t="shared" si="11"/>
        <v>2</v>
      </c>
      <c r="C63" s="80">
        <f t="shared" ref="C63" si="19">IF(OR(B65-B64=B64-B63,B65-B64=B64-B62,B65-B64=B64-B61),B64,IF(OR(B65-B63=B63-B62,B65-B63=B63-B61),B63,IF(B65-B62=B62-B61,B62,"#NA")))</f>
        <v>3</v>
      </c>
      <c r="D63" s="76">
        <f>VLOOKUP(C63,STN_TABLE,2,FALSE)</f>
        <v>4.2300000000000004</v>
      </c>
      <c r="E63" s="81">
        <v>4</v>
      </c>
      <c r="F63" s="76">
        <f>D63*E63</f>
        <v>16.920000000000002</v>
      </c>
      <c r="G63" s="77">
        <f>C63</f>
        <v>3</v>
      </c>
      <c r="H63" s="77">
        <f>F63*G63</f>
        <v>50.760000000000005</v>
      </c>
      <c r="I63" s="495" t="s">
        <v>97</v>
      </c>
      <c r="J63" s="496"/>
      <c r="K63" s="78" t="s">
        <v>98</v>
      </c>
      <c r="L63" s="78"/>
      <c r="M63" s="7" t="s">
        <v>99</v>
      </c>
      <c r="N63" s="7"/>
      <c r="O63" s="99">
        <f>O62+1</f>
        <v>8</v>
      </c>
      <c r="P63" s="99">
        <f t="shared" si="10"/>
        <v>4</v>
      </c>
      <c r="Q63" s="76">
        <f>P63</f>
        <v>4</v>
      </c>
      <c r="R63" s="77">
        <f>VLOOKUP(Q63,STN_TABLE,2,FALSE)</f>
        <v>4.47</v>
      </c>
      <c r="S63" s="77">
        <v>8</v>
      </c>
      <c r="T63" s="76">
        <f>R63*S63</f>
        <v>35.76</v>
      </c>
      <c r="U63" s="80">
        <v>10</v>
      </c>
      <c r="V63" s="76">
        <f>R63*U63</f>
        <v>44.699999999999996</v>
      </c>
      <c r="W63" s="496" t="s">
        <v>97</v>
      </c>
      <c r="X63" s="496"/>
      <c r="Y63" s="496" t="s">
        <v>98</v>
      </c>
      <c r="Z63" s="496"/>
      <c r="AA63" s="494" t="s">
        <v>99</v>
      </c>
      <c r="AB63" s="494"/>
      <c r="AC63" s="99">
        <f>AC58+1</f>
        <v>7</v>
      </c>
      <c r="AD63" s="95">
        <f>VLOOKUP(AC63,STN_TABLE_2,2,FALSE)</f>
        <v>3</v>
      </c>
      <c r="AE63" s="68">
        <f>VLOOKUP(AD63,STN_TABLE,2,FALSE)</f>
        <v>4.2300000000000004</v>
      </c>
      <c r="AF63" s="68">
        <v>1</v>
      </c>
      <c r="AG63" s="69">
        <f>AE63*AF63</f>
        <v>4.2300000000000004</v>
      </c>
      <c r="AH63" s="496" t="s">
        <v>97</v>
      </c>
      <c r="AI63" s="496"/>
      <c r="AJ63" s="496" t="s">
        <v>98</v>
      </c>
      <c r="AK63" s="496"/>
      <c r="AL63" s="494" t="s">
        <v>99</v>
      </c>
      <c r="AM63" s="494"/>
      <c r="AP63" s="86" t="s">
        <v>112</v>
      </c>
      <c r="AQ63" s="89" t="s">
        <v>113</v>
      </c>
      <c r="AR63" s="89" t="s">
        <v>114</v>
      </c>
      <c r="AS63" s="89" t="s">
        <v>115</v>
      </c>
      <c r="AU63" s="81"/>
    </row>
    <row r="64" spans="1:47" x14ac:dyDescent="0.25">
      <c r="A64" s="84">
        <f>A63+1</f>
        <v>7</v>
      </c>
      <c r="B64" s="84">
        <f t="shared" si="11"/>
        <v>3</v>
      </c>
      <c r="C64" s="88">
        <f t="shared" ref="C64" si="20">B65</f>
        <v>4</v>
      </c>
      <c r="D64" s="82">
        <f>VLOOKUP(C64,STN_TABLE,2,FALSE)</f>
        <v>4.47</v>
      </c>
      <c r="E64" s="92">
        <v>1</v>
      </c>
      <c r="F64" s="82">
        <f>D64*E64</f>
        <v>4.47</v>
      </c>
      <c r="G64" s="83">
        <f>C64</f>
        <v>4</v>
      </c>
      <c r="H64" s="83">
        <f>F64*G64</f>
        <v>17.88</v>
      </c>
      <c r="I64" s="84" t="str">
        <f>CONCATENATE("a'(",C64,")=")</f>
        <v>a'(4)=</v>
      </c>
      <c r="J64" s="84">
        <f>2*J62/3*F65</f>
        <v>34</v>
      </c>
      <c r="K64" s="84" t="str">
        <f>CONCATENATE("A(",C62,")=")</f>
        <v>A(2)=</v>
      </c>
      <c r="L64" s="84">
        <f>VLOOKUP(C62,STN_TABLE,3,FALSE)</f>
        <v>26.336666666666666</v>
      </c>
      <c r="M64" t="str">
        <f>CONCATENATE("A(",C64,")=")</f>
        <v>A(4)=</v>
      </c>
      <c r="N64">
        <f>J64+L64</f>
        <v>60.336666666666666</v>
      </c>
      <c r="O64" s="99">
        <f>O63+1</f>
        <v>9</v>
      </c>
      <c r="P64" s="99">
        <f t="shared" si="10"/>
        <v>4.8499999999999996</v>
      </c>
      <c r="Q64" s="82">
        <f>IF(P64-P63=P63-P62,P64,IF(P65-P63=P63-P62,P65,IF(P64-P63=P63-P61,P64,IF(P65-P63=P63-P61,P65,"-"))))</f>
        <v>5</v>
      </c>
      <c r="R64" s="83">
        <f>VLOOKUP(Q64,STN_TABLE,2,FALSE)</f>
        <v>4.9399999999999995</v>
      </c>
      <c r="S64" s="83">
        <v>-1</v>
      </c>
      <c r="T64" s="82">
        <f>R64*S64</f>
        <v>-4.9399999999999995</v>
      </c>
      <c r="U64" s="88">
        <v>-1</v>
      </c>
      <c r="V64" s="82">
        <f>R64*U64</f>
        <v>-4.9399999999999995</v>
      </c>
      <c r="W64" s="84" t="str">
        <f>CONCATENATE("a'(",Q63,")=")</f>
        <v>a'(4)=</v>
      </c>
      <c r="X64" s="84">
        <f>2*X62/12*T65</f>
        <v>17.323333333333331</v>
      </c>
      <c r="Y64" s="84" t="str">
        <f>CONCATENATE("A(",Q62,")=")</f>
        <v>A(3)=</v>
      </c>
      <c r="Z64" s="84">
        <f>VLOOKUP(Q62,STN_TABLE,3,FALSE)</f>
        <v>43.17</v>
      </c>
      <c r="AA64" t="str">
        <f>CONCATENATE("A(",Q63,")=")</f>
        <v>A(4)=</v>
      </c>
      <c r="AB64">
        <f>X64+Z64</f>
        <v>60.493333333333332</v>
      </c>
      <c r="AC64" s="99">
        <f>AC63+1</f>
        <v>8</v>
      </c>
      <c r="AD64" s="100">
        <f>VLOOKUP(AC64,STN_TABLE_2,2,FALSE)</f>
        <v>4</v>
      </c>
      <c r="AE64" s="82">
        <f>VLOOKUP(AD64,STN_TABLE,2,FALSE)</f>
        <v>4.47</v>
      </c>
      <c r="AF64" s="82">
        <v>2</v>
      </c>
      <c r="AG64" s="83">
        <f>AE64*AF64</f>
        <v>8.94</v>
      </c>
      <c r="AH64" s="84" t="str">
        <f>CONCATENATE("a'(",AD64,")=")</f>
        <v>a'(4)=</v>
      </c>
      <c r="AI64" s="84">
        <f>2*AI62/2*AE65</f>
        <v>17.399999999999999</v>
      </c>
      <c r="AJ64" s="84" t="str">
        <f>CONCATENATE("A(",AD63,")=")</f>
        <v>A(3)=</v>
      </c>
      <c r="AK64" s="84">
        <f>VLOOKUP(AD63,STN_TABLE,3,FALSE)</f>
        <v>43.17</v>
      </c>
      <c r="AL64" t="str">
        <f>CONCATENATE("A(",AD64,")=")</f>
        <v>A(4)=</v>
      </c>
      <c r="AM64">
        <f>AI64+AK64</f>
        <v>60.57</v>
      </c>
      <c r="AO64" s="68" t="str">
        <f>AA64</f>
        <v>A(4)=</v>
      </c>
      <c r="AP64" s="68" t="e">
        <f>VLOOKUP(AO64,Rise_Results,2,FALSE)</f>
        <v>#N/A</v>
      </c>
      <c r="AQ64" s="76">
        <f>N64</f>
        <v>60.336666666666666</v>
      </c>
      <c r="AR64" s="76">
        <f>IF(OR(AB64&lt;=0,AB65&lt;=0),1/0,AB64)</f>
        <v>60.493333333333332</v>
      </c>
      <c r="AS64" s="76">
        <f>AM64</f>
        <v>60.57</v>
      </c>
      <c r="AT64">
        <f>IFERROR(AP64,IFERROR(AQ64,IFERROR(AR64,AS64)))</f>
        <v>60.336666666666666</v>
      </c>
      <c r="AU64" s="81"/>
    </row>
    <row r="65" spans="1:47" x14ac:dyDescent="0.25">
      <c r="A65" s="84">
        <f>A64+1</f>
        <v>8</v>
      </c>
      <c r="B65" s="84">
        <f t="shared" si="11"/>
        <v>4</v>
      </c>
      <c r="F65" s="82">
        <f>SUM(F62:F64)</f>
        <v>25.5</v>
      </c>
      <c r="H65" s="82">
        <f>SUM(H62:H64)</f>
        <v>76.86</v>
      </c>
      <c r="I65" s="84" t="str">
        <f>CONCATENATE("m'(",C64,")=")</f>
        <v>m'(4)=</v>
      </c>
      <c r="J65" s="84">
        <f>2*(J62*(WLS))/3*H65</f>
        <v>204.95999999999998</v>
      </c>
      <c r="K65" s="84" t="str">
        <f>CONCATENATE("M(",C62,")=")</f>
        <v>M(2)=</v>
      </c>
      <c r="L65" s="84">
        <f>VLOOKUP(C62,STN_TABLE,4,FALSE)</f>
        <v>58.966666666666654</v>
      </c>
      <c r="M65" t="str">
        <f>CONCATENATE("M(",C64,")=")</f>
        <v>M(4)=</v>
      </c>
      <c r="N65">
        <f>J65+L65</f>
        <v>263.92666666666662</v>
      </c>
      <c r="O65" s="99">
        <f>O64+1</f>
        <v>10</v>
      </c>
      <c r="P65" s="99">
        <f t="shared" si="10"/>
        <v>5</v>
      </c>
      <c r="T65" s="89">
        <f>SUM(T62:T64)</f>
        <v>51.97</v>
      </c>
      <c r="V65" s="82">
        <f>SUM(V62:V64)</f>
        <v>52.45</v>
      </c>
      <c r="W65" s="84" t="str">
        <f>CONCATENATE("m'(",Q63,")=")</f>
        <v>m'(4)=</v>
      </c>
      <c r="X65" s="84">
        <f>(2*(X62^2)/24*V65)+(X64*Q62*WLS)</f>
        <v>121.42333333333332</v>
      </c>
      <c r="Y65" s="84" t="str">
        <f>CONCATENATE("M(",Q62,")=")</f>
        <v>M(3)=</v>
      </c>
      <c r="Z65" s="84">
        <f>VLOOKUP(Q62,STN_TABLE,4,FALSE)</f>
        <v>143.21333333333334</v>
      </c>
      <c r="AA65" t="str">
        <f>CONCATENATE("M(",Q63,")=")</f>
        <v>M(4)=</v>
      </c>
      <c r="AB65">
        <f>X65+Z65</f>
        <v>264.63666666666666</v>
      </c>
      <c r="AE65" s="89">
        <f>SUM(AE63:AE64)</f>
        <v>8.6999999999999993</v>
      </c>
      <c r="AG65" s="89">
        <f>SUM(AG63:AG64)</f>
        <v>13.17</v>
      </c>
      <c r="AH65" s="84" t="str">
        <f>CONCATENATE("m'(",AD64,")=")</f>
        <v>m'(4)=</v>
      </c>
      <c r="AI65" s="84">
        <f>(2*(AI62^2)/6*AG65)+(AI64*AD63*WLS)</f>
        <v>121.96</v>
      </c>
      <c r="AJ65" s="84" t="str">
        <f>CONCATENATE("M(",AD63,")=")</f>
        <v>M(3)=</v>
      </c>
      <c r="AK65" s="84">
        <f>VLOOKUP(AD63,STN_TABLE,4,FALSE)</f>
        <v>143.21333333333334</v>
      </c>
      <c r="AL65" t="str">
        <f>CONCATENATE("M(",AD64,")=")</f>
        <v>M(4)=</v>
      </c>
      <c r="AM65">
        <f>AI65+AK65</f>
        <v>265.17333333333335</v>
      </c>
      <c r="AO65" s="82" t="str">
        <f>AA65</f>
        <v>M(4)=</v>
      </c>
      <c r="AP65" s="82" t="e">
        <f>VLOOKUP(AO65,Rise_Results,2,FALSE)</f>
        <v>#N/A</v>
      </c>
      <c r="AQ65" s="82">
        <f>N65</f>
        <v>263.92666666666662</v>
      </c>
      <c r="AR65" s="82">
        <f>IF(OR(AB64&lt;=0,AB65&lt;=0),1/0,AB65)</f>
        <v>264.63666666666666</v>
      </c>
      <c r="AS65" s="82">
        <f>AM65</f>
        <v>265.17333333333335</v>
      </c>
      <c r="AT65">
        <f>IFERROR(AP65,IFERROR(AQ65,IFERROR(AR65,AS65)))</f>
        <v>263.92666666666662</v>
      </c>
      <c r="AU65" s="81"/>
    </row>
    <row r="66" spans="1:47" x14ac:dyDescent="0.25">
      <c r="A66" s="101">
        <f>A61+1</f>
        <v>5</v>
      </c>
      <c r="B66" s="101">
        <f t="shared" si="11"/>
        <v>1</v>
      </c>
      <c r="O66" s="101">
        <f>O61+1</f>
        <v>7</v>
      </c>
      <c r="P66" s="101">
        <f t="shared" si="10"/>
        <v>3</v>
      </c>
      <c r="AU66" s="81"/>
    </row>
    <row r="67" spans="1:47" x14ac:dyDescent="0.25">
      <c r="A67" s="84">
        <f>A66+1</f>
        <v>6</v>
      </c>
      <c r="B67" s="84">
        <f t="shared" si="11"/>
        <v>2</v>
      </c>
      <c r="C67" s="79" t="str">
        <f t="shared" ref="C67" si="21">IF(C68=B69,IF(C69-C68=C68-B68,B68,IF(C69-C68=C68-B67,B67,"#NA")),IF(C68=B68,IF(C69-C68=C68-B67,B67,IF(C69-C68=C68-B66,B66,"#NA")),"#NA"))</f>
        <v>#NA</v>
      </c>
      <c r="D67" s="68" t="e">
        <f>VLOOKUP(C67,STN_TABLE,2,FALSE)</f>
        <v>#N/A</v>
      </c>
      <c r="E67" s="102">
        <v>1</v>
      </c>
      <c r="F67" s="68" t="e">
        <f>D67*E67</f>
        <v>#N/A</v>
      </c>
      <c r="G67" s="69" t="str">
        <f>C67</f>
        <v>#NA</v>
      </c>
      <c r="H67" s="69" t="e">
        <f>F67*G67</f>
        <v>#N/A</v>
      </c>
      <c r="I67" s="6" t="s">
        <v>93</v>
      </c>
      <c r="J67" s="70" t="e">
        <f>IF(OR(D67=0,D68=0,D69=0),"#NA",IF(AND(C69-C68=C68-C67,C68&lt;&gt;C69,C67&lt;&gt;C68,C67&lt;&gt;C69,D69&lt;&gt;0,OR(D67&lt;&gt;0,D68&lt;&gt;0)),WLS*(C69-C68),"#NA"))</f>
        <v>#N/A</v>
      </c>
      <c r="O67" s="99">
        <f>O66+1</f>
        <v>8</v>
      </c>
      <c r="P67" s="99">
        <f t="shared" si="10"/>
        <v>4</v>
      </c>
      <c r="Q67" s="68" t="str">
        <f>IF(OR(P69-P68=P68-P67,P70-P68=P68-P67),P67,IF(OR(P69-P68=P68-P66,P70-P68=P68-P66),P66,"-"))</f>
        <v>-</v>
      </c>
      <c r="R67" s="69" t="e">
        <f>VLOOKUP(Q67,STN_TABLE,2,FALSE)</f>
        <v>#N/A</v>
      </c>
      <c r="S67" s="69">
        <v>5</v>
      </c>
      <c r="T67" s="68" t="e">
        <f>R67*S67</f>
        <v>#N/A</v>
      </c>
      <c r="U67" s="79">
        <v>3</v>
      </c>
      <c r="V67" s="68" t="e">
        <f>R67*U67</f>
        <v>#N/A</v>
      </c>
      <c r="W67" s="6" t="s">
        <v>93</v>
      </c>
      <c r="X67" s="70" t="e">
        <f>IF(AND(Q69-Q68=Q68-Q67,NOT(AND(Q67=0,Q68=0)),NOT(AND(Q68=0,Q69=0))),WLS*(Q69-Q68),"#NA")</f>
        <v>#VALUE!</v>
      </c>
      <c r="AD67" s="93"/>
      <c r="AH67" s="6" t="s">
        <v>93</v>
      </c>
      <c r="AI67" s="70">
        <f>WLS*(AD69-AD68)</f>
        <v>1.6999999999999993</v>
      </c>
      <c r="AU67" s="81"/>
    </row>
    <row r="68" spans="1:47" x14ac:dyDescent="0.25">
      <c r="A68" s="84">
        <f>A67+1</f>
        <v>7</v>
      </c>
      <c r="B68" s="84">
        <f t="shared" si="11"/>
        <v>3</v>
      </c>
      <c r="C68" s="80" t="str">
        <f t="shared" ref="C68" si="22">IF(OR(B70-B69=B69-B68,B70-B69=B69-B67,B70-B69=B69-B66),B69,IF(OR(B70-B68=B68-B67,B70-B68=B68-B66),B68,IF(B70-B67=B67-B66,B67,"#NA")))</f>
        <v>#NA</v>
      </c>
      <c r="D68" s="76" t="e">
        <f>VLOOKUP(C68,STN_TABLE,2,FALSE)</f>
        <v>#N/A</v>
      </c>
      <c r="E68" s="81">
        <v>4</v>
      </c>
      <c r="F68" s="76" t="e">
        <f>D68*E68</f>
        <v>#N/A</v>
      </c>
      <c r="G68" s="77" t="str">
        <f>C68</f>
        <v>#NA</v>
      </c>
      <c r="H68" s="77" t="e">
        <f>F68*G68</f>
        <v>#N/A</v>
      </c>
      <c r="I68" s="495" t="s">
        <v>97</v>
      </c>
      <c r="J68" s="496"/>
      <c r="K68" s="78" t="s">
        <v>98</v>
      </c>
      <c r="L68" s="78"/>
      <c r="M68" s="7" t="s">
        <v>99</v>
      </c>
      <c r="N68" s="7"/>
      <c r="O68" s="99">
        <f>O67+1</f>
        <v>9</v>
      </c>
      <c r="P68" s="99">
        <f t="shared" ref="P68:P99" si="23">VLOOKUP(O68,STN_TABLE_2,2,FALSE)</f>
        <v>4.8499999999999996</v>
      </c>
      <c r="Q68" s="76">
        <f>P68</f>
        <v>4.8499999999999996</v>
      </c>
      <c r="R68" s="77">
        <f>VLOOKUP(Q68,STN_TABLE,2,FALSE)</f>
        <v>4.87</v>
      </c>
      <c r="S68" s="77">
        <v>8</v>
      </c>
      <c r="T68" s="76">
        <f>R68*S68</f>
        <v>38.96</v>
      </c>
      <c r="U68" s="80">
        <v>10</v>
      </c>
      <c r="V68" s="76">
        <f>R68*U68</f>
        <v>48.7</v>
      </c>
      <c r="W68" s="496" t="s">
        <v>97</v>
      </c>
      <c r="X68" s="496"/>
      <c r="Y68" s="496" t="s">
        <v>98</v>
      </c>
      <c r="Z68" s="496"/>
      <c r="AA68" s="494" t="s">
        <v>99</v>
      </c>
      <c r="AB68" s="494"/>
      <c r="AC68" s="99">
        <f>AC63+1</f>
        <v>8</v>
      </c>
      <c r="AD68" s="95">
        <f>VLOOKUP(AC68,STN_TABLE_2,2,FALSE)</f>
        <v>4</v>
      </c>
      <c r="AE68" s="68">
        <f>VLOOKUP(AD68,STN_TABLE,2,FALSE)</f>
        <v>4.47</v>
      </c>
      <c r="AF68" s="68">
        <v>1</v>
      </c>
      <c r="AG68" s="69">
        <f>AE68*AF68</f>
        <v>4.47</v>
      </c>
      <c r="AH68" s="496" t="s">
        <v>97</v>
      </c>
      <c r="AI68" s="496"/>
      <c r="AJ68" s="496" t="s">
        <v>98</v>
      </c>
      <c r="AK68" s="496"/>
      <c r="AL68" s="494" t="s">
        <v>99</v>
      </c>
      <c r="AM68" s="494"/>
      <c r="AP68" s="86" t="s">
        <v>112</v>
      </c>
      <c r="AQ68" s="89" t="s">
        <v>113</v>
      </c>
      <c r="AR68" s="89" t="s">
        <v>114</v>
      </c>
      <c r="AS68" s="89" t="s">
        <v>115</v>
      </c>
      <c r="AU68" s="81"/>
    </row>
    <row r="69" spans="1:47" x14ac:dyDescent="0.25">
      <c r="A69" s="84">
        <f>A68+1</f>
        <v>8</v>
      </c>
      <c r="B69" s="84">
        <f t="shared" si="11"/>
        <v>4</v>
      </c>
      <c r="C69" s="88">
        <f t="shared" ref="C69" si="24">B70</f>
        <v>4.8499999999999996</v>
      </c>
      <c r="D69" s="82">
        <f>VLOOKUP(C69,STN_TABLE,2,FALSE)</f>
        <v>4.87</v>
      </c>
      <c r="E69" s="92">
        <v>1</v>
      </c>
      <c r="F69" s="82">
        <f>D69*E69</f>
        <v>4.87</v>
      </c>
      <c r="G69" s="83">
        <f>C69</f>
        <v>4.8499999999999996</v>
      </c>
      <c r="H69" s="83">
        <f>F69*G69</f>
        <v>23.619499999999999</v>
      </c>
      <c r="I69" s="84" t="str">
        <f>CONCATENATE("a'(",C69,")=")</f>
        <v>a'(4.85)=</v>
      </c>
      <c r="J69" s="84" t="e">
        <f>2*J67/3*F70</f>
        <v>#N/A</v>
      </c>
      <c r="K69" s="84" t="str">
        <f>CONCATENATE("A(",C67,")=")</f>
        <v>A(#NA)=</v>
      </c>
      <c r="L69" s="84" t="e">
        <f>VLOOKUP(C67,STN_TABLE,3,FALSE)</f>
        <v>#N/A</v>
      </c>
      <c r="M69" t="str">
        <f>CONCATENATE("A(",C69,")=")</f>
        <v>A(4.85)=</v>
      </c>
      <c r="N69" t="e">
        <f>J69+L69</f>
        <v>#N/A</v>
      </c>
      <c r="O69" s="99">
        <f>O68+1</f>
        <v>10</v>
      </c>
      <c r="P69" s="99">
        <f t="shared" si="23"/>
        <v>5</v>
      </c>
      <c r="Q69" s="82" t="str">
        <f>IF(P69-P68=P68-P67,P69,IF(P70-P68=P68-P67,P70,IF(P69-P68=P68-P66,P69,IF(P70-P68=P68-P66,P70,"-"))))</f>
        <v>-</v>
      </c>
      <c r="R69" s="83" t="e">
        <f>VLOOKUP(Q69,STN_TABLE,2,FALSE)</f>
        <v>#N/A</v>
      </c>
      <c r="S69" s="83">
        <v>-1</v>
      </c>
      <c r="T69" s="82" t="e">
        <f>R69*S69</f>
        <v>#N/A</v>
      </c>
      <c r="U69" s="88">
        <v>-1</v>
      </c>
      <c r="V69" s="82" t="e">
        <f>R69*U69</f>
        <v>#N/A</v>
      </c>
      <c r="W69" s="84" t="str">
        <f>CONCATENATE("a'(",Q68,")=")</f>
        <v>a'(4.85)=</v>
      </c>
      <c r="X69" s="84" t="e">
        <f>2*X67/12*T70</f>
        <v>#VALUE!</v>
      </c>
      <c r="Y69" s="84" t="str">
        <f>CONCATENATE("A(",Q67,")=")</f>
        <v>A(-)=</v>
      </c>
      <c r="Z69" s="84" t="e">
        <f>VLOOKUP(Q67,STN_TABLE,3,FALSE)</f>
        <v>#N/A</v>
      </c>
      <c r="AA69" t="str">
        <f>CONCATENATE("A(",Q68,")=")</f>
        <v>A(4.85)=</v>
      </c>
      <c r="AB69" t="e">
        <f>X69+Z69</f>
        <v>#VALUE!</v>
      </c>
      <c r="AC69" s="99">
        <f>AC68+1</f>
        <v>9</v>
      </c>
      <c r="AD69" s="100">
        <f>VLOOKUP(AC69,STN_TABLE_2,2,FALSE)</f>
        <v>4.8499999999999996</v>
      </c>
      <c r="AE69" s="82">
        <f>VLOOKUP(AD69,STN_TABLE,2,FALSE)</f>
        <v>4.87</v>
      </c>
      <c r="AF69" s="82">
        <v>2</v>
      </c>
      <c r="AG69" s="83">
        <f>AE69*AF69</f>
        <v>9.74</v>
      </c>
      <c r="AH69" s="84" t="str">
        <f>CONCATENATE("a'(",AD69,")=")</f>
        <v>a'(4.85)=</v>
      </c>
      <c r="AI69" s="84">
        <f>2*AI67/2*AE70</f>
        <v>15.877999999999993</v>
      </c>
      <c r="AJ69" s="84" t="str">
        <f>CONCATENATE("A(",AD68,")=")</f>
        <v>A(4)=</v>
      </c>
      <c r="AK69" s="84">
        <f>VLOOKUP(AD68,STN_TABLE,3,FALSE)</f>
        <v>60.336666666666666</v>
      </c>
      <c r="AL69" t="str">
        <f>CONCATENATE("A(",AD69,")=")</f>
        <v>A(4.85)=</v>
      </c>
      <c r="AM69">
        <f>AI69+AK69</f>
        <v>76.214666666666659</v>
      </c>
      <c r="AO69" s="68" t="str">
        <f>AA69</f>
        <v>A(4.85)=</v>
      </c>
      <c r="AP69" s="68" t="e">
        <f>VLOOKUP(AO69,Rise_Results,2,FALSE)</f>
        <v>#N/A</v>
      </c>
      <c r="AQ69" s="76" t="e">
        <f>N69</f>
        <v>#N/A</v>
      </c>
      <c r="AR69" s="76" t="e">
        <f>IF(OR(AB69&lt;=0,AB70&lt;=0),1/0,AB69)</f>
        <v>#VALUE!</v>
      </c>
      <c r="AS69" s="76">
        <f>AM69</f>
        <v>76.214666666666659</v>
      </c>
      <c r="AT69">
        <f>IFERROR(AP69,IFERROR(AQ69,IFERROR(AR69,AS69)))</f>
        <v>76.214666666666659</v>
      </c>
      <c r="AU69" s="81"/>
    </row>
    <row r="70" spans="1:47" x14ac:dyDescent="0.25">
      <c r="A70" s="84">
        <f>A69+1</f>
        <v>9</v>
      </c>
      <c r="B70" s="84">
        <f t="shared" si="11"/>
        <v>4.8499999999999996</v>
      </c>
      <c r="F70" s="82" t="e">
        <f>SUM(F67:F69)</f>
        <v>#N/A</v>
      </c>
      <c r="H70" s="82" t="e">
        <f>SUM(H67:H69)</f>
        <v>#N/A</v>
      </c>
      <c r="I70" s="84" t="str">
        <f>CONCATENATE("m'(",C69,")=")</f>
        <v>m'(4.85)=</v>
      </c>
      <c r="J70" s="84" t="e">
        <f>2*(J67*(WLS))/3*H70</f>
        <v>#N/A</v>
      </c>
      <c r="K70" s="84" t="str">
        <f>CONCATENATE("M(",C67,")=")</f>
        <v>M(#NA)=</v>
      </c>
      <c r="L70" s="84" t="e">
        <f>VLOOKUP(C67,STN_TABLE,4,FALSE)</f>
        <v>#N/A</v>
      </c>
      <c r="M70" t="str">
        <f>CONCATENATE("M(",C69,")=")</f>
        <v>M(4.85)=</v>
      </c>
      <c r="N70" t="e">
        <f>J70+L70</f>
        <v>#N/A</v>
      </c>
      <c r="O70" s="99">
        <f>O69+1</f>
        <v>11</v>
      </c>
      <c r="P70" s="99">
        <f t="shared" si="23"/>
        <v>6</v>
      </c>
      <c r="T70" s="89" t="e">
        <f>SUM(T67:T69)</f>
        <v>#N/A</v>
      </c>
      <c r="V70" s="82" t="e">
        <f>SUM(V67:V69)</f>
        <v>#N/A</v>
      </c>
      <c r="W70" s="84" t="str">
        <f>CONCATENATE("m'(",Q68,")=")</f>
        <v>m'(4.85)=</v>
      </c>
      <c r="X70" s="84" t="e">
        <f>(2*(X67^2)/24*V70)+(X69*Q67*WLS)</f>
        <v>#VALUE!</v>
      </c>
      <c r="Y70" s="84" t="str">
        <f>CONCATENATE("M(",Q67,")=")</f>
        <v>M(-)=</v>
      </c>
      <c r="Z70" s="84" t="e">
        <f>VLOOKUP(Q67,STN_TABLE,4,FALSE)</f>
        <v>#N/A</v>
      </c>
      <c r="AA70" t="str">
        <f>CONCATENATE("M(",Q68,")=")</f>
        <v>M(4.85)=</v>
      </c>
      <c r="AB70" t="e">
        <f>X70+Z70</f>
        <v>#VALUE!</v>
      </c>
      <c r="AE70" s="89">
        <f>SUM(AE68:AE69)</f>
        <v>9.34</v>
      </c>
      <c r="AG70" s="89">
        <f>SUM(AG68:AG69)</f>
        <v>14.21</v>
      </c>
      <c r="AH70" s="84" t="str">
        <f>CONCATENATE("m'(",AD69,")=")</f>
        <v>m'(4.85)=</v>
      </c>
      <c r="AI70" s="84">
        <f>(2*(AI67^2)/6*AG70)+(AI69*AD68*WLS)</f>
        <v>140.7129666666666</v>
      </c>
      <c r="AJ70" s="84" t="str">
        <f>CONCATENATE("M(",AD68,")=")</f>
        <v>M(4)=</v>
      </c>
      <c r="AK70" s="84">
        <f>VLOOKUP(AD68,STN_TABLE,4,FALSE)</f>
        <v>263.92666666666662</v>
      </c>
      <c r="AL70" t="str">
        <f>CONCATENATE("M(",AD69,")=")</f>
        <v>M(4.85)=</v>
      </c>
      <c r="AM70">
        <f>AI70+AK70</f>
        <v>404.63963333333322</v>
      </c>
      <c r="AO70" s="82" t="str">
        <f>AA70</f>
        <v>M(4.85)=</v>
      </c>
      <c r="AP70" s="82" t="e">
        <f>VLOOKUP(AO70,Rise_Results,2,FALSE)</f>
        <v>#N/A</v>
      </c>
      <c r="AQ70" s="82" t="e">
        <f>N70</f>
        <v>#N/A</v>
      </c>
      <c r="AR70" s="82" t="e">
        <f>IF(OR(AB69&lt;=0,AB70&lt;=0),1/0,AB70)</f>
        <v>#VALUE!</v>
      </c>
      <c r="AS70" s="82">
        <f>AM70</f>
        <v>404.63963333333322</v>
      </c>
      <c r="AT70">
        <f>IFERROR(AP70,IFERROR(AQ70,IFERROR(AR70,AS70)))</f>
        <v>404.63963333333322</v>
      </c>
      <c r="AU70" s="81"/>
    </row>
    <row r="71" spans="1:47" x14ac:dyDescent="0.25">
      <c r="A71" s="101">
        <f>A66+1</f>
        <v>6</v>
      </c>
      <c r="B71" s="101">
        <f t="shared" si="11"/>
        <v>2</v>
      </c>
      <c r="O71" s="101">
        <f>O66+1</f>
        <v>8</v>
      </c>
      <c r="P71" s="101">
        <f t="shared" si="23"/>
        <v>4</v>
      </c>
      <c r="AU71" s="81"/>
    </row>
    <row r="72" spans="1:47" x14ac:dyDescent="0.25">
      <c r="A72" s="84">
        <f>A71+1</f>
        <v>7</v>
      </c>
      <c r="B72" s="84">
        <f t="shared" si="11"/>
        <v>3</v>
      </c>
      <c r="C72" s="79">
        <f t="shared" ref="C72" si="25">IF(C73=B74,IF(C74-C73=C73-B73,B73,IF(C74-C73=C73-B72,B72,"#NA")),IF(C73=B73,IF(C74-C73=C73-B72,B72,IF(C74-C73=C73-B71,B71,"#NA")),"#NA"))</f>
        <v>3</v>
      </c>
      <c r="D72" s="68">
        <f>VLOOKUP(C72,STN_TABLE,2,FALSE)</f>
        <v>4.2300000000000004</v>
      </c>
      <c r="E72" s="102">
        <v>1</v>
      </c>
      <c r="F72" s="68">
        <f>D72*E72</f>
        <v>4.2300000000000004</v>
      </c>
      <c r="G72" s="69">
        <f>C72</f>
        <v>3</v>
      </c>
      <c r="H72" s="69">
        <f>F72*G72</f>
        <v>12.690000000000001</v>
      </c>
      <c r="I72" s="6" t="s">
        <v>93</v>
      </c>
      <c r="J72" s="70">
        <f>IF(OR(D72=0,D73=0,D74=0),"#NA",IF(AND(C74-C73=C73-C72,C73&lt;&gt;C74,C72&lt;&gt;C73,C72&lt;&gt;C74,D74&lt;&gt;0,OR(D72&lt;&gt;0,D73&lt;&gt;0)),WLS*(C74-C73),"#NA"))</f>
        <v>2</v>
      </c>
      <c r="O72" s="99">
        <f>O71+1</f>
        <v>9</v>
      </c>
      <c r="P72" s="99">
        <f t="shared" si="23"/>
        <v>4.8499999999999996</v>
      </c>
      <c r="Q72" s="68">
        <f>IF(OR(P74-P73=P73-P72,P75-P73=P73-P72),P72,IF(OR(P74-P73=P73-P71,P75-P73=P73-P71),P71,"-"))</f>
        <v>4</v>
      </c>
      <c r="R72" s="69">
        <f>VLOOKUP(Q72,STN_TABLE,2,FALSE)</f>
        <v>4.47</v>
      </c>
      <c r="S72" s="69">
        <v>5</v>
      </c>
      <c r="T72" s="68">
        <f>R72*S72</f>
        <v>22.349999999999998</v>
      </c>
      <c r="U72" s="79">
        <v>3</v>
      </c>
      <c r="V72" s="68">
        <f>R72*U72</f>
        <v>13.41</v>
      </c>
      <c r="W72" s="6" t="s">
        <v>93</v>
      </c>
      <c r="X72" s="70">
        <f>IF(AND(Q74-Q73=Q73-Q72,NOT(AND(Q72=0,Q73=0)),NOT(AND(Q73=0,Q74=0))),WLS*(Q74-Q73),"#NA")</f>
        <v>2</v>
      </c>
      <c r="AD72" s="93"/>
      <c r="AH72" s="6" t="s">
        <v>93</v>
      </c>
      <c r="AI72" s="70">
        <f>WLS*(AD74-AD73)</f>
        <v>0.30000000000000071</v>
      </c>
      <c r="AU72" s="81"/>
    </row>
    <row r="73" spans="1:47" x14ac:dyDescent="0.25">
      <c r="A73" s="84">
        <f>A72+1</f>
        <v>8</v>
      </c>
      <c r="B73" s="84">
        <f t="shared" si="11"/>
        <v>4</v>
      </c>
      <c r="C73" s="80">
        <f t="shared" ref="C73" si="26">IF(OR(B75-B74=B74-B73,B75-B74=B74-B72,B75-B74=B74-B71),B74,IF(OR(B75-B73=B73-B72,B75-B73=B73-B71),B73,IF(B75-B72=B72-B71,B72,"#NA")))</f>
        <v>4</v>
      </c>
      <c r="D73" s="76">
        <f>VLOOKUP(C73,STN_TABLE,2,FALSE)</f>
        <v>4.47</v>
      </c>
      <c r="E73" s="81">
        <v>4</v>
      </c>
      <c r="F73" s="76">
        <f>D73*E73</f>
        <v>17.88</v>
      </c>
      <c r="G73" s="77">
        <f>C73</f>
        <v>4</v>
      </c>
      <c r="H73" s="77">
        <f>F73*G73</f>
        <v>71.52</v>
      </c>
      <c r="I73" s="495" t="s">
        <v>97</v>
      </c>
      <c r="J73" s="496"/>
      <c r="K73" s="78" t="s">
        <v>98</v>
      </c>
      <c r="L73" s="78"/>
      <c r="M73" s="7" t="s">
        <v>99</v>
      </c>
      <c r="N73" s="7"/>
      <c r="O73" s="99">
        <f>O72+1</f>
        <v>10</v>
      </c>
      <c r="P73" s="99">
        <f t="shared" si="23"/>
        <v>5</v>
      </c>
      <c r="Q73" s="76">
        <f>P73</f>
        <v>5</v>
      </c>
      <c r="R73" s="77">
        <f>VLOOKUP(Q73,STN_TABLE,2,FALSE)</f>
        <v>4.9399999999999995</v>
      </c>
      <c r="S73" s="77">
        <v>8</v>
      </c>
      <c r="T73" s="76">
        <f>R73*S73</f>
        <v>39.519999999999996</v>
      </c>
      <c r="U73" s="80">
        <v>10</v>
      </c>
      <c r="V73" s="76">
        <f>R73*U73</f>
        <v>49.399999999999991</v>
      </c>
      <c r="W73" s="496" t="s">
        <v>97</v>
      </c>
      <c r="X73" s="496"/>
      <c r="Y73" s="496" t="s">
        <v>98</v>
      </c>
      <c r="Z73" s="496"/>
      <c r="AA73" s="494" t="s">
        <v>99</v>
      </c>
      <c r="AB73" s="494"/>
      <c r="AC73" s="99">
        <f>AC68+1</f>
        <v>9</v>
      </c>
      <c r="AD73" s="95">
        <f>VLOOKUP(AC73,STN_TABLE_2,2,FALSE)</f>
        <v>4.8499999999999996</v>
      </c>
      <c r="AE73" s="68">
        <f>VLOOKUP(AD73,STN_TABLE,2,FALSE)</f>
        <v>4.87</v>
      </c>
      <c r="AF73" s="68">
        <v>1</v>
      </c>
      <c r="AG73" s="69">
        <f>AE73*AF73</f>
        <v>4.87</v>
      </c>
      <c r="AH73" s="496" t="s">
        <v>97</v>
      </c>
      <c r="AI73" s="496"/>
      <c r="AJ73" s="496" t="s">
        <v>98</v>
      </c>
      <c r="AK73" s="496"/>
      <c r="AL73" s="494" t="s">
        <v>99</v>
      </c>
      <c r="AM73" s="494"/>
      <c r="AP73" s="86" t="s">
        <v>112</v>
      </c>
      <c r="AQ73" s="89" t="s">
        <v>113</v>
      </c>
      <c r="AR73" s="89" t="s">
        <v>114</v>
      </c>
      <c r="AS73" s="89" t="s">
        <v>115</v>
      </c>
      <c r="AU73" s="81"/>
    </row>
    <row r="74" spans="1:47" x14ac:dyDescent="0.25">
      <c r="A74" s="84">
        <f>A73+1</f>
        <v>9</v>
      </c>
      <c r="B74" s="84">
        <f t="shared" ref="B74:B105" si="27">VLOOKUP(A74,STN_TABLE_2,2,FALSE)</f>
        <v>4.8499999999999996</v>
      </c>
      <c r="C74" s="88">
        <f t="shared" ref="C74" si="28">B75</f>
        <v>5</v>
      </c>
      <c r="D74" s="82">
        <f>VLOOKUP(C74,STN_TABLE,2,FALSE)</f>
        <v>4.9399999999999995</v>
      </c>
      <c r="E74" s="92">
        <v>1</v>
      </c>
      <c r="F74" s="82">
        <f>D74*E74</f>
        <v>4.9399999999999995</v>
      </c>
      <c r="G74" s="83">
        <f>C74</f>
        <v>5</v>
      </c>
      <c r="H74" s="83">
        <f>F74*G74</f>
        <v>24.699999999999996</v>
      </c>
      <c r="I74" s="84" t="str">
        <f>CONCATENATE("a'(",C74,")=")</f>
        <v>a'(5)=</v>
      </c>
      <c r="J74" s="84">
        <f>2*J72/3*F75</f>
        <v>36.066666666666663</v>
      </c>
      <c r="K74" s="84" t="str">
        <f>CONCATENATE("A(",C72,")=")</f>
        <v>A(3)=</v>
      </c>
      <c r="L74" s="84">
        <f>VLOOKUP(C72,STN_TABLE,3,FALSE)</f>
        <v>43.17</v>
      </c>
      <c r="M74" t="str">
        <f>CONCATENATE("A(",C74,")=")</f>
        <v>A(5)=</v>
      </c>
      <c r="N74">
        <f>J74+L74</f>
        <v>79.236666666666665</v>
      </c>
      <c r="O74" s="99">
        <f>O73+1</f>
        <v>11</v>
      </c>
      <c r="P74" s="99">
        <f t="shared" si="23"/>
        <v>6</v>
      </c>
      <c r="Q74" s="82">
        <f>IF(P74-P73=P73-P72,P74,IF(P75-P73=P73-P72,P75,IF(P74-P73=P73-P71,P74,IF(P75-P73=P73-P71,P75,"-"))))</f>
        <v>6</v>
      </c>
      <c r="R74" s="83">
        <f>VLOOKUP(Q74,STN_TABLE,2,FALSE)</f>
        <v>5.59</v>
      </c>
      <c r="S74" s="83">
        <v>-1</v>
      </c>
      <c r="T74" s="82">
        <f>R74*S74</f>
        <v>-5.59</v>
      </c>
      <c r="U74" s="88">
        <v>-1</v>
      </c>
      <c r="V74" s="82">
        <f>R74*U74</f>
        <v>-5.59</v>
      </c>
      <c r="W74" s="84" t="str">
        <f>CONCATENATE("a'(",Q73,")=")</f>
        <v>a'(5)=</v>
      </c>
      <c r="X74" s="84">
        <f>2*X72/12*T75</f>
        <v>18.759999999999994</v>
      </c>
      <c r="Y74" s="84" t="str">
        <f>CONCATENATE("A(",Q72,")=")</f>
        <v>A(4)=</v>
      </c>
      <c r="Z74" s="84">
        <f>VLOOKUP(Q72,STN_TABLE,3,FALSE)</f>
        <v>60.336666666666666</v>
      </c>
      <c r="AA74" t="str">
        <f>CONCATENATE("A(",Q73,")=")</f>
        <v>A(5)=</v>
      </c>
      <c r="AB74">
        <f>X74+Z74</f>
        <v>79.096666666666664</v>
      </c>
      <c r="AC74" s="99">
        <f>AC73+1</f>
        <v>10</v>
      </c>
      <c r="AD74" s="100">
        <f>VLOOKUP(AC74,STN_TABLE_2,2,FALSE)</f>
        <v>5</v>
      </c>
      <c r="AE74" s="82">
        <f>VLOOKUP(AD74,STN_TABLE,2,FALSE)</f>
        <v>4.9399999999999995</v>
      </c>
      <c r="AF74" s="82">
        <v>2</v>
      </c>
      <c r="AG74" s="83">
        <f>AE74*AF74</f>
        <v>9.879999999999999</v>
      </c>
      <c r="AH74" s="84" t="str">
        <f>CONCATENATE("a'(",AD74,")=")</f>
        <v>a'(5)=</v>
      </c>
      <c r="AI74" s="84">
        <f>2*AI72/2*AE75</f>
        <v>2.9430000000000067</v>
      </c>
      <c r="AJ74" s="84" t="str">
        <f>CONCATENATE("A(",AD73,")=")</f>
        <v>A(4.85)=</v>
      </c>
      <c r="AK74" s="84">
        <f>VLOOKUP(AD73,STN_TABLE,3,FALSE)</f>
        <v>76.214666666666659</v>
      </c>
      <c r="AL74" t="str">
        <f>CONCATENATE("A(",AD74,")=")</f>
        <v>A(5)=</v>
      </c>
      <c r="AM74">
        <f>AI74+AK74</f>
        <v>79.157666666666671</v>
      </c>
      <c r="AO74" s="68" t="str">
        <f>AA74</f>
        <v>A(5)=</v>
      </c>
      <c r="AP74" s="68" t="e">
        <f>VLOOKUP(AO74,Rise_Results,2,FALSE)</f>
        <v>#N/A</v>
      </c>
      <c r="AQ74" s="76">
        <f>N74</f>
        <v>79.236666666666665</v>
      </c>
      <c r="AR74" s="76">
        <f>IF(OR(AB74&lt;=0,AB75&lt;=0),1/0,AB74)</f>
        <v>79.096666666666664</v>
      </c>
      <c r="AS74" s="76">
        <f>AM74</f>
        <v>79.157666666666671</v>
      </c>
      <c r="AT74">
        <f>IFERROR(AP74,IFERROR(AQ74,IFERROR(AR74,AS74)))</f>
        <v>79.236666666666665</v>
      </c>
      <c r="AU74" s="81"/>
    </row>
    <row r="75" spans="1:47" x14ac:dyDescent="0.25">
      <c r="A75" s="84">
        <f>A74+1</f>
        <v>10</v>
      </c>
      <c r="B75" s="84">
        <f t="shared" si="27"/>
        <v>5</v>
      </c>
      <c r="F75" s="82">
        <f>SUM(F72:F74)</f>
        <v>27.049999999999997</v>
      </c>
      <c r="H75" s="82">
        <f>SUM(H72:H74)</f>
        <v>108.91</v>
      </c>
      <c r="I75" s="84" t="str">
        <f>CONCATENATE("m'(",C74,")=")</f>
        <v>m'(5)=</v>
      </c>
      <c r="J75" s="84">
        <f>2*(J72*(WLS))/3*H75</f>
        <v>290.42666666666662</v>
      </c>
      <c r="K75" s="84" t="str">
        <f>CONCATENATE("M(",C72,")=")</f>
        <v>M(3)=</v>
      </c>
      <c r="L75" s="84">
        <f>VLOOKUP(C72,STN_TABLE,4,FALSE)</f>
        <v>143.21333333333334</v>
      </c>
      <c r="M75" t="str">
        <f>CONCATENATE("M(",C74,")=")</f>
        <v>M(5)=</v>
      </c>
      <c r="N75">
        <f>J75+L75</f>
        <v>433.64</v>
      </c>
      <c r="O75" s="99">
        <f>O74+1</f>
        <v>12</v>
      </c>
      <c r="P75" s="99">
        <f t="shared" si="23"/>
        <v>6.5</v>
      </c>
      <c r="T75" s="89">
        <f>SUM(T72:T74)</f>
        <v>56.279999999999987</v>
      </c>
      <c r="V75" s="82">
        <f>SUM(V72:V74)</f>
        <v>57.219999999999985</v>
      </c>
      <c r="W75" s="84" t="str">
        <f>CONCATENATE("m'(",Q73,")=")</f>
        <v>m'(5)=</v>
      </c>
      <c r="X75" s="84">
        <f>(2*(X72^2)/24*V75)+(X74*Q72*WLS)</f>
        <v>169.15333333333328</v>
      </c>
      <c r="Y75" s="84" t="str">
        <f>CONCATENATE("M(",Q72,")=")</f>
        <v>M(4)=</v>
      </c>
      <c r="Z75" s="84">
        <f>VLOOKUP(Q72,STN_TABLE,4,FALSE)</f>
        <v>263.92666666666662</v>
      </c>
      <c r="AA75" t="str">
        <f>CONCATENATE("M(",Q73,")=")</f>
        <v>M(5)=</v>
      </c>
      <c r="AB75">
        <f>X75+Z75</f>
        <v>433.07999999999993</v>
      </c>
      <c r="AE75" s="89">
        <f>SUM(AE73:AE74)</f>
        <v>9.8099999999999987</v>
      </c>
      <c r="AG75" s="89">
        <f>SUM(AG73:AG74)</f>
        <v>14.75</v>
      </c>
      <c r="AH75" s="84" t="str">
        <f>CONCATENATE("m'(",AD74,")=")</f>
        <v>m'(5)=</v>
      </c>
      <c r="AI75" s="84">
        <f>(2*(AI72^2)/6*AG75)+(AI74*AD73*WLS)</f>
        <v>28.989600000000067</v>
      </c>
      <c r="AJ75" s="84" t="str">
        <f>CONCATENATE("M(",AD73,")=")</f>
        <v>M(4.85)=</v>
      </c>
      <c r="AK75" s="84">
        <f>VLOOKUP(AD73,STN_TABLE,4,FALSE)</f>
        <v>404.63963333333322</v>
      </c>
      <c r="AL75" t="str">
        <f>CONCATENATE("M(",AD74,")=")</f>
        <v>M(5)=</v>
      </c>
      <c r="AM75">
        <f>AI75+AK75</f>
        <v>433.62923333333327</v>
      </c>
      <c r="AO75" s="82" t="str">
        <f>AA75</f>
        <v>M(5)=</v>
      </c>
      <c r="AP75" s="82" t="e">
        <f>VLOOKUP(AO75,Rise_Results,2,FALSE)</f>
        <v>#N/A</v>
      </c>
      <c r="AQ75" s="82">
        <f>N75</f>
        <v>433.64</v>
      </c>
      <c r="AR75" s="82">
        <f>IF(OR(AB74&lt;=0,AB75&lt;=0),1/0,AB75)</f>
        <v>433.07999999999993</v>
      </c>
      <c r="AS75" s="82">
        <f>AM75</f>
        <v>433.62923333333327</v>
      </c>
      <c r="AT75">
        <f>IFERROR(AP75,IFERROR(AQ75,IFERROR(AR75,AS75)))</f>
        <v>433.64</v>
      </c>
      <c r="AU75" s="81"/>
    </row>
    <row r="76" spans="1:47" x14ac:dyDescent="0.25">
      <c r="A76" s="101">
        <f>A71+1</f>
        <v>7</v>
      </c>
      <c r="B76" s="101">
        <f t="shared" si="27"/>
        <v>3</v>
      </c>
      <c r="O76" s="101">
        <f>O71+1</f>
        <v>9</v>
      </c>
      <c r="P76" s="101">
        <f t="shared" si="23"/>
        <v>4.8499999999999996</v>
      </c>
      <c r="AU76" s="81"/>
    </row>
    <row r="77" spans="1:47" x14ac:dyDescent="0.25">
      <c r="A77" s="84">
        <f>A76+1</f>
        <v>8</v>
      </c>
      <c r="B77" s="84">
        <f t="shared" si="27"/>
        <v>4</v>
      </c>
      <c r="C77" s="79">
        <f t="shared" ref="C77" si="29">IF(C78=B79,IF(C79-C78=C78-B78,B78,IF(C79-C78=C78-B77,B77,"#NA")),IF(C78=B78,IF(C79-C78=C78-B77,B77,IF(C79-C78=C78-B76,B76,"#NA")),"#NA"))</f>
        <v>4</v>
      </c>
      <c r="D77" s="68">
        <f>VLOOKUP(C77,STN_TABLE,2,FALSE)</f>
        <v>4.47</v>
      </c>
      <c r="E77" s="102">
        <v>1</v>
      </c>
      <c r="F77" s="68">
        <f>D77*E77</f>
        <v>4.47</v>
      </c>
      <c r="G77" s="69">
        <f>C77</f>
        <v>4</v>
      </c>
      <c r="H77" s="69">
        <f>F77*G77</f>
        <v>17.88</v>
      </c>
      <c r="I77" s="6" t="s">
        <v>93</v>
      </c>
      <c r="J77" s="70">
        <f>IF(OR(D77=0,D78=0,D79=0),"#NA",IF(AND(C79-C78=C78-C77,C78&lt;&gt;C79,C77&lt;&gt;C78,C77&lt;&gt;C79,D79&lt;&gt;0,OR(D77&lt;&gt;0,D78&lt;&gt;0)),WLS*(C79-C78),"#NA"))</f>
        <v>2</v>
      </c>
      <c r="O77" s="99">
        <f>O76+1</f>
        <v>10</v>
      </c>
      <c r="P77" s="99">
        <f t="shared" si="23"/>
        <v>5</v>
      </c>
      <c r="Q77" s="68" t="e">
        <f>IF(OR(P79-P78=P78-P77,P80-P78=P78-P77),P77,IF(OR(P79-P78=P78-P76,P80-P78=P78-P76),P76,"-"))</f>
        <v>#VALUE!</v>
      </c>
      <c r="R77" s="69" t="e">
        <f>VLOOKUP(Q77,STN_TABLE,2,FALSE)</f>
        <v>#VALUE!</v>
      </c>
      <c r="S77" s="69">
        <v>5</v>
      </c>
      <c r="T77" s="68" t="e">
        <f>R77*S77</f>
        <v>#VALUE!</v>
      </c>
      <c r="U77" s="79">
        <v>3</v>
      </c>
      <c r="V77" s="68" t="e">
        <f>R77*U77</f>
        <v>#VALUE!</v>
      </c>
      <c r="W77" s="6" t="s">
        <v>93</v>
      </c>
      <c r="X77" s="70" t="e">
        <f>IF(AND(Q79-Q78=Q78-Q77,NOT(AND(Q77=0,Q78=0)),NOT(AND(Q78=0,Q79=0))),WLS*(Q79-Q78),"#NA")</f>
        <v>#VALUE!</v>
      </c>
      <c r="AD77" s="93"/>
      <c r="AH77" s="6" t="s">
        <v>93</v>
      </c>
      <c r="AI77" s="70">
        <f>WLS*(AD79-AD78)</f>
        <v>2</v>
      </c>
      <c r="AU77" s="81"/>
    </row>
    <row r="78" spans="1:47" x14ac:dyDescent="0.25">
      <c r="A78" s="84">
        <f>A77+1</f>
        <v>9</v>
      </c>
      <c r="B78" s="84">
        <f t="shared" si="27"/>
        <v>4.8499999999999996</v>
      </c>
      <c r="C78" s="80">
        <f t="shared" ref="C78" si="30">IF(OR(B80-B79=B79-B78,B80-B79=B79-B77,B80-B79=B79-B76),B79,IF(OR(B80-B78=B78-B77,B80-B78=B78-B76),B78,IF(B80-B77=B77-B76,B77,"#NA")))</f>
        <v>5</v>
      </c>
      <c r="D78" s="76">
        <f>VLOOKUP(C78,STN_TABLE,2,FALSE)</f>
        <v>4.9399999999999995</v>
      </c>
      <c r="E78" s="81">
        <v>4</v>
      </c>
      <c r="F78" s="76">
        <f>D78*E78</f>
        <v>19.759999999999998</v>
      </c>
      <c r="G78" s="77">
        <f>C78</f>
        <v>5</v>
      </c>
      <c r="H78" s="77">
        <f>F78*G78</f>
        <v>98.799999999999983</v>
      </c>
      <c r="I78" s="495" t="s">
        <v>97</v>
      </c>
      <c r="J78" s="496"/>
      <c r="K78" s="78" t="s">
        <v>98</v>
      </c>
      <c r="L78" s="78"/>
      <c r="M78" s="7" t="s">
        <v>99</v>
      </c>
      <c r="N78" s="7"/>
      <c r="O78" s="99">
        <f>O77+1</f>
        <v>11</v>
      </c>
      <c r="P78" s="99">
        <f t="shared" si="23"/>
        <v>6</v>
      </c>
      <c r="Q78" s="76">
        <f>P78</f>
        <v>6</v>
      </c>
      <c r="R78" s="77">
        <f>VLOOKUP(Q78,STN_TABLE,2,FALSE)</f>
        <v>5.59</v>
      </c>
      <c r="S78" s="77">
        <v>8</v>
      </c>
      <c r="T78" s="76">
        <f>R78*S78</f>
        <v>44.72</v>
      </c>
      <c r="U78" s="80">
        <v>10</v>
      </c>
      <c r="V78" s="76">
        <f>R78*U78</f>
        <v>55.9</v>
      </c>
      <c r="W78" s="496" t="s">
        <v>97</v>
      </c>
      <c r="X78" s="496"/>
      <c r="Y78" s="496" t="s">
        <v>98</v>
      </c>
      <c r="Z78" s="496"/>
      <c r="AA78" s="494" t="s">
        <v>99</v>
      </c>
      <c r="AB78" s="494"/>
      <c r="AC78" s="99">
        <f>AC73+1</f>
        <v>10</v>
      </c>
      <c r="AD78" s="95">
        <f>VLOOKUP(AC78,STN_TABLE_2,2,FALSE)</f>
        <v>5</v>
      </c>
      <c r="AE78" s="68">
        <f>VLOOKUP(AD78,STN_TABLE,2,FALSE)</f>
        <v>4.9399999999999995</v>
      </c>
      <c r="AF78" s="68">
        <v>1</v>
      </c>
      <c r="AG78" s="69">
        <f>AE78*AF78</f>
        <v>4.9399999999999995</v>
      </c>
      <c r="AH78" s="496" t="s">
        <v>97</v>
      </c>
      <c r="AI78" s="496"/>
      <c r="AJ78" s="496" t="s">
        <v>98</v>
      </c>
      <c r="AK78" s="496"/>
      <c r="AL78" s="494" t="s">
        <v>99</v>
      </c>
      <c r="AM78" s="494"/>
      <c r="AP78" s="86" t="s">
        <v>112</v>
      </c>
      <c r="AQ78" s="89" t="s">
        <v>113</v>
      </c>
      <c r="AR78" s="89" t="s">
        <v>114</v>
      </c>
      <c r="AS78" s="89" t="s">
        <v>115</v>
      </c>
      <c r="AU78" s="81"/>
    </row>
    <row r="79" spans="1:47" x14ac:dyDescent="0.25">
      <c r="A79" s="84">
        <f>A78+1</f>
        <v>10</v>
      </c>
      <c r="B79" s="84">
        <f t="shared" si="27"/>
        <v>5</v>
      </c>
      <c r="C79" s="88">
        <f t="shared" ref="C79" si="31">B80</f>
        <v>6</v>
      </c>
      <c r="D79" s="82">
        <f>VLOOKUP(C79,STN_TABLE,2,FALSE)</f>
        <v>5.59</v>
      </c>
      <c r="E79" s="92">
        <v>1</v>
      </c>
      <c r="F79" s="82">
        <f>D79*E79</f>
        <v>5.59</v>
      </c>
      <c r="G79" s="83">
        <f>C79</f>
        <v>6</v>
      </c>
      <c r="H79" s="83">
        <f>F79*G79</f>
        <v>33.54</v>
      </c>
      <c r="I79" s="84" t="str">
        <f>CONCATENATE("a'(",C79,")=")</f>
        <v>a'(6)=</v>
      </c>
      <c r="J79" s="84">
        <f>2*J77/3*F80</f>
        <v>39.759999999999991</v>
      </c>
      <c r="K79" s="84" t="str">
        <f>CONCATENATE("A(",C77,")=")</f>
        <v>A(4)=</v>
      </c>
      <c r="L79" s="84">
        <f>VLOOKUP(C77,STN_TABLE,3,FALSE)</f>
        <v>60.336666666666666</v>
      </c>
      <c r="M79" t="str">
        <f>CONCATENATE("A(",C79,")=")</f>
        <v>A(6)=</v>
      </c>
      <c r="N79">
        <f>J79+L79</f>
        <v>100.09666666666666</v>
      </c>
      <c r="O79" s="99">
        <f>O78+1</f>
        <v>12</v>
      </c>
      <c r="P79" s="99">
        <f t="shared" si="23"/>
        <v>6.5</v>
      </c>
      <c r="Q79" s="82" t="e">
        <f>IF(P79-P78=P78-P77,P79,IF(P80-P78=P78-P77,P80,IF(P79-P78=P78-P76,P79,IF(P80-P78=P78-P76,P80,"-"))))</f>
        <v>#VALUE!</v>
      </c>
      <c r="R79" s="83" t="e">
        <f>VLOOKUP(Q79,STN_TABLE,2,FALSE)</f>
        <v>#VALUE!</v>
      </c>
      <c r="S79" s="83">
        <v>-1</v>
      </c>
      <c r="T79" s="82" t="e">
        <f>R79*S79</f>
        <v>#VALUE!</v>
      </c>
      <c r="U79" s="88">
        <v>-1</v>
      </c>
      <c r="V79" s="82" t="e">
        <f>R79*U79</f>
        <v>#VALUE!</v>
      </c>
      <c r="W79" s="84" t="str">
        <f>CONCATENATE("a'(",Q78,")=")</f>
        <v>a'(6)=</v>
      </c>
      <c r="X79" s="84" t="e">
        <f>2*X77/12*T80</f>
        <v>#VALUE!</v>
      </c>
      <c r="Y79" s="84" t="e">
        <f>CONCATENATE("A(",Q77,")=")</f>
        <v>#VALUE!</v>
      </c>
      <c r="Z79" s="84" t="e">
        <f>VLOOKUP(Q77,STN_TABLE,3,FALSE)</f>
        <v>#VALUE!</v>
      </c>
      <c r="AA79" t="str">
        <f>CONCATENATE("A(",Q78,")=")</f>
        <v>A(6)=</v>
      </c>
      <c r="AB79" t="e">
        <f>X79+Z79</f>
        <v>#VALUE!</v>
      </c>
      <c r="AC79" s="99">
        <f>AC78+1</f>
        <v>11</v>
      </c>
      <c r="AD79" s="100">
        <f>VLOOKUP(AC79,STN_TABLE_2,2,FALSE)</f>
        <v>6</v>
      </c>
      <c r="AE79" s="82">
        <f>VLOOKUP(AD79,STN_TABLE,2,FALSE)</f>
        <v>5.59</v>
      </c>
      <c r="AF79" s="82">
        <v>2</v>
      </c>
      <c r="AG79" s="83">
        <f>AE79*AF79</f>
        <v>11.18</v>
      </c>
      <c r="AH79" s="84" t="str">
        <f>CONCATENATE("a'(",AD79,")=")</f>
        <v>a'(6)=</v>
      </c>
      <c r="AI79" s="84">
        <f>2*AI77/2*AE80</f>
        <v>21.06</v>
      </c>
      <c r="AJ79" s="84" t="str">
        <f>CONCATENATE("A(",AD78,")=")</f>
        <v>A(5)=</v>
      </c>
      <c r="AK79" s="84">
        <f>VLOOKUP(AD78,STN_TABLE,3,FALSE)</f>
        <v>79.236666666666665</v>
      </c>
      <c r="AL79" t="str">
        <f>CONCATENATE("A(",AD79,")=")</f>
        <v>A(6)=</v>
      </c>
      <c r="AM79">
        <f>AI79+AK79</f>
        <v>100.29666666666667</v>
      </c>
      <c r="AO79" s="68" t="str">
        <f>AA79</f>
        <v>A(6)=</v>
      </c>
      <c r="AP79" s="68" t="e">
        <f>VLOOKUP(AO79,Rise_Results,2,FALSE)</f>
        <v>#N/A</v>
      </c>
      <c r="AQ79" s="76">
        <f>N79</f>
        <v>100.09666666666666</v>
      </c>
      <c r="AR79" s="76" t="e">
        <f>IF(OR(AB79&lt;=0,AB80&lt;=0),1/0,AB79)</f>
        <v>#VALUE!</v>
      </c>
      <c r="AS79" s="76">
        <f>AM79</f>
        <v>100.29666666666667</v>
      </c>
      <c r="AT79">
        <f>IFERROR(AP79,IFERROR(AQ79,IFERROR(AR79,AS79)))</f>
        <v>100.09666666666666</v>
      </c>
      <c r="AU79" s="81"/>
    </row>
    <row r="80" spans="1:47" x14ac:dyDescent="0.25">
      <c r="A80" s="84">
        <f>A79+1</f>
        <v>11</v>
      </c>
      <c r="B80" s="84">
        <f t="shared" si="27"/>
        <v>6</v>
      </c>
      <c r="F80" s="82">
        <f>SUM(F77:F79)</f>
        <v>29.819999999999997</v>
      </c>
      <c r="H80" s="82">
        <f>SUM(H77:H79)</f>
        <v>150.21999999999997</v>
      </c>
      <c r="I80" s="84" t="str">
        <f>CONCATENATE("m'(",C79,")=")</f>
        <v>m'(6)=</v>
      </c>
      <c r="J80" s="84">
        <f>2*(J77*(WLS))/3*H80</f>
        <v>400.58666666666659</v>
      </c>
      <c r="K80" s="84" t="str">
        <f>CONCATENATE("M(",C77,")=")</f>
        <v>M(4)=</v>
      </c>
      <c r="L80" s="84">
        <f>VLOOKUP(C77,STN_TABLE,4,FALSE)</f>
        <v>263.92666666666662</v>
      </c>
      <c r="M80" t="str">
        <f>CONCATENATE("M(",C79,")=")</f>
        <v>M(6)=</v>
      </c>
      <c r="N80">
        <f>J80+L80</f>
        <v>664.51333333333321</v>
      </c>
      <c r="O80" s="99">
        <f>O79+1</f>
        <v>13</v>
      </c>
      <c r="P80" s="99" t="str">
        <f t="shared" si="23"/>
        <v xml:space="preserve">  </v>
      </c>
      <c r="T80" s="89" t="e">
        <f>SUM(T77:T79)</f>
        <v>#VALUE!</v>
      </c>
      <c r="V80" s="82" t="e">
        <f>SUM(V77:V79)</f>
        <v>#VALUE!</v>
      </c>
      <c r="W80" s="84" t="str">
        <f>CONCATENATE("m'(",Q78,")=")</f>
        <v>m'(6)=</v>
      </c>
      <c r="X80" s="84" t="e">
        <f>(2*(X77^2)/24*V80)+(X79*Q77*WLS)</f>
        <v>#VALUE!</v>
      </c>
      <c r="Y80" s="84" t="e">
        <f>CONCATENATE("M(",Q77,")=")</f>
        <v>#VALUE!</v>
      </c>
      <c r="Z80" s="84" t="e">
        <f>VLOOKUP(Q77,STN_TABLE,4,FALSE)</f>
        <v>#VALUE!</v>
      </c>
      <c r="AA80" t="str">
        <f>CONCATENATE("M(",Q78,")=")</f>
        <v>M(6)=</v>
      </c>
      <c r="AB80" t="e">
        <f>X80+Z80</f>
        <v>#VALUE!</v>
      </c>
      <c r="AE80" s="89">
        <f>SUM(AE78:AE79)</f>
        <v>10.53</v>
      </c>
      <c r="AG80" s="89">
        <f>SUM(AG78:AG79)</f>
        <v>16.119999999999997</v>
      </c>
      <c r="AH80" s="84" t="str">
        <f>CONCATENATE("m'(",AD79,")=")</f>
        <v>m'(6)=</v>
      </c>
      <c r="AI80" s="84">
        <f>(2*(AI77^2)/6*AG80)+(AI79*AD78*WLS)</f>
        <v>232.09333333333333</v>
      </c>
      <c r="AJ80" s="84" t="str">
        <f>CONCATENATE("M(",AD78,")=")</f>
        <v>M(5)=</v>
      </c>
      <c r="AK80" s="84">
        <f>VLOOKUP(AD78,STN_TABLE,4,FALSE)</f>
        <v>433.64</v>
      </c>
      <c r="AL80" t="str">
        <f>CONCATENATE("M(",AD79,")=")</f>
        <v>M(6)=</v>
      </c>
      <c r="AM80">
        <f>AI80+AK80</f>
        <v>665.73333333333335</v>
      </c>
      <c r="AO80" s="82" t="str">
        <f>AA80</f>
        <v>M(6)=</v>
      </c>
      <c r="AP80" s="82" t="e">
        <f>VLOOKUP(AO80,Rise_Results,2,FALSE)</f>
        <v>#N/A</v>
      </c>
      <c r="AQ80" s="82">
        <f>N80</f>
        <v>664.51333333333321</v>
      </c>
      <c r="AR80" s="82" t="e">
        <f>IF(OR(AB79&lt;=0,AB80&lt;=0),1/0,AB80)</f>
        <v>#VALUE!</v>
      </c>
      <c r="AS80" s="82">
        <f>AM80</f>
        <v>665.73333333333335</v>
      </c>
      <c r="AT80">
        <f>IFERROR(AP80,IFERROR(AQ80,IFERROR(AR80,AS80)))</f>
        <v>664.51333333333321</v>
      </c>
      <c r="AU80" s="81"/>
    </row>
    <row r="81" spans="1:47" x14ac:dyDescent="0.25">
      <c r="A81" s="101">
        <f>A76+1</f>
        <v>8</v>
      </c>
      <c r="B81" s="101">
        <f t="shared" si="27"/>
        <v>4</v>
      </c>
      <c r="O81" s="101">
        <f>O76+1</f>
        <v>10</v>
      </c>
      <c r="P81" s="101">
        <f t="shared" si="23"/>
        <v>5</v>
      </c>
      <c r="AU81" s="81"/>
    </row>
    <row r="82" spans="1:47" x14ac:dyDescent="0.25">
      <c r="A82" s="84">
        <f>A81+1</f>
        <v>9</v>
      </c>
      <c r="B82" s="84">
        <f t="shared" si="27"/>
        <v>4.8499999999999996</v>
      </c>
      <c r="C82" s="79" t="str">
        <f t="shared" ref="C82" si="32">IF(C83=B84,IF(C84-C83=C83-B83,B83,IF(C84-C83=C83-B82,B82,"#NA")),IF(C83=B83,IF(C84-C83=C83-B82,B82,IF(C84-C83=C83-B81,B81,"#NA")),"#NA"))</f>
        <v>#NA</v>
      </c>
      <c r="D82" s="68" t="e">
        <f>VLOOKUP(C82,STN_TABLE,2,FALSE)</f>
        <v>#N/A</v>
      </c>
      <c r="E82" s="102">
        <v>1</v>
      </c>
      <c r="F82" s="68" t="e">
        <f>D82*E82</f>
        <v>#N/A</v>
      </c>
      <c r="G82" s="69" t="str">
        <f>C82</f>
        <v>#NA</v>
      </c>
      <c r="H82" s="69" t="e">
        <f>F82*G82</f>
        <v>#N/A</v>
      </c>
      <c r="I82" s="6" t="s">
        <v>93</v>
      </c>
      <c r="J82" s="70" t="e">
        <f>IF(OR(D82=0,D83=0,D84=0),"#NA",IF(AND(C84-C83=C83-C82,C83&lt;&gt;C84,C82&lt;&gt;C83,C82&lt;&gt;C84,D84&lt;&gt;0,OR(D82&lt;&gt;0,D83&lt;&gt;0)),WLS*(C84-C83),"#NA"))</f>
        <v>#N/A</v>
      </c>
      <c r="O82" s="99">
        <f>O81+1</f>
        <v>11</v>
      </c>
      <c r="P82" s="99">
        <f t="shared" si="23"/>
        <v>6</v>
      </c>
      <c r="Q82" s="68" t="e">
        <f>IF(OR(P84-P83=P83-P82,P85-P83=P83-P82),P82,IF(OR(P84-P83=P83-P81,P85-P83=P83-P81),P81,"-"))</f>
        <v>#VALUE!</v>
      </c>
      <c r="R82" s="69" t="e">
        <f>VLOOKUP(Q82,STN_TABLE,2,FALSE)</f>
        <v>#VALUE!</v>
      </c>
      <c r="S82" s="69">
        <v>5</v>
      </c>
      <c r="T82" s="68" t="e">
        <f>R82*S82</f>
        <v>#VALUE!</v>
      </c>
      <c r="U82" s="79">
        <v>3</v>
      </c>
      <c r="V82" s="68" t="e">
        <f>R82*U82</f>
        <v>#VALUE!</v>
      </c>
      <c r="W82" s="6" t="s">
        <v>93</v>
      </c>
      <c r="X82" s="70" t="e">
        <f>IF(AND(Q84-Q83=Q83-Q82,NOT(AND(Q82=0,Q83=0)),NOT(AND(Q83=0,Q84=0))),WLS*(Q84-Q83),"#NA")</f>
        <v>#VALUE!</v>
      </c>
      <c r="AD82" s="93"/>
      <c r="AH82" s="6" t="s">
        <v>93</v>
      </c>
      <c r="AI82" s="70">
        <f>WLS*(AD84-AD83)</f>
        <v>1</v>
      </c>
      <c r="AU82" s="81"/>
    </row>
    <row r="83" spans="1:47" x14ac:dyDescent="0.25">
      <c r="A83" s="84">
        <f>A82+1</f>
        <v>10</v>
      </c>
      <c r="B83" s="84">
        <f t="shared" si="27"/>
        <v>5</v>
      </c>
      <c r="C83" s="80" t="str">
        <f t="shared" ref="C83" si="33">IF(OR(B85-B84=B84-B83,B85-B84=B84-B82,B85-B84=B84-B81),B84,IF(OR(B85-B83=B83-B82,B85-B83=B83-B81),B83,IF(B85-B82=B82-B81,B82,"#NA")))</f>
        <v>#NA</v>
      </c>
      <c r="D83" s="76" t="e">
        <f>VLOOKUP(C83,STN_TABLE,2,FALSE)</f>
        <v>#N/A</v>
      </c>
      <c r="E83" s="81">
        <v>4</v>
      </c>
      <c r="F83" s="76" t="e">
        <f>D83*E83</f>
        <v>#N/A</v>
      </c>
      <c r="G83" s="77" t="str">
        <f>C83</f>
        <v>#NA</v>
      </c>
      <c r="H83" s="77" t="e">
        <f>F83*G83</f>
        <v>#N/A</v>
      </c>
      <c r="I83" s="495" t="s">
        <v>97</v>
      </c>
      <c r="J83" s="496"/>
      <c r="K83" s="78" t="s">
        <v>98</v>
      </c>
      <c r="L83" s="78"/>
      <c r="M83" s="7" t="s">
        <v>99</v>
      </c>
      <c r="N83" s="7"/>
      <c r="O83" s="99">
        <f>O82+1</f>
        <v>12</v>
      </c>
      <c r="P83" s="99">
        <f t="shared" si="23"/>
        <v>6.5</v>
      </c>
      <c r="Q83" s="76">
        <f>P83</f>
        <v>6.5</v>
      </c>
      <c r="R83" s="77">
        <f>VLOOKUP(Q83,STN_TABLE,2,FALSE)</f>
        <v>5.94</v>
      </c>
      <c r="S83" s="77">
        <v>8</v>
      </c>
      <c r="T83" s="76">
        <f>R83*S83</f>
        <v>47.52</v>
      </c>
      <c r="U83" s="80">
        <v>10</v>
      </c>
      <c r="V83" s="76">
        <f>R83*U83</f>
        <v>59.400000000000006</v>
      </c>
      <c r="W83" s="496" t="s">
        <v>97</v>
      </c>
      <c r="X83" s="496"/>
      <c r="Y83" s="496" t="s">
        <v>98</v>
      </c>
      <c r="Z83" s="496"/>
      <c r="AA83" s="494" t="s">
        <v>99</v>
      </c>
      <c r="AB83" s="494"/>
      <c r="AC83" s="99">
        <f>AC78+1</f>
        <v>11</v>
      </c>
      <c r="AD83" s="95">
        <f>VLOOKUP(AC83,STN_TABLE_2,2,FALSE)</f>
        <v>6</v>
      </c>
      <c r="AE83" s="68">
        <f>VLOOKUP(AD83,STN_TABLE,2,FALSE)</f>
        <v>5.59</v>
      </c>
      <c r="AF83" s="68">
        <v>1</v>
      </c>
      <c r="AG83" s="69">
        <f>AE83*AF83</f>
        <v>5.59</v>
      </c>
      <c r="AH83" s="496" t="s">
        <v>97</v>
      </c>
      <c r="AI83" s="496"/>
      <c r="AJ83" s="496" t="s">
        <v>98</v>
      </c>
      <c r="AK83" s="496"/>
      <c r="AL83" s="494" t="s">
        <v>99</v>
      </c>
      <c r="AM83" s="494"/>
      <c r="AP83" s="86" t="s">
        <v>112</v>
      </c>
      <c r="AQ83" s="89" t="s">
        <v>113</v>
      </c>
      <c r="AR83" s="89" t="s">
        <v>114</v>
      </c>
      <c r="AS83" s="89" t="s">
        <v>115</v>
      </c>
      <c r="AU83" s="81"/>
    </row>
    <row r="84" spans="1:47" x14ac:dyDescent="0.25">
      <c r="A84" s="84">
        <f>A83+1</f>
        <v>11</v>
      </c>
      <c r="B84" s="84">
        <f t="shared" si="27"/>
        <v>6</v>
      </c>
      <c r="C84" s="88">
        <f t="shared" ref="C84" si="34">B85</f>
        <v>6.5</v>
      </c>
      <c r="D84" s="82">
        <f>VLOOKUP(C84,STN_TABLE,2,FALSE)</f>
        <v>5.94</v>
      </c>
      <c r="E84" s="92">
        <v>1</v>
      </c>
      <c r="F84" s="82">
        <f>D84*E84</f>
        <v>5.94</v>
      </c>
      <c r="G84" s="83">
        <f>C84</f>
        <v>6.5</v>
      </c>
      <c r="H84" s="83">
        <f>F84*G84</f>
        <v>38.61</v>
      </c>
      <c r="I84" s="84" t="str">
        <f>CONCATENATE("a'(",C84,")=")</f>
        <v>a'(6.5)=</v>
      </c>
      <c r="J84" s="84" t="e">
        <f>2*J82/3*F85</f>
        <v>#N/A</v>
      </c>
      <c r="K84" s="84" t="str">
        <f>CONCATENATE("A(",C82,")=")</f>
        <v>A(#NA)=</v>
      </c>
      <c r="L84" s="84" t="e">
        <f>VLOOKUP(C82,STN_TABLE,3,FALSE)</f>
        <v>#N/A</v>
      </c>
      <c r="M84" t="str">
        <f>CONCATENATE("A(",C84,")=")</f>
        <v>A(6.5)=</v>
      </c>
      <c r="N84" t="e">
        <f>J84+L84</f>
        <v>#N/A</v>
      </c>
      <c r="O84" s="99">
        <f>O83+1</f>
        <v>13</v>
      </c>
      <c r="P84" s="99" t="str">
        <f t="shared" si="23"/>
        <v xml:space="preserve">  </v>
      </c>
      <c r="Q84" s="82" t="e">
        <f>IF(P84-P83=P83-P82,P84,IF(P85-P83=P83-P82,P85,IF(P84-P83=P83-P81,P84,IF(P85-P83=P83-P81,P85,"-"))))</f>
        <v>#VALUE!</v>
      </c>
      <c r="R84" s="83" t="e">
        <f>VLOOKUP(Q84,STN_TABLE,2,FALSE)</f>
        <v>#VALUE!</v>
      </c>
      <c r="S84" s="83">
        <v>-1</v>
      </c>
      <c r="T84" s="82" t="e">
        <f>R84*S84</f>
        <v>#VALUE!</v>
      </c>
      <c r="U84" s="88">
        <v>-1</v>
      </c>
      <c r="V84" s="82" t="e">
        <f>R84*U84</f>
        <v>#VALUE!</v>
      </c>
      <c r="W84" s="84" t="str">
        <f>CONCATENATE("a'(",Q83,")=")</f>
        <v>a'(6.5)=</v>
      </c>
      <c r="X84" s="84" t="e">
        <f>2*X82/12*T85</f>
        <v>#VALUE!</v>
      </c>
      <c r="Y84" s="84" t="e">
        <f>CONCATENATE("A(",Q82,")=")</f>
        <v>#VALUE!</v>
      </c>
      <c r="Z84" s="84" t="e">
        <f>VLOOKUP(Q82,STN_TABLE,3,FALSE)</f>
        <v>#VALUE!</v>
      </c>
      <c r="AA84" t="str">
        <f>CONCATENATE("A(",Q83,")=")</f>
        <v>A(6.5)=</v>
      </c>
      <c r="AB84" t="e">
        <f>X84+Z84</f>
        <v>#VALUE!</v>
      </c>
      <c r="AC84" s="99">
        <f>AC83+1</f>
        <v>12</v>
      </c>
      <c r="AD84" s="100">
        <f>VLOOKUP(AC84,STN_TABLE_2,2,FALSE)</f>
        <v>6.5</v>
      </c>
      <c r="AE84" s="82">
        <f>VLOOKUP(AD84,STN_TABLE,2,FALSE)</f>
        <v>5.94</v>
      </c>
      <c r="AF84" s="82">
        <v>2</v>
      </c>
      <c r="AG84" s="83">
        <f>AE84*AF84</f>
        <v>11.88</v>
      </c>
      <c r="AH84" s="84" t="str">
        <f>CONCATENATE("a'(",AD84,")=")</f>
        <v>a'(6.5)=</v>
      </c>
      <c r="AI84" s="84">
        <f>2*AI82/2*AE85</f>
        <v>11.530000000000001</v>
      </c>
      <c r="AJ84" s="84" t="str">
        <f>CONCATENATE("A(",AD83,")=")</f>
        <v>A(6)=</v>
      </c>
      <c r="AK84" s="84">
        <f>VLOOKUP(AD83,STN_TABLE,3,FALSE)</f>
        <v>100.09666666666666</v>
      </c>
      <c r="AL84" t="str">
        <f>CONCATENATE("A(",AD84,")=")</f>
        <v>A(6.5)=</v>
      </c>
      <c r="AM84">
        <f>AI84+AK84</f>
        <v>111.62666666666667</v>
      </c>
      <c r="AO84" s="68" t="str">
        <f>AA84</f>
        <v>A(6.5)=</v>
      </c>
      <c r="AP84" s="68" t="e">
        <f>VLOOKUP(AO84,Rise_Results,2,FALSE)</f>
        <v>#N/A</v>
      </c>
      <c r="AQ84" s="76" t="e">
        <f>N84</f>
        <v>#N/A</v>
      </c>
      <c r="AR84" s="76" t="e">
        <f>IF(OR(AB84&lt;=0,AB85&lt;=0),1/0,AB84)</f>
        <v>#VALUE!</v>
      </c>
      <c r="AS84" s="76">
        <f>AM84</f>
        <v>111.62666666666667</v>
      </c>
      <c r="AT84">
        <f>IFERROR(AP84,IFERROR(AQ84,IFERROR(AR84,AS84)))</f>
        <v>111.62666666666667</v>
      </c>
      <c r="AU84" s="81"/>
    </row>
    <row r="85" spans="1:47" x14ac:dyDescent="0.25">
      <c r="A85" s="84">
        <f>A84+1</f>
        <v>12</v>
      </c>
      <c r="B85" s="84">
        <f t="shared" si="27"/>
        <v>6.5</v>
      </c>
      <c r="F85" s="82" t="e">
        <f>SUM(F82:F84)</f>
        <v>#N/A</v>
      </c>
      <c r="H85" s="82" t="e">
        <f>SUM(H82:H84)</f>
        <v>#N/A</v>
      </c>
      <c r="I85" s="84" t="str">
        <f>CONCATENATE("m'(",C84,")=")</f>
        <v>m'(6.5)=</v>
      </c>
      <c r="J85" s="84" t="e">
        <f>2*(J82*(WLS))/3*H85</f>
        <v>#N/A</v>
      </c>
      <c r="K85" s="84" t="str">
        <f>CONCATENATE("M(",C82,")=")</f>
        <v>M(#NA)=</v>
      </c>
      <c r="L85" s="84" t="e">
        <f>VLOOKUP(C82,STN_TABLE,4,FALSE)</f>
        <v>#N/A</v>
      </c>
      <c r="M85" t="str">
        <f>CONCATENATE("M(",C84,")=")</f>
        <v>M(6.5)=</v>
      </c>
      <c r="N85" t="e">
        <f>J85+L85</f>
        <v>#N/A</v>
      </c>
      <c r="O85" s="99">
        <f>O84+1</f>
        <v>14</v>
      </c>
      <c r="P85" s="99" t="str">
        <f t="shared" si="23"/>
        <v xml:space="preserve">  </v>
      </c>
      <c r="T85" s="89" t="e">
        <f>SUM(T82:T84)</f>
        <v>#VALUE!</v>
      </c>
      <c r="V85" s="82" t="e">
        <f>SUM(V82:V84)</f>
        <v>#VALUE!</v>
      </c>
      <c r="W85" s="84" t="str">
        <f>CONCATENATE("m'(",Q83,")=")</f>
        <v>m'(6.5)=</v>
      </c>
      <c r="X85" s="84" t="e">
        <f>(2*(X82^2)/24*V85)+(X84*Q82*WLS)</f>
        <v>#VALUE!</v>
      </c>
      <c r="Y85" s="84" t="e">
        <f>CONCATENATE("M(",Q82,")=")</f>
        <v>#VALUE!</v>
      </c>
      <c r="Z85" s="84" t="e">
        <f>VLOOKUP(Q82,STN_TABLE,4,FALSE)</f>
        <v>#VALUE!</v>
      </c>
      <c r="AA85" t="str">
        <f>CONCATENATE("M(",Q83,")=")</f>
        <v>M(6.5)=</v>
      </c>
      <c r="AB85" t="e">
        <f>X85+Z85</f>
        <v>#VALUE!</v>
      </c>
      <c r="AE85" s="89">
        <f>SUM(AE83:AE84)</f>
        <v>11.530000000000001</v>
      </c>
      <c r="AG85" s="89">
        <f>SUM(AG83:AG84)</f>
        <v>17.47</v>
      </c>
      <c r="AH85" s="84" t="str">
        <f>CONCATENATE("m'(",AD84,")=")</f>
        <v>m'(6.5)=</v>
      </c>
      <c r="AI85" s="84">
        <f>(2*(AI82^2)/6*AG85)+(AI84*AD83*WLS)</f>
        <v>144.18333333333334</v>
      </c>
      <c r="AJ85" s="84" t="str">
        <f>CONCATENATE("M(",AD83,")=")</f>
        <v>M(6)=</v>
      </c>
      <c r="AK85" s="84">
        <f>VLOOKUP(AD83,STN_TABLE,4,FALSE)</f>
        <v>664.51333333333321</v>
      </c>
      <c r="AL85" t="str">
        <f>CONCATENATE("M(",AD84,")=")</f>
        <v>M(6.5)=</v>
      </c>
      <c r="AM85">
        <f>AI85+AK85</f>
        <v>808.69666666666649</v>
      </c>
      <c r="AO85" s="82" t="str">
        <f>AA85</f>
        <v>M(6.5)=</v>
      </c>
      <c r="AP85" s="82" t="e">
        <f>VLOOKUP(AO85,Rise_Results,2,FALSE)</f>
        <v>#N/A</v>
      </c>
      <c r="AQ85" s="82" t="e">
        <f>N85</f>
        <v>#N/A</v>
      </c>
      <c r="AR85" s="82" t="e">
        <f>IF(OR(AB84&lt;=0,AB85&lt;=0),1/0,AB85)</f>
        <v>#VALUE!</v>
      </c>
      <c r="AS85" s="82">
        <f>AM85</f>
        <v>808.69666666666649</v>
      </c>
      <c r="AT85">
        <f>IFERROR(AP85,IFERROR(AQ85,IFERROR(AR85,AS85)))</f>
        <v>808.69666666666649</v>
      </c>
      <c r="AU85" s="81"/>
    </row>
    <row r="86" spans="1:47" x14ac:dyDescent="0.25">
      <c r="A86" s="101">
        <f>A81+1</f>
        <v>9</v>
      </c>
      <c r="B86" s="101">
        <f t="shared" si="27"/>
        <v>4.8499999999999996</v>
      </c>
      <c r="O86" s="101">
        <f>O81+1</f>
        <v>11</v>
      </c>
      <c r="P86" s="101">
        <f t="shared" si="23"/>
        <v>6</v>
      </c>
      <c r="AU86" s="81"/>
    </row>
    <row r="87" spans="1:47" x14ac:dyDescent="0.25">
      <c r="A87" s="84">
        <f>A86+1</f>
        <v>10</v>
      </c>
      <c r="B87" s="84">
        <f t="shared" si="27"/>
        <v>5</v>
      </c>
      <c r="C87" s="79" t="e">
        <f t="shared" ref="C87" si="35">IF(C88=B89,IF(C89-C88=C88-B88,B88,IF(C89-C88=C88-B87,B87,"#NA")),IF(C88=B88,IF(C89-C88=C88-B87,B87,IF(C89-C88=C88-B86,B86,"#NA")),"#NA"))</f>
        <v>#VALUE!</v>
      </c>
      <c r="D87" s="68" t="e">
        <f>VLOOKUP(C87,STN_TABLE,2,FALSE)</f>
        <v>#VALUE!</v>
      </c>
      <c r="E87" s="102">
        <v>1</v>
      </c>
      <c r="F87" s="68" t="e">
        <f>D87*E87</f>
        <v>#VALUE!</v>
      </c>
      <c r="G87" s="69" t="e">
        <f>C87</f>
        <v>#VALUE!</v>
      </c>
      <c r="H87" s="69" t="e">
        <f>F87*G87</f>
        <v>#VALUE!</v>
      </c>
      <c r="I87" s="6" t="s">
        <v>93</v>
      </c>
      <c r="J87" s="70" t="e">
        <f>IF(OR(D87=0,D88=0,D89=0),"#NA",IF(AND(C89-C88=C88-C87,C88&lt;&gt;C89,C87&lt;&gt;C88,C87&lt;&gt;C89,D89&lt;&gt;0,OR(D87&lt;&gt;0,D88&lt;&gt;0)),WLS*(C89-C88),"#NA"))</f>
        <v>#VALUE!</v>
      </c>
      <c r="O87" s="99">
        <f>O86+1</f>
        <v>12</v>
      </c>
      <c r="P87" s="99">
        <f t="shared" si="23"/>
        <v>6.5</v>
      </c>
      <c r="Q87" s="68" t="e">
        <f>IF(OR(P89-P88=P88-P87,P90-P88=P88-P87),P87,IF(OR(P89-P88=P88-P86,P90-P88=P88-P86),P86,"-"))</f>
        <v>#VALUE!</v>
      </c>
      <c r="R87" s="69" t="e">
        <f>VLOOKUP(Q87,STN_TABLE,2,FALSE)</f>
        <v>#VALUE!</v>
      </c>
      <c r="S87" s="69">
        <v>5</v>
      </c>
      <c r="T87" s="68" t="e">
        <f>R87*S87</f>
        <v>#VALUE!</v>
      </c>
      <c r="U87" s="79">
        <v>3</v>
      </c>
      <c r="V87" s="68" t="e">
        <f>R87*U87</f>
        <v>#VALUE!</v>
      </c>
      <c r="W87" s="6" t="s">
        <v>93</v>
      </c>
      <c r="X87" s="70" t="e">
        <f>IF(AND(Q89-Q88=Q88-Q87,NOT(AND(Q87=0,Q88=0)),NOT(AND(Q88=0,Q89=0))),WLS*(Q89-Q88),"#NA")</f>
        <v>#VALUE!</v>
      </c>
      <c r="AD87" s="93"/>
      <c r="AH87" s="6" t="s">
        <v>93</v>
      </c>
      <c r="AI87" s="70" t="e">
        <f>WLS*(AD89-AD88)</f>
        <v>#VALUE!</v>
      </c>
      <c r="AU87" s="81"/>
    </row>
    <row r="88" spans="1:47" x14ac:dyDescent="0.25">
      <c r="A88" s="84">
        <f>A87+1</f>
        <v>11</v>
      </c>
      <c r="B88" s="84">
        <f t="shared" si="27"/>
        <v>6</v>
      </c>
      <c r="C88" s="80" t="e">
        <f t="shared" ref="C88" si="36">IF(OR(B90-B89=B89-B88,B90-B89=B89-B87,B90-B89=B89-B86),B89,IF(OR(B90-B88=B88-B87,B90-B88=B88-B86),B88,IF(B90-B87=B87-B86,B87,"#NA")))</f>
        <v>#VALUE!</v>
      </c>
      <c r="D88" s="76" t="e">
        <f>VLOOKUP(C88,STN_TABLE,2,FALSE)</f>
        <v>#VALUE!</v>
      </c>
      <c r="E88" s="81">
        <v>4</v>
      </c>
      <c r="F88" s="76" t="e">
        <f>D88*E88</f>
        <v>#VALUE!</v>
      </c>
      <c r="G88" s="77" t="e">
        <f>C88</f>
        <v>#VALUE!</v>
      </c>
      <c r="H88" s="77" t="e">
        <f>F88*G88</f>
        <v>#VALUE!</v>
      </c>
      <c r="I88" s="495" t="s">
        <v>97</v>
      </c>
      <c r="J88" s="496"/>
      <c r="K88" s="78" t="s">
        <v>98</v>
      </c>
      <c r="L88" s="78"/>
      <c r="M88" s="7" t="s">
        <v>99</v>
      </c>
      <c r="N88" s="7"/>
      <c r="O88" s="99">
        <f>O87+1</f>
        <v>13</v>
      </c>
      <c r="P88" s="99" t="str">
        <f t="shared" si="23"/>
        <v xml:space="preserve">  </v>
      </c>
      <c r="Q88" s="76" t="str">
        <f>P88</f>
        <v xml:space="preserve">  </v>
      </c>
      <c r="R88" s="77" t="str">
        <f>VLOOKUP(Q88,STN_TABLE,2,FALSE)</f>
        <v xml:space="preserve">  </v>
      </c>
      <c r="S88" s="77">
        <v>8</v>
      </c>
      <c r="T88" s="76" t="e">
        <f>R88*S88</f>
        <v>#VALUE!</v>
      </c>
      <c r="U88" s="80">
        <v>10</v>
      </c>
      <c r="V88" s="76" t="e">
        <f>R88*U88</f>
        <v>#VALUE!</v>
      </c>
      <c r="W88" s="496" t="s">
        <v>97</v>
      </c>
      <c r="X88" s="496"/>
      <c r="Y88" s="496" t="s">
        <v>98</v>
      </c>
      <c r="Z88" s="496"/>
      <c r="AA88" s="494" t="s">
        <v>99</v>
      </c>
      <c r="AB88" s="494"/>
      <c r="AC88" s="99">
        <f>AC83+1</f>
        <v>12</v>
      </c>
      <c r="AD88" s="95">
        <f>VLOOKUP(AC88,STN_TABLE_2,2,FALSE)</f>
        <v>6.5</v>
      </c>
      <c r="AE88" s="68">
        <f>VLOOKUP(AD88,STN_TABLE,2,FALSE)</f>
        <v>5.94</v>
      </c>
      <c r="AF88" s="68">
        <v>1</v>
      </c>
      <c r="AG88" s="69">
        <f>AE88*AF88</f>
        <v>5.94</v>
      </c>
      <c r="AH88" s="496" t="s">
        <v>97</v>
      </c>
      <c r="AI88" s="496"/>
      <c r="AJ88" s="496" t="s">
        <v>98</v>
      </c>
      <c r="AK88" s="496"/>
      <c r="AL88" s="494" t="s">
        <v>99</v>
      </c>
      <c r="AM88" s="494"/>
      <c r="AP88" s="86" t="s">
        <v>112</v>
      </c>
      <c r="AQ88" s="89" t="s">
        <v>113</v>
      </c>
      <c r="AR88" s="89" t="s">
        <v>114</v>
      </c>
      <c r="AS88" s="89" t="s">
        <v>115</v>
      </c>
      <c r="AU88" s="81"/>
    </row>
    <row r="89" spans="1:47" x14ac:dyDescent="0.25">
      <c r="A89" s="84">
        <f>A88+1</f>
        <v>12</v>
      </c>
      <c r="B89" s="84">
        <f t="shared" si="27"/>
        <v>6.5</v>
      </c>
      <c r="C89" s="88" t="str">
        <f t="shared" ref="C89" si="37">B90</f>
        <v xml:space="preserve">  </v>
      </c>
      <c r="D89" s="82" t="str">
        <f>VLOOKUP(C89,STN_TABLE,2,FALSE)</f>
        <v xml:space="preserve">  </v>
      </c>
      <c r="E89" s="92">
        <v>1</v>
      </c>
      <c r="F89" s="82" t="e">
        <f>D89*E89</f>
        <v>#VALUE!</v>
      </c>
      <c r="G89" s="83" t="str">
        <f>C89</f>
        <v xml:space="preserve">  </v>
      </c>
      <c r="H89" s="83" t="e">
        <f>F89*G89</f>
        <v>#VALUE!</v>
      </c>
      <c r="I89" s="84" t="str">
        <f>CONCATENATE("a'(",C89,")=")</f>
        <v>a'(  )=</v>
      </c>
      <c r="J89" s="84" t="e">
        <f>2*J87/3*F90</f>
        <v>#VALUE!</v>
      </c>
      <c r="K89" s="84" t="e">
        <f>CONCATENATE("A(",C87,")=")</f>
        <v>#VALUE!</v>
      </c>
      <c r="L89" s="84" t="e">
        <f>VLOOKUP(C87,STN_TABLE,3,FALSE)</f>
        <v>#VALUE!</v>
      </c>
      <c r="M89" t="str">
        <f>CONCATENATE("A(",C89,")=")</f>
        <v>A(  )=</v>
      </c>
      <c r="N89" t="e">
        <f>J89+L89</f>
        <v>#VALUE!</v>
      </c>
      <c r="O89" s="99">
        <f>O88+1</f>
        <v>14</v>
      </c>
      <c r="P89" s="99" t="str">
        <f t="shared" si="23"/>
        <v xml:space="preserve">  </v>
      </c>
      <c r="Q89" s="82" t="e">
        <f>IF(P89-P88=P88-P87,P89,IF(P90-P88=P88-P87,P90,IF(P89-P88=P88-P86,P89,IF(P90-P88=P88-P86,P90,"-"))))</f>
        <v>#VALUE!</v>
      </c>
      <c r="R89" s="83" t="e">
        <f>VLOOKUP(Q89,STN_TABLE,2,FALSE)</f>
        <v>#VALUE!</v>
      </c>
      <c r="S89" s="83">
        <v>-1</v>
      </c>
      <c r="T89" s="82" t="e">
        <f>R89*S89</f>
        <v>#VALUE!</v>
      </c>
      <c r="U89" s="88">
        <v>-1</v>
      </c>
      <c r="V89" s="82" t="e">
        <f>R89*U89</f>
        <v>#VALUE!</v>
      </c>
      <c r="W89" s="84" t="str">
        <f>CONCATENATE("a'(",Q88,")=")</f>
        <v>a'(  )=</v>
      </c>
      <c r="X89" s="84" t="e">
        <f>2*X87/12*T90</f>
        <v>#VALUE!</v>
      </c>
      <c r="Y89" s="84" t="e">
        <f>CONCATENATE("A(",Q87,")=")</f>
        <v>#VALUE!</v>
      </c>
      <c r="Z89" s="84" t="e">
        <f>VLOOKUP(Q87,STN_TABLE,3,FALSE)</f>
        <v>#VALUE!</v>
      </c>
      <c r="AA89" t="str">
        <f>CONCATENATE("A(",Q88,")=")</f>
        <v>A(  )=</v>
      </c>
      <c r="AB89" t="e">
        <f>X89+Z89</f>
        <v>#VALUE!</v>
      </c>
      <c r="AC89" s="99">
        <f>AC88+1</f>
        <v>13</v>
      </c>
      <c r="AD89" s="100" t="str">
        <f>VLOOKUP(AC89,STN_TABLE_2,2,FALSE)</f>
        <v xml:space="preserve">  </v>
      </c>
      <c r="AE89" s="82" t="str">
        <f>VLOOKUP(AD89,STN_TABLE,2,FALSE)</f>
        <v xml:space="preserve">  </v>
      </c>
      <c r="AF89" s="82">
        <v>2</v>
      </c>
      <c r="AG89" s="83" t="e">
        <f>AE89*AF89</f>
        <v>#VALUE!</v>
      </c>
      <c r="AH89" s="84" t="str">
        <f>CONCATENATE("a'(",AD89,")=")</f>
        <v>a'(  )=</v>
      </c>
      <c r="AI89" s="84" t="e">
        <f>2*AI87/2*AE90</f>
        <v>#VALUE!</v>
      </c>
      <c r="AJ89" s="84" t="str">
        <f>CONCATENATE("A(",AD88,")=")</f>
        <v>A(6.5)=</v>
      </c>
      <c r="AK89" s="84">
        <f>VLOOKUP(AD88,STN_TABLE,3,FALSE)</f>
        <v>111.62666666666667</v>
      </c>
      <c r="AL89" t="str">
        <f>CONCATENATE("A(",AD89,")=")</f>
        <v>A(  )=</v>
      </c>
      <c r="AM89" t="e">
        <f>AI89+AK89</f>
        <v>#VALUE!</v>
      </c>
      <c r="AO89" s="68" t="str">
        <f>AA89</f>
        <v>A(  )=</v>
      </c>
      <c r="AP89" s="68" t="e">
        <f>VLOOKUP(AO89,Rise_Results,2,FALSE)</f>
        <v>#N/A</v>
      </c>
      <c r="AQ89" s="76" t="e">
        <f>N89</f>
        <v>#VALUE!</v>
      </c>
      <c r="AR89" s="76" t="e">
        <f>IF(OR(AB89&lt;=0,AB90&lt;=0),1/0,AB89)</f>
        <v>#VALUE!</v>
      </c>
      <c r="AS89" s="76" t="e">
        <f>AM89</f>
        <v>#VALUE!</v>
      </c>
      <c r="AT89" t="e">
        <f>IFERROR(AP89,IFERROR(AQ89,IFERROR(AR89,AS89)))</f>
        <v>#VALUE!</v>
      </c>
      <c r="AU89" s="81"/>
    </row>
    <row r="90" spans="1:47" x14ac:dyDescent="0.25">
      <c r="A90" s="84">
        <f>A89+1</f>
        <v>13</v>
      </c>
      <c r="B90" s="84" t="str">
        <f t="shared" si="27"/>
        <v xml:space="preserve">  </v>
      </c>
      <c r="F90" s="82" t="e">
        <f>SUM(F87:F89)</f>
        <v>#VALUE!</v>
      </c>
      <c r="H90" s="82" t="e">
        <f>SUM(H87:H89)</f>
        <v>#VALUE!</v>
      </c>
      <c r="I90" s="84" t="str">
        <f>CONCATENATE("m'(",C89,")=")</f>
        <v>m'(  )=</v>
      </c>
      <c r="J90" s="84" t="e">
        <f>2*(J87*(WLS))/3*H90</f>
        <v>#VALUE!</v>
      </c>
      <c r="K90" s="84" t="e">
        <f>CONCATENATE("M(",C87,")=")</f>
        <v>#VALUE!</v>
      </c>
      <c r="L90" s="84" t="e">
        <f>VLOOKUP(C87,STN_TABLE,4,FALSE)</f>
        <v>#VALUE!</v>
      </c>
      <c r="M90" t="str">
        <f>CONCATENATE("M(",C89,")=")</f>
        <v>M(  )=</v>
      </c>
      <c r="N90" t="e">
        <f>J90+L90</f>
        <v>#VALUE!</v>
      </c>
      <c r="O90" s="99">
        <f>O89+1</f>
        <v>15</v>
      </c>
      <c r="P90" s="99" t="str">
        <f t="shared" si="23"/>
        <v xml:space="preserve">  </v>
      </c>
      <c r="T90" s="89" t="e">
        <f>SUM(T87:T89)</f>
        <v>#VALUE!</v>
      </c>
      <c r="V90" s="82" t="e">
        <f>SUM(V87:V89)</f>
        <v>#VALUE!</v>
      </c>
      <c r="W90" s="84" t="str">
        <f>CONCATENATE("m'(",Q88,")=")</f>
        <v>m'(  )=</v>
      </c>
      <c r="X90" s="84" t="e">
        <f>(2*(X87^2)/24*V90)+(X89*Q87*WLS)</f>
        <v>#VALUE!</v>
      </c>
      <c r="Y90" s="84" t="e">
        <f>CONCATENATE("M(",Q87,")=")</f>
        <v>#VALUE!</v>
      </c>
      <c r="Z90" s="84" t="e">
        <f>VLOOKUP(Q87,STN_TABLE,4,FALSE)</f>
        <v>#VALUE!</v>
      </c>
      <c r="AA90" t="str">
        <f>CONCATENATE("M(",Q88,")=")</f>
        <v>M(  )=</v>
      </c>
      <c r="AB90" t="e">
        <f>X90+Z90</f>
        <v>#VALUE!</v>
      </c>
      <c r="AE90" s="89">
        <f>SUM(AE88:AE89)</f>
        <v>5.94</v>
      </c>
      <c r="AG90" s="89" t="e">
        <f>SUM(AG88:AG89)</f>
        <v>#VALUE!</v>
      </c>
      <c r="AH90" s="84" t="str">
        <f>CONCATENATE("m'(",AD89,")=")</f>
        <v>m'(  )=</v>
      </c>
      <c r="AI90" s="84" t="e">
        <f>(2*(AI87^2)/6*AG90)+(AI89*AD88*WLS)</f>
        <v>#VALUE!</v>
      </c>
      <c r="AJ90" s="84" t="str">
        <f>CONCATENATE("M(",AD88,")=")</f>
        <v>M(6.5)=</v>
      </c>
      <c r="AK90" s="84">
        <f>VLOOKUP(AD88,STN_TABLE,4,FALSE)</f>
        <v>808.69666666666649</v>
      </c>
      <c r="AL90" t="str">
        <f>CONCATENATE("M(",AD89,")=")</f>
        <v>M(  )=</v>
      </c>
      <c r="AM90" t="e">
        <f>AI90+AK90</f>
        <v>#VALUE!</v>
      </c>
      <c r="AO90" s="82" t="str">
        <f>AA90</f>
        <v>M(  )=</v>
      </c>
      <c r="AP90" s="82" t="e">
        <f>VLOOKUP(AO90,Rise_Results,2,FALSE)</f>
        <v>#N/A</v>
      </c>
      <c r="AQ90" s="82" t="e">
        <f>N90</f>
        <v>#VALUE!</v>
      </c>
      <c r="AR90" s="82" t="e">
        <f>IF(OR(AB89&lt;=0,AB90&lt;=0),1/0,AB90)</f>
        <v>#VALUE!</v>
      </c>
      <c r="AS90" s="82" t="e">
        <f>AM90</f>
        <v>#VALUE!</v>
      </c>
      <c r="AT90" t="e">
        <f>IFERROR(AP90,IFERROR(AQ90,IFERROR(AR90,AS90)))</f>
        <v>#VALUE!</v>
      </c>
      <c r="AU90" s="81"/>
    </row>
    <row r="91" spans="1:47" x14ac:dyDescent="0.25">
      <c r="A91" s="101">
        <f>A86+1</f>
        <v>10</v>
      </c>
      <c r="B91" s="101">
        <f t="shared" si="27"/>
        <v>5</v>
      </c>
      <c r="O91" s="101">
        <f>O86+1</f>
        <v>12</v>
      </c>
      <c r="P91" s="101">
        <f t="shared" si="23"/>
        <v>6.5</v>
      </c>
      <c r="AU91" s="81"/>
    </row>
    <row r="92" spans="1:47" x14ac:dyDescent="0.25">
      <c r="A92" s="84">
        <f>A91+1</f>
        <v>11</v>
      </c>
      <c r="B92" s="84">
        <f t="shared" si="27"/>
        <v>6</v>
      </c>
      <c r="C92" s="79" t="e">
        <f t="shared" ref="C92" si="38">IF(C93=B94,IF(C94-C93=C93-B93,B93,IF(C94-C93=C93-B92,B92,"#NA")),IF(C93=B93,IF(C94-C93=C93-B92,B92,IF(C94-C93=C93-B91,B91,"#NA")),"#NA"))</f>
        <v>#VALUE!</v>
      </c>
      <c r="D92" s="68" t="e">
        <f>VLOOKUP(C92,STN_TABLE,2,FALSE)</f>
        <v>#VALUE!</v>
      </c>
      <c r="E92" s="102">
        <v>1</v>
      </c>
      <c r="F92" s="68" t="e">
        <f>D92*E92</f>
        <v>#VALUE!</v>
      </c>
      <c r="G92" s="69" t="e">
        <f>C92</f>
        <v>#VALUE!</v>
      </c>
      <c r="H92" s="69" t="e">
        <f>F92*G92</f>
        <v>#VALUE!</v>
      </c>
      <c r="I92" s="6" t="s">
        <v>93</v>
      </c>
      <c r="J92" s="70" t="e">
        <f>IF(OR(D92=0,D93=0,D94=0),"#NA",IF(AND(C94-C93=C93-C92,C93&lt;&gt;C94,C92&lt;&gt;C93,C92&lt;&gt;C94,D94&lt;&gt;0,OR(D92&lt;&gt;0,D93&lt;&gt;0)),WLS*(C94-C93),"#NA"))</f>
        <v>#VALUE!</v>
      </c>
      <c r="O92" s="99">
        <f>O91+1</f>
        <v>13</v>
      </c>
      <c r="P92" s="99" t="str">
        <f t="shared" si="23"/>
        <v xml:space="preserve">  </v>
      </c>
      <c r="Q92" s="68" t="e">
        <f>IF(OR(P94-P93=P93-P92,P95-P93=P93-P92),P92,IF(OR(P94-P93=P93-P91,P95-P93=P93-P91),P91,"-"))</f>
        <v>#VALUE!</v>
      </c>
      <c r="R92" s="69" t="e">
        <f>VLOOKUP(Q92,STN_TABLE,2,FALSE)</f>
        <v>#VALUE!</v>
      </c>
      <c r="S92" s="69">
        <v>5</v>
      </c>
      <c r="T92" s="68" t="e">
        <f>R92*S92</f>
        <v>#VALUE!</v>
      </c>
      <c r="U92" s="79">
        <v>3</v>
      </c>
      <c r="V92" s="68" t="e">
        <f>R92*U92</f>
        <v>#VALUE!</v>
      </c>
      <c r="W92" s="6" t="s">
        <v>93</v>
      </c>
      <c r="X92" s="70" t="e">
        <f>IF(AND(Q94-Q93=Q93-Q92,NOT(AND(Q92=0,Q93=0)),NOT(AND(Q93=0,Q94=0))),WLS*(Q94-Q93),"#NA")</f>
        <v>#VALUE!</v>
      </c>
      <c r="AD92" s="93"/>
      <c r="AH92" s="6" t="s">
        <v>93</v>
      </c>
      <c r="AI92" s="70" t="e">
        <f>WLS*(AD94-AD93)</f>
        <v>#VALUE!</v>
      </c>
      <c r="AU92" s="81"/>
    </row>
    <row r="93" spans="1:47" x14ac:dyDescent="0.25">
      <c r="A93" s="84">
        <f>A92+1</f>
        <v>12</v>
      </c>
      <c r="B93" s="84">
        <f t="shared" si="27"/>
        <v>6.5</v>
      </c>
      <c r="C93" s="80" t="e">
        <f t="shared" ref="C93" si="39">IF(OR(B95-B94=B94-B93,B95-B94=B94-B92,B95-B94=B94-B91),B94,IF(OR(B95-B93=B93-B92,B95-B93=B93-B91),B93,IF(B95-B92=B92-B91,B92,"#NA")))</f>
        <v>#VALUE!</v>
      </c>
      <c r="D93" s="76" t="e">
        <f>VLOOKUP(C93,STN_TABLE,2,FALSE)</f>
        <v>#VALUE!</v>
      </c>
      <c r="E93" s="81">
        <v>4</v>
      </c>
      <c r="F93" s="76" t="e">
        <f>D93*E93</f>
        <v>#VALUE!</v>
      </c>
      <c r="G93" s="77" t="e">
        <f>C93</f>
        <v>#VALUE!</v>
      </c>
      <c r="H93" s="77" t="e">
        <f>F93*G93</f>
        <v>#VALUE!</v>
      </c>
      <c r="I93" s="495" t="s">
        <v>97</v>
      </c>
      <c r="J93" s="496"/>
      <c r="K93" s="78" t="s">
        <v>98</v>
      </c>
      <c r="L93" s="78"/>
      <c r="M93" s="7" t="s">
        <v>99</v>
      </c>
      <c r="N93" s="7"/>
      <c r="O93" s="99">
        <f>O92+1</f>
        <v>14</v>
      </c>
      <c r="P93" s="99" t="str">
        <f t="shared" si="23"/>
        <v xml:space="preserve">  </v>
      </c>
      <c r="Q93" s="76" t="str">
        <f>P93</f>
        <v xml:space="preserve">  </v>
      </c>
      <c r="R93" s="77" t="str">
        <f>VLOOKUP(Q93,STN_TABLE,2,FALSE)</f>
        <v xml:space="preserve">  </v>
      </c>
      <c r="S93" s="77">
        <v>8</v>
      </c>
      <c r="T93" s="76" t="e">
        <f>R93*S93</f>
        <v>#VALUE!</v>
      </c>
      <c r="U93" s="80">
        <v>10</v>
      </c>
      <c r="V93" s="76" t="e">
        <f>R93*U93</f>
        <v>#VALUE!</v>
      </c>
      <c r="W93" s="496" t="s">
        <v>97</v>
      </c>
      <c r="X93" s="496"/>
      <c r="Y93" s="496" t="s">
        <v>98</v>
      </c>
      <c r="Z93" s="496"/>
      <c r="AA93" s="494" t="s">
        <v>99</v>
      </c>
      <c r="AB93" s="494"/>
      <c r="AC93" s="99">
        <f>AC88+1</f>
        <v>13</v>
      </c>
      <c r="AD93" s="95" t="str">
        <f>VLOOKUP(AC93,STN_TABLE_2,2,FALSE)</f>
        <v xml:space="preserve">  </v>
      </c>
      <c r="AE93" s="68" t="str">
        <f>VLOOKUP(AD93,STN_TABLE,2,FALSE)</f>
        <v xml:space="preserve">  </v>
      </c>
      <c r="AF93" s="68">
        <v>1</v>
      </c>
      <c r="AG93" s="69" t="e">
        <f>AE93*AF93</f>
        <v>#VALUE!</v>
      </c>
      <c r="AH93" s="496" t="s">
        <v>97</v>
      </c>
      <c r="AI93" s="496"/>
      <c r="AJ93" s="496" t="s">
        <v>98</v>
      </c>
      <c r="AK93" s="496"/>
      <c r="AL93" s="494" t="s">
        <v>99</v>
      </c>
      <c r="AM93" s="494"/>
      <c r="AP93" s="86" t="s">
        <v>112</v>
      </c>
      <c r="AQ93" s="89" t="s">
        <v>113</v>
      </c>
      <c r="AR93" s="89" t="s">
        <v>114</v>
      </c>
      <c r="AS93" s="89" t="s">
        <v>115</v>
      </c>
      <c r="AU93" s="81"/>
    </row>
    <row r="94" spans="1:47" x14ac:dyDescent="0.25">
      <c r="A94" s="84">
        <f>A93+1</f>
        <v>13</v>
      </c>
      <c r="B94" s="84" t="str">
        <f t="shared" si="27"/>
        <v xml:space="preserve">  </v>
      </c>
      <c r="C94" s="88" t="str">
        <f t="shared" ref="C94" si="40">B95</f>
        <v xml:space="preserve">  </v>
      </c>
      <c r="D94" s="82" t="str">
        <f>VLOOKUP(C94,STN_TABLE,2,FALSE)</f>
        <v xml:space="preserve">  </v>
      </c>
      <c r="E94" s="92">
        <v>1</v>
      </c>
      <c r="F94" s="82" t="e">
        <f>D94*E94</f>
        <v>#VALUE!</v>
      </c>
      <c r="G94" s="83" t="str">
        <f>C94</f>
        <v xml:space="preserve">  </v>
      </c>
      <c r="H94" s="83" t="e">
        <f>F94*G94</f>
        <v>#VALUE!</v>
      </c>
      <c r="I94" s="84" t="str">
        <f>CONCATENATE("a'(",C94,")=")</f>
        <v>a'(  )=</v>
      </c>
      <c r="J94" s="84" t="e">
        <f>2*J92/3*F95</f>
        <v>#VALUE!</v>
      </c>
      <c r="K94" s="84" t="e">
        <f>CONCATENATE("A(",C92,")=")</f>
        <v>#VALUE!</v>
      </c>
      <c r="L94" s="84" t="e">
        <f>VLOOKUP(C92,STN_TABLE,3,FALSE)</f>
        <v>#VALUE!</v>
      </c>
      <c r="M94" t="str">
        <f>CONCATENATE("A(",C94,")=")</f>
        <v>A(  )=</v>
      </c>
      <c r="N94" t="e">
        <f>J94+L94</f>
        <v>#VALUE!</v>
      </c>
      <c r="O94" s="99">
        <f>O93+1</f>
        <v>15</v>
      </c>
      <c r="P94" s="99" t="str">
        <f t="shared" si="23"/>
        <v xml:space="preserve">  </v>
      </c>
      <c r="Q94" s="82" t="e">
        <f>IF(P94-P93=P93-P92,P94,IF(P95-P93=P93-P92,P95,IF(P94-P93=P93-P91,P94,IF(P95-P93=P93-P91,P95,"-"))))</f>
        <v>#VALUE!</v>
      </c>
      <c r="R94" s="83" t="e">
        <f>VLOOKUP(Q94,STN_TABLE,2,FALSE)</f>
        <v>#VALUE!</v>
      </c>
      <c r="S94" s="83">
        <v>-1</v>
      </c>
      <c r="T94" s="82" t="e">
        <f>R94*S94</f>
        <v>#VALUE!</v>
      </c>
      <c r="U94" s="88">
        <v>-1</v>
      </c>
      <c r="V94" s="82" t="e">
        <f>R94*U94</f>
        <v>#VALUE!</v>
      </c>
      <c r="W94" s="84" t="str">
        <f>CONCATENATE("a'(",Q93,")=")</f>
        <v>a'(  )=</v>
      </c>
      <c r="X94" s="84" t="e">
        <f>2*X92/12*T95</f>
        <v>#VALUE!</v>
      </c>
      <c r="Y94" s="84" t="e">
        <f>CONCATENATE("A(",Q92,")=")</f>
        <v>#VALUE!</v>
      </c>
      <c r="Z94" s="84" t="e">
        <f>VLOOKUP(Q92,STN_TABLE,3,FALSE)</f>
        <v>#VALUE!</v>
      </c>
      <c r="AA94" t="str">
        <f>CONCATENATE("A(",Q93,")=")</f>
        <v>A(  )=</v>
      </c>
      <c r="AB94" t="e">
        <f>X94+Z94</f>
        <v>#VALUE!</v>
      </c>
      <c r="AC94" s="99">
        <f>AC93+1</f>
        <v>14</v>
      </c>
      <c r="AD94" s="100" t="str">
        <f>VLOOKUP(AC94,STN_TABLE_2,2,FALSE)</f>
        <v xml:space="preserve">  </v>
      </c>
      <c r="AE94" s="82" t="str">
        <f>VLOOKUP(AD94,STN_TABLE,2,FALSE)</f>
        <v xml:space="preserve">  </v>
      </c>
      <c r="AF94" s="82">
        <v>2</v>
      </c>
      <c r="AG94" s="83" t="e">
        <f>AE94*AF94</f>
        <v>#VALUE!</v>
      </c>
      <c r="AH94" s="84" t="str">
        <f>CONCATENATE("a'(",AD94,")=")</f>
        <v>a'(  )=</v>
      </c>
      <c r="AI94" s="84" t="e">
        <f>2*AI92/2*AE95</f>
        <v>#VALUE!</v>
      </c>
      <c r="AJ94" s="84" t="str">
        <f>CONCATENATE("A(",AD93,")=")</f>
        <v>A(  )=</v>
      </c>
      <c r="AK94" s="84" t="str">
        <f>VLOOKUP(AD93,STN_TABLE,3,FALSE)</f>
        <v xml:space="preserve"> </v>
      </c>
      <c r="AL94" t="str">
        <f>CONCATENATE("A(",AD94,")=")</f>
        <v>A(  )=</v>
      </c>
      <c r="AM94" t="e">
        <f>AI94+AK94</f>
        <v>#VALUE!</v>
      </c>
      <c r="AO94" s="68" t="str">
        <f>AA94</f>
        <v>A(  )=</v>
      </c>
      <c r="AP94" s="68" t="e">
        <f>VLOOKUP(AO94,Rise_Results,2,FALSE)</f>
        <v>#N/A</v>
      </c>
      <c r="AQ94" s="76" t="e">
        <f>N94</f>
        <v>#VALUE!</v>
      </c>
      <c r="AR94" s="76" t="e">
        <f>IF(OR(AB94&lt;=0,AB95&lt;=0),1/0,AB94)</f>
        <v>#VALUE!</v>
      </c>
      <c r="AS94" s="76" t="e">
        <f>AM94</f>
        <v>#VALUE!</v>
      </c>
      <c r="AT94" t="e">
        <f>IFERROR(AP94,IFERROR(AQ94,IFERROR(AR94,AS94)))</f>
        <v>#VALUE!</v>
      </c>
      <c r="AU94" s="81"/>
    </row>
    <row r="95" spans="1:47" x14ac:dyDescent="0.25">
      <c r="A95" s="84">
        <f>A94+1</f>
        <v>14</v>
      </c>
      <c r="B95" s="84" t="str">
        <f t="shared" si="27"/>
        <v xml:space="preserve">  </v>
      </c>
      <c r="F95" s="82" t="e">
        <f>SUM(F92:F94)</f>
        <v>#VALUE!</v>
      </c>
      <c r="H95" s="82" t="e">
        <f>SUM(H92:H94)</f>
        <v>#VALUE!</v>
      </c>
      <c r="I95" s="84" t="str">
        <f>CONCATENATE("m'(",C94,")=")</f>
        <v>m'(  )=</v>
      </c>
      <c r="J95" s="84" t="e">
        <f>2*(J92*(WLS))/3*H95</f>
        <v>#VALUE!</v>
      </c>
      <c r="K95" s="84" t="e">
        <f>CONCATENATE("M(",C92,")=")</f>
        <v>#VALUE!</v>
      </c>
      <c r="L95" s="84" t="e">
        <f>VLOOKUP(C92,STN_TABLE,4,FALSE)</f>
        <v>#VALUE!</v>
      </c>
      <c r="M95" t="str">
        <f>CONCATENATE("M(",C94,")=")</f>
        <v>M(  )=</v>
      </c>
      <c r="N95" t="e">
        <f>J95+L95</f>
        <v>#VALUE!</v>
      </c>
      <c r="O95" s="99">
        <f>O94+1</f>
        <v>16</v>
      </c>
      <c r="P95" s="99" t="str">
        <f t="shared" si="23"/>
        <v xml:space="preserve">  </v>
      </c>
      <c r="T95" s="89" t="e">
        <f>SUM(T92:T94)</f>
        <v>#VALUE!</v>
      </c>
      <c r="V95" s="82" t="e">
        <f>SUM(V92:V94)</f>
        <v>#VALUE!</v>
      </c>
      <c r="W95" s="84" t="str">
        <f>CONCATENATE("m'(",Q93,")=")</f>
        <v>m'(  )=</v>
      </c>
      <c r="X95" s="84" t="e">
        <f>(2*(X92^2)/24*V95)+(X94*Q92*WLS)</f>
        <v>#VALUE!</v>
      </c>
      <c r="Y95" s="84" t="e">
        <f>CONCATENATE("M(",Q92,")=")</f>
        <v>#VALUE!</v>
      </c>
      <c r="Z95" s="84" t="e">
        <f>VLOOKUP(Q92,STN_TABLE,4,FALSE)</f>
        <v>#VALUE!</v>
      </c>
      <c r="AA95" t="str">
        <f>CONCATENATE("M(",Q93,")=")</f>
        <v>M(  )=</v>
      </c>
      <c r="AB95" t="e">
        <f>X95+Z95</f>
        <v>#VALUE!</v>
      </c>
      <c r="AE95" s="89">
        <f>SUM(AE93:AE94)</f>
        <v>0</v>
      </c>
      <c r="AG95" s="89" t="e">
        <f>SUM(AG93:AG94)</f>
        <v>#VALUE!</v>
      </c>
      <c r="AH95" s="84" t="str">
        <f>CONCATENATE("m'(",AD94,")=")</f>
        <v>m'(  )=</v>
      </c>
      <c r="AI95" s="84" t="e">
        <f>(2*(AI92^2)/6*AG95)+(AI94*AD93*WLS)</f>
        <v>#VALUE!</v>
      </c>
      <c r="AJ95" s="84" t="str">
        <f>CONCATENATE("M(",AD93,")=")</f>
        <v>M(  )=</v>
      </c>
      <c r="AK95" s="84" t="str">
        <f>VLOOKUP(AD93,STN_TABLE,4,FALSE)</f>
        <v xml:space="preserve"> </v>
      </c>
      <c r="AL95" t="str">
        <f>CONCATENATE("M(",AD94,")=")</f>
        <v>M(  )=</v>
      </c>
      <c r="AM95" t="e">
        <f>AI95+AK95</f>
        <v>#VALUE!</v>
      </c>
      <c r="AO95" s="82" t="str">
        <f>AA95</f>
        <v>M(  )=</v>
      </c>
      <c r="AP95" s="82" t="e">
        <f>VLOOKUP(AO95,Rise_Results,2,FALSE)</f>
        <v>#N/A</v>
      </c>
      <c r="AQ95" s="82" t="e">
        <f>N95</f>
        <v>#VALUE!</v>
      </c>
      <c r="AR95" s="82" t="e">
        <f>IF(OR(AB94&lt;=0,AB95&lt;=0),1/0,AB95)</f>
        <v>#VALUE!</v>
      </c>
      <c r="AS95" s="82" t="e">
        <f>AM95</f>
        <v>#VALUE!</v>
      </c>
      <c r="AT95" t="e">
        <f>IFERROR(AP95,IFERROR(AQ95,IFERROR(AR95,AS95)))</f>
        <v>#VALUE!</v>
      </c>
      <c r="AU95" s="81"/>
    </row>
    <row r="96" spans="1:47" x14ac:dyDescent="0.25">
      <c r="A96" s="101">
        <f>A91+1</f>
        <v>11</v>
      </c>
      <c r="B96" s="101">
        <f t="shared" si="27"/>
        <v>6</v>
      </c>
      <c r="O96" s="101">
        <f>O91+1</f>
        <v>13</v>
      </c>
      <c r="P96" s="101" t="str">
        <f t="shared" si="23"/>
        <v xml:space="preserve">  </v>
      </c>
      <c r="AU96" s="81"/>
    </row>
    <row r="97" spans="1:47" x14ac:dyDescent="0.25">
      <c r="A97" s="84">
        <f>A96+1</f>
        <v>12</v>
      </c>
      <c r="B97" s="84">
        <f t="shared" si="27"/>
        <v>6.5</v>
      </c>
      <c r="C97" s="79" t="e">
        <f t="shared" ref="C97" si="41">IF(C98=B99,IF(C99-C98=C98-B98,B98,IF(C99-C98=C98-B97,B97,"#NA")),IF(C98=B98,IF(C99-C98=C98-B97,B97,IF(C99-C98=C98-B96,B96,"#NA")),"#NA"))</f>
        <v>#VALUE!</v>
      </c>
      <c r="D97" s="68" t="e">
        <f>VLOOKUP(C97,STN_TABLE,2,FALSE)</f>
        <v>#VALUE!</v>
      </c>
      <c r="E97" s="102">
        <v>1</v>
      </c>
      <c r="F97" s="68" t="e">
        <f>D97*E97</f>
        <v>#VALUE!</v>
      </c>
      <c r="G97" s="69" t="e">
        <f>C97</f>
        <v>#VALUE!</v>
      </c>
      <c r="H97" s="69" t="e">
        <f>F97*G97</f>
        <v>#VALUE!</v>
      </c>
      <c r="I97" s="6" t="s">
        <v>93</v>
      </c>
      <c r="J97" s="70" t="e">
        <f>IF(OR(D97=0,D98=0,D99=0),"#NA",IF(AND(C99-C98=C98-C97,C98&lt;&gt;C99,C97&lt;&gt;C98,C97&lt;&gt;C99,D99&lt;&gt;0,OR(D97&lt;&gt;0,D98&lt;&gt;0)),WLS*(C99-C98),"#NA"))</f>
        <v>#VALUE!</v>
      </c>
      <c r="O97" s="99">
        <f>O96+1</f>
        <v>14</v>
      </c>
      <c r="P97" s="99" t="str">
        <f t="shared" si="23"/>
        <v xml:space="preserve">  </v>
      </c>
      <c r="Q97" s="68" t="e">
        <f>IF(OR(P99-P98=P98-P97,P100-P98=P98-P97),P97,IF(OR(P99-P98=P98-P96,P100-P98=P98-P96),P96,"-"))</f>
        <v>#VALUE!</v>
      </c>
      <c r="R97" s="69" t="e">
        <f>VLOOKUP(Q97,STN_TABLE,2,FALSE)</f>
        <v>#VALUE!</v>
      </c>
      <c r="S97" s="69">
        <v>5</v>
      </c>
      <c r="T97" s="68" t="e">
        <f>R97*S97</f>
        <v>#VALUE!</v>
      </c>
      <c r="U97" s="79">
        <v>3</v>
      </c>
      <c r="V97" s="68" t="e">
        <f>R97*U97</f>
        <v>#VALUE!</v>
      </c>
      <c r="W97" s="6" t="s">
        <v>93</v>
      </c>
      <c r="X97" s="70" t="e">
        <f>IF(AND(Q99-Q98=Q98-Q97,NOT(AND(Q97=0,Q98=0)),NOT(AND(Q98=0,Q99=0))),WLS*(Q99-Q98),"#NA")</f>
        <v>#VALUE!</v>
      </c>
      <c r="AD97" s="93"/>
      <c r="AH97" s="6" t="s">
        <v>93</v>
      </c>
      <c r="AI97" s="70" t="e">
        <f>WLS*(AD99-AD98)</f>
        <v>#VALUE!</v>
      </c>
      <c r="AU97" s="81"/>
    </row>
    <row r="98" spans="1:47" x14ac:dyDescent="0.25">
      <c r="A98" s="84">
        <f>A97+1</f>
        <v>13</v>
      </c>
      <c r="B98" s="84" t="str">
        <f t="shared" si="27"/>
        <v xml:space="preserve">  </v>
      </c>
      <c r="C98" s="80" t="e">
        <f t="shared" ref="C98" si="42">IF(OR(B100-B99=B99-B98,B100-B99=B99-B97,B100-B99=B99-B96),B99,IF(OR(B100-B98=B98-B97,B100-B98=B98-B96),B98,IF(B100-B97=B97-B96,B97,"#NA")))</f>
        <v>#VALUE!</v>
      </c>
      <c r="D98" s="76" t="e">
        <f>VLOOKUP(C98,STN_TABLE,2,FALSE)</f>
        <v>#VALUE!</v>
      </c>
      <c r="E98" s="81">
        <v>4</v>
      </c>
      <c r="F98" s="76" t="e">
        <f>D98*E98</f>
        <v>#VALUE!</v>
      </c>
      <c r="G98" s="77" t="e">
        <f>C98</f>
        <v>#VALUE!</v>
      </c>
      <c r="H98" s="77" t="e">
        <f>F98*G98</f>
        <v>#VALUE!</v>
      </c>
      <c r="I98" s="495" t="s">
        <v>97</v>
      </c>
      <c r="J98" s="496"/>
      <c r="K98" s="78" t="s">
        <v>98</v>
      </c>
      <c r="L98" s="78"/>
      <c r="M98" s="7" t="s">
        <v>99</v>
      </c>
      <c r="N98" s="7"/>
      <c r="O98" s="99">
        <f>O97+1</f>
        <v>15</v>
      </c>
      <c r="P98" s="99" t="str">
        <f t="shared" si="23"/>
        <v xml:space="preserve">  </v>
      </c>
      <c r="Q98" s="76" t="str">
        <f>P98</f>
        <v xml:space="preserve">  </v>
      </c>
      <c r="R98" s="77" t="str">
        <f>VLOOKUP(Q98,STN_TABLE,2,FALSE)</f>
        <v xml:space="preserve">  </v>
      </c>
      <c r="S98" s="77">
        <v>8</v>
      </c>
      <c r="T98" s="76" t="e">
        <f>R98*S98</f>
        <v>#VALUE!</v>
      </c>
      <c r="U98" s="80">
        <v>10</v>
      </c>
      <c r="V98" s="76" t="e">
        <f>R98*U98</f>
        <v>#VALUE!</v>
      </c>
      <c r="W98" s="496" t="s">
        <v>97</v>
      </c>
      <c r="X98" s="496"/>
      <c r="Y98" s="496" t="s">
        <v>98</v>
      </c>
      <c r="Z98" s="496"/>
      <c r="AA98" s="494" t="s">
        <v>99</v>
      </c>
      <c r="AB98" s="494"/>
      <c r="AC98" s="99">
        <f>AC93+1</f>
        <v>14</v>
      </c>
      <c r="AD98" s="95" t="str">
        <f>VLOOKUP(AC98,STN_TABLE_2,2,FALSE)</f>
        <v xml:space="preserve">  </v>
      </c>
      <c r="AE98" s="68" t="str">
        <f>VLOOKUP(AD98,STN_TABLE,2,FALSE)</f>
        <v xml:space="preserve">  </v>
      </c>
      <c r="AF98" s="68">
        <v>1</v>
      </c>
      <c r="AG98" s="69" t="e">
        <f>AE98*AF98</f>
        <v>#VALUE!</v>
      </c>
      <c r="AH98" s="496" t="s">
        <v>97</v>
      </c>
      <c r="AI98" s="496"/>
      <c r="AJ98" s="496" t="s">
        <v>98</v>
      </c>
      <c r="AK98" s="496"/>
      <c r="AL98" s="494" t="s">
        <v>99</v>
      </c>
      <c r="AM98" s="494"/>
      <c r="AP98" s="86" t="s">
        <v>112</v>
      </c>
      <c r="AQ98" s="89" t="s">
        <v>113</v>
      </c>
      <c r="AR98" s="89" t="s">
        <v>114</v>
      </c>
      <c r="AS98" s="89" t="s">
        <v>115</v>
      </c>
      <c r="AU98" s="81"/>
    </row>
    <row r="99" spans="1:47" x14ac:dyDescent="0.25">
      <c r="A99" s="84">
        <f>A98+1</f>
        <v>14</v>
      </c>
      <c r="B99" s="84" t="str">
        <f t="shared" si="27"/>
        <v xml:space="preserve">  </v>
      </c>
      <c r="C99" s="88" t="str">
        <f t="shared" ref="C99" si="43">B100</f>
        <v xml:space="preserve">  </v>
      </c>
      <c r="D99" s="82" t="str">
        <f>VLOOKUP(C99,STN_TABLE,2,FALSE)</f>
        <v xml:space="preserve">  </v>
      </c>
      <c r="E99" s="92">
        <v>1</v>
      </c>
      <c r="F99" s="82" t="e">
        <f>D99*E99</f>
        <v>#VALUE!</v>
      </c>
      <c r="G99" s="83" t="str">
        <f>C99</f>
        <v xml:space="preserve">  </v>
      </c>
      <c r="H99" s="83" t="e">
        <f>F99*G99</f>
        <v>#VALUE!</v>
      </c>
      <c r="I99" s="84" t="str">
        <f>CONCATENATE("a'(",C99,")=")</f>
        <v>a'(  )=</v>
      </c>
      <c r="J99" s="84" t="e">
        <f>2*J97/3*F100</f>
        <v>#VALUE!</v>
      </c>
      <c r="K99" s="84" t="e">
        <f>CONCATENATE("A(",C97,")=")</f>
        <v>#VALUE!</v>
      </c>
      <c r="L99" s="84" t="e">
        <f>VLOOKUP(C97,STN_TABLE,3,FALSE)</f>
        <v>#VALUE!</v>
      </c>
      <c r="M99" t="str">
        <f>CONCATENATE("A(",C99,")=")</f>
        <v>A(  )=</v>
      </c>
      <c r="N99" t="e">
        <f>J99+L99</f>
        <v>#VALUE!</v>
      </c>
      <c r="O99" s="99">
        <f>O98+1</f>
        <v>16</v>
      </c>
      <c r="P99" s="99" t="str">
        <f t="shared" si="23"/>
        <v xml:space="preserve">  </v>
      </c>
      <c r="Q99" s="82" t="e">
        <f>IF(P99-P98=P98-P97,P99,IF(P100-P98=P98-P97,P100,IF(P99-P98=P98-P96,P99,IF(P100-P98=P98-P96,P100,"-"))))</f>
        <v>#VALUE!</v>
      </c>
      <c r="R99" s="83" t="e">
        <f>VLOOKUP(Q99,STN_TABLE,2,FALSE)</f>
        <v>#VALUE!</v>
      </c>
      <c r="S99" s="83">
        <v>-1</v>
      </c>
      <c r="T99" s="82" t="e">
        <f>R99*S99</f>
        <v>#VALUE!</v>
      </c>
      <c r="U99" s="88">
        <v>-1</v>
      </c>
      <c r="V99" s="82" t="e">
        <f>R99*U99</f>
        <v>#VALUE!</v>
      </c>
      <c r="W99" s="84" t="str">
        <f>CONCATENATE("a'(",Q98,")=")</f>
        <v>a'(  )=</v>
      </c>
      <c r="X99" s="84" t="e">
        <f>2*X97/12*T100</f>
        <v>#VALUE!</v>
      </c>
      <c r="Y99" s="84" t="e">
        <f>CONCATENATE("A(",Q97,")=")</f>
        <v>#VALUE!</v>
      </c>
      <c r="Z99" s="84" t="e">
        <f>VLOOKUP(Q97,STN_TABLE,3,FALSE)</f>
        <v>#VALUE!</v>
      </c>
      <c r="AA99" t="str">
        <f>CONCATENATE("A(",Q98,")=")</f>
        <v>A(  )=</v>
      </c>
      <c r="AB99" t="e">
        <f>X99+Z99</f>
        <v>#VALUE!</v>
      </c>
      <c r="AC99" s="99">
        <f>AC98+1</f>
        <v>15</v>
      </c>
      <c r="AD99" s="100" t="str">
        <f>VLOOKUP(AC99,STN_TABLE_2,2,FALSE)</f>
        <v xml:space="preserve">  </v>
      </c>
      <c r="AE99" s="82" t="str">
        <f>VLOOKUP(AD99,STN_TABLE,2,FALSE)</f>
        <v xml:space="preserve">  </v>
      </c>
      <c r="AF99" s="82">
        <v>2</v>
      </c>
      <c r="AG99" s="83" t="e">
        <f>AE99*AF99</f>
        <v>#VALUE!</v>
      </c>
      <c r="AH99" s="84" t="str">
        <f>CONCATENATE("a'(",AD99,")=")</f>
        <v>a'(  )=</v>
      </c>
      <c r="AI99" s="84" t="e">
        <f>2*AI97/2*AE100</f>
        <v>#VALUE!</v>
      </c>
      <c r="AJ99" s="84" t="str">
        <f>CONCATENATE("A(",AD98,")=")</f>
        <v>A(  )=</v>
      </c>
      <c r="AK99" s="84" t="str">
        <f>VLOOKUP(AD98,STN_TABLE,3,FALSE)</f>
        <v xml:space="preserve"> </v>
      </c>
      <c r="AL99" t="str">
        <f>CONCATENATE("A(",AD99,")=")</f>
        <v>A(  )=</v>
      </c>
      <c r="AM99" t="e">
        <f>AI99+AK99</f>
        <v>#VALUE!</v>
      </c>
      <c r="AO99" s="68" t="str">
        <f>AA99</f>
        <v>A(  )=</v>
      </c>
      <c r="AP99" s="68" t="e">
        <f>VLOOKUP(AO99,Rise_Results,2,FALSE)</f>
        <v>#N/A</v>
      </c>
      <c r="AQ99" s="76" t="e">
        <f>N99</f>
        <v>#VALUE!</v>
      </c>
      <c r="AR99" s="76" t="e">
        <f>IF(OR(AB99&lt;=0,AB100&lt;=0),1/0,AB99)</f>
        <v>#VALUE!</v>
      </c>
      <c r="AS99" s="76" t="e">
        <f>AM99</f>
        <v>#VALUE!</v>
      </c>
      <c r="AT99" t="e">
        <f>IFERROR(AP99,IFERROR(AQ99,IFERROR(AR99,AS99)))</f>
        <v>#VALUE!</v>
      </c>
      <c r="AU99" s="81"/>
    </row>
    <row r="100" spans="1:47" x14ac:dyDescent="0.25">
      <c r="A100" s="84">
        <f>A99+1</f>
        <v>15</v>
      </c>
      <c r="B100" s="84" t="str">
        <f t="shared" si="27"/>
        <v xml:space="preserve">  </v>
      </c>
      <c r="F100" s="82" t="e">
        <f>SUM(F97:F99)</f>
        <v>#VALUE!</v>
      </c>
      <c r="H100" s="82" t="e">
        <f>SUM(H97:H99)</f>
        <v>#VALUE!</v>
      </c>
      <c r="I100" s="84" t="str">
        <f>CONCATENATE("m'(",C99,")=")</f>
        <v>m'(  )=</v>
      </c>
      <c r="J100" s="84" t="e">
        <f>2*(J97*(WLS))/3*H100</f>
        <v>#VALUE!</v>
      </c>
      <c r="K100" s="84" t="e">
        <f>CONCATENATE("M(",C97,")=")</f>
        <v>#VALUE!</v>
      </c>
      <c r="L100" s="84" t="e">
        <f>VLOOKUP(C97,STN_TABLE,4,FALSE)</f>
        <v>#VALUE!</v>
      </c>
      <c r="M100" t="str">
        <f>CONCATENATE("M(",C99,")=")</f>
        <v>M(  )=</v>
      </c>
      <c r="N100" t="e">
        <f>J100+L100</f>
        <v>#VALUE!</v>
      </c>
      <c r="O100" s="99">
        <f>O99+1</f>
        <v>17</v>
      </c>
      <c r="P100" s="99" t="str">
        <f t="shared" ref="P100:P131" si="44">VLOOKUP(O100,STN_TABLE_2,2,FALSE)</f>
        <v xml:space="preserve">  </v>
      </c>
      <c r="T100" s="89" t="e">
        <f>SUM(T97:T99)</f>
        <v>#VALUE!</v>
      </c>
      <c r="V100" s="82" t="e">
        <f>SUM(V97:V99)</f>
        <v>#VALUE!</v>
      </c>
      <c r="W100" s="84" t="str">
        <f>CONCATENATE("m'(",Q98,")=")</f>
        <v>m'(  )=</v>
      </c>
      <c r="X100" s="84" t="e">
        <f>(2*(X97^2)/24*V100)+(X99*Q97*WLS)</f>
        <v>#VALUE!</v>
      </c>
      <c r="Y100" s="84" t="e">
        <f>CONCATENATE("M(",Q97,")=")</f>
        <v>#VALUE!</v>
      </c>
      <c r="Z100" s="84" t="e">
        <f>VLOOKUP(Q97,STN_TABLE,4,FALSE)</f>
        <v>#VALUE!</v>
      </c>
      <c r="AA100" t="str">
        <f>CONCATENATE("M(",Q98,")=")</f>
        <v>M(  )=</v>
      </c>
      <c r="AB100" t="e">
        <f>X100+Z100</f>
        <v>#VALUE!</v>
      </c>
      <c r="AE100" s="89">
        <f>SUM(AE98:AE99)</f>
        <v>0</v>
      </c>
      <c r="AG100" s="89" t="e">
        <f>SUM(AG98:AG99)</f>
        <v>#VALUE!</v>
      </c>
      <c r="AH100" s="84" t="str">
        <f>CONCATENATE("m'(",AD99,")=")</f>
        <v>m'(  )=</v>
      </c>
      <c r="AI100" s="84" t="e">
        <f>(2*(AI97^2)/6*AG100)+(AI99*AD98*WLS)</f>
        <v>#VALUE!</v>
      </c>
      <c r="AJ100" s="84" t="str">
        <f>CONCATENATE("M(",AD98,")=")</f>
        <v>M(  )=</v>
      </c>
      <c r="AK100" s="84" t="str">
        <f>VLOOKUP(AD98,STN_TABLE,4,FALSE)</f>
        <v xml:space="preserve"> </v>
      </c>
      <c r="AL100" t="str">
        <f>CONCATENATE("M(",AD99,")=")</f>
        <v>M(  )=</v>
      </c>
      <c r="AM100" t="e">
        <f>AI100+AK100</f>
        <v>#VALUE!</v>
      </c>
      <c r="AO100" s="82" t="str">
        <f>AA100</f>
        <v>M(  )=</v>
      </c>
      <c r="AP100" s="82" t="e">
        <f>VLOOKUP(AO100,Rise_Results,2,FALSE)</f>
        <v>#N/A</v>
      </c>
      <c r="AQ100" s="82" t="e">
        <f>N100</f>
        <v>#VALUE!</v>
      </c>
      <c r="AR100" s="82" t="e">
        <f>IF(OR(AB99&lt;=0,AB100&lt;=0),1/0,AB100)</f>
        <v>#VALUE!</v>
      </c>
      <c r="AS100" s="82" t="e">
        <f>AM100</f>
        <v>#VALUE!</v>
      </c>
      <c r="AT100" t="e">
        <f>IFERROR(AP100,IFERROR(AQ100,IFERROR(AR100,AS100)))</f>
        <v>#VALUE!</v>
      </c>
      <c r="AU100" s="81"/>
    </row>
    <row r="101" spans="1:47" x14ac:dyDescent="0.25">
      <c r="A101" s="101">
        <f>A96+1</f>
        <v>12</v>
      </c>
      <c r="B101" s="101">
        <f t="shared" si="27"/>
        <v>6.5</v>
      </c>
      <c r="O101" s="101">
        <f>O96+1</f>
        <v>14</v>
      </c>
      <c r="P101" s="101" t="str">
        <f t="shared" si="44"/>
        <v xml:space="preserve">  </v>
      </c>
      <c r="AU101" s="81"/>
    </row>
    <row r="102" spans="1:47" x14ac:dyDescent="0.25">
      <c r="A102" s="84">
        <f>A101+1</f>
        <v>13</v>
      </c>
      <c r="B102" s="84" t="str">
        <f t="shared" si="27"/>
        <v xml:space="preserve">  </v>
      </c>
      <c r="C102" s="79" t="e">
        <f t="shared" ref="C102" si="45">IF(C103=B104,IF(C104-C103=C103-B103,B103,IF(C104-C103=C103-B102,B102,"#NA")),IF(C103=B103,IF(C104-C103=C103-B102,B102,IF(C104-C103=C103-B101,B101,"#NA")),"#NA"))</f>
        <v>#VALUE!</v>
      </c>
      <c r="D102" s="68" t="e">
        <f>VLOOKUP(C102,STN_TABLE,2,FALSE)</f>
        <v>#VALUE!</v>
      </c>
      <c r="E102" s="102">
        <v>1</v>
      </c>
      <c r="F102" s="68" t="e">
        <f>D102*E102</f>
        <v>#VALUE!</v>
      </c>
      <c r="G102" s="69" t="e">
        <f>C102</f>
        <v>#VALUE!</v>
      </c>
      <c r="H102" s="69" t="e">
        <f>F102*G102</f>
        <v>#VALUE!</v>
      </c>
      <c r="I102" s="6" t="s">
        <v>93</v>
      </c>
      <c r="J102" s="70" t="e">
        <f>IF(OR(D102=0,D103=0,D104=0),"#NA",IF(AND(C104-C103=C103-C102,C103&lt;&gt;C104,C102&lt;&gt;C103,C102&lt;&gt;C104,D104&lt;&gt;0,OR(D102&lt;&gt;0,D103&lt;&gt;0)),WLS*(C104-C103),"#NA"))</f>
        <v>#VALUE!</v>
      </c>
      <c r="O102" s="99">
        <f>O101+1</f>
        <v>15</v>
      </c>
      <c r="P102" s="99" t="str">
        <f t="shared" si="44"/>
        <v xml:space="preserve">  </v>
      </c>
      <c r="Q102" s="68" t="e">
        <f>IF(OR(P104-P103=P103-P102,P105-P103=P103-P102),P102,IF(OR(P104-P103=P103-P101,P105-P103=P103-P101),P101,"-"))</f>
        <v>#VALUE!</v>
      </c>
      <c r="R102" s="69" t="e">
        <f>VLOOKUP(Q102,STN_TABLE,2,FALSE)</f>
        <v>#VALUE!</v>
      </c>
      <c r="S102" s="69">
        <v>5</v>
      </c>
      <c r="T102" s="68" t="e">
        <f>R102*S102</f>
        <v>#VALUE!</v>
      </c>
      <c r="U102" s="79">
        <v>3</v>
      </c>
      <c r="V102" s="68" t="e">
        <f>R102*U102</f>
        <v>#VALUE!</v>
      </c>
      <c r="W102" s="6" t="s">
        <v>93</v>
      </c>
      <c r="X102" s="70" t="e">
        <f>IF(AND(Q104-Q103=Q103-Q102,NOT(AND(Q102=0,Q103=0)),NOT(AND(Q103=0,Q104=0))),WLS*(Q104-Q103),"#NA")</f>
        <v>#VALUE!</v>
      </c>
      <c r="AD102" s="93"/>
      <c r="AH102" s="6" t="s">
        <v>93</v>
      </c>
      <c r="AI102" s="70" t="e">
        <f>WLS*(AD104-AD103)</f>
        <v>#VALUE!</v>
      </c>
      <c r="AU102" s="81"/>
    </row>
    <row r="103" spans="1:47" x14ac:dyDescent="0.25">
      <c r="A103" s="84">
        <f>A102+1</f>
        <v>14</v>
      </c>
      <c r="B103" s="84" t="str">
        <f t="shared" si="27"/>
        <v xml:space="preserve">  </v>
      </c>
      <c r="C103" s="80" t="e">
        <f t="shared" ref="C103" si="46">IF(OR(B105-B104=B104-B103,B105-B104=B104-B102,B105-B104=B104-B101),B104,IF(OR(B105-B103=B103-B102,B105-B103=B103-B101),B103,IF(B105-B102=B102-B101,B102,"#NA")))</f>
        <v>#VALUE!</v>
      </c>
      <c r="D103" s="76" t="e">
        <f>VLOOKUP(C103,STN_TABLE,2,FALSE)</f>
        <v>#VALUE!</v>
      </c>
      <c r="E103" s="81">
        <v>4</v>
      </c>
      <c r="F103" s="76" t="e">
        <f>D103*E103</f>
        <v>#VALUE!</v>
      </c>
      <c r="G103" s="77" t="e">
        <f>C103</f>
        <v>#VALUE!</v>
      </c>
      <c r="H103" s="77" t="e">
        <f>F103*G103</f>
        <v>#VALUE!</v>
      </c>
      <c r="I103" s="495" t="s">
        <v>97</v>
      </c>
      <c r="J103" s="496"/>
      <c r="K103" s="78" t="s">
        <v>98</v>
      </c>
      <c r="L103" s="78"/>
      <c r="M103" s="7" t="s">
        <v>99</v>
      </c>
      <c r="N103" s="7"/>
      <c r="O103" s="99">
        <f>O102+1</f>
        <v>16</v>
      </c>
      <c r="P103" s="99" t="str">
        <f t="shared" si="44"/>
        <v xml:space="preserve">  </v>
      </c>
      <c r="Q103" s="76" t="str">
        <f>P103</f>
        <v xml:space="preserve">  </v>
      </c>
      <c r="R103" s="77" t="str">
        <f>VLOOKUP(Q103,STN_TABLE,2,FALSE)</f>
        <v xml:space="preserve">  </v>
      </c>
      <c r="S103" s="77">
        <v>8</v>
      </c>
      <c r="T103" s="76" t="e">
        <f>R103*S103</f>
        <v>#VALUE!</v>
      </c>
      <c r="U103" s="80">
        <v>10</v>
      </c>
      <c r="V103" s="76" t="e">
        <f>R103*U103</f>
        <v>#VALUE!</v>
      </c>
      <c r="W103" s="496" t="s">
        <v>97</v>
      </c>
      <c r="X103" s="496"/>
      <c r="Y103" s="496" t="s">
        <v>98</v>
      </c>
      <c r="Z103" s="496"/>
      <c r="AA103" s="494" t="s">
        <v>99</v>
      </c>
      <c r="AB103" s="494"/>
      <c r="AC103" s="99">
        <f>AC98+1</f>
        <v>15</v>
      </c>
      <c r="AD103" s="95" t="str">
        <f>VLOOKUP(AC103,STN_TABLE_2,2,FALSE)</f>
        <v xml:space="preserve">  </v>
      </c>
      <c r="AE103" s="68" t="str">
        <f>VLOOKUP(AD103,STN_TABLE,2,FALSE)</f>
        <v xml:space="preserve">  </v>
      </c>
      <c r="AF103" s="68">
        <v>1</v>
      </c>
      <c r="AG103" s="69" t="e">
        <f>AE103*AF103</f>
        <v>#VALUE!</v>
      </c>
      <c r="AH103" s="496" t="s">
        <v>97</v>
      </c>
      <c r="AI103" s="496"/>
      <c r="AJ103" s="496" t="s">
        <v>98</v>
      </c>
      <c r="AK103" s="496"/>
      <c r="AL103" s="494" t="s">
        <v>99</v>
      </c>
      <c r="AM103" s="494"/>
      <c r="AP103" s="86" t="s">
        <v>112</v>
      </c>
      <c r="AQ103" s="89" t="s">
        <v>113</v>
      </c>
      <c r="AR103" s="89" t="s">
        <v>114</v>
      </c>
      <c r="AS103" s="89" t="s">
        <v>115</v>
      </c>
      <c r="AU103" s="81"/>
    </row>
    <row r="104" spans="1:47" x14ac:dyDescent="0.25">
      <c r="A104" s="84">
        <f>A103+1</f>
        <v>15</v>
      </c>
      <c r="B104" s="84" t="str">
        <f t="shared" si="27"/>
        <v xml:space="preserve">  </v>
      </c>
      <c r="C104" s="88" t="str">
        <f t="shared" ref="C104" si="47">B105</f>
        <v xml:space="preserve">  </v>
      </c>
      <c r="D104" s="82" t="str">
        <f>VLOOKUP(C104,STN_TABLE,2,FALSE)</f>
        <v xml:space="preserve">  </v>
      </c>
      <c r="E104" s="92">
        <v>1</v>
      </c>
      <c r="F104" s="82" t="e">
        <f>D104*E104</f>
        <v>#VALUE!</v>
      </c>
      <c r="G104" s="83" t="str">
        <f>C104</f>
        <v xml:space="preserve">  </v>
      </c>
      <c r="H104" s="83" t="e">
        <f>F104*G104</f>
        <v>#VALUE!</v>
      </c>
      <c r="I104" s="84" t="str">
        <f>CONCATENATE("a'(",C104,")=")</f>
        <v>a'(  )=</v>
      </c>
      <c r="J104" s="84" t="e">
        <f>2*J102/3*F105</f>
        <v>#VALUE!</v>
      </c>
      <c r="K104" s="84" t="e">
        <f>CONCATENATE("A(",C102,")=")</f>
        <v>#VALUE!</v>
      </c>
      <c r="L104" s="84" t="e">
        <f>VLOOKUP(C102,STN_TABLE,3,FALSE)</f>
        <v>#VALUE!</v>
      </c>
      <c r="M104" t="str">
        <f>CONCATENATE("A(",C104,")=")</f>
        <v>A(  )=</v>
      </c>
      <c r="N104" t="e">
        <f>J104+L104</f>
        <v>#VALUE!</v>
      </c>
      <c r="O104" s="99">
        <f>O103+1</f>
        <v>17</v>
      </c>
      <c r="P104" s="99" t="str">
        <f t="shared" si="44"/>
        <v xml:space="preserve">  </v>
      </c>
      <c r="Q104" s="82" t="e">
        <f>IF(P104-P103=P103-P102,P104,IF(P105-P103=P103-P102,P105,IF(P104-P103=P103-P101,P104,IF(P105-P103=P103-P101,P105,"-"))))</f>
        <v>#VALUE!</v>
      </c>
      <c r="R104" s="83" t="e">
        <f>VLOOKUP(Q104,STN_TABLE,2,FALSE)</f>
        <v>#VALUE!</v>
      </c>
      <c r="S104" s="83">
        <v>-1</v>
      </c>
      <c r="T104" s="82" t="e">
        <f>R104*S104</f>
        <v>#VALUE!</v>
      </c>
      <c r="U104" s="88">
        <v>-1</v>
      </c>
      <c r="V104" s="82" t="e">
        <f>R104*U104</f>
        <v>#VALUE!</v>
      </c>
      <c r="W104" s="84" t="str">
        <f>CONCATENATE("a'(",Q103,")=")</f>
        <v>a'(  )=</v>
      </c>
      <c r="X104" s="84" t="e">
        <f>2*X102/12*T105</f>
        <v>#VALUE!</v>
      </c>
      <c r="Y104" s="84" t="e">
        <f>CONCATENATE("A(",Q102,")=")</f>
        <v>#VALUE!</v>
      </c>
      <c r="Z104" s="84" t="e">
        <f>VLOOKUP(Q102,STN_TABLE,3,FALSE)</f>
        <v>#VALUE!</v>
      </c>
      <c r="AA104" t="str">
        <f>CONCATENATE("A(",Q103,")=")</f>
        <v>A(  )=</v>
      </c>
      <c r="AB104" t="e">
        <f>X104+Z104</f>
        <v>#VALUE!</v>
      </c>
      <c r="AC104" s="99">
        <f>AC103+1</f>
        <v>16</v>
      </c>
      <c r="AD104" s="100" t="str">
        <f>VLOOKUP(AC104,STN_TABLE_2,2,FALSE)</f>
        <v xml:space="preserve">  </v>
      </c>
      <c r="AE104" s="82" t="str">
        <f>VLOOKUP(AD104,STN_TABLE,2,FALSE)</f>
        <v xml:space="preserve">  </v>
      </c>
      <c r="AF104" s="82">
        <v>2</v>
      </c>
      <c r="AG104" s="83" t="e">
        <f>AE104*AF104</f>
        <v>#VALUE!</v>
      </c>
      <c r="AH104" s="84" t="str">
        <f>CONCATENATE("a'(",AD104,")=")</f>
        <v>a'(  )=</v>
      </c>
      <c r="AI104" s="84" t="e">
        <f>2*AI102/2*AE105</f>
        <v>#VALUE!</v>
      </c>
      <c r="AJ104" s="84" t="str">
        <f>CONCATENATE("A(",AD103,")=")</f>
        <v>A(  )=</v>
      </c>
      <c r="AK104" s="84" t="str">
        <f>VLOOKUP(AD103,STN_TABLE,3,FALSE)</f>
        <v xml:space="preserve"> </v>
      </c>
      <c r="AL104" t="str">
        <f>CONCATENATE("A(",AD104,")=")</f>
        <v>A(  )=</v>
      </c>
      <c r="AM104" t="e">
        <f>AI104+AK104</f>
        <v>#VALUE!</v>
      </c>
      <c r="AO104" s="68" t="str">
        <f>AA104</f>
        <v>A(  )=</v>
      </c>
      <c r="AP104" s="68" t="e">
        <f>VLOOKUP(AO104,Rise_Results,2,FALSE)</f>
        <v>#N/A</v>
      </c>
      <c r="AQ104" s="76" t="e">
        <f>N104</f>
        <v>#VALUE!</v>
      </c>
      <c r="AR104" s="76" t="e">
        <f>IF(OR(AB104&lt;=0,AB105&lt;=0),1/0,AB104)</f>
        <v>#VALUE!</v>
      </c>
      <c r="AS104" s="76" t="e">
        <f>AM104</f>
        <v>#VALUE!</v>
      </c>
      <c r="AT104" t="e">
        <f>IFERROR(AP104,IFERROR(AQ104,IFERROR(AR104,AS104)))</f>
        <v>#VALUE!</v>
      </c>
      <c r="AU104" s="81"/>
    </row>
    <row r="105" spans="1:47" x14ac:dyDescent="0.25">
      <c r="A105" s="84">
        <f>A104+1</f>
        <v>16</v>
      </c>
      <c r="B105" s="84" t="str">
        <f t="shared" si="27"/>
        <v xml:space="preserve">  </v>
      </c>
      <c r="F105" s="82" t="e">
        <f>SUM(F102:F104)</f>
        <v>#VALUE!</v>
      </c>
      <c r="H105" s="82" t="e">
        <f>SUM(H102:H104)</f>
        <v>#VALUE!</v>
      </c>
      <c r="I105" s="84" t="str">
        <f>CONCATENATE("m'(",C104,")=")</f>
        <v>m'(  )=</v>
      </c>
      <c r="J105" s="84" t="e">
        <f>2*(J102*(WLS))/3*H105</f>
        <v>#VALUE!</v>
      </c>
      <c r="K105" s="84" t="e">
        <f>CONCATENATE("M(",C102,")=")</f>
        <v>#VALUE!</v>
      </c>
      <c r="L105" s="84" t="e">
        <f>VLOOKUP(C102,STN_TABLE,4,FALSE)</f>
        <v>#VALUE!</v>
      </c>
      <c r="M105" t="str">
        <f>CONCATENATE("M(",C104,")=")</f>
        <v>M(  )=</v>
      </c>
      <c r="N105" t="e">
        <f>J105+L105</f>
        <v>#VALUE!</v>
      </c>
      <c r="O105" s="99">
        <f>O104+1</f>
        <v>18</v>
      </c>
      <c r="P105" s="99" t="str">
        <f t="shared" si="44"/>
        <v xml:space="preserve">  </v>
      </c>
      <c r="T105" s="89" t="e">
        <f>SUM(T102:T104)</f>
        <v>#VALUE!</v>
      </c>
      <c r="V105" s="82" t="e">
        <f>SUM(V102:V104)</f>
        <v>#VALUE!</v>
      </c>
      <c r="W105" s="84" t="str">
        <f>CONCATENATE("m'(",Q103,")=")</f>
        <v>m'(  )=</v>
      </c>
      <c r="X105" s="84" t="e">
        <f>(2*(X102^2)/24*V105)+(X104*Q102*WLS)</f>
        <v>#VALUE!</v>
      </c>
      <c r="Y105" s="84" t="e">
        <f>CONCATENATE("M(",Q102,")=")</f>
        <v>#VALUE!</v>
      </c>
      <c r="Z105" s="84" t="e">
        <f>VLOOKUP(Q102,STN_TABLE,4,FALSE)</f>
        <v>#VALUE!</v>
      </c>
      <c r="AA105" t="str">
        <f>CONCATENATE("M(",Q103,")=")</f>
        <v>M(  )=</v>
      </c>
      <c r="AB105" t="e">
        <f>X105+Z105</f>
        <v>#VALUE!</v>
      </c>
      <c r="AE105" s="89">
        <f>SUM(AE103:AE104)</f>
        <v>0</v>
      </c>
      <c r="AG105" s="89" t="e">
        <f>SUM(AG103:AG104)</f>
        <v>#VALUE!</v>
      </c>
      <c r="AH105" s="84" t="str">
        <f>CONCATENATE("m'(",AD104,")=")</f>
        <v>m'(  )=</v>
      </c>
      <c r="AI105" s="84" t="e">
        <f>(2*(AI102^2)/6*AG105)+(AI104*AD103*WLS)</f>
        <v>#VALUE!</v>
      </c>
      <c r="AJ105" s="84" t="str">
        <f>CONCATENATE("M(",AD103,")=")</f>
        <v>M(  )=</v>
      </c>
      <c r="AK105" s="84" t="str">
        <f>VLOOKUP(AD103,STN_TABLE,4,FALSE)</f>
        <v xml:space="preserve"> </v>
      </c>
      <c r="AL105" t="str">
        <f>CONCATENATE("M(",AD104,")=")</f>
        <v>M(  )=</v>
      </c>
      <c r="AM105" t="e">
        <f>AI105+AK105</f>
        <v>#VALUE!</v>
      </c>
      <c r="AO105" s="82" t="str">
        <f>AA105</f>
        <v>M(  )=</v>
      </c>
      <c r="AP105" s="82" t="e">
        <f>VLOOKUP(AO105,Rise_Results,2,FALSE)</f>
        <v>#N/A</v>
      </c>
      <c r="AQ105" s="82" t="e">
        <f>N105</f>
        <v>#VALUE!</v>
      </c>
      <c r="AR105" s="82" t="e">
        <f>IF(OR(AB104&lt;=0,AB105&lt;=0),1/0,AB105)</f>
        <v>#VALUE!</v>
      </c>
      <c r="AS105" s="82" t="e">
        <f>AM105</f>
        <v>#VALUE!</v>
      </c>
      <c r="AT105" t="e">
        <f>IFERROR(AP105,IFERROR(AQ105,IFERROR(AR105,AS105)))</f>
        <v>#VALUE!</v>
      </c>
      <c r="AU105" s="81"/>
    </row>
    <row r="106" spans="1:47" x14ac:dyDescent="0.25">
      <c r="A106" s="101">
        <f>A101+1</f>
        <v>13</v>
      </c>
      <c r="B106" s="101" t="str">
        <f t="shared" ref="B106:B137" si="48">VLOOKUP(A106,STN_TABLE_2,2,FALSE)</f>
        <v xml:space="preserve">  </v>
      </c>
      <c r="O106" s="101">
        <f>O101+1</f>
        <v>15</v>
      </c>
      <c r="P106" s="101" t="str">
        <f t="shared" si="44"/>
        <v xml:space="preserve">  </v>
      </c>
      <c r="AU106" s="81"/>
    </row>
    <row r="107" spans="1:47" x14ac:dyDescent="0.25">
      <c r="A107" s="84">
        <f>A106+1</f>
        <v>14</v>
      </c>
      <c r="B107" s="84" t="str">
        <f t="shared" si="48"/>
        <v xml:space="preserve">  </v>
      </c>
      <c r="C107" s="79" t="e">
        <f t="shared" ref="C107" si="49">IF(C108=B109,IF(C109-C108=C108-B108,B108,IF(C109-C108=C108-B107,B107,"#NA")),IF(C108=B108,IF(C109-C108=C108-B107,B107,IF(C109-C108=C108-B106,B106,"#NA")),"#NA"))</f>
        <v>#VALUE!</v>
      </c>
      <c r="D107" s="68" t="e">
        <f>VLOOKUP(C107,STN_TABLE,2,FALSE)</f>
        <v>#VALUE!</v>
      </c>
      <c r="E107" s="102">
        <v>1</v>
      </c>
      <c r="F107" s="68" t="e">
        <f>D107*E107</f>
        <v>#VALUE!</v>
      </c>
      <c r="G107" s="69" t="e">
        <f>C107</f>
        <v>#VALUE!</v>
      </c>
      <c r="H107" s="69" t="e">
        <f>F107*G107</f>
        <v>#VALUE!</v>
      </c>
      <c r="I107" s="6" t="s">
        <v>93</v>
      </c>
      <c r="J107" s="70" t="e">
        <f>IF(OR(D107=0,D108=0,D109=0),"#NA",IF(AND(C109-C108=C108-C107,C108&lt;&gt;C109,C107&lt;&gt;C108,C107&lt;&gt;C109,D109&lt;&gt;0,OR(D107&lt;&gt;0,D108&lt;&gt;0)),WLS*(C109-C108),"#NA"))</f>
        <v>#VALUE!</v>
      </c>
      <c r="O107" s="99">
        <f>O106+1</f>
        <v>16</v>
      </c>
      <c r="P107" s="99" t="str">
        <f t="shared" si="44"/>
        <v xml:space="preserve">  </v>
      </c>
      <c r="Q107" s="68" t="e">
        <f>IF(OR(P109-P108=P108-P107,P110-P108=P108-P107),P107,IF(OR(P109-P108=P108-P106,P110-P108=P108-P106),P106,"-"))</f>
        <v>#VALUE!</v>
      </c>
      <c r="R107" s="69" t="e">
        <f>VLOOKUP(Q107,STN_TABLE,2,FALSE)</f>
        <v>#VALUE!</v>
      </c>
      <c r="S107" s="69">
        <v>5</v>
      </c>
      <c r="T107" s="68" t="e">
        <f>R107*S107</f>
        <v>#VALUE!</v>
      </c>
      <c r="U107" s="79">
        <v>3</v>
      </c>
      <c r="V107" s="68" t="e">
        <f>R107*U107</f>
        <v>#VALUE!</v>
      </c>
      <c r="W107" s="6" t="s">
        <v>93</v>
      </c>
      <c r="X107" s="70" t="e">
        <f>IF(AND(Q109-Q108=Q108-Q107,NOT(AND(Q107=0,Q108=0)),NOT(AND(Q108=0,Q109=0))),WLS*(Q109-Q108),"#NA")</f>
        <v>#VALUE!</v>
      </c>
      <c r="AD107" s="93"/>
      <c r="AH107" s="6" t="s">
        <v>93</v>
      </c>
      <c r="AI107" s="70" t="e">
        <f>WLS*(AD109-AD108)</f>
        <v>#VALUE!</v>
      </c>
      <c r="AU107" s="81"/>
    </row>
    <row r="108" spans="1:47" x14ac:dyDescent="0.25">
      <c r="A108" s="84">
        <f>A107+1</f>
        <v>15</v>
      </c>
      <c r="B108" s="84" t="str">
        <f t="shared" si="48"/>
        <v xml:space="preserve">  </v>
      </c>
      <c r="C108" s="80" t="e">
        <f t="shared" ref="C108" si="50">IF(OR(B110-B109=B109-B108,B110-B109=B109-B107,B110-B109=B109-B106),B109,IF(OR(B110-B108=B108-B107,B110-B108=B108-B106),B108,IF(B110-B107=B107-B106,B107,"#NA")))</f>
        <v>#VALUE!</v>
      </c>
      <c r="D108" s="76" t="e">
        <f>VLOOKUP(C108,STN_TABLE,2,FALSE)</f>
        <v>#VALUE!</v>
      </c>
      <c r="E108" s="81">
        <v>4</v>
      </c>
      <c r="F108" s="76" t="e">
        <f>D108*E108</f>
        <v>#VALUE!</v>
      </c>
      <c r="G108" s="77" t="e">
        <f>C108</f>
        <v>#VALUE!</v>
      </c>
      <c r="H108" s="77" t="e">
        <f>F108*G108</f>
        <v>#VALUE!</v>
      </c>
      <c r="I108" s="495" t="s">
        <v>97</v>
      </c>
      <c r="J108" s="496"/>
      <c r="K108" s="78" t="s">
        <v>98</v>
      </c>
      <c r="L108" s="78"/>
      <c r="M108" s="7" t="s">
        <v>99</v>
      </c>
      <c r="N108" s="7"/>
      <c r="O108" s="99">
        <f>O107+1</f>
        <v>17</v>
      </c>
      <c r="P108" s="99" t="str">
        <f t="shared" si="44"/>
        <v xml:space="preserve">  </v>
      </c>
      <c r="Q108" s="76" t="str">
        <f>P108</f>
        <v xml:space="preserve">  </v>
      </c>
      <c r="R108" s="77" t="str">
        <f>VLOOKUP(Q108,STN_TABLE,2,FALSE)</f>
        <v xml:space="preserve">  </v>
      </c>
      <c r="S108" s="77">
        <v>8</v>
      </c>
      <c r="T108" s="76" t="e">
        <f>R108*S108</f>
        <v>#VALUE!</v>
      </c>
      <c r="U108" s="80">
        <v>10</v>
      </c>
      <c r="V108" s="76" t="e">
        <f>R108*U108</f>
        <v>#VALUE!</v>
      </c>
      <c r="W108" s="496" t="s">
        <v>97</v>
      </c>
      <c r="X108" s="496"/>
      <c r="Y108" s="496" t="s">
        <v>98</v>
      </c>
      <c r="Z108" s="496"/>
      <c r="AA108" s="494" t="s">
        <v>99</v>
      </c>
      <c r="AB108" s="494"/>
      <c r="AC108" s="99">
        <f>AC103+1</f>
        <v>16</v>
      </c>
      <c r="AD108" s="95" t="str">
        <f>VLOOKUP(AC108,STN_TABLE_2,2,FALSE)</f>
        <v xml:space="preserve">  </v>
      </c>
      <c r="AE108" s="68" t="str">
        <f>VLOOKUP(AD108,STN_TABLE,2,FALSE)</f>
        <v xml:space="preserve">  </v>
      </c>
      <c r="AF108" s="68">
        <v>1</v>
      </c>
      <c r="AG108" s="69" t="e">
        <f>AE108*AF108</f>
        <v>#VALUE!</v>
      </c>
      <c r="AH108" s="496" t="s">
        <v>97</v>
      </c>
      <c r="AI108" s="496"/>
      <c r="AJ108" s="496" t="s">
        <v>98</v>
      </c>
      <c r="AK108" s="496"/>
      <c r="AL108" s="494" t="s">
        <v>99</v>
      </c>
      <c r="AM108" s="494"/>
      <c r="AP108" s="86" t="s">
        <v>112</v>
      </c>
      <c r="AQ108" s="89" t="s">
        <v>113</v>
      </c>
      <c r="AR108" s="89" t="s">
        <v>114</v>
      </c>
      <c r="AS108" s="89" t="s">
        <v>115</v>
      </c>
      <c r="AU108" s="81"/>
    </row>
    <row r="109" spans="1:47" x14ac:dyDescent="0.25">
      <c r="A109" s="84">
        <f>A108+1</f>
        <v>16</v>
      </c>
      <c r="B109" s="84" t="str">
        <f t="shared" si="48"/>
        <v xml:space="preserve">  </v>
      </c>
      <c r="C109" s="88" t="str">
        <f t="shared" ref="C109" si="51">B110</f>
        <v xml:space="preserve">  </v>
      </c>
      <c r="D109" s="82" t="str">
        <f>VLOOKUP(C109,STN_TABLE,2,FALSE)</f>
        <v xml:space="preserve">  </v>
      </c>
      <c r="E109" s="92">
        <v>1</v>
      </c>
      <c r="F109" s="82" t="e">
        <f>D109*E109</f>
        <v>#VALUE!</v>
      </c>
      <c r="G109" s="83" t="str">
        <f>C109</f>
        <v xml:space="preserve">  </v>
      </c>
      <c r="H109" s="83" t="e">
        <f>F109*G109</f>
        <v>#VALUE!</v>
      </c>
      <c r="I109" s="84" t="str">
        <f>CONCATENATE("a'(",C109,")=")</f>
        <v>a'(  )=</v>
      </c>
      <c r="J109" s="84" t="e">
        <f>2*J107/3*F110</f>
        <v>#VALUE!</v>
      </c>
      <c r="K109" s="84" t="e">
        <f>CONCATENATE("A(",C107,")=")</f>
        <v>#VALUE!</v>
      </c>
      <c r="L109" s="84" t="e">
        <f>VLOOKUP(C107,STN_TABLE,3,FALSE)</f>
        <v>#VALUE!</v>
      </c>
      <c r="M109" t="str">
        <f>CONCATENATE("A(",C109,")=")</f>
        <v>A(  )=</v>
      </c>
      <c r="N109" t="e">
        <f>J109+L109</f>
        <v>#VALUE!</v>
      </c>
      <c r="O109" s="99">
        <f>O108+1</f>
        <v>18</v>
      </c>
      <c r="P109" s="99" t="str">
        <f t="shared" si="44"/>
        <v xml:space="preserve">  </v>
      </c>
      <c r="Q109" s="82" t="e">
        <f>IF(P109-P108=P108-P107,P109,IF(P110-P108=P108-P107,P110,IF(P109-P108=P108-P106,P109,IF(P110-P108=P108-P106,P110,"-"))))</f>
        <v>#VALUE!</v>
      </c>
      <c r="R109" s="83" t="e">
        <f>VLOOKUP(Q109,STN_TABLE,2,FALSE)</f>
        <v>#VALUE!</v>
      </c>
      <c r="S109" s="83">
        <v>-1</v>
      </c>
      <c r="T109" s="82" t="e">
        <f>R109*S109</f>
        <v>#VALUE!</v>
      </c>
      <c r="U109" s="88">
        <v>-1</v>
      </c>
      <c r="V109" s="82" t="e">
        <f>R109*U109</f>
        <v>#VALUE!</v>
      </c>
      <c r="W109" s="84" t="str">
        <f>CONCATENATE("a'(",Q108,")=")</f>
        <v>a'(  )=</v>
      </c>
      <c r="X109" s="84" t="e">
        <f>2*X107/12*T110</f>
        <v>#VALUE!</v>
      </c>
      <c r="Y109" s="84" t="e">
        <f>CONCATENATE("A(",Q107,")=")</f>
        <v>#VALUE!</v>
      </c>
      <c r="Z109" s="84" t="e">
        <f>VLOOKUP(Q107,STN_TABLE,3,FALSE)</f>
        <v>#VALUE!</v>
      </c>
      <c r="AA109" t="str">
        <f>CONCATENATE("A(",Q108,")=")</f>
        <v>A(  )=</v>
      </c>
      <c r="AB109" t="e">
        <f>X109+Z109</f>
        <v>#VALUE!</v>
      </c>
      <c r="AC109" s="99">
        <f>AC108+1</f>
        <v>17</v>
      </c>
      <c r="AD109" s="100" t="str">
        <f>VLOOKUP(AC109,STN_TABLE_2,2,FALSE)</f>
        <v xml:space="preserve">  </v>
      </c>
      <c r="AE109" s="82" t="str">
        <f>VLOOKUP(AD109,STN_TABLE,2,FALSE)</f>
        <v xml:space="preserve">  </v>
      </c>
      <c r="AF109" s="82">
        <v>2</v>
      </c>
      <c r="AG109" s="83" t="e">
        <f>AE109*AF109</f>
        <v>#VALUE!</v>
      </c>
      <c r="AH109" s="84" t="str">
        <f>CONCATENATE("a'(",AD109,")=")</f>
        <v>a'(  )=</v>
      </c>
      <c r="AI109" s="84" t="e">
        <f>2*AI107/2*AE110</f>
        <v>#VALUE!</v>
      </c>
      <c r="AJ109" s="84" t="str">
        <f>CONCATENATE("A(",AD108,")=")</f>
        <v>A(  )=</v>
      </c>
      <c r="AK109" s="84" t="str">
        <f>VLOOKUP(AD108,STN_TABLE,3,FALSE)</f>
        <v xml:space="preserve"> </v>
      </c>
      <c r="AL109" t="str">
        <f>CONCATENATE("A(",AD109,")=")</f>
        <v>A(  )=</v>
      </c>
      <c r="AM109" t="e">
        <f>AI109+AK109</f>
        <v>#VALUE!</v>
      </c>
      <c r="AO109" s="68" t="str">
        <f>AA109</f>
        <v>A(  )=</v>
      </c>
      <c r="AP109" s="68" t="e">
        <f>VLOOKUP(AO109,Rise_Results,2,FALSE)</f>
        <v>#N/A</v>
      </c>
      <c r="AQ109" s="76" t="e">
        <f>N109</f>
        <v>#VALUE!</v>
      </c>
      <c r="AR109" s="76" t="e">
        <f>IF(OR(AB109&lt;=0,AB110&lt;=0),1/0,AB109)</f>
        <v>#VALUE!</v>
      </c>
      <c r="AS109" s="76" t="e">
        <f>AM109</f>
        <v>#VALUE!</v>
      </c>
      <c r="AT109" t="e">
        <f>IFERROR(AP109,IFERROR(AQ109,IFERROR(AR109,AS109)))</f>
        <v>#VALUE!</v>
      </c>
      <c r="AU109" s="81"/>
    </row>
    <row r="110" spans="1:47" x14ac:dyDescent="0.25">
      <c r="A110" s="84">
        <f>A109+1</f>
        <v>17</v>
      </c>
      <c r="B110" s="84" t="str">
        <f t="shared" si="48"/>
        <v xml:space="preserve">  </v>
      </c>
      <c r="F110" s="82" t="e">
        <f>SUM(F107:F109)</f>
        <v>#VALUE!</v>
      </c>
      <c r="H110" s="82" t="e">
        <f>SUM(H107:H109)</f>
        <v>#VALUE!</v>
      </c>
      <c r="I110" s="84" t="str">
        <f>CONCATENATE("m'(",C109,")=")</f>
        <v>m'(  )=</v>
      </c>
      <c r="J110" s="84" t="e">
        <f>2*(J107*(WLS))/3*H110</f>
        <v>#VALUE!</v>
      </c>
      <c r="K110" s="84" t="e">
        <f>CONCATENATE("M(",C107,")=")</f>
        <v>#VALUE!</v>
      </c>
      <c r="L110" s="84" t="e">
        <f>VLOOKUP(C107,STN_TABLE,4,FALSE)</f>
        <v>#VALUE!</v>
      </c>
      <c r="M110" t="str">
        <f>CONCATENATE("M(",C109,")=")</f>
        <v>M(  )=</v>
      </c>
      <c r="N110" t="e">
        <f>J110+L110</f>
        <v>#VALUE!</v>
      </c>
      <c r="O110" s="99">
        <f>O109+1</f>
        <v>19</v>
      </c>
      <c r="P110" s="99" t="str">
        <f t="shared" si="44"/>
        <v xml:space="preserve">  </v>
      </c>
      <c r="T110" s="89" t="e">
        <f>SUM(T107:T109)</f>
        <v>#VALUE!</v>
      </c>
      <c r="V110" s="82" t="e">
        <f>SUM(V107:V109)</f>
        <v>#VALUE!</v>
      </c>
      <c r="W110" s="84" t="str">
        <f>CONCATENATE("m'(",Q108,")=")</f>
        <v>m'(  )=</v>
      </c>
      <c r="X110" s="84" t="e">
        <f>(2*(X107^2)/24*V110)+(X109*Q107*WLS)</f>
        <v>#VALUE!</v>
      </c>
      <c r="Y110" s="84" t="e">
        <f>CONCATENATE("M(",Q107,")=")</f>
        <v>#VALUE!</v>
      </c>
      <c r="Z110" s="84" t="e">
        <f>VLOOKUP(Q107,STN_TABLE,4,FALSE)</f>
        <v>#VALUE!</v>
      </c>
      <c r="AA110" t="str">
        <f>CONCATENATE("M(",Q108,")=")</f>
        <v>M(  )=</v>
      </c>
      <c r="AB110" t="e">
        <f>X110+Z110</f>
        <v>#VALUE!</v>
      </c>
      <c r="AE110" s="89">
        <f>SUM(AE108:AE109)</f>
        <v>0</v>
      </c>
      <c r="AG110" s="89" t="e">
        <f>SUM(AG108:AG109)</f>
        <v>#VALUE!</v>
      </c>
      <c r="AH110" s="84" t="str">
        <f>CONCATENATE("m'(",AD109,")=")</f>
        <v>m'(  )=</v>
      </c>
      <c r="AI110" s="84" t="e">
        <f>(2*(AI107^2)/6*AG110)+(AI109*AD108*WLS)</f>
        <v>#VALUE!</v>
      </c>
      <c r="AJ110" s="84" t="str">
        <f>CONCATENATE("M(",AD108,")=")</f>
        <v>M(  )=</v>
      </c>
      <c r="AK110" s="84" t="str">
        <f>VLOOKUP(AD108,STN_TABLE,4,FALSE)</f>
        <v xml:space="preserve"> </v>
      </c>
      <c r="AL110" t="str">
        <f>CONCATENATE("M(",AD109,")=")</f>
        <v>M(  )=</v>
      </c>
      <c r="AM110" t="e">
        <f>AI110+AK110</f>
        <v>#VALUE!</v>
      </c>
      <c r="AO110" s="82" t="str">
        <f>AA110</f>
        <v>M(  )=</v>
      </c>
      <c r="AP110" s="82" t="e">
        <f>VLOOKUP(AO110,Rise_Results,2,FALSE)</f>
        <v>#N/A</v>
      </c>
      <c r="AQ110" s="82" t="e">
        <f>N110</f>
        <v>#VALUE!</v>
      </c>
      <c r="AR110" s="82" t="e">
        <f>IF(OR(AB109&lt;=0,AB110&lt;=0),1/0,AB110)</f>
        <v>#VALUE!</v>
      </c>
      <c r="AS110" s="82" t="e">
        <f>AM110</f>
        <v>#VALUE!</v>
      </c>
      <c r="AT110" t="e">
        <f>IFERROR(AP110,IFERROR(AQ110,IFERROR(AR110,AS110)))</f>
        <v>#VALUE!</v>
      </c>
      <c r="AU110" s="81"/>
    </row>
    <row r="111" spans="1:47" x14ac:dyDescent="0.25">
      <c r="A111" s="101">
        <f>A106+1</f>
        <v>14</v>
      </c>
      <c r="B111" s="101" t="str">
        <f t="shared" si="48"/>
        <v xml:space="preserve">  </v>
      </c>
      <c r="O111" s="101">
        <f>O106+1</f>
        <v>16</v>
      </c>
      <c r="P111" s="101" t="str">
        <f t="shared" si="44"/>
        <v xml:space="preserve">  </v>
      </c>
      <c r="AU111" s="81"/>
    </row>
    <row r="112" spans="1:47" x14ac:dyDescent="0.25">
      <c r="A112" s="84">
        <f>A111+1</f>
        <v>15</v>
      </c>
      <c r="B112" s="84" t="str">
        <f t="shared" si="48"/>
        <v xml:space="preserve">  </v>
      </c>
      <c r="C112" s="79" t="e">
        <f t="shared" ref="C112" si="52">IF(C113=B114,IF(C114-C113=C113-B113,B113,IF(C114-C113=C113-B112,B112,"#NA")),IF(C113=B113,IF(C114-C113=C113-B112,B112,IF(C114-C113=C113-B111,B111,"#NA")),"#NA"))</f>
        <v>#VALUE!</v>
      </c>
      <c r="D112" s="68" t="e">
        <f>VLOOKUP(C112,STN_TABLE,2,FALSE)</f>
        <v>#VALUE!</v>
      </c>
      <c r="E112" s="102">
        <v>1</v>
      </c>
      <c r="F112" s="68" t="e">
        <f>D112*E112</f>
        <v>#VALUE!</v>
      </c>
      <c r="G112" s="69" t="e">
        <f>C112</f>
        <v>#VALUE!</v>
      </c>
      <c r="H112" s="69" t="e">
        <f>F112*G112</f>
        <v>#VALUE!</v>
      </c>
      <c r="I112" s="6" t="s">
        <v>93</v>
      </c>
      <c r="J112" s="70" t="e">
        <f>IF(OR(D112=0,D113=0,D114=0),"#NA",IF(AND(C114-C113=C113-C112,C113&lt;&gt;C114,C112&lt;&gt;C113,C112&lt;&gt;C114,D114&lt;&gt;0,OR(D112&lt;&gt;0,D113&lt;&gt;0)),WLS*(C114-C113),"#NA"))</f>
        <v>#VALUE!</v>
      </c>
      <c r="O112" s="99">
        <f>O111+1</f>
        <v>17</v>
      </c>
      <c r="P112" s="99" t="str">
        <f t="shared" si="44"/>
        <v xml:space="preserve">  </v>
      </c>
      <c r="Q112" s="68" t="e">
        <f>IF(OR(P114-P113=P113-P112,P115-P113=P113-P112),P112,IF(OR(P114-P113=P113-P111,P115-P113=P113-P111),P111,"-"))</f>
        <v>#VALUE!</v>
      </c>
      <c r="R112" s="69" t="e">
        <f>VLOOKUP(Q112,STN_TABLE,2,FALSE)</f>
        <v>#VALUE!</v>
      </c>
      <c r="S112" s="69">
        <v>5</v>
      </c>
      <c r="T112" s="68" t="e">
        <f>R112*S112</f>
        <v>#VALUE!</v>
      </c>
      <c r="U112" s="79">
        <v>3</v>
      </c>
      <c r="V112" s="68" t="e">
        <f>R112*U112</f>
        <v>#VALUE!</v>
      </c>
      <c r="W112" s="6" t="s">
        <v>93</v>
      </c>
      <c r="X112" s="70" t="e">
        <f>IF(AND(Q114-Q113=Q113-Q112,NOT(AND(Q112=0,Q113=0)),NOT(AND(Q113=0,Q114=0))),WLS*(Q114-Q113),"#NA")</f>
        <v>#VALUE!</v>
      </c>
      <c r="AD112" s="93"/>
      <c r="AH112" s="6" t="s">
        <v>93</v>
      </c>
      <c r="AI112" s="70" t="e">
        <f>WLS*(AD114-AD113)</f>
        <v>#VALUE!</v>
      </c>
      <c r="AU112" s="81"/>
    </row>
    <row r="113" spans="1:47" x14ac:dyDescent="0.25">
      <c r="A113" s="84">
        <f>A112+1</f>
        <v>16</v>
      </c>
      <c r="B113" s="84" t="str">
        <f t="shared" si="48"/>
        <v xml:space="preserve">  </v>
      </c>
      <c r="C113" s="80" t="e">
        <f t="shared" ref="C113" si="53">IF(OR(B115-B114=B114-B113,B115-B114=B114-B112,B115-B114=B114-B111),B114,IF(OR(B115-B113=B113-B112,B115-B113=B113-B111),B113,IF(B115-B112=B112-B111,B112,"#NA")))</f>
        <v>#VALUE!</v>
      </c>
      <c r="D113" s="76" t="e">
        <f>VLOOKUP(C113,STN_TABLE,2,FALSE)</f>
        <v>#VALUE!</v>
      </c>
      <c r="E113" s="81">
        <v>4</v>
      </c>
      <c r="F113" s="76" t="e">
        <f>D113*E113</f>
        <v>#VALUE!</v>
      </c>
      <c r="G113" s="77" t="e">
        <f>C113</f>
        <v>#VALUE!</v>
      </c>
      <c r="H113" s="77" t="e">
        <f>F113*G113</f>
        <v>#VALUE!</v>
      </c>
      <c r="I113" s="495" t="s">
        <v>97</v>
      </c>
      <c r="J113" s="496"/>
      <c r="K113" s="78" t="s">
        <v>98</v>
      </c>
      <c r="L113" s="78"/>
      <c r="M113" s="7" t="s">
        <v>99</v>
      </c>
      <c r="N113" s="7"/>
      <c r="O113" s="99">
        <f>O112+1</f>
        <v>18</v>
      </c>
      <c r="P113" s="99" t="str">
        <f t="shared" si="44"/>
        <v xml:space="preserve">  </v>
      </c>
      <c r="Q113" s="76" t="str">
        <f>P113</f>
        <v xml:space="preserve">  </v>
      </c>
      <c r="R113" s="77" t="str">
        <f>VLOOKUP(Q113,STN_TABLE,2,FALSE)</f>
        <v xml:space="preserve">  </v>
      </c>
      <c r="S113" s="77">
        <v>8</v>
      </c>
      <c r="T113" s="76" t="e">
        <f>R113*S113</f>
        <v>#VALUE!</v>
      </c>
      <c r="U113" s="80">
        <v>10</v>
      </c>
      <c r="V113" s="76" t="e">
        <f>R113*U113</f>
        <v>#VALUE!</v>
      </c>
      <c r="W113" s="496" t="s">
        <v>97</v>
      </c>
      <c r="X113" s="496"/>
      <c r="Y113" s="496" t="s">
        <v>98</v>
      </c>
      <c r="Z113" s="496"/>
      <c r="AA113" s="494" t="s">
        <v>99</v>
      </c>
      <c r="AB113" s="494"/>
      <c r="AC113" s="99">
        <f>AC108+1</f>
        <v>17</v>
      </c>
      <c r="AD113" s="95" t="str">
        <f>VLOOKUP(AC113,STN_TABLE_2,2,FALSE)</f>
        <v xml:space="preserve">  </v>
      </c>
      <c r="AE113" s="68" t="str">
        <f>VLOOKUP(AD113,STN_TABLE,2,FALSE)</f>
        <v xml:space="preserve">  </v>
      </c>
      <c r="AF113" s="68">
        <v>1</v>
      </c>
      <c r="AG113" s="69" t="e">
        <f>AE113*AF113</f>
        <v>#VALUE!</v>
      </c>
      <c r="AH113" s="496" t="s">
        <v>97</v>
      </c>
      <c r="AI113" s="496"/>
      <c r="AJ113" s="496" t="s">
        <v>98</v>
      </c>
      <c r="AK113" s="496"/>
      <c r="AL113" s="494" t="s">
        <v>99</v>
      </c>
      <c r="AM113" s="494"/>
      <c r="AP113" s="86" t="s">
        <v>112</v>
      </c>
      <c r="AQ113" s="89" t="s">
        <v>113</v>
      </c>
      <c r="AR113" s="89" t="s">
        <v>114</v>
      </c>
      <c r="AS113" s="89" t="s">
        <v>115</v>
      </c>
      <c r="AU113" s="81"/>
    </row>
    <row r="114" spans="1:47" x14ac:dyDescent="0.25">
      <c r="A114" s="84">
        <f>A113+1</f>
        <v>17</v>
      </c>
      <c r="B114" s="84" t="str">
        <f t="shared" si="48"/>
        <v xml:space="preserve">  </v>
      </c>
      <c r="C114" s="88" t="str">
        <f t="shared" ref="C114" si="54">B115</f>
        <v xml:space="preserve">  </v>
      </c>
      <c r="D114" s="82" t="str">
        <f>VLOOKUP(C114,STN_TABLE,2,FALSE)</f>
        <v xml:space="preserve">  </v>
      </c>
      <c r="E114" s="92">
        <v>1</v>
      </c>
      <c r="F114" s="82" t="e">
        <f>D114*E114</f>
        <v>#VALUE!</v>
      </c>
      <c r="G114" s="83" t="str">
        <f>C114</f>
        <v xml:space="preserve">  </v>
      </c>
      <c r="H114" s="83" t="e">
        <f>F114*G114</f>
        <v>#VALUE!</v>
      </c>
      <c r="I114" s="84" t="str">
        <f>CONCATENATE("a'(",C114,")=")</f>
        <v>a'(  )=</v>
      </c>
      <c r="J114" s="84" t="e">
        <f>2*J112/3*F115</f>
        <v>#VALUE!</v>
      </c>
      <c r="K114" s="84" t="e">
        <f>CONCATENATE("A(",C112,")=")</f>
        <v>#VALUE!</v>
      </c>
      <c r="L114" s="84" t="e">
        <f>VLOOKUP(C112,STN_TABLE,3,FALSE)</f>
        <v>#VALUE!</v>
      </c>
      <c r="M114" t="str">
        <f>CONCATENATE("A(",C114,")=")</f>
        <v>A(  )=</v>
      </c>
      <c r="N114" t="e">
        <f>J114+L114</f>
        <v>#VALUE!</v>
      </c>
      <c r="O114" s="99">
        <f>O113+1</f>
        <v>19</v>
      </c>
      <c r="P114" s="99" t="str">
        <f t="shared" si="44"/>
        <v xml:space="preserve">  </v>
      </c>
      <c r="Q114" s="82" t="e">
        <f>IF(P114-P113=P113-P112,P114,IF(P115-P113=P113-P112,P115,IF(P114-P113=P113-P111,P114,IF(P115-P113=P113-P111,P115,"-"))))</f>
        <v>#VALUE!</v>
      </c>
      <c r="R114" s="83" t="e">
        <f>VLOOKUP(Q114,STN_TABLE,2,FALSE)</f>
        <v>#VALUE!</v>
      </c>
      <c r="S114" s="83">
        <v>-1</v>
      </c>
      <c r="T114" s="82" t="e">
        <f>R114*S114</f>
        <v>#VALUE!</v>
      </c>
      <c r="U114" s="88">
        <v>-1</v>
      </c>
      <c r="V114" s="82" t="e">
        <f>R114*U114</f>
        <v>#VALUE!</v>
      </c>
      <c r="W114" s="84" t="str">
        <f>CONCATENATE("a'(",Q113,")=")</f>
        <v>a'(  )=</v>
      </c>
      <c r="X114" s="84" t="e">
        <f>2*X112/12*T115</f>
        <v>#VALUE!</v>
      </c>
      <c r="Y114" s="84" t="e">
        <f>CONCATENATE("A(",Q112,")=")</f>
        <v>#VALUE!</v>
      </c>
      <c r="Z114" s="84" t="e">
        <f>VLOOKUP(Q112,STN_TABLE,3,FALSE)</f>
        <v>#VALUE!</v>
      </c>
      <c r="AA114" t="str">
        <f>CONCATENATE("A(",Q113,")=")</f>
        <v>A(  )=</v>
      </c>
      <c r="AB114" t="e">
        <f>X114+Z114</f>
        <v>#VALUE!</v>
      </c>
      <c r="AC114" s="99">
        <f>AC113+1</f>
        <v>18</v>
      </c>
      <c r="AD114" s="100" t="str">
        <f>VLOOKUP(AC114,STN_TABLE_2,2,FALSE)</f>
        <v xml:space="preserve">  </v>
      </c>
      <c r="AE114" s="82" t="str">
        <f>VLOOKUP(AD114,STN_TABLE,2,FALSE)</f>
        <v xml:space="preserve">  </v>
      </c>
      <c r="AF114" s="82">
        <v>2</v>
      </c>
      <c r="AG114" s="83" t="e">
        <f>AE114*AF114</f>
        <v>#VALUE!</v>
      </c>
      <c r="AH114" s="84" t="str">
        <f>CONCATENATE("a'(",AD114,")=")</f>
        <v>a'(  )=</v>
      </c>
      <c r="AI114" s="84" t="e">
        <f>2*AI112/2*AE115</f>
        <v>#VALUE!</v>
      </c>
      <c r="AJ114" s="84" t="str">
        <f>CONCATENATE("A(",AD113,")=")</f>
        <v>A(  )=</v>
      </c>
      <c r="AK114" s="84" t="str">
        <f>VLOOKUP(AD113,STN_TABLE,3,FALSE)</f>
        <v xml:space="preserve"> </v>
      </c>
      <c r="AL114" t="str">
        <f>CONCATENATE("A(",AD114,")=")</f>
        <v>A(  )=</v>
      </c>
      <c r="AM114" t="e">
        <f>AI114+AK114</f>
        <v>#VALUE!</v>
      </c>
      <c r="AO114" s="68" t="str">
        <f>AA114</f>
        <v>A(  )=</v>
      </c>
      <c r="AP114" s="68" t="e">
        <f>VLOOKUP(AO114,Rise_Results,2,FALSE)</f>
        <v>#N/A</v>
      </c>
      <c r="AQ114" s="76" t="e">
        <f>N114</f>
        <v>#VALUE!</v>
      </c>
      <c r="AR114" s="76" t="e">
        <f>IF(OR(AB114&lt;=0,AB115&lt;=0),1/0,AB114)</f>
        <v>#VALUE!</v>
      </c>
      <c r="AS114" s="76" t="e">
        <f>AM114</f>
        <v>#VALUE!</v>
      </c>
      <c r="AT114" t="e">
        <f>IFERROR(AP114,IFERROR(AQ114,IFERROR(AR114,AS114)))</f>
        <v>#VALUE!</v>
      </c>
      <c r="AU114" s="81"/>
    </row>
    <row r="115" spans="1:47" x14ac:dyDescent="0.25">
      <c r="A115" s="84">
        <f>A114+1</f>
        <v>18</v>
      </c>
      <c r="B115" s="84" t="str">
        <f t="shared" si="48"/>
        <v xml:space="preserve">  </v>
      </c>
      <c r="F115" s="82" t="e">
        <f>SUM(F112:F114)</f>
        <v>#VALUE!</v>
      </c>
      <c r="H115" s="82" t="e">
        <f>SUM(H112:H114)</f>
        <v>#VALUE!</v>
      </c>
      <c r="I115" s="84" t="str">
        <f>CONCATENATE("m'(",C114,")=")</f>
        <v>m'(  )=</v>
      </c>
      <c r="J115" s="84" t="e">
        <f>2*(J112*(WLS))/3*H115</f>
        <v>#VALUE!</v>
      </c>
      <c r="K115" s="84" t="e">
        <f>CONCATENATE("M(",C112,")=")</f>
        <v>#VALUE!</v>
      </c>
      <c r="L115" s="84" t="e">
        <f>VLOOKUP(C112,STN_TABLE,4,FALSE)</f>
        <v>#VALUE!</v>
      </c>
      <c r="M115" t="str">
        <f>CONCATENATE("M(",C114,")=")</f>
        <v>M(  )=</v>
      </c>
      <c r="N115" t="e">
        <f>J115+L115</f>
        <v>#VALUE!</v>
      </c>
      <c r="O115" s="99">
        <f>O114+1</f>
        <v>20</v>
      </c>
      <c r="P115" s="99" t="str">
        <f t="shared" si="44"/>
        <v xml:space="preserve">  </v>
      </c>
      <c r="T115" s="89" t="e">
        <f>SUM(T112:T114)</f>
        <v>#VALUE!</v>
      </c>
      <c r="V115" s="82" t="e">
        <f>SUM(V112:V114)</f>
        <v>#VALUE!</v>
      </c>
      <c r="W115" s="84" t="str">
        <f>CONCATENATE("m'(",Q113,")=")</f>
        <v>m'(  )=</v>
      </c>
      <c r="X115" s="84" t="e">
        <f>(2*(X112^2)/24*V115)+(X114*Q112*WLS)</f>
        <v>#VALUE!</v>
      </c>
      <c r="Y115" s="84" t="e">
        <f>CONCATENATE("M(",Q112,")=")</f>
        <v>#VALUE!</v>
      </c>
      <c r="Z115" s="84" t="e">
        <f>VLOOKUP(Q112,STN_TABLE,4,FALSE)</f>
        <v>#VALUE!</v>
      </c>
      <c r="AA115" t="str">
        <f>CONCATENATE("M(",Q113,")=")</f>
        <v>M(  )=</v>
      </c>
      <c r="AB115" t="e">
        <f>X115+Z115</f>
        <v>#VALUE!</v>
      </c>
      <c r="AE115" s="89">
        <f>SUM(AE113:AE114)</f>
        <v>0</v>
      </c>
      <c r="AG115" s="89" t="e">
        <f>SUM(AG113:AG114)</f>
        <v>#VALUE!</v>
      </c>
      <c r="AH115" s="84" t="str">
        <f>CONCATENATE("m'(",AD114,")=")</f>
        <v>m'(  )=</v>
      </c>
      <c r="AI115" s="84" t="e">
        <f>(2*(AI112^2)/6*AG115)+(AI114*AD113*WLS)</f>
        <v>#VALUE!</v>
      </c>
      <c r="AJ115" s="84" t="str">
        <f>CONCATENATE("M(",AD113,")=")</f>
        <v>M(  )=</v>
      </c>
      <c r="AK115" s="84" t="str">
        <f>VLOOKUP(AD113,STN_TABLE,4,FALSE)</f>
        <v xml:space="preserve"> </v>
      </c>
      <c r="AL115" t="str">
        <f>CONCATENATE("M(",AD114,")=")</f>
        <v>M(  )=</v>
      </c>
      <c r="AM115" t="e">
        <f>AI115+AK115</f>
        <v>#VALUE!</v>
      </c>
      <c r="AO115" s="82" t="str">
        <f>AA115</f>
        <v>M(  )=</v>
      </c>
      <c r="AP115" s="82" t="e">
        <f>VLOOKUP(AO115,Rise_Results,2,FALSE)</f>
        <v>#N/A</v>
      </c>
      <c r="AQ115" s="82" t="e">
        <f>N115</f>
        <v>#VALUE!</v>
      </c>
      <c r="AR115" s="82" t="e">
        <f>IF(OR(AB114&lt;=0,AB115&lt;=0),1/0,AB115)</f>
        <v>#VALUE!</v>
      </c>
      <c r="AS115" s="82" t="e">
        <f>AM115</f>
        <v>#VALUE!</v>
      </c>
      <c r="AT115" t="e">
        <f>IFERROR(AP115,IFERROR(AQ115,IFERROR(AR115,AS115)))</f>
        <v>#VALUE!</v>
      </c>
      <c r="AU115" s="81"/>
    </row>
    <row r="116" spans="1:47" x14ac:dyDescent="0.25">
      <c r="A116" s="101">
        <f>A111+1</f>
        <v>15</v>
      </c>
      <c r="B116" s="101" t="str">
        <f t="shared" si="48"/>
        <v xml:space="preserve">  </v>
      </c>
      <c r="O116" s="101">
        <f>O111+1</f>
        <v>17</v>
      </c>
      <c r="P116" s="101" t="str">
        <f t="shared" si="44"/>
        <v xml:space="preserve">  </v>
      </c>
      <c r="AU116" s="81"/>
    </row>
    <row r="117" spans="1:47" x14ac:dyDescent="0.25">
      <c r="A117" s="84">
        <f>A116+1</f>
        <v>16</v>
      </c>
      <c r="B117" s="84" t="str">
        <f t="shared" si="48"/>
        <v xml:space="preserve">  </v>
      </c>
      <c r="C117" s="79" t="e">
        <f t="shared" ref="C117" si="55">IF(C118=B119,IF(C119-C118=C118-B118,B118,IF(C119-C118=C118-B117,B117,"#NA")),IF(C118=B118,IF(C119-C118=C118-B117,B117,IF(C119-C118=C118-B116,B116,"#NA")),"#NA"))</f>
        <v>#VALUE!</v>
      </c>
      <c r="D117" s="68" t="e">
        <f>VLOOKUP(C117,STN_TABLE,2,FALSE)</f>
        <v>#VALUE!</v>
      </c>
      <c r="E117" s="102">
        <v>1</v>
      </c>
      <c r="F117" s="68" t="e">
        <f>D117*E117</f>
        <v>#VALUE!</v>
      </c>
      <c r="G117" s="69" t="e">
        <f>C117</f>
        <v>#VALUE!</v>
      </c>
      <c r="H117" s="69" t="e">
        <f>F117*G117</f>
        <v>#VALUE!</v>
      </c>
      <c r="I117" s="6" t="s">
        <v>93</v>
      </c>
      <c r="J117" s="70" t="e">
        <f>IF(OR(D117=0,D118=0,D119=0),"#NA",IF(AND(C119-C118=C118-C117,C118&lt;&gt;C119,C117&lt;&gt;C118,C117&lt;&gt;C119,D119&lt;&gt;0,OR(D117&lt;&gt;0,D118&lt;&gt;0)),WLS*(C119-C118),"#NA"))</f>
        <v>#VALUE!</v>
      </c>
      <c r="O117" s="99">
        <f>O116+1</f>
        <v>18</v>
      </c>
      <c r="P117" s="99" t="str">
        <f t="shared" si="44"/>
        <v xml:space="preserve">  </v>
      </c>
      <c r="Q117" s="68" t="e">
        <f>IF(OR(P119-P118=P118-P117,P120-P118=P118-P117),P117,IF(OR(P119-P118=P118-P116,P120-P118=P118-P116),P116,"-"))</f>
        <v>#VALUE!</v>
      </c>
      <c r="R117" s="69" t="e">
        <f>VLOOKUP(Q117,STN_TABLE,2,FALSE)</f>
        <v>#VALUE!</v>
      </c>
      <c r="S117" s="69">
        <v>5</v>
      </c>
      <c r="T117" s="68" t="e">
        <f>R117*S117</f>
        <v>#VALUE!</v>
      </c>
      <c r="U117" s="79">
        <v>3</v>
      </c>
      <c r="V117" s="68" t="e">
        <f>R117*U117</f>
        <v>#VALUE!</v>
      </c>
      <c r="W117" s="6" t="s">
        <v>93</v>
      </c>
      <c r="X117" s="70" t="e">
        <f>IF(AND(Q119-Q118=Q118-Q117,NOT(AND(Q117=0,Q118=0)),NOT(AND(Q118=0,Q119=0))),WLS*(Q119-Q118),"#NA")</f>
        <v>#VALUE!</v>
      </c>
      <c r="AD117" s="93"/>
      <c r="AH117" s="6" t="s">
        <v>93</v>
      </c>
      <c r="AI117" s="70" t="e">
        <f>WLS*(AD119-AD118)</f>
        <v>#VALUE!</v>
      </c>
      <c r="AU117" s="81"/>
    </row>
    <row r="118" spans="1:47" x14ac:dyDescent="0.25">
      <c r="A118" s="84">
        <f>A117+1</f>
        <v>17</v>
      </c>
      <c r="B118" s="84" t="str">
        <f t="shared" si="48"/>
        <v xml:space="preserve">  </v>
      </c>
      <c r="C118" s="80" t="e">
        <f t="shared" ref="C118" si="56">IF(OR(B120-B119=B119-B118,B120-B119=B119-B117,B120-B119=B119-B116),B119,IF(OR(B120-B118=B118-B117,B120-B118=B118-B116),B118,IF(B120-B117=B117-B116,B117,"#NA")))</f>
        <v>#VALUE!</v>
      </c>
      <c r="D118" s="76" t="e">
        <f>VLOOKUP(C118,STN_TABLE,2,FALSE)</f>
        <v>#VALUE!</v>
      </c>
      <c r="E118" s="81">
        <v>4</v>
      </c>
      <c r="F118" s="76" t="e">
        <f>D118*E118</f>
        <v>#VALUE!</v>
      </c>
      <c r="G118" s="77" t="e">
        <f>C118</f>
        <v>#VALUE!</v>
      </c>
      <c r="H118" s="77" t="e">
        <f>F118*G118</f>
        <v>#VALUE!</v>
      </c>
      <c r="I118" s="495" t="s">
        <v>97</v>
      </c>
      <c r="J118" s="496"/>
      <c r="K118" s="78" t="s">
        <v>98</v>
      </c>
      <c r="L118" s="78"/>
      <c r="M118" s="7" t="s">
        <v>99</v>
      </c>
      <c r="N118" s="7"/>
      <c r="O118" s="99">
        <f>O117+1</f>
        <v>19</v>
      </c>
      <c r="P118" s="99" t="str">
        <f t="shared" si="44"/>
        <v xml:space="preserve">  </v>
      </c>
      <c r="Q118" s="76" t="str">
        <f>P118</f>
        <v xml:space="preserve">  </v>
      </c>
      <c r="R118" s="77" t="str">
        <f>VLOOKUP(Q118,STN_TABLE,2,FALSE)</f>
        <v xml:space="preserve">  </v>
      </c>
      <c r="S118" s="77">
        <v>8</v>
      </c>
      <c r="T118" s="76" t="e">
        <f>R118*S118</f>
        <v>#VALUE!</v>
      </c>
      <c r="U118" s="80">
        <v>10</v>
      </c>
      <c r="V118" s="76" t="e">
        <f>R118*U118</f>
        <v>#VALUE!</v>
      </c>
      <c r="W118" s="496" t="s">
        <v>97</v>
      </c>
      <c r="X118" s="496"/>
      <c r="Y118" s="496" t="s">
        <v>98</v>
      </c>
      <c r="Z118" s="496"/>
      <c r="AA118" s="494" t="s">
        <v>99</v>
      </c>
      <c r="AB118" s="494"/>
      <c r="AC118" s="99">
        <f>AC113+1</f>
        <v>18</v>
      </c>
      <c r="AD118" s="95" t="str">
        <f>VLOOKUP(AC118,STN_TABLE_2,2,FALSE)</f>
        <v xml:space="preserve">  </v>
      </c>
      <c r="AE118" s="68" t="str">
        <f>VLOOKUP(AD118,STN_TABLE,2,FALSE)</f>
        <v xml:space="preserve">  </v>
      </c>
      <c r="AF118" s="68">
        <v>1</v>
      </c>
      <c r="AG118" s="69" t="e">
        <f>AE118*AF118</f>
        <v>#VALUE!</v>
      </c>
      <c r="AH118" s="496" t="s">
        <v>97</v>
      </c>
      <c r="AI118" s="496"/>
      <c r="AJ118" s="496" t="s">
        <v>98</v>
      </c>
      <c r="AK118" s="496"/>
      <c r="AL118" s="494" t="s">
        <v>99</v>
      </c>
      <c r="AM118" s="494"/>
      <c r="AP118" s="86" t="s">
        <v>112</v>
      </c>
      <c r="AQ118" s="89" t="s">
        <v>113</v>
      </c>
      <c r="AR118" s="89" t="s">
        <v>114</v>
      </c>
      <c r="AS118" s="89" t="s">
        <v>115</v>
      </c>
      <c r="AU118" s="81"/>
    </row>
    <row r="119" spans="1:47" x14ac:dyDescent="0.25">
      <c r="A119" s="84">
        <f>A118+1</f>
        <v>18</v>
      </c>
      <c r="B119" s="84" t="str">
        <f t="shared" si="48"/>
        <v xml:space="preserve">  </v>
      </c>
      <c r="C119" s="88" t="str">
        <f t="shared" ref="C119" si="57">B120</f>
        <v xml:space="preserve">  </v>
      </c>
      <c r="D119" s="82" t="str">
        <f>VLOOKUP(C119,STN_TABLE,2,FALSE)</f>
        <v xml:space="preserve">  </v>
      </c>
      <c r="E119" s="92">
        <v>1</v>
      </c>
      <c r="F119" s="82" t="e">
        <f>D119*E119</f>
        <v>#VALUE!</v>
      </c>
      <c r="G119" s="83" t="str">
        <f>C119</f>
        <v xml:space="preserve">  </v>
      </c>
      <c r="H119" s="83" t="e">
        <f>F119*G119</f>
        <v>#VALUE!</v>
      </c>
      <c r="I119" s="84" t="str">
        <f>CONCATENATE("a'(",C119,")=")</f>
        <v>a'(  )=</v>
      </c>
      <c r="J119" s="84" t="e">
        <f>2*J117/3*F120</f>
        <v>#VALUE!</v>
      </c>
      <c r="K119" s="84" t="e">
        <f>CONCATENATE("A(",C117,")=")</f>
        <v>#VALUE!</v>
      </c>
      <c r="L119" s="84" t="e">
        <f>VLOOKUP(C117,STN_TABLE,3,FALSE)</f>
        <v>#VALUE!</v>
      </c>
      <c r="M119" t="str">
        <f>CONCATENATE("A(",C119,")=")</f>
        <v>A(  )=</v>
      </c>
      <c r="N119" t="e">
        <f>J119+L119</f>
        <v>#VALUE!</v>
      </c>
      <c r="O119" s="99">
        <f>O118+1</f>
        <v>20</v>
      </c>
      <c r="P119" s="99" t="str">
        <f t="shared" si="44"/>
        <v xml:space="preserve">  </v>
      </c>
      <c r="Q119" s="82" t="e">
        <f>IF(P119-P118=P118-P117,P119,IF(P120-P118=P118-P117,P120,IF(P119-P118=P118-P116,P119,IF(P120-P118=P118-P116,P120,"-"))))</f>
        <v>#VALUE!</v>
      </c>
      <c r="R119" s="83" t="e">
        <f>VLOOKUP(Q119,STN_TABLE,2,FALSE)</f>
        <v>#VALUE!</v>
      </c>
      <c r="S119" s="83">
        <v>-1</v>
      </c>
      <c r="T119" s="82" t="e">
        <f>R119*S119</f>
        <v>#VALUE!</v>
      </c>
      <c r="U119" s="88">
        <v>-1</v>
      </c>
      <c r="V119" s="82" t="e">
        <f>R119*U119</f>
        <v>#VALUE!</v>
      </c>
      <c r="W119" s="84" t="str">
        <f>CONCATENATE("a'(",Q118,")=")</f>
        <v>a'(  )=</v>
      </c>
      <c r="X119" s="84" t="e">
        <f>2*X117/12*T120</f>
        <v>#VALUE!</v>
      </c>
      <c r="Y119" s="84" t="e">
        <f>CONCATENATE("A(",Q117,")=")</f>
        <v>#VALUE!</v>
      </c>
      <c r="Z119" s="84" t="e">
        <f>VLOOKUP(Q117,STN_TABLE,3,FALSE)</f>
        <v>#VALUE!</v>
      </c>
      <c r="AA119" t="str">
        <f>CONCATENATE("A(",Q118,")=")</f>
        <v>A(  )=</v>
      </c>
      <c r="AB119" t="e">
        <f>X119+Z119</f>
        <v>#VALUE!</v>
      </c>
      <c r="AC119" s="99">
        <f>AC118+1</f>
        <v>19</v>
      </c>
      <c r="AD119" s="100" t="str">
        <f>VLOOKUP(AC119,STN_TABLE_2,2,FALSE)</f>
        <v xml:space="preserve">  </v>
      </c>
      <c r="AE119" s="82" t="str">
        <f>VLOOKUP(AD119,STN_TABLE,2,FALSE)</f>
        <v xml:space="preserve">  </v>
      </c>
      <c r="AF119" s="82">
        <v>2</v>
      </c>
      <c r="AG119" s="83" t="e">
        <f>AE119*AF119</f>
        <v>#VALUE!</v>
      </c>
      <c r="AH119" s="84" t="str">
        <f>CONCATENATE("a'(",AD119,")=")</f>
        <v>a'(  )=</v>
      </c>
      <c r="AI119" s="84" t="e">
        <f>2*AI117/2*AE120</f>
        <v>#VALUE!</v>
      </c>
      <c r="AJ119" s="84" t="str">
        <f>CONCATENATE("A(",AD118,")=")</f>
        <v>A(  )=</v>
      </c>
      <c r="AK119" s="84" t="str">
        <f>VLOOKUP(AD118,STN_TABLE,3,FALSE)</f>
        <v xml:space="preserve"> </v>
      </c>
      <c r="AL119" t="str">
        <f>CONCATENATE("A(",AD119,")=")</f>
        <v>A(  )=</v>
      </c>
      <c r="AM119" t="e">
        <f>AI119+AK119</f>
        <v>#VALUE!</v>
      </c>
      <c r="AO119" s="68" t="str">
        <f>AA119</f>
        <v>A(  )=</v>
      </c>
      <c r="AP119" s="68" t="e">
        <f>VLOOKUP(AO119,Rise_Results,2,FALSE)</f>
        <v>#N/A</v>
      </c>
      <c r="AQ119" s="76" t="e">
        <f>N119</f>
        <v>#VALUE!</v>
      </c>
      <c r="AR119" s="76" t="e">
        <f>IF(OR(AB119&lt;=0,AB120&lt;=0),1/0,AB119)</f>
        <v>#VALUE!</v>
      </c>
      <c r="AS119" s="76" t="e">
        <f>AM119</f>
        <v>#VALUE!</v>
      </c>
      <c r="AT119" t="e">
        <f>IFERROR(AP119,IFERROR(AQ119,IFERROR(AR119,AS119)))</f>
        <v>#VALUE!</v>
      </c>
      <c r="AU119" s="81"/>
    </row>
    <row r="120" spans="1:47" x14ac:dyDescent="0.25">
      <c r="A120" s="84">
        <f>A119+1</f>
        <v>19</v>
      </c>
      <c r="B120" s="84" t="str">
        <f t="shared" si="48"/>
        <v xml:space="preserve">  </v>
      </c>
      <c r="F120" s="82" t="e">
        <f>SUM(F117:F119)</f>
        <v>#VALUE!</v>
      </c>
      <c r="H120" s="82" t="e">
        <f>SUM(H117:H119)</f>
        <v>#VALUE!</v>
      </c>
      <c r="I120" s="84" t="str">
        <f>CONCATENATE("m'(",C119,")=")</f>
        <v>m'(  )=</v>
      </c>
      <c r="J120" s="84" t="e">
        <f>2*(J117*(WLS))/3*H120</f>
        <v>#VALUE!</v>
      </c>
      <c r="K120" s="84" t="e">
        <f>CONCATENATE("M(",C117,")=")</f>
        <v>#VALUE!</v>
      </c>
      <c r="L120" s="84" t="e">
        <f>VLOOKUP(C117,STN_TABLE,4,FALSE)</f>
        <v>#VALUE!</v>
      </c>
      <c r="M120" t="str">
        <f>CONCATENATE("M(",C119,")=")</f>
        <v>M(  )=</v>
      </c>
      <c r="N120" t="e">
        <f>J120+L120</f>
        <v>#VALUE!</v>
      </c>
      <c r="O120" s="99">
        <f>O119+1</f>
        <v>21</v>
      </c>
      <c r="P120" s="99" t="str">
        <f t="shared" si="44"/>
        <v xml:space="preserve">  </v>
      </c>
      <c r="T120" s="89" t="e">
        <f>SUM(T117:T119)</f>
        <v>#VALUE!</v>
      </c>
      <c r="V120" s="82" t="e">
        <f>SUM(V117:V119)</f>
        <v>#VALUE!</v>
      </c>
      <c r="W120" s="84" t="str">
        <f>CONCATENATE("m'(",Q118,")=")</f>
        <v>m'(  )=</v>
      </c>
      <c r="X120" s="84" t="e">
        <f>(2*(X117^2)/24*V120)+(X119*Q117*WLS)</f>
        <v>#VALUE!</v>
      </c>
      <c r="Y120" s="84" t="e">
        <f>CONCATENATE("M(",Q117,")=")</f>
        <v>#VALUE!</v>
      </c>
      <c r="Z120" s="84" t="e">
        <f>VLOOKUP(Q117,STN_TABLE,4,FALSE)</f>
        <v>#VALUE!</v>
      </c>
      <c r="AA120" t="str">
        <f>CONCATENATE("M(",Q118,")=")</f>
        <v>M(  )=</v>
      </c>
      <c r="AB120" t="e">
        <f>X120+Z120</f>
        <v>#VALUE!</v>
      </c>
      <c r="AE120" s="89">
        <f>SUM(AE118:AE119)</f>
        <v>0</v>
      </c>
      <c r="AG120" s="89" t="e">
        <f>SUM(AG118:AG119)</f>
        <v>#VALUE!</v>
      </c>
      <c r="AH120" s="84" t="str">
        <f>CONCATENATE("m'(",AD119,")=")</f>
        <v>m'(  )=</v>
      </c>
      <c r="AI120" s="84" t="e">
        <f>(2*(AI117^2)/6*AG120)+(AI119*AD118*WLS)</f>
        <v>#VALUE!</v>
      </c>
      <c r="AJ120" s="84" t="str">
        <f>CONCATENATE("M(",AD118,")=")</f>
        <v>M(  )=</v>
      </c>
      <c r="AK120" s="84" t="str">
        <f>VLOOKUP(AD118,STN_TABLE,4,FALSE)</f>
        <v xml:space="preserve"> </v>
      </c>
      <c r="AL120" t="str">
        <f>CONCATENATE("M(",AD119,")=")</f>
        <v>M(  )=</v>
      </c>
      <c r="AM120" t="e">
        <f>AI120+AK120</f>
        <v>#VALUE!</v>
      </c>
      <c r="AO120" s="82" t="str">
        <f>AA120</f>
        <v>M(  )=</v>
      </c>
      <c r="AP120" s="82" t="e">
        <f>VLOOKUP(AO120,Rise_Results,2,FALSE)</f>
        <v>#N/A</v>
      </c>
      <c r="AQ120" s="82" t="e">
        <f>N120</f>
        <v>#VALUE!</v>
      </c>
      <c r="AR120" s="82" t="e">
        <f>IF(OR(AB119&lt;=0,AB120&lt;=0),1/0,AB120)</f>
        <v>#VALUE!</v>
      </c>
      <c r="AS120" s="82" t="e">
        <f>AM120</f>
        <v>#VALUE!</v>
      </c>
      <c r="AT120" t="e">
        <f>IFERROR(AP120,IFERROR(AQ120,IFERROR(AR120,AS120)))</f>
        <v>#VALUE!</v>
      </c>
      <c r="AU120" s="81"/>
    </row>
    <row r="121" spans="1:47" x14ac:dyDescent="0.25">
      <c r="A121" s="101">
        <f>A116+1</f>
        <v>16</v>
      </c>
      <c r="B121" s="101" t="str">
        <f t="shared" si="48"/>
        <v xml:space="preserve">  </v>
      </c>
      <c r="O121" s="101">
        <f>O116+1</f>
        <v>18</v>
      </c>
      <c r="P121" s="101" t="str">
        <f t="shared" si="44"/>
        <v xml:space="preserve">  </v>
      </c>
      <c r="AU121" s="81"/>
    </row>
    <row r="122" spans="1:47" x14ac:dyDescent="0.25">
      <c r="A122" s="84">
        <f>A121+1</f>
        <v>17</v>
      </c>
      <c r="B122" s="84" t="str">
        <f t="shared" si="48"/>
        <v xml:space="preserve">  </v>
      </c>
      <c r="C122" s="79" t="e">
        <f t="shared" ref="C122" si="58">IF(C123=B124,IF(C124-C123=C123-B123,B123,IF(C124-C123=C123-B122,B122,"#NA")),IF(C123=B123,IF(C124-C123=C123-B122,B122,IF(C124-C123=C123-B121,B121,"#NA")),"#NA"))</f>
        <v>#VALUE!</v>
      </c>
      <c r="D122" s="68" t="e">
        <f>VLOOKUP(C122,STN_TABLE,2,FALSE)</f>
        <v>#VALUE!</v>
      </c>
      <c r="E122" s="102">
        <v>1</v>
      </c>
      <c r="F122" s="68" t="e">
        <f>D122*E122</f>
        <v>#VALUE!</v>
      </c>
      <c r="G122" s="69" t="e">
        <f>C122</f>
        <v>#VALUE!</v>
      </c>
      <c r="H122" s="69" t="e">
        <f>F122*G122</f>
        <v>#VALUE!</v>
      </c>
      <c r="I122" s="6" t="s">
        <v>93</v>
      </c>
      <c r="J122" s="70" t="e">
        <f>IF(OR(D122=0,D123=0,D124=0),"#NA",IF(AND(C124-C123=C123-C122,C123&lt;&gt;C124,C122&lt;&gt;C123,C122&lt;&gt;C124,D124&lt;&gt;0,OR(D122&lt;&gt;0,D123&lt;&gt;0)),WLS*(C124-C123),"#NA"))</f>
        <v>#VALUE!</v>
      </c>
      <c r="O122" s="99">
        <f>O121+1</f>
        <v>19</v>
      </c>
      <c r="P122" s="99" t="str">
        <f t="shared" si="44"/>
        <v xml:space="preserve">  </v>
      </c>
      <c r="Q122" s="68" t="e">
        <f>IF(OR(P124-P123=P123-P122,P125-P123=P123-P122),P122,IF(OR(P124-P123=P123-P121,P125-P123=P123-P121),P121,"-"))</f>
        <v>#VALUE!</v>
      </c>
      <c r="R122" s="69" t="e">
        <f>VLOOKUP(Q122,STN_TABLE,2,FALSE)</f>
        <v>#VALUE!</v>
      </c>
      <c r="S122" s="69">
        <v>5</v>
      </c>
      <c r="T122" s="68" t="e">
        <f>R122*S122</f>
        <v>#VALUE!</v>
      </c>
      <c r="U122" s="79">
        <v>3</v>
      </c>
      <c r="V122" s="68" t="e">
        <f>R122*U122</f>
        <v>#VALUE!</v>
      </c>
      <c r="W122" s="6" t="s">
        <v>93</v>
      </c>
      <c r="X122" s="70" t="e">
        <f>IF(AND(Q124-Q123=Q123-Q122,NOT(AND(Q122=0,Q123=0)),NOT(AND(Q123=0,Q124=0))),WLS*(Q124-Q123),"#NA")</f>
        <v>#VALUE!</v>
      </c>
      <c r="AD122" s="93"/>
      <c r="AH122" s="6" t="s">
        <v>93</v>
      </c>
      <c r="AI122" s="70" t="e">
        <f>WLS*(AD124-AD123)</f>
        <v>#VALUE!</v>
      </c>
      <c r="AU122" s="81"/>
    </row>
    <row r="123" spans="1:47" x14ac:dyDescent="0.25">
      <c r="A123" s="84">
        <f>A122+1</f>
        <v>18</v>
      </c>
      <c r="B123" s="84" t="str">
        <f t="shared" si="48"/>
        <v xml:space="preserve">  </v>
      </c>
      <c r="C123" s="80" t="e">
        <f t="shared" ref="C123" si="59">IF(OR(B125-B124=B124-B123,B125-B124=B124-B122,B125-B124=B124-B121),B124,IF(OR(B125-B123=B123-B122,B125-B123=B123-B121),B123,IF(B125-B122=B122-B121,B122,"#NA")))</f>
        <v>#VALUE!</v>
      </c>
      <c r="D123" s="76" t="e">
        <f>VLOOKUP(C123,STN_TABLE,2,FALSE)</f>
        <v>#VALUE!</v>
      </c>
      <c r="E123" s="81">
        <v>4</v>
      </c>
      <c r="F123" s="76" t="e">
        <f>D123*E123</f>
        <v>#VALUE!</v>
      </c>
      <c r="G123" s="77" t="e">
        <f>C123</f>
        <v>#VALUE!</v>
      </c>
      <c r="H123" s="77" t="e">
        <f>F123*G123</f>
        <v>#VALUE!</v>
      </c>
      <c r="I123" s="495" t="s">
        <v>97</v>
      </c>
      <c r="J123" s="496"/>
      <c r="K123" s="78" t="s">
        <v>98</v>
      </c>
      <c r="L123" s="78"/>
      <c r="M123" s="7" t="s">
        <v>99</v>
      </c>
      <c r="N123" s="7"/>
      <c r="O123" s="99">
        <f>O122+1</f>
        <v>20</v>
      </c>
      <c r="P123" s="99" t="str">
        <f t="shared" si="44"/>
        <v xml:space="preserve">  </v>
      </c>
      <c r="Q123" s="76" t="str">
        <f>P123</f>
        <v xml:space="preserve">  </v>
      </c>
      <c r="R123" s="77" t="str">
        <f>VLOOKUP(Q123,STN_TABLE,2,FALSE)</f>
        <v xml:space="preserve">  </v>
      </c>
      <c r="S123" s="77">
        <v>8</v>
      </c>
      <c r="T123" s="76" t="e">
        <f>R123*S123</f>
        <v>#VALUE!</v>
      </c>
      <c r="U123" s="80">
        <v>10</v>
      </c>
      <c r="V123" s="76" t="e">
        <f>R123*U123</f>
        <v>#VALUE!</v>
      </c>
      <c r="W123" s="496" t="s">
        <v>97</v>
      </c>
      <c r="X123" s="496"/>
      <c r="Y123" s="496" t="s">
        <v>98</v>
      </c>
      <c r="Z123" s="496"/>
      <c r="AA123" s="494" t="s">
        <v>99</v>
      </c>
      <c r="AB123" s="494"/>
      <c r="AC123" s="99">
        <f>AC118+1</f>
        <v>19</v>
      </c>
      <c r="AD123" s="95" t="str">
        <f>VLOOKUP(AC123,STN_TABLE_2,2,FALSE)</f>
        <v xml:space="preserve">  </v>
      </c>
      <c r="AE123" s="68" t="str">
        <f>VLOOKUP(AD123,STN_TABLE,2,FALSE)</f>
        <v xml:space="preserve">  </v>
      </c>
      <c r="AF123" s="68">
        <v>1</v>
      </c>
      <c r="AG123" s="69" t="e">
        <f>AE123*AF123</f>
        <v>#VALUE!</v>
      </c>
      <c r="AH123" s="496" t="s">
        <v>97</v>
      </c>
      <c r="AI123" s="496"/>
      <c r="AJ123" s="496" t="s">
        <v>98</v>
      </c>
      <c r="AK123" s="496"/>
      <c r="AL123" s="494" t="s">
        <v>99</v>
      </c>
      <c r="AM123" s="494"/>
      <c r="AP123" s="86" t="s">
        <v>112</v>
      </c>
      <c r="AQ123" s="89" t="s">
        <v>113</v>
      </c>
      <c r="AR123" s="89" t="s">
        <v>114</v>
      </c>
      <c r="AS123" s="89" t="s">
        <v>115</v>
      </c>
      <c r="AU123" s="81"/>
    </row>
    <row r="124" spans="1:47" x14ac:dyDescent="0.25">
      <c r="A124" s="84">
        <f>A123+1</f>
        <v>19</v>
      </c>
      <c r="B124" s="84" t="str">
        <f t="shared" si="48"/>
        <v xml:space="preserve">  </v>
      </c>
      <c r="C124" s="88" t="str">
        <f t="shared" ref="C124" si="60">B125</f>
        <v xml:space="preserve">  </v>
      </c>
      <c r="D124" s="82" t="str">
        <f>VLOOKUP(C124,STN_TABLE,2,FALSE)</f>
        <v xml:space="preserve">  </v>
      </c>
      <c r="E124" s="92">
        <v>1</v>
      </c>
      <c r="F124" s="82" t="e">
        <f>D124*E124</f>
        <v>#VALUE!</v>
      </c>
      <c r="G124" s="83" t="str">
        <f>C124</f>
        <v xml:space="preserve">  </v>
      </c>
      <c r="H124" s="83" t="e">
        <f>F124*G124</f>
        <v>#VALUE!</v>
      </c>
      <c r="I124" s="84" t="str">
        <f>CONCATENATE("a'(",C124,")=")</f>
        <v>a'(  )=</v>
      </c>
      <c r="J124" s="84" t="e">
        <f>2*J122/3*F125</f>
        <v>#VALUE!</v>
      </c>
      <c r="K124" s="84" t="e">
        <f>CONCATENATE("A(",C122,")=")</f>
        <v>#VALUE!</v>
      </c>
      <c r="L124" s="84" t="e">
        <f>VLOOKUP(C122,STN_TABLE,3,FALSE)</f>
        <v>#VALUE!</v>
      </c>
      <c r="M124" t="str">
        <f>CONCATENATE("A(",C124,")=")</f>
        <v>A(  )=</v>
      </c>
      <c r="N124" t="e">
        <f>J124+L124</f>
        <v>#VALUE!</v>
      </c>
      <c r="O124" s="99">
        <f>O123+1</f>
        <v>21</v>
      </c>
      <c r="P124" s="99" t="str">
        <f t="shared" si="44"/>
        <v xml:space="preserve">  </v>
      </c>
      <c r="Q124" s="82" t="e">
        <f>IF(P124-P123=P123-P122,P124,IF(P125-P123=P123-P122,P125,IF(P124-P123=P123-P121,P124,IF(P125-P123=P123-P121,P125,"-"))))</f>
        <v>#VALUE!</v>
      </c>
      <c r="R124" s="83" t="e">
        <f>VLOOKUP(Q124,STN_TABLE,2,FALSE)</f>
        <v>#VALUE!</v>
      </c>
      <c r="S124" s="83">
        <v>-1</v>
      </c>
      <c r="T124" s="82" t="e">
        <f>R124*S124</f>
        <v>#VALUE!</v>
      </c>
      <c r="U124" s="88">
        <v>-1</v>
      </c>
      <c r="V124" s="82" t="e">
        <f>R124*U124</f>
        <v>#VALUE!</v>
      </c>
      <c r="W124" s="84" t="str">
        <f>CONCATENATE("a'(",Q123,")=")</f>
        <v>a'(  )=</v>
      </c>
      <c r="X124" s="84" t="e">
        <f>2*X122/12*T125</f>
        <v>#VALUE!</v>
      </c>
      <c r="Y124" s="84" t="e">
        <f>CONCATENATE("A(",Q122,")=")</f>
        <v>#VALUE!</v>
      </c>
      <c r="Z124" s="84" t="e">
        <f>VLOOKUP(Q122,STN_TABLE,3,FALSE)</f>
        <v>#VALUE!</v>
      </c>
      <c r="AA124" t="str">
        <f>CONCATENATE("A(",Q123,")=")</f>
        <v>A(  )=</v>
      </c>
      <c r="AB124" t="e">
        <f>X124+Z124</f>
        <v>#VALUE!</v>
      </c>
      <c r="AC124" s="99">
        <f>AC123+1</f>
        <v>20</v>
      </c>
      <c r="AD124" s="100" t="str">
        <f>VLOOKUP(AC124,STN_TABLE_2,2,FALSE)</f>
        <v xml:space="preserve">  </v>
      </c>
      <c r="AE124" s="82" t="str">
        <f>VLOOKUP(AD124,STN_TABLE,2,FALSE)</f>
        <v xml:space="preserve">  </v>
      </c>
      <c r="AF124" s="82">
        <v>2</v>
      </c>
      <c r="AG124" s="83" t="e">
        <f>AE124*AF124</f>
        <v>#VALUE!</v>
      </c>
      <c r="AH124" s="84" t="str">
        <f>CONCATENATE("a'(",AD124,")=")</f>
        <v>a'(  )=</v>
      </c>
      <c r="AI124" s="84" t="e">
        <f>2*AI122/2*AE125</f>
        <v>#VALUE!</v>
      </c>
      <c r="AJ124" s="84" t="str">
        <f>CONCATENATE("A(",AD123,")=")</f>
        <v>A(  )=</v>
      </c>
      <c r="AK124" s="84" t="str">
        <f>VLOOKUP(AD123,STN_TABLE,3,FALSE)</f>
        <v xml:space="preserve"> </v>
      </c>
      <c r="AL124" t="str">
        <f>CONCATENATE("A(",AD124,")=")</f>
        <v>A(  )=</v>
      </c>
      <c r="AM124" t="e">
        <f>AI124+AK124</f>
        <v>#VALUE!</v>
      </c>
      <c r="AO124" s="68" t="str">
        <f>AA124</f>
        <v>A(  )=</v>
      </c>
      <c r="AP124" s="68" t="e">
        <f>VLOOKUP(AO124,Rise_Results,2,FALSE)</f>
        <v>#N/A</v>
      </c>
      <c r="AQ124" s="76" t="e">
        <f>N124</f>
        <v>#VALUE!</v>
      </c>
      <c r="AR124" s="76" t="e">
        <f>IF(OR(AB124&lt;=0,AB125&lt;=0),1/0,AB124)</f>
        <v>#VALUE!</v>
      </c>
      <c r="AS124" s="76" t="e">
        <f>AM124</f>
        <v>#VALUE!</v>
      </c>
      <c r="AT124" t="e">
        <f>IFERROR(AP124,IFERROR(AQ124,IFERROR(AR124,AS124)))</f>
        <v>#VALUE!</v>
      </c>
      <c r="AU124" s="81"/>
    </row>
    <row r="125" spans="1:47" x14ac:dyDescent="0.25">
      <c r="A125" s="84">
        <f>A124+1</f>
        <v>20</v>
      </c>
      <c r="B125" s="84" t="str">
        <f t="shared" si="48"/>
        <v xml:space="preserve">  </v>
      </c>
      <c r="F125" s="82" t="e">
        <f>SUM(F122:F124)</f>
        <v>#VALUE!</v>
      </c>
      <c r="H125" s="82" t="e">
        <f>SUM(H122:H124)</f>
        <v>#VALUE!</v>
      </c>
      <c r="I125" s="84" t="str">
        <f>CONCATENATE("m'(",C124,")=")</f>
        <v>m'(  )=</v>
      </c>
      <c r="J125" s="84" t="e">
        <f>2*(J122*(WLS))/3*H125</f>
        <v>#VALUE!</v>
      </c>
      <c r="K125" s="84" t="e">
        <f>CONCATENATE("M(",C122,")=")</f>
        <v>#VALUE!</v>
      </c>
      <c r="L125" s="84" t="e">
        <f>VLOOKUP(C122,STN_TABLE,4,FALSE)</f>
        <v>#VALUE!</v>
      </c>
      <c r="M125" t="str">
        <f>CONCATENATE("M(",C124,")=")</f>
        <v>M(  )=</v>
      </c>
      <c r="N125" t="e">
        <f>J125+L125</f>
        <v>#VALUE!</v>
      </c>
      <c r="O125" s="99">
        <f>O124+1</f>
        <v>22</v>
      </c>
      <c r="P125" s="99" t="str">
        <f t="shared" si="44"/>
        <v xml:space="preserve">  </v>
      </c>
      <c r="T125" s="89" t="e">
        <f>SUM(T122:T124)</f>
        <v>#VALUE!</v>
      </c>
      <c r="V125" s="82" t="e">
        <f>SUM(V122:V124)</f>
        <v>#VALUE!</v>
      </c>
      <c r="W125" s="84" t="str">
        <f>CONCATENATE("m'(",Q123,")=")</f>
        <v>m'(  )=</v>
      </c>
      <c r="X125" s="84" t="e">
        <f>(2*(X122^2)/24*V125)+(X124*Q122*WLS)</f>
        <v>#VALUE!</v>
      </c>
      <c r="Y125" s="84" t="e">
        <f>CONCATENATE("M(",Q122,")=")</f>
        <v>#VALUE!</v>
      </c>
      <c r="Z125" s="84" t="e">
        <f>VLOOKUP(Q122,STN_TABLE,4,FALSE)</f>
        <v>#VALUE!</v>
      </c>
      <c r="AA125" t="str">
        <f>CONCATENATE("M(",Q123,")=")</f>
        <v>M(  )=</v>
      </c>
      <c r="AB125" t="e">
        <f>X125+Z125</f>
        <v>#VALUE!</v>
      </c>
      <c r="AE125" s="89">
        <f>SUM(AE123:AE124)</f>
        <v>0</v>
      </c>
      <c r="AG125" s="89" t="e">
        <f>SUM(AG123:AG124)</f>
        <v>#VALUE!</v>
      </c>
      <c r="AH125" s="84" t="str">
        <f>CONCATENATE("m'(",AD124,")=")</f>
        <v>m'(  )=</v>
      </c>
      <c r="AI125" s="84" t="e">
        <f>(2*(AI122^2)/6*AG125)+(AI124*AD123*WLS)</f>
        <v>#VALUE!</v>
      </c>
      <c r="AJ125" s="84" t="str">
        <f>CONCATENATE("M(",AD123,")=")</f>
        <v>M(  )=</v>
      </c>
      <c r="AK125" s="84" t="str">
        <f>VLOOKUP(AD123,STN_TABLE,4,FALSE)</f>
        <v xml:space="preserve"> </v>
      </c>
      <c r="AL125" t="str">
        <f>CONCATENATE("M(",AD124,")=")</f>
        <v>M(  )=</v>
      </c>
      <c r="AM125" t="e">
        <f>AI125+AK125</f>
        <v>#VALUE!</v>
      </c>
      <c r="AO125" s="82" t="str">
        <f>AA125</f>
        <v>M(  )=</v>
      </c>
      <c r="AP125" s="82" t="e">
        <f>VLOOKUP(AO125,Rise_Results,2,FALSE)</f>
        <v>#N/A</v>
      </c>
      <c r="AQ125" s="82" t="e">
        <f>N125</f>
        <v>#VALUE!</v>
      </c>
      <c r="AR125" s="82" t="e">
        <f>IF(OR(AB124&lt;=0,AB125&lt;=0),1/0,AB125)</f>
        <v>#VALUE!</v>
      </c>
      <c r="AS125" s="82" t="e">
        <f>AM125</f>
        <v>#VALUE!</v>
      </c>
      <c r="AT125" t="e">
        <f>IFERROR(AP125,IFERROR(AQ125,IFERROR(AR125,AS125)))</f>
        <v>#VALUE!</v>
      </c>
      <c r="AU125" s="81"/>
    </row>
    <row r="126" spans="1:47" x14ac:dyDescent="0.25">
      <c r="A126" s="101">
        <f>A121+1</f>
        <v>17</v>
      </c>
      <c r="B126" s="101" t="str">
        <f t="shared" si="48"/>
        <v xml:space="preserve">  </v>
      </c>
      <c r="O126" s="101">
        <f>O121+1</f>
        <v>19</v>
      </c>
      <c r="P126" s="101" t="str">
        <f t="shared" si="44"/>
        <v xml:space="preserve">  </v>
      </c>
      <c r="AU126" s="81"/>
    </row>
    <row r="127" spans="1:47" x14ac:dyDescent="0.25">
      <c r="A127" s="84">
        <f>A126+1</f>
        <v>18</v>
      </c>
      <c r="B127" s="84" t="str">
        <f t="shared" si="48"/>
        <v xml:space="preserve">  </v>
      </c>
      <c r="C127" s="79" t="e">
        <f t="shared" ref="C127" si="61">IF(C128=B129,IF(C129-C128=C128-B128,B128,IF(C129-C128=C128-B127,B127,"#NA")),IF(C128=B128,IF(C129-C128=C128-B127,B127,IF(C129-C128=C128-B126,B126,"#NA")),"#NA"))</f>
        <v>#VALUE!</v>
      </c>
      <c r="D127" s="68" t="e">
        <f>VLOOKUP(C127,STN_TABLE,2,FALSE)</f>
        <v>#VALUE!</v>
      </c>
      <c r="E127" s="102">
        <v>1</v>
      </c>
      <c r="F127" s="68" t="e">
        <f>D127*E127</f>
        <v>#VALUE!</v>
      </c>
      <c r="G127" s="69" t="e">
        <f>C127</f>
        <v>#VALUE!</v>
      </c>
      <c r="H127" s="69" t="e">
        <f>F127*G127</f>
        <v>#VALUE!</v>
      </c>
      <c r="I127" s="6" t="s">
        <v>93</v>
      </c>
      <c r="J127" s="70" t="e">
        <f>IF(OR(D127=0,D128=0,D129=0),"#NA",IF(AND(C129-C128=C128-C127,C128&lt;&gt;C129,C127&lt;&gt;C128,C127&lt;&gt;C129,D129&lt;&gt;0,OR(D127&lt;&gt;0,D128&lt;&gt;0)),WLS*(C129-C128),"#NA"))</f>
        <v>#VALUE!</v>
      </c>
      <c r="O127" s="99">
        <f>O126+1</f>
        <v>20</v>
      </c>
      <c r="P127" s="99" t="str">
        <f t="shared" si="44"/>
        <v xml:space="preserve">  </v>
      </c>
      <c r="Q127" s="68" t="e">
        <f>IF(OR(P129-P128=P128-P127,P130-P128=P128-P127),P127,IF(OR(P129-P128=P128-P126,P130-P128=P128-P126),P126,"-"))</f>
        <v>#VALUE!</v>
      </c>
      <c r="R127" s="69" t="e">
        <f>VLOOKUP(Q127,STN_TABLE,2,FALSE)</f>
        <v>#VALUE!</v>
      </c>
      <c r="S127" s="69">
        <v>5</v>
      </c>
      <c r="T127" s="68" t="e">
        <f>R127*S127</f>
        <v>#VALUE!</v>
      </c>
      <c r="U127" s="79">
        <v>3</v>
      </c>
      <c r="V127" s="68" t="e">
        <f>R127*U127</f>
        <v>#VALUE!</v>
      </c>
      <c r="W127" s="6" t="s">
        <v>93</v>
      </c>
      <c r="X127" s="70" t="e">
        <f>IF(AND(Q129-Q128=Q128-Q127,NOT(AND(Q127=0,Q128=0)),NOT(AND(Q128=0,Q129=0))),WLS*(Q129-Q128),"#NA")</f>
        <v>#VALUE!</v>
      </c>
      <c r="AD127" s="93"/>
      <c r="AH127" s="6" t="s">
        <v>93</v>
      </c>
      <c r="AI127" s="70" t="e">
        <f>WLS*(AD129-AD128)</f>
        <v>#VALUE!</v>
      </c>
      <c r="AU127" s="81"/>
    </row>
    <row r="128" spans="1:47" x14ac:dyDescent="0.25">
      <c r="A128" s="84">
        <f>A127+1</f>
        <v>19</v>
      </c>
      <c r="B128" s="84" t="str">
        <f t="shared" si="48"/>
        <v xml:space="preserve">  </v>
      </c>
      <c r="C128" s="80" t="e">
        <f t="shared" ref="C128" si="62">IF(OR(B130-B129=B129-B128,B130-B129=B129-B127,B130-B129=B129-B126),B129,IF(OR(B130-B128=B128-B127,B130-B128=B128-B126),B128,IF(B130-B127=B127-B126,B127,"#NA")))</f>
        <v>#VALUE!</v>
      </c>
      <c r="D128" s="76" t="e">
        <f>VLOOKUP(C128,STN_TABLE,2,FALSE)</f>
        <v>#VALUE!</v>
      </c>
      <c r="E128" s="81">
        <v>4</v>
      </c>
      <c r="F128" s="76" t="e">
        <f>D128*E128</f>
        <v>#VALUE!</v>
      </c>
      <c r="G128" s="77" t="e">
        <f>C128</f>
        <v>#VALUE!</v>
      </c>
      <c r="H128" s="77" t="e">
        <f>F128*G128</f>
        <v>#VALUE!</v>
      </c>
      <c r="I128" s="495" t="s">
        <v>97</v>
      </c>
      <c r="J128" s="496"/>
      <c r="K128" s="78" t="s">
        <v>98</v>
      </c>
      <c r="L128" s="78"/>
      <c r="M128" s="7" t="s">
        <v>99</v>
      </c>
      <c r="N128" s="7"/>
      <c r="O128" s="99">
        <f>O127+1</f>
        <v>21</v>
      </c>
      <c r="P128" s="99" t="str">
        <f t="shared" si="44"/>
        <v xml:space="preserve">  </v>
      </c>
      <c r="Q128" s="76" t="str">
        <f>P128</f>
        <v xml:space="preserve">  </v>
      </c>
      <c r="R128" s="77" t="str">
        <f>VLOOKUP(Q128,STN_TABLE,2,FALSE)</f>
        <v xml:space="preserve">  </v>
      </c>
      <c r="S128" s="77">
        <v>8</v>
      </c>
      <c r="T128" s="76" t="e">
        <f>R128*S128</f>
        <v>#VALUE!</v>
      </c>
      <c r="U128" s="80">
        <v>10</v>
      </c>
      <c r="V128" s="76" t="e">
        <f>R128*U128</f>
        <v>#VALUE!</v>
      </c>
      <c r="W128" s="496" t="s">
        <v>97</v>
      </c>
      <c r="X128" s="496"/>
      <c r="Y128" s="496" t="s">
        <v>98</v>
      </c>
      <c r="Z128" s="496"/>
      <c r="AA128" s="494" t="s">
        <v>99</v>
      </c>
      <c r="AB128" s="494"/>
      <c r="AC128" s="99">
        <f>AC123+1</f>
        <v>20</v>
      </c>
      <c r="AD128" s="95" t="str">
        <f>VLOOKUP(AC128,STN_TABLE_2,2,FALSE)</f>
        <v xml:space="preserve">  </v>
      </c>
      <c r="AE128" s="68" t="str">
        <f>VLOOKUP(AD128,STN_TABLE,2,FALSE)</f>
        <v xml:space="preserve">  </v>
      </c>
      <c r="AF128" s="68">
        <v>1</v>
      </c>
      <c r="AG128" s="69" t="e">
        <f>AE128*AF128</f>
        <v>#VALUE!</v>
      </c>
      <c r="AH128" s="496" t="s">
        <v>97</v>
      </c>
      <c r="AI128" s="496"/>
      <c r="AJ128" s="496" t="s">
        <v>98</v>
      </c>
      <c r="AK128" s="496"/>
      <c r="AL128" s="494" t="s">
        <v>99</v>
      </c>
      <c r="AM128" s="494"/>
      <c r="AP128" s="86" t="s">
        <v>112</v>
      </c>
      <c r="AQ128" s="89" t="s">
        <v>113</v>
      </c>
      <c r="AR128" s="89" t="s">
        <v>114</v>
      </c>
      <c r="AS128" s="89" t="s">
        <v>115</v>
      </c>
      <c r="AU128" s="81"/>
    </row>
    <row r="129" spans="1:47" x14ac:dyDescent="0.25">
      <c r="A129" s="84">
        <f>A128+1</f>
        <v>20</v>
      </c>
      <c r="B129" s="84" t="str">
        <f t="shared" si="48"/>
        <v xml:space="preserve">  </v>
      </c>
      <c r="C129" s="88" t="str">
        <f t="shared" ref="C129" si="63">B130</f>
        <v xml:space="preserve">  </v>
      </c>
      <c r="D129" s="82" t="str">
        <f>VLOOKUP(C129,STN_TABLE,2,FALSE)</f>
        <v xml:space="preserve">  </v>
      </c>
      <c r="E129" s="92">
        <v>1</v>
      </c>
      <c r="F129" s="82" t="e">
        <f>D129*E129</f>
        <v>#VALUE!</v>
      </c>
      <c r="G129" s="83" t="str">
        <f>C129</f>
        <v xml:space="preserve">  </v>
      </c>
      <c r="H129" s="83" t="e">
        <f>F129*G129</f>
        <v>#VALUE!</v>
      </c>
      <c r="I129" s="84" t="str">
        <f>CONCATENATE("a'(",C129,")=")</f>
        <v>a'(  )=</v>
      </c>
      <c r="J129" s="84" t="e">
        <f>2*J127/3*F130</f>
        <v>#VALUE!</v>
      </c>
      <c r="K129" s="84" t="e">
        <f>CONCATENATE("A(",C127,")=")</f>
        <v>#VALUE!</v>
      </c>
      <c r="L129" s="84" t="e">
        <f>VLOOKUP(C127,STN_TABLE,3,FALSE)</f>
        <v>#VALUE!</v>
      </c>
      <c r="M129" t="str">
        <f>CONCATENATE("A(",C129,")=")</f>
        <v>A(  )=</v>
      </c>
      <c r="N129" t="e">
        <f>J129+L129</f>
        <v>#VALUE!</v>
      </c>
      <c r="O129" s="99">
        <f>O128+1</f>
        <v>22</v>
      </c>
      <c r="P129" s="99" t="str">
        <f t="shared" si="44"/>
        <v xml:space="preserve">  </v>
      </c>
      <c r="Q129" s="82" t="e">
        <f>IF(P129-P128=P128-P127,P129,IF(P130-P128=P128-P127,P130,IF(P129-P128=P128-P126,P129,IF(P130-P128=P128-P126,P130,"-"))))</f>
        <v>#VALUE!</v>
      </c>
      <c r="R129" s="83" t="e">
        <f>VLOOKUP(Q129,STN_TABLE,2,FALSE)</f>
        <v>#VALUE!</v>
      </c>
      <c r="S129" s="83">
        <v>-1</v>
      </c>
      <c r="T129" s="82" t="e">
        <f>R129*S129</f>
        <v>#VALUE!</v>
      </c>
      <c r="U129" s="88">
        <v>-1</v>
      </c>
      <c r="V129" s="82" t="e">
        <f>R129*U129</f>
        <v>#VALUE!</v>
      </c>
      <c r="W129" s="84" t="str">
        <f>CONCATENATE("a'(",Q128,")=")</f>
        <v>a'(  )=</v>
      </c>
      <c r="X129" s="84" t="e">
        <f>2*X127/12*T130</f>
        <v>#VALUE!</v>
      </c>
      <c r="Y129" s="84" t="e">
        <f>CONCATENATE("A(",Q127,")=")</f>
        <v>#VALUE!</v>
      </c>
      <c r="Z129" s="84" t="e">
        <f>VLOOKUP(Q127,STN_TABLE,3,FALSE)</f>
        <v>#VALUE!</v>
      </c>
      <c r="AA129" t="str">
        <f>CONCATENATE("A(",Q128,")=")</f>
        <v>A(  )=</v>
      </c>
      <c r="AB129" t="e">
        <f>X129+Z129</f>
        <v>#VALUE!</v>
      </c>
      <c r="AC129" s="99">
        <f>AC128+1</f>
        <v>21</v>
      </c>
      <c r="AD129" s="100" t="str">
        <f>VLOOKUP(AC129,STN_TABLE_2,2,FALSE)</f>
        <v xml:space="preserve">  </v>
      </c>
      <c r="AE129" s="82" t="str">
        <f>VLOOKUP(AD129,STN_TABLE,2,FALSE)</f>
        <v xml:space="preserve">  </v>
      </c>
      <c r="AF129" s="82">
        <v>2</v>
      </c>
      <c r="AG129" s="83" t="e">
        <f>AE129*AF129</f>
        <v>#VALUE!</v>
      </c>
      <c r="AH129" s="84" t="str">
        <f>CONCATENATE("a'(",AD129,")=")</f>
        <v>a'(  )=</v>
      </c>
      <c r="AI129" s="84" t="e">
        <f>2*AI127/2*AE130</f>
        <v>#VALUE!</v>
      </c>
      <c r="AJ129" s="84" t="str">
        <f>CONCATENATE("A(",AD128,")=")</f>
        <v>A(  )=</v>
      </c>
      <c r="AK129" s="84" t="str">
        <f>VLOOKUP(AD128,STN_TABLE,3,FALSE)</f>
        <v xml:space="preserve"> </v>
      </c>
      <c r="AL129" t="str">
        <f>CONCATENATE("A(",AD129,")=")</f>
        <v>A(  )=</v>
      </c>
      <c r="AM129" t="e">
        <f>AI129+AK129</f>
        <v>#VALUE!</v>
      </c>
      <c r="AO129" s="68" t="str">
        <f>AA129</f>
        <v>A(  )=</v>
      </c>
      <c r="AP129" s="68" t="e">
        <f>VLOOKUP(AO129,Rise_Results,2,FALSE)</f>
        <v>#N/A</v>
      </c>
      <c r="AQ129" s="76" t="e">
        <f>N129</f>
        <v>#VALUE!</v>
      </c>
      <c r="AR129" s="76" t="e">
        <f>IF(OR(AB129&lt;=0,AB130&lt;=0),1/0,AB129)</f>
        <v>#VALUE!</v>
      </c>
      <c r="AS129" s="76" t="e">
        <f>AM129</f>
        <v>#VALUE!</v>
      </c>
      <c r="AT129" t="e">
        <f>IFERROR(AP129,IFERROR(AQ129,IFERROR(AR129,AS129)))</f>
        <v>#VALUE!</v>
      </c>
      <c r="AU129" s="81"/>
    </row>
    <row r="130" spans="1:47" x14ac:dyDescent="0.25">
      <c r="A130" s="84">
        <f>A129+1</f>
        <v>21</v>
      </c>
      <c r="B130" s="84" t="str">
        <f t="shared" si="48"/>
        <v xml:space="preserve">  </v>
      </c>
      <c r="F130" s="82" t="e">
        <f>SUM(F127:F129)</f>
        <v>#VALUE!</v>
      </c>
      <c r="H130" s="82" t="e">
        <f>SUM(H127:H129)</f>
        <v>#VALUE!</v>
      </c>
      <c r="I130" s="84" t="str">
        <f>CONCATENATE("m'(",C129,")=")</f>
        <v>m'(  )=</v>
      </c>
      <c r="J130" s="84" t="e">
        <f>2*(J127*(WLS))/3*H130</f>
        <v>#VALUE!</v>
      </c>
      <c r="K130" s="84" t="e">
        <f>CONCATENATE("M(",C127,")=")</f>
        <v>#VALUE!</v>
      </c>
      <c r="L130" s="84" t="e">
        <f>VLOOKUP(C127,STN_TABLE,4,FALSE)</f>
        <v>#VALUE!</v>
      </c>
      <c r="M130" t="str">
        <f>CONCATENATE("M(",C129,")=")</f>
        <v>M(  )=</v>
      </c>
      <c r="N130" t="e">
        <f>J130+L130</f>
        <v>#VALUE!</v>
      </c>
      <c r="O130" s="99">
        <f>O129+1</f>
        <v>23</v>
      </c>
      <c r="P130" s="99" t="str">
        <f t="shared" si="44"/>
        <v xml:space="preserve">  </v>
      </c>
      <c r="T130" s="89" t="e">
        <f>SUM(T127:T129)</f>
        <v>#VALUE!</v>
      </c>
      <c r="V130" s="82" t="e">
        <f>SUM(V127:V129)</f>
        <v>#VALUE!</v>
      </c>
      <c r="W130" s="84" t="str">
        <f>CONCATENATE("m'(",Q128,")=")</f>
        <v>m'(  )=</v>
      </c>
      <c r="X130" s="84" t="e">
        <f>(2*(X127^2)/24*V130)+(X129*Q127*WLS)</f>
        <v>#VALUE!</v>
      </c>
      <c r="Y130" s="84" t="e">
        <f>CONCATENATE("M(",Q127,")=")</f>
        <v>#VALUE!</v>
      </c>
      <c r="Z130" s="84" t="e">
        <f>VLOOKUP(Q127,STN_TABLE,4,FALSE)</f>
        <v>#VALUE!</v>
      </c>
      <c r="AA130" t="str">
        <f>CONCATENATE("M(",Q128,")=")</f>
        <v>M(  )=</v>
      </c>
      <c r="AB130" t="e">
        <f>X130+Z130</f>
        <v>#VALUE!</v>
      </c>
      <c r="AE130" s="89">
        <f>SUM(AE128:AE129)</f>
        <v>0</v>
      </c>
      <c r="AG130" s="89" t="e">
        <f>SUM(AG128:AG129)</f>
        <v>#VALUE!</v>
      </c>
      <c r="AH130" s="84" t="str">
        <f>CONCATENATE("m'(",AD129,")=")</f>
        <v>m'(  )=</v>
      </c>
      <c r="AI130" s="84" t="e">
        <f>(2*(AI127^2)/6*AG130)+(AI129*AD128*WLS)</f>
        <v>#VALUE!</v>
      </c>
      <c r="AJ130" s="84" t="str">
        <f>CONCATENATE("M(",AD128,")=")</f>
        <v>M(  )=</v>
      </c>
      <c r="AK130" s="84" t="str">
        <f>VLOOKUP(AD128,STN_TABLE,4,FALSE)</f>
        <v xml:space="preserve"> </v>
      </c>
      <c r="AL130" t="str">
        <f>CONCATENATE("M(",AD129,")=")</f>
        <v>M(  )=</v>
      </c>
      <c r="AM130" t="e">
        <f>AI130+AK130</f>
        <v>#VALUE!</v>
      </c>
      <c r="AO130" s="82" t="str">
        <f>AA130</f>
        <v>M(  )=</v>
      </c>
      <c r="AP130" s="82" t="e">
        <f>VLOOKUP(AO130,Rise_Results,2,FALSE)</f>
        <v>#N/A</v>
      </c>
      <c r="AQ130" s="82" t="e">
        <f>N130</f>
        <v>#VALUE!</v>
      </c>
      <c r="AR130" s="82" t="e">
        <f>IF(OR(AB129&lt;=0,AB130&lt;=0),1/0,AB130)</f>
        <v>#VALUE!</v>
      </c>
      <c r="AS130" s="82" t="e">
        <f>AM130</f>
        <v>#VALUE!</v>
      </c>
      <c r="AT130" t="e">
        <f>IFERROR(AP130,IFERROR(AQ130,IFERROR(AR130,AS130)))</f>
        <v>#VALUE!</v>
      </c>
      <c r="AU130" s="81"/>
    </row>
    <row r="131" spans="1:47" x14ac:dyDescent="0.25">
      <c r="A131" s="101">
        <f>A126+1</f>
        <v>18</v>
      </c>
      <c r="B131" s="101" t="str">
        <f t="shared" si="48"/>
        <v xml:space="preserve">  </v>
      </c>
      <c r="O131" s="101">
        <f>O126+1</f>
        <v>20</v>
      </c>
      <c r="P131" s="101" t="str">
        <f t="shared" si="44"/>
        <v xml:space="preserve">  </v>
      </c>
      <c r="AU131" s="81"/>
    </row>
    <row r="132" spans="1:47" x14ac:dyDescent="0.25">
      <c r="A132" s="84">
        <f>A131+1</f>
        <v>19</v>
      </c>
      <c r="B132" s="84" t="str">
        <f t="shared" si="48"/>
        <v xml:space="preserve">  </v>
      </c>
      <c r="C132" s="79" t="e">
        <f t="shared" ref="C132" si="64">IF(C133=B134,IF(C134-C133=C133-B133,B133,IF(C134-C133=C133-B132,B132,"#NA")),IF(C133=B133,IF(C134-C133=C133-B132,B132,IF(C134-C133=C133-B131,B131,"#NA")),"#NA"))</f>
        <v>#VALUE!</v>
      </c>
      <c r="D132" s="68" t="e">
        <f>VLOOKUP(C132,STN_TABLE,2,FALSE)</f>
        <v>#VALUE!</v>
      </c>
      <c r="E132" s="102">
        <v>1</v>
      </c>
      <c r="F132" s="68" t="e">
        <f>D132*E132</f>
        <v>#VALUE!</v>
      </c>
      <c r="G132" s="69" t="e">
        <f>C132</f>
        <v>#VALUE!</v>
      </c>
      <c r="H132" s="69" t="e">
        <f>F132*G132</f>
        <v>#VALUE!</v>
      </c>
      <c r="I132" s="6" t="s">
        <v>93</v>
      </c>
      <c r="J132" s="70" t="e">
        <f>IF(OR(D132=0,D133=0,D134=0),"#NA",IF(AND(C134-C133=C133-C132,C133&lt;&gt;C134,C132&lt;&gt;C133,C132&lt;&gt;C134,D134&lt;&gt;0,OR(D132&lt;&gt;0,D133&lt;&gt;0)),WLS*(C134-C133),"#NA"))</f>
        <v>#VALUE!</v>
      </c>
      <c r="O132" s="99">
        <f>O131+1</f>
        <v>21</v>
      </c>
      <c r="P132" s="99" t="str">
        <f t="shared" ref="P132:P150" si="65">VLOOKUP(O132,STN_TABLE_2,2,FALSE)</f>
        <v xml:space="preserve">  </v>
      </c>
      <c r="Q132" s="68" t="e">
        <f>IF(OR(P134-P133=P133-P132,P135-P133=P133-P132),P132,IF(OR(P134-P133=P133-P131,P135-P133=P133-P131),P131,"-"))</f>
        <v>#VALUE!</v>
      </c>
      <c r="R132" s="69" t="e">
        <f>VLOOKUP(Q132,STN_TABLE,2,FALSE)</f>
        <v>#VALUE!</v>
      </c>
      <c r="S132" s="69">
        <v>5</v>
      </c>
      <c r="T132" s="68" t="e">
        <f>R132*S132</f>
        <v>#VALUE!</v>
      </c>
      <c r="U132" s="79">
        <v>3</v>
      </c>
      <c r="V132" s="68" t="e">
        <f>R132*U132</f>
        <v>#VALUE!</v>
      </c>
      <c r="W132" s="6" t="s">
        <v>93</v>
      </c>
      <c r="X132" s="70" t="e">
        <f>IF(AND(Q134-Q133=Q133-Q132,NOT(AND(Q132=0,Q133=0)),NOT(AND(Q133=0,Q134=0))),WLS*(Q134-Q133),"#NA")</f>
        <v>#VALUE!</v>
      </c>
      <c r="AD132" s="93"/>
      <c r="AH132" s="6" t="s">
        <v>93</v>
      </c>
      <c r="AI132" s="70" t="e">
        <f>WLS*(AD134-AD133)</f>
        <v>#VALUE!</v>
      </c>
      <c r="AU132" s="81"/>
    </row>
    <row r="133" spans="1:47" x14ac:dyDescent="0.25">
      <c r="A133" s="84">
        <f>A132+1</f>
        <v>20</v>
      </c>
      <c r="B133" s="84" t="str">
        <f t="shared" si="48"/>
        <v xml:space="preserve">  </v>
      </c>
      <c r="C133" s="80" t="e">
        <f t="shared" ref="C133" si="66">IF(OR(B135-B134=B134-B133,B135-B134=B134-B132,B135-B134=B134-B131),B134,IF(OR(B135-B133=B133-B132,B135-B133=B133-B131),B133,IF(B135-B132=B132-B131,B132,"#NA")))</f>
        <v>#VALUE!</v>
      </c>
      <c r="D133" s="76" t="e">
        <f>VLOOKUP(C133,STN_TABLE,2,FALSE)</f>
        <v>#VALUE!</v>
      </c>
      <c r="E133" s="81">
        <v>4</v>
      </c>
      <c r="F133" s="76" t="e">
        <f>D133*E133</f>
        <v>#VALUE!</v>
      </c>
      <c r="G133" s="77" t="e">
        <f>C133</f>
        <v>#VALUE!</v>
      </c>
      <c r="H133" s="77" t="e">
        <f>F133*G133</f>
        <v>#VALUE!</v>
      </c>
      <c r="I133" s="495" t="s">
        <v>97</v>
      </c>
      <c r="J133" s="496"/>
      <c r="K133" s="78" t="s">
        <v>98</v>
      </c>
      <c r="L133" s="78"/>
      <c r="M133" s="7" t="s">
        <v>99</v>
      </c>
      <c r="N133" s="7"/>
      <c r="O133" s="99">
        <f>O132+1</f>
        <v>22</v>
      </c>
      <c r="P133" s="99" t="str">
        <f t="shared" si="65"/>
        <v xml:space="preserve">  </v>
      </c>
      <c r="Q133" s="76" t="str">
        <f>P133</f>
        <v xml:space="preserve">  </v>
      </c>
      <c r="R133" s="77" t="str">
        <f>VLOOKUP(Q133,STN_TABLE,2,FALSE)</f>
        <v xml:space="preserve">  </v>
      </c>
      <c r="S133" s="77">
        <v>8</v>
      </c>
      <c r="T133" s="76" t="e">
        <f>R133*S133</f>
        <v>#VALUE!</v>
      </c>
      <c r="U133" s="80">
        <v>10</v>
      </c>
      <c r="V133" s="76" t="e">
        <f>R133*U133</f>
        <v>#VALUE!</v>
      </c>
      <c r="W133" s="496" t="s">
        <v>97</v>
      </c>
      <c r="X133" s="496"/>
      <c r="Y133" s="496" t="s">
        <v>98</v>
      </c>
      <c r="Z133" s="496"/>
      <c r="AA133" s="494" t="s">
        <v>99</v>
      </c>
      <c r="AB133" s="494"/>
      <c r="AC133" s="99">
        <f>AC128+1</f>
        <v>21</v>
      </c>
      <c r="AD133" s="95" t="str">
        <f>VLOOKUP(AC133,STN_TABLE_2,2,FALSE)</f>
        <v xml:space="preserve">  </v>
      </c>
      <c r="AE133" s="68" t="str">
        <f>VLOOKUP(AD133,STN_TABLE,2,FALSE)</f>
        <v xml:space="preserve">  </v>
      </c>
      <c r="AF133" s="68">
        <v>1</v>
      </c>
      <c r="AG133" s="69" t="e">
        <f>AE133*AF133</f>
        <v>#VALUE!</v>
      </c>
      <c r="AH133" s="496" t="s">
        <v>97</v>
      </c>
      <c r="AI133" s="496"/>
      <c r="AJ133" s="496" t="s">
        <v>98</v>
      </c>
      <c r="AK133" s="496"/>
      <c r="AL133" s="494" t="s">
        <v>99</v>
      </c>
      <c r="AM133" s="494"/>
      <c r="AP133" s="86" t="s">
        <v>112</v>
      </c>
      <c r="AQ133" s="89" t="s">
        <v>113</v>
      </c>
      <c r="AR133" s="89" t="s">
        <v>114</v>
      </c>
      <c r="AS133" s="89" t="s">
        <v>115</v>
      </c>
      <c r="AU133" s="81"/>
    </row>
    <row r="134" spans="1:47" x14ac:dyDescent="0.25">
      <c r="A134" s="84">
        <f>A133+1</f>
        <v>21</v>
      </c>
      <c r="B134" s="84" t="str">
        <f t="shared" si="48"/>
        <v xml:space="preserve">  </v>
      </c>
      <c r="C134" s="88" t="str">
        <f t="shared" ref="C134" si="67">B135</f>
        <v xml:space="preserve">  </v>
      </c>
      <c r="D134" s="82" t="str">
        <f>VLOOKUP(C134,STN_TABLE,2,FALSE)</f>
        <v xml:space="preserve">  </v>
      </c>
      <c r="E134" s="92">
        <v>1</v>
      </c>
      <c r="F134" s="82" t="e">
        <f>D134*E134</f>
        <v>#VALUE!</v>
      </c>
      <c r="G134" s="83" t="str">
        <f>C134</f>
        <v xml:space="preserve">  </v>
      </c>
      <c r="H134" s="83" t="e">
        <f>F134*G134</f>
        <v>#VALUE!</v>
      </c>
      <c r="I134" s="84" t="str">
        <f>CONCATENATE("a'(",C134,")=")</f>
        <v>a'(  )=</v>
      </c>
      <c r="J134" s="84" t="e">
        <f>2*J132/3*F135</f>
        <v>#VALUE!</v>
      </c>
      <c r="K134" s="84" t="e">
        <f>CONCATENATE("A(",C132,")=")</f>
        <v>#VALUE!</v>
      </c>
      <c r="L134" s="84" t="e">
        <f>VLOOKUP(C132,STN_TABLE,3,FALSE)</f>
        <v>#VALUE!</v>
      </c>
      <c r="M134" t="str">
        <f>CONCATENATE("A(",C134,")=")</f>
        <v>A(  )=</v>
      </c>
      <c r="N134" t="e">
        <f>J134+L134</f>
        <v>#VALUE!</v>
      </c>
      <c r="O134" s="99">
        <f>O133+1</f>
        <v>23</v>
      </c>
      <c r="P134" s="99" t="str">
        <f t="shared" si="65"/>
        <v xml:space="preserve">  </v>
      </c>
      <c r="Q134" s="82" t="e">
        <f>IF(P134-P133=P133-P132,P134,IF(P135-P133=P133-P132,P135,IF(P134-P133=P133-P131,P134,IF(P135-P133=P133-P131,P135,"-"))))</f>
        <v>#VALUE!</v>
      </c>
      <c r="R134" s="83" t="e">
        <f>VLOOKUP(Q134,STN_TABLE,2,FALSE)</f>
        <v>#VALUE!</v>
      </c>
      <c r="S134" s="83">
        <v>-1</v>
      </c>
      <c r="T134" s="82" t="e">
        <f>R134*S134</f>
        <v>#VALUE!</v>
      </c>
      <c r="U134" s="88">
        <v>-1</v>
      </c>
      <c r="V134" s="82" t="e">
        <f>R134*U134</f>
        <v>#VALUE!</v>
      </c>
      <c r="W134" s="84" t="str">
        <f>CONCATENATE("a'(",Q133,")=")</f>
        <v>a'(  )=</v>
      </c>
      <c r="X134" s="84" t="e">
        <f>2*X132/12*T135</f>
        <v>#VALUE!</v>
      </c>
      <c r="Y134" s="84" t="e">
        <f>CONCATENATE("A(",Q132,")=")</f>
        <v>#VALUE!</v>
      </c>
      <c r="Z134" s="84" t="e">
        <f>VLOOKUP(Q132,STN_TABLE,3,FALSE)</f>
        <v>#VALUE!</v>
      </c>
      <c r="AA134" t="str">
        <f>CONCATENATE("A(",Q133,")=")</f>
        <v>A(  )=</v>
      </c>
      <c r="AB134" t="e">
        <f>X134+Z134</f>
        <v>#VALUE!</v>
      </c>
      <c r="AC134" s="99">
        <f>AC133+1</f>
        <v>22</v>
      </c>
      <c r="AD134" s="100" t="str">
        <f>VLOOKUP(AC134,STN_TABLE_2,2,FALSE)</f>
        <v xml:space="preserve">  </v>
      </c>
      <c r="AE134" s="82" t="str">
        <f>VLOOKUP(AD134,STN_TABLE,2,FALSE)</f>
        <v xml:space="preserve">  </v>
      </c>
      <c r="AF134" s="82">
        <v>2</v>
      </c>
      <c r="AG134" s="83" t="e">
        <f>AE134*AF134</f>
        <v>#VALUE!</v>
      </c>
      <c r="AH134" s="84" t="str">
        <f>CONCATENATE("a'(",AD134,")=")</f>
        <v>a'(  )=</v>
      </c>
      <c r="AI134" s="84" t="e">
        <f>2*AI132/2*AE135</f>
        <v>#VALUE!</v>
      </c>
      <c r="AJ134" s="84" t="str">
        <f>CONCATENATE("A(",AD133,")=")</f>
        <v>A(  )=</v>
      </c>
      <c r="AK134" s="84" t="str">
        <f>VLOOKUP(AD133,STN_TABLE,3,FALSE)</f>
        <v xml:space="preserve"> </v>
      </c>
      <c r="AL134" t="str">
        <f>CONCATENATE("A(",AD134,")=")</f>
        <v>A(  )=</v>
      </c>
      <c r="AM134" t="e">
        <f>AI134+AK134</f>
        <v>#VALUE!</v>
      </c>
      <c r="AO134" s="68" t="str">
        <f>AA134</f>
        <v>A(  )=</v>
      </c>
      <c r="AP134" s="68" t="e">
        <f>VLOOKUP(AO134,Rise_Results,2,FALSE)</f>
        <v>#N/A</v>
      </c>
      <c r="AQ134" s="76" t="e">
        <f>N134</f>
        <v>#VALUE!</v>
      </c>
      <c r="AR134" s="76" t="e">
        <f>IF(OR(AB134&lt;=0,AB135&lt;=0),1/0,AB134)</f>
        <v>#VALUE!</v>
      </c>
      <c r="AS134" s="76" t="e">
        <f>AM134</f>
        <v>#VALUE!</v>
      </c>
      <c r="AT134" t="e">
        <f>IFERROR(AP134,IFERROR(AQ134,IFERROR(AR134,AS134)))</f>
        <v>#VALUE!</v>
      </c>
      <c r="AU134" s="81"/>
    </row>
    <row r="135" spans="1:47" x14ac:dyDescent="0.25">
      <c r="A135" s="84">
        <f>A134+1</f>
        <v>22</v>
      </c>
      <c r="B135" s="84" t="str">
        <f t="shared" si="48"/>
        <v xml:space="preserve">  </v>
      </c>
      <c r="F135" s="82" t="e">
        <f>SUM(F132:F134)</f>
        <v>#VALUE!</v>
      </c>
      <c r="H135" s="82" t="e">
        <f>SUM(H132:H134)</f>
        <v>#VALUE!</v>
      </c>
      <c r="I135" s="84" t="str">
        <f>CONCATENATE("m'(",C134,")=")</f>
        <v>m'(  )=</v>
      </c>
      <c r="J135" s="84" t="e">
        <f>2*(J132*(WLS))/3*H135</f>
        <v>#VALUE!</v>
      </c>
      <c r="K135" s="84" t="e">
        <f>CONCATENATE("M(",C132,")=")</f>
        <v>#VALUE!</v>
      </c>
      <c r="L135" s="84" t="e">
        <f>VLOOKUP(C132,STN_TABLE,4,FALSE)</f>
        <v>#VALUE!</v>
      </c>
      <c r="M135" t="str">
        <f>CONCATENATE("M(",C134,")=")</f>
        <v>M(  )=</v>
      </c>
      <c r="N135" t="e">
        <f>J135+L135</f>
        <v>#VALUE!</v>
      </c>
      <c r="O135" s="99">
        <f>O134+1</f>
        <v>24</v>
      </c>
      <c r="P135" s="99" t="str">
        <f t="shared" si="65"/>
        <v xml:space="preserve">  </v>
      </c>
      <c r="T135" s="89" t="e">
        <f>SUM(T132:T134)</f>
        <v>#VALUE!</v>
      </c>
      <c r="V135" s="82" t="e">
        <f>SUM(V132:V134)</f>
        <v>#VALUE!</v>
      </c>
      <c r="W135" s="84" t="str">
        <f>CONCATENATE("m'(",Q133,")=")</f>
        <v>m'(  )=</v>
      </c>
      <c r="X135" s="84" t="e">
        <f>(2*(X132^2)/24*V135)+(X134*Q132*WLS)</f>
        <v>#VALUE!</v>
      </c>
      <c r="Y135" s="84" t="e">
        <f>CONCATENATE("M(",Q132,")=")</f>
        <v>#VALUE!</v>
      </c>
      <c r="Z135" s="84" t="e">
        <f>VLOOKUP(Q132,STN_TABLE,4,FALSE)</f>
        <v>#VALUE!</v>
      </c>
      <c r="AA135" t="str">
        <f>CONCATENATE("M(",Q133,")=")</f>
        <v>M(  )=</v>
      </c>
      <c r="AB135" t="e">
        <f>X135+Z135</f>
        <v>#VALUE!</v>
      </c>
      <c r="AE135" s="89">
        <f>SUM(AE133:AE134)</f>
        <v>0</v>
      </c>
      <c r="AG135" s="89" t="e">
        <f>SUM(AG133:AG134)</f>
        <v>#VALUE!</v>
      </c>
      <c r="AH135" s="84" t="str">
        <f>CONCATENATE("m'(",AD134,")=")</f>
        <v>m'(  )=</v>
      </c>
      <c r="AI135" s="84" t="e">
        <f>(2*(AI132^2)/6*AG135)+(AI134*AD133*WLS)</f>
        <v>#VALUE!</v>
      </c>
      <c r="AJ135" s="84" t="str">
        <f>CONCATENATE("M(",AD133,")=")</f>
        <v>M(  )=</v>
      </c>
      <c r="AK135" s="84" t="str">
        <f>VLOOKUP(AD133,STN_TABLE,4,FALSE)</f>
        <v xml:space="preserve"> </v>
      </c>
      <c r="AL135" t="str">
        <f>CONCATENATE("M(",AD134,")=")</f>
        <v>M(  )=</v>
      </c>
      <c r="AM135" t="e">
        <f>AI135+AK135</f>
        <v>#VALUE!</v>
      </c>
      <c r="AO135" s="82" t="str">
        <f>AA135</f>
        <v>M(  )=</v>
      </c>
      <c r="AP135" s="82" t="e">
        <f>VLOOKUP(AO135,Rise_Results,2,FALSE)</f>
        <v>#N/A</v>
      </c>
      <c r="AQ135" s="82" t="e">
        <f>N135</f>
        <v>#VALUE!</v>
      </c>
      <c r="AR135" s="82" t="e">
        <f>IF(OR(AB134&lt;=0,AB135&lt;=0),1/0,AB135)</f>
        <v>#VALUE!</v>
      </c>
      <c r="AS135" s="82" t="e">
        <f>AM135</f>
        <v>#VALUE!</v>
      </c>
      <c r="AT135" t="e">
        <f>IFERROR(AP135,IFERROR(AQ135,IFERROR(AR135,AS135)))</f>
        <v>#VALUE!</v>
      </c>
      <c r="AU135" s="81"/>
    </row>
    <row r="136" spans="1:47" x14ac:dyDescent="0.25">
      <c r="A136" s="101">
        <f>A131+1</f>
        <v>19</v>
      </c>
      <c r="B136" s="101" t="str">
        <f t="shared" si="48"/>
        <v xml:space="preserve">  </v>
      </c>
      <c r="O136" s="101">
        <f>O131+1</f>
        <v>21</v>
      </c>
      <c r="P136" s="101" t="str">
        <f t="shared" si="65"/>
        <v xml:space="preserve">  </v>
      </c>
      <c r="AU136" s="81"/>
    </row>
    <row r="137" spans="1:47" x14ac:dyDescent="0.25">
      <c r="A137" s="84">
        <f>A136+1</f>
        <v>20</v>
      </c>
      <c r="B137" s="84" t="str">
        <f t="shared" si="48"/>
        <v xml:space="preserve">  </v>
      </c>
      <c r="C137" s="79" t="e">
        <f t="shared" ref="C137" si="68">IF(C138=B139,IF(C139-C138=C138-B138,B138,IF(C139-C138=C138-B137,B137,"#NA")),IF(C138=B138,IF(C139-C138=C138-B137,B137,IF(C139-C138=C138-B136,B136,"#NA")),"#NA"))</f>
        <v>#VALUE!</v>
      </c>
      <c r="D137" s="68" t="e">
        <f>VLOOKUP(C137,STN_TABLE,2,FALSE)</f>
        <v>#VALUE!</v>
      </c>
      <c r="E137" s="102">
        <v>1</v>
      </c>
      <c r="F137" s="68" t="e">
        <f>D137*E137</f>
        <v>#VALUE!</v>
      </c>
      <c r="G137" s="69" t="e">
        <f>C137</f>
        <v>#VALUE!</v>
      </c>
      <c r="H137" s="69" t="e">
        <f>F137*G137</f>
        <v>#VALUE!</v>
      </c>
      <c r="I137" s="6" t="s">
        <v>93</v>
      </c>
      <c r="J137" s="70" t="e">
        <f>IF(OR(D137=0,D138=0,D139=0),"#NA",IF(AND(C139-C138=C138-C137,C138&lt;&gt;C139,C137&lt;&gt;C138,C137&lt;&gt;C139,D139&lt;&gt;0,OR(D137&lt;&gt;0,D138&lt;&gt;0)),WLS*(C139-C138),"#NA"))</f>
        <v>#VALUE!</v>
      </c>
      <c r="O137" s="99">
        <f>O136+1</f>
        <v>22</v>
      </c>
      <c r="P137" s="99" t="str">
        <f t="shared" si="65"/>
        <v xml:space="preserve">  </v>
      </c>
      <c r="Q137" s="68" t="e">
        <f>IF(OR(P139-P138=P138-P137,P140-P138=P138-P137),P137,IF(OR(P139-P138=P138-P136,P140-P138=P138-P136),P136,"-"))</f>
        <v>#VALUE!</v>
      </c>
      <c r="R137" s="69" t="e">
        <f>VLOOKUP(Q137,STN_TABLE,2,FALSE)</f>
        <v>#VALUE!</v>
      </c>
      <c r="S137" s="69">
        <v>5</v>
      </c>
      <c r="T137" s="68" t="e">
        <f>R137*S137</f>
        <v>#VALUE!</v>
      </c>
      <c r="U137" s="79">
        <v>3</v>
      </c>
      <c r="V137" s="68" t="e">
        <f>R137*U137</f>
        <v>#VALUE!</v>
      </c>
      <c r="W137" s="6" t="s">
        <v>93</v>
      </c>
      <c r="X137" s="70" t="e">
        <f>IF(AND(Q139-Q138=Q138-Q137,NOT(AND(Q137=0,Q138=0)),NOT(AND(Q138=0,Q139=0))),WLS*(Q139-Q138),"#NA")</f>
        <v>#VALUE!</v>
      </c>
      <c r="AD137" s="93"/>
      <c r="AH137" s="6" t="s">
        <v>93</v>
      </c>
      <c r="AI137" s="70" t="e">
        <f>WLS*(AD139-AD138)</f>
        <v>#VALUE!</v>
      </c>
      <c r="AU137" s="81"/>
    </row>
    <row r="138" spans="1:47" x14ac:dyDescent="0.25">
      <c r="A138" s="84">
        <f>A137+1</f>
        <v>21</v>
      </c>
      <c r="B138" s="84" t="str">
        <f t="shared" ref="B138:B150" si="69">VLOOKUP(A138,STN_TABLE_2,2,FALSE)</f>
        <v xml:space="preserve">  </v>
      </c>
      <c r="C138" s="80" t="e">
        <f t="shared" ref="C138" si="70">IF(OR(B140-B139=B139-B138,B140-B139=B139-B137,B140-B139=B139-B136),B139,IF(OR(B140-B138=B138-B137,B140-B138=B138-B136),B138,IF(B140-B137=B137-B136,B137,"#NA")))</f>
        <v>#VALUE!</v>
      </c>
      <c r="D138" s="76" t="e">
        <f>VLOOKUP(C138,STN_TABLE,2,FALSE)</f>
        <v>#VALUE!</v>
      </c>
      <c r="E138" s="81">
        <v>4</v>
      </c>
      <c r="F138" s="76" t="e">
        <f>D138*E138</f>
        <v>#VALUE!</v>
      </c>
      <c r="G138" s="77" t="e">
        <f>C138</f>
        <v>#VALUE!</v>
      </c>
      <c r="H138" s="77" t="e">
        <f>F138*G138</f>
        <v>#VALUE!</v>
      </c>
      <c r="I138" s="495" t="s">
        <v>97</v>
      </c>
      <c r="J138" s="496"/>
      <c r="K138" s="78" t="s">
        <v>98</v>
      </c>
      <c r="L138" s="78"/>
      <c r="M138" s="7" t="s">
        <v>99</v>
      </c>
      <c r="N138" s="7"/>
      <c r="O138" s="99">
        <f>O137+1</f>
        <v>23</v>
      </c>
      <c r="P138" s="99" t="str">
        <f t="shared" si="65"/>
        <v xml:space="preserve">  </v>
      </c>
      <c r="Q138" s="76" t="str">
        <f>P138</f>
        <v xml:space="preserve">  </v>
      </c>
      <c r="R138" s="77" t="str">
        <f>VLOOKUP(Q138,STN_TABLE,2,FALSE)</f>
        <v xml:space="preserve">  </v>
      </c>
      <c r="S138" s="77">
        <v>8</v>
      </c>
      <c r="T138" s="76" t="e">
        <f>R138*S138</f>
        <v>#VALUE!</v>
      </c>
      <c r="U138" s="80">
        <v>10</v>
      </c>
      <c r="V138" s="76" t="e">
        <f>R138*U138</f>
        <v>#VALUE!</v>
      </c>
      <c r="W138" s="496" t="s">
        <v>97</v>
      </c>
      <c r="X138" s="496"/>
      <c r="Y138" s="496" t="s">
        <v>98</v>
      </c>
      <c r="Z138" s="496"/>
      <c r="AA138" s="494" t="s">
        <v>99</v>
      </c>
      <c r="AB138" s="494"/>
      <c r="AC138" s="99">
        <f>AC133+1</f>
        <v>22</v>
      </c>
      <c r="AD138" s="95" t="str">
        <f>VLOOKUP(AC138,STN_TABLE_2,2,FALSE)</f>
        <v xml:space="preserve">  </v>
      </c>
      <c r="AE138" s="68" t="str">
        <f>VLOOKUP(AD138,STN_TABLE,2,FALSE)</f>
        <v xml:space="preserve">  </v>
      </c>
      <c r="AF138" s="68">
        <v>1</v>
      </c>
      <c r="AG138" s="69" t="e">
        <f>AE138*AF138</f>
        <v>#VALUE!</v>
      </c>
      <c r="AH138" s="496" t="s">
        <v>97</v>
      </c>
      <c r="AI138" s="496"/>
      <c r="AJ138" s="496" t="s">
        <v>98</v>
      </c>
      <c r="AK138" s="496"/>
      <c r="AL138" s="494" t="s">
        <v>99</v>
      </c>
      <c r="AM138" s="494"/>
      <c r="AP138" s="86" t="s">
        <v>112</v>
      </c>
      <c r="AQ138" s="89" t="s">
        <v>113</v>
      </c>
      <c r="AR138" s="89" t="s">
        <v>114</v>
      </c>
      <c r="AS138" s="89" t="s">
        <v>115</v>
      </c>
      <c r="AU138" s="81"/>
    </row>
    <row r="139" spans="1:47" x14ac:dyDescent="0.25">
      <c r="A139" s="84">
        <f>A138+1</f>
        <v>22</v>
      </c>
      <c r="B139" s="84" t="str">
        <f t="shared" si="69"/>
        <v xml:space="preserve">  </v>
      </c>
      <c r="C139" s="88" t="str">
        <f t="shared" ref="C139" si="71">B140</f>
        <v xml:space="preserve">  </v>
      </c>
      <c r="D139" s="82" t="str">
        <f>VLOOKUP(C139,STN_TABLE,2,FALSE)</f>
        <v xml:space="preserve">  </v>
      </c>
      <c r="E139" s="92">
        <v>1</v>
      </c>
      <c r="F139" s="82" t="e">
        <f>D139*E139</f>
        <v>#VALUE!</v>
      </c>
      <c r="G139" s="83" t="str">
        <f>C139</f>
        <v xml:space="preserve">  </v>
      </c>
      <c r="H139" s="83" t="e">
        <f>F139*G139</f>
        <v>#VALUE!</v>
      </c>
      <c r="I139" s="84" t="str">
        <f>CONCATENATE("a'(",C139,")=")</f>
        <v>a'(  )=</v>
      </c>
      <c r="J139" s="84" t="e">
        <f>2*J137/3*F140</f>
        <v>#VALUE!</v>
      </c>
      <c r="K139" s="84" t="e">
        <f>CONCATENATE("A(",C137,")=")</f>
        <v>#VALUE!</v>
      </c>
      <c r="L139" s="84" t="e">
        <f>VLOOKUP(C137,STN_TABLE,3,FALSE)</f>
        <v>#VALUE!</v>
      </c>
      <c r="M139" t="str">
        <f>CONCATENATE("A(",C139,")=")</f>
        <v>A(  )=</v>
      </c>
      <c r="N139" t="e">
        <f>J139+L139</f>
        <v>#VALUE!</v>
      </c>
      <c r="O139" s="99">
        <f>O138+1</f>
        <v>24</v>
      </c>
      <c r="P139" s="99" t="str">
        <f t="shared" si="65"/>
        <v xml:space="preserve">  </v>
      </c>
      <c r="Q139" s="82" t="e">
        <f>IF(P139-P138=P138-P137,P139,IF(P140-P138=P138-P137,P140,IF(P139-P138=P138-P136,P139,IF(P140-P138=P138-P136,P140,"-"))))</f>
        <v>#VALUE!</v>
      </c>
      <c r="R139" s="83" t="e">
        <f>VLOOKUP(Q139,STN_TABLE,2,FALSE)</f>
        <v>#VALUE!</v>
      </c>
      <c r="S139" s="83">
        <v>-1</v>
      </c>
      <c r="T139" s="82" t="e">
        <f>R139*S139</f>
        <v>#VALUE!</v>
      </c>
      <c r="U139" s="88">
        <v>-1</v>
      </c>
      <c r="V139" s="82" t="e">
        <f>R139*U139</f>
        <v>#VALUE!</v>
      </c>
      <c r="W139" s="84" t="str">
        <f>CONCATENATE("a'(",Q138,")=")</f>
        <v>a'(  )=</v>
      </c>
      <c r="X139" s="84" t="e">
        <f>2*X137/12*T140</f>
        <v>#VALUE!</v>
      </c>
      <c r="Y139" s="84" t="e">
        <f>CONCATENATE("A(",Q137,")=")</f>
        <v>#VALUE!</v>
      </c>
      <c r="Z139" s="84" t="e">
        <f>VLOOKUP(Q137,STN_TABLE,3,FALSE)</f>
        <v>#VALUE!</v>
      </c>
      <c r="AA139" t="str">
        <f>CONCATENATE("A(",Q138,")=")</f>
        <v>A(  )=</v>
      </c>
      <c r="AB139" t="e">
        <f>X139+Z139</f>
        <v>#VALUE!</v>
      </c>
      <c r="AC139" s="99">
        <f>AC138+1</f>
        <v>23</v>
      </c>
      <c r="AD139" s="100" t="str">
        <f>VLOOKUP(AC139,STN_TABLE_2,2,FALSE)</f>
        <v xml:space="preserve">  </v>
      </c>
      <c r="AE139" s="82" t="str">
        <f>VLOOKUP(AD139,STN_TABLE,2,FALSE)</f>
        <v xml:space="preserve">  </v>
      </c>
      <c r="AF139" s="82">
        <v>2</v>
      </c>
      <c r="AG139" s="83" t="e">
        <f>AE139*AF139</f>
        <v>#VALUE!</v>
      </c>
      <c r="AH139" s="84" t="str">
        <f>CONCATENATE("a'(",AD139,")=")</f>
        <v>a'(  )=</v>
      </c>
      <c r="AI139" s="84" t="e">
        <f>2*AI137/2*AE140</f>
        <v>#VALUE!</v>
      </c>
      <c r="AJ139" s="84" t="str">
        <f>CONCATENATE("A(",AD138,")=")</f>
        <v>A(  )=</v>
      </c>
      <c r="AK139" s="84" t="str">
        <f>VLOOKUP(AD138,STN_TABLE,3,FALSE)</f>
        <v xml:space="preserve"> </v>
      </c>
      <c r="AL139" t="str">
        <f>CONCATENATE("A(",AD139,")=")</f>
        <v>A(  )=</v>
      </c>
      <c r="AM139" t="e">
        <f>AI139+AK139</f>
        <v>#VALUE!</v>
      </c>
      <c r="AO139" s="68" t="str">
        <f>AA139</f>
        <v>A(  )=</v>
      </c>
      <c r="AP139" s="68" t="e">
        <f>VLOOKUP(AO139,Rise_Results,2,FALSE)</f>
        <v>#N/A</v>
      </c>
      <c r="AQ139" s="76" t="e">
        <f>N139</f>
        <v>#VALUE!</v>
      </c>
      <c r="AR139" s="76" t="e">
        <f>IF(OR(AB139&lt;=0,AB140&lt;=0),1/0,AB139)</f>
        <v>#VALUE!</v>
      </c>
      <c r="AS139" s="76" t="e">
        <f>AM139</f>
        <v>#VALUE!</v>
      </c>
      <c r="AT139" t="e">
        <f>IFERROR(AP139,IFERROR(AQ139,IFERROR(AR139,AS139)))</f>
        <v>#VALUE!</v>
      </c>
      <c r="AU139" s="81"/>
    </row>
    <row r="140" spans="1:47" x14ac:dyDescent="0.25">
      <c r="A140" s="84">
        <f>A139+1</f>
        <v>23</v>
      </c>
      <c r="B140" s="84" t="str">
        <f t="shared" si="69"/>
        <v xml:space="preserve">  </v>
      </c>
      <c r="F140" s="82" t="e">
        <f>SUM(F137:F139)</f>
        <v>#VALUE!</v>
      </c>
      <c r="H140" s="82" t="e">
        <f>SUM(H137:H139)</f>
        <v>#VALUE!</v>
      </c>
      <c r="I140" s="84" t="str">
        <f>CONCATENATE("m'(",C139,")=")</f>
        <v>m'(  )=</v>
      </c>
      <c r="J140" s="84" t="e">
        <f>2*(J137*(WLS))/3*H140</f>
        <v>#VALUE!</v>
      </c>
      <c r="K140" s="84" t="e">
        <f>CONCATENATE("M(",C137,")=")</f>
        <v>#VALUE!</v>
      </c>
      <c r="L140" s="84" t="e">
        <f>VLOOKUP(C137,STN_TABLE,4,FALSE)</f>
        <v>#VALUE!</v>
      </c>
      <c r="M140" t="str">
        <f>CONCATENATE("M(",C139,")=")</f>
        <v>M(  )=</v>
      </c>
      <c r="N140" t="e">
        <f>J140+L140</f>
        <v>#VALUE!</v>
      </c>
      <c r="O140" s="99">
        <f>O139+1</f>
        <v>25</v>
      </c>
      <c r="P140" s="99" t="str">
        <f t="shared" si="65"/>
        <v xml:space="preserve">  </v>
      </c>
      <c r="T140" s="89" t="e">
        <f>SUM(T137:T139)</f>
        <v>#VALUE!</v>
      </c>
      <c r="V140" s="82" t="e">
        <f>SUM(V137:V139)</f>
        <v>#VALUE!</v>
      </c>
      <c r="W140" s="84" t="str">
        <f>CONCATENATE("m'(",Q138,")=")</f>
        <v>m'(  )=</v>
      </c>
      <c r="X140" s="84" t="e">
        <f>(2*(X137^2)/24*V140)+(X139*Q137*WLS)</f>
        <v>#VALUE!</v>
      </c>
      <c r="Y140" s="84" t="e">
        <f>CONCATENATE("M(",Q137,")=")</f>
        <v>#VALUE!</v>
      </c>
      <c r="Z140" s="84" t="e">
        <f>VLOOKUP(Q137,STN_TABLE,4,FALSE)</f>
        <v>#VALUE!</v>
      </c>
      <c r="AA140" t="str">
        <f>CONCATENATE("M(",Q138,")=")</f>
        <v>M(  )=</v>
      </c>
      <c r="AB140" t="e">
        <f>X140+Z140</f>
        <v>#VALUE!</v>
      </c>
      <c r="AE140" s="89">
        <f>SUM(AE138:AE139)</f>
        <v>0</v>
      </c>
      <c r="AG140" s="89" t="e">
        <f>SUM(AG138:AG139)</f>
        <v>#VALUE!</v>
      </c>
      <c r="AH140" s="84" t="str">
        <f>CONCATENATE("m'(",AD139,")=")</f>
        <v>m'(  )=</v>
      </c>
      <c r="AI140" s="84" t="e">
        <f>(2*(AI137^2)/6*AG140)+(AI139*AD138*WLS)</f>
        <v>#VALUE!</v>
      </c>
      <c r="AJ140" s="84" t="str">
        <f>CONCATENATE("M(",AD138,")=")</f>
        <v>M(  )=</v>
      </c>
      <c r="AK140" s="84" t="str">
        <f>VLOOKUP(AD138,STN_TABLE,4,FALSE)</f>
        <v xml:space="preserve"> </v>
      </c>
      <c r="AL140" t="str">
        <f>CONCATENATE("M(",AD139,")=")</f>
        <v>M(  )=</v>
      </c>
      <c r="AM140" t="e">
        <f>AI140+AK140</f>
        <v>#VALUE!</v>
      </c>
      <c r="AO140" s="82" t="str">
        <f>AA140</f>
        <v>M(  )=</v>
      </c>
      <c r="AP140" s="82" t="e">
        <f>VLOOKUP(AO140,Rise_Results,2,FALSE)</f>
        <v>#N/A</v>
      </c>
      <c r="AQ140" s="82" t="e">
        <f>N140</f>
        <v>#VALUE!</v>
      </c>
      <c r="AR140" s="82" t="e">
        <f>IF(OR(AB139&lt;=0,AB140&lt;=0),1/0,AB140)</f>
        <v>#VALUE!</v>
      </c>
      <c r="AS140" s="82" t="e">
        <f>AM140</f>
        <v>#VALUE!</v>
      </c>
      <c r="AT140" t="e">
        <f>IFERROR(AP140,IFERROR(AQ140,IFERROR(AR140,AS140)))</f>
        <v>#VALUE!</v>
      </c>
      <c r="AU140" s="81"/>
    </row>
    <row r="141" spans="1:47" x14ac:dyDescent="0.25">
      <c r="A141" s="101">
        <f>A136+1</f>
        <v>20</v>
      </c>
      <c r="B141" s="101" t="str">
        <f t="shared" si="69"/>
        <v xml:space="preserve">  </v>
      </c>
      <c r="O141" s="101">
        <f>O136+1</f>
        <v>22</v>
      </c>
      <c r="P141" s="101" t="str">
        <f t="shared" si="65"/>
        <v xml:space="preserve">  </v>
      </c>
      <c r="AU141" s="81"/>
    </row>
    <row r="142" spans="1:47" x14ac:dyDescent="0.25">
      <c r="A142" s="84">
        <f>A141+1</f>
        <v>21</v>
      </c>
      <c r="B142" s="84" t="str">
        <f t="shared" si="69"/>
        <v xml:space="preserve">  </v>
      </c>
      <c r="C142" s="79" t="e">
        <f t="shared" ref="C142" si="72">IF(C143=B144,IF(C144-C143=C143-B143,B143,IF(C144-C143=C143-B142,B142,"#NA")),IF(C143=B143,IF(C144-C143=C143-B142,B142,IF(C144-C143=C143-B141,B141,"#NA")),"#NA"))</f>
        <v>#VALUE!</v>
      </c>
      <c r="D142" s="68" t="e">
        <f>VLOOKUP(C142,STN_TABLE,2,FALSE)</f>
        <v>#VALUE!</v>
      </c>
      <c r="E142" s="102">
        <v>1</v>
      </c>
      <c r="F142" s="68" t="e">
        <f>D142*E142</f>
        <v>#VALUE!</v>
      </c>
      <c r="G142" s="69" t="e">
        <f>C142</f>
        <v>#VALUE!</v>
      </c>
      <c r="H142" s="69" t="e">
        <f>F142*G142</f>
        <v>#VALUE!</v>
      </c>
      <c r="I142" s="6" t="s">
        <v>93</v>
      </c>
      <c r="J142" s="70" t="e">
        <f>IF(OR(D142=0,D143=0,D144=0),"#NA",IF(AND(C144-C143=C143-C142,C143&lt;&gt;C144,C142&lt;&gt;C143,C142&lt;&gt;C144,D144&lt;&gt;0,OR(D142&lt;&gt;0,D143&lt;&gt;0)),WLS*(C144-C143),"#NA"))</f>
        <v>#VALUE!</v>
      </c>
      <c r="O142" s="99">
        <f>O141+1</f>
        <v>23</v>
      </c>
      <c r="P142" s="99" t="str">
        <f t="shared" si="65"/>
        <v xml:space="preserve">  </v>
      </c>
      <c r="Q142" s="68" t="e">
        <f>IF(OR(P144-P143=P143-P142,P145-P143=P143-P142),P142,IF(OR(P144-P143=P143-P141,P145-P143=P143-P141),P141,"-"))</f>
        <v>#VALUE!</v>
      </c>
      <c r="R142" s="69" t="e">
        <f>VLOOKUP(Q142,STN_TABLE,2,FALSE)</f>
        <v>#VALUE!</v>
      </c>
      <c r="S142" s="69">
        <v>5</v>
      </c>
      <c r="T142" s="68" t="e">
        <f>R142*S142</f>
        <v>#VALUE!</v>
      </c>
      <c r="U142" s="79">
        <v>3</v>
      </c>
      <c r="V142" s="68" t="e">
        <f>R142*U142</f>
        <v>#VALUE!</v>
      </c>
      <c r="W142" s="6" t="s">
        <v>93</v>
      </c>
      <c r="X142" s="70" t="e">
        <f>IF(AND(Q144-Q143=Q143-Q142,NOT(AND(Q142=0,Q143=0)),NOT(AND(Q143=0,Q144=0))),WLS*(Q144-Q143),"#NA")</f>
        <v>#VALUE!</v>
      </c>
      <c r="AD142" s="93"/>
      <c r="AH142" s="6" t="s">
        <v>93</v>
      </c>
      <c r="AI142" s="70" t="e">
        <f>WLS*(AD144-AD143)</f>
        <v>#VALUE!</v>
      </c>
      <c r="AU142" s="81"/>
    </row>
    <row r="143" spans="1:47" x14ac:dyDescent="0.25">
      <c r="A143" s="84">
        <f>A142+1</f>
        <v>22</v>
      </c>
      <c r="B143" s="84" t="str">
        <f t="shared" si="69"/>
        <v xml:space="preserve">  </v>
      </c>
      <c r="C143" s="80" t="e">
        <f t="shared" ref="C143" si="73">IF(OR(B145-B144=B144-B143,B145-B144=B144-B142,B145-B144=B144-B141),B144,IF(OR(B145-B143=B143-B142,B145-B143=B143-B141),B143,IF(B145-B142=B142-B141,B142,"#NA")))</f>
        <v>#VALUE!</v>
      </c>
      <c r="D143" s="76" t="e">
        <f>VLOOKUP(C143,STN_TABLE,2,FALSE)</f>
        <v>#VALUE!</v>
      </c>
      <c r="E143" s="81">
        <v>4</v>
      </c>
      <c r="F143" s="76" t="e">
        <f>D143*E143</f>
        <v>#VALUE!</v>
      </c>
      <c r="G143" s="77" t="e">
        <f>C143</f>
        <v>#VALUE!</v>
      </c>
      <c r="H143" s="77" t="e">
        <f>F143*G143</f>
        <v>#VALUE!</v>
      </c>
      <c r="I143" s="495" t="s">
        <v>97</v>
      </c>
      <c r="J143" s="496"/>
      <c r="K143" s="78" t="s">
        <v>98</v>
      </c>
      <c r="L143" s="78"/>
      <c r="M143" s="7" t="s">
        <v>99</v>
      </c>
      <c r="N143" s="7"/>
      <c r="O143" s="99">
        <f>O142+1</f>
        <v>24</v>
      </c>
      <c r="P143" s="99" t="str">
        <f t="shared" si="65"/>
        <v xml:space="preserve">  </v>
      </c>
      <c r="Q143" s="76" t="str">
        <f>P143</f>
        <v xml:space="preserve">  </v>
      </c>
      <c r="R143" s="77" t="str">
        <f>VLOOKUP(Q143,STN_TABLE,2,FALSE)</f>
        <v xml:space="preserve">  </v>
      </c>
      <c r="S143" s="77">
        <v>8</v>
      </c>
      <c r="T143" s="76" t="e">
        <f>R143*S143</f>
        <v>#VALUE!</v>
      </c>
      <c r="U143" s="80">
        <v>10</v>
      </c>
      <c r="V143" s="76" t="e">
        <f>R143*U143</f>
        <v>#VALUE!</v>
      </c>
      <c r="W143" s="496" t="s">
        <v>97</v>
      </c>
      <c r="X143" s="496"/>
      <c r="Y143" s="496" t="s">
        <v>98</v>
      </c>
      <c r="Z143" s="496"/>
      <c r="AA143" s="494" t="s">
        <v>99</v>
      </c>
      <c r="AB143" s="494"/>
      <c r="AC143" s="99">
        <f>AC138+1</f>
        <v>23</v>
      </c>
      <c r="AD143" s="95" t="str">
        <f>VLOOKUP(AC143,STN_TABLE_2,2,FALSE)</f>
        <v xml:space="preserve">  </v>
      </c>
      <c r="AE143" s="68" t="str">
        <f>VLOOKUP(AD143,STN_TABLE,2,FALSE)</f>
        <v xml:space="preserve">  </v>
      </c>
      <c r="AF143" s="68">
        <v>1</v>
      </c>
      <c r="AG143" s="69" t="e">
        <f>AE143*AF143</f>
        <v>#VALUE!</v>
      </c>
      <c r="AH143" s="496" t="s">
        <v>97</v>
      </c>
      <c r="AI143" s="496"/>
      <c r="AJ143" s="496" t="s">
        <v>98</v>
      </c>
      <c r="AK143" s="496"/>
      <c r="AL143" s="494" t="s">
        <v>99</v>
      </c>
      <c r="AM143" s="494"/>
      <c r="AP143" s="86" t="s">
        <v>112</v>
      </c>
      <c r="AQ143" s="89" t="s">
        <v>113</v>
      </c>
      <c r="AR143" s="89" t="s">
        <v>114</v>
      </c>
      <c r="AS143" s="89" t="s">
        <v>115</v>
      </c>
      <c r="AU143" s="81"/>
    </row>
    <row r="144" spans="1:47" x14ac:dyDescent="0.25">
      <c r="A144" s="84">
        <f>A143+1</f>
        <v>23</v>
      </c>
      <c r="B144" s="84" t="str">
        <f t="shared" si="69"/>
        <v xml:space="preserve">  </v>
      </c>
      <c r="C144" s="88" t="str">
        <f t="shared" ref="C144" si="74">B145</f>
        <v xml:space="preserve">  </v>
      </c>
      <c r="D144" s="82" t="str">
        <f>VLOOKUP(C144,STN_TABLE,2,FALSE)</f>
        <v xml:space="preserve">  </v>
      </c>
      <c r="E144" s="92">
        <v>1</v>
      </c>
      <c r="F144" s="82" t="e">
        <f>D144*E144</f>
        <v>#VALUE!</v>
      </c>
      <c r="G144" s="83" t="str">
        <f>C144</f>
        <v xml:space="preserve">  </v>
      </c>
      <c r="H144" s="83" t="e">
        <f>F144*G144</f>
        <v>#VALUE!</v>
      </c>
      <c r="I144" s="84" t="str">
        <f>CONCATENATE("a'(",C144,")=")</f>
        <v>a'(  )=</v>
      </c>
      <c r="J144" s="84" t="e">
        <f>2*J142/3*F145</f>
        <v>#VALUE!</v>
      </c>
      <c r="K144" s="84" t="e">
        <f>CONCATENATE("A(",C142,")=")</f>
        <v>#VALUE!</v>
      </c>
      <c r="L144" s="84" t="e">
        <f>VLOOKUP(C142,STN_TABLE,3,FALSE)</f>
        <v>#VALUE!</v>
      </c>
      <c r="M144" t="str">
        <f>CONCATENATE("A(",C144,")=")</f>
        <v>A(  )=</v>
      </c>
      <c r="N144" t="e">
        <f>J144+L144</f>
        <v>#VALUE!</v>
      </c>
      <c r="O144" s="99">
        <f>O143+1</f>
        <v>25</v>
      </c>
      <c r="P144" s="99" t="str">
        <f t="shared" si="65"/>
        <v xml:space="preserve">  </v>
      </c>
      <c r="Q144" s="82" t="e">
        <f>IF(P144-P143=P143-P142,P144,IF(P145-P143=P143-P142,P145,IF(P144-P143=P143-P141,P144,IF(P145-P143=P143-P141,P145,"-"))))</f>
        <v>#VALUE!</v>
      </c>
      <c r="R144" s="83" t="e">
        <f>VLOOKUP(Q144,STN_TABLE,2,FALSE)</f>
        <v>#VALUE!</v>
      </c>
      <c r="S144" s="83">
        <v>-1</v>
      </c>
      <c r="T144" s="82" t="e">
        <f>R144*S144</f>
        <v>#VALUE!</v>
      </c>
      <c r="U144" s="88">
        <v>-1</v>
      </c>
      <c r="V144" s="82" t="e">
        <f>R144*U144</f>
        <v>#VALUE!</v>
      </c>
      <c r="W144" s="84" t="str">
        <f>CONCATENATE("a'(",Q143,")=")</f>
        <v>a'(  )=</v>
      </c>
      <c r="X144" s="84" t="e">
        <f>2*X142/12*T145</f>
        <v>#VALUE!</v>
      </c>
      <c r="Y144" s="84" t="e">
        <f>CONCATENATE("A(",Q142,")=")</f>
        <v>#VALUE!</v>
      </c>
      <c r="Z144" s="84" t="e">
        <f>VLOOKUP(Q142,STN_TABLE,3,FALSE)</f>
        <v>#VALUE!</v>
      </c>
      <c r="AA144" t="str">
        <f>CONCATENATE("A(",Q143,")=")</f>
        <v>A(  )=</v>
      </c>
      <c r="AB144" t="e">
        <f>X144+Z144</f>
        <v>#VALUE!</v>
      </c>
      <c r="AC144" s="99">
        <f>AC143+1</f>
        <v>24</v>
      </c>
      <c r="AD144" s="100" t="str">
        <f>VLOOKUP(AC144,STN_TABLE_2,2,FALSE)</f>
        <v xml:space="preserve">  </v>
      </c>
      <c r="AE144" s="82" t="str">
        <f>VLOOKUP(AD144,STN_TABLE,2,FALSE)</f>
        <v xml:space="preserve">  </v>
      </c>
      <c r="AF144" s="82">
        <v>2</v>
      </c>
      <c r="AG144" s="83" t="e">
        <f>AE144*AF144</f>
        <v>#VALUE!</v>
      </c>
      <c r="AH144" s="84" t="str">
        <f>CONCATENATE("a'(",AD144,")=")</f>
        <v>a'(  )=</v>
      </c>
      <c r="AI144" s="84" t="e">
        <f>2*AI142/2*AE145</f>
        <v>#VALUE!</v>
      </c>
      <c r="AJ144" s="84" t="str">
        <f>CONCATENATE("A(",AD143,")=")</f>
        <v>A(  )=</v>
      </c>
      <c r="AK144" s="84" t="str">
        <f>VLOOKUP(AD143,STN_TABLE,3,FALSE)</f>
        <v xml:space="preserve"> </v>
      </c>
      <c r="AL144" t="str">
        <f>CONCATENATE("A(",AD144,")=")</f>
        <v>A(  )=</v>
      </c>
      <c r="AM144" t="e">
        <f>AI144+AK144</f>
        <v>#VALUE!</v>
      </c>
      <c r="AO144" s="68" t="str">
        <f>AA144</f>
        <v>A(  )=</v>
      </c>
      <c r="AP144" s="68" t="e">
        <f>VLOOKUP(AO144,Rise_Results,2,FALSE)</f>
        <v>#N/A</v>
      </c>
      <c r="AQ144" s="76" t="e">
        <f>N144</f>
        <v>#VALUE!</v>
      </c>
      <c r="AR144" s="76" t="e">
        <f>IF(OR(AB144&lt;=0,AB145&lt;=0),1/0,AB144)</f>
        <v>#VALUE!</v>
      </c>
      <c r="AS144" s="76" t="e">
        <f>AM144</f>
        <v>#VALUE!</v>
      </c>
      <c r="AT144" t="e">
        <f>IFERROR(AP144,IFERROR(AQ144,IFERROR(AR144,AS144)))</f>
        <v>#VALUE!</v>
      </c>
      <c r="AU144" s="81"/>
    </row>
    <row r="145" spans="1:47" x14ac:dyDescent="0.25">
      <c r="A145" s="84">
        <f>A144+1</f>
        <v>24</v>
      </c>
      <c r="B145" s="84" t="str">
        <f t="shared" si="69"/>
        <v xml:space="preserve">  </v>
      </c>
      <c r="F145" s="82" t="e">
        <f>SUM(F142:F144)</f>
        <v>#VALUE!</v>
      </c>
      <c r="H145" s="82" t="e">
        <f>SUM(H142:H144)</f>
        <v>#VALUE!</v>
      </c>
      <c r="I145" s="84" t="str">
        <f>CONCATENATE("m'(",C144,")=")</f>
        <v>m'(  )=</v>
      </c>
      <c r="J145" s="84" t="e">
        <f>2*(J142*(WLS))/3*H145</f>
        <v>#VALUE!</v>
      </c>
      <c r="K145" s="84" t="e">
        <f>CONCATENATE("M(",C142,")=")</f>
        <v>#VALUE!</v>
      </c>
      <c r="L145" s="84" t="e">
        <f>VLOOKUP(C142,STN_TABLE,4,FALSE)</f>
        <v>#VALUE!</v>
      </c>
      <c r="M145" t="str">
        <f>CONCATENATE("M(",C144,")=")</f>
        <v>M(  )=</v>
      </c>
      <c r="N145" t="e">
        <f>J145+L145</f>
        <v>#VALUE!</v>
      </c>
      <c r="O145" s="99">
        <f>O144+1</f>
        <v>26</v>
      </c>
      <c r="P145" s="99" t="e">
        <f t="shared" si="65"/>
        <v>#N/A</v>
      </c>
      <c r="T145" s="89" t="e">
        <f>SUM(T142:T144)</f>
        <v>#VALUE!</v>
      </c>
      <c r="V145" s="82" t="e">
        <f>SUM(V142:V144)</f>
        <v>#VALUE!</v>
      </c>
      <c r="W145" s="84" t="str">
        <f>CONCATENATE("m'(",Q143,")=")</f>
        <v>m'(  )=</v>
      </c>
      <c r="X145" s="84" t="e">
        <f>(2*(X142^2)/24*V145)+(X144*Q142*WLS)</f>
        <v>#VALUE!</v>
      </c>
      <c r="Y145" s="84" t="e">
        <f>CONCATENATE("M(",Q142,")=")</f>
        <v>#VALUE!</v>
      </c>
      <c r="Z145" s="84" t="e">
        <f>VLOOKUP(Q142,STN_TABLE,4,FALSE)</f>
        <v>#VALUE!</v>
      </c>
      <c r="AA145" t="str">
        <f>CONCATENATE("M(",Q143,")=")</f>
        <v>M(  )=</v>
      </c>
      <c r="AB145" t="e">
        <f>X145+Z145</f>
        <v>#VALUE!</v>
      </c>
      <c r="AE145" s="89">
        <f>SUM(AE143:AE144)</f>
        <v>0</v>
      </c>
      <c r="AG145" s="89" t="e">
        <f>SUM(AG143:AG144)</f>
        <v>#VALUE!</v>
      </c>
      <c r="AH145" s="84" t="str">
        <f>CONCATENATE("m'(",AD144,")=")</f>
        <v>m'(  )=</v>
      </c>
      <c r="AI145" s="84" t="e">
        <f>(2*(AI142^2)/6*AG145)+(AI144*AD143*WLS)</f>
        <v>#VALUE!</v>
      </c>
      <c r="AJ145" s="84" t="str">
        <f>CONCATENATE("M(",AD143,")=")</f>
        <v>M(  )=</v>
      </c>
      <c r="AK145" s="84" t="str">
        <f>VLOOKUP(AD143,STN_TABLE,4,FALSE)</f>
        <v xml:space="preserve"> </v>
      </c>
      <c r="AL145" t="str">
        <f>CONCATENATE("M(",AD144,")=")</f>
        <v>M(  )=</v>
      </c>
      <c r="AM145" t="e">
        <f>AI145+AK145</f>
        <v>#VALUE!</v>
      </c>
      <c r="AO145" s="82" t="str">
        <f>AA145</f>
        <v>M(  )=</v>
      </c>
      <c r="AP145" s="82" t="e">
        <f>VLOOKUP(AO145,Rise_Results,2,FALSE)</f>
        <v>#N/A</v>
      </c>
      <c r="AQ145" s="82" t="e">
        <f>N145</f>
        <v>#VALUE!</v>
      </c>
      <c r="AR145" s="82" t="e">
        <f>IF(OR(AB144&lt;=0,AB145&lt;=0),1/0,AB145)</f>
        <v>#VALUE!</v>
      </c>
      <c r="AS145" s="82" t="e">
        <f>AM145</f>
        <v>#VALUE!</v>
      </c>
      <c r="AT145" t="e">
        <f>IFERROR(AP145,IFERROR(AQ145,IFERROR(AR145,AS145)))</f>
        <v>#VALUE!</v>
      </c>
      <c r="AU145" s="81"/>
    </row>
    <row r="146" spans="1:47" x14ac:dyDescent="0.25">
      <c r="A146" s="101">
        <f>A141+1</f>
        <v>21</v>
      </c>
      <c r="B146" s="101" t="str">
        <f t="shared" si="69"/>
        <v xml:space="preserve">  </v>
      </c>
      <c r="O146" s="101">
        <f>O141+1</f>
        <v>23</v>
      </c>
      <c r="P146" s="101" t="str">
        <f t="shared" si="65"/>
        <v xml:space="preserve">  </v>
      </c>
      <c r="AU146" s="81"/>
    </row>
    <row r="147" spans="1:47" x14ac:dyDescent="0.25">
      <c r="A147" s="84">
        <f>A146+1</f>
        <v>22</v>
      </c>
      <c r="B147" s="84" t="str">
        <f t="shared" si="69"/>
        <v xml:space="preserve">  </v>
      </c>
      <c r="C147" s="79" t="e">
        <f t="shared" ref="C147" si="75">IF(C148=B149,IF(C149-C148=C148-B148,B148,IF(C149-C148=C148-B147,B147,"#NA")),IF(C148=B148,IF(C149-C148=C148-B147,B147,IF(C149-C148=C148-B146,B146,"#NA")),"#NA"))</f>
        <v>#VALUE!</v>
      </c>
      <c r="D147" s="68" t="e">
        <f>VLOOKUP(C147,STN_TABLE,2,FALSE)</f>
        <v>#VALUE!</v>
      </c>
      <c r="E147" s="102">
        <v>1</v>
      </c>
      <c r="F147" s="68" t="e">
        <f>D147*E147</f>
        <v>#VALUE!</v>
      </c>
      <c r="G147" s="69" t="e">
        <f>C147</f>
        <v>#VALUE!</v>
      </c>
      <c r="H147" s="69" t="e">
        <f>F147*G147</f>
        <v>#VALUE!</v>
      </c>
      <c r="I147" s="6" t="s">
        <v>93</v>
      </c>
      <c r="J147" s="70" t="e">
        <f>IF(OR(D147=0,D148=0,D149=0),"#NA",IF(AND(C149-C148=C148-C147,C148&lt;&gt;C149,C147&lt;&gt;C148,C147&lt;&gt;C149,D149&lt;&gt;0,OR(D147&lt;&gt;0,D148&lt;&gt;0)),WLS*(C149-C148),"#NA"))</f>
        <v>#VALUE!</v>
      </c>
      <c r="O147" s="99">
        <f>O146+1</f>
        <v>24</v>
      </c>
      <c r="P147" s="99" t="str">
        <f t="shared" si="65"/>
        <v xml:space="preserve">  </v>
      </c>
      <c r="Q147" s="68" t="e">
        <f>IF(OR(P149-P148=P148-P147,P150-P148=P148-P147),P147,IF(OR(P149-P148=P148-P146,P150-P148=P148-P146),P146,"-"))</f>
        <v>#N/A</v>
      </c>
      <c r="R147" s="69" t="e">
        <f>VLOOKUP(Q147,STN_TABLE,2,FALSE)</f>
        <v>#N/A</v>
      </c>
      <c r="S147" s="69">
        <v>5</v>
      </c>
      <c r="T147" s="68" t="e">
        <f>R147*S147</f>
        <v>#N/A</v>
      </c>
      <c r="U147" s="79">
        <v>3</v>
      </c>
      <c r="V147" s="68" t="e">
        <f>R147*U147</f>
        <v>#N/A</v>
      </c>
      <c r="W147" s="6" t="s">
        <v>93</v>
      </c>
      <c r="X147" s="70" t="e">
        <f>IF(AND(Q149-Q148=Q148-Q147,NOT(AND(Q147=0,Q148=0)),NOT(AND(Q148=0,Q149=0))),WLS*(Q149-Q148),"#NA")</f>
        <v>#N/A</v>
      </c>
      <c r="AD147" s="93"/>
      <c r="AH147" s="6" t="s">
        <v>93</v>
      </c>
      <c r="AI147" s="70" t="e">
        <f>WLS*(AD149-AD148)</f>
        <v>#VALUE!</v>
      </c>
      <c r="AU147" s="81"/>
    </row>
    <row r="148" spans="1:47" x14ac:dyDescent="0.25">
      <c r="A148" s="84">
        <f>A147+1</f>
        <v>23</v>
      </c>
      <c r="B148" s="84" t="str">
        <f t="shared" si="69"/>
        <v xml:space="preserve">  </v>
      </c>
      <c r="C148" s="80" t="e">
        <f t="shared" ref="C148" si="76">IF(OR(B150-B149=B149-B148,B150-B149=B149-B147,B150-B149=B149-B146),B149,IF(OR(B150-B148=B148-B147,B150-B148=B148-B146),B148,IF(B150-B147=B147-B146,B147,"#NA")))</f>
        <v>#VALUE!</v>
      </c>
      <c r="D148" s="76" t="e">
        <f>VLOOKUP(C148,STN_TABLE,2,FALSE)</f>
        <v>#VALUE!</v>
      </c>
      <c r="E148" s="81">
        <v>4</v>
      </c>
      <c r="F148" s="76" t="e">
        <f>D148*E148</f>
        <v>#VALUE!</v>
      </c>
      <c r="G148" s="77" t="e">
        <f>C148</f>
        <v>#VALUE!</v>
      </c>
      <c r="H148" s="77" t="e">
        <f>F148*G148</f>
        <v>#VALUE!</v>
      </c>
      <c r="I148" s="495" t="s">
        <v>97</v>
      </c>
      <c r="J148" s="496"/>
      <c r="K148" s="78" t="s">
        <v>98</v>
      </c>
      <c r="L148" s="78"/>
      <c r="M148" s="7" t="s">
        <v>99</v>
      </c>
      <c r="N148" s="7"/>
      <c r="O148" s="99">
        <f>O147+1</f>
        <v>25</v>
      </c>
      <c r="P148" s="99" t="str">
        <f t="shared" si="65"/>
        <v xml:space="preserve">  </v>
      </c>
      <c r="Q148" s="76" t="str">
        <f>P148</f>
        <v xml:space="preserve">  </v>
      </c>
      <c r="R148" s="77" t="str">
        <f>VLOOKUP(Q148,STN_TABLE,2,FALSE)</f>
        <v xml:space="preserve">  </v>
      </c>
      <c r="S148" s="77">
        <v>8</v>
      </c>
      <c r="T148" s="76" t="e">
        <f>R148*S148</f>
        <v>#VALUE!</v>
      </c>
      <c r="U148" s="80">
        <v>10</v>
      </c>
      <c r="V148" s="76" t="e">
        <f>R148*U148</f>
        <v>#VALUE!</v>
      </c>
      <c r="W148" s="496" t="s">
        <v>97</v>
      </c>
      <c r="X148" s="496"/>
      <c r="Y148" s="496" t="s">
        <v>98</v>
      </c>
      <c r="Z148" s="496"/>
      <c r="AA148" s="494" t="s">
        <v>99</v>
      </c>
      <c r="AB148" s="494"/>
      <c r="AC148" s="99">
        <f>AC143+1</f>
        <v>24</v>
      </c>
      <c r="AD148" s="95" t="str">
        <f>VLOOKUP(AC148,STN_TABLE_2,2,FALSE)</f>
        <v xml:space="preserve">  </v>
      </c>
      <c r="AE148" s="68" t="str">
        <f>VLOOKUP(AD148,STN_TABLE,2,FALSE)</f>
        <v xml:space="preserve">  </v>
      </c>
      <c r="AF148" s="68">
        <v>1</v>
      </c>
      <c r="AG148" s="69" t="e">
        <f>AE148*AF148</f>
        <v>#VALUE!</v>
      </c>
      <c r="AH148" s="496" t="s">
        <v>97</v>
      </c>
      <c r="AI148" s="496"/>
      <c r="AJ148" s="496" t="s">
        <v>98</v>
      </c>
      <c r="AK148" s="496"/>
      <c r="AL148" s="494" t="s">
        <v>99</v>
      </c>
      <c r="AM148" s="494"/>
      <c r="AP148" s="86" t="s">
        <v>112</v>
      </c>
      <c r="AQ148" s="89" t="s">
        <v>113</v>
      </c>
      <c r="AR148" s="89" t="s">
        <v>114</v>
      </c>
      <c r="AS148" s="89" t="s">
        <v>115</v>
      </c>
      <c r="AU148" s="81"/>
    </row>
    <row r="149" spans="1:47" x14ac:dyDescent="0.25">
      <c r="A149" s="84">
        <f>A148+1</f>
        <v>24</v>
      </c>
      <c r="B149" s="84" t="str">
        <f t="shared" si="69"/>
        <v xml:space="preserve">  </v>
      </c>
      <c r="C149" s="88" t="str">
        <f t="shared" ref="C149" si="77">B150</f>
        <v xml:space="preserve">  </v>
      </c>
      <c r="D149" s="82" t="str">
        <f>VLOOKUP(C149,STN_TABLE,2,FALSE)</f>
        <v xml:space="preserve">  </v>
      </c>
      <c r="E149" s="92">
        <v>1</v>
      </c>
      <c r="F149" s="82" t="e">
        <f>D149*E149</f>
        <v>#VALUE!</v>
      </c>
      <c r="G149" s="83" t="str">
        <f>C149</f>
        <v xml:space="preserve">  </v>
      </c>
      <c r="H149" s="83" t="e">
        <f>F149*G149</f>
        <v>#VALUE!</v>
      </c>
      <c r="I149" s="84" t="str">
        <f>CONCATENATE("a'(",C149,")=")</f>
        <v>a'(  )=</v>
      </c>
      <c r="J149" s="84" t="e">
        <f>2*J147/3*F150</f>
        <v>#VALUE!</v>
      </c>
      <c r="K149" s="84" t="e">
        <f>CONCATENATE("A(",C147,")=")</f>
        <v>#VALUE!</v>
      </c>
      <c r="L149" s="84" t="e">
        <f>VLOOKUP(C147,STN_TABLE,3,FALSE)</f>
        <v>#VALUE!</v>
      </c>
      <c r="M149" t="str">
        <f>CONCATENATE("A(",C149,")=")</f>
        <v>A(  )=</v>
      </c>
      <c r="N149" t="e">
        <f>J149+L149</f>
        <v>#VALUE!</v>
      </c>
      <c r="O149" s="99">
        <f>O148+1</f>
        <v>26</v>
      </c>
      <c r="P149" s="99" t="e">
        <f t="shared" si="65"/>
        <v>#N/A</v>
      </c>
      <c r="Q149" s="82" t="e">
        <f>IF(P149-P148=P148-P147,P149,IF(P150-P148=P148-P147,P150,IF(P149-P148=P148-P146,P149,IF(P150-P148=P148-P146,P150,"-"))))</f>
        <v>#N/A</v>
      </c>
      <c r="R149" s="83" t="e">
        <f>VLOOKUP(Q149,STN_TABLE,2,FALSE)</f>
        <v>#N/A</v>
      </c>
      <c r="S149" s="83">
        <v>-1</v>
      </c>
      <c r="T149" s="82" t="e">
        <f>R149*S149</f>
        <v>#N/A</v>
      </c>
      <c r="U149" s="88">
        <v>-1</v>
      </c>
      <c r="V149" s="82" t="e">
        <f>R149*U149</f>
        <v>#N/A</v>
      </c>
      <c r="W149" s="84" t="str">
        <f>CONCATENATE("a'(",Q148,")=")</f>
        <v>a'(  )=</v>
      </c>
      <c r="X149" s="84" t="e">
        <f>2*X147/12*T150</f>
        <v>#N/A</v>
      </c>
      <c r="Y149" s="84" t="e">
        <f>CONCATENATE("A(",Q147,")=")</f>
        <v>#N/A</v>
      </c>
      <c r="Z149" s="84" t="e">
        <f>VLOOKUP(Q147,STN_TABLE,3,FALSE)</f>
        <v>#N/A</v>
      </c>
      <c r="AA149" t="str">
        <f>CONCATENATE("A(",Q148,")=")</f>
        <v>A(  )=</v>
      </c>
      <c r="AB149" t="e">
        <f>X149+Z149</f>
        <v>#N/A</v>
      </c>
      <c r="AC149" s="99">
        <f>AC148+1</f>
        <v>25</v>
      </c>
      <c r="AD149" s="100" t="str">
        <f>VLOOKUP(AC149,STN_TABLE_2,2,FALSE)</f>
        <v xml:space="preserve">  </v>
      </c>
      <c r="AE149" s="82" t="str">
        <f>VLOOKUP(AD149,STN_TABLE,2,FALSE)</f>
        <v xml:space="preserve">  </v>
      </c>
      <c r="AF149" s="82">
        <v>2</v>
      </c>
      <c r="AG149" s="83" t="e">
        <f>AE149*AF149</f>
        <v>#VALUE!</v>
      </c>
      <c r="AH149" s="84" t="str">
        <f>CONCATENATE("a'(",AD149,")=")</f>
        <v>a'(  )=</v>
      </c>
      <c r="AI149" s="84" t="e">
        <f>2*AI147/2*AE150</f>
        <v>#VALUE!</v>
      </c>
      <c r="AJ149" s="84" t="str">
        <f>CONCATENATE("A(",AD148,")=")</f>
        <v>A(  )=</v>
      </c>
      <c r="AK149" s="84" t="str">
        <f>VLOOKUP(AD148,STN_TABLE,3,FALSE)</f>
        <v xml:space="preserve"> </v>
      </c>
      <c r="AL149" t="str">
        <f>CONCATENATE("A(",AD149,")=")</f>
        <v>A(  )=</v>
      </c>
      <c r="AM149" t="e">
        <f>AI149+AK149</f>
        <v>#VALUE!</v>
      </c>
      <c r="AO149" s="68" t="str">
        <f>AA149</f>
        <v>A(  )=</v>
      </c>
      <c r="AP149" s="68" t="e">
        <f>VLOOKUP(AO149,Rise_Results,2,FALSE)</f>
        <v>#N/A</v>
      </c>
      <c r="AQ149" s="76" t="e">
        <f>N149</f>
        <v>#VALUE!</v>
      </c>
      <c r="AR149" s="76" t="e">
        <f>IF(OR(AB149&lt;=0,AB150&lt;=0),1/0,AB149)</f>
        <v>#N/A</v>
      </c>
      <c r="AS149" s="76" t="e">
        <f>AM149</f>
        <v>#VALUE!</v>
      </c>
      <c r="AT149" t="e">
        <f>IFERROR(AP149,IFERROR(AQ149,IFERROR(AR149,AS149)))</f>
        <v>#VALUE!</v>
      </c>
      <c r="AU149" s="81"/>
    </row>
    <row r="150" spans="1:47" x14ac:dyDescent="0.25">
      <c r="A150" s="84">
        <f>A149+1</f>
        <v>25</v>
      </c>
      <c r="B150" s="84" t="str">
        <f t="shared" si="69"/>
        <v xml:space="preserve">  </v>
      </c>
      <c r="F150" s="82" t="e">
        <f>SUM(F147:F149)</f>
        <v>#VALUE!</v>
      </c>
      <c r="H150" s="82" t="e">
        <f>SUM(H147:H149)</f>
        <v>#VALUE!</v>
      </c>
      <c r="I150" s="84" t="str">
        <f>CONCATENATE("m'(",C149,")=")</f>
        <v>m'(  )=</v>
      </c>
      <c r="J150" s="84" t="e">
        <f>2*(J147*(WLS))/3*H150</f>
        <v>#VALUE!</v>
      </c>
      <c r="K150" s="84" t="e">
        <f>CONCATENATE("M(",C147,")=")</f>
        <v>#VALUE!</v>
      </c>
      <c r="L150" s="84" t="e">
        <f>VLOOKUP(C147,STN_TABLE,4,FALSE)</f>
        <v>#VALUE!</v>
      </c>
      <c r="M150" t="str">
        <f>CONCATENATE("M(",C149,")=")</f>
        <v>M(  )=</v>
      </c>
      <c r="N150" t="e">
        <f>J150+L150</f>
        <v>#VALUE!</v>
      </c>
      <c r="O150" s="99">
        <f>O149+1</f>
        <v>27</v>
      </c>
      <c r="P150" s="99" t="e">
        <f t="shared" si="65"/>
        <v>#N/A</v>
      </c>
      <c r="T150" s="89" t="e">
        <f>SUM(T147:T149)</f>
        <v>#N/A</v>
      </c>
      <c r="V150" s="82" t="e">
        <f>SUM(V147:V149)</f>
        <v>#N/A</v>
      </c>
      <c r="W150" s="84" t="str">
        <f>CONCATENATE("m'(",Q148,")=")</f>
        <v>m'(  )=</v>
      </c>
      <c r="X150" s="84" t="e">
        <f>(2*(X147^2)/24*V150)+(X149*Q147*WLS)</f>
        <v>#N/A</v>
      </c>
      <c r="Y150" s="84" t="e">
        <f>CONCATENATE("M(",Q147,")=")</f>
        <v>#N/A</v>
      </c>
      <c r="Z150" s="84" t="e">
        <f>VLOOKUP(Q147,STN_TABLE,4,FALSE)</f>
        <v>#N/A</v>
      </c>
      <c r="AA150" t="str">
        <f>CONCATENATE("M(",Q148,")=")</f>
        <v>M(  )=</v>
      </c>
      <c r="AB150" t="e">
        <f>X150+Z150</f>
        <v>#N/A</v>
      </c>
      <c r="AE150" s="89">
        <f>SUM(AE148:AE149)</f>
        <v>0</v>
      </c>
      <c r="AG150" s="89" t="e">
        <f>SUM(AG148:AG149)</f>
        <v>#VALUE!</v>
      </c>
      <c r="AH150" s="84" t="str">
        <f>CONCATENATE("m'(",AD149,")=")</f>
        <v>m'(  )=</v>
      </c>
      <c r="AI150" s="84" t="e">
        <f>(2*(AI147^2)/6*AG150)+(AI149*AD148*WLS)</f>
        <v>#VALUE!</v>
      </c>
      <c r="AJ150" s="84" t="str">
        <f>CONCATENATE("M(",AD148,")=")</f>
        <v>M(  )=</v>
      </c>
      <c r="AK150" s="84" t="str">
        <f>VLOOKUP(AD148,STN_TABLE,4,FALSE)</f>
        <v xml:space="preserve"> </v>
      </c>
      <c r="AL150" t="str">
        <f>CONCATENATE("M(",AD149,")=")</f>
        <v>M(  )=</v>
      </c>
      <c r="AM150" t="e">
        <f>AI150+AK150</f>
        <v>#VALUE!</v>
      </c>
      <c r="AO150" s="82" t="str">
        <f>AA150</f>
        <v>M(  )=</v>
      </c>
      <c r="AP150" s="82" t="e">
        <f>VLOOKUP(AO150,Rise_Results,2,FALSE)</f>
        <v>#N/A</v>
      </c>
      <c r="AQ150" s="82" t="e">
        <f>N150</f>
        <v>#VALUE!</v>
      </c>
      <c r="AR150" s="82" t="e">
        <f>IF(OR(AB149&lt;=0,AB150&lt;=0),1/0,AB150)</f>
        <v>#N/A</v>
      </c>
      <c r="AS150" s="82" t="e">
        <f>AM150</f>
        <v>#VALUE!</v>
      </c>
      <c r="AT150" t="e">
        <f>IFERROR(AP150,IFERROR(AQ150,IFERROR(AR150,AS150)))</f>
        <v>#VALUE!</v>
      </c>
      <c r="AU150" s="81"/>
    </row>
    <row r="151" spans="1:47" x14ac:dyDescent="0.25">
      <c r="A151" s="101"/>
      <c r="B151" s="101"/>
      <c r="AU151" s="81"/>
    </row>
    <row r="152" spans="1:47" x14ac:dyDescent="0.25">
      <c r="A152" s="84"/>
      <c r="B152" s="84"/>
      <c r="E152" s="81"/>
      <c r="F152" s="81"/>
      <c r="G152" s="81"/>
      <c r="H152" s="81"/>
      <c r="I152" s="103"/>
      <c r="J152" s="70"/>
      <c r="AU152" s="81"/>
    </row>
    <row r="153" spans="1:47" x14ac:dyDescent="0.25">
      <c r="A153" s="84"/>
      <c r="B153" s="84"/>
      <c r="E153" s="81"/>
      <c r="F153" s="81"/>
      <c r="G153" s="81"/>
      <c r="H153" s="81"/>
      <c r="I153" s="104"/>
      <c r="J153" s="78"/>
      <c r="K153" s="78"/>
      <c r="L153" s="78"/>
      <c r="M153" s="7"/>
      <c r="N153" s="7"/>
      <c r="AO153" s="81"/>
      <c r="AP153" s="81"/>
      <c r="AQ153" s="81"/>
      <c r="AR153" s="81"/>
      <c r="AS153" s="81"/>
      <c r="AT153" s="81"/>
      <c r="AU153" s="81"/>
    </row>
    <row r="154" spans="1:47" x14ac:dyDescent="0.25">
      <c r="A154" s="84"/>
      <c r="B154" s="84"/>
      <c r="E154" s="81"/>
      <c r="F154" s="81"/>
      <c r="G154" s="81"/>
      <c r="H154" s="81"/>
      <c r="I154" s="105"/>
      <c r="J154" s="84"/>
      <c r="K154" s="84"/>
      <c r="L154" s="84"/>
      <c r="AO154" s="81"/>
      <c r="AP154" s="81"/>
      <c r="AQ154" s="81"/>
      <c r="AR154" s="81"/>
      <c r="AS154" s="81"/>
      <c r="AT154" s="81"/>
      <c r="AU154" s="81"/>
    </row>
    <row r="155" spans="1:47" x14ac:dyDescent="0.25">
      <c r="A155" s="84"/>
      <c r="B155" s="84"/>
      <c r="E155" s="81"/>
      <c r="F155" s="81"/>
      <c r="G155" s="81"/>
      <c r="H155" s="81"/>
      <c r="I155" s="105"/>
      <c r="J155" s="84"/>
      <c r="K155" s="84"/>
      <c r="L155" s="84"/>
      <c r="AO155" s="81"/>
      <c r="AP155" s="81"/>
      <c r="AQ155" s="81"/>
      <c r="AR155" s="81"/>
      <c r="AS155" s="81"/>
      <c r="AT155" s="81"/>
      <c r="AU155" s="81"/>
    </row>
    <row r="156" spans="1:47" x14ac:dyDescent="0.25">
      <c r="A156" s="101"/>
      <c r="B156" s="101"/>
      <c r="E156" s="81"/>
      <c r="F156" s="81"/>
      <c r="G156" s="81"/>
      <c r="H156" s="81"/>
      <c r="I156" s="81"/>
      <c r="AO156" s="81"/>
      <c r="AP156" s="81"/>
      <c r="AQ156" s="81"/>
      <c r="AR156" s="81"/>
      <c r="AS156" s="81"/>
      <c r="AT156" s="81"/>
      <c r="AU156" s="81"/>
    </row>
    <row r="157" spans="1:47" x14ac:dyDescent="0.25">
      <c r="A157" s="84"/>
      <c r="B157" s="84"/>
      <c r="E157" s="81"/>
      <c r="F157" s="81"/>
      <c r="G157" s="81"/>
      <c r="H157" s="81"/>
      <c r="I157" s="103"/>
      <c r="J157" s="70"/>
      <c r="AO157" s="81"/>
      <c r="AP157" s="81"/>
      <c r="AQ157" s="81"/>
      <c r="AR157" s="81"/>
      <c r="AS157" s="81"/>
      <c r="AT157" s="81"/>
      <c r="AU157" s="81"/>
    </row>
    <row r="158" spans="1:47" x14ac:dyDescent="0.25">
      <c r="A158" s="84"/>
      <c r="B158" s="84"/>
      <c r="E158" s="81"/>
      <c r="F158" s="81"/>
      <c r="G158" s="81"/>
      <c r="H158" s="81"/>
      <c r="I158" s="104"/>
      <c r="J158" s="78"/>
      <c r="K158" s="78"/>
      <c r="L158" s="78"/>
      <c r="M158" s="7"/>
      <c r="N158" s="7"/>
      <c r="AO158" s="81"/>
      <c r="AP158" s="81"/>
      <c r="AQ158" s="81"/>
      <c r="AR158" s="81"/>
      <c r="AS158" s="81"/>
      <c r="AT158" s="81"/>
      <c r="AU158" s="81"/>
    </row>
    <row r="159" spans="1:47" x14ac:dyDescent="0.25">
      <c r="A159" s="84"/>
      <c r="B159" s="84"/>
      <c r="E159" s="81"/>
      <c r="F159" s="81"/>
      <c r="G159" s="81"/>
      <c r="H159" s="81"/>
      <c r="I159" s="105"/>
      <c r="J159" s="84"/>
      <c r="K159" s="84"/>
      <c r="L159" s="84"/>
      <c r="AO159" s="81"/>
      <c r="AP159" s="81"/>
      <c r="AQ159" s="81"/>
      <c r="AR159" s="81"/>
      <c r="AS159" s="81"/>
      <c r="AT159" s="81"/>
      <c r="AU159" s="81"/>
    </row>
    <row r="160" spans="1:47" x14ac:dyDescent="0.25">
      <c r="A160" s="84"/>
      <c r="B160" s="84"/>
      <c r="E160" s="81"/>
      <c r="F160" s="81"/>
      <c r="G160" s="81"/>
      <c r="H160" s="81"/>
      <c r="I160" s="105"/>
      <c r="J160" s="84"/>
      <c r="K160" s="84"/>
      <c r="L160" s="84"/>
      <c r="AO160" s="81"/>
      <c r="AP160" s="81"/>
      <c r="AQ160" s="81"/>
      <c r="AR160" s="81"/>
      <c r="AS160" s="81"/>
      <c r="AT160" s="81"/>
      <c r="AU160" s="81"/>
    </row>
    <row r="161" spans="1:47" x14ac:dyDescent="0.25">
      <c r="A161" s="101"/>
      <c r="B161" s="101"/>
      <c r="E161" s="81"/>
      <c r="F161" s="81"/>
      <c r="G161" s="81"/>
      <c r="H161" s="81"/>
      <c r="I161" s="81"/>
      <c r="AO161" s="81"/>
      <c r="AP161" s="81"/>
      <c r="AQ161" s="81"/>
      <c r="AR161" s="81"/>
      <c r="AS161" s="81"/>
      <c r="AT161" s="81"/>
      <c r="AU161" s="81"/>
    </row>
    <row r="162" spans="1:47" x14ac:dyDescent="0.25">
      <c r="A162" s="84"/>
      <c r="B162" s="84"/>
      <c r="E162" s="81"/>
      <c r="F162" s="81"/>
      <c r="G162" s="81"/>
      <c r="H162" s="81"/>
      <c r="I162" s="103"/>
      <c r="J162" s="70"/>
      <c r="AO162" s="81"/>
      <c r="AP162" s="81"/>
      <c r="AQ162" s="81"/>
      <c r="AR162" s="81"/>
      <c r="AS162" s="81"/>
      <c r="AT162" s="81"/>
      <c r="AU162" s="81"/>
    </row>
    <row r="163" spans="1:47" x14ac:dyDescent="0.25">
      <c r="A163" s="84"/>
      <c r="B163" s="84"/>
      <c r="E163" s="81"/>
      <c r="F163" s="81"/>
      <c r="G163" s="81"/>
      <c r="H163" s="81"/>
      <c r="I163" s="104"/>
      <c r="J163" s="78"/>
      <c r="K163" s="78"/>
      <c r="L163" s="78"/>
      <c r="M163" s="7"/>
      <c r="N163" s="7"/>
      <c r="AO163" s="81"/>
      <c r="AP163" s="81"/>
      <c r="AQ163" s="81"/>
      <c r="AR163" s="81"/>
      <c r="AS163" s="81"/>
      <c r="AT163" s="81"/>
      <c r="AU163" s="81"/>
    </row>
    <row r="164" spans="1:47" x14ac:dyDescent="0.25">
      <c r="A164" s="84"/>
      <c r="B164" s="84"/>
      <c r="E164" s="81"/>
      <c r="F164" s="81"/>
      <c r="G164" s="81"/>
      <c r="H164" s="81"/>
      <c r="I164" s="105"/>
      <c r="J164" s="84"/>
      <c r="K164" s="84"/>
      <c r="L164" s="84"/>
    </row>
    <row r="165" spans="1:47" x14ac:dyDescent="0.25">
      <c r="A165" s="84"/>
      <c r="B165" s="84"/>
      <c r="E165" s="81"/>
      <c r="F165" s="81"/>
      <c r="G165" s="81"/>
      <c r="H165" s="81"/>
      <c r="I165" s="105"/>
      <c r="J165" s="84"/>
      <c r="K165" s="84"/>
      <c r="L165" s="84"/>
    </row>
    <row r="166" spans="1:47" x14ac:dyDescent="0.25">
      <c r="A166" s="101"/>
      <c r="B166" s="101"/>
      <c r="E166" s="81"/>
      <c r="F166" s="81"/>
      <c r="G166" s="81"/>
      <c r="H166" s="81"/>
      <c r="I166" s="81"/>
    </row>
    <row r="167" spans="1:47" x14ac:dyDescent="0.25">
      <c r="A167" s="84"/>
      <c r="B167" s="84"/>
      <c r="E167" s="81"/>
      <c r="F167" s="81"/>
      <c r="G167" s="81"/>
      <c r="H167" s="81"/>
      <c r="I167" s="103"/>
      <c r="J167" s="70"/>
    </row>
    <row r="168" spans="1:47" x14ac:dyDescent="0.25">
      <c r="A168" s="84"/>
      <c r="B168" s="84"/>
      <c r="E168" s="81"/>
      <c r="F168" s="81"/>
      <c r="G168" s="81"/>
      <c r="H168" s="81"/>
      <c r="I168" s="104"/>
      <c r="J168" s="78"/>
      <c r="K168" s="78"/>
      <c r="L168" s="78"/>
      <c r="M168" s="7"/>
      <c r="N168" s="7"/>
    </row>
    <row r="169" spans="1:47" x14ac:dyDescent="0.25">
      <c r="A169" s="84"/>
      <c r="B169" s="84"/>
      <c r="E169" s="81"/>
      <c r="F169" s="81"/>
      <c r="G169" s="81"/>
      <c r="H169" s="81"/>
      <c r="I169" s="105"/>
      <c r="J169" s="84"/>
      <c r="K169" s="84"/>
      <c r="L169" s="84"/>
    </row>
    <row r="170" spans="1:47" x14ac:dyDescent="0.25">
      <c r="A170" s="84"/>
      <c r="B170" s="84"/>
      <c r="E170" s="81"/>
      <c r="F170" s="81"/>
      <c r="G170" s="81"/>
      <c r="H170" s="81"/>
      <c r="I170" s="105"/>
      <c r="J170" s="84"/>
      <c r="K170" s="84"/>
      <c r="L170" s="84"/>
    </row>
    <row r="171" spans="1:47" x14ac:dyDescent="0.25">
      <c r="E171" s="81"/>
      <c r="F171" s="81"/>
      <c r="G171" s="81"/>
      <c r="H171" s="81"/>
      <c r="I171" s="81"/>
    </row>
  </sheetData>
  <sheetProtection selectLockedCells="1" selectUnlockedCells="1"/>
  <mergeCells count="167">
    <mergeCell ref="A1:B1"/>
    <mergeCell ref="E1:F1"/>
    <mergeCell ref="L1:M1"/>
    <mergeCell ref="W33:X33"/>
    <mergeCell ref="Y33:Z33"/>
    <mergeCell ref="AA33:AB33"/>
    <mergeCell ref="AH33:AI33"/>
    <mergeCell ref="AJ33:AK33"/>
    <mergeCell ref="AL33:AM33"/>
    <mergeCell ref="I38:J38"/>
    <mergeCell ref="W38:X38"/>
    <mergeCell ref="Y38:Z38"/>
    <mergeCell ref="AA38:AB38"/>
    <mergeCell ref="AH38:AI38"/>
    <mergeCell ref="AJ38:AK38"/>
    <mergeCell ref="AL38:AM38"/>
    <mergeCell ref="AL43:AM43"/>
    <mergeCell ref="I48:J48"/>
    <mergeCell ref="W48:X48"/>
    <mergeCell ref="Y48:Z48"/>
    <mergeCell ref="AA48:AB48"/>
    <mergeCell ref="AH48:AI48"/>
    <mergeCell ref="AJ48:AK48"/>
    <mergeCell ref="AL48:AM48"/>
    <mergeCell ref="I43:J43"/>
    <mergeCell ref="W43:X43"/>
    <mergeCell ref="Y43:Z43"/>
    <mergeCell ref="AA43:AB43"/>
    <mergeCell ref="AH43:AI43"/>
    <mergeCell ref="AJ43:AK43"/>
    <mergeCell ref="AL53:AM53"/>
    <mergeCell ref="I58:J58"/>
    <mergeCell ref="AH58:AI58"/>
    <mergeCell ref="AJ58:AK58"/>
    <mergeCell ref="AL58:AM58"/>
    <mergeCell ref="I63:J63"/>
    <mergeCell ref="W63:X63"/>
    <mergeCell ref="Y63:Z63"/>
    <mergeCell ref="AA63:AB63"/>
    <mergeCell ref="AH63:AI63"/>
    <mergeCell ref="I53:J53"/>
    <mergeCell ref="W53:X53"/>
    <mergeCell ref="Y53:Z53"/>
    <mergeCell ref="AA53:AB53"/>
    <mergeCell ref="AH53:AI53"/>
    <mergeCell ref="AJ53:AK53"/>
    <mergeCell ref="AJ63:AK63"/>
    <mergeCell ref="AL63:AM63"/>
    <mergeCell ref="I68:J68"/>
    <mergeCell ref="W68:X68"/>
    <mergeCell ref="Y68:Z68"/>
    <mergeCell ref="AA68:AB68"/>
    <mergeCell ref="AH68:AI68"/>
    <mergeCell ref="AJ68:AK68"/>
    <mergeCell ref="AL68:AM68"/>
    <mergeCell ref="AL73:AM73"/>
    <mergeCell ref="I78:J78"/>
    <mergeCell ref="W78:X78"/>
    <mergeCell ref="Y78:Z78"/>
    <mergeCell ref="AA78:AB78"/>
    <mergeCell ref="AH78:AI78"/>
    <mergeCell ref="AJ78:AK78"/>
    <mergeCell ref="AL78:AM78"/>
    <mergeCell ref="I73:J73"/>
    <mergeCell ref="W73:X73"/>
    <mergeCell ref="Y73:Z73"/>
    <mergeCell ref="AA73:AB73"/>
    <mergeCell ref="AH73:AI73"/>
    <mergeCell ref="AJ73:AK73"/>
    <mergeCell ref="AL83:AM83"/>
    <mergeCell ref="I88:J88"/>
    <mergeCell ref="W88:X88"/>
    <mergeCell ref="Y88:Z88"/>
    <mergeCell ref="AA88:AB88"/>
    <mergeCell ref="AH88:AI88"/>
    <mergeCell ref="AJ88:AK88"/>
    <mergeCell ref="AL88:AM88"/>
    <mergeCell ref="I83:J83"/>
    <mergeCell ref="W83:X83"/>
    <mergeCell ref="Y83:Z83"/>
    <mergeCell ref="AA83:AB83"/>
    <mergeCell ref="AH83:AI83"/>
    <mergeCell ref="AJ83:AK83"/>
    <mergeCell ref="AL93:AM93"/>
    <mergeCell ref="I98:J98"/>
    <mergeCell ref="W98:X98"/>
    <mergeCell ref="Y98:Z98"/>
    <mergeCell ref="AA98:AB98"/>
    <mergeCell ref="AH98:AI98"/>
    <mergeCell ref="AJ98:AK98"/>
    <mergeCell ref="AL98:AM98"/>
    <mergeCell ref="I93:J93"/>
    <mergeCell ref="W93:X93"/>
    <mergeCell ref="Y93:Z93"/>
    <mergeCell ref="AA93:AB93"/>
    <mergeCell ref="AH93:AI93"/>
    <mergeCell ref="AJ93:AK93"/>
    <mergeCell ref="AL103:AM103"/>
    <mergeCell ref="I108:J108"/>
    <mergeCell ref="W108:X108"/>
    <mergeCell ref="Y108:Z108"/>
    <mergeCell ref="AA108:AB108"/>
    <mergeCell ref="AH108:AI108"/>
    <mergeCell ref="AJ108:AK108"/>
    <mergeCell ref="AL108:AM108"/>
    <mergeCell ref="I103:J103"/>
    <mergeCell ref="W103:X103"/>
    <mergeCell ref="Y103:Z103"/>
    <mergeCell ref="AA103:AB103"/>
    <mergeCell ref="AH103:AI103"/>
    <mergeCell ref="AJ103:AK103"/>
    <mergeCell ref="AL113:AM113"/>
    <mergeCell ref="I118:J118"/>
    <mergeCell ref="W118:X118"/>
    <mergeCell ref="Y118:Z118"/>
    <mergeCell ref="AA118:AB118"/>
    <mergeCell ref="AH118:AI118"/>
    <mergeCell ref="AJ118:AK118"/>
    <mergeCell ref="AL118:AM118"/>
    <mergeCell ref="I113:J113"/>
    <mergeCell ref="W113:X113"/>
    <mergeCell ref="Y113:Z113"/>
    <mergeCell ref="AA113:AB113"/>
    <mergeCell ref="AH113:AI113"/>
    <mergeCell ref="AJ113:AK113"/>
    <mergeCell ref="AL123:AM123"/>
    <mergeCell ref="I128:J128"/>
    <mergeCell ref="W128:X128"/>
    <mergeCell ref="Y128:Z128"/>
    <mergeCell ref="AA128:AB128"/>
    <mergeCell ref="AH128:AI128"/>
    <mergeCell ref="AJ128:AK128"/>
    <mergeCell ref="AL128:AM128"/>
    <mergeCell ref="I123:J123"/>
    <mergeCell ref="W123:X123"/>
    <mergeCell ref="Y123:Z123"/>
    <mergeCell ref="AA123:AB123"/>
    <mergeCell ref="AH123:AI123"/>
    <mergeCell ref="AJ123:AK123"/>
    <mergeCell ref="AL133:AM133"/>
    <mergeCell ref="I138:J138"/>
    <mergeCell ref="W138:X138"/>
    <mergeCell ref="Y138:Z138"/>
    <mergeCell ref="AA138:AB138"/>
    <mergeCell ref="AH138:AI138"/>
    <mergeCell ref="AJ138:AK138"/>
    <mergeCell ref="AL138:AM138"/>
    <mergeCell ref="I133:J133"/>
    <mergeCell ref="W133:X133"/>
    <mergeCell ref="Y133:Z133"/>
    <mergeCell ref="AA133:AB133"/>
    <mergeCell ref="AH133:AI133"/>
    <mergeCell ref="AJ133:AK133"/>
    <mergeCell ref="AL143:AM143"/>
    <mergeCell ref="I148:J148"/>
    <mergeCell ref="W148:X148"/>
    <mergeCell ref="Y148:Z148"/>
    <mergeCell ref="AA148:AB148"/>
    <mergeCell ref="AH148:AI148"/>
    <mergeCell ref="AJ148:AK148"/>
    <mergeCell ref="AL148:AM148"/>
    <mergeCell ref="I143:J143"/>
    <mergeCell ref="W143:X143"/>
    <mergeCell ref="Y143:Z143"/>
    <mergeCell ref="AA143:AB143"/>
    <mergeCell ref="AH143:AI143"/>
    <mergeCell ref="AJ143:AK143"/>
  </mergeCells>
  <pageMargins left="0.7" right="0.7" top="0.75" bottom="0.75" header="0.3" footer="0.3"/>
  <pageSetup paperSize="9"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U171"/>
  <sheetViews>
    <sheetView topLeftCell="N1" workbookViewId="0">
      <pane ySplit="1" topLeftCell="A8" activePane="bottomLeft" state="frozen"/>
      <selection activeCell="AG8" sqref="AG8:AG10"/>
      <selection pane="bottomLeft" activeCell="AG8" sqref="AG8:AG10"/>
    </sheetView>
  </sheetViews>
  <sheetFormatPr defaultRowHeight="15" x14ac:dyDescent="0.25"/>
  <sheetData>
    <row r="1" spans="1:46" x14ac:dyDescent="0.25">
      <c r="A1" s="494" t="s">
        <v>90</v>
      </c>
      <c r="B1" s="494"/>
      <c r="C1">
        <f>HLOOKUP(Stn_WL,OFFSET_A,Count_STN+1,FALSE)</f>
        <v>18.5</v>
      </c>
      <c r="E1" s="494" t="s">
        <v>91</v>
      </c>
      <c r="F1" s="494"/>
      <c r="G1" t="str">
        <f>VLOOKUP(Station_No,RISE_CALC,2,FALSE)</f>
        <v>-</v>
      </c>
      <c r="L1" s="494" t="s">
        <v>92</v>
      </c>
      <c r="M1" s="494"/>
      <c r="N1">
        <v>22</v>
      </c>
    </row>
    <row r="2" spans="1:46" x14ac:dyDescent="0.25">
      <c r="Q2" s="66" t="str">
        <f t="shared" ref="Q2:R6" si="0">G4</f>
        <v>Rise</v>
      </c>
      <c r="R2" s="67" t="e">
        <f t="shared" si="0"/>
        <v>#VALUE!</v>
      </c>
      <c r="S2" s="68" t="e">
        <f>IF(OR(R5-R4=R4-R3,R6-R4=R4-R3),R3,IF(OR(R5-R4=R4-R2,R6-R4=R4-R2),R2,"-"))</f>
        <v>#VALUE!</v>
      </c>
      <c r="T2" s="69" t="e">
        <f>IFERROR(VLOOKUP(S2,STN_TABLE,2,FALSE),IF(R2=RisePerWLS,0,"-"))</f>
        <v>#VALUE!</v>
      </c>
      <c r="U2" s="69">
        <v>5</v>
      </c>
      <c r="V2" s="69" t="e">
        <f>T2*U2</f>
        <v>#VALUE!</v>
      </c>
      <c r="W2" s="69">
        <v>3</v>
      </c>
      <c r="X2" s="69" t="e">
        <f>T2*W2</f>
        <v>#VALUE!</v>
      </c>
      <c r="Y2" s="6" t="s">
        <v>93</v>
      </c>
      <c r="Z2" s="70" t="e">
        <f>IF(AND(S4-S3=S3-S2,NOT(AND(S2=0,S3=0)),NOT(AND(S3=0,S4=0))),WLS*(S4-S3),"#NA")</f>
        <v>#VALUE!</v>
      </c>
      <c r="AE2" s="71" t="s">
        <v>94</v>
      </c>
    </row>
    <row r="3" spans="1:46" x14ac:dyDescent="0.25">
      <c r="B3" s="72" t="s">
        <v>0</v>
      </c>
      <c r="C3" s="73" t="s">
        <v>95</v>
      </c>
      <c r="D3" s="73" t="s">
        <v>18</v>
      </c>
      <c r="E3" s="74" t="s">
        <v>20</v>
      </c>
      <c r="H3" s="75" t="s">
        <v>96</v>
      </c>
      <c r="K3" t="str">
        <f>IF(Rise=0,"(Not considered)","(Considered)")</f>
        <v>(Considered)</v>
      </c>
      <c r="Q3" s="66" t="str">
        <f t="shared" si="0"/>
        <v>1st_UWL</v>
      </c>
      <c r="R3" s="67" t="str">
        <f t="shared" si="0"/>
        <v>#NA</v>
      </c>
      <c r="S3" s="76" t="str">
        <f>R4</f>
        <v>#NA</v>
      </c>
      <c r="T3" s="77" t="e">
        <f>VLOOKUP(S3,STN_TABLE,2,FALSE)</f>
        <v>#N/A</v>
      </c>
      <c r="U3" s="77">
        <v>8</v>
      </c>
      <c r="V3" s="77" t="e">
        <f>T3*U3</f>
        <v>#N/A</v>
      </c>
      <c r="W3" s="77">
        <v>10</v>
      </c>
      <c r="X3" s="77" t="e">
        <f>T3*W3</f>
        <v>#N/A</v>
      </c>
      <c r="Y3" s="78" t="s">
        <v>97</v>
      </c>
      <c r="Z3" s="78"/>
      <c r="AA3" s="78" t="s">
        <v>98</v>
      </c>
      <c r="AB3" s="78"/>
      <c r="AC3" s="7" t="s">
        <v>99</v>
      </c>
      <c r="AD3" s="7"/>
      <c r="AE3" s="66" t="str">
        <f t="shared" ref="AE3:AF7" si="1">G4</f>
        <v>Rise</v>
      </c>
      <c r="AF3" s="67" t="e">
        <f t="shared" si="1"/>
        <v>#VALUE!</v>
      </c>
      <c r="AG3" s="79" t="e">
        <f>IF(AF7-AF6=AF6-AF5,AF5,IF(OR(AF7-AF6=AF6-AF4,AF7-AF5=AF5-AF4),AF4,IF(OR(AF7-AF6=AF6-AF3,AF7-AF5=AF5-AF3,AF7-AF4=AF4-AF3),AF3,"#NA")))</f>
        <v>#VALUE!</v>
      </c>
      <c r="AH3" s="69" t="e">
        <f>IFERROR(VLOOKUP(AG3,STN_TABLE,2,FALSE),IF(AF3=RisePerWLS,0,"-"))</f>
        <v>#VALUE!</v>
      </c>
      <c r="AI3" s="69">
        <v>1</v>
      </c>
      <c r="AJ3" s="69" t="e">
        <f>AH3*AI3</f>
        <v>#VALUE!</v>
      </c>
      <c r="AK3" s="69" t="e">
        <f>AG3</f>
        <v>#VALUE!</v>
      </c>
      <c r="AL3" s="69" t="e">
        <f>AJ3*AK3</f>
        <v>#VALUE!</v>
      </c>
      <c r="AM3" s="6" t="s">
        <v>93</v>
      </c>
      <c r="AN3" s="70" t="e">
        <f>IF(AND(AH3=0,AH4=0,AH5=0),WLS*(AG5-AG4),IF(AND(AG5-AG4=AG4-AG3,AG4&lt;&gt;AG5,AG3&lt;&gt;AG4,AG3&lt;&gt;AG5,AH5&lt;&gt;0,OR(AH3&lt;&gt;0,AH4&lt;&gt;0)),WLS*(AG5-AG4),"#NA"))</f>
        <v>#VALUE!</v>
      </c>
    </row>
    <row r="4" spans="1:46" x14ac:dyDescent="0.25">
      <c r="A4">
        <v>1</v>
      </c>
      <c r="B4" s="80">
        <f t="shared" ref="B4:B28" si="2">VLOOKUP(Stn_WL,OFFSET_A,A4+1,FALSE)</f>
        <v>0</v>
      </c>
      <c r="C4" s="81">
        <f t="shared" ref="C4:C28" si="3">VLOOKUP(Station_No,OFFSET_A,A4+1,FALSE)</f>
        <v>2.2999999999999998</v>
      </c>
      <c r="D4" s="81">
        <v>0</v>
      </c>
      <c r="E4" s="77">
        <v>0</v>
      </c>
      <c r="G4" t="s">
        <v>100</v>
      </c>
      <c r="H4" t="e">
        <f>Rise/WLS</f>
        <v>#VALUE!</v>
      </c>
      <c r="K4" t="str">
        <f>CONCATENATE("A(",H5,")=")</f>
        <v>A(#NA)=</v>
      </c>
      <c r="L4" t="e">
        <f>IFERROR(N18,N22)</f>
        <v>#VALUE!</v>
      </c>
      <c r="Q4" s="66" t="str">
        <f t="shared" si="0"/>
        <v>2nd_UWL</v>
      </c>
      <c r="R4" s="67" t="str">
        <f t="shared" si="0"/>
        <v>#NA</v>
      </c>
      <c r="S4" s="82" t="e">
        <f>IF((S2-S3)=S3-R5,R5,IF(S2-S3=S3-R6,R6,"-"))</f>
        <v>#VALUE!</v>
      </c>
      <c r="T4" s="83" t="e">
        <f>VLOOKUP(S4,STN_TABLE,2,FALSE)</f>
        <v>#VALUE!</v>
      </c>
      <c r="U4" s="83">
        <v>-1</v>
      </c>
      <c r="V4" s="83" t="e">
        <f>T4*U4</f>
        <v>#VALUE!</v>
      </c>
      <c r="W4" s="83">
        <v>-1</v>
      </c>
      <c r="X4" s="83" t="e">
        <f>T4*W4</f>
        <v>#VALUE!</v>
      </c>
      <c r="Y4" s="84" t="str">
        <f>CONCATENATE("a'(",S3,")=")</f>
        <v>a'(#NA)=</v>
      </c>
      <c r="Z4" s="85" t="e">
        <f>2*Z2/12*V5</f>
        <v>#VALUE!</v>
      </c>
      <c r="AA4" s="84" t="e">
        <f>CONCATENATE("A(",S2,")=")</f>
        <v>#VALUE!</v>
      </c>
      <c r="AB4" s="84" t="e">
        <f>IF(S2=RisePerWLS,0,VLOOKUP(S2,STN_TABLE,3,FALSE))</f>
        <v>#VALUE!</v>
      </c>
      <c r="AC4" t="str">
        <f>CONCATENATE("A(",S3,")=")</f>
        <v>A(#NA)=</v>
      </c>
      <c r="AD4" t="e">
        <f>Z4+AB4</f>
        <v>#VALUE!</v>
      </c>
      <c r="AE4" s="66" t="str">
        <f t="shared" si="1"/>
        <v>1st_UWL</v>
      </c>
      <c r="AF4" s="67" t="str">
        <f t="shared" si="1"/>
        <v>#NA</v>
      </c>
      <c r="AG4" s="80" t="e">
        <f>IF(OR(AF7-AF6=AF6-AF5,AF7-AF6=AF6-AF4,AF7-AF6=AF6-AF3),AF6,IF(OR(AF7-AF5=AF5-AF4,AF7-AF5=AF5-AF3),AF5,IF(AF7-AF4=AF4-AF3,AF4,"#NA")))</f>
        <v>#VALUE!</v>
      </c>
      <c r="AH4" s="77" t="e">
        <f>VLOOKUP(AG4,STN_TABLE,2,FALSE)</f>
        <v>#VALUE!</v>
      </c>
      <c r="AI4" s="77">
        <v>4</v>
      </c>
      <c r="AJ4" s="77" t="e">
        <f>AH4*AI4</f>
        <v>#VALUE!</v>
      </c>
      <c r="AK4" s="77" t="e">
        <f>AG4</f>
        <v>#VALUE!</v>
      </c>
      <c r="AL4" s="77" t="e">
        <f>AJ4*AK4</f>
        <v>#VALUE!</v>
      </c>
      <c r="AM4" s="78" t="s">
        <v>97</v>
      </c>
      <c r="AN4" s="78"/>
      <c r="AO4" s="78" t="s">
        <v>98</v>
      </c>
      <c r="AP4" s="78"/>
      <c r="AQ4" s="7" t="s">
        <v>99</v>
      </c>
      <c r="AR4" s="7"/>
      <c r="AS4" s="7"/>
      <c r="AT4" s="7"/>
    </row>
    <row r="5" spans="1:46" x14ac:dyDescent="0.25">
      <c r="A5">
        <v>2</v>
      </c>
      <c r="B5" s="80">
        <f t="shared" si="2"/>
        <v>0.25</v>
      </c>
      <c r="C5" s="81">
        <f t="shared" si="3"/>
        <v>3.43</v>
      </c>
      <c r="D5" s="81">
        <f t="shared" ref="D5:D28" si="4">IFERROR(VLOOKUP(CONCATENATE("A(",B5,")="),RESULT_TABLE,6,FALSE)," ")</f>
        <v>2.9008333333333329</v>
      </c>
      <c r="E5" s="77">
        <f t="shared" ref="E5:E28" si="5">IFERROR(VLOOKUP(CONCATENATE("M(",B5,")="),RESULT_TABLE,6,FALSE)," ")</f>
        <v>0.7722916666666666</v>
      </c>
      <c r="G5" t="s">
        <v>101</v>
      </c>
      <c r="H5" t="str">
        <f>VLOOKUP(Station_No,RISE_CALC,4,FALSE)</f>
        <v>#NA</v>
      </c>
      <c r="K5" t="str">
        <f>CONCATENATE("M(",H5,")=")</f>
        <v>M(#NA)=</v>
      </c>
      <c r="L5" t="e">
        <f>IFERROR(N19,N23)</f>
        <v>#VALUE!</v>
      </c>
      <c r="Q5" s="66" t="str">
        <f t="shared" si="0"/>
        <v>3rd_UWL</v>
      </c>
      <c r="R5" s="67" t="str">
        <f t="shared" si="0"/>
        <v>#NA</v>
      </c>
      <c r="V5" s="86" t="e">
        <f>SUM(V2:V4)</f>
        <v>#VALUE!</v>
      </c>
      <c r="X5" s="87" t="e">
        <f>SUM(X2:X4)</f>
        <v>#VALUE!</v>
      </c>
      <c r="Y5" s="84" t="str">
        <f>CONCATENATE("m'(",S3,")=")</f>
        <v>m'(#NA)=</v>
      </c>
      <c r="Z5" s="85" t="e">
        <f>(2*(Z2^2)/24*X5)+(Z4*S2*WLS)</f>
        <v>#VALUE!</v>
      </c>
      <c r="AA5" s="84" t="e">
        <f>CONCATENATE("M(",S2,")=")</f>
        <v>#VALUE!</v>
      </c>
      <c r="AB5" s="84" t="e">
        <f>IF(S2=RisePerWLS,0,VLOOKUP(S2,STN_TABLE,4,FALSE))</f>
        <v>#VALUE!</v>
      </c>
      <c r="AC5" t="str">
        <f>CONCATENATE("M(",S3,")=")</f>
        <v>M(#NA)=</v>
      </c>
      <c r="AD5" t="e">
        <f>Z5+AB5</f>
        <v>#VALUE!</v>
      </c>
      <c r="AE5" s="66" t="str">
        <f t="shared" si="1"/>
        <v>2nd_UWL</v>
      </c>
      <c r="AF5" s="67" t="str">
        <f t="shared" si="1"/>
        <v>#NA</v>
      </c>
      <c r="AG5" s="88" t="str">
        <f>AF7</f>
        <v>#NA</v>
      </c>
      <c r="AH5" s="83" t="e">
        <f>VLOOKUP(AG5,STN_TABLE,2,FALSE)</f>
        <v>#N/A</v>
      </c>
      <c r="AI5" s="83">
        <v>1</v>
      </c>
      <c r="AJ5" s="83" t="e">
        <f>AH5*AI5</f>
        <v>#N/A</v>
      </c>
      <c r="AK5" s="83" t="str">
        <f>AG5</f>
        <v>#NA</v>
      </c>
      <c r="AL5" s="83" t="e">
        <f>AJ5*AK5</f>
        <v>#N/A</v>
      </c>
      <c r="AM5" s="84" t="str">
        <f>CONCATENATE("a'(",AG5,")=")</f>
        <v>a'(#NA)=</v>
      </c>
      <c r="AN5" s="84" t="e">
        <f>2*AN3/3*AJ6</f>
        <v>#VALUE!</v>
      </c>
      <c r="AO5" s="84" t="e">
        <f>CONCATENATE("A(",AG3,")=")</f>
        <v>#VALUE!</v>
      </c>
      <c r="AP5" s="84" t="e">
        <f>IF(AG3=RisePerWLS,0,VLOOKUP(AG3,STN_TABLE,3,FALSE))</f>
        <v>#VALUE!</v>
      </c>
      <c r="AQ5" t="str">
        <f>CONCATENATE("A(",AG5,")=")</f>
        <v>A(#NA)=</v>
      </c>
      <c r="AR5" t="e">
        <f>AN5+AP5</f>
        <v>#VALUE!</v>
      </c>
    </row>
    <row r="6" spans="1:46" x14ac:dyDescent="0.25">
      <c r="A6">
        <v>3</v>
      </c>
      <c r="B6" s="80">
        <f t="shared" si="2"/>
        <v>0.5</v>
      </c>
      <c r="C6" s="81">
        <f t="shared" si="3"/>
        <v>4.13</v>
      </c>
      <c r="D6" s="81">
        <f t="shared" si="4"/>
        <v>6.7166666666666659</v>
      </c>
      <c r="E6" s="77">
        <f t="shared" si="5"/>
        <v>3.6633333333333331</v>
      </c>
      <c r="G6" t="s">
        <v>102</v>
      </c>
      <c r="H6" t="str">
        <f>VLOOKUP(Station_No,RISE_CALC,5,FALSE)</f>
        <v>#NA</v>
      </c>
      <c r="K6" t="str">
        <f>CONCATENATE("A(",H6,")=")</f>
        <v>A(#NA)=</v>
      </c>
      <c r="L6" t="e">
        <f>IFERROR(P27,IFERROR(X6,AD9))</f>
        <v>#VALUE!</v>
      </c>
      <c r="Q6" s="66" t="str">
        <f t="shared" si="0"/>
        <v>4th_UWL</v>
      </c>
      <c r="R6" s="67" t="str">
        <f t="shared" si="0"/>
        <v>#NA</v>
      </c>
      <c r="U6" t="s">
        <v>103</v>
      </c>
      <c r="W6" t="str">
        <f>CONCATENATE("A(",S3,")=")</f>
        <v>A(#NA)=</v>
      </c>
      <c r="X6" t="e">
        <f>IF(OR(AD4&lt;=0,AD5&lt;=0),AD9,AD4)</f>
        <v>#VALUE!</v>
      </c>
      <c r="AE6" s="66" t="str">
        <f t="shared" si="1"/>
        <v>3rd_UWL</v>
      </c>
      <c r="AF6" s="67" t="str">
        <f t="shared" si="1"/>
        <v>#NA</v>
      </c>
      <c r="AJ6" s="89" t="e">
        <f>SUM(AJ3:AJ5)</f>
        <v>#VALUE!</v>
      </c>
      <c r="AL6" s="89" t="e">
        <f>SUM(AL3:AL5)</f>
        <v>#VALUE!</v>
      </c>
      <c r="AM6" s="84" t="str">
        <f>CONCATENATE("m'(",AG5,")=")</f>
        <v>m'(#NA)=</v>
      </c>
      <c r="AN6" s="84" t="e">
        <f>2*(AN3*WLS)/3*AL6</f>
        <v>#VALUE!</v>
      </c>
      <c r="AO6" s="84" t="e">
        <f>CONCATENATE("M(",AG3,")=")</f>
        <v>#VALUE!</v>
      </c>
      <c r="AP6" s="84" t="e">
        <f>IF(AG3=RisePerWLS,0,VLOOKUP(AG3,STN_TABLE,4,FALSE))</f>
        <v>#VALUE!</v>
      </c>
      <c r="AQ6" t="str">
        <f>CONCATENATE("M(",AG5,")=")</f>
        <v>M(#NA)=</v>
      </c>
      <c r="AR6" t="e">
        <f>AN6+AP6</f>
        <v>#VALUE!</v>
      </c>
    </row>
    <row r="7" spans="1:46" x14ac:dyDescent="0.25">
      <c r="A7">
        <v>4</v>
      </c>
      <c r="B7" s="80">
        <f t="shared" si="2"/>
        <v>0.75</v>
      </c>
      <c r="C7" s="81">
        <f t="shared" si="3"/>
        <v>4.58</v>
      </c>
      <c r="D7" s="81">
        <f t="shared" si="4"/>
        <v>11.077499999999999</v>
      </c>
      <c r="E7" s="77">
        <f t="shared" si="5"/>
        <v>9.1406249999999982</v>
      </c>
      <c r="G7" t="s">
        <v>104</v>
      </c>
      <c r="H7" t="str">
        <f>VLOOKUP(Station_No,RISE_CALC,6,FALSE)</f>
        <v>#NA</v>
      </c>
      <c r="K7" t="str">
        <f>CONCATENATE("M(",H6,")=")</f>
        <v>M(#NA)=</v>
      </c>
      <c r="L7" t="e">
        <f>IFERROR(P28,IFERROR(X7,AD10))</f>
        <v>#VALUE!</v>
      </c>
      <c r="Q7" s="66"/>
      <c r="R7" s="67"/>
      <c r="W7" t="str">
        <f>CONCATENATE("M(",S3,")=")</f>
        <v>M(#NA)=</v>
      </c>
      <c r="X7" t="e">
        <f>IF(OR(AD4&lt;=0,AD5&lt;=0),AD10,AD5)</f>
        <v>#VALUE!</v>
      </c>
      <c r="Y7" s="6" t="s">
        <v>93</v>
      </c>
      <c r="Z7" s="70" t="e">
        <f>WLS*(U9-U8)</f>
        <v>#VALUE!</v>
      </c>
      <c r="AE7" s="66" t="str">
        <f t="shared" si="1"/>
        <v>4th_UWL</v>
      </c>
      <c r="AF7" s="67" t="str">
        <f t="shared" si="1"/>
        <v>#NA</v>
      </c>
      <c r="AH7" s="81"/>
    </row>
    <row r="8" spans="1:46" x14ac:dyDescent="0.25">
      <c r="A8">
        <v>5</v>
      </c>
      <c r="B8" s="80">
        <f t="shared" si="2"/>
        <v>1</v>
      </c>
      <c r="C8" s="81">
        <f t="shared" si="3"/>
        <v>4.91</v>
      </c>
      <c r="D8" s="81">
        <f t="shared" si="4"/>
        <v>15.836666666666666</v>
      </c>
      <c r="E8" s="77">
        <f t="shared" si="5"/>
        <v>17.473333333333333</v>
      </c>
      <c r="G8" t="s">
        <v>105</v>
      </c>
      <c r="H8" t="str">
        <f>VLOOKUP(Station_No,RISE_CALC,7,FALSE)</f>
        <v>#NA</v>
      </c>
      <c r="K8" t="str">
        <f>CONCATENATE("A(",H7,")=")</f>
        <v>A(#NA)=</v>
      </c>
      <c r="L8" t="e">
        <f>IFERROR(AD15,IFERROR(X24,AD27))</f>
        <v>#VALUE!</v>
      </c>
      <c r="Q8" s="80"/>
      <c r="R8" s="81"/>
      <c r="U8" s="79" t="str">
        <f>R3</f>
        <v>#NA</v>
      </c>
      <c r="V8" s="68" t="e">
        <f>VLOOKUP(U8,STN_TABLE,2,FALSE)</f>
        <v>#N/A</v>
      </c>
      <c r="W8" s="68">
        <v>1</v>
      </c>
      <c r="X8" s="69" t="e">
        <f>V8*W8</f>
        <v>#N/A</v>
      </c>
      <c r="Y8" s="78" t="s">
        <v>97</v>
      </c>
      <c r="Z8" s="78"/>
      <c r="AA8" s="78" t="s">
        <v>98</v>
      </c>
      <c r="AB8" s="78"/>
      <c r="AC8" s="7" t="s">
        <v>99</v>
      </c>
      <c r="AD8" s="7"/>
      <c r="AE8" s="66"/>
      <c r="AF8" s="67"/>
      <c r="AG8" s="68" t="e">
        <f>IF(OR(AF12-AF11=AF11-AF10,AF13-AF11=AF11-AF10),AF10,IF(OR(AF12-AF11=AF11-AF9,AF13-AF11=AF11-AF9),AF9,"-"))</f>
        <v>#VALUE!</v>
      </c>
      <c r="AH8" s="69" t="e">
        <f>IFERROR(VLOOKUP(AG8,STN_TABLE,2,FALSE),IF(AF8=RisePerWLS,0,"-"))</f>
        <v>#VALUE!</v>
      </c>
      <c r="AI8" s="69">
        <v>5</v>
      </c>
      <c r="AJ8" s="69" t="e">
        <f>AH8*AI8</f>
        <v>#VALUE!</v>
      </c>
      <c r="AK8" s="69">
        <v>3</v>
      </c>
      <c r="AL8" s="69" t="e">
        <f>AH8*AK8</f>
        <v>#VALUE!</v>
      </c>
      <c r="AM8" s="6" t="s">
        <v>93</v>
      </c>
      <c r="AN8" s="70" t="e">
        <f>IF(AND(AG10-AG9=AG9-AG8,NOT(AND(AG8=0,AG9=0)),NOT(AND(AG9=0,AG10=0))),WLS*(AG10-AG9),"#NA")</f>
        <v>#VALUE!</v>
      </c>
    </row>
    <row r="9" spans="1:46" x14ac:dyDescent="0.25">
      <c r="A9">
        <v>6</v>
      </c>
      <c r="B9" s="80">
        <f t="shared" si="2"/>
        <v>2</v>
      </c>
      <c r="C9" s="81">
        <f t="shared" si="3"/>
        <v>5.63</v>
      </c>
      <c r="D9" s="81">
        <f t="shared" si="4"/>
        <v>37.016666666666666</v>
      </c>
      <c r="E9" s="77">
        <f t="shared" si="5"/>
        <v>81.493333333333325</v>
      </c>
      <c r="G9" t="s">
        <v>106</v>
      </c>
      <c r="H9" t="str">
        <f>VLOOKUP(Station_No,RISE_CALC,8,FALSE)</f>
        <v>#NA</v>
      </c>
      <c r="K9" t="str">
        <f>CONCATENATE("M(",H7,")=")</f>
        <v>M(#NA)=</v>
      </c>
      <c r="L9" t="e">
        <f>IFERROR(AD16,IFERROR(X25,AD28))</f>
        <v>#VALUE!</v>
      </c>
      <c r="Q9" s="80"/>
      <c r="R9" s="81"/>
      <c r="U9" s="88" t="str">
        <f>R4</f>
        <v>#NA</v>
      </c>
      <c r="V9" s="82" t="e">
        <f>VLOOKUP(U9,STN_TABLE,2,FALSE)</f>
        <v>#N/A</v>
      </c>
      <c r="W9" s="82">
        <v>2</v>
      </c>
      <c r="X9" s="83" t="e">
        <f>V9*W9</f>
        <v>#N/A</v>
      </c>
      <c r="Y9" s="84" t="str">
        <f>CONCATENATE("a'(",U9,")=")</f>
        <v>a'(#NA)=</v>
      </c>
      <c r="Z9" s="84" t="e">
        <f>2*Z7/2*V10</f>
        <v>#VALUE!</v>
      </c>
      <c r="AA9" s="84" t="str">
        <f>CONCATENATE("A(",U8,")=")</f>
        <v>A(#NA)=</v>
      </c>
      <c r="AB9" s="84" t="e">
        <f>IF(U8=RisePerWLS,0,VLOOKUP(U8,STN_TABLE,3,FALSE))</f>
        <v>#VALUE!</v>
      </c>
      <c r="AC9" t="str">
        <f>CONCATENATE("A(",U9,")=")</f>
        <v>A(#NA)=</v>
      </c>
      <c r="AD9" t="e">
        <f>Z9+AB9</f>
        <v>#VALUE!</v>
      </c>
      <c r="AE9" s="66" t="str">
        <f t="shared" ref="AE9:AF13" si="6">G6</f>
        <v>2nd_UWL</v>
      </c>
      <c r="AF9" s="67" t="str">
        <f t="shared" si="6"/>
        <v>#NA</v>
      </c>
      <c r="AG9" s="76" t="str">
        <f>AF11</f>
        <v>#NA</v>
      </c>
      <c r="AH9" s="77" t="e">
        <f>VLOOKUP(AG9,STN_TABLE,2,FALSE)</f>
        <v>#N/A</v>
      </c>
      <c r="AI9" s="77">
        <v>8</v>
      </c>
      <c r="AJ9" s="77" t="e">
        <f>AH9*AI9</f>
        <v>#N/A</v>
      </c>
      <c r="AK9" s="77">
        <v>10</v>
      </c>
      <c r="AL9" s="77" t="e">
        <f>AH9*AK9</f>
        <v>#N/A</v>
      </c>
      <c r="AM9" s="78" t="s">
        <v>97</v>
      </c>
      <c r="AN9" s="78"/>
      <c r="AO9" s="78" t="s">
        <v>98</v>
      </c>
      <c r="AP9" s="78"/>
      <c r="AQ9" s="7" t="s">
        <v>99</v>
      </c>
      <c r="AR9" s="7"/>
      <c r="AS9" s="7"/>
      <c r="AT9" s="7"/>
    </row>
    <row r="10" spans="1:46" x14ac:dyDescent="0.25">
      <c r="A10">
        <v>7</v>
      </c>
      <c r="B10" s="80">
        <f t="shared" si="2"/>
        <v>3</v>
      </c>
      <c r="C10" s="81">
        <f t="shared" si="3"/>
        <v>6.05</v>
      </c>
      <c r="D10" s="81">
        <f t="shared" si="4"/>
        <v>60.476666666666659</v>
      </c>
      <c r="E10" s="77">
        <f t="shared" si="5"/>
        <v>199.0733333333333</v>
      </c>
      <c r="G10" t="s">
        <v>107</v>
      </c>
      <c r="H10" t="str">
        <f>VLOOKUP(Station_No,RISE_CALC,9,FALSE)</f>
        <v>#NA</v>
      </c>
      <c r="K10" t="str">
        <f>CONCATENATE("A(",H8,")=")</f>
        <v>A(#NA)=</v>
      </c>
      <c r="L10" t="e">
        <f>IFERROR(AR5,IFERROR(AL12,AR15))</f>
        <v>#VALUE!</v>
      </c>
      <c r="Q10" s="80"/>
      <c r="R10" s="81"/>
      <c r="V10" s="89" t="e">
        <f>SUM(V8:V9)</f>
        <v>#N/A</v>
      </c>
      <c r="X10" s="89" t="e">
        <f>SUM(X8:X9)</f>
        <v>#N/A</v>
      </c>
      <c r="Y10" s="84" t="str">
        <f>CONCATENATE("m'(",U9,")=")</f>
        <v>m'(#NA)=</v>
      </c>
      <c r="Z10" s="84" t="e">
        <f>(2*(Z7^2)/6*X10)+(Z9*U8*WLS)</f>
        <v>#VALUE!</v>
      </c>
      <c r="AA10" s="84" t="str">
        <f>CONCATENATE("M(",U8,")=")</f>
        <v>M(#NA)=</v>
      </c>
      <c r="AB10" s="84" t="e">
        <f>IF(U8=RisePerWLS,0,VLOOKUP(U8,STN_TABLE,4,FALSE))</f>
        <v>#VALUE!</v>
      </c>
      <c r="AC10" t="str">
        <f>CONCATENATE("M(",U9,")=")</f>
        <v>M(#NA)=</v>
      </c>
      <c r="AD10" t="e">
        <f>Z10+AB10</f>
        <v>#VALUE!</v>
      </c>
      <c r="AE10" s="66" t="str">
        <f t="shared" si="6"/>
        <v>3rd_UWL</v>
      </c>
      <c r="AF10" s="67" t="str">
        <f t="shared" si="6"/>
        <v>#NA</v>
      </c>
      <c r="AG10" s="82" t="e">
        <f>IF(AG8-AG9=AG9-AF12,AF12,IF(AG8-AG9=AG9-AF13,AF13,"-"))</f>
        <v>#VALUE!</v>
      </c>
      <c r="AH10" s="83" t="e">
        <f>VLOOKUP(AG10,STN_TABLE,2,FALSE)</f>
        <v>#VALUE!</v>
      </c>
      <c r="AI10" s="83">
        <v>-1</v>
      </c>
      <c r="AJ10" s="83" t="e">
        <f>AH10*AI10</f>
        <v>#VALUE!</v>
      </c>
      <c r="AK10" s="83">
        <v>-1</v>
      </c>
      <c r="AL10" s="83" t="e">
        <f>AH10*AK10</f>
        <v>#VALUE!</v>
      </c>
      <c r="AM10" s="84" t="str">
        <f>CONCATENATE("a'(",AG9,")=")</f>
        <v>a'(#NA)=</v>
      </c>
      <c r="AN10" s="84" t="e">
        <f>2*AN8/12*AJ11</f>
        <v>#VALUE!</v>
      </c>
      <c r="AO10" s="84" t="e">
        <f>CONCATENATE("A(",AG8,")=")</f>
        <v>#VALUE!</v>
      </c>
      <c r="AP10" s="84" t="e">
        <f>VLOOKUP(AG8,STN_TABLE,3,FALSE)</f>
        <v>#VALUE!</v>
      </c>
      <c r="AQ10" t="str">
        <f>CONCATENATE("A(",AG9,")=")</f>
        <v>A(#NA)=</v>
      </c>
      <c r="AR10" t="e">
        <f>AN10+AP10</f>
        <v>#VALUE!</v>
      </c>
    </row>
    <row r="11" spans="1:46" x14ac:dyDescent="0.25">
      <c r="A11">
        <v>8</v>
      </c>
      <c r="B11" s="80">
        <f t="shared" si="2"/>
        <v>4</v>
      </c>
      <c r="C11" s="81">
        <f t="shared" si="3"/>
        <v>6.39</v>
      </c>
      <c r="D11" s="81">
        <f t="shared" si="4"/>
        <v>85.31</v>
      </c>
      <c r="E11" s="77">
        <f t="shared" si="5"/>
        <v>373.28</v>
      </c>
      <c r="G11" t="s">
        <v>108</v>
      </c>
      <c r="H11" t="str">
        <f>VLOOKUP(Station_No,RISE_CALC,10,FALSE)</f>
        <v>#NA</v>
      </c>
      <c r="K11" t="str">
        <f>CONCATENATE("M(",H8,")=")</f>
        <v>M(#NA)=</v>
      </c>
      <c r="L11" t="e">
        <f>IFERROR(AR6,IFERROR(AL13,AR16))</f>
        <v>#VALUE!</v>
      </c>
      <c r="Q11" s="80"/>
      <c r="R11" s="81"/>
      <c r="AE11" s="66" t="str">
        <f t="shared" si="6"/>
        <v>4th_UWL</v>
      </c>
      <c r="AF11" s="67" t="str">
        <f t="shared" si="6"/>
        <v>#NA</v>
      </c>
      <c r="AJ11" s="89" t="e">
        <f>SUM(AJ8:AJ10)</f>
        <v>#VALUE!</v>
      </c>
      <c r="AL11" s="89" t="e">
        <f>SUM(AL8:AL10)</f>
        <v>#VALUE!</v>
      </c>
      <c r="AM11" s="84" t="str">
        <f>CONCATENATE("m'(",AG9,")=")</f>
        <v>m'(#NA)=</v>
      </c>
      <c r="AN11" s="84" t="e">
        <f>(2*(AN8^2)/24*AL11)+(AN10*AG8*WLS)</f>
        <v>#VALUE!</v>
      </c>
      <c r="AO11" s="84" t="e">
        <f>CONCATENATE("M(",AG8,")=")</f>
        <v>#VALUE!</v>
      </c>
      <c r="AP11" s="84" t="e">
        <f>VLOOKUP(AG8,STN_TABLE,4,FALSE)</f>
        <v>#VALUE!</v>
      </c>
      <c r="AQ11" t="str">
        <f>CONCATENATE("M(",AG9,")=")</f>
        <v>M(#NA)=</v>
      </c>
      <c r="AR11" t="e">
        <f>AN11+AP11</f>
        <v>#VALUE!</v>
      </c>
    </row>
    <row r="12" spans="1:46" x14ac:dyDescent="0.25">
      <c r="A12">
        <v>9</v>
      </c>
      <c r="B12" s="80">
        <f t="shared" si="2"/>
        <v>4.8499999999999996</v>
      </c>
      <c r="C12" s="81">
        <f t="shared" si="3"/>
        <v>6.82</v>
      </c>
      <c r="D12" s="81">
        <f t="shared" si="4"/>
        <v>107.767</v>
      </c>
      <c r="E12" s="77">
        <f t="shared" si="5"/>
        <v>572.23156666666659</v>
      </c>
      <c r="Q12" s="90" t="s">
        <v>109</v>
      </c>
      <c r="R12" s="81"/>
      <c r="AE12" s="66" t="str">
        <f t="shared" si="6"/>
        <v>5th_UWL</v>
      </c>
      <c r="AF12" s="67" t="str">
        <f t="shared" si="6"/>
        <v>#NA</v>
      </c>
      <c r="AI12" t="s">
        <v>103</v>
      </c>
      <c r="AK12" t="str">
        <f>CONCATENATE("A(",AG9,")=")</f>
        <v>A(#NA)=</v>
      </c>
      <c r="AL12" t="e">
        <f>IF(OR(AR10&lt;=0,AR11&lt;=0),AR15,AR10)</f>
        <v>#VALUE!</v>
      </c>
    </row>
    <row r="13" spans="1:46" x14ac:dyDescent="0.25">
      <c r="A13">
        <v>10</v>
      </c>
      <c r="B13" s="80">
        <f t="shared" si="2"/>
        <v>5</v>
      </c>
      <c r="C13" s="81">
        <f t="shared" si="3"/>
        <v>6.91</v>
      </c>
      <c r="D13" s="81">
        <f t="shared" si="4"/>
        <v>111.83666666666664</v>
      </c>
      <c r="E13" s="77">
        <f t="shared" si="5"/>
        <v>612.24666666666656</v>
      </c>
      <c r="G13" s="71" t="s">
        <v>110</v>
      </c>
      <c r="Q13" s="66" t="str">
        <f t="shared" ref="Q13:R16" si="7">G4</f>
        <v>Rise</v>
      </c>
      <c r="R13" s="67" t="e">
        <f t="shared" si="7"/>
        <v>#VALUE!</v>
      </c>
      <c r="S13" s="68" t="e">
        <f>IF(R16-R15=R15-R14,R14,IF(R16-R14=R14-R13,R13,"-"))</f>
        <v>#VALUE!</v>
      </c>
      <c r="T13" s="69" t="e">
        <f>IFERROR(VLOOKUP(S13,STN_TABLE,2,FALSE),IF(R13=RisePerWLS,0,"-"))</f>
        <v>#VALUE!</v>
      </c>
      <c r="U13" s="69">
        <v>1</v>
      </c>
      <c r="V13" s="69" t="e">
        <f>T13*U13</f>
        <v>#VALUE!</v>
      </c>
      <c r="W13" s="69" t="e">
        <f>S13</f>
        <v>#VALUE!</v>
      </c>
      <c r="X13" s="69" t="e">
        <f>V13*W13</f>
        <v>#VALUE!</v>
      </c>
      <c r="Y13" s="6" t="s">
        <v>93</v>
      </c>
      <c r="Z13" s="70" t="e">
        <f>IF(AND(T13=0,T14=0,T15=0),WLS*(S15-S14),IF(AND(S15-S14=S14-S13,S14&lt;&gt;S15,S13&lt;&gt;S14,S13&lt;&gt;S15,T15&lt;&gt;0,OR(T13&lt;&gt;0,T14&lt;&gt;0)),WLS*(S15-S14),"#NA"))</f>
        <v>#VALUE!</v>
      </c>
      <c r="AE13" s="66" t="str">
        <f t="shared" si="6"/>
        <v>6th_UWL</v>
      </c>
      <c r="AF13" s="67" t="str">
        <f t="shared" si="6"/>
        <v>#NA</v>
      </c>
      <c r="AK13" t="str">
        <f>CONCATENATE("M(",AG9,")=")</f>
        <v>M(#NA)=</v>
      </c>
      <c r="AL13" t="e">
        <f>IF(OR(AR10&lt;=0,AR11&lt;=0),AR16,AR11)</f>
        <v>#VALUE!</v>
      </c>
      <c r="AM13" s="6" t="s">
        <v>93</v>
      </c>
      <c r="AN13" s="70" t="e">
        <f>WLS*(AI15-AI14)</f>
        <v>#VALUE!</v>
      </c>
    </row>
    <row r="14" spans="1:46" x14ac:dyDescent="0.25">
      <c r="A14">
        <v>11</v>
      </c>
      <c r="B14" s="80">
        <f t="shared" si="2"/>
        <v>6</v>
      </c>
      <c r="C14" s="81">
        <f t="shared" si="3"/>
        <v>7.5</v>
      </c>
      <c r="D14" s="81">
        <f t="shared" si="4"/>
        <v>140.68333333333334</v>
      </c>
      <c r="E14" s="77">
        <f t="shared" si="5"/>
        <v>929.97333333333324</v>
      </c>
      <c r="G14" s="91" t="str">
        <f>G4</f>
        <v>Rise</v>
      </c>
      <c r="H14" s="91" t="e">
        <f>RisePerWLS</f>
        <v>#VALUE!</v>
      </c>
      <c r="I14" s="68" t="e">
        <f>H14</f>
        <v>#VALUE!</v>
      </c>
      <c r="J14" s="69">
        <v>0</v>
      </c>
      <c r="K14" s="69">
        <v>5</v>
      </c>
      <c r="L14" s="69">
        <f>J14*K14</f>
        <v>0</v>
      </c>
      <c r="M14" s="69">
        <v>3</v>
      </c>
      <c r="N14" s="69">
        <f>J14*M14</f>
        <v>0</v>
      </c>
      <c r="O14" t="s">
        <v>93</v>
      </c>
      <c r="P14" t="e">
        <f>IF(AND(NOT(AND(J14=0,J15=0)),I14&lt;&gt;I15,I15&lt;&gt;I16,I16-I15=I15-I14),(I16-I15)*WLS,"#NA")</f>
        <v>#N/A</v>
      </c>
      <c r="Q14" s="66" t="str">
        <f t="shared" si="7"/>
        <v>1st_UWL</v>
      </c>
      <c r="R14" s="67" t="str">
        <f t="shared" si="7"/>
        <v>#NA</v>
      </c>
      <c r="S14" s="76" t="e">
        <f>IF(R16-R15=R15-R14,R15,IF(R16-R14=R14-R13,R14,"-"))</f>
        <v>#VALUE!</v>
      </c>
      <c r="T14" s="77" t="e">
        <f>VLOOKUP(S14,STN_TABLE,2,FALSE)</f>
        <v>#VALUE!</v>
      </c>
      <c r="U14" s="77">
        <v>4</v>
      </c>
      <c r="V14" s="77" t="e">
        <f>T14*U14</f>
        <v>#VALUE!</v>
      </c>
      <c r="W14" s="77" t="e">
        <f>S14</f>
        <v>#VALUE!</v>
      </c>
      <c r="X14" s="77" t="e">
        <f>V14*W14</f>
        <v>#VALUE!</v>
      </c>
      <c r="Y14" s="78" t="s">
        <v>97</v>
      </c>
      <c r="Z14" s="78"/>
      <c r="AA14" s="78" t="s">
        <v>98</v>
      </c>
      <c r="AB14" s="78"/>
      <c r="AC14" s="7" t="s">
        <v>99</v>
      </c>
      <c r="AD14" s="7"/>
      <c r="AE14" s="66"/>
      <c r="AF14" s="67"/>
      <c r="AI14" s="79" t="str">
        <f>AF10</f>
        <v>#NA</v>
      </c>
      <c r="AJ14" s="68" t="e">
        <f>VLOOKUP(AI14,STN_TABLE,2,FALSE)</f>
        <v>#N/A</v>
      </c>
      <c r="AK14" s="68">
        <v>1</v>
      </c>
      <c r="AL14" s="69" t="e">
        <f>AJ14*AK14</f>
        <v>#N/A</v>
      </c>
      <c r="AM14" s="78" t="s">
        <v>97</v>
      </c>
      <c r="AN14" s="78"/>
      <c r="AO14" s="78" t="s">
        <v>98</v>
      </c>
      <c r="AP14" s="78"/>
      <c r="AQ14" s="7" t="s">
        <v>99</v>
      </c>
      <c r="AR14" s="7"/>
      <c r="AS14" s="7"/>
      <c r="AT14" s="7"/>
    </row>
    <row r="15" spans="1:46" x14ac:dyDescent="0.25">
      <c r="A15">
        <v>12</v>
      </c>
      <c r="B15" s="80">
        <f t="shared" si="2"/>
        <v>6.5</v>
      </c>
      <c r="C15" s="81">
        <f t="shared" si="3"/>
        <v>7.8</v>
      </c>
      <c r="D15" s="81">
        <f t="shared" si="4"/>
        <v>155.98333333333335</v>
      </c>
      <c r="E15" s="77">
        <f t="shared" si="5"/>
        <v>1121.2733333333333</v>
      </c>
      <c r="G15" s="91" t="str">
        <f>G5</f>
        <v>1st_UWL</v>
      </c>
      <c r="H15" s="91" t="str">
        <f>H5</f>
        <v>#NA</v>
      </c>
      <c r="I15" s="76" t="str">
        <f>H15</f>
        <v>#NA</v>
      </c>
      <c r="J15" s="77" t="e">
        <f>VLOOKUP(I15,STN_TABLE,2,FALSE)</f>
        <v>#N/A</v>
      </c>
      <c r="K15" s="77">
        <v>8</v>
      </c>
      <c r="L15" s="77" t="e">
        <f>J15*K15</f>
        <v>#N/A</v>
      </c>
      <c r="M15" s="77">
        <v>10</v>
      </c>
      <c r="N15" s="77" t="e">
        <f>J15*M15</f>
        <v>#N/A</v>
      </c>
      <c r="O15" t="str">
        <f>CONCATENATE("A(",I15,")=")</f>
        <v>A(#NA)=</v>
      </c>
      <c r="P15" t="e">
        <f>2*P14/12*L17</f>
        <v>#N/A</v>
      </c>
      <c r="Q15" s="66" t="str">
        <f t="shared" si="7"/>
        <v>2nd_UWL</v>
      </c>
      <c r="R15" s="67" t="str">
        <f t="shared" si="7"/>
        <v>#NA</v>
      </c>
      <c r="S15" s="82" t="str">
        <f>R16</f>
        <v>#NA</v>
      </c>
      <c r="T15" s="83" t="e">
        <f>VLOOKUP(S15,STN_TABLE,2,FALSE)</f>
        <v>#N/A</v>
      </c>
      <c r="U15" s="83">
        <v>1</v>
      </c>
      <c r="V15" s="83" t="e">
        <f>T15*U15</f>
        <v>#N/A</v>
      </c>
      <c r="W15" s="83" t="str">
        <f>S15</f>
        <v>#NA</v>
      </c>
      <c r="X15" s="83" t="e">
        <f>V15*W15</f>
        <v>#N/A</v>
      </c>
      <c r="Y15" s="84" t="str">
        <f>CONCATENATE("a'(",S15,")=")</f>
        <v>a'(#NA)=</v>
      </c>
      <c r="Z15" s="84" t="e">
        <f>2*Z13/3*V16</f>
        <v>#VALUE!</v>
      </c>
      <c r="AA15" s="84" t="e">
        <f>CONCATENATE("A(",S13,")=")</f>
        <v>#VALUE!</v>
      </c>
      <c r="AB15" s="84" t="e">
        <f>IF(S13=RisePerWLS,0,VLOOKUP(S13,STN_TABLE,3,FALSE))</f>
        <v>#VALUE!</v>
      </c>
      <c r="AC15" t="str">
        <f>CONCATENATE("A(",S15,")=")</f>
        <v>A(#NA)=</v>
      </c>
      <c r="AD15" t="e">
        <f>Z15+AB15</f>
        <v>#VALUE!</v>
      </c>
      <c r="AE15" s="80"/>
      <c r="AI15" s="88" t="str">
        <f>AF11</f>
        <v>#NA</v>
      </c>
      <c r="AJ15" s="82" t="e">
        <f>VLOOKUP(AI15,STN_TABLE,2,FALSE)</f>
        <v>#N/A</v>
      </c>
      <c r="AK15" s="82">
        <v>2</v>
      </c>
      <c r="AL15" s="83" t="e">
        <f>AJ15*AK15</f>
        <v>#N/A</v>
      </c>
      <c r="AM15" s="84" t="str">
        <f>CONCATENATE("a'(",AI15,")=")</f>
        <v>a'(#NA)=</v>
      </c>
      <c r="AN15" s="84" t="e">
        <f>2*AN13/2*AJ16</f>
        <v>#VALUE!</v>
      </c>
      <c r="AO15" s="84" t="str">
        <f>CONCATENATE("A(",AI14,")=")</f>
        <v>A(#NA)=</v>
      </c>
      <c r="AP15" s="84" t="e">
        <f>IF(AI14=RisePerWLS,0,VLOOKUP(AI14,STN_TABLE,3,FALSE))</f>
        <v>#VALUE!</v>
      </c>
      <c r="AQ15" t="str">
        <f>CONCATENATE("A(",AI15,")=")</f>
        <v>A(#NA)=</v>
      </c>
      <c r="AR15" t="e">
        <f>AN15+AP15</f>
        <v>#VALUE!</v>
      </c>
    </row>
    <row r="16" spans="1:46" x14ac:dyDescent="0.25">
      <c r="A16">
        <v>13</v>
      </c>
      <c r="B16" s="80" t="str">
        <f t="shared" si="2"/>
        <v xml:space="preserve">  </v>
      </c>
      <c r="C16" s="81" t="str">
        <f t="shared" si="3"/>
        <v xml:space="preserve">  </v>
      </c>
      <c r="D16" s="81" t="str">
        <f t="shared" si="4"/>
        <v xml:space="preserve"> </v>
      </c>
      <c r="E16" s="77" t="str">
        <f t="shared" si="5"/>
        <v xml:space="preserve"> </v>
      </c>
      <c r="G16" s="91" t="str">
        <f>G6</f>
        <v>2nd_UWL</v>
      </c>
      <c r="H16" s="91" t="str">
        <f>H6</f>
        <v>#NA</v>
      </c>
      <c r="I16" s="82" t="e">
        <f>IF(H16-H15=H15-H14,H16,"#NA")</f>
        <v>#VALUE!</v>
      </c>
      <c r="J16" s="83" t="e">
        <f>VLOOKUP(I16,STN_TABLE,2,FALSE)</f>
        <v>#VALUE!</v>
      </c>
      <c r="K16" s="83">
        <v>-1</v>
      </c>
      <c r="L16" s="83" t="e">
        <f>J16*K16</f>
        <v>#VALUE!</v>
      </c>
      <c r="M16" s="83">
        <v>-1</v>
      </c>
      <c r="N16" s="83" t="e">
        <f>J16*M16</f>
        <v>#VALUE!</v>
      </c>
      <c r="O16" t="str">
        <f>CONCATENATE("M(",I15,")=")</f>
        <v>M(#NA)=</v>
      </c>
      <c r="P16" t="e">
        <f>(2*(P14^2)/24*N17)+P15*I14*WLS</f>
        <v>#N/A</v>
      </c>
      <c r="Q16" s="66" t="str">
        <f t="shared" si="7"/>
        <v>3rd_UWL</v>
      </c>
      <c r="R16" s="67" t="str">
        <f t="shared" si="7"/>
        <v>#NA</v>
      </c>
      <c r="V16" s="89" t="e">
        <f>SUM(V13:V15)</f>
        <v>#VALUE!</v>
      </c>
      <c r="X16" s="89" t="e">
        <f>SUM(X13:X15)</f>
        <v>#VALUE!</v>
      </c>
      <c r="Y16" s="84" t="str">
        <f>CONCATENATE("m'(",S15,")=")</f>
        <v>m'(#NA)=</v>
      </c>
      <c r="Z16" s="84" t="e">
        <f>2*(Z13*WLS)/3*X16</f>
        <v>#VALUE!</v>
      </c>
      <c r="AA16" s="84" t="e">
        <f>CONCATENATE("M(",S13,")=")</f>
        <v>#VALUE!</v>
      </c>
      <c r="AB16" s="84" t="e">
        <f>IF(S13=RisePerWLS,0,VLOOKUP(S13,STN_TABLE,4,FALSE))</f>
        <v>#VALUE!</v>
      </c>
      <c r="AC16" t="str">
        <f>CONCATENATE("M(",S15,")=")</f>
        <v>M(#NA)=</v>
      </c>
      <c r="AD16" t="e">
        <f>Z16+AB16</f>
        <v>#VALUE!</v>
      </c>
      <c r="AE16" s="80"/>
      <c r="AJ16" s="89" t="e">
        <f>SUM(AJ14:AJ15)</f>
        <v>#N/A</v>
      </c>
      <c r="AL16" s="89" t="e">
        <f>SUM(AL14:AL15)</f>
        <v>#N/A</v>
      </c>
      <c r="AM16" s="84" t="str">
        <f>CONCATENATE("m'(",AI15,")=")</f>
        <v>m'(#NA)=</v>
      </c>
      <c r="AN16" s="84" t="e">
        <f>(2*(AN13^2)/6*AL16)+(AN15*AI14*WLS)</f>
        <v>#VALUE!</v>
      </c>
      <c r="AO16" s="84" t="str">
        <f>CONCATENATE("M(",AI14,")=")</f>
        <v>M(#NA)=</v>
      </c>
      <c r="AP16" s="84" t="e">
        <f>IF(AI14=RisePerWLS,0,VLOOKUP(AI14,STN_TABLE,4,FALSE))</f>
        <v>#VALUE!</v>
      </c>
      <c r="AQ16" t="str">
        <f>CONCATENATE("M(",AI15,")=")</f>
        <v>M(#NA)=</v>
      </c>
      <c r="AR16" t="e">
        <f>AN16+AP16</f>
        <v>#VALUE!</v>
      </c>
    </row>
    <row r="17" spans="1:35" x14ac:dyDescent="0.25">
      <c r="A17">
        <v>14</v>
      </c>
      <c r="B17" s="80" t="str">
        <f t="shared" si="2"/>
        <v xml:space="preserve">  </v>
      </c>
      <c r="C17" s="81" t="str">
        <f t="shared" si="3"/>
        <v xml:space="preserve">  </v>
      </c>
      <c r="D17" s="81" t="str">
        <f t="shared" si="4"/>
        <v xml:space="preserve"> </v>
      </c>
      <c r="E17" s="77" t="str">
        <f t="shared" si="5"/>
        <v xml:space="preserve"> </v>
      </c>
      <c r="G17" s="91"/>
      <c r="H17" s="91"/>
      <c r="L17" s="89" t="e">
        <f>SUM(L14:L16)</f>
        <v>#N/A</v>
      </c>
      <c r="N17" s="89" t="e">
        <f>SUM(N14:N16)</f>
        <v>#N/A</v>
      </c>
      <c r="Q17" s="66"/>
      <c r="R17" s="67"/>
      <c r="AE17" s="90"/>
    </row>
    <row r="18" spans="1:35" x14ac:dyDescent="0.25">
      <c r="A18">
        <v>15</v>
      </c>
      <c r="B18" s="80" t="str">
        <f t="shared" si="2"/>
        <v xml:space="preserve">  </v>
      </c>
      <c r="C18" s="81" t="str">
        <f t="shared" si="3"/>
        <v xml:space="preserve">  </v>
      </c>
      <c r="D18" s="81" t="str">
        <f t="shared" si="4"/>
        <v xml:space="preserve"> </v>
      </c>
      <c r="E18" s="77" t="str">
        <f t="shared" si="5"/>
        <v xml:space="preserve"> </v>
      </c>
      <c r="G18" s="91"/>
      <c r="H18" s="91"/>
      <c r="K18" t="s">
        <v>103</v>
      </c>
      <c r="M18" t="str">
        <f>CONCATENATE("A(",I15,")=")</f>
        <v>A(#NA)=</v>
      </c>
      <c r="N18" t="e">
        <f>IF(OR(P15&lt;=0,P16&lt;=0),N22,P15)</f>
        <v>#N/A</v>
      </c>
      <c r="Q18" s="66"/>
      <c r="R18" s="67"/>
      <c r="AE18" s="80"/>
    </row>
    <row r="19" spans="1:35" x14ac:dyDescent="0.25">
      <c r="A19">
        <v>16</v>
      </c>
      <c r="B19" s="80" t="str">
        <f t="shared" si="2"/>
        <v xml:space="preserve">  </v>
      </c>
      <c r="C19" s="81" t="str">
        <f t="shared" si="3"/>
        <v xml:space="preserve">  </v>
      </c>
      <c r="D19" s="81" t="str">
        <f t="shared" si="4"/>
        <v xml:space="preserve"> </v>
      </c>
      <c r="E19" s="77" t="str">
        <f t="shared" si="5"/>
        <v xml:space="preserve"> </v>
      </c>
      <c r="G19" s="91"/>
      <c r="H19" s="91"/>
      <c r="M19" t="str">
        <f>CONCATENATE("M(",I15,")=")</f>
        <v>M(#NA)=</v>
      </c>
      <c r="N19" t="e">
        <f>IF(OR(P15&lt;=0,P16&lt;=0),N23,P16)</f>
        <v>#N/A</v>
      </c>
      <c r="Q19" s="66"/>
      <c r="R19" s="67"/>
      <c r="AE19" s="80"/>
    </row>
    <row r="20" spans="1:35" x14ac:dyDescent="0.25">
      <c r="A20">
        <v>17</v>
      </c>
      <c r="B20" s="80" t="str">
        <f t="shared" si="2"/>
        <v xml:space="preserve">  </v>
      </c>
      <c r="C20" s="81" t="str">
        <f t="shared" si="3"/>
        <v xml:space="preserve">  </v>
      </c>
      <c r="D20" s="81" t="str">
        <f t="shared" si="4"/>
        <v xml:space="preserve"> </v>
      </c>
      <c r="E20" s="77" t="str">
        <f t="shared" si="5"/>
        <v xml:space="preserve"> </v>
      </c>
      <c r="G20" s="91"/>
      <c r="H20" s="91"/>
      <c r="Q20" s="66"/>
      <c r="R20" s="67"/>
      <c r="S20" s="68" t="e">
        <f>IF(OR(R24-R23=R23-R22,R25-R23=R23-R22),R22,IF(OR(R24-R23=R23-R21,R25-R23=R23-R21),R21,"-"))</f>
        <v>#VALUE!</v>
      </c>
      <c r="T20" s="69" t="e">
        <f>IFERROR(VLOOKUP(S20,STN_TABLE,2,FALSE),IF(R20=RisePerWLS,0,"-"))</f>
        <v>#VALUE!</v>
      </c>
      <c r="U20" s="69">
        <v>5</v>
      </c>
      <c r="V20" s="69" t="e">
        <f>T20*U20</f>
        <v>#VALUE!</v>
      </c>
      <c r="W20" s="69">
        <v>3</v>
      </c>
      <c r="X20" s="69" t="e">
        <f>T20*W20</f>
        <v>#VALUE!</v>
      </c>
      <c r="Y20" s="6" t="s">
        <v>93</v>
      </c>
      <c r="Z20" s="70" t="e">
        <f>IF(AND(S22-S21=S21-S20,NOT(AND(S20=0,S21=0)),NOT(AND(S21=0,S22=0))),WLS*(S22-S21),"#NA")</f>
        <v>#VALUE!</v>
      </c>
      <c r="AE20" s="80"/>
    </row>
    <row r="21" spans="1:35" x14ac:dyDescent="0.25">
      <c r="A21">
        <v>18</v>
      </c>
      <c r="B21" s="80" t="str">
        <f t="shared" si="2"/>
        <v xml:space="preserve">  </v>
      </c>
      <c r="C21" s="81" t="str">
        <f t="shared" si="3"/>
        <v xml:space="preserve">  </v>
      </c>
      <c r="D21" s="81" t="str">
        <f t="shared" si="4"/>
        <v xml:space="preserve"> </v>
      </c>
      <c r="E21" s="77" t="str">
        <f t="shared" si="5"/>
        <v xml:space="preserve"> </v>
      </c>
      <c r="G21" s="91"/>
      <c r="H21" s="91" t="str">
        <f>G14</f>
        <v>Rise</v>
      </c>
      <c r="I21" s="79" t="e">
        <f>H14</f>
        <v>#VALUE!</v>
      </c>
      <c r="J21" s="68">
        <v>0</v>
      </c>
      <c r="K21" s="68">
        <v>1</v>
      </c>
      <c r="L21" s="69">
        <f>J21*K21</f>
        <v>0</v>
      </c>
      <c r="M21" t="s">
        <v>93</v>
      </c>
      <c r="N21" t="e">
        <f>(I22-I21)*WLS</f>
        <v>#VALUE!</v>
      </c>
      <c r="Q21" s="66" t="str">
        <f t="shared" ref="Q21:R25" si="8">G5</f>
        <v>1st_UWL</v>
      </c>
      <c r="R21" s="67" t="str">
        <f t="shared" si="8"/>
        <v>#NA</v>
      </c>
      <c r="S21" s="76" t="str">
        <f>R23</f>
        <v>#NA</v>
      </c>
      <c r="T21" s="77" t="e">
        <f>VLOOKUP(S21,STN_TABLE,2,FALSE)</f>
        <v>#N/A</v>
      </c>
      <c r="U21" s="77">
        <v>8</v>
      </c>
      <c r="V21" s="77" t="e">
        <f>T21*U21</f>
        <v>#N/A</v>
      </c>
      <c r="W21" s="77">
        <v>10</v>
      </c>
      <c r="X21" s="77" t="e">
        <f>T21*W21</f>
        <v>#N/A</v>
      </c>
      <c r="Y21" s="78" t="s">
        <v>97</v>
      </c>
      <c r="Z21" s="78"/>
      <c r="AA21" s="78" t="s">
        <v>98</v>
      </c>
      <c r="AB21" s="78"/>
      <c r="AC21" s="7" t="s">
        <v>99</v>
      </c>
      <c r="AD21" s="7"/>
      <c r="AE21" s="80"/>
    </row>
    <row r="22" spans="1:35" x14ac:dyDescent="0.25">
      <c r="A22">
        <v>19</v>
      </c>
      <c r="B22" s="80" t="str">
        <f t="shared" si="2"/>
        <v xml:space="preserve">  </v>
      </c>
      <c r="C22" s="81" t="str">
        <f t="shared" si="3"/>
        <v xml:space="preserve">  </v>
      </c>
      <c r="D22" s="81" t="str">
        <f t="shared" si="4"/>
        <v xml:space="preserve"> </v>
      </c>
      <c r="E22" s="77" t="str">
        <f t="shared" si="5"/>
        <v xml:space="preserve"> </v>
      </c>
      <c r="G22" s="91"/>
      <c r="H22" s="91" t="str">
        <f>G15</f>
        <v>1st_UWL</v>
      </c>
      <c r="I22" s="88" t="str">
        <f>H15</f>
        <v>#NA</v>
      </c>
      <c r="J22" s="82" t="e">
        <f>VLOOKUP(I22,STN_TABLE,2,FALSE)</f>
        <v>#N/A</v>
      </c>
      <c r="K22" s="82">
        <v>2</v>
      </c>
      <c r="L22" s="83" t="e">
        <f>J22*K22</f>
        <v>#N/A</v>
      </c>
      <c r="M22" t="str">
        <f>CONCATENATE("A(",I22,")=")</f>
        <v>A(#NA)=</v>
      </c>
      <c r="N22" t="e">
        <f>2*N21/2*J23</f>
        <v>#VALUE!</v>
      </c>
      <c r="Q22" s="66" t="str">
        <f t="shared" si="8"/>
        <v>2nd_UWL</v>
      </c>
      <c r="R22" s="67" t="str">
        <f t="shared" si="8"/>
        <v>#NA</v>
      </c>
      <c r="S22" s="82" t="e">
        <f>IF(S20-S21=S21-R24,R24,IF(S20-S21=S21-R25,R25,"-"))</f>
        <v>#VALUE!</v>
      </c>
      <c r="T22" s="83" t="e">
        <f>VLOOKUP(S22,STN_TABLE,2,FALSE)</f>
        <v>#VALUE!</v>
      </c>
      <c r="U22" s="83">
        <v>-1</v>
      </c>
      <c r="V22" s="83" t="e">
        <f>T22*U22</f>
        <v>#VALUE!</v>
      </c>
      <c r="W22" s="83">
        <v>-1</v>
      </c>
      <c r="X22" s="83" t="e">
        <f>T22*W22</f>
        <v>#VALUE!</v>
      </c>
      <c r="Y22" s="84" t="str">
        <f>CONCATENATE("a'(",S21,")=")</f>
        <v>a'(#NA)=</v>
      </c>
      <c r="Z22" s="84" t="e">
        <f>2*Z20/12*V23</f>
        <v>#VALUE!</v>
      </c>
      <c r="AA22" s="84" t="e">
        <f>CONCATENATE("A(",S20,")=")</f>
        <v>#VALUE!</v>
      </c>
      <c r="AB22" s="84" t="e">
        <f>IF(S20=RisePerWLS,0,VLOOKUP(S20,STN_TABLE,3,FALSE))</f>
        <v>#VALUE!</v>
      </c>
      <c r="AC22" t="str">
        <f>CONCATENATE("A(",S21,")=")</f>
        <v>A(#NA)=</v>
      </c>
      <c r="AD22" t="e">
        <f>Z22+AB22</f>
        <v>#VALUE!</v>
      </c>
      <c r="AE22" s="80"/>
    </row>
    <row r="23" spans="1:35" x14ac:dyDescent="0.25">
      <c r="A23">
        <v>20</v>
      </c>
      <c r="B23" s="80" t="str">
        <f t="shared" si="2"/>
        <v xml:space="preserve">  </v>
      </c>
      <c r="C23" s="81" t="str">
        <f t="shared" si="3"/>
        <v xml:space="preserve">  </v>
      </c>
      <c r="D23" s="81" t="str">
        <f t="shared" si="4"/>
        <v xml:space="preserve"> </v>
      </c>
      <c r="E23" s="77" t="str">
        <f t="shared" si="5"/>
        <v xml:space="preserve"> </v>
      </c>
      <c r="J23" s="89" t="e">
        <f>SUM(J21:J22)</f>
        <v>#N/A</v>
      </c>
      <c r="L23" s="89" t="e">
        <f>SUM(L21:L22)</f>
        <v>#N/A</v>
      </c>
      <c r="M23" t="str">
        <f>CONCATENATE("M(",I22,")=")</f>
        <v>M(#NA)=</v>
      </c>
      <c r="N23" t="e">
        <f>(2*(N21^2)/6*L23)+N22*I21*WLS</f>
        <v>#VALUE!</v>
      </c>
      <c r="Q23" s="66" t="str">
        <f t="shared" si="8"/>
        <v>3rd_UWL</v>
      </c>
      <c r="R23" s="67" t="str">
        <f t="shared" si="8"/>
        <v>#NA</v>
      </c>
      <c r="V23" s="89" t="e">
        <f>SUM(V20:V22)</f>
        <v>#VALUE!</v>
      </c>
      <c r="X23" s="89" t="e">
        <f>SUM(X20:X22)</f>
        <v>#VALUE!</v>
      </c>
      <c r="Y23" s="84" t="str">
        <f>CONCATENATE("m'(",S21,")=")</f>
        <v>m'(#NA)=</v>
      </c>
      <c r="Z23" s="84" t="e">
        <f>(2*(Z20^2)/24*X23)+(Z22*S20*WLS)</f>
        <v>#VALUE!</v>
      </c>
      <c r="AA23" s="84" t="e">
        <f>CONCATENATE("M(",S20,")=")</f>
        <v>#VALUE!</v>
      </c>
      <c r="AB23" s="84" t="e">
        <f>IF(S20=RisePerWLS,0,VLOOKUP(S20,STN_TABLE,4,FALSE))</f>
        <v>#VALUE!</v>
      </c>
      <c r="AC23" t="str">
        <f>CONCATENATE("M(",S21,")=")</f>
        <v>M(#NA)=</v>
      </c>
      <c r="AD23" t="e">
        <f>Z23+AB23</f>
        <v>#VALUE!</v>
      </c>
      <c r="AE23" s="80"/>
    </row>
    <row r="24" spans="1:35" x14ac:dyDescent="0.25">
      <c r="A24">
        <v>21</v>
      </c>
      <c r="B24" s="80" t="str">
        <f t="shared" si="2"/>
        <v xml:space="preserve">  </v>
      </c>
      <c r="C24" s="81" t="str">
        <f t="shared" si="3"/>
        <v xml:space="preserve">  </v>
      </c>
      <c r="D24" s="81" t="str">
        <f t="shared" si="4"/>
        <v xml:space="preserve"> </v>
      </c>
      <c r="E24" s="77" t="str">
        <f t="shared" si="5"/>
        <v xml:space="preserve"> </v>
      </c>
      <c r="Q24" s="66" t="str">
        <f t="shared" si="8"/>
        <v>4th_UWL</v>
      </c>
      <c r="R24" s="67" t="str">
        <f t="shared" si="8"/>
        <v>#NA</v>
      </c>
      <c r="U24" t="s">
        <v>103</v>
      </c>
      <c r="W24" t="str">
        <f>CONCATENATE("A(",S21,")=")</f>
        <v>A(#NA)=</v>
      </c>
      <c r="X24" t="e">
        <f>IF(OR(AD22&lt;=0,AD23&lt;=0),AD27,AD22)</f>
        <v>#VALUE!</v>
      </c>
      <c r="AE24" s="80"/>
    </row>
    <row r="25" spans="1:35" x14ac:dyDescent="0.25">
      <c r="A25">
        <v>22</v>
      </c>
      <c r="B25" s="80" t="str">
        <f t="shared" si="2"/>
        <v xml:space="preserve">  </v>
      </c>
      <c r="C25" s="81" t="str">
        <f t="shared" si="3"/>
        <v xml:space="preserve">  </v>
      </c>
      <c r="D25" s="81" t="str">
        <f t="shared" si="4"/>
        <v xml:space="preserve"> </v>
      </c>
      <c r="E25" s="77" t="str">
        <f t="shared" si="5"/>
        <v xml:space="preserve"> </v>
      </c>
      <c r="G25" s="71" t="s">
        <v>111</v>
      </c>
      <c r="Q25" s="66" t="str">
        <f t="shared" si="8"/>
        <v>5th_UWL</v>
      </c>
      <c r="R25" s="67" t="str">
        <f t="shared" si="8"/>
        <v>#NA</v>
      </c>
      <c r="W25" t="str">
        <f>CONCATENATE("M(",S21,")=")</f>
        <v>M(#NA)=</v>
      </c>
      <c r="X25" t="e">
        <f>IF(OR(AD22&lt;=0,AD23&lt;=0),AD28,AD23)</f>
        <v>#VALUE!</v>
      </c>
      <c r="Y25" s="6" t="s">
        <v>93</v>
      </c>
      <c r="Z25" s="70" t="e">
        <f>WLS*(U27-U26)</f>
        <v>#VALUE!</v>
      </c>
      <c r="AE25" s="80"/>
    </row>
    <row r="26" spans="1:35" x14ac:dyDescent="0.25">
      <c r="A26">
        <v>23</v>
      </c>
      <c r="B26" s="80" t="str">
        <f t="shared" si="2"/>
        <v xml:space="preserve">  </v>
      </c>
      <c r="C26" s="81" t="str">
        <f t="shared" si="3"/>
        <v xml:space="preserve">  </v>
      </c>
      <c r="D26" s="81" t="str">
        <f t="shared" si="4"/>
        <v xml:space="preserve"> </v>
      </c>
      <c r="E26" s="77" t="str">
        <f t="shared" si="5"/>
        <v xml:space="preserve"> </v>
      </c>
      <c r="G26" s="91" t="str">
        <f t="shared" ref="G26:H28" si="9">G4</f>
        <v>Rise</v>
      </c>
      <c r="H26" s="91" t="e">
        <f t="shared" si="9"/>
        <v>#VALUE!</v>
      </c>
      <c r="I26" s="68" t="e">
        <f>H26</f>
        <v>#VALUE!</v>
      </c>
      <c r="J26" s="69">
        <v>0</v>
      </c>
      <c r="K26" s="69">
        <v>1</v>
      </c>
      <c r="L26" s="69">
        <f>J26*K26</f>
        <v>0</v>
      </c>
      <c r="M26" s="69" t="e">
        <f>I26</f>
        <v>#VALUE!</v>
      </c>
      <c r="N26" s="69" t="e">
        <f>L26*M26</f>
        <v>#VALUE!</v>
      </c>
      <c r="O26" t="s">
        <v>93</v>
      </c>
      <c r="P26" t="e">
        <f>IF(OR(J26=0,J27=0,J28=0),"#NA",IF(I28-I27=I27-I26,WLS*(I27-I26),"#NA"))</f>
        <v>#VALUE!</v>
      </c>
      <c r="Q26" s="66"/>
      <c r="R26" s="67"/>
      <c r="U26" s="79" t="str">
        <f>R22</f>
        <v>#NA</v>
      </c>
      <c r="V26" s="68" t="e">
        <f>VLOOKUP(U26,STN_TABLE,2,FALSE)</f>
        <v>#N/A</v>
      </c>
      <c r="W26" s="68">
        <v>1</v>
      </c>
      <c r="X26" s="69" t="e">
        <f>V26*W26</f>
        <v>#N/A</v>
      </c>
      <c r="Y26" s="78" t="s">
        <v>97</v>
      </c>
      <c r="Z26" s="78"/>
      <c r="AA26" s="78" t="s">
        <v>98</v>
      </c>
      <c r="AB26" s="78"/>
      <c r="AC26" s="7" t="s">
        <v>99</v>
      </c>
      <c r="AD26" s="7"/>
      <c r="AE26" s="80"/>
    </row>
    <row r="27" spans="1:35" x14ac:dyDescent="0.25">
      <c r="A27">
        <v>24</v>
      </c>
      <c r="B27" s="80" t="str">
        <f t="shared" si="2"/>
        <v xml:space="preserve">  </v>
      </c>
      <c r="C27" s="81" t="str">
        <f t="shared" si="3"/>
        <v xml:space="preserve">  </v>
      </c>
      <c r="D27" s="81" t="str">
        <f t="shared" si="4"/>
        <v xml:space="preserve"> </v>
      </c>
      <c r="E27" s="77" t="str">
        <f t="shared" si="5"/>
        <v xml:space="preserve"> </v>
      </c>
      <c r="G27" s="91" t="str">
        <f t="shared" si="9"/>
        <v>1st_UWL</v>
      </c>
      <c r="H27" s="91" t="str">
        <f t="shared" si="9"/>
        <v>#NA</v>
      </c>
      <c r="I27" s="76" t="e">
        <f>IF(H28-H27=H27-H26,H28,"#NA")</f>
        <v>#VALUE!</v>
      </c>
      <c r="J27" s="77" t="e">
        <f>VLOOKUP(I27,STN_TABLE,2,FALSE)</f>
        <v>#VALUE!</v>
      </c>
      <c r="K27" s="77">
        <v>4</v>
      </c>
      <c r="L27" s="77" t="e">
        <f>J27*K27</f>
        <v>#VALUE!</v>
      </c>
      <c r="M27" s="77" t="e">
        <f>I27</f>
        <v>#VALUE!</v>
      </c>
      <c r="N27" s="77" t="e">
        <f>L27*M27</f>
        <v>#VALUE!</v>
      </c>
      <c r="O27" t="e">
        <f>CONCATENATE("A(",I28,")=")</f>
        <v>#VALUE!</v>
      </c>
      <c r="P27" t="e">
        <f>2*P26/3*L29</f>
        <v>#VALUE!</v>
      </c>
      <c r="Q27" s="80"/>
      <c r="R27" s="81"/>
      <c r="U27" s="88" t="str">
        <f>R23</f>
        <v>#NA</v>
      </c>
      <c r="V27" s="82" t="e">
        <f>VLOOKUP(U27,STN_TABLE,2,FALSE)</f>
        <v>#N/A</v>
      </c>
      <c r="W27" s="82">
        <v>2</v>
      </c>
      <c r="X27" s="83" t="e">
        <f>V27*W27</f>
        <v>#N/A</v>
      </c>
      <c r="Y27" s="84" t="str">
        <f>CONCATENATE("a'(",U27,")=")</f>
        <v>a'(#NA)=</v>
      </c>
      <c r="Z27" s="84" t="e">
        <f>2*Z25/2*V28</f>
        <v>#VALUE!</v>
      </c>
      <c r="AA27" s="84" t="str">
        <f>CONCATENATE("A(",U26,")=")</f>
        <v>A(#NA)=</v>
      </c>
      <c r="AB27" s="84" t="e">
        <f>IF(U26=RisePerWLS,0,VLOOKUP(U26,STN_TABLE,3,FALSE))</f>
        <v>#VALUE!</v>
      </c>
      <c r="AC27" t="str">
        <f>CONCATENATE("A(",U27,")=")</f>
        <v>A(#NA)=</v>
      </c>
      <c r="AD27" t="e">
        <f>Z27+AB27</f>
        <v>#VALUE!</v>
      </c>
      <c r="AE27" s="80"/>
    </row>
    <row r="28" spans="1:35" x14ac:dyDescent="0.25">
      <c r="A28">
        <v>25</v>
      </c>
      <c r="B28" s="88" t="str">
        <f t="shared" si="2"/>
        <v xml:space="preserve">  </v>
      </c>
      <c r="C28" s="92" t="str">
        <f t="shared" si="3"/>
        <v xml:space="preserve">  </v>
      </c>
      <c r="D28" s="81" t="str">
        <f t="shared" si="4"/>
        <v xml:space="preserve"> </v>
      </c>
      <c r="E28" s="77" t="str">
        <f t="shared" si="5"/>
        <v xml:space="preserve"> </v>
      </c>
      <c r="G28" s="91" t="str">
        <f t="shared" si="9"/>
        <v>2nd_UWL</v>
      </c>
      <c r="H28" s="91" t="str">
        <f t="shared" si="9"/>
        <v>#NA</v>
      </c>
      <c r="I28" s="82" t="e">
        <f>IF(H28-H27=H27-H26,H28,"#NA")</f>
        <v>#VALUE!</v>
      </c>
      <c r="J28" s="83" t="e">
        <f>VLOOKUP(I28,STN_TABLE,2,FALSE)</f>
        <v>#VALUE!</v>
      </c>
      <c r="K28" s="83">
        <v>1</v>
      </c>
      <c r="L28" s="83" t="e">
        <f>J28*K28</f>
        <v>#VALUE!</v>
      </c>
      <c r="M28" s="83" t="e">
        <f>I28</f>
        <v>#VALUE!</v>
      </c>
      <c r="N28" s="83" t="e">
        <f>L28*M28</f>
        <v>#VALUE!</v>
      </c>
      <c r="O28" t="e">
        <f>CONCATENATE("M(",I28,")=")</f>
        <v>#VALUE!</v>
      </c>
      <c r="P28" t="e">
        <f>2*(P26*WLS)/3*N29</f>
        <v>#VALUE!</v>
      </c>
      <c r="Q28" s="80"/>
      <c r="R28" s="81"/>
      <c r="V28" s="89" t="e">
        <f>SUM(V26:V27)</f>
        <v>#N/A</v>
      </c>
      <c r="X28" s="89" t="e">
        <f>SUM(X26:X27)</f>
        <v>#N/A</v>
      </c>
      <c r="Y28" s="84" t="str">
        <f>CONCATENATE("m'(",U27,")=")</f>
        <v>m'(#NA)=</v>
      </c>
      <c r="Z28" s="84" t="e">
        <f>(2*(Z25^2)/6*X28)+(Z27*U26*WLS)</f>
        <v>#VALUE!</v>
      </c>
      <c r="AA28" s="84" t="str">
        <f>CONCATENATE("M(",U26,")=")</f>
        <v>M(#NA)=</v>
      </c>
      <c r="AB28" s="84" t="e">
        <f>IF(U26=RisePerWLS,0,VLOOKUP(U26,STN_TABLE,4,FALSE))</f>
        <v>#VALUE!</v>
      </c>
      <c r="AC28" t="str">
        <f>CONCATENATE("M(",U27,")=")</f>
        <v>M(#NA)=</v>
      </c>
      <c r="AD28" t="e">
        <f>Z28+AB28</f>
        <v>#VALUE!</v>
      </c>
      <c r="AE28" s="80"/>
    </row>
    <row r="29" spans="1:35" x14ac:dyDescent="0.25">
      <c r="G29" s="91"/>
      <c r="H29" s="91"/>
      <c r="L29" s="89" t="e">
        <f>SUM(L26:L28)</f>
        <v>#VALUE!</v>
      </c>
      <c r="N29" s="89" t="e">
        <f>SUM(N26:N28)</f>
        <v>#VALUE!</v>
      </c>
      <c r="Q29" s="80"/>
      <c r="R29" s="81"/>
      <c r="AE29" s="80"/>
    </row>
    <row r="30" spans="1:35" x14ac:dyDescent="0.25">
      <c r="G30" s="91"/>
      <c r="H30" s="91"/>
    </row>
    <row r="31" spans="1:35" x14ac:dyDescent="0.25">
      <c r="G31" s="91"/>
      <c r="H31" s="91"/>
    </row>
    <row r="32" spans="1:35" x14ac:dyDescent="0.25">
      <c r="G32" s="91"/>
      <c r="H32" s="91"/>
      <c r="Q32" s="68">
        <f>B4</f>
        <v>0</v>
      </c>
      <c r="R32" s="69">
        <f>VLOOKUP(Q32,STN_TABLE,2,FALSE)</f>
        <v>2.2999999999999998</v>
      </c>
      <c r="S32" s="69">
        <v>5</v>
      </c>
      <c r="T32" s="68">
        <f>R32*S32</f>
        <v>11.5</v>
      </c>
      <c r="U32" s="79">
        <v>3</v>
      </c>
      <c r="V32" s="68">
        <f>R32*U32</f>
        <v>6.8999999999999995</v>
      </c>
      <c r="W32" t="s">
        <v>93</v>
      </c>
      <c r="X32" s="70">
        <f>IF(AND(Q34-Q33=Q33-Q32,NOT(AND(Q32=0,Q33=0)),NOT(AND(Q33=0,Q34=0))),WLS*(Q34-Q33),"#NA")</f>
        <v>0.5</v>
      </c>
      <c r="AD32" s="93"/>
      <c r="AH32" s="6" t="s">
        <v>93</v>
      </c>
      <c r="AI32" s="70">
        <f>WLS*(AD34-AD33)</f>
        <v>0.5</v>
      </c>
    </row>
    <row r="33" spans="1:47" x14ac:dyDescent="0.25">
      <c r="Q33" s="76">
        <f>B5</f>
        <v>0.25</v>
      </c>
      <c r="R33" s="77">
        <f>VLOOKUP(Q33,STN_TABLE,2,FALSE)</f>
        <v>3.43</v>
      </c>
      <c r="S33" s="77">
        <v>8</v>
      </c>
      <c r="T33" s="76">
        <f>R33*S33</f>
        <v>27.44</v>
      </c>
      <c r="U33" s="80">
        <v>10</v>
      </c>
      <c r="V33" s="76">
        <f>R33*U33</f>
        <v>34.300000000000004</v>
      </c>
      <c r="W33" s="495" t="s">
        <v>97</v>
      </c>
      <c r="X33" s="496"/>
      <c r="Y33" s="496" t="s">
        <v>98</v>
      </c>
      <c r="Z33" s="496"/>
      <c r="AA33" s="494" t="s">
        <v>99</v>
      </c>
      <c r="AB33" s="494"/>
      <c r="AC33" s="94">
        <v>1</v>
      </c>
      <c r="AD33" s="95">
        <f>VLOOKUP(AC33,STN_TABLE_2,2,FALSE)</f>
        <v>0</v>
      </c>
      <c r="AE33" s="68">
        <f>VLOOKUP(AD33,STN_TABLE,2,FALSE)</f>
        <v>2.2999999999999998</v>
      </c>
      <c r="AF33" s="68">
        <v>1</v>
      </c>
      <c r="AG33" s="69">
        <f>AE33*AF33</f>
        <v>2.2999999999999998</v>
      </c>
      <c r="AH33" s="496" t="s">
        <v>97</v>
      </c>
      <c r="AI33" s="496"/>
      <c r="AJ33" s="496" t="s">
        <v>98</v>
      </c>
      <c r="AK33" s="496"/>
      <c r="AL33" s="494" t="s">
        <v>99</v>
      </c>
      <c r="AM33" s="494"/>
      <c r="AP33" s="96" t="s">
        <v>112</v>
      </c>
      <c r="AQ33" s="89" t="s">
        <v>113</v>
      </c>
      <c r="AR33" s="89" t="s">
        <v>114</v>
      </c>
      <c r="AS33" s="89" t="s">
        <v>115</v>
      </c>
      <c r="AT33" s="97" t="s">
        <v>116</v>
      </c>
      <c r="AU33" s="98"/>
    </row>
    <row r="34" spans="1:47" x14ac:dyDescent="0.25">
      <c r="Q34" s="82">
        <f>B6</f>
        <v>0.5</v>
      </c>
      <c r="R34" s="83">
        <f>VLOOKUP(Q34,STN_TABLE,2,FALSE)</f>
        <v>4.13</v>
      </c>
      <c r="S34" s="83">
        <v>-1</v>
      </c>
      <c r="T34" s="82">
        <f>R34*S34</f>
        <v>-4.13</v>
      </c>
      <c r="U34" s="88">
        <v>-1</v>
      </c>
      <c r="V34" s="82">
        <f>R34*U34</f>
        <v>-4.13</v>
      </c>
      <c r="W34" s="84" t="str">
        <f>CONCATENATE("a'(",Q33,")=")</f>
        <v>a'(0.25)=</v>
      </c>
      <c r="X34" s="84">
        <f>2*X32/12*T35</f>
        <v>2.9008333333333329</v>
      </c>
      <c r="Y34" s="84" t="str">
        <f>CONCATENATE("A(",Q32,")=")</f>
        <v>A(0)=</v>
      </c>
      <c r="Z34" s="84">
        <f>VLOOKUP(Q32,STN_TABLE,3,FALSE)</f>
        <v>0</v>
      </c>
      <c r="AA34" t="str">
        <f>CONCATENATE("A(",Q33,")=")</f>
        <v>A(0.25)=</v>
      </c>
      <c r="AB34">
        <f>X34+Z34</f>
        <v>2.9008333333333329</v>
      </c>
      <c r="AC34" s="99">
        <f>AC33+1</f>
        <v>2</v>
      </c>
      <c r="AD34" s="100">
        <f>VLOOKUP(AC34,STN_TABLE_2,2,FALSE)</f>
        <v>0.25</v>
      </c>
      <c r="AE34" s="82">
        <f>VLOOKUP(AD34,STN_TABLE,2,FALSE)</f>
        <v>3.43</v>
      </c>
      <c r="AF34" s="82">
        <v>2</v>
      </c>
      <c r="AG34" s="83">
        <f>AE34*AF34</f>
        <v>6.86</v>
      </c>
      <c r="AH34" s="84" t="str">
        <f>CONCATENATE("a'(",AD34,")=")</f>
        <v>a'(0.25)=</v>
      </c>
      <c r="AI34" s="84">
        <f>2*AI32/2*AE35</f>
        <v>2.8650000000000002</v>
      </c>
      <c r="AJ34" s="84" t="str">
        <f>CONCATENATE("A(",AD33,")=")</f>
        <v>A(0)=</v>
      </c>
      <c r="AK34" s="84">
        <f>VLOOKUP(AD33,STN_TABLE,3,FALSE)</f>
        <v>0</v>
      </c>
      <c r="AL34" t="str">
        <f>CONCATENATE("A(",AD34,")=")</f>
        <v>A(0.25)=</v>
      </c>
      <c r="AM34">
        <f>AI34+AK34</f>
        <v>2.8650000000000002</v>
      </c>
      <c r="AO34" s="68" t="str">
        <f>AA34</f>
        <v>A(0.25)=</v>
      </c>
      <c r="AP34" s="79" t="e">
        <f>VLOOKUP(AO34,Rise_Results,2,FALSE)</f>
        <v>#N/A</v>
      </c>
      <c r="AQ34" s="76" t="s">
        <v>117</v>
      </c>
      <c r="AR34" s="76">
        <f>IF(OR(AB34&lt;=0,AB35&lt;=0),1/0,AB34)</f>
        <v>2.9008333333333329</v>
      </c>
      <c r="AS34" s="76">
        <f>AM34</f>
        <v>2.8650000000000002</v>
      </c>
      <c r="AT34" s="80">
        <f>IFERROR(AP34,IFERROR(AR34,AS34))</f>
        <v>2.9008333333333329</v>
      </c>
    </row>
    <row r="35" spans="1:47" x14ac:dyDescent="0.25">
      <c r="A35" s="101"/>
      <c r="T35" s="89">
        <f>SUM(T32:T34)</f>
        <v>34.809999999999995</v>
      </c>
      <c r="V35" s="82">
        <f>SUM(V32:V34)</f>
        <v>37.07</v>
      </c>
      <c r="W35" s="84" t="str">
        <f>CONCATENATE("m'(",Q33,")=")</f>
        <v>m'(0.25)=</v>
      </c>
      <c r="X35" s="84">
        <f>(2*(X32^2)/24*V35)</f>
        <v>0.7722916666666666</v>
      </c>
      <c r="Y35" s="84" t="str">
        <f>CONCATENATE("M(",Q32,")=")</f>
        <v>M(0)=</v>
      </c>
      <c r="Z35" s="84">
        <f>VLOOKUP(Q32,STN_TABLE,4,FALSE)</f>
        <v>0</v>
      </c>
      <c r="AA35" t="str">
        <f>CONCATENATE("M(",Q33,")=")</f>
        <v>M(0.25)=</v>
      </c>
      <c r="AB35">
        <f>X35+Z35</f>
        <v>0.7722916666666666</v>
      </c>
      <c r="AE35" s="89">
        <f>SUM(AE33:AE34)</f>
        <v>5.73</v>
      </c>
      <c r="AG35" s="89">
        <f>SUM(AG33:AG34)</f>
        <v>9.16</v>
      </c>
      <c r="AH35" s="84" t="str">
        <f>CONCATENATE("m'(",AD34,")=")</f>
        <v>m'(0.25)=</v>
      </c>
      <c r="AI35" s="84">
        <f>(2*(AI32^2)/6*AG35)+(AI34*AD33*WLS)</f>
        <v>0.76333333333333331</v>
      </c>
      <c r="AJ35" s="84" t="str">
        <f>CONCATENATE("M(",AD33,")=")</f>
        <v>M(0)=</v>
      </c>
      <c r="AK35" s="84">
        <f>VLOOKUP(AD33,STN_TABLE,4,FALSE)</f>
        <v>0</v>
      </c>
      <c r="AL35" t="str">
        <f>CONCATENATE("M(",AD34,")=")</f>
        <v>M(0.25)=</v>
      </c>
      <c r="AM35">
        <f>AI35+AK35</f>
        <v>0.76333333333333331</v>
      </c>
      <c r="AO35" s="82" t="str">
        <f>AA35</f>
        <v>M(0.25)=</v>
      </c>
      <c r="AP35" s="88" t="e">
        <f>VLOOKUP(AO35,Rise_Results,2,FALSE)</f>
        <v>#N/A</v>
      </c>
      <c r="AQ35" s="82" t="s">
        <v>117</v>
      </c>
      <c r="AR35" s="82">
        <f>IF(OR(AB34&lt;=0,AB35&lt;=0),1/0,AB35)</f>
        <v>0.7722916666666666</v>
      </c>
      <c r="AS35" s="82">
        <f>AM35</f>
        <v>0.76333333333333331</v>
      </c>
      <c r="AT35" s="80">
        <f>IFERROR(AP35,IFERROR(AR35,AS35))</f>
        <v>0.7722916666666666</v>
      </c>
    </row>
    <row r="36" spans="1:47" x14ac:dyDescent="0.25">
      <c r="O36" s="94">
        <v>1</v>
      </c>
      <c r="P36" s="101">
        <f t="shared" ref="P36:P67" si="10">VLOOKUP(O36,STN_TABLE_2,2,FALSE)</f>
        <v>0</v>
      </c>
      <c r="AU36" s="81"/>
    </row>
    <row r="37" spans="1:47" x14ac:dyDescent="0.25">
      <c r="A37" s="94">
        <v>1</v>
      </c>
      <c r="B37" s="94">
        <f>VLOOKUP(A37,STN_TABLE_2,2,FALSE)</f>
        <v>0</v>
      </c>
      <c r="C37" s="79">
        <f>B37</f>
        <v>0</v>
      </c>
      <c r="D37" s="68">
        <f>VLOOKUP(C37,STN_TABLE,2,FALSE)</f>
        <v>2.2999999999999998</v>
      </c>
      <c r="E37" s="102">
        <v>1</v>
      </c>
      <c r="F37" s="68">
        <f>D37*E37</f>
        <v>2.2999999999999998</v>
      </c>
      <c r="G37" s="69">
        <f>C37</f>
        <v>0</v>
      </c>
      <c r="H37" s="69">
        <f>F37*G37</f>
        <v>0</v>
      </c>
      <c r="I37" s="6" t="s">
        <v>93</v>
      </c>
      <c r="J37" s="70">
        <f>IF(OR(D37=0,D38=0,D39=0),"#NA",IF(AND(C39-C38=C38-C37,C38&lt;&gt;C39,C37&lt;&gt;C38,C37&lt;&gt;C39,D39&lt;&gt;0,OR(D37&lt;&gt;0,D38&lt;&gt;0)),WLS*(C39-C38),"#NA"))</f>
        <v>0.5</v>
      </c>
      <c r="O37" s="99">
        <f>O36+1</f>
        <v>2</v>
      </c>
      <c r="P37" s="99">
        <f t="shared" si="10"/>
        <v>0.25</v>
      </c>
      <c r="Q37" s="68">
        <f>IF(OR(P39-P38=P38-P37,P40-P38=P38-P37),P37,IF(OR(P39-P38=P38-P36,P40-P38=P38-P36),P36,"-"))</f>
        <v>0.25</v>
      </c>
      <c r="R37" s="69">
        <f>VLOOKUP(Q37,STN_TABLE,2,FALSE)</f>
        <v>3.43</v>
      </c>
      <c r="S37" s="69">
        <v>5</v>
      </c>
      <c r="T37" s="68">
        <f>R37*S37</f>
        <v>17.150000000000002</v>
      </c>
      <c r="U37" s="79">
        <v>3</v>
      </c>
      <c r="V37" s="68">
        <f>R37*U37</f>
        <v>10.290000000000001</v>
      </c>
      <c r="W37" s="6" t="s">
        <v>93</v>
      </c>
      <c r="X37" s="70">
        <f>IF(AND(Q39-Q38=Q38-Q37,NOT(AND(Q37=0,Q38=0)),NOT(AND(Q38=0,Q39=0))),WLS*(Q39-Q38),"#NA")</f>
        <v>0.5</v>
      </c>
      <c r="AD37" s="93"/>
      <c r="AH37" s="6" t="s">
        <v>93</v>
      </c>
      <c r="AI37" s="70">
        <f>WLS*(AD39-AD38)</f>
        <v>0.5</v>
      </c>
      <c r="AU37" s="81"/>
    </row>
    <row r="38" spans="1:47" x14ac:dyDescent="0.25">
      <c r="A38" s="94">
        <f>A37+1</f>
        <v>2</v>
      </c>
      <c r="B38" s="94">
        <f>VLOOKUP(A38,STN_TABLE_2,2,FALSE)</f>
        <v>0.25</v>
      </c>
      <c r="C38" s="80">
        <f>B38</f>
        <v>0.25</v>
      </c>
      <c r="D38" s="76">
        <f>VLOOKUP(C38,STN_TABLE,2,FALSE)</f>
        <v>3.43</v>
      </c>
      <c r="E38" s="81">
        <v>4</v>
      </c>
      <c r="F38" s="76">
        <f>D38*E38</f>
        <v>13.72</v>
      </c>
      <c r="G38" s="77">
        <f>C38</f>
        <v>0.25</v>
      </c>
      <c r="H38" s="77">
        <f>F38*G38</f>
        <v>3.43</v>
      </c>
      <c r="I38" s="496" t="s">
        <v>97</v>
      </c>
      <c r="J38" s="496"/>
      <c r="K38" s="78" t="s">
        <v>98</v>
      </c>
      <c r="L38" s="78"/>
      <c r="M38" s="7" t="s">
        <v>99</v>
      </c>
      <c r="N38" s="7"/>
      <c r="O38" s="99">
        <f>O37+1</f>
        <v>3</v>
      </c>
      <c r="P38" s="99">
        <f t="shared" si="10"/>
        <v>0.5</v>
      </c>
      <c r="Q38" s="76">
        <f>P38</f>
        <v>0.5</v>
      </c>
      <c r="R38" s="77">
        <f>VLOOKUP(Q38,STN_TABLE,2,FALSE)</f>
        <v>4.13</v>
      </c>
      <c r="S38" s="77">
        <v>8</v>
      </c>
      <c r="T38" s="76">
        <f>R38*S38</f>
        <v>33.04</v>
      </c>
      <c r="U38" s="80">
        <v>10</v>
      </c>
      <c r="V38" s="76">
        <f>R38*U38</f>
        <v>41.3</v>
      </c>
      <c r="W38" s="496" t="s">
        <v>97</v>
      </c>
      <c r="X38" s="496"/>
      <c r="Y38" s="496" t="s">
        <v>98</v>
      </c>
      <c r="Z38" s="496"/>
      <c r="AA38" s="494" t="s">
        <v>99</v>
      </c>
      <c r="AB38" s="494"/>
      <c r="AC38" s="99">
        <f>AC33+1</f>
        <v>2</v>
      </c>
      <c r="AD38" s="95">
        <f>VLOOKUP(AC38,STN_TABLE_2,2,FALSE)</f>
        <v>0.25</v>
      </c>
      <c r="AE38" s="68">
        <f>VLOOKUP(AD38,STN_TABLE,2,FALSE)</f>
        <v>3.43</v>
      </c>
      <c r="AF38" s="68">
        <v>1</v>
      </c>
      <c r="AG38" s="69">
        <f>AE38*AF38</f>
        <v>3.43</v>
      </c>
      <c r="AH38" s="496" t="s">
        <v>97</v>
      </c>
      <c r="AI38" s="496"/>
      <c r="AJ38" s="496" t="s">
        <v>98</v>
      </c>
      <c r="AK38" s="496"/>
      <c r="AL38" s="494" t="s">
        <v>99</v>
      </c>
      <c r="AM38" s="494"/>
      <c r="AP38" s="86" t="s">
        <v>112</v>
      </c>
      <c r="AQ38" s="89" t="s">
        <v>113</v>
      </c>
      <c r="AR38" s="89" t="s">
        <v>114</v>
      </c>
      <c r="AS38" s="89" t="s">
        <v>115</v>
      </c>
    </row>
    <row r="39" spans="1:47" x14ac:dyDescent="0.25">
      <c r="A39" s="94">
        <f>A38+1</f>
        <v>3</v>
      </c>
      <c r="B39" s="94">
        <f>VLOOKUP(A39,STN_TABLE_2,2,FALSE)</f>
        <v>0.5</v>
      </c>
      <c r="C39" s="88">
        <f>B39</f>
        <v>0.5</v>
      </c>
      <c r="D39" s="82">
        <f>VLOOKUP(C39,STN_TABLE,2,FALSE)</f>
        <v>4.13</v>
      </c>
      <c r="E39" s="92">
        <v>1</v>
      </c>
      <c r="F39" s="82">
        <f>D39*E39</f>
        <v>4.13</v>
      </c>
      <c r="G39" s="83">
        <f>C39</f>
        <v>0.5</v>
      </c>
      <c r="H39" s="83">
        <f>F39*G39</f>
        <v>2.0649999999999999</v>
      </c>
      <c r="I39" s="84" t="str">
        <f>CONCATENATE("a'(",C39,")=")</f>
        <v>a'(0.5)=</v>
      </c>
      <c r="J39" s="84">
        <f>2*J37/3*F40</f>
        <v>6.7166666666666659</v>
      </c>
      <c r="K39" s="84" t="str">
        <f>CONCATENATE("A(",C37,")=")</f>
        <v>A(0)=</v>
      </c>
      <c r="L39" s="84">
        <f>VLOOKUP(C37,STN_TABLE,3,FALSE)</f>
        <v>0</v>
      </c>
      <c r="M39" t="str">
        <f>CONCATENATE("A(",C39,")=")</f>
        <v>A(0.5)=</v>
      </c>
      <c r="N39">
        <f>J39+L39</f>
        <v>6.7166666666666659</v>
      </c>
      <c r="O39" s="99">
        <f>O38+1</f>
        <v>4</v>
      </c>
      <c r="P39" s="99">
        <f t="shared" si="10"/>
        <v>0.75</v>
      </c>
      <c r="Q39" s="82">
        <f>IF(P39-P38=P38-P37,P39,IF(P40-P38=P38-P37,P40,IF(P39-P38=P38-P36,P39,IF(P40-P38=P38-P36,P40,"-"))))</f>
        <v>0.75</v>
      </c>
      <c r="R39" s="83">
        <f>VLOOKUP(Q39,STN_TABLE,2,FALSE)</f>
        <v>4.58</v>
      </c>
      <c r="S39" s="83">
        <v>-1</v>
      </c>
      <c r="T39" s="82">
        <f>R39*S39</f>
        <v>-4.58</v>
      </c>
      <c r="U39" s="88">
        <v>-1</v>
      </c>
      <c r="V39" s="82">
        <f>R39*U39</f>
        <v>-4.58</v>
      </c>
      <c r="W39" s="84" t="str">
        <f>CONCATENATE("a'(",Q38,")=")</f>
        <v>a'(0.5)=</v>
      </c>
      <c r="X39" s="84">
        <f>2*X37/12*T40</f>
        <v>3.8008333333333333</v>
      </c>
      <c r="Y39" s="84" t="str">
        <f>CONCATENATE("A(",Q37,")=")</f>
        <v>A(0.25)=</v>
      </c>
      <c r="Z39" s="84">
        <f>VLOOKUP(Q37,STN_TABLE,3,FALSE)</f>
        <v>2.9008333333333329</v>
      </c>
      <c r="AA39" t="str">
        <f>CONCATENATE("A(",Q38,")=")</f>
        <v>A(0.5)=</v>
      </c>
      <c r="AB39">
        <f>X39+Z39</f>
        <v>6.7016666666666662</v>
      </c>
      <c r="AC39" s="99">
        <f>AC38+1</f>
        <v>3</v>
      </c>
      <c r="AD39" s="100">
        <f>VLOOKUP(AC39,STN_TABLE_2,2,FALSE)</f>
        <v>0.5</v>
      </c>
      <c r="AE39" s="82">
        <f>VLOOKUP(AD39,STN_TABLE,2,FALSE)</f>
        <v>4.13</v>
      </c>
      <c r="AF39" s="82">
        <v>2</v>
      </c>
      <c r="AG39" s="83">
        <f>AE39*AF39</f>
        <v>8.26</v>
      </c>
      <c r="AH39" s="84" t="str">
        <f>CONCATENATE("a'(",AD39,")=")</f>
        <v>a'(0.5)=</v>
      </c>
      <c r="AI39" s="84">
        <f>2*AI37/2*AE40</f>
        <v>3.7800000000000002</v>
      </c>
      <c r="AJ39" s="84" t="str">
        <f>CONCATENATE("A(",AD38,")=")</f>
        <v>A(0.25)=</v>
      </c>
      <c r="AK39" s="84">
        <f>VLOOKUP(AD38,STN_TABLE,3,FALSE)</f>
        <v>2.9008333333333329</v>
      </c>
      <c r="AL39" t="str">
        <f>CONCATENATE("A(",AD39,")=")</f>
        <v>A(0.5)=</v>
      </c>
      <c r="AM39">
        <f>AI39+AK39</f>
        <v>6.6808333333333332</v>
      </c>
      <c r="AO39" s="68" t="str">
        <f>AA39</f>
        <v>A(0.5)=</v>
      </c>
      <c r="AP39" s="68" t="e">
        <f>VLOOKUP(AO39,Rise_Results,2,FALSE)</f>
        <v>#N/A</v>
      </c>
      <c r="AQ39" s="76">
        <f>N39</f>
        <v>6.7166666666666659</v>
      </c>
      <c r="AR39" s="76">
        <f>IF(OR(AB39&lt;=0,AB40&lt;=0),1/0,AB39)</f>
        <v>6.7016666666666662</v>
      </c>
      <c r="AS39" s="76">
        <f>AM39</f>
        <v>6.6808333333333332</v>
      </c>
      <c r="AT39">
        <f>IFERROR(AP39,IFERROR(AQ39,IFERROR(AR39,AS39)))</f>
        <v>6.7166666666666659</v>
      </c>
    </row>
    <row r="40" spans="1:47" x14ac:dyDescent="0.25">
      <c r="A40">
        <v>4</v>
      </c>
      <c r="F40" s="82">
        <f>SUM(F37:F39)</f>
        <v>20.149999999999999</v>
      </c>
      <c r="H40" s="82">
        <f>SUM(H37:H39)</f>
        <v>5.4950000000000001</v>
      </c>
      <c r="I40" s="84" t="str">
        <f>CONCATENATE("m'(",C39,")=")</f>
        <v>m'(0.5)=</v>
      </c>
      <c r="J40" s="84">
        <f>2*(J37*(WLS))/3*H40</f>
        <v>3.6633333333333331</v>
      </c>
      <c r="K40" s="84" t="str">
        <f>CONCATENATE("M(",C37,")=")</f>
        <v>M(0)=</v>
      </c>
      <c r="L40" s="84">
        <f>VLOOKUP(C37,STN_TABLE,4,FALSE)</f>
        <v>0</v>
      </c>
      <c r="M40" t="str">
        <f>CONCATENATE("M(",C39,")=")</f>
        <v>M(0.5)=</v>
      </c>
      <c r="N40">
        <f>J40+L40</f>
        <v>3.6633333333333331</v>
      </c>
      <c r="O40" s="99">
        <f>O39+1</f>
        <v>5</v>
      </c>
      <c r="P40" s="99">
        <f t="shared" si="10"/>
        <v>1</v>
      </c>
      <c r="T40" s="89">
        <f>SUM(T37:T39)</f>
        <v>45.61</v>
      </c>
      <c r="V40" s="82">
        <f>SUM(V37:V39)</f>
        <v>47.01</v>
      </c>
      <c r="W40" s="84" t="str">
        <f>CONCATENATE("m'(",Q38,")=")</f>
        <v>m'(0.5)=</v>
      </c>
      <c r="X40" s="84">
        <f>(2*(X37^2)/24*V40)+(X39*Q37*WLS)</f>
        <v>2.8797916666666667</v>
      </c>
      <c r="Y40" s="84" t="str">
        <f>CONCATENATE("M(",Q37,")=")</f>
        <v>M(0.25)=</v>
      </c>
      <c r="Z40" s="84">
        <f>VLOOKUP(Q37,STN_TABLE,4,FALSE)</f>
        <v>0.7722916666666666</v>
      </c>
      <c r="AA40" t="str">
        <f>CONCATENATE("M(",Q38,")=")</f>
        <v>M(0.5)=</v>
      </c>
      <c r="AB40">
        <f>X40+Z40</f>
        <v>3.6520833333333336</v>
      </c>
      <c r="AE40" s="89">
        <f>SUM(AE38:AE39)</f>
        <v>7.5600000000000005</v>
      </c>
      <c r="AG40" s="89">
        <f>SUM(AG38:AG39)</f>
        <v>11.69</v>
      </c>
      <c r="AH40" s="84" t="str">
        <f>CONCATENATE("m'(",AD39,")=")</f>
        <v>m'(0.5)=</v>
      </c>
      <c r="AI40" s="84">
        <f>(2*(AI37^2)/6*AG40)+(AI39*AD38*WLS)</f>
        <v>2.8641666666666667</v>
      </c>
      <c r="AJ40" s="84" t="str">
        <f>CONCATENATE("M(",AD38,")=")</f>
        <v>M(0.25)=</v>
      </c>
      <c r="AK40" s="84">
        <f>VLOOKUP(AD38,STN_TABLE,4,FALSE)</f>
        <v>0.7722916666666666</v>
      </c>
      <c r="AL40" t="str">
        <f>CONCATENATE("M(",AD39,")=")</f>
        <v>M(0.5)=</v>
      </c>
      <c r="AM40">
        <f>AI40+AK40</f>
        <v>3.6364583333333336</v>
      </c>
      <c r="AO40" s="82" t="str">
        <f>AA40</f>
        <v>M(0.5)=</v>
      </c>
      <c r="AP40" s="82" t="e">
        <f>VLOOKUP(AO40,Rise_Results,2,FALSE)</f>
        <v>#N/A</v>
      </c>
      <c r="AQ40" s="82">
        <f>N40</f>
        <v>3.6633333333333331</v>
      </c>
      <c r="AR40" s="82">
        <f>IF(OR(AB39&lt;=0,AB40&lt;=0),1/0,AB40)</f>
        <v>3.6520833333333336</v>
      </c>
      <c r="AS40" s="82">
        <f>AM40</f>
        <v>3.6364583333333336</v>
      </c>
      <c r="AT40">
        <f>IFERROR(AP40,IFERROR(AQ40,IFERROR(AR40,AS40)))</f>
        <v>3.6633333333333331</v>
      </c>
    </row>
    <row r="41" spans="1:47" x14ac:dyDescent="0.25">
      <c r="A41" s="94">
        <v>0</v>
      </c>
      <c r="O41" s="101">
        <f>O36+1</f>
        <v>2</v>
      </c>
      <c r="P41" s="101">
        <f t="shared" si="10"/>
        <v>0.25</v>
      </c>
    </row>
    <row r="42" spans="1:47" x14ac:dyDescent="0.25">
      <c r="A42" s="94">
        <f>A41+1</f>
        <v>1</v>
      </c>
      <c r="B42" s="94">
        <f t="shared" ref="B42:B73" si="11">VLOOKUP(A42,STN_TABLE_2,2,FALSE)</f>
        <v>0</v>
      </c>
      <c r="C42" s="79">
        <f>IF(C43=B43,B42,IF(C43=B44,IF(C44-C43=C43-B43,B43,IF(C44-C43=C43-B42,B42,"NA"))))</f>
        <v>0.25</v>
      </c>
      <c r="D42" s="68">
        <f>VLOOKUP(C42,STN_TABLE,2,FALSE)</f>
        <v>3.43</v>
      </c>
      <c r="E42" s="102">
        <v>1</v>
      </c>
      <c r="F42" s="68">
        <f>D42*E42</f>
        <v>3.43</v>
      </c>
      <c r="G42" s="69">
        <f>C42</f>
        <v>0.25</v>
      </c>
      <c r="H42" s="69">
        <f>F42*G42</f>
        <v>0.85750000000000004</v>
      </c>
      <c r="I42" s="6" t="s">
        <v>93</v>
      </c>
      <c r="J42" s="70">
        <f>IF(OR(D42=0,D43=0,D44=0),"#NA",IF(AND(C44-C43=C43-C42,C43&lt;&gt;C44,C42&lt;&gt;C43,C42&lt;&gt;C44,D44&lt;&gt;0,OR(D42&lt;&gt;0,D43&lt;&gt;0)),WLS*(C44-C43),"#NA"))</f>
        <v>0.5</v>
      </c>
      <c r="O42" s="99">
        <f>O41+1</f>
        <v>3</v>
      </c>
      <c r="P42" s="99">
        <f t="shared" si="10"/>
        <v>0.5</v>
      </c>
      <c r="Q42" s="68">
        <f>IF(OR(P44-P43=P43-P42,P45-P43=P43-P42),P42,IF(OR(P44-P43=P43-P41,P45-P43=P43-P41),P41,"-"))</f>
        <v>0.5</v>
      </c>
      <c r="R42" s="69">
        <f>VLOOKUP(Q42,STN_TABLE,2,FALSE)</f>
        <v>4.13</v>
      </c>
      <c r="S42" s="69">
        <v>5</v>
      </c>
      <c r="T42" s="68">
        <f>R42*S42</f>
        <v>20.65</v>
      </c>
      <c r="U42" s="79">
        <v>3</v>
      </c>
      <c r="V42" s="68">
        <f>R42*U42</f>
        <v>12.39</v>
      </c>
      <c r="W42" s="6" t="s">
        <v>93</v>
      </c>
      <c r="X42" s="70">
        <f>IF(AND(Q44-Q43=Q43-Q42,NOT(AND(Q42=0,Q43=0)),NOT(AND(Q43=0,Q44=0))),WLS*(Q44-Q43),"#NA")</f>
        <v>0.5</v>
      </c>
      <c r="AD42" s="93"/>
      <c r="AH42" s="6" t="s">
        <v>93</v>
      </c>
      <c r="AI42" s="70">
        <f>WLS*(AD44-AD43)</f>
        <v>0.5</v>
      </c>
      <c r="AU42" s="81"/>
    </row>
    <row r="43" spans="1:47" x14ac:dyDescent="0.25">
      <c r="A43" s="94">
        <f>A42+1</f>
        <v>2</v>
      </c>
      <c r="B43" s="94">
        <f t="shared" si="11"/>
        <v>0.25</v>
      </c>
      <c r="C43" s="80">
        <f>IF(OR(B45-B44=B44-B43,B45-B44=B44-B42,),B44,IF(B45-B43=B43-B42,B43,"#NA"))</f>
        <v>0.5</v>
      </c>
      <c r="D43" s="76">
        <f>VLOOKUP(C43,STN_TABLE,2,FALSE)</f>
        <v>4.13</v>
      </c>
      <c r="E43" s="81">
        <v>4</v>
      </c>
      <c r="F43" s="76">
        <f>D43*E43</f>
        <v>16.52</v>
      </c>
      <c r="G43" s="77">
        <f>C43</f>
        <v>0.5</v>
      </c>
      <c r="H43" s="77">
        <f>F43*G43</f>
        <v>8.26</v>
      </c>
      <c r="I43" s="496" t="s">
        <v>97</v>
      </c>
      <c r="J43" s="496"/>
      <c r="K43" s="78" t="s">
        <v>98</v>
      </c>
      <c r="L43" s="78"/>
      <c r="M43" s="7" t="s">
        <v>99</v>
      </c>
      <c r="N43" s="7"/>
      <c r="O43" s="99">
        <f>O42+1</f>
        <v>4</v>
      </c>
      <c r="P43" s="99">
        <f t="shared" si="10"/>
        <v>0.75</v>
      </c>
      <c r="Q43" s="76">
        <f>P43</f>
        <v>0.75</v>
      </c>
      <c r="R43" s="77">
        <f>VLOOKUP(Q43,STN_TABLE,2,FALSE)</f>
        <v>4.58</v>
      </c>
      <c r="S43" s="77">
        <v>8</v>
      </c>
      <c r="T43" s="76">
        <f>R43*S43</f>
        <v>36.64</v>
      </c>
      <c r="U43" s="80">
        <v>10</v>
      </c>
      <c r="V43" s="76">
        <f>R43*U43</f>
        <v>45.8</v>
      </c>
      <c r="W43" s="496" t="s">
        <v>97</v>
      </c>
      <c r="X43" s="496"/>
      <c r="Y43" s="496" t="s">
        <v>98</v>
      </c>
      <c r="Z43" s="496"/>
      <c r="AA43" s="494" t="s">
        <v>99</v>
      </c>
      <c r="AB43" s="494"/>
      <c r="AC43" s="99">
        <f>AC38+1</f>
        <v>3</v>
      </c>
      <c r="AD43" s="95">
        <f>VLOOKUP(AC43,STN_TABLE_2,2,FALSE)</f>
        <v>0.5</v>
      </c>
      <c r="AE43" s="68">
        <f>VLOOKUP(AD43,STN_TABLE,2,FALSE)</f>
        <v>4.13</v>
      </c>
      <c r="AF43" s="68">
        <v>1</v>
      </c>
      <c r="AG43" s="69">
        <f>AE43*AF43</f>
        <v>4.13</v>
      </c>
      <c r="AH43" s="496" t="s">
        <v>97</v>
      </c>
      <c r="AI43" s="496"/>
      <c r="AJ43" s="496" t="s">
        <v>98</v>
      </c>
      <c r="AK43" s="496"/>
      <c r="AL43" s="494" t="s">
        <v>99</v>
      </c>
      <c r="AM43" s="494"/>
      <c r="AP43" s="86" t="s">
        <v>112</v>
      </c>
      <c r="AQ43" s="89" t="s">
        <v>113</v>
      </c>
      <c r="AR43" s="89" t="s">
        <v>114</v>
      </c>
      <c r="AS43" s="89" t="s">
        <v>115</v>
      </c>
      <c r="AU43" s="81"/>
    </row>
    <row r="44" spans="1:47" x14ac:dyDescent="0.25">
      <c r="A44" s="94">
        <f>A43+1</f>
        <v>3</v>
      </c>
      <c r="B44" s="94">
        <f t="shared" si="11"/>
        <v>0.5</v>
      </c>
      <c r="C44" s="88">
        <f>B45</f>
        <v>0.75</v>
      </c>
      <c r="D44" s="82">
        <f>VLOOKUP(C44,STN_TABLE,2,FALSE)</f>
        <v>4.58</v>
      </c>
      <c r="E44" s="92">
        <v>1</v>
      </c>
      <c r="F44" s="82">
        <f>D44*E44</f>
        <v>4.58</v>
      </c>
      <c r="G44" s="83">
        <f>C44</f>
        <v>0.75</v>
      </c>
      <c r="H44" s="83">
        <f>F44*G44</f>
        <v>3.4350000000000001</v>
      </c>
      <c r="I44" s="84" t="str">
        <f>CONCATENATE("a'(",C44,")=")</f>
        <v>a'(0.75)=</v>
      </c>
      <c r="J44" s="84">
        <f>2*J42/3*F45</f>
        <v>8.1766666666666659</v>
      </c>
      <c r="K44" s="84" t="str">
        <f>CONCATENATE("A(",C42,")=")</f>
        <v>A(0.25)=</v>
      </c>
      <c r="L44" s="84">
        <f>VLOOKUP(C42,STN_TABLE,3,FALSE)</f>
        <v>2.9008333333333329</v>
      </c>
      <c r="M44" t="str">
        <f>CONCATENATE("A(",C44,")=")</f>
        <v>A(0.75)=</v>
      </c>
      <c r="N44">
        <f>J44+L44</f>
        <v>11.077499999999999</v>
      </c>
      <c r="O44" s="99">
        <f>O43+1</f>
        <v>5</v>
      </c>
      <c r="P44" s="99">
        <f t="shared" si="10"/>
        <v>1</v>
      </c>
      <c r="Q44" s="82">
        <f>IF(P44-P43=P43-P42,P44,IF(P45-P43=P43-P42,P45,IF(P44-P43=P43-P41,P44,IF(P45-P43=P43-P41,P45,"-"))))</f>
        <v>1</v>
      </c>
      <c r="R44" s="83">
        <f>VLOOKUP(Q44,STN_TABLE,2,FALSE)</f>
        <v>4.91</v>
      </c>
      <c r="S44" s="83">
        <v>-1</v>
      </c>
      <c r="T44" s="82">
        <f>R44*S44</f>
        <v>-4.91</v>
      </c>
      <c r="U44" s="88">
        <v>-1</v>
      </c>
      <c r="V44" s="82">
        <f>R44*U44</f>
        <v>-4.91</v>
      </c>
      <c r="W44" s="84" t="str">
        <f>CONCATENATE("a'(",Q43,")=")</f>
        <v>a'(0.75)=</v>
      </c>
      <c r="X44" s="84">
        <f>2*X42/12*T45</f>
        <v>4.3649999999999993</v>
      </c>
      <c r="Y44" s="84" t="str">
        <f>CONCATENATE("A(",Q42,")=")</f>
        <v>A(0.5)=</v>
      </c>
      <c r="Z44" s="84">
        <f>VLOOKUP(Q42,STN_TABLE,3,FALSE)</f>
        <v>6.7166666666666659</v>
      </c>
      <c r="AA44" t="str">
        <f>CONCATENATE("A(",Q43,")=")</f>
        <v>A(0.75)=</v>
      </c>
      <c r="AB44">
        <f>X44+Z44</f>
        <v>11.081666666666665</v>
      </c>
      <c r="AC44" s="99">
        <f>AC43+1</f>
        <v>4</v>
      </c>
      <c r="AD44" s="100">
        <f>VLOOKUP(AC44,STN_TABLE_2,2,FALSE)</f>
        <v>0.75</v>
      </c>
      <c r="AE44" s="82">
        <f>VLOOKUP(AD44,STN_TABLE,2,FALSE)</f>
        <v>4.58</v>
      </c>
      <c r="AF44" s="82">
        <v>2</v>
      </c>
      <c r="AG44" s="83">
        <f>AE44*AF44</f>
        <v>9.16</v>
      </c>
      <c r="AH44" s="84" t="str">
        <f>CONCATENATE("a'(",AD44,")=")</f>
        <v>a'(0.75)=</v>
      </c>
      <c r="AI44" s="84">
        <f>2*AI42/2*AE45</f>
        <v>4.3550000000000004</v>
      </c>
      <c r="AJ44" s="84" t="str">
        <f>CONCATENATE("A(",AD43,")=")</f>
        <v>A(0.5)=</v>
      </c>
      <c r="AK44" s="84">
        <f>VLOOKUP(AD43,STN_TABLE,3,FALSE)</f>
        <v>6.7166666666666659</v>
      </c>
      <c r="AL44" t="str">
        <f>CONCATENATE("A(",AD44,")=")</f>
        <v>A(0.75)=</v>
      </c>
      <c r="AM44">
        <f>AI44+AK44</f>
        <v>11.071666666666665</v>
      </c>
      <c r="AO44" s="68" t="str">
        <f>AA44</f>
        <v>A(0.75)=</v>
      </c>
      <c r="AP44" s="68" t="e">
        <f>VLOOKUP(AO44,Rise_Results,2,FALSE)</f>
        <v>#N/A</v>
      </c>
      <c r="AQ44" s="76">
        <f>N44</f>
        <v>11.077499999999999</v>
      </c>
      <c r="AR44" s="76">
        <f>IF(OR(AB44&lt;=0,AB45&lt;=0),1/0,AB44)</f>
        <v>11.081666666666665</v>
      </c>
      <c r="AS44" s="76">
        <f>AM44</f>
        <v>11.071666666666665</v>
      </c>
      <c r="AT44">
        <f>IFERROR(AP44,IFERROR(AQ44,IFERROR(AR44,AS44)))</f>
        <v>11.077499999999999</v>
      </c>
      <c r="AU44" s="81"/>
    </row>
    <row r="45" spans="1:47" x14ac:dyDescent="0.25">
      <c r="A45" s="94">
        <f>A44+1</f>
        <v>4</v>
      </c>
      <c r="B45" s="94">
        <f t="shared" si="11"/>
        <v>0.75</v>
      </c>
      <c r="F45" s="82">
        <f>SUM(F42:F44)</f>
        <v>24.53</v>
      </c>
      <c r="H45" s="82">
        <f>SUM(H42:H44)</f>
        <v>12.5525</v>
      </c>
      <c r="I45" s="84" t="str">
        <f>CONCATENATE("m'(",C44,")=")</f>
        <v>m'(0.75)=</v>
      </c>
      <c r="J45" s="84">
        <f>2*(J42*(WLS))/3*H45</f>
        <v>8.3683333333333323</v>
      </c>
      <c r="K45" s="84" t="str">
        <f>CONCATENATE("M(",C42,")=")</f>
        <v>M(0.25)=</v>
      </c>
      <c r="L45" s="84">
        <f>VLOOKUP(C42,STN_TABLE,4,FALSE)</f>
        <v>0.7722916666666666</v>
      </c>
      <c r="M45" t="str">
        <f>CONCATENATE("M(",C44,")=")</f>
        <v>M(0.75)=</v>
      </c>
      <c r="N45">
        <f>J45+L45</f>
        <v>9.1406249999999982</v>
      </c>
      <c r="O45" s="99">
        <f>O44+1</f>
        <v>6</v>
      </c>
      <c r="P45" s="99">
        <f t="shared" si="10"/>
        <v>2</v>
      </c>
      <c r="T45" s="89">
        <f>SUM(T42:T44)</f>
        <v>52.379999999999995</v>
      </c>
      <c r="V45" s="82">
        <f>SUM(V42:V44)</f>
        <v>53.28</v>
      </c>
      <c r="W45" s="84" t="str">
        <f>CONCATENATE("m'(",Q43,")=")</f>
        <v>m'(0.75)=</v>
      </c>
      <c r="X45" s="84">
        <f>(2*(X42^2)/24*V45)+(X44*Q42*WLS)</f>
        <v>5.4749999999999996</v>
      </c>
      <c r="Y45" s="84" t="str">
        <f>CONCATENATE("M(",Q42,")=")</f>
        <v>M(0.5)=</v>
      </c>
      <c r="Z45" s="84">
        <f>VLOOKUP(Q42,STN_TABLE,4,FALSE)</f>
        <v>3.6633333333333331</v>
      </c>
      <c r="AA45" t="str">
        <f>CONCATENATE("M(",Q43,")=")</f>
        <v>M(0.75)=</v>
      </c>
      <c r="AB45">
        <f>X45+Z45</f>
        <v>9.1383333333333319</v>
      </c>
      <c r="AE45" s="89">
        <f>SUM(AE43:AE44)</f>
        <v>8.7100000000000009</v>
      </c>
      <c r="AG45" s="89">
        <f>SUM(AG43:AG44)</f>
        <v>13.29</v>
      </c>
      <c r="AH45" s="84" t="str">
        <f>CONCATENATE("m'(",AD44,")=")</f>
        <v>m'(0.75)=</v>
      </c>
      <c r="AI45" s="84">
        <f>(2*(AI42^2)/6*AG45)+(AI44*AD43*WLS)</f>
        <v>5.4625000000000004</v>
      </c>
      <c r="AJ45" s="84" t="str">
        <f>CONCATENATE("M(",AD43,")=")</f>
        <v>M(0.5)=</v>
      </c>
      <c r="AK45" s="84">
        <f>VLOOKUP(AD43,STN_TABLE,4,FALSE)</f>
        <v>3.6633333333333331</v>
      </c>
      <c r="AL45" t="str">
        <f>CONCATENATE("M(",AD44,")=")</f>
        <v>M(0.75)=</v>
      </c>
      <c r="AM45">
        <f>AI45+AK45</f>
        <v>9.1258333333333326</v>
      </c>
      <c r="AO45" s="82" t="str">
        <f>AA45</f>
        <v>M(0.75)=</v>
      </c>
      <c r="AP45" s="82" t="e">
        <f>VLOOKUP(AO45,Rise_Results,2,FALSE)</f>
        <v>#N/A</v>
      </c>
      <c r="AQ45" s="82">
        <f>N45</f>
        <v>9.1406249999999982</v>
      </c>
      <c r="AR45" s="82">
        <f>IF(OR(AB44&lt;=0,AB45&lt;=0),1/0,AB45)</f>
        <v>9.1383333333333319</v>
      </c>
      <c r="AS45" s="82">
        <f>AM45</f>
        <v>9.1258333333333326</v>
      </c>
      <c r="AT45">
        <f>IFERROR(AP45,IFERROR(AQ45,IFERROR(AR45,AS45)))</f>
        <v>9.1406249999999982</v>
      </c>
      <c r="AU45" s="81"/>
    </row>
    <row r="46" spans="1:47" x14ac:dyDescent="0.25">
      <c r="A46" s="101">
        <f>A41+1</f>
        <v>1</v>
      </c>
      <c r="B46" s="101">
        <f t="shared" si="11"/>
        <v>0</v>
      </c>
      <c r="O46" s="101">
        <f>O41+1</f>
        <v>3</v>
      </c>
      <c r="P46" s="101">
        <f t="shared" si="10"/>
        <v>0.5</v>
      </c>
      <c r="AU46" s="81"/>
    </row>
    <row r="47" spans="1:47" x14ac:dyDescent="0.25">
      <c r="A47" s="84">
        <f>A46+1</f>
        <v>2</v>
      </c>
      <c r="B47" s="84">
        <f t="shared" si="11"/>
        <v>0.25</v>
      </c>
      <c r="C47" s="79">
        <f>IF(C48=B49,IF(C49-C48=C48-B48,B48,IF(C49-C48=C48-B47,B47,"#NA")),IF(C48=B48,IF(C49-C48=C48-B47,B47,IF(C49-C48=C48-B46,B46,"#NA")),"#NA"))</f>
        <v>0.5</v>
      </c>
      <c r="D47" s="68">
        <f>VLOOKUP(C47,STN_TABLE,2,FALSE)</f>
        <v>4.13</v>
      </c>
      <c r="E47" s="102">
        <v>1</v>
      </c>
      <c r="F47" s="68">
        <f>D47*E47</f>
        <v>4.13</v>
      </c>
      <c r="G47" s="69">
        <f>C47</f>
        <v>0.5</v>
      </c>
      <c r="H47" s="69">
        <f>F47*G47</f>
        <v>2.0649999999999999</v>
      </c>
      <c r="I47" s="6" t="s">
        <v>93</v>
      </c>
      <c r="J47" s="70">
        <f>IF(OR(D47=0,D48=0,D49=0),"#NA",IF(AND(C49-C48=C48-C47,C48&lt;&gt;C49,C47&lt;&gt;C48,C47&lt;&gt;C49,D49&lt;&gt;0,OR(D47&lt;&gt;0,D48&lt;&gt;0)),WLS*(C49-C48),"#NA"))</f>
        <v>0.5</v>
      </c>
      <c r="O47" s="99">
        <f>O46+1</f>
        <v>4</v>
      </c>
      <c r="P47" s="99">
        <f t="shared" si="10"/>
        <v>0.75</v>
      </c>
      <c r="Q47" s="68" t="str">
        <f>IF(OR(P49-P48=P48-P47,P50-P48=P48-P47),P47,IF(OR(P49-P48=P48-P46,P50-P48=P48-P46),P46,"-"))</f>
        <v>-</v>
      </c>
      <c r="R47" s="69" t="e">
        <f>VLOOKUP(Q47,STN_TABLE,2,FALSE)</f>
        <v>#N/A</v>
      </c>
      <c r="S47" s="69">
        <v>5</v>
      </c>
      <c r="T47" s="68" t="e">
        <f>R47*S47</f>
        <v>#N/A</v>
      </c>
      <c r="U47" s="79">
        <v>3</v>
      </c>
      <c r="V47" s="68" t="e">
        <f>R47*U47</f>
        <v>#N/A</v>
      </c>
      <c r="W47" s="6" t="s">
        <v>93</v>
      </c>
      <c r="X47" s="70" t="e">
        <f>IF(AND(Q49-Q48=Q48-Q47,NOT(AND(Q47=0,Q48=0)),NOT(AND(Q48=0,Q49=0))),WLS*(Q49-Q48),"#NA")</f>
        <v>#VALUE!</v>
      </c>
      <c r="AD47" s="93"/>
      <c r="AH47" s="6" t="s">
        <v>93</v>
      </c>
      <c r="AI47" s="70">
        <f>WLS*(AD49-AD48)</f>
        <v>0.5</v>
      </c>
      <c r="AU47" s="81"/>
    </row>
    <row r="48" spans="1:47" x14ac:dyDescent="0.25">
      <c r="A48" s="84">
        <f>A47+1</f>
        <v>3</v>
      </c>
      <c r="B48" s="84">
        <f t="shared" si="11"/>
        <v>0.5</v>
      </c>
      <c r="C48" s="80">
        <f>IF(OR(B50-B49=B49-B48,B50-B49=B49-B47,B50-B49=B49-B46),B49,IF(OR(B50-B48=B48-B47,B50-B48=B48-B46),B48,IF(B50-B47=B47-B46,B47,"#NA")))</f>
        <v>0.75</v>
      </c>
      <c r="D48" s="76">
        <f>VLOOKUP(C48,STN_TABLE,2,FALSE)</f>
        <v>4.58</v>
      </c>
      <c r="E48" s="81">
        <v>4</v>
      </c>
      <c r="F48" s="76">
        <f>D48*E48</f>
        <v>18.32</v>
      </c>
      <c r="G48" s="77">
        <f>C48</f>
        <v>0.75</v>
      </c>
      <c r="H48" s="77">
        <f>F48*G48</f>
        <v>13.74</v>
      </c>
      <c r="I48" s="496" t="s">
        <v>97</v>
      </c>
      <c r="J48" s="496"/>
      <c r="K48" s="78" t="s">
        <v>98</v>
      </c>
      <c r="L48" s="78"/>
      <c r="M48" s="7" t="s">
        <v>99</v>
      </c>
      <c r="N48" s="7"/>
      <c r="O48" s="99">
        <f>O47+1</f>
        <v>5</v>
      </c>
      <c r="P48" s="99">
        <f t="shared" si="10"/>
        <v>1</v>
      </c>
      <c r="Q48" s="76">
        <f>P48</f>
        <v>1</v>
      </c>
      <c r="R48" s="77">
        <f>VLOOKUP(Q48,STN_TABLE,2,FALSE)</f>
        <v>4.91</v>
      </c>
      <c r="S48" s="77">
        <v>8</v>
      </c>
      <c r="T48" s="76">
        <f>R48*S48</f>
        <v>39.28</v>
      </c>
      <c r="U48" s="80">
        <v>10</v>
      </c>
      <c r="V48" s="76">
        <f>R48*U48</f>
        <v>49.1</v>
      </c>
      <c r="W48" s="496" t="s">
        <v>97</v>
      </c>
      <c r="X48" s="496"/>
      <c r="Y48" s="496" t="s">
        <v>98</v>
      </c>
      <c r="Z48" s="496"/>
      <c r="AA48" s="494" t="s">
        <v>99</v>
      </c>
      <c r="AB48" s="494"/>
      <c r="AC48" s="99">
        <f>AC43+1</f>
        <v>4</v>
      </c>
      <c r="AD48" s="95">
        <f>VLOOKUP(AC48,STN_TABLE_2,2,FALSE)</f>
        <v>0.75</v>
      </c>
      <c r="AE48" s="68">
        <f>VLOOKUP(AD48,STN_TABLE,2,FALSE)</f>
        <v>4.58</v>
      </c>
      <c r="AF48" s="68">
        <v>1</v>
      </c>
      <c r="AG48" s="69">
        <f>AE48*AF48</f>
        <v>4.58</v>
      </c>
      <c r="AH48" s="496" t="s">
        <v>97</v>
      </c>
      <c r="AI48" s="496"/>
      <c r="AJ48" s="496" t="s">
        <v>98</v>
      </c>
      <c r="AK48" s="496"/>
      <c r="AL48" s="494" t="s">
        <v>99</v>
      </c>
      <c r="AM48" s="494"/>
      <c r="AP48" s="86" t="s">
        <v>112</v>
      </c>
      <c r="AQ48" s="89" t="s">
        <v>113</v>
      </c>
      <c r="AR48" s="89" t="s">
        <v>114</v>
      </c>
      <c r="AS48" s="89" t="s">
        <v>115</v>
      </c>
      <c r="AU48" s="81"/>
    </row>
    <row r="49" spans="1:47" x14ac:dyDescent="0.25">
      <c r="A49" s="84">
        <f>A48+1</f>
        <v>4</v>
      </c>
      <c r="B49" s="84">
        <f t="shared" si="11"/>
        <v>0.75</v>
      </c>
      <c r="C49" s="88">
        <f>B50</f>
        <v>1</v>
      </c>
      <c r="D49" s="82">
        <f>VLOOKUP(C49,STN_TABLE,2,FALSE)</f>
        <v>4.91</v>
      </c>
      <c r="E49" s="92">
        <v>1</v>
      </c>
      <c r="F49" s="82">
        <f>D49*E49</f>
        <v>4.91</v>
      </c>
      <c r="G49" s="83">
        <f>C49</f>
        <v>1</v>
      </c>
      <c r="H49" s="83">
        <f>F49*G49</f>
        <v>4.91</v>
      </c>
      <c r="I49" s="84" t="str">
        <f>CONCATENATE("a'(",C49,")=")</f>
        <v>a'(1)=</v>
      </c>
      <c r="J49" s="84">
        <f>2*J47/3*F50</f>
        <v>9.1199999999999992</v>
      </c>
      <c r="K49" s="84" t="str">
        <f>CONCATENATE("A(",C47,")=")</f>
        <v>A(0.5)=</v>
      </c>
      <c r="L49" s="84">
        <f>VLOOKUP(C47,STN_TABLE,3,FALSE)</f>
        <v>6.7166666666666659</v>
      </c>
      <c r="M49" t="str">
        <f>CONCATENATE("A(",C49,")=")</f>
        <v>A(1)=</v>
      </c>
      <c r="N49">
        <f>J49+L49</f>
        <v>15.836666666666666</v>
      </c>
      <c r="O49" s="99">
        <f>O48+1</f>
        <v>6</v>
      </c>
      <c r="P49" s="99">
        <f t="shared" si="10"/>
        <v>2</v>
      </c>
      <c r="Q49" s="82" t="str">
        <f>IF(P49-P48=P48-P47,P49,IF(P50-P48=P48-P47,P50,IF(P49-P48=P48-P46,P49,IF(P50-P48=P48-P46,P50,"-"))))</f>
        <v>-</v>
      </c>
      <c r="R49" s="83" t="e">
        <f>VLOOKUP(Q49,STN_TABLE,2,FALSE)</f>
        <v>#N/A</v>
      </c>
      <c r="S49" s="83">
        <v>-1</v>
      </c>
      <c r="T49" s="82" t="e">
        <f>R49*S49</f>
        <v>#N/A</v>
      </c>
      <c r="U49" s="88">
        <v>-1</v>
      </c>
      <c r="V49" s="82" t="e">
        <f>R49*U49</f>
        <v>#N/A</v>
      </c>
      <c r="W49" s="84" t="str">
        <f>CONCATENATE("a'(",Q48,")=")</f>
        <v>a'(1)=</v>
      </c>
      <c r="X49" s="84" t="e">
        <f>2*X47/12*T50</f>
        <v>#VALUE!</v>
      </c>
      <c r="Y49" s="84" t="str">
        <f>CONCATENATE("A(",Q47,")=")</f>
        <v>A(-)=</v>
      </c>
      <c r="Z49" s="84" t="e">
        <f>VLOOKUP(Q47,STN_TABLE,3,FALSE)</f>
        <v>#N/A</v>
      </c>
      <c r="AA49" t="str">
        <f>CONCATENATE("A(",Q48,")=")</f>
        <v>A(1)=</v>
      </c>
      <c r="AB49" t="e">
        <f>X49+Z49</f>
        <v>#VALUE!</v>
      </c>
      <c r="AC49" s="99">
        <f>AC48+1</f>
        <v>5</v>
      </c>
      <c r="AD49" s="100">
        <f>VLOOKUP(AC49,STN_TABLE_2,2,FALSE)</f>
        <v>1</v>
      </c>
      <c r="AE49" s="82">
        <f>VLOOKUP(AD49,STN_TABLE,2,FALSE)</f>
        <v>4.91</v>
      </c>
      <c r="AF49" s="82">
        <v>2</v>
      </c>
      <c r="AG49" s="83">
        <f>AE49*AF49</f>
        <v>9.82</v>
      </c>
      <c r="AH49" s="84" t="str">
        <f>CONCATENATE("a'(",AD49,")=")</f>
        <v>a'(1)=</v>
      </c>
      <c r="AI49" s="84">
        <f>2*AI47/2*AE50</f>
        <v>4.7450000000000001</v>
      </c>
      <c r="AJ49" s="84" t="str">
        <f>CONCATENATE("A(",AD48,")=")</f>
        <v>A(0.75)=</v>
      </c>
      <c r="AK49" s="84">
        <f>VLOOKUP(AD48,STN_TABLE,3,FALSE)</f>
        <v>11.077499999999999</v>
      </c>
      <c r="AL49" t="str">
        <f>CONCATENATE("A(",AD49,")=")</f>
        <v>A(1)=</v>
      </c>
      <c r="AM49">
        <f>AI49+AK49</f>
        <v>15.822499999999998</v>
      </c>
      <c r="AO49" s="68" t="str">
        <f>AA49</f>
        <v>A(1)=</v>
      </c>
      <c r="AP49" s="68" t="e">
        <f>VLOOKUP(AO49,Rise_Results,2,FALSE)</f>
        <v>#N/A</v>
      </c>
      <c r="AQ49" s="76">
        <f>N49</f>
        <v>15.836666666666666</v>
      </c>
      <c r="AR49" s="76" t="e">
        <f>IF(OR(AB49&lt;=0,AB50&lt;=0),1/0,AB49)</f>
        <v>#VALUE!</v>
      </c>
      <c r="AS49" s="76">
        <f>AM49</f>
        <v>15.822499999999998</v>
      </c>
      <c r="AT49">
        <f>IFERROR(AP49,IFERROR(AQ49,IFERROR(AR49,AS49)))</f>
        <v>15.836666666666666</v>
      </c>
      <c r="AU49" s="81"/>
    </row>
    <row r="50" spans="1:47" x14ac:dyDescent="0.25">
      <c r="A50" s="84">
        <f>A49+1</f>
        <v>5</v>
      </c>
      <c r="B50" s="84">
        <f t="shared" si="11"/>
        <v>1</v>
      </c>
      <c r="F50" s="82">
        <f>SUM(F47:F49)</f>
        <v>27.36</v>
      </c>
      <c r="H50" s="82">
        <f>SUM(H47:H49)</f>
        <v>20.715</v>
      </c>
      <c r="I50" s="84" t="str">
        <f>CONCATENATE("m'(",C49,")=")</f>
        <v>m'(1)=</v>
      </c>
      <c r="J50" s="84">
        <f>2*(J47*(WLS))/3*H50</f>
        <v>13.809999999999999</v>
      </c>
      <c r="K50" s="84" t="str">
        <f>CONCATENATE("M(",C47,")=")</f>
        <v>M(0.5)=</v>
      </c>
      <c r="L50" s="84">
        <f>VLOOKUP(C47,STN_TABLE,4,FALSE)</f>
        <v>3.6633333333333331</v>
      </c>
      <c r="M50" t="str">
        <f>CONCATENATE("M(",C49,")=")</f>
        <v>M(1)=</v>
      </c>
      <c r="N50">
        <f>J50+L50</f>
        <v>17.473333333333333</v>
      </c>
      <c r="O50" s="99">
        <f>O49+1</f>
        <v>7</v>
      </c>
      <c r="P50" s="99">
        <f t="shared" si="10"/>
        <v>3</v>
      </c>
      <c r="T50" s="89" t="e">
        <f>SUM(T47:T49)</f>
        <v>#N/A</v>
      </c>
      <c r="V50" s="82" t="e">
        <f>SUM(V47:V49)</f>
        <v>#N/A</v>
      </c>
      <c r="W50" s="84" t="str">
        <f>CONCATENATE("m'(",Q48,")=")</f>
        <v>m'(1)=</v>
      </c>
      <c r="X50" s="84" t="e">
        <f>(2*(X47^2)/24*V50)+(X49*Q47*WLS)</f>
        <v>#VALUE!</v>
      </c>
      <c r="Y50" s="84" t="str">
        <f>CONCATENATE("M(",Q47,")=")</f>
        <v>M(-)=</v>
      </c>
      <c r="Z50" s="84" t="e">
        <f>VLOOKUP(Q47,STN_TABLE,4,FALSE)</f>
        <v>#N/A</v>
      </c>
      <c r="AA50" t="str">
        <f>CONCATENATE("M(",Q48,")=")</f>
        <v>M(1)=</v>
      </c>
      <c r="AB50" t="e">
        <f>X50+Z50</f>
        <v>#VALUE!</v>
      </c>
      <c r="AE50" s="89">
        <f>SUM(AE48:AE49)</f>
        <v>9.49</v>
      </c>
      <c r="AG50" s="89">
        <f>SUM(AG48:AG49)</f>
        <v>14.4</v>
      </c>
      <c r="AH50" s="84" t="str">
        <f>CONCATENATE("m'(",AD49,")=")</f>
        <v>m'(1)=</v>
      </c>
      <c r="AI50" s="84">
        <f>(2*(AI47^2)/6*AG50)+(AI49*AD48*WLS)</f>
        <v>8.317499999999999</v>
      </c>
      <c r="AJ50" s="84" t="str">
        <f>CONCATENATE("M(",AD48,")=")</f>
        <v>M(0.75)=</v>
      </c>
      <c r="AK50" s="84">
        <f>VLOOKUP(AD48,STN_TABLE,4,FALSE)</f>
        <v>9.1406249999999982</v>
      </c>
      <c r="AL50" t="str">
        <f>CONCATENATE("M(",AD49,")=")</f>
        <v>M(1)=</v>
      </c>
      <c r="AM50">
        <f>AI50+AK50</f>
        <v>17.458124999999995</v>
      </c>
      <c r="AO50" s="82" t="str">
        <f>AA50</f>
        <v>M(1)=</v>
      </c>
      <c r="AP50" s="82" t="e">
        <f>VLOOKUP(AO50,Rise_Results,2,FALSE)</f>
        <v>#N/A</v>
      </c>
      <c r="AQ50" s="82">
        <f>N50</f>
        <v>17.473333333333333</v>
      </c>
      <c r="AR50" s="82" t="e">
        <f>IF(OR(AB49&lt;=0,AB50&lt;=0),1/0,AB50)</f>
        <v>#VALUE!</v>
      </c>
      <c r="AS50" s="82">
        <f>AM50</f>
        <v>17.458124999999995</v>
      </c>
      <c r="AT50">
        <f>IFERROR(AP50,IFERROR(AQ50,IFERROR(AR50,AS50)))</f>
        <v>17.473333333333333</v>
      </c>
      <c r="AU50" s="81"/>
    </row>
    <row r="51" spans="1:47" x14ac:dyDescent="0.25">
      <c r="A51" s="101">
        <f>A46+1</f>
        <v>2</v>
      </c>
      <c r="B51" s="101">
        <f t="shared" si="11"/>
        <v>0.25</v>
      </c>
      <c r="O51" s="101">
        <f>O46+1</f>
        <v>4</v>
      </c>
      <c r="P51" s="101">
        <f t="shared" si="10"/>
        <v>0.75</v>
      </c>
      <c r="AU51" s="81"/>
    </row>
    <row r="52" spans="1:47" x14ac:dyDescent="0.25">
      <c r="A52" s="84">
        <f>A51+1</f>
        <v>3</v>
      </c>
      <c r="B52" s="84">
        <f t="shared" si="11"/>
        <v>0.5</v>
      </c>
      <c r="C52" s="79" t="str">
        <f t="shared" ref="C52" si="12">IF(C53=B54,IF(C54-C53=C53-B53,B53,IF(C54-C53=C53-B52,B52,"#NA")),IF(C53=B53,IF(C54-C53=C53-B52,B52,IF(C54-C53=C53-B51,B51,"#NA")),"#NA"))</f>
        <v>#NA</v>
      </c>
      <c r="D52" s="68" t="e">
        <f>VLOOKUP(C52,STN_TABLE,2,FALSE)</f>
        <v>#N/A</v>
      </c>
      <c r="E52" s="102">
        <v>1</v>
      </c>
      <c r="F52" s="68" t="e">
        <f>D52*E52</f>
        <v>#N/A</v>
      </c>
      <c r="G52" s="69" t="str">
        <f>C52</f>
        <v>#NA</v>
      </c>
      <c r="H52" s="69" t="e">
        <f>F52*G52</f>
        <v>#N/A</v>
      </c>
      <c r="I52" s="6" t="s">
        <v>93</v>
      </c>
      <c r="J52" s="70" t="e">
        <f>IF(OR(D52=0,D53=0,D54=0),"#NA",IF(AND(C54-C53=C53-C52,C53&lt;&gt;C54,C52&lt;&gt;C53,C52&lt;&gt;C54,D54&lt;&gt;0,OR(D52&lt;&gt;0,D53&lt;&gt;0)),WLS*(C54-C53),"#NA"))</f>
        <v>#N/A</v>
      </c>
      <c r="O52" s="99">
        <f>O51+1</f>
        <v>5</v>
      </c>
      <c r="P52" s="99">
        <f t="shared" si="10"/>
        <v>1</v>
      </c>
      <c r="Q52" s="68">
        <f>IF(OR(P54-P53=P53-P52,P55-P53=P53-P52),P52,IF(OR(P54-P53=P53-P51,P55-P53=P53-P51),P51,"-"))</f>
        <v>1</v>
      </c>
      <c r="R52" s="69">
        <f>VLOOKUP(Q52,STN_TABLE,2,FALSE)</f>
        <v>4.91</v>
      </c>
      <c r="S52" s="69">
        <v>5</v>
      </c>
      <c r="T52" s="68">
        <f>R52*S52</f>
        <v>24.55</v>
      </c>
      <c r="U52" s="79">
        <v>3</v>
      </c>
      <c r="V52" s="68">
        <f>R52*U52</f>
        <v>14.73</v>
      </c>
      <c r="W52" s="6" t="s">
        <v>93</v>
      </c>
      <c r="X52" s="70">
        <f>IF(AND(Q54-Q53=Q53-Q52,NOT(AND(Q52=0,Q53=0)),NOT(AND(Q53=0,Q54=0))),WLS*(Q54-Q53),"#NA")</f>
        <v>2</v>
      </c>
      <c r="AD52" s="93"/>
      <c r="AH52" s="6" t="s">
        <v>93</v>
      </c>
      <c r="AI52" s="70">
        <f>WLS*(AD54-AD53)</f>
        <v>2</v>
      </c>
      <c r="AU52" s="81"/>
    </row>
    <row r="53" spans="1:47" x14ac:dyDescent="0.25">
      <c r="A53" s="84">
        <f>A52+1</f>
        <v>4</v>
      </c>
      <c r="B53" s="84">
        <f t="shared" si="11"/>
        <v>0.75</v>
      </c>
      <c r="C53" s="80" t="str">
        <f t="shared" ref="C53" si="13">IF(OR(B55-B54=B54-B53,B55-B54=B54-B52,B55-B54=B54-B51),B54,IF(OR(B55-B53=B53-B52,B55-B53=B53-B51),B53,IF(B55-B52=B52-B51,B52,"#NA")))</f>
        <v>#NA</v>
      </c>
      <c r="D53" s="76" t="e">
        <f>VLOOKUP(C53,STN_TABLE,2,FALSE)</f>
        <v>#N/A</v>
      </c>
      <c r="E53" s="81">
        <v>4</v>
      </c>
      <c r="F53" s="76" t="e">
        <f>D53*E53</f>
        <v>#N/A</v>
      </c>
      <c r="G53" s="77" t="str">
        <f>C53</f>
        <v>#NA</v>
      </c>
      <c r="H53" s="77" t="e">
        <f>F53*G53</f>
        <v>#N/A</v>
      </c>
      <c r="I53" s="495" t="s">
        <v>97</v>
      </c>
      <c r="J53" s="496"/>
      <c r="K53" s="78" t="s">
        <v>98</v>
      </c>
      <c r="L53" s="78"/>
      <c r="M53" s="7" t="s">
        <v>99</v>
      </c>
      <c r="N53" s="7"/>
      <c r="O53" s="99">
        <f>O52+1</f>
        <v>6</v>
      </c>
      <c r="P53" s="99">
        <f t="shared" si="10"/>
        <v>2</v>
      </c>
      <c r="Q53" s="76">
        <f>P53</f>
        <v>2</v>
      </c>
      <c r="R53" s="77">
        <f>VLOOKUP(Q53,STN_TABLE,2,FALSE)</f>
        <v>5.63</v>
      </c>
      <c r="S53" s="77">
        <v>8</v>
      </c>
      <c r="T53" s="76">
        <f>R53*S53</f>
        <v>45.04</v>
      </c>
      <c r="U53" s="80">
        <v>10</v>
      </c>
      <c r="V53" s="76">
        <f>R53*U53</f>
        <v>56.3</v>
      </c>
      <c r="W53" s="496" t="s">
        <v>97</v>
      </c>
      <c r="X53" s="496"/>
      <c r="Y53" s="496" t="s">
        <v>98</v>
      </c>
      <c r="Z53" s="496"/>
      <c r="AA53" s="494" t="s">
        <v>99</v>
      </c>
      <c r="AB53" s="494"/>
      <c r="AC53" s="99">
        <f>AC48+1</f>
        <v>5</v>
      </c>
      <c r="AD53" s="95">
        <f>VLOOKUP(AC53,STN_TABLE_2,2,FALSE)</f>
        <v>1</v>
      </c>
      <c r="AE53" s="68">
        <f>VLOOKUP(AD53,STN_TABLE,2,FALSE)</f>
        <v>4.91</v>
      </c>
      <c r="AF53" s="68">
        <v>1</v>
      </c>
      <c r="AG53" s="69">
        <f>AE53*AF53</f>
        <v>4.91</v>
      </c>
      <c r="AH53" s="496" t="s">
        <v>97</v>
      </c>
      <c r="AI53" s="496"/>
      <c r="AJ53" s="496" t="s">
        <v>98</v>
      </c>
      <c r="AK53" s="496"/>
      <c r="AL53" s="494" t="s">
        <v>99</v>
      </c>
      <c r="AM53" s="494"/>
      <c r="AP53" s="86" t="s">
        <v>112</v>
      </c>
      <c r="AQ53" s="89" t="s">
        <v>113</v>
      </c>
      <c r="AR53" s="89" t="s">
        <v>114</v>
      </c>
      <c r="AS53" s="89" t="s">
        <v>115</v>
      </c>
      <c r="AU53" s="81"/>
    </row>
    <row r="54" spans="1:47" x14ac:dyDescent="0.25">
      <c r="A54" s="84">
        <f>A53+1</f>
        <v>5</v>
      </c>
      <c r="B54" s="84">
        <f t="shared" si="11"/>
        <v>1</v>
      </c>
      <c r="C54" s="88">
        <f t="shared" ref="C54" si="14">B55</f>
        <v>2</v>
      </c>
      <c r="D54" s="82">
        <f>VLOOKUP(C54,STN_TABLE,2,FALSE)</f>
        <v>5.63</v>
      </c>
      <c r="E54" s="92">
        <v>1</v>
      </c>
      <c r="F54" s="82">
        <f>D54*E54</f>
        <v>5.63</v>
      </c>
      <c r="G54" s="83">
        <f>C54</f>
        <v>2</v>
      </c>
      <c r="H54" s="83">
        <f>F54*G54</f>
        <v>11.26</v>
      </c>
      <c r="I54" s="84" t="str">
        <f>CONCATENATE("a'(",C54,")=")</f>
        <v>a'(2)=</v>
      </c>
      <c r="J54" s="84" t="e">
        <f>2*J52/3*F55</f>
        <v>#N/A</v>
      </c>
      <c r="K54" s="84" t="str">
        <f>CONCATENATE("A(",C52,")=")</f>
        <v>A(#NA)=</v>
      </c>
      <c r="L54" s="84" t="e">
        <f>VLOOKUP(C52,STN_TABLE,3,FALSE)</f>
        <v>#N/A</v>
      </c>
      <c r="M54" t="str">
        <f>CONCATENATE("A(",C54,")=")</f>
        <v>A(2)=</v>
      </c>
      <c r="N54" t="e">
        <f>J54+L54</f>
        <v>#N/A</v>
      </c>
      <c r="O54" s="99">
        <f>O53+1</f>
        <v>7</v>
      </c>
      <c r="P54" s="99">
        <f t="shared" si="10"/>
        <v>3</v>
      </c>
      <c r="Q54" s="82">
        <f>IF(P54-P53=P53-P52,P54,IF(P55-P53=P53-P52,P55,IF(P54-P53=P53-P51,P54,IF(P55-P53=P53-P51,P55,"-"))))</f>
        <v>3</v>
      </c>
      <c r="R54" s="83">
        <f>VLOOKUP(Q54,STN_TABLE,2,FALSE)</f>
        <v>6.05</v>
      </c>
      <c r="S54" s="83">
        <v>-1</v>
      </c>
      <c r="T54" s="82">
        <f>R54*S54</f>
        <v>-6.05</v>
      </c>
      <c r="U54" s="88">
        <v>-1</v>
      </c>
      <c r="V54" s="82">
        <f>R54*U54</f>
        <v>-6.05</v>
      </c>
      <c r="W54" s="84" t="str">
        <f>CONCATENATE("a'(",Q53,")=")</f>
        <v>a'(2)=</v>
      </c>
      <c r="X54" s="84">
        <f>2*X52/12*T55</f>
        <v>21.18</v>
      </c>
      <c r="Y54" s="84" t="str">
        <f>CONCATENATE("A(",Q52,")=")</f>
        <v>A(1)=</v>
      </c>
      <c r="Z54" s="84">
        <f>VLOOKUP(Q52,STN_TABLE,3,FALSE)</f>
        <v>15.836666666666666</v>
      </c>
      <c r="AA54" t="str">
        <f>CONCATENATE("A(",Q53,")=")</f>
        <v>A(2)=</v>
      </c>
      <c r="AB54">
        <f>X54+Z54</f>
        <v>37.016666666666666</v>
      </c>
      <c r="AC54" s="99">
        <f>AC53+1</f>
        <v>6</v>
      </c>
      <c r="AD54" s="100">
        <f>VLOOKUP(AC54,STN_TABLE_2,2,FALSE)</f>
        <v>2</v>
      </c>
      <c r="AE54" s="82">
        <f>VLOOKUP(AD54,STN_TABLE,2,FALSE)</f>
        <v>5.63</v>
      </c>
      <c r="AF54" s="82">
        <v>2</v>
      </c>
      <c r="AG54" s="83">
        <f>AE54*AF54</f>
        <v>11.26</v>
      </c>
      <c r="AH54" s="84" t="str">
        <f>CONCATENATE("a'(",AD54,")=")</f>
        <v>a'(2)=</v>
      </c>
      <c r="AI54" s="84">
        <f>2*AI52/2*AE55</f>
        <v>21.08</v>
      </c>
      <c r="AJ54" s="84" t="str">
        <f>CONCATENATE("A(",AD53,")=")</f>
        <v>A(1)=</v>
      </c>
      <c r="AK54" s="84">
        <f>VLOOKUP(AD53,STN_TABLE,3,FALSE)</f>
        <v>15.836666666666666</v>
      </c>
      <c r="AL54" t="str">
        <f>CONCATENATE("A(",AD54,")=")</f>
        <v>A(2)=</v>
      </c>
      <c r="AM54">
        <f>AI54+AK54</f>
        <v>36.916666666666664</v>
      </c>
      <c r="AO54" s="68" t="str">
        <f>AA54</f>
        <v>A(2)=</v>
      </c>
      <c r="AP54" s="68" t="e">
        <f>VLOOKUP(AO54,Rise_Results,2,FALSE)</f>
        <v>#N/A</v>
      </c>
      <c r="AQ54" s="76" t="e">
        <f>N54</f>
        <v>#N/A</v>
      </c>
      <c r="AR54" s="76">
        <f>IF(OR(AB54&lt;=0,AB55&lt;=0),1/0,AB54)</f>
        <v>37.016666666666666</v>
      </c>
      <c r="AS54" s="76">
        <f>AM54</f>
        <v>36.916666666666664</v>
      </c>
      <c r="AT54">
        <f>IFERROR(AP54,IFERROR(AQ54,IFERROR(AR54,AS54)))</f>
        <v>37.016666666666666</v>
      </c>
      <c r="AU54" s="81"/>
    </row>
    <row r="55" spans="1:47" x14ac:dyDescent="0.25">
      <c r="A55" s="84">
        <f>A54+1</f>
        <v>6</v>
      </c>
      <c r="B55" s="84">
        <f t="shared" si="11"/>
        <v>2</v>
      </c>
      <c r="F55" s="82" t="e">
        <f>SUM(F52:F54)</f>
        <v>#N/A</v>
      </c>
      <c r="H55" s="82" t="e">
        <f>SUM(H52:H54)</f>
        <v>#N/A</v>
      </c>
      <c r="I55" s="84" t="str">
        <f>CONCATENATE("m'(",C54,")=")</f>
        <v>m'(2)=</v>
      </c>
      <c r="J55" s="84" t="e">
        <f>2*(J52*(WLS))/3*H55</f>
        <v>#N/A</v>
      </c>
      <c r="K55" s="84" t="str">
        <f>CONCATENATE("M(",C52,")=")</f>
        <v>M(#NA)=</v>
      </c>
      <c r="L55" s="84" t="e">
        <f>VLOOKUP(C52,STN_TABLE,4,FALSE)</f>
        <v>#N/A</v>
      </c>
      <c r="M55" t="str">
        <f>CONCATENATE("M(",C54,")=")</f>
        <v>M(2)=</v>
      </c>
      <c r="N55" t="e">
        <f>J55+L55</f>
        <v>#N/A</v>
      </c>
      <c r="O55" s="99">
        <f>O54+1</f>
        <v>8</v>
      </c>
      <c r="P55" s="99">
        <f t="shared" si="10"/>
        <v>4</v>
      </c>
      <c r="T55" s="89">
        <f>SUM(T52:T54)</f>
        <v>63.540000000000006</v>
      </c>
      <c r="V55" s="82">
        <f>SUM(V52:V54)</f>
        <v>64.98</v>
      </c>
      <c r="W55" s="84" t="str">
        <f>CONCATENATE("m'(",Q53,")=")</f>
        <v>m'(2)=</v>
      </c>
      <c r="X55" s="84">
        <f>(2*(X52^2)/24*V55)+(X54*Q52*WLS)</f>
        <v>64.02</v>
      </c>
      <c r="Y55" s="84" t="str">
        <f>CONCATENATE("M(",Q52,")=")</f>
        <v>M(1)=</v>
      </c>
      <c r="Z55" s="84">
        <f>VLOOKUP(Q52,STN_TABLE,4,FALSE)</f>
        <v>17.473333333333333</v>
      </c>
      <c r="AA55" t="str">
        <f>CONCATENATE("M(",Q53,")=")</f>
        <v>M(2)=</v>
      </c>
      <c r="AB55">
        <f>X55+Z55</f>
        <v>81.493333333333325</v>
      </c>
      <c r="AE55" s="89">
        <f>SUM(AE53:AE54)</f>
        <v>10.54</v>
      </c>
      <c r="AG55" s="89">
        <f>SUM(AG53:AG54)</f>
        <v>16.170000000000002</v>
      </c>
      <c r="AH55" s="84" t="str">
        <f>CONCATENATE("m'(",AD54,")=")</f>
        <v>m'(2)=</v>
      </c>
      <c r="AI55" s="84">
        <f>(2*(AI52^2)/6*AG55)+(AI54*AD53*WLS)</f>
        <v>63.72</v>
      </c>
      <c r="AJ55" s="84" t="str">
        <f>CONCATENATE("M(",AD53,")=")</f>
        <v>M(1)=</v>
      </c>
      <c r="AK55" s="84">
        <f>VLOOKUP(AD53,STN_TABLE,4,FALSE)</f>
        <v>17.473333333333333</v>
      </c>
      <c r="AL55" t="str">
        <f>CONCATENATE("M(",AD54,")=")</f>
        <v>M(2)=</v>
      </c>
      <c r="AM55">
        <f>AI55+AK55</f>
        <v>81.193333333333328</v>
      </c>
      <c r="AO55" s="82" t="str">
        <f>AA55</f>
        <v>M(2)=</v>
      </c>
      <c r="AP55" s="82" t="e">
        <f>VLOOKUP(AO55,Rise_Results,2,FALSE)</f>
        <v>#N/A</v>
      </c>
      <c r="AQ55" s="82" t="e">
        <f>N55</f>
        <v>#N/A</v>
      </c>
      <c r="AR55" s="82">
        <f>IF(OR(AB54&lt;=0,AB55&lt;=0),1/0,AB55)</f>
        <v>81.493333333333325</v>
      </c>
      <c r="AS55" s="82">
        <f>AM55</f>
        <v>81.193333333333328</v>
      </c>
      <c r="AT55">
        <f>IFERROR(AP55,IFERROR(AQ55,IFERROR(AR55,AS55)))</f>
        <v>81.493333333333325</v>
      </c>
      <c r="AU55" s="81"/>
    </row>
    <row r="56" spans="1:47" x14ac:dyDescent="0.25">
      <c r="A56" s="101">
        <f>A51+1</f>
        <v>3</v>
      </c>
      <c r="B56" s="101">
        <f t="shared" si="11"/>
        <v>0.5</v>
      </c>
      <c r="O56" s="101">
        <f>O51+1</f>
        <v>5</v>
      </c>
      <c r="P56" s="101">
        <f t="shared" si="10"/>
        <v>1</v>
      </c>
      <c r="AU56" s="81"/>
    </row>
    <row r="57" spans="1:47" x14ac:dyDescent="0.25">
      <c r="A57" s="84">
        <f>A56+1</f>
        <v>4</v>
      </c>
      <c r="B57" s="84">
        <f t="shared" si="11"/>
        <v>0.75</v>
      </c>
      <c r="C57" s="79">
        <f t="shared" ref="C57" si="15">IF(C58=B59,IF(C59-C58=C58-B58,B58,IF(C59-C58=C58-B57,B57,"#NA")),IF(C58=B58,IF(C59-C58=C58-B57,B57,IF(C59-C58=C58-B56,B56,"#NA")),"#NA"))</f>
        <v>1</v>
      </c>
      <c r="D57" s="68">
        <f>VLOOKUP(C57,STN_TABLE,2,FALSE)</f>
        <v>4.91</v>
      </c>
      <c r="E57" s="102">
        <v>1</v>
      </c>
      <c r="F57" s="68">
        <f>D57*E57</f>
        <v>4.91</v>
      </c>
      <c r="G57" s="69">
        <f>C57</f>
        <v>1</v>
      </c>
      <c r="H57" s="69">
        <f>F57*G57</f>
        <v>4.91</v>
      </c>
      <c r="I57" s="6" t="s">
        <v>93</v>
      </c>
      <c r="J57" s="70">
        <f>IF(OR(D57=0,D58=0,D59=0),"#NA",IF(AND(C59-C58=C58-C57,C58&lt;&gt;C59,C57&lt;&gt;C58,C57&lt;&gt;C59,D59&lt;&gt;0,OR(D57&lt;&gt;0,D58&lt;&gt;0)),WLS*(C59-C58),"#NA"))</f>
        <v>2</v>
      </c>
      <c r="O57" s="99">
        <f>O56+1</f>
        <v>6</v>
      </c>
      <c r="P57" s="99">
        <f t="shared" si="10"/>
        <v>2</v>
      </c>
      <c r="Q57" s="68">
        <f>IF(OR(P59-P58=P58-P57,P60-P58=P58-P57),P57,IF(OR(P59-P58=P58-P56,P60-P58=P58-P56),P56,"-"))</f>
        <v>2</v>
      </c>
      <c r="R57" s="69">
        <f>VLOOKUP(Q57,STN_TABLE,2,FALSE)</f>
        <v>5.63</v>
      </c>
      <c r="S57" s="69">
        <v>5</v>
      </c>
      <c r="T57" s="68">
        <f>R57*S57</f>
        <v>28.15</v>
      </c>
      <c r="U57" s="79">
        <v>3</v>
      </c>
      <c r="V57" s="68">
        <f>R57*U57</f>
        <v>16.89</v>
      </c>
      <c r="W57" s="6" t="s">
        <v>93</v>
      </c>
      <c r="X57" s="70">
        <f>IF(AND(Q59-Q58=Q58-Q57,NOT(AND(Q57=0,Q58=0)),NOT(AND(Q58=0,Q59=0))),WLS*(Q59-Q58),"#NA")</f>
        <v>2</v>
      </c>
      <c r="AD57" s="93"/>
      <c r="AH57" s="6" t="s">
        <v>93</v>
      </c>
      <c r="AI57" s="70">
        <f>WLS*(AD59-AD58)</f>
        <v>2</v>
      </c>
      <c r="AU57" s="81"/>
    </row>
    <row r="58" spans="1:47" x14ac:dyDescent="0.25">
      <c r="A58" s="84">
        <f>A57+1</f>
        <v>5</v>
      </c>
      <c r="B58" s="84">
        <f t="shared" si="11"/>
        <v>1</v>
      </c>
      <c r="C58" s="80">
        <f t="shared" ref="C58" si="16">IF(OR(B60-B59=B59-B58,B60-B59=B59-B57,B60-B59=B59-B56),B59,IF(OR(B60-B58=B58-B57,B60-B58=B58-B56),B58,IF(B60-B57=B57-B56,B57,"#NA")))</f>
        <v>2</v>
      </c>
      <c r="D58" s="76">
        <f>VLOOKUP(C58,STN_TABLE,2,FALSE)</f>
        <v>5.63</v>
      </c>
      <c r="E58" s="81">
        <v>4</v>
      </c>
      <c r="F58" s="76">
        <f>D58*E58</f>
        <v>22.52</v>
      </c>
      <c r="G58" s="77">
        <f>C58</f>
        <v>2</v>
      </c>
      <c r="H58" s="77">
        <f>F58*G58</f>
        <v>45.04</v>
      </c>
      <c r="I58" s="495" t="s">
        <v>97</v>
      </c>
      <c r="J58" s="496"/>
      <c r="K58" s="78" t="s">
        <v>98</v>
      </c>
      <c r="L58" s="78"/>
      <c r="M58" s="7" t="s">
        <v>99</v>
      </c>
      <c r="N58" s="7"/>
      <c r="O58" s="99">
        <f>O57+1</f>
        <v>7</v>
      </c>
      <c r="P58" s="99">
        <f t="shared" si="10"/>
        <v>3</v>
      </c>
      <c r="Q58" s="76">
        <f>P58</f>
        <v>3</v>
      </c>
      <c r="R58" s="77">
        <f>VLOOKUP(Q58,STN_TABLE,2,FALSE)</f>
        <v>6.05</v>
      </c>
      <c r="S58" s="77">
        <v>8</v>
      </c>
      <c r="T58" s="76">
        <f>R58*S58</f>
        <v>48.4</v>
      </c>
      <c r="U58" s="80">
        <v>10</v>
      </c>
      <c r="V58" s="76">
        <f>R58*U58</f>
        <v>60.5</v>
      </c>
      <c r="W58" s="78" t="s">
        <v>97</v>
      </c>
      <c r="X58" s="78"/>
      <c r="Y58" s="78" t="s">
        <v>98</v>
      </c>
      <c r="Z58" s="78"/>
      <c r="AA58" s="7" t="s">
        <v>99</v>
      </c>
      <c r="AB58" s="7"/>
      <c r="AC58" s="99">
        <f>AC53+1</f>
        <v>6</v>
      </c>
      <c r="AD58" s="95">
        <f>VLOOKUP(AC58,STN_TABLE_2,2,FALSE)</f>
        <v>2</v>
      </c>
      <c r="AE58" s="68">
        <f>VLOOKUP(AD58,STN_TABLE,2,FALSE)</f>
        <v>5.63</v>
      </c>
      <c r="AF58" s="68">
        <v>1</v>
      </c>
      <c r="AG58" s="69">
        <f>AE58*AF58</f>
        <v>5.63</v>
      </c>
      <c r="AH58" s="496" t="s">
        <v>97</v>
      </c>
      <c r="AI58" s="496"/>
      <c r="AJ58" s="496" t="s">
        <v>98</v>
      </c>
      <c r="AK58" s="496"/>
      <c r="AL58" s="494" t="s">
        <v>99</v>
      </c>
      <c r="AM58" s="494"/>
      <c r="AP58" s="86" t="s">
        <v>112</v>
      </c>
      <c r="AQ58" s="89" t="s">
        <v>113</v>
      </c>
      <c r="AR58" s="89" t="s">
        <v>114</v>
      </c>
      <c r="AS58" s="89" t="s">
        <v>115</v>
      </c>
      <c r="AU58" s="81"/>
    </row>
    <row r="59" spans="1:47" x14ac:dyDescent="0.25">
      <c r="A59" s="84">
        <f>A58+1</f>
        <v>6</v>
      </c>
      <c r="B59" s="84">
        <f t="shared" si="11"/>
        <v>2</v>
      </c>
      <c r="C59" s="88">
        <f t="shared" ref="C59" si="17">B60</f>
        <v>3</v>
      </c>
      <c r="D59" s="82">
        <f>VLOOKUP(C59,STN_TABLE,2,FALSE)</f>
        <v>6.05</v>
      </c>
      <c r="E59" s="92">
        <v>1</v>
      </c>
      <c r="F59" s="82">
        <f>D59*E59</f>
        <v>6.05</v>
      </c>
      <c r="G59" s="83">
        <f>C59</f>
        <v>3</v>
      </c>
      <c r="H59" s="83">
        <f>F59*G59</f>
        <v>18.149999999999999</v>
      </c>
      <c r="I59" s="84" t="str">
        <f>CONCATENATE("a'(",C59,")=")</f>
        <v>a'(3)=</v>
      </c>
      <c r="J59" s="84">
        <f>2*J57/3*F60</f>
        <v>44.639999999999993</v>
      </c>
      <c r="K59" s="84" t="str">
        <f>CONCATENATE("A(",C57,")=")</f>
        <v>A(1)=</v>
      </c>
      <c r="L59" s="84">
        <f>VLOOKUP(C57,STN_TABLE,3,FALSE)</f>
        <v>15.836666666666666</v>
      </c>
      <c r="M59" t="str">
        <f>CONCATENATE("A(",C59,")=")</f>
        <v>A(3)=</v>
      </c>
      <c r="N59">
        <f>J59+L59</f>
        <v>60.476666666666659</v>
      </c>
      <c r="O59" s="99">
        <f>O58+1</f>
        <v>8</v>
      </c>
      <c r="P59" s="99">
        <f t="shared" si="10"/>
        <v>4</v>
      </c>
      <c r="Q59" s="82">
        <f>IF(P59-P58=P58-P57,P59,IF(P60-P58=P58-P57,P60,IF(P59-P58=P58-P56,P59,IF(P60-P58=P58-P56,P60,"-"))))</f>
        <v>4</v>
      </c>
      <c r="R59" s="83">
        <f>VLOOKUP(Q59,STN_TABLE,2,FALSE)</f>
        <v>6.39</v>
      </c>
      <c r="S59" s="83">
        <v>-1</v>
      </c>
      <c r="T59" s="82">
        <f>R59*S59</f>
        <v>-6.39</v>
      </c>
      <c r="U59" s="88">
        <v>-1</v>
      </c>
      <c r="V59" s="82">
        <f>R59*U59</f>
        <v>-6.39</v>
      </c>
      <c r="W59" s="84" t="str">
        <f>CONCATENATE("a'(",Q58,")=")</f>
        <v>a'(3)=</v>
      </c>
      <c r="X59" s="84">
        <f>2*X57/12*T60</f>
        <v>23.386666666666663</v>
      </c>
      <c r="Y59" s="84" t="str">
        <f>CONCATENATE("A(",Q57,")=")</f>
        <v>A(2)=</v>
      </c>
      <c r="Z59" s="84">
        <f>VLOOKUP(Q57,STN_TABLE,3,FALSE)</f>
        <v>37.016666666666666</v>
      </c>
      <c r="AA59" t="str">
        <f>CONCATENATE("A(",Q58,")=")</f>
        <v>A(3)=</v>
      </c>
      <c r="AB59">
        <f>X59+Z59</f>
        <v>60.403333333333329</v>
      </c>
      <c r="AC59" s="99">
        <f>AC58+1</f>
        <v>7</v>
      </c>
      <c r="AD59" s="100">
        <f>VLOOKUP(AC59,STN_TABLE_2,2,FALSE)</f>
        <v>3</v>
      </c>
      <c r="AE59" s="82">
        <f>VLOOKUP(AD59,STN_TABLE,2,FALSE)</f>
        <v>6.05</v>
      </c>
      <c r="AF59" s="82">
        <v>2</v>
      </c>
      <c r="AG59" s="83">
        <f>AE59*AF59</f>
        <v>12.1</v>
      </c>
      <c r="AH59" s="84" t="str">
        <f>CONCATENATE("a'(",AD59,")=")</f>
        <v>a'(3)=</v>
      </c>
      <c r="AI59" s="84">
        <f>2*AI57/2*AE60</f>
        <v>23.36</v>
      </c>
      <c r="AJ59" s="84" t="str">
        <f>CONCATENATE("A(",AD58,")=")</f>
        <v>A(2)=</v>
      </c>
      <c r="AK59" s="84">
        <f>VLOOKUP(AD58,STN_TABLE,3,FALSE)</f>
        <v>37.016666666666666</v>
      </c>
      <c r="AL59" t="str">
        <f>CONCATENATE("A(",AD59,")=")</f>
        <v>A(3)=</v>
      </c>
      <c r="AM59">
        <f>AI59+AK59</f>
        <v>60.376666666666665</v>
      </c>
      <c r="AO59" s="68" t="str">
        <f>AA59</f>
        <v>A(3)=</v>
      </c>
      <c r="AP59" s="68" t="e">
        <f>VLOOKUP(AO59,Rise_Results,2,FALSE)</f>
        <v>#N/A</v>
      </c>
      <c r="AQ59" s="76">
        <f>N59</f>
        <v>60.476666666666659</v>
      </c>
      <c r="AR59" s="76">
        <f>IF(OR(AB59&lt;=0,AB60&lt;=0),1/0,AB59)</f>
        <v>60.403333333333329</v>
      </c>
      <c r="AS59" s="76">
        <f>AM59</f>
        <v>60.376666666666665</v>
      </c>
      <c r="AT59">
        <f>IFERROR(AP59,IFERROR(AQ59,IFERROR(AR59,AS59)))</f>
        <v>60.476666666666659</v>
      </c>
      <c r="AU59" s="81"/>
    </row>
    <row r="60" spans="1:47" x14ac:dyDescent="0.25">
      <c r="A60" s="84">
        <f>A59+1</f>
        <v>7</v>
      </c>
      <c r="B60" s="84">
        <f t="shared" si="11"/>
        <v>3</v>
      </c>
      <c r="F60" s="82">
        <f>SUM(F57:F59)</f>
        <v>33.479999999999997</v>
      </c>
      <c r="H60" s="82">
        <f>SUM(H57:H59)</f>
        <v>68.099999999999994</v>
      </c>
      <c r="I60" s="84" t="str">
        <f>CONCATENATE("m'(",C59,")=")</f>
        <v>m'(3)=</v>
      </c>
      <c r="J60" s="84">
        <f>2*(J57*(WLS))/3*H60</f>
        <v>181.59999999999997</v>
      </c>
      <c r="K60" s="84" t="str">
        <f>CONCATENATE("M(",C57,")=")</f>
        <v>M(1)=</v>
      </c>
      <c r="L60" s="84">
        <f>VLOOKUP(C57,STN_TABLE,4,FALSE)</f>
        <v>17.473333333333333</v>
      </c>
      <c r="M60" t="str">
        <f>CONCATENATE("M(",C59,")=")</f>
        <v>M(3)=</v>
      </c>
      <c r="N60">
        <f>J60+L60</f>
        <v>199.0733333333333</v>
      </c>
      <c r="O60" s="99">
        <f>O59+1</f>
        <v>9</v>
      </c>
      <c r="P60" s="99">
        <f t="shared" si="10"/>
        <v>4.8499999999999996</v>
      </c>
      <c r="T60" s="89">
        <f>SUM(T57:T59)</f>
        <v>70.16</v>
      </c>
      <c r="V60" s="82">
        <f>SUM(V57:V59)</f>
        <v>71</v>
      </c>
      <c r="W60" s="84" t="str">
        <f>CONCATENATE("m'(",Q58,")=")</f>
        <v>m'(3)=</v>
      </c>
      <c r="X60" s="84">
        <f>(2*(X57^2)/24*V60)+(X59*Q57*WLS)</f>
        <v>117.21333333333331</v>
      </c>
      <c r="Y60" s="84" t="str">
        <f>CONCATENATE("M(",Q57,")=")</f>
        <v>M(2)=</v>
      </c>
      <c r="Z60" s="84">
        <f>VLOOKUP(Q57,STN_TABLE,4,FALSE)</f>
        <v>81.493333333333325</v>
      </c>
      <c r="AA60" t="str">
        <f>CONCATENATE("M(",Q58,")=")</f>
        <v>M(3)=</v>
      </c>
      <c r="AB60">
        <f>X60+Z60</f>
        <v>198.70666666666665</v>
      </c>
      <c r="AE60" s="89">
        <f>SUM(AE58:AE59)</f>
        <v>11.68</v>
      </c>
      <c r="AG60" s="89">
        <f>SUM(AG58:AG59)</f>
        <v>17.73</v>
      </c>
      <c r="AH60" s="84" t="str">
        <f>CONCATENATE("m'(",AD59,")=")</f>
        <v>m'(3)=</v>
      </c>
      <c r="AI60" s="84">
        <f>(2*(AI57^2)/6*AG60)+(AI59*AD58*WLS)</f>
        <v>117.08</v>
      </c>
      <c r="AJ60" s="84" t="str">
        <f>CONCATENATE("M(",AD58,")=")</f>
        <v>M(2)=</v>
      </c>
      <c r="AK60" s="84">
        <f>VLOOKUP(AD57,STN_TABLE,4,FALSE)</f>
        <v>0</v>
      </c>
      <c r="AL60" t="str">
        <f>CONCATENATE("M(",AD59,")=")</f>
        <v>M(3)=</v>
      </c>
      <c r="AM60">
        <f>AI60+AK60</f>
        <v>117.08</v>
      </c>
      <c r="AO60" s="82" t="str">
        <f>AA60</f>
        <v>M(3)=</v>
      </c>
      <c r="AP60" s="82" t="e">
        <f>VLOOKUP(AO60,Rise_Results,2,FALSE)</f>
        <v>#N/A</v>
      </c>
      <c r="AQ60" s="82">
        <f>N60</f>
        <v>199.0733333333333</v>
      </c>
      <c r="AR60" s="82">
        <f>IF(OR(AB59&lt;=0,AB60&lt;=0),1/0,AB60)</f>
        <v>198.70666666666665</v>
      </c>
      <c r="AS60" s="82">
        <f>AM60</f>
        <v>117.08</v>
      </c>
      <c r="AT60">
        <f>IFERROR(AP60,IFERROR(AQ60,IFERROR(AR60,AS60)))</f>
        <v>199.0733333333333</v>
      </c>
      <c r="AU60" s="81"/>
    </row>
    <row r="61" spans="1:47" x14ac:dyDescent="0.25">
      <c r="A61" s="101">
        <f>A56+1</f>
        <v>4</v>
      </c>
      <c r="B61" s="101">
        <f t="shared" si="11"/>
        <v>0.75</v>
      </c>
      <c r="O61" s="101">
        <f>O56+1</f>
        <v>6</v>
      </c>
      <c r="P61" s="101">
        <f t="shared" si="10"/>
        <v>2</v>
      </c>
      <c r="AU61" s="81"/>
    </row>
    <row r="62" spans="1:47" x14ac:dyDescent="0.25">
      <c r="A62" s="84">
        <f>A61+1</f>
        <v>5</v>
      </c>
      <c r="B62" s="84">
        <f t="shared" si="11"/>
        <v>1</v>
      </c>
      <c r="C62" s="79">
        <f t="shared" ref="C62" si="18">IF(C63=B64,IF(C64-C63=C63-B63,B63,IF(C64-C63=C63-B62,B62,"#NA")),IF(C63=B63,IF(C64-C63=C63-B62,B62,IF(C64-C63=C63-B61,B61,"#NA")),"#NA"))</f>
        <v>2</v>
      </c>
      <c r="D62" s="68">
        <f>VLOOKUP(C62,STN_TABLE,2,FALSE)</f>
        <v>5.63</v>
      </c>
      <c r="E62" s="102">
        <v>1</v>
      </c>
      <c r="F62" s="68">
        <f>D62*E62</f>
        <v>5.63</v>
      </c>
      <c r="G62" s="69">
        <f>C62</f>
        <v>2</v>
      </c>
      <c r="H62" s="69">
        <f>F62*G62</f>
        <v>11.26</v>
      </c>
      <c r="I62" s="6" t="s">
        <v>93</v>
      </c>
      <c r="J62" s="70">
        <f>IF(OR(D62=0,D63=0,D64=0),"#NA",IF(AND(C64-C63=C63-C62,C63&lt;&gt;C64,C62&lt;&gt;C63,C62&lt;&gt;C64,D64&lt;&gt;0,OR(D62&lt;&gt;0,D63&lt;&gt;0)),WLS*(C64-C63),"#NA"))</f>
        <v>2</v>
      </c>
      <c r="O62" s="99">
        <f>O61+1</f>
        <v>7</v>
      </c>
      <c r="P62" s="99">
        <f t="shared" si="10"/>
        <v>3</v>
      </c>
      <c r="Q62" s="68">
        <f>IF(OR(P64-P63=P63-P62,P65-P63=P63-P62),P62,IF(OR(P64-P63=P63-P61,P65-P63=P63-P61),P61,"-"))</f>
        <v>3</v>
      </c>
      <c r="R62" s="69">
        <f>VLOOKUP(Q62,STN_TABLE,2,FALSE)</f>
        <v>6.05</v>
      </c>
      <c r="S62" s="69">
        <v>5</v>
      </c>
      <c r="T62" s="68">
        <f>R62*S62</f>
        <v>30.25</v>
      </c>
      <c r="U62" s="79">
        <v>3</v>
      </c>
      <c r="V62" s="68">
        <f>R62*U62</f>
        <v>18.149999999999999</v>
      </c>
      <c r="W62" s="6" t="s">
        <v>93</v>
      </c>
      <c r="X62" s="70">
        <f>IF(AND(Q64-Q63=Q63-Q62,NOT(AND(Q62=0,Q63=0)),NOT(AND(Q63=0,Q64=0))),WLS*(Q64-Q63),"#NA")</f>
        <v>2</v>
      </c>
      <c r="AD62" s="93"/>
      <c r="AH62" s="6" t="s">
        <v>93</v>
      </c>
      <c r="AI62" s="70">
        <f>WLS*(AD64-AD63)</f>
        <v>2</v>
      </c>
      <c r="AU62" s="81"/>
    </row>
    <row r="63" spans="1:47" x14ac:dyDescent="0.25">
      <c r="A63" s="84">
        <f>A62+1</f>
        <v>6</v>
      </c>
      <c r="B63" s="84">
        <f t="shared" si="11"/>
        <v>2</v>
      </c>
      <c r="C63" s="80">
        <f t="shared" ref="C63" si="19">IF(OR(B65-B64=B64-B63,B65-B64=B64-B62,B65-B64=B64-B61),B64,IF(OR(B65-B63=B63-B62,B65-B63=B63-B61),B63,IF(B65-B62=B62-B61,B62,"#NA")))</f>
        <v>3</v>
      </c>
      <c r="D63" s="76">
        <f>VLOOKUP(C63,STN_TABLE,2,FALSE)</f>
        <v>6.05</v>
      </c>
      <c r="E63" s="81">
        <v>4</v>
      </c>
      <c r="F63" s="76">
        <f>D63*E63</f>
        <v>24.2</v>
      </c>
      <c r="G63" s="77">
        <f>C63</f>
        <v>3</v>
      </c>
      <c r="H63" s="77">
        <f>F63*G63</f>
        <v>72.599999999999994</v>
      </c>
      <c r="I63" s="495" t="s">
        <v>97</v>
      </c>
      <c r="J63" s="496"/>
      <c r="K63" s="78" t="s">
        <v>98</v>
      </c>
      <c r="L63" s="78"/>
      <c r="M63" s="7" t="s">
        <v>99</v>
      </c>
      <c r="N63" s="7"/>
      <c r="O63" s="99">
        <f>O62+1</f>
        <v>8</v>
      </c>
      <c r="P63" s="99">
        <f t="shared" si="10"/>
        <v>4</v>
      </c>
      <c r="Q63" s="76">
        <f>P63</f>
        <v>4</v>
      </c>
      <c r="R63" s="77">
        <f>VLOOKUP(Q63,STN_TABLE,2,FALSE)</f>
        <v>6.39</v>
      </c>
      <c r="S63" s="77">
        <v>8</v>
      </c>
      <c r="T63" s="76">
        <f>R63*S63</f>
        <v>51.12</v>
      </c>
      <c r="U63" s="80">
        <v>10</v>
      </c>
      <c r="V63" s="76">
        <f>R63*U63</f>
        <v>63.9</v>
      </c>
      <c r="W63" s="496" t="s">
        <v>97</v>
      </c>
      <c r="X63" s="496"/>
      <c r="Y63" s="496" t="s">
        <v>98</v>
      </c>
      <c r="Z63" s="496"/>
      <c r="AA63" s="494" t="s">
        <v>99</v>
      </c>
      <c r="AB63" s="494"/>
      <c r="AC63" s="99">
        <f>AC58+1</f>
        <v>7</v>
      </c>
      <c r="AD63" s="95">
        <f>VLOOKUP(AC63,STN_TABLE_2,2,FALSE)</f>
        <v>3</v>
      </c>
      <c r="AE63" s="68">
        <f>VLOOKUP(AD63,STN_TABLE,2,FALSE)</f>
        <v>6.05</v>
      </c>
      <c r="AF63" s="68">
        <v>1</v>
      </c>
      <c r="AG63" s="69">
        <f>AE63*AF63</f>
        <v>6.05</v>
      </c>
      <c r="AH63" s="496" t="s">
        <v>97</v>
      </c>
      <c r="AI63" s="496"/>
      <c r="AJ63" s="496" t="s">
        <v>98</v>
      </c>
      <c r="AK63" s="496"/>
      <c r="AL63" s="494" t="s">
        <v>99</v>
      </c>
      <c r="AM63" s="494"/>
      <c r="AP63" s="86" t="s">
        <v>112</v>
      </c>
      <c r="AQ63" s="89" t="s">
        <v>113</v>
      </c>
      <c r="AR63" s="89" t="s">
        <v>114</v>
      </c>
      <c r="AS63" s="89" t="s">
        <v>115</v>
      </c>
      <c r="AU63" s="81"/>
    </row>
    <row r="64" spans="1:47" x14ac:dyDescent="0.25">
      <c r="A64" s="84">
        <f>A63+1</f>
        <v>7</v>
      </c>
      <c r="B64" s="84">
        <f t="shared" si="11"/>
        <v>3</v>
      </c>
      <c r="C64" s="88">
        <f t="shared" ref="C64" si="20">B65</f>
        <v>4</v>
      </c>
      <c r="D64" s="82">
        <f>VLOOKUP(C64,STN_TABLE,2,FALSE)</f>
        <v>6.39</v>
      </c>
      <c r="E64" s="92">
        <v>1</v>
      </c>
      <c r="F64" s="82">
        <f>D64*E64</f>
        <v>6.39</v>
      </c>
      <c r="G64" s="83">
        <f>C64</f>
        <v>4</v>
      </c>
      <c r="H64" s="83">
        <f>F64*G64</f>
        <v>25.56</v>
      </c>
      <c r="I64" s="84" t="str">
        <f>CONCATENATE("a'(",C64,")=")</f>
        <v>a'(4)=</v>
      </c>
      <c r="J64" s="84">
        <f>2*J62/3*F65</f>
        <v>48.293333333333329</v>
      </c>
      <c r="K64" s="84" t="str">
        <f>CONCATENATE("A(",C62,")=")</f>
        <v>A(2)=</v>
      </c>
      <c r="L64" s="84">
        <f>VLOOKUP(C62,STN_TABLE,3,FALSE)</f>
        <v>37.016666666666666</v>
      </c>
      <c r="M64" t="str">
        <f>CONCATENATE("A(",C64,")=")</f>
        <v>A(4)=</v>
      </c>
      <c r="N64">
        <f>J64+L64</f>
        <v>85.31</v>
      </c>
      <c r="O64" s="99">
        <f>O63+1</f>
        <v>9</v>
      </c>
      <c r="P64" s="99">
        <f t="shared" si="10"/>
        <v>4.8499999999999996</v>
      </c>
      <c r="Q64" s="82">
        <f>IF(P64-P63=P63-P62,P64,IF(P65-P63=P63-P62,P65,IF(P64-P63=P63-P61,P64,IF(P65-P63=P63-P61,P65,"-"))))</f>
        <v>5</v>
      </c>
      <c r="R64" s="83">
        <f>VLOOKUP(Q64,STN_TABLE,2,FALSE)</f>
        <v>6.91</v>
      </c>
      <c r="S64" s="83">
        <v>-1</v>
      </c>
      <c r="T64" s="82">
        <f>R64*S64</f>
        <v>-6.91</v>
      </c>
      <c r="U64" s="88">
        <v>-1</v>
      </c>
      <c r="V64" s="82">
        <f>R64*U64</f>
        <v>-6.91</v>
      </c>
      <c r="W64" s="84" t="str">
        <f>CONCATENATE("a'(",Q63,")=")</f>
        <v>a'(4)=</v>
      </c>
      <c r="X64" s="84">
        <f>2*X62/12*T65</f>
        <v>24.82</v>
      </c>
      <c r="Y64" s="84" t="str">
        <f>CONCATENATE("A(",Q62,")=")</f>
        <v>A(3)=</v>
      </c>
      <c r="Z64" s="84">
        <f>VLOOKUP(Q62,STN_TABLE,3,FALSE)</f>
        <v>60.476666666666659</v>
      </c>
      <c r="AA64" t="str">
        <f>CONCATENATE("A(",Q63,")=")</f>
        <v>A(4)=</v>
      </c>
      <c r="AB64">
        <f>X64+Z64</f>
        <v>85.296666666666653</v>
      </c>
      <c r="AC64" s="99">
        <f>AC63+1</f>
        <v>8</v>
      </c>
      <c r="AD64" s="100">
        <f>VLOOKUP(AC64,STN_TABLE_2,2,FALSE)</f>
        <v>4</v>
      </c>
      <c r="AE64" s="82">
        <f>VLOOKUP(AD64,STN_TABLE,2,FALSE)</f>
        <v>6.39</v>
      </c>
      <c r="AF64" s="82">
        <v>2</v>
      </c>
      <c r="AG64" s="83">
        <f>AE64*AF64</f>
        <v>12.78</v>
      </c>
      <c r="AH64" s="84" t="str">
        <f>CONCATENATE("a'(",AD64,")=")</f>
        <v>a'(4)=</v>
      </c>
      <c r="AI64" s="84">
        <f>2*AI62/2*AE65</f>
        <v>24.88</v>
      </c>
      <c r="AJ64" s="84" t="str">
        <f>CONCATENATE("A(",AD63,")=")</f>
        <v>A(3)=</v>
      </c>
      <c r="AK64" s="84">
        <f>VLOOKUP(AD63,STN_TABLE,3,FALSE)</f>
        <v>60.476666666666659</v>
      </c>
      <c r="AL64" t="str">
        <f>CONCATENATE("A(",AD64,")=")</f>
        <v>A(4)=</v>
      </c>
      <c r="AM64">
        <f>AI64+AK64</f>
        <v>85.356666666666655</v>
      </c>
      <c r="AO64" s="68" t="str">
        <f>AA64</f>
        <v>A(4)=</v>
      </c>
      <c r="AP64" s="68" t="e">
        <f>VLOOKUP(AO64,Rise_Results,2,FALSE)</f>
        <v>#N/A</v>
      </c>
      <c r="AQ64" s="76">
        <f>N64</f>
        <v>85.31</v>
      </c>
      <c r="AR64" s="76">
        <f>IF(OR(AB64&lt;=0,AB65&lt;=0),1/0,AB64)</f>
        <v>85.296666666666653</v>
      </c>
      <c r="AS64" s="76">
        <f>AM64</f>
        <v>85.356666666666655</v>
      </c>
      <c r="AT64">
        <f>IFERROR(AP64,IFERROR(AQ64,IFERROR(AR64,AS64)))</f>
        <v>85.31</v>
      </c>
      <c r="AU64" s="81"/>
    </row>
    <row r="65" spans="1:47" x14ac:dyDescent="0.25">
      <c r="A65" s="84">
        <f>A64+1</f>
        <v>8</v>
      </c>
      <c r="B65" s="84">
        <f t="shared" si="11"/>
        <v>4</v>
      </c>
      <c r="F65" s="82">
        <f>SUM(F62:F64)</f>
        <v>36.22</v>
      </c>
      <c r="H65" s="82">
        <f>SUM(H62:H64)</f>
        <v>109.42</v>
      </c>
      <c r="I65" s="84" t="str">
        <f>CONCATENATE("m'(",C64,")=")</f>
        <v>m'(4)=</v>
      </c>
      <c r="J65" s="84">
        <f>2*(J62*(WLS))/3*H65</f>
        <v>291.78666666666663</v>
      </c>
      <c r="K65" s="84" t="str">
        <f>CONCATENATE("M(",C62,")=")</f>
        <v>M(2)=</v>
      </c>
      <c r="L65" s="84">
        <f>VLOOKUP(C62,STN_TABLE,4,FALSE)</f>
        <v>81.493333333333325</v>
      </c>
      <c r="M65" t="str">
        <f>CONCATENATE("M(",C64,")=")</f>
        <v>M(4)=</v>
      </c>
      <c r="N65">
        <f>J65+L65</f>
        <v>373.28</v>
      </c>
      <c r="O65" s="99">
        <f>O64+1</f>
        <v>10</v>
      </c>
      <c r="P65" s="99">
        <f t="shared" si="10"/>
        <v>5</v>
      </c>
      <c r="T65" s="89">
        <f>SUM(T62:T64)</f>
        <v>74.460000000000008</v>
      </c>
      <c r="V65" s="82">
        <f>SUM(V62:V64)</f>
        <v>75.14</v>
      </c>
      <c r="W65" s="84" t="str">
        <f>CONCATENATE("m'(",Q63,")=")</f>
        <v>m'(4)=</v>
      </c>
      <c r="X65" s="84">
        <f>(2*(X62^2)/24*V65)+(X64*Q62*WLS)</f>
        <v>173.9666666666667</v>
      </c>
      <c r="Y65" s="84" t="str">
        <f>CONCATENATE("M(",Q62,")=")</f>
        <v>M(3)=</v>
      </c>
      <c r="Z65" s="84">
        <f>VLOOKUP(Q62,STN_TABLE,4,FALSE)</f>
        <v>199.0733333333333</v>
      </c>
      <c r="AA65" t="str">
        <f>CONCATENATE("M(",Q63,")=")</f>
        <v>M(4)=</v>
      </c>
      <c r="AB65">
        <f>X65+Z65</f>
        <v>373.03999999999996</v>
      </c>
      <c r="AE65" s="89">
        <f>SUM(AE63:AE64)</f>
        <v>12.44</v>
      </c>
      <c r="AG65" s="89">
        <f>SUM(AG63:AG64)</f>
        <v>18.829999999999998</v>
      </c>
      <c r="AH65" s="84" t="str">
        <f>CONCATENATE("m'(",AD64,")=")</f>
        <v>m'(4)=</v>
      </c>
      <c r="AI65" s="84">
        <f>(2*(AI62^2)/6*AG65)+(AI64*AD63*WLS)</f>
        <v>174.38666666666666</v>
      </c>
      <c r="AJ65" s="84" t="str">
        <f>CONCATENATE("M(",AD63,")=")</f>
        <v>M(3)=</v>
      </c>
      <c r="AK65" s="84">
        <f>VLOOKUP(AD63,STN_TABLE,4,FALSE)</f>
        <v>199.0733333333333</v>
      </c>
      <c r="AL65" t="str">
        <f>CONCATENATE("M(",AD64,")=")</f>
        <v>M(4)=</v>
      </c>
      <c r="AM65">
        <f>AI65+AK65</f>
        <v>373.45999999999992</v>
      </c>
      <c r="AO65" s="82" t="str">
        <f>AA65</f>
        <v>M(4)=</v>
      </c>
      <c r="AP65" s="82" t="e">
        <f>VLOOKUP(AO65,Rise_Results,2,FALSE)</f>
        <v>#N/A</v>
      </c>
      <c r="AQ65" s="82">
        <f>N65</f>
        <v>373.28</v>
      </c>
      <c r="AR65" s="82">
        <f>IF(OR(AB64&lt;=0,AB65&lt;=0),1/0,AB65)</f>
        <v>373.03999999999996</v>
      </c>
      <c r="AS65" s="82">
        <f>AM65</f>
        <v>373.45999999999992</v>
      </c>
      <c r="AT65">
        <f>IFERROR(AP65,IFERROR(AQ65,IFERROR(AR65,AS65)))</f>
        <v>373.28</v>
      </c>
      <c r="AU65" s="81"/>
    </row>
    <row r="66" spans="1:47" x14ac:dyDescent="0.25">
      <c r="A66" s="101">
        <f>A61+1</f>
        <v>5</v>
      </c>
      <c r="B66" s="101">
        <f t="shared" si="11"/>
        <v>1</v>
      </c>
      <c r="O66" s="101">
        <f>O61+1</f>
        <v>7</v>
      </c>
      <c r="P66" s="101">
        <f t="shared" si="10"/>
        <v>3</v>
      </c>
      <c r="AU66" s="81"/>
    </row>
    <row r="67" spans="1:47" x14ac:dyDescent="0.25">
      <c r="A67" s="84">
        <f>A66+1</f>
        <v>6</v>
      </c>
      <c r="B67" s="84">
        <f t="shared" si="11"/>
        <v>2</v>
      </c>
      <c r="C67" s="79" t="str">
        <f t="shared" ref="C67" si="21">IF(C68=B69,IF(C69-C68=C68-B68,B68,IF(C69-C68=C68-B67,B67,"#NA")),IF(C68=B68,IF(C69-C68=C68-B67,B67,IF(C69-C68=C68-B66,B66,"#NA")),"#NA"))</f>
        <v>#NA</v>
      </c>
      <c r="D67" s="68" t="e">
        <f>VLOOKUP(C67,STN_TABLE,2,FALSE)</f>
        <v>#N/A</v>
      </c>
      <c r="E67" s="102">
        <v>1</v>
      </c>
      <c r="F67" s="68" t="e">
        <f>D67*E67</f>
        <v>#N/A</v>
      </c>
      <c r="G67" s="69" t="str">
        <f>C67</f>
        <v>#NA</v>
      </c>
      <c r="H67" s="69" t="e">
        <f>F67*G67</f>
        <v>#N/A</v>
      </c>
      <c r="I67" s="6" t="s">
        <v>93</v>
      </c>
      <c r="J67" s="70" t="e">
        <f>IF(OR(D67=0,D68=0,D69=0),"#NA",IF(AND(C69-C68=C68-C67,C68&lt;&gt;C69,C67&lt;&gt;C68,C67&lt;&gt;C69,D69&lt;&gt;0,OR(D67&lt;&gt;0,D68&lt;&gt;0)),WLS*(C69-C68),"#NA"))</f>
        <v>#N/A</v>
      </c>
      <c r="O67" s="99">
        <f>O66+1</f>
        <v>8</v>
      </c>
      <c r="P67" s="99">
        <f t="shared" si="10"/>
        <v>4</v>
      </c>
      <c r="Q67" s="68" t="str">
        <f>IF(OR(P69-P68=P68-P67,P70-P68=P68-P67),P67,IF(OR(P69-P68=P68-P66,P70-P68=P68-P66),P66,"-"))</f>
        <v>-</v>
      </c>
      <c r="R67" s="69" t="e">
        <f>VLOOKUP(Q67,STN_TABLE,2,FALSE)</f>
        <v>#N/A</v>
      </c>
      <c r="S67" s="69">
        <v>5</v>
      </c>
      <c r="T67" s="68" t="e">
        <f>R67*S67</f>
        <v>#N/A</v>
      </c>
      <c r="U67" s="79">
        <v>3</v>
      </c>
      <c r="V67" s="68" t="e">
        <f>R67*U67</f>
        <v>#N/A</v>
      </c>
      <c r="W67" s="6" t="s">
        <v>93</v>
      </c>
      <c r="X67" s="70" t="e">
        <f>IF(AND(Q69-Q68=Q68-Q67,NOT(AND(Q67=0,Q68=0)),NOT(AND(Q68=0,Q69=0))),WLS*(Q69-Q68),"#NA")</f>
        <v>#VALUE!</v>
      </c>
      <c r="AD67" s="93"/>
      <c r="AH67" s="6" t="s">
        <v>93</v>
      </c>
      <c r="AI67" s="70">
        <f>WLS*(AD69-AD68)</f>
        <v>1.6999999999999993</v>
      </c>
      <c r="AU67" s="81"/>
    </row>
    <row r="68" spans="1:47" x14ac:dyDescent="0.25">
      <c r="A68" s="84">
        <f>A67+1</f>
        <v>7</v>
      </c>
      <c r="B68" s="84">
        <f t="shared" si="11"/>
        <v>3</v>
      </c>
      <c r="C68" s="80" t="str">
        <f t="shared" ref="C68" si="22">IF(OR(B70-B69=B69-B68,B70-B69=B69-B67,B70-B69=B69-B66),B69,IF(OR(B70-B68=B68-B67,B70-B68=B68-B66),B68,IF(B70-B67=B67-B66,B67,"#NA")))</f>
        <v>#NA</v>
      </c>
      <c r="D68" s="76" t="e">
        <f>VLOOKUP(C68,STN_TABLE,2,FALSE)</f>
        <v>#N/A</v>
      </c>
      <c r="E68" s="81">
        <v>4</v>
      </c>
      <c r="F68" s="76" t="e">
        <f>D68*E68</f>
        <v>#N/A</v>
      </c>
      <c r="G68" s="77" t="str">
        <f>C68</f>
        <v>#NA</v>
      </c>
      <c r="H68" s="77" t="e">
        <f>F68*G68</f>
        <v>#N/A</v>
      </c>
      <c r="I68" s="495" t="s">
        <v>97</v>
      </c>
      <c r="J68" s="496"/>
      <c r="K68" s="78" t="s">
        <v>98</v>
      </c>
      <c r="L68" s="78"/>
      <c r="M68" s="7" t="s">
        <v>99</v>
      </c>
      <c r="N68" s="7"/>
      <c r="O68" s="99">
        <f>O67+1</f>
        <v>9</v>
      </c>
      <c r="P68" s="99">
        <f t="shared" ref="P68:P99" si="23">VLOOKUP(O68,STN_TABLE_2,2,FALSE)</f>
        <v>4.8499999999999996</v>
      </c>
      <c r="Q68" s="76">
        <f>P68</f>
        <v>4.8499999999999996</v>
      </c>
      <c r="R68" s="77">
        <f>VLOOKUP(Q68,STN_TABLE,2,FALSE)</f>
        <v>6.82</v>
      </c>
      <c r="S68" s="77">
        <v>8</v>
      </c>
      <c r="T68" s="76">
        <f>R68*S68</f>
        <v>54.56</v>
      </c>
      <c r="U68" s="80">
        <v>10</v>
      </c>
      <c r="V68" s="76">
        <f>R68*U68</f>
        <v>68.2</v>
      </c>
      <c r="W68" s="496" t="s">
        <v>97</v>
      </c>
      <c r="X68" s="496"/>
      <c r="Y68" s="496" t="s">
        <v>98</v>
      </c>
      <c r="Z68" s="496"/>
      <c r="AA68" s="494" t="s">
        <v>99</v>
      </c>
      <c r="AB68" s="494"/>
      <c r="AC68" s="99">
        <f>AC63+1</f>
        <v>8</v>
      </c>
      <c r="AD68" s="95">
        <f>VLOOKUP(AC68,STN_TABLE_2,2,FALSE)</f>
        <v>4</v>
      </c>
      <c r="AE68" s="68">
        <f>VLOOKUP(AD68,STN_TABLE,2,FALSE)</f>
        <v>6.39</v>
      </c>
      <c r="AF68" s="68">
        <v>1</v>
      </c>
      <c r="AG68" s="69">
        <f>AE68*AF68</f>
        <v>6.39</v>
      </c>
      <c r="AH68" s="496" t="s">
        <v>97</v>
      </c>
      <c r="AI68" s="496"/>
      <c r="AJ68" s="496" t="s">
        <v>98</v>
      </c>
      <c r="AK68" s="496"/>
      <c r="AL68" s="494" t="s">
        <v>99</v>
      </c>
      <c r="AM68" s="494"/>
      <c r="AP68" s="86" t="s">
        <v>112</v>
      </c>
      <c r="AQ68" s="89" t="s">
        <v>113</v>
      </c>
      <c r="AR68" s="89" t="s">
        <v>114</v>
      </c>
      <c r="AS68" s="89" t="s">
        <v>115</v>
      </c>
      <c r="AU68" s="81"/>
    </row>
    <row r="69" spans="1:47" x14ac:dyDescent="0.25">
      <c r="A69" s="84">
        <f>A68+1</f>
        <v>8</v>
      </c>
      <c r="B69" s="84">
        <f t="shared" si="11"/>
        <v>4</v>
      </c>
      <c r="C69" s="88">
        <f t="shared" ref="C69" si="24">B70</f>
        <v>4.8499999999999996</v>
      </c>
      <c r="D69" s="82">
        <f>VLOOKUP(C69,STN_TABLE,2,FALSE)</f>
        <v>6.82</v>
      </c>
      <c r="E69" s="92">
        <v>1</v>
      </c>
      <c r="F69" s="82">
        <f>D69*E69</f>
        <v>6.82</v>
      </c>
      <c r="G69" s="83">
        <f>C69</f>
        <v>4.8499999999999996</v>
      </c>
      <c r="H69" s="83">
        <f>F69*G69</f>
        <v>33.076999999999998</v>
      </c>
      <c r="I69" s="84" t="str">
        <f>CONCATENATE("a'(",C69,")=")</f>
        <v>a'(4.85)=</v>
      </c>
      <c r="J69" s="84" t="e">
        <f>2*J67/3*F70</f>
        <v>#N/A</v>
      </c>
      <c r="K69" s="84" t="str">
        <f>CONCATENATE("A(",C67,")=")</f>
        <v>A(#NA)=</v>
      </c>
      <c r="L69" s="84" t="e">
        <f>VLOOKUP(C67,STN_TABLE,3,FALSE)</f>
        <v>#N/A</v>
      </c>
      <c r="M69" t="str">
        <f>CONCATENATE("A(",C69,")=")</f>
        <v>A(4.85)=</v>
      </c>
      <c r="N69" t="e">
        <f>J69+L69</f>
        <v>#N/A</v>
      </c>
      <c r="O69" s="99">
        <f>O68+1</f>
        <v>10</v>
      </c>
      <c r="P69" s="99">
        <f t="shared" si="23"/>
        <v>5</v>
      </c>
      <c r="Q69" s="82" t="str">
        <f>IF(P69-P68=P68-P67,P69,IF(P70-P68=P68-P67,P70,IF(P69-P68=P68-P66,P69,IF(P70-P68=P68-P66,P70,"-"))))</f>
        <v>-</v>
      </c>
      <c r="R69" s="83" t="e">
        <f>VLOOKUP(Q69,STN_TABLE,2,FALSE)</f>
        <v>#N/A</v>
      </c>
      <c r="S69" s="83">
        <v>-1</v>
      </c>
      <c r="T69" s="82" t="e">
        <f>R69*S69</f>
        <v>#N/A</v>
      </c>
      <c r="U69" s="88">
        <v>-1</v>
      </c>
      <c r="V69" s="82" t="e">
        <f>R69*U69</f>
        <v>#N/A</v>
      </c>
      <c r="W69" s="84" t="str">
        <f>CONCATENATE("a'(",Q68,")=")</f>
        <v>a'(4.85)=</v>
      </c>
      <c r="X69" s="84" t="e">
        <f>2*X67/12*T70</f>
        <v>#VALUE!</v>
      </c>
      <c r="Y69" s="84" t="str">
        <f>CONCATENATE("A(",Q67,")=")</f>
        <v>A(-)=</v>
      </c>
      <c r="Z69" s="84" t="e">
        <f>VLOOKUP(Q67,STN_TABLE,3,FALSE)</f>
        <v>#N/A</v>
      </c>
      <c r="AA69" t="str">
        <f>CONCATENATE("A(",Q68,")=")</f>
        <v>A(4.85)=</v>
      </c>
      <c r="AB69" t="e">
        <f>X69+Z69</f>
        <v>#VALUE!</v>
      </c>
      <c r="AC69" s="99">
        <f>AC68+1</f>
        <v>9</v>
      </c>
      <c r="AD69" s="100">
        <f>VLOOKUP(AC69,STN_TABLE_2,2,FALSE)</f>
        <v>4.8499999999999996</v>
      </c>
      <c r="AE69" s="82">
        <f>VLOOKUP(AD69,STN_TABLE,2,FALSE)</f>
        <v>6.82</v>
      </c>
      <c r="AF69" s="82">
        <v>2</v>
      </c>
      <c r="AG69" s="83">
        <f>AE69*AF69</f>
        <v>13.64</v>
      </c>
      <c r="AH69" s="84" t="str">
        <f>CONCATENATE("a'(",AD69,")=")</f>
        <v>a'(4.85)=</v>
      </c>
      <c r="AI69" s="84">
        <f>2*AI67/2*AE70</f>
        <v>22.456999999999994</v>
      </c>
      <c r="AJ69" s="84" t="str">
        <f>CONCATENATE("A(",AD68,")=")</f>
        <v>A(4)=</v>
      </c>
      <c r="AK69" s="84">
        <f>VLOOKUP(AD68,STN_TABLE,3,FALSE)</f>
        <v>85.31</v>
      </c>
      <c r="AL69" t="str">
        <f>CONCATENATE("A(",AD69,")=")</f>
        <v>A(4.85)=</v>
      </c>
      <c r="AM69">
        <f>AI69+AK69</f>
        <v>107.767</v>
      </c>
      <c r="AO69" s="68" t="str">
        <f>AA69</f>
        <v>A(4.85)=</v>
      </c>
      <c r="AP69" s="68" t="e">
        <f>VLOOKUP(AO69,Rise_Results,2,FALSE)</f>
        <v>#N/A</v>
      </c>
      <c r="AQ69" s="76" t="e">
        <f>N69</f>
        <v>#N/A</v>
      </c>
      <c r="AR69" s="76" t="e">
        <f>IF(OR(AB69&lt;=0,AB70&lt;=0),1/0,AB69)</f>
        <v>#VALUE!</v>
      </c>
      <c r="AS69" s="76">
        <f>AM69</f>
        <v>107.767</v>
      </c>
      <c r="AT69">
        <f>IFERROR(AP69,IFERROR(AQ69,IFERROR(AR69,AS69)))</f>
        <v>107.767</v>
      </c>
      <c r="AU69" s="81"/>
    </row>
    <row r="70" spans="1:47" x14ac:dyDescent="0.25">
      <c r="A70" s="84">
        <f>A69+1</f>
        <v>9</v>
      </c>
      <c r="B70" s="84">
        <f t="shared" si="11"/>
        <v>4.8499999999999996</v>
      </c>
      <c r="F70" s="82" t="e">
        <f>SUM(F67:F69)</f>
        <v>#N/A</v>
      </c>
      <c r="H70" s="82" t="e">
        <f>SUM(H67:H69)</f>
        <v>#N/A</v>
      </c>
      <c r="I70" s="84" t="str">
        <f>CONCATENATE("m'(",C69,")=")</f>
        <v>m'(4.85)=</v>
      </c>
      <c r="J70" s="84" t="e">
        <f>2*(J67*(WLS))/3*H70</f>
        <v>#N/A</v>
      </c>
      <c r="K70" s="84" t="str">
        <f>CONCATENATE("M(",C67,")=")</f>
        <v>M(#NA)=</v>
      </c>
      <c r="L70" s="84" t="e">
        <f>VLOOKUP(C67,STN_TABLE,4,FALSE)</f>
        <v>#N/A</v>
      </c>
      <c r="M70" t="str">
        <f>CONCATENATE("M(",C69,")=")</f>
        <v>M(4.85)=</v>
      </c>
      <c r="N70" t="e">
        <f>J70+L70</f>
        <v>#N/A</v>
      </c>
      <c r="O70" s="99">
        <f>O69+1</f>
        <v>11</v>
      </c>
      <c r="P70" s="99">
        <f t="shared" si="23"/>
        <v>6</v>
      </c>
      <c r="T70" s="89" t="e">
        <f>SUM(T67:T69)</f>
        <v>#N/A</v>
      </c>
      <c r="V70" s="82" t="e">
        <f>SUM(V67:V69)</f>
        <v>#N/A</v>
      </c>
      <c r="W70" s="84" t="str">
        <f>CONCATENATE("m'(",Q68,")=")</f>
        <v>m'(4.85)=</v>
      </c>
      <c r="X70" s="84" t="e">
        <f>(2*(X67^2)/24*V70)+(X69*Q67*WLS)</f>
        <v>#VALUE!</v>
      </c>
      <c r="Y70" s="84" t="str">
        <f>CONCATENATE("M(",Q67,")=")</f>
        <v>M(-)=</v>
      </c>
      <c r="Z70" s="84" t="e">
        <f>VLOOKUP(Q67,STN_TABLE,4,FALSE)</f>
        <v>#N/A</v>
      </c>
      <c r="AA70" t="str">
        <f>CONCATENATE("M(",Q68,")=")</f>
        <v>M(4.85)=</v>
      </c>
      <c r="AB70" t="e">
        <f>X70+Z70</f>
        <v>#VALUE!</v>
      </c>
      <c r="AE70" s="89">
        <f>SUM(AE68:AE69)</f>
        <v>13.21</v>
      </c>
      <c r="AG70" s="89">
        <f>SUM(AG68:AG69)</f>
        <v>20.03</v>
      </c>
      <c r="AH70" s="84" t="str">
        <f>CONCATENATE("m'(",AD69,")=")</f>
        <v>m'(4.85)=</v>
      </c>
      <c r="AI70" s="84">
        <f>(2*(AI67^2)/6*AG70)+(AI69*AD68*WLS)</f>
        <v>198.95156666666659</v>
      </c>
      <c r="AJ70" s="84" t="str">
        <f>CONCATENATE("M(",AD68,")=")</f>
        <v>M(4)=</v>
      </c>
      <c r="AK70" s="84">
        <f>VLOOKUP(AD68,STN_TABLE,4,FALSE)</f>
        <v>373.28</v>
      </c>
      <c r="AL70" t="str">
        <f>CONCATENATE("M(",AD69,")=")</f>
        <v>M(4.85)=</v>
      </c>
      <c r="AM70">
        <f>AI70+AK70</f>
        <v>572.23156666666659</v>
      </c>
      <c r="AO70" s="82" t="str">
        <f>AA70</f>
        <v>M(4.85)=</v>
      </c>
      <c r="AP70" s="82" t="e">
        <f>VLOOKUP(AO70,Rise_Results,2,FALSE)</f>
        <v>#N/A</v>
      </c>
      <c r="AQ70" s="82" t="e">
        <f>N70</f>
        <v>#N/A</v>
      </c>
      <c r="AR70" s="82" t="e">
        <f>IF(OR(AB69&lt;=0,AB70&lt;=0),1/0,AB70)</f>
        <v>#VALUE!</v>
      </c>
      <c r="AS70" s="82">
        <f>AM70</f>
        <v>572.23156666666659</v>
      </c>
      <c r="AT70">
        <f>IFERROR(AP70,IFERROR(AQ70,IFERROR(AR70,AS70)))</f>
        <v>572.23156666666659</v>
      </c>
      <c r="AU70" s="81"/>
    </row>
    <row r="71" spans="1:47" x14ac:dyDescent="0.25">
      <c r="A71" s="101">
        <f>A66+1</f>
        <v>6</v>
      </c>
      <c r="B71" s="101">
        <f t="shared" si="11"/>
        <v>2</v>
      </c>
      <c r="O71" s="101">
        <f>O66+1</f>
        <v>8</v>
      </c>
      <c r="P71" s="101">
        <f t="shared" si="23"/>
        <v>4</v>
      </c>
      <c r="AU71" s="81"/>
    </row>
    <row r="72" spans="1:47" x14ac:dyDescent="0.25">
      <c r="A72" s="84">
        <f>A71+1</f>
        <v>7</v>
      </c>
      <c r="B72" s="84">
        <f t="shared" si="11"/>
        <v>3</v>
      </c>
      <c r="C72" s="79">
        <f t="shared" ref="C72" si="25">IF(C73=B74,IF(C74-C73=C73-B73,B73,IF(C74-C73=C73-B72,B72,"#NA")),IF(C73=B73,IF(C74-C73=C73-B72,B72,IF(C74-C73=C73-B71,B71,"#NA")),"#NA"))</f>
        <v>3</v>
      </c>
      <c r="D72" s="68">
        <f>VLOOKUP(C72,STN_TABLE,2,FALSE)</f>
        <v>6.05</v>
      </c>
      <c r="E72" s="102">
        <v>1</v>
      </c>
      <c r="F72" s="68">
        <f>D72*E72</f>
        <v>6.05</v>
      </c>
      <c r="G72" s="69">
        <f>C72</f>
        <v>3</v>
      </c>
      <c r="H72" s="69">
        <f>F72*G72</f>
        <v>18.149999999999999</v>
      </c>
      <c r="I72" s="6" t="s">
        <v>93</v>
      </c>
      <c r="J72" s="70">
        <f>IF(OR(D72=0,D73=0,D74=0),"#NA",IF(AND(C74-C73=C73-C72,C73&lt;&gt;C74,C72&lt;&gt;C73,C72&lt;&gt;C74,D74&lt;&gt;0,OR(D72&lt;&gt;0,D73&lt;&gt;0)),WLS*(C74-C73),"#NA"))</f>
        <v>2</v>
      </c>
      <c r="O72" s="99">
        <f>O71+1</f>
        <v>9</v>
      </c>
      <c r="P72" s="99">
        <f t="shared" si="23"/>
        <v>4.8499999999999996</v>
      </c>
      <c r="Q72" s="68">
        <f>IF(OR(P74-P73=P73-P72,P75-P73=P73-P72),P72,IF(OR(P74-P73=P73-P71,P75-P73=P73-P71),P71,"-"))</f>
        <v>4</v>
      </c>
      <c r="R72" s="69">
        <f>VLOOKUP(Q72,STN_TABLE,2,FALSE)</f>
        <v>6.39</v>
      </c>
      <c r="S72" s="69">
        <v>5</v>
      </c>
      <c r="T72" s="68">
        <f>R72*S72</f>
        <v>31.95</v>
      </c>
      <c r="U72" s="79">
        <v>3</v>
      </c>
      <c r="V72" s="68">
        <f>R72*U72</f>
        <v>19.169999999999998</v>
      </c>
      <c r="W72" s="6" t="s">
        <v>93</v>
      </c>
      <c r="X72" s="70">
        <f>IF(AND(Q74-Q73=Q73-Q72,NOT(AND(Q72=0,Q73=0)),NOT(AND(Q73=0,Q74=0))),WLS*(Q74-Q73),"#NA")</f>
        <v>2</v>
      </c>
      <c r="AD72" s="93"/>
      <c r="AH72" s="6" t="s">
        <v>93</v>
      </c>
      <c r="AI72" s="70">
        <f>WLS*(AD74-AD73)</f>
        <v>0.30000000000000071</v>
      </c>
      <c r="AU72" s="81"/>
    </row>
    <row r="73" spans="1:47" x14ac:dyDescent="0.25">
      <c r="A73" s="84">
        <f>A72+1</f>
        <v>8</v>
      </c>
      <c r="B73" s="84">
        <f t="shared" si="11"/>
        <v>4</v>
      </c>
      <c r="C73" s="80">
        <f t="shared" ref="C73" si="26">IF(OR(B75-B74=B74-B73,B75-B74=B74-B72,B75-B74=B74-B71),B74,IF(OR(B75-B73=B73-B72,B75-B73=B73-B71),B73,IF(B75-B72=B72-B71,B72,"#NA")))</f>
        <v>4</v>
      </c>
      <c r="D73" s="76">
        <f>VLOOKUP(C73,STN_TABLE,2,FALSE)</f>
        <v>6.39</v>
      </c>
      <c r="E73" s="81">
        <v>4</v>
      </c>
      <c r="F73" s="76">
        <f>D73*E73</f>
        <v>25.56</v>
      </c>
      <c r="G73" s="77">
        <f>C73</f>
        <v>4</v>
      </c>
      <c r="H73" s="77">
        <f>F73*G73</f>
        <v>102.24</v>
      </c>
      <c r="I73" s="495" t="s">
        <v>97</v>
      </c>
      <c r="J73" s="496"/>
      <c r="K73" s="78" t="s">
        <v>98</v>
      </c>
      <c r="L73" s="78"/>
      <c r="M73" s="7" t="s">
        <v>99</v>
      </c>
      <c r="N73" s="7"/>
      <c r="O73" s="99">
        <f>O72+1</f>
        <v>10</v>
      </c>
      <c r="P73" s="99">
        <f t="shared" si="23"/>
        <v>5</v>
      </c>
      <c r="Q73" s="76">
        <f>P73</f>
        <v>5</v>
      </c>
      <c r="R73" s="77">
        <f>VLOOKUP(Q73,STN_TABLE,2,FALSE)</f>
        <v>6.91</v>
      </c>
      <c r="S73" s="77">
        <v>8</v>
      </c>
      <c r="T73" s="76">
        <f>R73*S73</f>
        <v>55.28</v>
      </c>
      <c r="U73" s="80">
        <v>10</v>
      </c>
      <c r="V73" s="76">
        <f>R73*U73</f>
        <v>69.099999999999994</v>
      </c>
      <c r="W73" s="496" t="s">
        <v>97</v>
      </c>
      <c r="X73" s="496"/>
      <c r="Y73" s="496" t="s">
        <v>98</v>
      </c>
      <c r="Z73" s="496"/>
      <c r="AA73" s="494" t="s">
        <v>99</v>
      </c>
      <c r="AB73" s="494"/>
      <c r="AC73" s="99">
        <f>AC68+1</f>
        <v>9</v>
      </c>
      <c r="AD73" s="95">
        <f>VLOOKUP(AC73,STN_TABLE_2,2,FALSE)</f>
        <v>4.8499999999999996</v>
      </c>
      <c r="AE73" s="68">
        <f>VLOOKUP(AD73,STN_TABLE,2,FALSE)</f>
        <v>6.82</v>
      </c>
      <c r="AF73" s="68">
        <v>1</v>
      </c>
      <c r="AG73" s="69">
        <f>AE73*AF73</f>
        <v>6.82</v>
      </c>
      <c r="AH73" s="496" t="s">
        <v>97</v>
      </c>
      <c r="AI73" s="496"/>
      <c r="AJ73" s="496" t="s">
        <v>98</v>
      </c>
      <c r="AK73" s="496"/>
      <c r="AL73" s="494" t="s">
        <v>99</v>
      </c>
      <c r="AM73" s="494"/>
      <c r="AP73" s="86" t="s">
        <v>112</v>
      </c>
      <c r="AQ73" s="89" t="s">
        <v>113</v>
      </c>
      <c r="AR73" s="89" t="s">
        <v>114</v>
      </c>
      <c r="AS73" s="89" t="s">
        <v>115</v>
      </c>
      <c r="AU73" s="81"/>
    </row>
    <row r="74" spans="1:47" x14ac:dyDescent="0.25">
      <c r="A74" s="84">
        <f>A73+1</f>
        <v>9</v>
      </c>
      <c r="B74" s="84">
        <f t="shared" ref="B74:B105" si="27">VLOOKUP(A74,STN_TABLE_2,2,FALSE)</f>
        <v>4.8499999999999996</v>
      </c>
      <c r="C74" s="88">
        <f t="shared" ref="C74" si="28">B75</f>
        <v>5</v>
      </c>
      <c r="D74" s="82">
        <f>VLOOKUP(C74,STN_TABLE,2,FALSE)</f>
        <v>6.91</v>
      </c>
      <c r="E74" s="92">
        <v>1</v>
      </c>
      <c r="F74" s="82">
        <f>D74*E74</f>
        <v>6.91</v>
      </c>
      <c r="G74" s="83">
        <f>C74</f>
        <v>5</v>
      </c>
      <c r="H74" s="83">
        <f>F74*G74</f>
        <v>34.549999999999997</v>
      </c>
      <c r="I74" s="84" t="str">
        <f>CONCATENATE("a'(",C74,")=")</f>
        <v>a'(5)=</v>
      </c>
      <c r="J74" s="84">
        <f>2*J72/3*F75</f>
        <v>51.359999999999992</v>
      </c>
      <c r="K74" s="84" t="str">
        <f>CONCATENATE("A(",C72,")=")</f>
        <v>A(3)=</v>
      </c>
      <c r="L74" s="84">
        <f>VLOOKUP(C72,STN_TABLE,3,FALSE)</f>
        <v>60.476666666666659</v>
      </c>
      <c r="M74" t="str">
        <f>CONCATENATE("A(",C74,")=")</f>
        <v>A(5)=</v>
      </c>
      <c r="N74">
        <f>J74+L74</f>
        <v>111.83666666666664</v>
      </c>
      <c r="O74" s="99">
        <f>O73+1</f>
        <v>11</v>
      </c>
      <c r="P74" s="99">
        <f t="shared" si="23"/>
        <v>6</v>
      </c>
      <c r="Q74" s="82">
        <f>IF(P74-P73=P73-P72,P74,IF(P75-P73=P73-P72,P75,IF(P74-P73=P73-P71,P74,IF(P75-P73=P73-P71,P75,"-"))))</f>
        <v>6</v>
      </c>
      <c r="R74" s="83">
        <f>VLOOKUP(Q74,STN_TABLE,2,FALSE)</f>
        <v>7.5</v>
      </c>
      <c r="S74" s="83">
        <v>-1</v>
      </c>
      <c r="T74" s="82">
        <f>R74*S74</f>
        <v>-7.5</v>
      </c>
      <c r="U74" s="88">
        <v>-1</v>
      </c>
      <c r="V74" s="82">
        <f>R74*U74</f>
        <v>-7.5</v>
      </c>
      <c r="W74" s="84" t="str">
        <f>CONCATENATE("a'(",Q73,")=")</f>
        <v>a'(5)=</v>
      </c>
      <c r="X74" s="84">
        <f>2*X72/12*T75</f>
        <v>26.576666666666668</v>
      </c>
      <c r="Y74" s="84" t="str">
        <f>CONCATENATE("A(",Q72,")=")</f>
        <v>A(4)=</v>
      </c>
      <c r="Z74" s="84">
        <f>VLOOKUP(Q72,STN_TABLE,3,FALSE)</f>
        <v>85.31</v>
      </c>
      <c r="AA74" t="str">
        <f>CONCATENATE("A(",Q73,")=")</f>
        <v>A(5)=</v>
      </c>
      <c r="AB74">
        <f>X74+Z74</f>
        <v>111.88666666666667</v>
      </c>
      <c r="AC74" s="99">
        <f>AC73+1</f>
        <v>10</v>
      </c>
      <c r="AD74" s="100">
        <f>VLOOKUP(AC74,STN_TABLE_2,2,FALSE)</f>
        <v>5</v>
      </c>
      <c r="AE74" s="82">
        <f>VLOOKUP(AD74,STN_TABLE,2,FALSE)</f>
        <v>6.91</v>
      </c>
      <c r="AF74" s="82">
        <v>2</v>
      </c>
      <c r="AG74" s="83">
        <f>AE74*AF74</f>
        <v>13.82</v>
      </c>
      <c r="AH74" s="84" t="str">
        <f>CONCATENATE("a'(",AD74,")=")</f>
        <v>a'(5)=</v>
      </c>
      <c r="AI74" s="84">
        <f>2*AI72/2*AE75</f>
        <v>4.1190000000000095</v>
      </c>
      <c r="AJ74" s="84" t="str">
        <f>CONCATENATE("A(",AD73,")=")</f>
        <v>A(4.85)=</v>
      </c>
      <c r="AK74" s="84">
        <f>VLOOKUP(AD73,STN_TABLE,3,FALSE)</f>
        <v>107.767</v>
      </c>
      <c r="AL74" t="str">
        <f>CONCATENATE("A(",AD74,")=")</f>
        <v>A(5)=</v>
      </c>
      <c r="AM74">
        <f>AI74+AK74</f>
        <v>111.88600000000001</v>
      </c>
      <c r="AO74" s="68" t="str">
        <f>AA74</f>
        <v>A(5)=</v>
      </c>
      <c r="AP74" s="68" t="e">
        <f>VLOOKUP(AO74,Rise_Results,2,FALSE)</f>
        <v>#N/A</v>
      </c>
      <c r="AQ74" s="76">
        <f>N74</f>
        <v>111.83666666666664</v>
      </c>
      <c r="AR74" s="76">
        <f>IF(OR(AB74&lt;=0,AB75&lt;=0),1/0,AB74)</f>
        <v>111.88666666666667</v>
      </c>
      <c r="AS74" s="76">
        <f>AM74</f>
        <v>111.88600000000001</v>
      </c>
      <c r="AT74">
        <f>IFERROR(AP74,IFERROR(AQ74,IFERROR(AR74,AS74)))</f>
        <v>111.83666666666664</v>
      </c>
      <c r="AU74" s="81"/>
    </row>
    <row r="75" spans="1:47" x14ac:dyDescent="0.25">
      <c r="A75" s="84">
        <f>A74+1</f>
        <v>10</v>
      </c>
      <c r="B75" s="84">
        <f t="shared" si="27"/>
        <v>5</v>
      </c>
      <c r="F75" s="82">
        <f>SUM(F72:F74)</f>
        <v>38.519999999999996</v>
      </c>
      <c r="H75" s="82">
        <f>SUM(H72:H74)</f>
        <v>154.94</v>
      </c>
      <c r="I75" s="84" t="str">
        <f>CONCATENATE("m'(",C74,")=")</f>
        <v>m'(5)=</v>
      </c>
      <c r="J75" s="84">
        <f>2*(J72*(WLS))/3*H75</f>
        <v>413.17333333333329</v>
      </c>
      <c r="K75" s="84" t="str">
        <f>CONCATENATE("M(",C72,")=")</f>
        <v>M(3)=</v>
      </c>
      <c r="L75" s="84">
        <f>VLOOKUP(C72,STN_TABLE,4,FALSE)</f>
        <v>199.0733333333333</v>
      </c>
      <c r="M75" t="str">
        <f>CONCATENATE("M(",C74,")=")</f>
        <v>M(5)=</v>
      </c>
      <c r="N75">
        <f>J75+L75</f>
        <v>612.24666666666656</v>
      </c>
      <c r="O75" s="99">
        <f>O74+1</f>
        <v>12</v>
      </c>
      <c r="P75" s="99">
        <f t="shared" si="23"/>
        <v>6.5</v>
      </c>
      <c r="T75" s="89">
        <f>SUM(T72:T74)</f>
        <v>79.73</v>
      </c>
      <c r="V75" s="82">
        <f>SUM(V72:V74)</f>
        <v>80.77</v>
      </c>
      <c r="W75" s="84" t="str">
        <f>CONCATENATE("m'(",Q73,")=")</f>
        <v>m'(5)=</v>
      </c>
      <c r="X75" s="84">
        <f>(2*(X72^2)/24*V75)+(X74*Q72*WLS)</f>
        <v>239.53666666666669</v>
      </c>
      <c r="Y75" s="84" t="str">
        <f>CONCATENATE("M(",Q72,")=")</f>
        <v>M(4)=</v>
      </c>
      <c r="Z75" s="84">
        <f>VLOOKUP(Q72,STN_TABLE,4,FALSE)</f>
        <v>373.28</v>
      </c>
      <c r="AA75" t="str">
        <f>CONCATENATE("M(",Q73,")=")</f>
        <v>M(5)=</v>
      </c>
      <c r="AB75">
        <f>X75+Z75</f>
        <v>612.81666666666661</v>
      </c>
      <c r="AE75" s="89">
        <f>SUM(AE73:AE74)</f>
        <v>13.73</v>
      </c>
      <c r="AG75" s="89">
        <f>SUM(AG73:AG74)</f>
        <v>20.64</v>
      </c>
      <c r="AH75" s="84" t="str">
        <f>CONCATENATE("m'(",AD74,")=")</f>
        <v>m'(5)=</v>
      </c>
      <c r="AI75" s="84">
        <f>(2*(AI72^2)/6*AG75)+(AI74*AD73*WLS)</f>
        <v>40.573500000000095</v>
      </c>
      <c r="AJ75" s="84" t="str">
        <f>CONCATENATE("M(",AD73,")=")</f>
        <v>M(4.85)=</v>
      </c>
      <c r="AK75" s="84">
        <f>VLOOKUP(AD73,STN_TABLE,4,FALSE)</f>
        <v>572.23156666666659</v>
      </c>
      <c r="AL75" t="str">
        <f>CONCATENATE("M(",AD74,")=")</f>
        <v>M(5)=</v>
      </c>
      <c r="AM75">
        <f>AI75+AK75</f>
        <v>612.80506666666668</v>
      </c>
      <c r="AO75" s="82" t="str">
        <f>AA75</f>
        <v>M(5)=</v>
      </c>
      <c r="AP75" s="82" t="e">
        <f>VLOOKUP(AO75,Rise_Results,2,FALSE)</f>
        <v>#N/A</v>
      </c>
      <c r="AQ75" s="82">
        <f>N75</f>
        <v>612.24666666666656</v>
      </c>
      <c r="AR75" s="82">
        <f>IF(OR(AB74&lt;=0,AB75&lt;=0),1/0,AB75)</f>
        <v>612.81666666666661</v>
      </c>
      <c r="AS75" s="82">
        <f>AM75</f>
        <v>612.80506666666668</v>
      </c>
      <c r="AT75">
        <f>IFERROR(AP75,IFERROR(AQ75,IFERROR(AR75,AS75)))</f>
        <v>612.24666666666656</v>
      </c>
      <c r="AU75" s="81"/>
    </row>
    <row r="76" spans="1:47" x14ac:dyDescent="0.25">
      <c r="A76" s="101">
        <f>A71+1</f>
        <v>7</v>
      </c>
      <c r="B76" s="101">
        <f t="shared" si="27"/>
        <v>3</v>
      </c>
      <c r="O76" s="101">
        <f>O71+1</f>
        <v>9</v>
      </c>
      <c r="P76" s="101">
        <f t="shared" si="23"/>
        <v>4.8499999999999996</v>
      </c>
      <c r="AU76" s="81"/>
    </row>
    <row r="77" spans="1:47" x14ac:dyDescent="0.25">
      <c r="A77" s="84">
        <f>A76+1</f>
        <v>8</v>
      </c>
      <c r="B77" s="84">
        <f t="shared" si="27"/>
        <v>4</v>
      </c>
      <c r="C77" s="79">
        <f t="shared" ref="C77" si="29">IF(C78=B79,IF(C79-C78=C78-B78,B78,IF(C79-C78=C78-B77,B77,"#NA")),IF(C78=B78,IF(C79-C78=C78-B77,B77,IF(C79-C78=C78-B76,B76,"#NA")),"#NA"))</f>
        <v>4</v>
      </c>
      <c r="D77" s="68">
        <f>VLOOKUP(C77,STN_TABLE,2,FALSE)</f>
        <v>6.39</v>
      </c>
      <c r="E77" s="102">
        <v>1</v>
      </c>
      <c r="F77" s="68">
        <f>D77*E77</f>
        <v>6.39</v>
      </c>
      <c r="G77" s="69">
        <f>C77</f>
        <v>4</v>
      </c>
      <c r="H77" s="69">
        <f>F77*G77</f>
        <v>25.56</v>
      </c>
      <c r="I77" s="6" t="s">
        <v>93</v>
      </c>
      <c r="J77" s="70">
        <f>IF(OR(D77=0,D78=0,D79=0),"#NA",IF(AND(C79-C78=C78-C77,C78&lt;&gt;C79,C77&lt;&gt;C78,C77&lt;&gt;C79,D79&lt;&gt;0,OR(D77&lt;&gt;0,D78&lt;&gt;0)),WLS*(C79-C78),"#NA"))</f>
        <v>2</v>
      </c>
      <c r="O77" s="99">
        <f>O76+1</f>
        <v>10</v>
      </c>
      <c r="P77" s="99">
        <f t="shared" si="23"/>
        <v>5</v>
      </c>
      <c r="Q77" s="68" t="e">
        <f>IF(OR(P79-P78=P78-P77,P80-P78=P78-P77),P77,IF(OR(P79-P78=P78-P76,P80-P78=P78-P76),P76,"-"))</f>
        <v>#VALUE!</v>
      </c>
      <c r="R77" s="69" t="e">
        <f>VLOOKUP(Q77,STN_TABLE,2,FALSE)</f>
        <v>#VALUE!</v>
      </c>
      <c r="S77" s="69">
        <v>5</v>
      </c>
      <c r="T77" s="68" t="e">
        <f>R77*S77</f>
        <v>#VALUE!</v>
      </c>
      <c r="U77" s="79">
        <v>3</v>
      </c>
      <c r="V77" s="68" t="e">
        <f>R77*U77</f>
        <v>#VALUE!</v>
      </c>
      <c r="W77" s="6" t="s">
        <v>93</v>
      </c>
      <c r="X77" s="70" t="e">
        <f>IF(AND(Q79-Q78=Q78-Q77,NOT(AND(Q77=0,Q78=0)),NOT(AND(Q78=0,Q79=0))),WLS*(Q79-Q78),"#NA")</f>
        <v>#VALUE!</v>
      </c>
      <c r="AD77" s="93"/>
      <c r="AH77" s="6" t="s">
        <v>93</v>
      </c>
      <c r="AI77" s="70">
        <f>WLS*(AD79-AD78)</f>
        <v>2</v>
      </c>
      <c r="AU77" s="81"/>
    </row>
    <row r="78" spans="1:47" x14ac:dyDescent="0.25">
      <c r="A78" s="84">
        <f>A77+1</f>
        <v>9</v>
      </c>
      <c r="B78" s="84">
        <f t="shared" si="27"/>
        <v>4.8499999999999996</v>
      </c>
      <c r="C78" s="80">
        <f t="shared" ref="C78" si="30">IF(OR(B80-B79=B79-B78,B80-B79=B79-B77,B80-B79=B79-B76),B79,IF(OR(B80-B78=B78-B77,B80-B78=B78-B76),B78,IF(B80-B77=B77-B76,B77,"#NA")))</f>
        <v>5</v>
      </c>
      <c r="D78" s="76">
        <f>VLOOKUP(C78,STN_TABLE,2,FALSE)</f>
        <v>6.91</v>
      </c>
      <c r="E78" s="81">
        <v>4</v>
      </c>
      <c r="F78" s="76">
        <f>D78*E78</f>
        <v>27.64</v>
      </c>
      <c r="G78" s="77">
        <f>C78</f>
        <v>5</v>
      </c>
      <c r="H78" s="77">
        <f>F78*G78</f>
        <v>138.19999999999999</v>
      </c>
      <c r="I78" s="495" t="s">
        <v>97</v>
      </c>
      <c r="J78" s="496"/>
      <c r="K78" s="78" t="s">
        <v>98</v>
      </c>
      <c r="L78" s="78"/>
      <c r="M78" s="7" t="s">
        <v>99</v>
      </c>
      <c r="N78" s="7"/>
      <c r="O78" s="99">
        <f>O77+1</f>
        <v>11</v>
      </c>
      <c r="P78" s="99">
        <f t="shared" si="23"/>
        <v>6</v>
      </c>
      <c r="Q78" s="76">
        <f>P78</f>
        <v>6</v>
      </c>
      <c r="R78" s="77">
        <f>VLOOKUP(Q78,STN_TABLE,2,FALSE)</f>
        <v>7.5</v>
      </c>
      <c r="S78" s="77">
        <v>8</v>
      </c>
      <c r="T78" s="76">
        <f>R78*S78</f>
        <v>60</v>
      </c>
      <c r="U78" s="80">
        <v>10</v>
      </c>
      <c r="V78" s="76">
        <f>R78*U78</f>
        <v>75</v>
      </c>
      <c r="W78" s="496" t="s">
        <v>97</v>
      </c>
      <c r="X78" s="496"/>
      <c r="Y78" s="496" t="s">
        <v>98</v>
      </c>
      <c r="Z78" s="496"/>
      <c r="AA78" s="494" t="s">
        <v>99</v>
      </c>
      <c r="AB78" s="494"/>
      <c r="AC78" s="99">
        <f>AC73+1</f>
        <v>10</v>
      </c>
      <c r="AD78" s="95">
        <f>VLOOKUP(AC78,STN_TABLE_2,2,FALSE)</f>
        <v>5</v>
      </c>
      <c r="AE78" s="68">
        <f>VLOOKUP(AD78,STN_TABLE,2,FALSE)</f>
        <v>6.91</v>
      </c>
      <c r="AF78" s="68">
        <v>1</v>
      </c>
      <c r="AG78" s="69">
        <f>AE78*AF78</f>
        <v>6.91</v>
      </c>
      <c r="AH78" s="496" t="s">
        <v>97</v>
      </c>
      <c r="AI78" s="496"/>
      <c r="AJ78" s="496" t="s">
        <v>98</v>
      </c>
      <c r="AK78" s="496"/>
      <c r="AL78" s="494" t="s">
        <v>99</v>
      </c>
      <c r="AM78" s="494"/>
      <c r="AP78" s="86" t="s">
        <v>112</v>
      </c>
      <c r="AQ78" s="89" t="s">
        <v>113</v>
      </c>
      <c r="AR78" s="89" t="s">
        <v>114</v>
      </c>
      <c r="AS78" s="89" t="s">
        <v>115</v>
      </c>
      <c r="AU78" s="81"/>
    </row>
    <row r="79" spans="1:47" x14ac:dyDescent="0.25">
      <c r="A79" s="84">
        <f>A78+1</f>
        <v>10</v>
      </c>
      <c r="B79" s="84">
        <f t="shared" si="27"/>
        <v>5</v>
      </c>
      <c r="C79" s="88">
        <f t="shared" ref="C79" si="31">B80</f>
        <v>6</v>
      </c>
      <c r="D79" s="82">
        <f>VLOOKUP(C79,STN_TABLE,2,FALSE)</f>
        <v>7.5</v>
      </c>
      <c r="E79" s="92">
        <v>1</v>
      </c>
      <c r="F79" s="82">
        <f>D79*E79</f>
        <v>7.5</v>
      </c>
      <c r="G79" s="83">
        <f>C79</f>
        <v>6</v>
      </c>
      <c r="H79" s="83">
        <f>F79*G79</f>
        <v>45</v>
      </c>
      <c r="I79" s="84" t="str">
        <f>CONCATENATE("a'(",C79,")=")</f>
        <v>a'(6)=</v>
      </c>
      <c r="J79" s="84">
        <f>2*J77/3*F80</f>
        <v>55.373333333333335</v>
      </c>
      <c r="K79" s="84" t="str">
        <f>CONCATENATE("A(",C77,")=")</f>
        <v>A(4)=</v>
      </c>
      <c r="L79" s="84">
        <f>VLOOKUP(C77,STN_TABLE,3,FALSE)</f>
        <v>85.31</v>
      </c>
      <c r="M79" t="str">
        <f>CONCATENATE("A(",C79,")=")</f>
        <v>A(6)=</v>
      </c>
      <c r="N79">
        <f>J79+L79</f>
        <v>140.68333333333334</v>
      </c>
      <c r="O79" s="99">
        <f>O78+1</f>
        <v>12</v>
      </c>
      <c r="P79" s="99">
        <f t="shared" si="23"/>
        <v>6.5</v>
      </c>
      <c r="Q79" s="82" t="e">
        <f>IF(P79-P78=P78-P77,P79,IF(P80-P78=P78-P77,P80,IF(P79-P78=P78-P76,P79,IF(P80-P78=P78-P76,P80,"-"))))</f>
        <v>#VALUE!</v>
      </c>
      <c r="R79" s="83" t="e">
        <f>VLOOKUP(Q79,STN_TABLE,2,FALSE)</f>
        <v>#VALUE!</v>
      </c>
      <c r="S79" s="83">
        <v>-1</v>
      </c>
      <c r="T79" s="82" t="e">
        <f>R79*S79</f>
        <v>#VALUE!</v>
      </c>
      <c r="U79" s="88">
        <v>-1</v>
      </c>
      <c r="V79" s="82" t="e">
        <f>R79*U79</f>
        <v>#VALUE!</v>
      </c>
      <c r="W79" s="84" t="str">
        <f>CONCATENATE("a'(",Q78,")=")</f>
        <v>a'(6)=</v>
      </c>
      <c r="X79" s="84" t="e">
        <f>2*X77/12*T80</f>
        <v>#VALUE!</v>
      </c>
      <c r="Y79" s="84" t="e">
        <f>CONCATENATE("A(",Q77,")=")</f>
        <v>#VALUE!</v>
      </c>
      <c r="Z79" s="84" t="e">
        <f>VLOOKUP(Q77,STN_TABLE,3,FALSE)</f>
        <v>#VALUE!</v>
      </c>
      <c r="AA79" t="str">
        <f>CONCATENATE("A(",Q78,")=")</f>
        <v>A(6)=</v>
      </c>
      <c r="AB79" t="e">
        <f>X79+Z79</f>
        <v>#VALUE!</v>
      </c>
      <c r="AC79" s="99">
        <f>AC78+1</f>
        <v>11</v>
      </c>
      <c r="AD79" s="100">
        <f>VLOOKUP(AC79,STN_TABLE_2,2,FALSE)</f>
        <v>6</v>
      </c>
      <c r="AE79" s="82">
        <f>VLOOKUP(AD79,STN_TABLE,2,FALSE)</f>
        <v>7.5</v>
      </c>
      <c r="AF79" s="82">
        <v>2</v>
      </c>
      <c r="AG79" s="83">
        <f>AE79*AF79</f>
        <v>15</v>
      </c>
      <c r="AH79" s="84" t="str">
        <f>CONCATENATE("a'(",AD79,")=")</f>
        <v>a'(6)=</v>
      </c>
      <c r="AI79" s="84">
        <f>2*AI77/2*AE80</f>
        <v>28.82</v>
      </c>
      <c r="AJ79" s="84" t="str">
        <f>CONCATENATE("A(",AD78,")=")</f>
        <v>A(5)=</v>
      </c>
      <c r="AK79" s="84">
        <f>VLOOKUP(AD78,STN_TABLE,3,FALSE)</f>
        <v>111.83666666666664</v>
      </c>
      <c r="AL79" t="str">
        <f>CONCATENATE("A(",AD79,")=")</f>
        <v>A(6)=</v>
      </c>
      <c r="AM79">
        <f>AI79+AK79</f>
        <v>140.65666666666664</v>
      </c>
      <c r="AO79" s="68" t="str">
        <f>AA79</f>
        <v>A(6)=</v>
      </c>
      <c r="AP79" s="68" t="e">
        <f>VLOOKUP(AO79,Rise_Results,2,FALSE)</f>
        <v>#N/A</v>
      </c>
      <c r="AQ79" s="76">
        <f>N79</f>
        <v>140.68333333333334</v>
      </c>
      <c r="AR79" s="76" t="e">
        <f>IF(OR(AB79&lt;=0,AB80&lt;=0),1/0,AB79)</f>
        <v>#VALUE!</v>
      </c>
      <c r="AS79" s="76">
        <f>AM79</f>
        <v>140.65666666666664</v>
      </c>
      <c r="AT79">
        <f>IFERROR(AP79,IFERROR(AQ79,IFERROR(AR79,AS79)))</f>
        <v>140.68333333333334</v>
      </c>
      <c r="AU79" s="81"/>
    </row>
    <row r="80" spans="1:47" x14ac:dyDescent="0.25">
      <c r="A80" s="84">
        <f>A79+1</f>
        <v>11</v>
      </c>
      <c r="B80" s="84">
        <f t="shared" si="27"/>
        <v>6</v>
      </c>
      <c r="F80" s="82">
        <f>SUM(F77:F79)</f>
        <v>41.53</v>
      </c>
      <c r="H80" s="82">
        <f>SUM(H77:H79)</f>
        <v>208.76</v>
      </c>
      <c r="I80" s="84" t="str">
        <f>CONCATENATE("m'(",C79,")=")</f>
        <v>m'(6)=</v>
      </c>
      <c r="J80" s="84">
        <f>2*(J77*(WLS))/3*H80</f>
        <v>556.69333333333327</v>
      </c>
      <c r="K80" s="84" t="str">
        <f>CONCATENATE("M(",C77,")=")</f>
        <v>M(4)=</v>
      </c>
      <c r="L80" s="84">
        <f>VLOOKUP(C77,STN_TABLE,4,FALSE)</f>
        <v>373.28</v>
      </c>
      <c r="M80" t="str">
        <f>CONCATENATE("M(",C79,")=")</f>
        <v>M(6)=</v>
      </c>
      <c r="N80">
        <f>J80+L80</f>
        <v>929.97333333333324</v>
      </c>
      <c r="O80" s="99">
        <f>O79+1</f>
        <v>13</v>
      </c>
      <c r="P80" s="99" t="str">
        <f t="shared" si="23"/>
        <v xml:space="preserve">  </v>
      </c>
      <c r="T80" s="89" t="e">
        <f>SUM(T77:T79)</f>
        <v>#VALUE!</v>
      </c>
      <c r="V80" s="82" t="e">
        <f>SUM(V77:V79)</f>
        <v>#VALUE!</v>
      </c>
      <c r="W80" s="84" t="str">
        <f>CONCATENATE("m'(",Q78,")=")</f>
        <v>m'(6)=</v>
      </c>
      <c r="X80" s="84" t="e">
        <f>(2*(X77^2)/24*V80)+(X79*Q77*WLS)</f>
        <v>#VALUE!</v>
      </c>
      <c r="Y80" s="84" t="e">
        <f>CONCATENATE("M(",Q77,")=")</f>
        <v>#VALUE!</v>
      </c>
      <c r="Z80" s="84" t="e">
        <f>VLOOKUP(Q77,STN_TABLE,4,FALSE)</f>
        <v>#VALUE!</v>
      </c>
      <c r="AA80" t="str">
        <f>CONCATENATE("M(",Q78,")=")</f>
        <v>M(6)=</v>
      </c>
      <c r="AB80" t="e">
        <f>X80+Z80</f>
        <v>#VALUE!</v>
      </c>
      <c r="AE80" s="89">
        <f>SUM(AE78:AE79)</f>
        <v>14.41</v>
      </c>
      <c r="AG80" s="89">
        <f>SUM(AG78:AG79)</f>
        <v>21.91</v>
      </c>
      <c r="AH80" s="84" t="str">
        <f>CONCATENATE("m'(",AD79,")=")</f>
        <v>m'(6)=</v>
      </c>
      <c r="AI80" s="84">
        <f>(2*(AI77^2)/6*AG80)+(AI79*AD78*WLS)</f>
        <v>317.4133333333333</v>
      </c>
      <c r="AJ80" s="84" t="str">
        <f>CONCATENATE("M(",AD78,")=")</f>
        <v>M(5)=</v>
      </c>
      <c r="AK80" s="84">
        <f>VLOOKUP(AD78,STN_TABLE,4,FALSE)</f>
        <v>612.24666666666656</v>
      </c>
      <c r="AL80" t="str">
        <f>CONCATENATE("M(",AD79,")=")</f>
        <v>M(6)=</v>
      </c>
      <c r="AM80">
        <f>AI80+AK80</f>
        <v>929.65999999999985</v>
      </c>
      <c r="AO80" s="82" t="str">
        <f>AA80</f>
        <v>M(6)=</v>
      </c>
      <c r="AP80" s="82" t="e">
        <f>VLOOKUP(AO80,Rise_Results,2,FALSE)</f>
        <v>#N/A</v>
      </c>
      <c r="AQ80" s="82">
        <f>N80</f>
        <v>929.97333333333324</v>
      </c>
      <c r="AR80" s="82" t="e">
        <f>IF(OR(AB79&lt;=0,AB80&lt;=0),1/0,AB80)</f>
        <v>#VALUE!</v>
      </c>
      <c r="AS80" s="82">
        <f>AM80</f>
        <v>929.65999999999985</v>
      </c>
      <c r="AT80">
        <f>IFERROR(AP80,IFERROR(AQ80,IFERROR(AR80,AS80)))</f>
        <v>929.97333333333324</v>
      </c>
      <c r="AU80" s="81"/>
    </row>
    <row r="81" spans="1:47" x14ac:dyDescent="0.25">
      <c r="A81" s="101">
        <f>A76+1</f>
        <v>8</v>
      </c>
      <c r="B81" s="101">
        <f t="shared" si="27"/>
        <v>4</v>
      </c>
      <c r="O81" s="101">
        <f>O76+1</f>
        <v>10</v>
      </c>
      <c r="P81" s="101">
        <f t="shared" si="23"/>
        <v>5</v>
      </c>
      <c r="AU81" s="81"/>
    </row>
    <row r="82" spans="1:47" x14ac:dyDescent="0.25">
      <c r="A82" s="84">
        <f>A81+1</f>
        <v>9</v>
      </c>
      <c r="B82" s="84">
        <f t="shared" si="27"/>
        <v>4.8499999999999996</v>
      </c>
      <c r="C82" s="79" t="str">
        <f t="shared" ref="C82" si="32">IF(C83=B84,IF(C84-C83=C83-B83,B83,IF(C84-C83=C83-B82,B82,"#NA")),IF(C83=B83,IF(C84-C83=C83-B82,B82,IF(C84-C83=C83-B81,B81,"#NA")),"#NA"))</f>
        <v>#NA</v>
      </c>
      <c r="D82" s="68" t="e">
        <f>VLOOKUP(C82,STN_TABLE,2,FALSE)</f>
        <v>#N/A</v>
      </c>
      <c r="E82" s="102">
        <v>1</v>
      </c>
      <c r="F82" s="68" t="e">
        <f>D82*E82</f>
        <v>#N/A</v>
      </c>
      <c r="G82" s="69" t="str">
        <f>C82</f>
        <v>#NA</v>
      </c>
      <c r="H82" s="69" t="e">
        <f>F82*G82</f>
        <v>#N/A</v>
      </c>
      <c r="I82" s="6" t="s">
        <v>93</v>
      </c>
      <c r="J82" s="70" t="e">
        <f>IF(OR(D82=0,D83=0,D84=0),"#NA",IF(AND(C84-C83=C83-C82,C83&lt;&gt;C84,C82&lt;&gt;C83,C82&lt;&gt;C84,D84&lt;&gt;0,OR(D82&lt;&gt;0,D83&lt;&gt;0)),WLS*(C84-C83),"#NA"))</f>
        <v>#N/A</v>
      </c>
      <c r="O82" s="99">
        <f>O81+1</f>
        <v>11</v>
      </c>
      <c r="P82" s="99">
        <f t="shared" si="23"/>
        <v>6</v>
      </c>
      <c r="Q82" s="68" t="e">
        <f>IF(OR(P84-P83=P83-P82,P85-P83=P83-P82),P82,IF(OR(P84-P83=P83-P81,P85-P83=P83-P81),P81,"-"))</f>
        <v>#VALUE!</v>
      </c>
      <c r="R82" s="69" t="e">
        <f>VLOOKUP(Q82,STN_TABLE,2,FALSE)</f>
        <v>#VALUE!</v>
      </c>
      <c r="S82" s="69">
        <v>5</v>
      </c>
      <c r="T82" s="68" t="e">
        <f>R82*S82</f>
        <v>#VALUE!</v>
      </c>
      <c r="U82" s="79">
        <v>3</v>
      </c>
      <c r="V82" s="68" t="e">
        <f>R82*U82</f>
        <v>#VALUE!</v>
      </c>
      <c r="W82" s="6" t="s">
        <v>93</v>
      </c>
      <c r="X82" s="70" t="e">
        <f>IF(AND(Q84-Q83=Q83-Q82,NOT(AND(Q82=0,Q83=0)),NOT(AND(Q83=0,Q84=0))),WLS*(Q84-Q83),"#NA")</f>
        <v>#VALUE!</v>
      </c>
      <c r="AD82" s="93"/>
      <c r="AH82" s="6" t="s">
        <v>93</v>
      </c>
      <c r="AI82" s="70">
        <f>WLS*(AD84-AD83)</f>
        <v>1</v>
      </c>
      <c r="AU82" s="81"/>
    </row>
    <row r="83" spans="1:47" x14ac:dyDescent="0.25">
      <c r="A83" s="84">
        <f>A82+1</f>
        <v>10</v>
      </c>
      <c r="B83" s="84">
        <f t="shared" si="27"/>
        <v>5</v>
      </c>
      <c r="C83" s="80" t="str">
        <f t="shared" ref="C83" si="33">IF(OR(B85-B84=B84-B83,B85-B84=B84-B82,B85-B84=B84-B81),B84,IF(OR(B85-B83=B83-B82,B85-B83=B83-B81),B83,IF(B85-B82=B82-B81,B82,"#NA")))</f>
        <v>#NA</v>
      </c>
      <c r="D83" s="76" t="e">
        <f>VLOOKUP(C83,STN_TABLE,2,FALSE)</f>
        <v>#N/A</v>
      </c>
      <c r="E83" s="81">
        <v>4</v>
      </c>
      <c r="F83" s="76" t="e">
        <f>D83*E83</f>
        <v>#N/A</v>
      </c>
      <c r="G83" s="77" t="str">
        <f>C83</f>
        <v>#NA</v>
      </c>
      <c r="H83" s="77" t="e">
        <f>F83*G83</f>
        <v>#N/A</v>
      </c>
      <c r="I83" s="495" t="s">
        <v>97</v>
      </c>
      <c r="J83" s="496"/>
      <c r="K83" s="78" t="s">
        <v>98</v>
      </c>
      <c r="L83" s="78"/>
      <c r="M83" s="7" t="s">
        <v>99</v>
      </c>
      <c r="N83" s="7"/>
      <c r="O83" s="99">
        <f>O82+1</f>
        <v>12</v>
      </c>
      <c r="P83" s="99">
        <f t="shared" si="23"/>
        <v>6.5</v>
      </c>
      <c r="Q83" s="76">
        <f>P83</f>
        <v>6.5</v>
      </c>
      <c r="R83" s="77">
        <f>VLOOKUP(Q83,STN_TABLE,2,FALSE)</f>
        <v>7.8</v>
      </c>
      <c r="S83" s="77">
        <v>8</v>
      </c>
      <c r="T83" s="76">
        <f>R83*S83</f>
        <v>62.4</v>
      </c>
      <c r="U83" s="80">
        <v>10</v>
      </c>
      <c r="V83" s="76">
        <f>R83*U83</f>
        <v>78</v>
      </c>
      <c r="W83" s="496" t="s">
        <v>97</v>
      </c>
      <c r="X83" s="496"/>
      <c r="Y83" s="496" t="s">
        <v>98</v>
      </c>
      <c r="Z83" s="496"/>
      <c r="AA83" s="494" t="s">
        <v>99</v>
      </c>
      <c r="AB83" s="494"/>
      <c r="AC83" s="99">
        <f>AC78+1</f>
        <v>11</v>
      </c>
      <c r="AD83" s="95">
        <f>VLOOKUP(AC83,STN_TABLE_2,2,FALSE)</f>
        <v>6</v>
      </c>
      <c r="AE83" s="68">
        <f>VLOOKUP(AD83,STN_TABLE,2,FALSE)</f>
        <v>7.5</v>
      </c>
      <c r="AF83" s="68">
        <v>1</v>
      </c>
      <c r="AG83" s="69">
        <f>AE83*AF83</f>
        <v>7.5</v>
      </c>
      <c r="AH83" s="496" t="s">
        <v>97</v>
      </c>
      <c r="AI83" s="496"/>
      <c r="AJ83" s="496" t="s">
        <v>98</v>
      </c>
      <c r="AK83" s="496"/>
      <c r="AL83" s="494" t="s">
        <v>99</v>
      </c>
      <c r="AM83" s="494"/>
      <c r="AP83" s="86" t="s">
        <v>112</v>
      </c>
      <c r="AQ83" s="89" t="s">
        <v>113</v>
      </c>
      <c r="AR83" s="89" t="s">
        <v>114</v>
      </c>
      <c r="AS83" s="89" t="s">
        <v>115</v>
      </c>
      <c r="AU83" s="81"/>
    </row>
    <row r="84" spans="1:47" x14ac:dyDescent="0.25">
      <c r="A84" s="84">
        <f>A83+1</f>
        <v>11</v>
      </c>
      <c r="B84" s="84">
        <f t="shared" si="27"/>
        <v>6</v>
      </c>
      <c r="C84" s="88">
        <f t="shared" ref="C84" si="34">B85</f>
        <v>6.5</v>
      </c>
      <c r="D84" s="82">
        <f>VLOOKUP(C84,STN_TABLE,2,FALSE)</f>
        <v>7.8</v>
      </c>
      <c r="E84" s="92">
        <v>1</v>
      </c>
      <c r="F84" s="82">
        <f>D84*E84</f>
        <v>7.8</v>
      </c>
      <c r="G84" s="83">
        <f>C84</f>
        <v>6.5</v>
      </c>
      <c r="H84" s="83">
        <f>F84*G84</f>
        <v>50.699999999999996</v>
      </c>
      <c r="I84" s="84" t="str">
        <f>CONCATENATE("a'(",C84,")=")</f>
        <v>a'(6.5)=</v>
      </c>
      <c r="J84" s="84" t="e">
        <f>2*J82/3*F85</f>
        <v>#N/A</v>
      </c>
      <c r="K84" s="84" t="str">
        <f>CONCATENATE("A(",C82,")=")</f>
        <v>A(#NA)=</v>
      </c>
      <c r="L84" s="84" t="e">
        <f>VLOOKUP(C82,STN_TABLE,3,FALSE)</f>
        <v>#N/A</v>
      </c>
      <c r="M84" t="str">
        <f>CONCATENATE("A(",C84,")=")</f>
        <v>A(6.5)=</v>
      </c>
      <c r="N84" t="e">
        <f>J84+L84</f>
        <v>#N/A</v>
      </c>
      <c r="O84" s="99">
        <f>O83+1</f>
        <v>13</v>
      </c>
      <c r="P84" s="99" t="str">
        <f t="shared" si="23"/>
        <v xml:space="preserve">  </v>
      </c>
      <c r="Q84" s="82" t="e">
        <f>IF(P84-P83=P83-P82,P84,IF(P85-P83=P83-P82,P85,IF(P84-P83=P83-P81,P84,IF(P85-P83=P83-P81,P85,"-"))))</f>
        <v>#VALUE!</v>
      </c>
      <c r="R84" s="83" t="e">
        <f>VLOOKUP(Q84,STN_TABLE,2,FALSE)</f>
        <v>#VALUE!</v>
      </c>
      <c r="S84" s="83">
        <v>-1</v>
      </c>
      <c r="T84" s="82" t="e">
        <f>R84*S84</f>
        <v>#VALUE!</v>
      </c>
      <c r="U84" s="88">
        <v>-1</v>
      </c>
      <c r="V84" s="82" t="e">
        <f>R84*U84</f>
        <v>#VALUE!</v>
      </c>
      <c r="W84" s="84" t="str">
        <f>CONCATENATE("a'(",Q83,")=")</f>
        <v>a'(6.5)=</v>
      </c>
      <c r="X84" s="84" t="e">
        <f>2*X82/12*T85</f>
        <v>#VALUE!</v>
      </c>
      <c r="Y84" s="84" t="e">
        <f>CONCATENATE("A(",Q82,")=")</f>
        <v>#VALUE!</v>
      </c>
      <c r="Z84" s="84" t="e">
        <f>VLOOKUP(Q82,STN_TABLE,3,FALSE)</f>
        <v>#VALUE!</v>
      </c>
      <c r="AA84" t="str">
        <f>CONCATENATE("A(",Q83,")=")</f>
        <v>A(6.5)=</v>
      </c>
      <c r="AB84" t="e">
        <f>X84+Z84</f>
        <v>#VALUE!</v>
      </c>
      <c r="AC84" s="99">
        <f>AC83+1</f>
        <v>12</v>
      </c>
      <c r="AD84" s="100">
        <f>VLOOKUP(AC84,STN_TABLE_2,2,FALSE)</f>
        <v>6.5</v>
      </c>
      <c r="AE84" s="82">
        <f>VLOOKUP(AD84,STN_TABLE,2,FALSE)</f>
        <v>7.8</v>
      </c>
      <c r="AF84" s="82">
        <v>2</v>
      </c>
      <c r="AG84" s="83">
        <f>AE84*AF84</f>
        <v>15.6</v>
      </c>
      <c r="AH84" s="84" t="str">
        <f>CONCATENATE("a'(",AD84,")=")</f>
        <v>a'(6.5)=</v>
      </c>
      <c r="AI84" s="84">
        <f>2*AI82/2*AE85</f>
        <v>15.3</v>
      </c>
      <c r="AJ84" s="84" t="str">
        <f>CONCATENATE("A(",AD83,")=")</f>
        <v>A(6)=</v>
      </c>
      <c r="AK84" s="84">
        <f>VLOOKUP(AD83,STN_TABLE,3,FALSE)</f>
        <v>140.68333333333334</v>
      </c>
      <c r="AL84" t="str">
        <f>CONCATENATE("A(",AD84,")=")</f>
        <v>A(6.5)=</v>
      </c>
      <c r="AM84">
        <f>AI84+AK84</f>
        <v>155.98333333333335</v>
      </c>
      <c r="AO84" s="68" t="str">
        <f>AA84</f>
        <v>A(6.5)=</v>
      </c>
      <c r="AP84" s="68" t="e">
        <f>VLOOKUP(AO84,Rise_Results,2,FALSE)</f>
        <v>#N/A</v>
      </c>
      <c r="AQ84" s="76" t="e">
        <f>N84</f>
        <v>#N/A</v>
      </c>
      <c r="AR84" s="76" t="e">
        <f>IF(OR(AB84&lt;=0,AB85&lt;=0),1/0,AB84)</f>
        <v>#VALUE!</v>
      </c>
      <c r="AS84" s="76">
        <f>AM84</f>
        <v>155.98333333333335</v>
      </c>
      <c r="AT84">
        <f>IFERROR(AP84,IFERROR(AQ84,IFERROR(AR84,AS84)))</f>
        <v>155.98333333333335</v>
      </c>
      <c r="AU84" s="81"/>
    </row>
    <row r="85" spans="1:47" x14ac:dyDescent="0.25">
      <c r="A85" s="84">
        <f>A84+1</f>
        <v>12</v>
      </c>
      <c r="B85" s="84">
        <f t="shared" si="27"/>
        <v>6.5</v>
      </c>
      <c r="F85" s="82" t="e">
        <f>SUM(F82:F84)</f>
        <v>#N/A</v>
      </c>
      <c r="H85" s="82" t="e">
        <f>SUM(H82:H84)</f>
        <v>#N/A</v>
      </c>
      <c r="I85" s="84" t="str">
        <f>CONCATENATE("m'(",C84,")=")</f>
        <v>m'(6.5)=</v>
      </c>
      <c r="J85" s="84" t="e">
        <f>2*(J82*(WLS))/3*H85</f>
        <v>#N/A</v>
      </c>
      <c r="K85" s="84" t="str">
        <f>CONCATENATE("M(",C82,")=")</f>
        <v>M(#NA)=</v>
      </c>
      <c r="L85" s="84" t="e">
        <f>VLOOKUP(C82,STN_TABLE,4,FALSE)</f>
        <v>#N/A</v>
      </c>
      <c r="M85" t="str">
        <f>CONCATENATE("M(",C84,")=")</f>
        <v>M(6.5)=</v>
      </c>
      <c r="N85" t="e">
        <f>J85+L85</f>
        <v>#N/A</v>
      </c>
      <c r="O85" s="99">
        <f>O84+1</f>
        <v>14</v>
      </c>
      <c r="P85" s="99" t="str">
        <f t="shared" si="23"/>
        <v xml:space="preserve">  </v>
      </c>
      <c r="T85" s="89" t="e">
        <f>SUM(T82:T84)</f>
        <v>#VALUE!</v>
      </c>
      <c r="V85" s="82" t="e">
        <f>SUM(V82:V84)</f>
        <v>#VALUE!</v>
      </c>
      <c r="W85" s="84" t="str">
        <f>CONCATENATE("m'(",Q83,")=")</f>
        <v>m'(6.5)=</v>
      </c>
      <c r="X85" s="84" t="e">
        <f>(2*(X82^2)/24*V85)+(X84*Q82*WLS)</f>
        <v>#VALUE!</v>
      </c>
      <c r="Y85" s="84" t="e">
        <f>CONCATENATE("M(",Q82,")=")</f>
        <v>#VALUE!</v>
      </c>
      <c r="Z85" s="84" t="e">
        <f>VLOOKUP(Q82,STN_TABLE,4,FALSE)</f>
        <v>#VALUE!</v>
      </c>
      <c r="AA85" t="str">
        <f>CONCATENATE("M(",Q83,")=")</f>
        <v>M(6.5)=</v>
      </c>
      <c r="AB85" t="e">
        <f>X85+Z85</f>
        <v>#VALUE!</v>
      </c>
      <c r="AE85" s="89">
        <f>SUM(AE83:AE84)</f>
        <v>15.3</v>
      </c>
      <c r="AG85" s="89">
        <f>SUM(AG83:AG84)</f>
        <v>23.1</v>
      </c>
      <c r="AH85" s="84" t="str">
        <f>CONCATENATE("m'(",AD84,")=")</f>
        <v>m'(6.5)=</v>
      </c>
      <c r="AI85" s="84">
        <f>(2*(AI82^2)/6*AG85)+(AI84*AD83*WLS)</f>
        <v>191.3</v>
      </c>
      <c r="AJ85" s="84" t="str">
        <f>CONCATENATE("M(",AD83,")=")</f>
        <v>M(6)=</v>
      </c>
      <c r="AK85" s="84">
        <f>VLOOKUP(AD83,STN_TABLE,4,FALSE)</f>
        <v>929.97333333333324</v>
      </c>
      <c r="AL85" t="str">
        <f>CONCATENATE("M(",AD84,")=")</f>
        <v>M(6.5)=</v>
      </c>
      <c r="AM85">
        <f>AI85+AK85</f>
        <v>1121.2733333333333</v>
      </c>
      <c r="AO85" s="82" t="str">
        <f>AA85</f>
        <v>M(6.5)=</v>
      </c>
      <c r="AP85" s="82" t="e">
        <f>VLOOKUP(AO85,Rise_Results,2,FALSE)</f>
        <v>#N/A</v>
      </c>
      <c r="AQ85" s="82" t="e">
        <f>N85</f>
        <v>#N/A</v>
      </c>
      <c r="AR85" s="82" t="e">
        <f>IF(OR(AB84&lt;=0,AB85&lt;=0),1/0,AB85)</f>
        <v>#VALUE!</v>
      </c>
      <c r="AS85" s="82">
        <f>AM85</f>
        <v>1121.2733333333333</v>
      </c>
      <c r="AT85">
        <f>IFERROR(AP85,IFERROR(AQ85,IFERROR(AR85,AS85)))</f>
        <v>1121.2733333333333</v>
      </c>
      <c r="AU85" s="81"/>
    </row>
    <row r="86" spans="1:47" x14ac:dyDescent="0.25">
      <c r="A86" s="101">
        <f>A81+1</f>
        <v>9</v>
      </c>
      <c r="B86" s="101">
        <f t="shared" si="27"/>
        <v>4.8499999999999996</v>
      </c>
      <c r="O86" s="101">
        <f>O81+1</f>
        <v>11</v>
      </c>
      <c r="P86" s="101">
        <f t="shared" si="23"/>
        <v>6</v>
      </c>
      <c r="AU86" s="81"/>
    </row>
    <row r="87" spans="1:47" x14ac:dyDescent="0.25">
      <c r="A87" s="84">
        <f>A86+1</f>
        <v>10</v>
      </c>
      <c r="B87" s="84">
        <f t="shared" si="27"/>
        <v>5</v>
      </c>
      <c r="C87" s="79" t="e">
        <f t="shared" ref="C87" si="35">IF(C88=B89,IF(C89-C88=C88-B88,B88,IF(C89-C88=C88-B87,B87,"#NA")),IF(C88=B88,IF(C89-C88=C88-B87,B87,IF(C89-C88=C88-B86,B86,"#NA")),"#NA"))</f>
        <v>#VALUE!</v>
      </c>
      <c r="D87" s="68" t="e">
        <f>VLOOKUP(C87,STN_TABLE,2,FALSE)</f>
        <v>#VALUE!</v>
      </c>
      <c r="E87" s="102">
        <v>1</v>
      </c>
      <c r="F87" s="68" t="e">
        <f>D87*E87</f>
        <v>#VALUE!</v>
      </c>
      <c r="G87" s="69" t="e">
        <f>C87</f>
        <v>#VALUE!</v>
      </c>
      <c r="H87" s="69" t="e">
        <f>F87*G87</f>
        <v>#VALUE!</v>
      </c>
      <c r="I87" s="6" t="s">
        <v>93</v>
      </c>
      <c r="J87" s="70" t="e">
        <f>IF(OR(D87=0,D88=0,D89=0),"#NA",IF(AND(C89-C88=C88-C87,C88&lt;&gt;C89,C87&lt;&gt;C88,C87&lt;&gt;C89,D89&lt;&gt;0,OR(D87&lt;&gt;0,D88&lt;&gt;0)),WLS*(C89-C88),"#NA"))</f>
        <v>#VALUE!</v>
      </c>
      <c r="O87" s="99">
        <f>O86+1</f>
        <v>12</v>
      </c>
      <c r="P87" s="99">
        <f t="shared" si="23"/>
        <v>6.5</v>
      </c>
      <c r="Q87" s="68" t="e">
        <f>IF(OR(P89-P88=P88-P87,P90-P88=P88-P87),P87,IF(OR(P89-P88=P88-P86,P90-P88=P88-P86),P86,"-"))</f>
        <v>#VALUE!</v>
      </c>
      <c r="R87" s="69" t="e">
        <f>VLOOKUP(Q87,STN_TABLE,2,FALSE)</f>
        <v>#VALUE!</v>
      </c>
      <c r="S87" s="69">
        <v>5</v>
      </c>
      <c r="T87" s="68" t="e">
        <f>R87*S87</f>
        <v>#VALUE!</v>
      </c>
      <c r="U87" s="79">
        <v>3</v>
      </c>
      <c r="V87" s="68" t="e">
        <f>R87*U87</f>
        <v>#VALUE!</v>
      </c>
      <c r="W87" s="6" t="s">
        <v>93</v>
      </c>
      <c r="X87" s="70" t="e">
        <f>IF(AND(Q89-Q88=Q88-Q87,NOT(AND(Q87=0,Q88=0)),NOT(AND(Q88=0,Q89=0))),WLS*(Q89-Q88),"#NA")</f>
        <v>#VALUE!</v>
      </c>
      <c r="AD87" s="93"/>
      <c r="AH87" s="6" t="s">
        <v>93</v>
      </c>
      <c r="AI87" s="70" t="e">
        <f>WLS*(AD89-AD88)</f>
        <v>#VALUE!</v>
      </c>
      <c r="AU87" s="81"/>
    </row>
    <row r="88" spans="1:47" x14ac:dyDescent="0.25">
      <c r="A88" s="84">
        <f>A87+1</f>
        <v>11</v>
      </c>
      <c r="B88" s="84">
        <f t="shared" si="27"/>
        <v>6</v>
      </c>
      <c r="C88" s="80" t="e">
        <f t="shared" ref="C88" si="36">IF(OR(B90-B89=B89-B88,B90-B89=B89-B87,B90-B89=B89-B86),B89,IF(OR(B90-B88=B88-B87,B90-B88=B88-B86),B88,IF(B90-B87=B87-B86,B87,"#NA")))</f>
        <v>#VALUE!</v>
      </c>
      <c r="D88" s="76" t="e">
        <f>VLOOKUP(C88,STN_TABLE,2,FALSE)</f>
        <v>#VALUE!</v>
      </c>
      <c r="E88" s="81">
        <v>4</v>
      </c>
      <c r="F88" s="76" t="e">
        <f>D88*E88</f>
        <v>#VALUE!</v>
      </c>
      <c r="G88" s="77" t="e">
        <f>C88</f>
        <v>#VALUE!</v>
      </c>
      <c r="H88" s="77" t="e">
        <f>F88*G88</f>
        <v>#VALUE!</v>
      </c>
      <c r="I88" s="495" t="s">
        <v>97</v>
      </c>
      <c r="J88" s="496"/>
      <c r="K88" s="78" t="s">
        <v>98</v>
      </c>
      <c r="L88" s="78"/>
      <c r="M88" s="7" t="s">
        <v>99</v>
      </c>
      <c r="N88" s="7"/>
      <c r="O88" s="99">
        <f>O87+1</f>
        <v>13</v>
      </c>
      <c r="P88" s="99" t="str">
        <f t="shared" si="23"/>
        <v xml:space="preserve">  </v>
      </c>
      <c r="Q88" s="76" t="str">
        <f>P88</f>
        <v xml:space="preserve">  </v>
      </c>
      <c r="R88" s="77" t="str">
        <f>VLOOKUP(Q88,STN_TABLE,2,FALSE)</f>
        <v xml:space="preserve">  </v>
      </c>
      <c r="S88" s="77">
        <v>8</v>
      </c>
      <c r="T88" s="76" t="e">
        <f>R88*S88</f>
        <v>#VALUE!</v>
      </c>
      <c r="U88" s="80">
        <v>10</v>
      </c>
      <c r="V88" s="76" t="e">
        <f>R88*U88</f>
        <v>#VALUE!</v>
      </c>
      <c r="W88" s="496" t="s">
        <v>97</v>
      </c>
      <c r="X88" s="496"/>
      <c r="Y88" s="496" t="s">
        <v>98</v>
      </c>
      <c r="Z88" s="496"/>
      <c r="AA88" s="494" t="s">
        <v>99</v>
      </c>
      <c r="AB88" s="494"/>
      <c r="AC88" s="99">
        <f>AC83+1</f>
        <v>12</v>
      </c>
      <c r="AD88" s="95">
        <f>VLOOKUP(AC88,STN_TABLE_2,2,FALSE)</f>
        <v>6.5</v>
      </c>
      <c r="AE88" s="68">
        <f>VLOOKUP(AD88,STN_TABLE,2,FALSE)</f>
        <v>7.8</v>
      </c>
      <c r="AF88" s="68">
        <v>1</v>
      </c>
      <c r="AG88" s="69">
        <f>AE88*AF88</f>
        <v>7.8</v>
      </c>
      <c r="AH88" s="496" t="s">
        <v>97</v>
      </c>
      <c r="AI88" s="496"/>
      <c r="AJ88" s="496" t="s">
        <v>98</v>
      </c>
      <c r="AK88" s="496"/>
      <c r="AL88" s="494" t="s">
        <v>99</v>
      </c>
      <c r="AM88" s="494"/>
      <c r="AP88" s="86" t="s">
        <v>112</v>
      </c>
      <c r="AQ88" s="89" t="s">
        <v>113</v>
      </c>
      <c r="AR88" s="89" t="s">
        <v>114</v>
      </c>
      <c r="AS88" s="89" t="s">
        <v>115</v>
      </c>
      <c r="AU88" s="81"/>
    </row>
    <row r="89" spans="1:47" x14ac:dyDescent="0.25">
      <c r="A89" s="84">
        <f>A88+1</f>
        <v>12</v>
      </c>
      <c r="B89" s="84">
        <f t="shared" si="27"/>
        <v>6.5</v>
      </c>
      <c r="C89" s="88" t="str">
        <f t="shared" ref="C89" si="37">B90</f>
        <v xml:space="preserve">  </v>
      </c>
      <c r="D89" s="82" t="str">
        <f>VLOOKUP(C89,STN_TABLE,2,FALSE)</f>
        <v xml:space="preserve">  </v>
      </c>
      <c r="E89" s="92">
        <v>1</v>
      </c>
      <c r="F89" s="82" t="e">
        <f>D89*E89</f>
        <v>#VALUE!</v>
      </c>
      <c r="G89" s="83" t="str">
        <f>C89</f>
        <v xml:space="preserve">  </v>
      </c>
      <c r="H89" s="83" t="e">
        <f>F89*G89</f>
        <v>#VALUE!</v>
      </c>
      <c r="I89" s="84" t="str">
        <f>CONCATENATE("a'(",C89,")=")</f>
        <v>a'(  )=</v>
      </c>
      <c r="J89" s="84" t="e">
        <f>2*J87/3*F90</f>
        <v>#VALUE!</v>
      </c>
      <c r="K89" s="84" t="e">
        <f>CONCATENATE("A(",C87,")=")</f>
        <v>#VALUE!</v>
      </c>
      <c r="L89" s="84" t="e">
        <f>VLOOKUP(C87,STN_TABLE,3,FALSE)</f>
        <v>#VALUE!</v>
      </c>
      <c r="M89" t="str">
        <f>CONCATENATE("A(",C89,")=")</f>
        <v>A(  )=</v>
      </c>
      <c r="N89" t="e">
        <f>J89+L89</f>
        <v>#VALUE!</v>
      </c>
      <c r="O89" s="99">
        <f>O88+1</f>
        <v>14</v>
      </c>
      <c r="P89" s="99" t="str">
        <f t="shared" si="23"/>
        <v xml:space="preserve">  </v>
      </c>
      <c r="Q89" s="82" t="e">
        <f>IF(P89-P88=P88-P87,P89,IF(P90-P88=P88-P87,P90,IF(P89-P88=P88-P86,P89,IF(P90-P88=P88-P86,P90,"-"))))</f>
        <v>#VALUE!</v>
      </c>
      <c r="R89" s="83" t="e">
        <f>VLOOKUP(Q89,STN_TABLE,2,FALSE)</f>
        <v>#VALUE!</v>
      </c>
      <c r="S89" s="83">
        <v>-1</v>
      </c>
      <c r="T89" s="82" t="e">
        <f>R89*S89</f>
        <v>#VALUE!</v>
      </c>
      <c r="U89" s="88">
        <v>-1</v>
      </c>
      <c r="V89" s="82" t="e">
        <f>R89*U89</f>
        <v>#VALUE!</v>
      </c>
      <c r="W89" s="84" t="str">
        <f>CONCATENATE("a'(",Q88,")=")</f>
        <v>a'(  )=</v>
      </c>
      <c r="X89" s="84" t="e">
        <f>2*X87/12*T90</f>
        <v>#VALUE!</v>
      </c>
      <c r="Y89" s="84" t="e">
        <f>CONCATENATE("A(",Q87,")=")</f>
        <v>#VALUE!</v>
      </c>
      <c r="Z89" s="84" t="e">
        <f>VLOOKUP(Q87,STN_TABLE,3,FALSE)</f>
        <v>#VALUE!</v>
      </c>
      <c r="AA89" t="str">
        <f>CONCATENATE("A(",Q88,")=")</f>
        <v>A(  )=</v>
      </c>
      <c r="AB89" t="e">
        <f>X89+Z89</f>
        <v>#VALUE!</v>
      </c>
      <c r="AC89" s="99">
        <f>AC88+1</f>
        <v>13</v>
      </c>
      <c r="AD89" s="100" t="str">
        <f>VLOOKUP(AC89,STN_TABLE_2,2,FALSE)</f>
        <v xml:space="preserve">  </v>
      </c>
      <c r="AE89" s="82" t="str">
        <f>VLOOKUP(AD89,STN_TABLE,2,FALSE)</f>
        <v xml:space="preserve">  </v>
      </c>
      <c r="AF89" s="82">
        <v>2</v>
      </c>
      <c r="AG89" s="83" t="e">
        <f>AE89*AF89</f>
        <v>#VALUE!</v>
      </c>
      <c r="AH89" s="84" t="str">
        <f>CONCATENATE("a'(",AD89,")=")</f>
        <v>a'(  )=</v>
      </c>
      <c r="AI89" s="84" t="e">
        <f>2*AI87/2*AE90</f>
        <v>#VALUE!</v>
      </c>
      <c r="AJ89" s="84" t="str">
        <f>CONCATENATE("A(",AD88,")=")</f>
        <v>A(6.5)=</v>
      </c>
      <c r="AK89" s="84">
        <f>VLOOKUP(AD88,STN_TABLE,3,FALSE)</f>
        <v>155.98333333333335</v>
      </c>
      <c r="AL89" t="str">
        <f>CONCATENATE("A(",AD89,")=")</f>
        <v>A(  )=</v>
      </c>
      <c r="AM89" t="e">
        <f>AI89+AK89</f>
        <v>#VALUE!</v>
      </c>
      <c r="AO89" s="68" t="str">
        <f>AA89</f>
        <v>A(  )=</v>
      </c>
      <c r="AP89" s="68" t="e">
        <f>VLOOKUP(AO89,Rise_Results,2,FALSE)</f>
        <v>#N/A</v>
      </c>
      <c r="AQ89" s="76" t="e">
        <f>N89</f>
        <v>#VALUE!</v>
      </c>
      <c r="AR89" s="76" t="e">
        <f>IF(OR(AB89&lt;=0,AB90&lt;=0),1/0,AB89)</f>
        <v>#VALUE!</v>
      </c>
      <c r="AS89" s="76" t="e">
        <f>AM89</f>
        <v>#VALUE!</v>
      </c>
      <c r="AT89" t="e">
        <f>IFERROR(AP89,IFERROR(AQ89,IFERROR(AR89,AS89)))</f>
        <v>#VALUE!</v>
      </c>
      <c r="AU89" s="81"/>
    </row>
    <row r="90" spans="1:47" x14ac:dyDescent="0.25">
      <c r="A90" s="84">
        <f>A89+1</f>
        <v>13</v>
      </c>
      <c r="B90" s="84" t="str">
        <f t="shared" si="27"/>
        <v xml:space="preserve">  </v>
      </c>
      <c r="F90" s="82" t="e">
        <f>SUM(F87:F89)</f>
        <v>#VALUE!</v>
      </c>
      <c r="H90" s="82" t="e">
        <f>SUM(H87:H89)</f>
        <v>#VALUE!</v>
      </c>
      <c r="I90" s="84" t="str">
        <f>CONCATENATE("m'(",C89,")=")</f>
        <v>m'(  )=</v>
      </c>
      <c r="J90" s="84" t="e">
        <f>2*(J87*(WLS))/3*H90</f>
        <v>#VALUE!</v>
      </c>
      <c r="K90" s="84" t="e">
        <f>CONCATENATE("M(",C87,")=")</f>
        <v>#VALUE!</v>
      </c>
      <c r="L90" s="84" t="e">
        <f>VLOOKUP(C87,STN_TABLE,4,FALSE)</f>
        <v>#VALUE!</v>
      </c>
      <c r="M90" t="str">
        <f>CONCATENATE("M(",C89,")=")</f>
        <v>M(  )=</v>
      </c>
      <c r="N90" t="e">
        <f>J90+L90</f>
        <v>#VALUE!</v>
      </c>
      <c r="O90" s="99">
        <f>O89+1</f>
        <v>15</v>
      </c>
      <c r="P90" s="99" t="str">
        <f t="shared" si="23"/>
        <v xml:space="preserve">  </v>
      </c>
      <c r="T90" s="89" t="e">
        <f>SUM(T87:T89)</f>
        <v>#VALUE!</v>
      </c>
      <c r="V90" s="82" t="e">
        <f>SUM(V87:V89)</f>
        <v>#VALUE!</v>
      </c>
      <c r="W90" s="84" t="str">
        <f>CONCATENATE("m'(",Q88,")=")</f>
        <v>m'(  )=</v>
      </c>
      <c r="X90" s="84" t="e">
        <f>(2*(X87^2)/24*V90)+(X89*Q87*WLS)</f>
        <v>#VALUE!</v>
      </c>
      <c r="Y90" s="84" t="e">
        <f>CONCATENATE("M(",Q87,")=")</f>
        <v>#VALUE!</v>
      </c>
      <c r="Z90" s="84" t="e">
        <f>VLOOKUP(Q87,STN_TABLE,4,FALSE)</f>
        <v>#VALUE!</v>
      </c>
      <c r="AA90" t="str">
        <f>CONCATENATE("M(",Q88,")=")</f>
        <v>M(  )=</v>
      </c>
      <c r="AB90" t="e">
        <f>X90+Z90</f>
        <v>#VALUE!</v>
      </c>
      <c r="AE90" s="89">
        <f>SUM(AE88:AE89)</f>
        <v>7.8</v>
      </c>
      <c r="AG90" s="89" t="e">
        <f>SUM(AG88:AG89)</f>
        <v>#VALUE!</v>
      </c>
      <c r="AH90" s="84" t="str">
        <f>CONCATENATE("m'(",AD89,")=")</f>
        <v>m'(  )=</v>
      </c>
      <c r="AI90" s="84" t="e">
        <f>(2*(AI87^2)/6*AG90)+(AI89*AD88*WLS)</f>
        <v>#VALUE!</v>
      </c>
      <c r="AJ90" s="84" t="str">
        <f>CONCATENATE("M(",AD88,")=")</f>
        <v>M(6.5)=</v>
      </c>
      <c r="AK90" s="84">
        <f>VLOOKUP(AD88,STN_TABLE,4,FALSE)</f>
        <v>1121.2733333333333</v>
      </c>
      <c r="AL90" t="str">
        <f>CONCATENATE("M(",AD89,")=")</f>
        <v>M(  )=</v>
      </c>
      <c r="AM90" t="e">
        <f>AI90+AK90</f>
        <v>#VALUE!</v>
      </c>
      <c r="AO90" s="82" t="str">
        <f>AA90</f>
        <v>M(  )=</v>
      </c>
      <c r="AP90" s="82" t="e">
        <f>VLOOKUP(AO90,Rise_Results,2,FALSE)</f>
        <v>#N/A</v>
      </c>
      <c r="AQ90" s="82" t="e">
        <f>N90</f>
        <v>#VALUE!</v>
      </c>
      <c r="AR90" s="82" t="e">
        <f>IF(OR(AB89&lt;=0,AB90&lt;=0),1/0,AB90)</f>
        <v>#VALUE!</v>
      </c>
      <c r="AS90" s="82" t="e">
        <f>AM90</f>
        <v>#VALUE!</v>
      </c>
      <c r="AT90" t="e">
        <f>IFERROR(AP90,IFERROR(AQ90,IFERROR(AR90,AS90)))</f>
        <v>#VALUE!</v>
      </c>
      <c r="AU90" s="81"/>
    </row>
    <row r="91" spans="1:47" x14ac:dyDescent="0.25">
      <c r="A91" s="101">
        <f>A86+1</f>
        <v>10</v>
      </c>
      <c r="B91" s="101">
        <f t="shared" si="27"/>
        <v>5</v>
      </c>
      <c r="O91" s="101">
        <f>O86+1</f>
        <v>12</v>
      </c>
      <c r="P91" s="101">
        <f t="shared" si="23"/>
        <v>6.5</v>
      </c>
      <c r="AU91" s="81"/>
    </row>
    <row r="92" spans="1:47" x14ac:dyDescent="0.25">
      <c r="A92" s="84">
        <f>A91+1</f>
        <v>11</v>
      </c>
      <c r="B92" s="84">
        <f t="shared" si="27"/>
        <v>6</v>
      </c>
      <c r="C92" s="79" t="e">
        <f t="shared" ref="C92" si="38">IF(C93=B94,IF(C94-C93=C93-B93,B93,IF(C94-C93=C93-B92,B92,"#NA")),IF(C93=B93,IF(C94-C93=C93-B92,B92,IF(C94-C93=C93-B91,B91,"#NA")),"#NA"))</f>
        <v>#VALUE!</v>
      </c>
      <c r="D92" s="68" t="e">
        <f>VLOOKUP(C92,STN_TABLE,2,FALSE)</f>
        <v>#VALUE!</v>
      </c>
      <c r="E92" s="102">
        <v>1</v>
      </c>
      <c r="F92" s="68" t="e">
        <f>D92*E92</f>
        <v>#VALUE!</v>
      </c>
      <c r="G92" s="69" t="e">
        <f>C92</f>
        <v>#VALUE!</v>
      </c>
      <c r="H92" s="69" t="e">
        <f>F92*G92</f>
        <v>#VALUE!</v>
      </c>
      <c r="I92" s="6" t="s">
        <v>93</v>
      </c>
      <c r="J92" s="70" t="e">
        <f>IF(OR(D92=0,D93=0,D94=0),"#NA",IF(AND(C94-C93=C93-C92,C93&lt;&gt;C94,C92&lt;&gt;C93,C92&lt;&gt;C94,D94&lt;&gt;0,OR(D92&lt;&gt;0,D93&lt;&gt;0)),WLS*(C94-C93),"#NA"))</f>
        <v>#VALUE!</v>
      </c>
      <c r="O92" s="99">
        <f>O91+1</f>
        <v>13</v>
      </c>
      <c r="P92" s="99" t="str">
        <f t="shared" si="23"/>
        <v xml:space="preserve">  </v>
      </c>
      <c r="Q92" s="68" t="e">
        <f>IF(OR(P94-P93=P93-P92,P95-P93=P93-P92),P92,IF(OR(P94-P93=P93-P91,P95-P93=P93-P91),P91,"-"))</f>
        <v>#VALUE!</v>
      </c>
      <c r="R92" s="69" t="e">
        <f>VLOOKUP(Q92,STN_TABLE,2,FALSE)</f>
        <v>#VALUE!</v>
      </c>
      <c r="S92" s="69">
        <v>5</v>
      </c>
      <c r="T92" s="68" t="e">
        <f>R92*S92</f>
        <v>#VALUE!</v>
      </c>
      <c r="U92" s="79">
        <v>3</v>
      </c>
      <c r="V92" s="68" t="e">
        <f>R92*U92</f>
        <v>#VALUE!</v>
      </c>
      <c r="W92" s="6" t="s">
        <v>93</v>
      </c>
      <c r="X92" s="70" t="e">
        <f>IF(AND(Q94-Q93=Q93-Q92,NOT(AND(Q92=0,Q93=0)),NOT(AND(Q93=0,Q94=0))),WLS*(Q94-Q93),"#NA")</f>
        <v>#VALUE!</v>
      </c>
      <c r="AD92" s="93"/>
      <c r="AH92" s="6" t="s">
        <v>93</v>
      </c>
      <c r="AI92" s="70" t="e">
        <f>WLS*(AD94-AD93)</f>
        <v>#VALUE!</v>
      </c>
      <c r="AU92" s="81"/>
    </row>
    <row r="93" spans="1:47" x14ac:dyDescent="0.25">
      <c r="A93" s="84">
        <f>A92+1</f>
        <v>12</v>
      </c>
      <c r="B93" s="84">
        <f t="shared" si="27"/>
        <v>6.5</v>
      </c>
      <c r="C93" s="80" t="e">
        <f t="shared" ref="C93" si="39">IF(OR(B95-B94=B94-B93,B95-B94=B94-B92,B95-B94=B94-B91),B94,IF(OR(B95-B93=B93-B92,B95-B93=B93-B91),B93,IF(B95-B92=B92-B91,B92,"#NA")))</f>
        <v>#VALUE!</v>
      </c>
      <c r="D93" s="76" t="e">
        <f>VLOOKUP(C93,STN_TABLE,2,FALSE)</f>
        <v>#VALUE!</v>
      </c>
      <c r="E93" s="81">
        <v>4</v>
      </c>
      <c r="F93" s="76" t="e">
        <f>D93*E93</f>
        <v>#VALUE!</v>
      </c>
      <c r="G93" s="77" t="e">
        <f>C93</f>
        <v>#VALUE!</v>
      </c>
      <c r="H93" s="77" t="e">
        <f>F93*G93</f>
        <v>#VALUE!</v>
      </c>
      <c r="I93" s="495" t="s">
        <v>97</v>
      </c>
      <c r="J93" s="496"/>
      <c r="K93" s="78" t="s">
        <v>98</v>
      </c>
      <c r="L93" s="78"/>
      <c r="M93" s="7" t="s">
        <v>99</v>
      </c>
      <c r="N93" s="7"/>
      <c r="O93" s="99">
        <f>O92+1</f>
        <v>14</v>
      </c>
      <c r="P93" s="99" t="str">
        <f t="shared" si="23"/>
        <v xml:space="preserve">  </v>
      </c>
      <c r="Q93" s="76" t="str">
        <f>P93</f>
        <v xml:space="preserve">  </v>
      </c>
      <c r="R93" s="77" t="str">
        <f>VLOOKUP(Q93,STN_TABLE,2,FALSE)</f>
        <v xml:space="preserve">  </v>
      </c>
      <c r="S93" s="77">
        <v>8</v>
      </c>
      <c r="T93" s="76" t="e">
        <f>R93*S93</f>
        <v>#VALUE!</v>
      </c>
      <c r="U93" s="80">
        <v>10</v>
      </c>
      <c r="V93" s="76" t="e">
        <f>R93*U93</f>
        <v>#VALUE!</v>
      </c>
      <c r="W93" s="496" t="s">
        <v>97</v>
      </c>
      <c r="X93" s="496"/>
      <c r="Y93" s="496" t="s">
        <v>98</v>
      </c>
      <c r="Z93" s="496"/>
      <c r="AA93" s="494" t="s">
        <v>99</v>
      </c>
      <c r="AB93" s="494"/>
      <c r="AC93" s="99">
        <f>AC88+1</f>
        <v>13</v>
      </c>
      <c r="AD93" s="95" t="str">
        <f>VLOOKUP(AC93,STN_TABLE_2,2,FALSE)</f>
        <v xml:space="preserve">  </v>
      </c>
      <c r="AE93" s="68" t="str">
        <f>VLOOKUP(AD93,STN_TABLE,2,FALSE)</f>
        <v xml:space="preserve">  </v>
      </c>
      <c r="AF93" s="68">
        <v>1</v>
      </c>
      <c r="AG93" s="69" t="e">
        <f>AE93*AF93</f>
        <v>#VALUE!</v>
      </c>
      <c r="AH93" s="496" t="s">
        <v>97</v>
      </c>
      <c r="AI93" s="496"/>
      <c r="AJ93" s="496" t="s">
        <v>98</v>
      </c>
      <c r="AK93" s="496"/>
      <c r="AL93" s="494" t="s">
        <v>99</v>
      </c>
      <c r="AM93" s="494"/>
      <c r="AP93" s="86" t="s">
        <v>112</v>
      </c>
      <c r="AQ93" s="89" t="s">
        <v>113</v>
      </c>
      <c r="AR93" s="89" t="s">
        <v>114</v>
      </c>
      <c r="AS93" s="89" t="s">
        <v>115</v>
      </c>
      <c r="AU93" s="81"/>
    </row>
    <row r="94" spans="1:47" x14ac:dyDescent="0.25">
      <c r="A94" s="84">
        <f>A93+1</f>
        <v>13</v>
      </c>
      <c r="B94" s="84" t="str">
        <f t="shared" si="27"/>
        <v xml:space="preserve">  </v>
      </c>
      <c r="C94" s="88" t="str">
        <f t="shared" ref="C94" si="40">B95</f>
        <v xml:space="preserve">  </v>
      </c>
      <c r="D94" s="82" t="str">
        <f>VLOOKUP(C94,STN_TABLE,2,FALSE)</f>
        <v xml:space="preserve">  </v>
      </c>
      <c r="E94" s="92">
        <v>1</v>
      </c>
      <c r="F94" s="82" t="e">
        <f>D94*E94</f>
        <v>#VALUE!</v>
      </c>
      <c r="G94" s="83" t="str">
        <f>C94</f>
        <v xml:space="preserve">  </v>
      </c>
      <c r="H94" s="83" t="e">
        <f>F94*G94</f>
        <v>#VALUE!</v>
      </c>
      <c r="I94" s="84" t="str">
        <f>CONCATENATE("a'(",C94,")=")</f>
        <v>a'(  )=</v>
      </c>
      <c r="J94" s="84" t="e">
        <f>2*J92/3*F95</f>
        <v>#VALUE!</v>
      </c>
      <c r="K94" s="84" t="e">
        <f>CONCATENATE("A(",C92,")=")</f>
        <v>#VALUE!</v>
      </c>
      <c r="L94" s="84" t="e">
        <f>VLOOKUP(C92,STN_TABLE,3,FALSE)</f>
        <v>#VALUE!</v>
      </c>
      <c r="M94" t="str">
        <f>CONCATENATE("A(",C94,")=")</f>
        <v>A(  )=</v>
      </c>
      <c r="N94" t="e">
        <f>J94+L94</f>
        <v>#VALUE!</v>
      </c>
      <c r="O94" s="99">
        <f>O93+1</f>
        <v>15</v>
      </c>
      <c r="P94" s="99" t="str">
        <f t="shared" si="23"/>
        <v xml:space="preserve">  </v>
      </c>
      <c r="Q94" s="82" t="e">
        <f>IF(P94-P93=P93-P92,P94,IF(P95-P93=P93-P92,P95,IF(P94-P93=P93-P91,P94,IF(P95-P93=P93-P91,P95,"-"))))</f>
        <v>#VALUE!</v>
      </c>
      <c r="R94" s="83" t="e">
        <f>VLOOKUP(Q94,STN_TABLE,2,FALSE)</f>
        <v>#VALUE!</v>
      </c>
      <c r="S94" s="83">
        <v>-1</v>
      </c>
      <c r="T94" s="82" t="e">
        <f>R94*S94</f>
        <v>#VALUE!</v>
      </c>
      <c r="U94" s="88">
        <v>-1</v>
      </c>
      <c r="V94" s="82" t="e">
        <f>R94*U94</f>
        <v>#VALUE!</v>
      </c>
      <c r="W94" s="84" t="str">
        <f>CONCATENATE("a'(",Q93,")=")</f>
        <v>a'(  )=</v>
      </c>
      <c r="X94" s="84" t="e">
        <f>2*X92/12*T95</f>
        <v>#VALUE!</v>
      </c>
      <c r="Y94" s="84" t="e">
        <f>CONCATENATE("A(",Q92,")=")</f>
        <v>#VALUE!</v>
      </c>
      <c r="Z94" s="84" t="e">
        <f>VLOOKUP(Q92,STN_TABLE,3,FALSE)</f>
        <v>#VALUE!</v>
      </c>
      <c r="AA94" t="str">
        <f>CONCATENATE("A(",Q93,")=")</f>
        <v>A(  )=</v>
      </c>
      <c r="AB94" t="e">
        <f>X94+Z94</f>
        <v>#VALUE!</v>
      </c>
      <c r="AC94" s="99">
        <f>AC93+1</f>
        <v>14</v>
      </c>
      <c r="AD94" s="100" t="str">
        <f>VLOOKUP(AC94,STN_TABLE_2,2,FALSE)</f>
        <v xml:space="preserve">  </v>
      </c>
      <c r="AE94" s="82" t="str">
        <f>VLOOKUP(AD94,STN_TABLE,2,FALSE)</f>
        <v xml:space="preserve">  </v>
      </c>
      <c r="AF94" s="82">
        <v>2</v>
      </c>
      <c r="AG94" s="83" t="e">
        <f>AE94*AF94</f>
        <v>#VALUE!</v>
      </c>
      <c r="AH94" s="84" t="str">
        <f>CONCATENATE("a'(",AD94,")=")</f>
        <v>a'(  )=</v>
      </c>
      <c r="AI94" s="84" t="e">
        <f>2*AI92/2*AE95</f>
        <v>#VALUE!</v>
      </c>
      <c r="AJ94" s="84" t="str">
        <f>CONCATENATE("A(",AD93,")=")</f>
        <v>A(  )=</v>
      </c>
      <c r="AK94" s="84" t="str">
        <f>VLOOKUP(AD93,STN_TABLE,3,FALSE)</f>
        <v xml:space="preserve"> </v>
      </c>
      <c r="AL94" t="str">
        <f>CONCATENATE("A(",AD94,")=")</f>
        <v>A(  )=</v>
      </c>
      <c r="AM94" t="e">
        <f>AI94+AK94</f>
        <v>#VALUE!</v>
      </c>
      <c r="AO94" s="68" t="str">
        <f>AA94</f>
        <v>A(  )=</v>
      </c>
      <c r="AP94" s="68" t="e">
        <f>VLOOKUP(AO94,Rise_Results,2,FALSE)</f>
        <v>#N/A</v>
      </c>
      <c r="AQ94" s="76" t="e">
        <f>N94</f>
        <v>#VALUE!</v>
      </c>
      <c r="AR94" s="76" t="e">
        <f>IF(OR(AB94&lt;=0,AB95&lt;=0),1/0,AB94)</f>
        <v>#VALUE!</v>
      </c>
      <c r="AS94" s="76" t="e">
        <f>AM94</f>
        <v>#VALUE!</v>
      </c>
      <c r="AT94" t="e">
        <f>IFERROR(AP94,IFERROR(AQ94,IFERROR(AR94,AS94)))</f>
        <v>#VALUE!</v>
      </c>
      <c r="AU94" s="81"/>
    </row>
    <row r="95" spans="1:47" x14ac:dyDescent="0.25">
      <c r="A95" s="84">
        <f>A94+1</f>
        <v>14</v>
      </c>
      <c r="B95" s="84" t="str">
        <f t="shared" si="27"/>
        <v xml:space="preserve">  </v>
      </c>
      <c r="F95" s="82" t="e">
        <f>SUM(F92:F94)</f>
        <v>#VALUE!</v>
      </c>
      <c r="H95" s="82" t="e">
        <f>SUM(H92:H94)</f>
        <v>#VALUE!</v>
      </c>
      <c r="I95" s="84" t="str">
        <f>CONCATENATE("m'(",C94,")=")</f>
        <v>m'(  )=</v>
      </c>
      <c r="J95" s="84" t="e">
        <f>2*(J92*(WLS))/3*H95</f>
        <v>#VALUE!</v>
      </c>
      <c r="K95" s="84" t="e">
        <f>CONCATENATE("M(",C92,")=")</f>
        <v>#VALUE!</v>
      </c>
      <c r="L95" s="84" t="e">
        <f>VLOOKUP(C92,STN_TABLE,4,FALSE)</f>
        <v>#VALUE!</v>
      </c>
      <c r="M95" t="str">
        <f>CONCATENATE("M(",C94,")=")</f>
        <v>M(  )=</v>
      </c>
      <c r="N95" t="e">
        <f>J95+L95</f>
        <v>#VALUE!</v>
      </c>
      <c r="O95" s="99">
        <f>O94+1</f>
        <v>16</v>
      </c>
      <c r="P95" s="99" t="str">
        <f t="shared" si="23"/>
        <v xml:space="preserve">  </v>
      </c>
      <c r="T95" s="89" t="e">
        <f>SUM(T92:T94)</f>
        <v>#VALUE!</v>
      </c>
      <c r="V95" s="82" t="e">
        <f>SUM(V92:V94)</f>
        <v>#VALUE!</v>
      </c>
      <c r="W95" s="84" t="str">
        <f>CONCATENATE("m'(",Q93,")=")</f>
        <v>m'(  )=</v>
      </c>
      <c r="X95" s="84" t="e">
        <f>(2*(X92^2)/24*V95)+(X94*Q92*WLS)</f>
        <v>#VALUE!</v>
      </c>
      <c r="Y95" s="84" t="e">
        <f>CONCATENATE("M(",Q92,")=")</f>
        <v>#VALUE!</v>
      </c>
      <c r="Z95" s="84" t="e">
        <f>VLOOKUP(Q92,STN_TABLE,4,FALSE)</f>
        <v>#VALUE!</v>
      </c>
      <c r="AA95" t="str">
        <f>CONCATENATE("M(",Q93,")=")</f>
        <v>M(  )=</v>
      </c>
      <c r="AB95" t="e">
        <f>X95+Z95</f>
        <v>#VALUE!</v>
      </c>
      <c r="AE95" s="89">
        <f>SUM(AE93:AE94)</f>
        <v>0</v>
      </c>
      <c r="AG95" s="89" t="e">
        <f>SUM(AG93:AG94)</f>
        <v>#VALUE!</v>
      </c>
      <c r="AH95" s="84" t="str">
        <f>CONCATENATE("m'(",AD94,")=")</f>
        <v>m'(  )=</v>
      </c>
      <c r="AI95" s="84" t="e">
        <f>(2*(AI92^2)/6*AG95)+(AI94*AD93*WLS)</f>
        <v>#VALUE!</v>
      </c>
      <c r="AJ95" s="84" t="str">
        <f>CONCATENATE("M(",AD93,")=")</f>
        <v>M(  )=</v>
      </c>
      <c r="AK95" s="84" t="str">
        <f>VLOOKUP(AD93,STN_TABLE,4,FALSE)</f>
        <v xml:space="preserve"> </v>
      </c>
      <c r="AL95" t="str">
        <f>CONCATENATE("M(",AD94,")=")</f>
        <v>M(  )=</v>
      </c>
      <c r="AM95" t="e">
        <f>AI95+AK95</f>
        <v>#VALUE!</v>
      </c>
      <c r="AO95" s="82" t="str">
        <f>AA95</f>
        <v>M(  )=</v>
      </c>
      <c r="AP95" s="82" t="e">
        <f>VLOOKUP(AO95,Rise_Results,2,FALSE)</f>
        <v>#N/A</v>
      </c>
      <c r="AQ95" s="82" t="e">
        <f>N95</f>
        <v>#VALUE!</v>
      </c>
      <c r="AR95" s="82" t="e">
        <f>IF(OR(AB94&lt;=0,AB95&lt;=0),1/0,AB95)</f>
        <v>#VALUE!</v>
      </c>
      <c r="AS95" s="82" t="e">
        <f>AM95</f>
        <v>#VALUE!</v>
      </c>
      <c r="AT95" t="e">
        <f>IFERROR(AP95,IFERROR(AQ95,IFERROR(AR95,AS95)))</f>
        <v>#VALUE!</v>
      </c>
      <c r="AU95" s="81"/>
    </row>
    <row r="96" spans="1:47" x14ac:dyDescent="0.25">
      <c r="A96" s="101">
        <f>A91+1</f>
        <v>11</v>
      </c>
      <c r="B96" s="101">
        <f t="shared" si="27"/>
        <v>6</v>
      </c>
      <c r="O96" s="101">
        <f>O91+1</f>
        <v>13</v>
      </c>
      <c r="P96" s="101" t="str">
        <f t="shared" si="23"/>
        <v xml:space="preserve">  </v>
      </c>
      <c r="AU96" s="81"/>
    </row>
    <row r="97" spans="1:47" x14ac:dyDescent="0.25">
      <c r="A97" s="84">
        <f>A96+1</f>
        <v>12</v>
      </c>
      <c r="B97" s="84">
        <f t="shared" si="27"/>
        <v>6.5</v>
      </c>
      <c r="C97" s="79" t="e">
        <f t="shared" ref="C97" si="41">IF(C98=B99,IF(C99-C98=C98-B98,B98,IF(C99-C98=C98-B97,B97,"#NA")),IF(C98=B98,IF(C99-C98=C98-B97,B97,IF(C99-C98=C98-B96,B96,"#NA")),"#NA"))</f>
        <v>#VALUE!</v>
      </c>
      <c r="D97" s="68" t="e">
        <f>VLOOKUP(C97,STN_TABLE,2,FALSE)</f>
        <v>#VALUE!</v>
      </c>
      <c r="E97" s="102">
        <v>1</v>
      </c>
      <c r="F97" s="68" t="e">
        <f>D97*E97</f>
        <v>#VALUE!</v>
      </c>
      <c r="G97" s="69" t="e">
        <f>C97</f>
        <v>#VALUE!</v>
      </c>
      <c r="H97" s="69" t="e">
        <f>F97*G97</f>
        <v>#VALUE!</v>
      </c>
      <c r="I97" s="6" t="s">
        <v>93</v>
      </c>
      <c r="J97" s="70" t="e">
        <f>IF(OR(D97=0,D98=0,D99=0),"#NA",IF(AND(C99-C98=C98-C97,C98&lt;&gt;C99,C97&lt;&gt;C98,C97&lt;&gt;C99,D99&lt;&gt;0,OR(D97&lt;&gt;0,D98&lt;&gt;0)),WLS*(C99-C98),"#NA"))</f>
        <v>#VALUE!</v>
      </c>
      <c r="O97" s="99">
        <f>O96+1</f>
        <v>14</v>
      </c>
      <c r="P97" s="99" t="str">
        <f t="shared" si="23"/>
        <v xml:space="preserve">  </v>
      </c>
      <c r="Q97" s="68" t="e">
        <f>IF(OR(P99-P98=P98-P97,P100-P98=P98-P97),P97,IF(OR(P99-P98=P98-P96,P100-P98=P98-P96),P96,"-"))</f>
        <v>#VALUE!</v>
      </c>
      <c r="R97" s="69" t="e">
        <f>VLOOKUP(Q97,STN_TABLE,2,FALSE)</f>
        <v>#VALUE!</v>
      </c>
      <c r="S97" s="69">
        <v>5</v>
      </c>
      <c r="T97" s="68" t="e">
        <f>R97*S97</f>
        <v>#VALUE!</v>
      </c>
      <c r="U97" s="79">
        <v>3</v>
      </c>
      <c r="V97" s="68" t="e">
        <f>R97*U97</f>
        <v>#VALUE!</v>
      </c>
      <c r="W97" s="6" t="s">
        <v>93</v>
      </c>
      <c r="X97" s="70" t="e">
        <f>IF(AND(Q99-Q98=Q98-Q97,NOT(AND(Q97=0,Q98=0)),NOT(AND(Q98=0,Q99=0))),WLS*(Q99-Q98),"#NA")</f>
        <v>#VALUE!</v>
      </c>
      <c r="AD97" s="93"/>
      <c r="AH97" s="6" t="s">
        <v>93</v>
      </c>
      <c r="AI97" s="70" t="e">
        <f>WLS*(AD99-AD98)</f>
        <v>#VALUE!</v>
      </c>
      <c r="AU97" s="81"/>
    </row>
    <row r="98" spans="1:47" x14ac:dyDescent="0.25">
      <c r="A98" s="84">
        <f>A97+1</f>
        <v>13</v>
      </c>
      <c r="B98" s="84" t="str">
        <f t="shared" si="27"/>
        <v xml:space="preserve">  </v>
      </c>
      <c r="C98" s="80" t="e">
        <f t="shared" ref="C98" si="42">IF(OR(B100-B99=B99-B98,B100-B99=B99-B97,B100-B99=B99-B96),B99,IF(OR(B100-B98=B98-B97,B100-B98=B98-B96),B98,IF(B100-B97=B97-B96,B97,"#NA")))</f>
        <v>#VALUE!</v>
      </c>
      <c r="D98" s="76" t="e">
        <f>VLOOKUP(C98,STN_TABLE,2,FALSE)</f>
        <v>#VALUE!</v>
      </c>
      <c r="E98" s="81">
        <v>4</v>
      </c>
      <c r="F98" s="76" t="e">
        <f>D98*E98</f>
        <v>#VALUE!</v>
      </c>
      <c r="G98" s="77" t="e">
        <f>C98</f>
        <v>#VALUE!</v>
      </c>
      <c r="H98" s="77" t="e">
        <f>F98*G98</f>
        <v>#VALUE!</v>
      </c>
      <c r="I98" s="495" t="s">
        <v>97</v>
      </c>
      <c r="J98" s="496"/>
      <c r="K98" s="78" t="s">
        <v>98</v>
      </c>
      <c r="L98" s="78"/>
      <c r="M98" s="7" t="s">
        <v>99</v>
      </c>
      <c r="N98" s="7"/>
      <c r="O98" s="99">
        <f>O97+1</f>
        <v>15</v>
      </c>
      <c r="P98" s="99" t="str">
        <f t="shared" si="23"/>
        <v xml:space="preserve">  </v>
      </c>
      <c r="Q98" s="76" t="str">
        <f>P98</f>
        <v xml:space="preserve">  </v>
      </c>
      <c r="R98" s="77" t="str">
        <f>VLOOKUP(Q98,STN_TABLE,2,FALSE)</f>
        <v xml:space="preserve">  </v>
      </c>
      <c r="S98" s="77">
        <v>8</v>
      </c>
      <c r="T98" s="76" t="e">
        <f>R98*S98</f>
        <v>#VALUE!</v>
      </c>
      <c r="U98" s="80">
        <v>10</v>
      </c>
      <c r="V98" s="76" t="e">
        <f>R98*U98</f>
        <v>#VALUE!</v>
      </c>
      <c r="W98" s="496" t="s">
        <v>97</v>
      </c>
      <c r="X98" s="496"/>
      <c r="Y98" s="496" t="s">
        <v>98</v>
      </c>
      <c r="Z98" s="496"/>
      <c r="AA98" s="494" t="s">
        <v>99</v>
      </c>
      <c r="AB98" s="494"/>
      <c r="AC98" s="99">
        <f>AC93+1</f>
        <v>14</v>
      </c>
      <c r="AD98" s="95" t="str">
        <f>VLOOKUP(AC98,STN_TABLE_2,2,FALSE)</f>
        <v xml:space="preserve">  </v>
      </c>
      <c r="AE98" s="68" t="str">
        <f>VLOOKUP(AD98,STN_TABLE,2,FALSE)</f>
        <v xml:space="preserve">  </v>
      </c>
      <c r="AF98" s="68">
        <v>1</v>
      </c>
      <c r="AG98" s="69" t="e">
        <f>AE98*AF98</f>
        <v>#VALUE!</v>
      </c>
      <c r="AH98" s="496" t="s">
        <v>97</v>
      </c>
      <c r="AI98" s="496"/>
      <c r="AJ98" s="496" t="s">
        <v>98</v>
      </c>
      <c r="AK98" s="496"/>
      <c r="AL98" s="494" t="s">
        <v>99</v>
      </c>
      <c r="AM98" s="494"/>
      <c r="AP98" s="86" t="s">
        <v>112</v>
      </c>
      <c r="AQ98" s="89" t="s">
        <v>113</v>
      </c>
      <c r="AR98" s="89" t="s">
        <v>114</v>
      </c>
      <c r="AS98" s="89" t="s">
        <v>115</v>
      </c>
      <c r="AU98" s="81"/>
    </row>
    <row r="99" spans="1:47" x14ac:dyDescent="0.25">
      <c r="A99" s="84">
        <f>A98+1</f>
        <v>14</v>
      </c>
      <c r="B99" s="84" t="str">
        <f t="shared" si="27"/>
        <v xml:space="preserve">  </v>
      </c>
      <c r="C99" s="88" t="str">
        <f t="shared" ref="C99" si="43">B100</f>
        <v xml:space="preserve">  </v>
      </c>
      <c r="D99" s="82" t="str">
        <f>VLOOKUP(C99,STN_TABLE,2,FALSE)</f>
        <v xml:space="preserve">  </v>
      </c>
      <c r="E99" s="92">
        <v>1</v>
      </c>
      <c r="F99" s="82" t="e">
        <f>D99*E99</f>
        <v>#VALUE!</v>
      </c>
      <c r="G99" s="83" t="str">
        <f>C99</f>
        <v xml:space="preserve">  </v>
      </c>
      <c r="H99" s="83" t="e">
        <f>F99*G99</f>
        <v>#VALUE!</v>
      </c>
      <c r="I99" s="84" t="str">
        <f>CONCATENATE("a'(",C99,")=")</f>
        <v>a'(  )=</v>
      </c>
      <c r="J99" s="84" t="e">
        <f>2*J97/3*F100</f>
        <v>#VALUE!</v>
      </c>
      <c r="K99" s="84" t="e">
        <f>CONCATENATE("A(",C97,")=")</f>
        <v>#VALUE!</v>
      </c>
      <c r="L99" s="84" t="e">
        <f>VLOOKUP(C97,STN_TABLE,3,FALSE)</f>
        <v>#VALUE!</v>
      </c>
      <c r="M99" t="str">
        <f>CONCATENATE("A(",C99,")=")</f>
        <v>A(  )=</v>
      </c>
      <c r="N99" t="e">
        <f>J99+L99</f>
        <v>#VALUE!</v>
      </c>
      <c r="O99" s="99">
        <f>O98+1</f>
        <v>16</v>
      </c>
      <c r="P99" s="99" t="str">
        <f t="shared" si="23"/>
        <v xml:space="preserve">  </v>
      </c>
      <c r="Q99" s="82" t="e">
        <f>IF(P99-P98=P98-P97,P99,IF(P100-P98=P98-P97,P100,IF(P99-P98=P98-P96,P99,IF(P100-P98=P98-P96,P100,"-"))))</f>
        <v>#VALUE!</v>
      </c>
      <c r="R99" s="83" t="e">
        <f>VLOOKUP(Q99,STN_TABLE,2,FALSE)</f>
        <v>#VALUE!</v>
      </c>
      <c r="S99" s="83">
        <v>-1</v>
      </c>
      <c r="T99" s="82" t="e">
        <f>R99*S99</f>
        <v>#VALUE!</v>
      </c>
      <c r="U99" s="88">
        <v>-1</v>
      </c>
      <c r="V99" s="82" t="e">
        <f>R99*U99</f>
        <v>#VALUE!</v>
      </c>
      <c r="W99" s="84" t="str">
        <f>CONCATENATE("a'(",Q98,")=")</f>
        <v>a'(  )=</v>
      </c>
      <c r="X99" s="84" t="e">
        <f>2*X97/12*T100</f>
        <v>#VALUE!</v>
      </c>
      <c r="Y99" s="84" t="e">
        <f>CONCATENATE("A(",Q97,")=")</f>
        <v>#VALUE!</v>
      </c>
      <c r="Z99" s="84" t="e">
        <f>VLOOKUP(Q97,STN_TABLE,3,FALSE)</f>
        <v>#VALUE!</v>
      </c>
      <c r="AA99" t="str">
        <f>CONCATENATE("A(",Q98,")=")</f>
        <v>A(  )=</v>
      </c>
      <c r="AB99" t="e">
        <f>X99+Z99</f>
        <v>#VALUE!</v>
      </c>
      <c r="AC99" s="99">
        <f>AC98+1</f>
        <v>15</v>
      </c>
      <c r="AD99" s="100" t="str">
        <f>VLOOKUP(AC99,STN_TABLE_2,2,FALSE)</f>
        <v xml:space="preserve">  </v>
      </c>
      <c r="AE99" s="82" t="str">
        <f>VLOOKUP(AD99,STN_TABLE,2,FALSE)</f>
        <v xml:space="preserve">  </v>
      </c>
      <c r="AF99" s="82">
        <v>2</v>
      </c>
      <c r="AG99" s="83" t="e">
        <f>AE99*AF99</f>
        <v>#VALUE!</v>
      </c>
      <c r="AH99" s="84" t="str">
        <f>CONCATENATE("a'(",AD99,")=")</f>
        <v>a'(  )=</v>
      </c>
      <c r="AI99" s="84" t="e">
        <f>2*AI97/2*AE100</f>
        <v>#VALUE!</v>
      </c>
      <c r="AJ99" s="84" t="str">
        <f>CONCATENATE("A(",AD98,")=")</f>
        <v>A(  )=</v>
      </c>
      <c r="AK99" s="84" t="str">
        <f>VLOOKUP(AD98,STN_TABLE,3,FALSE)</f>
        <v xml:space="preserve"> </v>
      </c>
      <c r="AL99" t="str">
        <f>CONCATENATE("A(",AD99,")=")</f>
        <v>A(  )=</v>
      </c>
      <c r="AM99" t="e">
        <f>AI99+AK99</f>
        <v>#VALUE!</v>
      </c>
      <c r="AO99" s="68" t="str">
        <f>AA99</f>
        <v>A(  )=</v>
      </c>
      <c r="AP99" s="68" t="e">
        <f>VLOOKUP(AO99,Rise_Results,2,FALSE)</f>
        <v>#N/A</v>
      </c>
      <c r="AQ99" s="76" t="e">
        <f>N99</f>
        <v>#VALUE!</v>
      </c>
      <c r="AR99" s="76" t="e">
        <f>IF(OR(AB99&lt;=0,AB100&lt;=0),1/0,AB99)</f>
        <v>#VALUE!</v>
      </c>
      <c r="AS99" s="76" t="e">
        <f>AM99</f>
        <v>#VALUE!</v>
      </c>
      <c r="AT99" t="e">
        <f>IFERROR(AP99,IFERROR(AQ99,IFERROR(AR99,AS99)))</f>
        <v>#VALUE!</v>
      </c>
      <c r="AU99" s="81"/>
    </row>
    <row r="100" spans="1:47" x14ac:dyDescent="0.25">
      <c r="A100" s="84">
        <f>A99+1</f>
        <v>15</v>
      </c>
      <c r="B100" s="84" t="str">
        <f t="shared" si="27"/>
        <v xml:space="preserve">  </v>
      </c>
      <c r="F100" s="82" t="e">
        <f>SUM(F97:F99)</f>
        <v>#VALUE!</v>
      </c>
      <c r="H100" s="82" t="e">
        <f>SUM(H97:H99)</f>
        <v>#VALUE!</v>
      </c>
      <c r="I100" s="84" t="str">
        <f>CONCATENATE("m'(",C99,")=")</f>
        <v>m'(  )=</v>
      </c>
      <c r="J100" s="84" t="e">
        <f>2*(J97*(WLS))/3*H100</f>
        <v>#VALUE!</v>
      </c>
      <c r="K100" s="84" t="e">
        <f>CONCATENATE("M(",C97,")=")</f>
        <v>#VALUE!</v>
      </c>
      <c r="L100" s="84" t="e">
        <f>VLOOKUP(C97,STN_TABLE,4,FALSE)</f>
        <v>#VALUE!</v>
      </c>
      <c r="M100" t="str">
        <f>CONCATENATE("M(",C99,")=")</f>
        <v>M(  )=</v>
      </c>
      <c r="N100" t="e">
        <f>J100+L100</f>
        <v>#VALUE!</v>
      </c>
      <c r="O100" s="99">
        <f>O99+1</f>
        <v>17</v>
      </c>
      <c r="P100" s="99" t="str">
        <f t="shared" ref="P100:P131" si="44">VLOOKUP(O100,STN_TABLE_2,2,FALSE)</f>
        <v xml:space="preserve">  </v>
      </c>
      <c r="T100" s="89" t="e">
        <f>SUM(T97:T99)</f>
        <v>#VALUE!</v>
      </c>
      <c r="V100" s="82" t="e">
        <f>SUM(V97:V99)</f>
        <v>#VALUE!</v>
      </c>
      <c r="W100" s="84" t="str">
        <f>CONCATENATE("m'(",Q98,")=")</f>
        <v>m'(  )=</v>
      </c>
      <c r="X100" s="84" t="e">
        <f>(2*(X97^2)/24*V100)+(X99*Q97*WLS)</f>
        <v>#VALUE!</v>
      </c>
      <c r="Y100" s="84" t="e">
        <f>CONCATENATE("M(",Q97,")=")</f>
        <v>#VALUE!</v>
      </c>
      <c r="Z100" s="84" t="e">
        <f>VLOOKUP(Q97,STN_TABLE,4,FALSE)</f>
        <v>#VALUE!</v>
      </c>
      <c r="AA100" t="str">
        <f>CONCATENATE("M(",Q98,")=")</f>
        <v>M(  )=</v>
      </c>
      <c r="AB100" t="e">
        <f>X100+Z100</f>
        <v>#VALUE!</v>
      </c>
      <c r="AE100" s="89">
        <f>SUM(AE98:AE99)</f>
        <v>0</v>
      </c>
      <c r="AG100" s="89" t="e">
        <f>SUM(AG98:AG99)</f>
        <v>#VALUE!</v>
      </c>
      <c r="AH100" s="84" t="str">
        <f>CONCATENATE("m'(",AD99,")=")</f>
        <v>m'(  )=</v>
      </c>
      <c r="AI100" s="84" t="e">
        <f>(2*(AI97^2)/6*AG100)+(AI99*AD98*WLS)</f>
        <v>#VALUE!</v>
      </c>
      <c r="AJ100" s="84" t="str">
        <f>CONCATENATE("M(",AD98,")=")</f>
        <v>M(  )=</v>
      </c>
      <c r="AK100" s="84" t="str">
        <f>VLOOKUP(AD98,STN_TABLE,4,FALSE)</f>
        <v xml:space="preserve"> </v>
      </c>
      <c r="AL100" t="str">
        <f>CONCATENATE("M(",AD99,")=")</f>
        <v>M(  )=</v>
      </c>
      <c r="AM100" t="e">
        <f>AI100+AK100</f>
        <v>#VALUE!</v>
      </c>
      <c r="AO100" s="82" t="str">
        <f>AA100</f>
        <v>M(  )=</v>
      </c>
      <c r="AP100" s="82" t="e">
        <f>VLOOKUP(AO100,Rise_Results,2,FALSE)</f>
        <v>#N/A</v>
      </c>
      <c r="AQ100" s="82" t="e">
        <f>N100</f>
        <v>#VALUE!</v>
      </c>
      <c r="AR100" s="82" t="e">
        <f>IF(OR(AB99&lt;=0,AB100&lt;=0),1/0,AB100)</f>
        <v>#VALUE!</v>
      </c>
      <c r="AS100" s="82" t="e">
        <f>AM100</f>
        <v>#VALUE!</v>
      </c>
      <c r="AT100" t="e">
        <f>IFERROR(AP100,IFERROR(AQ100,IFERROR(AR100,AS100)))</f>
        <v>#VALUE!</v>
      </c>
      <c r="AU100" s="81"/>
    </row>
    <row r="101" spans="1:47" x14ac:dyDescent="0.25">
      <c r="A101" s="101">
        <f>A96+1</f>
        <v>12</v>
      </c>
      <c r="B101" s="101">
        <f t="shared" si="27"/>
        <v>6.5</v>
      </c>
      <c r="O101" s="101">
        <f>O96+1</f>
        <v>14</v>
      </c>
      <c r="P101" s="101" t="str">
        <f t="shared" si="44"/>
        <v xml:space="preserve">  </v>
      </c>
      <c r="AU101" s="81"/>
    </row>
    <row r="102" spans="1:47" x14ac:dyDescent="0.25">
      <c r="A102" s="84">
        <f>A101+1</f>
        <v>13</v>
      </c>
      <c r="B102" s="84" t="str">
        <f t="shared" si="27"/>
        <v xml:space="preserve">  </v>
      </c>
      <c r="C102" s="79" t="e">
        <f t="shared" ref="C102" si="45">IF(C103=B104,IF(C104-C103=C103-B103,B103,IF(C104-C103=C103-B102,B102,"#NA")),IF(C103=B103,IF(C104-C103=C103-B102,B102,IF(C104-C103=C103-B101,B101,"#NA")),"#NA"))</f>
        <v>#VALUE!</v>
      </c>
      <c r="D102" s="68" t="e">
        <f>VLOOKUP(C102,STN_TABLE,2,FALSE)</f>
        <v>#VALUE!</v>
      </c>
      <c r="E102" s="102">
        <v>1</v>
      </c>
      <c r="F102" s="68" t="e">
        <f>D102*E102</f>
        <v>#VALUE!</v>
      </c>
      <c r="G102" s="69" t="e">
        <f>C102</f>
        <v>#VALUE!</v>
      </c>
      <c r="H102" s="69" t="e">
        <f>F102*G102</f>
        <v>#VALUE!</v>
      </c>
      <c r="I102" s="6" t="s">
        <v>93</v>
      </c>
      <c r="J102" s="70" t="e">
        <f>IF(OR(D102=0,D103=0,D104=0),"#NA",IF(AND(C104-C103=C103-C102,C103&lt;&gt;C104,C102&lt;&gt;C103,C102&lt;&gt;C104,D104&lt;&gt;0,OR(D102&lt;&gt;0,D103&lt;&gt;0)),WLS*(C104-C103),"#NA"))</f>
        <v>#VALUE!</v>
      </c>
      <c r="O102" s="99">
        <f>O101+1</f>
        <v>15</v>
      </c>
      <c r="P102" s="99" t="str">
        <f t="shared" si="44"/>
        <v xml:space="preserve">  </v>
      </c>
      <c r="Q102" s="68" t="e">
        <f>IF(OR(P104-P103=P103-P102,P105-P103=P103-P102),P102,IF(OR(P104-P103=P103-P101,P105-P103=P103-P101),P101,"-"))</f>
        <v>#VALUE!</v>
      </c>
      <c r="R102" s="69" t="e">
        <f>VLOOKUP(Q102,STN_TABLE,2,FALSE)</f>
        <v>#VALUE!</v>
      </c>
      <c r="S102" s="69">
        <v>5</v>
      </c>
      <c r="T102" s="68" t="e">
        <f>R102*S102</f>
        <v>#VALUE!</v>
      </c>
      <c r="U102" s="79">
        <v>3</v>
      </c>
      <c r="V102" s="68" t="e">
        <f>R102*U102</f>
        <v>#VALUE!</v>
      </c>
      <c r="W102" s="6" t="s">
        <v>93</v>
      </c>
      <c r="X102" s="70" t="e">
        <f>IF(AND(Q104-Q103=Q103-Q102,NOT(AND(Q102=0,Q103=0)),NOT(AND(Q103=0,Q104=0))),WLS*(Q104-Q103),"#NA")</f>
        <v>#VALUE!</v>
      </c>
      <c r="AD102" s="93"/>
      <c r="AH102" s="6" t="s">
        <v>93</v>
      </c>
      <c r="AI102" s="70" t="e">
        <f>WLS*(AD104-AD103)</f>
        <v>#VALUE!</v>
      </c>
      <c r="AU102" s="81"/>
    </row>
    <row r="103" spans="1:47" x14ac:dyDescent="0.25">
      <c r="A103" s="84">
        <f>A102+1</f>
        <v>14</v>
      </c>
      <c r="B103" s="84" t="str">
        <f t="shared" si="27"/>
        <v xml:space="preserve">  </v>
      </c>
      <c r="C103" s="80" t="e">
        <f t="shared" ref="C103" si="46">IF(OR(B105-B104=B104-B103,B105-B104=B104-B102,B105-B104=B104-B101),B104,IF(OR(B105-B103=B103-B102,B105-B103=B103-B101),B103,IF(B105-B102=B102-B101,B102,"#NA")))</f>
        <v>#VALUE!</v>
      </c>
      <c r="D103" s="76" t="e">
        <f>VLOOKUP(C103,STN_TABLE,2,FALSE)</f>
        <v>#VALUE!</v>
      </c>
      <c r="E103" s="81">
        <v>4</v>
      </c>
      <c r="F103" s="76" t="e">
        <f>D103*E103</f>
        <v>#VALUE!</v>
      </c>
      <c r="G103" s="77" t="e">
        <f>C103</f>
        <v>#VALUE!</v>
      </c>
      <c r="H103" s="77" t="e">
        <f>F103*G103</f>
        <v>#VALUE!</v>
      </c>
      <c r="I103" s="495" t="s">
        <v>97</v>
      </c>
      <c r="J103" s="496"/>
      <c r="K103" s="78" t="s">
        <v>98</v>
      </c>
      <c r="L103" s="78"/>
      <c r="M103" s="7" t="s">
        <v>99</v>
      </c>
      <c r="N103" s="7"/>
      <c r="O103" s="99">
        <f>O102+1</f>
        <v>16</v>
      </c>
      <c r="P103" s="99" t="str">
        <f t="shared" si="44"/>
        <v xml:space="preserve">  </v>
      </c>
      <c r="Q103" s="76" t="str">
        <f>P103</f>
        <v xml:space="preserve">  </v>
      </c>
      <c r="R103" s="77" t="str">
        <f>VLOOKUP(Q103,STN_TABLE,2,FALSE)</f>
        <v xml:space="preserve">  </v>
      </c>
      <c r="S103" s="77">
        <v>8</v>
      </c>
      <c r="T103" s="76" t="e">
        <f>R103*S103</f>
        <v>#VALUE!</v>
      </c>
      <c r="U103" s="80">
        <v>10</v>
      </c>
      <c r="V103" s="76" t="e">
        <f>R103*U103</f>
        <v>#VALUE!</v>
      </c>
      <c r="W103" s="496" t="s">
        <v>97</v>
      </c>
      <c r="X103" s="496"/>
      <c r="Y103" s="496" t="s">
        <v>98</v>
      </c>
      <c r="Z103" s="496"/>
      <c r="AA103" s="494" t="s">
        <v>99</v>
      </c>
      <c r="AB103" s="494"/>
      <c r="AC103" s="99">
        <f>AC98+1</f>
        <v>15</v>
      </c>
      <c r="AD103" s="95" t="str">
        <f>VLOOKUP(AC103,STN_TABLE_2,2,FALSE)</f>
        <v xml:space="preserve">  </v>
      </c>
      <c r="AE103" s="68" t="str">
        <f>VLOOKUP(AD103,STN_TABLE,2,FALSE)</f>
        <v xml:space="preserve">  </v>
      </c>
      <c r="AF103" s="68">
        <v>1</v>
      </c>
      <c r="AG103" s="69" t="e">
        <f>AE103*AF103</f>
        <v>#VALUE!</v>
      </c>
      <c r="AH103" s="496" t="s">
        <v>97</v>
      </c>
      <c r="AI103" s="496"/>
      <c r="AJ103" s="496" t="s">
        <v>98</v>
      </c>
      <c r="AK103" s="496"/>
      <c r="AL103" s="494" t="s">
        <v>99</v>
      </c>
      <c r="AM103" s="494"/>
      <c r="AP103" s="86" t="s">
        <v>112</v>
      </c>
      <c r="AQ103" s="89" t="s">
        <v>113</v>
      </c>
      <c r="AR103" s="89" t="s">
        <v>114</v>
      </c>
      <c r="AS103" s="89" t="s">
        <v>115</v>
      </c>
      <c r="AU103" s="81"/>
    </row>
    <row r="104" spans="1:47" x14ac:dyDescent="0.25">
      <c r="A104" s="84">
        <f>A103+1</f>
        <v>15</v>
      </c>
      <c r="B104" s="84" t="str">
        <f t="shared" si="27"/>
        <v xml:space="preserve">  </v>
      </c>
      <c r="C104" s="88" t="str">
        <f t="shared" ref="C104" si="47">B105</f>
        <v xml:space="preserve">  </v>
      </c>
      <c r="D104" s="82" t="str">
        <f>VLOOKUP(C104,STN_TABLE,2,FALSE)</f>
        <v xml:space="preserve">  </v>
      </c>
      <c r="E104" s="92">
        <v>1</v>
      </c>
      <c r="F104" s="82" t="e">
        <f>D104*E104</f>
        <v>#VALUE!</v>
      </c>
      <c r="G104" s="83" t="str">
        <f>C104</f>
        <v xml:space="preserve">  </v>
      </c>
      <c r="H104" s="83" t="e">
        <f>F104*G104</f>
        <v>#VALUE!</v>
      </c>
      <c r="I104" s="84" t="str">
        <f>CONCATENATE("a'(",C104,")=")</f>
        <v>a'(  )=</v>
      </c>
      <c r="J104" s="84" t="e">
        <f>2*J102/3*F105</f>
        <v>#VALUE!</v>
      </c>
      <c r="K104" s="84" t="e">
        <f>CONCATENATE("A(",C102,")=")</f>
        <v>#VALUE!</v>
      </c>
      <c r="L104" s="84" t="e">
        <f>VLOOKUP(C102,STN_TABLE,3,FALSE)</f>
        <v>#VALUE!</v>
      </c>
      <c r="M104" t="str">
        <f>CONCATENATE("A(",C104,")=")</f>
        <v>A(  )=</v>
      </c>
      <c r="N104" t="e">
        <f>J104+L104</f>
        <v>#VALUE!</v>
      </c>
      <c r="O104" s="99">
        <f>O103+1</f>
        <v>17</v>
      </c>
      <c r="P104" s="99" t="str">
        <f t="shared" si="44"/>
        <v xml:space="preserve">  </v>
      </c>
      <c r="Q104" s="82" t="e">
        <f>IF(P104-P103=P103-P102,P104,IF(P105-P103=P103-P102,P105,IF(P104-P103=P103-P101,P104,IF(P105-P103=P103-P101,P105,"-"))))</f>
        <v>#VALUE!</v>
      </c>
      <c r="R104" s="83" t="e">
        <f>VLOOKUP(Q104,STN_TABLE,2,FALSE)</f>
        <v>#VALUE!</v>
      </c>
      <c r="S104" s="83">
        <v>-1</v>
      </c>
      <c r="T104" s="82" t="e">
        <f>R104*S104</f>
        <v>#VALUE!</v>
      </c>
      <c r="U104" s="88">
        <v>-1</v>
      </c>
      <c r="V104" s="82" t="e">
        <f>R104*U104</f>
        <v>#VALUE!</v>
      </c>
      <c r="W104" s="84" t="str">
        <f>CONCATENATE("a'(",Q103,")=")</f>
        <v>a'(  )=</v>
      </c>
      <c r="X104" s="84" t="e">
        <f>2*X102/12*T105</f>
        <v>#VALUE!</v>
      </c>
      <c r="Y104" s="84" t="e">
        <f>CONCATENATE("A(",Q102,")=")</f>
        <v>#VALUE!</v>
      </c>
      <c r="Z104" s="84" t="e">
        <f>VLOOKUP(Q102,STN_TABLE,3,FALSE)</f>
        <v>#VALUE!</v>
      </c>
      <c r="AA104" t="str">
        <f>CONCATENATE("A(",Q103,")=")</f>
        <v>A(  )=</v>
      </c>
      <c r="AB104" t="e">
        <f>X104+Z104</f>
        <v>#VALUE!</v>
      </c>
      <c r="AC104" s="99">
        <f>AC103+1</f>
        <v>16</v>
      </c>
      <c r="AD104" s="100" t="str">
        <f>VLOOKUP(AC104,STN_TABLE_2,2,FALSE)</f>
        <v xml:space="preserve">  </v>
      </c>
      <c r="AE104" s="82" t="str">
        <f>VLOOKUP(AD104,STN_TABLE,2,FALSE)</f>
        <v xml:space="preserve">  </v>
      </c>
      <c r="AF104" s="82">
        <v>2</v>
      </c>
      <c r="AG104" s="83" t="e">
        <f>AE104*AF104</f>
        <v>#VALUE!</v>
      </c>
      <c r="AH104" s="84" t="str">
        <f>CONCATENATE("a'(",AD104,")=")</f>
        <v>a'(  )=</v>
      </c>
      <c r="AI104" s="84" t="e">
        <f>2*AI102/2*AE105</f>
        <v>#VALUE!</v>
      </c>
      <c r="AJ104" s="84" t="str">
        <f>CONCATENATE("A(",AD103,")=")</f>
        <v>A(  )=</v>
      </c>
      <c r="AK104" s="84" t="str">
        <f>VLOOKUP(AD103,STN_TABLE,3,FALSE)</f>
        <v xml:space="preserve"> </v>
      </c>
      <c r="AL104" t="str">
        <f>CONCATENATE("A(",AD104,")=")</f>
        <v>A(  )=</v>
      </c>
      <c r="AM104" t="e">
        <f>AI104+AK104</f>
        <v>#VALUE!</v>
      </c>
      <c r="AO104" s="68" t="str">
        <f>AA104</f>
        <v>A(  )=</v>
      </c>
      <c r="AP104" s="68" t="e">
        <f>VLOOKUP(AO104,Rise_Results,2,FALSE)</f>
        <v>#N/A</v>
      </c>
      <c r="AQ104" s="76" t="e">
        <f>N104</f>
        <v>#VALUE!</v>
      </c>
      <c r="AR104" s="76" t="e">
        <f>IF(OR(AB104&lt;=0,AB105&lt;=0),1/0,AB104)</f>
        <v>#VALUE!</v>
      </c>
      <c r="AS104" s="76" t="e">
        <f>AM104</f>
        <v>#VALUE!</v>
      </c>
      <c r="AT104" t="e">
        <f>IFERROR(AP104,IFERROR(AQ104,IFERROR(AR104,AS104)))</f>
        <v>#VALUE!</v>
      </c>
      <c r="AU104" s="81"/>
    </row>
    <row r="105" spans="1:47" x14ac:dyDescent="0.25">
      <c r="A105" s="84">
        <f>A104+1</f>
        <v>16</v>
      </c>
      <c r="B105" s="84" t="str">
        <f t="shared" si="27"/>
        <v xml:space="preserve">  </v>
      </c>
      <c r="F105" s="82" t="e">
        <f>SUM(F102:F104)</f>
        <v>#VALUE!</v>
      </c>
      <c r="H105" s="82" t="e">
        <f>SUM(H102:H104)</f>
        <v>#VALUE!</v>
      </c>
      <c r="I105" s="84" t="str">
        <f>CONCATENATE("m'(",C104,")=")</f>
        <v>m'(  )=</v>
      </c>
      <c r="J105" s="84" t="e">
        <f>2*(J102*(WLS))/3*H105</f>
        <v>#VALUE!</v>
      </c>
      <c r="K105" s="84" t="e">
        <f>CONCATENATE("M(",C102,")=")</f>
        <v>#VALUE!</v>
      </c>
      <c r="L105" s="84" t="e">
        <f>VLOOKUP(C102,STN_TABLE,4,FALSE)</f>
        <v>#VALUE!</v>
      </c>
      <c r="M105" t="str">
        <f>CONCATENATE("M(",C104,")=")</f>
        <v>M(  )=</v>
      </c>
      <c r="N105" t="e">
        <f>J105+L105</f>
        <v>#VALUE!</v>
      </c>
      <c r="O105" s="99">
        <f>O104+1</f>
        <v>18</v>
      </c>
      <c r="P105" s="99" t="str">
        <f t="shared" si="44"/>
        <v xml:space="preserve">  </v>
      </c>
      <c r="T105" s="89" t="e">
        <f>SUM(T102:T104)</f>
        <v>#VALUE!</v>
      </c>
      <c r="V105" s="82" t="e">
        <f>SUM(V102:V104)</f>
        <v>#VALUE!</v>
      </c>
      <c r="W105" s="84" t="str">
        <f>CONCATENATE("m'(",Q103,")=")</f>
        <v>m'(  )=</v>
      </c>
      <c r="X105" s="84" t="e">
        <f>(2*(X102^2)/24*V105)+(X104*Q102*WLS)</f>
        <v>#VALUE!</v>
      </c>
      <c r="Y105" s="84" t="e">
        <f>CONCATENATE("M(",Q102,")=")</f>
        <v>#VALUE!</v>
      </c>
      <c r="Z105" s="84" t="e">
        <f>VLOOKUP(Q102,STN_TABLE,4,FALSE)</f>
        <v>#VALUE!</v>
      </c>
      <c r="AA105" t="str">
        <f>CONCATENATE("M(",Q103,")=")</f>
        <v>M(  )=</v>
      </c>
      <c r="AB105" t="e">
        <f>X105+Z105</f>
        <v>#VALUE!</v>
      </c>
      <c r="AE105" s="89">
        <f>SUM(AE103:AE104)</f>
        <v>0</v>
      </c>
      <c r="AG105" s="89" t="e">
        <f>SUM(AG103:AG104)</f>
        <v>#VALUE!</v>
      </c>
      <c r="AH105" s="84" t="str">
        <f>CONCATENATE("m'(",AD104,")=")</f>
        <v>m'(  )=</v>
      </c>
      <c r="AI105" s="84" t="e">
        <f>(2*(AI102^2)/6*AG105)+(AI104*AD103*WLS)</f>
        <v>#VALUE!</v>
      </c>
      <c r="AJ105" s="84" t="str">
        <f>CONCATENATE("M(",AD103,")=")</f>
        <v>M(  )=</v>
      </c>
      <c r="AK105" s="84" t="str">
        <f>VLOOKUP(AD103,STN_TABLE,4,FALSE)</f>
        <v xml:space="preserve"> </v>
      </c>
      <c r="AL105" t="str">
        <f>CONCATENATE("M(",AD104,")=")</f>
        <v>M(  )=</v>
      </c>
      <c r="AM105" t="e">
        <f>AI105+AK105</f>
        <v>#VALUE!</v>
      </c>
      <c r="AO105" s="82" t="str">
        <f>AA105</f>
        <v>M(  )=</v>
      </c>
      <c r="AP105" s="82" t="e">
        <f>VLOOKUP(AO105,Rise_Results,2,FALSE)</f>
        <v>#N/A</v>
      </c>
      <c r="AQ105" s="82" t="e">
        <f>N105</f>
        <v>#VALUE!</v>
      </c>
      <c r="AR105" s="82" t="e">
        <f>IF(OR(AB104&lt;=0,AB105&lt;=0),1/0,AB105)</f>
        <v>#VALUE!</v>
      </c>
      <c r="AS105" s="82" t="e">
        <f>AM105</f>
        <v>#VALUE!</v>
      </c>
      <c r="AT105" t="e">
        <f>IFERROR(AP105,IFERROR(AQ105,IFERROR(AR105,AS105)))</f>
        <v>#VALUE!</v>
      </c>
      <c r="AU105" s="81"/>
    </row>
    <row r="106" spans="1:47" x14ac:dyDescent="0.25">
      <c r="A106" s="101">
        <f>A101+1</f>
        <v>13</v>
      </c>
      <c r="B106" s="101" t="str">
        <f t="shared" ref="B106:B137" si="48">VLOOKUP(A106,STN_TABLE_2,2,FALSE)</f>
        <v xml:space="preserve">  </v>
      </c>
      <c r="O106" s="101">
        <f>O101+1</f>
        <v>15</v>
      </c>
      <c r="P106" s="101" t="str">
        <f t="shared" si="44"/>
        <v xml:space="preserve">  </v>
      </c>
      <c r="AU106" s="81"/>
    </row>
    <row r="107" spans="1:47" x14ac:dyDescent="0.25">
      <c r="A107" s="84">
        <f>A106+1</f>
        <v>14</v>
      </c>
      <c r="B107" s="84" t="str">
        <f t="shared" si="48"/>
        <v xml:space="preserve">  </v>
      </c>
      <c r="C107" s="79" t="e">
        <f t="shared" ref="C107" si="49">IF(C108=B109,IF(C109-C108=C108-B108,B108,IF(C109-C108=C108-B107,B107,"#NA")),IF(C108=B108,IF(C109-C108=C108-B107,B107,IF(C109-C108=C108-B106,B106,"#NA")),"#NA"))</f>
        <v>#VALUE!</v>
      </c>
      <c r="D107" s="68" t="e">
        <f>VLOOKUP(C107,STN_TABLE,2,FALSE)</f>
        <v>#VALUE!</v>
      </c>
      <c r="E107" s="102">
        <v>1</v>
      </c>
      <c r="F107" s="68" t="e">
        <f>D107*E107</f>
        <v>#VALUE!</v>
      </c>
      <c r="G107" s="69" t="e">
        <f>C107</f>
        <v>#VALUE!</v>
      </c>
      <c r="H107" s="69" t="e">
        <f>F107*G107</f>
        <v>#VALUE!</v>
      </c>
      <c r="I107" s="6" t="s">
        <v>93</v>
      </c>
      <c r="J107" s="70" t="e">
        <f>IF(OR(D107=0,D108=0,D109=0),"#NA",IF(AND(C109-C108=C108-C107,C108&lt;&gt;C109,C107&lt;&gt;C108,C107&lt;&gt;C109,D109&lt;&gt;0,OR(D107&lt;&gt;0,D108&lt;&gt;0)),WLS*(C109-C108),"#NA"))</f>
        <v>#VALUE!</v>
      </c>
      <c r="O107" s="99">
        <f>O106+1</f>
        <v>16</v>
      </c>
      <c r="P107" s="99" t="str">
        <f t="shared" si="44"/>
        <v xml:space="preserve">  </v>
      </c>
      <c r="Q107" s="68" t="e">
        <f>IF(OR(P109-P108=P108-P107,P110-P108=P108-P107),P107,IF(OR(P109-P108=P108-P106,P110-P108=P108-P106),P106,"-"))</f>
        <v>#VALUE!</v>
      </c>
      <c r="R107" s="69" t="e">
        <f>VLOOKUP(Q107,STN_TABLE,2,FALSE)</f>
        <v>#VALUE!</v>
      </c>
      <c r="S107" s="69">
        <v>5</v>
      </c>
      <c r="T107" s="68" t="e">
        <f>R107*S107</f>
        <v>#VALUE!</v>
      </c>
      <c r="U107" s="79">
        <v>3</v>
      </c>
      <c r="V107" s="68" t="e">
        <f>R107*U107</f>
        <v>#VALUE!</v>
      </c>
      <c r="W107" s="6" t="s">
        <v>93</v>
      </c>
      <c r="X107" s="70" t="e">
        <f>IF(AND(Q109-Q108=Q108-Q107,NOT(AND(Q107=0,Q108=0)),NOT(AND(Q108=0,Q109=0))),WLS*(Q109-Q108),"#NA")</f>
        <v>#VALUE!</v>
      </c>
      <c r="AD107" s="93"/>
      <c r="AH107" s="6" t="s">
        <v>93</v>
      </c>
      <c r="AI107" s="70" t="e">
        <f>WLS*(AD109-AD108)</f>
        <v>#VALUE!</v>
      </c>
      <c r="AU107" s="81"/>
    </row>
    <row r="108" spans="1:47" x14ac:dyDescent="0.25">
      <c r="A108" s="84">
        <f>A107+1</f>
        <v>15</v>
      </c>
      <c r="B108" s="84" t="str">
        <f t="shared" si="48"/>
        <v xml:space="preserve">  </v>
      </c>
      <c r="C108" s="80" t="e">
        <f t="shared" ref="C108" si="50">IF(OR(B110-B109=B109-B108,B110-B109=B109-B107,B110-B109=B109-B106),B109,IF(OR(B110-B108=B108-B107,B110-B108=B108-B106),B108,IF(B110-B107=B107-B106,B107,"#NA")))</f>
        <v>#VALUE!</v>
      </c>
      <c r="D108" s="76" t="e">
        <f>VLOOKUP(C108,STN_TABLE,2,FALSE)</f>
        <v>#VALUE!</v>
      </c>
      <c r="E108" s="81">
        <v>4</v>
      </c>
      <c r="F108" s="76" t="e">
        <f>D108*E108</f>
        <v>#VALUE!</v>
      </c>
      <c r="G108" s="77" t="e">
        <f>C108</f>
        <v>#VALUE!</v>
      </c>
      <c r="H108" s="77" t="e">
        <f>F108*G108</f>
        <v>#VALUE!</v>
      </c>
      <c r="I108" s="495" t="s">
        <v>97</v>
      </c>
      <c r="J108" s="496"/>
      <c r="K108" s="78" t="s">
        <v>98</v>
      </c>
      <c r="L108" s="78"/>
      <c r="M108" s="7" t="s">
        <v>99</v>
      </c>
      <c r="N108" s="7"/>
      <c r="O108" s="99">
        <f>O107+1</f>
        <v>17</v>
      </c>
      <c r="P108" s="99" t="str">
        <f t="shared" si="44"/>
        <v xml:space="preserve">  </v>
      </c>
      <c r="Q108" s="76" t="str">
        <f>P108</f>
        <v xml:space="preserve">  </v>
      </c>
      <c r="R108" s="77" t="str">
        <f>VLOOKUP(Q108,STN_TABLE,2,FALSE)</f>
        <v xml:space="preserve">  </v>
      </c>
      <c r="S108" s="77">
        <v>8</v>
      </c>
      <c r="T108" s="76" t="e">
        <f>R108*S108</f>
        <v>#VALUE!</v>
      </c>
      <c r="U108" s="80">
        <v>10</v>
      </c>
      <c r="V108" s="76" t="e">
        <f>R108*U108</f>
        <v>#VALUE!</v>
      </c>
      <c r="W108" s="496" t="s">
        <v>97</v>
      </c>
      <c r="X108" s="496"/>
      <c r="Y108" s="496" t="s">
        <v>98</v>
      </c>
      <c r="Z108" s="496"/>
      <c r="AA108" s="494" t="s">
        <v>99</v>
      </c>
      <c r="AB108" s="494"/>
      <c r="AC108" s="99">
        <f>AC103+1</f>
        <v>16</v>
      </c>
      <c r="AD108" s="95" t="str">
        <f>VLOOKUP(AC108,STN_TABLE_2,2,FALSE)</f>
        <v xml:space="preserve">  </v>
      </c>
      <c r="AE108" s="68" t="str">
        <f>VLOOKUP(AD108,STN_TABLE,2,FALSE)</f>
        <v xml:space="preserve">  </v>
      </c>
      <c r="AF108" s="68">
        <v>1</v>
      </c>
      <c r="AG108" s="69" t="e">
        <f>AE108*AF108</f>
        <v>#VALUE!</v>
      </c>
      <c r="AH108" s="496" t="s">
        <v>97</v>
      </c>
      <c r="AI108" s="496"/>
      <c r="AJ108" s="496" t="s">
        <v>98</v>
      </c>
      <c r="AK108" s="496"/>
      <c r="AL108" s="494" t="s">
        <v>99</v>
      </c>
      <c r="AM108" s="494"/>
      <c r="AP108" s="86" t="s">
        <v>112</v>
      </c>
      <c r="AQ108" s="89" t="s">
        <v>113</v>
      </c>
      <c r="AR108" s="89" t="s">
        <v>114</v>
      </c>
      <c r="AS108" s="89" t="s">
        <v>115</v>
      </c>
      <c r="AU108" s="81"/>
    </row>
    <row r="109" spans="1:47" x14ac:dyDescent="0.25">
      <c r="A109" s="84">
        <f>A108+1</f>
        <v>16</v>
      </c>
      <c r="B109" s="84" t="str">
        <f t="shared" si="48"/>
        <v xml:space="preserve">  </v>
      </c>
      <c r="C109" s="88" t="str">
        <f t="shared" ref="C109" si="51">B110</f>
        <v xml:space="preserve">  </v>
      </c>
      <c r="D109" s="82" t="str">
        <f>VLOOKUP(C109,STN_TABLE,2,FALSE)</f>
        <v xml:space="preserve">  </v>
      </c>
      <c r="E109" s="92">
        <v>1</v>
      </c>
      <c r="F109" s="82" t="e">
        <f>D109*E109</f>
        <v>#VALUE!</v>
      </c>
      <c r="G109" s="83" t="str">
        <f>C109</f>
        <v xml:space="preserve">  </v>
      </c>
      <c r="H109" s="83" t="e">
        <f>F109*G109</f>
        <v>#VALUE!</v>
      </c>
      <c r="I109" s="84" t="str">
        <f>CONCATENATE("a'(",C109,")=")</f>
        <v>a'(  )=</v>
      </c>
      <c r="J109" s="84" t="e">
        <f>2*J107/3*F110</f>
        <v>#VALUE!</v>
      </c>
      <c r="K109" s="84" t="e">
        <f>CONCATENATE("A(",C107,")=")</f>
        <v>#VALUE!</v>
      </c>
      <c r="L109" s="84" t="e">
        <f>VLOOKUP(C107,STN_TABLE,3,FALSE)</f>
        <v>#VALUE!</v>
      </c>
      <c r="M109" t="str">
        <f>CONCATENATE("A(",C109,")=")</f>
        <v>A(  )=</v>
      </c>
      <c r="N109" t="e">
        <f>J109+L109</f>
        <v>#VALUE!</v>
      </c>
      <c r="O109" s="99">
        <f>O108+1</f>
        <v>18</v>
      </c>
      <c r="P109" s="99" t="str">
        <f t="shared" si="44"/>
        <v xml:space="preserve">  </v>
      </c>
      <c r="Q109" s="82" t="e">
        <f>IF(P109-P108=P108-P107,P109,IF(P110-P108=P108-P107,P110,IF(P109-P108=P108-P106,P109,IF(P110-P108=P108-P106,P110,"-"))))</f>
        <v>#VALUE!</v>
      </c>
      <c r="R109" s="83" t="e">
        <f>VLOOKUP(Q109,STN_TABLE,2,FALSE)</f>
        <v>#VALUE!</v>
      </c>
      <c r="S109" s="83">
        <v>-1</v>
      </c>
      <c r="T109" s="82" t="e">
        <f>R109*S109</f>
        <v>#VALUE!</v>
      </c>
      <c r="U109" s="88">
        <v>-1</v>
      </c>
      <c r="V109" s="82" t="e">
        <f>R109*U109</f>
        <v>#VALUE!</v>
      </c>
      <c r="W109" s="84" t="str">
        <f>CONCATENATE("a'(",Q108,")=")</f>
        <v>a'(  )=</v>
      </c>
      <c r="X109" s="84" t="e">
        <f>2*X107/12*T110</f>
        <v>#VALUE!</v>
      </c>
      <c r="Y109" s="84" t="e">
        <f>CONCATENATE("A(",Q107,")=")</f>
        <v>#VALUE!</v>
      </c>
      <c r="Z109" s="84" t="e">
        <f>VLOOKUP(Q107,STN_TABLE,3,FALSE)</f>
        <v>#VALUE!</v>
      </c>
      <c r="AA109" t="str">
        <f>CONCATENATE("A(",Q108,")=")</f>
        <v>A(  )=</v>
      </c>
      <c r="AB109" t="e">
        <f>X109+Z109</f>
        <v>#VALUE!</v>
      </c>
      <c r="AC109" s="99">
        <f>AC108+1</f>
        <v>17</v>
      </c>
      <c r="AD109" s="100" t="str">
        <f>VLOOKUP(AC109,STN_TABLE_2,2,FALSE)</f>
        <v xml:space="preserve">  </v>
      </c>
      <c r="AE109" s="82" t="str">
        <f>VLOOKUP(AD109,STN_TABLE,2,FALSE)</f>
        <v xml:space="preserve">  </v>
      </c>
      <c r="AF109" s="82">
        <v>2</v>
      </c>
      <c r="AG109" s="83" t="e">
        <f>AE109*AF109</f>
        <v>#VALUE!</v>
      </c>
      <c r="AH109" s="84" t="str">
        <f>CONCATENATE("a'(",AD109,")=")</f>
        <v>a'(  )=</v>
      </c>
      <c r="AI109" s="84" t="e">
        <f>2*AI107/2*AE110</f>
        <v>#VALUE!</v>
      </c>
      <c r="AJ109" s="84" t="str">
        <f>CONCATENATE("A(",AD108,")=")</f>
        <v>A(  )=</v>
      </c>
      <c r="AK109" s="84" t="str">
        <f>VLOOKUP(AD108,STN_TABLE,3,FALSE)</f>
        <v xml:space="preserve"> </v>
      </c>
      <c r="AL109" t="str">
        <f>CONCATENATE("A(",AD109,")=")</f>
        <v>A(  )=</v>
      </c>
      <c r="AM109" t="e">
        <f>AI109+AK109</f>
        <v>#VALUE!</v>
      </c>
      <c r="AO109" s="68" t="str">
        <f>AA109</f>
        <v>A(  )=</v>
      </c>
      <c r="AP109" s="68" t="e">
        <f>VLOOKUP(AO109,Rise_Results,2,FALSE)</f>
        <v>#N/A</v>
      </c>
      <c r="AQ109" s="76" t="e">
        <f>N109</f>
        <v>#VALUE!</v>
      </c>
      <c r="AR109" s="76" t="e">
        <f>IF(OR(AB109&lt;=0,AB110&lt;=0),1/0,AB109)</f>
        <v>#VALUE!</v>
      </c>
      <c r="AS109" s="76" t="e">
        <f>AM109</f>
        <v>#VALUE!</v>
      </c>
      <c r="AT109" t="e">
        <f>IFERROR(AP109,IFERROR(AQ109,IFERROR(AR109,AS109)))</f>
        <v>#VALUE!</v>
      </c>
      <c r="AU109" s="81"/>
    </row>
    <row r="110" spans="1:47" x14ac:dyDescent="0.25">
      <c r="A110" s="84">
        <f>A109+1</f>
        <v>17</v>
      </c>
      <c r="B110" s="84" t="str">
        <f t="shared" si="48"/>
        <v xml:space="preserve">  </v>
      </c>
      <c r="F110" s="82" t="e">
        <f>SUM(F107:F109)</f>
        <v>#VALUE!</v>
      </c>
      <c r="H110" s="82" t="e">
        <f>SUM(H107:H109)</f>
        <v>#VALUE!</v>
      </c>
      <c r="I110" s="84" t="str">
        <f>CONCATENATE("m'(",C109,")=")</f>
        <v>m'(  )=</v>
      </c>
      <c r="J110" s="84" t="e">
        <f>2*(J107*(WLS))/3*H110</f>
        <v>#VALUE!</v>
      </c>
      <c r="K110" s="84" t="e">
        <f>CONCATENATE("M(",C107,")=")</f>
        <v>#VALUE!</v>
      </c>
      <c r="L110" s="84" t="e">
        <f>VLOOKUP(C107,STN_TABLE,4,FALSE)</f>
        <v>#VALUE!</v>
      </c>
      <c r="M110" t="str">
        <f>CONCATENATE("M(",C109,")=")</f>
        <v>M(  )=</v>
      </c>
      <c r="N110" t="e">
        <f>J110+L110</f>
        <v>#VALUE!</v>
      </c>
      <c r="O110" s="99">
        <f>O109+1</f>
        <v>19</v>
      </c>
      <c r="P110" s="99" t="str">
        <f t="shared" si="44"/>
        <v xml:space="preserve">  </v>
      </c>
      <c r="T110" s="89" t="e">
        <f>SUM(T107:T109)</f>
        <v>#VALUE!</v>
      </c>
      <c r="V110" s="82" t="e">
        <f>SUM(V107:V109)</f>
        <v>#VALUE!</v>
      </c>
      <c r="W110" s="84" t="str">
        <f>CONCATENATE("m'(",Q108,")=")</f>
        <v>m'(  )=</v>
      </c>
      <c r="X110" s="84" t="e">
        <f>(2*(X107^2)/24*V110)+(X109*Q107*WLS)</f>
        <v>#VALUE!</v>
      </c>
      <c r="Y110" s="84" t="e">
        <f>CONCATENATE("M(",Q107,")=")</f>
        <v>#VALUE!</v>
      </c>
      <c r="Z110" s="84" t="e">
        <f>VLOOKUP(Q107,STN_TABLE,4,FALSE)</f>
        <v>#VALUE!</v>
      </c>
      <c r="AA110" t="str">
        <f>CONCATENATE("M(",Q108,")=")</f>
        <v>M(  )=</v>
      </c>
      <c r="AB110" t="e">
        <f>X110+Z110</f>
        <v>#VALUE!</v>
      </c>
      <c r="AE110" s="89">
        <f>SUM(AE108:AE109)</f>
        <v>0</v>
      </c>
      <c r="AG110" s="89" t="e">
        <f>SUM(AG108:AG109)</f>
        <v>#VALUE!</v>
      </c>
      <c r="AH110" s="84" t="str">
        <f>CONCATENATE("m'(",AD109,")=")</f>
        <v>m'(  )=</v>
      </c>
      <c r="AI110" s="84" t="e">
        <f>(2*(AI107^2)/6*AG110)+(AI109*AD108*WLS)</f>
        <v>#VALUE!</v>
      </c>
      <c r="AJ110" s="84" t="str">
        <f>CONCATENATE("M(",AD108,")=")</f>
        <v>M(  )=</v>
      </c>
      <c r="AK110" s="84" t="str">
        <f>VLOOKUP(AD108,STN_TABLE,4,FALSE)</f>
        <v xml:space="preserve"> </v>
      </c>
      <c r="AL110" t="str">
        <f>CONCATENATE("M(",AD109,")=")</f>
        <v>M(  )=</v>
      </c>
      <c r="AM110" t="e">
        <f>AI110+AK110</f>
        <v>#VALUE!</v>
      </c>
      <c r="AO110" s="82" t="str">
        <f>AA110</f>
        <v>M(  )=</v>
      </c>
      <c r="AP110" s="82" t="e">
        <f>VLOOKUP(AO110,Rise_Results,2,FALSE)</f>
        <v>#N/A</v>
      </c>
      <c r="AQ110" s="82" t="e">
        <f>N110</f>
        <v>#VALUE!</v>
      </c>
      <c r="AR110" s="82" t="e">
        <f>IF(OR(AB109&lt;=0,AB110&lt;=0),1/0,AB110)</f>
        <v>#VALUE!</v>
      </c>
      <c r="AS110" s="82" t="e">
        <f>AM110</f>
        <v>#VALUE!</v>
      </c>
      <c r="AT110" t="e">
        <f>IFERROR(AP110,IFERROR(AQ110,IFERROR(AR110,AS110)))</f>
        <v>#VALUE!</v>
      </c>
      <c r="AU110" s="81"/>
    </row>
    <row r="111" spans="1:47" x14ac:dyDescent="0.25">
      <c r="A111" s="101">
        <f>A106+1</f>
        <v>14</v>
      </c>
      <c r="B111" s="101" t="str">
        <f t="shared" si="48"/>
        <v xml:space="preserve">  </v>
      </c>
      <c r="O111" s="101">
        <f>O106+1</f>
        <v>16</v>
      </c>
      <c r="P111" s="101" t="str">
        <f t="shared" si="44"/>
        <v xml:space="preserve">  </v>
      </c>
      <c r="AU111" s="81"/>
    </row>
    <row r="112" spans="1:47" x14ac:dyDescent="0.25">
      <c r="A112" s="84">
        <f>A111+1</f>
        <v>15</v>
      </c>
      <c r="B112" s="84" t="str">
        <f t="shared" si="48"/>
        <v xml:space="preserve">  </v>
      </c>
      <c r="C112" s="79" t="e">
        <f t="shared" ref="C112" si="52">IF(C113=B114,IF(C114-C113=C113-B113,B113,IF(C114-C113=C113-B112,B112,"#NA")),IF(C113=B113,IF(C114-C113=C113-B112,B112,IF(C114-C113=C113-B111,B111,"#NA")),"#NA"))</f>
        <v>#VALUE!</v>
      </c>
      <c r="D112" s="68" t="e">
        <f>VLOOKUP(C112,STN_TABLE,2,FALSE)</f>
        <v>#VALUE!</v>
      </c>
      <c r="E112" s="102">
        <v>1</v>
      </c>
      <c r="F112" s="68" t="e">
        <f>D112*E112</f>
        <v>#VALUE!</v>
      </c>
      <c r="G112" s="69" t="e">
        <f>C112</f>
        <v>#VALUE!</v>
      </c>
      <c r="H112" s="69" t="e">
        <f>F112*G112</f>
        <v>#VALUE!</v>
      </c>
      <c r="I112" s="6" t="s">
        <v>93</v>
      </c>
      <c r="J112" s="70" t="e">
        <f>IF(OR(D112=0,D113=0,D114=0),"#NA",IF(AND(C114-C113=C113-C112,C113&lt;&gt;C114,C112&lt;&gt;C113,C112&lt;&gt;C114,D114&lt;&gt;0,OR(D112&lt;&gt;0,D113&lt;&gt;0)),WLS*(C114-C113),"#NA"))</f>
        <v>#VALUE!</v>
      </c>
      <c r="O112" s="99">
        <f>O111+1</f>
        <v>17</v>
      </c>
      <c r="P112" s="99" t="str">
        <f t="shared" si="44"/>
        <v xml:space="preserve">  </v>
      </c>
      <c r="Q112" s="68" t="e">
        <f>IF(OR(P114-P113=P113-P112,P115-P113=P113-P112),P112,IF(OR(P114-P113=P113-P111,P115-P113=P113-P111),P111,"-"))</f>
        <v>#VALUE!</v>
      </c>
      <c r="R112" s="69" t="e">
        <f>VLOOKUP(Q112,STN_TABLE,2,FALSE)</f>
        <v>#VALUE!</v>
      </c>
      <c r="S112" s="69">
        <v>5</v>
      </c>
      <c r="T112" s="68" t="e">
        <f>R112*S112</f>
        <v>#VALUE!</v>
      </c>
      <c r="U112" s="79">
        <v>3</v>
      </c>
      <c r="V112" s="68" t="e">
        <f>R112*U112</f>
        <v>#VALUE!</v>
      </c>
      <c r="W112" s="6" t="s">
        <v>93</v>
      </c>
      <c r="X112" s="70" t="e">
        <f>IF(AND(Q114-Q113=Q113-Q112,NOT(AND(Q112=0,Q113=0)),NOT(AND(Q113=0,Q114=0))),WLS*(Q114-Q113),"#NA")</f>
        <v>#VALUE!</v>
      </c>
      <c r="AD112" s="93"/>
      <c r="AH112" s="6" t="s">
        <v>93</v>
      </c>
      <c r="AI112" s="70" t="e">
        <f>WLS*(AD114-AD113)</f>
        <v>#VALUE!</v>
      </c>
      <c r="AU112" s="81"/>
    </row>
    <row r="113" spans="1:47" x14ac:dyDescent="0.25">
      <c r="A113" s="84">
        <f>A112+1</f>
        <v>16</v>
      </c>
      <c r="B113" s="84" t="str">
        <f t="shared" si="48"/>
        <v xml:space="preserve">  </v>
      </c>
      <c r="C113" s="80" t="e">
        <f t="shared" ref="C113" si="53">IF(OR(B115-B114=B114-B113,B115-B114=B114-B112,B115-B114=B114-B111),B114,IF(OR(B115-B113=B113-B112,B115-B113=B113-B111),B113,IF(B115-B112=B112-B111,B112,"#NA")))</f>
        <v>#VALUE!</v>
      </c>
      <c r="D113" s="76" t="e">
        <f>VLOOKUP(C113,STN_TABLE,2,FALSE)</f>
        <v>#VALUE!</v>
      </c>
      <c r="E113" s="81">
        <v>4</v>
      </c>
      <c r="F113" s="76" t="e">
        <f>D113*E113</f>
        <v>#VALUE!</v>
      </c>
      <c r="G113" s="77" t="e">
        <f>C113</f>
        <v>#VALUE!</v>
      </c>
      <c r="H113" s="77" t="e">
        <f>F113*G113</f>
        <v>#VALUE!</v>
      </c>
      <c r="I113" s="495" t="s">
        <v>97</v>
      </c>
      <c r="J113" s="496"/>
      <c r="K113" s="78" t="s">
        <v>98</v>
      </c>
      <c r="L113" s="78"/>
      <c r="M113" s="7" t="s">
        <v>99</v>
      </c>
      <c r="N113" s="7"/>
      <c r="O113" s="99">
        <f>O112+1</f>
        <v>18</v>
      </c>
      <c r="P113" s="99" t="str">
        <f t="shared" si="44"/>
        <v xml:space="preserve">  </v>
      </c>
      <c r="Q113" s="76" t="str">
        <f>P113</f>
        <v xml:space="preserve">  </v>
      </c>
      <c r="R113" s="77" t="str">
        <f>VLOOKUP(Q113,STN_TABLE,2,FALSE)</f>
        <v xml:space="preserve">  </v>
      </c>
      <c r="S113" s="77">
        <v>8</v>
      </c>
      <c r="T113" s="76" t="e">
        <f>R113*S113</f>
        <v>#VALUE!</v>
      </c>
      <c r="U113" s="80">
        <v>10</v>
      </c>
      <c r="V113" s="76" t="e">
        <f>R113*U113</f>
        <v>#VALUE!</v>
      </c>
      <c r="W113" s="496" t="s">
        <v>97</v>
      </c>
      <c r="X113" s="496"/>
      <c r="Y113" s="496" t="s">
        <v>98</v>
      </c>
      <c r="Z113" s="496"/>
      <c r="AA113" s="494" t="s">
        <v>99</v>
      </c>
      <c r="AB113" s="494"/>
      <c r="AC113" s="99">
        <f>AC108+1</f>
        <v>17</v>
      </c>
      <c r="AD113" s="95" t="str">
        <f>VLOOKUP(AC113,STN_TABLE_2,2,FALSE)</f>
        <v xml:space="preserve">  </v>
      </c>
      <c r="AE113" s="68" t="str">
        <f>VLOOKUP(AD113,STN_TABLE,2,FALSE)</f>
        <v xml:space="preserve">  </v>
      </c>
      <c r="AF113" s="68">
        <v>1</v>
      </c>
      <c r="AG113" s="69" t="e">
        <f>AE113*AF113</f>
        <v>#VALUE!</v>
      </c>
      <c r="AH113" s="496" t="s">
        <v>97</v>
      </c>
      <c r="AI113" s="496"/>
      <c r="AJ113" s="496" t="s">
        <v>98</v>
      </c>
      <c r="AK113" s="496"/>
      <c r="AL113" s="494" t="s">
        <v>99</v>
      </c>
      <c r="AM113" s="494"/>
      <c r="AP113" s="86" t="s">
        <v>112</v>
      </c>
      <c r="AQ113" s="89" t="s">
        <v>113</v>
      </c>
      <c r="AR113" s="89" t="s">
        <v>114</v>
      </c>
      <c r="AS113" s="89" t="s">
        <v>115</v>
      </c>
      <c r="AU113" s="81"/>
    </row>
    <row r="114" spans="1:47" x14ac:dyDescent="0.25">
      <c r="A114" s="84">
        <f>A113+1</f>
        <v>17</v>
      </c>
      <c r="B114" s="84" t="str">
        <f t="shared" si="48"/>
        <v xml:space="preserve">  </v>
      </c>
      <c r="C114" s="88" t="str">
        <f t="shared" ref="C114" si="54">B115</f>
        <v xml:space="preserve">  </v>
      </c>
      <c r="D114" s="82" t="str">
        <f>VLOOKUP(C114,STN_TABLE,2,FALSE)</f>
        <v xml:space="preserve">  </v>
      </c>
      <c r="E114" s="92">
        <v>1</v>
      </c>
      <c r="F114" s="82" t="e">
        <f>D114*E114</f>
        <v>#VALUE!</v>
      </c>
      <c r="G114" s="83" t="str">
        <f>C114</f>
        <v xml:space="preserve">  </v>
      </c>
      <c r="H114" s="83" t="e">
        <f>F114*G114</f>
        <v>#VALUE!</v>
      </c>
      <c r="I114" s="84" t="str">
        <f>CONCATENATE("a'(",C114,")=")</f>
        <v>a'(  )=</v>
      </c>
      <c r="J114" s="84" t="e">
        <f>2*J112/3*F115</f>
        <v>#VALUE!</v>
      </c>
      <c r="K114" s="84" t="e">
        <f>CONCATENATE("A(",C112,")=")</f>
        <v>#VALUE!</v>
      </c>
      <c r="L114" s="84" t="e">
        <f>VLOOKUP(C112,STN_TABLE,3,FALSE)</f>
        <v>#VALUE!</v>
      </c>
      <c r="M114" t="str">
        <f>CONCATENATE("A(",C114,")=")</f>
        <v>A(  )=</v>
      </c>
      <c r="N114" t="e">
        <f>J114+L114</f>
        <v>#VALUE!</v>
      </c>
      <c r="O114" s="99">
        <f>O113+1</f>
        <v>19</v>
      </c>
      <c r="P114" s="99" t="str">
        <f t="shared" si="44"/>
        <v xml:space="preserve">  </v>
      </c>
      <c r="Q114" s="82" t="e">
        <f>IF(P114-P113=P113-P112,P114,IF(P115-P113=P113-P112,P115,IF(P114-P113=P113-P111,P114,IF(P115-P113=P113-P111,P115,"-"))))</f>
        <v>#VALUE!</v>
      </c>
      <c r="R114" s="83" t="e">
        <f>VLOOKUP(Q114,STN_TABLE,2,FALSE)</f>
        <v>#VALUE!</v>
      </c>
      <c r="S114" s="83">
        <v>-1</v>
      </c>
      <c r="T114" s="82" t="e">
        <f>R114*S114</f>
        <v>#VALUE!</v>
      </c>
      <c r="U114" s="88">
        <v>-1</v>
      </c>
      <c r="V114" s="82" t="e">
        <f>R114*U114</f>
        <v>#VALUE!</v>
      </c>
      <c r="W114" s="84" t="str">
        <f>CONCATENATE("a'(",Q113,")=")</f>
        <v>a'(  )=</v>
      </c>
      <c r="X114" s="84" t="e">
        <f>2*X112/12*T115</f>
        <v>#VALUE!</v>
      </c>
      <c r="Y114" s="84" t="e">
        <f>CONCATENATE("A(",Q112,")=")</f>
        <v>#VALUE!</v>
      </c>
      <c r="Z114" s="84" t="e">
        <f>VLOOKUP(Q112,STN_TABLE,3,FALSE)</f>
        <v>#VALUE!</v>
      </c>
      <c r="AA114" t="str">
        <f>CONCATENATE("A(",Q113,")=")</f>
        <v>A(  )=</v>
      </c>
      <c r="AB114" t="e">
        <f>X114+Z114</f>
        <v>#VALUE!</v>
      </c>
      <c r="AC114" s="99">
        <f>AC113+1</f>
        <v>18</v>
      </c>
      <c r="AD114" s="100" t="str">
        <f>VLOOKUP(AC114,STN_TABLE_2,2,FALSE)</f>
        <v xml:space="preserve">  </v>
      </c>
      <c r="AE114" s="82" t="str">
        <f>VLOOKUP(AD114,STN_TABLE,2,FALSE)</f>
        <v xml:space="preserve">  </v>
      </c>
      <c r="AF114" s="82">
        <v>2</v>
      </c>
      <c r="AG114" s="83" t="e">
        <f>AE114*AF114</f>
        <v>#VALUE!</v>
      </c>
      <c r="AH114" s="84" t="str">
        <f>CONCATENATE("a'(",AD114,")=")</f>
        <v>a'(  )=</v>
      </c>
      <c r="AI114" s="84" t="e">
        <f>2*AI112/2*AE115</f>
        <v>#VALUE!</v>
      </c>
      <c r="AJ114" s="84" t="str">
        <f>CONCATENATE("A(",AD113,")=")</f>
        <v>A(  )=</v>
      </c>
      <c r="AK114" s="84" t="str">
        <f>VLOOKUP(AD113,STN_TABLE,3,FALSE)</f>
        <v xml:space="preserve"> </v>
      </c>
      <c r="AL114" t="str">
        <f>CONCATENATE("A(",AD114,")=")</f>
        <v>A(  )=</v>
      </c>
      <c r="AM114" t="e">
        <f>AI114+AK114</f>
        <v>#VALUE!</v>
      </c>
      <c r="AO114" s="68" t="str">
        <f>AA114</f>
        <v>A(  )=</v>
      </c>
      <c r="AP114" s="68" t="e">
        <f>VLOOKUP(AO114,Rise_Results,2,FALSE)</f>
        <v>#N/A</v>
      </c>
      <c r="AQ114" s="76" t="e">
        <f>N114</f>
        <v>#VALUE!</v>
      </c>
      <c r="AR114" s="76" t="e">
        <f>IF(OR(AB114&lt;=0,AB115&lt;=0),1/0,AB114)</f>
        <v>#VALUE!</v>
      </c>
      <c r="AS114" s="76" t="e">
        <f>AM114</f>
        <v>#VALUE!</v>
      </c>
      <c r="AT114" t="e">
        <f>IFERROR(AP114,IFERROR(AQ114,IFERROR(AR114,AS114)))</f>
        <v>#VALUE!</v>
      </c>
      <c r="AU114" s="81"/>
    </row>
    <row r="115" spans="1:47" x14ac:dyDescent="0.25">
      <c r="A115" s="84">
        <f>A114+1</f>
        <v>18</v>
      </c>
      <c r="B115" s="84" t="str">
        <f t="shared" si="48"/>
        <v xml:space="preserve">  </v>
      </c>
      <c r="F115" s="82" t="e">
        <f>SUM(F112:F114)</f>
        <v>#VALUE!</v>
      </c>
      <c r="H115" s="82" t="e">
        <f>SUM(H112:H114)</f>
        <v>#VALUE!</v>
      </c>
      <c r="I115" s="84" t="str">
        <f>CONCATENATE("m'(",C114,")=")</f>
        <v>m'(  )=</v>
      </c>
      <c r="J115" s="84" t="e">
        <f>2*(J112*(WLS))/3*H115</f>
        <v>#VALUE!</v>
      </c>
      <c r="K115" s="84" t="e">
        <f>CONCATENATE("M(",C112,")=")</f>
        <v>#VALUE!</v>
      </c>
      <c r="L115" s="84" t="e">
        <f>VLOOKUP(C112,STN_TABLE,4,FALSE)</f>
        <v>#VALUE!</v>
      </c>
      <c r="M115" t="str">
        <f>CONCATENATE("M(",C114,")=")</f>
        <v>M(  )=</v>
      </c>
      <c r="N115" t="e">
        <f>J115+L115</f>
        <v>#VALUE!</v>
      </c>
      <c r="O115" s="99">
        <f>O114+1</f>
        <v>20</v>
      </c>
      <c r="P115" s="99" t="str">
        <f t="shared" si="44"/>
        <v xml:space="preserve">  </v>
      </c>
      <c r="T115" s="89" t="e">
        <f>SUM(T112:T114)</f>
        <v>#VALUE!</v>
      </c>
      <c r="V115" s="82" t="e">
        <f>SUM(V112:V114)</f>
        <v>#VALUE!</v>
      </c>
      <c r="W115" s="84" t="str">
        <f>CONCATENATE("m'(",Q113,")=")</f>
        <v>m'(  )=</v>
      </c>
      <c r="X115" s="84" t="e">
        <f>(2*(X112^2)/24*V115)+(X114*Q112*WLS)</f>
        <v>#VALUE!</v>
      </c>
      <c r="Y115" s="84" t="e">
        <f>CONCATENATE("M(",Q112,")=")</f>
        <v>#VALUE!</v>
      </c>
      <c r="Z115" s="84" t="e">
        <f>VLOOKUP(Q112,STN_TABLE,4,FALSE)</f>
        <v>#VALUE!</v>
      </c>
      <c r="AA115" t="str">
        <f>CONCATENATE("M(",Q113,")=")</f>
        <v>M(  )=</v>
      </c>
      <c r="AB115" t="e">
        <f>X115+Z115</f>
        <v>#VALUE!</v>
      </c>
      <c r="AE115" s="89">
        <f>SUM(AE113:AE114)</f>
        <v>0</v>
      </c>
      <c r="AG115" s="89" t="e">
        <f>SUM(AG113:AG114)</f>
        <v>#VALUE!</v>
      </c>
      <c r="AH115" s="84" t="str">
        <f>CONCATENATE("m'(",AD114,")=")</f>
        <v>m'(  )=</v>
      </c>
      <c r="AI115" s="84" t="e">
        <f>(2*(AI112^2)/6*AG115)+(AI114*AD113*WLS)</f>
        <v>#VALUE!</v>
      </c>
      <c r="AJ115" s="84" t="str">
        <f>CONCATENATE("M(",AD113,")=")</f>
        <v>M(  )=</v>
      </c>
      <c r="AK115" s="84" t="str">
        <f>VLOOKUP(AD113,STN_TABLE,4,FALSE)</f>
        <v xml:space="preserve"> </v>
      </c>
      <c r="AL115" t="str">
        <f>CONCATENATE("M(",AD114,")=")</f>
        <v>M(  )=</v>
      </c>
      <c r="AM115" t="e">
        <f>AI115+AK115</f>
        <v>#VALUE!</v>
      </c>
      <c r="AO115" s="82" t="str">
        <f>AA115</f>
        <v>M(  )=</v>
      </c>
      <c r="AP115" s="82" t="e">
        <f>VLOOKUP(AO115,Rise_Results,2,FALSE)</f>
        <v>#N/A</v>
      </c>
      <c r="AQ115" s="82" t="e">
        <f>N115</f>
        <v>#VALUE!</v>
      </c>
      <c r="AR115" s="82" t="e">
        <f>IF(OR(AB114&lt;=0,AB115&lt;=0),1/0,AB115)</f>
        <v>#VALUE!</v>
      </c>
      <c r="AS115" s="82" t="e">
        <f>AM115</f>
        <v>#VALUE!</v>
      </c>
      <c r="AT115" t="e">
        <f>IFERROR(AP115,IFERROR(AQ115,IFERROR(AR115,AS115)))</f>
        <v>#VALUE!</v>
      </c>
      <c r="AU115" s="81"/>
    </row>
    <row r="116" spans="1:47" x14ac:dyDescent="0.25">
      <c r="A116" s="101">
        <f>A111+1</f>
        <v>15</v>
      </c>
      <c r="B116" s="101" t="str">
        <f t="shared" si="48"/>
        <v xml:space="preserve">  </v>
      </c>
      <c r="O116" s="101">
        <f>O111+1</f>
        <v>17</v>
      </c>
      <c r="P116" s="101" t="str">
        <f t="shared" si="44"/>
        <v xml:space="preserve">  </v>
      </c>
      <c r="AU116" s="81"/>
    </row>
    <row r="117" spans="1:47" x14ac:dyDescent="0.25">
      <c r="A117" s="84">
        <f>A116+1</f>
        <v>16</v>
      </c>
      <c r="B117" s="84" t="str">
        <f t="shared" si="48"/>
        <v xml:space="preserve">  </v>
      </c>
      <c r="C117" s="79" t="e">
        <f t="shared" ref="C117" si="55">IF(C118=B119,IF(C119-C118=C118-B118,B118,IF(C119-C118=C118-B117,B117,"#NA")),IF(C118=B118,IF(C119-C118=C118-B117,B117,IF(C119-C118=C118-B116,B116,"#NA")),"#NA"))</f>
        <v>#VALUE!</v>
      </c>
      <c r="D117" s="68" t="e">
        <f>VLOOKUP(C117,STN_TABLE,2,FALSE)</f>
        <v>#VALUE!</v>
      </c>
      <c r="E117" s="102">
        <v>1</v>
      </c>
      <c r="F117" s="68" t="e">
        <f>D117*E117</f>
        <v>#VALUE!</v>
      </c>
      <c r="G117" s="69" t="e">
        <f>C117</f>
        <v>#VALUE!</v>
      </c>
      <c r="H117" s="69" t="e">
        <f>F117*G117</f>
        <v>#VALUE!</v>
      </c>
      <c r="I117" s="6" t="s">
        <v>93</v>
      </c>
      <c r="J117" s="70" t="e">
        <f>IF(OR(D117=0,D118=0,D119=0),"#NA",IF(AND(C119-C118=C118-C117,C118&lt;&gt;C119,C117&lt;&gt;C118,C117&lt;&gt;C119,D119&lt;&gt;0,OR(D117&lt;&gt;0,D118&lt;&gt;0)),WLS*(C119-C118),"#NA"))</f>
        <v>#VALUE!</v>
      </c>
      <c r="O117" s="99">
        <f>O116+1</f>
        <v>18</v>
      </c>
      <c r="P117" s="99" t="str">
        <f t="shared" si="44"/>
        <v xml:space="preserve">  </v>
      </c>
      <c r="Q117" s="68" t="e">
        <f>IF(OR(P119-P118=P118-P117,P120-P118=P118-P117),P117,IF(OR(P119-P118=P118-P116,P120-P118=P118-P116),P116,"-"))</f>
        <v>#VALUE!</v>
      </c>
      <c r="R117" s="69" t="e">
        <f>VLOOKUP(Q117,STN_TABLE,2,FALSE)</f>
        <v>#VALUE!</v>
      </c>
      <c r="S117" s="69">
        <v>5</v>
      </c>
      <c r="T117" s="68" t="e">
        <f>R117*S117</f>
        <v>#VALUE!</v>
      </c>
      <c r="U117" s="79">
        <v>3</v>
      </c>
      <c r="V117" s="68" t="e">
        <f>R117*U117</f>
        <v>#VALUE!</v>
      </c>
      <c r="W117" s="6" t="s">
        <v>93</v>
      </c>
      <c r="X117" s="70" t="e">
        <f>IF(AND(Q119-Q118=Q118-Q117,NOT(AND(Q117=0,Q118=0)),NOT(AND(Q118=0,Q119=0))),WLS*(Q119-Q118),"#NA")</f>
        <v>#VALUE!</v>
      </c>
      <c r="AD117" s="93"/>
      <c r="AH117" s="6" t="s">
        <v>93</v>
      </c>
      <c r="AI117" s="70" t="e">
        <f>WLS*(AD119-AD118)</f>
        <v>#VALUE!</v>
      </c>
      <c r="AU117" s="81"/>
    </row>
    <row r="118" spans="1:47" x14ac:dyDescent="0.25">
      <c r="A118" s="84">
        <f>A117+1</f>
        <v>17</v>
      </c>
      <c r="B118" s="84" t="str">
        <f t="shared" si="48"/>
        <v xml:space="preserve">  </v>
      </c>
      <c r="C118" s="80" t="e">
        <f t="shared" ref="C118" si="56">IF(OR(B120-B119=B119-B118,B120-B119=B119-B117,B120-B119=B119-B116),B119,IF(OR(B120-B118=B118-B117,B120-B118=B118-B116),B118,IF(B120-B117=B117-B116,B117,"#NA")))</f>
        <v>#VALUE!</v>
      </c>
      <c r="D118" s="76" t="e">
        <f>VLOOKUP(C118,STN_TABLE,2,FALSE)</f>
        <v>#VALUE!</v>
      </c>
      <c r="E118" s="81">
        <v>4</v>
      </c>
      <c r="F118" s="76" t="e">
        <f>D118*E118</f>
        <v>#VALUE!</v>
      </c>
      <c r="G118" s="77" t="e">
        <f>C118</f>
        <v>#VALUE!</v>
      </c>
      <c r="H118" s="77" t="e">
        <f>F118*G118</f>
        <v>#VALUE!</v>
      </c>
      <c r="I118" s="495" t="s">
        <v>97</v>
      </c>
      <c r="J118" s="496"/>
      <c r="K118" s="78" t="s">
        <v>98</v>
      </c>
      <c r="L118" s="78"/>
      <c r="M118" s="7" t="s">
        <v>99</v>
      </c>
      <c r="N118" s="7"/>
      <c r="O118" s="99">
        <f>O117+1</f>
        <v>19</v>
      </c>
      <c r="P118" s="99" t="str">
        <f t="shared" si="44"/>
        <v xml:space="preserve">  </v>
      </c>
      <c r="Q118" s="76" t="str">
        <f>P118</f>
        <v xml:space="preserve">  </v>
      </c>
      <c r="R118" s="77" t="str">
        <f>VLOOKUP(Q118,STN_TABLE,2,FALSE)</f>
        <v xml:space="preserve">  </v>
      </c>
      <c r="S118" s="77">
        <v>8</v>
      </c>
      <c r="T118" s="76" t="e">
        <f>R118*S118</f>
        <v>#VALUE!</v>
      </c>
      <c r="U118" s="80">
        <v>10</v>
      </c>
      <c r="V118" s="76" t="e">
        <f>R118*U118</f>
        <v>#VALUE!</v>
      </c>
      <c r="W118" s="496" t="s">
        <v>97</v>
      </c>
      <c r="X118" s="496"/>
      <c r="Y118" s="496" t="s">
        <v>98</v>
      </c>
      <c r="Z118" s="496"/>
      <c r="AA118" s="494" t="s">
        <v>99</v>
      </c>
      <c r="AB118" s="494"/>
      <c r="AC118" s="99">
        <f>AC113+1</f>
        <v>18</v>
      </c>
      <c r="AD118" s="95" t="str">
        <f>VLOOKUP(AC118,STN_TABLE_2,2,FALSE)</f>
        <v xml:space="preserve">  </v>
      </c>
      <c r="AE118" s="68" t="str">
        <f>VLOOKUP(AD118,STN_TABLE,2,FALSE)</f>
        <v xml:space="preserve">  </v>
      </c>
      <c r="AF118" s="68">
        <v>1</v>
      </c>
      <c r="AG118" s="69" t="e">
        <f>AE118*AF118</f>
        <v>#VALUE!</v>
      </c>
      <c r="AH118" s="496" t="s">
        <v>97</v>
      </c>
      <c r="AI118" s="496"/>
      <c r="AJ118" s="496" t="s">
        <v>98</v>
      </c>
      <c r="AK118" s="496"/>
      <c r="AL118" s="494" t="s">
        <v>99</v>
      </c>
      <c r="AM118" s="494"/>
      <c r="AP118" s="86" t="s">
        <v>112</v>
      </c>
      <c r="AQ118" s="89" t="s">
        <v>113</v>
      </c>
      <c r="AR118" s="89" t="s">
        <v>114</v>
      </c>
      <c r="AS118" s="89" t="s">
        <v>115</v>
      </c>
      <c r="AU118" s="81"/>
    </row>
    <row r="119" spans="1:47" x14ac:dyDescent="0.25">
      <c r="A119" s="84">
        <f>A118+1</f>
        <v>18</v>
      </c>
      <c r="B119" s="84" t="str">
        <f t="shared" si="48"/>
        <v xml:space="preserve">  </v>
      </c>
      <c r="C119" s="88" t="str">
        <f t="shared" ref="C119" si="57">B120</f>
        <v xml:space="preserve">  </v>
      </c>
      <c r="D119" s="82" t="str">
        <f>VLOOKUP(C119,STN_TABLE,2,FALSE)</f>
        <v xml:space="preserve">  </v>
      </c>
      <c r="E119" s="92">
        <v>1</v>
      </c>
      <c r="F119" s="82" t="e">
        <f>D119*E119</f>
        <v>#VALUE!</v>
      </c>
      <c r="G119" s="83" t="str">
        <f>C119</f>
        <v xml:space="preserve">  </v>
      </c>
      <c r="H119" s="83" t="e">
        <f>F119*G119</f>
        <v>#VALUE!</v>
      </c>
      <c r="I119" s="84" t="str">
        <f>CONCATENATE("a'(",C119,")=")</f>
        <v>a'(  )=</v>
      </c>
      <c r="J119" s="84" t="e">
        <f>2*J117/3*F120</f>
        <v>#VALUE!</v>
      </c>
      <c r="K119" s="84" t="e">
        <f>CONCATENATE("A(",C117,")=")</f>
        <v>#VALUE!</v>
      </c>
      <c r="L119" s="84" t="e">
        <f>VLOOKUP(C117,STN_TABLE,3,FALSE)</f>
        <v>#VALUE!</v>
      </c>
      <c r="M119" t="str">
        <f>CONCATENATE("A(",C119,")=")</f>
        <v>A(  )=</v>
      </c>
      <c r="N119" t="e">
        <f>J119+L119</f>
        <v>#VALUE!</v>
      </c>
      <c r="O119" s="99">
        <f>O118+1</f>
        <v>20</v>
      </c>
      <c r="P119" s="99" t="str">
        <f t="shared" si="44"/>
        <v xml:space="preserve">  </v>
      </c>
      <c r="Q119" s="82" t="e">
        <f>IF(P119-P118=P118-P117,P119,IF(P120-P118=P118-P117,P120,IF(P119-P118=P118-P116,P119,IF(P120-P118=P118-P116,P120,"-"))))</f>
        <v>#VALUE!</v>
      </c>
      <c r="R119" s="83" t="e">
        <f>VLOOKUP(Q119,STN_TABLE,2,FALSE)</f>
        <v>#VALUE!</v>
      </c>
      <c r="S119" s="83">
        <v>-1</v>
      </c>
      <c r="T119" s="82" t="e">
        <f>R119*S119</f>
        <v>#VALUE!</v>
      </c>
      <c r="U119" s="88">
        <v>-1</v>
      </c>
      <c r="V119" s="82" t="e">
        <f>R119*U119</f>
        <v>#VALUE!</v>
      </c>
      <c r="W119" s="84" t="str">
        <f>CONCATENATE("a'(",Q118,")=")</f>
        <v>a'(  )=</v>
      </c>
      <c r="X119" s="84" t="e">
        <f>2*X117/12*T120</f>
        <v>#VALUE!</v>
      </c>
      <c r="Y119" s="84" t="e">
        <f>CONCATENATE("A(",Q117,")=")</f>
        <v>#VALUE!</v>
      </c>
      <c r="Z119" s="84" t="e">
        <f>VLOOKUP(Q117,STN_TABLE,3,FALSE)</f>
        <v>#VALUE!</v>
      </c>
      <c r="AA119" t="str">
        <f>CONCATENATE("A(",Q118,")=")</f>
        <v>A(  )=</v>
      </c>
      <c r="AB119" t="e">
        <f>X119+Z119</f>
        <v>#VALUE!</v>
      </c>
      <c r="AC119" s="99">
        <f>AC118+1</f>
        <v>19</v>
      </c>
      <c r="AD119" s="100" t="str">
        <f>VLOOKUP(AC119,STN_TABLE_2,2,FALSE)</f>
        <v xml:space="preserve">  </v>
      </c>
      <c r="AE119" s="82" t="str">
        <f>VLOOKUP(AD119,STN_TABLE,2,FALSE)</f>
        <v xml:space="preserve">  </v>
      </c>
      <c r="AF119" s="82">
        <v>2</v>
      </c>
      <c r="AG119" s="83" t="e">
        <f>AE119*AF119</f>
        <v>#VALUE!</v>
      </c>
      <c r="AH119" s="84" t="str">
        <f>CONCATENATE("a'(",AD119,")=")</f>
        <v>a'(  )=</v>
      </c>
      <c r="AI119" s="84" t="e">
        <f>2*AI117/2*AE120</f>
        <v>#VALUE!</v>
      </c>
      <c r="AJ119" s="84" t="str">
        <f>CONCATENATE("A(",AD118,")=")</f>
        <v>A(  )=</v>
      </c>
      <c r="AK119" s="84" t="str">
        <f>VLOOKUP(AD118,STN_TABLE,3,FALSE)</f>
        <v xml:space="preserve"> </v>
      </c>
      <c r="AL119" t="str">
        <f>CONCATENATE("A(",AD119,")=")</f>
        <v>A(  )=</v>
      </c>
      <c r="AM119" t="e">
        <f>AI119+AK119</f>
        <v>#VALUE!</v>
      </c>
      <c r="AO119" s="68" t="str">
        <f>AA119</f>
        <v>A(  )=</v>
      </c>
      <c r="AP119" s="68" t="e">
        <f>VLOOKUP(AO119,Rise_Results,2,FALSE)</f>
        <v>#N/A</v>
      </c>
      <c r="AQ119" s="76" t="e">
        <f>N119</f>
        <v>#VALUE!</v>
      </c>
      <c r="AR119" s="76" t="e">
        <f>IF(OR(AB119&lt;=0,AB120&lt;=0),1/0,AB119)</f>
        <v>#VALUE!</v>
      </c>
      <c r="AS119" s="76" t="e">
        <f>AM119</f>
        <v>#VALUE!</v>
      </c>
      <c r="AT119" t="e">
        <f>IFERROR(AP119,IFERROR(AQ119,IFERROR(AR119,AS119)))</f>
        <v>#VALUE!</v>
      </c>
      <c r="AU119" s="81"/>
    </row>
    <row r="120" spans="1:47" x14ac:dyDescent="0.25">
      <c r="A120" s="84">
        <f>A119+1</f>
        <v>19</v>
      </c>
      <c r="B120" s="84" t="str">
        <f t="shared" si="48"/>
        <v xml:space="preserve">  </v>
      </c>
      <c r="F120" s="82" t="e">
        <f>SUM(F117:F119)</f>
        <v>#VALUE!</v>
      </c>
      <c r="H120" s="82" t="e">
        <f>SUM(H117:H119)</f>
        <v>#VALUE!</v>
      </c>
      <c r="I120" s="84" t="str">
        <f>CONCATENATE("m'(",C119,")=")</f>
        <v>m'(  )=</v>
      </c>
      <c r="J120" s="84" t="e">
        <f>2*(J117*(WLS))/3*H120</f>
        <v>#VALUE!</v>
      </c>
      <c r="K120" s="84" t="e">
        <f>CONCATENATE("M(",C117,")=")</f>
        <v>#VALUE!</v>
      </c>
      <c r="L120" s="84" t="e">
        <f>VLOOKUP(C117,STN_TABLE,4,FALSE)</f>
        <v>#VALUE!</v>
      </c>
      <c r="M120" t="str">
        <f>CONCATENATE("M(",C119,")=")</f>
        <v>M(  )=</v>
      </c>
      <c r="N120" t="e">
        <f>J120+L120</f>
        <v>#VALUE!</v>
      </c>
      <c r="O120" s="99">
        <f>O119+1</f>
        <v>21</v>
      </c>
      <c r="P120" s="99" t="str">
        <f t="shared" si="44"/>
        <v xml:space="preserve">  </v>
      </c>
      <c r="T120" s="89" t="e">
        <f>SUM(T117:T119)</f>
        <v>#VALUE!</v>
      </c>
      <c r="V120" s="82" t="e">
        <f>SUM(V117:V119)</f>
        <v>#VALUE!</v>
      </c>
      <c r="W120" s="84" t="str">
        <f>CONCATENATE("m'(",Q118,")=")</f>
        <v>m'(  )=</v>
      </c>
      <c r="X120" s="84" t="e">
        <f>(2*(X117^2)/24*V120)+(X119*Q117*WLS)</f>
        <v>#VALUE!</v>
      </c>
      <c r="Y120" s="84" t="e">
        <f>CONCATENATE("M(",Q117,")=")</f>
        <v>#VALUE!</v>
      </c>
      <c r="Z120" s="84" t="e">
        <f>VLOOKUP(Q117,STN_TABLE,4,FALSE)</f>
        <v>#VALUE!</v>
      </c>
      <c r="AA120" t="str">
        <f>CONCATENATE("M(",Q118,")=")</f>
        <v>M(  )=</v>
      </c>
      <c r="AB120" t="e">
        <f>X120+Z120</f>
        <v>#VALUE!</v>
      </c>
      <c r="AE120" s="89">
        <f>SUM(AE118:AE119)</f>
        <v>0</v>
      </c>
      <c r="AG120" s="89" t="e">
        <f>SUM(AG118:AG119)</f>
        <v>#VALUE!</v>
      </c>
      <c r="AH120" s="84" t="str">
        <f>CONCATENATE("m'(",AD119,")=")</f>
        <v>m'(  )=</v>
      </c>
      <c r="AI120" s="84" t="e">
        <f>(2*(AI117^2)/6*AG120)+(AI119*AD118*WLS)</f>
        <v>#VALUE!</v>
      </c>
      <c r="AJ120" s="84" t="str">
        <f>CONCATENATE("M(",AD118,")=")</f>
        <v>M(  )=</v>
      </c>
      <c r="AK120" s="84" t="str">
        <f>VLOOKUP(AD118,STN_TABLE,4,FALSE)</f>
        <v xml:space="preserve"> </v>
      </c>
      <c r="AL120" t="str">
        <f>CONCATENATE("M(",AD119,")=")</f>
        <v>M(  )=</v>
      </c>
      <c r="AM120" t="e">
        <f>AI120+AK120</f>
        <v>#VALUE!</v>
      </c>
      <c r="AO120" s="82" t="str">
        <f>AA120</f>
        <v>M(  )=</v>
      </c>
      <c r="AP120" s="82" t="e">
        <f>VLOOKUP(AO120,Rise_Results,2,FALSE)</f>
        <v>#N/A</v>
      </c>
      <c r="AQ120" s="82" t="e">
        <f>N120</f>
        <v>#VALUE!</v>
      </c>
      <c r="AR120" s="82" t="e">
        <f>IF(OR(AB119&lt;=0,AB120&lt;=0),1/0,AB120)</f>
        <v>#VALUE!</v>
      </c>
      <c r="AS120" s="82" t="e">
        <f>AM120</f>
        <v>#VALUE!</v>
      </c>
      <c r="AT120" t="e">
        <f>IFERROR(AP120,IFERROR(AQ120,IFERROR(AR120,AS120)))</f>
        <v>#VALUE!</v>
      </c>
      <c r="AU120" s="81"/>
    </row>
    <row r="121" spans="1:47" x14ac:dyDescent="0.25">
      <c r="A121" s="101">
        <f>A116+1</f>
        <v>16</v>
      </c>
      <c r="B121" s="101" t="str">
        <f t="shared" si="48"/>
        <v xml:space="preserve">  </v>
      </c>
      <c r="O121" s="101">
        <f>O116+1</f>
        <v>18</v>
      </c>
      <c r="P121" s="101" t="str">
        <f t="shared" si="44"/>
        <v xml:space="preserve">  </v>
      </c>
      <c r="AU121" s="81"/>
    </row>
    <row r="122" spans="1:47" x14ac:dyDescent="0.25">
      <c r="A122" s="84">
        <f>A121+1</f>
        <v>17</v>
      </c>
      <c r="B122" s="84" t="str">
        <f t="shared" si="48"/>
        <v xml:space="preserve">  </v>
      </c>
      <c r="C122" s="79" t="e">
        <f t="shared" ref="C122" si="58">IF(C123=B124,IF(C124-C123=C123-B123,B123,IF(C124-C123=C123-B122,B122,"#NA")),IF(C123=B123,IF(C124-C123=C123-B122,B122,IF(C124-C123=C123-B121,B121,"#NA")),"#NA"))</f>
        <v>#VALUE!</v>
      </c>
      <c r="D122" s="68" t="e">
        <f>VLOOKUP(C122,STN_TABLE,2,FALSE)</f>
        <v>#VALUE!</v>
      </c>
      <c r="E122" s="102">
        <v>1</v>
      </c>
      <c r="F122" s="68" t="e">
        <f>D122*E122</f>
        <v>#VALUE!</v>
      </c>
      <c r="G122" s="69" t="e">
        <f>C122</f>
        <v>#VALUE!</v>
      </c>
      <c r="H122" s="69" t="e">
        <f>F122*G122</f>
        <v>#VALUE!</v>
      </c>
      <c r="I122" s="6" t="s">
        <v>93</v>
      </c>
      <c r="J122" s="70" t="e">
        <f>IF(OR(D122=0,D123=0,D124=0),"#NA",IF(AND(C124-C123=C123-C122,C123&lt;&gt;C124,C122&lt;&gt;C123,C122&lt;&gt;C124,D124&lt;&gt;0,OR(D122&lt;&gt;0,D123&lt;&gt;0)),WLS*(C124-C123),"#NA"))</f>
        <v>#VALUE!</v>
      </c>
      <c r="O122" s="99">
        <f>O121+1</f>
        <v>19</v>
      </c>
      <c r="P122" s="99" t="str">
        <f t="shared" si="44"/>
        <v xml:space="preserve">  </v>
      </c>
      <c r="Q122" s="68" t="e">
        <f>IF(OR(P124-P123=P123-P122,P125-P123=P123-P122),P122,IF(OR(P124-P123=P123-P121,P125-P123=P123-P121),P121,"-"))</f>
        <v>#VALUE!</v>
      </c>
      <c r="R122" s="69" t="e">
        <f>VLOOKUP(Q122,STN_TABLE,2,FALSE)</f>
        <v>#VALUE!</v>
      </c>
      <c r="S122" s="69">
        <v>5</v>
      </c>
      <c r="T122" s="68" t="e">
        <f>R122*S122</f>
        <v>#VALUE!</v>
      </c>
      <c r="U122" s="79">
        <v>3</v>
      </c>
      <c r="V122" s="68" t="e">
        <f>R122*U122</f>
        <v>#VALUE!</v>
      </c>
      <c r="W122" s="6" t="s">
        <v>93</v>
      </c>
      <c r="X122" s="70" t="e">
        <f>IF(AND(Q124-Q123=Q123-Q122,NOT(AND(Q122=0,Q123=0)),NOT(AND(Q123=0,Q124=0))),WLS*(Q124-Q123),"#NA")</f>
        <v>#VALUE!</v>
      </c>
      <c r="AD122" s="93"/>
      <c r="AH122" s="6" t="s">
        <v>93</v>
      </c>
      <c r="AI122" s="70" t="e">
        <f>WLS*(AD124-AD123)</f>
        <v>#VALUE!</v>
      </c>
      <c r="AU122" s="81"/>
    </row>
    <row r="123" spans="1:47" x14ac:dyDescent="0.25">
      <c r="A123" s="84">
        <f>A122+1</f>
        <v>18</v>
      </c>
      <c r="B123" s="84" t="str">
        <f t="shared" si="48"/>
        <v xml:space="preserve">  </v>
      </c>
      <c r="C123" s="80" t="e">
        <f t="shared" ref="C123" si="59">IF(OR(B125-B124=B124-B123,B125-B124=B124-B122,B125-B124=B124-B121),B124,IF(OR(B125-B123=B123-B122,B125-B123=B123-B121),B123,IF(B125-B122=B122-B121,B122,"#NA")))</f>
        <v>#VALUE!</v>
      </c>
      <c r="D123" s="76" t="e">
        <f>VLOOKUP(C123,STN_TABLE,2,FALSE)</f>
        <v>#VALUE!</v>
      </c>
      <c r="E123" s="81">
        <v>4</v>
      </c>
      <c r="F123" s="76" t="e">
        <f>D123*E123</f>
        <v>#VALUE!</v>
      </c>
      <c r="G123" s="77" t="e">
        <f>C123</f>
        <v>#VALUE!</v>
      </c>
      <c r="H123" s="77" t="e">
        <f>F123*G123</f>
        <v>#VALUE!</v>
      </c>
      <c r="I123" s="495" t="s">
        <v>97</v>
      </c>
      <c r="J123" s="496"/>
      <c r="K123" s="78" t="s">
        <v>98</v>
      </c>
      <c r="L123" s="78"/>
      <c r="M123" s="7" t="s">
        <v>99</v>
      </c>
      <c r="N123" s="7"/>
      <c r="O123" s="99">
        <f>O122+1</f>
        <v>20</v>
      </c>
      <c r="P123" s="99" t="str">
        <f t="shared" si="44"/>
        <v xml:space="preserve">  </v>
      </c>
      <c r="Q123" s="76" t="str">
        <f>P123</f>
        <v xml:space="preserve">  </v>
      </c>
      <c r="R123" s="77" t="str">
        <f>VLOOKUP(Q123,STN_TABLE,2,FALSE)</f>
        <v xml:space="preserve">  </v>
      </c>
      <c r="S123" s="77">
        <v>8</v>
      </c>
      <c r="T123" s="76" t="e">
        <f>R123*S123</f>
        <v>#VALUE!</v>
      </c>
      <c r="U123" s="80">
        <v>10</v>
      </c>
      <c r="V123" s="76" t="e">
        <f>R123*U123</f>
        <v>#VALUE!</v>
      </c>
      <c r="W123" s="496" t="s">
        <v>97</v>
      </c>
      <c r="X123" s="496"/>
      <c r="Y123" s="496" t="s">
        <v>98</v>
      </c>
      <c r="Z123" s="496"/>
      <c r="AA123" s="494" t="s">
        <v>99</v>
      </c>
      <c r="AB123" s="494"/>
      <c r="AC123" s="99">
        <f>AC118+1</f>
        <v>19</v>
      </c>
      <c r="AD123" s="95" t="str">
        <f>VLOOKUP(AC123,STN_TABLE_2,2,FALSE)</f>
        <v xml:space="preserve">  </v>
      </c>
      <c r="AE123" s="68" t="str">
        <f>VLOOKUP(AD123,STN_TABLE,2,FALSE)</f>
        <v xml:space="preserve">  </v>
      </c>
      <c r="AF123" s="68">
        <v>1</v>
      </c>
      <c r="AG123" s="69" t="e">
        <f>AE123*AF123</f>
        <v>#VALUE!</v>
      </c>
      <c r="AH123" s="496" t="s">
        <v>97</v>
      </c>
      <c r="AI123" s="496"/>
      <c r="AJ123" s="496" t="s">
        <v>98</v>
      </c>
      <c r="AK123" s="496"/>
      <c r="AL123" s="494" t="s">
        <v>99</v>
      </c>
      <c r="AM123" s="494"/>
      <c r="AP123" s="86" t="s">
        <v>112</v>
      </c>
      <c r="AQ123" s="89" t="s">
        <v>113</v>
      </c>
      <c r="AR123" s="89" t="s">
        <v>114</v>
      </c>
      <c r="AS123" s="89" t="s">
        <v>115</v>
      </c>
      <c r="AU123" s="81"/>
    </row>
    <row r="124" spans="1:47" x14ac:dyDescent="0.25">
      <c r="A124" s="84">
        <f>A123+1</f>
        <v>19</v>
      </c>
      <c r="B124" s="84" t="str">
        <f t="shared" si="48"/>
        <v xml:space="preserve">  </v>
      </c>
      <c r="C124" s="88" t="str">
        <f t="shared" ref="C124" si="60">B125</f>
        <v xml:space="preserve">  </v>
      </c>
      <c r="D124" s="82" t="str">
        <f>VLOOKUP(C124,STN_TABLE,2,FALSE)</f>
        <v xml:space="preserve">  </v>
      </c>
      <c r="E124" s="92">
        <v>1</v>
      </c>
      <c r="F124" s="82" t="e">
        <f>D124*E124</f>
        <v>#VALUE!</v>
      </c>
      <c r="G124" s="83" t="str">
        <f>C124</f>
        <v xml:space="preserve">  </v>
      </c>
      <c r="H124" s="83" t="e">
        <f>F124*G124</f>
        <v>#VALUE!</v>
      </c>
      <c r="I124" s="84" t="str">
        <f>CONCATENATE("a'(",C124,")=")</f>
        <v>a'(  )=</v>
      </c>
      <c r="J124" s="84" t="e">
        <f>2*J122/3*F125</f>
        <v>#VALUE!</v>
      </c>
      <c r="K124" s="84" t="e">
        <f>CONCATENATE("A(",C122,")=")</f>
        <v>#VALUE!</v>
      </c>
      <c r="L124" s="84" t="e">
        <f>VLOOKUP(C122,STN_TABLE,3,FALSE)</f>
        <v>#VALUE!</v>
      </c>
      <c r="M124" t="str">
        <f>CONCATENATE("A(",C124,")=")</f>
        <v>A(  )=</v>
      </c>
      <c r="N124" t="e">
        <f>J124+L124</f>
        <v>#VALUE!</v>
      </c>
      <c r="O124" s="99">
        <f>O123+1</f>
        <v>21</v>
      </c>
      <c r="P124" s="99" t="str">
        <f t="shared" si="44"/>
        <v xml:space="preserve">  </v>
      </c>
      <c r="Q124" s="82" t="e">
        <f>IF(P124-P123=P123-P122,P124,IF(P125-P123=P123-P122,P125,IF(P124-P123=P123-P121,P124,IF(P125-P123=P123-P121,P125,"-"))))</f>
        <v>#VALUE!</v>
      </c>
      <c r="R124" s="83" t="e">
        <f>VLOOKUP(Q124,STN_TABLE,2,FALSE)</f>
        <v>#VALUE!</v>
      </c>
      <c r="S124" s="83">
        <v>-1</v>
      </c>
      <c r="T124" s="82" t="e">
        <f>R124*S124</f>
        <v>#VALUE!</v>
      </c>
      <c r="U124" s="88">
        <v>-1</v>
      </c>
      <c r="V124" s="82" t="e">
        <f>R124*U124</f>
        <v>#VALUE!</v>
      </c>
      <c r="W124" s="84" t="str">
        <f>CONCATENATE("a'(",Q123,")=")</f>
        <v>a'(  )=</v>
      </c>
      <c r="X124" s="84" t="e">
        <f>2*X122/12*T125</f>
        <v>#VALUE!</v>
      </c>
      <c r="Y124" s="84" t="e">
        <f>CONCATENATE("A(",Q122,")=")</f>
        <v>#VALUE!</v>
      </c>
      <c r="Z124" s="84" t="e">
        <f>VLOOKUP(Q122,STN_TABLE,3,FALSE)</f>
        <v>#VALUE!</v>
      </c>
      <c r="AA124" t="str">
        <f>CONCATENATE("A(",Q123,")=")</f>
        <v>A(  )=</v>
      </c>
      <c r="AB124" t="e">
        <f>X124+Z124</f>
        <v>#VALUE!</v>
      </c>
      <c r="AC124" s="99">
        <f>AC123+1</f>
        <v>20</v>
      </c>
      <c r="AD124" s="100" t="str">
        <f>VLOOKUP(AC124,STN_TABLE_2,2,FALSE)</f>
        <v xml:space="preserve">  </v>
      </c>
      <c r="AE124" s="82" t="str">
        <f>VLOOKUP(AD124,STN_TABLE,2,FALSE)</f>
        <v xml:space="preserve">  </v>
      </c>
      <c r="AF124" s="82">
        <v>2</v>
      </c>
      <c r="AG124" s="83" t="e">
        <f>AE124*AF124</f>
        <v>#VALUE!</v>
      </c>
      <c r="AH124" s="84" t="str">
        <f>CONCATENATE("a'(",AD124,")=")</f>
        <v>a'(  )=</v>
      </c>
      <c r="AI124" s="84" t="e">
        <f>2*AI122/2*AE125</f>
        <v>#VALUE!</v>
      </c>
      <c r="AJ124" s="84" t="str">
        <f>CONCATENATE("A(",AD123,")=")</f>
        <v>A(  )=</v>
      </c>
      <c r="AK124" s="84" t="str">
        <f>VLOOKUP(AD123,STN_TABLE,3,FALSE)</f>
        <v xml:space="preserve"> </v>
      </c>
      <c r="AL124" t="str">
        <f>CONCATENATE("A(",AD124,")=")</f>
        <v>A(  )=</v>
      </c>
      <c r="AM124" t="e">
        <f>AI124+AK124</f>
        <v>#VALUE!</v>
      </c>
      <c r="AO124" s="68" t="str">
        <f>AA124</f>
        <v>A(  )=</v>
      </c>
      <c r="AP124" s="68" t="e">
        <f>VLOOKUP(AO124,Rise_Results,2,FALSE)</f>
        <v>#N/A</v>
      </c>
      <c r="AQ124" s="76" t="e">
        <f>N124</f>
        <v>#VALUE!</v>
      </c>
      <c r="AR124" s="76" t="e">
        <f>IF(OR(AB124&lt;=0,AB125&lt;=0),1/0,AB124)</f>
        <v>#VALUE!</v>
      </c>
      <c r="AS124" s="76" t="e">
        <f>AM124</f>
        <v>#VALUE!</v>
      </c>
      <c r="AT124" t="e">
        <f>IFERROR(AP124,IFERROR(AQ124,IFERROR(AR124,AS124)))</f>
        <v>#VALUE!</v>
      </c>
      <c r="AU124" s="81"/>
    </row>
    <row r="125" spans="1:47" x14ac:dyDescent="0.25">
      <c r="A125" s="84">
        <f>A124+1</f>
        <v>20</v>
      </c>
      <c r="B125" s="84" t="str">
        <f t="shared" si="48"/>
        <v xml:space="preserve">  </v>
      </c>
      <c r="F125" s="82" t="e">
        <f>SUM(F122:F124)</f>
        <v>#VALUE!</v>
      </c>
      <c r="H125" s="82" t="e">
        <f>SUM(H122:H124)</f>
        <v>#VALUE!</v>
      </c>
      <c r="I125" s="84" t="str">
        <f>CONCATENATE("m'(",C124,")=")</f>
        <v>m'(  )=</v>
      </c>
      <c r="J125" s="84" t="e">
        <f>2*(J122*(WLS))/3*H125</f>
        <v>#VALUE!</v>
      </c>
      <c r="K125" s="84" t="e">
        <f>CONCATENATE("M(",C122,")=")</f>
        <v>#VALUE!</v>
      </c>
      <c r="L125" s="84" t="e">
        <f>VLOOKUP(C122,STN_TABLE,4,FALSE)</f>
        <v>#VALUE!</v>
      </c>
      <c r="M125" t="str">
        <f>CONCATENATE("M(",C124,")=")</f>
        <v>M(  )=</v>
      </c>
      <c r="N125" t="e">
        <f>J125+L125</f>
        <v>#VALUE!</v>
      </c>
      <c r="O125" s="99">
        <f>O124+1</f>
        <v>22</v>
      </c>
      <c r="P125" s="99" t="str">
        <f t="shared" si="44"/>
        <v xml:space="preserve">  </v>
      </c>
      <c r="T125" s="89" t="e">
        <f>SUM(T122:T124)</f>
        <v>#VALUE!</v>
      </c>
      <c r="V125" s="82" t="e">
        <f>SUM(V122:V124)</f>
        <v>#VALUE!</v>
      </c>
      <c r="W125" s="84" t="str">
        <f>CONCATENATE("m'(",Q123,")=")</f>
        <v>m'(  )=</v>
      </c>
      <c r="X125" s="84" t="e">
        <f>(2*(X122^2)/24*V125)+(X124*Q122*WLS)</f>
        <v>#VALUE!</v>
      </c>
      <c r="Y125" s="84" t="e">
        <f>CONCATENATE("M(",Q122,")=")</f>
        <v>#VALUE!</v>
      </c>
      <c r="Z125" s="84" t="e">
        <f>VLOOKUP(Q122,STN_TABLE,4,FALSE)</f>
        <v>#VALUE!</v>
      </c>
      <c r="AA125" t="str">
        <f>CONCATENATE("M(",Q123,")=")</f>
        <v>M(  )=</v>
      </c>
      <c r="AB125" t="e">
        <f>X125+Z125</f>
        <v>#VALUE!</v>
      </c>
      <c r="AE125" s="89">
        <f>SUM(AE123:AE124)</f>
        <v>0</v>
      </c>
      <c r="AG125" s="89" t="e">
        <f>SUM(AG123:AG124)</f>
        <v>#VALUE!</v>
      </c>
      <c r="AH125" s="84" t="str">
        <f>CONCATENATE("m'(",AD124,")=")</f>
        <v>m'(  )=</v>
      </c>
      <c r="AI125" s="84" t="e">
        <f>(2*(AI122^2)/6*AG125)+(AI124*AD123*WLS)</f>
        <v>#VALUE!</v>
      </c>
      <c r="AJ125" s="84" t="str">
        <f>CONCATENATE("M(",AD123,")=")</f>
        <v>M(  )=</v>
      </c>
      <c r="AK125" s="84" t="str">
        <f>VLOOKUP(AD123,STN_TABLE,4,FALSE)</f>
        <v xml:space="preserve"> </v>
      </c>
      <c r="AL125" t="str">
        <f>CONCATENATE("M(",AD124,")=")</f>
        <v>M(  )=</v>
      </c>
      <c r="AM125" t="e">
        <f>AI125+AK125</f>
        <v>#VALUE!</v>
      </c>
      <c r="AO125" s="82" t="str">
        <f>AA125</f>
        <v>M(  )=</v>
      </c>
      <c r="AP125" s="82" t="e">
        <f>VLOOKUP(AO125,Rise_Results,2,FALSE)</f>
        <v>#N/A</v>
      </c>
      <c r="AQ125" s="82" t="e">
        <f>N125</f>
        <v>#VALUE!</v>
      </c>
      <c r="AR125" s="82" t="e">
        <f>IF(OR(AB124&lt;=0,AB125&lt;=0),1/0,AB125)</f>
        <v>#VALUE!</v>
      </c>
      <c r="AS125" s="82" t="e">
        <f>AM125</f>
        <v>#VALUE!</v>
      </c>
      <c r="AT125" t="e">
        <f>IFERROR(AP125,IFERROR(AQ125,IFERROR(AR125,AS125)))</f>
        <v>#VALUE!</v>
      </c>
      <c r="AU125" s="81"/>
    </row>
    <row r="126" spans="1:47" x14ac:dyDescent="0.25">
      <c r="A126" s="101">
        <f>A121+1</f>
        <v>17</v>
      </c>
      <c r="B126" s="101" t="str">
        <f t="shared" si="48"/>
        <v xml:space="preserve">  </v>
      </c>
      <c r="O126" s="101">
        <f>O121+1</f>
        <v>19</v>
      </c>
      <c r="P126" s="101" t="str">
        <f t="shared" si="44"/>
        <v xml:space="preserve">  </v>
      </c>
      <c r="AU126" s="81"/>
    </row>
    <row r="127" spans="1:47" x14ac:dyDescent="0.25">
      <c r="A127" s="84">
        <f>A126+1</f>
        <v>18</v>
      </c>
      <c r="B127" s="84" t="str">
        <f t="shared" si="48"/>
        <v xml:space="preserve">  </v>
      </c>
      <c r="C127" s="79" t="e">
        <f t="shared" ref="C127" si="61">IF(C128=B129,IF(C129-C128=C128-B128,B128,IF(C129-C128=C128-B127,B127,"#NA")),IF(C128=B128,IF(C129-C128=C128-B127,B127,IF(C129-C128=C128-B126,B126,"#NA")),"#NA"))</f>
        <v>#VALUE!</v>
      </c>
      <c r="D127" s="68" t="e">
        <f>VLOOKUP(C127,STN_TABLE,2,FALSE)</f>
        <v>#VALUE!</v>
      </c>
      <c r="E127" s="102">
        <v>1</v>
      </c>
      <c r="F127" s="68" t="e">
        <f>D127*E127</f>
        <v>#VALUE!</v>
      </c>
      <c r="G127" s="69" t="e">
        <f>C127</f>
        <v>#VALUE!</v>
      </c>
      <c r="H127" s="69" t="e">
        <f>F127*G127</f>
        <v>#VALUE!</v>
      </c>
      <c r="I127" s="6" t="s">
        <v>93</v>
      </c>
      <c r="J127" s="70" t="e">
        <f>IF(OR(D127=0,D128=0,D129=0),"#NA",IF(AND(C129-C128=C128-C127,C128&lt;&gt;C129,C127&lt;&gt;C128,C127&lt;&gt;C129,D129&lt;&gt;0,OR(D127&lt;&gt;0,D128&lt;&gt;0)),WLS*(C129-C128),"#NA"))</f>
        <v>#VALUE!</v>
      </c>
      <c r="O127" s="99">
        <f>O126+1</f>
        <v>20</v>
      </c>
      <c r="P127" s="99" t="str">
        <f t="shared" si="44"/>
        <v xml:space="preserve">  </v>
      </c>
      <c r="Q127" s="68" t="e">
        <f>IF(OR(P129-P128=P128-P127,P130-P128=P128-P127),P127,IF(OR(P129-P128=P128-P126,P130-P128=P128-P126),P126,"-"))</f>
        <v>#VALUE!</v>
      </c>
      <c r="R127" s="69" t="e">
        <f>VLOOKUP(Q127,STN_TABLE,2,FALSE)</f>
        <v>#VALUE!</v>
      </c>
      <c r="S127" s="69">
        <v>5</v>
      </c>
      <c r="T127" s="68" t="e">
        <f>R127*S127</f>
        <v>#VALUE!</v>
      </c>
      <c r="U127" s="79">
        <v>3</v>
      </c>
      <c r="V127" s="68" t="e">
        <f>R127*U127</f>
        <v>#VALUE!</v>
      </c>
      <c r="W127" s="6" t="s">
        <v>93</v>
      </c>
      <c r="X127" s="70" t="e">
        <f>IF(AND(Q129-Q128=Q128-Q127,NOT(AND(Q127=0,Q128=0)),NOT(AND(Q128=0,Q129=0))),WLS*(Q129-Q128),"#NA")</f>
        <v>#VALUE!</v>
      </c>
      <c r="AD127" s="93"/>
      <c r="AH127" s="6" t="s">
        <v>93</v>
      </c>
      <c r="AI127" s="70" t="e">
        <f>WLS*(AD129-AD128)</f>
        <v>#VALUE!</v>
      </c>
      <c r="AU127" s="81"/>
    </row>
    <row r="128" spans="1:47" x14ac:dyDescent="0.25">
      <c r="A128" s="84">
        <f>A127+1</f>
        <v>19</v>
      </c>
      <c r="B128" s="84" t="str">
        <f t="shared" si="48"/>
        <v xml:space="preserve">  </v>
      </c>
      <c r="C128" s="80" t="e">
        <f t="shared" ref="C128" si="62">IF(OR(B130-B129=B129-B128,B130-B129=B129-B127,B130-B129=B129-B126),B129,IF(OR(B130-B128=B128-B127,B130-B128=B128-B126),B128,IF(B130-B127=B127-B126,B127,"#NA")))</f>
        <v>#VALUE!</v>
      </c>
      <c r="D128" s="76" t="e">
        <f>VLOOKUP(C128,STN_TABLE,2,FALSE)</f>
        <v>#VALUE!</v>
      </c>
      <c r="E128" s="81">
        <v>4</v>
      </c>
      <c r="F128" s="76" t="e">
        <f>D128*E128</f>
        <v>#VALUE!</v>
      </c>
      <c r="G128" s="77" t="e">
        <f>C128</f>
        <v>#VALUE!</v>
      </c>
      <c r="H128" s="77" t="e">
        <f>F128*G128</f>
        <v>#VALUE!</v>
      </c>
      <c r="I128" s="495" t="s">
        <v>97</v>
      </c>
      <c r="J128" s="496"/>
      <c r="K128" s="78" t="s">
        <v>98</v>
      </c>
      <c r="L128" s="78"/>
      <c r="M128" s="7" t="s">
        <v>99</v>
      </c>
      <c r="N128" s="7"/>
      <c r="O128" s="99">
        <f>O127+1</f>
        <v>21</v>
      </c>
      <c r="P128" s="99" t="str">
        <f t="shared" si="44"/>
        <v xml:space="preserve">  </v>
      </c>
      <c r="Q128" s="76" t="str">
        <f>P128</f>
        <v xml:space="preserve">  </v>
      </c>
      <c r="R128" s="77" t="str">
        <f>VLOOKUP(Q128,STN_TABLE,2,FALSE)</f>
        <v xml:space="preserve">  </v>
      </c>
      <c r="S128" s="77">
        <v>8</v>
      </c>
      <c r="T128" s="76" t="e">
        <f>R128*S128</f>
        <v>#VALUE!</v>
      </c>
      <c r="U128" s="80">
        <v>10</v>
      </c>
      <c r="V128" s="76" t="e">
        <f>R128*U128</f>
        <v>#VALUE!</v>
      </c>
      <c r="W128" s="496" t="s">
        <v>97</v>
      </c>
      <c r="X128" s="496"/>
      <c r="Y128" s="496" t="s">
        <v>98</v>
      </c>
      <c r="Z128" s="496"/>
      <c r="AA128" s="494" t="s">
        <v>99</v>
      </c>
      <c r="AB128" s="494"/>
      <c r="AC128" s="99">
        <f>AC123+1</f>
        <v>20</v>
      </c>
      <c r="AD128" s="95" t="str">
        <f>VLOOKUP(AC128,STN_TABLE_2,2,FALSE)</f>
        <v xml:space="preserve">  </v>
      </c>
      <c r="AE128" s="68" t="str">
        <f>VLOOKUP(AD128,STN_TABLE,2,FALSE)</f>
        <v xml:space="preserve">  </v>
      </c>
      <c r="AF128" s="68">
        <v>1</v>
      </c>
      <c r="AG128" s="69" t="e">
        <f>AE128*AF128</f>
        <v>#VALUE!</v>
      </c>
      <c r="AH128" s="496" t="s">
        <v>97</v>
      </c>
      <c r="AI128" s="496"/>
      <c r="AJ128" s="496" t="s">
        <v>98</v>
      </c>
      <c r="AK128" s="496"/>
      <c r="AL128" s="494" t="s">
        <v>99</v>
      </c>
      <c r="AM128" s="494"/>
      <c r="AP128" s="86" t="s">
        <v>112</v>
      </c>
      <c r="AQ128" s="89" t="s">
        <v>113</v>
      </c>
      <c r="AR128" s="89" t="s">
        <v>114</v>
      </c>
      <c r="AS128" s="89" t="s">
        <v>115</v>
      </c>
      <c r="AU128" s="81"/>
    </row>
    <row r="129" spans="1:47" x14ac:dyDescent="0.25">
      <c r="A129" s="84">
        <f>A128+1</f>
        <v>20</v>
      </c>
      <c r="B129" s="84" t="str">
        <f t="shared" si="48"/>
        <v xml:space="preserve">  </v>
      </c>
      <c r="C129" s="88" t="str">
        <f t="shared" ref="C129" si="63">B130</f>
        <v xml:space="preserve">  </v>
      </c>
      <c r="D129" s="82" t="str">
        <f>VLOOKUP(C129,STN_TABLE,2,FALSE)</f>
        <v xml:space="preserve">  </v>
      </c>
      <c r="E129" s="92">
        <v>1</v>
      </c>
      <c r="F129" s="82" t="e">
        <f>D129*E129</f>
        <v>#VALUE!</v>
      </c>
      <c r="G129" s="83" t="str">
        <f>C129</f>
        <v xml:space="preserve">  </v>
      </c>
      <c r="H129" s="83" t="e">
        <f>F129*G129</f>
        <v>#VALUE!</v>
      </c>
      <c r="I129" s="84" t="str">
        <f>CONCATENATE("a'(",C129,")=")</f>
        <v>a'(  )=</v>
      </c>
      <c r="J129" s="84" t="e">
        <f>2*J127/3*F130</f>
        <v>#VALUE!</v>
      </c>
      <c r="K129" s="84" t="e">
        <f>CONCATENATE("A(",C127,")=")</f>
        <v>#VALUE!</v>
      </c>
      <c r="L129" s="84" t="e">
        <f>VLOOKUP(C127,STN_TABLE,3,FALSE)</f>
        <v>#VALUE!</v>
      </c>
      <c r="M129" t="str">
        <f>CONCATENATE("A(",C129,")=")</f>
        <v>A(  )=</v>
      </c>
      <c r="N129" t="e">
        <f>J129+L129</f>
        <v>#VALUE!</v>
      </c>
      <c r="O129" s="99">
        <f>O128+1</f>
        <v>22</v>
      </c>
      <c r="P129" s="99" t="str">
        <f t="shared" si="44"/>
        <v xml:space="preserve">  </v>
      </c>
      <c r="Q129" s="82" t="e">
        <f>IF(P129-P128=P128-P127,P129,IF(P130-P128=P128-P127,P130,IF(P129-P128=P128-P126,P129,IF(P130-P128=P128-P126,P130,"-"))))</f>
        <v>#VALUE!</v>
      </c>
      <c r="R129" s="83" t="e">
        <f>VLOOKUP(Q129,STN_TABLE,2,FALSE)</f>
        <v>#VALUE!</v>
      </c>
      <c r="S129" s="83">
        <v>-1</v>
      </c>
      <c r="T129" s="82" t="e">
        <f>R129*S129</f>
        <v>#VALUE!</v>
      </c>
      <c r="U129" s="88">
        <v>-1</v>
      </c>
      <c r="V129" s="82" t="e">
        <f>R129*U129</f>
        <v>#VALUE!</v>
      </c>
      <c r="W129" s="84" t="str">
        <f>CONCATENATE("a'(",Q128,")=")</f>
        <v>a'(  )=</v>
      </c>
      <c r="X129" s="84" t="e">
        <f>2*X127/12*T130</f>
        <v>#VALUE!</v>
      </c>
      <c r="Y129" s="84" t="e">
        <f>CONCATENATE("A(",Q127,")=")</f>
        <v>#VALUE!</v>
      </c>
      <c r="Z129" s="84" t="e">
        <f>VLOOKUP(Q127,STN_TABLE,3,FALSE)</f>
        <v>#VALUE!</v>
      </c>
      <c r="AA129" t="str">
        <f>CONCATENATE("A(",Q128,")=")</f>
        <v>A(  )=</v>
      </c>
      <c r="AB129" t="e">
        <f>X129+Z129</f>
        <v>#VALUE!</v>
      </c>
      <c r="AC129" s="99">
        <f>AC128+1</f>
        <v>21</v>
      </c>
      <c r="AD129" s="100" t="str">
        <f>VLOOKUP(AC129,STN_TABLE_2,2,FALSE)</f>
        <v xml:space="preserve">  </v>
      </c>
      <c r="AE129" s="82" t="str">
        <f>VLOOKUP(AD129,STN_TABLE,2,FALSE)</f>
        <v xml:space="preserve">  </v>
      </c>
      <c r="AF129" s="82">
        <v>2</v>
      </c>
      <c r="AG129" s="83" t="e">
        <f>AE129*AF129</f>
        <v>#VALUE!</v>
      </c>
      <c r="AH129" s="84" t="str">
        <f>CONCATENATE("a'(",AD129,")=")</f>
        <v>a'(  )=</v>
      </c>
      <c r="AI129" s="84" t="e">
        <f>2*AI127/2*AE130</f>
        <v>#VALUE!</v>
      </c>
      <c r="AJ129" s="84" t="str">
        <f>CONCATENATE("A(",AD128,")=")</f>
        <v>A(  )=</v>
      </c>
      <c r="AK129" s="84" t="str">
        <f>VLOOKUP(AD128,STN_TABLE,3,FALSE)</f>
        <v xml:space="preserve"> </v>
      </c>
      <c r="AL129" t="str">
        <f>CONCATENATE("A(",AD129,")=")</f>
        <v>A(  )=</v>
      </c>
      <c r="AM129" t="e">
        <f>AI129+AK129</f>
        <v>#VALUE!</v>
      </c>
      <c r="AO129" s="68" t="str">
        <f>AA129</f>
        <v>A(  )=</v>
      </c>
      <c r="AP129" s="68" t="e">
        <f>VLOOKUP(AO129,Rise_Results,2,FALSE)</f>
        <v>#N/A</v>
      </c>
      <c r="AQ129" s="76" t="e">
        <f>N129</f>
        <v>#VALUE!</v>
      </c>
      <c r="AR129" s="76" t="e">
        <f>IF(OR(AB129&lt;=0,AB130&lt;=0),1/0,AB129)</f>
        <v>#VALUE!</v>
      </c>
      <c r="AS129" s="76" t="e">
        <f>AM129</f>
        <v>#VALUE!</v>
      </c>
      <c r="AT129" t="e">
        <f>IFERROR(AP129,IFERROR(AQ129,IFERROR(AR129,AS129)))</f>
        <v>#VALUE!</v>
      </c>
      <c r="AU129" s="81"/>
    </row>
    <row r="130" spans="1:47" x14ac:dyDescent="0.25">
      <c r="A130" s="84">
        <f>A129+1</f>
        <v>21</v>
      </c>
      <c r="B130" s="84" t="str">
        <f t="shared" si="48"/>
        <v xml:space="preserve">  </v>
      </c>
      <c r="F130" s="82" t="e">
        <f>SUM(F127:F129)</f>
        <v>#VALUE!</v>
      </c>
      <c r="H130" s="82" t="e">
        <f>SUM(H127:H129)</f>
        <v>#VALUE!</v>
      </c>
      <c r="I130" s="84" t="str">
        <f>CONCATENATE("m'(",C129,")=")</f>
        <v>m'(  )=</v>
      </c>
      <c r="J130" s="84" t="e">
        <f>2*(J127*(WLS))/3*H130</f>
        <v>#VALUE!</v>
      </c>
      <c r="K130" s="84" t="e">
        <f>CONCATENATE("M(",C127,")=")</f>
        <v>#VALUE!</v>
      </c>
      <c r="L130" s="84" t="e">
        <f>VLOOKUP(C127,STN_TABLE,4,FALSE)</f>
        <v>#VALUE!</v>
      </c>
      <c r="M130" t="str">
        <f>CONCATENATE("M(",C129,")=")</f>
        <v>M(  )=</v>
      </c>
      <c r="N130" t="e">
        <f>J130+L130</f>
        <v>#VALUE!</v>
      </c>
      <c r="O130" s="99">
        <f>O129+1</f>
        <v>23</v>
      </c>
      <c r="P130" s="99" t="str">
        <f t="shared" si="44"/>
        <v xml:space="preserve">  </v>
      </c>
      <c r="T130" s="89" t="e">
        <f>SUM(T127:T129)</f>
        <v>#VALUE!</v>
      </c>
      <c r="V130" s="82" t="e">
        <f>SUM(V127:V129)</f>
        <v>#VALUE!</v>
      </c>
      <c r="W130" s="84" t="str">
        <f>CONCATENATE("m'(",Q128,")=")</f>
        <v>m'(  )=</v>
      </c>
      <c r="X130" s="84" t="e">
        <f>(2*(X127^2)/24*V130)+(X129*Q127*WLS)</f>
        <v>#VALUE!</v>
      </c>
      <c r="Y130" s="84" t="e">
        <f>CONCATENATE("M(",Q127,")=")</f>
        <v>#VALUE!</v>
      </c>
      <c r="Z130" s="84" t="e">
        <f>VLOOKUP(Q127,STN_TABLE,4,FALSE)</f>
        <v>#VALUE!</v>
      </c>
      <c r="AA130" t="str">
        <f>CONCATENATE("M(",Q128,")=")</f>
        <v>M(  )=</v>
      </c>
      <c r="AB130" t="e">
        <f>X130+Z130</f>
        <v>#VALUE!</v>
      </c>
      <c r="AE130" s="89">
        <f>SUM(AE128:AE129)</f>
        <v>0</v>
      </c>
      <c r="AG130" s="89" t="e">
        <f>SUM(AG128:AG129)</f>
        <v>#VALUE!</v>
      </c>
      <c r="AH130" s="84" t="str">
        <f>CONCATENATE("m'(",AD129,")=")</f>
        <v>m'(  )=</v>
      </c>
      <c r="AI130" s="84" t="e">
        <f>(2*(AI127^2)/6*AG130)+(AI129*AD128*WLS)</f>
        <v>#VALUE!</v>
      </c>
      <c r="AJ130" s="84" t="str">
        <f>CONCATENATE("M(",AD128,")=")</f>
        <v>M(  )=</v>
      </c>
      <c r="AK130" s="84" t="str">
        <f>VLOOKUP(AD128,STN_TABLE,4,FALSE)</f>
        <v xml:space="preserve"> </v>
      </c>
      <c r="AL130" t="str">
        <f>CONCATENATE("M(",AD129,")=")</f>
        <v>M(  )=</v>
      </c>
      <c r="AM130" t="e">
        <f>AI130+AK130</f>
        <v>#VALUE!</v>
      </c>
      <c r="AO130" s="82" t="str">
        <f>AA130</f>
        <v>M(  )=</v>
      </c>
      <c r="AP130" s="82" t="e">
        <f>VLOOKUP(AO130,Rise_Results,2,FALSE)</f>
        <v>#N/A</v>
      </c>
      <c r="AQ130" s="82" t="e">
        <f>N130</f>
        <v>#VALUE!</v>
      </c>
      <c r="AR130" s="82" t="e">
        <f>IF(OR(AB129&lt;=0,AB130&lt;=0),1/0,AB130)</f>
        <v>#VALUE!</v>
      </c>
      <c r="AS130" s="82" t="e">
        <f>AM130</f>
        <v>#VALUE!</v>
      </c>
      <c r="AT130" t="e">
        <f>IFERROR(AP130,IFERROR(AQ130,IFERROR(AR130,AS130)))</f>
        <v>#VALUE!</v>
      </c>
      <c r="AU130" s="81"/>
    </row>
    <row r="131" spans="1:47" x14ac:dyDescent="0.25">
      <c r="A131" s="101">
        <f>A126+1</f>
        <v>18</v>
      </c>
      <c r="B131" s="101" t="str">
        <f t="shared" si="48"/>
        <v xml:space="preserve">  </v>
      </c>
      <c r="O131" s="101">
        <f>O126+1</f>
        <v>20</v>
      </c>
      <c r="P131" s="101" t="str">
        <f t="shared" si="44"/>
        <v xml:space="preserve">  </v>
      </c>
      <c r="AU131" s="81"/>
    </row>
    <row r="132" spans="1:47" x14ac:dyDescent="0.25">
      <c r="A132" s="84">
        <f>A131+1</f>
        <v>19</v>
      </c>
      <c r="B132" s="84" t="str">
        <f t="shared" si="48"/>
        <v xml:space="preserve">  </v>
      </c>
      <c r="C132" s="79" t="e">
        <f t="shared" ref="C132" si="64">IF(C133=B134,IF(C134-C133=C133-B133,B133,IF(C134-C133=C133-B132,B132,"#NA")),IF(C133=B133,IF(C134-C133=C133-B132,B132,IF(C134-C133=C133-B131,B131,"#NA")),"#NA"))</f>
        <v>#VALUE!</v>
      </c>
      <c r="D132" s="68" t="e">
        <f>VLOOKUP(C132,STN_TABLE,2,FALSE)</f>
        <v>#VALUE!</v>
      </c>
      <c r="E132" s="102">
        <v>1</v>
      </c>
      <c r="F132" s="68" t="e">
        <f>D132*E132</f>
        <v>#VALUE!</v>
      </c>
      <c r="G132" s="69" t="e">
        <f>C132</f>
        <v>#VALUE!</v>
      </c>
      <c r="H132" s="69" t="e">
        <f>F132*G132</f>
        <v>#VALUE!</v>
      </c>
      <c r="I132" s="6" t="s">
        <v>93</v>
      </c>
      <c r="J132" s="70" t="e">
        <f>IF(OR(D132=0,D133=0,D134=0),"#NA",IF(AND(C134-C133=C133-C132,C133&lt;&gt;C134,C132&lt;&gt;C133,C132&lt;&gt;C134,D134&lt;&gt;0,OR(D132&lt;&gt;0,D133&lt;&gt;0)),WLS*(C134-C133),"#NA"))</f>
        <v>#VALUE!</v>
      </c>
      <c r="O132" s="99">
        <f>O131+1</f>
        <v>21</v>
      </c>
      <c r="P132" s="99" t="str">
        <f t="shared" ref="P132:P150" si="65">VLOOKUP(O132,STN_TABLE_2,2,FALSE)</f>
        <v xml:space="preserve">  </v>
      </c>
      <c r="Q132" s="68" t="e">
        <f>IF(OR(P134-P133=P133-P132,P135-P133=P133-P132),P132,IF(OR(P134-P133=P133-P131,P135-P133=P133-P131),P131,"-"))</f>
        <v>#VALUE!</v>
      </c>
      <c r="R132" s="69" t="e">
        <f>VLOOKUP(Q132,STN_TABLE,2,FALSE)</f>
        <v>#VALUE!</v>
      </c>
      <c r="S132" s="69">
        <v>5</v>
      </c>
      <c r="T132" s="68" t="e">
        <f>R132*S132</f>
        <v>#VALUE!</v>
      </c>
      <c r="U132" s="79">
        <v>3</v>
      </c>
      <c r="V132" s="68" t="e">
        <f>R132*U132</f>
        <v>#VALUE!</v>
      </c>
      <c r="W132" s="6" t="s">
        <v>93</v>
      </c>
      <c r="X132" s="70" t="e">
        <f>IF(AND(Q134-Q133=Q133-Q132,NOT(AND(Q132=0,Q133=0)),NOT(AND(Q133=0,Q134=0))),WLS*(Q134-Q133),"#NA")</f>
        <v>#VALUE!</v>
      </c>
      <c r="AD132" s="93"/>
      <c r="AH132" s="6" t="s">
        <v>93</v>
      </c>
      <c r="AI132" s="70" t="e">
        <f>WLS*(AD134-AD133)</f>
        <v>#VALUE!</v>
      </c>
      <c r="AU132" s="81"/>
    </row>
    <row r="133" spans="1:47" x14ac:dyDescent="0.25">
      <c r="A133" s="84">
        <f>A132+1</f>
        <v>20</v>
      </c>
      <c r="B133" s="84" t="str">
        <f t="shared" si="48"/>
        <v xml:space="preserve">  </v>
      </c>
      <c r="C133" s="80" t="e">
        <f t="shared" ref="C133" si="66">IF(OR(B135-B134=B134-B133,B135-B134=B134-B132,B135-B134=B134-B131),B134,IF(OR(B135-B133=B133-B132,B135-B133=B133-B131),B133,IF(B135-B132=B132-B131,B132,"#NA")))</f>
        <v>#VALUE!</v>
      </c>
      <c r="D133" s="76" t="e">
        <f>VLOOKUP(C133,STN_TABLE,2,FALSE)</f>
        <v>#VALUE!</v>
      </c>
      <c r="E133" s="81">
        <v>4</v>
      </c>
      <c r="F133" s="76" t="e">
        <f>D133*E133</f>
        <v>#VALUE!</v>
      </c>
      <c r="G133" s="77" t="e">
        <f>C133</f>
        <v>#VALUE!</v>
      </c>
      <c r="H133" s="77" t="e">
        <f>F133*G133</f>
        <v>#VALUE!</v>
      </c>
      <c r="I133" s="495" t="s">
        <v>97</v>
      </c>
      <c r="J133" s="496"/>
      <c r="K133" s="78" t="s">
        <v>98</v>
      </c>
      <c r="L133" s="78"/>
      <c r="M133" s="7" t="s">
        <v>99</v>
      </c>
      <c r="N133" s="7"/>
      <c r="O133" s="99">
        <f>O132+1</f>
        <v>22</v>
      </c>
      <c r="P133" s="99" t="str">
        <f t="shared" si="65"/>
        <v xml:space="preserve">  </v>
      </c>
      <c r="Q133" s="76" t="str">
        <f>P133</f>
        <v xml:space="preserve">  </v>
      </c>
      <c r="R133" s="77" t="str">
        <f>VLOOKUP(Q133,STN_TABLE,2,FALSE)</f>
        <v xml:space="preserve">  </v>
      </c>
      <c r="S133" s="77">
        <v>8</v>
      </c>
      <c r="T133" s="76" t="e">
        <f>R133*S133</f>
        <v>#VALUE!</v>
      </c>
      <c r="U133" s="80">
        <v>10</v>
      </c>
      <c r="V133" s="76" t="e">
        <f>R133*U133</f>
        <v>#VALUE!</v>
      </c>
      <c r="W133" s="496" t="s">
        <v>97</v>
      </c>
      <c r="X133" s="496"/>
      <c r="Y133" s="496" t="s">
        <v>98</v>
      </c>
      <c r="Z133" s="496"/>
      <c r="AA133" s="494" t="s">
        <v>99</v>
      </c>
      <c r="AB133" s="494"/>
      <c r="AC133" s="99">
        <f>AC128+1</f>
        <v>21</v>
      </c>
      <c r="AD133" s="95" t="str">
        <f>VLOOKUP(AC133,STN_TABLE_2,2,FALSE)</f>
        <v xml:space="preserve">  </v>
      </c>
      <c r="AE133" s="68" t="str">
        <f>VLOOKUP(AD133,STN_TABLE,2,FALSE)</f>
        <v xml:space="preserve">  </v>
      </c>
      <c r="AF133" s="68">
        <v>1</v>
      </c>
      <c r="AG133" s="69" t="e">
        <f>AE133*AF133</f>
        <v>#VALUE!</v>
      </c>
      <c r="AH133" s="496" t="s">
        <v>97</v>
      </c>
      <c r="AI133" s="496"/>
      <c r="AJ133" s="496" t="s">
        <v>98</v>
      </c>
      <c r="AK133" s="496"/>
      <c r="AL133" s="494" t="s">
        <v>99</v>
      </c>
      <c r="AM133" s="494"/>
      <c r="AP133" s="86" t="s">
        <v>112</v>
      </c>
      <c r="AQ133" s="89" t="s">
        <v>113</v>
      </c>
      <c r="AR133" s="89" t="s">
        <v>114</v>
      </c>
      <c r="AS133" s="89" t="s">
        <v>115</v>
      </c>
      <c r="AU133" s="81"/>
    </row>
    <row r="134" spans="1:47" x14ac:dyDescent="0.25">
      <c r="A134" s="84">
        <f>A133+1</f>
        <v>21</v>
      </c>
      <c r="B134" s="84" t="str">
        <f t="shared" si="48"/>
        <v xml:space="preserve">  </v>
      </c>
      <c r="C134" s="88" t="str">
        <f t="shared" ref="C134" si="67">B135</f>
        <v xml:space="preserve">  </v>
      </c>
      <c r="D134" s="82" t="str">
        <f>VLOOKUP(C134,STN_TABLE,2,FALSE)</f>
        <v xml:space="preserve">  </v>
      </c>
      <c r="E134" s="92">
        <v>1</v>
      </c>
      <c r="F134" s="82" t="e">
        <f>D134*E134</f>
        <v>#VALUE!</v>
      </c>
      <c r="G134" s="83" t="str">
        <f>C134</f>
        <v xml:space="preserve">  </v>
      </c>
      <c r="H134" s="83" t="e">
        <f>F134*G134</f>
        <v>#VALUE!</v>
      </c>
      <c r="I134" s="84" t="str">
        <f>CONCATENATE("a'(",C134,")=")</f>
        <v>a'(  )=</v>
      </c>
      <c r="J134" s="84" t="e">
        <f>2*J132/3*F135</f>
        <v>#VALUE!</v>
      </c>
      <c r="K134" s="84" t="e">
        <f>CONCATENATE("A(",C132,")=")</f>
        <v>#VALUE!</v>
      </c>
      <c r="L134" s="84" t="e">
        <f>VLOOKUP(C132,STN_TABLE,3,FALSE)</f>
        <v>#VALUE!</v>
      </c>
      <c r="M134" t="str">
        <f>CONCATENATE("A(",C134,")=")</f>
        <v>A(  )=</v>
      </c>
      <c r="N134" t="e">
        <f>J134+L134</f>
        <v>#VALUE!</v>
      </c>
      <c r="O134" s="99">
        <f>O133+1</f>
        <v>23</v>
      </c>
      <c r="P134" s="99" t="str">
        <f t="shared" si="65"/>
        <v xml:space="preserve">  </v>
      </c>
      <c r="Q134" s="82" t="e">
        <f>IF(P134-P133=P133-P132,P134,IF(P135-P133=P133-P132,P135,IF(P134-P133=P133-P131,P134,IF(P135-P133=P133-P131,P135,"-"))))</f>
        <v>#VALUE!</v>
      </c>
      <c r="R134" s="83" t="e">
        <f>VLOOKUP(Q134,STN_TABLE,2,FALSE)</f>
        <v>#VALUE!</v>
      </c>
      <c r="S134" s="83">
        <v>-1</v>
      </c>
      <c r="T134" s="82" t="e">
        <f>R134*S134</f>
        <v>#VALUE!</v>
      </c>
      <c r="U134" s="88">
        <v>-1</v>
      </c>
      <c r="V134" s="82" t="e">
        <f>R134*U134</f>
        <v>#VALUE!</v>
      </c>
      <c r="W134" s="84" t="str">
        <f>CONCATENATE("a'(",Q133,")=")</f>
        <v>a'(  )=</v>
      </c>
      <c r="X134" s="84" t="e">
        <f>2*X132/12*T135</f>
        <v>#VALUE!</v>
      </c>
      <c r="Y134" s="84" t="e">
        <f>CONCATENATE("A(",Q132,")=")</f>
        <v>#VALUE!</v>
      </c>
      <c r="Z134" s="84" t="e">
        <f>VLOOKUP(Q132,STN_TABLE,3,FALSE)</f>
        <v>#VALUE!</v>
      </c>
      <c r="AA134" t="str">
        <f>CONCATENATE("A(",Q133,")=")</f>
        <v>A(  )=</v>
      </c>
      <c r="AB134" t="e">
        <f>X134+Z134</f>
        <v>#VALUE!</v>
      </c>
      <c r="AC134" s="99">
        <f>AC133+1</f>
        <v>22</v>
      </c>
      <c r="AD134" s="100" t="str">
        <f>VLOOKUP(AC134,STN_TABLE_2,2,FALSE)</f>
        <v xml:space="preserve">  </v>
      </c>
      <c r="AE134" s="82" t="str">
        <f>VLOOKUP(AD134,STN_TABLE,2,FALSE)</f>
        <v xml:space="preserve">  </v>
      </c>
      <c r="AF134" s="82">
        <v>2</v>
      </c>
      <c r="AG134" s="83" t="e">
        <f>AE134*AF134</f>
        <v>#VALUE!</v>
      </c>
      <c r="AH134" s="84" t="str">
        <f>CONCATENATE("a'(",AD134,")=")</f>
        <v>a'(  )=</v>
      </c>
      <c r="AI134" s="84" t="e">
        <f>2*AI132/2*AE135</f>
        <v>#VALUE!</v>
      </c>
      <c r="AJ134" s="84" t="str">
        <f>CONCATENATE("A(",AD133,")=")</f>
        <v>A(  )=</v>
      </c>
      <c r="AK134" s="84" t="str">
        <f>VLOOKUP(AD133,STN_TABLE,3,FALSE)</f>
        <v xml:space="preserve"> </v>
      </c>
      <c r="AL134" t="str">
        <f>CONCATENATE("A(",AD134,")=")</f>
        <v>A(  )=</v>
      </c>
      <c r="AM134" t="e">
        <f>AI134+AK134</f>
        <v>#VALUE!</v>
      </c>
      <c r="AO134" s="68" t="str">
        <f>AA134</f>
        <v>A(  )=</v>
      </c>
      <c r="AP134" s="68" t="e">
        <f>VLOOKUP(AO134,Rise_Results,2,FALSE)</f>
        <v>#N/A</v>
      </c>
      <c r="AQ134" s="76" t="e">
        <f>N134</f>
        <v>#VALUE!</v>
      </c>
      <c r="AR134" s="76" t="e">
        <f>IF(OR(AB134&lt;=0,AB135&lt;=0),1/0,AB134)</f>
        <v>#VALUE!</v>
      </c>
      <c r="AS134" s="76" t="e">
        <f>AM134</f>
        <v>#VALUE!</v>
      </c>
      <c r="AT134" t="e">
        <f>IFERROR(AP134,IFERROR(AQ134,IFERROR(AR134,AS134)))</f>
        <v>#VALUE!</v>
      </c>
      <c r="AU134" s="81"/>
    </row>
    <row r="135" spans="1:47" x14ac:dyDescent="0.25">
      <c r="A135" s="84">
        <f>A134+1</f>
        <v>22</v>
      </c>
      <c r="B135" s="84" t="str">
        <f t="shared" si="48"/>
        <v xml:space="preserve">  </v>
      </c>
      <c r="F135" s="82" t="e">
        <f>SUM(F132:F134)</f>
        <v>#VALUE!</v>
      </c>
      <c r="H135" s="82" t="e">
        <f>SUM(H132:H134)</f>
        <v>#VALUE!</v>
      </c>
      <c r="I135" s="84" t="str">
        <f>CONCATENATE("m'(",C134,")=")</f>
        <v>m'(  )=</v>
      </c>
      <c r="J135" s="84" t="e">
        <f>2*(J132*(WLS))/3*H135</f>
        <v>#VALUE!</v>
      </c>
      <c r="K135" s="84" t="e">
        <f>CONCATENATE("M(",C132,")=")</f>
        <v>#VALUE!</v>
      </c>
      <c r="L135" s="84" t="e">
        <f>VLOOKUP(C132,STN_TABLE,4,FALSE)</f>
        <v>#VALUE!</v>
      </c>
      <c r="M135" t="str">
        <f>CONCATENATE("M(",C134,")=")</f>
        <v>M(  )=</v>
      </c>
      <c r="N135" t="e">
        <f>J135+L135</f>
        <v>#VALUE!</v>
      </c>
      <c r="O135" s="99">
        <f>O134+1</f>
        <v>24</v>
      </c>
      <c r="P135" s="99" t="str">
        <f t="shared" si="65"/>
        <v xml:space="preserve">  </v>
      </c>
      <c r="T135" s="89" t="e">
        <f>SUM(T132:T134)</f>
        <v>#VALUE!</v>
      </c>
      <c r="V135" s="82" t="e">
        <f>SUM(V132:V134)</f>
        <v>#VALUE!</v>
      </c>
      <c r="W135" s="84" t="str">
        <f>CONCATENATE("m'(",Q133,")=")</f>
        <v>m'(  )=</v>
      </c>
      <c r="X135" s="84" t="e">
        <f>(2*(X132^2)/24*V135)+(X134*Q132*WLS)</f>
        <v>#VALUE!</v>
      </c>
      <c r="Y135" s="84" t="e">
        <f>CONCATENATE("M(",Q132,")=")</f>
        <v>#VALUE!</v>
      </c>
      <c r="Z135" s="84" t="e">
        <f>VLOOKUP(Q132,STN_TABLE,4,FALSE)</f>
        <v>#VALUE!</v>
      </c>
      <c r="AA135" t="str">
        <f>CONCATENATE("M(",Q133,")=")</f>
        <v>M(  )=</v>
      </c>
      <c r="AB135" t="e">
        <f>X135+Z135</f>
        <v>#VALUE!</v>
      </c>
      <c r="AE135" s="89">
        <f>SUM(AE133:AE134)</f>
        <v>0</v>
      </c>
      <c r="AG135" s="89" t="e">
        <f>SUM(AG133:AG134)</f>
        <v>#VALUE!</v>
      </c>
      <c r="AH135" s="84" t="str">
        <f>CONCATENATE("m'(",AD134,")=")</f>
        <v>m'(  )=</v>
      </c>
      <c r="AI135" s="84" t="e">
        <f>(2*(AI132^2)/6*AG135)+(AI134*AD133*WLS)</f>
        <v>#VALUE!</v>
      </c>
      <c r="AJ135" s="84" t="str">
        <f>CONCATENATE("M(",AD133,")=")</f>
        <v>M(  )=</v>
      </c>
      <c r="AK135" s="84" t="str">
        <f>VLOOKUP(AD133,STN_TABLE,4,FALSE)</f>
        <v xml:space="preserve"> </v>
      </c>
      <c r="AL135" t="str">
        <f>CONCATENATE("M(",AD134,")=")</f>
        <v>M(  )=</v>
      </c>
      <c r="AM135" t="e">
        <f>AI135+AK135</f>
        <v>#VALUE!</v>
      </c>
      <c r="AO135" s="82" t="str">
        <f>AA135</f>
        <v>M(  )=</v>
      </c>
      <c r="AP135" s="82" t="e">
        <f>VLOOKUP(AO135,Rise_Results,2,FALSE)</f>
        <v>#N/A</v>
      </c>
      <c r="AQ135" s="82" t="e">
        <f>N135</f>
        <v>#VALUE!</v>
      </c>
      <c r="AR135" s="82" t="e">
        <f>IF(OR(AB134&lt;=0,AB135&lt;=0),1/0,AB135)</f>
        <v>#VALUE!</v>
      </c>
      <c r="AS135" s="82" t="e">
        <f>AM135</f>
        <v>#VALUE!</v>
      </c>
      <c r="AT135" t="e">
        <f>IFERROR(AP135,IFERROR(AQ135,IFERROR(AR135,AS135)))</f>
        <v>#VALUE!</v>
      </c>
      <c r="AU135" s="81"/>
    </row>
    <row r="136" spans="1:47" x14ac:dyDescent="0.25">
      <c r="A136" s="101">
        <f>A131+1</f>
        <v>19</v>
      </c>
      <c r="B136" s="101" t="str">
        <f t="shared" si="48"/>
        <v xml:space="preserve">  </v>
      </c>
      <c r="O136" s="101">
        <f>O131+1</f>
        <v>21</v>
      </c>
      <c r="P136" s="101" t="str">
        <f t="shared" si="65"/>
        <v xml:space="preserve">  </v>
      </c>
      <c r="AU136" s="81"/>
    </row>
    <row r="137" spans="1:47" x14ac:dyDescent="0.25">
      <c r="A137" s="84">
        <f>A136+1</f>
        <v>20</v>
      </c>
      <c r="B137" s="84" t="str">
        <f t="shared" si="48"/>
        <v xml:space="preserve">  </v>
      </c>
      <c r="C137" s="79" t="e">
        <f t="shared" ref="C137" si="68">IF(C138=B139,IF(C139-C138=C138-B138,B138,IF(C139-C138=C138-B137,B137,"#NA")),IF(C138=B138,IF(C139-C138=C138-B137,B137,IF(C139-C138=C138-B136,B136,"#NA")),"#NA"))</f>
        <v>#VALUE!</v>
      </c>
      <c r="D137" s="68" t="e">
        <f>VLOOKUP(C137,STN_TABLE,2,FALSE)</f>
        <v>#VALUE!</v>
      </c>
      <c r="E137" s="102">
        <v>1</v>
      </c>
      <c r="F137" s="68" t="e">
        <f>D137*E137</f>
        <v>#VALUE!</v>
      </c>
      <c r="G137" s="69" t="e">
        <f>C137</f>
        <v>#VALUE!</v>
      </c>
      <c r="H137" s="69" t="e">
        <f>F137*G137</f>
        <v>#VALUE!</v>
      </c>
      <c r="I137" s="6" t="s">
        <v>93</v>
      </c>
      <c r="J137" s="70" t="e">
        <f>IF(OR(D137=0,D138=0,D139=0),"#NA",IF(AND(C139-C138=C138-C137,C138&lt;&gt;C139,C137&lt;&gt;C138,C137&lt;&gt;C139,D139&lt;&gt;0,OR(D137&lt;&gt;0,D138&lt;&gt;0)),WLS*(C139-C138),"#NA"))</f>
        <v>#VALUE!</v>
      </c>
      <c r="O137" s="99">
        <f>O136+1</f>
        <v>22</v>
      </c>
      <c r="P137" s="99" t="str">
        <f t="shared" si="65"/>
        <v xml:space="preserve">  </v>
      </c>
      <c r="Q137" s="68" t="e">
        <f>IF(OR(P139-P138=P138-P137,P140-P138=P138-P137),P137,IF(OR(P139-P138=P138-P136,P140-P138=P138-P136),P136,"-"))</f>
        <v>#VALUE!</v>
      </c>
      <c r="R137" s="69" t="e">
        <f>VLOOKUP(Q137,STN_TABLE,2,FALSE)</f>
        <v>#VALUE!</v>
      </c>
      <c r="S137" s="69">
        <v>5</v>
      </c>
      <c r="T137" s="68" t="e">
        <f>R137*S137</f>
        <v>#VALUE!</v>
      </c>
      <c r="U137" s="79">
        <v>3</v>
      </c>
      <c r="V137" s="68" t="e">
        <f>R137*U137</f>
        <v>#VALUE!</v>
      </c>
      <c r="W137" s="6" t="s">
        <v>93</v>
      </c>
      <c r="X137" s="70" t="e">
        <f>IF(AND(Q139-Q138=Q138-Q137,NOT(AND(Q137=0,Q138=0)),NOT(AND(Q138=0,Q139=0))),WLS*(Q139-Q138),"#NA")</f>
        <v>#VALUE!</v>
      </c>
      <c r="AD137" s="93"/>
      <c r="AH137" s="6" t="s">
        <v>93</v>
      </c>
      <c r="AI137" s="70" t="e">
        <f>WLS*(AD139-AD138)</f>
        <v>#VALUE!</v>
      </c>
      <c r="AU137" s="81"/>
    </row>
    <row r="138" spans="1:47" x14ac:dyDescent="0.25">
      <c r="A138" s="84">
        <f>A137+1</f>
        <v>21</v>
      </c>
      <c r="B138" s="84" t="str">
        <f t="shared" ref="B138:B150" si="69">VLOOKUP(A138,STN_TABLE_2,2,FALSE)</f>
        <v xml:space="preserve">  </v>
      </c>
      <c r="C138" s="80" t="e">
        <f t="shared" ref="C138" si="70">IF(OR(B140-B139=B139-B138,B140-B139=B139-B137,B140-B139=B139-B136),B139,IF(OR(B140-B138=B138-B137,B140-B138=B138-B136),B138,IF(B140-B137=B137-B136,B137,"#NA")))</f>
        <v>#VALUE!</v>
      </c>
      <c r="D138" s="76" t="e">
        <f>VLOOKUP(C138,STN_TABLE,2,FALSE)</f>
        <v>#VALUE!</v>
      </c>
      <c r="E138" s="81">
        <v>4</v>
      </c>
      <c r="F138" s="76" t="e">
        <f>D138*E138</f>
        <v>#VALUE!</v>
      </c>
      <c r="G138" s="77" t="e">
        <f>C138</f>
        <v>#VALUE!</v>
      </c>
      <c r="H138" s="77" t="e">
        <f>F138*G138</f>
        <v>#VALUE!</v>
      </c>
      <c r="I138" s="495" t="s">
        <v>97</v>
      </c>
      <c r="J138" s="496"/>
      <c r="K138" s="78" t="s">
        <v>98</v>
      </c>
      <c r="L138" s="78"/>
      <c r="M138" s="7" t="s">
        <v>99</v>
      </c>
      <c r="N138" s="7"/>
      <c r="O138" s="99">
        <f>O137+1</f>
        <v>23</v>
      </c>
      <c r="P138" s="99" t="str">
        <f t="shared" si="65"/>
        <v xml:space="preserve">  </v>
      </c>
      <c r="Q138" s="76" t="str">
        <f>P138</f>
        <v xml:space="preserve">  </v>
      </c>
      <c r="R138" s="77" t="str">
        <f>VLOOKUP(Q138,STN_TABLE,2,FALSE)</f>
        <v xml:space="preserve">  </v>
      </c>
      <c r="S138" s="77">
        <v>8</v>
      </c>
      <c r="T138" s="76" t="e">
        <f>R138*S138</f>
        <v>#VALUE!</v>
      </c>
      <c r="U138" s="80">
        <v>10</v>
      </c>
      <c r="V138" s="76" t="e">
        <f>R138*U138</f>
        <v>#VALUE!</v>
      </c>
      <c r="W138" s="496" t="s">
        <v>97</v>
      </c>
      <c r="X138" s="496"/>
      <c r="Y138" s="496" t="s">
        <v>98</v>
      </c>
      <c r="Z138" s="496"/>
      <c r="AA138" s="494" t="s">
        <v>99</v>
      </c>
      <c r="AB138" s="494"/>
      <c r="AC138" s="99">
        <f>AC133+1</f>
        <v>22</v>
      </c>
      <c r="AD138" s="95" t="str">
        <f>VLOOKUP(AC138,STN_TABLE_2,2,FALSE)</f>
        <v xml:space="preserve">  </v>
      </c>
      <c r="AE138" s="68" t="str">
        <f>VLOOKUP(AD138,STN_TABLE,2,FALSE)</f>
        <v xml:space="preserve">  </v>
      </c>
      <c r="AF138" s="68">
        <v>1</v>
      </c>
      <c r="AG138" s="69" t="e">
        <f>AE138*AF138</f>
        <v>#VALUE!</v>
      </c>
      <c r="AH138" s="496" t="s">
        <v>97</v>
      </c>
      <c r="AI138" s="496"/>
      <c r="AJ138" s="496" t="s">
        <v>98</v>
      </c>
      <c r="AK138" s="496"/>
      <c r="AL138" s="494" t="s">
        <v>99</v>
      </c>
      <c r="AM138" s="494"/>
      <c r="AP138" s="86" t="s">
        <v>112</v>
      </c>
      <c r="AQ138" s="89" t="s">
        <v>113</v>
      </c>
      <c r="AR138" s="89" t="s">
        <v>114</v>
      </c>
      <c r="AS138" s="89" t="s">
        <v>115</v>
      </c>
      <c r="AU138" s="81"/>
    </row>
    <row r="139" spans="1:47" x14ac:dyDescent="0.25">
      <c r="A139" s="84">
        <f>A138+1</f>
        <v>22</v>
      </c>
      <c r="B139" s="84" t="str">
        <f t="shared" si="69"/>
        <v xml:space="preserve">  </v>
      </c>
      <c r="C139" s="88" t="str">
        <f t="shared" ref="C139" si="71">B140</f>
        <v xml:space="preserve">  </v>
      </c>
      <c r="D139" s="82" t="str">
        <f>VLOOKUP(C139,STN_TABLE,2,FALSE)</f>
        <v xml:space="preserve">  </v>
      </c>
      <c r="E139" s="92">
        <v>1</v>
      </c>
      <c r="F139" s="82" t="e">
        <f>D139*E139</f>
        <v>#VALUE!</v>
      </c>
      <c r="G139" s="83" t="str">
        <f>C139</f>
        <v xml:space="preserve">  </v>
      </c>
      <c r="H139" s="83" t="e">
        <f>F139*G139</f>
        <v>#VALUE!</v>
      </c>
      <c r="I139" s="84" t="str">
        <f>CONCATENATE("a'(",C139,")=")</f>
        <v>a'(  )=</v>
      </c>
      <c r="J139" s="84" t="e">
        <f>2*J137/3*F140</f>
        <v>#VALUE!</v>
      </c>
      <c r="K139" s="84" t="e">
        <f>CONCATENATE("A(",C137,")=")</f>
        <v>#VALUE!</v>
      </c>
      <c r="L139" s="84" t="e">
        <f>VLOOKUP(C137,STN_TABLE,3,FALSE)</f>
        <v>#VALUE!</v>
      </c>
      <c r="M139" t="str">
        <f>CONCATENATE("A(",C139,")=")</f>
        <v>A(  )=</v>
      </c>
      <c r="N139" t="e">
        <f>J139+L139</f>
        <v>#VALUE!</v>
      </c>
      <c r="O139" s="99">
        <f>O138+1</f>
        <v>24</v>
      </c>
      <c r="P139" s="99" t="str">
        <f t="shared" si="65"/>
        <v xml:space="preserve">  </v>
      </c>
      <c r="Q139" s="82" t="e">
        <f>IF(P139-P138=P138-P137,P139,IF(P140-P138=P138-P137,P140,IF(P139-P138=P138-P136,P139,IF(P140-P138=P138-P136,P140,"-"))))</f>
        <v>#VALUE!</v>
      </c>
      <c r="R139" s="83" t="e">
        <f>VLOOKUP(Q139,STN_TABLE,2,FALSE)</f>
        <v>#VALUE!</v>
      </c>
      <c r="S139" s="83">
        <v>-1</v>
      </c>
      <c r="T139" s="82" t="e">
        <f>R139*S139</f>
        <v>#VALUE!</v>
      </c>
      <c r="U139" s="88">
        <v>-1</v>
      </c>
      <c r="V139" s="82" t="e">
        <f>R139*U139</f>
        <v>#VALUE!</v>
      </c>
      <c r="W139" s="84" t="str">
        <f>CONCATENATE("a'(",Q138,")=")</f>
        <v>a'(  )=</v>
      </c>
      <c r="X139" s="84" t="e">
        <f>2*X137/12*T140</f>
        <v>#VALUE!</v>
      </c>
      <c r="Y139" s="84" t="e">
        <f>CONCATENATE("A(",Q137,")=")</f>
        <v>#VALUE!</v>
      </c>
      <c r="Z139" s="84" t="e">
        <f>VLOOKUP(Q137,STN_TABLE,3,FALSE)</f>
        <v>#VALUE!</v>
      </c>
      <c r="AA139" t="str">
        <f>CONCATENATE("A(",Q138,")=")</f>
        <v>A(  )=</v>
      </c>
      <c r="AB139" t="e">
        <f>X139+Z139</f>
        <v>#VALUE!</v>
      </c>
      <c r="AC139" s="99">
        <f>AC138+1</f>
        <v>23</v>
      </c>
      <c r="AD139" s="100" t="str">
        <f>VLOOKUP(AC139,STN_TABLE_2,2,FALSE)</f>
        <v xml:space="preserve">  </v>
      </c>
      <c r="AE139" s="82" t="str">
        <f>VLOOKUP(AD139,STN_TABLE,2,FALSE)</f>
        <v xml:space="preserve">  </v>
      </c>
      <c r="AF139" s="82">
        <v>2</v>
      </c>
      <c r="AG139" s="83" t="e">
        <f>AE139*AF139</f>
        <v>#VALUE!</v>
      </c>
      <c r="AH139" s="84" t="str">
        <f>CONCATENATE("a'(",AD139,")=")</f>
        <v>a'(  )=</v>
      </c>
      <c r="AI139" s="84" t="e">
        <f>2*AI137/2*AE140</f>
        <v>#VALUE!</v>
      </c>
      <c r="AJ139" s="84" t="str">
        <f>CONCATENATE("A(",AD138,")=")</f>
        <v>A(  )=</v>
      </c>
      <c r="AK139" s="84" t="str">
        <f>VLOOKUP(AD138,STN_TABLE,3,FALSE)</f>
        <v xml:space="preserve"> </v>
      </c>
      <c r="AL139" t="str">
        <f>CONCATENATE("A(",AD139,")=")</f>
        <v>A(  )=</v>
      </c>
      <c r="AM139" t="e">
        <f>AI139+AK139</f>
        <v>#VALUE!</v>
      </c>
      <c r="AO139" s="68" t="str">
        <f>AA139</f>
        <v>A(  )=</v>
      </c>
      <c r="AP139" s="68" t="e">
        <f>VLOOKUP(AO139,Rise_Results,2,FALSE)</f>
        <v>#N/A</v>
      </c>
      <c r="AQ139" s="76" t="e">
        <f>N139</f>
        <v>#VALUE!</v>
      </c>
      <c r="AR139" s="76" t="e">
        <f>IF(OR(AB139&lt;=0,AB140&lt;=0),1/0,AB139)</f>
        <v>#VALUE!</v>
      </c>
      <c r="AS139" s="76" t="e">
        <f>AM139</f>
        <v>#VALUE!</v>
      </c>
      <c r="AT139" t="e">
        <f>IFERROR(AP139,IFERROR(AQ139,IFERROR(AR139,AS139)))</f>
        <v>#VALUE!</v>
      </c>
      <c r="AU139" s="81"/>
    </row>
    <row r="140" spans="1:47" x14ac:dyDescent="0.25">
      <c r="A140" s="84">
        <f>A139+1</f>
        <v>23</v>
      </c>
      <c r="B140" s="84" t="str">
        <f t="shared" si="69"/>
        <v xml:space="preserve">  </v>
      </c>
      <c r="F140" s="82" t="e">
        <f>SUM(F137:F139)</f>
        <v>#VALUE!</v>
      </c>
      <c r="H140" s="82" t="e">
        <f>SUM(H137:H139)</f>
        <v>#VALUE!</v>
      </c>
      <c r="I140" s="84" t="str">
        <f>CONCATENATE("m'(",C139,")=")</f>
        <v>m'(  )=</v>
      </c>
      <c r="J140" s="84" t="e">
        <f>2*(J137*(WLS))/3*H140</f>
        <v>#VALUE!</v>
      </c>
      <c r="K140" s="84" t="e">
        <f>CONCATENATE("M(",C137,")=")</f>
        <v>#VALUE!</v>
      </c>
      <c r="L140" s="84" t="e">
        <f>VLOOKUP(C137,STN_TABLE,4,FALSE)</f>
        <v>#VALUE!</v>
      </c>
      <c r="M140" t="str">
        <f>CONCATENATE("M(",C139,")=")</f>
        <v>M(  )=</v>
      </c>
      <c r="N140" t="e">
        <f>J140+L140</f>
        <v>#VALUE!</v>
      </c>
      <c r="O140" s="99">
        <f>O139+1</f>
        <v>25</v>
      </c>
      <c r="P140" s="99" t="str">
        <f t="shared" si="65"/>
        <v xml:space="preserve">  </v>
      </c>
      <c r="T140" s="89" t="e">
        <f>SUM(T137:T139)</f>
        <v>#VALUE!</v>
      </c>
      <c r="V140" s="82" t="e">
        <f>SUM(V137:V139)</f>
        <v>#VALUE!</v>
      </c>
      <c r="W140" s="84" t="str">
        <f>CONCATENATE("m'(",Q138,")=")</f>
        <v>m'(  )=</v>
      </c>
      <c r="X140" s="84" t="e">
        <f>(2*(X137^2)/24*V140)+(X139*Q137*WLS)</f>
        <v>#VALUE!</v>
      </c>
      <c r="Y140" s="84" t="e">
        <f>CONCATENATE("M(",Q137,")=")</f>
        <v>#VALUE!</v>
      </c>
      <c r="Z140" s="84" t="e">
        <f>VLOOKUP(Q137,STN_TABLE,4,FALSE)</f>
        <v>#VALUE!</v>
      </c>
      <c r="AA140" t="str">
        <f>CONCATENATE("M(",Q138,")=")</f>
        <v>M(  )=</v>
      </c>
      <c r="AB140" t="e">
        <f>X140+Z140</f>
        <v>#VALUE!</v>
      </c>
      <c r="AE140" s="89">
        <f>SUM(AE138:AE139)</f>
        <v>0</v>
      </c>
      <c r="AG140" s="89" t="e">
        <f>SUM(AG138:AG139)</f>
        <v>#VALUE!</v>
      </c>
      <c r="AH140" s="84" t="str">
        <f>CONCATENATE("m'(",AD139,")=")</f>
        <v>m'(  )=</v>
      </c>
      <c r="AI140" s="84" t="e">
        <f>(2*(AI137^2)/6*AG140)+(AI139*AD138*WLS)</f>
        <v>#VALUE!</v>
      </c>
      <c r="AJ140" s="84" t="str">
        <f>CONCATENATE("M(",AD138,")=")</f>
        <v>M(  )=</v>
      </c>
      <c r="AK140" s="84" t="str">
        <f>VLOOKUP(AD138,STN_TABLE,4,FALSE)</f>
        <v xml:space="preserve"> </v>
      </c>
      <c r="AL140" t="str">
        <f>CONCATENATE("M(",AD139,")=")</f>
        <v>M(  )=</v>
      </c>
      <c r="AM140" t="e">
        <f>AI140+AK140</f>
        <v>#VALUE!</v>
      </c>
      <c r="AO140" s="82" t="str">
        <f>AA140</f>
        <v>M(  )=</v>
      </c>
      <c r="AP140" s="82" t="e">
        <f>VLOOKUP(AO140,Rise_Results,2,FALSE)</f>
        <v>#N/A</v>
      </c>
      <c r="AQ140" s="82" t="e">
        <f>N140</f>
        <v>#VALUE!</v>
      </c>
      <c r="AR140" s="82" t="e">
        <f>IF(OR(AB139&lt;=0,AB140&lt;=0),1/0,AB140)</f>
        <v>#VALUE!</v>
      </c>
      <c r="AS140" s="82" t="e">
        <f>AM140</f>
        <v>#VALUE!</v>
      </c>
      <c r="AT140" t="e">
        <f>IFERROR(AP140,IFERROR(AQ140,IFERROR(AR140,AS140)))</f>
        <v>#VALUE!</v>
      </c>
      <c r="AU140" s="81"/>
    </row>
    <row r="141" spans="1:47" x14ac:dyDescent="0.25">
      <c r="A141" s="101">
        <f>A136+1</f>
        <v>20</v>
      </c>
      <c r="B141" s="101" t="str">
        <f t="shared" si="69"/>
        <v xml:space="preserve">  </v>
      </c>
      <c r="O141" s="101">
        <f>O136+1</f>
        <v>22</v>
      </c>
      <c r="P141" s="101" t="str">
        <f t="shared" si="65"/>
        <v xml:space="preserve">  </v>
      </c>
      <c r="AU141" s="81"/>
    </row>
    <row r="142" spans="1:47" x14ac:dyDescent="0.25">
      <c r="A142" s="84">
        <f>A141+1</f>
        <v>21</v>
      </c>
      <c r="B142" s="84" t="str">
        <f t="shared" si="69"/>
        <v xml:space="preserve">  </v>
      </c>
      <c r="C142" s="79" t="e">
        <f t="shared" ref="C142" si="72">IF(C143=B144,IF(C144-C143=C143-B143,B143,IF(C144-C143=C143-B142,B142,"#NA")),IF(C143=B143,IF(C144-C143=C143-B142,B142,IF(C144-C143=C143-B141,B141,"#NA")),"#NA"))</f>
        <v>#VALUE!</v>
      </c>
      <c r="D142" s="68" t="e">
        <f>VLOOKUP(C142,STN_TABLE,2,FALSE)</f>
        <v>#VALUE!</v>
      </c>
      <c r="E142" s="102">
        <v>1</v>
      </c>
      <c r="F142" s="68" t="e">
        <f>D142*E142</f>
        <v>#VALUE!</v>
      </c>
      <c r="G142" s="69" t="e">
        <f>C142</f>
        <v>#VALUE!</v>
      </c>
      <c r="H142" s="69" t="e">
        <f>F142*G142</f>
        <v>#VALUE!</v>
      </c>
      <c r="I142" s="6" t="s">
        <v>93</v>
      </c>
      <c r="J142" s="70" t="e">
        <f>IF(OR(D142=0,D143=0,D144=0),"#NA",IF(AND(C144-C143=C143-C142,C143&lt;&gt;C144,C142&lt;&gt;C143,C142&lt;&gt;C144,D144&lt;&gt;0,OR(D142&lt;&gt;0,D143&lt;&gt;0)),WLS*(C144-C143),"#NA"))</f>
        <v>#VALUE!</v>
      </c>
      <c r="O142" s="99">
        <f>O141+1</f>
        <v>23</v>
      </c>
      <c r="P142" s="99" t="str">
        <f t="shared" si="65"/>
        <v xml:space="preserve">  </v>
      </c>
      <c r="Q142" s="68" t="e">
        <f>IF(OR(P144-P143=P143-P142,P145-P143=P143-P142),P142,IF(OR(P144-P143=P143-P141,P145-P143=P143-P141),P141,"-"))</f>
        <v>#VALUE!</v>
      </c>
      <c r="R142" s="69" t="e">
        <f>VLOOKUP(Q142,STN_TABLE,2,FALSE)</f>
        <v>#VALUE!</v>
      </c>
      <c r="S142" s="69">
        <v>5</v>
      </c>
      <c r="T142" s="68" t="e">
        <f>R142*S142</f>
        <v>#VALUE!</v>
      </c>
      <c r="U142" s="79">
        <v>3</v>
      </c>
      <c r="V142" s="68" t="e">
        <f>R142*U142</f>
        <v>#VALUE!</v>
      </c>
      <c r="W142" s="6" t="s">
        <v>93</v>
      </c>
      <c r="X142" s="70" t="e">
        <f>IF(AND(Q144-Q143=Q143-Q142,NOT(AND(Q142=0,Q143=0)),NOT(AND(Q143=0,Q144=0))),WLS*(Q144-Q143),"#NA")</f>
        <v>#VALUE!</v>
      </c>
      <c r="AD142" s="93"/>
      <c r="AH142" s="6" t="s">
        <v>93</v>
      </c>
      <c r="AI142" s="70" t="e">
        <f>WLS*(AD144-AD143)</f>
        <v>#VALUE!</v>
      </c>
      <c r="AU142" s="81"/>
    </row>
    <row r="143" spans="1:47" x14ac:dyDescent="0.25">
      <c r="A143" s="84">
        <f>A142+1</f>
        <v>22</v>
      </c>
      <c r="B143" s="84" t="str">
        <f t="shared" si="69"/>
        <v xml:space="preserve">  </v>
      </c>
      <c r="C143" s="80" t="e">
        <f t="shared" ref="C143" si="73">IF(OR(B145-B144=B144-B143,B145-B144=B144-B142,B145-B144=B144-B141),B144,IF(OR(B145-B143=B143-B142,B145-B143=B143-B141),B143,IF(B145-B142=B142-B141,B142,"#NA")))</f>
        <v>#VALUE!</v>
      </c>
      <c r="D143" s="76" t="e">
        <f>VLOOKUP(C143,STN_TABLE,2,FALSE)</f>
        <v>#VALUE!</v>
      </c>
      <c r="E143" s="81">
        <v>4</v>
      </c>
      <c r="F143" s="76" t="e">
        <f>D143*E143</f>
        <v>#VALUE!</v>
      </c>
      <c r="G143" s="77" t="e">
        <f>C143</f>
        <v>#VALUE!</v>
      </c>
      <c r="H143" s="77" t="e">
        <f>F143*G143</f>
        <v>#VALUE!</v>
      </c>
      <c r="I143" s="495" t="s">
        <v>97</v>
      </c>
      <c r="J143" s="496"/>
      <c r="K143" s="78" t="s">
        <v>98</v>
      </c>
      <c r="L143" s="78"/>
      <c r="M143" s="7" t="s">
        <v>99</v>
      </c>
      <c r="N143" s="7"/>
      <c r="O143" s="99">
        <f>O142+1</f>
        <v>24</v>
      </c>
      <c r="P143" s="99" t="str">
        <f t="shared" si="65"/>
        <v xml:space="preserve">  </v>
      </c>
      <c r="Q143" s="76" t="str">
        <f>P143</f>
        <v xml:space="preserve">  </v>
      </c>
      <c r="R143" s="77" t="str">
        <f>VLOOKUP(Q143,STN_TABLE,2,FALSE)</f>
        <v xml:space="preserve">  </v>
      </c>
      <c r="S143" s="77">
        <v>8</v>
      </c>
      <c r="T143" s="76" t="e">
        <f>R143*S143</f>
        <v>#VALUE!</v>
      </c>
      <c r="U143" s="80">
        <v>10</v>
      </c>
      <c r="V143" s="76" t="e">
        <f>R143*U143</f>
        <v>#VALUE!</v>
      </c>
      <c r="W143" s="496" t="s">
        <v>97</v>
      </c>
      <c r="X143" s="496"/>
      <c r="Y143" s="496" t="s">
        <v>98</v>
      </c>
      <c r="Z143" s="496"/>
      <c r="AA143" s="494" t="s">
        <v>99</v>
      </c>
      <c r="AB143" s="494"/>
      <c r="AC143" s="99">
        <f>AC138+1</f>
        <v>23</v>
      </c>
      <c r="AD143" s="95" t="str">
        <f>VLOOKUP(AC143,STN_TABLE_2,2,FALSE)</f>
        <v xml:space="preserve">  </v>
      </c>
      <c r="AE143" s="68" t="str">
        <f>VLOOKUP(AD143,STN_TABLE,2,FALSE)</f>
        <v xml:space="preserve">  </v>
      </c>
      <c r="AF143" s="68">
        <v>1</v>
      </c>
      <c r="AG143" s="69" t="e">
        <f>AE143*AF143</f>
        <v>#VALUE!</v>
      </c>
      <c r="AH143" s="496" t="s">
        <v>97</v>
      </c>
      <c r="AI143" s="496"/>
      <c r="AJ143" s="496" t="s">
        <v>98</v>
      </c>
      <c r="AK143" s="496"/>
      <c r="AL143" s="494" t="s">
        <v>99</v>
      </c>
      <c r="AM143" s="494"/>
      <c r="AP143" s="86" t="s">
        <v>112</v>
      </c>
      <c r="AQ143" s="89" t="s">
        <v>113</v>
      </c>
      <c r="AR143" s="89" t="s">
        <v>114</v>
      </c>
      <c r="AS143" s="89" t="s">
        <v>115</v>
      </c>
      <c r="AU143" s="81"/>
    </row>
    <row r="144" spans="1:47" x14ac:dyDescent="0.25">
      <c r="A144" s="84">
        <f>A143+1</f>
        <v>23</v>
      </c>
      <c r="B144" s="84" t="str">
        <f t="shared" si="69"/>
        <v xml:space="preserve">  </v>
      </c>
      <c r="C144" s="88" t="str">
        <f t="shared" ref="C144" si="74">B145</f>
        <v xml:space="preserve">  </v>
      </c>
      <c r="D144" s="82" t="str">
        <f>VLOOKUP(C144,STN_TABLE,2,FALSE)</f>
        <v xml:space="preserve">  </v>
      </c>
      <c r="E144" s="92">
        <v>1</v>
      </c>
      <c r="F144" s="82" t="e">
        <f>D144*E144</f>
        <v>#VALUE!</v>
      </c>
      <c r="G144" s="83" t="str">
        <f>C144</f>
        <v xml:space="preserve">  </v>
      </c>
      <c r="H144" s="83" t="e">
        <f>F144*G144</f>
        <v>#VALUE!</v>
      </c>
      <c r="I144" s="84" t="str">
        <f>CONCATENATE("a'(",C144,")=")</f>
        <v>a'(  )=</v>
      </c>
      <c r="J144" s="84" t="e">
        <f>2*J142/3*F145</f>
        <v>#VALUE!</v>
      </c>
      <c r="K144" s="84" t="e">
        <f>CONCATENATE("A(",C142,")=")</f>
        <v>#VALUE!</v>
      </c>
      <c r="L144" s="84" t="e">
        <f>VLOOKUP(C142,STN_TABLE,3,FALSE)</f>
        <v>#VALUE!</v>
      </c>
      <c r="M144" t="str">
        <f>CONCATENATE("A(",C144,")=")</f>
        <v>A(  )=</v>
      </c>
      <c r="N144" t="e">
        <f>J144+L144</f>
        <v>#VALUE!</v>
      </c>
      <c r="O144" s="99">
        <f>O143+1</f>
        <v>25</v>
      </c>
      <c r="P144" s="99" t="str">
        <f t="shared" si="65"/>
        <v xml:space="preserve">  </v>
      </c>
      <c r="Q144" s="82" t="e">
        <f>IF(P144-P143=P143-P142,P144,IF(P145-P143=P143-P142,P145,IF(P144-P143=P143-P141,P144,IF(P145-P143=P143-P141,P145,"-"))))</f>
        <v>#VALUE!</v>
      </c>
      <c r="R144" s="83" t="e">
        <f>VLOOKUP(Q144,STN_TABLE,2,FALSE)</f>
        <v>#VALUE!</v>
      </c>
      <c r="S144" s="83">
        <v>-1</v>
      </c>
      <c r="T144" s="82" t="e">
        <f>R144*S144</f>
        <v>#VALUE!</v>
      </c>
      <c r="U144" s="88">
        <v>-1</v>
      </c>
      <c r="V144" s="82" t="e">
        <f>R144*U144</f>
        <v>#VALUE!</v>
      </c>
      <c r="W144" s="84" t="str">
        <f>CONCATENATE("a'(",Q143,")=")</f>
        <v>a'(  )=</v>
      </c>
      <c r="X144" s="84" t="e">
        <f>2*X142/12*T145</f>
        <v>#VALUE!</v>
      </c>
      <c r="Y144" s="84" t="e">
        <f>CONCATENATE("A(",Q142,")=")</f>
        <v>#VALUE!</v>
      </c>
      <c r="Z144" s="84" t="e">
        <f>VLOOKUP(Q142,STN_TABLE,3,FALSE)</f>
        <v>#VALUE!</v>
      </c>
      <c r="AA144" t="str">
        <f>CONCATENATE("A(",Q143,")=")</f>
        <v>A(  )=</v>
      </c>
      <c r="AB144" t="e">
        <f>X144+Z144</f>
        <v>#VALUE!</v>
      </c>
      <c r="AC144" s="99">
        <f>AC143+1</f>
        <v>24</v>
      </c>
      <c r="AD144" s="100" t="str">
        <f>VLOOKUP(AC144,STN_TABLE_2,2,FALSE)</f>
        <v xml:space="preserve">  </v>
      </c>
      <c r="AE144" s="82" t="str">
        <f>VLOOKUP(AD144,STN_TABLE,2,FALSE)</f>
        <v xml:space="preserve">  </v>
      </c>
      <c r="AF144" s="82">
        <v>2</v>
      </c>
      <c r="AG144" s="83" t="e">
        <f>AE144*AF144</f>
        <v>#VALUE!</v>
      </c>
      <c r="AH144" s="84" t="str">
        <f>CONCATENATE("a'(",AD144,")=")</f>
        <v>a'(  )=</v>
      </c>
      <c r="AI144" s="84" t="e">
        <f>2*AI142/2*AE145</f>
        <v>#VALUE!</v>
      </c>
      <c r="AJ144" s="84" t="str">
        <f>CONCATENATE("A(",AD143,")=")</f>
        <v>A(  )=</v>
      </c>
      <c r="AK144" s="84" t="str">
        <f>VLOOKUP(AD143,STN_TABLE,3,FALSE)</f>
        <v xml:space="preserve"> </v>
      </c>
      <c r="AL144" t="str">
        <f>CONCATENATE("A(",AD144,")=")</f>
        <v>A(  )=</v>
      </c>
      <c r="AM144" t="e">
        <f>AI144+AK144</f>
        <v>#VALUE!</v>
      </c>
      <c r="AO144" s="68" t="str">
        <f>AA144</f>
        <v>A(  )=</v>
      </c>
      <c r="AP144" s="68" t="e">
        <f>VLOOKUP(AO144,Rise_Results,2,FALSE)</f>
        <v>#N/A</v>
      </c>
      <c r="AQ144" s="76" t="e">
        <f>N144</f>
        <v>#VALUE!</v>
      </c>
      <c r="AR144" s="76" t="e">
        <f>IF(OR(AB144&lt;=0,AB145&lt;=0),1/0,AB144)</f>
        <v>#VALUE!</v>
      </c>
      <c r="AS144" s="76" t="e">
        <f>AM144</f>
        <v>#VALUE!</v>
      </c>
      <c r="AT144" t="e">
        <f>IFERROR(AP144,IFERROR(AQ144,IFERROR(AR144,AS144)))</f>
        <v>#VALUE!</v>
      </c>
      <c r="AU144" s="81"/>
    </row>
    <row r="145" spans="1:47" x14ac:dyDescent="0.25">
      <c r="A145" s="84">
        <f>A144+1</f>
        <v>24</v>
      </c>
      <c r="B145" s="84" t="str">
        <f t="shared" si="69"/>
        <v xml:space="preserve">  </v>
      </c>
      <c r="F145" s="82" t="e">
        <f>SUM(F142:F144)</f>
        <v>#VALUE!</v>
      </c>
      <c r="H145" s="82" t="e">
        <f>SUM(H142:H144)</f>
        <v>#VALUE!</v>
      </c>
      <c r="I145" s="84" t="str">
        <f>CONCATENATE("m'(",C144,")=")</f>
        <v>m'(  )=</v>
      </c>
      <c r="J145" s="84" t="e">
        <f>2*(J142*(WLS))/3*H145</f>
        <v>#VALUE!</v>
      </c>
      <c r="K145" s="84" t="e">
        <f>CONCATENATE("M(",C142,")=")</f>
        <v>#VALUE!</v>
      </c>
      <c r="L145" s="84" t="e">
        <f>VLOOKUP(C142,STN_TABLE,4,FALSE)</f>
        <v>#VALUE!</v>
      </c>
      <c r="M145" t="str">
        <f>CONCATENATE("M(",C144,")=")</f>
        <v>M(  )=</v>
      </c>
      <c r="N145" t="e">
        <f>J145+L145</f>
        <v>#VALUE!</v>
      </c>
      <c r="O145" s="99">
        <f>O144+1</f>
        <v>26</v>
      </c>
      <c r="P145" s="99" t="e">
        <f t="shared" si="65"/>
        <v>#N/A</v>
      </c>
      <c r="T145" s="89" t="e">
        <f>SUM(T142:T144)</f>
        <v>#VALUE!</v>
      </c>
      <c r="V145" s="82" t="e">
        <f>SUM(V142:V144)</f>
        <v>#VALUE!</v>
      </c>
      <c r="W145" s="84" t="str">
        <f>CONCATENATE("m'(",Q143,")=")</f>
        <v>m'(  )=</v>
      </c>
      <c r="X145" s="84" t="e">
        <f>(2*(X142^2)/24*V145)+(X144*Q142*WLS)</f>
        <v>#VALUE!</v>
      </c>
      <c r="Y145" s="84" t="e">
        <f>CONCATENATE("M(",Q142,")=")</f>
        <v>#VALUE!</v>
      </c>
      <c r="Z145" s="84" t="e">
        <f>VLOOKUP(Q142,STN_TABLE,4,FALSE)</f>
        <v>#VALUE!</v>
      </c>
      <c r="AA145" t="str">
        <f>CONCATENATE("M(",Q143,")=")</f>
        <v>M(  )=</v>
      </c>
      <c r="AB145" t="e">
        <f>X145+Z145</f>
        <v>#VALUE!</v>
      </c>
      <c r="AE145" s="89">
        <f>SUM(AE143:AE144)</f>
        <v>0</v>
      </c>
      <c r="AG145" s="89" t="e">
        <f>SUM(AG143:AG144)</f>
        <v>#VALUE!</v>
      </c>
      <c r="AH145" s="84" t="str">
        <f>CONCATENATE("m'(",AD144,")=")</f>
        <v>m'(  )=</v>
      </c>
      <c r="AI145" s="84" t="e">
        <f>(2*(AI142^2)/6*AG145)+(AI144*AD143*WLS)</f>
        <v>#VALUE!</v>
      </c>
      <c r="AJ145" s="84" t="str">
        <f>CONCATENATE("M(",AD143,")=")</f>
        <v>M(  )=</v>
      </c>
      <c r="AK145" s="84" t="str">
        <f>VLOOKUP(AD143,STN_TABLE,4,FALSE)</f>
        <v xml:space="preserve"> </v>
      </c>
      <c r="AL145" t="str">
        <f>CONCATENATE("M(",AD144,")=")</f>
        <v>M(  )=</v>
      </c>
      <c r="AM145" t="e">
        <f>AI145+AK145</f>
        <v>#VALUE!</v>
      </c>
      <c r="AO145" s="82" t="str">
        <f>AA145</f>
        <v>M(  )=</v>
      </c>
      <c r="AP145" s="82" t="e">
        <f>VLOOKUP(AO145,Rise_Results,2,FALSE)</f>
        <v>#N/A</v>
      </c>
      <c r="AQ145" s="82" t="e">
        <f>N145</f>
        <v>#VALUE!</v>
      </c>
      <c r="AR145" s="82" t="e">
        <f>IF(OR(AB144&lt;=0,AB145&lt;=0),1/0,AB145)</f>
        <v>#VALUE!</v>
      </c>
      <c r="AS145" s="82" t="e">
        <f>AM145</f>
        <v>#VALUE!</v>
      </c>
      <c r="AT145" t="e">
        <f>IFERROR(AP145,IFERROR(AQ145,IFERROR(AR145,AS145)))</f>
        <v>#VALUE!</v>
      </c>
      <c r="AU145" s="81"/>
    </row>
    <row r="146" spans="1:47" x14ac:dyDescent="0.25">
      <c r="A146" s="101">
        <f>A141+1</f>
        <v>21</v>
      </c>
      <c r="B146" s="101" t="str">
        <f t="shared" si="69"/>
        <v xml:space="preserve">  </v>
      </c>
      <c r="O146" s="101">
        <f>O141+1</f>
        <v>23</v>
      </c>
      <c r="P146" s="101" t="str">
        <f t="shared" si="65"/>
        <v xml:space="preserve">  </v>
      </c>
      <c r="AU146" s="81"/>
    </row>
    <row r="147" spans="1:47" x14ac:dyDescent="0.25">
      <c r="A147" s="84">
        <f>A146+1</f>
        <v>22</v>
      </c>
      <c r="B147" s="84" t="str">
        <f t="shared" si="69"/>
        <v xml:space="preserve">  </v>
      </c>
      <c r="C147" s="79" t="e">
        <f t="shared" ref="C147" si="75">IF(C148=B149,IF(C149-C148=C148-B148,B148,IF(C149-C148=C148-B147,B147,"#NA")),IF(C148=B148,IF(C149-C148=C148-B147,B147,IF(C149-C148=C148-B146,B146,"#NA")),"#NA"))</f>
        <v>#VALUE!</v>
      </c>
      <c r="D147" s="68" t="e">
        <f>VLOOKUP(C147,STN_TABLE,2,FALSE)</f>
        <v>#VALUE!</v>
      </c>
      <c r="E147" s="102">
        <v>1</v>
      </c>
      <c r="F147" s="68" t="e">
        <f>D147*E147</f>
        <v>#VALUE!</v>
      </c>
      <c r="G147" s="69" t="e">
        <f>C147</f>
        <v>#VALUE!</v>
      </c>
      <c r="H147" s="69" t="e">
        <f>F147*G147</f>
        <v>#VALUE!</v>
      </c>
      <c r="I147" s="6" t="s">
        <v>93</v>
      </c>
      <c r="J147" s="70" t="e">
        <f>IF(OR(D147=0,D148=0,D149=0),"#NA",IF(AND(C149-C148=C148-C147,C148&lt;&gt;C149,C147&lt;&gt;C148,C147&lt;&gt;C149,D149&lt;&gt;0,OR(D147&lt;&gt;0,D148&lt;&gt;0)),WLS*(C149-C148),"#NA"))</f>
        <v>#VALUE!</v>
      </c>
      <c r="O147" s="99">
        <f>O146+1</f>
        <v>24</v>
      </c>
      <c r="P147" s="99" t="str">
        <f t="shared" si="65"/>
        <v xml:space="preserve">  </v>
      </c>
      <c r="Q147" s="68" t="e">
        <f>IF(OR(P149-P148=P148-P147,P150-P148=P148-P147),P147,IF(OR(P149-P148=P148-P146,P150-P148=P148-P146),P146,"-"))</f>
        <v>#N/A</v>
      </c>
      <c r="R147" s="69" t="e">
        <f>VLOOKUP(Q147,STN_TABLE,2,FALSE)</f>
        <v>#N/A</v>
      </c>
      <c r="S147" s="69">
        <v>5</v>
      </c>
      <c r="T147" s="68" t="e">
        <f>R147*S147</f>
        <v>#N/A</v>
      </c>
      <c r="U147" s="79">
        <v>3</v>
      </c>
      <c r="V147" s="68" t="e">
        <f>R147*U147</f>
        <v>#N/A</v>
      </c>
      <c r="W147" s="6" t="s">
        <v>93</v>
      </c>
      <c r="X147" s="70" t="e">
        <f>IF(AND(Q149-Q148=Q148-Q147,NOT(AND(Q147=0,Q148=0)),NOT(AND(Q148=0,Q149=0))),WLS*(Q149-Q148),"#NA")</f>
        <v>#N/A</v>
      </c>
      <c r="AD147" s="93"/>
      <c r="AH147" s="6" t="s">
        <v>93</v>
      </c>
      <c r="AI147" s="70" t="e">
        <f>WLS*(AD149-AD148)</f>
        <v>#VALUE!</v>
      </c>
      <c r="AU147" s="81"/>
    </row>
    <row r="148" spans="1:47" x14ac:dyDescent="0.25">
      <c r="A148" s="84">
        <f>A147+1</f>
        <v>23</v>
      </c>
      <c r="B148" s="84" t="str">
        <f t="shared" si="69"/>
        <v xml:space="preserve">  </v>
      </c>
      <c r="C148" s="80" t="e">
        <f t="shared" ref="C148" si="76">IF(OR(B150-B149=B149-B148,B150-B149=B149-B147,B150-B149=B149-B146),B149,IF(OR(B150-B148=B148-B147,B150-B148=B148-B146),B148,IF(B150-B147=B147-B146,B147,"#NA")))</f>
        <v>#VALUE!</v>
      </c>
      <c r="D148" s="76" t="e">
        <f>VLOOKUP(C148,STN_TABLE,2,FALSE)</f>
        <v>#VALUE!</v>
      </c>
      <c r="E148" s="81">
        <v>4</v>
      </c>
      <c r="F148" s="76" t="e">
        <f>D148*E148</f>
        <v>#VALUE!</v>
      </c>
      <c r="G148" s="77" t="e">
        <f>C148</f>
        <v>#VALUE!</v>
      </c>
      <c r="H148" s="77" t="e">
        <f>F148*G148</f>
        <v>#VALUE!</v>
      </c>
      <c r="I148" s="495" t="s">
        <v>97</v>
      </c>
      <c r="J148" s="496"/>
      <c r="K148" s="78" t="s">
        <v>98</v>
      </c>
      <c r="L148" s="78"/>
      <c r="M148" s="7" t="s">
        <v>99</v>
      </c>
      <c r="N148" s="7"/>
      <c r="O148" s="99">
        <f>O147+1</f>
        <v>25</v>
      </c>
      <c r="P148" s="99" t="str">
        <f t="shared" si="65"/>
        <v xml:space="preserve">  </v>
      </c>
      <c r="Q148" s="76" t="str">
        <f>P148</f>
        <v xml:space="preserve">  </v>
      </c>
      <c r="R148" s="77" t="str">
        <f>VLOOKUP(Q148,STN_TABLE,2,FALSE)</f>
        <v xml:space="preserve">  </v>
      </c>
      <c r="S148" s="77">
        <v>8</v>
      </c>
      <c r="T148" s="76" t="e">
        <f>R148*S148</f>
        <v>#VALUE!</v>
      </c>
      <c r="U148" s="80">
        <v>10</v>
      </c>
      <c r="V148" s="76" t="e">
        <f>R148*U148</f>
        <v>#VALUE!</v>
      </c>
      <c r="W148" s="496" t="s">
        <v>97</v>
      </c>
      <c r="X148" s="496"/>
      <c r="Y148" s="496" t="s">
        <v>98</v>
      </c>
      <c r="Z148" s="496"/>
      <c r="AA148" s="494" t="s">
        <v>99</v>
      </c>
      <c r="AB148" s="494"/>
      <c r="AC148" s="99">
        <f>AC143+1</f>
        <v>24</v>
      </c>
      <c r="AD148" s="95" t="str">
        <f>VLOOKUP(AC148,STN_TABLE_2,2,FALSE)</f>
        <v xml:space="preserve">  </v>
      </c>
      <c r="AE148" s="68" t="str">
        <f>VLOOKUP(AD148,STN_TABLE,2,FALSE)</f>
        <v xml:space="preserve">  </v>
      </c>
      <c r="AF148" s="68">
        <v>1</v>
      </c>
      <c r="AG148" s="69" t="e">
        <f>AE148*AF148</f>
        <v>#VALUE!</v>
      </c>
      <c r="AH148" s="496" t="s">
        <v>97</v>
      </c>
      <c r="AI148" s="496"/>
      <c r="AJ148" s="496" t="s">
        <v>98</v>
      </c>
      <c r="AK148" s="496"/>
      <c r="AL148" s="494" t="s">
        <v>99</v>
      </c>
      <c r="AM148" s="494"/>
      <c r="AP148" s="86" t="s">
        <v>112</v>
      </c>
      <c r="AQ148" s="89" t="s">
        <v>113</v>
      </c>
      <c r="AR148" s="89" t="s">
        <v>114</v>
      </c>
      <c r="AS148" s="89" t="s">
        <v>115</v>
      </c>
      <c r="AU148" s="81"/>
    </row>
    <row r="149" spans="1:47" x14ac:dyDescent="0.25">
      <c r="A149" s="84">
        <f>A148+1</f>
        <v>24</v>
      </c>
      <c r="B149" s="84" t="str">
        <f t="shared" si="69"/>
        <v xml:space="preserve">  </v>
      </c>
      <c r="C149" s="88" t="str">
        <f t="shared" ref="C149" si="77">B150</f>
        <v xml:space="preserve">  </v>
      </c>
      <c r="D149" s="82" t="str">
        <f>VLOOKUP(C149,STN_TABLE,2,FALSE)</f>
        <v xml:space="preserve">  </v>
      </c>
      <c r="E149" s="92">
        <v>1</v>
      </c>
      <c r="F149" s="82" t="e">
        <f>D149*E149</f>
        <v>#VALUE!</v>
      </c>
      <c r="G149" s="83" t="str">
        <f>C149</f>
        <v xml:space="preserve">  </v>
      </c>
      <c r="H149" s="83" t="e">
        <f>F149*G149</f>
        <v>#VALUE!</v>
      </c>
      <c r="I149" s="84" t="str">
        <f>CONCATENATE("a'(",C149,")=")</f>
        <v>a'(  )=</v>
      </c>
      <c r="J149" s="84" t="e">
        <f>2*J147/3*F150</f>
        <v>#VALUE!</v>
      </c>
      <c r="K149" s="84" t="e">
        <f>CONCATENATE("A(",C147,")=")</f>
        <v>#VALUE!</v>
      </c>
      <c r="L149" s="84" t="e">
        <f>VLOOKUP(C147,STN_TABLE,3,FALSE)</f>
        <v>#VALUE!</v>
      </c>
      <c r="M149" t="str">
        <f>CONCATENATE("A(",C149,")=")</f>
        <v>A(  )=</v>
      </c>
      <c r="N149" t="e">
        <f>J149+L149</f>
        <v>#VALUE!</v>
      </c>
      <c r="O149" s="99">
        <f>O148+1</f>
        <v>26</v>
      </c>
      <c r="P149" s="99" t="e">
        <f t="shared" si="65"/>
        <v>#N/A</v>
      </c>
      <c r="Q149" s="82" t="e">
        <f>IF(P149-P148=P148-P147,P149,IF(P150-P148=P148-P147,P150,IF(P149-P148=P148-P146,P149,IF(P150-P148=P148-P146,P150,"-"))))</f>
        <v>#N/A</v>
      </c>
      <c r="R149" s="83" t="e">
        <f>VLOOKUP(Q149,STN_TABLE,2,FALSE)</f>
        <v>#N/A</v>
      </c>
      <c r="S149" s="83">
        <v>-1</v>
      </c>
      <c r="T149" s="82" t="e">
        <f>R149*S149</f>
        <v>#N/A</v>
      </c>
      <c r="U149" s="88">
        <v>-1</v>
      </c>
      <c r="V149" s="82" t="e">
        <f>R149*U149</f>
        <v>#N/A</v>
      </c>
      <c r="W149" s="84" t="str">
        <f>CONCATENATE("a'(",Q148,")=")</f>
        <v>a'(  )=</v>
      </c>
      <c r="X149" s="84" t="e">
        <f>2*X147/12*T150</f>
        <v>#N/A</v>
      </c>
      <c r="Y149" s="84" t="e">
        <f>CONCATENATE("A(",Q147,")=")</f>
        <v>#N/A</v>
      </c>
      <c r="Z149" s="84" t="e">
        <f>VLOOKUP(Q147,STN_TABLE,3,FALSE)</f>
        <v>#N/A</v>
      </c>
      <c r="AA149" t="str">
        <f>CONCATENATE("A(",Q148,")=")</f>
        <v>A(  )=</v>
      </c>
      <c r="AB149" t="e">
        <f>X149+Z149</f>
        <v>#N/A</v>
      </c>
      <c r="AC149" s="99">
        <f>AC148+1</f>
        <v>25</v>
      </c>
      <c r="AD149" s="100" t="str">
        <f>VLOOKUP(AC149,STN_TABLE_2,2,FALSE)</f>
        <v xml:space="preserve">  </v>
      </c>
      <c r="AE149" s="82" t="str">
        <f>VLOOKUP(AD149,STN_TABLE,2,FALSE)</f>
        <v xml:space="preserve">  </v>
      </c>
      <c r="AF149" s="82">
        <v>2</v>
      </c>
      <c r="AG149" s="83" t="e">
        <f>AE149*AF149</f>
        <v>#VALUE!</v>
      </c>
      <c r="AH149" s="84" t="str">
        <f>CONCATENATE("a'(",AD149,")=")</f>
        <v>a'(  )=</v>
      </c>
      <c r="AI149" s="84" t="e">
        <f>2*AI147/2*AE150</f>
        <v>#VALUE!</v>
      </c>
      <c r="AJ149" s="84" t="str">
        <f>CONCATENATE("A(",AD148,")=")</f>
        <v>A(  )=</v>
      </c>
      <c r="AK149" s="84" t="str">
        <f>VLOOKUP(AD148,STN_TABLE,3,FALSE)</f>
        <v xml:space="preserve"> </v>
      </c>
      <c r="AL149" t="str">
        <f>CONCATENATE("A(",AD149,")=")</f>
        <v>A(  )=</v>
      </c>
      <c r="AM149" t="e">
        <f>AI149+AK149</f>
        <v>#VALUE!</v>
      </c>
      <c r="AO149" s="68" t="str">
        <f>AA149</f>
        <v>A(  )=</v>
      </c>
      <c r="AP149" s="68" t="e">
        <f>VLOOKUP(AO149,Rise_Results,2,FALSE)</f>
        <v>#N/A</v>
      </c>
      <c r="AQ149" s="76" t="e">
        <f>N149</f>
        <v>#VALUE!</v>
      </c>
      <c r="AR149" s="76" t="e">
        <f>IF(OR(AB149&lt;=0,AB150&lt;=0),1/0,AB149)</f>
        <v>#N/A</v>
      </c>
      <c r="AS149" s="76" t="e">
        <f>AM149</f>
        <v>#VALUE!</v>
      </c>
      <c r="AT149" t="e">
        <f>IFERROR(AP149,IFERROR(AQ149,IFERROR(AR149,AS149)))</f>
        <v>#VALUE!</v>
      </c>
      <c r="AU149" s="81"/>
    </row>
    <row r="150" spans="1:47" x14ac:dyDescent="0.25">
      <c r="A150" s="84">
        <f>A149+1</f>
        <v>25</v>
      </c>
      <c r="B150" s="84" t="str">
        <f t="shared" si="69"/>
        <v xml:space="preserve">  </v>
      </c>
      <c r="F150" s="82" t="e">
        <f>SUM(F147:F149)</f>
        <v>#VALUE!</v>
      </c>
      <c r="H150" s="82" t="e">
        <f>SUM(H147:H149)</f>
        <v>#VALUE!</v>
      </c>
      <c r="I150" s="84" t="str">
        <f>CONCATENATE("m'(",C149,")=")</f>
        <v>m'(  )=</v>
      </c>
      <c r="J150" s="84" t="e">
        <f>2*(J147*(WLS))/3*H150</f>
        <v>#VALUE!</v>
      </c>
      <c r="K150" s="84" t="e">
        <f>CONCATENATE("M(",C147,")=")</f>
        <v>#VALUE!</v>
      </c>
      <c r="L150" s="84" t="e">
        <f>VLOOKUP(C147,STN_TABLE,4,FALSE)</f>
        <v>#VALUE!</v>
      </c>
      <c r="M150" t="str">
        <f>CONCATENATE("M(",C149,")=")</f>
        <v>M(  )=</v>
      </c>
      <c r="N150" t="e">
        <f>J150+L150</f>
        <v>#VALUE!</v>
      </c>
      <c r="O150" s="99">
        <f>O149+1</f>
        <v>27</v>
      </c>
      <c r="P150" s="99" t="e">
        <f t="shared" si="65"/>
        <v>#N/A</v>
      </c>
      <c r="T150" s="89" t="e">
        <f>SUM(T147:T149)</f>
        <v>#N/A</v>
      </c>
      <c r="V150" s="82" t="e">
        <f>SUM(V147:V149)</f>
        <v>#N/A</v>
      </c>
      <c r="W150" s="84" t="str">
        <f>CONCATENATE("m'(",Q148,")=")</f>
        <v>m'(  )=</v>
      </c>
      <c r="X150" s="84" t="e">
        <f>(2*(X147^2)/24*V150)+(X149*Q147*WLS)</f>
        <v>#N/A</v>
      </c>
      <c r="Y150" s="84" t="e">
        <f>CONCATENATE("M(",Q147,")=")</f>
        <v>#N/A</v>
      </c>
      <c r="Z150" s="84" t="e">
        <f>VLOOKUP(Q147,STN_TABLE,4,FALSE)</f>
        <v>#N/A</v>
      </c>
      <c r="AA150" t="str">
        <f>CONCATENATE("M(",Q148,")=")</f>
        <v>M(  )=</v>
      </c>
      <c r="AB150" t="e">
        <f>X150+Z150</f>
        <v>#N/A</v>
      </c>
      <c r="AE150" s="89">
        <f>SUM(AE148:AE149)</f>
        <v>0</v>
      </c>
      <c r="AG150" s="89" t="e">
        <f>SUM(AG148:AG149)</f>
        <v>#VALUE!</v>
      </c>
      <c r="AH150" s="84" t="str">
        <f>CONCATENATE("m'(",AD149,")=")</f>
        <v>m'(  )=</v>
      </c>
      <c r="AI150" s="84" t="e">
        <f>(2*(AI147^2)/6*AG150)+(AI149*AD148*WLS)</f>
        <v>#VALUE!</v>
      </c>
      <c r="AJ150" s="84" t="str">
        <f>CONCATENATE("M(",AD148,")=")</f>
        <v>M(  )=</v>
      </c>
      <c r="AK150" s="84" t="str">
        <f>VLOOKUP(AD148,STN_TABLE,4,FALSE)</f>
        <v xml:space="preserve"> </v>
      </c>
      <c r="AL150" t="str">
        <f>CONCATENATE("M(",AD149,")=")</f>
        <v>M(  )=</v>
      </c>
      <c r="AM150" t="e">
        <f>AI150+AK150</f>
        <v>#VALUE!</v>
      </c>
      <c r="AO150" s="82" t="str">
        <f>AA150</f>
        <v>M(  )=</v>
      </c>
      <c r="AP150" s="82" t="e">
        <f>VLOOKUP(AO150,Rise_Results,2,FALSE)</f>
        <v>#N/A</v>
      </c>
      <c r="AQ150" s="82" t="e">
        <f>N150</f>
        <v>#VALUE!</v>
      </c>
      <c r="AR150" s="82" t="e">
        <f>IF(OR(AB149&lt;=0,AB150&lt;=0),1/0,AB150)</f>
        <v>#N/A</v>
      </c>
      <c r="AS150" s="82" t="e">
        <f>AM150</f>
        <v>#VALUE!</v>
      </c>
      <c r="AT150" t="e">
        <f>IFERROR(AP150,IFERROR(AQ150,IFERROR(AR150,AS150)))</f>
        <v>#VALUE!</v>
      </c>
      <c r="AU150" s="81"/>
    </row>
    <row r="151" spans="1:47" x14ac:dyDescent="0.25">
      <c r="A151" s="101"/>
      <c r="B151" s="101"/>
      <c r="AU151" s="81"/>
    </row>
    <row r="152" spans="1:47" x14ac:dyDescent="0.25">
      <c r="A152" s="84"/>
      <c r="B152" s="84"/>
      <c r="E152" s="81"/>
      <c r="F152" s="81"/>
      <c r="G152" s="81"/>
      <c r="H152" s="81"/>
      <c r="I152" s="103"/>
      <c r="J152" s="70"/>
      <c r="AU152" s="81"/>
    </row>
    <row r="153" spans="1:47" x14ac:dyDescent="0.25">
      <c r="A153" s="84"/>
      <c r="B153" s="84"/>
      <c r="E153" s="81"/>
      <c r="F153" s="81"/>
      <c r="G153" s="81"/>
      <c r="H153" s="81"/>
      <c r="I153" s="104"/>
      <c r="J153" s="78"/>
      <c r="K153" s="78"/>
      <c r="L153" s="78"/>
      <c r="M153" s="7"/>
      <c r="N153" s="7"/>
      <c r="AO153" s="81"/>
      <c r="AP153" s="81"/>
      <c r="AQ153" s="81"/>
      <c r="AR153" s="81"/>
      <c r="AS153" s="81"/>
      <c r="AT153" s="81"/>
      <c r="AU153" s="81"/>
    </row>
    <row r="154" spans="1:47" x14ac:dyDescent="0.25">
      <c r="A154" s="84"/>
      <c r="B154" s="84"/>
      <c r="E154" s="81"/>
      <c r="F154" s="81"/>
      <c r="G154" s="81"/>
      <c r="H154" s="81"/>
      <c r="I154" s="105"/>
      <c r="J154" s="84"/>
      <c r="K154" s="84"/>
      <c r="L154" s="84"/>
      <c r="AO154" s="81"/>
      <c r="AP154" s="81"/>
      <c r="AQ154" s="81"/>
      <c r="AR154" s="81"/>
      <c r="AS154" s="81"/>
      <c r="AT154" s="81"/>
      <c r="AU154" s="81"/>
    </row>
    <row r="155" spans="1:47" x14ac:dyDescent="0.25">
      <c r="A155" s="84"/>
      <c r="B155" s="84"/>
      <c r="E155" s="81"/>
      <c r="F155" s="81"/>
      <c r="G155" s="81"/>
      <c r="H155" s="81"/>
      <c r="I155" s="105"/>
      <c r="J155" s="84"/>
      <c r="K155" s="84"/>
      <c r="L155" s="84"/>
      <c r="AO155" s="81"/>
      <c r="AP155" s="81"/>
      <c r="AQ155" s="81"/>
      <c r="AR155" s="81"/>
      <c r="AS155" s="81"/>
      <c r="AT155" s="81"/>
      <c r="AU155" s="81"/>
    </row>
    <row r="156" spans="1:47" x14ac:dyDescent="0.25">
      <c r="A156" s="101"/>
      <c r="B156" s="101"/>
      <c r="E156" s="81"/>
      <c r="F156" s="81"/>
      <c r="G156" s="81"/>
      <c r="H156" s="81"/>
      <c r="I156" s="81"/>
      <c r="AO156" s="81"/>
      <c r="AP156" s="81"/>
      <c r="AQ156" s="81"/>
      <c r="AR156" s="81"/>
      <c r="AS156" s="81"/>
      <c r="AT156" s="81"/>
      <c r="AU156" s="81"/>
    </row>
    <row r="157" spans="1:47" x14ac:dyDescent="0.25">
      <c r="A157" s="84"/>
      <c r="B157" s="84"/>
      <c r="E157" s="81"/>
      <c r="F157" s="81"/>
      <c r="G157" s="81"/>
      <c r="H157" s="81"/>
      <c r="I157" s="103"/>
      <c r="J157" s="70"/>
      <c r="AO157" s="81"/>
      <c r="AP157" s="81"/>
      <c r="AQ157" s="81"/>
      <c r="AR157" s="81"/>
      <c r="AS157" s="81"/>
      <c r="AT157" s="81"/>
      <c r="AU157" s="81"/>
    </row>
    <row r="158" spans="1:47" x14ac:dyDescent="0.25">
      <c r="A158" s="84"/>
      <c r="B158" s="84"/>
      <c r="E158" s="81"/>
      <c r="F158" s="81"/>
      <c r="G158" s="81"/>
      <c r="H158" s="81"/>
      <c r="I158" s="104"/>
      <c r="J158" s="78"/>
      <c r="K158" s="78"/>
      <c r="L158" s="78"/>
      <c r="M158" s="7"/>
      <c r="N158" s="7"/>
      <c r="AO158" s="81"/>
      <c r="AP158" s="81"/>
      <c r="AQ158" s="81"/>
      <c r="AR158" s="81"/>
      <c r="AS158" s="81"/>
      <c r="AT158" s="81"/>
      <c r="AU158" s="81"/>
    </row>
    <row r="159" spans="1:47" x14ac:dyDescent="0.25">
      <c r="A159" s="84"/>
      <c r="B159" s="84"/>
      <c r="E159" s="81"/>
      <c r="F159" s="81"/>
      <c r="G159" s="81"/>
      <c r="H159" s="81"/>
      <c r="I159" s="105"/>
      <c r="J159" s="84"/>
      <c r="K159" s="84"/>
      <c r="L159" s="84"/>
      <c r="AO159" s="81"/>
      <c r="AP159" s="81"/>
      <c r="AQ159" s="81"/>
      <c r="AR159" s="81"/>
      <c r="AS159" s="81"/>
      <c r="AT159" s="81"/>
      <c r="AU159" s="81"/>
    </row>
    <row r="160" spans="1:47" x14ac:dyDescent="0.25">
      <c r="A160" s="84"/>
      <c r="B160" s="84"/>
      <c r="E160" s="81"/>
      <c r="F160" s="81"/>
      <c r="G160" s="81"/>
      <c r="H160" s="81"/>
      <c r="I160" s="105"/>
      <c r="J160" s="84"/>
      <c r="K160" s="84"/>
      <c r="L160" s="84"/>
      <c r="AO160" s="81"/>
      <c r="AP160" s="81"/>
      <c r="AQ160" s="81"/>
      <c r="AR160" s="81"/>
      <c r="AS160" s="81"/>
      <c r="AT160" s="81"/>
      <c r="AU160" s="81"/>
    </row>
    <row r="161" spans="1:47" x14ac:dyDescent="0.25">
      <c r="A161" s="101"/>
      <c r="B161" s="101"/>
      <c r="E161" s="81"/>
      <c r="F161" s="81"/>
      <c r="G161" s="81"/>
      <c r="H161" s="81"/>
      <c r="I161" s="81"/>
      <c r="AO161" s="81"/>
      <c r="AP161" s="81"/>
      <c r="AQ161" s="81"/>
      <c r="AR161" s="81"/>
      <c r="AS161" s="81"/>
      <c r="AT161" s="81"/>
      <c r="AU161" s="81"/>
    </row>
    <row r="162" spans="1:47" x14ac:dyDescent="0.25">
      <c r="A162" s="84"/>
      <c r="B162" s="84"/>
      <c r="E162" s="81"/>
      <c r="F162" s="81"/>
      <c r="G162" s="81"/>
      <c r="H162" s="81"/>
      <c r="I162" s="103"/>
      <c r="J162" s="70"/>
      <c r="AO162" s="81"/>
      <c r="AP162" s="81"/>
      <c r="AQ162" s="81"/>
      <c r="AR162" s="81"/>
      <c r="AS162" s="81"/>
      <c r="AT162" s="81"/>
      <c r="AU162" s="81"/>
    </row>
    <row r="163" spans="1:47" x14ac:dyDescent="0.25">
      <c r="A163" s="84"/>
      <c r="B163" s="84"/>
      <c r="E163" s="81"/>
      <c r="F163" s="81"/>
      <c r="G163" s="81"/>
      <c r="H163" s="81"/>
      <c r="I163" s="104"/>
      <c r="J163" s="78"/>
      <c r="K163" s="78"/>
      <c r="L163" s="78"/>
      <c r="M163" s="7"/>
      <c r="N163" s="7"/>
      <c r="AO163" s="81"/>
      <c r="AP163" s="81"/>
      <c r="AQ163" s="81"/>
      <c r="AR163" s="81"/>
      <c r="AS163" s="81"/>
      <c r="AT163" s="81"/>
      <c r="AU163" s="81"/>
    </row>
    <row r="164" spans="1:47" x14ac:dyDescent="0.25">
      <c r="A164" s="84"/>
      <c r="B164" s="84"/>
      <c r="E164" s="81"/>
      <c r="F164" s="81"/>
      <c r="G164" s="81"/>
      <c r="H164" s="81"/>
      <c r="I164" s="105"/>
      <c r="J164" s="84"/>
      <c r="K164" s="84"/>
      <c r="L164" s="84"/>
    </row>
    <row r="165" spans="1:47" x14ac:dyDescent="0.25">
      <c r="A165" s="84"/>
      <c r="B165" s="84"/>
      <c r="E165" s="81"/>
      <c r="F165" s="81"/>
      <c r="G165" s="81"/>
      <c r="H165" s="81"/>
      <c r="I165" s="105"/>
      <c r="J165" s="84"/>
      <c r="K165" s="84"/>
      <c r="L165" s="84"/>
    </row>
    <row r="166" spans="1:47" x14ac:dyDescent="0.25">
      <c r="A166" s="101"/>
      <c r="B166" s="101"/>
      <c r="E166" s="81"/>
      <c r="F166" s="81"/>
      <c r="G166" s="81"/>
      <c r="H166" s="81"/>
      <c r="I166" s="81"/>
    </row>
    <row r="167" spans="1:47" x14ac:dyDescent="0.25">
      <c r="A167" s="84"/>
      <c r="B167" s="84"/>
      <c r="E167" s="81"/>
      <c r="F167" s="81"/>
      <c r="G167" s="81"/>
      <c r="H167" s="81"/>
      <c r="I167" s="103"/>
      <c r="J167" s="70"/>
    </row>
    <row r="168" spans="1:47" x14ac:dyDescent="0.25">
      <c r="A168" s="84"/>
      <c r="B168" s="84"/>
      <c r="E168" s="81"/>
      <c r="F168" s="81"/>
      <c r="G168" s="81"/>
      <c r="H168" s="81"/>
      <c r="I168" s="104"/>
      <c r="J168" s="78"/>
      <c r="K168" s="78"/>
      <c r="L168" s="78"/>
      <c r="M168" s="7"/>
      <c r="N168" s="7"/>
    </row>
    <row r="169" spans="1:47" x14ac:dyDescent="0.25">
      <c r="A169" s="84"/>
      <c r="B169" s="84"/>
      <c r="E169" s="81"/>
      <c r="F169" s="81"/>
      <c r="G169" s="81"/>
      <c r="H169" s="81"/>
      <c r="I169" s="105"/>
      <c r="J169" s="84"/>
      <c r="K169" s="84"/>
      <c r="L169" s="84"/>
    </row>
    <row r="170" spans="1:47" x14ac:dyDescent="0.25">
      <c r="A170" s="84"/>
      <c r="B170" s="84"/>
      <c r="E170" s="81"/>
      <c r="F170" s="81"/>
      <c r="G170" s="81"/>
      <c r="H170" s="81"/>
      <c r="I170" s="105"/>
      <c r="J170" s="84"/>
      <c r="K170" s="84"/>
      <c r="L170" s="84"/>
    </row>
    <row r="171" spans="1:47" x14ac:dyDescent="0.25">
      <c r="E171" s="81"/>
      <c r="F171" s="81"/>
      <c r="G171" s="81"/>
      <c r="H171" s="81"/>
      <c r="I171" s="81"/>
    </row>
  </sheetData>
  <sheetProtection selectLockedCells="1" selectUnlockedCells="1"/>
  <mergeCells count="167">
    <mergeCell ref="A1:B1"/>
    <mergeCell ref="E1:F1"/>
    <mergeCell ref="L1:M1"/>
    <mergeCell ref="W33:X33"/>
    <mergeCell ref="Y33:Z33"/>
    <mergeCell ref="AA33:AB33"/>
    <mergeCell ref="AH33:AI33"/>
    <mergeCell ref="AJ33:AK33"/>
    <mergeCell ref="AL33:AM33"/>
    <mergeCell ref="I38:J38"/>
    <mergeCell ref="W38:X38"/>
    <mergeCell ref="Y38:Z38"/>
    <mergeCell ref="AA38:AB38"/>
    <mergeCell ref="AH38:AI38"/>
    <mergeCell ref="AJ38:AK38"/>
    <mergeCell ref="AL38:AM38"/>
    <mergeCell ref="AL43:AM43"/>
    <mergeCell ref="I48:J48"/>
    <mergeCell ref="W48:X48"/>
    <mergeCell ref="Y48:Z48"/>
    <mergeCell ref="AA48:AB48"/>
    <mergeCell ref="AH48:AI48"/>
    <mergeCell ref="AJ48:AK48"/>
    <mergeCell ref="AL48:AM48"/>
    <mergeCell ref="I43:J43"/>
    <mergeCell ref="W43:X43"/>
    <mergeCell ref="Y43:Z43"/>
    <mergeCell ref="AA43:AB43"/>
    <mergeCell ref="AH43:AI43"/>
    <mergeCell ref="AJ43:AK43"/>
    <mergeCell ref="AL53:AM53"/>
    <mergeCell ref="I58:J58"/>
    <mergeCell ref="AH58:AI58"/>
    <mergeCell ref="AJ58:AK58"/>
    <mergeCell ref="AL58:AM58"/>
    <mergeCell ref="I63:J63"/>
    <mergeCell ref="W63:X63"/>
    <mergeCell ref="Y63:Z63"/>
    <mergeCell ref="AA63:AB63"/>
    <mergeCell ref="AH63:AI63"/>
    <mergeCell ref="I53:J53"/>
    <mergeCell ref="W53:X53"/>
    <mergeCell ref="Y53:Z53"/>
    <mergeCell ref="AA53:AB53"/>
    <mergeCell ref="AH53:AI53"/>
    <mergeCell ref="AJ53:AK53"/>
    <mergeCell ref="AJ63:AK63"/>
    <mergeCell ref="AL63:AM63"/>
    <mergeCell ref="I68:J68"/>
    <mergeCell ref="W68:X68"/>
    <mergeCell ref="Y68:Z68"/>
    <mergeCell ref="AA68:AB68"/>
    <mergeCell ref="AH68:AI68"/>
    <mergeCell ref="AJ68:AK68"/>
    <mergeCell ref="AL68:AM68"/>
    <mergeCell ref="AL73:AM73"/>
    <mergeCell ref="I78:J78"/>
    <mergeCell ref="W78:X78"/>
    <mergeCell ref="Y78:Z78"/>
    <mergeCell ref="AA78:AB78"/>
    <mergeCell ref="AH78:AI78"/>
    <mergeCell ref="AJ78:AK78"/>
    <mergeCell ref="AL78:AM78"/>
    <mergeCell ref="I73:J73"/>
    <mergeCell ref="W73:X73"/>
    <mergeCell ref="Y73:Z73"/>
    <mergeCell ref="AA73:AB73"/>
    <mergeCell ref="AH73:AI73"/>
    <mergeCell ref="AJ73:AK73"/>
    <mergeCell ref="AL83:AM83"/>
    <mergeCell ref="I88:J88"/>
    <mergeCell ref="W88:X88"/>
    <mergeCell ref="Y88:Z88"/>
    <mergeCell ref="AA88:AB88"/>
    <mergeCell ref="AH88:AI88"/>
    <mergeCell ref="AJ88:AK88"/>
    <mergeCell ref="AL88:AM88"/>
    <mergeCell ref="I83:J83"/>
    <mergeCell ref="W83:X83"/>
    <mergeCell ref="Y83:Z83"/>
    <mergeCell ref="AA83:AB83"/>
    <mergeCell ref="AH83:AI83"/>
    <mergeCell ref="AJ83:AK83"/>
    <mergeCell ref="AL93:AM93"/>
    <mergeCell ref="I98:J98"/>
    <mergeCell ref="W98:X98"/>
    <mergeCell ref="Y98:Z98"/>
    <mergeCell ref="AA98:AB98"/>
    <mergeCell ref="AH98:AI98"/>
    <mergeCell ref="AJ98:AK98"/>
    <mergeCell ref="AL98:AM98"/>
    <mergeCell ref="I93:J93"/>
    <mergeCell ref="W93:X93"/>
    <mergeCell ref="Y93:Z93"/>
    <mergeCell ref="AA93:AB93"/>
    <mergeCell ref="AH93:AI93"/>
    <mergeCell ref="AJ93:AK93"/>
    <mergeCell ref="AL103:AM103"/>
    <mergeCell ref="I108:J108"/>
    <mergeCell ref="W108:X108"/>
    <mergeCell ref="Y108:Z108"/>
    <mergeCell ref="AA108:AB108"/>
    <mergeCell ref="AH108:AI108"/>
    <mergeCell ref="AJ108:AK108"/>
    <mergeCell ref="AL108:AM108"/>
    <mergeCell ref="I103:J103"/>
    <mergeCell ref="W103:X103"/>
    <mergeCell ref="Y103:Z103"/>
    <mergeCell ref="AA103:AB103"/>
    <mergeCell ref="AH103:AI103"/>
    <mergeCell ref="AJ103:AK103"/>
    <mergeCell ref="AL113:AM113"/>
    <mergeCell ref="I118:J118"/>
    <mergeCell ref="W118:X118"/>
    <mergeCell ref="Y118:Z118"/>
    <mergeCell ref="AA118:AB118"/>
    <mergeCell ref="AH118:AI118"/>
    <mergeCell ref="AJ118:AK118"/>
    <mergeCell ref="AL118:AM118"/>
    <mergeCell ref="I113:J113"/>
    <mergeCell ref="W113:X113"/>
    <mergeCell ref="Y113:Z113"/>
    <mergeCell ref="AA113:AB113"/>
    <mergeCell ref="AH113:AI113"/>
    <mergeCell ref="AJ113:AK113"/>
    <mergeCell ref="AL123:AM123"/>
    <mergeCell ref="I128:J128"/>
    <mergeCell ref="W128:X128"/>
    <mergeCell ref="Y128:Z128"/>
    <mergeCell ref="AA128:AB128"/>
    <mergeCell ref="AH128:AI128"/>
    <mergeCell ref="AJ128:AK128"/>
    <mergeCell ref="AL128:AM128"/>
    <mergeCell ref="I123:J123"/>
    <mergeCell ref="W123:X123"/>
    <mergeCell ref="Y123:Z123"/>
    <mergeCell ref="AA123:AB123"/>
    <mergeCell ref="AH123:AI123"/>
    <mergeCell ref="AJ123:AK123"/>
    <mergeCell ref="AL133:AM133"/>
    <mergeCell ref="I138:J138"/>
    <mergeCell ref="W138:X138"/>
    <mergeCell ref="Y138:Z138"/>
    <mergeCell ref="AA138:AB138"/>
    <mergeCell ref="AH138:AI138"/>
    <mergeCell ref="AJ138:AK138"/>
    <mergeCell ref="AL138:AM138"/>
    <mergeCell ref="I133:J133"/>
    <mergeCell ref="W133:X133"/>
    <mergeCell ref="Y133:Z133"/>
    <mergeCell ref="AA133:AB133"/>
    <mergeCell ref="AH133:AI133"/>
    <mergeCell ref="AJ133:AK133"/>
    <mergeCell ref="AL143:AM143"/>
    <mergeCell ref="I148:J148"/>
    <mergeCell ref="W148:X148"/>
    <mergeCell ref="Y148:Z148"/>
    <mergeCell ref="AA148:AB148"/>
    <mergeCell ref="AH148:AI148"/>
    <mergeCell ref="AJ148:AK148"/>
    <mergeCell ref="AL148:AM148"/>
    <mergeCell ref="I143:J143"/>
    <mergeCell ref="W143:X143"/>
    <mergeCell ref="Y143:Z143"/>
    <mergeCell ref="AA143:AB143"/>
    <mergeCell ref="AH143:AI143"/>
    <mergeCell ref="AJ143:AK143"/>
  </mergeCells>
  <pageMargins left="0.7" right="0.7" top="0.75" bottom="0.75" header="0.3" footer="0.3"/>
  <pageSetup paperSize="9"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U171"/>
  <sheetViews>
    <sheetView topLeftCell="N1" workbookViewId="0">
      <pane ySplit="1" topLeftCell="A8" activePane="bottomLeft" state="frozen"/>
      <selection activeCell="AG8" sqref="AG8:AG10"/>
      <selection pane="bottomLeft" activeCell="AG8" sqref="AG8:AG10"/>
    </sheetView>
  </sheetViews>
  <sheetFormatPr defaultRowHeight="15" x14ac:dyDescent="0.25"/>
  <sheetData>
    <row r="1" spans="1:46" x14ac:dyDescent="0.25">
      <c r="A1" s="494" t="s">
        <v>90</v>
      </c>
      <c r="B1" s="494"/>
      <c r="C1">
        <f>HLOOKUP(Stn_WL,OFFSET_A,Count_STN+1,FALSE)</f>
        <v>18</v>
      </c>
      <c r="E1" s="494" t="s">
        <v>91</v>
      </c>
      <c r="F1" s="494"/>
      <c r="G1" t="str">
        <f>VLOOKUP(Station_No,RISE_CALC,2,FALSE)</f>
        <v>-</v>
      </c>
      <c r="L1" s="494" t="s">
        <v>92</v>
      </c>
      <c r="M1" s="494"/>
      <c r="N1">
        <v>21</v>
      </c>
    </row>
    <row r="2" spans="1:46" x14ac:dyDescent="0.25">
      <c r="Q2" s="66" t="str">
        <f t="shared" ref="Q2:R6" si="0">G4</f>
        <v>Rise</v>
      </c>
      <c r="R2" s="67" t="e">
        <f t="shared" si="0"/>
        <v>#VALUE!</v>
      </c>
      <c r="S2" s="68" t="e">
        <f>IF(OR(R5-R4=R4-R3,R6-R4=R4-R3),R3,IF(OR(R5-R4=R4-R2,R6-R4=R4-R2),R2,"-"))</f>
        <v>#VALUE!</v>
      </c>
      <c r="T2" s="69" t="e">
        <f>IFERROR(VLOOKUP(S2,STN_TABLE,2,FALSE),IF(R2=RisePerWLS,0,"-"))</f>
        <v>#VALUE!</v>
      </c>
      <c r="U2" s="69">
        <v>5</v>
      </c>
      <c r="V2" s="69" t="e">
        <f>T2*U2</f>
        <v>#VALUE!</v>
      </c>
      <c r="W2" s="69">
        <v>3</v>
      </c>
      <c r="X2" s="69" t="e">
        <f>T2*W2</f>
        <v>#VALUE!</v>
      </c>
      <c r="Y2" s="6" t="s">
        <v>93</v>
      </c>
      <c r="Z2" s="70" t="e">
        <f>IF(AND(S4-S3=S3-S2,NOT(AND(S2=0,S3=0)),NOT(AND(S3=0,S4=0))),WLS*(S4-S3),"#NA")</f>
        <v>#VALUE!</v>
      </c>
      <c r="AE2" s="71" t="s">
        <v>94</v>
      </c>
    </row>
    <row r="3" spans="1:46" x14ac:dyDescent="0.25">
      <c r="B3" s="72" t="s">
        <v>0</v>
      </c>
      <c r="C3" s="73" t="s">
        <v>95</v>
      </c>
      <c r="D3" s="73" t="s">
        <v>18</v>
      </c>
      <c r="E3" s="74" t="s">
        <v>20</v>
      </c>
      <c r="H3" s="75" t="s">
        <v>96</v>
      </c>
      <c r="K3" t="str">
        <f>IF(Rise=0,"(Not considered)","(Considered)")</f>
        <v>(Considered)</v>
      </c>
      <c r="Q3" s="66" t="str">
        <f t="shared" si="0"/>
        <v>1st_UWL</v>
      </c>
      <c r="R3" s="67" t="str">
        <f t="shared" si="0"/>
        <v>#NA</v>
      </c>
      <c r="S3" s="76" t="str">
        <f>R4</f>
        <v>#NA</v>
      </c>
      <c r="T3" s="77" t="e">
        <f>VLOOKUP(S3,STN_TABLE,2,FALSE)</f>
        <v>#N/A</v>
      </c>
      <c r="U3" s="77">
        <v>8</v>
      </c>
      <c r="V3" s="77" t="e">
        <f>T3*U3</f>
        <v>#N/A</v>
      </c>
      <c r="W3" s="77">
        <v>10</v>
      </c>
      <c r="X3" s="77" t="e">
        <f>T3*W3</f>
        <v>#N/A</v>
      </c>
      <c r="Y3" s="78" t="s">
        <v>97</v>
      </c>
      <c r="Z3" s="78"/>
      <c r="AA3" s="78" t="s">
        <v>98</v>
      </c>
      <c r="AB3" s="78"/>
      <c r="AC3" s="7" t="s">
        <v>99</v>
      </c>
      <c r="AD3" s="7"/>
      <c r="AE3" s="66" t="str">
        <f t="shared" ref="AE3:AF7" si="1">G4</f>
        <v>Rise</v>
      </c>
      <c r="AF3" s="67" t="e">
        <f t="shared" si="1"/>
        <v>#VALUE!</v>
      </c>
      <c r="AG3" s="79" t="e">
        <f>IF(AF7-AF6=AF6-AF5,AF5,IF(OR(AF7-AF6=AF6-AF4,AF7-AF5=AF5-AF4),AF4,IF(OR(AF7-AF6=AF6-AF3,AF7-AF5=AF5-AF3,AF7-AF4=AF4-AF3),AF3,"#NA")))</f>
        <v>#VALUE!</v>
      </c>
      <c r="AH3" s="69" t="e">
        <f>IFERROR(VLOOKUP(AG3,STN_TABLE,2,FALSE),IF(AF3=RisePerWLS,0,"-"))</f>
        <v>#VALUE!</v>
      </c>
      <c r="AI3" s="69">
        <v>1</v>
      </c>
      <c r="AJ3" s="69" t="e">
        <f>AH3*AI3</f>
        <v>#VALUE!</v>
      </c>
      <c r="AK3" s="69" t="e">
        <f>AG3</f>
        <v>#VALUE!</v>
      </c>
      <c r="AL3" s="69" t="e">
        <f>AJ3*AK3</f>
        <v>#VALUE!</v>
      </c>
      <c r="AM3" s="6" t="s">
        <v>93</v>
      </c>
      <c r="AN3" s="70" t="e">
        <f>IF(AND(AH3=0,AH4=0,AH5=0),WLS*(AG5-AG4),IF(AND(AG5-AG4=AG4-AG3,AG4&lt;&gt;AG5,AG3&lt;&gt;AG4,AG3&lt;&gt;AG5,AH5&lt;&gt;0,OR(AH3&lt;&gt;0,AH4&lt;&gt;0)),WLS*(AG5-AG4),"#NA"))</f>
        <v>#VALUE!</v>
      </c>
    </row>
    <row r="4" spans="1:46" x14ac:dyDescent="0.25">
      <c r="A4">
        <v>1</v>
      </c>
      <c r="B4" s="80">
        <f t="shared" ref="B4:B28" si="2">VLOOKUP(Stn_WL,OFFSET_A,A4+1,FALSE)</f>
        <v>0</v>
      </c>
      <c r="C4" s="81">
        <f t="shared" ref="C4:C28" si="3">VLOOKUP(Station_No,OFFSET_A,A4+1,FALSE)</f>
        <v>3.5</v>
      </c>
      <c r="D4" s="81">
        <v>0</v>
      </c>
      <c r="E4" s="77">
        <v>0</v>
      </c>
      <c r="G4" t="s">
        <v>100</v>
      </c>
      <c r="H4" t="e">
        <f>Rise/WLS</f>
        <v>#VALUE!</v>
      </c>
      <c r="K4" t="str">
        <f>CONCATENATE("A(",H5,")=")</f>
        <v>A(#NA)=</v>
      </c>
      <c r="L4" t="e">
        <f>IFERROR(N18,N22)</f>
        <v>#VALUE!</v>
      </c>
      <c r="Q4" s="66" t="str">
        <f t="shared" si="0"/>
        <v>2nd_UWL</v>
      </c>
      <c r="R4" s="67" t="str">
        <f t="shared" si="0"/>
        <v>#NA</v>
      </c>
      <c r="S4" s="82" t="e">
        <f>IF((S2-S3)=S3-R5,R5,IF(S2-S3=S3-R6,R6,"-"))</f>
        <v>#VALUE!</v>
      </c>
      <c r="T4" s="83" t="e">
        <f>VLOOKUP(S4,STN_TABLE,2,FALSE)</f>
        <v>#VALUE!</v>
      </c>
      <c r="U4" s="83">
        <v>-1</v>
      </c>
      <c r="V4" s="83" t="e">
        <f>T4*U4</f>
        <v>#VALUE!</v>
      </c>
      <c r="W4" s="83">
        <v>-1</v>
      </c>
      <c r="X4" s="83" t="e">
        <f>T4*W4</f>
        <v>#VALUE!</v>
      </c>
      <c r="Y4" s="84" t="str">
        <f>CONCATENATE("a'(",S3,")=")</f>
        <v>a'(#NA)=</v>
      </c>
      <c r="Z4" s="85" t="e">
        <f>2*Z2/12*V5</f>
        <v>#VALUE!</v>
      </c>
      <c r="AA4" s="84" t="e">
        <f>CONCATENATE("A(",S2,")=")</f>
        <v>#VALUE!</v>
      </c>
      <c r="AB4" s="84" t="e">
        <f>IF(S2=RisePerWLS,0,VLOOKUP(S2,STN_TABLE,3,FALSE))</f>
        <v>#VALUE!</v>
      </c>
      <c r="AC4" t="str">
        <f>CONCATENATE("A(",S3,")=")</f>
        <v>A(#NA)=</v>
      </c>
      <c r="AD4" t="e">
        <f>Z4+AB4</f>
        <v>#VALUE!</v>
      </c>
      <c r="AE4" s="66" t="str">
        <f t="shared" si="1"/>
        <v>1st_UWL</v>
      </c>
      <c r="AF4" s="67" t="str">
        <f t="shared" si="1"/>
        <v>#NA</v>
      </c>
      <c r="AG4" s="80" t="e">
        <f>IF(OR(AF7-AF6=AF6-AF5,AF7-AF6=AF6-AF4,AF7-AF6=AF6-AF3),AF6,IF(OR(AF7-AF5=AF5-AF4,AF7-AF5=AF5-AF3),AF5,IF(AF7-AF4=AF4-AF3,AF4,"#NA")))</f>
        <v>#VALUE!</v>
      </c>
      <c r="AH4" s="77" t="e">
        <f>VLOOKUP(AG4,STN_TABLE,2,FALSE)</f>
        <v>#VALUE!</v>
      </c>
      <c r="AI4" s="77">
        <v>4</v>
      </c>
      <c r="AJ4" s="77" t="e">
        <f>AH4*AI4</f>
        <v>#VALUE!</v>
      </c>
      <c r="AK4" s="77" t="e">
        <f>AG4</f>
        <v>#VALUE!</v>
      </c>
      <c r="AL4" s="77" t="e">
        <f>AJ4*AK4</f>
        <v>#VALUE!</v>
      </c>
      <c r="AM4" s="78" t="s">
        <v>97</v>
      </c>
      <c r="AN4" s="78"/>
      <c r="AO4" s="78" t="s">
        <v>98</v>
      </c>
      <c r="AP4" s="78"/>
      <c r="AQ4" s="7" t="s">
        <v>99</v>
      </c>
      <c r="AR4" s="7"/>
      <c r="AS4" s="7"/>
      <c r="AT4" s="7"/>
    </row>
    <row r="5" spans="1:46" x14ac:dyDescent="0.25">
      <c r="A5">
        <v>2</v>
      </c>
      <c r="B5" s="80">
        <f t="shared" si="2"/>
        <v>0.25</v>
      </c>
      <c r="C5" s="81">
        <f t="shared" si="3"/>
        <v>4.6500000000000004</v>
      </c>
      <c r="D5" s="81">
        <f t="shared" ref="D5:D28" si="4">IFERROR(VLOOKUP(CONCATENATE("A(",B5,")="),RESULT_TABLE,6,FALSE)," ")</f>
        <v>4.1124999999999998</v>
      </c>
      <c r="E5" s="77">
        <f t="shared" ref="E5:E28" si="5">IFERROR(VLOOKUP(CONCATENATE("M(",B5,")="),RESULT_TABLE,6,FALSE)," ")</f>
        <v>1.0760416666666666</v>
      </c>
      <c r="G5" t="s">
        <v>101</v>
      </c>
      <c r="H5" t="str">
        <f>VLOOKUP(Station_No,RISE_CALC,4,FALSE)</f>
        <v>#NA</v>
      </c>
      <c r="K5" t="str">
        <f>CONCATENATE("M(",H5,")=")</f>
        <v>M(#NA)=</v>
      </c>
      <c r="L5" t="e">
        <f>IFERROR(N19,N23)</f>
        <v>#VALUE!</v>
      </c>
      <c r="Q5" s="66" t="str">
        <f t="shared" si="0"/>
        <v>3rd_UWL</v>
      </c>
      <c r="R5" s="67" t="str">
        <f t="shared" si="0"/>
        <v>#NA</v>
      </c>
      <c r="V5" s="86" t="e">
        <f>SUM(V2:V4)</f>
        <v>#VALUE!</v>
      </c>
      <c r="X5" s="87" t="e">
        <f>SUM(X2:X4)</f>
        <v>#VALUE!</v>
      </c>
      <c r="Y5" s="84" t="str">
        <f>CONCATENATE("m'(",S3,")=")</f>
        <v>m'(#NA)=</v>
      </c>
      <c r="Z5" s="85" t="e">
        <f>(2*(Z2^2)/24*X5)+(Z4*S2*WLS)</f>
        <v>#VALUE!</v>
      </c>
      <c r="AA5" s="84" t="e">
        <f>CONCATENATE("M(",S2,")=")</f>
        <v>#VALUE!</v>
      </c>
      <c r="AB5" s="84" t="e">
        <f>IF(S2=RisePerWLS,0,VLOOKUP(S2,STN_TABLE,4,FALSE))</f>
        <v>#VALUE!</v>
      </c>
      <c r="AC5" t="str">
        <f>CONCATENATE("M(",S3,")=")</f>
        <v>M(#NA)=</v>
      </c>
      <c r="AD5" t="e">
        <f>Z5+AB5</f>
        <v>#VALUE!</v>
      </c>
      <c r="AE5" s="66" t="str">
        <f t="shared" si="1"/>
        <v>2nd_UWL</v>
      </c>
      <c r="AF5" s="67" t="str">
        <f t="shared" si="1"/>
        <v>#NA</v>
      </c>
      <c r="AG5" s="88" t="str">
        <f>AF7</f>
        <v>#NA</v>
      </c>
      <c r="AH5" s="83" t="e">
        <f>VLOOKUP(AG5,STN_TABLE,2,FALSE)</f>
        <v>#N/A</v>
      </c>
      <c r="AI5" s="83">
        <v>1</v>
      </c>
      <c r="AJ5" s="83" t="e">
        <f>AH5*AI5</f>
        <v>#N/A</v>
      </c>
      <c r="AK5" s="83" t="str">
        <f>AG5</f>
        <v>#NA</v>
      </c>
      <c r="AL5" s="83" t="e">
        <f>AJ5*AK5</f>
        <v>#N/A</v>
      </c>
      <c r="AM5" s="84" t="str">
        <f>CONCATENATE("a'(",AG5,")=")</f>
        <v>a'(#NA)=</v>
      </c>
      <c r="AN5" s="84" t="e">
        <f>2*AN3/3*AJ6</f>
        <v>#VALUE!</v>
      </c>
      <c r="AO5" s="84" t="e">
        <f>CONCATENATE("A(",AG3,")=")</f>
        <v>#VALUE!</v>
      </c>
      <c r="AP5" s="84" t="e">
        <f>IF(AG3=RisePerWLS,0,VLOOKUP(AG3,STN_TABLE,3,FALSE))</f>
        <v>#VALUE!</v>
      </c>
      <c r="AQ5" t="str">
        <f>CONCATENATE("A(",AG5,")=")</f>
        <v>A(#NA)=</v>
      </c>
      <c r="AR5" t="e">
        <f>AN5+AP5</f>
        <v>#VALUE!</v>
      </c>
    </row>
    <row r="6" spans="1:46" x14ac:dyDescent="0.25">
      <c r="A6">
        <v>3</v>
      </c>
      <c r="B6" s="80">
        <f t="shared" si="2"/>
        <v>0.5</v>
      </c>
      <c r="C6" s="81">
        <f t="shared" si="3"/>
        <v>5.35</v>
      </c>
      <c r="D6" s="81">
        <f t="shared" si="4"/>
        <v>9.15</v>
      </c>
      <c r="E6" s="77">
        <f t="shared" si="5"/>
        <v>4.8833333333333329</v>
      </c>
      <c r="G6" t="s">
        <v>102</v>
      </c>
      <c r="H6" t="str">
        <f>VLOOKUP(Station_No,RISE_CALC,5,FALSE)</f>
        <v>#NA</v>
      </c>
      <c r="K6" t="str">
        <f>CONCATENATE("A(",H6,")=")</f>
        <v>A(#NA)=</v>
      </c>
      <c r="L6" t="e">
        <f>IFERROR(P27,IFERROR(X6,AD9))</f>
        <v>#VALUE!</v>
      </c>
      <c r="Q6" s="66" t="str">
        <f t="shared" si="0"/>
        <v>4th_UWL</v>
      </c>
      <c r="R6" s="67" t="str">
        <f t="shared" si="0"/>
        <v>#NA</v>
      </c>
      <c r="U6" t="s">
        <v>103</v>
      </c>
      <c r="W6" t="str">
        <f>CONCATENATE("A(",S3,")=")</f>
        <v>A(#NA)=</v>
      </c>
      <c r="X6" t="e">
        <f>IF(OR(AD4&lt;=0,AD5&lt;=0),AD9,AD4)</f>
        <v>#VALUE!</v>
      </c>
      <c r="AE6" s="66" t="str">
        <f t="shared" si="1"/>
        <v>3rd_UWL</v>
      </c>
      <c r="AF6" s="67" t="str">
        <f t="shared" si="1"/>
        <v>#NA</v>
      </c>
      <c r="AJ6" s="89" t="e">
        <f>SUM(AJ3:AJ5)</f>
        <v>#VALUE!</v>
      </c>
      <c r="AL6" s="89" t="e">
        <f>SUM(AL3:AL5)</f>
        <v>#VALUE!</v>
      </c>
      <c r="AM6" s="84" t="str">
        <f>CONCATENATE("m'(",AG5,")=")</f>
        <v>m'(#NA)=</v>
      </c>
      <c r="AN6" s="84" t="e">
        <f>2*(AN3*WLS)/3*AL6</f>
        <v>#VALUE!</v>
      </c>
      <c r="AO6" s="84" t="e">
        <f>CONCATENATE("M(",AG3,")=")</f>
        <v>#VALUE!</v>
      </c>
      <c r="AP6" s="84" t="e">
        <f>IF(AG3=RisePerWLS,0,VLOOKUP(AG3,STN_TABLE,4,FALSE))</f>
        <v>#VALUE!</v>
      </c>
      <c r="AQ6" t="str">
        <f>CONCATENATE("M(",AG5,")=")</f>
        <v>M(#NA)=</v>
      </c>
      <c r="AR6" t="e">
        <f>AN6+AP6</f>
        <v>#VALUE!</v>
      </c>
    </row>
    <row r="7" spans="1:46" x14ac:dyDescent="0.25">
      <c r="A7">
        <v>4</v>
      </c>
      <c r="B7" s="80">
        <f t="shared" si="2"/>
        <v>0.75</v>
      </c>
      <c r="C7" s="81">
        <f t="shared" si="3"/>
        <v>5.87</v>
      </c>
      <c r="D7" s="81">
        <f t="shared" si="4"/>
        <v>14.752499999999998</v>
      </c>
      <c r="E7" s="77">
        <f t="shared" si="5"/>
        <v>11.919375</v>
      </c>
      <c r="G7" t="s">
        <v>104</v>
      </c>
      <c r="H7" t="str">
        <f>VLOOKUP(Station_No,RISE_CALC,6,FALSE)</f>
        <v>#NA</v>
      </c>
      <c r="K7" t="str">
        <f>CONCATENATE("M(",H6,")=")</f>
        <v>M(#NA)=</v>
      </c>
      <c r="L7" t="e">
        <f>IFERROR(P28,IFERROR(X7,AD10))</f>
        <v>#VALUE!</v>
      </c>
      <c r="Q7" s="66"/>
      <c r="R7" s="67"/>
      <c r="W7" t="str">
        <f>CONCATENATE("M(",S3,")=")</f>
        <v>M(#NA)=</v>
      </c>
      <c r="X7" t="e">
        <f>IF(OR(AD4&lt;=0,AD5&lt;=0),AD10,AD5)</f>
        <v>#VALUE!</v>
      </c>
      <c r="Y7" s="6" t="s">
        <v>93</v>
      </c>
      <c r="Z7" s="70" t="e">
        <f>WLS*(U9-U8)</f>
        <v>#VALUE!</v>
      </c>
      <c r="AE7" s="66" t="str">
        <f t="shared" si="1"/>
        <v>4th_UWL</v>
      </c>
      <c r="AF7" s="67" t="str">
        <f t="shared" si="1"/>
        <v>#NA</v>
      </c>
      <c r="AH7" s="81"/>
    </row>
    <row r="8" spans="1:46" x14ac:dyDescent="0.25">
      <c r="A8">
        <v>5</v>
      </c>
      <c r="B8" s="80">
        <f t="shared" si="2"/>
        <v>1</v>
      </c>
      <c r="C8" s="81">
        <f t="shared" si="3"/>
        <v>6.21</v>
      </c>
      <c r="D8" s="81">
        <f t="shared" si="4"/>
        <v>20.83</v>
      </c>
      <c r="E8" s="77">
        <f t="shared" si="5"/>
        <v>22.546666666666667</v>
      </c>
      <c r="G8" t="s">
        <v>105</v>
      </c>
      <c r="H8" t="str">
        <f>VLOOKUP(Station_No,RISE_CALC,7,FALSE)</f>
        <v>#NA</v>
      </c>
      <c r="K8" t="str">
        <f>CONCATENATE("A(",H7,")=")</f>
        <v>A(#NA)=</v>
      </c>
      <c r="L8" t="e">
        <f>IFERROR(AD15,IFERROR(X24,AD27))</f>
        <v>#VALUE!</v>
      </c>
      <c r="Q8" s="80"/>
      <c r="R8" s="81"/>
      <c r="U8" s="79" t="str">
        <f>R3</f>
        <v>#NA</v>
      </c>
      <c r="V8" s="68" t="e">
        <f>VLOOKUP(U8,STN_TABLE,2,FALSE)</f>
        <v>#N/A</v>
      </c>
      <c r="W8" s="68">
        <v>1</v>
      </c>
      <c r="X8" s="69" t="e">
        <f>V8*W8</f>
        <v>#N/A</v>
      </c>
      <c r="Y8" s="78" t="s">
        <v>97</v>
      </c>
      <c r="Z8" s="78"/>
      <c r="AA8" s="78" t="s">
        <v>98</v>
      </c>
      <c r="AB8" s="78"/>
      <c r="AC8" s="7" t="s">
        <v>99</v>
      </c>
      <c r="AD8" s="7"/>
      <c r="AE8" s="66"/>
      <c r="AF8" s="67"/>
      <c r="AG8" s="68" t="e">
        <f>IF(OR(AF12-AF11=AF11-AF10,AF13-AF11=AF11-AF10),AF10,IF(OR(AF12-AF11=AF11-AF9,AF13-AF11=AF11-AF9),AF9,"-"))</f>
        <v>#VALUE!</v>
      </c>
      <c r="AH8" s="69" t="e">
        <f>IFERROR(VLOOKUP(AG8,STN_TABLE,2,FALSE),IF(AF8=RisePerWLS,0,"-"))</f>
        <v>#VALUE!</v>
      </c>
      <c r="AI8" s="69">
        <v>5</v>
      </c>
      <c r="AJ8" s="69" t="e">
        <f>AH8*AI8</f>
        <v>#VALUE!</v>
      </c>
      <c r="AK8" s="69">
        <v>3</v>
      </c>
      <c r="AL8" s="69" t="e">
        <f>AH8*AK8</f>
        <v>#VALUE!</v>
      </c>
      <c r="AM8" s="6" t="s">
        <v>93</v>
      </c>
      <c r="AN8" s="70" t="e">
        <f>IF(AND(AG10-AG9=AG9-AG8,NOT(AND(AG8=0,AG9=0)),NOT(AND(AG9=0,AG10=0))),WLS*(AG10-AG9),"#NA")</f>
        <v>#VALUE!</v>
      </c>
    </row>
    <row r="9" spans="1:46" x14ac:dyDescent="0.25">
      <c r="A9">
        <v>6</v>
      </c>
      <c r="B9" s="80">
        <f t="shared" si="2"/>
        <v>2</v>
      </c>
      <c r="C9" s="81">
        <f t="shared" si="3"/>
        <v>7.08</v>
      </c>
      <c r="D9" s="81">
        <f t="shared" si="4"/>
        <v>47.536666666666662</v>
      </c>
      <c r="E9" s="77">
        <f t="shared" si="5"/>
        <v>103.24666666666666</v>
      </c>
      <c r="G9" t="s">
        <v>106</v>
      </c>
      <c r="H9" t="str">
        <f>VLOOKUP(Station_No,RISE_CALC,8,FALSE)</f>
        <v>#NA</v>
      </c>
      <c r="K9" t="str">
        <f>CONCATENATE("M(",H7,")=")</f>
        <v>M(#NA)=</v>
      </c>
      <c r="L9" t="e">
        <f>IFERROR(AD16,IFERROR(X25,AD28))</f>
        <v>#VALUE!</v>
      </c>
      <c r="Q9" s="80"/>
      <c r="R9" s="81"/>
      <c r="U9" s="88" t="str">
        <f>R4</f>
        <v>#NA</v>
      </c>
      <c r="V9" s="82" t="e">
        <f>VLOOKUP(U9,STN_TABLE,2,FALSE)</f>
        <v>#N/A</v>
      </c>
      <c r="W9" s="82">
        <v>2</v>
      </c>
      <c r="X9" s="83" t="e">
        <f>V9*W9</f>
        <v>#N/A</v>
      </c>
      <c r="Y9" s="84" t="str">
        <f>CONCATENATE("a'(",U9,")=")</f>
        <v>a'(#NA)=</v>
      </c>
      <c r="Z9" s="84" t="e">
        <f>2*Z7/2*V10</f>
        <v>#VALUE!</v>
      </c>
      <c r="AA9" s="84" t="str">
        <f>CONCATENATE("A(",U8,")=")</f>
        <v>A(#NA)=</v>
      </c>
      <c r="AB9" s="84" t="e">
        <f>IF(U8=RisePerWLS,0,VLOOKUP(U8,STN_TABLE,3,FALSE))</f>
        <v>#VALUE!</v>
      </c>
      <c r="AC9" t="str">
        <f>CONCATENATE("A(",U9,")=")</f>
        <v>A(#NA)=</v>
      </c>
      <c r="AD9" t="e">
        <f>Z9+AB9</f>
        <v>#VALUE!</v>
      </c>
      <c r="AE9" s="66" t="str">
        <f t="shared" ref="AE9:AF13" si="6">G6</f>
        <v>2nd_UWL</v>
      </c>
      <c r="AF9" s="67" t="str">
        <f t="shared" si="6"/>
        <v>#NA</v>
      </c>
      <c r="AG9" s="76" t="str">
        <f>AF11</f>
        <v>#NA</v>
      </c>
      <c r="AH9" s="77" t="e">
        <f>VLOOKUP(AG9,STN_TABLE,2,FALSE)</f>
        <v>#N/A</v>
      </c>
      <c r="AI9" s="77">
        <v>8</v>
      </c>
      <c r="AJ9" s="77" t="e">
        <f>AH9*AI9</f>
        <v>#N/A</v>
      </c>
      <c r="AK9" s="77">
        <v>10</v>
      </c>
      <c r="AL9" s="77" t="e">
        <f>AH9*AK9</f>
        <v>#N/A</v>
      </c>
      <c r="AM9" s="78" t="s">
        <v>97</v>
      </c>
      <c r="AN9" s="78"/>
      <c r="AO9" s="78" t="s">
        <v>98</v>
      </c>
      <c r="AP9" s="78"/>
      <c r="AQ9" s="7" t="s">
        <v>99</v>
      </c>
      <c r="AR9" s="7"/>
      <c r="AS9" s="7"/>
      <c r="AT9" s="7"/>
    </row>
    <row r="10" spans="1:46" x14ac:dyDescent="0.25">
      <c r="A10">
        <v>7</v>
      </c>
      <c r="B10" s="80">
        <f t="shared" si="2"/>
        <v>3</v>
      </c>
      <c r="C10" s="81">
        <f t="shared" si="3"/>
        <v>7.57</v>
      </c>
      <c r="D10" s="81">
        <f t="shared" si="4"/>
        <v>76.963333333333338</v>
      </c>
      <c r="E10" s="77">
        <f t="shared" si="5"/>
        <v>250.70666666666665</v>
      </c>
      <c r="G10" t="s">
        <v>107</v>
      </c>
      <c r="H10" t="str">
        <f>VLOOKUP(Station_No,RISE_CALC,9,FALSE)</f>
        <v>#NA</v>
      </c>
      <c r="K10" t="str">
        <f>CONCATENATE("A(",H8,")=")</f>
        <v>A(#NA)=</v>
      </c>
      <c r="L10" t="e">
        <f>IFERROR(AR5,IFERROR(AL12,AR15))</f>
        <v>#VALUE!</v>
      </c>
      <c r="Q10" s="80"/>
      <c r="R10" s="81"/>
      <c r="V10" s="89" t="e">
        <f>SUM(V8:V9)</f>
        <v>#N/A</v>
      </c>
      <c r="X10" s="89" t="e">
        <f>SUM(X8:X9)</f>
        <v>#N/A</v>
      </c>
      <c r="Y10" s="84" t="str">
        <f>CONCATENATE("m'(",U9,")=")</f>
        <v>m'(#NA)=</v>
      </c>
      <c r="Z10" s="84" t="e">
        <f>(2*(Z7^2)/6*X10)+(Z9*U8*WLS)</f>
        <v>#VALUE!</v>
      </c>
      <c r="AA10" s="84" t="str">
        <f>CONCATENATE("M(",U8,")=")</f>
        <v>M(#NA)=</v>
      </c>
      <c r="AB10" s="84" t="e">
        <f>IF(U8=RisePerWLS,0,VLOOKUP(U8,STN_TABLE,4,FALSE))</f>
        <v>#VALUE!</v>
      </c>
      <c r="AC10" t="str">
        <f>CONCATENATE("M(",U9,")=")</f>
        <v>M(#NA)=</v>
      </c>
      <c r="AD10" t="e">
        <f>Z10+AB10</f>
        <v>#VALUE!</v>
      </c>
      <c r="AE10" s="66" t="str">
        <f t="shared" si="6"/>
        <v>3rd_UWL</v>
      </c>
      <c r="AF10" s="67" t="str">
        <f t="shared" si="6"/>
        <v>#NA</v>
      </c>
      <c r="AG10" s="82" t="e">
        <f>IF(AG8-AG9=AG9-AF12,AF12,IF(AG8-AG9=AG9-AF13,AF13,"-"))</f>
        <v>#VALUE!</v>
      </c>
      <c r="AH10" s="83" t="e">
        <f>VLOOKUP(AG10,STN_TABLE,2,FALSE)</f>
        <v>#VALUE!</v>
      </c>
      <c r="AI10" s="83">
        <v>-1</v>
      </c>
      <c r="AJ10" s="83" t="e">
        <f>AH10*AI10</f>
        <v>#VALUE!</v>
      </c>
      <c r="AK10" s="83">
        <v>-1</v>
      </c>
      <c r="AL10" s="83" t="e">
        <f>AH10*AK10</f>
        <v>#VALUE!</v>
      </c>
      <c r="AM10" s="84" t="str">
        <f>CONCATENATE("a'(",AG9,")=")</f>
        <v>a'(#NA)=</v>
      </c>
      <c r="AN10" s="84" t="e">
        <f>2*AN8/12*AJ11</f>
        <v>#VALUE!</v>
      </c>
      <c r="AO10" s="84" t="e">
        <f>CONCATENATE("A(",AG8,")=")</f>
        <v>#VALUE!</v>
      </c>
      <c r="AP10" s="84" t="e">
        <f>VLOOKUP(AG8,STN_TABLE,3,FALSE)</f>
        <v>#VALUE!</v>
      </c>
      <c r="AQ10" t="str">
        <f>CONCATENATE("A(",AG9,")=")</f>
        <v>A(#NA)=</v>
      </c>
      <c r="AR10" t="e">
        <f>AN10+AP10</f>
        <v>#VALUE!</v>
      </c>
    </row>
    <row r="11" spans="1:46" x14ac:dyDescent="0.25">
      <c r="A11">
        <v>8</v>
      </c>
      <c r="B11" s="80">
        <f t="shared" si="2"/>
        <v>4</v>
      </c>
      <c r="C11" s="81">
        <f t="shared" si="3"/>
        <v>7.9291999999999998</v>
      </c>
      <c r="D11" s="81">
        <f t="shared" si="4"/>
        <v>107.92226666666666</v>
      </c>
      <c r="E11" s="77">
        <f t="shared" si="5"/>
        <v>467.82479999999998</v>
      </c>
      <c r="G11" t="s">
        <v>108</v>
      </c>
      <c r="H11" t="str">
        <f>VLOOKUP(Station_No,RISE_CALC,10,FALSE)</f>
        <v>#NA</v>
      </c>
      <c r="K11" t="str">
        <f>CONCATENATE("M(",H8,")=")</f>
        <v>M(#NA)=</v>
      </c>
      <c r="L11" t="e">
        <f>IFERROR(AR6,IFERROR(AL13,AR16))</f>
        <v>#VALUE!</v>
      </c>
      <c r="Q11" s="80"/>
      <c r="R11" s="81"/>
      <c r="AE11" s="66" t="str">
        <f t="shared" si="6"/>
        <v>4th_UWL</v>
      </c>
      <c r="AF11" s="67" t="str">
        <f t="shared" si="6"/>
        <v>#NA</v>
      </c>
      <c r="AJ11" s="89" t="e">
        <f>SUM(AJ8:AJ10)</f>
        <v>#VALUE!</v>
      </c>
      <c r="AL11" s="89" t="e">
        <f>SUM(AL8:AL10)</f>
        <v>#VALUE!</v>
      </c>
      <c r="AM11" s="84" t="str">
        <f>CONCATENATE("m'(",AG9,")=")</f>
        <v>m'(#NA)=</v>
      </c>
      <c r="AN11" s="84" t="e">
        <f>(2*(AN8^2)/24*AL11)+(AN10*AG8*WLS)</f>
        <v>#VALUE!</v>
      </c>
      <c r="AO11" s="84" t="e">
        <f>CONCATENATE("M(",AG8,")=")</f>
        <v>#VALUE!</v>
      </c>
      <c r="AP11" s="84" t="e">
        <f>VLOOKUP(AG8,STN_TABLE,4,FALSE)</f>
        <v>#VALUE!</v>
      </c>
      <c r="AQ11" t="str">
        <f>CONCATENATE("M(",AG9,")=")</f>
        <v>M(#NA)=</v>
      </c>
      <c r="AR11" t="e">
        <f>AN11+AP11</f>
        <v>#VALUE!</v>
      </c>
    </row>
    <row r="12" spans="1:46" x14ac:dyDescent="0.25">
      <c r="A12">
        <v>9</v>
      </c>
      <c r="B12" s="80">
        <f t="shared" si="2"/>
        <v>4.8499999999999996</v>
      </c>
      <c r="C12" s="81">
        <f t="shared" si="3"/>
        <v>8.3511000000000006</v>
      </c>
      <c r="D12" s="81">
        <f t="shared" si="4"/>
        <v>135.59877666666665</v>
      </c>
      <c r="E12" s="77">
        <f t="shared" si="5"/>
        <v>712.96512866666649</v>
      </c>
      <c r="Q12" s="90" t="s">
        <v>109</v>
      </c>
      <c r="R12" s="81"/>
      <c r="AE12" s="66" t="str">
        <f t="shared" si="6"/>
        <v>5th_UWL</v>
      </c>
      <c r="AF12" s="67" t="str">
        <f t="shared" si="6"/>
        <v>#NA</v>
      </c>
      <c r="AI12" t="s">
        <v>103</v>
      </c>
      <c r="AK12" t="str">
        <f>CONCATENATE("A(",AG9,")=")</f>
        <v>A(#NA)=</v>
      </c>
      <c r="AL12" t="e">
        <f>IF(OR(AR10&lt;=0,AR11&lt;=0),AR15,AR10)</f>
        <v>#VALUE!</v>
      </c>
    </row>
    <row r="13" spans="1:46" x14ac:dyDescent="0.25">
      <c r="A13">
        <v>10</v>
      </c>
      <c r="B13" s="80">
        <f t="shared" si="2"/>
        <v>5</v>
      </c>
      <c r="C13" s="81">
        <f t="shared" si="3"/>
        <v>8.43</v>
      </c>
      <c r="D13" s="81">
        <f t="shared" si="4"/>
        <v>140.58573333333334</v>
      </c>
      <c r="E13" s="77">
        <f t="shared" si="5"/>
        <v>761.97919999999999</v>
      </c>
      <c r="G13" s="71" t="s">
        <v>110</v>
      </c>
      <c r="Q13" s="66" t="str">
        <f t="shared" ref="Q13:R16" si="7">G4</f>
        <v>Rise</v>
      </c>
      <c r="R13" s="67" t="e">
        <f t="shared" si="7"/>
        <v>#VALUE!</v>
      </c>
      <c r="S13" s="68" t="e">
        <f>IF(R16-R15=R15-R14,R14,IF(R16-R14=R14-R13,R13,"-"))</f>
        <v>#VALUE!</v>
      </c>
      <c r="T13" s="69" t="e">
        <f>IFERROR(VLOOKUP(S13,STN_TABLE,2,FALSE),IF(R13=RisePerWLS,0,"-"))</f>
        <v>#VALUE!</v>
      </c>
      <c r="U13" s="69">
        <v>1</v>
      </c>
      <c r="V13" s="69" t="e">
        <f>T13*U13</f>
        <v>#VALUE!</v>
      </c>
      <c r="W13" s="69" t="e">
        <f>S13</f>
        <v>#VALUE!</v>
      </c>
      <c r="X13" s="69" t="e">
        <f>V13*W13</f>
        <v>#VALUE!</v>
      </c>
      <c r="Y13" s="6" t="s">
        <v>93</v>
      </c>
      <c r="Z13" s="70" t="e">
        <f>IF(AND(T13=0,T14=0,T15=0),WLS*(S15-S14),IF(AND(S15-S14=S14-S13,S14&lt;&gt;S15,S13&lt;&gt;S14,S13&lt;&gt;S15,T15&lt;&gt;0,OR(T13&lt;&gt;0,T14&lt;&gt;0)),WLS*(S15-S14),"#NA"))</f>
        <v>#VALUE!</v>
      </c>
      <c r="AE13" s="66" t="str">
        <f t="shared" si="6"/>
        <v>6th_UWL</v>
      </c>
      <c r="AF13" s="67" t="str">
        <f t="shared" si="6"/>
        <v>#NA</v>
      </c>
      <c r="AK13" t="str">
        <f>CONCATENATE("M(",AG9,")=")</f>
        <v>M(#NA)=</v>
      </c>
      <c r="AL13" t="e">
        <f>IF(OR(AR10&lt;=0,AR11&lt;=0),AR16,AR11)</f>
        <v>#VALUE!</v>
      </c>
      <c r="AM13" s="6" t="s">
        <v>93</v>
      </c>
      <c r="AN13" s="70" t="e">
        <f>WLS*(AI15-AI14)</f>
        <v>#VALUE!</v>
      </c>
    </row>
    <row r="14" spans="1:46" x14ac:dyDescent="0.25">
      <c r="A14">
        <v>11</v>
      </c>
      <c r="B14" s="80">
        <f t="shared" si="2"/>
        <v>6</v>
      </c>
      <c r="C14" s="81">
        <f t="shared" si="3"/>
        <v>8.92</v>
      </c>
      <c r="D14" s="81">
        <f t="shared" si="4"/>
        <v>175.34786666666668</v>
      </c>
      <c r="E14" s="77">
        <f t="shared" si="5"/>
        <v>1144.7229333333332</v>
      </c>
      <c r="G14" s="91" t="str">
        <f>G4</f>
        <v>Rise</v>
      </c>
      <c r="H14" s="91" t="e">
        <f>RisePerWLS</f>
        <v>#VALUE!</v>
      </c>
      <c r="I14" s="68" t="e">
        <f>H14</f>
        <v>#VALUE!</v>
      </c>
      <c r="J14" s="69">
        <v>0</v>
      </c>
      <c r="K14" s="69">
        <v>5</v>
      </c>
      <c r="L14" s="69">
        <f>J14*K14</f>
        <v>0</v>
      </c>
      <c r="M14" s="69">
        <v>3</v>
      </c>
      <c r="N14" s="69">
        <f>J14*M14</f>
        <v>0</v>
      </c>
      <c r="O14" t="s">
        <v>93</v>
      </c>
      <c r="P14" t="e">
        <f>IF(AND(NOT(AND(J14=0,J15=0)),I14&lt;&gt;I15,I15&lt;&gt;I16,I16-I15=I15-I14),(I16-I15)*WLS,"#NA")</f>
        <v>#N/A</v>
      </c>
      <c r="Q14" s="66" t="str">
        <f t="shared" si="7"/>
        <v>1st_UWL</v>
      </c>
      <c r="R14" s="67" t="str">
        <f t="shared" si="7"/>
        <v>#NA</v>
      </c>
      <c r="S14" s="76" t="e">
        <f>IF(R16-R15=R15-R14,R15,IF(R16-R14=R14-R13,R14,"-"))</f>
        <v>#VALUE!</v>
      </c>
      <c r="T14" s="77" t="e">
        <f>VLOOKUP(S14,STN_TABLE,2,FALSE)</f>
        <v>#VALUE!</v>
      </c>
      <c r="U14" s="77">
        <v>4</v>
      </c>
      <c r="V14" s="77" t="e">
        <f>T14*U14</f>
        <v>#VALUE!</v>
      </c>
      <c r="W14" s="77" t="e">
        <f>S14</f>
        <v>#VALUE!</v>
      </c>
      <c r="X14" s="77" t="e">
        <f>V14*W14</f>
        <v>#VALUE!</v>
      </c>
      <c r="Y14" s="78" t="s">
        <v>97</v>
      </c>
      <c r="Z14" s="78"/>
      <c r="AA14" s="78" t="s">
        <v>98</v>
      </c>
      <c r="AB14" s="78"/>
      <c r="AC14" s="7" t="s">
        <v>99</v>
      </c>
      <c r="AD14" s="7"/>
      <c r="AE14" s="66"/>
      <c r="AF14" s="67"/>
      <c r="AI14" s="79" t="str">
        <f>AF10</f>
        <v>#NA</v>
      </c>
      <c r="AJ14" s="68" t="e">
        <f>VLOOKUP(AI14,STN_TABLE,2,FALSE)</f>
        <v>#N/A</v>
      </c>
      <c r="AK14" s="68">
        <v>1</v>
      </c>
      <c r="AL14" s="69" t="e">
        <f>AJ14*AK14</f>
        <v>#N/A</v>
      </c>
      <c r="AM14" s="78" t="s">
        <v>97</v>
      </c>
      <c r="AN14" s="78"/>
      <c r="AO14" s="78" t="s">
        <v>98</v>
      </c>
      <c r="AP14" s="78"/>
      <c r="AQ14" s="7" t="s">
        <v>99</v>
      </c>
      <c r="AR14" s="7"/>
      <c r="AS14" s="7"/>
      <c r="AT14" s="7"/>
    </row>
    <row r="15" spans="1:46" x14ac:dyDescent="0.25">
      <c r="A15">
        <v>12</v>
      </c>
      <c r="B15" s="80">
        <f t="shared" si="2"/>
        <v>6.5</v>
      </c>
      <c r="C15" s="81">
        <f t="shared" si="3"/>
        <v>9.16</v>
      </c>
      <c r="D15" s="81">
        <f t="shared" si="4"/>
        <v>193.42786666666666</v>
      </c>
      <c r="E15" s="77">
        <f t="shared" si="5"/>
        <v>1370.7629333333332</v>
      </c>
      <c r="G15" s="91" t="str">
        <f>G5</f>
        <v>1st_UWL</v>
      </c>
      <c r="H15" s="91" t="str">
        <f>H5</f>
        <v>#NA</v>
      </c>
      <c r="I15" s="76" t="str">
        <f>H15</f>
        <v>#NA</v>
      </c>
      <c r="J15" s="77" t="e">
        <f>VLOOKUP(I15,STN_TABLE,2,FALSE)</f>
        <v>#N/A</v>
      </c>
      <c r="K15" s="77">
        <v>8</v>
      </c>
      <c r="L15" s="77" t="e">
        <f>J15*K15</f>
        <v>#N/A</v>
      </c>
      <c r="M15" s="77">
        <v>10</v>
      </c>
      <c r="N15" s="77" t="e">
        <f>J15*M15</f>
        <v>#N/A</v>
      </c>
      <c r="O15" t="str">
        <f>CONCATENATE("A(",I15,")=")</f>
        <v>A(#NA)=</v>
      </c>
      <c r="P15" t="e">
        <f>2*P14/12*L17</f>
        <v>#N/A</v>
      </c>
      <c r="Q15" s="66" t="str">
        <f t="shared" si="7"/>
        <v>2nd_UWL</v>
      </c>
      <c r="R15" s="67" t="str">
        <f t="shared" si="7"/>
        <v>#NA</v>
      </c>
      <c r="S15" s="82" t="str">
        <f>R16</f>
        <v>#NA</v>
      </c>
      <c r="T15" s="83" t="e">
        <f>VLOOKUP(S15,STN_TABLE,2,FALSE)</f>
        <v>#N/A</v>
      </c>
      <c r="U15" s="83">
        <v>1</v>
      </c>
      <c r="V15" s="83" t="e">
        <f>T15*U15</f>
        <v>#N/A</v>
      </c>
      <c r="W15" s="83" t="str">
        <f>S15</f>
        <v>#NA</v>
      </c>
      <c r="X15" s="83" t="e">
        <f>V15*W15</f>
        <v>#N/A</v>
      </c>
      <c r="Y15" s="84" t="str">
        <f>CONCATENATE("a'(",S15,")=")</f>
        <v>a'(#NA)=</v>
      </c>
      <c r="Z15" s="84" t="e">
        <f>2*Z13/3*V16</f>
        <v>#VALUE!</v>
      </c>
      <c r="AA15" s="84" t="e">
        <f>CONCATENATE("A(",S13,")=")</f>
        <v>#VALUE!</v>
      </c>
      <c r="AB15" s="84" t="e">
        <f>IF(S13=RisePerWLS,0,VLOOKUP(S13,STN_TABLE,3,FALSE))</f>
        <v>#VALUE!</v>
      </c>
      <c r="AC15" t="str">
        <f>CONCATENATE("A(",S15,")=")</f>
        <v>A(#NA)=</v>
      </c>
      <c r="AD15" t="e">
        <f>Z15+AB15</f>
        <v>#VALUE!</v>
      </c>
      <c r="AE15" s="80"/>
      <c r="AI15" s="88" t="str">
        <f>AF11</f>
        <v>#NA</v>
      </c>
      <c r="AJ15" s="82" t="e">
        <f>VLOOKUP(AI15,STN_TABLE,2,FALSE)</f>
        <v>#N/A</v>
      </c>
      <c r="AK15" s="82">
        <v>2</v>
      </c>
      <c r="AL15" s="83" t="e">
        <f>AJ15*AK15</f>
        <v>#N/A</v>
      </c>
      <c r="AM15" s="84" t="str">
        <f>CONCATENATE("a'(",AI15,")=")</f>
        <v>a'(#NA)=</v>
      </c>
      <c r="AN15" s="84" t="e">
        <f>2*AN13/2*AJ16</f>
        <v>#VALUE!</v>
      </c>
      <c r="AO15" s="84" t="str">
        <f>CONCATENATE("A(",AI14,")=")</f>
        <v>A(#NA)=</v>
      </c>
      <c r="AP15" s="84" t="e">
        <f>IF(AI14=RisePerWLS,0,VLOOKUP(AI14,STN_TABLE,3,FALSE))</f>
        <v>#VALUE!</v>
      </c>
      <c r="AQ15" t="str">
        <f>CONCATENATE("A(",AI15,")=")</f>
        <v>A(#NA)=</v>
      </c>
      <c r="AR15" t="e">
        <f>AN15+AP15</f>
        <v>#VALUE!</v>
      </c>
    </row>
    <row r="16" spans="1:46" x14ac:dyDescent="0.25">
      <c r="A16">
        <v>13</v>
      </c>
      <c r="B16" s="80" t="str">
        <f t="shared" si="2"/>
        <v xml:space="preserve">  </v>
      </c>
      <c r="C16" s="81" t="str">
        <f t="shared" si="3"/>
        <v xml:space="preserve">  </v>
      </c>
      <c r="D16" s="81" t="str">
        <f t="shared" si="4"/>
        <v xml:space="preserve"> </v>
      </c>
      <c r="E16" s="77" t="str">
        <f t="shared" si="5"/>
        <v xml:space="preserve"> </v>
      </c>
      <c r="G16" s="91" t="str">
        <f>G6</f>
        <v>2nd_UWL</v>
      </c>
      <c r="H16" s="91" t="str">
        <f>H6</f>
        <v>#NA</v>
      </c>
      <c r="I16" s="82" t="e">
        <f>IF(H16-H15=H15-H14,H16,"#NA")</f>
        <v>#VALUE!</v>
      </c>
      <c r="J16" s="83" t="e">
        <f>VLOOKUP(I16,STN_TABLE,2,FALSE)</f>
        <v>#VALUE!</v>
      </c>
      <c r="K16" s="83">
        <v>-1</v>
      </c>
      <c r="L16" s="83" t="e">
        <f>J16*K16</f>
        <v>#VALUE!</v>
      </c>
      <c r="M16" s="83">
        <v>-1</v>
      </c>
      <c r="N16" s="83" t="e">
        <f>J16*M16</f>
        <v>#VALUE!</v>
      </c>
      <c r="O16" t="str">
        <f>CONCATENATE("M(",I15,")=")</f>
        <v>M(#NA)=</v>
      </c>
      <c r="P16" t="e">
        <f>(2*(P14^2)/24*N17)+P15*I14*WLS</f>
        <v>#N/A</v>
      </c>
      <c r="Q16" s="66" t="str">
        <f t="shared" si="7"/>
        <v>3rd_UWL</v>
      </c>
      <c r="R16" s="67" t="str">
        <f t="shared" si="7"/>
        <v>#NA</v>
      </c>
      <c r="V16" s="89" t="e">
        <f>SUM(V13:V15)</f>
        <v>#VALUE!</v>
      </c>
      <c r="X16" s="89" t="e">
        <f>SUM(X13:X15)</f>
        <v>#VALUE!</v>
      </c>
      <c r="Y16" s="84" t="str">
        <f>CONCATENATE("m'(",S15,")=")</f>
        <v>m'(#NA)=</v>
      </c>
      <c r="Z16" s="84" t="e">
        <f>2*(Z13*WLS)/3*X16</f>
        <v>#VALUE!</v>
      </c>
      <c r="AA16" s="84" t="e">
        <f>CONCATENATE("M(",S13,")=")</f>
        <v>#VALUE!</v>
      </c>
      <c r="AB16" s="84" t="e">
        <f>IF(S13=RisePerWLS,0,VLOOKUP(S13,STN_TABLE,4,FALSE))</f>
        <v>#VALUE!</v>
      </c>
      <c r="AC16" t="str">
        <f>CONCATENATE("M(",S15,")=")</f>
        <v>M(#NA)=</v>
      </c>
      <c r="AD16" t="e">
        <f>Z16+AB16</f>
        <v>#VALUE!</v>
      </c>
      <c r="AE16" s="80"/>
      <c r="AJ16" s="89" t="e">
        <f>SUM(AJ14:AJ15)</f>
        <v>#N/A</v>
      </c>
      <c r="AL16" s="89" t="e">
        <f>SUM(AL14:AL15)</f>
        <v>#N/A</v>
      </c>
      <c r="AM16" s="84" t="str">
        <f>CONCATENATE("m'(",AI15,")=")</f>
        <v>m'(#NA)=</v>
      </c>
      <c r="AN16" s="84" t="e">
        <f>(2*(AN13^2)/6*AL16)+(AN15*AI14*WLS)</f>
        <v>#VALUE!</v>
      </c>
      <c r="AO16" s="84" t="str">
        <f>CONCATENATE("M(",AI14,")=")</f>
        <v>M(#NA)=</v>
      </c>
      <c r="AP16" s="84" t="e">
        <f>IF(AI14=RisePerWLS,0,VLOOKUP(AI14,STN_TABLE,4,FALSE))</f>
        <v>#VALUE!</v>
      </c>
      <c r="AQ16" t="str">
        <f>CONCATENATE("M(",AI15,")=")</f>
        <v>M(#NA)=</v>
      </c>
      <c r="AR16" t="e">
        <f>AN16+AP16</f>
        <v>#VALUE!</v>
      </c>
    </row>
    <row r="17" spans="1:35" x14ac:dyDescent="0.25">
      <c r="A17">
        <v>14</v>
      </c>
      <c r="B17" s="80" t="str">
        <f t="shared" si="2"/>
        <v xml:space="preserve">  </v>
      </c>
      <c r="C17" s="81" t="str">
        <f t="shared" si="3"/>
        <v xml:space="preserve">  </v>
      </c>
      <c r="D17" s="81" t="str">
        <f t="shared" si="4"/>
        <v xml:space="preserve"> </v>
      </c>
      <c r="E17" s="77" t="str">
        <f t="shared" si="5"/>
        <v xml:space="preserve"> </v>
      </c>
      <c r="G17" s="91"/>
      <c r="H17" s="91"/>
      <c r="L17" s="89" t="e">
        <f>SUM(L14:L16)</f>
        <v>#N/A</v>
      </c>
      <c r="N17" s="89" t="e">
        <f>SUM(N14:N16)</f>
        <v>#N/A</v>
      </c>
      <c r="Q17" s="66"/>
      <c r="R17" s="67"/>
      <c r="AE17" s="90"/>
    </row>
    <row r="18" spans="1:35" x14ac:dyDescent="0.25">
      <c r="A18">
        <v>15</v>
      </c>
      <c r="B18" s="80" t="str">
        <f t="shared" si="2"/>
        <v xml:space="preserve">  </v>
      </c>
      <c r="C18" s="81" t="str">
        <f t="shared" si="3"/>
        <v xml:space="preserve">  </v>
      </c>
      <c r="D18" s="81" t="str">
        <f t="shared" si="4"/>
        <v xml:space="preserve"> </v>
      </c>
      <c r="E18" s="77" t="str">
        <f t="shared" si="5"/>
        <v xml:space="preserve"> </v>
      </c>
      <c r="G18" s="91"/>
      <c r="H18" s="91"/>
      <c r="K18" t="s">
        <v>103</v>
      </c>
      <c r="M18" t="str">
        <f>CONCATENATE("A(",I15,")=")</f>
        <v>A(#NA)=</v>
      </c>
      <c r="N18" t="e">
        <f>IF(OR(P15&lt;=0,P16&lt;=0),N22,P15)</f>
        <v>#N/A</v>
      </c>
      <c r="Q18" s="66"/>
      <c r="R18" s="67"/>
      <c r="AE18" s="80"/>
    </row>
    <row r="19" spans="1:35" x14ac:dyDescent="0.25">
      <c r="A19">
        <v>16</v>
      </c>
      <c r="B19" s="80" t="str">
        <f t="shared" si="2"/>
        <v xml:space="preserve">  </v>
      </c>
      <c r="C19" s="81" t="str">
        <f t="shared" si="3"/>
        <v xml:space="preserve">  </v>
      </c>
      <c r="D19" s="81" t="str">
        <f t="shared" si="4"/>
        <v xml:space="preserve"> </v>
      </c>
      <c r="E19" s="77" t="str">
        <f t="shared" si="5"/>
        <v xml:space="preserve"> </v>
      </c>
      <c r="G19" s="91"/>
      <c r="H19" s="91"/>
      <c r="M19" t="str">
        <f>CONCATENATE("M(",I15,")=")</f>
        <v>M(#NA)=</v>
      </c>
      <c r="N19" t="e">
        <f>IF(OR(P15&lt;=0,P16&lt;=0),N23,P16)</f>
        <v>#N/A</v>
      </c>
      <c r="Q19" s="66"/>
      <c r="R19" s="67"/>
      <c r="AE19" s="80"/>
    </row>
    <row r="20" spans="1:35" x14ac:dyDescent="0.25">
      <c r="A20">
        <v>17</v>
      </c>
      <c r="B20" s="80" t="str">
        <f t="shared" si="2"/>
        <v xml:space="preserve">  </v>
      </c>
      <c r="C20" s="81" t="str">
        <f t="shared" si="3"/>
        <v xml:space="preserve">  </v>
      </c>
      <c r="D20" s="81" t="str">
        <f t="shared" si="4"/>
        <v xml:space="preserve"> </v>
      </c>
      <c r="E20" s="77" t="str">
        <f t="shared" si="5"/>
        <v xml:space="preserve"> </v>
      </c>
      <c r="G20" s="91"/>
      <c r="H20" s="91"/>
      <c r="Q20" s="66"/>
      <c r="R20" s="67"/>
      <c r="S20" s="68" t="e">
        <f>IF(OR(R24-R23=R23-R22,R25-R23=R23-R22),R22,IF(OR(R24-R23=R23-R21,R25-R23=R23-R21),R21,"-"))</f>
        <v>#VALUE!</v>
      </c>
      <c r="T20" s="69" t="e">
        <f>IFERROR(VLOOKUP(S20,STN_TABLE,2,FALSE),IF(R20=RisePerWLS,0,"-"))</f>
        <v>#VALUE!</v>
      </c>
      <c r="U20" s="69">
        <v>5</v>
      </c>
      <c r="V20" s="69" t="e">
        <f>T20*U20</f>
        <v>#VALUE!</v>
      </c>
      <c r="W20" s="69">
        <v>3</v>
      </c>
      <c r="X20" s="69" t="e">
        <f>T20*W20</f>
        <v>#VALUE!</v>
      </c>
      <c r="Y20" s="6" t="s">
        <v>93</v>
      </c>
      <c r="Z20" s="70" t="e">
        <f>IF(AND(S22-S21=S21-S20,NOT(AND(S20=0,S21=0)),NOT(AND(S21=0,S22=0))),WLS*(S22-S21),"#NA")</f>
        <v>#VALUE!</v>
      </c>
      <c r="AE20" s="80"/>
    </row>
    <row r="21" spans="1:35" x14ac:dyDescent="0.25">
      <c r="A21">
        <v>18</v>
      </c>
      <c r="B21" s="80" t="str">
        <f t="shared" si="2"/>
        <v xml:space="preserve">  </v>
      </c>
      <c r="C21" s="81" t="str">
        <f t="shared" si="3"/>
        <v xml:space="preserve">  </v>
      </c>
      <c r="D21" s="81" t="str">
        <f t="shared" si="4"/>
        <v xml:space="preserve"> </v>
      </c>
      <c r="E21" s="77" t="str">
        <f t="shared" si="5"/>
        <v xml:space="preserve"> </v>
      </c>
      <c r="G21" s="91"/>
      <c r="H21" s="91" t="str">
        <f>G14</f>
        <v>Rise</v>
      </c>
      <c r="I21" s="79" t="e">
        <f>H14</f>
        <v>#VALUE!</v>
      </c>
      <c r="J21" s="68">
        <v>0</v>
      </c>
      <c r="K21" s="68">
        <v>1</v>
      </c>
      <c r="L21" s="69">
        <f>J21*K21</f>
        <v>0</v>
      </c>
      <c r="M21" t="s">
        <v>93</v>
      </c>
      <c r="N21" t="e">
        <f>(I22-I21)*WLS</f>
        <v>#VALUE!</v>
      </c>
      <c r="Q21" s="66" t="str">
        <f t="shared" ref="Q21:R25" si="8">G5</f>
        <v>1st_UWL</v>
      </c>
      <c r="R21" s="67" t="str">
        <f t="shared" si="8"/>
        <v>#NA</v>
      </c>
      <c r="S21" s="76" t="str">
        <f>R23</f>
        <v>#NA</v>
      </c>
      <c r="T21" s="77" t="e">
        <f>VLOOKUP(S21,STN_TABLE,2,FALSE)</f>
        <v>#N/A</v>
      </c>
      <c r="U21" s="77">
        <v>8</v>
      </c>
      <c r="V21" s="77" t="e">
        <f>T21*U21</f>
        <v>#N/A</v>
      </c>
      <c r="W21" s="77">
        <v>10</v>
      </c>
      <c r="X21" s="77" t="e">
        <f>T21*W21</f>
        <v>#N/A</v>
      </c>
      <c r="Y21" s="78" t="s">
        <v>97</v>
      </c>
      <c r="Z21" s="78"/>
      <c r="AA21" s="78" t="s">
        <v>98</v>
      </c>
      <c r="AB21" s="78"/>
      <c r="AC21" s="7" t="s">
        <v>99</v>
      </c>
      <c r="AD21" s="7"/>
      <c r="AE21" s="80"/>
    </row>
    <row r="22" spans="1:35" x14ac:dyDescent="0.25">
      <c r="A22">
        <v>19</v>
      </c>
      <c r="B22" s="80" t="str">
        <f t="shared" si="2"/>
        <v xml:space="preserve">  </v>
      </c>
      <c r="C22" s="81" t="str">
        <f t="shared" si="3"/>
        <v xml:space="preserve">  </v>
      </c>
      <c r="D22" s="81" t="str">
        <f t="shared" si="4"/>
        <v xml:space="preserve"> </v>
      </c>
      <c r="E22" s="77" t="str">
        <f t="shared" si="5"/>
        <v xml:space="preserve"> </v>
      </c>
      <c r="G22" s="91"/>
      <c r="H22" s="91" t="str">
        <f>G15</f>
        <v>1st_UWL</v>
      </c>
      <c r="I22" s="88" t="str">
        <f>H15</f>
        <v>#NA</v>
      </c>
      <c r="J22" s="82" t="e">
        <f>VLOOKUP(I22,STN_TABLE,2,FALSE)</f>
        <v>#N/A</v>
      </c>
      <c r="K22" s="82">
        <v>2</v>
      </c>
      <c r="L22" s="83" t="e">
        <f>J22*K22</f>
        <v>#N/A</v>
      </c>
      <c r="M22" t="str">
        <f>CONCATENATE("A(",I22,")=")</f>
        <v>A(#NA)=</v>
      </c>
      <c r="N22" t="e">
        <f>2*N21/2*J23</f>
        <v>#VALUE!</v>
      </c>
      <c r="Q22" s="66" t="str">
        <f t="shared" si="8"/>
        <v>2nd_UWL</v>
      </c>
      <c r="R22" s="67" t="str">
        <f t="shared" si="8"/>
        <v>#NA</v>
      </c>
      <c r="S22" s="82" t="e">
        <f>IF(S20-S21=S21-R24,R24,IF(S20-S21=S21-R25,R25,"-"))</f>
        <v>#VALUE!</v>
      </c>
      <c r="T22" s="83" t="e">
        <f>VLOOKUP(S22,STN_TABLE,2,FALSE)</f>
        <v>#VALUE!</v>
      </c>
      <c r="U22" s="83">
        <v>-1</v>
      </c>
      <c r="V22" s="83" t="e">
        <f>T22*U22</f>
        <v>#VALUE!</v>
      </c>
      <c r="W22" s="83">
        <v>-1</v>
      </c>
      <c r="X22" s="83" t="e">
        <f>T22*W22</f>
        <v>#VALUE!</v>
      </c>
      <c r="Y22" s="84" t="str">
        <f>CONCATENATE("a'(",S21,")=")</f>
        <v>a'(#NA)=</v>
      </c>
      <c r="Z22" s="84" t="e">
        <f>2*Z20/12*V23</f>
        <v>#VALUE!</v>
      </c>
      <c r="AA22" s="84" t="e">
        <f>CONCATENATE("A(",S20,")=")</f>
        <v>#VALUE!</v>
      </c>
      <c r="AB22" s="84" t="e">
        <f>IF(S20=RisePerWLS,0,VLOOKUP(S20,STN_TABLE,3,FALSE))</f>
        <v>#VALUE!</v>
      </c>
      <c r="AC22" t="str">
        <f>CONCATENATE("A(",S21,")=")</f>
        <v>A(#NA)=</v>
      </c>
      <c r="AD22" t="e">
        <f>Z22+AB22</f>
        <v>#VALUE!</v>
      </c>
      <c r="AE22" s="80"/>
    </row>
    <row r="23" spans="1:35" x14ac:dyDescent="0.25">
      <c r="A23">
        <v>20</v>
      </c>
      <c r="B23" s="80" t="str">
        <f t="shared" si="2"/>
        <v xml:space="preserve">  </v>
      </c>
      <c r="C23" s="81" t="str">
        <f t="shared" si="3"/>
        <v xml:space="preserve">  </v>
      </c>
      <c r="D23" s="81" t="str">
        <f t="shared" si="4"/>
        <v xml:space="preserve"> </v>
      </c>
      <c r="E23" s="77" t="str">
        <f t="shared" si="5"/>
        <v xml:space="preserve"> </v>
      </c>
      <c r="J23" s="89" t="e">
        <f>SUM(J21:J22)</f>
        <v>#N/A</v>
      </c>
      <c r="L23" s="89" t="e">
        <f>SUM(L21:L22)</f>
        <v>#N/A</v>
      </c>
      <c r="M23" t="str">
        <f>CONCATENATE("M(",I22,")=")</f>
        <v>M(#NA)=</v>
      </c>
      <c r="N23" t="e">
        <f>(2*(N21^2)/6*L23)+N22*I21*WLS</f>
        <v>#VALUE!</v>
      </c>
      <c r="Q23" s="66" t="str">
        <f t="shared" si="8"/>
        <v>3rd_UWL</v>
      </c>
      <c r="R23" s="67" t="str">
        <f t="shared" si="8"/>
        <v>#NA</v>
      </c>
      <c r="V23" s="89" t="e">
        <f>SUM(V20:V22)</f>
        <v>#VALUE!</v>
      </c>
      <c r="X23" s="89" t="e">
        <f>SUM(X20:X22)</f>
        <v>#VALUE!</v>
      </c>
      <c r="Y23" s="84" t="str">
        <f>CONCATENATE("m'(",S21,")=")</f>
        <v>m'(#NA)=</v>
      </c>
      <c r="Z23" s="84" t="e">
        <f>(2*(Z20^2)/24*X23)+(Z22*S20*WLS)</f>
        <v>#VALUE!</v>
      </c>
      <c r="AA23" s="84" t="e">
        <f>CONCATENATE("M(",S20,")=")</f>
        <v>#VALUE!</v>
      </c>
      <c r="AB23" s="84" t="e">
        <f>IF(S20=RisePerWLS,0,VLOOKUP(S20,STN_TABLE,4,FALSE))</f>
        <v>#VALUE!</v>
      </c>
      <c r="AC23" t="str">
        <f>CONCATENATE("M(",S21,")=")</f>
        <v>M(#NA)=</v>
      </c>
      <c r="AD23" t="e">
        <f>Z23+AB23</f>
        <v>#VALUE!</v>
      </c>
      <c r="AE23" s="80"/>
    </row>
    <row r="24" spans="1:35" x14ac:dyDescent="0.25">
      <c r="A24">
        <v>21</v>
      </c>
      <c r="B24" s="80" t="str">
        <f t="shared" si="2"/>
        <v xml:space="preserve">  </v>
      </c>
      <c r="C24" s="81" t="str">
        <f t="shared" si="3"/>
        <v xml:space="preserve">  </v>
      </c>
      <c r="D24" s="81" t="str">
        <f t="shared" si="4"/>
        <v xml:space="preserve"> </v>
      </c>
      <c r="E24" s="77" t="str">
        <f t="shared" si="5"/>
        <v xml:space="preserve"> </v>
      </c>
      <c r="Q24" s="66" t="str">
        <f t="shared" si="8"/>
        <v>4th_UWL</v>
      </c>
      <c r="R24" s="67" t="str">
        <f t="shared" si="8"/>
        <v>#NA</v>
      </c>
      <c r="U24" t="s">
        <v>103</v>
      </c>
      <c r="W24" t="str">
        <f>CONCATENATE("A(",S21,")=")</f>
        <v>A(#NA)=</v>
      </c>
      <c r="X24" t="e">
        <f>IF(OR(AD22&lt;=0,AD23&lt;=0),AD27,AD22)</f>
        <v>#VALUE!</v>
      </c>
      <c r="AE24" s="80"/>
    </row>
    <row r="25" spans="1:35" x14ac:dyDescent="0.25">
      <c r="A25">
        <v>22</v>
      </c>
      <c r="B25" s="80" t="str">
        <f t="shared" si="2"/>
        <v xml:space="preserve">  </v>
      </c>
      <c r="C25" s="81" t="str">
        <f t="shared" si="3"/>
        <v xml:space="preserve">  </v>
      </c>
      <c r="D25" s="81" t="str">
        <f t="shared" si="4"/>
        <v xml:space="preserve"> </v>
      </c>
      <c r="E25" s="77" t="str">
        <f t="shared" si="5"/>
        <v xml:space="preserve"> </v>
      </c>
      <c r="G25" s="71" t="s">
        <v>111</v>
      </c>
      <c r="Q25" s="66" t="str">
        <f t="shared" si="8"/>
        <v>5th_UWL</v>
      </c>
      <c r="R25" s="67" t="str">
        <f t="shared" si="8"/>
        <v>#NA</v>
      </c>
      <c r="W25" t="str">
        <f>CONCATENATE("M(",S21,")=")</f>
        <v>M(#NA)=</v>
      </c>
      <c r="X25" t="e">
        <f>IF(OR(AD22&lt;=0,AD23&lt;=0),AD28,AD23)</f>
        <v>#VALUE!</v>
      </c>
      <c r="Y25" s="6" t="s">
        <v>93</v>
      </c>
      <c r="Z25" s="70" t="e">
        <f>WLS*(U27-U26)</f>
        <v>#VALUE!</v>
      </c>
      <c r="AE25" s="80"/>
    </row>
    <row r="26" spans="1:35" x14ac:dyDescent="0.25">
      <c r="A26">
        <v>23</v>
      </c>
      <c r="B26" s="80" t="str">
        <f t="shared" si="2"/>
        <v xml:space="preserve">  </v>
      </c>
      <c r="C26" s="81" t="str">
        <f t="shared" si="3"/>
        <v xml:space="preserve">  </v>
      </c>
      <c r="D26" s="81" t="str">
        <f t="shared" si="4"/>
        <v xml:space="preserve"> </v>
      </c>
      <c r="E26" s="77" t="str">
        <f t="shared" si="5"/>
        <v xml:space="preserve"> </v>
      </c>
      <c r="G26" s="91" t="str">
        <f t="shared" ref="G26:H28" si="9">G4</f>
        <v>Rise</v>
      </c>
      <c r="H26" s="91" t="e">
        <f t="shared" si="9"/>
        <v>#VALUE!</v>
      </c>
      <c r="I26" s="68" t="e">
        <f>H26</f>
        <v>#VALUE!</v>
      </c>
      <c r="J26" s="69">
        <v>0</v>
      </c>
      <c r="K26" s="69">
        <v>1</v>
      </c>
      <c r="L26" s="69">
        <f>J26*K26</f>
        <v>0</v>
      </c>
      <c r="M26" s="69" t="e">
        <f>I26</f>
        <v>#VALUE!</v>
      </c>
      <c r="N26" s="69" t="e">
        <f>L26*M26</f>
        <v>#VALUE!</v>
      </c>
      <c r="O26" t="s">
        <v>93</v>
      </c>
      <c r="P26" t="e">
        <f>IF(OR(J26=0,J27=0,J28=0),"#NA",IF(I28-I27=I27-I26,WLS*(I27-I26),"#NA"))</f>
        <v>#VALUE!</v>
      </c>
      <c r="Q26" s="66"/>
      <c r="R26" s="67"/>
      <c r="U26" s="79" t="str">
        <f>R22</f>
        <v>#NA</v>
      </c>
      <c r="V26" s="68" t="e">
        <f>VLOOKUP(U26,STN_TABLE,2,FALSE)</f>
        <v>#N/A</v>
      </c>
      <c r="W26" s="68">
        <v>1</v>
      </c>
      <c r="X26" s="69" t="e">
        <f>V26*W26</f>
        <v>#N/A</v>
      </c>
      <c r="Y26" s="78" t="s">
        <v>97</v>
      </c>
      <c r="Z26" s="78"/>
      <c r="AA26" s="78" t="s">
        <v>98</v>
      </c>
      <c r="AB26" s="78"/>
      <c r="AC26" s="7" t="s">
        <v>99</v>
      </c>
      <c r="AD26" s="7"/>
      <c r="AE26" s="80"/>
    </row>
    <row r="27" spans="1:35" x14ac:dyDescent="0.25">
      <c r="A27">
        <v>24</v>
      </c>
      <c r="B27" s="80" t="str">
        <f t="shared" si="2"/>
        <v xml:space="preserve">  </v>
      </c>
      <c r="C27" s="81" t="str">
        <f t="shared" si="3"/>
        <v xml:space="preserve">  </v>
      </c>
      <c r="D27" s="81" t="str">
        <f t="shared" si="4"/>
        <v xml:space="preserve"> </v>
      </c>
      <c r="E27" s="77" t="str">
        <f t="shared" si="5"/>
        <v xml:space="preserve"> </v>
      </c>
      <c r="G27" s="91" t="str">
        <f t="shared" si="9"/>
        <v>1st_UWL</v>
      </c>
      <c r="H27" s="91" t="str">
        <f t="shared" si="9"/>
        <v>#NA</v>
      </c>
      <c r="I27" s="76" t="e">
        <f>IF(H28-H27=H27-H26,H28,"#NA")</f>
        <v>#VALUE!</v>
      </c>
      <c r="J27" s="77" t="e">
        <f>VLOOKUP(I27,STN_TABLE,2,FALSE)</f>
        <v>#VALUE!</v>
      </c>
      <c r="K27" s="77">
        <v>4</v>
      </c>
      <c r="L27" s="77" t="e">
        <f>J27*K27</f>
        <v>#VALUE!</v>
      </c>
      <c r="M27" s="77" t="e">
        <f>I27</f>
        <v>#VALUE!</v>
      </c>
      <c r="N27" s="77" t="e">
        <f>L27*M27</f>
        <v>#VALUE!</v>
      </c>
      <c r="O27" t="e">
        <f>CONCATENATE("A(",I28,")=")</f>
        <v>#VALUE!</v>
      </c>
      <c r="P27" t="e">
        <f>2*P26/3*L29</f>
        <v>#VALUE!</v>
      </c>
      <c r="Q27" s="80"/>
      <c r="R27" s="81"/>
      <c r="U27" s="88" t="str">
        <f>R23</f>
        <v>#NA</v>
      </c>
      <c r="V27" s="82" t="e">
        <f>VLOOKUP(U27,STN_TABLE,2,FALSE)</f>
        <v>#N/A</v>
      </c>
      <c r="W27" s="82">
        <v>2</v>
      </c>
      <c r="X27" s="83" t="e">
        <f>V27*W27</f>
        <v>#N/A</v>
      </c>
      <c r="Y27" s="84" t="str">
        <f>CONCATENATE("a'(",U27,")=")</f>
        <v>a'(#NA)=</v>
      </c>
      <c r="Z27" s="84" t="e">
        <f>2*Z25/2*V28</f>
        <v>#VALUE!</v>
      </c>
      <c r="AA27" s="84" t="str">
        <f>CONCATENATE("A(",U26,")=")</f>
        <v>A(#NA)=</v>
      </c>
      <c r="AB27" s="84" t="e">
        <f>IF(U26=RisePerWLS,0,VLOOKUP(U26,STN_TABLE,3,FALSE))</f>
        <v>#VALUE!</v>
      </c>
      <c r="AC27" t="str">
        <f>CONCATENATE("A(",U27,")=")</f>
        <v>A(#NA)=</v>
      </c>
      <c r="AD27" t="e">
        <f>Z27+AB27</f>
        <v>#VALUE!</v>
      </c>
      <c r="AE27" s="80"/>
    </row>
    <row r="28" spans="1:35" x14ac:dyDescent="0.25">
      <c r="A28">
        <v>25</v>
      </c>
      <c r="B28" s="88" t="str">
        <f t="shared" si="2"/>
        <v xml:space="preserve">  </v>
      </c>
      <c r="C28" s="92" t="str">
        <f t="shared" si="3"/>
        <v xml:space="preserve">  </v>
      </c>
      <c r="D28" s="81" t="str">
        <f t="shared" si="4"/>
        <v xml:space="preserve"> </v>
      </c>
      <c r="E28" s="77" t="str">
        <f t="shared" si="5"/>
        <v xml:space="preserve"> </v>
      </c>
      <c r="G28" s="91" t="str">
        <f t="shared" si="9"/>
        <v>2nd_UWL</v>
      </c>
      <c r="H28" s="91" t="str">
        <f t="shared" si="9"/>
        <v>#NA</v>
      </c>
      <c r="I28" s="82" t="e">
        <f>IF(H28-H27=H27-H26,H28,"#NA")</f>
        <v>#VALUE!</v>
      </c>
      <c r="J28" s="83" t="e">
        <f>VLOOKUP(I28,STN_TABLE,2,FALSE)</f>
        <v>#VALUE!</v>
      </c>
      <c r="K28" s="83">
        <v>1</v>
      </c>
      <c r="L28" s="83" t="e">
        <f>J28*K28</f>
        <v>#VALUE!</v>
      </c>
      <c r="M28" s="83" t="e">
        <f>I28</f>
        <v>#VALUE!</v>
      </c>
      <c r="N28" s="83" t="e">
        <f>L28*M28</f>
        <v>#VALUE!</v>
      </c>
      <c r="O28" t="e">
        <f>CONCATENATE("M(",I28,")=")</f>
        <v>#VALUE!</v>
      </c>
      <c r="P28" t="e">
        <f>2*(P26*WLS)/3*N29</f>
        <v>#VALUE!</v>
      </c>
      <c r="Q28" s="80"/>
      <c r="R28" s="81"/>
      <c r="V28" s="89" t="e">
        <f>SUM(V26:V27)</f>
        <v>#N/A</v>
      </c>
      <c r="X28" s="89" t="e">
        <f>SUM(X26:X27)</f>
        <v>#N/A</v>
      </c>
      <c r="Y28" s="84" t="str">
        <f>CONCATENATE("m'(",U27,")=")</f>
        <v>m'(#NA)=</v>
      </c>
      <c r="Z28" s="84" t="e">
        <f>(2*(Z25^2)/6*X28)+(Z27*U26*WLS)</f>
        <v>#VALUE!</v>
      </c>
      <c r="AA28" s="84" t="str">
        <f>CONCATENATE("M(",U26,")=")</f>
        <v>M(#NA)=</v>
      </c>
      <c r="AB28" s="84" t="e">
        <f>IF(U26=RisePerWLS,0,VLOOKUP(U26,STN_TABLE,4,FALSE))</f>
        <v>#VALUE!</v>
      </c>
      <c r="AC28" t="str">
        <f>CONCATENATE("M(",U27,")=")</f>
        <v>M(#NA)=</v>
      </c>
      <c r="AD28" t="e">
        <f>Z28+AB28</f>
        <v>#VALUE!</v>
      </c>
      <c r="AE28" s="80"/>
    </row>
    <row r="29" spans="1:35" x14ac:dyDescent="0.25">
      <c r="G29" s="91"/>
      <c r="H29" s="91"/>
      <c r="L29" s="89" t="e">
        <f>SUM(L26:L28)</f>
        <v>#VALUE!</v>
      </c>
      <c r="N29" s="89" t="e">
        <f>SUM(N26:N28)</f>
        <v>#VALUE!</v>
      </c>
      <c r="Q29" s="80"/>
      <c r="R29" s="81"/>
      <c r="AE29" s="80"/>
    </row>
    <row r="30" spans="1:35" x14ac:dyDescent="0.25">
      <c r="G30" s="91"/>
      <c r="H30" s="91"/>
    </row>
    <row r="31" spans="1:35" x14ac:dyDescent="0.25">
      <c r="G31" s="91"/>
      <c r="H31" s="91"/>
    </row>
    <row r="32" spans="1:35" x14ac:dyDescent="0.25">
      <c r="G32" s="91"/>
      <c r="H32" s="91"/>
      <c r="Q32" s="68">
        <f>B4</f>
        <v>0</v>
      </c>
      <c r="R32" s="69">
        <f>VLOOKUP(Q32,STN_TABLE,2,FALSE)</f>
        <v>3.5</v>
      </c>
      <c r="S32" s="69">
        <v>5</v>
      </c>
      <c r="T32" s="68">
        <f>R32*S32</f>
        <v>17.5</v>
      </c>
      <c r="U32" s="79">
        <v>3</v>
      </c>
      <c r="V32" s="68">
        <f>R32*U32</f>
        <v>10.5</v>
      </c>
      <c r="W32" t="s">
        <v>93</v>
      </c>
      <c r="X32" s="70">
        <f>IF(AND(Q34-Q33=Q33-Q32,NOT(AND(Q32=0,Q33=0)),NOT(AND(Q33=0,Q34=0))),WLS*(Q34-Q33),"#NA")</f>
        <v>0.5</v>
      </c>
      <c r="AD32" s="93"/>
      <c r="AH32" s="6" t="s">
        <v>93</v>
      </c>
      <c r="AI32" s="70">
        <f>WLS*(AD34-AD33)</f>
        <v>0.5</v>
      </c>
    </row>
    <row r="33" spans="1:47" x14ac:dyDescent="0.25">
      <c r="Q33" s="76">
        <f>B5</f>
        <v>0.25</v>
      </c>
      <c r="R33" s="77">
        <f>VLOOKUP(Q33,STN_TABLE,2,FALSE)</f>
        <v>4.6500000000000004</v>
      </c>
      <c r="S33" s="77">
        <v>8</v>
      </c>
      <c r="T33" s="76">
        <f>R33*S33</f>
        <v>37.200000000000003</v>
      </c>
      <c r="U33" s="80">
        <v>10</v>
      </c>
      <c r="V33" s="76">
        <f>R33*U33</f>
        <v>46.5</v>
      </c>
      <c r="W33" s="495" t="s">
        <v>97</v>
      </c>
      <c r="X33" s="496"/>
      <c r="Y33" s="496" t="s">
        <v>98</v>
      </c>
      <c r="Z33" s="496"/>
      <c r="AA33" s="494" t="s">
        <v>99</v>
      </c>
      <c r="AB33" s="494"/>
      <c r="AC33" s="94">
        <v>1</v>
      </c>
      <c r="AD33" s="95">
        <f>VLOOKUP(AC33,STN_TABLE_2,2,FALSE)</f>
        <v>0</v>
      </c>
      <c r="AE33" s="68">
        <f>VLOOKUP(AD33,STN_TABLE,2,FALSE)</f>
        <v>3.5</v>
      </c>
      <c r="AF33" s="68">
        <v>1</v>
      </c>
      <c r="AG33" s="69">
        <f>AE33*AF33</f>
        <v>3.5</v>
      </c>
      <c r="AH33" s="496" t="s">
        <v>97</v>
      </c>
      <c r="AI33" s="496"/>
      <c r="AJ33" s="496" t="s">
        <v>98</v>
      </c>
      <c r="AK33" s="496"/>
      <c r="AL33" s="494" t="s">
        <v>99</v>
      </c>
      <c r="AM33" s="494"/>
      <c r="AP33" s="96" t="s">
        <v>112</v>
      </c>
      <c r="AQ33" s="89" t="s">
        <v>113</v>
      </c>
      <c r="AR33" s="89" t="s">
        <v>114</v>
      </c>
      <c r="AS33" s="89" t="s">
        <v>115</v>
      </c>
      <c r="AT33" s="97" t="s">
        <v>116</v>
      </c>
      <c r="AU33" s="98"/>
    </row>
    <row r="34" spans="1:47" x14ac:dyDescent="0.25">
      <c r="Q34" s="82">
        <f>B6</f>
        <v>0.5</v>
      </c>
      <c r="R34" s="83">
        <f>VLOOKUP(Q34,STN_TABLE,2,FALSE)</f>
        <v>5.35</v>
      </c>
      <c r="S34" s="83">
        <v>-1</v>
      </c>
      <c r="T34" s="82">
        <f>R34*S34</f>
        <v>-5.35</v>
      </c>
      <c r="U34" s="88">
        <v>-1</v>
      </c>
      <c r="V34" s="82">
        <f>R34*U34</f>
        <v>-5.35</v>
      </c>
      <c r="W34" s="84" t="str">
        <f>CONCATENATE("a'(",Q33,")=")</f>
        <v>a'(0.25)=</v>
      </c>
      <c r="X34" s="84">
        <f>2*X32/12*T35</f>
        <v>4.1124999999999998</v>
      </c>
      <c r="Y34" s="84" t="str">
        <f>CONCATENATE("A(",Q32,")=")</f>
        <v>A(0)=</v>
      </c>
      <c r="Z34" s="84">
        <f>VLOOKUP(Q32,STN_TABLE,3,FALSE)</f>
        <v>0</v>
      </c>
      <c r="AA34" t="str">
        <f>CONCATENATE("A(",Q33,")=")</f>
        <v>A(0.25)=</v>
      </c>
      <c r="AB34">
        <f>X34+Z34</f>
        <v>4.1124999999999998</v>
      </c>
      <c r="AC34" s="99">
        <f>AC33+1</f>
        <v>2</v>
      </c>
      <c r="AD34" s="100">
        <f>VLOOKUP(AC34,STN_TABLE_2,2,FALSE)</f>
        <v>0.25</v>
      </c>
      <c r="AE34" s="82">
        <f>VLOOKUP(AD34,STN_TABLE,2,FALSE)</f>
        <v>4.6500000000000004</v>
      </c>
      <c r="AF34" s="82">
        <v>2</v>
      </c>
      <c r="AG34" s="83">
        <f>AE34*AF34</f>
        <v>9.3000000000000007</v>
      </c>
      <c r="AH34" s="84" t="str">
        <f>CONCATENATE("a'(",AD34,")=")</f>
        <v>a'(0.25)=</v>
      </c>
      <c r="AI34" s="84">
        <f>2*AI32/2*AE35</f>
        <v>4.0750000000000002</v>
      </c>
      <c r="AJ34" s="84" t="str">
        <f>CONCATENATE("A(",AD33,")=")</f>
        <v>A(0)=</v>
      </c>
      <c r="AK34" s="84">
        <f>VLOOKUP(AD33,STN_TABLE,3,FALSE)</f>
        <v>0</v>
      </c>
      <c r="AL34" t="str">
        <f>CONCATENATE("A(",AD34,")=")</f>
        <v>A(0.25)=</v>
      </c>
      <c r="AM34">
        <f>AI34+AK34</f>
        <v>4.0750000000000002</v>
      </c>
      <c r="AO34" s="68" t="str">
        <f>AA34</f>
        <v>A(0.25)=</v>
      </c>
      <c r="AP34" s="79" t="e">
        <f>VLOOKUP(AO34,Rise_Results,2,FALSE)</f>
        <v>#N/A</v>
      </c>
      <c r="AQ34" s="76" t="s">
        <v>117</v>
      </c>
      <c r="AR34" s="76">
        <f>IF(OR(AB34&lt;=0,AB35&lt;=0),1/0,AB34)</f>
        <v>4.1124999999999998</v>
      </c>
      <c r="AS34" s="76">
        <f>AM34</f>
        <v>4.0750000000000002</v>
      </c>
      <c r="AT34" s="80">
        <f>IFERROR(AP34,IFERROR(AR34,AS34))</f>
        <v>4.1124999999999998</v>
      </c>
    </row>
    <row r="35" spans="1:47" x14ac:dyDescent="0.25">
      <c r="A35" s="101"/>
      <c r="T35" s="89">
        <f>SUM(T32:T34)</f>
        <v>49.35</v>
      </c>
      <c r="V35" s="82">
        <f>SUM(V32:V34)</f>
        <v>51.65</v>
      </c>
      <c r="W35" s="84" t="str">
        <f>CONCATENATE("m'(",Q33,")=")</f>
        <v>m'(0.25)=</v>
      </c>
      <c r="X35" s="84">
        <f>(2*(X32^2)/24*V35)</f>
        <v>1.0760416666666666</v>
      </c>
      <c r="Y35" s="84" t="str">
        <f>CONCATENATE("M(",Q32,")=")</f>
        <v>M(0)=</v>
      </c>
      <c r="Z35" s="84">
        <f>VLOOKUP(Q32,STN_TABLE,4,FALSE)</f>
        <v>0</v>
      </c>
      <c r="AA35" t="str">
        <f>CONCATENATE("M(",Q33,")=")</f>
        <v>M(0.25)=</v>
      </c>
      <c r="AB35">
        <f>X35+Z35</f>
        <v>1.0760416666666666</v>
      </c>
      <c r="AE35" s="89">
        <f>SUM(AE33:AE34)</f>
        <v>8.15</v>
      </c>
      <c r="AG35" s="89">
        <f>SUM(AG33:AG34)</f>
        <v>12.8</v>
      </c>
      <c r="AH35" s="84" t="str">
        <f>CONCATENATE("m'(",AD34,")=")</f>
        <v>m'(0.25)=</v>
      </c>
      <c r="AI35" s="84">
        <f>(2*(AI32^2)/6*AG35)+(AI34*AD33*WLS)</f>
        <v>1.0666666666666667</v>
      </c>
      <c r="AJ35" s="84" t="str">
        <f>CONCATENATE("M(",AD33,")=")</f>
        <v>M(0)=</v>
      </c>
      <c r="AK35" s="84">
        <f>VLOOKUP(AD33,STN_TABLE,4,FALSE)</f>
        <v>0</v>
      </c>
      <c r="AL35" t="str">
        <f>CONCATENATE("M(",AD34,")=")</f>
        <v>M(0.25)=</v>
      </c>
      <c r="AM35">
        <f>AI35+AK35</f>
        <v>1.0666666666666667</v>
      </c>
      <c r="AO35" s="82" t="str">
        <f>AA35</f>
        <v>M(0.25)=</v>
      </c>
      <c r="AP35" s="88" t="e">
        <f>VLOOKUP(AO35,Rise_Results,2,FALSE)</f>
        <v>#N/A</v>
      </c>
      <c r="AQ35" s="82" t="s">
        <v>117</v>
      </c>
      <c r="AR35" s="82">
        <f>IF(OR(AB34&lt;=0,AB35&lt;=0),1/0,AB35)</f>
        <v>1.0760416666666666</v>
      </c>
      <c r="AS35" s="82">
        <f>AM35</f>
        <v>1.0666666666666667</v>
      </c>
      <c r="AT35" s="80">
        <f>IFERROR(AP35,IFERROR(AR35,AS35))</f>
        <v>1.0760416666666666</v>
      </c>
    </row>
    <row r="36" spans="1:47" x14ac:dyDescent="0.25">
      <c r="O36" s="94">
        <v>1</v>
      </c>
      <c r="P36" s="101">
        <f t="shared" ref="P36:P67" si="10">VLOOKUP(O36,STN_TABLE_2,2,FALSE)</f>
        <v>0</v>
      </c>
      <c r="AU36" s="81"/>
    </row>
    <row r="37" spans="1:47" x14ac:dyDescent="0.25">
      <c r="A37" s="94">
        <v>1</v>
      </c>
      <c r="B37" s="94">
        <f>VLOOKUP(A37,STN_TABLE_2,2,FALSE)</f>
        <v>0</v>
      </c>
      <c r="C37" s="79">
        <f>B37</f>
        <v>0</v>
      </c>
      <c r="D37" s="68">
        <f>VLOOKUP(C37,STN_TABLE,2,FALSE)</f>
        <v>3.5</v>
      </c>
      <c r="E37" s="102">
        <v>1</v>
      </c>
      <c r="F37" s="68">
        <f>D37*E37</f>
        <v>3.5</v>
      </c>
      <c r="G37" s="69">
        <f>C37</f>
        <v>0</v>
      </c>
      <c r="H37" s="69">
        <f>F37*G37</f>
        <v>0</v>
      </c>
      <c r="I37" s="6" t="s">
        <v>93</v>
      </c>
      <c r="J37" s="70">
        <f>IF(OR(D37=0,D38=0,D39=0),"#NA",IF(AND(C39-C38=C38-C37,C38&lt;&gt;C39,C37&lt;&gt;C38,C37&lt;&gt;C39,D39&lt;&gt;0,OR(D37&lt;&gt;0,D38&lt;&gt;0)),WLS*(C39-C38),"#NA"))</f>
        <v>0.5</v>
      </c>
      <c r="O37" s="99">
        <f>O36+1</f>
        <v>2</v>
      </c>
      <c r="P37" s="99">
        <f t="shared" si="10"/>
        <v>0.25</v>
      </c>
      <c r="Q37" s="68">
        <f>IF(OR(P39-P38=P38-P37,P40-P38=P38-P37),P37,IF(OR(P39-P38=P38-P36,P40-P38=P38-P36),P36,"-"))</f>
        <v>0.25</v>
      </c>
      <c r="R37" s="69">
        <f>VLOOKUP(Q37,STN_TABLE,2,FALSE)</f>
        <v>4.6500000000000004</v>
      </c>
      <c r="S37" s="69">
        <v>5</v>
      </c>
      <c r="T37" s="68">
        <f>R37*S37</f>
        <v>23.25</v>
      </c>
      <c r="U37" s="79">
        <v>3</v>
      </c>
      <c r="V37" s="68">
        <f>R37*U37</f>
        <v>13.950000000000001</v>
      </c>
      <c r="W37" s="6" t="s">
        <v>93</v>
      </c>
      <c r="X37" s="70">
        <f>IF(AND(Q39-Q38=Q38-Q37,NOT(AND(Q37=0,Q38=0)),NOT(AND(Q38=0,Q39=0))),WLS*(Q39-Q38),"#NA")</f>
        <v>0.5</v>
      </c>
      <c r="AD37" s="93"/>
      <c r="AH37" s="6" t="s">
        <v>93</v>
      </c>
      <c r="AI37" s="70">
        <f>WLS*(AD39-AD38)</f>
        <v>0.5</v>
      </c>
      <c r="AU37" s="81"/>
    </row>
    <row r="38" spans="1:47" x14ac:dyDescent="0.25">
      <c r="A38" s="94">
        <f>A37+1</f>
        <v>2</v>
      </c>
      <c r="B38" s="94">
        <f>VLOOKUP(A38,STN_TABLE_2,2,FALSE)</f>
        <v>0.25</v>
      </c>
      <c r="C38" s="80">
        <f>B38</f>
        <v>0.25</v>
      </c>
      <c r="D38" s="76">
        <f>VLOOKUP(C38,STN_TABLE,2,FALSE)</f>
        <v>4.6500000000000004</v>
      </c>
      <c r="E38" s="81">
        <v>4</v>
      </c>
      <c r="F38" s="76">
        <f>D38*E38</f>
        <v>18.600000000000001</v>
      </c>
      <c r="G38" s="77">
        <f>C38</f>
        <v>0.25</v>
      </c>
      <c r="H38" s="77">
        <f>F38*G38</f>
        <v>4.6500000000000004</v>
      </c>
      <c r="I38" s="496" t="s">
        <v>97</v>
      </c>
      <c r="J38" s="496"/>
      <c r="K38" s="78" t="s">
        <v>98</v>
      </c>
      <c r="L38" s="78"/>
      <c r="M38" s="7" t="s">
        <v>99</v>
      </c>
      <c r="N38" s="7"/>
      <c r="O38" s="99">
        <f>O37+1</f>
        <v>3</v>
      </c>
      <c r="P38" s="99">
        <f t="shared" si="10"/>
        <v>0.5</v>
      </c>
      <c r="Q38" s="76">
        <f>P38</f>
        <v>0.5</v>
      </c>
      <c r="R38" s="77">
        <f>VLOOKUP(Q38,STN_TABLE,2,FALSE)</f>
        <v>5.35</v>
      </c>
      <c r="S38" s="77">
        <v>8</v>
      </c>
      <c r="T38" s="76">
        <f>R38*S38</f>
        <v>42.8</v>
      </c>
      <c r="U38" s="80">
        <v>10</v>
      </c>
      <c r="V38" s="76">
        <f>R38*U38</f>
        <v>53.5</v>
      </c>
      <c r="W38" s="496" t="s">
        <v>97</v>
      </c>
      <c r="X38" s="496"/>
      <c r="Y38" s="496" t="s">
        <v>98</v>
      </c>
      <c r="Z38" s="496"/>
      <c r="AA38" s="494" t="s">
        <v>99</v>
      </c>
      <c r="AB38" s="494"/>
      <c r="AC38" s="99">
        <f>AC33+1</f>
        <v>2</v>
      </c>
      <c r="AD38" s="95">
        <f>VLOOKUP(AC38,STN_TABLE_2,2,FALSE)</f>
        <v>0.25</v>
      </c>
      <c r="AE38" s="68">
        <f>VLOOKUP(AD38,STN_TABLE,2,FALSE)</f>
        <v>4.6500000000000004</v>
      </c>
      <c r="AF38" s="68">
        <v>1</v>
      </c>
      <c r="AG38" s="69">
        <f>AE38*AF38</f>
        <v>4.6500000000000004</v>
      </c>
      <c r="AH38" s="496" t="s">
        <v>97</v>
      </c>
      <c r="AI38" s="496"/>
      <c r="AJ38" s="496" t="s">
        <v>98</v>
      </c>
      <c r="AK38" s="496"/>
      <c r="AL38" s="494" t="s">
        <v>99</v>
      </c>
      <c r="AM38" s="494"/>
      <c r="AP38" s="86" t="s">
        <v>112</v>
      </c>
      <c r="AQ38" s="89" t="s">
        <v>113</v>
      </c>
      <c r="AR38" s="89" t="s">
        <v>114</v>
      </c>
      <c r="AS38" s="89" t="s">
        <v>115</v>
      </c>
    </row>
    <row r="39" spans="1:47" x14ac:dyDescent="0.25">
      <c r="A39" s="94">
        <f>A38+1</f>
        <v>3</v>
      </c>
      <c r="B39" s="94">
        <f>VLOOKUP(A39,STN_TABLE_2,2,FALSE)</f>
        <v>0.5</v>
      </c>
      <c r="C39" s="88">
        <f>B39</f>
        <v>0.5</v>
      </c>
      <c r="D39" s="82">
        <f>VLOOKUP(C39,STN_TABLE,2,FALSE)</f>
        <v>5.35</v>
      </c>
      <c r="E39" s="92">
        <v>1</v>
      </c>
      <c r="F39" s="82">
        <f>D39*E39</f>
        <v>5.35</v>
      </c>
      <c r="G39" s="83">
        <f>C39</f>
        <v>0.5</v>
      </c>
      <c r="H39" s="83">
        <f>F39*G39</f>
        <v>2.6749999999999998</v>
      </c>
      <c r="I39" s="84" t="str">
        <f>CONCATENATE("a'(",C39,")=")</f>
        <v>a'(0.5)=</v>
      </c>
      <c r="J39" s="84">
        <f>2*J37/3*F40</f>
        <v>9.15</v>
      </c>
      <c r="K39" s="84" t="str">
        <f>CONCATENATE("A(",C37,")=")</f>
        <v>A(0)=</v>
      </c>
      <c r="L39" s="84">
        <f>VLOOKUP(C37,STN_TABLE,3,FALSE)</f>
        <v>0</v>
      </c>
      <c r="M39" t="str">
        <f>CONCATENATE("A(",C39,")=")</f>
        <v>A(0.5)=</v>
      </c>
      <c r="N39">
        <f>J39+L39</f>
        <v>9.15</v>
      </c>
      <c r="O39" s="99">
        <f>O38+1</f>
        <v>4</v>
      </c>
      <c r="P39" s="99">
        <f t="shared" si="10"/>
        <v>0.75</v>
      </c>
      <c r="Q39" s="82">
        <f>IF(P39-P38=P38-P37,P39,IF(P40-P38=P38-P37,P40,IF(P39-P38=P38-P36,P39,IF(P40-P38=P38-P36,P40,"-"))))</f>
        <v>0.75</v>
      </c>
      <c r="R39" s="83">
        <f>VLOOKUP(Q39,STN_TABLE,2,FALSE)</f>
        <v>5.87</v>
      </c>
      <c r="S39" s="83">
        <v>-1</v>
      </c>
      <c r="T39" s="82">
        <f>R39*S39</f>
        <v>-5.87</v>
      </c>
      <c r="U39" s="88">
        <v>-1</v>
      </c>
      <c r="V39" s="82">
        <f>R39*U39</f>
        <v>-5.87</v>
      </c>
      <c r="W39" s="84" t="str">
        <f>CONCATENATE("a'(",Q38,")=")</f>
        <v>a'(0.5)=</v>
      </c>
      <c r="X39" s="84">
        <f>2*X37/12*T40</f>
        <v>5.0149999999999997</v>
      </c>
      <c r="Y39" s="84" t="str">
        <f>CONCATENATE("A(",Q37,")=")</f>
        <v>A(0.25)=</v>
      </c>
      <c r="Z39" s="84">
        <f>VLOOKUP(Q37,STN_TABLE,3,FALSE)</f>
        <v>4.1124999999999998</v>
      </c>
      <c r="AA39" t="str">
        <f>CONCATENATE("A(",Q38,")=")</f>
        <v>A(0.5)=</v>
      </c>
      <c r="AB39">
        <f>X39+Z39</f>
        <v>9.1274999999999995</v>
      </c>
      <c r="AC39" s="99">
        <f>AC38+1</f>
        <v>3</v>
      </c>
      <c r="AD39" s="100">
        <f>VLOOKUP(AC39,STN_TABLE_2,2,FALSE)</f>
        <v>0.5</v>
      </c>
      <c r="AE39" s="82">
        <f>VLOOKUP(AD39,STN_TABLE,2,FALSE)</f>
        <v>5.35</v>
      </c>
      <c r="AF39" s="82">
        <v>2</v>
      </c>
      <c r="AG39" s="83">
        <f>AE39*AF39</f>
        <v>10.7</v>
      </c>
      <c r="AH39" s="84" t="str">
        <f>CONCATENATE("a'(",AD39,")=")</f>
        <v>a'(0.5)=</v>
      </c>
      <c r="AI39" s="84">
        <f>2*AI37/2*AE40</f>
        <v>5</v>
      </c>
      <c r="AJ39" s="84" t="str">
        <f>CONCATENATE("A(",AD38,")=")</f>
        <v>A(0.25)=</v>
      </c>
      <c r="AK39" s="84">
        <f>VLOOKUP(AD38,STN_TABLE,3,FALSE)</f>
        <v>4.1124999999999998</v>
      </c>
      <c r="AL39" t="str">
        <f>CONCATENATE("A(",AD39,")=")</f>
        <v>A(0.5)=</v>
      </c>
      <c r="AM39">
        <f>AI39+AK39</f>
        <v>9.1125000000000007</v>
      </c>
      <c r="AO39" s="68" t="str">
        <f>AA39</f>
        <v>A(0.5)=</v>
      </c>
      <c r="AP39" s="68" t="e">
        <f>VLOOKUP(AO39,Rise_Results,2,FALSE)</f>
        <v>#N/A</v>
      </c>
      <c r="AQ39" s="76">
        <f>N39</f>
        <v>9.15</v>
      </c>
      <c r="AR39" s="76">
        <f>IF(OR(AB39&lt;=0,AB40&lt;=0),1/0,AB39)</f>
        <v>9.1274999999999995</v>
      </c>
      <c r="AS39" s="76">
        <f>AM39</f>
        <v>9.1125000000000007</v>
      </c>
      <c r="AT39">
        <f>IFERROR(AP39,IFERROR(AQ39,IFERROR(AR39,AS39)))</f>
        <v>9.15</v>
      </c>
    </row>
    <row r="40" spans="1:47" x14ac:dyDescent="0.25">
      <c r="A40">
        <v>4</v>
      </c>
      <c r="F40" s="82">
        <f>SUM(F37:F39)</f>
        <v>27.450000000000003</v>
      </c>
      <c r="H40" s="82">
        <f>SUM(H37:H39)</f>
        <v>7.3250000000000002</v>
      </c>
      <c r="I40" s="84" t="str">
        <f>CONCATENATE("m'(",C39,")=")</f>
        <v>m'(0.5)=</v>
      </c>
      <c r="J40" s="84">
        <f>2*(J37*(WLS))/3*H40</f>
        <v>4.8833333333333329</v>
      </c>
      <c r="K40" s="84" t="str">
        <f>CONCATENATE("M(",C37,")=")</f>
        <v>M(0)=</v>
      </c>
      <c r="L40" s="84">
        <f>VLOOKUP(C37,STN_TABLE,4,FALSE)</f>
        <v>0</v>
      </c>
      <c r="M40" t="str">
        <f>CONCATENATE("M(",C39,")=")</f>
        <v>M(0.5)=</v>
      </c>
      <c r="N40">
        <f>J40+L40</f>
        <v>4.8833333333333329</v>
      </c>
      <c r="O40" s="99">
        <f>O39+1</f>
        <v>5</v>
      </c>
      <c r="P40" s="99">
        <f t="shared" si="10"/>
        <v>1</v>
      </c>
      <c r="T40" s="89">
        <f>SUM(T37:T39)</f>
        <v>60.18</v>
      </c>
      <c r="V40" s="82">
        <f>SUM(V37:V39)</f>
        <v>61.580000000000005</v>
      </c>
      <c r="W40" s="84" t="str">
        <f>CONCATENATE("m'(",Q38,")=")</f>
        <v>m'(0.5)=</v>
      </c>
      <c r="X40" s="84">
        <f>(2*(X37^2)/24*V40)+(X39*Q37*WLS)</f>
        <v>3.7904166666666663</v>
      </c>
      <c r="Y40" s="84" t="str">
        <f>CONCATENATE("M(",Q37,")=")</f>
        <v>M(0.25)=</v>
      </c>
      <c r="Z40" s="84">
        <f>VLOOKUP(Q37,STN_TABLE,4,FALSE)</f>
        <v>1.0760416666666666</v>
      </c>
      <c r="AA40" t="str">
        <f>CONCATENATE("M(",Q38,")=")</f>
        <v>M(0.5)=</v>
      </c>
      <c r="AB40">
        <f>X40+Z40</f>
        <v>4.8664583333333331</v>
      </c>
      <c r="AE40" s="89">
        <f>SUM(AE38:AE39)</f>
        <v>10</v>
      </c>
      <c r="AG40" s="89">
        <f>SUM(AG38:AG39)</f>
        <v>15.35</v>
      </c>
      <c r="AH40" s="84" t="str">
        <f>CONCATENATE("m'(",AD39,")=")</f>
        <v>m'(0.5)=</v>
      </c>
      <c r="AI40" s="84">
        <f>(2*(AI37^2)/6*AG40)+(AI39*AD38*WLS)</f>
        <v>3.7791666666666668</v>
      </c>
      <c r="AJ40" s="84" t="str">
        <f>CONCATENATE("M(",AD38,")=")</f>
        <v>M(0.25)=</v>
      </c>
      <c r="AK40" s="84">
        <f>VLOOKUP(AD38,STN_TABLE,4,FALSE)</f>
        <v>1.0760416666666666</v>
      </c>
      <c r="AL40" t="str">
        <f>CONCATENATE("M(",AD39,")=")</f>
        <v>M(0.5)=</v>
      </c>
      <c r="AM40">
        <f>AI40+AK40</f>
        <v>4.8552083333333336</v>
      </c>
      <c r="AO40" s="82" t="str">
        <f>AA40</f>
        <v>M(0.5)=</v>
      </c>
      <c r="AP40" s="82" t="e">
        <f>VLOOKUP(AO40,Rise_Results,2,FALSE)</f>
        <v>#N/A</v>
      </c>
      <c r="AQ40" s="82">
        <f>N40</f>
        <v>4.8833333333333329</v>
      </c>
      <c r="AR40" s="82">
        <f>IF(OR(AB39&lt;=0,AB40&lt;=0),1/0,AB40)</f>
        <v>4.8664583333333331</v>
      </c>
      <c r="AS40" s="82">
        <f>AM40</f>
        <v>4.8552083333333336</v>
      </c>
      <c r="AT40">
        <f>IFERROR(AP40,IFERROR(AQ40,IFERROR(AR40,AS40)))</f>
        <v>4.8833333333333329</v>
      </c>
    </row>
    <row r="41" spans="1:47" x14ac:dyDescent="0.25">
      <c r="A41" s="94">
        <v>0</v>
      </c>
      <c r="O41" s="101">
        <f>O36+1</f>
        <v>2</v>
      </c>
      <c r="P41" s="101">
        <f t="shared" si="10"/>
        <v>0.25</v>
      </c>
    </row>
    <row r="42" spans="1:47" x14ac:dyDescent="0.25">
      <c r="A42" s="94">
        <f>A41+1</f>
        <v>1</v>
      </c>
      <c r="B42" s="94">
        <f t="shared" ref="B42:B73" si="11">VLOOKUP(A42,STN_TABLE_2,2,FALSE)</f>
        <v>0</v>
      </c>
      <c r="C42" s="79">
        <f>IF(C43=B43,B42,IF(C43=B44,IF(C44-C43=C43-B43,B43,IF(C44-C43=C43-B42,B42,"NA"))))</f>
        <v>0.25</v>
      </c>
      <c r="D42" s="68">
        <f>VLOOKUP(C42,STN_TABLE,2,FALSE)</f>
        <v>4.6500000000000004</v>
      </c>
      <c r="E42" s="102">
        <v>1</v>
      </c>
      <c r="F42" s="68">
        <f>D42*E42</f>
        <v>4.6500000000000004</v>
      </c>
      <c r="G42" s="69">
        <f>C42</f>
        <v>0.25</v>
      </c>
      <c r="H42" s="69">
        <f>F42*G42</f>
        <v>1.1625000000000001</v>
      </c>
      <c r="I42" s="6" t="s">
        <v>93</v>
      </c>
      <c r="J42" s="70">
        <f>IF(OR(D42=0,D43=0,D44=0),"#NA",IF(AND(C44-C43=C43-C42,C43&lt;&gt;C44,C42&lt;&gt;C43,C42&lt;&gt;C44,D44&lt;&gt;0,OR(D42&lt;&gt;0,D43&lt;&gt;0)),WLS*(C44-C43),"#NA"))</f>
        <v>0.5</v>
      </c>
      <c r="O42" s="99">
        <f>O41+1</f>
        <v>3</v>
      </c>
      <c r="P42" s="99">
        <f t="shared" si="10"/>
        <v>0.5</v>
      </c>
      <c r="Q42" s="68">
        <f>IF(OR(P44-P43=P43-P42,P45-P43=P43-P42),P42,IF(OR(P44-P43=P43-P41,P45-P43=P43-P41),P41,"-"))</f>
        <v>0.5</v>
      </c>
      <c r="R42" s="69">
        <f>VLOOKUP(Q42,STN_TABLE,2,FALSE)</f>
        <v>5.35</v>
      </c>
      <c r="S42" s="69">
        <v>5</v>
      </c>
      <c r="T42" s="68">
        <f>R42*S42</f>
        <v>26.75</v>
      </c>
      <c r="U42" s="79">
        <v>3</v>
      </c>
      <c r="V42" s="68">
        <f>R42*U42</f>
        <v>16.049999999999997</v>
      </c>
      <c r="W42" s="6" t="s">
        <v>93</v>
      </c>
      <c r="X42" s="70">
        <f>IF(AND(Q44-Q43=Q43-Q42,NOT(AND(Q42=0,Q43=0)),NOT(AND(Q43=0,Q44=0))),WLS*(Q44-Q43),"#NA")</f>
        <v>0.5</v>
      </c>
      <c r="AD42" s="93"/>
      <c r="AH42" s="6" t="s">
        <v>93</v>
      </c>
      <c r="AI42" s="70">
        <f>WLS*(AD44-AD43)</f>
        <v>0.5</v>
      </c>
      <c r="AU42" s="81"/>
    </row>
    <row r="43" spans="1:47" x14ac:dyDescent="0.25">
      <c r="A43" s="94">
        <f>A42+1</f>
        <v>2</v>
      </c>
      <c r="B43" s="94">
        <f t="shared" si="11"/>
        <v>0.25</v>
      </c>
      <c r="C43" s="80">
        <f>IF(OR(B45-B44=B44-B43,B45-B44=B44-B42,),B44,IF(B45-B43=B43-B42,B43,"#NA"))</f>
        <v>0.5</v>
      </c>
      <c r="D43" s="76">
        <f>VLOOKUP(C43,STN_TABLE,2,FALSE)</f>
        <v>5.35</v>
      </c>
      <c r="E43" s="81">
        <v>4</v>
      </c>
      <c r="F43" s="76">
        <f>D43*E43</f>
        <v>21.4</v>
      </c>
      <c r="G43" s="77">
        <f>C43</f>
        <v>0.5</v>
      </c>
      <c r="H43" s="77">
        <f>F43*G43</f>
        <v>10.7</v>
      </c>
      <c r="I43" s="496" t="s">
        <v>97</v>
      </c>
      <c r="J43" s="496"/>
      <c r="K43" s="78" t="s">
        <v>98</v>
      </c>
      <c r="L43" s="78"/>
      <c r="M43" s="7" t="s">
        <v>99</v>
      </c>
      <c r="N43" s="7"/>
      <c r="O43" s="99">
        <f>O42+1</f>
        <v>4</v>
      </c>
      <c r="P43" s="99">
        <f t="shared" si="10"/>
        <v>0.75</v>
      </c>
      <c r="Q43" s="76">
        <f>P43</f>
        <v>0.75</v>
      </c>
      <c r="R43" s="77">
        <f>VLOOKUP(Q43,STN_TABLE,2,FALSE)</f>
        <v>5.87</v>
      </c>
      <c r="S43" s="77">
        <v>8</v>
      </c>
      <c r="T43" s="76">
        <f>R43*S43</f>
        <v>46.96</v>
      </c>
      <c r="U43" s="80">
        <v>10</v>
      </c>
      <c r="V43" s="76">
        <f>R43*U43</f>
        <v>58.7</v>
      </c>
      <c r="W43" s="496" t="s">
        <v>97</v>
      </c>
      <c r="X43" s="496"/>
      <c r="Y43" s="496" t="s">
        <v>98</v>
      </c>
      <c r="Z43" s="496"/>
      <c r="AA43" s="494" t="s">
        <v>99</v>
      </c>
      <c r="AB43" s="494"/>
      <c r="AC43" s="99">
        <f>AC38+1</f>
        <v>3</v>
      </c>
      <c r="AD43" s="95">
        <f>VLOOKUP(AC43,STN_TABLE_2,2,FALSE)</f>
        <v>0.5</v>
      </c>
      <c r="AE43" s="68">
        <f>VLOOKUP(AD43,STN_TABLE,2,FALSE)</f>
        <v>5.35</v>
      </c>
      <c r="AF43" s="68">
        <v>1</v>
      </c>
      <c r="AG43" s="69">
        <f>AE43*AF43</f>
        <v>5.35</v>
      </c>
      <c r="AH43" s="496" t="s">
        <v>97</v>
      </c>
      <c r="AI43" s="496"/>
      <c r="AJ43" s="496" t="s">
        <v>98</v>
      </c>
      <c r="AK43" s="496"/>
      <c r="AL43" s="494" t="s">
        <v>99</v>
      </c>
      <c r="AM43" s="494"/>
      <c r="AP43" s="86" t="s">
        <v>112</v>
      </c>
      <c r="AQ43" s="89" t="s">
        <v>113</v>
      </c>
      <c r="AR43" s="89" t="s">
        <v>114</v>
      </c>
      <c r="AS43" s="89" t="s">
        <v>115</v>
      </c>
      <c r="AU43" s="81"/>
    </row>
    <row r="44" spans="1:47" x14ac:dyDescent="0.25">
      <c r="A44" s="94">
        <f>A43+1</f>
        <v>3</v>
      </c>
      <c r="B44" s="94">
        <f t="shared" si="11"/>
        <v>0.5</v>
      </c>
      <c r="C44" s="88">
        <f>B45</f>
        <v>0.75</v>
      </c>
      <c r="D44" s="82">
        <f>VLOOKUP(C44,STN_TABLE,2,FALSE)</f>
        <v>5.87</v>
      </c>
      <c r="E44" s="92">
        <v>1</v>
      </c>
      <c r="F44" s="82">
        <f>D44*E44</f>
        <v>5.87</v>
      </c>
      <c r="G44" s="83">
        <f>C44</f>
        <v>0.75</v>
      </c>
      <c r="H44" s="83">
        <f>F44*G44</f>
        <v>4.4024999999999999</v>
      </c>
      <c r="I44" s="84" t="str">
        <f>CONCATENATE("a'(",C44,")=")</f>
        <v>a'(0.75)=</v>
      </c>
      <c r="J44" s="84">
        <f>2*J42/3*F45</f>
        <v>10.639999999999999</v>
      </c>
      <c r="K44" s="84" t="str">
        <f>CONCATENATE("A(",C42,")=")</f>
        <v>A(0.25)=</v>
      </c>
      <c r="L44" s="84">
        <f>VLOOKUP(C42,STN_TABLE,3,FALSE)</f>
        <v>4.1124999999999998</v>
      </c>
      <c r="M44" t="str">
        <f>CONCATENATE("A(",C44,")=")</f>
        <v>A(0.75)=</v>
      </c>
      <c r="N44">
        <f>J44+L44</f>
        <v>14.752499999999998</v>
      </c>
      <c r="O44" s="99">
        <f>O43+1</f>
        <v>5</v>
      </c>
      <c r="P44" s="99">
        <f t="shared" si="10"/>
        <v>1</v>
      </c>
      <c r="Q44" s="82">
        <f>IF(P44-P43=P43-P42,P44,IF(P45-P43=P43-P42,P45,IF(P44-P43=P43-P41,P44,IF(P45-P43=P43-P41,P45,"-"))))</f>
        <v>1</v>
      </c>
      <c r="R44" s="83">
        <f>VLOOKUP(Q44,STN_TABLE,2,FALSE)</f>
        <v>6.21</v>
      </c>
      <c r="S44" s="83">
        <v>-1</v>
      </c>
      <c r="T44" s="82">
        <f>R44*S44</f>
        <v>-6.21</v>
      </c>
      <c r="U44" s="88">
        <v>-1</v>
      </c>
      <c r="V44" s="82">
        <f>R44*U44</f>
        <v>-6.21</v>
      </c>
      <c r="W44" s="84" t="str">
        <f>CONCATENATE("a'(",Q43,")=")</f>
        <v>a'(0.75)=</v>
      </c>
      <c r="X44" s="84">
        <f>2*X42/12*T45</f>
        <v>5.6250000000000009</v>
      </c>
      <c r="Y44" s="84" t="str">
        <f>CONCATENATE("A(",Q42,")=")</f>
        <v>A(0.5)=</v>
      </c>
      <c r="Z44" s="84">
        <f>VLOOKUP(Q42,STN_TABLE,3,FALSE)</f>
        <v>9.15</v>
      </c>
      <c r="AA44" t="str">
        <f>CONCATENATE("A(",Q43,")=")</f>
        <v>A(0.75)=</v>
      </c>
      <c r="AB44">
        <f>X44+Z44</f>
        <v>14.775000000000002</v>
      </c>
      <c r="AC44" s="99">
        <f>AC43+1</f>
        <v>4</v>
      </c>
      <c r="AD44" s="100">
        <f>VLOOKUP(AC44,STN_TABLE_2,2,FALSE)</f>
        <v>0.75</v>
      </c>
      <c r="AE44" s="82">
        <f>VLOOKUP(AD44,STN_TABLE,2,FALSE)</f>
        <v>5.87</v>
      </c>
      <c r="AF44" s="82">
        <v>2</v>
      </c>
      <c r="AG44" s="83">
        <f>AE44*AF44</f>
        <v>11.74</v>
      </c>
      <c r="AH44" s="84" t="str">
        <f>CONCATENATE("a'(",AD44,")=")</f>
        <v>a'(0.75)=</v>
      </c>
      <c r="AI44" s="84">
        <f>2*AI42/2*AE45</f>
        <v>5.6099999999999994</v>
      </c>
      <c r="AJ44" s="84" t="str">
        <f>CONCATENATE("A(",AD43,")=")</f>
        <v>A(0.5)=</v>
      </c>
      <c r="AK44" s="84">
        <f>VLOOKUP(AD43,STN_TABLE,3,FALSE)</f>
        <v>9.15</v>
      </c>
      <c r="AL44" t="str">
        <f>CONCATENATE("A(",AD44,")=")</f>
        <v>A(0.75)=</v>
      </c>
      <c r="AM44">
        <f>AI44+AK44</f>
        <v>14.76</v>
      </c>
      <c r="AO44" s="68" t="str">
        <f>AA44</f>
        <v>A(0.75)=</v>
      </c>
      <c r="AP44" s="68" t="e">
        <f>VLOOKUP(AO44,Rise_Results,2,FALSE)</f>
        <v>#N/A</v>
      </c>
      <c r="AQ44" s="76">
        <f>N44</f>
        <v>14.752499999999998</v>
      </c>
      <c r="AR44" s="76">
        <f>IF(OR(AB44&lt;=0,AB45&lt;=0),1/0,AB44)</f>
        <v>14.775000000000002</v>
      </c>
      <c r="AS44" s="76">
        <f>AM44</f>
        <v>14.76</v>
      </c>
      <c r="AT44">
        <f>IFERROR(AP44,IFERROR(AQ44,IFERROR(AR44,AS44)))</f>
        <v>14.752499999999998</v>
      </c>
      <c r="AU44" s="81"/>
    </row>
    <row r="45" spans="1:47" x14ac:dyDescent="0.25">
      <c r="A45" s="94">
        <f>A44+1</f>
        <v>4</v>
      </c>
      <c r="B45" s="94">
        <f t="shared" si="11"/>
        <v>0.75</v>
      </c>
      <c r="F45" s="82">
        <f>SUM(F42:F44)</f>
        <v>31.919999999999998</v>
      </c>
      <c r="H45" s="82">
        <f>SUM(H42:H44)</f>
        <v>16.265000000000001</v>
      </c>
      <c r="I45" s="84" t="str">
        <f>CONCATENATE("m'(",C44,")=")</f>
        <v>m'(0.75)=</v>
      </c>
      <c r="J45" s="84">
        <f>2*(J42*(WLS))/3*H45</f>
        <v>10.843333333333334</v>
      </c>
      <c r="K45" s="84" t="str">
        <f>CONCATENATE("M(",C42,")=")</f>
        <v>M(0.25)=</v>
      </c>
      <c r="L45" s="84">
        <f>VLOOKUP(C42,STN_TABLE,4,FALSE)</f>
        <v>1.0760416666666666</v>
      </c>
      <c r="M45" t="str">
        <f>CONCATENATE("M(",C44,")=")</f>
        <v>M(0.75)=</v>
      </c>
      <c r="N45">
        <f>J45+L45</f>
        <v>11.919375</v>
      </c>
      <c r="O45" s="99">
        <f>O44+1</f>
        <v>6</v>
      </c>
      <c r="P45" s="99">
        <f t="shared" si="10"/>
        <v>2</v>
      </c>
      <c r="T45" s="89">
        <f>SUM(T42:T44)</f>
        <v>67.500000000000014</v>
      </c>
      <c r="V45" s="82">
        <f>SUM(V42:V44)</f>
        <v>68.540000000000006</v>
      </c>
      <c r="W45" s="84" t="str">
        <f>CONCATENATE("m'(",Q43,")=")</f>
        <v>m'(0.75)=</v>
      </c>
      <c r="X45" s="84">
        <f>(2*(X42^2)/24*V45)+(X44*Q42*WLS)</f>
        <v>7.0529166666666674</v>
      </c>
      <c r="Y45" s="84" t="str">
        <f>CONCATENATE("M(",Q42,")=")</f>
        <v>M(0.5)=</v>
      </c>
      <c r="Z45" s="84">
        <f>VLOOKUP(Q42,STN_TABLE,4,FALSE)</f>
        <v>4.8833333333333329</v>
      </c>
      <c r="AA45" t="str">
        <f>CONCATENATE("M(",Q43,")=")</f>
        <v>M(0.75)=</v>
      </c>
      <c r="AB45">
        <f>X45+Z45</f>
        <v>11.936250000000001</v>
      </c>
      <c r="AE45" s="89">
        <f>SUM(AE43:AE44)</f>
        <v>11.219999999999999</v>
      </c>
      <c r="AG45" s="89">
        <f>SUM(AG43:AG44)</f>
        <v>17.09</v>
      </c>
      <c r="AH45" s="84" t="str">
        <f>CONCATENATE("m'(",AD44,")=")</f>
        <v>m'(0.75)=</v>
      </c>
      <c r="AI45" s="84">
        <f>(2*(AI42^2)/6*AG45)+(AI44*AD43*WLS)</f>
        <v>7.0341666666666658</v>
      </c>
      <c r="AJ45" s="84" t="str">
        <f>CONCATENATE("M(",AD43,")=")</f>
        <v>M(0.5)=</v>
      </c>
      <c r="AK45" s="84">
        <f>VLOOKUP(AD43,STN_TABLE,4,FALSE)</f>
        <v>4.8833333333333329</v>
      </c>
      <c r="AL45" t="str">
        <f>CONCATENATE("M(",AD44,")=")</f>
        <v>M(0.75)=</v>
      </c>
      <c r="AM45">
        <f>AI45+AK45</f>
        <v>11.917499999999999</v>
      </c>
      <c r="AO45" s="82" t="str">
        <f>AA45</f>
        <v>M(0.75)=</v>
      </c>
      <c r="AP45" s="82" t="e">
        <f>VLOOKUP(AO45,Rise_Results,2,FALSE)</f>
        <v>#N/A</v>
      </c>
      <c r="AQ45" s="82">
        <f>N45</f>
        <v>11.919375</v>
      </c>
      <c r="AR45" s="82">
        <f>IF(OR(AB44&lt;=0,AB45&lt;=0),1/0,AB45)</f>
        <v>11.936250000000001</v>
      </c>
      <c r="AS45" s="82">
        <f>AM45</f>
        <v>11.917499999999999</v>
      </c>
      <c r="AT45">
        <f>IFERROR(AP45,IFERROR(AQ45,IFERROR(AR45,AS45)))</f>
        <v>11.919375</v>
      </c>
      <c r="AU45" s="81"/>
    </row>
    <row r="46" spans="1:47" x14ac:dyDescent="0.25">
      <c r="A46" s="101">
        <f>A41+1</f>
        <v>1</v>
      </c>
      <c r="B46" s="101">
        <f t="shared" si="11"/>
        <v>0</v>
      </c>
      <c r="O46" s="101">
        <f>O41+1</f>
        <v>3</v>
      </c>
      <c r="P46" s="101">
        <f t="shared" si="10"/>
        <v>0.5</v>
      </c>
      <c r="AU46" s="81"/>
    </row>
    <row r="47" spans="1:47" x14ac:dyDescent="0.25">
      <c r="A47" s="84">
        <f>A46+1</f>
        <v>2</v>
      </c>
      <c r="B47" s="84">
        <f t="shared" si="11"/>
        <v>0.25</v>
      </c>
      <c r="C47" s="79">
        <f>IF(C48=B49,IF(C49-C48=C48-B48,B48,IF(C49-C48=C48-B47,B47,"#NA")),IF(C48=B48,IF(C49-C48=C48-B47,B47,IF(C49-C48=C48-B46,B46,"#NA")),"#NA"))</f>
        <v>0.5</v>
      </c>
      <c r="D47" s="68">
        <f>VLOOKUP(C47,STN_TABLE,2,FALSE)</f>
        <v>5.35</v>
      </c>
      <c r="E47" s="102">
        <v>1</v>
      </c>
      <c r="F47" s="68">
        <f>D47*E47</f>
        <v>5.35</v>
      </c>
      <c r="G47" s="69">
        <f>C47</f>
        <v>0.5</v>
      </c>
      <c r="H47" s="69">
        <f>F47*G47</f>
        <v>2.6749999999999998</v>
      </c>
      <c r="I47" s="6" t="s">
        <v>93</v>
      </c>
      <c r="J47" s="70">
        <f>IF(OR(D47=0,D48=0,D49=0),"#NA",IF(AND(C49-C48=C48-C47,C48&lt;&gt;C49,C47&lt;&gt;C48,C47&lt;&gt;C49,D49&lt;&gt;0,OR(D47&lt;&gt;0,D48&lt;&gt;0)),WLS*(C49-C48),"#NA"))</f>
        <v>0.5</v>
      </c>
      <c r="O47" s="99">
        <f>O46+1</f>
        <v>4</v>
      </c>
      <c r="P47" s="99">
        <f t="shared" si="10"/>
        <v>0.75</v>
      </c>
      <c r="Q47" s="68" t="str">
        <f>IF(OR(P49-P48=P48-P47,P50-P48=P48-P47),P47,IF(OR(P49-P48=P48-P46,P50-P48=P48-P46),P46,"-"))</f>
        <v>-</v>
      </c>
      <c r="R47" s="69" t="e">
        <f>VLOOKUP(Q47,STN_TABLE,2,FALSE)</f>
        <v>#N/A</v>
      </c>
      <c r="S47" s="69">
        <v>5</v>
      </c>
      <c r="T47" s="68" t="e">
        <f>R47*S47</f>
        <v>#N/A</v>
      </c>
      <c r="U47" s="79">
        <v>3</v>
      </c>
      <c r="V47" s="68" t="e">
        <f>R47*U47</f>
        <v>#N/A</v>
      </c>
      <c r="W47" s="6" t="s">
        <v>93</v>
      </c>
      <c r="X47" s="70" t="e">
        <f>IF(AND(Q49-Q48=Q48-Q47,NOT(AND(Q47=0,Q48=0)),NOT(AND(Q48=0,Q49=0))),WLS*(Q49-Q48),"#NA")</f>
        <v>#VALUE!</v>
      </c>
      <c r="AD47" s="93"/>
      <c r="AH47" s="6" t="s">
        <v>93</v>
      </c>
      <c r="AI47" s="70">
        <f>WLS*(AD49-AD48)</f>
        <v>0.5</v>
      </c>
      <c r="AU47" s="81"/>
    </row>
    <row r="48" spans="1:47" x14ac:dyDescent="0.25">
      <c r="A48" s="84">
        <f>A47+1</f>
        <v>3</v>
      </c>
      <c r="B48" s="84">
        <f t="shared" si="11"/>
        <v>0.5</v>
      </c>
      <c r="C48" s="80">
        <f>IF(OR(B50-B49=B49-B48,B50-B49=B49-B47,B50-B49=B49-B46),B49,IF(OR(B50-B48=B48-B47,B50-B48=B48-B46),B48,IF(B50-B47=B47-B46,B47,"#NA")))</f>
        <v>0.75</v>
      </c>
      <c r="D48" s="76">
        <f>VLOOKUP(C48,STN_TABLE,2,FALSE)</f>
        <v>5.87</v>
      </c>
      <c r="E48" s="81">
        <v>4</v>
      </c>
      <c r="F48" s="76">
        <f>D48*E48</f>
        <v>23.48</v>
      </c>
      <c r="G48" s="77">
        <f>C48</f>
        <v>0.75</v>
      </c>
      <c r="H48" s="77">
        <f>F48*G48</f>
        <v>17.61</v>
      </c>
      <c r="I48" s="496" t="s">
        <v>97</v>
      </c>
      <c r="J48" s="496"/>
      <c r="K48" s="78" t="s">
        <v>98</v>
      </c>
      <c r="L48" s="78"/>
      <c r="M48" s="7" t="s">
        <v>99</v>
      </c>
      <c r="N48" s="7"/>
      <c r="O48" s="99">
        <f>O47+1</f>
        <v>5</v>
      </c>
      <c r="P48" s="99">
        <f t="shared" si="10"/>
        <v>1</v>
      </c>
      <c r="Q48" s="76">
        <f>P48</f>
        <v>1</v>
      </c>
      <c r="R48" s="77">
        <f>VLOOKUP(Q48,STN_TABLE,2,FALSE)</f>
        <v>6.21</v>
      </c>
      <c r="S48" s="77">
        <v>8</v>
      </c>
      <c r="T48" s="76">
        <f>R48*S48</f>
        <v>49.68</v>
      </c>
      <c r="U48" s="80">
        <v>10</v>
      </c>
      <c r="V48" s="76">
        <f>R48*U48</f>
        <v>62.1</v>
      </c>
      <c r="W48" s="496" t="s">
        <v>97</v>
      </c>
      <c r="X48" s="496"/>
      <c r="Y48" s="496" t="s">
        <v>98</v>
      </c>
      <c r="Z48" s="496"/>
      <c r="AA48" s="494" t="s">
        <v>99</v>
      </c>
      <c r="AB48" s="494"/>
      <c r="AC48" s="99">
        <f>AC43+1</f>
        <v>4</v>
      </c>
      <c r="AD48" s="95">
        <f>VLOOKUP(AC48,STN_TABLE_2,2,FALSE)</f>
        <v>0.75</v>
      </c>
      <c r="AE48" s="68">
        <f>VLOOKUP(AD48,STN_TABLE,2,FALSE)</f>
        <v>5.87</v>
      </c>
      <c r="AF48" s="68">
        <v>1</v>
      </c>
      <c r="AG48" s="69">
        <f>AE48*AF48</f>
        <v>5.87</v>
      </c>
      <c r="AH48" s="496" t="s">
        <v>97</v>
      </c>
      <c r="AI48" s="496"/>
      <c r="AJ48" s="496" t="s">
        <v>98</v>
      </c>
      <c r="AK48" s="496"/>
      <c r="AL48" s="494" t="s">
        <v>99</v>
      </c>
      <c r="AM48" s="494"/>
      <c r="AP48" s="86" t="s">
        <v>112</v>
      </c>
      <c r="AQ48" s="89" t="s">
        <v>113</v>
      </c>
      <c r="AR48" s="89" t="s">
        <v>114</v>
      </c>
      <c r="AS48" s="89" t="s">
        <v>115</v>
      </c>
      <c r="AU48" s="81"/>
    </row>
    <row r="49" spans="1:47" x14ac:dyDescent="0.25">
      <c r="A49" s="84">
        <f>A48+1</f>
        <v>4</v>
      </c>
      <c r="B49" s="84">
        <f t="shared" si="11"/>
        <v>0.75</v>
      </c>
      <c r="C49" s="88">
        <f>B50</f>
        <v>1</v>
      </c>
      <c r="D49" s="82">
        <f>VLOOKUP(C49,STN_TABLE,2,FALSE)</f>
        <v>6.21</v>
      </c>
      <c r="E49" s="92">
        <v>1</v>
      </c>
      <c r="F49" s="82">
        <f>D49*E49</f>
        <v>6.21</v>
      </c>
      <c r="G49" s="83">
        <f>C49</f>
        <v>1</v>
      </c>
      <c r="H49" s="83">
        <f>F49*G49</f>
        <v>6.21</v>
      </c>
      <c r="I49" s="84" t="str">
        <f>CONCATENATE("a'(",C49,")=")</f>
        <v>a'(1)=</v>
      </c>
      <c r="J49" s="84">
        <f>2*J47/3*F50</f>
        <v>11.68</v>
      </c>
      <c r="K49" s="84" t="str">
        <f>CONCATENATE("A(",C47,")=")</f>
        <v>A(0.5)=</v>
      </c>
      <c r="L49" s="84">
        <f>VLOOKUP(C47,STN_TABLE,3,FALSE)</f>
        <v>9.15</v>
      </c>
      <c r="M49" t="str">
        <f>CONCATENATE("A(",C49,")=")</f>
        <v>A(1)=</v>
      </c>
      <c r="N49">
        <f>J49+L49</f>
        <v>20.83</v>
      </c>
      <c r="O49" s="99">
        <f>O48+1</f>
        <v>6</v>
      </c>
      <c r="P49" s="99">
        <f t="shared" si="10"/>
        <v>2</v>
      </c>
      <c r="Q49" s="82" t="str">
        <f>IF(P49-P48=P48-P47,P49,IF(P50-P48=P48-P47,P50,IF(P49-P48=P48-P46,P49,IF(P50-P48=P48-P46,P50,"-"))))</f>
        <v>-</v>
      </c>
      <c r="R49" s="83" t="e">
        <f>VLOOKUP(Q49,STN_TABLE,2,FALSE)</f>
        <v>#N/A</v>
      </c>
      <c r="S49" s="83">
        <v>-1</v>
      </c>
      <c r="T49" s="82" t="e">
        <f>R49*S49</f>
        <v>#N/A</v>
      </c>
      <c r="U49" s="88">
        <v>-1</v>
      </c>
      <c r="V49" s="82" t="e">
        <f>R49*U49</f>
        <v>#N/A</v>
      </c>
      <c r="W49" s="84" t="str">
        <f>CONCATENATE("a'(",Q48,")=")</f>
        <v>a'(1)=</v>
      </c>
      <c r="X49" s="84" t="e">
        <f>2*X47/12*T50</f>
        <v>#VALUE!</v>
      </c>
      <c r="Y49" s="84" t="str">
        <f>CONCATENATE("A(",Q47,")=")</f>
        <v>A(-)=</v>
      </c>
      <c r="Z49" s="84" t="e">
        <f>VLOOKUP(Q47,STN_TABLE,3,FALSE)</f>
        <v>#N/A</v>
      </c>
      <c r="AA49" t="str">
        <f>CONCATENATE("A(",Q48,")=")</f>
        <v>A(1)=</v>
      </c>
      <c r="AB49" t="e">
        <f>X49+Z49</f>
        <v>#VALUE!</v>
      </c>
      <c r="AC49" s="99">
        <f>AC48+1</f>
        <v>5</v>
      </c>
      <c r="AD49" s="100">
        <f>VLOOKUP(AC49,STN_TABLE_2,2,FALSE)</f>
        <v>1</v>
      </c>
      <c r="AE49" s="82">
        <f>VLOOKUP(AD49,STN_TABLE,2,FALSE)</f>
        <v>6.21</v>
      </c>
      <c r="AF49" s="82">
        <v>2</v>
      </c>
      <c r="AG49" s="83">
        <f>AE49*AF49</f>
        <v>12.42</v>
      </c>
      <c r="AH49" s="84" t="str">
        <f>CONCATENATE("a'(",AD49,")=")</f>
        <v>a'(1)=</v>
      </c>
      <c r="AI49" s="84">
        <f>2*AI47/2*AE50</f>
        <v>6.04</v>
      </c>
      <c r="AJ49" s="84" t="str">
        <f>CONCATENATE("A(",AD48,")=")</f>
        <v>A(0.75)=</v>
      </c>
      <c r="AK49" s="84">
        <f>VLOOKUP(AD48,STN_TABLE,3,FALSE)</f>
        <v>14.752499999999998</v>
      </c>
      <c r="AL49" t="str">
        <f>CONCATENATE("A(",AD49,")=")</f>
        <v>A(1)=</v>
      </c>
      <c r="AM49">
        <f>AI49+AK49</f>
        <v>20.792499999999997</v>
      </c>
      <c r="AO49" s="68" t="str">
        <f>AA49</f>
        <v>A(1)=</v>
      </c>
      <c r="AP49" s="68" t="e">
        <f>VLOOKUP(AO49,Rise_Results,2,FALSE)</f>
        <v>#N/A</v>
      </c>
      <c r="AQ49" s="76">
        <f>N49</f>
        <v>20.83</v>
      </c>
      <c r="AR49" s="76" t="e">
        <f>IF(OR(AB49&lt;=0,AB50&lt;=0),1/0,AB49)</f>
        <v>#VALUE!</v>
      </c>
      <c r="AS49" s="76">
        <f>AM49</f>
        <v>20.792499999999997</v>
      </c>
      <c r="AT49">
        <f>IFERROR(AP49,IFERROR(AQ49,IFERROR(AR49,AS49)))</f>
        <v>20.83</v>
      </c>
      <c r="AU49" s="81"/>
    </row>
    <row r="50" spans="1:47" x14ac:dyDescent="0.25">
      <c r="A50" s="84">
        <f>A49+1</f>
        <v>5</v>
      </c>
      <c r="B50" s="84">
        <f t="shared" si="11"/>
        <v>1</v>
      </c>
      <c r="F50" s="82">
        <f>SUM(F47:F49)</f>
        <v>35.04</v>
      </c>
      <c r="H50" s="82">
        <f>SUM(H47:H49)</f>
        <v>26.495000000000001</v>
      </c>
      <c r="I50" s="84" t="str">
        <f>CONCATENATE("m'(",C49,")=")</f>
        <v>m'(1)=</v>
      </c>
      <c r="J50" s="84">
        <f>2*(J47*(WLS))/3*H50</f>
        <v>17.663333333333334</v>
      </c>
      <c r="K50" s="84" t="str">
        <f>CONCATENATE("M(",C47,")=")</f>
        <v>M(0.5)=</v>
      </c>
      <c r="L50" s="84">
        <f>VLOOKUP(C47,STN_TABLE,4,FALSE)</f>
        <v>4.8833333333333329</v>
      </c>
      <c r="M50" t="str">
        <f>CONCATENATE("M(",C49,")=")</f>
        <v>M(1)=</v>
      </c>
      <c r="N50">
        <f>J50+L50</f>
        <v>22.546666666666667</v>
      </c>
      <c r="O50" s="99">
        <f>O49+1</f>
        <v>7</v>
      </c>
      <c r="P50" s="99">
        <f t="shared" si="10"/>
        <v>3</v>
      </c>
      <c r="T50" s="89" t="e">
        <f>SUM(T47:T49)</f>
        <v>#N/A</v>
      </c>
      <c r="V50" s="82" t="e">
        <f>SUM(V47:V49)</f>
        <v>#N/A</v>
      </c>
      <c r="W50" s="84" t="str">
        <f>CONCATENATE("m'(",Q48,")=")</f>
        <v>m'(1)=</v>
      </c>
      <c r="X50" s="84" t="e">
        <f>(2*(X47^2)/24*V50)+(X49*Q47*WLS)</f>
        <v>#VALUE!</v>
      </c>
      <c r="Y50" s="84" t="str">
        <f>CONCATENATE("M(",Q47,")=")</f>
        <v>M(-)=</v>
      </c>
      <c r="Z50" s="84" t="e">
        <f>VLOOKUP(Q47,STN_TABLE,4,FALSE)</f>
        <v>#N/A</v>
      </c>
      <c r="AA50" t="str">
        <f>CONCATENATE("M(",Q48,")=")</f>
        <v>M(1)=</v>
      </c>
      <c r="AB50" t="e">
        <f>X50+Z50</f>
        <v>#VALUE!</v>
      </c>
      <c r="AE50" s="89">
        <f>SUM(AE48:AE49)</f>
        <v>12.08</v>
      </c>
      <c r="AG50" s="89">
        <f>SUM(AG48:AG49)</f>
        <v>18.29</v>
      </c>
      <c r="AH50" s="84" t="str">
        <f>CONCATENATE("m'(",AD49,")=")</f>
        <v>m'(1)=</v>
      </c>
      <c r="AI50" s="84">
        <f>(2*(AI47^2)/6*AG50)+(AI49*AD48*WLS)</f>
        <v>10.584166666666667</v>
      </c>
      <c r="AJ50" s="84" t="str">
        <f>CONCATENATE("M(",AD48,")=")</f>
        <v>M(0.75)=</v>
      </c>
      <c r="AK50" s="84">
        <f>VLOOKUP(AD48,STN_TABLE,4,FALSE)</f>
        <v>11.919375</v>
      </c>
      <c r="AL50" t="str">
        <f>CONCATENATE("M(",AD49,")=")</f>
        <v>M(1)=</v>
      </c>
      <c r="AM50">
        <f>AI50+AK50</f>
        <v>22.503541666666667</v>
      </c>
      <c r="AO50" s="82" t="str">
        <f>AA50</f>
        <v>M(1)=</v>
      </c>
      <c r="AP50" s="82" t="e">
        <f>VLOOKUP(AO50,Rise_Results,2,FALSE)</f>
        <v>#N/A</v>
      </c>
      <c r="AQ50" s="82">
        <f>N50</f>
        <v>22.546666666666667</v>
      </c>
      <c r="AR50" s="82" t="e">
        <f>IF(OR(AB49&lt;=0,AB50&lt;=0),1/0,AB50)</f>
        <v>#VALUE!</v>
      </c>
      <c r="AS50" s="82">
        <f>AM50</f>
        <v>22.503541666666667</v>
      </c>
      <c r="AT50">
        <f>IFERROR(AP50,IFERROR(AQ50,IFERROR(AR50,AS50)))</f>
        <v>22.546666666666667</v>
      </c>
      <c r="AU50" s="81"/>
    </row>
    <row r="51" spans="1:47" x14ac:dyDescent="0.25">
      <c r="A51" s="101">
        <f>A46+1</f>
        <v>2</v>
      </c>
      <c r="B51" s="101">
        <f t="shared" si="11"/>
        <v>0.25</v>
      </c>
      <c r="O51" s="101">
        <f>O46+1</f>
        <v>4</v>
      </c>
      <c r="P51" s="101">
        <f t="shared" si="10"/>
        <v>0.75</v>
      </c>
      <c r="AU51" s="81"/>
    </row>
    <row r="52" spans="1:47" x14ac:dyDescent="0.25">
      <c r="A52" s="84">
        <f>A51+1</f>
        <v>3</v>
      </c>
      <c r="B52" s="84">
        <f t="shared" si="11"/>
        <v>0.5</v>
      </c>
      <c r="C52" s="79" t="str">
        <f t="shared" ref="C52" si="12">IF(C53=B54,IF(C54-C53=C53-B53,B53,IF(C54-C53=C53-B52,B52,"#NA")),IF(C53=B53,IF(C54-C53=C53-B52,B52,IF(C54-C53=C53-B51,B51,"#NA")),"#NA"))</f>
        <v>#NA</v>
      </c>
      <c r="D52" s="68" t="e">
        <f>VLOOKUP(C52,STN_TABLE,2,FALSE)</f>
        <v>#N/A</v>
      </c>
      <c r="E52" s="102">
        <v>1</v>
      </c>
      <c r="F52" s="68" t="e">
        <f>D52*E52</f>
        <v>#N/A</v>
      </c>
      <c r="G52" s="69" t="str">
        <f>C52</f>
        <v>#NA</v>
      </c>
      <c r="H52" s="69" t="e">
        <f>F52*G52</f>
        <v>#N/A</v>
      </c>
      <c r="I52" s="6" t="s">
        <v>93</v>
      </c>
      <c r="J52" s="70" t="e">
        <f>IF(OR(D52=0,D53=0,D54=0),"#NA",IF(AND(C54-C53=C53-C52,C53&lt;&gt;C54,C52&lt;&gt;C53,C52&lt;&gt;C54,D54&lt;&gt;0,OR(D52&lt;&gt;0,D53&lt;&gt;0)),WLS*(C54-C53),"#NA"))</f>
        <v>#N/A</v>
      </c>
      <c r="O52" s="99">
        <f>O51+1</f>
        <v>5</v>
      </c>
      <c r="P52" s="99">
        <f t="shared" si="10"/>
        <v>1</v>
      </c>
      <c r="Q52" s="68">
        <f>IF(OR(P54-P53=P53-P52,P55-P53=P53-P52),P52,IF(OR(P54-P53=P53-P51,P55-P53=P53-P51),P51,"-"))</f>
        <v>1</v>
      </c>
      <c r="R52" s="69">
        <f>VLOOKUP(Q52,STN_TABLE,2,FALSE)</f>
        <v>6.21</v>
      </c>
      <c r="S52" s="69">
        <v>5</v>
      </c>
      <c r="T52" s="68">
        <f>R52*S52</f>
        <v>31.05</v>
      </c>
      <c r="U52" s="79">
        <v>3</v>
      </c>
      <c r="V52" s="68">
        <f>R52*U52</f>
        <v>18.63</v>
      </c>
      <c r="W52" s="6" t="s">
        <v>93</v>
      </c>
      <c r="X52" s="70">
        <f>IF(AND(Q54-Q53=Q53-Q52,NOT(AND(Q52=0,Q53=0)),NOT(AND(Q53=0,Q54=0))),WLS*(Q54-Q53),"#NA")</f>
        <v>2</v>
      </c>
      <c r="AD52" s="93"/>
      <c r="AH52" s="6" t="s">
        <v>93</v>
      </c>
      <c r="AI52" s="70">
        <f>WLS*(AD54-AD53)</f>
        <v>2</v>
      </c>
      <c r="AU52" s="81"/>
    </row>
    <row r="53" spans="1:47" x14ac:dyDescent="0.25">
      <c r="A53" s="84">
        <f>A52+1</f>
        <v>4</v>
      </c>
      <c r="B53" s="84">
        <f t="shared" si="11"/>
        <v>0.75</v>
      </c>
      <c r="C53" s="80" t="str">
        <f t="shared" ref="C53" si="13">IF(OR(B55-B54=B54-B53,B55-B54=B54-B52,B55-B54=B54-B51),B54,IF(OR(B55-B53=B53-B52,B55-B53=B53-B51),B53,IF(B55-B52=B52-B51,B52,"#NA")))</f>
        <v>#NA</v>
      </c>
      <c r="D53" s="76" t="e">
        <f>VLOOKUP(C53,STN_TABLE,2,FALSE)</f>
        <v>#N/A</v>
      </c>
      <c r="E53" s="81">
        <v>4</v>
      </c>
      <c r="F53" s="76" t="e">
        <f>D53*E53</f>
        <v>#N/A</v>
      </c>
      <c r="G53" s="77" t="str">
        <f>C53</f>
        <v>#NA</v>
      </c>
      <c r="H53" s="77" t="e">
        <f>F53*G53</f>
        <v>#N/A</v>
      </c>
      <c r="I53" s="495" t="s">
        <v>97</v>
      </c>
      <c r="J53" s="496"/>
      <c r="K53" s="78" t="s">
        <v>98</v>
      </c>
      <c r="L53" s="78"/>
      <c r="M53" s="7" t="s">
        <v>99</v>
      </c>
      <c r="N53" s="7"/>
      <c r="O53" s="99">
        <f>O52+1</f>
        <v>6</v>
      </c>
      <c r="P53" s="99">
        <f t="shared" si="10"/>
        <v>2</v>
      </c>
      <c r="Q53" s="76">
        <f>P53</f>
        <v>2</v>
      </c>
      <c r="R53" s="77">
        <f>VLOOKUP(Q53,STN_TABLE,2,FALSE)</f>
        <v>7.08</v>
      </c>
      <c r="S53" s="77">
        <v>8</v>
      </c>
      <c r="T53" s="76">
        <f>R53*S53</f>
        <v>56.64</v>
      </c>
      <c r="U53" s="80">
        <v>10</v>
      </c>
      <c r="V53" s="76">
        <f>R53*U53</f>
        <v>70.8</v>
      </c>
      <c r="W53" s="496" t="s">
        <v>97</v>
      </c>
      <c r="X53" s="496"/>
      <c r="Y53" s="496" t="s">
        <v>98</v>
      </c>
      <c r="Z53" s="496"/>
      <c r="AA53" s="494" t="s">
        <v>99</v>
      </c>
      <c r="AB53" s="494"/>
      <c r="AC53" s="99">
        <f>AC48+1</f>
        <v>5</v>
      </c>
      <c r="AD53" s="95">
        <f>VLOOKUP(AC53,STN_TABLE_2,2,FALSE)</f>
        <v>1</v>
      </c>
      <c r="AE53" s="68">
        <f>VLOOKUP(AD53,STN_TABLE,2,FALSE)</f>
        <v>6.21</v>
      </c>
      <c r="AF53" s="68">
        <v>1</v>
      </c>
      <c r="AG53" s="69">
        <f>AE53*AF53</f>
        <v>6.21</v>
      </c>
      <c r="AH53" s="496" t="s">
        <v>97</v>
      </c>
      <c r="AI53" s="496"/>
      <c r="AJ53" s="496" t="s">
        <v>98</v>
      </c>
      <c r="AK53" s="496"/>
      <c r="AL53" s="494" t="s">
        <v>99</v>
      </c>
      <c r="AM53" s="494"/>
      <c r="AP53" s="86" t="s">
        <v>112</v>
      </c>
      <c r="AQ53" s="89" t="s">
        <v>113</v>
      </c>
      <c r="AR53" s="89" t="s">
        <v>114</v>
      </c>
      <c r="AS53" s="89" t="s">
        <v>115</v>
      </c>
      <c r="AU53" s="81"/>
    </row>
    <row r="54" spans="1:47" x14ac:dyDescent="0.25">
      <c r="A54" s="84">
        <f>A53+1</f>
        <v>5</v>
      </c>
      <c r="B54" s="84">
        <f t="shared" si="11"/>
        <v>1</v>
      </c>
      <c r="C54" s="88">
        <f t="shared" ref="C54" si="14">B55</f>
        <v>2</v>
      </c>
      <c r="D54" s="82">
        <f>VLOOKUP(C54,STN_TABLE,2,FALSE)</f>
        <v>7.08</v>
      </c>
      <c r="E54" s="92">
        <v>1</v>
      </c>
      <c r="F54" s="82">
        <f>D54*E54</f>
        <v>7.08</v>
      </c>
      <c r="G54" s="83">
        <f>C54</f>
        <v>2</v>
      </c>
      <c r="H54" s="83">
        <f>F54*G54</f>
        <v>14.16</v>
      </c>
      <c r="I54" s="84" t="str">
        <f>CONCATENATE("a'(",C54,")=")</f>
        <v>a'(2)=</v>
      </c>
      <c r="J54" s="84" t="e">
        <f>2*J52/3*F55</f>
        <v>#N/A</v>
      </c>
      <c r="K54" s="84" t="str">
        <f>CONCATENATE("A(",C52,")=")</f>
        <v>A(#NA)=</v>
      </c>
      <c r="L54" s="84" t="e">
        <f>VLOOKUP(C52,STN_TABLE,3,FALSE)</f>
        <v>#N/A</v>
      </c>
      <c r="M54" t="str">
        <f>CONCATENATE("A(",C54,")=")</f>
        <v>A(2)=</v>
      </c>
      <c r="N54" t="e">
        <f>J54+L54</f>
        <v>#N/A</v>
      </c>
      <c r="O54" s="99">
        <f>O53+1</f>
        <v>7</v>
      </c>
      <c r="P54" s="99">
        <f t="shared" si="10"/>
        <v>3</v>
      </c>
      <c r="Q54" s="82">
        <f>IF(P54-P53=P53-P52,P54,IF(P55-P53=P53-P52,P55,IF(P54-P53=P53-P51,P54,IF(P55-P53=P53-P51,P55,"-"))))</f>
        <v>3</v>
      </c>
      <c r="R54" s="83">
        <f>VLOOKUP(Q54,STN_TABLE,2,FALSE)</f>
        <v>7.57</v>
      </c>
      <c r="S54" s="83">
        <v>-1</v>
      </c>
      <c r="T54" s="82">
        <f>R54*S54</f>
        <v>-7.57</v>
      </c>
      <c r="U54" s="88">
        <v>-1</v>
      </c>
      <c r="V54" s="82">
        <f>R54*U54</f>
        <v>-7.57</v>
      </c>
      <c r="W54" s="84" t="str">
        <f>CONCATENATE("a'(",Q53,")=")</f>
        <v>a'(2)=</v>
      </c>
      <c r="X54" s="84">
        <f>2*X52/12*T55</f>
        <v>26.706666666666667</v>
      </c>
      <c r="Y54" s="84" t="str">
        <f>CONCATENATE("A(",Q52,")=")</f>
        <v>A(1)=</v>
      </c>
      <c r="Z54" s="84">
        <f>VLOOKUP(Q52,STN_TABLE,3,FALSE)</f>
        <v>20.83</v>
      </c>
      <c r="AA54" t="str">
        <f>CONCATENATE("A(",Q53,")=")</f>
        <v>A(2)=</v>
      </c>
      <c r="AB54">
        <f>X54+Z54</f>
        <v>47.536666666666662</v>
      </c>
      <c r="AC54" s="99">
        <f>AC53+1</f>
        <v>6</v>
      </c>
      <c r="AD54" s="100">
        <f>VLOOKUP(AC54,STN_TABLE_2,2,FALSE)</f>
        <v>2</v>
      </c>
      <c r="AE54" s="82">
        <f>VLOOKUP(AD54,STN_TABLE,2,FALSE)</f>
        <v>7.08</v>
      </c>
      <c r="AF54" s="82">
        <v>2</v>
      </c>
      <c r="AG54" s="83">
        <f>AE54*AF54</f>
        <v>14.16</v>
      </c>
      <c r="AH54" s="84" t="str">
        <f>CONCATENATE("a'(",AD54,")=")</f>
        <v>a'(2)=</v>
      </c>
      <c r="AI54" s="84">
        <f>2*AI52/2*AE55</f>
        <v>26.58</v>
      </c>
      <c r="AJ54" s="84" t="str">
        <f>CONCATENATE("A(",AD53,")=")</f>
        <v>A(1)=</v>
      </c>
      <c r="AK54" s="84">
        <f>VLOOKUP(AD53,STN_TABLE,3,FALSE)</f>
        <v>20.83</v>
      </c>
      <c r="AL54" t="str">
        <f>CONCATENATE("A(",AD54,")=")</f>
        <v>A(2)=</v>
      </c>
      <c r="AM54">
        <f>AI54+AK54</f>
        <v>47.41</v>
      </c>
      <c r="AO54" s="68" t="str">
        <f>AA54</f>
        <v>A(2)=</v>
      </c>
      <c r="AP54" s="68" t="e">
        <f>VLOOKUP(AO54,Rise_Results,2,FALSE)</f>
        <v>#N/A</v>
      </c>
      <c r="AQ54" s="76" t="e">
        <f>N54</f>
        <v>#N/A</v>
      </c>
      <c r="AR54" s="76">
        <f>IF(OR(AB54&lt;=0,AB55&lt;=0),1/0,AB54)</f>
        <v>47.536666666666662</v>
      </c>
      <c r="AS54" s="76">
        <f>AM54</f>
        <v>47.41</v>
      </c>
      <c r="AT54">
        <f>IFERROR(AP54,IFERROR(AQ54,IFERROR(AR54,AS54)))</f>
        <v>47.536666666666662</v>
      </c>
      <c r="AU54" s="81"/>
    </row>
    <row r="55" spans="1:47" x14ac:dyDescent="0.25">
      <c r="A55" s="84">
        <f>A54+1</f>
        <v>6</v>
      </c>
      <c r="B55" s="84">
        <f t="shared" si="11"/>
        <v>2</v>
      </c>
      <c r="F55" s="82" t="e">
        <f>SUM(F52:F54)</f>
        <v>#N/A</v>
      </c>
      <c r="H55" s="82" t="e">
        <f>SUM(H52:H54)</f>
        <v>#N/A</v>
      </c>
      <c r="I55" s="84" t="str">
        <f>CONCATENATE("m'(",C54,")=")</f>
        <v>m'(2)=</v>
      </c>
      <c r="J55" s="84" t="e">
        <f>2*(J52*(WLS))/3*H55</f>
        <v>#N/A</v>
      </c>
      <c r="K55" s="84" t="str">
        <f>CONCATENATE("M(",C52,")=")</f>
        <v>M(#NA)=</v>
      </c>
      <c r="L55" s="84" t="e">
        <f>VLOOKUP(C52,STN_TABLE,4,FALSE)</f>
        <v>#N/A</v>
      </c>
      <c r="M55" t="str">
        <f>CONCATENATE("M(",C54,")=")</f>
        <v>M(2)=</v>
      </c>
      <c r="N55" t="e">
        <f>J55+L55</f>
        <v>#N/A</v>
      </c>
      <c r="O55" s="99">
        <f>O54+1</f>
        <v>8</v>
      </c>
      <c r="P55" s="99">
        <f t="shared" si="10"/>
        <v>4</v>
      </c>
      <c r="T55" s="89">
        <f>SUM(T52:T54)</f>
        <v>80.12</v>
      </c>
      <c r="V55" s="82">
        <f>SUM(V52:V54)</f>
        <v>81.859999999999985</v>
      </c>
      <c r="W55" s="84" t="str">
        <f>CONCATENATE("m'(",Q53,")=")</f>
        <v>m'(2)=</v>
      </c>
      <c r="X55" s="84">
        <f>(2*(X52^2)/24*V55)+(X54*Q52*WLS)</f>
        <v>80.699999999999989</v>
      </c>
      <c r="Y55" s="84" t="str">
        <f>CONCATENATE("M(",Q52,")=")</f>
        <v>M(1)=</v>
      </c>
      <c r="Z55" s="84">
        <f>VLOOKUP(Q52,STN_TABLE,4,FALSE)</f>
        <v>22.546666666666667</v>
      </c>
      <c r="AA55" t="str">
        <f>CONCATENATE("M(",Q53,")=")</f>
        <v>M(2)=</v>
      </c>
      <c r="AB55">
        <f>X55+Z55</f>
        <v>103.24666666666666</v>
      </c>
      <c r="AE55" s="89">
        <f>SUM(AE53:AE54)</f>
        <v>13.29</v>
      </c>
      <c r="AG55" s="89">
        <f>SUM(AG53:AG54)</f>
        <v>20.37</v>
      </c>
      <c r="AH55" s="84" t="str">
        <f>CONCATENATE("m'(",AD54,")=")</f>
        <v>m'(2)=</v>
      </c>
      <c r="AI55" s="84">
        <f>(2*(AI52^2)/6*AG55)+(AI54*AD53*WLS)</f>
        <v>80.319999999999993</v>
      </c>
      <c r="AJ55" s="84" t="str">
        <f>CONCATENATE("M(",AD53,")=")</f>
        <v>M(1)=</v>
      </c>
      <c r="AK55" s="84">
        <f>VLOOKUP(AD53,STN_TABLE,4,FALSE)</f>
        <v>22.546666666666667</v>
      </c>
      <c r="AL55" t="str">
        <f>CONCATENATE("M(",AD54,")=")</f>
        <v>M(2)=</v>
      </c>
      <c r="AM55">
        <f>AI55+AK55</f>
        <v>102.86666666666666</v>
      </c>
      <c r="AO55" s="82" t="str">
        <f>AA55</f>
        <v>M(2)=</v>
      </c>
      <c r="AP55" s="82" t="e">
        <f>VLOOKUP(AO55,Rise_Results,2,FALSE)</f>
        <v>#N/A</v>
      </c>
      <c r="AQ55" s="82" t="e">
        <f>N55</f>
        <v>#N/A</v>
      </c>
      <c r="AR55" s="82">
        <f>IF(OR(AB54&lt;=0,AB55&lt;=0),1/0,AB55)</f>
        <v>103.24666666666666</v>
      </c>
      <c r="AS55" s="82">
        <f>AM55</f>
        <v>102.86666666666666</v>
      </c>
      <c r="AT55">
        <f>IFERROR(AP55,IFERROR(AQ55,IFERROR(AR55,AS55)))</f>
        <v>103.24666666666666</v>
      </c>
      <c r="AU55" s="81"/>
    </row>
    <row r="56" spans="1:47" x14ac:dyDescent="0.25">
      <c r="A56" s="101">
        <f>A51+1</f>
        <v>3</v>
      </c>
      <c r="B56" s="101">
        <f t="shared" si="11"/>
        <v>0.5</v>
      </c>
      <c r="O56" s="101">
        <f>O51+1</f>
        <v>5</v>
      </c>
      <c r="P56" s="101">
        <f t="shared" si="10"/>
        <v>1</v>
      </c>
      <c r="AU56" s="81"/>
    </row>
    <row r="57" spans="1:47" x14ac:dyDescent="0.25">
      <c r="A57" s="84">
        <f>A56+1</f>
        <v>4</v>
      </c>
      <c r="B57" s="84">
        <f t="shared" si="11"/>
        <v>0.75</v>
      </c>
      <c r="C57" s="79">
        <f t="shared" ref="C57" si="15">IF(C58=B59,IF(C59-C58=C58-B58,B58,IF(C59-C58=C58-B57,B57,"#NA")),IF(C58=B58,IF(C59-C58=C58-B57,B57,IF(C59-C58=C58-B56,B56,"#NA")),"#NA"))</f>
        <v>1</v>
      </c>
      <c r="D57" s="68">
        <f>VLOOKUP(C57,STN_TABLE,2,FALSE)</f>
        <v>6.21</v>
      </c>
      <c r="E57" s="102">
        <v>1</v>
      </c>
      <c r="F57" s="68">
        <f>D57*E57</f>
        <v>6.21</v>
      </c>
      <c r="G57" s="69">
        <f>C57</f>
        <v>1</v>
      </c>
      <c r="H57" s="69">
        <f>F57*G57</f>
        <v>6.21</v>
      </c>
      <c r="I57" s="6" t="s">
        <v>93</v>
      </c>
      <c r="J57" s="70">
        <f>IF(OR(D57=0,D58=0,D59=0),"#NA",IF(AND(C59-C58=C58-C57,C58&lt;&gt;C59,C57&lt;&gt;C58,C57&lt;&gt;C59,D59&lt;&gt;0,OR(D57&lt;&gt;0,D58&lt;&gt;0)),WLS*(C59-C58),"#NA"))</f>
        <v>2</v>
      </c>
      <c r="O57" s="99">
        <f>O56+1</f>
        <v>6</v>
      </c>
      <c r="P57" s="99">
        <f t="shared" si="10"/>
        <v>2</v>
      </c>
      <c r="Q57" s="68">
        <f>IF(OR(P59-P58=P58-P57,P60-P58=P58-P57),P57,IF(OR(P59-P58=P58-P56,P60-P58=P58-P56),P56,"-"))</f>
        <v>2</v>
      </c>
      <c r="R57" s="69">
        <f>VLOOKUP(Q57,STN_TABLE,2,FALSE)</f>
        <v>7.08</v>
      </c>
      <c r="S57" s="69">
        <v>5</v>
      </c>
      <c r="T57" s="68">
        <f>R57*S57</f>
        <v>35.4</v>
      </c>
      <c r="U57" s="79">
        <v>3</v>
      </c>
      <c r="V57" s="68">
        <f>R57*U57</f>
        <v>21.240000000000002</v>
      </c>
      <c r="W57" s="6" t="s">
        <v>93</v>
      </c>
      <c r="X57" s="70">
        <f>IF(AND(Q59-Q58=Q58-Q57,NOT(AND(Q57=0,Q58=0)),NOT(AND(Q58=0,Q59=0))),WLS*(Q59-Q58),"#NA")</f>
        <v>2</v>
      </c>
      <c r="AD57" s="93"/>
      <c r="AH57" s="6" t="s">
        <v>93</v>
      </c>
      <c r="AI57" s="70">
        <f>WLS*(AD59-AD58)</f>
        <v>2</v>
      </c>
      <c r="AU57" s="81"/>
    </row>
    <row r="58" spans="1:47" x14ac:dyDescent="0.25">
      <c r="A58" s="84">
        <f>A57+1</f>
        <v>5</v>
      </c>
      <c r="B58" s="84">
        <f t="shared" si="11"/>
        <v>1</v>
      </c>
      <c r="C58" s="80">
        <f t="shared" ref="C58" si="16">IF(OR(B60-B59=B59-B58,B60-B59=B59-B57,B60-B59=B59-B56),B59,IF(OR(B60-B58=B58-B57,B60-B58=B58-B56),B58,IF(B60-B57=B57-B56,B57,"#NA")))</f>
        <v>2</v>
      </c>
      <c r="D58" s="76">
        <f>VLOOKUP(C58,STN_TABLE,2,FALSE)</f>
        <v>7.08</v>
      </c>
      <c r="E58" s="81">
        <v>4</v>
      </c>
      <c r="F58" s="76">
        <f>D58*E58</f>
        <v>28.32</v>
      </c>
      <c r="G58" s="77">
        <f>C58</f>
        <v>2</v>
      </c>
      <c r="H58" s="77">
        <f>F58*G58</f>
        <v>56.64</v>
      </c>
      <c r="I58" s="495" t="s">
        <v>97</v>
      </c>
      <c r="J58" s="496"/>
      <c r="K58" s="78" t="s">
        <v>98</v>
      </c>
      <c r="L58" s="78"/>
      <c r="M58" s="7" t="s">
        <v>99</v>
      </c>
      <c r="N58" s="7"/>
      <c r="O58" s="99">
        <f>O57+1</f>
        <v>7</v>
      </c>
      <c r="P58" s="99">
        <f t="shared" si="10"/>
        <v>3</v>
      </c>
      <c r="Q58" s="76">
        <f>P58</f>
        <v>3</v>
      </c>
      <c r="R58" s="77">
        <f>VLOOKUP(Q58,STN_TABLE,2,FALSE)</f>
        <v>7.57</v>
      </c>
      <c r="S58" s="77">
        <v>8</v>
      </c>
      <c r="T58" s="76">
        <f>R58*S58</f>
        <v>60.56</v>
      </c>
      <c r="U58" s="80">
        <v>10</v>
      </c>
      <c r="V58" s="76">
        <f>R58*U58</f>
        <v>75.7</v>
      </c>
      <c r="W58" s="78" t="s">
        <v>97</v>
      </c>
      <c r="X58" s="78"/>
      <c r="Y58" s="78" t="s">
        <v>98</v>
      </c>
      <c r="Z58" s="78"/>
      <c r="AA58" s="7" t="s">
        <v>99</v>
      </c>
      <c r="AB58" s="7"/>
      <c r="AC58" s="99">
        <f>AC53+1</f>
        <v>6</v>
      </c>
      <c r="AD58" s="95">
        <f>VLOOKUP(AC58,STN_TABLE_2,2,FALSE)</f>
        <v>2</v>
      </c>
      <c r="AE58" s="68">
        <f>VLOOKUP(AD58,STN_TABLE,2,FALSE)</f>
        <v>7.08</v>
      </c>
      <c r="AF58" s="68">
        <v>1</v>
      </c>
      <c r="AG58" s="69">
        <f>AE58*AF58</f>
        <v>7.08</v>
      </c>
      <c r="AH58" s="496" t="s">
        <v>97</v>
      </c>
      <c r="AI58" s="496"/>
      <c r="AJ58" s="496" t="s">
        <v>98</v>
      </c>
      <c r="AK58" s="496"/>
      <c r="AL58" s="494" t="s">
        <v>99</v>
      </c>
      <c r="AM58" s="494"/>
      <c r="AP58" s="86" t="s">
        <v>112</v>
      </c>
      <c r="AQ58" s="89" t="s">
        <v>113</v>
      </c>
      <c r="AR58" s="89" t="s">
        <v>114</v>
      </c>
      <c r="AS58" s="89" t="s">
        <v>115</v>
      </c>
      <c r="AU58" s="81"/>
    </row>
    <row r="59" spans="1:47" x14ac:dyDescent="0.25">
      <c r="A59" s="84">
        <f>A58+1</f>
        <v>6</v>
      </c>
      <c r="B59" s="84">
        <f t="shared" si="11"/>
        <v>2</v>
      </c>
      <c r="C59" s="88">
        <f t="shared" ref="C59" si="17">B60</f>
        <v>3</v>
      </c>
      <c r="D59" s="82">
        <f>VLOOKUP(C59,STN_TABLE,2,FALSE)</f>
        <v>7.57</v>
      </c>
      <c r="E59" s="92">
        <v>1</v>
      </c>
      <c r="F59" s="82">
        <f>D59*E59</f>
        <v>7.57</v>
      </c>
      <c r="G59" s="83">
        <f>C59</f>
        <v>3</v>
      </c>
      <c r="H59" s="83">
        <f>F59*G59</f>
        <v>22.71</v>
      </c>
      <c r="I59" s="84" t="str">
        <f>CONCATENATE("a'(",C59,")=")</f>
        <v>a'(3)=</v>
      </c>
      <c r="J59" s="84">
        <f>2*J57/3*F60</f>
        <v>56.133333333333333</v>
      </c>
      <c r="K59" s="84" t="str">
        <f>CONCATENATE("A(",C57,")=")</f>
        <v>A(1)=</v>
      </c>
      <c r="L59" s="84">
        <f>VLOOKUP(C57,STN_TABLE,3,FALSE)</f>
        <v>20.83</v>
      </c>
      <c r="M59" t="str">
        <f>CONCATENATE("A(",C59,")=")</f>
        <v>A(3)=</v>
      </c>
      <c r="N59">
        <f>J59+L59</f>
        <v>76.963333333333338</v>
      </c>
      <c r="O59" s="99">
        <f>O58+1</f>
        <v>8</v>
      </c>
      <c r="P59" s="99">
        <f t="shared" si="10"/>
        <v>4</v>
      </c>
      <c r="Q59" s="82">
        <f>IF(P59-P58=P58-P57,P59,IF(P60-P58=P58-P57,P60,IF(P59-P58=P58-P56,P59,IF(P60-P58=P58-P56,P60,"-"))))</f>
        <v>4</v>
      </c>
      <c r="R59" s="83">
        <f>VLOOKUP(Q59,STN_TABLE,2,FALSE)</f>
        <v>7.9291999999999998</v>
      </c>
      <c r="S59" s="83">
        <v>-1</v>
      </c>
      <c r="T59" s="82">
        <f>R59*S59</f>
        <v>-7.9291999999999998</v>
      </c>
      <c r="U59" s="88">
        <v>-1</v>
      </c>
      <c r="V59" s="82">
        <f>R59*U59</f>
        <v>-7.9291999999999998</v>
      </c>
      <c r="W59" s="84" t="str">
        <f>CONCATENATE("a'(",Q58,")=")</f>
        <v>a'(3)=</v>
      </c>
      <c r="X59" s="84">
        <f>2*X57/12*T60</f>
        <v>29.343600000000002</v>
      </c>
      <c r="Y59" s="84" t="str">
        <f>CONCATENATE("A(",Q57,")=")</f>
        <v>A(2)=</v>
      </c>
      <c r="Z59" s="84">
        <f>VLOOKUP(Q57,STN_TABLE,3,FALSE)</f>
        <v>47.536666666666662</v>
      </c>
      <c r="AA59" t="str">
        <f>CONCATENATE("A(",Q58,")=")</f>
        <v>A(3)=</v>
      </c>
      <c r="AB59">
        <f>X59+Z59</f>
        <v>76.880266666666671</v>
      </c>
      <c r="AC59" s="99">
        <f>AC58+1</f>
        <v>7</v>
      </c>
      <c r="AD59" s="100">
        <f>VLOOKUP(AC59,STN_TABLE_2,2,FALSE)</f>
        <v>3</v>
      </c>
      <c r="AE59" s="82">
        <f>VLOOKUP(AD59,STN_TABLE,2,FALSE)</f>
        <v>7.57</v>
      </c>
      <c r="AF59" s="82">
        <v>2</v>
      </c>
      <c r="AG59" s="83">
        <f>AE59*AF59</f>
        <v>15.14</v>
      </c>
      <c r="AH59" s="84" t="str">
        <f>CONCATENATE("a'(",AD59,")=")</f>
        <v>a'(3)=</v>
      </c>
      <c r="AI59" s="84">
        <f>2*AI57/2*AE60</f>
        <v>29.3</v>
      </c>
      <c r="AJ59" s="84" t="str">
        <f>CONCATENATE("A(",AD58,")=")</f>
        <v>A(2)=</v>
      </c>
      <c r="AK59" s="84">
        <f>VLOOKUP(AD58,STN_TABLE,3,FALSE)</f>
        <v>47.536666666666662</v>
      </c>
      <c r="AL59" t="str">
        <f>CONCATENATE("A(",AD59,")=")</f>
        <v>A(3)=</v>
      </c>
      <c r="AM59">
        <f>AI59+AK59</f>
        <v>76.836666666666659</v>
      </c>
      <c r="AO59" s="68" t="str">
        <f>AA59</f>
        <v>A(3)=</v>
      </c>
      <c r="AP59" s="68" t="e">
        <f>VLOOKUP(AO59,Rise_Results,2,FALSE)</f>
        <v>#N/A</v>
      </c>
      <c r="AQ59" s="76">
        <f>N59</f>
        <v>76.963333333333338</v>
      </c>
      <c r="AR59" s="76">
        <f>IF(OR(AB59&lt;=0,AB60&lt;=0),1/0,AB59)</f>
        <v>76.880266666666671</v>
      </c>
      <c r="AS59" s="76">
        <f>AM59</f>
        <v>76.836666666666659</v>
      </c>
      <c r="AT59">
        <f>IFERROR(AP59,IFERROR(AQ59,IFERROR(AR59,AS59)))</f>
        <v>76.963333333333338</v>
      </c>
      <c r="AU59" s="81"/>
    </row>
    <row r="60" spans="1:47" x14ac:dyDescent="0.25">
      <c r="A60" s="84">
        <f>A59+1</f>
        <v>7</v>
      </c>
      <c r="B60" s="84">
        <f t="shared" si="11"/>
        <v>3</v>
      </c>
      <c r="F60" s="82">
        <f>SUM(F57:F59)</f>
        <v>42.1</v>
      </c>
      <c r="H60" s="82">
        <f>SUM(H57:H59)</f>
        <v>85.56</v>
      </c>
      <c r="I60" s="84" t="str">
        <f>CONCATENATE("m'(",C59,")=")</f>
        <v>m'(3)=</v>
      </c>
      <c r="J60" s="84">
        <f>2*(J57*(WLS))/3*H60</f>
        <v>228.16</v>
      </c>
      <c r="K60" s="84" t="str">
        <f>CONCATENATE("M(",C57,")=")</f>
        <v>M(1)=</v>
      </c>
      <c r="L60" s="84">
        <f>VLOOKUP(C57,STN_TABLE,4,FALSE)</f>
        <v>22.546666666666667</v>
      </c>
      <c r="M60" t="str">
        <f>CONCATENATE("M(",C59,")=")</f>
        <v>M(3)=</v>
      </c>
      <c r="N60">
        <f>J60+L60</f>
        <v>250.70666666666665</v>
      </c>
      <c r="O60" s="99">
        <f>O59+1</f>
        <v>9</v>
      </c>
      <c r="P60" s="99">
        <f t="shared" si="10"/>
        <v>4.8499999999999996</v>
      </c>
      <c r="T60" s="89">
        <f>SUM(T57:T59)</f>
        <v>88.030800000000013</v>
      </c>
      <c r="V60" s="82">
        <f>SUM(V57:V59)</f>
        <v>89.010800000000003</v>
      </c>
      <c r="W60" s="84" t="str">
        <f>CONCATENATE("m'(",Q58,")=")</f>
        <v>m'(3)=</v>
      </c>
      <c r="X60" s="84">
        <f>(2*(X57^2)/24*V60)+(X59*Q57*WLS)</f>
        <v>147.04466666666667</v>
      </c>
      <c r="Y60" s="84" t="str">
        <f>CONCATENATE("M(",Q57,")=")</f>
        <v>M(2)=</v>
      </c>
      <c r="Z60" s="84">
        <f>VLOOKUP(Q57,STN_TABLE,4,FALSE)</f>
        <v>103.24666666666666</v>
      </c>
      <c r="AA60" t="str">
        <f>CONCATENATE("M(",Q58,")=")</f>
        <v>M(3)=</v>
      </c>
      <c r="AB60">
        <f>X60+Z60</f>
        <v>250.29133333333334</v>
      </c>
      <c r="AE60" s="89">
        <f>SUM(AE58:AE59)</f>
        <v>14.65</v>
      </c>
      <c r="AG60" s="89">
        <f>SUM(AG58:AG59)</f>
        <v>22.22</v>
      </c>
      <c r="AH60" s="84" t="str">
        <f>CONCATENATE("m'(",AD59,")=")</f>
        <v>m'(3)=</v>
      </c>
      <c r="AI60" s="84">
        <f>(2*(AI57^2)/6*AG60)+(AI59*AD58*WLS)</f>
        <v>146.82666666666665</v>
      </c>
      <c r="AJ60" s="84" t="str">
        <f>CONCATENATE("M(",AD58,")=")</f>
        <v>M(2)=</v>
      </c>
      <c r="AK60" s="84">
        <f>VLOOKUP(AD57,STN_TABLE,4,FALSE)</f>
        <v>0</v>
      </c>
      <c r="AL60" t="str">
        <f>CONCATENATE("M(",AD59,")=")</f>
        <v>M(3)=</v>
      </c>
      <c r="AM60">
        <f>AI60+AK60</f>
        <v>146.82666666666665</v>
      </c>
      <c r="AO60" s="82" t="str">
        <f>AA60</f>
        <v>M(3)=</v>
      </c>
      <c r="AP60" s="82" t="e">
        <f>VLOOKUP(AO60,Rise_Results,2,FALSE)</f>
        <v>#N/A</v>
      </c>
      <c r="AQ60" s="82">
        <f>N60</f>
        <v>250.70666666666665</v>
      </c>
      <c r="AR60" s="82">
        <f>IF(OR(AB59&lt;=0,AB60&lt;=0),1/0,AB60)</f>
        <v>250.29133333333334</v>
      </c>
      <c r="AS60" s="82">
        <f>AM60</f>
        <v>146.82666666666665</v>
      </c>
      <c r="AT60">
        <f>IFERROR(AP60,IFERROR(AQ60,IFERROR(AR60,AS60)))</f>
        <v>250.70666666666665</v>
      </c>
      <c r="AU60" s="81"/>
    </row>
    <row r="61" spans="1:47" x14ac:dyDescent="0.25">
      <c r="A61" s="101">
        <f>A56+1</f>
        <v>4</v>
      </c>
      <c r="B61" s="101">
        <f t="shared" si="11"/>
        <v>0.75</v>
      </c>
      <c r="O61" s="101">
        <f>O56+1</f>
        <v>6</v>
      </c>
      <c r="P61" s="101">
        <f t="shared" si="10"/>
        <v>2</v>
      </c>
      <c r="AU61" s="81"/>
    </row>
    <row r="62" spans="1:47" x14ac:dyDescent="0.25">
      <c r="A62" s="84">
        <f>A61+1</f>
        <v>5</v>
      </c>
      <c r="B62" s="84">
        <f t="shared" si="11"/>
        <v>1</v>
      </c>
      <c r="C62" s="79">
        <f t="shared" ref="C62" si="18">IF(C63=B64,IF(C64-C63=C63-B63,B63,IF(C64-C63=C63-B62,B62,"#NA")),IF(C63=B63,IF(C64-C63=C63-B62,B62,IF(C64-C63=C63-B61,B61,"#NA")),"#NA"))</f>
        <v>2</v>
      </c>
      <c r="D62" s="68">
        <f>VLOOKUP(C62,STN_TABLE,2,FALSE)</f>
        <v>7.08</v>
      </c>
      <c r="E62" s="102">
        <v>1</v>
      </c>
      <c r="F62" s="68">
        <f>D62*E62</f>
        <v>7.08</v>
      </c>
      <c r="G62" s="69">
        <f>C62</f>
        <v>2</v>
      </c>
      <c r="H62" s="69">
        <f>F62*G62</f>
        <v>14.16</v>
      </c>
      <c r="I62" s="6" t="s">
        <v>93</v>
      </c>
      <c r="J62" s="70">
        <f>IF(OR(D62=0,D63=0,D64=0),"#NA",IF(AND(C64-C63=C63-C62,C63&lt;&gt;C64,C62&lt;&gt;C63,C62&lt;&gt;C64,D64&lt;&gt;0,OR(D62&lt;&gt;0,D63&lt;&gt;0)),WLS*(C64-C63),"#NA"))</f>
        <v>2</v>
      </c>
      <c r="O62" s="99">
        <f>O61+1</f>
        <v>7</v>
      </c>
      <c r="P62" s="99">
        <f t="shared" si="10"/>
        <v>3</v>
      </c>
      <c r="Q62" s="68">
        <f>IF(OR(P64-P63=P63-P62,P65-P63=P63-P62),P62,IF(OR(P64-P63=P63-P61,P65-P63=P63-P61),P61,"-"))</f>
        <v>3</v>
      </c>
      <c r="R62" s="69">
        <f>VLOOKUP(Q62,STN_TABLE,2,FALSE)</f>
        <v>7.57</v>
      </c>
      <c r="S62" s="69">
        <v>5</v>
      </c>
      <c r="T62" s="68">
        <f>R62*S62</f>
        <v>37.85</v>
      </c>
      <c r="U62" s="79">
        <v>3</v>
      </c>
      <c r="V62" s="68">
        <f>R62*U62</f>
        <v>22.71</v>
      </c>
      <c r="W62" s="6" t="s">
        <v>93</v>
      </c>
      <c r="X62" s="70">
        <f>IF(AND(Q64-Q63=Q63-Q62,NOT(AND(Q62=0,Q63=0)),NOT(AND(Q63=0,Q64=0))),WLS*(Q64-Q63),"#NA")</f>
        <v>2</v>
      </c>
      <c r="AD62" s="93"/>
      <c r="AH62" s="6" t="s">
        <v>93</v>
      </c>
      <c r="AI62" s="70">
        <f>WLS*(AD64-AD63)</f>
        <v>2</v>
      </c>
      <c r="AU62" s="81"/>
    </row>
    <row r="63" spans="1:47" x14ac:dyDescent="0.25">
      <c r="A63" s="84">
        <f>A62+1</f>
        <v>6</v>
      </c>
      <c r="B63" s="84">
        <f t="shared" si="11"/>
        <v>2</v>
      </c>
      <c r="C63" s="80">
        <f t="shared" ref="C63" si="19">IF(OR(B65-B64=B64-B63,B65-B64=B64-B62,B65-B64=B64-B61),B64,IF(OR(B65-B63=B63-B62,B65-B63=B63-B61),B63,IF(B65-B62=B62-B61,B62,"#NA")))</f>
        <v>3</v>
      </c>
      <c r="D63" s="76">
        <f>VLOOKUP(C63,STN_TABLE,2,FALSE)</f>
        <v>7.57</v>
      </c>
      <c r="E63" s="81">
        <v>4</v>
      </c>
      <c r="F63" s="76">
        <f>D63*E63</f>
        <v>30.28</v>
      </c>
      <c r="G63" s="77">
        <f>C63</f>
        <v>3</v>
      </c>
      <c r="H63" s="77">
        <f>F63*G63</f>
        <v>90.84</v>
      </c>
      <c r="I63" s="495" t="s">
        <v>97</v>
      </c>
      <c r="J63" s="496"/>
      <c r="K63" s="78" t="s">
        <v>98</v>
      </c>
      <c r="L63" s="78"/>
      <c r="M63" s="7" t="s">
        <v>99</v>
      </c>
      <c r="N63" s="7"/>
      <c r="O63" s="99">
        <f>O62+1</f>
        <v>8</v>
      </c>
      <c r="P63" s="99">
        <f t="shared" si="10"/>
        <v>4</v>
      </c>
      <c r="Q63" s="76">
        <f>P63</f>
        <v>4</v>
      </c>
      <c r="R63" s="77">
        <f>VLOOKUP(Q63,STN_TABLE,2,FALSE)</f>
        <v>7.9291999999999998</v>
      </c>
      <c r="S63" s="77">
        <v>8</v>
      </c>
      <c r="T63" s="76">
        <f>R63*S63</f>
        <v>63.433599999999998</v>
      </c>
      <c r="U63" s="80">
        <v>10</v>
      </c>
      <c r="V63" s="76">
        <f>R63*U63</f>
        <v>79.292000000000002</v>
      </c>
      <c r="W63" s="496" t="s">
        <v>97</v>
      </c>
      <c r="X63" s="496"/>
      <c r="Y63" s="496" t="s">
        <v>98</v>
      </c>
      <c r="Z63" s="496"/>
      <c r="AA63" s="494" t="s">
        <v>99</v>
      </c>
      <c r="AB63" s="494"/>
      <c r="AC63" s="99">
        <f>AC58+1</f>
        <v>7</v>
      </c>
      <c r="AD63" s="95">
        <f>VLOOKUP(AC63,STN_TABLE_2,2,FALSE)</f>
        <v>3</v>
      </c>
      <c r="AE63" s="68">
        <f>VLOOKUP(AD63,STN_TABLE,2,FALSE)</f>
        <v>7.57</v>
      </c>
      <c r="AF63" s="68">
        <v>1</v>
      </c>
      <c r="AG63" s="69">
        <f>AE63*AF63</f>
        <v>7.57</v>
      </c>
      <c r="AH63" s="496" t="s">
        <v>97</v>
      </c>
      <c r="AI63" s="496"/>
      <c r="AJ63" s="496" t="s">
        <v>98</v>
      </c>
      <c r="AK63" s="496"/>
      <c r="AL63" s="494" t="s">
        <v>99</v>
      </c>
      <c r="AM63" s="494"/>
      <c r="AP63" s="86" t="s">
        <v>112</v>
      </c>
      <c r="AQ63" s="89" t="s">
        <v>113</v>
      </c>
      <c r="AR63" s="89" t="s">
        <v>114</v>
      </c>
      <c r="AS63" s="89" t="s">
        <v>115</v>
      </c>
      <c r="AU63" s="81"/>
    </row>
    <row r="64" spans="1:47" x14ac:dyDescent="0.25">
      <c r="A64" s="84">
        <f>A63+1</f>
        <v>7</v>
      </c>
      <c r="B64" s="84">
        <f t="shared" si="11"/>
        <v>3</v>
      </c>
      <c r="C64" s="88">
        <f t="shared" ref="C64" si="20">B65</f>
        <v>4</v>
      </c>
      <c r="D64" s="82">
        <f>VLOOKUP(C64,STN_TABLE,2,FALSE)</f>
        <v>7.9291999999999998</v>
      </c>
      <c r="E64" s="92">
        <v>1</v>
      </c>
      <c r="F64" s="82">
        <f>D64*E64</f>
        <v>7.9291999999999998</v>
      </c>
      <c r="G64" s="83">
        <f>C64</f>
        <v>4</v>
      </c>
      <c r="H64" s="83">
        <f>F64*G64</f>
        <v>31.716799999999999</v>
      </c>
      <c r="I64" s="84" t="str">
        <f>CONCATENATE("a'(",C64,")=")</f>
        <v>a'(4)=</v>
      </c>
      <c r="J64" s="84">
        <f>2*J62/3*F65</f>
        <v>60.385599999999997</v>
      </c>
      <c r="K64" s="84" t="str">
        <f>CONCATENATE("A(",C62,")=")</f>
        <v>A(2)=</v>
      </c>
      <c r="L64" s="84">
        <f>VLOOKUP(C62,STN_TABLE,3,FALSE)</f>
        <v>47.536666666666662</v>
      </c>
      <c r="M64" t="str">
        <f>CONCATENATE("A(",C64,")=")</f>
        <v>A(4)=</v>
      </c>
      <c r="N64">
        <f>J64+L64</f>
        <v>107.92226666666666</v>
      </c>
      <c r="O64" s="99">
        <f>O63+1</f>
        <v>9</v>
      </c>
      <c r="P64" s="99">
        <f t="shared" si="10"/>
        <v>4.8499999999999996</v>
      </c>
      <c r="Q64" s="82">
        <f>IF(P64-P63=P63-P62,P64,IF(P65-P63=P63-P62,P65,IF(P64-P63=P63-P61,P64,IF(P65-P63=P63-P61,P65,"-"))))</f>
        <v>5</v>
      </c>
      <c r="R64" s="83">
        <f>VLOOKUP(Q64,STN_TABLE,2,FALSE)</f>
        <v>8.43</v>
      </c>
      <c r="S64" s="83">
        <v>-1</v>
      </c>
      <c r="T64" s="82">
        <f>R64*S64</f>
        <v>-8.43</v>
      </c>
      <c r="U64" s="88">
        <v>-1</v>
      </c>
      <c r="V64" s="82">
        <f>R64*U64</f>
        <v>-8.43</v>
      </c>
      <c r="W64" s="84" t="str">
        <f>CONCATENATE("a'(",Q63,")=")</f>
        <v>a'(4)=</v>
      </c>
      <c r="X64" s="84">
        <f>2*X62/12*T65</f>
        <v>30.9512</v>
      </c>
      <c r="Y64" s="84" t="str">
        <f>CONCATENATE("A(",Q62,")=")</f>
        <v>A(3)=</v>
      </c>
      <c r="Z64" s="84">
        <f>VLOOKUP(Q62,STN_TABLE,3,FALSE)</f>
        <v>76.963333333333338</v>
      </c>
      <c r="AA64" t="str">
        <f>CONCATENATE("A(",Q63,")=")</f>
        <v>A(4)=</v>
      </c>
      <c r="AB64">
        <f>X64+Z64</f>
        <v>107.91453333333334</v>
      </c>
      <c r="AC64" s="99">
        <f>AC63+1</f>
        <v>8</v>
      </c>
      <c r="AD64" s="100">
        <f>VLOOKUP(AC64,STN_TABLE_2,2,FALSE)</f>
        <v>4</v>
      </c>
      <c r="AE64" s="82">
        <f>VLOOKUP(AD64,STN_TABLE,2,FALSE)</f>
        <v>7.9291999999999998</v>
      </c>
      <c r="AF64" s="82">
        <v>2</v>
      </c>
      <c r="AG64" s="83">
        <f>AE64*AF64</f>
        <v>15.8584</v>
      </c>
      <c r="AH64" s="84" t="str">
        <f>CONCATENATE("a'(",AD64,")=")</f>
        <v>a'(4)=</v>
      </c>
      <c r="AI64" s="84">
        <f>2*AI62/2*AE65</f>
        <v>30.9984</v>
      </c>
      <c r="AJ64" s="84" t="str">
        <f>CONCATENATE("A(",AD63,")=")</f>
        <v>A(3)=</v>
      </c>
      <c r="AK64" s="84">
        <f>VLOOKUP(AD63,STN_TABLE,3,FALSE)</f>
        <v>76.963333333333338</v>
      </c>
      <c r="AL64" t="str">
        <f>CONCATENATE("A(",AD64,")=")</f>
        <v>A(4)=</v>
      </c>
      <c r="AM64">
        <f>AI64+AK64</f>
        <v>107.96173333333334</v>
      </c>
      <c r="AO64" s="68" t="str">
        <f>AA64</f>
        <v>A(4)=</v>
      </c>
      <c r="AP64" s="68" t="e">
        <f>VLOOKUP(AO64,Rise_Results,2,FALSE)</f>
        <v>#N/A</v>
      </c>
      <c r="AQ64" s="76">
        <f>N64</f>
        <v>107.92226666666666</v>
      </c>
      <c r="AR64" s="76">
        <f>IF(OR(AB64&lt;=0,AB65&lt;=0),1/0,AB64)</f>
        <v>107.91453333333334</v>
      </c>
      <c r="AS64" s="76">
        <f>AM64</f>
        <v>107.96173333333334</v>
      </c>
      <c r="AT64">
        <f>IFERROR(AP64,IFERROR(AQ64,IFERROR(AR64,AS64)))</f>
        <v>107.92226666666666</v>
      </c>
      <c r="AU64" s="81"/>
    </row>
    <row r="65" spans="1:47" x14ac:dyDescent="0.25">
      <c r="A65" s="84">
        <f>A64+1</f>
        <v>8</v>
      </c>
      <c r="B65" s="84">
        <f t="shared" si="11"/>
        <v>4</v>
      </c>
      <c r="F65" s="82">
        <f>SUM(F62:F64)</f>
        <v>45.289200000000001</v>
      </c>
      <c r="H65" s="82">
        <f>SUM(H62:H64)</f>
        <v>136.71680000000001</v>
      </c>
      <c r="I65" s="84" t="str">
        <f>CONCATENATE("m'(",C64,")=")</f>
        <v>m'(4)=</v>
      </c>
      <c r="J65" s="84">
        <f>2*(J62*(WLS))/3*H65</f>
        <v>364.57813333333331</v>
      </c>
      <c r="K65" s="84" t="str">
        <f>CONCATENATE("M(",C62,")=")</f>
        <v>M(2)=</v>
      </c>
      <c r="L65" s="84">
        <f>VLOOKUP(C62,STN_TABLE,4,FALSE)</f>
        <v>103.24666666666666</v>
      </c>
      <c r="M65" t="str">
        <f>CONCATENATE("M(",C64,")=")</f>
        <v>M(4)=</v>
      </c>
      <c r="N65">
        <f>J65+L65</f>
        <v>467.82479999999998</v>
      </c>
      <c r="O65" s="99">
        <f>O64+1</f>
        <v>10</v>
      </c>
      <c r="P65" s="99">
        <f t="shared" si="10"/>
        <v>5</v>
      </c>
      <c r="T65" s="89">
        <f>SUM(T62:T64)</f>
        <v>92.8536</v>
      </c>
      <c r="V65" s="82">
        <f>SUM(V62:V64)</f>
        <v>93.572000000000003</v>
      </c>
      <c r="W65" s="84" t="str">
        <f>CONCATENATE("m'(",Q63,")=")</f>
        <v>m'(4)=</v>
      </c>
      <c r="X65" s="84">
        <f>(2*(X62^2)/24*V65)+(X64*Q62*WLS)</f>
        <v>216.89786666666666</v>
      </c>
      <c r="Y65" s="84" t="str">
        <f>CONCATENATE("M(",Q62,")=")</f>
        <v>M(3)=</v>
      </c>
      <c r="Z65" s="84">
        <f>VLOOKUP(Q62,STN_TABLE,4,FALSE)</f>
        <v>250.70666666666665</v>
      </c>
      <c r="AA65" t="str">
        <f>CONCATENATE("M(",Q63,")=")</f>
        <v>M(4)=</v>
      </c>
      <c r="AB65">
        <f>X65+Z65</f>
        <v>467.60453333333328</v>
      </c>
      <c r="AE65" s="89">
        <f>SUM(AE63:AE64)</f>
        <v>15.4992</v>
      </c>
      <c r="AG65" s="89">
        <f>SUM(AG63:AG64)</f>
        <v>23.4284</v>
      </c>
      <c r="AH65" s="84" t="str">
        <f>CONCATENATE("m'(",AD64,")=")</f>
        <v>m'(4)=</v>
      </c>
      <c r="AI65" s="84">
        <f>(2*(AI62^2)/6*AG65)+(AI64*AD63*WLS)</f>
        <v>217.22826666666666</v>
      </c>
      <c r="AJ65" s="84" t="str">
        <f>CONCATENATE("M(",AD63,")=")</f>
        <v>M(3)=</v>
      </c>
      <c r="AK65" s="84">
        <f>VLOOKUP(AD63,STN_TABLE,4,FALSE)</f>
        <v>250.70666666666665</v>
      </c>
      <c r="AL65" t="str">
        <f>CONCATENATE("M(",AD64,")=")</f>
        <v>M(4)=</v>
      </c>
      <c r="AM65">
        <f>AI65+AK65</f>
        <v>467.93493333333333</v>
      </c>
      <c r="AO65" s="82" t="str">
        <f>AA65</f>
        <v>M(4)=</v>
      </c>
      <c r="AP65" s="82" t="e">
        <f>VLOOKUP(AO65,Rise_Results,2,FALSE)</f>
        <v>#N/A</v>
      </c>
      <c r="AQ65" s="82">
        <f>N65</f>
        <v>467.82479999999998</v>
      </c>
      <c r="AR65" s="82">
        <f>IF(OR(AB64&lt;=0,AB65&lt;=0),1/0,AB65)</f>
        <v>467.60453333333328</v>
      </c>
      <c r="AS65" s="82">
        <f>AM65</f>
        <v>467.93493333333333</v>
      </c>
      <c r="AT65">
        <f>IFERROR(AP65,IFERROR(AQ65,IFERROR(AR65,AS65)))</f>
        <v>467.82479999999998</v>
      </c>
      <c r="AU65" s="81"/>
    </row>
    <row r="66" spans="1:47" x14ac:dyDescent="0.25">
      <c r="A66" s="101">
        <f>A61+1</f>
        <v>5</v>
      </c>
      <c r="B66" s="101">
        <f t="shared" si="11"/>
        <v>1</v>
      </c>
      <c r="O66" s="101">
        <f>O61+1</f>
        <v>7</v>
      </c>
      <c r="P66" s="101">
        <f t="shared" si="10"/>
        <v>3</v>
      </c>
      <c r="AU66" s="81"/>
    </row>
    <row r="67" spans="1:47" x14ac:dyDescent="0.25">
      <c r="A67" s="84">
        <f>A66+1</f>
        <v>6</v>
      </c>
      <c r="B67" s="84">
        <f t="shared" si="11"/>
        <v>2</v>
      </c>
      <c r="C67" s="79" t="str">
        <f t="shared" ref="C67" si="21">IF(C68=B69,IF(C69-C68=C68-B68,B68,IF(C69-C68=C68-B67,B67,"#NA")),IF(C68=B68,IF(C69-C68=C68-B67,B67,IF(C69-C68=C68-B66,B66,"#NA")),"#NA"))</f>
        <v>#NA</v>
      </c>
      <c r="D67" s="68" t="e">
        <f>VLOOKUP(C67,STN_TABLE,2,FALSE)</f>
        <v>#N/A</v>
      </c>
      <c r="E67" s="102">
        <v>1</v>
      </c>
      <c r="F67" s="68" t="e">
        <f>D67*E67</f>
        <v>#N/A</v>
      </c>
      <c r="G67" s="69" t="str">
        <f>C67</f>
        <v>#NA</v>
      </c>
      <c r="H67" s="69" t="e">
        <f>F67*G67</f>
        <v>#N/A</v>
      </c>
      <c r="I67" s="6" t="s">
        <v>93</v>
      </c>
      <c r="J67" s="70" t="e">
        <f>IF(OR(D67=0,D68=0,D69=0),"#NA",IF(AND(C69-C68=C68-C67,C68&lt;&gt;C69,C67&lt;&gt;C68,C67&lt;&gt;C69,D69&lt;&gt;0,OR(D67&lt;&gt;0,D68&lt;&gt;0)),WLS*(C69-C68),"#NA"))</f>
        <v>#N/A</v>
      </c>
      <c r="O67" s="99">
        <f>O66+1</f>
        <v>8</v>
      </c>
      <c r="P67" s="99">
        <f t="shared" si="10"/>
        <v>4</v>
      </c>
      <c r="Q67" s="68" t="str">
        <f>IF(OR(P69-P68=P68-P67,P70-P68=P68-P67),P67,IF(OR(P69-P68=P68-P66,P70-P68=P68-P66),P66,"-"))</f>
        <v>-</v>
      </c>
      <c r="R67" s="69" t="e">
        <f>VLOOKUP(Q67,STN_TABLE,2,FALSE)</f>
        <v>#N/A</v>
      </c>
      <c r="S67" s="69">
        <v>5</v>
      </c>
      <c r="T67" s="68" t="e">
        <f>R67*S67</f>
        <v>#N/A</v>
      </c>
      <c r="U67" s="79">
        <v>3</v>
      </c>
      <c r="V67" s="68" t="e">
        <f>R67*U67</f>
        <v>#N/A</v>
      </c>
      <c r="W67" s="6" t="s">
        <v>93</v>
      </c>
      <c r="X67" s="70" t="e">
        <f>IF(AND(Q69-Q68=Q68-Q67,NOT(AND(Q67=0,Q68=0)),NOT(AND(Q68=0,Q69=0))),WLS*(Q69-Q68),"#NA")</f>
        <v>#VALUE!</v>
      </c>
      <c r="AD67" s="93"/>
      <c r="AH67" s="6" t="s">
        <v>93</v>
      </c>
      <c r="AI67" s="70">
        <f>WLS*(AD69-AD68)</f>
        <v>1.6999999999999993</v>
      </c>
      <c r="AU67" s="81"/>
    </row>
    <row r="68" spans="1:47" x14ac:dyDescent="0.25">
      <c r="A68" s="84">
        <f>A67+1</f>
        <v>7</v>
      </c>
      <c r="B68" s="84">
        <f t="shared" si="11"/>
        <v>3</v>
      </c>
      <c r="C68" s="80" t="str">
        <f t="shared" ref="C68" si="22">IF(OR(B70-B69=B69-B68,B70-B69=B69-B67,B70-B69=B69-B66),B69,IF(OR(B70-B68=B68-B67,B70-B68=B68-B66),B68,IF(B70-B67=B67-B66,B67,"#NA")))</f>
        <v>#NA</v>
      </c>
      <c r="D68" s="76" t="e">
        <f>VLOOKUP(C68,STN_TABLE,2,FALSE)</f>
        <v>#N/A</v>
      </c>
      <c r="E68" s="81">
        <v>4</v>
      </c>
      <c r="F68" s="76" t="e">
        <f>D68*E68</f>
        <v>#N/A</v>
      </c>
      <c r="G68" s="77" t="str">
        <f>C68</f>
        <v>#NA</v>
      </c>
      <c r="H68" s="77" t="e">
        <f>F68*G68</f>
        <v>#N/A</v>
      </c>
      <c r="I68" s="495" t="s">
        <v>97</v>
      </c>
      <c r="J68" s="496"/>
      <c r="K68" s="78" t="s">
        <v>98</v>
      </c>
      <c r="L68" s="78"/>
      <c r="M68" s="7" t="s">
        <v>99</v>
      </c>
      <c r="N68" s="7"/>
      <c r="O68" s="99">
        <f>O67+1</f>
        <v>9</v>
      </c>
      <c r="P68" s="99">
        <f t="shared" ref="P68:P99" si="23">VLOOKUP(O68,STN_TABLE_2,2,FALSE)</f>
        <v>4.8499999999999996</v>
      </c>
      <c r="Q68" s="76">
        <f>P68</f>
        <v>4.8499999999999996</v>
      </c>
      <c r="R68" s="77">
        <f>VLOOKUP(Q68,STN_TABLE,2,FALSE)</f>
        <v>8.3511000000000006</v>
      </c>
      <c r="S68" s="77">
        <v>8</v>
      </c>
      <c r="T68" s="76">
        <f>R68*S68</f>
        <v>66.808800000000005</v>
      </c>
      <c r="U68" s="80">
        <v>10</v>
      </c>
      <c r="V68" s="76">
        <f>R68*U68</f>
        <v>83.51100000000001</v>
      </c>
      <c r="W68" s="496" t="s">
        <v>97</v>
      </c>
      <c r="X68" s="496"/>
      <c r="Y68" s="496" t="s">
        <v>98</v>
      </c>
      <c r="Z68" s="496"/>
      <c r="AA68" s="494" t="s">
        <v>99</v>
      </c>
      <c r="AB68" s="494"/>
      <c r="AC68" s="99">
        <f>AC63+1</f>
        <v>8</v>
      </c>
      <c r="AD68" s="95">
        <f>VLOOKUP(AC68,STN_TABLE_2,2,FALSE)</f>
        <v>4</v>
      </c>
      <c r="AE68" s="68">
        <f>VLOOKUP(AD68,STN_TABLE,2,FALSE)</f>
        <v>7.9291999999999998</v>
      </c>
      <c r="AF68" s="68">
        <v>1</v>
      </c>
      <c r="AG68" s="69">
        <f>AE68*AF68</f>
        <v>7.9291999999999998</v>
      </c>
      <c r="AH68" s="496" t="s">
        <v>97</v>
      </c>
      <c r="AI68" s="496"/>
      <c r="AJ68" s="496" t="s">
        <v>98</v>
      </c>
      <c r="AK68" s="496"/>
      <c r="AL68" s="494" t="s">
        <v>99</v>
      </c>
      <c r="AM68" s="494"/>
      <c r="AP68" s="86" t="s">
        <v>112</v>
      </c>
      <c r="AQ68" s="89" t="s">
        <v>113</v>
      </c>
      <c r="AR68" s="89" t="s">
        <v>114</v>
      </c>
      <c r="AS68" s="89" t="s">
        <v>115</v>
      </c>
      <c r="AU68" s="81"/>
    </row>
    <row r="69" spans="1:47" x14ac:dyDescent="0.25">
      <c r="A69" s="84">
        <f>A68+1</f>
        <v>8</v>
      </c>
      <c r="B69" s="84">
        <f t="shared" si="11"/>
        <v>4</v>
      </c>
      <c r="C69" s="88">
        <f t="shared" ref="C69" si="24">B70</f>
        <v>4.8499999999999996</v>
      </c>
      <c r="D69" s="82">
        <f>VLOOKUP(C69,STN_TABLE,2,FALSE)</f>
        <v>8.3511000000000006</v>
      </c>
      <c r="E69" s="92">
        <v>1</v>
      </c>
      <c r="F69" s="82">
        <f>D69*E69</f>
        <v>8.3511000000000006</v>
      </c>
      <c r="G69" s="83">
        <f>C69</f>
        <v>4.8499999999999996</v>
      </c>
      <c r="H69" s="83">
        <f>F69*G69</f>
        <v>40.502834999999997</v>
      </c>
      <c r="I69" s="84" t="str">
        <f>CONCATENATE("a'(",C69,")=")</f>
        <v>a'(4.85)=</v>
      </c>
      <c r="J69" s="84" t="e">
        <f>2*J67/3*F70</f>
        <v>#N/A</v>
      </c>
      <c r="K69" s="84" t="str">
        <f>CONCATENATE("A(",C67,")=")</f>
        <v>A(#NA)=</v>
      </c>
      <c r="L69" s="84" t="e">
        <f>VLOOKUP(C67,STN_TABLE,3,FALSE)</f>
        <v>#N/A</v>
      </c>
      <c r="M69" t="str">
        <f>CONCATENATE("A(",C69,")=")</f>
        <v>A(4.85)=</v>
      </c>
      <c r="N69" t="e">
        <f>J69+L69</f>
        <v>#N/A</v>
      </c>
      <c r="O69" s="99">
        <f>O68+1</f>
        <v>10</v>
      </c>
      <c r="P69" s="99">
        <f t="shared" si="23"/>
        <v>5</v>
      </c>
      <c r="Q69" s="82" t="str">
        <f>IF(P69-P68=P68-P67,P69,IF(P70-P68=P68-P67,P70,IF(P69-P68=P68-P66,P69,IF(P70-P68=P68-P66,P70,"-"))))</f>
        <v>-</v>
      </c>
      <c r="R69" s="83" t="e">
        <f>VLOOKUP(Q69,STN_TABLE,2,FALSE)</f>
        <v>#N/A</v>
      </c>
      <c r="S69" s="83">
        <v>-1</v>
      </c>
      <c r="T69" s="82" t="e">
        <f>R69*S69</f>
        <v>#N/A</v>
      </c>
      <c r="U69" s="88">
        <v>-1</v>
      </c>
      <c r="V69" s="82" t="e">
        <f>R69*U69</f>
        <v>#N/A</v>
      </c>
      <c r="W69" s="84" t="str">
        <f>CONCATENATE("a'(",Q68,")=")</f>
        <v>a'(4.85)=</v>
      </c>
      <c r="X69" s="84" t="e">
        <f>2*X67/12*T70</f>
        <v>#VALUE!</v>
      </c>
      <c r="Y69" s="84" t="str">
        <f>CONCATENATE("A(",Q67,")=")</f>
        <v>A(-)=</v>
      </c>
      <c r="Z69" s="84" t="e">
        <f>VLOOKUP(Q67,STN_TABLE,3,FALSE)</f>
        <v>#N/A</v>
      </c>
      <c r="AA69" t="str">
        <f>CONCATENATE("A(",Q68,")=")</f>
        <v>A(4.85)=</v>
      </c>
      <c r="AB69" t="e">
        <f>X69+Z69</f>
        <v>#VALUE!</v>
      </c>
      <c r="AC69" s="99">
        <f>AC68+1</f>
        <v>9</v>
      </c>
      <c r="AD69" s="100">
        <f>VLOOKUP(AC69,STN_TABLE_2,2,FALSE)</f>
        <v>4.8499999999999996</v>
      </c>
      <c r="AE69" s="82">
        <f>VLOOKUP(AD69,STN_TABLE,2,FALSE)</f>
        <v>8.3511000000000006</v>
      </c>
      <c r="AF69" s="82">
        <v>2</v>
      </c>
      <c r="AG69" s="83">
        <f>AE69*AF69</f>
        <v>16.702200000000001</v>
      </c>
      <c r="AH69" s="84" t="str">
        <f>CONCATENATE("a'(",AD69,")=")</f>
        <v>a'(4.85)=</v>
      </c>
      <c r="AI69" s="84">
        <f>2*AI67/2*AE70</f>
        <v>27.67650999999999</v>
      </c>
      <c r="AJ69" s="84" t="str">
        <f>CONCATENATE("A(",AD68,")=")</f>
        <v>A(4)=</v>
      </c>
      <c r="AK69" s="84">
        <f>VLOOKUP(AD68,STN_TABLE,3,FALSE)</f>
        <v>107.92226666666666</v>
      </c>
      <c r="AL69" t="str">
        <f>CONCATENATE("A(",AD69,")=")</f>
        <v>A(4.85)=</v>
      </c>
      <c r="AM69">
        <f>AI69+AK69</f>
        <v>135.59877666666665</v>
      </c>
      <c r="AO69" s="68" t="str">
        <f>AA69</f>
        <v>A(4.85)=</v>
      </c>
      <c r="AP69" s="68" t="e">
        <f>VLOOKUP(AO69,Rise_Results,2,FALSE)</f>
        <v>#N/A</v>
      </c>
      <c r="AQ69" s="76" t="e">
        <f>N69</f>
        <v>#N/A</v>
      </c>
      <c r="AR69" s="76" t="e">
        <f>IF(OR(AB69&lt;=0,AB70&lt;=0),1/0,AB69)</f>
        <v>#VALUE!</v>
      </c>
      <c r="AS69" s="76">
        <f>AM69</f>
        <v>135.59877666666665</v>
      </c>
      <c r="AT69">
        <f>IFERROR(AP69,IFERROR(AQ69,IFERROR(AR69,AS69)))</f>
        <v>135.59877666666665</v>
      </c>
      <c r="AU69" s="81"/>
    </row>
    <row r="70" spans="1:47" x14ac:dyDescent="0.25">
      <c r="A70" s="84">
        <f>A69+1</f>
        <v>9</v>
      </c>
      <c r="B70" s="84">
        <f t="shared" si="11"/>
        <v>4.8499999999999996</v>
      </c>
      <c r="F70" s="82" t="e">
        <f>SUM(F67:F69)</f>
        <v>#N/A</v>
      </c>
      <c r="H70" s="82" t="e">
        <f>SUM(H67:H69)</f>
        <v>#N/A</v>
      </c>
      <c r="I70" s="84" t="str">
        <f>CONCATENATE("m'(",C69,")=")</f>
        <v>m'(4.85)=</v>
      </c>
      <c r="J70" s="84" t="e">
        <f>2*(J67*(WLS))/3*H70</f>
        <v>#N/A</v>
      </c>
      <c r="K70" s="84" t="str">
        <f>CONCATENATE("M(",C67,")=")</f>
        <v>M(#NA)=</v>
      </c>
      <c r="L70" s="84" t="e">
        <f>VLOOKUP(C67,STN_TABLE,4,FALSE)</f>
        <v>#N/A</v>
      </c>
      <c r="M70" t="str">
        <f>CONCATENATE("M(",C69,")=")</f>
        <v>M(4.85)=</v>
      </c>
      <c r="N70" t="e">
        <f>J70+L70</f>
        <v>#N/A</v>
      </c>
      <c r="O70" s="99">
        <f>O69+1</f>
        <v>11</v>
      </c>
      <c r="P70" s="99">
        <f t="shared" si="23"/>
        <v>6</v>
      </c>
      <c r="T70" s="89" t="e">
        <f>SUM(T67:T69)</f>
        <v>#N/A</v>
      </c>
      <c r="V70" s="82" t="e">
        <f>SUM(V67:V69)</f>
        <v>#N/A</v>
      </c>
      <c r="W70" s="84" t="str">
        <f>CONCATENATE("m'(",Q68,")=")</f>
        <v>m'(4.85)=</v>
      </c>
      <c r="X70" s="84" t="e">
        <f>(2*(X67^2)/24*V70)+(X69*Q67*WLS)</f>
        <v>#VALUE!</v>
      </c>
      <c r="Y70" s="84" t="str">
        <f>CONCATENATE("M(",Q67,")=")</f>
        <v>M(-)=</v>
      </c>
      <c r="Z70" s="84" t="e">
        <f>VLOOKUP(Q67,STN_TABLE,4,FALSE)</f>
        <v>#N/A</v>
      </c>
      <c r="AA70" t="str">
        <f>CONCATENATE("M(",Q68,")=")</f>
        <v>M(4.85)=</v>
      </c>
      <c r="AB70" t="e">
        <f>X70+Z70</f>
        <v>#VALUE!</v>
      </c>
      <c r="AE70" s="89">
        <f>SUM(AE68:AE69)</f>
        <v>16.2803</v>
      </c>
      <c r="AG70" s="89">
        <f>SUM(AG68:AG69)</f>
        <v>24.631399999999999</v>
      </c>
      <c r="AH70" s="84" t="str">
        <f>CONCATENATE("m'(",AD69,")=")</f>
        <v>m'(4.85)=</v>
      </c>
      <c r="AI70" s="84">
        <f>(2*(AI67^2)/6*AG70)+(AI69*AD68*WLS)</f>
        <v>245.14032866666656</v>
      </c>
      <c r="AJ70" s="84" t="str">
        <f>CONCATENATE("M(",AD68,")=")</f>
        <v>M(4)=</v>
      </c>
      <c r="AK70" s="84">
        <f>VLOOKUP(AD68,STN_TABLE,4,FALSE)</f>
        <v>467.82479999999998</v>
      </c>
      <c r="AL70" t="str">
        <f>CONCATENATE("M(",AD69,")=")</f>
        <v>M(4.85)=</v>
      </c>
      <c r="AM70">
        <f>AI70+AK70</f>
        <v>712.96512866666649</v>
      </c>
      <c r="AO70" s="82" t="str">
        <f>AA70</f>
        <v>M(4.85)=</v>
      </c>
      <c r="AP70" s="82" t="e">
        <f>VLOOKUP(AO70,Rise_Results,2,FALSE)</f>
        <v>#N/A</v>
      </c>
      <c r="AQ70" s="82" t="e">
        <f>N70</f>
        <v>#N/A</v>
      </c>
      <c r="AR70" s="82" t="e">
        <f>IF(OR(AB69&lt;=0,AB70&lt;=0),1/0,AB70)</f>
        <v>#VALUE!</v>
      </c>
      <c r="AS70" s="82">
        <f>AM70</f>
        <v>712.96512866666649</v>
      </c>
      <c r="AT70">
        <f>IFERROR(AP70,IFERROR(AQ70,IFERROR(AR70,AS70)))</f>
        <v>712.96512866666649</v>
      </c>
      <c r="AU70" s="81"/>
    </row>
    <row r="71" spans="1:47" x14ac:dyDescent="0.25">
      <c r="A71" s="101">
        <f>A66+1</f>
        <v>6</v>
      </c>
      <c r="B71" s="101">
        <f t="shared" si="11"/>
        <v>2</v>
      </c>
      <c r="O71" s="101">
        <f>O66+1</f>
        <v>8</v>
      </c>
      <c r="P71" s="101">
        <f t="shared" si="23"/>
        <v>4</v>
      </c>
      <c r="AU71" s="81"/>
    </row>
    <row r="72" spans="1:47" x14ac:dyDescent="0.25">
      <c r="A72" s="84">
        <f>A71+1</f>
        <v>7</v>
      </c>
      <c r="B72" s="84">
        <f t="shared" si="11"/>
        <v>3</v>
      </c>
      <c r="C72" s="79">
        <f t="shared" ref="C72" si="25">IF(C73=B74,IF(C74-C73=C73-B73,B73,IF(C74-C73=C73-B72,B72,"#NA")),IF(C73=B73,IF(C74-C73=C73-B72,B72,IF(C74-C73=C73-B71,B71,"#NA")),"#NA"))</f>
        <v>3</v>
      </c>
      <c r="D72" s="68">
        <f>VLOOKUP(C72,STN_TABLE,2,FALSE)</f>
        <v>7.57</v>
      </c>
      <c r="E72" s="102">
        <v>1</v>
      </c>
      <c r="F72" s="68">
        <f>D72*E72</f>
        <v>7.57</v>
      </c>
      <c r="G72" s="69">
        <f>C72</f>
        <v>3</v>
      </c>
      <c r="H72" s="69">
        <f>F72*G72</f>
        <v>22.71</v>
      </c>
      <c r="I72" s="6" t="s">
        <v>93</v>
      </c>
      <c r="J72" s="70">
        <f>IF(OR(D72=0,D73=0,D74=0),"#NA",IF(AND(C74-C73=C73-C72,C73&lt;&gt;C74,C72&lt;&gt;C73,C72&lt;&gt;C74,D74&lt;&gt;0,OR(D72&lt;&gt;0,D73&lt;&gt;0)),WLS*(C74-C73),"#NA"))</f>
        <v>2</v>
      </c>
      <c r="O72" s="99">
        <f>O71+1</f>
        <v>9</v>
      </c>
      <c r="P72" s="99">
        <f t="shared" si="23"/>
        <v>4.8499999999999996</v>
      </c>
      <c r="Q72" s="68">
        <f>IF(OR(P74-P73=P73-P72,P75-P73=P73-P72),P72,IF(OR(P74-P73=P73-P71,P75-P73=P73-P71),P71,"-"))</f>
        <v>4</v>
      </c>
      <c r="R72" s="69">
        <f>VLOOKUP(Q72,STN_TABLE,2,FALSE)</f>
        <v>7.9291999999999998</v>
      </c>
      <c r="S72" s="69">
        <v>5</v>
      </c>
      <c r="T72" s="68">
        <f>R72*S72</f>
        <v>39.646000000000001</v>
      </c>
      <c r="U72" s="79">
        <v>3</v>
      </c>
      <c r="V72" s="68">
        <f>R72*U72</f>
        <v>23.787599999999998</v>
      </c>
      <c r="W72" s="6" t="s">
        <v>93</v>
      </c>
      <c r="X72" s="70">
        <f>IF(AND(Q74-Q73=Q73-Q72,NOT(AND(Q72=0,Q73=0)),NOT(AND(Q73=0,Q74=0))),WLS*(Q74-Q73),"#NA")</f>
        <v>2</v>
      </c>
      <c r="AD72" s="93"/>
      <c r="AH72" s="6" t="s">
        <v>93</v>
      </c>
      <c r="AI72" s="70">
        <f>WLS*(AD74-AD73)</f>
        <v>0.30000000000000071</v>
      </c>
      <c r="AU72" s="81"/>
    </row>
    <row r="73" spans="1:47" x14ac:dyDescent="0.25">
      <c r="A73" s="84">
        <f>A72+1</f>
        <v>8</v>
      </c>
      <c r="B73" s="84">
        <f t="shared" si="11"/>
        <v>4</v>
      </c>
      <c r="C73" s="80">
        <f t="shared" ref="C73" si="26">IF(OR(B75-B74=B74-B73,B75-B74=B74-B72,B75-B74=B74-B71),B74,IF(OR(B75-B73=B73-B72,B75-B73=B73-B71),B73,IF(B75-B72=B72-B71,B72,"#NA")))</f>
        <v>4</v>
      </c>
      <c r="D73" s="76">
        <f>VLOOKUP(C73,STN_TABLE,2,FALSE)</f>
        <v>7.9291999999999998</v>
      </c>
      <c r="E73" s="81">
        <v>4</v>
      </c>
      <c r="F73" s="76">
        <f>D73*E73</f>
        <v>31.716799999999999</v>
      </c>
      <c r="G73" s="77">
        <f>C73</f>
        <v>4</v>
      </c>
      <c r="H73" s="77">
        <f>F73*G73</f>
        <v>126.8672</v>
      </c>
      <c r="I73" s="495" t="s">
        <v>97</v>
      </c>
      <c r="J73" s="496"/>
      <c r="K73" s="78" t="s">
        <v>98</v>
      </c>
      <c r="L73" s="78"/>
      <c r="M73" s="7" t="s">
        <v>99</v>
      </c>
      <c r="N73" s="7"/>
      <c r="O73" s="99">
        <f>O72+1</f>
        <v>10</v>
      </c>
      <c r="P73" s="99">
        <f t="shared" si="23"/>
        <v>5</v>
      </c>
      <c r="Q73" s="76">
        <f>P73</f>
        <v>5</v>
      </c>
      <c r="R73" s="77">
        <f>VLOOKUP(Q73,STN_TABLE,2,FALSE)</f>
        <v>8.43</v>
      </c>
      <c r="S73" s="77">
        <v>8</v>
      </c>
      <c r="T73" s="76">
        <f>R73*S73</f>
        <v>67.44</v>
      </c>
      <c r="U73" s="80">
        <v>10</v>
      </c>
      <c r="V73" s="76">
        <f>R73*U73</f>
        <v>84.3</v>
      </c>
      <c r="W73" s="496" t="s">
        <v>97</v>
      </c>
      <c r="X73" s="496"/>
      <c r="Y73" s="496" t="s">
        <v>98</v>
      </c>
      <c r="Z73" s="496"/>
      <c r="AA73" s="494" t="s">
        <v>99</v>
      </c>
      <c r="AB73" s="494"/>
      <c r="AC73" s="99">
        <f>AC68+1</f>
        <v>9</v>
      </c>
      <c r="AD73" s="95">
        <f>VLOOKUP(AC73,STN_TABLE_2,2,FALSE)</f>
        <v>4.8499999999999996</v>
      </c>
      <c r="AE73" s="68">
        <f>VLOOKUP(AD73,STN_TABLE,2,FALSE)</f>
        <v>8.3511000000000006</v>
      </c>
      <c r="AF73" s="68">
        <v>1</v>
      </c>
      <c r="AG73" s="69">
        <f>AE73*AF73</f>
        <v>8.3511000000000006</v>
      </c>
      <c r="AH73" s="496" t="s">
        <v>97</v>
      </c>
      <c r="AI73" s="496"/>
      <c r="AJ73" s="496" t="s">
        <v>98</v>
      </c>
      <c r="AK73" s="496"/>
      <c r="AL73" s="494" t="s">
        <v>99</v>
      </c>
      <c r="AM73" s="494"/>
      <c r="AP73" s="86" t="s">
        <v>112</v>
      </c>
      <c r="AQ73" s="89" t="s">
        <v>113</v>
      </c>
      <c r="AR73" s="89" t="s">
        <v>114</v>
      </c>
      <c r="AS73" s="89" t="s">
        <v>115</v>
      </c>
      <c r="AU73" s="81"/>
    </row>
    <row r="74" spans="1:47" x14ac:dyDescent="0.25">
      <c r="A74" s="84">
        <f>A73+1</f>
        <v>9</v>
      </c>
      <c r="B74" s="84">
        <f t="shared" ref="B74:B105" si="27">VLOOKUP(A74,STN_TABLE_2,2,FALSE)</f>
        <v>4.8499999999999996</v>
      </c>
      <c r="C74" s="88">
        <f t="shared" ref="C74" si="28">B75</f>
        <v>5</v>
      </c>
      <c r="D74" s="82">
        <f>VLOOKUP(C74,STN_TABLE,2,FALSE)</f>
        <v>8.43</v>
      </c>
      <c r="E74" s="92">
        <v>1</v>
      </c>
      <c r="F74" s="82">
        <f>D74*E74</f>
        <v>8.43</v>
      </c>
      <c r="G74" s="83">
        <f>C74</f>
        <v>5</v>
      </c>
      <c r="H74" s="83">
        <f>F74*G74</f>
        <v>42.15</v>
      </c>
      <c r="I74" s="84" t="str">
        <f>CONCATENATE("a'(",C74,")=")</f>
        <v>a'(5)=</v>
      </c>
      <c r="J74" s="84">
        <f>2*J72/3*F75</f>
        <v>63.622399999999999</v>
      </c>
      <c r="K74" s="84" t="str">
        <f>CONCATENATE("A(",C72,")=")</f>
        <v>A(3)=</v>
      </c>
      <c r="L74" s="84">
        <f>VLOOKUP(C72,STN_TABLE,3,FALSE)</f>
        <v>76.963333333333338</v>
      </c>
      <c r="M74" t="str">
        <f>CONCATENATE("A(",C74,")=")</f>
        <v>A(5)=</v>
      </c>
      <c r="N74">
        <f>J74+L74</f>
        <v>140.58573333333334</v>
      </c>
      <c r="O74" s="99">
        <f>O73+1</f>
        <v>11</v>
      </c>
      <c r="P74" s="99">
        <f t="shared" si="23"/>
        <v>6</v>
      </c>
      <c r="Q74" s="82">
        <f>IF(P74-P73=P73-P72,P74,IF(P75-P73=P73-P72,P75,IF(P74-P73=P73-P71,P74,IF(P75-P73=P73-P71,P75,"-"))))</f>
        <v>6</v>
      </c>
      <c r="R74" s="83">
        <f>VLOOKUP(Q74,STN_TABLE,2,FALSE)</f>
        <v>8.92</v>
      </c>
      <c r="S74" s="83">
        <v>-1</v>
      </c>
      <c r="T74" s="82">
        <f>R74*S74</f>
        <v>-8.92</v>
      </c>
      <c r="U74" s="88">
        <v>-1</v>
      </c>
      <c r="V74" s="82">
        <f>R74*U74</f>
        <v>-8.92</v>
      </c>
      <c r="W74" s="84" t="str">
        <f>CONCATENATE("a'(",Q73,")=")</f>
        <v>a'(5)=</v>
      </c>
      <c r="X74" s="84">
        <f>2*X72/12*T75</f>
        <v>32.721999999999994</v>
      </c>
      <c r="Y74" s="84" t="str">
        <f>CONCATENATE("A(",Q72,")=")</f>
        <v>A(4)=</v>
      </c>
      <c r="Z74" s="84">
        <f>VLOOKUP(Q72,STN_TABLE,3,FALSE)</f>
        <v>107.92226666666666</v>
      </c>
      <c r="AA74" t="str">
        <f>CONCATENATE("A(",Q73,")=")</f>
        <v>A(5)=</v>
      </c>
      <c r="AB74">
        <f>X74+Z74</f>
        <v>140.64426666666665</v>
      </c>
      <c r="AC74" s="99">
        <f>AC73+1</f>
        <v>10</v>
      </c>
      <c r="AD74" s="100">
        <f>VLOOKUP(AC74,STN_TABLE_2,2,FALSE)</f>
        <v>5</v>
      </c>
      <c r="AE74" s="82">
        <f>VLOOKUP(AD74,STN_TABLE,2,FALSE)</f>
        <v>8.43</v>
      </c>
      <c r="AF74" s="82">
        <v>2</v>
      </c>
      <c r="AG74" s="83">
        <f>AE74*AF74</f>
        <v>16.86</v>
      </c>
      <c r="AH74" s="84" t="str">
        <f>CONCATENATE("a'(",AD74,")=")</f>
        <v>a'(5)=</v>
      </c>
      <c r="AI74" s="84">
        <f>2*AI72/2*AE75</f>
        <v>5.0343300000000122</v>
      </c>
      <c r="AJ74" s="84" t="str">
        <f>CONCATENATE("A(",AD73,")=")</f>
        <v>A(4.85)=</v>
      </c>
      <c r="AK74" s="84">
        <f>VLOOKUP(AD73,STN_TABLE,3,FALSE)</f>
        <v>135.59877666666665</v>
      </c>
      <c r="AL74" t="str">
        <f>CONCATENATE("A(",AD74,")=")</f>
        <v>A(5)=</v>
      </c>
      <c r="AM74">
        <f>AI74+AK74</f>
        <v>140.63310666666666</v>
      </c>
      <c r="AO74" s="68" t="str">
        <f>AA74</f>
        <v>A(5)=</v>
      </c>
      <c r="AP74" s="68" t="e">
        <f>VLOOKUP(AO74,Rise_Results,2,FALSE)</f>
        <v>#N/A</v>
      </c>
      <c r="AQ74" s="76">
        <f>N74</f>
        <v>140.58573333333334</v>
      </c>
      <c r="AR74" s="76">
        <f>IF(OR(AB74&lt;=0,AB75&lt;=0),1/0,AB74)</f>
        <v>140.64426666666665</v>
      </c>
      <c r="AS74" s="76">
        <f>AM74</f>
        <v>140.63310666666666</v>
      </c>
      <c r="AT74">
        <f>IFERROR(AP74,IFERROR(AQ74,IFERROR(AR74,AS74)))</f>
        <v>140.58573333333334</v>
      </c>
      <c r="AU74" s="81"/>
    </row>
    <row r="75" spans="1:47" x14ac:dyDescent="0.25">
      <c r="A75" s="84">
        <f>A74+1</f>
        <v>10</v>
      </c>
      <c r="B75" s="84">
        <f t="shared" si="27"/>
        <v>5</v>
      </c>
      <c r="F75" s="82">
        <f>SUM(F72:F74)</f>
        <v>47.716799999999999</v>
      </c>
      <c r="H75" s="82">
        <f>SUM(H72:H74)</f>
        <v>191.72720000000001</v>
      </c>
      <c r="I75" s="84" t="str">
        <f>CONCATENATE("m'(",C74,")=")</f>
        <v>m'(5)=</v>
      </c>
      <c r="J75" s="84">
        <f>2*(J72*(WLS))/3*H75</f>
        <v>511.27253333333334</v>
      </c>
      <c r="K75" s="84" t="str">
        <f>CONCATENATE("M(",C72,")=")</f>
        <v>M(3)=</v>
      </c>
      <c r="L75" s="84">
        <f>VLOOKUP(C72,STN_TABLE,4,FALSE)</f>
        <v>250.70666666666665</v>
      </c>
      <c r="M75" t="str">
        <f>CONCATENATE("M(",C74,")=")</f>
        <v>M(5)=</v>
      </c>
      <c r="N75">
        <f>J75+L75</f>
        <v>761.97919999999999</v>
      </c>
      <c r="O75" s="99">
        <f>O74+1</f>
        <v>12</v>
      </c>
      <c r="P75" s="99">
        <f t="shared" si="23"/>
        <v>6.5</v>
      </c>
      <c r="T75" s="89">
        <f>SUM(T72:T74)</f>
        <v>98.165999999999997</v>
      </c>
      <c r="V75" s="82">
        <f>SUM(V72:V74)</f>
        <v>99.167599999999993</v>
      </c>
      <c r="W75" s="84" t="str">
        <f>CONCATENATE("m'(",Q73,")=")</f>
        <v>m'(5)=</v>
      </c>
      <c r="X75" s="84">
        <f>(2*(X72^2)/24*V75)+(X74*Q72*WLS)</f>
        <v>294.8318666666666</v>
      </c>
      <c r="Y75" s="84" t="str">
        <f>CONCATENATE("M(",Q72,")=")</f>
        <v>M(4)=</v>
      </c>
      <c r="Z75" s="84">
        <f>VLOOKUP(Q72,STN_TABLE,4,FALSE)</f>
        <v>467.82479999999998</v>
      </c>
      <c r="AA75" t="str">
        <f>CONCATENATE("M(",Q73,")=")</f>
        <v>M(5)=</v>
      </c>
      <c r="AB75">
        <f>X75+Z75</f>
        <v>762.65666666666652</v>
      </c>
      <c r="AE75" s="89">
        <f>SUM(AE73:AE74)</f>
        <v>16.781100000000002</v>
      </c>
      <c r="AG75" s="89">
        <f>SUM(AG73:AG74)</f>
        <v>25.211100000000002</v>
      </c>
      <c r="AH75" s="84" t="str">
        <f>CONCATENATE("m'(",AD74,")=")</f>
        <v>m'(5)=</v>
      </c>
      <c r="AI75" s="84">
        <f>(2*(AI72^2)/6*AG75)+(AI74*AD73*WLS)</f>
        <v>49.589334000000122</v>
      </c>
      <c r="AJ75" s="84" t="str">
        <f>CONCATENATE("M(",AD73,")=")</f>
        <v>M(4.85)=</v>
      </c>
      <c r="AK75" s="84">
        <f>VLOOKUP(AD73,STN_TABLE,4,FALSE)</f>
        <v>712.96512866666649</v>
      </c>
      <c r="AL75" t="str">
        <f>CONCATENATE("M(",AD74,")=")</f>
        <v>M(5)=</v>
      </c>
      <c r="AM75">
        <f>AI75+AK75</f>
        <v>762.55446266666661</v>
      </c>
      <c r="AO75" s="82" t="str">
        <f>AA75</f>
        <v>M(5)=</v>
      </c>
      <c r="AP75" s="82" t="e">
        <f>VLOOKUP(AO75,Rise_Results,2,FALSE)</f>
        <v>#N/A</v>
      </c>
      <c r="AQ75" s="82">
        <f>N75</f>
        <v>761.97919999999999</v>
      </c>
      <c r="AR75" s="82">
        <f>IF(OR(AB74&lt;=0,AB75&lt;=0),1/0,AB75)</f>
        <v>762.65666666666652</v>
      </c>
      <c r="AS75" s="82">
        <f>AM75</f>
        <v>762.55446266666661</v>
      </c>
      <c r="AT75">
        <f>IFERROR(AP75,IFERROR(AQ75,IFERROR(AR75,AS75)))</f>
        <v>761.97919999999999</v>
      </c>
      <c r="AU75" s="81"/>
    </row>
    <row r="76" spans="1:47" x14ac:dyDescent="0.25">
      <c r="A76" s="101">
        <f>A71+1</f>
        <v>7</v>
      </c>
      <c r="B76" s="101">
        <f t="shared" si="27"/>
        <v>3</v>
      </c>
      <c r="O76" s="101">
        <f>O71+1</f>
        <v>9</v>
      </c>
      <c r="P76" s="101">
        <f t="shared" si="23"/>
        <v>4.8499999999999996</v>
      </c>
      <c r="AU76" s="81"/>
    </row>
    <row r="77" spans="1:47" x14ac:dyDescent="0.25">
      <c r="A77" s="84">
        <f>A76+1</f>
        <v>8</v>
      </c>
      <c r="B77" s="84">
        <f t="shared" si="27"/>
        <v>4</v>
      </c>
      <c r="C77" s="79">
        <f t="shared" ref="C77" si="29">IF(C78=B79,IF(C79-C78=C78-B78,B78,IF(C79-C78=C78-B77,B77,"#NA")),IF(C78=B78,IF(C79-C78=C78-B77,B77,IF(C79-C78=C78-B76,B76,"#NA")),"#NA"))</f>
        <v>4</v>
      </c>
      <c r="D77" s="68">
        <f>VLOOKUP(C77,STN_TABLE,2,FALSE)</f>
        <v>7.9291999999999998</v>
      </c>
      <c r="E77" s="102">
        <v>1</v>
      </c>
      <c r="F77" s="68">
        <f>D77*E77</f>
        <v>7.9291999999999998</v>
      </c>
      <c r="G77" s="69">
        <f>C77</f>
        <v>4</v>
      </c>
      <c r="H77" s="69">
        <f>F77*G77</f>
        <v>31.716799999999999</v>
      </c>
      <c r="I77" s="6" t="s">
        <v>93</v>
      </c>
      <c r="J77" s="70">
        <f>IF(OR(D77=0,D78=0,D79=0),"#NA",IF(AND(C79-C78=C78-C77,C78&lt;&gt;C79,C77&lt;&gt;C78,C77&lt;&gt;C79,D79&lt;&gt;0,OR(D77&lt;&gt;0,D78&lt;&gt;0)),WLS*(C79-C78),"#NA"))</f>
        <v>2</v>
      </c>
      <c r="O77" s="99">
        <f>O76+1</f>
        <v>10</v>
      </c>
      <c r="P77" s="99">
        <f t="shared" si="23"/>
        <v>5</v>
      </c>
      <c r="Q77" s="68" t="e">
        <f>IF(OR(P79-P78=P78-P77,P80-P78=P78-P77),P77,IF(OR(P79-P78=P78-P76,P80-P78=P78-P76),P76,"-"))</f>
        <v>#VALUE!</v>
      </c>
      <c r="R77" s="69" t="e">
        <f>VLOOKUP(Q77,STN_TABLE,2,FALSE)</f>
        <v>#VALUE!</v>
      </c>
      <c r="S77" s="69">
        <v>5</v>
      </c>
      <c r="T77" s="68" t="e">
        <f>R77*S77</f>
        <v>#VALUE!</v>
      </c>
      <c r="U77" s="79">
        <v>3</v>
      </c>
      <c r="V77" s="68" t="e">
        <f>R77*U77</f>
        <v>#VALUE!</v>
      </c>
      <c r="W77" s="6" t="s">
        <v>93</v>
      </c>
      <c r="X77" s="70" t="e">
        <f>IF(AND(Q79-Q78=Q78-Q77,NOT(AND(Q77=0,Q78=0)),NOT(AND(Q78=0,Q79=0))),WLS*(Q79-Q78),"#NA")</f>
        <v>#VALUE!</v>
      </c>
      <c r="AD77" s="93"/>
      <c r="AH77" s="6" t="s">
        <v>93</v>
      </c>
      <c r="AI77" s="70">
        <f>WLS*(AD79-AD78)</f>
        <v>2</v>
      </c>
      <c r="AU77" s="81"/>
    </row>
    <row r="78" spans="1:47" x14ac:dyDescent="0.25">
      <c r="A78" s="84">
        <f>A77+1</f>
        <v>9</v>
      </c>
      <c r="B78" s="84">
        <f t="shared" si="27"/>
        <v>4.8499999999999996</v>
      </c>
      <c r="C78" s="80">
        <f t="shared" ref="C78" si="30">IF(OR(B80-B79=B79-B78,B80-B79=B79-B77,B80-B79=B79-B76),B79,IF(OR(B80-B78=B78-B77,B80-B78=B78-B76),B78,IF(B80-B77=B77-B76,B77,"#NA")))</f>
        <v>5</v>
      </c>
      <c r="D78" s="76">
        <f>VLOOKUP(C78,STN_TABLE,2,FALSE)</f>
        <v>8.43</v>
      </c>
      <c r="E78" s="81">
        <v>4</v>
      </c>
      <c r="F78" s="76">
        <f>D78*E78</f>
        <v>33.72</v>
      </c>
      <c r="G78" s="77">
        <f>C78</f>
        <v>5</v>
      </c>
      <c r="H78" s="77">
        <f>F78*G78</f>
        <v>168.6</v>
      </c>
      <c r="I78" s="495" t="s">
        <v>97</v>
      </c>
      <c r="J78" s="496"/>
      <c r="K78" s="78" t="s">
        <v>98</v>
      </c>
      <c r="L78" s="78"/>
      <c r="M78" s="7" t="s">
        <v>99</v>
      </c>
      <c r="N78" s="7"/>
      <c r="O78" s="99">
        <f>O77+1</f>
        <v>11</v>
      </c>
      <c r="P78" s="99">
        <f t="shared" si="23"/>
        <v>6</v>
      </c>
      <c r="Q78" s="76">
        <f>P78</f>
        <v>6</v>
      </c>
      <c r="R78" s="77">
        <f>VLOOKUP(Q78,STN_TABLE,2,FALSE)</f>
        <v>8.92</v>
      </c>
      <c r="S78" s="77">
        <v>8</v>
      </c>
      <c r="T78" s="76">
        <f>R78*S78</f>
        <v>71.36</v>
      </c>
      <c r="U78" s="80">
        <v>10</v>
      </c>
      <c r="V78" s="76">
        <f>R78*U78</f>
        <v>89.2</v>
      </c>
      <c r="W78" s="496" t="s">
        <v>97</v>
      </c>
      <c r="X78" s="496"/>
      <c r="Y78" s="496" t="s">
        <v>98</v>
      </c>
      <c r="Z78" s="496"/>
      <c r="AA78" s="494" t="s">
        <v>99</v>
      </c>
      <c r="AB78" s="494"/>
      <c r="AC78" s="99">
        <f>AC73+1</f>
        <v>10</v>
      </c>
      <c r="AD78" s="95">
        <f>VLOOKUP(AC78,STN_TABLE_2,2,FALSE)</f>
        <v>5</v>
      </c>
      <c r="AE78" s="68">
        <f>VLOOKUP(AD78,STN_TABLE,2,FALSE)</f>
        <v>8.43</v>
      </c>
      <c r="AF78" s="68">
        <v>1</v>
      </c>
      <c r="AG78" s="69">
        <f>AE78*AF78</f>
        <v>8.43</v>
      </c>
      <c r="AH78" s="496" t="s">
        <v>97</v>
      </c>
      <c r="AI78" s="496"/>
      <c r="AJ78" s="496" t="s">
        <v>98</v>
      </c>
      <c r="AK78" s="496"/>
      <c r="AL78" s="494" t="s">
        <v>99</v>
      </c>
      <c r="AM78" s="494"/>
      <c r="AP78" s="86" t="s">
        <v>112</v>
      </c>
      <c r="AQ78" s="89" t="s">
        <v>113</v>
      </c>
      <c r="AR78" s="89" t="s">
        <v>114</v>
      </c>
      <c r="AS78" s="89" t="s">
        <v>115</v>
      </c>
      <c r="AU78" s="81"/>
    </row>
    <row r="79" spans="1:47" x14ac:dyDescent="0.25">
      <c r="A79" s="84">
        <f>A78+1</f>
        <v>10</v>
      </c>
      <c r="B79" s="84">
        <f t="shared" si="27"/>
        <v>5</v>
      </c>
      <c r="C79" s="88">
        <f t="shared" ref="C79" si="31">B80</f>
        <v>6</v>
      </c>
      <c r="D79" s="82">
        <f>VLOOKUP(C79,STN_TABLE,2,FALSE)</f>
        <v>8.92</v>
      </c>
      <c r="E79" s="92">
        <v>1</v>
      </c>
      <c r="F79" s="82">
        <f>D79*E79</f>
        <v>8.92</v>
      </c>
      <c r="G79" s="83">
        <f>C79</f>
        <v>6</v>
      </c>
      <c r="H79" s="83">
        <f>F79*G79</f>
        <v>53.519999999999996</v>
      </c>
      <c r="I79" s="84" t="str">
        <f>CONCATENATE("a'(",C79,")=")</f>
        <v>a'(6)=</v>
      </c>
      <c r="J79" s="84">
        <f>2*J77/3*F80</f>
        <v>67.425600000000003</v>
      </c>
      <c r="K79" s="84" t="str">
        <f>CONCATENATE("A(",C77,")=")</f>
        <v>A(4)=</v>
      </c>
      <c r="L79" s="84">
        <f>VLOOKUP(C77,STN_TABLE,3,FALSE)</f>
        <v>107.92226666666666</v>
      </c>
      <c r="M79" t="str">
        <f>CONCATENATE("A(",C79,")=")</f>
        <v>A(6)=</v>
      </c>
      <c r="N79">
        <f>J79+L79</f>
        <v>175.34786666666668</v>
      </c>
      <c r="O79" s="99">
        <f>O78+1</f>
        <v>12</v>
      </c>
      <c r="P79" s="99">
        <f t="shared" si="23"/>
        <v>6.5</v>
      </c>
      <c r="Q79" s="82" t="e">
        <f>IF(P79-P78=P78-P77,P79,IF(P80-P78=P78-P77,P80,IF(P79-P78=P78-P76,P79,IF(P80-P78=P78-P76,P80,"-"))))</f>
        <v>#VALUE!</v>
      </c>
      <c r="R79" s="83" t="e">
        <f>VLOOKUP(Q79,STN_TABLE,2,FALSE)</f>
        <v>#VALUE!</v>
      </c>
      <c r="S79" s="83">
        <v>-1</v>
      </c>
      <c r="T79" s="82" t="e">
        <f>R79*S79</f>
        <v>#VALUE!</v>
      </c>
      <c r="U79" s="88">
        <v>-1</v>
      </c>
      <c r="V79" s="82" t="e">
        <f>R79*U79</f>
        <v>#VALUE!</v>
      </c>
      <c r="W79" s="84" t="str">
        <f>CONCATENATE("a'(",Q78,")=")</f>
        <v>a'(6)=</v>
      </c>
      <c r="X79" s="84" t="e">
        <f>2*X77/12*T80</f>
        <v>#VALUE!</v>
      </c>
      <c r="Y79" s="84" t="e">
        <f>CONCATENATE("A(",Q77,")=")</f>
        <v>#VALUE!</v>
      </c>
      <c r="Z79" s="84" t="e">
        <f>VLOOKUP(Q77,STN_TABLE,3,FALSE)</f>
        <v>#VALUE!</v>
      </c>
      <c r="AA79" t="str">
        <f>CONCATENATE("A(",Q78,")=")</f>
        <v>A(6)=</v>
      </c>
      <c r="AB79" t="e">
        <f>X79+Z79</f>
        <v>#VALUE!</v>
      </c>
      <c r="AC79" s="99">
        <f>AC78+1</f>
        <v>11</v>
      </c>
      <c r="AD79" s="100">
        <f>VLOOKUP(AC79,STN_TABLE_2,2,FALSE)</f>
        <v>6</v>
      </c>
      <c r="AE79" s="82">
        <f>VLOOKUP(AD79,STN_TABLE,2,FALSE)</f>
        <v>8.92</v>
      </c>
      <c r="AF79" s="82">
        <v>2</v>
      </c>
      <c r="AG79" s="83">
        <f>AE79*AF79</f>
        <v>17.84</v>
      </c>
      <c r="AH79" s="84" t="str">
        <f>CONCATENATE("a'(",AD79,")=")</f>
        <v>a'(6)=</v>
      </c>
      <c r="AI79" s="84">
        <f>2*AI77/2*AE80</f>
        <v>34.700000000000003</v>
      </c>
      <c r="AJ79" s="84" t="str">
        <f>CONCATENATE("A(",AD78,")=")</f>
        <v>A(5)=</v>
      </c>
      <c r="AK79" s="84">
        <f>VLOOKUP(AD78,STN_TABLE,3,FALSE)</f>
        <v>140.58573333333334</v>
      </c>
      <c r="AL79" t="str">
        <f>CONCATENATE("A(",AD79,")=")</f>
        <v>A(6)=</v>
      </c>
      <c r="AM79">
        <f>AI79+AK79</f>
        <v>175.28573333333333</v>
      </c>
      <c r="AO79" s="68" t="str">
        <f>AA79</f>
        <v>A(6)=</v>
      </c>
      <c r="AP79" s="68" t="e">
        <f>VLOOKUP(AO79,Rise_Results,2,FALSE)</f>
        <v>#N/A</v>
      </c>
      <c r="AQ79" s="76">
        <f>N79</f>
        <v>175.34786666666668</v>
      </c>
      <c r="AR79" s="76" t="e">
        <f>IF(OR(AB79&lt;=0,AB80&lt;=0),1/0,AB79)</f>
        <v>#VALUE!</v>
      </c>
      <c r="AS79" s="76">
        <f>AM79</f>
        <v>175.28573333333333</v>
      </c>
      <c r="AT79">
        <f>IFERROR(AP79,IFERROR(AQ79,IFERROR(AR79,AS79)))</f>
        <v>175.34786666666668</v>
      </c>
      <c r="AU79" s="81"/>
    </row>
    <row r="80" spans="1:47" x14ac:dyDescent="0.25">
      <c r="A80" s="84">
        <f>A79+1</f>
        <v>11</v>
      </c>
      <c r="B80" s="84">
        <f t="shared" si="27"/>
        <v>6</v>
      </c>
      <c r="F80" s="82">
        <f>SUM(F77:F79)</f>
        <v>50.569200000000002</v>
      </c>
      <c r="H80" s="82">
        <f>SUM(H77:H79)</f>
        <v>253.83679999999998</v>
      </c>
      <c r="I80" s="84" t="str">
        <f>CONCATENATE("m'(",C79,")=")</f>
        <v>m'(6)=</v>
      </c>
      <c r="J80" s="84">
        <f>2*(J77*(WLS))/3*H80</f>
        <v>676.89813333333325</v>
      </c>
      <c r="K80" s="84" t="str">
        <f>CONCATENATE("M(",C77,")=")</f>
        <v>M(4)=</v>
      </c>
      <c r="L80" s="84">
        <f>VLOOKUP(C77,STN_TABLE,4,FALSE)</f>
        <v>467.82479999999998</v>
      </c>
      <c r="M80" t="str">
        <f>CONCATENATE("M(",C79,")=")</f>
        <v>M(6)=</v>
      </c>
      <c r="N80">
        <f>J80+L80</f>
        <v>1144.7229333333332</v>
      </c>
      <c r="O80" s="99">
        <f>O79+1</f>
        <v>13</v>
      </c>
      <c r="P80" s="99" t="str">
        <f t="shared" si="23"/>
        <v xml:space="preserve">  </v>
      </c>
      <c r="T80" s="89" t="e">
        <f>SUM(T77:T79)</f>
        <v>#VALUE!</v>
      </c>
      <c r="V80" s="82" t="e">
        <f>SUM(V77:V79)</f>
        <v>#VALUE!</v>
      </c>
      <c r="W80" s="84" t="str">
        <f>CONCATENATE("m'(",Q78,")=")</f>
        <v>m'(6)=</v>
      </c>
      <c r="X80" s="84" t="e">
        <f>(2*(X77^2)/24*V80)+(X79*Q77*WLS)</f>
        <v>#VALUE!</v>
      </c>
      <c r="Y80" s="84" t="e">
        <f>CONCATENATE("M(",Q77,")=")</f>
        <v>#VALUE!</v>
      </c>
      <c r="Z80" s="84" t="e">
        <f>VLOOKUP(Q77,STN_TABLE,4,FALSE)</f>
        <v>#VALUE!</v>
      </c>
      <c r="AA80" t="str">
        <f>CONCATENATE("M(",Q78,")=")</f>
        <v>M(6)=</v>
      </c>
      <c r="AB80" t="e">
        <f>X80+Z80</f>
        <v>#VALUE!</v>
      </c>
      <c r="AE80" s="89">
        <f>SUM(AE78:AE79)</f>
        <v>17.350000000000001</v>
      </c>
      <c r="AG80" s="89">
        <f>SUM(AG78:AG79)</f>
        <v>26.27</v>
      </c>
      <c r="AH80" s="84" t="str">
        <f>CONCATENATE("m'(",AD79,")=")</f>
        <v>m'(6)=</v>
      </c>
      <c r="AI80" s="84">
        <f>(2*(AI77^2)/6*AG80)+(AI79*AD78*WLS)</f>
        <v>382.02666666666664</v>
      </c>
      <c r="AJ80" s="84" t="str">
        <f>CONCATENATE("M(",AD78,")=")</f>
        <v>M(5)=</v>
      </c>
      <c r="AK80" s="84">
        <f>VLOOKUP(AD78,STN_TABLE,4,FALSE)</f>
        <v>761.97919999999999</v>
      </c>
      <c r="AL80" t="str">
        <f>CONCATENATE("M(",AD79,")=")</f>
        <v>M(6)=</v>
      </c>
      <c r="AM80">
        <f>AI80+AK80</f>
        <v>1144.0058666666666</v>
      </c>
      <c r="AO80" s="82" t="str">
        <f>AA80</f>
        <v>M(6)=</v>
      </c>
      <c r="AP80" s="82" t="e">
        <f>VLOOKUP(AO80,Rise_Results,2,FALSE)</f>
        <v>#N/A</v>
      </c>
      <c r="AQ80" s="82">
        <f>N80</f>
        <v>1144.7229333333332</v>
      </c>
      <c r="AR80" s="82" t="e">
        <f>IF(OR(AB79&lt;=0,AB80&lt;=0),1/0,AB80)</f>
        <v>#VALUE!</v>
      </c>
      <c r="AS80" s="82">
        <f>AM80</f>
        <v>1144.0058666666666</v>
      </c>
      <c r="AT80">
        <f>IFERROR(AP80,IFERROR(AQ80,IFERROR(AR80,AS80)))</f>
        <v>1144.7229333333332</v>
      </c>
      <c r="AU80" s="81"/>
    </row>
    <row r="81" spans="1:47" x14ac:dyDescent="0.25">
      <c r="A81" s="101">
        <f>A76+1</f>
        <v>8</v>
      </c>
      <c r="B81" s="101">
        <f t="shared" si="27"/>
        <v>4</v>
      </c>
      <c r="O81" s="101">
        <f>O76+1</f>
        <v>10</v>
      </c>
      <c r="P81" s="101">
        <f t="shared" si="23"/>
        <v>5</v>
      </c>
      <c r="AU81" s="81"/>
    </row>
    <row r="82" spans="1:47" x14ac:dyDescent="0.25">
      <c r="A82" s="84">
        <f>A81+1</f>
        <v>9</v>
      </c>
      <c r="B82" s="84">
        <f t="shared" si="27"/>
        <v>4.8499999999999996</v>
      </c>
      <c r="C82" s="79" t="str">
        <f t="shared" ref="C82" si="32">IF(C83=B84,IF(C84-C83=C83-B83,B83,IF(C84-C83=C83-B82,B82,"#NA")),IF(C83=B83,IF(C84-C83=C83-B82,B82,IF(C84-C83=C83-B81,B81,"#NA")),"#NA"))</f>
        <v>#NA</v>
      </c>
      <c r="D82" s="68" t="e">
        <f>VLOOKUP(C82,STN_TABLE,2,FALSE)</f>
        <v>#N/A</v>
      </c>
      <c r="E82" s="102">
        <v>1</v>
      </c>
      <c r="F82" s="68" t="e">
        <f>D82*E82</f>
        <v>#N/A</v>
      </c>
      <c r="G82" s="69" t="str">
        <f>C82</f>
        <v>#NA</v>
      </c>
      <c r="H82" s="69" t="e">
        <f>F82*G82</f>
        <v>#N/A</v>
      </c>
      <c r="I82" s="6" t="s">
        <v>93</v>
      </c>
      <c r="J82" s="70" t="e">
        <f>IF(OR(D82=0,D83=0,D84=0),"#NA",IF(AND(C84-C83=C83-C82,C83&lt;&gt;C84,C82&lt;&gt;C83,C82&lt;&gt;C84,D84&lt;&gt;0,OR(D82&lt;&gt;0,D83&lt;&gt;0)),WLS*(C84-C83),"#NA"))</f>
        <v>#N/A</v>
      </c>
      <c r="O82" s="99">
        <f>O81+1</f>
        <v>11</v>
      </c>
      <c r="P82" s="99">
        <f t="shared" si="23"/>
        <v>6</v>
      </c>
      <c r="Q82" s="68" t="e">
        <f>IF(OR(P84-P83=P83-P82,P85-P83=P83-P82),P82,IF(OR(P84-P83=P83-P81,P85-P83=P83-P81),P81,"-"))</f>
        <v>#VALUE!</v>
      </c>
      <c r="R82" s="69" t="e">
        <f>VLOOKUP(Q82,STN_TABLE,2,FALSE)</f>
        <v>#VALUE!</v>
      </c>
      <c r="S82" s="69">
        <v>5</v>
      </c>
      <c r="T82" s="68" t="e">
        <f>R82*S82</f>
        <v>#VALUE!</v>
      </c>
      <c r="U82" s="79">
        <v>3</v>
      </c>
      <c r="V82" s="68" t="e">
        <f>R82*U82</f>
        <v>#VALUE!</v>
      </c>
      <c r="W82" s="6" t="s">
        <v>93</v>
      </c>
      <c r="X82" s="70" t="e">
        <f>IF(AND(Q84-Q83=Q83-Q82,NOT(AND(Q82=0,Q83=0)),NOT(AND(Q83=0,Q84=0))),WLS*(Q84-Q83),"#NA")</f>
        <v>#VALUE!</v>
      </c>
      <c r="AD82" s="93"/>
      <c r="AH82" s="6" t="s">
        <v>93</v>
      </c>
      <c r="AI82" s="70">
        <f>WLS*(AD84-AD83)</f>
        <v>1</v>
      </c>
      <c r="AU82" s="81"/>
    </row>
    <row r="83" spans="1:47" x14ac:dyDescent="0.25">
      <c r="A83" s="84">
        <f>A82+1</f>
        <v>10</v>
      </c>
      <c r="B83" s="84">
        <f t="shared" si="27"/>
        <v>5</v>
      </c>
      <c r="C83" s="80" t="str">
        <f t="shared" ref="C83" si="33">IF(OR(B85-B84=B84-B83,B85-B84=B84-B82,B85-B84=B84-B81),B84,IF(OR(B85-B83=B83-B82,B85-B83=B83-B81),B83,IF(B85-B82=B82-B81,B82,"#NA")))</f>
        <v>#NA</v>
      </c>
      <c r="D83" s="76" t="e">
        <f>VLOOKUP(C83,STN_TABLE,2,FALSE)</f>
        <v>#N/A</v>
      </c>
      <c r="E83" s="81">
        <v>4</v>
      </c>
      <c r="F83" s="76" t="e">
        <f>D83*E83</f>
        <v>#N/A</v>
      </c>
      <c r="G83" s="77" t="str">
        <f>C83</f>
        <v>#NA</v>
      </c>
      <c r="H83" s="77" t="e">
        <f>F83*G83</f>
        <v>#N/A</v>
      </c>
      <c r="I83" s="495" t="s">
        <v>97</v>
      </c>
      <c r="J83" s="496"/>
      <c r="K83" s="78" t="s">
        <v>98</v>
      </c>
      <c r="L83" s="78"/>
      <c r="M83" s="7" t="s">
        <v>99</v>
      </c>
      <c r="N83" s="7"/>
      <c r="O83" s="99">
        <f>O82+1</f>
        <v>12</v>
      </c>
      <c r="P83" s="99">
        <f t="shared" si="23"/>
        <v>6.5</v>
      </c>
      <c r="Q83" s="76">
        <f>P83</f>
        <v>6.5</v>
      </c>
      <c r="R83" s="77">
        <f>VLOOKUP(Q83,STN_TABLE,2,FALSE)</f>
        <v>9.16</v>
      </c>
      <c r="S83" s="77">
        <v>8</v>
      </c>
      <c r="T83" s="76">
        <f>R83*S83</f>
        <v>73.28</v>
      </c>
      <c r="U83" s="80">
        <v>10</v>
      </c>
      <c r="V83" s="76">
        <f>R83*U83</f>
        <v>91.6</v>
      </c>
      <c r="W83" s="496" t="s">
        <v>97</v>
      </c>
      <c r="X83" s="496"/>
      <c r="Y83" s="496" t="s">
        <v>98</v>
      </c>
      <c r="Z83" s="496"/>
      <c r="AA83" s="494" t="s">
        <v>99</v>
      </c>
      <c r="AB83" s="494"/>
      <c r="AC83" s="99">
        <f>AC78+1</f>
        <v>11</v>
      </c>
      <c r="AD83" s="95">
        <f>VLOOKUP(AC83,STN_TABLE_2,2,FALSE)</f>
        <v>6</v>
      </c>
      <c r="AE83" s="68">
        <f>VLOOKUP(AD83,STN_TABLE,2,FALSE)</f>
        <v>8.92</v>
      </c>
      <c r="AF83" s="68">
        <v>1</v>
      </c>
      <c r="AG83" s="69">
        <f>AE83*AF83</f>
        <v>8.92</v>
      </c>
      <c r="AH83" s="496" t="s">
        <v>97</v>
      </c>
      <c r="AI83" s="496"/>
      <c r="AJ83" s="496" t="s">
        <v>98</v>
      </c>
      <c r="AK83" s="496"/>
      <c r="AL83" s="494" t="s">
        <v>99</v>
      </c>
      <c r="AM83" s="494"/>
      <c r="AP83" s="86" t="s">
        <v>112</v>
      </c>
      <c r="AQ83" s="89" t="s">
        <v>113</v>
      </c>
      <c r="AR83" s="89" t="s">
        <v>114</v>
      </c>
      <c r="AS83" s="89" t="s">
        <v>115</v>
      </c>
      <c r="AU83" s="81"/>
    </row>
    <row r="84" spans="1:47" x14ac:dyDescent="0.25">
      <c r="A84" s="84">
        <f>A83+1</f>
        <v>11</v>
      </c>
      <c r="B84" s="84">
        <f t="shared" si="27"/>
        <v>6</v>
      </c>
      <c r="C84" s="88">
        <f t="shared" ref="C84" si="34">B85</f>
        <v>6.5</v>
      </c>
      <c r="D84" s="82">
        <f>VLOOKUP(C84,STN_TABLE,2,FALSE)</f>
        <v>9.16</v>
      </c>
      <c r="E84" s="92">
        <v>1</v>
      </c>
      <c r="F84" s="82">
        <f>D84*E84</f>
        <v>9.16</v>
      </c>
      <c r="G84" s="83">
        <f>C84</f>
        <v>6.5</v>
      </c>
      <c r="H84" s="83">
        <f>F84*G84</f>
        <v>59.54</v>
      </c>
      <c r="I84" s="84" t="str">
        <f>CONCATENATE("a'(",C84,")=")</f>
        <v>a'(6.5)=</v>
      </c>
      <c r="J84" s="84" t="e">
        <f>2*J82/3*F85</f>
        <v>#N/A</v>
      </c>
      <c r="K84" s="84" t="str">
        <f>CONCATENATE("A(",C82,")=")</f>
        <v>A(#NA)=</v>
      </c>
      <c r="L84" s="84" t="e">
        <f>VLOOKUP(C82,STN_TABLE,3,FALSE)</f>
        <v>#N/A</v>
      </c>
      <c r="M84" t="str">
        <f>CONCATENATE("A(",C84,")=")</f>
        <v>A(6.5)=</v>
      </c>
      <c r="N84" t="e">
        <f>J84+L84</f>
        <v>#N/A</v>
      </c>
      <c r="O84" s="99">
        <f>O83+1</f>
        <v>13</v>
      </c>
      <c r="P84" s="99" t="str">
        <f t="shared" si="23"/>
        <v xml:space="preserve">  </v>
      </c>
      <c r="Q84" s="82" t="e">
        <f>IF(P84-P83=P83-P82,P84,IF(P85-P83=P83-P82,P85,IF(P84-P83=P83-P81,P84,IF(P85-P83=P83-P81,P85,"-"))))</f>
        <v>#VALUE!</v>
      </c>
      <c r="R84" s="83" t="e">
        <f>VLOOKUP(Q84,STN_TABLE,2,FALSE)</f>
        <v>#VALUE!</v>
      </c>
      <c r="S84" s="83">
        <v>-1</v>
      </c>
      <c r="T84" s="82" t="e">
        <f>R84*S84</f>
        <v>#VALUE!</v>
      </c>
      <c r="U84" s="88">
        <v>-1</v>
      </c>
      <c r="V84" s="82" t="e">
        <f>R84*U84</f>
        <v>#VALUE!</v>
      </c>
      <c r="W84" s="84" t="str">
        <f>CONCATENATE("a'(",Q83,")=")</f>
        <v>a'(6.5)=</v>
      </c>
      <c r="X84" s="84" t="e">
        <f>2*X82/12*T85</f>
        <v>#VALUE!</v>
      </c>
      <c r="Y84" s="84" t="e">
        <f>CONCATENATE("A(",Q82,")=")</f>
        <v>#VALUE!</v>
      </c>
      <c r="Z84" s="84" t="e">
        <f>VLOOKUP(Q82,STN_TABLE,3,FALSE)</f>
        <v>#VALUE!</v>
      </c>
      <c r="AA84" t="str">
        <f>CONCATENATE("A(",Q83,")=")</f>
        <v>A(6.5)=</v>
      </c>
      <c r="AB84" t="e">
        <f>X84+Z84</f>
        <v>#VALUE!</v>
      </c>
      <c r="AC84" s="99">
        <f>AC83+1</f>
        <v>12</v>
      </c>
      <c r="AD84" s="100">
        <f>VLOOKUP(AC84,STN_TABLE_2,2,FALSE)</f>
        <v>6.5</v>
      </c>
      <c r="AE84" s="82">
        <f>VLOOKUP(AD84,STN_TABLE,2,FALSE)</f>
        <v>9.16</v>
      </c>
      <c r="AF84" s="82">
        <v>2</v>
      </c>
      <c r="AG84" s="83">
        <f>AE84*AF84</f>
        <v>18.32</v>
      </c>
      <c r="AH84" s="84" t="str">
        <f>CONCATENATE("a'(",AD84,")=")</f>
        <v>a'(6.5)=</v>
      </c>
      <c r="AI84" s="84">
        <f>2*AI82/2*AE85</f>
        <v>18.079999999999998</v>
      </c>
      <c r="AJ84" s="84" t="str">
        <f>CONCATENATE("A(",AD83,")=")</f>
        <v>A(6)=</v>
      </c>
      <c r="AK84" s="84">
        <f>VLOOKUP(AD83,STN_TABLE,3,FALSE)</f>
        <v>175.34786666666668</v>
      </c>
      <c r="AL84" t="str">
        <f>CONCATENATE("A(",AD84,")=")</f>
        <v>A(6.5)=</v>
      </c>
      <c r="AM84">
        <f>AI84+AK84</f>
        <v>193.42786666666666</v>
      </c>
      <c r="AO84" s="68" t="str">
        <f>AA84</f>
        <v>A(6.5)=</v>
      </c>
      <c r="AP84" s="68" t="e">
        <f>VLOOKUP(AO84,Rise_Results,2,FALSE)</f>
        <v>#N/A</v>
      </c>
      <c r="AQ84" s="76" t="e">
        <f>N84</f>
        <v>#N/A</v>
      </c>
      <c r="AR84" s="76" t="e">
        <f>IF(OR(AB84&lt;=0,AB85&lt;=0),1/0,AB84)</f>
        <v>#VALUE!</v>
      </c>
      <c r="AS84" s="76">
        <f>AM84</f>
        <v>193.42786666666666</v>
      </c>
      <c r="AT84">
        <f>IFERROR(AP84,IFERROR(AQ84,IFERROR(AR84,AS84)))</f>
        <v>193.42786666666666</v>
      </c>
      <c r="AU84" s="81"/>
    </row>
    <row r="85" spans="1:47" x14ac:dyDescent="0.25">
      <c r="A85" s="84">
        <f>A84+1</f>
        <v>12</v>
      </c>
      <c r="B85" s="84">
        <f t="shared" si="27"/>
        <v>6.5</v>
      </c>
      <c r="F85" s="82" t="e">
        <f>SUM(F82:F84)</f>
        <v>#N/A</v>
      </c>
      <c r="H85" s="82" t="e">
        <f>SUM(H82:H84)</f>
        <v>#N/A</v>
      </c>
      <c r="I85" s="84" t="str">
        <f>CONCATENATE("m'(",C84,")=")</f>
        <v>m'(6.5)=</v>
      </c>
      <c r="J85" s="84" t="e">
        <f>2*(J82*(WLS))/3*H85</f>
        <v>#N/A</v>
      </c>
      <c r="K85" s="84" t="str">
        <f>CONCATENATE("M(",C82,")=")</f>
        <v>M(#NA)=</v>
      </c>
      <c r="L85" s="84" t="e">
        <f>VLOOKUP(C82,STN_TABLE,4,FALSE)</f>
        <v>#N/A</v>
      </c>
      <c r="M85" t="str">
        <f>CONCATENATE("M(",C84,")=")</f>
        <v>M(6.5)=</v>
      </c>
      <c r="N85" t="e">
        <f>J85+L85</f>
        <v>#N/A</v>
      </c>
      <c r="O85" s="99">
        <f>O84+1</f>
        <v>14</v>
      </c>
      <c r="P85" s="99" t="str">
        <f t="shared" si="23"/>
        <v xml:space="preserve">  </v>
      </c>
      <c r="T85" s="89" t="e">
        <f>SUM(T82:T84)</f>
        <v>#VALUE!</v>
      </c>
      <c r="V85" s="82" t="e">
        <f>SUM(V82:V84)</f>
        <v>#VALUE!</v>
      </c>
      <c r="W85" s="84" t="str">
        <f>CONCATENATE("m'(",Q83,")=")</f>
        <v>m'(6.5)=</v>
      </c>
      <c r="X85" s="84" t="e">
        <f>(2*(X82^2)/24*V85)+(X84*Q82*WLS)</f>
        <v>#VALUE!</v>
      </c>
      <c r="Y85" s="84" t="e">
        <f>CONCATENATE("M(",Q82,")=")</f>
        <v>#VALUE!</v>
      </c>
      <c r="Z85" s="84" t="e">
        <f>VLOOKUP(Q82,STN_TABLE,4,FALSE)</f>
        <v>#VALUE!</v>
      </c>
      <c r="AA85" t="str">
        <f>CONCATENATE("M(",Q83,")=")</f>
        <v>M(6.5)=</v>
      </c>
      <c r="AB85" t="e">
        <f>X85+Z85</f>
        <v>#VALUE!</v>
      </c>
      <c r="AE85" s="89">
        <f>SUM(AE83:AE84)</f>
        <v>18.079999999999998</v>
      </c>
      <c r="AG85" s="89">
        <f>SUM(AG83:AG84)</f>
        <v>27.240000000000002</v>
      </c>
      <c r="AH85" s="84" t="str">
        <f>CONCATENATE("m'(",AD84,")=")</f>
        <v>m'(6.5)=</v>
      </c>
      <c r="AI85" s="84">
        <f>(2*(AI82^2)/6*AG85)+(AI84*AD83*WLS)</f>
        <v>226.04</v>
      </c>
      <c r="AJ85" s="84" t="str">
        <f>CONCATENATE("M(",AD83,")=")</f>
        <v>M(6)=</v>
      </c>
      <c r="AK85" s="84">
        <f>VLOOKUP(AD83,STN_TABLE,4,FALSE)</f>
        <v>1144.7229333333332</v>
      </c>
      <c r="AL85" t="str">
        <f>CONCATENATE("M(",AD84,")=")</f>
        <v>M(6.5)=</v>
      </c>
      <c r="AM85">
        <f>AI85+AK85</f>
        <v>1370.7629333333332</v>
      </c>
      <c r="AO85" s="82" t="str">
        <f>AA85</f>
        <v>M(6.5)=</v>
      </c>
      <c r="AP85" s="82" t="e">
        <f>VLOOKUP(AO85,Rise_Results,2,FALSE)</f>
        <v>#N/A</v>
      </c>
      <c r="AQ85" s="82" t="e">
        <f>N85</f>
        <v>#N/A</v>
      </c>
      <c r="AR85" s="82" t="e">
        <f>IF(OR(AB84&lt;=0,AB85&lt;=0),1/0,AB85)</f>
        <v>#VALUE!</v>
      </c>
      <c r="AS85" s="82">
        <f>AM85</f>
        <v>1370.7629333333332</v>
      </c>
      <c r="AT85">
        <f>IFERROR(AP85,IFERROR(AQ85,IFERROR(AR85,AS85)))</f>
        <v>1370.7629333333332</v>
      </c>
      <c r="AU85" s="81"/>
    </row>
    <row r="86" spans="1:47" x14ac:dyDescent="0.25">
      <c r="A86" s="101">
        <f>A81+1</f>
        <v>9</v>
      </c>
      <c r="B86" s="101">
        <f t="shared" si="27"/>
        <v>4.8499999999999996</v>
      </c>
      <c r="O86" s="101">
        <f>O81+1</f>
        <v>11</v>
      </c>
      <c r="P86" s="101">
        <f t="shared" si="23"/>
        <v>6</v>
      </c>
      <c r="AU86" s="81"/>
    </row>
    <row r="87" spans="1:47" x14ac:dyDescent="0.25">
      <c r="A87" s="84">
        <f>A86+1</f>
        <v>10</v>
      </c>
      <c r="B87" s="84">
        <f t="shared" si="27"/>
        <v>5</v>
      </c>
      <c r="C87" s="79" t="e">
        <f t="shared" ref="C87" si="35">IF(C88=B89,IF(C89-C88=C88-B88,B88,IF(C89-C88=C88-B87,B87,"#NA")),IF(C88=B88,IF(C89-C88=C88-B87,B87,IF(C89-C88=C88-B86,B86,"#NA")),"#NA"))</f>
        <v>#VALUE!</v>
      </c>
      <c r="D87" s="68" t="e">
        <f>VLOOKUP(C87,STN_TABLE,2,FALSE)</f>
        <v>#VALUE!</v>
      </c>
      <c r="E87" s="102">
        <v>1</v>
      </c>
      <c r="F87" s="68" t="e">
        <f>D87*E87</f>
        <v>#VALUE!</v>
      </c>
      <c r="G87" s="69" t="e">
        <f>C87</f>
        <v>#VALUE!</v>
      </c>
      <c r="H87" s="69" t="e">
        <f>F87*G87</f>
        <v>#VALUE!</v>
      </c>
      <c r="I87" s="6" t="s">
        <v>93</v>
      </c>
      <c r="J87" s="70" t="e">
        <f>IF(OR(D87=0,D88=0,D89=0),"#NA",IF(AND(C89-C88=C88-C87,C88&lt;&gt;C89,C87&lt;&gt;C88,C87&lt;&gt;C89,D89&lt;&gt;0,OR(D87&lt;&gt;0,D88&lt;&gt;0)),WLS*(C89-C88),"#NA"))</f>
        <v>#VALUE!</v>
      </c>
      <c r="O87" s="99">
        <f>O86+1</f>
        <v>12</v>
      </c>
      <c r="P87" s="99">
        <f t="shared" si="23"/>
        <v>6.5</v>
      </c>
      <c r="Q87" s="68" t="e">
        <f>IF(OR(P89-P88=P88-P87,P90-P88=P88-P87),P87,IF(OR(P89-P88=P88-P86,P90-P88=P88-P86),P86,"-"))</f>
        <v>#VALUE!</v>
      </c>
      <c r="R87" s="69" t="e">
        <f>VLOOKUP(Q87,STN_TABLE,2,FALSE)</f>
        <v>#VALUE!</v>
      </c>
      <c r="S87" s="69">
        <v>5</v>
      </c>
      <c r="T87" s="68" t="e">
        <f>R87*S87</f>
        <v>#VALUE!</v>
      </c>
      <c r="U87" s="79">
        <v>3</v>
      </c>
      <c r="V87" s="68" t="e">
        <f>R87*U87</f>
        <v>#VALUE!</v>
      </c>
      <c r="W87" s="6" t="s">
        <v>93</v>
      </c>
      <c r="X87" s="70" t="e">
        <f>IF(AND(Q89-Q88=Q88-Q87,NOT(AND(Q87=0,Q88=0)),NOT(AND(Q88=0,Q89=0))),WLS*(Q89-Q88),"#NA")</f>
        <v>#VALUE!</v>
      </c>
      <c r="AD87" s="93"/>
      <c r="AH87" s="6" t="s">
        <v>93</v>
      </c>
      <c r="AI87" s="70" t="e">
        <f>WLS*(AD89-AD88)</f>
        <v>#VALUE!</v>
      </c>
      <c r="AU87" s="81"/>
    </row>
    <row r="88" spans="1:47" x14ac:dyDescent="0.25">
      <c r="A88" s="84">
        <f>A87+1</f>
        <v>11</v>
      </c>
      <c r="B88" s="84">
        <f t="shared" si="27"/>
        <v>6</v>
      </c>
      <c r="C88" s="80" t="e">
        <f t="shared" ref="C88" si="36">IF(OR(B90-B89=B89-B88,B90-B89=B89-B87,B90-B89=B89-B86),B89,IF(OR(B90-B88=B88-B87,B90-B88=B88-B86),B88,IF(B90-B87=B87-B86,B87,"#NA")))</f>
        <v>#VALUE!</v>
      </c>
      <c r="D88" s="76" t="e">
        <f>VLOOKUP(C88,STN_TABLE,2,FALSE)</f>
        <v>#VALUE!</v>
      </c>
      <c r="E88" s="81">
        <v>4</v>
      </c>
      <c r="F88" s="76" t="e">
        <f>D88*E88</f>
        <v>#VALUE!</v>
      </c>
      <c r="G88" s="77" t="e">
        <f>C88</f>
        <v>#VALUE!</v>
      </c>
      <c r="H88" s="77" t="e">
        <f>F88*G88</f>
        <v>#VALUE!</v>
      </c>
      <c r="I88" s="495" t="s">
        <v>97</v>
      </c>
      <c r="J88" s="496"/>
      <c r="K88" s="78" t="s">
        <v>98</v>
      </c>
      <c r="L88" s="78"/>
      <c r="M88" s="7" t="s">
        <v>99</v>
      </c>
      <c r="N88" s="7"/>
      <c r="O88" s="99">
        <f>O87+1</f>
        <v>13</v>
      </c>
      <c r="P88" s="99" t="str">
        <f t="shared" si="23"/>
        <v xml:space="preserve">  </v>
      </c>
      <c r="Q88" s="76" t="str">
        <f>P88</f>
        <v xml:space="preserve">  </v>
      </c>
      <c r="R88" s="77" t="str">
        <f>VLOOKUP(Q88,STN_TABLE,2,FALSE)</f>
        <v xml:space="preserve">  </v>
      </c>
      <c r="S88" s="77">
        <v>8</v>
      </c>
      <c r="T88" s="76" t="e">
        <f>R88*S88</f>
        <v>#VALUE!</v>
      </c>
      <c r="U88" s="80">
        <v>10</v>
      </c>
      <c r="V88" s="76" t="e">
        <f>R88*U88</f>
        <v>#VALUE!</v>
      </c>
      <c r="W88" s="496" t="s">
        <v>97</v>
      </c>
      <c r="X88" s="496"/>
      <c r="Y88" s="496" t="s">
        <v>98</v>
      </c>
      <c r="Z88" s="496"/>
      <c r="AA88" s="494" t="s">
        <v>99</v>
      </c>
      <c r="AB88" s="494"/>
      <c r="AC88" s="99">
        <f>AC83+1</f>
        <v>12</v>
      </c>
      <c r="AD88" s="95">
        <f>VLOOKUP(AC88,STN_TABLE_2,2,FALSE)</f>
        <v>6.5</v>
      </c>
      <c r="AE88" s="68">
        <f>VLOOKUP(AD88,STN_TABLE,2,FALSE)</f>
        <v>9.16</v>
      </c>
      <c r="AF88" s="68">
        <v>1</v>
      </c>
      <c r="AG88" s="69">
        <f>AE88*AF88</f>
        <v>9.16</v>
      </c>
      <c r="AH88" s="496" t="s">
        <v>97</v>
      </c>
      <c r="AI88" s="496"/>
      <c r="AJ88" s="496" t="s">
        <v>98</v>
      </c>
      <c r="AK88" s="496"/>
      <c r="AL88" s="494" t="s">
        <v>99</v>
      </c>
      <c r="AM88" s="494"/>
      <c r="AP88" s="86" t="s">
        <v>112</v>
      </c>
      <c r="AQ88" s="89" t="s">
        <v>113</v>
      </c>
      <c r="AR88" s="89" t="s">
        <v>114</v>
      </c>
      <c r="AS88" s="89" t="s">
        <v>115</v>
      </c>
      <c r="AU88" s="81"/>
    </row>
    <row r="89" spans="1:47" x14ac:dyDescent="0.25">
      <c r="A89" s="84">
        <f>A88+1</f>
        <v>12</v>
      </c>
      <c r="B89" s="84">
        <f t="shared" si="27"/>
        <v>6.5</v>
      </c>
      <c r="C89" s="88" t="str">
        <f t="shared" ref="C89" si="37">B90</f>
        <v xml:space="preserve">  </v>
      </c>
      <c r="D89" s="82" t="str">
        <f>VLOOKUP(C89,STN_TABLE,2,FALSE)</f>
        <v xml:space="preserve">  </v>
      </c>
      <c r="E89" s="92">
        <v>1</v>
      </c>
      <c r="F89" s="82" t="e">
        <f>D89*E89</f>
        <v>#VALUE!</v>
      </c>
      <c r="G89" s="83" t="str">
        <f>C89</f>
        <v xml:space="preserve">  </v>
      </c>
      <c r="H89" s="83" t="e">
        <f>F89*G89</f>
        <v>#VALUE!</v>
      </c>
      <c r="I89" s="84" t="str">
        <f>CONCATENATE("a'(",C89,")=")</f>
        <v>a'(  )=</v>
      </c>
      <c r="J89" s="84" t="e">
        <f>2*J87/3*F90</f>
        <v>#VALUE!</v>
      </c>
      <c r="K89" s="84" t="e">
        <f>CONCATENATE("A(",C87,")=")</f>
        <v>#VALUE!</v>
      </c>
      <c r="L89" s="84" t="e">
        <f>VLOOKUP(C87,STN_TABLE,3,FALSE)</f>
        <v>#VALUE!</v>
      </c>
      <c r="M89" t="str">
        <f>CONCATENATE("A(",C89,")=")</f>
        <v>A(  )=</v>
      </c>
      <c r="N89" t="e">
        <f>J89+L89</f>
        <v>#VALUE!</v>
      </c>
      <c r="O89" s="99">
        <f>O88+1</f>
        <v>14</v>
      </c>
      <c r="P89" s="99" t="str">
        <f t="shared" si="23"/>
        <v xml:space="preserve">  </v>
      </c>
      <c r="Q89" s="82" t="e">
        <f>IF(P89-P88=P88-P87,P89,IF(P90-P88=P88-P87,P90,IF(P89-P88=P88-P86,P89,IF(P90-P88=P88-P86,P90,"-"))))</f>
        <v>#VALUE!</v>
      </c>
      <c r="R89" s="83" t="e">
        <f>VLOOKUP(Q89,STN_TABLE,2,FALSE)</f>
        <v>#VALUE!</v>
      </c>
      <c r="S89" s="83">
        <v>-1</v>
      </c>
      <c r="T89" s="82" t="e">
        <f>R89*S89</f>
        <v>#VALUE!</v>
      </c>
      <c r="U89" s="88">
        <v>-1</v>
      </c>
      <c r="V89" s="82" t="e">
        <f>R89*U89</f>
        <v>#VALUE!</v>
      </c>
      <c r="W89" s="84" t="str">
        <f>CONCATENATE("a'(",Q88,")=")</f>
        <v>a'(  )=</v>
      </c>
      <c r="X89" s="84" t="e">
        <f>2*X87/12*T90</f>
        <v>#VALUE!</v>
      </c>
      <c r="Y89" s="84" t="e">
        <f>CONCATENATE("A(",Q87,")=")</f>
        <v>#VALUE!</v>
      </c>
      <c r="Z89" s="84" t="e">
        <f>VLOOKUP(Q87,STN_TABLE,3,FALSE)</f>
        <v>#VALUE!</v>
      </c>
      <c r="AA89" t="str">
        <f>CONCATENATE("A(",Q88,")=")</f>
        <v>A(  )=</v>
      </c>
      <c r="AB89" t="e">
        <f>X89+Z89</f>
        <v>#VALUE!</v>
      </c>
      <c r="AC89" s="99">
        <f>AC88+1</f>
        <v>13</v>
      </c>
      <c r="AD89" s="100" t="str">
        <f>VLOOKUP(AC89,STN_TABLE_2,2,FALSE)</f>
        <v xml:space="preserve">  </v>
      </c>
      <c r="AE89" s="82" t="str">
        <f>VLOOKUP(AD89,STN_TABLE,2,FALSE)</f>
        <v xml:space="preserve">  </v>
      </c>
      <c r="AF89" s="82">
        <v>2</v>
      </c>
      <c r="AG89" s="83" t="e">
        <f>AE89*AF89</f>
        <v>#VALUE!</v>
      </c>
      <c r="AH89" s="84" t="str">
        <f>CONCATENATE("a'(",AD89,")=")</f>
        <v>a'(  )=</v>
      </c>
      <c r="AI89" s="84" t="e">
        <f>2*AI87/2*AE90</f>
        <v>#VALUE!</v>
      </c>
      <c r="AJ89" s="84" t="str">
        <f>CONCATENATE("A(",AD88,")=")</f>
        <v>A(6.5)=</v>
      </c>
      <c r="AK89" s="84">
        <f>VLOOKUP(AD88,STN_TABLE,3,FALSE)</f>
        <v>193.42786666666666</v>
      </c>
      <c r="AL89" t="str">
        <f>CONCATENATE("A(",AD89,")=")</f>
        <v>A(  )=</v>
      </c>
      <c r="AM89" t="e">
        <f>AI89+AK89</f>
        <v>#VALUE!</v>
      </c>
      <c r="AO89" s="68" t="str">
        <f>AA89</f>
        <v>A(  )=</v>
      </c>
      <c r="AP89" s="68" t="e">
        <f>VLOOKUP(AO89,Rise_Results,2,FALSE)</f>
        <v>#N/A</v>
      </c>
      <c r="AQ89" s="76" t="e">
        <f>N89</f>
        <v>#VALUE!</v>
      </c>
      <c r="AR89" s="76" t="e">
        <f>IF(OR(AB89&lt;=0,AB90&lt;=0),1/0,AB89)</f>
        <v>#VALUE!</v>
      </c>
      <c r="AS89" s="76" t="e">
        <f>AM89</f>
        <v>#VALUE!</v>
      </c>
      <c r="AT89" t="e">
        <f>IFERROR(AP89,IFERROR(AQ89,IFERROR(AR89,AS89)))</f>
        <v>#VALUE!</v>
      </c>
      <c r="AU89" s="81"/>
    </row>
    <row r="90" spans="1:47" x14ac:dyDescent="0.25">
      <c r="A90" s="84">
        <f>A89+1</f>
        <v>13</v>
      </c>
      <c r="B90" s="84" t="str">
        <f t="shared" si="27"/>
        <v xml:space="preserve">  </v>
      </c>
      <c r="F90" s="82" t="e">
        <f>SUM(F87:F89)</f>
        <v>#VALUE!</v>
      </c>
      <c r="H90" s="82" t="e">
        <f>SUM(H87:H89)</f>
        <v>#VALUE!</v>
      </c>
      <c r="I90" s="84" t="str">
        <f>CONCATENATE("m'(",C89,")=")</f>
        <v>m'(  )=</v>
      </c>
      <c r="J90" s="84" t="e">
        <f>2*(J87*(WLS))/3*H90</f>
        <v>#VALUE!</v>
      </c>
      <c r="K90" s="84" t="e">
        <f>CONCATENATE("M(",C87,")=")</f>
        <v>#VALUE!</v>
      </c>
      <c r="L90" s="84" t="e">
        <f>VLOOKUP(C87,STN_TABLE,4,FALSE)</f>
        <v>#VALUE!</v>
      </c>
      <c r="M90" t="str">
        <f>CONCATENATE("M(",C89,")=")</f>
        <v>M(  )=</v>
      </c>
      <c r="N90" t="e">
        <f>J90+L90</f>
        <v>#VALUE!</v>
      </c>
      <c r="O90" s="99">
        <f>O89+1</f>
        <v>15</v>
      </c>
      <c r="P90" s="99" t="str">
        <f t="shared" si="23"/>
        <v xml:space="preserve">  </v>
      </c>
      <c r="T90" s="89" t="e">
        <f>SUM(T87:T89)</f>
        <v>#VALUE!</v>
      </c>
      <c r="V90" s="82" t="e">
        <f>SUM(V87:V89)</f>
        <v>#VALUE!</v>
      </c>
      <c r="W90" s="84" t="str">
        <f>CONCATENATE("m'(",Q88,")=")</f>
        <v>m'(  )=</v>
      </c>
      <c r="X90" s="84" t="e">
        <f>(2*(X87^2)/24*V90)+(X89*Q87*WLS)</f>
        <v>#VALUE!</v>
      </c>
      <c r="Y90" s="84" t="e">
        <f>CONCATENATE("M(",Q87,")=")</f>
        <v>#VALUE!</v>
      </c>
      <c r="Z90" s="84" t="e">
        <f>VLOOKUP(Q87,STN_TABLE,4,FALSE)</f>
        <v>#VALUE!</v>
      </c>
      <c r="AA90" t="str">
        <f>CONCATENATE("M(",Q88,")=")</f>
        <v>M(  )=</v>
      </c>
      <c r="AB90" t="e">
        <f>X90+Z90</f>
        <v>#VALUE!</v>
      </c>
      <c r="AE90" s="89">
        <f>SUM(AE88:AE89)</f>
        <v>9.16</v>
      </c>
      <c r="AG90" s="89" t="e">
        <f>SUM(AG88:AG89)</f>
        <v>#VALUE!</v>
      </c>
      <c r="AH90" s="84" t="str">
        <f>CONCATENATE("m'(",AD89,")=")</f>
        <v>m'(  )=</v>
      </c>
      <c r="AI90" s="84" t="e">
        <f>(2*(AI87^2)/6*AG90)+(AI89*AD88*WLS)</f>
        <v>#VALUE!</v>
      </c>
      <c r="AJ90" s="84" t="str">
        <f>CONCATENATE("M(",AD88,")=")</f>
        <v>M(6.5)=</v>
      </c>
      <c r="AK90" s="84">
        <f>VLOOKUP(AD88,STN_TABLE,4,FALSE)</f>
        <v>1370.7629333333332</v>
      </c>
      <c r="AL90" t="str">
        <f>CONCATENATE("M(",AD89,")=")</f>
        <v>M(  )=</v>
      </c>
      <c r="AM90" t="e">
        <f>AI90+AK90</f>
        <v>#VALUE!</v>
      </c>
      <c r="AO90" s="82" t="str">
        <f>AA90</f>
        <v>M(  )=</v>
      </c>
      <c r="AP90" s="82" t="e">
        <f>VLOOKUP(AO90,Rise_Results,2,FALSE)</f>
        <v>#N/A</v>
      </c>
      <c r="AQ90" s="82" t="e">
        <f>N90</f>
        <v>#VALUE!</v>
      </c>
      <c r="AR90" s="82" t="e">
        <f>IF(OR(AB89&lt;=0,AB90&lt;=0),1/0,AB90)</f>
        <v>#VALUE!</v>
      </c>
      <c r="AS90" s="82" t="e">
        <f>AM90</f>
        <v>#VALUE!</v>
      </c>
      <c r="AT90" t="e">
        <f>IFERROR(AP90,IFERROR(AQ90,IFERROR(AR90,AS90)))</f>
        <v>#VALUE!</v>
      </c>
      <c r="AU90" s="81"/>
    </row>
    <row r="91" spans="1:47" x14ac:dyDescent="0.25">
      <c r="A91" s="101">
        <f>A86+1</f>
        <v>10</v>
      </c>
      <c r="B91" s="101">
        <f t="shared" si="27"/>
        <v>5</v>
      </c>
      <c r="O91" s="101">
        <f>O86+1</f>
        <v>12</v>
      </c>
      <c r="P91" s="101">
        <f t="shared" si="23"/>
        <v>6.5</v>
      </c>
      <c r="AU91" s="81"/>
    </row>
    <row r="92" spans="1:47" x14ac:dyDescent="0.25">
      <c r="A92" s="84">
        <f>A91+1</f>
        <v>11</v>
      </c>
      <c r="B92" s="84">
        <f t="shared" si="27"/>
        <v>6</v>
      </c>
      <c r="C92" s="79" t="e">
        <f t="shared" ref="C92" si="38">IF(C93=B94,IF(C94-C93=C93-B93,B93,IF(C94-C93=C93-B92,B92,"#NA")),IF(C93=B93,IF(C94-C93=C93-B92,B92,IF(C94-C93=C93-B91,B91,"#NA")),"#NA"))</f>
        <v>#VALUE!</v>
      </c>
      <c r="D92" s="68" t="e">
        <f>VLOOKUP(C92,STN_TABLE,2,FALSE)</f>
        <v>#VALUE!</v>
      </c>
      <c r="E92" s="102">
        <v>1</v>
      </c>
      <c r="F92" s="68" t="e">
        <f>D92*E92</f>
        <v>#VALUE!</v>
      </c>
      <c r="G92" s="69" t="e">
        <f>C92</f>
        <v>#VALUE!</v>
      </c>
      <c r="H92" s="69" t="e">
        <f>F92*G92</f>
        <v>#VALUE!</v>
      </c>
      <c r="I92" s="6" t="s">
        <v>93</v>
      </c>
      <c r="J92" s="70" t="e">
        <f>IF(OR(D92=0,D93=0,D94=0),"#NA",IF(AND(C94-C93=C93-C92,C93&lt;&gt;C94,C92&lt;&gt;C93,C92&lt;&gt;C94,D94&lt;&gt;0,OR(D92&lt;&gt;0,D93&lt;&gt;0)),WLS*(C94-C93),"#NA"))</f>
        <v>#VALUE!</v>
      </c>
      <c r="O92" s="99">
        <f>O91+1</f>
        <v>13</v>
      </c>
      <c r="P92" s="99" t="str">
        <f t="shared" si="23"/>
        <v xml:space="preserve">  </v>
      </c>
      <c r="Q92" s="68" t="e">
        <f>IF(OR(P94-P93=P93-P92,P95-P93=P93-P92),P92,IF(OR(P94-P93=P93-P91,P95-P93=P93-P91),P91,"-"))</f>
        <v>#VALUE!</v>
      </c>
      <c r="R92" s="69" t="e">
        <f>VLOOKUP(Q92,STN_TABLE,2,FALSE)</f>
        <v>#VALUE!</v>
      </c>
      <c r="S92" s="69">
        <v>5</v>
      </c>
      <c r="T92" s="68" t="e">
        <f>R92*S92</f>
        <v>#VALUE!</v>
      </c>
      <c r="U92" s="79">
        <v>3</v>
      </c>
      <c r="V92" s="68" t="e">
        <f>R92*U92</f>
        <v>#VALUE!</v>
      </c>
      <c r="W92" s="6" t="s">
        <v>93</v>
      </c>
      <c r="X92" s="70" t="e">
        <f>IF(AND(Q94-Q93=Q93-Q92,NOT(AND(Q92=0,Q93=0)),NOT(AND(Q93=0,Q94=0))),WLS*(Q94-Q93),"#NA")</f>
        <v>#VALUE!</v>
      </c>
      <c r="AD92" s="93"/>
      <c r="AH92" s="6" t="s">
        <v>93</v>
      </c>
      <c r="AI92" s="70" t="e">
        <f>WLS*(AD94-AD93)</f>
        <v>#VALUE!</v>
      </c>
      <c r="AU92" s="81"/>
    </row>
    <row r="93" spans="1:47" x14ac:dyDescent="0.25">
      <c r="A93" s="84">
        <f>A92+1</f>
        <v>12</v>
      </c>
      <c r="B93" s="84">
        <f t="shared" si="27"/>
        <v>6.5</v>
      </c>
      <c r="C93" s="80" t="e">
        <f t="shared" ref="C93" si="39">IF(OR(B95-B94=B94-B93,B95-B94=B94-B92,B95-B94=B94-B91),B94,IF(OR(B95-B93=B93-B92,B95-B93=B93-B91),B93,IF(B95-B92=B92-B91,B92,"#NA")))</f>
        <v>#VALUE!</v>
      </c>
      <c r="D93" s="76" t="e">
        <f>VLOOKUP(C93,STN_TABLE,2,FALSE)</f>
        <v>#VALUE!</v>
      </c>
      <c r="E93" s="81">
        <v>4</v>
      </c>
      <c r="F93" s="76" t="e">
        <f>D93*E93</f>
        <v>#VALUE!</v>
      </c>
      <c r="G93" s="77" t="e">
        <f>C93</f>
        <v>#VALUE!</v>
      </c>
      <c r="H93" s="77" t="e">
        <f>F93*G93</f>
        <v>#VALUE!</v>
      </c>
      <c r="I93" s="495" t="s">
        <v>97</v>
      </c>
      <c r="J93" s="496"/>
      <c r="K93" s="78" t="s">
        <v>98</v>
      </c>
      <c r="L93" s="78"/>
      <c r="M93" s="7" t="s">
        <v>99</v>
      </c>
      <c r="N93" s="7"/>
      <c r="O93" s="99">
        <f>O92+1</f>
        <v>14</v>
      </c>
      <c r="P93" s="99" t="str">
        <f t="shared" si="23"/>
        <v xml:space="preserve">  </v>
      </c>
      <c r="Q93" s="76" t="str">
        <f>P93</f>
        <v xml:space="preserve">  </v>
      </c>
      <c r="R93" s="77" t="str">
        <f>VLOOKUP(Q93,STN_TABLE,2,FALSE)</f>
        <v xml:space="preserve">  </v>
      </c>
      <c r="S93" s="77">
        <v>8</v>
      </c>
      <c r="T93" s="76" t="e">
        <f>R93*S93</f>
        <v>#VALUE!</v>
      </c>
      <c r="U93" s="80">
        <v>10</v>
      </c>
      <c r="V93" s="76" t="e">
        <f>R93*U93</f>
        <v>#VALUE!</v>
      </c>
      <c r="W93" s="496" t="s">
        <v>97</v>
      </c>
      <c r="X93" s="496"/>
      <c r="Y93" s="496" t="s">
        <v>98</v>
      </c>
      <c r="Z93" s="496"/>
      <c r="AA93" s="494" t="s">
        <v>99</v>
      </c>
      <c r="AB93" s="494"/>
      <c r="AC93" s="99">
        <f>AC88+1</f>
        <v>13</v>
      </c>
      <c r="AD93" s="95" t="str">
        <f>VLOOKUP(AC93,STN_TABLE_2,2,FALSE)</f>
        <v xml:space="preserve">  </v>
      </c>
      <c r="AE93" s="68" t="str">
        <f>VLOOKUP(AD93,STN_TABLE,2,FALSE)</f>
        <v xml:space="preserve">  </v>
      </c>
      <c r="AF93" s="68">
        <v>1</v>
      </c>
      <c r="AG93" s="69" t="e">
        <f>AE93*AF93</f>
        <v>#VALUE!</v>
      </c>
      <c r="AH93" s="496" t="s">
        <v>97</v>
      </c>
      <c r="AI93" s="496"/>
      <c r="AJ93" s="496" t="s">
        <v>98</v>
      </c>
      <c r="AK93" s="496"/>
      <c r="AL93" s="494" t="s">
        <v>99</v>
      </c>
      <c r="AM93" s="494"/>
      <c r="AP93" s="86" t="s">
        <v>112</v>
      </c>
      <c r="AQ93" s="89" t="s">
        <v>113</v>
      </c>
      <c r="AR93" s="89" t="s">
        <v>114</v>
      </c>
      <c r="AS93" s="89" t="s">
        <v>115</v>
      </c>
      <c r="AU93" s="81"/>
    </row>
    <row r="94" spans="1:47" x14ac:dyDescent="0.25">
      <c r="A94" s="84">
        <f>A93+1</f>
        <v>13</v>
      </c>
      <c r="B94" s="84" t="str">
        <f t="shared" si="27"/>
        <v xml:space="preserve">  </v>
      </c>
      <c r="C94" s="88" t="str">
        <f t="shared" ref="C94" si="40">B95</f>
        <v xml:space="preserve">  </v>
      </c>
      <c r="D94" s="82" t="str">
        <f>VLOOKUP(C94,STN_TABLE,2,FALSE)</f>
        <v xml:space="preserve">  </v>
      </c>
      <c r="E94" s="92">
        <v>1</v>
      </c>
      <c r="F94" s="82" t="e">
        <f>D94*E94</f>
        <v>#VALUE!</v>
      </c>
      <c r="G94" s="83" t="str">
        <f>C94</f>
        <v xml:space="preserve">  </v>
      </c>
      <c r="H94" s="83" t="e">
        <f>F94*G94</f>
        <v>#VALUE!</v>
      </c>
      <c r="I94" s="84" t="str">
        <f>CONCATENATE("a'(",C94,")=")</f>
        <v>a'(  )=</v>
      </c>
      <c r="J94" s="84" t="e">
        <f>2*J92/3*F95</f>
        <v>#VALUE!</v>
      </c>
      <c r="K94" s="84" t="e">
        <f>CONCATENATE("A(",C92,")=")</f>
        <v>#VALUE!</v>
      </c>
      <c r="L94" s="84" t="e">
        <f>VLOOKUP(C92,STN_TABLE,3,FALSE)</f>
        <v>#VALUE!</v>
      </c>
      <c r="M94" t="str">
        <f>CONCATENATE("A(",C94,")=")</f>
        <v>A(  )=</v>
      </c>
      <c r="N94" t="e">
        <f>J94+L94</f>
        <v>#VALUE!</v>
      </c>
      <c r="O94" s="99">
        <f>O93+1</f>
        <v>15</v>
      </c>
      <c r="P94" s="99" t="str">
        <f t="shared" si="23"/>
        <v xml:space="preserve">  </v>
      </c>
      <c r="Q94" s="82" t="e">
        <f>IF(P94-P93=P93-P92,P94,IF(P95-P93=P93-P92,P95,IF(P94-P93=P93-P91,P94,IF(P95-P93=P93-P91,P95,"-"))))</f>
        <v>#VALUE!</v>
      </c>
      <c r="R94" s="83" t="e">
        <f>VLOOKUP(Q94,STN_TABLE,2,FALSE)</f>
        <v>#VALUE!</v>
      </c>
      <c r="S94" s="83">
        <v>-1</v>
      </c>
      <c r="T94" s="82" t="e">
        <f>R94*S94</f>
        <v>#VALUE!</v>
      </c>
      <c r="U94" s="88">
        <v>-1</v>
      </c>
      <c r="V94" s="82" t="e">
        <f>R94*U94</f>
        <v>#VALUE!</v>
      </c>
      <c r="W94" s="84" t="str">
        <f>CONCATENATE("a'(",Q93,")=")</f>
        <v>a'(  )=</v>
      </c>
      <c r="X94" s="84" t="e">
        <f>2*X92/12*T95</f>
        <v>#VALUE!</v>
      </c>
      <c r="Y94" s="84" t="e">
        <f>CONCATENATE("A(",Q92,")=")</f>
        <v>#VALUE!</v>
      </c>
      <c r="Z94" s="84" t="e">
        <f>VLOOKUP(Q92,STN_TABLE,3,FALSE)</f>
        <v>#VALUE!</v>
      </c>
      <c r="AA94" t="str">
        <f>CONCATENATE("A(",Q93,")=")</f>
        <v>A(  )=</v>
      </c>
      <c r="AB94" t="e">
        <f>X94+Z94</f>
        <v>#VALUE!</v>
      </c>
      <c r="AC94" s="99">
        <f>AC93+1</f>
        <v>14</v>
      </c>
      <c r="AD94" s="100" t="str">
        <f>VLOOKUP(AC94,STN_TABLE_2,2,FALSE)</f>
        <v xml:space="preserve">  </v>
      </c>
      <c r="AE94" s="82" t="str">
        <f>VLOOKUP(AD94,STN_TABLE,2,FALSE)</f>
        <v xml:space="preserve">  </v>
      </c>
      <c r="AF94" s="82">
        <v>2</v>
      </c>
      <c r="AG94" s="83" t="e">
        <f>AE94*AF94</f>
        <v>#VALUE!</v>
      </c>
      <c r="AH94" s="84" t="str">
        <f>CONCATENATE("a'(",AD94,")=")</f>
        <v>a'(  )=</v>
      </c>
      <c r="AI94" s="84" t="e">
        <f>2*AI92/2*AE95</f>
        <v>#VALUE!</v>
      </c>
      <c r="AJ94" s="84" t="str">
        <f>CONCATENATE("A(",AD93,")=")</f>
        <v>A(  )=</v>
      </c>
      <c r="AK94" s="84" t="str">
        <f>VLOOKUP(AD93,STN_TABLE,3,FALSE)</f>
        <v xml:space="preserve"> </v>
      </c>
      <c r="AL94" t="str">
        <f>CONCATENATE("A(",AD94,")=")</f>
        <v>A(  )=</v>
      </c>
      <c r="AM94" t="e">
        <f>AI94+AK94</f>
        <v>#VALUE!</v>
      </c>
      <c r="AO94" s="68" t="str">
        <f>AA94</f>
        <v>A(  )=</v>
      </c>
      <c r="AP94" s="68" t="e">
        <f>VLOOKUP(AO94,Rise_Results,2,FALSE)</f>
        <v>#N/A</v>
      </c>
      <c r="AQ94" s="76" t="e">
        <f>N94</f>
        <v>#VALUE!</v>
      </c>
      <c r="AR94" s="76" t="e">
        <f>IF(OR(AB94&lt;=0,AB95&lt;=0),1/0,AB94)</f>
        <v>#VALUE!</v>
      </c>
      <c r="AS94" s="76" t="e">
        <f>AM94</f>
        <v>#VALUE!</v>
      </c>
      <c r="AT94" t="e">
        <f>IFERROR(AP94,IFERROR(AQ94,IFERROR(AR94,AS94)))</f>
        <v>#VALUE!</v>
      </c>
      <c r="AU94" s="81"/>
    </row>
    <row r="95" spans="1:47" x14ac:dyDescent="0.25">
      <c r="A95" s="84">
        <f>A94+1</f>
        <v>14</v>
      </c>
      <c r="B95" s="84" t="str">
        <f t="shared" si="27"/>
        <v xml:space="preserve">  </v>
      </c>
      <c r="F95" s="82" t="e">
        <f>SUM(F92:F94)</f>
        <v>#VALUE!</v>
      </c>
      <c r="H95" s="82" t="e">
        <f>SUM(H92:H94)</f>
        <v>#VALUE!</v>
      </c>
      <c r="I95" s="84" t="str">
        <f>CONCATENATE("m'(",C94,")=")</f>
        <v>m'(  )=</v>
      </c>
      <c r="J95" s="84" t="e">
        <f>2*(J92*(WLS))/3*H95</f>
        <v>#VALUE!</v>
      </c>
      <c r="K95" s="84" t="e">
        <f>CONCATENATE("M(",C92,")=")</f>
        <v>#VALUE!</v>
      </c>
      <c r="L95" s="84" t="e">
        <f>VLOOKUP(C92,STN_TABLE,4,FALSE)</f>
        <v>#VALUE!</v>
      </c>
      <c r="M95" t="str">
        <f>CONCATENATE("M(",C94,")=")</f>
        <v>M(  )=</v>
      </c>
      <c r="N95" t="e">
        <f>J95+L95</f>
        <v>#VALUE!</v>
      </c>
      <c r="O95" s="99">
        <f>O94+1</f>
        <v>16</v>
      </c>
      <c r="P95" s="99" t="str">
        <f t="shared" si="23"/>
        <v xml:space="preserve">  </v>
      </c>
      <c r="T95" s="89" t="e">
        <f>SUM(T92:T94)</f>
        <v>#VALUE!</v>
      </c>
      <c r="V95" s="82" t="e">
        <f>SUM(V92:V94)</f>
        <v>#VALUE!</v>
      </c>
      <c r="W95" s="84" t="str">
        <f>CONCATENATE("m'(",Q93,")=")</f>
        <v>m'(  )=</v>
      </c>
      <c r="X95" s="84" t="e">
        <f>(2*(X92^2)/24*V95)+(X94*Q92*WLS)</f>
        <v>#VALUE!</v>
      </c>
      <c r="Y95" s="84" t="e">
        <f>CONCATENATE("M(",Q92,")=")</f>
        <v>#VALUE!</v>
      </c>
      <c r="Z95" s="84" t="e">
        <f>VLOOKUP(Q92,STN_TABLE,4,FALSE)</f>
        <v>#VALUE!</v>
      </c>
      <c r="AA95" t="str">
        <f>CONCATENATE("M(",Q93,")=")</f>
        <v>M(  )=</v>
      </c>
      <c r="AB95" t="e">
        <f>X95+Z95</f>
        <v>#VALUE!</v>
      </c>
      <c r="AE95" s="89">
        <f>SUM(AE93:AE94)</f>
        <v>0</v>
      </c>
      <c r="AG95" s="89" t="e">
        <f>SUM(AG93:AG94)</f>
        <v>#VALUE!</v>
      </c>
      <c r="AH95" s="84" t="str">
        <f>CONCATENATE("m'(",AD94,")=")</f>
        <v>m'(  )=</v>
      </c>
      <c r="AI95" s="84" t="e">
        <f>(2*(AI92^2)/6*AG95)+(AI94*AD93*WLS)</f>
        <v>#VALUE!</v>
      </c>
      <c r="AJ95" s="84" t="str">
        <f>CONCATENATE("M(",AD93,")=")</f>
        <v>M(  )=</v>
      </c>
      <c r="AK95" s="84" t="str">
        <f>VLOOKUP(AD93,STN_TABLE,4,FALSE)</f>
        <v xml:space="preserve"> </v>
      </c>
      <c r="AL95" t="str">
        <f>CONCATENATE("M(",AD94,")=")</f>
        <v>M(  )=</v>
      </c>
      <c r="AM95" t="e">
        <f>AI95+AK95</f>
        <v>#VALUE!</v>
      </c>
      <c r="AO95" s="82" t="str">
        <f>AA95</f>
        <v>M(  )=</v>
      </c>
      <c r="AP95" s="82" t="e">
        <f>VLOOKUP(AO95,Rise_Results,2,FALSE)</f>
        <v>#N/A</v>
      </c>
      <c r="AQ95" s="82" t="e">
        <f>N95</f>
        <v>#VALUE!</v>
      </c>
      <c r="AR95" s="82" t="e">
        <f>IF(OR(AB94&lt;=0,AB95&lt;=0),1/0,AB95)</f>
        <v>#VALUE!</v>
      </c>
      <c r="AS95" s="82" t="e">
        <f>AM95</f>
        <v>#VALUE!</v>
      </c>
      <c r="AT95" t="e">
        <f>IFERROR(AP95,IFERROR(AQ95,IFERROR(AR95,AS95)))</f>
        <v>#VALUE!</v>
      </c>
      <c r="AU95" s="81"/>
    </row>
    <row r="96" spans="1:47" x14ac:dyDescent="0.25">
      <c r="A96" s="101">
        <f>A91+1</f>
        <v>11</v>
      </c>
      <c r="B96" s="101">
        <f t="shared" si="27"/>
        <v>6</v>
      </c>
      <c r="O96" s="101">
        <f>O91+1</f>
        <v>13</v>
      </c>
      <c r="P96" s="101" t="str">
        <f t="shared" si="23"/>
        <v xml:space="preserve">  </v>
      </c>
      <c r="AU96" s="81"/>
    </row>
    <row r="97" spans="1:47" x14ac:dyDescent="0.25">
      <c r="A97" s="84">
        <f>A96+1</f>
        <v>12</v>
      </c>
      <c r="B97" s="84">
        <f t="shared" si="27"/>
        <v>6.5</v>
      </c>
      <c r="C97" s="79" t="e">
        <f t="shared" ref="C97" si="41">IF(C98=B99,IF(C99-C98=C98-B98,B98,IF(C99-C98=C98-B97,B97,"#NA")),IF(C98=B98,IF(C99-C98=C98-B97,B97,IF(C99-C98=C98-B96,B96,"#NA")),"#NA"))</f>
        <v>#VALUE!</v>
      </c>
      <c r="D97" s="68" t="e">
        <f>VLOOKUP(C97,STN_TABLE,2,FALSE)</f>
        <v>#VALUE!</v>
      </c>
      <c r="E97" s="102">
        <v>1</v>
      </c>
      <c r="F97" s="68" t="e">
        <f>D97*E97</f>
        <v>#VALUE!</v>
      </c>
      <c r="G97" s="69" t="e">
        <f>C97</f>
        <v>#VALUE!</v>
      </c>
      <c r="H97" s="69" t="e">
        <f>F97*G97</f>
        <v>#VALUE!</v>
      </c>
      <c r="I97" s="6" t="s">
        <v>93</v>
      </c>
      <c r="J97" s="70" t="e">
        <f>IF(OR(D97=0,D98=0,D99=0),"#NA",IF(AND(C99-C98=C98-C97,C98&lt;&gt;C99,C97&lt;&gt;C98,C97&lt;&gt;C99,D99&lt;&gt;0,OR(D97&lt;&gt;0,D98&lt;&gt;0)),WLS*(C99-C98),"#NA"))</f>
        <v>#VALUE!</v>
      </c>
      <c r="O97" s="99">
        <f>O96+1</f>
        <v>14</v>
      </c>
      <c r="P97" s="99" t="str">
        <f t="shared" si="23"/>
        <v xml:space="preserve">  </v>
      </c>
      <c r="Q97" s="68" t="e">
        <f>IF(OR(P99-P98=P98-P97,P100-P98=P98-P97),P97,IF(OR(P99-P98=P98-P96,P100-P98=P98-P96),P96,"-"))</f>
        <v>#VALUE!</v>
      </c>
      <c r="R97" s="69" t="e">
        <f>VLOOKUP(Q97,STN_TABLE,2,FALSE)</f>
        <v>#VALUE!</v>
      </c>
      <c r="S97" s="69">
        <v>5</v>
      </c>
      <c r="T97" s="68" t="e">
        <f>R97*S97</f>
        <v>#VALUE!</v>
      </c>
      <c r="U97" s="79">
        <v>3</v>
      </c>
      <c r="V97" s="68" t="e">
        <f>R97*U97</f>
        <v>#VALUE!</v>
      </c>
      <c r="W97" s="6" t="s">
        <v>93</v>
      </c>
      <c r="X97" s="70" t="e">
        <f>IF(AND(Q99-Q98=Q98-Q97,NOT(AND(Q97=0,Q98=0)),NOT(AND(Q98=0,Q99=0))),WLS*(Q99-Q98),"#NA")</f>
        <v>#VALUE!</v>
      </c>
      <c r="AD97" s="93"/>
      <c r="AH97" s="6" t="s">
        <v>93</v>
      </c>
      <c r="AI97" s="70" t="e">
        <f>WLS*(AD99-AD98)</f>
        <v>#VALUE!</v>
      </c>
      <c r="AU97" s="81"/>
    </row>
    <row r="98" spans="1:47" x14ac:dyDescent="0.25">
      <c r="A98" s="84">
        <f>A97+1</f>
        <v>13</v>
      </c>
      <c r="B98" s="84" t="str">
        <f t="shared" si="27"/>
        <v xml:space="preserve">  </v>
      </c>
      <c r="C98" s="80" t="e">
        <f t="shared" ref="C98" si="42">IF(OR(B100-B99=B99-B98,B100-B99=B99-B97,B100-B99=B99-B96),B99,IF(OR(B100-B98=B98-B97,B100-B98=B98-B96),B98,IF(B100-B97=B97-B96,B97,"#NA")))</f>
        <v>#VALUE!</v>
      </c>
      <c r="D98" s="76" t="e">
        <f>VLOOKUP(C98,STN_TABLE,2,FALSE)</f>
        <v>#VALUE!</v>
      </c>
      <c r="E98" s="81">
        <v>4</v>
      </c>
      <c r="F98" s="76" t="e">
        <f>D98*E98</f>
        <v>#VALUE!</v>
      </c>
      <c r="G98" s="77" t="e">
        <f>C98</f>
        <v>#VALUE!</v>
      </c>
      <c r="H98" s="77" t="e">
        <f>F98*G98</f>
        <v>#VALUE!</v>
      </c>
      <c r="I98" s="495" t="s">
        <v>97</v>
      </c>
      <c r="J98" s="496"/>
      <c r="K98" s="78" t="s">
        <v>98</v>
      </c>
      <c r="L98" s="78"/>
      <c r="M98" s="7" t="s">
        <v>99</v>
      </c>
      <c r="N98" s="7"/>
      <c r="O98" s="99">
        <f>O97+1</f>
        <v>15</v>
      </c>
      <c r="P98" s="99" t="str">
        <f t="shared" si="23"/>
        <v xml:space="preserve">  </v>
      </c>
      <c r="Q98" s="76" t="str">
        <f>P98</f>
        <v xml:space="preserve">  </v>
      </c>
      <c r="R98" s="77" t="str">
        <f>VLOOKUP(Q98,STN_TABLE,2,FALSE)</f>
        <v xml:space="preserve">  </v>
      </c>
      <c r="S98" s="77">
        <v>8</v>
      </c>
      <c r="T98" s="76" t="e">
        <f>R98*S98</f>
        <v>#VALUE!</v>
      </c>
      <c r="U98" s="80">
        <v>10</v>
      </c>
      <c r="V98" s="76" t="e">
        <f>R98*U98</f>
        <v>#VALUE!</v>
      </c>
      <c r="W98" s="496" t="s">
        <v>97</v>
      </c>
      <c r="X98" s="496"/>
      <c r="Y98" s="496" t="s">
        <v>98</v>
      </c>
      <c r="Z98" s="496"/>
      <c r="AA98" s="494" t="s">
        <v>99</v>
      </c>
      <c r="AB98" s="494"/>
      <c r="AC98" s="99">
        <f>AC93+1</f>
        <v>14</v>
      </c>
      <c r="AD98" s="95" t="str">
        <f>VLOOKUP(AC98,STN_TABLE_2,2,FALSE)</f>
        <v xml:space="preserve">  </v>
      </c>
      <c r="AE98" s="68" t="str">
        <f>VLOOKUP(AD98,STN_TABLE,2,FALSE)</f>
        <v xml:space="preserve">  </v>
      </c>
      <c r="AF98" s="68">
        <v>1</v>
      </c>
      <c r="AG98" s="69" t="e">
        <f>AE98*AF98</f>
        <v>#VALUE!</v>
      </c>
      <c r="AH98" s="496" t="s">
        <v>97</v>
      </c>
      <c r="AI98" s="496"/>
      <c r="AJ98" s="496" t="s">
        <v>98</v>
      </c>
      <c r="AK98" s="496"/>
      <c r="AL98" s="494" t="s">
        <v>99</v>
      </c>
      <c r="AM98" s="494"/>
      <c r="AP98" s="86" t="s">
        <v>112</v>
      </c>
      <c r="AQ98" s="89" t="s">
        <v>113</v>
      </c>
      <c r="AR98" s="89" t="s">
        <v>114</v>
      </c>
      <c r="AS98" s="89" t="s">
        <v>115</v>
      </c>
      <c r="AU98" s="81"/>
    </row>
    <row r="99" spans="1:47" x14ac:dyDescent="0.25">
      <c r="A99" s="84">
        <f>A98+1</f>
        <v>14</v>
      </c>
      <c r="B99" s="84" t="str">
        <f t="shared" si="27"/>
        <v xml:space="preserve">  </v>
      </c>
      <c r="C99" s="88" t="str">
        <f t="shared" ref="C99" si="43">B100</f>
        <v xml:space="preserve">  </v>
      </c>
      <c r="D99" s="82" t="str">
        <f>VLOOKUP(C99,STN_TABLE,2,FALSE)</f>
        <v xml:space="preserve">  </v>
      </c>
      <c r="E99" s="92">
        <v>1</v>
      </c>
      <c r="F99" s="82" t="e">
        <f>D99*E99</f>
        <v>#VALUE!</v>
      </c>
      <c r="G99" s="83" t="str">
        <f>C99</f>
        <v xml:space="preserve">  </v>
      </c>
      <c r="H99" s="83" t="e">
        <f>F99*G99</f>
        <v>#VALUE!</v>
      </c>
      <c r="I99" s="84" t="str">
        <f>CONCATENATE("a'(",C99,")=")</f>
        <v>a'(  )=</v>
      </c>
      <c r="J99" s="84" t="e">
        <f>2*J97/3*F100</f>
        <v>#VALUE!</v>
      </c>
      <c r="K99" s="84" t="e">
        <f>CONCATENATE("A(",C97,")=")</f>
        <v>#VALUE!</v>
      </c>
      <c r="L99" s="84" t="e">
        <f>VLOOKUP(C97,STN_TABLE,3,FALSE)</f>
        <v>#VALUE!</v>
      </c>
      <c r="M99" t="str">
        <f>CONCATENATE("A(",C99,")=")</f>
        <v>A(  )=</v>
      </c>
      <c r="N99" t="e">
        <f>J99+L99</f>
        <v>#VALUE!</v>
      </c>
      <c r="O99" s="99">
        <f>O98+1</f>
        <v>16</v>
      </c>
      <c r="P99" s="99" t="str">
        <f t="shared" si="23"/>
        <v xml:space="preserve">  </v>
      </c>
      <c r="Q99" s="82" t="e">
        <f>IF(P99-P98=P98-P97,P99,IF(P100-P98=P98-P97,P100,IF(P99-P98=P98-P96,P99,IF(P100-P98=P98-P96,P100,"-"))))</f>
        <v>#VALUE!</v>
      </c>
      <c r="R99" s="83" t="e">
        <f>VLOOKUP(Q99,STN_TABLE,2,FALSE)</f>
        <v>#VALUE!</v>
      </c>
      <c r="S99" s="83">
        <v>-1</v>
      </c>
      <c r="T99" s="82" t="e">
        <f>R99*S99</f>
        <v>#VALUE!</v>
      </c>
      <c r="U99" s="88">
        <v>-1</v>
      </c>
      <c r="V99" s="82" t="e">
        <f>R99*U99</f>
        <v>#VALUE!</v>
      </c>
      <c r="W99" s="84" t="str">
        <f>CONCATENATE("a'(",Q98,")=")</f>
        <v>a'(  )=</v>
      </c>
      <c r="X99" s="84" t="e">
        <f>2*X97/12*T100</f>
        <v>#VALUE!</v>
      </c>
      <c r="Y99" s="84" t="e">
        <f>CONCATENATE("A(",Q97,")=")</f>
        <v>#VALUE!</v>
      </c>
      <c r="Z99" s="84" t="e">
        <f>VLOOKUP(Q97,STN_TABLE,3,FALSE)</f>
        <v>#VALUE!</v>
      </c>
      <c r="AA99" t="str">
        <f>CONCATENATE("A(",Q98,")=")</f>
        <v>A(  )=</v>
      </c>
      <c r="AB99" t="e">
        <f>X99+Z99</f>
        <v>#VALUE!</v>
      </c>
      <c r="AC99" s="99">
        <f>AC98+1</f>
        <v>15</v>
      </c>
      <c r="AD99" s="100" t="str">
        <f>VLOOKUP(AC99,STN_TABLE_2,2,FALSE)</f>
        <v xml:space="preserve">  </v>
      </c>
      <c r="AE99" s="82" t="str">
        <f>VLOOKUP(AD99,STN_TABLE,2,FALSE)</f>
        <v xml:space="preserve">  </v>
      </c>
      <c r="AF99" s="82">
        <v>2</v>
      </c>
      <c r="AG99" s="83" t="e">
        <f>AE99*AF99</f>
        <v>#VALUE!</v>
      </c>
      <c r="AH99" s="84" t="str">
        <f>CONCATENATE("a'(",AD99,")=")</f>
        <v>a'(  )=</v>
      </c>
      <c r="AI99" s="84" t="e">
        <f>2*AI97/2*AE100</f>
        <v>#VALUE!</v>
      </c>
      <c r="AJ99" s="84" t="str">
        <f>CONCATENATE("A(",AD98,")=")</f>
        <v>A(  )=</v>
      </c>
      <c r="AK99" s="84" t="str">
        <f>VLOOKUP(AD98,STN_TABLE,3,FALSE)</f>
        <v xml:space="preserve"> </v>
      </c>
      <c r="AL99" t="str">
        <f>CONCATENATE("A(",AD99,")=")</f>
        <v>A(  )=</v>
      </c>
      <c r="AM99" t="e">
        <f>AI99+AK99</f>
        <v>#VALUE!</v>
      </c>
      <c r="AO99" s="68" t="str">
        <f>AA99</f>
        <v>A(  )=</v>
      </c>
      <c r="AP99" s="68" t="e">
        <f>VLOOKUP(AO99,Rise_Results,2,FALSE)</f>
        <v>#N/A</v>
      </c>
      <c r="AQ99" s="76" t="e">
        <f>N99</f>
        <v>#VALUE!</v>
      </c>
      <c r="AR99" s="76" t="e">
        <f>IF(OR(AB99&lt;=0,AB100&lt;=0),1/0,AB99)</f>
        <v>#VALUE!</v>
      </c>
      <c r="AS99" s="76" t="e">
        <f>AM99</f>
        <v>#VALUE!</v>
      </c>
      <c r="AT99" t="e">
        <f>IFERROR(AP99,IFERROR(AQ99,IFERROR(AR99,AS99)))</f>
        <v>#VALUE!</v>
      </c>
      <c r="AU99" s="81"/>
    </row>
    <row r="100" spans="1:47" x14ac:dyDescent="0.25">
      <c r="A100" s="84">
        <f>A99+1</f>
        <v>15</v>
      </c>
      <c r="B100" s="84" t="str">
        <f t="shared" si="27"/>
        <v xml:space="preserve">  </v>
      </c>
      <c r="F100" s="82" t="e">
        <f>SUM(F97:F99)</f>
        <v>#VALUE!</v>
      </c>
      <c r="H100" s="82" t="e">
        <f>SUM(H97:H99)</f>
        <v>#VALUE!</v>
      </c>
      <c r="I100" s="84" t="str">
        <f>CONCATENATE("m'(",C99,")=")</f>
        <v>m'(  )=</v>
      </c>
      <c r="J100" s="84" t="e">
        <f>2*(J97*(WLS))/3*H100</f>
        <v>#VALUE!</v>
      </c>
      <c r="K100" s="84" t="e">
        <f>CONCATENATE("M(",C97,")=")</f>
        <v>#VALUE!</v>
      </c>
      <c r="L100" s="84" t="e">
        <f>VLOOKUP(C97,STN_TABLE,4,FALSE)</f>
        <v>#VALUE!</v>
      </c>
      <c r="M100" t="str">
        <f>CONCATENATE("M(",C99,")=")</f>
        <v>M(  )=</v>
      </c>
      <c r="N100" t="e">
        <f>J100+L100</f>
        <v>#VALUE!</v>
      </c>
      <c r="O100" s="99">
        <f>O99+1</f>
        <v>17</v>
      </c>
      <c r="P100" s="99" t="str">
        <f t="shared" ref="P100:P131" si="44">VLOOKUP(O100,STN_TABLE_2,2,FALSE)</f>
        <v xml:space="preserve">  </v>
      </c>
      <c r="T100" s="89" t="e">
        <f>SUM(T97:T99)</f>
        <v>#VALUE!</v>
      </c>
      <c r="V100" s="82" t="e">
        <f>SUM(V97:V99)</f>
        <v>#VALUE!</v>
      </c>
      <c r="W100" s="84" t="str">
        <f>CONCATENATE("m'(",Q98,")=")</f>
        <v>m'(  )=</v>
      </c>
      <c r="X100" s="84" t="e">
        <f>(2*(X97^2)/24*V100)+(X99*Q97*WLS)</f>
        <v>#VALUE!</v>
      </c>
      <c r="Y100" s="84" t="e">
        <f>CONCATENATE("M(",Q97,")=")</f>
        <v>#VALUE!</v>
      </c>
      <c r="Z100" s="84" t="e">
        <f>VLOOKUP(Q97,STN_TABLE,4,FALSE)</f>
        <v>#VALUE!</v>
      </c>
      <c r="AA100" t="str">
        <f>CONCATENATE("M(",Q98,")=")</f>
        <v>M(  )=</v>
      </c>
      <c r="AB100" t="e">
        <f>X100+Z100</f>
        <v>#VALUE!</v>
      </c>
      <c r="AE100" s="89">
        <f>SUM(AE98:AE99)</f>
        <v>0</v>
      </c>
      <c r="AG100" s="89" t="e">
        <f>SUM(AG98:AG99)</f>
        <v>#VALUE!</v>
      </c>
      <c r="AH100" s="84" t="str">
        <f>CONCATENATE("m'(",AD99,")=")</f>
        <v>m'(  )=</v>
      </c>
      <c r="AI100" s="84" t="e">
        <f>(2*(AI97^2)/6*AG100)+(AI99*AD98*WLS)</f>
        <v>#VALUE!</v>
      </c>
      <c r="AJ100" s="84" t="str">
        <f>CONCATENATE("M(",AD98,")=")</f>
        <v>M(  )=</v>
      </c>
      <c r="AK100" s="84" t="str">
        <f>VLOOKUP(AD98,STN_TABLE,4,FALSE)</f>
        <v xml:space="preserve"> </v>
      </c>
      <c r="AL100" t="str">
        <f>CONCATENATE("M(",AD99,")=")</f>
        <v>M(  )=</v>
      </c>
      <c r="AM100" t="e">
        <f>AI100+AK100</f>
        <v>#VALUE!</v>
      </c>
      <c r="AO100" s="82" t="str">
        <f>AA100</f>
        <v>M(  )=</v>
      </c>
      <c r="AP100" s="82" t="e">
        <f>VLOOKUP(AO100,Rise_Results,2,FALSE)</f>
        <v>#N/A</v>
      </c>
      <c r="AQ100" s="82" t="e">
        <f>N100</f>
        <v>#VALUE!</v>
      </c>
      <c r="AR100" s="82" t="e">
        <f>IF(OR(AB99&lt;=0,AB100&lt;=0),1/0,AB100)</f>
        <v>#VALUE!</v>
      </c>
      <c r="AS100" s="82" t="e">
        <f>AM100</f>
        <v>#VALUE!</v>
      </c>
      <c r="AT100" t="e">
        <f>IFERROR(AP100,IFERROR(AQ100,IFERROR(AR100,AS100)))</f>
        <v>#VALUE!</v>
      </c>
      <c r="AU100" s="81"/>
    </row>
    <row r="101" spans="1:47" x14ac:dyDescent="0.25">
      <c r="A101" s="101">
        <f>A96+1</f>
        <v>12</v>
      </c>
      <c r="B101" s="101">
        <f t="shared" si="27"/>
        <v>6.5</v>
      </c>
      <c r="O101" s="101">
        <f>O96+1</f>
        <v>14</v>
      </c>
      <c r="P101" s="101" t="str">
        <f t="shared" si="44"/>
        <v xml:space="preserve">  </v>
      </c>
      <c r="AU101" s="81"/>
    </row>
    <row r="102" spans="1:47" x14ac:dyDescent="0.25">
      <c r="A102" s="84">
        <f>A101+1</f>
        <v>13</v>
      </c>
      <c r="B102" s="84" t="str">
        <f t="shared" si="27"/>
        <v xml:space="preserve">  </v>
      </c>
      <c r="C102" s="79" t="e">
        <f t="shared" ref="C102" si="45">IF(C103=B104,IF(C104-C103=C103-B103,B103,IF(C104-C103=C103-B102,B102,"#NA")),IF(C103=B103,IF(C104-C103=C103-B102,B102,IF(C104-C103=C103-B101,B101,"#NA")),"#NA"))</f>
        <v>#VALUE!</v>
      </c>
      <c r="D102" s="68" t="e">
        <f>VLOOKUP(C102,STN_TABLE,2,FALSE)</f>
        <v>#VALUE!</v>
      </c>
      <c r="E102" s="102">
        <v>1</v>
      </c>
      <c r="F102" s="68" t="e">
        <f>D102*E102</f>
        <v>#VALUE!</v>
      </c>
      <c r="G102" s="69" t="e">
        <f>C102</f>
        <v>#VALUE!</v>
      </c>
      <c r="H102" s="69" t="e">
        <f>F102*G102</f>
        <v>#VALUE!</v>
      </c>
      <c r="I102" s="6" t="s">
        <v>93</v>
      </c>
      <c r="J102" s="70" t="e">
        <f>IF(OR(D102=0,D103=0,D104=0),"#NA",IF(AND(C104-C103=C103-C102,C103&lt;&gt;C104,C102&lt;&gt;C103,C102&lt;&gt;C104,D104&lt;&gt;0,OR(D102&lt;&gt;0,D103&lt;&gt;0)),WLS*(C104-C103),"#NA"))</f>
        <v>#VALUE!</v>
      </c>
      <c r="O102" s="99">
        <f>O101+1</f>
        <v>15</v>
      </c>
      <c r="P102" s="99" t="str">
        <f t="shared" si="44"/>
        <v xml:space="preserve">  </v>
      </c>
      <c r="Q102" s="68" t="e">
        <f>IF(OR(P104-P103=P103-P102,P105-P103=P103-P102),P102,IF(OR(P104-P103=P103-P101,P105-P103=P103-P101),P101,"-"))</f>
        <v>#VALUE!</v>
      </c>
      <c r="R102" s="69" t="e">
        <f>VLOOKUP(Q102,STN_TABLE,2,FALSE)</f>
        <v>#VALUE!</v>
      </c>
      <c r="S102" s="69">
        <v>5</v>
      </c>
      <c r="T102" s="68" t="e">
        <f>R102*S102</f>
        <v>#VALUE!</v>
      </c>
      <c r="U102" s="79">
        <v>3</v>
      </c>
      <c r="V102" s="68" t="e">
        <f>R102*U102</f>
        <v>#VALUE!</v>
      </c>
      <c r="W102" s="6" t="s">
        <v>93</v>
      </c>
      <c r="X102" s="70" t="e">
        <f>IF(AND(Q104-Q103=Q103-Q102,NOT(AND(Q102=0,Q103=0)),NOT(AND(Q103=0,Q104=0))),WLS*(Q104-Q103),"#NA")</f>
        <v>#VALUE!</v>
      </c>
      <c r="AD102" s="93"/>
      <c r="AH102" s="6" t="s">
        <v>93</v>
      </c>
      <c r="AI102" s="70" t="e">
        <f>WLS*(AD104-AD103)</f>
        <v>#VALUE!</v>
      </c>
      <c r="AU102" s="81"/>
    </row>
    <row r="103" spans="1:47" x14ac:dyDescent="0.25">
      <c r="A103" s="84">
        <f>A102+1</f>
        <v>14</v>
      </c>
      <c r="B103" s="84" t="str">
        <f t="shared" si="27"/>
        <v xml:space="preserve">  </v>
      </c>
      <c r="C103" s="80" t="e">
        <f t="shared" ref="C103" si="46">IF(OR(B105-B104=B104-B103,B105-B104=B104-B102,B105-B104=B104-B101),B104,IF(OR(B105-B103=B103-B102,B105-B103=B103-B101),B103,IF(B105-B102=B102-B101,B102,"#NA")))</f>
        <v>#VALUE!</v>
      </c>
      <c r="D103" s="76" t="e">
        <f>VLOOKUP(C103,STN_TABLE,2,FALSE)</f>
        <v>#VALUE!</v>
      </c>
      <c r="E103" s="81">
        <v>4</v>
      </c>
      <c r="F103" s="76" t="e">
        <f>D103*E103</f>
        <v>#VALUE!</v>
      </c>
      <c r="G103" s="77" t="e">
        <f>C103</f>
        <v>#VALUE!</v>
      </c>
      <c r="H103" s="77" t="e">
        <f>F103*G103</f>
        <v>#VALUE!</v>
      </c>
      <c r="I103" s="495" t="s">
        <v>97</v>
      </c>
      <c r="J103" s="496"/>
      <c r="K103" s="78" t="s">
        <v>98</v>
      </c>
      <c r="L103" s="78"/>
      <c r="M103" s="7" t="s">
        <v>99</v>
      </c>
      <c r="N103" s="7"/>
      <c r="O103" s="99">
        <f>O102+1</f>
        <v>16</v>
      </c>
      <c r="P103" s="99" t="str">
        <f t="shared" si="44"/>
        <v xml:space="preserve">  </v>
      </c>
      <c r="Q103" s="76" t="str">
        <f>P103</f>
        <v xml:space="preserve">  </v>
      </c>
      <c r="R103" s="77" t="str">
        <f>VLOOKUP(Q103,STN_TABLE,2,FALSE)</f>
        <v xml:space="preserve">  </v>
      </c>
      <c r="S103" s="77">
        <v>8</v>
      </c>
      <c r="T103" s="76" t="e">
        <f>R103*S103</f>
        <v>#VALUE!</v>
      </c>
      <c r="U103" s="80">
        <v>10</v>
      </c>
      <c r="V103" s="76" t="e">
        <f>R103*U103</f>
        <v>#VALUE!</v>
      </c>
      <c r="W103" s="496" t="s">
        <v>97</v>
      </c>
      <c r="X103" s="496"/>
      <c r="Y103" s="496" t="s">
        <v>98</v>
      </c>
      <c r="Z103" s="496"/>
      <c r="AA103" s="494" t="s">
        <v>99</v>
      </c>
      <c r="AB103" s="494"/>
      <c r="AC103" s="99">
        <f>AC98+1</f>
        <v>15</v>
      </c>
      <c r="AD103" s="95" t="str">
        <f>VLOOKUP(AC103,STN_TABLE_2,2,FALSE)</f>
        <v xml:space="preserve">  </v>
      </c>
      <c r="AE103" s="68" t="str">
        <f>VLOOKUP(AD103,STN_TABLE,2,FALSE)</f>
        <v xml:space="preserve">  </v>
      </c>
      <c r="AF103" s="68">
        <v>1</v>
      </c>
      <c r="AG103" s="69" t="e">
        <f>AE103*AF103</f>
        <v>#VALUE!</v>
      </c>
      <c r="AH103" s="496" t="s">
        <v>97</v>
      </c>
      <c r="AI103" s="496"/>
      <c r="AJ103" s="496" t="s">
        <v>98</v>
      </c>
      <c r="AK103" s="496"/>
      <c r="AL103" s="494" t="s">
        <v>99</v>
      </c>
      <c r="AM103" s="494"/>
      <c r="AP103" s="86" t="s">
        <v>112</v>
      </c>
      <c r="AQ103" s="89" t="s">
        <v>113</v>
      </c>
      <c r="AR103" s="89" t="s">
        <v>114</v>
      </c>
      <c r="AS103" s="89" t="s">
        <v>115</v>
      </c>
      <c r="AU103" s="81"/>
    </row>
    <row r="104" spans="1:47" x14ac:dyDescent="0.25">
      <c r="A104" s="84">
        <f>A103+1</f>
        <v>15</v>
      </c>
      <c r="B104" s="84" t="str">
        <f t="shared" si="27"/>
        <v xml:space="preserve">  </v>
      </c>
      <c r="C104" s="88" t="str">
        <f t="shared" ref="C104" si="47">B105</f>
        <v xml:space="preserve">  </v>
      </c>
      <c r="D104" s="82" t="str">
        <f>VLOOKUP(C104,STN_TABLE,2,FALSE)</f>
        <v xml:space="preserve">  </v>
      </c>
      <c r="E104" s="92">
        <v>1</v>
      </c>
      <c r="F104" s="82" t="e">
        <f>D104*E104</f>
        <v>#VALUE!</v>
      </c>
      <c r="G104" s="83" t="str">
        <f>C104</f>
        <v xml:space="preserve">  </v>
      </c>
      <c r="H104" s="83" t="e">
        <f>F104*G104</f>
        <v>#VALUE!</v>
      </c>
      <c r="I104" s="84" t="str">
        <f>CONCATENATE("a'(",C104,")=")</f>
        <v>a'(  )=</v>
      </c>
      <c r="J104" s="84" t="e">
        <f>2*J102/3*F105</f>
        <v>#VALUE!</v>
      </c>
      <c r="K104" s="84" t="e">
        <f>CONCATENATE("A(",C102,")=")</f>
        <v>#VALUE!</v>
      </c>
      <c r="L104" s="84" t="e">
        <f>VLOOKUP(C102,STN_TABLE,3,FALSE)</f>
        <v>#VALUE!</v>
      </c>
      <c r="M104" t="str">
        <f>CONCATENATE("A(",C104,")=")</f>
        <v>A(  )=</v>
      </c>
      <c r="N104" t="e">
        <f>J104+L104</f>
        <v>#VALUE!</v>
      </c>
      <c r="O104" s="99">
        <f>O103+1</f>
        <v>17</v>
      </c>
      <c r="P104" s="99" t="str">
        <f t="shared" si="44"/>
        <v xml:space="preserve">  </v>
      </c>
      <c r="Q104" s="82" t="e">
        <f>IF(P104-P103=P103-P102,P104,IF(P105-P103=P103-P102,P105,IF(P104-P103=P103-P101,P104,IF(P105-P103=P103-P101,P105,"-"))))</f>
        <v>#VALUE!</v>
      </c>
      <c r="R104" s="83" t="e">
        <f>VLOOKUP(Q104,STN_TABLE,2,FALSE)</f>
        <v>#VALUE!</v>
      </c>
      <c r="S104" s="83">
        <v>-1</v>
      </c>
      <c r="T104" s="82" t="e">
        <f>R104*S104</f>
        <v>#VALUE!</v>
      </c>
      <c r="U104" s="88">
        <v>-1</v>
      </c>
      <c r="V104" s="82" t="e">
        <f>R104*U104</f>
        <v>#VALUE!</v>
      </c>
      <c r="W104" s="84" t="str">
        <f>CONCATENATE("a'(",Q103,")=")</f>
        <v>a'(  )=</v>
      </c>
      <c r="X104" s="84" t="e">
        <f>2*X102/12*T105</f>
        <v>#VALUE!</v>
      </c>
      <c r="Y104" s="84" t="e">
        <f>CONCATENATE("A(",Q102,")=")</f>
        <v>#VALUE!</v>
      </c>
      <c r="Z104" s="84" t="e">
        <f>VLOOKUP(Q102,STN_TABLE,3,FALSE)</f>
        <v>#VALUE!</v>
      </c>
      <c r="AA104" t="str">
        <f>CONCATENATE("A(",Q103,")=")</f>
        <v>A(  )=</v>
      </c>
      <c r="AB104" t="e">
        <f>X104+Z104</f>
        <v>#VALUE!</v>
      </c>
      <c r="AC104" s="99">
        <f>AC103+1</f>
        <v>16</v>
      </c>
      <c r="AD104" s="100" t="str">
        <f>VLOOKUP(AC104,STN_TABLE_2,2,FALSE)</f>
        <v xml:space="preserve">  </v>
      </c>
      <c r="AE104" s="82" t="str">
        <f>VLOOKUP(AD104,STN_TABLE,2,FALSE)</f>
        <v xml:space="preserve">  </v>
      </c>
      <c r="AF104" s="82">
        <v>2</v>
      </c>
      <c r="AG104" s="83" t="e">
        <f>AE104*AF104</f>
        <v>#VALUE!</v>
      </c>
      <c r="AH104" s="84" t="str">
        <f>CONCATENATE("a'(",AD104,")=")</f>
        <v>a'(  )=</v>
      </c>
      <c r="AI104" s="84" t="e">
        <f>2*AI102/2*AE105</f>
        <v>#VALUE!</v>
      </c>
      <c r="AJ104" s="84" t="str">
        <f>CONCATENATE("A(",AD103,")=")</f>
        <v>A(  )=</v>
      </c>
      <c r="AK104" s="84" t="str">
        <f>VLOOKUP(AD103,STN_TABLE,3,FALSE)</f>
        <v xml:space="preserve"> </v>
      </c>
      <c r="AL104" t="str">
        <f>CONCATENATE("A(",AD104,")=")</f>
        <v>A(  )=</v>
      </c>
      <c r="AM104" t="e">
        <f>AI104+AK104</f>
        <v>#VALUE!</v>
      </c>
      <c r="AO104" s="68" t="str">
        <f>AA104</f>
        <v>A(  )=</v>
      </c>
      <c r="AP104" s="68" t="e">
        <f>VLOOKUP(AO104,Rise_Results,2,FALSE)</f>
        <v>#N/A</v>
      </c>
      <c r="AQ104" s="76" t="e">
        <f>N104</f>
        <v>#VALUE!</v>
      </c>
      <c r="AR104" s="76" t="e">
        <f>IF(OR(AB104&lt;=0,AB105&lt;=0),1/0,AB104)</f>
        <v>#VALUE!</v>
      </c>
      <c r="AS104" s="76" t="e">
        <f>AM104</f>
        <v>#VALUE!</v>
      </c>
      <c r="AT104" t="e">
        <f>IFERROR(AP104,IFERROR(AQ104,IFERROR(AR104,AS104)))</f>
        <v>#VALUE!</v>
      </c>
      <c r="AU104" s="81"/>
    </row>
    <row r="105" spans="1:47" x14ac:dyDescent="0.25">
      <c r="A105" s="84">
        <f>A104+1</f>
        <v>16</v>
      </c>
      <c r="B105" s="84" t="str">
        <f t="shared" si="27"/>
        <v xml:space="preserve">  </v>
      </c>
      <c r="F105" s="82" t="e">
        <f>SUM(F102:F104)</f>
        <v>#VALUE!</v>
      </c>
      <c r="H105" s="82" t="e">
        <f>SUM(H102:H104)</f>
        <v>#VALUE!</v>
      </c>
      <c r="I105" s="84" t="str">
        <f>CONCATENATE("m'(",C104,")=")</f>
        <v>m'(  )=</v>
      </c>
      <c r="J105" s="84" t="e">
        <f>2*(J102*(WLS))/3*H105</f>
        <v>#VALUE!</v>
      </c>
      <c r="K105" s="84" t="e">
        <f>CONCATENATE("M(",C102,")=")</f>
        <v>#VALUE!</v>
      </c>
      <c r="L105" s="84" t="e">
        <f>VLOOKUP(C102,STN_TABLE,4,FALSE)</f>
        <v>#VALUE!</v>
      </c>
      <c r="M105" t="str">
        <f>CONCATENATE("M(",C104,")=")</f>
        <v>M(  )=</v>
      </c>
      <c r="N105" t="e">
        <f>J105+L105</f>
        <v>#VALUE!</v>
      </c>
      <c r="O105" s="99">
        <f>O104+1</f>
        <v>18</v>
      </c>
      <c r="P105" s="99" t="str">
        <f t="shared" si="44"/>
        <v xml:space="preserve">  </v>
      </c>
      <c r="T105" s="89" t="e">
        <f>SUM(T102:T104)</f>
        <v>#VALUE!</v>
      </c>
      <c r="V105" s="82" t="e">
        <f>SUM(V102:V104)</f>
        <v>#VALUE!</v>
      </c>
      <c r="W105" s="84" t="str">
        <f>CONCATENATE("m'(",Q103,")=")</f>
        <v>m'(  )=</v>
      </c>
      <c r="X105" s="84" t="e">
        <f>(2*(X102^2)/24*V105)+(X104*Q102*WLS)</f>
        <v>#VALUE!</v>
      </c>
      <c r="Y105" s="84" t="e">
        <f>CONCATENATE("M(",Q102,")=")</f>
        <v>#VALUE!</v>
      </c>
      <c r="Z105" s="84" t="e">
        <f>VLOOKUP(Q102,STN_TABLE,4,FALSE)</f>
        <v>#VALUE!</v>
      </c>
      <c r="AA105" t="str">
        <f>CONCATENATE("M(",Q103,")=")</f>
        <v>M(  )=</v>
      </c>
      <c r="AB105" t="e">
        <f>X105+Z105</f>
        <v>#VALUE!</v>
      </c>
      <c r="AE105" s="89">
        <f>SUM(AE103:AE104)</f>
        <v>0</v>
      </c>
      <c r="AG105" s="89" t="e">
        <f>SUM(AG103:AG104)</f>
        <v>#VALUE!</v>
      </c>
      <c r="AH105" s="84" t="str">
        <f>CONCATENATE("m'(",AD104,")=")</f>
        <v>m'(  )=</v>
      </c>
      <c r="AI105" s="84" t="e">
        <f>(2*(AI102^2)/6*AG105)+(AI104*AD103*WLS)</f>
        <v>#VALUE!</v>
      </c>
      <c r="AJ105" s="84" t="str">
        <f>CONCATENATE("M(",AD103,")=")</f>
        <v>M(  )=</v>
      </c>
      <c r="AK105" s="84" t="str">
        <f>VLOOKUP(AD103,STN_TABLE,4,FALSE)</f>
        <v xml:space="preserve"> </v>
      </c>
      <c r="AL105" t="str">
        <f>CONCATENATE("M(",AD104,")=")</f>
        <v>M(  )=</v>
      </c>
      <c r="AM105" t="e">
        <f>AI105+AK105</f>
        <v>#VALUE!</v>
      </c>
      <c r="AO105" s="82" t="str">
        <f>AA105</f>
        <v>M(  )=</v>
      </c>
      <c r="AP105" s="82" t="e">
        <f>VLOOKUP(AO105,Rise_Results,2,FALSE)</f>
        <v>#N/A</v>
      </c>
      <c r="AQ105" s="82" t="e">
        <f>N105</f>
        <v>#VALUE!</v>
      </c>
      <c r="AR105" s="82" t="e">
        <f>IF(OR(AB104&lt;=0,AB105&lt;=0),1/0,AB105)</f>
        <v>#VALUE!</v>
      </c>
      <c r="AS105" s="82" t="e">
        <f>AM105</f>
        <v>#VALUE!</v>
      </c>
      <c r="AT105" t="e">
        <f>IFERROR(AP105,IFERROR(AQ105,IFERROR(AR105,AS105)))</f>
        <v>#VALUE!</v>
      </c>
      <c r="AU105" s="81"/>
    </row>
    <row r="106" spans="1:47" x14ac:dyDescent="0.25">
      <c r="A106" s="101">
        <f>A101+1</f>
        <v>13</v>
      </c>
      <c r="B106" s="101" t="str">
        <f t="shared" ref="B106:B137" si="48">VLOOKUP(A106,STN_TABLE_2,2,FALSE)</f>
        <v xml:space="preserve">  </v>
      </c>
      <c r="O106" s="101">
        <f>O101+1</f>
        <v>15</v>
      </c>
      <c r="P106" s="101" t="str">
        <f t="shared" si="44"/>
        <v xml:space="preserve">  </v>
      </c>
      <c r="AU106" s="81"/>
    </row>
    <row r="107" spans="1:47" x14ac:dyDescent="0.25">
      <c r="A107" s="84">
        <f>A106+1</f>
        <v>14</v>
      </c>
      <c r="B107" s="84" t="str">
        <f t="shared" si="48"/>
        <v xml:space="preserve">  </v>
      </c>
      <c r="C107" s="79" t="e">
        <f t="shared" ref="C107" si="49">IF(C108=B109,IF(C109-C108=C108-B108,B108,IF(C109-C108=C108-B107,B107,"#NA")),IF(C108=B108,IF(C109-C108=C108-B107,B107,IF(C109-C108=C108-B106,B106,"#NA")),"#NA"))</f>
        <v>#VALUE!</v>
      </c>
      <c r="D107" s="68" t="e">
        <f>VLOOKUP(C107,STN_TABLE,2,FALSE)</f>
        <v>#VALUE!</v>
      </c>
      <c r="E107" s="102">
        <v>1</v>
      </c>
      <c r="F107" s="68" t="e">
        <f>D107*E107</f>
        <v>#VALUE!</v>
      </c>
      <c r="G107" s="69" t="e">
        <f>C107</f>
        <v>#VALUE!</v>
      </c>
      <c r="H107" s="69" t="e">
        <f>F107*G107</f>
        <v>#VALUE!</v>
      </c>
      <c r="I107" s="6" t="s">
        <v>93</v>
      </c>
      <c r="J107" s="70" t="e">
        <f>IF(OR(D107=0,D108=0,D109=0),"#NA",IF(AND(C109-C108=C108-C107,C108&lt;&gt;C109,C107&lt;&gt;C108,C107&lt;&gt;C109,D109&lt;&gt;0,OR(D107&lt;&gt;0,D108&lt;&gt;0)),WLS*(C109-C108),"#NA"))</f>
        <v>#VALUE!</v>
      </c>
      <c r="O107" s="99">
        <f>O106+1</f>
        <v>16</v>
      </c>
      <c r="P107" s="99" t="str">
        <f t="shared" si="44"/>
        <v xml:space="preserve">  </v>
      </c>
      <c r="Q107" s="68" t="e">
        <f>IF(OR(P109-P108=P108-P107,P110-P108=P108-P107),P107,IF(OR(P109-P108=P108-P106,P110-P108=P108-P106),P106,"-"))</f>
        <v>#VALUE!</v>
      </c>
      <c r="R107" s="69" t="e">
        <f>VLOOKUP(Q107,STN_TABLE,2,FALSE)</f>
        <v>#VALUE!</v>
      </c>
      <c r="S107" s="69">
        <v>5</v>
      </c>
      <c r="T107" s="68" t="e">
        <f>R107*S107</f>
        <v>#VALUE!</v>
      </c>
      <c r="U107" s="79">
        <v>3</v>
      </c>
      <c r="V107" s="68" t="e">
        <f>R107*U107</f>
        <v>#VALUE!</v>
      </c>
      <c r="W107" s="6" t="s">
        <v>93</v>
      </c>
      <c r="X107" s="70" t="e">
        <f>IF(AND(Q109-Q108=Q108-Q107,NOT(AND(Q107=0,Q108=0)),NOT(AND(Q108=0,Q109=0))),WLS*(Q109-Q108),"#NA")</f>
        <v>#VALUE!</v>
      </c>
      <c r="AD107" s="93"/>
      <c r="AH107" s="6" t="s">
        <v>93</v>
      </c>
      <c r="AI107" s="70" t="e">
        <f>WLS*(AD109-AD108)</f>
        <v>#VALUE!</v>
      </c>
      <c r="AU107" s="81"/>
    </row>
    <row r="108" spans="1:47" x14ac:dyDescent="0.25">
      <c r="A108" s="84">
        <f>A107+1</f>
        <v>15</v>
      </c>
      <c r="B108" s="84" t="str">
        <f t="shared" si="48"/>
        <v xml:space="preserve">  </v>
      </c>
      <c r="C108" s="80" t="e">
        <f t="shared" ref="C108" si="50">IF(OR(B110-B109=B109-B108,B110-B109=B109-B107,B110-B109=B109-B106),B109,IF(OR(B110-B108=B108-B107,B110-B108=B108-B106),B108,IF(B110-B107=B107-B106,B107,"#NA")))</f>
        <v>#VALUE!</v>
      </c>
      <c r="D108" s="76" t="e">
        <f>VLOOKUP(C108,STN_TABLE,2,FALSE)</f>
        <v>#VALUE!</v>
      </c>
      <c r="E108" s="81">
        <v>4</v>
      </c>
      <c r="F108" s="76" t="e">
        <f>D108*E108</f>
        <v>#VALUE!</v>
      </c>
      <c r="G108" s="77" t="e">
        <f>C108</f>
        <v>#VALUE!</v>
      </c>
      <c r="H108" s="77" t="e">
        <f>F108*G108</f>
        <v>#VALUE!</v>
      </c>
      <c r="I108" s="495" t="s">
        <v>97</v>
      </c>
      <c r="J108" s="496"/>
      <c r="K108" s="78" t="s">
        <v>98</v>
      </c>
      <c r="L108" s="78"/>
      <c r="M108" s="7" t="s">
        <v>99</v>
      </c>
      <c r="N108" s="7"/>
      <c r="O108" s="99">
        <f>O107+1</f>
        <v>17</v>
      </c>
      <c r="P108" s="99" t="str">
        <f t="shared" si="44"/>
        <v xml:space="preserve">  </v>
      </c>
      <c r="Q108" s="76" t="str">
        <f>P108</f>
        <v xml:space="preserve">  </v>
      </c>
      <c r="R108" s="77" t="str">
        <f>VLOOKUP(Q108,STN_TABLE,2,FALSE)</f>
        <v xml:space="preserve">  </v>
      </c>
      <c r="S108" s="77">
        <v>8</v>
      </c>
      <c r="T108" s="76" t="e">
        <f>R108*S108</f>
        <v>#VALUE!</v>
      </c>
      <c r="U108" s="80">
        <v>10</v>
      </c>
      <c r="V108" s="76" t="e">
        <f>R108*U108</f>
        <v>#VALUE!</v>
      </c>
      <c r="W108" s="496" t="s">
        <v>97</v>
      </c>
      <c r="X108" s="496"/>
      <c r="Y108" s="496" t="s">
        <v>98</v>
      </c>
      <c r="Z108" s="496"/>
      <c r="AA108" s="494" t="s">
        <v>99</v>
      </c>
      <c r="AB108" s="494"/>
      <c r="AC108" s="99">
        <f>AC103+1</f>
        <v>16</v>
      </c>
      <c r="AD108" s="95" t="str">
        <f>VLOOKUP(AC108,STN_TABLE_2,2,FALSE)</f>
        <v xml:space="preserve">  </v>
      </c>
      <c r="AE108" s="68" t="str">
        <f>VLOOKUP(AD108,STN_TABLE,2,FALSE)</f>
        <v xml:space="preserve">  </v>
      </c>
      <c r="AF108" s="68">
        <v>1</v>
      </c>
      <c r="AG108" s="69" t="e">
        <f>AE108*AF108</f>
        <v>#VALUE!</v>
      </c>
      <c r="AH108" s="496" t="s">
        <v>97</v>
      </c>
      <c r="AI108" s="496"/>
      <c r="AJ108" s="496" t="s">
        <v>98</v>
      </c>
      <c r="AK108" s="496"/>
      <c r="AL108" s="494" t="s">
        <v>99</v>
      </c>
      <c r="AM108" s="494"/>
      <c r="AP108" s="86" t="s">
        <v>112</v>
      </c>
      <c r="AQ108" s="89" t="s">
        <v>113</v>
      </c>
      <c r="AR108" s="89" t="s">
        <v>114</v>
      </c>
      <c r="AS108" s="89" t="s">
        <v>115</v>
      </c>
      <c r="AU108" s="81"/>
    </row>
    <row r="109" spans="1:47" x14ac:dyDescent="0.25">
      <c r="A109" s="84">
        <f>A108+1</f>
        <v>16</v>
      </c>
      <c r="B109" s="84" t="str">
        <f t="shared" si="48"/>
        <v xml:space="preserve">  </v>
      </c>
      <c r="C109" s="88" t="str">
        <f t="shared" ref="C109" si="51">B110</f>
        <v xml:space="preserve">  </v>
      </c>
      <c r="D109" s="82" t="str">
        <f>VLOOKUP(C109,STN_TABLE,2,FALSE)</f>
        <v xml:space="preserve">  </v>
      </c>
      <c r="E109" s="92">
        <v>1</v>
      </c>
      <c r="F109" s="82" t="e">
        <f>D109*E109</f>
        <v>#VALUE!</v>
      </c>
      <c r="G109" s="83" t="str">
        <f>C109</f>
        <v xml:space="preserve">  </v>
      </c>
      <c r="H109" s="83" t="e">
        <f>F109*G109</f>
        <v>#VALUE!</v>
      </c>
      <c r="I109" s="84" t="str">
        <f>CONCATENATE("a'(",C109,")=")</f>
        <v>a'(  )=</v>
      </c>
      <c r="J109" s="84" t="e">
        <f>2*J107/3*F110</f>
        <v>#VALUE!</v>
      </c>
      <c r="K109" s="84" t="e">
        <f>CONCATENATE("A(",C107,")=")</f>
        <v>#VALUE!</v>
      </c>
      <c r="L109" s="84" t="e">
        <f>VLOOKUP(C107,STN_TABLE,3,FALSE)</f>
        <v>#VALUE!</v>
      </c>
      <c r="M109" t="str">
        <f>CONCATENATE("A(",C109,")=")</f>
        <v>A(  )=</v>
      </c>
      <c r="N109" t="e">
        <f>J109+L109</f>
        <v>#VALUE!</v>
      </c>
      <c r="O109" s="99">
        <f>O108+1</f>
        <v>18</v>
      </c>
      <c r="P109" s="99" t="str">
        <f t="shared" si="44"/>
        <v xml:space="preserve">  </v>
      </c>
      <c r="Q109" s="82" t="e">
        <f>IF(P109-P108=P108-P107,P109,IF(P110-P108=P108-P107,P110,IF(P109-P108=P108-P106,P109,IF(P110-P108=P108-P106,P110,"-"))))</f>
        <v>#VALUE!</v>
      </c>
      <c r="R109" s="83" t="e">
        <f>VLOOKUP(Q109,STN_TABLE,2,FALSE)</f>
        <v>#VALUE!</v>
      </c>
      <c r="S109" s="83">
        <v>-1</v>
      </c>
      <c r="T109" s="82" t="e">
        <f>R109*S109</f>
        <v>#VALUE!</v>
      </c>
      <c r="U109" s="88">
        <v>-1</v>
      </c>
      <c r="V109" s="82" t="e">
        <f>R109*U109</f>
        <v>#VALUE!</v>
      </c>
      <c r="W109" s="84" t="str">
        <f>CONCATENATE("a'(",Q108,")=")</f>
        <v>a'(  )=</v>
      </c>
      <c r="X109" s="84" t="e">
        <f>2*X107/12*T110</f>
        <v>#VALUE!</v>
      </c>
      <c r="Y109" s="84" t="e">
        <f>CONCATENATE("A(",Q107,")=")</f>
        <v>#VALUE!</v>
      </c>
      <c r="Z109" s="84" t="e">
        <f>VLOOKUP(Q107,STN_TABLE,3,FALSE)</f>
        <v>#VALUE!</v>
      </c>
      <c r="AA109" t="str">
        <f>CONCATENATE("A(",Q108,")=")</f>
        <v>A(  )=</v>
      </c>
      <c r="AB109" t="e">
        <f>X109+Z109</f>
        <v>#VALUE!</v>
      </c>
      <c r="AC109" s="99">
        <f>AC108+1</f>
        <v>17</v>
      </c>
      <c r="AD109" s="100" t="str">
        <f>VLOOKUP(AC109,STN_TABLE_2,2,FALSE)</f>
        <v xml:space="preserve">  </v>
      </c>
      <c r="AE109" s="82" t="str">
        <f>VLOOKUP(AD109,STN_TABLE,2,FALSE)</f>
        <v xml:space="preserve">  </v>
      </c>
      <c r="AF109" s="82">
        <v>2</v>
      </c>
      <c r="AG109" s="83" t="e">
        <f>AE109*AF109</f>
        <v>#VALUE!</v>
      </c>
      <c r="AH109" s="84" t="str">
        <f>CONCATENATE("a'(",AD109,")=")</f>
        <v>a'(  )=</v>
      </c>
      <c r="AI109" s="84" t="e">
        <f>2*AI107/2*AE110</f>
        <v>#VALUE!</v>
      </c>
      <c r="AJ109" s="84" t="str">
        <f>CONCATENATE("A(",AD108,")=")</f>
        <v>A(  )=</v>
      </c>
      <c r="AK109" s="84" t="str">
        <f>VLOOKUP(AD108,STN_TABLE,3,FALSE)</f>
        <v xml:space="preserve"> </v>
      </c>
      <c r="AL109" t="str">
        <f>CONCATENATE("A(",AD109,")=")</f>
        <v>A(  )=</v>
      </c>
      <c r="AM109" t="e">
        <f>AI109+AK109</f>
        <v>#VALUE!</v>
      </c>
      <c r="AO109" s="68" t="str">
        <f>AA109</f>
        <v>A(  )=</v>
      </c>
      <c r="AP109" s="68" t="e">
        <f>VLOOKUP(AO109,Rise_Results,2,FALSE)</f>
        <v>#N/A</v>
      </c>
      <c r="AQ109" s="76" t="e">
        <f>N109</f>
        <v>#VALUE!</v>
      </c>
      <c r="AR109" s="76" t="e">
        <f>IF(OR(AB109&lt;=0,AB110&lt;=0),1/0,AB109)</f>
        <v>#VALUE!</v>
      </c>
      <c r="AS109" s="76" t="e">
        <f>AM109</f>
        <v>#VALUE!</v>
      </c>
      <c r="AT109" t="e">
        <f>IFERROR(AP109,IFERROR(AQ109,IFERROR(AR109,AS109)))</f>
        <v>#VALUE!</v>
      </c>
      <c r="AU109" s="81"/>
    </row>
    <row r="110" spans="1:47" x14ac:dyDescent="0.25">
      <c r="A110" s="84">
        <f>A109+1</f>
        <v>17</v>
      </c>
      <c r="B110" s="84" t="str">
        <f t="shared" si="48"/>
        <v xml:space="preserve">  </v>
      </c>
      <c r="F110" s="82" t="e">
        <f>SUM(F107:F109)</f>
        <v>#VALUE!</v>
      </c>
      <c r="H110" s="82" t="e">
        <f>SUM(H107:H109)</f>
        <v>#VALUE!</v>
      </c>
      <c r="I110" s="84" t="str">
        <f>CONCATENATE("m'(",C109,")=")</f>
        <v>m'(  )=</v>
      </c>
      <c r="J110" s="84" t="e">
        <f>2*(J107*(WLS))/3*H110</f>
        <v>#VALUE!</v>
      </c>
      <c r="K110" s="84" t="e">
        <f>CONCATENATE("M(",C107,")=")</f>
        <v>#VALUE!</v>
      </c>
      <c r="L110" s="84" t="e">
        <f>VLOOKUP(C107,STN_TABLE,4,FALSE)</f>
        <v>#VALUE!</v>
      </c>
      <c r="M110" t="str">
        <f>CONCATENATE("M(",C109,")=")</f>
        <v>M(  )=</v>
      </c>
      <c r="N110" t="e">
        <f>J110+L110</f>
        <v>#VALUE!</v>
      </c>
      <c r="O110" s="99">
        <f>O109+1</f>
        <v>19</v>
      </c>
      <c r="P110" s="99" t="str">
        <f t="shared" si="44"/>
        <v xml:space="preserve">  </v>
      </c>
      <c r="T110" s="89" t="e">
        <f>SUM(T107:T109)</f>
        <v>#VALUE!</v>
      </c>
      <c r="V110" s="82" t="e">
        <f>SUM(V107:V109)</f>
        <v>#VALUE!</v>
      </c>
      <c r="W110" s="84" t="str">
        <f>CONCATENATE("m'(",Q108,")=")</f>
        <v>m'(  )=</v>
      </c>
      <c r="X110" s="84" t="e">
        <f>(2*(X107^2)/24*V110)+(X109*Q107*WLS)</f>
        <v>#VALUE!</v>
      </c>
      <c r="Y110" s="84" t="e">
        <f>CONCATENATE("M(",Q107,")=")</f>
        <v>#VALUE!</v>
      </c>
      <c r="Z110" s="84" t="e">
        <f>VLOOKUP(Q107,STN_TABLE,4,FALSE)</f>
        <v>#VALUE!</v>
      </c>
      <c r="AA110" t="str">
        <f>CONCATENATE("M(",Q108,")=")</f>
        <v>M(  )=</v>
      </c>
      <c r="AB110" t="e">
        <f>X110+Z110</f>
        <v>#VALUE!</v>
      </c>
      <c r="AE110" s="89">
        <f>SUM(AE108:AE109)</f>
        <v>0</v>
      </c>
      <c r="AG110" s="89" t="e">
        <f>SUM(AG108:AG109)</f>
        <v>#VALUE!</v>
      </c>
      <c r="AH110" s="84" t="str">
        <f>CONCATENATE("m'(",AD109,")=")</f>
        <v>m'(  )=</v>
      </c>
      <c r="AI110" s="84" t="e">
        <f>(2*(AI107^2)/6*AG110)+(AI109*AD108*WLS)</f>
        <v>#VALUE!</v>
      </c>
      <c r="AJ110" s="84" t="str">
        <f>CONCATENATE("M(",AD108,")=")</f>
        <v>M(  )=</v>
      </c>
      <c r="AK110" s="84" t="str">
        <f>VLOOKUP(AD108,STN_TABLE,4,FALSE)</f>
        <v xml:space="preserve"> </v>
      </c>
      <c r="AL110" t="str">
        <f>CONCATENATE("M(",AD109,")=")</f>
        <v>M(  )=</v>
      </c>
      <c r="AM110" t="e">
        <f>AI110+AK110</f>
        <v>#VALUE!</v>
      </c>
      <c r="AO110" s="82" t="str">
        <f>AA110</f>
        <v>M(  )=</v>
      </c>
      <c r="AP110" s="82" t="e">
        <f>VLOOKUP(AO110,Rise_Results,2,FALSE)</f>
        <v>#N/A</v>
      </c>
      <c r="AQ110" s="82" t="e">
        <f>N110</f>
        <v>#VALUE!</v>
      </c>
      <c r="AR110" s="82" t="e">
        <f>IF(OR(AB109&lt;=0,AB110&lt;=0),1/0,AB110)</f>
        <v>#VALUE!</v>
      </c>
      <c r="AS110" s="82" t="e">
        <f>AM110</f>
        <v>#VALUE!</v>
      </c>
      <c r="AT110" t="e">
        <f>IFERROR(AP110,IFERROR(AQ110,IFERROR(AR110,AS110)))</f>
        <v>#VALUE!</v>
      </c>
      <c r="AU110" s="81"/>
    </row>
    <row r="111" spans="1:47" x14ac:dyDescent="0.25">
      <c r="A111" s="101">
        <f>A106+1</f>
        <v>14</v>
      </c>
      <c r="B111" s="101" t="str">
        <f t="shared" si="48"/>
        <v xml:space="preserve">  </v>
      </c>
      <c r="O111" s="101">
        <f>O106+1</f>
        <v>16</v>
      </c>
      <c r="P111" s="101" t="str">
        <f t="shared" si="44"/>
        <v xml:space="preserve">  </v>
      </c>
      <c r="AU111" s="81"/>
    </row>
    <row r="112" spans="1:47" x14ac:dyDescent="0.25">
      <c r="A112" s="84">
        <f>A111+1</f>
        <v>15</v>
      </c>
      <c r="B112" s="84" t="str">
        <f t="shared" si="48"/>
        <v xml:space="preserve">  </v>
      </c>
      <c r="C112" s="79" t="e">
        <f t="shared" ref="C112" si="52">IF(C113=B114,IF(C114-C113=C113-B113,B113,IF(C114-C113=C113-B112,B112,"#NA")),IF(C113=B113,IF(C114-C113=C113-B112,B112,IF(C114-C113=C113-B111,B111,"#NA")),"#NA"))</f>
        <v>#VALUE!</v>
      </c>
      <c r="D112" s="68" t="e">
        <f>VLOOKUP(C112,STN_TABLE,2,FALSE)</f>
        <v>#VALUE!</v>
      </c>
      <c r="E112" s="102">
        <v>1</v>
      </c>
      <c r="F112" s="68" t="e">
        <f>D112*E112</f>
        <v>#VALUE!</v>
      </c>
      <c r="G112" s="69" t="e">
        <f>C112</f>
        <v>#VALUE!</v>
      </c>
      <c r="H112" s="69" t="e">
        <f>F112*G112</f>
        <v>#VALUE!</v>
      </c>
      <c r="I112" s="6" t="s">
        <v>93</v>
      </c>
      <c r="J112" s="70" t="e">
        <f>IF(OR(D112=0,D113=0,D114=0),"#NA",IF(AND(C114-C113=C113-C112,C113&lt;&gt;C114,C112&lt;&gt;C113,C112&lt;&gt;C114,D114&lt;&gt;0,OR(D112&lt;&gt;0,D113&lt;&gt;0)),WLS*(C114-C113),"#NA"))</f>
        <v>#VALUE!</v>
      </c>
      <c r="O112" s="99">
        <f>O111+1</f>
        <v>17</v>
      </c>
      <c r="P112" s="99" t="str">
        <f t="shared" si="44"/>
        <v xml:space="preserve">  </v>
      </c>
      <c r="Q112" s="68" t="e">
        <f>IF(OR(P114-P113=P113-P112,P115-P113=P113-P112),P112,IF(OR(P114-P113=P113-P111,P115-P113=P113-P111),P111,"-"))</f>
        <v>#VALUE!</v>
      </c>
      <c r="R112" s="69" t="e">
        <f>VLOOKUP(Q112,STN_TABLE,2,FALSE)</f>
        <v>#VALUE!</v>
      </c>
      <c r="S112" s="69">
        <v>5</v>
      </c>
      <c r="T112" s="68" t="e">
        <f>R112*S112</f>
        <v>#VALUE!</v>
      </c>
      <c r="U112" s="79">
        <v>3</v>
      </c>
      <c r="V112" s="68" t="e">
        <f>R112*U112</f>
        <v>#VALUE!</v>
      </c>
      <c r="W112" s="6" t="s">
        <v>93</v>
      </c>
      <c r="X112" s="70" t="e">
        <f>IF(AND(Q114-Q113=Q113-Q112,NOT(AND(Q112=0,Q113=0)),NOT(AND(Q113=0,Q114=0))),WLS*(Q114-Q113),"#NA")</f>
        <v>#VALUE!</v>
      </c>
      <c r="AD112" s="93"/>
      <c r="AH112" s="6" t="s">
        <v>93</v>
      </c>
      <c r="AI112" s="70" t="e">
        <f>WLS*(AD114-AD113)</f>
        <v>#VALUE!</v>
      </c>
      <c r="AU112" s="81"/>
    </row>
    <row r="113" spans="1:47" x14ac:dyDescent="0.25">
      <c r="A113" s="84">
        <f>A112+1</f>
        <v>16</v>
      </c>
      <c r="B113" s="84" t="str">
        <f t="shared" si="48"/>
        <v xml:space="preserve">  </v>
      </c>
      <c r="C113" s="80" t="e">
        <f t="shared" ref="C113" si="53">IF(OR(B115-B114=B114-B113,B115-B114=B114-B112,B115-B114=B114-B111),B114,IF(OR(B115-B113=B113-B112,B115-B113=B113-B111),B113,IF(B115-B112=B112-B111,B112,"#NA")))</f>
        <v>#VALUE!</v>
      </c>
      <c r="D113" s="76" t="e">
        <f>VLOOKUP(C113,STN_TABLE,2,FALSE)</f>
        <v>#VALUE!</v>
      </c>
      <c r="E113" s="81">
        <v>4</v>
      </c>
      <c r="F113" s="76" t="e">
        <f>D113*E113</f>
        <v>#VALUE!</v>
      </c>
      <c r="G113" s="77" t="e">
        <f>C113</f>
        <v>#VALUE!</v>
      </c>
      <c r="H113" s="77" t="e">
        <f>F113*G113</f>
        <v>#VALUE!</v>
      </c>
      <c r="I113" s="495" t="s">
        <v>97</v>
      </c>
      <c r="J113" s="496"/>
      <c r="K113" s="78" t="s">
        <v>98</v>
      </c>
      <c r="L113" s="78"/>
      <c r="M113" s="7" t="s">
        <v>99</v>
      </c>
      <c r="N113" s="7"/>
      <c r="O113" s="99">
        <f>O112+1</f>
        <v>18</v>
      </c>
      <c r="P113" s="99" t="str">
        <f t="shared" si="44"/>
        <v xml:space="preserve">  </v>
      </c>
      <c r="Q113" s="76" t="str">
        <f>P113</f>
        <v xml:space="preserve">  </v>
      </c>
      <c r="R113" s="77" t="str">
        <f>VLOOKUP(Q113,STN_TABLE,2,FALSE)</f>
        <v xml:space="preserve">  </v>
      </c>
      <c r="S113" s="77">
        <v>8</v>
      </c>
      <c r="T113" s="76" t="e">
        <f>R113*S113</f>
        <v>#VALUE!</v>
      </c>
      <c r="U113" s="80">
        <v>10</v>
      </c>
      <c r="V113" s="76" t="e">
        <f>R113*U113</f>
        <v>#VALUE!</v>
      </c>
      <c r="W113" s="496" t="s">
        <v>97</v>
      </c>
      <c r="X113" s="496"/>
      <c r="Y113" s="496" t="s">
        <v>98</v>
      </c>
      <c r="Z113" s="496"/>
      <c r="AA113" s="494" t="s">
        <v>99</v>
      </c>
      <c r="AB113" s="494"/>
      <c r="AC113" s="99">
        <f>AC108+1</f>
        <v>17</v>
      </c>
      <c r="AD113" s="95" t="str">
        <f>VLOOKUP(AC113,STN_TABLE_2,2,FALSE)</f>
        <v xml:space="preserve">  </v>
      </c>
      <c r="AE113" s="68" t="str">
        <f>VLOOKUP(AD113,STN_TABLE,2,FALSE)</f>
        <v xml:space="preserve">  </v>
      </c>
      <c r="AF113" s="68">
        <v>1</v>
      </c>
      <c r="AG113" s="69" t="e">
        <f>AE113*AF113</f>
        <v>#VALUE!</v>
      </c>
      <c r="AH113" s="496" t="s">
        <v>97</v>
      </c>
      <c r="AI113" s="496"/>
      <c r="AJ113" s="496" t="s">
        <v>98</v>
      </c>
      <c r="AK113" s="496"/>
      <c r="AL113" s="494" t="s">
        <v>99</v>
      </c>
      <c r="AM113" s="494"/>
      <c r="AP113" s="86" t="s">
        <v>112</v>
      </c>
      <c r="AQ113" s="89" t="s">
        <v>113</v>
      </c>
      <c r="AR113" s="89" t="s">
        <v>114</v>
      </c>
      <c r="AS113" s="89" t="s">
        <v>115</v>
      </c>
      <c r="AU113" s="81"/>
    </row>
    <row r="114" spans="1:47" x14ac:dyDescent="0.25">
      <c r="A114" s="84">
        <f>A113+1</f>
        <v>17</v>
      </c>
      <c r="B114" s="84" t="str">
        <f t="shared" si="48"/>
        <v xml:space="preserve">  </v>
      </c>
      <c r="C114" s="88" t="str">
        <f t="shared" ref="C114" si="54">B115</f>
        <v xml:space="preserve">  </v>
      </c>
      <c r="D114" s="82" t="str">
        <f>VLOOKUP(C114,STN_TABLE,2,FALSE)</f>
        <v xml:space="preserve">  </v>
      </c>
      <c r="E114" s="92">
        <v>1</v>
      </c>
      <c r="F114" s="82" t="e">
        <f>D114*E114</f>
        <v>#VALUE!</v>
      </c>
      <c r="G114" s="83" t="str">
        <f>C114</f>
        <v xml:space="preserve">  </v>
      </c>
      <c r="H114" s="83" t="e">
        <f>F114*G114</f>
        <v>#VALUE!</v>
      </c>
      <c r="I114" s="84" t="str">
        <f>CONCATENATE("a'(",C114,")=")</f>
        <v>a'(  )=</v>
      </c>
      <c r="J114" s="84" t="e">
        <f>2*J112/3*F115</f>
        <v>#VALUE!</v>
      </c>
      <c r="K114" s="84" t="e">
        <f>CONCATENATE("A(",C112,")=")</f>
        <v>#VALUE!</v>
      </c>
      <c r="L114" s="84" t="e">
        <f>VLOOKUP(C112,STN_TABLE,3,FALSE)</f>
        <v>#VALUE!</v>
      </c>
      <c r="M114" t="str">
        <f>CONCATENATE("A(",C114,")=")</f>
        <v>A(  )=</v>
      </c>
      <c r="N114" t="e">
        <f>J114+L114</f>
        <v>#VALUE!</v>
      </c>
      <c r="O114" s="99">
        <f>O113+1</f>
        <v>19</v>
      </c>
      <c r="P114" s="99" t="str">
        <f t="shared" si="44"/>
        <v xml:space="preserve">  </v>
      </c>
      <c r="Q114" s="82" t="e">
        <f>IF(P114-P113=P113-P112,P114,IF(P115-P113=P113-P112,P115,IF(P114-P113=P113-P111,P114,IF(P115-P113=P113-P111,P115,"-"))))</f>
        <v>#VALUE!</v>
      </c>
      <c r="R114" s="83" t="e">
        <f>VLOOKUP(Q114,STN_TABLE,2,FALSE)</f>
        <v>#VALUE!</v>
      </c>
      <c r="S114" s="83">
        <v>-1</v>
      </c>
      <c r="T114" s="82" t="e">
        <f>R114*S114</f>
        <v>#VALUE!</v>
      </c>
      <c r="U114" s="88">
        <v>-1</v>
      </c>
      <c r="V114" s="82" t="e">
        <f>R114*U114</f>
        <v>#VALUE!</v>
      </c>
      <c r="W114" s="84" t="str">
        <f>CONCATENATE("a'(",Q113,")=")</f>
        <v>a'(  )=</v>
      </c>
      <c r="X114" s="84" t="e">
        <f>2*X112/12*T115</f>
        <v>#VALUE!</v>
      </c>
      <c r="Y114" s="84" t="e">
        <f>CONCATENATE("A(",Q112,")=")</f>
        <v>#VALUE!</v>
      </c>
      <c r="Z114" s="84" t="e">
        <f>VLOOKUP(Q112,STN_TABLE,3,FALSE)</f>
        <v>#VALUE!</v>
      </c>
      <c r="AA114" t="str">
        <f>CONCATENATE("A(",Q113,")=")</f>
        <v>A(  )=</v>
      </c>
      <c r="AB114" t="e">
        <f>X114+Z114</f>
        <v>#VALUE!</v>
      </c>
      <c r="AC114" s="99">
        <f>AC113+1</f>
        <v>18</v>
      </c>
      <c r="AD114" s="100" t="str">
        <f>VLOOKUP(AC114,STN_TABLE_2,2,FALSE)</f>
        <v xml:space="preserve">  </v>
      </c>
      <c r="AE114" s="82" t="str">
        <f>VLOOKUP(AD114,STN_TABLE,2,FALSE)</f>
        <v xml:space="preserve">  </v>
      </c>
      <c r="AF114" s="82">
        <v>2</v>
      </c>
      <c r="AG114" s="83" t="e">
        <f>AE114*AF114</f>
        <v>#VALUE!</v>
      </c>
      <c r="AH114" s="84" t="str">
        <f>CONCATENATE("a'(",AD114,")=")</f>
        <v>a'(  )=</v>
      </c>
      <c r="AI114" s="84" t="e">
        <f>2*AI112/2*AE115</f>
        <v>#VALUE!</v>
      </c>
      <c r="AJ114" s="84" t="str">
        <f>CONCATENATE("A(",AD113,")=")</f>
        <v>A(  )=</v>
      </c>
      <c r="AK114" s="84" t="str">
        <f>VLOOKUP(AD113,STN_TABLE,3,FALSE)</f>
        <v xml:space="preserve"> </v>
      </c>
      <c r="AL114" t="str">
        <f>CONCATENATE("A(",AD114,")=")</f>
        <v>A(  )=</v>
      </c>
      <c r="AM114" t="e">
        <f>AI114+AK114</f>
        <v>#VALUE!</v>
      </c>
      <c r="AO114" s="68" t="str">
        <f>AA114</f>
        <v>A(  )=</v>
      </c>
      <c r="AP114" s="68" t="e">
        <f>VLOOKUP(AO114,Rise_Results,2,FALSE)</f>
        <v>#N/A</v>
      </c>
      <c r="AQ114" s="76" t="e">
        <f>N114</f>
        <v>#VALUE!</v>
      </c>
      <c r="AR114" s="76" t="e">
        <f>IF(OR(AB114&lt;=0,AB115&lt;=0),1/0,AB114)</f>
        <v>#VALUE!</v>
      </c>
      <c r="AS114" s="76" t="e">
        <f>AM114</f>
        <v>#VALUE!</v>
      </c>
      <c r="AT114" t="e">
        <f>IFERROR(AP114,IFERROR(AQ114,IFERROR(AR114,AS114)))</f>
        <v>#VALUE!</v>
      </c>
      <c r="AU114" s="81"/>
    </row>
    <row r="115" spans="1:47" x14ac:dyDescent="0.25">
      <c r="A115" s="84">
        <f>A114+1</f>
        <v>18</v>
      </c>
      <c r="B115" s="84" t="str">
        <f t="shared" si="48"/>
        <v xml:space="preserve">  </v>
      </c>
      <c r="F115" s="82" t="e">
        <f>SUM(F112:F114)</f>
        <v>#VALUE!</v>
      </c>
      <c r="H115" s="82" t="e">
        <f>SUM(H112:H114)</f>
        <v>#VALUE!</v>
      </c>
      <c r="I115" s="84" t="str">
        <f>CONCATENATE("m'(",C114,")=")</f>
        <v>m'(  )=</v>
      </c>
      <c r="J115" s="84" t="e">
        <f>2*(J112*(WLS))/3*H115</f>
        <v>#VALUE!</v>
      </c>
      <c r="K115" s="84" t="e">
        <f>CONCATENATE("M(",C112,")=")</f>
        <v>#VALUE!</v>
      </c>
      <c r="L115" s="84" t="e">
        <f>VLOOKUP(C112,STN_TABLE,4,FALSE)</f>
        <v>#VALUE!</v>
      </c>
      <c r="M115" t="str">
        <f>CONCATENATE("M(",C114,")=")</f>
        <v>M(  )=</v>
      </c>
      <c r="N115" t="e">
        <f>J115+L115</f>
        <v>#VALUE!</v>
      </c>
      <c r="O115" s="99">
        <f>O114+1</f>
        <v>20</v>
      </c>
      <c r="P115" s="99" t="str">
        <f t="shared" si="44"/>
        <v xml:space="preserve">  </v>
      </c>
      <c r="T115" s="89" t="e">
        <f>SUM(T112:T114)</f>
        <v>#VALUE!</v>
      </c>
      <c r="V115" s="82" t="e">
        <f>SUM(V112:V114)</f>
        <v>#VALUE!</v>
      </c>
      <c r="W115" s="84" t="str">
        <f>CONCATENATE("m'(",Q113,")=")</f>
        <v>m'(  )=</v>
      </c>
      <c r="X115" s="84" t="e">
        <f>(2*(X112^2)/24*V115)+(X114*Q112*WLS)</f>
        <v>#VALUE!</v>
      </c>
      <c r="Y115" s="84" t="e">
        <f>CONCATENATE("M(",Q112,")=")</f>
        <v>#VALUE!</v>
      </c>
      <c r="Z115" s="84" t="e">
        <f>VLOOKUP(Q112,STN_TABLE,4,FALSE)</f>
        <v>#VALUE!</v>
      </c>
      <c r="AA115" t="str">
        <f>CONCATENATE("M(",Q113,")=")</f>
        <v>M(  )=</v>
      </c>
      <c r="AB115" t="e">
        <f>X115+Z115</f>
        <v>#VALUE!</v>
      </c>
      <c r="AE115" s="89">
        <f>SUM(AE113:AE114)</f>
        <v>0</v>
      </c>
      <c r="AG115" s="89" t="e">
        <f>SUM(AG113:AG114)</f>
        <v>#VALUE!</v>
      </c>
      <c r="AH115" s="84" t="str">
        <f>CONCATENATE("m'(",AD114,")=")</f>
        <v>m'(  )=</v>
      </c>
      <c r="AI115" s="84" t="e">
        <f>(2*(AI112^2)/6*AG115)+(AI114*AD113*WLS)</f>
        <v>#VALUE!</v>
      </c>
      <c r="AJ115" s="84" t="str">
        <f>CONCATENATE("M(",AD113,")=")</f>
        <v>M(  )=</v>
      </c>
      <c r="AK115" s="84" t="str">
        <f>VLOOKUP(AD113,STN_TABLE,4,FALSE)</f>
        <v xml:space="preserve"> </v>
      </c>
      <c r="AL115" t="str">
        <f>CONCATENATE("M(",AD114,")=")</f>
        <v>M(  )=</v>
      </c>
      <c r="AM115" t="e">
        <f>AI115+AK115</f>
        <v>#VALUE!</v>
      </c>
      <c r="AO115" s="82" t="str">
        <f>AA115</f>
        <v>M(  )=</v>
      </c>
      <c r="AP115" s="82" t="e">
        <f>VLOOKUP(AO115,Rise_Results,2,FALSE)</f>
        <v>#N/A</v>
      </c>
      <c r="AQ115" s="82" t="e">
        <f>N115</f>
        <v>#VALUE!</v>
      </c>
      <c r="AR115" s="82" t="e">
        <f>IF(OR(AB114&lt;=0,AB115&lt;=0),1/0,AB115)</f>
        <v>#VALUE!</v>
      </c>
      <c r="AS115" s="82" t="e">
        <f>AM115</f>
        <v>#VALUE!</v>
      </c>
      <c r="AT115" t="e">
        <f>IFERROR(AP115,IFERROR(AQ115,IFERROR(AR115,AS115)))</f>
        <v>#VALUE!</v>
      </c>
      <c r="AU115" s="81"/>
    </row>
    <row r="116" spans="1:47" x14ac:dyDescent="0.25">
      <c r="A116" s="101">
        <f>A111+1</f>
        <v>15</v>
      </c>
      <c r="B116" s="101" t="str">
        <f t="shared" si="48"/>
        <v xml:space="preserve">  </v>
      </c>
      <c r="O116" s="101">
        <f>O111+1</f>
        <v>17</v>
      </c>
      <c r="P116" s="101" t="str">
        <f t="shared" si="44"/>
        <v xml:space="preserve">  </v>
      </c>
      <c r="AU116" s="81"/>
    </row>
    <row r="117" spans="1:47" x14ac:dyDescent="0.25">
      <c r="A117" s="84">
        <f>A116+1</f>
        <v>16</v>
      </c>
      <c r="B117" s="84" t="str">
        <f t="shared" si="48"/>
        <v xml:space="preserve">  </v>
      </c>
      <c r="C117" s="79" t="e">
        <f t="shared" ref="C117" si="55">IF(C118=B119,IF(C119-C118=C118-B118,B118,IF(C119-C118=C118-B117,B117,"#NA")),IF(C118=B118,IF(C119-C118=C118-B117,B117,IF(C119-C118=C118-B116,B116,"#NA")),"#NA"))</f>
        <v>#VALUE!</v>
      </c>
      <c r="D117" s="68" t="e">
        <f>VLOOKUP(C117,STN_TABLE,2,FALSE)</f>
        <v>#VALUE!</v>
      </c>
      <c r="E117" s="102">
        <v>1</v>
      </c>
      <c r="F117" s="68" t="e">
        <f>D117*E117</f>
        <v>#VALUE!</v>
      </c>
      <c r="G117" s="69" t="e">
        <f>C117</f>
        <v>#VALUE!</v>
      </c>
      <c r="H117" s="69" t="e">
        <f>F117*G117</f>
        <v>#VALUE!</v>
      </c>
      <c r="I117" s="6" t="s">
        <v>93</v>
      </c>
      <c r="J117" s="70" t="e">
        <f>IF(OR(D117=0,D118=0,D119=0),"#NA",IF(AND(C119-C118=C118-C117,C118&lt;&gt;C119,C117&lt;&gt;C118,C117&lt;&gt;C119,D119&lt;&gt;0,OR(D117&lt;&gt;0,D118&lt;&gt;0)),WLS*(C119-C118),"#NA"))</f>
        <v>#VALUE!</v>
      </c>
      <c r="O117" s="99">
        <f>O116+1</f>
        <v>18</v>
      </c>
      <c r="P117" s="99" t="str">
        <f t="shared" si="44"/>
        <v xml:space="preserve">  </v>
      </c>
      <c r="Q117" s="68" t="e">
        <f>IF(OR(P119-P118=P118-P117,P120-P118=P118-P117),P117,IF(OR(P119-P118=P118-P116,P120-P118=P118-P116),P116,"-"))</f>
        <v>#VALUE!</v>
      </c>
      <c r="R117" s="69" t="e">
        <f>VLOOKUP(Q117,STN_TABLE,2,FALSE)</f>
        <v>#VALUE!</v>
      </c>
      <c r="S117" s="69">
        <v>5</v>
      </c>
      <c r="T117" s="68" t="e">
        <f>R117*S117</f>
        <v>#VALUE!</v>
      </c>
      <c r="U117" s="79">
        <v>3</v>
      </c>
      <c r="V117" s="68" t="e">
        <f>R117*U117</f>
        <v>#VALUE!</v>
      </c>
      <c r="W117" s="6" t="s">
        <v>93</v>
      </c>
      <c r="X117" s="70" t="e">
        <f>IF(AND(Q119-Q118=Q118-Q117,NOT(AND(Q117=0,Q118=0)),NOT(AND(Q118=0,Q119=0))),WLS*(Q119-Q118),"#NA")</f>
        <v>#VALUE!</v>
      </c>
      <c r="AD117" s="93"/>
      <c r="AH117" s="6" t="s">
        <v>93</v>
      </c>
      <c r="AI117" s="70" t="e">
        <f>WLS*(AD119-AD118)</f>
        <v>#VALUE!</v>
      </c>
      <c r="AU117" s="81"/>
    </row>
    <row r="118" spans="1:47" x14ac:dyDescent="0.25">
      <c r="A118" s="84">
        <f>A117+1</f>
        <v>17</v>
      </c>
      <c r="B118" s="84" t="str">
        <f t="shared" si="48"/>
        <v xml:space="preserve">  </v>
      </c>
      <c r="C118" s="80" t="e">
        <f t="shared" ref="C118" si="56">IF(OR(B120-B119=B119-B118,B120-B119=B119-B117,B120-B119=B119-B116),B119,IF(OR(B120-B118=B118-B117,B120-B118=B118-B116),B118,IF(B120-B117=B117-B116,B117,"#NA")))</f>
        <v>#VALUE!</v>
      </c>
      <c r="D118" s="76" t="e">
        <f>VLOOKUP(C118,STN_TABLE,2,FALSE)</f>
        <v>#VALUE!</v>
      </c>
      <c r="E118" s="81">
        <v>4</v>
      </c>
      <c r="F118" s="76" t="e">
        <f>D118*E118</f>
        <v>#VALUE!</v>
      </c>
      <c r="G118" s="77" t="e">
        <f>C118</f>
        <v>#VALUE!</v>
      </c>
      <c r="H118" s="77" t="e">
        <f>F118*G118</f>
        <v>#VALUE!</v>
      </c>
      <c r="I118" s="495" t="s">
        <v>97</v>
      </c>
      <c r="J118" s="496"/>
      <c r="K118" s="78" t="s">
        <v>98</v>
      </c>
      <c r="L118" s="78"/>
      <c r="M118" s="7" t="s">
        <v>99</v>
      </c>
      <c r="N118" s="7"/>
      <c r="O118" s="99">
        <f>O117+1</f>
        <v>19</v>
      </c>
      <c r="P118" s="99" t="str">
        <f t="shared" si="44"/>
        <v xml:space="preserve">  </v>
      </c>
      <c r="Q118" s="76" t="str">
        <f>P118</f>
        <v xml:space="preserve">  </v>
      </c>
      <c r="R118" s="77" t="str">
        <f>VLOOKUP(Q118,STN_TABLE,2,FALSE)</f>
        <v xml:space="preserve">  </v>
      </c>
      <c r="S118" s="77">
        <v>8</v>
      </c>
      <c r="T118" s="76" t="e">
        <f>R118*S118</f>
        <v>#VALUE!</v>
      </c>
      <c r="U118" s="80">
        <v>10</v>
      </c>
      <c r="V118" s="76" t="e">
        <f>R118*U118</f>
        <v>#VALUE!</v>
      </c>
      <c r="W118" s="496" t="s">
        <v>97</v>
      </c>
      <c r="X118" s="496"/>
      <c r="Y118" s="496" t="s">
        <v>98</v>
      </c>
      <c r="Z118" s="496"/>
      <c r="AA118" s="494" t="s">
        <v>99</v>
      </c>
      <c r="AB118" s="494"/>
      <c r="AC118" s="99">
        <f>AC113+1</f>
        <v>18</v>
      </c>
      <c r="AD118" s="95" t="str">
        <f>VLOOKUP(AC118,STN_TABLE_2,2,FALSE)</f>
        <v xml:space="preserve">  </v>
      </c>
      <c r="AE118" s="68" t="str">
        <f>VLOOKUP(AD118,STN_TABLE,2,FALSE)</f>
        <v xml:space="preserve">  </v>
      </c>
      <c r="AF118" s="68">
        <v>1</v>
      </c>
      <c r="AG118" s="69" t="e">
        <f>AE118*AF118</f>
        <v>#VALUE!</v>
      </c>
      <c r="AH118" s="496" t="s">
        <v>97</v>
      </c>
      <c r="AI118" s="496"/>
      <c r="AJ118" s="496" t="s">
        <v>98</v>
      </c>
      <c r="AK118" s="496"/>
      <c r="AL118" s="494" t="s">
        <v>99</v>
      </c>
      <c r="AM118" s="494"/>
      <c r="AP118" s="86" t="s">
        <v>112</v>
      </c>
      <c r="AQ118" s="89" t="s">
        <v>113</v>
      </c>
      <c r="AR118" s="89" t="s">
        <v>114</v>
      </c>
      <c r="AS118" s="89" t="s">
        <v>115</v>
      </c>
      <c r="AU118" s="81"/>
    </row>
    <row r="119" spans="1:47" x14ac:dyDescent="0.25">
      <c r="A119" s="84">
        <f>A118+1</f>
        <v>18</v>
      </c>
      <c r="B119" s="84" t="str">
        <f t="shared" si="48"/>
        <v xml:space="preserve">  </v>
      </c>
      <c r="C119" s="88" t="str">
        <f t="shared" ref="C119" si="57">B120</f>
        <v xml:space="preserve">  </v>
      </c>
      <c r="D119" s="82" t="str">
        <f>VLOOKUP(C119,STN_TABLE,2,FALSE)</f>
        <v xml:space="preserve">  </v>
      </c>
      <c r="E119" s="92">
        <v>1</v>
      </c>
      <c r="F119" s="82" t="e">
        <f>D119*E119</f>
        <v>#VALUE!</v>
      </c>
      <c r="G119" s="83" t="str">
        <f>C119</f>
        <v xml:space="preserve">  </v>
      </c>
      <c r="H119" s="83" t="e">
        <f>F119*G119</f>
        <v>#VALUE!</v>
      </c>
      <c r="I119" s="84" t="str">
        <f>CONCATENATE("a'(",C119,")=")</f>
        <v>a'(  )=</v>
      </c>
      <c r="J119" s="84" t="e">
        <f>2*J117/3*F120</f>
        <v>#VALUE!</v>
      </c>
      <c r="K119" s="84" t="e">
        <f>CONCATENATE("A(",C117,")=")</f>
        <v>#VALUE!</v>
      </c>
      <c r="L119" s="84" t="e">
        <f>VLOOKUP(C117,STN_TABLE,3,FALSE)</f>
        <v>#VALUE!</v>
      </c>
      <c r="M119" t="str">
        <f>CONCATENATE("A(",C119,")=")</f>
        <v>A(  )=</v>
      </c>
      <c r="N119" t="e">
        <f>J119+L119</f>
        <v>#VALUE!</v>
      </c>
      <c r="O119" s="99">
        <f>O118+1</f>
        <v>20</v>
      </c>
      <c r="P119" s="99" t="str">
        <f t="shared" si="44"/>
        <v xml:space="preserve">  </v>
      </c>
      <c r="Q119" s="82" t="e">
        <f>IF(P119-P118=P118-P117,P119,IF(P120-P118=P118-P117,P120,IF(P119-P118=P118-P116,P119,IF(P120-P118=P118-P116,P120,"-"))))</f>
        <v>#VALUE!</v>
      </c>
      <c r="R119" s="83" t="e">
        <f>VLOOKUP(Q119,STN_TABLE,2,FALSE)</f>
        <v>#VALUE!</v>
      </c>
      <c r="S119" s="83">
        <v>-1</v>
      </c>
      <c r="T119" s="82" t="e">
        <f>R119*S119</f>
        <v>#VALUE!</v>
      </c>
      <c r="U119" s="88">
        <v>-1</v>
      </c>
      <c r="V119" s="82" t="e">
        <f>R119*U119</f>
        <v>#VALUE!</v>
      </c>
      <c r="W119" s="84" t="str">
        <f>CONCATENATE("a'(",Q118,")=")</f>
        <v>a'(  )=</v>
      </c>
      <c r="X119" s="84" t="e">
        <f>2*X117/12*T120</f>
        <v>#VALUE!</v>
      </c>
      <c r="Y119" s="84" t="e">
        <f>CONCATENATE("A(",Q117,")=")</f>
        <v>#VALUE!</v>
      </c>
      <c r="Z119" s="84" t="e">
        <f>VLOOKUP(Q117,STN_TABLE,3,FALSE)</f>
        <v>#VALUE!</v>
      </c>
      <c r="AA119" t="str">
        <f>CONCATENATE("A(",Q118,")=")</f>
        <v>A(  )=</v>
      </c>
      <c r="AB119" t="e">
        <f>X119+Z119</f>
        <v>#VALUE!</v>
      </c>
      <c r="AC119" s="99">
        <f>AC118+1</f>
        <v>19</v>
      </c>
      <c r="AD119" s="100" t="str">
        <f>VLOOKUP(AC119,STN_TABLE_2,2,FALSE)</f>
        <v xml:space="preserve">  </v>
      </c>
      <c r="AE119" s="82" t="str">
        <f>VLOOKUP(AD119,STN_TABLE,2,FALSE)</f>
        <v xml:space="preserve">  </v>
      </c>
      <c r="AF119" s="82">
        <v>2</v>
      </c>
      <c r="AG119" s="83" t="e">
        <f>AE119*AF119</f>
        <v>#VALUE!</v>
      </c>
      <c r="AH119" s="84" t="str">
        <f>CONCATENATE("a'(",AD119,")=")</f>
        <v>a'(  )=</v>
      </c>
      <c r="AI119" s="84" t="e">
        <f>2*AI117/2*AE120</f>
        <v>#VALUE!</v>
      </c>
      <c r="AJ119" s="84" t="str">
        <f>CONCATENATE("A(",AD118,")=")</f>
        <v>A(  )=</v>
      </c>
      <c r="AK119" s="84" t="str">
        <f>VLOOKUP(AD118,STN_TABLE,3,FALSE)</f>
        <v xml:space="preserve"> </v>
      </c>
      <c r="AL119" t="str">
        <f>CONCATENATE("A(",AD119,")=")</f>
        <v>A(  )=</v>
      </c>
      <c r="AM119" t="e">
        <f>AI119+AK119</f>
        <v>#VALUE!</v>
      </c>
      <c r="AO119" s="68" t="str">
        <f>AA119</f>
        <v>A(  )=</v>
      </c>
      <c r="AP119" s="68" t="e">
        <f>VLOOKUP(AO119,Rise_Results,2,FALSE)</f>
        <v>#N/A</v>
      </c>
      <c r="AQ119" s="76" t="e">
        <f>N119</f>
        <v>#VALUE!</v>
      </c>
      <c r="AR119" s="76" t="e">
        <f>IF(OR(AB119&lt;=0,AB120&lt;=0),1/0,AB119)</f>
        <v>#VALUE!</v>
      </c>
      <c r="AS119" s="76" t="e">
        <f>AM119</f>
        <v>#VALUE!</v>
      </c>
      <c r="AT119" t="e">
        <f>IFERROR(AP119,IFERROR(AQ119,IFERROR(AR119,AS119)))</f>
        <v>#VALUE!</v>
      </c>
      <c r="AU119" s="81"/>
    </row>
    <row r="120" spans="1:47" x14ac:dyDescent="0.25">
      <c r="A120" s="84">
        <f>A119+1</f>
        <v>19</v>
      </c>
      <c r="B120" s="84" t="str">
        <f t="shared" si="48"/>
        <v xml:space="preserve">  </v>
      </c>
      <c r="F120" s="82" t="e">
        <f>SUM(F117:F119)</f>
        <v>#VALUE!</v>
      </c>
      <c r="H120" s="82" t="e">
        <f>SUM(H117:H119)</f>
        <v>#VALUE!</v>
      </c>
      <c r="I120" s="84" t="str">
        <f>CONCATENATE("m'(",C119,")=")</f>
        <v>m'(  )=</v>
      </c>
      <c r="J120" s="84" t="e">
        <f>2*(J117*(WLS))/3*H120</f>
        <v>#VALUE!</v>
      </c>
      <c r="K120" s="84" t="e">
        <f>CONCATENATE("M(",C117,")=")</f>
        <v>#VALUE!</v>
      </c>
      <c r="L120" s="84" t="e">
        <f>VLOOKUP(C117,STN_TABLE,4,FALSE)</f>
        <v>#VALUE!</v>
      </c>
      <c r="M120" t="str">
        <f>CONCATENATE("M(",C119,")=")</f>
        <v>M(  )=</v>
      </c>
      <c r="N120" t="e">
        <f>J120+L120</f>
        <v>#VALUE!</v>
      </c>
      <c r="O120" s="99">
        <f>O119+1</f>
        <v>21</v>
      </c>
      <c r="P120" s="99" t="str">
        <f t="shared" si="44"/>
        <v xml:space="preserve">  </v>
      </c>
      <c r="T120" s="89" t="e">
        <f>SUM(T117:T119)</f>
        <v>#VALUE!</v>
      </c>
      <c r="V120" s="82" t="e">
        <f>SUM(V117:V119)</f>
        <v>#VALUE!</v>
      </c>
      <c r="W120" s="84" t="str">
        <f>CONCATENATE("m'(",Q118,")=")</f>
        <v>m'(  )=</v>
      </c>
      <c r="X120" s="84" t="e">
        <f>(2*(X117^2)/24*V120)+(X119*Q117*WLS)</f>
        <v>#VALUE!</v>
      </c>
      <c r="Y120" s="84" t="e">
        <f>CONCATENATE("M(",Q117,")=")</f>
        <v>#VALUE!</v>
      </c>
      <c r="Z120" s="84" t="e">
        <f>VLOOKUP(Q117,STN_TABLE,4,FALSE)</f>
        <v>#VALUE!</v>
      </c>
      <c r="AA120" t="str">
        <f>CONCATENATE("M(",Q118,")=")</f>
        <v>M(  )=</v>
      </c>
      <c r="AB120" t="e">
        <f>X120+Z120</f>
        <v>#VALUE!</v>
      </c>
      <c r="AE120" s="89">
        <f>SUM(AE118:AE119)</f>
        <v>0</v>
      </c>
      <c r="AG120" s="89" t="e">
        <f>SUM(AG118:AG119)</f>
        <v>#VALUE!</v>
      </c>
      <c r="AH120" s="84" t="str">
        <f>CONCATENATE("m'(",AD119,")=")</f>
        <v>m'(  )=</v>
      </c>
      <c r="AI120" s="84" t="e">
        <f>(2*(AI117^2)/6*AG120)+(AI119*AD118*WLS)</f>
        <v>#VALUE!</v>
      </c>
      <c r="AJ120" s="84" t="str">
        <f>CONCATENATE("M(",AD118,")=")</f>
        <v>M(  )=</v>
      </c>
      <c r="AK120" s="84" t="str">
        <f>VLOOKUP(AD118,STN_TABLE,4,FALSE)</f>
        <v xml:space="preserve"> </v>
      </c>
      <c r="AL120" t="str">
        <f>CONCATENATE("M(",AD119,")=")</f>
        <v>M(  )=</v>
      </c>
      <c r="AM120" t="e">
        <f>AI120+AK120</f>
        <v>#VALUE!</v>
      </c>
      <c r="AO120" s="82" t="str">
        <f>AA120</f>
        <v>M(  )=</v>
      </c>
      <c r="AP120" s="82" t="e">
        <f>VLOOKUP(AO120,Rise_Results,2,FALSE)</f>
        <v>#N/A</v>
      </c>
      <c r="AQ120" s="82" t="e">
        <f>N120</f>
        <v>#VALUE!</v>
      </c>
      <c r="AR120" s="82" t="e">
        <f>IF(OR(AB119&lt;=0,AB120&lt;=0),1/0,AB120)</f>
        <v>#VALUE!</v>
      </c>
      <c r="AS120" s="82" t="e">
        <f>AM120</f>
        <v>#VALUE!</v>
      </c>
      <c r="AT120" t="e">
        <f>IFERROR(AP120,IFERROR(AQ120,IFERROR(AR120,AS120)))</f>
        <v>#VALUE!</v>
      </c>
      <c r="AU120" s="81"/>
    </row>
    <row r="121" spans="1:47" x14ac:dyDescent="0.25">
      <c r="A121" s="101">
        <f>A116+1</f>
        <v>16</v>
      </c>
      <c r="B121" s="101" t="str">
        <f t="shared" si="48"/>
        <v xml:space="preserve">  </v>
      </c>
      <c r="O121" s="101">
        <f>O116+1</f>
        <v>18</v>
      </c>
      <c r="P121" s="101" t="str">
        <f t="shared" si="44"/>
        <v xml:space="preserve">  </v>
      </c>
      <c r="AU121" s="81"/>
    </row>
    <row r="122" spans="1:47" x14ac:dyDescent="0.25">
      <c r="A122" s="84">
        <f>A121+1</f>
        <v>17</v>
      </c>
      <c r="B122" s="84" t="str">
        <f t="shared" si="48"/>
        <v xml:space="preserve">  </v>
      </c>
      <c r="C122" s="79" t="e">
        <f t="shared" ref="C122" si="58">IF(C123=B124,IF(C124-C123=C123-B123,B123,IF(C124-C123=C123-B122,B122,"#NA")),IF(C123=B123,IF(C124-C123=C123-B122,B122,IF(C124-C123=C123-B121,B121,"#NA")),"#NA"))</f>
        <v>#VALUE!</v>
      </c>
      <c r="D122" s="68" t="e">
        <f>VLOOKUP(C122,STN_TABLE,2,FALSE)</f>
        <v>#VALUE!</v>
      </c>
      <c r="E122" s="102">
        <v>1</v>
      </c>
      <c r="F122" s="68" t="e">
        <f>D122*E122</f>
        <v>#VALUE!</v>
      </c>
      <c r="G122" s="69" t="e">
        <f>C122</f>
        <v>#VALUE!</v>
      </c>
      <c r="H122" s="69" t="e">
        <f>F122*G122</f>
        <v>#VALUE!</v>
      </c>
      <c r="I122" s="6" t="s">
        <v>93</v>
      </c>
      <c r="J122" s="70" t="e">
        <f>IF(OR(D122=0,D123=0,D124=0),"#NA",IF(AND(C124-C123=C123-C122,C123&lt;&gt;C124,C122&lt;&gt;C123,C122&lt;&gt;C124,D124&lt;&gt;0,OR(D122&lt;&gt;0,D123&lt;&gt;0)),WLS*(C124-C123),"#NA"))</f>
        <v>#VALUE!</v>
      </c>
      <c r="O122" s="99">
        <f>O121+1</f>
        <v>19</v>
      </c>
      <c r="P122" s="99" t="str">
        <f t="shared" si="44"/>
        <v xml:space="preserve">  </v>
      </c>
      <c r="Q122" s="68" t="e">
        <f>IF(OR(P124-P123=P123-P122,P125-P123=P123-P122),P122,IF(OR(P124-P123=P123-P121,P125-P123=P123-P121),P121,"-"))</f>
        <v>#VALUE!</v>
      </c>
      <c r="R122" s="69" t="e">
        <f>VLOOKUP(Q122,STN_TABLE,2,FALSE)</f>
        <v>#VALUE!</v>
      </c>
      <c r="S122" s="69">
        <v>5</v>
      </c>
      <c r="T122" s="68" t="e">
        <f>R122*S122</f>
        <v>#VALUE!</v>
      </c>
      <c r="U122" s="79">
        <v>3</v>
      </c>
      <c r="V122" s="68" t="e">
        <f>R122*U122</f>
        <v>#VALUE!</v>
      </c>
      <c r="W122" s="6" t="s">
        <v>93</v>
      </c>
      <c r="X122" s="70" t="e">
        <f>IF(AND(Q124-Q123=Q123-Q122,NOT(AND(Q122=0,Q123=0)),NOT(AND(Q123=0,Q124=0))),WLS*(Q124-Q123),"#NA")</f>
        <v>#VALUE!</v>
      </c>
      <c r="AD122" s="93"/>
      <c r="AH122" s="6" t="s">
        <v>93</v>
      </c>
      <c r="AI122" s="70" t="e">
        <f>WLS*(AD124-AD123)</f>
        <v>#VALUE!</v>
      </c>
      <c r="AU122" s="81"/>
    </row>
    <row r="123" spans="1:47" x14ac:dyDescent="0.25">
      <c r="A123" s="84">
        <f>A122+1</f>
        <v>18</v>
      </c>
      <c r="B123" s="84" t="str">
        <f t="shared" si="48"/>
        <v xml:space="preserve">  </v>
      </c>
      <c r="C123" s="80" t="e">
        <f t="shared" ref="C123" si="59">IF(OR(B125-B124=B124-B123,B125-B124=B124-B122,B125-B124=B124-B121),B124,IF(OR(B125-B123=B123-B122,B125-B123=B123-B121),B123,IF(B125-B122=B122-B121,B122,"#NA")))</f>
        <v>#VALUE!</v>
      </c>
      <c r="D123" s="76" t="e">
        <f>VLOOKUP(C123,STN_TABLE,2,FALSE)</f>
        <v>#VALUE!</v>
      </c>
      <c r="E123" s="81">
        <v>4</v>
      </c>
      <c r="F123" s="76" t="e">
        <f>D123*E123</f>
        <v>#VALUE!</v>
      </c>
      <c r="G123" s="77" t="e">
        <f>C123</f>
        <v>#VALUE!</v>
      </c>
      <c r="H123" s="77" t="e">
        <f>F123*G123</f>
        <v>#VALUE!</v>
      </c>
      <c r="I123" s="495" t="s">
        <v>97</v>
      </c>
      <c r="J123" s="496"/>
      <c r="K123" s="78" t="s">
        <v>98</v>
      </c>
      <c r="L123" s="78"/>
      <c r="M123" s="7" t="s">
        <v>99</v>
      </c>
      <c r="N123" s="7"/>
      <c r="O123" s="99">
        <f>O122+1</f>
        <v>20</v>
      </c>
      <c r="P123" s="99" t="str">
        <f t="shared" si="44"/>
        <v xml:space="preserve">  </v>
      </c>
      <c r="Q123" s="76" t="str">
        <f>P123</f>
        <v xml:space="preserve">  </v>
      </c>
      <c r="R123" s="77" t="str">
        <f>VLOOKUP(Q123,STN_TABLE,2,FALSE)</f>
        <v xml:space="preserve">  </v>
      </c>
      <c r="S123" s="77">
        <v>8</v>
      </c>
      <c r="T123" s="76" t="e">
        <f>R123*S123</f>
        <v>#VALUE!</v>
      </c>
      <c r="U123" s="80">
        <v>10</v>
      </c>
      <c r="V123" s="76" t="e">
        <f>R123*U123</f>
        <v>#VALUE!</v>
      </c>
      <c r="W123" s="496" t="s">
        <v>97</v>
      </c>
      <c r="X123" s="496"/>
      <c r="Y123" s="496" t="s">
        <v>98</v>
      </c>
      <c r="Z123" s="496"/>
      <c r="AA123" s="494" t="s">
        <v>99</v>
      </c>
      <c r="AB123" s="494"/>
      <c r="AC123" s="99">
        <f>AC118+1</f>
        <v>19</v>
      </c>
      <c r="AD123" s="95" t="str">
        <f>VLOOKUP(AC123,STN_TABLE_2,2,FALSE)</f>
        <v xml:space="preserve">  </v>
      </c>
      <c r="AE123" s="68" t="str">
        <f>VLOOKUP(AD123,STN_TABLE,2,FALSE)</f>
        <v xml:space="preserve">  </v>
      </c>
      <c r="AF123" s="68">
        <v>1</v>
      </c>
      <c r="AG123" s="69" t="e">
        <f>AE123*AF123</f>
        <v>#VALUE!</v>
      </c>
      <c r="AH123" s="496" t="s">
        <v>97</v>
      </c>
      <c r="AI123" s="496"/>
      <c r="AJ123" s="496" t="s">
        <v>98</v>
      </c>
      <c r="AK123" s="496"/>
      <c r="AL123" s="494" t="s">
        <v>99</v>
      </c>
      <c r="AM123" s="494"/>
      <c r="AP123" s="86" t="s">
        <v>112</v>
      </c>
      <c r="AQ123" s="89" t="s">
        <v>113</v>
      </c>
      <c r="AR123" s="89" t="s">
        <v>114</v>
      </c>
      <c r="AS123" s="89" t="s">
        <v>115</v>
      </c>
      <c r="AU123" s="81"/>
    </row>
    <row r="124" spans="1:47" x14ac:dyDescent="0.25">
      <c r="A124" s="84">
        <f>A123+1</f>
        <v>19</v>
      </c>
      <c r="B124" s="84" t="str">
        <f t="shared" si="48"/>
        <v xml:space="preserve">  </v>
      </c>
      <c r="C124" s="88" t="str">
        <f t="shared" ref="C124" si="60">B125</f>
        <v xml:space="preserve">  </v>
      </c>
      <c r="D124" s="82" t="str">
        <f>VLOOKUP(C124,STN_TABLE,2,FALSE)</f>
        <v xml:space="preserve">  </v>
      </c>
      <c r="E124" s="92">
        <v>1</v>
      </c>
      <c r="F124" s="82" t="e">
        <f>D124*E124</f>
        <v>#VALUE!</v>
      </c>
      <c r="G124" s="83" t="str">
        <f>C124</f>
        <v xml:space="preserve">  </v>
      </c>
      <c r="H124" s="83" t="e">
        <f>F124*G124</f>
        <v>#VALUE!</v>
      </c>
      <c r="I124" s="84" t="str">
        <f>CONCATENATE("a'(",C124,")=")</f>
        <v>a'(  )=</v>
      </c>
      <c r="J124" s="84" t="e">
        <f>2*J122/3*F125</f>
        <v>#VALUE!</v>
      </c>
      <c r="K124" s="84" t="e">
        <f>CONCATENATE("A(",C122,")=")</f>
        <v>#VALUE!</v>
      </c>
      <c r="L124" s="84" t="e">
        <f>VLOOKUP(C122,STN_TABLE,3,FALSE)</f>
        <v>#VALUE!</v>
      </c>
      <c r="M124" t="str">
        <f>CONCATENATE("A(",C124,")=")</f>
        <v>A(  )=</v>
      </c>
      <c r="N124" t="e">
        <f>J124+L124</f>
        <v>#VALUE!</v>
      </c>
      <c r="O124" s="99">
        <f>O123+1</f>
        <v>21</v>
      </c>
      <c r="P124" s="99" t="str">
        <f t="shared" si="44"/>
        <v xml:space="preserve">  </v>
      </c>
      <c r="Q124" s="82" t="e">
        <f>IF(P124-P123=P123-P122,P124,IF(P125-P123=P123-P122,P125,IF(P124-P123=P123-P121,P124,IF(P125-P123=P123-P121,P125,"-"))))</f>
        <v>#VALUE!</v>
      </c>
      <c r="R124" s="83" t="e">
        <f>VLOOKUP(Q124,STN_TABLE,2,FALSE)</f>
        <v>#VALUE!</v>
      </c>
      <c r="S124" s="83">
        <v>-1</v>
      </c>
      <c r="T124" s="82" t="e">
        <f>R124*S124</f>
        <v>#VALUE!</v>
      </c>
      <c r="U124" s="88">
        <v>-1</v>
      </c>
      <c r="V124" s="82" t="e">
        <f>R124*U124</f>
        <v>#VALUE!</v>
      </c>
      <c r="W124" s="84" t="str">
        <f>CONCATENATE("a'(",Q123,")=")</f>
        <v>a'(  )=</v>
      </c>
      <c r="X124" s="84" t="e">
        <f>2*X122/12*T125</f>
        <v>#VALUE!</v>
      </c>
      <c r="Y124" s="84" t="e">
        <f>CONCATENATE("A(",Q122,")=")</f>
        <v>#VALUE!</v>
      </c>
      <c r="Z124" s="84" t="e">
        <f>VLOOKUP(Q122,STN_TABLE,3,FALSE)</f>
        <v>#VALUE!</v>
      </c>
      <c r="AA124" t="str">
        <f>CONCATENATE("A(",Q123,")=")</f>
        <v>A(  )=</v>
      </c>
      <c r="AB124" t="e">
        <f>X124+Z124</f>
        <v>#VALUE!</v>
      </c>
      <c r="AC124" s="99">
        <f>AC123+1</f>
        <v>20</v>
      </c>
      <c r="AD124" s="100" t="str">
        <f>VLOOKUP(AC124,STN_TABLE_2,2,FALSE)</f>
        <v xml:space="preserve">  </v>
      </c>
      <c r="AE124" s="82" t="str">
        <f>VLOOKUP(AD124,STN_TABLE,2,FALSE)</f>
        <v xml:space="preserve">  </v>
      </c>
      <c r="AF124" s="82">
        <v>2</v>
      </c>
      <c r="AG124" s="83" t="e">
        <f>AE124*AF124</f>
        <v>#VALUE!</v>
      </c>
      <c r="AH124" s="84" t="str">
        <f>CONCATENATE("a'(",AD124,")=")</f>
        <v>a'(  )=</v>
      </c>
      <c r="AI124" s="84" t="e">
        <f>2*AI122/2*AE125</f>
        <v>#VALUE!</v>
      </c>
      <c r="AJ124" s="84" t="str">
        <f>CONCATENATE("A(",AD123,")=")</f>
        <v>A(  )=</v>
      </c>
      <c r="AK124" s="84" t="str">
        <f>VLOOKUP(AD123,STN_TABLE,3,FALSE)</f>
        <v xml:space="preserve"> </v>
      </c>
      <c r="AL124" t="str">
        <f>CONCATENATE("A(",AD124,")=")</f>
        <v>A(  )=</v>
      </c>
      <c r="AM124" t="e">
        <f>AI124+AK124</f>
        <v>#VALUE!</v>
      </c>
      <c r="AO124" s="68" t="str">
        <f>AA124</f>
        <v>A(  )=</v>
      </c>
      <c r="AP124" s="68" t="e">
        <f>VLOOKUP(AO124,Rise_Results,2,FALSE)</f>
        <v>#N/A</v>
      </c>
      <c r="AQ124" s="76" t="e">
        <f>N124</f>
        <v>#VALUE!</v>
      </c>
      <c r="AR124" s="76" t="e">
        <f>IF(OR(AB124&lt;=0,AB125&lt;=0),1/0,AB124)</f>
        <v>#VALUE!</v>
      </c>
      <c r="AS124" s="76" t="e">
        <f>AM124</f>
        <v>#VALUE!</v>
      </c>
      <c r="AT124" t="e">
        <f>IFERROR(AP124,IFERROR(AQ124,IFERROR(AR124,AS124)))</f>
        <v>#VALUE!</v>
      </c>
      <c r="AU124" s="81"/>
    </row>
    <row r="125" spans="1:47" x14ac:dyDescent="0.25">
      <c r="A125" s="84">
        <f>A124+1</f>
        <v>20</v>
      </c>
      <c r="B125" s="84" t="str">
        <f t="shared" si="48"/>
        <v xml:space="preserve">  </v>
      </c>
      <c r="F125" s="82" t="e">
        <f>SUM(F122:F124)</f>
        <v>#VALUE!</v>
      </c>
      <c r="H125" s="82" t="e">
        <f>SUM(H122:H124)</f>
        <v>#VALUE!</v>
      </c>
      <c r="I125" s="84" t="str">
        <f>CONCATENATE("m'(",C124,")=")</f>
        <v>m'(  )=</v>
      </c>
      <c r="J125" s="84" t="e">
        <f>2*(J122*(WLS))/3*H125</f>
        <v>#VALUE!</v>
      </c>
      <c r="K125" s="84" t="e">
        <f>CONCATENATE("M(",C122,")=")</f>
        <v>#VALUE!</v>
      </c>
      <c r="L125" s="84" t="e">
        <f>VLOOKUP(C122,STN_TABLE,4,FALSE)</f>
        <v>#VALUE!</v>
      </c>
      <c r="M125" t="str">
        <f>CONCATENATE("M(",C124,")=")</f>
        <v>M(  )=</v>
      </c>
      <c r="N125" t="e">
        <f>J125+L125</f>
        <v>#VALUE!</v>
      </c>
      <c r="O125" s="99">
        <f>O124+1</f>
        <v>22</v>
      </c>
      <c r="P125" s="99" t="str">
        <f t="shared" si="44"/>
        <v xml:space="preserve">  </v>
      </c>
      <c r="T125" s="89" t="e">
        <f>SUM(T122:T124)</f>
        <v>#VALUE!</v>
      </c>
      <c r="V125" s="82" t="e">
        <f>SUM(V122:V124)</f>
        <v>#VALUE!</v>
      </c>
      <c r="W125" s="84" t="str">
        <f>CONCATENATE("m'(",Q123,")=")</f>
        <v>m'(  )=</v>
      </c>
      <c r="X125" s="84" t="e">
        <f>(2*(X122^2)/24*V125)+(X124*Q122*WLS)</f>
        <v>#VALUE!</v>
      </c>
      <c r="Y125" s="84" t="e">
        <f>CONCATENATE("M(",Q122,")=")</f>
        <v>#VALUE!</v>
      </c>
      <c r="Z125" s="84" t="e">
        <f>VLOOKUP(Q122,STN_TABLE,4,FALSE)</f>
        <v>#VALUE!</v>
      </c>
      <c r="AA125" t="str">
        <f>CONCATENATE("M(",Q123,")=")</f>
        <v>M(  )=</v>
      </c>
      <c r="AB125" t="e">
        <f>X125+Z125</f>
        <v>#VALUE!</v>
      </c>
      <c r="AE125" s="89">
        <f>SUM(AE123:AE124)</f>
        <v>0</v>
      </c>
      <c r="AG125" s="89" t="e">
        <f>SUM(AG123:AG124)</f>
        <v>#VALUE!</v>
      </c>
      <c r="AH125" s="84" t="str">
        <f>CONCATENATE("m'(",AD124,")=")</f>
        <v>m'(  )=</v>
      </c>
      <c r="AI125" s="84" t="e">
        <f>(2*(AI122^2)/6*AG125)+(AI124*AD123*WLS)</f>
        <v>#VALUE!</v>
      </c>
      <c r="AJ125" s="84" t="str">
        <f>CONCATENATE("M(",AD123,")=")</f>
        <v>M(  )=</v>
      </c>
      <c r="AK125" s="84" t="str">
        <f>VLOOKUP(AD123,STN_TABLE,4,FALSE)</f>
        <v xml:space="preserve"> </v>
      </c>
      <c r="AL125" t="str">
        <f>CONCATENATE("M(",AD124,")=")</f>
        <v>M(  )=</v>
      </c>
      <c r="AM125" t="e">
        <f>AI125+AK125</f>
        <v>#VALUE!</v>
      </c>
      <c r="AO125" s="82" t="str">
        <f>AA125</f>
        <v>M(  )=</v>
      </c>
      <c r="AP125" s="82" t="e">
        <f>VLOOKUP(AO125,Rise_Results,2,FALSE)</f>
        <v>#N/A</v>
      </c>
      <c r="AQ125" s="82" t="e">
        <f>N125</f>
        <v>#VALUE!</v>
      </c>
      <c r="AR125" s="82" t="e">
        <f>IF(OR(AB124&lt;=0,AB125&lt;=0),1/0,AB125)</f>
        <v>#VALUE!</v>
      </c>
      <c r="AS125" s="82" t="e">
        <f>AM125</f>
        <v>#VALUE!</v>
      </c>
      <c r="AT125" t="e">
        <f>IFERROR(AP125,IFERROR(AQ125,IFERROR(AR125,AS125)))</f>
        <v>#VALUE!</v>
      </c>
      <c r="AU125" s="81"/>
    </row>
    <row r="126" spans="1:47" x14ac:dyDescent="0.25">
      <c r="A126" s="101">
        <f>A121+1</f>
        <v>17</v>
      </c>
      <c r="B126" s="101" t="str">
        <f t="shared" si="48"/>
        <v xml:space="preserve">  </v>
      </c>
      <c r="O126" s="101">
        <f>O121+1</f>
        <v>19</v>
      </c>
      <c r="P126" s="101" t="str">
        <f t="shared" si="44"/>
        <v xml:space="preserve">  </v>
      </c>
      <c r="AU126" s="81"/>
    </row>
    <row r="127" spans="1:47" x14ac:dyDescent="0.25">
      <c r="A127" s="84">
        <f>A126+1</f>
        <v>18</v>
      </c>
      <c r="B127" s="84" t="str">
        <f t="shared" si="48"/>
        <v xml:space="preserve">  </v>
      </c>
      <c r="C127" s="79" t="e">
        <f t="shared" ref="C127" si="61">IF(C128=B129,IF(C129-C128=C128-B128,B128,IF(C129-C128=C128-B127,B127,"#NA")),IF(C128=B128,IF(C129-C128=C128-B127,B127,IF(C129-C128=C128-B126,B126,"#NA")),"#NA"))</f>
        <v>#VALUE!</v>
      </c>
      <c r="D127" s="68" t="e">
        <f>VLOOKUP(C127,STN_TABLE,2,FALSE)</f>
        <v>#VALUE!</v>
      </c>
      <c r="E127" s="102">
        <v>1</v>
      </c>
      <c r="F127" s="68" t="e">
        <f>D127*E127</f>
        <v>#VALUE!</v>
      </c>
      <c r="G127" s="69" t="e">
        <f>C127</f>
        <v>#VALUE!</v>
      </c>
      <c r="H127" s="69" t="e">
        <f>F127*G127</f>
        <v>#VALUE!</v>
      </c>
      <c r="I127" s="6" t="s">
        <v>93</v>
      </c>
      <c r="J127" s="70" t="e">
        <f>IF(OR(D127=0,D128=0,D129=0),"#NA",IF(AND(C129-C128=C128-C127,C128&lt;&gt;C129,C127&lt;&gt;C128,C127&lt;&gt;C129,D129&lt;&gt;0,OR(D127&lt;&gt;0,D128&lt;&gt;0)),WLS*(C129-C128),"#NA"))</f>
        <v>#VALUE!</v>
      </c>
      <c r="O127" s="99">
        <f>O126+1</f>
        <v>20</v>
      </c>
      <c r="P127" s="99" t="str">
        <f t="shared" si="44"/>
        <v xml:space="preserve">  </v>
      </c>
      <c r="Q127" s="68" t="e">
        <f>IF(OR(P129-P128=P128-P127,P130-P128=P128-P127),P127,IF(OR(P129-P128=P128-P126,P130-P128=P128-P126),P126,"-"))</f>
        <v>#VALUE!</v>
      </c>
      <c r="R127" s="69" t="e">
        <f>VLOOKUP(Q127,STN_TABLE,2,FALSE)</f>
        <v>#VALUE!</v>
      </c>
      <c r="S127" s="69">
        <v>5</v>
      </c>
      <c r="T127" s="68" t="e">
        <f>R127*S127</f>
        <v>#VALUE!</v>
      </c>
      <c r="U127" s="79">
        <v>3</v>
      </c>
      <c r="V127" s="68" t="e">
        <f>R127*U127</f>
        <v>#VALUE!</v>
      </c>
      <c r="W127" s="6" t="s">
        <v>93</v>
      </c>
      <c r="X127" s="70" t="e">
        <f>IF(AND(Q129-Q128=Q128-Q127,NOT(AND(Q127=0,Q128=0)),NOT(AND(Q128=0,Q129=0))),WLS*(Q129-Q128),"#NA")</f>
        <v>#VALUE!</v>
      </c>
      <c r="AD127" s="93"/>
      <c r="AH127" s="6" t="s">
        <v>93</v>
      </c>
      <c r="AI127" s="70" t="e">
        <f>WLS*(AD129-AD128)</f>
        <v>#VALUE!</v>
      </c>
      <c r="AU127" s="81"/>
    </row>
    <row r="128" spans="1:47" x14ac:dyDescent="0.25">
      <c r="A128" s="84">
        <f>A127+1</f>
        <v>19</v>
      </c>
      <c r="B128" s="84" t="str">
        <f t="shared" si="48"/>
        <v xml:space="preserve">  </v>
      </c>
      <c r="C128" s="80" t="e">
        <f t="shared" ref="C128" si="62">IF(OR(B130-B129=B129-B128,B130-B129=B129-B127,B130-B129=B129-B126),B129,IF(OR(B130-B128=B128-B127,B130-B128=B128-B126),B128,IF(B130-B127=B127-B126,B127,"#NA")))</f>
        <v>#VALUE!</v>
      </c>
      <c r="D128" s="76" t="e">
        <f>VLOOKUP(C128,STN_TABLE,2,FALSE)</f>
        <v>#VALUE!</v>
      </c>
      <c r="E128" s="81">
        <v>4</v>
      </c>
      <c r="F128" s="76" t="e">
        <f>D128*E128</f>
        <v>#VALUE!</v>
      </c>
      <c r="G128" s="77" t="e">
        <f>C128</f>
        <v>#VALUE!</v>
      </c>
      <c r="H128" s="77" t="e">
        <f>F128*G128</f>
        <v>#VALUE!</v>
      </c>
      <c r="I128" s="495" t="s">
        <v>97</v>
      </c>
      <c r="J128" s="496"/>
      <c r="K128" s="78" t="s">
        <v>98</v>
      </c>
      <c r="L128" s="78"/>
      <c r="M128" s="7" t="s">
        <v>99</v>
      </c>
      <c r="N128" s="7"/>
      <c r="O128" s="99">
        <f>O127+1</f>
        <v>21</v>
      </c>
      <c r="P128" s="99" t="str">
        <f t="shared" si="44"/>
        <v xml:space="preserve">  </v>
      </c>
      <c r="Q128" s="76" t="str">
        <f>P128</f>
        <v xml:space="preserve">  </v>
      </c>
      <c r="R128" s="77" t="str">
        <f>VLOOKUP(Q128,STN_TABLE,2,FALSE)</f>
        <v xml:space="preserve">  </v>
      </c>
      <c r="S128" s="77">
        <v>8</v>
      </c>
      <c r="T128" s="76" t="e">
        <f>R128*S128</f>
        <v>#VALUE!</v>
      </c>
      <c r="U128" s="80">
        <v>10</v>
      </c>
      <c r="V128" s="76" t="e">
        <f>R128*U128</f>
        <v>#VALUE!</v>
      </c>
      <c r="W128" s="496" t="s">
        <v>97</v>
      </c>
      <c r="X128" s="496"/>
      <c r="Y128" s="496" t="s">
        <v>98</v>
      </c>
      <c r="Z128" s="496"/>
      <c r="AA128" s="494" t="s">
        <v>99</v>
      </c>
      <c r="AB128" s="494"/>
      <c r="AC128" s="99">
        <f>AC123+1</f>
        <v>20</v>
      </c>
      <c r="AD128" s="95" t="str">
        <f>VLOOKUP(AC128,STN_TABLE_2,2,FALSE)</f>
        <v xml:space="preserve">  </v>
      </c>
      <c r="AE128" s="68" t="str">
        <f>VLOOKUP(AD128,STN_TABLE,2,FALSE)</f>
        <v xml:space="preserve">  </v>
      </c>
      <c r="AF128" s="68">
        <v>1</v>
      </c>
      <c r="AG128" s="69" t="e">
        <f>AE128*AF128</f>
        <v>#VALUE!</v>
      </c>
      <c r="AH128" s="496" t="s">
        <v>97</v>
      </c>
      <c r="AI128" s="496"/>
      <c r="AJ128" s="496" t="s">
        <v>98</v>
      </c>
      <c r="AK128" s="496"/>
      <c r="AL128" s="494" t="s">
        <v>99</v>
      </c>
      <c r="AM128" s="494"/>
      <c r="AP128" s="86" t="s">
        <v>112</v>
      </c>
      <c r="AQ128" s="89" t="s">
        <v>113</v>
      </c>
      <c r="AR128" s="89" t="s">
        <v>114</v>
      </c>
      <c r="AS128" s="89" t="s">
        <v>115</v>
      </c>
      <c r="AU128" s="81"/>
    </row>
    <row r="129" spans="1:47" x14ac:dyDescent="0.25">
      <c r="A129" s="84">
        <f>A128+1</f>
        <v>20</v>
      </c>
      <c r="B129" s="84" t="str">
        <f t="shared" si="48"/>
        <v xml:space="preserve">  </v>
      </c>
      <c r="C129" s="88" t="str">
        <f t="shared" ref="C129" si="63">B130</f>
        <v xml:space="preserve">  </v>
      </c>
      <c r="D129" s="82" t="str">
        <f>VLOOKUP(C129,STN_TABLE,2,FALSE)</f>
        <v xml:space="preserve">  </v>
      </c>
      <c r="E129" s="92">
        <v>1</v>
      </c>
      <c r="F129" s="82" t="e">
        <f>D129*E129</f>
        <v>#VALUE!</v>
      </c>
      <c r="G129" s="83" t="str">
        <f>C129</f>
        <v xml:space="preserve">  </v>
      </c>
      <c r="H129" s="83" t="e">
        <f>F129*G129</f>
        <v>#VALUE!</v>
      </c>
      <c r="I129" s="84" t="str">
        <f>CONCATENATE("a'(",C129,")=")</f>
        <v>a'(  )=</v>
      </c>
      <c r="J129" s="84" t="e">
        <f>2*J127/3*F130</f>
        <v>#VALUE!</v>
      </c>
      <c r="K129" s="84" t="e">
        <f>CONCATENATE("A(",C127,")=")</f>
        <v>#VALUE!</v>
      </c>
      <c r="L129" s="84" t="e">
        <f>VLOOKUP(C127,STN_TABLE,3,FALSE)</f>
        <v>#VALUE!</v>
      </c>
      <c r="M129" t="str">
        <f>CONCATENATE("A(",C129,")=")</f>
        <v>A(  )=</v>
      </c>
      <c r="N129" t="e">
        <f>J129+L129</f>
        <v>#VALUE!</v>
      </c>
      <c r="O129" s="99">
        <f>O128+1</f>
        <v>22</v>
      </c>
      <c r="P129" s="99" t="str">
        <f t="shared" si="44"/>
        <v xml:space="preserve">  </v>
      </c>
      <c r="Q129" s="82" t="e">
        <f>IF(P129-P128=P128-P127,P129,IF(P130-P128=P128-P127,P130,IF(P129-P128=P128-P126,P129,IF(P130-P128=P128-P126,P130,"-"))))</f>
        <v>#VALUE!</v>
      </c>
      <c r="R129" s="83" t="e">
        <f>VLOOKUP(Q129,STN_TABLE,2,FALSE)</f>
        <v>#VALUE!</v>
      </c>
      <c r="S129" s="83">
        <v>-1</v>
      </c>
      <c r="T129" s="82" t="e">
        <f>R129*S129</f>
        <v>#VALUE!</v>
      </c>
      <c r="U129" s="88">
        <v>-1</v>
      </c>
      <c r="V129" s="82" t="e">
        <f>R129*U129</f>
        <v>#VALUE!</v>
      </c>
      <c r="W129" s="84" t="str">
        <f>CONCATENATE("a'(",Q128,")=")</f>
        <v>a'(  )=</v>
      </c>
      <c r="X129" s="84" t="e">
        <f>2*X127/12*T130</f>
        <v>#VALUE!</v>
      </c>
      <c r="Y129" s="84" t="e">
        <f>CONCATENATE("A(",Q127,")=")</f>
        <v>#VALUE!</v>
      </c>
      <c r="Z129" s="84" t="e">
        <f>VLOOKUP(Q127,STN_TABLE,3,FALSE)</f>
        <v>#VALUE!</v>
      </c>
      <c r="AA129" t="str">
        <f>CONCATENATE("A(",Q128,")=")</f>
        <v>A(  )=</v>
      </c>
      <c r="AB129" t="e">
        <f>X129+Z129</f>
        <v>#VALUE!</v>
      </c>
      <c r="AC129" s="99">
        <f>AC128+1</f>
        <v>21</v>
      </c>
      <c r="AD129" s="100" t="str">
        <f>VLOOKUP(AC129,STN_TABLE_2,2,FALSE)</f>
        <v xml:space="preserve">  </v>
      </c>
      <c r="AE129" s="82" t="str">
        <f>VLOOKUP(AD129,STN_TABLE,2,FALSE)</f>
        <v xml:space="preserve">  </v>
      </c>
      <c r="AF129" s="82">
        <v>2</v>
      </c>
      <c r="AG129" s="83" t="e">
        <f>AE129*AF129</f>
        <v>#VALUE!</v>
      </c>
      <c r="AH129" s="84" t="str">
        <f>CONCATENATE("a'(",AD129,")=")</f>
        <v>a'(  )=</v>
      </c>
      <c r="AI129" s="84" t="e">
        <f>2*AI127/2*AE130</f>
        <v>#VALUE!</v>
      </c>
      <c r="AJ129" s="84" t="str">
        <f>CONCATENATE("A(",AD128,")=")</f>
        <v>A(  )=</v>
      </c>
      <c r="AK129" s="84" t="str">
        <f>VLOOKUP(AD128,STN_TABLE,3,FALSE)</f>
        <v xml:space="preserve"> </v>
      </c>
      <c r="AL129" t="str">
        <f>CONCATENATE("A(",AD129,")=")</f>
        <v>A(  )=</v>
      </c>
      <c r="AM129" t="e">
        <f>AI129+AK129</f>
        <v>#VALUE!</v>
      </c>
      <c r="AO129" s="68" t="str">
        <f>AA129</f>
        <v>A(  )=</v>
      </c>
      <c r="AP129" s="68" t="e">
        <f>VLOOKUP(AO129,Rise_Results,2,FALSE)</f>
        <v>#N/A</v>
      </c>
      <c r="AQ129" s="76" t="e">
        <f>N129</f>
        <v>#VALUE!</v>
      </c>
      <c r="AR129" s="76" t="e">
        <f>IF(OR(AB129&lt;=0,AB130&lt;=0),1/0,AB129)</f>
        <v>#VALUE!</v>
      </c>
      <c r="AS129" s="76" t="e">
        <f>AM129</f>
        <v>#VALUE!</v>
      </c>
      <c r="AT129" t="e">
        <f>IFERROR(AP129,IFERROR(AQ129,IFERROR(AR129,AS129)))</f>
        <v>#VALUE!</v>
      </c>
      <c r="AU129" s="81"/>
    </row>
    <row r="130" spans="1:47" x14ac:dyDescent="0.25">
      <c r="A130" s="84">
        <f>A129+1</f>
        <v>21</v>
      </c>
      <c r="B130" s="84" t="str">
        <f t="shared" si="48"/>
        <v xml:space="preserve">  </v>
      </c>
      <c r="F130" s="82" t="e">
        <f>SUM(F127:F129)</f>
        <v>#VALUE!</v>
      </c>
      <c r="H130" s="82" t="e">
        <f>SUM(H127:H129)</f>
        <v>#VALUE!</v>
      </c>
      <c r="I130" s="84" t="str">
        <f>CONCATENATE("m'(",C129,")=")</f>
        <v>m'(  )=</v>
      </c>
      <c r="J130" s="84" t="e">
        <f>2*(J127*(WLS))/3*H130</f>
        <v>#VALUE!</v>
      </c>
      <c r="K130" s="84" t="e">
        <f>CONCATENATE("M(",C127,")=")</f>
        <v>#VALUE!</v>
      </c>
      <c r="L130" s="84" t="e">
        <f>VLOOKUP(C127,STN_TABLE,4,FALSE)</f>
        <v>#VALUE!</v>
      </c>
      <c r="M130" t="str">
        <f>CONCATENATE("M(",C129,")=")</f>
        <v>M(  )=</v>
      </c>
      <c r="N130" t="e">
        <f>J130+L130</f>
        <v>#VALUE!</v>
      </c>
      <c r="O130" s="99">
        <f>O129+1</f>
        <v>23</v>
      </c>
      <c r="P130" s="99" t="str">
        <f t="shared" si="44"/>
        <v xml:space="preserve">  </v>
      </c>
      <c r="T130" s="89" t="e">
        <f>SUM(T127:T129)</f>
        <v>#VALUE!</v>
      </c>
      <c r="V130" s="82" t="e">
        <f>SUM(V127:V129)</f>
        <v>#VALUE!</v>
      </c>
      <c r="W130" s="84" t="str">
        <f>CONCATENATE("m'(",Q128,")=")</f>
        <v>m'(  )=</v>
      </c>
      <c r="X130" s="84" t="e">
        <f>(2*(X127^2)/24*V130)+(X129*Q127*WLS)</f>
        <v>#VALUE!</v>
      </c>
      <c r="Y130" s="84" t="e">
        <f>CONCATENATE("M(",Q127,")=")</f>
        <v>#VALUE!</v>
      </c>
      <c r="Z130" s="84" t="e">
        <f>VLOOKUP(Q127,STN_TABLE,4,FALSE)</f>
        <v>#VALUE!</v>
      </c>
      <c r="AA130" t="str">
        <f>CONCATENATE("M(",Q128,")=")</f>
        <v>M(  )=</v>
      </c>
      <c r="AB130" t="e">
        <f>X130+Z130</f>
        <v>#VALUE!</v>
      </c>
      <c r="AE130" s="89">
        <f>SUM(AE128:AE129)</f>
        <v>0</v>
      </c>
      <c r="AG130" s="89" t="e">
        <f>SUM(AG128:AG129)</f>
        <v>#VALUE!</v>
      </c>
      <c r="AH130" s="84" t="str">
        <f>CONCATENATE("m'(",AD129,")=")</f>
        <v>m'(  )=</v>
      </c>
      <c r="AI130" s="84" t="e">
        <f>(2*(AI127^2)/6*AG130)+(AI129*AD128*WLS)</f>
        <v>#VALUE!</v>
      </c>
      <c r="AJ130" s="84" t="str">
        <f>CONCATENATE("M(",AD128,")=")</f>
        <v>M(  )=</v>
      </c>
      <c r="AK130" s="84" t="str">
        <f>VLOOKUP(AD128,STN_TABLE,4,FALSE)</f>
        <v xml:space="preserve"> </v>
      </c>
      <c r="AL130" t="str">
        <f>CONCATENATE("M(",AD129,")=")</f>
        <v>M(  )=</v>
      </c>
      <c r="AM130" t="e">
        <f>AI130+AK130</f>
        <v>#VALUE!</v>
      </c>
      <c r="AO130" s="82" t="str">
        <f>AA130</f>
        <v>M(  )=</v>
      </c>
      <c r="AP130" s="82" t="e">
        <f>VLOOKUP(AO130,Rise_Results,2,FALSE)</f>
        <v>#N/A</v>
      </c>
      <c r="AQ130" s="82" t="e">
        <f>N130</f>
        <v>#VALUE!</v>
      </c>
      <c r="AR130" s="82" t="e">
        <f>IF(OR(AB129&lt;=0,AB130&lt;=0),1/0,AB130)</f>
        <v>#VALUE!</v>
      </c>
      <c r="AS130" s="82" t="e">
        <f>AM130</f>
        <v>#VALUE!</v>
      </c>
      <c r="AT130" t="e">
        <f>IFERROR(AP130,IFERROR(AQ130,IFERROR(AR130,AS130)))</f>
        <v>#VALUE!</v>
      </c>
      <c r="AU130" s="81"/>
    </row>
    <row r="131" spans="1:47" x14ac:dyDescent="0.25">
      <c r="A131" s="101">
        <f>A126+1</f>
        <v>18</v>
      </c>
      <c r="B131" s="101" t="str">
        <f t="shared" si="48"/>
        <v xml:space="preserve">  </v>
      </c>
      <c r="O131" s="101">
        <f>O126+1</f>
        <v>20</v>
      </c>
      <c r="P131" s="101" t="str">
        <f t="shared" si="44"/>
        <v xml:space="preserve">  </v>
      </c>
      <c r="AU131" s="81"/>
    </row>
    <row r="132" spans="1:47" x14ac:dyDescent="0.25">
      <c r="A132" s="84">
        <f>A131+1</f>
        <v>19</v>
      </c>
      <c r="B132" s="84" t="str">
        <f t="shared" si="48"/>
        <v xml:space="preserve">  </v>
      </c>
      <c r="C132" s="79" t="e">
        <f t="shared" ref="C132" si="64">IF(C133=B134,IF(C134-C133=C133-B133,B133,IF(C134-C133=C133-B132,B132,"#NA")),IF(C133=B133,IF(C134-C133=C133-B132,B132,IF(C134-C133=C133-B131,B131,"#NA")),"#NA"))</f>
        <v>#VALUE!</v>
      </c>
      <c r="D132" s="68" t="e">
        <f>VLOOKUP(C132,STN_TABLE,2,FALSE)</f>
        <v>#VALUE!</v>
      </c>
      <c r="E132" s="102">
        <v>1</v>
      </c>
      <c r="F132" s="68" t="e">
        <f>D132*E132</f>
        <v>#VALUE!</v>
      </c>
      <c r="G132" s="69" t="e">
        <f>C132</f>
        <v>#VALUE!</v>
      </c>
      <c r="H132" s="69" t="e">
        <f>F132*G132</f>
        <v>#VALUE!</v>
      </c>
      <c r="I132" s="6" t="s">
        <v>93</v>
      </c>
      <c r="J132" s="70" t="e">
        <f>IF(OR(D132=0,D133=0,D134=0),"#NA",IF(AND(C134-C133=C133-C132,C133&lt;&gt;C134,C132&lt;&gt;C133,C132&lt;&gt;C134,D134&lt;&gt;0,OR(D132&lt;&gt;0,D133&lt;&gt;0)),WLS*(C134-C133),"#NA"))</f>
        <v>#VALUE!</v>
      </c>
      <c r="O132" s="99">
        <f>O131+1</f>
        <v>21</v>
      </c>
      <c r="P132" s="99" t="str">
        <f t="shared" ref="P132:P150" si="65">VLOOKUP(O132,STN_TABLE_2,2,FALSE)</f>
        <v xml:space="preserve">  </v>
      </c>
      <c r="Q132" s="68" t="e">
        <f>IF(OR(P134-P133=P133-P132,P135-P133=P133-P132),P132,IF(OR(P134-P133=P133-P131,P135-P133=P133-P131),P131,"-"))</f>
        <v>#VALUE!</v>
      </c>
      <c r="R132" s="69" t="e">
        <f>VLOOKUP(Q132,STN_TABLE,2,FALSE)</f>
        <v>#VALUE!</v>
      </c>
      <c r="S132" s="69">
        <v>5</v>
      </c>
      <c r="T132" s="68" t="e">
        <f>R132*S132</f>
        <v>#VALUE!</v>
      </c>
      <c r="U132" s="79">
        <v>3</v>
      </c>
      <c r="V132" s="68" t="e">
        <f>R132*U132</f>
        <v>#VALUE!</v>
      </c>
      <c r="W132" s="6" t="s">
        <v>93</v>
      </c>
      <c r="X132" s="70" t="e">
        <f>IF(AND(Q134-Q133=Q133-Q132,NOT(AND(Q132=0,Q133=0)),NOT(AND(Q133=0,Q134=0))),WLS*(Q134-Q133),"#NA")</f>
        <v>#VALUE!</v>
      </c>
      <c r="AD132" s="93"/>
      <c r="AH132" s="6" t="s">
        <v>93</v>
      </c>
      <c r="AI132" s="70" t="e">
        <f>WLS*(AD134-AD133)</f>
        <v>#VALUE!</v>
      </c>
      <c r="AU132" s="81"/>
    </row>
    <row r="133" spans="1:47" x14ac:dyDescent="0.25">
      <c r="A133" s="84">
        <f>A132+1</f>
        <v>20</v>
      </c>
      <c r="B133" s="84" t="str">
        <f t="shared" si="48"/>
        <v xml:space="preserve">  </v>
      </c>
      <c r="C133" s="80" t="e">
        <f t="shared" ref="C133" si="66">IF(OR(B135-B134=B134-B133,B135-B134=B134-B132,B135-B134=B134-B131),B134,IF(OR(B135-B133=B133-B132,B135-B133=B133-B131),B133,IF(B135-B132=B132-B131,B132,"#NA")))</f>
        <v>#VALUE!</v>
      </c>
      <c r="D133" s="76" t="e">
        <f>VLOOKUP(C133,STN_TABLE,2,FALSE)</f>
        <v>#VALUE!</v>
      </c>
      <c r="E133" s="81">
        <v>4</v>
      </c>
      <c r="F133" s="76" t="e">
        <f>D133*E133</f>
        <v>#VALUE!</v>
      </c>
      <c r="G133" s="77" t="e">
        <f>C133</f>
        <v>#VALUE!</v>
      </c>
      <c r="H133" s="77" t="e">
        <f>F133*G133</f>
        <v>#VALUE!</v>
      </c>
      <c r="I133" s="495" t="s">
        <v>97</v>
      </c>
      <c r="J133" s="496"/>
      <c r="K133" s="78" t="s">
        <v>98</v>
      </c>
      <c r="L133" s="78"/>
      <c r="M133" s="7" t="s">
        <v>99</v>
      </c>
      <c r="N133" s="7"/>
      <c r="O133" s="99">
        <f>O132+1</f>
        <v>22</v>
      </c>
      <c r="P133" s="99" t="str">
        <f t="shared" si="65"/>
        <v xml:space="preserve">  </v>
      </c>
      <c r="Q133" s="76" t="str">
        <f>P133</f>
        <v xml:space="preserve">  </v>
      </c>
      <c r="R133" s="77" t="str">
        <f>VLOOKUP(Q133,STN_TABLE,2,FALSE)</f>
        <v xml:space="preserve">  </v>
      </c>
      <c r="S133" s="77">
        <v>8</v>
      </c>
      <c r="T133" s="76" t="e">
        <f>R133*S133</f>
        <v>#VALUE!</v>
      </c>
      <c r="U133" s="80">
        <v>10</v>
      </c>
      <c r="V133" s="76" t="e">
        <f>R133*U133</f>
        <v>#VALUE!</v>
      </c>
      <c r="W133" s="496" t="s">
        <v>97</v>
      </c>
      <c r="X133" s="496"/>
      <c r="Y133" s="496" t="s">
        <v>98</v>
      </c>
      <c r="Z133" s="496"/>
      <c r="AA133" s="494" t="s">
        <v>99</v>
      </c>
      <c r="AB133" s="494"/>
      <c r="AC133" s="99">
        <f>AC128+1</f>
        <v>21</v>
      </c>
      <c r="AD133" s="95" t="str">
        <f>VLOOKUP(AC133,STN_TABLE_2,2,FALSE)</f>
        <v xml:space="preserve">  </v>
      </c>
      <c r="AE133" s="68" t="str">
        <f>VLOOKUP(AD133,STN_TABLE,2,FALSE)</f>
        <v xml:space="preserve">  </v>
      </c>
      <c r="AF133" s="68">
        <v>1</v>
      </c>
      <c r="AG133" s="69" t="e">
        <f>AE133*AF133</f>
        <v>#VALUE!</v>
      </c>
      <c r="AH133" s="496" t="s">
        <v>97</v>
      </c>
      <c r="AI133" s="496"/>
      <c r="AJ133" s="496" t="s">
        <v>98</v>
      </c>
      <c r="AK133" s="496"/>
      <c r="AL133" s="494" t="s">
        <v>99</v>
      </c>
      <c r="AM133" s="494"/>
      <c r="AP133" s="86" t="s">
        <v>112</v>
      </c>
      <c r="AQ133" s="89" t="s">
        <v>113</v>
      </c>
      <c r="AR133" s="89" t="s">
        <v>114</v>
      </c>
      <c r="AS133" s="89" t="s">
        <v>115</v>
      </c>
      <c r="AU133" s="81"/>
    </row>
    <row r="134" spans="1:47" x14ac:dyDescent="0.25">
      <c r="A134" s="84">
        <f>A133+1</f>
        <v>21</v>
      </c>
      <c r="B134" s="84" t="str">
        <f t="shared" si="48"/>
        <v xml:space="preserve">  </v>
      </c>
      <c r="C134" s="88" t="str">
        <f t="shared" ref="C134" si="67">B135</f>
        <v xml:space="preserve">  </v>
      </c>
      <c r="D134" s="82" t="str">
        <f>VLOOKUP(C134,STN_TABLE,2,FALSE)</f>
        <v xml:space="preserve">  </v>
      </c>
      <c r="E134" s="92">
        <v>1</v>
      </c>
      <c r="F134" s="82" t="e">
        <f>D134*E134</f>
        <v>#VALUE!</v>
      </c>
      <c r="G134" s="83" t="str">
        <f>C134</f>
        <v xml:space="preserve">  </v>
      </c>
      <c r="H134" s="83" t="e">
        <f>F134*G134</f>
        <v>#VALUE!</v>
      </c>
      <c r="I134" s="84" t="str">
        <f>CONCATENATE("a'(",C134,")=")</f>
        <v>a'(  )=</v>
      </c>
      <c r="J134" s="84" t="e">
        <f>2*J132/3*F135</f>
        <v>#VALUE!</v>
      </c>
      <c r="K134" s="84" t="e">
        <f>CONCATENATE("A(",C132,")=")</f>
        <v>#VALUE!</v>
      </c>
      <c r="L134" s="84" t="e">
        <f>VLOOKUP(C132,STN_TABLE,3,FALSE)</f>
        <v>#VALUE!</v>
      </c>
      <c r="M134" t="str">
        <f>CONCATENATE("A(",C134,")=")</f>
        <v>A(  )=</v>
      </c>
      <c r="N134" t="e">
        <f>J134+L134</f>
        <v>#VALUE!</v>
      </c>
      <c r="O134" s="99">
        <f>O133+1</f>
        <v>23</v>
      </c>
      <c r="P134" s="99" t="str">
        <f t="shared" si="65"/>
        <v xml:space="preserve">  </v>
      </c>
      <c r="Q134" s="82" t="e">
        <f>IF(P134-P133=P133-P132,P134,IF(P135-P133=P133-P132,P135,IF(P134-P133=P133-P131,P134,IF(P135-P133=P133-P131,P135,"-"))))</f>
        <v>#VALUE!</v>
      </c>
      <c r="R134" s="83" t="e">
        <f>VLOOKUP(Q134,STN_TABLE,2,FALSE)</f>
        <v>#VALUE!</v>
      </c>
      <c r="S134" s="83">
        <v>-1</v>
      </c>
      <c r="T134" s="82" t="e">
        <f>R134*S134</f>
        <v>#VALUE!</v>
      </c>
      <c r="U134" s="88">
        <v>-1</v>
      </c>
      <c r="V134" s="82" t="e">
        <f>R134*U134</f>
        <v>#VALUE!</v>
      </c>
      <c r="W134" s="84" t="str">
        <f>CONCATENATE("a'(",Q133,")=")</f>
        <v>a'(  )=</v>
      </c>
      <c r="X134" s="84" t="e">
        <f>2*X132/12*T135</f>
        <v>#VALUE!</v>
      </c>
      <c r="Y134" s="84" t="e">
        <f>CONCATENATE("A(",Q132,")=")</f>
        <v>#VALUE!</v>
      </c>
      <c r="Z134" s="84" t="e">
        <f>VLOOKUP(Q132,STN_TABLE,3,FALSE)</f>
        <v>#VALUE!</v>
      </c>
      <c r="AA134" t="str">
        <f>CONCATENATE("A(",Q133,")=")</f>
        <v>A(  )=</v>
      </c>
      <c r="AB134" t="e">
        <f>X134+Z134</f>
        <v>#VALUE!</v>
      </c>
      <c r="AC134" s="99">
        <f>AC133+1</f>
        <v>22</v>
      </c>
      <c r="AD134" s="100" t="str">
        <f>VLOOKUP(AC134,STN_TABLE_2,2,FALSE)</f>
        <v xml:space="preserve">  </v>
      </c>
      <c r="AE134" s="82" t="str">
        <f>VLOOKUP(AD134,STN_TABLE,2,FALSE)</f>
        <v xml:space="preserve">  </v>
      </c>
      <c r="AF134" s="82">
        <v>2</v>
      </c>
      <c r="AG134" s="83" t="e">
        <f>AE134*AF134</f>
        <v>#VALUE!</v>
      </c>
      <c r="AH134" s="84" t="str">
        <f>CONCATENATE("a'(",AD134,")=")</f>
        <v>a'(  )=</v>
      </c>
      <c r="AI134" s="84" t="e">
        <f>2*AI132/2*AE135</f>
        <v>#VALUE!</v>
      </c>
      <c r="AJ134" s="84" t="str">
        <f>CONCATENATE("A(",AD133,")=")</f>
        <v>A(  )=</v>
      </c>
      <c r="AK134" s="84" t="str">
        <f>VLOOKUP(AD133,STN_TABLE,3,FALSE)</f>
        <v xml:space="preserve"> </v>
      </c>
      <c r="AL134" t="str">
        <f>CONCATENATE("A(",AD134,")=")</f>
        <v>A(  )=</v>
      </c>
      <c r="AM134" t="e">
        <f>AI134+AK134</f>
        <v>#VALUE!</v>
      </c>
      <c r="AO134" s="68" t="str">
        <f>AA134</f>
        <v>A(  )=</v>
      </c>
      <c r="AP134" s="68" t="e">
        <f>VLOOKUP(AO134,Rise_Results,2,FALSE)</f>
        <v>#N/A</v>
      </c>
      <c r="AQ134" s="76" t="e">
        <f>N134</f>
        <v>#VALUE!</v>
      </c>
      <c r="AR134" s="76" t="e">
        <f>IF(OR(AB134&lt;=0,AB135&lt;=0),1/0,AB134)</f>
        <v>#VALUE!</v>
      </c>
      <c r="AS134" s="76" t="e">
        <f>AM134</f>
        <v>#VALUE!</v>
      </c>
      <c r="AT134" t="e">
        <f>IFERROR(AP134,IFERROR(AQ134,IFERROR(AR134,AS134)))</f>
        <v>#VALUE!</v>
      </c>
      <c r="AU134" s="81"/>
    </row>
    <row r="135" spans="1:47" x14ac:dyDescent="0.25">
      <c r="A135" s="84">
        <f>A134+1</f>
        <v>22</v>
      </c>
      <c r="B135" s="84" t="str">
        <f t="shared" si="48"/>
        <v xml:space="preserve">  </v>
      </c>
      <c r="F135" s="82" t="e">
        <f>SUM(F132:F134)</f>
        <v>#VALUE!</v>
      </c>
      <c r="H135" s="82" t="e">
        <f>SUM(H132:H134)</f>
        <v>#VALUE!</v>
      </c>
      <c r="I135" s="84" t="str">
        <f>CONCATENATE("m'(",C134,")=")</f>
        <v>m'(  )=</v>
      </c>
      <c r="J135" s="84" t="e">
        <f>2*(J132*(WLS))/3*H135</f>
        <v>#VALUE!</v>
      </c>
      <c r="K135" s="84" t="e">
        <f>CONCATENATE("M(",C132,")=")</f>
        <v>#VALUE!</v>
      </c>
      <c r="L135" s="84" t="e">
        <f>VLOOKUP(C132,STN_TABLE,4,FALSE)</f>
        <v>#VALUE!</v>
      </c>
      <c r="M135" t="str">
        <f>CONCATENATE("M(",C134,")=")</f>
        <v>M(  )=</v>
      </c>
      <c r="N135" t="e">
        <f>J135+L135</f>
        <v>#VALUE!</v>
      </c>
      <c r="O135" s="99">
        <f>O134+1</f>
        <v>24</v>
      </c>
      <c r="P135" s="99" t="str">
        <f t="shared" si="65"/>
        <v xml:space="preserve">  </v>
      </c>
      <c r="T135" s="89" t="e">
        <f>SUM(T132:T134)</f>
        <v>#VALUE!</v>
      </c>
      <c r="V135" s="82" t="e">
        <f>SUM(V132:V134)</f>
        <v>#VALUE!</v>
      </c>
      <c r="W135" s="84" t="str">
        <f>CONCATENATE("m'(",Q133,")=")</f>
        <v>m'(  )=</v>
      </c>
      <c r="X135" s="84" t="e">
        <f>(2*(X132^2)/24*V135)+(X134*Q132*WLS)</f>
        <v>#VALUE!</v>
      </c>
      <c r="Y135" s="84" t="e">
        <f>CONCATENATE("M(",Q132,")=")</f>
        <v>#VALUE!</v>
      </c>
      <c r="Z135" s="84" t="e">
        <f>VLOOKUP(Q132,STN_TABLE,4,FALSE)</f>
        <v>#VALUE!</v>
      </c>
      <c r="AA135" t="str">
        <f>CONCATENATE("M(",Q133,")=")</f>
        <v>M(  )=</v>
      </c>
      <c r="AB135" t="e">
        <f>X135+Z135</f>
        <v>#VALUE!</v>
      </c>
      <c r="AE135" s="89">
        <f>SUM(AE133:AE134)</f>
        <v>0</v>
      </c>
      <c r="AG135" s="89" t="e">
        <f>SUM(AG133:AG134)</f>
        <v>#VALUE!</v>
      </c>
      <c r="AH135" s="84" t="str">
        <f>CONCATENATE("m'(",AD134,")=")</f>
        <v>m'(  )=</v>
      </c>
      <c r="AI135" s="84" t="e">
        <f>(2*(AI132^2)/6*AG135)+(AI134*AD133*WLS)</f>
        <v>#VALUE!</v>
      </c>
      <c r="AJ135" s="84" t="str">
        <f>CONCATENATE("M(",AD133,")=")</f>
        <v>M(  )=</v>
      </c>
      <c r="AK135" s="84" t="str">
        <f>VLOOKUP(AD133,STN_TABLE,4,FALSE)</f>
        <v xml:space="preserve"> </v>
      </c>
      <c r="AL135" t="str">
        <f>CONCATENATE("M(",AD134,")=")</f>
        <v>M(  )=</v>
      </c>
      <c r="AM135" t="e">
        <f>AI135+AK135</f>
        <v>#VALUE!</v>
      </c>
      <c r="AO135" s="82" t="str">
        <f>AA135</f>
        <v>M(  )=</v>
      </c>
      <c r="AP135" s="82" t="e">
        <f>VLOOKUP(AO135,Rise_Results,2,FALSE)</f>
        <v>#N/A</v>
      </c>
      <c r="AQ135" s="82" t="e">
        <f>N135</f>
        <v>#VALUE!</v>
      </c>
      <c r="AR135" s="82" t="e">
        <f>IF(OR(AB134&lt;=0,AB135&lt;=0),1/0,AB135)</f>
        <v>#VALUE!</v>
      </c>
      <c r="AS135" s="82" t="e">
        <f>AM135</f>
        <v>#VALUE!</v>
      </c>
      <c r="AT135" t="e">
        <f>IFERROR(AP135,IFERROR(AQ135,IFERROR(AR135,AS135)))</f>
        <v>#VALUE!</v>
      </c>
      <c r="AU135" s="81"/>
    </row>
    <row r="136" spans="1:47" x14ac:dyDescent="0.25">
      <c r="A136" s="101">
        <f>A131+1</f>
        <v>19</v>
      </c>
      <c r="B136" s="101" t="str">
        <f t="shared" si="48"/>
        <v xml:space="preserve">  </v>
      </c>
      <c r="O136" s="101">
        <f>O131+1</f>
        <v>21</v>
      </c>
      <c r="P136" s="101" t="str">
        <f t="shared" si="65"/>
        <v xml:space="preserve">  </v>
      </c>
      <c r="AU136" s="81"/>
    </row>
    <row r="137" spans="1:47" x14ac:dyDescent="0.25">
      <c r="A137" s="84">
        <f>A136+1</f>
        <v>20</v>
      </c>
      <c r="B137" s="84" t="str">
        <f t="shared" si="48"/>
        <v xml:space="preserve">  </v>
      </c>
      <c r="C137" s="79" t="e">
        <f t="shared" ref="C137" si="68">IF(C138=B139,IF(C139-C138=C138-B138,B138,IF(C139-C138=C138-B137,B137,"#NA")),IF(C138=B138,IF(C139-C138=C138-B137,B137,IF(C139-C138=C138-B136,B136,"#NA")),"#NA"))</f>
        <v>#VALUE!</v>
      </c>
      <c r="D137" s="68" t="e">
        <f>VLOOKUP(C137,STN_TABLE,2,FALSE)</f>
        <v>#VALUE!</v>
      </c>
      <c r="E137" s="102">
        <v>1</v>
      </c>
      <c r="F137" s="68" t="e">
        <f>D137*E137</f>
        <v>#VALUE!</v>
      </c>
      <c r="G137" s="69" t="e">
        <f>C137</f>
        <v>#VALUE!</v>
      </c>
      <c r="H137" s="69" t="e">
        <f>F137*G137</f>
        <v>#VALUE!</v>
      </c>
      <c r="I137" s="6" t="s">
        <v>93</v>
      </c>
      <c r="J137" s="70" t="e">
        <f>IF(OR(D137=0,D138=0,D139=0),"#NA",IF(AND(C139-C138=C138-C137,C138&lt;&gt;C139,C137&lt;&gt;C138,C137&lt;&gt;C139,D139&lt;&gt;0,OR(D137&lt;&gt;0,D138&lt;&gt;0)),WLS*(C139-C138),"#NA"))</f>
        <v>#VALUE!</v>
      </c>
      <c r="O137" s="99">
        <f>O136+1</f>
        <v>22</v>
      </c>
      <c r="P137" s="99" t="str">
        <f t="shared" si="65"/>
        <v xml:space="preserve">  </v>
      </c>
      <c r="Q137" s="68" t="e">
        <f>IF(OR(P139-P138=P138-P137,P140-P138=P138-P137),P137,IF(OR(P139-P138=P138-P136,P140-P138=P138-P136),P136,"-"))</f>
        <v>#VALUE!</v>
      </c>
      <c r="R137" s="69" t="e">
        <f>VLOOKUP(Q137,STN_TABLE,2,FALSE)</f>
        <v>#VALUE!</v>
      </c>
      <c r="S137" s="69">
        <v>5</v>
      </c>
      <c r="T137" s="68" t="e">
        <f>R137*S137</f>
        <v>#VALUE!</v>
      </c>
      <c r="U137" s="79">
        <v>3</v>
      </c>
      <c r="V137" s="68" t="e">
        <f>R137*U137</f>
        <v>#VALUE!</v>
      </c>
      <c r="W137" s="6" t="s">
        <v>93</v>
      </c>
      <c r="X137" s="70" t="e">
        <f>IF(AND(Q139-Q138=Q138-Q137,NOT(AND(Q137=0,Q138=0)),NOT(AND(Q138=0,Q139=0))),WLS*(Q139-Q138),"#NA")</f>
        <v>#VALUE!</v>
      </c>
      <c r="AD137" s="93"/>
      <c r="AH137" s="6" t="s">
        <v>93</v>
      </c>
      <c r="AI137" s="70" t="e">
        <f>WLS*(AD139-AD138)</f>
        <v>#VALUE!</v>
      </c>
      <c r="AU137" s="81"/>
    </row>
    <row r="138" spans="1:47" x14ac:dyDescent="0.25">
      <c r="A138" s="84">
        <f>A137+1</f>
        <v>21</v>
      </c>
      <c r="B138" s="84" t="str">
        <f t="shared" ref="B138:B150" si="69">VLOOKUP(A138,STN_TABLE_2,2,FALSE)</f>
        <v xml:space="preserve">  </v>
      </c>
      <c r="C138" s="80" t="e">
        <f t="shared" ref="C138" si="70">IF(OR(B140-B139=B139-B138,B140-B139=B139-B137,B140-B139=B139-B136),B139,IF(OR(B140-B138=B138-B137,B140-B138=B138-B136),B138,IF(B140-B137=B137-B136,B137,"#NA")))</f>
        <v>#VALUE!</v>
      </c>
      <c r="D138" s="76" t="e">
        <f>VLOOKUP(C138,STN_TABLE,2,FALSE)</f>
        <v>#VALUE!</v>
      </c>
      <c r="E138" s="81">
        <v>4</v>
      </c>
      <c r="F138" s="76" t="e">
        <f>D138*E138</f>
        <v>#VALUE!</v>
      </c>
      <c r="G138" s="77" t="e">
        <f>C138</f>
        <v>#VALUE!</v>
      </c>
      <c r="H138" s="77" t="e">
        <f>F138*G138</f>
        <v>#VALUE!</v>
      </c>
      <c r="I138" s="495" t="s">
        <v>97</v>
      </c>
      <c r="J138" s="496"/>
      <c r="K138" s="78" t="s">
        <v>98</v>
      </c>
      <c r="L138" s="78"/>
      <c r="M138" s="7" t="s">
        <v>99</v>
      </c>
      <c r="N138" s="7"/>
      <c r="O138" s="99">
        <f>O137+1</f>
        <v>23</v>
      </c>
      <c r="P138" s="99" t="str">
        <f t="shared" si="65"/>
        <v xml:space="preserve">  </v>
      </c>
      <c r="Q138" s="76" t="str">
        <f>P138</f>
        <v xml:space="preserve">  </v>
      </c>
      <c r="R138" s="77" t="str">
        <f>VLOOKUP(Q138,STN_TABLE,2,FALSE)</f>
        <v xml:space="preserve">  </v>
      </c>
      <c r="S138" s="77">
        <v>8</v>
      </c>
      <c r="T138" s="76" t="e">
        <f>R138*S138</f>
        <v>#VALUE!</v>
      </c>
      <c r="U138" s="80">
        <v>10</v>
      </c>
      <c r="V138" s="76" t="e">
        <f>R138*U138</f>
        <v>#VALUE!</v>
      </c>
      <c r="W138" s="496" t="s">
        <v>97</v>
      </c>
      <c r="X138" s="496"/>
      <c r="Y138" s="496" t="s">
        <v>98</v>
      </c>
      <c r="Z138" s="496"/>
      <c r="AA138" s="494" t="s">
        <v>99</v>
      </c>
      <c r="AB138" s="494"/>
      <c r="AC138" s="99">
        <f>AC133+1</f>
        <v>22</v>
      </c>
      <c r="AD138" s="95" t="str">
        <f>VLOOKUP(AC138,STN_TABLE_2,2,FALSE)</f>
        <v xml:space="preserve">  </v>
      </c>
      <c r="AE138" s="68" t="str">
        <f>VLOOKUP(AD138,STN_TABLE,2,FALSE)</f>
        <v xml:space="preserve">  </v>
      </c>
      <c r="AF138" s="68">
        <v>1</v>
      </c>
      <c r="AG138" s="69" t="e">
        <f>AE138*AF138</f>
        <v>#VALUE!</v>
      </c>
      <c r="AH138" s="496" t="s">
        <v>97</v>
      </c>
      <c r="AI138" s="496"/>
      <c r="AJ138" s="496" t="s">
        <v>98</v>
      </c>
      <c r="AK138" s="496"/>
      <c r="AL138" s="494" t="s">
        <v>99</v>
      </c>
      <c r="AM138" s="494"/>
      <c r="AP138" s="86" t="s">
        <v>112</v>
      </c>
      <c r="AQ138" s="89" t="s">
        <v>113</v>
      </c>
      <c r="AR138" s="89" t="s">
        <v>114</v>
      </c>
      <c r="AS138" s="89" t="s">
        <v>115</v>
      </c>
      <c r="AU138" s="81"/>
    </row>
    <row r="139" spans="1:47" x14ac:dyDescent="0.25">
      <c r="A139" s="84">
        <f>A138+1</f>
        <v>22</v>
      </c>
      <c r="B139" s="84" t="str">
        <f t="shared" si="69"/>
        <v xml:space="preserve">  </v>
      </c>
      <c r="C139" s="88" t="str">
        <f t="shared" ref="C139" si="71">B140</f>
        <v xml:space="preserve">  </v>
      </c>
      <c r="D139" s="82" t="str">
        <f>VLOOKUP(C139,STN_TABLE,2,FALSE)</f>
        <v xml:space="preserve">  </v>
      </c>
      <c r="E139" s="92">
        <v>1</v>
      </c>
      <c r="F139" s="82" t="e">
        <f>D139*E139</f>
        <v>#VALUE!</v>
      </c>
      <c r="G139" s="83" t="str">
        <f>C139</f>
        <v xml:space="preserve">  </v>
      </c>
      <c r="H139" s="83" t="e">
        <f>F139*G139</f>
        <v>#VALUE!</v>
      </c>
      <c r="I139" s="84" t="str">
        <f>CONCATENATE("a'(",C139,")=")</f>
        <v>a'(  )=</v>
      </c>
      <c r="J139" s="84" t="e">
        <f>2*J137/3*F140</f>
        <v>#VALUE!</v>
      </c>
      <c r="K139" s="84" t="e">
        <f>CONCATENATE("A(",C137,")=")</f>
        <v>#VALUE!</v>
      </c>
      <c r="L139" s="84" t="e">
        <f>VLOOKUP(C137,STN_TABLE,3,FALSE)</f>
        <v>#VALUE!</v>
      </c>
      <c r="M139" t="str">
        <f>CONCATENATE("A(",C139,")=")</f>
        <v>A(  )=</v>
      </c>
      <c r="N139" t="e">
        <f>J139+L139</f>
        <v>#VALUE!</v>
      </c>
      <c r="O139" s="99">
        <f>O138+1</f>
        <v>24</v>
      </c>
      <c r="P139" s="99" t="str">
        <f t="shared" si="65"/>
        <v xml:space="preserve">  </v>
      </c>
      <c r="Q139" s="82" t="e">
        <f>IF(P139-P138=P138-P137,P139,IF(P140-P138=P138-P137,P140,IF(P139-P138=P138-P136,P139,IF(P140-P138=P138-P136,P140,"-"))))</f>
        <v>#VALUE!</v>
      </c>
      <c r="R139" s="83" t="e">
        <f>VLOOKUP(Q139,STN_TABLE,2,FALSE)</f>
        <v>#VALUE!</v>
      </c>
      <c r="S139" s="83">
        <v>-1</v>
      </c>
      <c r="T139" s="82" t="e">
        <f>R139*S139</f>
        <v>#VALUE!</v>
      </c>
      <c r="U139" s="88">
        <v>-1</v>
      </c>
      <c r="V139" s="82" t="e">
        <f>R139*U139</f>
        <v>#VALUE!</v>
      </c>
      <c r="W139" s="84" t="str">
        <f>CONCATENATE("a'(",Q138,")=")</f>
        <v>a'(  )=</v>
      </c>
      <c r="X139" s="84" t="e">
        <f>2*X137/12*T140</f>
        <v>#VALUE!</v>
      </c>
      <c r="Y139" s="84" t="e">
        <f>CONCATENATE("A(",Q137,")=")</f>
        <v>#VALUE!</v>
      </c>
      <c r="Z139" s="84" t="e">
        <f>VLOOKUP(Q137,STN_TABLE,3,FALSE)</f>
        <v>#VALUE!</v>
      </c>
      <c r="AA139" t="str">
        <f>CONCATENATE("A(",Q138,")=")</f>
        <v>A(  )=</v>
      </c>
      <c r="AB139" t="e">
        <f>X139+Z139</f>
        <v>#VALUE!</v>
      </c>
      <c r="AC139" s="99">
        <f>AC138+1</f>
        <v>23</v>
      </c>
      <c r="AD139" s="100" t="str">
        <f>VLOOKUP(AC139,STN_TABLE_2,2,FALSE)</f>
        <v xml:space="preserve">  </v>
      </c>
      <c r="AE139" s="82" t="str">
        <f>VLOOKUP(AD139,STN_TABLE,2,FALSE)</f>
        <v xml:space="preserve">  </v>
      </c>
      <c r="AF139" s="82">
        <v>2</v>
      </c>
      <c r="AG139" s="83" t="e">
        <f>AE139*AF139</f>
        <v>#VALUE!</v>
      </c>
      <c r="AH139" s="84" t="str">
        <f>CONCATENATE("a'(",AD139,")=")</f>
        <v>a'(  )=</v>
      </c>
      <c r="AI139" s="84" t="e">
        <f>2*AI137/2*AE140</f>
        <v>#VALUE!</v>
      </c>
      <c r="AJ139" s="84" t="str">
        <f>CONCATENATE("A(",AD138,")=")</f>
        <v>A(  )=</v>
      </c>
      <c r="AK139" s="84" t="str">
        <f>VLOOKUP(AD138,STN_TABLE,3,FALSE)</f>
        <v xml:space="preserve"> </v>
      </c>
      <c r="AL139" t="str">
        <f>CONCATENATE("A(",AD139,")=")</f>
        <v>A(  )=</v>
      </c>
      <c r="AM139" t="e">
        <f>AI139+AK139</f>
        <v>#VALUE!</v>
      </c>
      <c r="AO139" s="68" t="str">
        <f>AA139</f>
        <v>A(  )=</v>
      </c>
      <c r="AP139" s="68" t="e">
        <f>VLOOKUP(AO139,Rise_Results,2,FALSE)</f>
        <v>#N/A</v>
      </c>
      <c r="AQ139" s="76" t="e">
        <f>N139</f>
        <v>#VALUE!</v>
      </c>
      <c r="AR139" s="76" t="e">
        <f>IF(OR(AB139&lt;=0,AB140&lt;=0),1/0,AB139)</f>
        <v>#VALUE!</v>
      </c>
      <c r="AS139" s="76" t="e">
        <f>AM139</f>
        <v>#VALUE!</v>
      </c>
      <c r="AT139" t="e">
        <f>IFERROR(AP139,IFERROR(AQ139,IFERROR(AR139,AS139)))</f>
        <v>#VALUE!</v>
      </c>
      <c r="AU139" s="81"/>
    </row>
    <row r="140" spans="1:47" x14ac:dyDescent="0.25">
      <c r="A140" s="84">
        <f>A139+1</f>
        <v>23</v>
      </c>
      <c r="B140" s="84" t="str">
        <f t="shared" si="69"/>
        <v xml:space="preserve">  </v>
      </c>
      <c r="F140" s="82" t="e">
        <f>SUM(F137:F139)</f>
        <v>#VALUE!</v>
      </c>
      <c r="H140" s="82" t="e">
        <f>SUM(H137:H139)</f>
        <v>#VALUE!</v>
      </c>
      <c r="I140" s="84" t="str">
        <f>CONCATENATE("m'(",C139,")=")</f>
        <v>m'(  )=</v>
      </c>
      <c r="J140" s="84" t="e">
        <f>2*(J137*(WLS))/3*H140</f>
        <v>#VALUE!</v>
      </c>
      <c r="K140" s="84" t="e">
        <f>CONCATENATE("M(",C137,")=")</f>
        <v>#VALUE!</v>
      </c>
      <c r="L140" s="84" t="e">
        <f>VLOOKUP(C137,STN_TABLE,4,FALSE)</f>
        <v>#VALUE!</v>
      </c>
      <c r="M140" t="str">
        <f>CONCATENATE("M(",C139,")=")</f>
        <v>M(  )=</v>
      </c>
      <c r="N140" t="e">
        <f>J140+L140</f>
        <v>#VALUE!</v>
      </c>
      <c r="O140" s="99">
        <f>O139+1</f>
        <v>25</v>
      </c>
      <c r="P140" s="99" t="str">
        <f t="shared" si="65"/>
        <v xml:space="preserve">  </v>
      </c>
      <c r="T140" s="89" t="e">
        <f>SUM(T137:T139)</f>
        <v>#VALUE!</v>
      </c>
      <c r="V140" s="82" t="e">
        <f>SUM(V137:V139)</f>
        <v>#VALUE!</v>
      </c>
      <c r="W140" s="84" t="str">
        <f>CONCATENATE("m'(",Q138,")=")</f>
        <v>m'(  )=</v>
      </c>
      <c r="X140" s="84" t="e">
        <f>(2*(X137^2)/24*V140)+(X139*Q137*WLS)</f>
        <v>#VALUE!</v>
      </c>
      <c r="Y140" s="84" t="e">
        <f>CONCATENATE("M(",Q137,")=")</f>
        <v>#VALUE!</v>
      </c>
      <c r="Z140" s="84" t="e">
        <f>VLOOKUP(Q137,STN_TABLE,4,FALSE)</f>
        <v>#VALUE!</v>
      </c>
      <c r="AA140" t="str">
        <f>CONCATENATE("M(",Q138,")=")</f>
        <v>M(  )=</v>
      </c>
      <c r="AB140" t="e">
        <f>X140+Z140</f>
        <v>#VALUE!</v>
      </c>
      <c r="AE140" s="89">
        <f>SUM(AE138:AE139)</f>
        <v>0</v>
      </c>
      <c r="AG140" s="89" t="e">
        <f>SUM(AG138:AG139)</f>
        <v>#VALUE!</v>
      </c>
      <c r="AH140" s="84" t="str">
        <f>CONCATENATE("m'(",AD139,")=")</f>
        <v>m'(  )=</v>
      </c>
      <c r="AI140" s="84" t="e">
        <f>(2*(AI137^2)/6*AG140)+(AI139*AD138*WLS)</f>
        <v>#VALUE!</v>
      </c>
      <c r="AJ140" s="84" t="str">
        <f>CONCATENATE("M(",AD138,")=")</f>
        <v>M(  )=</v>
      </c>
      <c r="AK140" s="84" t="str">
        <f>VLOOKUP(AD138,STN_TABLE,4,FALSE)</f>
        <v xml:space="preserve"> </v>
      </c>
      <c r="AL140" t="str">
        <f>CONCATENATE("M(",AD139,")=")</f>
        <v>M(  )=</v>
      </c>
      <c r="AM140" t="e">
        <f>AI140+AK140</f>
        <v>#VALUE!</v>
      </c>
      <c r="AO140" s="82" t="str">
        <f>AA140</f>
        <v>M(  )=</v>
      </c>
      <c r="AP140" s="82" t="e">
        <f>VLOOKUP(AO140,Rise_Results,2,FALSE)</f>
        <v>#N/A</v>
      </c>
      <c r="AQ140" s="82" t="e">
        <f>N140</f>
        <v>#VALUE!</v>
      </c>
      <c r="AR140" s="82" t="e">
        <f>IF(OR(AB139&lt;=0,AB140&lt;=0),1/0,AB140)</f>
        <v>#VALUE!</v>
      </c>
      <c r="AS140" s="82" t="e">
        <f>AM140</f>
        <v>#VALUE!</v>
      </c>
      <c r="AT140" t="e">
        <f>IFERROR(AP140,IFERROR(AQ140,IFERROR(AR140,AS140)))</f>
        <v>#VALUE!</v>
      </c>
      <c r="AU140" s="81"/>
    </row>
    <row r="141" spans="1:47" x14ac:dyDescent="0.25">
      <c r="A141" s="101">
        <f>A136+1</f>
        <v>20</v>
      </c>
      <c r="B141" s="101" t="str">
        <f t="shared" si="69"/>
        <v xml:space="preserve">  </v>
      </c>
      <c r="O141" s="101">
        <f>O136+1</f>
        <v>22</v>
      </c>
      <c r="P141" s="101" t="str">
        <f t="shared" si="65"/>
        <v xml:space="preserve">  </v>
      </c>
      <c r="AU141" s="81"/>
    </row>
    <row r="142" spans="1:47" x14ac:dyDescent="0.25">
      <c r="A142" s="84">
        <f>A141+1</f>
        <v>21</v>
      </c>
      <c r="B142" s="84" t="str">
        <f t="shared" si="69"/>
        <v xml:space="preserve">  </v>
      </c>
      <c r="C142" s="79" t="e">
        <f t="shared" ref="C142" si="72">IF(C143=B144,IF(C144-C143=C143-B143,B143,IF(C144-C143=C143-B142,B142,"#NA")),IF(C143=B143,IF(C144-C143=C143-B142,B142,IF(C144-C143=C143-B141,B141,"#NA")),"#NA"))</f>
        <v>#VALUE!</v>
      </c>
      <c r="D142" s="68" t="e">
        <f>VLOOKUP(C142,STN_TABLE,2,FALSE)</f>
        <v>#VALUE!</v>
      </c>
      <c r="E142" s="102">
        <v>1</v>
      </c>
      <c r="F142" s="68" t="e">
        <f>D142*E142</f>
        <v>#VALUE!</v>
      </c>
      <c r="G142" s="69" t="e">
        <f>C142</f>
        <v>#VALUE!</v>
      </c>
      <c r="H142" s="69" t="e">
        <f>F142*G142</f>
        <v>#VALUE!</v>
      </c>
      <c r="I142" s="6" t="s">
        <v>93</v>
      </c>
      <c r="J142" s="70" t="e">
        <f>IF(OR(D142=0,D143=0,D144=0),"#NA",IF(AND(C144-C143=C143-C142,C143&lt;&gt;C144,C142&lt;&gt;C143,C142&lt;&gt;C144,D144&lt;&gt;0,OR(D142&lt;&gt;0,D143&lt;&gt;0)),WLS*(C144-C143),"#NA"))</f>
        <v>#VALUE!</v>
      </c>
      <c r="O142" s="99">
        <f>O141+1</f>
        <v>23</v>
      </c>
      <c r="P142" s="99" t="str">
        <f t="shared" si="65"/>
        <v xml:space="preserve">  </v>
      </c>
      <c r="Q142" s="68" t="e">
        <f>IF(OR(P144-P143=P143-P142,P145-P143=P143-P142),P142,IF(OR(P144-P143=P143-P141,P145-P143=P143-P141),P141,"-"))</f>
        <v>#VALUE!</v>
      </c>
      <c r="R142" s="69" t="e">
        <f>VLOOKUP(Q142,STN_TABLE,2,FALSE)</f>
        <v>#VALUE!</v>
      </c>
      <c r="S142" s="69">
        <v>5</v>
      </c>
      <c r="T142" s="68" t="e">
        <f>R142*S142</f>
        <v>#VALUE!</v>
      </c>
      <c r="U142" s="79">
        <v>3</v>
      </c>
      <c r="V142" s="68" t="e">
        <f>R142*U142</f>
        <v>#VALUE!</v>
      </c>
      <c r="W142" s="6" t="s">
        <v>93</v>
      </c>
      <c r="X142" s="70" t="e">
        <f>IF(AND(Q144-Q143=Q143-Q142,NOT(AND(Q142=0,Q143=0)),NOT(AND(Q143=0,Q144=0))),WLS*(Q144-Q143),"#NA")</f>
        <v>#VALUE!</v>
      </c>
      <c r="AD142" s="93"/>
      <c r="AH142" s="6" t="s">
        <v>93</v>
      </c>
      <c r="AI142" s="70" t="e">
        <f>WLS*(AD144-AD143)</f>
        <v>#VALUE!</v>
      </c>
      <c r="AU142" s="81"/>
    </row>
    <row r="143" spans="1:47" x14ac:dyDescent="0.25">
      <c r="A143" s="84">
        <f>A142+1</f>
        <v>22</v>
      </c>
      <c r="B143" s="84" t="str">
        <f t="shared" si="69"/>
        <v xml:space="preserve">  </v>
      </c>
      <c r="C143" s="80" t="e">
        <f t="shared" ref="C143" si="73">IF(OR(B145-B144=B144-B143,B145-B144=B144-B142,B145-B144=B144-B141),B144,IF(OR(B145-B143=B143-B142,B145-B143=B143-B141),B143,IF(B145-B142=B142-B141,B142,"#NA")))</f>
        <v>#VALUE!</v>
      </c>
      <c r="D143" s="76" t="e">
        <f>VLOOKUP(C143,STN_TABLE,2,FALSE)</f>
        <v>#VALUE!</v>
      </c>
      <c r="E143" s="81">
        <v>4</v>
      </c>
      <c r="F143" s="76" t="e">
        <f>D143*E143</f>
        <v>#VALUE!</v>
      </c>
      <c r="G143" s="77" t="e">
        <f>C143</f>
        <v>#VALUE!</v>
      </c>
      <c r="H143" s="77" t="e">
        <f>F143*G143</f>
        <v>#VALUE!</v>
      </c>
      <c r="I143" s="495" t="s">
        <v>97</v>
      </c>
      <c r="J143" s="496"/>
      <c r="K143" s="78" t="s">
        <v>98</v>
      </c>
      <c r="L143" s="78"/>
      <c r="M143" s="7" t="s">
        <v>99</v>
      </c>
      <c r="N143" s="7"/>
      <c r="O143" s="99">
        <f>O142+1</f>
        <v>24</v>
      </c>
      <c r="P143" s="99" t="str">
        <f t="shared" si="65"/>
        <v xml:space="preserve">  </v>
      </c>
      <c r="Q143" s="76" t="str">
        <f>P143</f>
        <v xml:space="preserve">  </v>
      </c>
      <c r="R143" s="77" t="str">
        <f>VLOOKUP(Q143,STN_TABLE,2,FALSE)</f>
        <v xml:space="preserve">  </v>
      </c>
      <c r="S143" s="77">
        <v>8</v>
      </c>
      <c r="T143" s="76" t="e">
        <f>R143*S143</f>
        <v>#VALUE!</v>
      </c>
      <c r="U143" s="80">
        <v>10</v>
      </c>
      <c r="V143" s="76" t="e">
        <f>R143*U143</f>
        <v>#VALUE!</v>
      </c>
      <c r="W143" s="496" t="s">
        <v>97</v>
      </c>
      <c r="X143" s="496"/>
      <c r="Y143" s="496" t="s">
        <v>98</v>
      </c>
      <c r="Z143" s="496"/>
      <c r="AA143" s="494" t="s">
        <v>99</v>
      </c>
      <c r="AB143" s="494"/>
      <c r="AC143" s="99">
        <f>AC138+1</f>
        <v>23</v>
      </c>
      <c r="AD143" s="95" t="str">
        <f>VLOOKUP(AC143,STN_TABLE_2,2,FALSE)</f>
        <v xml:space="preserve">  </v>
      </c>
      <c r="AE143" s="68" t="str">
        <f>VLOOKUP(AD143,STN_TABLE,2,FALSE)</f>
        <v xml:space="preserve">  </v>
      </c>
      <c r="AF143" s="68">
        <v>1</v>
      </c>
      <c r="AG143" s="69" t="e">
        <f>AE143*AF143</f>
        <v>#VALUE!</v>
      </c>
      <c r="AH143" s="496" t="s">
        <v>97</v>
      </c>
      <c r="AI143" s="496"/>
      <c r="AJ143" s="496" t="s">
        <v>98</v>
      </c>
      <c r="AK143" s="496"/>
      <c r="AL143" s="494" t="s">
        <v>99</v>
      </c>
      <c r="AM143" s="494"/>
      <c r="AP143" s="86" t="s">
        <v>112</v>
      </c>
      <c r="AQ143" s="89" t="s">
        <v>113</v>
      </c>
      <c r="AR143" s="89" t="s">
        <v>114</v>
      </c>
      <c r="AS143" s="89" t="s">
        <v>115</v>
      </c>
      <c r="AU143" s="81"/>
    </row>
    <row r="144" spans="1:47" x14ac:dyDescent="0.25">
      <c r="A144" s="84">
        <f>A143+1</f>
        <v>23</v>
      </c>
      <c r="B144" s="84" t="str">
        <f t="shared" si="69"/>
        <v xml:space="preserve">  </v>
      </c>
      <c r="C144" s="88" t="str">
        <f t="shared" ref="C144" si="74">B145</f>
        <v xml:space="preserve">  </v>
      </c>
      <c r="D144" s="82" t="str">
        <f>VLOOKUP(C144,STN_TABLE,2,FALSE)</f>
        <v xml:space="preserve">  </v>
      </c>
      <c r="E144" s="92">
        <v>1</v>
      </c>
      <c r="F144" s="82" t="e">
        <f>D144*E144</f>
        <v>#VALUE!</v>
      </c>
      <c r="G144" s="83" t="str">
        <f>C144</f>
        <v xml:space="preserve">  </v>
      </c>
      <c r="H144" s="83" t="e">
        <f>F144*G144</f>
        <v>#VALUE!</v>
      </c>
      <c r="I144" s="84" t="str">
        <f>CONCATENATE("a'(",C144,")=")</f>
        <v>a'(  )=</v>
      </c>
      <c r="J144" s="84" t="e">
        <f>2*J142/3*F145</f>
        <v>#VALUE!</v>
      </c>
      <c r="K144" s="84" t="e">
        <f>CONCATENATE("A(",C142,")=")</f>
        <v>#VALUE!</v>
      </c>
      <c r="L144" s="84" t="e">
        <f>VLOOKUP(C142,STN_TABLE,3,FALSE)</f>
        <v>#VALUE!</v>
      </c>
      <c r="M144" t="str">
        <f>CONCATENATE("A(",C144,")=")</f>
        <v>A(  )=</v>
      </c>
      <c r="N144" t="e">
        <f>J144+L144</f>
        <v>#VALUE!</v>
      </c>
      <c r="O144" s="99">
        <f>O143+1</f>
        <v>25</v>
      </c>
      <c r="P144" s="99" t="str">
        <f t="shared" si="65"/>
        <v xml:space="preserve">  </v>
      </c>
      <c r="Q144" s="82" t="e">
        <f>IF(P144-P143=P143-P142,P144,IF(P145-P143=P143-P142,P145,IF(P144-P143=P143-P141,P144,IF(P145-P143=P143-P141,P145,"-"))))</f>
        <v>#VALUE!</v>
      </c>
      <c r="R144" s="83" t="e">
        <f>VLOOKUP(Q144,STN_TABLE,2,FALSE)</f>
        <v>#VALUE!</v>
      </c>
      <c r="S144" s="83">
        <v>-1</v>
      </c>
      <c r="T144" s="82" t="e">
        <f>R144*S144</f>
        <v>#VALUE!</v>
      </c>
      <c r="U144" s="88">
        <v>-1</v>
      </c>
      <c r="V144" s="82" t="e">
        <f>R144*U144</f>
        <v>#VALUE!</v>
      </c>
      <c r="W144" s="84" t="str">
        <f>CONCATENATE("a'(",Q143,")=")</f>
        <v>a'(  )=</v>
      </c>
      <c r="X144" s="84" t="e">
        <f>2*X142/12*T145</f>
        <v>#VALUE!</v>
      </c>
      <c r="Y144" s="84" t="e">
        <f>CONCATENATE("A(",Q142,")=")</f>
        <v>#VALUE!</v>
      </c>
      <c r="Z144" s="84" t="e">
        <f>VLOOKUP(Q142,STN_TABLE,3,FALSE)</f>
        <v>#VALUE!</v>
      </c>
      <c r="AA144" t="str">
        <f>CONCATENATE("A(",Q143,")=")</f>
        <v>A(  )=</v>
      </c>
      <c r="AB144" t="e">
        <f>X144+Z144</f>
        <v>#VALUE!</v>
      </c>
      <c r="AC144" s="99">
        <f>AC143+1</f>
        <v>24</v>
      </c>
      <c r="AD144" s="100" t="str">
        <f>VLOOKUP(AC144,STN_TABLE_2,2,FALSE)</f>
        <v xml:space="preserve">  </v>
      </c>
      <c r="AE144" s="82" t="str">
        <f>VLOOKUP(AD144,STN_TABLE,2,FALSE)</f>
        <v xml:space="preserve">  </v>
      </c>
      <c r="AF144" s="82">
        <v>2</v>
      </c>
      <c r="AG144" s="83" t="e">
        <f>AE144*AF144</f>
        <v>#VALUE!</v>
      </c>
      <c r="AH144" s="84" t="str">
        <f>CONCATENATE("a'(",AD144,")=")</f>
        <v>a'(  )=</v>
      </c>
      <c r="AI144" s="84" t="e">
        <f>2*AI142/2*AE145</f>
        <v>#VALUE!</v>
      </c>
      <c r="AJ144" s="84" t="str">
        <f>CONCATENATE("A(",AD143,")=")</f>
        <v>A(  )=</v>
      </c>
      <c r="AK144" s="84" t="str">
        <f>VLOOKUP(AD143,STN_TABLE,3,FALSE)</f>
        <v xml:space="preserve"> </v>
      </c>
      <c r="AL144" t="str">
        <f>CONCATENATE("A(",AD144,")=")</f>
        <v>A(  )=</v>
      </c>
      <c r="AM144" t="e">
        <f>AI144+AK144</f>
        <v>#VALUE!</v>
      </c>
      <c r="AO144" s="68" t="str">
        <f>AA144</f>
        <v>A(  )=</v>
      </c>
      <c r="AP144" s="68" t="e">
        <f>VLOOKUP(AO144,Rise_Results,2,FALSE)</f>
        <v>#N/A</v>
      </c>
      <c r="AQ144" s="76" t="e">
        <f>N144</f>
        <v>#VALUE!</v>
      </c>
      <c r="AR144" s="76" t="e">
        <f>IF(OR(AB144&lt;=0,AB145&lt;=0),1/0,AB144)</f>
        <v>#VALUE!</v>
      </c>
      <c r="AS144" s="76" t="e">
        <f>AM144</f>
        <v>#VALUE!</v>
      </c>
      <c r="AT144" t="e">
        <f>IFERROR(AP144,IFERROR(AQ144,IFERROR(AR144,AS144)))</f>
        <v>#VALUE!</v>
      </c>
      <c r="AU144" s="81"/>
    </row>
    <row r="145" spans="1:47" x14ac:dyDescent="0.25">
      <c r="A145" s="84">
        <f>A144+1</f>
        <v>24</v>
      </c>
      <c r="B145" s="84" t="str">
        <f t="shared" si="69"/>
        <v xml:space="preserve">  </v>
      </c>
      <c r="F145" s="82" t="e">
        <f>SUM(F142:F144)</f>
        <v>#VALUE!</v>
      </c>
      <c r="H145" s="82" t="e">
        <f>SUM(H142:H144)</f>
        <v>#VALUE!</v>
      </c>
      <c r="I145" s="84" t="str">
        <f>CONCATENATE("m'(",C144,")=")</f>
        <v>m'(  )=</v>
      </c>
      <c r="J145" s="84" t="e">
        <f>2*(J142*(WLS))/3*H145</f>
        <v>#VALUE!</v>
      </c>
      <c r="K145" s="84" t="e">
        <f>CONCATENATE("M(",C142,")=")</f>
        <v>#VALUE!</v>
      </c>
      <c r="L145" s="84" t="e">
        <f>VLOOKUP(C142,STN_TABLE,4,FALSE)</f>
        <v>#VALUE!</v>
      </c>
      <c r="M145" t="str">
        <f>CONCATENATE("M(",C144,")=")</f>
        <v>M(  )=</v>
      </c>
      <c r="N145" t="e">
        <f>J145+L145</f>
        <v>#VALUE!</v>
      </c>
      <c r="O145" s="99">
        <f>O144+1</f>
        <v>26</v>
      </c>
      <c r="P145" s="99" t="e">
        <f t="shared" si="65"/>
        <v>#N/A</v>
      </c>
      <c r="T145" s="89" t="e">
        <f>SUM(T142:T144)</f>
        <v>#VALUE!</v>
      </c>
      <c r="V145" s="82" t="e">
        <f>SUM(V142:V144)</f>
        <v>#VALUE!</v>
      </c>
      <c r="W145" s="84" t="str">
        <f>CONCATENATE("m'(",Q143,")=")</f>
        <v>m'(  )=</v>
      </c>
      <c r="X145" s="84" t="e">
        <f>(2*(X142^2)/24*V145)+(X144*Q142*WLS)</f>
        <v>#VALUE!</v>
      </c>
      <c r="Y145" s="84" t="e">
        <f>CONCATENATE("M(",Q142,")=")</f>
        <v>#VALUE!</v>
      </c>
      <c r="Z145" s="84" t="e">
        <f>VLOOKUP(Q142,STN_TABLE,4,FALSE)</f>
        <v>#VALUE!</v>
      </c>
      <c r="AA145" t="str">
        <f>CONCATENATE("M(",Q143,")=")</f>
        <v>M(  )=</v>
      </c>
      <c r="AB145" t="e">
        <f>X145+Z145</f>
        <v>#VALUE!</v>
      </c>
      <c r="AE145" s="89">
        <f>SUM(AE143:AE144)</f>
        <v>0</v>
      </c>
      <c r="AG145" s="89" t="e">
        <f>SUM(AG143:AG144)</f>
        <v>#VALUE!</v>
      </c>
      <c r="AH145" s="84" t="str">
        <f>CONCATENATE("m'(",AD144,")=")</f>
        <v>m'(  )=</v>
      </c>
      <c r="AI145" s="84" t="e">
        <f>(2*(AI142^2)/6*AG145)+(AI144*AD143*WLS)</f>
        <v>#VALUE!</v>
      </c>
      <c r="AJ145" s="84" t="str">
        <f>CONCATENATE("M(",AD143,")=")</f>
        <v>M(  )=</v>
      </c>
      <c r="AK145" s="84" t="str">
        <f>VLOOKUP(AD143,STN_TABLE,4,FALSE)</f>
        <v xml:space="preserve"> </v>
      </c>
      <c r="AL145" t="str">
        <f>CONCATENATE("M(",AD144,")=")</f>
        <v>M(  )=</v>
      </c>
      <c r="AM145" t="e">
        <f>AI145+AK145</f>
        <v>#VALUE!</v>
      </c>
      <c r="AO145" s="82" t="str">
        <f>AA145</f>
        <v>M(  )=</v>
      </c>
      <c r="AP145" s="82" t="e">
        <f>VLOOKUP(AO145,Rise_Results,2,FALSE)</f>
        <v>#N/A</v>
      </c>
      <c r="AQ145" s="82" t="e">
        <f>N145</f>
        <v>#VALUE!</v>
      </c>
      <c r="AR145" s="82" t="e">
        <f>IF(OR(AB144&lt;=0,AB145&lt;=0),1/0,AB145)</f>
        <v>#VALUE!</v>
      </c>
      <c r="AS145" s="82" t="e">
        <f>AM145</f>
        <v>#VALUE!</v>
      </c>
      <c r="AT145" t="e">
        <f>IFERROR(AP145,IFERROR(AQ145,IFERROR(AR145,AS145)))</f>
        <v>#VALUE!</v>
      </c>
      <c r="AU145" s="81"/>
    </row>
    <row r="146" spans="1:47" x14ac:dyDescent="0.25">
      <c r="A146" s="101">
        <f>A141+1</f>
        <v>21</v>
      </c>
      <c r="B146" s="101" t="str">
        <f t="shared" si="69"/>
        <v xml:space="preserve">  </v>
      </c>
      <c r="O146" s="101">
        <f>O141+1</f>
        <v>23</v>
      </c>
      <c r="P146" s="101" t="str">
        <f t="shared" si="65"/>
        <v xml:space="preserve">  </v>
      </c>
      <c r="AU146" s="81"/>
    </row>
    <row r="147" spans="1:47" x14ac:dyDescent="0.25">
      <c r="A147" s="84">
        <f>A146+1</f>
        <v>22</v>
      </c>
      <c r="B147" s="84" t="str">
        <f t="shared" si="69"/>
        <v xml:space="preserve">  </v>
      </c>
      <c r="C147" s="79" t="e">
        <f t="shared" ref="C147" si="75">IF(C148=B149,IF(C149-C148=C148-B148,B148,IF(C149-C148=C148-B147,B147,"#NA")),IF(C148=B148,IF(C149-C148=C148-B147,B147,IF(C149-C148=C148-B146,B146,"#NA")),"#NA"))</f>
        <v>#VALUE!</v>
      </c>
      <c r="D147" s="68" t="e">
        <f>VLOOKUP(C147,STN_TABLE,2,FALSE)</f>
        <v>#VALUE!</v>
      </c>
      <c r="E147" s="102">
        <v>1</v>
      </c>
      <c r="F147" s="68" t="e">
        <f>D147*E147</f>
        <v>#VALUE!</v>
      </c>
      <c r="G147" s="69" t="e">
        <f>C147</f>
        <v>#VALUE!</v>
      </c>
      <c r="H147" s="69" t="e">
        <f>F147*G147</f>
        <v>#VALUE!</v>
      </c>
      <c r="I147" s="6" t="s">
        <v>93</v>
      </c>
      <c r="J147" s="70" t="e">
        <f>IF(OR(D147=0,D148=0,D149=0),"#NA",IF(AND(C149-C148=C148-C147,C148&lt;&gt;C149,C147&lt;&gt;C148,C147&lt;&gt;C149,D149&lt;&gt;0,OR(D147&lt;&gt;0,D148&lt;&gt;0)),WLS*(C149-C148),"#NA"))</f>
        <v>#VALUE!</v>
      </c>
      <c r="O147" s="99">
        <f>O146+1</f>
        <v>24</v>
      </c>
      <c r="P147" s="99" t="str">
        <f t="shared" si="65"/>
        <v xml:space="preserve">  </v>
      </c>
      <c r="Q147" s="68" t="e">
        <f>IF(OR(P149-P148=P148-P147,P150-P148=P148-P147),P147,IF(OR(P149-P148=P148-P146,P150-P148=P148-P146),P146,"-"))</f>
        <v>#N/A</v>
      </c>
      <c r="R147" s="69" t="e">
        <f>VLOOKUP(Q147,STN_TABLE,2,FALSE)</f>
        <v>#N/A</v>
      </c>
      <c r="S147" s="69">
        <v>5</v>
      </c>
      <c r="T147" s="68" t="e">
        <f>R147*S147</f>
        <v>#N/A</v>
      </c>
      <c r="U147" s="79">
        <v>3</v>
      </c>
      <c r="V147" s="68" t="e">
        <f>R147*U147</f>
        <v>#N/A</v>
      </c>
      <c r="W147" s="6" t="s">
        <v>93</v>
      </c>
      <c r="X147" s="70" t="e">
        <f>IF(AND(Q149-Q148=Q148-Q147,NOT(AND(Q147=0,Q148=0)),NOT(AND(Q148=0,Q149=0))),WLS*(Q149-Q148),"#NA")</f>
        <v>#N/A</v>
      </c>
      <c r="AD147" s="93"/>
      <c r="AH147" s="6" t="s">
        <v>93</v>
      </c>
      <c r="AI147" s="70" t="e">
        <f>WLS*(AD149-AD148)</f>
        <v>#VALUE!</v>
      </c>
      <c r="AU147" s="81"/>
    </row>
    <row r="148" spans="1:47" x14ac:dyDescent="0.25">
      <c r="A148" s="84">
        <f>A147+1</f>
        <v>23</v>
      </c>
      <c r="B148" s="84" t="str">
        <f t="shared" si="69"/>
        <v xml:space="preserve">  </v>
      </c>
      <c r="C148" s="80" t="e">
        <f t="shared" ref="C148" si="76">IF(OR(B150-B149=B149-B148,B150-B149=B149-B147,B150-B149=B149-B146),B149,IF(OR(B150-B148=B148-B147,B150-B148=B148-B146),B148,IF(B150-B147=B147-B146,B147,"#NA")))</f>
        <v>#VALUE!</v>
      </c>
      <c r="D148" s="76" t="e">
        <f>VLOOKUP(C148,STN_TABLE,2,FALSE)</f>
        <v>#VALUE!</v>
      </c>
      <c r="E148" s="81">
        <v>4</v>
      </c>
      <c r="F148" s="76" t="e">
        <f>D148*E148</f>
        <v>#VALUE!</v>
      </c>
      <c r="G148" s="77" t="e">
        <f>C148</f>
        <v>#VALUE!</v>
      </c>
      <c r="H148" s="77" t="e">
        <f>F148*G148</f>
        <v>#VALUE!</v>
      </c>
      <c r="I148" s="495" t="s">
        <v>97</v>
      </c>
      <c r="J148" s="496"/>
      <c r="K148" s="78" t="s">
        <v>98</v>
      </c>
      <c r="L148" s="78"/>
      <c r="M148" s="7" t="s">
        <v>99</v>
      </c>
      <c r="N148" s="7"/>
      <c r="O148" s="99">
        <f>O147+1</f>
        <v>25</v>
      </c>
      <c r="P148" s="99" t="str">
        <f t="shared" si="65"/>
        <v xml:space="preserve">  </v>
      </c>
      <c r="Q148" s="76" t="str">
        <f>P148</f>
        <v xml:space="preserve">  </v>
      </c>
      <c r="R148" s="77" t="str">
        <f>VLOOKUP(Q148,STN_TABLE,2,FALSE)</f>
        <v xml:space="preserve">  </v>
      </c>
      <c r="S148" s="77">
        <v>8</v>
      </c>
      <c r="T148" s="76" t="e">
        <f>R148*S148</f>
        <v>#VALUE!</v>
      </c>
      <c r="U148" s="80">
        <v>10</v>
      </c>
      <c r="V148" s="76" t="e">
        <f>R148*U148</f>
        <v>#VALUE!</v>
      </c>
      <c r="W148" s="496" t="s">
        <v>97</v>
      </c>
      <c r="X148" s="496"/>
      <c r="Y148" s="496" t="s">
        <v>98</v>
      </c>
      <c r="Z148" s="496"/>
      <c r="AA148" s="494" t="s">
        <v>99</v>
      </c>
      <c r="AB148" s="494"/>
      <c r="AC148" s="99">
        <f>AC143+1</f>
        <v>24</v>
      </c>
      <c r="AD148" s="95" t="str">
        <f>VLOOKUP(AC148,STN_TABLE_2,2,FALSE)</f>
        <v xml:space="preserve">  </v>
      </c>
      <c r="AE148" s="68" t="str">
        <f>VLOOKUP(AD148,STN_TABLE,2,FALSE)</f>
        <v xml:space="preserve">  </v>
      </c>
      <c r="AF148" s="68">
        <v>1</v>
      </c>
      <c r="AG148" s="69" t="e">
        <f>AE148*AF148</f>
        <v>#VALUE!</v>
      </c>
      <c r="AH148" s="496" t="s">
        <v>97</v>
      </c>
      <c r="AI148" s="496"/>
      <c r="AJ148" s="496" t="s">
        <v>98</v>
      </c>
      <c r="AK148" s="496"/>
      <c r="AL148" s="494" t="s">
        <v>99</v>
      </c>
      <c r="AM148" s="494"/>
      <c r="AP148" s="86" t="s">
        <v>112</v>
      </c>
      <c r="AQ148" s="89" t="s">
        <v>113</v>
      </c>
      <c r="AR148" s="89" t="s">
        <v>114</v>
      </c>
      <c r="AS148" s="89" t="s">
        <v>115</v>
      </c>
      <c r="AU148" s="81"/>
    </row>
    <row r="149" spans="1:47" x14ac:dyDescent="0.25">
      <c r="A149" s="84">
        <f>A148+1</f>
        <v>24</v>
      </c>
      <c r="B149" s="84" t="str">
        <f t="shared" si="69"/>
        <v xml:space="preserve">  </v>
      </c>
      <c r="C149" s="88" t="str">
        <f t="shared" ref="C149" si="77">B150</f>
        <v xml:space="preserve">  </v>
      </c>
      <c r="D149" s="82" t="str">
        <f>VLOOKUP(C149,STN_TABLE,2,FALSE)</f>
        <v xml:space="preserve">  </v>
      </c>
      <c r="E149" s="92">
        <v>1</v>
      </c>
      <c r="F149" s="82" t="e">
        <f>D149*E149</f>
        <v>#VALUE!</v>
      </c>
      <c r="G149" s="83" t="str">
        <f>C149</f>
        <v xml:space="preserve">  </v>
      </c>
      <c r="H149" s="83" t="e">
        <f>F149*G149</f>
        <v>#VALUE!</v>
      </c>
      <c r="I149" s="84" t="str">
        <f>CONCATENATE("a'(",C149,")=")</f>
        <v>a'(  )=</v>
      </c>
      <c r="J149" s="84" t="e">
        <f>2*J147/3*F150</f>
        <v>#VALUE!</v>
      </c>
      <c r="K149" s="84" t="e">
        <f>CONCATENATE("A(",C147,")=")</f>
        <v>#VALUE!</v>
      </c>
      <c r="L149" s="84" t="e">
        <f>VLOOKUP(C147,STN_TABLE,3,FALSE)</f>
        <v>#VALUE!</v>
      </c>
      <c r="M149" t="str">
        <f>CONCATENATE("A(",C149,")=")</f>
        <v>A(  )=</v>
      </c>
      <c r="N149" t="e">
        <f>J149+L149</f>
        <v>#VALUE!</v>
      </c>
      <c r="O149" s="99">
        <f>O148+1</f>
        <v>26</v>
      </c>
      <c r="P149" s="99" t="e">
        <f t="shared" si="65"/>
        <v>#N/A</v>
      </c>
      <c r="Q149" s="82" t="e">
        <f>IF(P149-P148=P148-P147,P149,IF(P150-P148=P148-P147,P150,IF(P149-P148=P148-P146,P149,IF(P150-P148=P148-P146,P150,"-"))))</f>
        <v>#N/A</v>
      </c>
      <c r="R149" s="83" t="e">
        <f>VLOOKUP(Q149,STN_TABLE,2,FALSE)</f>
        <v>#N/A</v>
      </c>
      <c r="S149" s="83">
        <v>-1</v>
      </c>
      <c r="T149" s="82" t="e">
        <f>R149*S149</f>
        <v>#N/A</v>
      </c>
      <c r="U149" s="88">
        <v>-1</v>
      </c>
      <c r="V149" s="82" t="e">
        <f>R149*U149</f>
        <v>#N/A</v>
      </c>
      <c r="W149" s="84" t="str">
        <f>CONCATENATE("a'(",Q148,")=")</f>
        <v>a'(  )=</v>
      </c>
      <c r="X149" s="84" t="e">
        <f>2*X147/12*T150</f>
        <v>#N/A</v>
      </c>
      <c r="Y149" s="84" t="e">
        <f>CONCATENATE("A(",Q147,")=")</f>
        <v>#N/A</v>
      </c>
      <c r="Z149" s="84" t="e">
        <f>VLOOKUP(Q147,STN_TABLE,3,FALSE)</f>
        <v>#N/A</v>
      </c>
      <c r="AA149" t="str">
        <f>CONCATENATE("A(",Q148,")=")</f>
        <v>A(  )=</v>
      </c>
      <c r="AB149" t="e">
        <f>X149+Z149</f>
        <v>#N/A</v>
      </c>
      <c r="AC149" s="99">
        <f>AC148+1</f>
        <v>25</v>
      </c>
      <c r="AD149" s="100" t="str">
        <f>VLOOKUP(AC149,STN_TABLE_2,2,FALSE)</f>
        <v xml:space="preserve">  </v>
      </c>
      <c r="AE149" s="82" t="str">
        <f>VLOOKUP(AD149,STN_TABLE,2,FALSE)</f>
        <v xml:space="preserve">  </v>
      </c>
      <c r="AF149" s="82">
        <v>2</v>
      </c>
      <c r="AG149" s="83" t="e">
        <f>AE149*AF149</f>
        <v>#VALUE!</v>
      </c>
      <c r="AH149" s="84" t="str">
        <f>CONCATENATE("a'(",AD149,")=")</f>
        <v>a'(  )=</v>
      </c>
      <c r="AI149" s="84" t="e">
        <f>2*AI147/2*AE150</f>
        <v>#VALUE!</v>
      </c>
      <c r="AJ149" s="84" t="str">
        <f>CONCATENATE("A(",AD148,")=")</f>
        <v>A(  )=</v>
      </c>
      <c r="AK149" s="84" t="str">
        <f>VLOOKUP(AD148,STN_TABLE,3,FALSE)</f>
        <v xml:space="preserve"> </v>
      </c>
      <c r="AL149" t="str">
        <f>CONCATENATE("A(",AD149,")=")</f>
        <v>A(  )=</v>
      </c>
      <c r="AM149" t="e">
        <f>AI149+AK149</f>
        <v>#VALUE!</v>
      </c>
      <c r="AO149" s="68" t="str">
        <f>AA149</f>
        <v>A(  )=</v>
      </c>
      <c r="AP149" s="68" t="e">
        <f>VLOOKUP(AO149,Rise_Results,2,FALSE)</f>
        <v>#N/A</v>
      </c>
      <c r="AQ149" s="76" t="e">
        <f>N149</f>
        <v>#VALUE!</v>
      </c>
      <c r="AR149" s="76" t="e">
        <f>IF(OR(AB149&lt;=0,AB150&lt;=0),1/0,AB149)</f>
        <v>#N/A</v>
      </c>
      <c r="AS149" s="76" t="e">
        <f>AM149</f>
        <v>#VALUE!</v>
      </c>
      <c r="AT149" t="e">
        <f>IFERROR(AP149,IFERROR(AQ149,IFERROR(AR149,AS149)))</f>
        <v>#VALUE!</v>
      </c>
      <c r="AU149" s="81"/>
    </row>
    <row r="150" spans="1:47" x14ac:dyDescent="0.25">
      <c r="A150" s="84">
        <f>A149+1</f>
        <v>25</v>
      </c>
      <c r="B150" s="84" t="str">
        <f t="shared" si="69"/>
        <v xml:space="preserve">  </v>
      </c>
      <c r="F150" s="82" t="e">
        <f>SUM(F147:F149)</f>
        <v>#VALUE!</v>
      </c>
      <c r="H150" s="82" t="e">
        <f>SUM(H147:H149)</f>
        <v>#VALUE!</v>
      </c>
      <c r="I150" s="84" t="str">
        <f>CONCATENATE("m'(",C149,")=")</f>
        <v>m'(  )=</v>
      </c>
      <c r="J150" s="84" t="e">
        <f>2*(J147*(WLS))/3*H150</f>
        <v>#VALUE!</v>
      </c>
      <c r="K150" s="84" t="e">
        <f>CONCATENATE("M(",C147,")=")</f>
        <v>#VALUE!</v>
      </c>
      <c r="L150" s="84" t="e">
        <f>VLOOKUP(C147,STN_TABLE,4,FALSE)</f>
        <v>#VALUE!</v>
      </c>
      <c r="M150" t="str">
        <f>CONCATENATE("M(",C149,")=")</f>
        <v>M(  )=</v>
      </c>
      <c r="N150" t="e">
        <f>J150+L150</f>
        <v>#VALUE!</v>
      </c>
      <c r="O150" s="99">
        <f>O149+1</f>
        <v>27</v>
      </c>
      <c r="P150" s="99" t="e">
        <f t="shared" si="65"/>
        <v>#N/A</v>
      </c>
      <c r="T150" s="89" t="e">
        <f>SUM(T147:T149)</f>
        <v>#N/A</v>
      </c>
      <c r="V150" s="82" t="e">
        <f>SUM(V147:V149)</f>
        <v>#N/A</v>
      </c>
      <c r="W150" s="84" t="str">
        <f>CONCATENATE("m'(",Q148,")=")</f>
        <v>m'(  )=</v>
      </c>
      <c r="X150" s="84" t="e">
        <f>(2*(X147^2)/24*V150)+(X149*Q147*WLS)</f>
        <v>#N/A</v>
      </c>
      <c r="Y150" s="84" t="e">
        <f>CONCATENATE("M(",Q147,")=")</f>
        <v>#N/A</v>
      </c>
      <c r="Z150" s="84" t="e">
        <f>VLOOKUP(Q147,STN_TABLE,4,FALSE)</f>
        <v>#N/A</v>
      </c>
      <c r="AA150" t="str">
        <f>CONCATENATE("M(",Q148,")=")</f>
        <v>M(  )=</v>
      </c>
      <c r="AB150" t="e">
        <f>X150+Z150</f>
        <v>#N/A</v>
      </c>
      <c r="AE150" s="89">
        <f>SUM(AE148:AE149)</f>
        <v>0</v>
      </c>
      <c r="AG150" s="89" t="e">
        <f>SUM(AG148:AG149)</f>
        <v>#VALUE!</v>
      </c>
      <c r="AH150" s="84" t="str">
        <f>CONCATENATE("m'(",AD149,")=")</f>
        <v>m'(  )=</v>
      </c>
      <c r="AI150" s="84" t="e">
        <f>(2*(AI147^2)/6*AG150)+(AI149*AD148*WLS)</f>
        <v>#VALUE!</v>
      </c>
      <c r="AJ150" s="84" t="str">
        <f>CONCATENATE("M(",AD148,")=")</f>
        <v>M(  )=</v>
      </c>
      <c r="AK150" s="84" t="str">
        <f>VLOOKUP(AD148,STN_TABLE,4,FALSE)</f>
        <v xml:space="preserve"> </v>
      </c>
      <c r="AL150" t="str">
        <f>CONCATENATE("M(",AD149,")=")</f>
        <v>M(  )=</v>
      </c>
      <c r="AM150" t="e">
        <f>AI150+AK150</f>
        <v>#VALUE!</v>
      </c>
      <c r="AO150" s="82" t="str">
        <f>AA150</f>
        <v>M(  )=</v>
      </c>
      <c r="AP150" s="82" t="e">
        <f>VLOOKUP(AO150,Rise_Results,2,FALSE)</f>
        <v>#N/A</v>
      </c>
      <c r="AQ150" s="82" t="e">
        <f>N150</f>
        <v>#VALUE!</v>
      </c>
      <c r="AR150" s="82" t="e">
        <f>IF(OR(AB149&lt;=0,AB150&lt;=0),1/0,AB150)</f>
        <v>#N/A</v>
      </c>
      <c r="AS150" s="82" t="e">
        <f>AM150</f>
        <v>#VALUE!</v>
      </c>
      <c r="AT150" t="e">
        <f>IFERROR(AP150,IFERROR(AQ150,IFERROR(AR150,AS150)))</f>
        <v>#VALUE!</v>
      </c>
      <c r="AU150" s="81"/>
    </row>
    <row r="151" spans="1:47" x14ac:dyDescent="0.25">
      <c r="A151" s="101"/>
      <c r="B151" s="101"/>
      <c r="AU151" s="81"/>
    </row>
    <row r="152" spans="1:47" x14ac:dyDescent="0.25">
      <c r="A152" s="84"/>
      <c r="B152" s="84"/>
      <c r="E152" s="81"/>
      <c r="F152" s="81"/>
      <c r="G152" s="81"/>
      <c r="H152" s="81"/>
      <c r="I152" s="103"/>
      <c r="J152" s="70"/>
      <c r="AU152" s="81"/>
    </row>
    <row r="153" spans="1:47" x14ac:dyDescent="0.25">
      <c r="A153" s="84"/>
      <c r="B153" s="84"/>
      <c r="E153" s="81"/>
      <c r="F153" s="81"/>
      <c r="G153" s="81"/>
      <c r="H153" s="81"/>
      <c r="I153" s="104"/>
      <c r="J153" s="78"/>
      <c r="K153" s="78"/>
      <c r="L153" s="78"/>
      <c r="M153" s="7"/>
      <c r="N153" s="7"/>
      <c r="AO153" s="81"/>
      <c r="AP153" s="81"/>
      <c r="AQ153" s="81"/>
      <c r="AR153" s="81"/>
      <c r="AS153" s="81"/>
      <c r="AT153" s="81"/>
      <c r="AU153" s="81"/>
    </row>
    <row r="154" spans="1:47" x14ac:dyDescent="0.25">
      <c r="A154" s="84"/>
      <c r="B154" s="84"/>
      <c r="E154" s="81"/>
      <c r="F154" s="81"/>
      <c r="G154" s="81"/>
      <c r="H154" s="81"/>
      <c r="I154" s="105"/>
      <c r="J154" s="84"/>
      <c r="K154" s="84"/>
      <c r="L154" s="84"/>
      <c r="AO154" s="81"/>
      <c r="AP154" s="81"/>
      <c r="AQ154" s="81"/>
      <c r="AR154" s="81"/>
      <c r="AS154" s="81"/>
      <c r="AT154" s="81"/>
      <c r="AU154" s="81"/>
    </row>
    <row r="155" spans="1:47" x14ac:dyDescent="0.25">
      <c r="A155" s="84"/>
      <c r="B155" s="84"/>
      <c r="E155" s="81"/>
      <c r="F155" s="81"/>
      <c r="G155" s="81"/>
      <c r="H155" s="81"/>
      <c r="I155" s="105"/>
      <c r="J155" s="84"/>
      <c r="K155" s="84"/>
      <c r="L155" s="84"/>
      <c r="AO155" s="81"/>
      <c r="AP155" s="81"/>
      <c r="AQ155" s="81"/>
      <c r="AR155" s="81"/>
      <c r="AS155" s="81"/>
      <c r="AT155" s="81"/>
      <c r="AU155" s="81"/>
    </row>
    <row r="156" spans="1:47" x14ac:dyDescent="0.25">
      <c r="A156" s="101"/>
      <c r="B156" s="101"/>
      <c r="E156" s="81"/>
      <c r="F156" s="81"/>
      <c r="G156" s="81"/>
      <c r="H156" s="81"/>
      <c r="I156" s="81"/>
      <c r="AO156" s="81"/>
      <c r="AP156" s="81"/>
      <c r="AQ156" s="81"/>
      <c r="AR156" s="81"/>
      <c r="AS156" s="81"/>
      <c r="AT156" s="81"/>
      <c r="AU156" s="81"/>
    </row>
    <row r="157" spans="1:47" x14ac:dyDescent="0.25">
      <c r="A157" s="84"/>
      <c r="B157" s="84"/>
      <c r="E157" s="81"/>
      <c r="F157" s="81"/>
      <c r="G157" s="81"/>
      <c r="H157" s="81"/>
      <c r="I157" s="103"/>
      <c r="J157" s="70"/>
      <c r="AO157" s="81"/>
      <c r="AP157" s="81"/>
      <c r="AQ157" s="81"/>
      <c r="AR157" s="81"/>
      <c r="AS157" s="81"/>
      <c r="AT157" s="81"/>
      <c r="AU157" s="81"/>
    </row>
    <row r="158" spans="1:47" x14ac:dyDescent="0.25">
      <c r="A158" s="84"/>
      <c r="B158" s="84"/>
      <c r="E158" s="81"/>
      <c r="F158" s="81"/>
      <c r="G158" s="81"/>
      <c r="H158" s="81"/>
      <c r="I158" s="104"/>
      <c r="J158" s="78"/>
      <c r="K158" s="78"/>
      <c r="L158" s="78"/>
      <c r="M158" s="7"/>
      <c r="N158" s="7"/>
      <c r="AO158" s="81"/>
      <c r="AP158" s="81"/>
      <c r="AQ158" s="81"/>
      <c r="AR158" s="81"/>
      <c r="AS158" s="81"/>
      <c r="AT158" s="81"/>
      <c r="AU158" s="81"/>
    </row>
    <row r="159" spans="1:47" x14ac:dyDescent="0.25">
      <c r="A159" s="84"/>
      <c r="B159" s="84"/>
      <c r="E159" s="81"/>
      <c r="F159" s="81"/>
      <c r="G159" s="81"/>
      <c r="H159" s="81"/>
      <c r="I159" s="105"/>
      <c r="J159" s="84"/>
      <c r="K159" s="84"/>
      <c r="L159" s="84"/>
      <c r="AO159" s="81"/>
      <c r="AP159" s="81"/>
      <c r="AQ159" s="81"/>
      <c r="AR159" s="81"/>
      <c r="AS159" s="81"/>
      <c r="AT159" s="81"/>
      <c r="AU159" s="81"/>
    </row>
    <row r="160" spans="1:47" x14ac:dyDescent="0.25">
      <c r="A160" s="84"/>
      <c r="B160" s="84"/>
      <c r="E160" s="81"/>
      <c r="F160" s="81"/>
      <c r="G160" s="81"/>
      <c r="H160" s="81"/>
      <c r="I160" s="105"/>
      <c r="J160" s="84"/>
      <c r="K160" s="84"/>
      <c r="L160" s="84"/>
      <c r="AO160" s="81"/>
      <c r="AP160" s="81"/>
      <c r="AQ160" s="81"/>
      <c r="AR160" s="81"/>
      <c r="AS160" s="81"/>
      <c r="AT160" s="81"/>
      <c r="AU160" s="81"/>
    </row>
    <row r="161" spans="1:47" x14ac:dyDescent="0.25">
      <c r="A161" s="101"/>
      <c r="B161" s="101"/>
      <c r="E161" s="81"/>
      <c r="F161" s="81"/>
      <c r="G161" s="81"/>
      <c r="H161" s="81"/>
      <c r="I161" s="81"/>
      <c r="AO161" s="81"/>
      <c r="AP161" s="81"/>
      <c r="AQ161" s="81"/>
      <c r="AR161" s="81"/>
      <c r="AS161" s="81"/>
      <c r="AT161" s="81"/>
      <c r="AU161" s="81"/>
    </row>
    <row r="162" spans="1:47" x14ac:dyDescent="0.25">
      <c r="A162" s="84"/>
      <c r="B162" s="84"/>
      <c r="E162" s="81"/>
      <c r="F162" s="81"/>
      <c r="G162" s="81"/>
      <c r="H162" s="81"/>
      <c r="I162" s="103"/>
      <c r="J162" s="70"/>
      <c r="AO162" s="81"/>
      <c r="AP162" s="81"/>
      <c r="AQ162" s="81"/>
      <c r="AR162" s="81"/>
      <c r="AS162" s="81"/>
      <c r="AT162" s="81"/>
      <c r="AU162" s="81"/>
    </row>
    <row r="163" spans="1:47" x14ac:dyDescent="0.25">
      <c r="A163" s="84"/>
      <c r="B163" s="84"/>
      <c r="E163" s="81"/>
      <c r="F163" s="81"/>
      <c r="G163" s="81"/>
      <c r="H163" s="81"/>
      <c r="I163" s="104"/>
      <c r="J163" s="78"/>
      <c r="K163" s="78"/>
      <c r="L163" s="78"/>
      <c r="M163" s="7"/>
      <c r="N163" s="7"/>
      <c r="AO163" s="81"/>
      <c r="AP163" s="81"/>
      <c r="AQ163" s="81"/>
      <c r="AR163" s="81"/>
      <c r="AS163" s="81"/>
      <c r="AT163" s="81"/>
      <c r="AU163" s="81"/>
    </row>
    <row r="164" spans="1:47" x14ac:dyDescent="0.25">
      <c r="A164" s="84"/>
      <c r="B164" s="84"/>
      <c r="E164" s="81"/>
      <c r="F164" s="81"/>
      <c r="G164" s="81"/>
      <c r="H164" s="81"/>
      <c r="I164" s="105"/>
      <c r="J164" s="84"/>
      <c r="K164" s="84"/>
      <c r="L164" s="84"/>
    </row>
    <row r="165" spans="1:47" x14ac:dyDescent="0.25">
      <c r="A165" s="84"/>
      <c r="B165" s="84"/>
      <c r="E165" s="81"/>
      <c r="F165" s="81"/>
      <c r="G165" s="81"/>
      <c r="H165" s="81"/>
      <c r="I165" s="105"/>
      <c r="J165" s="84"/>
      <c r="K165" s="84"/>
      <c r="L165" s="84"/>
    </row>
    <row r="166" spans="1:47" x14ac:dyDescent="0.25">
      <c r="A166" s="101"/>
      <c r="B166" s="101"/>
      <c r="E166" s="81"/>
      <c r="F166" s="81"/>
      <c r="G166" s="81"/>
      <c r="H166" s="81"/>
      <c r="I166" s="81"/>
    </row>
    <row r="167" spans="1:47" x14ac:dyDescent="0.25">
      <c r="A167" s="84"/>
      <c r="B167" s="84"/>
      <c r="E167" s="81"/>
      <c r="F167" s="81"/>
      <c r="G167" s="81"/>
      <c r="H167" s="81"/>
      <c r="I167" s="103"/>
      <c r="J167" s="70"/>
    </row>
    <row r="168" spans="1:47" x14ac:dyDescent="0.25">
      <c r="A168" s="84"/>
      <c r="B168" s="84"/>
      <c r="E168" s="81"/>
      <c r="F168" s="81"/>
      <c r="G168" s="81"/>
      <c r="H168" s="81"/>
      <c r="I168" s="104"/>
      <c r="J168" s="78"/>
      <c r="K168" s="78"/>
      <c r="L168" s="78"/>
      <c r="M168" s="7"/>
      <c r="N168" s="7"/>
    </row>
    <row r="169" spans="1:47" x14ac:dyDescent="0.25">
      <c r="A169" s="84"/>
      <c r="B169" s="84"/>
      <c r="E169" s="81"/>
      <c r="F169" s="81"/>
      <c r="G169" s="81"/>
      <c r="H169" s="81"/>
      <c r="I169" s="105"/>
      <c r="J169" s="84"/>
      <c r="K169" s="84"/>
      <c r="L169" s="84"/>
    </row>
    <row r="170" spans="1:47" x14ac:dyDescent="0.25">
      <c r="A170" s="84"/>
      <c r="B170" s="84"/>
      <c r="E170" s="81"/>
      <c r="F170" s="81"/>
      <c r="G170" s="81"/>
      <c r="H170" s="81"/>
      <c r="I170" s="105"/>
      <c r="J170" s="84"/>
      <c r="K170" s="84"/>
      <c r="L170" s="84"/>
    </row>
    <row r="171" spans="1:47" x14ac:dyDescent="0.25">
      <c r="E171" s="81"/>
      <c r="F171" s="81"/>
      <c r="G171" s="81"/>
      <c r="H171" s="81"/>
      <c r="I171" s="81"/>
    </row>
  </sheetData>
  <sheetProtection selectLockedCells="1" selectUnlockedCells="1"/>
  <mergeCells count="167">
    <mergeCell ref="A1:B1"/>
    <mergeCell ref="E1:F1"/>
    <mergeCell ref="L1:M1"/>
    <mergeCell ref="W33:X33"/>
    <mergeCell ref="Y33:Z33"/>
    <mergeCell ref="AA33:AB33"/>
    <mergeCell ref="AH33:AI33"/>
    <mergeCell ref="AJ33:AK33"/>
    <mergeCell ref="AL33:AM33"/>
    <mergeCell ref="I38:J38"/>
    <mergeCell ref="W38:X38"/>
    <mergeCell ref="Y38:Z38"/>
    <mergeCell ref="AA38:AB38"/>
    <mergeCell ref="AH38:AI38"/>
    <mergeCell ref="AJ38:AK38"/>
    <mergeCell ref="AL38:AM38"/>
    <mergeCell ref="AL43:AM43"/>
    <mergeCell ref="I48:J48"/>
    <mergeCell ref="W48:X48"/>
    <mergeCell ref="Y48:Z48"/>
    <mergeCell ref="AA48:AB48"/>
    <mergeCell ref="AH48:AI48"/>
    <mergeCell ref="AJ48:AK48"/>
    <mergeCell ref="AL48:AM48"/>
    <mergeCell ref="I43:J43"/>
    <mergeCell ref="W43:X43"/>
    <mergeCell ref="Y43:Z43"/>
    <mergeCell ref="AA43:AB43"/>
    <mergeCell ref="AH43:AI43"/>
    <mergeCell ref="AJ43:AK43"/>
    <mergeCell ref="AL53:AM53"/>
    <mergeCell ref="I58:J58"/>
    <mergeCell ref="AH58:AI58"/>
    <mergeCell ref="AJ58:AK58"/>
    <mergeCell ref="AL58:AM58"/>
    <mergeCell ref="I63:J63"/>
    <mergeCell ref="W63:X63"/>
    <mergeCell ref="Y63:Z63"/>
    <mergeCell ref="AA63:AB63"/>
    <mergeCell ref="AH63:AI63"/>
    <mergeCell ref="I53:J53"/>
    <mergeCell ref="W53:X53"/>
    <mergeCell ref="Y53:Z53"/>
    <mergeCell ref="AA53:AB53"/>
    <mergeCell ref="AH53:AI53"/>
    <mergeCell ref="AJ53:AK53"/>
    <mergeCell ref="AJ63:AK63"/>
    <mergeCell ref="AL63:AM63"/>
    <mergeCell ref="I68:J68"/>
    <mergeCell ref="W68:X68"/>
    <mergeCell ref="Y68:Z68"/>
    <mergeCell ref="AA68:AB68"/>
    <mergeCell ref="AH68:AI68"/>
    <mergeCell ref="AJ68:AK68"/>
    <mergeCell ref="AL68:AM68"/>
    <mergeCell ref="AL73:AM73"/>
    <mergeCell ref="I78:J78"/>
    <mergeCell ref="W78:X78"/>
    <mergeCell ref="Y78:Z78"/>
    <mergeCell ref="AA78:AB78"/>
    <mergeCell ref="AH78:AI78"/>
    <mergeCell ref="AJ78:AK78"/>
    <mergeCell ref="AL78:AM78"/>
    <mergeCell ref="I73:J73"/>
    <mergeCell ref="W73:X73"/>
    <mergeCell ref="Y73:Z73"/>
    <mergeCell ref="AA73:AB73"/>
    <mergeCell ref="AH73:AI73"/>
    <mergeCell ref="AJ73:AK73"/>
    <mergeCell ref="AL83:AM83"/>
    <mergeCell ref="I88:J88"/>
    <mergeCell ref="W88:X88"/>
    <mergeCell ref="Y88:Z88"/>
    <mergeCell ref="AA88:AB88"/>
    <mergeCell ref="AH88:AI88"/>
    <mergeCell ref="AJ88:AK88"/>
    <mergeCell ref="AL88:AM88"/>
    <mergeCell ref="I83:J83"/>
    <mergeCell ref="W83:X83"/>
    <mergeCell ref="Y83:Z83"/>
    <mergeCell ref="AA83:AB83"/>
    <mergeCell ref="AH83:AI83"/>
    <mergeCell ref="AJ83:AK83"/>
    <mergeCell ref="AL93:AM93"/>
    <mergeCell ref="I98:J98"/>
    <mergeCell ref="W98:X98"/>
    <mergeCell ref="Y98:Z98"/>
    <mergeCell ref="AA98:AB98"/>
    <mergeCell ref="AH98:AI98"/>
    <mergeCell ref="AJ98:AK98"/>
    <mergeCell ref="AL98:AM98"/>
    <mergeCell ref="I93:J93"/>
    <mergeCell ref="W93:X93"/>
    <mergeCell ref="Y93:Z93"/>
    <mergeCell ref="AA93:AB93"/>
    <mergeCell ref="AH93:AI93"/>
    <mergeCell ref="AJ93:AK93"/>
    <mergeCell ref="AL103:AM103"/>
    <mergeCell ref="I108:J108"/>
    <mergeCell ref="W108:X108"/>
    <mergeCell ref="Y108:Z108"/>
    <mergeCell ref="AA108:AB108"/>
    <mergeCell ref="AH108:AI108"/>
    <mergeCell ref="AJ108:AK108"/>
    <mergeCell ref="AL108:AM108"/>
    <mergeCell ref="I103:J103"/>
    <mergeCell ref="W103:X103"/>
    <mergeCell ref="Y103:Z103"/>
    <mergeCell ref="AA103:AB103"/>
    <mergeCell ref="AH103:AI103"/>
    <mergeCell ref="AJ103:AK103"/>
    <mergeCell ref="AL113:AM113"/>
    <mergeCell ref="I118:J118"/>
    <mergeCell ref="W118:X118"/>
    <mergeCell ref="Y118:Z118"/>
    <mergeCell ref="AA118:AB118"/>
    <mergeCell ref="AH118:AI118"/>
    <mergeCell ref="AJ118:AK118"/>
    <mergeCell ref="AL118:AM118"/>
    <mergeCell ref="I113:J113"/>
    <mergeCell ref="W113:X113"/>
    <mergeCell ref="Y113:Z113"/>
    <mergeCell ref="AA113:AB113"/>
    <mergeCell ref="AH113:AI113"/>
    <mergeCell ref="AJ113:AK113"/>
    <mergeCell ref="AL123:AM123"/>
    <mergeCell ref="I128:J128"/>
    <mergeCell ref="W128:X128"/>
    <mergeCell ref="Y128:Z128"/>
    <mergeCell ref="AA128:AB128"/>
    <mergeCell ref="AH128:AI128"/>
    <mergeCell ref="AJ128:AK128"/>
    <mergeCell ref="AL128:AM128"/>
    <mergeCell ref="I123:J123"/>
    <mergeCell ref="W123:X123"/>
    <mergeCell ref="Y123:Z123"/>
    <mergeCell ref="AA123:AB123"/>
    <mergeCell ref="AH123:AI123"/>
    <mergeCell ref="AJ123:AK123"/>
    <mergeCell ref="AL133:AM133"/>
    <mergeCell ref="I138:J138"/>
    <mergeCell ref="W138:X138"/>
    <mergeCell ref="Y138:Z138"/>
    <mergeCell ref="AA138:AB138"/>
    <mergeCell ref="AH138:AI138"/>
    <mergeCell ref="AJ138:AK138"/>
    <mergeCell ref="AL138:AM138"/>
    <mergeCell ref="I133:J133"/>
    <mergeCell ref="W133:X133"/>
    <mergeCell ref="Y133:Z133"/>
    <mergeCell ref="AA133:AB133"/>
    <mergeCell ref="AH133:AI133"/>
    <mergeCell ref="AJ133:AK133"/>
    <mergeCell ref="AL143:AM143"/>
    <mergeCell ref="I148:J148"/>
    <mergeCell ref="W148:X148"/>
    <mergeCell ref="Y148:Z148"/>
    <mergeCell ref="AA148:AB148"/>
    <mergeCell ref="AH148:AI148"/>
    <mergeCell ref="AJ148:AK148"/>
    <mergeCell ref="AL148:AM148"/>
    <mergeCell ref="I143:J143"/>
    <mergeCell ref="W143:X143"/>
    <mergeCell ref="Y143:Z143"/>
    <mergeCell ref="AA143:AB143"/>
    <mergeCell ref="AH143:AI143"/>
    <mergeCell ref="AJ143:AK143"/>
  </mergeCells>
  <pageMargins left="0.7" right="0.7" top="0.75" bottom="0.75" header="0.3" footer="0.3"/>
  <pageSetup paperSize="9"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U171"/>
  <sheetViews>
    <sheetView topLeftCell="N1" workbookViewId="0">
      <pane ySplit="1" topLeftCell="A8" activePane="bottomLeft" state="frozen"/>
      <selection activeCell="AG8" sqref="AG8:AG10"/>
      <selection pane="bottomLeft" activeCell="AG8" sqref="AG8:AG10"/>
    </sheetView>
  </sheetViews>
  <sheetFormatPr defaultRowHeight="15" x14ac:dyDescent="0.25"/>
  <sheetData>
    <row r="1" spans="1:46" x14ac:dyDescent="0.25">
      <c r="A1" s="494" t="s">
        <v>90</v>
      </c>
      <c r="B1" s="494"/>
      <c r="C1">
        <f>HLOOKUP(Stn_WL,OFFSET_A,Count_STN+1,FALSE)</f>
        <v>17</v>
      </c>
      <c r="E1" s="494" t="s">
        <v>91</v>
      </c>
      <c r="F1" s="494"/>
      <c r="G1" t="str">
        <f>VLOOKUP(Station_No,RISE_CALC,2,FALSE)</f>
        <v>-</v>
      </c>
      <c r="L1" s="494" t="s">
        <v>92</v>
      </c>
      <c r="M1" s="494"/>
      <c r="N1">
        <v>20</v>
      </c>
    </row>
    <row r="2" spans="1:46" x14ac:dyDescent="0.25">
      <c r="Q2" s="66" t="str">
        <f t="shared" ref="Q2:R6" si="0">G4</f>
        <v>Rise</v>
      </c>
      <c r="R2" s="67" t="e">
        <f t="shared" si="0"/>
        <v>#VALUE!</v>
      </c>
      <c r="S2" s="68" t="e">
        <f>IF(OR(R5-R4=R4-R3,R6-R4=R4-R3),R3,IF(OR(R5-R4=R4-R2,R6-R4=R4-R2),R2,"-"))</f>
        <v>#VALUE!</v>
      </c>
      <c r="T2" s="69" t="e">
        <f>IFERROR(VLOOKUP(S2,STN_TABLE,2,FALSE),IF(R2=RisePerWLS,0,"-"))</f>
        <v>#VALUE!</v>
      </c>
      <c r="U2" s="69">
        <v>5</v>
      </c>
      <c r="V2" s="69" t="e">
        <f>T2*U2</f>
        <v>#VALUE!</v>
      </c>
      <c r="W2" s="69">
        <v>3</v>
      </c>
      <c r="X2" s="69" t="e">
        <f>T2*W2</f>
        <v>#VALUE!</v>
      </c>
      <c r="Y2" s="6" t="s">
        <v>93</v>
      </c>
      <c r="Z2" s="70" t="e">
        <f>IF(AND(S4-S3=S3-S2,NOT(AND(S2=0,S3=0)),NOT(AND(S3=0,S4=0))),WLS*(S4-S3),"#NA")</f>
        <v>#VALUE!</v>
      </c>
      <c r="AE2" s="71" t="s">
        <v>94</v>
      </c>
    </row>
    <row r="3" spans="1:46" x14ac:dyDescent="0.25">
      <c r="B3" s="72" t="s">
        <v>0</v>
      </c>
      <c r="C3" s="73" t="s">
        <v>95</v>
      </c>
      <c r="D3" s="73" t="s">
        <v>18</v>
      </c>
      <c r="E3" s="74" t="s">
        <v>20</v>
      </c>
      <c r="H3" s="75" t="s">
        <v>96</v>
      </c>
      <c r="K3" t="str">
        <f>IF(Rise=0,"(Not considered)","(Considered)")</f>
        <v>(Considered)</v>
      </c>
      <c r="Q3" s="66" t="str">
        <f t="shared" si="0"/>
        <v>1st_UWL</v>
      </c>
      <c r="R3" s="67" t="str">
        <f t="shared" si="0"/>
        <v>#NA</v>
      </c>
      <c r="S3" s="76" t="str">
        <f>R4</f>
        <v>#NA</v>
      </c>
      <c r="T3" s="77" t="e">
        <f>VLOOKUP(S3,STN_TABLE,2,FALSE)</f>
        <v>#N/A</v>
      </c>
      <c r="U3" s="77">
        <v>8</v>
      </c>
      <c r="V3" s="77" t="e">
        <f>T3*U3</f>
        <v>#N/A</v>
      </c>
      <c r="W3" s="77">
        <v>10</v>
      </c>
      <c r="X3" s="77" t="e">
        <f>T3*W3</f>
        <v>#N/A</v>
      </c>
      <c r="Y3" s="78" t="s">
        <v>97</v>
      </c>
      <c r="Z3" s="78"/>
      <c r="AA3" s="78" t="s">
        <v>98</v>
      </c>
      <c r="AB3" s="78"/>
      <c r="AC3" s="7" t="s">
        <v>99</v>
      </c>
      <c r="AD3" s="7"/>
      <c r="AE3" s="66" t="str">
        <f t="shared" ref="AE3:AF7" si="1">G4</f>
        <v>Rise</v>
      </c>
      <c r="AF3" s="67" t="e">
        <f t="shared" si="1"/>
        <v>#VALUE!</v>
      </c>
      <c r="AG3" s="79" t="e">
        <f>IF(AF7-AF6=AF6-AF5,AF5,IF(OR(AF7-AF6=AF6-AF4,AF7-AF5=AF5-AF4),AF4,IF(OR(AF7-AF6=AF6-AF3,AF7-AF5=AF5-AF3,AF7-AF4=AF4-AF3),AF3,"#NA")))</f>
        <v>#VALUE!</v>
      </c>
      <c r="AH3" s="69" t="e">
        <f>IFERROR(VLOOKUP(AG3,STN_TABLE,2,FALSE),IF(AF3=RisePerWLS,0,"-"))</f>
        <v>#VALUE!</v>
      </c>
      <c r="AI3" s="69">
        <v>1</v>
      </c>
      <c r="AJ3" s="69" t="e">
        <f>AH3*AI3</f>
        <v>#VALUE!</v>
      </c>
      <c r="AK3" s="69" t="e">
        <f>AG3</f>
        <v>#VALUE!</v>
      </c>
      <c r="AL3" s="69" t="e">
        <f>AJ3*AK3</f>
        <v>#VALUE!</v>
      </c>
      <c r="AM3" s="6" t="s">
        <v>93</v>
      </c>
      <c r="AN3" s="70" t="e">
        <f>IF(AND(AH3=0,AH4=0,AH5=0),WLS*(AG5-AG4),IF(AND(AG5-AG4=AG4-AG3,AG4&lt;&gt;AG5,AG3&lt;&gt;AG4,AG3&lt;&gt;AG5,AH5&lt;&gt;0,OR(AH3&lt;&gt;0,AH4&lt;&gt;0)),WLS*(AG5-AG4),"#NA"))</f>
        <v>#VALUE!</v>
      </c>
    </row>
    <row r="4" spans="1:46" x14ac:dyDescent="0.25">
      <c r="A4">
        <v>1</v>
      </c>
      <c r="B4" s="80">
        <f t="shared" ref="B4:B28" si="2">VLOOKUP(Stn_WL,OFFSET_A,A4+1,FALSE)</f>
        <v>0</v>
      </c>
      <c r="C4" s="81">
        <f t="shared" ref="C4:C28" si="3">VLOOKUP(Station_No,OFFSET_A,A4+1,FALSE)</f>
        <v>5.6</v>
      </c>
      <c r="D4" s="81">
        <v>0</v>
      </c>
      <c r="E4" s="77">
        <v>0</v>
      </c>
      <c r="G4" t="s">
        <v>100</v>
      </c>
      <c r="H4" t="e">
        <f>Rise/WLS</f>
        <v>#VALUE!</v>
      </c>
      <c r="K4" t="str">
        <f>CONCATENATE("A(",H5,")=")</f>
        <v>A(#NA)=</v>
      </c>
      <c r="L4" t="e">
        <f>IFERROR(N18,N22)</f>
        <v>#VALUE!</v>
      </c>
      <c r="Q4" s="66" t="str">
        <f t="shared" si="0"/>
        <v>2nd_UWL</v>
      </c>
      <c r="R4" s="67" t="str">
        <f t="shared" si="0"/>
        <v>#NA</v>
      </c>
      <c r="S4" s="82" t="e">
        <f>IF((S2-S3)=S3-R5,R5,IF(S2-S3=S3-R6,R6,"-"))</f>
        <v>#VALUE!</v>
      </c>
      <c r="T4" s="83" t="e">
        <f>VLOOKUP(S4,STN_TABLE,2,FALSE)</f>
        <v>#VALUE!</v>
      </c>
      <c r="U4" s="83">
        <v>-1</v>
      </c>
      <c r="V4" s="83" t="e">
        <f>T4*U4</f>
        <v>#VALUE!</v>
      </c>
      <c r="W4" s="83">
        <v>-1</v>
      </c>
      <c r="X4" s="83" t="e">
        <f>T4*W4</f>
        <v>#VALUE!</v>
      </c>
      <c r="Y4" s="84" t="str">
        <f>CONCATENATE("a'(",S3,")=")</f>
        <v>a'(#NA)=</v>
      </c>
      <c r="Z4" s="85" t="e">
        <f>2*Z2/12*V5</f>
        <v>#VALUE!</v>
      </c>
      <c r="AA4" s="84" t="e">
        <f>CONCATENATE("A(",S2,")=")</f>
        <v>#VALUE!</v>
      </c>
      <c r="AB4" s="84" t="e">
        <f>IF(S2=RisePerWLS,0,VLOOKUP(S2,STN_TABLE,3,FALSE))</f>
        <v>#VALUE!</v>
      </c>
      <c r="AC4" t="str">
        <f>CONCATENATE("A(",S3,")=")</f>
        <v>A(#NA)=</v>
      </c>
      <c r="AD4" t="e">
        <f>Z4+AB4</f>
        <v>#VALUE!</v>
      </c>
      <c r="AE4" s="66" t="str">
        <f t="shared" si="1"/>
        <v>1st_UWL</v>
      </c>
      <c r="AF4" s="67" t="str">
        <f t="shared" si="1"/>
        <v>#NA</v>
      </c>
      <c r="AG4" s="80" t="e">
        <f>IF(OR(AF7-AF6=AF6-AF5,AF7-AF6=AF6-AF4,AF7-AF6=AF6-AF3),AF6,IF(OR(AF7-AF5=AF5-AF4,AF7-AF5=AF5-AF3),AF5,IF(AF7-AF4=AF4-AF3,AF4,"#NA")))</f>
        <v>#VALUE!</v>
      </c>
      <c r="AH4" s="77" t="e">
        <f>VLOOKUP(AG4,STN_TABLE,2,FALSE)</f>
        <v>#VALUE!</v>
      </c>
      <c r="AI4" s="77">
        <v>4</v>
      </c>
      <c r="AJ4" s="77" t="e">
        <f>AH4*AI4</f>
        <v>#VALUE!</v>
      </c>
      <c r="AK4" s="77" t="e">
        <f>AG4</f>
        <v>#VALUE!</v>
      </c>
      <c r="AL4" s="77" t="e">
        <f>AJ4*AK4</f>
        <v>#VALUE!</v>
      </c>
      <c r="AM4" s="78" t="s">
        <v>97</v>
      </c>
      <c r="AN4" s="78"/>
      <c r="AO4" s="78" t="s">
        <v>98</v>
      </c>
      <c r="AP4" s="78"/>
      <c r="AQ4" s="7" t="s">
        <v>99</v>
      </c>
      <c r="AR4" s="7"/>
      <c r="AS4" s="7"/>
      <c r="AT4" s="7"/>
    </row>
    <row r="5" spans="1:46" x14ac:dyDescent="0.25">
      <c r="A5">
        <v>2</v>
      </c>
      <c r="B5" s="80">
        <f t="shared" si="2"/>
        <v>0.25</v>
      </c>
      <c r="C5" s="81">
        <f t="shared" si="3"/>
        <v>6.89</v>
      </c>
      <c r="D5" s="81">
        <f t="shared" ref="D5:D28" si="4">IFERROR(VLOOKUP(CONCATENATE("A(",B5,")="),RESULT_TABLE,6,FALSE)," ")</f>
        <v>6.2966666666666669</v>
      </c>
      <c r="E5" s="77">
        <f t="shared" ref="E5:E28" si="5">IFERROR(VLOOKUP(CONCATENATE("M(",B5,")="),RESULT_TABLE,6,FALSE)," ")</f>
        <v>1.6279166666666662</v>
      </c>
      <c r="G5" t="s">
        <v>101</v>
      </c>
      <c r="H5" t="str">
        <f>VLOOKUP(Station_No,RISE_CALC,4,FALSE)</f>
        <v>#NA</v>
      </c>
      <c r="K5" t="str">
        <f>CONCATENATE("M(",H5,")=")</f>
        <v>M(#NA)=</v>
      </c>
      <c r="L5" t="e">
        <f>IFERROR(N19,N23)</f>
        <v>#VALUE!</v>
      </c>
      <c r="Q5" s="66" t="str">
        <f t="shared" si="0"/>
        <v>3rd_UWL</v>
      </c>
      <c r="R5" s="67" t="str">
        <f t="shared" si="0"/>
        <v>#NA</v>
      </c>
      <c r="V5" s="86" t="e">
        <f>SUM(V2:V4)</f>
        <v>#VALUE!</v>
      </c>
      <c r="X5" s="87" t="e">
        <f>SUM(X2:X4)</f>
        <v>#VALUE!</v>
      </c>
      <c r="Y5" s="84" t="str">
        <f>CONCATENATE("m'(",S3,")=")</f>
        <v>m'(#NA)=</v>
      </c>
      <c r="Z5" s="85" t="e">
        <f>(2*(Z2^2)/24*X5)+(Z4*S2*WLS)</f>
        <v>#VALUE!</v>
      </c>
      <c r="AA5" s="84" t="e">
        <f>CONCATENATE("M(",S2,")=")</f>
        <v>#VALUE!</v>
      </c>
      <c r="AB5" s="84" t="e">
        <f>IF(S2=RisePerWLS,0,VLOOKUP(S2,STN_TABLE,4,FALSE))</f>
        <v>#VALUE!</v>
      </c>
      <c r="AC5" t="str">
        <f>CONCATENATE("M(",S3,")=")</f>
        <v>M(#NA)=</v>
      </c>
      <c r="AD5" t="e">
        <f>Z5+AB5</f>
        <v>#VALUE!</v>
      </c>
      <c r="AE5" s="66" t="str">
        <f t="shared" si="1"/>
        <v>2nd_UWL</v>
      </c>
      <c r="AF5" s="67" t="str">
        <f t="shared" si="1"/>
        <v>#NA</v>
      </c>
      <c r="AG5" s="88" t="str">
        <f>AF7</f>
        <v>#NA</v>
      </c>
      <c r="AH5" s="83" t="e">
        <f>VLOOKUP(AG5,STN_TABLE,2,FALSE)</f>
        <v>#N/A</v>
      </c>
      <c r="AI5" s="83">
        <v>1</v>
      </c>
      <c r="AJ5" s="83" t="e">
        <f>AH5*AI5</f>
        <v>#N/A</v>
      </c>
      <c r="AK5" s="83" t="str">
        <f>AG5</f>
        <v>#NA</v>
      </c>
      <c r="AL5" s="83" t="e">
        <f>AJ5*AK5</f>
        <v>#N/A</v>
      </c>
      <c r="AM5" s="84" t="str">
        <f>CONCATENATE("a'(",AG5,")=")</f>
        <v>a'(#NA)=</v>
      </c>
      <c r="AN5" s="84" t="e">
        <f>2*AN3/3*AJ6</f>
        <v>#VALUE!</v>
      </c>
      <c r="AO5" s="84" t="e">
        <f>CONCATENATE("A(",AG3,")=")</f>
        <v>#VALUE!</v>
      </c>
      <c r="AP5" s="84" t="e">
        <f>IF(AG3=RisePerWLS,0,VLOOKUP(AG3,STN_TABLE,3,FALSE))</f>
        <v>#VALUE!</v>
      </c>
      <c r="AQ5" t="str">
        <f>CONCATENATE("A(",AG5,")=")</f>
        <v>A(#NA)=</v>
      </c>
      <c r="AR5" t="e">
        <f>AN5+AP5</f>
        <v>#VALUE!</v>
      </c>
    </row>
    <row r="6" spans="1:46" x14ac:dyDescent="0.25">
      <c r="A6">
        <v>3</v>
      </c>
      <c r="B6" s="80">
        <f t="shared" si="2"/>
        <v>0.5</v>
      </c>
      <c r="C6" s="81">
        <f t="shared" si="3"/>
        <v>7.56</v>
      </c>
      <c r="D6" s="81">
        <f t="shared" si="4"/>
        <v>13.573333333333332</v>
      </c>
      <c r="E6" s="77">
        <f t="shared" si="5"/>
        <v>7.1133333333333333</v>
      </c>
      <c r="G6" t="s">
        <v>102</v>
      </c>
      <c r="H6" t="str">
        <f>VLOOKUP(Station_No,RISE_CALC,5,FALSE)</f>
        <v>#NA</v>
      </c>
      <c r="K6" t="str">
        <f>CONCATENATE("A(",H6,")=")</f>
        <v>A(#NA)=</v>
      </c>
      <c r="L6" t="e">
        <f>IFERROR(P27,IFERROR(X6,AD9))</f>
        <v>#VALUE!</v>
      </c>
      <c r="Q6" s="66" t="str">
        <f t="shared" si="0"/>
        <v>4th_UWL</v>
      </c>
      <c r="R6" s="67" t="str">
        <f t="shared" si="0"/>
        <v>#NA</v>
      </c>
      <c r="U6" t="s">
        <v>103</v>
      </c>
      <c r="W6" t="str">
        <f>CONCATENATE("A(",S3,")=")</f>
        <v>A(#NA)=</v>
      </c>
      <c r="X6" t="e">
        <f>IF(OR(AD4&lt;=0,AD5&lt;=0),AD9,AD4)</f>
        <v>#VALUE!</v>
      </c>
      <c r="AE6" s="66" t="str">
        <f t="shared" si="1"/>
        <v>3rd_UWL</v>
      </c>
      <c r="AF6" s="67" t="str">
        <f t="shared" si="1"/>
        <v>#NA</v>
      </c>
      <c r="AJ6" s="89" t="e">
        <f>SUM(AJ3:AJ5)</f>
        <v>#VALUE!</v>
      </c>
      <c r="AL6" s="89" t="e">
        <f>SUM(AL3:AL5)</f>
        <v>#VALUE!</v>
      </c>
      <c r="AM6" s="84" t="str">
        <f>CONCATENATE("m'(",AG5,")=")</f>
        <v>m'(#NA)=</v>
      </c>
      <c r="AN6" s="84" t="e">
        <f>2*(AN3*WLS)/3*AL6</f>
        <v>#VALUE!</v>
      </c>
      <c r="AO6" s="84" t="e">
        <f>CONCATENATE("M(",AG3,")=")</f>
        <v>#VALUE!</v>
      </c>
      <c r="AP6" s="84" t="e">
        <f>IF(AG3=RisePerWLS,0,VLOOKUP(AG3,STN_TABLE,4,FALSE))</f>
        <v>#VALUE!</v>
      </c>
      <c r="AQ6" t="str">
        <f>CONCATENATE("M(",AG5,")=")</f>
        <v>M(#NA)=</v>
      </c>
      <c r="AR6" t="e">
        <f>AN6+AP6</f>
        <v>#VALUE!</v>
      </c>
    </row>
    <row r="7" spans="1:46" x14ac:dyDescent="0.25">
      <c r="A7">
        <v>4</v>
      </c>
      <c r="B7" s="80">
        <f t="shared" si="2"/>
        <v>0.75</v>
      </c>
      <c r="C7" s="81">
        <f t="shared" si="3"/>
        <v>8.0399999999999991</v>
      </c>
      <c r="D7" s="81">
        <f t="shared" si="4"/>
        <v>21.353333333333332</v>
      </c>
      <c r="E7" s="77">
        <f t="shared" si="5"/>
        <v>16.876249999999995</v>
      </c>
      <c r="G7" t="s">
        <v>104</v>
      </c>
      <c r="H7" t="str">
        <f>VLOOKUP(Station_No,RISE_CALC,6,FALSE)</f>
        <v>#NA</v>
      </c>
      <c r="K7" t="str">
        <f>CONCATENATE("M(",H6,")=")</f>
        <v>M(#NA)=</v>
      </c>
      <c r="L7" t="e">
        <f>IFERROR(P28,IFERROR(X7,AD10))</f>
        <v>#VALUE!</v>
      </c>
      <c r="Q7" s="66"/>
      <c r="R7" s="67"/>
      <c r="W7" t="str">
        <f>CONCATENATE("M(",S3,")=")</f>
        <v>M(#NA)=</v>
      </c>
      <c r="X7" t="e">
        <f>IF(OR(AD4&lt;=0,AD5&lt;=0),AD10,AD5)</f>
        <v>#VALUE!</v>
      </c>
      <c r="Y7" s="6" t="s">
        <v>93</v>
      </c>
      <c r="Z7" s="70" t="e">
        <f>WLS*(U9-U8)</f>
        <v>#VALUE!</v>
      </c>
      <c r="AE7" s="66" t="str">
        <f t="shared" si="1"/>
        <v>4th_UWL</v>
      </c>
      <c r="AF7" s="67" t="str">
        <f t="shared" si="1"/>
        <v>#NA</v>
      </c>
      <c r="AH7" s="81"/>
    </row>
    <row r="8" spans="1:46" x14ac:dyDescent="0.25">
      <c r="A8">
        <v>5</v>
      </c>
      <c r="B8" s="80">
        <f t="shared" si="2"/>
        <v>1</v>
      </c>
      <c r="C8" s="81">
        <f t="shared" si="3"/>
        <v>8.42</v>
      </c>
      <c r="D8" s="81">
        <f t="shared" si="4"/>
        <v>29.619999999999997</v>
      </c>
      <c r="E8" s="77">
        <f t="shared" si="5"/>
        <v>31.326666666666664</v>
      </c>
      <c r="G8" t="s">
        <v>105</v>
      </c>
      <c r="H8" t="str">
        <f>VLOOKUP(Station_No,RISE_CALC,7,FALSE)</f>
        <v>#NA</v>
      </c>
      <c r="K8" t="str">
        <f>CONCATENATE("A(",H7,")=")</f>
        <v>A(#NA)=</v>
      </c>
      <c r="L8" t="e">
        <f>IFERROR(AD15,IFERROR(X24,AD27))</f>
        <v>#VALUE!</v>
      </c>
      <c r="Q8" s="80"/>
      <c r="R8" s="81"/>
      <c r="U8" s="79" t="str">
        <f>R3</f>
        <v>#NA</v>
      </c>
      <c r="V8" s="68" t="e">
        <f>VLOOKUP(U8,STN_TABLE,2,FALSE)</f>
        <v>#N/A</v>
      </c>
      <c r="W8" s="68">
        <v>1</v>
      </c>
      <c r="X8" s="69" t="e">
        <f>V8*W8</f>
        <v>#N/A</v>
      </c>
      <c r="Y8" s="78" t="s">
        <v>97</v>
      </c>
      <c r="Z8" s="78"/>
      <c r="AA8" s="78" t="s">
        <v>98</v>
      </c>
      <c r="AB8" s="78"/>
      <c r="AC8" s="7" t="s">
        <v>99</v>
      </c>
      <c r="AD8" s="7"/>
      <c r="AE8" s="66"/>
      <c r="AF8" s="67"/>
      <c r="AG8" s="68" t="e">
        <f>IF(OR(AF12-AF11=AF11-AF10,AF13-AF11=AF11-AF10),AF10,IF(OR(AF12-AF11=AF11-AF9,AF13-AF11=AF11-AF9),AF9,"-"))</f>
        <v>#VALUE!</v>
      </c>
      <c r="AH8" s="69" t="e">
        <f>IFERROR(VLOOKUP(AG8,STN_TABLE,2,FALSE),IF(AF8=RisePerWLS,0,"-"))</f>
        <v>#VALUE!</v>
      </c>
      <c r="AI8" s="69">
        <v>5</v>
      </c>
      <c r="AJ8" s="69" t="e">
        <f>AH8*AI8</f>
        <v>#VALUE!</v>
      </c>
      <c r="AK8" s="69">
        <v>3</v>
      </c>
      <c r="AL8" s="69" t="e">
        <f>AH8*AK8</f>
        <v>#VALUE!</v>
      </c>
      <c r="AM8" s="6" t="s">
        <v>93</v>
      </c>
      <c r="AN8" s="70" t="e">
        <f>IF(AND(AG10-AG9=AG9-AG8,NOT(AND(AG8=0,AG9=0)),NOT(AND(AG9=0,AG10=0))),WLS*(AG10-AG9),"#NA")</f>
        <v>#VALUE!</v>
      </c>
    </row>
    <row r="9" spans="1:46" x14ac:dyDescent="0.25">
      <c r="A9">
        <v>6</v>
      </c>
      <c r="B9" s="80">
        <f t="shared" si="2"/>
        <v>2</v>
      </c>
      <c r="C9" s="81">
        <f t="shared" si="3"/>
        <v>9.32</v>
      </c>
      <c r="D9" s="81">
        <f t="shared" si="4"/>
        <v>65.276666666666671</v>
      </c>
      <c r="E9" s="77">
        <f t="shared" si="5"/>
        <v>138.89666666666665</v>
      </c>
      <c r="G9" t="s">
        <v>106</v>
      </c>
      <c r="H9" t="str">
        <f>VLOOKUP(Station_No,RISE_CALC,8,FALSE)</f>
        <v>#NA</v>
      </c>
      <c r="K9" t="str">
        <f>CONCATENATE("M(",H7,")=")</f>
        <v>M(#NA)=</v>
      </c>
      <c r="L9" t="e">
        <f>IFERROR(AD16,IFERROR(X25,AD28))</f>
        <v>#VALUE!</v>
      </c>
      <c r="Q9" s="80"/>
      <c r="R9" s="81"/>
      <c r="U9" s="88" t="str">
        <f>R4</f>
        <v>#NA</v>
      </c>
      <c r="V9" s="82" t="e">
        <f>VLOOKUP(U9,STN_TABLE,2,FALSE)</f>
        <v>#N/A</v>
      </c>
      <c r="W9" s="82">
        <v>2</v>
      </c>
      <c r="X9" s="83" t="e">
        <f>V9*W9</f>
        <v>#N/A</v>
      </c>
      <c r="Y9" s="84" t="str">
        <f>CONCATENATE("a'(",U9,")=")</f>
        <v>a'(#NA)=</v>
      </c>
      <c r="Z9" s="84" t="e">
        <f>2*Z7/2*V10</f>
        <v>#VALUE!</v>
      </c>
      <c r="AA9" s="84" t="str">
        <f>CONCATENATE("A(",U8,")=")</f>
        <v>A(#NA)=</v>
      </c>
      <c r="AB9" s="84" t="e">
        <f>IF(U8=RisePerWLS,0,VLOOKUP(U8,STN_TABLE,3,FALSE))</f>
        <v>#VALUE!</v>
      </c>
      <c r="AC9" t="str">
        <f>CONCATENATE("A(",U9,")=")</f>
        <v>A(#NA)=</v>
      </c>
      <c r="AD9" t="e">
        <f>Z9+AB9</f>
        <v>#VALUE!</v>
      </c>
      <c r="AE9" s="66" t="str">
        <f t="shared" ref="AE9:AF13" si="6">G6</f>
        <v>2nd_UWL</v>
      </c>
      <c r="AF9" s="67" t="str">
        <f t="shared" si="6"/>
        <v>#NA</v>
      </c>
      <c r="AG9" s="76" t="str">
        <f>AF11</f>
        <v>#NA</v>
      </c>
      <c r="AH9" s="77" t="e">
        <f>VLOOKUP(AG9,STN_TABLE,2,FALSE)</f>
        <v>#N/A</v>
      </c>
      <c r="AI9" s="77">
        <v>8</v>
      </c>
      <c r="AJ9" s="77" t="e">
        <f>AH9*AI9</f>
        <v>#N/A</v>
      </c>
      <c r="AK9" s="77">
        <v>10</v>
      </c>
      <c r="AL9" s="77" t="e">
        <f>AH9*AK9</f>
        <v>#N/A</v>
      </c>
      <c r="AM9" s="78" t="s">
        <v>97</v>
      </c>
      <c r="AN9" s="78"/>
      <c r="AO9" s="78" t="s">
        <v>98</v>
      </c>
      <c r="AP9" s="78"/>
      <c r="AQ9" s="7" t="s">
        <v>99</v>
      </c>
      <c r="AR9" s="7"/>
      <c r="AS9" s="7"/>
      <c r="AT9" s="7"/>
    </row>
    <row r="10" spans="1:46" x14ac:dyDescent="0.25">
      <c r="A10">
        <v>7</v>
      </c>
      <c r="B10" s="80">
        <f t="shared" si="2"/>
        <v>3</v>
      </c>
      <c r="C10" s="81">
        <f t="shared" si="3"/>
        <v>9.69</v>
      </c>
      <c r="D10" s="81">
        <f t="shared" si="4"/>
        <v>103.47333333333333</v>
      </c>
      <c r="E10" s="77">
        <f t="shared" si="5"/>
        <v>330.12666666666667</v>
      </c>
      <c r="G10" t="s">
        <v>107</v>
      </c>
      <c r="H10" t="str">
        <f>VLOOKUP(Station_No,RISE_CALC,9,FALSE)</f>
        <v>#NA</v>
      </c>
      <c r="K10" t="str">
        <f>CONCATENATE("A(",H8,")=")</f>
        <v>A(#NA)=</v>
      </c>
      <c r="L10" t="e">
        <f>IFERROR(AR5,IFERROR(AL12,AR15))</f>
        <v>#VALUE!</v>
      </c>
      <c r="Q10" s="80"/>
      <c r="R10" s="81"/>
      <c r="V10" s="89" t="e">
        <f>SUM(V8:V9)</f>
        <v>#N/A</v>
      </c>
      <c r="X10" s="89" t="e">
        <f>SUM(X8:X9)</f>
        <v>#N/A</v>
      </c>
      <c r="Y10" s="84" t="str">
        <f>CONCATENATE("m'(",U9,")=")</f>
        <v>m'(#NA)=</v>
      </c>
      <c r="Z10" s="84" t="e">
        <f>(2*(Z7^2)/6*X10)+(Z9*U8*WLS)</f>
        <v>#VALUE!</v>
      </c>
      <c r="AA10" s="84" t="str">
        <f>CONCATENATE("M(",U8,")=")</f>
        <v>M(#NA)=</v>
      </c>
      <c r="AB10" s="84" t="e">
        <f>IF(U8=RisePerWLS,0,VLOOKUP(U8,STN_TABLE,4,FALSE))</f>
        <v>#VALUE!</v>
      </c>
      <c r="AC10" t="str">
        <f>CONCATENATE("M(",U9,")=")</f>
        <v>M(#NA)=</v>
      </c>
      <c r="AD10" t="e">
        <f>Z10+AB10</f>
        <v>#VALUE!</v>
      </c>
      <c r="AE10" s="66" t="str">
        <f t="shared" si="6"/>
        <v>3rd_UWL</v>
      </c>
      <c r="AF10" s="67" t="str">
        <f t="shared" si="6"/>
        <v>#NA</v>
      </c>
      <c r="AG10" s="82" t="e">
        <f>IF(AG8-AG9=AG9-AF12,AF12,IF(AG8-AG9=AG9-AF13,AF13,"-"))</f>
        <v>#VALUE!</v>
      </c>
      <c r="AH10" s="83" t="e">
        <f>VLOOKUP(AG10,STN_TABLE,2,FALSE)</f>
        <v>#VALUE!</v>
      </c>
      <c r="AI10" s="83">
        <v>-1</v>
      </c>
      <c r="AJ10" s="83" t="e">
        <f>AH10*AI10</f>
        <v>#VALUE!</v>
      </c>
      <c r="AK10" s="83">
        <v>-1</v>
      </c>
      <c r="AL10" s="83" t="e">
        <f>AH10*AK10</f>
        <v>#VALUE!</v>
      </c>
      <c r="AM10" s="84" t="str">
        <f>CONCATENATE("a'(",AG9,")=")</f>
        <v>a'(#NA)=</v>
      </c>
      <c r="AN10" s="84" t="e">
        <f>2*AN8/12*AJ11</f>
        <v>#VALUE!</v>
      </c>
      <c r="AO10" s="84" t="e">
        <f>CONCATENATE("A(",AG8,")=")</f>
        <v>#VALUE!</v>
      </c>
      <c r="AP10" s="84" t="e">
        <f>VLOOKUP(AG8,STN_TABLE,3,FALSE)</f>
        <v>#VALUE!</v>
      </c>
      <c r="AQ10" t="str">
        <f>CONCATENATE("A(",AG9,")=")</f>
        <v>A(#NA)=</v>
      </c>
      <c r="AR10" t="e">
        <f>AN10+AP10</f>
        <v>#VALUE!</v>
      </c>
    </row>
    <row r="11" spans="1:46" x14ac:dyDescent="0.25">
      <c r="A11">
        <v>8</v>
      </c>
      <c r="B11" s="80">
        <f t="shared" si="2"/>
        <v>4</v>
      </c>
      <c r="C11" s="81">
        <f t="shared" si="3"/>
        <v>9.99</v>
      </c>
      <c r="D11" s="81">
        <f t="shared" si="4"/>
        <v>142.70333333333332</v>
      </c>
      <c r="E11" s="77">
        <f t="shared" si="5"/>
        <v>605.24333333333334</v>
      </c>
      <c r="G11" t="s">
        <v>108</v>
      </c>
      <c r="H11" t="str">
        <f>VLOOKUP(Station_No,RISE_CALC,10,FALSE)</f>
        <v>#NA</v>
      </c>
      <c r="K11" t="str">
        <f>CONCATENATE("M(",H8,")=")</f>
        <v>M(#NA)=</v>
      </c>
      <c r="L11" t="e">
        <f>IFERROR(AR6,IFERROR(AL13,AR16))</f>
        <v>#VALUE!</v>
      </c>
      <c r="Q11" s="80"/>
      <c r="R11" s="81"/>
      <c r="AE11" s="66" t="str">
        <f t="shared" si="6"/>
        <v>4th_UWL</v>
      </c>
      <c r="AF11" s="67" t="str">
        <f t="shared" si="6"/>
        <v>#NA</v>
      </c>
      <c r="AJ11" s="89" t="e">
        <f>SUM(AJ8:AJ10)</f>
        <v>#VALUE!</v>
      </c>
      <c r="AL11" s="89" t="e">
        <f>SUM(AL8:AL10)</f>
        <v>#VALUE!</v>
      </c>
      <c r="AM11" s="84" t="str">
        <f>CONCATENATE("m'(",AG9,")=")</f>
        <v>m'(#NA)=</v>
      </c>
      <c r="AN11" s="84" t="e">
        <f>(2*(AN8^2)/24*AL11)+(AN10*AG8*WLS)</f>
        <v>#VALUE!</v>
      </c>
      <c r="AO11" s="84" t="e">
        <f>CONCATENATE("M(",AG8,")=")</f>
        <v>#VALUE!</v>
      </c>
      <c r="AP11" s="84" t="e">
        <f>VLOOKUP(AG8,STN_TABLE,4,FALSE)</f>
        <v>#VALUE!</v>
      </c>
      <c r="AQ11" t="str">
        <f>CONCATENATE("M(",AG9,")=")</f>
        <v>M(#NA)=</v>
      </c>
      <c r="AR11" t="e">
        <f>AN11+AP11</f>
        <v>#VALUE!</v>
      </c>
    </row>
    <row r="12" spans="1:46" x14ac:dyDescent="0.25">
      <c r="A12">
        <v>9</v>
      </c>
      <c r="B12" s="80">
        <f t="shared" si="2"/>
        <v>4.8499999999999996</v>
      </c>
      <c r="C12" s="81">
        <f t="shared" si="3"/>
        <v>10.23</v>
      </c>
      <c r="D12" s="81">
        <f t="shared" si="4"/>
        <v>177.07733333333329</v>
      </c>
      <c r="E12" s="77">
        <f t="shared" si="5"/>
        <v>909.56883333333315</v>
      </c>
      <c r="Q12" s="90" t="s">
        <v>109</v>
      </c>
      <c r="R12" s="81"/>
      <c r="AE12" s="66" t="str">
        <f t="shared" si="6"/>
        <v>5th_UWL</v>
      </c>
      <c r="AF12" s="67" t="str">
        <f t="shared" si="6"/>
        <v>#NA</v>
      </c>
      <c r="AI12" t="s">
        <v>103</v>
      </c>
      <c r="AK12" t="str">
        <f>CONCATENATE("A(",AG9,")=")</f>
        <v>A(#NA)=</v>
      </c>
      <c r="AL12" t="e">
        <f>IF(OR(AR10&lt;=0,AR11&lt;=0),AR15,AR10)</f>
        <v>#VALUE!</v>
      </c>
    </row>
    <row r="13" spans="1:46" x14ac:dyDescent="0.25">
      <c r="A13">
        <v>10</v>
      </c>
      <c r="B13" s="80">
        <f t="shared" si="2"/>
        <v>5</v>
      </c>
      <c r="C13" s="81">
        <f t="shared" si="3"/>
        <v>10.27</v>
      </c>
      <c r="D13" s="81">
        <f t="shared" si="4"/>
        <v>183.36666666666667</v>
      </c>
      <c r="E13" s="77">
        <f t="shared" si="5"/>
        <v>970.81999999999994</v>
      </c>
      <c r="G13" s="71" t="s">
        <v>110</v>
      </c>
      <c r="Q13" s="66" t="str">
        <f t="shared" ref="Q13:R16" si="7">G4</f>
        <v>Rise</v>
      </c>
      <c r="R13" s="67" t="e">
        <f t="shared" si="7"/>
        <v>#VALUE!</v>
      </c>
      <c r="S13" s="68" t="e">
        <f>IF(R16-R15=R15-R14,R14,IF(R16-R14=R14-R13,R13,"-"))</f>
        <v>#VALUE!</v>
      </c>
      <c r="T13" s="69" t="e">
        <f>IFERROR(VLOOKUP(S13,STN_TABLE,2,FALSE),IF(R13=RisePerWLS,0,"-"))</f>
        <v>#VALUE!</v>
      </c>
      <c r="U13" s="69">
        <v>1</v>
      </c>
      <c r="V13" s="69" t="e">
        <f>T13*U13</f>
        <v>#VALUE!</v>
      </c>
      <c r="W13" s="69" t="e">
        <f>S13</f>
        <v>#VALUE!</v>
      </c>
      <c r="X13" s="69" t="e">
        <f>V13*W13</f>
        <v>#VALUE!</v>
      </c>
      <c r="Y13" s="6" t="s">
        <v>93</v>
      </c>
      <c r="Z13" s="70" t="e">
        <f>IF(AND(T13=0,T14=0,T15=0),WLS*(S15-S14),IF(AND(S15-S14=S14-S13,S14&lt;&gt;S15,S13&lt;&gt;S14,S13&lt;&gt;S15,T15&lt;&gt;0,OR(T13&lt;&gt;0,T14&lt;&gt;0)),WLS*(S15-S14),"#NA"))</f>
        <v>#VALUE!</v>
      </c>
      <c r="AE13" s="66" t="str">
        <f t="shared" si="6"/>
        <v>6th_UWL</v>
      </c>
      <c r="AF13" s="67" t="str">
        <f t="shared" si="6"/>
        <v>#NA</v>
      </c>
      <c r="AK13" t="str">
        <f>CONCATENATE("M(",AG9,")=")</f>
        <v>M(#NA)=</v>
      </c>
      <c r="AL13" t="e">
        <f>IF(OR(AR10&lt;=0,AR11&lt;=0),AR16,AR11)</f>
        <v>#VALUE!</v>
      </c>
      <c r="AM13" s="6" t="s">
        <v>93</v>
      </c>
      <c r="AN13" s="70" t="e">
        <f>WLS*(AI15-AI14)</f>
        <v>#VALUE!</v>
      </c>
    </row>
    <row r="14" spans="1:46" x14ac:dyDescent="0.25">
      <c r="A14">
        <v>11</v>
      </c>
      <c r="B14" s="80">
        <f t="shared" si="2"/>
        <v>6</v>
      </c>
      <c r="C14" s="81">
        <f t="shared" si="3"/>
        <v>10.5</v>
      </c>
      <c r="D14" s="81">
        <f t="shared" si="4"/>
        <v>224.79666666666665</v>
      </c>
      <c r="E14" s="77">
        <f t="shared" si="5"/>
        <v>1427.5366666666666</v>
      </c>
      <c r="G14" s="91" t="str">
        <f>G4</f>
        <v>Rise</v>
      </c>
      <c r="H14" s="91" t="e">
        <f>RisePerWLS</f>
        <v>#VALUE!</v>
      </c>
      <c r="I14" s="68" t="e">
        <f>H14</f>
        <v>#VALUE!</v>
      </c>
      <c r="J14" s="69">
        <v>0</v>
      </c>
      <c r="K14" s="69">
        <v>5</v>
      </c>
      <c r="L14" s="69">
        <f>J14*K14</f>
        <v>0</v>
      </c>
      <c r="M14" s="69">
        <v>3</v>
      </c>
      <c r="N14" s="69">
        <f>J14*M14</f>
        <v>0</v>
      </c>
      <c r="O14" t="s">
        <v>93</v>
      </c>
      <c r="P14" t="e">
        <f>IF(AND(NOT(AND(J14=0,J15=0)),I14&lt;&gt;I15,I15&lt;&gt;I16,I16-I15=I15-I14),(I16-I15)*WLS,"#NA")</f>
        <v>#N/A</v>
      </c>
      <c r="Q14" s="66" t="str">
        <f t="shared" si="7"/>
        <v>1st_UWL</v>
      </c>
      <c r="R14" s="67" t="str">
        <f t="shared" si="7"/>
        <v>#NA</v>
      </c>
      <c r="S14" s="76" t="e">
        <f>IF(R16-R15=R15-R14,R15,IF(R16-R14=R14-R13,R14,"-"))</f>
        <v>#VALUE!</v>
      </c>
      <c r="T14" s="77" t="e">
        <f>VLOOKUP(S14,STN_TABLE,2,FALSE)</f>
        <v>#VALUE!</v>
      </c>
      <c r="U14" s="77">
        <v>4</v>
      </c>
      <c r="V14" s="77" t="e">
        <f>T14*U14</f>
        <v>#VALUE!</v>
      </c>
      <c r="W14" s="77" t="e">
        <f>S14</f>
        <v>#VALUE!</v>
      </c>
      <c r="X14" s="77" t="e">
        <f>V14*W14</f>
        <v>#VALUE!</v>
      </c>
      <c r="Y14" s="78" t="s">
        <v>97</v>
      </c>
      <c r="Z14" s="78"/>
      <c r="AA14" s="78" t="s">
        <v>98</v>
      </c>
      <c r="AB14" s="78"/>
      <c r="AC14" s="7" t="s">
        <v>99</v>
      </c>
      <c r="AD14" s="7"/>
      <c r="AE14" s="66"/>
      <c r="AF14" s="67"/>
      <c r="AI14" s="79" t="str">
        <f>AF10</f>
        <v>#NA</v>
      </c>
      <c r="AJ14" s="68" t="e">
        <f>VLOOKUP(AI14,STN_TABLE,2,FALSE)</f>
        <v>#N/A</v>
      </c>
      <c r="AK14" s="68">
        <v>1</v>
      </c>
      <c r="AL14" s="69" t="e">
        <f>AJ14*AK14</f>
        <v>#N/A</v>
      </c>
      <c r="AM14" s="78" t="s">
        <v>97</v>
      </c>
      <c r="AN14" s="78"/>
      <c r="AO14" s="78" t="s">
        <v>98</v>
      </c>
      <c r="AP14" s="78"/>
      <c r="AQ14" s="7" t="s">
        <v>99</v>
      </c>
      <c r="AR14" s="7"/>
      <c r="AS14" s="7"/>
      <c r="AT14" s="7"/>
    </row>
    <row r="15" spans="1:46" x14ac:dyDescent="0.25">
      <c r="A15">
        <v>12</v>
      </c>
      <c r="B15" s="80">
        <f t="shared" si="2"/>
        <v>6.5</v>
      </c>
      <c r="C15" s="81">
        <f t="shared" si="3"/>
        <v>10.62</v>
      </c>
      <c r="D15" s="81">
        <f t="shared" si="4"/>
        <v>245.91666666666666</v>
      </c>
      <c r="E15" s="77">
        <f t="shared" si="5"/>
        <v>1691.5566666666666</v>
      </c>
      <c r="G15" s="91" t="str">
        <f>G5</f>
        <v>1st_UWL</v>
      </c>
      <c r="H15" s="91" t="str">
        <f>H5</f>
        <v>#NA</v>
      </c>
      <c r="I15" s="76" t="str">
        <f>H15</f>
        <v>#NA</v>
      </c>
      <c r="J15" s="77" t="e">
        <f>VLOOKUP(I15,STN_TABLE,2,FALSE)</f>
        <v>#N/A</v>
      </c>
      <c r="K15" s="77">
        <v>8</v>
      </c>
      <c r="L15" s="77" t="e">
        <f>J15*K15</f>
        <v>#N/A</v>
      </c>
      <c r="M15" s="77">
        <v>10</v>
      </c>
      <c r="N15" s="77" t="e">
        <f>J15*M15</f>
        <v>#N/A</v>
      </c>
      <c r="O15" t="str">
        <f>CONCATENATE("A(",I15,")=")</f>
        <v>A(#NA)=</v>
      </c>
      <c r="P15" t="e">
        <f>2*P14/12*L17</f>
        <v>#N/A</v>
      </c>
      <c r="Q15" s="66" t="str">
        <f t="shared" si="7"/>
        <v>2nd_UWL</v>
      </c>
      <c r="R15" s="67" t="str">
        <f t="shared" si="7"/>
        <v>#NA</v>
      </c>
      <c r="S15" s="82" t="str">
        <f>R16</f>
        <v>#NA</v>
      </c>
      <c r="T15" s="83" t="e">
        <f>VLOOKUP(S15,STN_TABLE,2,FALSE)</f>
        <v>#N/A</v>
      </c>
      <c r="U15" s="83">
        <v>1</v>
      </c>
      <c r="V15" s="83" t="e">
        <f>T15*U15</f>
        <v>#N/A</v>
      </c>
      <c r="W15" s="83" t="str">
        <f>S15</f>
        <v>#NA</v>
      </c>
      <c r="X15" s="83" t="e">
        <f>V15*W15</f>
        <v>#N/A</v>
      </c>
      <c r="Y15" s="84" t="str">
        <f>CONCATENATE("a'(",S15,")=")</f>
        <v>a'(#NA)=</v>
      </c>
      <c r="Z15" s="84" t="e">
        <f>2*Z13/3*V16</f>
        <v>#VALUE!</v>
      </c>
      <c r="AA15" s="84" t="e">
        <f>CONCATENATE("A(",S13,")=")</f>
        <v>#VALUE!</v>
      </c>
      <c r="AB15" s="84" t="e">
        <f>IF(S13=RisePerWLS,0,VLOOKUP(S13,STN_TABLE,3,FALSE))</f>
        <v>#VALUE!</v>
      </c>
      <c r="AC15" t="str">
        <f>CONCATENATE("A(",S15,")=")</f>
        <v>A(#NA)=</v>
      </c>
      <c r="AD15" t="e">
        <f>Z15+AB15</f>
        <v>#VALUE!</v>
      </c>
      <c r="AE15" s="80"/>
      <c r="AI15" s="88" t="str">
        <f>AF11</f>
        <v>#NA</v>
      </c>
      <c r="AJ15" s="82" t="e">
        <f>VLOOKUP(AI15,STN_TABLE,2,FALSE)</f>
        <v>#N/A</v>
      </c>
      <c r="AK15" s="82">
        <v>2</v>
      </c>
      <c r="AL15" s="83" t="e">
        <f>AJ15*AK15</f>
        <v>#N/A</v>
      </c>
      <c r="AM15" s="84" t="str">
        <f>CONCATENATE("a'(",AI15,")=")</f>
        <v>a'(#NA)=</v>
      </c>
      <c r="AN15" s="84" t="e">
        <f>2*AN13/2*AJ16</f>
        <v>#VALUE!</v>
      </c>
      <c r="AO15" s="84" t="str">
        <f>CONCATENATE("A(",AI14,")=")</f>
        <v>A(#NA)=</v>
      </c>
      <c r="AP15" s="84" t="e">
        <f>IF(AI14=RisePerWLS,0,VLOOKUP(AI14,STN_TABLE,3,FALSE))</f>
        <v>#VALUE!</v>
      </c>
      <c r="AQ15" t="str">
        <f>CONCATENATE("A(",AI15,")=")</f>
        <v>A(#NA)=</v>
      </c>
      <c r="AR15" t="e">
        <f>AN15+AP15</f>
        <v>#VALUE!</v>
      </c>
    </row>
    <row r="16" spans="1:46" x14ac:dyDescent="0.25">
      <c r="A16">
        <v>13</v>
      </c>
      <c r="B16" s="80" t="str">
        <f t="shared" si="2"/>
        <v xml:space="preserve">  </v>
      </c>
      <c r="C16" s="81" t="str">
        <f t="shared" si="3"/>
        <v xml:space="preserve">  </v>
      </c>
      <c r="D16" s="81" t="str">
        <f t="shared" si="4"/>
        <v xml:space="preserve"> </v>
      </c>
      <c r="E16" s="77" t="str">
        <f t="shared" si="5"/>
        <v xml:space="preserve"> </v>
      </c>
      <c r="G16" s="91" t="str">
        <f>G6</f>
        <v>2nd_UWL</v>
      </c>
      <c r="H16" s="91" t="str">
        <f>H6</f>
        <v>#NA</v>
      </c>
      <c r="I16" s="82" t="e">
        <f>IF(H16-H15=H15-H14,H16,"#NA")</f>
        <v>#VALUE!</v>
      </c>
      <c r="J16" s="83" t="e">
        <f>VLOOKUP(I16,STN_TABLE,2,FALSE)</f>
        <v>#VALUE!</v>
      </c>
      <c r="K16" s="83">
        <v>-1</v>
      </c>
      <c r="L16" s="83" t="e">
        <f>J16*K16</f>
        <v>#VALUE!</v>
      </c>
      <c r="M16" s="83">
        <v>-1</v>
      </c>
      <c r="N16" s="83" t="e">
        <f>J16*M16</f>
        <v>#VALUE!</v>
      </c>
      <c r="O16" t="str">
        <f>CONCATENATE("M(",I15,")=")</f>
        <v>M(#NA)=</v>
      </c>
      <c r="P16" t="e">
        <f>(2*(P14^2)/24*N17)+P15*I14*WLS</f>
        <v>#N/A</v>
      </c>
      <c r="Q16" s="66" t="str">
        <f t="shared" si="7"/>
        <v>3rd_UWL</v>
      </c>
      <c r="R16" s="67" t="str">
        <f t="shared" si="7"/>
        <v>#NA</v>
      </c>
      <c r="V16" s="89" t="e">
        <f>SUM(V13:V15)</f>
        <v>#VALUE!</v>
      </c>
      <c r="X16" s="89" t="e">
        <f>SUM(X13:X15)</f>
        <v>#VALUE!</v>
      </c>
      <c r="Y16" s="84" t="str">
        <f>CONCATENATE("m'(",S15,")=")</f>
        <v>m'(#NA)=</v>
      </c>
      <c r="Z16" s="84" t="e">
        <f>2*(Z13*WLS)/3*X16</f>
        <v>#VALUE!</v>
      </c>
      <c r="AA16" s="84" t="e">
        <f>CONCATENATE("M(",S13,")=")</f>
        <v>#VALUE!</v>
      </c>
      <c r="AB16" s="84" t="e">
        <f>IF(S13=RisePerWLS,0,VLOOKUP(S13,STN_TABLE,4,FALSE))</f>
        <v>#VALUE!</v>
      </c>
      <c r="AC16" t="str">
        <f>CONCATENATE("M(",S15,")=")</f>
        <v>M(#NA)=</v>
      </c>
      <c r="AD16" t="e">
        <f>Z16+AB16</f>
        <v>#VALUE!</v>
      </c>
      <c r="AE16" s="80"/>
      <c r="AJ16" s="89" t="e">
        <f>SUM(AJ14:AJ15)</f>
        <v>#N/A</v>
      </c>
      <c r="AL16" s="89" t="e">
        <f>SUM(AL14:AL15)</f>
        <v>#N/A</v>
      </c>
      <c r="AM16" s="84" t="str">
        <f>CONCATENATE("m'(",AI15,")=")</f>
        <v>m'(#NA)=</v>
      </c>
      <c r="AN16" s="84" t="e">
        <f>(2*(AN13^2)/6*AL16)+(AN15*AI14*WLS)</f>
        <v>#VALUE!</v>
      </c>
      <c r="AO16" s="84" t="str">
        <f>CONCATENATE("M(",AI14,")=")</f>
        <v>M(#NA)=</v>
      </c>
      <c r="AP16" s="84" t="e">
        <f>IF(AI14=RisePerWLS,0,VLOOKUP(AI14,STN_TABLE,4,FALSE))</f>
        <v>#VALUE!</v>
      </c>
      <c r="AQ16" t="str">
        <f>CONCATENATE("M(",AI15,")=")</f>
        <v>M(#NA)=</v>
      </c>
      <c r="AR16" t="e">
        <f>AN16+AP16</f>
        <v>#VALUE!</v>
      </c>
    </row>
    <row r="17" spans="1:35" x14ac:dyDescent="0.25">
      <c r="A17">
        <v>14</v>
      </c>
      <c r="B17" s="80" t="str">
        <f t="shared" si="2"/>
        <v xml:space="preserve">  </v>
      </c>
      <c r="C17" s="81" t="str">
        <f t="shared" si="3"/>
        <v xml:space="preserve">  </v>
      </c>
      <c r="D17" s="81" t="str">
        <f t="shared" si="4"/>
        <v xml:space="preserve"> </v>
      </c>
      <c r="E17" s="77" t="str">
        <f t="shared" si="5"/>
        <v xml:space="preserve"> </v>
      </c>
      <c r="G17" s="91"/>
      <c r="H17" s="91"/>
      <c r="L17" s="89" t="e">
        <f>SUM(L14:L16)</f>
        <v>#N/A</v>
      </c>
      <c r="N17" s="89" t="e">
        <f>SUM(N14:N16)</f>
        <v>#N/A</v>
      </c>
      <c r="Q17" s="66"/>
      <c r="R17" s="67"/>
      <c r="AE17" s="90"/>
    </row>
    <row r="18" spans="1:35" x14ac:dyDescent="0.25">
      <c r="A18">
        <v>15</v>
      </c>
      <c r="B18" s="80" t="str">
        <f t="shared" si="2"/>
        <v xml:space="preserve">  </v>
      </c>
      <c r="C18" s="81" t="str">
        <f t="shared" si="3"/>
        <v xml:space="preserve">  </v>
      </c>
      <c r="D18" s="81" t="str">
        <f t="shared" si="4"/>
        <v xml:space="preserve"> </v>
      </c>
      <c r="E18" s="77" t="str">
        <f t="shared" si="5"/>
        <v xml:space="preserve"> </v>
      </c>
      <c r="G18" s="91"/>
      <c r="H18" s="91"/>
      <c r="K18" t="s">
        <v>103</v>
      </c>
      <c r="M18" t="str">
        <f>CONCATENATE("A(",I15,")=")</f>
        <v>A(#NA)=</v>
      </c>
      <c r="N18" t="e">
        <f>IF(OR(P15&lt;=0,P16&lt;=0),N22,P15)</f>
        <v>#N/A</v>
      </c>
      <c r="Q18" s="66"/>
      <c r="R18" s="67"/>
      <c r="AE18" s="80"/>
    </row>
    <row r="19" spans="1:35" x14ac:dyDescent="0.25">
      <c r="A19">
        <v>16</v>
      </c>
      <c r="B19" s="80" t="str">
        <f t="shared" si="2"/>
        <v xml:space="preserve">  </v>
      </c>
      <c r="C19" s="81" t="str">
        <f t="shared" si="3"/>
        <v xml:space="preserve">  </v>
      </c>
      <c r="D19" s="81" t="str">
        <f t="shared" si="4"/>
        <v xml:space="preserve"> </v>
      </c>
      <c r="E19" s="77" t="str">
        <f t="shared" si="5"/>
        <v xml:space="preserve"> </v>
      </c>
      <c r="G19" s="91"/>
      <c r="H19" s="91"/>
      <c r="M19" t="str">
        <f>CONCATENATE("M(",I15,")=")</f>
        <v>M(#NA)=</v>
      </c>
      <c r="N19" t="e">
        <f>IF(OR(P15&lt;=0,P16&lt;=0),N23,P16)</f>
        <v>#N/A</v>
      </c>
      <c r="Q19" s="66"/>
      <c r="R19" s="67"/>
      <c r="AE19" s="80"/>
    </row>
    <row r="20" spans="1:35" x14ac:dyDescent="0.25">
      <c r="A20">
        <v>17</v>
      </c>
      <c r="B20" s="80" t="str">
        <f t="shared" si="2"/>
        <v xml:space="preserve">  </v>
      </c>
      <c r="C20" s="81" t="str">
        <f t="shared" si="3"/>
        <v xml:space="preserve">  </v>
      </c>
      <c r="D20" s="81" t="str">
        <f t="shared" si="4"/>
        <v xml:space="preserve"> </v>
      </c>
      <c r="E20" s="77" t="str">
        <f t="shared" si="5"/>
        <v xml:space="preserve"> </v>
      </c>
      <c r="G20" s="91"/>
      <c r="H20" s="91"/>
      <c r="Q20" s="66"/>
      <c r="R20" s="67"/>
      <c r="S20" s="68" t="e">
        <f>IF(OR(R24-R23=R23-R22,R25-R23=R23-R22),R22,IF(OR(R24-R23=R23-R21,R25-R23=R23-R21),R21,"-"))</f>
        <v>#VALUE!</v>
      </c>
      <c r="T20" s="69" t="e">
        <f>IFERROR(VLOOKUP(S20,STN_TABLE,2,FALSE),IF(R20=RisePerWLS,0,"-"))</f>
        <v>#VALUE!</v>
      </c>
      <c r="U20" s="69">
        <v>5</v>
      </c>
      <c r="V20" s="69" t="e">
        <f>T20*U20</f>
        <v>#VALUE!</v>
      </c>
      <c r="W20" s="69">
        <v>3</v>
      </c>
      <c r="X20" s="69" t="e">
        <f>T20*W20</f>
        <v>#VALUE!</v>
      </c>
      <c r="Y20" s="6" t="s">
        <v>93</v>
      </c>
      <c r="Z20" s="70" t="e">
        <f>IF(AND(S22-S21=S21-S20,NOT(AND(S20=0,S21=0)),NOT(AND(S21=0,S22=0))),WLS*(S22-S21),"#NA")</f>
        <v>#VALUE!</v>
      </c>
      <c r="AE20" s="80"/>
    </row>
    <row r="21" spans="1:35" x14ac:dyDescent="0.25">
      <c r="A21">
        <v>18</v>
      </c>
      <c r="B21" s="80" t="str">
        <f t="shared" si="2"/>
        <v xml:space="preserve">  </v>
      </c>
      <c r="C21" s="81" t="str">
        <f t="shared" si="3"/>
        <v xml:space="preserve">  </v>
      </c>
      <c r="D21" s="81" t="str">
        <f t="shared" si="4"/>
        <v xml:space="preserve"> </v>
      </c>
      <c r="E21" s="77" t="str">
        <f t="shared" si="5"/>
        <v xml:space="preserve"> </v>
      </c>
      <c r="G21" s="91"/>
      <c r="H21" s="91" t="str">
        <f>G14</f>
        <v>Rise</v>
      </c>
      <c r="I21" s="79" t="e">
        <f>H14</f>
        <v>#VALUE!</v>
      </c>
      <c r="J21" s="68">
        <v>0</v>
      </c>
      <c r="K21" s="68">
        <v>1</v>
      </c>
      <c r="L21" s="69">
        <f>J21*K21</f>
        <v>0</v>
      </c>
      <c r="M21" t="s">
        <v>93</v>
      </c>
      <c r="N21" t="e">
        <f>(I22-I21)*WLS</f>
        <v>#VALUE!</v>
      </c>
      <c r="Q21" s="66" t="str">
        <f t="shared" ref="Q21:R25" si="8">G5</f>
        <v>1st_UWL</v>
      </c>
      <c r="R21" s="67" t="str">
        <f t="shared" si="8"/>
        <v>#NA</v>
      </c>
      <c r="S21" s="76" t="str">
        <f>R23</f>
        <v>#NA</v>
      </c>
      <c r="T21" s="77" t="e">
        <f>VLOOKUP(S21,STN_TABLE,2,FALSE)</f>
        <v>#N/A</v>
      </c>
      <c r="U21" s="77">
        <v>8</v>
      </c>
      <c r="V21" s="77" t="e">
        <f>T21*U21</f>
        <v>#N/A</v>
      </c>
      <c r="W21" s="77">
        <v>10</v>
      </c>
      <c r="X21" s="77" t="e">
        <f>T21*W21</f>
        <v>#N/A</v>
      </c>
      <c r="Y21" s="78" t="s">
        <v>97</v>
      </c>
      <c r="Z21" s="78"/>
      <c r="AA21" s="78" t="s">
        <v>98</v>
      </c>
      <c r="AB21" s="78"/>
      <c r="AC21" s="7" t="s">
        <v>99</v>
      </c>
      <c r="AD21" s="7"/>
      <c r="AE21" s="80"/>
    </row>
    <row r="22" spans="1:35" x14ac:dyDescent="0.25">
      <c r="A22">
        <v>19</v>
      </c>
      <c r="B22" s="80" t="str">
        <f t="shared" si="2"/>
        <v xml:space="preserve">  </v>
      </c>
      <c r="C22" s="81" t="str">
        <f t="shared" si="3"/>
        <v xml:space="preserve">  </v>
      </c>
      <c r="D22" s="81" t="str">
        <f t="shared" si="4"/>
        <v xml:space="preserve"> </v>
      </c>
      <c r="E22" s="77" t="str">
        <f t="shared" si="5"/>
        <v xml:space="preserve"> </v>
      </c>
      <c r="G22" s="91"/>
      <c r="H22" s="91" t="str">
        <f>G15</f>
        <v>1st_UWL</v>
      </c>
      <c r="I22" s="88" t="str">
        <f>H15</f>
        <v>#NA</v>
      </c>
      <c r="J22" s="82" t="e">
        <f>VLOOKUP(I22,STN_TABLE,2,FALSE)</f>
        <v>#N/A</v>
      </c>
      <c r="K22" s="82">
        <v>2</v>
      </c>
      <c r="L22" s="83" t="e">
        <f>J22*K22</f>
        <v>#N/A</v>
      </c>
      <c r="M22" t="str">
        <f>CONCATENATE("A(",I22,")=")</f>
        <v>A(#NA)=</v>
      </c>
      <c r="N22" t="e">
        <f>2*N21/2*J23</f>
        <v>#VALUE!</v>
      </c>
      <c r="Q22" s="66" t="str">
        <f t="shared" si="8"/>
        <v>2nd_UWL</v>
      </c>
      <c r="R22" s="67" t="str">
        <f t="shared" si="8"/>
        <v>#NA</v>
      </c>
      <c r="S22" s="82" t="e">
        <f>IF(S20-S21=S21-R24,R24,IF(S20-S21=S21-R25,R25,"-"))</f>
        <v>#VALUE!</v>
      </c>
      <c r="T22" s="83" t="e">
        <f>VLOOKUP(S22,STN_TABLE,2,FALSE)</f>
        <v>#VALUE!</v>
      </c>
      <c r="U22" s="83">
        <v>-1</v>
      </c>
      <c r="V22" s="83" t="e">
        <f>T22*U22</f>
        <v>#VALUE!</v>
      </c>
      <c r="W22" s="83">
        <v>-1</v>
      </c>
      <c r="X22" s="83" t="e">
        <f>T22*W22</f>
        <v>#VALUE!</v>
      </c>
      <c r="Y22" s="84" t="str">
        <f>CONCATENATE("a'(",S21,")=")</f>
        <v>a'(#NA)=</v>
      </c>
      <c r="Z22" s="84" t="e">
        <f>2*Z20/12*V23</f>
        <v>#VALUE!</v>
      </c>
      <c r="AA22" s="84" t="e">
        <f>CONCATENATE("A(",S20,")=")</f>
        <v>#VALUE!</v>
      </c>
      <c r="AB22" s="84" t="e">
        <f>IF(S20=RisePerWLS,0,VLOOKUP(S20,STN_TABLE,3,FALSE))</f>
        <v>#VALUE!</v>
      </c>
      <c r="AC22" t="str">
        <f>CONCATENATE("A(",S21,")=")</f>
        <v>A(#NA)=</v>
      </c>
      <c r="AD22" t="e">
        <f>Z22+AB22</f>
        <v>#VALUE!</v>
      </c>
      <c r="AE22" s="80"/>
    </row>
    <row r="23" spans="1:35" x14ac:dyDescent="0.25">
      <c r="A23">
        <v>20</v>
      </c>
      <c r="B23" s="80" t="str">
        <f t="shared" si="2"/>
        <v xml:space="preserve">  </v>
      </c>
      <c r="C23" s="81" t="str">
        <f t="shared" si="3"/>
        <v xml:space="preserve">  </v>
      </c>
      <c r="D23" s="81" t="str">
        <f t="shared" si="4"/>
        <v xml:space="preserve"> </v>
      </c>
      <c r="E23" s="77" t="str">
        <f t="shared" si="5"/>
        <v xml:space="preserve"> </v>
      </c>
      <c r="J23" s="89" t="e">
        <f>SUM(J21:J22)</f>
        <v>#N/A</v>
      </c>
      <c r="L23" s="89" t="e">
        <f>SUM(L21:L22)</f>
        <v>#N/A</v>
      </c>
      <c r="M23" t="str">
        <f>CONCATENATE("M(",I22,")=")</f>
        <v>M(#NA)=</v>
      </c>
      <c r="N23" t="e">
        <f>(2*(N21^2)/6*L23)+N22*I21*WLS</f>
        <v>#VALUE!</v>
      </c>
      <c r="Q23" s="66" t="str">
        <f t="shared" si="8"/>
        <v>3rd_UWL</v>
      </c>
      <c r="R23" s="67" t="str">
        <f t="shared" si="8"/>
        <v>#NA</v>
      </c>
      <c r="V23" s="89" t="e">
        <f>SUM(V20:V22)</f>
        <v>#VALUE!</v>
      </c>
      <c r="X23" s="89" t="e">
        <f>SUM(X20:X22)</f>
        <v>#VALUE!</v>
      </c>
      <c r="Y23" s="84" t="str">
        <f>CONCATENATE("m'(",S21,")=")</f>
        <v>m'(#NA)=</v>
      </c>
      <c r="Z23" s="84" t="e">
        <f>(2*(Z20^2)/24*X23)+(Z22*S20*WLS)</f>
        <v>#VALUE!</v>
      </c>
      <c r="AA23" s="84" t="e">
        <f>CONCATENATE("M(",S20,")=")</f>
        <v>#VALUE!</v>
      </c>
      <c r="AB23" s="84" t="e">
        <f>IF(S20=RisePerWLS,0,VLOOKUP(S20,STN_TABLE,4,FALSE))</f>
        <v>#VALUE!</v>
      </c>
      <c r="AC23" t="str">
        <f>CONCATENATE("M(",S21,")=")</f>
        <v>M(#NA)=</v>
      </c>
      <c r="AD23" t="e">
        <f>Z23+AB23</f>
        <v>#VALUE!</v>
      </c>
      <c r="AE23" s="80"/>
    </row>
    <row r="24" spans="1:35" x14ac:dyDescent="0.25">
      <c r="A24">
        <v>21</v>
      </c>
      <c r="B24" s="80" t="str">
        <f t="shared" si="2"/>
        <v xml:space="preserve">  </v>
      </c>
      <c r="C24" s="81" t="str">
        <f t="shared" si="3"/>
        <v xml:space="preserve">  </v>
      </c>
      <c r="D24" s="81" t="str">
        <f t="shared" si="4"/>
        <v xml:space="preserve"> </v>
      </c>
      <c r="E24" s="77" t="str">
        <f t="shared" si="5"/>
        <v xml:space="preserve"> </v>
      </c>
      <c r="Q24" s="66" t="str">
        <f t="shared" si="8"/>
        <v>4th_UWL</v>
      </c>
      <c r="R24" s="67" t="str">
        <f t="shared" si="8"/>
        <v>#NA</v>
      </c>
      <c r="U24" t="s">
        <v>103</v>
      </c>
      <c r="W24" t="str">
        <f>CONCATENATE("A(",S21,")=")</f>
        <v>A(#NA)=</v>
      </c>
      <c r="X24" t="e">
        <f>IF(OR(AD22&lt;=0,AD23&lt;=0),AD27,AD22)</f>
        <v>#VALUE!</v>
      </c>
      <c r="AE24" s="80"/>
    </row>
    <row r="25" spans="1:35" x14ac:dyDescent="0.25">
      <c r="A25">
        <v>22</v>
      </c>
      <c r="B25" s="80" t="str">
        <f t="shared" si="2"/>
        <v xml:space="preserve">  </v>
      </c>
      <c r="C25" s="81" t="str">
        <f t="shared" si="3"/>
        <v xml:space="preserve">  </v>
      </c>
      <c r="D25" s="81" t="str">
        <f t="shared" si="4"/>
        <v xml:space="preserve"> </v>
      </c>
      <c r="E25" s="77" t="str">
        <f t="shared" si="5"/>
        <v xml:space="preserve"> </v>
      </c>
      <c r="G25" s="71" t="s">
        <v>111</v>
      </c>
      <c r="Q25" s="66" t="str">
        <f t="shared" si="8"/>
        <v>5th_UWL</v>
      </c>
      <c r="R25" s="67" t="str">
        <f t="shared" si="8"/>
        <v>#NA</v>
      </c>
      <c r="W25" t="str">
        <f>CONCATENATE("M(",S21,")=")</f>
        <v>M(#NA)=</v>
      </c>
      <c r="X25" t="e">
        <f>IF(OR(AD22&lt;=0,AD23&lt;=0),AD28,AD23)</f>
        <v>#VALUE!</v>
      </c>
      <c r="Y25" s="6" t="s">
        <v>93</v>
      </c>
      <c r="Z25" s="70" t="e">
        <f>WLS*(U27-U26)</f>
        <v>#VALUE!</v>
      </c>
      <c r="AE25" s="80"/>
    </row>
    <row r="26" spans="1:35" x14ac:dyDescent="0.25">
      <c r="A26">
        <v>23</v>
      </c>
      <c r="B26" s="80" t="str">
        <f t="shared" si="2"/>
        <v xml:space="preserve">  </v>
      </c>
      <c r="C26" s="81" t="str">
        <f t="shared" si="3"/>
        <v xml:space="preserve">  </v>
      </c>
      <c r="D26" s="81" t="str">
        <f t="shared" si="4"/>
        <v xml:space="preserve"> </v>
      </c>
      <c r="E26" s="77" t="str">
        <f t="shared" si="5"/>
        <v xml:space="preserve"> </v>
      </c>
      <c r="G26" s="91" t="str">
        <f t="shared" ref="G26:H28" si="9">G4</f>
        <v>Rise</v>
      </c>
      <c r="H26" s="91" t="e">
        <f t="shared" si="9"/>
        <v>#VALUE!</v>
      </c>
      <c r="I26" s="68" t="e">
        <f>H26</f>
        <v>#VALUE!</v>
      </c>
      <c r="J26" s="69">
        <v>0</v>
      </c>
      <c r="K26" s="69">
        <v>1</v>
      </c>
      <c r="L26" s="69">
        <f>J26*K26</f>
        <v>0</v>
      </c>
      <c r="M26" s="69" t="e">
        <f>I26</f>
        <v>#VALUE!</v>
      </c>
      <c r="N26" s="69" t="e">
        <f>L26*M26</f>
        <v>#VALUE!</v>
      </c>
      <c r="O26" t="s">
        <v>93</v>
      </c>
      <c r="P26" t="e">
        <f>IF(OR(J26=0,J27=0,J28=0),"#NA",IF(I28-I27=I27-I26,WLS*(I27-I26),"#NA"))</f>
        <v>#VALUE!</v>
      </c>
      <c r="Q26" s="66"/>
      <c r="R26" s="67"/>
      <c r="U26" s="79" t="str">
        <f>R22</f>
        <v>#NA</v>
      </c>
      <c r="V26" s="68" t="e">
        <f>VLOOKUP(U26,STN_TABLE,2,FALSE)</f>
        <v>#N/A</v>
      </c>
      <c r="W26" s="68">
        <v>1</v>
      </c>
      <c r="X26" s="69" t="e">
        <f>V26*W26</f>
        <v>#N/A</v>
      </c>
      <c r="Y26" s="78" t="s">
        <v>97</v>
      </c>
      <c r="Z26" s="78"/>
      <c r="AA26" s="78" t="s">
        <v>98</v>
      </c>
      <c r="AB26" s="78"/>
      <c r="AC26" s="7" t="s">
        <v>99</v>
      </c>
      <c r="AD26" s="7"/>
      <c r="AE26" s="80"/>
    </row>
    <row r="27" spans="1:35" x14ac:dyDescent="0.25">
      <c r="A27">
        <v>24</v>
      </c>
      <c r="B27" s="80" t="str">
        <f t="shared" si="2"/>
        <v xml:space="preserve">  </v>
      </c>
      <c r="C27" s="81" t="str">
        <f t="shared" si="3"/>
        <v xml:space="preserve">  </v>
      </c>
      <c r="D27" s="81" t="str">
        <f t="shared" si="4"/>
        <v xml:space="preserve"> </v>
      </c>
      <c r="E27" s="77" t="str">
        <f t="shared" si="5"/>
        <v xml:space="preserve"> </v>
      </c>
      <c r="G27" s="91" t="str">
        <f t="shared" si="9"/>
        <v>1st_UWL</v>
      </c>
      <c r="H27" s="91" t="str">
        <f t="shared" si="9"/>
        <v>#NA</v>
      </c>
      <c r="I27" s="76" t="e">
        <f>IF(H28-H27=H27-H26,H28,"#NA")</f>
        <v>#VALUE!</v>
      </c>
      <c r="J27" s="77" t="e">
        <f>VLOOKUP(I27,STN_TABLE,2,FALSE)</f>
        <v>#VALUE!</v>
      </c>
      <c r="K27" s="77">
        <v>4</v>
      </c>
      <c r="L27" s="77" t="e">
        <f>J27*K27</f>
        <v>#VALUE!</v>
      </c>
      <c r="M27" s="77" t="e">
        <f>I27</f>
        <v>#VALUE!</v>
      </c>
      <c r="N27" s="77" t="e">
        <f>L27*M27</f>
        <v>#VALUE!</v>
      </c>
      <c r="O27" t="e">
        <f>CONCATENATE("A(",I28,")=")</f>
        <v>#VALUE!</v>
      </c>
      <c r="P27" t="e">
        <f>2*P26/3*L29</f>
        <v>#VALUE!</v>
      </c>
      <c r="Q27" s="80"/>
      <c r="R27" s="81"/>
      <c r="U27" s="88" t="str">
        <f>R23</f>
        <v>#NA</v>
      </c>
      <c r="V27" s="82" t="e">
        <f>VLOOKUP(U27,STN_TABLE,2,FALSE)</f>
        <v>#N/A</v>
      </c>
      <c r="W27" s="82">
        <v>2</v>
      </c>
      <c r="X27" s="83" t="e">
        <f>V27*W27</f>
        <v>#N/A</v>
      </c>
      <c r="Y27" s="84" t="str">
        <f>CONCATENATE("a'(",U27,")=")</f>
        <v>a'(#NA)=</v>
      </c>
      <c r="Z27" s="84" t="e">
        <f>2*Z25/2*V28</f>
        <v>#VALUE!</v>
      </c>
      <c r="AA27" s="84" t="str">
        <f>CONCATENATE("A(",U26,")=")</f>
        <v>A(#NA)=</v>
      </c>
      <c r="AB27" s="84" t="e">
        <f>IF(U26=RisePerWLS,0,VLOOKUP(U26,STN_TABLE,3,FALSE))</f>
        <v>#VALUE!</v>
      </c>
      <c r="AC27" t="str">
        <f>CONCATENATE("A(",U27,")=")</f>
        <v>A(#NA)=</v>
      </c>
      <c r="AD27" t="e">
        <f>Z27+AB27</f>
        <v>#VALUE!</v>
      </c>
      <c r="AE27" s="80"/>
    </row>
    <row r="28" spans="1:35" x14ac:dyDescent="0.25">
      <c r="A28">
        <v>25</v>
      </c>
      <c r="B28" s="88" t="str">
        <f t="shared" si="2"/>
        <v xml:space="preserve">  </v>
      </c>
      <c r="C28" s="92" t="str">
        <f t="shared" si="3"/>
        <v xml:space="preserve">  </v>
      </c>
      <c r="D28" s="81" t="str">
        <f t="shared" si="4"/>
        <v xml:space="preserve"> </v>
      </c>
      <c r="E28" s="77" t="str">
        <f t="shared" si="5"/>
        <v xml:space="preserve"> </v>
      </c>
      <c r="G28" s="91" t="str">
        <f t="shared" si="9"/>
        <v>2nd_UWL</v>
      </c>
      <c r="H28" s="91" t="str">
        <f t="shared" si="9"/>
        <v>#NA</v>
      </c>
      <c r="I28" s="82" t="e">
        <f>IF(H28-H27=H27-H26,H28,"#NA")</f>
        <v>#VALUE!</v>
      </c>
      <c r="J28" s="83" t="e">
        <f>VLOOKUP(I28,STN_TABLE,2,FALSE)</f>
        <v>#VALUE!</v>
      </c>
      <c r="K28" s="83">
        <v>1</v>
      </c>
      <c r="L28" s="83" t="e">
        <f>J28*K28</f>
        <v>#VALUE!</v>
      </c>
      <c r="M28" s="83" t="e">
        <f>I28</f>
        <v>#VALUE!</v>
      </c>
      <c r="N28" s="83" t="e">
        <f>L28*M28</f>
        <v>#VALUE!</v>
      </c>
      <c r="O28" t="e">
        <f>CONCATENATE("M(",I28,")=")</f>
        <v>#VALUE!</v>
      </c>
      <c r="P28" t="e">
        <f>2*(P26*WLS)/3*N29</f>
        <v>#VALUE!</v>
      </c>
      <c r="Q28" s="80"/>
      <c r="R28" s="81"/>
      <c r="V28" s="89" t="e">
        <f>SUM(V26:V27)</f>
        <v>#N/A</v>
      </c>
      <c r="X28" s="89" t="e">
        <f>SUM(X26:X27)</f>
        <v>#N/A</v>
      </c>
      <c r="Y28" s="84" t="str">
        <f>CONCATENATE("m'(",U27,")=")</f>
        <v>m'(#NA)=</v>
      </c>
      <c r="Z28" s="84" t="e">
        <f>(2*(Z25^2)/6*X28)+(Z27*U26*WLS)</f>
        <v>#VALUE!</v>
      </c>
      <c r="AA28" s="84" t="str">
        <f>CONCATENATE("M(",U26,")=")</f>
        <v>M(#NA)=</v>
      </c>
      <c r="AB28" s="84" t="e">
        <f>IF(U26=RisePerWLS,0,VLOOKUP(U26,STN_TABLE,4,FALSE))</f>
        <v>#VALUE!</v>
      </c>
      <c r="AC28" t="str">
        <f>CONCATENATE("M(",U27,")=")</f>
        <v>M(#NA)=</v>
      </c>
      <c r="AD28" t="e">
        <f>Z28+AB28</f>
        <v>#VALUE!</v>
      </c>
      <c r="AE28" s="80"/>
    </row>
    <row r="29" spans="1:35" x14ac:dyDescent="0.25">
      <c r="G29" s="91"/>
      <c r="H29" s="91"/>
      <c r="L29" s="89" t="e">
        <f>SUM(L26:L28)</f>
        <v>#VALUE!</v>
      </c>
      <c r="N29" s="89" t="e">
        <f>SUM(N26:N28)</f>
        <v>#VALUE!</v>
      </c>
      <c r="Q29" s="80"/>
      <c r="R29" s="81"/>
      <c r="AE29" s="80"/>
    </row>
    <row r="30" spans="1:35" x14ac:dyDescent="0.25">
      <c r="G30" s="91"/>
      <c r="H30" s="91"/>
    </row>
    <row r="31" spans="1:35" x14ac:dyDescent="0.25">
      <c r="G31" s="91"/>
      <c r="H31" s="91"/>
    </row>
    <row r="32" spans="1:35" x14ac:dyDescent="0.25">
      <c r="G32" s="91"/>
      <c r="H32" s="91"/>
      <c r="Q32" s="68">
        <f>B4</f>
        <v>0</v>
      </c>
      <c r="R32" s="69">
        <f>VLOOKUP(Q32,STN_TABLE,2,FALSE)</f>
        <v>5.6</v>
      </c>
      <c r="S32" s="69">
        <v>5</v>
      </c>
      <c r="T32" s="68">
        <f>R32*S32</f>
        <v>28</v>
      </c>
      <c r="U32" s="79">
        <v>3</v>
      </c>
      <c r="V32" s="68">
        <f>R32*U32</f>
        <v>16.799999999999997</v>
      </c>
      <c r="W32" t="s">
        <v>93</v>
      </c>
      <c r="X32" s="70">
        <f>IF(AND(Q34-Q33=Q33-Q32,NOT(AND(Q32=0,Q33=0)),NOT(AND(Q33=0,Q34=0))),WLS*(Q34-Q33),"#NA")</f>
        <v>0.5</v>
      </c>
      <c r="AD32" s="93"/>
      <c r="AH32" s="6" t="s">
        <v>93</v>
      </c>
      <c r="AI32" s="70">
        <f>WLS*(AD34-AD33)</f>
        <v>0.5</v>
      </c>
    </row>
    <row r="33" spans="1:47" x14ac:dyDescent="0.25">
      <c r="Q33" s="76">
        <f>B5</f>
        <v>0.25</v>
      </c>
      <c r="R33" s="77">
        <f>VLOOKUP(Q33,STN_TABLE,2,FALSE)</f>
        <v>6.89</v>
      </c>
      <c r="S33" s="77">
        <v>8</v>
      </c>
      <c r="T33" s="76">
        <f>R33*S33</f>
        <v>55.12</v>
      </c>
      <c r="U33" s="80">
        <v>10</v>
      </c>
      <c r="V33" s="76">
        <f>R33*U33</f>
        <v>68.899999999999991</v>
      </c>
      <c r="W33" s="495" t="s">
        <v>97</v>
      </c>
      <c r="X33" s="496"/>
      <c r="Y33" s="496" t="s">
        <v>98</v>
      </c>
      <c r="Z33" s="496"/>
      <c r="AA33" s="494" t="s">
        <v>99</v>
      </c>
      <c r="AB33" s="494"/>
      <c r="AC33" s="94">
        <v>1</v>
      </c>
      <c r="AD33" s="95">
        <f>VLOOKUP(AC33,STN_TABLE_2,2,FALSE)</f>
        <v>0</v>
      </c>
      <c r="AE33" s="68">
        <f>VLOOKUP(AD33,STN_TABLE,2,FALSE)</f>
        <v>5.6</v>
      </c>
      <c r="AF33" s="68">
        <v>1</v>
      </c>
      <c r="AG33" s="69">
        <f>AE33*AF33</f>
        <v>5.6</v>
      </c>
      <c r="AH33" s="496" t="s">
        <v>97</v>
      </c>
      <c r="AI33" s="496"/>
      <c r="AJ33" s="496" t="s">
        <v>98</v>
      </c>
      <c r="AK33" s="496"/>
      <c r="AL33" s="494" t="s">
        <v>99</v>
      </c>
      <c r="AM33" s="494"/>
      <c r="AP33" s="96" t="s">
        <v>112</v>
      </c>
      <c r="AQ33" s="89" t="s">
        <v>113</v>
      </c>
      <c r="AR33" s="89" t="s">
        <v>114</v>
      </c>
      <c r="AS33" s="89" t="s">
        <v>115</v>
      </c>
      <c r="AT33" s="97" t="s">
        <v>116</v>
      </c>
      <c r="AU33" s="98"/>
    </row>
    <row r="34" spans="1:47" x14ac:dyDescent="0.25">
      <c r="Q34" s="82">
        <f>B6</f>
        <v>0.5</v>
      </c>
      <c r="R34" s="83">
        <f>VLOOKUP(Q34,STN_TABLE,2,FALSE)</f>
        <v>7.56</v>
      </c>
      <c r="S34" s="83">
        <v>-1</v>
      </c>
      <c r="T34" s="82">
        <f>R34*S34</f>
        <v>-7.56</v>
      </c>
      <c r="U34" s="88">
        <v>-1</v>
      </c>
      <c r="V34" s="82">
        <f>R34*U34</f>
        <v>-7.56</v>
      </c>
      <c r="W34" s="84" t="str">
        <f>CONCATENATE("a'(",Q33,")=")</f>
        <v>a'(0.25)=</v>
      </c>
      <c r="X34" s="84">
        <f>2*X32/12*T35</f>
        <v>6.2966666666666669</v>
      </c>
      <c r="Y34" s="84" t="str">
        <f>CONCATENATE("A(",Q32,")=")</f>
        <v>A(0)=</v>
      </c>
      <c r="Z34" s="84">
        <f>VLOOKUP(Q32,STN_TABLE,3,FALSE)</f>
        <v>0</v>
      </c>
      <c r="AA34" t="str">
        <f>CONCATENATE("A(",Q33,")=")</f>
        <v>A(0.25)=</v>
      </c>
      <c r="AB34">
        <f>X34+Z34</f>
        <v>6.2966666666666669</v>
      </c>
      <c r="AC34" s="99">
        <f>AC33+1</f>
        <v>2</v>
      </c>
      <c r="AD34" s="100">
        <f>VLOOKUP(AC34,STN_TABLE_2,2,FALSE)</f>
        <v>0.25</v>
      </c>
      <c r="AE34" s="82">
        <f>VLOOKUP(AD34,STN_TABLE,2,FALSE)</f>
        <v>6.89</v>
      </c>
      <c r="AF34" s="82">
        <v>2</v>
      </c>
      <c r="AG34" s="83">
        <f>AE34*AF34</f>
        <v>13.78</v>
      </c>
      <c r="AH34" s="84" t="str">
        <f>CONCATENATE("a'(",AD34,")=")</f>
        <v>a'(0.25)=</v>
      </c>
      <c r="AI34" s="84">
        <f>2*AI32/2*AE35</f>
        <v>6.2449999999999992</v>
      </c>
      <c r="AJ34" s="84" t="str">
        <f>CONCATENATE("A(",AD33,")=")</f>
        <v>A(0)=</v>
      </c>
      <c r="AK34" s="84">
        <f>VLOOKUP(AD33,STN_TABLE,3,FALSE)</f>
        <v>0</v>
      </c>
      <c r="AL34" t="str">
        <f>CONCATENATE("A(",AD34,")=")</f>
        <v>A(0.25)=</v>
      </c>
      <c r="AM34">
        <f>AI34+AK34</f>
        <v>6.2449999999999992</v>
      </c>
      <c r="AO34" s="68" t="str">
        <f>AA34</f>
        <v>A(0.25)=</v>
      </c>
      <c r="AP34" s="79" t="e">
        <f>VLOOKUP(AO34,Rise_Results,2,FALSE)</f>
        <v>#N/A</v>
      </c>
      <c r="AQ34" s="76" t="s">
        <v>117</v>
      </c>
      <c r="AR34" s="76">
        <f>IF(OR(AB34&lt;=0,AB35&lt;=0),1/0,AB34)</f>
        <v>6.2966666666666669</v>
      </c>
      <c r="AS34" s="76">
        <f>AM34</f>
        <v>6.2449999999999992</v>
      </c>
      <c r="AT34" s="80">
        <f>IFERROR(AP34,IFERROR(AR34,AS34))</f>
        <v>6.2966666666666669</v>
      </c>
    </row>
    <row r="35" spans="1:47" x14ac:dyDescent="0.25">
      <c r="A35" s="101"/>
      <c r="T35" s="89">
        <f>SUM(T32:T34)</f>
        <v>75.56</v>
      </c>
      <c r="V35" s="82">
        <f>SUM(V32:V34)</f>
        <v>78.139999999999986</v>
      </c>
      <c r="W35" s="84" t="str">
        <f>CONCATENATE("m'(",Q33,")=")</f>
        <v>m'(0.25)=</v>
      </c>
      <c r="X35" s="84">
        <f>(2*(X32^2)/24*V35)</f>
        <v>1.6279166666666662</v>
      </c>
      <c r="Y35" s="84" t="str">
        <f>CONCATENATE("M(",Q32,")=")</f>
        <v>M(0)=</v>
      </c>
      <c r="Z35" s="84">
        <f>VLOOKUP(Q32,STN_TABLE,4,FALSE)</f>
        <v>0</v>
      </c>
      <c r="AA35" t="str">
        <f>CONCATENATE("M(",Q33,")=")</f>
        <v>M(0.25)=</v>
      </c>
      <c r="AB35">
        <f>X35+Z35</f>
        <v>1.6279166666666662</v>
      </c>
      <c r="AE35" s="89">
        <f>SUM(AE33:AE34)</f>
        <v>12.489999999999998</v>
      </c>
      <c r="AG35" s="89">
        <f>SUM(AG33:AG34)</f>
        <v>19.38</v>
      </c>
      <c r="AH35" s="84" t="str">
        <f>CONCATENATE("m'(",AD34,")=")</f>
        <v>m'(0.25)=</v>
      </c>
      <c r="AI35" s="84">
        <f>(2*(AI32^2)/6*AG35)+(AI34*AD33*WLS)</f>
        <v>1.6149999999999998</v>
      </c>
      <c r="AJ35" s="84" t="str">
        <f>CONCATENATE("M(",AD33,")=")</f>
        <v>M(0)=</v>
      </c>
      <c r="AK35" s="84">
        <f>VLOOKUP(AD33,STN_TABLE,4,FALSE)</f>
        <v>0</v>
      </c>
      <c r="AL35" t="str">
        <f>CONCATENATE("M(",AD34,")=")</f>
        <v>M(0.25)=</v>
      </c>
      <c r="AM35">
        <f>AI35+AK35</f>
        <v>1.6149999999999998</v>
      </c>
      <c r="AO35" s="82" t="str">
        <f>AA35</f>
        <v>M(0.25)=</v>
      </c>
      <c r="AP35" s="88" t="e">
        <f>VLOOKUP(AO35,Rise_Results,2,FALSE)</f>
        <v>#N/A</v>
      </c>
      <c r="AQ35" s="82" t="s">
        <v>117</v>
      </c>
      <c r="AR35" s="82">
        <f>IF(OR(AB34&lt;=0,AB35&lt;=0),1/0,AB35)</f>
        <v>1.6279166666666662</v>
      </c>
      <c r="AS35" s="82">
        <f>AM35</f>
        <v>1.6149999999999998</v>
      </c>
      <c r="AT35" s="80">
        <f>IFERROR(AP35,IFERROR(AR35,AS35))</f>
        <v>1.6279166666666662</v>
      </c>
    </row>
    <row r="36" spans="1:47" x14ac:dyDescent="0.25">
      <c r="O36" s="94">
        <v>1</v>
      </c>
      <c r="P36" s="101">
        <f t="shared" ref="P36:P67" si="10">VLOOKUP(O36,STN_TABLE_2,2,FALSE)</f>
        <v>0</v>
      </c>
      <c r="AU36" s="81"/>
    </row>
    <row r="37" spans="1:47" x14ac:dyDescent="0.25">
      <c r="A37" s="94">
        <v>1</v>
      </c>
      <c r="B37" s="94">
        <f>VLOOKUP(A37,STN_TABLE_2,2,FALSE)</f>
        <v>0</v>
      </c>
      <c r="C37" s="79">
        <f>B37</f>
        <v>0</v>
      </c>
      <c r="D37" s="68">
        <f>VLOOKUP(C37,STN_TABLE,2,FALSE)</f>
        <v>5.6</v>
      </c>
      <c r="E37" s="102">
        <v>1</v>
      </c>
      <c r="F37" s="68">
        <f>D37*E37</f>
        <v>5.6</v>
      </c>
      <c r="G37" s="69">
        <f>C37</f>
        <v>0</v>
      </c>
      <c r="H37" s="69">
        <f>F37*G37</f>
        <v>0</v>
      </c>
      <c r="I37" s="6" t="s">
        <v>93</v>
      </c>
      <c r="J37" s="70">
        <f>IF(OR(D37=0,D38=0,D39=0),"#NA",IF(AND(C39-C38=C38-C37,C38&lt;&gt;C39,C37&lt;&gt;C38,C37&lt;&gt;C39,D39&lt;&gt;0,OR(D37&lt;&gt;0,D38&lt;&gt;0)),WLS*(C39-C38),"#NA"))</f>
        <v>0.5</v>
      </c>
      <c r="O37" s="99">
        <f>O36+1</f>
        <v>2</v>
      </c>
      <c r="P37" s="99">
        <f t="shared" si="10"/>
        <v>0.25</v>
      </c>
      <c r="Q37" s="68">
        <f>IF(OR(P39-P38=P38-P37,P40-P38=P38-P37),P37,IF(OR(P39-P38=P38-P36,P40-P38=P38-P36),P36,"-"))</f>
        <v>0.25</v>
      </c>
      <c r="R37" s="69">
        <f>VLOOKUP(Q37,STN_TABLE,2,FALSE)</f>
        <v>6.89</v>
      </c>
      <c r="S37" s="69">
        <v>5</v>
      </c>
      <c r="T37" s="68">
        <f>R37*S37</f>
        <v>34.449999999999996</v>
      </c>
      <c r="U37" s="79">
        <v>3</v>
      </c>
      <c r="V37" s="68">
        <f>R37*U37</f>
        <v>20.669999999999998</v>
      </c>
      <c r="W37" s="6" t="s">
        <v>93</v>
      </c>
      <c r="X37" s="70">
        <f>IF(AND(Q39-Q38=Q38-Q37,NOT(AND(Q37=0,Q38=0)),NOT(AND(Q38=0,Q39=0))),WLS*(Q39-Q38),"#NA")</f>
        <v>0.5</v>
      </c>
      <c r="AD37" s="93"/>
      <c r="AH37" s="6" t="s">
        <v>93</v>
      </c>
      <c r="AI37" s="70">
        <f>WLS*(AD39-AD38)</f>
        <v>0.5</v>
      </c>
      <c r="AU37" s="81"/>
    </row>
    <row r="38" spans="1:47" x14ac:dyDescent="0.25">
      <c r="A38" s="94">
        <f>A37+1</f>
        <v>2</v>
      </c>
      <c r="B38" s="94">
        <f>VLOOKUP(A38,STN_TABLE_2,2,FALSE)</f>
        <v>0.25</v>
      </c>
      <c r="C38" s="80">
        <f>B38</f>
        <v>0.25</v>
      </c>
      <c r="D38" s="76">
        <f>VLOOKUP(C38,STN_TABLE,2,FALSE)</f>
        <v>6.89</v>
      </c>
      <c r="E38" s="81">
        <v>4</v>
      </c>
      <c r="F38" s="76">
        <f>D38*E38</f>
        <v>27.56</v>
      </c>
      <c r="G38" s="77">
        <f>C38</f>
        <v>0.25</v>
      </c>
      <c r="H38" s="77">
        <f>F38*G38</f>
        <v>6.89</v>
      </c>
      <c r="I38" s="496" t="s">
        <v>97</v>
      </c>
      <c r="J38" s="496"/>
      <c r="K38" s="78" t="s">
        <v>98</v>
      </c>
      <c r="L38" s="78"/>
      <c r="M38" s="7" t="s">
        <v>99</v>
      </c>
      <c r="N38" s="7"/>
      <c r="O38" s="99">
        <f>O37+1</f>
        <v>3</v>
      </c>
      <c r="P38" s="99">
        <f t="shared" si="10"/>
        <v>0.5</v>
      </c>
      <c r="Q38" s="76">
        <f>P38</f>
        <v>0.5</v>
      </c>
      <c r="R38" s="77">
        <f>VLOOKUP(Q38,STN_TABLE,2,FALSE)</f>
        <v>7.56</v>
      </c>
      <c r="S38" s="77">
        <v>8</v>
      </c>
      <c r="T38" s="76">
        <f>R38*S38</f>
        <v>60.48</v>
      </c>
      <c r="U38" s="80">
        <v>10</v>
      </c>
      <c r="V38" s="76">
        <f>R38*U38</f>
        <v>75.599999999999994</v>
      </c>
      <c r="W38" s="496" t="s">
        <v>97</v>
      </c>
      <c r="X38" s="496"/>
      <c r="Y38" s="496" t="s">
        <v>98</v>
      </c>
      <c r="Z38" s="496"/>
      <c r="AA38" s="494" t="s">
        <v>99</v>
      </c>
      <c r="AB38" s="494"/>
      <c r="AC38" s="99">
        <f>AC33+1</f>
        <v>2</v>
      </c>
      <c r="AD38" s="95">
        <f>VLOOKUP(AC38,STN_TABLE_2,2,FALSE)</f>
        <v>0.25</v>
      </c>
      <c r="AE38" s="68">
        <f>VLOOKUP(AD38,STN_TABLE,2,FALSE)</f>
        <v>6.89</v>
      </c>
      <c r="AF38" s="68">
        <v>1</v>
      </c>
      <c r="AG38" s="69">
        <f>AE38*AF38</f>
        <v>6.89</v>
      </c>
      <c r="AH38" s="496" t="s">
        <v>97</v>
      </c>
      <c r="AI38" s="496"/>
      <c r="AJ38" s="496" t="s">
        <v>98</v>
      </c>
      <c r="AK38" s="496"/>
      <c r="AL38" s="494" t="s">
        <v>99</v>
      </c>
      <c r="AM38" s="494"/>
      <c r="AP38" s="86" t="s">
        <v>112</v>
      </c>
      <c r="AQ38" s="89" t="s">
        <v>113</v>
      </c>
      <c r="AR38" s="89" t="s">
        <v>114</v>
      </c>
      <c r="AS38" s="89" t="s">
        <v>115</v>
      </c>
    </row>
    <row r="39" spans="1:47" x14ac:dyDescent="0.25">
      <c r="A39" s="94">
        <f>A38+1</f>
        <v>3</v>
      </c>
      <c r="B39" s="94">
        <f>VLOOKUP(A39,STN_TABLE_2,2,FALSE)</f>
        <v>0.5</v>
      </c>
      <c r="C39" s="88">
        <f>B39</f>
        <v>0.5</v>
      </c>
      <c r="D39" s="82">
        <f>VLOOKUP(C39,STN_TABLE,2,FALSE)</f>
        <v>7.56</v>
      </c>
      <c r="E39" s="92">
        <v>1</v>
      </c>
      <c r="F39" s="82">
        <f>D39*E39</f>
        <v>7.56</v>
      </c>
      <c r="G39" s="83">
        <f>C39</f>
        <v>0.5</v>
      </c>
      <c r="H39" s="83">
        <f>F39*G39</f>
        <v>3.78</v>
      </c>
      <c r="I39" s="84" t="str">
        <f>CONCATENATE("a'(",C39,")=")</f>
        <v>a'(0.5)=</v>
      </c>
      <c r="J39" s="84">
        <f>2*J37/3*F40</f>
        <v>13.573333333333332</v>
      </c>
      <c r="K39" s="84" t="str">
        <f>CONCATENATE("A(",C37,")=")</f>
        <v>A(0)=</v>
      </c>
      <c r="L39" s="84">
        <f>VLOOKUP(C37,STN_TABLE,3,FALSE)</f>
        <v>0</v>
      </c>
      <c r="M39" t="str">
        <f>CONCATENATE("A(",C39,")=")</f>
        <v>A(0.5)=</v>
      </c>
      <c r="N39">
        <f>J39+L39</f>
        <v>13.573333333333332</v>
      </c>
      <c r="O39" s="99">
        <f>O38+1</f>
        <v>4</v>
      </c>
      <c r="P39" s="99">
        <f t="shared" si="10"/>
        <v>0.75</v>
      </c>
      <c r="Q39" s="82">
        <f>IF(P39-P38=P38-P37,P39,IF(P40-P38=P38-P37,P40,IF(P39-P38=P38-P36,P39,IF(P40-P38=P38-P36,P40,"-"))))</f>
        <v>0.75</v>
      </c>
      <c r="R39" s="83">
        <f>VLOOKUP(Q39,STN_TABLE,2,FALSE)</f>
        <v>8.0399999999999991</v>
      </c>
      <c r="S39" s="83">
        <v>-1</v>
      </c>
      <c r="T39" s="82">
        <f>R39*S39</f>
        <v>-8.0399999999999991</v>
      </c>
      <c r="U39" s="88">
        <v>-1</v>
      </c>
      <c r="V39" s="82">
        <f>R39*U39</f>
        <v>-8.0399999999999991</v>
      </c>
      <c r="W39" s="84" t="str">
        <f>CONCATENATE("a'(",Q38,")=")</f>
        <v>a'(0.5)=</v>
      </c>
      <c r="X39" s="84">
        <f>2*X37/12*T40</f>
        <v>7.2408333333333319</v>
      </c>
      <c r="Y39" s="84" t="str">
        <f>CONCATENATE("A(",Q37,")=")</f>
        <v>A(0.25)=</v>
      </c>
      <c r="Z39" s="84">
        <f>VLOOKUP(Q37,STN_TABLE,3,FALSE)</f>
        <v>6.2966666666666669</v>
      </c>
      <c r="AA39" t="str">
        <f>CONCATENATE("A(",Q38,")=")</f>
        <v>A(0.5)=</v>
      </c>
      <c r="AB39">
        <f>X39+Z39</f>
        <v>13.537499999999998</v>
      </c>
      <c r="AC39" s="99">
        <f>AC38+1</f>
        <v>3</v>
      </c>
      <c r="AD39" s="100">
        <f>VLOOKUP(AC39,STN_TABLE_2,2,FALSE)</f>
        <v>0.5</v>
      </c>
      <c r="AE39" s="82">
        <f>VLOOKUP(AD39,STN_TABLE,2,FALSE)</f>
        <v>7.56</v>
      </c>
      <c r="AF39" s="82">
        <v>2</v>
      </c>
      <c r="AG39" s="83">
        <f>AE39*AF39</f>
        <v>15.12</v>
      </c>
      <c r="AH39" s="84" t="str">
        <f>CONCATENATE("a'(",AD39,")=")</f>
        <v>a'(0.5)=</v>
      </c>
      <c r="AI39" s="84">
        <f>2*AI37/2*AE40</f>
        <v>7.2249999999999996</v>
      </c>
      <c r="AJ39" s="84" t="str">
        <f>CONCATENATE("A(",AD38,")=")</f>
        <v>A(0.25)=</v>
      </c>
      <c r="AK39" s="84">
        <f>VLOOKUP(AD38,STN_TABLE,3,FALSE)</f>
        <v>6.2966666666666669</v>
      </c>
      <c r="AL39" t="str">
        <f>CONCATENATE("A(",AD39,")=")</f>
        <v>A(0.5)=</v>
      </c>
      <c r="AM39">
        <f>AI39+AK39</f>
        <v>13.521666666666667</v>
      </c>
      <c r="AO39" s="68" t="str">
        <f>AA39</f>
        <v>A(0.5)=</v>
      </c>
      <c r="AP39" s="68" t="e">
        <f>VLOOKUP(AO39,Rise_Results,2,FALSE)</f>
        <v>#N/A</v>
      </c>
      <c r="AQ39" s="76">
        <f>N39</f>
        <v>13.573333333333332</v>
      </c>
      <c r="AR39" s="76">
        <f>IF(OR(AB39&lt;=0,AB40&lt;=0),1/0,AB39)</f>
        <v>13.537499999999998</v>
      </c>
      <c r="AS39" s="76">
        <f>AM39</f>
        <v>13.521666666666667</v>
      </c>
      <c r="AT39">
        <f>IFERROR(AP39,IFERROR(AQ39,IFERROR(AR39,AS39)))</f>
        <v>13.573333333333332</v>
      </c>
    </row>
    <row r="40" spans="1:47" x14ac:dyDescent="0.25">
      <c r="A40">
        <v>4</v>
      </c>
      <c r="F40" s="82">
        <f>SUM(F37:F39)</f>
        <v>40.72</v>
      </c>
      <c r="H40" s="82">
        <f>SUM(H37:H39)</f>
        <v>10.67</v>
      </c>
      <c r="I40" s="84" t="str">
        <f>CONCATENATE("m'(",C39,")=")</f>
        <v>m'(0.5)=</v>
      </c>
      <c r="J40" s="84">
        <f>2*(J37*(WLS))/3*H40</f>
        <v>7.1133333333333333</v>
      </c>
      <c r="K40" s="84" t="str">
        <f>CONCATENATE("M(",C37,")=")</f>
        <v>M(0)=</v>
      </c>
      <c r="L40" s="84">
        <f>VLOOKUP(C37,STN_TABLE,4,FALSE)</f>
        <v>0</v>
      </c>
      <c r="M40" t="str">
        <f>CONCATENATE("M(",C39,")=")</f>
        <v>M(0.5)=</v>
      </c>
      <c r="N40">
        <f>J40+L40</f>
        <v>7.1133333333333333</v>
      </c>
      <c r="O40" s="99">
        <f>O39+1</f>
        <v>5</v>
      </c>
      <c r="P40" s="99">
        <f t="shared" si="10"/>
        <v>1</v>
      </c>
      <c r="T40" s="89">
        <f>SUM(T37:T39)</f>
        <v>86.889999999999986</v>
      </c>
      <c r="V40" s="82">
        <f>SUM(V37:V39)</f>
        <v>88.22999999999999</v>
      </c>
      <c r="W40" s="84" t="str">
        <f>CONCATENATE("m'(",Q38,")=")</f>
        <v>m'(0.5)=</v>
      </c>
      <c r="X40" s="84">
        <f>(2*(X37^2)/24*V40)+(X39*Q37*WLS)</f>
        <v>5.4585416666666653</v>
      </c>
      <c r="Y40" s="84" t="str">
        <f>CONCATENATE("M(",Q37,")=")</f>
        <v>M(0.25)=</v>
      </c>
      <c r="Z40" s="84">
        <f>VLOOKUP(Q37,STN_TABLE,4,FALSE)</f>
        <v>1.6279166666666662</v>
      </c>
      <c r="AA40" t="str">
        <f>CONCATENATE("M(",Q38,")=")</f>
        <v>M(0.5)=</v>
      </c>
      <c r="AB40">
        <f>X40+Z40</f>
        <v>7.0864583333333311</v>
      </c>
      <c r="AE40" s="89">
        <f>SUM(AE38:AE39)</f>
        <v>14.45</v>
      </c>
      <c r="AG40" s="89">
        <f>SUM(AG38:AG39)</f>
        <v>22.009999999999998</v>
      </c>
      <c r="AH40" s="84" t="str">
        <f>CONCATENATE("m'(",AD39,")=")</f>
        <v>m'(0.5)=</v>
      </c>
      <c r="AI40" s="84">
        <f>(2*(AI37^2)/6*AG40)+(AI39*AD38*WLS)</f>
        <v>5.4466666666666663</v>
      </c>
      <c r="AJ40" s="84" t="str">
        <f>CONCATENATE("M(",AD38,")=")</f>
        <v>M(0.25)=</v>
      </c>
      <c r="AK40" s="84">
        <f>VLOOKUP(AD38,STN_TABLE,4,FALSE)</f>
        <v>1.6279166666666662</v>
      </c>
      <c r="AL40" t="str">
        <f>CONCATENATE("M(",AD39,")=")</f>
        <v>M(0.5)=</v>
      </c>
      <c r="AM40">
        <f>AI40+AK40</f>
        <v>7.074583333333333</v>
      </c>
      <c r="AO40" s="82" t="str">
        <f>AA40</f>
        <v>M(0.5)=</v>
      </c>
      <c r="AP40" s="82" t="e">
        <f>VLOOKUP(AO40,Rise_Results,2,FALSE)</f>
        <v>#N/A</v>
      </c>
      <c r="AQ40" s="82">
        <f>N40</f>
        <v>7.1133333333333333</v>
      </c>
      <c r="AR40" s="82">
        <f>IF(OR(AB39&lt;=0,AB40&lt;=0),1/0,AB40)</f>
        <v>7.0864583333333311</v>
      </c>
      <c r="AS40" s="82">
        <f>AM40</f>
        <v>7.074583333333333</v>
      </c>
      <c r="AT40">
        <f>IFERROR(AP40,IFERROR(AQ40,IFERROR(AR40,AS40)))</f>
        <v>7.1133333333333333</v>
      </c>
    </row>
    <row r="41" spans="1:47" x14ac:dyDescent="0.25">
      <c r="A41" s="94">
        <v>0</v>
      </c>
      <c r="O41" s="101">
        <f>O36+1</f>
        <v>2</v>
      </c>
      <c r="P41" s="101">
        <f t="shared" si="10"/>
        <v>0.25</v>
      </c>
    </row>
    <row r="42" spans="1:47" x14ac:dyDescent="0.25">
      <c r="A42" s="94">
        <f>A41+1</f>
        <v>1</v>
      </c>
      <c r="B42" s="94">
        <f t="shared" ref="B42:B73" si="11">VLOOKUP(A42,STN_TABLE_2,2,FALSE)</f>
        <v>0</v>
      </c>
      <c r="C42" s="79">
        <f>IF(C43=B43,B42,IF(C43=B44,IF(C44-C43=C43-B43,B43,IF(C44-C43=C43-B42,B42,"NA"))))</f>
        <v>0.25</v>
      </c>
      <c r="D42" s="68">
        <f>VLOOKUP(C42,STN_TABLE,2,FALSE)</f>
        <v>6.89</v>
      </c>
      <c r="E42" s="102">
        <v>1</v>
      </c>
      <c r="F42" s="68">
        <f>D42*E42</f>
        <v>6.89</v>
      </c>
      <c r="G42" s="69">
        <f>C42</f>
        <v>0.25</v>
      </c>
      <c r="H42" s="69">
        <f>F42*G42</f>
        <v>1.7224999999999999</v>
      </c>
      <c r="I42" s="6" t="s">
        <v>93</v>
      </c>
      <c r="J42" s="70">
        <f>IF(OR(D42=0,D43=0,D44=0),"#NA",IF(AND(C44-C43=C43-C42,C43&lt;&gt;C44,C42&lt;&gt;C43,C42&lt;&gt;C44,D44&lt;&gt;0,OR(D42&lt;&gt;0,D43&lt;&gt;0)),WLS*(C44-C43),"#NA"))</f>
        <v>0.5</v>
      </c>
      <c r="O42" s="99">
        <f>O41+1</f>
        <v>3</v>
      </c>
      <c r="P42" s="99">
        <f t="shared" si="10"/>
        <v>0.5</v>
      </c>
      <c r="Q42" s="68">
        <f>IF(OR(P44-P43=P43-P42,P45-P43=P43-P42),P42,IF(OR(P44-P43=P43-P41,P45-P43=P43-P41),P41,"-"))</f>
        <v>0.5</v>
      </c>
      <c r="R42" s="69">
        <f>VLOOKUP(Q42,STN_TABLE,2,FALSE)</f>
        <v>7.56</v>
      </c>
      <c r="S42" s="69">
        <v>5</v>
      </c>
      <c r="T42" s="68">
        <f>R42*S42</f>
        <v>37.799999999999997</v>
      </c>
      <c r="U42" s="79">
        <v>3</v>
      </c>
      <c r="V42" s="68">
        <f>R42*U42</f>
        <v>22.68</v>
      </c>
      <c r="W42" s="6" t="s">
        <v>93</v>
      </c>
      <c r="X42" s="70">
        <f>IF(AND(Q44-Q43=Q43-Q42,NOT(AND(Q42=0,Q43=0)),NOT(AND(Q43=0,Q44=0))),WLS*(Q44-Q43),"#NA")</f>
        <v>0.5</v>
      </c>
      <c r="AD42" s="93"/>
      <c r="AH42" s="6" t="s">
        <v>93</v>
      </c>
      <c r="AI42" s="70">
        <f>WLS*(AD44-AD43)</f>
        <v>0.5</v>
      </c>
      <c r="AU42" s="81"/>
    </row>
    <row r="43" spans="1:47" x14ac:dyDescent="0.25">
      <c r="A43" s="94">
        <f>A42+1</f>
        <v>2</v>
      </c>
      <c r="B43" s="94">
        <f t="shared" si="11"/>
        <v>0.25</v>
      </c>
      <c r="C43" s="80">
        <f>IF(OR(B45-B44=B44-B43,B45-B44=B44-B42,),B44,IF(B45-B43=B43-B42,B43,"#NA"))</f>
        <v>0.5</v>
      </c>
      <c r="D43" s="76">
        <f>VLOOKUP(C43,STN_TABLE,2,FALSE)</f>
        <v>7.56</v>
      </c>
      <c r="E43" s="81">
        <v>4</v>
      </c>
      <c r="F43" s="76">
        <f>D43*E43</f>
        <v>30.24</v>
      </c>
      <c r="G43" s="77">
        <f>C43</f>
        <v>0.5</v>
      </c>
      <c r="H43" s="77">
        <f>F43*G43</f>
        <v>15.12</v>
      </c>
      <c r="I43" s="496" t="s">
        <v>97</v>
      </c>
      <c r="J43" s="496"/>
      <c r="K43" s="78" t="s">
        <v>98</v>
      </c>
      <c r="L43" s="78"/>
      <c r="M43" s="7" t="s">
        <v>99</v>
      </c>
      <c r="N43" s="7"/>
      <c r="O43" s="99">
        <f>O42+1</f>
        <v>4</v>
      </c>
      <c r="P43" s="99">
        <f t="shared" si="10"/>
        <v>0.75</v>
      </c>
      <c r="Q43" s="76">
        <f>P43</f>
        <v>0.75</v>
      </c>
      <c r="R43" s="77">
        <f>VLOOKUP(Q43,STN_TABLE,2,FALSE)</f>
        <v>8.0399999999999991</v>
      </c>
      <c r="S43" s="77">
        <v>8</v>
      </c>
      <c r="T43" s="76">
        <f>R43*S43</f>
        <v>64.319999999999993</v>
      </c>
      <c r="U43" s="80">
        <v>10</v>
      </c>
      <c r="V43" s="76">
        <f>R43*U43</f>
        <v>80.399999999999991</v>
      </c>
      <c r="W43" s="496" t="s">
        <v>97</v>
      </c>
      <c r="X43" s="496"/>
      <c r="Y43" s="496" t="s">
        <v>98</v>
      </c>
      <c r="Z43" s="496"/>
      <c r="AA43" s="494" t="s">
        <v>99</v>
      </c>
      <c r="AB43" s="494"/>
      <c r="AC43" s="99">
        <f>AC38+1</f>
        <v>3</v>
      </c>
      <c r="AD43" s="95">
        <f>VLOOKUP(AC43,STN_TABLE_2,2,FALSE)</f>
        <v>0.5</v>
      </c>
      <c r="AE43" s="68">
        <f>VLOOKUP(AD43,STN_TABLE,2,FALSE)</f>
        <v>7.56</v>
      </c>
      <c r="AF43" s="68">
        <v>1</v>
      </c>
      <c r="AG43" s="69">
        <f>AE43*AF43</f>
        <v>7.56</v>
      </c>
      <c r="AH43" s="496" t="s">
        <v>97</v>
      </c>
      <c r="AI43" s="496"/>
      <c r="AJ43" s="496" t="s">
        <v>98</v>
      </c>
      <c r="AK43" s="496"/>
      <c r="AL43" s="494" t="s">
        <v>99</v>
      </c>
      <c r="AM43" s="494"/>
      <c r="AP43" s="86" t="s">
        <v>112</v>
      </c>
      <c r="AQ43" s="89" t="s">
        <v>113</v>
      </c>
      <c r="AR43" s="89" t="s">
        <v>114</v>
      </c>
      <c r="AS43" s="89" t="s">
        <v>115</v>
      </c>
      <c r="AU43" s="81"/>
    </row>
    <row r="44" spans="1:47" x14ac:dyDescent="0.25">
      <c r="A44" s="94">
        <f>A43+1</f>
        <v>3</v>
      </c>
      <c r="B44" s="94">
        <f t="shared" si="11"/>
        <v>0.5</v>
      </c>
      <c r="C44" s="88">
        <f>B45</f>
        <v>0.75</v>
      </c>
      <c r="D44" s="82">
        <f>VLOOKUP(C44,STN_TABLE,2,FALSE)</f>
        <v>8.0399999999999991</v>
      </c>
      <c r="E44" s="92">
        <v>1</v>
      </c>
      <c r="F44" s="82">
        <f>D44*E44</f>
        <v>8.0399999999999991</v>
      </c>
      <c r="G44" s="83">
        <f>C44</f>
        <v>0.75</v>
      </c>
      <c r="H44" s="83">
        <f>F44*G44</f>
        <v>6.0299999999999994</v>
      </c>
      <c r="I44" s="84" t="str">
        <f>CONCATENATE("a'(",C44,")=")</f>
        <v>a'(0.75)=</v>
      </c>
      <c r="J44" s="84">
        <f>2*J42/3*F45</f>
        <v>15.056666666666665</v>
      </c>
      <c r="K44" s="84" t="str">
        <f>CONCATENATE("A(",C42,")=")</f>
        <v>A(0.25)=</v>
      </c>
      <c r="L44" s="84">
        <f>VLOOKUP(C42,STN_TABLE,3,FALSE)</f>
        <v>6.2966666666666669</v>
      </c>
      <c r="M44" t="str">
        <f>CONCATENATE("A(",C44,")=")</f>
        <v>A(0.75)=</v>
      </c>
      <c r="N44">
        <f>J44+L44</f>
        <v>21.353333333333332</v>
      </c>
      <c r="O44" s="99">
        <f>O43+1</f>
        <v>5</v>
      </c>
      <c r="P44" s="99">
        <f t="shared" si="10"/>
        <v>1</v>
      </c>
      <c r="Q44" s="82">
        <f>IF(P44-P43=P43-P42,P44,IF(P45-P43=P43-P42,P45,IF(P44-P43=P43-P41,P44,IF(P45-P43=P43-P41,P45,"-"))))</f>
        <v>1</v>
      </c>
      <c r="R44" s="83">
        <f>VLOOKUP(Q44,STN_TABLE,2,FALSE)</f>
        <v>8.42</v>
      </c>
      <c r="S44" s="83">
        <v>-1</v>
      </c>
      <c r="T44" s="82">
        <f>R44*S44</f>
        <v>-8.42</v>
      </c>
      <c r="U44" s="88">
        <v>-1</v>
      </c>
      <c r="V44" s="82">
        <f>R44*U44</f>
        <v>-8.42</v>
      </c>
      <c r="W44" s="84" t="str">
        <f>CONCATENATE("a'(",Q43,")=")</f>
        <v>a'(0.75)=</v>
      </c>
      <c r="X44" s="84">
        <f>2*X42/12*T45</f>
        <v>7.8083333333333318</v>
      </c>
      <c r="Y44" s="84" t="str">
        <f>CONCATENATE("A(",Q42,")=")</f>
        <v>A(0.5)=</v>
      </c>
      <c r="Z44" s="84">
        <f>VLOOKUP(Q42,STN_TABLE,3,FALSE)</f>
        <v>13.573333333333332</v>
      </c>
      <c r="AA44" t="str">
        <f>CONCATENATE("A(",Q43,")=")</f>
        <v>A(0.75)=</v>
      </c>
      <c r="AB44">
        <f>X44+Z44</f>
        <v>21.381666666666664</v>
      </c>
      <c r="AC44" s="99">
        <f>AC43+1</f>
        <v>4</v>
      </c>
      <c r="AD44" s="100">
        <f>VLOOKUP(AC44,STN_TABLE_2,2,FALSE)</f>
        <v>0.75</v>
      </c>
      <c r="AE44" s="82">
        <f>VLOOKUP(AD44,STN_TABLE,2,FALSE)</f>
        <v>8.0399999999999991</v>
      </c>
      <c r="AF44" s="82">
        <v>2</v>
      </c>
      <c r="AG44" s="83">
        <f>AE44*AF44</f>
        <v>16.079999999999998</v>
      </c>
      <c r="AH44" s="84" t="str">
        <f>CONCATENATE("a'(",AD44,")=")</f>
        <v>a'(0.75)=</v>
      </c>
      <c r="AI44" s="84">
        <f>2*AI42/2*AE45</f>
        <v>7.7999999999999989</v>
      </c>
      <c r="AJ44" s="84" t="str">
        <f>CONCATENATE("A(",AD43,")=")</f>
        <v>A(0.5)=</v>
      </c>
      <c r="AK44" s="84">
        <f>VLOOKUP(AD43,STN_TABLE,3,FALSE)</f>
        <v>13.573333333333332</v>
      </c>
      <c r="AL44" t="str">
        <f>CONCATENATE("A(",AD44,")=")</f>
        <v>A(0.75)=</v>
      </c>
      <c r="AM44">
        <f>AI44+AK44</f>
        <v>21.373333333333331</v>
      </c>
      <c r="AO44" s="68" t="str">
        <f>AA44</f>
        <v>A(0.75)=</v>
      </c>
      <c r="AP44" s="68" t="e">
        <f>VLOOKUP(AO44,Rise_Results,2,FALSE)</f>
        <v>#N/A</v>
      </c>
      <c r="AQ44" s="76">
        <f>N44</f>
        <v>21.353333333333332</v>
      </c>
      <c r="AR44" s="76">
        <f>IF(OR(AB44&lt;=0,AB45&lt;=0),1/0,AB44)</f>
        <v>21.381666666666664</v>
      </c>
      <c r="AS44" s="76">
        <f>AM44</f>
        <v>21.373333333333331</v>
      </c>
      <c r="AT44">
        <f>IFERROR(AP44,IFERROR(AQ44,IFERROR(AR44,AS44)))</f>
        <v>21.353333333333332</v>
      </c>
      <c r="AU44" s="81"/>
    </row>
    <row r="45" spans="1:47" x14ac:dyDescent="0.25">
      <c r="A45" s="94">
        <f>A44+1</f>
        <v>4</v>
      </c>
      <c r="B45" s="94">
        <f t="shared" si="11"/>
        <v>0.75</v>
      </c>
      <c r="F45" s="82">
        <f>SUM(F42:F44)</f>
        <v>45.169999999999995</v>
      </c>
      <c r="H45" s="82">
        <f>SUM(H42:H44)</f>
        <v>22.872499999999995</v>
      </c>
      <c r="I45" s="84" t="str">
        <f>CONCATENATE("m'(",C44,")=")</f>
        <v>m'(0.75)=</v>
      </c>
      <c r="J45" s="84">
        <f>2*(J42*(WLS))/3*H45</f>
        <v>15.24833333333333</v>
      </c>
      <c r="K45" s="84" t="str">
        <f>CONCATENATE("M(",C42,")=")</f>
        <v>M(0.25)=</v>
      </c>
      <c r="L45" s="84">
        <f>VLOOKUP(C42,STN_TABLE,4,FALSE)</f>
        <v>1.6279166666666662</v>
      </c>
      <c r="M45" t="str">
        <f>CONCATENATE("M(",C44,")=")</f>
        <v>M(0.75)=</v>
      </c>
      <c r="N45">
        <f>J45+L45</f>
        <v>16.876249999999995</v>
      </c>
      <c r="O45" s="99">
        <f>O44+1</f>
        <v>6</v>
      </c>
      <c r="P45" s="99">
        <f t="shared" si="10"/>
        <v>2</v>
      </c>
      <c r="T45" s="89">
        <f>SUM(T42:T44)</f>
        <v>93.699999999999989</v>
      </c>
      <c r="V45" s="82">
        <f>SUM(V42:V44)</f>
        <v>94.659999999999982</v>
      </c>
      <c r="W45" s="84" t="str">
        <f>CONCATENATE("m'(",Q43,")=")</f>
        <v>m'(0.75)=</v>
      </c>
      <c r="X45" s="84">
        <f>(2*(X42^2)/24*V45)+(X44*Q42*WLS)</f>
        <v>9.7804166666666639</v>
      </c>
      <c r="Y45" s="84" t="str">
        <f>CONCATENATE("M(",Q42,")=")</f>
        <v>M(0.5)=</v>
      </c>
      <c r="Z45" s="84">
        <f>VLOOKUP(Q42,STN_TABLE,4,FALSE)</f>
        <v>7.1133333333333333</v>
      </c>
      <c r="AA45" t="str">
        <f>CONCATENATE("M(",Q43,")=")</f>
        <v>M(0.75)=</v>
      </c>
      <c r="AB45">
        <f>X45+Z45</f>
        <v>16.893749999999997</v>
      </c>
      <c r="AE45" s="89">
        <f>SUM(AE43:AE44)</f>
        <v>15.599999999999998</v>
      </c>
      <c r="AG45" s="89">
        <f>SUM(AG43:AG44)</f>
        <v>23.639999999999997</v>
      </c>
      <c r="AH45" s="84" t="str">
        <f>CONCATENATE("m'(",AD44,")=")</f>
        <v>m'(0.75)=</v>
      </c>
      <c r="AI45" s="84">
        <f>(2*(AI42^2)/6*AG45)+(AI44*AD43*WLS)</f>
        <v>9.77</v>
      </c>
      <c r="AJ45" s="84" t="str">
        <f>CONCATENATE("M(",AD43,")=")</f>
        <v>M(0.5)=</v>
      </c>
      <c r="AK45" s="84">
        <f>VLOOKUP(AD43,STN_TABLE,4,FALSE)</f>
        <v>7.1133333333333333</v>
      </c>
      <c r="AL45" t="str">
        <f>CONCATENATE("M(",AD44,")=")</f>
        <v>M(0.75)=</v>
      </c>
      <c r="AM45">
        <f>AI45+AK45</f>
        <v>16.883333333333333</v>
      </c>
      <c r="AO45" s="82" t="str">
        <f>AA45</f>
        <v>M(0.75)=</v>
      </c>
      <c r="AP45" s="82" t="e">
        <f>VLOOKUP(AO45,Rise_Results,2,FALSE)</f>
        <v>#N/A</v>
      </c>
      <c r="AQ45" s="82">
        <f>N45</f>
        <v>16.876249999999995</v>
      </c>
      <c r="AR45" s="82">
        <f>IF(OR(AB44&lt;=0,AB45&lt;=0),1/0,AB45)</f>
        <v>16.893749999999997</v>
      </c>
      <c r="AS45" s="82">
        <f>AM45</f>
        <v>16.883333333333333</v>
      </c>
      <c r="AT45">
        <f>IFERROR(AP45,IFERROR(AQ45,IFERROR(AR45,AS45)))</f>
        <v>16.876249999999995</v>
      </c>
      <c r="AU45" s="81"/>
    </row>
    <row r="46" spans="1:47" x14ac:dyDescent="0.25">
      <c r="A46" s="101">
        <f>A41+1</f>
        <v>1</v>
      </c>
      <c r="B46" s="101">
        <f t="shared" si="11"/>
        <v>0</v>
      </c>
      <c r="O46" s="101">
        <f>O41+1</f>
        <v>3</v>
      </c>
      <c r="P46" s="101">
        <f t="shared" si="10"/>
        <v>0.5</v>
      </c>
      <c r="AU46" s="81"/>
    </row>
    <row r="47" spans="1:47" x14ac:dyDescent="0.25">
      <c r="A47" s="84">
        <f>A46+1</f>
        <v>2</v>
      </c>
      <c r="B47" s="84">
        <f t="shared" si="11"/>
        <v>0.25</v>
      </c>
      <c r="C47" s="79">
        <f>IF(C48=B49,IF(C49-C48=C48-B48,B48,IF(C49-C48=C48-B47,B47,"#NA")),IF(C48=B48,IF(C49-C48=C48-B47,B47,IF(C49-C48=C48-B46,B46,"#NA")),"#NA"))</f>
        <v>0.5</v>
      </c>
      <c r="D47" s="68">
        <f>VLOOKUP(C47,STN_TABLE,2,FALSE)</f>
        <v>7.56</v>
      </c>
      <c r="E47" s="102">
        <v>1</v>
      </c>
      <c r="F47" s="68">
        <f>D47*E47</f>
        <v>7.56</v>
      </c>
      <c r="G47" s="69">
        <f>C47</f>
        <v>0.5</v>
      </c>
      <c r="H47" s="69">
        <f>F47*G47</f>
        <v>3.78</v>
      </c>
      <c r="I47" s="6" t="s">
        <v>93</v>
      </c>
      <c r="J47" s="70">
        <f>IF(OR(D47=0,D48=0,D49=0),"#NA",IF(AND(C49-C48=C48-C47,C48&lt;&gt;C49,C47&lt;&gt;C48,C47&lt;&gt;C49,D49&lt;&gt;0,OR(D47&lt;&gt;0,D48&lt;&gt;0)),WLS*(C49-C48),"#NA"))</f>
        <v>0.5</v>
      </c>
      <c r="O47" s="99">
        <f>O46+1</f>
        <v>4</v>
      </c>
      <c r="P47" s="99">
        <f t="shared" si="10"/>
        <v>0.75</v>
      </c>
      <c r="Q47" s="68" t="str">
        <f>IF(OR(P49-P48=P48-P47,P50-P48=P48-P47),P47,IF(OR(P49-P48=P48-P46,P50-P48=P48-P46),P46,"-"))</f>
        <v>-</v>
      </c>
      <c r="R47" s="69" t="e">
        <f>VLOOKUP(Q47,STN_TABLE,2,FALSE)</f>
        <v>#N/A</v>
      </c>
      <c r="S47" s="69">
        <v>5</v>
      </c>
      <c r="T47" s="68" t="e">
        <f>R47*S47</f>
        <v>#N/A</v>
      </c>
      <c r="U47" s="79">
        <v>3</v>
      </c>
      <c r="V47" s="68" t="e">
        <f>R47*U47</f>
        <v>#N/A</v>
      </c>
      <c r="W47" s="6" t="s">
        <v>93</v>
      </c>
      <c r="X47" s="70" t="e">
        <f>IF(AND(Q49-Q48=Q48-Q47,NOT(AND(Q47=0,Q48=0)),NOT(AND(Q48=0,Q49=0))),WLS*(Q49-Q48),"#NA")</f>
        <v>#VALUE!</v>
      </c>
      <c r="AD47" s="93"/>
      <c r="AH47" s="6" t="s">
        <v>93</v>
      </c>
      <c r="AI47" s="70">
        <f>WLS*(AD49-AD48)</f>
        <v>0.5</v>
      </c>
      <c r="AU47" s="81"/>
    </row>
    <row r="48" spans="1:47" x14ac:dyDescent="0.25">
      <c r="A48" s="84">
        <f>A47+1</f>
        <v>3</v>
      </c>
      <c r="B48" s="84">
        <f t="shared" si="11"/>
        <v>0.5</v>
      </c>
      <c r="C48" s="80">
        <f>IF(OR(B50-B49=B49-B48,B50-B49=B49-B47,B50-B49=B49-B46),B49,IF(OR(B50-B48=B48-B47,B50-B48=B48-B46),B48,IF(B50-B47=B47-B46,B47,"#NA")))</f>
        <v>0.75</v>
      </c>
      <c r="D48" s="76">
        <f>VLOOKUP(C48,STN_TABLE,2,FALSE)</f>
        <v>8.0399999999999991</v>
      </c>
      <c r="E48" s="81">
        <v>4</v>
      </c>
      <c r="F48" s="76">
        <f>D48*E48</f>
        <v>32.159999999999997</v>
      </c>
      <c r="G48" s="77">
        <f>C48</f>
        <v>0.75</v>
      </c>
      <c r="H48" s="77">
        <f>F48*G48</f>
        <v>24.119999999999997</v>
      </c>
      <c r="I48" s="496" t="s">
        <v>97</v>
      </c>
      <c r="J48" s="496"/>
      <c r="K48" s="78" t="s">
        <v>98</v>
      </c>
      <c r="L48" s="78"/>
      <c r="M48" s="7" t="s">
        <v>99</v>
      </c>
      <c r="N48" s="7"/>
      <c r="O48" s="99">
        <f>O47+1</f>
        <v>5</v>
      </c>
      <c r="P48" s="99">
        <f t="shared" si="10"/>
        <v>1</v>
      </c>
      <c r="Q48" s="76">
        <f>P48</f>
        <v>1</v>
      </c>
      <c r="R48" s="77">
        <f>VLOOKUP(Q48,STN_TABLE,2,FALSE)</f>
        <v>8.42</v>
      </c>
      <c r="S48" s="77">
        <v>8</v>
      </c>
      <c r="T48" s="76">
        <f>R48*S48</f>
        <v>67.36</v>
      </c>
      <c r="U48" s="80">
        <v>10</v>
      </c>
      <c r="V48" s="76">
        <f>R48*U48</f>
        <v>84.2</v>
      </c>
      <c r="W48" s="496" t="s">
        <v>97</v>
      </c>
      <c r="X48" s="496"/>
      <c r="Y48" s="496" t="s">
        <v>98</v>
      </c>
      <c r="Z48" s="496"/>
      <c r="AA48" s="494" t="s">
        <v>99</v>
      </c>
      <c r="AB48" s="494"/>
      <c r="AC48" s="99">
        <f>AC43+1</f>
        <v>4</v>
      </c>
      <c r="AD48" s="95">
        <f>VLOOKUP(AC48,STN_TABLE_2,2,FALSE)</f>
        <v>0.75</v>
      </c>
      <c r="AE48" s="68">
        <f>VLOOKUP(AD48,STN_TABLE,2,FALSE)</f>
        <v>8.0399999999999991</v>
      </c>
      <c r="AF48" s="68">
        <v>1</v>
      </c>
      <c r="AG48" s="69">
        <f>AE48*AF48</f>
        <v>8.0399999999999991</v>
      </c>
      <c r="AH48" s="496" t="s">
        <v>97</v>
      </c>
      <c r="AI48" s="496"/>
      <c r="AJ48" s="496" t="s">
        <v>98</v>
      </c>
      <c r="AK48" s="496"/>
      <c r="AL48" s="494" t="s">
        <v>99</v>
      </c>
      <c r="AM48" s="494"/>
      <c r="AP48" s="86" t="s">
        <v>112</v>
      </c>
      <c r="AQ48" s="89" t="s">
        <v>113</v>
      </c>
      <c r="AR48" s="89" t="s">
        <v>114</v>
      </c>
      <c r="AS48" s="89" t="s">
        <v>115</v>
      </c>
      <c r="AU48" s="81"/>
    </row>
    <row r="49" spans="1:47" x14ac:dyDescent="0.25">
      <c r="A49" s="84">
        <f>A48+1</f>
        <v>4</v>
      </c>
      <c r="B49" s="84">
        <f t="shared" si="11"/>
        <v>0.75</v>
      </c>
      <c r="C49" s="88">
        <f>B50</f>
        <v>1</v>
      </c>
      <c r="D49" s="82">
        <f>VLOOKUP(C49,STN_TABLE,2,FALSE)</f>
        <v>8.42</v>
      </c>
      <c r="E49" s="92">
        <v>1</v>
      </c>
      <c r="F49" s="82">
        <f>D49*E49</f>
        <v>8.42</v>
      </c>
      <c r="G49" s="83">
        <f>C49</f>
        <v>1</v>
      </c>
      <c r="H49" s="83">
        <f>F49*G49</f>
        <v>8.42</v>
      </c>
      <c r="I49" s="84" t="str">
        <f>CONCATENATE("a'(",C49,")=")</f>
        <v>a'(1)=</v>
      </c>
      <c r="J49" s="84">
        <f>2*J47/3*F50</f>
        <v>16.046666666666667</v>
      </c>
      <c r="K49" s="84" t="str">
        <f>CONCATENATE("A(",C47,")=")</f>
        <v>A(0.5)=</v>
      </c>
      <c r="L49" s="84">
        <f>VLOOKUP(C47,STN_TABLE,3,FALSE)</f>
        <v>13.573333333333332</v>
      </c>
      <c r="M49" t="str">
        <f>CONCATENATE("A(",C49,")=")</f>
        <v>A(1)=</v>
      </c>
      <c r="N49">
        <f>J49+L49</f>
        <v>29.619999999999997</v>
      </c>
      <c r="O49" s="99">
        <f>O48+1</f>
        <v>6</v>
      </c>
      <c r="P49" s="99">
        <f t="shared" si="10"/>
        <v>2</v>
      </c>
      <c r="Q49" s="82" t="str">
        <f>IF(P49-P48=P48-P47,P49,IF(P50-P48=P48-P47,P50,IF(P49-P48=P48-P46,P49,IF(P50-P48=P48-P46,P50,"-"))))</f>
        <v>-</v>
      </c>
      <c r="R49" s="83" t="e">
        <f>VLOOKUP(Q49,STN_TABLE,2,FALSE)</f>
        <v>#N/A</v>
      </c>
      <c r="S49" s="83">
        <v>-1</v>
      </c>
      <c r="T49" s="82" t="e">
        <f>R49*S49</f>
        <v>#N/A</v>
      </c>
      <c r="U49" s="88">
        <v>-1</v>
      </c>
      <c r="V49" s="82" t="e">
        <f>R49*U49</f>
        <v>#N/A</v>
      </c>
      <c r="W49" s="84" t="str">
        <f>CONCATENATE("a'(",Q48,")=")</f>
        <v>a'(1)=</v>
      </c>
      <c r="X49" s="84" t="e">
        <f>2*X47/12*T50</f>
        <v>#VALUE!</v>
      </c>
      <c r="Y49" s="84" t="str">
        <f>CONCATENATE("A(",Q47,")=")</f>
        <v>A(-)=</v>
      </c>
      <c r="Z49" s="84" t="e">
        <f>VLOOKUP(Q47,STN_TABLE,3,FALSE)</f>
        <v>#N/A</v>
      </c>
      <c r="AA49" t="str">
        <f>CONCATENATE("A(",Q48,")=")</f>
        <v>A(1)=</v>
      </c>
      <c r="AB49" t="e">
        <f>X49+Z49</f>
        <v>#VALUE!</v>
      </c>
      <c r="AC49" s="99">
        <f>AC48+1</f>
        <v>5</v>
      </c>
      <c r="AD49" s="100">
        <f>VLOOKUP(AC49,STN_TABLE_2,2,FALSE)</f>
        <v>1</v>
      </c>
      <c r="AE49" s="82">
        <f>VLOOKUP(AD49,STN_TABLE,2,FALSE)</f>
        <v>8.42</v>
      </c>
      <c r="AF49" s="82">
        <v>2</v>
      </c>
      <c r="AG49" s="83">
        <f>AE49*AF49</f>
        <v>16.84</v>
      </c>
      <c r="AH49" s="84" t="str">
        <f>CONCATENATE("a'(",AD49,")=")</f>
        <v>a'(1)=</v>
      </c>
      <c r="AI49" s="84">
        <f>2*AI47/2*AE50</f>
        <v>8.23</v>
      </c>
      <c r="AJ49" s="84" t="str">
        <f>CONCATENATE("A(",AD48,")=")</f>
        <v>A(0.75)=</v>
      </c>
      <c r="AK49" s="84">
        <f>VLOOKUP(AD48,STN_TABLE,3,FALSE)</f>
        <v>21.353333333333332</v>
      </c>
      <c r="AL49" t="str">
        <f>CONCATENATE("A(",AD49,")=")</f>
        <v>A(1)=</v>
      </c>
      <c r="AM49">
        <f>AI49+AK49</f>
        <v>29.583333333333332</v>
      </c>
      <c r="AO49" s="68" t="str">
        <f>AA49</f>
        <v>A(1)=</v>
      </c>
      <c r="AP49" s="68" t="e">
        <f>VLOOKUP(AO49,Rise_Results,2,FALSE)</f>
        <v>#N/A</v>
      </c>
      <c r="AQ49" s="76">
        <f>N49</f>
        <v>29.619999999999997</v>
      </c>
      <c r="AR49" s="76" t="e">
        <f>IF(OR(AB49&lt;=0,AB50&lt;=0),1/0,AB49)</f>
        <v>#VALUE!</v>
      </c>
      <c r="AS49" s="76">
        <f>AM49</f>
        <v>29.583333333333332</v>
      </c>
      <c r="AT49">
        <f>IFERROR(AP49,IFERROR(AQ49,IFERROR(AR49,AS49)))</f>
        <v>29.619999999999997</v>
      </c>
      <c r="AU49" s="81"/>
    </row>
    <row r="50" spans="1:47" x14ac:dyDescent="0.25">
      <c r="A50" s="84">
        <f>A49+1</f>
        <v>5</v>
      </c>
      <c r="B50" s="84">
        <f t="shared" si="11"/>
        <v>1</v>
      </c>
      <c r="F50" s="82">
        <f>SUM(F47:F49)</f>
        <v>48.14</v>
      </c>
      <c r="H50" s="82">
        <f>SUM(H47:H49)</f>
        <v>36.32</v>
      </c>
      <c r="I50" s="84" t="str">
        <f>CONCATENATE("m'(",C49,")=")</f>
        <v>m'(1)=</v>
      </c>
      <c r="J50" s="84">
        <f>2*(J47*(WLS))/3*H50</f>
        <v>24.213333333333331</v>
      </c>
      <c r="K50" s="84" t="str">
        <f>CONCATENATE("M(",C47,")=")</f>
        <v>M(0.5)=</v>
      </c>
      <c r="L50" s="84">
        <f>VLOOKUP(C47,STN_TABLE,4,FALSE)</f>
        <v>7.1133333333333333</v>
      </c>
      <c r="M50" t="str">
        <f>CONCATENATE("M(",C49,")=")</f>
        <v>M(1)=</v>
      </c>
      <c r="N50">
        <f>J50+L50</f>
        <v>31.326666666666664</v>
      </c>
      <c r="O50" s="99">
        <f>O49+1</f>
        <v>7</v>
      </c>
      <c r="P50" s="99">
        <f t="shared" si="10"/>
        <v>3</v>
      </c>
      <c r="T50" s="89" t="e">
        <f>SUM(T47:T49)</f>
        <v>#N/A</v>
      </c>
      <c r="V50" s="82" t="e">
        <f>SUM(V47:V49)</f>
        <v>#N/A</v>
      </c>
      <c r="W50" s="84" t="str">
        <f>CONCATENATE("m'(",Q48,")=")</f>
        <v>m'(1)=</v>
      </c>
      <c r="X50" s="84" t="e">
        <f>(2*(X47^2)/24*V50)+(X49*Q47*WLS)</f>
        <v>#VALUE!</v>
      </c>
      <c r="Y50" s="84" t="str">
        <f>CONCATENATE("M(",Q47,")=")</f>
        <v>M(-)=</v>
      </c>
      <c r="Z50" s="84" t="e">
        <f>VLOOKUP(Q47,STN_TABLE,4,FALSE)</f>
        <v>#N/A</v>
      </c>
      <c r="AA50" t="str">
        <f>CONCATENATE("M(",Q48,")=")</f>
        <v>M(1)=</v>
      </c>
      <c r="AB50" t="e">
        <f>X50+Z50</f>
        <v>#VALUE!</v>
      </c>
      <c r="AE50" s="89">
        <f>SUM(AE48:AE49)</f>
        <v>16.46</v>
      </c>
      <c r="AG50" s="89">
        <f>SUM(AG48:AG49)</f>
        <v>24.88</v>
      </c>
      <c r="AH50" s="84" t="str">
        <f>CONCATENATE("m'(",AD49,")=")</f>
        <v>m'(1)=</v>
      </c>
      <c r="AI50" s="84">
        <f>(2*(AI47^2)/6*AG50)+(AI49*AD48*WLS)</f>
        <v>14.418333333333333</v>
      </c>
      <c r="AJ50" s="84" t="str">
        <f>CONCATENATE("M(",AD48,")=")</f>
        <v>M(0.75)=</v>
      </c>
      <c r="AK50" s="84">
        <f>VLOOKUP(AD48,STN_TABLE,4,FALSE)</f>
        <v>16.876249999999995</v>
      </c>
      <c r="AL50" t="str">
        <f>CONCATENATE("M(",AD49,")=")</f>
        <v>M(1)=</v>
      </c>
      <c r="AM50">
        <f>AI50+AK50</f>
        <v>31.294583333333328</v>
      </c>
      <c r="AO50" s="82" t="str">
        <f>AA50</f>
        <v>M(1)=</v>
      </c>
      <c r="AP50" s="82" t="e">
        <f>VLOOKUP(AO50,Rise_Results,2,FALSE)</f>
        <v>#N/A</v>
      </c>
      <c r="AQ50" s="82">
        <f>N50</f>
        <v>31.326666666666664</v>
      </c>
      <c r="AR50" s="82" t="e">
        <f>IF(OR(AB49&lt;=0,AB50&lt;=0),1/0,AB50)</f>
        <v>#VALUE!</v>
      </c>
      <c r="AS50" s="82">
        <f>AM50</f>
        <v>31.294583333333328</v>
      </c>
      <c r="AT50">
        <f>IFERROR(AP50,IFERROR(AQ50,IFERROR(AR50,AS50)))</f>
        <v>31.326666666666664</v>
      </c>
      <c r="AU50" s="81"/>
    </row>
    <row r="51" spans="1:47" x14ac:dyDescent="0.25">
      <c r="A51" s="101">
        <f>A46+1</f>
        <v>2</v>
      </c>
      <c r="B51" s="101">
        <f t="shared" si="11"/>
        <v>0.25</v>
      </c>
      <c r="O51" s="101">
        <f>O46+1</f>
        <v>4</v>
      </c>
      <c r="P51" s="101">
        <f t="shared" si="10"/>
        <v>0.75</v>
      </c>
      <c r="AU51" s="81"/>
    </row>
    <row r="52" spans="1:47" x14ac:dyDescent="0.25">
      <c r="A52" s="84">
        <f>A51+1</f>
        <v>3</v>
      </c>
      <c r="B52" s="84">
        <f t="shared" si="11"/>
        <v>0.5</v>
      </c>
      <c r="C52" s="79" t="str">
        <f t="shared" ref="C52" si="12">IF(C53=B54,IF(C54-C53=C53-B53,B53,IF(C54-C53=C53-B52,B52,"#NA")),IF(C53=B53,IF(C54-C53=C53-B52,B52,IF(C54-C53=C53-B51,B51,"#NA")),"#NA"))</f>
        <v>#NA</v>
      </c>
      <c r="D52" s="68" t="e">
        <f>VLOOKUP(C52,STN_TABLE,2,FALSE)</f>
        <v>#N/A</v>
      </c>
      <c r="E52" s="102">
        <v>1</v>
      </c>
      <c r="F52" s="68" t="e">
        <f>D52*E52</f>
        <v>#N/A</v>
      </c>
      <c r="G52" s="69" t="str">
        <f>C52</f>
        <v>#NA</v>
      </c>
      <c r="H52" s="69" t="e">
        <f>F52*G52</f>
        <v>#N/A</v>
      </c>
      <c r="I52" s="6" t="s">
        <v>93</v>
      </c>
      <c r="J52" s="70" t="e">
        <f>IF(OR(D52=0,D53=0,D54=0),"#NA",IF(AND(C54-C53=C53-C52,C53&lt;&gt;C54,C52&lt;&gt;C53,C52&lt;&gt;C54,D54&lt;&gt;0,OR(D52&lt;&gt;0,D53&lt;&gt;0)),WLS*(C54-C53),"#NA"))</f>
        <v>#N/A</v>
      </c>
      <c r="O52" s="99">
        <f>O51+1</f>
        <v>5</v>
      </c>
      <c r="P52" s="99">
        <f t="shared" si="10"/>
        <v>1</v>
      </c>
      <c r="Q52" s="68">
        <f>IF(OR(P54-P53=P53-P52,P55-P53=P53-P52),P52,IF(OR(P54-P53=P53-P51,P55-P53=P53-P51),P51,"-"))</f>
        <v>1</v>
      </c>
      <c r="R52" s="69">
        <f>VLOOKUP(Q52,STN_TABLE,2,FALSE)</f>
        <v>8.42</v>
      </c>
      <c r="S52" s="69">
        <v>5</v>
      </c>
      <c r="T52" s="68">
        <f>R52*S52</f>
        <v>42.1</v>
      </c>
      <c r="U52" s="79">
        <v>3</v>
      </c>
      <c r="V52" s="68">
        <f>R52*U52</f>
        <v>25.259999999999998</v>
      </c>
      <c r="W52" s="6" t="s">
        <v>93</v>
      </c>
      <c r="X52" s="70">
        <f>IF(AND(Q54-Q53=Q53-Q52,NOT(AND(Q52=0,Q53=0)),NOT(AND(Q53=0,Q54=0))),WLS*(Q54-Q53),"#NA")</f>
        <v>2</v>
      </c>
      <c r="AD52" s="93"/>
      <c r="AH52" s="6" t="s">
        <v>93</v>
      </c>
      <c r="AI52" s="70">
        <f>WLS*(AD54-AD53)</f>
        <v>2</v>
      </c>
      <c r="AU52" s="81"/>
    </row>
    <row r="53" spans="1:47" x14ac:dyDescent="0.25">
      <c r="A53" s="84">
        <f>A52+1</f>
        <v>4</v>
      </c>
      <c r="B53" s="84">
        <f t="shared" si="11"/>
        <v>0.75</v>
      </c>
      <c r="C53" s="80" t="str">
        <f t="shared" ref="C53" si="13">IF(OR(B55-B54=B54-B53,B55-B54=B54-B52,B55-B54=B54-B51),B54,IF(OR(B55-B53=B53-B52,B55-B53=B53-B51),B53,IF(B55-B52=B52-B51,B52,"#NA")))</f>
        <v>#NA</v>
      </c>
      <c r="D53" s="76" t="e">
        <f>VLOOKUP(C53,STN_TABLE,2,FALSE)</f>
        <v>#N/A</v>
      </c>
      <c r="E53" s="81">
        <v>4</v>
      </c>
      <c r="F53" s="76" t="e">
        <f>D53*E53</f>
        <v>#N/A</v>
      </c>
      <c r="G53" s="77" t="str">
        <f>C53</f>
        <v>#NA</v>
      </c>
      <c r="H53" s="77" t="e">
        <f>F53*G53</f>
        <v>#N/A</v>
      </c>
      <c r="I53" s="495" t="s">
        <v>97</v>
      </c>
      <c r="J53" s="496"/>
      <c r="K53" s="78" t="s">
        <v>98</v>
      </c>
      <c r="L53" s="78"/>
      <c r="M53" s="7" t="s">
        <v>99</v>
      </c>
      <c r="N53" s="7"/>
      <c r="O53" s="99">
        <f>O52+1</f>
        <v>6</v>
      </c>
      <c r="P53" s="99">
        <f t="shared" si="10"/>
        <v>2</v>
      </c>
      <c r="Q53" s="76">
        <f>P53</f>
        <v>2</v>
      </c>
      <c r="R53" s="77">
        <f>VLOOKUP(Q53,STN_TABLE,2,FALSE)</f>
        <v>9.32</v>
      </c>
      <c r="S53" s="77">
        <v>8</v>
      </c>
      <c r="T53" s="76">
        <f>R53*S53</f>
        <v>74.56</v>
      </c>
      <c r="U53" s="80">
        <v>10</v>
      </c>
      <c r="V53" s="76">
        <f>R53*U53</f>
        <v>93.2</v>
      </c>
      <c r="W53" s="496" t="s">
        <v>97</v>
      </c>
      <c r="X53" s="496"/>
      <c r="Y53" s="496" t="s">
        <v>98</v>
      </c>
      <c r="Z53" s="496"/>
      <c r="AA53" s="494" t="s">
        <v>99</v>
      </c>
      <c r="AB53" s="494"/>
      <c r="AC53" s="99">
        <f>AC48+1</f>
        <v>5</v>
      </c>
      <c r="AD53" s="95">
        <f>VLOOKUP(AC53,STN_TABLE_2,2,FALSE)</f>
        <v>1</v>
      </c>
      <c r="AE53" s="68">
        <f>VLOOKUP(AD53,STN_TABLE,2,FALSE)</f>
        <v>8.42</v>
      </c>
      <c r="AF53" s="68">
        <v>1</v>
      </c>
      <c r="AG53" s="69">
        <f>AE53*AF53</f>
        <v>8.42</v>
      </c>
      <c r="AH53" s="496" t="s">
        <v>97</v>
      </c>
      <c r="AI53" s="496"/>
      <c r="AJ53" s="496" t="s">
        <v>98</v>
      </c>
      <c r="AK53" s="496"/>
      <c r="AL53" s="494" t="s">
        <v>99</v>
      </c>
      <c r="AM53" s="494"/>
      <c r="AP53" s="86" t="s">
        <v>112</v>
      </c>
      <c r="AQ53" s="89" t="s">
        <v>113</v>
      </c>
      <c r="AR53" s="89" t="s">
        <v>114</v>
      </c>
      <c r="AS53" s="89" t="s">
        <v>115</v>
      </c>
      <c r="AU53" s="81"/>
    </row>
    <row r="54" spans="1:47" x14ac:dyDescent="0.25">
      <c r="A54" s="84">
        <f>A53+1</f>
        <v>5</v>
      </c>
      <c r="B54" s="84">
        <f t="shared" si="11"/>
        <v>1</v>
      </c>
      <c r="C54" s="88">
        <f t="shared" ref="C54" si="14">B55</f>
        <v>2</v>
      </c>
      <c r="D54" s="82">
        <f>VLOOKUP(C54,STN_TABLE,2,FALSE)</f>
        <v>9.32</v>
      </c>
      <c r="E54" s="92">
        <v>1</v>
      </c>
      <c r="F54" s="82">
        <f>D54*E54</f>
        <v>9.32</v>
      </c>
      <c r="G54" s="83">
        <f>C54</f>
        <v>2</v>
      </c>
      <c r="H54" s="83">
        <f>F54*G54</f>
        <v>18.64</v>
      </c>
      <c r="I54" s="84" t="str">
        <f>CONCATENATE("a'(",C54,")=")</f>
        <v>a'(2)=</v>
      </c>
      <c r="J54" s="84" t="e">
        <f>2*J52/3*F55</f>
        <v>#N/A</v>
      </c>
      <c r="K54" s="84" t="str">
        <f>CONCATENATE("A(",C52,")=")</f>
        <v>A(#NA)=</v>
      </c>
      <c r="L54" s="84" t="e">
        <f>VLOOKUP(C52,STN_TABLE,3,FALSE)</f>
        <v>#N/A</v>
      </c>
      <c r="M54" t="str">
        <f>CONCATENATE("A(",C54,")=")</f>
        <v>A(2)=</v>
      </c>
      <c r="N54" t="e">
        <f>J54+L54</f>
        <v>#N/A</v>
      </c>
      <c r="O54" s="99">
        <f>O53+1</f>
        <v>7</v>
      </c>
      <c r="P54" s="99">
        <f t="shared" si="10"/>
        <v>3</v>
      </c>
      <c r="Q54" s="82">
        <f>IF(P54-P53=P53-P52,P54,IF(P55-P53=P53-P52,P55,IF(P54-P53=P53-P51,P54,IF(P55-P53=P53-P51,P55,"-"))))</f>
        <v>3</v>
      </c>
      <c r="R54" s="83">
        <f>VLOOKUP(Q54,STN_TABLE,2,FALSE)</f>
        <v>9.69</v>
      </c>
      <c r="S54" s="83">
        <v>-1</v>
      </c>
      <c r="T54" s="82">
        <f>R54*S54</f>
        <v>-9.69</v>
      </c>
      <c r="U54" s="88">
        <v>-1</v>
      </c>
      <c r="V54" s="82">
        <f>R54*U54</f>
        <v>-9.69</v>
      </c>
      <c r="W54" s="84" t="str">
        <f>CONCATENATE("a'(",Q53,")=")</f>
        <v>a'(2)=</v>
      </c>
      <c r="X54" s="84">
        <f>2*X52/12*T55</f>
        <v>35.656666666666666</v>
      </c>
      <c r="Y54" s="84" t="str">
        <f>CONCATENATE("A(",Q52,")=")</f>
        <v>A(1)=</v>
      </c>
      <c r="Z54" s="84">
        <f>VLOOKUP(Q52,STN_TABLE,3,FALSE)</f>
        <v>29.619999999999997</v>
      </c>
      <c r="AA54" t="str">
        <f>CONCATENATE("A(",Q53,")=")</f>
        <v>A(2)=</v>
      </c>
      <c r="AB54">
        <f>X54+Z54</f>
        <v>65.276666666666671</v>
      </c>
      <c r="AC54" s="99">
        <f>AC53+1</f>
        <v>6</v>
      </c>
      <c r="AD54" s="100">
        <f>VLOOKUP(AC54,STN_TABLE_2,2,FALSE)</f>
        <v>2</v>
      </c>
      <c r="AE54" s="82">
        <f>VLOOKUP(AD54,STN_TABLE,2,FALSE)</f>
        <v>9.32</v>
      </c>
      <c r="AF54" s="82">
        <v>2</v>
      </c>
      <c r="AG54" s="83">
        <f>AE54*AF54</f>
        <v>18.64</v>
      </c>
      <c r="AH54" s="84" t="str">
        <f>CONCATENATE("a'(",AD54,")=")</f>
        <v>a'(2)=</v>
      </c>
      <c r="AI54" s="84">
        <f>2*AI52/2*AE55</f>
        <v>35.480000000000004</v>
      </c>
      <c r="AJ54" s="84" t="str">
        <f>CONCATENATE("A(",AD53,")=")</f>
        <v>A(1)=</v>
      </c>
      <c r="AK54" s="84">
        <f>VLOOKUP(AD53,STN_TABLE,3,FALSE)</f>
        <v>29.619999999999997</v>
      </c>
      <c r="AL54" t="str">
        <f>CONCATENATE("A(",AD54,")=")</f>
        <v>A(2)=</v>
      </c>
      <c r="AM54">
        <f>AI54+AK54</f>
        <v>65.099999999999994</v>
      </c>
      <c r="AO54" s="68" t="str">
        <f>AA54</f>
        <v>A(2)=</v>
      </c>
      <c r="AP54" s="68" t="e">
        <f>VLOOKUP(AO54,Rise_Results,2,FALSE)</f>
        <v>#N/A</v>
      </c>
      <c r="AQ54" s="76" t="e">
        <f>N54</f>
        <v>#N/A</v>
      </c>
      <c r="AR54" s="76">
        <f>IF(OR(AB54&lt;=0,AB55&lt;=0),1/0,AB54)</f>
        <v>65.276666666666671</v>
      </c>
      <c r="AS54" s="76">
        <f>AM54</f>
        <v>65.099999999999994</v>
      </c>
      <c r="AT54">
        <f>IFERROR(AP54,IFERROR(AQ54,IFERROR(AR54,AS54)))</f>
        <v>65.276666666666671</v>
      </c>
      <c r="AU54" s="81"/>
    </row>
    <row r="55" spans="1:47" x14ac:dyDescent="0.25">
      <c r="A55" s="84">
        <f>A54+1</f>
        <v>6</v>
      </c>
      <c r="B55" s="84">
        <f t="shared" si="11"/>
        <v>2</v>
      </c>
      <c r="F55" s="82" t="e">
        <f>SUM(F52:F54)</f>
        <v>#N/A</v>
      </c>
      <c r="H55" s="82" t="e">
        <f>SUM(H52:H54)</f>
        <v>#N/A</v>
      </c>
      <c r="I55" s="84" t="str">
        <f>CONCATENATE("m'(",C54,")=")</f>
        <v>m'(2)=</v>
      </c>
      <c r="J55" s="84" t="e">
        <f>2*(J52*(WLS))/3*H55</f>
        <v>#N/A</v>
      </c>
      <c r="K55" s="84" t="str">
        <f>CONCATENATE("M(",C52,")=")</f>
        <v>M(#NA)=</v>
      </c>
      <c r="L55" s="84" t="e">
        <f>VLOOKUP(C52,STN_TABLE,4,FALSE)</f>
        <v>#N/A</v>
      </c>
      <c r="M55" t="str">
        <f>CONCATENATE("M(",C54,")=")</f>
        <v>M(2)=</v>
      </c>
      <c r="N55" t="e">
        <f>J55+L55</f>
        <v>#N/A</v>
      </c>
      <c r="O55" s="99">
        <f>O54+1</f>
        <v>8</v>
      </c>
      <c r="P55" s="99">
        <f t="shared" si="10"/>
        <v>4</v>
      </c>
      <c r="T55" s="89">
        <f>SUM(T52:T54)</f>
        <v>106.97</v>
      </c>
      <c r="V55" s="82">
        <f>SUM(V52:V54)</f>
        <v>108.77000000000001</v>
      </c>
      <c r="W55" s="84" t="str">
        <f>CONCATENATE("m'(",Q53,")=")</f>
        <v>m'(2)=</v>
      </c>
      <c r="X55" s="84">
        <f>(2*(X52^2)/24*V55)+(X54*Q52*WLS)</f>
        <v>107.57</v>
      </c>
      <c r="Y55" s="84" t="str">
        <f>CONCATENATE("M(",Q52,")=")</f>
        <v>M(1)=</v>
      </c>
      <c r="Z55" s="84">
        <f>VLOOKUP(Q52,STN_TABLE,4,FALSE)</f>
        <v>31.326666666666664</v>
      </c>
      <c r="AA55" t="str">
        <f>CONCATENATE("M(",Q53,")=")</f>
        <v>M(2)=</v>
      </c>
      <c r="AB55">
        <f>X55+Z55</f>
        <v>138.89666666666665</v>
      </c>
      <c r="AE55" s="89">
        <f>SUM(AE53:AE54)</f>
        <v>17.740000000000002</v>
      </c>
      <c r="AG55" s="89">
        <f>SUM(AG53:AG54)</f>
        <v>27.060000000000002</v>
      </c>
      <c r="AH55" s="84" t="str">
        <f>CONCATENATE("m'(",AD54,")=")</f>
        <v>m'(2)=</v>
      </c>
      <c r="AI55" s="84">
        <f>(2*(AI52^2)/6*AG55)+(AI54*AD53*WLS)</f>
        <v>107.04</v>
      </c>
      <c r="AJ55" s="84" t="str">
        <f>CONCATENATE("M(",AD53,")=")</f>
        <v>M(1)=</v>
      </c>
      <c r="AK55" s="84">
        <f>VLOOKUP(AD53,STN_TABLE,4,FALSE)</f>
        <v>31.326666666666664</v>
      </c>
      <c r="AL55" t="str">
        <f>CONCATENATE("M(",AD54,")=")</f>
        <v>M(2)=</v>
      </c>
      <c r="AM55">
        <f>AI55+AK55</f>
        <v>138.36666666666667</v>
      </c>
      <c r="AO55" s="82" t="str">
        <f>AA55</f>
        <v>M(2)=</v>
      </c>
      <c r="AP55" s="82" t="e">
        <f>VLOOKUP(AO55,Rise_Results,2,FALSE)</f>
        <v>#N/A</v>
      </c>
      <c r="AQ55" s="82" t="e">
        <f>N55</f>
        <v>#N/A</v>
      </c>
      <c r="AR55" s="82">
        <f>IF(OR(AB54&lt;=0,AB55&lt;=0),1/0,AB55)</f>
        <v>138.89666666666665</v>
      </c>
      <c r="AS55" s="82">
        <f>AM55</f>
        <v>138.36666666666667</v>
      </c>
      <c r="AT55">
        <f>IFERROR(AP55,IFERROR(AQ55,IFERROR(AR55,AS55)))</f>
        <v>138.89666666666665</v>
      </c>
      <c r="AU55" s="81"/>
    </row>
    <row r="56" spans="1:47" x14ac:dyDescent="0.25">
      <c r="A56" s="101">
        <f>A51+1</f>
        <v>3</v>
      </c>
      <c r="B56" s="101">
        <f t="shared" si="11"/>
        <v>0.5</v>
      </c>
      <c r="O56" s="101">
        <f>O51+1</f>
        <v>5</v>
      </c>
      <c r="P56" s="101">
        <f t="shared" si="10"/>
        <v>1</v>
      </c>
      <c r="AU56" s="81"/>
    </row>
    <row r="57" spans="1:47" x14ac:dyDescent="0.25">
      <c r="A57" s="84">
        <f>A56+1</f>
        <v>4</v>
      </c>
      <c r="B57" s="84">
        <f t="shared" si="11"/>
        <v>0.75</v>
      </c>
      <c r="C57" s="79">
        <f t="shared" ref="C57" si="15">IF(C58=B59,IF(C59-C58=C58-B58,B58,IF(C59-C58=C58-B57,B57,"#NA")),IF(C58=B58,IF(C59-C58=C58-B57,B57,IF(C59-C58=C58-B56,B56,"#NA")),"#NA"))</f>
        <v>1</v>
      </c>
      <c r="D57" s="68">
        <f>VLOOKUP(C57,STN_TABLE,2,FALSE)</f>
        <v>8.42</v>
      </c>
      <c r="E57" s="102">
        <v>1</v>
      </c>
      <c r="F57" s="68">
        <f>D57*E57</f>
        <v>8.42</v>
      </c>
      <c r="G57" s="69">
        <f>C57</f>
        <v>1</v>
      </c>
      <c r="H57" s="69">
        <f>F57*G57</f>
        <v>8.42</v>
      </c>
      <c r="I57" s="6" t="s">
        <v>93</v>
      </c>
      <c r="J57" s="70">
        <f>IF(OR(D57=0,D58=0,D59=0),"#NA",IF(AND(C59-C58=C58-C57,C58&lt;&gt;C59,C57&lt;&gt;C58,C57&lt;&gt;C59,D59&lt;&gt;0,OR(D57&lt;&gt;0,D58&lt;&gt;0)),WLS*(C59-C58),"#NA"))</f>
        <v>2</v>
      </c>
      <c r="O57" s="99">
        <f>O56+1</f>
        <v>6</v>
      </c>
      <c r="P57" s="99">
        <f t="shared" si="10"/>
        <v>2</v>
      </c>
      <c r="Q57" s="68">
        <f>IF(OR(P59-P58=P58-P57,P60-P58=P58-P57),P57,IF(OR(P59-P58=P58-P56,P60-P58=P58-P56),P56,"-"))</f>
        <v>2</v>
      </c>
      <c r="R57" s="69">
        <f>VLOOKUP(Q57,STN_TABLE,2,FALSE)</f>
        <v>9.32</v>
      </c>
      <c r="S57" s="69">
        <v>5</v>
      </c>
      <c r="T57" s="68">
        <f>R57*S57</f>
        <v>46.6</v>
      </c>
      <c r="U57" s="79">
        <v>3</v>
      </c>
      <c r="V57" s="68">
        <f>R57*U57</f>
        <v>27.96</v>
      </c>
      <c r="W57" s="6" t="s">
        <v>93</v>
      </c>
      <c r="X57" s="70">
        <f>IF(AND(Q59-Q58=Q58-Q57,NOT(AND(Q57=0,Q58=0)),NOT(AND(Q58=0,Q59=0))),WLS*(Q59-Q58),"#NA")</f>
        <v>2</v>
      </c>
      <c r="AD57" s="93"/>
      <c r="AH57" s="6" t="s">
        <v>93</v>
      </c>
      <c r="AI57" s="70">
        <f>WLS*(AD59-AD58)</f>
        <v>2</v>
      </c>
      <c r="AU57" s="81"/>
    </row>
    <row r="58" spans="1:47" x14ac:dyDescent="0.25">
      <c r="A58" s="84">
        <f>A57+1</f>
        <v>5</v>
      </c>
      <c r="B58" s="84">
        <f t="shared" si="11"/>
        <v>1</v>
      </c>
      <c r="C58" s="80">
        <f t="shared" ref="C58" si="16">IF(OR(B60-B59=B59-B58,B60-B59=B59-B57,B60-B59=B59-B56),B59,IF(OR(B60-B58=B58-B57,B60-B58=B58-B56),B58,IF(B60-B57=B57-B56,B57,"#NA")))</f>
        <v>2</v>
      </c>
      <c r="D58" s="76">
        <f>VLOOKUP(C58,STN_TABLE,2,FALSE)</f>
        <v>9.32</v>
      </c>
      <c r="E58" s="81">
        <v>4</v>
      </c>
      <c r="F58" s="76">
        <f>D58*E58</f>
        <v>37.28</v>
      </c>
      <c r="G58" s="77">
        <f>C58</f>
        <v>2</v>
      </c>
      <c r="H58" s="77">
        <f>F58*G58</f>
        <v>74.56</v>
      </c>
      <c r="I58" s="495" t="s">
        <v>97</v>
      </c>
      <c r="J58" s="496"/>
      <c r="K58" s="78" t="s">
        <v>98</v>
      </c>
      <c r="L58" s="78"/>
      <c r="M58" s="7" t="s">
        <v>99</v>
      </c>
      <c r="N58" s="7"/>
      <c r="O58" s="99">
        <f>O57+1</f>
        <v>7</v>
      </c>
      <c r="P58" s="99">
        <f t="shared" si="10"/>
        <v>3</v>
      </c>
      <c r="Q58" s="76">
        <f>P58</f>
        <v>3</v>
      </c>
      <c r="R58" s="77">
        <f>VLOOKUP(Q58,STN_TABLE,2,FALSE)</f>
        <v>9.69</v>
      </c>
      <c r="S58" s="77">
        <v>8</v>
      </c>
      <c r="T58" s="76">
        <f>R58*S58</f>
        <v>77.52</v>
      </c>
      <c r="U58" s="80">
        <v>10</v>
      </c>
      <c r="V58" s="76">
        <f>R58*U58</f>
        <v>96.899999999999991</v>
      </c>
      <c r="W58" s="78" t="s">
        <v>97</v>
      </c>
      <c r="X58" s="78"/>
      <c r="Y58" s="78" t="s">
        <v>98</v>
      </c>
      <c r="Z58" s="78"/>
      <c r="AA58" s="7" t="s">
        <v>99</v>
      </c>
      <c r="AB58" s="7"/>
      <c r="AC58" s="99">
        <f>AC53+1</f>
        <v>6</v>
      </c>
      <c r="AD58" s="95">
        <f>VLOOKUP(AC58,STN_TABLE_2,2,FALSE)</f>
        <v>2</v>
      </c>
      <c r="AE58" s="68">
        <f>VLOOKUP(AD58,STN_TABLE,2,FALSE)</f>
        <v>9.32</v>
      </c>
      <c r="AF58" s="68">
        <v>1</v>
      </c>
      <c r="AG58" s="69">
        <f>AE58*AF58</f>
        <v>9.32</v>
      </c>
      <c r="AH58" s="496" t="s">
        <v>97</v>
      </c>
      <c r="AI58" s="496"/>
      <c r="AJ58" s="496" t="s">
        <v>98</v>
      </c>
      <c r="AK58" s="496"/>
      <c r="AL58" s="494" t="s">
        <v>99</v>
      </c>
      <c r="AM58" s="494"/>
      <c r="AP58" s="86" t="s">
        <v>112</v>
      </c>
      <c r="AQ58" s="89" t="s">
        <v>113</v>
      </c>
      <c r="AR58" s="89" t="s">
        <v>114</v>
      </c>
      <c r="AS58" s="89" t="s">
        <v>115</v>
      </c>
      <c r="AU58" s="81"/>
    </row>
    <row r="59" spans="1:47" x14ac:dyDescent="0.25">
      <c r="A59" s="84">
        <f>A58+1</f>
        <v>6</v>
      </c>
      <c r="B59" s="84">
        <f t="shared" si="11"/>
        <v>2</v>
      </c>
      <c r="C59" s="88">
        <f t="shared" ref="C59" si="17">B60</f>
        <v>3</v>
      </c>
      <c r="D59" s="82">
        <f>VLOOKUP(C59,STN_TABLE,2,FALSE)</f>
        <v>9.69</v>
      </c>
      <c r="E59" s="92">
        <v>1</v>
      </c>
      <c r="F59" s="82">
        <f>D59*E59</f>
        <v>9.69</v>
      </c>
      <c r="G59" s="83">
        <f>C59</f>
        <v>3</v>
      </c>
      <c r="H59" s="83">
        <f>F59*G59</f>
        <v>29.07</v>
      </c>
      <c r="I59" s="84" t="str">
        <f>CONCATENATE("a'(",C59,")=")</f>
        <v>a'(3)=</v>
      </c>
      <c r="J59" s="84">
        <f>2*J57/3*F60</f>
        <v>73.853333333333325</v>
      </c>
      <c r="K59" s="84" t="str">
        <f>CONCATENATE("A(",C57,")=")</f>
        <v>A(1)=</v>
      </c>
      <c r="L59" s="84">
        <f>VLOOKUP(C57,STN_TABLE,3,FALSE)</f>
        <v>29.619999999999997</v>
      </c>
      <c r="M59" t="str">
        <f>CONCATENATE("A(",C59,")=")</f>
        <v>A(3)=</v>
      </c>
      <c r="N59">
        <f>J59+L59</f>
        <v>103.47333333333333</v>
      </c>
      <c r="O59" s="99">
        <f>O58+1</f>
        <v>8</v>
      </c>
      <c r="P59" s="99">
        <f t="shared" si="10"/>
        <v>4</v>
      </c>
      <c r="Q59" s="82">
        <f>IF(P59-P58=P58-P57,P59,IF(P60-P58=P58-P57,P60,IF(P59-P58=P58-P56,P59,IF(P60-P58=P58-P56,P60,"-"))))</f>
        <v>4</v>
      </c>
      <c r="R59" s="83">
        <f>VLOOKUP(Q59,STN_TABLE,2,FALSE)</f>
        <v>9.99</v>
      </c>
      <c r="S59" s="83">
        <v>-1</v>
      </c>
      <c r="T59" s="82">
        <f>R59*S59</f>
        <v>-9.99</v>
      </c>
      <c r="U59" s="88">
        <v>-1</v>
      </c>
      <c r="V59" s="82">
        <f>R59*U59</f>
        <v>-9.99</v>
      </c>
      <c r="W59" s="84" t="str">
        <f>CONCATENATE("a'(",Q58,")=")</f>
        <v>a'(3)=</v>
      </c>
      <c r="X59" s="84">
        <f>2*X57/12*T60</f>
        <v>38.043333333333337</v>
      </c>
      <c r="Y59" s="84" t="str">
        <f>CONCATENATE("A(",Q57,")=")</f>
        <v>A(2)=</v>
      </c>
      <c r="Z59" s="84">
        <f>VLOOKUP(Q57,STN_TABLE,3,FALSE)</f>
        <v>65.276666666666671</v>
      </c>
      <c r="AA59" t="str">
        <f>CONCATENATE("A(",Q58,")=")</f>
        <v>A(3)=</v>
      </c>
      <c r="AB59">
        <f>X59+Z59</f>
        <v>103.32000000000001</v>
      </c>
      <c r="AC59" s="99">
        <f>AC58+1</f>
        <v>7</v>
      </c>
      <c r="AD59" s="100">
        <f>VLOOKUP(AC59,STN_TABLE_2,2,FALSE)</f>
        <v>3</v>
      </c>
      <c r="AE59" s="82">
        <f>VLOOKUP(AD59,STN_TABLE,2,FALSE)</f>
        <v>9.69</v>
      </c>
      <c r="AF59" s="82">
        <v>2</v>
      </c>
      <c r="AG59" s="83">
        <f>AE59*AF59</f>
        <v>19.38</v>
      </c>
      <c r="AH59" s="84" t="str">
        <f>CONCATENATE("a'(",AD59,")=")</f>
        <v>a'(3)=</v>
      </c>
      <c r="AI59" s="84">
        <f>2*AI57/2*AE60</f>
        <v>38.019999999999996</v>
      </c>
      <c r="AJ59" s="84" t="str">
        <f>CONCATENATE("A(",AD58,")=")</f>
        <v>A(2)=</v>
      </c>
      <c r="AK59" s="84">
        <f>VLOOKUP(AD58,STN_TABLE,3,FALSE)</f>
        <v>65.276666666666671</v>
      </c>
      <c r="AL59" t="str">
        <f>CONCATENATE("A(",AD59,")=")</f>
        <v>A(3)=</v>
      </c>
      <c r="AM59">
        <f>AI59+AK59</f>
        <v>103.29666666666667</v>
      </c>
      <c r="AO59" s="68" t="str">
        <f>AA59</f>
        <v>A(3)=</v>
      </c>
      <c r="AP59" s="68" t="e">
        <f>VLOOKUP(AO59,Rise_Results,2,FALSE)</f>
        <v>#N/A</v>
      </c>
      <c r="AQ59" s="76">
        <f>N59</f>
        <v>103.47333333333333</v>
      </c>
      <c r="AR59" s="76">
        <f>IF(OR(AB59&lt;=0,AB60&lt;=0),1/0,AB59)</f>
        <v>103.32000000000001</v>
      </c>
      <c r="AS59" s="76">
        <f>AM59</f>
        <v>103.29666666666667</v>
      </c>
      <c r="AT59">
        <f>IFERROR(AP59,IFERROR(AQ59,IFERROR(AR59,AS59)))</f>
        <v>103.47333333333333</v>
      </c>
      <c r="AU59" s="81"/>
    </row>
    <row r="60" spans="1:47" x14ac:dyDescent="0.25">
      <c r="A60" s="84">
        <f>A59+1</f>
        <v>7</v>
      </c>
      <c r="B60" s="84">
        <f t="shared" si="11"/>
        <v>3</v>
      </c>
      <c r="F60" s="82">
        <f>SUM(F57:F59)</f>
        <v>55.39</v>
      </c>
      <c r="H60" s="82">
        <f>SUM(H57:H59)</f>
        <v>112.05000000000001</v>
      </c>
      <c r="I60" s="84" t="str">
        <f>CONCATENATE("m'(",C59,")=")</f>
        <v>m'(3)=</v>
      </c>
      <c r="J60" s="84">
        <f>2*(J57*(WLS))/3*H60</f>
        <v>298.8</v>
      </c>
      <c r="K60" s="84" t="str">
        <f>CONCATENATE("M(",C57,")=")</f>
        <v>M(1)=</v>
      </c>
      <c r="L60" s="84">
        <f>VLOOKUP(C57,STN_TABLE,4,FALSE)</f>
        <v>31.326666666666664</v>
      </c>
      <c r="M60" t="str">
        <f>CONCATENATE("M(",C59,")=")</f>
        <v>M(3)=</v>
      </c>
      <c r="N60">
        <f>J60+L60</f>
        <v>330.12666666666667</v>
      </c>
      <c r="O60" s="99">
        <f>O59+1</f>
        <v>9</v>
      </c>
      <c r="P60" s="99">
        <f t="shared" si="10"/>
        <v>4.8499999999999996</v>
      </c>
      <c r="T60" s="89">
        <f>SUM(T57:T59)</f>
        <v>114.13000000000001</v>
      </c>
      <c r="V60" s="82">
        <f>SUM(V57:V59)</f>
        <v>114.86999999999999</v>
      </c>
      <c r="W60" s="84" t="str">
        <f>CONCATENATE("m'(",Q58,")=")</f>
        <v>m'(3)=</v>
      </c>
      <c r="X60" s="84">
        <f>(2*(X57^2)/24*V60)+(X59*Q57*WLS)</f>
        <v>190.46333333333334</v>
      </c>
      <c r="Y60" s="84" t="str">
        <f>CONCATENATE("M(",Q57,")=")</f>
        <v>M(2)=</v>
      </c>
      <c r="Z60" s="84">
        <f>VLOOKUP(Q57,STN_TABLE,4,FALSE)</f>
        <v>138.89666666666665</v>
      </c>
      <c r="AA60" t="str">
        <f>CONCATENATE("M(",Q58,")=")</f>
        <v>M(3)=</v>
      </c>
      <c r="AB60">
        <f>X60+Z60</f>
        <v>329.36</v>
      </c>
      <c r="AE60" s="89">
        <f>SUM(AE58:AE59)</f>
        <v>19.009999999999998</v>
      </c>
      <c r="AG60" s="89">
        <f>SUM(AG58:AG59)</f>
        <v>28.7</v>
      </c>
      <c r="AH60" s="84" t="str">
        <f>CONCATENATE("m'(",AD59,")=")</f>
        <v>m'(3)=</v>
      </c>
      <c r="AI60" s="84">
        <f>(2*(AI57^2)/6*AG60)+(AI59*AD58*WLS)</f>
        <v>190.34666666666664</v>
      </c>
      <c r="AJ60" s="84" t="str">
        <f>CONCATENATE("M(",AD58,")=")</f>
        <v>M(2)=</v>
      </c>
      <c r="AK60" s="84">
        <f>VLOOKUP(AD57,STN_TABLE,4,FALSE)</f>
        <v>0</v>
      </c>
      <c r="AL60" t="str">
        <f>CONCATENATE("M(",AD59,")=")</f>
        <v>M(3)=</v>
      </c>
      <c r="AM60">
        <f>AI60+AK60</f>
        <v>190.34666666666664</v>
      </c>
      <c r="AO60" s="82" t="str">
        <f>AA60</f>
        <v>M(3)=</v>
      </c>
      <c r="AP60" s="82" t="e">
        <f>VLOOKUP(AO60,Rise_Results,2,FALSE)</f>
        <v>#N/A</v>
      </c>
      <c r="AQ60" s="82">
        <f>N60</f>
        <v>330.12666666666667</v>
      </c>
      <c r="AR60" s="82">
        <f>IF(OR(AB59&lt;=0,AB60&lt;=0),1/0,AB60)</f>
        <v>329.36</v>
      </c>
      <c r="AS60" s="82">
        <f>AM60</f>
        <v>190.34666666666664</v>
      </c>
      <c r="AT60">
        <f>IFERROR(AP60,IFERROR(AQ60,IFERROR(AR60,AS60)))</f>
        <v>330.12666666666667</v>
      </c>
      <c r="AU60" s="81"/>
    </row>
    <row r="61" spans="1:47" x14ac:dyDescent="0.25">
      <c r="A61" s="101">
        <f>A56+1</f>
        <v>4</v>
      </c>
      <c r="B61" s="101">
        <f t="shared" si="11"/>
        <v>0.75</v>
      </c>
      <c r="O61" s="101">
        <f>O56+1</f>
        <v>6</v>
      </c>
      <c r="P61" s="101">
        <f t="shared" si="10"/>
        <v>2</v>
      </c>
      <c r="AU61" s="81"/>
    </row>
    <row r="62" spans="1:47" x14ac:dyDescent="0.25">
      <c r="A62" s="84">
        <f>A61+1</f>
        <v>5</v>
      </c>
      <c r="B62" s="84">
        <f t="shared" si="11"/>
        <v>1</v>
      </c>
      <c r="C62" s="79">
        <f t="shared" ref="C62" si="18">IF(C63=B64,IF(C64-C63=C63-B63,B63,IF(C64-C63=C63-B62,B62,"#NA")),IF(C63=B63,IF(C64-C63=C63-B62,B62,IF(C64-C63=C63-B61,B61,"#NA")),"#NA"))</f>
        <v>2</v>
      </c>
      <c r="D62" s="68">
        <f>VLOOKUP(C62,STN_TABLE,2,FALSE)</f>
        <v>9.32</v>
      </c>
      <c r="E62" s="102">
        <v>1</v>
      </c>
      <c r="F62" s="68">
        <f>D62*E62</f>
        <v>9.32</v>
      </c>
      <c r="G62" s="69">
        <f>C62</f>
        <v>2</v>
      </c>
      <c r="H62" s="69">
        <f>F62*G62</f>
        <v>18.64</v>
      </c>
      <c r="I62" s="6" t="s">
        <v>93</v>
      </c>
      <c r="J62" s="70">
        <f>IF(OR(D62=0,D63=0,D64=0),"#NA",IF(AND(C64-C63=C63-C62,C63&lt;&gt;C64,C62&lt;&gt;C63,C62&lt;&gt;C64,D64&lt;&gt;0,OR(D62&lt;&gt;0,D63&lt;&gt;0)),WLS*(C64-C63),"#NA"))</f>
        <v>2</v>
      </c>
      <c r="O62" s="99">
        <f>O61+1</f>
        <v>7</v>
      </c>
      <c r="P62" s="99">
        <f t="shared" si="10"/>
        <v>3</v>
      </c>
      <c r="Q62" s="68">
        <f>IF(OR(P64-P63=P63-P62,P65-P63=P63-P62),P62,IF(OR(P64-P63=P63-P61,P65-P63=P63-P61),P61,"-"))</f>
        <v>3</v>
      </c>
      <c r="R62" s="69">
        <f>VLOOKUP(Q62,STN_TABLE,2,FALSE)</f>
        <v>9.69</v>
      </c>
      <c r="S62" s="69">
        <v>5</v>
      </c>
      <c r="T62" s="68">
        <f>R62*S62</f>
        <v>48.449999999999996</v>
      </c>
      <c r="U62" s="79">
        <v>3</v>
      </c>
      <c r="V62" s="68">
        <f>R62*U62</f>
        <v>29.07</v>
      </c>
      <c r="W62" s="6" t="s">
        <v>93</v>
      </c>
      <c r="X62" s="70">
        <f>IF(AND(Q64-Q63=Q63-Q62,NOT(AND(Q62=0,Q63=0)),NOT(AND(Q63=0,Q64=0))),WLS*(Q64-Q63),"#NA")</f>
        <v>2</v>
      </c>
      <c r="AD62" s="93"/>
      <c r="AH62" s="6" t="s">
        <v>93</v>
      </c>
      <c r="AI62" s="70">
        <f>WLS*(AD64-AD63)</f>
        <v>2</v>
      </c>
      <c r="AU62" s="81"/>
    </row>
    <row r="63" spans="1:47" x14ac:dyDescent="0.25">
      <c r="A63" s="84">
        <f>A62+1</f>
        <v>6</v>
      </c>
      <c r="B63" s="84">
        <f t="shared" si="11"/>
        <v>2</v>
      </c>
      <c r="C63" s="80">
        <f t="shared" ref="C63" si="19">IF(OR(B65-B64=B64-B63,B65-B64=B64-B62,B65-B64=B64-B61),B64,IF(OR(B65-B63=B63-B62,B65-B63=B63-B61),B63,IF(B65-B62=B62-B61,B62,"#NA")))</f>
        <v>3</v>
      </c>
      <c r="D63" s="76">
        <f>VLOOKUP(C63,STN_TABLE,2,FALSE)</f>
        <v>9.69</v>
      </c>
      <c r="E63" s="81">
        <v>4</v>
      </c>
      <c r="F63" s="76">
        <f>D63*E63</f>
        <v>38.76</v>
      </c>
      <c r="G63" s="77">
        <f>C63</f>
        <v>3</v>
      </c>
      <c r="H63" s="77">
        <f>F63*G63</f>
        <v>116.28</v>
      </c>
      <c r="I63" s="495" t="s">
        <v>97</v>
      </c>
      <c r="J63" s="496"/>
      <c r="K63" s="78" t="s">
        <v>98</v>
      </c>
      <c r="L63" s="78"/>
      <c r="M63" s="7" t="s">
        <v>99</v>
      </c>
      <c r="N63" s="7"/>
      <c r="O63" s="99">
        <f>O62+1</f>
        <v>8</v>
      </c>
      <c r="P63" s="99">
        <f t="shared" si="10"/>
        <v>4</v>
      </c>
      <c r="Q63" s="76">
        <f>P63</f>
        <v>4</v>
      </c>
      <c r="R63" s="77">
        <f>VLOOKUP(Q63,STN_TABLE,2,FALSE)</f>
        <v>9.99</v>
      </c>
      <c r="S63" s="77">
        <v>8</v>
      </c>
      <c r="T63" s="76">
        <f>R63*S63</f>
        <v>79.92</v>
      </c>
      <c r="U63" s="80">
        <v>10</v>
      </c>
      <c r="V63" s="76">
        <f>R63*U63</f>
        <v>99.9</v>
      </c>
      <c r="W63" s="496" t="s">
        <v>97</v>
      </c>
      <c r="X63" s="496"/>
      <c r="Y63" s="496" t="s">
        <v>98</v>
      </c>
      <c r="Z63" s="496"/>
      <c r="AA63" s="494" t="s">
        <v>99</v>
      </c>
      <c r="AB63" s="494"/>
      <c r="AC63" s="99">
        <f>AC58+1</f>
        <v>7</v>
      </c>
      <c r="AD63" s="95">
        <f>VLOOKUP(AC63,STN_TABLE_2,2,FALSE)</f>
        <v>3</v>
      </c>
      <c r="AE63" s="68">
        <f>VLOOKUP(AD63,STN_TABLE,2,FALSE)</f>
        <v>9.69</v>
      </c>
      <c r="AF63" s="68">
        <v>1</v>
      </c>
      <c r="AG63" s="69">
        <f>AE63*AF63</f>
        <v>9.69</v>
      </c>
      <c r="AH63" s="496" t="s">
        <v>97</v>
      </c>
      <c r="AI63" s="496"/>
      <c r="AJ63" s="496" t="s">
        <v>98</v>
      </c>
      <c r="AK63" s="496"/>
      <c r="AL63" s="494" t="s">
        <v>99</v>
      </c>
      <c r="AM63" s="494"/>
      <c r="AP63" s="86" t="s">
        <v>112</v>
      </c>
      <c r="AQ63" s="89" t="s">
        <v>113</v>
      </c>
      <c r="AR63" s="89" t="s">
        <v>114</v>
      </c>
      <c r="AS63" s="89" t="s">
        <v>115</v>
      </c>
      <c r="AU63" s="81"/>
    </row>
    <row r="64" spans="1:47" x14ac:dyDescent="0.25">
      <c r="A64" s="84">
        <f>A63+1</f>
        <v>7</v>
      </c>
      <c r="B64" s="84">
        <f t="shared" si="11"/>
        <v>3</v>
      </c>
      <c r="C64" s="88">
        <f t="shared" ref="C64" si="20">B65</f>
        <v>4</v>
      </c>
      <c r="D64" s="82">
        <f>VLOOKUP(C64,STN_TABLE,2,FALSE)</f>
        <v>9.99</v>
      </c>
      <c r="E64" s="92">
        <v>1</v>
      </c>
      <c r="F64" s="82">
        <f>D64*E64</f>
        <v>9.99</v>
      </c>
      <c r="G64" s="83">
        <f>C64</f>
        <v>4</v>
      </c>
      <c r="H64" s="83">
        <f>F64*G64</f>
        <v>39.96</v>
      </c>
      <c r="I64" s="84" t="str">
        <f>CONCATENATE("a'(",C64,")=")</f>
        <v>a'(4)=</v>
      </c>
      <c r="J64" s="84">
        <f>2*J62/3*F65</f>
        <v>77.426666666666662</v>
      </c>
      <c r="K64" s="84" t="str">
        <f>CONCATENATE("A(",C62,")=")</f>
        <v>A(2)=</v>
      </c>
      <c r="L64" s="84">
        <f>VLOOKUP(C62,STN_TABLE,3,FALSE)</f>
        <v>65.276666666666671</v>
      </c>
      <c r="M64" t="str">
        <f>CONCATENATE("A(",C64,")=")</f>
        <v>A(4)=</v>
      </c>
      <c r="N64">
        <f>J64+L64</f>
        <v>142.70333333333332</v>
      </c>
      <c r="O64" s="99">
        <f>O63+1</f>
        <v>9</v>
      </c>
      <c r="P64" s="99">
        <f t="shared" si="10"/>
        <v>4.8499999999999996</v>
      </c>
      <c r="Q64" s="82">
        <f>IF(P64-P63=P63-P62,P64,IF(P65-P63=P63-P62,P65,IF(P64-P63=P63-P61,P64,IF(P65-P63=P63-P61,P65,"-"))))</f>
        <v>5</v>
      </c>
      <c r="R64" s="83">
        <f>VLOOKUP(Q64,STN_TABLE,2,FALSE)</f>
        <v>10.27</v>
      </c>
      <c r="S64" s="83">
        <v>-1</v>
      </c>
      <c r="T64" s="82">
        <f>R64*S64</f>
        <v>-10.27</v>
      </c>
      <c r="U64" s="88">
        <v>-1</v>
      </c>
      <c r="V64" s="82">
        <f>R64*U64</f>
        <v>-10.27</v>
      </c>
      <c r="W64" s="84" t="str">
        <f>CONCATENATE("a'(",Q63,")=")</f>
        <v>a'(4)=</v>
      </c>
      <c r="X64" s="84">
        <f>2*X62/12*T65</f>
        <v>39.366666666666667</v>
      </c>
      <c r="Y64" s="84" t="str">
        <f>CONCATENATE("A(",Q62,")=")</f>
        <v>A(3)=</v>
      </c>
      <c r="Z64" s="84">
        <f>VLOOKUP(Q62,STN_TABLE,3,FALSE)</f>
        <v>103.47333333333333</v>
      </c>
      <c r="AA64" t="str">
        <f>CONCATENATE("A(",Q63,")=")</f>
        <v>A(4)=</v>
      </c>
      <c r="AB64">
        <f>X64+Z64</f>
        <v>142.84</v>
      </c>
      <c r="AC64" s="99">
        <f>AC63+1</f>
        <v>8</v>
      </c>
      <c r="AD64" s="100">
        <f>VLOOKUP(AC64,STN_TABLE_2,2,FALSE)</f>
        <v>4</v>
      </c>
      <c r="AE64" s="82">
        <f>VLOOKUP(AD64,STN_TABLE,2,FALSE)</f>
        <v>9.99</v>
      </c>
      <c r="AF64" s="82">
        <v>2</v>
      </c>
      <c r="AG64" s="83">
        <f>AE64*AF64</f>
        <v>19.98</v>
      </c>
      <c r="AH64" s="84" t="str">
        <f>CONCATENATE("a'(",AD64,")=")</f>
        <v>a'(4)=</v>
      </c>
      <c r="AI64" s="84">
        <f>2*AI62/2*AE65</f>
        <v>39.36</v>
      </c>
      <c r="AJ64" s="84" t="str">
        <f>CONCATENATE("A(",AD63,")=")</f>
        <v>A(3)=</v>
      </c>
      <c r="AK64" s="84">
        <f>VLOOKUP(AD63,STN_TABLE,3,FALSE)</f>
        <v>103.47333333333333</v>
      </c>
      <c r="AL64" t="str">
        <f>CONCATENATE("A(",AD64,")=")</f>
        <v>A(4)=</v>
      </c>
      <c r="AM64">
        <f>AI64+AK64</f>
        <v>142.83333333333331</v>
      </c>
      <c r="AO64" s="68" t="str">
        <f>AA64</f>
        <v>A(4)=</v>
      </c>
      <c r="AP64" s="68" t="e">
        <f>VLOOKUP(AO64,Rise_Results,2,FALSE)</f>
        <v>#N/A</v>
      </c>
      <c r="AQ64" s="76">
        <f>N64</f>
        <v>142.70333333333332</v>
      </c>
      <c r="AR64" s="76">
        <f>IF(OR(AB64&lt;=0,AB65&lt;=0),1/0,AB64)</f>
        <v>142.84</v>
      </c>
      <c r="AS64" s="76">
        <f>AM64</f>
        <v>142.83333333333331</v>
      </c>
      <c r="AT64">
        <f>IFERROR(AP64,IFERROR(AQ64,IFERROR(AR64,AS64)))</f>
        <v>142.70333333333332</v>
      </c>
      <c r="AU64" s="81"/>
    </row>
    <row r="65" spans="1:47" x14ac:dyDescent="0.25">
      <c r="A65" s="84">
        <f>A64+1</f>
        <v>8</v>
      </c>
      <c r="B65" s="84">
        <f t="shared" si="11"/>
        <v>4</v>
      </c>
      <c r="F65" s="82">
        <f>SUM(F62:F64)</f>
        <v>58.07</v>
      </c>
      <c r="H65" s="82">
        <f>SUM(H62:H64)</f>
        <v>174.88000000000002</v>
      </c>
      <c r="I65" s="84" t="str">
        <f>CONCATENATE("m'(",C64,")=")</f>
        <v>m'(4)=</v>
      </c>
      <c r="J65" s="84">
        <f>2*(J62*(WLS))/3*H65</f>
        <v>466.34666666666669</v>
      </c>
      <c r="K65" s="84" t="str">
        <f>CONCATENATE("M(",C62,")=")</f>
        <v>M(2)=</v>
      </c>
      <c r="L65" s="84">
        <f>VLOOKUP(C62,STN_TABLE,4,FALSE)</f>
        <v>138.89666666666665</v>
      </c>
      <c r="M65" t="str">
        <f>CONCATENATE("M(",C64,")=")</f>
        <v>M(4)=</v>
      </c>
      <c r="N65">
        <f>J65+L65</f>
        <v>605.24333333333334</v>
      </c>
      <c r="O65" s="99">
        <f>O64+1</f>
        <v>10</v>
      </c>
      <c r="P65" s="99">
        <f t="shared" si="10"/>
        <v>5</v>
      </c>
      <c r="T65" s="89">
        <f>SUM(T62:T64)</f>
        <v>118.10000000000001</v>
      </c>
      <c r="V65" s="82">
        <f>SUM(V62:V64)</f>
        <v>118.7</v>
      </c>
      <c r="W65" s="84" t="str">
        <f>CONCATENATE("m'(",Q63,")=")</f>
        <v>m'(4)=</v>
      </c>
      <c r="X65" s="84">
        <f>(2*(X62^2)/24*V65)+(X64*Q62*WLS)</f>
        <v>275.76666666666665</v>
      </c>
      <c r="Y65" s="84" t="str">
        <f>CONCATENATE("M(",Q62,")=")</f>
        <v>M(3)=</v>
      </c>
      <c r="Z65" s="84">
        <f>VLOOKUP(Q62,STN_TABLE,4,FALSE)</f>
        <v>330.12666666666667</v>
      </c>
      <c r="AA65" t="str">
        <f>CONCATENATE("M(",Q63,")=")</f>
        <v>M(4)=</v>
      </c>
      <c r="AB65">
        <f>X65+Z65</f>
        <v>605.89333333333332</v>
      </c>
      <c r="AE65" s="89">
        <f>SUM(AE63:AE64)</f>
        <v>19.68</v>
      </c>
      <c r="AG65" s="89">
        <f>SUM(AG63:AG64)</f>
        <v>29.67</v>
      </c>
      <c r="AH65" s="84" t="str">
        <f>CONCATENATE("m'(",AD64,")=")</f>
        <v>m'(4)=</v>
      </c>
      <c r="AI65" s="84">
        <f>(2*(AI62^2)/6*AG65)+(AI64*AD63*WLS)</f>
        <v>275.72000000000003</v>
      </c>
      <c r="AJ65" s="84" t="str">
        <f>CONCATENATE("M(",AD63,")=")</f>
        <v>M(3)=</v>
      </c>
      <c r="AK65" s="84">
        <f>VLOOKUP(AD63,STN_TABLE,4,FALSE)</f>
        <v>330.12666666666667</v>
      </c>
      <c r="AL65" t="str">
        <f>CONCATENATE("M(",AD64,")=")</f>
        <v>M(4)=</v>
      </c>
      <c r="AM65">
        <f>AI65+AK65</f>
        <v>605.84666666666669</v>
      </c>
      <c r="AO65" s="82" t="str">
        <f>AA65</f>
        <v>M(4)=</v>
      </c>
      <c r="AP65" s="82" t="e">
        <f>VLOOKUP(AO65,Rise_Results,2,FALSE)</f>
        <v>#N/A</v>
      </c>
      <c r="AQ65" s="82">
        <f>N65</f>
        <v>605.24333333333334</v>
      </c>
      <c r="AR65" s="82">
        <f>IF(OR(AB64&lt;=0,AB65&lt;=0),1/0,AB65)</f>
        <v>605.89333333333332</v>
      </c>
      <c r="AS65" s="82">
        <f>AM65</f>
        <v>605.84666666666669</v>
      </c>
      <c r="AT65">
        <f>IFERROR(AP65,IFERROR(AQ65,IFERROR(AR65,AS65)))</f>
        <v>605.24333333333334</v>
      </c>
      <c r="AU65" s="81"/>
    </row>
    <row r="66" spans="1:47" x14ac:dyDescent="0.25">
      <c r="A66" s="101">
        <f>A61+1</f>
        <v>5</v>
      </c>
      <c r="B66" s="101">
        <f t="shared" si="11"/>
        <v>1</v>
      </c>
      <c r="O66" s="101">
        <f>O61+1</f>
        <v>7</v>
      </c>
      <c r="P66" s="101">
        <f t="shared" si="10"/>
        <v>3</v>
      </c>
      <c r="AU66" s="81"/>
    </row>
    <row r="67" spans="1:47" x14ac:dyDescent="0.25">
      <c r="A67" s="84">
        <f>A66+1</f>
        <v>6</v>
      </c>
      <c r="B67" s="84">
        <f t="shared" si="11"/>
        <v>2</v>
      </c>
      <c r="C67" s="79" t="str">
        <f t="shared" ref="C67" si="21">IF(C68=B69,IF(C69-C68=C68-B68,B68,IF(C69-C68=C68-B67,B67,"#NA")),IF(C68=B68,IF(C69-C68=C68-B67,B67,IF(C69-C68=C68-B66,B66,"#NA")),"#NA"))</f>
        <v>#NA</v>
      </c>
      <c r="D67" s="68" t="e">
        <f>VLOOKUP(C67,STN_TABLE,2,FALSE)</f>
        <v>#N/A</v>
      </c>
      <c r="E67" s="102">
        <v>1</v>
      </c>
      <c r="F67" s="68" t="e">
        <f>D67*E67</f>
        <v>#N/A</v>
      </c>
      <c r="G67" s="69" t="str">
        <f>C67</f>
        <v>#NA</v>
      </c>
      <c r="H67" s="69" t="e">
        <f>F67*G67</f>
        <v>#N/A</v>
      </c>
      <c r="I67" s="6" t="s">
        <v>93</v>
      </c>
      <c r="J67" s="70" t="e">
        <f>IF(OR(D67=0,D68=0,D69=0),"#NA",IF(AND(C69-C68=C68-C67,C68&lt;&gt;C69,C67&lt;&gt;C68,C67&lt;&gt;C69,D69&lt;&gt;0,OR(D67&lt;&gt;0,D68&lt;&gt;0)),WLS*(C69-C68),"#NA"))</f>
        <v>#N/A</v>
      </c>
      <c r="O67" s="99">
        <f>O66+1</f>
        <v>8</v>
      </c>
      <c r="P67" s="99">
        <f t="shared" si="10"/>
        <v>4</v>
      </c>
      <c r="Q67" s="68" t="str">
        <f>IF(OR(P69-P68=P68-P67,P70-P68=P68-P67),P67,IF(OR(P69-P68=P68-P66,P70-P68=P68-P66),P66,"-"))</f>
        <v>-</v>
      </c>
      <c r="R67" s="69" t="e">
        <f>VLOOKUP(Q67,STN_TABLE,2,FALSE)</f>
        <v>#N/A</v>
      </c>
      <c r="S67" s="69">
        <v>5</v>
      </c>
      <c r="T67" s="68" t="e">
        <f>R67*S67</f>
        <v>#N/A</v>
      </c>
      <c r="U67" s="79">
        <v>3</v>
      </c>
      <c r="V67" s="68" t="e">
        <f>R67*U67</f>
        <v>#N/A</v>
      </c>
      <c r="W67" s="6" t="s">
        <v>93</v>
      </c>
      <c r="X67" s="70" t="e">
        <f>IF(AND(Q69-Q68=Q68-Q67,NOT(AND(Q67=0,Q68=0)),NOT(AND(Q68=0,Q69=0))),WLS*(Q69-Q68),"#NA")</f>
        <v>#VALUE!</v>
      </c>
      <c r="AD67" s="93"/>
      <c r="AH67" s="6" t="s">
        <v>93</v>
      </c>
      <c r="AI67" s="70">
        <f>WLS*(AD69-AD68)</f>
        <v>1.6999999999999993</v>
      </c>
      <c r="AU67" s="81"/>
    </row>
    <row r="68" spans="1:47" x14ac:dyDescent="0.25">
      <c r="A68" s="84">
        <f>A67+1</f>
        <v>7</v>
      </c>
      <c r="B68" s="84">
        <f t="shared" si="11"/>
        <v>3</v>
      </c>
      <c r="C68" s="80" t="str">
        <f t="shared" ref="C68" si="22">IF(OR(B70-B69=B69-B68,B70-B69=B69-B67,B70-B69=B69-B66),B69,IF(OR(B70-B68=B68-B67,B70-B68=B68-B66),B68,IF(B70-B67=B67-B66,B67,"#NA")))</f>
        <v>#NA</v>
      </c>
      <c r="D68" s="76" t="e">
        <f>VLOOKUP(C68,STN_TABLE,2,FALSE)</f>
        <v>#N/A</v>
      </c>
      <c r="E68" s="81">
        <v>4</v>
      </c>
      <c r="F68" s="76" t="e">
        <f>D68*E68</f>
        <v>#N/A</v>
      </c>
      <c r="G68" s="77" t="str">
        <f>C68</f>
        <v>#NA</v>
      </c>
      <c r="H68" s="77" t="e">
        <f>F68*G68</f>
        <v>#N/A</v>
      </c>
      <c r="I68" s="495" t="s">
        <v>97</v>
      </c>
      <c r="J68" s="496"/>
      <c r="K68" s="78" t="s">
        <v>98</v>
      </c>
      <c r="L68" s="78"/>
      <c r="M68" s="7" t="s">
        <v>99</v>
      </c>
      <c r="N68" s="7"/>
      <c r="O68" s="99">
        <f>O67+1</f>
        <v>9</v>
      </c>
      <c r="P68" s="99">
        <f t="shared" ref="P68:P99" si="23">VLOOKUP(O68,STN_TABLE_2,2,FALSE)</f>
        <v>4.8499999999999996</v>
      </c>
      <c r="Q68" s="76">
        <f>P68</f>
        <v>4.8499999999999996</v>
      </c>
      <c r="R68" s="77">
        <f>VLOOKUP(Q68,STN_TABLE,2,FALSE)</f>
        <v>10.23</v>
      </c>
      <c r="S68" s="77">
        <v>8</v>
      </c>
      <c r="T68" s="76">
        <f>R68*S68</f>
        <v>81.84</v>
      </c>
      <c r="U68" s="80">
        <v>10</v>
      </c>
      <c r="V68" s="76">
        <f>R68*U68</f>
        <v>102.30000000000001</v>
      </c>
      <c r="W68" s="496" t="s">
        <v>97</v>
      </c>
      <c r="X68" s="496"/>
      <c r="Y68" s="496" t="s">
        <v>98</v>
      </c>
      <c r="Z68" s="496"/>
      <c r="AA68" s="494" t="s">
        <v>99</v>
      </c>
      <c r="AB68" s="494"/>
      <c r="AC68" s="99">
        <f>AC63+1</f>
        <v>8</v>
      </c>
      <c r="AD68" s="95">
        <f>VLOOKUP(AC68,STN_TABLE_2,2,FALSE)</f>
        <v>4</v>
      </c>
      <c r="AE68" s="68">
        <f>VLOOKUP(AD68,STN_TABLE,2,FALSE)</f>
        <v>9.99</v>
      </c>
      <c r="AF68" s="68">
        <v>1</v>
      </c>
      <c r="AG68" s="69">
        <f>AE68*AF68</f>
        <v>9.99</v>
      </c>
      <c r="AH68" s="496" t="s">
        <v>97</v>
      </c>
      <c r="AI68" s="496"/>
      <c r="AJ68" s="496" t="s">
        <v>98</v>
      </c>
      <c r="AK68" s="496"/>
      <c r="AL68" s="494" t="s">
        <v>99</v>
      </c>
      <c r="AM68" s="494"/>
      <c r="AP68" s="86" t="s">
        <v>112</v>
      </c>
      <c r="AQ68" s="89" t="s">
        <v>113</v>
      </c>
      <c r="AR68" s="89" t="s">
        <v>114</v>
      </c>
      <c r="AS68" s="89" t="s">
        <v>115</v>
      </c>
      <c r="AU68" s="81"/>
    </row>
    <row r="69" spans="1:47" x14ac:dyDescent="0.25">
      <c r="A69" s="84">
        <f>A68+1</f>
        <v>8</v>
      </c>
      <c r="B69" s="84">
        <f t="shared" si="11"/>
        <v>4</v>
      </c>
      <c r="C69" s="88">
        <f t="shared" ref="C69" si="24">B70</f>
        <v>4.8499999999999996</v>
      </c>
      <c r="D69" s="82">
        <f>VLOOKUP(C69,STN_TABLE,2,FALSE)</f>
        <v>10.23</v>
      </c>
      <c r="E69" s="92">
        <v>1</v>
      </c>
      <c r="F69" s="82">
        <f>D69*E69</f>
        <v>10.23</v>
      </c>
      <c r="G69" s="83">
        <f>C69</f>
        <v>4.8499999999999996</v>
      </c>
      <c r="H69" s="83">
        <f>F69*G69</f>
        <v>49.615499999999997</v>
      </c>
      <c r="I69" s="84" t="str">
        <f>CONCATENATE("a'(",C69,")=")</f>
        <v>a'(4.85)=</v>
      </c>
      <c r="J69" s="84" t="e">
        <f>2*J67/3*F70</f>
        <v>#N/A</v>
      </c>
      <c r="K69" s="84" t="str">
        <f>CONCATENATE("A(",C67,")=")</f>
        <v>A(#NA)=</v>
      </c>
      <c r="L69" s="84" t="e">
        <f>VLOOKUP(C67,STN_TABLE,3,FALSE)</f>
        <v>#N/A</v>
      </c>
      <c r="M69" t="str">
        <f>CONCATENATE("A(",C69,")=")</f>
        <v>A(4.85)=</v>
      </c>
      <c r="N69" t="e">
        <f>J69+L69</f>
        <v>#N/A</v>
      </c>
      <c r="O69" s="99">
        <f>O68+1</f>
        <v>10</v>
      </c>
      <c r="P69" s="99">
        <f t="shared" si="23"/>
        <v>5</v>
      </c>
      <c r="Q69" s="82" t="str">
        <f>IF(P69-P68=P68-P67,P69,IF(P70-P68=P68-P67,P70,IF(P69-P68=P68-P66,P69,IF(P70-P68=P68-P66,P70,"-"))))</f>
        <v>-</v>
      </c>
      <c r="R69" s="83" t="e">
        <f>VLOOKUP(Q69,STN_TABLE,2,FALSE)</f>
        <v>#N/A</v>
      </c>
      <c r="S69" s="83">
        <v>-1</v>
      </c>
      <c r="T69" s="82" t="e">
        <f>R69*S69</f>
        <v>#N/A</v>
      </c>
      <c r="U69" s="88">
        <v>-1</v>
      </c>
      <c r="V69" s="82" t="e">
        <f>R69*U69</f>
        <v>#N/A</v>
      </c>
      <c r="W69" s="84" t="str">
        <f>CONCATENATE("a'(",Q68,")=")</f>
        <v>a'(4.85)=</v>
      </c>
      <c r="X69" s="84" t="e">
        <f>2*X67/12*T70</f>
        <v>#VALUE!</v>
      </c>
      <c r="Y69" s="84" t="str">
        <f>CONCATENATE("A(",Q67,")=")</f>
        <v>A(-)=</v>
      </c>
      <c r="Z69" s="84" t="e">
        <f>VLOOKUP(Q67,STN_TABLE,3,FALSE)</f>
        <v>#N/A</v>
      </c>
      <c r="AA69" t="str">
        <f>CONCATENATE("A(",Q68,")=")</f>
        <v>A(4.85)=</v>
      </c>
      <c r="AB69" t="e">
        <f>X69+Z69</f>
        <v>#VALUE!</v>
      </c>
      <c r="AC69" s="99">
        <f>AC68+1</f>
        <v>9</v>
      </c>
      <c r="AD69" s="100">
        <f>VLOOKUP(AC69,STN_TABLE_2,2,FALSE)</f>
        <v>4.8499999999999996</v>
      </c>
      <c r="AE69" s="82">
        <f>VLOOKUP(AD69,STN_TABLE,2,FALSE)</f>
        <v>10.23</v>
      </c>
      <c r="AF69" s="82">
        <v>2</v>
      </c>
      <c r="AG69" s="83">
        <f>AE69*AF69</f>
        <v>20.46</v>
      </c>
      <c r="AH69" s="84" t="str">
        <f>CONCATENATE("a'(",AD69,")=")</f>
        <v>a'(4.85)=</v>
      </c>
      <c r="AI69" s="84">
        <f>2*AI67/2*AE70</f>
        <v>34.373999999999981</v>
      </c>
      <c r="AJ69" s="84" t="str">
        <f>CONCATENATE("A(",AD68,")=")</f>
        <v>A(4)=</v>
      </c>
      <c r="AK69" s="84">
        <f>VLOOKUP(AD68,STN_TABLE,3,FALSE)</f>
        <v>142.70333333333332</v>
      </c>
      <c r="AL69" t="str">
        <f>CONCATENATE("A(",AD69,")=")</f>
        <v>A(4.85)=</v>
      </c>
      <c r="AM69">
        <f>AI69+AK69</f>
        <v>177.07733333333329</v>
      </c>
      <c r="AO69" s="68" t="str">
        <f>AA69</f>
        <v>A(4.85)=</v>
      </c>
      <c r="AP69" s="68" t="e">
        <f>VLOOKUP(AO69,Rise_Results,2,FALSE)</f>
        <v>#N/A</v>
      </c>
      <c r="AQ69" s="76" t="e">
        <f>N69</f>
        <v>#N/A</v>
      </c>
      <c r="AR69" s="76" t="e">
        <f>IF(OR(AB69&lt;=0,AB70&lt;=0),1/0,AB69)</f>
        <v>#VALUE!</v>
      </c>
      <c r="AS69" s="76">
        <f>AM69</f>
        <v>177.07733333333329</v>
      </c>
      <c r="AT69">
        <f>IFERROR(AP69,IFERROR(AQ69,IFERROR(AR69,AS69)))</f>
        <v>177.07733333333329</v>
      </c>
      <c r="AU69" s="81"/>
    </row>
    <row r="70" spans="1:47" x14ac:dyDescent="0.25">
      <c r="A70" s="84">
        <f>A69+1</f>
        <v>9</v>
      </c>
      <c r="B70" s="84">
        <f t="shared" si="11"/>
        <v>4.8499999999999996</v>
      </c>
      <c r="F70" s="82" t="e">
        <f>SUM(F67:F69)</f>
        <v>#N/A</v>
      </c>
      <c r="H70" s="82" t="e">
        <f>SUM(H67:H69)</f>
        <v>#N/A</v>
      </c>
      <c r="I70" s="84" t="str">
        <f>CONCATENATE("m'(",C69,")=")</f>
        <v>m'(4.85)=</v>
      </c>
      <c r="J70" s="84" t="e">
        <f>2*(J67*(WLS))/3*H70</f>
        <v>#N/A</v>
      </c>
      <c r="K70" s="84" t="str">
        <f>CONCATENATE("M(",C67,")=")</f>
        <v>M(#NA)=</v>
      </c>
      <c r="L70" s="84" t="e">
        <f>VLOOKUP(C67,STN_TABLE,4,FALSE)</f>
        <v>#N/A</v>
      </c>
      <c r="M70" t="str">
        <f>CONCATENATE("M(",C69,")=")</f>
        <v>M(4.85)=</v>
      </c>
      <c r="N70" t="e">
        <f>J70+L70</f>
        <v>#N/A</v>
      </c>
      <c r="O70" s="99">
        <f>O69+1</f>
        <v>11</v>
      </c>
      <c r="P70" s="99">
        <f t="shared" si="23"/>
        <v>6</v>
      </c>
      <c r="T70" s="89" t="e">
        <f>SUM(T67:T69)</f>
        <v>#N/A</v>
      </c>
      <c r="V70" s="82" t="e">
        <f>SUM(V67:V69)</f>
        <v>#N/A</v>
      </c>
      <c r="W70" s="84" t="str">
        <f>CONCATENATE("m'(",Q68,")=")</f>
        <v>m'(4.85)=</v>
      </c>
      <c r="X70" s="84" t="e">
        <f>(2*(X67^2)/24*V70)+(X69*Q67*WLS)</f>
        <v>#VALUE!</v>
      </c>
      <c r="Y70" s="84" t="str">
        <f>CONCATENATE("M(",Q67,")=")</f>
        <v>M(-)=</v>
      </c>
      <c r="Z70" s="84" t="e">
        <f>VLOOKUP(Q67,STN_TABLE,4,FALSE)</f>
        <v>#N/A</v>
      </c>
      <c r="AA70" t="str">
        <f>CONCATENATE("M(",Q68,")=")</f>
        <v>M(4.85)=</v>
      </c>
      <c r="AB70" t="e">
        <f>X70+Z70</f>
        <v>#VALUE!</v>
      </c>
      <c r="AE70" s="89">
        <f>SUM(AE68:AE69)</f>
        <v>20.22</v>
      </c>
      <c r="AG70" s="89">
        <f>SUM(AG68:AG69)</f>
        <v>30.450000000000003</v>
      </c>
      <c r="AH70" s="84" t="str">
        <f>CONCATENATE("m'(",AD69,")=")</f>
        <v>m'(4.85)=</v>
      </c>
      <c r="AI70" s="84">
        <f>(2*(AI67^2)/6*AG70)+(AI69*AD68*WLS)</f>
        <v>304.32549999999981</v>
      </c>
      <c r="AJ70" s="84" t="str">
        <f>CONCATENATE("M(",AD68,")=")</f>
        <v>M(4)=</v>
      </c>
      <c r="AK70" s="84">
        <f>VLOOKUP(AD68,STN_TABLE,4,FALSE)</f>
        <v>605.24333333333334</v>
      </c>
      <c r="AL70" t="str">
        <f>CONCATENATE("M(",AD69,")=")</f>
        <v>M(4.85)=</v>
      </c>
      <c r="AM70">
        <f>AI70+AK70</f>
        <v>909.56883333333315</v>
      </c>
      <c r="AO70" s="82" t="str">
        <f>AA70</f>
        <v>M(4.85)=</v>
      </c>
      <c r="AP70" s="82" t="e">
        <f>VLOOKUP(AO70,Rise_Results,2,FALSE)</f>
        <v>#N/A</v>
      </c>
      <c r="AQ70" s="82" t="e">
        <f>N70</f>
        <v>#N/A</v>
      </c>
      <c r="AR70" s="82" t="e">
        <f>IF(OR(AB69&lt;=0,AB70&lt;=0),1/0,AB70)</f>
        <v>#VALUE!</v>
      </c>
      <c r="AS70" s="82">
        <f>AM70</f>
        <v>909.56883333333315</v>
      </c>
      <c r="AT70">
        <f>IFERROR(AP70,IFERROR(AQ70,IFERROR(AR70,AS70)))</f>
        <v>909.56883333333315</v>
      </c>
      <c r="AU70" s="81"/>
    </row>
    <row r="71" spans="1:47" x14ac:dyDescent="0.25">
      <c r="A71" s="101">
        <f>A66+1</f>
        <v>6</v>
      </c>
      <c r="B71" s="101">
        <f t="shared" si="11"/>
        <v>2</v>
      </c>
      <c r="O71" s="101">
        <f>O66+1</f>
        <v>8</v>
      </c>
      <c r="P71" s="101">
        <f t="shared" si="23"/>
        <v>4</v>
      </c>
      <c r="AU71" s="81"/>
    </row>
    <row r="72" spans="1:47" x14ac:dyDescent="0.25">
      <c r="A72" s="84">
        <f>A71+1</f>
        <v>7</v>
      </c>
      <c r="B72" s="84">
        <f t="shared" si="11"/>
        <v>3</v>
      </c>
      <c r="C72" s="79">
        <f t="shared" ref="C72" si="25">IF(C73=B74,IF(C74-C73=C73-B73,B73,IF(C74-C73=C73-B72,B72,"#NA")),IF(C73=B73,IF(C74-C73=C73-B72,B72,IF(C74-C73=C73-B71,B71,"#NA")),"#NA"))</f>
        <v>3</v>
      </c>
      <c r="D72" s="68">
        <f>VLOOKUP(C72,STN_TABLE,2,FALSE)</f>
        <v>9.69</v>
      </c>
      <c r="E72" s="102">
        <v>1</v>
      </c>
      <c r="F72" s="68">
        <f>D72*E72</f>
        <v>9.69</v>
      </c>
      <c r="G72" s="69">
        <f>C72</f>
        <v>3</v>
      </c>
      <c r="H72" s="69">
        <f>F72*G72</f>
        <v>29.07</v>
      </c>
      <c r="I72" s="6" t="s">
        <v>93</v>
      </c>
      <c r="J72" s="70">
        <f>IF(OR(D72=0,D73=0,D74=0),"#NA",IF(AND(C74-C73=C73-C72,C73&lt;&gt;C74,C72&lt;&gt;C73,C72&lt;&gt;C74,D74&lt;&gt;0,OR(D72&lt;&gt;0,D73&lt;&gt;0)),WLS*(C74-C73),"#NA"))</f>
        <v>2</v>
      </c>
      <c r="O72" s="99">
        <f>O71+1</f>
        <v>9</v>
      </c>
      <c r="P72" s="99">
        <f t="shared" si="23"/>
        <v>4.8499999999999996</v>
      </c>
      <c r="Q72" s="68">
        <f>IF(OR(P74-P73=P73-P72,P75-P73=P73-P72),P72,IF(OR(P74-P73=P73-P71,P75-P73=P73-P71),P71,"-"))</f>
        <v>4</v>
      </c>
      <c r="R72" s="69">
        <f>VLOOKUP(Q72,STN_TABLE,2,FALSE)</f>
        <v>9.99</v>
      </c>
      <c r="S72" s="69">
        <v>5</v>
      </c>
      <c r="T72" s="68">
        <f>R72*S72</f>
        <v>49.95</v>
      </c>
      <c r="U72" s="79">
        <v>3</v>
      </c>
      <c r="V72" s="68">
        <f>R72*U72</f>
        <v>29.97</v>
      </c>
      <c r="W72" s="6" t="s">
        <v>93</v>
      </c>
      <c r="X72" s="70">
        <f>IF(AND(Q74-Q73=Q73-Q72,NOT(AND(Q72=0,Q73=0)),NOT(AND(Q73=0,Q74=0))),WLS*(Q74-Q73),"#NA")</f>
        <v>2</v>
      </c>
      <c r="AD72" s="93"/>
      <c r="AH72" s="6" t="s">
        <v>93</v>
      </c>
      <c r="AI72" s="70">
        <f>WLS*(AD74-AD73)</f>
        <v>0.30000000000000071</v>
      </c>
      <c r="AU72" s="81"/>
    </row>
    <row r="73" spans="1:47" x14ac:dyDescent="0.25">
      <c r="A73" s="84">
        <f>A72+1</f>
        <v>8</v>
      </c>
      <c r="B73" s="84">
        <f t="shared" si="11"/>
        <v>4</v>
      </c>
      <c r="C73" s="80">
        <f t="shared" ref="C73" si="26">IF(OR(B75-B74=B74-B73,B75-B74=B74-B72,B75-B74=B74-B71),B74,IF(OR(B75-B73=B73-B72,B75-B73=B73-B71),B73,IF(B75-B72=B72-B71,B72,"#NA")))</f>
        <v>4</v>
      </c>
      <c r="D73" s="76">
        <f>VLOOKUP(C73,STN_TABLE,2,FALSE)</f>
        <v>9.99</v>
      </c>
      <c r="E73" s="81">
        <v>4</v>
      </c>
      <c r="F73" s="76">
        <f>D73*E73</f>
        <v>39.96</v>
      </c>
      <c r="G73" s="77">
        <f>C73</f>
        <v>4</v>
      </c>
      <c r="H73" s="77">
        <f>F73*G73</f>
        <v>159.84</v>
      </c>
      <c r="I73" s="495" t="s">
        <v>97</v>
      </c>
      <c r="J73" s="496"/>
      <c r="K73" s="78" t="s">
        <v>98</v>
      </c>
      <c r="L73" s="78"/>
      <c r="M73" s="7" t="s">
        <v>99</v>
      </c>
      <c r="N73" s="7"/>
      <c r="O73" s="99">
        <f>O72+1</f>
        <v>10</v>
      </c>
      <c r="P73" s="99">
        <f t="shared" si="23"/>
        <v>5</v>
      </c>
      <c r="Q73" s="76">
        <f>P73</f>
        <v>5</v>
      </c>
      <c r="R73" s="77">
        <f>VLOOKUP(Q73,STN_TABLE,2,FALSE)</f>
        <v>10.27</v>
      </c>
      <c r="S73" s="77">
        <v>8</v>
      </c>
      <c r="T73" s="76">
        <f>R73*S73</f>
        <v>82.16</v>
      </c>
      <c r="U73" s="80">
        <v>10</v>
      </c>
      <c r="V73" s="76">
        <f>R73*U73</f>
        <v>102.69999999999999</v>
      </c>
      <c r="W73" s="496" t="s">
        <v>97</v>
      </c>
      <c r="X73" s="496"/>
      <c r="Y73" s="496" t="s">
        <v>98</v>
      </c>
      <c r="Z73" s="496"/>
      <c r="AA73" s="494" t="s">
        <v>99</v>
      </c>
      <c r="AB73" s="494"/>
      <c r="AC73" s="99">
        <f>AC68+1</f>
        <v>9</v>
      </c>
      <c r="AD73" s="95">
        <f>VLOOKUP(AC73,STN_TABLE_2,2,FALSE)</f>
        <v>4.8499999999999996</v>
      </c>
      <c r="AE73" s="68">
        <f>VLOOKUP(AD73,STN_TABLE,2,FALSE)</f>
        <v>10.23</v>
      </c>
      <c r="AF73" s="68">
        <v>1</v>
      </c>
      <c r="AG73" s="69">
        <f>AE73*AF73</f>
        <v>10.23</v>
      </c>
      <c r="AH73" s="496" t="s">
        <v>97</v>
      </c>
      <c r="AI73" s="496"/>
      <c r="AJ73" s="496" t="s">
        <v>98</v>
      </c>
      <c r="AK73" s="496"/>
      <c r="AL73" s="494" t="s">
        <v>99</v>
      </c>
      <c r="AM73" s="494"/>
      <c r="AP73" s="86" t="s">
        <v>112</v>
      </c>
      <c r="AQ73" s="89" t="s">
        <v>113</v>
      </c>
      <c r="AR73" s="89" t="s">
        <v>114</v>
      </c>
      <c r="AS73" s="89" t="s">
        <v>115</v>
      </c>
      <c r="AU73" s="81"/>
    </row>
    <row r="74" spans="1:47" x14ac:dyDescent="0.25">
      <c r="A74" s="84">
        <f>A73+1</f>
        <v>9</v>
      </c>
      <c r="B74" s="84">
        <f t="shared" ref="B74:B105" si="27">VLOOKUP(A74,STN_TABLE_2,2,FALSE)</f>
        <v>4.8499999999999996</v>
      </c>
      <c r="C74" s="88">
        <f t="shared" ref="C74" si="28">B75</f>
        <v>5</v>
      </c>
      <c r="D74" s="82">
        <f>VLOOKUP(C74,STN_TABLE,2,FALSE)</f>
        <v>10.27</v>
      </c>
      <c r="E74" s="92">
        <v>1</v>
      </c>
      <c r="F74" s="82">
        <f>D74*E74</f>
        <v>10.27</v>
      </c>
      <c r="G74" s="83">
        <f>C74</f>
        <v>5</v>
      </c>
      <c r="H74" s="83">
        <f>F74*G74</f>
        <v>51.349999999999994</v>
      </c>
      <c r="I74" s="84" t="str">
        <f>CONCATENATE("a'(",C74,")=")</f>
        <v>a'(5)=</v>
      </c>
      <c r="J74" s="84">
        <f>2*J72/3*F75</f>
        <v>79.893333333333331</v>
      </c>
      <c r="K74" s="84" t="str">
        <f>CONCATENATE("A(",C72,")=")</f>
        <v>A(3)=</v>
      </c>
      <c r="L74" s="84">
        <f>VLOOKUP(C72,STN_TABLE,3,FALSE)</f>
        <v>103.47333333333333</v>
      </c>
      <c r="M74" t="str">
        <f>CONCATENATE("A(",C74,")=")</f>
        <v>A(5)=</v>
      </c>
      <c r="N74">
        <f>J74+L74</f>
        <v>183.36666666666667</v>
      </c>
      <c r="O74" s="99">
        <f>O73+1</f>
        <v>11</v>
      </c>
      <c r="P74" s="99">
        <f t="shared" si="23"/>
        <v>6</v>
      </c>
      <c r="Q74" s="82">
        <f>IF(P74-P73=P73-P72,P74,IF(P75-P73=P73-P72,P75,IF(P74-P73=P73-P71,P74,IF(P75-P73=P73-P71,P75,"-"))))</f>
        <v>6</v>
      </c>
      <c r="R74" s="83">
        <f>VLOOKUP(Q74,STN_TABLE,2,FALSE)</f>
        <v>10.5</v>
      </c>
      <c r="S74" s="83">
        <v>-1</v>
      </c>
      <c r="T74" s="82">
        <f>R74*S74</f>
        <v>-10.5</v>
      </c>
      <c r="U74" s="88">
        <v>-1</v>
      </c>
      <c r="V74" s="82">
        <f>R74*U74</f>
        <v>-10.5</v>
      </c>
      <c r="W74" s="84" t="str">
        <f>CONCATENATE("a'(",Q73,")=")</f>
        <v>a'(5)=</v>
      </c>
      <c r="X74" s="84">
        <f>2*X72/12*T75</f>
        <v>40.536666666666669</v>
      </c>
      <c r="Y74" s="84" t="str">
        <f>CONCATENATE("A(",Q72,")=")</f>
        <v>A(4)=</v>
      </c>
      <c r="Z74" s="84">
        <f>VLOOKUP(Q72,STN_TABLE,3,FALSE)</f>
        <v>142.70333333333332</v>
      </c>
      <c r="AA74" t="str">
        <f>CONCATENATE("A(",Q73,")=")</f>
        <v>A(5)=</v>
      </c>
      <c r="AB74">
        <f>X74+Z74</f>
        <v>183.23999999999998</v>
      </c>
      <c r="AC74" s="99">
        <f>AC73+1</f>
        <v>10</v>
      </c>
      <c r="AD74" s="100">
        <f>VLOOKUP(AC74,STN_TABLE_2,2,FALSE)</f>
        <v>5</v>
      </c>
      <c r="AE74" s="82">
        <f>VLOOKUP(AD74,STN_TABLE,2,FALSE)</f>
        <v>10.27</v>
      </c>
      <c r="AF74" s="82">
        <v>2</v>
      </c>
      <c r="AG74" s="83">
        <f>AE74*AF74</f>
        <v>20.54</v>
      </c>
      <c r="AH74" s="84" t="str">
        <f>CONCATENATE("a'(",AD74,")=")</f>
        <v>a'(5)=</v>
      </c>
      <c r="AI74" s="84">
        <f>2*AI72/2*AE75</f>
        <v>6.1500000000000146</v>
      </c>
      <c r="AJ74" s="84" t="str">
        <f>CONCATENATE("A(",AD73,")=")</f>
        <v>A(4.85)=</v>
      </c>
      <c r="AK74" s="84">
        <f>VLOOKUP(AD73,STN_TABLE,3,FALSE)</f>
        <v>177.07733333333329</v>
      </c>
      <c r="AL74" t="str">
        <f>CONCATENATE("A(",AD74,")=")</f>
        <v>A(5)=</v>
      </c>
      <c r="AM74">
        <f>AI74+AK74</f>
        <v>183.22733333333329</v>
      </c>
      <c r="AO74" s="68" t="str">
        <f>AA74</f>
        <v>A(5)=</v>
      </c>
      <c r="AP74" s="68" t="e">
        <f>VLOOKUP(AO74,Rise_Results,2,FALSE)</f>
        <v>#N/A</v>
      </c>
      <c r="AQ74" s="76">
        <f>N74</f>
        <v>183.36666666666667</v>
      </c>
      <c r="AR74" s="76">
        <f>IF(OR(AB74&lt;=0,AB75&lt;=0),1/0,AB74)</f>
        <v>183.23999999999998</v>
      </c>
      <c r="AS74" s="76">
        <f>AM74</f>
        <v>183.22733333333329</v>
      </c>
      <c r="AT74">
        <f>IFERROR(AP74,IFERROR(AQ74,IFERROR(AR74,AS74)))</f>
        <v>183.36666666666667</v>
      </c>
      <c r="AU74" s="81"/>
    </row>
    <row r="75" spans="1:47" x14ac:dyDescent="0.25">
      <c r="A75" s="84">
        <f>A74+1</f>
        <v>10</v>
      </c>
      <c r="B75" s="84">
        <f t="shared" si="27"/>
        <v>5</v>
      </c>
      <c r="F75" s="82">
        <f>SUM(F72:F74)</f>
        <v>59.92</v>
      </c>
      <c r="H75" s="82">
        <f>SUM(H72:H74)</f>
        <v>240.26</v>
      </c>
      <c r="I75" s="84" t="str">
        <f>CONCATENATE("m'(",C74,")=")</f>
        <v>m'(5)=</v>
      </c>
      <c r="J75" s="84">
        <f>2*(J72*(WLS))/3*H75</f>
        <v>640.69333333333327</v>
      </c>
      <c r="K75" s="84" t="str">
        <f>CONCATENATE("M(",C72,")=")</f>
        <v>M(3)=</v>
      </c>
      <c r="L75" s="84">
        <f>VLOOKUP(C72,STN_TABLE,4,FALSE)</f>
        <v>330.12666666666667</v>
      </c>
      <c r="M75" t="str">
        <f>CONCATENATE("M(",C74,")=")</f>
        <v>M(5)=</v>
      </c>
      <c r="N75">
        <f>J75+L75</f>
        <v>970.81999999999994</v>
      </c>
      <c r="O75" s="99">
        <f>O74+1</f>
        <v>12</v>
      </c>
      <c r="P75" s="99">
        <f t="shared" si="23"/>
        <v>6.5</v>
      </c>
      <c r="T75" s="89">
        <f>SUM(T72:T74)</f>
        <v>121.61000000000001</v>
      </c>
      <c r="V75" s="82">
        <f>SUM(V72:V74)</f>
        <v>122.16999999999999</v>
      </c>
      <c r="W75" s="84" t="str">
        <f>CONCATENATE("m'(",Q73,")=")</f>
        <v>m'(5)=</v>
      </c>
      <c r="X75" s="84">
        <f>(2*(X72^2)/24*V75)+(X74*Q72*WLS)</f>
        <v>365.01666666666665</v>
      </c>
      <c r="Y75" s="84" t="str">
        <f>CONCATENATE("M(",Q72,")=")</f>
        <v>M(4)=</v>
      </c>
      <c r="Z75" s="84">
        <f>VLOOKUP(Q72,STN_TABLE,4,FALSE)</f>
        <v>605.24333333333334</v>
      </c>
      <c r="AA75" t="str">
        <f>CONCATENATE("M(",Q73,")=")</f>
        <v>M(5)=</v>
      </c>
      <c r="AB75">
        <f>X75+Z75</f>
        <v>970.26</v>
      </c>
      <c r="AE75" s="89">
        <f>SUM(AE73:AE74)</f>
        <v>20.5</v>
      </c>
      <c r="AG75" s="89">
        <f>SUM(AG73:AG74)</f>
        <v>30.77</v>
      </c>
      <c r="AH75" s="84" t="str">
        <f>CONCATENATE("m'(",AD74,")=")</f>
        <v>m'(5)=</v>
      </c>
      <c r="AI75" s="84">
        <f>(2*(AI72^2)/6*AG75)+(AI74*AD73*WLS)</f>
        <v>60.578100000000141</v>
      </c>
      <c r="AJ75" s="84" t="str">
        <f>CONCATENATE("M(",AD73,")=")</f>
        <v>M(4.85)=</v>
      </c>
      <c r="AK75" s="84">
        <f>VLOOKUP(AD73,STN_TABLE,4,FALSE)</f>
        <v>909.56883333333315</v>
      </c>
      <c r="AL75" t="str">
        <f>CONCATENATE("M(",AD74,")=")</f>
        <v>M(5)=</v>
      </c>
      <c r="AM75">
        <f>AI75+AK75</f>
        <v>970.14693333333332</v>
      </c>
      <c r="AO75" s="82" t="str">
        <f>AA75</f>
        <v>M(5)=</v>
      </c>
      <c r="AP75" s="82" t="e">
        <f>VLOOKUP(AO75,Rise_Results,2,FALSE)</f>
        <v>#N/A</v>
      </c>
      <c r="AQ75" s="82">
        <f>N75</f>
        <v>970.81999999999994</v>
      </c>
      <c r="AR75" s="82">
        <f>IF(OR(AB74&lt;=0,AB75&lt;=0),1/0,AB75)</f>
        <v>970.26</v>
      </c>
      <c r="AS75" s="82">
        <f>AM75</f>
        <v>970.14693333333332</v>
      </c>
      <c r="AT75">
        <f>IFERROR(AP75,IFERROR(AQ75,IFERROR(AR75,AS75)))</f>
        <v>970.81999999999994</v>
      </c>
      <c r="AU75" s="81"/>
    </row>
    <row r="76" spans="1:47" x14ac:dyDescent="0.25">
      <c r="A76" s="101">
        <f>A71+1</f>
        <v>7</v>
      </c>
      <c r="B76" s="101">
        <f t="shared" si="27"/>
        <v>3</v>
      </c>
      <c r="O76" s="101">
        <f>O71+1</f>
        <v>9</v>
      </c>
      <c r="P76" s="101">
        <f t="shared" si="23"/>
        <v>4.8499999999999996</v>
      </c>
      <c r="AU76" s="81"/>
    </row>
    <row r="77" spans="1:47" x14ac:dyDescent="0.25">
      <c r="A77" s="84">
        <f>A76+1</f>
        <v>8</v>
      </c>
      <c r="B77" s="84">
        <f t="shared" si="27"/>
        <v>4</v>
      </c>
      <c r="C77" s="79">
        <f t="shared" ref="C77" si="29">IF(C78=B79,IF(C79-C78=C78-B78,B78,IF(C79-C78=C78-B77,B77,"#NA")),IF(C78=B78,IF(C79-C78=C78-B77,B77,IF(C79-C78=C78-B76,B76,"#NA")),"#NA"))</f>
        <v>4</v>
      </c>
      <c r="D77" s="68">
        <f>VLOOKUP(C77,STN_TABLE,2,FALSE)</f>
        <v>9.99</v>
      </c>
      <c r="E77" s="102">
        <v>1</v>
      </c>
      <c r="F77" s="68">
        <f>D77*E77</f>
        <v>9.99</v>
      </c>
      <c r="G77" s="69">
        <f>C77</f>
        <v>4</v>
      </c>
      <c r="H77" s="69">
        <f>F77*G77</f>
        <v>39.96</v>
      </c>
      <c r="I77" s="6" t="s">
        <v>93</v>
      </c>
      <c r="J77" s="70">
        <f>IF(OR(D77=0,D78=0,D79=0),"#NA",IF(AND(C79-C78=C78-C77,C78&lt;&gt;C79,C77&lt;&gt;C78,C77&lt;&gt;C79,D79&lt;&gt;0,OR(D77&lt;&gt;0,D78&lt;&gt;0)),WLS*(C79-C78),"#NA"))</f>
        <v>2</v>
      </c>
      <c r="O77" s="99">
        <f>O76+1</f>
        <v>10</v>
      </c>
      <c r="P77" s="99">
        <f t="shared" si="23"/>
        <v>5</v>
      </c>
      <c r="Q77" s="68" t="e">
        <f>IF(OR(P79-P78=P78-P77,P80-P78=P78-P77),P77,IF(OR(P79-P78=P78-P76,P80-P78=P78-P76),P76,"-"))</f>
        <v>#VALUE!</v>
      </c>
      <c r="R77" s="69" t="e">
        <f>VLOOKUP(Q77,STN_TABLE,2,FALSE)</f>
        <v>#VALUE!</v>
      </c>
      <c r="S77" s="69">
        <v>5</v>
      </c>
      <c r="T77" s="68" t="e">
        <f>R77*S77</f>
        <v>#VALUE!</v>
      </c>
      <c r="U77" s="79">
        <v>3</v>
      </c>
      <c r="V77" s="68" t="e">
        <f>R77*U77</f>
        <v>#VALUE!</v>
      </c>
      <c r="W77" s="6" t="s">
        <v>93</v>
      </c>
      <c r="X77" s="70" t="e">
        <f>IF(AND(Q79-Q78=Q78-Q77,NOT(AND(Q77=0,Q78=0)),NOT(AND(Q78=0,Q79=0))),WLS*(Q79-Q78),"#NA")</f>
        <v>#VALUE!</v>
      </c>
      <c r="AD77" s="93"/>
      <c r="AH77" s="6" t="s">
        <v>93</v>
      </c>
      <c r="AI77" s="70">
        <f>WLS*(AD79-AD78)</f>
        <v>2</v>
      </c>
      <c r="AU77" s="81"/>
    </row>
    <row r="78" spans="1:47" x14ac:dyDescent="0.25">
      <c r="A78" s="84">
        <f>A77+1</f>
        <v>9</v>
      </c>
      <c r="B78" s="84">
        <f t="shared" si="27"/>
        <v>4.8499999999999996</v>
      </c>
      <c r="C78" s="80">
        <f t="shared" ref="C78" si="30">IF(OR(B80-B79=B79-B78,B80-B79=B79-B77,B80-B79=B79-B76),B79,IF(OR(B80-B78=B78-B77,B80-B78=B78-B76),B78,IF(B80-B77=B77-B76,B77,"#NA")))</f>
        <v>5</v>
      </c>
      <c r="D78" s="76">
        <f>VLOOKUP(C78,STN_TABLE,2,FALSE)</f>
        <v>10.27</v>
      </c>
      <c r="E78" s="81">
        <v>4</v>
      </c>
      <c r="F78" s="76">
        <f>D78*E78</f>
        <v>41.08</v>
      </c>
      <c r="G78" s="77">
        <f>C78</f>
        <v>5</v>
      </c>
      <c r="H78" s="77">
        <f>F78*G78</f>
        <v>205.39999999999998</v>
      </c>
      <c r="I78" s="495" t="s">
        <v>97</v>
      </c>
      <c r="J78" s="496"/>
      <c r="K78" s="78" t="s">
        <v>98</v>
      </c>
      <c r="L78" s="78"/>
      <c r="M78" s="7" t="s">
        <v>99</v>
      </c>
      <c r="N78" s="7"/>
      <c r="O78" s="99">
        <f>O77+1</f>
        <v>11</v>
      </c>
      <c r="P78" s="99">
        <f t="shared" si="23"/>
        <v>6</v>
      </c>
      <c r="Q78" s="76">
        <f>P78</f>
        <v>6</v>
      </c>
      <c r="R78" s="77">
        <f>VLOOKUP(Q78,STN_TABLE,2,FALSE)</f>
        <v>10.5</v>
      </c>
      <c r="S78" s="77">
        <v>8</v>
      </c>
      <c r="T78" s="76">
        <f>R78*S78</f>
        <v>84</v>
      </c>
      <c r="U78" s="80">
        <v>10</v>
      </c>
      <c r="V78" s="76">
        <f>R78*U78</f>
        <v>105</v>
      </c>
      <c r="W78" s="496" t="s">
        <v>97</v>
      </c>
      <c r="X78" s="496"/>
      <c r="Y78" s="496" t="s">
        <v>98</v>
      </c>
      <c r="Z78" s="496"/>
      <c r="AA78" s="494" t="s">
        <v>99</v>
      </c>
      <c r="AB78" s="494"/>
      <c r="AC78" s="99">
        <f>AC73+1</f>
        <v>10</v>
      </c>
      <c r="AD78" s="95">
        <f>VLOOKUP(AC78,STN_TABLE_2,2,FALSE)</f>
        <v>5</v>
      </c>
      <c r="AE78" s="68">
        <f>VLOOKUP(AD78,STN_TABLE,2,FALSE)</f>
        <v>10.27</v>
      </c>
      <c r="AF78" s="68">
        <v>1</v>
      </c>
      <c r="AG78" s="69">
        <f>AE78*AF78</f>
        <v>10.27</v>
      </c>
      <c r="AH78" s="496" t="s">
        <v>97</v>
      </c>
      <c r="AI78" s="496"/>
      <c r="AJ78" s="496" t="s">
        <v>98</v>
      </c>
      <c r="AK78" s="496"/>
      <c r="AL78" s="494" t="s">
        <v>99</v>
      </c>
      <c r="AM78" s="494"/>
      <c r="AP78" s="86" t="s">
        <v>112</v>
      </c>
      <c r="AQ78" s="89" t="s">
        <v>113</v>
      </c>
      <c r="AR78" s="89" t="s">
        <v>114</v>
      </c>
      <c r="AS78" s="89" t="s">
        <v>115</v>
      </c>
      <c r="AU78" s="81"/>
    </row>
    <row r="79" spans="1:47" x14ac:dyDescent="0.25">
      <c r="A79" s="84">
        <f>A78+1</f>
        <v>10</v>
      </c>
      <c r="B79" s="84">
        <f t="shared" si="27"/>
        <v>5</v>
      </c>
      <c r="C79" s="88">
        <f t="shared" ref="C79" si="31">B80</f>
        <v>6</v>
      </c>
      <c r="D79" s="82">
        <f>VLOOKUP(C79,STN_TABLE,2,FALSE)</f>
        <v>10.5</v>
      </c>
      <c r="E79" s="92">
        <v>1</v>
      </c>
      <c r="F79" s="82">
        <f>D79*E79</f>
        <v>10.5</v>
      </c>
      <c r="G79" s="83">
        <f>C79</f>
        <v>6</v>
      </c>
      <c r="H79" s="83">
        <f>F79*G79</f>
        <v>63</v>
      </c>
      <c r="I79" s="84" t="str">
        <f>CONCATENATE("a'(",C79,")=")</f>
        <v>a'(6)=</v>
      </c>
      <c r="J79" s="84">
        <f>2*J77/3*F80</f>
        <v>82.093333333333334</v>
      </c>
      <c r="K79" s="84" t="str">
        <f>CONCATENATE("A(",C77,")=")</f>
        <v>A(4)=</v>
      </c>
      <c r="L79" s="84">
        <f>VLOOKUP(C77,STN_TABLE,3,FALSE)</f>
        <v>142.70333333333332</v>
      </c>
      <c r="M79" t="str">
        <f>CONCATENATE("A(",C79,")=")</f>
        <v>A(6)=</v>
      </c>
      <c r="N79">
        <f>J79+L79</f>
        <v>224.79666666666665</v>
      </c>
      <c r="O79" s="99">
        <f>O78+1</f>
        <v>12</v>
      </c>
      <c r="P79" s="99">
        <f t="shared" si="23"/>
        <v>6.5</v>
      </c>
      <c r="Q79" s="82" t="e">
        <f>IF(P79-P78=P78-P77,P79,IF(P80-P78=P78-P77,P80,IF(P79-P78=P78-P76,P79,IF(P80-P78=P78-P76,P80,"-"))))</f>
        <v>#VALUE!</v>
      </c>
      <c r="R79" s="83" t="e">
        <f>VLOOKUP(Q79,STN_TABLE,2,FALSE)</f>
        <v>#VALUE!</v>
      </c>
      <c r="S79" s="83">
        <v>-1</v>
      </c>
      <c r="T79" s="82" t="e">
        <f>R79*S79</f>
        <v>#VALUE!</v>
      </c>
      <c r="U79" s="88">
        <v>-1</v>
      </c>
      <c r="V79" s="82" t="e">
        <f>R79*U79</f>
        <v>#VALUE!</v>
      </c>
      <c r="W79" s="84" t="str">
        <f>CONCATENATE("a'(",Q78,")=")</f>
        <v>a'(6)=</v>
      </c>
      <c r="X79" s="84" t="e">
        <f>2*X77/12*T80</f>
        <v>#VALUE!</v>
      </c>
      <c r="Y79" s="84" t="e">
        <f>CONCATENATE("A(",Q77,")=")</f>
        <v>#VALUE!</v>
      </c>
      <c r="Z79" s="84" t="e">
        <f>VLOOKUP(Q77,STN_TABLE,3,FALSE)</f>
        <v>#VALUE!</v>
      </c>
      <c r="AA79" t="str">
        <f>CONCATENATE("A(",Q78,")=")</f>
        <v>A(6)=</v>
      </c>
      <c r="AB79" t="e">
        <f>X79+Z79</f>
        <v>#VALUE!</v>
      </c>
      <c r="AC79" s="99">
        <f>AC78+1</f>
        <v>11</v>
      </c>
      <c r="AD79" s="100">
        <f>VLOOKUP(AC79,STN_TABLE_2,2,FALSE)</f>
        <v>6</v>
      </c>
      <c r="AE79" s="82">
        <f>VLOOKUP(AD79,STN_TABLE,2,FALSE)</f>
        <v>10.5</v>
      </c>
      <c r="AF79" s="82">
        <v>2</v>
      </c>
      <c r="AG79" s="83">
        <f>AE79*AF79</f>
        <v>21</v>
      </c>
      <c r="AH79" s="84" t="str">
        <f>CONCATENATE("a'(",AD79,")=")</f>
        <v>a'(6)=</v>
      </c>
      <c r="AI79" s="84">
        <f>2*AI77/2*AE80</f>
        <v>41.54</v>
      </c>
      <c r="AJ79" s="84" t="str">
        <f>CONCATENATE("A(",AD78,")=")</f>
        <v>A(5)=</v>
      </c>
      <c r="AK79" s="84">
        <f>VLOOKUP(AD78,STN_TABLE,3,FALSE)</f>
        <v>183.36666666666667</v>
      </c>
      <c r="AL79" t="str">
        <f>CONCATENATE("A(",AD79,")=")</f>
        <v>A(6)=</v>
      </c>
      <c r="AM79">
        <f>AI79+AK79</f>
        <v>224.90666666666667</v>
      </c>
      <c r="AO79" s="68" t="str">
        <f>AA79</f>
        <v>A(6)=</v>
      </c>
      <c r="AP79" s="68" t="e">
        <f>VLOOKUP(AO79,Rise_Results,2,FALSE)</f>
        <v>#N/A</v>
      </c>
      <c r="AQ79" s="76">
        <f>N79</f>
        <v>224.79666666666665</v>
      </c>
      <c r="AR79" s="76" t="e">
        <f>IF(OR(AB79&lt;=0,AB80&lt;=0),1/0,AB79)</f>
        <v>#VALUE!</v>
      </c>
      <c r="AS79" s="76">
        <f>AM79</f>
        <v>224.90666666666667</v>
      </c>
      <c r="AT79">
        <f>IFERROR(AP79,IFERROR(AQ79,IFERROR(AR79,AS79)))</f>
        <v>224.79666666666665</v>
      </c>
      <c r="AU79" s="81"/>
    </row>
    <row r="80" spans="1:47" x14ac:dyDescent="0.25">
      <c r="A80" s="84">
        <f>A79+1</f>
        <v>11</v>
      </c>
      <c r="B80" s="84">
        <f t="shared" si="27"/>
        <v>6</v>
      </c>
      <c r="F80" s="82">
        <f>SUM(F77:F79)</f>
        <v>61.57</v>
      </c>
      <c r="H80" s="82">
        <f>SUM(H77:H79)</f>
        <v>308.36</v>
      </c>
      <c r="I80" s="84" t="str">
        <f>CONCATENATE("m'(",C79,")=")</f>
        <v>m'(6)=</v>
      </c>
      <c r="J80" s="84">
        <f>2*(J77*(WLS))/3*H80</f>
        <v>822.29333333333329</v>
      </c>
      <c r="K80" s="84" t="str">
        <f>CONCATENATE("M(",C77,")=")</f>
        <v>M(4)=</v>
      </c>
      <c r="L80" s="84">
        <f>VLOOKUP(C77,STN_TABLE,4,FALSE)</f>
        <v>605.24333333333334</v>
      </c>
      <c r="M80" t="str">
        <f>CONCATENATE("M(",C79,")=")</f>
        <v>M(6)=</v>
      </c>
      <c r="N80">
        <f>J80+L80</f>
        <v>1427.5366666666666</v>
      </c>
      <c r="O80" s="99">
        <f>O79+1</f>
        <v>13</v>
      </c>
      <c r="P80" s="99" t="str">
        <f t="shared" si="23"/>
        <v xml:space="preserve">  </v>
      </c>
      <c r="T80" s="89" t="e">
        <f>SUM(T77:T79)</f>
        <v>#VALUE!</v>
      </c>
      <c r="V80" s="82" t="e">
        <f>SUM(V77:V79)</f>
        <v>#VALUE!</v>
      </c>
      <c r="W80" s="84" t="str">
        <f>CONCATENATE("m'(",Q78,")=")</f>
        <v>m'(6)=</v>
      </c>
      <c r="X80" s="84" t="e">
        <f>(2*(X77^2)/24*V80)+(X79*Q77*WLS)</f>
        <v>#VALUE!</v>
      </c>
      <c r="Y80" s="84" t="e">
        <f>CONCATENATE("M(",Q77,")=")</f>
        <v>#VALUE!</v>
      </c>
      <c r="Z80" s="84" t="e">
        <f>VLOOKUP(Q77,STN_TABLE,4,FALSE)</f>
        <v>#VALUE!</v>
      </c>
      <c r="AA80" t="str">
        <f>CONCATENATE("M(",Q78,")=")</f>
        <v>M(6)=</v>
      </c>
      <c r="AB80" t="e">
        <f>X80+Z80</f>
        <v>#VALUE!</v>
      </c>
      <c r="AE80" s="89">
        <f>SUM(AE78:AE79)</f>
        <v>20.77</v>
      </c>
      <c r="AG80" s="89">
        <f>SUM(AG78:AG79)</f>
        <v>31.27</v>
      </c>
      <c r="AH80" s="84" t="str">
        <f>CONCATENATE("m'(",AD79,")=")</f>
        <v>m'(6)=</v>
      </c>
      <c r="AI80" s="84">
        <f>(2*(AI77^2)/6*AG80)+(AI79*AD78*WLS)</f>
        <v>457.09333333333331</v>
      </c>
      <c r="AJ80" s="84" t="str">
        <f>CONCATENATE("M(",AD78,")=")</f>
        <v>M(5)=</v>
      </c>
      <c r="AK80" s="84">
        <f>VLOOKUP(AD78,STN_TABLE,4,FALSE)</f>
        <v>970.81999999999994</v>
      </c>
      <c r="AL80" t="str">
        <f>CONCATENATE("M(",AD79,")=")</f>
        <v>M(6)=</v>
      </c>
      <c r="AM80">
        <f>AI80+AK80</f>
        <v>1427.9133333333332</v>
      </c>
      <c r="AO80" s="82" t="str">
        <f>AA80</f>
        <v>M(6)=</v>
      </c>
      <c r="AP80" s="82" t="e">
        <f>VLOOKUP(AO80,Rise_Results,2,FALSE)</f>
        <v>#N/A</v>
      </c>
      <c r="AQ80" s="82">
        <f>N80</f>
        <v>1427.5366666666666</v>
      </c>
      <c r="AR80" s="82" t="e">
        <f>IF(OR(AB79&lt;=0,AB80&lt;=0),1/0,AB80)</f>
        <v>#VALUE!</v>
      </c>
      <c r="AS80" s="82">
        <f>AM80</f>
        <v>1427.9133333333332</v>
      </c>
      <c r="AT80">
        <f>IFERROR(AP80,IFERROR(AQ80,IFERROR(AR80,AS80)))</f>
        <v>1427.5366666666666</v>
      </c>
      <c r="AU80" s="81"/>
    </row>
    <row r="81" spans="1:47" x14ac:dyDescent="0.25">
      <c r="A81" s="101">
        <f>A76+1</f>
        <v>8</v>
      </c>
      <c r="B81" s="101">
        <f t="shared" si="27"/>
        <v>4</v>
      </c>
      <c r="O81" s="101">
        <f>O76+1</f>
        <v>10</v>
      </c>
      <c r="P81" s="101">
        <f t="shared" si="23"/>
        <v>5</v>
      </c>
      <c r="AU81" s="81"/>
    </row>
    <row r="82" spans="1:47" x14ac:dyDescent="0.25">
      <c r="A82" s="84">
        <f>A81+1</f>
        <v>9</v>
      </c>
      <c r="B82" s="84">
        <f t="shared" si="27"/>
        <v>4.8499999999999996</v>
      </c>
      <c r="C82" s="79" t="str">
        <f t="shared" ref="C82" si="32">IF(C83=B84,IF(C84-C83=C83-B83,B83,IF(C84-C83=C83-B82,B82,"#NA")),IF(C83=B83,IF(C84-C83=C83-B82,B82,IF(C84-C83=C83-B81,B81,"#NA")),"#NA"))</f>
        <v>#NA</v>
      </c>
      <c r="D82" s="68" t="e">
        <f>VLOOKUP(C82,STN_TABLE,2,FALSE)</f>
        <v>#N/A</v>
      </c>
      <c r="E82" s="102">
        <v>1</v>
      </c>
      <c r="F82" s="68" t="e">
        <f>D82*E82</f>
        <v>#N/A</v>
      </c>
      <c r="G82" s="69" t="str">
        <f>C82</f>
        <v>#NA</v>
      </c>
      <c r="H82" s="69" t="e">
        <f>F82*G82</f>
        <v>#N/A</v>
      </c>
      <c r="I82" s="6" t="s">
        <v>93</v>
      </c>
      <c r="J82" s="70" t="e">
        <f>IF(OR(D82=0,D83=0,D84=0),"#NA",IF(AND(C84-C83=C83-C82,C83&lt;&gt;C84,C82&lt;&gt;C83,C82&lt;&gt;C84,D84&lt;&gt;0,OR(D82&lt;&gt;0,D83&lt;&gt;0)),WLS*(C84-C83),"#NA"))</f>
        <v>#N/A</v>
      </c>
      <c r="O82" s="99">
        <f>O81+1</f>
        <v>11</v>
      </c>
      <c r="P82" s="99">
        <f t="shared" si="23"/>
        <v>6</v>
      </c>
      <c r="Q82" s="68" t="e">
        <f>IF(OR(P84-P83=P83-P82,P85-P83=P83-P82),P82,IF(OR(P84-P83=P83-P81,P85-P83=P83-P81),P81,"-"))</f>
        <v>#VALUE!</v>
      </c>
      <c r="R82" s="69" t="e">
        <f>VLOOKUP(Q82,STN_TABLE,2,FALSE)</f>
        <v>#VALUE!</v>
      </c>
      <c r="S82" s="69">
        <v>5</v>
      </c>
      <c r="T82" s="68" t="e">
        <f>R82*S82</f>
        <v>#VALUE!</v>
      </c>
      <c r="U82" s="79">
        <v>3</v>
      </c>
      <c r="V82" s="68" t="e">
        <f>R82*U82</f>
        <v>#VALUE!</v>
      </c>
      <c r="W82" s="6" t="s">
        <v>93</v>
      </c>
      <c r="X82" s="70" t="e">
        <f>IF(AND(Q84-Q83=Q83-Q82,NOT(AND(Q82=0,Q83=0)),NOT(AND(Q83=0,Q84=0))),WLS*(Q84-Q83),"#NA")</f>
        <v>#VALUE!</v>
      </c>
      <c r="AD82" s="93"/>
      <c r="AH82" s="6" t="s">
        <v>93</v>
      </c>
      <c r="AI82" s="70">
        <f>WLS*(AD84-AD83)</f>
        <v>1</v>
      </c>
      <c r="AU82" s="81"/>
    </row>
    <row r="83" spans="1:47" x14ac:dyDescent="0.25">
      <c r="A83" s="84">
        <f>A82+1</f>
        <v>10</v>
      </c>
      <c r="B83" s="84">
        <f t="shared" si="27"/>
        <v>5</v>
      </c>
      <c r="C83" s="80" t="str">
        <f t="shared" ref="C83" si="33">IF(OR(B85-B84=B84-B83,B85-B84=B84-B82,B85-B84=B84-B81),B84,IF(OR(B85-B83=B83-B82,B85-B83=B83-B81),B83,IF(B85-B82=B82-B81,B82,"#NA")))</f>
        <v>#NA</v>
      </c>
      <c r="D83" s="76" t="e">
        <f>VLOOKUP(C83,STN_TABLE,2,FALSE)</f>
        <v>#N/A</v>
      </c>
      <c r="E83" s="81">
        <v>4</v>
      </c>
      <c r="F83" s="76" t="e">
        <f>D83*E83</f>
        <v>#N/A</v>
      </c>
      <c r="G83" s="77" t="str">
        <f>C83</f>
        <v>#NA</v>
      </c>
      <c r="H83" s="77" t="e">
        <f>F83*G83</f>
        <v>#N/A</v>
      </c>
      <c r="I83" s="495" t="s">
        <v>97</v>
      </c>
      <c r="J83" s="496"/>
      <c r="K83" s="78" t="s">
        <v>98</v>
      </c>
      <c r="L83" s="78"/>
      <c r="M83" s="7" t="s">
        <v>99</v>
      </c>
      <c r="N83" s="7"/>
      <c r="O83" s="99">
        <f>O82+1</f>
        <v>12</v>
      </c>
      <c r="P83" s="99">
        <f t="shared" si="23"/>
        <v>6.5</v>
      </c>
      <c r="Q83" s="76">
        <f>P83</f>
        <v>6.5</v>
      </c>
      <c r="R83" s="77">
        <f>VLOOKUP(Q83,STN_TABLE,2,FALSE)</f>
        <v>10.62</v>
      </c>
      <c r="S83" s="77">
        <v>8</v>
      </c>
      <c r="T83" s="76">
        <f>R83*S83</f>
        <v>84.96</v>
      </c>
      <c r="U83" s="80">
        <v>10</v>
      </c>
      <c r="V83" s="76">
        <f>R83*U83</f>
        <v>106.19999999999999</v>
      </c>
      <c r="W83" s="496" t="s">
        <v>97</v>
      </c>
      <c r="X83" s="496"/>
      <c r="Y83" s="496" t="s">
        <v>98</v>
      </c>
      <c r="Z83" s="496"/>
      <c r="AA83" s="494" t="s">
        <v>99</v>
      </c>
      <c r="AB83" s="494"/>
      <c r="AC83" s="99">
        <f>AC78+1</f>
        <v>11</v>
      </c>
      <c r="AD83" s="95">
        <f>VLOOKUP(AC83,STN_TABLE_2,2,FALSE)</f>
        <v>6</v>
      </c>
      <c r="AE83" s="68">
        <f>VLOOKUP(AD83,STN_TABLE,2,FALSE)</f>
        <v>10.5</v>
      </c>
      <c r="AF83" s="68">
        <v>1</v>
      </c>
      <c r="AG83" s="69">
        <f>AE83*AF83</f>
        <v>10.5</v>
      </c>
      <c r="AH83" s="496" t="s">
        <v>97</v>
      </c>
      <c r="AI83" s="496"/>
      <c r="AJ83" s="496" t="s">
        <v>98</v>
      </c>
      <c r="AK83" s="496"/>
      <c r="AL83" s="494" t="s">
        <v>99</v>
      </c>
      <c r="AM83" s="494"/>
      <c r="AP83" s="86" t="s">
        <v>112</v>
      </c>
      <c r="AQ83" s="89" t="s">
        <v>113</v>
      </c>
      <c r="AR83" s="89" t="s">
        <v>114</v>
      </c>
      <c r="AS83" s="89" t="s">
        <v>115</v>
      </c>
      <c r="AU83" s="81"/>
    </row>
    <row r="84" spans="1:47" x14ac:dyDescent="0.25">
      <c r="A84" s="84">
        <f>A83+1</f>
        <v>11</v>
      </c>
      <c r="B84" s="84">
        <f t="shared" si="27"/>
        <v>6</v>
      </c>
      <c r="C84" s="88">
        <f t="shared" ref="C84" si="34">B85</f>
        <v>6.5</v>
      </c>
      <c r="D84" s="82">
        <f>VLOOKUP(C84,STN_TABLE,2,FALSE)</f>
        <v>10.62</v>
      </c>
      <c r="E84" s="92">
        <v>1</v>
      </c>
      <c r="F84" s="82">
        <f>D84*E84</f>
        <v>10.62</v>
      </c>
      <c r="G84" s="83">
        <f>C84</f>
        <v>6.5</v>
      </c>
      <c r="H84" s="83">
        <f>F84*G84</f>
        <v>69.03</v>
      </c>
      <c r="I84" s="84" t="str">
        <f>CONCATENATE("a'(",C84,")=")</f>
        <v>a'(6.5)=</v>
      </c>
      <c r="J84" s="84" t="e">
        <f>2*J82/3*F85</f>
        <v>#N/A</v>
      </c>
      <c r="K84" s="84" t="str">
        <f>CONCATENATE("A(",C82,")=")</f>
        <v>A(#NA)=</v>
      </c>
      <c r="L84" s="84" t="e">
        <f>VLOOKUP(C82,STN_TABLE,3,FALSE)</f>
        <v>#N/A</v>
      </c>
      <c r="M84" t="str">
        <f>CONCATENATE("A(",C84,")=")</f>
        <v>A(6.5)=</v>
      </c>
      <c r="N84" t="e">
        <f>J84+L84</f>
        <v>#N/A</v>
      </c>
      <c r="O84" s="99">
        <f>O83+1</f>
        <v>13</v>
      </c>
      <c r="P84" s="99" t="str">
        <f t="shared" si="23"/>
        <v xml:space="preserve">  </v>
      </c>
      <c r="Q84" s="82" t="e">
        <f>IF(P84-P83=P83-P82,P84,IF(P85-P83=P83-P82,P85,IF(P84-P83=P83-P81,P84,IF(P85-P83=P83-P81,P85,"-"))))</f>
        <v>#VALUE!</v>
      </c>
      <c r="R84" s="83" t="e">
        <f>VLOOKUP(Q84,STN_TABLE,2,FALSE)</f>
        <v>#VALUE!</v>
      </c>
      <c r="S84" s="83">
        <v>-1</v>
      </c>
      <c r="T84" s="82" t="e">
        <f>R84*S84</f>
        <v>#VALUE!</v>
      </c>
      <c r="U84" s="88">
        <v>-1</v>
      </c>
      <c r="V84" s="82" t="e">
        <f>R84*U84</f>
        <v>#VALUE!</v>
      </c>
      <c r="W84" s="84" t="str">
        <f>CONCATENATE("a'(",Q83,")=")</f>
        <v>a'(6.5)=</v>
      </c>
      <c r="X84" s="84" t="e">
        <f>2*X82/12*T85</f>
        <v>#VALUE!</v>
      </c>
      <c r="Y84" s="84" t="e">
        <f>CONCATENATE("A(",Q82,")=")</f>
        <v>#VALUE!</v>
      </c>
      <c r="Z84" s="84" t="e">
        <f>VLOOKUP(Q82,STN_TABLE,3,FALSE)</f>
        <v>#VALUE!</v>
      </c>
      <c r="AA84" t="str">
        <f>CONCATENATE("A(",Q83,")=")</f>
        <v>A(6.5)=</v>
      </c>
      <c r="AB84" t="e">
        <f>X84+Z84</f>
        <v>#VALUE!</v>
      </c>
      <c r="AC84" s="99">
        <f>AC83+1</f>
        <v>12</v>
      </c>
      <c r="AD84" s="100">
        <f>VLOOKUP(AC84,STN_TABLE_2,2,FALSE)</f>
        <v>6.5</v>
      </c>
      <c r="AE84" s="82">
        <f>VLOOKUP(AD84,STN_TABLE,2,FALSE)</f>
        <v>10.62</v>
      </c>
      <c r="AF84" s="82">
        <v>2</v>
      </c>
      <c r="AG84" s="83">
        <f>AE84*AF84</f>
        <v>21.24</v>
      </c>
      <c r="AH84" s="84" t="str">
        <f>CONCATENATE("a'(",AD84,")=")</f>
        <v>a'(6.5)=</v>
      </c>
      <c r="AI84" s="84">
        <f>2*AI82/2*AE85</f>
        <v>21.119999999999997</v>
      </c>
      <c r="AJ84" s="84" t="str">
        <f>CONCATENATE("A(",AD83,")=")</f>
        <v>A(6)=</v>
      </c>
      <c r="AK84" s="84">
        <f>VLOOKUP(AD83,STN_TABLE,3,FALSE)</f>
        <v>224.79666666666665</v>
      </c>
      <c r="AL84" t="str">
        <f>CONCATENATE("A(",AD84,")=")</f>
        <v>A(6.5)=</v>
      </c>
      <c r="AM84">
        <f>AI84+AK84</f>
        <v>245.91666666666666</v>
      </c>
      <c r="AO84" s="68" t="str">
        <f>AA84</f>
        <v>A(6.5)=</v>
      </c>
      <c r="AP84" s="68" t="e">
        <f>VLOOKUP(AO84,Rise_Results,2,FALSE)</f>
        <v>#N/A</v>
      </c>
      <c r="AQ84" s="76" t="e">
        <f>N84</f>
        <v>#N/A</v>
      </c>
      <c r="AR84" s="76" t="e">
        <f>IF(OR(AB84&lt;=0,AB85&lt;=0),1/0,AB84)</f>
        <v>#VALUE!</v>
      </c>
      <c r="AS84" s="76">
        <f>AM84</f>
        <v>245.91666666666666</v>
      </c>
      <c r="AT84">
        <f>IFERROR(AP84,IFERROR(AQ84,IFERROR(AR84,AS84)))</f>
        <v>245.91666666666666</v>
      </c>
      <c r="AU84" s="81"/>
    </row>
    <row r="85" spans="1:47" x14ac:dyDescent="0.25">
      <c r="A85" s="84">
        <f>A84+1</f>
        <v>12</v>
      </c>
      <c r="B85" s="84">
        <f t="shared" si="27"/>
        <v>6.5</v>
      </c>
      <c r="F85" s="82" t="e">
        <f>SUM(F82:F84)</f>
        <v>#N/A</v>
      </c>
      <c r="H85" s="82" t="e">
        <f>SUM(H82:H84)</f>
        <v>#N/A</v>
      </c>
      <c r="I85" s="84" t="str">
        <f>CONCATENATE("m'(",C84,")=")</f>
        <v>m'(6.5)=</v>
      </c>
      <c r="J85" s="84" t="e">
        <f>2*(J82*(WLS))/3*H85</f>
        <v>#N/A</v>
      </c>
      <c r="K85" s="84" t="str">
        <f>CONCATENATE("M(",C82,")=")</f>
        <v>M(#NA)=</v>
      </c>
      <c r="L85" s="84" t="e">
        <f>VLOOKUP(C82,STN_TABLE,4,FALSE)</f>
        <v>#N/A</v>
      </c>
      <c r="M85" t="str">
        <f>CONCATENATE("M(",C84,")=")</f>
        <v>M(6.5)=</v>
      </c>
      <c r="N85" t="e">
        <f>J85+L85</f>
        <v>#N/A</v>
      </c>
      <c r="O85" s="99">
        <f>O84+1</f>
        <v>14</v>
      </c>
      <c r="P85" s="99" t="str">
        <f t="shared" si="23"/>
        <v xml:space="preserve">  </v>
      </c>
      <c r="T85" s="89" t="e">
        <f>SUM(T82:T84)</f>
        <v>#VALUE!</v>
      </c>
      <c r="V85" s="82" t="e">
        <f>SUM(V82:V84)</f>
        <v>#VALUE!</v>
      </c>
      <c r="W85" s="84" t="str">
        <f>CONCATENATE("m'(",Q83,")=")</f>
        <v>m'(6.5)=</v>
      </c>
      <c r="X85" s="84" t="e">
        <f>(2*(X82^2)/24*V85)+(X84*Q82*WLS)</f>
        <v>#VALUE!</v>
      </c>
      <c r="Y85" s="84" t="e">
        <f>CONCATENATE("M(",Q82,")=")</f>
        <v>#VALUE!</v>
      </c>
      <c r="Z85" s="84" t="e">
        <f>VLOOKUP(Q82,STN_TABLE,4,FALSE)</f>
        <v>#VALUE!</v>
      </c>
      <c r="AA85" t="str">
        <f>CONCATENATE("M(",Q83,")=")</f>
        <v>M(6.5)=</v>
      </c>
      <c r="AB85" t="e">
        <f>X85+Z85</f>
        <v>#VALUE!</v>
      </c>
      <c r="AE85" s="89">
        <f>SUM(AE83:AE84)</f>
        <v>21.119999999999997</v>
      </c>
      <c r="AG85" s="89">
        <f>SUM(AG83:AG84)</f>
        <v>31.74</v>
      </c>
      <c r="AH85" s="84" t="str">
        <f>CONCATENATE("m'(",AD84,")=")</f>
        <v>m'(6.5)=</v>
      </c>
      <c r="AI85" s="84">
        <f>(2*(AI82^2)/6*AG85)+(AI84*AD83*WLS)</f>
        <v>264.02</v>
      </c>
      <c r="AJ85" s="84" t="str">
        <f>CONCATENATE("M(",AD83,")=")</f>
        <v>M(6)=</v>
      </c>
      <c r="AK85" s="84">
        <f>VLOOKUP(AD83,STN_TABLE,4,FALSE)</f>
        <v>1427.5366666666666</v>
      </c>
      <c r="AL85" t="str">
        <f>CONCATENATE("M(",AD84,")=")</f>
        <v>M(6.5)=</v>
      </c>
      <c r="AM85">
        <f>AI85+AK85</f>
        <v>1691.5566666666666</v>
      </c>
      <c r="AO85" s="82" t="str">
        <f>AA85</f>
        <v>M(6.5)=</v>
      </c>
      <c r="AP85" s="82" t="e">
        <f>VLOOKUP(AO85,Rise_Results,2,FALSE)</f>
        <v>#N/A</v>
      </c>
      <c r="AQ85" s="82" t="e">
        <f>N85</f>
        <v>#N/A</v>
      </c>
      <c r="AR85" s="82" t="e">
        <f>IF(OR(AB84&lt;=0,AB85&lt;=0),1/0,AB85)</f>
        <v>#VALUE!</v>
      </c>
      <c r="AS85" s="82">
        <f>AM85</f>
        <v>1691.5566666666666</v>
      </c>
      <c r="AT85">
        <f>IFERROR(AP85,IFERROR(AQ85,IFERROR(AR85,AS85)))</f>
        <v>1691.5566666666666</v>
      </c>
      <c r="AU85" s="81"/>
    </row>
    <row r="86" spans="1:47" x14ac:dyDescent="0.25">
      <c r="A86" s="101">
        <f>A81+1</f>
        <v>9</v>
      </c>
      <c r="B86" s="101">
        <f t="shared" si="27"/>
        <v>4.8499999999999996</v>
      </c>
      <c r="O86" s="101">
        <f>O81+1</f>
        <v>11</v>
      </c>
      <c r="P86" s="101">
        <f t="shared" si="23"/>
        <v>6</v>
      </c>
      <c r="AU86" s="81"/>
    </row>
    <row r="87" spans="1:47" x14ac:dyDescent="0.25">
      <c r="A87" s="84">
        <f>A86+1</f>
        <v>10</v>
      </c>
      <c r="B87" s="84">
        <f t="shared" si="27"/>
        <v>5</v>
      </c>
      <c r="C87" s="79" t="e">
        <f t="shared" ref="C87" si="35">IF(C88=B89,IF(C89-C88=C88-B88,B88,IF(C89-C88=C88-B87,B87,"#NA")),IF(C88=B88,IF(C89-C88=C88-B87,B87,IF(C89-C88=C88-B86,B86,"#NA")),"#NA"))</f>
        <v>#VALUE!</v>
      </c>
      <c r="D87" s="68" t="e">
        <f>VLOOKUP(C87,STN_TABLE,2,FALSE)</f>
        <v>#VALUE!</v>
      </c>
      <c r="E87" s="102">
        <v>1</v>
      </c>
      <c r="F87" s="68" t="e">
        <f>D87*E87</f>
        <v>#VALUE!</v>
      </c>
      <c r="G87" s="69" t="e">
        <f>C87</f>
        <v>#VALUE!</v>
      </c>
      <c r="H87" s="69" t="e">
        <f>F87*G87</f>
        <v>#VALUE!</v>
      </c>
      <c r="I87" s="6" t="s">
        <v>93</v>
      </c>
      <c r="J87" s="70" t="e">
        <f>IF(OR(D87=0,D88=0,D89=0),"#NA",IF(AND(C89-C88=C88-C87,C88&lt;&gt;C89,C87&lt;&gt;C88,C87&lt;&gt;C89,D89&lt;&gt;0,OR(D87&lt;&gt;0,D88&lt;&gt;0)),WLS*(C89-C88),"#NA"))</f>
        <v>#VALUE!</v>
      </c>
      <c r="O87" s="99">
        <f>O86+1</f>
        <v>12</v>
      </c>
      <c r="P87" s="99">
        <f t="shared" si="23"/>
        <v>6.5</v>
      </c>
      <c r="Q87" s="68" t="e">
        <f>IF(OR(P89-P88=P88-P87,P90-P88=P88-P87),P87,IF(OR(P89-P88=P88-P86,P90-P88=P88-P86),P86,"-"))</f>
        <v>#VALUE!</v>
      </c>
      <c r="R87" s="69" t="e">
        <f>VLOOKUP(Q87,STN_TABLE,2,FALSE)</f>
        <v>#VALUE!</v>
      </c>
      <c r="S87" s="69">
        <v>5</v>
      </c>
      <c r="T87" s="68" t="e">
        <f>R87*S87</f>
        <v>#VALUE!</v>
      </c>
      <c r="U87" s="79">
        <v>3</v>
      </c>
      <c r="V87" s="68" t="e">
        <f>R87*U87</f>
        <v>#VALUE!</v>
      </c>
      <c r="W87" s="6" t="s">
        <v>93</v>
      </c>
      <c r="X87" s="70" t="e">
        <f>IF(AND(Q89-Q88=Q88-Q87,NOT(AND(Q87=0,Q88=0)),NOT(AND(Q88=0,Q89=0))),WLS*(Q89-Q88),"#NA")</f>
        <v>#VALUE!</v>
      </c>
      <c r="AD87" s="93"/>
      <c r="AH87" s="6" t="s">
        <v>93</v>
      </c>
      <c r="AI87" s="70" t="e">
        <f>WLS*(AD89-AD88)</f>
        <v>#VALUE!</v>
      </c>
      <c r="AU87" s="81"/>
    </row>
    <row r="88" spans="1:47" x14ac:dyDescent="0.25">
      <c r="A88" s="84">
        <f>A87+1</f>
        <v>11</v>
      </c>
      <c r="B88" s="84">
        <f t="shared" si="27"/>
        <v>6</v>
      </c>
      <c r="C88" s="80" t="e">
        <f t="shared" ref="C88" si="36">IF(OR(B90-B89=B89-B88,B90-B89=B89-B87,B90-B89=B89-B86),B89,IF(OR(B90-B88=B88-B87,B90-B88=B88-B86),B88,IF(B90-B87=B87-B86,B87,"#NA")))</f>
        <v>#VALUE!</v>
      </c>
      <c r="D88" s="76" t="e">
        <f>VLOOKUP(C88,STN_TABLE,2,FALSE)</f>
        <v>#VALUE!</v>
      </c>
      <c r="E88" s="81">
        <v>4</v>
      </c>
      <c r="F88" s="76" t="e">
        <f>D88*E88</f>
        <v>#VALUE!</v>
      </c>
      <c r="G88" s="77" t="e">
        <f>C88</f>
        <v>#VALUE!</v>
      </c>
      <c r="H88" s="77" t="e">
        <f>F88*G88</f>
        <v>#VALUE!</v>
      </c>
      <c r="I88" s="495" t="s">
        <v>97</v>
      </c>
      <c r="J88" s="496"/>
      <c r="K88" s="78" t="s">
        <v>98</v>
      </c>
      <c r="L88" s="78"/>
      <c r="M88" s="7" t="s">
        <v>99</v>
      </c>
      <c r="N88" s="7"/>
      <c r="O88" s="99">
        <f>O87+1</f>
        <v>13</v>
      </c>
      <c r="P88" s="99" t="str">
        <f t="shared" si="23"/>
        <v xml:space="preserve">  </v>
      </c>
      <c r="Q88" s="76" t="str">
        <f>P88</f>
        <v xml:space="preserve">  </v>
      </c>
      <c r="R88" s="77" t="str">
        <f>VLOOKUP(Q88,STN_TABLE,2,FALSE)</f>
        <v xml:space="preserve">  </v>
      </c>
      <c r="S88" s="77">
        <v>8</v>
      </c>
      <c r="T88" s="76" t="e">
        <f>R88*S88</f>
        <v>#VALUE!</v>
      </c>
      <c r="U88" s="80">
        <v>10</v>
      </c>
      <c r="V88" s="76" t="e">
        <f>R88*U88</f>
        <v>#VALUE!</v>
      </c>
      <c r="W88" s="496" t="s">
        <v>97</v>
      </c>
      <c r="X88" s="496"/>
      <c r="Y88" s="496" t="s">
        <v>98</v>
      </c>
      <c r="Z88" s="496"/>
      <c r="AA88" s="494" t="s">
        <v>99</v>
      </c>
      <c r="AB88" s="494"/>
      <c r="AC88" s="99">
        <f>AC83+1</f>
        <v>12</v>
      </c>
      <c r="AD88" s="95">
        <f>VLOOKUP(AC88,STN_TABLE_2,2,FALSE)</f>
        <v>6.5</v>
      </c>
      <c r="AE88" s="68">
        <f>VLOOKUP(AD88,STN_TABLE,2,FALSE)</f>
        <v>10.62</v>
      </c>
      <c r="AF88" s="68">
        <v>1</v>
      </c>
      <c r="AG88" s="69">
        <f>AE88*AF88</f>
        <v>10.62</v>
      </c>
      <c r="AH88" s="496" t="s">
        <v>97</v>
      </c>
      <c r="AI88" s="496"/>
      <c r="AJ88" s="496" t="s">
        <v>98</v>
      </c>
      <c r="AK88" s="496"/>
      <c r="AL88" s="494" t="s">
        <v>99</v>
      </c>
      <c r="AM88" s="494"/>
      <c r="AP88" s="86" t="s">
        <v>112</v>
      </c>
      <c r="AQ88" s="89" t="s">
        <v>113</v>
      </c>
      <c r="AR88" s="89" t="s">
        <v>114</v>
      </c>
      <c r="AS88" s="89" t="s">
        <v>115</v>
      </c>
      <c r="AU88" s="81"/>
    </row>
    <row r="89" spans="1:47" x14ac:dyDescent="0.25">
      <c r="A89" s="84">
        <f>A88+1</f>
        <v>12</v>
      </c>
      <c r="B89" s="84">
        <f t="shared" si="27"/>
        <v>6.5</v>
      </c>
      <c r="C89" s="88" t="str">
        <f t="shared" ref="C89" si="37">B90</f>
        <v xml:space="preserve">  </v>
      </c>
      <c r="D89" s="82" t="str">
        <f>VLOOKUP(C89,STN_TABLE,2,FALSE)</f>
        <v xml:space="preserve">  </v>
      </c>
      <c r="E89" s="92">
        <v>1</v>
      </c>
      <c r="F89" s="82" t="e">
        <f>D89*E89</f>
        <v>#VALUE!</v>
      </c>
      <c r="G89" s="83" t="str">
        <f>C89</f>
        <v xml:space="preserve">  </v>
      </c>
      <c r="H89" s="83" t="e">
        <f>F89*G89</f>
        <v>#VALUE!</v>
      </c>
      <c r="I89" s="84" t="str">
        <f>CONCATENATE("a'(",C89,")=")</f>
        <v>a'(  )=</v>
      </c>
      <c r="J89" s="84" t="e">
        <f>2*J87/3*F90</f>
        <v>#VALUE!</v>
      </c>
      <c r="K89" s="84" t="e">
        <f>CONCATENATE("A(",C87,")=")</f>
        <v>#VALUE!</v>
      </c>
      <c r="L89" s="84" t="e">
        <f>VLOOKUP(C87,STN_TABLE,3,FALSE)</f>
        <v>#VALUE!</v>
      </c>
      <c r="M89" t="str">
        <f>CONCATENATE("A(",C89,")=")</f>
        <v>A(  )=</v>
      </c>
      <c r="N89" t="e">
        <f>J89+L89</f>
        <v>#VALUE!</v>
      </c>
      <c r="O89" s="99">
        <f>O88+1</f>
        <v>14</v>
      </c>
      <c r="P89" s="99" t="str">
        <f t="shared" si="23"/>
        <v xml:space="preserve">  </v>
      </c>
      <c r="Q89" s="82" t="e">
        <f>IF(P89-P88=P88-P87,P89,IF(P90-P88=P88-P87,P90,IF(P89-P88=P88-P86,P89,IF(P90-P88=P88-P86,P90,"-"))))</f>
        <v>#VALUE!</v>
      </c>
      <c r="R89" s="83" t="e">
        <f>VLOOKUP(Q89,STN_TABLE,2,FALSE)</f>
        <v>#VALUE!</v>
      </c>
      <c r="S89" s="83">
        <v>-1</v>
      </c>
      <c r="T89" s="82" t="e">
        <f>R89*S89</f>
        <v>#VALUE!</v>
      </c>
      <c r="U89" s="88">
        <v>-1</v>
      </c>
      <c r="V89" s="82" t="e">
        <f>R89*U89</f>
        <v>#VALUE!</v>
      </c>
      <c r="W89" s="84" t="str">
        <f>CONCATENATE("a'(",Q88,")=")</f>
        <v>a'(  )=</v>
      </c>
      <c r="X89" s="84" t="e">
        <f>2*X87/12*T90</f>
        <v>#VALUE!</v>
      </c>
      <c r="Y89" s="84" t="e">
        <f>CONCATENATE("A(",Q87,")=")</f>
        <v>#VALUE!</v>
      </c>
      <c r="Z89" s="84" t="e">
        <f>VLOOKUP(Q87,STN_TABLE,3,FALSE)</f>
        <v>#VALUE!</v>
      </c>
      <c r="AA89" t="str">
        <f>CONCATENATE("A(",Q88,")=")</f>
        <v>A(  )=</v>
      </c>
      <c r="AB89" t="e">
        <f>X89+Z89</f>
        <v>#VALUE!</v>
      </c>
      <c r="AC89" s="99">
        <f>AC88+1</f>
        <v>13</v>
      </c>
      <c r="AD89" s="100" t="str">
        <f>VLOOKUP(AC89,STN_TABLE_2,2,FALSE)</f>
        <v xml:space="preserve">  </v>
      </c>
      <c r="AE89" s="82" t="str">
        <f>VLOOKUP(AD89,STN_TABLE,2,FALSE)</f>
        <v xml:space="preserve">  </v>
      </c>
      <c r="AF89" s="82">
        <v>2</v>
      </c>
      <c r="AG89" s="83" t="e">
        <f>AE89*AF89</f>
        <v>#VALUE!</v>
      </c>
      <c r="AH89" s="84" t="str">
        <f>CONCATENATE("a'(",AD89,")=")</f>
        <v>a'(  )=</v>
      </c>
      <c r="AI89" s="84" t="e">
        <f>2*AI87/2*AE90</f>
        <v>#VALUE!</v>
      </c>
      <c r="AJ89" s="84" t="str">
        <f>CONCATENATE("A(",AD88,")=")</f>
        <v>A(6.5)=</v>
      </c>
      <c r="AK89" s="84">
        <f>VLOOKUP(AD88,STN_TABLE,3,FALSE)</f>
        <v>245.91666666666666</v>
      </c>
      <c r="AL89" t="str">
        <f>CONCATENATE("A(",AD89,")=")</f>
        <v>A(  )=</v>
      </c>
      <c r="AM89" t="e">
        <f>AI89+AK89</f>
        <v>#VALUE!</v>
      </c>
      <c r="AO89" s="68" t="str">
        <f>AA89</f>
        <v>A(  )=</v>
      </c>
      <c r="AP89" s="68" t="e">
        <f>VLOOKUP(AO89,Rise_Results,2,FALSE)</f>
        <v>#N/A</v>
      </c>
      <c r="AQ89" s="76" t="e">
        <f>N89</f>
        <v>#VALUE!</v>
      </c>
      <c r="AR89" s="76" t="e">
        <f>IF(OR(AB89&lt;=0,AB90&lt;=0),1/0,AB89)</f>
        <v>#VALUE!</v>
      </c>
      <c r="AS89" s="76" t="e">
        <f>AM89</f>
        <v>#VALUE!</v>
      </c>
      <c r="AT89" t="e">
        <f>IFERROR(AP89,IFERROR(AQ89,IFERROR(AR89,AS89)))</f>
        <v>#VALUE!</v>
      </c>
      <c r="AU89" s="81"/>
    </row>
    <row r="90" spans="1:47" x14ac:dyDescent="0.25">
      <c r="A90" s="84">
        <f>A89+1</f>
        <v>13</v>
      </c>
      <c r="B90" s="84" t="str">
        <f t="shared" si="27"/>
        <v xml:space="preserve">  </v>
      </c>
      <c r="F90" s="82" t="e">
        <f>SUM(F87:F89)</f>
        <v>#VALUE!</v>
      </c>
      <c r="H90" s="82" t="e">
        <f>SUM(H87:H89)</f>
        <v>#VALUE!</v>
      </c>
      <c r="I90" s="84" t="str">
        <f>CONCATENATE("m'(",C89,")=")</f>
        <v>m'(  )=</v>
      </c>
      <c r="J90" s="84" t="e">
        <f>2*(J87*(WLS))/3*H90</f>
        <v>#VALUE!</v>
      </c>
      <c r="K90" s="84" t="e">
        <f>CONCATENATE("M(",C87,")=")</f>
        <v>#VALUE!</v>
      </c>
      <c r="L90" s="84" t="e">
        <f>VLOOKUP(C87,STN_TABLE,4,FALSE)</f>
        <v>#VALUE!</v>
      </c>
      <c r="M90" t="str">
        <f>CONCATENATE("M(",C89,")=")</f>
        <v>M(  )=</v>
      </c>
      <c r="N90" t="e">
        <f>J90+L90</f>
        <v>#VALUE!</v>
      </c>
      <c r="O90" s="99">
        <f>O89+1</f>
        <v>15</v>
      </c>
      <c r="P90" s="99" t="str">
        <f t="shared" si="23"/>
        <v xml:space="preserve">  </v>
      </c>
      <c r="T90" s="89" t="e">
        <f>SUM(T87:T89)</f>
        <v>#VALUE!</v>
      </c>
      <c r="V90" s="82" t="e">
        <f>SUM(V87:V89)</f>
        <v>#VALUE!</v>
      </c>
      <c r="W90" s="84" t="str">
        <f>CONCATENATE("m'(",Q88,")=")</f>
        <v>m'(  )=</v>
      </c>
      <c r="X90" s="84" t="e">
        <f>(2*(X87^2)/24*V90)+(X89*Q87*WLS)</f>
        <v>#VALUE!</v>
      </c>
      <c r="Y90" s="84" t="e">
        <f>CONCATENATE("M(",Q87,")=")</f>
        <v>#VALUE!</v>
      </c>
      <c r="Z90" s="84" t="e">
        <f>VLOOKUP(Q87,STN_TABLE,4,FALSE)</f>
        <v>#VALUE!</v>
      </c>
      <c r="AA90" t="str">
        <f>CONCATENATE("M(",Q88,")=")</f>
        <v>M(  )=</v>
      </c>
      <c r="AB90" t="e">
        <f>X90+Z90</f>
        <v>#VALUE!</v>
      </c>
      <c r="AE90" s="89">
        <f>SUM(AE88:AE89)</f>
        <v>10.62</v>
      </c>
      <c r="AG90" s="89" t="e">
        <f>SUM(AG88:AG89)</f>
        <v>#VALUE!</v>
      </c>
      <c r="AH90" s="84" t="str">
        <f>CONCATENATE("m'(",AD89,")=")</f>
        <v>m'(  )=</v>
      </c>
      <c r="AI90" s="84" t="e">
        <f>(2*(AI87^2)/6*AG90)+(AI89*AD88*WLS)</f>
        <v>#VALUE!</v>
      </c>
      <c r="AJ90" s="84" t="str">
        <f>CONCATENATE("M(",AD88,")=")</f>
        <v>M(6.5)=</v>
      </c>
      <c r="AK90" s="84">
        <f>VLOOKUP(AD88,STN_TABLE,4,FALSE)</f>
        <v>1691.5566666666666</v>
      </c>
      <c r="AL90" t="str">
        <f>CONCATENATE("M(",AD89,")=")</f>
        <v>M(  )=</v>
      </c>
      <c r="AM90" t="e">
        <f>AI90+AK90</f>
        <v>#VALUE!</v>
      </c>
      <c r="AO90" s="82" t="str">
        <f>AA90</f>
        <v>M(  )=</v>
      </c>
      <c r="AP90" s="82" t="e">
        <f>VLOOKUP(AO90,Rise_Results,2,FALSE)</f>
        <v>#N/A</v>
      </c>
      <c r="AQ90" s="82" t="e">
        <f>N90</f>
        <v>#VALUE!</v>
      </c>
      <c r="AR90" s="82" t="e">
        <f>IF(OR(AB89&lt;=0,AB90&lt;=0),1/0,AB90)</f>
        <v>#VALUE!</v>
      </c>
      <c r="AS90" s="82" t="e">
        <f>AM90</f>
        <v>#VALUE!</v>
      </c>
      <c r="AT90" t="e">
        <f>IFERROR(AP90,IFERROR(AQ90,IFERROR(AR90,AS90)))</f>
        <v>#VALUE!</v>
      </c>
      <c r="AU90" s="81"/>
    </row>
    <row r="91" spans="1:47" x14ac:dyDescent="0.25">
      <c r="A91" s="101">
        <f>A86+1</f>
        <v>10</v>
      </c>
      <c r="B91" s="101">
        <f t="shared" si="27"/>
        <v>5</v>
      </c>
      <c r="O91" s="101">
        <f>O86+1</f>
        <v>12</v>
      </c>
      <c r="P91" s="101">
        <f t="shared" si="23"/>
        <v>6.5</v>
      </c>
      <c r="AU91" s="81"/>
    </row>
    <row r="92" spans="1:47" x14ac:dyDescent="0.25">
      <c r="A92" s="84">
        <f>A91+1</f>
        <v>11</v>
      </c>
      <c r="B92" s="84">
        <f t="shared" si="27"/>
        <v>6</v>
      </c>
      <c r="C92" s="79" t="e">
        <f t="shared" ref="C92" si="38">IF(C93=B94,IF(C94-C93=C93-B93,B93,IF(C94-C93=C93-B92,B92,"#NA")),IF(C93=B93,IF(C94-C93=C93-B92,B92,IF(C94-C93=C93-B91,B91,"#NA")),"#NA"))</f>
        <v>#VALUE!</v>
      </c>
      <c r="D92" s="68" t="e">
        <f>VLOOKUP(C92,STN_TABLE,2,FALSE)</f>
        <v>#VALUE!</v>
      </c>
      <c r="E92" s="102">
        <v>1</v>
      </c>
      <c r="F92" s="68" t="e">
        <f>D92*E92</f>
        <v>#VALUE!</v>
      </c>
      <c r="G92" s="69" t="e">
        <f>C92</f>
        <v>#VALUE!</v>
      </c>
      <c r="H92" s="69" t="e">
        <f>F92*G92</f>
        <v>#VALUE!</v>
      </c>
      <c r="I92" s="6" t="s">
        <v>93</v>
      </c>
      <c r="J92" s="70" t="e">
        <f>IF(OR(D92=0,D93=0,D94=0),"#NA",IF(AND(C94-C93=C93-C92,C93&lt;&gt;C94,C92&lt;&gt;C93,C92&lt;&gt;C94,D94&lt;&gt;0,OR(D92&lt;&gt;0,D93&lt;&gt;0)),WLS*(C94-C93),"#NA"))</f>
        <v>#VALUE!</v>
      </c>
      <c r="O92" s="99">
        <f>O91+1</f>
        <v>13</v>
      </c>
      <c r="P92" s="99" t="str">
        <f t="shared" si="23"/>
        <v xml:space="preserve">  </v>
      </c>
      <c r="Q92" s="68" t="e">
        <f>IF(OR(P94-P93=P93-P92,P95-P93=P93-P92),P92,IF(OR(P94-P93=P93-P91,P95-P93=P93-P91),P91,"-"))</f>
        <v>#VALUE!</v>
      </c>
      <c r="R92" s="69" t="e">
        <f>VLOOKUP(Q92,STN_TABLE,2,FALSE)</f>
        <v>#VALUE!</v>
      </c>
      <c r="S92" s="69">
        <v>5</v>
      </c>
      <c r="T92" s="68" t="e">
        <f>R92*S92</f>
        <v>#VALUE!</v>
      </c>
      <c r="U92" s="79">
        <v>3</v>
      </c>
      <c r="V92" s="68" t="e">
        <f>R92*U92</f>
        <v>#VALUE!</v>
      </c>
      <c r="W92" s="6" t="s">
        <v>93</v>
      </c>
      <c r="X92" s="70" t="e">
        <f>IF(AND(Q94-Q93=Q93-Q92,NOT(AND(Q92=0,Q93=0)),NOT(AND(Q93=0,Q94=0))),WLS*(Q94-Q93),"#NA")</f>
        <v>#VALUE!</v>
      </c>
      <c r="AD92" s="93"/>
      <c r="AH92" s="6" t="s">
        <v>93</v>
      </c>
      <c r="AI92" s="70" t="e">
        <f>WLS*(AD94-AD93)</f>
        <v>#VALUE!</v>
      </c>
      <c r="AU92" s="81"/>
    </row>
    <row r="93" spans="1:47" x14ac:dyDescent="0.25">
      <c r="A93" s="84">
        <f>A92+1</f>
        <v>12</v>
      </c>
      <c r="B93" s="84">
        <f t="shared" si="27"/>
        <v>6.5</v>
      </c>
      <c r="C93" s="80" t="e">
        <f t="shared" ref="C93" si="39">IF(OR(B95-B94=B94-B93,B95-B94=B94-B92,B95-B94=B94-B91),B94,IF(OR(B95-B93=B93-B92,B95-B93=B93-B91),B93,IF(B95-B92=B92-B91,B92,"#NA")))</f>
        <v>#VALUE!</v>
      </c>
      <c r="D93" s="76" t="e">
        <f>VLOOKUP(C93,STN_TABLE,2,FALSE)</f>
        <v>#VALUE!</v>
      </c>
      <c r="E93" s="81">
        <v>4</v>
      </c>
      <c r="F93" s="76" t="e">
        <f>D93*E93</f>
        <v>#VALUE!</v>
      </c>
      <c r="G93" s="77" t="e">
        <f>C93</f>
        <v>#VALUE!</v>
      </c>
      <c r="H93" s="77" t="e">
        <f>F93*G93</f>
        <v>#VALUE!</v>
      </c>
      <c r="I93" s="495" t="s">
        <v>97</v>
      </c>
      <c r="J93" s="496"/>
      <c r="K93" s="78" t="s">
        <v>98</v>
      </c>
      <c r="L93" s="78"/>
      <c r="M93" s="7" t="s">
        <v>99</v>
      </c>
      <c r="N93" s="7"/>
      <c r="O93" s="99">
        <f>O92+1</f>
        <v>14</v>
      </c>
      <c r="P93" s="99" t="str">
        <f t="shared" si="23"/>
        <v xml:space="preserve">  </v>
      </c>
      <c r="Q93" s="76" t="str">
        <f>P93</f>
        <v xml:space="preserve">  </v>
      </c>
      <c r="R93" s="77" t="str">
        <f>VLOOKUP(Q93,STN_TABLE,2,FALSE)</f>
        <v xml:space="preserve">  </v>
      </c>
      <c r="S93" s="77">
        <v>8</v>
      </c>
      <c r="T93" s="76" t="e">
        <f>R93*S93</f>
        <v>#VALUE!</v>
      </c>
      <c r="U93" s="80">
        <v>10</v>
      </c>
      <c r="V93" s="76" t="e">
        <f>R93*U93</f>
        <v>#VALUE!</v>
      </c>
      <c r="W93" s="496" t="s">
        <v>97</v>
      </c>
      <c r="X93" s="496"/>
      <c r="Y93" s="496" t="s">
        <v>98</v>
      </c>
      <c r="Z93" s="496"/>
      <c r="AA93" s="494" t="s">
        <v>99</v>
      </c>
      <c r="AB93" s="494"/>
      <c r="AC93" s="99">
        <f>AC88+1</f>
        <v>13</v>
      </c>
      <c r="AD93" s="95" t="str">
        <f>VLOOKUP(AC93,STN_TABLE_2,2,FALSE)</f>
        <v xml:space="preserve">  </v>
      </c>
      <c r="AE93" s="68" t="str">
        <f>VLOOKUP(AD93,STN_TABLE,2,FALSE)</f>
        <v xml:space="preserve">  </v>
      </c>
      <c r="AF93" s="68">
        <v>1</v>
      </c>
      <c r="AG93" s="69" t="e">
        <f>AE93*AF93</f>
        <v>#VALUE!</v>
      </c>
      <c r="AH93" s="496" t="s">
        <v>97</v>
      </c>
      <c r="AI93" s="496"/>
      <c r="AJ93" s="496" t="s">
        <v>98</v>
      </c>
      <c r="AK93" s="496"/>
      <c r="AL93" s="494" t="s">
        <v>99</v>
      </c>
      <c r="AM93" s="494"/>
      <c r="AP93" s="86" t="s">
        <v>112</v>
      </c>
      <c r="AQ93" s="89" t="s">
        <v>113</v>
      </c>
      <c r="AR93" s="89" t="s">
        <v>114</v>
      </c>
      <c r="AS93" s="89" t="s">
        <v>115</v>
      </c>
      <c r="AU93" s="81"/>
    </row>
    <row r="94" spans="1:47" x14ac:dyDescent="0.25">
      <c r="A94" s="84">
        <f>A93+1</f>
        <v>13</v>
      </c>
      <c r="B94" s="84" t="str">
        <f t="shared" si="27"/>
        <v xml:space="preserve">  </v>
      </c>
      <c r="C94" s="88" t="str">
        <f t="shared" ref="C94" si="40">B95</f>
        <v xml:space="preserve">  </v>
      </c>
      <c r="D94" s="82" t="str">
        <f>VLOOKUP(C94,STN_TABLE,2,FALSE)</f>
        <v xml:space="preserve">  </v>
      </c>
      <c r="E94" s="92">
        <v>1</v>
      </c>
      <c r="F94" s="82" t="e">
        <f>D94*E94</f>
        <v>#VALUE!</v>
      </c>
      <c r="G94" s="83" t="str">
        <f>C94</f>
        <v xml:space="preserve">  </v>
      </c>
      <c r="H94" s="83" t="e">
        <f>F94*G94</f>
        <v>#VALUE!</v>
      </c>
      <c r="I94" s="84" t="str">
        <f>CONCATENATE("a'(",C94,")=")</f>
        <v>a'(  )=</v>
      </c>
      <c r="J94" s="84" t="e">
        <f>2*J92/3*F95</f>
        <v>#VALUE!</v>
      </c>
      <c r="K94" s="84" t="e">
        <f>CONCATENATE("A(",C92,")=")</f>
        <v>#VALUE!</v>
      </c>
      <c r="L94" s="84" t="e">
        <f>VLOOKUP(C92,STN_TABLE,3,FALSE)</f>
        <v>#VALUE!</v>
      </c>
      <c r="M94" t="str">
        <f>CONCATENATE("A(",C94,")=")</f>
        <v>A(  )=</v>
      </c>
      <c r="N94" t="e">
        <f>J94+L94</f>
        <v>#VALUE!</v>
      </c>
      <c r="O94" s="99">
        <f>O93+1</f>
        <v>15</v>
      </c>
      <c r="P94" s="99" t="str">
        <f t="shared" si="23"/>
        <v xml:space="preserve">  </v>
      </c>
      <c r="Q94" s="82" t="e">
        <f>IF(P94-P93=P93-P92,P94,IF(P95-P93=P93-P92,P95,IF(P94-P93=P93-P91,P94,IF(P95-P93=P93-P91,P95,"-"))))</f>
        <v>#VALUE!</v>
      </c>
      <c r="R94" s="83" t="e">
        <f>VLOOKUP(Q94,STN_TABLE,2,FALSE)</f>
        <v>#VALUE!</v>
      </c>
      <c r="S94" s="83">
        <v>-1</v>
      </c>
      <c r="T94" s="82" t="e">
        <f>R94*S94</f>
        <v>#VALUE!</v>
      </c>
      <c r="U94" s="88">
        <v>-1</v>
      </c>
      <c r="V94" s="82" t="e">
        <f>R94*U94</f>
        <v>#VALUE!</v>
      </c>
      <c r="W94" s="84" t="str">
        <f>CONCATENATE("a'(",Q93,")=")</f>
        <v>a'(  )=</v>
      </c>
      <c r="X94" s="84" t="e">
        <f>2*X92/12*T95</f>
        <v>#VALUE!</v>
      </c>
      <c r="Y94" s="84" t="e">
        <f>CONCATENATE("A(",Q92,")=")</f>
        <v>#VALUE!</v>
      </c>
      <c r="Z94" s="84" t="e">
        <f>VLOOKUP(Q92,STN_TABLE,3,FALSE)</f>
        <v>#VALUE!</v>
      </c>
      <c r="AA94" t="str">
        <f>CONCATENATE("A(",Q93,")=")</f>
        <v>A(  )=</v>
      </c>
      <c r="AB94" t="e">
        <f>X94+Z94</f>
        <v>#VALUE!</v>
      </c>
      <c r="AC94" s="99">
        <f>AC93+1</f>
        <v>14</v>
      </c>
      <c r="AD94" s="100" t="str">
        <f>VLOOKUP(AC94,STN_TABLE_2,2,FALSE)</f>
        <v xml:space="preserve">  </v>
      </c>
      <c r="AE94" s="82" t="str">
        <f>VLOOKUP(AD94,STN_TABLE,2,FALSE)</f>
        <v xml:space="preserve">  </v>
      </c>
      <c r="AF94" s="82">
        <v>2</v>
      </c>
      <c r="AG94" s="83" t="e">
        <f>AE94*AF94</f>
        <v>#VALUE!</v>
      </c>
      <c r="AH94" s="84" t="str">
        <f>CONCATENATE("a'(",AD94,")=")</f>
        <v>a'(  )=</v>
      </c>
      <c r="AI94" s="84" t="e">
        <f>2*AI92/2*AE95</f>
        <v>#VALUE!</v>
      </c>
      <c r="AJ94" s="84" t="str">
        <f>CONCATENATE("A(",AD93,")=")</f>
        <v>A(  )=</v>
      </c>
      <c r="AK94" s="84" t="str">
        <f>VLOOKUP(AD93,STN_TABLE,3,FALSE)</f>
        <v xml:space="preserve"> </v>
      </c>
      <c r="AL94" t="str">
        <f>CONCATENATE("A(",AD94,")=")</f>
        <v>A(  )=</v>
      </c>
      <c r="AM94" t="e">
        <f>AI94+AK94</f>
        <v>#VALUE!</v>
      </c>
      <c r="AO94" s="68" t="str">
        <f>AA94</f>
        <v>A(  )=</v>
      </c>
      <c r="AP94" s="68" t="e">
        <f>VLOOKUP(AO94,Rise_Results,2,FALSE)</f>
        <v>#N/A</v>
      </c>
      <c r="AQ94" s="76" t="e">
        <f>N94</f>
        <v>#VALUE!</v>
      </c>
      <c r="AR94" s="76" t="e">
        <f>IF(OR(AB94&lt;=0,AB95&lt;=0),1/0,AB94)</f>
        <v>#VALUE!</v>
      </c>
      <c r="AS94" s="76" t="e">
        <f>AM94</f>
        <v>#VALUE!</v>
      </c>
      <c r="AT94" t="e">
        <f>IFERROR(AP94,IFERROR(AQ94,IFERROR(AR94,AS94)))</f>
        <v>#VALUE!</v>
      </c>
      <c r="AU94" s="81"/>
    </row>
    <row r="95" spans="1:47" x14ac:dyDescent="0.25">
      <c r="A95" s="84">
        <f>A94+1</f>
        <v>14</v>
      </c>
      <c r="B95" s="84" t="str">
        <f t="shared" si="27"/>
        <v xml:space="preserve">  </v>
      </c>
      <c r="F95" s="82" t="e">
        <f>SUM(F92:F94)</f>
        <v>#VALUE!</v>
      </c>
      <c r="H95" s="82" t="e">
        <f>SUM(H92:H94)</f>
        <v>#VALUE!</v>
      </c>
      <c r="I95" s="84" t="str">
        <f>CONCATENATE("m'(",C94,")=")</f>
        <v>m'(  )=</v>
      </c>
      <c r="J95" s="84" t="e">
        <f>2*(J92*(WLS))/3*H95</f>
        <v>#VALUE!</v>
      </c>
      <c r="K95" s="84" t="e">
        <f>CONCATENATE("M(",C92,")=")</f>
        <v>#VALUE!</v>
      </c>
      <c r="L95" s="84" t="e">
        <f>VLOOKUP(C92,STN_TABLE,4,FALSE)</f>
        <v>#VALUE!</v>
      </c>
      <c r="M95" t="str">
        <f>CONCATENATE("M(",C94,")=")</f>
        <v>M(  )=</v>
      </c>
      <c r="N95" t="e">
        <f>J95+L95</f>
        <v>#VALUE!</v>
      </c>
      <c r="O95" s="99">
        <f>O94+1</f>
        <v>16</v>
      </c>
      <c r="P95" s="99" t="str">
        <f t="shared" si="23"/>
        <v xml:space="preserve">  </v>
      </c>
      <c r="T95" s="89" t="e">
        <f>SUM(T92:T94)</f>
        <v>#VALUE!</v>
      </c>
      <c r="V95" s="82" t="e">
        <f>SUM(V92:V94)</f>
        <v>#VALUE!</v>
      </c>
      <c r="W95" s="84" t="str">
        <f>CONCATENATE("m'(",Q93,")=")</f>
        <v>m'(  )=</v>
      </c>
      <c r="X95" s="84" t="e">
        <f>(2*(X92^2)/24*V95)+(X94*Q92*WLS)</f>
        <v>#VALUE!</v>
      </c>
      <c r="Y95" s="84" t="e">
        <f>CONCATENATE("M(",Q92,")=")</f>
        <v>#VALUE!</v>
      </c>
      <c r="Z95" s="84" t="e">
        <f>VLOOKUP(Q92,STN_TABLE,4,FALSE)</f>
        <v>#VALUE!</v>
      </c>
      <c r="AA95" t="str">
        <f>CONCATENATE("M(",Q93,")=")</f>
        <v>M(  )=</v>
      </c>
      <c r="AB95" t="e">
        <f>X95+Z95</f>
        <v>#VALUE!</v>
      </c>
      <c r="AE95" s="89">
        <f>SUM(AE93:AE94)</f>
        <v>0</v>
      </c>
      <c r="AG95" s="89" t="e">
        <f>SUM(AG93:AG94)</f>
        <v>#VALUE!</v>
      </c>
      <c r="AH95" s="84" t="str">
        <f>CONCATENATE("m'(",AD94,")=")</f>
        <v>m'(  )=</v>
      </c>
      <c r="AI95" s="84" t="e">
        <f>(2*(AI92^2)/6*AG95)+(AI94*AD93*WLS)</f>
        <v>#VALUE!</v>
      </c>
      <c r="AJ95" s="84" t="str">
        <f>CONCATENATE("M(",AD93,")=")</f>
        <v>M(  )=</v>
      </c>
      <c r="AK95" s="84" t="str">
        <f>VLOOKUP(AD93,STN_TABLE,4,FALSE)</f>
        <v xml:space="preserve"> </v>
      </c>
      <c r="AL95" t="str">
        <f>CONCATENATE("M(",AD94,")=")</f>
        <v>M(  )=</v>
      </c>
      <c r="AM95" t="e">
        <f>AI95+AK95</f>
        <v>#VALUE!</v>
      </c>
      <c r="AO95" s="82" t="str">
        <f>AA95</f>
        <v>M(  )=</v>
      </c>
      <c r="AP95" s="82" t="e">
        <f>VLOOKUP(AO95,Rise_Results,2,FALSE)</f>
        <v>#N/A</v>
      </c>
      <c r="AQ95" s="82" t="e">
        <f>N95</f>
        <v>#VALUE!</v>
      </c>
      <c r="AR95" s="82" t="e">
        <f>IF(OR(AB94&lt;=0,AB95&lt;=0),1/0,AB95)</f>
        <v>#VALUE!</v>
      </c>
      <c r="AS95" s="82" t="e">
        <f>AM95</f>
        <v>#VALUE!</v>
      </c>
      <c r="AT95" t="e">
        <f>IFERROR(AP95,IFERROR(AQ95,IFERROR(AR95,AS95)))</f>
        <v>#VALUE!</v>
      </c>
      <c r="AU95" s="81"/>
    </row>
    <row r="96" spans="1:47" x14ac:dyDescent="0.25">
      <c r="A96" s="101">
        <f>A91+1</f>
        <v>11</v>
      </c>
      <c r="B96" s="101">
        <f t="shared" si="27"/>
        <v>6</v>
      </c>
      <c r="O96" s="101">
        <f>O91+1</f>
        <v>13</v>
      </c>
      <c r="P96" s="101" t="str">
        <f t="shared" si="23"/>
        <v xml:space="preserve">  </v>
      </c>
      <c r="AU96" s="81"/>
    </row>
    <row r="97" spans="1:47" x14ac:dyDescent="0.25">
      <c r="A97" s="84">
        <f>A96+1</f>
        <v>12</v>
      </c>
      <c r="B97" s="84">
        <f t="shared" si="27"/>
        <v>6.5</v>
      </c>
      <c r="C97" s="79" t="e">
        <f t="shared" ref="C97" si="41">IF(C98=B99,IF(C99-C98=C98-B98,B98,IF(C99-C98=C98-B97,B97,"#NA")),IF(C98=B98,IF(C99-C98=C98-B97,B97,IF(C99-C98=C98-B96,B96,"#NA")),"#NA"))</f>
        <v>#VALUE!</v>
      </c>
      <c r="D97" s="68" t="e">
        <f>VLOOKUP(C97,STN_TABLE,2,FALSE)</f>
        <v>#VALUE!</v>
      </c>
      <c r="E97" s="102">
        <v>1</v>
      </c>
      <c r="F97" s="68" t="e">
        <f>D97*E97</f>
        <v>#VALUE!</v>
      </c>
      <c r="G97" s="69" t="e">
        <f>C97</f>
        <v>#VALUE!</v>
      </c>
      <c r="H97" s="69" t="e">
        <f>F97*G97</f>
        <v>#VALUE!</v>
      </c>
      <c r="I97" s="6" t="s">
        <v>93</v>
      </c>
      <c r="J97" s="70" t="e">
        <f>IF(OR(D97=0,D98=0,D99=0),"#NA",IF(AND(C99-C98=C98-C97,C98&lt;&gt;C99,C97&lt;&gt;C98,C97&lt;&gt;C99,D99&lt;&gt;0,OR(D97&lt;&gt;0,D98&lt;&gt;0)),WLS*(C99-C98),"#NA"))</f>
        <v>#VALUE!</v>
      </c>
      <c r="O97" s="99">
        <f>O96+1</f>
        <v>14</v>
      </c>
      <c r="P97" s="99" t="str">
        <f t="shared" si="23"/>
        <v xml:space="preserve">  </v>
      </c>
      <c r="Q97" s="68" t="e">
        <f>IF(OR(P99-P98=P98-P97,P100-P98=P98-P97),P97,IF(OR(P99-P98=P98-P96,P100-P98=P98-P96),P96,"-"))</f>
        <v>#VALUE!</v>
      </c>
      <c r="R97" s="69" t="e">
        <f>VLOOKUP(Q97,STN_TABLE,2,FALSE)</f>
        <v>#VALUE!</v>
      </c>
      <c r="S97" s="69">
        <v>5</v>
      </c>
      <c r="T97" s="68" t="e">
        <f>R97*S97</f>
        <v>#VALUE!</v>
      </c>
      <c r="U97" s="79">
        <v>3</v>
      </c>
      <c r="V97" s="68" t="e">
        <f>R97*U97</f>
        <v>#VALUE!</v>
      </c>
      <c r="W97" s="6" t="s">
        <v>93</v>
      </c>
      <c r="X97" s="70" t="e">
        <f>IF(AND(Q99-Q98=Q98-Q97,NOT(AND(Q97=0,Q98=0)),NOT(AND(Q98=0,Q99=0))),WLS*(Q99-Q98),"#NA")</f>
        <v>#VALUE!</v>
      </c>
      <c r="AD97" s="93"/>
      <c r="AH97" s="6" t="s">
        <v>93</v>
      </c>
      <c r="AI97" s="70" t="e">
        <f>WLS*(AD99-AD98)</f>
        <v>#VALUE!</v>
      </c>
      <c r="AU97" s="81"/>
    </row>
    <row r="98" spans="1:47" x14ac:dyDescent="0.25">
      <c r="A98" s="84">
        <f>A97+1</f>
        <v>13</v>
      </c>
      <c r="B98" s="84" t="str">
        <f t="shared" si="27"/>
        <v xml:space="preserve">  </v>
      </c>
      <c r="C98" s="80" t="e">
        <f t="shared" ref="C98" si="42">IF(OR(B100-B99=B99-B98,B100-B99=B99-B97,B100-B99=B99-B96),B99,IF(OR(B100-B98=B98-B97,B100-B98=B98-B96),B98,IF(B100-B97=B97-B96,B97,"#NA")))</f>
        <v>#VALUE!</v>
      </c>
      <c r="D98" s="76" t="e">
        <f>VLOOKUP(C98,STN_TABLE,2,FALSE)</f>
        <v>#VALUE!</v>
      </c>
      <c r="E98" s="81">
        <v>4</v>
      </c>
      <c r="F98" s="76" t="e">
        <f>D98*E98</f>
        <v>#VALUE!</v>
      </c>
      <c r="G98" s="77" t="e">
        <f>C98</f>
        <v>#VALUE!</v>
      </c>
      <c r="H98" s="77" t="e">
        <f>F98*G98</f>
        <v>#VALUE!</v>
      </c>
      <c r="I98" s="495" t="s">
        <v>97</v>
      </c>
      <c r="J98" s="496"/>
      <c r="K98" s="78" t="s">
        <v>98</v>
      </c>
      <c r="L98" s="78"/>
      <c r="M98" s="7" t="s">
        <v>99</v>
      </c>
      <c r="N98" s="7"/>
      <c r="O98" s="99">
        <f>O97+1</f>
        <v>15</v>
      </c>
      <c r="P98" s="99" t="str">
        <f t="shared" si="23"/>
        <v xml:space="preserve">  </v>
      </c>
      <c r="Q98" s="76" t="str">
        <f>P98</f>
        <v xml:space="preserve">  </v>
      </c>
      <c r="R98" s="77" t="str">
        <f>VLOOKUP(Q98,STN_TABLE,2,FALSE)</f>
        <v xml:space="preserve">  </v>
      </c>
      <c r="S98" s="77">
        <v>8</v>
      </c>
      <c r="T98" s="76" t="e">
        <f>R98*S98</f>
        <v>#VALUE!</v>
      </c>
      <c r="U98" s="80">
        <v>10</v>
      </c>
      <c r="V98" s="76" t="e">
        <f>R98*U98</f>
        <v>#VALUE!</v>
      </c>
      <c r="W98" s="496" t="s">
        <v>97</v>
      </c>
      <c r="X98" s="496"/>
      <c r="Y98" s="496" t="s">
        <v>98</v>
      </c>
      <c r="Z98" s="496"/>
      <c r="AA98" s="494" t="s">
        <v>99</v>
      </c>
      <c r="AB98" s="494"/>
      <c r="AC98" s="99">
        <f>AC93+1</f>
        <v>14</v>
      </c>
      <c r="AD98" s="95" t="str">
        <f>VLOOKUP(AC98,STN_TABLE_2,2,FALSE)</f>
        <v xml:space="preserve">  </v>
      </c>
      <c r="AE98" s="68" t="str">
        <f>VLOOKUP(AD98,STN_TABLE,2,FALSE)</f>
        <v xml:space="preserve">  </v>
      </c>
      <c r="AF98" s="68">
        <v>1</v>
      </c>
      <c r="AG98" s="69" t="e">
        <f>AE98*AF98</f>
        <v>#VALUE!</v>
      </c>
      <c r="AH98" s="496" t="s">
        <v>97</v>
      </c>
      <c r="AI98" s="496"/>
      <c r="AJ98" s="496" t="s">
        <v>98</v>
      </c>
      <c r="AK98" s="496"/>
      <c r="AL98" s="494" t="s">
        <v>99</v>
      </c>
      <c r="AM98" s="494"/>
      <c r="AP98" s="86" t="s">
        <v>112</v>
      </c>
      <c r="AQ98" s="89" t="s">
        <v>113</v>
      </c>
      <c r="AR98" s="89" t="s">
        <v>114</v>
      </c>
      <c r="AS98" s="89" t="s">
        <v>115</v>
      </c>
      <c r="AU98" s="81"/>
    </row>
    <row r="99" spans="1:47" x14ac:dyDescent="0.25">
      <c r="A99" s="84">
        <f>A98+1</f>
        <v>14</v>
      </c>
      <c r="B99" s="84" t="str">
        <f t="shared" si="27"/>
        <v xml:space="preserve">  </v>
      </c>
      <c r="C99" s="88" t="str">
        <f t="shared" ref="C99" si="43">B100</f>
        <v xml:space="preserve">  </v>
      </c>
      <c r="D99" s="82" t="str">
        <f>VLOOKUP(C99,STN_TABLE,2,FALSE)</f>
        <v xml:space="preserve">  </v>
      </c>
      <c r="E99" s="92">
        <v>1</v>
      </c>
      <c r="F99" s="82" t="e">
        <f>D99*E99</f>
        <v>#VALUE!</v>
      </c>
      <c r="G99" s="83" t="str">
        <f>C99</f>
        <v xml:space="preserve">  </v>
      </c>
      <c r="H99" s="83" t="e">
        <f>F99*G99</f>
        <v>#VALUE!</v>
      </c>
      <c r="I99" s="84" t="str">
        <f>CONCATENATE("a'(",C99,")=")</f>
        <v>a'(  )=</v>
      </c>
      <c r="J99" s="84" t="e">
        <f>2*J97/3*F100</f>
        <v>#VALUE!</v>
      </c>
      <c r="K99" s="84" t="e">
        <f>CONCATENATE("A(",C97,")=")</f>
        <v>#VALUE!</v>
      </c>
      <c r="L99" s="84" t="e">
        <f>VLOOKUP(C97,STN_TABLE,3,FALSE)</f>
        <v>#VALUE!</v>
      </c>
      <c r="M99" t="str">
        <f>CONCATENATE("A(",C99,")=")</f>
        <v>A(  )=</v>
      </c>
      <c r="N99" t="e">
        <f>J99+L99</f>
        <v>#VALUE!</v>
      </c>
      <c r="O99" s="99">
        <f>O98+1</f>
        <v>16</v>
      </c>
      <c r="P99" s="99" t="str">
        <f t="shared" si="23"/>
        <v xml:space="preserve">  </v>
      </c>
      <c r="Q99" s="82" t="e">
        <f>IF(P99-P98=P98-P97,P99,IF(P100-P98=P98-P97,P100,IF(P99-P98=P98-P96,P99,IF(P100-P98=P98-P96,P100,"-"))))</f>
        <v>#VALUE!</v>
      </c>
      <c r="R99" s="83" t="e">
        <f>VLOOKUP(Q99,STN_TABLE,2,FALSE)</f>
        <v>#VALUE!</v>
      </c>
      <c r="S99" s="83">
        <v>-1</v>
      </c>
      <c r="T99" s="82" t="e">
        <f>R99*S99</f>
        <v>#VALUE!</v>
      </c>
      <c r="U99" s="88">
        <v>-1</v>
      </c>
      <c r="V99" s="82" t="e">
        <f>R99*U99</f>
        <v>#VALUE!</v>
      </c>
      <c r="W99" s="84" t="str">
        <f>CONCATENATE("a'(",Q98,")=")</f>
        <v>a'(  )=</v>
      </c>
      <c r="X99" s="84" t="e">
        <f>2*X97/12*T100</f>
        <v>#VALUE!</v>
      </c>
      <c r="Y99" s="84" t="e">
        <f>CONCATENATE("A(",Q97,")=")</f>
        <v>#VALUE!</v>
      </c>
      <c r="Z99" s="84" t="e">
        <f>VLOOKUP(Q97,STN_TABLE,3,FALSE)</f>
        <v>#VALUE!</v>
      </c>
      <c r="AA99" t="str">
        <f>CONCATENATE("A(",Q98,")=")</f>
        <v>A(  )=</v>
      </c>
      <c r="AB99" t="e">
        <f>X99+Z99</f>
        <v>#VALUE!</v>
      </c>
      <c r="AC99" s="99">
        <f>AC98+1</f>
        <v>15</v>
      </c>
      <c r="AD99" s="100" t="str">
        <f>VLOOKUP(AC99,STN_TABLE_2,2,FALSE)</f>
        <v xml:space="preserve">  </v>
      </c>
      <c r="AE99" s="82" t="str">
        <f>VLOOKUP(AD99,STN_TABLE,2,FALSE)</f>
        <v xml:space="preserve">  </v>
      </c>
      <c r="AF99" s="82">
        <v>2</v>
      </c>
      <c r="AG99" s="83" t="e">
        <f>AE99*AF99</f>
        <v>#VALUE!</v>
      </c>
      <c r="AH99" s="84" t="str">
        <f>CONCATENATE("a'(",AD99,")=")</f>
        <v>a'(  )=</v>
      </c>
      <c r="AI99" s="84" t="e">
        <f>2*AI97/2*AE100</f>
        <v>#VALUE!</v>
      </c>
      <c r="AJ99" s="84" t="str">
        <f>CONCATENATE("A(",AD98,")=")</f>
        <v>A(  )=</v>
      </c>
      <c r="AK99" s="84" t="str">
        <f>VLOOKUP(AD98,STN_TABLE,3,FALSE)</f>
        <v xml:space="preserve"> </v>
      </c>
      <c r="AL99" t="str">
        <f>CONCATENATE("A(",AD99,")=")</f>
        <v>A(  )=</v>
      </c>
      <c r="AM99" t="e">
        <f>AI99+AK99</f>
        <v>#VALUE!</v>
      </c>
      <c r="AO99" s="68" t="str">
        <f>AA99</f>
        <v>A(  )=</v>
      </c>
      <c r="AP99" s="68" t="e">
        <f>VLOOKUP(AO99,Rise_Results,2,FALSE)</f>
        <v>#N/A</v>
      </c>
      <c r="AQ99" s="76" t="e">
        <f>N99</f>
        <v>#VALUE!</v>
      </c>
      <c r="AR99" s="76" t="e">
        <f>IF(OR(AB99&lt;=0,AB100&lt;=0),1/0,AB99)</f>
        <v>#VALUE!</v>
      </c>
      <c r="AS99" s="76" t="e">
        <f>AM99</f>
        <v>#VALUE!</v>
      </c>
      <c r="AT99" t="e">
        <f>IFERROR(AP99,IFERROR(AQ99,IFERROR(AR99,AS99)))</f>
        <v>#VALUE!</v>
      </c>
      <c r="AU99" s="81"/>
    </row>
    <row r="100" spans="1:47" x14ac:dyDescent="0.25">
      <c r="A100" s="84">
        <f>A99+1</f>
        <v>15</v>
      </c>
      <c r="B100" s="84" t="str">
        <f t="shared" si="27"/>
        <v xml:space="preserve">  </v>
      </c>
      <c r="F100" s="82" t="e">
        <f>SUM(F97:F99)</f>
        <v>#VALUE!</v>
      </c>
      <c r="H100" s="82" t="e">
        <f>SUM(H97:H99)</f>
        <v>#VALUE!</v>
      </c>
      <c r="I100" s="84" t="str">
        <f>CONCATENATE("m'(",C99,")=")</f>
        <v>m'(  )=</v>
      </c>
      <c r="J100" s="84" t="e">
        <f>2*(J97*(WLS))/3*H100</f>
        <v>#VALUE!</v>
      </c>
      <c r="K100" s="84" t="e">
        <f>CONCATENATE("M(",C97,")=")</f>
        <v>#VALUE!</v>
      </c>
      <c r="L100" s="84" t="e">
        <f>VLOOKUP(C97,STN_TABLE,4,FALSE)</f>
        <v>#VALUE!</v>
      </c>
      <c r="M100" t="str">
        <f>CONCATENATE("M(",C99,")=")</f>
        <v>M(  )=</v>
      </c>
      <c r="N100" t="e">
        <f>J100+L100</f>
        <v>#VALUE!</v>
      </c>
      <c r="O100" s="99">
        <f>O99+1</f>
        <v>17</v>
      </c>
      <c r="P100" s="99" t="str">
        <f t="shared" ref="P100:P131" si="44">VLOOKUP(O100,STN_TABLE_2,2,FALSE)</f>
        <v xml:space="preserve">  </v>
      </c>
      <c r="T100" s="89" t="e">
        <f>SUM(T97:T99)</f>
        <v>#VALUE!</v>
      </c>
      <c r="V100" s="82" t="e">
        <f>SUM(V97:V99)</f>
        <v>#VALUE!</v>
      </c>
      <c r="W100" s="84" t="str">
        <f>CONCATENATE("m'(",Q98,")=")</f>
        <v>m'(  )=</v>
      </c>
      <c r="X100" s="84" t="e">
        <f>(2*(X97^2)/24*V100)+(X99*Q97*WLS)</f>
        <v>#VALUE!</v>
      </c>
      <c r="Y100" s="84" t="e">
        <f>CONCATENATE("M(",Q97,")=")</f>
        <v>#VALUE!</v>
      </c>
      <c r="Z100" s="84" t="e">
        <f>VLOOKUP(Q97,STN_TABLE,4,FALSE)</f>
        <v>#VALUE!</v>
      </c>
      <c r="AA100" t="str">
        <f>CONCATENATE("M(",Q98,")=")</f>
        <v>M(  )=</v>
      </c>
      <c r="AB100" t="e">
        <f>X100+Z100</f>
        <v>#VALUE!</v>
      </c>
      <c r="AE100" s="89">
        <f>SUM(AE98:AE99)</f>
        <v>0</v>
      </c>
      <c r="AG100" s="89" t="e">
        <f>SUM(AG98:AG99)</f>
        <v>#VALUE!</v>
      </c>
      <c r="AH100" s="84" t="str">
        <f>CONCATENATE("m'(",AD99,")=")</f>
        <v>m'(  )=</v>
      </c>
      <c r="AI100" s="84" t="e">
        <f>(2*(AI97^2)/6*AG100)+(AI99*AD98*WLS)</f>
        <v>#VALUE!</v>
      </c>
      <c r="AJ100" s="84" t="str">
        <f>CONCATENATE("M(",AD98,")=")</f>
        <v>M(  )=</v>
      </c>
      <c r="AK100" s="84" t="str">
        <f>VLOOKUP(AD98,STN_TABLE,4,FALSE)</f>
        <v xml:space="preserve"> </v>
      </c>
      <c r="AL100" t="str">
        <f>CONCATENATE("M(",AD99,")=")</f>
        <v>M(  )=</v>
      </c>
      <c r="AM100" t="e">
        <f>AI100+AK100</f>
        <v>#VALUE!</v>
      </c>
      <c r="AO100" s="82" t="str">
        <f>AA100</f>
        <v>M(  )=</v>
      </c>
      <c r="AP100" s="82" t="e">
        <f>VLOOKUP(AO100,Rise_Results,2,FALSE)</f>
        <v>#N/A</v>
      </c>
      <c r="AQ100" s="82" t="e">
        <f>N100</f>
        <v>#VALUE!</v>
      </c>
      <c r="AR100" s="82" t="e">
        <f>IF(OR(AB99&lt;=0,AB100&lt;=0),1/0,AB100)</f>
        <v>#VALUE!</v>
      </c>
      <c r="AS100" s="82" t="e">
        <f>AM100</f>
        <v>#VALUE!</v>
      </c>
      <c r="AT100" t="e">
        <f>IFERROR(AP100,IFERROR(AQ100,IFERROR(AR100,AS100)))</f>
        <v>#VALUE!</v>
      </c>
      <c r="AU100" s="81"/>
    </row>
    <row r="101" spans="1:47" x14ac:dyDescent="0.25">
      <c r="A101" s="101">
        <f>A96+1</f>
        <v>12</v>
      </c>
      <c r="B101" s="101">
        <f t="shared" si="27"/>
        <v>6.5</v>
      </c>
      <c r="O101" s="101">
        <f>O96+1</f>
        <v>14</v>
      </c>
      <c r="P101" s="101" t="str">
        <f t="shared" si="44"/>
        <v xml:space="preserve">  </v>
      </c>
      <c r="AU101" s="81"/>
    </row>
    <row r="102" spans="1:47" x14ac:dyDescent="0.25">
      <c r="A102" s="84">
        <f>A101+1</f>
        <v>13</v>
      </c>
      <c r="B102" s="84" t="str">
        <f t="shared" si="27"/>
        <v xml:space="preserve">  </v>
      </c>
      <c r="C102" s="79" t="e">
        <f t="shared" ref="C102" si="45">IF(C103=B104,IF(C104-C103=C103-B103,B103,IF(C104-C103=C103-B102,B102,"#NA")),IF(C103=B103,IF(C104-C103=C103-B102,B102,IF(C104-C103=C103-B101,B101,"#NA")),"#NA"))</f>
        <v>#VALUE!</v>
      </c>
      <c r="D102" s="68" t="e">
        <f>VLOOKUP(C102,STN_TABLE,2,FALSE)</f>
        <v>#VALUE!</v>
      </c>
      <c r="E102" s="102">
        <v>1</v>
      </c>
      <c r="F102" s="68" t="e">
        <f>D102*E102</f>
        <v>#VALUE!</v>
      </c>
      <c r="G102" s="69" t="e">
        <f>C102</f>
        <v>#VALUE!</v>
      </c>
      <c r="H102" s="69" t="e">
        <f>F102*G102</f>
        <v>#VALUE!</v>
      </c>
      <c r="I102" s="6" t="s">
        <v>93</v>
      </c>
      <c r="J102" s="70" t="e">
        <f>IF(OR(D102=0,D103=0,D104=0),"#NA",IF(AND(C104-C103=C103-C102,C103&lt;&gt;C104,C102&lt;&gt;C103,C102&lt;&gt;C104,D104&lt;&gt;0,OR(D102&lt;&gt;0,D103&lt;&gt;0)),WLS*(C104-C103),"#NA"))</f>
        <v>#VALUE!</v>
      </c>
      <c r="O102" s="99">
        <f>O101+1</f>
        <v>15</v>
      </c>
      <c r="P102" s="99" t="str">
        <f t="shared" si="44"/>
        <v xml:space="preserve">  </v>
      </c>
      <c r="Q102" s="68" t="e">
        <f>IF(OR(P104-P103=P103-P102,P105-P103=P103-P102),P102,IF(OR(P104-P103=P103-P101,P105-P103=P103-P101),P101,"-"))</f>
        <v>#VALUE!</v>
      </c>
      <c r="R102" s="69" t="e">
        <f>VLOOKUP(Q102,STN_TABLE,2,FALSE)</f>
        <v>#VALUE!</v>
      </c>
      <c r="S102" s="69">
        <v>5</v>
      </c>
      <c r="T102" s="68" t="e">
        <f>R102*S102</f>
        <v>#VALUE!</v>
      </c>
      <c r="U102" s="79">
        <v>3</v>
      </c>
      <c r="V102" s="68" t="e">
        <f>R102*U102</f>
        <v>#VALUE!</v>
      </c>
      <c r="W102" s="6" t="s">
        <v>93</v>
      </c>
      <c r="X102" s="70" t="e">
        <f>IF(AND(Q104-Q103=Q103-Q102,NOT(AND(Q102=0,Q103=0)),NOT(AND(Q103=0,Q104=0))),WLS*(Q104-Q103),"#NA")</f>
        <v>#VALUE!</v>
      </c>
      <c r="AD102" s="93"/>
      <c r="AH102" s="6" t="s">
        <v>93</v>
      </c>
      <c r="AI102" s="70" t="e">
        <f>WLS*(AD104-AD103)</f>
        <v>#VALUE!</v>
      </c>
      <c r="AU102" s="81"/>
    </row>
    <row r="103" spans="1:47" x14ac:dyDescent="0.25">
      <c r="A103" s="84">
        <f>A102+1</f>
        <v>14</v>
      </c>
      <c r="B103" s="84" t="str">
        <f t="shared" si="27"/>
        <v xml:space="preserve">  </v>
      </c>
      <c r="C103" s="80" t="e">
        <f t="shared" ref="C103" si="46">IF(OR(B105-B104=B104-B103,B105-B104=B104-B102,B105-B104=B104-B101),B104,IF(OR(B105-B103=B103-B102,B105-B103=B103-B101),B103,IF(B105-B102=B102-B101,B102,"#NA")))</f>
        <v>#VALUE!</v>
      </c>
      <c r="D103" s="76" t="e">
        <f>VLOOKUP(C103,STN_TABLE,2,FALSE)</f>
        <v>#VALUE!</v>
      </c>
      <c r="E103" s="81">
        <v>4</v>
      </c>
      <c r="F103" s="76" t="e">
        <f>D103*E103</f>
        <v>#VALUE!</v>
      </c>
      <c r="G103" s="77" t="e">
        <f>C103</f>
        <v>#VALUE!</v>
      </c>
      <c r="H103" s="77" t="e">
        <f>F103*G103</f>
        <v>#VALUE!</v>
      </c>
      <c r="I103" s="495" t="s">
        <v>97</v>
      </c>
      <c r="J103" s="496"/>
      <c r="K103" s="78" t="s">
        <v>98</v>
      </c>
      <c r="L103" s="78"/>
      <c r="M103" s="7" t="s">
        <v>99</v>
      </c>
      <c r="N103" s="7"/>
      <c r="O103" s="99">
        <f>O102+1</f>
        <v>16</v>
      </c>
      <c r="P103" s="99" t="str">
        <f t="shared" si="44"/>
        <v xml:space="preserve">  </v>
      </c>
      <c r="Q103" s="76" t="str">
        <f>P103</f>
        <v xml:space="preserve">  </v>
      </c>
      <c r="R103" s="77" t="str">
        <f>VLOOKUP(Q103,STN_TABLE,2,FALSE)</f>
        <v xml:space="preserve">  </v>
      </c>
      <c r="S103" s="77">
        <v>8</v>
      </c>
      <c r="T103" s="76" t="e">
        <f>R103*S103</f>
        <v>#VALUE!</v>
      </c>
      <c r="U103" s="80">
        <v>10</v>
      </c>
      <c r="V103" s="76" t="e">
        <f>R103*U103</f>
        <v>#VALUE!</v>
      </c>
      <c r="W103" s="496" t="s">
        <v>97</v>
      </c>
      <c r="X103" s="496"/>
      <c r="Y103" s="496" t="s">
        <v>98</v>
      </c>
      <c r="Z103" s="496"/>
      <c r="AA103" s="494" t="s">
        <v>99</v>
      </c>
      <c r="AB103" s="494"/>
      <c r="AC103" s="99">
        <f>AC98+1</f>
        <v>15</v>
      </c>
      <c r="AD103" s="95" t="str">
        <f>VLOOKUP(AC103,STN_TABLE_2,2,FALSE)</f>
        <v xml:space="preserve">  </v>
      </c>
      <c r="AE103" s="68" t="str">
        <f>VLOOKUP(AD103,STN_TABLE,2,FALSE)</f>
        <v xml:space="preserve">  </v>
      </c>
      <c r="AF103" s="68">
        <v>1</v>
      </c>
      <c r="AG103" s="69" t="e">
        <f>AE103*AF103</f>
        <v>#VALUE!</v>
      </c>
      <c r="AH103" s="496" t="s">
        <v>97</v>
      </c>
      <c r="AI103" s="496"/>
      <c r="AJ103" s="496" t="s">
        <v>98</v>
      </c>
      <c r="AK103" s="496"/>
      <c r="AL103" s="494" t="s">
        <v>99</v>
      </c>
      <c r="AM103" s="494"/>
      <c r="AP103" s="86" t="s">
        <v>112</v>
      </c>
      <c r="AQ103" s="89" t="s">
        <v>113</v>
      </c>
      <c r="AR103" s="89" t="s">
        <v>114</v>
      </c>
      <c r="AS103" s="89" t="s">
        <v>115</v>
      </c>
      <c r="AU103" s="81"/>
    </row>
    <row r="104" spans="1:47" x14ac:dyDescent="0.25">
      <c r="A104" s="84">
        <f>A103+1</f>
        <v>15</v>
      </c>
      <c r="B104" s="84" t="str">
        <f t="shared" si="27"/>
        <v xml:space="preserve">  </v>
      </c>
      <c r="C104" s="88" t="str">
        <f t="shared" ref="C104" si="47">B105</f>
        <v xml:space="preserve">  </v>
      </c>
      <c r="D104" s="82" t="str">
        <f>VLOOKUP(C104,STN_TABLE,2,FALSE)</f>
        <v xml:space="preserve">  </v>
      </c>
      <c r="E104" s="92">
        <v>1</v>
      </c>
      <c r="F104" s="82" t="e">
        <f>D104*E104</f>
        <v>#VALUE!</v>
      </c>
      <c r="G104" s="83" t="str">
        <f>C104</f>
        <v xml:space="preserve">  </v>
      </c>
      <c r="H104" s="83" t="e">
        <f>F104*G104</f>
        <v>#VALUE!</v>
      </c>
      <c r="I104" s="84" t="str">
        <f>CONCATENATE("a'(",C104,")=")</f>
        <v>a'(  )=</v>
      </c>
      <c r="J104" s="84" t="e">
        <f>2*J102/3*F105</f>
        <v>#VALUE!</v>
      </c>
      <c r="K104" s="84" t="e">
        <f>CONCATENATE("A(",C102,")=")</f>
        <v>#VALUE!</v>
      </c>
      <c r="L104" s="84" t="e">
        <f>VLOOKUP(C102,STN_TABLE,3,FALSE)</f>
        <v>#VALUE!</v>
      </c>
      <c r="M104" t="str">
        <f>CONCATENATE("A(",C104,")=")</f>
        <v>A(  )=</v>
      </c>
      <c r="N104" t="e">
        <f>J104+L104</f>
        <v>#VALUE!</v>
      </c>
      <c r="O104" s="99">
        <f>O103+1</f>
        <v>17</v>
      </c>
      <c r="P104" s="99" t="str">
        <f t="shared" si="44"/>
        <v xml:space="preserve">  </v>
      </c>
      <c r="Q104" s="82" t="e">
        <f>IF(P104-P103=P103-P102,P104,IF(P105-P103=P103-P102,P105,IF(P104-P103=P103-P101,P104,IF(P105-P103=P103-P101,P105,"-"))))</f>
        <v>#VALUE!</v>
      </c>
      <c r="R104" s="83" t="e">
        <f>VLOOKUP(Q104,STN_TABLE,2,FALSE)</f>
        <v>#VALUE!</v>
      </c>
      <c r="S104" s="83">
        <v>-1</v>
      </c>
      <c r="T104" s="82" t="e">
        <f>R104*S104</f>
        <v>#VALUE!</v>
      </c>
      <c r="U104" s="88">
        <v>-1</v>
      </c>
      <c r="V104" s="82" t="e">
        <f>R104*U104</f>
        <v>#VALUE!</v>
      </c>
      <c r="W104" s="84" t="str">
        <f>CONCATENATE("a'(",Q103,")=")</f>
        <v>a'(  )=</v>
      </c>
      <c r="X104" s="84" t="e">
        <f>2*X102/12*T105</f>
        <v>#VALUE!</v>
      </c>
      <c r="Y104" s="84" t="e">
        <f>CONCATENATE("A(",Q102,")=")</f>
        <v>#VALUE!</v>
      </c>
      <c r="Z104" s="84" t="e">
        <f>VLOOKUP(Q102,STN_TABLE,3,FALSE)</f>
        <v>#VALUE!</v>
      </c>
      <c r="AA104" t="str">
        <f>CONCATENATE("A(",Q103,")=")</f>
        <v>A(  )=</v>
      </c>
      <c r="AB104" t="e">
        <f>X104+Z104</f>
        <v>#VALUE!</v>
      </c>
      <c r="AC104" s="99">
        <f>AC103+1</f>
        <v>16</v>
      </c>
      <c r="AD104" s="100" t="str">
        <f>VLOOKUP(AC104,STN_TABLE_2,2,FALSE)</f>
        <v xml:space="preserve">  </v>
      </c>
      <c r="AE104" s="82" t="str">
        <f>VLOOKUP(AD104,STN_TABLE,2,FALSE)</f>
        <v xml:space="preserve">  </v>
      </c>
      <c r="AF104" s="82">
        <v>2</v>
      </c>
      <c r="AG104" s="83" t="e">
        <f>AE104*AF104</f>
        <v>#VALUE!</v>
      </c>
      <c r="AH104" s="84" t="str">
        <f>CONCATENATE("a'(",AD104,")=")</f>
        <v>a'(  )=</v>
      </c>
      <c r="AI104" s="84" t="e">
        <f>2*AI102/2*AE105</f>
        <v>#VALUE!</v>
      </c>
      <c r="AJ104" s="84" t="str">
        <f>CONCATENATE("A(",AD103,")=")</f>
        <v>A(  )=</v>
      </c>
      <c r="AK104" s="84" t="str">
        <f>VLOOKUP(AD103,STN_TABLE,3,FALSE)</f>
        <v xml:space="preserve"> </v>
      </c>
      <c r="AL104" t="str">
        <f>CONCATENATE("A(",AD104,")=")</f>
        <v>A(  )=</v>
      </c>
      <c r="AM104" t="e">
        <f>AI104+AK104</f>
        <v>#VALUE!</v>
      </c>
      <c r="AO104" s="68" t="str">
        <f>AA104</f>
        <v>A(  )=</v>
      </c>
      <c r="AP104" s="68" t="e">
        <f>VLOOKUP(AO104,Rise_Results,2,FALSE)</f>
        <v>#N/A</v>
      </c>
      <c r="AQ104" s="76" t="e">
        <f>N104</f>
        <v>#VALUE!</v>
      </c>
      <c r="AR104" s="76" t="e">
        <f>IF(OR(AB104&lt;=0,AB105&lt;=0),1/0,AB104)</f>
        <v>#VALUE!</v>
      </c>
      <c r="AS104" s="76" t="e">
        <f>AM104</f>
        <v>#VALUE!</v>
      </c>
      <c r="AT104" t="e">
        <f>IFERROR(AP104,IFERROR(AQ104,IFERROR(AR104,AS104)))</f>
        <v>#VALUE!</v>
      </c>
      <c r="AU104" s="81"/>
    </row>
    <row r="105" spans="1:47" x14ac:dyDescent="0.25">
      <c r="A105" s="84">
        <f>A104+1</f>
        <v>16</v>
      </c>
      <c r="B105" s="84" t="str">
        <f t="shared" si="27"/>
        <v xml:space="preserve">  </v>
      </c>
      <c r="F105" s="82" t="e">
        <f>SUM(F102:F104)</f>
        <v>#VALUE!</v>
      </c>
      <c r="H105" s="82" t="e">
        <f>SUM(H102:H104)</f>
        <v>#VALUE!</v>
      </c>
      <c r="I105" s="84" t="str">
        <f>CONCATENATE("m'(",C104,")=")</f>
        <v>m'(  )=</v>
      </c>
      <c r="J105" s="84" t="e">
        <f>2*(J102*(WLS))/3*H105</f>
        <v>#VALUE!</v>
      </c>
      <c r="K105" s="84" t="e">
        <f>CONCATENATE("M(",C102,")=")</f>
        <v>#VALUE!</v>
      </c>
      <c r="L105" s="84" t="e">
        <f>VLOOKUP(C102,STN_TABLE,4,FALSE)</f>
        <v>#VALUE!</v>
      </c>
      <c r="M105" t="str">
        <f>CONCATENATE("M(",C104,")=")</f>
        <v>M(  )=</v>
      </c>
      <c r="N105" t="e">
        <f>J105+L105</f>
        <v>#VALUE!</v>
      </c>
      <c r="O105" s="99">
        <f>O104+1</f>
        <v>18</v>
      </c>
      <c r="P105" s="99" t="str">
        <f t="shared" si="44"/>
        <v xml:space="preserve">  </v>
      </c>
      <c r="T105" s="89" t="e">
        <f>SUM(T102:T104)</f>
        <v>#VALUE!</v>
      </c>
      <c r="V105" s="82" t="e">
        <f>SUM(V102:V104)</f>
        <v>#VALUE!</v>
      </c>
      <c r="W105" s="84" t="str">
        <f>CONCATENATE("m'(",Q103,")=")</f>
        <v>m'(  )=</v>
      </c>
      <c r="X105" s="84" t="e">
        <f>(2*(X102^2)/24*V105)+(X104*Q102*WLS)</f>
        <v>#VALUE!</v>
      </c>
      <c r="Y105" s="84" t="e">
        <f>CONCATENATE("M(",Q102,")=")</f>
        <v>#VALUE!</v>
      </c>
      <c r="Z105" s="84" t="e">
        <f>VLOOKUP(Q102,STN_TABLE,4,FALSE)</f>
        <v>#VALUE!</v>
      </c>
      <c r="AA105" t="str">
        <f>CONCATENATE("M(",Q103,")=")</f>
        <v>M(  )=</v>
      </c>
      <c r="AB105" t="e">
        <f>X105+Z105</f>
        <v>#VALUE!</v>
      </c>
      <c r="AE105" s="89">
        <f>SUM(AE103:AE104)</f>
        <v>0</v>
      </c>
      <c r="AG105" s="89" t="e">
        <f>SUM(AG103:AG104)</f>
        <v>#VALUE!</v>
      </c>
      <c r="AH105" s="84" t="str">
        <f>CONCATENATE("m'(",AD104,")=")</f>
        <v>m'(  )=</v>
      </c>
      <c r="AI105" s="84" t="e">
        <f>(2*(AI102^2)/6*AG105)+(AI104*AD103*WLS)</f>
        <v>#VALUE!</v>
      </c>
      <c r="AJ105" s="84" t="str">
        <f>CONCATENATE("M(",AD103,")=")</f>
        <v>M(  )=</v>
      </c>
      <c r="AK105" s="84" t="str">
        <f>VLOOKUP(AD103,STN_TABLE,4,FALSE)</f>
        <v xml:space="preserve"> </v>
      </c>
      <c r="AL105" t="str">
        <f>CONCATENATE("M(",AD104,")=")</f>
        <v>M(  )=</v>
      </c>
      <c r="AM105" t="e">
        <f>AI105+AK105</f>
        <v>#VALUE!</v>
      </c>
      <c r="AO105" s="82" t="str">
        <f>AA105</f>
        <v>M(  )=</v>
      </c>
      <c r="AP105" s="82" t="e">
        <f>VLOOKUP(AO105,Rise_Results,2,FALSE)</f>
        <v>#N/A</v>
      </c>
      <c r="AQ105" s="82" t="e">
        <f>N105</f>
        <v>#VALUE!</v>
      </c>
      <c r="AR105" s="82" t="e">
        <f>IF(OR(AB104&lt;=0,AB105&lt;=0),1/0,AB105)</f>
        <v>#VALUE!</v>
      </c>
      <c r="AS105" s="82" t="e">
        <f>AM105</f>
        <v>#VALUE!</v>
      </c>
      <c r="AT105" t="e">
        <f>IFERROR(AP105,IFERROR(AQ105,IFERROR(AR105,AS105)))</f>
        <v>#VALUE!</v>
      </c>
      <c r="AU105" s="81"/>
    </row>
    <row r="106" spans="1:47" x14ac:dyDescent="0.25">
      <c r="A106" s="101">
        <f>A101+1</f>
        <v>13</v>
      </c>
      <c r="B106" s="101" t="str">
        <f t="shared" ref="B106:B137" si="48">VLOOKUP(A106,STN_TABLE_2,2,FALSE)</f>
        <v xml:space="preserve">  </v>
      </c>
      <c r="O106" s="101">
        <f>O101+1</f>
        <v>15</v>
      </c>
      <c r="P106" s="101" t="str">
        <f t="shared" si="44"/>
        <v xml:space="preserve">  </v>
      </c>
      <c r="AU106" s="81"/>
    </row>
    <row r="107" spans="1:47" x14ac:dyDescent="0.25">
      <c r="A107" s="84">
        <f>A106+1</f>
        <v>14</v>
      </c>
      <c r="B107" s="84" t="str">
        <f t="shared" si="48"/>
        <v xml:space="preserve">  </v>
      </c>
      <c r="C107" s="79" t="e">
        <f t="shared" ref="C107" si="49">IF(C108=B109,IF(C109-C108=C108-B108,B108,IF(C109-C108=C108-B107,B107,"#NA")),IF(C108=B108,IF(C109-C108=C108-B107,B107,IF(C109-C108=C108-B106,B106,"#NA")),"#NA"))</f>
        <v>#VALUE!</v>
      </c>
      <c r="D107" s="68" t="e">
        <f>VLOOKUP(C107,STN_TABLE,2,FALSE)</f>
        <v>#VALUE!</v>
      </c>
      <c r="E107" s="102">
        <v>1</v>
      </c>
      <c r="F107" s="68" t="e">
        <f>D107*E107</f>
        <v>#VALUE!</v>
      </c>
      <c r="G107" s="69" t="e">
        <f>C107</f>
        <v>#VALUE!</v>
      </c>
      <c r="H107" s="69" t="e">
        <f>F107*G107</f>
        <v>#VALUE!</v>
      </c>
      <c r="I107" s="6" t="s">
        <v>93</v>
      </c>
      <c r="J107" s="70" t="e">
        <f>IF(OR(D107=0,D108=0,D109=0),"#NA",IF(AND(C109-C108=C108-C107,C108&lt;&gt;C109,C107&lt;&gt;C108,C107&lt;&gt;C109,D109&lt;&gt;0,OR(D107&lt;&gt;0,D108&lt;&gt;0)),WLS*(C109-C108),"#NA"))</f>
        <v>#VALUE!</v>
      </c>
      <c r="O107" s="99">
        <f>O106+1</f>
        <v>16</v>
      </c>
      <c r="P107" s="99" t="str">
        <f t="shared" si="44"/>
        <v xml:space="preserve">  </v>
      </c>
      <c r="Q107" s="68" t="e">
        <f>IF(OR(P109-P108=P108-P107,P110-P108=P108-P107),P107,IF(OR(P109-P108=P108-P106,P110-P108=P108-P106),P106,"-"))</f>
        <v>#VALUE!</v>
      </c>
      <c r="R107" s="69" t="e">
        <f>VLOOKUP(Q107,STN_TABLE,2,FALSE)</f>
        <v>#VALUE!</v>
      </c>
      <c r="S107" s="69">
        <v>5</v>
      </c>
      <c r="T107" s="68" t="e">
        <f>R107*S107</f>
        <v>#VALUE!</v>
      </c>
      <c r="U107" s="79">
        <v>3</v>
      </c>
      <c r="V107" s="68" t="e">
        <f>R107*U107</f>
        <v>#VALUE!</v>
      </c>
      <c r="W107" s="6" t="s">
        <v>93</v>
      </c>
      <c r="X107" s="70" t="e">
        <f>IF(AND(Q109-Q108=Q108-Q107,NOT(AND(Q107=0,Q108=0)),NOT(AND(Q108=0,Q109=0))),WLS*(Q109-Q108),"#NA")</f>
        <v>#VALUE!</v>
      </c>
      <c r="AD107" s="93"/>
      <c r="AH107" s="6" t="s">
        <v>93</v>
      </c>
      <c r="AI107" s="70" t="e">
        <f>WLS*(AD109-AD108)</f>
        <v>#VALUE!</v>
      </c>
      <c r="AU107" s="81"/>
    </row>
    <row r="108" spans="1:47" x14ac:dyDescent="0.25">
      <c r="A108" s="84">
        <f>A107+1</f>
        <v>15</v>
      </c>
      <c r="B108" s="84" t="str">
        <f t="shared" si="48"/>
        <v xml:space="preserve">  </v>
      </c>
      <c r="C108" s="80" t="e">
        <f t="shared" ref="C108" si="50">IF(OR(B110-B109=B109-B108,B110-B109=B109-B107,B110-B109=B109-B106),B109,IF(OR(B110-B108=B108-B107,B110-B108=B108-B106),B108,IF(B110-B107=B107-B106,B107,"#NA")))</f>
        <v>#VALUE!</v>
      </c>
      <c r="D108" s="76" t="e">
        <f>VLOOKUP(C108,STN_TABLE,2,FALSE)</f>
        <v>#VALUE!</v>
      </c>
      <c r="E108" s="81">
        <v>4</v>
      </c>
      <c r="F108" s="76" t="e">
        <f>D108*E108</f>
        <v>#VALUE!</v>
      </c>
      <c r="G108" s="77" t="e">
        <f>C108</f>
        <v>#VALUE!</v>
      </c>
      <c r="H108" s="77" t="e">
        <f>F108*G108</f>
        <v>#VALUE!</v>
      </c>
      <c r="I108" s="495" t="s">
        <v>97</v>
      </c>
      <c r="J108" s="496"/>
      <c r="K108" s="78" t="s">
        <v>98</v>
      </c>
      <c r="L108" s="78"/>
      <c r="M108" s="7" t="s">
        <v>99</v>
      </c>
      <c r="N108" s="7"/>
      <c r="O108" s="99">
        <f>O107+1</f>
        <v>17</v>
      </c>
      <c r="P108" s="99" t="str">
        <f t="shared" si="44"/>
        <v xml:space="preserve">  </v>
      </c>
      <c r="Q108" s="76" t="str">
        <f>P108</f>
        <v xml:space="preserve">  </v>
      </c>
      <c r="R108" s="77" t="str">
        <f>VLOOKUP(Q108,STN_TABLE,2,FALSE)</f>
        <v xml:space="preserve">  </v>
      </c>
      <c r="S108" s="77">
        <v>8</v>
      </c>
      <c r="T108" s="76" t="e">
        <f>R108*S108</f>
        <v>#VALUE!</v>
      </c>
      <c r="U108" s="80">
        <v>10</v>
      </c>
      <c r="V108" s="76" t="e">
        <f>R108*U108</f>
        <v>#VALUE!</v>
      </c>
      <c r="W108" s="496" t="s">
        <v>97</v>
      </c>
      <c r="X108" s="496"/>
      <c r="Y108" s="496" t="s">
        <v>98</v>
      </c>
      <c r="Z108" s="496"/>
      <c r="AA108" s="494" t="s">
        <v>99</v>
      </c>
      <c r="AB108" s="494"/>
      <c r="AC108" s="99">
        <f>AC103+1</f>
        <v>16</v>
      </c>
      <c r="AD108" s="95" t="str">
        <f>VLOOKUP(AC108,STN_TABLE_2,2,FALSE)</f>
        <v xml:space="preserve">  </v>
      </c>
      <c r="AE108" s="68" t="str">
        <f>VLOOKUP(AD108,STN_TABLE,2,FALSE)</f>
        <v xml:space="preserve">  </v>
      </c>
      <c r="AF108" s="68">
        <v>1</v>
      </c>
      <c r="AG108" s="69" t="e">
        <f>AE108*AF108</f>
        <v>#VALUE!</v>
      </c>
      <c r="AH108" s="496" t="s">
        <v>97</v>
      </c>
      <c r="AI108" s="496"/>
      <c r="AJ108" s="496" t="s">
        <v>98</v>
      </c>
      <c r="AK108" s="496"/>
      <c r="AL108" s="494" t="s">
        <v>99</v>
      </c>
      <c r="AM108" s="494"/>
      <c r="AP108" s="86" t="s">
        <v>112</v>
      </c>
      <c r="AQ108" s="89" t="s">
        <v>113</v>
      </c>
      <c r="AR108" s="89" t="s">
        <v>114</v>
      </c>
      <c r="AS108" s="89" t="s">
        <v>115</v>
      </c>
      <c r="AU108" s="81"/>
    </row>
    <row r="109" spans="1:47" x14ac:dyDescent="0.25">
      <c r="A109" s="84">
        <f>A108+1</f>
        <v>16</v>
      </c>
      <c r="B109" s="84" t="str">
        <f t="shared" si="48"/>
        <v xml:space="preserve">  </v>
      </c>
      <c r="C109" s="88" t="str">
        <f t="shared" ref="C109" si="51">B110</f>
        <v xml:space="preserve">  </v>
      </c>
      <c r="D109" s="82" t="str">
        <f>VLOOKUP(C109,STN_TABLE,2,FALSE)</f>
        <v xml:space="preserve">  </v>
      </c>
      <c r="E109" s="92">
        <v>1</v>
      </c>
      <c r="F109" s="82" t="e">
        <f>D109*E109</f>
        <v>#VALUE!</v>
      </c>
      <c r="G109" s="83" t="str">
        <f>C109</f>
        <v xml:space="preserve">  </v>
      </c>
      <c r="H109" s="83" t="e">
        <f>F109*G109</f>
        <v>#VALUE!</v>
      </c>
      <c r="I109" s="84" t="str">
        <f>CONCATENATE("a'(",C109,")=")</f>
        <v>a'(  )=</v>
      </c>
      <c r="J109" s="84" t="e">
        <f>2*J107/3*F110</f>
        <v>#VALUE!</v>
      </c>
      <c r="K109" s="84" t="e">
        <f>CONCATENATE("A(",C107,")=")</f>
        <v>#VALUE!</v>
      </c>
      <c r="L109" s="84" t="e">
        <f>VLOOKUP(C107,STN_TABLE,3,FALSE)</f>
        <v>#VALUE!</v>
      </c>
      <c r="M109" t="str">
        <f>CONCATENATE("A(",C109,")=")</f>
        <v>A(  )=</v>
      </c>
      <c r="N109" t="e">
        <f>J109+L109</f>
        <v>#VALUE!</v>
      </c>
      <c r="O109" s="99">
        <f>O108+1</f>
        <v>18</v>
      </c>
      <c r="P109" s="99" t="str">
        <f t="shared" si="44"/>
        <v xml:space="preserve">  </v>
      </c>
      <c r="Q109" s="82" t="e">
        <f>IF(P109-P108=P108-P107,P109,IF(P110-P108=P108-P107,P110,IF(P109-P108=P108-P106,P109,IF(P110-P108=P108-P106,P110,"-"))))</f>
        <v>#VALUE!</v>
      </c>
      <c r="R109" s="83" t="e">
        <f>VLOOKUP(Q109,STN_TABLE,2,FALSE)</f>
        <v>#VALUE!</v>
      </c>
      <c r="S109" s="83">
        <v>-1</v>
      </c>
      <c r="T109" s="82" t="e">
        <f>R109*S109</f>
        <v>#VALUE!</v>
      </c>
      <c r="U109" s="88">
        <v>-1</v>
      </c>
      <c r="V109" s="82" t="e">
        <f>R109*U109</f>
        <v>#VALUE!</v>
      </c>
      <c r="W109" s="84" t="str">
        <f>CONCATENATE("a'(",Q108,")=")</f>
        <v>a'(  )=</v>
      </c>
      <c r="X109" s="84" t="e">
        <f>2*X107/12*T110</f>
        <v>#VALUE!</v>
      </c>
      <c r="Y109" s="84" t="e">
        <f>CONCATENATE("A(",Q107,")=")</f>
        <v>#VALUE!</v>
      </c>
      <c r="Z109" s="84" t="e">
        <f>VLOOKUP(Q107,STN_TABLE,3,FALSE)</f>
        <v>#VALUE!</v>
      </c>
      <c r="AA109" t="str">
        <f>CONCATENATE("A(",Q108,")=")</f>
        <v>A(  )=</v>
      </c>
      <c r="AB109" t="e">
        <f>X109+Z109</f>
        <v>#VALUE!</v>
      </c>
      <c r="AC109" s="99">
        <f>AC108+1</f>
        <v>17</v>
      </c>
      <c r="AD109" s="100" t="str">
        <f>VLOOKUP(AC109,STN_TABLE_2,2,FALSE)</f>
        <v xml:space="preserve">  </v>
      </c>
      <c r="AE109" s="82" t="str">
        <f>VLOOKUP(AD109,STN_TABLE,2,FALSE)</f>
        <v xml:space="preserve">  </v>
      </c>
      <c r="AF109" s="82">
        <v>2</v>
      </c>
      <c r="AG109" s="83" t="e">
        <f>AE109*AF109</f>
        <v>#VALUE!</v>
      </c>
      <c r="AH109" s="84" t="str">
        <f>CONCATENATE("a'(",AD109,")=")</f>
        <v>a'(  )=</v>
      </c>
      <c r="AI109" s="84" t="e">
        <f>2*AI107/2*AE110</f>
        <v>#VALUE!</v>
      </c>
      <c r="AJ109" s="84" t="str">
        <f>CONCATENATE("A(",AD108,")=")</f>
        <v>A(  )=</v>
      </c>
      <c r="AK109" s="84" t="str">
        <f>VLOOKUP(AD108,STN_TABLE,3,FALSE)</f>
        <v xml:space="preserve"> </v>
      </c>
      <c r="AL109" t="str">
        <f>CONCATENATE("A(",AD109,")=")</f>
        <v>A(  )=</v>
      </c>
      <c r="AM109" t="e">
        <f>AI109+AK109</f>
        <v>#VALUE!</v>
      </c>
      <c r="AO109" s="68" t="str">
        <f>AA109</f>
        <v>A(  )=</v>
      </c>
      <c r="AP109" s="68" t="e">
        <f>VLOOKUP(AO109,Rise_Results,2,FALSE)</f>
        <v>#N/A</v>
      </c>
      <c r="AQ109" s="76" t="e">
        <f>N109</f>
        <v>#VALUE!</v>
      </c>
      <c r="AR109" s="76" t="e">
        <f>IF(OR(AB109&lt;=0,AB110&lt;=0),1/0,AB109)</f>
        <v>#VALUE!</v>
      </c>
      <c r="AS109" s="76" t="e">
        <f>AM109</f>
        <v>#VALUE!</v>
      </c>
      <c r="AT109" t="e">
        <f>IFERROR(AP109,IFERROR(AQ109,IFERROR(AR109,AS109)))</f>
        <v>#VALUE!</v>
      </c>
      <c r="AU109" s="81"/>
    </row>
    <row r="110" spans="1:47" x14ac:dyDescent="0.25">
      <c r="A110" s="84">
        <f>A109+1</f>
        <v>17</v>
      </c>
      <c r="B110" s="84" t="str">
        <f t="shared" si="48"/>
        <v xml:space="preserve">  </v>
      </c>
      <c r="F110" s="82" t="e">
        <f>SUM(F107:F109)</f>
        <v>#VALUE!</v>
      </c>
      <c r="H110" s="82" t="e">
        <f>SUM(H107:H109)</f>
        <v>#VALUE!</v>
      </c>
      <c r="I110" s="84" t="str">
        <f>CONCATENATE("m'(",C109,")=")</f>
        <v>m'(  )=</v>
      </c>
      <c r="J110" s="84" t="e">
        <f>2*(J107*(WLS))/3*H110</f>
        <v>#VALUE!</v>
      </c>
      <c r="K110" s="84" t="e">
        <f>CONCATENATE("M(",C107,")=")</f>
        <v>#VALUE!</v>
      </c>
      <c r="L110" s="84" t="e">
        <f>VLOOKUP(C107,STN_TABLE,4,FALSE)</f>
        <v>#VALUE!</v>
      </c>
      <c r="M110" t="str">
        <f>CONCATENATE("M(",C109,")=")</f>
        <v>M(  )=</v>
      </c>
      <c r="N110" t="e">
        <f>J110+L110</f>
        <v>#VALUE!</v>
      </c>
      <c r="O110" s="99">
        <f>O109+1</f>
        <v>19</v>
      </c>
      <c r="P110" s="99" t="str">
        <f t="shared" si="44"/>
        <v xml:space="preserve">  </v>
      </c>
      <c r="T110" s="89" t="e">
        <f>SUM(T107:T109)</f>
        <v>#VALUE!</v>
      </c>
      <c r="V110" s="82" t="e">
        <f>SUM(V107:V109)</f>
        <v>#VALUE!</v>
      </c>
      <c r="W110" s="84" t="str">
        <f>CONCATENATE("m'(",Q108,")=")</f>
        <v>m'(  )=</v>
      </c>
      <c r="X110" s="84" t="e">
        <f>(2*(X107^2)/24*V110)+(X109*Q107*WLS)</f>
        <v>#VALUE!</v>
      </c>
      <c r="Y110" s="84" t="e">
        <f>CONCATENATE("M(",Q107,")=")</f>
        <v>#VALUE!</v>
      </c>
      <c r="Z110" s="84" t="e">
        <f>VLOOKUP(Q107,STN_TABLE,4,FALSE)</f>
        <v>#VALUE!</v>
      </c>
      <c r="AA110" t="str">
        <f>CONCATENATE("M(",Q108,")=")</f>
        <v>M(  )=</v>
      </c>
      <c r="AB110" t="e">
        <f>X110+Z110</f>
        <v>#VALUE!</v>
      </c>
      <c r="AE110" s="89">
        <f>SUM(AE108:AE109)</f>
        <v>0</v>
      </c>
      <c r="AG110" s="89" t="e">
        <f>SUM(AG108:AG109)</f>
        <v>#VALUE!</v>
      </c>
      <c r="AH110" s="84" t="str">
        <f>CONCATENATE("m'(",AD109,")=")</f>
        <v>m'(  )=</v>
      </c>
      <c r="AI110" s="84" t="e">
        <f>(2*(AI107^2)/6*AG110)+(AI109*AD108*WLS)</f>
        <v>#VALUE!</v>
      </c>
      <c r="AJ110" s="84" t="str">
        <f>CONCATENATE("M(",AD108,")=")</f>
        <v>M(  )=</v>
      </c>
      <c r="AK110" s="84" t="str">
        <f>VLOOKUP(AD108,STN_TABLE,4,FALSE)</f>
        <v xml:space="preserve"> </v>
      </c>
      <c r="AL110" t="str">
        <f>CONCATENATE("M(",AD109,")=")</f>
        <v>M(  )=</v>
      </c>
      <c r="AM110" t="e">
        <f>AI110+AK110</f>
        <v>#VALUE!</v>
      </c>
      <c r="AO110" s="82" t="str">
        <f>AA110</f>
        <v>M(  )=</v>
      </c>
      <c r="AP110" s="82" t="e">
        <f>VLOOKUP(AO110,Rise_Results,2,FALSE)</f>
        <v>#N/A</v>
      </c>
      <c r="AQ110" s="82" t="e">
        <f>N110</f>
        <v>#VALUE!</v>
      </c>
      <c r="AR110" s="82" t="e">
        <f>IF(OR(AB109&lt;=0,AB110&lt;=0),1/0,AB110)</f>
        <v>#VALUE!</v>
      </c>
      <c r="AS110" s="82" t="e">
        <f>AM110</f>
        <v>#VALUE!</v>
      </c>
      <c r="AT110" t="e">
        <f>IFERROR(AP110,IFERROR(AQ110,IFERROR(AR110,AS110)))</f>
        <v>#VALUE!</v>
      </c>
      <c r="AU110" s="81"/>
    </row>
    <row r="111" spans="1:47" x14ac:dyDescent="0.25">
      <c r="A111" s="101">
        <f>A106+1</f>
        <v>14</v>
      </c>
      <c r="B111" s="101" t="str">
        <f t="shared" si="48"/>
        <v xml:space="preserve">  </v>
      </c>
      <c r="O111" s="101">
        <f>O106+1</f>
        <v>16</v>
      </c>
      <c r="P111" s="101" t="str">
        <f t="shared" si="44"/>
        <v xml:space="preserve">  </v>
      </c>
      <c r="AU111" s="81"/>
    </row>
    <row r="112" spans="1:47" x14ac:dyDescent="0.25">
      <c r="A112" s="84">
        <f>A111+1</f>
        <v>15</v>
      </c>
      <c r="B112" s="84" t="str">
        <f t="shared" si="48"/>
        <v xml:space="preserve">  </v>
      </c>
      <c r="C112" s="79" t="e">
        <f t="shared" ref="C112" si="52">IF(C113=B114,IF(C114-C113=C113-B113,B113,IF(C114-C113=C113-B112,B112,"#NA")),IF(C113=B113,IF(C114-C113=C113-B112,B112,IF(C114-C113=C113-B111,B111,"#NA")),"#NA"))</f>
        <v>#VALUE!</v>
      </c>
      <c r="D112" s="68" t="e">
        <f>VLOOKUP(C112,STN_TABLE,2,FALSE)</f>
        <v>#VALUE!</v>
      </c>
      <c r="E112" s="102">
        <v>1</v>
      </c>
      <c r="F112" s="68" t="e">
        <f>D112*E112</f>
        <v>#VALUE!</v>
      </c>
      <c r="G112" s="69" t="e">
        <f>C112</f>
        <v>#VALUE!</v>
      </c>
      <c r="H112" s="69" t="e">
        <f>F112*G112</f>
        <v>#VALUE!</v>
      </c>
      <c r="I112" s="6" t="s">
        <v>93</v>
      </c>
      <c r="J112" s="70" t="e">
        <f>IF(OR(D112=0,D113=0,D114=0),"#NA",IF(AND(C114-C113=C113-C112,C113&lt;&gt;C114,C112&lt;&gt;C113,C112&lt;&gt;C114,D114&lt;&gt;0,OR(D112&lt;&gt;0,D113&lt;&gt;0)),WLS*(C114-C113),"#NA"))</f>
        <v>#VALUE!</v>
      </c>
      <c r="O112" s="99">
        <f>O111+1</f>
        <v>17</v>
      </c>
      <c r="P112" s="99" t="str">
        <f t="shared" si="44"/>
        <v xml:space="preserve">  </v>
      </c>
      <c r="Q112" s="68" t="e">
        <f>IF(OR(P114-P113=P113-P112,P115-P113=P113-P112),P112,IF(OR(P114-P113=P113-P111,P115-P113=P113-P111),P111,"-"))</f>
        <v>#VALUE!</v>
      </c>
      <c r="R112" s="69" t="e">
        <f>VLOOKUP(Q112,STN_TABLE,2,FALSE)</f>
        <v>#VALUE!</v>
      </c>
      <c r="S112" s="69">
        <v>5</v>
      </c>
      <c r="T112" s="68" t="e">
        <f>R112*S112</f>
        <v>#VALUE!</v>
      </c>
      <c r="U112" s="79">
        <v>3</v>
      </c>
      <c r="V112" s="68" t="e">
        <f>R112*U112</f>
        <v>#VALUE!</v>
      </c>
      <c r="W112" s="6" t="s">
        <v>93</v>
      </c>
      <c r="X112" s="70" t="e">
        <f>IF(AND(Q114-Q113=Q113-Q112,NOT(AND(Q112=0,Q113=0)),NOT(AND(Q113=0,Q114=0))),WLS*(Q114-Q113),"#NA")</f>
        <v>#VALUE!</v>
      </c>
      <c r="AD112" s="93"/>
      <c r="AH112" s="6" t="s">
        <v>93</v>
      </c>
      <c r="AI112" s="70" t="e">
        <f>WLS*(AD114-AD113)</f>
        <v>#VALUE!</v>
      </c>
      <c r="AU112" s="81"/>
    </row>
    <row r="113" spans="1:47" x14ac:dyDescent="0.25">
      <c r="A113" s="84">
        <f>A112+1</f>
        <v>16</v>
      </c>
      <c r="B113" s="84" t="str">
        <f t="shared" si="48"/>
        <v xml:space="preserve">  </v>
      </c>
      <c r="C113" s="80" t="e">
        <f t="shared" ref="C113" si="53">IF(OR(B115-B114=B114-B113,B115-B114=B114-B112,B115-B114=B114-B111),B114,IF(OR(B115-B113=B113-B112,B115-B113=B113-B111),B113,IF(B115-B112=B112-B111,B112,"#NA")))</f>
        <v>#VALUE!</v>
      </c>
      <c r="D113" s="76" t="e">
        <f>VLOOKUP(C113,STN_TABLE,2,FALSE)</f>
        <v>#VALUE!</v>
      </c>
      <c r="E113" s="81">
        <v>4</v>
      </c>
      <c r="F113" s="76" t="e">
        <f>D113*E113</f>
        <v>#VALUE!</v>
      </c>
      <c r="G113" s="77" t="e">
        <f>C113</f>
        <v>#VALUE!</v>
      </c>
      <c r="H113" s="77" t="e">
        <f>F113*G113</f>
        <v>#VALUE!</v>
      </c>
      <c r="I113" s="495" t="s">
        <v>97</v>
      </c>
      <c r="J113" s="496"/>
      <c r="K113" s="78" t="s">
        <v>98</v>
      </c>
      <c r="L113" s="78"/>
      <c r="M113" s="7" t="s">
        <v>99</v>
      </c>
      <c r="N113" s="7"/>
      <c r="O113" s="99">
        <f>O112+1</f>
        <v>18</v>
      </c>
      <c r="P113" s="99" t="str">
        <f t="shared" si="44"/>
        <v xml:space="preserve">  </v>
      </c>
      <c r="Q113" s="76" t="str">
        <f>P113</f>
        <v xml:space="preserve">  </v>
      </c>
      <c r="R113" s="77" t="str">
        <f>VLOOKUP(Q113,STN_TABLE,2,FALSE)</f>
        <v xml:space="preserve">  </v>
      </c>
      <c r="S113" s="77">
        <v>8</v>
      </c>
      <c r="T113" s="76" t="e">
        <f>R113*S113</f>
        <v>#VALUE!</v>
      </c>
      <c r="U113" s="80">
        <v>10</v>
      </c>
      <c r="V113" s="76" t="e">
        <f>R113*U113</f>
        <v>#VALUE!</v>
      </c>
      <c r="W113" s="496" t="s">
        <v>97</v>
      </c>
      <c r="X113" s="496"/>
      <c r="Y113" s="496" t="s">
        <v>98</v>
      </c>
      <c r="Z113" s="496"/>
      <c r="AA113" s="494" t="s">
        <v>99</v>
      </c>
      <c r="AB113" s="494"/>
      <c r="AC113" s="99">
        <f>AC108+1</f>
        <v>17</v>
      </c>
      <c r="AD113" s="95" t="str">
        <f>VLOOKUP(AC113,STN_TABLE_2,2,FALSE)</f>
        <v xml:space="preserve">  </v>
      </c>
      <c r="AE113" s="68" t="str">
        <f>VLOOKUP(AD113,STN_TABLE,2,FALSE)</f>
        <v xml:space="preserve">  </v>
      </c>
      <c r="AF113" s="68">
        <v>1</v>
      </c>
      <c r="AG113" s="69" t="e">
        <f>AE113*AF113</f>
        <v>#VALUE!</v>
      </c>
      <c r="AH113" s="496" t="s">
        <v>97</v>
      </c>
      <c r="AI113" s="496"/>
      <c r="AJ113" s="496" t="s">
        <v>98</v>
      </c>
      <c r="AK113" s="496"/>
      <c r="AL113" s="494" t="s">
        <v>99</v>
      </c>
      <c r="AM113" s="494"/>
      <c r="AP113" s="86" t="s">
        <v>112</v>
      </c>
      <c r="AQ113" s="89" t="s">
        <v>113</v>
      </c>
      <c r="AR113" s="89" t="s">
        <v>114</v>
      </c>
      <c r="AS113" s="89" t="s">
        <v>115</v>
      </c>
      <c r="AU113" s="81"/>
    </row>
    <row r="114" spans="1:47" x14ac:dyDescent="0.25">
      <c r="A114" s="84">
        <f>A113+1</f>
        <v>17</v>
      </c>
      <c r="B114" s="84" t="str">
        <f t="shared" si="48"/>
        <v xml:space="preserve">  </v>
      </c>
      <c r="C114" s="88" t="str">
        <f t="shared" ref="C114" si="54">B115</f>
        <v xml:space="preserve">  </v>
      </c>
      <c r="D114" s="82" t="str">
        <f>VLOOKUP(C114,STN_TABLE,2,FALSE)</f>
        <v xml:space="preserve">  </v>
      </c>
      <c r="E114" s="92">
        <v>1</v>
      </c>
      <c r="F114" s="82" t="e">
        <f>D114*E114</f>
        <v>#VALUE!</v>
      </c>
      <c r="G114" s="83" t="str">
        <f>C114</f>
        <v xml:space="preserve">  </v>
      </c>
      <c r="H114" s="83" t="e">
        <f>F114*G114</f>
        <v>#VALUE!</v>
      </c>
      <c r="I114" s="84" t="str">
        <f>CONCATENATE("a'(",C114,")=")</f>
        <v>a'(  )=</v>
      </c>
      <c r="J114" s="84" t="e">
        <f>2*J112/3*F115</f>
        <v>#VALUE!</v>
      </c>
      <c r="K114" s="84" t="e">
        <f>CONCATENATE("A(",C112,")=")</f>
        <v>#VALUE!</v>
      </c>
      <c r="L114" s="84" t="e">
        <f>VLOOKUP(C112,STN_TABLE,3,FALSE)</f>
        <v>#VALUE!</v>
      </c>
      <c r="M114" t="str">
        <f>CONCATENATE("A(",C114,")=")</f>
        <v>A(  )=</v>
      </c>
      <c r="N114" t="e">
        <f>J114+L114</f>
        <v>#VALUE!</v>
      </c>
      <c r="O114" s="99">
        <f>O113+1</f>
        <v>19</v>
      </c>
      <c r="P114" s="99" t="str">
        <f t="shared" si="44"/>
        <v xml:space="preserve">  </v>
      </c>
      <c r="Q114" s="82" t="e">
        <f>IF(P114-P113=P113-P112,P114,IF(P115-P113=P113-P112,P115,IF(P114-P113=P113-P111,P114,IF(P115-P113=P113-P111,P115,"-"))))</f>
        <v>#VALUE!</v>
      </c>
      <c r="R114" s="83" t="e">
        <f>VLOOKUP(Q114,STN_TABLE,2,FALSE)</f>
        <v>#VALUE!</v>
      </c>
      <c r="S114" s="83">
        <v>-1</v>
      </c>
      <c r="T114" s="82" t="e">
        <f>R114*S114</f>
        <v>#VALUE!</v>
      </c>
      <c r="U114" s="88">
        <v>-1</v>
      </c>
      <c r="V114" s="82" t="e">
        <f>R114*U114</f>
        <v>#VALUE!</v>
      </c>
      <c r="W114" s="84" t="str">
        <f>CONCATENATE("a'(",Q113,")=")</f>
        <v>a'(  )=</v>
      </c>
      <c r="X114" s="84" t="e">
        <f>2*X112/12*T115</f>
        <v>#VALUE!</v>
      </c>
      <c r="Y114" s="84" t="e">
        <f>CONCATENATE("A(",Q112,")=")</f>
        <v>#VALUE!</v>
      </c>
      <c r="Z114" s="84" t="e">
        <f>VLOOKUP(Q112,STN_TABLE,3,FALSE)</f>
        <v>#VALUE!</v>
      </c>
      <c r="AA114" t="str">
        <f>CONCATENATE("A(",Q113,")=")</f>
        <v>A(  )=</v>
      </c>
      <c r="AB114" t="e">
        <f>X114+Z114</f>
        <v>#VALUE!</v>
      </c>
      <c r="AC114" s="99">
        <f>AC113+1</f>
        <v>18</v>
      </c>
      <c r="AD114" s="100" t="str">
        <f>VLOOKUP(AC114,STN_TABLE_2,2,FALSE)</f>
        <v xml:space="preserve">  </v>
      </c>
      <c r="AE114" s="82" t="str">
        <f>VLOOKUP(AD114,STN_TABLE,2,FALSE)</f>
        <v xml:space="preserve">  </v>
      </c>
      <c r="AF114" s="82">
        <v>2</v>
      </c>
      <c r="AG114" s="83" t="e">
        <f>AE114*AF114</f>
        <v>#VALUE!</v>
      </c>
      <c r="AH114" s="84" t="str">
        <f>CONCATENATE("a'(",AD114,")=")</f>
        <v>a'(  )=</v>
      </c>
      <c r="AI114" s="84" t="e">
        <f>2*AI112/2*AE115</f>
        <v>#VALUE!</v>
      </c>
      <c r="AJ114" s="84" t="str">
        <f>CONCATENATE("A(",AD113,")=")</f>
        <v>A(  )=</v>
      </c>
      <c r="AK114" s="84" t="str">
        <f>VLOOKUP(AD113,STN_TABLE,3,FALSE)</f>
        <v xml:space="preserve"> </v>
      </c>
      <c r="AL114" t="str">
        <f>CONCATENATE("A(",AD114,")=")</f>
        <v>A(  )=</v>
      </c>
      <c r="AM114" t="e">
        <f>AI114+AK114</f>
        <v>#VALUE!</v>
      </c>
      <c r="AO114" s="68" t="str">
        <f>AA114</f>
        <v>A(  )=</v>
      </c>
      <c r="AP114" s="68" t="e">
        <f>VLOOKUP(AO114,Rise_Results,2,FALSE)</f>
        <v>#N/A</v>
      </c>
      <c r="AQ114" s="76" t="e">
        <f>N114</f>
        <v>#VALUE!</v>
      </c>
      <c r="AR114" s="76" t="e">
        <f>IF(OR(AB114&lt;=0,AB115&lt;=0),1/0,AB114)</f>
        <v>#VALUE!</v>
      </c>
      <c r="AS114" s="76" t="e">
        <f>AM114</f>
        <v>#VALUE!</v>
      </c>
      <c r="AT114" t="e">
        <f>IFERROR(AP114,IFERROR(AQ114,IFERROR(AR114,AS114)))</f>
        <v>#VALUE!</v>
      </c>
      <c r="AU114" s="81"/>
    </row>
    <row r="115" spans="1:47" x14ac:dyDescent="0.25">
      <c r="A115" s="84">
        <f>A114+1</f>
        <v>18</v>
      </c>
      <c r="B115" s="84" t="str">
        <f t="shared" si="48"/>
        <v xml:space="preserve">  </v>
      </c>
      <c r="F115" s="82" t="e">
        <f>SUM(F112:F114)</f>
        <v>#VALUE!</v>
      </c>
      <c r="H115" s="82" t="e">
        <f>SUM(H112:H114)</f>
        <v>#VALUE!</v>
      </c>
      <c r="I115" s="84" t="str">
        <f>CONCATENATE("m'(",C114,")=")</f>
        <v>m'(  )=</v>
      </c>
      <c r="J115" s="84" t="e">
        <f>2*(J112*(WLS))/3*H115</f>
        <v>#VALUE!</v>
      </c>
      <c r="K115" s="84" t="e">
        <f>CONCATENATE("M(",C112,")=")</f>
        <v>#VALUE!</v>
      </c>
      <c r="L115" s="84" t="e">
        <f>VLOOKUP(C112,STN_TABLE,4,FALSE)</f>
        <v>#VALUE!</v>
      </c>
      <c r="M115" t="str">
        <f>CONCATENATE("M(",C114,")=")</f>
        <v>M(  )=</v>
      </c>
      <c r="N115" t="e">
        <f>J115+L115</f>
        <v>#VALUE!</v>
      </c>
      <c r="O115" s="99">
        <f>O114+1</f>
        <v>20</v>
      </c>
      <c r="P115" s="99" t="str">
        <f t="shared" si="44"/>
        <v xml:space="preserve">  </v>
      </c>
      <c r="T115" s="89" t="e">
        <f>SUM(T112:T114)</f>
        <v>#VALUE!</v>
      </c>
      <c r="V115" s="82" t="e">
        <f>SUM(V112:V114)</f>
        <v>#VALUE!</v>
      </c>
      <c r="W115" s="84" t="str">
        <f>CONCATENATE("m'(",Q113,")=")</f>
        <v>m'(  )=</v>
      </c>
      <c r="X115" s="84" t="e">
        <f>(2*(X112^2)/24*V115)+(X114*Q112*WLS)</f>
        <v>#VALUE!</v>
      </c>
      <c r="Y115" s="84" t="e">
        <f>CONCATENATE("M(",Q112,")=")</f>
        <v>#VALUE!</v>
      </c>
      <c r="Z115" s="84" t="e">
        <f>VLOOKUP(Q112,STN_TABLE,4,FALSE)</f>
        <v>#VALUE!</v>
      </c>
      <c r="AA115" t="str">
        <f>CONCATENATE("M(",Q113,")=")</f>
        <v>M(  )=</v>
      </c>
      <c r="AB115" t="e">
        <f>X115+Z115</f>
        <v>#VALUE!</v>
      </c>
      <c r="AE115" s="89">
        <f>SUM(AE113:AE114)</f>
        <v>0</v>
      </c>
      <c r="AG115" s="89" t="e">
        <f>SUM(AG113:AG114)</f>
        <v>#VALUE!</v>
      </c>
      <c r="AH115" s="84" t="str">
        <f>CONCATENATE("m'(",AD114,")=")</f>
        <v>m'(  )=</v>
      </c>
      <c r="AI115" s="84" t="e">
        <f>(2*(AI112^2)/6*AG115)+(AI114*AD113*WLS)</f>
        <v>#VALUE!</v>
      </c>
      <c r="AJ115" s="84" t="str">
        <f>CONCATENATE("M(",AD113,")=")</f>
        <v>M(  )=</v>
      </c>
      <c r="AK115" s="84" t="str">
        <f>VLOOKUP(AD113,STN_TABLE,4,FALSE)</f>
        <v xml:space="preserve"> </v>
      </c>
      <c r="AL115" t="str">
        <f>CONCATENATE("M(",AD114,")=")</f>
        <v>M(  )=</v>
      </c>
      <c r="AM115" t="e">
        <f>AI115+AK115</f>
        <v>#VALUE!</v>
      </c>
      <c r="AO115" s="82" t="str">
        <f>AA115</f>
        <v>M(  )=</v>
      </c>
      <c r="AP115" s="82" t="e">
        <f>VLOOKUP(AO115,Rise_Results,2,FALSE)</f>
        <v>#N/A</v>
      </c>
      <c r="AQ115" s="82" t="e">
        <f>N115</f>
        <v>#VALUE!</v>
      </c>
      <c r="AR115" s="82" t="e">
        <f>IF(OR(AB114&lt;=0,AB115&lt;=0),1/0,AB115)</f>
        <v>#VALUE!</v>
      </c>
      <c r="AS115" s="82" t="e">
        <f>AM115</f>
        <v>#VALUE!</v>
      </c>
      <c r="AT115" t="e">
        <f>IFERROR(AP115,IFERROR(AQ115,IFERROR(AR115,AS115)))</f>
        <v>#VALUE!</v>
      </c>
      <c r="AU115" s="81"/>
    </row>
    <row r="116" spans="1:47" x14ac:dyDescent="0.25">
      <c r="A116" s="101">
        <f>A111+1</f>
        <v>15</v>
      </c>
      <c r="B116" s="101" t="str">
        <f t="shared" si="48"/>
        <v xml:space="preserve">  </v>
      </c>
      <c r="O116" s="101">
        <f>O111+1</f>
        <v>17</v>
      </c>
      <c r="P116" s="101" t="str">
        <f t="shared" si="44"/>
        <v xml:space="preserve">  </v>
      </c>
      <c r="AU116" s="81"/>
    </row>
    <row r="117" spans="1:47" x14ac:dyDescent="0.25">
      <c r="A117" s="84">
        <f>A116+1</f>
        <v>16</v>
      </c>
      <c r="B117" s="84" t="str">
        <f t="shared" si="48"/>
        <v xml:space="preserve">  </v>
      </c>
      <c r="C117" s="79" t="e">
        <f t="shared" ref="C117" si="55">IF(C118=B119,IF(C119-C118=C118-B118,B118,IF(C119-C118=C118-B117,B117,"#NA")),IF(C118=B118,IF(C119-C118=C118-B117,B117,IF(C119-C118=C118-B116,B116,"#NA")),"#NA"))</f>
        <v>#VALUE!</v>
      </c>
      <c r="D117" s="68" t="e">
        <f>VLOOKUP(C117,STN_TABLE,2,FALSE)</f>
        <v>#VALUE!</v>
      </c>
      <c r="E117" s="102">
        <v>1</v>
      </c>
      <c r="F117" s="68" t="e">
        <f>D117*E117</f>
        <v>#VALUE!</v>
      </c>
      <c r="G117" s="69" t="e">
        <f>C117</f>
        <v>#VALUE!</v>
      </c>
      <c r="H117" s="69" t="e">
        <f>F117*G117</f>
        <v>#VALUE!</v>
      </c>
      <c r="I117" s="6" t="s">
        <v>93</v>
      </c>
      <c r="J117" s="70" t="e">
        <f>IF(OR(D117=0,D118=0,D119=0),"#NA",IF(AND(C119-C118=C118-C117,C118&lt;&gt;C119,C117&lt;&gt;C118,C117&lt;&gt;C119,D119&lt;&gt;0,OR(D117&lt;&gt;0,D118&lt;&gt;0)),WLS*(C119-C118),"#NA"))</f>
        <v>#VALUE!</v>
      </c>
      <c r="O117" s="99">
        <f>O116+1</f>
        <v>18</v>
      </c>
      <c r="P117" s="99" t="str">
        <f t="shared" si="44"/>
        <v xml:space="preserve">  </v>
      </c>
      <c r="Q117" s="68" t="e">
        <f>IF(OR(P119-P118=P118-P117,P120-P118=P118-P117),P117,IF(OR(P119-P118=P118-P116,P120-P118=P118-P116),P116,"-"))</f>
        <v>#VALUE!</v>
      </c>
      <c r="R117" s="69" t="e">
        <f>VLOOKUP(Q117,STN_TABLE,2,FALSE)</f>
        <v>#VALUE!</v>
      </c>
      <c r="S117" s="69">
        <v>5</v>
      </c>
      <c r="T117" s="68" t="e">
        <f>R117*S117</f>
        <v>#VALUE!</v>
      </c>
      <c r="U117" s="79">
        <v>3</v>
      </c>
      <c r="V117" s="68" t="e">
        <f>R117*U117</f>
        <v>#VALUE!</v>
      </c>
      <c r="W117" s="6" t="s">
        <v>93</v>
      </c>
      <c r="X117" s="70" t="e">
        <f>IF(AND(Q119-Q118=Q118-Q117,NOT(AND(Q117=0,Q118=0)),NOT(AND(Q118=0,Q119=0))),WLS*(Q119-Q118),"#NA")</f>
        <v>#VALUE!</v>
      </c>
      <c r="AD117" s="93"/>
      <c r="AH117" s="6" t="s">
        <v>93</v>
      </c>
      <c r="AI117" s="70" t="e">
        <f>WLS*(AD119-AD118)</f>
        <v>#VALUE!</v>
      </c>
      <c r="AU117" s="81"/>
    </row>
    <row r="118" spans="1:47" x14ac:dyDescent="0.25">
      <c r="A118" s="84">
        <f>A117+1</f>
        <v>17</v>
      </c>
      <c r="B118" s="84" t="str">
        <f t="shared" si="48"/>
        <v xml:space="preserve">  </v>
      </c>
      <c r="C118" s="80" t="e">
        <f t="shared" ref="C118" si="56">IF(OR(B120-B119=B119-B118,B120-B119=B119-B117,B120-B119=B119-B116),B119,IF(OR(B120-B118=B118-B117,B120-B118=B118-B116),B118,IF(B120-B117=B117-B116,B117,"#NA")))</f>
        <v>#VALUE!</v>
      </c>
      <c r="D118" s="76" t="e">
        <f>VLOOKUP(C118,STN_TABLE,2,FALSE)</f>
        <v>#VALUE!</v>
      </c>
      <c r="E118" s="81">
        <v>4</v>
      </c>
      <c r="F118" s="76" t="e">
        <f>D118*E118</f>
        <v>#VALUE!</v>
      </c>
      <c r="G118" s="77" t="e">
        <f>C118</f>
        <v>#VALUE!</v>
      </c>
      <c r="H118" s="77" t="e">
        <f>F118*G118</f>
        <v>#VALUE!</v>
      </c>
      <c r="I118" s="495" t="s">
        <v>97</v>
      </c>
      <c r="J118" s="496"/>
      <c r="K118" s="78" t="s">
        <v>98</v>
      </c>
      <c r="L118" s="78"/>
      <c r="M118" s="7" t="s">
        <v>99</v>
      </c>
      <c r="N118" s="7"/>
      <c r="O118" s="99">
        <f>O117+1</f>
        <v>19</v>
      </c>
      <c r="P118" s="99" t="str">
        <f t="shared" si="44"/>
        <v xml:space="preserve">  </v>
      </c>
      <c r="Q118" s="76" t="str">
        <f>P118</f>
        <v xml:space="preserve">  </v>
      </c>
      <c r="R118" s="77" t="str">
        <f>VLOOKUP(Q118,STN_TABLE,2,FALSE)</f>
        <v xml:space="preserve">  </v>
      </c>
      <c r="S118" s="77">
        <v>8</v>
      </c>
      <c r="T118" s="76" t="e">
        <f>R118*S118</f>
        <v>#VALUE!</v>
      </c>
      <c r="U118" s="80">
        <v>10</v>
      </c>
      <c r="V118" s="76" t="e">
        <f>R118*U118</f>
        <v>#VALUE!</v>
      </c>
      <c r="W118" s="496" t="s">
        <v>97</v>
      </c>
      <c r="X118" s="496"/>
      <c r="Y118" s="496" t="s">
        <v>98</v>
      </c>
      <c r="Z118" s="496"/>
      <c r="AA118" s="494" t="s">
        <v>99</v>
      </c>
      <c r="AB118" s="494"/>
      <c r="AC118" s="99">
        <f>AC113+1</f>
        <v>18</v>
      </c>
      <c r="AD118" s="95" t="str">
        <f>VLOOKUP(AC118,STN_TABLE_2,2,FALSE)</f>
        <v xml:space="preserve">  </v>
      </c>
      <c r="AE118" s="68" t="str">
        <f>VLOOKUP(AD118,STN_TABLE,2,FALSE)</f>
        <v xml:space="preserve">  </v>
      </c>
      <c r="AF118" s="68">
        <v>1</v>
      </c>
      <c r="AG118" s="69" t="e">
        <f>AE118*AF118</f>
        <v>#VALUE!</v>
      </c>
      <c r="AH118" s="496" t="s">
        <v>97</v>
      </c>
      <c r="AI118" s="496"/>
      <c r="AJ118" s="496" t="s">
        <v>98</v>
      </c>
      <c r="AK118" s="496"/>
      <c r="AL118" s="494" t="s">
        <v>99</v>
      </c>
      <c r="AM118" s="494"/>
      <c r="AP118" s="86" t="s">
        <v>112</v>
      </c>
      <c r="AQ118" s="89" t="s">
        <v>113</v>
      </c>
      <c r="AR118" s="89" t="s">
        <v>114</v>
      </c>
      <c r="AS118" s="89" t="s">
        <v>115</v>
      </c>
      <c r="AU118" s="81"/>
    </row>
    <row r="119" spans="1:47" x14ac:dyDescent="0.25">
      <c r="A119" s="84">
        <f>A118+1</f>
        <v>18</v>
      </c>
      <c r="B119" s="84" t="str">
        <f t="shared" si="48"/>
        <v xml:space="preserve">  </v>
      </c>
      <c r="C119" s="88" t="str">
        <f t="shared" ref="C119" si="57">B120</f>
        <v xml:space="preserve">  </v>
      </c>
      <c r="D119" s="82" t="str">
        <f>VLOOKUP(C119,STN_TABLE,2,FALSE)</f>
        <v xml:space="preserve">  </v>
      </c>
      <c r="E119" s="92">
        <v>1</v>
      </c>
      <c r="F119" s="82" t="e">
        <f>D119*E119</f>
        <v>#VALUE!</v>
      </c>
      <c r="G119" s="83" t="str">
        <f>C119</f>
        <v xml:space="preserve">  </v>
      </c>
      <c r="H119" s="83" t="e">
        <f>F119*G119</f>
        <v>#VALUE!</v>
      </c>
      <c r="I119" s="84" t="str">
        <f>CONCATENATE("a'(",C119,")=")</f>
        <v>a'(  )=</v>
      </c>
      <c r="J119" s="84" t="e">
        <f>2*J117/3*F120</f>
        <v>#VALUE!</v>
      </c>
      <c r="K119" s="84" t="e">
        <f>CONCATENATE("A(",C117,")=")</f>
        <v>#VALUE!</v>
      </c>
      <c r="L119" s="84" t="e">
        <f>VLOOKUP(C117,STN_TABLE,3,FALSE)</f>
        <v>#VALUE!</v>
      </c>
      <c r="M119" t="str">
        <f>CONCATENATE("A(",C119,")=")</f>
        <v>A(  )=</v>
      </c>
      <c r="N119" t="e">
        <f>J119+L119</f>
        <v>#VALUE!</v>
      </c>
      <c r="O119" s="99">
        <f>O118+1</f>
        <v>20</v>
      </c>
      <c r="P119" s="99" t="str">
        <f t="shared" si="44"/>
        <v xml:space="preserve">  </v>
      </c>
      <c r="Q119" s="82" t="e">
        <f>IF(P119-P118=P118-P117,P119,IF(P120-P118=P118-P117,P120,IF(P119-P118=P118-P116,P119,IF(P120-P118=P118-P116,P120,"-"))))</f>
        <v>#VALUE!</v>
      </c>
      <c r="R119" s="83" t="e">
        <f>VLOOKUP(Q119,STN_TABLE,2,FALSE)</f>
        <v>#VALUE!</v>
      </c>
      <c r="S119" s="83">
        <v>-1</v>
      </c>
      <c r="T119" s="82" t="e">
        <f>R119*S119</f>
        <v>#VALUE!</v>
      </c>
      <c r="U119" s="88">
        <v>-1</v>
      </c>
      <c r="V119" s="82" t="e">
        <f>R119*U119</f>
        <v>#VALUE!</v>
      </c>
      <c r="W119" s="84" t="str">
        <f>CONCATENATE("a'(",Q118,")=")</f>
        <v>a'(  )=</v>
      </c>
      <c r="X119" s="84" t="e">
        <f>2*X117/12*T120</f>
        <v>#VALUE!</v>
      </c>
      <c r="Y119" s="84" t="e">
        <f>CONCATENATE("A(",Q117,")=")</f>
        <v>#VALUE!</v>
      </c>
      <c r="Z119" s="84" t="e">
        <f>VLOOKUP(Q117,STN_TABLE,3,FALSE)</f>
        <v>#VALUE!</v>
      </c>
      <c r="AA119" t="str">
        <f>CONCATENATE("A(",Q118,")=")</f>
        <v>A(  )=</v>
      </c>
      <c r="AB119" t="e">
        <f>X119+Z119</f>
        <v>#VALUE!</v>
      </c>
      <c r="AC119" s="99">
        <f>AC118+1</f>
        <v>19</v>
      </c>
      <c r="AD119" s="100" t="str">
        <f>VLOOKUP(AC119,STN_TABLE_2,2,FALSE)</f>
        <v xml:space="preserve">  </v>
      </c>
      <c r="AE119" s="82" t="str">
        <f>VLOOKUP(AD119,STN_TABLE,2,FALSE)</f>
        <v xml:space="preserve">  </v>
      </c>
      <c r="AF119" s="82">
        <v>2</v>
      </c>
      <c r="AG119" s="83" t="e">
        <f>AE119*AF119</f>
        <v>#VALUE!</v>
      </c>
      <c r="AH119" s="84" t="str">
        <f>CONCATENATE("a'(",AD119,")=")</f>
        <v>a'(  )=</v>
      </c>
      <c r="AI119" s="84" t="e">
        <f>2*AI117/2*AE120</f>
        <v>#VALUE!</v>
      </c>
      <c r="AJ119" s="84" t="str">
        <f>CONCATENATE("A(",AD118,")=")</f>
        <v>A(  )=</v>
      </c>
      <c r="AK119" s="84" t="str">
        <f>VLOOKUP(AD118,STN_TABLE,3,FALSE)</f>
        <v xml:space="preserve"> </v>
      </c>
      <c r="AL119" t="str">
        <f>CONCATENATE("A(",AD119,")=")</f>
        <v>A(  )=</v>
      </c>
      <c r="AM119" t="e">
        <f>AI119+AK119</f>
        <v>#VALUE!</v>
      </c>
      <c r="AO119" s="68" t="str">
        <f>AA119</f>
        <v>A(  )=</v>
      </c>
      <c r="AP119" s="68" t="e">
        <f>VLOOKUP(AO119,Rise_Results,2,FALSE)</f>
        <v>#N/A</v>
      </c>
      <c r="AQ119" s="76" t="e">
        <f>N119</f>
        <v>#VALUE!</v>
      </c>
      <c r="AR119" s="76" t="e">
        <f>IF(OR(AB119&lt;=0,AB120&lt;=0),1/0,AB119)</f>
        <v>#VALUE!</v>
      </c>
      <c r="AS119" s="76" t="e">
        <f>AM119</f>
        <v>#VALUE!</v>
      </c>
      <c r="AT119" t="e">
        <f>IFERROR(AP119,IFERROR(AQ119,IFERROR(AR119,AS119)))</f>
        <v>#VALUE!</v>
      </c>
      <c r="AU119" s="81"/>
    </row>
    <row r="120" spans="1:47" x14ac:dyDescent="0.25">
      <c r="A120" s="84">
        <f>A119+1</f>
        <v>19</v>
      </c>
      <c r="B120" s="84" t="str">
        <f t="shared" si="48"/>
        <v xml:space="preserve">  </v>
      </c>
      <c r="F120" s="82" t="e">
        <f>SUM(F117:F119)</f>
        <v>#VALUE!</v>
      </c>
      <c r="H120" s="82" t="e">
        <f>SUM(H117:H119)</f>
        <v>#VALUE!</v>
      </c>
      <c r="I120" s="84" t="str">
        <f>CONCATENATE("m'(",C119,")=")</f>
        <v>m'(  )=</v>
      </c>
      <c r="J120" s="84" t="e">
        <f>2*(J117*(WLS))/3*H120</f>
        <v>#VALUE!</v>
      </c>
      <c r="K120" s="84" t="e">
        <f>CONCATENATE("M(",C117,")=")</f>
        <v>#VALUE!</v>
      </c>
      <c r="L120" s="84" t="e">
        <f>VLOOKUP(C117,STN_TABLE,4,FALSE)</f>
        <v>#VALUE!</v>
      </c>
      <c r="M120" t="str">
        <f>CONCATENATE("M(",C119,")=")</f>
        <v>M(  )=</v>
      </c>
      <c r="N120" t="e">
        <f>J120+L120</f>
        <v>#VALUE!</v>
      </c>
      <c r="O120" s="99">
        <f>O119+1</f>
        <v>21</v>
      </c>
      <c r="P120" s="99" t="str">
        <f t="shared" si="44"/>
        <v xml:space="preserve">  </v>
      </c>
      <c r="T120" s="89" t="e">
        <f>SUM(T117:T119)</f>
        <v>#VALUE!</v>
      </c>
      <c r="V120" s="82" t="e">
        <f>SUM(V117:V119)</f>
        <v>#VALUE!</v>
      </c>
      <c r="W120" s="84" t="str">
        <f>CONCATENATE("m'(",Q118,")=")</f>
        <v>m'(  )=</v>
      </c>
      <c r="X120" s="84" t="e">
        <f>(2*(X117^2)/24*V120)+(X119*Q117*WLS)</f>
        <v>#VALUE!</v>
      </c>
      <c r="Y120" s="84" t="e">
        <f>CONCATENATE("M(",Q117,")=")</f>
        <v>#VALUE!</v>
      </c>
      <c r="Z120" s="84" t="e">
        <f>VLOOKUP(Q117,STN_TABLE,4,FALSE)</f>
        <v>#VALUE!</v>
      </c>
      <c r="AA120" t="str">
        <f>CONCATENATE("M(",Q118,")=")</f>
        <v>M(  )=</v>
      </c>
      <c r="AB120" t="e">
        <f>X120+Z120</f>
        <v>#VALUE!</v>
      </c>
      <c r="AE120" s="89">
        <f>SUM(AE118:AE119)</f>
        <v>0</v>
      </c>
      <c r="AG120" s="89" t="e">
        <f>SUM(AG118:AG119)</f>
        <v>#VALUE!</v>
      </c>
      <c r="AH120" s="84" t="str">
        <f>CONCATENATE("m'(",AD119,")=")</f>
        <v>m'(  )=</v>
      </c>
      <c r="AI120" s="84" t="e">
        <f>(2*(AI117^2)/6*AG120)+(AI119*AD118*WLS)</f>
        <v>#VALUE!</v>
      </c>
      <c r="AJ120" s="84" t="str">
        <f>CONCATENATE("M(",AD118,")=")</f>
        <v>M(  )=</v>
      </c>
      <c r="AK120" s="84" t="str">
        <f>VLOOKUP(AD118,STN_TABLE,4,FALSE)</f>
        <v xml:space="preserve"> </v>
      </c>
      <c r="AL120" t="str">
        <f>CONCATENATE("M(",AD119,")=")</f>
        <v>M(  )=</v>
      </c>
      <c r="AM120" t="e">
        <f>AI120+AK120</f>
        <v>#VALUE!</v>
      </c>
      <c r="AO120" s="82" t="str">
        <f>AA120</f>
        <v>M(  )=</v>
      </c>
      <c r="AP120" s="82" t="e">
        <f>VLOOKUP(AO120,Rise_Results,2,FALSE)</f>
        <v>#N/A</v>
      </c>
      <c r="AQ120" s="82" t="e">
        <f>N120</f>
        <v>#VALUE!</v>
      </c>
      <c r="AR120" s="82" t="e">
        <f>IF(OR(AB119&lt;=0,AB120&lt;=0),1/0,AB120)</f>
        <v>#VALUE!</v>
      </c>
      <c r="AS120" s="82" t="e">
        <f>AM120</f>
        <v>#VALUE!</v>
      </c>
      <c r="AT120" t="e">
        <f>IFERROR(AP120,IFERROR(AQ120,IFERROR(AR120,AS120)))</f>
        <v>#VALUE!</v>
      </c>
      <c r="AU120" s="81"/>
    </row>
    <row r="121" spans="1:47" x14ac:dyDescent="0.25">
      <c r="A121" s="101">
        <f>A116+1</f>
        <v>16</v>
      </c>
      <c r="B121" s="101" t="str">
        <f t="shared" si="48"/>
        <v xml:space="preserve">  </v>
      </c>
      <c r="O121" s="101">
        <f>O116+1</f>
        <v>18</v>
      </c>
      <c r="P121" s="101" t="str">
        <f t="shared" si="44"/>
        <v xml:space="preserve">  </v>
      </c>
      <c r="AU121" s="81"/>
    </row>
    <row r="122" spans="1:47" x14ac:dyDescent="0.25">
      <c r="A122" s="84">
        <f>A121+1</f>
        <v>17</v>
      </c>
      <c r="B122" s="84" t="str">
        <f t="shared" si="48"/>
        <v xml:space="preserve">  </v>
      </c>
      <c r="C122" s="79" t="e">
        <f t="shared" ref="C122" si="58">IF(C123=B124,IF(C124-C123=C123-B123,B123,IF(C124-C123=C123-B122,B122,"#NA")),IF(C123=B123,IF(C124-C123=C123-B122,B122,IF(C124-C123=C123-B121,B121,"#NA")),"#NA"))</f>
        <v>#VALUE!</v>
      </c>
      <c r="D122" s="68" t="e">
        <f>VLOOKUP(C122,STN_TABLE,2,FALSE)</f>
        <v>#VALUE!</v>
      </c>
      <c r="E122" s="102">
        <v>1</v>
      </c>
      <c r="F122" s="68" t="e">
        <f>D122*E122</f>
        <v>#VALUE!</v>
      </c>
      <c r="G122" s="69" t="e">
        <f>C122</f>
        <v>#VALUE!</v>
      </c>
      <c r="H122" s="69" t="e">
        <f>F122*G122</f>
        <v>#VALUE!</v>
      </c>
      <c r="I122" s="6" t="s">
        <v>93</v>
      </c>
      <c r="J122" s="70" t="e">
        <f>IF(OR(D122=0,D123=0,D124=0),"#NA",IF(AND(C124-C123=C123-C122,C123&lt;&gt;C124,C122&lt;&gt;C123,C122&lt;&gt;C124,D124&lt;&gt;0,OR(D122&lt;&gt;0,D123&lt;&gt;0)),WLS*(C124-C123),"#NA"))</f>
        <v>#VALUE!</v>
      </c>
      <c r="O122" s="99">
        <f>O121+1</f>
        <v>19</v>
      </c>
      <c r="P122" s="99" t="str">
        <f t="shared" si="44"/>
        <v xml:space="preserve">  </v>
      </c>
      <c r="Q122" s="68" t="e">
        <f>IF(OR(P124-P123=P123-P122,P125-P123=P123-P122),P122,IF(OR(P124-P123=P123-P121,P125-P123=P123-P121),P121,"-"))</f>
        <v>#VALUE!</v>
      </c>
      <c r="R122" s="69" t="e">
        <f>VLOOKUP(Q122,STN_TABLE,2,FALSE)</f>
        <v>#VALUE!</v>
      </c>
      <c r="S122" s="69">
        <v>5</v>
      </c>
      <c r="T122" s="68" t="e">
        <f>R122*S122</f>
        <v>#VALUE!</v>
      </c>
      <c r="U122" s="79">
        <v>3</v>
      </c>
      <c r="V122" s="68" t="e">
        <f>R122*U122</f>
        <v>#VALUE!</v>
      </c>
      <c r="W122" s="6" t="s">
        <v>93</v>
      </c>
      <c r="X122" s="70" t="e">
        <f>IF(AND(Q124-Q123=Q123-Q122,NOT(AND(Q122=0,Q123=0)),NOT(AND(Q123=0,Q124=0))),WLS*(Q124-Q123),"#NA")</f>
        <v>#VALUE!</v>
      </c>
      <c r="AD122" s="93"/>
      <c r="AH122" s="6" t="s">
        <v>93</v>
      </c>
      <c r="AI122" s="70" t="e">
        <f>WLS*(AD124-AD123)</f>
        <v>#VALUE!</v>
      </c>
      <c r="AU122" s="81"/>
    </row>
    <row r="123" spans="1:47" x14ac:dyDescent="0.25">
      <c r="A123" s="84">
        <f>A122+1</f>
        <v>18</v>
      </c>
      <c r="B123" s="84" t="str">
        <f t="shared" si="48"/>
        <v xml:space="preserve">  </v>
      </c>
      <c r="C123" s="80" t="e">
        <f t="shared" ref="C123" si="59">IF(OR(B125-B124=B124-B123,B125-B124=B124-B122,B125-B124=B124-B121),B124,IF(OR(B125-B123=B123-B122,B125-B123=B123-B121),B123,IF(B125-B122=B122-B121,B122,"#NA")))</f>
        <v>#VALUE!</v>
      </c>
      <c r="D123" s="76" t="e">
        <f>VLOOKUP(C123,STN_TABLE,2,FALSE)</f>
        <v>#VALUE!</v>
      </c>
      <c r="E123" s="81">
        <v>4</v>
      </c>
      <c r="F123" s="76" t="e">
        <f>D123*E123</f>
        <v>#VALUE!</v>
      </c>
      <c r="G123" s="77" t="e">
        <f>C123</f>
        <v>#VALUE!</v>
      </c>
      <c r="H123" s="77" t="e">
        <f>F123*G123</f>
        <v>#VALUE!</v>
      </c>
      <c r="I123" s="495" t="s">
        <v>97</v>
      </c>
      <c r="J123" s="496"/>
      <c r="K123" s="78" t="s">
        <v>98</v>
      </c>
      <c r="L123" s="78"/>
      <c r="M123" s="7" t="s">
        <v>99</v>
      </c>
      <c r="N123" s="7"/>
      <c r="O123" s="99">
        <f>O122+1</f>
        <v>20</v>
      </c>
      <c r="P123" s="99" t="str">
        <f t="shared" si="44"/>
        <v xml:space="preserve">  </v>
      </c>
      <c r="Q123" s="76" t="str">
        <f>P123</f>
        <v xml:space="preserve">  </v>
      </c>
      <c r="R123" s="77" t="str">
        <f>VLOOKUP(Q123,STN_TABLE,2,FALSE)</f>
        <v xml:space="preserve">  </v>
      </c>
      <c r="S123" s="77">
        <v>8</v>
      </c>
      <c r="T123" s="76" t="e">
        <f>R123*S123</f>
        <v>#VALUE!</v>
      </c>
      <c r="U123" s="80">
        <v>10</v>
      </c>
      <c r="V123" s="76" t="e">
        <f>R123*U123</f>
        <v>#VALUE!</v>
      </c>
      <c r="W123" s="496" t="s">
        <v>97</v>
      </c>
      <c r="X123" s="496"/>
      <c r="Y123" s="496" t="s">
        <v>98</v>
      </c>
      <c r="Z123" s="496"/>
      <c r="AA123" s="494" t="s">
        <v>99</v>
      </c>
      <c r="AB123" s="494"/>
      <c r="AC123" s="99">
        <f>AC118+1</f>
        <v>19</v>
      </c>
      <c r="AD123" s="95" t="str">
        <f>VLOOKUP(AC123,STN_TABLE_2,2,FALSE)</f>
        <v xml:space="preserve">  </v>
      </c>
      <c r="AE123" s="68" t="str">
        <f>VLOOKUP(AD123,STN_TABLE,2,FALSE)</f>
        <v xml:space="preserve">  </v>
      </c>
      <c r="AF123" s="68">
        <v>1</v>
      </c>
      <c r="AG123" s="69" t="e">
        <f>AE123*AF123</f>
        <v>#VALUE!</v>
      </c>
      <c r="AH123" s="496" t="s">
        <v>97</v>
      </c>
      <c r="AI123" s="496"/>
      <c r="AJ123" s="496" t="s">
        <v>98</v>
      </c>
      <c r="AK123" s="496"/>
      <c r="AL123" s="494" t="s">
        <v>99</v>
      </c>
      <c r="AM123" s="494"/>
      <c r="AP123" s="86" t="s">
        <v>112</v>
      </c>
      <c r="AQ123" s="89" t="s">
        <v>113</v>
      </c>
      <c r="AR123" s="89" t="s">
        <v>114</v>
      </c>
      <c r="AS123" s="89" t="s">
        <v>115</v>
      </c>
      <c r="AU123" s="81"/>
    </row>
    <row r="124" spans="1:47" x14ac:dyDescent="0.25">
      <c r="A124" s="84">
        <f>A123+1</f>
        <v>19</v>
      </c>
      <c r="B124" s="84" t="str">
        <f t="shared" si="48"/>
        <v xml:space="preserve">  </v>
      </c>
      <c r="C124" s="88" t="str">
        <f t="shared" ref="C124" si="60">B125</f>
        <v xml:space="preserve">  </v>
      </c>
      <c r="D124" s="82" t="str">
        <f>VLOOKUP(C124,STN_TABLE,2,FALSE)</f>
        <v xml:space="preserve">  </v>
      </c>
      <c r="E124" s="92">
        <v>1</v>
      </c>
      <c r="F124" s="82" t="e">
        <f>D124*E124</f>
        <v>#VALUE!</v>
      </c>
      <c r="G124" s="83" t="str">
        <f>C124</f>
        <v xml:space="preserve">  </v>
      </c>
      <c r="H124" s="83" t="e">
        <f>F124*G124</f>
        <v>#VALUE!</v>
      </c>
      <c r="I124" s="84" t="str">
        <f>CONCATENATE("a'(",C124,")=")</f>
        <v>a'(  )=</v>
      </c>
      <c r="J124" s="84" t="e">
        <f>2*J122/3*F125</f>
        <v>#VALUE!</v>
      </c>
      <c r="K124" s="84" t="e">
        <f>CONCATENATE("A(",C122,")=")</f>
        <v>#VALUE!</v>
      </c>
      <c r="L124" s="84" t="e">
        <f>VLOOKUP(C122,STN_TABLE,3,FALSE)</f>
        <v>#VALUE!</v>
      </c>
      <c r="M124" t="str">
        <f>CONCATENATE("A(",C124,")=")</f>
        <v>A(  )=</v>
      </c>
      <c r="N124" t="e">
        <f>J124+L124</f>
        <v>#VALUE!</v>
      </c>
      <c r="O124" s="99">
        <f>O123+1</f>
        <v>21</v>
      </c>
      <c r="P124" s="99" t="str">
        <f t="shared" si="44"/>
        <v xml:space="preserve">  </v>
      </c>
      <c r="Q124" s="82" t="e">
        <f>IF(P124-P123=P123-P122,P124,IF(P125-P123=P123-P122,P125,IF(P124-P123=P123-P121,P124,IF(P125-P123=P123-P121,P125,"-"))))</f>
        <v>#VALUE!</v>
      </c>
      <c r="R124" s="83" t="e">
        <f>VLOOKUP(Q124,STN_TABLE,2,FALSE)</f>
        <v>#VALUE!</v>
      </c>
      <c r="S124" s="83">
        <v>-1</v>
      </c>
      <c r="T124" s="82" t="e">
        <f>R124*S124</f>
        <v>#VALUE!</v>
      </c>
      <c r="U124" s="88">
        <v>-1</v>
      </c>
      <c r="V124" s="82" t="e">
        <f>R124*U124</f>
        <v>#VALUE!</v>
      </c>
      <c r="W124" s="84" t="str">
        <f>CONCATENATE("a'(",Q123,")=")</f>
        <v>a'(  )=</v>
      </c>
      <c r="X124" s="84" t="e">
        <f>2*X122/12*T125</f>
        <v>#VALUE!</v>
      </c>
      <c r="Y124" s="84" t="e">
        <f>CONCATENATE("A(",Q122,")=")</f>
        <v>#VALUE!</v>
      </c>
      <c r="Z124" s="84" t="e">
        <f>VLOOKUP(Q122,STN_TABLE,3,FALSE)</f>
        <v>#VALUE!</v>
      </c>
      <c r="AA124" t="str">
        <f>CONCATENATE("A(",Q123,")=")</f>
        <v>A(  )=</v>
      </c>
      <c r="AB124" t="e">
        <f>X124+Z124</f>
        <v>#VALUE!</v>
      </c>
      <c r="AC124" s="99">
        <f>AC123+1</f>
        <v>20</v>
      </c>
      <c r="AD124" s="100" t="str">
        <f>VLOOKUP(AC124,STN_TABLE_2,2,FALSE)</f>
        <v xml:space="preserve">  </v>
      </c>
      <c r="AE124" s="82" t="str">
        <f>VLOOKUP(AD124,STN_TABLE,2,FALSE)</f>
        <v xml:space="preserve">  </v>
      </c>
      <c r="AF124" s="82">
        <v>2</v>
      </c>
      <c r="AG124" s="83" t="e">
        <f>AE124*AF124</f>
        <v>#VALUE!</v>
      </c>
      <c r="AH124" s="84" t="str">
        <f>CONCATENATE("a'(",AD124,")=")</f>
        <v>a'(  )=</v>
      </c>
      <c r="AI124" s="84" t="e">
        <f>2*AI122/2*AE125</f>
        <v>#VALUE!</v>
      </c>
      <c r="AJ124" s="84" t="str">
        <f>CONCATENATE("A(",AD123,")=")</f>
        <v>A(  )=</v>
      </c>
      <c r="AK124" s="84" t="str">
        <f>VLOOKUP(AD123,STN_TABLE,3,FALSE)</f>
        <v xml:space="preserve"> </v>
      </c>
      <c r="AL124" t="str">
        <f>CONCATENATE("A(",AD124,")=")</f>
        <v>A(  )=</v>
      </c>
      <c r="AM124" t="e">
        <f>AI124+AK124</f>
        <v>#VALUE!</v>
      </c>
      <c r="AO124" s="68" t="str">
        <f>AA124</f>
        <v>A(  )=</v>
      </c>
      <c r="AP124" s="68" t="e">
        <f>VLOOKUP(AO124,Rise_Results,2,FALSE)</f>
        <v>#N/A</v>
      </c>
      <c r="AQ124" s="76" t="e">
        <f>N124</f>
        <v>#VALUE!</v>
      </c>
      <c r="AR124" s="76" t="e">
        <f>IF(OR(AB124&lt;=0,AB125&lt;=0),1/0,AB124)</f>
        <v>#VALUE!</v>
      </c>
      <c r="AS124" s="76" t="e">
        <f>AM124</f>
        <v>#VALUE!</v>
      </c>
      <c r="AT124" t="e">
        <f>IFERROR(AP124,IFERROR(AQ124,IFERROR(AR124,AS124)))</f>
        <v>#VALUE!</v>
      </c>
      <c r="AU124" s="81"/>
    </row>
    <row r="125" spans="1:47" x14ac:dyDescent="0.25">
      <c r="A125" s="84">
        <f>A124+1</f>
        <v>20</v>
      </c>
      <c r="B125" s="84" t="str">
        <f t="shared" si="48"/>
        <v xml:space="preserve">  </v>
      </c>
      <c r="F125" s="82" t="e">
        <f>SUM(F122:F124)</f>
        <v>#VALUE!</v>
      </c>
      <c r="H125" s="82" t="e">
        <f>SUM(H122:H124)</f>
        <v>#VALUE!</v>
      </c>
      <c r="I125" s="84" t="str">
        <f>CONCATENATE("m'(",C124,")=")</f>
        <v>m'(  )=</v>
      </c>
      <c r="J125" s="84" t="e">
        <f>2*(J122*(WLS))/3*H125</f>
        <v>#VALUE!</v>
      </c>
      <c r="K125" s="84" t="e">
        <f>CONCATENATE("M(",C122,")=")</f>
        <v>#VALUE!</v>
      </c>
      <c r="L125" s="84" t="e">
        <f>VLOOKUP(C122,STN_TABLE,4,FALSE)</f>
        <v>#VALUE!</v>
      </c>
      <c r="M125" t="str">
        <f>CONCATENATE("M(",C124,")=")</f>
        <v>M(  )=</v>
      </c>
      <c r="N125" t="e">
        <f>J125+L125</f>
        <v>#VALUE!</v>
      </c>
      <c r="O125" s="99">
        <f>O124+1</f>
        <v>22</v>
      </c>
      <c r="P125" s="99" t="str">
        <f t="shared" si="44"/>
        <v xml:space="preserve">  </v>
      </c>
      <c r="T125" s="89" t="e">
        <f>SUM(T122:T124)</f>
        <v>#VALUE!</v>
      </c>
      <c r="V125" s="82" t="e">
        <f>SUM(V122:V124)</f>
        <v>#VALUE!</v>
      </c>
      <c r="W125" s="84" t="str">
        <f>CONCATENATE("m'(",Q123,")=")</f>
        <v>m'(  )=</v>
      </c>
      <c r="X125" s="84" t="e">
        <f>(2*(X122^2)/24*V125)+(X124*Q122*WLS)</f>
        <v>#VALUE!</v>
      </c>
      <c r="Y125" s="84" t="e">
        <f>CONCATENATE("M(",Q122,")=")</f>
        <v>#VALUE!</v>
      </c>
      <c r="Z125" s="84" t="e">
        <f>VLOOKUP(Q122,STN_TABLE,4,FALSE)</f>
        <v>#VALUE!</v>
      </c>
      <c r="AA125" t="str">
        <f>CONCATENATE("M(",Q123,")=")</f>
        <v>M(  )=</v>
      </c>
      <c r="AB125" t="e">
        <f>X125+Z125</f>
        <v>#VALUE!</v>
      </c>
      <c r="AE125" s="89">
        <f>SUM(AE123:AE124)</f>
        <v>0</v>
      </c>
      <c r="AG125" s="89" t="e">
        <f>SUM(AG123:AG124)</f>
        <v>#VALUE!</v>
      </c>
      <c r="AH125" s="84" t="str">
        <f>CONCATENATE("m'(",AD124,")=")</f>
        <v>m'(  )=</v>
      </c>
      <c r="AI125" s="84" t="e">
        <f>(2*(AI122^2)/6*AG125)+(AI124*AD123*WLS)</f>
        <v>#VALUE!</v>
      </c>
      <c r="AJ125" s="84" t="str">
        <f>CONCATENATE("M(",AD123,")=")</f>
        <v>M(  )=</v>
      </c>
      <c r="AK125" s="84" t="str">
        <f>VLOOKUP(AD123,STN_TABLE,4,FALSE)</f>
        <v xml:space="preserve"> </v>
      </c>
      <c r="AL125" t="str">
        <f>CONCATENATE("M(",AD124,")=")</f>
        <v>M(  )=</v>
      </c>
      <c r="AM125" t="e">
        <f>AI125+AK125</f>
        <v>#VALUE!</v>
      </c>
      <c r="AO125" s="82" t="str">
        <f>AA125</f>
        <v>M(  )=</v>
      </c>
      <c r="AP125" s="82" t="e">
        <f>VLOOKUP(AO125,Rise_Results,2,FALSE)</f>
        <v>#N/A</v>
      </c>
      <c r="AQ125" s="82" t="e">
        <f>N125</f>
        <v>#VALUE!</v>
      </c>
      <c r="AR125" s="82" t="e">
        <f>IF(OR(AB124&lt;=0,AB125&lt;=0),1/0,AB125)</f>
        <v>#VALUE!</v>
      </c>
      <c r="AS125" s="82" t="e">
        <f>AM125</f>
        <v>#VALUE!</v>
      </c>
      <c r="AT125" t="e">
        <f>IFERROR(AP125,IFERROR(AQ125,IFERROR(AR125,AS125)))</f>
        <v>#VALUE!</v>
      </c>
      <c r="AU125" s="81"/>
    </row>
    <row r="126" spans="1:47" x14ac:dyDescent="0.25">
      <c r="A126" s="101">
        <f>A121+1</f>
        <v>17</v>
      </c>
      <c r="B126" s="101" t="str">
        <f t="shared" si="48"/>
        <v xml:space="preserve">  </v>
      </c>
      <c r="O126" s="101">
        <f>O121+1</f>
        <v>19</v>
      </c>
      <c r="P126" s="101" t="str">
        <f t="shared" si="44"/>
        <v xml:space="preserve">  </v>
      </c>
      <c r="AU126" s="81"/>
    </row>
    <row r="127" spans="1:47" x14ac:dyDescent="0.25">
      <c r="A127" s="84">
        <f>A126+1</f>
        <v>18</v>
      </c>
      <c r="B127" s="84" t="str">
        <f t="shared" si="48"/>
        <v xml:space="preserve">  </v>
      </c>
      <c r="C127" s="79" t="e">
        <f t="shared" ref="C127" si="61">IF(C128=B129,IF(C129-C128=C128-B128,B128,IF(C129-C128=C128-B127,B127,"#NA")),IF(C128=B128,IF(C129-C128=C128-B127,B127,IF(C129-C128=C128-B126,B126,"#NA")),"#NA"))</f>
        <v>#VALUE!</v>
      </c>
      <c r="D127" s="68" t="e">
        <f>VLOOKUP(C127,STN_TABLE,2,FALSE)</f>
        <v>#VALUE!</v>
      </c>
      <c r="E127" s="102">
        <v>1</v>
      </c>
      <c r="F127" s="68" t="e">
        <f>D127*E127</f>
        <v>#VALUE!</v>
      </c>
      <c r="G127" s="69" t="e">
        <f>C127</f>
        <v>#VALUE!</v>
      </c>
      <c r="H127" s="69" t="e">
        <f>F127*G127</f>
        <v>#VALUE!</v>
      </c>
      <c r="I127" s="6" t="s">
        <v>93</v>
      </c>
      <c r="J127" s="70" t="e">
        <f>IF(OR(D127=0,D128=0,D129=0),"#NA",IF(AND(C129-C128=C128-C127,C128&lt;&gt;C129,C127&lt;&gt;C128,C127&lt;&gt;C129,D129&lt;&gt;0,OR(D127&lt;&gt;0,D128&lt;&gt;0)),WLS*(C129-C128),"#NA"))</f>
        <v>#VALUE!</v>
      </c>
      <c r="O127" s="99">
        <f>O126+1</f>
        <v>20</v>
      </c>
      <c r="P127" s="99" t="str">
        <f t="shared" si="44"/>
        <v xml:space="preserve">  </v>
      </c>
      <c r="Q127" s="68" t="e">
        <f>IF(OR(P129-P128=P128-P127,P130-P128=P128-P127),P127,IF(OR(P129-P128=P128-P126,P130-P128=P128-P126),P126,"-"))</f>
        <v>#VALUE!</v>
      </c>
      <c r="R127" s="69" t="e">
        <f>VLOOKUP(Q127,STN_TABLE,2,FALSE)</f>
        <v>#VALUE!</v>
      </c>
      <c r="S127" s="69">
        <v>5</v>
      </c>
      <c r="T127" s="68" t="e">
        <f>R127*S127</f>
        <v>#VALUE!</v>
      </c>
      <c r="U127" s="79">
        <v>3</v>
      </c>
      <c r="V127" s="68" t="e">
        <f>R127*U127</f>
        <v>#VALUE!</v>
      </c>
      <c r="W127" s="6" t="s">
        <v>93</v>
      </c>
      <c r="X127" s="70" t="e">
        <f>IF(AND(Q129-Q128=Q128-Q127,NOT(AND(Q127=0,Q128=0)),NOT(AND(Q128=0,Q129=0))),WLS*(Q129-Q128),"#NA")</f>
        <v>#VALUE!</v>
      </c>
      <c r="AD127" s="93"/>
      <c r="AH127" s="6" t="s">
        <v>93</v>
      </c>
      <c r="AI127" s="70" t="e">
        <f>WLS*(AD129-AD128)</f>
        <v>#VALUE!</v>
      </c>
      <c r="AU127" s="81"/>
    </row>
    <row r="128" spans="1:47" x14ac:dyDescent="0.25">
      <c r="A128" s="84">
        <f>A127+1</f>
        <v>19</v>
      </c>
      <c r="B128" s="84" t="str">
        <f t="shared" si="48"/>
        <v xml:space="preserve">  </v>
      </c>
      <c r="C128" s="80" t="e">
        <f t="shared" ref="C128" si="62">IF(OR(B130-B129=B129-B128,B130-B129=B129-B127,B130-B129=B129-B126),B129,IF(OR(B130-B128=B128-B127,B130-B128=B128-B126),B128,IF(B130-B127=B127-B126,B127,"#NA")))</f>
        <v>#VALUE!</v>
      </c>
      <c r="D128" s="76" t="e">
        <f>VLOOKUP(C128,STN_TABLE,2,FALSE)</f>
        <v>#VALUE!</v>
      </c>
      <c r="E128" s="81">
        <v>4</v>
      </c>
      <c r="F128" s="76" t="e">
        <f>D128*E128</f>
        <v>#VALUE!</v>
      </c>
      <c r="G128" s="77" t="e">
        <f>C128</f>
        <v>#VALUE!</v>
      </c>
      <c r="H128" s="77" t="e">
        <f>F128*G128</f>
        <v>#VALUE!</v>
      </c>
      <c r="I128" s="495" t="s">
        <v>97</v>
      </c>
      <c r="J128" s="496"/>
      <c r="K128" s="78" t="s">
        <v>98</v>
      </c>
      <c r="L128" s="78"/>
      <c r="M128" s="7" t="s">
        <v>99</v>
      </c>
      <c r="N128" s="7"/>
      <c r="O128" s="99">
        <f>O127+1</f>
        <v>21</v>
      </c>
      <c r="P128" s="99" t="str">
        <f t="shared" si="44"/>
        <v xml:space="preserve">  </v>
      </c>
      <c r="Q128" s="76" t="str">
        <f>P128</f>
        <v xml:space="preserve">  </v>
      </c>
      <c r="R128" s="77" t="str">
        <f>VLOOKUP(Q128,STN_TABLE,2,FALSE)</f>
        <v xml:space="preserve">  </v>
      </c>
      <c r="S128" s="77">
        <v>8</v>
      </c>
      <c r="T128" s="76" t="e">
        <f>R128*S128</f>
        <v>#VALUE!</v>
      </c>
      <c r="U128" s="80">
        <v>10</v>
      </c>
      <c r="V128" s="76" t="e">
        <f>R128*U128</f>
        <v>#VALUE!</v>
      </c>
      <c r="W128" s="496" t="s">
        <v>97</v>
      </c>
      <c r="X128" s="496"/>
      <c r="Y128" s="496" t="s">
        <v>98</v>
      </c>
      <c r="Z128" s="496"/>
      <c r="AA128" s="494" t="s">
        <v>99</v>
      </c>
      <c r="AB128" s="494"/>
      <c r="AC128" s="99">
        <f>AC123+1</f>
        <v>20</v>
      </c>
      <c r="AD128" s="95" t="str">
        <f>VLOOKUP(AC128,STN_TABLE_2,2,FALSE)</f>
        <v xml:space="preserve">  </v>
      </c>
      <c r="AE128" s="68" t="str">
        <f>VLOOKUP(AD128,STN_TABLE,2,FALSE)</f>
        <v xml:space="preserve">  </v>
      </c>
      <c r="AF128" s="68">
        <v>1</v>
      </c>
      <c r="AG128" s="69" t="e">
        <f>AE128*AF128</f>
        <v>#VALUE!</v>
      </c>
      <c r="AH128" s="496" t="s">
        <v>97</v>
      </c>
      <c r="AI128" s="496"/>
      <c r="AJ128" s="496" t="s">
        <v>98</v>
      </c>
      <c r="AK128" s="496"/>
      <c r="AL128" s="494" t="s">
        <v>99</v>
      </c>
      <c r="AM128" s="494"/>
      <c r="AP128" s="86" t="s">
        <v>112</v>
      </c>
      <c r="AQ128" s="89" t="s">
        <v>113</v>
      </c>
      <c r="AR128" s="89" t="s">
        <v>114</v>
      </c>
      <c r="AS128" s="89" t="s">
        <v>115</v>
      </c>
      <c r="AU128" s="81"/>
    </row>
    <row r="129" spans="1:47" x14ac:dyDescent="0.25">
      <c r="A129" s="84">
        <f>A128+1</f>
        <v>20</v>
      </c>
      <c r="B129" s="84" t="str">
        <f t="shared" si="48"/>
        <v xml:space="preserve">  </v>
      </c>
      <c r="C129" s="88" t="str">
        <f t="shared" ref="C129" si="63">B130</f>
        <v xml:space="preserve">  </v>
      </c>
      <c r="D129" s="82" t="str">
        <f>VLOOKUP(C129,STN_TABLE,2,FALSE)</f>
        <v xml:space="preserve">  </v>
      </c>
      <c r="E129" s="92">
        <v>1</v>
      </c>
      <c r="F129" s="82" t="e">
        <f>D129*E129</f>
        <v>#VALUE!</v>
      </c>
      <c r="G129" s="83" t="str">
        <f>C129</f>
        <v xml:space="preserve">  </v>
      </c>
      <c r="H129" s="83" t="e">
        <f>F129*G129</f>
        <v>#VALUE!</v>
      </c>
      <c r="I129" s="84" t="str">
        <f>CONCATENATE("a'(",C129,")=")</f>
        <v>a'(  )=</v>
      </c>
      <c r="J129" s="84" t="e">
        <f>2*J127/3*F130</f>
        <v>#VALUE!</v>
      </c>
      <c r="K129" s="84" t="e">
        <f>CONCATENATE("A(",C127,")=")</f>
        <v>#VALUE!</v>
      </c>
      <c r="L129" s="84" t="e">
        <f>VLOOKUP(C127,STN_TABLE,3,FALSE)</f>
        <v>#VALUE!</v>
      </c>
      <c r="M129" t="str">
        <f>CONCATENATE("A(",C129,")=")</f>
        <v>A(  )=</v>
      </c>
      <c r="N129" t="e">
        <f>J129+L129</f>
        <v>#VALUE!</v>
      </c>
      <c r="O129" s="99">
        <f>O128+1</f>
        <v>22</v>
      </c>
      <c r="P129" s="99" t="str">
        <f t="shared" si="44"/>
        <v xml:space="preserve">  </v>
      </c>
      <c r="Q129" s="82" t="e">
        <f>IF(P129-P128=P128-P127,P129,IF(P130-P128=P128-P127,P130,IF(P129-P128=P128-P126,P129,IF(P130-P128=P128-P126,P130,"-"))))</f>
        <v>#VALUE!</v>
      </c>
      <c r="R129" s="83" t="e">
        <f>VLOOKUP(Q129,STN_TABLE,2,FALSE)</f>
        <v>#VALUE!</v>
      </c>
      <c r="S129" s="83">
        <v>-1</v>
      </c>
      <c r="T129" s="82" t="e">
        <f>R129*S129</f>
        <v>#VALUE!</v>
      </c>
      <c r="U129" s="88">
        <v>-1</v>
      </c>
      <c r="V129" s="82" t="e">
        <f>R129*U129</f>
        <v>#VALUE!</v>
      </c>
      <c r="W129" s="84" t="str">
        <f>CONCATENATE("a'(",Q128,")=")</f>
        <v>a'(  )=</v>
      </c>
      <c r="X129" s="84" t="e">
        <f>2*X127/12*T130</f>
        <v>#VALUE!</v>
      </c>
      <c r="Y129" s="84" t="e">
        <f>CONCATENATE("A(",Q127,")=")</f>
        <v>#VALUE!</v>
      </c>
      <c r="Z129" s="84" t="e">
        <f>VLOOKUP(Q127,STN_TABLE,3,FALSE)</f>
        <v>#VALUE!</v>
      </c>
      <c r="AA129" t="str">
        <f>CONCATENATE("A(",Q128,")=")</f>
        <v>A(  )=</v>
      </c>
      <c r="AB129" t="e">
        <f>X129+Z129</f>
        <v>#VALUE!</v>
      </c>
      <c r="AC129" s="99">
        <f>AC128+1</f>
        <v>21</v>
      </c>
      <c r="AD129" s="100" t="str">
        <f>VLOOKUP(AC129,STN_TABLE_2,2,FALSE)</f>
        <v xml:space="preserve">  </v>
      </c>
      <c r="AE129" s="82" t="str">
        <f>VLOOKUP(AD129,STN_TABLE,2,FALSE)</f>
        <v xml:space="preserve">  </v>
      </c>
      <c r="AF129" s="82">
        <v>2</v>
      </c>
      <c r="AG129" s="83" t="e">
        <f>AE129*AF129</f>
        <v>#VALUE!</v>
      </c>
      <c r="AH129" s="84" t="str">
        <f>CONCATENATE("a'(",AD129,")=")</f>
        <v>a'(  )=</v>
      </c>
      <c r="AI129" s="84" t="e">
        <f>2*AI127/2*AE130</f>
        <v>#VALUE!</v>
      </c>
      <c r="AJ129" s="84" t="str">
        <f>CONCATENATE("A(",AD128,")=")</f>
        <v>A(  )=</v>
      </c>
      <c r="AK129" s="84" t="str">
        <f>VLOOKUP(AD128,STN_TABLE,3,FALSE)</f>
        <v xml:space="preserve"> </v>
      </c>
      <c r="AL129" t="str">
        <f>CONCATENATE("A(",AD129,")=")</f>
        <v>A(  )=</v>
      </c>
      <c r="AM129" t="e">
        <f>AI129+AK129</f>
        <v>#VALUE!</v>
      </c>
      <c r="AO129" s="68" t="str">
        <f>AA129</f>
        <v>A(  )=</v>
      </c>
      <c r="AP129" s="68" t="e">
        <f>VLOOKUP(AO129,Rise_Results,2,FALSE)</f>
        <v>#N/A</v>
      </c>
      <c r="AQ129" s="76" t="e">
        <f>N129</f>
        <v>#VALUE!</v>
      </c>
      <c r="AR129" s="76" t="e">
        <f>IF(OR(AB129&lt;=0,AB130&lt;=0),1/0,AB129)</f>
        <v>#VALUE!</v>
      </c>
      <c r="AS129" s="76" t="e">
        <f>AM129</f>
        <v>#VALUE!</v>
      </c>
      <c r="AT129" t="e">
        <f>IFERROR(AP129,IFERROR(AQ129,IFERROR(AR129,AS129)))</f>
        <v>#VALUE!</v>
      </c>
      <c r="AU129" s="81"/>
    </row>
    <row r="130" spans="1:47" x14ac:dyDescent="0.25">
      <c r="A130" s="84">
        <f>A129+1</f>
        <v>21</v>
      </c>
      <c r="B130" s="84" t="str">
        <f t="shared" si="48"/>
        <v xml:space="preserve">  </v>
      </c>
      <c r="F130" s="82" t="e">
        <f>SUM(F127:F129)</f>
        <v>#VALUE!</v>
      </c>
      <c r="H130" s="82" t="e">
        <f>SUM(H127:H129)</f>
        <v>#VALUE!</v>
      </c>
      <c r="I130" s="84" t="str">
        <f>CONCATENATE("m'(",C129,")=")</f>
        <v>m'(  )=</v>
      </c>
      <c r="J130" s="84" t="e">
        <f>2*(J127*(WLS))/3*H130</f>
        <v>#VALUE!</v>
      </c>
      <c r="K130" s="84" t="e">
        <f>CONCATENATE("M(",C127,")=")</f>
        <v>#VALUE!</v>
      </c>
      <c r="L130" s="84" t="e">
        <f>VLOOKUP(C127,STN_TABLE,4,FALSE)</f>
        <v>#VALUE!</v>
      </c>
      <c r="M130" t="str">
        <f>CONCATENATE("M(",C129,")=")</f>
        <v>M(  )=</v>
      </c>
      <c r="N130" t="e">
        <f>J130+L130</f>
        <v>#VALUE!</v>
      </c>
      <c r="O130" s="99">
        <f>O129+1</f>
        <v>23</v>
      </c>
      <c r="P130" s="99" t="str">
        <f t="shared" si="44"/>
        <v xml:space="preserve">  </v>
      </c>
      <c r="T130" s="89" t="e">
        <f>SUM(T127:T129)</f>
        <v>#VALUE!</v>
      </c>
      <c r="V130" s="82" t="e">
        <f>SUM(V127:V129)</f>
        <v>#VALUE!</v>
      </c>
      <c r="W130" s="84" t="str">
        <f>CONCATENATE("m'(",Q128,")=")</f>
        <v>m'(  )=</v>
      </c>
      <c r="X130" s="84" t="e">
        <f>(2*(X127^2)/24*V130)+(X129*Q127*WLS)</f>
        <v>#VALUE!</v>
      </c>
      <c r="Y130" s="84" t="e">
        <f>CONCATENATE("M(",Q127,")=")</f>
        <v>#VALUE!</v>
      </c>
      <c r="Z130" s="84" t="e">
        <f>VLOOKUP(Q127,STN_TABLE,4,FALSE)</f>
        <v>#VALUE!</v>
      </c>
      <c r="AA130" t="str">
        <f>CONCATENATE("M(",Q128,")=")</f>
        <v>M(  )=</v>
      </c>
      <c r="AB130" t="e">
        <f>X130+Z130</f>
        <v>#VALUE!</v>
      </c>
      <c r="AE130" s="89">
        <f>SUM(AE128:AE129)</f>
        <v>0</v>
      </c>
      <c r="AG130" s="89" t="e">
        <f>SUM(AG128:AG129)</f>
        <v>#VALUE!</v>
      </c>
      <c r="AH130" s="84" t="str">
        <f>CONCATENATE("m'(",AD129,")=")</f>
        <v>m'(  )=</v>
      </c>
      <c r="AI130" s="84" t="e">
        <f>(2*(AI127^2)/6*AG130)+(AI129*AD128*WLS)</f>
        <v>#VALUE!</v>
      </c>
      <c r="AJ130" s="84" t="str">
        <f>CONCATENATE("M(",AD128,")=")</f>
        <v>M(  )=</v>
      </c>
      <c r="AK130" s="84" t="str">
        <f>VLOOKUP(AD128,STN_TABLE,4,FALSE)</f>
        <v xml:space="preserve"> </v>
      </c>
      <c r="AL130" t="str">
        <f>CONCATENATE("M(",AD129,")=")</f>
        <v>M(  )=</v>
      </c>
      <c r="AM130" t="e">
        <f>AI130+AK130</f>
        <v>#VALUE!</v>
      </c>
      <c r="AO130" s="82" t="str">
        <f>AA130</f>
        <v>M(  )=</v>
      </c>
      <c r="AP130" s="82" t="e">
        <f>VLOOKUP(AO130,Rise_Results,2,FALSE)</f>
        <v>#N/A</v>
      </c>
      <c r="AQ130" s="82" t="e">
        <f>N130</f>
        <v>#VALUE!</v>
      </c>
      <c r="AR130" s="82" t="e">
        <f>IF(OR(AB129&lt;=0,AB130&lt;=0),1/0,AB130)</f>
        <v>#VALUE!</v>
      </c>
      <c r="AS130" s="82" t="e">
        <f>AM130</f>
        <v>#VALUE!</v>
      </c>
      <c r="AT130" t="e">
        <f>IFERROR(AP130,IFERROR(AQ130,IFERROR(AR130,AS130)))</f>
        <v>#VALUE!</v>
      </c>
      <c r="AU130" s="81"/>
    </row>
    <row r="131" spans="1:47" x14ac:dyDescent="0.25">
      <c r="A131" s="101">
        <f>A126+1</f>
        <v>18</v>
      </c>
      <c r="B131" s="101" t="str">
        <f t="shared" si="48"/>
        <v xml:space="preserve">  </v>
      </c>
      <c r="O131" s="101">
        <f>O126+1</f>
        <v>20</v>
      </c>
      <c r="P131" s="101" t="str">
        <f t="shared" si="44"/>
        <v xml:space="preserve">  </v>
      </c>
      <c r="AU131" s="81"/>
    </row>
    <row r="132" spans="1:47" x14ac:dyDescent="0.25">
      <c r="A132" s="84">
        <f>A131+1</f>
        <v>19</v>
      </c>
      <c r="B132" s="84" t="str">
        <f t="shared" si="48"/>
        <v xml:space="preserve">  </v>
      </c>
      <c r="C132" s="79" t="e">
        <f t="shared" ref="C132" si="64">IF(C133=B134,IF(C134-C133=C133-B133,B133,IF(C134-C133=C133-B132,B132,"#NA")),IF(C133=B133,IF(C134-C133=C133-B132,B132,IF(C134-C133=C133-B131,B131,"#NA")),"#NA"))</f>
        <v>#VALUE!</v>
      </c>
      <c r="D132" s="68" t="e">
        <f>VLOOKUP(C132,STN_TABLE,2,FALSE)</f>
        <v>#VALUE!</v>
      </c>
      <c r="E132" s="102">
        <v>1</v>
      </c>
      <c r="F132" s="68" t="e">
        <f>D132*E132</f>
        <v>#VALUE!</v>
      </c>
      <c r="G132" s="69" t="e">
        <f>C132</f>
        <v>#VALUE!</v>
      </c>
      <c r="H132" s="69" t="e">
        <f>F132*G132</f>
        <v>#VALUE!</v>
      </c>
      <c r="I132" s="6" t="s">
        <v>93</v>
      </c>
      <c r="J132" s="70" t="e">
        <f>IF(OR(D132=0,D133=0,D134=0),"#NA",IF(AND(C134-C133=C133-C132,C133&lt;&gt;C134,C132&lt;&gt;C133,C132&lt;&gt;C134,D134&lt;&gt;0,OR(D132&lt;&gt;0,D133&lt;&gt;0)),WLS*(C134-C133),"#NA"))</f>
        <v>#VALUE!</v>
      </c>
      <c r="O132" s="99">
        <f>O131+1</f>
        <v>21</v>
      </c>
      <c r="P132" s="99" t="str">
        <f t="shared" ref="P132:P150" si="65">VLOOKUP(O132,STN_TABLE_2,2,FALSE)</f>
        <v xml:space="preserve">  </v>
      </c>
      <c r="Q132" s="68" t="e">
        <f>IF(OR(P134-P133=P133-P132,P135-P133=P133-P132),P132,IF(OR(P134-P133=P133-P131,P135-P133=P133-P131),P131,"-"))</f>
        <v>#VALUE!</v>
      </c>
      <c r="R132" s="69" t="e">
        <f>VLOOKUP(Q132,STN_TABLE,2,FALSE)</f>
        <v>#VALUE!</v>
      </c>
      <c r="S132" s="69">
        <v>5</v>
      </c>
      <c r="T132" s="68" t="e">
        <f>R132*S132</f>
        <v>#VALUE!</v>
      </c>
      <c r="U132" s="79">
        <v>3</v>
      </c>
      <c r="V132" s="68" t="e">
        <f>R132*U132</f>
        <v>#VALUE!</v>
      </c>
      <c r="W132" s="6" t="s">
        <v>93</v>
      </c>
      <c r="X132" s="70" t="e">
        <f>IF(AND(Q134-Q133=Q133-Q132,NOT(AND(Q132=0,Q133=0)),NOT(AND(Q133=0,Q134=0))),WLS*(Q134-Q133),"#NA")</f>
        <v>#VALUE!</v>
      </c>
      <c r="AD132" s="93"/>
      <c r="AH132" s="6" t="s">
        <v>93</v>
      </c>
      <c r="AI132" s="70" t="e">
        <f>WLS*(AD134-AD133)</f>
        <v>#VALUE!</v>
      </c>
      <c r="AU132" s="81"/>
    </row>
    <row r="133" spans="1:47" x14ac:dyDescent="0.25">
      <c r="A133" s="84">
        <f>A132+1</f>
        <v>20</v>
      </c>
      <c r="B133" s="84" t="str">
        <f t="shared" si="48"/>
        <v xml:space="preserve">  </v>
      </c>
      <c r="C133" s="80" t="e">
        <f t="shared" ref="C133" si="66">IF(OR(B135-B134=B134-B133,B135-B134=B134-B132,B135-B134=B134-B131),B134,IF(OR(B135-B133=B133-B132,B135-B133=B133-B131),B133,IF(B135-B132=B132-B131,B132,"#NA")))</f>
        <v>#VALUE!</v>
      </c>
      <c r="D133" s="76" t="e">
        <f>VLOOKUP(C133,STN_TABLE,2,FALSE)</f>
        <v>#VALUE!</v>
      </c>
      <c r="E133" s="81">
        <v>4</v>
      </c>
      <c r="F133" s="76" t="e">
        <f>D133*E133</f>
        <v>#VALUE!</v>
      </c>
      <c r="G133" s="77" t="e">
        <f>C133</f>
        <v>#VALUE!</v>
      </c>
      <c r="H133" s="77" t="e">
        <f>F133*G133</f>
        <v>#VALUE!</v>
      </c>
      <c r="I133" s="495" t="s">
        <v>97</v>
      </c>
      <c r="J133" s="496"/>
      <c r="K133" s="78" t="s">
        <v>98</v>
      </c>
      <c r="L133" s="78"/>
      <c r="M133" s="7" t="s">
        <v>99</v>
      </c>
      <c r="N133" s="7"/>
      <c r="O133" s="99">
        <f>O132+1</f>
        <v>22</v>
      </c>
      <c r="P133" s="99" t="str">
        <f t="shared" si="65"/>
        <v xml:space="preserve">  </v>
      </c>
      <c r="Q133" s="76" t="str">
        <f>P133</f>
        <v xml:space="preserve">  </v>
      </c>
      <c r="R133" s="77" t="str">
        <f>VLOOKUP(Q133,STN_TABLE,2,FALSE)</f>
        <v xml:space="preserve">  </v>
      </c>
      <c r="S133" s="77">
        <v>8</v>
      </c>
      <c r="T133" s="76" t="e">
        <f>R133*S133</f>
        <v>#VALUE!</v>
      </c>
      <c r="U133" s="80">
        <v>10</v>
      </c>
      <c r="V133" s="76" t="e">
        <f>R133*U133</f>
        <v>#VALUE!</v>
      </c>
      <c r="W133" s="496" t="s">
        <v>97</v>
      </c>
      <c r="X133" s="496"/>
      <c r="Y133" s="496" t="s">
        <v>98</v>
      </c>
      <c r="Z133" s="496"/>
      <c r="AA133" s="494" t="s">
        <v>99</v>
      </c>
      <c r="AB133" s="494"/>
      <c r="AC133" s="99">
        <f>AC128+1</f>
        <v>21</v>
      </c>
      <c r="AD133" s="95" t="str">
        <f>VLOOKUP(AC133,STN_TABLE_2,2,FALSE)</f>
        <v xml:space="preserve">  </v>
      </c>
      <c r="AE133" s="68" t="str">
        <f>VLOOKUP(AD133,STN_TABLE,2,FALSE)</f>
        <v xml:space="preserve">  </v>
      </c>
      <c r="AF133" s="68">
        <v>1</v>
      </c>
      <c r="AG133" s="69" t="e">
        <f>AE133*AF133</f>
        <v>#VALUE!</v>
      </c>
      <c r="AH133" s="496" t="s">
        <v>97</v>
      </c>
      <c r="AI133" s="496"/>
      <c r="AJ133" s="496" t="s">
        <v>98</v>
      </c>
      <c r="AK133" s="496"/>
      <c r="AL133" s="494" t="s">
        <v>99</v>
      </c>
      <c r="AM133" s="494"/>
      <c r="AP133" s="86" t="s">
        <v>112</v>
      </c>
      <c r="AQ133" s="89" t="s">
        <v>113</v>
      </c>
      <c r="AR133" s="89" t="s">
        <v>114</v>
      </c>
      <c r="AS133" s="89" t="s">
        <v>115</v>
      </c>
      <c r="AU133" s="81"/>
    </row>
    <row r="134" spans="1:47" x14ac:dyDescent="0.25">
      <c r="A134" s="84">
        <f>A133+1</f>
        <v>21</v>
      </c>
      <c r="B134" s="84" t="str">
        <f t="shared" si="48"/>
        <v xml:space="preserve">  </v>
      </c>
      <c r="C134" s="88" t="str">
        <f t="shared" ref="C134" si="67">B135</f>
        <v xml:space="preserve">  </v>
      </c>
      <c r="D134" s="82" t="str">
        <f>VLOOKUP(C134,STN_TABLE,2,FALSE)</f>
        <v xml:space="preserve">  </v>
      </c>
      <c r="E134" s="92">
        <v>1</v>
      </c>
      <c r="F134" s="82" t="e">
        <f>D134*E134</f>
        <v>#VALUE!</v>
      </c>
      <c r="G134" s="83" t="str">
        <f>C134</f>
        <v xml:space="preserve">  </v>
      </c>
      <c r="H134" s="83" t="e">
        <f>F134*G134</f>
        <v>#VALUE!</v>
      </c>
      <c r="I134" s="84" t="str">
        <f>CONCATENATE("a'(",C134,")=")</f>
        <v>a'(  )=</v>
      </c>
      <c r="J134" s="84" t="e">
        <f>2*J132/3*F135</f>
        <v>#VALUE!</v>
      </c>
      <c r="K134" s="84" t="e">
        <f>CONCATENATE("A(",C132,")=")</f>
        <v>#VALUE!</v>
      </c>
      <c r="L134" s="84" t="e">
        <f>VLOOKUP(C132,STN_TABLE,3,FALSE)</f>
        <v>#VALUE!</v>
      </c>
      <c r="M134" t="str">
        <f>CONCATENATE("A(",C134,")=")</f>
        <v>A(  )=</v>
      </c>
      <c r="N134" t="e">
        <f>J134+L134</f>
        <v>#VALUE!</v>
      </c>
      <c r="O134" s="99">
        <f>O133+1</f>
        <v>23</v>
      </c>
      <c r="P134" s="99" t="str">
        <f t="shared" si="65"/>
        <v xml:space="preserve">  </v>
      </c>
      <c r="Q134" s="82" t="e">
        <f>IF(P134-P133=P133-P132,P134,IF(P135-P133=P133-P132,P135,IF(P134-P133=P133-P131,P134,IF(P135-P133=P133-P131,P135,"-"))))</f>
        <v>#VALUE!</v>
      </c>
      <c r="R134" s="83" t="e">
        <f>VLOOKUP(Q134,STN_TABLE,2,FALSE)</f>
        <v>#VALUE!</v>
      </c>
      <c r="S134" s="83">
        <v>-1</v>
      </c>
      <c r="T134" s="82" t="e">
        <f>R134*S134</f>
        <v>#VALUE!</v>
      </c>
      <c r="U134" s="88">
        <v>-1</v>
      </c>
      <c r="V134" s="82" t="e">
        <f>R134*U134</f>
        <v>#VALUE!</v>
      </c>
      <c r="W134" s="84" t="str">
        <f>CONCATENATE("a'(",Q133,")=")</f>
        <v>a'(  )=</v>
      </c>
      <c r="X134" s="84" t="e">
        <f>2*X132/12*T135</f>
        <v>#VALUE!</v>
      </c>
      <c r="Y134" s="84" t="e">
        <f>CONCATENATE("A(",Q132,")=")</f>
        <v>#VALUE!</v>
      </c>
      <c r="Z134" s="84" t="e">
        <f>VLOOKUP(Q132,STN_TABLE,3,FALSE)</f>
        <v>#VALUE!</v>
      </c>
      <c r="AA134" t="str">
        <f>CONCATENATE("A(",Q133,")=")</f>
        <v>A(  )=</v>
      </c>
      <c r="AB134" t="e">
        <f>X134+Z134</f>
        <v>#VALUE!</v>
      </c>
      <c r="AC134" s="99">
        <f>AC133+1</f>
        <v>22</v>
      </c>
      <c r="AD134" s="100" t="str">
        <f>VLOOKUP(AC134,STN_TABLE_2,2,FALSE)</f>
        <v xml:space="preserve">  </v>
      </c>
      <c r="AE134" s="82" t="str">
        <f>VLOOKUP(AD134,STN_TABLE,2,FALSE)</f>
        <v xml:space="preserve">  </v>
      </c>
      <c r="AF134" s="82">
        <v>2</v>
      </c>
      <c r="AG134" s="83" t="e">
        <f>AE134*AF134</f>
        <v>#VALUE!</v>
      </c>
      <c r="AH134" s="84" t="str">
        <f>CONCATENATE("a'(",AD134,")=")</f>
        <v>a'(  )=</v>
      </c>
      <c r="AI134" s="84" t="e">
        <f>2*AI132/2*AE135</f>
        <v>#VALUE!</v>
      </c>
      <c r="AJ134" s="84" t="str">
        <f>CONCATENATE("A(",AD133,")=")</f>
        <v>A(  )=</v>
      </c>
      <c r="AK134" s="84" t="str">
        <f>VLOOKUP(AD133,STN_TABLE,3,FALSE)</f>
        <v xml:space="preserve"> </v>
      </c>
      <c r="AL134" t="str">
        <f>CONCATENATE("A(",AD134,")=")</f>
        <v>A(  )=</v>
      </c>
      <c r="AM134" t="e">
        <f>AI134+AK134</f>
        <v>#VALUE!</v>
      </c>
      <c r="AO134" s="68" t="str">
        <f>AA134</f>
        <v>A(  )=</v>
      </c>
      <c r="AP134" s="68" t="e">
        <f>VLOOKUP(AO134,Rise_Results,2,FALSE)</f>
        <v>#N/A</v>
      </c>
      <c r="AQ134" s="76" t="e">
        <f>N134</f>
        <v>#VALUE!</v>
      </c>
      <c r="AR134" s="76" t="e">
        <f>IF(OR(AB134&lt;=0,AB135&lt;=0),1/0,AB134)</f>
        <v>#VALUE!</v>
      </c>
      <c r="AS134" s="76" t="e">
        <f>AM134</f>
        <v>#VALUE!</v>
      </c>
      <c r="AT134" t="e">
        <f>IFERROR(AP134,IFERROR(AQ134,IFERROR(AR134,AS134)))</f>
        <v>#VALUE!</v>
      </c>
      <c r="AU134" s="81"/>
    </row>
    <row r="135" spans="1:47" x14ac:dyDescent="0.25">
      <c r="A135" s="84">
        <f>A134+1</f>
        <v>22</v>
      </c>
      <c r="B135" s="84" t="str">
        <f t="shared" si="48"/>
        <v xml:space="preserve">  </v>
      </c>
      <c r="F135" s="82" t="e">
        <f>SUM(F132:F134)</f>
        <v>#VALUE!</v>
      </c>
      <c r="H135" s="82" t="e">
        <f>SUM(H132:H134)</f>
        <v>#VALUE!</v>
      </c>
      <c r="I135" s="84" t="str">
        <f>CONCATENATE("m'(",C134,")=")</f>
        <v>m'(  )=</v>
      </c>
      <c r="J135" s="84" t="e">
        <f>2*(J132*(WLS))/3*H135</f>
        <v>#VALUE!</v>
      </c>
      <c r="K135" s="84" t="e">
        <f>CONCATENATE("M(",C132,")=")</f>
        <v>#VALUE!</v>
      </c>
      <c r="L135" s="84" t="e">
        <f>VLOOKUP(C132,STN_TABLE,4,FALSE)</f>
        <v>#VALUE!</v>
      </c>
      <c r="M135" t="str">
        <f>CONCATENATE("M(",C134,")=")</f>
        <v>M(  )=</v>
      </c>
      <c r="N135" t="e">
        <f>J135+L135</f>
        <v>#VALUE!</v>
      </c>
      <c r="O135" s="99">
        <f>O134+1</f>
        <v>24</v>
      </c>
      <c r="P135" s="99" t="str">
        <f t="shared" si="65"/>
        <v xml:space="preserve">  </v>
      </c>
      <c r="T135" s="89" t="e">
        <f>SUM(T132:T134)</f>
        <v>#VALUE!</v>
      </c>
      <c r="V135" s="82" t="e">
        <f>SUM(V132:V134)</f>
        <v>#VALUE!</v>
      </c>
      <c r="W135" s="84" t="str">
        <f>CONCATENATE("m'(",Q133,")=")</f>
        <v>m'(  )=</v>
      </c>
      <c r="X135" s="84" t="e">
        <f>(2*(X132^2)/24*V135)+(X134*Q132*WLS)</f>
        <v>#VALUE!</v>
      </c>
      <c r="Y135" s="84" t="e">
        <f>CONCATENATE("M(",Q132,")=")</f>
        <v>#VALUE!</v>
      </c>
      <c r="Z135" s="84" t="e">
        <f>VLOOKUP(Q132,STN_TABLE,4,FALSE)</f>
        <v>#VALUE!</v>
      </c>
      <c r="AA135" t="str">
        <f>CONCATENATE("M(",Q133,")=")</f>
        <v>M(  )=</v>
      </c>
      <c r="AB135" t="e">
        <f>X135+Z135</f>
        <v>#VALUE!</v>
      </c>
      <c r="AE135" s="89">
        <f>SUM(AE133:AE134)</f>
        <v>0</v>
      </c>
      <c r="AG135" s="89" t="e">
        <f>SUM(AG133:AG134)</f>
        <v>#VALUE!</v>
      </c>
      <c r="AH135" s="84" t="str">
        <f>CONCATENATE("m'(",AD134,")=")</f>
        <v>m'(  )=</v>
      </c>
      <c r="AI135" s="84" t="e">
        <f>(2*(AI132^2)/6*AG135)+(AI134*AD133*WLS)</f>
        <v>#VALUE!</v>
      </c>
      <c r="AJ135" s="84" t="str">
        <f>CONCATENATE("M(",AD133,")=")</f>
        <v>M(  )=</v>
      </c>
      <c r="AK135" s="84" t="str">
        <f>VLOOKUP(AD133,STN_TABLE,4,FALSE)</f>
        <v xml:space="preserve"> </v>
      </c>
      <c r="AL135" t="str">
        <f>CONCATENATE("M(",AD134,")=")</f>
        <v>M(  )=</v>
      </c>
      <c r="AM135" t="e">
        <f>AI135+AK135</f>
        <v>#VALUE!</v>
      </c>
      <c r="AO135" s="82" t="str">
        <f>AA135</f>
        <v>M(  )=</v>
      </c>
      <c r="AP135" s="82" t="e">
        <f>VLOOKUP(AO135,Rise_Results,2,FALSE)</f>
        <v>#N/A</v>
      </c>
      <c r="AQ135" s="82" t="e">
        <f>N135</f>
        <v>#VALUE!</v>
      </c>
      <c r="AR135" s="82" t="e">
        <f>IF(OR(AB134&lt;=0,AB135&lt;=0),1/0,AB135)</f>
        <v>#VALUE!</v>
      </c>
      <c r="AS135" s="82" t="e">
        <f>AM135</f>
        <v>#VALUE!</v>
      </c>
      <c r="AT135" t="e">
        <f>IFERROR(AP135,IFERROR(AQ135,IFERROR(AR135,AS135)))</f>
        <v>#VALUE!</v>
      </c>
      <c r="AU135" s="81"/>
    </row>
    <row r="136" spans="1:47" x14ac:dyDescent="0.25">
      <c r="A136" s="101">
        <f>A131+1</f>
        <v>19</v>
      </c>
      <c r="B136" s="101" t="str">
        <f t="shared" si="48"/>
        <v xml:space="preserve">  </v>
      </c>
      <c r="O136" s="101">
        <f>O131+1</f>
        <v>21</v>
      </c>
      <c r="P136" s="101" t="str">
        <f t="shared" si="65"/>
        <v xml:space="preserve">  </v>
      </c>
      <c r="AU136" s="81"/>
    </row>
    <row r="137" spans="1:47" x14ac:dyDescent="0.25">
      <c r="A137" s="84">
        <f>A136+1</f>
        <v>20</v>
      </c>
      <c r="B137" s="84" t="str">
        <f t="shared" si="48"/>
        <v xml:space="preserve">  </v>
      </c>
      <c r="C137" s="79" t="e">
        <f t="shared" ref="C137" si="68">IF(C138=B139,IF(C139-C138=C138-B138,B138,IF(C139-C138=C138-B137,B137,"#NA")),IF(C138=B138,IF(C139-C138=C138-B137,B137,IF(C139-C138=C138-B136,B136,"#NA")),"#NA"))</f>
        <v>#VALUE!</v>
      </c>
      <c r="D137" s="68" t="e">
        <f>VLOOKUP(C137,STN_TABLE,2,FALSE)</f>
        <v>#VALUE!</v>
      </c>
      <c r="E137" s="102">
        <v>1</v>
      </c>
      <c r="F137" s="68" t="e">
        <f>D137*E137</f>
        <v>#VALUE!</v>
      </c>
      <c r="G137" s="69" t="e">
        <f>C137</f>
        <v>#VALUE!</v>
      </c>
      <c r="H137" s="69" t="e">
        <f>F137*G137</f>
        <v>#VALUE!</v>
      </c>
      <c r="I137" s="6" t="s">
        <v>93</v>
      </c>
      <c r="J137" s="70" t="e">
        <f>IF(OR(D137=0,D138=0,D139=0),"#NA",IF(AND(C139-C138=C138-C137,C138&lt;&gt;C139,C137&lt;&gt;C138,C137&lt;&gt;C139,D139&lt;&gt;0,OR(D137&lt;&gt;0,D138&lt;&gt;0)),WLS*(C139-C138),"#NA"))</f>
        <v>#VALUE!</v>
      </c>
      <c r="O137" s="99">
        <f>O136+1</f>
        <v>22</v>
      </c>
      <c r="P137" s="99" t="str">
        <f t="shared" si="65"/>
        <v xml:space="preserve">  </v>
      </c>
      <c r="Q137" s="68" t="e">
        <f>IF(OR(P139-P138=P138-P137,P140-P138=P138-P137),P137,IF(OR(P139-P138=P138-P136,P140-P138=P138-P136),P136,"-"))</f>
        <v>#VALUE!</v>
      </c>
      <c r="R137" s="69" t="e">
        <f>VLOOKUP(Q137,STN_TABLE,2,FALSE)</f>
        <v>#VALUE!</v>
      </c>
      <c r="S137" s="69">
        <v>5</v>
      </c>
      <c r="T137" s="68" t="e">
        <f>R137*S137</f>
        <v>#VALUE!</v>
      </c>
      <c r="U137" s="79">
        <v>3</v>
      </c>
      <c r="V137" s="68" t="e">
        <f>R137*U137</f>
        <v>#VALUE!</v>
      </c>
      <c r="W137" s="6" t="s">
        <v>93</v>
      </c>
      <c r="X137" s="70" t="e">
        <f>IF(AND(Q139-Q138=Q138-Q137,NOT(AND(Q137=0,Q138=0)),NOT(AND(Q138=0,Q139=0))),WLS*(Q139-Q138),"#NA")</f>
        <v>#VALUE!</v>
      </c>
      <c r="AD137" s="93"/>
      <c r="AH137" s="6" t="s">
        <v>93</v>
      </c>
      <c r="AI137" s="70" t="e">
        <f>WLS*(AD139-AD138)</f>
        <v>#VALUE!</v>
      </c>
      <c r="AU137" s="81"/>
    </row>
    <row r="138" spans="1:47" x14ac:dyDescent="0.25">
      <c r="A138" s="84">
        <f>A137+1</f>
        <v>21</v>
      </c>
      <c r="B138" s="84" t="str">
        <f t="shared" ref="B138:B150" si="69">VLOOKUP(A138,STN_TABLE_2,2,FALSE)</f>
        <v xml:space="preserve">  </v>
      </c>
      <c r="C138" s="80" t="e">
        <f t="shared" ref="C138" si="70">IF(OR(B140-B139=B139-B138,B140-B139=B139-B137,B140-B139=B139-B136),B139,IF(OR(B140-B138=B138-B137,B140-B138=B138-B136),B138,IF(B140-B137=B137-B136,B137,"#NA")))</f>
        <v>#VALUE!</v>
      </c>
      <c r="D138" s="76" t="e">
        <f>VLOOKUP(C138,STN_TABLE,2,FALSE)</f>
        <v>#VALUE!</v>
      </c>
      <c r="E138" s="81">
        <v>4</v>
      </c>
      <c r="F138" s="76" t="e">
        <f>D138*E138</f>
        <v>#VALUE!</v>
      </c>
      <c r="G138" s="77" t="e">
        <f>C138</f>
        <v>#VALUE!</v>
      </c>
      <c r="H138" s="77" t="e">
        <f>F138*G138</f>
        <v>#VALUE!</v>
      </c>
      <c r="I138" s="495" t="s">
        <v>97</v>
      </c>
      <c r="J138" s="496"/>
      <c r="K138" s="78" t="s">
        <v>98</v>
      </c>
      <c r="L138" s="78"/>
      <c r="M138" s="7" t="s">
        <v>99</v>
      </c>
      <c r="N138" s="7"/>
      <c r="O138" s="99">
        <f>O137+1</f>
        <v>23</v>
      </c>
      <c r="P138" s="99" t="str">
        <f t="shared" si="65"/>
        <v xml:space="preserve">  </v>
      </c>
      <c r="Q138" s="76" t="str">
        <f>P138</f>
        <v xml:space="preserve">  </v>
      </c>
      <c r="R138" s="77" t="str">
        <f>VLOOKUP(Q138,STN_TABLE,2,FALSE)</f>
        <v xml:space="preserve">  </v>
      </c>
      <c r="S138" s="77">
        <v>8</v>
      </c>
      <c r="T138" s="76" t="e">
        <f>R138*S138</f>
        <v>#VALUE!</v>
      </c>
      <c r="U138" s="80">
        <v>10</v>
      </c>
      <c r="V138" s="76" t="e">
        <f>R138*U138</f>
        <v>#VALUE!</v>
      </c>
      <c r="W138" s="496" t="s">
        <v>97</v>
      </c>
      <c r="X138" s="496"/>
      <c r="Y138" s="496" t="s">
        <v>98</v>
      </c>
      <c r="Z138" s="496"/>
      <c r="AA138" s="494" t="s">
        <v>99</v>
      </c>
      <c r="AB138" s="494"/>
      <c r="AC138" s="99">
        <f>AC133+1</f>
        <v>22</v>
      </c>
      <c r="AD138" s="95" t="str">
        <f>VLOOKUP(AC138,STN_TABLE_2,2,FALSE)</f>
        <v xml:space="preserve">  </v>
      </c>
      <c r="AE138" s="68" t="str">
        <f>VLOOKUP(AD138,STN_TABLE,2,FALSE)</f>
        <v xml:space="preserve">  </v>
      </c>
      <c r="AF138" s="68">
        <v>1</v>
      </c>
      <c r="AG138" s="69" t="e">
        <f>AE138*AF138</f>
        <v>#VALUE!</v>
      </c>
      <c r="AH138" s="496" t="s">
        <v>97</v>
      </c>
      <c r="AI138" s="496"/>
      <c r="AJ138" s="496" t="s">
        <v>98</v>
      </c>
      <c r="AK138" s="496"/>
      <c r="AL138" s="494" t="s">
        <v>99</v>
      </c>
      <c r="AM138" s="494"/>
      <c r="AP138" s="86" t="s">
        <v>112</v>
      </c>
      <c r="AQ138" s="89" t="s">
        <v>113</v>
      </c>
      <c r="AR138" s="89" t="s">
        <v>114</v>
      </c>
      <c r="AS138" s="89" t="s">
        <v>115</v>
      </c>
      <c r="AU138" s="81"/>
    </row>
    <row r="139" spans="1:47" x14ac:dyDescent="0.25">
      <c r="A139" s="84">
        <f>A138+1</f>
        <v>22</v>
      </c>
      <c r="B139" s="84" t="str">
        <f t="shared" si="69"/>
        <v xml:space="preserve">  </v>
      </c>
      <c r="C139" s="88" t="str">
        <f t="shared" ref="C139" si="71">B140</f>
        <v xml:space="preserve">  </v>
      </c>
      <c r="D139" s="82" t="str">
        <f>VLOOKUP(C139,STN_TABLE,2,FALSE)</f>
        <v xml:space="preserve">  </v>
      </c>
      <c r="E139" s="92">
        <v>1</v>
      </c>
      <c r="F139" s="82" t="e">
        <f>D139*E139</f>
        <v>#VALUE!</v>
      </c>
      <c r="G139" s="83" t="str">
        <f>C139</f>
        <v xml:space="preserve">  </v>
      </c>
      <c r="H139" s="83" t="e">
        <f>F139*G139</f>
        <v>#VALUE!</v>
      </c>
      <c r="I139" s="84" t="str">
        <f>CONCATENATE("a'(",C139,")=")</f>
        <v>a'(  )=</v>
      </c>
      <c r="J139" s="84" t="e">
        <f>2*J137/3*F140</f>
        <v>#VALUE!</v>
      </c>
      <c r="K139" s="84" t="e">
        <f>CONCATENATE("A(",C137,")=")</f>
        <v>#VALUE!</v>
      </c>
      <c r="L139" s="84" t="e">
        <f>VLOOKUP(C137,STN_TABLE,3,FALSE)</f>
        <v>#VALUE!</v>
      </c>
      <c r="M139" t="str">
        <f>CONCATENATE("A(",C139,")=")</f>
        <v>A(  )=</v>
      </c>
      <c r="N139" t="e">
        <f>J139+L139</f>
        <v>#VALUE!</v>
      </c>
      <c r="O139" s="99">
        <f>O138+1</f>
        <v>24</v>
      </c>
      <c r="P139" s="99" t="str">
        <f t="shared" si="65"/>
        <v xml:space="preserve">  </v>
      </c>
      <c r="Q139" s="82" t="e">
        <f>IF(P139-P138=P138-P137,P139,IF(P140-P138=P138-P137,P140,IF(P139-P138=P138-P136,P139,IF(P140-P138=P138-P136,P140,"-"))))</f>
        <v>#VALUE!</v>
      </c>
      <c r="R139" s="83" t="e">
        <f>VLOOKUP(Q139,STN_TABLE,2,FALSE)</f>
        <v>#VALUE!</v>
      </c>
      <c r="S139" s="83">
        <v>-1</v>
      </c>
      <c r="T139" s="82" t="e">
        <f>R139*S139</f>
        <v>#VALUE!</v>
      </c>
      <c r="U139" s="88">
        <v>-1</v>
      </c>
      <c r="V139" s="82" t="e">
        <f>R139*U139</f>
        <v>#VALUE!</v>
      </c>
      <c r="W139" s="84" t="str">
        <f>CONCATENATE("a'(",Q138,")=")</f>
        <v>a'(  )=</v>
      </c>
      <c r="X139" s="84" t="e">
        <f>2*X137/12*T140</f>
        <v>#VALUE!</v>
      </c>
      <c r="Y139" s="84" t="e">
        <f>CONCATENATE("A(",Q137,")=")</f>
        <v>#VALUE!</v>
      </c>
      <c r="Z139" s="84" t="e">
        <f>VLOOKUP(Q137,STN_TABLE,3,FALSE)</f>
        <v>#VALUE!</v>
      </c>
      <c r="AA139" t="str">
        <f>CONCATENATE("A(",Q138,")=")</f>
        <v>A(  )=</v>
      </c>
      <c r="AB139" t="e">
        <f>X139+Z139</f>
        <v>#VALUE!</v>
      </c>
      <c r="AC139" s="99">
        <f>AC138+1</f>
        <v>23</v>
      </c>
      <c r="AD139" s="100" t="str">
        <f>VLOOKUP(AC139,STN_TABLE_2,2,FALSE)</f>
        <v xml:space="preserve">  </v>
      </c>
      <c r="AE139" s="82" t="str">
        <f>VLOOKUP(AD139,STN_TABLE,2,FALSE)</f>
        <v xml:space="preserve">  </v>
      </c>
      <c r="AF139" s="82">
        <v>2</v>
      </c>
      <c r="AG139" s="83" t="e">
        <f>AE139*AF139</f>
        <v>#VALUE!</v>
      </c>
      <c r="AH139" s="84" t="str">
        <f>CONCATENATE("a'(",AD139,")=")</f>
        <v>a'(  )=</v>
      </c>
      <c r="AI139" s="84" t="e">
        <f>2*AI137/2*AE140</f>
        <v>#VALUE!</v>
      </c>
      <c r="AJ139" s="84" t="str">
        <f>CONCATENATE("A(",AD138,")=")</f>
        <v>A(  )=</v>
      </c>
      <c r="AK139" s="84" t="str">
        <f>VLOOKUP(AD138,STN_TABLE,3,FALSE)</f>
        <v xml:space="preserve"> </v>
      </c>
      <c r="AL139" t="str">
        <f>CONCATENATE("A(",AD139,")=")</f>
        <v>A(  )=</v>
      </c>
      <c r="AM139" t="e">
        <f>AI139+AK139</f>
        <v>#VALUE!</v>
      </c>
      <c r="AO139" s="68" t="str">
        <f>AA139</f>
        <v>A(  )=</v>
      </c>
      <c r="AP139" s="68" t="e">
        <f>VLOOKUP(AO139,Rise_Results,2,FALSE)</f>
        <v>#N/A</v>
      </c>
      <c r="AQ139" s="76" t="e">
        <f>N139</f>
        <v>#VALUE!</v>
      </c>
      <c r="AR139" s="76" t="e">
        <f>IF(OR(AB139&lt;=0,AB140&lt;=0),1/0,AB139)</f>
        <v>#VALUE!</v>
      </c>
      <c r="AS139" s="76" t="e">
        <f>AM139</f>
        <v>#VALUE!</v>
      </c>
      <c r="AT139" t="e">
        <f>IFERROR(AP139,IFERROR(AQ139,IFERROR(AR139,AS139)))</f>
        <v>#VALUE!</v>
      </c>
      <c r="AU139" s="81"/>
    </row>
    <row r="140" spans="1:47" x14ac:dyDescent="0.25">
      <c r="A140" s="84">
        <f>A139+1</f>
        <v>23</v>
      </c>
      <c r="B140" s="84" t="str">
        <f t="shared" si="69"/>
        <v xml:space="preserve">  </v>
      </c>
      <c r="F140" s="82" t="e">
        <f>SUM(F137:F139)</f>
        <v>#VALUE!</v>
      </c>
      <c r="H140" s="82" t="e">
        <f>SUM(H137:H139)</f>
        <v>#VALUE!</v>
      </c>
      <c r="I140" s="84" t="str">
        <f>CONCATENATE("m'(",C139,")=")</f>
        <v>m'(  )=</v>
      </c>
      <c r="J140" s="84" t="e">
        <f>2*(J137*(WLS))/3*H140</f>
        <v>#VALUE!</v>
      </c>
      <c r="K140" s="84" t="e">
        <f>CONCATENATE("M(",C137,")=")</f>
        <v>#VALUE!</v>
      </c>
      <c r="L140" s="84" t="e">
        <f>VLOOKUP(C137,STN_TABLE,4,FALSE)</f>
        <v>#VALUE!</v>
      </c>
      <c r="M140" t="str">
        <f>CONCATENATE("M(",C139,")=")</f>
        <v>M(  )=</v>
      </c>
      <c r="N140" t="e">
        <f>J140+L140</f>
        <v>#VALUE!</v>
      </c>
      <c r="O140" s="99">
        <f>O139+1</f>
        <v>25</v>
      </c>
      <c r="P140" s="99" t="str">
        <f t="shared" si="65"/>
        <v xml:space="preserve">  </v>
      </c>
      <c r="T140" s="89" t="e">
        <f>SUM(T137:T139)</f>
        <v>#VALUE!</v>
      </c>
      <c r="V140" s="82" t="e">
        <f>SUM(V137:V139)</f>
        <v>#VALUE!</v>
      </c>
      <c r="W140" s="84" t="str">
        <f>CONCATENATE("m'(",Q138,")=")</f>
        <v>m'(  )=</v>
      </c>
      <c r="X140" s="84" t="e">
        <f>(2*(X137^2)/24*V140)+(X139*Q137*WLS)</f>
        <v>#VALUE!</v>
      </c>
      <c r="Y140" s="84" t="e">
        <f>CONCATENATE("M(",Q137,")=")</f>
        <v>#VALUE!</v>
      </c>
      <c r="Z140" s="84" t="e">
        <f>VLOOKUP(Q137,STN_TABLE,4,FALSE)</f>
        <v>#VALUE!</v>
      </c>
      <c r="AA140" t="str">
        <f>CONCATENATE("M(",Q138,")=")</f>
        <v>M(  )=</v>
      </c>
      <c r="AB140" t="e">
        <f>X140+Z140</f>
        <v>#VALUE!</v>
      </c>
      <c r="AE140" s="89">
        <f>SUM(AE138:AE139)</f>
        <v>0</v>
      </c>
      <c r="AG140" s="89" t="e">
        <f>SUM(AG138:AG139)</f>
        <v>#VALUE!</v>
      </c>
      <c r="AH140" s="84" t="str">
        <f>CONCATENATE("m'(",AD139,")=")</f>
        <v>m'(  )=</v>
      </c>
      <c r="AI140" s="84" t="e">
        <f>(2*(AI137^2)/6*AG140)+(AI139*AD138*WLS)</f>
        <v>#VALUE!</v>
      </c>
      <c r="AJ140" s="84" t="str">
        <f>CONCATENATE("M(",AD138,")=")</f>
        <v>M(  )=</v>
      </c>
      <c r="AK140" s="84" t="str">
        <f>VLOOKUP(AD138,STN_TABLE,4,FALSE)</f>
        <v xml:space="preserve"> </v>
      </c>
      <c r="AL140" t="str">
        <f>CONCATENATE("M(",AD139,")=")</f>
        <v>M(  )=</v>
      </c>
      <c r="AM140" t="e">
        <f>AI140+AK140</f>
        <v>#VALUE!</v>
      </c>
      <c r="AO140" s="82" t="str">
        <f>AA140</f>
        <v>M(  )=</v>
      </c>
      <c r="AP140" s="82" t="e">
        <f>VLOOKUP(AO140,Rise_Results,2,FALSE)</f>
        <v>#N/A</v>
      </c>
      <c r="AQ140" s="82" t="e">
        <f>N140</f>
        <v>#VALUE!</v>
      </c>
      <c r="AR140" s="82" t="e">
        <f>IF(OR(AB139&lt;=0,AB140&lt;=0),1/0,AB140)</f>
        <v>#VALUE!</v>
      </c>
      <c r="AS140" s="82" t="e">
        <f>AM140</f>
        <v>#VALUE!</v>
      </c>
      <c r="AT140" t="e">
        <f>IFERROR(AP140,IFERROR(AQ140,IFERROR(AR140,AS140)))</f>
        <v>#VALUE!</v>
      </c>
      <c r="AU140" s="81"/>
    </row>
    <row r="141" spans="1:47" x14ac:dyDescent="0.25">
      <c r="A141" s="101">
        <f>A136+1</f>
        <v>20</v>
      </c>
      <c r="B141" s="101" t="str">
        <f t="shared" si="69"/>
        <v xml:space="preserve">  </v>
      </c>
      <c r="O141" s="101">
        <f>O136+1</f>
        <v>22</v>
      </c>
      <c r="P141" s="101" t="str">
        <f t="shared" si="65"/>
        <v xml:space="preserve">  </v>
      </c>
      <c r="AU141" s="81"/>
    </row>
    <row r="142" spans="1:47" x14ac:dyDescent="0.25">
      <c r="A142" s="84">
        <f>A141+1</f>
        <v>21</v>
      </c>
      <c r="B142" s="84" t="str">
        <f t="shared" si="69"/>
        <v xml:space="preserve">  </v>
      </c>
      <c r="C142" s="79" t="e">
        <f t="shared" ref="C142" si="72">IF(C143=B144,IF(C144-C143=C143-B143,B143,IF(C144-C143=C143-B142,B142,"#NA")),IF(C143=B143,IF(C144-C143=C143-B142,B142,IF(C144-C143=C143-B141,B141,"#NA")),"#NA"))</f>
        <v>#VALUE!</v>
      </c>
      <c r="D142" s="68" t="e">
        <f>VLOOKUP(C142,STN_TABLE,2,FALSE)</f>
        <v>#VALUE!</v>
      </c>
      <c r="E142" s="102">
        <v>1</v>
      </c>
      <c r="F142" s="68" t="e">
        <f>D142*E142</f>
        <v>#VALUE!</v>
      </c>
      <c r="G142" s="69" t="e">
        <f>C142</f>
        <v>#VALUE!</v>
      </c>
      <c r="H142" s="69" t="e">
        <f>F142*G142</f>
        <v>#VALUE!</v>
      </c>
      <c r="I142" s="6" t="s">
        <v>93</v>
      </c>
      <c r="J142" s="70" t="e">
        <f>IF(OR(D142=0,D143=0,D144=0),"#NA",IF(AND(C144-C143=C143-C142,C143&lt;&gt;C144,C142&lt;&gt;C143,C142&lt;&gt;C144,D144&lt;&gt;0,OR(D142&lt;&gt;0,D143&lt;&gt;0)),WLS*(C144-C143),"#NA"))</f>
        <v>#VALUE!</v>
      </c>
      <c r="O142" s="99">
        <f>O141+1</f>
        <v>23</v>
      </c>
      <c r="P142" s="99" t="str">
        <f t="shared" si="65"/>
        <v xml:space="preserve">  </v>
      </c>
      <c r="Q142" s="68" t="e">
        <f>IF(OR(P144-P143=P143-P142,P145-P143=P143-P142),P142,IF(OR(P144-P143=P143-P141,P145-P143=P143-P141),P141,"-"))</f>
        <v>#VALUE!</v>
      </c>
      <c r="R142" s="69" t="e">
        <f>VLOOKUP(Q142,STN_TABLE,2,FALSE)</f>
        <v>#VALUE!</v>
      </c>
      <c r="S142" s="69">
        <v>5</v>
      </c>
      <c r="T142" s="68" t="e">
        <f>R142*S142</f>
        <v>#VALUE!</v>
      </c>
      <c r="U142" s="79">
        <v>3</v>
      </c>
      <c r="V142" s="68" t="e">
        <f>R142*U142</f>
        <v>#VALUE!</v>
      </c>
      <c r="W142" s="6" t="s">
        <v>93</v>
      </c>
      <c r="X142" s="70" t="e">
        <f>IF(AND(Q144-Q143=Q143-Q142,NOT(AND(Q142=0,Q143=0)),NOT(AND(Q143=0,Q144=0))),WLS*(Q144-Q143),"#NA")</f>
        <v>#VALUE!</v>
      </c>
      <c r="AD142" s="93"/>
      <c r="AH142" s="6" t="s">
        <v>93</v>
      </c>
      <c r="AI142" s="70" t="e">
        <f>WLS*(AD144-AD143)</f>
        <v>#VALUE!</v>
      </c>
      <c r="AU142" s="81"/>
    </row>
    <row r="143" spans="1:47" x14ac:dyDescent="0.25">
      <c r="A143" s="84">
        <f>A142+1</f>
        <v>22</v>
      </c>
      <c r="B143" s="84" t="str">
        <f t="shared" si="69"/>
        <v xml:space="preserve">  </v>
      </c>
      <c r="C143" s="80" t="e">
        <f t="shared" ref="C143" si="73">IF(OR(B145-B144=B144-B143,B145-B144=B144-B142,B145-B144=B144-B141),B144,IF(OR(B145-B143=B143-B142,B145-B143=B143-B141),B143,IF(B145-B142=B142-B141,B142,"#NA")))</f>
        <v>#VALUE!</v>
      </c>
      <c r="D143" s="76" t="e">
        <f>VLOOKUP(C143,STN_TABLE,2,FALSE)</f>
        <v>#VALUE!</v>
      </c>
      <c r="E143" s="81">
        <v>4</v>
      </c>
      <c r="F143" s="76" t="e">
        <f>D143*E143</f>
        <v>#VALUE!</v>
      </c>
      <c r="G143" s="77" t="e">
        <f>C143</f>
        <v>#VALUE!</v>
      </c>
      <c r="H143" s="77" t="e">
        <f>F143*G143</f>
        <v>#VALUE!</v>
      </c>
      <c r="I143" s="495" t="s">
        <v>97</v>
      </c>
      <c r="J143" s="496"/>
      <c r="K143" s="78" t="s">
        <v>98</v>
      </c>
      <c r="L143" s="78"/>
      <c r="M143" s="7" t="s">
        <v>99</v>
      </c>
      <c r="N143" s="7"/>
      <c r="O143" s="99">
        <f>O142+1</f>
        <v>24</v>
      </c>
      <c r="P143" s="99" t="str">
        <f t="shared" si="65"/>
        <v xml:space="preserve">  </v>
      </c>
      <c r="Q143" s="76" t="str">
        <f>P143</f>
        <v xml:space="preserve">  </v>
      </c>
      <c r="R143" s="77" t="str">
        <f>VLOOKUP(Q143,STN_TABLE,2,FALSE)</f>
        <v xml:space="preserve">  </v>
      </c>
      <c r="S143" s="77">
        <v>8</v>
      </c>
      <c r="T143" s="76" t="e">
        <f>R143*S143</f>
        <v>#VALUE!</v>
      </c>
      <c r="U143" s="80">
        <v>10</v>
      </c>
      <c r="V143" s="76" t="e">
        <f>R143*U143</f>
        <v>#VALUE!</v>
      </c>
      <c r="W143" s="496" t="s">
        <v>97</v>
      </c>
      <c r="X143" s="496"/>
      <c r="Y143" s="496" t="s">
        <v>98</v>
      </c>
      <c r="Z143" s="496"/>
      <c r="AA143" s="494" t="s">
        <v>99</v>
      </c>
      <c r="AB143" s="494"/>
      <c r="AC143" s="99">
        <f>AC138+1</f>
        <v>23</v>
      </c>
      <c r="AD143" s="95" t="str">
        <f>VLOOKUP(AC143,STN_TABLE_2,2,FALSE)</f>
        <v xml:space="preserve">  </v>
      </c>
      <c r="AE143" s="68" t="str">
        <f>VLOOKUP(AD143,STN_TABLE,2,FALSE)</f>
        <v xml:space="preserve">  </v>
      </c>
      <c r="AF143" s="68">
        <v>1</v>
      </c>
      <c r="AG143" s="69" t="e">
        <f>AE143*AF143</f>
        <v>#VALUE!</v>
      </c>
      <c r="AH143" s="496" t="s">
        <v>97</v>
      </c>
      <c r="AI143" s="496"/>
      <c r="AJ143" s="496" t="s">
        <v>98</v>
      </c>
      <c r="AK143" s="496"/>
      <c r="AL143" s="494" t="s">
        <v>99</v>
      </c>
      <c r="AM143" s="494"/>
      <c r="AP143" s="86" t="s">
        <v>112</v>
      </c>
      <c r="AQ143" s="89" t="s">
        <v>113</v>
      </c>
      <c r="AR143" s="89" t="s">
        <v>114</v>
      </c>
      <c r="AS143" s="89" t="s">
        <v>115</v>
      </c>
      <c r="AU143" s="81"/>
    </row>
    <row r="144" spans="1:47" x14ac:dyDescent="0.25">
      <c r="A144" s="84">
        <f>A143+1</f>
        <v>23</v>
      </c>
      <c r="B144" s="84" t="str">
        <f t="shared" si="69"/>
        <v xml:space="preserve">  </v>
      </c>
      <c r="C144" s="88" t="str">
        <f t="shared" ref="C144" si="74">B145</f>
        <v xml:space="preserve">  </v>
      </c>
      <c r="D144" s="82" t="str">
        <f>VLOOKUP(C144,STN_TABLE,2,FALSE)</f>
        <v xml:space="preserve">  </v>
      </c>
      <c r="E144" s="92">
        <v>1</v>
      </c>
      <c r="F144" s="82" t="e">
        <f>D144*E144</f>
        <v>#VALUE!</v>
      </c>
      <c r="G144" s="83" t="str">
        <f>C144</f>
        <v xml:space="preserve">  </v>
      </c>
      <c r="H144" s="83" t="e">
        <f>F144*G144</f>
        <v>#VALUE!</v>
      </c>
      <c r="I144" s="84" t="str">
        <f>CONCATENATE("a'(",C144,")=")</f>
        <v>a'(  )=</v>
      </c>
      <c r="J144" s="84" t="e">
        <f>2*J142/3*F145</f>
        <v>#VALUE!</v>
      </c>
      <c r="K144" s="84" t="e">
        <f>CONCATENATE("A(",C142,")=")</f>
        <v>#VALUE!</v>
      </c>
      <c r="L144" s="84" t="e">
        <f>VLOOKUP(C142,STN_TABLE,3,FALSE)</f>
        <v>#VALUE!</v>
      </c>
      <c r="M144" t="str">
        <f>CONCATENATE("A(",C144,")=")</f>
        <v>A(  )=</v>
      </c>
      <c r="N144" t="e">
        <f>J144+L144</f>
        <v>#VALUE!</v>
      </c>
      <c r="O144" s="99">
        <f>O143+1</f>
        <v>25</v>
      </c>
      <c r="P144" s="99" t="str">
        <f t="shared" si="65"/>
        <v xml:space="preserve">  </v>
      </c>
      <c r="Q144" s="82" t="e">
        <f>IF(P144-P143=P143-P142,P144,IF(P145-P143=P143-P142,P145,IF(P144-P143=P143-P141,P144,IF(P145-P143=P143-P141,P145,"-"))))</f>
        <v>#VALUE!</v>
      </c>
      <c r="R144" s="83" t="e">
        <f>VLOOKUP(Q144,STN_TABLE,2,FALSE)</f>
        <v>#VALUE!</v>
      </c>
      <c r="S144" s="83">
        <v>-1</v>
      </c>
      <c r="T144" s="82" t="e">
        <f>R144*S144</f>
        <v>#VALUE!</v>
      </c>
      <c r="U144" s="88">
        <v>-1</v>
      </c>
      <c r="V144" s="82" t="e">
        <f>R144*U144</f>
        <v>#VALUE!</v>
      </c>
      <c r="W144" s="84" t="str">
        <f>CONCATENATE("a'(",Q143,")=")</f>
        <v>a'(  )=</v>
      </c>
      <c r="X144" s="84" t="e">
        <f>2*X142/12*T145</f>
        <v>#VALUE!</v>
      </c>
      <c r="Y144" s="84" t="e">
        <f>CONCATENATE("A(",Q142,")=")</f>
        <v>#VALUE!</v>
      </c>
      <c r="Z144" s="84" t="e">
        <f>VLOOKUP(Q142,STN_TABLE,3,FALSE)</f>
        <v>#VALUE!</v>
      </c>
      <c r="AA144" t="str">
        <f>CONCATENATE("A(",Q143,")=")</f>
        <v>A(  )=</v>
      </c>
      <c r="AB144" t="e">
        <f>X144+Z144</f>
        <v>#VALUE!</v>
      </c>
      <c r="AC144" s="99">
        <f>AC143+1</f>
        <v>24</v>
      </c>
      <c r="AD144" s="100" t="str">
        <f>VLOOKUP(AC144,STN_TABLE_2,2,FALSE)</f>
        <v xml:space="preserve">  </v>
      </c>
      <c r="AE144" s="82" t="str">
        <f>VLOOKUP(AD144,STN_TABLE,2,FALSE)</f>
        <v xml:space="preserve">  </v>
      </c>
      <c r="AF144" s="82">
        <v>2</v>
      </c>
      <c r="AG144" s="83" t="e">
        <f>AE144*AF144</f>
        <v>#VALUE!</v>
      </c>
      <c r="AH144" s="84" t="str">
        <f>CONCATENATE("a'(",AD144,")=")</f>
        <v>a'(  )=</v>
      </c>
      <c r="AI144" s="84" t="e">
        <f>2*AI142/2*AE145</f>
        <v>#VALUE!</v>
      </c>
      <c r="AJ144" s="84" t="str">
        <f>CONCATENATE("A(",AD143,")=")</f>
        <v>A(  )=</v>
      </c>
      <c r="AK144" s="84" t="str">
        <f>VLOOKUP(AD143,STN_TABLE,3,FALSE)</f>
        <v xml:space="preserve"> </v>
      </c>
      <c r="AL144" t="str">
        <f>CONCATENATE("A(",AD144,")=")</f>
        <v>A(  )=</v>
      </c>
      <c r="AM144" t="e">
        <f>AI144+AK144</f>
        <v>#VALUE!</v>
      </c>
      <c r="AO144" s="68" t="str">
        <f>AA144</f>
        <v>A(  )=</v>
      </c>
      <c r="AP144" s="68" t="e">
        <f>VLOOKUP(AO144,Rise_Results,2,FALSE)</f>
        <v>#N/A</v>
      </c>
      <c r="AQ144" s="76" t="e">
        <f>N144</f>
        <v>#VALUE!</v>
      </c>
      <c r="AR144" s="76" t="e">
        <f>IF(OR(AB144&lt;=0,AB145&lt;=0),1/0,AB144)</f>
        <v>#VALUE!</v>
      </c>
      <c r="AS144" s="76" t="e">
        <f>AM144</f>
        <v>#VALUE!</v>
      </c>
      <c r="AT144" t="e">
        <f>IFERROR(AP144,IFERROR(AQ144,IFERROR(AR144,AS144)))</f>
        <v>#VALUE!</v>
      </c>
      <c r="AU144" s="81"/>
    </row>
    <row r="145" spans="1:47" x14ac:dyDescent="0.25">
      <c r="A145" s="84">
        <f>A144+1</f>
        <v>24</v>
      </c>
      <c r="B145" s="84" t="str">
        <f t="shared" si="69"/>
        <v xml:space="preserve">  </v>
      </c>
      <c r="F145" s="82" t="e">
        <f>SUM(F142:F144)</f>
        <v>#VALUE!</v>
      </c>
      <c r="H145" s="82" t="e">
        <f>SUM(H142:H144)</f>
        <v>#VALUE!</v>
      </c>
      <c r="I145" s="84" t="str">
        <f>CONCATENATE("m'(",C144,")=")</f>
        <v>m'(  )=</v>
      </c>
      <c r="J145" s="84" t="e">
        <f>2*(J142*(WLS))/3*H145</f>
        <v>#VALUE!</v>
      </c>
      <c r="K145" s="84" t="e">
        <f>CONCATENATE("M(",C142,")=")</f>
        <v>#VALUE!</v>
      </c>
      <c r="L145" s="84" t="e">
        <f>VLOOKUP(C142,STN_TABLE,4,FALSE)</f>
        <v>#VALUE!</v>
      </c>
      <c r="M145" t="str">
        <f>CONCATENATE("M(",C144,")=")</f>
        <v>M(  )=</v>
      </c>
      <c r="N145" t="e">
        <f>J145+L145</f>
        <v>#VALUE!</v>
      </c>
      <c r="O145" s="99">
        <f>O144+1</f>
        <v>26</v>
      </c>
      <c r="P145" s="99" t="e">
        <f t="shared" si="65"/>
        <v>#N/A</v>
      </c>
      <c r="T145" s="89" t="e">
        <f>SUM(T142:T144)</f>
        <v>#VALUE!</v>
      </c>
      <c r="V145" s="82" t="e">
        <f>SUM(V142:V144)</f>
        <v>#VALUE!</v>
      </c>
      <c r="W145" s="84" t="str">
        <f>CONCATENATE("m'(",Q143,")=")</f>
        <v>m'(  )=</v>
      </c>
      <c r="X145" s="84" t="e">
        <f>(2*(X142^2)/24*V145)+(X144*Q142*WLS)</f>
        <v>#VALUE!</v>
      </c>
      <c r="Y145" s="84" t="e">
        <f>CONCATENATE("M(",Q142,")=")</f>
        <v>#VALUE!</v>
      </c>
      <c r="Z145" s="84" t="e">
        <f>VLOOKUP(Q142,STN_TABLE,4,FALSE)</f>
        <v>#VALUE!</v>
      </c>
      <c r="AA145" t="str">
        <f>CONCATENATE("M(",Q143,")=")</f>
        <v>M(  )=</v>
      </c>
      <c r="AB145" t="e">
        <f>X145+Z145</f>
        <v>#VALUE!</v>
      </c>
      <c r="AE145" s="89">
        <f>SUM(AE143:AE144)</f>
        <v>0</v>
      </c>
      <c r="AG145" s="89" t="e">
        <f>SUM(AG143:AG144)</f>
        <v>#VALUE!</v>
      </c>
      <c r="AH145" s="84" t="str">
        <f>CONCATENATE("m'(",AD144,")=")</f>
        <v>m'(  )=</v>
      </c>
      <c r="AI145" s="84" t="e">
        <f>(2*(AI142^2)/6*AG145)+(AI144*AD143*WLS)</f>
        <v>#VALUE!</v>
      </c>
      <c r="AJ145" s="84" t="str">
        <f>CONCATENATE("M(",AD143,")=")</f>
        <v>M(  )=</v>
      </c>
      <c r="AK145" s="84" t="str">
        <f>VLOOKUP(AD143,STN_TABLE,4,FALSE)</f>
        <v xml:space="preserve"> </v>
      </c>
      <c r="AL145" t="str">
        <f>CONCATENATE("M(",AD144,")=")</f>
        <v>M(  )=</v>
      </c>
      <c r="AM145" t="e">
        <f>AI145+AK145</f>
        <v>#VALUE!</v>
      </c>
      <c r="AO145" s="82" t="str">
        <f>AA145</f>
        <v>M(  )=</v>
      </c>
      <c r="AP145" s="82" t="e">
        <f>VLOOKUP(AO145,Rise_Results,2,FALSE)</f>
        <v>#N/A</v>
      </c>
      <c r="AQ145" s="82" t="e">
        <f>N145</f>
        <v>#VALUE!</v>
      </c>
      <c r="AR145" s="82" t="e">
        <f>IF(OR(AB144&lt;=0,AB145&lt;=0),1/0,AB145)</f>
        <v>#VALUE!</v>
      </c>
      <c r="AS145" s="82" t="e">
        <f>AM145</f>
        <v>#VALUE!</v>
      </c>
      <c r="AT145" t="e">
        <f>IFERROR(AP145,IFERROR(AQ145,IFERROR(AR145,AS145)))</f>
        <v>#VALUE!</v>
      </c>
      <c r="AU145" s="81"/>
    </row>
    <row r="146" spans="1:47" x14ac:dyDescent="0.25">
      <c r="A146" s="101">
        <f>A141+1</f>
        <v>21</v>
      </c>
      <c r="B146" s="101" t="str">
        <f t="shared" si="69"/>
        <v xml:space="preserve">  </v>
      </c>
      <c r="O146" s="101">
        <f>O141+1</f>
        <v>23</v>
      </c>
      <c r="P146" s="101" t="str">
        <f t="shared" si="65"/>
        <v xml:space="preserve">  </v>
      </c>
      <c r="AU146" s="81"/>
    </row>
    <row r="147" spans="1:47" x14ac:dyDescent="0.25">
      <c r="A147" s="84">
        <f>A146+1</f>
        <v>22</v>
      </c>
      <c r="B147" s="84" t="str">
        <f t="shared" si="69"/>
        <v xml:space="preserve">  </v>
      </c>
      <c r="C147" s="79" t="e">
        <f t="shared" ref="C147" si="75">IF(C148=B149,IF(C149-C148=C148-B148,B148,IF(C149-C148=C148-B147,B147,"#NA")),IF(C148=B148,IF(C149-C148=C148-B147,B147,IF(C149-C148=C148-B146,B146,"#NA")),"#NA"))</f>
        <v>#VALUE!</v>
      </c>
      <c r="D147" s="68" t="e">
        <f>VLOOKUP(C147,STN_TABLE,2,FALSE)</f>
        <v>#VALUE!</v>
      </c>
      <c r="E147" s="102">
        <v>1</v>
      </c>
      <c r="F147" s="68" t="e">
        <f>D147*E147</f>
        <v>#VALUE!</v>
      </c>
      <c r="G147" s="69" t="e">
        <f>C147</f>
        <v>#VALUE!</v>
      </c>
      <c r="H147" s="69" t="e">
        <f>F147*G147</f>
        <v>#VALUE!</v>
      </c>
      <c r="I147" s="6" t="s">
        <v>93</v>
      </c>
      <c r="J147" s="70" t="e">
        <f>IF(OR(D147=0,D148=0,D149=0),"#NA",IF(AND(C149-C148=C148-C147,C148&lt;&gt;C149,C147&lt;&gt;C148,C147&lt;&gt;C149,D149&lt;&gt;0,OR(D147&lt;&gt;0,D148&lt;&gt;0)),WLS*(C149-C148),"#NA"))</f>
        <v>#VALUE!</v>
      </c>
      <c r="O147" s="99">
        <f>O146+1</f>
        <v>24</v>
      </c>
      <c r="P147" s="99" t="str">
        <f t="shared" si="65"/>
        <v xml:space="preserve">  </v>
      </c>
      <c r="Q147" s="68" t="e">
        <f>IF(OR(P149-P148=P148-P147,P150-P148=P148-P147),P147,IF(OR(P149-P148=P148-P146,P150-P148=P148-P146),P146,"-"))</f>
        <v>#N/A</v>
      </c>
      <c r="R147" s="69" t="e">
        <f>VLOOKUP(Q147,STN_TABLE,2,FALSE)</f>
        <v>#N/A</v>
      </c>
      <c r="S147" s="69">
        <v>5</v>
      </c>
      <c r="T147" s="68" t="e">
        <f>R147*S147</f>
        <v>#N/A</v>
      </c>
      <c r="U147" s="79">
        <v>3</v>
      </c>
      <c r="V147" s="68" t="e">
        <f>R147*U147</f>
        <v>#N/A</v>
      </c>
      <c r="W147" s="6" t="s">
        <v>93</v>
      </c>
      <c r="X147" s="70" t="e">
        <f>IF(AND(Q149-Q148=Q148-Q147,NOT(AND(Q147=0,Q148=0)),NOT(AND(Q148=0,Q149=0))),WLS*(Q149-Q148),"#NA")</f>
        <v>#N/A</v>
      </c>
      <c r="AD147" s="93"/>
      <c r="AH147" s="6" t="s">
        <v>93</v>
      </c>
      <c r="AI147" s="70" t="e">
        <f>WLS*(AD149-AD148)</f>
        <v>#VALUE!</v>
      </c>
      <c r="AU147" s="81"/>
    </row>
    <row r="148" spans="1:47" x14ac:dyDescent="0.25">
      <c r="A148" s="84">
        <f>A147+1</f>
        <v>23</v>
      </c>
      <c r="B148" s="84" t="str">
        <f t="shared" si="69"/>
        <v xml:space="preserve">  </v>
      </c>
      <c r="C148" s="80" t="e">
        <f t="shared" ref="C148" si="76">IF(OR(B150-B149=B149-B148,B150-B149=B149-B147,B150-B149=B149-B146),B149,IF(OR(B150-B148=B148-B147,B150-B148=B148-B146),B148,IF(B150-B147=B147-B146,B147,"#NA")))</f>
        <v>#VALUE!</v>
      </c>
      <c r="D148" s="76" t="e">
        <f>VLOOKUP(C148,STN_TABLE,2,FALSE)</f>
        <v>#VALUE!</v>
      </c>
      <c r="E148" s="81">
        <v>4</v>
      </c>
      <c r="F148" s="76" t="e">
        <f>D148*E148</f>
        <v>#VALUE!</v>
      </c>
      <c r="G148" s="77" t="e">
        <f>C148</f>
        <v>#VALUE!</v>
      </c>
      <c r="H148" s="77" t="e">
        <f>F148*G148</f>
        <v>#VALUE!</v>
      </c>
      <c r="I148" s="495" t="s">
        <v>97</v>
      </c>
      <c r="J148" s="496"/>
      <c r="K148" s="78" t="s">
        <v>98</v>
      </c>
      <c r="L148" s="78"/>
      <c r="M148" s="7" t="s">
        <v>99</v>
      </c>
      <c r="N148" s="7"/>
      <c r="O148" s="99">
        <f>O147+1</f>
        <v>25</v>
      </c>
      <c r="P148" s="99" t="str">
        <f t="shared" si="65"/>
        <v xml:space="preserve">  </v>
      </c>
      <c r="Q148" s="76" t="str">
        <f>P148</f>
        <v xml:space="preserve">  </v>
      </c>
      <c r="R148" s="77" t="str">
        <f>VLOOKUP(Q148,STN_TABLE,2,FALSE)</f>
        <v xml:space="preserve">  </v>
      </c>
      <c r="S148" s="77">
        <v>8</v>
      </c>
      <c r="T148" s="76" t="e">
        <f>R148*S148</f>
        <v>#VALUE!</v>
      </c>
      <c r="U148" s="80">
        <v>10</v>
      </c>
      <c r="V148" s="76" t="e">
        <f>R148*U148</f>
        <v>#VALUE!</v>
      </c>
      <c r="W148" s="496" t="s">
        <v>97</v>
      </c>
      <c r="X148" s="496"/>
      <c r="Y148" s="496" t="s">
        <v>98</v>
      </c>
      <c r="Z148" s="496"/>
      <c r="AA148" s="494" t="s">
        <v>99</v>
      </c>
      <c r="AB148" s="494"/>
      <c r="AC148" s="99">
        <f>AC143+1</f>
        <v>24</v>
      </c>
      <c r="AD148" s="95" t="str">
        <f>VLOOKUP(AC148,STN_TABLE_2,2,FALSE)</f>
        <v xml:space="preserve">  </v>
      </c>
      <c r="AE148" s="68" t="str">
        <f>VLOOKUP(AD148,STN_TABLE,2,FALSE)</f>
        <v xml:space="preserve">  </v>
      </c>
      <c r="AF148" s="68">
        <v>1</v>
      </c>
      <c r="AG148" s="69" t="e">
        <f>AE148*AF148</f>
        <v>#VALUE!</v>
      </c>
      <c r="AH148" s="496" t="s">
        <v>97</v>
      </c>
      <c r="AI148" s="496"/>
      <c r="AJ148" s="496" t="s">
        <v>98</v>
      </c>
      <c r="AK148" s="496"/>
      <c r="AL148" s="494" t="s">
        <v>99</v>
      </c>
      <c r="AM148" s="494"/>
      <c r="AP148" s="86" t="s">
        <v>112</v>
      </c>
      <c r="AQ148" s="89" t="s">
        <v>113</v>
      </c>
      <c r="AR148" s="89" t="s">
        <v>114</v>
      </c>
      <c r="AS148" s="89" t="s">
        <v>115</v>
      </c>
      <c r="AU148" s="81"/>
    </row>
    <row r="149" spans="1:47" x14ac:dyDescent="0.25">
      <c r="A149" s="84">
        <f>A148+1</f>
        <v>24</v>
      </c>
      <c r="B149" s="84" t="str">
        <f t="shared" si="69"/>
        <v xml:space="preserve">  </v>
      </c>
      <c r="C149" s="88" t="str">
        <f t="shared" ref="C149" si="77">B150</f>
        <v xml:space="preserve">  </v>
      </c>
      <c r="D149" s="82" t="str">
        <f>VLOOKUP(C149,STN_TABLE,2,FALSE)</f>
        <v xml:space="preserve">  </v>
      </c>
      <c r="E149" s="92">
        <v>1</v>
      </c>
      <c r="F149" s="82" t="e">
        <f>D149*E149</f>
        <v>#VALUE!</v>
      </c>
      <c r="G149" s="83" t="str">
        <f>C149</f>
        <v xml:space="preserve">  </v>
      </c>
      <c r="H149" s="83" t="e">
        <f>F149*G149</f>
        <v>#VALUE!</v>
      </c>
      <c r="I149" s="84" t="str">
        <f>CONCATENATE("a'(",C149,")=")</f>
        <v>a'(  )=</v>
      </c>
      <c r="J149" s="84" t="e">
        <f>2*J147/3*F150</f>
        <v>#VALUE!</v>
      </c>
      <c r="K149" s="84" t="e">
        <f>CONCATENATE("A(",C147,")=")</f>
        <v>#VALUE!</v>
      </c>
      <c r="L149" s="84" t="e">
        <f>VLOOKUP(C147,STN_TABLE,3,FALSE)</f>
        <v>#VALUE!</v>
      </c>
      <c r="M149" t="str">
        <f>CONCATENATE("A(",C149,")=")</f>
        <v>A(  )=</v>
      </c>
      <c r="N149" t="e">
        <f>J149+L149</f>
        <v>#VALUE!</v>
      </c>
      <c r="O149" s="99">
        <f>O148+1</f>
        <v>26</v>
      </c>
      <c r="P149" s="99" t="e">
        <f t="shared" si="65"/>
        <v>#N/A</v>
      </c>
      <c r="Q149" s="82" t="e">
        <f>IF(P149-P148=P148-P147,P149,IF(P150-P148=P148-P147,P150,IF(P149-P148=P148-P146,P149,IF(P150-P148=P148-P146,P150,"-"))))</f>
        <v>#N/A</v>
      </c>
      <c r="R149" s="83" t="e">
        <f>VLOOKUP(Q149,STN_TABLE,2,FALSE)</f>
        <v>#N/A</v>
      </c>
      <c r="S149" s="83">
        <v>-1</v>
      </c>
      <c r="T149" s="82" t="e">
        <f>R149*S149</f>
        <v>#N/A</v>
      </c>
      <c r="U149" s="88">
        <v>-1</v>
      </c>
      <c r="V149" s="82" t="e">
        <f>R149*U149</f>
        <v>#N/A</v>
      </c>
      <c r="W149" s="84" t="str">
        <f>CONCATENATE("a'(",Q148,")=")</f>
        <v>a'(  )=</v>
      </c>
      <c r="X149" s="84" t="e">
        <f>2*X147/12*T150</f>
        <v>#N/A</v>
      </c>
      <c r="Y149" s="84" t="e">
        <f>CONCATENATE("A(",Q147,")=")</f>
        <v>#N/A</v>
      </c>
      <c r="Z149" s="84" t="e">
        <f>VLOOKUP(Q147,STN_TABLE,3,FALSE)</f>
        <v>#N/A</v>
      </c>
      <c r="AA149" t="str">
        <f>CONCATENATE("A(",Q148,")=")</f>
        <v>A(  )=</v>
      </c>
      <c r="AB149" t="e">
        <f>X149+Z149</f>
        <v>#N/A</v>
      </c>
      <c r="AC149" s="99">
        <f>AC148+1</f>
        <v>25</v>
      </c>
      <c r="AD149" s="100" t="str">
        <f>VLOOKUP(AC149,STN_TABLE_2,2,FALSE)</f>
        <v xml:space="preserve">  </v>
      </c>
      <c r="AE149" s="82" t="str">
        <f>VLOOKUP(AD149,STN_TABLE,2,FALSE)</f>
        <v xml:space="preserve">  </v>
      </c>
      <c r="AF149" s="82">
        <v>2</v>
      </c>
      <c r="AG149" s="83" t="e">
        <f>AE149*AF149</f>
        <v>#VALUE!</v>
      </c>
      <c r="AH149" s="84" t="str">
        <f>CONCATENATE("a'(",AD149,")=")</f>
        <v>a'(  )=</v>
      </c>
      <c r="AI149" s="84" t="e">
        <f>2*AI147/2*AE150</f>
        <v>#VALUE!</v>
      </c>
      <c r="AJ149" s="84" t="str">
        <f>CONCATENATE("A(",AD148,")=")</f>
        <v>A(  )=</v>
      </c>
      <c r="AK149" s="84" t="str">
        <f>VLOOKUP(AD148,STN_TABLE,3,FALSE)</f>
        <v xml:space="preserve"> </v>
      </c>
      <c r="AL149" t="str">
        <f>CONCATENATE("A(",AD149,")=")</f>
        <v>A(  )=</v>
      </c>
      <c r="AM149" t="e">
        <f>AI149+AK149</f>
        <v>#VALUE!</v>
      </c>
      <c r="AO149" s="68" t="str">
        <f>AA149</f>
        <v>A(  )=</v>
      </c>
      <c r="AP149" s="68" t="e">
        <f>VLOOKUP(AO149,Rise_Results,2,FALSE)</f>
        <v>#N/A</v>
      </c>
      <c r="AQ149" s="76" t="e">
        <f>N149</f>
        <v>#VALUE!</v>
      </c>
      <c r="AR149" s="76" t="e">
        <f>IF(OR(AB149&lt;=0,AB150&lt;=0),1/0,AB149)</f>
        <v>#N/A</v>
      </c>
      <c r="AS149" s="76" t="e">
        <f>AM149</f>
        <v>#VALUE!</v>
      </c>
      <c r="AT149" t="e">
        <f>IFERROR(AP149,IFERROR(AQ149,IFERROR(AR149,AS149)))</f>
        <v>#VALUE!</v>
      </c>
      <c r="AU149" s="81"/>
    </row>
    <row r="150" spans="1:47" x14ac:dyDescent="0.25">
      <c r="A150" s="84">
        <f>A149+1</f>
        <v>25</v>
      </c>
      <c r="B150" s="84" t="str">
        <f t="shared" si="69"/>
        <v xml:space="preserve">  </v>
      </c>
      <c r="F150" s="82" t="e">
        <f>SUM(F147:F149)</f>
        <v>#VALUE!</v>
      </c>
      <c r="H150" s="82" t="e">
        <f>SUM(H147:H149)</f>
        <v>#VALUE!</v>
      </c>
      <c r="I150" s="84" t="str">
        <f>CONCATENATE("m'(",C149,")=")</f>
        <v>m'(  )=</v>
      </c>
      <c r="J150" s="84" t="e">
        <f>2*(J147*(WLS))/3*H150</f>
        <v>#VALUE!</v>
      </c>
      <c r="K150" s="84" t="e">
        <f>CONCATENATE("M(",C147,")=")</f>
        <v>#VALUE!</v>
      </c>
      <c r="L150" s="84" t="e">
        <f>VLOOKUP(C147,STN_TABLE,4,FALSE)</f>
        <v>#VALUE!</v>
      </c>
      <c r="M150" t="str">
        <f>CONCATENATE("M(",C149,")=")</f>
        <v>M(  )=</v>
      </c>
      <c r="N150" t="e">
        <f>J150+L150</f>
        <v>#VALUE!</v>
      </c>
      <c r="O150" s="99">
        <f>O149+1</f>
        <v>27</v>
      </c>
      <c r="P150" s="99" t="e">
        <f t="shared" si="65"/>
        <v>#N/A</v>
      </c>
      <c r="T150" s="89" t="e">
        <f>SUM(T147:T149)</f>
        <v>#N/A</v>
      </c>
      <c r="V150" s="82" t="e">
        <f>SUM(V147:V149)</f>
        <v>#N/A</v>
      </c>
      <c r="W150" s="84" t="str">
        <f>CONCATENATE("m'(",Q148,")=")</f>
        <v>m'(  )=</v>
      </c>
      <c r="X150" s="84" t="e">
        <f>(2*(X147^2)/24*V150)+(X149*Q147*WLS)</f>
        <v>#N/A</v>
      </c>
      <c r="Y150" s="84" t="e">
        <f>CONCATENATE("M(",Q147,")=")</f>
        <v>#N/A</v>
      </c>
      <c r="Z150" s="84" t="e">
        <f>VLOOKUP(Q147,STN_TABLE,4,FALSE)</f>
        <v>#N/A</v>
      </c>
      <c r="AA150" t="str">
        <f>CONCATENATE("M(",Q148,")=")</f>
        <v>M(  )=</v>
      </c>
      <c r="AB150" t="e">
        <f>X150+Z150</f>
        <v>#N/A</v>
      </c>
      <c r="AE150" s="89">
        <f>SUM(AE148:AE149)</f>
        <v>0</v>
      </c>
      <c r="AG150" s="89" t="e">
        <f>SUM(AG148:AG149)</f>
        <v>#VALUE!</v>
      </c>
      <c r="AH150" s="84" t="str">
        <f>CONCATENATE("m'(",AD149,")=")</f>
        <v>m'(  )=</v>
      </c>
      <c r="AI150" s="84" t="e">
        <f>(2*(AI147^2)/6*AG150)+(AI149*AD148*WLS)</f>
        <v>#VALUE!</v>
      </c>
      <c r="AJ150" s="84" t="str">
        <f>CONCATENATE("M(",AD148,")=")</f>
        <v>M(  )=</v>
      </c>
      <c r="AK150" s="84" t="str">
        <f>VLOOKUP(AD148,STN_TABLE,4,FALSE)</f>
        <v xml:space="preserve"> </v>
      </c>
      <c r="AL150" t="str">
        <f>CONCATENATE("M(",AD149,")=")</f>
        <v>M(  )=</v>
      </c>
      <c r="AM150" t="e">
        <f>AI150+AK150</f>
        <v>#VALUE!</v>
      </c>
      <c r="AO150" s="82" t="str">
        <f>AA150</f>
        <v>M(  )=</v>
      </c>
      <c r="AP150" s="82" t="e">
        <f>VLOOKUP(AO150,Rise_Results,2,FALSE)</f>
        <v>#N/A</v>
      </c>
      <c r="AQ150" s="82" t="e">
        <f>N150</f>
        <v>#VALUE!</v>
      </c>
      <c r="AR150" s="82" t="e">
        <f>IF(OR(AB149&lt;=0,AB150&lt;=0),1/0,AB150)</f>
        <v>#N/A</v>
      </c>
      <c r="AS150" s="82" t="e">
        <f>AM150</f>
        <v>#VALUE!</v>
      </c>
      <c r="AT150" t="e">
        <f>IFERROR(AP150,IFERROR(AQ150,IFERROR(AR150,AS150)))</f>
        <v>#VALUE!</v>
      </c>
      <c r="AU150" s="81"/>
    </row>
    <row r="151" spans="1:47" x14ac:dyDescent="0.25">
      <c r="A151" s="101"/>
      <c r="B151" s="101"/>
      <c r="AU151" s="81"/>
    </row>
    <row r="152" spans="1:47" x14ac:dyDescent="0.25">
      <c r="A152" s="84"/>
      <c r="B152" s="84"/>
      <c r="E152" s="81"/>
      <c r="F152" s="81"/>
      <c r="G152" s="81"/>
      <c r="H152" s="81"/>
      <c r="I152" s="103"/>
      <c r="J152" s="70"/>
      <c r="AU152" s="81"/>
    </row>
    <row r="153" spans="1:47" x14ac:dyDescent="0.25">
      <c r="A153" s="84"/>
      <c r="B153" s="84"/>
      <c r="E153" s="81"/>
      <c r="F153" s="81"/>
      <c r="G153" s="81"/>
      <c r="H153" s="81"/>
      <c r="I153" s="104"/>
      <c r="J153" s="78"/>
      <c r="K153" s="78"/>
      <c r="L153" s="78"/>
      <c r="M153" s="7"/>
      <c r="N153" s="7"/>
      <c r="AO153" s="81"/>
      <c r="AP153" s="81"/>
      <c r="AQ153" s="81"/>
      <c r="AR153" s="81"/>
      <c r="AS153" s="81"/>
      <c r="AT153" s="81"/>
      <c r="AU153" s="81"/>
    </row>
    <row r="154" spans="1:47" x14ac:dyDescent="0.25">
      <c r="A154" s="84"/>
      <c r="B154" s="84"/>
      <c r="E154" s="81"/>
      <c r="F154" s="81"/>
      <c r="G154" s="81"/>
      <c r="H154" s="81"/>
      <c r="I154" s="105"/>
      <c r="J154" s="84"/>
      <c r="K154" s="84"/>
      <c r="L154" s="84"/>
      <c r="AO154" s="81"/>
      <c r="AP154" s="81"/>
      <c r="AQ154" s="81"/>
      <c r="AR154" s="81"/>
      <c r="AS154" s="81"/>
      <c r="AT154" s="81"/>
      <c r="AU154" s="81"/>
    </row>
    <row r="155" spans="1:47" x14ac:dyDescent="0.25">
      <c r="A155" s="84"/>
      <c r="B155" s="84"/>
      <c r="E155" s="81"/>
      <c r="F155" s="81"/>
      <c r="G155" s="81"/>
      <c r="H155" s="81"/>
      <c r="I155" s="105"/>
      <c r="J155" s="84"/>
      <c r="K155" s="84"/>
      <c r="L155" s="84"/>
      <c r="AO155" s="81"/>
      <c r="AP155" s="81"/>
      <c r="AQ155" s="81"/>
      <c r="AR155" s="81"/>
      <c r="AS155" s="81"/>
      <c r="AT155" s="81"/>
      <c r="AU155" s="81"/>
    </row>
    <row r="156" spans="1:47" x14ac:dyDescent="0.25">
      <c r="A156" s="101"/>
      <c r="B156" s="101"/>
      <c r="E156" s="81"/>
      <c r="F156" s="81"/>
      <c r="G156" s="81"/>
      <c r="H156" s="81"/>
      <c r="I156" s="81"/>
      <c r="AO156" s="81"/>
      <c r="AP156" s="81"/>
      <c r="AQ156" s="81"/>
      <c r="AR156" s="81"/>
      <c r="AS156" s="81"/>
      <c r="AT156" s="81"/>
      <c r="AU156" s="81"/>
    </row>
    <row r="157" spans="1:47" x14ac:dyDescent="0.25">
      <c r="A157" s="84"/>
      <c r="B157" s="84"/>
      <c r="E157" s="81"/>
      <c r="F157" s="81"/>
      <c r="G157" s="81"/>
      <c r="H157" s="81"/>
      <c r="I157" s="103"/>
      <c r="J157" s="70"/>
      <c r="AO157" s="81"/>
      <c r="AP157" s="81"/>
      <c r="AQ157" s="81"/>
      <c r="AR157" s="81"/>
      <c r="AS157" s="81"/>
      <c r="AT157" s="81"/>
      <c r="AU157" s="81"/>
    </row>
    <row r="158" spans="1:47" x14ac:dyDescent="0.25">
      <c r="A158" s="84"/>
      <c r="B158" s="84"/>
      <c r="E158" s="81"/>
      <c r="F158" s="81"/>
      <c r="G158" s="81"/>
      <c r="H158" s="81"/>
      <c r="I158" s="104"/>
      <c r="J158" s="78"/>
      <c r="K158" s="78"/>
      <c r="L158" s="78"/>
      <c r="M158" s="7"/>
      <c r="N158" s="7"/>
      <c r="AO158" s="81"/>
      <c r="AP158" s="81"/>
      <c r="AQ158" s="81"/>
      <c r="AR158" s="81"/>
      <c r="AS158" s="81"/>
      <c r="AT158" s="81"/>
      <c r="AU158" s="81"/>
    </row>
    <row r="159" spans="1:47" x14ac:dyDescent="0.25">
      <c r="A159" s="84"/>
      <c r="B159" s="84"/>
      <c r="E159" s="81"/>
      <c r="F159" s="81"/>
      <c r="G159" s="81"/>
      <c r="H159" s="81"/>
      <c r="I159" s="105"/>
      <c r="J159" s="84"/>
      <c r="K159" s="84"/>
      <c r="L159" s="84"/>
      <c r="AO159" s="81"/>
      <c r="AP159" s="81"/>
      <c r="AQ159" s="81"/>
      <c r="AR159" s="81"/>
      <c r="AS159" s="81"/>
      <c r="AT159" s="81"/>
      <c r="AU159" s="81"/>
    </row>
    <row r="160" spans="1:47" x14ac:dyDescent="0.25">
      <c r="A160" s="84"/>
      <c r="B160" s="84"/>
      <c r="E160" s="81"/>
      <c r="F160" s="81"/>
      <c r="G160" s="81"/>
      <c r="H160" s="81"/>
      <c r="I160" s="105"/>
      <c r="J160" s="84"/>
      <c r="K160" s="84"/>
      <c r="L160" s="84"/>
      <c r="AO160" s="81"/>
      <c r="AP160" s="81"/>
      <c r="AQ160" s="81"/>
      <c r="AR160" s="81"/>
      <c r="AS160" s="81"/>
      <c r="AT160" s="81"/>
      <c r="AU160" s="81"/>
    </row>
    <row r="161" spans="1:47" x14ac:dyDescent="0.25">
      <c r="A161" s="101"/>
      <c r="B161" s="101"/>
      <c r="E161" s="81"/>
      <c r="F161" s="81"/>
      <c r="G161" s="81"/>
      <c r="H161" s="81"/>
      <c r="I161" s="81"/>
      <c r="AO161" s="81"/>
      <c r="AP161" s="81"/>
      <c r="AQ161" s="81"/>
      <c r="AR161" s="81"/>
      <c r="AS161" s="81"/>
      <c r="AT161" s="81"/>
      <c r="AU161" s="81"/>
    </row>
    <row r="162" spans="1:47" x14ac:dyDescent="0.25">
      <c r="A162" s="84"/>
      <c r="B162" s="84"/>
      <c r="E162" s="81"/>
      <c r="F162" s="81"/>
      <c r="G162" s="81"/>
      <c r="H162" s="81"/>
      <c r="I162" s="103"/>
      <c r="J162" s="70"/>
      <c r="AO162" s="81"/>
      <c r="AP162" s="81"/>
      <c r="AQ162" s="81"/>
      <c r="AR162" s="81"/>
      <c r="AS162" s="81"/>
      <c r="AT162" s="81"/>
      <c r="AU162" s="81"/>
    </row>
    <row r="163" spans="1:47" x14ac:dyDescent="0.25">
      <c r="A163" s="84"/>
      <c r="B163" s="84"/>
      <c r="E163" s="81"/>
      <c r="F163" s="81"/>
      <c r="G163" s="81"/>
      <c r="H163" s="81"/>
      <c r="I163" s="104"/>
      <c r="J163" s="78"/>
      <c r="K163" s="78"/>
      <c r="L163" s="78"/>
      <c r="M163" s="7"/>
      <c r="N163" s="7"/>
      <c r="AO163" s="81"/>
      <c r="AP163" s="81"/>
      <c r="AQ163" s="81"/>
      <c r="AR163" s="81"/>
      <c r="AS163" s="81"/>
      <c r="AT163" s="81"/>
      <c r="AU163" s="81"/>
    </row>
    <row r="164" spans="1:47" x14ac:dyDescent="0.25">
      <c r="A164" s="84"/>
      <c r="B164" s="84"/>
      <c r="E164" s="81"/>
      <c r="F164" s="81"/>
      <c r="G164" s="81"/>
      <c r="H164" s="81"/>
      <c r="I164" s="105"/>
      <c r="J164" s="84"/>
      <c r="K164" s="84"/>
      <c r="L164" s="84"/>
    </row>
    <row r="165" spans="1:47" x14ac:dyDescent="0.25">
      <c r="A165" s="84"/>
      <c r="B165" s="84"/>
      <c r="E165" s="81"/>
      <c r="F165" s="81"/>
      <c r="G165" s="81"/>
      <c r="H165" s="81"/>
      <c r="I165" s="105"/>
      <c r="J165" s="84"/>
      <c r="K165" s="84"/>
      <c r="L165" s="84"/>
    </row>
    <row r="166" spans="1:47" x14ac:dyDescent="0.25">
      <c r="A166" s="101"/>
      <c r="B166" s="101"/>
      <c r="E166" s="81"/>
      <c r="F166" s="81"/>
      <c r="G166" s="81"/>
      <c r="H166" s="81"/>
      <c r="I166" s="81"/>
    </row>
    <row r="167" spans="1:47" x14ac:dyDescent="0.25">
      <c r="A167" s="84"/>
      <c r="B167" s="84"/>
      <c r="E167" s="81"/>
      <c r="F167" s="81"/>
      <c r="G167" s="81"/>
      <c r="H167" s="81"/>
      <c r="I167" s="103"/>
      <c r="J167" s="70"/>
    </row>
    <row r="168" spans="1:47" x14ac:dyDescent="0.25">
      <c r="A168" s="84"/>
      <c r="B168" s="84"/>
      <c r="E168" s="81"/>
      <c r="F168" s="81"/>
      <c r="G168" s="81"/>
      <c r="H168" s="81"/>
      <c r="I168" s="104"/>
      <c r="J168" s="78"/>
      <c r="K168" s="78"/>
      <c r="L168" s="78"/>
      <c r="M168" s="7"/>
      <c r="N168" s="7"/>
    </row>
    <row r="169" spans="1:47" x14ac:dyDescent="0.25">
      <c r="A169" s="84"/>
      <c r="B169" s="84"/>
      <c r="E169" s="81"/>
      <c r="F169" s="81"/>
      <c r="G169" s="81"/>
      <c r="H169" s="81"/>
      <c r="I169" s="105"/>
      <c r="J169" s="84"/>
      <c r="K169" s="84"/>
      <c r="L169" s="84"/>
    </row>
    <row r="170" spans="1:47" x14ac:dyDescent="0.25">
      <c r="A170" s="84"/>
      <c r="B170" s="84"/>
      <c r="E170" s="81"/>
      <c r="F170" s="81"/>
      <c r="G170" s="81"/>
      <c r="H170" s="81"/>
      <c r="I170" s="105"/>
      <c r="J170" s="84"/>
      <c r="K170" s="84"/>
      <c r="L170" s="84"/>
    </row>
    <row r="171" spans="1:47" x14ac:dyDescent="0.25">
      <c r="E171" s="81"/>
      <c r="F171" s="81"/>
      <c r="G171" s="81"/>
      <c r="H171" s="81"/>
      <c r="I171" s="81"/>
    </row>
  </sheetData>
  <sheetProtection selectLockedCells="1" selectUnlockedCells="1"/>
  <mergeCells count="167">
    <mergeCell ref="A1:B1"/>
    <mergeCell ref="E1:F1"/>
    <mergeCell ref="L1:M1"/>
    <mergeCell ref="W33:X33"/>
    <mergeCell ref="Y33:Z33"/>
    <mergeCell ref="AA33:AB33"/>
    <mergeCell ref="AH33:AI33"/>
    <mergeCell ref="AJ33:AK33"/>
    <mergeCell ref="AL33:AM33"/>
    <mergeCell ref="I38:J38"/>
    <mergeCell ref="W38:X38"/>
    <mergeCell ref="Y38:Z38"/>
    <mergeCell ref="AA38:AB38"/>
    <mergeCell ref="AH38:AI38"/>
    <mergeCell ref="AJ38:AK38"/>
    <mergeCell ref="AL38:AM38"/>
    <mergeCell ref="AL43:AM43"/>
    <mergeCell ref="I48:J48"/>
    <mergeCell ref="W48:X48"/>
    <mergeCell ref="Y48:Z48"/>
    <mergeCell ref="AA48:AB48"/>
    <mergeCell ref="AH48:AI48"/>
    <mergeCell ref="AJ48:AK48"/>
    <mergeCell ref="AL48:AM48"/>
    <mergeCell ref="I43:J43"/>
    <mergeCell ref="W43:X43"/>
    <mergeCell ref="Y43:Z43"/>
    <mergeCell ref="AA43:AB43"/>
    <mergeCell ref="AH43:AI43"/>
    <mergeCell ref="AJ43:AK43"/>
    <mergeCell ref="AL53:AM53"/>
    <mergeCell ref="I58:J58"/>
    <mergeCell ref="AH58:AI58"/>
    <mergeCell ref="AJ58:AK58"/>
    <mergeCell ref="AL58:AM58"/>
    <mergeCell ref="I63:J63"/>
    <mergeCell ref="W63:X63"/>
    <mergeCell ref="Y63:Z63"/>
    <mergeCell ref="AA63:AB63"/>
    <mergeCell ref="AH63:AI63"/>
    <mergeCell ref="I53:J53"/>
    <mergeCell ref="W53:X53"/>
    <mergeCell ref="Y53:Z53"/>
    <mergeCell ref="AA53:AB53"/>
    <mergeCell ref="AH53:AI53"/>
    <mergeCell ref="AJ53:AK53"/>
    <mergeCell ref="AJ63:AK63"/>
    <mergeCell ref="AL63:AM63"/>
    <mergeCell ref="I68:J68"/>
    <mergeCell ref="W68:X68"/>
    <mergeCell ref="Y68:Z68"/>
    <mergeCell ref="AA68:AB68"/>
    <mergeCell ref="AH68:AI68"/>
    <mergeCell ref="AJ68:AK68"/>
    <mergeCell ref="AL68:AM68"/>
    <mergeCell ref="AL73:AM73"/>
    <mergeCell ref="I78:J78"/>
    <mergeCell ref="W78:X78"/>
    <mergeCell ref="Y78:Z78"/>
    <mergeCell ref="AA78:AB78"/>
    <mergeCell ref="AH78:AI78"/>
    <mergeCell ref="AJ78:AK78"/>
    <mergeCell ref="AL78:AM78"/>
    <mergeCell ref="I73:J73"/>
    <mergeCell ref="W73:X73"/>
    <mergeCell ref="Y73:Z73"/>
    <mergeCell ref="AA73:AB73"/>
    <mergeCell ref="AH73:AI73"/>
    <mergeCell ref="AJ73:AK73"/>
    <mergeCell ref="AL83:AM83"/>
    <mergeCell ref="I88:J88"/>
    <mergeCell ref="W88:X88"/>
    <mergeCell ref="Y88:Z88"/>
    <mergeCell ref="AA88:AB88"/>
    <mergeCell ref="AH88:AI88"/>
    <mergeCell ref="AJ88:AK88"/>
    <mergeCell ref="AL88:AM88"/>
    <mergeCell ref="I83:J83"/>
    <mergeCell ref="W83:X83"/>
    <mergeCell ref="Y83:Z83"/>
    <mergeCell ref="AA83:AB83"/>
    <mergeCell ref="AH83:AI83"/>
    <mergeCell ref="AJ83:AK83"/>
    <mergeCell ref="AL93:AM93"/>
    <mergeCell ref="I98:J98"/>
    <mergeCell ref="W98:X98"/>
    <mergeCell ref="Y98:Z98"/>
    <mergeCell ref="AA98:AB98"/>
    <mergeCell ref="AH98:AI98"/>
    <mergeCell ref="AJ98:AK98"/>
    <mergeCell ref="AL98:AM98"/>
    <mergeCell ref="I93:J93"/>
    <mergeCell ref="W93:X93"/>
    <mergeCell ref="Y93:Z93"/>
    <mergeCell ref="AA93:AB93"/>
    <mergeCell ref="AH93:AI93"/>
    <mergeCell ref="AJ93:AK93"/>
    <mergeCell ref="AL103:AM103"/>
    <mergeCell ref="I108:J108"/>
    <mergeCell ref="W108:X108"/>
    <mergeCell ref="Y108:Z108"/>
    <mergeCell ref="AA108:AB108"/>
    <mergeCell ref="AH108:AI108"/>
    <mergeCell ref="AJ108:AK108"/>
    <mergeCell ref="AL108:AM108"/>
    <mergeCell ref="I103:J103"/>
    <mergeCell ref="W103:X103"/>
    <mergeCell ref="Y103:Z103"/>
    <mergeCell ref="AA103:AB103"/>
    <mergeCell ref="AH103:AI103"/>
    <mergeCell ref="AJ103:AK103"/>
    <mergeCell ref="AL113:AM113"/>
    <mergeCell ref="I118:J118"/>
    <mergeCell ref="W118:X118"/>
    <mergeCell ref="Y118:Z118"/>
    <mergeCell ref="AA118:AB118"/>
    <mergeCell ref="AH118:AI118"/>
    <mergeCell ref="AJ118:AK118"/>
    <mergeCell ref="AL118:AM118"/>
    <mergeCell ref="I113:J113"/>
    <mergeCell ref="W113:X113"/>
    <mergeCell ref="Y113:Z113"/>
    <mergeCell ref="AA113:AB113"/>
    <mergeCell ref="AH113:AI113"/>
    <mergeCell ref="AJ113:AK113"/>
    <mergeCell ref="AL123:AM123"/>
    <mergeCell ref="I128:J128"/>
    <mergeCell ref="W128:X128"/>
    <mergeCell ref="Y128:Z128"/>
    <mergeCell ref="AA128:AB128"/>
    <mergeCell ref="AH128:AI128"/>
    <mergeCell ref="AJ128:AK128"/>
    <mergeCell ref="AL128:AM128"/>
    <mergeCell ref="I123:J123"/>
    <mergeCell ref="W123:X123"/>
    <mergeCell ref="Y123:Z123"/>
    <mergeCell ref="AA123:AB123"/>
    <mergeCell ref="AH123:AI123"/>
    <mergeCell ref="AJ123:AK123"/>
    <mergeCell ref="AL133:AM133"/>
    <mergeCell ref="I138:J138"/>
    <mergeCell ref="W138:X138"/>
    <mergeCell ref="Y138:Z138"/>
    <mergeCell ref="AA138:AB138"/>
    <mergeCell ref="AH138:AI138"/>
    <mergeCell ref="AJ138:AK138"/>
    <mergeCell ref="AL138:AM138"/>
    <mergeCell ref="I133:J133"/>
    <mergeCell ref="W133:X133"/>
    <mergeCell ref="Y133:Z133"/>
    <mergeCell ref="AA133:AB133"/>
    <mergeCell ref="AH133:AI133"/>
    <mergeCell ref="AJ133:AK133"/>
    <mergeCell ref="AL143:AM143"/>
    <mergeCell ref="I148:J148"/>
    <mergeCell ref="W148:X148"/>
    <mergeCell ref="Y148:Z148"/>
    <mergeCell ref="AA148:AB148"/>
    <mergeCell ref="AH148:AI148"/>
    <mergeCell ref="AJ148:AK148"/>
    <mergeCell ref="AL148:AM148"/>
    <mergeCell ref="I143:J143"/>
    <mergeCell ref="W143:X143"/>
    <mergeCell ref="Y143:Z143"/>
    <mergeCell ref="AA143:AB143"/>
    <mergeCell ref="AH143:AI143"/>
    <mergeCell ref="AJ143:AK143"/>
  </mergeCells>
  <pageMargins left="0.7" right="0.7" top="0.75" bottom="0.75" header="0.3" footer="0.3"/>
  <pageSetup paperSize="9"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AU171"/>
  <sheetViews>
    <sheetView topLeftCell="N1" workbookViewId="0">
      <pane ySplit="1" topLeftCell="A8" activePane="bottomLeft" state="frozen"/>
      <selection activeCell="AG8" sqref="AG8:AG10"/>
      <selection pane="bottomLeft" activeCell="AG8" sqref="AG8:AG10"/>
    </sheetView>
  </sheetViews>
  <sheetFormatPr defaultRowHeight="15" x14ac:dyDescent="0.25"/>
  <sheetData>
    <row r="1" spans="1:46" x14ac:dyDescent="0.25">
      <c r="A1" s="494" t="s">
        <v>90</v>
      </c>
      <c r="B1" s="494"/>
      <c r="C1">
        <f>HLOOKUP(Stn_WL,OFFSET_A,Count_STN+1,FALSE)</f>
        <v>16</v>
      </c>
      <c r="E1" s="494" t="s">
        <v>91</v>
      </c>
      <c r="F1" s="494"/>
      <c r="G1" t="str">
        <f>VLOOKUP(Station_No,RISE_CALC,2,FALSE)</f>
        <v>-</v>
      </c>
      <c r="L1" s="494" t="s">
        <v>92</v>
      </c>
      <c r="M1" s="494"/>
      <c r="N1">
        <v>19</v>
      </c>
    </row>
    <row r="2" spans="1:46" x14ac:dyDescent="0.25">
      <c r="Q2" s="66" t="str">
        <f t="shared" ref="Q2:R6" si="0">G4</f>
        <v>Rise</v>
      </c>
      <c r="R2" s="67" t="e">
        <f t="shared" si="0"/>
        <v>#VALUE!</v>
      </c>
      <c r="S2" s="68" t="e">
        <f>IF(OR(R5-R4=R4-R3,R6-R4=R4-R3),R3,IF(OR(R5-R4=R4-R2,R6-R4=R4-R2),R2,"-"))</f>
        <v>#VALUE!</v>
      </c>
      <c r="T2" s="69" t="e">
        <f>IFERROR(VLOOKUP(S2,STN_TABLE,2,FALSE),IF(R2=RisePerWLS,0,"-"))</f>
        <v>#VALUE!</v>
      </c>
      <c r="U2" s="69">
        <v>5</v>
      </c>
      <c r="V2" s="69" t="e">
        <f>T2*U2</f>
        <v>#VALUE!</v>
      </c>
      <c r="W2" s="69">
        <v>3</v>
      </c>
      <c r="X2" s="69" t="e">
        <f>T2*W2</f>
        <v>#VALUE!</v>
      </c>
      <c r="Y2" s="6" t="s">
        <v>93</v>
      </c>
      <c r="Z2" s="70" t="e">
        <f>IF(AND(S4-S3=S3-S2,NOT(AND(S2=0,S3=0)),NOT(AND(S3=0,S4=0))),WLS*(S4-S3),"#NA")</f>
        <v>#VALUE!</v>
      </c>
      <c r="AE2" s="71" t="s">
        <v>94</v>
      </c>
    </row>
    <row r="3" spans="1:46" x14ac:dyDescent="0.25">
      <c r="B3" s="72" t="s">
        <v>0</v>
      </c>
      <c r="C3" s="73" t="s">
        <v>95</v>
      </c>
      <c r="D3" s="73" t="s">
        <v>18</v>
      </c>
      <c r="E3" s="74" t="s">
        <v>20</v>
      </c>
      <c r="H3" s="75" t="s">
        <v>96</v>
      </c>
      <c r="K3" t="str">
        <f>IF(Rise=0,"(Not considered)","(Considered)")</f>
        <v>(Considered)</v>
      </c>
      <c r="Q3" s="66" t="str">
        <f t="shared" si="0"/>
        <v>1st_UWL</v>
      </c>
      <c r="R3" s="67" t="str">
        <f t="shared" si="0"/>
        <v>#NA</v>
      </c>
      <c r="S3" s="76" t="str">
        <f>R4</f>
        <v>#NA</v>
      </c>
      <c r="T3" s="77" t="e">
        <f>VLOOKUP(S3,STN_TABLE,2,FALSE)</f>
        <v>#N/A</v>
      </c>
      <c r="U3" s="77">
        <v>8</v>
      </c>
      <c r="V3" s="77" t="e">
        <f>T3*U3</f>
        <v>#N/A</v>
      </c>
      <c r="W3" s="77">
        <v>10</v>
      </c>
      <c r="X3" s="77" t="e">
        <f>T3*W3</f>
        <v>#N/A</v>
      </c>
      <c r="Y3" s="78" t="s">
        <v>97</v>
      </c>
      <c r="Z3" s="78"/>
      <c r="AA3" s="78" t="s">
        <v>98</v>
      </c>
      <c r="AB3" s="78"/>
      <c r="AC3" s="7" t="s">
        <v>99</v>
      </c>
      <c r="AD3" s="7"/>
      <c r="AE3" s="66" t="str">
        <f t="shared" ref="AE3:AF7" si="1">G4</f>
        <v>Rise</v>
      </c>
      <c r="AF3" s="67" t="e">
        <f t="shared" si="1"/>
        <v>#VALUE!</v>
      </c>
      <c r="AG3" s="79" t="e">
        <f>IF(AF7-AF6=AF6-AF5,AF5,IF(OR(AF7-AF6=AF6-AF4,AF7-AF5=AF5-AF4),AF4,IF(OR(AF7-AF6=AF6-AF3,AF7-AF5=AF5-AF3,AF7-AF4=AF4-AF3),AF3,"#NA")))</f>
        <v>#VALUE!</v>
      </c>
      <c r="AH3" s="69" t="e">
        <f>IFERROR(VLOOKUP(AG3,STN_TABLE,2,FALSE),IF(AF3=RisePerWLS,0,"-"))</f>
        <v>#VALUE!</v>
      </c>
      <c r="AI3" s="69">
        <v>1</v>
      </c>
      <c r="AJ3" s="69" t="e">
        <f>AH3*AI3</f>
        <v>#VALUE!</v>
      </c>
      <c r="AK3" s="69" t="e">
        <f>AG3</f>
        <v>#VALUE!</v>
      </c>
      <c r="AL3" s="69" t="e">
        <f>AJ3*AK3</f>
        <v>#VALUE!</v>
      </c>
      <c r="AM3" s="6" t="s">
        <v>93</v>
      </c>
      <c r="AN3" s="70" t="e">
        <f>IF(AND(AH3=0,AH4=0,AH5=0),WLS*(AG5-AG4),IF(AND(AG5-AG4=AG4-AG3,AG4&lt;&gt;AG5,AG3&lt;&gt;AG4,AG3&lt;&gt;AG5,AH5&lt;&gt;0,OR(AH3&lt;&gt;0,AH4&lt;&gt;0)),WLS*(AG5-AG4),"#NA"))</f>
        <v>#VALUE!</v>
      </c>
    </row>
    <row r="4" spans="1:46" x14ac:dyDescent="0.25">
      <c r="A4">
        <v>1</v>
      </c>
      <c r="B4" s="80">
        <f t="shared" ref="B4:B28" si="2">VLOOKUP(Stn_WL,OFFSET_A,A4+1,FALSE)</f>
        <v>0</v>
      </c>
      <c r="C4" s="81">
        <f t="shared" ref="C4:C28" si="3">VLOOKUP(Station_No,OFFSET_A,A4+1,FALSE)</f>
        <v>7.6</v>
      </c>
      <c r="D4" s="81">
        <v>0</v>
      </c>
      <c r="E4" s="77">
        <v>0</v>
      </c>
      <c r="G4" t="s">
        <v>100</v>
      </c>
      <c r="H4" t="e">
        <f>Rise/WLS</f>
        <v>#VALUE!</v>
      </c>
      <c r="K4" t="str">
        <f>CONCATENATE("A(",H5,")=")</f>
        <v>A(#NA)=</v>
      </c>
      <c r="L4" t="e">
        <f>IFERROR(N18,N22)</f>
        <v>#VALUE!</v>
      </c>
      <c r="Q4" s="66" t="str">
        <f t="shared" si="0"/>
        <v>2nd_UWL</v>
      </c>
      <c r="R4" s="67" t="str">
        <f t="shared" si="0"/>
        <v>#NA</v>
      </c>
      <c r="S4" s="82" t="e">
        <f>IF((S2-S3)=S3-R5,R5,IF(S2-S3=S3-R6,R6,"-"))</f>
        <v>#VALUE!</v>
      </c>
      <c r="T4" s="83" t="e">
        <f>VLOOKUP(S4,STN_TABLE,2,FALSE)</f>
        <v>#VALUE!</v>
      </c>
      <c r="U4" s="83">
        <v>-1</v>
      </c>
      <c r="V4" s="83" t="e">
        <f>T4*U4</f>
        <v>#VALUE!</v>
      </c>
      <c r="W4" s="83">
        <v>-1</v>
      </c>
      <c r="X4" s="83" t="e">
        <f>T4*W4</f>
        <v>#VALUE!</v>
      </c>
      <c r="Y4" s="84" t="str">
        <f>CONCATENATE("a'(",S3,")=")</f>
        <v>a'(#NA)=</v>
      </c>
      <c r="Z4" s="85" t="e">
        <f>2*Z2/12*V5</f>
        <v>#VALUE!</v>
      </c>
      <c r="AA4" s="84" t="e">
        <f>CONCATENATE("A(",S2,")=")</f>
        <v>#VALUE!</v>
      </c>
      <c r="AB4" s="84" t="e">
        <f>IF(S2=RisePerWLS,0,VLOOKUP(S2,STN_TABLE,3,FALSE))</f>
        <v>#VALUE!</v>
      </c>
      <c r="AC4" t="str">
        <f>CONCATENATE("A(",S3,")=")</f>
        <v>A(#NA)=</v>
      </c>
      <c r="AD4" t="e">
        <f>Z4+AB4</f>
        <v>#VALUE!</v>
      </c>
      <c r="AE4" s="66" t="str">
        <f t="shared" si="1"/>
        <v>1st_UWL</v>
      </c>
      <c r="AF4" s="67" t="str">
        <f t="shared" si="1"/>
        <v>#NA</v>
      </c>
      <c r="AG4" s="80" t="e">
        <f>IF(OR(AF7-AF6=AF6-AF5,AF7-AF6=AF6-AF4,AF7-AF6=AF6-AF3),AF6,IF(OR(AF7-AF5=AF5-AF4,AF7-AF5=AF5-AF3),AF5,IF(AF7-AF4=AF4-AF3,AF4,"#NA")))</f>
        <v>#VALUE!</v>
      </c>
      <c r="AH4" s="77" t="e">
        <f>VLOOKUP(AG4,STN_TABLE,2,FALSE)</f>
        <v>#VALUE!</v>
      </c>
      <c r="AI4" s="77">
        <v>4</v>
      </c>
      <c r="AJ4" s="77" t="e">
        <f>AH4*AI4</f>
        <v>#VALUE!</v>
      </c>
      <c r="AK4" s="77" t="e">
        <f>AG4</f>
        <v>#VALUE!</v>
      </c>
      <c r="AL4" s="77" t="e">
        <f>AJ4*AK4</f>
        <v>#VALUE!</v>
      </c>
      <c r="AM4" s="78" t="s">
        <v>97</v>
      </c>
      <c r="AN4" s="78"/>
      <c r="AO4" s="78" t="s">
        <v>98</v>
      </c>
      <c r="AP4" s="78"/>
      <c r="AQ4" s="7" t="s">
        <v>99</v>
      </c>
      <c r="AR4" s="7"/>
      <c r="AS4" s="7"/>
      <c r="AT4" s="7"/>
    </row>
    <row r="5" spans="1:46" x14ac:dyDescent="0.25">
      <c r="A5">
        <v>2</v>
      </c>
      <c r="B5" s="80">
        <f t="shared" si="2"/>
        <v>0.25</v>
      </c>
      <c r="C5" s="81">
        <f t="shared" si="3"/>
        <v>8.64</v>
      </c>
      <c r="D5" s="81">
        <f t="shared" ref="D5:D28" si="4">IFERROR(VLOOKUP(CONCATENATE("A(",B5,")="),RESULT_TABLE,6,FALSE)," ")</f>
        <v>8.1541666666666668</v>
      </c>
      <c r="E5" s="77">
        <f t="shared" ref="E5:E28" si="5">IFERROR(VLOOKUP(CONCATENATE("M(",B5,")="),RESULT_TABLE,6,FALSE)," ")</f>
        <v>2.0818750000000001</v>
      </c>
      <c r="G5" t="s">
        <v>101</v>
      </c>
      <c r="H5" t="str">
        <f>VLOOKUP(Station_No,RISE_CALC,4,FALSE)</f>
        <v>#NA</v>
      </c>
      <c r="K5" t="str">
        <f>CONCATENATE("M(",H5,")=")</f>
        <v>M(#NA)=</v>
      </c>
      <c r="L5" t="e">
        <f>IFERROR(N19,N23)</f>
        <v>#VALUE!</v>
      </c>
      <c r="Q5" s="66" t="str">
        <f t="shared" si="0"/>
        <v>3rd_UWL</v>
      </c>
      <c r="R5" s="67" t="str">
        <f t="shared" si="0"/>
        <v>#NA</v>
      </c>
      <c r="V5" s="86" t="e">
        <f>SUM(V2:V4)</f>
        <v>#VALUE!</v>
      </c>
      <c r="X5" s="87" t="e">
        <f>SUM(X2:X4)</f>
        <v>#VALUE!</v>
      </c>
      <c r="Y5" s="84" t="str">
        <f>CONCATENATE("m'(",S3,")=")</f>
        <v>m'(#NA)=</v>
      </c>
      <c r="Z5" s="85" t="e">
        <f>(2*(Z2^2)/24*X5)+(Z4*S2*WLS)</f>
        <v>#VALUE!</v>
      </c>
      <c r="AA5" s="84" t="e">
        <f>CONCATENATE("M(",S2,")=")</f>
        <v>#VALUE!</v>
      </c>
      <c r="AB5" s="84" t="e">
        <f>IF(S2=RisePerWLS,0,VLOOKUP(S2,STN_TABLE,4,FALSE))</f>
        <v>#VALUE!</v>
      </c>
      <c r="AC5" t="str">
        <f>CONCATENATE("M(",S3,")=")</f>
        <v>M(#NA)=</v>
      </c>
      <c r="AD5" t="e">
        <f>Z5+AB5</f>
        <v>#VALUE!</v>
      </c>
      <c r="AE5" s="66" t="str">
        <f t="shared" si="1"/>
        <v>2nd_UWL</v>
      </c>
      <c r="AF5" s="67" t="str">
        <f t="shared" si="1"/>
        <v>#NA</v>
      </c>
      <c r="AG5" s="88" t="str">
        <f>AF7</f>
        <v>#NA</v>
      </c>
      <c r="AH5" s="83" t="e">
        <f>VLOOKUP(AG5,STN_TABLE,2,FALSE)</f>
        <v>#N/A</v>
      </c>
      <c r="AI5" s="83">
        <v>1</v>
      </c>
      <c r="AJ5" s="83" t="e">
        <f>AH5*AI5</f>
        <v>#N/A</v>
      </c>
      <c r="AK5" s="83" t="str">
        <f>AG5</f>
        <v>#NA</v>
      </c>
      <c r="AL5" s="83" t="e">
        <f>AJ5*AK5</f>
        <v>#N/A</v>
      </c>
      <c r="AM5" s="84" t="str">
        <f>CONCATENATE("a'(",AG5,")=")</f>
        <v>a'(#NA)=</v>
      </c>
      <c r="AN5" s="84" t="e">
        <f>2*AN3/3*AJ6</f>
        <v>#VALUE!</v>
      </c>
      <c r="AO5" s="84" t="e">
        <f>CONCATENATE("A(",AG3,")=")</f>
        <v>#VALUE!</v>
      </c>
      <c r="AP5" s="84" t="e">
        <f>IF(AG3=RisePerWLS,0,VLOOKUP(AG3,STN_TABLE,3,FALSE))</f>
        <v>#VALUE!</v>
      </c>
      <c r="AQ5" t="str">
        <f>CONCATENATE("A(",AG5,")=")</f>
        <v>A(#NA)=</v>
      </c>
      <c r="AR5" t="e">
        <f>AN5+AP5</f>
        <v>#VALUE!</v>
      </c>
    </row>
    <row r="6" spans="1:46" x14ac:dyDescent="0.25">
      <c r="A6">
        <v>3</v>
      </c>
      <c r="B6" s="80">
        <f t="shared" si="2"/>
        <v>0.5</v>
      </c>
      <c r="C6" s="81">
        <f t="shared" si="3"/>
        <v>9.27</v>
      </c>
      <c r="D6" s="81">
        <f t="shared" si="4"/>
        <v>17.143333333333334</v>
      </c>
      <c r="E6" s="77">
        <f t="shared" si="5"/>
        <v>8.85</v>
      </c>
      <c r="G6" t="s">
        <v>102</v>
      </c>
      <c r="H6" t="str">
        <f>VLOOKUP(Station_No,RISE_CALC,5,FALSE)</f>
        <v>#NA</v>
      </c>
      <c r="K6" t="str">
        <f>CONCATENATE("A(",H6,")=")</f>
        <v>A(#NA)=</v>
      </c>
      <c r="L6" t="e">
        <f>IFERROR(P27,IFERROR(X6,AD9))</f>
        <v>#VALUE!</v>
      </c>
      <c r="Q6" s="66" t="str">
        <f t="shared" si="0"/>
        <v>4th_UWL</v>
      </c>
      <c r="R6" s="67" t="str">
        <f t="shared" si="0"/>
        <v>#NA</v>
      </c>
      <c r="U6" t="s">
        <v>103</v>
      </c>
      <c r="W6" t="str">
        <f>CONCATENATE("A(",S3,")=")</f>
        <v>A(#NA)=</v>
      </c>
      <c r="X6" t="e">
        <f>IF(OR(AD4&lt;=0,AD5&lt;=0),AD9,AD4)</f>
        <v>#VALUE!</v>
      </c>
      <c r="AE6" s="66" t="str">
        <f t="shared" si="1"/>
        <v>3rd_UWL</v>
      </c>
      <c r="AF6" s="67" t="str">
        <f t="shared" si="1"/>
        <v>#NA</v>
      </c>
      <c r="AJ6" s="89" t="e">
        <f>SUM(AJ3:AJ5)</f>
        <v>#VALUE!</v>
      </c>
      <c r="AL6" s="89" t="e">
        <f>SUM(AL3:AL5)</f>
        <v>#VALUE!</v>
      </c>
      <c r="AM6" s="84" t="str">
        <f>CONCATENATE("m'(",AG5,")=")</f>
        <v>m'(#NA)=</v>
      </c>
      <c r="AN6" s="84" t="e">
        <f>2*(AN3*WLS)/3*AL6</f>
        <v>#VALUE!</v>
      </c>
      <c r="AO6" s="84" t="e">
        <f>CONCATENATE("M(",AG3,")=")</f>
        <v>#VALUE!</v>
      </c>
      <c r="AP6" s="84" t="e">
        <f>IF(AG3=RisePerWLS,0,VLOOKUP(AG3,STN_TABLE,4,FALSE))</f>
        <v>#VALUE!</v>
      </c>
      <c r="AQ6" t="str">
        <f>CONCATENATE("M(",AG5,")=")</f>
        <v>M(#NA)=</v>
      </c>
      <c r="AR6" t="e">
        <f>AN6+AP6</f>
        <v>#VALUE!</v>
      </c>
    </row>
    <row r="7" spans="1:46" x14ac:dyDescent="0.25">
      <c r="A7">
        <v>4</v>
      </c>
      <c r="B7" s="80">
        <f t="shared" si="2"/>
        <v>0.75</v>
      </c>
      <c r="C7" s="81">
        <f t="shared" si="3"/>
        <v>9.66</v>
      </c>
      <c r="D7" s="81">
        <f t="shared" si="4"/>
        <v>26.614166666666662</v>
      </c>
      <c r="E7" s="77">
        <f t="shared" si="5"/>
        <v>20.711874999999999</v>
      </c>
      <c r="G7" t="s">
        <v>104</v>
      </c>
      <c r="H7" t="str">
        <f>VLOOKUP(Station_No,RISE_CALC,6,FALSE)</f>
        <v>#NA</v>
      </c>
      <c r="K7" t="str">
        <f>CONCATENATE("M(",H6,")=")</f>
        <v>M(#NA)=</v>
      </c>
      <c r="L7" t="e">
        <f>IFERROR(P28,IFERROR(X7,AD10))</f>
        <v>#VALUE!</v>
      </c>
      <c r="Q7" s="66"/>
      <c r="R7" s="67"/>
      <c r="W7" t="str">
        <f>CONCATENATE("M(",S3,")=")</f>
        <v>M(#NA)=</v>
      </c>
      <c r="X7" t="e">
        <f>IF(OR(AD4&lt;=0,AD5&lt;=0),AD10,AD5)</f>
        <v>#VALUE!</v>
      </c>
      <c r="Y7" s="6" t="s">
        <v>93</v>
      </c>
      <c r="Z7" s="70" t="e">
        <f>WLS*(U9-U8)</f>
        <v>#VALUE!</v>
      </c>
      <c r="AE7" s="66" t="str">
        <f t="shared" si="1"/>
        <v>4th_UWL</v>
      </c>
      <c r="AF7" s="67" t="str">
        <f t="shared" si="1"/>
        <v>#NA</v>
      </c>
      <c r="AH7" s="81"/>
    </row>
    <row r="8" spans="1:46" x14ac:dyDescent="0.25">
      <c r="A8">
        <v>5</v>
      </c>
      <c r="B8" s="80">
        <f t="shared" si="2"/>
        <v>1</v>
      </c>
      <c r="C8" s="81">
        <f t="shared" si="3"/>
        <v>9.91</v>
      </c>
      <c r="D8" s="81">
        <f t="shared" si="4"/>
        <v>36.416666666666664</v>
      </c>
      <c r="E8" s="77">
        <f t="shared" si="5"/>
        <v>37.866666666666667</v>
      </c>
      <c r="G8" t="s">
        <v>105</v>
      </c>
      <c r="H8" t="str">
        <f>VLOOKUP(Station_No,RISE_CALC,7,FALSE)</f>
        <v>#NA</v>
      </c>
      <c r="K8" t="str">
        <f>CONCATENATE("A(",H7,")=")</f>
        <v>A(#NA)=</v>
      </c>
      <c r="L8" t="e">
        <f>IFERROR(AD15,IFERROR(X24,AD27))</f>
        <v>#VALUE!</v>
      </c>
      <c r="Q8" s="80"/>
      <c r="R8" s="81"/>
      <c r="U8" s="79" t="str">
        <f>R3</f>
        <v>#NA</v>
      </c>
      <c r="V8" s="68" t="e">
        <f>VLOOKUP(U8,STN_TABLE,2,FALSE)</f>
        <v>#N/A</v>
      </c>
      <c r="W8" s="68">
        <v>1</v>
      </c>
      <c r="X8" s="69" t="e">
        <f>V8*W8</f>
        <v>#N/A</v>
      </c>
      <c r="Y8" s="78" t="s">
        <v>97</v>
      </c>
      <c r="Z8" s="78"/>
      <c r="AA8" s="78" t="s">
        <v>98</v>
      </c>
      <c r="AB8" s="78"/>
      <c r="AC8" s="7" t="s">
        <v>99</v>
      </c>
      <c r="AD8" s="7"/>
      <c r="AE8" s="66"/>
      <c r="AF8" s="67"/>
      <c r="AG8" s="68" t="e">
        <f>IF(OR(AF12-AF11=AF11-AF10,AF13-AF11=AF11-AF10),AF10,IF(OR(AF12-AF11=AF11-AF9,AF13-AF11=AF11-AF9),AF9,"-"))</f>
        <v>#VALUE!</v>
      </c>
      <c r="AH8" s="69" t="e">
        <f>IFERROR(VLOOKUP(AG8,STN_TABLE,2,FALSE),IF(AF8=RisePerWLS,0,"-"))</f>
        <v>#VALUE!</v>
      </c>
      <c r="AI8" s="69">
        <v>5</v>
      </c>
      <c r="AJ8" s="69" t="e">
        <f>AH8*AI8</f>
        <v>#VALUE!</v>
      </c>
      <c r="AK8" s="69">
        <v>3</v>
      </c>
      <c r="AL8" s="69" t="e">
        <f>AH8*AK8</f>
        <v>#VALUE!</v>
      </c>
      <c r="AM8" s="6" t="s">
        <v>93</v>
      </c>
      <c r="AN8" s="70" t="e">
        <f>IF(AND(AG10-AG9=AG9-AG8,NOT(AND(AG8=0,AG9=0)),NOT(AND(AG9=0,AG10=0))),WLS*(AG10-AG9),"#NA")</f>
        <v>#VALUE!</v>
      </c>
    </row>
    <row r="9" spans="1:46" x14ac:dyDescent="0.25">
      <c r="A9">
        <v>6</v>
      </c>
      <c r="B9" s="80">
        <f t="shared" si="2"/>
        <v>2</v>
      </c>
      <c r="C9" s="81">
        <f t="shared" si="3"/>
        <v>10.5</v>
      </c>
      <c r="D9" s="81">
        <f t="shared" si="4"/>
        <v>77.366666666666674</v>
      </c>
      <c r="E9" s="77">
        <f t="shared" si="5"/>
        <v>161.11000000000001</v>
      </c>
      <c r="G9" t="s">
        <v>106</v>
      </c>
      <c r="H9" t="str">
        <f>VLOOKUP(Station_No,RISE_CALC,8,FALSE)</f>
        <v>#NA</v>
      </c>
      <c r="K9" t="str">
        <f>CONCATENATE("M(",H7,")=")</f>
        <v>M(#NA)=</v>
      </c>
      <c r="L9" t="e">
        <f>IFERROR(AD16,IFERROR(X25,AD28))</f>
        <v>#VALUE!</v>
      </c>
      <c r="Q9" s="80"/>
      <c r="R9" s="81"/>
      <c r="U9" s="88" t="str">
        <f>R4</f>
        <v>#NA</v>
      </c>
      <c r="V9" s="82" t="e">
        <f>VLOOKUP(U9,STN_TABLE,2,FALSE)</f>
        <v>#N/A</v>
      </c>
      <c r="W9" s="82">
        <v>2</v>
      </c>
      <c r="X9" s="83" t="e">
        <f>V9*W9</f>
        <v>#N/A</v>
      </c>
      <c r="Y9" s="84" t="str">
        <f>CONCATENATE("a'(",U9,")=")</f>
        <v>a'(#NA)=</v>
      </c>
      <c r="Z9" s="84" t="e">
        <f>2*Z7/2*V10</f>
        <v>#VALUE!</v>
      </c>
      <c r="AA9" s="84" t="str">
        <f>CONCATENATE("A(",U8,")=")</f>
        <v>A(#NA)=</v>
      </c>
      <c r="AB9" s="84" t="e">
        <f>IF(U8=RisePerWLS,0,VLOOKUP(U8,STN_TABLE,3,FALSE))</f>
        <v>#VALUE!</v>
      </c>
      <c r="AC9" t="str">
        <f>CONCATENATE("A(",U9,")=")</f>
        <v>A(#NA)=</v>
      </c>
      <c r="AD9" t="e">
        <f>Z9+AB9</f>
        <v>#VALUE!</v>
      </c>
      <c r="AE9" s="66" t="str">
        <f t="shared" ref="AE9:AF13" si="6">G6</f>
        <v>2nd_UWL</v>
      </c>
      <c r="AF9" s="67" t="str">
        <f t="shared" si="6"/>
        <v>#NA</v>
      </c>
      <c r="AG9" s="76" t="str">
        <f>AF11</f>
        <v>#NA</v>
      </c>
      <c r="AH9" s="77" t="e">
        <f>VLOOKUP(AG9,STN_TABLE,2,FALSE)</f>
        <v>#N/A</v>
      </c>
      <c r="AI9" s="77">
        <v>8</v>
      </c>
      <c r="AJ9" s="77" t="e">
        <f>AH9*AI9</f>
        <v>#N/A</v>
      </c>
      <c r="AK9" s="77">
        <v>10</v>
      </c>
      <c r="AL9" s="77" t="e">
        <f>AH9*AK9</f>
        <v>#N/A</v>
      </c>
      <c r="AM9" s="78" t="s">
        <v>97</v>
      </c>
      <c r="AN9" s="78"/>
      <c r="AO9" s="78" t="s">
        <v>98</v>
      </c>
      <c r="AP9" s="78"/>
      <c r="AQ9" s="7" t="s">
        <v>99</v>
      </c>
      <c r="AR9" s="7"/>
      <c r="AS9" s="7"/>
      <c r="AT9" s="7"/>
    </row>
    <row r="10" spans="1:46" x14ac:dyDescent="0.25">
      <c r="A10">
        <v>7</v>
      </c>
      <c r="B10" s="80">
        <f t="shared" si="2"/>
        <v>3</v>
      </c>
      <c r="C10" s="81">
        <f t="shared" si="3"/>
        <v>10.7</v>
      </c>
      <c r="D10" s="81">
        <f t="shared" si="4"/>
        <v>119.89666666666665</v>
      </c>
      <c r="E10" s="77">
        <f t="shared" si="5"/>
        <v>373.89333333333332</v>
      </c>
      <c r="G10" t="s">
        <v>107</v>
      </c>
      <c r="H10" t="str">
        <f>VLOOKUP(Station_No,RISE_CALC,9,FALSE)</f>
        <v>#NA</v>
      </c>
      <c r="K10" t="str">
        <f>CONCATENATE("A(",H8,")=")</f>
        <v>A(#NA)=</v>
      </c>
      <c r="L10" t="e">
        <f>IFERROR(AR5,IFERROR(AL12,AR15))</f>
        <v>#VALUE!</v>
      </c>
      <c r="Q10" s="80"/>
      <c r="R10" s="81"/>
      <c r="V10" s="89" t="e">
        <f>SUM(V8:V9)</f>
        <v>#N/A</v>
      </c>
      <c r="X10" s="89" t="e">
        <f>SUM(X8:X9)</f>
        <v>#N/A</v>
      </c>
      <c r="Y10" s="84" t="str">
        <f>CONCATENATE("m'(",U9,")=")</f>
        <v>m'(#NA)=</v>
      </c>
      <c r="Z10" s="84" t="e">
        <f>(2*(Z7^2)/6*X10)+(Z9*U8*WLS)</f>
        <v>#VALUE!</v>
      </c>
      <c r="AA10" s="84" t="str">
        <f>CONCATENATE("M(",U8,")=")</f>
        <v>M(#NA)=</v>
      </c>
      <c r="AB10" s="84" t="e">
        <f>IF(U8=RisePerWLS,0,VLOOKUP(U8,STN_TABLE,4,FALSE))</f>
        <v>#VALUE!</v>
      </c>
      <c r="AC10" t="str">
        <f>CONCATENATE("M(",U9,")=")</f>
        <v>M(#NA)=</v>
      </c>
      <c r="AD10" t="e">
        <f>Z10+AB10</f>
        <v>#VALUE!</v>
      </c>
      <c r="AE10" s="66" t="str">
        <f t="shared" si="6"/>
        <v>3rd_UWL</v>
      </c>
      <c r="AF10" s="67" t="str">
        <f t="shared" si="6"/>
        <v>#NA</v>
      </c>
      <c r="AG10" s="82" t="e">
        <f>IF(AG8-AG9=AG9-AF12,AF12,IF(AG8-AG9=AG9-AF13,AF13,"-"))</f>
        <v>#VALUE!</v>
      </c>
      <c r="AH10" s="83" t="e">
        <f>VLOOKUP(AG10,STN_TABLE,2,FALSE)</f>
        <v>#VALUE!</v>
      </c>
      <c r="AI10" s="83">
        <v>-1</v>
      </c>
      <c r="AJ10" s="83" t="e">
        <f>AH10*AI10</f>
        <v>#VALUE!</v>
      </c>
      <c r="AK10" s="83">
        <v>-1</v>
      </c>
      <c r="AL10" s="83" t="e">
        <f>AH10*AK10</f>
        <v>#VALUE!</v>
      </c>
      <c r="AM10" s="84" t="str">
        <f>CONCATENATE("a'(",AG9,")=")</f>
        <v>a'(#NA)=</v>
      </c>
      <c r="AN10" s="84" t="e">
        <f>2*AN8/12*AJ11</f>
        <v>#VALUE!</v>
      </c>
      <c r="AO10" s="84" t="e">
        <f>CONCATENATE("A(",AG8,")=")</f>
        <v>#VALUE!</v>
      </c>
      <c r="AP10" s="84" t="e">
        <f>VLOOKUP(AG8,STN_TABLE,3,FALSE)</f>
        <v>#VALUE!</v>
      </c>
      <c r="AQ10" t="str">
        <f>CONCATENATE("A(",AG9,")=")</f>
        <v>A(#NA)=</v>
      </c>
      <c r="AR10" t="e">
        <f>AN10+AP10</f>
        <v>#VALUE!</v>
      </c>
    </row>
    <row r="11" spans="1:46" x14ac:dyDescent="0.25">
      <c r="A11">
        <v>8</v>
      </c>
      <c r="B11" s="80">
        <f t="shared" si="2"/>
        <v>4</v>
      </c>
      <c r="C11" s="81">
        <f t="shared" si="3"/>
        <v>10.8</v>
      </c>
      <c r="D11" s="81">
        <f t="shared" si="4"/>
        <v>162.83333333333331</v>
      </c>
      <c r="E11" s="77">
        <f t="shared" si="5"/>
        <v>674.70999999999992</v>
      </c>
      <c r="G11" t="s">
        <v>108</v>
      </c>
      <c r="H11" t="str">
        <f>VLOOKUP(Station_No,RISE_CALC,10,FALSE)</f>
        <v>#NA</v>
      </c>
      <c r="K11" t="str">
        <f>CONCATENATE("M(",H8,")=")</f>
        <v>M(#NA)=</v>
      </c>
      <c r="L11" t="e">
        <f>IFERROR(AR6,IFERROR(AL13,AR16))</f>
        <v>#VALUE!</v>
      </c>
      <c r="Q11" s="80"/>
      <c r="R11" s="81"/>
      <c r="AE11" s="66" t="str">
        <f t="shared" si="6"/>
        <v>4th_UWL</v>
      </c>
      <c r="AF11" s="67" t="str">
        <f t="shared" si="6"/>
        <v>#NA</v>
      </c>
      <c r="AJ11" s="89" t="e">
        <f>SUM(AJ8:AJ10)</f>
        <v>#VALUE!</v>
      </c>
      <c r="AL11" s="89" t="e">
        <f>SUM(AL8:AL10)</f>
        <v>#VALUE!</v>
      </c>
      <c r="AM11" s="84" t="str">
        <f>CONCATENATE("m'(",AG9,")=")</f>
        <v>m'(#NA)=</v>
      </c>
      <c r="AN11" s="84" t="e">
        <f>(2*(AN8^2)/24*AL11)+(AN10*AG8*WLS)</f>
        <v>#VALUE!</v>
      </c>
      <c r="AO11" s="84" t="e">
        <f>CONCATENATE("M(",AG8,")=")</f>
        <v>#VALUE!</v>
      </c>
      <c r="AP11" s="84" t="e">
        <f>VLOOKUP(AG8,STN_TABLE,4,FALSE)</f>
        <v>#VALUE!</v>
      </c>
      <c r="AQ11" t="str">
        <f>CONCATENATE("M(",AG9,")=")</f>
        <v>M(#NA)=</v>
      </c>
      <c r="AR11" t="e">
        <f>AN11+AP11</f>
        <v>#VALUE!</v>
      </c>
    </row>
    <row r="12" spans="1:46" x14ac:dyDescent="0.25">
      <c r="A12">
        <v>9</v>
      </c>
      <c r="B12" s="80">
        <f t="shared" si="2"/>
        <v>4.8499999999999996</v>
      </c>
      <c r="C12" s="81">
        <f t="shared" si="3"/>
        <v>10.89</v>
      </c>
      <c r="D12" s="81">
        <f t="shared" si="4"/>
        <v>199.7063333333333</v>
      </c>
      <c r="E12" s="77">
        <f t="shared" si="5"/>
        <v>1001.0793999999997</v>
      </c>
      <c r="Q12" s="90" t="s">
        <v>109</v>
      </c>
      <c r="R12" s="81"/>
      <c r="AE12" s="66" t="str">
        <f t="shared" si="6"/>
        <v>5th_UWL</v>
      </c>
      <c r="AF12" s="67" t="str">
        <f t="shared" si="6"/>
        <v>#NA</v>
      </c>
      <c r="AI12" t="s">
        <v>103</v>
      </c>
      <c r="AK12" t="str">
        <f>CONCATENATE("A(",AG9,")=")</f>
        <v>A(#NA)=</v>
      </c>
      <c r="AL12" t="e">
        <f>IF(OR(AR10&lt;=0,AR11&lt;=0),AR15,AR10)</f>
        <v>#VALUE!</v>
      </c>
    </row>
    <row r="13" spans="1:46" x14ac:dyDescent="0.25">
      <c r="A13">
        <v>10</v>
      </c>
      <c r="B13" s="80">
        <f t="shared" si="2"/>
        <v>5</v>
      </c>
      <c r="C13" s="81">
        <f t="shared" si="3"/>
        <v>10.9</v>
      </c>
      <c r="D13" s="81">
        <f t="shared" si="4"/>
        <v>206.29666666666665</v>
      </c>
      <c r="E13" s="77">
        <f t="shared" si="5"/>
        <v>1065.6266666666666</v>
      </c>
      <c r="G13" s="71" t="s">
        <v>110</v>
      </c>
      <c r="Q13" s="66" t="str">
        <f t="shared" ref="Q13:R16" si="7">G4</f>
        <v>Rise</v>
      </c>
      <c r="R13" s="67" t="e">
        <f t="shared" si="7"/>
        <v>#VALUE!</v>
      </c>
      <c r="S13" s="68" t="e">
        <f>IF(R16-R15=R15-R14,R14,IF(R16-R14=R14-R13,R13,"-"))</f>
        <v>#VALUE!</v>
      </c>
      <c r="T13" s="69" t="e">
        <f>IFERROR(VLOOKUP(S13,STN_TABLE,2,FALSE),IF(R13=RisePerWLS,0,"-"))</f>
        <v>#VALUE!</v>
      </c>
      <c r="U13" s="69">
        <v>1</v>
      </c>
      <c r="V13" s="69" t="e">
        <f>T13*U13</f>
        <v>#VALUE!</v>
      </c>
      <c r="W13" s="69" t="e">
        <f>S13</f>
        <v>#VALUE!</v>
      </c>
      <c r="X13" s="69" t="e">
        <f>V13*W13</f>
        <v>#VALUE!</v>
      </c>
      <c r="Y13" s="6" t="s">
        <v>93</v>
      </c>
      <c r="Z13" s="70" t="e">
        <f>IF(AND(T13=0,T14=0,T15=0),WLS*(S15-S14),IF(AND(S15-S14=S14-S13,S14&lt;&gt;S15,S13&lt;&gt;S14,S13&lt;&gt;S15,T15&lt;&gt;0,OR(T13&lt;&gt;0,T14&lt;&gt;0)),WLS*(S15-S14),"#NA"))</f>
        <v>#VALUE!</v>
      </c>
      <c r="AE13" s="66" t="str">
        <f t="shared" si="6"/>
        <v>6th_UWL</v>
      </c>
      <c r="AF13" s="67" t="str">
        <f t="shared" si="6"/>
        <v>#NA</v>
      </c>
      <c r="AK13" t="str">
        <f>CONCATENATE("M(",AG9,")=")</f>
        <v>M(#NA)=</v>
      </c>
      <c r="AL13" t="e">
        <f>IF(OR(AR10&lt;=0,AR11&lt;=0),AR16,AR11)</f>
        <v>#VALUE!</v>
      </c>
      <c r="AM13" s="6" t="s">
        <v>93</v>
      </c>
      <c r="AN13" s="70" t="e">
        <f>WLS*(AI15-AI14)</f>
        <v>#VALUE!</v>
      </c>
    </row>
    <row r="14" spans="1:46" x14ac:dyDescent="0.25">
      <c r="A14">
        <v>11</v>
      </c>
      <c r="B14" s="80">
        <f t="shared" si="2"/>
        <v>6</v>
      </c>
      <c r="C14" s="81">
        <f t="shared" si="3"/>
        <v>11</v>
      </c>
      <c r="D14" s="81">
        <f t="shared" si="4"/>
        <v>250.0333333333333</v>
      </c>
      <c r="E14" s="77">
        <f t="shared" si="5"/>
        <v>1547.2433333333333</v>
      </c>
      <c r="G14" s="91" t="str">
        <f>G4</f>
        <v>Rise</v>
      </c>
      <c r="H14" s="91" t="e">
        <f>RisePerWLS</f>
        <v>#VALUE!</v>
      </c>
      <c r="I14" s="68" t="e">
        <f>H14</f>
        <v>#VALUE!</v>
      </c>
      <c r="J14" s="69">
        <v>0</v>
      </c>
      <c r="K14" s="69">
        <v>5</v>
      </c>
      <c r="L14" s="69">
        <f>J14*K14</f>
        <v>0</v>
      </c>
      <c r="M14" s="69">
        <v>3</v>
      </c>
      <c r="N14" s="69">
        <f>J14*M14</f>
        <v>0</v>
      </c>
      <c r="O14" t="s">
        <v>93</v>
      </c>
      <c r="P14" t="e">
        <f>IF(AND(NOT(AND(J14=0,J15=0)),I14&lt;&gt;I15,I15&lt;&gt;I16,I16-I15=I15-I14),(I16-I15)*WLS,"#NA")</f>
        <v>#N/A</v>
      </c>
      <c r="Q14" s="66" t="str">
        <f t="shared" si="7"/>
        <v>1st_UWL</v>
      </c>
      <c r="R14" s="67" t="str">
        <f t="shared" si="7"/>
        <v>#NA</v>
      </c>
      <c r="S14" s="76" t="e">
        <f>IF(R16-R15=R15-R14,R15,IF(R16-R14=R14-R13,R14,"-"))</f>
        <v>#VALUE!</v>
      </c>
      <c r="T14" s="77" t="e">
        <f>VLOOKUP(S14,STN_TABLE,2,FALSE)</f>
        <v>#VALUE!</v>
      </c>
      <c r="U14" s="77">
        <v>4</v>
      </c>
      <c r="V14" s="77" t="e">
        <f>T14*U14</f>
        <v>#VALUE!</v>
      </c>
      <c r="W14" s="77" t="e">
        <f>S14</f>
        <v>#VALUE!</v>
      </c>
      <c r="X14" s="77" t="e">
        <f>V14*W14</f>
        <v>#VALUE!</v>
      </c>
      <c r="Y14" s="78" t="s">
        <v>97</v>
      </c>
      <c r="Z14" s="78"/>
      <c r="AA14" s="78" t="s">
        <v>98</v>
      </c>
      <c r="AB14" s="78"/>
      <c r="AC14" s="7" t="s">
        <v>99</v>
      </c>
      <c r="AD14" s="7"/>
      <c r="AE14" s="66"/>
      <c r="AF14" s="67"/>
      <c r="AI14" s="79" t="str">
        <f>AF10</f>
        <v>#NA</v>
      </c>
      <c r="AJ14" s="68" t="e">
        <f>VLOOKUP(AI14,STN_TABLE,2,FALSE)</f>
        <v>#N/A</v>
      </c>
      <c r="AK14" s="68">
        <v>1</v>
      </c>
      <c r="AL14" s="69" t="e">
        <f>AJ14*AK14</f>
        <v>#N/A</v>
      </c>
      <c r="AM14" s="78" t="s">
        <v>97</v>
      </c>
      <c r="AN14" s="78"/>
      <c r="AO14" s="78" t="s">
        <v>98</v>
      </c>
      <c r="AP14" s="78"/>
      <c r="AQ14" s="7" t="s">
        <v>99</v>
      </c>
      <c r="AR14" s="7"/>
      <c r="AS14" s="7"/>
      <c r="AT14" s="7"/>
    </row>
    <row r="15" spans="1:46" x14ac:dyDescent="0.25">
      <c r="A15">
        <v>12</v>
      </c>
      <c r="B15" s="80">
        <f t="shared" si="2"/>
        <v>6.5</v>
      </c>
      <c r="C15" s="81">
        <f t="shared" si="3"/>
        <v>11</v>
      </c>
      <c r="D15" s="81">
        <f t="shared" si="4"/>
        <v>272.0333333333333</v>
      </c>
      <c r="E15" s="77">
        <f t="shared" si="5"/>
        <v>1822.2433333333333</v>
      </c>
      <c r="G15" s="91" t="str">
        <f>G5</f>
        <v>1st_UWL</v>
      </c>
      <c r="H15" s="91" t="str">
        <f>H5</f>
        <v>#NA</v>
      </c>
      <c r="I15" s="76" t="str">
        <f>H15</f>
        <v>#NA</v>
      </c>
      <c r="J15" s="77" t="e">
        <f>VLOOKUP(I15,STN_TABLE,2,FALSE)</f>
        <v>#N/A</v>
      </c>
      <c r="K15" s="77">
        <v>8</v>
      </c>
      <c r="L15" s="77" t="e">
        <f>J15*K15</f>
        <v>#N/A</v>
      </c>
      <c r="M15" s="77">
        <v>10</v>
      </c>
      <c r="N15" s="77" t="e">
        <f>J15*M15</f>
        <v>#N/A</v>
      </c>
      <c r="O15" t="str">
        <f>CONCATENATE("A(",I15,")=")</f>
        <v>A(#NA)=</v>
      </c>
      <c r="P15" t="e">
        <f>2*P14/12*L17</f>
        <v>#N/A</v>
      </c>
      <c r="Q15" s="66" t="str">
        <f t="shared" si="7"/>
        <v>2nd_UWL</v>
      </c>
      <c r="R15" s="67" t="str">
        <f t="shared" si="7"/>
        <v>#NA</v>
      </c>
      <c r="S15" s="82" t="str">
        <f>R16</f>
        <v>#NA</v>
      </c>
      <c r="T15" s="83" t="e">
        <f>VLOOKUP(S15,STN_TABLE,2,FALSE)</f>
        <v>#N/A</v>
      </c>
      <c r="U15" s="83">
        <v>1</v>
      </c>
      <c r="V15" s="83" t="e">
        <f>T15*U15</f>
        <v>#N/A</v>
      </c>
      <c r="W15" s="83" t="str">
        <f>S15</f>
        <v>#NA</v>
      </c>
      <c r="X15" s="83" t="e">
        <f>V15*W15</f>
        <v>#N/A</v>
      </c>
      <c r="Y15" s="84" t="str">
        <f>CONCATENATE("a'(",S15,")=")</f>
        <v>a'(#NA)=</v>
      </c>
      <c r="Z15" s="84" t="e">
        <f>2*Z13/3*V16</f>
        <v>#VALUE!</v>
      </c>
      <c r="AA15" s="84" t="e">
        <f>CONCATENATE("A(",S13,")=")</f>
        <v>#VALUE!</v>
      </c>
      <c r="AB15" s="84" t="e">
        <f>IF(S13=RisePerWLS,0,VLOOKUP(S13,STN_TABLE,3,FALSE))</f>
        <v>#VALUE!</v>
      </c>
      <c r="AC15" t="str">
        <f>CONCATENATE("A(",S15,")=")</f>
        <v>A(#NA)=</v>
      </c>
      <c r="AD15" t="e">
        <f>Z15+AB15</f>
        <v>#VALUE!</v>
      </c>
      <c r="AE15" s="80"/>
      <c r="AI15" s="88" t="str">
        <f>AF11</f>
        <v>#NA</v>
      </c>
      <c r="AJ15" s="82" t="e">
        <f>VLOOKUP(AI15,STN_TABLE,2,FALSE)</f>
        <v>#N/A</v>
      </c>
      <c r="AK15" s="82">
        <v>2</v>
      </c>
      <c r="AL15" s="83" t="e">
        <f>AJ15*AK15</f>
        <v>#N/A</v>
      </c>
      <c r="AM15" s="84" t="str">
        <f>CONCATENATE("a'(",AI15,")=")</f>
        <v>a'(#NA)=</v>
      </c>
      <c r="AN15" s="84" t="e">
        <f>2*AN13/2*AJ16</f>
        <v>#VALUE!</v>
      </c>
      <c r="AO15" s="84" t="str">
        <f>CONCATENATE("A(",AI14,")=")</f>
        <v>A(#NA)=</v>
      </c>
      <c r="AP15" s="84" t="e">
        <f>IF(AI14=RisePerWLS,0,VLOOKUP(AI14,STN_TABLE,3,FALSE))</f>
        <v>#VALUE!</v>
      </c>
      <c r="AQ15" t="str">
        <f>CONCATENATE("A(",AI15,")=")</f>
        <v>A(#NA)=</v>
      </c>
      <c r="AR15" t="e">
        <f>AN15+AP15</f>
        <v>#VALUE!</v>
      </c>
    </row>
    <row r="16" spans="1:46" x14ac:dyDescent="0.25">
      <c r="A16">
        <v>13</v>
      </c>
      <c r="B16" s="80" t="str">
        <f t="shared" si="2"/>
        <v xml:space="preserve">  </v>
      </c>
      <c r="C16" s="81" t="str">
        <f t="shared" si="3"/>
        <v xml:space="preserve">  </v>
      </c>
      <c r="D16" s="81" t="str">
        <f t="shared" si="4"/>
        <v xml:space="preserve"> </v>
      </c>
      <c r="E16" s="77" t="str">
        <f t="shared" si="5"/>
        <v xml:space="preserve"> </v>
      </c>
      <c r="G16" s="91" t="str">
        <f>G6</f>
        <v>2nd_UWL</v>
      </c>
      <c r="H16" s="91" t="str">
        <f>H6</f>
        <v>#NA</v>
      </c>
      <c r="I16" s="82" t="e">
        <f>IF(H16-H15=H15-H14,H16,"#NA")</f>
        <v>#VALUE!</v>
      </c>
      <c r="J16" s="83" t="e">
        <f>VLOOKUP(I16,STN_TABLE,2,FALSE)</f>
        <v>#VALUE!</v>
      </c>
      <c r="K16" s="83">
        <v>-1</v>
      </c>
      <c r="L16" s="83" t="e">
        <f>J16*K16</f>
        <v>#VALUE!</v>
      </c>
      <c r="M16" s="83">
        <v>-1</v>
      </c>
      <c r="N16" s="83" t="e">
        <f>J16*M16</f>
        <v>#VALUE!</v>
      </c>
      <c r="O16" t="str">
        <f>CONCATENATE("M(",I15,")=")</f>
        <v>M(#NA)=</v>
      </c>
      <c r="P16" t="e">
        <f>(2*(P14^2)/24*N17)+P15*I14*WLS</f>
        <v>#N/A</v>
      </c>
      <c r="Q16" s="66" t="str">
        <f t="shared" si="7"/>
        <v>3rd_UWL</v>
      </c>
      <c r="R16" s="67" t="str">
        <f t="shared" si="7"/>
        <v>#NA</v>
      </c>
      <c r="V16" s="89" t="e">
        <f>SUM(V13:V15)</f>
        <v>#VALUE!</v>
      </c>
      <c r="X16" s="89" t="e">
        <f>SUM(X13:X15)</f>
        <v>#VALUE!</v>
      </c>
      <c r="Y16" s="84" t="str">
        <f>CONCATENATE("m'(",S15,")=")</f>
        <v>m'(#NA)=</v>
      </c>
      <c r="Z16" s="84" t="e">
        <f>2*(Z13*WLS)/3*X16</f>
        <v>#VALUE!</v>
      </c>
      <c r="AA16" s="84" t="e">
        <f>CONCATENATE("M(",S13,")=")</f>
        <v>#VALUE!</v>
      </c>
      <c r="AB16" s="84" t="e">
        <f>IF(S13=RisePerWLS,0,VLOOKUP(S13,STN_TABLE,4,FALSE))</f>
        <v>#VALUE!</v>
      </c>
      <c r="AC16" t="str">
        <f>CONCATENATE("M(",S15,")=")</f>
        <v>M(#NA)=</v>
      </c>
      <c r="AD16" t="e">
        <f>Z16+AB16</f>
        <v>#VALUE!</v>
      </c>
      <c r="AE16" s="80"/>
      <c r="AJ16" s="89" t="e">
        <f>SUM(AJ14:AJ15)</f>
        <v>#N/A</v>
      </c>
      <c r="AL16" s="89" t="e">
        <f>SUM(AL14:AL15)</f>
        <v>#N/A</v>
      </c>
      <c r="AM16" s="84" t="str">
        <f>CONCATENATE("m'(",AI15,")=")</f>
        <v>m'(#NA)=</v>
      </c>
      <c r="AN16" s="84" t="e">
        <f>(2*(AN13^2)/6*AL16)+(AN15*AI14*WLS)</f>
        <v>#VALUE!</v>
      </c>
      <c r="AO16" s="84" t="str">
        <f>CONCATENATE("M(",AI14,")=")</f>
        <v>M(#NA)=</v>
      </c>
      <c r="AP16" s="84" t="e">
        <f>IF(AI14=RisePerWLS,0,VLOOKUP(AI14,STN_TABLE,4,FALSE))</f>
        <v>#VALUE!</v>
      </c>
      <c r="AQ16" t="str">
        <f>CONCATENATE("M(",AI15,")=")</f>
        <v>M(#NA)=</v>
      </c>
      <c r="AR16" t="e">
        <f>AN16+AP16</f>
        <v>#VALUE!</v>
      </c>
    </row>
    <row r="17" spans="1:35" x14ac:dyDescent="0.25">
      <c r="A17">
        <v>14</v>
      </c>
      <c r="B17" s="80" t="str">
        <f t="shared" si="2"/>
        <v xml:space="preserve">  </v>
      </c>
      <c r="C17" s="81" t="str">
        <f t="shared" si="3"/>
        <v xml:space="preserve">  </v>
      </c>
      <c r="D17" s="81" t="str">
        <f t="shared" si="4"/>
        <v xml:space="preserve"> </v>
      </c>
      <c r="E17" s="77" t="str">
        <f t="shared" si="5"/>
        <v xml:space="preserve"> </v>
      </c>
      <c r="G17" s="91"/>
      <c r="H17" s="91"/>
      <c r="L17" s="89" t="e">
        <f>SUM(L14:L16)</f>
        <v>#N/A</v>
      </c>
      <c r="N17" s="89" t="e">
        <f>SUM(N14:N16)</f>
        <v>#N/A</v>
      </c>
      <c r="Q17" s="66"/>
      <c r="R17" s="67"/>
      <c r="AE17" s="90"/>
    </row>
    <row r="18" spans="1:35" x14ac:dyDescent="0.25">
      <c r="A18">
        <v>15</v>
      </c>
      <c r="B18" s="80" t="str">
        <f t="shared" si="2"/>
        <v xml:space="preserve">  </v>
      </c>
      <c r="C18" s="81" t="str">
        <f t="shared" si="3"/>
        <v xml:space="preserve">  </v>
      </c>
      <c r="D18" s="81" t="str">
        <f t="shared" si="4"/>
        <v xml:space="preserve"> </v>
      </c>
      <c r="E18" s="77" t="str">
        <f t="shared" si="5"/>
        <v xml:space="preserve"> </v>
      </c>
      <c r="G18" s="91"/>
      <c r="H18" s="91"/>
      <c r="K18" t="s">
        <v>103</v>
      </c>
      <c r="M18" t="str">
        <f>CONCATENATE("A(",I15,")=")</f>
        <v>A(#NA)=</v>
      </c>
      <c r="N18" t="e">
        <f>IF(OR(P15&lt;=0,P16&lt;=0),N22,P15)</f>
        <v>#N/A</v>
      </c>
      <c r="Q18" s="66"/>
      <c r="R18" s="67"/>
      <c r="AE18" s="80"/>
    </row>
    <row r="19" spans="1:35" x14ac:dyDescent="0.25">
      <c r="A19">
        <v>16</v>
      </c>
      <c r="B19" s="80" t="str">
        <f t="shared" si="2"/>
        <v xml:space="preserve">  </v>
      </c>
      <c r="C19" s="81" t="str">
        <f t="shared" si="3"/>
        <v xml:space="preserve">  </v>
      </c>
      <c r="D19" s="81" t="str">
        <f t="shared" si="4"/>
        <v xml:space="preserve"> </v>
      </c>
      <c r="E19" s="77" t="str">
        <f t="shared" si="5"/>
        <v xml:space="preserve"> </v>
      </c>
      <c r="G19" s="91"/>
      <c r="H19" s="91"/>
      <c r="M19" t="str">
        <f>CONCATENATE("M(",I15,")=")</f>
        <v>M(#NA)=</v>
      </c>
      <c r="N19" t="e">
        <f>IF(OR(P15&lt;=0,P16&lt;=0),N23,P16)</f>
        <v>#N/A</v>
      </c>
      <c r="Q19" s="66"/>
      <c r="R19" s="67"/>
      <c r="AE19" s="80"/>
    </row>
    <row r="20" spans="1:35" x14ac:dyDescent="0.25">
      <c r="A20">
        <v>17</v>
      </c>
      <c r="B20" s="80" t="str">
        <f t="shared" si="2"/>
        <v xml:space="preserve">  </v>
      </c>
      <c r="C20" s="81" t="str">
        <f t="shared" si="3"/>
        <v xml:space="preserve">  </v>
      </c>
      <c r="D20" s="81" t="str">
        <f t="shared" si="4"/>
        <v xml:space="preserve"> </v>
      </c>
      <c r="E20" s="77" t="str">
        <f t="shared" si="5"/>
        <v xml:space="preserve"> </v>
      </c>
      <c r="G20" s="91"/>
      <c r="H20" s="91"/>
      <c r="Q20" s="66"/>
      <c r="R20" s="67"/>
      <c r="S20" s="68" t="e">
        <f>IF(OR(R24-R23=R23-R22,R25-R23=R23-R22),R22,IF(OR(R24-R23=R23-R21,R25-R23=R23-R21),R21,"-"))</f>
        <v>#VALUE!</v>
      </c>
      <c r="T20" s="69" t="e">
        <f>IFERROR(VLOOKUP(S20,STN_TABLE,2,FALSE),IF(R20=RisePerWLS,0,"-"))</f>
        <v>#VALUE!</v>
      </c>
      <c r="U20" s="69">
        <v>5</v>
      </c>
      <c r="V20" s="69" t="e">
        <f>T20*U20</f>
        <v>#VALUE!</v>
      </c>
      <c r="W20" s="69">
        <v>3</v>
      </c>
      <c r="X20" s="69" t="e">
        <f>T20*W20</f>
        <v>#VALUE!</v>
      </c>
      <c r="Y20" s="6" t="s">
        <v>93</v>
      </c>
      <c r="Z20" s="70" t="e">
        <f>IF(AND(S22-S21=S21-S20,NOT(AND(S20=0,S21=0)),NOT(AND(S21=0,S22=0))),WLS*(S22-S21),"#NA")</f>
        <v>#VALUE!</v>
      </c>
      <c r="AE20" s="80"/>
    </row>
    <row r="21" spans="1:35" x14ac:dyDescent="0.25">
      <c r="A21">
        <v>18</v>
      </c>
      <c r="B21" s="80" t="str">
        <f t="shared" si="2"/>
        <v xml:space="preserve">  </v>
      </c>
      <c r="C21" s="81" t="str">
        <f t="shared" si="3"/>
        <v xml:space="preserve">  </v>
      </c>
      <c r="D21" s="81" t="str">
        <f t="shared" si="4"/>
        <v xml:space="preserve"> </v>
      </c>
      <c r="E21" s="77" t="str">
        <f t="shared" si="5"/>
        <v xml:space="preserve"> </v>
      </c>
      <c r="G21" s="91"/>
      <c r="H21" s="91" t="str">
        <f>G14</f>
        <v>Rise</v>
      </c>
      <c r="I21" s="79" t="e">
        <f>H14</f>
        <v>#VALUE!</v>
      </c>
      <c r="J21" s="68">
        <v>0</v>
      </c>
      <c r="K21" s="68">
        <v>1</v>
      </c>
      <c r="L21" s="69">
        <f>J21*K21</f>
        <v>0</v>
      </c>
      <c r="M21" t="s">
        <v>93</v>
      </c>
      <c r="N21" t="e">
        <f>(I22-I21)*WLS</f>
        <v>#VALUE!</v>
      </c>
      <c r="Q21" s="66" t="str">
        <f t="shared" ref="Q21:R25" si="8">G5</f>
        <v>1st_UWL</v>
      </c>
      <c r="R21" s="67" t="str">
        <f t="shared" si="8"/>
        <v>#NA</v>
      </c>
      <c r="S21" s="76" t="str">
        <f>R23</f>
        <v>#NA</v>
      </c>
      <c r="T21" s="77" t="e">
        <f>VLOOKUP(S21,STN_TABLE,2,FALSE)</f>
        <v>#N/A</v>
      </c>
      <c r="U21" s="77">
        <v>8</v>
      </c>
      <c r="V21" s="77" t="e">
        <f>T21*U21</f>
        <v>#N/A</v>
      </c>
      <c r="W21" s="77">
        <v>10</v>
      </c>
      <c r="X21" s="77" t="e">
        <f>T21*W21</f>
        <v>#N/A</v>
      </c>
      <c r="Y21" s="78" t="s">
        <v>97</v>
      </c>
      <c r="Z21" s="78"/>
      <c r="AA21" s="78" t="s">
        <v>98</v>
      </c>
      <c r="AB21" s="78"/>
      <c r="AC21" s="7" t="s">
        <v>99</v>
      </c>
      <c r="AD21" s="7"/>
      <c r="AE21" s="80"/>
    </row>
    <row r="22" spans="1:35" x14ac:dyDescent="0.25">
      <c r="A22">
        <v>19</v>
      </c>
      <c r="B22" s="80" t="str">
        <f t="shared" si="2"/>
        <v xml:space="preserve">  </v>
      </c>
      <c r="C22" s="81" t="str">
        <f t="shared" si="3"/>
        <v xml:space="preserve">  </v>
      </c>
      <c r="D22" s="81" t="str">
        <f t="shared" si="4"/>
        <v xml:space="preserve"> </v>
      </c>
      <c r="E22" s="77" t="str">
        <f t="shared" si="5"/>
        <v xml:space="preserve"> </v>
      </c>
      <c r="G22" s="91"/>
      <c r="H22" s="91" t="str">
        <f>G15</f>
        <v>1st_UWL</v>
      </c>
      <c r="I22" s="88" t="str">
        <f>H15</f>
        <v>#NA</v>
      </c>
      <c r="J22" s="82" t="e">
        <f>VLOOKUP(I22,STN_TABLE,2,FALSE)</f>
        <v>#N/A</v>
      </c>
      <c r="K22" s="82">
        <v>2</v>
      </c>
      <c r="L22" s="83" t="e">
        <f>J22*K22</f>
        <v>#N/A</v>
      </c>
      <c r="M22" t="str">
        <f>CONCATENATE("A(",I22,")=")</f>
        <v>A(#NA)=</v>
      </c>
      <c r="N22" t="e">
        <f>2*N21/2*J23</f>
        <v>#VALUE!</v>
      </c>
      <c r="Q22" s="66" t="str">
        <f t="shared" si="8"/>
        <v>2nd_UWL</v>
      </c>
      <c r="R22" s="67" t="str">
        <f t="shared" si="8"/>
        <v>#NA</v>
      </c>
      <c r="S22" s="82" t="e">
        <f>IF(S20-S21=S21-R24,R24,IF(S20-S21=S21-R25,R25,"-"))</f>
        <v>#VALUE!</v>
      </c>
      <c r="T22" s="83" t="e">
        <f>VLOOKUP(S22,STN_TABLE,2,FALSE)</f>
        <v>#VALUE!</v>
      </c>
      <c r="U22" s="83">
        <v>-1</v>
      </c>
      <c r="V22" s="83" t="e">
        <f>T22*U22</f>
        <v>#VALUE!</v>
      </c>
      <c r="W22" s="83">
        <v>-1</v>
      </c>
      <c r="X22" s="83" t="e">
        <f>T22*W22</f>
        <v>#VALUE!</v>
      </c>
      <c r="Y22" s="84" t="str">
        <f>CONCATENATE("a'(",S21,")=")</f>
        <v>a'(#NA)=</v>
      </c>
      <c r="Z22" s="84" t="e">
        <f>2*Z20/12*V23</f>
        <v>#VALUE!</v>
      </c>
      <c r="AA22" s="84" t="e">
        <f>CONCATENATE("A(",S20,")=")</f>
        <v>#VALUE!</v>
      </c>
      <c r="AB22" s="84" t="e">
        <f>IF(S20=RisePerWLS,0,VLOOKUP(S20,STN_TABLE,3,FALSE))</f>
        <v>#VALUE!</v>
      </c>
      <c r="AC22" t="str">
        <f>CONCATENATE("A(",S21,")=")</f>
        <v>A(#NA)=</v>
      </c>
      <c r="AD22" t="e">
        <f>Z22+AB22</f>
        <v>#VALUE!</v>
      </c>
      <c r="AE22" s="80"/>
    </row>
    <row r="23" spans="1:35" x14ac:dyDescent="0.25">
      <c r="A23">
        <v>20</v>
      </c>
      <c r="B23" s="80" t="str">
        <f t="shared" si="2"/>
        <v xml:space="preserve">  </v>
      </c>
      <c r="C23" s="81" t="str">
        <f t="shared" si="3"/>
        <v xml:space="preserve">  </v>
      </c>
      <c r="D23" s="81" t="str">
        <f t="shared" si="4"/>
        <v xml:space="preserve"> </v>
      </c>
      <c r="E23" s="77" t="str">
        <f t="shared" si="5"/>
        <v xml:space="preserve"> </v>
      </c>
      <c r="J23" s="89" t="e">
        <f>SUM(J21:J22)</f>
        <v>#N/A</v>
      </c>
      <c r="L23" s="89" t="e">
        <f>SUM(L21:L22)</f>
        <v>#N/A</v>
      </c>
      <c r="M23" t="str">
        <f>CONCATENATE("M(",I22,")=")</f>
        <v>M(#NA)=</v>
      </c>
      <c r="N23" t="e">
        <f>(2*(N21^2)/6*L23)+N22*I21*WLS</f>
        <v>#VALUE!</v>
      </c>
      <c r="Q23" s="66" t="str">
        <f t="shared" si="8"/>
        <v>3rd_UWL</v>
      </c>
      <c r="R23" s="67" t="str">
        <f t="shared" si="8"/>
        <v>#NA</v>
      </c>
      <c r="V23" s="89" t="e">
        <f>SUM(V20:V22)</f>
        <v>#VALUE!</v>
      </c>
      <c r="X23" s="89" t="e">
        <f>SUM(X20:X22)</f>
        <v>#VALUE!</v>
      </c>
      <c r="Y23" s="84" t="str">
        <f>CONCATENATE("m'(",S21,")=")</f>
        <v>m'(#NA)=</v>
      </c>
      <c r="Z23" s="84" t="e">
        <f>(2*(Z20^2)/24*X23)+(Z22*S20*WLS)</f>
        <v>#VALUE!</v>
      </c>
      <c r="AA23" s="84" t="e">
        <f>CONCATENATE("M(",S20,")=")</f>
        <v>#VALUE!</v>
      </c>
      <c r="AB23" s="84" t="e">
        <f>IF(S20=RisePerWLS,0,VLOOKUP(S20,STN_TABLE,4,FALSE))</f>
        <v>#VALUE!</v>
      </c>
      <c r="AC23" t="str">
        <f>CONCATENATE("M(",S21,")=")</f>
        <v>M(#NA)=</v>
      </c>
      <c r="AD23" t="e">
        <f>Z23+AB23</f>
        <v>#VALUE!</v>
      </c>
      <c r="AE23" s="80"/>
    </row>
    <row r="24" spans="1:35" x14ac:dyDescent="0.25">
      <c r="A24">
        <v>21</v>
      </c>
      <c r="B24" s="80" t="str">
        <f t="shared" si="2"/>
        <v xml:space="preserve">  </v>
      </c>
      <c r="C24" s="81" t="str">
        <f t="shared" si="3"/>
        <v xml:space="preserve">  </v>
      </c>
      <c r="D24" s="81" t="str">
        <f t="shared" si="4"/>
        <v xml:space="preserve"> </v>
      </c>
      <c r="E24" s="77" t="str">
        <f t="shared" si="5"/>
        <v xml:space="preserve"> </v>
      </c>
      <c r="Q24" s="66" t="str">
        <f t="shared" si="8"/>
        <v>4th_UWL</v>
      </c>
      <c r="R24" s="67" t="str">
        <f t="shared" si="8"/>
        <v>#NA</v>
      </c>
      <c r="U24" t="s">
        <v>103</v>
      </c>
      <c r="W24" t="str">
        <f>CONCATENATE("A(",S21,")=")</f>
        <v>A(#NA)=</v>
      </c>
      <c r="X24" t="e">
        <f>IF(OR(AD22&lt;=0,AD23&lt;=0),AD27,AD22)</f>
        <v>#VALUE!</v>
      </c>
      <c r="AE24" s="80"/>
    </row>
    <row r="25" spans="1:35" x14ac:dyDescent="0.25">
      <c r="A25">
        <v>22</v>
      </c>
      <c r="B25" s="80" t="str">
        <f t="shared" si="2"/>
        <v xml:space="preserve">  </v>
      </c>
      <c r="C25" s="81" t="str">
        <f t="shared" si="3"/>
        <v xml:space="preserve">  </v>
      </c>
      <c r="D25" s="81" t="str">
        <f t="shared" si="4"/>
        <v xml:space="preserve"> </v>
      </c>
      <c r="E25" s="77" t="str">
        <f t="shared" si="5"/>
        <v xml:space="preserve"> </v>
      </c>
      <c r="G25" s="71" t="s">
        <v>111</v>
      </c>
      <c r="Q25" s="66" t="str">
        <f t="shared" si="8"/>
        <v>5th_UWL</v>
      </c>
      <c r="R25" s="67" t="str">
        <f t="shared" si="8"/>
        <v>#NA</v>
      </c>
      <c r="W25" t="str">
        <f>CONCATENATE("M(",S21,")=")</f>
        <v>M(#NA)=</v>
      </c>
      <c r="X25" t="e">
        <f>IF(OR(AD22&lt;=0,AD23&lt;=0),AD28,AD23)</f>
        <v>#VALUE!</v>
      </c>
      <c r="Y25" s="6" t="s">
        <v>93</v>
      </c>
      <c r="Z25" s="70" t="e">
        <f>WLS*(U27-U26)</f>
        <v>#VALUE!</v>
      </c>
      <c r="AE25" s="80"/>
    </row>
    <row r="26" spans="1:35" x14ac:dyDescent="0.25">
      <c r="A26">
        <v>23</v>
      </c>
      <c r="B26" s="80" t="str">
        <f t="shared" si="2"/>
        <v xml:space="preserve">  </v>
      </c>
      <c r="C26" s="81" t="str">
        <f t="shared" si="3"/>
        <v xml:space="preserve">  </v>
      </c>
      <c r="D26" s="81" t="str">
        <f t="shared" si="4"/>
        <v xml:space="preserve"> </v>
      </c>
      <c r="E26" s="77" t="str">
        <f t="shared" si="5"/>
        <v xml:space="preserve"> </v>
      </c>
      <c r="G26" s="91" t="str">
        <f t="shared" ref="G26:H28" si="9">G4</f>
        <v>Rise</v>
      </c>
      <c r="H26" s="91" t="e">
        <f t="shared" si="9"/>
        <v>#VALUE!</v>
      </c>
      <c r="I26" s="68" t="e">
        <f>H26</f>
        <v>#VALUE!</v>
      </c>
      <c r="J26" s="69">
        <v>0</v>
      </c>
      <c r="K26" s="69">
        <v>1</v>
      </c>
      <c r="L26" s="69">
        <f>J26*K26</f>
        <v>0</v>
      </c>
      <c r="M26" s="69" t="e">
        <f>I26</f>
        <v>#VALUE!</v>
      </c>
      <c r="N26" s="69" t="e">
        <f>L26*M26</f>
        <v>#VALUE!</v>
      </c>
      <c r="O26" t="s">
        <v>93</v>
      </c>
      <c r="P26" t="e">
        <f>IF(OR(J26=0,J27=0,J28=0),"#NA",IF(I28-I27=I27-I26,WLS*(I27-I26),"#NA"))</f>
        <v>#VALUE!</v>
      </c>
      <c r="Q26" s="66"/>
      <c r="R26" s="67"/>
      <c r="U26" s="79" t="str">
        <f>R22</f>
        <v>#NA</v>
      </c>
      <c r="V26" s="68" t="e">
        <f>VLOOKUP(U26,STN_TABLE,2,FALSE)</f>
        <v>#N/A</v>
      </c>
      <c r="W26" s="68">
        <v>1</v>
      </c>
      <c r="X26" s="69" t="e">
        <f>V26*W26</f>
        <v>#N/A</v>
      </c>
      <c r="Y26" s="78" t="s">
        <v>97</v>
      </c>
      <c r="Z26" s="78"/>
      <c r="AA26" s="78" t="s">
        <v>98</v>
      </c>
      <c r="AB26" s="78"/>
      <c r="AC26" s="7" t="s">
        <v>99</v>
      </c>
      <c r="AD26" s="7"/>
      <c r="AE26" s="80"/>
    </row>
    <row r="27" spans="1:35" x14ac:dyDescent="0.25">
      <c r="A27">
        <v>24</v>
      </c>
      <c r="B27" s="80" t="str">
        <f t="shared" si="2"/>
        <v xml:space="preserve">  </v>
      </c>
      <c r="C27" s="81" t="str">
        <f t="shared" si="3"/>
        <v xml:space="preserve">  </v>
      </c>
      <c r="D27" s="81" t="str">
        <f t="shared" si="4"/>
        <v xml:space="preserve"> </v>
      </c>
      <c r="E27" s="77" t="str">
        <f t="shared" si="5"/>
        <v xml:space="preserve"> </v>
      </c>
      <c r="G27" s="91" t="str">
        <f t="shared" si="9"/>
        <v>1st_UWL</v>
      </c>
      <c r="H27" s="91" t="str">
        <f t="shared" si="9"/>
        <v>#NA</v>
      </c>
      <c r="I27" s="76" t="e">
        <f>IF(H28-H27=H27-H26,H28,"#NA")</f>
        <v>#VALUE!</v>
      </c>
      <c r="J27" s="77" t="e">
        <f>VLOOKUP(I27,STN_TABLE,2,FALSE)</f>
        <v>#VALUE!</v>
      </c>
      <c r="K27" s="77">
        <v>4</v>
      </c>
      <c r="L27" s="77" t="e">
        <f>J27*K27</f>
        <v>#VALUE!</v>
      </c>
      <c r="M27" s="77" t="e">
        <f>I27</f>
        <v>#VALUE!</v>
      </c>
      <c r="N27" s="77" t="e">
        <f>L27*M27</f>
        <v>#VALUE!</v>
      </c>
      <c r="O27" t="e">
        <f>CONCATENATE("A(",I28,")=")</f>
        <v>#VALUE!</v>
      </c>
      <c r="P27" t="e">
        <f>2*P26/3*L29</f>
        <v>#VALUE!</v>
      </c>
      <c r="Q27" s="80"/>
      <c r="R27" s="81"/>
      <c r="U27" s="88" t="str">
        <f>R23</f>
        <v>#NA</v>
      </c>
      <c r="V27" s="82" t="e">
        <f>VLOOKUP(U27,STN_TABLE,2,FALSE)</f>
        <v>#N/A</v>
      </c>
      <c r="W27" s="82">
        <v>2</v>
      </c>
      <c r="X27" s="83" t="e">
        <f>V27*W27</f>
        <v>#N/A</v>
      </c>
      <c r="Y27" s="84" t="str">
        <f>CONCATENATE("a'(",U27,")=")</f>
        <v>a'(#NA)=</v>
      </c>
      <c r="Z27" s="84" t="e">
        <f>2*Z25/2*V28</f>
        <v>#VALUE!</v>
      </c>
      <c r="AA27" s="84" t="str">
        <f>CONCATENATE("A(",U26,")=")</f>
        <v>A(#NA)=</v>
      </c>
      <c r="AB27" s="84" t="e">
        <f>IF(U26=RisePerWLS,0,VLOOKUP(U26,STN_TABLE,3,FALSE))</f>
        <v>#VALUE!</v>
      </c>
      <c r="AC27" t="str">
        <f>CONCATENATE("A(",U27,")=")</f>
        <v>A(#NA)=</v>
      </c>
      <c r="AD27" t="e">
        <f>Z27+AB27</f>
        <v>#VALUE!</v>
      </c>
      <c r="AE27" s="80"/>
    </row>
    <row r="28" spans="1:35" x14ac:dyDescent="0.25">
      <c r="A28">
        <v>25</v>
      </c>
      <c r="B28" s="88" t="str">
        <f t="shared" si="2"/>
        <v xml:space="preserve">  </v>
      </c>
      <c r="C28" s="92" t="str">
        <f t="shared" si="3"/>
        <v xml:space="preserve">  </v>
      </c>
      <c r="D28" s="81" t="str">
        <f t="shared" si="4"/>
        <v xml:space="preserve"> </v>
      </c>
      <c r="E28" s="77" t="str">
        <f t="shared" si="5"/>
        <v xml:space="preserve"> </v>
      </c>
      <c r="G28" s="91" t="str">
        <f t="shared" si="9"/>
        <v>2nd_UWL</v>
      </c>
      <c r="H28" s="91" t="str">
        <f t="shared" si="9"/>
        <v>#NA</v>
      </c>
      <c r="I28" s="82" t="e">
        <f>IF(H28-H27=H27-H26,H28,"#NA")</f>
        <v>#VALUE!</v>
      </c>
      <c r="J28" s="83" t="e">
        <f>VLOOKUP(I28,STN_TABLE,2,FALSE)</f>
        <v>#VALUE!</v>
      </c>
      <c r="K28" s="83">
        <v>1</v>
      </c>
      <c r="L28" s="83" t="e">
        <f>J28*K28</f>
        <v>#VALUE!</v>
      </c>
      <c r="M28" s="83" t="e">
        <f>I28</f>
        <v>#VALUE!</v>
      </c>
      <c r="N28" s="83" t="e">
        <f>L28*M28</f>
        <v>#VALUE!</v>
      </c>
      <c r="O28" t="e">
        <f>CONCATENATE("M(",I28,")=")</f>
        <v>#VALUE!</v>
      </c>
      <c r="P28" t="e">
        <f>2*(P26*WLS)/3*N29</f>
        <v>#VALUE!</v>
      </c>
      <c r="Q28" s="80"/>
      <c r="R28" s="81"/>
      <c r="V28" s="89" t="e">
        <f>SUM(V26:V27)</f>
        <v>#N/A</v>
      </c>
      <c r="X28" s="89" t="e">
        <f>SUM(X26:X27)</f>
        <v>#N/A</v>
      </c>
      <c r="Y28" s="84" t="str">
        <f>CONCATENATE("m'(",U27,")=")</f>
        <v>m'(#NA)=</v>
      </c>
      <c r="Z28" s="84" t="e">
        <f>(2*(Z25^2)/6*X28)+(Z27*U26*WLS)</f>
        <v>#VALUE!</v>
      </c>
      <c r="AA28" s="84" t="str">
        <f>CONCATENATE("M(",U26,")=")</f>
        <v>M(#NA)=</v>
      </c>
      <c r="AB28" s="84" t="e">
        <f>IF(U26=RisePerWLS,0,VLOOKUP(U26,STN_TABLE,4,FALSE))</f>
        <v>#VALUE!</v>
      </c>
      <c r="AC28" t="str">
        <f>CONCATENATE("M(",U27,")=")</f>
        <v>M(#NA)=</v>
      </c>
      <c r="AD28" t="e">
        <f>Z28+AB28</f>
        <v>#VALUE!</v>
      </c>
      <c r="AE28" s="80"/>
    </row>
    <row r="29" spans="1:35" x14ac:dyDescent="0.25">
      <c r="G29" s="91"/>
      <c r="H29" s="91"/>
      <c r="L29" s="89" t="e">
        <f>SUM(L26:L28)</f>
        <v>#VALUE!</v>
      </c>
      <c r="N29" s="89" t="e">
        <f>SUM(N26:N28)</f>
        <v>#VALUE!</v>
      </c>
      <c r="Q29" s="80"/>
      <c r="R29" s="81"/>
      <c r="AE29" s="80"/>
    </row>
    <row r="30" spans="1:35" x14ac:dyDescent="0.25">
      <c r="G30" s="91"/>
      <c r="H30" s="91"/>
    </row>
    <row r="31" spans="1:35" x14ac:dyDescent="0.25">
      <c r="G31" s="91"/>
      <c r="H31" s="91"/>
    </row>
    <row r="32" spans="1:35" x14ac:dyDescent="0.25">
      <c r="G32" s="91"/>
      <c r="H32" s="91"/>
      <c r="Q32" s="68">
        <f>B4</f>
        <v>0</v>
      </c>
      <c r="R32" s="69">
        <f>VLOOKUP(Q32,STN_TABLE,2,FALSE)</f>
        <v>7.6</v>
      </c>
      <c r="S32" s="69">
        <v>5</v>
      </c>
      <c r="T32" s="68">
        <f>R32*S32</f>
        <v>38</v>
      </c>
      <c r="U32" s="79">
        <v>3</v>
      </c>
      <c r="V32" s="68">
        <f>R32*U32</f>
        <v>22.799999999999997</v>
      </c>
      <c r="W32" t="s">
        <v>93</v>
      </c>
      <c r="X32" s="70">
        <f>IF(AND(Q34-Q33=Q33-Q32,NOT(AND(Q32=0,Q33=0)),NOT(AND(Q33=0,Q34=0))),WLS*(Q34-Q33),"#NA")</f>
        <v>0.5</v>
      </c>
      <c r="AD32" s="93"/>
      <c r="AH32" s="6" t="s">
        <v>93</v>
      </c>
      <c r="AI32" s="70">
        <f>WLS*(AD34-AD33)</f>
        <v>0.5</v>
      </c>
    </row>
    <row r="33" spans="1:47" x14ac:dyDescent="0.25">
      <c r="Q33" s="76">
        <f>B5</f>
        <v>0.25</v>
      </c>
      <c r="R33" s="77">
        <f>VLOOKUP(Q33,STN_TABLE,2,FALSE)</f>
        <v>8.64</v>
      </c>
      <c r="S33" s="77">
        <v>8</v>
      </c>
      <c r="T33" s="76">
        <f>R33*S33</f>
        <v>69.12</v>
      </c>
      <c r="U33" s="80">
        <v>10</v>
      </c>
      <c r="V33" s="76">
        <f>R33*U33</f>
        <v>86.4</v>
      </c>
      <c r="W33" s="495" t="s">
        <v>97</v>
      </c>
      <c r="X33" s="496"/>
      <c r="Y33" s="496" t="s">
        <v>98</v>
      </c>
      <c r="Z33" s="496"/>
      <c r="AA33" s="494" t="s">
        <v>99</v>
      </c>
      <c r="AB33" s="494"/>
      <c r="AC33" s="94">
        <v>1</v>
      </c>
      <c r="AD33" s="95">
        <f>VLOOKUP(AC33,STN_TABLE_2,2,FALSE)</f>
        <v>0</v>
      </c>
      <c r="AE33" s="68">
        <f>VLOOKUP(AD33,STN_TABLE,2,FALSE)</f>
        <v>7.6</v>
      </c>
      <c r="AF33" s="68">
        <v>1</v>
      </c>
      <c r="AG33" s="69">
        <f>AE33*AF33</f>
        <v>7.6</v>
      </c>
      <c r="AH33" s="496" t="s">
        <v>97</v>
      </c>
      <c r="AI33" s="496"/>
      <c r="AJ33" s="496" t="s">
        <v>98</v>
      </c>
      <c r="AK33" s="496"/>
      <c r="AL33" s="494" t="s">
        <v>99</v>
      </c>
      <c r="AM33" s="494"/>
      <c r="AP33" s="96" t="s">
        <v>112</v>
      </c>
      <c r="AQ33" s="89" t="s">
        <v>113</v>
      </c>
      <c r="AR33" s="89" t="s">
        <v>114</v>
      </c>
      <c r="AS33" s="89" t="s">
        <v>115</v>
      </c>
      <c r="AT33" s="97" t="s">
        <v>116</v>
      </c>
      <c r="AU33" s="98"/>
    </row>
    <row r="34" spans="1:47" x14ac:dyDescent="0.25">
      <c r="Q34" s="82">
        <f>B6</f>
        <v>0.5</v>
      </c>
      <c r="R34" s="83">
        <f>VLOOKUP(Q34,STN_TABLE,2,FALSE)</f>
        <v>9.27</v>
      </c>
      <c r="S34" s="83">
        <v>-1</v>
      </c>
      <c r="T34" s="82">
        <f>R34*S34</f>
        <v>-9.27</v>
      </c>
      <c r="U34" s="88">
        <v>-1</v>
      </c>
      <c r="V34" s="82">
        <f>R34*U34</f>
        <v>-9.27</v>
      </c>
      <c r="W34" s="84" t="str">
        <f>CONCATENATE("a'(",Q33,")=")</f>
        <v>a'(0.25)=</v>
      </c>
      <c r="X34" s="84">
        <f>2*X32/12*T35</f>
        <v>8.1541666666666668</v>
      </c>
      <c r="Y34" s="84" t="str">
        <f>CONCATENATE("A(",Q32,")=")</f>
        <v>A(0)=</v>
      </c>
      <c r="Z34" s="84">
        <f>VLOOKUP(Q32,STN_TABLE,3,FALSE)</f>
        <v>0</v>
      </c>
      <c r="AA34" t="str">
        <f>CONCATENATE("A(",Q33,")=")</f>
        <v>A(0.25)=</v>
      </c>
      <c r="AB34">
        <f>X34+Z34</f>
        <v>8.1541666666666668</v>
      </c>
      <c r="AC34" s="99">
        <f>AC33+1</f>
        <v>2</v>
      </c>
      <c r="AD34" s="100">
        <f>VLOOKUP(AC34,STN_TABLE_2,2,FALSE)</f>
        <v>0.25</v>
      </c>
      <c r="AE34" s="82">
        <f>VLOOKUP(AD34,STN_TABLE,2,FALSE)</f>
        <v>8.64</v>
      </c>
      <c r="AF34" s="82">
        <v>2</v>
      </c>
      <c r="AG34" s="83">
        <f>AE34*AF34</f>
        <v>17.28</v>
      </c>
      <c r="AH34" s="84" t="str">
        <f>CONCATENATE("a'(",AD34,")=")</f>
        <v>a'(0.25)=</v>
      </c>
      <c r="AI34" s="84">
        <f>2*AI32/2*AE35</f>
        <v>8.120000000000001</v>
      </c>
      <c r="AJ34" s="84" t="str">
        <f>CONCATENATE("A(",AD33,")=")</f>
        <v>A(0)=</v>
      </c>
      <c r="AK34" s="84">
        <f>VLOOKUP(AD33,STN_TABLE,3,FALSE)</f>
        <v>0</v>
      </c>
      <c r="AL34" t="str">
        <f>CONCATENATE("A(",AD34,")=")</f>
        <v>A(0.25)=</v>
      </c>
      <c r="AM34">
        <f>AI34+AK34</f>
        <v>8.120000000000001</v>
      </c>
      <c r="AO34" s="68" t="str">
        <f>AA34</f>
        <v>A(0.25)=</v>
      </c>
      <c r="AP34" s="79" t="e">
        <f>VLOOKUP(AO34,Rise_Results,2,FALSE)</f>
        <v>#N/A</v>
      </c>
      <c r="AQ34" s="76" t="s">
        <v>117</v>
      </c>
      <c r="AR34" s="76">
        <f>IF(OR(AB34&lt;=0,AB35&lt;=0),1/0,AB34)</f>
        <v>8.1541666666666668</v>
      </c>
      <c r="AS34" s="76">
        <f>AM34</f>
        <v>8.120000000000001</v>
      </c>
      <c r="AT34" s="80">
        <f>IFERROR(AP34,IFERROR(AR34,AS34))</f>
        <v>8.1541666666666668</v>
      </c>
    </row>
    <row r="35" spans="1:47" x14ac:dyDescent="0.25">
      <c r="A35" s="101"/>
      <c r="T35" s="89">
        <f>SUM(T32:T34)</f>
        <v>97.850000000000009</v>
      </c>
      <c r="V35" s="82">
        <f>SUM(V32:V34)</f>
        <v>99.93</v>
      </c>
      <c r="W35" s="84" t="str">
        <f>CONCATENATE("m'(",Q33,")=")</f>
        <v>m'(0.25)=</v>
      </c>
      <c r="X35" s="84">
        <f>(2*(X32^2)/24*V35)</f>
        <v>2.0818750000000001</v>
      </c>
      <c r="Y35" s="84" t="str">
        <f>CONCATENATE("M(",Q32,")=")</f>
        <v>M(0)=</v>
      </c>
      <c r="Z35" s="84">
        <f>VLOOKUP(Q32,STN_TABLE,4,FALSE)</f>
        <v>0</v>
      </c>
      <c r="AA35" t="str">
        <f>CONCATENATE("M(",Q33,")=")</f>
        <v>M(0.25)=</v>
      </c>
      <c r="AB35">
        <f>X35+Z35</f>
        <v>2.0818750000000001</v>
      </c>
      <c r="AE35" s="89">
        <f>SUM(AE33:AE34)</f>
        <v>16.240000000000002</v>
      </c>
      <c r="AG35" s="89">
        <f>SUM(AG33:AG34)</f>
        <v>24.880000000000003</v>
      </c>
      <c r="AH35" s="84" t="str">
        <f>CONCATENATE("m'(",AD34,")=")</f>
        <v>m'(0.25)=</v>
      </c>
      <c r="AI35" s="84">
        <f>(2*(AI32^2)/6*AG35)+(AI34*AD33*WLS)</f>
        <v>2.0733333333333333</v>
      </c>
      <c r="AJ35" s="84" t="str">
        <f>CONCATENATE("M(",AD33,")=")</f>
        <v>M(0)=</v>
      </c>
      <c r="AK35" s="84">
        <f>VLOOKUP(AD33,STN_TABLE,4,FALSE)</f>
        <v>0</v>
      </c>
      <c r="AL35" t="str">
        <f>CONCATENATE("M(",AD34,")=")</f>
        <v>M(0.25)=</v>
      </c>
      <c r="AM35">
        <f>AI35+AK35</f>
        <v>2.0733333333333333</v>
      </c>
      <c r="AO35" s="82" t="str">
        <f>AA35</f>
        <v>M(0.25)=</v>
      </c>
      <c r="AP35" s="88" t="e">
        <f>VLOOKUP(AO35,Rise_Results,2,FALSE)</f>
        <v>#N/A</v>
      </c>
      <c r="AQ35" s="82" t="s">
        <v>117</v>
      </c>
      <c r="AR35" s="82">
        <f>IF(OR(AB34&lt;=0,AB35&lt;=0),1/0,AB35)</f>
        <v>2.0818750000000001</v>
      </c>
      <c r="AS35" s="82">
        <f>AM35</f>
        <v>2.0733333333333333</v>
      </c>
      <c r="AT35" s="80">
        <f>IFERROR(AP35,IFERROR(AR35,AS35))</f>
        <v>2.0818750000000001</v>
      </c>
    </row>
    <row r="36" spans="1:47" x14ac:dyDescent="0.25">
      <c r="O36" s="94">
        <v>1</v>
      </c>
      <c r="P36" s="101">
        <f t="shared" ref="P36:P67" si="10">VLOOKUP(O36,STN_TABLE_2,2,FALSE)</f>
        <v>0</v>
      </c>
      <c r="AU36" s="81"/>
    </row>
    <row r="37" spans="1:47" x14ac:dyDescent="0.25">
      <c r="A37" s="94">
        <v>1</v>
      </c>
      <c r="B37" s="94">
        <f>VLOOKUP(A37,STN_TABLE_2,2,FALSE)</f>
        <v>0</v>
      </c>
      <c r="C37" s="79">
        <f>B37</f>
        <v>0</v>
      </c>
      <c r="D37" s="68">
        <f>VLOOKUP(C37,STN_TABLE,2,FALSE)</f>
        <v>7.6</v>
      </c>
      <c r="E37" s="102">
        <v>1</v>
      </c>
      <c r="F37" s="68">
        <f>D37*E37</f>
        <v>7.6</v>
      </c>
      <c r="G37" s="69">
        <f>C37</f>
        <v>0</v>
      </c>
      <c r="H37" s="69">
        <f>F37*G37</f>
        <v>0</v>
      </c>
      <c r="I37" s="6" t="s">
        <v>93</v>
      </c>
      <c r="J37" s="70">
        <f>IF(OR(D37=0,D38=0,D39=0),"#NA",IF(AND(C39-C38=C38-C37,C38&lt;&gt;C39,C37&lt;&gt;C38,C37&lt;&gt;C39,D39&lt;&gt;0,OR(D37&lt;&gt;0,D38&lt;&gt;0)),WLS*(C39-C38),"#NA"))</f>
        <v>0.5</v>
      </c>
      <c r="O37" s="99">
        <f>O36+1</f>
        <v>2</v>
      </c>
      <c r="P37" s="99">
        <f t="shared" si="10"/>
        <v>0.25</v>
      </c>
      <c r="Q37" s="68">
        <f>IF(OR(P39-P38=P38-P37,P40-P38=P38-P37),P37,IF(OR(P39-P38=P38-P36,P40-P38=P38-P36),P36,"-"))</f>
        <v>0.25</v>
      </c>
      <c r="R37" s="69">
        <f>VLOOKUP(Q37,STN_TABLE,2,FALSE)</f>
        <v>8.64</v>
      </c>
      <c r="S37" s="69">
        <v>5</v>
      </c>
      <c r="T37" s="68">
        <f>R37*S37</f>
        <v>43.2</v>
      </c>
      <c r="U37" s="79">
        <v>3</v>
      </c>
      <c r="V37" s="68">
        <f>R37*U37</f>
        <v>25.92</v>
      </c>
      <c r="W37" s="6" t="s">
        <v>93</v>
      </c>
      <c r="X37" s="70">
        <f>IF(AND(Q39-Q38=Q38-Q37,NOT(AND(Q37=0,Q38=0)),NOT(AND(Q38=0,Q39=0))),WLS*(Q39-Q38),"#NA")</f>
        <v>0.5</v>
      </c>
      <c r="AD37" s="93"/>
      <c r="AH37" s="6" t="s">
        <v>93</v>
      </c>
      <c r="AI37" s="70">
        <f>WLS*(AD39-AD38)</f>
        <v>0.5</v>
      </c>
      <c r="AU37" s="81"/>
    </row>
    <row r="38" spans="1:47" x14ac:dyDescent="0.25">
      <c r="A38" s="94">
        <f>A37+1</f>
        <v>2</v>
      </c>
      <c r="B38" s="94">
        <f>VLOOKUP(A38,STN_TABLE_2,2,FALSE)</f>
        <v>0.25</v>
      </c>
      <c r="C38" s="80">
        <f>B38</f>
        <v>0.25</v>
      </c>
      <c r="D38" s="76">
        <f>VLOOKUP(C38,STN_TABLE,2,FALSE)</f>
        <v>8.64</v>
      </c>
      <c r="E38" s="81">
        <v>4</v>
      </c>
      <c r="F38" s="76">
        <f>D38*E38</f>
        <v>34.56</v>
      </c>
      <c r="G38" s="77">
        <f>C38</f>
        <v>0.25</v>
      </c>
      <c r="H38" s="77">
        <f>F38*G38</f>
        <v>8.64</v>
      </c>
      <c r="I38" s="496" t="s">
        <v>97</v>
      </c>
      <c r="J38" s="496"/>
      <c r="K38" s="78" t="s">
        <v>98</v>
      </c>
      <c r="L38" s="78"/>
      <c r="M38" s="7" t="s">
        <v>99</v>
      </c>
      <c r="N38" s="7"/>
      <c r="O38" s="99">
        <f>O37+1</f>
        <v>3</v>
      </c>
      <c r="P38" s="99">
        <f t="shared" si="10"/>
        <v>0.5</v>
      </c>
      <c r="Q38" s="76">
        <f>P38</f>
        <v>0.5</v>
      </c>
      <c r="R38" s="77">
        <f>VLOOKUP(Q38,STN_TABLE,2,FALSE)</f>
        <v>9.27</v>
      </c>
      <c r="S38" s="77">
        <v>8</v>
      </c>
      <c r="T38" s="76">
        <f>R38*S38</f>
        <v>74.16</v>
      </c>
      <c r="U38" s="80">
        <v>10</v>
      </c>
      <c r="V38" s="76">
        <f>R38*U38</f>
        <v>92.699999999999989</v>
      </c>
      <c r="W38" s="496" t="s">
        <v>97</v>
      </c>
      <c r="X38" s="496"/>
      <c r="Y38" s="496" t="s">
        <v>98</v>
      </c>
      <c r="Z38" s="496"/>
      <c r="AA38" s="494" t="s">
        <v>99</v>
      </c>
      <c r="AB38" s="494"/>
      <c r="AC38" s="99">
        <f>AC33+1</f>
        <v>2</v>
      </c>
      <c r="AD38" s="95">
        <f>VLOOKUP(AC38,STN_TABLE_2,2,FALSE)</f>
        <v>0.25</v>
      </c>
      <c r="AE38" s="68">
        <f>VLOOKUP(AD38,STN_TABLE,2,FALSE)</f>
        <v>8.64</v>
      </c>
      <c r="AF38" s="68">
        <v>1</v>
      </c>
      <c r="AG38" s="69">
        <f>AE38*AF38</f>
        <v>8.64</v>
      </c>
      <c r="AH38" s="496" t="s">
        <v>97</v>
      </c>
      <c r="AI38" s="496"/>
      <c r="AJ38" s="496" t="s">
        <v>98</v>
      </c>
      <c r="AK38" s="496"/>
      <c r="AL38" s="494" t="s">
        <v>99</v>
      </c>
      <c r="AM38" s="494"/>
      <c r="AP38" s="86" t="s">
        <v>112</v>
      </c>
      <c r="AQ38" s="89" t="s">
        <v>113</v>
      </c>
      <c r="AR38" s="89" t="s">
        <v>114</v>
      </c>
      <c r="AS38" s="89" t="s">
        <v>115</v>
      </c>
    </row>
    <row r="39" spans="1:47" x14ac:dyDescent="0.25">
      <c r="A39" s="94">
        <f>A38+1</f>
        <v>3</v>
      </c>
      <c r="B39" s="94">
        <f>VLOOKUP(A39,STN_TABLE_2,2,FALSE)</f>
        <v>0.5</v>
      </c>
      <c r="C39" s="88">
        <f>B39</f>
        <v>0.5</v>
      </c>
      <c r="D39" s="82">
        <f>VLOOKUP(C39,STN_TABLE,2,FALSE)</f>
        <v>9.27</v>
      </c>
      <c r="E39" s="92">
        <v>1</v>
      </c>
      <c r="F39" s="82">
        <f>D39*E39</f>
        <v>9.27</v>
      </c>
      <c r="G39" s="83">
        <f>C39</f>
        <v>0.5</v>
      </c>
      <c r="H39" s="83">
        <f>F39*G39</f>
        <v>4.6349999999999998</v>
      </c>
      <c r="I39" s="84" t="str">
        <f>CONCATENATE("a'(",C39,")=")</f>
        <v>a'(0.5)=</v>
      </c>
      <c r="J39" s="84">
        <f>2*J37/3*F40</f>
        <v>17.143333333333334</v>
      </c>
      <c r="K39" s="84" t="str">
        <f>CONCATENATE("A(",C37,")=")</f>
        <v>A(0)=</v>
      </c>
      <c r="L39" s="84">
        <f>VLOOKUP(C37,STN_TABLE,3,FALSE)</f>
        <v>0</v>
      </c>
      <c r="M39" t="str">
        <f>CONCATENATE("A(",C39,")=")</f>
        <v>A(0.5)=</v>
      </c>
      <c r="N39">
        <f>J39+L39</f>
        <v>17.143333333333334</v>
      </c>
      <c r="O39" s="99">
        <f>O38+1</f>
        <v>4</v>
      </c>
      <c r="P39" s="99">
        <f t="shared" si="10"/>
        <v>0.75</v>
      </c>
      <c r="Q39" s="82">
        <f>IF(P39-P38=P38-P37,P39,IF(P40-P38=P38-P37,P40,IF(P39-P38=P38-P36,P39,IF(P40-P38=P38-P36,P40,"-"))))</f>
        <v>0.75</v>
      </c>
      <c r="R39" s="83">
        <f>VLOOKUP(Q39,STN_TABLE,2,FALSE)</f>
        <v>9.66</v>
      </c>
      <c r="S39" s="83">
        <v>-1</v>
      </c>
      <c r="T39" s="82">
        <f>R39*S39</f>
        <v>-9.66</v>
      </c>
      <c r="U39" s="88">
        <v>-1</v>
      </c>
      <c r="V39" s="82">
        <f>R39*U39</f>
        <v>-9.66</v>
      </c>
      <c r="W39" s="84" t="str">
        <f>CONCATENATE("a'(",Q38,")=")</f>
        <v>a'(0.5)=</v>
      </c>
      <c r="X39" s="84">
        <f>2*X37/12*T40</f>
        <v>8.9749999999999996</v>
      </c>
      <c r="Y39" s="84" t="str">
        <f>CONCATENATE("A(",Q37,")=")</f>
        <v>A(0.25)=</v>
      </c>
      <c r="Z39" s="84">
        <f>VLOOKUP(Q37,STN_TABLE,3,FALSE)</f>
        <v>8.1541666666666668</v>
      </c>
      <c r="AA39" t="str">
        <f>CONCATENATE("A(",Q38,")=")</f>
        <v>A(0.5)=</v>
      </c>
      <c r="AB39">
        <f>X39+Z39</f>
        <v>17.129166666666666</v>
      </c>
      <c r="AC39" s="99">
        <f>AC38+1</f>
        <v>3</v>
      </c>
      <c r="AD39" s="100">
        <f>VLOOKUP(AC39,STN_TABLE_2,2,FALSE)</f>
        <v>0.5</v>
      </c>
      <c r="AE39" s="82">
        <f>VLOOKUP(AD39,STN_TABLE,2,FALSE)</f>
        <v>9.27</v>
      </c>
      <c r="AF39" s="82">
        <v>2</v>
      </c>
      <c r="AG39" s="83">
        <f>AE39*AF39</f>
        <v>18.54</v>
      </c>
      <c r="AH39" s="84" t="str">
        <f>CONCATENATE("a'(",AD39,")=")</f>
        <v>a'(0.5)=</v>
      </c>
      <c r="AI39" s="84">
        <f>2*AI37/2*AE40</f>
        <v>8.9550000000000001</v>
      </c>
      <c r="AJ39" s="84" t="str">
        <f>CONCATENATE("A(",AD38,")=")</f>
        <v>A(0.25)=</v>
      </c>
      <c r="AK39" s="84">
        <f>VLOOKUP(AD38,STN_TABLE,3,FALSE)</f>
        <v>8.1541666666666668</v>
      </c>
      <c r="AL39" t="str">
        <f>CONCATENATE("A(",AD39,")=")</f>
        <v>A(0.5)=</v>
      </c>
      <c r="AM39">
        <f>AI39+AK39</f>
        <v>17.109166666666667</v>
      </c>
      <c r="AO39" s="68" t="str">
        <f>AA39</f>
        <v>A(0.5)=</v>
      </c>
      <c r="AP39" s="68" t="e">
        <f>VLOOKUP(AO39,Rise_Results,2,FALSE)</f>
        <v>#N/A</v>
      </c>
      <c r="AQ39" s="76">
        <f>N39</f>
        <v>17.143333333333334</v>
      </c>
      <c r="AR39" s="76">
        <f>IF(OR(AB39&lt;=0,AB40&lt;=0),1/0,AB39)</f>
        <v>17.129166666666666</v>
      </c>
      <c r="AS39" s="76">
        <f>AM39</f>
        <v>17.109166666666667</v>
      </c>
      <c r="AT39">
        <f>IFERROR(AP39,IFERROR(AQ39,IFERROR(AR39,AS39)))</f>
        <v>17.143333333333334</v>
      </c>
    </row>
    <row r="40" spans="1:47" x14ac:dyDescent="0.25">
      <c r="A40">
        <v>4</v>
      </c>
      <c r="F40" s="82">
        <f>SUM(F37:F39)</f>
        <v>51.430000000000007</v>
      </c>
      <c r="H40" s="82">
        <f>SUM(H37:H39)</f>
        <v>13.275</v>
      </c>
      <c r="I40" s="84" t="str">
        <f>CONCATENATE("m'(",C39,")=")</f>
        <v>m'(0.5)=</v>
      </c>
      <c r="J40" s="84">
        <f>2*(J37*(WLS))/3*H40</f>
        <v>8.85</v>
      </c>
      <c r="K40" s="84" t="str">
        <f>CONCATENATE("M(",C37,")=")</f>
        <v>M(0)=</v>
      </c>
      <c r="L40" s="84">
        <f>VLOOKUP(C37,STN_TABLE,4,FALSE)</f>
        <v>0</v>
      </c>
      <c r="M40" t="str">
        <f>CONCATENATE("M(",C39,")=")</f>
        <v>M(0.5)=</v>
      </c>
      <c r="N40">
        <f>J40+L40</f>
        <v>8.85</v>
      </c>
      <c r="O40" s="99">
        <f>O39+1</f>
        <v>5</v>
      </c>
      <c r="P40" s="99">
        <f t="shared" si="10"/>
        <v>1</v>
      </c>
      <c r="T40" s="89">
        <f>SUM(T37:T39)</f>
        <v>107.7</v>
      </c>
      <c r="V40" s="82">
        <f>SUM(V37:V39)</f>
        <v>108.96</v>
      </c>
      <c r="W40" s="84" t="str">
        <f>CONCATENATE("m'(",Q38,")=")</f>
        <v>m'(0.5)=</v>
      </c>
      <c r="X40" s="84">
        <f>(2*(X37^2)/24*V40)+(X39*Q37*WLS)</f>
        <v>6.7574999999999994</v>
      </c>
      <c r="Y40" s="84" t="str">
        <f>CONCATENATE("M(",Q37,")=")</f>
        <v>M(0.25)=</v>
      </c>
      <c r="Z40" s="84">
        <f>VLOOKUP(Q37,STN_TABLE,4,FALSE)</f>
        <v>2.0818750000000001</v>
      </c>
      <c r="AA40" t="str">
        <f>CONCATENATE("M(",Q38,")=")</f>
        <v>M(0.5)=</v>
      </c>
      <c r="AB40">
        <f>X40+Z40</f>
        <v>8.8393750000000004</v>
      </c>
      <c r="AE40" s="89">
        <f>SUM(AE38:AE39)</f>
        <v>17.91</v>
      </c>
      <c r="AG40" s="89">
        <f>SUM(AG38:AG39)</f>
        <v>27.18</v>
      </c>
      <c r="AH40" s="84" t="str">
        <f>CONCATENATE("m'(",AD39,")=")</f>
        <v>m'(0.5)=</v>
      </c>
      <c r="AI40" s="84">
        <f>(2*(AI37^2)/6*AG40)+(AI39*AD38*WLS)</f>
        <v>6.7424999999999997</v>
      </c>
      <c r="AJ40" s="84" t="str">
        <f>CONCATENATE("M(",AD38,")=")</f>
        <v>M(0.25)=</v>
      </c>
      <c r="AK40" s="84">
        <f>VLOOKUP(AD38,STN_TABLE,4,FALSE)</f>
        <v>2.0818750000000001</v>
      </c>
      <c r="AL40" t="str">
        <f>CONCATENATE("M(",AD39,")=")</f>
        <v>M(0.5)=</v>
      </c>
      <c r="AM40">
        <f>AI40+AK40</f>
        <v>8.8243749999999999</v>
      </c>
      <c r="AO40" s="82" t="str">
        <f>AA40</f>
        <v>M(0.5)=</v>
      </c>
      <c r="AP40" s="82" t="e">
        <f>VLOOKUP(AO40,Rise_Results,2,FALSE)</f>
        <v>#N/A</v>
      </c>
      <c r="AQ40" s="82">
        <f>N40</f>
        <v>8.85</v>
      </c>
      <c r="AR40" s="82">
        <f>IF(OR(AB39&lt;=0,AB40&lt;=0),1/0,AB40)</f>
        <v>8.8393750000000004</v>
      </c>
      <c r="AS40" s="82">
        <f>AM40</f>
        <v>8.8243749999999999</v>
      </c>
      <c r="AT40">
        <f>IFERROR(AP40,IFERROR(AQ40,IFERROR(AR40,AS40)))</f>
        <v>8.85</v>
      </c>
    </row>
    <row r="41" spans="1:47" x14ac:dyDescent="0.25">
      <c r="A41" s="94">
        <v>0</v>
      </c>
      <c r="O41" s="101">
        <f>O36+1</f>
        <v>2</v>
      </c>
      <c r="P41" s="101">
        <f t="shared" si="10"/>
        <v>0.25</v>
      </c>
    </row>
    <row r="42" spans="1:47" x14ac:dyDescent="0.25">
      <c r="A42" s="94">
        <f>A41+1</f>
        <v>1</v>
      </c>
      <c r="B42" s="94">
        <f t="shared" ref="B42:B73" si="11">VLOOKUP(A42,STN_TABLE_2,2,FALSE)</f>
        <v>0</v>
      </c>
      <c r="C42" s="79">
        <f>IF(C43=B43,B42,IF(C43=B44,IF(C44-C43=C43-B43,B43,IF(C44-C43=C43-B42,B42,"NA"))))</f>
        <v>0.25</v>
      </c>
      <c r="D42" s="68">
        <f>VLOOKUP(C42,STN_TABLE,2,FALSE)</f>
        <v>8.64</v>
      </c>
      <c r="E42" s="102">
        <v>1</v>
      </c>
      <c r="F42" s="68">
        <f>D42*E42</f>
        <v>8.64</v>
      </c>
      <c r="G42" s="69">
        <f>C42</f>
        <v>0.25</v>
      </c>
      <c r="H42" s="69">
        <f>F42*G42</f>
        <v>2.16</v>
      </c>
      <c r="I42" s="6" t="s">
        <v>93</v>
      </c>
      <c r="J42" s="70">
        <f>IF(OR(D42=0,D43=0,D44=0),"#NA",IF(AND(C44-C43=C43-C42,C43&lt;&gt;C44,C42&lt;&gt;C43,C42&lt;&gt;C44,D44&lt;&gt;0,OR(D42&lt;&gt;0,D43&lt;&gt;0)),WLS*(C44-C43),"#NA"))</f>
        <v>0.5</v>
      </c>
      <c r="O42" s="99">
        <f>O41+1</f>
        <v>3</v>
      </c>
      <c r="P42" s="99">
        <f t="shared" si="10"/>
        <v>0.5</v>
      </c>
      <c r="Q42" s="68">
        <f>IF(OR(P44-P43=P43-P42,P45-P43=P43-P42),P42,IF(OR(P44-P43=P43-P41,P45-P43=P43-P41),P41,"-"))</f>
        <v>0.5</v>
      </c>
      <c r="R42" s="69">
        <f>VLOOKUP(Q42,STN_TABLE,2,FALSE)</f>
        <v>9.27</v>
      </c>
      <c r="S42" s="69">
        <v>5</v>
      </c>
      <c r="T42" s="68">
        <f>R42*S42</f>
        <v>46.349999999999994</v>
      </c>
      <c r="U42" s="79">
        <v>3</v>
      </c>
      <c r="V42" s="68">
        <f>R42*U42</f>
        <v>27.81</v>
      </c>
      <c r="W42" s="6" t="s">
        <v>93</v>
      </c>
      <c r="X42" s="70">
        <f>IF(AND(Q44-Q43=Q43-Q42,NOT(AND(Q42=0,Q43=0)),NOT(AND(Q43=0,Q44=0))),WLS*(Q44-Q43),"#NA")</f>
        <v>0.5</v>
      </c>
      <c r="AD42" s="93"/>
      <c r="AH42" s="6" t="s">
        <v>93</v>
      </c>
      <c r="AI42" s="70">
        <f>WLS*(AD44-AD43)</f>
        <v>0.5</v>
      </c>
      <c r="AU42" s="81"/>
    </row>
    <row r="43" spans="1:47" x14ac:dyDescent="0.25">
      <c r="A43" s="94">
        <f>A42+1</f>
        <v>2</v>
      </c>
      <c r="B43" s="94">
        <f t="shared" si="11"/>
        <v>0.25</v>
      </c>
      <c r="C43" s="80">
        <f>IF(OR(B45-B44=B44-B43,B45-B44=B44-B42,),B44,IF(B45-B43=B43-B42,B43,"#NA"))</f>
        <v>0.5</v>
      </c>
      <c r="D43" s="76">
        <f>VLOOKUP(C43,STN_TABLE,2,FALSE)</f>
        <v>9.27</v>
      </c>
      <c r="E43" s="81">
        <v>4</v>
      </c>
      <c r="F43" s="76">
        <f>D43*E43</f>
        <v>37.08</v>
      </c>
      <c r="G43" s="77">
        <f>C43</f>
        <v>0.5</v>
      </c>
      <c r="H43" s="77">
        <f>F43*G43</f>
        <v>18.54</v>
      </c>
      <c r="I43" s="496" t="s">
        <v>97</v>
      </c>
      <c r="J43" s="496"/>
      <c r="K43" s="78" t="s">
        <v>98</v>
      </c>
      <c r="L43" s="78"/>
      <c r="M43" s="7" t="s">
        <v>99</v>
      </c>
      <c r="N43" s="7"/>
      <c r="O43" s="99">
        <f>O42+1</f>
        <v>4</v>
      </c>
      <c r="P43" s="99">
        <f t="shared" si="10"/>
        <v>0.75</v>
      </c>
      <c r="Q43" s="76">
        <f>P43</f>
        <v>0.75</v>
      </c>
      <c r="R43" s="77">
        <f>VLOOKUP(Q43,STN_TABLE,2,FALSE)</f>
        <v>9.66</v>
      </c>
      <c r="S43" s="77">
        <v>8</v>
      </c>
      <c r="T43" s="76">
        <f>R43*S43</f>
        <v>77.28</v>
      </c>
      <c r="U43" s="80">
        <v>10</v>
      </c>
      <c r="V43" s="76">
        <f>R43*U43</f>
        <v>96.6</v>
      </c>
      <c r="W43" s="496" t="s">
        <v>97</v>
      </c>
      <c r="X43" s="496"/>
      <c r="Y43" s="496" t="s">
        <v>98</v>
      </c>
      <c r="Z43" s="496"/>
      <c r="AA43" s="494" t="s">
        <v>99</v>
      </c>
      <c r="AB43" s="494"/>
      <c r="AC43" s="99">
        <f>AC38+1</f>
        <v>3</v>
      </c>
      <c r="AD43" s="95">
        <f>VLOOKUP(AC43,STN_TABLE_2,2,FALSE)</f>
        <v>0.5</v>
      </c>
      <c r="AE43" s="68">
        <f>VLOOKUP(AD43,STN_TABLE,2,FALSE)</f>
        <v>9.27</v>
      </c>
      <c r="AF43" s="68">
        <v>1</v>
      </c>
      <c r="AG43" s="69">
        <f>AE43*AF43</f>
        <v>9.27</v>
      </c>
      <c r="AH43" s="496" t="s">
        <v>97</v>
      </c>
      <c r="AI43" s="496"/>
      <c r="AJ43" s="496" t="s">
        <v>98</v>
      </c>
      <c r="AK43" s="496"/>
      <c r="AL43" s="494" t="s">
        <v>99</v>
      </c>
      <c r="AM43" s="494"/>
      <c r="AP43" s="86" t="s">
        <v>112</v>
      </c>
      <c r="AQ43" s="89" t="s">
        <v>113</v>
      </c>
      <c r="AR43" s="89" t="s">
        <v>114</v>
      </c>
      <c r="AS43" s="89" t="s">
        <v>115</v>
      </c>
      <c r="AU43" s="81"/>
    </row>
    <row r="44" spans="1:47" x14ac:dyDescent="0.25">
      <c r="A44" s="94">
        <f>A43+1</f>
        <v>3</v>
      </c>
      <c r="B44" s="94">
        <f t="shared" si="11"/>
        <v>0.5</v>
      </c>
      <c r="C44" s="88">
        <f>B45</f>
        <v>0.75</v>
      </c>
      <c r="D44" s="82">
        <f>VLOOKUP(C44,STN_TABLE,2,FALSE)</f>
        <v>9.66</v>
      </c>
      <c r="E44" s="92">
        <v>1</v>
      </c>
      <c r="F44" s="82">
        <f>D44*E44</f>
        <v>9.66</v>
      </c>
      <c r="G44" s="83">
        <f>C44</f>
        <v>0.75</v>
      </c>
      <c r="H44" s="83">
        <f>F44*G44</f>
        <v>7.2450000000000001</v>
      </c>
      <c r="I44" s="84" t="str">
        <f>CONCATENATE("a'(",C44,")=")</f>
        <v>a'(0.75)=</v>
      </c>
      <c r="J44" s="84">
        <f>2*J42/3*F45</f>
        <v>18.459999999999997</v>
      </c>
      <c r="K44" s="84" t="str">
        <f>CONCATENATE("A(",C42,")=")</f>
        <v>A(0.25)=</v>
      </c>
      <c r="L44" s="84">
        <f>VLOOKUP(C42,STN_TABLE,3,FALSE)</f>
        <v>8.1541666666666668</v>
      </c>
      <c r="M44" t="str">
        <f>CONCATENATE("A(",C44,")=")</f>
        <v>A(0.75)=</v>
      </c>
      <c r="N44">
        <f>J44+L44</f>
        <v>26.614166666666662</v>
      </c>
      <c r="O44" s="99">
        <f>O43+1</f>
        <v>5</v>
      </c>
      <c r="P44" s="99">
        <f t="shared" si="10"/>
        <v>1</v>
      </c>
      <c r="Q44" s="82">
        <f>IF(P44-P43=P43-P42,P44,IF(P45-P43=P43-P42,P45,IF(P44-P43=P43-P41,P44,IF(P45-P43=P43-P41,P45,"-"))))</f>
        <v>1</v>
      </c>
      <c r="R44" s="83">
        <f>VLOOKUP(Q44,STN_TABLE,2,FALSE)</f>
        <v>9.91</v>
      </c>
      <c r="S44" s="83">
        <v>-1</v>
      </c>
      <c r="T44" s="82">
        <f>R44*S44</f>
        <v>-9.91</v>
      </c>
      <c r="U44" s="88">
        <v>-1</v>
      </c>
      <c r="V44" s="82">
        <f>R44*U44</f>
        <v>-9.91</v>
      </c>
      <c r="W44" s="84" t="str">
        <f>CONCATENATE("a'(",Q43,")=")</f>
        <v>a'(0.75)=</v>
      </c>
      <c r="X44" s="84">
        <f>2*X42/12*T45</f>
        <v>9.4766666666666666</v>
      </c>
      <c r="Y44" s="84" t="str">
        <f>CONCATENATE("A(",Q42,")=")</f>
        <v>A(0.5)=</v>
      </c>
      <c r="Z44" s="84">
        <f>VLOOKUP(Q42,STN_TABLE,3,FALSE)</f>
        <v>17.143333333333334</v>
      </c>
      <c r="AA44" t="str">
        <f>CONCATENATE("A(",Q43,")=")</f>
        <v>A(0.75)=</v>
      </c>
      <c r="AB44">
        <f>X44+Z44</f>
        <v>26.62</v>
      </c>
      <c r="AC44" s="99">
        <f>AC43+1</f>
        <v>4</v>
      </c>
      <c r="AD44" s="100">
        <f>VLOOKUP(AC44,STN_TABLE_2,2,FALSE)</f>
        <v>0.75</v>
      </c>
      <c r="AE44" s="82">
        <f>VLOOKUP(AD44,STN_TABLE,2,FALSE)</f>
        <v>9.66</v>
      </c>
      <c r="AF44" s="82">
        <v>2</v>
      </c>
      <c r="AG44" s="83">
        <f>AE44*AF44</f>
        <v>19.32</v>
      </c>
      <c r="AH44" s="84" t="str">
        <f>CONCATENATE("a'(",AD44,")=")</f>
        <v>a'(0.75)=</v>
      </c>
      <c r="AI44" s="84">
        <f>2*AI42/2*AE45</f>
        <v>9.4649999999999999</v>
      </c>
      <c r="AJ44" s="84" t="str">
        <f>CONCATENATE("A(",AD43,")=")</f>
        <v>A(0.5)=</v>
      </c>
      <c r="AK44" s="84">
        <f>VLOOKUP(AD43,STN_TABLE,3,FALSE)</f>
        <v>17.143333333333334</v>
      </c>
      <c r="AL44" t="str">
        <f>CONCATENATE("A(",AD44,")=")</f>
        <v>A(0.75)=</v>
      </c>
      <c r="AM44">
        <f>AI44+AK44</f>
        <v>26.608333333333334</v>
      </c>
      <c r="AO44" s="68" t="str">
        <f>AA44</f>
        <v>A(0.75)=</v>
      </c>
      <c r="AP44" s="68" t="e">
        <f>VLOOKUP(AO44,Rise_Results,2,FALSE)</f>
        <v>#N/A</v>
      </c>
      <c r="AQ44" s="76">
        <f>N44</f>
        <v>26.614166666666662</v>
      </c>
      <c r="AR44" s="76">
        <f>IF(OR(AB44&lt;=0,AB45&lt;=0),1/0,AB44)</f>
        <v>26.62</v>
      </c>
      <c r="AS44" s="76">
        <f>AM44</f>
        <v>26.608333333333334</v>
      </c>
      <c r="AT44">
        <f>IFERROR(AP44,IFERROR(AQ44,IFERROR(AR44,AS44)))</f>
        <v>26.614166666666662</v>
      </c>
      <c r="AU44" s="81"/>
    </row>
    <row r="45" spans="1:47" x14ac:dyDescent="0.25">
      <c r="A45" s="94">
        <f>A44+1</f>
        <v>4</v>
      </c>
      <c r="B45" s="94">
        <f t="shared" si="11"/>
        <v>0.75</v>
      </c>
      <c r="F45" s="82">
        <f>SUM(F42:F44)</f>
        <v>55.379999999999995</v>
      </c>
      <c r="H45" s="82">
        <f>SUM(H42:H44)</f>
        <v>27.945</v>
      </c>
      <c r="I45" s="84" t="str">
        <f>CONCATENATE("m'(",C44,")=")</f>
        <v>m'(0.75)=</v>
      </c>
      <c r="J45" s="84">
        <f>2*(J42*(WLS))/3*H45</f>
        <v>18.63</v>
      </c>
      <c r="K45" s="84" t="str">
        <f>CONCATENATE("M(",C42,")=")</f>
        <v>M(0.25)=</v>
      </c>
      <c r="L45" s="84">
        <f>VLOOKUP(C42,STN_TABLE,4,FALSE)</f>
        <v>2.0818750000000001</v>
      </c>
      <c r="M45" t="str">
        <f>CONCATENATE("M(",C44,")=")</f>
        <v>M(0.75)=</v>
      </c>
      <c r="N45">
        <f>J45+L45</f>
        <v>20.711874999999999</v>
      </c>
      <c r="O45" s="99">
        <f>O44+1</f>
        <v>6</v>
      </c>
      <c r="P45" s="99">
        <f t="shared" si="10"/>
        <v>2</v>
      </c>
      <c r="T45" s="89">
        <f>SUM(T42:T44)</f>
        <v>113.72</v>
      </c>
      <c r="V45" s="82">
        <f>SUM(V42:V44)</f>
        <v>114.5</v>
      </c>
      <c r="W45" s="84" t="str">
        <f>CONCATENATE("m'(",Q43,")=")</f>
        <v>m'(0.75)=</v>
      </c>
      <c r="X45" s="84">
        <f>(2*(X42^2)/24*V45)+(X44*Q42*WLS)</f>
        <v>11.862083333333333</v>
      </c>
      <c r="Y45" s="84" t="str">
        <f>CONCATENATE("M(",Q42,")=")</f>
        <v>M(0.5)=</v>
      </c>
      <c r="Z45" s="84">
        <f>VLOOKUP(Q42,STN_TABLE,4,FALSE)</f>
        <v>8.85</v>
      </c>
      <c r="AA45" t="str">
        <f>CONCATENATE("M(",Q43,")=")</f>
        <v>M(0.75)=</v>
      </c>
      <c r="AB45">
        <f>X45+Z45</f>
        <v>20.712083333333332</v>
      </c>
      <c r="AE45" s="89">
        <f>SUM(AE43:AE44)</f>
        <v>18.93</v>
      </c>
      <c r="AG45" s="89">
        <f>SUM(AG43:AG44)</f>
        <v>28.59</v>
      </c>
      <c r="AH45" s="84" t="str">
        <f>CONCATENATE("m'(",AD44,")=")</f>
        <v>m'(0.75)=</v>
      </c>
      <c r="AI45" s="84">
        <f>(2*(AI42^2)/6*AG45)+(AI44*AD43*WLS)</f>
        <v>11.8475</v>
      </c>
      <c r="AJ45" s="84" t="str">
        <f>CONCATENATE("M(",AD43,")=")</f>
        <v>M(0.5)=</v>
      </c>
      <c r="AK45" s="84">
        <f>VLOOKUP(AD43,STN_TABLE,4,FALSE)</f>
        <v>8.85</v>
      </c>
      <c r="AL45" t="str">
        <f>CONCATENATE("M(",AD44,")=")</f>
        <v>M(0.75)=</v>
      </c>
      <c r="AM45">
        <f>AI45+AK45</f>
        <v>20.697499999999998</v>
      </c>
      <c r="AO45" s="82" t="str">
        <f>AA45</f>
        <v>M(0.75)=</v>
      </c>
      <c r="AP45" s="82" t="e">
        <f>VLOOKUP(AO45,Rise_Results,2,FALSE)</f>
        <v>#N/A</v>
      </c>
      <c r="AQ45" s="82">
        <f>N45</f>
        <v>20.711874999999999</v>
      </c>
      <c r="AR45" s="82">
        <f>IF(OR(AB44&lt;=0,AB45&lt;=0),1/0,AB45)</f>
        <v>20.712083333333332</v>
      </c>
      <c r="AS45" s="82">
        <f>AM45</f>
        <v>20.697499999999998</v>
      </c>
      <c r="AT45">
        <f>IFERROR(AP45,IFERROR(AQ45,IFERROR(AR45,AS45)))</f>
        <v>20.711874999999999</v>
      </c>
      <c r="AU45" s="81"/>
    </row>
    <row r="46" spans="1:47" x14ac:dyDescent="0.25">
      <c r="A46" s="101">
        <f>A41+1</f>
        <v>1</v>
      </c>
      <c r="B46" s="101">
        <f t="shared" si="11"/>
        <v>0</v>
      </c>
      <c r="O46" s="101">
        <f>O41+1</f>
        <v>3</v>
      </c>
      <c r="P46" s="101">
        <f t="shared" si="10"/>
        <v>0.5</v>
      </c>
      <c r="AU46" s="81"/>
    </row>
    <row r="47" spans="1:47" x14ac:dyDescent="0.25">
      <c r="A47" s="84">
        <f>A46+1</f>
        <v>2</v>
      </c>
      <c r="B47" s="84">
        <f t="shared" si="11"/>
        <v>0.25</v>
      </c>
      <c r="C47" s="79">
        <f>IF(C48=B49,IF(C49-C48=C48-B48,B48,IF(C49-C48=C48-B47,B47,"#NA")),IF(C48=B48,IF(C49-C48=C48-B47,B47,IF(C49-C48=C48-B46,B46,"#NA")),"#NA"))</f>
        <v>0.5</v>
      </c>
      <c r="D47" s="68">
        <f>VLOOKUP(C47,STN_TABLE,2,FALSE)</f>
        <v>9.27</v>
      </c>
      <c r="E47" s="102">
        <v>1</v>
      </c>
      <c r="F47" s="68">
        <f>D47*E47</f>
        <v>9.27</v>
      </c>
      <c r="G47" s="69">
        <f>C47</f>
        <v>0.5</v>
      </c>
      <c r="H47" s="69">
        <f>F47*G47</f>
        <v>4.6349999999999998</v>
      </c>
      <c r="I47" s="6" t="s">
        <v>93</v>
      </c>
      <c r="J47" s="70">
        <f>IF(OR(D47=0,D48=0,D49=0),"#NA",IF(AND(C49-C48=C48-C47,C48&lt;&gt;C49,C47&lt;&gt;C48,C47&lt;&gt;C49,D49&lt;&gt;0,OR(D47&lt;&gt;0,D48&lt;&gt;0)),WLS*(C49-C48),"#NA"))</f>
        <v>0.5</v>
      </c>
      <c r="O47" s="99">
        <f>O46+1</f>
        <v>4</v>
      </c>
      <c r="P47" s="99">
        <f t="shared" si="10"/>
        <v>0.75</v>
      </c>
      <c r="Q47" s="68" t="str">
        <f>IF(OR(P49-P48=P48-P47,P50-P48=P48-P47),P47,IF(OR(P49-P48=P48-P46,P50-P48=P48-P46),P46,"-"))</f>
        <v>-</v>
      </c>
      <c r="R47" s="69" t="e">
        <f>VLOOKUP(Q47,STN_TABLE,2,FALSE)</f>
        <v>#N/A</v>
      </c>
      <c r="S47" s="69">
        <v>5</v>
      </c>
      <c r="T47" s="68" t="e">
        <f>R47*S47</f>
        <v>#N/A</v>
      </c>
      <c r="U47" s="79">
        <v>3</v>
      </c>
      <c r="V47" s="68" t="e">
        <f>R47*U47</f>
        <v>#N/A</v>
      </c>
      <c r="W47" s="6" t="s">
        <v>93</v>
      </c>
      <c r="X47" s="70" t="e">
        <f>IF(AND(Q49-Q48=Q48-Q47,NOT(AND(Q47=0,Q48=0)),NOT(AND(Q48=0,Q49=0))),WLS*(Q49-Q48),"#NA")</f>
        <v>#VALUE!</v>
      </c>
      <c r="AD47" s="93"/>
      <c r="AH47" s="6" t="s">
        <v>93</v>
      </c>
      <c r="AI47" s="70">
        <f>WLS*(AD49-AD48)</f>
        <v>0.5</v>
      </c>
      <c r="AU47" s="81"/>
    </row>
    <row r="48" spans="1:47" x14ac:dyDescent="0.25">
      <c r="A48" s="84">
        <f>A47+1</f>
        <v>3</v>
      </c>
      <c r="B48" s="84">
        <f t="shared" si="11"/>
        <v>0.5</v>
      </c>
      <c r="C48" s="80">
        <f>IF(OR(B50-B49=B49-B48,B50-B49=B49-B47,B50-B49=B49-B46),B49,IF(OR(B50-B48=B48-B47,B50-B48=B48-B46),B48,IF(B50-B47=B47-B46,B47,"#NA")))</f>
        <v>0.75</v>
      </c>
      <c r="D48" s="76">
        <f>VLOOKUP(C48,STN_TABLE,2,FALSE)</f>
        <v>9.66</v>
      </c>
      <c r="E48" s="81">
        <v>4</v>
      </c>
      <c r="F48" s="76">
        <f>D48*E48</f>
        <v>38.64</v>
      </c>
      <c r="G48" s="77">
        <f>C48</f>
        <v>0.75</v>
      </c>
      <c r="H48" s="77">
        <f>F48*G48</f>
        <v>28.98</v>
      </c>
      <c r="I48" s="496" t="s">
        <v>97</v>
      </c>
      <c r="J48" s="496"/>
      <c r="K48" s="78" t="s">
        <v>98</v>
      </c>
      <c r="L48" s="78"/>
      <c r="M48" s="7" t="s">
        <v>99</v>
      </c>
      <c r="N48" s="7"/>
      <c r="O48" s="99">
        <f>O47+1</f>
        <v>5</v>
      </c>
      <c r="P48" s="99">
        <f t="shared" si="10"/>
        <v>1</v>
      </c>
      <c r="Q48" s="76">
        <f>P48</f>
        <v>1</v>
      </c>
      <c r="R48" s="77">
        <f>VLOOKUP(Q48,STN_TABLE,2,FALSE)</f>
        <v>9.91</v>
      </c>
      <c r="S48" s="77">
        <v>8</v>
      </c>
      <c r="T48" s="76">
        <f>R48*S48</f>
        <v>79.28</v>
      </c>
      <c r="U48" s="80">
        <v>10</v>
      </c>
      <c r="V48" s="76">
        <f>R48*U48</f>
        <v>99.1</v>
      </c>
      <c r="W48" s="496" t="s">
        <v>97</v>
      </c>
      <c r="X48" s="496"/>
      <c r="Y48" s="496" t="s">
        <v>98</v>
      </c>
      <c r="Z48" s="496"/>
      <c r="AA48" s="494" t="s">
        <v>99</v>
      </c>
      <c r="AB48" s="494"/>
      <c r="AC48" s="99">
        <f>AC43+1</f>
        <v>4</v>
      </c>
      <c r="AD48" s="95">
        <f>VLOOKUP(AC48,STN_TABLE_2,2,FALSE)</f>
        <v>0.75</v>
      </c>
      <c r="AE48" s="68">
        <f>VLOOKUP(AD48,STN_TABLE,2,FALSE)</f>
        <v>9.66</v>
      </c>
      <c r="AF48" s="68">
        <v>1</v>
      </c>
      <c r="AG48" s="69">
        <f>AE48*AF48</f>
        <v>9.66</v>
      </c>
      <c r="AH48" s="496" t="s">
        <v>97</v>
      </c>
      <c r="AI48" s="496"/>
      <c r="AJ48" s="496" t="s">
        <v>98</v>
      </c>
      <c r="AK48" s="496"/>
      <c r="AL48" s="494" t="s">
        <v>99</v>
      </c>
      <c r="AM48" s="494"/>
      <c r="AP48" s="86" t="s">
        <v>112</v>
      </c>
      <c r="AQ48" s="89" t="s">
        <v>113</v>
      </c>
      <c r="AR48" s="89" t="s">
        <v>114</v>
      </c>
      <c r="AS48" s="89" t="s">
        <v>115</v>
      </c>
      <c r="AU48" s="81"/>
    </row>
    <row r="49" spans="1:47" x14ac:dyDescent="0.25">
      <c r="A49" s="84">
        <f>A48+1</f>
        <v>4</v>
      </c>
      <c r="B49" s="84">
        <f t="shared" si="11"/>
        <v>0.75</v>
      </c>
      <c r="C49" s="88">
        <f>B50</f>
        <v>1</v>
      </c>
      <c r="D49" s="82">
        <f>VLOOKUP(C49,STN_TABLE,2,FALSE)</f>
        <v>9.91</v>
      </c>
      <c r="E49" s="92">
        <v>1</v>
      </c>
      <c r="F49" s="82">
        <f>D49*E49</f>
        <v>9.91</v>
      </c>
      <c r="G49" s="83">
        <f>C49</f>
        <v>1</v>
      </c>
      <c r="H49" s="83">
        <f>F49*G49</f>
        <v>9.91</v>
      </c>
      <c r="I49" s="84" t="str">
        <f>CONCATENATE("a'(",C49,")=")</f>
        <v>a'(1)=</v>
      </c>
      <c r="J49" s="84">
        <f>2*J47/3*F50</f>
        <v>19.27333333333333</v>
      </c>
      <c r="K49" s="84" t="str">
        <f>CONCATENATE("A(",C47,")=")</f>
        <v>A(0.5)=</v>
      </c>
      <c r="L49" s="84">
        <f>VLOOKUP(C47,STN_TABLE,3,FALSE)</f>
        <v>17.143333333333334</v>
      </c>
      <c r="M49" t="str">
        <f>CONCATENATE("A(",C49,")=")</f>
        <v>A(1)=</v>
      </c>
      <c r="N49">
        <f>J49+L49</f>
        <v>36.416666666666664</v>
      </c>
      <c r="O49" s="99">
        <f>O48+1</f>
        <v>6</v>
      </c>
      <c r="P49" s="99">
        <f t="shared" si="10"/>
        <v>2</v>
      </c>
      <c r="Q49" s="82" t="str">
        <f>IF(P49-P48=P48-P47,P49,IF(P50-P48=P48-P47,P50,IF(P49-P48=P48-P46,P49,IF(P50-P48=P48-P46,P50,"-"))))</f>
        <v>-</v>
      </c>
      <c r="R49" s="83" t="e">
        <f>VLOOKUP(Q49,STN_TABLE,2,FALSE)</f>
        <v>#N/A</v>
      </c>
      <c r="S49" s="83">
        <v>-1</v>
      </c>
      <c r="T49" s="82" t="e">
        <f>R49*S49</f>
        <v>#N/A</v>
      </c>
      <c r="U49" s="88">
        <v>-1</v>
      </c>
      <c r="V49" s="82" t="e">
        <f>R49*U49</f>
        <v>#N/A</v>
      </c>
      <c r="W49" s="84" t="str">
        <f>CONCATENATE("a'(",Q48,")=")</f>
        <v>a'(1)=</v>
      </c>
      <c r="X49" s="84" t="e">
        <f>2*X47/12*T50</f>
        <v>#VALUE!</v>
      </c>
      <c r="Y49" s="84" t="str">
        <f>CONCATENATE("A(",Q47,")=")</f>
        <v>A(-)=</v>
      </c>
      <c r="Z49" s="84" t="e">
        <f>VLOOKUP(Q47,STN_TABLE,3,FALSE)</f>
        <v>#N/A</v>
      </c>
      <c r="AA49" t="str">
        <f>CONCATENATE("A(",Q48,")=")</f>
        <v>A(1)=</v>
      </c>
      <c r="AB49" t="e">
        <f>X49+Z49</f>
        <v>#VALUE!</v>
      </c>
      <c r="AC49" s="99">
        <f>AC48+1</f>
        <v>5</v>
      </c>
      <c r="AD49" s="100">
        <f>VLOOKUP(AC49,STN_TABLE_2,2,FALSE)</f>
        <v>1</v>
      </c>
      <c r="AE49" s="82">
        <f>VLOOKUP(AD49,STN_TABLE,2,FALSE)</f>
        <v>9.91</v>
      </c>
      <c r="AF49" s="82">
        <v>2</v>
      </c>
      <c r="AG49" s="83">
        <f>AE49*AF49</f>
        <v>19.82</v>
      </c>
      <c r="AH49" s="84" t="str">
        <f>CONCATENATE("a'(",AD49,")=")</f>
        <v>a'(1)=</v>
      </c>
      <c r="AI49" s="84">
        <f>2*AI47/2*AE50</f>
        <v>9.7850000000000001</v>
      </c>
      <c r="AJ49" s="84" t="str">
        <f>CONCATENATE("A(",AD48,")=")</f>
        <v>A(0.75)=</v>
      </c>
      <c r="AK49" s="84">
        <f>VLOOKUP(AD48,STN_TABLE,3,FALSE)</f>
        <v>26.614166666666662</v>
      </c>
      <c r="AL49" t="str">
        <f>CONCATENATE("A(",AD49,")=")</f>
        <v>A(1)=</v>
      </c>
      <c r="AM49">
        <f>AI49+AK49</f>
        <v>36.399166666666659</v>
      </c>
      <c r="AO49" s="68" t="str">
        <f>AA49</f>
        <v>A(1)=</v>
      </c>
      <c r="AP49" s="68" t="e">
        <f>VLOOKUP(AO49,Rise_Results,2,FALSE)</f>
        <v>#N/A</v>
      </c>
      <c r="AQ49" s="76">
        <f>N49</f>
        <v>36.416666666666664</v>
      </c>
      <c r="AR49" s="76" t="e">
        <f>IF(OR(AB49&lt;=0,AB50&lt;=0),1/0,AB49)</f>
        <v>#VALUE!</v>
      </c>
      <c r="AS49" s="76">
        <f>AM49</f>
        <v>36.399166666666659</v>
      </c>
      <c r="AT49">
        <f>IFERROR(AP49,IFERROR(AQ49,IFERROR(AR49,AS49)))</f>
        <v>36.416666666666664</v>
      </c>
      <c r="AU49" s="81"/>
    </row>
    <row r="50" spans="1:47" x14ac:dyDescent="0.25">
      <c r="A50" s="84">
        <f>A49+1</f>
        <v>5</v>
      </c>
      <c r="B50" s="84">
        <f t="shared" si="11"/>
        <v>1</v>
      </c>
      <c r="F50" s="82">
        <f>SUM(F47:F49)</f>
        <v>57.819999999999993</v>
      </c>
      <c r="H50" s="82">
        <f>SUM(H47:H49)</f>
        <v>43.525000000000006</v>
      </c>
      <c r="I50" s="84" t="str">
        <f>CONCATENATE("m'(",C49,")=")</f>
        <v>m'(1)=</v>
      </c>
      <c r="J50" s="84">
        <f>2*(J47*(WLS))/3*H50</f>
        <v>29.016666666666669</v>
      </c>
      <c r="K50" s="84" t="str">
        <f>CONCATENATE("M(",C47,")=")</f>
        <v>M(0.5)=</v>
      </c>
      <c r="L50" s="84">
        <f>VLOOKUP(C47,STN_TABLE,4,FALSE)</f>
        <v>8.85</v>
      </c>
      <c r="M50" t="str">
        <f>CONCATENATE("M(",C49,")=")</f>
        <v>M(1)=</v>
      </c>
      <c r="N50">
        <f>J50+L50</f>
        <v>37.866666666666667</v>
      </c>
      <c r="O50" s="99">
        <f>O49+1</f>
        <v>7</v>
      </c>
      <c r="P50" s="99">
        <f t="shared" si="10"/>
        <v>3</v>
      </c>
      <c r="T50" s="89" t="e">
        <f>SUM(T47:T49)</f>
        <v>#N/A</v>
      </c>
      <c r="V50" s="82" t="e">
        <f>SUM(V47:V49)</f>
        <v>#N/A</v>
      </c>
      <c r="W50" s="84" t="str">
        <f>CONCATENATE("m'(",Q48,")=")</f>
        <v>m'(1)=</v>
      </c>
      <c r="X50" s="84" t="e">
        <f>(2*(X47^2)/24*V50)+(X49*Q47*WLS)</f>
        <v>#VALUE!</v>
      </c>
      <c r="Y50" s="84" t="str">
        <f>CONCATENATE("M(",Q47,")=")</f>
        <v>M(-)=</v>
      </c>
      <c r="Z50" s="84" t="e">
        <f>VLOOKUP(Q47,STN_TABLE,4,FALSE)</f>
        <v>#N/A</v>
      </c>
      <c r="AA50" t="str">
        <f>CONCATENATE("M(",Q48,")=")</f>
        <v>M(1)=</v>
      </c>
      <c r="AB50" t="e">
        <f>X50+Z50</f>
        <v>#VALUE!</v>
      </c>
      <c r="AE50" s="89">
        <f>SUM(AE48:AE49)</f>
        <v>19.57</v>
      </c>
      <c r="AG50" s="89">
        <f>SUM(AG48:AG49)</f>
        <v>29.48</v>
      </c>
      <c r="AH50" s="84" t="str">
        <f>CONCATENATE("m'(",AD49,")=")</f>
        <v>m'(1)=</v>
      </c>
      <c r="AI50" s="84">
        <f>(2*(AI47^2)/6*AG50)+(AI49*AD48*WLS)</f>
        <v>17.134166666666665</v>
      </c>
      <c r="AJ50" s="84" t="str">
        <f>CONCATENATE("M(",AD48,")=")</f>
        <v>M(0.75)=</v>
      </c>
      <c r="AK50" s="84">
        <f>VLOOKUP(AD48,STN_TABLE,4,FALSE)</f>
        <v>20.711874999999999</v>
      </c>
      <c r="AL50" t="str">
        <f>CONCATENATE("M(",AD49,")=")</f>
        <v>M(1)=</v>
      </c>
      <c r="AM50">
        <f>AI50+AK50</f>
        <v>37.846041666666665</v>
      </c>
      <c r="AO50" s="82" t="str">
        <f>AA50</f>
        <v>M(1)=</v>
      </c>
      <c r="AP50" s="82" t="e">
        <f>VLOOKUP(AO50,Rise_Results,2,FALSE)</f>
        <v>#N/A</v>
      </c>
      <c r="AQ50" s="82">
        <f>N50</f>
        <v>37.866666666666667</v>
      </c>
      <c r="AR50" s="82" t="e">
        <f>IF(OR(AB49&lt;=0,AB50&lt;=0),1/0,AB50)</f>
        <v>#VALUE!</v>
      </c>
      <c r="AS50" s="82">
        <f>AM50</f>
        <v>37.846041666666665</v>
      </c>
      <c r="AT50">
        <f>IFERROR(AP50,IFERROR(AQ50,IFERROR(AR50,AS50)))</f>
        <v>37.866666666666667</v>
      </c>
      <c r="AU50" s="81"/>
    </row>
    <row r="51" spans="1:47" x14ac:dyDescent="0.25">
      <c r="A51" s="101">
        <f>A46+1</f>
        <v>2</v>
      </c>
      <c r="B51" s="101">
        <f t="shared" si="11"/>
        <v>0.25</v>
      </c>
      <c r="O51" s="101">
        <f>O46+1</f>
        <v>4</v>
      </c>
      <c r="P51" s="101">
        <f t="shared" si="10"/>
        <v>0.75</v>
      </c>
      <c r="AU51" s="81"/>
    </row>
    <row r="52" spans="1:47" x14ac:dyDescent="0.25">
      <c r="A52" s="84">
        <f>A51+1</f>
        <v>3</v>
      </c>
      <c r="B52" s="84">
        <f t="shared" si="11"/>
        <v>0.5</v>
      </c>
      <c r="C52" s="79" t="str">
        <f t="shared" ref="C52" si="12">IF(C53=B54,IF(C54-C53=C53-B53,B53,IF(C54-C53=C53-B52,B52,"#NA")),IF(C53=B53,IF(C54-C53=C53-B52,B52,IF(C54-C53=C53-B51,B51,"#NA")),"#NA"))</f>
        <v>#NA</v>
      </c>
      <c r="D52" s="68" t="e">
        <f>VLOOKUP(C52,STN_TABLE,2,FALSE)</f>
        <v>#N/A</v>
      </c>
      <c r="E52" s="102">
        <v>1</v>
      </c>
      <c r="F52" s="68" t="e">
        <f>D52*E52</f>
        <v>#N/A</v>
      </c>
      <c r="G52" s="69" t="str">
        <f>C52</f>
        <v>#NA</v>
      </c>
      <c r="H52" s="69" t="e">
        <f>F52*G52</f>
        <v>#N/A</v>
      </c>
      <c r="I52" s="6" t="s">
        <v>93</v>
      </c>
      <c r="J52" s="70" t="e">
        <f>IF(OR(D52=0,D53=0,D54=0),"#NA",IF(AND(C54-C53=C53-C52,C53&lt;&gt;C54,C52&lt;&gt;C53,C52&lt;&gt;C54,D54&lt;&gt;0,OR(D52&lt;&gt;0,D53&lt;&gt;0)),WLS*(C54-C53),"#NA"))</f>
        <v>#N/A</v>
      </c>
      <c r="O52" s="99">
        <f>O51+1</f>
        <v>5</v>
      </c>
      <c r="P52" s="99">
        <f t="shared" si="10"/>
        <v>1</v>
      </c>
      <c r="Q52" s="68">
        <f>IF(OR(P54-P53=P53-P52,P55-P53=P53-P52),P52,IF(OR(P54-P53=P53-P51,P55-P53=P53-P51),P51,"-"))</f>
        <v>1</v>
      </c>
      <c r="R52" s="69">
        <f>VLOOKUP(Q52,STN_TABLE,2,FALSE)</f>
        <v>9.91</v>
      </c>
      <c r="S52" s="69">
        <v>5</v>
      </c>
      <c r="T52" s="68">
        <f>R52*S52</f>
        <v>49.55</v>
      </c>
      <c r="U52" s="79">
        <v>3</v>
      </c>
      <c r="V52" s="68">
        <f>R52*U52</f>
        <v>29.73</v>
      </c>
      <c r="W52" s="6" t="s">
        <v>93</v>
      </c>
      <c r="X52" s="70">
        <f>IF(AND(Q54-Q53=Q53-Q52,NOT(AND(Q52=0,Q53=0)),NOT(AND(Q53=0,Q54=0))),WLS*(Q54-Q53),"#NA")</f>
        <v>2</v>
      </c>
      <c r="AD52" s="93"/>
      <c r="AH52" s="6" t="s">
        <v>93</v>
      </c>
      <c r="AI52" s="70">
        <f>WLS*(AD54-AD53)</f>
        <v>2</v>
      </c>
      <c r="AU52" s="81"/>
    </row>
    <row r="53" spans="1:47" x14ac:dyDescent="0.25">
      <c r="A53" s="84">
        <f>A52+1</f>
        <v>4</v>
      </c>
      <c r="B53" s="84">
        <f t="shared" si="11"/>
        <v>0.75</v>
      </c>
      <c r="C53" s="80" t="str">
        <f t="shared" ref="C53" si="13">IF(OR(B55-B54=B54-B53,B55-B54=B54-B52,B55-B54=B54-B51),B54,IF(OR(B55-B53=B53-B52,B55-B53=B53-B51),B53,IF(B55-B52=B52-B51,B52,"#NA")))</f>
        <v>#NA</v>
      </c>
      <c r="D53" s="76" t="e">
        <f>VLOOKUP(C53,STN_TABLE,2,FALSE)</f>
        <v>#N/A</v>
      </c>
      <c r="E53" s="81">
        <v>4</v>
      </c>
      <c r="F53" s="76" t="e">
        <f>D53*E53</f>
        <v>#N/A</v>
      </c>
      <c r="G53" s="77" t="str">
        <f>C53</f>
        <v>#NA</v>
      </c>
      <c r="H53" s="77" t="e">
        <f>F53*G53</f>
        <v>#N/A</v>
      </c>
      <c r="I53" s="495" t="s">
        <v>97</v>
      </c>
      <c r="J53" s="496"/>
      <c r="K53" s="78" t="s">
        <v>98</v>
      </c>
      <c r="L53" s="78"/>
      <c r="M53" s="7" t="s">
        <v>99</v>
      </c>
      <c r="N53" s="7"/>
      <c r="O53" s="99">
        <f>O52+1</f>
        <v>6</v>
      </c>
      <c r="P53" s="99">
        <f t="shared" si="10"/>
        <v>2</v>
      </c>
      <c r="Q53" s="76">
        <f>P53</f>
        <v>2</v>
      </c>
      <c r="R53" s="77">
        <f>VLOOKUP(Q53,STN_TABLE,2,FALSE)</f>
        <v>10.5</v>
      </c>
      <c r="S53" s="77">
        <v>8</v>
      </c>
      <c r="T53" s="76">
        <f>R53*S53</f>
        <v>84</v>
      </c>
      <c r="U53" s="80">
        <v>10</v>
      </c>
      <c r="V53" s="76">
        <f>R53*U53</f>
        <v>105</v>
      </c>
      <c r="W53" s="496" t="s">
        <v>97</v>
      </c>
      <c r="X53" s="496"/>
      <c r="Y53" s="496" t="s">
        <v>98</v>
      </c>
      <c r="Z53" s="496"/>
      <c r="AA53" s="494" t="s">
        <v>99</v>
      </c>
      <c r="AB53" s="494"/>
      <c r="AC53" s="99">
        <f>AC48+1</f>
        <v>5</v>
      </c>
      <c r="AD53" s="95">
        <f>VLOOKUP(AC53,STN_TABLE_2,2,FALSE)</f>
        <v>1</v>
      </c>
      <c r="AE53" s="68">
        <f>VLOOKUP(AD53,STN_TABLE,2,FALSE)</f>
        <v>9.91</v>
      </c>
      <c r="AF53" s="68">
        <v>1</v>
      </c>
      <c r="AG53" s="69">
        <f>AE53*AF53</f>
        <v>9.91</v>
      </c>
      <c r="AH53" s="496" t="s">
        <v>97</v>
      </c>
      <c r="AI53" s="496"/>
      <c r="AJ53" s="496" t="s">
        <v>98</v>
      </c>
      <c r="AK53" s="496"/>
      <c r="AL53" s="494" t="s">
        <v>99</v>
      </c>
      <c r="AM53" s="494"/>
      <c r="AP53" s="86" t="s">
        <v>112</v>
      </c>
      <c r="AQ53" s="89" t="s">
        <v>113</v>
      </c>
      <c r="AR53" s="89" t="s">
        <v>114</v>
      </c>
      <c r="AS53" s="89" t="s">
        <v>115</v>
      </c>
      <c r="AU53" s="81"/>
    </row>
    <row r="54" spans="1:47" x14ac:dyDescent="0.25">
      <c r="A54" s="84">
        <f>A53+1</f>
        <v>5</v>
      </c>
      <c r="B54" s="84">
        <f t="shared" si="11"/>
        <v>1</v>
      </c>
      <c r="C54" s="88">
        <f t="shared" ref="C54" si="14">B55</f>
        <v>2</v>
      </c>
      <c r="D54" s="82">
        <f>VLOOKUP(C54,STN_TABLE,2,FALSE)</f>
        <v>10.5</v>
      </c>
      <c r="E54" s="92">
        <v>1</v>
      </c>
      <c r="F54" s="82">
        <f>D54*E54</f>
        <v>10.5</v>
      </c>
      <c r="G54" s="83">
        <f>C54</f>
        <v>2</v>
      </c>
      <c r="H54" s="83">
        <f>F54*G54</f>
        <v>21</v>
      </c>
      <c r="I54" s="84" t="str">
        <f>CONCATENATE("a'(",C54,")=")</f>
        <v>a'(2)=</v>
      </c>
      <c r="J54" s="84" t="e">
        <f>2*J52/3*F55</f>
        <v>#N/A</v>
      </c>
      <c r="K54" s="84" t="str">
        <f>CONCATENATE("A(",C52,")=")</f>
        <v>A(#NA)=</v>
      </c>
      <c r="L54" s="84" t="e">
        <f>VLOOKUP(C52,STN_TABLE,3,FALSE)</f>
        <v>#N/A</v>
      </c>
      <c r="M54" t="str">
        <f>CONCATENATE("A(",C54,")=")</f>
        <v>A(2)=</v>
      </c>
      <c r="N54" t="e">
        <f>J54+L54</f>
        <v>#N/A</v>
      </c>
      <c r="O54" s="99">
        <f>O53+1</f>
        <v>7</v>
      </c>
      <c r="P54" s="99">
        <f t="shared" si="10"/>
        <v>3</v>
      </c>
      <c r="Q54" s="82">
        <f>IF(P54-P53=P53-P52,P54,IF(P55-P53=P53-P52,P55,IF(P54-P53=P53-P51,P54,IF(P55-P53=P53-P51,P55,"-"))))</f>
        <v>3</v>
      </c>
      <c r="R54" s="83">
        <f>VLOOKUP(Q54,STN_TABLE,2,FALSE)</f>
        <v>10.7</v>
      </c>
      <c r="S54" s="83">
        <v>-1</v>
      </c>
      <c r="T54" s="82">
        <f>R54*S54</f>
        <v>-10.7</v>
      </c>
      <c r="U54" s="88">
        <v>-1</v>
      </c>
      <c r="V54" s="82">
        <f>R54*U54</f>
        <v>-10.7</v>
      </c>
      <c r="W54" s="84" t="str">
        <f>CONCATENATE("a'(",Q53,")=")</f>
        <v>a'(2)=</v>
      </c>
      <c r="X54" s="84">
        <f>2*X52/12*T55</f>
        <v>40.950000000000003</v>
      </c>
      <c r="Y54" s="84" t="str">
        <f>CONCATENATE("A(",Q52,")=")</f>
        <v>A(1)=</v>
      </c>
      <c r="Z54" s="84">
        <f>VLOOKUP(Q52,STN_TABLE,3,FALSE)</f>
        <v>36.416666666666664</v>
      </c>
      <c r="AA54" t="str">
        <f>CONCATENATE("A(",Q53,")=")</f>
        <v>A(2)=</v>
      </c>
      <c r="AB54">
        <f>X54+Z54</f>
        <v>77.366666666666674</v>
      </c>
      <c r="AC54" s="99">
        <f>AC53+1</f>
        <v>6</v>
      </c>
      <c r="AD54" s="100">
        <f>VLOOKUP(AC54,STN_TABLE_2,2,FALSE)</f>
        <v>2</v>
      </c>
      <c r="AE54" s="82">
        <f>VLOOKUP(AD54,STN_TABLE,2,FALSE)</f>
        <v>10.5</v>
      </c>
      <c r="AF54" s="82">
        <v>2</v>
      </c>
      <c r="AG54" s="83">
        <f>AE54*AF54</f>
        <v>21</v>
      </c>
      <c r="AH54" s="84" t="str">
        <f>CONCATENATE("a'(",AD54,")=")</f>
        <v>a'(2)=</v>
      </c>
      <c r="AI54" s="84">
        <f>2*AI52/2*AE55</f>
        <v>40.82</v>
      </c>
      <c r="AJ54" s="84" t="str">
        <f>CONCATENATE("A(",AD53,")=")</f>
        <v>A(1)=</v>
      </c>
      <c r="AK54" s="84">
        <f>VLOOKUP(AD53,STN_TABLE,3,FALSE)</f>
        <v>36.416666666666664</v>
      </c>
      <c r="AL54" t="str">
        <f>CONCATENATE("A(",AD54,")=")</f>
        <v>A(2)=</v>
      </c>
      <c r="AM54">
        <f>AI54+AK54</f>
        <v>77.236666666666665</v>
      </c>
      <c r="AO54" s="68" t="str">
        <f>AA54</f>
        <v>A(2)=</v>
      </c>
      <c r="AP54" s="68" t="e">
        <f>VLOOKUP(AO54,Rise_Results,2,FALSE)</f>
        <v>#N/A</v>
      </c>
      <c r="AQ54" s="76" t="e">
        <f>N54</f>
        <v>#N/A</v>
      </c>
      <c r="AR54" s="76">
        <f>IF(OR(AB54&lt;=0,AB55&lt;=0),1/0,AB54)</f>
        <v>77.366666666666674</v>
      </c>
      <c r="AS54" s="76">
        <f>AM54</f>
        <v>77.236666666666665</v>
      </c>
      <c r="AT54">
        <f>IFERROR(AP54,IFERROR(AQ54,IFERROR(AR54,AS54)))</f>
        <v>77.366666666666674</v>
      </c>
      <c r="AU54" s="81"/>
    </row>
    <row r="55" spans="1:47" x14ac:dyDescent="0.25">
      <c r="A55" s="84">
        <f>A54+1</f>
        <v>6</v>
      </c>
      <c r="B55" s="84">
        <f t="shared" si="11"/>
        <v>2</v>
      </c>
      <c r="F55" s="82" t="e">
        <f>SUM(F52:F54)</f>
        <v>#N/A</v>
      </c>
      <c r="H55" s="82" t="e">
        <f>SUM(H52:H54)</f>
        <v>#N/A</v>
      </c>
      <c r="I55" s="84" t="str">
        <f>CONCATENATE("m'(",C54,")=")</f>
        <v>m'(2)=</v>
      </c>
      <c r="J55" s="84" t="e">
        <f>2*(J52*(WLS))/3*H55</f>
        <v>#N/A</v>
      </c>
      <c r="K55" s="84" t="str">
        <f>CONCATENATE("M(",C52,")=")</f>
        <v>M(#NA)=</v>
      </c>
      <c r="L55" s="84" t="e">
        <f>VLOOKUP(C52,STN_TABLE,4,FALSE)</f>
        <v>#N/A</v>
      </c>
      <c r="M55" t="str">
        <f>CONCATENATE("M(",C54,")=")</f>
        <v>M(2)=</v>
      </c>
      <c r="N55" t="e">
        <f>J55+L55</f>
        <v>#N/A</v>
      </c>
      <c r="O55" s="99">
        <f>O54+1</f>
        <v>8</v>
      </c>
      <c r="P55" s="99">
        <f t="shared" si="10"/>
        <v>4</v>
      </c>
      <c r="T55" s="89">
        <f>SUM(T52:T54)</f>
        <v>122.85000000000001</v>
      </c>
      <c r="V55" s="82">
        <f>SUM(V52:V54)</f>
        <v>124.02999999999999</v>
      </c>
      <c r="W55" s="84" t="str">
        <f>CONCATENATE("m'(",Q53,")=")</f>
        <v>m'(2)=</v>
      </c>
      <c r="X55" s="84">
        <f>(2*(X52^2)/24*V55)+(X54*Q52*WLS)</f>
        <v>123.24333333333334</v>
      </c>
      <c r="Y55" s="84" t="str">
        <f>CONCATENATE("M(",Q52,")=")</f>
        <v>M(1)=</v>
      </c>
      <c r="Z55" s="84">
        <f>VLOOKUP(Q52,STN_TABLE,4,FALSE)</f>
        <v>37.866666666666667</v>
      </c>
      <c r="AA55" t="str">
        <f>CONCATENATE("M(",Q53,")=")</f>
        <v>M(2)=</v>
      </c>
      <c r="AB55">
        <f>X55+Z55</f>
        <v>161.11000000000001</v>
      </c>
      <c r="AE55" s="89">
        <f>SUM(AE53:AE54)</f>
        <v>20.41</v>
      </c>
      <c r="AG55" s="89">
        <f>SUM(AG53:AG54)</f>
        <v>30.91</v>
      </c>
      <c r="AH55" s="84" t="str">
        <f>CONCATENATE("m'(",AD54,")=")</f>
        <v>m'(2)=</v>
      </c>
      <c r="AI55" s="84">
        <f>(2*(AI52^2)/6*AG55)+(AI54*AD53*WLS)</f>
        <v>122.85333333333332</v>
      </c>
      <c r="AJ55" s="84" t="str">
        <f>CONCATENATE("M(",AD53,")=")</f>
        <v>M(1)=</v>
      </c>
      <c r="AK55" s="84">
        <f>VLOOKUP(AD53,STN_TABLE,4,FALSE)</f>
        <v>37.866666666666667</v>
      </c>
      <c r="AL55" t="str">
        <f>CONCATENATE("M(",AD54,")=")</f>
        <v>M(2)=</v>
      </c>
      <c r="AM55">
        <f>AI55+AK55</f>
        <v>160.72</v>
      </c>
      <c r="AO55" s="82" t="str">
        <f>AA55</f>
        <v>M(2)=</v>
      </c>
      <c r="AP55" s="82" t="e">
        <f>VLOOKUP(AO55,Rise_Results,2,FALSE)</f>
        <v>#N/A</v>
      </c>
      <c r="AQ55" s="82" t="e">
        <f>N55</f>
        <v>#N/A</v>
      </c>
      <c r="AR55" s="82">
        <f>IF(OR(AB54&lt;=0,AB55&lt;=0),1/0,AB55)</f>
        <v>161.11000000000001</v>
      </c>
      <c r="AS55" s="82">
        <f>AM55</f>
        <v>160.72</v>
      </c>
      <c r="AT55">
        <f>IFERROR(AP55,IFERROR(AQ55,IFERROR(AR55,AS55)))</f>
        <v>161.11000000000001</v>
      </c>
      <c r="AU55" s="81"/>
    </row>
    <row r="56" spans="1:47" x14ac:dyDescent="0.25">
      <c r="A56" s="101">
        <f>A51+1</f>
        <v>3</v>
      </c>
      <c r="B56" s="101">
        <f t="shared" si="11"/>
        <v>0.5</v>
      </c>
      <c r="O56" s="101">
        <f>O51+1</f>
        <v>5</v>
      </c>
      <c r="P56" s="101">
        <f t="shared" si="10"/>
        <v>1</v>
      </c>
      <c r="AU56" s="81"/>
    </row>
    <row r="57" spans="1:47" x14ac:dyDescent="0.25">
      <c r="A57" s="84">
        <f>A56+1</f>
        <v>4</v>
      </c>
      <c r="B57" s="84">
        <f t="shared" si="11"/>
        <v>0.75</v>
      </c>
      <c r="C57" s="79">
        <f t="shared" ref="C57" si="15">IF(C58=B59,IF(C59-C58=C58-B58,B58,IF(C59-C58=C58-B57,B57,"#NA")),IF(C58=B58,IF(C59-C58=C58-B57,B57,IF(C59-C58=C58-B56,B56,"#NA")),"#NA"))</f>
        <v>1</v>
      </c>
      <c r="D57" s="68">
        <f>VLOOKUP(C57,STN_TABLE,2,FALSE)</f>
        <v>9.91</v>
      </c>
      <c r="E57" s="102">
        <v>1</v>
      </c>
      <c r="F57" s="68">
        <f>D57*E57</f>
        <v>9.91</v>
      </c>
      <c r="G57" s="69">
        <f>C57</f>
        <v>1</v>
      </c>
      <c r="H57" s="69">
        <f>F57*G57</f>
        <v>9.91</v>
      </c>
      <c r="I57" s="6" t="s">
        <v>93</v>
      </c>
      <c r="J57" s="70">
        <f>IF(OR(D57=0,D58=0,D59=0),"#NA",IF(AND(C59-C58=C58-C57,C58&lt;&gt;C59,C57&lt;&gt;C58,C57&lt;&gt;C59,D59&lt;&gt;0,OR(D57&lt;&gt;0,D58&lt;&gt;0)),WLS*(C59-C58),"#NA"))</f>
        <v>2</v>
      </c>
      <c r="O57" s="99">
        <f>O56+1</f>
        <v>6</v>
      </c>
      <c r="P57" s="99">
        <f t="shared" si="10"/>
        <v>2</v>
      </c>
      <c r="Q57" s="68">
        <f>IF(OR(P59-P58=P58-P57,P60-P58=P58-P57),P57,IF(OR(P59-P58=P58-P56,P60-P58=P58-P56),P56,"-"))</f>
        <v>2</v>
      </c>
      <c r="R57" s="69">
        <f>VLOOKUP(Q57,STN_TABLE,2,FALSE)</f>
        <v>10.5</v>
      </c>
      <c r="S57" s="69">
        <v>5</v>
      </c>
      <c r="T57" s="68">
        <f>R57*S57</f>
        <v>52.5</v>
      </c>
      <c r="U57" s="79">
        <v>3</v>
      </c>
      <c r="V57" s="68">
        <f>R57*U57</f>
        <v>31.5</v>
      </c>
      <c r="W57" s="6" t="s">
        <v>93</v>
      </c>
      <c r="X57" s="70">
        <f>IF(AND(Q59-Q58=Q58-Q57,NOT(AND(Q57=0,Q58=0)),NOT(AND(Q58=0,Q59=0))),WLS*(Q59-Q58),"#NA")</f>
        <v>2</v>
      </c>
      <c r="AD57" s="93"/>
      <c r="AH57" s="6" t="s">
        <v>93</v>
      </c>
      <c r="AI57" s="70">
        <f>WLS*(AD59-AD58)</f>
        <v>2</v>
      </c>
      <c r="AU57" s="81"/>
    </row>
    <row r="58" spans="1:47" x14ac:dyDescent="0.25">
      <c r="A58" s="84">
        <f>A57+1</f>
        <v>5</v>
      </c>
      <c r="B58" s="84">
        <f t="shared" si="11"/>
        <v>1</v>
      </c>
      <c r="C58" s="80">
        <f t="shared" ref="C58" si="16">IF(OR(B60-B59=B59-B58,B60-B59=B59-B57,B60-B59=B59-B56),B59,IF(OR(B60-B58=B58-B57,B60-B58=B58-B56),B58,IF(B60-B57=B57-B56,B57,"#NA")))</f>
        <v>2</v>
      </c>
      <c r="D58" s="76">
        <f>VLOOKUP(C58,STN_TABLE,2,FALSE)</f>
        <v>10.5</v>
      </c>
      <c r="E58" s="81">
        <v>4</v>
      </c>
      <c r="F58" s="76">
        <f>D58*E58</f>
        <v>42</v>
      </c>
      <c r="G58" s="77">
        <f>C58</f>
        <v>2</v>
      </c>
      <c r="H58" s="77">
        <f>F58*G58</f>
        <v>84</v>
      </c>
      <c r="I58" s="495" t="s">
        <v>97</v>
      </c>
      <c r="J58" s="496"/>
      <c r="K58" s="78" t="s">
        <v>98</v>
      </c>
      <c r="L58" s="78"/>
      <c r="M58" s="7" t="s">
        <v>99</v>
      </c>
      <c r="N58" s="7"/>
      <c r="O58" s="99">
        <f>O57+1</f>
        <v>7</v>
      </c>
      <c r="P58" s="99">
        <f t="shared" si="10"/>
        <v>3</v>
      </c>
      <c r="Q58" s="76">
        <f>P58</f>
        <v>3</v>
      </c>
      <c r="R58" s="77">
        <f>VLOOKUP(Q58,STN_TABLE,2,FALSE)</f>
        <v>10.7</v>
      </c>
      <c r="S58" s="77">
        <v>8</v>
      </c>
      <c r="T58" s="76">
        <f>R58*S58</f>
        <v>85.6</v>
      </c>
      <c r="U58" s="80">
        <v>10</v>
      </c>
      <c r="V58" s="76">
        <f>R58*U58</f>
        <v>107</v>
      </c>
      <c r="W58" s="78" t="s">
        <v>97</v>
      </c>
      <c r="X58" s="78"/>
      <c r="Y58" s="78" t="s">
        <v>98</v>
      </c>
      <c r="Z58" s="78"/>
      <c r="AA58" s="7" t="s">
        <v>99</v>
      </c>
      <c r="AB58" s="7"/>
      <c r="AC58" s="99">
        <f>AC53+1</f>
        <v>6</v>
      </c>
      <c r="AD58" s="95">
        <f>VLOOKUP(AC58,STN_TABLE_2,2,FALSE)</f>
        <v>2</v>
      </c>
      <c r="AE58" s="68">
        <f>VLOOKUP(AD58,STN_TABLE,2,FALSE)</f>
        <v>10.5</v>
      </c>
      <c r="AF58" s="68">
        <v>1</v>
      </c>
      <c r="AG58" s="69">
        <f>AE58*AF58</f>
        <v>10.5</v>
      </c>
      <c r="AH58" s="496" t="s">
        <v>97</v>
      </c>
      <c r="AI58" s="496"/>
      <c r="AJ58" s="496" t="s">
        <v>98</v>
      </c>
      <c r="AK58" s="496"/>
      <c r="AL58" s="494" t="s">
        <v>99</v>
      </c>
      <c r="AM58" s="494"/>
      <c r="AP58" s="86" t="s">
        <v>112</v>
      </c>
      <c r="AQ58" s="89" t="s">
        <v>113</v>
      </c>
      <c r="AR58" s="89" t="s">
        <v>114</v>
      </c>
      <c r="AS58" s="89" t="s">
        <v>115</v>
      </c>
      <c r="AU58" s="81"/>
    </row>
    <row r="59" spans="1:47" x14ac:dyDescent="0.25">
      <c r="A59" s="84">
        <f>A58+1</f>
        <v>6</v>
      </c>
      <c r="B59" s="84">
        <f t="shared" si="11"/>
        <v>2</v>
      </c>
      <c r="C59" s="88">
        <f t="shared" ref="C59" si="17">B60</f>
        <v>3</v>
      </c>
      <c r="D59" s="82">
        <f>VLOOKUP(C59,STN_TABLE,2,FALSE)</f>
        <v>10.7</v>
      </c>
      <c r="E59" s="92">
        <v>1</v>
      </c>
      <c r="F59" s="82">
        <f>D59*E59</f>
        <v>10.7</v>
      </c>
      <c r="G59" s="83">
        <f>C59</f>
        <v>3</v>
      </c>
      <c r="H59" s="83">
        <f>F59*G59</f>
        <v>32.099999999999994</v>
      </c>
      <c r="I59" s="84" t="str">
        <f>CONCATENATE("a'(",C59,")=")</f>
        <v>a'(3)=</v>
      </c>
      <c r="J59" s="84">
        <f>2*J57/3*F60</f>
        <v>83.47999999999999</v>
      </c>
      <c r="K59" s="84" t="str">
        <f>CONCATENATE("A(",C57,")=")</f>
        <v>A(1)=</v>
      </c>
      <c r="L59" s="84">
        <f>VLOOKUP(C57,STN_TABLE,3,FALSE)</f>
        <v>36.416666666666664</v>
      </c>
      <c r="M59" t="str">
        <f>CONCATENATE("A(",C59,")=")</f>
        <v>A(3)=</v>
      </c>
      <c r="N59">
        <f>J59+L59</f>
        <v>119.89666666666665</v>
      </c>
      <c r="O59" s="99">
        <f>O58+1</f>
        <v>8</v>
      </c>
      <c r="P59" s="99">
        <f t="shared" si="10"/>
        <v>4</v>
      </c>
      <c r="Q59" s="82">
        <f>IF(P59-P58=P58-P57,P59,IF(P60-P58=P58-P57,P60,IF(P59-P58=P58-P56,P59,IF(P60-P58=P58-P56,P60,"-"))))</f>
        <v>4</v>
      </c>
      <c r="R59" s="83">
        <f>VLOOKUP(Q59,STN_TABLE,2,FALSE)</f>
        <v>10.8</v>
      </c>
      <c r="S59" s="83">
        <v>-1</v>
      </c>
      <c r="T59" s="82">
        <f>R59*S59</f>
        <v>-10.8</v>
      </c>
      <c r="U59" s="88">
        <v>-1</v>
      </c>
      <c r="V59" s="82">
        <f>R59*U59</f>
        <v>-10.8</v>
      </c>
      <c r="W59" s="84" t="str">
        <f>CONCATENATE("a'(",Q58,")=")</f>
        <v>a'(3)=</v>
      </c>
      <c r="X59" s="84">
        <f>2*X57/12*T60</f>
        <v>42.43333333333333</v>
      </c>
      <c r="Y59" s="84" t="str">
        <f>CONCATENATE("A(",Q57,")=")</f>
        <v>A(2)=</v>
      </c>
      <c r="Z59" s="84">
        <f>VLOOKUP(Q57,STN_TABLE,3,FALSE)</f>
        <v>77.366666666666674</v>
      </c>
      <c r="AA59" t="str">
        <f>CONCATENATE("A(",Q58,")=")</f>
        <v>A(3)=</v>
      </c>
      <c r="AB59">
        <f>X59+Z59</f>
        <v>119.80000000000001</v>
      </c>
      <c r="AC59" s="99">
        <f>AC58+1</f>
        <v>7</v>
      </c>
      <c r="AD59" s="100">
        <f>VLOOKUP(AC59,STN_TABLE_2,2,FALSE)</f>
        <v>3</v>
      </c>
      <c r="AE59" s="82">
        <f>VLOOKUP(AD59,STN_TABLE,2,FALSE)</f>
        <v>10.7</v>
      </c>
      <c r="AF59" s="82">
        <v>2</v>
      </c>
      <c r="AG59" s="83">
        <f>AE59*AF59</f>
        <v>21.4</v>
      </c>
      <c r="AH59" s="84" t="str">
        <f>CONCATENATE("a'(",AD59,")=")</f>
        <v>a'(3)=</v>
      </c>
      <c r="AI59" s="84">
        <f>2*AI57/2*AE60</f>
        <v>42.4</v>
      </c>
      <c r="AJ59" s="84" t="str">
        <f>CONCATENATE("A(",AD58,")=")</f>
        <v>A(2)=</v>
      </c>
      <c r="AK59" s="84">
        <f>VLOOKUP(AD58,STN_TABLE,3,FALSE)</f>
        <v>77.366666666666674</v>
      </c>
      <c r="AL59" t="str">
        <f>CONCATENATE("A(",AD59,")=")</f>
        <v>A(3)=</v>
      </c>
      <c r="AM59">
        <f>AI59+AK59</f>
        <v>119.76666666666668</v>
      </c>
      <c r="AO59" s="68" t="str">
        <f>AA59</f>
        <v>A(3)=</v>
      </c>
      <c r="AP59" s="68" t="e">
        <f>VLOOKUP(AO59,Rise_Results,2,FALSE)</f>
        <v>#N/A</v>
      </c>
      <c r="AQ59" s="76">
        <f>N59</f>
        <v>119.89666666666665</v>
      </c>
      <c r="AR59" s="76">
        <f>IF(OR(AB59&lt;=0,AB60&lt;=0),1/0,AB59)</f>
        <v>119.80000000000001</v>
      </c>
      <c r="AS59" s="76">
        <f>AM59</f>
        <v>119.76666666666668</v>
      </c>
      <c r="AT59">
        <f>IFERROR(AP59,IFERROR(AQ59,IFERROR(AR59,AS59)))</f>
        <v>119.89666666666665</v>
      </c>
      <c r="AU59" s="81"/>
    </row>
    <row r="60" spans="1:47" x14ac:dyDescent="0.25">
      <c r="A60" s="84">
        <f>A59+1</f>
        <v>7</v>
      </c>
      <c r="B60" s="84">
        <f t="shared" si="11"/>
        <v>3</v>
      </c>
      <c r="F60" s="82">
        <f>SUM(F57:F59)</f>
        <v>62.61</v>
      </c>
      <c r="H60" s="82">
        <f>SUM(H57:H59)</f>
        <v>126.00999999999999</v>
      </c>
      <c r="I60" s="84" t="str">
        <f>CONCATENATE("m'(",C59,")=")</f>
        <v>m'(3)=</v>
      </c>
      <c r="J60" s="84">
        <f>2*(J57*(WLS))/3*H60</f>
        <v>336.02666666666664</v>
      </c>
      <c r="K60" s="84" t="str">
        <f>CONCATENATE("M(",C57,")=")</f>
        <v>M(1)=</v>
      </c>
      <c r="L60" s="84">
        <f>VLOOKUP(C57,STN_TABLE,4,FALSE)</f>
        <v>37.866666666666667</v>
      </c>
      <c r="M60" t="str">
        <f>CONCATENATE("M(",C59,")=")</f>
        <v>M(3)=</v>
      </c>
      <c r="N60">
        <f>J60+L60</f>
        <v>373.89333333333332</v>
      </c>
      <c r="O60" s="99">
        <f>O59+1</f>
        <v>9</v>
      </c>
      <c r="P60" s="99">
        <f t="shared" si="10"/>
        <v>4.8499999999999996</v>
      </c>
      <c r="T60" s="89">
        <f>SUM(T57:T59)</f>
        <v>127.3</v>
      </c>
      <c r="V60" s="82">
        <f>SUM(V57:V59)</f>
        <v>127.7</v>
      </c>
      <c r="W60" s="84" t="str">
        <f>CONCATENATE("m'(",Q58,")=")</f>
        <v>m'(3)=</v>
      </c>
      <c r="X60" s="84">
        <f>(2*(X57^2)/24*V60)+(X59*Q57*WLS)</f>
        <v>212.29999999999998</v>
      </c>
      <c r="Y60" s="84" t="str">
        <f>CONCATENATE("M(",Q57,")=")</f>
        <v>M(2)=</v>
      </c>
      <c r="Z60" s="84">
        <f>VLOOKUP(Q57,STN_TABLE,4,FALSE)</f>
        <v>161.11000000000001</v>
      </c>
      <c r="AA60" t="str">
        <f>CONCATENATE("M(",Q58,")=")</f>
        <v>M(3)=</v>
      </c>
      <c r="AB60">
        <f>X60+Z60</f>
        <v>373.40999999999997</v>
      </c>
      <c r="AE60" s="89">
        <f>SUM(AE58:AE59)</f>
        <v>21.2</v>
      </c>
      <c r="AG60" s="89">
        <f>SUM(AG58:AG59)</f>
        <v>31.9</v>
      </c>
      <c r="AH60" s="84" t="str">
        <f>CONCATENATE("m'(",AD59,")=")</f>
        <v>m'(3)=</v>
      </c>
      <c r="AI60" s="84">
        <f>(2*(AI57^2)/6*AG60)+(AI59*AD58*WLS)</f>
        <v>212.13333333333333</v>
      </c>
      <c r="AJ60" s="84" t="str">
        <f>CONCATENATE("M(",AD58,")=")</f>
        <v>M(2)=</v>
      </c>
      <c r="AK60" s="84">
        <f>VLOOKUP(AD57,STN_TABLE,4,FALSE)</f>
        <v>0</v>
      </c>
      <c r="AL60" t="str">
        <f>CONCATENATE("M(",AD59,")=")</f>
        <v>M(3)=</v>
      </c>
      <c r="AM60">
        <f>AI60+AK60</f>
        <v>212.13333333333333</v>
      </c>
      <c r="AO60" s="82" t="str">
        <f>AA60</f>
        <v>M(3)=</v>
      </c>
      <c r="AP60" s="82" t="e">
        <f>VLOOKUP(AO60,Rise_Results,2,FALSE)</f>
        <v>#N/A</v>
      </c>
      <c r="AQ60" s="82">
        <f>N60</f>
        <v>373.89333333333332</v>
      </c>
      <c r="AR60" s="82">
        <f>IF(OR(AB59&lt;=0,AB60&lt;=0),1/0,AB60)</f>
        <v>373.40999999999997</v>
      </c>
      <c r="AS60" s="82">
        <f>AM60</f>
        <v>212.13333333333333</v>
      </c>
      <c r="AT60">
        <f>IFERROR(AP60,IFERROR(AQ60,IFERROR(AR60,AS60)))</f>
        <v>373.89333333333332</v>
      </c>
      <c r="AU60" s="81"/>
    </row>
    <row r="61" spans="1:47" x14ac:dyDescent="0.25">
      <c r="A61" s="101">
        <f>A56+1</f>
        <v>4</v>
      </c>
      <c r="B61" s="101">
        <f t="shared" si="11"/>
        <v>0.75</v>
      </c>
      <c r="O61" s="101">
        <f>O56+1</f>
        <v>6</v>
      </c>
      <c r="P61" s="101">
        <f t="shared" si="10"/>
        <v>2</v>
      </c>
      <c r="AU61" s="81"/>
    </row>
    <row r="62" spans="1:47" x14ac:dyDescent="0.25">
      <c r="A62" s="84">
        <f>A61+1</f>
        <v>5</v>
      </c>
      <c r="B62" s="84">
        <f t="shared" si="11"/>
        <v>1</v>
      </c>
      <c r="C62" s="79">
        <f t="shared" ref="C62" si="18">IF(C63=B64,IF(C64-C63=C63-B63,B63,IF(C64-C63=C63-B62,B62,"#NA")),IF(C63=B63,IF(C64-C63=C63-B62,B62,IF(C64-C63=C63-B61,B61,"#NA")),"#NA"))</f>
        <v>2</v>
      </c>
      <c r="D62" s="68">
        <f>VLOOKUP(C62,STN_TABLE,2,FALSE)</f>
        <v>10.5</v>
      </c>
      <c r="E62" s="102">
        <v>1</v>
      </c>
      <c r="F62" s="68">
        <f>D62*E62</f>
        <v>10.5</v>
      </c>
      <c r="G62" s="69">
        <f>C62</f>
        <v>2</v>
      </c>
      <c r="H62" s="69">
        <f>F62*G62</f>
        <v>21</v>
      </c>
      <c r="I62" s="6" t="s">
        <v>93</v>
      </c>
      <c r="J62" s="70">
        <f>IF(OR(D62=0,D63=0,D64=0),"#NA",IF(AND(C64-C63=C63-C62,C63&lt;&gt;C64,C62&lt;&gt;C63,C62&lt;&gt;C64,D64&lt;&gt;0,OR(D62&lt;&gt;0,D63&lt;&gt;0)),WLS*(C64-C63),"#NA"))</f>
        <v>2</v>
      </c>
      <c r="O62" s="99">
        <f>O61+1</f>
        <v>7</v>
      </c>
      <c r="P62" s="99">
        <f t="shared" si="10"/>
        <v>3</v>
      </c>
      <c r="Q62" s="68">
        <f>IF(OR(P64-P63=P63-P62,P65-P63=P63-P62),P62,IF(OR(P64-P63=P63-P61,P65-P63=P63-P61),P61,"-"))</f>
        <v>3</v>
      </c>
      <c r="R62" s="69">
        <f>VLOOKUP(Q62,STN_TABLE,2,FALSE)</f>
        <v>10.7</v>
      </c>
      <c r="S62" s="69">
        <v>5</v>
      </c>
      <c r="T62" s="68">
        <f>R62*S62</f>
        <v>53.5</v>
      </c>
      <c r="U62" s="79">
        <v>3</v>
      </c>
      <c r="V62" s="68">
        <f>R62*U62</f>
        <v>32.099999999999994</v>
      </c>
      <c r="W62" s="6" t="s">
        <v>93</v>
      </c>
      <c r="X62" s="70">
        <f>IF(AND(Q64-Q63=Q63-Q62,NOT(AND(Q62=0,Q63=0)),NOT(AND(Q63=0,Q64=0))),WLS*(Q64-Q63),"#NA")</f>
        <v>2</v>
      </c>
      <c r="AD62" s="93"/>
      <c r="AH62" s="6" t="s">
        <v>93</v>
      </c>
      <c r="AI62" s="70">
        <f>WLS*(AD64-AD63)</f>
        <v>2</v>
      </c>
      <c r="AU62" s="81"/>
    </row>
    <row r="63" spans="1:47" x14ac:dyDescent="0.25">
      <c r="A63" s="84">
        <f>A62+1</f>
        <v>6</v>
      </c>
      <c r="B63" s="84">
        <f t="shared" si="11"/>
        <v>2</v>
      </c>
      <c r="C63" s="80">
        <f t="shared" ref="C63" si="19">IF(OR(B65-B64=B64-B63,B65-B64=B64-B62,B65-B64=B64-B61),B64,IF(OR(B65-B63=B63-B62,B65-B63=B63-B61),B63,IF(B65-B62=B62-B61,B62,"#NA")))</f>
        <v>3</v>
      </c>
      <c r="D63" s="76">
        <f>VLOOKUP(C63,STN_TABLE,2,FALSE)</f>
        <v>10.7</v>
      </c>
      <c r="E63" s="81">
        <v>4</v>
      </c>
      <c r="F63" s="76">
        <f>D63*E63</f>
        <v>42.8</v>
      </c>
      <c r="G63" s="77">
        <f>C63</f>
        <v>3</v>
      </c>
      <c r="H63" s="77">
        <f>F63*G63</f>
        <v>128.39999999999998</v>
      </c>
      <c r="I63" s="495" t="s">
        <v>97</v>
      </c>
      <c r="J63" s="496"/>
      <c r="K63" s="78" t="s">
        <v>98</v>
      </c>
      <c r="L63" s="78"/>
      <c r="M63" s="7" t="s">
        <v>99</v>
      </c>
      <c r="N63" s="7"/>
      <c r="O63" s="99">
        <f>O62+1</f>
        <v>8</v>
      </c>
      <c r="P63" s="99">
        <f t="shared" si="10"/>
        <v>4</v>
      </c>
      <c r="Q63" s="76">
        <f>P63</f>
        <v>4</v>
      </c>
      <c r="R63" s="77">
        <f>VLOOKUP(Q63,STN_TABLE,2,FALSE)</f>
        <v>10.8</v>
      </c>
      <c r="S63" s="77">
        <v>8</v>
      </c>
      <c r="T63" s="76">
        <f>R63*S63</f>
        <v>86.4</v>
      </c>
      <c r="U63" s="80">
        <v>10</v>
      </c>
      <c r="V63" s="76">
        <f>R63*U63</f>
        <v>108</v>
      </c>
      <c r="W63" s="496" t="s">
        <v>97</v>
      </c>
      <c r="X63" s="496"/>
      <c r="Y63" s="496" t="s">
        <v>98</v>
      </c>
      <c r="Z63" s="496"/>
      <c r="AA63" s="494" t="s">
        <v>99</v>
      </c>
      <c r="AB63" s="494"/>
      <c r="AC63" s="99">
        <f>AC58+1</f>
        <v>7</v>
      </c>
      <c r="AD63" s="95">
        <f>VLOOKUP(AC63,STN_TABLE_2,2,FALSE)</f>
        <v>3</v>
      </c>
      <c r="AE63" s="68">
        <f>VLOOKUP(AD63,STN_TABLE,2,FALSE)</f>
        <v>10.7</v>
      </c>
      <c r="AF63" s="68">
        <v>1</v>
      </c>
      <c r="AG63" s="69">
        <f>AE63*AF63</f>
        <v>10.7</v>
      </c>
      <c r="AH63" s="496" t="s">
        <v>97</v>
      </c>
      <c r="AI63" s="496"/>
      <c r="AJ63" s="496" t="s">
        <v>98</v>
      </c>
      <c r="AK63" s="496"/>
      <c r="AL63" s="494" t="s">
        <v>99</v>
      </c>
      <c r="AM63" s="494"/>
      <c r="AP63" s="86" t="s">
        <v>112</v>
      </c>
      <c r="AQ63" s="89" t="s">
        <v>113</v>
      </c>
      <c r="AR63" s="89" t="s">
        <v>114</v>
      </c>
      <c r="AS63" s="89" t="s">
        <v>115</v>
      </c>
      <c r="AU63" s="81"/>
    </row>
    <row r="64" spans="1:47" x14ac:dyDescent="0.25">
      <c r="A64" s="84">
        <f>A63+1</f>
        <v>7</v>
      </c>
      <c r="B64" s="84">
        <f t="shared" si="11"/>
        <v>3</v>
      </c>
      <c r="C64" s="88">
        <f t="shared" ref="C64" si="20">B65</f>
        <v>4</v>
      </c>
      <c r="D64" s="82">
        <f>VLOOKUP(C64,STN_TABLE,2,FALSE)</f>
        <v>10.8</v>
      </c>
      <c r="E64" s="92">
        <v>1</v>
      </c>
      <c r="F64" s="82">
        <f>D64*E64</f>
        <v>10.8</v>
      </c>
      <c r="G64" s="83">
        <f>C64</f>
        <v>4</v>
      </c>
      <c r="H64" s="83">
        <f>F64*G64</f>
        <v>43.2</v>
      </c>
      <c r="I64" s="84" t="str">
        <f>CONCATENATE("a'(",C64,")=")</f>
        <v>a'(4)=</v>
      </c>
      <c r="J64" s="84">
        <f>2*J62/3*F65</f>
        <v>85.466666666666654</v>
      </c>
      <c r="K64" s="84" t="str">
        <f>CONCATENATE("A(",C62,")=")</f>
        <v>A(2)=</v>
      </c>
      <c r="L64" s="84">
        <f>VLOOKUP(C62,STN_TABLE,3,FALSE)</f>
        <v>77.366666666666674</v>
      </c>
      <c r="M64" t="str">
        <f>CONCATENATE("A(",C64,")=")</f>
        <v>A(4)=</v>
      </c>
      <c r="N64">
        <f>J64+L64</f>
        <v>162.83333333333331</v>
      </c>
      <c r="O64" s="99">
        <f>O63+1</f>
        <v>9</v>
      </c>
      <c r="P64" s="99">
        <f t="shared" si="10"/>
        <v>4.8499999999999996</v>
      </c>
      <c r="Q64" s="82">
        <f>IF(P64-P63=P63-P62,P64,IF(P65-P63=P63-P62,P65,IF(P64-P63=P63-P61,P64,IF(P65-P63=P63-P61,P65,"-"))))</f>
        <v>5</v>
      </c>
      <c r="R64" s="83">
        <f>VLOOKUP(Q64,STN_TABLE,2,FALSE)</f>
        <v>10.9</v>
      </c>
      <c r="S64" s="83">
        <v>-1</v>
      </c>
      <c r="T64" s="82">
        <f>R64*S64</f>
        <v>-10.9</v>
      </c>
      <c r="U64" s="88">
        <v>-1</v>
      </c>
      <c r="V64" s="82">
        <f>R64*U64</f>
        <v>-10.9</v>
      </c>
      <c r="W64" s="84" t="str">
        <f>CONCATENATE("a'(",Q63,")=")</f>
        <v>a'(4)=</v>
      </c>
      <c r="X64" s="84">
        <f>2*X62/12*T65</f>
        <v>43</v>
      </c>
      <c r="Y64" s="84" t="str">
        <f>CONCATENATE("A(",Q62,")=")</f>
        <v>A(3)=</v>
      </c>
      <c r="Z64" s="84">
        <f>VLOOKUP(Q62,STN_TABLE,3,FALSE)</f>
        <v>119.89666666666665</v>
      </c>
      <c r="AA64" t="str">
        <f>CONCATENATE("A(",Q63,")=")</f>
        <v>A(4)=</v>
      </c>
      <c r="AB64">
        <f>X64+Z64</f>
        <v>162.89666666666665</v>
      </c>
      <c r="AC64" s="99">
        <f>AC63+1</f>
        <v>8</v>
      </c>
      <c r="AD64" s="100">
        <f>VLOOKUP(AC64,STN_TABLE_2,2,FALSE)</f>
        <v>4</v>
      </c>
      <c r="AE64" s="82">
        <f>VLOOKUP(AD64,STN_TABLE,2,FALSE)</f>
        <v>10.8</v>
      </c>
      <c r="AF64" s="82">
        <v>2</v>
      </c>
      <c r="AG64" s="83">
        <f>AE64*AF64</f>
        <v>21.6</v>
      </c>
      <c r="AH64" s="84" t="str">
        <f>CONCATENATE("a'(",AD64,")=")</f>
        <v>a'(4)=</v>
      </c>
      <c r="AI64" s="84">
        <f>2*AI62/2*AE65</f>
        <v>43</v>
      </c>
      <c r="AJ64" s="84" t="str">
        <f>CONCATENATE("A(",AD63,")=")</f>
        <v>A(3)=</v>
      </c>
      <c r="AK64" s="84">
        <f>VLOOKUP(AD63,STN_TABLE,3,FALSE)</f>
        <v>119.89666666666665</v>
      </c>
      <c r="AL64" t="str">
        <f>CONCATENATE("A(",AD64,")=")</f>
        <v>A(4)=</v>
      </c>
      <c r="AM64">
        <f>AI64+AK64</f>
        <v>162.89666666666665</v>
      </c>
      <c r="AO64" s="68" t="str">
        <f>AA64</f>
        <v>A(4)=</v>
      </c>
      <c r="AP64" s="68" t="e">
        <f>VLOOKUP(AO64,Rise_Results,2,FALSE)</f>
        <v>#N/A</v>
      </c>
      <c r="AQ64" s="76">
        <f>N64</f>
        <v>162.83333333333331</v>
      </c>
      <c r="AR64" s="76">
        <f>IF(OR(AB64&lt;=0,AB65&lt;=0),1/0,AB64)</f>
        <v>162.89666666666665</v>
      </c>
      <c r="AS64" s="76">
        <f>AM64</f>
        <v>162.89666666666665</v>
      </c>
      <c r="AT64">
        <f>IFERROR(AP64,IFERROR(AQ64,IFERROR(AR64,AS64)))</f>
        <v>162.83333333333331</v>
      </c>
      <c r="AU64" s="81"/>
    </row>
    <row r="65" spans="1:47" x14ac:dyDescent="0.25">
      <c r="A65" s="84">
        <f>A64+1</f>
        <v>8</v>
      </c>
      <c r="B65" s="84">
        <f t="shared" si="11"/>
        <v>4</v>
      </c>
      <c r="F65" s="82">
        <f>SUM(F62:F64)</f>
        <v>64.099999999999994</v>
      </c>
      <c r="H65" s="82">
        <f>SUM(H62:H64)</f>
        <v>192.59999999999997</v>
      </c>
      <c r="I65" s="84" t="str">
        <f>CONCATENATE("m'(",C64,")=")</f>
        <v>m'(4)=</v>
      </c>
      <c r="J65" s="84">
        <f>2*(J62*(WLS))/3*H65</f>
        <v>513.59999999999991</v>
      </c>
      <c r="K65" s="84" t="str">
        <f>CONCATENATE("M(",C62,")=")</f>
        <v>M(2)=</v>
      </c>
      <c r="L65" s="84">
        <f>VLOOKUP(C62,STN_TABLE,4,FALSE)</f>
        <v>161.11000000000001</v>
      </c>
      <c r="M65" t="str">
        <f>CONCATENATE("M(",C64,")=")</f>
        <v>M(4)=</v>
      </c>
      <c r="N65">
        <f>J65+L65</f>
        <v>674.70999999999992</v>
      </c>
      <c r="O65" s="99">
        <f>O64+1</f>
        <v>10</v>
      </c>
      <c r="P65" s="99">
        <f t="shared" si="10"/>
        <v>5</v>
      </c>
      <c r="T65" s="89">
        <f>SUM(T62:T64)</f>
        <v>129</v>
      </c>
      <c r="V65" s="82">
        <f>SUM(V62:V64)</f>
        <v>129.19999999999999</v>
      </c>
      <c r="W65" s="84" t="str">
        <f>CONCATENATE("m'(",Q63,")=")</f>
        <v>m'(4)=</v>
      </c>
      <c r="X65" s="84">
        <f>(2*(X62^2)/24*V65)+(X64*Q62*WLS)</f>
        <v>301.06666666666666</v>
      </c>
      <c r="Y65" s="84" t="str">
        <f>CONCATENATE("M(",Q62,")=")</f>
        <v>M(3)=</v>
      </c>
      <c r="Z65" s="84">
        <f>VLOOKUP(Q62,STN_TABLE,4,FALSE)</f>
        <v>373.89333333333332</v>
      </c>
      <c r="AA65" t="str">
        <f>CONCATENATE("M(",Q63,")=")</f>
        <v>M(4)=</v>
      </c>
      <c r="AB65">
        <f>X65+Z65</f>
        <v>674.96</v>
      </c>
      <c r="AE65" s="89">
        <f>SUM(AE63:AE64)</f>
        <v>21.5</v>
      </c>
      <c r="AG65" s="89">
        <f>SUM(AG63:AG64)</f>
        <v>32.299999999999997</v>
      </c>
      <c r="AH65" s="84" t="str">
        <f>CONCATENATE("m'(",AD64,")=")</f>
        <v>m'(4)=</v>
      </c>
      <c r="AI65" s="84">
        <f>(2*(AI62^2)/6*AG65)+(AI64*AD63*WLS)</f>
        <v>301.06666666666666</v>
      </c>
      <c r="AJ65" s="84" t="str">
        <f>CONCATENATE("M(",AD63,")=")</f>
        <v>M(3)=</v>
      </c>
      <c r="AK65" s="84">
        <f>VLOOKUP(AD63,STN_TABLE,4,FALSE)</f>
        <v>373.89333333333332</v>
      </c>
      <c r="AL65" t="str">
        <f>CONCATENATE("M(",AD64,")=")</f>
        <v>M(4)=</v>
      </c>
      <c r="AM65">
        <f>AI65+AK65</f>
        <v>674.96</v>
      </c>
      <c r="AO65" s="82" t="str">
        <f>AA65</f>
        <v>M(4)=</v>
      </c>
      <c r="AP65" s="82" t="e">
        <f>VLOOKUP(AO65,Rise_Results,2,FALSE)</f>
        <v>#N/A</v>
      </c>
      <c r="AQ65" s="82">
        <f>N65</f>
        <v>674.70999999999992</v>
      </c>
      <c r="AR65" s="82">
        <f>IF(OR(AB64&lt;=0,AB65&lt;=0),1/0,AB65)</f>
        <v>674.96</v>
      </c>
      <c r="AS65" s="82">
        <f>AM65</f>
        <v>674.96</v>
      </c>
      <c r="AT65">
        <f>IFERROR(AP65,IFERROR(AQ65,IFERROR(AR65,AS65)))</f>
        <v>674.70999999999992</v>
      </c>
      <c r="AU65" s="81"/>
    </row>
    <row r="66" spans="1:47" x14ac:dyDescent="0.25">
      <c r="A66" s="101">
        <f>A61+1</f>
        <v>5</v>
      </c>
      <c r="B66" s="101">
        <f t="shared" si="11"/>
        <v>1</v>
      </c>
      <c r="O66" s="101">
        <f>O61+1</f>
        <v>7</v>
      </c>
      <c r="P66" s="101">
        <f t="shared" si="10"/>
        <v>3</v>
      </c>
      <c r="AU66" s="81"/>
    </row>
    <row r="67" spans="1:47" x14ac:dyDescent="0.25">
      <c r="A67" s="84">
        <f>A66+1</f>
        <v>6</v>
      </c>
      <c r="B67" s="84">
        <f t="shared" si="11"/>
        <v>2</v>
      </c>
      <c r="C67" s="79" t="str">
        <f t="shared" ref="C67" si="21">IF(C68=B69,IF(C69-C68=C68-B68,B68,IF(C69-C68=C68-B67,B67,"#NA")),IF(C68=B68,IF(C69-C68=C68-B67,B67,IF(C69-C68=C68-B66,B66,"#NA")),"#NA"))</f>
        <v>#NA</v>
      </c>
      <c r="D67" s="68" t="e">
        <f>VLOOKUP(C67,STN_TABLE,2,FALSE)</f>
        <v>#N/A</v>
      </c>
      <c r="E67" s="102">
        <v>1</v>
      </c>
      <c r="F67" s="68" t="e">
        <f>D67*E67</f>
        <v>#N/A</v>
      </c>
      <c r="G67" s="69" t="str">
        <f>C67</f>
        <v>#NA</v>
      </c>
      <c r="H67" s="69" t="e">
        <f>F67*G67</f>
        <v>#N/A</v>
      </c>
      <c r="I67" s="6" t="s">
        <v>93</v>
      </c>
      <c r="J67" s="70" t="e">
        <f>IF(OR(D67=0,D68=0,D69=0),"#NA",IF(AND(C69-C68=C68-C67,C68&lt;&gt;C69,C67&lt;&gt;C68,C67&lt;&gt;C69,D69&lt;&gt;0,OR(D67&lt;&gt;0,D68&lt;&gt;0)),WLS*(C69-C68),"#NA"))</f>
        <v>#N/A</v>
      </c>
      <c r="O67" s="99">
        <f>O66+1</f>
        <v>8</v>
      </c>
      <c r="P67" s="99">
        <f t="shared" si="10"/>
        <v>4</v>
      </c>
      <c r="Q67" s="68" t="str">
        <f>IF(OR(P69-P68=P68-P67,P70-P68=P68-P67),P67,IF(OR(P69-P68=P68-P66,P70-P68=P68-P66),P66,"-"))</f>
        <v>-</v>
      </c>
      <c r="R67" s="69" t="e">
        <f>VLOOKUP(Q67,STN_TABLE,2,FALSE)</f>
        <v>#N/A</v>
      </c>
      <c r="S67" s="69">
        <v>5</v>
      </c>
      <c r="T67" s="68" t="e">
        <f>R67*S67</f>
        <v>#N/A</v>
      </c>
      <c r="U67" s="79">
        <v>3</v>
      </c>
      <c r="V67" s="68" t="e">
        <f>R67*U67</f>
        <v>#N/A</v>
      </c>
      <c r="W67" s="6" t="s">
        <v>93</v>
      </c>
      <c r="X67" s="70" t="e">
        <f>IF(AND(Q69-Q68=Q68-Q67,NOT(AND(Q67=0,Q68=0)),NOT(AND(Q68=0,Q69=0))),WLS*(Q69-Q68),"#NA")</f>
        <v>#VALUE!</v>
      </c>
      <c r="AD67" s="93"/>
      <c r="AH67" s="6" t="s">
        <v>93</v>
      </c>
      <c r="AI67" s="70">
        <f>WLS*(AD69-AD68)</f>
        <v>1.6999999999999993</v>
      </c>
      <c r="AU67" s="81"/>
    </row>
    <row r="68" spans="1:47" x14ac:dyDescent="0.25">
      <c r="A68" s="84">
        <f>A67+1</f>
        <v>7</v>
      </c>
      <c r="B68" s="84">
        <f t="shared" si="11"/>
        <v>3</v>
      </c>
      <c r="C68" s="80" t="str">
        <f t="shared" ref="C68" si="22">IF(OR(B70-B69=B69-B68,B70-B69=B69-B67,B70-B69=B69-B66),B69,IF(OR(B70-B68=B68-B67,B70-B68=B68-B66),B68,IF(B70-B67=B67-B66,B67,"#NA")))</f>
        <v>#NA</v>
      </c>
      <c r="D68" s="76" t="e">
        <f>VLOOKUP(C68,STN_TABLE,2,FALSE)</f>
        <v>#N/A</v>
      </c>
      <c r="E68" s="81">
        <v>4</v>
      </c>
      <c r="F68" s="76" t="e">
        <f>D68*E68</f>
        <v>#N/A</v>
      </c>
      <c r="G68" s="77" t="str">
        <f>C68</f>
        <v>#NA</v>
      </c>
      <c r="H68" s="77" t="e">
        <f>F68*G68</f>
        <v>#N/A</v>
      </c>
      <c r="I68" s="495" t="s">
        <v>97</v>
      </c>
      <c r="J68" s="496"/>
      <c r="K68" s="78" t="s">
        <v>98</v>
      </c>
      <c r="L68" s="78"/>
      <c r="M68" s="7" t="s">
        <v>99</v>
      </c>
      <c r="N68" s="7"/>
      <c r="O68" s="99">
        <f>O67+1</f>
        <v>9</v>
      </c>
      <c r="P68" s="99">
        <f t="shared" ref="P68:P99" si="23">VLOOKUP(O68,STN_TABLE_2,2,FALSE)</f>
        <v>4.8499999999999996</v>
      </c>
      <c r="Q68" s="76">
        <f>P68</f>
        <v>4.8499999999999996</v>
      </c>
      <c r="R68" s="77">
        <f>VLOOKUP(Q68,STN_TABLE,2,FALSE)</f>
        <v>10.89</v>
      </c>
      <c r="S68" s="77">
        <v>8</v>
      </c>
      <c r="T68" s="76">
        <f>R68*S68</f>
        <v>87.12</v>
      </c>
      <c r="U68" s="80">
        <v>10</v>
      </c>
      <c r="V68" s="76">
        <f>R68*U68</f>
        <v>108.9</v>
      </c>
      <c r="W68" s="496" t="s">
        <v>97</v>
      </c>
      <c r="X68" s="496"/>
      <c r="Y68" s="496" t="s">
        <v>98</v>
      </c>
      <c r="Z68" s="496"/>
      <c r="AA68" s="494" t="s">
        <v>99</v>
      </c>
      <c r="AB68" s="494"/>
      <c r="AC68" s="99">
        <f>AC63+1</f>
        <v>8</v>
      </c>
      <c r="AD68" s="95">
        <f>VLOOKUP(AC68,STN_TABLE_2,2,FALSE)</f>
        <v>4</v>
      </c>
      <c r="AE68" s="68">
        <f>VLOOKUP(AD68,STN_TABLE,2,FALSE)</f>
        <v>10.8</v>
      </c>
      <c r="AF68" s="68">
        <v>1</v>
      </c>
      <c r="AG68" s="69">
        <f>AE68*AF68</f>
        <v>10.8</v>
      </c>
      <c r="AH68" s="496" t="s">
        <v>97</v>
      </c>
      <c r="AI68" s="496"/>
      <c r="AJ68" s="496" t="s">
        <v>98</v>
      </c>
      <c r="AK68" s="496"/>
      <c r="AL68" s="494" t="s">
        <v>99</v>
      </c>
      <c r="AM68" s="494"/>
      <c r="AP68" s="86" t="s">
        <v>112</v>
      </c>
      <c r="AQ68" s="89" t="s">
        <v>113</v>
      </c>
      <c r="AR68" s="89" t="s">
        <v>114</v>
      </c>
      <c r="AS68" s="89" t="s">
        <v>115</v>
      </c>
      <c r="AU68" s="81"/>
    </row>
    <row r="69" spans="1:47" x14ac:dyDescent="0.25">
      <c r="A69" s="84">
        <f>A68+1</f>
        <v>8</v>
      </c>
      <c r="B69" s="84">
        <f t="shared" si="11"/>
        <v>4</v>
      </c>
      <c r="C69" s="88">
        <f t="shared" ref="C69" si="24">B70</f>
        <v>4.8499999999999996</v>
      </c>
      <c r="D69" s="82">
        <f>VLOOKUP(C69,STN_TABLE,2,FALSE)</f>
        <v>10.89</v>
      </c>
      <c r="E69" s="92">
        <v>1</v>
      </c>
      <c r="F69" s="82">
        <f>D69*E69</f>
        <v>10.89</v>
      </c>
      <c r="G69" s="83">
        <f>C69</f>
        <v>4.8499999999999996</v>
      </c>
      <c r="H69" s="83">
        <f>F69*G69</f>
        <v>52.816499999999998</v>
      </c>
      <c r="I69" s="84" t="str">
        <f>CONCATENATE("a'(",C69,")=")</f>
        <v>a'(4.85)=</v>
      </c>
      <c r="J69" s="84" t="e">
        <f>2*J67/3*F70</f>
        <v>#N/A</v>
      </c>
      <c r="K69" s="84" t="str">
        <f>CONCATENATE("A(",C67,")=")</f>
        <v>A(#NA)=</v>
      </c>
      <c r="L69" s="84" t="e">
        <f>VLOOKUP(C67,STN_TABLE,3,FALSE)</f>
        <v>#N/A</v>
      </c>
      <c r="M69" t="str">
        <f>CONCATENATE("A(",C69,")=")</f>
        <v>A(4.85)=</v>
      </c>
      <c r="N69" t="e">
        <f>J69+L69</f>
        <v>#N/A</v>
      </c>
      <c r="O69" s="99">
        <f>O68+1</f>
        <v>10</v>
      </c>
      <c r="P69" s="99">
        <f t="shared" si="23"/>
        <v>5</v>
      </c>
      <c r="Q69" s="82" t="str">
        <f>IF(P69-P68=P68-P67,P69,IF(P70-P68=P68-P67,P70,IF(P69-P68=P68-P66,P69,IF(P70-P68=P68-P66,P70,"-"))))</f>
        <v>-</v>
      </c>
      <c r="R69" s="83" t="e">
        <f>VLOOKUP(Q69,STN_TABLE,2,FALSE)</f>
        <v>#N/A</v>
      </c>
      <c r="S69" s="83">
        <v>-1</v>
      </c>
      <c r="T69" s="82" t="e">
        <f>R69*S69</f>
        <v>#N/A</v>
      </c>
      <c r="U69" s="88">
        <v>-1</v>
      </c>
      <c r="V69" s="82" t="e">
        <f>R69*U69</f>
        <v>#N/A</v>
      </c>
      <c r="W69" s="84" t="str">
        <f>CONCATENATE("a'(",Q68,")=")</f>
        <v>a'(4.85)=</v>
      </c>
      <c r="X69" s="84" t="e">
        <f>2*X67/12*T70</f>
        <v>#VALUE!</v>
      </c>
      <c r="Y69" s="84" t="str">
        <f>CONCATENATE("A(",Q67,")=")</f>
        <v>A(-)=</v>
      </c>
      <c r="Z69" s="84" t="e">
        <f>VLOOKUP(Q67,STN_TABLE,3,FALSE)</f>
        <v>#N/A</v>
      </c>
      <c r="AA69" t="str">
        <f>CONCATENATE("A(",Q68,")=")</f>
        <v>A(4.85)=</v>
      </c>
      <c r="AB69" t="e">
        <f>X69+Z69</f>
        <v>#VALUE!</v>
      </c>
      <c r="AC69" s="99">
        <f>AC68+1</f>
        <v>9</v>
      </c>
      <c r="AD69" s="100">
        <f>VLOOKUP(AC69,STN_TABLE_2,2,FALSE)</f>
        <v>4.8499999999999996</v>
      </c>
      <c r="AE69" s="82">
        <f>VLOOKUP(AD69,STN_TABLE,2,FALSE)</f>
        <v>10.89</v>
      </c>
      <c r="AF69" s="82">
        <v>2</v>
      </c>
      <c r="AG69" s="83">
        <f>AE69*AF69</f>
        <v>21.78</v>
      </c>
      <c r="AH69" s="84" t="str">
        <f>CONCATENATE("a'(",AD69,")=")</f>
        <v>a'(4.85)=</v>
      </c>
      <c r="AI69" s="84">
        <f>2*AI67/2*AE70</f>
        <v>36.872999999999983</v>
      </c>
      <c r="AJ69" s="84" t="str">
        <f>CONCATENATE("A(",AD68,")=")</f>
        <v>A(4)=</v>
      </c>
      <c r="AK69" s="84">
        <f>VLOOKUP(AD68,STN_TABLE,3,FALSE)</f>
        <v>162.83333333333331</v>
      </c>
      <c r="AL69" t="str">
        <f>CONCATENATE("A(",AD69,")=")</f>
        <v>A(4.85)=</v>
      </c>
      <c r="AM69">
        <f>AI69+AK69</f>
        <v>199.7063333333333</v>
      </c>
      <c r="AO69" s="68" t="str">
        <f>AA69</f>
        <v>A(4.85)=</v>
      </c>
      <c r="AP69" s="68" t="e">
        <f>VLOOKUP(AO69,Rise_Results,2,FALSE)</f>
        <v>#N/A</v>
      </c>
      <c r="AQ69" s="76" t="e">
        <f>N69</f>
        <v>#N/A</v>
      </c>
      <c r="AR69" s="76" t="e">
        <f>IF(OR(AB69&lt;=0,AB70&lt;=0),1/0,AB69)</f>
        <v>#VALUE!</v>
      </c>
      <c r="AS69" s="76">
        <f>AM69</f>
        <v>199.7063333333333</v>
      </c>
      <c r="AT69">
        <f>IFERROR(AP69,IFERROR(AQ69,IFERROR(AR69,AS69)))</f>
        <v>199.7063333333333</v>
      </c>
      <c r="AU69" s="81"/>
    </row>
    <row r="70" spans="1:47" x14ac:dyDescent="0.25">
      <c r="A70" s="84">
        <f>A69+1</f>
        <v>9</v>
      </c>
      <c r="B70" s="84">
        <f t="shared" si="11"/>
        <v>4.8499999999999996</v>
      </c>
      <c r="F70" s="82" t="e">
        <f>SUM(F67:F69)</f>
        <v>#N/A</v>
      </c>
      <c r="H70" s="82" t="e">
        <f>SUM(H67:H69)</f>
        <v>#N/A</v>
      </c>
      <c r="I70" s="84" t="str">
        <f>CONCATENATE("m'(",C69,")=")</f>
        <v>m'(4.85)=</v>
      </c>
      <c r="J70" s="84" t="e">
        <f>2*(J67*(WLS))/3*H70</f>
        <v>#N/A</v>
      </c>
      <c r="K70" s="84" t="str">
        <f>CONCATENATE("M(",C67,")=")</f>
        <v>M(#NA)=</v>
      </c>
      <c r="L70" s="84" t="e">
        <f>VLOOKUP(C67,STN_TABLE,4,FALSE)</f>
        <v>#N/A</v>
      </c>
      <c r="M70" t="str">
        <f>CONCATENATE("M(",C69,")=")</f>
        <v>M(4.85)=</v>
      </c>
      <c r="N70" t="e">
        <f>J70+L70</f>
        <v>#N/A</v>
      </c>
      <c r="O70" s="99">
        <f>O69+1</f>
        <v>11</v>
      </c>
      <c r="P70" s="99">
        <f t="shared" si="23"/>
        <v>6</v>
      </c>
      <c r="T70" s="89" t="e">
        <f>SUM(T67:T69)</f>
        <v>#N/A</v>
      </c>
      <c r="V70" s="82" t="e">
        <f>SUM(V67:V69)</f>
        <v>#N/A</v>
      </c>
      <c r="W70" s="84" t="str">
        <f>CONCATENATE("m'(",Q68,")=")</f>
        <v>m'(4.85)=</v>
      </c>
      <c r="X70" s="84" t="e">
        <f>(2*(X67^2)/24*V70)+(X69*Q67*WLS)</f>
        <v>#VALUE!</v>
      </c>
      <c r="Y70" s="84" t="str">
        <f>CONCATENATE("M(",Q67,")=")</f>
        <v>M(-)=</v>
      </c>
      <c r="Z70" s="84" t="e">
        <f>VLOOKUP(Q67,STN_TABLE,4,FALSE)</f>
        <v>#N/A</v>
      </c>
      <c r="AA70" t="str">
        <f>CONCATENATE("M(",Q68,")=")</f>
        <v>M(4.85)=</v>
      </c>
      <c r="AB70" t="e">
        <f>X70+Z70</f>
        <v>#VALUE!</v>
      </c>
      <c r="AE70" s="89">
        <f>SUM(AE68:AE69)</f>
        <v>21.69</v>
      </c>
      <c r="AG70" s="89">
        <f>SUM(AG68:AG69)</f>
        <v>32.58</v>
      </c>
      <c r="AH70" s="84" t="str">
        <f>CONCATENATE("m'(",AD69,")=")</f>
        <v>m'(4.85)=</v>
      </c>
      <c r="AI70" s="84">
        <f>(2*(AI67^2)/6*AG70)+(AI69*AD68*WLS)</f>
        <v>326.36939999999981</v>
      </c>
      <c r="AJ70" s="84" t="str">
        <f>CONCATENATE("M(",AD68,")=")</f>
        <v>M(4)=</v>
      </c>
      <c r="AK70" s="84">
        <f>VLOOKUP(AD68,STN_TABLE,4,FALSE)</f>
        <v>674.70999999999992</v>
      </c>
      <c r="AL70" t="str">
        <f>CONCATENATE("M(",AD69,")=")</f>
        <v>M(4.85)=</v>
      </c>
      <c r="AM70">
        <f>AI70+AK70</f>
        <v>1001.0793999999997</v>
      </c>
      <c r="AO70" s="82" t="str">
        <f>AA70</f>
        <v>M(4.85)=</v>
      </c>
      <c r="AP70" s="82" t="e">
        <f>VLOOKUP(AO70,Rise_Results,2,FALSE)</f>
        <v>#N/A</v>
      </c>
      <c r="AQ70" s="82" t="e">
        <f>N70</f>
        <v>#N/A</v>
      </c>
      <c r="AR70" s="82" t="e">
        <f>IF(OR(AB69&lt;=0,AB70&lt;=0),1/0,AB70)</f>
        <v>#VALUE!</v>
      </c>
      <c r="AS70" s="82">
        <f>AM70</f>
        <v>1001.0793999999997</v>
      </c>
      <c r="AT70">
        <f>IFERROR(AP70,IFERROR(AQ70,IFERROR(AR70,AS70)))</f>
        <v>1001.0793999999997</v>
      </c>
      <c r="AU70" s="81"/>
    </row>
    <row r="71" spans="1:47" x14ac:dyDescent="0.25">
      <c r="A71" s="101">
        <f>A66+1</f>
        <v>6</v>
      </c>
      <c r="B71" s="101">
        <f t="shared" si="11"/>
        <v>2</v>
      </c>
      <c r="O71" s="101">
        <f>O66+1</f>
        <v>8</v>
      </c>
      <c r="P71" s="101">
        <f t="shared" si="23"/>
        <v>4</v>
      </c>
      <c r="AU71" s="81"/>
    </row>
    <row r="72" spans="1:47" x14ac:dyDescent="0.25">
      <c r="A72" s="84">
        <f>A71+1</f>
        <v>7</v>
      </c>
      <c r="B72" s="84">
        <f t="shared" si="11"/>
        <v>3</v>
      </c>
      <c r="C72" s="79">
        <f t="shared" ref="C72" si="25">IF(C73=B74,IF(C74-C73=C73-B73,B73,IF(C74-C73=C73-B72,B72,"#NA")),IF(C73=B73,IF(C74-C73=C73-B72,B72,IF(C74-C73=C73-B71,B71,"#NA")),"#NA"))</f>
        <v>3</v>
      </c>
      <c r="D72" s="68">
        <f>VLOOKUP(C72,STN_TABLE,2,FALSE)</f>
        <v>10.7</v>
      </c>
      <c r="E72" s="102">
        <v>1</v>
      </c>
      <c r="F72" s="68">
        <f>D72*E72</f>
        <v>10.7</v>
      </c>
      <c r="G72" s="69">
        <f>C72</f>
        <v>3</v>
      </c>
      <c r="H72" s="69">
        <f>F72*G72</f>
        <v>32.099999999999994</v>
      </c>
      <c r="I72" s="6" t="s">
        <v>93</v>
      </c>
      <c r="J72" s="70">
        <f>IF(OR(D72=0,D73=0,D74=0),"#NA",IF(AND(C74-C73=C73-C72,C73&lt;&gt;C74,C72&lt;&gt;C73,C72&lt;&gt;C74,D74&lt;&gt;0,OR(D72&lt;&gt;0,D73&lt;&gt;0)),WLS*(C74-C73),"#NA"))</f>
        <v>2</v>
      </c>
      <c r="O72" s="99">
        <f>O71+1</f>
        <v>9</v>
      </c>
      <c r="P72" s="99">
        <f t="shared" si="23"/>
        <v>4.8499999999999996</v>
      </c>
      <c r="Q72" s="68">
        <f>IF(OR(P74-P73=P73-P72,P75-P73=P73-P72),P72,IF(OR(P74-P73=P73-P71,P75-P73=P73-P71),P71,"-"))</f>
        <v>4</v>
      </c>
      <c r="R72" s="69">
        <f>VLOOKUP(Q72,STN_TABLE,2,FALSE)</f>
        <v>10.8</v>
      </c>
      <c r="S72" s="69">
        <v>5</v>
      </c>
      <c r="T72" s="68">
        <f>R72*S72</f>
        <v>54</v>
      </c>
      <c r="U72" s="79">
        <v>3</v>
      </c>
      <c r="V72" s="68">
        <f>R72*U72</f>
        <v>32.400000000000006</v>
      </c>
      <c r="W72" s="6" t="s">
        <v>93</v>
      </c>
      <c r="X72" s="70">
        <f>IF(AND(Q74-Q73=Q73-Q72,NOT(AND(Q72=0,Q73=0)),NOT(AND(Q73=0,Q74=0))),WLS*(Q74-Q73),"#NA")</f>
        <v>2</v>
      </c>
      <c r="AD72" s="93"/>
      <c r="AH72" s="6" t="s">
        <v>93</v>
      </c>
      <c r="AI72" s="70">
        <f>WLS*(AD74-AD73)</f>
        <v>0.30000000000000071</v>
      </c>
      <c r="AU72" s="81"/>
    </row>
    <row r="73" spans="1:47" x14ac:dyDescent="0.25">
      <c r="A73" s="84">
        <f>A72+1</f>
        <v>8</v>
      </c>
      <c r="B73" s="84">
        <f t="shared" si="11"/>
        <v>4</v>
      </c>
      <c r="C73" s="80">
        <f t="shared" ref="C73" si="26">IF(OR(B75-B74=B74-B73,B75-B74=B74-B72,B75-B74=B74-B71),B74,IF(OR(B75-B73=B73-B72,B75-B73=B73-B71),B73,IF(B75-B72=B72-B71,B72,"#NA")))</f>
        <v>4</v>
      </c>
      <c r="D73" s="76">
        <f>VLOOKUP(C73,STN_TABLE,2,FALSE)</f>
        <v>10.8</v>
      </c>
      <c r="E73" s="81">
        <v>4</v>
      </c>
      <c r="F73" s="76">
        <f>D73*E73</f>
        <v>43.2</v>
      </c>
      <c r="G73" s="77">
        <f>C73</f>
        <v>4</v>
      </c>
      <c r="H73" s="77">
        <f>F73*G73</f>
        <v>172.8</v>
      </c>
      <c r="I73" s="495" t="s">
        <v>97</v>
      </c>
      <c r="J73" s="496"/>
      <c r="K73" s="78" t="s">
        <v>98</v>
      </c>
      <c r="L73" s="78"/>
      <c r="M73" s="7" t="s">
        <v>99</v>
      </c>
      <c r="N73" s="7"/>
      <c r="O73" s="99">
        <f>O72+1</f>
        <v>10</v>
      </c>
      <c r="P73" s="99">
        <f t="shared" si="23"/>
        <v>5</v>
      </c>
      <c r="Q73" s="76">
        <f>P73</f>
        <v>5</v>
      </c>
      <c r="R73" s="77">
        <f>VLOOKUP(Q73,STN_TABLE,2,FALSE)</f>
        <v>10.9</v>
      </c>
      <c r="S73" s="77">
        <v>8</v>
      </c>
      <c r="T73" s="76">
        <f>R73*S73</f>
        <v>87.2</v>
      </c>
      <c r="U73" s="80">
        <v>10</v>
      </c>
      <c r="V73" s="76">
        <f>R73*U73</f>
        <v>109</v>
      </c>
      <c r="W73" s="496" t="s">
        <v>97</v>
      </c>
      <c r="X73" s="496"/>
      <c r="Y73" s="496" t="s">
        <v>98</v>
      </c>
      <c r="Z73" s="496"/>
      <c r="AA73" s="494" t="s">
        <v>99</v>
      </c>
      <c r="AB73" s="494"/>
      <c r="AC73" s="99">
        <f>AC68+1</f>
        <v>9</v>
      </c>
      <c r="AD73" s="95">
        <f>VLOOKUP(AC73,STN_TABLE_2,2,FALSE)</f>
        <v>4.8499999999999996</v>
      </c>
      <c r="AE73" s="68">
        <f>VLOOKUP(AD73,STN_TABLE,2,FALSE)</f>
        <v>10.89</v>
      </c>
      <c r="AF73" s="68">
        <v>1</v>
      </c>
      <c r="AG73" s="69">
        <f>AE73*AF73</f>
        <v>10.89</v>
      </c>
      <c r="AH73" s="496" t="s">
        <v>97</v>
      </c>
      <c r="AI73" s="496"/>
      <c r="AJ73" s="496" t="s">
        <v>98</v>
      </c>
      <c r="AK73" s="496"/>
      <c r="AL73" s="494" t="s">
        <v>99</v>
      </c>
      <c r="AM73" s="494"/>
      <c r="AP73" s="86" t="s">
        <v>112</v>
      </c>
      <c r="AQ73" s="89" t="s">
        <v>113</v>
      </c>
      <c r="AR73" s="89" t="s">
        <v>114</v>
      </c>
      <c r="AS73" s="89" t="s">
        <v>115</v>
      </c>
      <c r="AU73" s="81"/>
    </row>
    <row r="74" spans="1:47" x14ac:dyDescent="0.25">
      <c r="A74" s="84">
        <f>A73+1</f>
        <v>9</v>
      </c>
      <c r="B74" s="84">
        <f t="shared" ref="B74:B105" si="27">VLOOKUP(A74,STN_TABLE_2,2,FALSE)</f>
        <v>4.8499999999999996</v>
      </c>
      <c r="C74" s="88">
        <f t="shared" ref="C74" si="28">B75</f>
        <v>5</v>
      </c>
      <c r="D74" s="82">
        <f>VLOOKUP(C74,STN_TABLE,2,FALSE)</f>
        <v>10.9</v>
      </c>
      <c r="E74" s="92">
        <v>1</v>
      </c>
      <c r="F74" s="82">
        <f>D74*E74</f>
        <v>10.9</v>
      </c>
      <c r="G74" s="83">
        <f>C74</f>
        <v>5</v>
      </c>
      <c r="H74" s="83">
        <f>F74*G74</f>
        <v>54.5</v>
      </c>
      <c r="I74" s="84" t="str">
        <f>CONCATENATE("a'(",C74,")=")</f>
        <v>a'(5)=</v>
      </c>
      <c r="J74" s="84">
        <f>2*J72/3*F75</f>
        <v>86.4</v>
      </c>
      <c r="K74" s="84" t="str">
        <f>CONCATENATE("A(",C72,")=")</f>
        <v>A(3)=</v>
      </c>
      <c r="L74" s="84">
        <f>VLOOKUP(C72,STN_TABLE,3,FALSE)</f>
        <v>119.89666666666665</v>
      </c>
      <c r="M74" t="str">
        <f>CONCATENATE("A(",C74,")=")</f>
        <v>A(5)=</v>
      </c>
      <c r="N74">
        <f>J74+L74</f>
        <v>206.29666666666665</v>
      </c>
      <c r="O74" s="99">
        <f>O73+1</f>
        <v>11</v>
      </c>
      <c r="P74" s="99">
        <f t="shared" si="23"/>
        <v>6</v>
      </c>
      <c r="Q74" s="82">
        <f>IF(P74-P73=P73-P72,P74,IF(P75-P73=P73-P72,P75,IF(P74-P73=P73-P71,P74,IF(P75-P73=P73-P71,P75,"-"))))</f>
        <v>6</v>
      </c>
      <c r="R74" s="83">
        <f>VLOOKUP(Q74,STN_TABLE,2,FALSE)</f>
        <v>11</v>
      </c>
      <c r="S74" s="83">
        <v>-1</v>
      </c>
      <c r="T74" s="82">
        <f>R74*S74</f>
        <v>-11</v>
      </c>
      <c r="U74" s="88">
        <v>-1</v>
      </c>
      <c r="V74" s="82">
        <f>R74*U74</f>
        <v>-11</v>
      </c>
      <c r="W74" s="84" t="str">
        <f>CONCATENATE("a'(",Q73,")=")</f>
        <v>a'(5)=</v>
      </c>
      <c r="X74" s="84">
        <f>2*X72/12*T75</f>
        <v>43.399999999999991</v>
      </c>
      <c r="Y74" s="84" t="str">
        <f>CONCATENATE("A(",Q72,")=")</f>
        <v>A(4)=</v>
      </c>
      <c r="Z74" s="84">
        <f>VLOOKUP(Q72,STN_TABLE,3,FALSE)</f>
        <v>162.83333333333331</v>
      </c>
      <c r="AA74" t="str">
        <f>CONCATENATE("A(",Q73,")=")</f>
        <v>A(5)=</v>
      </c>
      <c r="AB74">
        <f>X74+Z74</f>
        <v>206.23333333333329</v>
      </c>
      <c r="AC74" s="99">
        <f>AC73+1</f>
        <v>10</v>
      </c>
      <c r="AD74" s="100">
        <f>VLOOKUP(AC74,STN_TABLE_2,2,FALSE)</f>
        <v>5</v>
      </c>
      <c r="AE74" s="82">
        <f>VLOOKUP(AD74,STN_TABLE,2,FALSE)</f>
        <v>10.9</v>
      </c>
      <c r="AF74" s="82">
        <v>2</v>
      </c>
      <c r="AG74" s="83">
        <f>AE74*AF74</f>
        <v>21.8</v>
      </c>
      <c r="AH74" s="84" t="str">
        <f>CONCATENATE("a'(",AD74,")=")</f>
        <v>a'(5)=</v>
      </c>
      <c r="AI74" s="84">
        <f>2*AI72/2*AE75</f>
        <v>6.537000000000015</v>
      </c>
      <c r="AJ74" s="84" t="str">
        <f>CONCATENATE("A(",AD73,")=")</f>
        <v>A(4.85)=</v>
      </c>
      <c r="AK74" s="84">
        <f>VLOOKUP(AD73,STN_TABLE,3,FALSE)</f>
        <v>199.7063333333333</v>
      </c>
      <c r="AL74" t="str">
        <f>CONCATENATE("A(",AD74,")=")</f>
        <v>A(5)=</v>
      </c>
      <c r="AM74">
        <f>AI74+AK74</f>
        <v>206.24333333333331</v>
      </c>
      <c r="AO74" s="68" t="str">
        <f>AA74</f>
        <v>A(5)=</v>
      </c>
      <c r="AP74" s="68" t="e">
        <f>VLOOKUP(AO74,Rise_Results,2,FALSE)</f>
        <v>#N/A</v>
      </c>
      <c r="AQ74" s="76">
        <f>N74</f>
        <v>206.29666666666665</v>
      </c>
      <c r="AR74" s="76">
        <f>IF(OR(AB74&lt;=0,AB75&lt;=0),1/0,AB74)</f>
        <v>206.23333333333329</v>
      </c>
      <c r="AS74" s="76">
        <f>AM74</f>
        <v>206.24333333333331</v>
      </c>
      <c r="AT74">
        <f>IFERROR(AP74,IFERROR(AQ74,IFERROR(AR74,AS74)))</f>
        <v>206.29666666666665</v>
      </c>
      <c r="AU74" s="81"/>
    </row>
    <row r="75" spans="1:47" x14ac:dyDescent="0.25">
      <c r="A75" s="84">
        <f>A74+1</f>
        <v>10</v>
      </c>
      <c r="B75" s="84">
        <f t="shared" si="27"/>
        <v>5</v>
      </c>
      <c r="F75" s="82">
        <f>SUM(F72:F74)</f>
        <v>64.800000000000011</v>
      </c>
      <c r="H75" s="82">
        <f>SUM(H72:H74)</f>
        <v>259.39999999999998</v>
      </c>
      <c r="I75" s="84" t="str">
        <f>CONCATENATE("m'(",C74,")=")</f>
        <v>m'(5)=</v>
      </c>
      <c r="J75" s="84">
        <f>2*(J72*(WLS))/3*H75</f>
        <v>691.73333333333323</v>
      </c>
      <c r="K75" s="84" t="str">
        <f>CONCATENATE("M(",C72,")=")</f>
        <v>M(3)=</v>
      </c>
      <c r="L75" s="84">
        <f>VLOOKUP(C72,STN_TABLE,4,FALSE)</f>
        <v>373.89333333333332</v>
      </c>
      <c r="M75" t="str">
        <f>CONCATENATE("M(",C74,")=")</f>
        <v>M(5)=</v>
      </c>
      <c r="N75">
        <f>J75+L75</f>
        <v>1065.6266666666666</v>
      </c>
      <c r="O75" s="99">
        <f>O74+1</f>
        <v>12</v>
      </c>
      <c r="P75" s="99">
        <f t="shared" si="23"/>
        <v>6.5</v>
      </c>
      <c r="T75" s="89">
        <f>SUM(T72:T74)</f>
        <v>130.19999999999999</v>
      </c>
      <c r="V75" s="82">
        <f>SUM(V72:V74)</f>
        <v>130.4</v>
      </c>
      <c r="W75" s="84" t="str">
        <f>CONCATENATE("m'(",Q73,")=")</f>
        <v>m'(5)=</v>
      </c>
      <c r="X75" s="84">
        <f>(2*(X72^2)/24*V75)+(X74*Q72*WLS)</f>
        <v>390.66666666666663</v>
      </c>
      <c r="Y75" s="84" t="str">
        <f>CONCATENATE("M(",Q72,")=")</f>
        <v>M(4)=</v>
      </c>
      <c r="Z75" s="84">
        <f>VLOOKUP(Q72,STN_TABLE,4,FALSE)</f>
        <v>674.70999999999992</v>
      </c>
      <c r="AA75" t="str">
        <f>CONCATENATE("M(",Q73,")=")</f>
        <v>M(5)=</v>
      </c>
      <c r="AB75">
        <f>X75+Z75</f>
        <v>1065.3766666666666</v>
      </c>
      <c r="AE75" s="89">
        <f>SUM(AE73:AE74)</f>
        <v>21.79</v>
      </c>
      <c r="AG75" s="89">
        <f>SUM(AG73:AG74)</f>
        <v>32.69</v>
      </c>
      <c r="AH75" s="84" t="str">
        <f>CONCATENATE("m'(",AD74,")=")</f>
        <v>m'(5)=</v>
      </c>
      <c r="AI75" s="84">
        <f>(2*(AI72^2)/6*AG75)+(AI74*AD73*WLS)</f>
        <v>64.389600000000144</v>
      </c>
      <c r="AJ75" s="84" t="str">
        <f>CONCATENATE("M(",AD73,")=")</f>
        <v>M(4.85)=</v>
      </c>
      <c r="AK75" s="84">
        <f>VLOOKUP(AD73,STN_TABLE,4,FALSE)</f>
        <v>1001.0793999999997</v>
      </c>
      <c r="AL75" t="str">
        <f>CONCATENATE("M(",AD74,")=")</f>
        <v>M(5)=</v>
      </c>
      <c r="AM75">
        <f>AI75+AK75</f>
        <v>1065.4689999999998</v>
      </c>
      <c r="AO75" s="82" t="str">
        <f>AA75</f>
        <v>M(5)=</v>
      </c>
      <c r="AP75" s="82" t="e">
        <f>VLOOKUP(AO75,Rise_Results,2,FALSE)</f>
        <v>#N/A</v>
      </c>
      <c r="AQ75" s="82">
        <f>N75</f>
        <v>1065.6266666666666</v>
      </c>
      <c r="AR75" s="82">
        <f>IF(OR(AB74&lt;=0,AB75&lt;=0),1/0,AB75)</f>
        <v>1065.3766666666666</v>
      </c>
      <c r="AS75" s="82">
        <f>AM75</f>
        <v>1065.4689999999998</v>
      </c>
      <c r="AT75">
        <f>IFERROR(AP75,IFERROR(AQ75,IFERROR(AR75,AS75)))</f>
        <v>1065.6266666666666</v>
      </c>
      <c r="AU75" s="81"/>
    </row>
    <row r="76" spans="1:47" x14ac:dyDescent="0.25">
      <c r="A76" s="101">
        <f>A71+1</f>
        <v>7</v>
      </c>
      <c r="B76" s="101">
        <f t="shared" si="27"/>
        <v>3</v>
      </c>
      <c r="O76" s="101">
        <f>O71+1</f>
        <v>9</v>
      </c>
      <c r="P76" s="101">
        <f t="shared" si="23"/>
        <v>4.8499999999999996</v>
      </c>
      <c r="AU76" s="81"/>
    </row>
    <row r="77" spans="1:47" x14ac:dyDescent="0.25">
      <c r="A77" s="84">
        <f>A76+1</f>
        <v>8</v>
      </c>
      <c r="B77" s="84">
        <f t="shared" si="27"/>
        <v>4</v>
      </c>
      <c r="C77" s="79">
        <f t="shared" ref="C77" si="29">IF(C78=B79,IF(C79-C78=C78-B78,B78,IF(C79-C78=C78-B77,B77,"#NA")),IF(C78=B78,IF(C79-C78=C78-B77,B77,IF(C79-C78=C78-B76,B76,"#NA")),"#NA"))</f>
        <v>4</v>
      </c>
      <c r="D77" s="68">
        <f>VLOOKUP(C77,STN_TABLE,2,FALSE)</f>
        <v>10.8</v>
      </c>
      <c r="E77" s="102">
        <v>1</v>
      </c>
      <c r="F77" s="68">
        <f>D77*E77</f>
        <v>10.8</v>
      </c>
      <c r="G77" s="69">
        <f>C77</f>
        <v>4</v>
      </c>
      <c r="H77" s="69">
        <f>F77*G77</f>
        <v>43.2</v>
      </c>
      <c r="I77" s="6" t="s">
        <v>93</v>
      </c>
      <c r="J77" s="70">
        <f>IF(OR(D77=0,D78=0,D79=0),"#NA",IF(AND(C79-C78=C78-C77,C78&lt;&gt;C79,C77&lt;&gt;C78,C77&lt;&gt;C79,D79&lt;&gt;0,OR(D77&lt;&gt;0,D78&lt;&gt;0)),WLS*(C79-C78),"#NA"))</f>
        <v>2</v>
      </c>
      <c r="O77" s="99">
        <f>O76+1</f>
        <v>10</v>
      </c>
      <c r="P77" s="99">
        <f t="shared" si="23"/>
        <v>5</v>
      </c>
      <c r="Q77" s="68" t="e">
        <f>IF(OR(P79-P78=P78-P77,P80-P78=P78-P77),P77,IF(OR(P79-P78=P78-P76,P80-P78=P78-P76),P76,"-"))</f>
        <v>#VALUE!</v>
      </c>
      <c r="R77" s="69" t="e">
        <f>VLOOKUP(Q77,STN_TABLE,2,FALSE)</f>
        <v>#VALUE!</v>
      </c>
      <c r="S77" s="69">
        <v>5</v>
      </c>
      <c r="T77" s="68" t="e">
        <f>R77*S77</f>
        <v>#VALUE!</v>
      </c>
      <c r="U77" s="79">
        <v>3</v>
      </c>
      <c r="V77" s="68" t="e">
        <f>R77*U77</f>
        <v>#VALUE!</v>
      </c>
      <c r="W77" s="6" t="s">
        <v>93</v>
      </c>
      <c r="X77" s="70" t="e">
        <f>IF(AND(Q79-Q78=Q78-Q77,NOT(AND(Q77=0,Q78=0)),NOT(AND(Q78=0,Q79=0))),WLS*(Q79-Q78),"#NA")</f>
        <v>#VALUE!</v>
      </c>
      <c r="AD77" s="93"/>
      <c r="AH77" s="6" t="s">
        <v>93</v>
      </c>
      <c r="AI77" s="70">
        <f>WLS*(AD79-AD78)</f>
        <v>2</v>
      </c>
      <c r="AU77" s="81"/>
    </row>
    <row r="78" spans="1:47" x14ac:dyDescent="0.25">
      <c r="A78" s="84">
        <f>A77+1</f>
        <v>9</v>
      </c>
      <c r="B78" s="84">
        <f t="shared" si="27"/>
        <v>4.8499999999999996</v>
      </c>
      <c r="C78" s="80">
        <f t="shared" ref="C78" si="30">IF(OR(B80-B79=B79-B78,B80-B79=B79-B77,B80-B79=B79-B76),B79,IF(OR(B80-B78=B78-B77,B80-B78=B78-B76),B78,IF(B80-B77=B77-B76,B77,"#NA")))</f>
        <v>5</v>
      </c>
      <c r="D78" s="76">
        <f>VLOOKUP(C78,STN_TABLE,2,FALSE)</f>
        <v>10.9</v>
      </c>
      <c r="E78" s="81">
        <v>4</v>
      </c>
      <c r="F78" s="76">
        <f>D78*E78</f>
        <v>43.6</v>
      </c>
      <c r="G78" s="77">
        <f>C78</f>
        <v>5</v>
      </c>
      <c r="H78" s="77">
        <f>F78*G78</f>
        <v>218</v>
      </c>
      <c r="I78" s="495" t="s">
        <v>97</v>
      </c>
      <c r="J78" s="496"/>
      <c r="K78" s="78" t="s">
        <v>98</v>
      </c>
      <c r="L78" s="78"/>
      <c r="M78" s="7" t="s">
        <v>99</v>
      </c>
      <c r="N78" s="7"/>
      <c r="O78" s="99">
        <f>O77+1</f>
        <v>11</v>
      </c>
      <c r="P78" s="99">
        <f t="shared" si="23"/>
        <v>6</v>
      </c>
      <c r="Q78" s="76">
        <f>P78</f>
        <v>6</v>
      </c>
      <c r="R78" s="77">
        <f>VLOOKUP(Q78,STN_TABLE,2,FALSE)</f>
        <v>11</v>
      </c>
      <c r="S78" s="77">
        <v>8</v>
      </c>
      <c r="T78" s="76">
        <f>R78*S78</f>
        <v>88</v>
      </c>
      <c r="U78" s="80">
        <v>10</v>
      </c>
      <c r="V78" s="76">
        <f>R78*U78</f>
        <v>110</v>
      </c>
      <c r="W78" s="496" t="s">
        <v>97</v>
      </c>
      <c r="X78" s="496"/>
      <c r="Y78" s="496" t="s">
        <v>98</v>
      </c>
      <c r="Z78" s="496"/>
      <c r="AA78" s="494" t="s">
        <v>99</v>
      </c>
      <c r="AB78" s="494"/>
      <c r="AC78" s="99">
        <f>AC73+1</f>
        <v>10</v>
      </c>
      <c r="AD78" s="95">
        <f>VLOOKUP(AC78,STN_TABLE_2,2,FALSE)</f>
        <v>5</v>
      </c>
      <c r="AE78" s="68">
        <f>VLOOKUP(AD78,STN_TABLE,2,FALSE)</f>
        <v>10.9</v>
      </c>
      <c r="AF78" s="68">
        <v>1</v>
      </c>
      <c r="AG78" s="69">
        <f>AE78*AF78</f>
        <v>10.9</v>
      </c>
      <c r="AH78" s="496" t="s">
        <v>97</v>
      </c>
      <c r="AI78" s="496"/>
      <c r="AJ78" s="496" t="s">
        <v>98</v>
      </c>
      <c r="AK78" s="496"/>
      <c r="AL78" s="494" t="s">
        <v>99</v>
      </c>
      <c r="AM78" s="494"/>
      <c r="AP78" s="86" t="s">
        <v>112</v>
      </c>
      <c r="AQ78" s="89" t="s">
        <v>113</v>
      </c>
      <c r="AR78" s="89" t="s">
        <v>114</v>
      </c>
      <c r="AS78" s="89" t="s">
        <v>115</v>
      </c>
      <c r="AU78" s="81"/>
    </row>
    <row r="79" spans="1:47" x14ac:dyDescent="0.25">
      <c r="A79" s="84">
        <f>A78+1</f>
        <v>10</v>
      </c>
      <c r="B79" s="84">
        <f t="shared" si="27"/>
        <v>5</v>
      </c>
      <c r="C79" s="88">
        <f t="shared" ref="C79" si="31">B80</f>
        <v>6</v>
      </c>
      <c r="D79" s="82">
        <f>VLOOKUP(C79,STN_TABLE,2,FALSE)</f>
        <v>11</v>
      </c>
      <c r="E79" s="92">
        <v>1</v>
      </c>
      <c r="F79" s="82">
        <f>D79*E79</f>
        <v>11</v>
      </c>
      <c r="G79" s="83">
        <f>C79</f>
        <v>6</v>
      </c>
      <c r="H79" s="83">
        <f>F79*G79</f>
        <v>66</v>
      </c>
      <c r="I79" s="84" t="str">
        <f>CONCATENATE("a'(",C79,")=")</f>
        <v>a'(6)=</v>
      </c>
      <c r="J79" s="84">
        <f>2*J77/3*F80</f>
        <v>87.2</v>
      </c>
      <c r="K79" s="84" t="str">
        <f>CONCATENATE("A(",C77,")=")</f>
        <v>A(4)=</v>
      </c>
      <c r="L79" s="84">
        <f>VLOOKUP(C77,STN_TABLE,3,FALSE)</f>
        <v>162.83333333333331</v>
      </c>
      <c r="M79" t="str">
        <f>CONCATENATE("A(",C79,")=")</f>
        <v>A(6)=</v>
      </c>
      <c r="N79">
        <f>J79+L79</f>
        <v>250.0333333333333</v>
      </c>
      <c r="O79" s="99">
        <f>O78+1</f>
        <v>12</v>
      </c>
      <c r="P79" s="99">
        <f t="shared" si="23"/>
        <v>6.5</v>
      </c>
      <c r="Q79" s="82" t="e">
        <f>IF(P79-P78=P78-P77,P79,IF(P80-P78=P78-P77,P80,IF(P79-P78=P78-P76,P79,IF(P80-P78=P78-P76,P80,"-"))))</f>
        <v>#VALUE!</v>
      </c>
      <c r="R79" s="83" t="e">
        <f>VLOOKUP(Q79,STN_TABLE,2,FALSE)</f>
        <v>#VALUE!</v>
      </c>
      <c r="S79" s="83">
        <v>-1</v>
      </c>
      <c r="T79" s="82" t="e">
        <f>R79*S79</f>
        <v>#VALUE!</v>
      </c>
      <c r="U79" s="88">
        <v>-1</v>
      </c>
      <c r="V79" s="82" t="e">
        <f>R79*U79</f>
        <v>#VALUE!</v>
      </c>
      <c r="W79" s="84" t="str">
        <f>CONCATENATE("a'(",Q78,")=")</f>
        <v>a'(6)=</v>
      </c>
      <c r="X79" s="84" t="e">
        <f>2*X77/12*T80</f>
        <v>#VALUE!</v>
      </c>
      <c r="Y79" s="84" t="e">
        <f>CONCATENATE("A(",Q77,")=")</f>
        <v>#VALUE!</v>
      </c>
      <c r="Z79" s="84" t="e">
        <f>VLOOKUP(Q77,STN_TABLE,3,FALSE)</f>
        <v>#VALUE!</v>
      </c>
      <c r="AA79" t="str">
        <f>CONCATENATE("A(",Q78,")=")</f>
        <v>A(6)=</v>
      </c>
      <c r="AB79" t="e">
        <f>X79+Z79</f>
        <v>#VALUE!</v>
      </c>
      <c r="AC79" s="99">
        <f>AC78+1</f>
        <v>11</v>
      </c>
      <c r="AD79" s="100">
        <f>VLOOKUP(AC79,STN_TABLE_2,2,FALSE)</f>
        <v>6</v>
      </c>
      <c r="AE79" s="82">
        <f>VLOOKUP(AD79,STN_TABLE,2,FALSE)</f>
        <v>11</v>
      </c>
      <c r="AF79" s="82">
        <v>2</v>
      </c>
      <c r="AG79" s="83">
        <f>AE79*AF79</f>
        <v>22</v>
      </c>
      <c r="AH79" s="84" t="str">
        <f>CONCATENATE("a'(",AD79,")=")</f>
        <v>a'(6)=</v>
      </c>
      <c r="AI79" s="84">
        <f>2*AI77/2*AE80</f>
        <v>43.8</v>
      </c>
      <c r="AJ79" s="84" t="str">
        <f>CONCATENATE("A(",AD78,")=")</f>
        <v>A(5)=</v>
      </c>
      <c r="AK79" s="84">
        <f>VLOOKUP(AD78,STN_TABLE,3,FALSE)</f>
        <v>206.29666666666665</v>
      </c>
      <c r="AL79" t="str">
        <f>CONCATENATE("A(",AD79,")=")</f>
        <v>A(6)=</v>
      </c>
      <c r="AM79">
        <f>AI79+AK79</f>
        <v>250.09666666666664</v>
      </c>
      <c r="AO79" s="68" t="str">
        <f>AA79</f>
        <v>A(6)=</v>
      </c>
      <c r="AP79" s="68" t="e">
        <f>VLOOKUP(AO79,Rise_Results,2,FALSE)</f>
        <v>#N/A</v>
      </c>
      <c r="AQ79" s="76">
        <f>N79</f>
        <v>250.0333333333333</v>
      </c>
      <c r="AR79" s="76" t="e">
        <f>IF(OR(AB79&lt;=0,AB80&lt;=0),1/0,AB79)</f>
        <v>#VALUE!</v>
      </c>
      <c r="AS79" s="76">
        <f>AM79</f>
        <v>250.09666666666664</v>
      </c>
      <c r="AT79">
        <f>IFERROR(AP79,IFERROR(AQ79,IFERROR(AR79,AS79)))</f>
        <v>250.0333333333333</v>
      </c>
      <c r="AU79" s="81"/>
    </row>
    <row r="80" spans="1:47" x14ac:dyDescent="0.25">
      <c r="A80" s="84">
        <f>A79+1</f>
        <v>11</v>
      </c>
      <c r="B80" s="84">
        <f t="shared" si="27"/>
        <v>6</v>
      </c>
      <c r="F80" s="82">
        <f>SUM(F77:F79)</f>
        <v>65.400000000000006</v>
      </c>
      <c r="H80" s="82">
        <f>SUM(H77:H79)</f>
        <v>327.2</v>
      </c>
      <c r="I80" s="84" t="str">
        <f>CONCATENATE("m'(",C79,")=")</f>
        <v>m'(6)=</v>
      </c>
      <c r="J80" s="84">
        <f>2*(J77*(WLS))/3*H80</f>
        <v>872.5333333333333</v>
      </c>
      <c r="K80" s="84" t="str">
        <f>CONCATENATE("M(",C77,")=")</f>
        <v>M(4)=</v>
      </c>
      <c r="L80" s="84">
        <f>VLOOKUP(C77,STN_TABLE,4,FALSE)</f>
        <v>674.70999999999992</v>
      </c>
      <c r="M80" t="str">
        <f>CONCATENATE("M(",C79,")=")</f>
        <v>M(6)=</v>
      </c>
      <c r="N80">
        <f>J80+L80</f>
        <v>1547.2433333333333</v>
      </c>
      <c r="O80" s="99">
        <f>O79+1</f>
        <v>13</v>
      </c>
      <c r="P80" s="99" t="str">
        <f t="shared" si="23"/>
        <v xml:space="preserve">  </v>
      </c>
      <c r="T80" s="89" t="e">
        <f>SUM(T77:T79)</f>
        <v>#VALUE!</v>
      </c>
      <c r="V80" s="82" t="e">
        <f>SUM(V77:V79)</f>
        <v>#VALUE!</v>
      </c>
      <c r="W80" s="84" t="str">
        <f>CONCATENATE("m'(",Q78,")=")</f>
        <v>m'(6)=</v>
      </c>
      <c r="X80" s="84" t="e">
        <f>(2*(X77^2)/24*V80)+(X79*Q77*WLS)</f>
        <v>#VALUE!</v>
      </c>
      <c r="Y80" s="84" t="e">
        <f>CONCATENATE("M(",Q77,")=")</f>
        <v>#VALUE!</v>
      </c>
      <c r="Z80" s="84" t="e">
        <f>VLOOKUP(Q77,STN_TABLE,4,FALSE)</f>
        <v>#VALUE!</v>
      </c>
      <c r="AA80" t="str">
        <f>CONCATENATE("M(",Q78,")=")</f>
        <v>M(6)=</v>
      </c>
      <c r="AB80" t="e">
        <f>X80+Z80</f>
        <v>#VALUE!</v>
      </c>
      <c r="AE80" s="89">
        <f>SUM(AE78:AE79)</f>
        <v>21.9</v>
      </c>
      <c r="AG80" s="89">
        <f>SUM(AG78:AG79)</f>
        <v>32.9</v>
      </c>
      <c r="AH80" s="84" t="str">
        <f>CONCATENATE("m'(",AD79,")=")</f>
        <v>m'(6)=</v>
      </c>
      <c r="AI80" s="84">
        <f>(2*(AI77^2)/6*AG80)+(AI79*AD78*WLS)</f>
        <v>481.86666666666667</v>
      </c>
      <c r="AJ80" s="84" t="str">
        <f>CONCATENATE("M(",AD78,")=")</f>
        <v>M(5)=</v>
      </c>
      <c r="AK80" s="84">
        <f>VLOOKUP(AD78,STN_TABLE,4,FALSE)</f>
        <v>1065.6266666666666</v>
      </c>
      <c r="AL80" t="str">
        <f>CONCATENATE("M(",AD79,")=")</f>
        <v>M(6)=</v>
      </c>
      <c r="AM80">
        <f>AI80+AK80</f>
        <v>1547.4933333333333</v>
      </c>
      <c r="AO80" s="82" t="str">
        <f>AA80</f>
        <v>M(6)=</v>
      </c>
      <c r="AP80" s="82" t="e">
        <f>VLOOKUP(AO80,Rise_Results,2,FALSE)</f>
        <v>#N/A</v>
      </c>
      <c r="AQ80" s="82">
        <f>N80</f>
        <v>1547.2433333333333</v>
      </c>
      <c r="AR80" s="82" t="e">
        <f>IF(OR(AB79&lt;=0,AB80&lt;=0),1/0,AB80)</f>
        <v>#VALUE!</v>
      </c>
      <c r="AS80" s="82">
        <f>AM80</f>
        <v>1547.4933333333333</v>
      </c>
      <c r="AT80">
        <f>IFERROR(AP80,IFERROR(AQ80,IFERROR(AR80,AS80)))</f>
        <v>1547.2433333333333</v>
      </c>
      <c r="AU80" s="81"/>
    </row>
    <row r="81" spans="1:47" x14ac:dyDescent="0.25">
      <c r="A81" s="101">
        <f>A76+1</f>
        <v>8</v>
      </c>
      <c r="B81" s="101">
        <f t="shared" si="27"/>
        <v>4</v>
      </c>
      <c r="O81" s="101">
        <f>O76+1</f>
        <v>10</v>
      </c>
      <c r="P81" s="101">
        <f t="shared" si="23"/>
        <v>5</v>
      </c>
      <c r="AU81" s="81"/>
    </row>
    <row r="82" spans="1:47" x14ac:dyDescent="0.25">
      <c r="A82" s="84">
        <f>A81+1</f>
        <v>9</v>
      </c>
      <c r="B82" s="84">
        <f t="shared" si="27"/>
        <v>4.8499999999999996</v>
      </c>
      <c r="C82" s="79" t="str">
        <f t="shared" ref="C82" si="32">IF(C83=B84,IF(C84-C83=C83-B83,B83,IF(C84-C83=C83-B82,B82,"#NA")),IF(C83=B83,IF(C84-C83=C83-B82,B82,IF(C84-C83=C83-B81,B81,"#NA")),"#NA"))</f>
        <v>#NA</v>
      </c>
      <c r="D82" s="68" t="e">
        <f>VLOOKUP(C82,STN_TABLE,2,FALSE)</f>
        <v>#N/A</v>
      </c>
      <c r="E82" s="102">
        <v>1</v>
      </c>
      <c r="F82" s="68" t="e">
        <f>D82*E82</f>
        <v>#N/A</v>
      </c>
      <c r="G82" s="69" t="str">
        <f>C82</f>
        <v>#NA</v>
      </c>
      <c r="H82" s="69" t="e">
        <f>F82*G82</f>
        <v>#N/A</v>
      </c>
      <c r="I82" s="6" t="s">
        <v>93</v>
      </c>
      <c r="J82" s="70" t="e">
        <f>IF(OR(D82=0,D83=0,D84=0),"#NA",IF(AND(C84-C83=C83-C82,C83&lt;&gt;C84,C82&lt;&gt;C83,C82&lt;&gt;C84,D84&lt;&gt;0,OR(D82&lt;&gt;0,D83&lt;&gt;0)),WLS*(C84-C83),"#NA"))</f>
        <v>#N/A</v>
      </c>
      <c r="O82" s="99">
        <f>O81+1</f>
        <v>11</v>
      </c>
      <c r="P82" s="99">
        <f t="shared" si="23"/>
        <v>6</v>
      </c>
      <c r="Q82" s="68" t="e">
        <f>IF(OR(P84-P83=P83-P82,P85-P83=P83-P82),P82,IF(OR(P84-P83=P83-P81,P85-P83=P83-P81),P81,"-"))</f>
        <v>#VALUE!</v>
      </c>
      <c r="R82" s="69" t="e">
        <f>VLOOKUP(Q82,STN_TABLE,2,FALSE)</f>
        <v>#VALUE!</v>
      </c>
      <c r="S82" s="69">
        <v>5</v>
      </c>
      <c r="T82" s="68" t="e">
        <f>R82*S82</f>
        <v>#VALUE!</v>
      </c>
      <c r="U82" s="79">
        <v>3</v>
      </c>
      <c r="V82" s="68" t="e">
        <f>R82*U82</f>
        <v>#VALUE!</v>
      </c>
      <c r="W82" s="6" t="s">
        <v>93</v>
      </c>
      <c r="X82" s="70" t="e">
        <f>IF(AND(Q84-Q83=Q83-Q82,NOT(AND(Q82=0,Q83=0)),NOT(AND(Q83=0,Q84=0))),WLS*(Q84-Q83),"#NA")</f>
        <v>#VALUE!</v>
      </c>
      <c r="AD82" s="93"/>
      <c r="AH82" s="6" t="s">
        <v>93</v>
      </c>
      <c r="AI82" s="70">
        <f>WLS*(AD84-AD83)</f>
        <v>1</v>
      </c>
      <c r="AU82" s="81"/>
    </row>
    <row r="83" spans="1:47" x14ac:dyDescent="0.25">
      <c r="A83" s="84">
        <f>A82+1</f>
        <v>10</v>
      </c>
      <c r="B83" s="84">
        <f t="shared" si="27"/>
        <v>5</v>
      </c>
      <c r="C83" s="80" t="str">
        <f t="shared" ref="C83" si="33">IF(OR(B85-B84=B84-B83,B85-B84=B84-B82,B85-B84=B84-B81),B84,IF(OR(B85-B83=B83-B82,B85-B83=B83-B81),B83,IF(B85-B82=B82-B81,B82,"#NA")))</f>
        <v>#NA</v>
      </c>
      <c r="D83" s="76" t="e">
        <f>VLOOKUP(C83,STN_TABLE,2,FALSE)</f>
        <v>#N/A</v>
      </c>
      <c r="E83" s="81">
        <v>4</v>
      </c>
      <c r="F83" s="76" t="e">
        <f>D83*E83</f>
        <v>#N/A</v>
      </c>
      <c r="G83" s="77" t="str">
        <f>C83</f>
        <v>#NA</v>
      </c>
      <c r="H83" s="77" t="e">
        <f>F83*G83</f>
        <v>#N/A</v>
      </c>
      <c r="I83" s="495" t="s">
        <v>97</v>
      </c>
      <c r="J83" s="496"/>
      <c r="K83" s="78" t="s">
        <v>98</v>
      </c>
      <c r="L83" s="78"/>
      <c r="M83" s="7" t="s">
        <v>99</v>
      </c>
      <c r="N83" s="7"/>
      <c r="O83" s="99">
        <f>O82+1</f>
        <v>12</v>
      </c>
      <c r="P83" s="99">
        <f t="shared" si="23"/>
        <v>6.5</v>
      </c>
      <c r="Q83" s="76">
        <f>P83</f>
        <v>6.5</v>
      </c>
      <c r="R83" s="77">
        <f>VLOOKUP(Q83,STN_TABLE,2,FALSE)</f>
        <v>11</v>
      </c>
      <c r="S83" s="77">
        <v>8</v>
      </c>
      <c r="T83" s="76">
        <f>R83*S83</f>
        <v>88</v>
      </c>
      <c r="U83" s="80">
        <v>10</v>
      </c>
      <c r="V83" s="76">
        <f>R83*U83</f>
        <v>110</v>
      </c>
      <c r="W83" s="496" t="s">
        <v>97</v>
      </c>
      <c r="X83" s="496"/>
      <c r="Y83" s="496" t="s">
        <v>98</v>
      </c>
      <c r="Z83" s="496"/>
      <c r="AA83" s="494" t="s">
        <v>99</v>
      </c>
      <c r="AB83" s="494"/>
      <c r="AC83" s="99">
        <f>AC78+1</f>
        <v>11</v>
      </c>
      <c r="AD83" s="95">
        <f>VLOOKUP(AC83,STN_TABLE_2,2,FALSE)</f>
        <v>6</v>
      </c>
      <c r="AE83" s="68">
        <f>VLOOKUP(AD83,STN_TABLE,2,FALSE)</f>
        <v>11</v>
      </c>
      <c r="AF83" s="68">
        <v>1</v>
      </c>
      <c r="AG83" s="69">
        <f>AE83*AF83</f>
        <v>11</v>
      </c>
      <c r="AH83" s="496" t="s">
        <v>97</v>
      </c>
      <c r="AI83" s="496"/>
      <c r="AJ83" s="496" t="s">
        <v>98</v>
      </c>
      <c r="AK83" s="496"/>
      <c r="AL83" s="494" t="s">
        <v>99</v>
      </c>
      <c r="AM83" s="494"/>
      <c r="AP83" s="86" t="s">
        <v>112</v>
      </c>
      <c r="AQ83" s="89" t="s">
        <v>113</v>
      </c>
      <c r="AR83" s="89" t="s">
        <v>114</v>
      </c>
      <c r="AS83" s="89" t="s">
        <v>115</v>
      </c>
      <c r="AU83" s="81"/>
    </row>
    <row r="84" spans="1:47" x14ac:dyDescent="0.25">
      <c r="A84" s="84">
        <f>A83+1</f>
        <v>11</v>
      </c>
      <c r="B84" s="84">
        <f t="shared" si="27"/>
        <v>6</v>
      </c>
      <c r="C84" s="88">
        <f t="shared" ref="C84" si="34">B85</f>
        <v>6.5</v>
      </c>
      <c r="D84" s="82">
        <f>VLOOKUP(C84,STN_TABLE,2,FALSE)</f>
        <v>11</v>
      </c>
      <c r="E84" s="92">
        <v>1</v>
      </c>
      <c r="F84" s="82">
        <f>D84*E84</f>
        <v>11</v>
      </c>
      <c r="G84" s="83">
        <f>C84</f>
        <v>6.5</v>
      </c>
      <c r="H84" s="83">
        <f>F84*G84</f>
        <v>71.5</v>
      </c>
      <c r="I84" s="84" t="str">
        <f>CONCATENATE("a'(",C84,")=")</f>
        <v>a'(6.5)=</v>
      </c>
      <c r="J84" s="84" t="e">
        <f>2*J82/3*F85</f>
        <v>#N/A</v>
      </c>
      <c r="K84" s="84" t="str">
        <f>CONCATENATE("A(",C82,")=")</f>
        <v>A(#NA)=</v>
      </c>
      <c r="L84" s="84" t="e">
        <f>VLOOKUP(C82,STN_TABLE,3,FALSE)</f>
        <v>#N/A</v>
      </c>
      <c r="M84" t="str">
        <f>CONCATENATE("A(",C84,")=")</f>
        <v>A(6.5)=</v>
      </c>
      <c r="N84" t="e">
        <f>J84+L84</f>
        <v>#N/A</v>
      </c>
      <c r="O84" s="99">
        <f>O83+1</f>
        <v>13</v>
      </c>
      <c r="P84" s="99" t="str">
        <f t="shared" si="23"/>
        <v xml:space="preserve">  </v>
      </c>
      <c r="Q84" s="82" t="e">
        <f>IF(P84-P83=P83-P82,P84,IF(P85-P83=P83-P82,P85,IF(P84-P83=P83-P81,P84,IF(P85-P83=P83-P81,P85,"-"))))</f>
        <v>#VALUE!</v>
      </c>
      <c r="R84" s="83" t="e">
        <f>VLOOKUP(Q84,STN_TABLE,2,FALSE)</f>
        <v>#VALUE!</v>
      </c>
      <c r="S84" s="83">
        <v>-1</v>
      </c>
      <c r="T84" s="82" t="e">
        <f>R84*S84</f>
        <v>#VALUE!</v>
      </c>
      <c r="U84" s="88">
        <v>-1</v>
      </c>
      <c r="V84" s="82" t="e">
        <f>R84*U84</f>
        <v>#VALUE!</v>
      </c>
      <c r="W84" s="84" t="str">
        <f>CONCATENATE("a'(",Q83,")=")</f>
        <v>a'(6.5)=</v>
      </c>
      <c r="X84" s="84" t="e">
        <f>2*X82/12*T85</f>
        <v>#VALUE!</v>
      </c>
      <c r="Y84" s="84" t="e">
        <f>CONCATENATE("A(",Q82,")=")</f>
        <v>#VALUE!</v>
      </c>
      <c r="Z84" s="84" t="e">
        <f>VLOOKUP(Q82,STN_TABLE,3,FALSE)</f>
        <v>#VALUE!</v>
      </c>
      <c r="AA84" t="str">
        <f>CONCATENATE("A(",Q83,")=")</f>
        <v>A(6.5)=</v>
      </c>
      <c r="AB84" t="e">
        <f>X84+Z84</f>
        <v>#VALUE!</v>
      </c>
      <c r="AC84" s="99">
        <f>AC83+1</f>
        <v>12</v>
      </c>
      <c r="AD84" s="100">
        <f>VLOOKUP(AC84,STN_TABLE_2,2,FALSE)</f>
        <v>6.5</v>
      </c>
      <c r="AE84" s="82">
        <f>VLOOKUP(AD84,STN_TABLE,2,FALSE)</f>
        <v>11</v>
      </c>
      <c r="AF84" s="82">
        <v>2</v>
      </c>
      <c r="AG84" s="83">
        <f>AE84*AF84</f>
        <v>22</v>
      </c>
      <c r="AH84" s="84" t="str">
        <f>CONCATENATE("a'(",AD84,")=")</f>
        <v>a'(6.5)=</v>
      </c>
      <c r="AI84" s="84">
        <f>2*AI82/2*AE85</f>
        <v>22</v>
      </c>
      <c r="AJ84" s="84" t="str">
        <f>CONCATENATE("A(",AD83,")=")</f>
        <v>A(6)=</v>
      </c>
      <c r="AK84" s="84">
        <f>VLOOKUP(AD83,STN_TABLE,3,FALSE)</f>
        <v>250.0333333333333</v>
      </c>
      <c r="AL84" t="str">
        <f>CONCATENATE("A(",AD84,")=")</f>
        <v>A(6.5)=</v>
      </c>
      <c r="AM84">
        <f>AI84+AK84</f>
        <v>272.0333333333333</v>
      </c>
      <c r="AO84" s="68" t="str">
        <f>AA84</f>
        <v>A(6.5)=</v>
      </c>
      <c r="AP84" s="68" t="e">
        <f>VLOOKUP(AO84,Rise_Results,2,FALSE)</f>
        <v>#N/A</v>
      </c>
      <c r="AQ84" s="76" t="e">
        <f>N84</f>
        <v>#N/A</v>
      </c>
      <c r="AR84" s="76" t="e">
        <f>IF(OR(AB84&lt;=0,AB85&lt;=0),1/0,AB84)</f>
        <v>#VALUE!</v>
      </c>
      <c r="AS84" s="76">
        <f>AM84</f>
        <v>272.0333333333333</v>
      </c>
      <c r="AT84">
        <f>IFERROR(AP84,IFERROR(AQ84,IFERROR(AR84,AS84)))</f>
        <v>272.0333333333333</v>
      </c>
      <c r="AU84" s="81"/>
    </row>
    <row r="85" spans="1:47" x14ac:dyDescent="0.25">
      <c r="A85" s="84">
        <f>A84+1</f>
        <v>12</v>
      </c>
      <c r="B85" s="84">
        <f t="shared" si="27"/>
        <v>6.5</v>
      </c>
      <c r="F85" s="82" t="e">
        <f>SUM(F82:F84)</f>
        <v>#N/A</v>
      </c>
      <c r="H85" s="82" t="e">
        <f>SUM(H82:H84)</f>
        <v>#N/A</v>
      </c>
      <c r="I85" s="84" t="str">
        <f>CONCATENATE("m'(",C84,")=")</f>
        <v>m'(6.5)=</v>
      </c>
      <c r="J85" s="84" t="e">
        <f>2*(J82*(WLS))/3*H85</f>
        <v>#N/A</v>
      </c>
      <c r="K85" s="84" t="str">
        <f>CONCATENATE("M(",C82,")=")</f>
        <v>M(#NA)=</v>
      </c>
      <c r="L85" s="84" t="e">
        <f>VLOOKUP(C82,STN_TABLE,4,FALSE)</f>
        <v>#N/A</v>
      </c>
      <c r="M85" t="str">
        <f>CONCATENATE("M(",C84,")=")</f>
        <v>M(6.5)=</v>
      </c>
      <c r="N85" t="e">
        <f>J85+L85</f>
        <v>#N/A</v>
      </c>
      <c r="O85" s="99">
        <f>O84+1</f>
        <v>14</v>
      </c>
      <c r="P85" s="99" t="str">
        <f t="shared" si="23"/>
        <v xml:space="preserve">  </v>
      </c>
      <c r="T85" s="89" t="e">
        <f>SUM(T82:T84)</f>
        <v>#VALUE!</v>
      </c>
      <c r="V85" s="82" t="e">
        <f>SUM(V82:V84)</f>
        <v>#VALUE!</v>
      </c>
      <c r="W85" s="84" t="str">
        <f>CONCATENATE("m'(",Q83,")=")</f>
        <v>m'(6.5)=</v>
      </c>
      <c r="X85" s="84" t="e">
        <f>(2*(X82^2)/24*V85)+(X84*Q82*WLS)</f>
        <v>#VALUE!</v>
      </c>
      <c r="Y85" s="84" t="e">
        <f>CONCATENATE("M(",Q82,")=")</f>
        <v>#VALUE!</v>
      </c>
      <c r="Z85" s="84" t="e">
        <f>VLOOKUP(Q82,STN_TABLE,4,FALSE)</f>
        <v>#VALUE!</v>
      </c>
      <c r="AA85" t="str">
        <f>CONCATENATE("M(",Q83,")=")</f>
        <v>M(6.5)=</v>
      </c>
      <c r="AB85" t="e">
        <f>X85+Z85</f>
        <v>#VALUE!</v>
      </c>
      <c r="AE85" s="89">
        <f>SUM(AE83:AE84)</f>
        <v>22</v>
      </c>
      <c r="AG85" s="89">
        <f>SUM(AG83:AG84)</f>
        <v>33</v>
      </c>
      <c r="AH85" s="84" t="str">
        <f>CONCATENATE("m'(",AD84,")=")</f>
        <v>m'(6.5)=</v>
      </c>
      <c r="AI85" s="84">
        <f>(2*(AI82^2)/6*AG85)+(AI84*AD83*WLS)</f>
        <v>275</v>
      </c>
      <c r="AJ85" s="84" t="str">
        <f>CONCATENATE("M(",AD83,")=")</f>
        <v>M(6)=</v>
      </c>
      <c r="AK85" s="84">
        <f>VLOOKUP(AD83,STN_TABLE,4,FALSE)</f>
        <v>1547.2433333333333</v>
      </c>
      <c r="AL85" t="str">
        <f>CONCATENATE("M(",AD84,")=")</f>
        <v>M(6.5)=</v>
      </c>
      <c r="AM85">
        <f>AI85+AK85</f>
        <v>1822.2433333333333</v>
      </c>
      <c r="AO85" s="82" t="str">
        <f>AA85</f>
        <v>M(6.5)=</v>
      </c>
      <c r="AP85" s="82" t="e">
        <f>VLOOKUP(AO85,Rise_Results,2,FALSE)</f>
        <v>#N/A</v>
      </c>
      <c r="AQ85" s="82" t="e">
        <f>N85</f>
        <v>#N/A</v>
      </c>
      <c r="AR85" s="82" t="e">
        <f>IF(OR(AB84&lt;=0,AB85&lt;=0),1/0,AB85)</f>
        <v>#VALUE!</v>
      </c>
      <c r="AS85" s="82">
        <f>AM85</f>
        <v>1822.2433333333333</v>
      </c>
      <c r="AT85">
        <f>IFERROR(AP85,IFERROR(AQ85,IFERROR(AR85,AS85)))</f>
        <v>1822.2433333333333</v>
      </c>
      <c r="AU85" s="81"/>
    </row>
    <row r="86" spans="1:47" x14ac:dyDescent="0.25">
      <c r="A86" s="101">
        <f>A81+1</f>
        <v>9</v>
      </c>
      <c r="B86" s="101">
        <f t="shared" si="27"/>
        <v>4.8499999999999996</v>
      </c>
      <c r="O86" s="101">
        <f>O81+1</f>
        <v>11</v>
      </c>
      <c r="P86" s="101">
        <f t="shared" si="23"/>
        <v>6</v>
      </c>
      <c r="AU86" s="81"/>
    </row>
    <row r="87" spans="1:47" x14ac:dyDescent="0.25">
      <c r="A87" s="84">
        <f>A86+1</f>
        <v>10</v>
      </c>
      <c r="B87" s="84">
        <f t="shared" si="27"/>
        <v>5</v>
      </c>
      <c r="C87" s="79" t="e">
        <f t="shared" ref="C87" si="35">IF(C88=B89,IF(C89-C88=C88-B88,B88,IF(C89-C88=C88-B87,B87,"#NA")),IF(C88=B88,IF(C89-C88=C88-B87,B87,IF(C89-C88=C88-B86,B86,"#NA")),"#NA"))</f>
        <v>#VALUE!</v>
      </c>
      <c r="D87" s="68" t="e">
        <f>VLOOKUP(C87,STN_TABLE,2,FALSE)</f>
        <v>#VALUE!</v>
      </c>
      <c r="E87" s="102">
        <v>1</v>
      </c>
      <c r="F87" s="68" t="e">
        <f>D87*E87</f>
        <v>#VALUE!</v>
      </c>
      <c r="G87" s="69" t="e">
        <f>C87</f>
        <v>#VALUE!</v>
      </c>
      <c r="H87" s="69" t="e">
        <f>F87*G87</f>
        <v>#VALUE!</v>
      </c>
      <c r="I87" s="6" t="s">
        <v>93</v>
      </c>
      <c r="J87" s="70" t="e">
        <f>IF(OR(D87=0,D88=0,D89=0),"#NA",IF(AND(C89-C88=C88-C87,C88&lt;&gt;C89,C87&lt;&gt;C88,C87&lt;&gt;C89,D89&lt;&gt;0,OR(D87&lt;&gt;0,D88&lt;&gt;0)),WLS*(C89-C88),"#NA"))</f>
        <v>#VALUE!</v>
      </c>
      <c r="O87" s="99">
        <f>O86+1</f>
        <v>12</v>
      </c>
      <c r="P87" s="99">
        <f t="shared" si="23"/>
        <v>6.5</v>
      </c>
      <c r="Q87" s="68" t="e">
        <f>IF(OR(P89-P88=P88-P87,P90-P88=P88-P87),P87,IF(OR(P89-P88=P88-P86,P90-P88=P88-P86),P86,"-"))</f>
        <v>#VALUE!</v>
      </c>
      <c r="R87" s="69" t="e">
        <f>VLOOKUP(Q87,STN_TABLE,2,FALSE)</f>
        <v>#VALUE!</v>
      </c>
      <c r="S87" s="69">
        <v>5</v>
      </c>
      <c r="T87" s="68" t="e">
        <f>R87*S87</f>
        <v>#VALUE!</v>
      </c>
      <c r="U87" s="79">
        <v>3</v>
      </c>
      <c r="V87" s="68" t="e">
        <f>R87*U87</f>
        <v>#VALUE!</v>
      </c>
      <c r="W87" s="6" t="s">
        <v>93</v>
      </c>
      <c r="X87" s="70" t="e">
        <f>IF(AND(Q89-Q88=Q88-Q87,NOT(AND(Q87=0,Q88=0)),NOT(AND(Q88=0,Q89=0))),WLS*(Q89-Q88),"#NA")</f>
        <v>#VALUE!</v>
      </c>
      <c r="AD87" s="93"/>
      <c r="AH87" s="6" t="s">
        <v>93</v>
      </c>
      <c r="AI87" s="70" t="e">
        <f>WLS*(AD89-AD88)</f>
        <v>#VALUE!</v>
      </c>
      <c r="AU87" s="81"/>
    </row>
    <row r="88" spans="1:47" x14ac:dyDescent="0.25">
      <c r="A88" s="84">
        <f>A87+1</f>
        <v>11</v>
      </c>
      <c r="B88" s="84">
        <f t="shared" si="27"/>
        <v>6</v>
      </c>
      <c r="C88" s="80" t="e">
        <f t="shared" ref="C88" si="36">IF(OR(B90-B89=B89-B88,B90-B89=B89-B87,B90-B89=B89-B86),B89,IF(OR(B90-B88=B88-B87,B90-B88=B88-B86),B88,IF(B90-B87=B87-B86,B87,"#NA")))</f>
        <v>#VALUE!</v>
      </c>
      <c r="D88" s="76" t="e">
        <f>VLOOKUP(C88,STN_TABLE,2,FALSE)</f>
        <v>#VALUE!</v>
      </c>
      <c r="E88" s="81">
        <v>4</v>
      </c>
      <c r="F88" s="76" t="e">
        <f>D88*E88</f>
        <v>#VALUE!</v>
      </c>
      <c r="G88" s="77" t="e">
        <f>C88</f>
        <v>#VALUE!</v>
      </c>
      <c r="H88" s="77" t="e">
        <f>F88*G88</f>
        <v>#VALUE!</v>
      </c>
      <c r="I88" s="495" t="s">
        <v>97</v>
      </c>
      <c r="J88" s="496"/>
      <c r="K88" s="78" t="s">
        <v>98</v>
      </c>
      <c r="L88" s="78"/>
      <c r="M88" s="7" t="s">
        <v>99</v>
      </c>
      <c r="N88" s="7"/>
      <c r="O88" s="99">
        <f>O87+1</f>
        <v>13</v>
      </c>
      <c r="P88" s="99" t="str">
        <f t="shared" si="23"/>
        <v xml:space="preserve">  </v>
      </c>
      <c r="Q88" s="76" t="str">
        <f>P88</f>
        <v xml:space="preserve">  </v>
      </c>
      <c r="R88" s="77" t="str">
        <f>VLOOKUP(Q88,STN_TABLE,2,FALSE)</f>
        <v xml:space="preserve">  </v>
      </c>
      <c r="S88" s="77">
        <v>8</v>
      </c>
      <c r="T88" s="76" t="e">
        <f>R88*S88</f>
        <v>#VALUE!</v>
      </c>
      <c r="U88" s="80">
        <v>10</v>
      </c>
      <c r="V88" s="76" t="e">
        <f>R88*U88</f>
        <v>#VALUE!</v>
      </c>
      <c r="W88" s="496" t="s">
        <v>97</v>
      </c>
      <c r="X88" s="496"/>
      <c r="Y88" s="496" t="s">
        <v>98</v>
      </c>
      <c r="Z88" s="496"/>
      <c r="AA88" s="494" t="s">
        <v>99</v>
      </c>
      <c r="AB88" s="494"/>
      <c r="AC88" s="99">
        <f>AC83+1</f>
        <v>12</v>
      </c>
      <c r="AD88" s="95">
        <f>VLOOKUP(AC88,STN_TABLE_2,2,FALSE)</f>
        <v>6.5</v>
      </c>
      <c r="AE88" s="68">
        <f>VLOOKUP(AD88,STN_TABLE,2,FALSE)</f>
        <v>11</v>
      </c>
      <c r="AF88" s="68">
        <v>1</v>
      </c>
      <c r="AG88" s="69">
        <f>AE88*AF88</f>
        <v>11</v>
      </c>
      <c r="AH88" s="496" t="s">
        <v>97</v>
      </c>
      <c r="AI88" s="496"/>
      <c r="AJ88" s="496" t="s">
        <v>98</v>
      </c>
      <c r="AK88" s="496"/>
      <c r="AL88" s="494" t="s">
        <v>99</v>
      </c>
      <c r="AM88" s="494"/>
      <c r="AP88" s="86" t="s">
        <v>112</v>
      </c>
      <c r="AQ88" s="89" t="s">
        <v>113</v>
      </c>
      <c r="AR88" s="89" t="s">
        <v>114</v>
      </c>
      <c r="AS88" s="89" t="s">
        <v>115</v>
      </c>
      <c r="AU88" s="81"/>
    </row>
    <row r="89" spans="1:47" x14ac:dyDescent="0.25">
      <c r="A89" s="84">
        <f>A88+1</f>
        <v>12</v>
      </c>
      <c r="B89" s="84">
        <f t="shared" si="27"/>
        <v>6.5</v>
      </c>
      <c r="C89" s="88" t="str">
        <f t="shared" ref="C89" si="37">B90</f>
        <v xml:space="preserve">  </v>
      </c>
      <c r="D89" s="82" t="str">
        <f>VLOOKUP(C89,STN_TABLE,2,FALSE)</f>
        <v xml:space="preserve">  </v>
      </c>
      <c r="E89" s="92">
        <v>1</v>
      </c>
      <c r="F89" s="82" t="e">
        <f>D89*E89</f>
        <v>#VALUE!</v>
      </c>
      <c r="G89" s="83" t="str">
        <f>C89</f>
        <v xml:space="preserve">  </v>
      </c>
      <c r="H89" s="83" t="e">
        <f>F89*G89</f>
        <v>#VALUE!</v>
      </c>
      <c r="I89" s="84" t="str">
        <f>CONCATENATE("a'(",C89,")=")</f>
        <v>a'(  )=</v>
      </c>
      <c r="J89" s="84" t="e">
        <f>2*J87/3*F90</f>
        <v>#VALUE!</v>
      </c>
      <c r="K89" s="84" t="e">
        <f>CONCATENATE("A(",C87,")=")</f>
        <v>#VALUE!</v>
      </c>
      <c r="L89" s="84" t="e">
        <f>VLOOKUP(C87,STN_TABLE,3,FALSE)</f>
        <v>#VALUE!</v>
      </c>
      <c r="M89" t="str">
        <f>CONCATENATE("A(",C89,")=")</f>
        <v>A(  )=</v>
      </c>
      <c r="N89" t="e">
        <f>J89+L89</f>
        <v>#VALUE!</v>
      </c>
      <c r="O89" s="99">
        <f>O88+1</f>
        <v>14</v>
      </c>
      <c r="P89" s="99" t="str">
        <f t="shared" si="23"/>
        <v xml:space="preserve">  </v>
      </c>
      <c r="Q89" s="82" t="e">
        <f>IF(P89-P88=P88-P87,P89,IF(P90-P88=P88-P87,P90,IF(P89-P88=P88-P86,P89,IF(P90-P88=P88-P86,P90,"-"))))</f>
        <v>#VALUE!</v>
      </c>
      <c r="R89" s="83" t="e">
        <f>VLOOKUP(Q89,STN_TABLE,2,FALSE)</f>
        <v>#VALUE!</v>
      </c>
      <c r="S89" s="83">
        <v>-1</v>
      </c>
      <c r="T89" s="82" t="e">
        <f>R89*S89</f>
        <v>#VALUE!</v>
      </c>
      <c r="U89" s="88">
        <v>-1</v>
      </c>
      <c r="V89" s="82" t="e">
        <f>R89*U89</f>
        <v>#VALUE!</v>
      </c>
      <c r="W89" s="84" t="str">
        <f>CONCATENATE("a'(",Q88,")=")</f>
        <v>a'(  )=</v>
      </c>
      <c r="X89" s="84" t="e">
        <f>2*X87/12*T90</f>
        <v>#VALUE!</v>
      </c>
      <c r="Y89" s="84" t="e">
        <f>CONCATENATE("A(",Q87,")=")</f>
        <v>#VALUE!</v>
      </c>
      <c r="Z89" s="84" t="e">
        <f>VLOOKUP(Q87,STN_TABLE,3,FALSE)</f>
        <v>#VALUE!</v>
      </c>
      <c r="AA89" t="str">
        <f>CONCATENATE("A(",Q88,")=")</f>
        <v>A(  )=</v>
      </c>
      <c r="AB89" t="e">
        <f>X89+Z89</f>
        <v>#VALUE!</v>
      </c>
      <c r="AC89" s="99">
        <f>AC88+1</f>
        <v>13</v>
      </c>
      <c r="AD89" s="100" t="str">
        <f>VLOOKUP(AC89,STN_TABLE_2,2,FALSE)</f>
        <v xml:space="preserve">  </v>
      </c>
      <c r="AE89" s="82" t="str">
        <f>VLOOKUP(AD89,STN_TABLE,2,FALSE)</f>
        <v xml:space="preserve">  </v>
      </c>
      <c r="AF89" s="82">
        <v>2</v>
      </c>
      <c r="AG89" s="83" t="e">
        <f>AE89*AF89</f>
        <v>#VALUE!</v>
      </c>
      <c r="AH89" s="84" t="str">
        <f>CONCATENATE("a'(",AD89,")=")</f>
        <v>a'(  )=</v>
      </c>
      <c r="AI89" s="84" t="e">
        <f>2*AI87/2*AE90</f>
        <v>#VALUE!</v>
      </c>
      <c r="AJ89" s="84" t="str">
        <f>CONCATENATE("A(",AD88,")=")</f>
        <v>A(6.5)=</v>
      </c>
      <c r="AK89" s="84">
        <f>VLOOKUP(AD88,STN_TABLE,3,FALSE)</f>
        <v>272.0333333333333</v>
      </c>
      <c r="AL89" t="str">
        <f>CONCATENATE("A(",AD89,")=")</f>
        <v>A(  )=</v>
      </c>
      <c r="AM89" t="e">
        <f>AI89+AK89</f>
        <v>#VALUE!</v>
      </c>
      <c r="AO89" s="68" t="str">
        <f>AA89</f>
        <v>A(  )=</v>
      </c>
      <c r="AP89" s="68" t="e">
        <f>VLOOKUP(AO89,Rise_Results,2,FALSE)</f>
        <v>#N/A</v>
      </c>
      <c r="AQ89" s="76" t="e">
        <f>N89</f>
        <v>#VALUE!</v>
      </c>
      <c r="AR89" s="76" t="e">
        <f>IF(OR(AB89&lt;=0,AB90&lt;=0),1/0,AB89)</f>
        <v>#VALUE!</v>
      </c>
      <c r="AS89" s="76" t="e">
        <f>AM89</f>
        <v>#VALUE!</v>
      </c>
      <c r="AT89" t="e">
        <f>IFERROR(AP89,IFERROR(AQ89,IFERROR(AR89,AS89)))</f>
        <v>#VALUE!</v>
      </c>
      <c r="AU89" s="81"/>
    </row>
    <row r="90" spans="1:47" x14ac:dyDescent="0.25">
      <c r="A90" s="84">
        <f>A89+1</f>
        <v>13</v>
      </c>
      <c r="B90" s="84" t="str">
        <f t="shared" si="27"/>
        <v xml:space="preserve">  </v>
      </c>
      <c r="F90" s="82" t="e">
        <f>SUM(F87:F89)</f>
        <v>#VALUE!</v>
      </c>
      <c r="H90" s="82" t="e">
        <f>SUM(H87:H89)</f>
        <v>#VALUE!</v>
      </c>
      <c r="I90" s="84" t="str">
        <f>CONCATENATE("m'(",C89,")=")</f>
        <v>m'(  )=</v>
      </c>
      <c r="J90" s="84" t="e">
        <f>2*(J87*(WLS))/3*H90</f>
        <v>#VALUE!</v>
      </c>
      <c r="K90" s="84" t="e">
        <f>CONCATENATE("M(",C87,")=")</f>
        <v>#VALUE!</v>
      </c>
      <c r="L90" s="84" t="e">
        <f>VLOOKUP(C87,STN_TABLE,4,FALSE)</f>
        <v>#VALUE!</v>
      </c>
      <c r="M90" t="str">
        <f>CONCATENATE("M(",C89,")=")</f>
        <v>M(  )=</v>
      </c>
      <c r="N90" t="e">
        <f>J90+L90</f>
        <v>#VALUE!</v>
      </c>
      <c r="O90" s="99">
        <f>O89+1</f>
        <v>15</v>
      </c>
      <c r="P90" s="99" t="str">
        <f t="shared" si="23"/>
        <v xml:space="preserve">  </v>
      </c>
      <c r="T90" s="89" t="e">
        <f>SUM(T87:T89)</f>
        <v>#VALUE!</v>
      </c>
      <c r="V90" s="82" t="e">
        <f>SUM(V87:V89)</f>
        <v>#VALUE!</v>
      </c>
      <c r="W90" s="84" t="str">
        <f>CONCATENATE("m'(",Q88,")=")</f>
        <v>m'(  )=</v>
      </c>
      <c r="X90" s="84" t="e">
        <f>(2*(X87^2)/24*V90)+(X89*Q87*WLS)</f>
        <v>#VALUE!</v>
      </c>
      <c r="Y90" s="84" t="e">
        <f>CONCATENATE("M(",Q87,")=")</f>
        <v>#VALUE!</v>
      </c>
      <c r="Z90" s="84" t="e">
        <f>VLOOKUP(Q87,STN_TABLE,4,FALSE)</f>
        <v>#VALUE!</v>
      </c>
      <c r="AA90" t="str">
        <f>CONCATENATE("M(",Q88,")=")</f>
        <v>M(  )=</v>
      </c>
      <c r="AB90" t="e">
        <f>X90+Z90</f>
        <v>#VALUE!</v>
      </c>
      <c r="AE90" s="89">
        <f>SUM(AE88:AE89)</f>
        <v>11</v>
      </c>
      <c r="AG90" s="89" t="e">
        <f>SUM(AG88:AG89)</f>
        <v>#VALUE!</v>
      </c>
      <c r="AH90" s="84" t="str">
        <f>CONCATENATE("m'(",AD89,")=")</f>
        <v>m'(  )=</v>
      </c>
      <c r="AI90" s="84" t="e">
        <f>(2*(AI87^2)/6*AG90)+(AI89*AD88*WLS)</f>
        <v>#VALUE!</v>
      </c>
      <c r="AJ90" s="84" t="str">
        <f>CONCATENATE("M(",AD88,")=")</f>
        <v>M(6.5)=</v>
      </c>
      <c r="AK90" s="84">
        <f>VLOOKUP(AD88,STN_TABLE,4,FALSE)</f>
        <v>1822.2433333333333</v>
      </c>
      <c r="AL90" t="str">
        <f>CONCATENATE("M(",AD89,")=")</f>
        <v>M(  )=</v>
      </c>
      <c r="AM90" t="e">
        <f>AI90+AK90</f>
        <v>#VALUE!</v>
      </c>
      <c r="AO90" s="82" t="str">
        <f>AA90</f>
        <v>M(  )=</v>
      </c>
      <c r="AP90" s="82" t="e">
        <f>VLOOKUP(AO90,Rise_Results,2,FALSE)</f>
        <v>#N/A</v>
      </c>
      <c r="AQ90" s="82" t="e">
        <f>N90</f>
        <v>#VALUE!</v>
      </c>
      <c r="AR90" s="82" t="e">
        <f>IF(OR(AB89&lt;=0,AB90&lt;=0),1/0,AB90)</f>
        <v>#VALUE!</v>
      </c>
      <c r="AS90" s="82" t="e">
        <f>AM90</f>
        <v>#VALUE!</v>
      </c>
      <c r="AT90" t="e">
        <f>IFERROR(AP90,IFERROR(AQ90,IFERROR(AR90,AS90)))</f>
        <v>#VALUE!</v>
      </c>
      <c r="AU90" s="81"/>
    </row>
    <row r="91" spans="1:47" x14ac:dyDescent="0.25">
      <c r="A91" s="101">
        <f>A86+1</f>
        <v>10</v>
      </c>
      <c r="B91" s="101">
        <f t="shared" si="27"/>
        <v>5</v>
      </c>
      <c r="O91" s="101">
        <f>O86+1</f>
        <v>12</v>
      </c>
      <c r="P91" s="101">
        <f t="shared" si="23"/>
        <v>6.5</v>
      </c>
      <c r="AU91" s="81"/>
    </row>
    <row r="92" spans="1:47" x14ac:dyDescent="0.25">
      <c r="A92" s="84">
        <f>A91+1</f>
        <v>11</v>
      </c>
      <c r="B92" s="84">
        <f t="shared" si="27"/>
        <v>6</v>
      </c>
      <c r="C92" s="79" t="e">
        <f t="shared" ref="C92" si="38">IF(C93=B94,IF(C94-C93=C93-B93,B93,IF(C94-C93=C93-B92,B92,"#NA")),IF(C93=B93,IF(C94-C93=C93-B92,B92,IF(C94-C93=C93-B91,B91,"#NA")),"#NA"))</f>
        <v>#VALUE!</v>
      </c>
      <c r="D92" s="68" t="e">
        <f>VLOOKUP(C92,STN_TABLE,2,FALSE)</f>
        <v>#VALUE!</v>
      </c>
      <c r="E92" s="102">
        <v>1</v>
      </c>
      <c r="F92" s="68" t="e">
        <f>D92*E92</f>
        <v>#VALUE!</v>
      </c>
      <c r="G92" s="69" t="e">
        <f>C92</f>
        <v>#VALUE!</v>
      </c>
      <c r="H92" s="69" t="e">
        <f>F92*G92</f>
        <v>#VALUE!</v>
      </c>
      <c r="I92" s="6" t="s">
        <v>93</v>
      </c>
      <c r="J92" s="70" t="e">
        <f>IF(OR(D92=0,D93=0,D94=0),"#NA",IF(AND(C94-C93=C93-C92,C93&lt;&gt;C94,C92&lt;&gt;C93,C92&lt;&gt;C94,D94&lt;&gt;0,OR(D92&lt;&gt;0,D93&lt;&gt;0)),WLS*(C94-C93),"#NA"))</f>
        <v>#VALUE!</v>
      </c>
      <c r="O92" s="99">
        <f>O91+1</f>
        <v>13</v>
      </c>
      <c r="P92" s="99" t="str">
        <f t="shared" si="23"/>
        <v xml:space="preserve">  </v>
      </c>
      <c r="Q92" s="68" t="e">
        <f>IF(OR(P94-P93=P93-P92,P95-P93=P93-P92),P92,IF(OR(P94-P93=P93-P91,P95-P93=P93-P91),P91,"-"))</f>
        <v>#VALUE!</v>
      </c>
      <c r="R92" s="69" t="e">
        <f>VLOOKUP(Q92,STN_TABLE,2,FALSE)</f>
        <v>#VALUE!</v>
      </c>
      <c r="S92" s="69">
        <v>5</v>
      </c>
      <c r="T92" s="68" t="e">
        <f>R92*S92</f>
        <v>#VALUE!</v>
      </c>
      <c r="U92" s="79">
        <v>3</v>
      </c>
      <c r="V92" s="68" t="e">
        <f>R92*U92</f>
        <v>#VALUE!</v>
      </c>
      <c r="W92" s="6" t="s">
        <v>93</v>
      </c>
      <c r="X92" s="70" t="e">
        <f>IF(AND(Q94-Q93=Q93-Q92,NOT(AND(Q92=0,Q93=0)),NOT(AND(Q93=0,Q94=0))),WLS*(Q94-Q93),"#NA")</f>
        <v>#VALUE!</v>
      </c>
      <c r="AD92" s="93"/>
      <c r="AH92" s="6" t="s">
        <v>93</v>
      </c>
      <c r="AI92" s="70" t="e">
        <f>WLS*(AD94-AD93)</f>
        <v>#VALUE!</v>
      </c>
      <c r="AU92" s="81"/>
    </row>
    <row r="93" spans="1:47" x14ac:dyDescent="0.25">
      <c r="A93" s="84">
        <f>A92+1</f>
        <v>12</v>
      </c>
      <c r="B93" s="84">
        <f t="shared" si="27"/>
        <v>6.5</v>
      </c>
      <c r="C93" s="80" t="e">
        <f t="shared" ref="C93" si="39">IF(OR(B95-B94=B94-B93,B95-B94=B94-B92,B95-B94=B94-B91),B94,IF(OR(B95-B93=B93-B92,B95-B93=B93-B91),B93,IF(B95-B92=B92-B91,B92,"#NA")))</f>
        <v>#VALUE!</v>
      </c>
      <c r="D93" s="76" t="e">
        <f>VLOOKUP(C93,STN_TABLE,2,FALSE)</f>
        <v>#VALUE!</v>
      </c>
      <c r="E93" s="81">
        <v>4</v>
      </c>
      <c r="F93" s="76" t="e">
        <f>D93*E93</f>
        <v>#VALUE!</v>
      </c>
      <c r="G93" s="77" t="e">
        <f>C93</f>
        <v>#VALUE!</v>
      </c>
      <c r="H93" s="77" t="e">
        <f>F93*G93</f>
        <v>#VALUE!</v>
      </c>
      <c r="I93" s="495" t="s">
        <v>97</v>
      </c>
      <c r="J93" s="496"/>
      <c r="K93" s="78" t="s">
        <v>98</v>
      </c>
      <c r="L93" s="78"/>
      <c r="M93" s="7" t="s">
        <v>99</v>
      </c>
      <c r="N93" s="7"/>
      <c r="O93" s="99">
        <f>O92+1</f>
        <v>14</v>
      </c>
      <c r="P93" s="99" t="str">
        <f t="shared" si="23"/>
        <v xml:space="preserve">  </v>
      </c>
      <c r="Q93" s="76" t="str">
        <f>P93</f>
        <v xml:space="preserve">  </v>
      </c>
      <c r="R93" s="77" t="str">
        <f>VLOOKUP(Q93,STN_TABLE,2,FALSE)</f>
        <v xml:space="preserve">  </v>
      </c>
      <c r="S93" s="77">
        <v>8</v>
      </c>
      <c r="T93" s="76" t="e">
        <f>R93*S93</f>
        <v>#VALUE!</v>
      </c>
      <c r="U93" s="80">
        <v>10</v>
      </c>
      <c r="V93" s="76" t="e">
        <f>R93*U93</f>
        <v>#VALUE!</v>
      </c>
      <c r="W93" s="496" t="s">
        <v>97</v>
      </c>
      <c r="X93" s="496"/>
      <c r="Y93" s="496" t="s">
        <v>98</v>
      </c>
      <c r="Z93" s="496"/>
      <c r="AA93" s="494" t="s">
        <v>99</v>
      </c>
      <c r="AB93" s="494"/>
      <c r="AC93" s="99">
        <f>AC88+1</f>
        <v>13</v>
      </c>
      <c r="AD93" s="95" t="str">
        <f>VLOOKUP(AC93,STN_TABLE_2,2,FALSE)</f>
        <v xml:space="preserve">  </v>
      </c>
      <c r="AE93" s="68" t="str">
        <f>VLOOKUP(AD93,STN_TABLE,2,FALSE)</f>
        <v xml:space="preserve">  </v>
      </c>
      <c r="AF93" s="68">
        <v>1</v>
      </c>
      <c r="AG93" s="69" t="e">
        <f>AE93*AF93</f>
        <v>#VALUE!</v>
      </c>
      <c r="AH93" s="496" t="s">
        <v>97</v>
      </c>
      <c r="AI93" s="496"/>
      <c r="AJ93" s="496" t="s">
        <v>98</v>
      </c>
      <c r="AK93" s="496"/>
      <c r="AL93" s="494" t="s">
        <v>99</v>
      </c>
      <c r="AM93" s="494"/>
      <c r="AP93" s="86" t="s">
        <v>112</v>
      </c>
      <c r="AQ93" s="89" t="s">
        <v>113</v>
      </c>
      <c r="AR93" s="89" t="s">
        <v>114</v>
      </c>
      <c r="AS93" s="89" t="s">
        <v>115</v>
      </c>
      <c r="AU93" s="81"/>
    </row>
    <row r="94" spans="1:47" x14ac:dyDescent="0.25">
      <c r="A94" s="84">
        <f>A93+1</f>
        <v>13</v>
      </c>
      <c r="B94" s="84" t="str">
        <f t="shared" si="27"/>
        <v xml:space="preserve">  </v>
      </c>
      <c r="C94" s="88" t="str">
        <f t="shared" ref="C94" si="40">B95</f>
        <v xml:space="preserve">  </v>
      </c>
      <c r="D94" s="82" t="str">
        <f>VLOOKUP(C94,STN_TABLE,2,FALSE)</f>
        <v xml:space="preserve">  </v>
      </c>
      <c r="E94" s="92">
        <v>1</v>
      </c>
      <c r="F94" s="82" t="e">
        <f>D94*E94</f>
        <v>#VALUE!</v>
      </c>
      <c r="G94" s="83" t="str">
        <f>C94</f>
        <v xml:space="preserve">  </v>
      </c>
      <c r="H94" s="83" t="e">
        <f>F94*G94</f>
        <v>#VALUE!</v>
      </c>
      <c r="I94" s="84" t="str">
        <f>CONCATENATE("a'(",C94,")=")</f>
        <v>a'(  )=</v>
      </c>
      <c r="J94" s="84" t="e">
        <f>2*J92/3*F95</f>
        <v>#VALUE!</v>
      </c>
      <c r="K94" s="84" t="e">
        <f>CONCATENATE("A(",C92,")=")</f>
        <v>#VALUE!</v>
      </c>
      <c r="L94" s="84" t="e">
        <f>VLOOKUP(C92,STN_TABLE,3,FALSE)</f>
        <v>#VALUE!</v>
      </c>
      <c r="M94" t="str">
        <f>CONCATENATE("A(",C94,")=")</f>
        <v>A(  )=</v>
      </c>
      <c r="N94" t="e">
        <f>J94+L94</f>
        <v>#VALUE!</v>
      </c>
      <c r="O94" s="99">
        <f>O93+1</f>
        <v>15</v>
      </c>
      <c r="P94" s="99" t="str">
        <f t="shared" si="23"/>
        <v xml:space="preserve">  </v>
      </c>
      <c r="Q94" s="82" t="e">
        <f>IF(P94-P93=P93-P92,P94,IF(P95-P93=P93-P92,P95,IF(P94-P93=P93-P91,P94,IF(P95-P93=P93-P91,P95,"-"))))</f>
        <v>#VALUE!</v>
      </c>
      <c r="R94" s="83" t="e">
        <f>VLOOKUP(Q94,STN_TABLE,2,FALSE)</f>
        <v>#VALUE!</v>
      </c>
      <c r="S94" s="83">
        <v>-1</v>
      </c>
      <c r="T94" s="82" t="e">
        <f>R94*S94</f>
        <v>#VALUE!</v>
      </c>
      <c r="U94" s="88">
        <v>-1</v>
      </c>
      <c r="V94" s="82" t="e">
        <f>R94*U94</f>
        <v>#VALUE!</v>
      </c>
      <c r="W94" s="84" t="str">
        <f>CONCATENATE("a'(",Q93,")=")</f>
        <v>a'(  )=</v>
      </c>
      <c r="X94" s="84" t="e">
        <f>2*X92/12*T95</f>
        <v>#VALUE!</v>
      </c>
      <c r="Y94" s="84" t="e">
        <f>CONCATENATE("A(",Q92,")=")</f>
        <v>#VALUE!</v>
      </c>
      <c r="Z94" s="84" t="e">
        <f>VLOOKUP(Q92,STN_TABLE,3,FALSE)</f>
        <v>#VALUE!</v>
      </c>
      <c r="AA94" t="str">
        <f>CONCATENATE("A(",Q93,")=")</f>
        <v>A(  )=</v>
      </c>
      <c r="AB94" t="e">
        <f>X94+Z94</f>
        <v>#VALUE!</v>
      </c>
      <c r="AC94" s="99">
        <f>AC93+1</f>
        <v>14</v>
      </c>
      <c r="AD94" s="100" t="str">
        <f>VLOOKUP(AC94,STN_TABLE_2,2,FALSE)</f>
        <v xml:space="preserve">  </v>
      </c>
      <c r="AE94" s="82" t="str">
        <f>VLOOKUP(AD94,STN_TABLE,2,FALSE)</f>
        <v xml:space="preserve">  </v>
      </c>
      <c r="AF94" s="82">
        <v>2</v>
      </c>
      <c r="AG94" s="83" t="e">
        <f>AE94*AF94</f>
        <v>#VALUE!</v>
      </c>
      <c r="AH94" s="84" t="str">
        <f>CONCATENATE("a'(",AD94,")=")</f>
        <v>a'(  )=</v>
      </c>
      <c r="AI94" s="84" t="e">
        <f>2*AI92/2*AE95</f>
        <v>#VALUE!</v>
      </c>
      <c r="AJ94" s="84" t="str">
        <f>CONCATENATE("A(",AD93,")=")</f>
        <v>A(  )=</v>
      </c>
      <c r="AK94" s="84" t="str">
        <f>VLOOKUP(AD93,STN_TABLE,3,FALSE)</f>
        <v xml:space="preserve"> </v>
      </c>
      <c r="AL94" t="str">
        <f>CONCATENATE("A(",AD94,")=")</f>
        <v>A(  )=</v>
      </c>
      <c r="AM94" t="e">
        <f>AI94+AK94</f>
        <v>#VALUE!</v>
      </c>
      <c r="AO94" s="68" t="str">
        <f>AA94</f>
        <v>A(  )=</v>
      </c>
      <c r="AP94" s="68" t="e">
        <f>VLOOKUP(AO94,Rise_Results,2,FALSE)</f>
        <v>#N/A</v>
      </c>
      <c r="AQ94" s="76" t="e">
        <f>N94</f>
        <v>#VALUE!</v>
      </c>
      <c r="AR94" s="76" t="e">
        <f>IF(OR(AB94&lt;=0,AB95&lt;=0),1/0,AB94)</f>
        <v>#VALUE!</v>
      </c>
      <c r="AS94" s="76" t="e">
        <f>AM94</f>
        <v>#VALUE!</v>
      </c>
      <c r="AT94" t="e">
        <f>IFERROR(AP94,IFERROR(AQ94,IFERROR(AR94,AS94)))</f>
        <v>#VALUE!</v>
      </c>
      <c r="AU94" s="81"/>
    </row>
    <row r="95" spans="1:47" x14ac:dyDescent="0.25">
      <c r="A95" s="84">
        <f>A94+1</f>
        <v>14</v>
      </c>
      <c r="B95" s="84" t="str">
        <f t="shared" si="27"/>
        <v xml:space="preserve">  </v>
      </c>
      <c r="F95" s="82" t="e">
        <f>SUM(F92:F94)</f>
        <v>#VALUE!</v>
      </c>
      <c r="H95" s="82" t="e">
        <f>SUM(H92:H94)</f>
        <v>#VALUE!</v>
      </c>
      <c r="I95" s="84" t="str">
        <f>CONCATENATE("m'(",C94,")=")</f>
        <v>m'(  )=</v>
      </c>
      <c r="J95" s="84" t="e">
        <f>2*(J92*(WLS))/3*H95</f>
        <v>#VALUE!</v>
      </c>
      <c r="K95" s="84" t="e">
        <f>CONCATENATE("M(",C92,")=")</f>
        <v>#VALUE!</v>
      </c>
      <c r="L95" s="84" t="e">
        <f>VLOOKUP(C92,STN_TABLE,4,FALSE)</f>
        <v>#VALUE!</v>
      </c>
      <c r="M95" t="str">
        <f>CONCATENATE("M(",C94,")=")</f>
        <v>M(  )=</v>
      </c>
      <c r="N95" t="e">
        <f>J95+L95</f>
        <v>#VALUE!</v>
      </c>
      <c r="O95" s="99">
        <f>O94+1</f>
        <v>16</v>
      </c>
      <c r="P95" s="99" t="str">
        <f t="shared" si="23"/>
        <v xml:space="preserve">  </v>
      </c>
      <c r="T95" s="89" t="e">
        <f>SUM(T92:T94)</f>
        <v>#VALUE!</v>
      </c>
      <c r="V95" s="82" t="e">
        <f>SUM(V92:V94)</f>
        <v>#VALUE!</v>
      </c>
      <c r="W95" s="84" t="str">
        <f>CONCATENATE("m'(",Q93,")=")</f>
        <v>m'(  )=</v>
      </c>
      <c r="X95" s="84" t="e">
        <f>(2*(X92^2)/24*V95)+(X94*Q92*WLS)</f>
        <v>#VALUE!</v>
      </c>
      <c r="Y95" s="84" t="e">
        <f>CONCATENATE("M(",Q92,")=")</f>
        <v>#VALUE!</v>
      </c>
      <c r="Z95" s="84" t="e">
        <f>VLOOKUP(Q92,STN_TABLE,4,FALSE)</f>
        <v>#VALUE!</v>
      </c>
      <c r="AA95" t="str">
        <f>CONCATENATE("M(",Q93,")=")</f>
        <v>M(  )=</v>
      </c>
      <c r="AB95" t="e">
        <f>X95+Z95</f>
        <v>#VALUE!</v>
      </c>
      <c r="AE95" s="89">
        <f>SUM(AE93:AE94)</f>
        <v>0</v>
      </c>
      <c r="AG95" s="89" t="e">
        <f>SUM(AG93:AG94)</f>
        <v>#VALUE!</v>
      </c>
      <c r="AH95" s="84" t="str">
        <f>CONCATENATE("m'(",AD94,")=")</f>
        <v>m'(  )=</v>
      </c>
      <c r="AI95" s="84" t="e">
        <f>(2*(AI92^2)/6*AG95)+(AI94*AD93*WLS)</f>
        <v>#VALUE!</v>
      </c>
      <c r="AJ95" s="84" t="str">
        <f>CONCATENATE("M(",AD93,")=")</f>
        <v>M(  )=</v>
      </c>
      <c r="AK95" s="84" t="str">
        <f>VLOOKUP(AD93,STN_TABLE,4,FALSE)</f>
        <v xml:space="preserve"> </v>
      </c>
      <c r="AL95" t="str">
        <f>CONCATENATE("M(",AD94,")=")</f>
        <v>M(  )=</v>
      </c>
      <c r="AM95" t="e">
        <f>AI95+AK95</f>
        <v>#VALUE!</v>
      </c>
      <c r="AO95" s="82" t="str">
        <f>AA95</f>
        <v>M(  )=</v>
      </c>
      <c r="AP95" s="82" t="e">
        <f>VLOOKUP(AO95,Rise_Results,2,FALSE)</f>
        <v>#N/A</v>
      </c>
      <c r="AQ95" s="82" t="e">
        <f>N95</f>
        <v>#VALUE!</v>
      </c>
      <c r="AR95" s="82" t="e">
        <f>IF(OR(AB94&lt;=0,AB95&lt;=0),1/0,AB95)</f>
        <v>#VALUE!</v>
      </c>
      <c r="AS95" s="82" t="e">
        <f>AM95</f>
        <v>#VALUE!</v>
      </c>
      <c r="AT95" t="e">
        <f>IFERROR(AP95,IFERROR(AQ95,IFERROR(AR95,AS95)))</f>
        <v>#VALUE!</v>
      </c>
      <c r="AU95" s="81"/>
    </row>
    <row r="96" spans="1:47" x14ac:dyDescent="0.25">
      <c r="A96" s="101">
        <f>A91+1</f>
        <v>11</v>
      </c>
      <c r="B96" s="101">
        <f t="shared" si="27"/>
        <v>6</v>
      </c>
      <c r="O96" s="101">
        <f>O91+1</f>
        <v>13</v>
      </c>
      <c r="P96" s="101" t="str">
        <f t="shared" si="23"/>
        <v xml:space="preserve">  </v>
      </c>
      <c r="AU96" s="81"/>
    </row>
    <row r="97" spans="1:47" x14ac:dyDescent="0.25">
      <c r="A97" s="84">
        <f>A96+1</f>
        <v>12</v>
      </c>
      <c r="B97" s="84">
        <f t="shared" si="27"/>
        <v>6.5</v>
      </c>
      <c r="C97" s="79" t="e">
        <f t="shared" ref="C97" si="41">IF(C98=B99,IF(C99-C98=C98-B98,B98,IF(C99-C98=C98-B97,B97,"#NA")),IF(C98=B98,IF(C99-C98=C98-B97,B97,IF(C99-C98=C98-B96,B96,"#NA")),"#NA"))</f>
        <v>#VALUE!</v>
      </c>
      <c r="D97" s="68" t="e">
        <f>VLOOKUP(C97,STN_TABLE,2,FALSE)</f>
        <v>#VALUE!</v>
      </c>
      <c r="E97" s="102">
        <v>1</v>
      </c>
      <c r="F97" s="68" t="e">
        <f>D97*E97</f>
        <v>#VALUE!</v>
      </c>
      <c r="G97" s="69" t="e">
        <f>C97</f>
        <v>#VALUE!</v>
      </c>
      <c r="H97" s="69" t="e">
        <f>F97*G97</f>
        <v>#VALUE!</v>
      </c>
      <c r="I97" s="6" t="s">
        <v>93</v>
      </c>
      <c r="J97" s="70" t="e">
        <f>IF(OR(D97=0,D98=0,D99=0),"#NA",IF(AND(C99-C98=C98-C97,C98&lt;&gt;C99,C97&lt;&gt;C98,C97&lt;&gt;C99,D99&lt;&gt;0,OR(D97&lt;&gt;0,D98&lt;&gt;0)),WLS*(C99-C98),"#NA"))</f>
        <v>#VALUE!</v>
      </c>
      <c r="O97" s="99">
        <f>O96+1</f>
        <v>14</v>
      </c>
      <c r="P97" s="99" t="str">
        <f t="shared" si="23"/>
        <v xml:space="preserve">  </v>
      </c>
      <c r="Q97" s="68" t="e">
        <f>IF(OR(P99-P98=P98-P97,P100-P98=P98-P97),P97,IF(OR(P99-P98=P98-P96,P100-P98=P98-P96),P96,"-"))</f>
        <v>#VALUE!</v>
      </c>
      <c r="R97" s="69" t="e">
        <f>VLOOKUP(Q97,STN_TABLE,2,FALSE)</f>
        <v>#VALUE!</v>
      </c>
      <c r="S97" s="69">
        <v>5</v>
      </c>
      <c r="T97" s="68" t="e">
        <f>R97*S97</f>
        <v>#VALUE!</v>
      </c>
      <c r="U97" s="79">
        <v>3</v>
      </c>
      <c r="V97" s="68" t="e">
        <f>R97*U97</f>
        <v>#VALUE!</v>
      </c>
      <c r="W97" s="6" t="s">
        <v>93</v>
      </c>
      <c r="X97" s="70" t="e">
        <f>IF(AND(Q99-Q98=Q98-Q97,NOT(AND(Q97=0,Q98=0)),NOT(AND(Q98=0,Q99=0))),WLS*(Q99-Q98),"#NA")</f>
        <v>#VALUE!</v>
      </c>
      <c r="AD97" s="93"/>
      <c r="AH97" s="6" t="s">
        <v>93</v>
      </c>
      <c r="AI97" s="70" t="e">
        <f>WLS*(AD99-AD98)</f>
        <v>#VALUE!</v>
      </c>
      <c r="AU97" s="81"/>
    </row>
    <row r="98" spans="1:47" x14ac:dyDescent="0.25">
      <c r="A98" s="84">
        <f>A97+1</f>
        <v>13</v>
      </c>
      <c r="B98" s="84" t="str">
        <f t="shared" si="27"/>
        <v xml:space="preserve">  </v>
      </c>
      <c r="C98" s="80" t="e">
        <f t="shared" ref="C98" si="42">IF(OR(B100-B99=B99-B98,B100-B99=B99-B97,B100-B99=B99-B96),B99,IF(OR(B100-B98=B98-B97,B100-B98=B98-B96),B98,IF(B100-B97=B97-B96,B97,"#NA")))</f>
        <v>#VALUE!</v>
      </c>
      <c r="D98" s="76" t="e">
        <f>VLOOKUP(C98,STN_TABLE,2,FALSE)</f>
        <v>#VALUE!</v>
      </c>
      <c r="E98" s="81">
        <v>4</v>
      </c>
      <c r="F98" s="76" t="e">
        <f>D98*E98</f>
        <v>#VALUE!</v>
      </c>
      <c r="G98" s="77" t="e">
        <f>C98</f>
        <v>#VALUE!</v>
      </c>
      <c r="H98" s="77" t="e">
        <f>F98*G98</f>
        <v>#VALUE!</v>
      </c>
      <c r="I98" s="495" t="s">
        <v>97</v>
      </c>
      <c r="J98" s="496"/>
      <c r="K98" s="78" t="s">
        <v>98</v>
      </c>
      <c r="L98" s="78"/>
      <c r="M98" s="7" t="s">
        <v>99</v>
      </c>
      <c r="N98" s="7"/>
      <c r="O98" s="99">
        <f>O97+1</f>
        <v>15</v>
      </c>
      <c r="P98" s="99" t="str">
        <f t="shared" si="23"/>
        <v xml:space="preserve">  </v>
      </c>
      <c r="Q98" s="76" t="str">
        <f>P98</f>
        <v xml:space="preserve">  </v>
      </c>
      <c r="R98" s="77" t="str">
        <f>VLOOKUP(Q98,STN_TABLE,2,FALSE)</f>
        <v xml:space="preserve">  </v>
      </c>
      <c r="S98" s="77">
        <v>8</v>
      </c>
      <c r="T98" s="76" t="e">
        <f>R98*S98</f>
        <v>#VALUE!</v>
      </c>
      <c r="U98" s="80">
        <v>10</v>
      </c>
      <c r="V98" s="76" t="e">
        <f>R98*U98</f>
        <v>#VALUE!</v>
      </c>
      <c r="W98" s="496" t="s">
        <v>97</v>
      </c>
      <c r="X98" s="496"/>
      <c r="Y98" s="496" t="s">
        <v>98</v>
      </c>
      <c r="Z98" s="496"/>
      <c r="AA98" s="494" t="s">
        <v>99</v>
      </c>
      <c r="AB98" s="494"/>
      <c r="AC98" s="99">
        <f>AC93+1</f>
        <v>14</v>
      </c>
      <c r="AD98" s="95" t="str">
        <f>VLOOKUP(AC98,STN_TABLE_2,2,FALSE)</f>
        <v xml:space="preserve">  </v>
      </c>
      <c r="AE98" s="68" t="str">
        <f>VLOOKUP(AD98,STN_TABLE,2,FALSE)</f>
        <v xml:space="preserve">  </v>
      </c>
      <c r="AF98" s="68">
        <v>1</v>
      </c>
      <c r="AG98" s="69" t="e">
        <f>AE98*AF98</f>
        <v>#VALUE!</v>
      </c>
      <c r="AH98" s="496" t="s">
        <v>97</v>
      </c>
      <c r="AI98" s="496"/>
      <c r="AJ98" s="496" t="s">
        <v>98</v>
      </c>
      <c r="AK98" s="496"/>
      <c r="AL98" s="494" t="s">
        <v>99</v>
      </c>
      <c r="AM98" s="494"/>
      <c r="AP98" s="86" t="s">
        <v>112</v>
      </c>
      <c r="AQ98" s="89" t="s">
        <v>113</v>
      </c>
      <c r="AR98" s="89" t="s">
        <v>114</v>
      </c>
      <c r="AS98" s="89" t="s">
        <v>115</v>
      </c>
      <c r="AU98" s="81"/>
    </row>
    <row r="99" spans="1:47" x14ac:dyDescent="0.25">
      <c r="A99" s="84">
        <f>A98+1</f>
        <v>14</v>
      </c>
      <c r="B99" s="84" t="str">
        <f t="shared" si="27"/>
        <v xml:space="preserve">  </v>
      </c>
      <c r="C99" s="88" t="str">
        <f t="shared" ref="C99" si="43">B100</f>
        <v xml:space="preserve">  </v>
      </c>
      <c r="D99" s="82" t="str">
        <f>VLOOKUP(C99,STN_TABLE,2,FALSE)</f>
        <v xml:space="preserve">  </v>
      </c>
      <c r="E99" s="92">
        <v>1</v>
      </c>
      <c r="F99" s="82" t="e">
        <f>D99*E99</f>
        <v>#VALUE!</v>
      </c>
      <c r="G99" s="83" t="str">
        <f>C99</f>
        <v xml:space="preserve">  </v>
      </c>
      <c r="H99" s="83" t="e">
        <f>F99*G99</f>
        <v>#VALUE!</v>
      </c>
      <c r="I99" s="84" t="str">
        <f>CONCATENATE("a'(",C99,")=")</f>
        <v>a'(  )=</v>
      </c>
      <c r="J99" s="84" t="e">
        <f>2*J97/3*F100</f>
        <v>#VALUE!</v>
      </c>
      <c r="K99" s="84" t="e">
        <f>CONCATENATE("A(",C97,")=")</f>
        <v>#VALUE!</v>
      </c>
      <c r="L99" s="84" t="e">
        <f>VLOOKUP(C97,STN_TABLE,3,FALSE)</f>
        <v>#VALUE!</v>
      </c>
      <c r="M99" t="str">
        <f>CONCATENATE("A(",C99,")=")</f>
        <v>A(  )=</v>
      </c>
      <c r="N99" t="e">
        <f>J99+L99</f>
        <v>#VALUE!</v>
      </c>
      <c r="O99" s="99">
        <f>O98+1</f>
        <v>16</v>
      </c>
      <c r="P99" s="99" t="str">
        <f t="shared" si="23"/>
        <v xml:space="preserve">  </v>
      </c>
      <c r="Q99" s="82" t="e">
        <f>IF(P99-P98=P98-P97,P99,IF(P100-P98=P98-P97,P100,IF(P99-P98=P98-P96,P99,IF(P100-P98=P98-P96,P100,"-"))))</f>
        <v>#VALUE!</v>
      </c>
      <c r="R99" s="83" t="e">
        <f>VLOOKUP(Q99,STN_TABLE,2,FALSE)</f>
        <v>#VALUE!</v>
      </c>
      <c r="S99" s="83">
        <v>-1</v>
      </c>
      <c r="T99" s="82" t="e">
        <f>R99*S99</f>
        <v>#VALUE!</v>
      </c>
      <c r="U99" s="88">
        <v>-1</v>
      </c>
      <c r="V99" s="82" t="e">
        <f>R99*U99</f>
        <v>#VALUE!</v>
      </c>
      <c r="W99" s="84" t="str">
        <f>CONCATENATE("a'(",Q98,")=")</f>
        <v>a'(  )=</v>
      </c>
      <c r="X99" s="84" t="e">
        <f>2*X97/12*T100</f>
        <v>#VALUE!</v>
      </c>
      <c r="Y99" s="84" t="e">
        <f>CONCATENATE("A(",Q97,")=")</f>
        <v>#VALUE!</v>
      </c>
      <c r="Z99" s="84" t="e">
        <f>VLOOKUP(Q97,STN_TABLE,3,FALSE)</f>
        <v>#VALUE!</v>
      </c>
      <c r="AA99" t="str">
        <f>CONCATENATE("A(",Q98,")=")</f>
        <v>A(  )=</v>
      </c>
      <c r="AB99" t="e">
        <f>X99+Z99</f>
        <v>#VALUE!</v>
      </c>
      <c r="AC99" s="99">
        <f>AC98+1</f>
        <v>15</v>
      </c>
      <c r="AD99" s="100" t="str">
        <f>VLOOKUP(AC99,STN_TABLE_2,2,FALSE)</f>
        <v xml:space="preserve">  </v>
      </c>
      <c r="AE99" s="82" t="str">
        <f>VLOOKUP(AD99,STN_TABLE,2,FALSE)</f>
        <v xml:space="preserve">  </v>
      </c>
      <c r="AF99" s="82">
        <v>2</v>
      </c>
      <c r="AG99" s="83" t="e">
        <f>AE99*AF99</f>
        <v>#VALUE!</v>
      </c>
      <c r="AH99" s="84" t="str">
        <f>CONCATENATE("a'(",AD99,")=")</f>
        <v>a'(  )=</v>
      </c>
      <c r="AI99" s="84" t="e">
        <f>2*AI97/2*AE100</f>
        <v>#VALUE!</v>
      </c>
      <c r="AJ99" s="84" t="str">
        <f>CONCATENATE("A(",AD98,")=")</f>
        <v>A(  )=</v>
      </c>
      <c r="AK99" s="84" t="str">
        <f>VLOOKUP(AD98,STN_TABLE,3,FALSE)</f>
        <v xml:space="preserve"> </v>
      </c>
      <c r="AL99" t="str">
        <f>CONCATENATE("A(",AD99,")=")</f>
        <v>A(  )=</v>
      </c>
      <c r="AM99" t="e">
        <f>AI99+AK99</f>
        <v>#VALUE!</v>
      </c>
      <c r="AO99" s="68" t="str">
        <f>AA99</f>
        <v>A(  )=</v>
      </c>
      <c r="AP99" s="68" t="e">
        <f>VLOOKUP(AO99,Rise_Results,2,FALSE)</f>
        <v>#N/A</v>
      </c>
      <c r="AQ99" s="76" t="e">
        <f>N99</f>
        <v>#VALUE!</v>
      </c>
      <c r="AR99" s="76" t="e">
        <f>IF(OR(AB99&lt;=0,AB100&lt;=0),1/0,AB99)</f>
        <v>#VALUE!</v>
      </c>
      <c r="AS99" s="76" t="e">
        <f>AM99</f>
        <v>#VALUE!</v>
      </c>
      <c r="AT99" t="e">
        <f>IFERROR(AP99,IFERROR(AQ99,IFERROR(AR99,AS99)))</f>
        <v>#VALUE!</v>
      </c>
      <c r="AU99" s="81"/>
    </row>
    <row r="100" spans="1:47" x14ac:dyDescent="0.25">
      <c r="A100" s="84">
        <f>A99+1</f>
        <v>15</v>
      </c>
      <c r="B100" s="84" t="str">
        <f t="shared" si="27"/>
        <v xml:space="preserve">  </v>
      </c>
      <c r="F100" s="82" t="e">
        <f>SUM(F97:F99)</f>
        <v>#VALUE!</v>
      </c>
      <c r="H100" s="82" t="e">
        <f>SUM(H97:H99)</f>
        <v>#VALUE!</v>
      </c>
      <c r="I100" s="84" t="str">
        <f>CONCATENATE("m'(",C99,")=")</f>
        <v>m'(  )=</v>
      </c>
      <c r="J100" s="84" t="e">
        <f>2*(J97*(WLS))/3*H100</f>
        <v>#VALUE!</v>
      </c>
      <c r="K100" s="84" t="e">
        <f>CONCATENATE("M(",C97,")=")</f>
        <v>#VALUE!</v>
      </c>
      <c r="L100" s="84" t="e">
        <f>VLOOKUP(C97,STN_TABLE,4,FALSE)</f>
        <v>#VALUE!</v>
      </c>
      <c r="M100" t="str">
        <f>CONCATENATE("M(",C99,")=")</f>
        <v>M(  )=</v>
      </c>
      <c r="N100" t="e">
        <f>J100+L100</f>
        <v>#VALUE!</v>
      </c>
      <c r="O100" s="99">
        <f>O99+1</f>
        <v>17</v>
      </c>
      <c r="P100" s="99" t="str">
        <f t="shared" ref="P100:P131" si="44">VLOOKUP(O100,STN_TABLE_2,2,FALSE)</f>
        <v xml:space="preserve">  </v>
      </c>
      <c r="T100" s="89" t="e">
        <f>SUM(T97:T99)</f>
        <v>#VALUE!</v>
      </c>
      <c r="V100" s="82" t="e">
        <f>SUM(V97:V99)</f>
        <v>#VALUE!</v>
      </c>
      <c r="W100" s="84" t="str">
        <f>CONCATENATE("m'(",Q98,")=")</f>
        <v>m'(  )=</v>
      </c>
      <c r="X100" s="84" t="e">
        <f>(2*(X97^2)/24*V100)+(X99*Q97*WLS)</f>
        <v>#VALUE!</v>
      </c>
      <c r="Y100" s="84" t="e">
        <f>CONCATENATE("M(",Q97,")=")</f>
        <v>#VALUE!</v>
      </c>
      <c r="Z100" s="84" t="e">
        <f>VLOOKUP(Q97,STN_TABLE,4,FALSE)</f>
        <v>#VALUE!</v>
      </c>
      <c r="AA100" t="str">
        <f>CONCATENATE("M(",Q98,")=")</f>
        <v>M(  )=</v>
      </c>
      <c r="AB100" t="e">
        <f>X100+Z100</f>
        <v>#VALUE!</v>
      </c>
      <c r="AE100" s="89">
        <f>SUM(AE98:AE99)</f>
        <v>0</v>
      </c>
      <c r="AG100" s="89" t="e">
        <f>SUM(AG98:AG99)</f>
        <v>#VALUE!</v>
      </c>
      <c r="AH100" s="84" t="str">
        <f>CONCATENATE("m'(",AD99,")=")</f>
        <v>m'(  )=</v>
      </c>
      <c r="AI100" s="84" t="e">
        <f>(2*(AI97^2)/6*AG100)+(AI99*AD98*WLS)</f>
        <v>#VALUE!</v>
      </c>
      <c r="AJ100" s="84" t="str">
        <f>CONCATENATE("M(",AD98,")=")</f>
        <v>M(  )=</v>
      </c>
      <c r="AK100" s="84" t="str">
        <f>VLOOKUP(AD98,STN_TABLE,4,FALSE)</f>
        <v xml:space="preserve"> </v>
      </c>
      <c r="AL100" t="str">
        <f>CONCATENATE("M(",AD99,")=")</f>
        <v>M(  )=</v>
      </c>
      <c r="AM100" t="e">
        <f>AI100+AK100</f>
        <v>#VALUE!</v>
      </c>
      <c r="AO100" s="82" t="str">
        <f>AA100</f>
        <v>M(  )=</v>
      </c>
      <c r="AP100" s="82" t="e">
        <f>VLOOKUP(AO100,Rise_Results,2,FALSE)</f>
        <v>#N/A</v>
      </c>
      <c r="AQ100" s="82" t="e">
        <f>N100</f>
        <v>#VALUE!</v>
      </c>
      <c r="AR100" s="82" t="e">
        <f>IF(OR(AB99&lt;=0,AB100&lt;=0),1/0,AB100)</f>
        <v>#VALUE!</v>
      </c>
      <c r="AS100" s="82" t="e">
        <f>AM100</f>
        <v>#VALUE!</v>
      </c>
      <c r="AT100" t="e">
        <f>IFERROR(AP100,IFERROR(AQ100,IFERROR(AR100,AS100)))</f>
        <v>#VALUE!</v>
      </c>
      <c r="AU100" s="81"/>
    </row>
    <row r="101" spans="1:47" x14ac:dyDescent="0.25">
      <c r="A101" s="101">
        <f>A96+1</f>
        <v>12</v>
      </c>
      <c r="B101" s="101">
        <f t="shared" si="27"/>
        <v>6.5</v>
      </c>
      <c r="O101" s="101">
        <f>O96+1</f>
        <v>14</v>
      </c>
      <c r="P101" s="101" t="str">
        <f t="shared" si="44"/>
        <v xml:space="preserve">  </v>
      </c>
      <c r="AU101" s="81"/>
    </row>
    <row r="102" spans="1:47" x14ac:dyDescent="0.25">
      <c r="A102" s="84">
        <f>A101+1</f>
        <v>13</v>
      </c>
      <c r="B102" s="84" t="str">
        <f t="shared" si="27"/>
        <v xml:space="preserve">  </v>
      </c>
      <c r="C102" s="79" t="e">
        <f t="shared" ref="C102" si="45">IF(C103=B104,IF(C104-C103=C103-B103,B103,IF(C104-C103=C103-B102,B102,"#NA")),IF(C103=B103,IF(C104-C103=C103-B102,B102,IF(C104-C103=C103-B101,B101,"#NA")),"#NA"))</f>
        <v>#VALUE!</v>
      </c>
      <c r="D102" s="68" t="e">
        <f>VLOOKUP(C102,STN_TABLE,2,FALSE)</f>
        <v>#VALUE!</v>
      </c>
      <c r="E102" s="102">
        <v>1</v>
      </c>
      <c r="F102" s="68" t="e">
        <f>D102*E102</f>
        <v>#VALUE!</v>
      </c>
      <c r="G102" s="69" t="e">
        <f>C102</f>
        <v>#VALUE!</v>
      </c>
      <c r="H102" s="69" t="e">
        <f>F102*G102</f>
        <v>#VALUE!</v>
      </c>
      <c r="I102" s="6" t="s">
        <v>93</v>
      </c>
      <c r="J102" s="70" t="e">
        <f>IF(OR(D102=0,D103=0,D104=0),"#NA",IF(AND(C104-C103=C103-C102,C103&lt;&gt;C104,C102&lt;&gt;C103,C102&lt;&gt;C104,D104&lt;&gt;0,OR(D102&lt;&gt;0,D103&lt;&gt;0)),WLS*(C104-C103),"#NA"))</f>
        <v>#VALUE!</v>
      </c>
      <c r="O102" s="99">
        <f>O101+1</f>
        <v>15</v>
      </c>
      <c r="P102" s="99" t="str">
        <f t="shared" si="44"/>
        <v xml:space="preserve">  </v>
      </c>
      <c r="Q102" s="68" t="e">
        <f>IF(OR(P104-P103=P103-P102,P105-P103=P103-P102),P102,IF(OR(P104-P103=P103-P101,P105-P103=P103-P101),P101,"-"))</f>
        <v>#VALUE!</v>
      </c>
      <c r="R102" s="69" t="e">
        <f>VLOOKUP(Q102,STN_TABLE,2,FALSE)</f>
        <v>#VALUE!</v>
      </c>
      <c r="S102" s="69">
        <v>5</v>
      </c>
      <c r="T102" s="68" t="e">
        <f>R102*S102</f>
        <v>#VALUE!</v>
      </c>
      <c r="U102" s="79">
        <v>3</v>
      </c>
      <c r="V102" s="68" t="e">
        <f>R102*U102</f>
        <v>#VALUE!</v>
      </c>
      <c r="W102" s="6" t="s">
        <v>93</v>
      </c>
      <c r="X102" s="70" t="e">
        <f>IF(AND(Q104-Q103=Q103-Q102,NOT(AND(Q102=0,Q103=0)),NOT(AND(Q103=0,Q104=0))),WLS*(Q104-Q103),"#NA")</f>
        <v>#VALUE!</v>
      </c>
      <c r="AD102" s="93"/>
      <c r="AH102" s="6" t="s">
        <v>93</v>
      </c>
      <c r="AI102" s="70" t="e">
        <f>WLS*(AD104-AD103)</f>
        <v>#VALUE!</v>
      </c>
      <c r="AU102" s="81"/>
    </row>
    <row r="103" spans="1:47" x14ac:dyDescent="0.25">
      <c r="A103" s="84">
        <f>A102+1</f>
        <v>14</v>
      </c>
      <c r="B103" s="84" t="str">
        <f t="shared" si="27"/>
        <v xml:space="preserve">  </v>
      </c>
      <c r="C103" s="80" t="e">
        <f t="shared" ref="C103" si="46">IF(OR(B105-B104=B104-B103,B105-B104=B104-B102,B105-B104=B104-B101),B104,IF(OR(B105-B103=B103-B102,B105-B103=B103-B101),B103,IF(B105-B102=B102-B101,B102,"#NA")))</f>
        <v>#VALUE!</v>
      </c>
      <c r="D103" s="76" t="e">
        <f>VLOOKUP(C103,STN_TABLE,2,FALSE)</f>
        <v>#VALUE!</v>
      </c>
      <c r="E103" s="81">
        <v>4</v>
      </c>
      <c r="F103" s="76" t="e">
        <f>D103*E103</f>
        <v>#VALUE!</v>
      </c>
      <c r="G103" s="77" t="e">
        <f>C103</f>
        <v>#VALUE!</v>
      </c>
      <c r="H103" s="77" t="e">
        <f>F103*G103</f>
        <v>#VALUE!</v>
      </c>
      <c r="I103" s="495" t="s">
        <v>97</v>
      </c>
      <c r="J103" s="496"/>
      <c r="K103" s="78" t="s">
        <v>98</v>
      </c>
      <c r="L103" s="78"/>
      <c r="M103" s="7" t="s">
        <v>99</v>
      </c>
      <c r="N103" s="7"/>
      <c r="O103" s="99">
        <f>O102+1</f>
        <v>16</v>
      </c>
      <c r="P103" s="99" t="str">
        <f t="shared" si="44"/>
        <v xml:space="preserve">  </v>
      </c>
      <c r="Q103" s="76" t="str">
        <f>P103</f>
        <v xml:space="preserve">  </v>
      </c>
      <c r="R103" s="77" t="str">
        <f>VLOOKUP(Q103,STN_TABLE,2,FALSE)</f>
        <v xml:space="preserve">  </v>
      </c>
      <c r="S103" s="77">
        <v>8</v>
      </c>
      <c r="T103" s="76" t="e">
        <f>R103*S103</f>
        <v>#VALUE!</v>
      </c>
      <c r="U103" s="80">
        <v>10</v>
      </c>
      <c r="V103" s="76" t="e">
        <f>R103*U103</f>
        <v>#VALUE!</v>
      </c>
      <c r="W103" s="496" t="s">
        <v>97</v>
      </c>
      <c r="X103" s="496"/>
      <c r="Y103" s="496" t="s">
        <v>98</v>
      </c>
      <c r="Z103" s="496"/>
      <c r="AA103" s="494" t="s">
        <v>99</v>
      </c>
      <c r="AB103" s="494"/>
      <c r="AC103" s="99">
        <f>AC98+1</f>
        <v>15</v>
      </c>
      <c r="AD103" s="95" t="str">
        <f>VLOOKUP(AC103,STN_TABLE_2,2,FALSE)</f>
        <v xml:space="preserve">  </v>
      </c>
      <c r="AE103" s="68" t="str">
        <f>VLOOKUP(AD103,STN_TABLE,2,FALSE)</f>
        <v xml:space="preserve">  </v>
      </c>
      <c r="AF103" s="68">
        <v>1</v>
      </c>
      <c r="AG103" s="69" t="e">
        <f>AE103*AF103</f>
        <v>#VALUE!</v>
      </c>
      <c r="AH103" s="496" t="s">
        <v>97</v>
      </c>
      <c r="AI103" s="496"/>
      <c r="AJ103" s="496" t="s">
        <v>98</v>
      </c>
      <c r="AK103" s="496"/>
      <c r="AL103" s="494" t="s">
        <v>99</v>
      </c>
      <c r="AM103" s="494"/>
      <c r="AP103" s="86" t="s">
        <v>112</v>
      </c>
      <c r="AQ103" s="89" t="s">
        <v>113</v>
      </c>
      <c r="AR103" s="89" t="s">
        <v>114</v>
      </c>
      <c r="AS103" s="89" t="s">
        <v>115</v>
      </c>
      <c r="AU103" s="81"/>
    </row>
    <row r="104" spans="1:47" x14ac:dyDescent="0.25">
      <c r="A104" s="84">
        <f>A103+1</f>
        <v>15</v>
      </c>
      <c r="B104" s="84" t="str">
        <f t="shared" si="27"/>
        <v xml:space="preserve">  </v>
      </c>
      <c r="C104" s="88" t="str">
        <f t="shared" ref="C104" si="47">B105</f>
        <v xml:space="preserve">  </v>
      </c>
      <c r="D104" s="82" t="str">
        <f>VLOOKUP(C104,STN_TABLE,2,FALSE)</f>
        <v xml:space="preserve">  </v>
      </c>
      <c r="E104" s="92">
        <v>1</v>
      </c>
      <c r="F104" s="82" t="e">
        <f>D104*E104</f>
        <v>#VALUE!</v>
      </c>
      <c r="G104" s="83" t="str">
        <f>C104</f>
        <v xml:space="preserve">  </v>
      </c>
      <c r="H104" s="83" t="e">
        <f>F104*G104</f>
        <v>#VALUE!</v>
      </c>
      <c r="I104" s="84" t="str">
        <f>CONCATENATE("a'(",C104,")=")</f>
        <v>a'(  )=</v>
      </c>
      <c r="J104" s="84" t="e">
        <f>2*J102/3*F105</f>
        <v>#VALUE!</v>
      </c>
      <c r="K104" s="84" t="e">
        <f>CONCATENATE("A(",C102,")=")</f>
        <v>#VALUE!</v>
      </c>
      <c r="L104" s="84" t="e">
        <f>VLOOKUP(C102,STN_TABLE,3,FALSE)</f>
        <v>#VALUE!</v>
      </c>
      <c r="M104" t="str">
        <f>CONCATENATE("A(",C104,")=")</f>
        <v>A(  )=</v>
      </c>
      <c r="N104" t="e">
        <f>J104+L104</f>
        <v>#VALUE!</v>
      </c>
      <c r="O104" s="99">
        <f>O103+1</f>
        <v>17</v>
      </c>
      <c r="P104" s="99" t="str">
        <f t="shared" si="44"/>
        <v xml:space="preserve">  </v>
      </c>
      <c r="Q104" s="82" t="e">
        <f>IF(P104-P103=P103-P102,P104,IF(P105-P103=P103-P102,P105,IF(P104-P103=P103-P101,P104,IF(P105-P103=P103-P101,P105,"-"))))</f>
        <v>#VALUE!</v>
      </c>
      <c r="R104" s="83" t="e">
        <f>VLOOKUP(Q104,STN_TABLE,2,FALSE)</f>
        <v>#VALUE!</v>
      </c>
      <c r="S104" s="83">
        <v>-1</v>
      </c>
      <c r="T104" s="82" t="e">
        <f>R104*S104</f>
        <v>#VALUE!</v>
      </c>
      <c r="U104" s="88">
        <v>-1</v>
      </c>
      <c r="V104" s="82" t="e">
        <f>R104*U104</f>
        <v>#VALUE!</v>
      </c>
      <c r="W104" s="84" t="str">
        <f>CONCATENATE("a'(",Q103,")=")</f>
        <v>a'(  )=</v>
      </c>
      <c r="X104" s="84" t="e">
        <f>2*X102/12*T105</f>
        <v>#VALUE!</v>
      </c>
      <c r="Y104" s="84" t="e">
        <f>CONCATENATE("A(",Q102,")=")</f>
        <v>#VALUE!</v>
      </c>
      <c r="Z104" s="84" t="e">
        <f>VLOOKUP(Q102,STN_TABLE,3,FALSE)</f>
        <v>#VALUE!</v>
      </c>
      <c r="AA104" t="str">
        <f>CONCATENATE("A(",Q103,")=")</f>
        <v>A(  )=</v>
      </c>
      <c r="AB104" t="e">
        <f>X104+Z104</f>
        <v>#VALUE!</v>
      </c>
      <c r="AC104" s="99">
        <f>AC103+1</f>
        <v>16</v>
      </c>
      <c r="AD104" s="100" t="str">
        <f>VLOOKUP(AC104,STN_TABLE_2,2,FALSE)</f>
        <v xml:space="preserve">  </v>
      </c>
      <c r="AE104" s="82" t="str">
        <f>VLOOKUP(AD104,STN_TABLE,2,FALSE)</f>
        <v xml:space="preserve">  </v>
      </c>
      <c r="AF104" s="82">
        <v>2</v>
      </c>
      <c r="AG104" s="83" t="e">
        <f>AE104*AF104</f>
        <v>#VALUE!</v>
      </c>
      <c r="AH104" s="84" t="str">
        <f>CONCATENATE("a'(",AD104,")=")</f>
        <v>a'(  )=</v>
      </c>
      <c r="AI104" s="84" t="e">
        <f>2*AI102/2*AE105</f>
        <v>#VALUE!</v>
      </c>
      <c r="AJ104" s="84" t="str">
        <f>CONCATENATE("A(",AD103,")=")</f>
        <v>A(  )=</v>
      </c>
      <c r="AK104" s="84" t="str">
        <f>VLOOKUP(AD103,STN_TABLE,3,FALSE)</f>
        <v xml:space="preserve"> </v>
      </c>
      <c r="AL104" t="str">
        <f>CONCATENATE("A(",AD104,")=")</f>
        <v>A(  )=</v>
      </c>
      <c r="AM104" t="e">
        <f>AI104+AK104</f>
        <v>#VALUE!</v>
      </c>
      <c r="AO104" s="68" t="str">
        <f>AA104</f>
        <v>A(  )=</v>
      </c>
      <c r="AP104" s="68" t="e">
        <f>VLOOKUP(AO104,Rise_Results,2,FALSE)</f>
        <v>#N/A</v>
      </c>
      <c r="AQ104" s="76" t="e">
        <f>N104</f>
        <v>#VALUE!</v>
      </c>
      <c r="AR104" s="76" t="e">
        <f>IF(OR(AB104&lt;=0,AB105&lt;=0),1/0,AB104)</f>
        <v>#VALUE!</v>
      </c>
      <c r="AS104" s="76" t="e">
        <f>AM104</f>
        <v>#VALUE!</v>
      </c>
      <c r="AT104" t="e">
        <f>IFERROR(AP104,IFERROR(AQ104,IFERROR(AR104,AS104)))</f>
        <v>#VALUE!</v>
      </c>
      <c r="AU104" s="81"/>
    </row>
    <row r="105" spans="1:47" x14ac:dyDescent="0.25">
      <c r="A105" s="84">
        <f>A104+1</f>
        <v>16</v>
      </c>
      <c r="B105" s="84" t="str">
        <f t="shared" si="27"/>
        <v xml:space="preserve">  </v>
      </c>
      <c r="F105" s="82" t="e">
        <f>SUM(F102:F104)</f>
        <v>#VALUE!</v>
      </c>
      <c r="H105" s="82" t="e">
        <f>SUM(H102:H104)</f>
        <v>#VALUE!</v>
      </c>
      <c r="I105" s="84" t="str">
        <f>CONCATENATE("m'(",C104,")=")</f>
        <v>m'(  )=</v>
      </c>
      <c r="J105" s="84" t="e">
        <f>2*(J102*(WLS))/3*H105</f>
        <v>#VALUE!</v>
      </c>
      <c r="K105" s="84" t="e">
        <f>CONCATENATE("M(",C102,")=")</f>
        <v>#VALUE!</v>
      </c>
      <c r="L105" s="84" t="e">
        <f>VLOOKUP(C102,STN_TABLE,4,FALSE)</f>
        <v>#VALUE!</v>
      </c>
      <c r="M105" t="str">
        <f>CONCATENATE("M(",C104,")=")</f>
        <v>M(  )=</v>
      </c>
      <c r="N105" t="e">
        <f>J105+L105</f>
        <v>#VALUE!</v>
      </c>
      <c r="O105" s="99">
        <f>O104+1</f>
        <v>18</v>
      </c>
      <c r="P105" s="99" t="str">
        <f t="shared" si="44"/>
        <v xml:space="preserve">  </v>
      </c>
      <c r="T105" s="89" t="e">
        <f>SUM(T102:T104)</f>
        <v>#VALUE!</v>
      </c>
      <c r="V105" s="82" t="e">
        <f>SUM(V102:V104)</f>
        <v>#VALUE!</v>
      </c>
      <c r="W105" s="84" t="str">
        <f>CONCATENATE("m'(",Q103,")=")</f>
        <v>m'(  )=</v>
      </c>
      <c r="X105" s="84" t="e">
        <f>(2*(X102^2)/24*V105)+(X104*Q102*WLS)</f>
        <v>#VALUE!</v>
      </c>
      <c r="Y105" s="84" t="e">
        <f>CONCATENATE("M(",Q102,")=")</f>
        <v>#VALUE!</v>
      </c>
      <c r="Z105" s="84" t="e">
        <f>VLOOKUP(Q102,STN_TABLE,4,FALSE)</f>
        <v>#VALUE!</v>
      </c>
      <c r="AA105" t="str">
        <f>CONCATENATE("M(",Q103,")=")</f>
        <v>M(  )=</v>
      </c>
      <c r="AB105" t="e">
        <f>X105+Z105</f>
        <v>#VALUE!</v>
      </c>
      <c r="AE105" s="89">
        <f>SUM(AE103:AE104)</f>
        <v>0</v>
      </c>
      <c r="AG105" s="89" t="e">
        <f>SUM(AG103:AG104)</f>
        <v>#VALUE!</v>
      </c>
      <c r="AH105" s="84" t="str">
        <f>CONCATENATE("m'(",AD104,")=")</f>
        <v>m'(  )=</v>
      </c>
      <c r="AI105" s="84" t="e">
        <f>(2*(AI102^2)/6*AG105)+(AI104*AD103*WLS)</f>
        <v>#VALUE!</v>
      </c>
      <c r="AJ105" s="84" t="str">
        <f>CONCATENATE("M(",AD103,")=")</f>
        <v>M(  )=</v>
      </c>
      <c r="AK105" s="84" t="str">
        <f>VLOOKUP(AD103,STN_TABLE,4,FALSE)</f>
        <v xml:space="preserve"> </v>
      </c>
      <c r="AL105" t="str">
        <f>CONCATENATE("M(",AD104,")=")</f>
        <v>M(  )=</v>
      </c>
      <c r="AM105" t="e">
        <f>AI105+AK105</f>
        <v>#VALUE!</v>
      </c>
      <c r="AO105" s="82" t="str">
        <f>AA105</f>
        <v>M(  )=</v>
      </c>
      <c r="AP105" s="82" t="e">
        <f>VLOOKUP(AO105,Rise_Results,2,FALSE)</f>
        <v>#N/A</v>
      </c>
      <c r="AQ105" s="82" t="e">
        <f>N105</f>
        <v>#VALUE!</v>
      </c>
      <c r="AR105" s="82" t="e">
        <f>IF(OR(AB104&lt;=0,AB105&lt;=0),1/0,AB105)</f>
        <v>#VALUE!</v>
      </c>
      <c r="AS105" s="82" t="e">
        <f>AM105</f>
        <v>#VALUE!</v>
      </c>
      <c r="AT105" t="e">
        <f>IFERROR(AP105,IFERROR(AQ105,IFERROR(AR105,AS105)))</f>
        <v>#VALUE!</v>
      </c>
      <c r="AU105" s="81"/>
    </row>
    <row r="106" spans="1:47" x14ac:dyDescent="0.25">
      <c r="A106" s="101">
        <f>A101+1</f>
        <v>13</v>
      </c>
      <c r="B106" s="101" t="str">
        <f t="shared" ref="B106:B137" si="48">VLOOKUP(A106,STN_TABLE_2,2,FALSE)</f>
        <v xml:space="preserve">  </v>
      </c>
      <c r="O106" s="101">
        <f>O101+1</f>
        <v>15</v>
      </c>
      <c r="P106" s="101" t="str">
        <f t="shared" si="44"/>
        <v xml:space="preserve">  </v>
      </c>
      <c r="AU106" s="81"/>
    </row>
    <row r="107" spans="1:47" x14ac:dyDescent="0.25">
      <c r="A107" s="84">
        <f>A106+1</f>
        <v>14</v>
      </c>
      <c r="B107" s="84" t="str">
        <f t="shared" si="48"/>
        <v xml:space="preserve">  </v>
      </c>
      <c r="C107" s="79" t="e">
        <f t="shared" ref="C107" si="49">IF(C108=B109,IF(C109-C108=C108-B108,B108,IF(C109-C108=C108-B107,B107,"#NA")),IF(C108=B108,IF(C109-C108=C108-B107,B107,IF(C109-C108=C108-B106,B106,"#NA")),"#NA"))</f>
        <v>#VALUE!</v>
      </c>
      <c r="D107" s="68" t="e">
        <f>VLOOKUP(C107,STN_TABLE,2,FALSE)</f>
        <v>#VALUE!</v>
      </c>
      <c r="E107" s="102">
        <v>1</v>
      </c>
      <c r="F107" s="68" t="e">
        <f>D107*E107</f>
        <v>#VALUE!</v>
      </c>
      <c r="G107" s="69" t="e">
        <f>C107</f>
        <v>#VALUE!</v>
      </c>
      <c r="H107" s="69" t="e">
        <f>F107*G107</f>
        <v>#VALUE!</v>
      </c>
      <c r="I107" s="6" t="s">
        <v>93</v>
      </c>
      <c r="J107" s="70" t="e">
        <f>IF(OR(D107=0,D108=0,D109=0),"#NA",IF(AND(C109-C108=C108-C107,C108&lt;&gt;C109,C107&lt;&gt;C108,C107&lt;&gt;C109,D109&lt;&gt;0,OR(D107&lt;&gt;0,D108&lt;&gt;0)),WLS*(C109-C108),"#NA"))</f>
        <v>#VALUE!</v>
      </c>
      <c r="O107" s="99">
        <f>O106+1</f>
        <v>16</v>
      </c>
      <c r="P107" s="99" t="str">
        <f t="shared" si="44"/>
        <v xml:space="preserve">  </v>
      </c>
      <c r="Q107" s="68" t="e">
        <f>IF(OR(P109-P108=P108-P107,P110-P108=P108-P107),P107,IF(OR(P109-P108=P108-P106,P110-P108=P108-P106),P106,"-"))</f>
        <v>#VALUE!</v>
      </c>
      <c r="R107" s="69" t="e">
        <f>VLOOKUP(Q107,STN_TABLE,2,FALSE)</f>
        <v>#VALUE!</v>
      </c>
      <c r="S107" s="69">
        <v>5</v>
      </c>
      <c r="T107" s="68" t="e">
        <f>R107*S107</f>
        <v>#VALUE!</v>
      </c>
      <c r="U107" s="79">
        <v>3</v>
      </c>
      <c r="V107" s="68" t="e">
        <f>R107*U107</f>
        <v>#VALUE!</v>
      </c>
      <c r="W107" s="6" t="s">
        <v>93</v>
      </c>
      <c r="X107" s="70" t="e">
        <f>IF(AND(Q109-Q108=Q108-Q107,NOT(AND(Q107=0,Q108=0)),NOT(AND(Q108=0,Q109=0))),WLS*(Q109-Q108),"#NA")</f>
        <v>#VALUE!</v>
      </c>
      <c r="AD107" s="93"/>
      <c r="AH107" s="6" t="s">
        <v>93</v>
      </c>
      <c r="AI107" s="70" t="e">
        <f>WLS*(AD109-AD108)</f>
        <v>#VALUE!</v>
      </c>
      <c r="AU107" s="81"/>
    </row>
    <row r="108" spans="1:47" x14ac:dyDescent="0.25">
      <c r="A108" s="84">
        <f>A107+1</f>
        <v>15</v>
      </c>
      <c r="B108" s="84" t="str">
        <f t="shared" si="48"/>
        <v xml:space="preserve">  </v>
      </c>
      <c r="C108" s="80" t="e">
        <f t="shared" ref="C108" si="50">IF(OR(B110-B109=B109-B108,B110-B109=B109-B107,B110-B109=B109-B106),B109,IF(OR(B110-B108=B108-B107,B110-B108=B108-B106),B108,IF(B110-B107=B107-B106,B107,"#NA")))</f>
        <v>#VALUE!</v>
      </c>
      <c r="D108" s="76" t="e">
        <f>VLOOKUP(C108,STN_TABLE,2,FALSE)</f>
        <v>#VALUE!</v>
      </c>
      <c r="E108" s="81">
        <v>4</v>
      </c>
      <c r="F108" s="76" t="e">
        <f>D108*E108</f>
        <v>#VALUE!</v>
      </c>
      <c r="G108" s="77" t="e">
        <f>C108</f>
        <v>#VALUE!</v>
      </c>
      <c r="H108" s="77" t="e">
        <f>F108*G108</f>
        <v>#VALUE!</v>
      </c>
      <c r="I108" s="495" t="s">
        <v>97</v>
      </c>
      <c r="J108" s="496"/>
      <c r="K108" s="78" t="s">
        <v>98</v>
      </c>
      <c r="L108" s="78"/>
      <c r="M108" s="7" t="s">
        <v>99</v>
      </c>
      <c r="N108" s="7"/>
      <c r="O108" s="99">
        <f>O107+1</f>
        <v>17</v>
      </c>
      <c r="P108" s="99" t="str">
        <f t="shared" si="44"/>
        <v xml:space="preserve">  </v>
      </c>
      <c r="Q108" s="76" t="str">
        <f>P108</f>
        <v xml:space="preserve">  </v>
      </c>
      <c r="R108" s="77" t="str">
        <f>VLOOKUP(Q108,STN_TABLE,2,FALSE)</f>
        <v xml:space="preserve">  </v>
      </c>
      <c r="S108" s="77">
        <v>8</v>
      </c>
      <c r="T108" s="76" t="e">
        <f>R108*S108</f>
        <v>#VALUE!</v>
      </c>
      <c r="U108" s="80">
        <v>10</v>
      </c>
      <c r="V108" s="76" t="e">
        <f>R108*U108</f>
        <v>#VALUE!</v>
      </c>
      <c r="W108" s="496" t="s">
        <v>97</v>
      </c>
      <c r="X108" s="496"/>
      <c r="Y108" s="496" t="s">
        <v>98</v>
      </c>
      <c r="Z108" s="496"/>
      <c r="AA108" s="494" t="s">
        <v>99</v>
      </c>
      <c r="AB108" s="494"/>
      <c r="AC108" s="99">
        <f>AC103+1</f>
        <v>16</v>
      </c>
      <c r="AD108" s="95" t="str">
        <f>VLOOKUP(AC108,STN_TABLE_2,2,FALSE)</f>
        <v xml:space="preserve">  </v>
      </c>
      <c r="AE108" s="68" t="str">
        <f>VLOOKUP(AD108,STN_TABLE,2,FALSE)</f>
        <v xml:space="preserve">  </v>
      </c>
      <c r="AF108" s="68">
        <v>1</v>
      </c>
      <c r="AG108" s="69" t="e">
        <f>AE108*AF108</f>
        <v>#VALUE!</v>
      </c>
      <c r="AH108" s="496" t="s">
        <v>97</v>
      </c>
      <c r="AI108" s="496"/>
      <c r="AJ108" s="496" t="s">
        <v>98</v>
      </c>
      <c r="AK108" s="496"/>
      <c r="AL108" s="494" t="s">
        <v>99</v>
      </c>
      <c r="AM108" s="494"/>
      <c r="AP108" s="86" t="s">
        <v>112</v>
      </c>
      <c r="AQ108" s="89" t="s">
        <v>113</v>
      </c>
      <c r="AR108" s="89" t="s">
        <v>114</v>
      </c>
      <c r="AS108" s="89" t="s">
        <v>115</v>
      </c>
      <c r="AU108" s="81"/>
    </row>
    <row r="109" spans="1:47" x14ac:dyDescent="0.25">
      <c r="A109" s="84">
        <f>A108+1</f>
        <v>16</v>
      </c>
      <c r="B109" s="84" t="str">
        <f t="shared" si="48"/>
        <v xml:space="preserve">  </v>
      </c>
      <c r="C109" s="88" t="str">
        <f t="shared" ref="C109" si="51">B110</f>
        <v xml:space="preserve">  </v>
      </c>
      <c r="D109" s="82" t="str">
        <f>VLOOKUP(C109,STN_TABLE,2,FALSE)</f>
        <v xml:space="preserve">  </v>
      </c>
      <c r="E109" s="92">
        <v>1</v>
      </c>
      <c r="F109" s="82" t="e">
        <f>D109*E109</f>
        <v>#VALUE!</v>
      </c>
      <c r="G109" s="83" t="str">
        <f>C109</f>
        <v xml:space="preserve">  </v>
      </c>
      <c r="H109" s="83" t="e">
        <f>F109*G109</f>
        <v>#VALUE!</v>
      </c>
      <c r="I109" s="84" t="str">
        <f>CONCATENATE("a'(",C109,")=")</f>
        <v>a'(  )=</v>
      </c>
      <c r="J109" s="84" t="e">
        <f>2*J107/3*F110</f>
        <v>#VALUE!</v>
      </c>
      <c r="K109" s="84" t="e">
        <f>CONCATENATE("A(",C107,")=")</f>
        <v>#VALUE!</v>
      </c>
      <c r="L109" s="84" t="e">
        <f>VLOOKUP(C107,STN_TABLE,3,FALSE)</f>
        <v>#VALUE!</v>
      </c>
      <c r="M109" t="str">
        <f>CONCATENATE("A(",C109,")=")</f>
        <v>A(  )=</v>
      </c>
      <c r="N109" t="e">
        <f>J109+L109</f>
        <v>#VALUE!</v>
      </c>
      <c r="O109" s="99">
        <f>O108+1</f>
        <v>18</v>
      </c>
      <c r="P109" s="99" t="str">
        <f t="shared" si="44"/>
        <v xml:space="preserve">  </v>
      </c>
      <c r="Q109" s="82" t="e">
        <f>IF(P109-P108=P108-P107,P109,IF(P110-P108=P108-P107,P110,IF(P109-P108=P108-P106,P109,IF(P110-P108=P108-P106,P110,"-"))))</f>
        <v>#VALUE!</v>
      </c>
      <c r="R109" s="83" t="e">
        <f>VLOOKUP(Q109,STN_TABLE,2,FALSE)</f>
        <v>#VALUE!</v>
      </c>
      <c r="S109" s="83">
        <v>-1</v>
      </c>
      <c r="T109" s="82" t="e">
        <f>R109*S109</f>
        <v>#VALUE!</v>
      </c>
      <c r="U109" s="88">
        <v>-1</v>
      </c>
      <c r="V109" s="82" t="e">
        <f>R109*U109</f>
        <v>#VALUE!</v>
      </c>
      <c r="W109" s="84" t="str">
        <f>CONCATENATE("a'(",Q108,")=")</f>
        <v>a'(  )=</v>
      </c>
      <c r="X109" s="84" t="e">
        <f>2*X107/12*T110</f>
        <v>#VALUE!</v>
      </c>
      <c r="Y109" s="84" t="e">
        <f>CONCATENATE("A(",Q107,")=")</f>
        <v>#VALUE!</v>
      </c>
      <c r="Z109" s="84" t="e">
        <f>VLOOKUP(Q107,STN_TABLE,3,FALSE)</f>
        <v>#VALUE!</v>
      </c>
      <c r="AA109" t="str">
        <f>CONCATENATE("A(",Q108,")=")</f>
        <v>A(  )=</v>
      </c>
      <c r="AB109" t="e">
        <f>X109+Z109</f>
        <v>#VALUE!</v>
      </c>
      <c r="AC109" s="99">
        <f>AC108+1</f>
        <v>17</v>
      </c>
      <c r="AD109" s="100" t="str">
        <f>VLOOKUP(AC109,STN_TABLE_2,2,FALSE)</f>
        <v xml:space="preserve">  </v>
      </c>
      <c r="AE109" s="82" t="str">
        <f>VLOOKUP(AD109,STN_TABLE,2,FALSE)</f>
        <v xml:space="preserve">  </v>
      </c>
      <c r="AF109" s="82">
        <v>2</v>
      </c>
      <c r="AG109" s="83" t="e">
        <f>AE109*AF109</f>
        <v>#VALUE!</v>
      </c>
      <c r="AH109" s="84" t="str">
        <f>CONCATENATE("a'(",AD109,")=")</f>
        <v>a'(  )=</v>
      </c>
      <c r="AI109" s="84" t="e">
        <f>2*AI107/2*AE110</f>
        <v>#VALUE!</v>
      </c>
      <c r="AJ109" s="84" t="str">
        <f>CONCATENATE("A(",AD108,")=")</f>
        <v>A(  )=</v>
      </c>
      <c r="AK109" s="84" t="str">
        <f>VLOOKUP(AD108,STN_TABLE,3,FALSE)</f>
        <v xml:space="preserve"> </v>
      </c>
      <c r="AL109" t="str">
        <f>CONCATENATE("A(",AD109,")=")</f>
        <v>A(  )=</v>
      </c>
      <c r="AM109" t="e">
        <f>AI109+AK109</f>
        <v>#VALUE!</v>
      </c>
      <c r="AO109" s="68" t="str">
        <f>AA109</f>
        <v>A(  )=</v>
      </c>
      <c r="AP109" s="68" t="e">
        <f>VLOOKUP(AO109,Rise_Results,2,FALSE)</f>
        <v>#N/A</v>
      </c>
      <c r="AQ109" s="76" t="e">
        <f>N109</f>
        <v>#VALUE!</v>
      </c>
      <c r="AR109" s="76" t="e">
        <f>IF(OR(AB109&lt;=0,AB110&lt;=0),1/0,AB109)</f>
        <v>#VALUE!</v>
      </c>
      <c r="AS109" s="76" t="e">
        <f>AM109</f>
        <v>#VALUE!</v>
      </c>
      <c r="AT109" t="e">
        <f>IFERROR(AP109,IFERROR(AQ109,IFERROR(AR109,AS109)))</f>
        <v>#VALUE!</v>
      </c>
      <c r="AU109" s="81"/>
    </row>
    <row r="110" spans="1:47" x14ac:dyDescent="0.25">
      <c r="A110" s="84">
        <f>A109+1</f>
        <v>17</v>
      </c>
      <c r="B110" s="84" t="str">
        <f t="shared" si="48"/>
        <v xml:space="preserve">  </v>
      </c>
      <c r="F110" s="82" t="e">
        <f>SUM(F107:F109)</f>
        <v>#VALUE!</v>
      </c>
      <c r="H110" s="82" t="e">
        <f>SUM(H107:H109)</f>
        <v>#VALUE!</v>
      </c>
      <c r="I110" s="84" t="str">
        <f>CONCATENATE("m'(",C109,")=")</f>
        <v>m'(  )=</v>
      </c>
      <c r="J110" s="84" t="e">
        <f>2*(J107*(WLS))/3*H110</f>
        <v>#VALUE!</v>
      </c>
      <c r="K110" s="84" t="e">
        <f>CONCATENATE("M(",C107,")=")</f>
        <v>#VALUE!</v>
      </c>
      <c r="L110" s="84" t="e">
        <f>VLOOKUP(C107,STN_TABLE,4,FALSE)</f>
        <v>#VALUE!</v>
      </c>
      <c r="M110" t="str">
        <f>CONCATENATE("M(",C109,")=")</f>
        <v>M(  )=</v>
      </c>
      <c r="N110" t="e">
        <f>J110+L110</f>
        <v>#VALUE!</v>
      </c>
      <c r="O110" s="99">
        <f>O109+1</f>
        <v>19</v>
      </c>
      <c r="P110" s="99" t="str">
        <f t="shared" si="44"/>
        <v xml:space="preserve">  </v>
      </c>
      <c r="T110" s="89" t="e">
        <f>SUM(T107:T109)</f>
        <v>#VALUE!</v>
      </c>
      <c r="V110" s="82" t="e">
        <f>SUM(V107:V109)</f>
        <v>#VALUE!</v>
      </c>
      <c r="W110" s="84" t="str">
        <f>CONCATENATE("m'(",Q108,")=")</f>
        <v>m'(  )=</v>
      </c>
      <c r="X110" s="84" t="e">
        <f>(2*(X107^2)/24*V110)+(X109*Q107*WLS)</f>
        <v>#VALUE!</v>
      </c>
      <c r="Y110" s="84" t="e">
        <f>CONCATENATE("M(",Q107,")=")</f>
        <v>#VALUE!</v>
      </c>
      <c r="Z110" s="84" t="e">
        <f>VLOOKUP(Q107,STN_TABLE,4,FALSE)</f>
        <v>#VALUE!</v>
      </c>
      <c r="AA110" t="str">
        <f>CONCATENATE("M(",Q108,")=")</f>
        <v>M(  )=</v>
      </c>
      <c r="AB110" t="e">
        <f>X110+Z110</f>
        <v>#VALUE!</v>
      </c>
      <c r="AE110" s="89">
        <f>SUM(AE108:AE109)</f>
        <v>0</v>
      </c>
      <c r="AG110" s="89" t="e">
        <f>SUM(AG108:AG109)</f>
        <v>#VALUE!</v>
      </c>
      <c r="AH110" s="84" t="str">
        <f>CONCATENATE("m'(",AD109,")=")</f>
        <v>m'(  )=</v>
      </c>
      <c r="AI110" s="84" t="e">
        <f>(2*(AI107^2)/6*AG110)+(AI109*AD108*WLS)</f>
        <v>#VALUE!</v>
      </c>
      <c r="AJ110" s="84" t="str">
        <f>CONCATENATE("M(",AD108,")=")</f>
        <v>M(  )=</v>
      </c>
      <c r="AK110" s="84" t="str">
        <f>VLOOKUP(AD108,STN_TABLE,4,FALSE)</f>
        <v xml:space="preserve"> </v>
      </c>
      <c r="AL110" t="str">
        <f>CONCATENATE("M(",AD109,")=")</f>
        <v>M(  )=</v>
      </c>
      <c r="AM110" t="e">
        <f>AI110+AK110</f>
        <v>#VALUE!</v>
      </c>
      <c r="AO110" s="82" t="str">
        <f>AA110</f>
        <v>M(  )=</v>
      </c>
      <c r="AP110" s="82" t="e">
        <f>VLOOKUP(AO110,Rise_Results,2,FALSE)</f>
        <v>#N/A</v>
      </c>
      <c r="AQ110" s="82" t="e">
        <f>N110</f>
        <v>#VALUE!</v>
      </c>
      <c r="AR110" s="82" t="e">
        <f>IF(OR(AB109&lt;=0,AB110&lt;=0),1/0,AB110)</f>
        <v>#VALUE!</v>
      </c>
      <c r="AS110" s="82" t="e">
        <f>AM110</f>
        <v>#VALUE!</v>
      </c>
      <c r="AT110" t="e">
        <f>IFERROR(AP110,IFERROR(AQ110,IFERROR(AR110,AS110)))</f>
        <v>#VALUE!</v>
      </c>
      <c r="AU110" s="81"/>
    </row>
    <row r="111" spans="1:47" x14ac:dyDescent="0.25">
      <c r="A111" s="101">
        <f>A106+1</f>
        <v>14</v>
      </c>
      <c r="B111" s="101" t="str">
        <f t="shared" si="48"/>
        <v xml:space="preserve">  </v>
      </c>
      <c r="O111" s="101">
        <f>O106+1</f>
        <v>16</v>
      </c>
      <c r="P111" s="101" t="str">
        <f t="shared" si="44"/>
        <v xml:space="preserve">  </v>
      </c>
      <c r="AU111" s="81"/>
    </row>
    <row r="112" spans="1:47" x14ac:dyDescent="0.25">
      <c r="A112" s="84">
        <f>A111+1</f>
        <v>15</v>
      </c>
      <c r="B112" s="84" t="str">
        <f t="shared" si="48"/>
        <v xml:space="preserve">  </v>
      </c>
      <c r="C112" s="79" t="e">
        <f t="shared" ref="C112" si="52">IF(C113=B114,IF(C114-C113=C113-B113,B113,IF(C114-C113=C113-B112,B112,"#NA")),IF(C113=B113,IF(C114-C113=C113-B112,B112,IF(C114-C113=C113-B111,B111,"#NA")),"#NA"))</f>
        <v>#VALUE!</v>
      </c>
      <c r="D112" s="68" t="e">
        <f>VLOOKUP(C112,STN_TABLE,2,FALSE)</f>
        <v>#VALUE!</v>
      </c>
      <c r="E112" s="102">
        <v>1</v>
      </c>
      <c r="F112" s="68" t="e">
        <f>D112*E112</f>
        <v>#VALUE!</v>
      </c>
      <c r="G112" s="69" t="e">
        <f>C112</f>
        <v>#VALUE!</v>
      </c>
      <c r="H112" s="69" t="e">
        <f>F112*G112</f>
        <v>#VALUE!</v>
      </c>
      <c r="I112" s="6" t="s">
        <v>93</v>
      </c>
      <c r="J112" s="70" t="e">
        <f>IF(OR(D112=0,D113=0,D114=0),"#NA",IF(AND(C114-C113=C113-C112,C113&lt;&gt;C114,C112&lt;&gt;C113,C112&lt;&gt;C114,D114&lt;&gt;0,OR(D112&lt;&gt;0,D113&lt;&gt;0)),WLS*(C114-C113),"#NA"))</f>
        <v>#VALUE!</v>
      </c>
      <c r="O112" s="99">
        <f>O111+1</f>
        <v>17</v>
      </c>
      <c r="P112" s="99" t="str">
        <f t="shared" si="44"/>
        <v xml:space="preserve">  </v>
      </c>
      <c r="Q112" s="68" t="e">
        <f>IF(OR(P114-P113=P113-P112,P115-P113=P113-P112),P112,IF(OR(P114-P113=P113-P111,P115-P113=P113-P111),P111,"-"))</f>
        <v>#VALUE!</v>
      </c>
      <c r="R112" s="69" t="e">
        <f>VLOOKUP(Q112,STN_TABLE,2,FALSE)</f>
        <v>#VALUE!</v>
      </c>
      <c r="S112" s="69">
        <v>5</v>
      </c>
      <c r="T112" s="68" t="e">
        <f>R112*S112</f>
        <v>#VALUE!</v>
      </c>
      <c r="U112" s="79">
        <v>3</v>
      </c>
      <c r="V112" s="68" t="e">
        <f>R112*U112</f>
        <v>#VALUE!</v>
      </c>
      <c r="W112" s="6" t="s">
        <v>93</v>
      </c>
      <c r="X112" s="70" t="e">
        <f>IF(AND(Q114-Q113=Q113-Q112,NOT(AND(Q112=0,Q113=0)),NOT(AND(Q113=0,Q114=0))),WLS*(Q114-Q113),"#NA")</f>
        <v>#VALUE!</v>
      </c>
      <c r="AD112" s="93"/>
      <c r="AH112" s="6" t="s">
        <v>93</v>
      </c>
      <c r="AI112" s="70" t="e">
        <f>WLS*(AD114-AD113)</f>
        <v>#VALUE!</v>
      </c>
      <c r="AU112" s="81"/>
    </row>
    <row r="113" spans="1:47" x14ac:dyDescent="0.25">
      <c r="A113" s="84">
        <f>A112+1</f>
        <v>16</v>
      </c>
      <c r="B113" s="84" t="str">
        <f t="shared" si="48"/>
        <v xml:space="preserve">  </v>
      </c>
      <c r="C113" s="80" t="e">
        <f t="shared" ref="C113" si="53">IF(OR(B115-B114=B114-B113,B115-B114=B114-B112,B115-B114=B114-B111),B114,IF(OR(B115-B113=B113-B112,B115-B113=B113-B111),B113,IF(B115-B112=B112-B111,B112,"#NA")))</f>
        <v>#VALUE!</v>
      </c>
      <c r="D113" s="76" t="e">
        <f>VLOOKUP(C113,STN_TABLE,2,FALSE)</f>
        <v>#VALUE!</v>
      </c>
      <c r="E113" s="81">
        <v>4</v>
      </c>
      <c r="F113" s="76" t="e">
        <f>D113*E113</f>
        <v>#VALUE!</v>
      </c>
      <c r="G113" s="77" t="e">
        <f>C113</f>
        <v>#VALUE!</v>
      </c>
      <c r="H113" s="77" t="e">
        <f>F113*G113</f>
        <v>#VALUE!</v>
      </c>
      <c r="I113" s="495" t="s">
        <v>97</v>
      </c>
      <c r="J113" s="496"/>
      <c r="K113" s="78" t="s">
        <v>98</v>
      </c>
      <c r="L113" s="78"/>
      <c r="M113" s="7" t="s">
        <v>99</v>
      </c>
      <c r="N113" s="7"/>
      <c r="O113" s="99">
        <f>O112+1</f>
        <v>18</v>
      </c>
      <c r="P113" s="99" t="str">
        <f t="shared" si="44"/>
        <v xml:space="preserve">  </v>
      </c>
      <c r="Q113" s="76" t="str">
        <f>P113</f>
        <v xml:space="preserve">  </v>
      </c>
      <c r="R113" s="77" t="str">
        <f>VLOOKUP(Q113,STN_TABLE,2,FALSE)</f>
        <v xml:space="preserve">  </v>
      </c>
      <c r="S113" s="77">
        <v>8</v>
      </c>
      <c r="T113" s="76" t="e">
        <f>R113*S113</f>
        <v>#VALUE!</v>
      </c>
      <c r="U113" s="80">
        <v>10</v>
      </c>
      <c r="V113" s="76" t="e">
        <f>R113*U113</f>
        <v>#VALUE!</v>
      </c>
      <c r="W113" s="496" t="s">
        <v>97</v>
      </c>
      <c r="X113" s="496"/>
      <c r="Y113" s="496" t="s">
        <v>98</v>
      </c>
      <c r="Z113" s="496"/>
      <c r="AA113" s="494" t="s">
        <v>99</v>
      </c>
      <c r="AB113" s="494"/>
      <c r="AC113" s="99">
        <f>AC108+1</f>
        <v>17</v>
      </c>
      <c r="AD113" s="95" t="str">
        <f>VLOOKUP(AC113,STN_TABLE_2,2,FALSE)</f>
        <v xml:space="preserve">  </v>
      </c>
      <c r="AE113" s="68" t="str">
        <f>VLOOKUP(AD113,STN_TABLE,2,FALSE)</f>
        <v xml:space="preserve">  </v>
      </c>
      <c r="AF113" s="68">
        <v>1</v>
      </c>
      <c r="AG113" s="69" t="e">
        <f>AE113*AF113</f>
        <v>#VALUE!</v>
      </c>
      <c r="AH113" s="496" t="s">
        <v>97</v>
      </c>
      <c r="AI113" s="496"/>
      <c r="AJ113" s="496" t="s">
        <v>98</v>
      </c>
      <c r="AK113" s="496"/>
      <c r="AL113" s="494" t="s">
        <v>99</v>
      </c>
      <c r="AM113" s="494"/>
      <c r="AP113" s="86" t="s">
        <v>112</v>
      </c>
      <c r="AQ113" s="89" t="s">
        <v>113</v>
      </c>
      <c r="AR113" s="89" t="s">
        <v>114</v>
      </c>
      <c r="AS113" s="89" t="s">
        <v>115</v>
      </c>
      <c r="AU113" s="81"/>
    </row>
    <row r="114" spans="1:47" x14ac:dyDescent="0.25">
      <c r="A114" s="84">
        <f>A113+1</f>
        <v>17</v>
      </c>
      <c r="B114" s="84" t="str">
        <f t="shared" si="48"/>
        <v xml:space="preserve">  </v>
      </c>
      <c r="C114" s="88" t="str">
        <f t="shared" ref="C114" si="54">B115</f>
        <v xml:space="preserve">  </v>
      </c>
      <c r="D114" s="82" t="str">
        <f>VLOOKUP(C114,STN_TABLE,2,FALSE)</f>
        <v xml:space="preserve">  </v>
      </c>
      <c r="E114" s="92">
        <v>1</v>
      </c>
      <c r="F114" s="82" t="e">
        <f>D114*E114</f>
        <v>#VALUE!</v>
      </c>
      <c r="G114" s="83" t="str">
        <f>C114</f>
        <v xml:space="preserve">  </v>
      </c>
      <c r="H114" s="83" t="e">
        <f>F114*G114</f>
        <v>#VALUE!</v>
      </c>
      <c r="I114" s="84" t="str">
        <f>CONCATENATE("a'(",C114,")=")</f>
        <v>a'(  )=</v>
      </c>
      <c r="J114" s="84" t="e">
        <f>2*J112/3*F115</f>
        <v>#VALUE!</v>
      </c>
      <c r="K114" s="84" t="e">
        <f>CONCATENATE("A(",C112,")=")</f>
        <v>#VALUE!</v>
      </c>
      <c r="L114" s="84" t="e">
        <f>VLOOKUP(C112,STN_TABLE,3,FALSE)</f>
        <v>#VALUE!</v>
      </c>
      <c r="M114" t="str">
        <f>CONCATENATE("A(",C114,")=")</f>
        <v>A(  )=</v>
      </c>
      <c r="N114" t="e">
        <f>J114+L114</f>
        <v>#VALUE!</v>
      </c>
      <c r="O114" s="99">
        <f>O113+1</f>
        <v>19</v>
      </c>
      <c r="P114" s="99" t="str">
        <f t="shared" si="44"/>
        <v xml:space="preserve">  </v>
      </c>
      <c r="Q114" s="82" t="e">
        <f>IF(P114-P113=P113-P112,P114,IF(P115-P113=P113-P112,P115,IF(P114-P113=P113-P111,P114,IF(P115-P113=P113-P111,P115,"-"))))</f>
        <v>#VALUE!</v>
      </c>
      <c r="R114" s="83" t="e">
        <f>VLOOKUP(Q114,STN_TABLE,2,FALSE)</f>
        <v>#VALUE!</v>
      </c>
      <c r="S114" s="83">
        <v>-1</v>
      </c>
      <c r="T114" s="82" t="e">
        <f>R114*S114</f>
        <v>#VALUE!</v>
      </c>
      <c r="U114" s="88">
        <v>-1</v>
      </c>
      <c r="V114" s="82" t="e">
        <f>R114*U114</f>
        <v>#VALUE!</v>
      </c>
      <c r="W114" s="84" t="str">
        <f>CONCATENATE("a'(",Q113,")=")</f>
        <v>a'(  )=</v>
      </c>
      <c r="X114" s="84" t="e">
        <f>2*X112/12*T115</f>
        <v>#VALUE!</v>
      </c>
      <c r="Y114" s="84" t="e">
        <f>CONCATENATE("A(",Q112,")=")</f>
        <v>#VALUE!</v>
      </c>
      <c r="Z114" s="84" t="e">
        <f>VLOOKUP(Q112,STN_TABLE,3,FALSE)</f>
        <v>#VALUE!</v>
      </c>
      <c r="AA114" t="str">
        <f>CONCATENATE("A(",Q113,")=")</f>
        <v>A(  )=</v>
      </c>
      <c r="AB114" t="e">
        <f>X114+Z114</f>
        <v>#VALUE!</v>
      </c>
      <c r="AC114" s="99">
        <f>AC113+1</f>
        <v>18</v>
      </c>
      <c r="AD114" s="100" t="str">
        <f>VLOOKUP(AC114,STN_TABLE_2,2,FALSE)</f>
        <v xml:space="preserve">  </v>
      </c>
      <c r="AE114" s="82" t="str">
        <f>VLOOKUP(AD114,STN_TABLE,2,FALSE)</f>
        <v xml:space="preserve">  </v>
      </c>
      <c r="AF114" s="82">
        <v>2</v>
      </c>
      <c r="AG114" s="83" t="e">
        <f>AE114*AF114</f>
        <v>#VALUE!</v>
      </c>
      <c r="AH114" s="84" t="str">
        <f>CONCATENATE("a'(",AD114,")=")</f>
        <v>a'(  )=</v>
      </c>
      <c r="AI114" s="84" t="e">
        <f>2*AI112/2*AE115</f>
        <v>#VALUE!</v>
      </c>
      <c r="AJ114" s="84" t="str">
        <f>CONCATENATE("A(",AD113,")=")</f>
        <v>A(  )=</v>
      </c>
      <c r="AK114" s="84" t="str">
        <f>VLOOKUP(AD113,STN_TABLE,3,FALSE)</f>
        <v xml:space="preserve"> </v>
      </c>
      <c r="AL114" t="str">
        <f>CONCATENATE("A(",AD114,")=")</f>
        <v>A(  )=</v>
      </c>
      <c r="AM114" t="e">
        <f>AI114+AK114</f>
        <v>#VALUE!</v>
      </c>
      <c r="AO114" s="68" t="str">
        <f>AA114</f>
        <v>A(  )=</v>
      </c>
      <c r="AP114" s="68" t="e">
        <f>VLOOKUP(AO114,Rise_Results,2,FALSE)</f>
        <v>#N/A</v>
      </c>
      <c r="AQ114" s="76" t="e">
        <f>N114</f>
        <v>#VALUE!</v>
      </c>
      <c r="AR114" s="76" t="e">
        <f>IF(OR(AB114&lt;=0,AB115&lt;=0),1/0,AB114)</f>
        <v>#VALUE!</v>
      </c>
      <c r="AS114" s="76" t="e">
        <f>AM114</f>
        <v>#VALUE!</v>
      </c>
      <c r="AT114" t="e">
        <f>IFERROR(AP114,IFERROR(AQ114,IFERROR(AR114,AS114)))</f>
        <v>#VALUE!</v>
      </c>
      <c r="AU114" s="81"/>
    </row>
    <row r="115" spans="1:47" x14ac:dyDescent="0.25">
      <c r="A115" s="84">
        <f>A114+1</f>
        <v>18</v>
      </c>
      <c r="B115" s="84" t="str">
        <f t="shared" si="48"/>
        <v xml:space="preserve">  </v>
      </c>
      <c r="F115" s="82" t="e">
        <f>SUM(F112:F114)</f>
        <v>#VALUE!</v>
      </c>
      <c r="H115" s="82" t="e">
        <f>SUM(H112:H114)</f>
        <v>#VALUE!</v>
      </c>
      <c r="I115" s="84" t="str">
        <f>CONCATENATE("m'(",C114,")=")</f>
        <v>m'(  )=</v>
      </c>
      <c r="J115" s="84" t="e">
        <f>2*(J112*(WLS))/3*H115</f>
        <v>#VALUE!</v>
      </c>
      <c r="K115" s="84" t="e">
        <f>CONCATENATE("M(",C112,")=")</f>
        <v>#VALUE!</v>
      </c>
      <c r="L115" s="84" t="e">
        <f>VLOOKUP(C112,STN_TABLE,4,FALSE)</f>
        <v>#VALUE!</v>
      </c>
      <c r="M115" t="str">
        <f>CONCATENATE("M(",C114,")=")</f>
        <v>M(  )=</v>
      </c>
      <c r="N115" t="e">
        <f>J115+L115</f>
        <v>#VALUE!</v>
      </c>
      <c r="O115" s="99">
        <f>O114+1</f>
        <v>20</v>
      </c>
      <c r="P115" s="99" t="str">
        <f t="shared" si="44"/>
        <v xml:space="preserve">  </v>
      </c>
      <c r="T115" s="89" t="e">
        <f>SUM(T112:T114)</f>
        <v>#VALUE!</v>
      </c>
      <c r="V115" s="82" t="e">
        <f>SUM(V112:V114)</f>
        <v>#VALUE!</v>
      </c>
      <c r="W115" s="84" t="str">
        <f>CONCATENATE("m'(",Q113,")=")</f>
        <v>m'(  )=</v>
      </c>
      <c r="X115" s="84" t="e">
        <f>(2*(X112^2)/24*V115)+(X114*Q112*WLS)</f>
        <v>#VALUE!</v>
      </c>
      <c r="Y115" s="84" t="e">
        <f>CONCATENATE("M(",Q112,")=")</f>
        <v>#VALUE!</v>
      </c>
      <c r="Z115" s="84" t="e">
        <f>VLOOKUP(Q112,STN_TABLE,4,FALSE)</f>
        <v>#VALUE!</v>
      </c>
      <c r="AA115" t="str">
        <f>CONCATENATE("M(",Q113,")=")</f>
        <v>M(  )=</v>
      </c>
      <c r="AB115" t="e">
        <f>X115+Z115</f>
        <v>#VALUE!</v>
      </c>
      <c r="AE115" s="89">
        <f>SUM(AE113:AE114)</f>
        <v>0</v>
      </c>
      <c r="AG115" s="89" t="e">
        <f>SUM(AG113:AG114)</f>
        <v>#VALUE!</v>
      </c>
      <c r="AH115" s="84" t="str">
        <f>CONCATENATE("m'(",AD114,")=")</f>
        <v>m'(  )=</v>
      </c>
      <c r="AI115" s="84" t="e">
        <f>(2*(AI112^2)/6*AG115)+(AI114*AD113*WLS)</f>
        <v>#VALUE!</v>
      </c>
      <c r="AJ115" s="84" t="str">
        <f>CONCATENATE("M(",AD113,")=")</f>
        <v>M(  )=</v>
      </c>
      <c r="AK115" s="84" t="str">
        <f>VLOOKUP(AD113,STN_TABLE,4,FALSE)</f>
        <v xml:space="preserve"> </v>
      </c>
      <c r="AL115" t="str">
        <f>CONCATENATE("M(",AD114,")=")</f>
        <v>M(  )=</v>
      </c>
      <c r="AM115" t="e">
        <f>AI115+AK115</f>
        <v>#VALUE!</v>
      </c>
      <c r="AO115" s="82" t="str">
        <f>AA115</f>
        <v>M(  )=</v>
      </c>
      <c r="AP115" s="82" t="e">
        <f>VLOOKUP(AO115,Rise_Results,2,FALSE)</f>
        <v>#N/A</v>
      </c>
      <c r="AQ115" s="82" t="e">
        <f>N115</f>
        <v>#VALUE!</v>
      </c>
      <c r="AR115" s="82" t="e">
        <f>IF(OR(AB114&lt;=0,AB115&lt;=0),1/0,AB115)</f>
        <v>#VALUE!</v>
      </c>
      <c r="AS115" s="82" t="e">
        <f>AM115</f>
        <v>#VALUE!</v>
      </c>
      <c r="AT115" t="e">
        <f>IFERROR(AP115,IFERROR(AQ115,IFERROR(AR115,AS115)))</f>
        <v>#VALUE!</v>
      </c>
      <c r="AU115" s="81"/>
    </row>
    <row r="116" spans="1:47" x14ac:dyDescent="0.25">
      <c r="A116" s="101">
        <f>A111+1</f>
        <v>15</v>
      </c>
      <c r="B116" s="101" t="str">
        <f t="shared" si="48"/>
        <v xml:space="preserve">  </v>
      </c>
      <c r="O116" s="101">
        <f>O111+1</f>
        <v>17</v>
      </c>
      <c r="P116" s="101" t="str">
        <f t="shared" si="44"/>
        <v xml:space="preserve">  </v>
      </c>
      <c r="AU116" s="81"/>
    </row>
    <row r="117" spans="1:47" x14ac:dyDescent="0.25">
      <c r="A117" s="84">
        <f>A116+1</f>
        <v>16</v>
      </c>
      <c r="B117" s="84" t="str">
        <f t="shared" si="48"/>
        <v xml:space="preserve">  </v>
      </c>
      <c r="C117" s="79" t="e">
        <f t="shared" ref="C117" si="55">IF(C118=B119,IF(C119-C118=C118-B118,B118,IF(C119-C118=C118-B117,B117,"#NA")),IF(C118=B118,IF(C119-C118=C118-B117,B117,IF(C119-C118=C118-B116,B116,"#NA")),"#NA"))</f>
        <v>#VALUE!</v>
      </c>
      <c r="D117" s="68" t="e">
        <f>VLOOKUP(C117,STN_TABLE,2,FALSE)</f>
        <v>#VALUE!</v>
      </c>
      <c r="E117" s="102">
        <v>1</v>
      </c>
      <c r="F117" s="68" t="e">
        <f>D117*E117</f>
        <v>#VALUE!</v>
      </c>
      <c r="G117" s="69" t="e">
        <f>C117</f>
        <v>#VALUE!</v>
      </c>
      <c r="H117" s="69" t="e">
        <f>F117*G117</f>
        <v>#VALUE!</v>
      </c>
      <c r="I117" s="6" t="s">
        <v>93</v>
      </c>
      <c r="J117" s="70" t="e">
        <f>IF(OR(D117=0,D118=0,D119=0),"#NA",IF(AND(C119-C118=C118-C117,C118&lt;&gt;C119,C117&lt;&gt;C118,C117&lt;&gt;C119,D119&lt;&gt;0,OR(D117&lt;&gt;0,D118&lt;&gt;0)),WLS*(C119-C118),"#NA"))</f>
        <v>#VALUE!</v>
      </c>
      <c r="O117" s="99">
        <f>O116+1</f>
        <v>18</v>
      </c>
      <c r="P117" s="99" t="str">
        <f t="shared" si="44"/>
        <v xml:space="preserve">  </v>
      </c>
      <c r="Q117" s="68" t="e">
        <f>IF(OR(P119-P118=P118-P117,P120-P118=P118-P117),P117,IF(OR(P119-P118=P118-P116,P120-P118=P118-P116),P116,"-"))</f>
        <v>#VALUE!</v>
      </c>
      <c r="R117" s="69" t="e">
        <f>VLOOKUP(Q117,STN_TABLE,2,FALSE)</f>
        <v>#VALUE!</v>
      </c>
      <c r="S117" s="69">
        <v>5</v>
      </c>
      <c r="T117" s="68" t="e">
        <f>R117*S117</f>
        <v>#VALUE!</v>
      </c>
      <c r="U117" s="79">
        <v>3</v>
      </c>
      <c r="V117" s="68" t="e">
        <f>R117*U117</f>
        <v>#VALUE!</v>
      </c>
      <c r="W117" s="6" t="s">
        <v>93</v>
      </c>
      <c r="X117" s="70" t="e">
        <f>IF(AND(Q119-Q118=Q118-Q117,NOT(AND(Q117=0,Q118=0)),NOT(AND(Q118=0,Q119=0))),WLS*(Q119-Q118),"#NA")</f>
        <v>#VALUE!</v>
      </c>
      <c r="AD117" s="93"/>
      <c r="AH117" s="6" t="s">
        <v>93</v>
      </c>
      <c r="AI117" s="70" t="e">
        <f>WLS*(AD119-AD118)</f>
        <v>#VALUE!</v>
      </c>
      <c r="AU117" s="81"/>
    </row>
    <row r="118" spans="1:47" x14ac:dyDescent="0.25">
      <c r="A118" s="84">
        <f>A117+1</f>
        <v>17</v>
      </c>
      <c r="B118" s="84" t="str">
        <f t="shared" si="48"/>
        <v xml:space="preserve">  </v>
      </c>
      <c r="C118" s="80" t="e">
        <f t="shared" ref="C118" si="56">IF(OR(B120-B119=B119-B118,B120-B119=B119-B117,B120-B119=B119-B116),B119,IF(OR(B120-B118=B118-B117,B120-B118=B118-B116),B118,IF(B120-B117=B117-B116,B117,"#NA")))</f>
        <v>#VALUE!</v>
      </c>
      <c r="D118" s="76" t="e">
        <f>VLOOKUP(C118,STN_TABLE,2,FALSE)</f>
        <v>#VALUE!</v>
      </c>
      <c r="E118" s="81">
        <v>4</v>
      </c>
      <c r="F118" s="76" t="e">
        <f>D118*E118</f>
        <v>#VALUE!</v>
      </c>
      <c r="G118" s="77" t="e">
        <f>C118</f>
        <v>#VALUE!</v>
      </c>
      <c r="H118" s="77" t="e">
        <f>F118*G118</f>
        <v>#VALUE!</v>
      </c>
      <c r="I118" s="495" t="s">
        <v>97</v>
      </c>
      <c r="J118" s="496"/>
      <c r="K118" s="78" t="s">
        <v>98</v>
      </c>
      <c r="L118" s="78"/>
      <c r="M118" s="7" t="s">
        <v>99</v>
      </c>
      <c r="N118" s="7"/>
      <c r="O118" s="99">
        <f>O117+1</f>
        <v>19</v>
      </c>
      <c r="P118" s="99" t="str">
        <f t="shared" si="44"/>
        <v xml:space="preserve">  </v>
      </c>
      <c r="Q118" s="76" t="str">
        <f>P118</f>
        <v xml:space="preserve">  </v>
      </c>
      <c r="R118" s="77" t="str">
        <f>VLOOKUP(Q118,STN_TABLE,2,FALSE)</f>
        <v xml:space="preserve">  </v>
      </c>
      <c r="S118" s="77">
        <v>8</v>
      </c>
      <c r="T118" s="76" t="e">
        <f>R118*S118</f>
        <v>#VALUE!</v>
      </c>
      <c r="U118" s="80">
        <v>10</v>
      </c>
      <c r="V118" s="76" t="e">
        <f>R118*U118</f>
        <v>#VALUE!</v>
      </c>
      <c r="W118" s="496" t="s">
        <v>97</v>
      </c>
      <c r="X118" s="496"/>
      <c r="Y118" s="496" t="s">
        <v>98</v>
      </c>
      <c r="Z118" s="496"/>
      <c r="AA118" s="494" t="s">
        <v>99</v>
      </c>
      <c r="AB118" s="494"/>
      <c r="AC118" s="99">
        <f>AC113+1</f>
        <v>18</v>
      </c>
      <c r="AD118" s="95" t="str">
        <f>VLOOKUP(AC118,STN_TABLE_2,2,FALSE)</f>
        <v xml:space="preserve">  </v>
      </c>
      <c r="AE118" s="68" t="str">
        <f>VLOOKUP(AD118,STN_TABLE,2,FALSE)</f>
        <v xml:space="preserve">  </v>
      </c>
      <c r="AF118" s="68">
        <v>1</v>
      </c>
      <c r="AG118" s="69" t="e">
        <f>AE118*AF118</f>
        <v>#VALUE!</v>
      </c>
      <c r="AH118" s="496" t="s">
        <v>97</v>
      </c>
      <c r="AI118" s="496"/>
      <c r="AJ118" s="496" t="s">
        <v>98</v>
      </c>
      <c r="AK118" s="496"/>
      <c r="AL118" s="494" t="s">
        <v>99</v>
      </c>
      <c r="AM118" s="494"/>
      <c r="AP118" s="86" t="s">
        <v>112</v>
      </c>
      <c r="AQ118" s="89" t="s">
        <v>113</v>
      </c>
      <c r="AR118" s="89" t="s">
        <v>114</v>
      </c>
      <c r="AS118" s="89" t="s">
        <v>115</v>
      </c>
      <c r="AU118" s="81"/>
    </row>
    <row r="119" spans="1:47" x14ac:dyDescent="0.25">
      <c r="A119" s="84">
        <f>A118+1</f>
        <v>18</v>
      </c>
      <c r="B119" s="84" t="str">
        <f t="shared" si="48"/>
        <v xml:space="preserve">  </v>
      </c>
      <c r="C119" s="88" t="str">
        <f t="shared" ref="C119" si="57">B120</f>
        <v xml:space="preserve">  </v>
      </c>
      <c r="D119" s="82" t="str">
        <f>VLOOKUP(C119,STN_TABLE,2,FALSE)</f>
        <v xml:space="preserve">  </v>
      </c>
      <c r="E119" s="92">
        <v>1</v>
      </c>
      <c r="F119" s="82" t="e">
        <f>D119*E119</f>
        <v>#VALUE!</v>
      </c>
      <c r="G119" s="83" t="str">
        <f>C119</f>
        <v xml:space="preserve">  </v>
      </c>
      <c r="H119" s="83" t="e">
        <f>F119*G119</f>
        <v>#VALUE!</v>
      </c>
      <c r="I119" s="84" t="str">
        <f>CONCATENATE("a'(",C119,")=")</f>
        <v>a'(  )=</v>
      </c>
      <c r="J119" s="84" t="e">
        <f>2*J117/3*F120</f>
        <v>#VALUE!</v>
      </c>
      <c r="K119" s="84" t="e">
        <f>CONCATENATE("A(",C117,")=")</f>
        <v>#VALUE!</v>
      </c>
      <c r="L119" s="84" t="e">
        <f>VLOOKUP(C117,STN_TABLE,3,FALSE)</f>
        <v>#VALUE!</v>
      </c>
      <c r="M119" t="str">
        <f>CONCATENATE("A(",C119,")=")</f>
        <v>A(  )=</v>
      </c>
      <c r="N119" t="e">
        <f>J119+L119</f>
        <v>#VALUE!</v>
      </c>
      <c r="O119" s="99">
        <f>O118+1</f>
        <v>20</v>
      </c>
      <c r="P119" s="99" t="str">
        <f t="shared" si="44"/>
        <v xml:space="preserve">  </v>
      </c>
      <c r="Q119" s="82" t="e">
        <f>IF(P119-P118=P118-P117,P119,IF(P120-P118=P118-P117,P120,IF(P119-P118=P118-P116,P119,IF(P120-P118=P118-P116,P120,"-"))))</f>
        <v>#VALUE!</v>
      </c>
      <c r="R119" s="83" t="e">
        <f>VLOOKUP(Q119,STN_TABLE,2,FALSE)</f>
        <v>#VALUE!</v>
      </c>
      <c r="S119" s="83">
        <v>-1</v>
      </c>
      <c r="T119" s="82" t="e">
        <f>R119*S119</f>
        <v>#VALUE!</v>
      </c>
      <c r="U119" s="88">
        <v>-1</v>
      </c>
      <c r="V119" s="82" t="e">
        <f>R119*U119</f>
        <v>#VALUE!</v>
      </c>
      <c r="W119" s="84" t="str">
        <f>CONCATENATE("a'(",Q118,")=")</f>
        <v>a'(  )=</v>
      </c>
      <c r="X119" s="84" t="e">
        <f>2*X117/12*T120</f>
        <v>#VALUE!</v>
      </c>
      <c r="Y119" s="84" t="e">
        <f>CONCATENATE("A(",Q117,")=")</f>
        <v>#VALUE!</v>
      </c>
      <c r="Z119" s="84" t="e">
        <f>VLOOKUP(Q117,STN_TABLE,3,FALSE)</f>
        <v>#VALUE!</v>
      </c>
      <c r="AA119" t="str">
        <f>CONCATENATE("A(",Q118,")=")</f>
        <v>A(  )=</v>
      </c>
      <c r="AB119" t="e">
        <f>X119+Z119</f>
        <v>#VALUE!</v>
      </c>
      <c r="AC119" s="99">
        <f>AC118+1</f>
        <v>19</v>
      </c>
      <c r="AD119" s="100" t="str">
        <f>VLOOKUP(AC119,STN_TABLE_2,2,FALSE)</f>
        <v xml:space="preserve">  </v>
      </c>
      <c r="AE119" s="82" t="str">
        <f>VLOOKUP(AD119,STN_TABLE,2,FALSE)</f>
        <v xml:space="preserve">  </v>
      </c>
      <c r="AF119" s="82">
        <v>2</v>
      </c>
      <c r="AG119" s="83" t="e">
        <f>AE119*AF119</f>
        <v>#VALUE!</v>
      </c>
      <c r="AH119" s="84" t="str">
        <f>CONCATENATE("a'(",AD119,")=")</f>
        <v>a'(  )=</v>
      </c>
      <c r="AI119" s="84" t="e">
        <f>2*AI117/2*AE120</f>
        <v>#VALUE!</v>
      </c>
      <c r="AJ119" s="84" t="str">
        <f>CONCATENATE("A(",AD118,")=")</f>
        <v>A(  )=</v>
      </c>
      <c r="AK119" s="84" t="str">
        <f>VLOOKUP(AD118,STN_TABLE,3,FALSE)</f>
        <v xml:space="preserve"> </v>
      </c>
      <c r="AL119" t="str">
        <f>CONCATENATE("A(",AD119,")=")</f>
        <v>A(  )=</v>
      </c>
      <c r="AM119" t="e">
        <f>AI119+AK119</f>
        <v>#VALUE!</v>
      </c>
      <c r="AO119" s="68" t="str">
        <f>AA119</f>
        <v>A(  )=</v>
      </c>
      <c r="AP119" s="68" t="e">
        <f>VLOOKUP(AO119,Rise_Results,2,FALSE)</f>
        <v>#N/A</v>
      </c>
      <c r="AQ119" s="76" t="e">
        <f>N119</f>
        <v>#VALUE!</v>
      </c>
      <c r="AR119" s="76" t="e">
        <f>IF(OR(AB119&lt;=0,AB120&lt;=0),1/0,AB119)</f>
        <v>#VALUE!</v>
      </c>
      <c r="AS119" s="76" t="e">
        <f>AM119</f>
        <v>#VALUE!</v>
      </c>
      <c r="AT119" t="e">
        <f>IFERROR(AP119,IFERROR(AQ119,IFERROR(AR119,AS119)))</f>
        <v>#VALUE!</v>
      </c>
      <c r="AU119" s="81"/>
    </row>
    <row r="120" spans="1:47" x14ac:dyDescent="0.25">
      <c r="A120" s="84">
        <f>A119+1</f>
        <v>19</v>
      </c>
      <c r="B120" s="84" t="str">
        <f t="shared" si="48"/>
        <v xml:space="preserve">  </v>
      </c>
      <c r="F120" s="82" t="e">
        <f>SUM(F117:F119)</f>
        <v>#VALUE!</v>
      </c>
      <c r="H120" s="82" t="e">
        <f>SUM(H117:H119)</f>
        <v>#VALUE!</v>
      </c>
      <c r="I120" s="84" t="str">
        <f>CONCATENATE("m'(",C119,")=")</f>
        <v>m'(  )=</v>
      </c>
      <c r="J120" s="84" t="e">
        <f>2*(J117*(WLS))/3*H120</f>
        <v>#VALUE!</v>
      </c>
      <c r="K120" s="84" t="e">
        <f>CONCATENATE("M(",C117,")=")</f>
        <v>#VALUE!</v>
      </c>
      <c r="L120" s="84" t="e">
        <f>VLOOKUP(C117,STN_TABLE,4,FALSE)</f>
        <v>#VALUE!</v>
      </c>
      <c r="M120" t="str">
        <f>CONCATENATE("M(",C119,")=")</f>
        <v>M(  )=</v>
      </c>
      <c r="N120" t="e">
        <f>J120+L120</f>
        <v>#VALUE!</v>
      </c>
      <c r="O120" s="99">
        <f>O119+1</f>
        <v>21</v>
      </c>
      <c r="P120" s="99" t="str">
        <f t="shared" si="44"/>
        <v xml:space="preserve">  </v>
      </c>
      <c r="T120" s="89" t="e">
        <f>SUM(T117:T119)</f>
        <v>#VALUE!</v>
      </c>
      <c r="V120" s="82" t="e">
        <f>SUM(V117:V119)</f>
        <v>#VALUE!</v>
      </c>
      <c r="W120" s="84" t="str">
        <f>CONCATENATE("m'(",Q118,")=")</f>
        <v>m'(  )=</v>
      </c>
      <c r="X120" s="84" t="e">
        <f>(2*(X117^2)/24*V120)+(X119*Q117*WLS)</f>
        <v>#VALUE!</v>
      </c>
      <c r="Y120" s="84" t="e">
        <f>CONCATENATE("M(",Q117,")=")</f>
        <v>#VALUE!</v>
      </c>
      <c r="Z120" s="84" t="e">
        <f>VLOOKUP(Q117,STN_TABLE,4,FALSE)</f>
        <v>#VALUE!</v>
      </c>
      <c r="AA120" t="str">
        <f>CONCATENATE("M(",Q118,")=")</f>
        <v>M(  )=</v>
      </c>
      <c r="AB120" t="e">
        <f>X120+Z120</f>
        <v>#VALUE!</v>
      </c>
      <c r="AE120" s="89">
        <f>SUM(AE118:AE119)</f>
        <v>0</v>
      </c>
      <c r="AG120" s="89" t="e">
        <f>SUM(AG118:AG119)</f>
        <v>#VALUE!</v>
      </c>
      <c r="AH120" s="84" t="str">
        <f>CONCATENATE("m'(",AD119,")=")</f>
        <v>m'(  )=</v>
      </c>
      <c r="AI120" s="84" t="e">
        <f>(2*(AI117^2)/6*AG120)+(AI119*AD118*WLS)</f>
        <v>#VALUE!</v>
      </c>
      <c r="AJ120" s="84" t="str">
        <f>CONCATENATE("M(",AD118,")=")</f>
        <v>M(  )=</v>
      </c>
      <c r="AK120" s="84" t="str">
        <f>VLOOKUP(AD118,STN_TABLE,4,FALSE)</f>
        <v xml:space="preserve"> </v>
      </c>
      <c r="AL120" t="str">
        <f>CONCATENATE("M(",AD119,")=")</f>
        <v>M(  )=</v>
      </c>
      <c r="AM120" t="e">
        <f>AI120+AK120</f>
        <v>#VALUE!</v>
      </c>
      <c r="AO120" s="82" t="str">
        <f>AA120</f>
        <v>M(  )=</v>
      </c>
      <c r="AP120" s="82" t="e">
        <f>VLOOKUP(AO120,Rise_Results,2,FALSE)</f>
        <v>#N/A</v>
      </c>
      <c r="AQ120" s="82" t="e">
        <f>N120</f>
        <v>#VALUE!</v>
      </c>
      <c r="AR120" s="82" t="e">
        <f>IF(OR(AB119&lt;=0,AB120&lt;=0),1/0,AB120)</f>
        <v>#VALUE!</v>
      </c>
      <c r="AS120" s="82" t="e">
        <f>AM120</f>
        <v>#VALUE!</v>
      </c>
      <c r="AT120" t="e">
        <f>IFERROR(AP120,IFERROR(AQ120,IFERROR(AR120,AS120)))</f>
        <v>#VALUE!</v>
      </c>
      <c r="AU120" s="81"/>
    </row>
    <row r="121" spans="1:47" x14ac:dyDescent="0.25">
      <c r="A121" s="101">
        <f>A116+1</f>
        <v>16</v>
      </c>
      <c r="B121" s="101" t="str">
        <f t="shared" si="48"/>
        <v xml:space="preserve">  </v>
      </c>
      <c r="O121" s="101">
        <f>O116+1</f>
        <v>18</v>
      </c>
      <c r="P121" s="101" t="str">
        <f t="shared" si="44"/>
        <v xml:space="preserve">  </v>
      </c>
      <c r="AU121" s="81"/>
    </row>
    <row r="122" spans="1:47" x14ac:dyDescent="0.25">
      <c r="A122" s="84">
        <f>A121+1</f>
        <v>17</v>
      </c>
      <c r="B122" s="84" t="str">
        <f t="shared" si="48"/>
        <v xml:space="preserve">  </v>
      </c>
      <c r="C122" s="79" t="e">
        <f t="shared" ref="C122" si="58">IF(C123=B124,IF(C124-C123=C123-B123,B123,IF(C124-C123=C123-B122,B122,"#NA")),IF(C123=B123,IF(C124-C123=C123-B122,B122,IF(C124-C123=C123-B121,B121,"#NA")),"#NA"))</f>
        <v>#VALUE!</v>
      </c>
      <c r="D122" s="68" t="e">
        <f>VLOOKUP(C122,STN_TABLE,2,FALSE)</f>
        <v>#VALUE!</v>
      </c>
      <c r="E122" s="102">
        <v>1</v>
      </c>
      <c r="F122" s="68" t="e">
        <f>D122*E122</f>
        <v>#VALUE!</v>
      </c>
      <c r="G122" s="69" t="e">
        <f>C122</f>
        <v>#VALUE!</v>
      </c>
      <c r="H122" s="69" t="e">
        <f>F122*G122</f>
        <v>#VALUE!</v>
      </c>
      <c r="I122" s="6" t="s">
        <v>93</v>
      </c>
      <c r="J122" s="70" t="e">
        <f>IF(OR(D122=0,D123=0,D124=0),"#NA",IF(AND(C124-C123=C123-C122,C123&lt;&gt;C124,C122&lt;&gt;C123,C122&lt;&gt;C124,D124&lt;&gt;0,OR(D122&lt;&gt;0,D123&lt;&gt;0)),WLS*(C124-C123),"#NA"))</f>
        <v>#VALUE!</v>
      </c>
      <c r="O122" s="99">
        <f>O121+1</f>
        <v>19</v>
      </c>
      <c r="P122" s="99" t="str">
        <f t="shared" si="44"/>
        <v xml:space="preserve">  </v>
      </c>
      <c r="Q122" s="68" t="e">
        <f>IF(OR(P124-P123=P123-P122,P125-P123=P123-P122),P122,IF(OR(P124-P123=P123-P121,P125-P123=P123-P121),P121,"-"))</f>
        <v>#VALUE!</v>
      </c>
      <c r="R122" s="69" t="e">
        <f>VLOOKUP(Q122,STN_TABLE,2,FALSE)</f>
        <v>#VALUE!</v>
      </c>
      <c r="S122" s="69">
        <v>5</v>
      </c>
      <c r="T122" s="68" t="e">
        <f>R122*S122</f>
        <v>#VALUE!</v>
      </c>
      <c r="U122" s="79">
        <v>3</v>
      </c>
      <c r="V122" s="68" t="e">
        <f>R122*U122</f>
        <v>#VALUE!</v>
      </c>
      <c r="W122" s="6" t="s">
        <v>93</v>
      </c>
      <c r="X122" s="70" t="e">
        <f>IF(AND(Q124-Q123=Q123-Q122,NOT(AND(Q122=0,Q123=0)),NOT(AND(Q123=0,Q124=0))),WLS*(Q124-Q123),"#NA")</f>
        <v>#VALUE!</v>
      </c>
      <c r="AD122" s="93"/>
      <c r="AH122" s="6" t="s">
        <v>93</v>
      </c>
      <c r="AI122" s="70" t="e">
        <f>WLS*(AD124-AD123)</f>
        <v>#VALUE!</v>
      </c>
      <c r="AU122" s="81"/>
    </row>
    <row r="123" spans="1:47" x14ac:dyDescent="0.25">
      <c r="A123" s="84">
        <f>A122+1</f>
        <v>18</v>
      </c>
      <c r="B123" s="84" t="str">
        <f t="shared" si="48"/>
        <v xml:space="preserve">  </v>
      </c>
      <c r="C123" s="80" t="e">
        <f t="shared" ref="C123" si="59">IF(OR(B125-B124=B124-B123,B125-B124=B124-B122,B125-B124=B124-B121),B124,IF(OR(B125-B123=B123-B122,B125-B123=B123-B121),B123,IF(B125-B122=B122-B121,B122,"#NA")))</f>
        <v>#VALUE!</v>
      </c>
      <c r="D123" s="76" t="e">
        <f>VLOOKUP(C123,STN_TABLE,2,FALSE)</f>
        <v>#VALUE!</v>
      </c>
      <c r="E123" s="81">
        <v>4</v>
      </c>
      <c r="F123" s="76" t="e">
        <f>D123*E123</f>
        <v>#VALUE!</v>
      </c>
      <c r="G123" s="77" t="e">
        <f>C123</f>
        <v>#VALUE!</v>
      </c>
      <c r="H123" s="77" t="e">
        <f>F123*G123</f>
        <v>#VALUE!</v>
      </c>
      <c r="I123" s="495" t="s">
        <v>97</v>
      </c>
      <c r="J123" s="496"/>
      <c r="K123" s="78" t="s">
        <v>98</v>
      </c>
      <c r="L123" s="78"/>
      <c r="M123" s="7" t="s">
        <v>99</v>
      </c>
      <c r="N123" s="7"/>
      <c r="O123" s="99">
        <f>O122+1</f>
        <v>20</v>
      </c>
      <c r="P123" s="99" t="str">
        <f t="shared" si="44"/>
        <v xml:space="preserve">  </v>
      </c>
      <c r="Q123" s="76" t="str">
        <f>P123</f>
        <v xml:space="preserve">  </v>
      </c>
      <c r="R123" s="77" t="str">
        <f>VLOOKUP(Q123,STN_TABLE,2,FALSE)</f>
        <v xml:space="preserve">  </v>
      </c>
      <c r="S123" s="77">
        <v>8</v>
      </c>
      <c r="T123" s="76" t="e">
        <f>R123*S123</f>
        <v>#VALUE!</v>
      </c>
      <c r="U123" s="80">
        <v>10</v>
      </c>
      <c r="V123" s="76" t="e">
        <f>R123*U123</f>
        <v>#VALUE!</v>
      </c>
      <c r="W123" s="496" t="s">
        <v>97</v>
      </c>
      <c r="X123" s="496"/>
      <c r="Y123" s="496" t="s">
        <v>98</v>
      </c>
      <c r="Z123" s="496"/>
      <c r="AA123" s="494" t="s">
        <v>99</v>
      </c>
      <c r="AB123" s="494"/>
      <c r="AC123" s="99">
        <f>AC118+1</f>
        <v>19</v>
      </c>
      <c r="AD123" s="95" t="str">
        <f>VLOOKUP(AC123,STN_TABLE_2,2,FALSE)</f>
        <v xml:space="preserve">  </v>
      </c>
      <c r="AE123" s="68" t="str">
        <f>VLOOKUP(AD123,STN_TABLE,2,FALSE)</f>
        <v xml:space="preserve">  </v>
      </c>
      <c r="AF123" s="68">
        <v>1</v>
      </c>
      <c r="AG123" s="69" t="e">
        <f>AE123*AF123</f>
        <v>#VALUE!</v>
      </c>
      <c r="AH123" s="496" t="s">
        <v>97</v>
      </c>
      <c r="AI123" s="496"/>
      <c r="AJ123" s="496" t="s">
        <v>98</v>
      </c>
      <c r="AK123" s="496"/>
      <c r="AL123" s="494" t="s">
        <v>99</v>
      </c>
      <c r="AM123" s="494"/>
      <c r="AP123" s="86" t="s">
        <v>112</v>
      </c>
      <c r="AQ123" s="89" t="s">
        <v>113</v>
      </c>
      <c r="AR123" s="89" t="s">
        <v>114</v>
      </c>
      <c r="AS123" s="89" t="s">
        <v>115</v>
      </c>
      <c r="AU123" s="81"/>
    </row>
    <row r="124" spans="1:47" x14ac:dyDescent="0.25">
      <c r="A124" s="84">
        <f>A123+1</f>
        <v>19</v>
      </c>
      <c r="B124" s="84" t="str">
        <f t="shared" si="48"/>
        <v xml:space="preserve">  </v>
      </c>
      <c r="C124" s="88" t="str">
        <f t="shared" ref="C124" si="60">B125</f>
        <v xml:space="preserve">  </v>
      </c>
      <c r="D124" s="82" t="str">
        <f>VLOOKUP(C124,STN_TABLE,2,FALSE)</f>
        <v xml:space="preserve">  </v>
      </c>
      <c r="E124" s="92">
        <v>1</v>
      </c>
      <c r="F124" s="82" t="e">
        <f>D124*E124</f>
        <v>#VALUE!</v>
      </c>
      <c r="G124" s="83" t="str">
        <f>C124</f>
        <v xml:space="preserve">  </v>
      </c>
      <c r="H124" s="83" t="e">
        <f>F124*G124</f>
        <v>#VALUE!</v>
      </c>
      <c r="I124" s="84" t="str">
        <f>CONCATENATE("a'(",C124,")=")</f>
        <v>a'(  )=</v>
      </c>
      <c r="J124" s="84" t="e">
        <f>2*J122/3*F125</f>
        <v>#VALUE!</v>
      </c>
      <c r="K124" s="84" t="e">
        <f>CONCATENATE("A(",C122,")=")</f>
        <v>#VALUE!</v>
      </c>
      <c r="L124" s="84" t="e">
        <f>VLOOKUP(C122,STN_TABLE,3,FALSE)</f>
        <v>#VALUE!</v>
      </c>
      <c r="M124" t="str">
        <f>CONCATENATE("A(",C124,")=")</f>
        <v>A(  )=</v>
      </c>
      <c r="N124" t="e">
        <f>J124+L124</f>
        <v>#VALUE!</v>
      </c>
      <c r="O124" s="99">
        <f>O123+1</f>
        <v>21</v>
      </c>
      <c r="P124" s="99" t="str">
        <f t="shared" si="44"/>
        <v xml:space="preserve">  </v>
      </c>
      <c r="Q124" s="82" t="e">
        <f>IF(P124-P123=P123-P122,P124,IF(P125-P123=P123-P122,P125,IF(P124-P123=P123-P121,P124,IF(P125-P123=P123-P121,P125,"-"))))</f>
        <v>#VALUE!</v>
      </c>
      <c r="R124" s="83" t="e">
        <f>VLOOKUP(Q124,STN_TABLE,2,FALSE)</f>
        <v>#VALUE!</v>
      </c>
      <c r="S124" s="83">
        <v>-1</v>
      </c>
      <c r="T124" s="82" t="e">
        <f>R124*S124</f>
        <v>#VALUE!</v>
      </c>
      <c r="U124" s="88">
        <v>-1</v>
      </c>
      <c r="V124" s="82" t="e">
        <f>R124*U124</f>
        <v>#VALUE!</v>
      </c>
      <c r="W124" s="84" t="str">
        <f>CONCATENATE("a'(",Q123,")=")</f>
        <v>a'(  )=</v>
      </c>
      <c r="X124" s="84" t="e">
        <f>2*X122/12*T125</f>
        <v>#VALUE!</v>
      </c>
      <c r="Y124" s="84" t="e">
        <f>CONCATENATE("A(",Q122,")=")</f>
        <v>#VALUE!</v>
      </c>
      <c r="Z124" s="84" t="e">
        <f>VLOOKUP(Q122,STN_TABLE,3,FALSE)</f>
        <v>#VALUE!</v>
      </c>
      <c r="AA124" t="str">
        <f>CONCATENATE("A(",Q123,")=")</f>
        <v>A(  )=</v>
      </c>
      <c r="AB124" t="e">
        <f>X124+Z124</f>
        <v>#VALUE!</v>
      </c>
      <c r="AC124" s="99">
        <f>AC123+1</f>
        <v>20</v>
      </c>
      <c r="AD124" s="100" t="str">
        <f>VLOOKUP(AC124,STN_TABLE_2,2,FALSE)</f>
        <v xml:space="preserve">  </v>
      </c>
      <c r="AE124" s="82" t="str">
        <f>VLOOKUP(AD124,STN_TABLE,2,FALSE)</f>
        <v xml:space="preserve">  </v>
      </c>
      <c r="AF124" s="82">
        <v>2</v>
      </c>
      <c r="AG124" s="83" t="e">
        <f>AE124*AF124</f>
        <v>#VALUE!</v>
      </c>
      <c r="AH124" s="84" t="str">
        <f>CONCATENATE("a'(",AD124,")=")</f>
        <v>a'(  )=</v>
      </c>
      <c r="AI124" s="84" t="e">
        <f>2*AI122/2*AE125</f>
        <v>#VALUE!</v>
      </c>
      <c r="AJ124" s="84" t="str">
        <f>CONCATENATE("A(",AD123,")=")</f>
        <v>A(  )=</v>
      </c>
      <c r="AK124" s="84" t="str">
        <f>VLOOKUP(AD123,STN_TABLE,3,FALSE)</f>
        <v xml:space="preserve"> </v>
      </c>
      <c r="AL124" t="str">
        <f>CONCATENATE("A(",AD124,")=")</f>
        <v>A(  )=</v>
      </c>
      <c r="AM124" t="e">
        <f>AI124+AK124</f>
        <v>#VALUE!</v>
      </c>
      <c r="AO124" s="68" t="str">
        <f>AA124</f>
        <v>A(  )=</v>
      </c>
      <c r="AP124" s="68" t="e">
        <f>VLOOKUP(AO124,Rise_Results,2,FALSE)</f>
        <v>#N/A</v>
      </c>
      <c r="AQ124" s="76" t="e">
        <f>N124</f>
        <v>#VALUE!</v>
      </c>
      <c r="AR124" s="76" t="e">
        <f>IF(OR(AB124&lt;=0,AB125&lt;=0),1/0,AB124)</f>
        <v>#VALUE!</v>
      </c>
      <c r="AS124" s="76" t="e">
        <f>AM124</f>
        <v>#VALUE!</v>
      </c>
      <c r="AT124" t="e">
        <f>IFERROR(AP124,IFERROR(AQ124,IFERROR(AR124,AS124)))</f>
        <v>#VALUE!</v>
      </c>
      <c r="AU124" s="81"/>
    </row>
    <row r="125" spans="1:47" x14ac:dyDescent="0.25">
      <c r="A125" s="84">
        <f>A124+1</f>
        <v>20</v>
      </c>
      <c r="B125" s="84" t="str">
        <f t="shared" si="48"/>
        <v xml:space="preserve">  </v>
      </c>
      <c r="F125" s="82" t="e">
        <f>SUM(F122:F124)</f>
        <v>#VALUE!</v>
      </c>
      <c r="H125" s="82" t="e">
        <f>SUM(H122:H124)</f>
        <v>#VALUE!</v>
      </c>
      <c r="I125" s="84" t="str">
        <f>CONCATENATE("m'(",C124,")=")</f>
        <v>m'(  )=</v>
      </c>
      <c r="J125" s="84" t="e">
        <f>2*(J122*(WLS))/3*H125</f>
        <v>#VALUE!</v>
      </c>
      <c r="K125" s="84" t="e">
        <f>CONCATENATE("M(",C122,")=")</f>
        <v>#VALUE!</v>
      </c>
      <c r="L125" s="84" t="e">
        <f>VLOOKUP(C122,STN_TABLE,4,FALSE)</f>
        <v>#VALUE!</v>
      </c>
      <c r="M125" t="str">
        <f>CONCATENATE("M(",C124,")=")</f>
        <v>M(  )=</v>
      </c>
      <c r="N125" t="e">
        <f>J125+L125</f>
        <v>#VALUE!</v>
      </c>
      <c r="O125" s="99">
        <f>O124+1</f>
        <v>22</v>
      </c>
      <c r="P125" s="99" t="str">
        <f t="shared" si="44"/>
        <v xml:space="preserve">  </v>
      </c>
      <c r="T125" s="89" t="e">
        <f>SUM(T122:T124)</f>
        <v>#VALUE!</v>
      </c>
      <c r="V125" s="82" t="e">
        <f>SUM(V122:V124)</f>
        <v>#VALUE!</v>
      </c>
      <c r="W125" s="84" t="str">
        <f>CONCATENATE("m'(",Q123,")=")</f>
        <v>m'(  )=</v>
      </c>
      <c r="X125" s="84" t="e">
        <f>(2*(X122^2)/24*V125)+(X124*Q122*WLS)</f>
        <v>#VALUE!</v>
      </c>
      <c r="Y125" s="84" t="e">
        <f>CONCATENATE("M(",Q122,")=")</f>
        <v>#VALUE!</v>
      </c>
      <c r="Z125" s="84" t="e">
        <f>VLOOKUP(Q122,STN_TABLE,4,FALSE)</f>
        <v>#VALUE!</v>
      </c>
      <c r="AA125" t="str">
        <f>CONCATENATE("M(",Q123,")=")</f>
        <v>M(  )=</v>
      </c>
      <c r="AB125" t="e">
        <f>X125+Z125</f>
        <v>#VALUE!</v>
      </c>
      <c r="AE125" s="89">
        <f>SUM(AE123:AE124)</f>
        <v>0</v>
      </c>
      <c r="AG125" s="89" t="e">
        <f>SUM(AG123:AG124)</f>
        <v>#VALUE!</v>
      </c>
      <c r="AH125" s="84" t="str">
        <f>CONCATENATE("m'(",AD124,")=")</f>
        <v>m'(  )=</v>
      </c>
      <c r="AI125" s="84" t="e">
        <f>(2*(AI122^2)/6*AG125)+(AI124*AD123*WLS)</f>
        <v>#VALUE!</v>
      </c>
      <c r="AJ125" s="84" t="str">
        <f>CONCATENATE("M(",AD123,")=")</f>
        <v>M(  )=</v>
      </c>
      <c r="AK125" s="84" t="str">
        <f>VLOOKUP(AD123,STN_TABLE,4,FALSE)</f>
        <v xml:space="preserve"> </v>
      </c>
      <c r="AL125" t="str">
        <f>CONCATENATE("M(",AD124,")=")</f>
        <v>M(  )=</v>
      </c>
      <c r="AM125" t="e">
        <f>AI125+AK125</f>
        <v>#VALUE!</v>
      </c>
      <c r="AO125" s="82" t="str">
        <f>AA125</f>
        <v>M(  )=</v>
      </c>
      <c r="AP125" s="82" t="e">
        <f>VLOOKUP(AO125,Rise_Results,2,FALSE)</f>
        <v>#N/A</v>
      </c>
      <c r="AQ125" s="82" t="e">
        <f>N125</f>
        <v>#VALUE!</v>
      </c>
      <c r="AR125" s="82" t="e">
        <f>IF(OR(AB124&lt;=0,AB125&lt;=0),1/0,AB125)</f>
        <v>#VALUE!</v>
      </c>
      <c r="AS125" s="82" t="e">
        <f>AM125</f>
        <v>#VALUE!</v>
      </c>
      <c r="AT125" t="e">
        <f>IFERROR(AP125,IFERROR(AQ125,IFERROR(AR125,AS125)))</f>
        <v>#VALUE!</v>
      </c>
      <c r="AU125" s="81"/>
    </row>
    <row r="126" spans="1:47" x14ac:dyDescent="0.25">
      <c r="A126" s="101">
        <f>A121+1</f>
        <v>17</v>
      </c>
      <c r="B126" s="101" t="str">
        <f t="shared" si="48"/>
        <v xml:space="preserve">  </v>
      </c>
      <c r="O126" s="101">
        <f>O121+1</f>
        <v>19</v>
      </c>
      <c r="P126" s="101" t="str">
        <f t="shared" si="44"/>
        <v xml:space="preserve">  </v>
      </c>
      <c r="AU126" s="81"/>
    </row>
    <row r="127" spans="1:47" x14ac:dyDescent="0.25">
      <c r="A127" s="84">
        <f>A126+1</f>
        <v>18</v>
      </c>
      <c r="B127" s="84" t="str">
        <f t="shared" si="48"/>
        <v xml:space="preserve">  </v>
      </c>
      <c r="C127" s="79" t="e">
        <f t="shared" ref="C127" si="61">IF(C128=B129,IF(C129-C128=C128-B128,B128,IF(C129-C128=C128-B127,B127,"#NA")),IF(C128=B128,IF(C129-C128=C128-B127,B127,IF(C129-C128=C128-B126,B126,"#NA")),"#NA"))</f>
        <v>#VALUE!</v>
      </c>
      <c r="D127" s="68" t="e">
        <f>VLOOKUP(C127,STN_TABLE,2,FALSE)</f>
        <v>#VALUE!</v>
      </c>
      <c r="E127" s="102">
        <v>1</v>
      </c>
      <c r="F127" s="68" t="e">
        <f>D127*E127</f>
        <v>#VALUE!</v>
      </c>
      <c r="G127" s="69" t="e">
        <f>C127</f>
        <v>#VALUE!</v>
      </c>
      <c r="H127" s="69" t="e">
        <f>F127*G127</f>
        <v>#VALUE!</v>
      </c>
      <c r="I127" s="6" t="s">
        <v>93</v>
      </c>
      <c r="J127" s="70" t="e">
        <f>IF(OR(D127=0,D128=0,D129=0),"#NA",IF(AND(C129-C128=C128-C127,C128&lt;&gt;C129,C127&lt;&gt;C128,C127&lt;&gt;C129,D129&lt;&gt;0,OR(D127&lt;&gt;0,D128&lt;&gt;0)),WLS*(C129-C128),"#NA"))</f>
        <v>#VALUE!</v>
      </c>
      <c r="O127" s="99">
        <f>O126+1</f>
        <v>20</v>
      </c>
      <c r="P127" s="99" t="str">
        <f t="shared" si="44"/>
        <v xml:space="preserve">  </v>
      </c>
      <c r="Q127" s="68" t="e">
        <f>IF(OR(P129-P128=P128-P127,P130-P128=P128-P127),P127,IF(OR(P129-P128=P128-P126,P130-P128=P128-P126),P126,"-"))</f>
        <v>#VALUE!</v>
      </c>
      <c r="R127" s="69" t="e">
        <f>VLOOKUP(Q127,STN_TABLE,2,FALSE)</f>
        <v>#VALUE!</v>
      </c>
      <c r="S127" s="69">
        <v>5</v>
      </c>
      <c r="T127" s="68" t="e">
        <f>R127*S127</f>
        <v>#VALUE!</v>
      </c>
      <c r="U127" s="79">
        <v>3</v>
      </c>
      <c r="V127" s="68" t="e">
        <f>R127*U127</f>
        <v>#VALUE!</v>
      </c>
      <c r="W127" s="6" t="s">
        <v>93</v>
      </c>
      <c r="X127" s="70" t="e">
        <f>IF(AND(Q129-Q128=Q128-Q127,NOT(AND(Q127=0,Q128=0)),NOT(AND(Q128=0,Q129=0))),WLS*(Q129-Q128),"#NA")</f>
        <v>#VALUE!</v>
      </c>
      <c r="AD127" s="93"/>
      <c r="AH127" s="6" t="s">
        <v>93</v>
      </c>
      <c r="AI127" s="70" t="e">
        <f>WLS*(AD129-AD128)</f>
        <v>#VALUE!</v>
      </c>
      <c r="AU127" s="81"/>
    </row>
    <row r="128" spans="1:47" x14ac:dyDescent="0.25">
      <c r="A128" s="84">
        <f>A127+1</f>
        <v>19</v>
      </c>
      <c r="B128" s="84" t="str">
        <f t="shared" si="48"/>
        <v xml:space="preserve">  </v>
      </c>
      <c r="C128" s="80" t="e">
        <f t="shared" ref="C128" si="62">IF(OR(B130-B129=B129-B128,B130-B129=B129-B127,B130-B129=B129-B126),B129,IF(OR(B130-B128=B128-B127,B130-B128=B128-B126),B128,IF(B130-B127=B127-B126,B127,"#NA")))</f>
        <v>#VALUE!</v>
      </c>
      <c r="D128" s="76" t="e">
        <f>VLOOKUP(C128,STN_TABLE,2,FALSE)</f>
        <v>#VALUE!</v>
      </c>
      <c r="E128" s="81">
        <v>4</v>
      </c>
      <c r="F128" s="76" t="e">
        <f>D128*E128</f>
        <v>#VALUE!</v>
      </c>
      <c r="G128" s="77" t="e">
        <f>C128</f>
        <v>#VALUE!</v>
      </c>
      <c r="H128" s="77" t="e">
        <f>F128*G128</f>
        <v>#VALUE!</v>
      </c>
      <c r="I128" s="495" t="s">
        <v>97</v>
      </c>
      <c r="J128" s="496"/>
      <c r="K128" s="78" t="s">
        <v>98</v>
      </c>
      <c r="L128" s="78"/>
      <c r="M128" s="7" t="s">
        <v>99</v>
      </c>
      <c r="N128" s="7"/>
      <c r="O128" s="99">
        <f>O127+1</f>
        <v>21</v>
      </c>
      <c r="P128" s="99" t="str">
        <f t="shared" si="44"/>
        <v xml:space="preserve">  </v>
      </c>
      <c r="Q128" s="76" t="str">
        <f>P128</f>
        <v xml:space="preserve">  </v>
      </c>
      <c r="R128" s="77" t="str">
        <f>VLOOKUP(Q128,STN_TABLE,2,FALSE)</f>
        <v xml:space="preserve">  </v>
      </c>
      <c r="S128" s="77">
        <v>8</v>
      </c>
      <c r="T128" s="76" t="e">
        <f>R128*S128</f>
        <v>#VALUE!</v>
      </c>
      <c r="U128" s="80">
        <v>10</v>
      </c>
      <c r="V128" s="76" t="e">
        <f>R128*U128</f>
        <v>#VALUE!</v>
      </c>
      <c r="W128" s="496" t="s">
        <v>97</v>
      </c>
      <c r="X128" s="496"/>
      <c r="Y128" s="496" t="s">
        <v>98</v>
      </c>
      <c r="Z128" s="496"/>
      <c r="AA128" s="494" t="s">
        <v>99</v>
      </c>
      <c r="AB128" s="494"/>
      <c r="AC128" s="99">
        <f>AC123+1</f>
        <v>20</v>
      </c>
      <c r="AD128" s="95" t="str">
        <f>VLOOKUP(AC128,STN_TABLE_2,2,FALSE)</f>
        <v xml:space="preserve">  </v>
      </c>
      <c r="AE128" s="68" t="str">
        <f>VLOOKUP(AD128,STN_TABLE,2,FALSE)</f>
        <v xml:space="preserve">  </v>
      </c>
      <c r="AF128" s="68">
        <v>1</v>
      </c>
      <c r="AG128" s="69" t="e">
        <f>AE128*AF128</f>
        <v>#VALUE!</v>
      </c>
      <c r="AH128" s="496" t="s">
        <v>97</v>
      </c>
      <c r="AI128" s="496"/>
      <c r="AJ128" s="496" t="s">
        <v>98</v>
      </c>
      <c r="AK128" s="496"/>
      <c r="AL128" s="494" t="s">
        <v>99</v>
      </c>
      <c r="AM128" s="494"/>
      <c r="AP128" s="86" t="s">
        <v>112</v>
      </c>
      <c r="AQ128" s="89" t="s">
        <v>113</v>
      </c>
      <c r="AR128" s="89" t="s">
        <v>114</v>
      </c>
      <c r="AS128" s="89" t="s">
        <v>115</v>
      </c>
      <c r="AU128" s="81"/>
    </row>
    <row r="129" spans="1:47" x14ac:dyDescent="0.25">
      <c r="A129" s="84">
        <f>A128+1</f>
        <v>20</v>
      </c>
      <c r="B129" s="84" t="str">
        <f t="shared" si="48"/>
        <v xml:space="preserve">  </v>
      </c>
      <c r="C129" s="88" t="str">
        <f t="shared" ref="C129" si="63">B130</f>
        <v xml:space="preserve">  </v>
      </c>
      <c r="D129" s="82" t="str">
        <f>VLOOKUP(C129,STN_TABLE,2,FALSE)</f>
        <v xml:space="preserve">  </v>
      </c>
      <c r="E129" s="92">
        <v>1</v>
      </c>
      <c r="F129" s="82" t="e">
        <f>D129*E129</f>
        <v>#VALUE!</v>
      </c>
      <c r="G129" s="83" t="str">
        <f>C129</f>
        <v xml:space="preserve">  </v>
      </c>
      <c r="H129" s="83" t="e">
        <f>F129*G129</f>
        <v>#VALUE!</v>
      </c>
      <c r="I129" s="84" t="str">
        <f>CONCATENATE("a'(",C129,")=")</f>
        <v>a'(  )=</v>
      </c>
      <c r="J129" s="84" t="e">
        <f>2*J127/3*F130</f>
        <v>#VALUE!</v>
      </c>
      <c r="K129" s="84" t="e">
        <f>CONCATENATE("A(",C127,")=")</f>
        <v>#VALUE!</v>
      </c>
      <c r="L129" s="84" t="e">
        <f>VLOOKUP(C127,STN_TABLE,3,FALSE)</f>
        <v>#VALUE!</v>
      </c>
      <c r="M129" t="str">
        <f>CONCATENATE("A(",C129,")=")</f>
        <v>A(  )=</v>
      </c>
      <c r="N129" t="e">
        <f>J129+L129</f>
        <v>#VALUE!</v>
      </c>
      <c r="O129" s="99">
        <f>O128+1</f>
        <v>22</v>
      </c>
      <c r="P129" s="99" t="str">
        <f t="shared" si="44"/>
        <v xml:space="preserve">  </v>
      </c>
      <c r="Q129" s="82" t="e">
        <f>IF(P129-P128=P128-P127,P129,IF(P130-P128=P128-P127,P130,IF(P129-P128=P128-P126,P129,IF(P130-P128=P128-P126,P130,"-"))))</f>
        <v>#VALUE!</v>
      </c>
      <c r="R129" s="83" t="e">
        <f>VLOOKUP(Q129,STN_TABLE,2,FALSE)</f>
        <v>#VALUE!</v>
      </c>
      <c r="S129" s="83">
        <v>-1</v>
      </c>
      <c r="T129" s="82" t="e">
        <f>R129*S129</f>
        <v>#VALUE!</v>
      </c>
      <c r="U129" s="88">
        <v>-1</v>
      </c>
      <c r="V129" s="82" t="e">
        <f>R129*U129</f>
        <v>#VALUE!</v>
      </c>
      <c r="W129" s="84" t="str">
        <f>CONCATENATE("a'(",Q128,")=")</f>
        <v>a'(  )=</v>
      </c>
      <c r="X129" s="84" t="e">
        <f>2*X127/12*T130</f>
        <v>#VALUE!</v>
      </c>
      <c r="Y129" s="84" t="e">
        <f>CONCATENATE("A(",Q127,")=")</f>
        <v>#VALUE!</v>
      </c>
      <c r="Z129" s="84" t="e">
        <f>VLOOKUP(Q127,STN_TABLE,3,FALSE)</f>
        <v>#VALUE!</v>
      </c>
      <c r="AA129" t="str">
        <f>CONCATENATE("A(",Q128,")=")</f>
        <v>A(  )=</v>
      </c>
      <c r="AB129" t="e">
        <f>X129+Z129</f>
        <v>#VALUE!</v>
      </c>
      <c r="AC129" s="99">
        <f>AC128+1</f>
        <v>21</v>
      </c>
      <c r="AD129" s="100" t="str">
        <f>VLOOKUP(AC129,STN_TABLE_2,2,FALSE)</f>
        <v xml:space="preserve">  </v>
      </c>
      <c r="AE129" s="82" t="str">
        <f>VLOOKUP(AD129,STN_TABLE,2,FALSE)</f>
        <v xml:space="preserve">  </v>
      </c>
      <c r="AF129" s="82">
        <v>2</v>
      </c>
      <c r="AG129" s="83" t="e">
        <f>AE129*AF129</f>
        <v>#VALUE!</v>
      </c>
      <c r="AH129" s="84" t="str">
        <f>CONCATENATE("a'(",AD129,")=")</f>
        <v>a'(  )=</v>
      </c>
      <c r="AI129" s="84" t="e">
        <f>2*AI127/2*AE130</f>
        <v>#VALUE!</v>
      </c>
      <c r="AJ129" s="84" t="str">
        <f>CONCATENATE("A(",AD128,")=")</f>
        <v>A(  )=</v>
      </c>
      <c r="AK129" s="84" t="str">
        <f>VLOOKUP(AD128,STN_TABLE,3,FALSE)</f>
        <v xml:space="preserve"> </v>
      </c>
      <c r="AL129" t="str">
        <f>CONCATENATE("A(",AD129,")=")</f>
        <v>A(  )=</v>
      </c>
      <c r="AM129" t="e">
        <f>AI129+AK129</f>
        <v>#VALUE!</v>
      </c>
      <c r="AO129" s="68" t="str">
        <f>AA129</f>
        <v>A(  )=</v>
      </c>
      <c r="AP129" s="68" t="e">
        <f>VLOOKUP(AO129,Rise_Results,2,FALSE)</f>
        <v>#N/A</v>
      </c>
      <c r="AQ129" s="76" t="e">
        <f>N129</f>
        <v>#VALUE!</v>
      </c>
      <c r="AR129" s="76" t="e">
        <f>IF(OR(AB129&lt;=0,AB130&lt;=0),1/0,AB129)</f>
        <v>#VALUE!</v>
      </c>
      <c r="AS129" s="76" t="e">
        <f>AM129</f>
        <v>#VALUE!</v>
      </c>
      <c r="AT129" t="e">
        <f>IFERROR(AP129,IFERROR(AQ129,IFERROR(AR129,AS129)))</f>
        <v>#VALUE!</v>
      </c>
      <c r="AU129" s="81"/>
    </row>
    <row r="130" spans="1:47" x14ac:dyDescent="0.25">
      <c r="A130" s="84">
        <f>A129+1</f>
        <v>21</v>
      </c>
      <c r="B130" s="84" t="str">
        <f t="shared" si="48"/>
        <v xml:space="preserve">  </v>
      </c>
      <c r="F130" s="82" t="e">
        <f>SUM(F127:F129)</f>
        <v>#VALUE!</v>
      </c>
      <c r="H130" s="82" t="e">
        <f>SUM(H127:H129)</f>
        <v>#VALUE!</v>
      </c>
      <c r="I130" s="84" t="str">
        <f>CONCATENATE("m'(",C129,")=")</f>
        <v>m'(  )=</v>
      </c>
      <c r="J130" s="84" t="e">
        <f>2*(J127*(WLS))/3*H130</f>
        <v>#VALUE!</v>
      </c>
      <c r="K130" s="84" t="e">
        <f>CONCATENATE("M(",C127,")=")</f>
        <v>#VALUE!</v>
      </c>
      <c r="L130" s="84" t="e">
        <f>VLOOKUP(C127,STN_TABLE,4,FALSE)</f>
        <v>#VALUE!</v>
      </c>
      <c r="M130" t="str">
        <f>CONCATENATE("M(",C129,")=")</f>
        <v>M(  )=</v>
      </c>
      <c r="N130" t="e">
        <f>J130+L130</f>
        <v>#VALUE!</v>
      </c>
      <c r="O130" s="99">
        <f>O129+1</f>
        <v>23</v>
      </c>
      <c r="P130" s="99" t="str">
        <f t="shared" si="44"/>
        <v xml:space="preserve">  </v>
      </c>
      <c r="T130" s="89" t="e">
        <f>SUM(T127:T129)</f>
        <v>#VALUE!</v>
      </c>
      <c r="V130" s="82" t="e">
        <f>SUM(V127:V129)</f>
        <v>#VALUE!</v>
      </c>
      <c r="W130" s="84" t="str">
        <f>CONCATENATE("m'(",Q128,")=")</f>
        <v>m'(  )=</v>
      </c>
      <c r="X130" s="84" t="e">
        <f>(2*(X127^2)/24*V130)+(X129*Q127*WLS)</f>
        <v>#VALUE!</v>
      </c>
      <c r="Y130" s="84" t="e">
        <f>CONCATENATE("M(",Q127,")=")</f>
        <v>#VALUE!</v>
      </c>
      <c r="Z130" s="84" t="e">
        <f>VLOOKUP(Q127,STN_TABLE,4,FALSE)</f>
        <v>#VALUE!</v>
      </c>
      <c r="AA130" t="str">
        <f>CONCATENATE("M(",Q128,")=")</f>
        <v>M(  )=</v>
      </c>
      <c r="AB130" t="e">
        <f>X130+Z130</f>
        <v>#VALUE!</v>
      </c>
      <c r="AE130" s="89">
        <f>SUM(AE128:AE129)</f>
        <v>0</v>
      </c>
      <c r="AG130" s="89" t="e">
        <f>SUM(AG128:AG129)</f>
        <v>#VALUE!</v>
      </c>
      <c r="AH130" s="84" t="str">
        <f>CONCATENATE("m'(",AD129,")=")</f>
        <v>m'(  )=</v>
      </c>
      <c r="AI130" s="84" t="e">
        <f>(2*(AI127^2)/6*AG130)+(AI129*AD128*WLS)</f>
        <v>#VALUE!</v>
      </c>
      <c r="AJ130" s="84" t="str">
        <f>CONCATENATE("M(",AD128,")=")</f>
        <v>M(  )=</v>
      </c>
      <c r="AK130" s="84" t="str">
        <f>VLOOKUP(AD128,STN_TABLE,4,FALSE)</f>
        <v xml:space="preserve"> </v>
      </c>
      <c r="AL130" t="str">
        <f>CONCATENATE("M(",AD129,")=")</f>
        <v>M(  )=</v>
      </c>
      <c r="AM130" t="e">
        <f>AI130+AK130</f>
        <v>#VALUE!</v>
      </c>
      <c r="AO130" s="82" t="str">
        <f>AA130</f>
        <v>M(  )=</v>
      </c>
      <c r="AP130" s="82" t="e">
        <f>VLOOKUP(AO130,Rise_Results,2,FALSE)</f>
        <v>#N/A</v>
      </c>
      <c r="AQ130" s="82" t="e">
        <f>N130</f>
        <v>#VALUE!</v>
      </c>
      <c r="AR130" s="82" t="e">
        <f>IF(OR(AB129&lt;=0,AB130&lt;=0),1/0,AB130)</f>
        <v>#VALUE!</v>
      </c>
      <c r="AS130" s="82" t="e">
        <f>AM130</f>
        <v>#VALUE!</v>
      </c>
      <c r="AT130" t="e">
        <f>IFERROR(AP130,IFERROR(AQ130,IFERROR(AR130,AS130)))</f>
        <v>#VALUE!</v>
      </c>
      <c r="AU130" s="81"/>
    </row>
    <row r="131" spans="1:47" x14ac:dyDescent="0.25">
      <c r="A131" s="101">
        <f>A126+1</f>
        <v>18</v>
      </c>
      <c r="B131" s="101" t="str">
        <f t="shared" si="48"/>
        <v xml:space="preserve">  </v>
      </c>
      <c r="O131" s="101">
        <f>O126+1</f>
        <v>20</v>
      </c>
      <c r="P131" s="101" t="str">
        <f t="shared" si="44"/>
        <v xml:space="preserve">  </v>
      </c>
      <c r="AU131" s="81"/>
    </row>
    <row r="132" spans="1:47" x14ac:dyDescent="0.25">
      <c r="A132" s="84">
        <f>A131+1</f>
        <v>19</v>
      </c>
      <c r="B132" s="84" t="str">
        <f t="shared" si="48"/>
        <v xml:space="preserve">  </v>
      </c>
      <c r="C132" s="79" t="e">
        <f t="shared" ref="C132" si="64">IF(C133=B134,IF(C134-C133=C133-B133,B133,IF(C134-C133=C133-B132,B132,"#NA")),IF(C133=B133,IF(C134-C133=C133-B132,B132,IF(C134-C133=C133-B131,B131,"#NA")),"#NA"))</f>
        <v>#VALUE!</v>
      </c>
      <c r="D132" s="68" t="e">
        <f>VLOOKUP(C132,STN_TABLE,2,FALSE)</f>
        <v>#VALUE!</v>
      </c>
      <c r="E132" s="102">
        <v>1</v>
      </c>
      <c r="F132" s="68" t="e">
        <f>D132*E132</f>
        <v>#VALUE!</v>
      </c>
      <c r="G132" s="69" t="e">
        <f>C132</f>
        <v>#VALUE!</v>
      </c>
      <c r="H132" s="69" t="e">
        <f>F132*G132</f>
        <v>#VALUE!</v>
      </c>
      <c r="I132" s="6" t="s">
        <v>93</v>
      </c>
      <c r="J132" s="70" t="e">
        <f>IF(OR(D132=0,D133=0,D134=0),"#NA",IF(AND(C134-C133=C133-C132,C133&lt;&gt;C134,C132&lt;&gt;C133,C132&lt;&gt;C134,D134&lt;&gt;0,OR(D132&lt;&gt;0,D133&lt;&gt;0)),WLS*(C134-C133),"#NA"))</f>
        <v>#VALUE!</v>
      </c>
      <c r="O132" s="99">
        <f>O131+1</f>
        <v>21</v>
      </c>
      <c r="P132" s="99" t="str">
        <f t="shared" ref="P132:P150" si="65">VLOOKUP(O132,STN_TABLE_2,2,FALSE)</f>
        <v xml:space="preserve">  </v>
      </c>
      <c r="Q132" s="68" t="e">
        <f>IF(OR(P134-P133=P133-P132,P135-P133=P133-P132),P132,IF(OR(P134-P133=P133-P131,P135-P133=P133-P131),P131,"-"))</f>
        <v>#VALUE!</v>
      </c>
      <c r="R132" s="69" t="e">
        <f>VLOOKUP(Q132,STN_TABLE,2,FALSE)</f>
        <v>#VALUE!</v>
      </c>
      <c r="S132" s="69">
        <v>5</v>
      </c>
      <c r="T132" s="68" t="e">
        <f>R132*S132</f>
        <v>#VALUE!</v>
      </c>
      <c r="U132" s="79">
        <v>3</v>
      </c>
      <c r="V132" s="68" t="e">
        <f>R132*U132</f>
        <v>#VALUE!</v>
      </c>
      <c r="W132" s="6" t="s">
        <v>93</v>
      </c>
      <c r="X132" s="70" t="e">
        <f>IF(AND(Q134-Q133=Q133-Q132,NOT(AND(Q132=0,Q133=0)),NOT(AND(Q133=0,Q134=0))),WLS*(Q134-Q133),"#NA")</f>
        <v>#VALUE!</v>
      </c>
      <c r="AD132" s="93"/>
      <c r="AH132" s="6" t="s">
        <v>93</v>
      </c>
      <c r="AI132" s="70" t="e">
        <f>WLS*(AD134-AD133)</f>
        <v>#VALUE!</v>
      </c>
      <c r="AU132" s="81"/>
    </row>
    <row r="133" spans="1:47" x14ac:dyDescent="0.25">
      <c r="A133" s="84">
        <f>A132+1</f>
        <v>20</v>
      </c>
      <c r="B133" s="84" t="str">
        <f t="shared" si="48"/>
        <v xml:space="preserve">  </v>
      </c>
      <c r="C133" s="80" t="e">
        <f t="shared" ref="C133" si="66">IF(OR(B135-B134=B134-B133,B135-B134=B134-B132,B135-B134=B134-B131),B134,IF(OR(B135-B133=B133-B132,B135-B133=B133-B131),B133,IF(B135-B132=B132-B131,B132,"#NA")))</f>
        <v>#VALUE!</v>
      </c>
      <c r="D133" s="76" t="e">
        <f>VLOOKUP(C133,STN_TABLE,2,FALSE)</f>
        <v>#VALUE!</v>
      </c>
      <c r="E133" s="81">
        <v>4</v>
      </c>
      <c r="F133" s="76" t="e">
        <f>D133*E133</f>
        <v>#VALUE!</v>
      </c>
      <c r="G133" s="77" t="e">
        <f>C133</f>
        <v>#VALUE!</v>
      </c>
      <c r="H133" s="77" t="e">
        <f>F133*G133</f>
        <v>#VALUE!</v>
      </c>
      <c r="I133" s="495" t="s">
        <v>97</v>
      </c>
      <c r="J133" s="496"/>
      <c r="K133" s="78" t="s">
        <v>98</v>
      </c>
      <c r="L133" s="78"/>
      <c r="M133" s="7" t="s">
        <v>99</v>
      </c>
      <c r="N133" s="7"/>
      <c r="O133" s="99">
        <f>O132+1</f>
        <v>22</v>
      </c>
      <c r="P133" s="99" t="str">
        <f t="shared" si="65"/>
        <v xml:space="preserve">  </v>
      </c>
      <c r="Q133" s="76" t="str">
        <f>P133</f>
        <v xml:space="preserve">  </v>
      </c>
      <c r="R133" s="77" t="str">
        <f>VLOOKUP(Q133,STN_TABLE,2,FALSE)</f>
        <v xml:space="preserve">  </v>
      </c>
      <c r="S133" s="77">
        <v>8</v>
      </c>
      <c r="T133" s="76" t="e">
        <f>R133*S133</f>
        <v>#VALUE!</v>
      </c>
      <c r="U133" s="80">
        <v>10</v>
      </c>
      <c r="V133" s="76" t="e">
        <f>R133*U133</f>
        <v>#VALUE!</v>
      </c>
      <c r="W133" s="496" t="s">
        <v>97</v>
      </c>
      <c r="X133" s="496"/>
      <c r="Y133" s="496" t="s">
        <v>98</v>
      </c>
      <c r="Z133" s="496"/>
      <c r="AA133" s="494" t="s">
        <v>99</v>
      </c>
      <c r="AB133" s="494"/>
      <c r="AC133" s="99">
        <f>AC128+1</f>
        <v>21</v>
      </c>
      <c r="AD133" s="95" t="str">
        <f>VLOOKUP(AC133,STN_TABLE_2,2,FALSE)</f>
        <v xml:space="preserve">  </v>
      </c>
      <c r="AE133" s="68" t="str">
        <f>VLOOKUP(AD133,STN_TABLE,2,FALSE)</f>
        <v xml:space="preserve">  </v>
      </c>
      <c r="AF133" s="68">
        <v>1</v>
      </c>
      <c r="AG133" s="69" t="e">
        <f>AE133*AF133</f>
        <v>#VALUE!</v>
      </c>
      <c r="AH133" s="496" t="s">
        <v>97</v>
      </c>
      <c r="AI133" s="496"/>
      <c r="AJ133" s="496" t="s">
        <v>98</v>
      </c>
      <c r="AK133" s="496"/>
      <c r="AL133" s="494" t="s">
        <v>99</v>
      </c>
      <c r="AM133" s="494"/>
      <c r="AP133" s="86" t="s">
        <v>112</v>
      </c>
      <c r="AQ133" s="89" t="s">
        <v>113</v>
      </c>
      <c r="AR133" s="89" t="s">
        <v>114</v>
      </c>
      <c r="AS133" s="89" t="s">
        <v>115</v>
      </c>
      <c r="AU133" s="81"/>
    </row>
    <row r="134" spans="1:47" x14ac:dyDescent="0.25">
      <c r="A134" s="84">
        <f>A133+1</f>
        <v>21</v>
      </c>
      <c r="B134" s="84" t="str">
        <f t="shared" si="48"/>
        <v xml:space="preserve">  </v>
      </c>
      <c r="C134" s="88" t="str">
        <f t="shared" ref="C134" si="67">B135</f>
        <v xml:space="preserve">  </v>
      </c>
      <c r="D134" s="82" t="str">
        <f>VLOOKUP(C134,STN_TABLE,2,FALSE)</f>
        <v xml:space="preserve">  </v>
      </c>
      <c r="E134" s="92">
        <v>1</v>
      </c>
      <c r="F134" s="82" t="e">
        <f>D134*E134</f>
        <v>#VALUE!</v>
      </c>
      <c r="G134" s="83" t="str">
        <f>C134</f>
        <v xml:space="preserve">  </v>
      </c>
      <c r="H134" s="83" t="e">
        <f>F134*G134</f>
        <v>#VALUE!</v>
      </c>
      <c r="I134" s="84" t="str">
        <f>CONCATENATE("a'(",C134,")=")</f>
        <v>a'(  )=</v>
      </c>
      <c r="J134" s="84" t="e">
        <f>2*J132/3*F135</f>
        <v>#VALUE!</v>
      </c>
      <c r="K134" s="84" t="e">
        <f>CONCATENATE("A(",C132,")=")</f>
        <v>#VALUE!</v>
      </c>
      <c r="L134" s="84" t="e">
        <f>VLOOKUP(C132,STN_TABLE,3,FALSE)</f>
        <v>#VALUE!</v>
      </c>
      <c r="M134" t="str">
        <f>CONCATENATE("A(",C134,")=")</f>
        <v>A(  )=</v>
      </c>
      <c r="N134" t="e">
        <f>J134+L134</f>
        <v>#VALUE!</v>
      </c>
      <c r="O134" s="99">
        <f>O133+1</f>
        <v>23</v>
      </c>
      <c r="P134" s="99" t="str">
        <f t="shared" si="65"/>
        <v xml:space="preserve">  </v>
      </c>
      <c r="Q134" s="82" t="e">
        <f>IF(P134-P133=P133-P132,P134,IF(P135-P133=P133-P132,P135,IF(P134-P133=P133-P131,P134,IF(P135-P133=P133-P131,P135,"-"))))</f>
        <v>#VALUE!</v>
      </c>
      <c r="R134" s="83" t="e">
        <f>VLOOKUP(Q134,STN_TABLE,2,FALSE)</f>
        <v>#VALUE!</v>
      </c>
      <c r="S134" s="83">
        <v>-1</v>
      </c>
      <c r="T134" s="82" t="e">
        <f>R134*S134</f>
        <v>#VALUE!</v>
      </c>
      <c r="U134" s="88">
        <v>-1</v>
      </c>
      <c r="V134" s="82" t="e">
        <f>R134*U134</f>
        <v>#VALUE!</v>
      </c>
      <c r="W134" s="84" t="str">
        <f>CONCATENATE("a'(",Q133,")=")</f>
        <v>a'(  )=</v>
      </c>
      <c r="X134" s="84" t="e">
        <f>2*X132/12*T135</f>
        <v>#VALUE!</v>
      </c>
      <c r="Y134" s="84" t="e">
        <f>CONCATENATE("A(",Q132,")=")</f>
        <v>#VALUE!</v>
      </c>
      <c r="Z134" s="84" t="e">
        <f>VLOOKUP(Q132,STN_TABLE,3,FALSE)</f>
        <v>#VALUE!</v>
      </c>
      <c r="AA134" t="str">
        <f>CONCATENATE("A(",Q133,")=")</f>
        <v>A(  )=</v>
      </c>
      <c r="AB134" t="e">
        <f>X134+Z134</f>
        <v>#VALUE!</v>
      </c>
      <c r="AC134" s="99">
        <f>AC133+1</f>
        <v>22</v>
      </c>
      <c r="AD134" s="100" t="str">
        <f>VLOOKUP(AC134,STN_TABLE_2,2,FALSE)</f>
        <v xml:space="preserve">  </v>
      </c>
      <c r="AE134" s="82" t="str">
        <f>VLOOKUP(AD134,STN_TABLE,2,FALSE)</f>
        <v xml:space="preserve">  </v>
      </c>
      <c r="AF134" s="82">
        <v>2</v>
      </c>
      <c r="AG134" s="83" t="e">
        <f>AE134*AF134</f>
        <v>#VALUE!</v>
      </c>
      <c r="AH134" s="84" t="str">
        <f>CONCATENATE("a'(",AD134,")=")</f>
        <v>a'(  )=</v>
      </c>
      <c r="AI134" s="84" t="e">
        <f>2*AI132/2*AE135</f>
        <v>#VALUE!</v>
      </c>
      <c r="AJ134" s="84" t="str">
        <f>CONCATENATE("A(",AD133,")=")</f>
        <v>A(  )=</v>
      </c>
      <c r="AK134" s="84" t="str">
        <f>VLOOKUP(AD133,STN_TABLE,3,FALSE)</f>
        <v xml:space="preserve"> </v>
      </c>
      <c r="AL134" t="str">
        <f>CONCATENATE("A(",AD134,")=")</f>
        <v>A(  )=</v>
      </c>
      <c r="AM134" t="e">
        <f>AI134+AK134</f>
        <v>#VALUE!</v>
      </c>
      <c r="AO134" s="68" t="str">
        <f>AA134</f>
        <v>A(  )=</v>
      </c>
      <c r="AP134" s="68" t="e">
        <f>VLOOKUP(AO134,Rise_Results,2,FALSE)</f>
        <v>#N/A</v>
      </c>
      <c r="AQ134" s="76" t="e">
        <f>N134</f>
        <v>#VALUE!</v>
      </c>
      <c r="AR134" s="76" t="e">
        <f>IF(OR(AB134&lt;=0,AB135&lt;=0),1/0,AB134)</f>
        <v>#VALUE!</v>
      </c>
      <c r="AS134" s="76" t="e">
        <f>AM134</f>
        <v>#VALUE!</v>
      </c>
      <c r="AT134" t="e">
        <f>IFERROR(AP134,IFERROR(AQ134,IFERROR(AR134,AS134)))</f>
        <v>#VALUE!</v>
      </c>
      <c r="AU134" s="81"/>
    </row>
    <row r="135" spans="1:47" x14ac:dyDescent="0.25">
      <c r="A135" s="84">
        <f>A134+1</f>
        <v>22</v>
      </c>
      <c r="B135" s="84" t="str">
        <f t="shared" si="48"/>
        <v xml:space="preserve">  </v>
      </c>
      <c r="F135" s="82" t="e">
        <f>SUM(F132:F134)</f>
        <v>#VALUE!</v>
      </c>
      <c r="H135" s="82" t="e">
        <f>SUM(H132:H134)</f>
        <v>#VALUE!</v>
      </c>
      <c r="I135" s="84" t="str">
        <f>CONCATENATE("m'(",C134,")=")</f>
        <v>m'(  )=</v>
      </c>
      <c r="J135" s="84" t="e">
        <f>2*(J132*(WLS))/3*H135</f>
        <v>#VALUE!</v>
      </c>
      <c r="K135" s="84" t="e">
        <f>CONCATENATE("M(",C132,")=")</f>
        <v>#VALUE!</v>
      </c>
      <c r="L135" s="84" t="e">
        <f>VLOOKUP(C132,STN_TABLE,4,FALSE)</f>
        <v>#VALUE!</v>
      </c>
      <c r="M135" t="str">
        <f>CONCATENATE("M(",C134,")=")</f>
        <v>M(  )=</v>
      </c>
      <c r="N135" t="e">
        <f>J135+L135</f>
        <v>#VALUE!</v>
      </c>
      <c r="O135" s="99">
        <f>O134+1</f>
        <v>24</v>
      </c>
      <c r="P135" s="99" t="str">
        <f t="shared" si="65"/>
        <v xml:space="preserve">  </v>
      </c>
      <c r="T135" s="89" t="e">
        <f>SUM(T132:T134)</f>
        <v>#VALUE!</v>
      </c>
      <c r="V135" s="82" t="e">
        <f>SUM(V132:V134)</f>
        <v>#VALUE!</v>
      </c>
      <c r="W135" s="84" t="str">
        <f>CONCATENATE("m'(",Q133,")=")</f>
        <v>m'(  )=</v>
      </c>
      <c r="X135" s="84" t="e">
        <f>(2*(X132^2)/24*V135)+(X134*Q132*WLS)</f>
        <v>#VALUE!</v>
      </c>
      <c r="Y135" s="84" t="e">
        <f>CONCATENATE("M(",Q132,")=")</f>
        <v>#VALUE!</v>
      </c>
      <c r="Z135" s="84" t="e">
        <f>VLOOKUP(Q132,STN_TABLE,4,FALSE)</f>
        <v>#VALUE!</v>
      </c>
      <c r="AA135" t="str">
        <f>CONCATENATE("M(",Q133,")=")</f>
        <v>M(  )=</v>
      </c>
      <c r="AB135" t="e">
        <f>X135+Z135</f>
        <v>#VALUE!</v>
      </c>
      <c r="AE135" s="89">
        <f>SUM(AE133:AE134)</f>
        <v>0</v>
      </c>
      <c r="AG135" s="89" t="e">
        <f>SUM(AG133:AG134)</f>
        <v>#VALUE!</v>
      </c>
      <c r="AH135" s="84" t="str">
        <f>CONCATENATE("m'(",AD134,")=")</f>
        <v>m'(  )=</v>
      </c>
      <c r="AI135" s="84" t="e">
        <f>(2*(AI132^2)/6*AG135)+(AI134*AD133*WLS)</f>
        <v>#VALUE!</v>
      </c>
      <c r="AJ135" s="84" t="str">
        <f>CONCATENATE("M(",AD133,")=")</f>
        <v>M(  )=</v>
      </c>
      <c r="AK135" s="84" t="str">
        <f>VLOOKUP(AD133,STN_TABLE,4,FALSE)</f>
        <v xml:space="preserve"> </v>
      </c>
      <c r="AL135" t="str">
        <f>CONCATENATE("M(",AD134,")=")</f>
        <v>M(  )=</v>
      </c>
      <c r="AM135" t="e">
        <f>AI135+AK135</f>
        <v>#VALUE!</v>
      </c>
      <c r="AO135" s="82" t="str">
        <f>AA135</f>
        <v>M(  )=</v>
      </c>
      <c r="AP135" s="82" t="e">
        <f>VLOOKUP(AO135,Rise_Results,2,FALSE)</f>
        <v>#N/A</v>
      </c>
      <c r="AQ135" s="82" t="e">
        <f>N135</f>
        <v>#VALUE!</v>
      </c>
      <c r="AR135" s="82" t="e">
        <f>IF(OR(AB134&lt;=0,AB135&lt;=0),1/0,AB135)</f>
        <v>#VALUE!</v>
      </c>
      <c r="AS135" s="82" t="e">
        <f>AM135</f>
        <v>#VALUE!</v>
      </c>
      <c r="AT135" t="e">
        <f>IFERROR(AP135,IFERROR(AQ135,IFERROR(AR135,AS135)))</f>
        <v>#VALUE!</v>
      </c>
      <c r="AU135" s="81"/>
    </row>
    <row r="136" spans="1:47" x14ac:dyDescent="0.25">
      <c r="A136" s="101">
        <f>A131+1</f>
        <v>19</v>
      </c>
      <c r="B136" s="101" t="str">
        <f t="shared" si="48"/>
        <v xml:space="preserve">  </v>
      </c>
      <c r="O136" s="101">
        <f>O131+1</f>
        <v>21</v>
      </c>
      <c r="P136" s="101" t="str">
        <f t="shared" si="65"/>
        <v xml:space="preserve">  </v>
      </c>
      <c r="AU136" s="81"/>
    </row>
    <row r="137" spans="1:47" x14ac:dyDescent="0.25">
      <c r="A137" s="84">
        <f>A136+1</f>
        <v>20</v>
      </c>
      <c r="B137" s="84" t="str">
        <f t="shared" si="48"/>
        <v xml:space="preserve">  </v>
      </c>
      <c r="C137" s="79" t="e">
        <f t="shared" ref="C137" si="68">IF(C138=B139,IF(C139-C138=C138-B138,B138,IF(C139-C138=C138-B137,B137,"#NA")),IF(C138=B138,IF(C139-C138=C138-B137,B137,IF(C139-C138=C138-B136,B136,"#NA")),"#NA"))</f>
        <v>#VALUE!</v>
      </c>
      <c r="D137" s="68" t="e">
        <f>VLOOKUP(C137,STN_TABLE,2,FALSE)</f>
        <v>#VALUE!</v>
      </c>
      <c r="E137" s="102">
        <v>1</v>
      </c>
      <c r="F137" s="68" t="e">
        <f>D137*E137</f>
        <v>#VALUE!</v>
      </c>
      <c r="G137" s="69" t="e">
        <f>C137</f>
        <v>#VALUE!</v>
      </c>
      <c r="H137" s="69" t="e">
        <f>F137*G137</f>
        <v>#VALUE!</v>
      </c>
      <c r="I137" s="6" t="s">
        <v>93</v>
      </c>
      <c r="J137" s="70" t="e">
        <f>IF(OR(D137=0,D138=0,D139=0),"#NA",IF(AND(C139-C138=C138-C137,C138&lt;&gt;C139,C137&lt;&gt;C138,C137&lt;&gt;C139,D139&lt;&gt;0,OR(D137&lt;&gt;0,D138&lt;&gt;0)),WLS*(C139-C138),"#NA"))</f>
        <v>#VALUE!</v>
      </c>
      <c r="O137" s="99">
        <f>O136+1</f>
        <v>22</v>
      </c>
      <c r="P137" s="99" t="str">
        <f t="shared" si="65"/>
        <v xml:space="preserve">  </v>
      </c>
      <c r="Q137" s="68" t="e">
        <f>IF(OR(P139-P138=P138-P137,P140-P138=P138-P137),P137,IF(OR(P139-P138=P138-P136,P140-P138=P138-P136),P136,"-"))</f>
        <v>#VALUE!</v>
      </c>
      <c r="R137" s="69" t="e">
        <f>VLOOKUP(Q137,STN_TABLE,2,FALSE)</f>
        <v>#VALUE!</v>
      </c>
      <c r="S137" s="69">
        <v>5</v>
      </c>
      <c r="T137" s="68" t="e">
        <f>R137*S137</f>
        <v>#VALUE!</v>
      </c>
      <c r="U137" s="79">
        <v>3</v>
      </c>
      <c r="V137" s="68" t="e">
        <f>R137*U137</f>
        <v>#VALUE!</v>
      </c>
      <c r="W137" s="6" t="s">
        <v>93</v>
      </c>
      <c r="X137" s="70" t="e">
        <f>IF(AND(Q139-Q138=Q138-Q137,NOT(AND(Q137=0,Q138=0)),NOT(AND(Q138=0,Q139=0))),WLS*(Q139-Q138),"#NA")</f>
        <v>#VALUE!</v>
      </c>
      <c r="AD137" s="93"/>
      <c r="AH137" s="6" t="s">
        <v>93</v>
      </c>
      <c r="AI137" s="70" t="e">
        <f>WLS*(AD139-AD138)</f>
        <v>#VALUE!</v>
      </c>
      <c r="AU137" s="81"/>
    </row>
    <row r="138" spans="1:47" x14ac:dyDescent="0.25">
      <c r="A138" s="84">
        <f>A137+1</f>
        <v>21</v>
      </c>
      <c r="B138" s="84" t="str">
        <f t="shared" ref="B138:B150" si="69">VLOOKUP(A138,STN_TABLE_2,2,FALSE)</f>
        <v xml:space="preserve">  </v>
      </c>
      <c r="C138" s="80" t="e">
        <f t="shared" ref="C138" si="70">IF(OR(B140-B139=B139-B138,B140-B139=B139-B137,B140-B139=B139-B136),B139,IF(OR(B140-B138=B138-B137,B140-B138=B138-B136),B138,IF(B140-B137=B137-B136,B137,"#NA")))</f>
        <v>#VALUE!</v>
      </c>
      <c r="D138" s="76" t="e">
        <f>VLOOKUP(C138,STN_TABLE,2,FALSE)</f>
        <v>#VALUE!</v>
      </c>
      <c r="E138" s="81">
        <v>4</v>
      </c>
      <c r="F138" s="76" t="e">
        <f>D138*E138</f>
        <v>#VALUE!</v>
      </c>
      <c r="G138" s="77" t="e">
        <f>C138</f>
        <v>#VALUE!</v>
      </c>
      <c r="H138" s="77" t="e">
        <f>F138*G138</f>
        <v>#VALUE!</v>
      </c>
      <c r="I138" s="495" t="s">
        <v>97</v>
      </c>
      <c r="J138" s="496"/>
      <c r="K138" s="78" t="s">
        <v>98</v>
      </c>
      <c r="L138" s="78"/>
      <c r="M138" s="7" t="s">
        <v>99</v>
      </c>
      <c r="N138" s="7"/>
      <c r="O138" s="99">
        <f>O137+1</f>
        <v>23</v>
      </c>
      <c r="P138" s="99" t="str">
        <f t="shared" si="65"/>
        <v xml:space="preserve">  </v>
      </c>
      <c r="Q138" s="76" t="str">
        <f>P138</f>
        <v xml:space="preserve">  </v>
      </c>
      <c r="R138" s="77" t="str">
        <f>VLOOKUP(Q138,STN_TABLE,2,FALSE)</f>
        <v xml:space="preserve">  </v>
      </c>
      <c r="S138" s="77">
        <v>8</v>
      </c>
      <c r="T138" s="76" t="e">
        <f>R138*S138</f>
        <v>#VALUE!</v>
      </c>
      <c r="U138" s="80">
        <v>10</v>
      </c>
      <c r="V138" s="76" t="e">
        <f>R138*U138</f>
        <v>#VALUE!</v>
      </c>
      <c r="W138" s="496" t="s">
        <v>97</v>
      </c>
      <c r="X138" s="496"/>
      <c r="Y138" s="496" t="s">
        <v>98</v>
      </c>
      <c r="Z138" s="496"/>
      <c r="AA138" s="494" t="s">
        <v>99</v>
      </c>
      <c r="AB138" s="494"/>
      <c r="AC138" s="99">
        <f>AC133+1</f>
        <v>22</v>
      </c>
      <c r="AD138" s="95" t="str">
        <f>VLOOKUP(AC138,STN_TABLE_2,2,FALSE)</f>
        <v xml:space="preserve">  </v>
      </c>
      <c r="AE138" s="68" t="str">
        <f>VLOOKUP(AD138,STN_TABLE,2,FALSE)</f>
        <v xml:space="preserve">  </v>
      </c>
      <c r="AF138" s="68">
        <v>1</v>
      </c>
      <c r="AG138" s="69" t="e">
        <f>AE138*AF138</f>
        <v>#VALUE!</v>
      </c>
      <c r="AH138" s="496" t="s">
        <v>97</v>
      </c>
      <c r="AI138" s="496"/>
      <c r="AJ138" s="496" t="s">
        <v>98</v>
      </c>
      <c r="AK138" s="496"/>
      <c r="AL138" s="494" t="s">
        <v>99</v>
      </c>
      <c r="AM138" s="494"/>
      <c r="AP138" s="86" t="s">
        <v>112</v>
      </c>
      <c r="AQ138" s="89" t="s">
        <v>113</v>
      </c>
      <c r="AR138" s="89" t="s">
        <v>114</v>
      </c>
      <c r="AS138" s="89" t="s">
        <v>115</v>
      </c>
      <c r="AU138" s="81"/>
    </row>
    <row r="139" spans="1:47" x14ac:dyDescent="0.25">
      <c r="A139" s="84">
        <f>A138+1</f>
        <v>22</v>
      </c>
      <c r="B139" s="84" t="str">
        <f t="shared" si="69"/>
        <v xml:space="preserve">  </v>
      </c>
      <c r="C139" s="88" t="str">
        <f t="shared" ref="C139" si="71">B140</f>
        <v xml:space="preserve">  </v>
      </c>
      <c r="D139" s="82" t="str">
        <f>VLOOKUP(C139,STN_TABLE,2,FALSE)</f>
        <v xml:space="preserve">  </v>
      </c>
      <c r="E139" s="92">
        <v>1</v>
      </c>
      <c r="F139" s="82" t="e">
        <f>D139*E139</f>
        <v>#VALUE!</v>
      </c>
      <c r="G139" s="83" t="str">
        <f>C139</f>
        <v xml:space="preserve">  </v>
      </c>
      <c r="H139" s="83" t="e">
        <f>F139*G139</f>
        <v>#VALUE!</v>
      </c>
      <c r="I139" s="84" t="str">
        <f>CONCATENATE("a'(",C139,")=")</f>
        <v>a'(  )=</v>
      </c>
      <c r="J139" s="84" t="e">
        <f>2*J137/3*F140</f>
        <v>#VALUE!</v>
      </c>
      <c r="K139" s="84" t="e">
        <f>CONCATENATE("A(",C137,")=")</f>
        <v>#VALUE!</v>
      </c>
      <c r="L139" s="84" t="e">
        <f>VLOOKUP(C137,STN_TABLE,3,FALSE)</f>
        <v>#VALUE!</v>
      </c>
      <c r="M139" t="str">
        <f>CONCATENATE("A(",C139,")=")</f>
        <v>A(  )=</v>
      </c>
      <c r="N139" t="e">
        <f>J139+L139</f>
        <v>#VALUE!</v>
      </c>
      <c r="O139" s="99">
        <f>O138+1</f>
        <v>24</v>
      </c>
      <c r="P139" s="99" t="str">
        <f t="shared" si="65"/>
        <v xml:space="preserve">  </v>
      </c>
      <c r="Q139" s="82" t="e">
        <f>IF(P139-P138=P138-P137,P139,IF(P140-P138=P138-P137,P140,IF(P139-P138=P138-P136,P139,IF(P140-P138=P138-P136,P140,"-"))))</f>
        <v>#VALUE!</v>
      </c>
      <c r="R139" s="83" t="e">
        <f>VLOOKUP(Q139,STN_TABLE,2,FALSE)</f>
        <v>#VALUE!</v>
      </c>
      <c r="S139" s="83">
        <v>-1</v>
      </c>
      <c r="T139" s="82" t="e">
        <f>R139*S139</f>
        <v>#VALUE!</v>
      </c>
      <c r="U139" s="88">
        <v>-1</v>
      </c>
      <c r="V139" s="82" t="e">
        <f>R139*U139</f>
        <v>#VALUE!</v>
      </c>
      <c r="W139" s="84" t="str">
        <f>CONCATENATE("a'(",Q138,")=")</f>
        <v>a'(  )=</v>
      </c>
      <c r="X139" s="84" t="e">
        <f>2*X137/12*T140</f>
        <v>#VALUE!</v>
      </c>
      <c r="Y139" s="84" t="e">
        <f>CONCATENATE("A(",Q137,")=")</f>
        <v>#VALUE!</v>
      </c>
      <c r="Z139" s="84" t="e">
        <f>VLOOKUP(Q137,STN_TABLE,3,FALSE)</f>
        <v>#VALUE!</v>
      </c>
      <c r="AA139" t="str">
        <f>CONCATENATE("A(",Q138,")=")</f>
        <v>A(  )=</v>
      </c>
      <c r="AB139" t="e">
        <f>X139+Z139</f>
        <v>#VALUE!</v>
      </c>
      <c r="AC139" s="99">
        <f>AC138+1</f>
        <v>23</v>
      </c>
      <c r="AD139" s="100" t="str">
        <f>VLOOKUP(AC139,STN_TABLE_2,2,FALSE)</f>
        <v xml:space="preserve">  </v>
      </c>
      <c r="AE139" s="82" t="str">
        <f>VLOOKUP(AD139,STN_TABLE,2,FALSE)</f>
        <v xml:space="preserve">  </v>
      </c>
      <c r="AF139" s="82">
        <v>2</v>
      </c>
      <c r="AG139" s="83" t="e">
        <f>AE139*AF139</f>
        <v>#VALUE!</v>
      </c>
      <c r="AH139" s="84" t="str">
        <f>CONCATENATE("a'(",AD139,")=")</f>
        <v>a'(  )=</v>
      </c>
      <c r="AI139" s="84" t="e">
        <f>2*AI137/2*AE140</f>
        <v>#VALUE!</v>
      </c>
      <c r="AJ139" s="84" t="str">
        <f>CONCATENATE("A(",AD138,")=")</f>
        <v>A(  )=</v>
      </c>
      <c r="AK139" s="84" t="str">
        <f>VLOOKUP(AD138,STN_TABLE,3,FALSE)</f>
        <v xml:space="preserve"> </v>
      </c>
      <c r="AL139" t="str">
        <f>CONCATENATE("A(",AD139,")=")</f>
        <v>A(  )=</v>
      </c>
      <c r="AM139" t="e">
        <f>AI139+AK139</f>
        <v>#VALUE!</v>
      </c>
      <c r="AO139" s="68" t="str">
        <f>AA139</f>
        <v>A(  )=</v>
      </c>
      <c r="AP139" s="68" t="e">
        <f>VLOOKUP(AO139,Rise_Results,2,FALSE)</f>
        <v>#N/A</v>
      </c>
      <c r="AQ139" s="76" t="e">
        <f>N139</f>
        <v>#VALUE!</v>
      </c>
      <c r="AR139" s="76" t="e">
        <f>IF(OR(AB139&lt;=0,AB140&lt;=0),1/0,AB139)</f>
        <v>#VALUE!</v>
      </c>
      <c r="AS139" s="76" t="e">
        <f>AM139</f>
        <v>#VALUE!</v>
      </c>
      <c r="AT139" t="e">
        <f>IFERROR(AP139,IFERROR(AQ139,IFERROR(AR139,AS139)))</f>
        <v>#VALUE!</v>
      </c>
      <c r="AU139" s="81"/>
    </row>
    <row r="140" spans="1:47" x14ac:dyDescent="0.25">
      <c r="A140" s="84">
        <f>A139+1</f>
        <v>23</v>
      </c>
      <c r="B140" s="84" t="str">
        <f t="shared" si="69"/>
        <v xml:space="preserve">  </v>
      </c>
      <c r="F140" s="82" t="e">
        <f>SUM(F137:F139)</f>
        <v>#VALUE!</v>
      </c>
      <c r="H140" s="82" t="e">
        <f>SUM(H137:H139)</f>
        <v>#VALUE!</v>
      </c>
      <c r="I140" s="84" t="str">
        <f>CONCATENATE("m'(",C139,")=")</f>
        <v>m'(  )=</v>
      </c>
      <c r="J140" s="84" t="e">
        <f>2*(J137*(WLS))/3*H140</f>
        <v>#VALUE!</v>
      </c>
      <c r="K140" s="84" t="e">
        <f>CONCATENATE("M(",C137,")=")</f>
        <v>#VALUE!</v>
      </c>
      <c r="L140" s="84" t="e">
        <f>VLOOKUP(C137,STN_TABLE,4,FALSE)</f>
        <v>#VALUE!</v>
      </c>
      <c r="M140" t="str">
        <f>CONCATENATE("M(",C139,")=")</f>
        <v>M(  )=</v>
      </c>
      <c r="N140" t="e">
        <f>J140+L140</f>
        <v>#VALUE!</v>
      </c>
      <c r="O140" s="99">
        <f>O139+1</f>
        <v>25</v>
      </c>
      <c r="P140" s="99" t="str">
        <f t="shared" si="65"/>
        <v xml:space="preserve">  </v>
      </c>
      <c r="T140" s="89" t="e">
        <f>SUM(T137:T139)</f>
        <v>#VALUE!</v>
      </c>
      <c r="V140" s="82" t="e">
        <f>SUM(V137:V139)</f>
        <v>#VALUE!</v>
      </c>
      <c r="W140" s="84" t="str">
        <f>CONCATENATE("m'(",Q138,")=")</f>
        <v>m'(  )=</v>
      </c>
      <c r="X140" s="84" t="e">
        <f>(2*(X137^2)/24*V140)+(X139*Q137*WLS)</f>
        <v>#VALUE!</v>
      </c>
      <c r="Y140" s="84" t="e">
        <f>CONCATENATE("M(",Q137,")=")</f>
        <v>#VALUE!</v>
      </c>
      <c r="Z140" s="84" t="e">
        <f>VLOOKUP(Q137,STN_TABLE,4,FALSE)</f>
        <v>#VALUE!</v>
      </c>
      <c r="AA140" t="str">
        <f>CONCATENATE("M(",Q138,")=")</f>
        <v>M(  )=</v>
      </c>
      <c r="AB140" t="e">
        <f>X140+Z140</f>
        <v>#VALUE!</v>
      </c>
      <c r="AE140" s="89">
        <f>SUM(AE138:AE139)</f>
        <v>0</v>
      </c>
      <c r="AG140" s="89" t="e">
        <f>SUM(AG138:AG139)</f>
        <v>#VALUE!</v>
      </c>
      <c r="AH140" s="84" t="str">
        <f>CONCATENATE("m'(",AD139,")=")</f>
        <v>m'(  )=</v>
      </c>
      <c r="AI140" s="84" t="e">
        <f>(2*(AI137^2)/6*AG140)+(AI139*AD138*WLS)</f>
        <v>#VALUE!</v>
      </c>
      <c r="AJ140" s="84" t="str">
        <f>CONCATENATE("M(",AD138,")=")</f>
        <v>M(  )=</v>
      </c>
      <c r="AK140" s="84" t="str">
        <f>VLOOKUP(AD138,STN_TABLE,4,FALSE)</f>
        <v xml:space="preserve"> </v>
      </c>
      <c r="AL140" t="str">
        <f>CONCATENATE("M(",AD139,")=")</f>
        <v>M(  )=</v>
      </c>
      <c r="AM140" t="e">
        <f>AI140+AK140</f>
        <v>#VALUE!</v>
      </c>
      <c r="AO140" s="82" t="str">
        <f>AA140</f>
        <v>M(  )=</v>
      </c>
      <c r="AP140" s="82" t="e">
        <f>VLOOKUP(AO140,Rise_Results,2,FALSE)</f>
        <v>#N/A</v>
      </c>
      <c r="AQ140" s="82" t="e">
        <f>N140</f>
        <v>#VALUE!</v>
      </c>
      <c r="AR140" s="82" t="e">
        <f>IF(OR(AB139&lt;=0,AB140&lt;=0),1/0,AB140)</f>
        <v>#VALUE!</v>
      </c>
      <c r="AS140" s="82" t="e">
        <f>AM140</f>
        <v>#VALUE!</v>
      </c>
      <c r="AT140" t="e">
        <f>IFERROR(AP140,IFERROR(AQ140,IFERROR(AR140,AS140)))</f>
        <v>#VALUE!</v>
      </c>
      <c r="AU140" s="81"/>
    </row>
    <row r="141" spans="1:47" x14ac:dyDescent="0.25">
      <c r="A141" s="101">
        <f>A136+1</f>
        <v>20</v>
      </c>
      <c r="B141" s="101" t="str">
        <f t="shared" si="69"/>
        <v xml:space="preserve">  </v>
      </c>
      <c r="O141" s="101">
        <f>O136+1</f>
        <v>22</v>
      </c>
      <c r="P141" s="101" t="str">
        <f t="shared" si="65"/>
        <v xml:space="preserve">  </v>
      </c>
      <c r="AU141" s="81"/>
    </row>
    <row r="142" spans="1:47" x14ac:dyDescent="0.25">
      <c r="A142" s="84">
        <f>A141+1</f>
        <v>21</v>
      </c>
      <c r="B142" s="84" t="str">
        <f t="shared" si="69"/>
        <v xml:space="preserve">  </v>
      </c>
      <c r="C142" s="79" t="e">
        <f t="shared" ref="C142" si="72">IF(C143=B144,IF(C144-C143=C143-B143,B143,IF(C144-C143=C143-B142,B142,"#NA")),IF(C143=B143,IF(C144-C143=C143-B142,B142,IF(C144-C143=C143-B141,B141,"#NA")),"#NA"))</f>
        <v>#VALUE!</v>
      </c>
      <c r="D142" s="68" t="e">
        <f>VLOOKUP(C142,STN_TABLE,2,FALSE)</f>
        <v>#VALUE!</v>
      </c>
      <c r="E142" s="102">
        <v>1</v>
      </c>
      <c r="F142" s="68" t="e">
        <f>D142*E142</f>
        <v>#VALUE!</v>
      </c>
      <c r="G142" s="69" t="e">
        <f>C142</f>
        <v>#VALUE!</v>
      </c>
      <c r="H142" s="69" t="e">
        <f>F142*G142</f>
        <v>#VALUE!</v>
      </c>
      <c r="I142" s="6" t="s">
        <v>93</v>
      </c>
      <c r="J142" s="70" t="e">
        <f>IF(OR(D142=0,D143=0,D144=0),"#NA",IF(AND(C144-C143=C143-C142,C143&lt;&gt;C144,C142&lt;&gt;C143,C142&lt;&gt;C144,D144&lt;&gt;0,OR(D142&lt;&gt;0,D143&lt;&gt;0)),WLS*(C144-C143),"#NA"))</f>
        <v>#VALUE!</v>
      </c>
      <c r="O142" s="99">
        <f>O141+1</f>
        <v>23</v>
      </c>
      <c r="P142" s="99" t="str">
        <f t="shared" si="65"/>
        <v xml:space="preserve">  </v>
      </c>
      <c r="Q142" s="68" t="e">
        <f>IF(OR(P144-P143=P143-P142,P145-P143=P143-P142),P142,IF(OR(P144-P143=P143-P141,P145-P143=P143-P141),P141,"-"))</f>
        <v>#VALUE!</v>
      </c>
      <c r="R142" s="69" t="e">
        <f>VLOOKUP(Q142,STN_TABLE,2,FALSE)</f>
        <v>#VALUE!</v>
      </c>
      <c r="S142" s="69">
        <v>5</v>
      </c>
      <c r="T142" s="68" t="e">
        <f>R142*S142</f>
        <v>#VALUE!</v>
      </c>
      <c r="U142" s="79">
        <v>3</v>
      </c>
      <c r="V142" s="68" t="e">
        <f>R142*U142</f>
        <v>#VALUE!</v>
      </c>
      <c r="W142" s="6" t="s">
        <v>93</v>
      </c>
      <c r="X142" s="70" t="e">
        <f>IF(AND(Q144-Q143=Q143-Q142,NOT(AND(Q142=0,Q143=0)),NOT(AND(Q143=0,Q144=0))),WLS*(Q144-Q143),"#NA")</f>
        <v>#VALUE!</v>
      </c>
      <c r="AD142" s="93"/>
      <c r="AH142" s="6" t="s">
        <v>93</v>
      </c>
      <c r="AI142" s="70" t="e">
        <f>WLS*(AD144-AD143)</f>
        <v>#VALUE!</v>
      </c>
      <c r="AU142" s="81"/>
    </row>
    <row r="143" spans="1:47" x14ac:dyDescent="0.25">
      <c r="A143" s="84">
        <f>A142+1</f>
        <v>22</v>
      </c>
      <c r="B143" s="84" t="str">
        <f t="shared" si="69"/>
        <v xml:space="preserve">  </v>
      </c>
      <c r="C143" s="80" t="e">
        <f t="shared" ref="C143" si="73">IF(OR(B145-B144=B144-B143,B145-B144=B144-B142,B145-B144=B144-B141),B144,IF(OR(B145-B143=B143-B142,B145-B143=B143-B141),B143,IF(B145-B142=B142-B141,B142,"#NA")))</f>
        <v>#VALUE!</v>
      </c>
      <c r="D143" s="76" t="e">
        <f>VLOOKUP(C143,STN_TABLE,2,FALSE)</f>
        <v>#VALUE!</v>
      </c>
      <c r="E143" s="81">
        <v>4</v>
      </c>
      <c r="F143" s="76" t="e">
        <f>D143*E143</f>
        <v>#VALUE!</v>
      </c>
      <c r="G143" s="77" t="e">
        <f>C143</f>
        <v>#VALUE!</v>
      </c>
      <c r="H143" s="77" t="e">
        <f>F143*G143</f>
        <v>#VALUE!</v>
      </c>
      <c r="I143" s="495" t="s">
        <v>97</v>
      </c>
      <c r="J143" s="496"/>
      <c r="K143" s="78" t="s">
        <v>98</v>
      </c>
      <c r="L143" s="78"/>
      <c r="M143" s="7" t="s">
        <v>99</v>
      </c>
      <c r="N143" s="7"/>
      <c r="O143" s="99">
        <f>O142+1</f>
        <v>24</v>
      </c>
      <c r="P143" s="99" t="str">
        <f t="shared" si="65"/>
        <v xml:space="preserve">  </v>
      </c>
      <c r="Q143" s="76" t="str">
        <f>P143</f>
        <v xml:space="preserve">  </v>
      </c>
      <c r="R143" s="77" t="str">
        <f>VLOOKUP(Q143,STN_TABLE,2,FALSE)</f>
        <v xml:space="preserve">  </v>
      </c>
      <c r="S143" s="77">
        <v>8</v>
      </c>
      <c r="T143" s="76" t="e">
        <f>R143*S143</f>
        <v>#VALUE!</v>
      </c>
      <c r="U143" s="80">
        <v>10</v>
      </c>
      <c r="V143" s="76" t="e">
        <f>R143*U143</f>
        <v>#VALUE!</v>
      </c>
      <c r="W143" s="496" t="s">
        <v>97</v>
      </c>
      <c r="X143" s="496"/>
      <c r="Y143" s="496" t="s">
        <v>98</v>
      </c>
      <c r="Z143" s="496"/>
      <c r="AA143" s="494" t="s">
        <v>99</v>
      </c>
      <c r="AB143" s="494"/>
      <c r="AC143" s="99">
        <f>AC138+1</f>
        <v>23</v>
      </c>
      <c r="AD143" s="95" t="str">
        <f>VLOOKUP(AC143,STN_TABLE_2,2,FALSE)</f>
        <v xml:space="preserve">  </v>
      </c>
      <c r="AE143" s="68" t="str">
        <f>VLOOKUP(AD143,STN_TABLE,2,FALSE)</f>
        <v xml:space="preserve">  </v>
      </c>
      <c r="AF143" s="68">
        <v>1</v>
      </c>
      <c r="AG143" s="69" t="e">
        <f>AE143*AF143</f>
        <v>#VALUE!</v>
      </c>
      <c r="AH143" s="496" t="s">
        <v>97</v>
      </c>
      <c r="AI143" s="496"/>
      <c r="AJ143" s="496" t="s">
        <v>98</v>
      </c>
      <c r="AK143" s="496"/>
      <c r="AL143" s="494" t="s">
        <v>99</v>
      </c>
      <c r="AM143" s="494"/>
      <c r="AP143" s="86" t="s">
        <v>112</v>
      </c>
      <c r="AQ143" s="89" t="s">
        <v>113</v>
      </c>
      <c r="AR143" s="89" t="s">
        <v>114</v>
      </c>
      <c r="AS143" s="89" t="s">
        <v>115</v>
      </c>
      <c r="AU143" s="81"/>
    </row>
    <row r="144" spans="1:47" x14ac:dyDescent="0.25">
      <c r="A144" s="84">
        <f>A143+1</f>
        <v>23</v>
      </c>
      <c r="B144" s="84" t="str">
        <f t="shared" si="69"/>
        <v xml:space="preserve">  </v>
      </c>
      <c r="C144" s="88" t="str">
        <f t="shared" ref="C144" si="74">B145</f>
        <v xml:space="preserve">  </v>
      </c>
      <c r="D144" s="82" t="str">
        <f>VLOOKUP(C144,STN_TABLE,2,FALSE)</f>
        <v xml:space="preserve">  </v>
      </c>
      <c r="E144" s="92">
        <v>1</v>
      </c>
      <c r="F144" s="82" t="e">
        <f>D144*E144</f>
        <v>#VALUE!</v>
      </c>
      <c r="G144" s="83" t="str">
        <f>C144</f>
        <v xml:space="preserve">  </v>
      </c>
      <c r="H144" s="83" t="e">
        <f>F144*G144</f>
        <v>#VALUE!</v>
      </c>
      <c r="I144" s="84" t="str">
        <f>CONCATENATE("a'(",C144,")=")</f>
        <v>a'(  )=</v>
      </c>
      <c r="J144" s="84" t="e">
        <f>2*J142/3*F145</f>
        <v>#VALUE!</v>
      </c>
      <c r="K144" s="84" t="e">
        <f>CONCATENATE("A(",C142,")=")</f>
        <v>#VALUE!</v>
      </c>
      <c r="L144" s="84" t="e">
        <f>VLOOKUP(C142,STN_TABLE,3,FALSE)</f>
        <v>#VALUE!</v>
      </c>
      <c r="M144" t="str">
        <f>CONCATENATE("A(",C144,")=")</f>
        <v>A(  )=</v>
      </c>
      <c r="N144" t="e">
        <f>J144+L144</f>
        <v>#VALUE!</v>
      </c>
      <c r="O144" s="99">
        <f>O143+1</f>
        <v>25</v>
      </c>
      <c r="P144" s="99" t="str">
        <f t="shared" si="65"/>
        <v xml:space="preserve">  </v>
      </c>
      <c r="Q144" s="82" t="e">
        <f>IF(P144-P143=P143-P142,P144,IF(P145-P143=P143-P142,P145,IF(P144-P143=P143-P141,P144,IF(P145-P143=P143-P141,P145,"-"))))</f>
        <v>#VALUE!</v>
      </c>
      <c r="R144" s="83" t="e">
        <f>VLOOKUP(Q144,STN_TABLE,2,FALSE)</f>
        <v>#VALUE!</v>
      </c>
      <c r="S144" s="83">
        <v>-1</v>
      </c>
      <c r="T144" s="82" t="e">
        <f>R144*S144</f>
        <v>#VALUE!</v>
      </c>
      <c r="U144" s="88">
        <v>-1</v>
      </c>
      <c r="V144" s="82" t="e">
        <f>R144*U144</f>
        <v>#VALUE!</v>
      </c>
      <c r="W144" s="84" t="str">
        <f>CONCATENATE("a'(",Q143,")=")</f>
        <v>a'(  )=</v>
      </c>
      <c r="X144" s="84" t="e">
        <f>2*X142/12*T145</f>
        <v>#VALUE!</v>
      </c>
      <c r="Y144" s="84" t="e">
        <f>CONCATENATE("A(",Q142,")=")</f>
        <v>#VALUE!</v>
      </c>
      <c r="Z144" s="84" t="e">
        <f>VLOOKUP(Q142,STN_TABLE,3,FALSE)</f>
        <v>#VALUE!</v>
      </c>
      <c r="AA144" t="str">
        <f>CONCATENATE("A(",Q143,")=")</f>
        <v>A(  )=</v>
      </c>
      <c r="AB144" t="e">
        <f>X144+Z144</f>
        <v>#VALUE!</v>
      </c>
      <c r="AC144" s="99">
        <f>AC143+1</f>
        <v>24</v>
      </c>
      <c r="AD144" s="100" t="str">
        <f>VLOOKUP(AC144,STN_TABLE_2,2,FALSE)</f>
        <v xml:space="preserve">  </v>
      </c>
      <c r="AE144" s="82" t="str">
        <f>VLOOKUP(AD144,STN_TABLE,2,FALSE)</f>
        <v xml:space="preserve">  </v>
      </c>
      <c r="AF144" s="82">
        <v>2</v>
      </c>
      <c r="AG144" s="83" t="e">
        <f>AE144*AF144</f>
        <v>#VALUE!</v>
      </c>
      <c r="AH144" s="84" t="str">
        <f>CONCATENATE("a'(",AD144,")=")</f>
        <v>a'(  )=</v>
      </c>
      <c r="AI144" s="84" t="e">
        <f>2*AI142/2*AE145</f>
        <v>#VALUE!</v>
      </c>
      <c r="AJ144" s="84" t="str">
        <f>CONCATENATE("A(",AD143,")=")</f>
        <v>A(  )=</v>
      </c>
      <c r="AK144" s="84" t="str">
        <f>VLOOKUP(AD143,STN_TABLE,3,FALSE)</f>
        <v xml:space="preserve"> </v>
      </c>
      <c r="AL144" t="str">
        <f>CONCATENATE("A(",AD144,")=")</f>
        <v>A(  )=</v>
      </c>
      <c r="AM144" t="e">
        <f>AI144+AK144</f>
        <v>#VALUE!</v>
      </c>
      <c r="AO144" s="68" t="str">
        <f>AA144</f>
        <v>A(  )=</v>
      </c>
      <c r="AP144" s="68" t="e">
        <f>VLOOKUP(AO144,Rise_Results,2,FALSE)</f>
        <v>#N/A</v>
      </c>
      <c r="AQ144" s="76" t="e">
        <f>N144</f>
        <v>#VALUE!</v>
      </c>
      <c r="AR144" s="76" t="e">
        <f>IF(OR(AB144&lt;=0,AB145&lt;=0),1/0,AB144)</f>
        <v>#VALUE!</v>
      </c>
      <c r="AS144" s="76" t="e">
        <f>AM144</f>
        <v>#VALUE!</v>
      </c>
      <c r="AT144" t="e">
        <f>IFERROR(AP144,IFERROR(AQ144,IFERROR(AR144,AS144)))</f>
        <v>#VALUE!</v>
      </c>
      <c r="AU144" s="81"/>
    </row>
    <row r="145" spans="1:47" x14ac:dyDescent="0.25">
      <c r="A145" s="84">
        <f>A144+1</f>
        <v>24</v>
      </c>
      <c r="B145" s="84" t="str">
        <f t="shared" si="69"/>
        <v xml:space="preserve">  </v>
      </c>
      <c r="F145" s="82" t="e">
        <f>SUM(F142:F144)</f>
        <v>#VALUE!</v>
      </c>
      <c r="H145" s="82" t="e">
        <f>SUM(H142:H144)</f>
        <v>#VALUE!</v>
      </c>
      <c r="I145" s="84" t="str">
        <f>CONCATENATE("m'(",C144,")=")</f>
        <v>m'(  )=</v>
      </c>
      <c r="J145" s="84" t="e">
        <f>2*(J142*(WLS))/3*H145</f>
        <v>#VALUE!</v>
      </c>
      <c r="K145" s="84" t="e">
        <f>CONCATENATE("M(",C142,")=")</f>
        <v>#VALUE!</v>
      </c>
      <c r="L145" s="84" t="e">
        <f>VLOOKUP(C142,STN_TABLE,4,FALSE)</f>
        <v>#VALUE!</v>
      </c>
      <c r="M145" t="str">
        <f>CONCATENATE("M(",C144,")=")</f>
        <v>M(  )=</v>
      </c>
      <c r="N145" t="e">
        <f>J145+L145</f>
        <v>#VALUE!</v>
      </c>
      <c r="O145" s="99">
        <f>O144+1</f>
        <v>26</v>
      </c>
      <c r="P145" s="99" t="e">
        <f t="shared" si="65"/>
        <v>#N/A</v>
      </c>
      <c r="T145" s="89" t="e">
        <f>SUM(T142:T144)</f>
        <v>#VALUE!</v>
      </c>
      <c r="V145" s="82" t="e">
        <f>SUM(V142:V144)</f>
        <v>#VALUE!</v>
      </c>
      <c r="W145" s="84" t="str">
        <f>CONCATENATE("m'(",Q143,")=")</f>
        <v>m'(  )=</v>
      </c>
      <c r="X145" s="84" t="e">
        <f>(2*(X142^2)/24*V145)+(X144*Q142*WLS)</f>
        <v>#VALUE!</v>
      </c>
      <c r="Y145" s="84" t="e">
        <f>CONCATENATE("M(",Q142,")=")</f>
        <v>#VALUE!</v>
      </c>
      <c r="Z145" s="84" t="e">
        <f>VLOOKUP(Q142,STN_TABLE,4,FALSE)</f>
        <v>#VALUE!</v>
      </c>
      <c r="AA145" t="str">
        <f>CONCATENATE("M(",Q143,")=")</f>
        <v>M(  )=</v>
      </c>
      <c r="AB145" t="e">
        <f>X145+Z145</f>
        <v>#VALUE!</v>
      </c>
      <c r="AE145" s="89">
        <f>SUM(AE143:AE144)</f>
        <v>0</v>
      </c>
      <c r="AG145" s="89" t="e">
        <f>SUM(AG143:AG144)</f>
        <v>#VALUE!</v>
      </c>
      <c r="AH145" s="84" t="str">
        <f>CONCATENATE("m'(",AD144,")=")</f>
        <v>m'(  )=</v>
      </c>
      <c r="AI145" s="84" t="e">
        <f>(2*(AI142^2)/6*AG145)+(AI144*AD143*WLS)</f>
        <v>#VALUE!</v>
      </c>
      <c r="AJ145" s="84" t="str">
        <f>CONCATENATE("M(",AD143,")=")</f>
        <v>M(  )=</v>
      </c>
      <c r="AK145" s="84" t="str">
        <f>VLOOKUP(AD143,STN_TABLE,4,FALSE)</f>
        <v xml:space="preserve"> </v>
      </c>
      <c r="AL145" t="str">
        <f>CONCATENATE("M(",AD144,")=")</f>
        <v>M(  )=</v>
      </c>
      <c r="AM145" t="e">
        <f>AI145+AK145</f>
        <v>#VALUE!</v>
      </c>
      <c r="AO145" s="82" t="str">
        <f>AA145</f>
        <v>M(  )=</v>
      </c>
      <c r="AP145" s="82" t="e">
        <f>VLOOKUP(AO145,Rise_Results,2,FALSE)</f>
        <v>#N/A</v>
      </c>
      <c r="AQ145" s="82" t="e">
        <f>N145</f>
        <v>#VALUE!</v>
      </c>
      <c r="AR145" s="82" t="e">
        <f>IF(OR(AB144&lt;=0,AB145&lt;=0),1/0,AB145)</f>
        <v>#VALUE!</v>
      </c>
      <c r="AS145" s="82" t="e">
        <f>AM145</f>
        <v>#VALUE!</v>
      </c>
      <c r="AT145" t="e">
        <f>IFERROR(AP145,IFERROR(AQ145,IFERROR(AR145,AS145)))</f>
        <v>#VALUE!</v>
      </c>
      <c r="AU145" s="81"/>
    </row>
    <row r="146" spans="1:47" x14ac:dyDescent="0.25">
      <c r="A146" s="101">
        <f>A141+1</f>
        <v>21</v>
      </c>
      <c r="B146" s="101" t="str">
        <f t="shared" si="69"/>
        <v xml:space="preserve">  </v>
      </c>
      <c r="O146" s="101">
        <f>O141+1</f>
        <v>23</v>
      </c>
      <c r="P146" s="101" t="str">
        <f t="shared" si="65"/>
        <v xml:space="preserve">  </v>
      </c>
      <c r="AU146" s="81"/>
    </row>
    <row r="147" spans="1:47" x14ac:dyDescent="0.25">
      <c r="A147" s="84">
        <f>A146+1</f>
        <v>22</v>
      </c>
      <c r="B147" s="84" t="str">
        <f t="shared" si="69"/>
        <v xml:space="preserve">  </v>
      </c>
      <c r="C147" s="79" t="e">
        <f t="shared" ref="C147" si="75">IF(C148=B149,IF(C149-C148=C148-B148,B148,IF(C149-C148=C148-B147,B147,"#NA")),IF(C148=B148,IF(C149-C148=C148-B147,B147,IF(C149-C148=C148-B146,B146,"#NA")),"#NA"))</f>
        <v>#VALUE!</v>
      </c>
      <c r="D147" s="68" t="e">
        <f>VLOOKUP(C147,STN_TABLE,2,FALSE)</f>
        <v>#VALUE!</v>
      </c>
      <c r="E147" s="102">
        <v>1</v>
      </c>
      <c r="F147" s="68" t="e">
        <f>D147*E147</f>
        <v>#VALUE!</v>
      </c>
      <c r="G147" s="69" t="e">
        <f>C147</f>
        <v>#VALUE!</v>
      </c>
      <c r="H147" s="69" t="e">
        <f>F147*G147</f>
        <v>#VALUE!</v>
      </c>
      <c r="I147" s="6" t="s">
        <v>93</v>
      </c>
      <c r="J147" s="70" t="e">
        <f>IF(OR(D147=0,D148=0,D149=0),"#NA",IF(AND(C149-C148=C148-C147,C148&lt;&gt;C149,C147&lt;&gt;C148,C147&lt;&gt;C149,D149&lt;&gt;0,OR(D147&lt;&gt;0,D148&lt;&gt;0)),WLS*(C149-C148),"#NA"))</f>
        <v>#VALUE!</v>
      </c>
      <c r="O147" s="99">
        <f>O146+1</f>
        <v>24</v>
      </c>
      <c r="P147" s="99" t="str">
        <f t="shared" si="65"/>
        <v xml:space="preserve">  </v>
      </c>
      <c r="Q147" s="68" t="e">
        <f>IF(OR(P149-P148=P148-P147,P150-P148=P148-P147),P147,IF(OR(P149-P148=P148-P146,P150-P148=P148-P146),P146,"-"))</f>
        <v>#N/A</v>
      </c>
      <c r="R147" s="69" t="e">
        <f>VLOOKUP(Q147,STN_TABLE,2,FALSE)</f>
        <v>#N/A</v>
      </c>
      <c r="S147" s="69">
        <v>5</v>
      </c>
      <c r="T147" s="68" t="e">
        <f>R147*S147</f>
        <v>#N/A</v>
      </c>
      <c r="U147" s="79">
        <v>3</v>
      </c>
      <c r="V147" s="68" t="e">
        <f>R147*U147</f>
        <v>#N/A</v>
      </c>
      <c r="W147" s="6" t="s">
        <v>93</v>
      </c>
      <c r="X147" s="70" t="e">
        <f>IF(AND(Q149-Q148=Q148-Q147,NOT(AND(Q147=0,Q148=0)),NOT(AND(Q148=0,Q149=0))),WLS*(Q149-Q148),"#NA")</f>
        <v>#N/A</v>
      </c>
      <c r="AD147" s="93"/>
      <c r="AH147" s="6" t="s">
        <v>93</v>
      </c>
      <c r="AI147" s="70" t="e">
        <f>WLS*(AD149-AD148)</f>
        <v>#VALUE!</v>
      </c>
      <c r="AU147" s="81"/>
    </row>
    <row r="148" spans="1:47" x14ac:dyDescent="0.25">
      <c r="A148" s="84">
        <f>A147+1</f>
        <v>23</v>
      </c>
      <c r="B148" s="84" t="str">
        <f t="shared" si="69"/>
        <v xml:space="preserve">  </v>
      </c>
      <c r="C148" s="80" t="e">
        <f t="shared" ref="C148" si="76">IF(OR(B150-B149=B149-B148,B150-B149=B149-B147,B150-B149=B149-B146),B149,IF(OR(B150-B148=B148-B147,B150-B148=B148-B146),B148,IF(B150-B147=B147-B146,B147,"#NA")))</f>
        <v>#VALUE!</v>
      </c>
      <c r="D148" s="76" t="e">
        <f>VLOOKUP(C148,STN_TABLE,2,FALSE)</f>
        <v>#VALUE!</v>
      </c>
      <c r="E148" s="81">
        <v>4</v>
      </c>
      <c r="F148" s="76" t="e">
        <f>D148*E148</f>
        <v>#VALUE!</v>
      </c>
      <c r="G148" s="77" t="e">
        <f>C148</f>
        <v>#VALUE!</v>
      </c>
      <c r="H148" s="77" t="e">
        <f>F148*G148</f>
        <v>#VALUE!</v>
      </c>
      <c r="I148" s="495" t="s">
        <v>97</v>
      </c>
      <c r="J148" s="496"/>
      <c r="K148" s="78" t="s">
        <v>98</v>
      </c>
      <c r="L148" s="78"/>
      <c r="M148" s="7" t="s">
        <v>99</v>
      </c>
      <c r="N148" s="7"/>
      <c r="O148" s="99">
        <f>O147+1</f>
        <v>25</v>
      </c>
      <c r="P148" s="99" t="str">
        <f t="shared" si="65"/>
        <v xml:space="preserve">  </v>
      </c>
      <c r="Q148" s="76" t="str">
        <f>P148</f>
        <v xml:space="preserve">  </v>
      </c>
      <c r="R148" s="77" t="str">
        <f>VLOOKUP(Q148,STN_TABLE,2,FALSE)</f>
        <v xml:space="preserve">  </v>
      </c>
      <c r="S148" s="77">
        <v>8</v>
      </c>
      <c r="T148" s="76" t="e">
        <f>R148*S148</f>
        <v>#VALUE!</v>
      </c>
      <c r="U148" s="80">
        <v>10</v>
      </c>
      <c r="V148" s="76" t="e">
        <f>R148*U148</f>
        <v>#VALUE!</v>
      </c>
      <c r="W148" s="496" t="s">
        <v>97</v>
      </c>
      <c r="X148" s="496"/>
      <c r="Y148" s="496" t="s">
        <v>98</v>
      </c>
      <c r="Z148" s="496"/>
      <c r="AA148" s="494" t="s">
        <v>99</v>
      </c>
      <c r="AB148" s="494"/>
      <c r="AC148" s="99">
        <f>AC143+1</f>
        <v>24</v>
      </c>
      <c r="AD148" s="95" t="str">
        <f>VLOOKUP(AC148,STN_TABLE_2,2,FALSE)</f>
        <v xml:space="preserve">  </v>
      </c>
      <c r="AE148" s="68" t="str">
        <f>VLOOKUP(AD148,STN_TABLE,2,FALSE)</f>
        <v xml:space="preserve">  </v>
      </c>
      <c r="AF148" s="68">
        <v>1</v>
      </c>
      <c r="AG148" s="69" t="e">
        <f>AE148*AF148</f>
        <v>#VALUE!</v>
      </c>
      <c r="AH148" s="496" t="s">
        <v>97</v>
      </c>
      <c r="AI148" s="496"/>
      <c r="AJ148" s="496" t="s">
        <v>98</v>
      </c>
      <c r="AK148" s="496"/>
      <c r="AL148" s="494" t="s">
        <v>99</v>
      </c>
      <c r="AM148" s="494"/>
      <c r="AP148" s="86" t="s">
        <v>112</v>
      </c>
      <c r="AQ148" s="89" t="s">
        <v>113</v>
      </c>
      <c r="AR148" s="89" t="s">
        <v>114</v>
      </c>
      <c r="AS148" s="89" t="s">
        <v>115</v>
      </c>
      <c r="AU148" s="81"/>
    </row>
    <row r="149" spans="1:47" x14ac:dyDescent="0.25">
      <c r="A149" s="84">
        <f>A148+1</f>
        <v>24</v>
      </c>
      <c r="B149" s="84" t="str">
        <f t="shared" si="69"/>
        <v xml:space="preserve">  </v>
      </c>
      <c r="C149" s="88" t="str">
        <f t="shared" ref="C149" si="77">B150</f>
        <v xml:space="preserve">  </v>
      </c>
      <c r="D149" s="82" t="str">
        <f>VLOOKUP(C149,STN_TABLE,2,FALSE)</f>
        <v xml:space="preserve">  </v>
      </c>
      <c r="E149" s="92">
        <v>1</v>
      </c>
      <c r="F149" s="82" t="e">
        <f>D149*E149</f>
        <v>#VALUE!</v>
      </c>
      <c r="G149" s="83" t="str">
        <f>C149</f>
        <v xml:space="preserve">  </v>
      </c>
      <c r="H149" s="83" t="e">
        <f>F149*G149</f>
        <v>#VALUE!</v>
      </c>
      <c r="I149" s="84" t="str">
        <f>CONCATENATE("a'(",C149,")=")</f>
        <v>a'(  )=</v>
      </c>
      <c r="J149" s="84" t="e">
        <f>2*J147/3*F150</f>
        <v>#VALUE!</v>
      </c>
      <c r="K149" s="84" t="e">
        <f>CONCATENATE("A(",C147,")=")</f>
        <v>#VALUE!</v>
      </c>
      <c r="L149" s="84" t="e">
        <f>VLOOKUP(C147,STN_TABLE,3,FALSE)</f>
        <v>#VALUE!</v>
      </c>
      <c r="M149" t="str">
        <f>CONCATENATE("A(",C149,")=")</f>
        <v>A(  )=</v>
      </c>
      <c r="N149" t="e">
        <f>J149+L149</f>
        <v>#VALUE!</v>
      </c>
      <c r="O149" s="99">
        <f>O148+1</f>
        <v>26</v>
      </c>
      <c r="P149" s="99" t="e">
        <f t="shared" si="65"/>
        <v>#N/A</v>
      </c>
      <c r="Q149" s="82" t="e">
        <f>IF(P149-P148=P148-P147,P149,IF(P150-P148=P148-P147,P150,IF(P149-P148=P148-P146,P149,IF(P150-P148=P148-P146,P150,"-"))))</f>
        <v>#N/A</v>
      </c>
      <c r="R149" s="83" t="e">
        <f>VLOOKUP(Q149,STN_TABLE,2,FALSE)</f>
        <v>#N/A</v>
      </c>
      <c r="S149" s="83">
        <v>-1</v>
      </c>
      <c r="T149" s="82" t="e">
        <f>R149*S149</f>
        <v>#N/A</v>
      </c>
      <c r="U149" s="88">
        <v>-1</v>
      </c>
      <c r="V149" s="82" t="e">
        <f>R149*U149</f>
        <v>#N/A</v>
      </c>
      <c r="W149" s="84" t="str">
        <f>CONCATENATE("a'(",Q148,")=")</f>
        <v>a'(  )=</v>
      </c>
      <c r="X149" s="84" t="e">
        <f>2*X147/12*T150</f>
        <v>#N/A</v>
      </c>
      <c r="Y149" s="84" t="e">
        <f>CONCATENATE("A(",Q147,")=")</f>
        <v>#N/A</v>
      </c>
      <c r="Z149" s="84" t="e">
        <f>VLOOKUP(Q147,STN_TABLE,3,FALSE)</f>
        <v>#N/A</v>
      </c>
      <c r="AA149" t="str">
        <f>CONCATENATE("A(",Q148,")=")</f>
        <v>A(  )=</v>
      </c>
      <c r="AB149" t="e">
        <f>X149+Z149</f>
        <v>#N/A</v>
      </c>
      <c r="AC149" s="99">
        <f>AC148+1</f>
        <v>25</v>
      </c>
      <c r="AD149" s="100" t="str">
        <f>VLOOKUP(AC149,STN_TABLE_2,2,FALSE)</f>
        <v xml:space="preserve">  </v>
      </c>
      <c r="AE149" s="82" t="str">
        <f>VLOOKUP(AD149,STN_TABLE,2,FALSE)</f>
        <v xml:space="preserve">  </v>
      </c>
      <c r="AF149" s="82">
        <v>2</v>
      </c>
      <c r="AG149" s="83" t="e">
        <f>AE149*AF149</f>
        <v>#VALUE!</v>
      </c>
      <c r="AH149" s="84" t="str">
        <f>CONCATENATE("a'(",AD149,")=")</f>
        <v>a'(  )=</v>
      </c>
      <c r="AI149" s="84" t="e">
        <f>2*AI147/2*AE150</f>
        <v>#VALUE!</v>
      </c>
      <c r="AJ149" s="84" t="str">
        <f>CONCATENATE("A(",AD148,")=")</f>
        <v>A(  )=</v>
      </c>
      <c r="AK149" s="84" t="str">
        <f>VLOOKUP(AD148,STN_TABLE,3,FALSE)</f>
        <v xml:space="preserve"> </v>
      </c>
      <c r="AL149" t="str">
        <f>CONCATENATE("A(",AD149,")=")</f>
        <v>A(  )=</v>
      </c>
      <c r="AM149" t="e">
        <f>AI149+AK149</f>
        <v>#VALUE!</v>
      </c>
      <c r="AO149" s="68" t="str">
        <f>AA149</f>
        <v>A(  )=</v>
      </c>
      <c r="AP149" s="68" t="e">
        <f>VLOOKUP(AO149,Rise_Results,2,FALSE)</f>
        <v>#N/A</v>
      </c>
      <c r="AQ149" s="76" t="e">
        <f>N149</f>
        <v>#VALUE!</v>
      </c>
      <c r="AR149" s="76" t="e">
        <f>IF(OR(AB149&lt;=0,AB150&lt;=0),1/0,AB149)</f>
        <v>#N/A</v>
      </c>
      <c r="AS149" s="76" t="e">
        <f>AM149</f>
        <v>#VALUE!</v>
      </c>
      <c r="AT149" t="e">
        <f>IFERROR(AP149,IFERROR(AQ149,IFERROR(AR149,AS149)))</f>
        <v>#VALUE!</v>
      </c>
      <c r="AU149" s="81"/>
    </row>
    <row r="150" spans="1:47" x14ac:dyDescent="0.25">
      <c r="A150" s="84">
        <f>A149+1</f>
        <v>25</v>
      </c>
      <c r="B150" s="84" t="str">
        <f t="shared" si="69"/>
        <v xml:space="preserve">  </v>
      </c>
      <c r="F150" s="82" t="e">
        <f>SUM(F147:F149)</f>
        <v>#VALUE!</v>
      </c>
      <c r="H150" s="82" t="e">
        <f>SUM(H147:H149)</f>
        <v>#VALUE!</v>
      </c>
      <c r="I150" s="84" t="str">
        <f>CONCATENATE("m'(",C149,")=")</f>
        <v>m'(  )=</v>
      </c>
      <c r="J150" s="84" t="e">
        <f>2*(J147*(WLS))/3*H150</f>
        <v>#VALUE!</v>
      </c>
      <c r="K150" s="84" t="e">
        <f>CONCATENATE("M(",C147,")=")</f>
        <v>#VALUE!</v>
      </c>
      <c r="L150" s="84" t="e">
        <f>VLOOKUP(C147,STN_TABLE,4,FALSE)</f>
        <v>#VALUE!</v>
      </c>
      <c r="M150" t="str">
        <f>CONCATENATE("M(",C149,")=")</f>
        <v>M(  )=</v>
      </c>
      <c r="N150" t="e">
        <f>J150+L150</f>
        <v>#VALUE!</v>
      </c>
      <c r="O150" s="99">
        <f>O149+1</f>
        <v>27</v>
      </c>
      <c r="P150" s="99" t="e">
        <f t="shared" si="65"/>
        <v>#N/A</v>
      </c>
      <c r="T150" s="89" t="e">
        <f>SUM(T147:T149)</f>
        <v>#N/A</v>
      </c>
      <c r="V150" s="82" t="e">
        <f>SUM(V147:V149)</f>
        <v>#N/A</v>
      </c>
      <c r="W150" s="84" t="str">
        <f>CONCATENATE("m'(",Q148,")=")</f>
        <v>m'(  )=</v>
      </c>
      <c r="X150" s="84" t="e">
        <f>(2*(X147^2)/24*V150)+(X149*Q147*WLS)</f>
        <v>#N/A</v>
      </c>
      <c r="Y150" s="84" t="e">
        <f>CONCATENATE("M(",Q147,")=")</f>
        <v>#N/A</v>
      </c>
      <c r="Z150" s="84" t="e">
        <f>VLOOKUP(Q147,STN_TABLE,4,FALSE)</f>
        <v>#N/A</v>
      </c>
      <c r="AA150" t="str">
        <f>CONCATENATE("M(",Q148,")=")</f>
        <v>M(  )=</v>
      </c>
      <c r="AB150" t="e">
        <f>X150+Z150</f>
        <v>#N/A</v>
      </c>
      <c r="AE150" s="89">
        <f>SUM(AE148:AE149)</f>
        <v>0</v>
      </c>
      <c r="AG150" s="89" t="e">
        <f>SUM(AG148:AG149)</f>
        <v>#VALUE!</v>
      </c>
      <c r="AH150" s="84" t="str">
        <f>CONCATENATE("m'(",AD149,")=")</f>
        <v>m'(  )=</v>
      </c>
      <c r="AI150" s="84" t="e">
        <f>(2*(AI147^2)/6*AG150)+(AI149*AD148*WLS)</f>
        <v>#VALUE!</v>
      </c>
      <c r="AJ150" s="84" t="str">
        <f>CONCATENATE("M(",AD148,")=")</f>
        <v>M(  )=</v>
      </c>
      <c r="AK150" s="84" t="str">
        <f>VLOOKUP(AD148,STN_TABLE,4,FALSE)</f>
        <v xml:space="preserve"> </v>
      </c>
      <c r="AL150" t="str">
        <f>CONCATENATE("M(",AD149,")=")</f>
        <v>M(  )=</v>
      </c>
      <c r="AM150" t="e">
        <f>AI150+AK150</f>
        <v>#VALUE!</v>
      </c>
      <c r="AO150" s="82" t="str">
        <f>AA150</f>
        <v>M(  )=</v>
      </c>
      <c r="AP150" s="82" t="e">
        <f>VLOOKUP(AO150,Rise_Results,2,FALSE)</f>
        <v>#N/A</v>
      </c>
      <c r="AQ150" s="82" t="e">
        <f>N150</f>
        <v>#VALUE!</v>
      </c>
      <c r="AR150" s="82" t="e">
        <f>IF(OR(AB149&lt;=0,AB150&lt;=0),1/0,AB150)</f>
        <v>#N/A</v>
      </c>
      <c r="AS150" s="82" t="e">
        <f>AM150</f>
        <v>#VALUE!</v>
      </c>
      <c r="AT150" t="e">
        <f>IFERROR(AP150,IFERROR(AQ150,IFERROR(AR150,AS150)))</f>
        <v>#VALUE!</v>
      </c>
      <c r="AU150" s="81"/>
    </row>
    <row r="151" spans="1:47" x14ac:dyDescent="0.25">
      <c r="A151" s="101"/>
      <c r="B151" s="101"/>
      <c r="AU151" s="81"/>
    </row>
    <row r="152" spans="1:47" x14ac:dyDescent="0.25">
      <c r="A152" s="84"/>
      <c r="B152" s="84"/>
      <c r="E152" s="81"/>
      <c r="F152" s="81"/>
      <c r="G152" s="81"/>
      <c r="H152" s="81"/>
      <c r="I152" s="103"/>
      <c r="J152" s="70"/>
      <c r="AU152" s="81"/>
    </row>
    <row r="153" spans="1:47" x14ac:dyDescent="0.25">
      <c r="A153" s="84"/>
      <c r="B153" s="84"/>
      <c r="E153" s="81"/>
      <c r="F153" s="81"/>
      <c r="G153" s="81"/>
      <c r="H153" s="81"/>
      <c r="I153" s="104"/>
      <c r="J153" s="78"/>
      <c r="K153" s="78"/>
      <c r="L153" s="78"/>
      <c r="M153" s="7"/>
      <c r="N153" s="7"/>
      <c r="AO153" s="81"/>
      <c r="AP153" s="81"/>
      <c r="AQ153" s="81"/>
      <c r="AR153" s="81"/>
      <c r="AS153" s="81"/>
      <c r="AT153" s="81"/>
      <c r="AU153" s="81"/>
    </row>
    <row r="154" spans="1:47" x14ac:dyDescent="0.25">
      <c r="A154" s="84"/>
      <c r="B154" s="84"/>
      <c r="E154" s="81"/>
      <c r="F154" s="81"/>
      <c r="G154" s="81"/>
      <c r="H154" s="81"/>
      <c r="I154" s="105"/>
      <c r="J154" s="84"/>
      <c r="K154" s="84"/>
      <c r="L154" s="84"/>
      <c r="AO154" s="81"/>
      <c r="AP154" s="81"/>
      <c r="AQ154" s="81"/>
      <c r="AR154" s="81"/>
      <c r="AS154" s="81"/>
      <c r="AT154" s="81"/>
      <c r="AU154" s="81"/>
    </row>
    <row r="155" spans="1:47" x14ac:dyDescent="0.25">
      <c r="A155" s="84"/>
      <c r="B155" s="84"/>
      <c r="E155" s="81"/>
      <c r="F155" s="81"/>
      <c r="G155" s="81"/>
      <c r="H155" s="81"/>
      <c r="I155" s="105"/>
      <c r="J155" s="84"/>
      <c r="K155" s="84"/>
      <c r="L155" s="84"/>
      <c r="AO155" s="81"/>
      <c r="AP155" s="81"/>
      <c r="AQ155" s="81"/>
      <c r="AR155" s="81"/>
      <c r="AS155" s="81"/>
      <c r="AT155" s="81"/>
      <c r="AU155" s="81"/>
    </row>
    <row r="156" spans="1:47" x14ac:dyDescent="0.25">
      <c r="A156" s="101"/>
      <c r="B156" s="101"/>
      <c r="E156" s="81"/>
      <c r="F156" s="81"/>
      <c r="G156" s="81"/>
      <c r="H156" s="81"/>
      <c r="I156" s="81"/>
      <c r="AO156" s="81"/>
      <c r="AP156" s="81"/>
      <c r="AQ156" s="81"/>
      <c r="AR156" s="81"/>
      <c r="AS156" s="81"/>
      <c r="AT156" s="81"/>
      <c r="AU156" s="81"/>
    </row>
    <row r="157" spans="1:47" x14ac:dyDescent="0.25">
      <c r="A157" s="84"/>
      <c r="B157" s="84"/>
      <c r="E157" s="81"/>
      <c r="F157" s="81"/>
      <c r="G157" s="81"/>
      <c r="H157" s="81"/>
      <c r="I157" s="103"/>
      <c r="J157" s="70"/>
      <c r="AO157" s="81"/>
      <c r="AP157" s="81"/>
      <c r="AQ157" s="81"/>
      <c r="AR157" s="81"/>
      <c r="AS157" s="81"/>
      <c r="AT157" s="81"/>
      <c r="AU157" s="81"/>
    </row>
    <row r="158" spans="1:47" x14ac:dyDescent="0.25">
      <c r="A158" s="84"/>
      <c r="B158" s="84"/>
      <c r="E158" s="81"/>
      <c r="F158" s="81"/>
      <c r="G158" s="81"/>
      <c r="H158" s="81"/>
      <c r="I158" s="104"/>
      <c r="J158" s="78"/>
      <c r="K158" s="78"/>
      <c r="L158" s="78"/>
      <c r="M158" s="7"/>
      <c r="N158" s="7"/>
      <c r="AO158" s="81"/>
      <c r="AP158" s="81"/>
      <c r="AQ158" s="81"/>
      <c r="AR158" s="81"/>
      <c r="AS158" s="81"/>
      <c r="AT158" s="81"/>
      <c r="AU158" s="81"/>
    </row>
    <row r="159" spans="1:47" x14ac:dyDescent="0.25">
      <c r="A159" s="84"/>
      <c r="B159" s="84"/>
      <c r="E159" s="81"/>
      <c r="F159" s="81"/>
      <c r="G159" s="81"/>
      <c r="H159" s="81"/>
      <c r="I159" s="105"/>
      <c r="J159" s="84"/>
      <c r="K159" s="84"/>
      <c r="L159" s="84"/>
      <c r="AO159" s="81"/>
      <c r="AP159" s="81"/>
      <c r="AQ159" s="81"/>
      <c r="AR159" s="81"/>
      <c r="AS159" s="81"/>
      <c r="AT159" s="81"/>
      <c r="AU159" s="81"/>
    </row>
    <row r="160" spans="1:47" x14ac:dyDescent="0.25">
      <c r="A160" s="84"/>
      <c r="B160" s="84"/>
      <c r="E160" s="81"/>
      <c r="F160" s="81"/>
      <c r="G160" s="81"/>
      <c r="H160" s="81"/>
      <c r="I160" s="105"/>
      <c r="J160" s="84"/>
      <c r="K160" s="84"/>
      <c r="L160" s="84"/>
      <c r="AO160" s="81"/>
      <c r="AP160" s="81"/>
      <c r="AQ160" s="81"/>
      <c r="AR160" s="81"/>
      <c r="AS160" s="81"/>
      <c r="AT160" s="81"/>
      <c r="AU160" s="81"/>
    </row>
    <row r="161" spans="1:47" x14ac:dyDescent="0.25">
      <c r="A161" s="101"/>
      <c r="B161" s="101"/>
      <c r="E161" s="81"/>
      <c r="F161" s="81"/>
      <c r="G161" s="81"/>
      <c r="H161" s="81"/>
      <c r="I161" s="81"/>
      <c r="AO161" s="81"/>
      <c r="AP161" s="81"/>
      <c r="AQ161" s="81"/>
      <c r="AR161" s="81"/>
      <c r="AS161" s="81"/>
      <c r="AT161" s="81"/>
      <c r="AU161" s="81"/>
    </row>
    <row r="162" spans="1:47" x14ac:dyDescent="0.25">
      <c r="A162" s="84"/>
      <c r="B162" s="84"/>
      <c r="E162" s="81"/>
      <c r="F162" s="81"/>
      <c r="G162" s="81"/>
      <c r="H162" s="81"/>
      <c r="I162" s="103"/>
      <c r="J162" s="70"/>
      <c r="AO162" s="81"/>
      <c r="AP162" s="81"/>
      <c r="AQ162" s="81"/>
      <c r="AR162" s="81"/>
      <c r="AS162" s="81"/>
      <c r="AT162" s="81"/>
      <c r="AU162" s="81"/>
    </row>
    <row r="163" spans="1:47" x14ac:dyDescent="0.25">
      <c r="A163" s="84"/>
      <c r="B163" s="84"/>
      <c r="E163" s="81"/>
      <c r="F163" s="81"/>
      <c r="G163" s="81"/>
      <c r="H163" s="81"/>
      <c r="I163" s="104"/>
      <c r="J163" s="78"/>
      <c r="K163" s="78"/>
      <c r="L163" s="78"/>
      <c r="M163" s="7"/>
      <c r="N163" s="7"/>
      <c r="AO163" s="81"/>
      <c r="AP163" s="81"/>
      <c r="AQ163" s="81"/>
      <c r="AR163" s="81"/>
      <c r="AS163" s="81"/>
      <c r="AT163" s="81"/>
      <c r="AU163" s="81"/>
    </row>
    <row r="164" spans="1:47" x14ac:dyDescent="0.25">
      <c r="A164" s="84"/>
      <c r="B164" s="84"/>
      <c r="E164" s="81"/>
      <c r="F164" s="81"/>
      <c r="G164" s="81"/>
      <c r="H164" s="81"/>
      <c r="I164" s="105"/>
      <c r="J164" s="84"/>
      <c r="K164" s="84"/>
      <c r="L164" s="84"/>
    </row>
    <row r="165" spans="1:47" x14ac:dyDescent="0.25">
      <c r="A165" s="84"/>
      <c r="B165" s="84"/>
      <c r="E165" s="81"/>
      <c r="F165" s="81"/>
      <c r="G165" s="81"/>
      <c r="H165" s="81"/>
      <c r="I165" s="105"/>
      <c r="J165" s="84"/>
      <c r="K165" s="84"/>
      <c r="L165" s="84"/>
    </row>
    <row r="166" spans="1:47" x14ac:dyDescent="0.25">
      <c r="A166" s="101"/>
      <c r="B166" s="101"/>
      <c r="E166" s="81"/>
      <c r="F166" s="81"/>
      <c r="G166" s="81"/>
      <c r="H166" s="81"/>
      <c r="I166" s="81"/>
    </row>
    <row r="167" spans="1:47" x14ac:dyDescent="0.25">
      <c r="A167" s="84"/>
      <c r="B167" s="84"/>
      <c r="E167" s="81"/>
      <c r="F167" s="81"/>
      <c r="G167" s="81"/>
      <c r="H167" s="81"/>
      <c r="I167" s="103"/>
      <c r="J167" s="70"/>
    </row>
    <row r="168" spans="1:47" x14ac:dyDescent="0.25">
      <c r="A168" s="84"/>
      <c r="B168" s="84"/>
      <c r="E168" s="81"/>
      <c r="F168" s="81"/>
      <c r="G168" s="81"/>
      <c r="H168" s="81"/>
      <c r="I168" s="104"/>
      <c r="J168" s="78"/>
      <c r="K168" s="78"/>
      <c r="L168" s="78"/>
      <c r="M168" s="7"/>
      <c r="N168" s="7"/>
    </row>
    <row r="169" spans="1:47" x14ac:dyDescent="0.25">
      <c r="A169" s="84"/>
      <c r="B169" s="84"/>
      <c r="E169" s="81"/>
      <c r="F169" s="81"/>
      <c r="G169" s="81"/>
      <c r="H169" s="81"/>
      <c r="I169" s="105"/>
      <c r="J169" s="84"/>
      <c r="K169" s="84"/>
      <c r="L169" s="84"/>
    </row>
    <row r="170" spans="1:47" x14ac:dyDescent="0.25">
      <c r="A170" s="84"/>
      <c r="B170" s="84"/>
      <c r="E170" s="81"/>
      <c r="F170" s="81"/>
      <c r="G170" s="81"/>
      <c r="H170" s="81"/>
      <c r="I170" s="105"/>
      <c r="J170" s="84"/>
      <c r="K170" s="84"/>
      <c r="L170" s="84"/>
    </row>
    <row r="171" spans="1:47" x14ac:dyDescent="0.25">
      <c r="E171" s="81"/>
      <c r="F171" s="81"/>
      <c r="G171" s="81"/>
      <c r="H171" s="81"/>
      <c r="I171" s="81"/>
    </row>
  </sheetData>
  <sheetProtection selectLockedCells="1" selectUnlockedCells="1"/>
  <mergeCells count="167">
    <mergeCell ref="A1:B1"/>
    <mergeCell ref="E1:F1"/>
    <mergeCell ref="L1:M1"/>
    <mergeCell ref="W33:X33"/>
    <mergeCell ref="Y33:Z33"/>
    <mergeCell ref="AA33:AB33"/>
    <mergeCell ref="AH33:AI33"/>
    <mergeCell ref="AJ33:AK33"/>
    <mergeCell ref="AL33:AM33"/>
    <mergeCell ref="I38:J38"/>
    <mergeCell ref="W38:X38"/>
    <mergeCell ref="Y38:Z38"/>
    <mergeCell ref="AA38:AB38"/>
    <mergeCell ref="AH38:AI38"/>
    <mergeCell ref="AJ38:AK38"/>
    <mergeCell ref="AL38:AM38"/>
    <mergeCell ref="AL43:AM43"/>
    <mergeCell ref="I48:J48"/>
    <mergeCell ref="W48:X48"/>
    <mergeCell ref="Y48:Z48"/>
    <mergeCell ref="AA48:AB48"/>
    <mergeCell ref="AH48:AI48"/>
    <mergeCell ref="AJ48:AK48"/>
    <mergeCell ref="AL48:AM48"/>
    <mergeCell ref="I43:J43"/>
    <mergeCell ref="W43:X43"/>
    <mergeCell ref="Y43:Z43"/>
    <mergeCell ref="AA43:AB43"/>
    <mergeCell ref="AH43:AI43"/>
    <mergeCell ref="AJ43:AK43"/>
    <mergeCell ref="AL53:AM53"/>
    <mergeCell ref="I58:J58"/>
    <mergeCell ref="AH58:AI58"/>
    <mergeCell ref="AJ58:AK58"/>
    <mergeCell ref="AL58:AM58"/>
    <mergeCell ref="I63:J63"/>
    <mergeCell ref="W63:X63"/>
    <mergeCell ref="Y63:Z63"/>
    <mergeCell ref="AA63:AB63"/>
    <mergeCell ref="AH63:AI63"/>
    <mergeCell ref="I53:J53"/>
    <mergeCell ref="W53:X53"/>
    <mergeCell ref="Y53:Z53"/>
    <mergeCell ref="AA53:AB53"/>
    <mergeCell ref="AH53:AI53"/>
    <mergeCell ref="AJ53:AK53"/>
    <mergeCell ref="AJ63:AK63"/>
    <mergeCell ref="AL63:AM63"/>
    <mergeCell ref="I68:J68"/>
    <mergeCell ref="W68:X68"/>
    <mergeCell ref="Y68:Z68"/>
    <mergeCell ref="AA68:AB68"/>
    <mergeCell ref="AH68:AI68"/>
    <mergeCell ref="AJ68:AK68"/>
    <mergeCell ref="AL68:AM68"/>
    <mergeCell ref="AL73:AM73"/>
    <mergeCell ref="I78:J78"/>
    <mergeCell ref="W78:X78"/>
    <mergeCell ref="Y78:Z78"/>
    <mergeCell ref="AA78:AB78"/>
    <mergeCell ref="AH78:AI78"/>
    <mergeCell ref="AJ78:AK78"/>
    <mergeCell ref="AL78:AM78"/>
    <mergeCell ref="I73:J73"/>
    <mergeCell ref="W73:X73"/>
    <mergeCell ref="Y73:Z73"/>
    <mergeCell ref="AA73:AB73"/>
    <mergeCell ref="AH73:AI73"/>
    <mergeCell ref="AJ73:AK73"/>
    <mergeCell ref="AL83:AM83"/>
    <mergeCell ref="I88:J88"/>
    <mergeCell ref="W88:X88"/>
    <mergeCell ref="Y88:Z88"/>
    <mergeCell ref="AA88:AB88"/>
    <mergeCell ref="AH88:AI88"/>
    <mergeCell ref="AJ88:AK88"/>
    <mergeCell ref="AL88:AM88"/>
    <mergeCell ref="I83:J83"/>
    <mergeCell ref="W83:X83"/>
    <mergeCell ref="Y83:Z83"/>
    <mergeCell ref="AA83:AB83"/>
    <mergeCell ref="AH83:AI83"/>
    <mergeCell ref="AJ83:AK83"/>
    <mergeCell ref="AL93:AM93"/>
    <mergeCell ref="I98:J98"/>
    <mergeCell ref="W98:X98"/>
    <mergeCell ref="Y98:Z98"/>
    <mergeCell ref="AA98:AB98"/>
    <mergeCell ref="AH98:AI98"/>
    <mergeCell ref="AJ98:AK98"/>
    <mergeCell ref="AL98:AM98"/>
    <mergeCell ref="I93:J93"/>
    <mergeCell ref="W93:X93"/>
    <mergeCell ref="Y93:Z93"/>
    <mergeCell ref="AA93:AB93"/>
    <mergeCell ref="AH93:AI93"/>
    <mergeCell ref="AJ93:AK93"/>
    <mergeCell ref="AL103:AM103"/>
    <mergeCell ref="I108:J108"/>
    <mergeCell ref="W108:X108"/>
    <mergeCell ref="Y108:Z108"/>
    <mergeCell ref="AA108:AB108"/>
    <mergeCell ref="AH108:AI108"/>
    <mergeCell ref="AJ108:AK108"/>
    <mergeCell ref="AL108:AM108"/>
    <mergeCell ref="I103:J103"/>
    <mergeCell ref="W103:X103"/>
    <mergeCell ref="Y103:Z103"/>
    <mergeCell ref="AA103:AB103"/>
    <mergeCell ref="AH103:AI103"/>
    <mergeCell ref="AJ103:AK103"/>
    <mergeCell ref="AL113:AM113"/>
    <mergeCell ref="I118:J118"/>
    <mergeCell ref="W118:X118"/>
    <mergeCell ref="Y118:Z118"/>
    <mergeCell ref="AA118:AB118"/>
    <mergeCell ref="AH118:AI118"/>
    <mergeCell ref="AJ118:AK118"/>
    <mergeCell ref="AL118:AM118"/>
    <mergeCell ref="I113:J113"/>
    <mergeCell ref="W113:X113"/>
    <mergeCell ref="Y113:Z113"/>
    <mergeCell ref="AA113:AB113"/>
    <mergeCell ref="AH113:AI113"/>
    <mergeCell ref="AJ113:AK113"/>
    <mergeCell ref="AL123:AM123"/>
    <mergeCell ref="I128:J128"/>
    <mergeCell ref="W128:X128"/>
    <mergeCell ref="Y128:Z128"/>
    <mergeCell ref="AA128:AB128"/>
    <mergeCell ref="AH128:AI128"/>
    <mergeCell ref="AJ128:AK128"/>
    <mergeCell ref="AL128:AM128"/>
    <mergeCell ref="I123:J123"/>
    <mergeCell ref="W123:X123"/>
    <mergeCell ref="Y123:Z123"/>
    <mergeCell ref="AA123:AB123"/>
    <mergeCell ref="AH123:AI123"/>
    <mergeCell ref="AJ123:AK123"/>
    <mergeCell ref="AL133:AM133"/>
    <mergeCell ref="I138:J138"/>
    <mergeCell ref="W138:X138"/>
    <mergeCell ref="Y138:Z138"/>
    <mergeCell ref="AA138:AB138"/>
    <mergeCell ref="AH138:AI138"/>
    <mergeCell ref="AJ138:AK138"/>
    <mergeCell ref="AL138:AM138"/>
    <mergeCell ref="I133:J133"/>
    <mergeCell ref="W133:X133"/>
    <mergeCell ref="Y133:Z133"/>
    <mergeCell ref="AA133:AB133"/>
    <mergeCell ref="AH133:AI133"/>
    <mergeCell ref="AJ133:AK133"/>
    <mergeCell ref="AL143:AM143"/>
    <mergeCell ref="I148:J148"/>
    <mergeCell ref="W148:X148"/>
    <mergeCell ref="Y148:Z148"/>
    <mergeCell ref="AA148:AB148"/>
    <mergeCell ref="AH148:AI148"/>
    <mergeCell ref="AJ148:AK148"/>
    <mergeCell ref="AL148:AM148"/>
    <mergeCell ref="I143:J143"/>
    <mergeCell ref="W143:X143"/>
    <mergeCell ref="Y143:Z143"/>
    <mergeCell ref="AA143:AB143"/>
    <mergeCell ref="AH143:AI143"/>
    <mergeCell ref="AJ143:AK143"/>
  </mergeCells>
  <pageMargins left="0.7" right="0.7" top="0.75" bottom="0.75" header="0.3" footer="0.3"/>
  <pageSetup paperSize="9"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AU171"/>
  <sheetViews>
    <sheetView topLeftCell="N1" workbookViewId="0">
      <pane ySplit="1" topLeftCell="A8" activePane="bottomLeft" state="frozen"/>
      <selection activeCell="AG8" sqref="AG8:AG10"/>
      <selection pane="bottomLeft" activeCell="AG8" sqref="AG8:AG10"/>
    </sheetView>
  </sheetViews>
  <sheetFormatPr defaultRowHeight="15" x14ac:dyDescent="0.25"/>
  <sheetData>
    <row r="1" spans="1:46" x14ac:dyDescent="0.25">
      <c r="A1" s="494" t="s">
        <v>90</v>
      </c>
      <c r="B1" s="494"/>
      <c r="C1">
        <f>HLOOKUP(Stn_WL,OFFSET_A,Count_STN+1,FALSE)</f>
        <v>15</v>
      </c>
      <c r="E1" s="494" t="s">
        <v>91</v>
      </c>
      <c r="F1" s="494"/>
      <c r="G1" t="str">
        <f>VLOOKUP(Station_No,RISE_CALC,2,FALSE)</f>
        <v>-</v>
      </c>
      <c r="L1" s="494" t="s">
        <v>92</v>
      </c>
      <c r="M1" s="494"/>
      <c r="N1">
        <v>18</v>
      </c>
    </row>
    <row r="2" spans="1:46" x14ac:dyDescent="0.25">
      <c r="Q2" s="66" t="str">
        <f t="shared" ref="Q2:R6" si="0">G4</f>
        <v>Rise</v>
      </c>
      <c r="R2" s="67" t="e">
        <f t="shared" si="0"/>
        <v>#VALUE!</v>
      </c>
      <c r="S2" s="68" t="e">
        <f>IF(OR(R5-R4=R4-R3,R6-R4=R4-R3),R3,IF(OR(R5-R4=R4-R2,R6-R4=R4-R2),R2,"-"))</f>
        <v>#VALUE!</v>
      </c>
      <c r="T2" s="69" t="e">
        <f>IFERROR(VLOOKUP(S2,STN_TABLE,2,FALSE),IF(R2=RisePerWLS,0,"-"))</f>
        <v>#VALUE!</v>
      </c>
      <c r="U2" s="69">
        <v>5</v>
      </c>
      <c r="V2" s="69" t="e">
        <f>T2*U2</f>
        <v>#VALUE!</v>
      </c>
      <c r="W2" s="69">
        <v>3</v>
      </c>
      <c r="X2" s="69" t="e">
        <f>T2*W2</f>
        <v>#VALUE!</v>
      </c>
      <c r="Y2" s="6" t="s">
        <v>93</v>
      </c>
      <c r="Z2" s="70" t="e">
        <f>IF(AND(S4-S3=S3-S2,NOT(AND(S2=0,S3=0)),NOT(AND(S3=0,S4=0))),WLS*(S4-S3),"#NA")</f>
        <v>#VALUE!</v>
      </c>
      <c r="AE2" s="71" t="s">
        <v>94</v>
      </c>
    </row>
    <row r="3" spans="1:46" x14ac:dyDescent="0.25">
      <c r="B3" s="72" t="s">
        <v>0</v>
      </c>
      <c r="C3" s="73" t="s">
        <v>95</v>
      </c>
      <c r="D3" s="73" t="s">
        <v>18</v>
      </c>
      <c r="E3" s="74" t="s">
        <v>20</v>
      </c>
      <c r="H3" s="75" t="s">
        <v>96</v>
      </c>
      <c r="K3" t="str">
        <f>IF(Rise=0,"(Not considered)","(Considered)")</f>
        <v>(Considered)</v>
      </c>
      <c r="Q3" s="66" t="str">
        <f t="shared" si="0"/>
        <v>1st_UWL</v>
      </c>
      <c r="R3" s="67" t="str">
        <f t="shared" si="0"/>
        <v>#NA</v>
      </c>
      <c r="S3" s="76" t="str">
        <f>R4</f>
        <v>#NA</v>
      </c>
      <c r="T3" s="77" t="e">
        <f>VLOOKUP(S3,STN_TABLE,2,FALSE)</f>
        <v>#N/A</v>
      </c>
      <c r="U3" s="77">
        <v>8</v>
      </c>
      <c r="V3" s="77" t="e">
        <f>T3*U3</f>
        <v>#N/A</v>
      </c>
      <c r="W3" s="77">
        <v>10</v>
      </c>
      <c r="X3" s="77" t="e">
        <f>T3*W3</f>
        <v>#N/A</v>
      </c>
      <c r="Y3" s="78" t="s">
        <v>97</v>
      </c>
      <c r="Z3" s="78"/>
      <c r="AA3" s="78" t="s">
        <v>98</v>
      </c>
      <c r="AB3" s="78"/>
      <c r="AC3" s="7" t="s">
        <v>99</v>
      </c>
      <c r="AD3" s="7"/>
      <c r="AE3" s="66" t="str">
        <f t="shared" ref="AE3:AF7" si="1">G4</f>
        <v>Rise</v>
      </c>
      <c r="AF3" s="67" t="e">
        <f t="shared" si="1"/>
        <v>#VALUE!</v>
      </c>
      <c r="AG3" s="79" t="e">
        <f>IF(AF7-AF6=AF6-AF5,AF5,IF(OR(AF7-AF6=AF6-AF4,AF7-AF5=AF5-AF4),AF4,IF(OR(AF7-AF6=AF6-AF3,AF7-AF5=AF5-AF3,AF7-AF4=AF4-AF3),AF3,"#NA")))</f>
        <v>#VALUE!</v>
      </c>
      <c r="AH3" s="69" t="e">
        <f>IFERROR(VLOOKUP(AG3,STN_TABLE,2,FALSE),IF(AF3=RisePerWLS,0,"-"))</f>
        <v>#VALUE!</v>
      </c>
      <c r="AI3" s="69">
        <v>1</v>
      </c>
      <c r="AJ3" s="69" t="e">
        <f>AH3*AI3</f>
        <v>#VALUE!</v>
      </c>
      <c r="AK3" s="69" t="e">
        <f>AG3</f>
        <v>#VALUE!</v>
      </c>
      <c r="AL3" s="69" t="e">
        <f>AJ3*AK3</f>
        <v>#VALUE!</v>
      </c>
      <c r="AM3" s="6" t="s">
        <v>93</v>
      </c>
      <c r="AN3" s="70" t="e">
        <f>IF(AND(AH3=0,AH4=0,AH5=0),WLS*(AG5-AG4),IF(AND(AG5-AG4=AG4-AG3,AG4&lt;&gt;AG5,AG3&lt;&gt;AG4,AG3&lt;&gt;AG5,AH5&lt;&gt;0,OR(AH3&lt;&gt;0,AH4&lt;&gt;0)),WLS*(AG5-AG4),"#NA"))</f>
        <v>#VALUE!</v>
      </c>
    </row>
    <row r="4" spans="1:46" x14ac:dyDescent="0.25">
      <c r="A4">
        <v>1</v>
      </c>
      <c r="B4" s="80">
        <f t="shared" ref="B4:B28" si="2">VLOOKUP(Stn_WL,OFFSET_A,A4+1,FALSE)</f>
        <v>0</v>
      </c>
      <c r="C4" s="81">
        <f t="shared" ref="C4:C28" si="3">VLOOKUP(Station_No,OFFSET_A,A4+1,FALSE)</f>
        <v>8.9</v>
      </c>
      <c r="D4" s="81">
        <v>0</v>
      </c>
      <c r="E4" s="77">
        <v>0</v>
      </c>
      <c r="G4" t="s">
        <v>100</v>
      </c>
      <c r="H4" t="e">
        <f>Rise/WLS</f>
        <v>#VALUE!</v>
      </c>
      <c r="K4" t="str">
        <f>CONCATENATE("A(",H5,")=")</f>
        <v>A(#NA)=</v>
      </c>
      <c r="L4" t="e">
        <f>IFERROR(N18,N22)</f>
        <v>#VALUE!</v>
      </c>
      <c r="Q4" s="66" t="str">
        <f t="shared" si="0"/>
        <v>2nd_UWL</v>
      </c>
      <c r="R4" s="67" t="str">
        <f t="shared" si="0"/>
        <v>#NA</v>
      </c>
      <c r="S4" s="82" t="e">
        <f>IF((S2-S3)=S3-R5,R5,IF(S2-S3=S3-R6,R6,"-"))</f>
        <v>#VALUE!</v>
      </c>
      <c r="T4" s="83" t="e">
        <f>VLOOKUP(S4,STN_TABLE,2,FALSE)</f>
        <v>#VALUE!</v>
      </c>
      <c r="U4" s="83">
        <v>-1</v>
      </c>
      <c r="V4" s="83" t="e">
        <f>T4*U4</f>
        <v>#VALUE!</v>
      </c>
      <c r="W4" s="83">
        <v>-1</v>
      </c>
      <c r="X4" s="83" t="e">
        <f>T4*W4</f>
        <v>#VALUE!</v>
      </c>
      <c r="Y4" s="84" t="str">
        <f>CONCATENATE("a'(",S3,")=")</f>
        <v>a'(#NA)=</v>
      </c>
      <c r="Z4" s="85" t="e">
        <f>2*Z2/12*V5</f>
        <v>#VALUE!</v>
      </c>
      <c r="AA4" s="84" t="e">
        <f>CONCATENATE("A(",S2,")=")</f>
        <v>#VALUE!</v>
      </c>
      <c r="AB4" s="84" t="e">
        <f>IF(S2=RisePerWLS,0,VLOOKUP(S2,STN_TABLE,3,FALSE))</f>
        <v>#VALUE!</v>
      </c>
      <c r="AC4" t="str">
        <f>CONCATENATE("A(",S3,")=")</f>
        <v>A(#NA)=</v>
      </c>
      <c r="AD4" t="e">
        <f>Z4+AB4</f>
        <v>#VALUE!</v>
      </c>
      <c r="AE4" s="66" t="str">
        <f t="shared" si="1"/>
        <v>1st_UWL</v>
      </c>
      <c r="AF4" s="67" t="str">
        <f t="shared" si="1"/>
        <v>#NA</v>
      </c>
      <c r="AG4" s="80" t="e">
        <f>IF(OR(AF7-AF6=AF6-AF5,AF7-AF6=AF6-AF4,AF7-AF6=AF6-AF3),AF6,IF(OR(AF7-AF5=AF5-AF4,AF7-AF5=AF5-AF3),AF5,IF(AF7-AF4=AF4-AF3,AF4,"#NA")))</f>
        <v>#VALUE!</v>
      </c>
      <c r="AH4" s="77" t="e">
        <f>VLOOKUP(AG4,STN_TABLE,2,FALSE)</f>
        <v>#VALUE!</v>
      </c>
      <c r="AI4" s="77">
        <v>4</v>
      </c>
      <c r="AJ4" s="77" t="e">
        <f>AH4*AI4</f>
        <v>#VALUE!</v>
      </c>
      <c r="AK4" s="77" t="e">
        <f>AG4</f>
        <v>#VALUE!</v>
      </c>
      <c r="AL4" s="77" t="e">
        <f>AJ4*AK4</f>
        <v>#VALUE!</v>
      </c>
      <c r="AM4" s="78" t="s">
        <v>97</v>
      </c>
      <c r="AN4" s="78"/>
      <c r="AO4" s="78" t="s">
        <v>98</v>
      </c>
      <c r="AP4" s="78"/>
      <c r="AQ4" s="7" t="s">
        <v>99</v>
      </c>
      <c r="AR4" s="7"/>
      <c r="AS4" s="7"/>
      <c r="AT4" s="7"/>
    </row>
    <row r="5" spans="1:46" x14ac:dyDescent="0.25">
      <c r="A5">
        <v>2</v>
      </c>
      <c r="B5" s="80">
        <f t="shared" si="2"/>
        <v>0.25</v>
      </c>
      <c r="C5" s="81">
        <f t="shared" si="3"/>
        <v>9.76</v>
      </c>
      <c r="D5" s="81">
        <f t="shared" ref="D5:D28" si="4">IFERROR(VLOOKUP(CONCATENATE("A(",B5,")="),RESULT_TABLE,6,FALSE)," ")</f>
        <v>9.3649999999999984</v>
      </c>
      <c r="E5" s="77">
        <f t="shared" ref="E5:E28" si="5">IFERROR(VLOOKUP(CONCATENATE("M(",B5,")="),RESULT_TABLE,6,FALSE)," ")</f>
        <v>2.3770833333333332</v>
      </c>
      <c r="G5" t="s">
        <v>101</v>
      </c>
      <c r="H5" t="str">
        <f>VLOOKUP(Station_No,RISE_CALC,4,FALSE)</f>
        <v>#NA</v>
      </c>
      <c r="K5" t="str">
        <f>CONCATENATE("M(",H5,")=")</f>
        <v>M(#NA)=</v>
      </c>
      <c r="L5" t="e">
        <f>IFERROR(N19,N23)</f>
        <v>#VALUE!</v>
      </c>
      <c r="Q5" s="66" t="str">
        <f t="shared" si="0"/>
        <v>3rd_UWL</v>
      </c>
      <c r="R5" s="67" t="str">
        <f t="shared" si="0"/>
        <v>#NA</v>
      </c>
      <c r="V5" s="86" t="e">
        <f>SUM(V2:V4)</f>
        <v>#VALUE!</v>
      </c>
      <c r="X5" s="87" t="e">
        <f>SUM(X2:X4)</f>
        <v>#VALUE!</v>
      </c>
      <c r="Y5" s="84" t="str">
        <f>CONCATENATE("m'(",S3,")=")</f>
        <v>m'(#NA)=</v>
      </c>
      <c r="Z5" s="85" t="e">
        <f>(2*(Z2^2)/24*X5)+(Z4*S2*WLS)</f>
        <v>#VALUE!</v>
      </c>
      <c r="AA5" s="84" t="e">
        <f>CONCATENATE("M(",S2,")=")</f>
        <v>#VALUE!</v>
      </c>
      <c r="AB5" s="84" t="e">
        <f>IF(S2=RisePerWLS,0,VLOOKUP(S2,STN_TABLE,4,FALSE))</f>
        <v>#VALUE!</v>
      </c>
      <c r="AC5" t="str">
        <f>CONCATENATE("M(",S3,")=")</f>
        <v>M(#NA)=</v>
      </c>
      <c r="AD5" t="e">
        <f>Z5+AB5</f>
        <v>#VALUE!</v>
      </c>
      <c r="AE5" s="66" t="str">
        <f t="shared" si="1"/>
        <v>2nd_UWL</v>
      </c>
      <c r="AF5" s="67" t="str">
        <f t="shared" si="1"/>
        <v>#NA</v>
      </c>
      <c r="AG5" s="88" t="str">
        <f>AF7</f>
        <v>#NA</v>
      </c>
      <c r="AH5" s="83" t="e">
        <f>VLOOKUP(AG5,STN_TABLE,2,FALSE)</f>
        <v>#N/A</v>
      </c>
      <c r="AI5" s="83">
        <v>1</v>
      </c>
      <c r="AJ5" s="83" t="e">
        <f>AH5*AI5</f>
        <v>#N/A</v>
      </c>
      <c r="AK5" s="83" t="str">
        <f>AG5</f>
        <v>#NA</v>
      </c>
      <c r="AL5" s="83" t="e">
        <f>AJ5*AK5</f>
        <v>#N/A</v>
      </c>
      <c r="AM5" s="84" t="str">
        <f>CONCATENATE("a'(",AG5,")=")</f>
        <v>a'(#NA)=</v>
      </c>
      <c r="AN5" s="84" t="e">
        <f>2*AN3/3*AJ6</f>
        <v>#VALUE!</v>
      </c>
      <c r="AO5" s="84" t="e">
        <f>CONCATENATE("A(",AG3,")=")</f>
        <v>#VALUE!</v>
      </c>
      <c r="AP5" s="84" t="e">
        <f>IF(AG3=RisePerWLS,0,VLOOKUP(AG3,STN_TABLE,3,FALSE))</f>
        <v>#VALUE!</v>
      </c>
      <c r="AQ5" t="str">
        <f>CONCATENATE("A(",AG5,")=")</f>
        <v>A(#NA)=</v>
      </c>
      <c r="AR5" t="e">
        <f>AN5+AP5</f>
        <v>#VALUE!</v>
      </c>
    </row>
    <row r="6" spans="1:46" x14ac:dyDescent="0.25">
      <c r="A6">
        <v>3</v>
      </c>
      <c r="B6" s="80">
        <f t="shared" si="2"/>
        <v>0.5</v>
      </c>
      <c r="C6" s="81">
        <f t="shared" si="3"/>
        <v>10.199999999999999</v>
      </c>
      <c r="D6" s="81">
        <f t="shared" si="4"/>
        <v>19.38</v>
      </c>
      <c r="E6" s="77">
        <f t="shared" si="5"/>
        <v>9.9066666666666663</v>
      </c>
      <c r="G6" t="s">
        <v>102</v>
      </c>
      <c r="H6" t="str">
        <f>VLOOKUP(Station_No,RISE_CALC,5,FALSE)</f>
        <v>#NA</v>
      </c>
      <c r="K6" t="str">
        <f>CONCATENATE("A(",H6,")=")</f>
        <v>A(#NA)=</v>
      </c>
      <c r="L6" t="e">
        <f>IFERROR(P27,IFERROR(X6,AD9))</f>
        <v>#VALUE!</v>
      </c>
      <c r="Q6" s="66" t="str">
        <f t="shared" si="0"/>
        <v>4th_UWL</v>
      </c>
      <c r="R6" s="67" t="str">
        <f t="shared" si="0"/>
        <v>#NA</v>
      </c>
      <c r="U6" t="s">
        <v>103</v>
      </c>
      <c r="W6" t="str">
        <f>CONCATENATE("A(",S3,")=")</f>
        <v>A(#NA)=</v>
      </c>
      <c r="X6" t="e">
        <f>IF(OR(AD4&lt;=0,AD5&lt;=0),AD9,AD4)</f>
        <v>#VALUE!</v>
      </c>
      <c r="AE6" s="66" t="str">
        <f t="shared" si="1"/>
        <v>3rd_UWL</v>
      </c>
      <c r="AF6" s="67" t="str">
        <f t="shared" si="1"/>
        <v>#NA</v>
      </c>
      <c r="AJ6" s="89" t="e">
        <f>SUM(AJ3:AJ5)</f>
        <v>#VALUE!</v>
      </c>
      <c r="AL6" s="89" t="e">
        <f>SUM(AL3:AL5)</f>
        <v>#VALUE!</v>
      </c>
      <c r="AM6" s="84" t="str">
        <f>CONCATENATE("m'(",AG5,")=")</f>
        <v>m'(#NA)=</v>
      </c>
      <c r="AN6" s="84" t="e">
        <f>2*(AN3*WLS)/3*AL6</f>
        <v>#VALUE!</v>
      </c>
      <c r="AO6" s="84" t="e">
        <f>CONCATENATE("M(",AG3,")=")</f>
        <v>#VALUE!</v>
      </c>
      <c r="AP6" s="84" t="e">
        <f>IF(AG3=RisePerWLS,0,VLOOKUP(AG3,STN_TABLE,4,FALSE))</f>
        <v>#VALUE!</v>
      </c>
      <c r="AQ6" t="str">
        <f>CONCATENATE("M(",AG5,")=")</f>
        <v>M(#NA)=</v>
      </c>
      <c r="AR6" t="e">
        <f>AN6+AP6</f>
        <v>#VALUE!</v>
      </c>
    </row>
    <row r="7" spans="1:46" x14ac:dyDescent="0.25">
      <c r="A7">
        <v>4</v>
      </c>
      <c r="B7" s="80">
        <f t="shared" si="2"/>
        <v>0.75</v>
      </c>
      <c r="C7" s="81">
        <f t="shared" si="3"/>
        <v>10.5</v>
      </c>
      <c r="D7" s="81">
        <f t="shared" si="4"/>
        <v>29.71833333333333</v>
      </c>
      <c r="E7" s="77">
        <f t="shared" si="5"/>
        <v>22.853749999999998</v>
      </c>
      <c r="G7" t="s">
        <v>104</v>
      </c>
      <c r="H7" t="str">
        <f>VLOOKUP(Station_No,RISE_CALC,6,FALSE)</f>
        <v>#NA</v>
      </c>
      <c r="K7" t="str">
        <f>CONCATENATE("M(",H6,")=")</f>
        <v>M(#NA)=</v>
      </c>
      <c r="L7" t="e">
        <f>IFERROR(P28,IFERROR(X7,AD10))</f>
        <v>#VALUE!</v>
      </c>
      <c r="Q7" s="66"/>
      <c r="R7" s="67"/>
      <c r="W7" t="str">
        <f>CONCATENATE("M(",S3,")=")</f>
        <v>M(#NA)=</v>
      </c>
      <c r="X7" t="e">
        <f>IF(OR(AD4&lt;=0,AD5&lt;=0),AD10,AD5)</f>
        <v>#VALUE!</v>
      </c>
      <c r="Y7" s="6" t="s">
        <v>93</v>
      </c>
      <c r="Z7" s="70" t="e">
        <f>WLS*(U9-U8)</f>
        <v>#VALUE!</v>
      </c>
      <c r="AE7" s="66" t="str">
        <f t="shared" si="1"/>
        <v>4th_UWL</v>
      </c>
      <c r="AF7" s="67" t="str">
        <f t="shared" si="1"/>
        <v>#NA</v>
      </c>
      <c r="AH7" s="81"/>
    </row>
    <row r="8" spans="1:46" x14ac:dyDescent="0.25">
      <c r="A8">
        <v>5</v>
      </c>
      <c r="B8" s="80">
        <f t="shared" si="2"/>
        <v>1</v>
      </c>
      <c r="C8" s="81">
        <f t="shared" si="3"/>
        <v>10.7</v>
      </c>
      <c r="D8" s="81">
        <f t="shared" si="4"/>
        <v>40.346666666666664</v>
      </c>
      <c r="E8" s="77">
        <f t="shared" si="5"/>
        <v>41.44</v>
      </c>
      <c r="G8" t="s">
        <v>105</v>
      </c>
      <c r="H8" t="str">
        <f>VLOOKUP(Station_No,RISE_CALC,7,FALSE)</f>
        <v>#NA</v>
      </c>
      <c r="K8" t="str">
        <f>CONCATENATE("A(",H7,")=")</f>
        <v>A(#NA)=</v>
      </c>
      <c r="L8" t="e">
        <f>IFERROR(AD15,IFERROR(X24,AD27))</f>
        <v>#VALUE!</v>
      </c>
      <c r="Q8" s="80"/>
      <c r="R8" s="81"/>
      <c r="U8" s="79" t="str">
        <f>R3</f>
        <v>#NA</v>
      </c>
      <c r="V8" s="68" t="e">
        <f>VLOOKUP(U8,STN_TABLE,2,FALSE)</f>
        <v>#N/A</v>
      </c>
      <c r="W8" s="68">
        <v>1</v>
      </c>
      <c r="X8" s="69" t="e">
        <f>V8*W8</f>
        <v>#N/A</v>
      </c>
      <c r="Y8" s="78" t="s">
        <v>97</v>
      </c>
      <c r="Z8" s="78"/>
      <c r="AA8" s="78" t="s">
        <v>98</v>
      </c>
      <c r="AB8" s="78"/>
      <c r="AC8" s="7" t="s">
        <v>99</v>
      </c>
      <c r="AD8" s="7"/>
      <c r="AE8" s="66"/>
      <c r="AF8" s="67"/>
      <c r="AG8" s="68" t="e">
        <f>IF(OR(AF12-AF11=AF11-AF10,AF13-AF11=AF11-AF10),AF10,IF(OR(AF12-AF11=AF11-AF9,AF13-AF11=AF11-AF9),AF9,"-"))</f>
        <v>#VALUE!</v>
      </c>
      <c r="AH8" s="69" t="e">
        <f>IFERROR(VLOOKUP(AG8,STN_TABLE,2,FALSE),IF(AF8=RisePerWLS,0,"-"))</f>
        <v>#VALUE!</v>
      </c>
      <c r="AI8" s="69">
        <v>5</v>
      </c>
      <c r="AJ8" s="69" t="e">
        <f>AH8*AI8</f>
        <v>#VALUE!</v>
      </c>
      <c r="AK8" s="69">
        <v>3</v>
      </c>
      <c r="AL8" s="69" t="e">
        <f>AH8*AK8</f>
        <v>#VALUE!</v>
      </c>
      <c r="AM8" s="6" t="s">
        <v>93</v>
      </c>
      <c r="AN8" s="70" t="e">
        <f>IF(AND(AG10-AG9=AG9-AG8,NOT(AND(AG8=0,AG9=0)),NOT(AND(AG9=0,AG10=0))),WLS*(AG10-AG9),"#NA")</f>
        <v>#VALUE!</v>
      </c>
    </row>
    <row r="9" spans="1:46" x14ac:dyDescent="0.25">
      <c r="A9">
        <v>6</v>
      </c>
      <c r="B9" s="80">
        <f t="shared" si="2"/>
        <v>2</v>
      </c>
      <c r="C9" s="81">
        <f t="shared" si="3"/>
        <v>11</v>
      </c>
      <c r="D9" s="81">
        <f t="shared" si="4"/>
        <v>83.846666666666664</v>
      </c>
      <c r="E9" s="77">
        <f t="shared" si="5"/>
        <v>172.14</v>
      </c>
      <c r="G9" t="s">
        <v>106</v>
      </c>
      <c r="H9" t="str">
        <f>VLOOKUP(Station_No,RISE_CALC,8,FALSE)</f>
        <v>#NA</v>
      </c>
      <c r="K9" t="str">
        <f>CONCATENATE("M(",H7,")=")</f>
        <v>M(#NA)=</v>
      </c>
      <c r="L9" t="e">
        <f>IFERROR(AD16,IFERROR(X25,AD28))</f>
        <v>#VALUE!</v>
      </c>
      <c r="Q9" s="80"/>
      <c r="R9" s="81"/>
      <c r="U9" s="88" t="str">
        <f>R4</f>
        <v>#NA</v>
      </c>
      <c r="V9" s="82" t="e">
        <f>VLOOKUP(U9,STN_TABLE,2,FALSE)</f>
        <v>#N/A</v>
      </c>
      <c r="W9" s="82">
        <v>2</v>
      </c>
      <c r="X9" s="83" t="e">
        <f>V9*W9</f>
        <v>#N/A</v>
      </c>
      <c r="Y9" s="84" t="str">
        <f>CONCATENATE("a'(",U9,")=")</f>
        <v>a'(#NA)=</v>
      </c>
      <c r="Z9" s="84" t="e">
        <f>2*Z7/2*V10</f>
        <v>#VALUE!</v>
      </c>
      <c r="AA9" s="84" t="str">
        <f>CONCATENATE("A(",U8,")=")</f>
        <v>A(#NA)=</v>
      </c>
      <c r="AB9" s="84" t="e">
        <f>IF(U8=RisePerWLS,0,VLOOKUP(U8,STN_TABLE,3,FALSE))</f>
        <v>#VALUE!</v>
      </c>
      <c r="AC9" t="str">
        <f>CONCATENATE("A(",U9,")=")</f>
        <v>A(#NA)=</v>
      </c>
      <c r="AD9" t="e">
        <f>Z9+AB9</f>
        <v>#VALUE!</v>
      </c>
      <c r="AE9" s="66" t="str">
        <f t="shared" ref="AE9:AF13" si="6">G6</f>
        <v>2nd_UWL</v>
      </c>
      <c r="AF9" s="67" t="str">
        <f t="shared" si="6"/>
        <v>#NA</v>
      </c>
      <c r="AG9" s="76" t="str">
        <f>AF11</f>
        <v>#NA</v>
      </c>
      <c r="AH9" s="77" t="e">
        <f>VLOOKUP(AG9,STN_TABLE,2,FALSE)</f>
        <v>#N/A</v>
      </c>
      <c r="AI9" s="77">
        <v>8</v>
      </c>
      <c r="AJ9" s="77" t="e">
        <f>AH9*AI9</f>
        <v>#N/A</v>
      </c>
      <c r="AK9" s="77">
        <v>10</v>
      </c>
      <c r="AL9" s="77" t="e">
        <f>AH9*AK9</f>
        <v>#N/A</v>
      </c>
      <c r="AM9" s="78" t="s">
        <v>97</v>
      </c>
      <c r="AN9" s="78"/>
      <c r="AO9" s="78" t="s">
        <v>98</v>
      </c>
      <c r="AP9" s="78"/>
      <c r="AQ9" s="7" t="s">
        <v>99</v>
      </c>
      <c r="AR9" s="7"/>
      <c r="AS9" s="7"/>
      <c r="AT9" s="7"/>
    </row>
    <row r="10" spans="1:46" x14ac:dyDescent="0.25">
      <c r="A10">
        <v>7</v>
      </c>
      <c r="B10" s="80">
        <f t="shared" si="2"/>
        <v>3</v>
      </c>
      <c r="C10" s="81">
        <f t="shared" si="3"/>
        <v>11</v>
      </c>
      <c r="D10" s="81">
        <f t="shared" si="4"/>
        <v>127.94666666666666</v>
      </c>
      <c r="E10" s="77">
        <f t="shared" si="5"/>
        <v>392.63999999999993</v>
      </c>
      <c r="G10" t="s">
        <v>107</v>
      </c>
      <c r="H10" t="str">
        <f>VLOOKUP(Station_No,RISE_CALC,9,FALSE)</f>
        <v>#NA</v>
      </c>
      <c r="K10" t="str">
        <f>CONCATENATE("A(",H8,")=")</f>
        <v>A(#NA)=</v>
      </c>
      <c r="L10" t="e">
        <f>IFERROR(AR5,IFERROR(AL12,AR15))</f>
        <v>#VALUE!</v>
      </c>
      <c r="Q10" s="80"/>
      <c r="R10" s="81"/>
      <c r="V10" s="89" t="e">
        <f>SUM(V8:V9)</f>
        <v>#N/A</v>
      </c>
      <c r="X10" s="89" t="e">
        <f>SUM(X8:X9)</f>
        <v>#N/A</v>
      </c>
      <c r="Y10" s="84" t="str">
        <f>CONCATENATE("m'(",U9,")=")</f>
        <v>m'(#NA)=</v>
      </c>
      <c r="Z10" s="84" t="e">
        <f>(2*(Z7^2)/6*X10)+(Z9*U8*WLS)</f>
        <v>#VALUE!</v>
      </c>
      <c r="AA10" s="84" t="str">
        <f>CONCATENATE("M(",U8,")=")</f>
        <v>M(#NA)=</v>
      </c>
      <c r="AB10" s="84" t="e">
        <f>IF(U8=RisePerWLS,0,VLOOKUP(U8,STN_TABLE,4,FALSE))</f>
        <v>#VALUE!</v>
      </c>
      <c r="AC10" t="str">
        <f>CONCATENATE("M(",U9,")=")</f>
        <v>M(#NA)=</v>
      </c>
      <c r="AD10" t="e">
        <f>Z10+AB10</f>
        <v>#VALUE!</v>
      </c>
      <c r="AE10" s="66" t="str">
        <f t="shared" si="6"/>
        <v>3rd_UWL</v>
      </c>
      <c r="AF10" s="67" t="str">
        <f t="shared" si="6"/>
        <v>#NA</v>
      </c>
      <c r="AG10" s="82" t="e">
        <f>IF(AG8-AG9=AG9-AF12,AF12,IF(AG8-AG9=AG9-AF13,AF13,"-"))</f>
        <v>#VALUE!</v>
      </c>
      <c r="AH10" s="83" t="e">
        <f>VLOOKUP(AG10,STN_TABLE,2,FALSE)</f>
        <v>#VALUE!</v>
      </c>
      <c r="AI10" s="83">
        <v>-1</v>
      </c>
      <c r="AJ10" s="83" t="e">
        <f>AH10*AI10</f>
        <v>#VALUE!</v>
      </c>
      <c r="AK10" s="83">
        <v>-1</v>
      </c>
      <c r="AL10" s="83" t="e">
        <f>AH10*AK10</f>
        <v>#VALUE!</v>
      </c>
      <c r="AM10" s="84" t="str">
        <f>CONCATENATE("a'(",AG9,")=")</f>
        <v>a'(#NA)=</v>
      </c>
      <c r="AN10" s="84" t="e">
        <f>2*AN8/12*AJ11</f>
        <v>#VALUE!</v>
      </c>
      <c r="AO10" s="84" t="e">
        <f>CONCATENATE("A(",AG8,")=")</f>
        <v>#VALUE!</v>
      </c>
      <c r="AP10" s="84" t="e">
        <f>VLOOKUP(AG8,STN_TABLE,3,FALSE)</f>
        <v>#VALUE!</v>
      </c>
      <c r="AQ10" t="str">
        <f>CONCATENATE("A(",AG9,")=")</f>
        <v>A(#NA)=</v>
      </c>
      <c r="AR10" t="e">
        <f>AN10+AP10</f>
        <v>#VALUE!</v>
      </c>
    </row>
    <row r="11" spans="1:46" x14ac:dyDescent="0.25">
      <c r="A11">
        <v>8</v>
      </c>
      <c r="B11" s="80">
        <f t="shared" si="2"/>
        <v>4</v>
      </c>
      <c r="C11" s="81">
        <f t="shared" si="3"/>
        <v>11</v>
      </c>
      <c r="D11" s="81">
        <f t="shared" si="4"/>
        <v>171.84666666666666</v>
      </c>
      <c r="E11" s="77">
        <f t="shared" si="5"/>
        <v>700.14</v>
      </c>
      <c r="G11" t="s">
        <v>108</v>
      </c>
      <c r="H11" t="str">
        <f>VLOOKUP(Station_No,RISE_CALC,10,FALSE)</f>
        <v>#NA</v>
      </c>
      <c r="K11" t="str">
        <f>CONCATENATE("M(",H8,")=")</f>
        <v>M(#NA)=</v>
      </c>
      <c r="L11" t="e">
        <f>IFERROR(AR6,IFERROR(AL13,AR16))</f>
        <v>#VALUE!</v>
      </c>
      <c r="Q11" s="80"/>
      <c r="R11" s="81"/>
      <c r="AE11" s="66" t="str">
        <f t="shared" si="6"/>
        <v>4th_UWL</v>
      </c>
      <c r="AF11" s="67" t="str">
        <f t="shared" si="6"/>
        <v>#NA</v>
      </c>
      <c r="AJ11" s="89" t="e">
        <f>SUM(AJ8:AJ10)</f>
        <v>#VALUE!</v>
      </c>
      <c r="AL11" s="89" t="e">
        <f>SUM(AL8:AL10)</f>
        <v>#VALUE!</v>
      </c>
      <c r="AM11" s="84" t="str">
        <f>CONCATENATE("m'(",AG9,")=")</f>
        <v>m'(#NA)=</v>
      </c>
      <c r="AN11" s="84" t="e">
        <f>(2*(AN8^2)/24*AL11)+(AN10*AG8*WLS)</f>
        <v>#VALUE!</v>
      </c>
      <c r="AO11" s="84" t="e">
        <f>CONCATENATE("M(",AG8,")=")</f>
        <v>#VALUE!</v>
      </c>
      <c r="AP11" s="84" t="e">
        <f>VLOOKUP(AG8,STN_TABLE,4,FALSE)</f>
        <v>#VALUE!</v>
      </c>
      <c r="AQ11" t="str">
        <f>CONCATENATE("M(",AG9,")=")</f>
        <v>M(#NA)=</v>
      </c>
      <c r="AR11" t="e">
        <f>AN11+AP11</f>
        <v>#VALUE!</v>
      </c>
    </row>
    <row r="12" spans="1:46" x14ac:dyDescent="0.25">
      <c r="A12">
        <v>9</v>
      </c>
      <c r="B12" s="80">
        <f t="shared" si="2"/>
        <v>4.8499999999999996</v>
      </c>
      <c r="C12" s="81">
        <f t="shared" si="3"/>
        <v>11</v>
      </c>
      <c r="D12" s="81">
        <f t="shared" si="4"/>
        <v>209.24666666666664</v>
      </c>
      <c r="E12" s="77">
        <f t="shared" si="5"/>
        <v>1031.1299999999999</v>
      </c>
      <c r="Q12" s="90" t="s">
        <v>109</v>
      </c>
      <c r="R12" s="81"/>
      <c r="AE12" s="66" t="str">
        <f t="shared" si="6"/>
        <v>5th_UWL</v>
      </c>
      <c r="AF12" s="67" t="str">
        <f t="shared" si="6"/>
        <v>#NA</v>
      </c>
      <c r="AI12" t="s">
        <v>103</v>
      </c>
      <c r="AK12" t="str">
        <f>CONCATENATE("A(",AG9,")=")</f>
        <v>A(#NA)=</v>
      </c>
      <c r="AL12" t="e">
        <f>IF(OR(AR10&lt;=0,AR11&lt;=0),AR15,AR10)</f>
        <v>#VALUE!</v>
      </c>
    </row>
    <row r="13" spans="1:46" x14ac:dyDescent="0.25">
      <c r="A13">
        <v>10</v>
      </c>
      <c r="B13" s="80">
        <f t="shared" si="2"/>
        <v>5</v>
      </c>
      <c r="C13" s="81">
        <f t="shared" si="3"/>
        <v>11</v>
      </c>
      <c r="D13" s="81">
        <f t="shared" si="4"/>
        <v>215.94666666666666</v>
      </c>
      <c r="E13" s="77">
        <f t="shared" si="5"/>
        <v>1096.6399999999999</v>
      </c>
      <c r="G13" s="71" t="s">
        <v>110</v>
      </c>
      <c r="Q13" s="66" t="str">
        <f t="shared" ref="Q13:R16" si="7">G4</f>
        <v>Rise</v>
      </c>
      <c r="R13" s="67" t="e">
        <f t="shared" si="7"/>
        <v>#VALUE!</v>
      </c>
      <c r="S13" s="68" t="e">
        <f>IF(R16-R15=R15-R14,R14,IF(R16-R14=R14-R13,R13,"-"))</f>
        <v>#VALUE!</v>
      </c>
      <c r="T13" s="69" t="e">
        <f>IFERROR(VLOOKUP(S13,STN_TABLE,2,FALSE),IF(R13=RisePerWLS,0,"-"))</f>
        <v>#VALUE!</v>
      </c>
      <c r="U13" s="69">
        <v>1</v>
      </c>
      <c r="V13" s="69" t="e">
        <f>T13*U13</f>
        <v>#VALUE!</v>
      </c>
      <c r="W13" s="69" t="e">
        <f>S13</f>
        <v>#VALUE!</v>
      </c>
      <c r="X13" s="69" t="e">
        <f>V13*W13</f>
        <v>#VALUE!</v>
      </c>
      <c r="Y13" s="6" t="s">
        <v>93</v>
      </c>
      <c r="Z13" s="70" t="e">
        <f>IF(AND(T13=0,T14=0,T15=0),WLS*(S15-S14),IF(AND(S15-S14=S14-S13,S14&lt;&gt;S15,S13&lt;&gt;S14,S13&lt;&gt;S15,T15&lt;&gt;0,OR(T13&lt;&gt;0,T14&lt;&gt;0)),WLS*(S15-S14),"#NA"))</f>
        <v>#VALUE!</v>
      </c>
      <c r="AE13" s="66" t="str">
        <f t="shared" si="6"/>
        <v>6th_UWL</v>
      </c>
      <c r="AF13" s="67" t="str">
        <f t="shared" si="6"/>
        <v>#NA</v>
      </c>
      <c r="AK13" t="str">
        <f>CONCATENATE("M(",AG9,")=")</f>
        <v>M(#NA)=</v>
      </c>
      <c r="AL13" t="e">
        <f>IF(OR(AR10&lt;=0,AR11&lt;=0),AR16,AR11)</f>
        <v>#VALUE!</v>
      </c>
      <c r="AM13" s="6" t="s">
        <v>93</v>
      </c>
      <c r="AN13" s="70" t="e">
        <f>WLS*(AI15-AI14)</f>
        <v>#VALUE!</v>
      </c>
    </row>
    <row r="14" spans="1:46" x14ac:dyDescent="0.25">
      <c r="A14">
        <v>11</v>
      </c>
      <c r="B14" s="80">
        <f t="shared" si="2"/>
        <v>6</v>
      </c>
      <c r="C14" s="81">
        <f t="shared" si="3"/>
        <v>11</v>
      </c>
      <c r="D14" s="81">
        <f t="shared" si="4"/>
        <v>259.84666666666669</v>
      </c>
      <c r="E14" s="77">
        <f t="shared" si="5"/>
        <v>1580.1399999999999</v>
      </c>
      <c r="G14" s="91" t="str">
        <f>G4</f>
        <v>Rise</v>
      </c>
      <c r="H14" s="91" t="e">
        <f>RisePerWLS</f>
        <v>#VALUE!</v>
      </c>
      <c r="I14" s="68" t="e">
        <f>H14</f>
        <v>#VALUE!</v>
      </c>
      <c r="J14" s="69">
        <v>0</v>
      </c>
      <c r="K14" s="69">
        <v>5</v>
      </c>
      <c r="L14" s="69">
        <f>J14*K14</f>
        <v>0</v>
      </c>
      <c r="M14" s="69">
        <v>3</v>
      </c>
      <c r="N14" s="69">
        <f>J14*M14</f>
        <v>0</v>
      </c>
      <c r="O14" t="s">
        <v>93</v>
      </c>
      <c r="P14" t="e">
        <f>IF(AND(NOT(AND(J14=0,J15=0)),I14&lt;&gt;I15,I15&lt;&gt;I16,I16-I15=I15-I14),(I16-I15)*WLS,"#NA")</f>
        <v>#N/A</v>
      </c>
      <c r="Q14" s="66" t="str">
        <f t="shared" si="7"/>
        <v>1st_UWL</v>
      </c>
      <c r="R14" s="67" t="str">
        <f t="shared" si="7"/>
        <v>#NA</v>
      </c>
      <c r="S14" s="76" t="e">
        <f>IF(R16-R15=R15-R14,R15,IF(R16-R14=R14-R13,R14,"-"))</f>
        <v>#VALUE!</v>
      </c>
      <c r="T14" s="77" t="e">
        <f>VLOOKUP(S14,STN_TABLE,2,FALSE)</f>
        <v>#VALUE!</v>
      </c>
      <c r="U14" s="77">
        <v>4</v>
      </c>
      <c r="V14" s="77" t="e">
        <f>T14*U14</f>
        <v>#VALUE!</v>
      </c>
      <c r="W14" s="77" t="e">
        <f>S14</f>
        <v>#VALUE!</v>
      </c>
      <c r="X14" s="77" t="e">
        <f>V14*W14</f>
        <v>#VALUE!</v>
      </c>
      <c r="Y14" s="78" t="s">
        <v>97</v>
      </c>
      <c r="Z14" s="78"/>
      <c r="AA14" s="78" t="s">
        <v>98</v>
      </c>
      <c r="AB14" s="78"/>
      <c r="AC14" s="7" t="s">
        <v>99</v>
      </c>
      <c r="AD14" s="7"/>
      <c r="AE14" s="66"/>
      <c r="AF14" s="67"/>
      <c r="AI14" s="79" t="str">
        <f>AF10</f>
        <v>#NA</v>
      </c>
      <c r="AJ14" s="68" t="e">
        <f>VLOOKUP(AI14,STN_TABLE,2,FALSE)</f>
        <v>#N/A</v>
      </c>
      <c r="AK14" s="68">
        <v>1</v>
      </c>
      <c r="AL14" s="69" t="e">
        <f>AJ14*AK14</f>
        <v>#N/A</v>
      </c>
      <c r="AM14" s="78" t="s">
        <v>97</v>
      </c>
      <c r="AN14" s="78"/>
      <c r="AO14" s="78" t="s">
        <v>98</v>
      </c>
      <c r="AP14" s="78"/>
      <c r="AQ14" s="7" t="s">
        <v>99</v>
      </c>
      <c r="AR14" s="7"/>
      <c r="AS14" s="7"/>
      <c r="AT14" s="7"/>
    </row>
    <row r="15" spans="1:46" x14ac:dyDescent="0.25">
      <c r="A15">
        <v>12</v>
      </c>
      <c r="B15" s="80">
        <f t="shared" si="2"/>
        <v>6.5</v>
      </c>
      <c r="C15" s="81">
        <f t="shared" si="3"/>
        <v>11</v>
      </c>
      <c r="D15" s="81">
        <f t="shared" si="4"/>
        <v>281.84666666666669</v>
      </c>
      <c r="E15" s="77">
        <f t="shared" si="5"/>
        <v>1855.1399999999999</v>
      </c>
      <c r="G15" s="91" t="str">
        <f>G5</f>
        <v>1st_UWL</v>
      </c>
      <c r="H15" s="91" t="str">
        <f>H5</f>
        <v>#NA</v>
      </c>
      <c r="I15" s="76" t="str">
        <f>H15</f>
        <v>#NA</v>
      </c>
      <c r="J15" s="77" t="e">
        <f>VLOOKUP(I15,STN_TABLE,2,FALSE)</f>
        <v>#N/A</v>
      </c>
      <c r="K15" s="77">
        <v>8</v>
      </c>
      <c r="L15" s="77" t="e">
        <f>J15*K15</f>
        <v>#N/A</v>
      </c>
      <c r="M15" s="77">
        <v>10</v>
      </c>
      <c r="N15" s="77" t="e">
        <f>J15*M15</f>
        <v>#N/A</v>
      </c>
      <c r="O15" t="str">
        <f>CONCATENATE("A(",I15,")=")</f>
        <v>A(#NA)=</v>
      </c>
      <c r="P15" t="e">
        <f>2*P14/12*L17</f>
        <v>#N/A</v>
      </c>
      <c r="Q15" s="66" t="str">
        <f t="shared" si="7"/>
        <v>2nd_UWL</v>
      </c>
      <c r="R15" s="67" t="str">
        <f t="shared" si="7"/>
        <v>#NA</v>
      </c>
      <c r="S15" s="82" t="str">
        <f>R16</f>
        <v>#NA</v>
      </c>
      <c r="T15" s="83" t="e">
        <f>VLOOKUP(S15,STN_TABLE,2,FALSE)</f>
        <v>#N/A</v>
      </c>
      <c r="U15" s="83">
        <v>1</v>
      </c>
      <c r="V15" s="83" t="e">
        <f>T15*U15</f>
        <v>#N/A</v>
      </c>
      <c r="W15" s="83" t="str">
        <f>S15</f>
        <v>#NA</v>
      </c>
      <c r="X15" s="83" t="e">
        <f>V15*W15</f>
        <v>#N/A</v>
      </c>
      <c r="Y15" s="84" t="str">
        <f>CONCATENATE("a'(",S15,")=")</f>
        <v>a'(#NA)=</v>
      </c>
      <c r="Z15" s="84" t="e">
        <f>2*Z13/3*V16</f>
        <v>#VALUE!</v>
      </c>
      <c r="AA15" s="84" t="e">
        <f>CONCATENATE("A(",S13,")=")</f>
        <v>#VALUE!</v>
      </c>
      <c r="AB15" s="84" t="e">
        <f>IF(S13=RisePerWLS,0,VLOOKUP(S13,STN_TABLE,3,FALSE))</f>
        <v>#VALUE!</v>
      </c>
      <c r="AC15" t="str">
        <f>CONCATENATE("A(",S15,")=")</f>
        <v>A(#NA)=</v>
      </c>
      <c r="AD15" t="e">
        <f>Z15+AB15</f>
        <v>#VALUE!</v>
      </c>
      <c r="AE15" s="80"/>
      <c r="AI15" s="88" t="str">
        <f>AF11</f>
        <v>#NA</v>
      </c>
      <c r="AJ15" s="82" t="e">
        <f>VLOOKUP(AI15,STN_TABLE,2,FALSE)</f>
        <v>#N/A</v>
      </c>
      <c r="AK15" s="82">
        <v>2</v>
      </c>
      <c r="AL15" s="83" t="e">
        <f>AJ15*AK15</f>
        <v>#N/A</v>
      </c>
      <c r="AM15" s="84" t="str">
        <f>CONCATENATE("a'(",AI15,")=")</f>
        <v>a'(#NA)=</v>
      </c>
      <c r="AN15" s="84" t="e">
        <f>2*AN13/2*AJ16</f>
        <v>#VALUE!</v>
      </c>
      <c r="AO15" s="84" t="str">
        <f>CONCATENATE("A(",AI14,")=")</f>
        <v>A(#NA)=</v>
      </c>
      <c r="AP15" s="84" t="e">
        <f>IF(AI14=RisePerWLS,0,VLOOKUP(AI14,STN_TABLE,3,FALSE))</f>
        <v>#VALUE!</v>
      </c>
      <c r="AQ15" t="str">
        <f>CONCATENATE("A(",AI15,")=")</f>
        <v>A(#NA)=</v>
      </c>
      <c r="AR15" t="e">
        <f>AN15+AP15</f>
        <v>#VALUE!</v>
      </c>
    </row>
    <row r="16" spans="1:46" x14ac:dyDescent="0.25">
      <c r="A16">
        <v>13</v>
      </c>
      <c r="B16" s="80" t="str">
        <f t="shared" si="2"/>
        <v xml:space="preserve">  </v>
      </c>
      <c r="C16" s="81" t="str">
        <f t="shared" si="3"/>
        <v xml:space="preserve">  </v>
      </c>
      <c r="D16" s="81" t="str">
        <f t="shared" si="4"/>
        <v xml:space="preserve"> </v>
      </c>
      <c r="E16" s="77" t="str">
        <f t="shared" si="5"/>
        <v xml:space="preserve"> </v>
      </c>
      <c r="G16" s="91" t="str">
        <f>G6</f>
        <v>2nd_UWL</v>
      </c>
      <c r="H16" s="91" t="str">
        <f>H6</f>
        <v>#NA</v>
      </c>
      <c r="I16" s="82" t="e">
        <f>IF(H16-H15=H15-H14,H16,"#NA")</f>
        <v>#VALUE!</v>
      </c>
      <c r="J16" s="83" t="e">
        <f>VLOOKUP(I16,STN_TABLE,2,FALSE)</f>
        <v>#VALUE!</v>
      </c>
      <c r="K16" s="83">
        <v>-1</v>
      </c>
      <c r="L16" s="83" t="e">
        <f>J16*K16</f>
        <v>#VALUE!</v>
      </c>
      <c r="M16" s="83">
        <v>-1</v>
      </c>
      <c r="N16" s="83" t="e">
        <f>J16*M16</f>
        <v>#VALUE!</v>
      </c>
      <c r="O16" t="str">
        <f>CONCATENATE("M(",I15,")=")</f>
        <v>M(#NA)=</v>
      </c>
      <c r="P16" t="e">
        <f>(2*(P14^2)/24*N17)+P15*I14*WLS</f>
        <v>#N/A</v>
      </c>
      <c r="Q16" s="66" t="str">
        <f t="shared" si="7"/>
        <v>3rd_UWL</v>
      </c>
      <c r="R16" s="67" t="str">
        <f t="shared" si="7"/>
        <v>#NA</v>
      </c>
      <c r="V16" s="89" t="e">
        <f>SUM(V13:V15)</f>
        <v>#VALUE!</v>
      </c>
      <c r="X16" s="89" t="e">
        <f>SUM(X13:X15)</f>
        <v>#VALUE!</v>
      </c>
      <c r="Y16" s="84" t="str">
        <f>CONCATENATE("m'(",S15,")=")</f>
        <v>m'(#NA)=</v>
      </c>
      <c r="Z16" s="84" t="e">
        <f>2*(Z13*WLS)/3*X16</f>
        <v>#VALUE!</v>
      </c>
      <c r="AA16" s="84" t="e">
        <f>CONCATENATE("M(",S13,")=")</f>
        <v>#VALUE!</v>
      </c>
      <c r="AB16" s="84" t="e">
        <f>IF(S13=RisePerWLS,0,VLOOKUP(S13,STN_TABLE,4,FALSE))</f>
        <v>#VALUE!</v>
      </c>
      <c r="AC16" t="str">
        <f>CONCATENATE("M(",S15,")=")</f>
        <v>M(#NA)=</v>
      </c>
      <c r="AD16" t="e">
        <f>Z16+AB16</f>
        <v>#VALUE!</v>
      </c>
      <c r="AE16" s="80"/>
      <c r="AJ16" s="89" t="e">
        <f>SUM(AJ14:AJ15)</f>
        <v>#N/A</v>
      </c>
      <c r="AL16" s="89" t="e">
        <f>SUM(AL14:AL15)</f>
        <v>#N/A</v>
      </c>
      <c r="AM16" s="84" t="str">
        <f>CONCATENATE("m'(",AI15,")=")</f>
        <v>m'(#NA)=</v>
      </c>
      <c r="AN16" s="84" t="e">
        <f>(2*(AN13^2)/6*AL16)+(AN15*AI14*WLS)</f>
        <v>#VALUE!</v>
      </c>
      <c r="AO16" s="84" t="str">
        <f>CONCATENATE("M(",AI14,")=")</f>
        <v>M(#NA)=</v>
      </c>
      <c r="AP16" s="84" t="e">
        <f>IF(AI14=RisePerWLS,0,VLOOKUP(AI14,STN_TABLE,4,FALSE))</f>
        <v>#VALUE!</v>
      </c>
      <c r="AQ16" t="str">
        <f>CONCATENATE("M(",AI15,")=")</f>
        <v>M(#NA)=</v>
      </c>
      <c r="AR16" t="e">
        <f>AN16+AP16</f>
        <v>#VALUE!</v>
      </c>
    </row>
    <row r="17" spans="1:35" x14ac:dyDescent="0.25">
      <c r="A17">
        <v>14</v>
      </c>
      <c r="B17" s="80" t="str">
        <f t="shared" si="2"/>
        <v xml:space="preserve">  </v>
      </c>
      <c r="C17" s="81" t="str">
        <f t="shared" si="3"/>
        <v xml:space="preserve">  </v>
      </c>
      <c r="D17" s="81" t="str">
        <f t="shared" si="4"/>
        <v xml:space="preserve"> </v>
      </c>
      <c r="E17" s="77" t="str">
        <f t="shared" si="5"/>
        <v xml:space="preserve"> </v>
      </c>
      <c r="G17" s="91"/>
      <c r="H17" s="91"/>
      <c r="L17" s="89" t="e">
        <f>SUM(L14:L16)</f>
        <v>#N/A</v>
      </c>
      <c r="N17" s="89" t="e">
        <f>SUM(N14:N16)</f>
        <v>#N/A</v>
      </c>
      <c r="Q17" s="66"/>
      <c r="R17" s="67"/>
      <c r="AE17" s="90"/>
    </row>
    <row r="18" spans="1:35" x14ac:dyDescent="0.25">
      <c r="A18">
        <v>15</v>
      </c>
      <c r="B18" s="80" t="str">
        <f t="shared" si="2"/>
        <v xml:space="preserve">  </v>
      </c>
      <c r="C18" s="81" t="str">
        <f t="shared" si="3"/>
        <v xml:space="preserve">  </v>
      </c>
      <c r="D18" s="81" t="str">
        <f t="shared" si="4"/>
        <v xml:space="preserve"> </v>
      </c>
      <c r="E18" s="77" t="str">
        <f t="shared" si="5"/>
        <v xml:space="preserve"> </v>
      </c>
      <c r="G18" s="91"/>
      <c r="H18" s="91"/>
      <c r="K18" t="s">
        <v>103</v>
      </c>
      <c r="M18" t="str">
        <f>CONCATENATE("A(",I15,")=")</f>
        <v>A(#NA)=</v>
      </c>
      <c r="N18" t="e">
        <f>IF(OR(P15&lt;=0,P16&lt;=0),N22,P15)</f>
        <v>#N/A</v>
      </c>
      <c r="Q18" s="66"/>
      <c r="R18" s="67"/>
      <c r="AE18" s="80"/>
    </row>
    <row r="19" spans="1:35" x14ac:dyDescent="0.25">
      <c r="A19">
        <v>16</v>
      </c>
      <c r="B19" s="80" t="str">
        <f t="shared" si="2"/>
        <v xml:space="preserve">  </v>
      </c>
      <c r="C19" s="81" t="str">
        <f t="shared" si="3"/>
        <v xml:space="preserve">  </v>
      </c>
      <c r="D19" s="81" t="str">
        <f t="shared" si="4"/>
        <v xml:space="preserve"> </v>
      </c>
      <c r="E19" s="77" t="str">
        <f t="shared" si="5"/>
        <v xml:space="preserve"> </v>
      </c>
      <c r="G19" s="91"/>
      <c r="H19" s="91"/>
      <c r="M19" t="str">
        <f>CONCATENATE("M(",I15,")=")</f>
        <v>M(#NA)=</v>
      </c>
      <c r="N19" t="e">
        <f>IF(OR(P15&lt;=0,P16&lt;=0),N23,P16)</f>
        <v>#N/A</v>
      </c>
      <c r="Q19" s="66"/>
      <c r="R19" s="67"/>
      <c r="AE19" s="80"/>
    </row>
    <row r="20" spans="1:35" x14ac:dyDescent="0.25">
      <c r="A20">
        <v>17</v>
      </c>
      <c r="B20" s="80" t="str">
        <f t="shared" si="2"/>
        <v xml:space="preserve">  </v>
      </c>
      <c r="C20" s="81" t="str">
        <f t="shared" si="3"/>
        <v xml:space="preserve">  </v>
      </c>
      <c r="D20" s="81" t="str">
        <f t="shared" si="4"/>
        <v xml:space="preserve"> </v>
      </c>
      <c r="E20" s="77" t="str">
        <f t="shared" si="5"/>
        <v xml:space="preserve"> </v>
      </c>
      <c r="G20" s="91"/>
      <c r="H20" s="91"/>
      <c r="Q20" s="66"/>
      <c r="R20" s="67"/>
      <c r="S20" s="68" t="e">
        <f>IF(OR(R24-R23=R23-R22,R25-R23=R23-R22),R22,IF(OR(R24-R23=R23-R21,R25-R23=R23-R21),R21,"-"))</f>
        <v>#VALUE!</v>
      </c>
      <c r="T20" s="69" t="e">
        <f>IFERROR(VLOOKUP(S20,STN_TABLE,2,FALSE),IF(R20=RisePerWLS,0,"-"))</f>
        <v>#VALUE!</v>
      </c>
      <c r="U20" s="69">
        <v>5</v>
      </c>
      <c r="V20" s="69" t="e">
        <f>T20*U20</f>
        <v>#VALUE!</v>
      </c>
      <c r="W20" s="69">
        <v>3</v>
      </c>
      <c r="X20" s="69" t="e">
        <f>T20*W20</f>
        <v>#VALUE!</v>
      </c>
      <c r="Y20" s="6" t="s">
        <v>93</v>
      </c>
      <c r="Z20" s="70" t="e">
        <f>IF(AND(S22-S21=S21-S20,NOT(AND(S20=0,S21=0)),NOT(AND(S21=0,S22=0))),WLS*(S22-S21),"#NA")</f>
        <v>#VALUE!</v>
      </c>
      <c r="AE20" s="80"/>
    </row>
    <row r="21" spans="1:35" x14ac:dyDescent="0.25">
      <c r="A21">
        <v>18</v>
      </c>
      <c r="B21" s="80" t="str">
        <f t="shared" si="2"/>
        <v xml:space="preserve">  </v>
      </c>
      <c r="C21" s="81" t="str">
        <f t="shared" si="3"/>
        <v xml:space="preserve">  </v>
      </c>
      <c r="D21" s="81" t="str">
        <f t="shared" si="4"/>
        <v xml:space="preserve"> </v>
      </c>
      <c r="E21" s="77" t="str">
        <f t="shared" si="5"/>
        <v xml:space="preserve"> </v>
      </c>
      <c r="G21" s="91"/>
      <c r="H21" s="91" t="str">
        <f>G14</f>
        <v>Rise</v>
      </c>
      <c r="I21" s="79" t="e">
        <f>H14</f>
        <v>#VALUE!</v>
      </c>
      <c r="J21" s="68">
        <v>0</v>
      </c>
      <c r="K21" s="68">
        <v>1</v>
      </c>
      <c r="L21" s="69">
        <f>J21*K21</f>
        <v>0</v>
      </c>
      <c r="M21" t="s">
        <v>93</v>
      </c>
      <c r="N21" t="e">
        <f>(I22-I21)*WLS</f>
        <v>#VALUE!</v>
      </c>
      <c r="Q21" s="66" t="str">
        <f t="shared" ref="Q21:R25" si="8">G5</f>
        <v>1st_UWL</v>
      </c>
      <c r="R21" s="67" t="str">
        <f t="shared" si="8"/>
        <v>#NA</v>
      </c>
      <c r="S21" s="76" t="str">
        <f>R23</f>
        <v>#NA</v>
      </c>
      <c r="T21" s="77" t="e">
        <f>VLOOKUP(S21,STN_TABLE,2,FALSE)</f>
        <v>#N/A</v>
      </c>
      <c r="U21" s="77">
        <v>8</v>
      </c>
      <c r="V21" s="77" t="e">
        <f>T21*U21</f>
        <v>#N/A</v>
      </c>
      <c r="W21" s="77">
        <v>10</v>
      </c>
      <c r="X21" s="77" t="e">
        <f>T21*W21</f>
        <v>#N/A</v>
      </c>
      <c r="Y21" s="78" t="s">
        <v>97</v>
      </c>
      <c r="Z21" s="78"/>
      <c r="AA21" s="78" t="s">
        <v>98</v>
      </c>
      <c r="AB21" s="78"/>
      <c r="AC21" s="7" t="s">
        <v>99</v>
      </c>
      <c r="AD21" s="7"/>
      <c r="AE21" s="80"/>
    </row>
    <row r="22" spans="1:35" x14ac:dyDescent="0.25">
      <c r="A22">
        <v>19</v>
      </c>
      <c r="B22" s="80" t="str">
        <f t="shared" si="2"/>
        <v xml:space="preserve">  </v>
      </c>
      <c r="C22" s="81" t="str">
        <f t="shared" si="3"/>
        <v xml:space="preserve">  </v>
      </c>
      <c r="D22" s="81" t="str">
        <f t="shared" si="4"/>
        <v xml:space="preserve"> </v>
      </c>
      <c r="E22" s="77" t="str">
        <f t="shared" si="5"/>
        <v xml:space="preserve"> </v>
      </c>
      <c r="G22" s="91"/>
      <c r="H22" s="91" t="str">
        <f>G15</f>
        <v>1st_UWL</v>
      </c>
      <c r="I22" s="88" t="str">
        <f>H15</f>
        <v>#NA</v>
      </c>
      <c r="J22" s="82" t="e">
        <f>VLOOKUP(I22,STN_TABLE,2,FALSE)</f>
        <v>#N/A</v>
      </c>
      <c r="K22" s="82">
        <v>2</v>
      </c>
      <c r="L22" s="83" t="e">
        <f>J22*K22</f>
        <v>#N/A</v>
      </c>
      <c r="M22" t="str">
        <f>CONCATENATE("A(",I22,")=")</f>
        <v>A(#NA)=</v>
      </c>
      <c r="N22" t="e">
        <f>2*N21/2*J23</f>
        <v>#VALUE!</v>
      </c>
      <c r="Q22" s="66" t="str">
        <f t="shared" si="8"/>
        <v>2nd_UWL</v>
      </c>
      <c r="R22" s="67" t="str">
        <f t="shared" si="8"/>
        <v>#NA</v>
      </c>
      <c r="S22" s="82" t="e">
        <f>IF(S20-S21=S21-R24,R24,IF(S20-S21=S21-R25,R25,"-"))</f>
        <v>#VALUE!</v>
      </c>
      <c r="T22" s="83" t="e">
        <f>VLOOKUP(S22,STN_TABLE,2,FALSE)</f>
        <v>#VALUE!</v>
      </c>
      <c r="U22" s="83">
        <v>-1</v>
      </c>
      <c r="V22" s="83" t="e">
        <f>T22*U22</f>
        <v>#VALUE!</v>
      </c>
      <c r="W22" s="83">
        <v>-1</v>
      </c>
      <c r="X22" s="83" t="e">
        <f>T22*W22</f>
        <v>#VALUE!</v>
      </c>
      <c r="Y22" s="84" t="str">
        <f>CONCATENATE("a'(",S21,")=")</f>
        <v>a'(#NA)=</v>
      </c>
      <c r="Z22" s="84" t="e">
        <f>2*Z20/12*V23</f>
        <v>#VALUE!</v>
      </c>
      <c r="AA22" s="84" t="e">
        <f>CONCATENATE("A(",S20,")=")</f>
        <v>#VALUE!</v>
      </c>
      <c r="AB22" s="84" t="e">
        <f>IF(S20=RisePerWLS,0,VLOOKUP(S20,STN_TABLE,3,FALSE))</f>
        <v>#VALUE!</v>
      </c>
      <c r="AC22" t="str">
        <f>CONCATENATE("A(",S21,")=")</f>
        <v>A(#NA)=</v>
      </c>
      <c r="AD22" t="e">
        <f>Z22+AB22</f>
        <v>#VALUE!</v>
      </c>
      <c r="AE22" s="80"/>
    </row>
    <row r="23" spans="1:35" x14ac:dyDescent="0.25">
      <c r="A23">
        <v>20</v>
      </c>
      <c r="B23" s="80" t="str">
        <f t="shared" si="2"/>
        <v xml:space="preserve">  </v>
      </c>
      <c r="C23" s="81" t="str">
        <f t="shared" si="3"/>
        <v xml:space="preserve">  </v>
      </c>
      <c r="D23" s="81" t="str">
        <f t="shared" si="4"/>
        <v xml:space="preserve"> </v>
      </c>
      <c r="E23" s="77" t="str">
        <f t="shared" si="5"/>
        <v xml:space="preserve"> </v>
      </c>
      <c r="J23" s="89" t="e">
        <f>SUM(J21:J22)</f>
        <v>#N/A</v>
      </c>
      <c r="L23" s="89" t="e">
        <f>SUM(L21:L22)</f>
        <v>#N/A</v>
      </c>
      <c r="M23" t="str">
        <f>CONCATENATE("M(",I22,")=")</f>
        <v>M(#NA)=</v>
      </c>
      <c r="N23" t="e">
        <f>(2*(N21^2)/6*L23)+N22*I21*WLS</f>
        <v>#VALUE!</v>
      </c>
      <c r="Q23" s="66" t="str">
        <f t="shared" si="8"/>
        <v>3rd_UWL</v>
      </c>
      <c r="R23" s="67" t="str">
        <f t="shared" si="8"/>
        <v>#NA</v>
      </c>
      <c r="V23" s="89" t="e">
        <f>SUM(V20:V22)</f>
        <v>#VALUE!</v>
      </c>
      <c r="X23" s="89" t="e">
        <f>SUM(X20:X22)</f>
        <v>#VALUE!</v>
      </c>
      <c r="Y23" s="84" t="str">
        <f>CONCATENATE("m'(",S21,")=")</f>
        <v>m'(#NA)=</v>
      </c>
      <c r="Z23" s="84" t="e">
        <f>(2*(Z20^2)/24*X23)+(Z22*S20*WLS)</f>
        <v>#VALUE!</v>
      </c>
      <c r="AA23" s="84" t="e">
        <f>CONCATENATE("M(",S20,")=")</f>
        <v>#VALUE!</v>
      </c>
      <c r="AB23" s="84" t="e">
        <f>IF(S20=RisePerWLS,0,VLOOKUP(S20,STN_TABLE,4,FALSE))</f>
        <v>#VALUE!</v>
      </c>
      <c r="AC23" t="str">
        <f>CONCATENATE("M(",S21,")=")</f>
        <v>M(#NA)=</v>
      </c>
      <c r="AD23" t="e">
        <f>Z23+AB23</f>
        <v>#VALUE!</v>
      </c>
      <c r="AE23" s="80"/>
    </row>
    <row r="24" spans="1:35" x14ac:dyDescent="0.25">
      <c r="A24">
        <v>21</v>
      </c>
      <c r="B24" s="80" t="str">
        <f t="shared" si="2"/>
        <v xml:space="preserve">  </v>
      </c>
      <c r="C24" s="81" t="str">
        <f t="shared" si="3"/>
        <v xml:space="preserve">  </v>
      </c>
      <c r="D24" s="81" t="str">
        <f t="shared" si="4"/>
        <v xml:space="preserve"> </v>
      </c>
      <c r="E24" s="77" t="str">
        <f t="shared" si="5"/>
        <v xml:space="preserve"> </v>
      </c>
      <c r="Q24" s="66" t="str">
        <f t="shared" si="8"/>
        <v>4th_UWL</v>
      </c>
      <c r="R24" s="67" t="str">
        <f t="shared" si="8"/>
        <v>#NA</v>
      </c>
      <c r="U24" t="s">
        <v>103</v>
      </c>
      <c r="W24" t="str">
        <f>CONCATENATE("A(",S21,")=")</f>
        <v>A(#NA)=</v>
      </c>
      <c r="X24" t="e">
        <f>IF(OR(AD22&lt;=0,AD23&lt;=0),AD27,AD22)</f>
        <v>#VALUE!</v>
      </c>
      <c r="AE24" s="80"/>
    </row>
    <row r="25" spans="1:35" x14ac:dyDescent="0.25">
      <c r="A25">
        <v>22</v>
      </c>
      <c r="B25" s="80" t="str">
        <f t="shared" si="2"/>
        <v xml:space="preserve">  </v>
      </c>
      <c r="C25" s="81" t="str">
        <f t="shared" si="3"/>
        <v xml:space="preserve">  </v>
      </c>
      <c r="D25" s="81" t="str">
        <f t="shared" si="4"/>
        <v xml:space="preserve"> </v>
      </c>
      <c r="E25" s="77" t="str">
        <f t="shared" si="5"/>
        <v xml:space="preserve"> </v>
      </c>
      <c r="G25" s="71" t="s">
        <v>111</v>
      </c>
      <c r="Q25" s="66" t="str">
        <f t="shared" si="8"/>
        <v>5th_UWL</v>
      </c>
      <c r="R25" s="67" t="str">
        <f t="shared" si="8"/>
        <v>#NA</v>
      </c>
      <c r="W25" t="str">
        <f>CONCATENATE("M(",S21,")=")</f>
        <v>M(#NA)=</v>
      </c>
      <c r="X25" t="e">
        <f>IF(OR(AD22&lt;=0,AD23&lt;=0),AD28,AD23)</f>
        <v>#VALUE!</v>
      </c>
      <c r="Y25" s="6" t="s">
        <v>93</v>
      </c>
      <c r="Z25" s="70" t="e">
        <f>WLS*(U27-U26)</f>
        <v>#VALUE!</v>
      </c>
      <c r="AE25" s="80"/>
    </row>
    <row r="26" spans="1:35" x14ac:dyDescent="0.25">
      <c r="A26">
        <v>23</v>
      </c>
      <c r="B26" s="80" t="str">
        <f t="shared" si="2"/>
        <v xml:space="preserve">  </v>
      </c>
      <c r="C26" s="81" t="str">
        <f t="shared" si="3"/>
        <v xml:space="preserve">  </v>
      </c>
      <c r="D26" s="81" t="str">
        <f t="shared" si="4"/>
        <v xml:space="preserve"> </v>
      </c>
      <c r="E26" s="77" t="str">
        <f t="shared" si="5"/>
        <v xml:space="preserve"> </v>
      </c>
      <c r="G26" s="91" t="str">
        <f t="shared" ref="G26:H28" si="9">G4</f>
        <v>Rise</v>
      </c>
      <c r="H26" s="91" t="e">
        <f t="shared" si="9"/>
        <v>#VALUE!</v>
      </c>
      <c r="I26" s="68" t="e">
        <f>H26</f>
        <v>#VALUE!</v>
      </c>
      <c r="J26" s="69">
        <v>0</v>
      </c>
      <c r="K26" s="69">
        <v>1</v>
      </c>
      <c r="L26" s="69">
        <f>J26*K26</f>
        <v>0</v>
      </c>
      <c r="M26" s="69" t="e">
        <f>I26</f>
        <v>#VALUE!</v>
      </c>
      <c r="N26" s="69" t="e">
        <f>L26*M26</f>
        <v>#VALUE!</v>
      </c>
      <c r="O26" t="s">
        <v>93</v>
      </c>
      <c r="P26" t="e">
        <f>IF(OR(J26=0,J27=0,J28=0),"#NA",IF(I28-I27=I27-I26,WLS*(I27-I26),"#NA"))</f>
        <v>#VALUE!</v>
      </c>
      <c r="Q26" s="66"/>
      <c r="R26" s="67"/>
      <c r="U26" s="79" t="str">
        <f>R22</f>
        <v>#NA</v>
      </c>
      <c r="V26" s="68" t="e">
        <f>VLOOKUP(U26,STN_TABLE,2,FALSE)</f>
        <v>#N/A</v>
      </c>
      <c r="W26" s="68">
        <v>1</v>
      </c>
      <c r="X26" s="69" t="e">
        <f>V26*W26</f>
        <v>#N/A</v>
      </c>
      <c r="Y26" s="78" t="s">
        <v>97</v>
      </c>
      <c r="Z26" s="78"/>
      <c r="AA26" s="78" t="s">
        <v>98</v>
      </c>
      <c r="AB26" s="78"/>
      <c r="AC26" s="7" t="s">
        <v>99</v>
      </c>
      <c r="AD26" s="7"/>
      <c r="AE26" s="80"/>
    </row>
    <row r="27" spans="1:35" x14ac:dyDescent="0.25">
      <c r="A27">
        <v>24</v>
      </c>
      <c r="B27" s="80" t="str">
        <f t="shared" si="2"/>
        <v xml:space="preserve">  </v>
      </c>
      <c r="C27" s="81" t="str">
        <f t="shared" si="3"/>
        <v xml:space="preserve">  </v>
      </c>
      <c r="D27" s="81" t="str">
        <f t="shared" si="4"/>
        <v xml:space="preserve"> </v>
      </c>
      <c r="E27" s="77" t="str">
        <f t="shared" si="5"/>
        <v xml:space="preserve"> </v>
      </c>
      <c r="G27" s="91" t="str">
        <f t="shared" si="9"/>
        <v>1st_UWL</v>
      </c>
      <c r="H27" s="91" t="str">
        <f t="shared" si="9"/>
        <v>#NA</v>
      </c>
      <c r="I27" s="76" t="e">
        <f>IF(H28-H27=H27-H26,H28,"#NA")</f>
        <v>#VALUE!</v>
      </c>
      <c r="J27" s="77" t="e">
        <f>VLOOKUP(I27,STN_TABLE,2,FALSE)</f>
        <v>#VALUE!</v>
      </c>
      <c r="K27" s="77">
        <v>4</v>
      </c>
      <c r="L27" s="77" t="e">
        <f>J27*K27</f>
        <v>#VALUE!</v>
      </c>
      <c r="M27" s="77" t="e">
        <f>I27</f>
        <v>#VALUE!</v>
      </c>
      <c r="N27" s="77" t="e">
        <f>L27*M27</f>
        <v>#VALUE!</v>
      </c>
      <c r="O27" t="e">
        <f>CONCATENATE("A(",I28,")=")</f>
        <v>#VALUE!</v>
      </c>
      <c r="P27" t="e">
        <f>2*P26/3*L29</f>
        <v>#VALUE!</v>
      </c>
      <c r="Q27" s="80"/>
      <c r="R27" s="81"/>
      <c r="U27" s="88" t="str">
        <f>R23</f>
        <v>#NA</v>
      </c>
      <c r="V27" s="82" t="e">
        <f>VLOOKUP(U27,STN_TABLE,2,FALSE)</f>
        <v>#N/A</v>
      </c>
      <c r="W27" s="82">
        <v>2</v>
      </c>
      <c r="X27" s="83" t="e">
        <f>V27*W27</f>
        <v>#N/A</v>
      </c>
      <c r="Y27" s="84" t="str">
        <f>CONCATENATE("a'(",U27,")=")</f>
        <v>a'(#NA)=</v>
      </c>
      <c r="Z27" s="84" t="e">
        <f>2*Z25/2*V28</f>
        <v>#VALUE!</v>
      </c>
      <c r="AA27" s="84" t="str">
        <f>CONCATENATE("A(",U26,")=")</f>
        <v>A(#NA)=</v>
      </c>
      <c r="AB27" s="84" t="e">
        <f>IF(U26=RisePerWLS,0,VLOOKUP(U26,STN_TABLE,3,FALSE))</f>
        <v>#VALUE!</v>
      </c>
      <c r="AC27" t="str">
        <f>CONCATENATE("A(",U27,")=")</f>
        <v>A(#NA)=</v>
      </c>
      <c r="AD27" t="e">
        <f>Z27+AB27</f>
        <v>#VALUE!</v>
      </c>
      <c r="AE27" s="80"/>
    </row>
    <row r="28" spans="1:35" x14ac:dyDescent="0.25">
      <c r="A28">
        <v>25</v>
      </c>
      <c r="B28" s="88" t="str">
        <f t="shared" si="2"/>
        <v xml:space="preserve">  </v>
      </c>
      <c r="C28" s="92" t="str">
        <f t="shared" si="3"/>
        <v xml:space="preserve">  </v>
      </c>
      <c r="D28" s="81" t="str">
        <f t="shared" si="4"/>
        <v xml:space="preserve"> </v>
      </c>
      <c r="E28" s="77" t="str">
        <f t="shared" si="5"/>
        <v xml:space="preserve"> </v>
      </c>
      <c r="G28" s="91" t="str">
        <f t="shared" si="9"/>
        <v>2nd_UWL</v>
      </c>
      <c r="H28" s="91" t="str">
        <f t="shared" si="9"/>
        <v>#NA</v>
      </c>
      <c r="I28" s="82" t="e">
        <f>IF(H28-H27=H27-H26,H28,"#NA")</f>
        <v>#VALUE!</v>
      </c>
      <c r="J28" s="83" t="e">
        <f>VLOOKUP(I28,STN_TABLE,2,FALSE)</f>
        <v>#VALUE!</v>
      </c>
      <c r="K28" s="83">
        <v>1</v>
      </c>
      <c r="L28" s="83" t="e">
        <f>J28*K28</f>
        <v>#VALUE!</v>
      </c>
      <c r="M28" s="83" t="e">
        <f>I28</f>
        <v>#VALUE!</v>
      </c>
      <c r="N28" s="83" t="e">
        <f>L28*M28</f>
        <v>#VALUE!</v>
      </c>
      <c r="O28" t="e">
        <f>CONCATENATE("M(",I28,")=")</f>
        <v>#VALUE!</v>
      </c>
      <c r="P28" t="e">
        <f>2*(P26*WLS)/3*N29</f>
        <v>#VALUE!</v>
      </c>
      <c r="Q28" s="80"/>
      <c r="R28" s="81"/>
      <c r="V28" s="89" t="e">
        <f>SUM(V26:V27)</f>
        <v>#N/A</v>
      </c>
      <c r="X28" s="89" t="e">
        <f>SUM(X26:X27)</f>
        <v>#N/A</v>
      </c>
      <c r="Y28" s="84" t="str">
        <f>CONCATENATE("m'(",U27,")=")</f>
        <v>m'(#NA)=</v>
      </c>
      <c r="Z28" s="84" t="e">
        <f>(2*(Z25^2)/6*X28)+(Z27*U26*WLS)</f>
        <v>#VALUE!</v>
      </c>
      <c r="AA28" s="84" t="str">
        <f>CONCATENATE("M(",U26,")=")</f>
        <v>M(#NA)=</v>
      </c>
      <c r="AB28" s="84" t="e">
        <f>IF(U26=RisePerWLS,0,VLOOKUP(U26,STN_TABLE,4,FALSE))</f>
        <v>#VALUE!</v>
      </c>
      <c r="AC28" t="str">
        <f>CONCATENATE("M(",U27,")=")</f>
        <v>M(#NA)=</v>
      </c>
      <c r="AD28" t="e">
        <f>Z28+AB28</f>
        <v>#VALUE!</v>
      </c>
      <c r="AE28" s="80"/>
    </row>
    <row r="29" spans="1:35" x14ac:dyDescent="0.25">
      <c r="G29" s="91"/>
      <c r="H29" s="91"/>
      <c r="L29" s="89" t="e">
        <f>SUM(L26:L28)</f>
        <v>#VALUE!</v>
      </c>
      <c r="N29" s="89" t="e">
        <f>SUM(N26:N28)</f>
        <v>#VALUE!</v>
      </c>
      <c r="Q29" s="80"/>
      <c r="R29" s="81"/>
      <c r="AE29" s="80"/>
    </row>
    <row r="30" spans="1:35" x14ac:dyDescent="0.25">
      <c r="G30" s="91"/>
      <c r="H30" s="91"/>
    </row>
    <row r="31" spans="1:35" x14ac:dyDescent="0.25">
      <c r="G31" s="91"/>
      <c r="H31" s="91"/>
    </row>
    <row r="32" spans="1:35" x14ac:dyDescent="0.25">
      <c r="G32" s="91"/>
      <c r="H32" s="91"/>
      <c r="Q32" s="68">
        <f>B4</f>
        <v>0</v>
      </c>
      <c r="R32" s="69">
        <f>VLOOKUP(Q32,STN_TABLE,2,FALSE)</f>
        <v>8.9</v>
      </c>
      <c r="S32" s="69">
        <v>5</v>
      </c>
      <c r="T32" s="68">
        <f>R32*S32</f>
        <v>44.5</v>
      </c>
      <c r="U32" s="79">
        <v>3</v>
      </c>
      <c r="V32" s="68">
        <f>R32*U32</f>
        <v>26.700000000000003</v>
      </c>
      <c r="W32" t="s">
        <v>93</v>
      </c>
      <c r="X32" s="70">
        <f>IF(AND(Q34-Q33=Q33-Q32,NOT(AND(Q32=0,Q33=0)),NOT(AND(Q33=0,Q34=0))),WLS*(Q34-Q33),"#NA")</f>
        <v>0.5</v>
      </c>
      <c r="AD32" s="93"/>
      <c r="AH32" s="6" t="s">
        <v>93</v>
      </c>
      <c r="AI32" s="70">
        <f>WLS*(AD34-AD33)</f>
        <v>0.5</v>
      </c>
    </row>
    <row r="33" spans="1:47" x14ac:dyDescent="0.25">
      <c r="Q33" s="76">
        <f>B5</f>
        <v>0.25</v>
      </c>
      <c r="R33" s="77">
        <f>VLOOKUP(Q33,STN_TABLE,2,FALSE)</f>
        <v>9.76</v>
      </c>
      <c r="S33" s="77">
        <v>8</v>
      </c>
      <c r="T33" s="76">
        <f>R33*S33</f>
        <v>78.08</v>
      </c>
      <c r="U33" s="80">
        <v>10</v>
      </c>
      <c r="V33" s="76">
        <f>R33*U33</f>
        <v>97.6</v>
      </c>
      <c r="W33" s="495" t="s">
        <v>97</v>
      </c>
      <c r="X33" s="496"/>
      <c r="Y33" s="496" t="s">
        <v>98</v>
      </c>
      <c r="Z33" s="496"/>
      <c r="AA33" s="494" t="s">
        <v>99</v>
      </c>
      <c r="AB33" s="494"/>
      <c r="AC33" s="94">
        <v>1</v>
      </c>
      <c r="AD33" s="95">
        <f>VLOOKUP(AC33,STN_TABLE_2,2,FALSE)</f>
        <v>0</v>
      </c>
      <c r="AE33" s="68">
        <f>VLOOKUP(AD33,STN_TABLE,2,FALSE)</f>
        <v>8.9</v>
      </c>
      <c r="AF33" s="68">
        <v>1</v>
      </c>
      <c r="AG33" s="69">
        <f>AE33*AF33</f>
        <v>8.9</v>
      </c>
      <c r="AH33" s="496" t="s">
        <v>97</v>
      </c>
      <c r="AI33" s="496"/>
      <c r="AJ33" s="496" t="s">
        <v>98</v>
      </c>
      <c r="AK33" s="496"/>
      <c r="AL33" s="494" t="s">
        <v>99</v>
      </c>
      <c r="AM33" s="494"/>
      <c r="AP33" s="96" t="s">
        <v>112</v>
      </c>
      <c r="AQ33" s="89" t="s">
        <v>113</v>
      </c>
      <c r="AR33" s="89" t="s">
        <v>114</v>
      </c>
      <c r="AS33" s="89" t="s">
        <v>115</v>
      </c>
      <c r="AT33" s="97" t="s">
        <v>116</v>
      </c>
      <c r="AU33" s="98"/>
    </row>
    <row r="34" spans="1:47" x14ac:dyDescent="0.25">
      <c r="Q34" s="82">
        <f>B6</f>
        <v>0.5</v>
      </c>
      <c r="R34" s="83">
        <f>VLOOKUP(Q34,STN_TABLE,2,FALSE)</f>
        <v>10.199999999999999</v>
      </c>
      <c r="S34" s="83">
        <v>-1</v>
      </c>
      <c r="T34" s="82">
        <f>R34*S34</f>
        <v>-10.199999999999999</v>
      </c>
      <c r="U34" s="88">
        <v>-1</v>
      </c>
      <c r="V34" s="82">
        <f>R34*U34</f>
        <v>-10.199999999999999</v>
      </c>
      <c r="W34" s="84" t="str">
        <f>CONCATENATE("a'(",Q33,")=")</f>
        <v>a'(0.25)=</v>
      </c>
      <c r="X34" s="84">
        <f>2*X32/12*T35</f>
        <v>9.3649999999999984</v>
      </c>
      <c r="Y34" s="84" t="str">
        <f>CONCATENATE("A(",Q32,")=")</f>
        <v>A(0)=</v>
      </c>
      <c r="Z34" s="84">
        <f>VLOOKUP(Q32,STN_TABLE,3,FALSE)</f>
        <v>0</v>
      </c>
      <c r="AA34" t="str">
        <f>CONCATENATE("A(",Q33,")=")</f>
        <v>A(0.25)=</v>
      </c>
      <c r="AB34">
        <f>X34+Z34</f>
        <v>9.3649999999999984</v>
      </c>
      <c r="AC34" s="99">
        <f>AC33+1</f>
        <v>2</v>
      </c>
      <c r="AD34" s="100">
        <f>VLOOKUP(AC34,STN_TABLE_2,2,FALSE)</f>
        <v>0.25</v>
      </c>
      <c r="AE34" s="82">
        <f>VLOOKUP(AD34,STN_TABLE,2,FALSE)</f>
        <v>9.76</v>
      </c>
      <c r="AF34" s="82">
        <v>2</v>
      </c>
      <c r="AG34" s="83">
        <f>AE34*AF34</f>
        <v>19.52</v>
      </c>
      <c r="AH34" s="84" t="str">
        <f>CONCATENATE("a'(",AD34,")=")</f>
        <v>a'(0.25)=</v>
      </c>
      <c r="AI34" s="84">
        <f>2*AI32/2*AE35</f>
        <v>9.33</v>
      </c>
      <c r="AJ34" s="84" t="str">
        <f>CONCATENATE("A(",AD33,")=")</f>
        <v>A(0)=</v>
      </c>
      <c r="AK34" s="84">
        <f>VLOOKUP(AD33,STN_TABLE,3,FALSE)</f>
        <v>0</v>
      </c>
      <c r="AL34" t="str">
        <f>CONCATENATE("A(",AD34,")=")</f>
        <v>A(0.25)=</v>
      </c>
      <c r="AM34">
        <f>AI34+AK34</f>
        <v>9.33</v>
      </c>
      <c r="AO34" s="68" t="str">
        <f>AA34</f>
        <v>A(0.25)=</v>
      </c>
      <c r="AP34" s="79" t="e">
        <f>VLOOKUP(AO34,Rise_Results,2,FALSE)</f>
        <v>#N/A</v>
      </c>
      <c r="AQ34" s="76" t="s">
        <v>117</v>
      </c>
      <c r="AR34" s="76">
        <f>IF(OR(AB34&lt;=0,AB35&lt;=0),1/0,AB34)</f>
        <v>9.3649999999999984</v>
      </c>
      <c r="AS34" s="76">
        <f>AM34</f>
        <v>9.33</v>
      </c>
      <c r="AT34" s="80">
        <f>IFERROR(AP34,IFERROR(AR34,AS34))</f>
        <v>9.3649999999999984</v>
      </c>
    </row>
    <row r="35" spans="1:47" x14ac:dyDescent="0.25">
      <c r="A35" s="101"/>
      <c r="T35" s="89">
        <f>SUM(T32:T34)</f>
        <v>112.38</v>
      </c>
      <c r="V35" s="82">
        <f>SUM(V32:V34)</f>
        <v>114.1</v>
      </c>
      <c r="W35" s="84" t="str">
        <f>CONCATENATE("m'(",Q33,")=")</f>
        <v>m'(0.25)=</v>
      </c>
      <c r="X35" s="84">
        <f>(2*(X32^2)/24*V35)</f>
        <v>2.3770833333333332</v>
      </c>
      <c r="Y35" s="84" t="str">
        <f>CONCATENATE("M(",Q32,")=")</f>
        <v>M(0)=</v>
      </c>
      <c r="Z35" s="84">
        <f>VLOOKUP(Q32,STN_TABLE,4,FALSE)</f>
        <v>0</v>
      </c>
      <c r="AA35" t="str">
        <f>CONCATENATE("M(",Q33,")=")</f>
        <v>M(0.25)=</v>
      </c>
      <c r="AB35">
        <f>X35+Z35</f>
        <v>2.3770833333333332</v>
      </c>
      <c r="AE35" s="89">
        <f>SUM(AE33:AE34)</f>
        <v>18.66</v>
      </c>
      <c r="AG35" s="89">
        <f>SUM(AG33:AG34)</f>
        <v>28.42</v>
      </c>
      <c r="AH35" s="84" t="str">
        <f>CONCATENATE("m'(",AD34,")=")</f>
        <v>m'(0.25)=</v>
      </c>
      <c r="AI35" s="84">
        <f>(2*(AI32^2)/6*AG35)+(AI34*AD33*WLS)</f>
        <v>2.3683333333333332</v>
      </c>
      <c r="AJ35" s="84" t="str">
        <f>CONCATENATE("M(",AD33,")=")</f>
        <v>M(0)=</v>
      </c>
      <c r="AK35" s="84">
        <f>VLOOKUP(AD33,STN_TABLE,4,FALSE)</f>
        <v>0</v>
      </c>
      <c r="AL35" t="str">
        <f>CONCATENATE("M(",AD34,")=")</f>
        <v>M(0.25)=</v>
      </c>
      <c r="AM35">
        <f>AI35+AK35</f>
        <v>2.3683333333333332</v>
      </c>
      <c r="AO35" s="82" t="str">
        <f>AA35</f>
        <v>M(0.25)=</v>
      </c>
      <c r="AP35" s="88" t="e">
        <f>VLOOKUP(AO35,Rise_Results,2,FALSE)</f>
        <v>#N/A</v>
      </c>
      <c r="AQ35" s="82" t="s">
        <v>117</v>
      </c>
      <c r="AR35" s="82">
        <f>IF(OR(AB34&lt;=0,AB35&lt;=0),1/0,AB35)</f>
        <v>2.3770833333333332</v>
      </c>
      <c r="AS35" s="82">
        <f>AM35</f>
        <v>2.3683333333333332</v>
      </c>
      <c r="AT35" s="80">
        <f>IFERROR(AP35,IFERROR(AR35,AS35))</f>
        <v>2.3770833333333332</v>
      </c>
    </row>
    <row r="36" spans="1:47" x14ac:dyDescent="0.25">
      <c r="O36" s="94">
        <v>1</v>
      </c>
      <c r="P36" s="101">
        <f t="shared" ref="P36:P67" si="10">VLOOKUP(O36,STN_TABLE_2,2,FALSE)</f>
        <v>0</v>
      </c>
      <c r="AU36" s="81"/>
    </row>
    <row r="37" spans="1:47" x14ac:dyDescent="0.25">
      <c r="A37" s="94">
        <v>1</v>
      </c>
      <c r="B37" s="94">
        <f>VLOOKUP(A37,STN_TABLE_2,2,FALSE)</f>
        <v>0</v>
      </c>
      <c r="C37" s="79">
        <f>B37</f>
        <v>0</v>
      </c>
      <c r="D37" s="68">
        <f>VLOOKUP(C37,STN_TABLE,2,FALSE)</f>
        <v>8.9</v>
      </c>
      <c r="E37" s="102">
        <v>1</v>
      </c>
      <c r="F37" s="68">
        <f>D37*E37</f>
        <v>8.9</v>
      </c>
      <c r="G37" s="69">
        <f>C37</f>
        <v>0</v>
      </c>
      <c r="H37" s="69">
        <f>F37*G37</f>
        <v>0</v>
      </c>
      <c r="I37" s="6" t="s">
        <v>93</v>
      </c>
      <c r="J37" s="70">
        <f>IF(OR(D37=0,D38=0,D39=0),"#NA",IF(AND(C39-C38=C38-C37,C38&lt;&gt;C39,C37&lt;&gt;C38,C37&lt;&gt;C39,D39&lt;&gt;0,OR(D37&lt;&gt;0,D38&lt;&gt;0)),WLS*(C39-C38),"#NA"))</f>
        <v>0.5</v>
      </c>
      <c r="O37" s="99">
        <f>O36+1</f>
        <v>2</v>
      </c>
      <c r="P37" s="99">
        <f t="shared" si="10"/>
        <v>0.25</v>
      </c>
      <c r="Q37" s="68">
        <f>IF(OR(P39-P38=P38-P37,P40-P38=P38-P37),P37,IF(OR(P39-P38=P38-P36,P40-P38=P38-P36),P36,"-"))</f>
        <v>0.25</v>
      </c>
      <c r="R37" s="69">
        <f>VLOOKUP(Q37,STN_TABLE,2,FALSE)</f>
        <v>9.76</v>
      </c>
      <c r="S37" s="69">
        <v>5</v>
      </c>
      <c r="T37" s="68">
        <f>R37*S37</f>
        <v>48.8</v>
      </c>
      <c r="U37" s="79">
        <v>3</v>
      </c>
      <c r="V37" s="68">
        <f>R37*U37</f>
        <v>29.28</v>
      </c>
      <c r="W37" s="6" t="s">
        <v>93</v>
      </c>
      <c r="X37" s="70">
        <f>IF(AND(Q39-Q38=Q38-Q37,NOT(AND(Q37=0,Q38=0)),NOT(AND(Q38=0,Q39=0))),WLS*(Q39-Q38),"#NA")</f>
        <v>0.5</v>
      </c>
      <c r="AD37" s="93"/>
      <c r="AH37" s="6" t="s">
        <v>93</v>
      </c>
      <c r="AI37" s="70">
        <f>WLS*(AD39-AD38)</f>
        <v>0.5</v>
      </c>
      <c r="AU37" s="81"/>
    </row>
    <row r="38" spans="1:47" x14ac:dyDescent="0.25">
      <c r="A38" s="94">
        <f>A37+1</f>
        <v>2</v>
      </c>
      <c r="B38" s="94">
        <f>VLOOKUP(A38,STN_TABLE_2,2,FALSE)</f>
        <v>0.25</v>
      </c>
      <c r="C38" s="80">
        <f>B38</f>
        <v>0.25</v>
      </c>
      <c r="D38" s="76">
        <f>VLOOKUP(C38,STN_TABLE,2,FALSE)</f>
        <v>9.76</v>
      </c>
      <c r="E38" s="81">
        <v>4</v>
      </c>
      <c r="F38" s="76">
        <f>D38*E38</f>
        <v>39.04</v>
      </c>
      <c r="G38" s="77">
        <f>C38</f>
        <v>0.25</v>
      </c>
      <c r="H38" s="77">
        <f>F38*G38</f>
        <v>9.76</v>
      </c>
      <c r="I38" s="496" t="s">
        <v>97</v>
      </c>
      <c r="J38" s="496"/>
      <c r="K38" s="78" t="s">
        <v>98</v>
      </c>
      <c r="L38" s="78"/>
      <c r="M38" s="7" t="s">
        <v>99</v>
      </c>
      <c r="N38" s="7"/>
      <c r="O38" s="99">
        <f>O37+1</f>
        <v>3</v>
      </c>
      <c r="P38" s="99">
        <f t="shared" si="10"/>
        <v>0.5</v>
      </c>
      <c r="Q38" s="76">
        <f>P38</f>
        <v>0.5</v>
      </c>
      <c r="R38" s="77">
        <f>VLOOKUP(Q38,STN_TABLE,2,FALSE)</f>
        <v>10.199999999999999</v>
      </c>
      <c r="S38" s="77">
        <v>8</v>
      </c>
      <c r="T38" s="76">
        <f>R38*S38</f>
        <v>81.599999999999994</v>
      </c>
      <c r="U38" s="80">
        <v>10</v>
      </c>
      <c r="V38" s="76">
        <f>R38*U38</f>
        <v>102</v>
      </c>
      <c r="W38" s="496" t="s">
        <v>97</v>
      </c>
      <c r="X38" s="496"/>
      <c r="Y38" s="496" t="s">
        <v>98</v>
      </c>
      <c r="Z38" s="496"/>
      <c r="AA38" s="494" t="s">
        <v>99</v>
      </c>
      <c r="AB38" s="494"/>
      <c r="AC38" s="99">
        <f>AC33+1</f>
        <v>2</v>
      </c>
      <c r="AD38" s="95">
        <f>VLOOKUP(AC38,STN_TABLE_2,2,FALSE)</f>
        <v>0.25</v>
      </c>
      <c r="AE38" s="68">
        <f>VLOOKUP(AD38,STN_TABLE,2,FALSE)</f>
        <v>9.76</v>
      </c>
      <c r="AF38" s="68">
        <v>1</v>
      </c>
      <c r="AG38" s="69">
        <f>AE38*AF38</f>
        <v>9.76</v>
      </c>
      <c r="AH38" s="496" t="s">
        <v>97</v>
      </c>
      <c r="AI38" s="496"/>
      <c r="AJ38" s="496" t="s">
        <v>98</v>
      </c>
      <c r="AK38" s="496"/>
      <c r="AL38" s="494" t="s">
        <v>99</v>
      </c>
      <c r="AM38" s="494"/>
      <c r="AP38" s="86" t="s">
        <v>112</v>
      </c>
      <c r="AQ38" s="89" t="s">
        <v>113</v>
      </c>
      <c r="AR38" s="89" t="s">
        <v>114</v>
      </c>
      <c r="AS38" s="89" t="s">
        <v>115</v>
      </c>
    </row>
    <row r="39" spans="1:47" x14ac:dyDescent="0.25">
      <c r="A39" s="94">
        <f>A38+1</f>
        <v>3</v>
      </c>
      <c r="B39" s="94">
        <f>VLOOKUP(A39,STN_TABLE_2,2,FALSE)</f>
        <v>0.5</v>
      </c>
      <c r="C39" s="88">
        <f>B39</f>
        <v>0.5</v>
      </c>
      <c r="D39" s="82">
        <f>VLOOKUP(C39,STN_TABLE,2,FALSE)</f>
        <v>10.199999999999999</v>
      </c>
      <c r="E39" s="92">
        <v>1</v>
      </c>
      <c r="F39" s="82">
        <f>D39*E39</f>
        <v>10.199999999999999</v>
      </c>
      <c r="G39" s="83">
        <f>C39</f>
        <v>0.5</v>
      </c>
      <c r="H39" s="83">
        <f>F39*G39</f>
        <v>5.0999999999999996</v>
      </c>
      <c r="I39" s="84" t="str">
        <f>CONCATENATE("a'(",C39,")=")</f>
        <v>a'(0.5)=</v>
      </c>
      <c r="J39" s="84">
        <f>2*J37/3*F40</f>
        <v>19.38</v>
      </c>
      <c r="K39" s="84" t="str">
        <f>CONCATENATE("A(",C37,")=")</f>
        <v>A(0)=</v>
      </c>
      <c r="L39" s="84">
        <f>VLOOKUP(C37,STN_TABLE,3,FALSE)</f>
        <v>0</v>
      </c>
      <c r="M39" t="str">
        <f>CONCATENATE("A(",C39,")=")</f>
        <v>A(0.5)=</v>
      </c>
      <c r="N39">
        <f>J39+L39</f>
        <v>19.38</v>
      </c>
      <c r="O39" s="99">
        <f>O38+1</f>
        <v>4</v>
      </c>
      <c r="P39" s="99">
        <f t="shared" si="10"/>
        <v>0.75</v>
      </c>
      <c r="Q39" s="82">
        <f>IF(P39-P38=P38-P37,P39,IF(P40-P38=P38-P37,P40,IF(P39-P38=P38-P36,P39,IF(P40-P38=P38-P36,P40,"-"))))</f>
        <v>0.75</v>
      </c>
      <c r="R39" s="83">
        <f>VLOOKUP(Q39,STN_TABLE,2,FALSE)</f>
        <v>10.5</v>
      </c>
      <c r="S39" s="83">
        <v>-1</v>
      </c>
      <c r="T39" s="82">
        <f>R39*S39</f>
        <v>-10.5</v>
      </c>
      <c r="U39" s="88">
        <v>-1</v>
      </c>
      <c r="V39" s="82">
        <f>R39*U39</f>
        <v>-10.5</v>
      </c>
      <c r="W39" s="84" t="str">
        <f>CONCATENATE("a'(",Q38,")=")</f>
        <v>a'(0.5)=</v>
      </c>
      <c r="X39" s="84">
        <f>2*X37/12*T40</f>
        <v>9.9916666666666636</v>
      </c>
      <c r="Y39" s="84" t="str">
        <f>CONCATENATE("A(",Q37,")=")</f>
        <v>A(0.25)=</v>
      </c>
      <c r="Z39" s="84">
        <f>VLOOKUP(Q37,STN_TABLE,3,FALSE)</f>
        <v>9.3649999999999984</v>
      </c>
      <c r="AA39" t="str">
        <f>CONCATENATE("A(",Q38,")=")</f>
        <v>A(0.5)=</v>
      </c>
      <c r="AB39">
        <f>X39+Z39</f>
        <v>19.356666666666662</v>
      </c>
      <c r="AC39" s="99">
        <f>AC38+1</f>
        <v>3</v>
      </c>
      <c r="AD39" s="100">
        <f>VLOOKUP(AC39,STN_TABLE_2,2,FALSE)</f>
        <v>0.5</v>
      </c>
      <c r="AE39" s="82">
        <f>VLOOKUP(AD39,STN_TABLE,2,FALSE)</f>
        <v>10.199999999999999</v>
      </c>
      <c r="AF39" s="82">
        <v>2</v>
      </c>
      <c r="AG39" s="83">
        <f>AE39*AF39</f>
        <v>20.399999999999999</v>
      </c>
      <c r="AH39" s="84" t="str">
        <f>CONCATENATE("a'(",AD39,")=")</f>
        <v>a'(0.5)=</v>
      </c>
      <c r="AI39" s="84">
        <f>2*AI37/2*AE40</f>
        <v>9.98</v>
      </c>
      <c r="AJ39" s="84" t="str">
        <f>CONCATENATE("A(",AD38,")=")</f>
        <v>A(0.25)=</v>
      </c>
      <c r="AK39" s="84">
        <f>VLOOKUP(AD38,STN_TABLE,3,FALSE)</f>
        <v>9.3649999999999984</v>
      </c>
      <c r="AL39" t="str">
        <f>CONCATENATE("A(",AD39,")=")</f>
        <v>A(0.5)=</v>
      </c>
      <c r="AM39">
        <f>AI39+AK39</f>
        <v>19.344999999999999</v>
      </c>
      <c r="AO39" s="68" t="str">
        <f>AA39</f>
        <v>A(0.5)=</v>
      </c>
      <c r="AP39" s="68" t="e">
        <f>VLOOKUP(AO39,Rise_Results,2,FALSE)</f>
        <v>#N/A</v>
      </c>
      <c r="AQ39" s="76">
        <f>N39</f>
        <v>19.38</v>
      </c>
      <c r="AR39" s="76">
        <f>IF(OR(AB39&lt;=0,AB40&lt;=0),1/0,AB39)</f>
        <v>19.356666666666662</v>
      </c>
      <c r="AS39" s="76">
        <f>AM39</f>
        <v>19.344999999999999</v>
      </c>
      <c r="AT39">
        <f>IFERROR(AP39,IFERROR(AQ39,IFERROR(AR39,AS39)))</f>
        <v>19.38</v>
      </c>
    </row>
    <row r="40" spans="1:47" x14ac:dyDescent="0.25">
      <c r="A40">
        <v>4</v>
      </c>
      <c r="F40" s="82">
        <f>SUM(F37:F39)</f>
        <v>58.14</v>
      </c>
      <c r="H40" s="82">
        <f>SUM(H37:H39)</f>
        <v>14.86</v>
      </c>
      <c r="I40" s="84" t="str">
        <f>CONCATENATE("m'(",C39,")=")</f>
        <v>m'(0.5)=</v>
      </c>
      <c r="J40" s="84">
        <f>2*(J37*(WLS))/3*H40</f>
        <v>9.9066666666666663</v>
      </c>
      <c r="K40" s="84" t="str">
        <f>CONCATENATE("M(",C37,")=")</f>
        <v>M(0)=</v>
      </c>
      <c r="L40" s="84">
        <f>VLOOKUP(C37,STN_TABLE,4,FALSE)</f>
        <v>0</v>
      </c>
      <c r="M40" t="str">
        <f>CONCATENATE("M(",C39,")=")</f>
        <v>M(0.5)=</v>
      </c>
      <c r="N40">
        <f>J40+L40</f>
        <v>9.9066666666666663</v>
      </c>
      <c r="O40" s="99">
        <f>O39+1</f>
        <v>5</v>
      </c>
      <c r="P40" s="99">
        <f t="shared" si="10"/>
        <v>1</v>
      </c>
      <c r="T40" s="89">
        <f>SUM(T37:T39)</f>
        <v>119.89999999999998</v>
      </c>
      <c r="V40" s="82">
        <f>SUM(V37:V39)</f>
        <v>120.78</v>
      </c>
      <c r="W40" s="84" t="str">
        <f>CONCATENATE("m'(",Q38,")=")</f>
        <v>m'(0.5)=</v>
      </c>
      <c r="X40" s="84">
        <f>(2*(X37^2)/24*V40)+(X39*Q37*WLS)</f>
        <v>7.5120833333333312</v>
      </c>
      <c r="Y40" s="84" t="str">
        <f>CONCATENATE("M(",Q37,")=")</f>
        <v>M(0.25)=</v>
      </c>
      <c r="Z40" s="84">
        <f>VLOOKUP(Q37,STN_TABLE,4,FALSE)</f>
        <v>2.3770833333333332</v>
      </c>
      <c r="AA40" t="str">
        <f>CONCATENATE("M(",Q38,")=")</f>
        <v>M(0.5)=</v>
      </c>
      <c r="AB40">
        <f>X40+Z40</f>
        <v>9.8891666666666644</v>
      </c>
      <c r="AE40" s="89">
        <f>SUM(AE38:AE39)</f>
        <v>19.96</v>
      </c>
      <c r="AG40" s="89">
        <f>SUM(AG38:AG39)</f>
        <v>30.159999999999997</v>
      </c>
      <c r="AH40" s="84" t="str">
        <f>CONCATENATE("m'(",AD39,")=")</f>
        <v>m'(0.5)=</v>
      </c>
      <c r="AI40" s="84">
        <f>(2*(AI37^2)/6*AG40)+(AI39*AD38*WLS)</f>
        <v>7.503333333333333</v>
      </c>
      <c r="AJ40" s="84" t="str">
        <f>CONCATENATE("M(",AD38,")=")</f>
        <v>M(0.25)=</v>
      </c>
      <c r="AK40" s="84">
        <f>VLOOKUP(AD38,STN_TABLE,4,FALSE)</f>
        <v>2.3770833333333332</v>
      </c>
      <c r="AL40" t="str">
        <f>CONCATENATE("M(",AD39,")=")</f>
        <v>M(0.5)=</v>
      </c>
      <c r="AM40">
        <f>AI40+AK40</f>
        <v>9.8804166666666653</v>
      </c>
      <c r="AO40" s="82" t="str">
        <f>AA40</f>
        <v>M(0.5)=</v>
      </c>
      <c r="AP40" s="82" t="e">
        <f>VLOOKUP(AO40,Rise_Results,2,FALSE)</f>
        <v>#N/A</v>
      </c>
      <c r="AQ40" s="82">
        <f>N40</f>
        <v>9.9066666666666663</v>
      </c>
      <c r="AR40" s="82">
        <f>IF(OR(AB39&lt;=0,AB40&lt;=0),1/0,AB40)</f>
        <v>9.8891666666666644</v>
      </c>
      <c r="AS40" s="82">
        <f>AM40</f>
        <v>9.8804166666666653</v>
      </c>
      <c r="AT40">
        <f>IFERROR(AP40,IFERROR(AQ40,IFERROR(AR40,AS40)))</f>
        <v>9.9066666666666663</v>
      </c>
    </row>
    <row r="41" spans="1:47" x14ac:dyDescent="0.25">
      <c r="A41" s="94">
        <v>0</v>
      </c>
      <c r="O41" s="101">
        <f>O36+1</f>
        <v>2</v>
      </c>
      <c r="P41" s="101">
        <f t="shared" si="10"/>
        <v>0.25</v>
      </c>
    </row>
    <row r="42" spans="1:47" x14ac:dyDescent="0.25">
      <c r="A42" s="94">
        <f>A41+1</f>
        <v>1</v>
      </c>
      <c r="B42" s="94">
        <f t="shared" ref="B42:B73" si="11">VLOOKUP(A42,STN_TABLE_2,2,FALSE)</f>
        <v>0</v>
      </c>
      <c r="C42" s="79">
        <f>IF(C43=B43,B42,IF(C43=B44,IF(C44-C43=C43-B43,B43,IF(C44-C43=C43-B42,B42,"NA"))))</f>
        <v>0.25</v>
      </c>
      <c r="D42" s="68">
        <f>VLOOKUP(C42,STN_TABLE,2,FALSE)</f>
        <v>9.76</v>
      </c>
      <c r="E42" s="102">
        <v>1</v>
      </c>
      <c r="F42" s="68">
        <f>D42*E42</f>
        <v>9.76</v>
      </c>
      <c r="G42" s="69">
        <f>C42</f>
        <v>0.25</v>
      </c>
      <c r="H42" s="69">
        <f>F42*G42</f>
        <v>2.44</v>
      </c>
      <c r="I42" s="6" t="s">
        <v>93</v>
      </c>
      <c r="J42" s="70">
        <f>IF(OR(D42=0,D43=0,D44=0),"#NA",IF(AND(C44-C43=C43-C42,C43&lt;&gt;C44,C42&lt;&gt;C43,C42&lt;&gt;C44,D44&lt;&gt;0,OR(D42&lt;&gt;0,D43&lt;&gt;0)),WLS*(C44-C43),"#NA"))</f>
        <v>0.5</v>
      </c>
      <c r="O42" s="99">
        <f>O41+1</f>
        <v>3</v>
      </c>
      <c r="P42" s="99">
        <f t="shared" si="10"/>
        <v>0.5</v>
      </c>
      <c r="Q42" s="68">
        <f>IF(OR(P44-P43=P43-P42,P45-P43=P43-P42),P42,IF(OR(P44-P43=P43-P41,P45-P43=P43-P41),P41,"-"))</f>
        <v>0.5</v>
      </c>
      <c r="R42" s="69">
        <f>VLOOKUP(Q42,STN_TABLE,2,FALSE)</f>
        <v>10.199999999999999</v>
      </c>
      <c r="S42" s="69">
        <v>5</v>
      </c>
      <c r="T42" s="68">
        <f>R42*S42</f>
        <v>51</v>
      </c>
      <c r="U42" s="79">
        <v>3</v>
      </c>
      <c r="V42" s="68">
        <f>R42*U42</f>
        <v>30.599999999999998</v>
      </c>
      <c r="W42" s="6" t="s">
        <v>93</v>
      </c>
      <c r="X42" s="70">
        <f>IF(AND(Q44-Q43=Q43-Q42,NOT(AND(Q42=0,Q43=0)),NOT(AND(Q43=0,Q44=0))),WLS*(Q44-Q43),"#NA")</f>
        <v>0.5</v>
      </c>
      <c r="AD42" s="93"/>
      <c r="AH42" s="6" t="s">
        <v>93</v>
      </c>
      <c r="AI42" s="70">
        <f>WLS*(AD44-AD43)</f>
        <v>0.5</v>
      </c>
      <c r="AU42" s="81"/>
    </row>
    <row r="43" spans="1:47" x14ac:dyDescent="0.25">
      <c r="A43" s="94">
        <f>A42+1</f>
        <v>2</v>
      </c>
      <c r="B43" s="94">
        <f t="shared" si="11"/>
        <v>0.25</v>
      </c>
      <c r="C43" s="80">
        <f>IF(OR(B45-B44=B44-B43,B45-B44=B44-B42,),B44,IF(B45-B43=B43-B42,B43,"#NA"))</f>
        <v>0.5</v>
      </c>
      <c r="D43" s="76">
        <f>VLOOKUP(C43,STN_TABLE,2,FALSE)</f>
        <v>10.199999999999999</v>
      </c>
      <c r="E43" s="81">
        <v>4</v>
      </c>
      <c r="F43" s="76">
        <f>D43*E43</f>
        <v>40.799999999999997</v>
      </c>
      <c r="G43" s="77">
        <f>C43</f>
        <v>0.5</v>
      </c>
      <c r="H43" s="77">
        <f>F43*G43</f>
        <v>20.399999999999999</v>
      </c>
      <c r="I43" s="496" t="s">
        <v>97</v>
      </c>
      <c r="J43" s="496"/>
      <c r="K43" s="78" t="s">
        <v>98</v>
      </c>
      <c r="L43" s="78"/>
      <c r="M43" s="7" t="s">
        <v>99</v>
      </c>
      <c r="N43" s="7"/>
      <c r="O43" s="99">
        <f>O42+1</f>
        <v>4</v>
      </c>
      <c r="P43" s="99">
        <f t="shared" si="10"/>
        <v>0.75</v>
      </c>
      <c r="Q43" s="76">
        <f>P43</f>
        <v>0.75</v>
      </c>
      <c r="R43" s="77">
        <f>VLOOKUP(Q43,STN_TABLE,2,FALSE)</f>
        <v>10.5</v>
      </c>
      <c r="S43" s="77">
        <v>8</v>
      </c>
      <c r="T43" s="76">
        <f>R43*S43</f>
        <v>84</v>
      </c>
      <c r="U43" s="80">
        <v>10</v>
      </c>
      <c r="V43" s="76">
        <f>R43*U43</f>
        <v>105</v>
      </c>
      <c r="W43" s="496" t="s">
        <v>97</v>
      </c>
      <c r="X43" s="496"/>
      <c r="Y43" s="496" t="s">
        <v>98</v>
      </c>
      <c r="Z43" s="496"/>
      <c r="AA43" s="494" t="s">
        <v>99</v>
      </c>
      <c r="AB43" s="494"/>
      <c r="AC43" s="99">
        <f>AC38+1</f>
        <v>3</v>
      </c>
      <c r="AD43" s="95">
        <f>VLOOKUP(AC43,STN_TABLE_2,2,FALSE)</f>
        <v>0.5</v>
      </c>
      <c r="AE43" s="68">
        <f>VLOOKUP(AD43,STN_TABLE,2,FALSE)</f>
        <v>10.199999999999999</v>
      </c>
      <c r="AF43" s="68">
        <v>1</v>
      </c>
      <c r="AG43" s="69">
        <f>AE43*AF43</f>
        <v>10.199999999999999</v>
      </c>
      <c r="AH43" s="496" t="s">
        <v>97</v>
      </c>
      <c r="AI43" s="496"/>
      <c r="AJ43" s="496" t="s">
        <v>98</v>
      </c>
      <c r="AK43" s="496"/>
      <c r="AL43" s="494" t="s">
        <v>99</v>
      </c>
      <c r="AM43" s="494"/>
      <c r="AP43" s="86" t="s">
        <v>112</v>
      </c>
      <c r="AQ43" s="89" t="s">
        <v>113</v>
      </c>
      <c r="AR43" s="89" t="s">
        <v>114</v>
      </c>
      <c r="AS43" s="89" t="s">
        <v>115</v>
      </c>
      <c r="AU43" s="81"/>
    </row>
    <row r="44" spans="1:47" x14ac:dyDescent="0.25">
      <c r="A44" s="94">
        <f>A43+1</f>
        <v>3</v>
      </c>
      <c r="B44" s="94">
        <f t="shared" si="11"/>
        <v>0.5</v>
      </c>
      <c r="C44" s="88">
        <f>B45</f>
        <v>0.75</v>
      </c>
      <c r="D44" s="82">
        <f>VLOOKUP(C44,STN_TABLE,2,FALSE)</f>
        <v>10.5</v>
      </c>
      <c r="E44" s="92">
        <v>1</v>
      </c>
      <c r="F44" s="82">
        <f>D44*E44</f>
        <v>10.5</v>
      </c>
      <c r="G44" s="83">
        <f>C44</f>
        <v>0.75</v>
      </c>
      <c r="H44" s="83">
        <f>F44*G44</f>
        <v>7.875</v>
      </c>
      <c r="I44" s="84" t="str">
        <f>CONCATENATE("a'(",C44,")=")</f>
        <v>a'(0.75)=</v>
      </c>
      <c r="J44" s="84">
        <f>2*J42/3*F45</f>
        <v>20.353333333333332</v>
      </c>
      <c r="K44" s="84" t="str">
        <f>CONCATENATE("A(",C42,")=")</f>
        <v>A(0.25)=</v>
      </c>
      <c r="L44" s="84">
        <f>VLOOKUP(C42,STN_TABLE,3,FALSE)</f>
        <v>9.3649999999999984</v>
      </c>
      <c r="M44" t="str">
        <f>CONCATENATE("A(",C44,")=")</f>
        <v>A(0.75)=</v>
      </c>
      <c r="N44">
        <f>J44+L44</f>
        <v>29.71833333333333</v>
      </c>
      <c r="O44" s="99">
        <f>O43+1</f>
        <v>5</v>
      </c>
      <c r="P44" s="99">
        <f t="shared" si="10"/>
        <v>1</v>
      </c>
      <c r="Q44" s="82">
        <f>IF(P44-P43=P43-P42,P44,IF(P45-P43=P43-P42,P45,IF(P44-P43=P43-P41,P44,IF(P45-P43=P43-P41,P45,"-"))))</f>
        <v>1</v>
      </c>
      <c r="R44" s="83">
        <f>VLOOKUP(Q44,STN_TABLE,2,FALSE)</f>
        <v>10.7</v>
      </c>
      <c r="S44" s="83">
        <v>-1</v>
      </c>
      <c r="T44" s="82">
        <f>R44*S44</f>
        <v>-10.7</v>
      </c>
      <c r="U44" s="88">
        <v>-1</v>
      </c>
      <c r="V44" s="82">
        <f>R44*U44</f>
        <v>-10.7</v>
      </c>
      <c r="W44" s="84" t="str">
        <f>CONCATENATE("a'(",Q43,")=")</f>
        <v>a'(0.75)=</v>
      </c>
      <c r="X44" s="84">
        <f>2*X42/12*T45</f>
        <v>10.358333333333333</v>
      </c>
      <c r="Y44" s="84" t="str">
        <f>CONCATENATE("A(",Q42,")=")</f>
        <v>A(0.5)=</v>
      </c>
      <c r="Z44" s="84">
        <f>VLOOKUP(Q42,STN_TABLE,3,FALSE)</f>
        <v>19.38</v>
      </c>
      <c r="AA44" t="str">
        <f>CONCATENATE("A(",Q43,")=")</f>
        <v>A(0.75)=</v>
      </c>
      <c r="AB44">
        <f>X44+Z44</f>
        <v>29.73833333333333</v>
      </c>
      <c r="AC44" s="99">
        <f>AC43+1</f>
        <v>4</v>
      </c>
      <c r="AD44" s="100">
        <f>VLOOKUP(AC44,STN_TABLE_2,2,FALSE)</f>
        <v>0.75</v>
      </c>
      <c r="AE44" s="82">
        <f>VLOOKUP(AD44,STN_TABLE,2,FALSE)</f>
        <v>10.5</v>
      </c>
      <c r="AF44" s="82">
        <v>2</v>
      </c>
      <c r="AG44" s="83">
        <f>AE44*AF44</f>
        <v>21</v>
      </c>
      <c r="AH44" s="84" t="str">
        <f>CONCATENATE("a'(",AD44,")=")</f>
        <v>a'(0.75)=</v>
      </c>
      <c r="AI44" s="84">
        <f>2*AI42/2*AE45</f>
        <v>10.35</v>
      </c>
      <c r="AJ44" s="84" t="str">
        <f>CONCATENATE("A(",AD43,")=")</f>
        <v>A(0.5)=</v>
      </c>
      <c r="AK44" s="84">
        <f>VLOOKUP(AD43,STN_TABLE,3,FALSE)</f>
        <v>19.38</v>
      </c>
      <c r="AL44" t="str">
        <f>CONCATENATE("A(",AD44,")=")</f>
        <v>A(0.75)=</v>
      </c>
      <c r="AM44">
        <f>AI44+AK44</f>
        <v>29.729999999999997</v>
      </c>
      <c r="AO44" s="68" t="str">
        <f>AA44</f>
        <v>A(0.75)=</v>
      </c>
      <c r="AP44" s="68" t="e">
        <f>VLOOKUP(AO44,Rise_Results,2,FALSE)</f>
        <v>#N/A</v>
      </c>
      <c r="AQ44" s="76">
        <f>N44</f>
        <v>29.71833333333333</v>
      </c>
      <c r="AR44" s="76">
        <f>IF(OR(AB44&lt;=0,AB45&lt;=0),1/0,AB44)</f>
        <v>29.73833333333333</v>
      </c>
      <c r="AS44" s="76">
        <f>AM44</f>
        <v>29.729999999999997</v>
      </c>
      <c r="AT44">
        <f>IFERROR(AP44,IFERROR(AQ44,IFERROR(AR44,AS44)))</f>
        <v>29.71833333333333</v>
      </c>
      <c r="AU44" s="81"/>
    </row>
    <row r="45" spans="1:47" x14ac:dyDescent="0.25">
      <c r="A45" s="94">
        <f>A44+1</f>
        <v>4</v>
      </c>
      <c r="B45" s="94">
        <f t="shared" si="11"/>
        <v>0.75</v>
      </c>
      <c r="F45" s="82">
        <f>SUM(F42:F44)</f>
        <v>61.059999999999995</v>
      </c>
      <c r="H45" s="82">
        <f>SUM(H42:H44)</f>
        <v>30.715</v>
      </c>
      <c r="I45" s="84" t="str">
        <f>CONCATENATE("m'(",C44,")=")</f>
        <v>m'(0.75)=</v>
      </c>
      <c r="J45" s="84">
        <f>2*(J42*(WLS))/3*H45</f>
        <v>20.476666666666667</v>
      </c>
      <c r="K45" s="84" t="str">
        <f>CONCATENATE("M(",C42,")=")</f>
        <v>M(0.25)=</v>
      </c>
      <c r="L45" s="84">
        <f>VLOOKUP(C42,STN_TABLE,4,FALSE)</f>
        <v>2.3770833333333332</v>
      </c>
      <c r="M45" t="str">
        <f>CONCATENATE("M(",C44,")=")</f>
        <v>M(0.75)=</v>
      </c>
      <c r="N45">
        <f>J45+L45</f>
        <v>22.853749999999998</v>
      </c>
      <c r="O45" s="99">
        <f>O44+1</f>
        <v>6</v>
      </c>
      <c r="P45" s="99">
        <f t="shared" si="10"/>
        <v>2</v>
      </c>
      <c r="T45" s="89">
        <f>SUM(T42:T44)</f>
        <v>124.3</v>
      </c>
      <c r="V45" s="82">
        <f>SUM(V42:V44)</f>
        <v>124.89999999999999</v>
      </c>
      <c r="W45" s="84" t="str">
        <f>CONCATENATE("m'(",Q43,")=")</f>
        <v>m'(0.75)=</v>
      </c>
      <c r="X45" s="84">
        <f>(2*(X42^2)/24*V45)+(X44*Q42*WLS)</f>
        <v>12.960416666666665</v>
      </c>
      <c r="Y45" s="84" t="str">
        <f>CONCATENATE("M(",Q42,")=")</f>
        <v>M(0.5)=</v>
      </c>
      <c r="Z45" s="84">
        <f>VLOOKUP(Q42,STN_TABLE,4,FALSE)</f>
        <v>9.9066666666666663</v>
      </c>
      <c r="AA45" t="str">
        <f>CONCATENATE("M(",Q43,")=")</f>
        <v>M(0.75)=</v>
      </c>
      <c r="AB45">
        <f>X45+Z45</f>
        <v>22.867083333333333</v>
      </c>
      <c r="AE45" s="89">
        <f>SUM(AE43:AE44)</f>
        <v>20.7</v>
      </c>
      <c r="AG45" s="89">
        <f>SUM(AG43:AG44)</f>
        <v>31.2</v>
      </c>
      <c r="AH45" s="84" t="str">
        <f>CONCATENATE("m'(",AD44,")=")</f>
        <v>m'(0.75)=</v>
      </c>
      <c r="AI45" s="84">
        <f>(2*(AI42^2)/6*AG45)+(AI44*AD43*WLS)</f>
        <v>12.95</v>
      </c>
      <c r="AJ45" s="84" t="str">
        <f>CONCATENATE("M(",AD43,")=")</f>
        <v>M(0.5)=</v>
      </c>
      <c r="AK45" s="84">
        <f>VLOOKUP(AD43,STN_TABLE,4,FALSE)</f>
        <v>9.9066666666666663</v>
      </c>
      <c r="AL45" t="str">
        <f>CONCATENATE("M(",AD44,")=")</f>
        <v>M(0.75)=</v>
      </c>
      <c r="AM45">
        <f>AI45+AK45</f>
        <v>22.856666666666666</v>
      </c>
      <c r="AO45" s="82" t="str">
        <f>AA45</f>
        <v>M(0.75)=</v>
      </c>
      <c r="AP45" s="82" t="e">
        <f>VLOOKUP(AO45,Rise_Results,2,FALSE)</f>
        <v>#N/A</v>
      </c>
      <c r="AQ45" s="82">
        <f>N45</f>
        <v>22.853749999999998</v>
      </c>
      <c r="AR45" s="82">
        <f>IF(OR(AB44&lt;=0,AB45&lt;=0),1/0,AB45)</f>
        <v>22.867083333333333</v>
      </c>
      <c r="AS45" s="82">
        <f>AM45</f>
        <v>22.856666666666666</v>
      </c>
      <c r="AT45">
        <f>IFERROR(AP45,IFERROR(AQ45,IFERROR(AR45,AS45)))</f>
        <v>22.853749999999998</v>
      </c>
      <c r="AU45" s="81"/>
    </row>
    <row r="46" spans="1:47" x14ac:dyDescent="0.25">
      <c r="A46" s="101">
        <f>A41+1</f>
        <v>1</v>
      </c>
      <c r="B46" s="101">
        <f t="shared" si="11"/>
        <v>0</v>
      </c>
      <c r="O46" s="101">
        <f>O41+1</f>
        <v>3</v>
      </c>
      <c r="P46" s="101">
        <f t="shared" si="10"/>
        <v>0.5</v>
      </c>
      <c r="AU46" s="81"/>
    </row>
    <row r="47" spans="1:47" x14ac:dyDescent="0.25">
      <c r="A47" s="84">
        <f>A46+1</f>
        <v>2</v>
      </c>
      <c r="B47" s="84">
        <f t="shared" si="11"/>
        <v>0.25</v>
      </c>
      <c r="C47" s="79">
        <f>IF(C48=B49,IF(C49-C48=C48-B48,B48,IF(C49-C48=C48-B47,B47,"#NA")),IF(C48=B48,IF(C49-C48=C48-B47,B47,IF(C49-C48=C48-B46,B46,"#NA")),"#NA"))</f>
        <v>0.5</v>
      </c>
      <c r="D47" s="68">
        <f>VLOOKUP(C47,STN_TABLE,2,FALSE)</f>
        <v>10.199999999999999</v>
      </c>
      <c r="E47" s="102">
        <v>1</v>
      </c>
      <c r="F47" s="68">
        <f>D47*E47</f>
        <v>10.199999999999999</v>
      </c>
      <c r="G47" s="69">
        <f>C47</f>
        <v>0.5</v>
      </c>
      <c r="H47" s="69">
        <f>F47*G47</f>
        <v>5.0999999999999996</v>
      </c>
      <c r="I47" s="6" t="s">
        <v>93</v>
      </c>
      <c r="J47" s="70">
        <f>IF(OR(D47=0,D48=0,D49=0),"#NA",IF(AND(C49-C48=C48-C47,C48&lt;&gt;C49,C47&lt;&gt;C48,C47&lt;&gt;C49,D49&lt;&gt;0,OR(D47&lt;&gt;0,D48&lt;&gt;0)),WLS*(C49-C48),"#NA"))</f>
        <v>0.5</v>
      </c>
      <c r="O47" s="99">
        <f>O46+1</f>
        <v>4</v>
      </c>
      <c r="P47" s="99">
        <f t="shared" si="10"/>
        <v>0.75</v>
      </c>
      <c r="Q47" s="68" t="str">
        <f>IF(OR(P49-P48=P48-P47,P50-P48=P48-P47),P47,IF(OR(P49-P48=P48-P46,P50-P48=P48-P46),P46,"-"))</f>
        <v>-</v>
      </c>
      <c r="R47" s="69" t="e">
        <f>VLOOKUP(Q47,STN_TABLE,2,FALSE)</f>
        <v>#N/A</v>
      </c>
      <c r="S47" s="69">
        <v>5</v>
      </c>
      <c r="T47" s="68" t="e">
        <f>R47*S47</f>
        <v>#N/A</v>
      </c>
      <c r="U47" s="79">
        <v>3</v>
      </c>
      <c r="V47" s="68" t="e">
        <f>R47*U47</f>
        <v>#N/A</v>
      </c>
      <c r="W47" s="6" t="s">
        <v>93</v>
      </c>
      <c r="X47" s="70" t="e">
        <f>IF(AND(Q49-Q48=Q48-Q47,NOT(AND(Q47=0,Q48=0)),NOT(AND(Q48=0,Q49=0))),WLS*(Q49-Q48),"#NA")</f>
        <v>#VALUE!</v>
      </c>
      <c r="AD47" s="93"/>
      <c r="AH47" s="6" t="s">
        <v>93</v>
      </c>
      <c r="AI47" s="70">
        <f>WLS*(AD49-AD48)</f>
        <v>0.5</v>
      </c>
      <c r="AU47" s="81"/>
    </row>
    <row r="48" spans="1:47" x14ac:dyDescent="0.25">
      <c r="A48" s="84">
        <f>A47+1</f>
        <v>3</v>
      </c>
      <c r="B48" s="84">
        <f t="shared" si="11"/>
        <v>0.5</v>
      </c>
      <c r="C48" s="80">
        <f>IF(OR(B50-B49=B49-B48,B50-B49=B49-B47,B50-B49=B49-B46),B49,IF(OR(B50-B48=B48-B47,B50-B48=B48-B46),B48,IF(B50-B47=B47-B46,B47,"#NA")))</f>
        <v>0.75</v>
      </c>
      <c r="D48" s="76">
        <f>VLOOKUP(C48,STN_TABLE,2,FALSE)</f>
        <v>10.5</v>
      </c>
      <c r="E48" s="81">
        <v>4</v>
      </c>
      <c r="F48" s="76">
        <f>D48*E48</f>
        <v>42</v>
      </c>
      <c r="G48" s="77">
        <f>C48</f>
        <v>0.75</v>
      </c>
      <c r="H48" s="77">
        <f>F48*G48</f>
        <v>31.5</v>
      </c>
      <c r="I48" s="496" t="s">
        <v>97</v>
      </c>
      <c r="J48" s="496"/>
      <c r="K48" s="78" t="s">
        <v>98</v>
      </c>
      <c r="L48" s="78"/>
      <c r="M48" s="7" t="s">
        <v>99</v>
      </c>
      <c r="N48" s="7"/>
      <c r="O48" s="99">
        <f>O47+1</f>
        <v>5</v>
      </c>
      <c r="P48" s="99">
        <f t="shared" si="10"/>
        <v>1</v>
      </c>
      <c r="Q48" s="76">
        <f>P48</f>
        <v>1</v>
      </c>
      <c r="R48" s="77">
        <f>VLOOKUP(Q48,STN_TABLE,2,FALSE)</f>
        <v>10.7</v>
      </c>
      <c r="S48" s="77">
        <v>8</v>
      </c>
      <c r="T48" s="76">
        <f>R48*S48</f>
        <v>85.6</v>
      </c>
      <c r="U48" s="80">
        <v>10</v>
      </c>
      <c r="V48" s="76">
        <f>R48*U48</f>
        <v>107</v>
      </c>
      <c r="W48" s="496" t="s">
        <v>97</v>
      </c>
      <c r="X48" s="496"/>
      <c r="Y48" s="496" t="s">
        <v>98</v>
      </c>
      <c r="Z48" s="496"/>
      <c r="AA48" s="494" t="s">
        <v>99</v>
      </c>
      <c r="AB48" s="494"/>
      <c r="AC48" s="99">
        <f>AC43+1</f>
        <v>4</v>
      </c>
      <c r="AD48" s="95">
        <f>VLOOKUP(AC48,STN_TABLE_2,2,FALSE)</f>
        <v>0.75</v>
      </c>
      <c r="AE48" s="68">
        <f>VLOOKUP(AD48,STN_TABLE,2,FALSE)</f>
        <v>10.5</v>
      </c>
      <c r="AF48" s="68">
        <v>1</v>
      </c>
      <c r="AG48" s="69">
        <f>AE48*AF48</f>
        <v>10.5</v>
      </c>
      <c r="AH48" s="496" t="s">
        <v>97</v>
      </c>
      <c r="AI48" s="496"/>
      <c r="AJ48" s="496" t="s">
        <v>98</v>
      </c>
      <c r="AK48" s="496"/>
      <c r="AL48" s="494" t="s">
        <v>99</v>
      </c>
      <c r="AM48" s="494"/>
      <c r="AP48" s="86" t="s">
        <v>112</v>
      </c>
      <c r="AQ48" s="89" t="s">
        <v>113</v>
      </c>
      <c r="AR48" s="89" t="s">
        <v>114</v>
      </c>
      <c r="AS48" s="89" t="s">
        <v>115</v>
      </c>
      <c r="AU48" s="81"/>
    </row>
    <row r="49" spans="1:47" x14ac:dyDescent="0.25">
      <c r="A49" s="84">
        <f>A48+1</f>
        <v>4</v>
      </c>
      <c r="B49" s="84">
        <f t="shared" si="11"/>
        <v>0.75</v>
      </c>
      <c r="C49" s="88">
        <f>B50</f>
        <v>1</v>
      </c>
      <c r="D49" s="82">
        <f>VLOOKUP(C49,STN_TABLE,2,FALSE)</f>
        <v>10.7</v>
      </c>
      <c r="E49" s="92">
        <v>1</v>
      </c>
      <c r="F49" s="82">
        <f>D49*E49</f>
        <v>10.7</v>
      </c>
      <c r="G49" s="83">
        <f>C49</f>
        <v>1</v>
      </c>
      <c r="H49" s="83">
        <f>F49*G49</f>
        <v>10.7</v>
      </c>
      <c r="I49" s="84" t="str">
        <f>CONCATENATE("a'(",C49,")=")</f>
        <v>a'(1)=</v>
      </c>
      <c r="J49" s="84">
        <f>2*J47/3*F50</f>
        <v>20.966666666666669</v>
      </c>
      <c r="K49" s="84" t="str">
        <f>CONCATENATE("A(",C47,")=")</f>
        <v>A(0.5)=</v>
      </c>
      <c r="L49" s="84">
        <f>VLOOKUP(C47,STN_TABLE,3,FALSE)</f>
        <v>19.38</v>
      </c>
      <c r="M49" t="str">
        <f>CONCATENATE("A(",C49,")=")</f>
        <v>A(1)=</v>
      </c>
      <c r="N49">
        <f>J49+L49</f>
        <v>40.346666666666664</v>
      </c>
      <c r="O49" s="99">
        <f>O48+1</f>
        <v>6</v>
      </c>
      <c r="P49" s="99">
        <f t="shared" si="10"/>
        <v>2</v>
      </c>
      <c r="Q49" s="82" t="str">
        <f>IF(P49-P48=P48-P47,P49,IF(P50-P48=P48-P47,P50,IF(P49-P48=P48-P46,P49,IF(P50-P48=P48-P46,P50,"-"))))</f>
        <v>-</v>
      </c>
      <c r="R49" s="83" t="e">
        <f>VLOOKUP(Q49,STN_TABLE,2,FALSE)</f>
        <v>#N/A</v>
      </c>
      <c r="S49" s="83">
        <v>-1</v>
      </c>
      <c r="T49" s="82" t="e">
        <f>R49*S49</f>
        <v>#N/A</v>
      </c>
      <c r="U49" s="88">
        <v>-1</v>
      </c>
      <c r="V49" s="82" t="e">
        <f>R49*U49</f>
        <v>#N/A</v>
      </c>
      <c r="W49" s="84" t="str">
        <f>CONCATENATE("a'(",Q48,")=")</f>
        <v>a'(1)=</v>
      </c>
      <c r="X49" s="84" t="e">
        <f>2*X47/12*T50</f>
        <v>#VALUE!</v>
      </c>
      <c r="Y49" s="84" t="str">
        <f>CONCATENATE("A(",Q47,")=")</f>
        <v>A(-)=</v>
      </c>
      <c r="Z49" s="84" t="e">
        <f>VLOOKUP(Q47,STN_TABLE,3,FALSE)</f>
        <v>#N/A</v>
      </c>
      <c r="AA49" t="str">
        <f>CONCATENATE("A(",Q48,")=")</f>
        <v>A(1)=</v>
      </c>
      <c r="AB49" t="e">
        <f>X49+Z49</f>
        <v>#VALUE!</v>
      </c>
      <c r="AC49" s="99">
        <f>AC48+1</f>
        <v>5</v>
      </c>
      <c r="AD49" s="100">
        <f>VLOOKUP(AC49,STN_TABLE_2,2,FALSE)</f>
        <v>1</v>
      </c>
      <c r="AE49" s="82">
        <f>VLOOKUP(AD49,STN_TABLE,2,FALSE)</f>
        <v>10.7</v>
      </c>
      <c r="AF49" s="82">
        <v>2</v>
      </c>
      <c r="AG49" s="83">
        <f>AE49*AF49</f>
        <v>21.4</v>
      </c>
      <c r="AH49" s="84" t="str">
        <f>CONCATENATE("a'(",AD49,")=")</f>
        <v>a'(1)=</v>
      </c>
      <c r="AI49" s="84">
        <f>2*AI47/2*AE50</f>
        <v>10.6</v>
      </c>
      <c r="AJ49" s="84" t="str">
        <f>CONCATENATE("A(",AD48,")=")</f>
        <v>A(0.75)=</v>
      </c>
      <c r="AK49" s="84">
        <f>VLOOKUP(AD48,STN_TABLE,3,FALSE)</f>
        <v>29.71833333333333</v>
      </c>
      <c r="AL49" t="str">
        <f>CONCATENATE("A(",AD49,")=")</f>
        <v>A(1)=</v>
      </c>
      <c r="AM49">
        <f>AI49+AK49</f>
        <v>40.318333333333328</v>
      </c>
      <c r="AO49" s="68" t="str">
        <f>AA49</f>
        <v>A(1)=</v>
      </c>
      <c r="AP49" s="68" t="e">
        <f>VLOOKUP(AO49,Rise_Results,2,FALSE)</f>
        <v>#N/A</v>
      </c>
      <c r="AQ49" s="76">
        <f>N49</f>
        <v>40.346666666666664</v>
      </c>
      <c r="AR49" s="76" t="e">
        <f>IF(OR(AB49&lt;=0,AB50&lt;=0),1/0,AB49)</f>
        <v>#VALUE!</v>
      </c>
      <c r="AS49" s="76">
        <f>AM49</f>
        <v>40.318333333333328</v>
      </c>
      <c r="AT49">
        <f>IFERROR(AP49,IFERROR(AQ49,IFERROR(AR49,AS49)))</f>
        <v>40.346666666666664</v>
      </c>
      <c r="AU49" s="81"/>
    </row>
    <row r="50" spans="1:47" x14ac:dyDescent="0.25">
      <c r="A50" s="84">
        <f>A49+1</f>
        <v>5</v>
      </c>
      <c r="B50" s="84">
        <f t="shared" si="11"/>
        <v>1</v>
      </c>
      <c r="F50" s="82">
        <f>SUM(F47:F49)</f>
        <v>62.900000000000006</v>
      </c>
      <c r="H50" s="82">
        <f>SUM(H47:H49)</f>
        <v>47.3</v>
      </c>
      <c r="I50" s="84" t="str">
        <f>CONCATENATE("m'(",C49,")=")</f>
        <v>m'(1)=</v>
      </c>
      <c r="J50" s="84">
        <f>2*(J47*(WLS))/3*H50</f>
        <v>31.533333333333331</v>
      </c>
      <c r="K50" s="84" t="str">
        <f>CONCATENATE("M(",C47,")=")</f>
        <v>M(0.5)=</v>
      </c>
      <c r="L50" s="84">
        <f>VLOOKUP(C47,STN_TABLE,4,FALSE)</f>
        <v>9.9066666666666663</v>
      </c>
      <c r="M50" t="str">
        <f>CONCATENATE("M(",C49,")=")</f>
        <v>M(1)=</v>
      </c>
      <c r="N50">
        <f>J50+L50</f>
        <v>41.44</v>
      </c>
      <c r="O50" s="99">
        <f>O49+1</f>
        <v>7</v>
      </c>
      <c r="P50" s="99">
        <f t="shared" si="10"/>
        <v>3</v>
      </c>
      <c r="T50" s="89" t="e">
        <f>SUM(T47:T49)</f>
        <v>#N/A</v>
      </c>
      <c r="V50" s="82" t="e">
        <f>SUM(V47:V49)</f>
        <v>#N/A</v>
      </c>
      <c r="W50" s="84" t="str">
        <f>CONCATENATE("m'(",Q48,")=")</f>
        <v>m'(1)=</v>
      </c>
      <c r="X50" s="84" t="e">
        <f>(2*(X47^2)/24*V50)+(X49*Q47*WLS)</f>
        <v>#VALUE!</v>
      </c>
      <c r="Y50" s="84" t="str">
        <f>CONCATENATE("M(",Q47,")=")</f>
        <v>M(-)=</v>
      </c>
      <c r="Z50" s="84" t="e">
        <f>VLOOKUP(Q47,STN_TABLE,4,FALSE)</f>
        <v>#N/A</v>
      </c>
      <c r="AA50" t="str">
        <f>CONCATENATE("M(",Q48,")=")</f>
        <v>M(1)=</v>
      </c>
      <c r="AB50" t="e">
        <f>X50+Z50</f>
        <v>#VALUE!</v>
      </c>
      <c r="AE50" s="89">
        <f>SUM(AE48:AE49)</f>
        <v>21.2</v>
      </c>
      <c r="AG50" s="89">
        <f>SUM(AG48:AG49)</f>
        <v>31.9</v>
      </c>
      <c r="AH50" s="84" t="str">
        <f>CONCATENATE("m'(",AD49,")=")</f>
        <v>m'(1)=</v>
      </c>
      <c r="AI50" s="84">
        <f>(2*(AI47^2)/6*AG50)+(AI49*AD48*WLS)</f>
        <v>18.55833333333333</v>
      </c>
      <c r="AJ50" s="84" t="str">
        <f>CONCATENATE("M(",AD48,")=")</f>
        <v>M(0.75)=</v>
      </c>
      <c r="AK50" s="84">
        <f>VLOOKUP(AD48,STN_TABLE,4,FALSE)</f>
        <v>22.853749999999998</v>
      </c>
      <c r="AL50" t="str">
        <f>CONCATENATE("M(",AD49,")=")</f>
        <v>M(1)=</v>
      </c>
      <c r="AM50">
        <f>AI50+AK50</f>
        <v>41.412083333333328</v>
      </c>
      <c r="AO50" s="82" t="str">
        <f>AA50</f>
        <v>M(1)=</v>
      </c>
      <c r="AP50" s="82" t="e">
        <f>VLOOKUP(AO50,Rise_Results,2,FALSE)</f>
        <v>#N/A</v>
      </c>
      <c r="AQ50" s="82">
        <f>N50</f>
        <v>41.44</v>
      </c>
      <c r="AR50" s="82" t="e">
        <f>IF(OR(AB49&lt;=0,AB50&lt;=0),1/0,AB50)</f>
        <v>#VALUE!</v>
      </c>
      <c r="AS50" s="82">
        <f>AM50</f>
        <v>41.412083333333328</v>
      </c>
      <c r="AT50">
        <f>IFERROR(AP50,IFERROR(AQ50,IFERROR(AR50,AS50)))</f>
        <v>41.44</v>
      </c>
      <c r="AU50" s="81"/>
    </row>
    <row r="51" spans="1:47" x14ac:dyDescent="0.25">
      <c r="A51" s="101">
        <f>A46+1</f>
        <v>2</v>
      </c>
      <c r="B51" s="101">
        <f t="shared" si="11"/>
        <v>0.25</v>
      </c>
      <c r="O51" s="101">
        <f>O46+1</f>
        <v>4</v>
      </c>
      <c r="P51" s="101">
        <f t="shared" si="10"/>
        <v>0.75</v>
      </c>
      <c r="AU51" s="81"/>
    </row>
    <row r="52" spans="1:47" x14ac:dyDescent="0.25">
      <c r="A52" s="84">
        <f>A51+1</f>
        <v>3</v>
      </c>
      <c r="B52" s="84">
        <f t="shared" si="11"/>
        <v>0.5</v>
      </c>
      <c r="C52" s="79" t="str">
        <f t="shared" ref="C52" si="12">IF(C53=B54,IF(C54-C53=C53-B53,B53,IF(C54-C53=C53-B52,B52,"#NA")),IF(C53=B53,IF(C54-C53=C53-B52,B52,IF(C54-C53=C53-B51,B51,"#NA")),"#NA"))</f>
        <v>#NA</v>
      </c>
      <c r="D52" s="68" t="e">
        <f>VLOOKUP(C52,STN_TABLE,2,FALSE)</f>
        <v>#N/A</v>
      </c>
      <c r="E52" s="102">
        <v>1</v>
      </c>
      <c r="F52" s="68" t="e">
        <f>D52*E52</f>
        <v>#N/A</v>
      </c>
      <c r="G52" s="69" t="str">
        <f>C52</f>
        <v>#NA</v>
      </c>
      <c r="H52" s="69" t="e">
        <f>F52*G52</f>
        <v>#N/A</v>
      </c>
      <c r="I52" s="6" t="s">
        <v>93</v>
      </c>
      <c r="J52" s="70" t="e">
        <f>IF(OR(D52=0,D53=0,D54=0),"#NA",IF(AND(C54-C53=C53-C52,C53&lt;&gt;C54,C52&lt;&gt;C53,C52&lt;&gt;C54,D54&lt;&gt;0,OR(D52&lt;&gt;0,D53&lt;&gt;0)),WLS*(C54-C53),"#NA"))</f>
        <v>#N/A</v>
      </c>
      <c r="O52" s="99">
        <f>O51+1</f>
        <v>5</v>
      </c>
      <c r="P52" s="99">
        <f t="shared" si="10"/>
        <v>1</v>
      </c>
      <c r="Q52" s="68">
        <f>IF(OR(P54-P53=P53-P52,P55-P53=P53-P52),P52,IF(OR(P54-P53=P53-P51,P55-P53=P53-P51),P51,"-"))</f>
        <v>1</v>
      </c>
      <c r="R52" s="69">
        <f>VLOOKUP(Q52,STN_TABLE,2,FALSE)</f>
        <v>10.7</v>
      </c>
      <c r="S52" s="69">
        <v>5</v>
      </c>
      <c r="T52" s="68">
        <f>R52*S52</f>
        <v>53.5</v>
      </c>
      <c r="U52" s="79">
        <v>3</v>
      </c>
      <c r="V52" s="68">
        <f>R52*U52</f>
        <v>32.099999999999994</v>
      </c>
      <c r="W52" s="6" t="s">
        <v>93</v>
      </c>
      <c r="X52" s="70">
        <f>IF(AND(Q54-Q53=Q53-Q52,NOT(AND(Q52=0,Q53=0)),NOT(AND(Q53=0,Q54=0))),WLS*(Q54-Q53),"#NA")</f>
        <v>2</v>
      </c>
      <c r="AD52" s="93"/>
      <c r="AH52" s="6" t="s">
        <v>93</v>
      </c>
      <c r="AI52" s="70">
        <f>WLS*(AD54-AD53)</f>
        <v>2</v>
      </c>
      <c r="AU52" s="81"/>
    </row>
    <row r="53" spans="1:47" x14ac:dyDescent="0.25">
      <c r="A53" s="84">
        <f>A52+1</f>
        <v>4</v>
      </c>
      <c r="B53" s="84">
        <f t="shared" si="11"/>
        <v>0.75</v>
      </c>
      <c r="C53" s="80" t="str">
        <f t="shared" ref="C53" si="13">IF(OR(B55-B54=B54-B53,B55-B54=B54-B52,B55-B54=B54-B51),B54,IF(OR(B55-B53=B53-B52,B55-B53=B53-B51),B53,IF(B55-B52=B52-B51,B52,"#NA")))</f>
        <v>#NA</v>
      </c>
      <c r="D53" s="76" t="e">
        <f>VLOOKUP(C53,STN_TABLE,2,FALSE)</f>
        <v>#N/A</v>
      </c>
      <c r="E53" s="81">
        <v>4</v>
      </c>
      <c r="F53" s="76" t="e">
        <f>D53*E53</f>
        <v>#N/A</v>
      </c>
      <c r="G53" s="77" t="str">
        <f>C53</f>
        <v>#NA</v>
      </c>
      <c r="H53" s="77" t="e">
        <f>F53*G53</f>
        <v>#N/A</v>
      </c>
      <c r="I53" s="495" t="s">
        <v>97</v>
      </c>
      <c r="J53" s="496"/>
      <c r="K53" s="78" t="s">
        <v>98</v>
      </c>
      <c r="L53" s="78"/>
      <c r="M53" s="7" t="s">
        <v>99</v>
      </c>
      <c r="N53" s="7"/>
      <c r="O53" s="99">
        <f>O52+1</f>
        <v>6</v>
      </c>
      <c r="P53" s="99">
        <f t="shared" si="10"/>
        <v>2</v>
      </c>
      <c r="Q53" s="76">
        <f>P53</f>
        <v>2</v>
      </c>
      <c r="R53" s="77">
        <f>VLOOKUP(Q53,STN_TABLE,2,FALSE)</f>
        <v>11</v>
      </c>
      <c r="S53" s="77">
        <v>8</v>
      </c>
      <c r="T53" s="76">
        <f>R53*S53</f>
        <v>88</v>
      </c>
      <c r="U53" s="80">
        <v>10</v>
      </c>
      <c r="V53" s="76">
        <f>R53*U53</f>
        <v>110</v>
      </c>
      <c r="W53" s="496" t="s">
        <v>97</v>
      </c>
      <c r="X53" s="496"/>
      <c r="Y53" s="496" t="s">
        <v>98</v>
      </c>
      <c r="Z53" s="496"/>
      <c r="AA53" s="494" t="s">
        <v>99</v>
      </c>
      <c r="AB53" s="494"/>
      <c r="AC53" s="99">
        <f>AC48+1</f>
        <v>5</v>
      </c>
      <c r="AD53" s="95">
        <f>VLOOKUP(AC53,STN_TABLE_2,2,FALSE)</f>
        <v>1</v>
      </c>
      <c r="AE53" s="68">
        <f>VLOOKUP(AD53,STN_TABLE,2,FALSE)</f>
        <v>10.7</v>
      </c>
      <c r="AF53" s="68">
        <v>1</v>
      </c>
      <c r="AG53" s="69">
        <f>AE53*AF53</f>
        <v>10.7</v>
      </c>
      <c r="AH53" s="496" t="s">
        <v>97</v>
      </c>
      <c r="AI53" s="496"/>
      <c r="AJ53" s="496" t="s">
        <v>98</v>
      </c>
      <c r="AK53" s="496"/>
      <c r="AL53" s="494" t="s">
        <v>99</v>
      </c>
      <c r="AM53" s="494"/>
      <c r="AP53" s="86" t="s">
        <v>112</v>
      </c>
      <c r="AQ53" s="89" t="s">
        <v>113</v>
      </c>
      <c r="AR53" s="89" t="s">
        <v>114</v>
      </c>
      <c r="AS53" s="89" t="s">
        <v>115</v>
      </c>
      <c r="AU53" s="81"/>
    </row>
    <row r="54" spans="1:47" x14ac:dyDescent="0.25">
      <c r="A54" s="84">
        <f>A53+1</f>
        <v>5</v>
      </c>
      <c r="B54" s="84">
        <f t="shared" si="11"/>
        <v>1</v>
      </c>
      <c r="C54" s="88">
        <f t="shared" ref="C54" si="14">B55</f>
        <v>2</v>
      </c>
      <c r="D54" s="82">
        <f>VLOOKUP(C54,STN_TABLE,2,FALSE)</f>
        <v>11</v>
      </c>
      <c r="E54" s="92">
        <v>1</v>
      </c>
      <c r="F54" s="82">
        <f>D54*E54</f>
        <v>11</v>
      </c>
      <c r="G54" s="83">
        <f>C54</f>
        <v>2</v>
      </c>
      <c r="H54" s="83">
        <f>F54*G54</f>
        <v>22</v>
      </c>
      <c r="I54" s="84" t="str">
        <f>CONCATENATE("a'(",C54,")=")</f>
        <v>a'(2)=</v>
      </c>
      <c r="J54" s="84" t="e">
        <f>2*J52/3*F55</f>
        <v>#N/A</v>
      </c>
      <c r="K54" s="84" t="str">
        <f>CONCATENATE("A(",C52,")=")</f>
        <v>A(#NA)=</v>
      </c>
      <c r="L54" s="84" t="e">
        <f>VLOOKUP(C52,STN_TABLE,3,FALSE)</f>
        <v>#N/A</v>
      </c>
      <c r="M54" t="str">
        <f>CONCATENATE("A(",C54,")=")</f>
        <v>A(2)=</v>
      </c>
      <c r="N54" t="e">
        <f>J54+L54</f>
        <v>#N/A</v>
      </c>
      <c r="O54" s="99">
        <f>O53+1</f>
        <v>7</v>
      </c>
      <c r="P54" s="99">
        <f t="shared" si="10"/>
        <v>3</v>
      </c>
      <c r="Q54" s="82">
        <f>IF(P54-P53=P53-P52,P54,IF(P55-P53=P53-P52,P55,IF(P54-P53=P53-P51,P54,IF(P55-P53=P53-P51,P55,"-"))))</f>
        <v>3</v>
      </c>
      <c r="R54" s="83">
        <f>VLOOKUP(Q54,STN_TABLE,2,FALSE)</f>
        <v>11</v>
      </c>
      <c r="S54" s="83">
        <v>-1</v>
      </c>
      <c r="T54" s="82">
        <f>R54*S54</f>
        <v>-11</v>
      </c>
      <c r="U54" s="88">
        <v>-1</v>
      </c>
      <c r="V54" s="82">
        <f>R54*U54</f>
        <v>-11</v>
      </c>
      <c r="W54" s="84" t="str">
        <f>CONCATENATE("a'(",Q53,")=")</f>
        <v>a'(2)=</v>
      </c>
      <c r="X54" s="84">
        <f>2*X52/12*T55</f>
        <v>43.5</v>
      </c>
      <c r="Y54" s="84" t="str">
        <f>CONCATENATE("A(",Q52,")=")</f>
        <v>A(1)=</v>
      </c>
      <c r="Z54" s="84">
        <f>VLOOKUP(Q52,STN_TABLE,3,FALSE)</f>
        <v>40.346666666666664</v>
      </c>
      <c r="AA54" t="str">
        <f>CONCATENATE("A(",Q53,")=")</f>
        <v>A(2)=</v>
      </c>
      <c r="AB54">
        <f>X54+Z54</f>
        <v>83.846666666666664</v>
      </c>
      <c r="AC54" s="99">
        <f>AC53+1</f>
        <v>6</v>
      </c>
      <c r="AD54" s="100">
        <f>VLOOKUP(AC54,STN_TABLE_2,2,FALSE)</f>
        <v>2</v>
      </c>
      <c r="AE54" s="82">
        <f>VLOOKUP(AD54,STN_TABLE,2,FALSE)</f>
        <v>11</v>
      </c>
      <c r="AF54" s="82">
        <v>2</v>
      </c>
      <c r="AG54" s="83">
        <f>AE54*AF54</f>
        <v>22</v>
      </c>
      <c r="AH54" s="84" t="str">
        <f>CONCATENATE("a'(",AD54,")=")</f>
        <v>a'(2)=</v>
      </c>
      <c r="AI54" s="84">
        <f>2*AI52/2*AE55</f>
        <v>43.4</v>
      </c>
      <c r="AJ54" s="84" t="str">
        <f>CONCATENATE("A(",AD53,")=")</f>
        <v>A(1)=</v>
      </c>
      <c r="AK54" s="84">
        <f>VLOOKUP(AD53,STN_TABLE,3,FALSE)</f>
        <v>40.346666666666664</v>
      </c>
      <c r="AL54" t="str">
        <f>CONCATENATE("A(",AD54,")=")</f>
        <v>A(2)=</v>
      </c>
      <c r="AM54">
        <f>AI54+AK54</f>
        <v>83.74666666666667</v>
      </c>
      <c r="AO54" s="68" t="str">
        <f>AA54</f>
        <v>A(2)=</v>
      </c>
      <c r="AP54" s="68" t="e">
        <f>VLOOKUP(AO54,Rise_Results,2,FALSE)</f>
        <v>#N/A</v>
      </c>
      <c r="AQ54" s="76" t="e">
        <f>N54</f>
        <v>#N/A</v>
      </c>
      <c r="AR54" s="76">
        <f>IF(OR(AB54&lt;=0,AB55&lt;=0),1/0,AB54)</f>
        <v>83.846666666666664</v>
      </c>
      <c r="AS54" s="76">
        <f>AM54</f>
        <v>83.74666666666667</v>
      </c>
      <c r="AT54">
        <f>IFERROR(AP54,IFERROR(AQ54,IFERROR(AR54,AS54)))</f>
        <v>83.846666666666664</v>
      </c>
      <c r="AU54" s="81"/>
    </row>
    <row r="55" spans="1:47" x14ac:dyDescent="0.25">
      <c r="A55" s="84">
        <f>A54+1</f>
        <v>6</v>
      </c>
      <c r="B55" s="84">
        <f t="shared" si="11"/>
        <v>2</v>
      </c>
      <c r="F55" s="82" t="e">
        <f>SUM(F52:F54)</f>
        <v>#N/A</v>
      </c>
      <c r="H55" s="82" t="e">
        <f>SUM(H52:H54)</f>
        <v>#N/A</v>
      </c>
      <c r="I55" s="84" t="str">
        <f>CONCATENATE("m'(",C54,")=")</f>
        <v>m'(2)=</v>
      </c>
      <c r="J55" s="84" t="e">
        <f>2*(J52*(WLS))/3*H55</f>
        <v>#N/A</v>
      </c>
      <c r="K55" s="84" t="str">
        <f>CONCATENATE("M(",C52,")=")</f>
        <v>M(#NA)=</v>
      </c>
      <c r="L55" s="84" t="e">
        <f>VLOOKUP(C52,STN_TABLE,4,FALSE)</f>
        <v>#N/A</v>
      </c>
      <c r="M55" t="str">
        <f>CONCATENATE("M(",C54,")=")</f>
        <v>M(2)=</v>
      </c>
      <c r="N55" t="e">
        <f>J55+L55</f>
        <v>#N/A</v>
      </c>
      <c r="O55" s="99">
        <f>O54+1</f>
        <v>8</v>
      </c>
      <c r="P55" s="99">
        <f t="shared" si="10"/>
        <v>4</v>
      </c>
      <c r="T55" s="89">
        <f>SUM(T52:T54)</f>
        <v>130.5</v>
      </c>
      <c r="V55" s="82">
        <f>SUM(V52:V54)</f>
        <v>131.1</v>
      </c>
      <c r="W55" s="84" t="str">
        <f>CONCATENATE("m'(",Q53,")=")</f>
        <v>m'(2)=</v>
      </c>
      <c r="X55" s="84">
        <f>(2*(X52^2)/24*V55)+(X54*Q52*WLS)</f>
        <v>130.69999999999999</v>
      </c>
      <c r="Y55" s="84" t="str">
        <f>CONCATENATE("M(",Q52,")=")</f>
        <v>M(1)=</v>
      </c>
      <c r="Z55" s="84">
        <f>VLOOKUP(Q52,STN_TABLE,4,FALSE)</f>
        <v>41.44</v>
      </c>
      <c r="AA55" t="str">
        <f>CONCATENATE("M(",Q53,")=")</f>
        <v>M(2)=</v>
      </c>
      <c r="AB55">
        <f>X55+Z55</f>
        <v>172.14</v>
      </c>
      <c r="AE55" s="89">
        <f>SUM(AE53:AE54)</f>
        <v>21.7</v>
      </c>
      <c r="AG55" s="89">
        <f>SUM(AG53:AG54)</f>
        <v>32.700000000000003</v>
      </c>
      <c r="AH55" s="84" t="str">
        <f>CONCATENATE("m'(",AD54,")=")</f>
        <v>m'(2)=</v>
      </c>
      <c r="AI55" s="84">
        <f>(2*(AI52^2)/6*AG55)+(AI54*AD53*WLS)</f>
        <v>130.4</v>
      </c>
      <c r="AJ55" s="84" t="str">
        <f>CONCATENATE("M(",AD53,")=")</f>
        <v>M(1)=</v>
      </c>
      <c r="AK55" s="84">
        <f>VLOOKUP(AD53,STN_TABLE,4,FALSE)</f>
        <v>41.44</v>
      </c>
      <c r="AL55" t="str">
        <f>CONCATENATE("M(",AD54,")=")</f>
        <v>M(2)=</v>
      </c>
      <c r="AM55">
        <f>AI55+AK55</f>
        <v>171.84</v>
      </c>
      <c r="AO55" s="82" t="str">
        <f>AA55</f>
        <v>M(2)=</v>
      </c>
      <c r="AP55" s="82" t="e">
        <f>VLOOKUP(AO55,Rise_Results,2,FALSE)</f>
        <v>#N/A</v>
      </c>
      <c r="AQ55" s="82" t="e">
        <f>N55</f>
        <v>#N/A</v>
      </c>
      <c r="AR55" s="82">
        <f>IF(OR(AB54&lt;=0,AB55&lt;=0),1/0,AB55)</f>
        <v>172.14</v>
      </c>
      <c r="AS55" s="82">
        <f>AM55</f>
        <v>171.84</v>
      </c>
      <c r="AT55">
        <f>IFERROR(AP55,IFERROR(AQ55,IFERROR(AR55,AS55)))</f>
        <v>172.14</v>
      </c>
      <c r="AU55" s="81"/>
    </row>
    <row r="56" spans="1:47" x14ac:dyDescent="0.25">
      <c r="A56" s="101">
        <f>A51+1</f>
        <v>3</v>
      </c>
      <c r="B56" s="101">
        <f t="shared" si="11"/>
        <v>0.5</v>
      </c>
      <c r="O56" s="101">
        <f>O51+1</f>
        <v>5</v>
      </c>
      <c r="P56" s="101">
        <f t="shared" si="10"/>
        <v>1</v>
      </c>
      <c r="AU56" s="81"/>
    </row>
    <row r="57" spans="1:47" x14ac:dyDescent="0.25">
      <c r="A57" s="84">
        <f>A56+1</f>
        <v>4</v>
      </c>
      <c r="B57" s="84">
        <f t="shared" si="11"/>
        <v>0.75</v>
      </c>
      <c r="C57" s="79">
        <f t="shared" ref="C57" si="15">IF(C58=B59,IF(C59-C58=C58-B58,B58,IF(C59-C58=C58-B57,B57,"#NA")),IF(C58=B58,IF(C59-C58=C58-B57,B57,IF(C59-C58=C58-B56,B56,"#NA")),"#NA"))</f>
        <v>1</v>
      </c>
      <c r="D57" s="68">
        <f>VLOOKUP(C57,STN_TABLE,2,FALSE)</f>
        <v>10.7</v>
      </c>
      <c r="E57" s="102">
        <v>1</v>
      </c>
      <c r="F57" s="68">
        <f>D57*E57</f>
        <v>10.7</v>
      </c>
      <c r="G57" s="69">
        <f>C57</f>
        <v>1</v>
      </c>
      <c r="H57" s="69">
        <f>F57*G57</f>
        <v>10.7</v>
      </c>
      <c r="I57" s="6" t="s">
        <v>93</v>
      </c>
      <c r="J57" s="70">
        <f>IF(OR(D57=0,D58=0,D59=0),"#NA",IF(AND(C59-C58=C58-C57,C58&lt;&gt;C59,C57&lt;&gt;C58,C57&lt;&gt;C59,D59&lt;&gt;0,OR(D57&lt;&gt;0,D58&lt;&gt;0)),WLS*(C59-C58),"#NA"))</f>
        <v>2</v>
      </c>
      <c r="O57" s="99">
        <f>O56+1</f>
        <v>6</v>
      </c>
      <c r="P57" s="99">
        <f t="shared" si="10"/>
        <v>2</v>
      </c>
      <c r="Q57" s="68">
        <f>IF(OR(P59-P58=P58-P57,P60-P58=P58-P57),P57,IF(OR(P59-P58=P58-P56,P60-P58=P58-P56),P56,"-"))</f>
        <v>2</v>
      </c>
      <c r="R57" s="69">
        <f>VLOOKUP(Q57,STN_TABLE,2,FALSE)</f>
        <v>11</v>
      </c>
      <c r="S57" s="69">
        <v>5</v>
      </c>
      <c r="T57" s="68">
        <f>R57*S57</f>
        <v>55</v>
      </c>
      <c r="U57" s="79">
        <v>3</v>
      </c>
      <c r="V57" s="68">
        <f>R57*U57</f>
        <v>33</v>
      </c>
      <c r="W57" s="6" t="s">
        <v>93</v>
      </c>
      <c r="X57" s="70">
        <f>IF(AND(Q59-Q58=Q58-Q57,NOT(AND(Q57=0,Q58=0)),NOT(AND(Q58=0,Q59=0))),WLS*(Q59-Q58),"#NA")</f>
        <v>2</v>
      </c>
      <c r="AD57" s="93"/>
      <c r="AH57" s="6" t="s">
        <v>93</v>
      </c>
      <c r="AI57" s="70">
        <f>WLS*(AD59-AD58)</f>
        <v>2</v>
      </c>
      <c r="AU57" s="81"/>
    </row>
    <row r="58" spans="1:47" x14ac:dyDescent="0.25">
      <c r="A58" s="84">
        <f>A57+1</f>
        <v>5</v>
      </c>
      <c r="B58" s="84">
        <f t="shared" si="11"/>
        <v>1</v>
      </c>
      <c r="C58" s="80">
        <f t="shared" ref="C58" si="16">IF(OR(B60-B59=B59-B58,B60-B59=B59-B57,B60-B59=B59-B56),B59,IF(OR(B60-B58=B58-B57,B60-B58=B58-B56),B58,IF(B60-B57=B57-B56,B57,"#NA")))</f>
        <v>2</v>
      </c>
      <c r="D58" s="76">
        <f>VLOOKUP(C58,STN_TABLE,2,FALSE)</f>
        <v>11</v>
      </c>
      <c r="E58" s="81">
        <v>4</v>
      </c>
      <c r="F58" s="76">
        <f>D58*E58</f>
        <v>44</v>
      </c>
      <c r="G58" s="77">
        <f>C58</f>
        <v>2</v>
      </c>
      <c r="H58" s="77">
        <f>F58*G58</f>
        <v>88</v>
      </c>
      <c r="I58" s="495" t="s">
        <v>97</v>
      </c>
      <c r="J58" s="496"/>
      <c r="K58" s="78" t="s">
        <v>98</v>
      </c>
      <c r="L58" s="78"/>
      <c r="M58" s="7" t="s">
        <v>99</v>
      </c>
      <c r="N58" s="7"/>
      <c r="O58" s="99">
        <f>O57+1</f>
        <v>7</v>
      </c>
      <c r="P58" s="99">
        <f t="shared" si="10"/>
        <v>3</v>
      </c>
      <c r="Q58" s="76">
        <f>P58</f>
        <v>3</v>
      </c>
      <c r="R58" s="77">
        <f>VLOOKUP(Q58,STN_TABLE,2,FALSE)</f>
        <v>11</v>
      </c>
      <c r="S58" s="77">
        <v>8</v>
      </c>
      <c r="T58" s="76">
        <f>R58*S58</f>
        <v>88</v>
      </c>
      <c r="U58" s="80">
        <v>10</v>
      </c>
      <c r="V58" s="76">
        <f>R58*U58</f>
        <v>110</v>
      </c>
      <c r="W58" s="78" t="s">
        <v>97</v>
      </c>
      <c r="X58" s="78"/>
      <c r="Y58" s="78" t="s">
        <v>98</v>
      </c>
      <c r="Z58" s="78"/>
      <c r="AA58" s="7" t="s">
        <v>99</v>
      </c>
      <c r="AB58" s="7"/>
      <c r="AC58" s="99">
        <f>AC53+1</f>
        <v>6</v>
      </c>
      <c r="AD58" s="95">
        <f>VLOOKUP(AC58,STN_TABLE_2,2,FALSE)</f>
        <v>2</v>
      </c>
      <c r="AE58" s="68">
        <f>VLOOKUP(AD58,STN_TABLE,2,FALSE)</f>
        <v>11</v>
      </c>
      <c r="AF58" s="68">
        <v>1</v>
      </c>
      <c r="AG58" s="69">
        <f>AE58*AF58</f>
        <v>11</v>
      </c>
      <c r="AH58" s="496" t="s">
        <v>97</v>
      </c>
      <c r="AI58" s="496"/>
      <c r="AJ58" s="496" t="s">
        <v>98</v>
      </c>
      <c r="AK58" s="496"/>
      <c r="AL58" s="494" t="s">
        <v>99</v>
      </c>
      <c r="AM58" s="494"/>
      <c r="AP58" s="86" t="s">
        <v>112</v>
      </c>
      <c r="AQ58" s="89" t="s">
        <v>113</v>
      </c>
      <c r="AR58" s="89" t="s">
        <v>114</v>
      </c>
      <c r="AS58" s="89" t="s">
        <v>115</v>
      </c>
      <c r="AU58" s="81"/>
    </row>
    <row r="59" spans="1:47" x14ac:dyDescent="0.25">
      <c r="A59" s="84">
        <f>A58+1</f>
        <v>6</v>
      </c>
      <c r="B59" s="84">
        <f t="shared" si="11"/>
        <v>2</v>
      </c>
      <c r="C59" s="88">
        <f t="shared" ref="C59" si="17">B60</f>
        <v>3</v>
      </c>
      <c r="D59" s="82">
        <f>VLOOKUP(C59,STN_TABLE,2,FALSE)</f>
        <v>11</v>
      </c>
      <c r="E59" s="92">
        <v>1</v>
      </c>
      <c r="F59" s="82">
        <f>D59*E59</f>
        <v>11</v>
      </c>
      <c r="G59" s="83">
        <f>C59</f>
        <v>3</v>
      </c>
      <c r="H59" s="83">
        <f>F59*G59</f>
        <v>33</v>
      </c>
      <c r="I59" s="84" t="str">
        <f>CONCATENATE("a'(",C59,")=")</f>
        <v>a'(3)=</v>
      </c>
      <c r="J59" s="84">
        <f>2*J57/3*F60</f>
        <v>87.6</v>
      </c>
      <c r="K59" s="84" t="str">
        <f>CONCATENATE("A(",C57,")=")</f>
        <v>A(1)=</v>
      </c>
      <c r="L59" s="84">
        <f>VLOOKUP(C57,STN_TABLE,3,FALSE)</f>
        <v>40.346666666666664</v>
      </c>
      <c r="M59" t="str">
        <f>CONCATENATE("A(",C59,")=")</f>
        <v>A(3)=</v>
      </c>
      <c r="N59">
        <f>J59+L59</f>
        <v>127.94666666666666</v>
      </c>
      <c r="O59" s="99">
        <f>O58+1</f>
        <v>8</v>
      </c>
      <c r="P59" s="99">
        <f t="shared" si="10"/>
        <v>4</v>
      </c>
      <c r="Q59" s="82">
        <f>IF(P59-P58=P58-P57,P59,IF(P60-P58=P58-P57,P60,IF(P59-P58=P58-P56,P59,IF(P60-P58=P58-P56,P60,"-"))))</f>
        <v>4</v>
      </c>
      <c r="R59" s="83">
        <f>VLOOKUP(Q59,STN_TABLE,2,FALSE)</f>
        <v>11</v>
      </c>
      <c r="S59" s="83">
        <v>-1</v>
      </c>
      <c r="T59" s="82">
        <f>R59*S59</f>
        <v>-11</v>
      </c>
      <c r="U59" s="88">
        <v>-1</v>
      </c>
      <c r="V59" s="82">
        <f>R59*U59</f>
        <v>-11</v>
      </c>
      <c r="W59" s="84" t="str">
        <f>CONCATENATE("a'(",Q58,")=")</f>
        <v>a'(3)=</v>
      </c>
      <c r="X59" s="84">
        <f>2*X57/12*T60</f>
        <v>44</v>
      </c>
      <c r="Y59" s="84" t="str">
        <f>CONCATENATE("A(",Q57,")=")</f>
        <v>A(2)=</v>
      </c>
      <c r="Z59" s="84">
        <f>VLOOKUP(Q57,STN_TABLE,3,FALSE)</f>
        <v>83.846666666666664</v>
      </c>
      <c r="AA59" t="str">
        <f>CONCATENATE("A(",Q58,")=")</f>
        <v>A(3)=</v>
      </c>
      <c r="AB59">
        <f>X59+Z59</f>
        <v>127.84666666666666</v>
      </c>
      <c r="AC59" s="99">
        <f>AC58+1</f>
        <v>7</v>
      </c>
      <c r="AD59" s="100">
        <f>VLOOKUP(AC59,STN_TABLE_2,2,FALSE)</f>
        <v>3</v>
      </c>
      <c r="AE59" s="82">
        <f>VLOOKUP(AD59,STN_TABLE,2,FALSE)</f>
        <v>11</v>
      </c>
      <c r="AF59" s="82">
        <v>2</v>
      </c>
      <c r="AG59" s="83">
        <f>AE59*AF59</f>
        <v>22</v>
      </c>
      <c r="AH59" s="84" t="str">
        <f>CONCATENATE("a'(",AD59,")=")</f>
        <v>a'(3)=</v>
      </c>
      <c r="AI59" s="84">
        <f>2*AI57/2*AE60</f>
        <v>44</v>
      </c>
      <c r="AJ59" s="84" t="str">
        <f>CONCATENATE("A(",AD58,")=")</f>
        <v>A(2)=</v>
      </c>
      <c r="AK59" s="84">
        <f>VLOOKUP(AD58,STN_TABLE,3,FALSE)</f>
        <v>83.846666666666664</v>
      </c>
      <c r="AL59" t="str">
        <f>CONCATENATE("A(",AD59,")=")</f>
        <v>A(3)=</v>
      </c>
      <c r="AM59">
        <f>AI59+AK59</f>
        <v>127.84666666666666</v>
      </c>
      <c r="AO59" s="68" t="str">
        <f>AA59</f>
        <v>A(3)=</v>
      </c>
      <c r="AP59" s="68" t="e">
        <f>VLOOKUP(AO59,Rise_Results,2,FALSE)</f>
        <v>#N/A</v>
      </c>
      <c r="AQ59" s="76">
        <f>N59</f>
        <v>127.94666666666666</v>
      </c>
      <c r="AR59" s="76">
        <f>IF(OR(AB59&lt;=0,AB60&lt;=0),1/0,AB59)</f>
        <v>127.84666666666666</v>
      </c>
      <c r="AS59" s="76">
        <f>AM59</f>
        <v>127.84666666666666</v>
      </c>
      <c r="AT59">
        <f>IFERROR(AP59,IFERROR(AQ59,IFERROR(AR59,AS59)))</f>
        <v>127.94666666666666</v>
      </c>
      <c r="AU59" s="81"/>
    </row>
    <row r="60" spans="1:47" x14ac:dyDescent="0.25">
      <c r="A60" s="84">
        <f>A59+1</f>
        <v>7</v>
      </c>
      <c r="B60" s="84">
        <f t="shared" si="11"/>
        <v>3</v>
      </c>
      <c r="F60" s="82">
        <f>SUM(F57:F59)</f>
        <v>65.7</v>
      </c>
      <c r="H60" s="82">
        <f>SUM(H57:H59)</f>
        <v>131.69999999999999</v>
      </c>
      <c r="I60" s="84" t="str">
        <f>CONCATENATE("m'(",C59,")=")</f>
        <v>m'(3)=</v>
      </c>
      <c r="J60" s="84">
        <f>2*(J57*(WLS))/3*H60</f>
        <v>351.19999999999993</v>
      </c>
      <c r="K60" s="84" t="str">
        <f>CONCATENATE("M(",C57,")=")</f>
        <v>M(1)=</v>
      </c>
      <c r="L60" s="84">
        <f>VLOOKUP(C57,STN_TABLE,4,FALSE)</f>
        <v>41.44</v>
      </c>
      <c r="M60" t="str">
        <f>CONCATENATE("M(",C59,")=")</f>
        <v>M(3)=</v>
      </c>
      <c r="N60">
        <f>J60+L60</f>
        <v>392.63999999999993</v>
      </c>
      <c r="O60" s="99">
        <f>O59+1</f>
        <v>9</v>
      </c>
      <c r="P60" s="99">
        <f t="shared" si="10"/>
        <v>4.8499999999999996</v>
      </c>
      <c r="T60" s="89">
        <f>SUM(T57:T59)</f>
        <v>132</v>
      </c>
      <c r="V60" s="82">
        <f>SUM(V57:V59)</f>
        <v>132</v>
      </c>
      <c r="W60" s="84" t="str">
        <f>CONCATENATE("m'(",Q58,")=")</f>
        <v>m'(3)=</v>
      </c>
      <c r="X60" s="84">
        <f>(2*(X57^2)/24*V60)+(X59*Q57*WLS)</f>
        <v>220</v>
      </c>
      <c r="Y60" s="84" t="str">
        <f>CONCATENATE("M(",Q57,")=")</f>
        <v>M(2)=</v>
      </c>
      <c r="Z60" s="84">
        <f>VLOOKUP(Q57,STN_TABLE,4,FALSE)</f>
        <v>172.14</v>
      </c>
      <c r="AA60" t="str">
        <f>CONCATENATE("M(",Q58,")=")</f>
        <v>M(3)=</v>
      </c>
      <c r="AB60">
        <f>X60+Z60</f>
        <v>392.14</v>
      </c>
      <c r="AE60" s="89">
        <f>SUM(AE58:AE59)</f>
        <v>22</v>
      </c>
      <c r="AG60" s="89">
        <f>SUM(AG58:AG59)</f>
        <v>33</v>
      </c>
      <c r="AH60" s="84" t="str">
        <f>CONCATENATE("m'(",AD59,")=")</f>
        <v>m'(3)=</v>
      </c>
      <c r="AI60" s="84">
        <f>(2*(AI57^2)/6*AG60)+(AI59*AD58*WLS)</f>
        <v>220</v>
      </c>
      <c r="AJ60" s="84" t="str">
        <f>CONCATENATE("M(",AD58,")=")</f>
        <v>M(2)=</v>
      </c>
      <c r="AK60" s="84">
        <f>VLOOKUP(AD57,STN_TABLE,4,FALSE)</f>
        <v>0</v>
      </c>
      <c r="AL60" t="str">
        <f>CONCATENATE("M(",AD59,")=")</f>
        <v>M(3)=</v>
      </c>
      <c r="AM60">
        <f>AI60+AK60</f>
        <v>220</v>
      </c>
      <c r="AO60" s="82" t="str">
        <f>AA60</f>
        <v>M(3)=</v>
      </c>
      <c r="AP60" s="82" t="e">
        <f>VLOOKUP(AO60,Rise_Results,2,FALSE)</f>
        <v>#N/A</v>
      </c>
      <c r="AQ60" s="82">
        <f>N60</f>
        <v>392.63999999999993</v>
      </c>
      <c r="AR60" s="82">
        <f>IF(OR(AB59&lt;=0,AB60&lt;=0),1/0,AB60)</f>
        <v>392.14</v>
      </c>
      <c r="AS60" s="82">
        <f>AM60</f>
        <v>220</v>
      </c>
      <c r="AT60">
        <f>IFERROR(AP60,IFERROR(AQ60,IFERROR(AR60,AS60)))</f>
        <v>392.63999999999993</v>
      </c>
      <c r="AU60" s="81"/>
    </row>
    <row r="61" spans="1:47" x14ac:dyDescent="0.25">
      <c r="A61" s="101">
        <f>A56+1</f>
        <v>4</v>
      </c>
      <c r="B61" s="101">
        <f t="shared" si="11"/>
        <v>0.75</v>
      </c>
      <c r="O61" s="101">
        <f>O56+1</f>
        <v>6</v>
      </c>
      <c r="P61" s="101">
        <f t="shared" si="10"/>
        <v>2</v>
      </c>
      <c r="AU61" s="81"/>
    </row>
    <row r="62" spans="1:47" x14ac:dyDescent="0.25">
      <c r="A62" s="84">
        <f>A61+1</f>
        <v>5</v>
      </c>
      <c r="B62" s="84">
        <f t="shared" si="11"/>
        <v>1</v>
      </c>
      <c r="C62" s="79">
        <f t="shared" ref="C62" si="18">IF(C63=B64,IF(C64-C63=C63-B63,B63,IF(C64-C63=C63-B62,B62,"#NA")),IF(C63=B63,IF(C64-C63=C63-B62,B62,IF(C64-C63=C63-B61,B61,"#NA")),"#NA"))</f>
        <v>2</v>
      </c>
      <c r="D62" s="68">
        <f>VLOOKUP(C62,STN_TABLE,2,FALSE)</f>
        <v>11</v>
      </c>
      <c r="E62" s="102">
        <v>1</v>
      </c>
      <c r="F62" s="68">
        <f>D62*E62</f>
        <v>11</v>
      </c>
      <c r="G62" s="69">
        <f>C62</f>
        <v>2</v>
      </c>
      <c r="H62" s="69">
        <f>F62*G62</f>
        <v>22</v>
      </c>
      <c r="I62" s="6" t="s">
        <v>93</v>
      </c>
      <c r="J62" s="70">
        <f>IF(OR(D62=0,D63=0,D64=0),"#NA",IF(AND(C64-C63=C63-C62,C63&lt;&gt;C64,C62&lt;&gt;C63,C62&lt;&gt;C64,D64&lt;&gt;0,OR(D62&lt;&gt;0,D63&lt;&gt;0)),WLS*(C64-C63),"#NA"))</f>
        <v>2</v>
      </c>
      <c r="O62" s="99">
        <f>O61+1</f>
        <v>7</v>
      </c>
      <c r="P62" s="99">
        <f t="shared" si="10"/>
        <v>3</v>
      </c>
      <c r="Q62" s="68">
        <f>IF(OR(P64-P63=P63-P62,P65-P63=P63-P62),P62,IF(OR(P64-P63=P63-P61,P65-P63=P63-P61),P61,"-"))</f>
        <v>3</v>
      </c>
      <c r="R62" s="69">
        <f>VLOOKUP(Q62,STN_TABLE,2,FALSE)</f>
        <v>11</v>
      </c>
      <c r="S62" s="69">
        <v>5</v>
      </c>
      <c r="T62" s="68">
        <f>R62*S62</f>
        <v>55</v>
      </c>
      <c r="U62" s="79">
        <v>3</v>
      </c>
      <c r="V62" s="68">
        <f>R62*U62</f>
        <v>33</v>
      </c>
      <c r="W62" s="6" t="s">
        <v>93</v>
      </c>
      <c r="X62" s="70">
        <f>IF(AND(Q64-Q63=Q63-Q62,NOT(AND(Q62=0,Q63=0)),NOT(AND(Q63=0,Q64=0))),WLS*(Q64-Q63),"#NA")</f>
        <v>2</v>
      </c>
      <c r="AD62" s="93"/>
      <c r="AH62" s="6" t="s">
        <v>93</v>
      </c>
      <c r="AI62" s="70">
        <f>WLS*(AD64-AD63)</f>
        <v>2</v>
      </c>
      <c r="AU62" s="81"/>
    </row>
    <row r="63" spans="1:47" x14ac:dyDescent="0.25">
      <c r="A63" s="84">
        <f>A62+1</f>
        <v>6</v>
      </c>
      <c r="B63" s="84">
        <f t="shared" si="11"/>
        <v>2</v>
      </c>
      <c r="C63" s="80">
        <f t="shared" ref="C63" si="19">IF(OR(B65-B64=B64-B63,B65-B64=B64-B62,B65-B64=B64-B61),B64,IF(OR(B65-B63=B63-B62,B65-B63=B63-B61),B63,IF(B65-B62=B62-B61,B62,"#NA")))</f>
        <v>3</v>
      </c>
      <c r="D63" s="76">
        <f>VLOOKUP(C63,STN_TABLE,2,FALSE)</f>
        <v>11</v>
      </c>
      <c r="E63" s="81">
        <v>4</v>
      </c>
      <c r="F63" s="76">
        <f>D63*E63</f>
        <v>44</v>
      </c>
      <c r="G63" s="77">
        <f>C63</f>
        <v>3</v>
      </c>
      <c r="H63" s="77">
        <f>F63*G63</f>
        <v>132</v>
      </c>
      <c r="I63" s="495" t="s">
        <v>97</v>
      </c>
      <c r="J63" s="496"/>
      <c r="K63" s="78" t="s">
        <v>98</v>
      </c>
      <c r="L63" s="78"/>
      <c r="M63" s="7" t="s">
        <v>99</v>
      </c>
      <c r="N63" s="7"/>
      <c r="O63" s="99">
        <f>O62+1</f>
        <v>8</v>
      </c>
      <c r="P63" s="99">
        <f t="shared" si="10"/>
        <v>4</v>
      </c>
      <c r="Q63" s="76">
        <f>P63</f>
        <v>4</v>
      </c>
      <c r="R63" s="77">
        <f>VLOOKUP(Q63,STN_TABLE,2,FALSE)</f>
        <v>11</v>
      </c>
      <c r="S63" s="77">
        <v>8</v>
      </c>
      <c r="T63" s="76">
        <f>R63*S63</f>
        <v>88</v>
      </c>
      <c r="U63" s="80">
        <v>10</v>
      </c>
      <c r="V63" s="76">
        <f>R63*U63</f>
        <v>110</v>
      </c>
      <c r="W63" s="496" t="s">
        <v>97</v>
      </c>
      <c r="X63" s="496"/>
      <c r="Y63" s="496" t="s">
        <v>98</v>
      </c>
      <c r="Z63" s="496"/>
      <c r="AA63" s="494" t="s">
        <v>99</v>
      </c>
      <c r="AB63" s="494"/>
      <c r="AC63" s="99">
        <f>AC58+1</f>
        <v>7</v>
      </c>
      <c r="AD63" s="95">
        <f>VLOOKUP(AC63,STN_TABLE_2,2,FALSE)</f>
        <v>3</v>
      </c>
      <c r="AE63" s="68">
        <f>VLOOKUP(AD63,STN_TABLE,2,FALSE)</f>
        <v>11</v>
      </c>
      <c r="AF63" s="68">
        <v>1</v>
      </c>
      <c r="AG63" s="69">
        <f>AE63*AF63</f>
        <v>11</v>
      </c>
      <c r="AH63" s="496" t="s">
        <v>97</v>
      </c>
      <c r="AI63" s="496"/>
      <c r="AJ63" s="496" t="s">
        <v>98</v>
      </c>
      <c r="AK63" s="496"/>
      <c r="AL63" s="494" t="s">
        <v>99</v>
      </c>
      <c r="AM63" s="494"/>
      <c r="AP63" s="86" t="s">
        <v>112</v>
      </c>
      <c r="AQ63" s="89" t="s">
        <v>113</v>
      </c>
      <c r="AR63" s="89" t="s">
        <v>114</v>
      </c>
      <c r="AS63" s="89" t="s">
        <v>115</v>
      </c>
      <c r="AU63" s="81"/>
    </row>
    <row r="64" spans="1:47" x14ac:dyDescent="0.25">
      <c r="A64" s="84">
        <f>A63+1</f>
        <v>7</v>
      </c>
      <c r="B64" s="84">
        <f t="shared" si="11"/>
        <v>3</v>
      </c>
      <c r="C64" s="88">
        <f t="shared" ref="C64" si="20">B65</f>
        <v>4</v>
      </c>
      <c r="D64" s="82">
        <f>VLOOKUP(C64,STN_TABLE,2,FALSE)</f>
        <v>11</v>
      </c>
      <c r="E64" s="92">
        <v>1</v>
      </c>
      <c r="F64" s="82">
        <f>D64*E64</f>
        <v>11</v>
      </c>
      <c r="G64" s="83">
        <f>C64</f>
        <v>4</v>
      </c>
      <c r="H64" s="83">
        <f>F64*G64</f>
        <v>44</v>
      </c>
      <c r="I64" s="84" t="str">
        <f>CONCATENATE("a'(",C64,")=")</f>
        <v>a'(4)=</v>
      </c>
      <c r="J64" s="84">
        <f>2*J62/3*F65</f>
        <v>88</v>
      </c>
      <c r="K64" s="84" t="str">
        <f>CONCATENATE("A(",C62,")=")</f>
        <v>A(2)=</v>
      </c>
      <c r="L64" s="84">
        <f>VLOOKUP(C62,STN_TABLE,3,FALSE)</f>
        <v>83.846666666666664</v>
      </c>
      <c r="M64" t="str">
        <f>CONCATENATE("A(",C64,")=")</f>
        <v>A(4)=</v>
      </c>
      <c r="N64">
        <f>J64+L64</f>
        <v>171.84666666666666</v>
      </c>
      <c r="O64" s="99">
        <f>O63+1</f>
        <v>9</v>
      </c>
      <c r="P64" s="99">
        <f t="shared" si="10"/>
        <v>4.8499999999999996</v>
      </c>
      <c r="Q64" s="82">
        <f>IF(P64-P63=P63-P62,P64,IF(P65-P63=P63-P62,P65,IF(P64-P63=P63-P61,P64,IF(P65-P63=P63-P61,P65,"-"))))</f>
        <v>5</v>
      </c>
      <c r="R64" s="83">
        <f>VLOOKUP(Q64,STN_TABLE,2,FALSE)</f>
        <v>11</v>
      </c>
      <c r="S64" s="83">
        <v>-1</v>
      </c>
      <c r="T64" s="82">
        <f>R64*S64</f>
        <v>-11</v>
      </c>
      <c r="U64" s="88">
        <v>-1</v>
      </c>
      <c r="V64" s="82">
        <f>R64*U64</f>
        <v>-11</v>
      </c>
      <c r="W64" s="84" t="str">
        <f>CONCATENATE("a'(",Q63,")=")</f>
        <v>a'(4)=</v>
      </c>
      <c r="X64" s="84">
        <f>2*X62/12*T65</f>
        <v>44</v>
      </c>
      <c r="Y64" s="84" t="str">
        <f>CONCATENATE("A(",Q62,")=")</f>
        <v>A(3)=</v>
      </c>
      <c r="Z64" s="84">
        <f>VLOOKUP(Q62,STN_TABLE,3,FALSE)</f>
        <v>127.94666666666666</v>
      </c>
      <c r="AA64" t="str">
        <f>CONCATENATE("A(",Q63,")=")</f>
        <v>A(4)=</v>
      </c>
      <c r="AB64">
        <f>X64+Z64</f>
        <v>171.94666666666666</v>
      </c>
      <c r="AC64" s="99">
        <f>AC63+1</f>
        <v>8</v>
      </c>
      <c r="AD64" s="100">
        <f>VLOOKUP(AC64,STN_TABLE_2,2,FALSE)</f>
        <v>4</v>
      </c>
      <c r="AE64" s="82">
        <f>VLOOKUP(AD64,STN_TABLE,2,FALSE)</f>
        <v>11</v>
      </c>
      <c r="AF64" s="82">
        <v>2</v>
      </c>
      <c r="AG64" s="83">
        <f>AE64*AF64</f>
        <v>22</v>
      </c>
      <c r="AH64" s="84" t="str">
        <f>CONCATENATE("a'(",AD64,")=")</f>
        <v>a'(4)=</v>
      </c>
      <c r="AI64" s="84">
        <f>2*AI62/2*AE65</f>
        <v>44</v>
      </c>
      <c r="AJ64" s="84" t="str">
        <f>CONCATENATE("A(",AD63,")=")</f>
        <v>A(3)=</v>
      </c>
      <c r="AK64" s="84">
        <f>VLOOKUP(AD63,STN_TABLE,3,FALSE)</f>
        <v>127.94666666666666</v>
      </c>
      <c r="AL64" t="str">
        <f>CONCATENATE("A(",AD64,")=")</f>
        <v>A(4)=</v>
      </c>
      <c r="AM64">
        <f>AI64+AK64</f>
        <v>171.94666666666666</v>
      </c>
      <c r="AO64" s="68" t="str">
        <f>AA64</f>
        <v>A(4)=</v>
      </c>
      <c r="AP64" s="68" t="e">
        <f>VLOOKUP(AO64,Rise_Results,2,FALSE)</f>
        <v>#N/A</v>
      </c>
      <c r="AQ64" s="76">
        <f>N64</f>
        <v>171.84666666666666</v>
      </c>
      <c r="AR64" s="76">
        <f>IF(OR(AB64&lt;=0,AB65&lt;=0),1/0,AB64)</f>
        <v>171.94666666666666</v>
      </c>
      <c r="AS64" s="76">
        <f>AM64</f>
        <v>171.94666666666666</v>
      </c>
      <c r="AT64">
        <f>IFERROR(AP64,IFERROR(AQ64,IFERROR(AR64,AS64)))</f>
        <v>171.84666666666666</v>
      </c>
      <c r="AU64" s="81"/>
    </row>
    <row r="65" spans="1:47" x14ac:dyDescent="0.25">
      <c r="A65" s="84">
        <f>A64+1</f>
        <v>8</v>
      </c>
      <c r="B65" s="84">
        <f t="shared" si="11"/>
        <v>4</v>
      </c>
      <c r="F65" s="82">
        <f>SUM(F62:F64)</f>
        <v>66</v>
      </c>
      <c r="H65" s="82">
        <f>SUM(H62:H64)</f>
        <v>198</v>
      </c>
      <c r="I65" s="84" t="str">
        <f>CONCATENATE("m'(",C64,")=")</f>
        <v>m'(4)=</v>
      </c>
      <c r="J65" s="84">
        <f>2*(J62*(WLS))/3*H65</f>
        <v>528</v>
      </c>
      <c r="K65" s="84" t="str">
        <f>CONCATENATE("M(",C62,")=")</f>
        <v>M(2)=</v>
      </c>
      <c r="L65" s="84">
        <f>VLOOKUP(C62,STN_TABLE,4,FALSE)</f>
        <v>172.14</v>
      </c>
      <c r="M65" t="str">
        <f>CONCATENATE("M(",C64,")=")</f>
        <v>M(4)=</v>
      </c>
      <c r="N65">
        <f>J65+L65</f>
        <v>700.14</v>
      </c>
      <c r="O65" s="99">
        <f>O64+1</f>
        <v>10</v>
      </c>
      <c r="P65" s="99">
        <f t="shared" si="10"/>
        <v>5</v>
      </c>
      <c r="T65" s="89">
        <f>SUM(T62:T64)</f>
        <v>132</v>
      </c>
      <c r="V65" s="82">
        <f>SUM(V62:V64)</f>
        <v>132</v>
      </c>
      <c r="W65" s="84" t="str">
        <f>CONCATENATE("m'(",Q63,")=")</f>
        <v>m'(4)=</v>
      </c>
      <c r="X65" s="84">
        <f>(2*(X62^2)/24*V65)+(X64*Q62*WLS)</f>
        <v>308</v>
      </c>
      <c r="Y65" s="84" t="str">
        <f>CONCATENATE("M(",Q62,")=")</f>
        <v>M(3)=</v>
      </c>
      <c r="Z65" s="84">
        <f>VLOOKUP(Q62,STN_TABLE,4,FALSE)</f>
        <v>392.63999999999993</v>
      </c>
      <c r="AA65" t="str">
        <f>CONCATENATE("M(",Q63,")=")</f>
        <v>M(4)=</v>
      </c>
      <c r="AB65">
        <f>X65+Z65</f>
        <v>700.63999999999987</v>
      </c>
      <c r="AE65" s="89">
        <f>SUM(AE63:AE64)</f>
        <v>22</v>
      </c>
      <c r="AG65" s="89">
        <f>SUM(AG63:AG64)</f>
        <v>33</v>
      </c>
      <c r="AH65" s="84" t="str">
        <f>CONCATENATE("m'(",AD64,")=")</f>
        <v>m'(4)=</v>
      </c>
      <c r="AI65" s="84">
        <f>(2*(AI62^2)/6*AG65)+(AI64*AD63*WLS)</f>
        <v>308</v>
      </c>
      <c r="AJ65" s="84" t="str">
        <f>CONCATENATE("M(",AD63,")=")</f>
        <v>M(3)=</v>
      </c>
      <c r="AK65" s="84">
        <f>VLOOKUP(AD63,STN_TABLE,4,FALSE)</f>
        <v>392.63999999999993</v>
      </c>
      <c r="AL65" t="str">
        <f>CONCATENATE("M(",AD64,")=")</f>
        <v>M(4)=</v>
      </c>
      <c r="AM65">
        <f>AI65+AK65</f>
        <v>700.63999999999987</v>
      </c>
      <c r="AO65" s="82" t="str">
        <f>AA65</f>
        <v>M(4)=</v>
      </c>
      <c r="AP65" s="82" t="e">
        <f>VLOOKUP(AO65,Rise_Results,2,FALSE)</f>
        <v>#N/A</v>
      </c>
      <c r="AQ65" s="82">
        <f>N65</f>
        <v>700.14</v>
      </c>
      <c r="AR65" s="82">
        <f>IF(OR(AB64&lt;=0,AB65&lt;=0),1/0,AB65)</f>
        <v>700.63999999999987</v>
      </c>
      <c r="AS65" s="82">
        <f>AM65</f>
        <v>700.63999999999987</v>
      </c>
      <c r="AT65">
        <f>IFERROR(AP65,IFERROR(AQ65,IFERROR(AR65,AS65)))</f>
        <v>700.14</v>
      </c>
      <c r="AU65" s="81"/>
    </row>
    <row r="66" spans="1:47" x14ac:dyDescent="0.25">
      <c r="A66" s="101">
        <f>A61+1</f>
        <v>5</v>
      </c>
      <c r="B66" s="101">
        <f t="shared" si="11"/>
        <v>1</v>
      </c>
      <c r="O66" s="101">
        <f>O61+1</f>
        <v>7</v>
      </c>
      <c r="P66" s="101">
        <f t="shared" si="10"/>
        <v>3</v>
      </c>
      <c r="AU66" s="81"/>
    </row>
    <row r="67" spans="1:47" x14ac:dyDescent="0.25">
      <c r="A67" s="84">
        <f>A66+1</f>
        <v>6</v>
      </c>
      <c r="B67" s="84">
        <f t="shared" si="11"/>
        <v>2</v>
      </c>
      <c r="C67" s="79" t="str">
        <f t="shared" ref="C67" si="21">IF(C68=B69,IF(C69-C68=C68-B68,B68,IF(C69-C68=C68-B67,B67,"#NA")),IF(C68=B68,IF(C69-C68=C68-B67,B67,IF(C69-C68=C68-B66,B66,"#NA")),"#NA"))</f>
        <v>#NA</v>
      </c>
      <c r="D67" s="68" t="e">
        <f>VLOOKUP(C67,STN_TABLE,2,FALSE)</f>
        <v>#N/A</v>
      </c>
      <c r="E67" s="102">
        <v>1</v>
      </c>
      <c r="F67" s="68" t="e">
        <f>D67*E67</f>
        <v>#N/A</v>
      </c>
      <c r="G67" s="69" t="str">
        <f>C67</f>
        <v>#NA</v>
      </c>
      <c r="H67" s="69" t="e">
        <f>F67*G67</f>
        <v>#N/A</v>
      </c>
      <c r="I67" s="6" t="s">
        <v>93</v>
      </c>
      <c r="J67" s="70" t="e">
        <f>IF(OR(D67=0,D68=0,D69=0),"#NA",IF(AND(C69-C68=C68-C67,C68&lt;&gt;C69,C67&lt;&gt;C68,C67&lt;&gt;C69,D69&lt;&gt;0,OR(D67&lt;&gt;0,D68&lt;&gt;0)),WLS*(C69-C68),"#NA"))</f>
        <v>#N/A</v>
      </c>
      <c r="O67" s="99">
        <f>O66+1</f>
        <v>8</v>
      </c>
      <c r="P67" s="99">
        <f t="shared" si="10"/>
        <v>4</v>
      </c>
      <c r="Q67" s="68" t="str">
        <f>IF(OR(P69-P68=P68-P67,P70-P68=P68-P67),P67,IF(OR(P69-P68=P68-P66,P70-P68=P68-P66),P66,"-"))</f>
        <v>-</v>
      </c>
      <c r="R67" s="69" t="e">
        <f>VLOOKUP(Q67,STN_TABLE,2,FALSE)</f>
        <v>#N/A</v>
      </c>
      <c r="S67" s="69">
        <v>5</v>
      </c>
      <c r="T67" s="68" t="e">
        <f>R67*S67</f>
        <v>#N/A</v>
      </c>
      <c r="U67" s="79">
        <v>3</v>
      </c>
      <c r="V67" s="68" t="e">
        <f>R67*U67</f>
        <v>#N/A</v>
      </c>
      <c r="W67" s="6" t="s">
        <v>93</v>
      </c>
      <c r="X67" s="70" t="e">
        <f>IF(AND(Q69-Q68=Q68-Q67,NOT(AND(Q67=0,Q68=0)),NOT(AND(Q68=0,Q69=0))),WLS*(Q69-Q68),"#NA")</f>
        <v>#VALUE!</v>
      </c>
      <c r="AD67" s="93"/>
      <c r="AH67" s="6" t="s">
        <v>93</v>
      </c>
      <c r="AI67" s="70">
        <f>WLS*(AD69-AD68)</f>
        <v>1.6999999999999993</v>
      </c>
      <c r="AU67" s="81"/>
    </row>
    <row r="68" spans="1:47" x14ac:dyDescent="0.25">
      <c r="A68" s="84">
        <f>A67+1</f>
        <v>7</v>
      </c>
      <c r="B68" s="84">
        <f t="shared" si="11"/>
        <v>3</v>
      </c>
      <c r="C68" s="80" t="str">
        <f t="shared" ref="C68" si="22">IF(OR(B70-B69=B69-B68,B70-B69=B69-B67,B70-B69=B69-B66),B69,IF(OR(B70-B68=B68-B67,B70-B68=B68-B66),B68,IF(B70-B67=B67-B66,B67,"#NA")))</f>
        <v>#NA</v>
      </c>
      <c r="D68" s="76" t="e">
        <f>VLOOKUP(C68,STN_TABLE,2,FALSE)</f>
        <v>#N/A</v>
      </c>
      <c r="E68" s="81">
        <v>4</v>
      </c>
      <c r="F68" s="76" t="e">
        <f>D68*E68</f>
        <v>#N/A</v>
      </c>
      <c r="G68" s="77" t="str">
        <f>C68</f>
        <v>#NA</v>
      </c>
      <c r="H68" s="77" t="e">
        <f>F68*G68</f>
        <v>#N/A</v>
      </c>
      <c r="I68" s="495" t="s">
        <v>97</v>
      </c>
      <c r="J68" s="496"/>
      <c r="K68" s="78" t="s">
        <v>98</v>
      </c>
      <c r="L68" s="78"/>
      <c r="M68" s="7" t="s">
        <v>99</v>
      </c>
      <c r="N68" s="7"/>
      <c r="O68" s="99">
        <f>O67+1</f>
        <v>9</v>
      </c>
      <c r="P68" s="99">
        <f t="shared" ref="P68:P99" si="23">VLOOKUP(O68,STN_TABLE_2,2,FALSE)</f>
        <v>4.8499999999999996</v>
      </c>
      <c r="Q68" s="76">
        <f>P68</f>
        <v>4.8499999999999996</v>
      </c>
      <c r="R68" s="77">
        <f>VLOOKUP(Q68,STN_TABLE,2,FALSE)</f>
        <v>11</v>
      </c>
      <c r="S68" s="77">
        <v>8</v>
      </c>
      <c r="T68" s="76">
        <f>R68*S68</f>
        <v>88</v>
      </c>
      <c r="U68" s="80">
        <v>10</v>
      </c>
      <c r="V68" s="76">
        <f>R68*U68</f>
        <v>110</v>
      </c>
      <c r="W68" s="496" t="s">
        <v>97</v>
      </c>
      <c r="X68" s="496"/>
      <c r="Y68" s="496" t="s">
        <v>98</v>
      </c>
      <c r="Z68" s="496"/>
      <c r="AA68" s="494" t="s">
        <v>99</v>
      </c>
      <c r="AB68" s="494"/>
      <c r="AC68" s="99">
        <f>AC63+1</f>
        <v>8</v>
      </c>
      <c r="AD68" s="95">
        <f>VLOOKUP(AC68,STN_TABLE_2,2,FALSE)</f>
        <v>4</v>
      </c>
      <c r="AE68" s="68">
        <f>VLOOKUP(AD68,STN_TABLE,2,FALSE)</f>
        <v>11</v>
      </c>
      <c r="AF68" s="68">
        <v>1</v>
      </c>
      <c r="AG68" s="69">
        <f>AE68*AF68</f>
        <v>11</v>
      </c>
      <c r="AH68" s="496" t="s">
        <v>97</v>
      </c>
      <c r="AI68" s="496"/>
      <c r="AJ68" s="496" t="s">
        <v>98</v>
      </c>
      <c r="AK68" s="496"/>
      <c r="AL68" s="494" t="s">
        <v>99</v>
      </c>
      <c r="AM68" s="494"/>
      <c r="AP68" s="86" t="s">
        <v>112</v>
      </c>
      <c r="AQ68" s="89" t="s">
        <v>113</v>
      </c>
      <c r="AR68" s="89" t="s">
        <v>114</v>
      </c>
      <c r="AS68" s="89" t="s">
        <v>115</v>
      </c>
      <c r="AU68" s="81"/>
    </row>
    <row r="69" spans="1:47" x14ac:dyDescent="0.25">
      <c r="A69" s="84">
        <f>A68+1</f>
        <v>8</v>
      </c>
      <c r="B69" s="84">
        <f t="shared" si="11"/>
        <v>4</v>
      </c>
      <c r="C69" s="88">
        <f t="shared" ref="C69" si="24">B70</f>
        <v>4.8499999999999996</v>
      </c>
      <c r="D69" s="82">
        <f>VLOOKUP(C69,STN_TABLE,2,FALSE)</f>
        <v>11</v>
      </c>
      <c r="E69" s="92">
        <v>1</v>
      </c>
      <c r="F69" s="82">
        <f>D69*E69</f>
        <v>11</v>
      </c>
      <c r="G69" s="83">
        <f>C69</f>
        <v>4.8499999999999996</v>
      </c>
      <c r="H69" s="83">
        <f>F69*G69</f>
        <v>53.349999999999994</v>
      </c>
      <c r="I69" s="84" t="str">
        <f>CONCATENATE("a'(",C69,")=")</f>
        <v>a'(4.85)=</v>
      </c>
      <c r="J69" s="84" t="e">
        <f>2*J67/3*F70</f>
        <v>#N/A</v>
      </c>
      <c r="K69" s="84" t="str">
        <f>CONCATENATE("A(",C67,")=")</f>
        <v>A(#NA)=</v>
      </c>
      <c r="L69" s="84" t="e">
        <f>VLOOKUP(C67,STN_TABLE,3,FALSE)</f>
        <v>#N/A</v>
      </c>
      <c r="M69" t="str">
        <f>CONCATENATE("A(",C69,")=")</f>
        <v>A(4.85)=</v>
      </c>
      <c r="N69" t="e">
        <f>J69+L69</f>
        <v>#N/A</v>
      </c>
      <c r="O69" s="99">
        <f>O68+1</f>
        <v>10</v>
      </c>
      <c r="P69" s="99">
        <f t="shared" si="23"/>
        <v>5</v>
      </c>
      <c r="Q69" s="82" t="str">
        <f>IF(P69-P68=P68-P67,P69,IF(P70-P68=P68-P67,P70,IF(P69-P68=P68-P66,P69,IF(P70-P68=P68-P66,P70,"-"))))</f>
        <v>-</v>
      </c>
      <c r="R69" s="83" t="e">
        <f>VLOOKUP(Q69,STN_TABLE,2,FALSE)</f>
        <v>#N/A</v>
      </c>
      <c r="S69" s="83">
        <v>-1</v>
      </c>
      <c r="T69" s="82" t="e">
        <f>R69*S69</f>
        <v>#N/A</v>
      </c>
      <c r="U69" s="88">
        <v>-1</v>
      </c>
      <c r="V69" s="82" t="e">
        <f>R69*U69</f>
        <v>#N/A</v>
      </c>
      <c r="W69" s="84" t="str">
        <f>CONCATENATE("a'(",Q68,")=")</f>
        <v>a'(4.85)=</v>
      </c>
      <c r="X69" s="84" t="e">
        <f>2*X67/12*T70</f>
        <v>#VALUE!</v>
      </c>
      <c r="Y69" s="84" t="str">
        <f>CONCATENATE("A(",Q67,")=")</f>
        <v>A(-)=</v>
      </c>
      <c r="Z69" s="84" t="e">
        <f>VLOOKUP(Q67,STN_TABLE,3,FALSE)</f>
        <v>#N/A</v>
      </c>
      <c r="AA69" t="str">
        <f>CONCATENATE("A(",Q68,")=")</f>
        <v>A(4.85)=</v>
      </c>
      <c r="AB69" t="e">
        <f>X69+Z69</f>
        <v>#VALUE!</v>
      </c>
      <c r="AC69" s="99">
        <f>AC68+1</f>
        <v>9</v>
      </c>
      <c r="AD69" s="100">
        <f>VLOOKUP(AC69,STN_TABLE_2,2,FALSE)</f>
        <v>4.8499999999999996</v>
      </c>
      <c r="AE69" s="82">
        <f>VLOOKUP(AD69,STN_TABLE,2,FALSE)</f>
        <v>11</v>
      </c>
      <c r="AF69" s="82">
        <v>2</v>
      </c>
      <c r="AG69" s="83">
        <f>AE69*AF69</f>
        <v>22</v>
      </c>
      <c r="AH69" s="84" t="str">
        <f>CONCATENATE("a'(",AD69,")=")</f>
        <v>a'(4.85)=</v>
      </c>
      <c r="AI69" s="84">
        <f>2*AI67/2*AE70</f>
        <v>37.399999999999984</v>
      </c>
      <c r="AJ69" s="84" t="str">
        <f>CONCATENATE("A(",AD68,")=")</f>
        <v>A(4)=</v>
      </c>
      <c r="AK69" s="84">
        <f>VLOOKUP(AD68,STN_TABLE,3,FALSE)</f>
        <v>171.84666666666666</v>
      </c>
      <c r="AL69" t="str">
        <f>CONCATENATE("A(",AD69,")=")</f>
        <v>A(4.85)=</v>
      </c>
      <c r="AM69">
        <f>AI69+AK69</f>
        <v>209.24666666666664</v>
      </c>
      <c r="AO69" s="68" t="str">
        <f>AA69</f>
        <v>A(4.85)=</v>
      </c>
      <c r="AP69" s="68" t="e">
        <f>VLOOKUP(AO69,Rise_Results,2,FALSE)</f>
        <v>#N/A</v>
      </c>
      <c r="AQ69" s="76" t="e">
        <f>N69</f>
        <v>#N/A</v>
      </c>
      <c r="AR69" s="76" t="e">
        <f>IF(OR(AB69&lt;=0,AB70&lt;=0),1/0,AB69)</f>
        <v>#VALUE!</v>
      </c>
      <c r="AS69" s="76">
        <f>AM69</f>
        <v>209.24666666666664</v>
      </c>
      <c r="AT69">
        <f>IFERROR(AP69,IFERROR(AQ69,IFERROR(AR69,AS69)))</f>
        <v>209.24666666666664</v>
      </c>
      <c r="AU69" s="81"/>
    </row>
    <row r="70" spans="1:47" x14ac:dyDescent="0.25">
      <c r="A70" s="84">
        <f>A69+1</f>
        <v>9</v>
      </c>
      <c r="B70" s="84">
        <f t="shared" si="11"/>
        <v>4.8499999999999996</v>
      </c>
      <c r="F70" s="82" t="e">
        <f>SUM(F67:F69)</f>
        <v>#N/A</v>
      </c>
      <c r="H70" s="82" t="e">
        <f>SUM(H67:H69)</f>
        <v>#N/A</v>
      </c>
      <c r="I70" s="84" t="str">
        <f>CONCATENATE("m'(",C69,")=")</f>
        <v>m'(4.85)=</v>
      </c>
      <c r="J70" s="84" t="e">
        <f>2*(J67*(WLS))/3*H70</f>
        <v>#N/A</v>
      </c>
      <c r="K70" s="84" t="str">
        <f>CONCATENATE("M(",C67,")=")</f>
        <v>M(#NA)=</v>
      </c>
      <c r="L70" s="84" t="e">
        <f>VLOOKUP(C67,STN_TABLE,4,FALSE)</f>
        <v>#N/A</v>
      </c>
      <c r="M70" t="str">
        <f>CONCATENATE("M(",C69,")=")</f>
        <v>M(4.85)=</v>
      </c>
      <c r="N70" t="e">
        <f>J70+L70</f>
        <v>#N/A</v>
      </c>
      <c r="O70" s="99">
        <f>O69+1</f>
        <v>11</v>
      </c>
      <c r="P70" s="99">
        <f t="shared" si="23"/>
        <v>6</v>
      </c>
      <c r="T70" s="89" t="e">
        <f>SUM(T67:T69)</f>
        <v>#N/A</v>
      </c>
      <c r="V70" s="82" t="e">
        <f>SUM(V67:V69)</f>
        <v>#N/A</v>
      </c>
      <c r="W70" s="84" t="str">
        <f>CONCATENATE("m'(",Q68,")=")</f>
        <v>m'(4.85)=</v>
      </c>
      <c r="X70" s="84" t="e">
        <f>(2*(X67^2)/24*V70)+(X69*Q67*WLS)</f>
        <v>#VALUE!</v>
      </c>
      <c r="Y70" s="84" t="str">
        <f>CONCATENATE("M(",Q67,")=")</f>
        <v>M(-)=</v>
      </c>
      <c r="Z70" s="84" t="e">
        <f>VLOOKUP(Q67,STN_TABLE,4,FALSE)</f>
        <v>#N/A</v>
      </c>
      <c r="AA70" t="str">
        <f>CONCATENATE("M(",Q68,")=")</f>
        <v>M(4.85)=</v>
      </c>
      <c r="AB70" t="e">
        <f>X70+Z70</f>
        <v>#VALUE!</v>
      </c>
      <c r="AE70" s="89">
        <f>SUM(AE68:AE69)</f>
        <v>22</v>
      </c>
      <c r="AG70" s="89">
        <f>SUM(AG68:AG69)</f>
        <v>33</v>
      </c>
      <c r="AH70" s="84" t="str">
        <f>CONCATENATE("m'(",AD69,")=")</f>
        <v>m'(4.85)=</v>
      </c>
      <c r="AI70" s="84">
        <f>(2*(AI67^2)/6*AG70)+(AI69*AD68*WLS)</f>
        <v>330.98999999999984</v>
      </c>
      <c r="AJ70" s="84" t="str">
        <f>CONCATENATE("M(",AD68,")=")</f>
        <v>M(4)=</v>
      </c>
      <c r="AK70" s="84">
        <f>VLOOKUP(AD68,STN_TABLE,4,FALSE)</f>
        <v>700.14</v>
      </c>
      <c r="AL70" t="str">
        <f>CONCATENATE("M(",AD69,")=")</f>
        <v>M(4.85)=</v>
      </c>
      <c r="AM70">
        <f>AI70+AK70</f>
        <v>1031.1299999999999</v>
      </c>
      <c r="AO70" s="82" t="str">
        <f>AA70</f>
        <v>M(4.85)=</v>
      </c>
      <c r="AP70" s="82" t="e">
        <f>VLOOKUP(AO70,Rise_Results,2,FALSE)</f>
        <v>#N/A</v>
      </c>
      <c r="AQ70" s="82" t="e">
        <f>N70</f>
        <v>#N/A</v>
      </c>
      <c r="AR70" s="82" t="e">
        <f>IF(OR(AB69&lt;=0,AB70&lt;=0),1/0,AB70)</f>
        <v>#VALUE!</v>
      </c>
      <c r="AS70" s="82">
        <f>AM70</f>
        <v>1031.1299999999999</v>
      </c>
      <c r="AT70">
        <f>IFERROR(AP70,IFERROR(AQ70,IFERROR(AR70,AS70)))</f>
        <v>1031.1299999999999</v>
      </c>
      <c r="AU70" s="81"/>
    </row>
    <row r="71" spans="1:47" x14ac:dyDescent="0.25">
      <c r="A71" s="101">
        <f>A66+1</f>
        <v>6</v>
      </c>
      <c r="B71" s="101">
        <f t="shared" si="11"/>
        <v>2</v>
      </c>
      <c r="O71" s="101">
        <f>O66+1</f>
        <v>8</v>
      </c>
      <c r="P71" s="101">
        <f t="shared" si="23"/>
        <v>4</v>
      </c>
      <c r="AU71" s="81"/>
    </row>
    <row r="72" spans="1:47" x14ac:dyDescent="0.25">
      <c r="A72" s="84">
        <f>A71+1</f>
        <v>7</v>
      </c>
      <c r="B72" s="84">
        <f t="shared" si="11"/>
        <v>3</v>
      </c>
      <c r="C72" s="79">
        <f t="shared" ref="C72" si="25">IF(C73=B74,IF(C74-C73=C73-B73,B73,IF(C74-C73=C73-B72,B72,"#NA")),IF(C73=B73,IF(C74-C73=C73-B72,B72,IF(C74-C73=C73-B71,B71,"#NA")),"#NA"))</f>
        <v>3</v>
      </c>
      <c r="D72" s="68">
        <f>VLOOKUP(C72,STN_TABLE,2,FALSE)</f>
        <v>11</v>
      </c>
      <c r="E72" s="102">
        <v>1</v>
      </c>
      <c r="F72" s="68">
        <f>D72*E72</f>
        <v>11</v>
      </c>
      <c r="G72" s="69">
        <f>C72</f>
        <v>3</v>
      </c>
      <c r="H72" s="69">
        <f>F72*G72</f>
        <v>33</v>
      </c>
      <c r="I72" s="6" t="s">
        <v>93</v>
      </c>
      <c r="J72" s="70">
        <f>IF(OR(D72=0,D73=0,D74=0),"#NA",IF(AND(C74-C73=C73-C72,C73&lt;&gt;C74,C72&lt;&gt;C73,C72&lt;&gt;C74,D74&lt;&gt;0,OR(D72&lt;&gt;0,D73&lt;&gt;0)),WLS*(C74-C73),"#NA"))</f>
        <v>2</v>
      </c>
      <c r="O72" s="99">
        <f>O71+1</f>
        <v>9</v>
      </c>
      <c r="P72" s="99">
        <f t="shared" si="23"/>
        <v>4.8499999999999996</v>
      </c>
      <c r="Q72" s="68">
        <f>IF(OR(P74-P73=P73-P72,P75-P73=P73-P72),P72,IF(OR(P74-P73=P73-P71,P75-P73=P73-P71),P71,"-"))</f>
        <v>4</v>
      </c>
      <c r="R72" s="69">
        <f>VLOOKUP(Q72,STN_TABLE,2,FALSE)</f>
        <v>11</v>
      </c>
      <c r="S72" s="69">
        <v>5</v>
      </c>
      <c r="T72" s="68">
        <f>R72*S72</f>
        <v>55</v>
      </c>
      <c r="U72" s="79">
        <v>3</v>
      </c>
      <c r="V72" s="68">
        <f>R72*U72</f>
        <v>33</v>
      </c>
      <c r="W72" s="6" t="s">
        <v>93</v>
      </c>
      <c r="X72" s="70">
        <f>IF(AND(Q74-Q73=Q73-Q72,NOT(AND(Q72=0,Q73=0)),NOT(AND(Q73=0,Q74=0))),WLS*(Q74-Q73),"#NA")</f>
        <v>2</v>
      </c>
      <c r="AD72" s="93"/>
      <c r="AH72" s="6" t="s">
        <v>93</v>
      </c>
      <c r="AI72" s="70">
        <f>WLS*(AD74-AD73)</f>
        <v>0.30000000000000071</v>
      </c>
      <c r="AU72" s="81"/>
    </row>
    <row r="73" spans="1:47" x14ac:dyDescent="0.25">
      <c r="A73" s="84">
        <f>A72+1</f>
        <v>8</v>
      </c>
      <c r="B73" s="84">
        <f t="shared" si="11"/>
        <v>4</v>
      </c>
      <c r="C73" s="80">
        <f t="shared" ref="C73" si="26">IF(OR(B75-B74=B74-B73,B75-B74=B74-B72,B75-B74=B74-B71),B74,IF(OR(B75-B73=B73-B72,B75-B73=B73-B71),B73,IF(B75-B72=B72-B71,B72,"#NA")))</f>
        <v>4</v>
      </c>
      <c r="D73" s="76">
        <f>VLOOKUP(C73,STN_TABLE,2,FALSE)</f>
        <v>11</v>
      </c>
      <c r="E73" s="81">
        <v>4</v>
      </c>
      <c r="F73" s="76">
        <f>D73*E73</f>
        <v>44</v>
      </c>
      <c r="G73" s="77">
        <f>C73</f>
        <v>4</v>
      </c>
      <c r="H73" s="77">
        <f>F73*G73</f>
        <v>176</v>
      </c>
      <c r="I73" s="495" t="s">
        <v>97</v>
      </c>
      <c r="J73" s="496"/>
      <c r="K73" s="78" t="s">
        <v>98</v>
      </c>
      <c r="L73" s="78"/>
      <c r="M73" s="7" t="s">
        <v>99</v>
      </c>
      <c r="N73" s="7"/>
      <c r="O73" s="99">
        <f>O72+1</f>
        <v>10</v>
      </c>
      <c r="P73" s="99">
        <f t="shared" si="23"/>
        <v>5</v>
      </c>
      <c r="Q73" s="76">
        <f>P73</f>
        <v>5</v>
      </c>
      <c r="R73" s="77">
        <f>VLOOKUP(Q73,STN_TABLE,2,FALSE)</f>
        <v>11</v>
      </c>
      <c r="S73" s="77">
        <v>8</v>
      </c>
      <c r="T73" s="76">
        <f>R73*S73</f>
        <v>88</v>
      </c>
      <c r="U73" s="80">
        <v>10</v>
      </c>
      <c r="V73" s="76">
        <f>R73*U73</f>
        <v>110</v>
      </c>
      <c r="W73" s="496" t="s">
        <v>97</v>
      </c>
      <c r="X73" s="496"/>
      <c r="Y73" s="496" t="s">
        <v>98</v>
      </c>
      <c r="Z73" s="496"/>
      <c r="AA73" s="494" t="s">
        <v>99</v>
      </c>
      <c r="AB73" s="494"/>
      <c r="AC73" s="99">
        <f>AC68+1</f>
        <v>9</v>
      </c>
      <c r="AD73" s="95">
        <f>VLOOKUP(AC73,STN_TABLE_2,2,FALSE)</f>
        <v>4.8499999999999996</v>
      </c>
      <c r="AE73" s="68">
        <f>VLOOKUP(AD73,STN_TABLE,2,FALSE)</f>
        <v>11</v>
      </c>
      <c r="AF73" s="68">
        <v>1</v>
      </c>
      <c r="AG73" s="69">
        <f>AE73*AF73</f>
        <v>11</v>
      </c>
      <c r="AH73" s="496" t="s">
        <v>97</v>
      </c>
      <c r="AI73" s="496"/>
      <c r="AJ73" s="496" t="s">
        <v>98</v>
      </c>
      <c r="AK73" s="496"/>
      <c r="AL73" s="494" t="s">
        <v>99</v>
      </c>
      <c r="AM73" s="494"/>
      <c r="AP73" s="86" t="s">
        <v>112</v>
      </c>
      <c r="AQ73" s="89" t="s">
        <v>113</v>
      </c>
      <c r="AR73" s="89" t="s">
        <v>114</v>
      </c>
      <c r="AS73" s="89" t="s">
        <v>115</v>
      </c>
      <c r="AU73" s="81"/>
    </row>
    <row r="74" spans="1:47" x14ac:dyDescent="0.25">
      <c r="A74" s="84">
        <f>A73+1</f>
        <v>9</v>
      </c>
      <c r="B74" s="84">
        <f t="shared" ref="B74:B105" si="27">VLOOKUP(A74,STN_TABLE_2,2,FALSE)</f>
        <v>4.8499999999999996</v>
      </c>
      <c r="C74" s="88">
        <f t="shared" ref="C74" si="28">B75</f>
        <v>5</v>
      </c>
      <c r="D74" s="82">
        <f>VLOOKUP(C74,STN_TABLE,2,FALSE)</f>
        <v>11</v>
      </c>
      <c r="E74" s="92">
        <v>1</v>
      </c>
      <c r="F74" s="82">
        <f>D74*E74</f>
        <v>11</v>
      </c>
      <c r="G74" s="83">
        <f>C74</f>
        <v>5</v>
      </c>
      <c r="H74" s="83">
        <f>F74*G74</f>
        <v>55</v>
      </c>
      <c r="I74" s="84" t="str">
        <f>CONCATENATE("a'(",C74,")=")</f>
        <v>a'(5)=</v>
      </c>
      <c r="J74" s="84">
        <f>2*J72/3*F75</f>
        <v>88</v>
      </c>
      <c r="K74" s="84" t="str">
        <f>CONCATENATE("A(",C72,")=")</f>
        <v>A(3)=</v>
      </c>
      <c r="L74" s="84">
        <f>VLOOKUP(C72,STN_TABLE,3,FALSE)</f>
        <v>127.94666666666666</v>
      </c>
      <c r="M74" t="str">
        <f>CONCATENATE("A(",C74,")=")</f>
        <v>A(5)=</v>
      </c>
      <c r="N74">
        <f>J74+L74</f>
        <v>215.94666666666666</v>
      </c>
      <c r="O74" s="99">
        <f>O73+1</f>
        <v>11</v>
      </c>
      <c r="P74" s="99">
        <f t="shared" si="23"/>
        <v>6</v>
      </c>
      <c r="Q74" s="82">
        <f>IF(P74-P73=P73-P72,P74,IF(P75-P73=P73-P72,P75,IF(P74-P73=P73-P71,P74,IF(P75-P73=P73-P71,P75,"-"))))</f>
        <v>6</v>
      </c>
      <c r="R74" s="83">
        <f>VLOOKUP(Q74,STN_TABLE,2,FALSE)</f>
        <v>11</v>
      </c>
      <c r="S74" s="83">
        <v>-1</v>
      </c>
      <c r="T74" s="82">
        <f>R74*S74</f>
        <v>-11</v>
      </c>
      <c r="U74" s="88">
        <v>-1</v>
      </c>
      <c r="V74" s="82">
        <f>R74*U74</f>
        <v>-11</v>
      </c>
      <c r="W74" s="84" t="str">
        <f>CONCATENATE("a'(",Q73,")=")</f>
        <v>a'(5)=</v>
      </c>
      <c r="X74" s="84">
        <f>2*X72/12*T75</f>
        <v>44</v>
      </c>
      <c r="Y74" s="84" t="str">
        <f>CONCATENATE("A(",Q72,")=")</f>
        <v>A(4)=</v>
      </c>
      <c r="Z74" s="84">
        <f>VLOOKUP(Q72,STN_TABLE,3,FALSE)</f>
        <v>171.84666666666666</v>
      </c>
      <c r="AA74" t="str">
        <f>CONCATENATE("A(",Q73,")=")</f>
        <v>A(5)=</v>
      </c>
      <c r="AB74">
        <f>X74+Z74</f>
        <v>215.84666666666666</v>
      </c>
      <c r="AC74" s="99">
        <f>AC73+1</f>
        <v>10</v>
      </c>
      <c r="AD74" s="100">
        <f>VLOOKUP(AC74,STN_TABLE_2,2,FALSE)</f>
        <v>5</v>
      </c>
      <c r="AE74" s="82">
        <f>VLOOKUP(AD74,STN_TABLE,2,FALSE)</f>
        <v>11</v>
      </c>
      <c r="AF74" s="82">
        <v>2</v>
      </c>
      <c r="AG74" s="83">
        <f>AE74*AF74</f>
        <v>22</v>
      </c>
      <c r="AH74" s="84" t="str">
        <f>CONCATENATE("a'(",AD74,")=")</f>
        <v>a'(5)=</v>
      </c>
      <c r="AI74" s="84">
        <f>2*AI72/2*AE75</f>
        <v>6.6000000000000156</v>
      </c>
      <c r="AJ74" s="84" t="str">
        <f>CONCATENATE("A(",AD73,")=")</f>
        <v>A(4.85)=</v>
      </c>
      <c r="AK74" s="84">
        <f>VLOOKUP(AD73,STN_TABLE,3,FALSE)</f>
        <v>209.24666666666664</v>
      </c>
      <c r="AL74" t="str">
        <f>CONCATENATE("A(",AD74,")=")</f>
        <v>A(5)=</v>
      </c>
      <c r="AM74">
        <f>AI74+AK74</f>
        <v>215.84666666666666</v>
      </c>
      <c r="AO74" s="68" t="str">
        <f>AA74</f>
        <v>A(5)=</v>
      </c>
      <c r="AP74" s="68" t="e">
        <f>VLOOKUP(AO74,Rise_Results,2,FALSE)</f>
        <v>#N/A</v>
      </c>
      <c r="AQ74" s="76">
        <f>N74</f>
        <v>215.94666666666666</v>
      </c>
      <c r="AR74" s="76">
        <f>IF(OR(AB74&lt;=0,AB75&lt;=0),1/0,AB74)</f>
        <v>215.84666666666666</v>
      </c>
      <c r="AS74" s="76">
        <f>AM74</f>
        <v>215.84666666666666</v>
      </c>
      <c r="AT74">
        <f>IFERROR(AP74,IFERROR(AQ74,IFERROR(AR74,AS74)))</f>
        <v>215.94666666666666</v>
      </c>
      <c r="AU74" s="81"/>
    </row>
    <row r="75" spans="1:47" x14ac:dyDescent="0.25">
      <c r="A75" s="84">
        <f>A74+1</f>
        <v>10</v>
      </c>
      <c r="B75" s="84">
        <f t="shared" si="27"/>
        <v>5</v>
      </c>
      <c r="F75" s="82">
        <f>SUM(F72:F74)</f>
        <v>66</v>
      </c>
      <c r="H75" s="82">
        <f>SUM(H72:H74)</f>
        <v>264</v>
      </c>
      <c r="I75" s="84" t="str">
        <f>CONCATENATE("m'(",C74,")=")</f>
        <v>m'(5)=</v>
      </c>
      <c r="J75" s="84">
        <f>2*(J72*(WLS))/3*H75</f>
        <v>704</v>
      </c>
      <c r="K75" s="84" t="str">
        <f>CONCATENATE("M(",C72,")=")</f>
        <v>M(3)=</v>
      </c>
      <c r="L75" s="84">
        <f>VLOOKUP(C72,STN_TABLE,4,FALSE)</f>
        <v>392.63999999999993</v>
      </c>
      <c r="M75" t="str">
        <f>CONCATENATE("M(",C74,")=")</f>
        <v>M(5)=</v>
      </c>
      <c r="N75">
        <f>J75+L75</f>
        <v>1096.6399999999999</v>
      </c>
      <c r="O75" s="99">
        <f>O74+1</f>
        <v>12</v>
      </c>
      <c r="P75" s="99">
        <f t="shared" si="23"/>
        <v>6.5</v>
      </c>
      <c r="T75" s="89">
        <f>SUM(T72:T74)</f>
        <v>132</v>
      </c>
      <c r="V75" s="82">
        <f>SUM(V72:V74)</f>
        <v>132</v>
      </c>
      <c r="W75" s="84" t="str">
        <f>CONCATENATE("m'(",Q73,")=")</f>
        <v>m'(5)=</v>
      </c>
      <c r="X75" s="84">
        <f>(2*(X72^2)/24*V75)+(X74*Q72*WLS)</f>
        <v>396</v>
      </c>
      <c r="Y75" s="84" t="str">
        <f>CONCATENATE("M(",Q72,")=")</f>
        <v>M(4)=</v>
      </c>
      <c r="Z75" s="84">
        <f>VLOOKUP(Q72,STN_TABLE,4,FALSE)</f>
        <v>700.14</v>
      </c>
      <c r="AA75" t="str">
        <f>CONCATENATE("M(",Q73,")=")</f>
        <v>M(5)=</v>
      </c>
      <c r="AB75">
        <f>X75+Z75</f>
        <v>1096.1399999999999</v>
      </c>
      <c r="AE75" s="89">
        <f>SUM(AE73:AE74)</f>
        <v>22</v>
      </c>
      <c r="AG75" s="89">
        <f>SUM(AG73:AG74)</f>
        <v>33</v>
      </c>
      <c r="AH75" s="84" t="str">
        <f>CONCATENATE("m'(",AD74,")=")</f>
        <v>m'(5)=</v>
      </c>
      <c r="AI75" s="84">
        <f>(2*(AI72^2)/6*AG75)+(AI74*AD73*WLS)</f>
        <v>65.010000000000161</v>
      </c>
      <c r="AJ75" s="84" t="str">
        <f>CONCATENATE("M(",AD73,")=")</f>
        <v>M(4.85)=</v>
      </c>
      <c r="AK75" s="84">
        <f>VLOOKUP(AD73,STN_TABLE,4,FALSE)</f>
        <v>1031.1299999999999</v>
      </c>
      <c r="AL75" t="str">
        <f>CONCATENATE("M(",AD74,")=")</f>
        <v>M(5)=</v>
      </c>
      <c r="AM75">
        <f>AI75+AK75</f>
        <v>1096.1400000000001</v>
      </c>
      <c r="AO75" s="82" t="str">
        <f>AA75</f>
        <v>M(5)=</v>
      </c>
      <c r="AP75" s="82" t="e">
        <f>VLOOKUP(AO75,Rise_Results,2,FALSE)</f>
        <v>#N/A</v>
      </c>
      <c r="AQ75" s="82">
        <f>N75</f>
        <v>1096.6399999999999</v>
      </c>
      <c r="AR75" s="82">
        <f>IF(OR(AB74&lt;=0,AB75&lt;=0),1/0,AB75)</f>
        <v>1096.1399999999999</v>
      </c>
      <c r="AS75" s="82">
        <f>AM75</f>
        <v>1096.1400000000001</v>
      </c>
      <c r="AT75">
        <f>IFERROR(AP75,IFERROR(AQ75,IFERROR(AR75,AS75)))</f>
        <v>1096.6399999999999</v>
      </c>
      <c r="AU75" s="81"/>
    </row>
    <row r="76" spans="1:47" x14ac:dyDescent="0.25">
      <c r="A76" s="101">
        <f>A71+1</f>
        <v>7</v>
      </c>
      <c r="B76" s="101">
        <f t="shared" si="27"/>
        <v>3</v>
      </c>
      <c r="O76" s="101">
        <f>O71+1</f>
        <v>9</v>
      </c>
      <c r="P76" s="101">
        <f t="shared" si="23"/>
        <v>4.8499999999999996</v>
      </c>
      <c r="AU76" s="81"/>
    </row>
    <row r="77" spans="1:47" x14ac:dyDescent="0.25">
      <c r="A77" s="84">
        <f>A76+1</f>
        <v>8</v>
      </c>
      <c r="B77" s="84">
        <f t="shared" si="27"/>
        <v>4</v>
      </c>
      <c r="C77" s="79">
        <f t="shared" ref="C77" si="29">IF(C78=B79,IF(C79-C78=C78-B78,B78,IF(C79-C78=C78-B77,B77,"#NA")),IF(C78=B78,IF(C79-C78=C78-B77,B77,IF(C79-C78=C78-B76,B76,"#NA")),"#NA"))</f>
        <v>4</v>
      </c>
      <c r="D77" s="68">
        <f>VLOOKUP(C77,STN_TABLE,2,FALSE)</f>
        <v>11</v>
      </c>
      <c r="E77" s="102">
        <v>1</v>
      </c>
      <c r="F77" s="68">
        <f>D77*E77</f>
        <v>11</v>
      </c>
      <c r="G77" s="69">
        <f>C77</f>
        <v>4</v>
      </c>
      <c r="H77" s="69">
        <f>F77*G77</f>
        <v>44</v>
      </c>
      <c r="I77" s="6" t="s">
        <v>93</v>
      </c>
      <c r="J77" s="70">
        <f>IF(OR(D77=0,D78=0,D79=0),"#NA",IF(AND(C79-C78=C78-C77,C78&lt;&gt;C79,C77&lt;&gt;C78,C77&lt;&gt;C79,D79&lt;&gt;0,OR(D77&lt;&gt;0,D78&lt;&gt;0)),WLS*(C79-C78),"#NA"))</f>
        <v>2</v>
      </c>
      <c r="O77" s="99">
        <f>O76+1</f>
        <v>10</v>
      </c>
      <c r="P77" s="99">
        <f t="shared" si="23"/>
        <v>5</v>
      </c>
      <c r="Q77" s="68" t="e">
        <f>IF(OR(P79-P78=P78-P77,P80-P78=P78-P77),P77,IF(OR(P79-P78=P78-P76,P80-P78=P78-P76),P76,"-"))</f>
        <v>#VALUE!</v>
      </c>
      <c r="R77" s="69" t="e">
        <f>VLOOKUP(Q77,STN_TABLE,2,FALSE)</f>
        <v>#VALUE!</v>
      </c>
      <c r="S77" s="69">
        <v>5</v>
      </c>
      <c r="T77" s="68" t="e">
        <f>R77*S77</f>
        <v>#VALUE!</v>
      </c>
      <c r="U77" s="79">
        <v>3</v>
      </c>
      <c r="V77" s="68" t="e">
        <f>R77*U77</f>
        <v>#VALUE!</v>
      </c>
      <c r="W77" s="6" t="s">
        <v>93</v>
      </c>
      <c r="X77" s="70" t="e">
        <f>IF(AND(Q79-Q78=Q78-Q77,NOT(AND(Q77=0,Q78=0)),NOT(AND(Q78=0,Q79=0))),WLS*(Q79-Q78),"#NA")</f>
        <v>#VALUE!</v>
      </c>
      <c r="AD77" s="93"/>
      <c r="AH77" s="6" t="s">
        <v>93</v>
      </c>
      <c r="AI77" s="70">
        <f>WLS*(AD79-AD78)</f>
        <v>2</v>
      </c>
      <c r="AU77" s="81"/>
    </row>
    <row r="78" spans="1:47" x14ac:dyDescent="0.25">
      <c r="A78" s="84">
        <f>A77+1</f>
        <v>9</v>
      </c>
      <c r="B78" s="84">
        <f t="shared" si="27"/>
        <v>4.8499999999999996</v>
      </c>
      <c r="C78" s="80">
        <f t="shared" ref="C78" si="30">IF(OR(B80-B79=B79-B78,B80-B79=B79-B77,B80-B79=B79-B76),B79,IF(OR(B80-B78=B78-B77,B80-B78=B78-B76),B78,IF(B80-B77=B77-B76,B77,"#NA")))</f>
        <v>5</v>
      </c>
      <c r="D78" s="76">
        <f>VLOOKUP(C78,STN_TABLE,2,FALSE)</f>
        <v>11</v>
      </c>
      <c r="E78" s="81">
        <v>4</v>
      </c>
      <c r="F78" s="76">
        <f>D78*E78</f>
        <v>44</v>
      </c>
      <c r="G78" s="77">
        <f>C78</f>
        <v>5</v>
      </c>
      <c r="H78" s="77">
        <f>F78*G78</f>
        <v>220</v>
      </c>
      <c r="I78" s="495" t="s">
        <v>97</v>
      </c>
      <c r="J78" s="496"/>
      <c r="K78" s="78" t="s">
        <v>98</v>
      </c>
      <c r="L78" s="78"/>
      <c r="M78" s="7" t="s">
        <v>99</v>
      </c>
      <c r="N78" s="7"/>
      <c r="O78" s="99">
        <f>O77+1</f>
        <v>11</v>
      </c>
      <c r="P78" s="99">
        <f t="shared" si="23"/>
        <v>6</v>
      </c>
      <c r="Q78" s="76">
        <f>P78</f>
        <v>6</v>
      </c>
      <c r="R78" s="77">
        <f>VLOOKUP(Q78,STN_TABLE,2,FALSE)</f>
        <v>11</v>
      </c>
      <c r="S78" s="77">
        <v>8</v>
      </c>
      <c r="T78" s="76">
        <f>R78*S78</f>
        <v>88</v>
      </c>
      <c r="U78" s="80">
        <v>10</v>
      </c>
      <c r="V78" s="76">
        <f>R78*U78</f>
        <v>110</v>
      </c>
      <c r="W78" s="496" t="s">
        <v>97</v>
      </c>
      <c r="X78" s="496"/>
      <c r="Y78" s="496" t="s">
        <v>98</v>
      </c>
      <c r="Z78" s="496"/>
      <c r="AA78" s="494" t="s">
        <v>99</v>
      </c>
      <c r="AB78" s="494"/>
      <c r="AC78" s="99">
        <f>AC73+1</f>
        <v>10</v>
      </c>
      <c r="AD78" s="95">
        <f>VLOOKUP(AC78,STN_TABLE_2,2,FALSE)</f>
        <v>5</v>
      </c>
      <c r="AE78" s="68">
        <f>VLOOKUP(AD78,STN_TABLE,2,FALSE)</f>
        <v>11</v>
      </c>
      <c r="AF78" s="68">
        <v>1</v>
      </c>
      <c r="AG78" s="69">
        <f>AE78*AF78</f>
        <v>11</v>
      </c>
      <c r="AH78" s="496" t="s">
        <v>97</v>
      </c>
      <c r="AI78" s="496"/>
      <c r="AJ78" s="496" t="s">
        <v>98</v>
      </c>
      <c r="AK78" s="496"/>
      <c r="AL78" s="494" t="s">
        <v>99</v>
      </c>
      <c r="AM78" s="494"/>
      <c r="AP78" s="86" t="s">
        <v>112</v>
      </c>
      <c r="AQ78" s="89" t="s">
        <v>113</v>
      </c>
      <c r="AR78" s="89" t="s">
        <v>114</v>
      </c>
      <c r="AS78" s="89" t="s">
        <v>115</v>
      </c>
      <c r="AU78" s="81"/>
    </row>
    <row r="79" spans="1:47" x14ac:dyDescent="0.25">
      <c r="A79" s="84">
        <f>A78+1</f>
        <v>10</v>
      </c>
      <c r="B79" s="84">
        <f t="shared" si="27"/>
        <v>5</v>
      </c>
      <c r="C79" s="88">
        <f t="shared" ref="C79" si="31">B80</f>
        <v>6</v>
      </c>
      <c r="D79" s="82">
        <f>VLOOKUP(C79,STN_TABLE,2,FALSE)</f>
        <v>11</v>
      </c>
      <c r="E79" s="92">
        <v>1</v>
      </c>
      <c r="F79" s="82">
        <f>D79*E79</f>
        <v>11</v>
      </c>
      <c r="G79" s="83">
        <f>C79</f>
        <v>6</v>
      </c>
      <c r="H79" s="83">
        <f>F79*G79</f>
        <v>66</v>
      </c>
      <c r="I79" s="84" t="str">
        <f>CONCATENATE("a'(",C79,")=")</f>
        <v>a'(6)=</v>
      </c>
      <c r="J79" s="84">
        <f>2*J77/3*F80</f>
        <v>88</v>
      </c>
      <c r="K79" s="84" t="str">
        <f>CONCATENATE("A(",C77,")=")</f>
        <v>A(4)=</v>
      </c>
      <c r="L79" s="84">
        <f>VLOOKUP(C77,STN_TABLE,3,FALSE)</f>
        <v>171.84666666666666</v>
      </c>
      <c r="M79" t="str">
        <f>CONCATENATE("A(",C79,")=")</f>
        <v>A(6)=</v>
      </c>
      <c r="N79">
        <f>J79+L79</f>
        <v>259.84666666666669</v>
      </c>
      <c r="O79" s="99">
        <f>O78+1</f>
        <v>12</v>
      </c>
      <c r="P79" s="99">
        <f t="shared" si="23"/>
        <v>6.5</v>
      </c>
      <c r="Q79" s="82" t="e">
        <f>IF(P79-P78=P78-P77,P79,IF(P80-P78=P78-P77,P80,IF(P79-P78=P78-P76,P79,IF(P80-P78=P78-P76,P80,"-"))))</f>
        <v>#VALUE!</v>
      </c>
      <c r="R79" s="83" t="e">
        <f>VLOOKUP(Q79,STN_TABLE,2,FALSE)</f>
        <v>#VALUE!</v>
      </c>
      <c r="S79" s="83">
        <v>-1</v>
      </c>
      <c r="T79" s="82" t="e">
        <f>R79*S79</f>
        <v>#VALUE!</v>
      </c>
      <c r="U79" s="88">
        <v>-1</v>
      </c>
      <c r="V79" s="82" t="e">
        <f>R79*U79</f>
        <v>#VALUE!</v>
      </c>
      <c r="W79" s="84" t="str">
        <f>CONCATENATE("a'(",Q78,")=")</f>
        <v>a'(6)=</v>
      </c>
      <c r="X79" s="84" t="e">
        <f>2*X77/12*T80</f>
        <v>#VALUE!</v>
      </c>
      <c r="Y79" s="84" t="e">
        <f>CONCATENATE("A(",Q77,")=")</f>
        <v>#VALUE!</v>
      </c>
      <c r="Z79" s="84" t="e">
        <f>VLOOKUP(Q77,STN_TABLE,3,FALSE)</f>
        <v>#VALUE!</v>
      </c>
      <c r="AA79" t="str">
        <f>CONCATENATE("A(",Q78,")=")</f>
        <v>A(6)=</v>
      </c>
      <c r="AB79" t="e">
        <f>X79+Z79</f>
        <v>#VALUE!</v>
      </c>
      <c r="AC79" s="99">
        <f>AC78+1</f>
        <v>11</v>
      </c>
      <c r="AD79" s="100">
        <f>VLOOKUP(AC79,STN_TABLE_2,2,FALSE)</f>
        <v>6</v>
      </c>
      <c r="AE79" s="82">
        <f>VLOOKUP(AD79,STN_TABLE,2,FALSE)</f>
        <v>11</v>
      </c>
      <c r="AF79" s="82">
        <v>2</v>
      </c>
      <c r="AG79" s="83">
        <f>AE79*AF79</f>
        <v>22</v>
      </c>
      <c r="AH79" s="84" t="str">
        <f>CONCATENATE("a'(",AD79,")=")</f>
        <v>a'(6)=</v>
      </c>
      <c r="AI79" s="84">
        <f>2*AI77/2*AE80</f>
        <v>44</v>
      </c>
      <c r="AJ79" s="84" t="str">
        <f>CONCATENATE("A(",AD78,")=")</f>
        <v>A(5)=</v>
      </c>
      <c r="AK79" s="84">
        <f>VLOOKUP(AD78,STN_TABLE,3,FALSE)</f>
        <v>215.94666666666666</v>
      </c>
      <c r="AL79" t="str">
        <f>CONCATENATE("A(",AD79,")=")</f>
        <v>A(6)=</v>
      </c>
      <c r="AM79">
        <f>AI79+AK79</f>
        <v>259.94666666666666</v>
      </c>
      <c r="AO79" s="68" t="str">
        <f>AA79</f>
        <v>A(6)=</v>
      </c>
      <c r="AP79" s="68" t="e">
        <f>VLOOKUP(AO79,Rise_Results,2,FALSE)</f>
        <v>#N/A</v>
      </c>
      <c r="AQ79" s="76">
        <f>N79</f>
        <v>259.84666666666669</v>
      </c>
      <c r="AR79" s="76" t="e">
        <f>IF(OR(AB79&lt;=0,AB80&lt;=0),1/0,AB79)</f>
        <v>#VALUE!</v>
      </c>
      <c r="AS79" s="76">
        <f>AM79</f>
        <v>259.94666666666666</v>
      </c>
      <c r="AT79">
        <f>IFERROR(AP79,IFERROR(AQ79,IFERROR(AR79,AS79)))</f>
        <v>259.84666666666669</v>
      </c>
      <c r="AU79" s="81"/>
    </row>
    <row r="80" spans="1:47" x14ac:dyDescent="0.25">
      <c r="A80" s="84">
        <f>A79+1</f>
        <v>11</v>
      </c>
      <c r="B80" s="84">
        <f t="shared" si="27"/>
        <v>6</v>
      </c>
      <c r="F80" s="82">
        <f>SUM(F77:F79)</f>
        <v>66</v>
      </c>
      <c r="H80" s="82">
        <f>SUM(H77:H79)</f>
        <v>330</v>
      </c>
      <c r="I80" s="84" t="str">
        <f>CONCATENATE("m'(",C79,")=")</f>
        <v>m'(6)=</v>
      </c>
      <c r="J80" s="84">
        <f>2*(J77*(WLS))/3*H80</f>
        <v>880</v>
      </c>
      <c r="K80" s="84" t="str">
        <f>CONCATENATE("M(",C77,")=")</f>
        <v>M(4)=</v>
      </c>
      <c r="L80" s="84">
        <f>VLOOKUP(C77,STN_TABLE,4,FALSE)</f>
        <v>700.14</v>
      </c>
      <c r="M80" t="str">
        <f>CONCATENATE("M(",C79,")=")</f>
        <v>M(6)=</v>
      </c>
      <c r="N80">
        <f>J80+L80</f>
        <v>1580.1399999999999</v>
      </c>
      <c r="O80" s="99">
        <f>O79+1</f>
        <v>13</v>
      </c>
      <c r="P80" s="99" t="str">
        <f t="shared" si="23"/>
        <v xml:space="preserve">  </v>
      </c>
      <c r="T80" s="89" t="e">
        <f>SUM(T77:T79)</f>
        <v>#VALUE!</v>
      </c>
      <c r="V80" s="82" t="e">
        <f>SUM(V77:V79)</f>
        <v>#VALUE!</v>
      </c>
      <c r="W80" s="84" t="str">
        <f>CONCATENATE("m'(",Q78,")=")</f>
        <v>m'(6)=</v>
      </c>
      <c r="X80" s="84" t="e">
        <f>(2*(X77^2)/24*V80)+(X79*Q77*WLS)</f>
        <v>#VALUE!</v>
      </c>
      <c r="Y80" s="84" t="e">
        <f>CONCATENATE("M(",Q77,")=")</f>
        <v>#VALUE!</v>
      </c>
      <c r="Z80" s="84" t="e">
        <f>VLOOKUP(Q77,STN_TABLE,4,FALSE)</f>
        <v>#VALUE!</v>
      </c>
      <c r="AA80" t="str">
        <f>CONCATENATE("M(",Q78,")=")</f>
        <v>M(6)=</v>
      </c>
      <c r="AB80" t="e">
        <f>X80+Z80</f>
        <v>#VALUE!</v>
      </c>
      <c r="AE80" s="89">
        <f>SUM(AE78:AE79)</f>
        <v>22</v>
      </c>
      <c r="AG80" s="89">
        <f>SUM(AG78:AG79)</f>
        <v>33</v>
      </c>
      <c r="AH80" s="84" t="str">
        <f>CONCATENATE("m'(",AD79,")=")</f>
        <v>m'(6)=</v>
      </c>
      <c r="AI80" s="84">
        <f>(2*(AI77^2)/6*AG80)+(AI79*AD78*WLS)</f>
        <v>484</v>
      </c>
      <c r="AJ80" s="84" t="str">
        <f>CONCATENATE("M(",AD78,")=")</f>
        <v>M(5)=</v>
      </c>
      <c r="AK80" s="84">
        <f>VLOOKUP(AD78,STN_TABLE,4,FALSE)</f>
        <v>1096.6399999999999</v>
      </c>
      <c r="AL80" t="str">
        <f>CONCATENATE("M(",AD79,")=")</f>
        <v>M(6)=</v>
      </c>
      <c r="AM80">
        <f>AI80+AK80</f>
        <v>1580.6399999999999</v>
      </c>
      <c r="AO80" s="82" t="str">
        <f>AA80</f>
        <v>M(6)=</v>
      </c>
      <c r="AP80" s="82" t="e">
        <f>VLOOKUP(AO80,Rise_Results,2,FALSE)</f>
        <v>#N/A</v>
      </c>
      <c r="AQ80" s="82">
        <f>N80</f>
        <v>1580.1399999999999</v>
      </c>
      <c r="AR80" s="82" t="e">
        <f>IF(OR(AB79&lt;=0,AB80&lt;=0),1/0,AB80)</f>
        <v>#VALUE!</v>
      </c>
      <c r="AS80" s="82">
        <f>AM80</f>
        <v>1580.6399999999999</v>
      </c>
      <c r="AT80">
        <f>IFERROR(AP80,IFERROR(AQ80,IFERROR(AR80,AS80)))</f>
        <v>1580.1399999999999</v>
      </c>
      <c r="AU80" s="81"/>
    </row>
    <row r="81" spans="1:47" x14ac:dyDescent="0.25">
      <c r="A81" s="101">
        <f>A76+1</f>
        <v>8</v>
      </c>
      <c r="B81" s="101">
        <f t="shared" si="27"/>
        <v>4</v>
      </c>
      <c r="O81" s="101">
        <f>O76+1</f>
        <v>10</v>
      </c>
      <c r="P81" s="101">
        <f t="shared" si="23"/>
        <v>5</v>
      </c>
      <c r="AU81" s="81"/>
    </row>
    <row r="82" spans="1:47" x14ac:dyDescent="0.25">
      <c r="A82" s="84">
        <f>A81+1</f>
        <v>9</v>
      </c>
      <c r="B82" s="84">
        <f t="shared" si="27"/>
        <v>4.8499999999999996</v>
      </c>
      <c r="C82" s="79" t="str">
        <f t="shared" ref="C82" si="32">IF(C83=B84,IF(C84-C83=C83-B83,B83,IF(C84-C83=C83-B82,B82,"#NA")),IF(C83=B83,IF(C84-C83=C83-B82,B82,IF(C84-C83=C83-B81,B81,"#NA")),"#NA"))</f>
        <v>#NA</v>
      </c>
      <c r="D82" s="68" t="e">
        <f>VLOOKUP(C82,STN_TABLE,2,FALSE)</f>
        <v>#N/A</v>
      </c>
      <c r="E82" s="102">
        <v>1</v>
      </c>
      <c r="F82" s="68" t="e">
        <f>D82*E82</f>
        <v>#N/A</v>
      </c>
      <c r="G82" s="69" t="str">
        <f>C82</f>
        <v>#NA</v>
      </c>
      <c r="H82" s="69" t="e">
        <f>F82*G82</f>
        <v>#N/A</v>
      </c>
      <c r="I82" s="6" t="s">
        <v>93</v>
      </c>
      <c r="J82" s="70" t="e">
        <f>IF(OR(D82=0,D83=0,D84=0),"#NA",IF(AND(C84-C83=C83-C82,C83&lt;&gt;C84,C82&lt;&gt;C83,C82&lt;&gt;C84,D84&lt;&gt;0,OR(D82&lt;&gt;0,D83&lt;&gt;0)),WLS*(C84-C83),"#NA"))</f>
        <v>#N/A</v>
      </c>
      <c r="O82" s="99">
        <f>O81+1</f>
        <v>11</v>
      </c>
      <c r="P82" s="99">
        <f t="shared" si="23"/>
        <v>6</v>
      </c>
      <c r="Q82" s="68" t="e">
        <f>IF(OR(P84-P83=P83-P82,P85-P83=P83-P82),P82,IF(OR(P84-P83=P83-P81,P85-P83=P83-P81),P81,"-"))</f>
        <v>#VALUE!</v>
      </c>
      <c r="R82" s="69" t="e">
        <f>VLOOKUP(Q82,STN_TABLE,2,FALSE)</f>
        <v>#VALUE!</v>
      </c>
      <c r="S82" s="69">
        <v>5</v>
      </c>
      <c r="T82" s="68" t="e">
        <f>R82*S82</f>
        <v>#VALUE!</v>
      </c>
      <c r="U82" s="79">
        <v>3</v>
      </c>
      <c r="V82" s="68" t="e">
        <f>R82*U82</f>
        <v>#VALUE!</v>
      </c>
      <c r="W82" s="6" t="s">
        <v>93</v>
      </c>
      <c r="X82" s="70" t="e">
        <f>IF(AND(Q84-Q83=Q83-Q82,NOT(AND(Q82=0,Q83=0)),NOT(AND(Q83=0,Q84=0))),WLS*(Q84-Q83),"#NA")</f>
        <v>#VALUE!</v>
      </c>
      <c r="AD82" s="93"/>
      <c r="AH82" s="6" t="s">
        <v>93</v>
      </c>
      <c r="AI82" s="70">
        <f>WLS*(AD84-AD83)</f>
        <v>1</v>
      </c>
      <c r="AU82" s="81"/>
    </row>
    <row r="83" spans="1:47" x14ac:dyDescent="0.25">
      <c r="A83" s="84">
        <f>A82+1</f>
        <v>10</v>
      </c>
      <c r="B83" s="84">
        <f t="shared" si="27"/>
        <v>5</v>
      </c>
      <c r="C83" s="80" t="str">
        <f t="shared" ref="C83" si="33">IF(OR(B85-B84=B84-B83,B85-B84=B84-B82,B85-B84=B84-B81),B84,IF(OR(B85-B83=B83-B82,B85-B83=B83-B81),B83,IF(B85-B82=B82-B81,B82,"#NA")))</f>
        <v>#NA</v>
      </c>
      <c r="D83" s="76" t="e">
        <f>VLOOKUP(C83,STN_TABLE,2,FALSE)</f>
        <v>#N/A</v>
      </c>
      <c r="E83" s="81">
        <v>4</v>
      </c>
      <c r="F83" s="76" t="e">
        <f>D83*E83</f>
        <v>#N/A</v>
      </c>
      <c r="G83" s="77" t="str">
        <f>C83</f>
        <v>#NA</v>
      </c>
      <c r="H83" s="77" t="e">
        <f>F83*G83</f>
        <v>#N/A</v>
      </c>
      <c r="I83" s="495" t="s">
        <v>97</v>
      </c>
      <c r="J83" s="496"/>
      <c r="K83" s="78" t="s">
        <v>98</v>
      </c>
      <c r="L83" s="78"/>
      <c r="M83" s="7" t="s">
        <v>99</v>
      </c>
      <c r="N83" s="7"/>
      <c r="O83" s="99">
        <f>O82+1</f>
        <v>12</v>
      </c>
      <c r="P83" s="99">
        <f t="shared" si="23"/>
        <v>6.5</v>
      </c>
      <c r="Q83" s="76">
        <f>P83</f>
        <v>6.5</v>
      </c>
      <c r="R83" s="77">
        <f>VLOOKUP(Q83,STN_TABLE,2,FALSE)</f>
        <v>11</v>
      </c>
      <c r="S83" s="77">
        <v>8</v>
      </c>
      <c r="T83" s="76">
        <f>R83*S83</f>
        <v>88</v>
      </c>
      <c r="U83" s="80">
        <v>10</v>
      </c>
      <c r="V83" s="76">
        <f>R83*U83</f>
        <v>110</v>
      </c>
      <c r="W83" s="496" t="s">
        <v>97</v>
      </c>
      <c r="X83" s="496"/>
      <c r="Y83" s="496" t="s">
        <v>98</v>
      </c>
      <c r="Z83" s="496"/>
      <c r="AA83" s="494" t="s">
        <v>99</v>
      </c>
      <c r="AB83" s="494"/>
      <c r="AC83" s="99">
        <f>AC78+1</f>
        <v>11</v>
      </c>
      <c r="AD83" s="95">
        <f>VLOOKUP(AC83,STN_TABLE_2,2,FALSE)</f>
        <v>6</v>
      </c>
      <c r="AE83" s="68">
        <f>VLOOKUP(AD83,STN_TABLE,2,FALSE)</f>
        <v>11</v>
      </c>
      <c r="AF83" s="68">
        <v>1</v>
      </c>
      <c r="AG83" s="69">
        <f>AE83*AF83</f>
        <v>11</v>
      </c>
      <c r="AH83" s="496" t="s">
        <v>97</v>
      </c>
      <c r="AI83" s="496"/>
      <c r="AJ83" s="496" t="s">
        <v>98</v>
      </c>
      <c r="AK83" s="496"/>
      <c r="AL83" s="494" t="s">
        <v>99</v>
      </c>
      <c r="AM83" s="494"/>
      <c r="AP83" s="86" t="s">
        <v>112</v>
      </c>
      <c r="AQ83" s="89" t="s">
        <v>113</v>
      </c>
      <c r="AR83" s="89" t="s">
        <v>114</v>
      </c>
      <c r="AS83" s="89" t="s">
        <v>115</v>
      </c>
      <c r="AU83" s="81"/>
    </row>
    <row r="84" spans="1:47" x14ac:dyDescent="0.25">
      <c r="A84" s="84">
        <f>A83+1</f>
        <v>11</v>
      </c>
      <c r="B84" s="84">
        <f t="shared" si="27"/>
        <v>6</v>
      </c>
      <c r="C84" s="88">
        <f t="shared" ref="C84" si="34">B85</f>
        <v>6.5</v>
      </c>
      <c r="D84" s="82">
        <f>VLOOKUP(C84,STN_TABLE,2,FALSE)</f>
        <v>11</v>
      </c>
      <c r="E84" s="92">
        <v>1</v>
      </c>
      <c r="F84" s="82">
        <f>D84*E84</f>
        <v>11</v>
      </c>
      <c r="G84" s="83">
        <f>C84</f>
        <v>6.5</v>
      </c>
      <c r="H84" s="83">
        <f>F84*G84</f>
        <v>71.5</v>
      </c>
      <c r="I84" s="84" t="str">
        <f>CONCATENATE("a'(",C84,")=")</f>
        <v>a'(6.5)=</v>
      </c>
      <c r="J84" s="84" t="e">
        <f>2*J82/3*F85</f>
        <v>#N/A</v>
      </c>
      <c r="K84" s="84" t="str">
        <f>CONCATENATE("A(",C82,")=")</f>
        <v>A(#NA)=</v>
      </c>
      <c r="L84" s="84" t="e">
        <f>VLOOKUP(C82,STN_TABLE,3,FALSE)</f>
        <v>#N/A</v>
      </c>
      <c r="M84" t="str">
        <f>CONCATENATE("A(",C84,")=")</f>
        <v>A(6.5)=</v>
      </c>
      <c r="N84" t="e">
        <f>J84+L84</f>
        <v>#N/A</v>
      </c>
      <c r="O84" s="99">
        <f>O83+1</f>
        <v>13</v>
      </c>
      <c r="P84" s="99" t="str">
        <f t="shared" si="23"/>
        <v xml:space="preserve">  </v>
      </c>
      <c r="Q84" s="82" t="e">
        <f>IF(P84-P83=P83-P82,P84,IF(P85-P83=P83-P82,P85,IF(P84-P83=P83-P81,P84,IF(P85-P83=P83-P81,P85,"-"))))</f>
        <v>#VALUE!</v>
      </c>
      <c r="R84" s="83" t="e">
        <f>VLOOKUP(Q84,STN_TABLE,2,FALSE)</f>
        <v>#VALUE!</v>
      </c>
      <c r="S84" s="83">
        <v>-1</v>
      </c>
      <c r="T84" s="82" t="e">
        <f>R84*S84</f>
        <v>#VALUE!</v>
      </c>
      <c r="U84" s="88">
        <v>-1</v>
      </c>
      <c r="V84" s="82" t="e">
        <f>R84*U84</f>
        <v>#VALUE!</v>
      </c>
      <c r="W84" s="84" t="str">
        <f>CONCATENATE("a'(",Q83,")=")</f>
        <v>a'(6.5)=</v>
      </c>
      <c r="X84" s="84" t="e">
        <f>2*X82/12*T85</f>
        <v>#VALUE!</v>
      </c>
      <c r="Y84" s="84" t="e">
        <f>CONCATENATE("A(",Q82,")=")</f>
        <v>#VALUE!</v>
      </c>
      <c r="Z84" s="84" t="e">
        <f>VLOOKUP(Q82,STN_TABLE,3,FALSE)</f>
        <v>#VALUE!</v>
      </c>
      <c r="AA84" t="str">
        <f>CONCATENATE("A(",Q83,")=")</f>
        <v>A(6.5)=</v>
      </c>
      <c r="AB84" t="e">
        <f>X84+Z84</f>
        <v>#VALUE!</v>
      </c>
      <c r="AC84" s="99">
        <f>AC83+1</f>
        <v>12</v>
      </c>
      <c r="AD84" s="100">
        <f>VLOOKUP(AC84,STN_TABLE_2,2,FALSE)</f>
        <v>6.5</v>
      </c>
      <c r="AE84" s="82">
        <f>VLOOKUP(AD84,STN_TABLE,2,FALSE)</f>
        <v>11</v>
      </c>
      <c r="AF84" s="82">
        <v>2</v>
      </c>
      <c r="AG84" s="83">
        <f>AE84*AF84</f>
        <v>22</v>
      </c>
      <c r="AH84" s="84" t="str">
        <f>CONCATENATE("a'(",AD84,")=")</f>
        <v>a'(6.5)=</v>
      </c>
      <c r="AI84" s="84">
        <f>2*AI82/2*AE85</f>
        <v>22</v>
      </c>
      <c r="AJ84" s="84" t="str">
        <f>CONCATENATE("A(",AD83,")=")</f>
        <v>A(6)=</v>
      </c>
      <c r="AK84" s="84">
        <f>VLOOKUP(AD83,STN_TABLE,3,FALSE)</f>
        <v>259.84666666666669</v>
      </c>
      <c r="AL84" t="str">
        <f>CONCATENATE("A(",AD84,")=")</f>
        <v>A(6.5)=</v>
      </c>
      <c r="AM84">
        <f>AI84+AK84</f>
        <v>281.84666666666669</v>
      </c>
      <c r="AO84" s="68" t="str">
        <f>AA84</f>
        <v>A(6.5)=</v>
      </c>
      <c r="AP84" s="68" t="e">
        <f>VLOOKUP(AO84,Rise_Results,2,FALSE)</f>
        <v>#N/A</v>
      </c>
      <c r="AQ84" s="76" t="e">
        <f>N84</f>
        <v>#N/A</v>
      </c>
      <c r="AR84" s="76" t="e">
        <f>IF(OR(AB84&lt;=0,AB85&lt;=0),1/0,AB84)</f>
        <v>#VALUE!</v>
      </c>
      <c r="AS84" s="76">
        <f>AM84</f>
        <v>281.84666666666669</v>
      </c>
      <c r="AT84">
        <f>IFERROR(AP84,IFERROR(AQ84,IFERROR(AR84,AS84)))</f>
        <v>281.84666666666669</v>
      </c>
      <c r="AU84" s="81"/>
    </row>
    <row r="85" spans="1:47" x14ac:dyDescent="0.25">
      <c r="A85" s="84">
        <f>A84+1</f>
        <v>12</v>
      </c>
      <c r="B85" s="84">
        <f t="shared" si="27"/>
        <v>6.5</v>
      </c>
      <c r="F85" s="82" t="e">
        <f>SUM(F82:F84)</f>
        <v>#N/A</v>
      </c>
      <c r="H85" s="82" t="e">
        <f>SUM(H82:H84)</f>
        <v>#N/A</v>
      </c>
      <c r="I85" s="84" t="str">
        <f>CONCATENATE("m'(",C84,")=")</f>
        <v>m'(6.5)=</v>
      </c>
      <c r="J85" s="84" t="e">
        <f>2*(J82*(WLS))/3*H85</f>
        <v>#N/A</v>
      </c>
      <c r="K85" s="84" t="str">
        <f>CONCATENATE("M(",C82,")=")</f>
        <v>M(#NA)=</v>
      </c>
      <c r="L85" s="84" t="e">
        <f>VLOOKUP(C82,STN_TABLE,4,FALSE)</f>
        <v>#N/A</v>
      </c>
      <c r="M85" t="str">
        <f>CONCATENATE("M(",C84,")=")</f>
        <v>M(6.5)=</v>
      </c>
      <c r="N85" t="e">
        <f>J85+L85</f>
        <v>#N/A</v>
      </c>
      <c r="O85" s="99">
        <f>O84+1</f>
        <v>14</v>
      </c>
      <c r="P85" s="99" t="str">
        <f t="shared" si="23"/>
        <v xml:space="preserve">  </v>
      </c>
      <c r="T85" s="89" t="e">
        <f>SUM(T82:T84)</f>
        <v>#VALUE!</v>
      </c>
      <c r="V85" s="82" t="e">
        <f>SUM(V82:V84)</f>
        <v>#VALUE!</v>
      </c>
      <c r="W85" s="84" t="str">
        <f>CONCATENATE("m'(",Q83,")=")</f>
        <v>m'(6.5)=</v>
      </c>
      <c r="X85" s="84" t="e">
        <f>(2*(X82^2)/24*V85)+(X84*Q82*WLS)</f>
        <v>#VALUE!</v>
      </c>
      <c r="Y85" s="84" t="e">
        <f>CONCATENATE("M(",Q82,")=")</f>
        <v>#VALUE!</v>
      </c>
      <c r="Z85" s="84" t="e">
        <f>VLOOKUP(Q82,STN_TABLE,4,FALSE)</f>
        <v>#VALUE!</v>
      </c>
      <c r="AA85" t="str">
        <f>CONCATENATE("M(",Q83,")=")</f>
        <v>M(6.5)=</v>
      </c>
      <c r="AB85" t="e">
        <f>X85+Z85</f>
        <v>#VALUE!</v>
      </c>
      <c r="AE85" s="89">
        <f>SUM(AE83:AE84)</f>
        <v>22</v>
      </c>
      <c r="AG85" s="89">
        <f>SUM(AG83:AG84)</f>
        <v>33</v>
      </c>
      <c r="AH85" s="84" t="str">
        <f>CONCATENATE("m'(",AD84,")=")</f>
        <v>m'(6.5)=</v>
      </c>
      <c r="AI85" s="84">
        <f>(2*(AI82^2)/6*AG85)+(AI84*AD83*WLS)</f>
        <v>275</v>
      </c>
      <c r="AJ85" s="84" t="str">
        <f>CONCATENATE("M(",AD83,")=")</f>
        <v>M(6)=</v>
      </c>
      <c r="AK85" s="84">
        <f>VLOOKUP(AD83,STN_TABLE,4,FALSE)</f>
        <v>1580.1399999999999</v>
      </c>
      <c r="AL85" t="str">
        <f>CONCATENATE("M(",AD84,")=")</f>
        <v>M(6.5)=</v>
      </c>
      <c r="AM85">
        <f>AI85+AK85</f>
        <v>1855.1399999999999</v>
      </c>
      <c r="AO85" s="82" t="str">
        <f>AA85</f>
        <v>M(6.5)=</v>
      </c>
      <c r="AP85" s="82" t="e">
        <f>VLOOKUP(AO85,Rise_Results,2,FALSE)</f>
        <v>#N/A</v>
      </c>
      <c r="AQ85" s="82" t="e">
        <f>N85</f>
        <v>#N/A</v>
      </c>
      <c r="AR85" s="82" t="e">
        <f>IF(OR(AB84&lt;=0,AB85&lt;=0),1/0,AB85)</f>
        <v>#VALUE!</v>
      </c>
      <c r="AS85" s="82">
        <f>AM85</f>
        <v>1855.1399999999999</v>
      </c>
      <c r="AT85">
        <f>IFERROR(AP85,IFERROR(AQ85,IFERROR(AR85,AS85)))</f>
        <v>1855.1399999999999</v>
      </c>
      <c r="AU85" s="81"/>
    </row>
    <row r="86" spans="1:47" x14ac:dyDescent="0.25">
      <c r="A86" s="101">
        <f>A81+1</f>
        <v>9</v>
      </c>
      <c r="B86" s="101">
        <f t="shared" si="27"/>
        <v>4.8499999999999996</v>
      </c>
      <c r="O86" s="101">
        <f>O81+1</f>
        <v>11</v>
      </c>
      <c r="P86" s="101">
        <f t="shared" si="23"/>
        <v>6</v>
      </c>
      <c r="AU86" s="81"/>
    </row>
    <row r="87" spans="1:47" x14ac:dyDescent="0.25">
      <c r="A87" s="84">
        <f>A86+1</f>
        <v>10</v>
      </c>
      <c r="B87" s="84">
        <f t="shared" si="27"/>
        <v>5</v>
      </c>
      <c r="C87" s="79" t="e">
        <f t="shared" ref="C87" si="35">IF(C88=B89,IF(C89-C88=C88-B88,B88,IF(C89-C88=C88-B87,B87,"#NA")),IF(C88=B88,IF(C89-C88=C88-B87,B87,IF(C89-C88=C88-B86,B86,"#NA")),"#NA"))</f>
        <v>#VALUE!</v>
      </c>
      <c r="D87" s="68" t="e">
        <f>VLOOKUP(C87,STN_TABLE,2,FALSE)</f>
        <v>#VALUE!</v>
      </c>
      <c r="E87" s="102">
        <v>1</v>
      </c>
      <c r="F87" s="68" t="e">
        <f>D87*E87</f>
        <v>#VALUE!</v>
      </c>
      <c r="G87" s="69" t="e">
        <f>C87</f>
        <v>#VALUE!</v>
      </c>
      <c r="H87" s="69" t="e">
        <f>F87*G87</f>
        <v>#VALUE!</v>
      </c>
      <c r="I87" s="6" t="s">
        <v>93</v>
      </c>
      <c r="J87" s="70" t="e">
        <f>IF(OR(D87=0,D88=0,D89=0),"#NA",IF(AND(C89-C88=C88-C87,C88&lt;&gt;C89,C87&lt;&gt;C88,C87&lt;&gt;C89,D89&lt;&gt;0,OR(D87&lt;&gt;0,D88&lt;&gt;0)),WLS*(C89-C88),"#NA"))</f>
        <v>#VALUE!</v>
      </c>
      <c r="O87" s="99">
        <f>O86+1</f>
        <v>12</v>
      </c>
      <c r="P87" s="99">
        <f t="shared" si="23"/>
        <v>6.5</v>
      </c>
      <c r="Q87" s="68" t="e">
        <f>IF(OR(P89-P88=P88-P87,P90-P88=P88-P87),P87,IF(OR(P89-P88=P88-P86,P90-P88=P88-P86),P86,"-"))</f>
        <v>#VALUE!</v>
      </c>
      <c r="R87" s="69" t="e">
        <f>VLOOKUP(Q87,STN_TABLE,2,FALSE)</f>
        <v>#VALUE!</v>
      </c>
      <c r="S87" s="69">
        <v>5</v>
      </c>
      <c r="T87" s="68" t="e">
        <f>R87*S87</f>
        <v>#VALUE!</v>
      </c>
      <c r="U87" s="79">
        <v>3</v>
      </c>
      <c r="V87" s="68" t="e">
        <f>R87*U87</f>
        <v>#VALUE!</v>
      </c>
      <c r="W87" s="6" t="s">
        <v>93</v>
      </c>
      <c r="X87" s="70" t="e">
        <f>IF(AND(Q89-Q88=Q88-Q87,NOT(AND(Q87=0,Q88=0)),NOT(AND(Q88=0,Q89=0))),WLS*(Q89-Q88),"#NA")</f>
        <v>#VALUE!</v>
      </c>
      <c r="AD87" s="93"/>
      <c r="AH87" s="6" t="s">
        <v>93</v>
      </c>
      <c r="AI87" s="70" t="e">
        <f>WLS*(AD89-AD88)</f>
        <v>#VALUE!</v>
      </c>
      <c r="AU87" s="81"/>
    </row>
    <row r="88" spans="1:47" x14ac:dyDescent="0.25">
      <c r="A88" s="84">
        <f>A87+1</f>
        <v>11</v>
      </c>
      <c r="B88" s="84">
        <f t="shared" si="27"/>
        <v>6</v>
      </c>
      <c r="C88" s="80" t="e">
        <f t="shared" ref="C88" si="36">IF(OR(B90-B89=B89-B88,B90-B89=B89-B87,B90-B89=B89-B86),B89,IF(OR(B90-B88=B88-B87,B90-B88=B88-B86),B88,IF(B90-B87=B87-B86,B87,"#NA")))</f>
        <v>#VALUE!</v>
      </c>
      <c r="D88" s="76" t="e">
        <f>VLOOKUP(C88,STN_TABLE,2,FALSE)</f>
        <v>#VALUE!</v>
      </c>
      <c r="E88" s="81">
        <v>4</v>
      </c>
      <c r="F88" s="76" t="e">
        <f>D88*E88</f>
        <v>#VALUE!</v>
      </c>
      <c r="G88" s="77" t="e">
        <f>C88</f>
        <v>#VALUE!</v>
      </c>
      <c r="H88" s="77" t="e">
        <f>F88*G88</f>
        <v>#VALUE!</v>
      </c>
      <c r="I88" s="495" t="s">
        <v>97</v>
      </c>
      <c r="J88" s="496"/>
      <c r="K88" s="78" t="s">
        <v>98</v>
      </c>
      <c r="L88" s="78"/>
      <c r="M88" s="7" t="s">
        <v>99</v>
      </c>
      <c r="N88" s="7"/>
      <c r="O88" s="99">
        <f>O87+1</f>
        <v>13</v>
      </c>
      <c r="P88" s="99" t="str">
        <f t="shared" si="23"/>
        <v xml:space="preserve">  </v>
      </c>
      <c r="Q88" s="76" t="str">
        <f>P88</f>
        <v xml:space="preserve">  </v>
      </c>
      <c r="R88" s="77" t="str">
        <f>VLOOKUP(Q88,STN_TABLE,2,FALSE)</f>
        <v xml:space="preserve">  </v>
      </c>
      <c r="S88" s="77">
        <v>8</v>
      </c>
      <c r="T88" s="76" t="e">
        <f>R88*S88</f>
        <v>#VALUE!</v>
      </c>
      <c r="U88" s="80">
        <v>10</v>
      </c>
      <c r="V88" s="76" t="e">
        <f>R88*U88</f>
        <v>#VALUE!</v>
      </c>
      <c r="W88" s="496" t="s">
        <v>97</v>
      </c>
      <c r="X88" s="496"/>
      <c r="Y88" s="496" t="s">
        <v>98</v>
      </c>
      <c r="Z88" s="496"/>
      <c r="AA88" s="494" t="s">
        <v>99</v>
      </c>
      <c r="AB88" s="494"/>
      <c r="AC88" s="99">
        <f>AC83+1</f>
        <v>12</v>
      </c>
      <c r="AD88" s="95">
        <f>VLOOKUP(AC88,STN_TABLE_2,2,FALSE)</f>
        <v>6.5</v>
      </c>
      <c r="AE88" s="68">
        <f>VLOOKUP(AD88,STN_TABLE,2,FALSE)</f>
        <v>11</v>
      </c>
      <c r="AF88" s="68">
        <v>1</v>
      </c>
      <c r="AG88" s="69">
        <f>AE88*AF88</f>
        <v>11</v>
      </c>
      <c r="AH88" s="496" t="s">
        <v>97</v>
      </c>
      <c r="AI88" s="496"/>
      <c r="AJ88" s="496" t="s">
        <v>98</v>
      </c>
      <c r="AK88" s="496"/>
      <c r="AL88" s="494" t="s">
        <v>99</v>
      </c>
      <c r="AM88" s="494"/>
      <c r="AP88" s="86" t="s">
        <v>112</v>
      </c>
      <c r="AQ88" s="89" t="s">
        <v>113</v>
      </c>
      <c r="AR88" s="89" t="s">
        <v>114</v>
      </c>
      <c r="AS88" s="89" t="s">
        <v>115</v>
      </c>
      <c r="AU88" s="81"/>
    </row>
    <row r="89" spans="1:47" x14ac:dyDescent="0.25">
      <c r="A89" s="84">
        <f>A88+1</f>
        <v>12</v>
      </c>
      <c r="B89" s="84">
        <f t="shared" si="27"/>
        <v>6.5</v>
      </c>
      <c r="C89" s="88" t="str">
        <f t="shared" ref="C89" si="37">B90</f>
        <v xml:space="preserve">  </v>
      </c>
      <c r="D89" s="82" t="str">
        <f>VLOOKUP(C89,STN_TABLE,2,FALSE)</f>
        <v xml:space="preserve">  </v>
      </c>
      <c r="E89" s="92">
        <v>1</v>
      </c>
      <c r="F89" s="82" t="e">
        <f>D89*E89</f>
        <v>#VALUE!</v>
      </c>
      <c r="G89" s="83" t="str">
        <f>C89</f>
        <v xml:space="preserve">  </v>
      </c>
      <c r="H89" s="83" t="e">
        <f>F89*G89</f>
        <v>#VALUE!</v>
      </c>
      <c r="I89" s="84" t="str">
        <f>CONCATENATE("a'(",C89,")=")</f>
        <v>a'(  )=</v>
      </c>
      <c r="J89" s="84" t="e">
        <f>2*J87/3*F90</f>
        <v>#VALUE!</v>
      </c>
      <c r="K89" s="84" t="e">
        <f>CONCATENATE("A(",C87,")=")</f>
        <v>#VALUE!</v>
      </c>
      <c r="L89" s="84" t="e">
        <f>VLOOKUP(C87,STN_TABLE,3,FALSE)</f>
        <v>#VALUE!</v>
      </c>
      <c r="M89" t="str">
        <f>CONCATENATE("A(",C89,")=")</f>
        <v>A(  )=</v>
      </c>
      <c r="N89" t="e">
        <f>J89+L89</f>
        <v>#VALUE!</v>
      </c>
      <c r="O89" s="99">
        <f>O88+1</f>
        <v>14</v>
      </c>
      <c r="P89" s="99" t="str">
        <f t="shared" si="23"/>
        <v xml:space="preserve">  </v>
      </c>
      <c r="Q89" s="82" t="e">
        <f>IF(P89-P88=P88-P87,P89,IF(P90-P88=P88-P87,P90,IF(P89-P88=P88-P86,P89,IF(P90-P88=P88-P86,P90,"-"))))</f>
        <v>#VALUE!</v>
      </c>
      <c r="R89" s="83" t="e">
        <f>VLOOKUP(Q89,STN_TABLE,2,FALSE)</f>
        <v>#VALUE!</v>
      </c>
      <c r="S89" s="83">
        <v>-1</v>
      </c>
      <c r="T89" s="82" t="e">
        <f>R89*S89</f>
        <v>#VALUE!</v>
      </c>
      <c r="U89" s="88">
        <v>-1</v>
      </c>
      <c r="V89" s="82" t="e">
        <f>R89*U89</f>
        <v>#VALUE!</v>
      </c>
      <c r="W89" s="84" t="str">
        <f>CONCATENATE("a'(",Q88,")=")</f>
        <v>a'(  )=</v>
      </c>
      <c r="X89" s="84" t="e">
        <f>2*X87/12*T90</f>
        <v>#VALUE!</v>
      </c>
      <c r="Y89" s="84" t="e">
        <f>CONCATENATE("A(",Q87,")=")</f>
        <v>#VALUE!</v>
      </c>
      <c r="Z89" s="84" t="e">
        <f>VLOOKUP(Q87,STN_TABLE,3,FALSE)</f>
        <v>#VALUE!</v>
      </c>
      <c r="AA89" t="str">
        <f>CONCATENATE("A(",Q88,")=")</f>
        <v>A(  )=</v>
      </c>
      <c r="AB89" t="e">
        <f>X89+Z89</f>
        <v>#VALUE!</v>
      </c>
      <c r="AC89" s="99">
        <f>AC88+1</f>
        <v>13</v>
      </c>
      <c r="AD89" s="100" t="str">
        <f>VLOOKUP(AC89,STN_TABLE_2,2,FALSE)</f>
        <v xml:space="preserve">  </v>
      </c>
      <c r="AE89" s="82" t="str">
        <f>VLOOKUP(AD89,STN_TABLE,2,FALSE)</f>
        <v xml:space="preserve">  </v>
      </c>
      <c r="AF89" s="82">
        <v>2</v>
      </c>
      <c r="AG89" s="83" t="e">
        <f>AE89*AF89</f>
        <v>#VALUE!</v>
      </c>
      <c r="AH89" s="84" t="str">
        <f>CONCATENATE("a'(",AD89,")=")</f>
        <v>a'(  )=</v>
      </c>
      <c r="AI89" s="84" t="e">
        <f>2*AI87/2*AE90</f>
        <v>#VALUE!</v>
      </c>
      <c r="AJ89" s="84" t="str">
        <f>CONCATENATE("A(",AD88,")=")</f>
        <v>A(6.5)=</v>
      </c>
      <c r="AK89" s="84">
        <f>VLOOKUP(AD88,STN_TABLE,3,FALSE)</f>
        <v>281.84666666666669</v>
      </c>
      <c r="AL89" t="str">
        <f>CONCATENATE("A(",AD89,")=")</f>
        <v>A(  )=</v>
      </c>
      <c r="AM89" t="e">
        <f>AI89+AK89</f>
        <v>#VALUE!</v>
      </c>
      <c r="AO89" s="68" t="str">
        <f>AA89</f>
        <v>A(  )=</v>
      </c>
      <c r="AP89" s="68" t="e">
        <f>VLOOKUP(AO89,Rise_Results,2,FALSE)</f>
        <v>#N/A</v>
      </c>
      <c r="AQ89" s="76" t="e">
        <f>N89</f>
        <v>#VALUE!</v>
      </c>
      <c r="AR89" s="76" t="e">
        <f>IF(OR(AB89&lt;=0,AB90&lt;=0),1/0,AB89)</f>
        <v>#VALUE!</v>
      </c>
      <c r="AS89" s="76" t="e">
        <f>AM89</f>
        <v>#VALUE!</v>
      </c>
      <c r="AT89" t="e">
        <f>IFERROR(AP89,IFERROR(AQ89,IFERROR(AR89,AS89)))</f>
        <v>#VALUE!</v>
      </c>
      <c r="AU89" s="81"/>
    </row>
    <row r="90" spans="1:47" x14ac:dyDescent="0.25">
      <c r="A90" s="84">
        <f>A89+1</f>
        <v>13</v>
      </c>
      <c r="B90" s="84" t="str">
        <f t="shared" si="27"/>
        <v xml:space="preserve">  </v>
      </c>
      <c r="F90" s="82" t="e">
        <f>SUM(F87:F89)</f>
        <v>#VALUE!</v>
      </c>
      <c r="H90" s="82" t="e">
        <f>SUM(H87:H89)</f>
        <v>#VALUE!</v>
      </c>
      <c r="I90" s="84" t="str">
        <f>CONCATENATE("m'(",C89,")=")</f>
        <v>m'(  )=</v>
      </c>
      <c r="J90" s="84" t="e">
        <f>2*(J87*(WLS))/3*H90</f>
        <v>#VALUE!</v>
      </c>
      <c r="K90" s="84" t="e">
        <f>CONCATENATE("M(",C87,")=")</f>
        <v>#VALUE!</v>
      </c>
      <c r="L90" s="84" t="e">
        <f>VLOOKUP(C87,STN_TABLE,4,FALSE)</f>
        <v>#VALUE!</v>
      </c>
      <c r="M90" t="str">
        <f>CONCATENATE("M(",C89,")=")</f>
        <v>M(  )=</v>
      </c>
      <c r="N90" t="e">
        <f>J90+L90</f>
        <v>#VALUE!</v>
      </c>
      <c r="O90" s="99">
        <f>O89+1</f>
        <v>15</v>
      </c>
      <c r="P90" s="99" t="str">
        <f t="shared" si="23"/>
        <v xml:space="preserve">  </v>
      </c>
      <c r="T90" s="89" t="e">
        <f>SUM(T87:T89)</f>
        <v>#VALUE!</v>
      </c>
      <c r="V90" s="82" t="e">
        <f>SUM(V87:V89)</f>
        <v>#VALUE!</v>
      </c>
      <c r="W90" s="84" t="str">
        <f>CONCATENATE("m'(",Q88,")=")</f>
        <v>m'(  )=</v>
      </c>
      <c r="X90" s="84" t="e">
        <f>(2*(X87^2)/24*V90)+(X89*Q87*WLS)</f>
        <v>#VALUE!</v>
      </c>
      <c r="Y90" s="84" t="e">
        <f>CONCATENATE("M(",Q87,")=")</f>
        <v>#VALUE!</v>
      </c>
      <c r="Z90" s="84" t="e">
        <f>VLOOKUP(Q87,STN_TABLE,4,FALSE)</f>
        <v>#VALUE!</v>
      </c>
      <c r="AA90" t="str">
        <f>CONCATENATE("M(",Q88,")=")</f>
        <v>M(  )=</v>
      </c>
      <c r="AB90" t="e">
        <f>X90+Z90</f>
        <v>#VALUE!</v>
      </c>
      <c r="AE90" s="89">
        <f>SUM(AE88:AE89)</f>
        <v>11</v>
      </c>
      <c r="AG90" s="89" t="e">
        <f>SUM(AG88:AG89)</f>
        <v>#VALUE!</v>
      </c>
      <c r="AH90" s="84" t="str">
        <f>CONCATENATE("m'(",AD89,")=")</f>
        <v>m'(  )=</v>
      </c>
      <c r="AI90" s="84" t="e">
        <f>(2*(AI87^2)/6*AG90)+(AI89*AD88*WLS)</f>
        <v>#VALUE!</v>
      </c>
      <c r="AJ90" s="84" t="str">
        <f>CONCATENATE("M(",AD88,")=")</f>
        <v>M(6.5)=</v>
      </c>
      <c r="AK90" s="84">
        <f>VLOOKUP(AD88,STN_TABLE,4,FALSE)</f>
        <v>1855.1399999999999</v>
      </c>
      <c r="AL90" t="str">
        <f>CONCATENATE("M(",AD89,")=")</f>
        <v>M(  )=</v>
      </c>
      <c r="AM90" t="e">
        <f>AI90+AK90</f>
        <v>#VALUE!</v>
      </c>
      <c r="AO90" s="82" t="str">
        <f>AA90</f>
        <v>M(  )=</v>
      </c>
      <c r="AP90" s="82" t="e">
        <f>VLOOKUP(AO90,Rise_Results,2,FALSE)</f>
        <v>#N/A</v>
      </c>
      <c r="AQ90" s="82" t="e">
        <f>N90</f>
        <v>#VALUE!</v>
      </c>
      <c r="AR90" s="82" t="e">
        <f>IF(OR(AB89&lt;=0,AB90&lt;=0),1/0,AB90)</f>
        <v>#VALUE!</v>
      </c>
      <c r="AS90" s="82" t="e">
        <f>AM90</f>
        <v>#VALUE!</v>
      </c>
      <c r="AT90" t="e">
        <f>IFERROR(AP90,IFERROR(AQ90,IFERROR(AR90,AS90)))</f>
        <v>#VALUE!</v>
      </c>
      <c r="AU90" s="81"/>
    </row>
    <row r="91" spans="1:47" x14ac:dyDescent="0.25">
      <c r="A91" s="101">
        <f>A86+1</f>
        <v>10</v>
      </c>
      <c r="B91" s="101">
        <f t="shared" si="27"/>
        <v>5</v>
      </c>
      <c r="O91" s="101">
        <f>O86+1</f>
        <v>12</v>
      </c>
      <c r="P91" s="101">
        <f t="shared" si="23"/>
        <v>6.5</v>
      </c>
      <c r="AU91" s="81"/>
    </row>
    <row r="92" spans="1:47" x14ac:dyDescent="0.25">
      <c r="A92" s="84">
        <f>A91+1</f>
        <v>11</v>
      </c>
      <c r="B92" s="84">
        <f t="shared" si="27"/>
        <v>6</v>
      </c>
      <c r="C92" s="79" t="e">
        <f t="shared" ref="C92" si="38">IF(C93=B94,IF(C94-C93=C93-B93,B93,IF(C94-C93=C93-B92,B92,"#NA")),IF(C93=B93,IF(C94-C93=C93-B92,B92,IF(C94-C93=C93-B91,B91,"#NA")),"#NA"))</f>
        <v>#VALUE!</v>
      </c>
      <c r="D92" s="68" t="e">
        <f>VLOOKUP(C92,STN_TABLE,2,FALSE)</f>
        <v>#VALUE!</v>
      </c>
      <c r="E92" s="102">
        <v>1</v>
      </c>
      <c r="F92" s="68" t="e">
        <f>D92*E92</f>
        <v>#VALUE!</v>
      </c>
      <c r="G92" s="69" t="e">
        <f>C92</f>
        <v>#VALUE!</v>
      </c>
      <c r="H92" s="69" t="e">
        <f>F92*G92</f>
        <v>#VALUE!</v>
      </c>
      <c r="I92" s="6" t="s">
        <v>93</v>
      </c>
      <c r="J92" s="70" t="e">
        <f>IF(OR(D92=0,D93=0,D94=0),"#NA",IF(AND(C94-C93=C93-C92,C93&lt;&gt;C94,C92&lt;&gt;C93,C92&lt;&gt;C94,D94&lt;&gt;0,OR(D92&lt;&gt;0,D93&lt;&gt;0)),WLS*(C94-C93),"#NA"))</f>
        <v>#VALUE!</v>
      </c>
      <c r="O92" s="99">
        <f>O91+1</f>
        <v>13</v>
      </c>
      <c r="P92" s="99" t="str">
        <f t="shared" si="23"/>
        <v xml:space="preserve">  </v>
      </c>
      <c r="Q92" s="68" t="e">
        <f>IF(OR(P94-P93=P93-P92,P95-P93=P93-P92),P92,IF(OR(P94-P93=P93-P91,P95-P93=P93-P91),P91,"-"))</f>
        <v>#VALUE!</v>
      </c>
      <c r="R92" s="69" t="e">
        <f>VLOOKUP(Q92,STN_TABLE,2,FALSE)</f>
        <v>#VALUE!</v>
      </c>
      <c r="S92" s="69">
        <v>5</v>
      </c>
      <c r="T92" s="68" t="e">
        <f>R92*S92</f>
        <v>#VALUE!</v>
      </c>
      <c r="U92" s="79">
        <v>3</v>
      </c>
      <c r="V92" s="68" t="e">
        <f>R92*U92</f>
        <v>#VALUE!</v>
      </c>
      <c r="W92" s="6" t="s">
        <v>93</v>
      </c>
      <c r="X92" s="70" t="e">
        <f>IF(AND(Q94-Q93=Q93-Q92,NOT(AND(Q92=0,Q93=0)),NOT(AND(Q93=0,Q94=0))),WLS*(Q94-Q93),"#NA")</f>
        <v>#VALUE!</v>
      </c>
      <c r="AD92" s="93"/>
      <c r="AH92" s="6" t="s">
        <v>93</v>
      </c>
      <c r="AI92" s="70" t="e">
        <f>WLS*(AD94-AD93)</f>
        <v>#VALUE!</v>
      </c>
      <c r="AU92" s="81"/>
    </row>
    <row r="93" spans="1:47" x14ac:dyDescent="0.25">
      <c r="A93" s="84">
        <f>A92+1</f>
        <v>12</v>
      </c>
      <c r="B93" s="84">
        <f t="shared" si="27"/>
        <v>6.5</v>
      </c>
      <c r="C93" s="80" t="e">
        <f t="shared" ref="C93" si="39">IF(OR(B95-B94=B94-B93,B95-B94=B94-B92,B95-B94=B94-B91),B94,IF(OR(B95-B93=B93-B92,B95-B93=B93-B91),B93,IF(B95-B92=B92-B91,B92,"#NA")))</f>
        <v>#VALUE!</v>
      </c>
      <c r="D93" s="76" t="e">
        <f>VLOOKUP(C93,STN_TABLE,2,FALSE)</f>
        <v>#VALUE!</v>
      </c>
      <c r="E93" s="81">
        <v>4</v>
      </c>
      <c r="F93" s="76" t="e">
        <f>D93*E93</f>
        <v>#VALUE!</v>
      </c>
      <c r="G93" s="77" t="e">
        <f>C93</f>
        <v>#VALUE!</v>
      </c>
      <c r="H93" s="77" t="e">
        <f>F93*G93</f>
        <v>#VALUE!</v>
      </c>
      <c r="I93" s="495" t="s">
        <v>97</v>
      </c>
      <c r="J93" s="496"/>
      <c r="K93" s="78" t="s">
        <v>98</v>
      </c>
      <c r="L93" s="78"/>
      <c r="M93" s="7" t="s">
        <v>99</v>
      </c>
      <c r="N93" s="7"/>
      <c r="O93" s="99">
        <f>O92+1</f>
        <v>14</v>
      </c>
      <c r="P93" s="99" t="str">
        <f t="shared" si="23"/>
        <v xml:space="preserve">  </v>
      </c>
      <c r="Q93" s="76" t="str">
        <f>P93</f>
        <v xml:space="preserve">  </v>
      </c>
      <c r="R93" s="77" t="str">
        <f>VLOOKUP(Q93,STN_TABLE,2,FALSE)</f>
        <v xml:space="preserve">  </v>
      </c>
      <c r="S93" s="77">
        <v>8</v>
      </c>
      <c r="T93" s="76" t="e">
        <f>R93*S93</f>
        <v>#VALUE!</v>
      </c>
      <c r="U93" s="80">
        <v>10</v>
      </c>
      <c r="V93" s="76" t="e">
        <f>R93*U93</f>
        <v>#VALUE!</v>
      </c>
      <c r="W93" s="496" t="s">
        <v>97</v>
      </c>
      <c r="X93" s="496"/>
      <c r="Y93" s="496" t="s">
        <v>98</v>
      </c>
      <c r="Z93" s="496"/>
      <c r="AA93" s="494" t="s">
        <v>99</v>
      </c>
      <c r="AB93" s="494"/>
      <c r="AC93" s="99">
        <f>AC88+1</f>
        <v>13</v>
      </c>
      <c r="AD93" s="95" t="str">
        <f>VLOOKUP(AC93,STN_TABLE_2,2,FALSE)</f>
        <v xml:space="preserve">  </v>
      </c>
      <c r="AE93" s="68" t="str">
        <f>VLOOKUP(AD93,STN_TABLE,2,FALSE)</f>
        <v xml:space="preserve">  </v>
      </c>
      <c r="AF93" s="68">
        <v>1</v>
      </c>
      <c r="AG93" s="69" t="e">
        <f>AE93*AF93</f>
        <v>#VALUE!</v>
      </c>
      <c r="AH93" s="496" t="s">
        <v>97</v>
      </c>
      <c r="AI93" s="496"/>
      <c r="AJ93" s="496" t="s">
        <v>98</v>
      </c>
      <c r="AK93" s="496"/>
      <c r="AL93" s="494" t="s">
        <v>99</v>
      </c>
      <c r="AM93" s="494"/>
      <c r="AP93" s="86" t="s">
        <v>112</v>
      </c>
      <c r="AQ93" s="89" t="s">
        <v>113</v>
      </c>
      <c r="AR93" s="89" t="s">
        <v>114</v>
      </c>
      <c r="AS93" s="89" t="s">
        <v>115</v>
      </c>
      <c r="AU93" s="81"/>
    </row>
    <row r="94" spans="1:47" x14ac:dyDescent="0.25">
      <c r="A94" s="84">
        <f>A93+1</f>
        <v>13</v>
      </c>
      <c r="B94" s="84" t="str">
        <f t="shared" si="27"/>
        <v xml:space="preserve">  </v>
      </c>
      <c r="C94" s="88" t="str">
        <f t="shared" ref="C94" si="40">B95</f>
        <v xml:space="preserve">  </v>
      </c>
      <c r="D94" s="82" t="str">
        <f>VLOOKUP(C94,STN_TABLE,2,FALSE)</f>
        <v xml:space="preserve">  </v>
      </c>
      <c r="E94" s="92">
        <v>1</v>
      </c>
      <c r="F94" s="82" t="e">
        <f>D94*E94</f>
        <v>#VALUE!</v>
      </c>
      <c r="G94" s="83" t="str">
        <f>C94</f>
        <v xml:space="preserve">  </v>
      </c>
      <c r="H94" s="83" t="e">
        <f>F94*G94</f>
        <v>#VALUE!</v>
      </c>
      <c r="I94" s="84" t="str">
        <f>CONCATENATE("a'(",C94,")=")</f>
        <v>a'(  )=</v>
      </c>
      <c r="J94" s="84" t="e">
        <f>2*J92/3*F95</f>
        <v>#VALUE!</v>
      </c>
      <c r="K94" s="84" t="e">
        <f>CONCATENATE("A(",C92,")=")</f>
        <v>#VALUE!</v>
      </c>
      <c r="L94" s="84" t="e">
        <f>VLOOKUP(C92,STN_TABLE,3,FALSE)</f>
        <v>#VALUE!</v>
      </c>
      <c r="M94" t="str">
        <f>CONCATENATE("A(",C94,")=")</f>
        <v>A(  )=</v>
      </c>
      <c r="N94" t="e">
        <f>J94+L94</f>
        <v>#VALUE!</v>
      </c>
      <c r="O94" s="99">
        <f>O93+1</f>
        <v>15</v>
      </c>
      <c r="P94" s="99" t="str">
        <f t="shared" si="23"/>
        <v xml:space="preserve">  </v>
      </c>
      <c r="Q94" s="82" t="e">
        <f>IF(P94-P93=P93-P92,P94,IF(P95-P93=P93-P92,P95,IF(P94-P93=P93-P91,P94,IF(P95-P93=P93-P91,P95,"-"))))</f>
        <v>#VALUE!</v>
      </c>
      <c r="R94" s="83" t="e">
        <f>VLOOKUP(Q94,STN_TABLE,2,FALSE)</f>
        <v>#VALUE!</v>
      </c>
      <c r="S94" s="83">
        <v>-1</v>
      </c>
      <c r="T94" s="82" t="e">
        <f>R94*S94</f>
        <v>#VALUE!</v>
      </c>
      <c r="U94" s="88">
        <v>-1</v>
      </c>
      <c r="V94" s="82" t="e">
        <f>R94*U94</f>
        <v>#VALUE!</v>
      </c>
      <c r="W94" s="84" t="str">
        <f>CONCATENATE("a'(",Q93,")=")</f>
        <v>a'(  )=</v>
      </c>
      <c r="X94" s="84" t="e">
        <f>2*X92/12*T95</f>
        <v>#VALUE!</v>
      </c>
      <c r="Y94" s="84" t="e">
        <f>CONCATENATE("A(",Q92,")=")</f>
        <v>#VALUE!</v>
      </c>
      <c r="Z94" s="84" t="e">
        <f>VLOOKUP(Q92,STN_TABLE,3,FALSE)</f>
        <v>#VALUE!</v>
      </c>
      <c r="AA94" t="str">
        <f>CONCATENATE("A(",Q93,")=")</f>
        <v>A(  )=</v>
      </c>
      <c r="AB94" t="e">
        <f>X94+Z94</f>
        <v>#VALUE!</v>
      </c>
      <c r="AC94" s="99">
        <f>AC93+1</f>
        <v>14</v>
      </c>
      <c r="AD94" s="100" t="str">
        <f>VLOOKUP(AC94,STN_TABLE_2,2,FALSE)</f>
        <v xml:space="preserve">  </v>
      </c>
      <c r="AE94" s="82" t="str">
        <f>VLOOKUP(AD94,STN_TABLE,2,FALSE)</f>
        <v xml:space="preserve">  </v>
      </c>
      <c r="AF94" s="82">
        <v>2</v>
      </c>
      <c r="AG94" s="83" t="e">
        <f>AE94*AF94</f>
        <v>#VALUE!</v>
      </c>
      <c r="AH94" s="84" t="str">
        <f>CONCATENATE("a'(",AD94,")=")</f>
        <v>a'(  )=</v>
      </c>
      <c r="AI94" s="84" t="e">
        <f>2*AI92/2*AE95</f>
        <v>#VALUE!</v>
      </c>
      <c r="AJ94" s="84" t="str">
        <f>CONCATENATE("A(",AD93,")=")</f>
        <v>A(  )=</v>
      </c>
      <c r="AK94" s="84" t="str">
        <f>VLOOKUP(AD93,STN_TABLE,3,FALSE)</f>
        <v xml:space="preserve"> </v>
      </c>
      <c r="AL94" t="str">
        <f>CONCATENATE("A(",AD94,")=")</f>
        <v>A(  )=</v>
      </c>
      <c r="AM94" t="e">
        <f>AI94+AK94</f>
        <v>#VALUE!</v>
      </c>
      <c r="AO94" s="68" t="str">
        <f>AA94</f>
        <v>A(  )=</v>
      </c>
      <c r="AP94" s="68" t="e">
        <f>VLOOKUP(AO94,Rise_Results,2,FALSE)</f>
        <v>#N/A</v>
      </c>
      <c r="AQ94" s="76" t="e">
        <f>N94</f>
        <v>#VALUE!</v>
      </c>
      <c r="AR94" s="76" t="e">
        <f>IF(OR(AB94&lt;=0,AB95&lt;=0),1/0,AB94)</f>
        <v>#VALUE!</v>
      </c>
      <c r="AS94" s="76" t="e">
        <f>AM94</f>
        <v>#VALUE!</v>
      </c>
      <c r="AT94" t="e">
        <f>IFERROR(AP94,IFERROR(AQ94,IFERROR(AR94,AS94)))</f>
        <v>#VALUE!</v>
      </c>
      <c r="AU94" s="81"/>
    </row>
    <row r="95" spans="1:47" x14ac:dyDescent="0.25">
      <c r="A95" s="84">
        <f>A94+1</f>
        <v>14</v>
      </c>
      <c r="B95" s="84" t="str">
        <f t="shared" si="27"/>
        <v xml:space="preserve">  </v>
      </c>
      <c r="F95" s="82" t="e">
        <f>SUM(F92:F94)</f>
        <v>#VALUE!</v>
      </c>
      <c r="H95" s="82" t="e">
        <f>SUM(H92:H94)</f>
        <v>#VALUE!</v>
      </c>
      <c r="I95" s="84" t="str">
        <f>CONCATENATE("m'(",C94,")=")</f>
        <v>m'(  )=</v>
      </c>
      <c r="J95" s="84" t="e">
        <f>2*(J92*(WLS))/3*H95</f>
        <v>#VALUE!</v>
      </c>
      <c r="K95" s="84" t="e">
        <f>CONCATENATE("M(",C92,")=")</f>
        <v>#VALUE!</v>
      </c>
      <c r="L95" s="84" t="e">
        <f>VLOOKUP(C92,STN_TABLE,4,FALSE)</f>
        <v>#VALUE!</v>
      </c>
      <c r="M95" t="str">
        <f>CONCATENATE("M(",C94,")=")</f>
        <v>M(  )=</v>
      </c>
      <c r="N95" t="e">
        <f>J95+L95</f>
        <v>#VALUE!</v>
      </c>
      <c r="O95" s="99">
        <f>O94+1</f>
        <v>16</v>
      </c>
      <c r="P95" s="99" t="str">
        <f t="shared" si="23"/>
        <v xml:space="preserve">  </v>
      </c>
      <c r="T95" s="89" t="e">
        <f>SUM(T92:T94)</f>
        <v>#VALUE!</v>
      </c>
      <c r="V95" s="82" t="e">
        <f>SUM(V92:V94)</f>
        <v>#VALUE!</v>
      </c>
      <c r="W95" s="84" t="str">
        <f>CONCATENATE("m'(",Q93,")=")</f>
        <v>m'(  )=</v>
      </c>
      <c r="X95" s="84" t="e">
        <f>(2*(X92^2)/24*V95)+(X94*Q92*WLS)</f>
        <v>#VALUE!</v>
      </c>
      <c r="Y95" s="84" t="e">
        <f>CONCATENATE("M(",Q92,")=")</f>
        <v>#VALUE!</v>
      </c>
      <c r="Z95" s="84" t="e">
        <f>VLOOKUP(Q92,STN_TABLE,4,FALSE)</f>
        <v>#VALUE!</v>
      </c>
      <c r="AA95" t="str">
        <f>CONCATENATE("M(",Q93,")=")</f>
        <v>M(  )=</v>
      </c>
      <c r="AB95" t="e">
        <f>X95+Z95</f>
        <v>#VALUE!</v>
      </c>
      <c r="AE95" s="89">
        <f>SUM(AE93:AE94)</f>
        <v>0</v>
      </c>
      <c r="AG95" s="89" t="e">
        <f>SUM(AG93:AG94)</f>
        <v>#VALUE!</v>
      </c>
      <c r="AH95" s="84" t="str">
        <f>CONCATENATE("m'(",AD94,")=")</f>
        <v>m'(  )=</v>
      </c>
      <c r="AI95" s="84" t="e">
        <f>(2*(AI92^2)/6*AG95)+(AI94*AD93*WLS)</f>
        <v>#VALUE!</v>
      </c>
      <c r="AJ95" s="84" t="str">
        <f>CONCATENATE("M(",AD93,")=")</f>
        <v>M(  )=</v>
      </c>
      <c r="AK95" s="84" t="str">
        <f>VLOOKUP(AD93,STN_TABLE,4,FALSE)</f>
        <v xml:space="preserve"> </v>
      </c>
      <c r="AL95" t="str">
        <f>CONCATENATE("M(",AD94,")=")</f>
        <v>M(  )=</v>
      </c>
      <c r="AM95" t="e">
        <f>AI95+AK95</f>
        <v>#VALUE!</v>
      </c>
      <c r="AO95" s="82" t="str">
        <f>AA95</f>
        <v>M(  )=</v>
      </c>
      <c r="AP95" s="82" t="e">
        <f>VLOOKUP(AO95,Rise_Results,2,FALSE)</f>
        <v>#N/A</v>
      </c>
      <c r="AQ95" s="82" t="e">
        <f>N95</f>
        <v>#VALUE!</v>
      </c>
      <c r="AR95" s="82" t="e">
        <f>IF(OR(AB94&lt;=0,AB95&lt;=0),1/0,AB95)</f>
        <v>#VALUE!</v>
      </c>
      <c r="AS95" s="82" t="e">
        <f>AM95</f>
        <v>#VALUE!</v>
      </c>
      <c r="AT95" t="e">
        <f>IFERROR(AP95,IFERROR(AQ95,IFERROR(AR95,AS95)))</f>
        <v>#VALUE!</v>
      </c>
      <c r="AU95" s="81"/>
    </row>
    <row r="96" spans="1:47" x14ac:dyDescent="0.25">
      <c r="A96" s="101">
        <f>A91+1</f>
        <v>11</v>
      </c>
      <c r="B96" s="101">
        <f t="shared" si="27"/>
        <v>6</v>
      </c>
      <c r="O96" s="101">
        <f>O91+1</f>
        <v>13</v>
      </c>
      <c r="P96" s="101" t="str">
        <f t="shared" si="23"/>
        <v xml:space="preserve">  </v>
      </c>
      <c r="AU96" s="81"/>
    </row>
    <row r="97" spans="1:47" x14ac:dyDescent="0.25">
      <c r="A97" s="84">
        <f>A96+1</f>
        <v>12</v>
      </c>
      <c r="B97" s="84">
        <f t="shared" si="27"/>
        <v>6.5</v>
      </c>
      <c r="C97" s="79" t="e">
        <f t="shared" ref="C97" si="41">IF(C98=B99,IF(C99-C98=C98-B98,B98,IF(C99-C98=C98-B97,B97,"#NA")),IF(C98=B98,IF(C99-C98=C98-B97,B97,IF(C99-C98=C98-B96,B96,"#NA")),"#NA"))</f>
        <v>#VALUE!</v>
      </c>
      <c r="D97" s="68" t="e">
        <f>VLOOKUP(C97,STN_TABLE,2,FALSE)</f>
        <v>#VALUE!</v>
      </c>
      <c r="E97" s="102">
        <v>1</v>
      </c>
      <c r="F97" s="68" t="e">
        <f>D97*E97</f>
        <v>#VALUE!</v>
      </c>
      <c r="G97" s="69" t="e">
        <f>C97</f>
        <v>#VALUE!</v>
      </c>
      <c r="H97" s="69" t="e">
        <f>F97*G97</f>
        <v>#VALUE!</v>
      </c>
      <c r="I97" s="6" t="s">
        <v>93</v>
      </c>
      <c r="J97" s="70" t="e">
        <f>IF(OR(D97=0,D98=0,D99=0),"#NA",IF(AND(C99-C98=C98-C97,C98&lt;&gt;C99,C97&lt;&gt;C98,C97&lt;&gt;C99,D99&lt;&gt;0,OR(D97&lt;&gt;0,D98&lt;&gt;0)),WLS*(C99-C98),"#NA"))</f>
        <v>#VALUE!</v>
      </c>
      <c r="O97" s="99">
        <f>O96+1</f>
        <v>14</v>
      </c>
      <c r="P97" s="99" t="str">
        <f t="shared" si="23"/>
        <v xml:space="preserve">  </v>
      </c>
      <c r="Q97" s="68" t="e">
        <f>IF(OR(P99-P98=P98-P97,P100-P98=P98-P97),P97,IF(OR(P99-P98=P98-P96,P100-P98=P98-P96),P96,"-"))</f>
        <v>#VALUE!</v>
      </c>
      <c r="R97" s="69" t="e">
        <f>VLOOKUP(Q97,STN_TABLE,2,FALSE)</f>
        <v>#VALUE!</v>
      </c>
      <c r="S97" s="69">
        <v>5</v>
      </c>
      <c r="T97" s="68" t="e">
        <f>R97*S97</f>
        <v>#VALUE!</v>
      </c>
      <c r="U97" s="79">
        <v>3</v>
      </c>
      <c r="V97" s="68" t="e">
        <f>R97*U97</f>
        <v>#VALUE!</v>
      </c>
      <c r="W97" s="6" t="s">
        <v>93</v>
      </c>
      <c r="X97" s="70" t="e">
        <f>IF(AND(Q99-Q98=Q98-Q97,NOT(AND(Q97=0,Q98=0)),NOT(AND(Q98=0,Q99=0))),WLS*(Q99-Q98),"#NA")</f>
        <v>#VALUE!</v>
      </c>
      <c r="AD97" s="93"/>
      <c r="AH97" s="6" t="s">
        <v>93</v>
      </c>
      <c r="AI97" s="70" t="e">
        <f>WLS*(AD99-AD98)</f>
        <v>#VALUE!</v>
      </c>
      <c r="AU97" s="81"/>
    </row>
    <row r="98" spans="1:47" x14ac:dyDescent="0.25">
      <c r="A98" s="84">
        <f>A97+1</f>
        <v>13</v>
      </c>
      <c r="B98" s="84" t="str">
        <f t="shared" si="27"/>
        <v xml:space="preserve">  </v>
      </c>
      <c r="C98" s="80" t="e">
        <f t="shared" ref="C98" si="42">IF(OR(B100-B99=B99-B98,B100-B99=B99-B97,B100-B99=B99-B96),B99,IF(OR(B100-B98=B98-B97,B100-B98=B98-B96),B98,IF(B100-B97=B97-B96,B97,"#NA")))</f>
        <v>#VALUE!</v>
      </c>
      <c r="D98" s="76" t="e">
        <f>VLOOKUP(C98,STN_TABLE,2,FALSE)</f>
        <v>#VALUE!</v>
      </c>
      <c r="E98" s="81">
        <v>4</v>
      </c>
      <c r="F98" s="76" t="e">
        <f>D98*E98</f>
        <v>#VALUE!</v>
      </c>
      <c r="G98" s="77" t="e">
        <f>C98</f>
        <v>#VALUE!</v>
      </c>
      <c r="H98" s="77" t="e">
        <f>F98*G98</f>
        <v>#VALUE!</v>
      </c>
      <c r="I98" s="495" t="s">
        <v>97</v>
      </c>
      <c r="J98" s="496"/>
      <c r="K98" s="78" t="s">
        <v>98</v>
      </c>
      <c r="L98" s="78"/>
      <c r="M98" s="7" t="s">
        <v>99</v>
      </c>
      <c r="N98" s="7"/>
      <c r="O98" s="99">
        <f>O97+1</f>
        <v>15</v>
      </c>
      <c r="P98" s="99" t="str">
        <f t="shared" si="23"/>
        <v xml:space="preserve">  </v>
      </c>
      <c r="Q98" s="76" t="str">
        <f>P98</f>
        <v xml:space="preserve">  </v>
      </c>
      <c r="R98" s="77" t="str">
        <f>VLOOKUP(Q98,STN_TABLE,2,FALSE)</f>
        <v xml:space="preserve">  </v>
      </c>
      <c r="S98" s="77">
        <v>8</v>
      </c>
      <c r="T98" s="76" t="e">
        <f>R98*S98</f>
        <v>#VALUE!</v>
      </c>
      <c r="U98" s="80">
        <v>10</v>
      </c>
      <c r="V98" s="76" t="e">
        <f>R98*U98</f>
        <v>#VALUE!</v>
      </c>
      <c r="W98" s="496" t="s">
        <v>97</v>
      </c>
      <c r="X98" s="496"/>
      <c r="Y98" s="496" t="s">
        <v>98</v>
      </c>
      <c r="Z98" s="496"/>
      <c r="AA98" s="494" t="s">
        <v>99</v>
      </c>
      <c r="AB98" s="494"/>
      <c r="AC98" s="99">
        <f>AC93+1</f>
        <v>14</v>
      </c>
      <c r="AD98" s="95" t="str">
        <f>VLOOKUP(AC98,STN_TABLE_2,2,FALSE)</f>
        <v xml:space="preserve">  </v>
      </c>
      <c r="AE98" s="68" t="str">
        <f>VLOOKUP(AD98,STN_TABLE,2,FALSE)</f>
        <v xml:space="preserve">  </v>
      </c>
      <c r="AF98" s="68">
        <v>1</v>
      </c>
      <c r="AG98" s="69" t="e">
        <f>AE98*AF98</f>
        <v>#VALUE!</v>
      </c>
      <c r="AH98" s="496" t="s">
        <v>97</v>
      </c>
      <c r="AI98" s="496"/>
      <c r="AJ98" s="496" t="s">
        <v>98</v>
      </c>
      <c r="AK98" s="496"/>
      <c r="AL98" s="494" t="s">
        <v>99</v>
      </c>
      <c r="AM98" s="494"/>
      <c r="AP98" s="86" t="s">
        <v>112</v>
      </c>
      <c r="AQ98" s="89" t="s">
        <v>113</v>
      </c>
      <c r="AR98" s="89" t="s">
        <v>114</v>
      </c>
      <c r="AS98" s="89" t="s">
        <v>115</v>
      </c>
      <c r="AU98" s="81"/>
    </row>
    <row r="99" spans="1:47" x14ac:dyDescent="0.25">
      <c r="A99" s="84">
        <f>A98+1</f>
        <v>14</v>
      </c>
      <c r="B99" s="84" t="str">
        <f t="shared" si="27"/>
        <v xml:space="preserve">  </v>
      </c>
      <c r="C99" s="88" t="str">
        <f t="shared" ref="C99" si="43">B100</f>
        <v xml:space="preserve">  </v>
      </c>
      <c r="D99" s="82" t="str">
        <f>VLOOKUP(C99,STN_TABLE,2,FALSE)</f>
        <v xml:space="preserve">  </v>
      </c>
      <c r="E99" s="92">
        <v>1</v>
      </c>
      <c r="F99" s="82" t="e">
        <f>D99*E99</f>
        <v>#VALUE!</v>
      </c>
      <c r="G99" s="83" t="str">
        <f>C99</f>
        <v xml:space="preserve">  </v>
      </c>
      <c r="H99" s="83" t="e">
        <f>F99*G99</f>
        <v>#VALUE!</v>
      </c>
      <c r="I99" s="84" t="str">
        <f>CONCATENATE("a'(",C99,")=")</f>
        <v>a'(  )=</v>
      </c>
      <c r="J99" s="84" t="e">
        <f>2*J97/3*F100</f>
        <v>#VALUE!</v>
      </c>
      <c r="K99" s="84" t="e">
        <f>CONCATENATE("A(",C97,")=")</f>
        <v>#VALUE!</v>
      </c>
      <c r="L99" s="84" t="e">
        <f>VLOOKUP(C97,STN_TABLE,3,FALSE)</f>
        <v>#VALUE!</v>
      </c>
      <c r="M99" t="str">
        <f>CONCATENATE("A(",C99,")=")</f>
        <v>A(  )=</v>
      </c>
      <c r="N99" t="e">
        <f>J99+L99</f>
        <v>#VALUE!</v>
      </c>
      <c r="O99" s="99">
        <f>O98+1</f>
        <v>16</v>
      </c>
      <c r="P99" s="99" t="str">
        <f t="shared" si="23"/>
        <v xml:space="preserve">  </v>
      </c>
      <c r="Q99" s="82" t="e">
        <f>IF(P99-P98=P98-P97,P99,IF(P100-P98=P98-P97,P100,IF(P99-P98=P98-P96,P99,IF(P100-P98=P98-P96,P100,"-"))))</f>
        <v>#VALUE!</v>
      </c>
      <c r="R99" s="83" t="e">
        <f>VLOOKUP(Q99,STN_TABLE,2,FALSE)</f>
        <v>#VALUE!</v>
      </c>
      <c r="S99" s="83">
        <v>-1</v>
      </c>
      <c r="T99" s="82" t="e">
        <f>R99*S99</f>
        <v>#VALUE!</v>
      </c>
      <c r="U99" s="88">
        <v>-1</v>
      </c>
      <c r="V99" s="82" t="e">
        <f>R99*U99</f>
        <v>#VALUE!</v>
      </c>
      <c r="W99" s="84" t="str">
        <f>CONCATENATE("a'(",Q98,")=")</f>
        <v>a'(  )=</v>
      </c>
      <c r="X99" s="84" t="e">
        <f>2*X97/12*T100</f>
        <v>#VALUE!</v>
      </c>
      <c r="Y99" s="84" t="e">
        <f>CONCATENATE("A(",Q97,")=")</f>
        <v>#VALUE!</v>
      </c>
      <c r="Z99" s="84" t="e">
        <f>VLOOKUP(Q97,STN_TABLE,3,FALSE)</f>
        <v>#VALUE!</v>
      </c>
      <c r="AA99" t="str">
        <f>CONCATENATE("A(",Q98,")=")</f>
        <v>A(  )=</v>
      </c>
      <c r="AB99" t="e">
        <f>X99+Z99</f>
        <v>#VALUE!</v>
      </c>
      <c r="AC99" s="99">
        <f>AC98+1</f>
        <v>15</v>
      </c>
      <c r="AD99" s="100" t="str">
        <f>VLOOKUP(AC99,STN_TABLE_2,2,FALSE)</f>
        <v xml:space="preserve">  </v>
      </c>
      <c r="AE99" s="82" t="str">
        <f>VLOOKUP(AD99,STN_TABLE,2,FALSE)</f>
        <v xml:space="preserve">  </v>
      </c>
      <c r="AF99" s="82">
        <v>2</v>
      </c>
      <c r="AG99" s="83" t="e">
        <f>AE99*AF99</f>
        <v>#VALUE!</v>
      </c>
      <c r="AH99" s="84" t="str">
        <f>CONCATENATE("a'(",AD99,")=")</f>
        <v>a'(  )=</v>
      </c>
      <c r="AI99" s="84" t="e">
        <f>2*AI97/2*AE100</f>
        <v>#VALUE!</v>
      </c>
      <c r="AJ99" s="84" t="str">
        <f>CONCATENATE("A(",AD98,")=")</f>
        <v>A(  )=</v>
      </c>
      <c r="AK99" s="84" t="str">
        <f>VLOOKUP(AD98,STN_TABLE,3,FALSE)</f>
        <v xml:space="preserve"> </v>
      </c>
      <c r="AL99" t="str">
        <f>CONCATENATE("A(",AD99,")=")</f>
        <v>A(  )=</v>
      </c>
      <c r="AM99" t="e">
        <f>AI99+AK99</f>
        <v>#VALUE!</v>
      </c>
      <c r="AO99" s="68" t="str">
        <f>AA99</f>
        <v>A(  )=</v>
      </c>
      <c r="AP99" s="68" t="e">
        <f>VLOOKUP(AO99,Rise_Results,2,FALSE)</f>
        <v>#N/A</v>
      </c>
      <c r="AQ99" s="76" t="e">
        <f>N99</f>
        <v>#VALUE!</v>
      </c>
      <c r="AR99" s="76" t="e">
        <f>IF(OR(AB99&lt;=0,AB100&lt;=0),1/0,AB99)</f>
        <v>#VALUE!</v>
      </c>
      <c r="AS99" s="76" t="e">
        <f>AM99</f>
        <v>#VALUE!</v>
      </c>
      <c r="AT99" t="e">
        <f>IFERROR(AP99,IFERROR(AQ99,IFERROR(AR99,AS99)))</f>
        <v>#VALUE!</v>
      </c>
      <c r="AU99" s="81"/>
    </row>
    <row r="100" spans="1:47" x14ac:dyDescent="0.25">
      <c r="A100" s="84">
        <f>A99+1</f>
        <v>15</v>
      </c>
      <c r="B100" s="84" t="str">
        <f t="shared" si="27"/>
        <v xml:space="preserve">  </v>
      </c>
      <c r="F100" s="82" t="e">
        <f>SUM(F97:F99)</f>
        <v>#VALUE!</v>
      </c>
      <c r="H100" s="82" t="e">
        <f>SUM(H97:H99)</f>
        <v>#VALUE!</v>
      </c>
      <c r="I100" s="84" t="str">
        <f>CONCATENATE("m'(",C99,")=")</f>
        <v>m'(  )=</v>
      </c>
      <c r="J100" s="84" t="e">
        <f>2*(J97*(WLS))/3*H100</f>
        <v>#VALUE!</v>
      </c>
      <c r="K100" s="84" t="e">
        <f>CONCATENATE("M(",C97,")=")</f>
        <v>#VALUE!</v>
      </c>
      <c r="L100" s="84" t="e">
        <f>VLOOKUP(C97,STN_TABLE,4,FALSE)</f>
        <v>#VALUE!</v>
      </c>
      <c r="M100" t="str">
        <f>CONCATENATE("M(",C99,")=")</f>
        <v>M(  )=</v>
      </c>
      <c r="N100" t="e">
        <f>J100+L100</f>
        <v>#VALUE!</v>
      </c>
      <c r="O100" s="99">
        <f>O99+1</f>
        <v>17</v>
      </c>
      <c r="P100" s="99" t="str">
        <f t="shared" ref="P100:P131" si="44">VLOOKUP(O100,STN_TABLE_2,2,FALSE)</f>
        <v xml:space="preserve">  </v>
      </c>
      <c r="T100" s="89" t="e">
        <f>SUM(T97:T99)</f>
        <v>#VALUE!</v>
      </c>
      <c r="V100" s="82" t="e">
        <f>SUM(V97:V99)</f>
        <v>#VALUE!</v>
      </c>
      <c r="W100" s="84" t="str">
        <f>CONCATENATE("m'(",Q98,")=")</f>
        <v>m'(  )=</v>
      </c>
      <c r="X100" s="84" t="e">
        <f>(2*(X97^2)/24*V100)+(X99*Q97*WLS)</f>
        <v>#VALUE!</v>
      </c>
      <c r="Y100" s="84" t="e">
        <f>CONCATENATE("M(",Q97,")=")</f>
        <v>#VALUE!</v>
      </c>
      <c r="Z100" s="84" t="e">
        <f>VLOOKUP(Q97,STN_TABLE,4,FALSE)</f>
        <v>#VALUE!</v>
      </c>
      <c r="AA100" t="str">
        <f>CONCATENATE("M(",Q98,")=")</f>
        <v>M(  )=</v>
      </c>
      <c r="AB100" t="e">
        <f>X100+Z100</f>
        <v>#VALUE!</v>
      </c>
      <c r="AE100" s="89">
        <f>SUM(AE98:AE99)</f>
        <v>0</v>
      </c>
      <c r="AG100" s="89" t="e">
        <f>SUM(AG98:AG99)</f>
        <v>#VALUE!</v>
      </c>
      <c r="AH100" s="84" t="str">
        <f>CONCATENATE("m'(",AD99,")=")</f>
        <v>m'(  )=</v>
      </c>
      <c r="AI100" s="84" t="e">
        <f>(2*(AI97^2)/6*AG100)+(AI99*AD98*WLS)</f>
        <v>#VALUE!</v>
      </c>
      <c r="AJ100" s="84" t="str">
        <f>CONCATENATE("M(",AD98,")=")</f>
        <v>M(  )=</v>
      </c>
      <c r="AK100" s="84" t="str">
        <f>VLOOKUP(AD98,STN_TABLE,4,FALSE)</f>
        <v xml:space="preserve"> </v>
      </c>
      <c r="AL100" t="str">
        <f>CONCATENATE("M(",AD99,")=")</f>
        <v>M(  )=</v>
      </c>
      <c r="AM100" t="e">
        <f>AI100+AK100</f>
        <v>#VALUE!</v>
      </c>
      <c r="AO100" s="82" t="str">
        <f>AA100</f>
        <v>M(  )=</v>
      </c>
      <c r="AP100" s="82" t="e">
        <f>VLOOKUP(AO100,Rise_Results,2,FALSE)</f>
        <v>#N/A</v>
      </c>
      <c r="AQ100" s="82" t="e">
        <f>N100</f>
        <v>#VALUE!</v>
      </c>
      <c r="AR100" s="82" t="e">
        <f>IF(OR(AB99&lt;=0,AB100&lt;=0),1/0,AB100)</f>
        <v>#VALUE!</v>
      </c>
      <c r="AS100" s="82" t="e">
        <f>AM100</f>
        <v>#VALUE!</v>
      </c>
      <c r="AT100" t="e">
        <f>IFERROR(AP100,IFERROR(AQ100,IFERROR(AR100,AS100)))</f>
        <v>#VALUE!</v>
      </c>
      <c r="AU100" s="81"/>
    </row>
    <row r="101" spans="1:47" x14ac:dyDescent="0.25">
      <c r="A101" s="101">
        <f>A96+1</f>
        <v>12</v>
      </c>
      <c r="B101" s="101">
        <f t="shared" si="27"/>
        <v>6.5</v>
      </c>
      <c r="O101" s="101">
        <f>O96+1</f>
        <v>14</v>
      </c>
      <c r="P101" s="101" t="str">
        <f t="shared" si="44"/>
        <v xml:space="preserve">  </v>
      </c>
      <c r="AU101" s="81"/>
    </row>
    <row r="102" spans="1:47" x14ac:dyDescent="0.25">
      <c r="A102" s="84">
        <f>A101+1</f>
        <v>13</v>
      </c>
      <c r="B102" s="84" t="str">
        <f t="shared" si="27"/>
        <v xml:space="preserve">  </v>
      </c>
      <c r="C102" s="79" t="e">
        <f t="shared" ref="C102" si="45">IF(C103=B104,IF(C104-C103=C103-B103,B103,IF(C104-C103=C103-B102,B102,"#NA")),IF(C103=B103,IF(C104-C103=C103-B102,B102,IF(C104-C103=C103-B101,B101,"#NA")),"#NA"))</f>
        <v>#VALUE!</v>
      </c>
      <c r="D102" s="68" t="e">
        <f>VLOOKUP(C102,STN_TABLE,2,FALSE)</f>
        <v>#VALUE!</v>
      </c>
      <c r="E102" s="102">
        <v>1</v>
      </c>
      <c r="F102" s="68" t="e">
        <f>D102*E102</f>
        <v>#VALUE!</v>
      </c>
      <c r="G102" s="69" t="e">
        <f>C102</f>
        <v>#VALUE!</v>
      </c>
      <c r="H102" s="69" t="e">
        <f>F102*G102</f>
        <v>#VALUE!</v>
      </c>
      <c r="I102" s="6" t="s">
        <v>93</v>
      </c>
      <c r="J102" s="70" t="e">
        <f>IF(OR(D102=0,D103=0,D104=0),"#NA",IF(AND(C104-C103=C103-C102,C103&lt;&gt;C104,C102&lt;&gt;C103,C102&lt;&gt;C104,D104&lt;&gt;0,OR(D102&lt;&gt;0,D103&lt;&gt;0)),WLS*(C104-C103),"#NA"))</f>
        <v>#VALUE!</v>
      </c>
      <c r="O102" s="99">
        <f>O101+1</f>
        <v>15</v>
      </c>
      <c r="P102" s="99" t="str">
        <f t="shared" si="44"/>
        <v xml:space="preserve">  </v>
      </c>
      <c r="Q102" s="68" t="e">
        <f>IF(OR(P104-P103=P103-P102,P105-P103=P103-P102),P102,IF(OR(P104-P103=P103-P101,P105-P103=P103-P101),P101,"-"))</f>
        <v>#VALUE!</v>
      </c>
      <c r="R102" s="69" t="e">
        <f>VLOOKUP(Q102,STN_TABLE,2,FALSE)</f>
        <v>#VALUE!</v>
      </c>
      <c r="S102" s="69">
        <v>5</v>
      </c>
      <c r="T102" s="68" t="e">
        <f>R102*S102</f>
        <v>#VALUE!</v>
      </c>
      <c r="U102" s="79">
        <v>3</v>
      </c>
      <c r="V102" s="68" t="e">
        <f>R102*U102</f>
        <v>#VALUE!</v>
      </c>
      <c r="W102" s="6" t="s">
        <v>93</v>
      </c>
      <c r="X102" s="70" t="e">
        <f>IF(AND(Q104-Q103=Q103-Q102,NOT(AND(Q102=0,Q103=0)),NOT(AND(Q103=0,Q104=0))),WLS*(Q104-Q103),"#NA")</f>
        <v>#VALUE!</v>
      </c>
      <c r="AD102" s="93"/>
      <c r="AH102" s="6" t="s">
        <v>93</v>
      </c>
      <c r="AI102" s="70" t="e">
        <f>WLS*(AD104-AD103)</f>
        <v>#VALUE!</v>
      </c>
      <c r="AU102" s="81"/>
    </row>
    <row r="103" spans="1:47" x14ac:dyDescent="0.25">
      <c r="A103" s="84">
        <f>A102+1</f>
        <v>14</v>
      </c>
      <c r="B103" s="84" t="str">
        <f t="shared" si="27"/>
        <v xml:space="preserve">  </v>
      </c>
      <c r="C103" s="80" t="e">
        <f t="shared" ref="C103" si="46">IF(OR(B105-B104=B104-B103,B105-B104=B104-B102,B105-B104=B104-B101),B104,IF(OR(B105-B103=B103-B102,B105-B103=B103-B101),B103,IF(B105-B102=B102-B101,B102,"#NA")))</f>
        <v>#VALUE!</v>
      </c>
      <c r="D103" s="76" t="e">
        <f>VLOOKUP(C103,STN_TABLE,2,FALSE)</f>
        <v>#VALUE!</v>
      </c>
      <c r="E103" s="81">
        <v>4</v>
      </c>
      <c r="F103" s="76" t="e">
        <f>D103*E103</f>
        <v>#VALUE!</v>
      </c>
      <c r="G103" s="77" t="e">
        <f>C103</f>
        <v>#VALUE!</v>
      </c>
      <c r="H103" s="77" t="e">
        <f>F103*G103</f>
        <v>#VALUE!</v>
      </c>
      <c r="I103" s="495" t="s">
        <v>97</v>
      </c>
      <c r="J103" s="496"/>
      <c r="K103" s="78" t="s">
        <v>98</v>
      </c>
      <c r="L103" s="78"/>
      <c r="M103" s="7" t="s">
        <v>99</v>
      </c>
      <c r="N103" s="7"/>
      <c r="O103" s="99">
        <f>O102+1</f>
        <v>16</v>
      </c>
      <c r="P103" s="99" t="str">
        <f t="shared" si="44"/>
        <v xml:space="preserve">  </v>
      </c>
      <c r="Q103" s="76" t="str">
        <f>P103</f>
        <v xml:space="preserve">  </v>
      </c>
      <c r="R103" s="77" t="str">
        <f>VLOOKUP(Q103,STN_TABLE,2,FALSE)</f>
        <v xml:space="preserve">  </v>
      </c>
      <c r="S103" s="77">
        <v>8</v>
      </c>
      <c r="T103" s="76" t="e">
        <f>R103*S103</f>
        <v>#VALUE!</v>
      </c>
      <c r="U103" s="80">
        <v>10</v>
      </c>
      <c r="V103" s="76" t="e">
        <f>R103*U103</f>
        <v>#VALUE!</v>
      </c>
      <c r="W103" s="496" t="s">
        <v>97</v>
      </c>
      <c r="X103" s="496"/>
      <c r="Y103" s="496" t="s">
        <v>98</v>
      </c>
      <c r="Z103" s="496"/>
      <c r="AA103" s="494" t="s">
        <v>99</v>
      </c>
      <c r="AB103" s="494"/>
      <c r="AC103" s="99">
        <f>AC98+1</f>
        <v>15</v>
      </c>
      <c r="AD103" s="95" t="str">
        <f>VLOOKUP(AC103,STN_TABLE_2,2,FALSE)</f>
        <v xml:space="preserve">  </v>
      </c>
      <c r="AE103" s="68" t="str">
        <f>VLOOKUP(AD103,STN_TABLE,2,FALSE)</f>
        <v xml:space="preserve">  </v>
      </c>
      <c r="AF103" s="68">
        <v>1</v>
      </c>
      <c r="AG103" s="69" t="e">
        <f>AE103*AF103</f>
        <v>#VALUE!</v>
      </c>
      <c r="AH103" s="496" t="s">
        <v>97</v>
      </c>
      <c r="AI103" s="496"/>
      <c r="AJ103" s="496" t="s">
        <v>98</v>
      </c>
      <c r="AK103" s="496"/>
      <c r="AL103" s="494" t="s">
        <v>99</v>
      </c>
      <c r="AM103" s="494"/>
      <c r="AP103" s="86" t="s">
        <v>112</v>
      </c>
      <c r="AQ103" s="89" t="s">
        <v>113</v>
      </c>
      <c r="AR103" s="89" t="s">
        <v>114</v>
      </c>
      <c r="AS103" s="89" t="s">
        <v>115</v>
      </c>
      <c r="AU103" s="81"/>
    </row>
    <row r="104" spans="1:47" x14ac:dyDescent="0.25">
      <c r="A104" s="84">
        <f>A103+1</f>
        <v>15</v>
      </c>
      <c r="B104" s="84" t="str">
        <f t="shared" si="27"/>
        <v xml:space="preserve">  </v>
      </c>
      <c r="C104" s="88" t="str">
        <f t="shared" ref="C104" si="47">B105</f>
        <v xml:space="preserve">  </v>
      </c>
      <c r="D104" s="82" t="str">
        <f>VLOOKUP(C104,STN_TABLE,2,FALSE)</f>
        <v xml:space="preserve">  </v>
      </c>
      <c r="E104" s="92">
        <v>1</v>
      </c>
      <c r="F104" s="82" t="e">
        <f>D104*E104</f>
        <v>#VALUE!</v>
      </c>
      <c r="G104" s="83" t="str">
        <f>C104</f>
        <v xml:space="preserve">  </v>
      </c>
      <c r="H104" s="83" t="e">
        <f>F104*G104</f>
        <v>#VALUE!</v>
      </c>
      <c r="I104" s="84" t="str">
        <f>CONCATENATE("a'(",C104,")=")</f>
        <v>a'(  )=</v>
      </c>
      <c r="J104" s="84" t="e">
        <f>2*J102/3*F105</f>
        <v>#VALUE!</v>
      </c>
      <c r="K104" s="84" t="e">
        <f>CONCATENATE("A(",C102,")=")</f>
        <v>#VALUE!</v>
      </c>
      <c r="L104" s="84" t="e">
        <f>VLOOKUP(C102,STN_TABLE,3,FALSE)</f>
        <v>#VALUE!</v>
      </c>
      <c r="M104" t="str">
        <f>CONCATENATE("A(",C104,")=")</f>
        <v>A(  )=</v>
      </c>
      <c r="N104" t="e">
        <f>J104+L104</f>
        <v>#VALUE!</v>
      </c>
      <c r="O104" s="99">
        <f>O103+1</f>
        <v>17</v>
      </c>
      <c r="P104" s="99" t="str">
        <f t="shared" si="44"/>
        <v xml:space="preserve">  </v>
      </c>
      <c r="Q104" s="82" t="e">
        <f>IF(P104-P103=P103-P102,P104,IF(P105-P103=P103-P102,P105,IF(P104-P103=P103-P101,P104,IF(P105-P103=P103-P101,P105,"-"))))</f>
        <v>#VALUE!</v>
      </c>
      <c r="R104" s="83" t="e">
        <f>VLOOKUP(Q104,STN_TABLE,2,FALSE)</f>
        <v>#VALUE!</v>
      </c>
      <c r="S104" s="83">
        <v>-1</v>
      </c>
      <c r="T104" s="82" t="e">
        <f>R104*S104</f>
        <v>#VALUE!</v>
      </c>
      <c r="U104" s="88">
        <v>-1</v>
      </c>
      <c r="V104" s="82" t="e">
        <f>R104*U104</f>
        <v>#VALUE!</v>
      </c>
      <c r="W104" s="84" t="str">
        <f>CONCATENATE("a'(",Q103,")=")</f>
        <v>a'(  )=</v>
      </c>
      <c r="X104" s="84" t="e">
        <f>2*X102/12*T105</f>
        <v>#VALUE!</v>
      </c>
      <c r="Y104" s="84" t="e">
        <f>CONCATENATE("A(",Q102,")=")</f>
        <v>#VALUE!</v>
      </c>
      <c r="Z104" s="84" t="e">
        <f>VLOOKUP(Q102,STN_TABLE,3,FALSE)</f>
        <v>#VALUE!</v>
      </c>
      <c r="AA104" t="str">
        <f>CONCATENATE("A(",Q103,")=")</f>
        <v>A(  )=</v>
      </c>
      <c r="AB104" t="e">
        <f>X104+Z104</f>
        <v>#VALUE!</v>
      </c>
      <c r="AC104" s="99">
        <f>AC103+1</f>
        <v>16</v>
      </c>
      <c r="AD104" s="100" t="str">
        <f>VLOOKUP(AC104,STN_TABLE_2,2,FALSE)</f>
        <v xml:space="preserve">  </v>
      </c>
      <c r="AE104" s="82" t="str">
        <f>VLOOKUP(AD104,STN_TABLE,2,FALSE)</f>
        <v xml:space="preserve">  </v>
      </c>
      <c r="AF104" s="82">
        <v>2</v>
      </c>
      <c r="AG104" s="83" t="e">
        <f>AE104*AF104</f>
        <v>#VALUE!</v>
      </c>
      <c r="AH104" s="84" t="str">
        <f>CONCATENATE("a'(",AD104,")=")</f>
        <v>a'(  )=</v>
      </c>
      <c r="AI104" s="84" t="e">
        <f>2*AI102/2*AE105</f>
        <v>#VALUE!</v>
      </c>
      <c r="AJ104" s="84" t="str">
        <f>CONCATENATE("A(",AD103,")=")</f>
        <v>A(  )=</v>
      </c>
      <c r="AK104" s="84" t="str">
        <f>VLOOKUP(AD103,STN_TABLE,3,FALSE)</f>
        <v xml:space="preserve"> </v>
      </c>
      <c r="AL104" t="str">
        <f>CONCATENATE("A(",AD104,")=")</f>
        <v>A(  )=</v>
      </c>
      <c r="AM104" t="e">
        <f>AI104+AK104</f>
        <v>#VALUE!</v>
      </c>
      <c r="AO104" s="68" t="str">
        <f>AA104</f>
        <v>A(  )=</v>
      </c>
      <c r="AP104" s="68" t="e">
        <f>VLOOKUP(AO104,Rise_Results,2,FALSE)</f>
        <v>#N/A</v>
      </c>
      <c r="AQ104" s="76" t="e">
        <f>N104</f>
        <v>#VALUE!</v>
      </c>
      <c r="AR104" s="76" t="e">
        <f>IF(OR(AB104&lt;=0,AB105&lt;=0),1/0,AB104)</f>
        <v>#VALUE!</v>
      </c>
      <c r="AS104" s="76" t="e">
        <f>AM104</f>
        <v>#VALUE!</v>
      </c>
      <c r="AT104" t="e">
        <f>IFERROR(AP104,IFERROR(AQ104,IFERROR(AR104,AS104)))</f>
        <v>#VALUE!</v>
      </c>
      <c r="AU104" s="81"/>
    </row>
    <row r="105" spans="1:47" x14ac:dyDescent="0.25">
      <c r="A105" s="84">
        <f>A104+1</f>
        <v>16</v>
      </c>
      <c r="B105" s="84" t="str">
        <f t="shared" si="27"/>
        <v xml:space="preserve">  </v>
      </c>
      <c r="F105" s="82" t="e">
        <f>SUM(F102:F104)</f>
        <v>#VALUE!</v>
      </c>
      <c r="H105" s="82" t="e">
        <f>SUM(H102:H104)</f>
        <v>#VALUE!</v>
      </c>
      <c r="I105" s="84" t="str">
        <f>CONCATENATE("m'(",C104,")=")</f>
        <v>m'(  )=</v>
      </c>
      <c r="J105" s="84" t="e">
        <f>2*(J102*(WLS))/3*H105</f>
        <v>#VALUE!</v>
      </c>
      <c r="K105" s="84" t="e">
        <f>CONCATENATE("M(",C102,")=")</f>
        <v>#VALUE!</v>
      </c>
      <c r="L105" s="84" t="e">
        <f>VLOOKUP(C102,STN_TABLE,4,FALSE)</f>
        <v>#VALUE!</v>
      </c>
      <c r="M105" t="str">
        <f>CONCATENATE("M(",C104,")=")</f>
        <v>M(  )=</v>
      </c>
      <c r="N105" t="e">
        <f>J105+L105</f>
        <v>#VALUE!</v>
      </c>
      <c r="O105" s="99">
        <f>O104+1</f>
        <v>18</v>
      </c>
      <c r="P105" s="99" t="str">
        <f t="shared" si="44"/>
        <v xml:space="preserve">  </v>
      </c>
      <c r="T105" s="89" t="e">
        <f>SUM(T102:T104)</f>
        <v>#VALUE!</v>
      </c>
      <c r="V105" s="82" t="e">
        <f>SUM(V102:V104)</f>
        <v>#VALUE!</v>
      </c>
      <c r="W105" s="84" t="str">
        <f>CONCATENATE("m'(",Q103,")=")</f>
        <v>m'(  )=</v>
      </c>
      <c r="X105" s="84" t="e">
        <f>(2*(X102^2)/24*V105)+(X104*Q102*WLS)</f>
        <v>#VALUE!</v>
      </c>
      <c r="Y105" s="84" t="e">
        <f>CONCATENATE("M(",Q102,")=")</f>
        <v>#VALUE!</v>
      </c>
      <c r="Z105" s="84" t="e">
        <f>VLOOKUP(Q102,STN_TABLE,4,FALSE)</f>
        <v>#VALUE!</v>
      </c>
      <c r="AA105" t="str">
        <f>CONCATENATE("M(",Q103,")=")</f>
        <v>M(  )=</v>
      </c>
      <c r="AB105" t="e">
        <f>X105+Z105</f>
        <v>#VALUE!</v>
      </c>
      <c r="AE105" s="89">
        <f>SUM(AE103:AE104)</f>
        <v>0</v>
      </c>
      <c r="AG105" s="89" t="e">
        <f>SUM(AG103:AG104)</f>
        <v>#VALUE!</v>
      </c>
      <c r="AH105" s="84" t="str">
        <f>CONCATENATE("m'(",AD104,")=")</f>
        <v>m'(  )=</v>
      </c>
      <c r="AI105" s="84" t="e">
        <f>(2*(AI102^2)/6*AG105)+(AI104*AD103*WLS)</f>
        <v>#VALUE!</v>
      </c>
      <c r="AJ105" s="84" t="str">
        <f>CONCATENATE("M(",AD103,")=")</f>
        <v>M(  )=</v>
      </c>
      <c r="AK105" s="84" t="str">
        <f>VLOOKUP(AD103,STN_TABLE,4,FALSE)</f>
        <v xml:space="preserve"> </v>
      </c>
      <c r="AL105" t="str">
        <f>CONCATENATE("M(",AD104,")=")</f>
        <v>M(  )=</v>
      </c>
      <c r="AM105" t="e">
        <f>AI105+AK105</f>
        <v>#VALUE!</v>
      </c>
      <c r="AO105" s="82" t="str">
        <f>AA105</f>
        <v>M(  )=</v>
      </c>
      <c r="AP105" s="82" t="e">
        <f>VLOOKUP(AO105,Rise_Results,2,FALSE)</f>
        <v>#N/A</v>
      </c>
      <c r="AQ105" s="82" t="e">
        <f>N105</f>
        <v>#VALUE!</v>
      </c>
      <c r="AR105" s="82" t="e">
        <f>IF(OR(AB104&lt;=0,AB105&lt;=0),1/0,AB105)</f>
        <v>#VALUE!</v>
      </c>
      <c r="AS105" s="82" t="e">
        <f>AM105</f>
        <v>#VALUE!</v>
      </c>
      <c r="AT105" t="e">
        <f>IFERROR(AP105,IFERROR(AQ105,IFERROR(AR105,AS105)))</f>
        <v>#VALUE!</v>
      </c>
      <c r="AU105" s="81"/>
    </row>
    <row r="106" spans="1:47" x14ac:dyDescent="0.25">
      <c r="A106" s="101">
        <f>A101+1</f>
        <v>13</v>
      </c>
      <c r="B106" s="101" t="str">
        <f t="shared" ref="B106:B137" si="48">VLOOKUP(A106,STN_TABLE_2,2,FALSE)</f>
        <v xml:space="preserve">  </v>
      </c>
      <c r="O106" s="101">
        <f>O101+1</f>
        <v>15</v>
      </c>
      <c r="P106" s="101" t="str">
        <f t="shared" si="44"/>
        <v xml:space="preserve">  </v>
      </c>
      <c r="AU106" s="81"/>
    </row>
    <row r="107" spans="1:47" x14ac:dyDescent="0.25">
      <c r="A107" s="84">
        <f>A106+1</f>
        <v>14</v>
      </c>
      <c r="B107" s="84" t="str">
        <f t="shared" si="48"/>
        <v xml:space="preserve">  </v>
      </c>
      <c r="C107" s="79" t="e">
        <f t="shared" ref="C107" si="49">IF(C108=B109,IF(C109-C108=C108-B108,B108,IF(C109-C108=C108-B107,B107,"#NA")),IF(C108=B108,IF(C109-C108=C108-B107,B107,IF(C109-C108=C108-B106,B106,"#NA")),"#NA"))</f>
        <v>#VALUE!</v>
      </c>
      <c r="D107" s="68" t="e">
        <f>VLOOKUP(C107,STN_TABLE,2,FALSE)</f>
        <v>#VALUE!</v>
      </c>
      <c r="E107" s="102">
        <v>1</v>
      </c>
      <c r="F107" s="68" t="e">
        <f>D107*E107</f>
        <v>#VALUE!</v>
      </c>
      <c r="G107" s="69" t="e">
        <f>C107</f>
        <v>#VALUE!</v>
      </c>
      <c r="H107" s="69" t="e">
        <f>F107*G107</f>
        <v>#VALUE!</v>
      </c>
      <c r="I107" s="6" t="s">
        <v>93</v>
      </c>
      <c r="J107" s="70" t="e">
        <f>IF(OR(D107=0,D108=0,D109=0),"#NA",IF(AND(C109-C108=C108-C107,C108&lt;&gt;C109,C107&lt;&gt;C108,C107&lt;&gt;C109,D109&lt;&gt;0,OR(D107&lt;&gt;0,D108&lt;&gt;0)),WLS*(C109-C108),"#NA"))</f>
        <v>#VALUE!</v>
      </c>
      <c r="O107" s="99">
        <f>O106+1</f>
        <v>16</v>
      </c>
      <c r="P107" s="99" t="str">
        <f t="shared" si="44"/>
        <v xml:space="preserve">  </v>
      </c>
      <c r="Q107" s="68" t="e">
        <f>IF(OR(P109-P108=P108-P107,P110-P108=P108-P107),P107,IF(OR(P109-P108=P108-P106,P110-P108=P108-P106),P106,"-"))</f>
        <v>#VALUE!</v>
      </c>
      <c r="R107" s="69" t="e">
        <f>VLOOKUP(Q107,STN_TABLE,2,FALSE)</f>
        <v>#VALUE!</v>
      </c>
      <c r="S107" s="69">
        <v>5</v>
      </c>
      <c r="T107" s="68" t="e">
        <f>R107*S107</f>
        <v>#VALUE!</v>
      </c>
      <c r="U107" s="79">
        <v>3</v>
      </c>
      <c r="V107" s="68" t="e">
        <f>R107*U107</f>
        <v>#VALUE!</v>
      </c>
      <c r="W107" s="6" t="s">
        <v>93</v>
      </c>
      <c r="X107" s="70" t="e">
        <f>IF(AND(Q109-Q108=Q108-Q107,NOT(AND(Q107=0,Q108=0)),NOT(AND(Q108=0,Q109=0))),WLS*(Q109-Q108),"#NA")</f>
        <v>#VALUE!</v>
      </c>
      <c r="AD107" s="93"/>
      <c r="AH107" s="6" t="s">
        <v>93</v>
      </c>
      <c r="AI107" s="70" t="e">
        <f>WLS*(AD109-AD108)</f>
        <v>#VALUE!</v>
      </c>
      <c r="AU107" s="81"/>
    </row>
    <row r="108" spans="1:47" x14ac:dyDescent="0.25">
      <c r="A108" s="84">
        <f>A107+1</f>
        <v>15</v>
      </c>
      <c r="B108" s="84" t="str">
        <f t="shared" si="48"/>
        <v xml:space="preserve">  </v>
      </c>
      <c r="C108" s="80" t="e">
        <f t="shared" ref="C108" si="50">IF(OR(B110-B109=B109-B108,B110-B109=B109-B107,B110-B109=B109-B106),B109,IF(OR(B110-B108=B108-B107,B110-B108=B108-B106),B108,IF(B110-B107=B107-B106,B107,"#NA")))</f>
        <v>#VALUE!</v>
      </c>
      <c r="D108" s="76" t="e">
        <f>VLOOKUP(C108,STN_TABLE,2,FALSE)</f>
        <v>#VALUE!</v>
      </c>
      <c r="E108" s="81">
        <v>4</v>
      </c>
      <c r="F108" s="76" t="e">
        <f>D108*E108</f>
        <v>#VALUE!</v>
      </c>
      <c r="G108" s="77" t="e">
        <f>C108</f>
        <v>#VALUE!</v>
      </c>
      <c r="H108" s="77" t="e">
        <f>F108*G108</f>
        <v>#VALUE!</v>
      </c>
      <c r="I108" s="495" t="s">
        <v>97</v>
      </c>
      <c r="J108" s="496"/>
      <c r="K108" s="78" t="s">
        <v>98</v>
      </c>
      <c r="L108" s="78"/>
      <c r="M108" s="7" t="s">
        <v>99</v>
      </c>
      <c r="N108" s="7"/>
      <c r="O108" s="99">
        <f>O107+1</f>
        <v>17</v>
      </c>
      <c r="P108" s="99" t="str">
        <f t="shared" si="44"/>
        <v xml:space="preserve">  </v>
      </c>
      <c r="Q108" s="76" t="str">
        <f>P108</f>
        <v xml:space="preserve">  </v>
      </c>
      <c r="R108" s="77" t="str">
        <f>VLOOKUP(Q108,STN_TABLE,2,FALSE)</f>
        <v xml:space="preserve">  </v>
      </c>
      <c r="S108" s="77">
        <v>8</v>
      </c>
      <c r="T108" s="76" t="e">
        <f>R108*S108</f>
        <v>#VALUE!</v>
      </c>
      <c r="U108" s="80">
        <v>10</v>
      </c>
      <c r="V108" s="76" t="e">
        <f>R108*U108</f>
        <v>#VALUE!</v>
      </c>
      <c r="W108" s="496" t="s">
        <v>97</v>
      </c>
      <c r="X108" s="496"/>
      <c r="Y108" s="496" t="s">
        <v>98</v>
      </c>
      <c r="Z108" s="496"/>
      <c r="AA108" s="494" t="s">
        <v>99</v>
      </c>
      <c r="AB108" s="494"/>
      <c r="AC108" s="99">
        <f>AC103+1</f>
        <v>16</v>
      </c>
      <c r="AD108" s="95" t="str">
        <f>VLOOKUP(AC108,STN_TABLE_2,2,FALSE)</f>
        <v xml:space="preserve">  </v>
      </c>
      <c r="AE108" s="68" t="str">
        <f>VLOOKUP(AD108,STN_TABLE,2,FALSE)</f>
        <v xml:space="preserve">  </v>
      </c>
      <c r="AF108" s="68">
        <v>1</v>
      </c>
      <c r="AG108" s="69" t="e">
        <f>AE108*AF108</f>
        <v>#VALUE!</v>
      </c>
      <c r="AH108" s="496" t="s">
        <v>97</v>
      </c>
      <c r="AI108" s="496"/>
      <c r="AJ108" s="496" t="s">
        <v>98</v>
      </c>
      <c r="AK108" s="496"/>
      <c r="AL108" s="494" t="s">
        <v>99</v>
      </c>
      <c r="AM108" s="494"/>
      <c r="AP108" s="86" t="s">
        <v>112</v>
      </c>
      <c r="AQ108" s="89" t="s">
        <v>113</v>
      </c>
      <c r="AR108" s="89" t="s">
        <v>114</v>
      </c>
      <c r="AS108" s="89" t="s">
        <v>115</v>
      </c>
      <c r="AU108" s="81"/>
    </row>
    <row r="109" spans="1:47" x14ac:dyDescent="0.25">
      <c r="A109" s="84">
        <f>A108+1</f>
        <v>16</v>
      </c>
      <c r="B109" s="84" t="str">
        <f t="shared" si="48"/>
        <v xml:space="preserve">  </v>
      </c>
      <c r="C109" s="88" t="str">
        <f t="shared" ref="C109" si="51">B110</f>
        <v xml:space="preserve">  </v>
      </c>
      <c r="D109" s="82" t="str">
        <f>VLOOKUP(C109,STN_TABLE,2,FALSE)</f>
        <v xml:space="preserve">  </v>
      </c>
      <c r="E109" s="92">
        <v>1</v>
      </c>
      <c r="F109" s="82" t="e">
        <f>D109*E109</f>
        <v>#VALUE!</v>
      </c>
      <c r="G109" s="83" t="str">
        <f>C109</f>
        <v xml:space="preserve">  </v>
      </c>
      <c r="H109" s="83" t="e">
        <f>F109*G109</f>
        <v>#VALUE!</v>
      </c>
      <c r="I109" s="84" t="str">
        <f>CONCATENATE("a'(",C109,")=")</f>
        <v>a'(  )=</v>
      </c>
      <c r="J109" s="84" t="e">
        <f>2*J107/3*F110</f>
        <v>#VALUE!</v>
      </c>
      <c r="K109" s="84" t="e">
        <f>CONCATENATE("A(",C107,")=")</f>
        <v>#VALUE!</v>
      </c>
      <c r="L109" s="84" t="e">
        <f>VLOOKUP(C107,STN_TABLE,3,FALSE)</f>
        <v>#VALUE!</v>
      </c>
      <c r="M109" t="str">
        <f>CONCATENATE("A(",C109,")=")</f>
        <v>A(  )=</v>
      </c>
      <c r="N109" t="e">
        <f>J109+L109</f>
        <v>#VALUE!</v>
      </c>
      <c r="O109" s="99">
        <f>O108+1</f>
        <v>18</v>
      </c>
      <c r="P109" s="99" t="str">
        <f t="shared" si="44"/>
        <v xml:space="preserve">  </v>
      </c>
      <c r="Q109" s="82" t="e">
        <f>IF(P109-P108=P108-P107,P109,IF(P110-P108=P108-P107,P110,IF(P109-P108=P108-P106,P109,IF(P110-P108=P108-P106,P110,"-"))))</f>
        <v>#VALUE!</v>
      </c>
      <c r="R109" s="83" t="e">
        <f>VLOOKUP(Q109,STN_TABLE,2,FALSE)</f>
        <v>#VALUE!</v>
      </c>
      <c r="S109" s="83">
        <v>-1</v>
      </c>
      <c r="T109" s="82" t="e">
        <f>R109*S109</f>
        <v>#VALUE!</v>
      </c>
      <c r="U109" s="88">
        <v>-1</v>
      </c>
      <c r="V109" s="82" t="e">
        <f>R109*U109</f>
        <v>#VALUE!</v>
      </c>
      <c r="W109" s="84" t="str">
        <f>CONCATENATE("a'(",Q108,")=")</f>
        <v>a'(  )=</v>
      </c>
      <c r="X109" s="84" t="e">
        <f>2*X107/12*T110</f>
        <v>#VALUE!</v>
      </c>
      <c r="Y109" s="84" t="e">
        <f>CONCATENATE("A(",Q107,")=")</f>
        <v>#VALUE!</v>
      </c>
      <c r="Z109" s="84" t="e">
        <f>VLOOKUP(Q107,STN_TABLE,3,FALSE)</f>
        <v>#VALUE!</v>
      </c>
      <c r="AA109" t="str">
        <f>CONCATENATE("A(",Q108,")=")</f>
        <v>A(  )=</v>
      </c>
      <c r="AB109" t="e">
        <f>X109+Z109</f>
        <v>#VALUE!</v>
      </c>
      <c r="AC109" s="99">
        <f>AC108+1</f>
        <v>17</v>
      </c>
      <c r="AD109" s="100" t="str">
        <f>VLOOKUP(AC109,STN_TABLE_2,2,FALSE)</f>
        <v xml:space="preserve">  </v>
      </c>
      <c r="AE109" s="82" t="str">
        <f>VLOOKUP(AD109,STN_TABLE,2,FALSE)</f>
        <v xml:space="preserve">  </v>
      </c>
      <c r="AF109" s="82">
        <v>2</v>
      </c>
      <c r="AG109" s="83" t="e">
        <f>AE109*AF109</f>
        <v>#VALUE!</v>
      </c>
      <c r="AH109" s="84" t="str">
        <f>CONCATENATE("a'(",AD109,")=")</f>
        <v>a'(  )=</v>
      </c>
      <c r="AI109" s="84" t="e">
        <f>2*AI107/2*AE110</f>
        <v>#VALUE!</v>
      </c>
      <c r="AJ109" s="84" t="str">
        <f>CONCATENATE("A(",AD108,")=")</f>
        <v>A(  )=</v>
      </c>
      <c r="AK109" s="84" t="str">
        <f>VLOOKUP(AD108,STN_TABLE,3,FALSE)</f>
        <v xml:space="preserve"> </v>
      </c>
      <c r="AL109" t="str">
        <f>CONCATENATE("A(",AD109,")=")</f>
        <v>A(  )=</v>
      </c>
      <c r="AM109" t="e">
        <f>AI109+AK109</f>
        <v>#VALUE!</v>
      </c>
      <c r="AO109" s="68" t="str">
        <f>AA109</f>
        <v>A(  )=</v>
      </c>
      <c r="AP109" s="68" t="e">
        <f>VLOOKUP(AO109,Rise_Results,2,FALSE)</f>
        <v>#N/A</v>
      </c>
      <c r="AQ109" s="76" t="e">
        <f>N109</f>
        <v>#VALUE!</v>
      </c>
      <c r="AR109" s="76" t="e">
        <f>IF(OR(AB109&lt;=0,AB110&lt;=0),1/0,AB109)</f>
        <v>#VALUE!</v>
      </c>
      <c r="AS109" s="76" t="e">
        <f>AM109</f>
        <v>#VALUE!</v>
      </c>
      <c r="AT109" t="e">
        <f>IFERROR(AP109,IFERROR(AQ109,IFERROR(AR109,AS109)))</f>
        <v>#VALUE!</v>
      </c>
      <c r="AU109" s="81"/>
    </row>
    <row r="110" spans="1:47" x14ac:dyDescent="0.25">
      <c r="A110" s="84">
        <f>A109+1</f>
        <v>17</v>
      </c>
      <c r="B110" s="84" t="str">
        <f t="shared" si="48"/>
        <v xml:space="preserve">  </v>
      </c>
      <c r="F110" s="82" t="e">
        <f>SUM(F107:F109)</f>
        <v>#VALUE!</v>
      </c>
      <c r="H110" s="82" t="e">
        <f>SUM(H107:H109)</f>
        <v>#VALUE!</v>
      </c>
      <c r="I110" s="84" t="str">
        <f>CONCATENATE("m'(",C109,")=")</f>
        <v>m'(  )=</v>
      </c>
      <c r="J110" s="84" t="e">
        <f>2*(J107*(WLS))/3*H110</f>
        <v>#VALUE!</v>
      </c>
      <c r="K110" s="84" t="e">
        <f>CONCATENATE("M(",C107,")=")</f>
        <v>#VALUE!</v>
      </c>
      <c r="L110" s="84" t="e">
        <f>VLOOKUP(C107,STN_TABLE,4,FALSE)</f>
        <v>#VALUE!</v>
      </c>
      <c r="M110" t="str">
        <f>CONCATENATE("M(",C109,")=")</f>
        <v>M(  )=</v>
      </c>
      <c r="N110" t="e">
        <f>J110+L110</f>
        <v>#VALUE!</v>
      </c>
      <c r="O110" s="99">
        <f>O109+1</f>
        <v>19</v>
      </c>
      <c r="P110" s="99" t="str">
        <f t="shared" si="44"/>
        <v xml:space="preserve">  </v>
      </c>
      <c r="T110" s="89" t="e">
        <f>SUM(T107:T109)</f>
        <v>#VALUE!</v>
      </c>
      <c r="V110" s="82" t="e">
        <f>SUM(V107:V109)</f>
        <v>#VALUE!</v>
      </c>
      <c r="W110" s="84" t="str">
        <f>CONCATENATE("m'(",Q108,")=")</f>
        <v>m'(  )=</v>
      </c>
      <c r="X110" s="84" t="e">
        <f>(2*(X107^2)/24*V110)+(X109*Q107*WLS)</f>
        <v>#VALUE!</v>
      </c>
      <c r="Y110" s="84" t="e">
        <f>CONCATENATE("M(",Q107,")=")</f>
        <v>#VALUE!</v>
      </c>
      <c r="Z110" s="84" t="e">
        <f>VLOOKUP(Q107,STN_TABLE,4,FALSE)</f>
        <v>#VALUE!</v>
      </c>
      <c r="AA110" t="str">
        <f>CONCATENATE("M(",Q108,")=")</f>
        <v>M(  )=</v>
      </c>
      <c r="AB110" t="e">
        <f>X110+Z110</f>
        <v>#VALUE!</v>
      </c>
      <c r="AE110" s="89">
        <f>SUM(AE108:AE109)</f>
        <v>0</v>
      </c>
      <c r="AG110" s="89" t="e">
        <f>SUM(AG108:AG109)</f>
        <v>#VALUE!</v>
      </c>
      <c r="AH110" s="84" t="str">
        <f>CONCATENATE("m'(",AD109,")=")</f>
        <v>m'(  )=</v>
      </c>
      <c r="AI110" s="84" t="e">
        <f>(2*(AI107^2)/6*AG110)+(AI109*AD108*WLS)</f>
        <v>#VALUE!</v>
      </c>
      <c r="AJ110" s="84" t="str">
        <f>CONCATENATE("M(",AD108,")=")</f>
        <v>M(  )=</v>
      </c>
      <c r="AK110" s="84" t="str">
        <f>VLOOKUP(AD108,STN_TABLE,4,FALSE)</f>
        <v xml:space="preserve"> </v>
      </c>
      <c r="AL110" t="str">
        <f>CONCATENATE("M(",AD109,")=")</f>
        <v>M(  )=</v>
      </c>
      <c r="AM110" t="e">
        <f>AI110+AK110</f>
        <v>#VALUE!</v>
      </c>
      <c r="AO110" s="82" t="str">
        <f>AA110</f>
        <v>M(  )=</v>
      </c>
      <c r="AP110" s="82" t="e">
        <f>VLOOKUP(AO110,Rise_Results,2,FALSE)</f>
        <v>#N/A</v>
      </c>
      <c r="AQ110" s="82" t="e">
        <f>N110</f>
        <v>#VALUE!</v>
      </c>
      <c r="AR110" s="82" t="e">
        <f>IF(OR(AB109&lt;=0,AB110&lt;=0),1/0,AB110)</f>
        <v>#VALUE!</v>
      </c>
      <c r="AS110" s="82" t="e">
        <f>AM110</f>
        <v>#VALUE!</v>
      </c>
      <c r="AT110" t="e">
        <f>IFERROR(AP110,IFERROR(AQ110,IFERROR(AR110,AS110)))</f>
        <v>#VALUE!</v>
      </c>
      <c r="AU110" s="81"/>
    </row>
    <row r="111" spans="1:47" x14ac:dyDescent="0.25">
      <c r="A111" s="101">
        <f>A106+1</f>
        <v>14</v>
      </c>
      <c r="B111" s="101" t="str">
        <f t="shared" si="48"/>
        <v xml:space="preserve">  </v>
      </c>
      <c r="O111" s="101">
        <f>O106+1</f>
        <v>16</v>
      </c>
      <c r="P111" s="101" t="str">
        <f t="shared" si="44"/>
        <v xml:space="preserve">  </v>
      </c>
      <c r="AU111" s="81"/>
    </row>
    <row r="112" spans="1:47" x14ac:dyDescent="0.25">
      <c r="A112" s="84">
        <f>A111+1</f>
        <v>15</v>
      </c>
      <c r="B112" s="84" t="str">
        <f t="shared" si="48"/>
        <v xml:space="preserve">  </v>
      </c>
      <c r="C112" s="79" t="e">
        <f t="shared" ref="C112" si="52">IF(C113=B114,IF(C114-C113=C113-B113,B113,IF(C114-C113=C113-B112,B112,"#NA")),IF(C113=B113,IF(C114-C113=C113-B112,B112,IF(C114-C113=C113-B111,B111,"#NA")),"#NA"))</f>
        <v>#VALUE!</v>
      </c>
      <c r="D112" s="68" t="e">
        <f>VLOOKUP(C112,STN_TABLE,2,FALSE)</f>
        <v>#VALUE!</v>
      </c>
      <c r="E112" s="102">
        <v>1</v>
      </c>
      <c r="F112" s="68" t="e">
        <f>D112*E112</f>
        <v>#VALUE!</v>
      </c>
      <c r="G112" s="69" t="e">
        <f>C112</f>
        <v>#VALUE!</v>
      </c>
      <c r="H112" s="69" t="e">
        <f>F112*G112</f>
        <v>#VALUE!</v>
      </c>
      <c r="I112" s="6" t="s">
        <v>93</v>
      </c>
      <c r="J112" s="70" t="e">
        <f>IF(OR(D112=0,D113=0,D114=0),"#NA",IF(AND(C114-C113=C113-C112,C113&lt;&gt;C114,C112&lt;&gt;C113,C112&lt;&gt;C114,D114&lt;&gt;0,OR(D112&lt;&gt;0,D113&lt;&gt;0)),WLS*(C114-C113),"#NA"))</f>
        <v>#VALUE!</v>
      </c>
      <c r="O112" s="99">
        <f>O111+1</f>
        <v>17</v>
      </c>
      <c r="P112" s="99" t="str">
        <f t="shared" si="44"/>
        <v xml:space="preserve">  </v>
      </c>
      <c r="Q112" s="68" t="e">
        <f>IF(OR(P114-P113=P113-P112,P115-P113=P113-P112),P112,IF(OR(P114-P113=P113-P111,P115-P113=P113-P111),P111,"-"))</f>
        <v>#VALUE!</v>
      </c>
      <c r="R112" s="69" t="e">
        <f>VLOOKUP(Q112,STN_TABLE,2,FALSE)</f>
        <v>#VALUE!</v>
      </c>
      <c r="S112" s="69">
        <v>5</v>
      </c>
      <c r="T112" s="68" t="e">
        <f>R112*S112</f>
        <v>#VALUE!</v>
      </c>
      <c r="U112" s="79">
        <v>3</v>
      </c>
      <c r="V112" s="68" t="e">
        <f>R112*U112</f>
        <v>#VALUE!</v>
      </c>
      <c r="W112" s="6" t="s">
        <v>93</v>
      </c>
      <c r="X112" s="70" t="e">
        <f>IF(AND(Q114-Q113=Q113-Q112,NOT(AND(Q112=0,Q113=0)),NOT(AND(Q113=0,Q114=0))),WLS*(Q114-Q113),"#NA")</f>
        <v>#VALUE!</v>
      </c>
      <c r="AD112" s="93"/>
      <c r="AH112" s="6" t="s">
        <v>93</v>
      </c>
      <c r="AI112" s="70" t="e">
        <f>WLS*(AD114-AD113)</f>
        <v>#VALUE!</v>
      </c>
      <c r="AU112" s="81"/>
    </row>
    <row r="113" spans="1:47" x14ac:dyDescent="0.25">
      <c r="A113" s="84">
        <f>A112+1</f>
        <v>16</v>
      </c>
      <c r="B113" s="84" t="str">
        <f t="shared" si="48"/>
        <v xml:space="preserve">  </v>
      </c>
      <c r="C113" s="80" t="e">
        <f t="shared" ref="C113" si="53">IF(OR(B115-B114=B114-B113,B115-B114=B114-B112,B115-B114=B114-B111),B114,IF(OR(B115-B113=B113-B112,B115-B113=B113-B111),B113,IF(B115-B112=B112-B111,B112,"#NA")))</f>
        <v>#VALUE!</v>
      </c>
      <c r="D113" s="76" t="e">
        <f>VLOOKUP(C113,STN_TABLE,2,FALSE)</f>
        <v>#VALUE!</v>
      </c>
      <c r="E113" s="81">
        <v>4</v>
      </c>
      <c r="F113" s="76" t="e">
        <f>D113*E113</f>
        <v>#VALUE!</v>
      </c>
      <c r="G113" s="77" t="e">
        <f>C113</f>
        <v>#VALUE!</v>
      </c>
      <c r="H113" s="77" t="e">
        <f>F113*G113</f>
        <v>#VALUE!</v>
      </c>
      <c r="I113" s="495" t="s">
        <v>97</v>
      </c>
      <c r="J113" s="496"/>
      <c r="K113" s="78" t="s">
        <v>98</v>
      </c>
      <c r="L113" s="78"/>
      <c r="M113" s="7" t="s">
        <v>99</v>
      </c>
      <c r="N113" s="7"/>
      <c r="O113" s="99">
        <f>O112+1</f>
        <v>18</v>
      </c>
      <c r="P113" s="99" t="str">
        <f t="shared" si="44"/>
        <v xml:space="preserve">  </v>
      </c>
      <c r="Q113" s="76" t="str">
        <f>P113</f>
        <v xml:space="preserve">  </v>
      </c>
      <c r="R113" s="77" t="str">
        <f>VLOOKUP(Q113,STN_TABLE,2,FALSE)</f>
        <v xml:space="preserve">  </v>
      </c>
      <c r="S113" s="77">
        <v>8</v>
      </c>
      <c r="T113" s="76" t="e">
        <f>R113*S113</f>
        <v>#VALUE!</v>
      </c>
      <c r="U113" s="80">
        <v>10</v>
      </c>
      <c r="V113" s="76" t="e">
        <f>R113*U113</f>
        <v>#VALUE!</v>
      </c>
      <c r="W113" s="496" t="s">
        <v>97</v>
      </c>
      <c r="X113" s="496"/>
      <c r="Y113" s="496" t="s">
        <v>98</v>
      </c>
      <c r="Z113" s="496"/>
      <c r="AA113" s="494" t="s">
        <v>99</v>
      </c>
      <c r="AB113" s="494"/>
      <c r="AC113" s="99">
        <f>AC108+1</f>
        <v>17</v>
      </c>
      <c r="AD113" s="95" t="str">
        <f>VLOOKUP(AC113,STN_TABLE_2,2,FALSE)</f>
        <v xml:space="preserve">  </v>
      </c>
      <c r="AE113" s="68" t="str">
        <f>VLOOKUP(AD113,STN_TABLE,2,FALSE)</f>
        <v xml:space="preserve">  </v>
      </c>
      <c r="AF113" s="68">
        <v>1</v>
      </c>
      <c r="AG113" s="69" t="e">
        <f>AE113*AF113</f>
        <v>#VALUE!</v>
      </c>
      <c r="AH113" s="496" t="s">
        <v>97</v>
      </c>
      <c r="AI113" s="496"/>
      <c r="AJ113" s="496" t="s">
        <v>98</v>
      </c>
      <c r="AK113" s="496"/>
      <c r="AL113" s="494" t="s">
        <v>99</v>
      </c>
      <c r="AM113" s="494"/>
      <c r="AP113" s="86" t="s">
        <v>112</v>
      </c>
      <c r="AQ113" s="89" t="s">
        <v>113</v>
      </c>
      <c r="AR113" s="89" t="s">
        <v>114</v>
      </c>
      <c r="AS113" s="89" t="s">
        <v>115</v>
      </c>
      <c r="AU113" s="81"/>
    </row>
    <row r="114" spans="1:47" x14ac:dyDescent="0.25">
      <c r="A114" s="84">
        <f>A113+1</f>
        <v>17</v>
      </c>
      <c r="B114" s="84" t="str">
        <f t="shared" si="48"/>
        <v xml:space="preserve">  </v>
      </c>
      <c r="C114" s="88" t="str">
        <f t="shared" ref="C114" si="54">B115</f>
        <v xml:space="preserve">  </v>
      </c>
      <c r="D114" s="82" t="str">
        <f>VLOOKUP(C114,STN_TABLE,2,FALSE)</f>
        <v xml:space="preserve">  </v>
      </c>
      <c r="E114" s="92">
        <v>1</v>
      </c>
      <c r="F114" s="82" t="e">
        <f>D114*E114</f>
        <v>#VALUE!</v>
      </c>
      <c r="G114" s="83" t="str">
        <f>C114</f>
        <v xml:space="preserve">  </v>
      </c>
      <c r="H114" s="83" t="e">
        <f>F114*G114</f>
        <v>#VALUE!</v>
      </c>
      <c r="I114" s="84" t="str">
        <f>CONCATENATE("a'(",C114,")=")</f>
        <v>a'(  )=</v>
      </c>
      <c r="J114" s="84" t="e">
        <f>2*J112/3*F115</f>
        <v>#VALUE!</v>
      </c>
      <c r="K114" s="84" t="e">
        <f>CONCATENATE("A(",C112,")=")</f>
        <v>#VALUE!</v>
      </c>
      <c r="L114" s="84" t="e">
        <f>VLOOKUP(C112,STN_TABLE,3,FALSE)</f>
        <v>#VALUE!</v>
      </c>
      <c r="M114" t="str">
        <f>CONCATENATE("A(",C114,")=")</f>
        <v>A(  )=</v>
      </c>
      <c r="N114" t="e">
        <f>J114+L114</f>
        <v>#VALUE!</v>
      </c>
      <c r="O114" s="99">
        <f>O113+1</f>
        <v>19</v>
      </c>
      <c r="P114" s="99" t="str">
        <f t="shared" si="44"/>
        <v xml:space="preserve">  </v>
      </c>
      <c r="Q114" s="82" t="e">
        <f>IF(P114-P113=P113-P112,P114,IF(P115-P113=P113-P112,P115,IF(P114-P113=P113-P111,P114,IF(P115-P113=P113-P111,P115,"-"))))</f>
        <v>#VALUE!</v>
      </c>
      <c r="R114" s="83" t="e">
        <f>VLOOKUP(Q114,STN_TABLE,2,FALSE)</f>
        <v>#VALUE!</v>
      </c>
      <c r="S114" s="83">
        <v>-1</v>
      </c>
      <c r="T114" s="82" t="e">
        <f>R114*S114</f>
        <v>#VALUE!</v>
      </c>
      <c r="U114" s="88">
        <v>-1</v>
      </c>
      <c r="V114" s="82" t="e">
        <f>R114*U114</f>
        <v>#VALUE!</v>
      </c>
      <c r="W114" s="84" t="str">
        <f>CONCATENATE("a'(",Q113,")=")</f>
        <v>a'(  )=</v>
      </c>
      <c r="X114" s="84" t="e">
        <f>2*X112/12*T115</f>
        <v>#VALUE!</v>
      </c>
      <c r="Y114" s="84" t="e">
        <f>CONCATENATE("A(",Q112,")=")</f>
        <v>#VALUE!</v>
      </c>
      <c r="Z114" s="84" t="e">
        <f>VLOOKUP(Q112,STN_TABLE,3,FALSE)</f>
        <v>#VALUE!</v>
      </c>
      <c r="AA114" t="str">
        <f>CONCATENATE("A(",Q113,")=")</f>
        <v>A(  )=</v>
      </c>
      <c r="AB114" t="e">
        <f>X114+Z114</f>
        <v>#VALUE!</v>
      </c>
      <c r="AC114" s="99">
        <f>AC113+1</f>
        <v>18</v>
      </c>
      <c r="AD114" s="100" t="str">
        <f>VLOOKUP(AC114,STN_TABLE_2,2,FALSE)</f>
        <v xml:space="preserve">  </v>
      </c>
      <c r="AE114" s="82" t="str">
        <f>VLOOKUP(AD114,STN_TABLE,2,FALSE)</f>
        <v xml:space="preserve">  </v>
      </c>
      <c r="AF114" s="82">
        <v>2</v>
      </c>
      <c r="AG114" s="83" t="e">
        <f>AE114*AF114</f>
        <v>#VALUE!</v>
      </c>
      <c r="AH114" s="84" t="str">
        <f>CONCATENATE("a'(",AD114,")=")</f>
        <v>a'(  )=</v>
      </c>
      <c r="AI114" s="84" t="e">
        <f>2*AI112/2*AE115</f>
        <v>#VALUE!</v>
      </c>
      <c r="AJ114" s="84" t="str">
        <f>CONCATENATE("A(",AD113,")=")</f>
        <v>A(  )=</v>
      </c>
      <c r="AK114" s="84" t="str">
        <f>VLOOKUP(AD113,STN_TABLE,3,FALSE)</f>
        <v xml:space="preserve"> </v>
      </c>
      <c r="AL114" t="str">
        <f>CONCATENATE("A(",AD114,")=")</f>
        <v>A(  )=</v>
      </c>
      <c r="AM114" t="e">
        <f>AI114+AK114</f>
        <v>#VALUE!</v>
      </c>
      <c r="AO114" s="68" t="str">
        <f>AA114</f>
        <v>A(  )=</v>
      </c>
      <c r="AP114" s="68" t="e">
        <f>VLOOKUP(AO114,Rise_Results,2,FALSE)</f>
        <v>#N/A</v>
      </c>
      <c r="AQ114" s="76" t="e">
        <f>N114</f>
        <v>#VALUE!</v>
      </c>
      <c r="AR114" s="76" t="e">
        <f>IF(OR(AB114&lt;=0,AB115&lt;=0),1/0,AB114)</f>
        <v>#VALUE!</v>
      </c>
      <c r="AS114" s="76" t="e">
        <f>AM114</f>
        <v>#VALUE!</v>
      </c>
      <c r="AT114" t="e">
        <f>IFERROR(AP114,IFERROR(AQ114,IFERROR(AR114,AS114)))</f>
        <v>#VALUE!</v>
      </c>
      <c r="AU114" s="81"/>
    </row>
    <row r="115" spans="1:47" x14ac:dyDescent="0.25">
      <c r="A115" s="84">
        <f>A114+1</f>
        <v>18</v>
      </c>
      <c r="B115" s="84" t="str">
        <f t="shared" si="48"/>
        <v xml:space="preserve">  </v>
      </c>
      <c r="F115" s="82" t="e">
        <f>SUM(F112:F114)</f>
        <v>#VALUE!</v>
      </c>
      <c r="H115" s="82" t="e">
        <f>SUM(H112:H114)</f>
        <v>#VALUE!</v>
      </c>
      <c r="I115" s="84" t="str">
        <f>CONCATENATE("m'(",C114,")=")</f>
        <v>m'(  )=</v>
      </c>
      <c r="J115" s="84" t="e">
        <f>2*(J112*(WLS))/3*H115</f>
        <v>#VALUE!</v>
      </c>
      <c r="K115" s="84" t="e">
        <f>CONCATENATE("M(",C112,")=")</f>
        <v>#VALUE!</v>
      </c>
      <c r="L115" s="84" t="e">
        <f>VLOOKUP(C112,STN_TABLE,4,FALSE)</f>
        <v>#VALUE!</v>
      </c>
      <c r="M115" t="str">
        <f>CONCATENATE("M(",C114,")=")</f>
        <v>M(  )=</v>
      </c>
      <c r="N115" t="e">
        <f>J115+L115</f>
        <v>#VALUE!</v>
      </c>
      <c r="O115" s="99">
        <f>O114+1</f>
        <v>20</v>
      </c>
      <c r="P115" s="99" t="str">
        <f t="shared" si="44"/>
        <v xml:space="preserve">  </v>
      </c>
      <c r="T115" s="89" t="e">
        <f>SUM(T112:T114)</f>
        <v>#VALUE!</v>
      </c>
      <c r="V115" s="82" t="e">
        <f>SUM(V112:V114)</f>
        <v>#VALUE!</v>
      </c>
      <c r="W115" s="84" t="str">
        <f>CONCATENATE("m'(",Q113,")=")</f>
        <v>m'(  )=</v>
      </c>
      <c r="X115" s="84" t="e">
        <f>(2*(X112^2)/24*V115)+(X114*Q112*WLS)</f>
        <v>#VALUE!</v>
      </c>
      <c r="Y115" s="84" t="e">
        <f>CONCATENATE("M(",Q112,")=")</f>
        <v>#VALUE!</v>
      </c>
      <c r="Z115" s="84" t="e">
        <f>VLOOKUP(Q112,STN_TABLE,4,FALSE)</f>
        <v>#VALUE!</v>
      </c>
      <c r="AA115" t="str">
        <f>CONCATENATE("M(",Q113,")=")</f>
        <v>M(  )=</v>
      </c>
      <c r="AB115" t="e">
        <f>X115+Z115</f>
        <v>#VALUE!</v>
      </c>
      <c r="AE115" s="89">
        <f>SUM(AE113:AE114)</f>
        <v>0</v>
      </c>
      <c r="AG115" s="89" t="e">
        <f>SUM(AG113:AG114)</f>
        <v>#VALUE!</v>
      </c>
      <c r="AH115" s="84" t="str">
        <f>CONCATENATE("m'(",AD114,")=")</f>
        <v>m'(  )=</v>
      </c>
      <c r="AI115" s="84" t="e">
        <f>(2*(AI112^2)/6*AG115)+(AI114*AD113*WLS)</f>
        <v>#VALUE!</v>
      </c>
      <c r="AJ115" s="84" t="str">
        <f>CONCATENATE("M(",AD113,")=")</f>
        <v>M(  )=</v>
      </c>
      <c r="AK115" s="84" t="str">
        <f>VLOOKUP(AD113,STN_TABLE,4,FALSE)</f>
        <v xml:space="preserve"> </v>
      </c>
      <c r="AL115" t="str">
        <f>CONCATENATE("M(",AD114,")=")</f>
        <v>M(  )=</v>
      </c>
      <c r="AM115" t="e">
        <f>AI115+AK115</f>
        <v>#VALUE!</v>
      </c>
      <c r="AO115" s="82" t="str">
        <f>AA115</f>
        <v>M(  )=</v>
      </c>
      <c r="AP115" s="82" t="e">
        <f>VLOOKUP(AO115,Rise_Results,2,FALSE)</f>
        <v>#N/A</v>
      </c>
      <c r="AQ115" s="82" t="e">
        <f>N115</f>
        <v>#VALUE!</v>
      </c>
      <c r="AR115" s="82" t="e">
        <f>IF(OR(AB114&lt;=0,AB115&lt;=0),1/0,AB115)</f>
        <v>#VALUE!</v>
      </c>
      <c r="AS115" s="82" t="e">
        <f>AM115</f>
        <v>#VALUE!</v>
      </c>
      <c r="AT115" t="e">
        <f>IFERROR(AP115,IFERROR(AQ115,IFERROR(AR115,AS115)))</f>
        <v>#VALUE!</v>
      </c>
      <c r="AU115" s="81"/>
    </row>
    <row r="116" spans="1:47" x14ac:dyDescent="0.25">
      <c r="A116" s="101">
        <f>A111+1</f>
        <v>15</v>
      </c>
      <c r="B116" s="101" t="str">
        <f t="shared" si="48"/>
        <v xml:space="preserve">  </v>
      </c>
      <c r="O116" s="101">
        <f>O111+1</f>
        <v>17</v>
      </c>
      <c r="P116" s="101" t="str">
        <f t="shared" si="44"/>
        <v xml:space="preserve">  </v>
      </c>
      <c r="AU116" s="81"/>
    </row>
    <row r="117" spans="1:47" x14ac:dyDescent="0.25">
      <c r="A117" s="84">
        <f>A116+1</f>
        <v>16</v>
      </c>
      <c r="B117" s="84" t="str">
        <f t="shared" si="48"/>
        <v xml:space="preserve">  </v>
      </c>
      <c r="C117" s="79" t="e">
        <f t="shared" ref="C117" si="55">IF(C118=B119,IF(C119-C118=C118-B118,B118,IF(C119-C118=C118-B117,B117,"#NA")),IF(C118=B118,IF(C119-C118=C118-B117,B117,IF(C119-C118=C118-B116,B116,"#NA")),"#NA"))</f>
        <v>#VALUE!</v>
      </c>
      <c r="D117" s="68" t="e">
        <f>VLOOKUP(C117,STN_TABLE,2,FALSE)</f>
        <v>#VALUE!</v>
      </c>
      <c r="E117" s="102">
        <v>1</v>
      </c>
      <c r="F117" s="68" t="e">
        <f>D117*E117</f>
        <v>#VALUE!</v>
      </c>
      <c r="G117" s="69" t="e">
        <f>C117</f>
        <v>#VALUE!</v>
      </c>
      <c r="H117" s="69" t="e">
        <f>F117*G117</f>
        <v>#VALUE!</v>
      </c>
      <c r="I117" s="6" t="s">
        <v>93</v>
      </c>
      <c r="J117" s="70" t="e">
        <f>IF(OR(D117=0,D118=0,D119=0),"#NA",IF(AND(C119-C118=C118-C117,C118&lt;&gt;C119,C117&lt;&gt;C118,C117&lt;&gt;C119,D119&lt;&gt;0,OR(D117&lt;&gt;0,D118&lt;&gt;0)),WLS*(C119-C118),"#NA"))</f>
        <v>#VALUE!</v>
      </c>
      <c r="O117" s="99">
        <f>O116+1</f>
        <v>18</v>
      </c>
      <c r="P117" s="99" t="str">
        <f t="shared" si="44"/>
        <v xml:space="preserve">  </v>
      </c>
      <c r="Q117" s="68" t="e">
        <f>IF(OR(P119-P118=P118-P117,P120-P118=P118-P117),P117,IF(OR(P119-P118=P118-P116,P120-P118=P118-P116),P116,"-"))</f>
        <v>#VALUE!</v>
      </c>
      <c r="R117" s="69" t="e">
        <f>VLOOKUP(Q117,STN_TABLE,2,FALSE)</f>
        <v>#VALUE!</v>
      </c>
      <c r="S117" s="69">
        <v>5</v>
      </c>
      <c r="T117" s="68" t="e">
        <f>R117*S117</f>
        <v>#VALUE!</v>
      </c>
      <c r="U117" s="79">
        <v>3</v>
      </c>
      <c r="V117" s="68" t="e">
        <f>R117*U117</f>
        <v>#VALUE!</v>
      </c>
      <c r="W117" s="6" t="s">
        <v>93</v>
      </c>
      <c r="X117" s="70" t="e">
        <f>IF(AND(Q119-Q118=Q118-Q117,NOT(AND(Q117=0,Q118=0)),NOT(AND(Q118=0,Q119=0))),WLS*(Q119-Q118),"#NA")</f>
        <v>#VALUE!</v>
      </c>
      <c r="AD117" s="93"/>
      <c r="AH117" s="6" t="s">
        <v>93</v>
      </c>
      <c r="AI117" s="70" t="e">
        <f>WLS*(AD119-AD118)</f>
        <v>#VALUE!</v>
      </c>
      <c r="AU117" s="81"/>
    </row>
    <row r="118" spans="1:47" x14ac:dyDescent="0.25">
      <c r="A118" s="84">
        <f>A117+1</f>
        <v>17</v>
      </c>
      <c r="B118" s="84" t="str">
        <f t="shared" si="48"/>
        <v xml:space="preserve">  </v>
      </c>
      <c r="C118" s="80" t="e">
        <f t="shared" ref="C118" si="56">IF(OR(B120-B119=B119-B118,B120-B119=B119-B117,B120-B119=B119-B116),B119,IF(OR(B120-B118=B118-B117,B120-B118=B118-B116),B118,IF(B120-B117=B117-B116,B117,"#NA")))</f>
        <v>#VALUE!</v>
      </c>
      <c r="D118" s="76" t="e">
        <f>VLOOKUP(C118,STN_TABLE,2,FALSE)</f>
        <v>#VALUE!</v>
      </c>
      <c r="E118" s="81">
        <v>4</v>
      </c>
      <c r="F118" s="76" t="e">
        <f>D118*E118</f>
        <v>#VALUE!</v>
      </c>
      <c r="G118" s="77" t="e">
        <f>C118</f>
        <v>#VALUE!</v>
      </c>
      <c r="H118" s="77" t="e">
        <f>F118*G118</f>
        <v>#VALUE!</v>
      </c>
      <c r="I118" s="495" t="s">
        <v>97</v>
      </c>
      <c r="J118" s="496"/>
      <c r="K118" s="78" t="s">
        <v>98</v>
      </c>
      <c r="L118" s="78"/>
      <c r="M118" s="7" t="s">
        <v>99</v>
      </c>
      <c r="N118" s="7"/>
      <c r="O118" s="99">
        <f>O117+1</f>
        <v>19</v>
      </c>
      <c r="P118" s="99" t="str">
        <f t="shared" si="44"/>
        <v xml:space="preserve">  </v>
      </c>
      <c r="Q118" s="76" t="str">
        <f>P118</f>
        <v xml:space="preserve">  </v>
      </c>
      <c r="R118" s="77" t="str">
        <f>VLOOKUP(Q118,STN_TABLE,2,FALSE)</f>
        <v xml:space="preserve">  </v>
      </c>
      <c r="S118" s="77">
        <v>8</v>
      </c>
      <c r="T118" s="76" t="e">
        <f>R118*S118</f>
        <v>#VALUE!</v>
      </c>
      <c r="U118" s="80">
        <v>10</v>
      </c>
      <c r="V118" s="76" t="e">
        <f>R118*U118</f>
        <v>#VALUE!</v>
      </c>
      <c r="W118" s="496" t="s">
        <v>97</v>
      </c>
      <c r="X118" s="496"/>
      <c r="Y118" s="496" t="s">
        <v>98</v>
      </c>
      <c r="Z118" s="496"/>
      <c r="AA118" s="494" t="s">
        <v>99</v>
      </c>
      <c r="AB118" s="494"/>
      <c r="AC118" s="99">
        <f>AC113+1</f>
        <v>18</v>
      </c>
      <c r="AD118" s="95" t="str">
        <f>VLOOKUP(AC118,STN_TABLE_2,2,FALSE)</f>
        <v xml:space="preserve">  </v>
      </c>
      <c r="AE118" s="68" t="str">
        <f>VLOOKUP(AD118,STN_TABLE,2,FALSE)</f>
        <v xml:space="preserve">  </v>
      </c>
      <c r="AF118" s="68">
        <v>1</v>
      </c>
      <c r="AG118" s="69" t="e">
        <f>AE118*AF118</f>
        <v>#VALUE!</v>
      </c>
      <c r="AH118" s="496" t="s">
        <v>97</v>
      </c>
      <c r="AI118" s="496"/>
      <c r="AJ118" s="496" t="s">
        <v>98</v>
      </c>
      <c r="AK118" s="496"/>
      <c r="AL118" s="494" t="s">
        <v>99</v>
      </c>
      <c r="AM118" s="494"/>
      <c r="AP118" s="86" t="s">
        <v>112</v>
      </c>
      <c r="AQ118" s="89" t="s">
        <v>113</v>
      </c>
      <c r="AR118" s="89" t="s">
        <v>114</v>
      </c>
      <c r="AS118" s="89" t="s">
        <v>115</v>
      </c>
      <c r="AU118" s="81"/>
    </row>
    <row r="119" spans="1:47" x14ac:dyDescent="0.25">
      <c r="A119" s="84">
        <f>A118+1</f>
        <v>18</v>
      </c>
      <c r="B119" s="84" t="str">
        <f t="shared" si="48"/>
        <v xml:space="preserve">  </v>
      </c>
      <c r="C119" s="88" t="str">
        <f t="shared" ref="C119" si="57">B120</f>
        <v xml:space="preserve">  </v>
      </c>
      <c r="D119" s="82" t="str">
        <f>VLOOKUP(C119,STN_TABLE,2,FALSE)</f>
        <v xml:space="preserve">  </v>
      </c>
      <c r="E119" s="92">
        <v>1</v>
      </c>
      <c r="F119" s="82" t="e">
        <f>D119*E119</f>
        <v>#VALUE!</v>
      </c>
      <c r="G119" s="83" t="str">
        <f>C119</f>
        <v xml:space="preserve">  </v>
      </c>
      <c r="H119" s="83" t="e">
        <f>F119*G119</f>
        <v>#VALUE!</v>
      </c>
      <c r="I119" s="84" t="str">
        <f>CONCATENATE("a'(",C119,")=")</f>
        <v>a'(  )=</v>
      </c>
      <c r="J119" s="84" t="e">
        <f>2*J117/3*F120</f>
        <v>#VALUE!</v>
      </c>
      <c r="K119" s="84" t="e">
        <f>CONCATENATE("A(",C117,")=")</f>
        <v>#VALUE!</v>
      </c>
      <c r="L119" s="84" t="e">
        <f>VLOOKUP(C117,STN_TABLE,3,FALSE)</f>
        <v>#VALUE!</v>
      </c>
      <c r="M119" t="str">
        <f>CONCATENATE("A(",C119,")=")</f>
        <v>A(  )=</v>
      </c>
      <c r="N119" t="e">
        <f>J119+L119</f>
        <v>#VALUE!</v>
      </c>
      <c r="O119" s="99">
        <f>O118+1</f>
        <v>20</v>
      </c>
      <c r="P119" s="99" t="str">
        <f t="shared" si="44"/>
        <v xml:space="preserve">  </v>
      </c>
      <c r="Q119" s="82" t="e">
        <f>IF(P119-P118=P118-P117,P119,IF(P120-P118=P118-P117,P120,IF(P119-P118=P118-P116,P119,IF(P120-P118=P118-P116,P120,"-"))))</f>
        <v>#VALUE!</v>
      </c>
      <c r="R119" s="83" t="e">
        <f>VLOOKUP(Q119,STN_TABLE,2,FALSE)</f>
        <v>#VALUE!</v>
      </c>
      <c r="S119" s="83">
        <v>-1</v>
      </c>
      <c r="T119" s="82" t="e">
        <f>R119*S119</f>
        <v>#VALUE!</v>
      </c>
      <c r="U119" s="88">
        <v>-1</v>
      </c>
      <c r="V119" s="82" t="e">
        <f>R119*U119</f>
        <v>#VALUE!</v>
      </c>
      <c r="W119" s="84" t="str">
        <f>CONCATENATE("a'(",Q118,")=")</f>
        <v>a'(  )=</v>
      </c>
      <c r="X119" s="84" t="e">
        <f>2*X117/12*T120</f>
        <v>#VALUE!</v>
      </c>
      <c r="Y119" s="84" t="e">
        <f>CONCATENATE("A(",Q117,")=")</f>
        <v>#VALUE!</v>
      </c>
      <c r="Z119" s="84" t="e">
        <f>VLOOKUP(Q117,STN_TABLE,3,FALSE)</f>
        <v>#VALUE!</v>
      </c>
      <c r="AA119" t="str">
        <f>CONCATENATE("A(",Q118,")=")</f>
        <v>A(  )=</v>
      </c>
      <c r="AB119" t="e">
        <f>X119+Z119</f>
        <v>#VALUE!</v>
      </c>
      <c r="AC119" s="99">
        <f>AC118+1</f>
        <v>19</v>
      </c>
      <c r="AD119" s="100" t="str">
        <f>VLOOKUP(AC119,STN_TABLE_2,2,FALSE)</f>
        <v xml:space="preserve">  </v>
      </c>
      <c r="AE119" s="82" t="str">
        <f>VLOOKUP(AD119,STN_TABLE,2,FALSE)</f>
        <v xml:space="preserve">  </v>
      </c>
      <c r="AF119" s="82">
        <v>2</v>
      </c>
      <c r="AG119" s="83" t="e">
        <f>AE119*AF119</f>
        <v>#VALUE!</v>
      </c>
      <c r="AH119" s="84" t="str">
        <f>CONCATENATE("a'(",AD119,")=")</f>
        <v>a'(  )=</v>
      </c>
      <c r="AI119" s="84" t="e">
        <f>2*AI117/2*AE120</f>
        <v>#VALUE!</v>
      </c>
      <c r="AJ119" s="84" t="str">
        <f>CONCATENATE("A(",AD118,")=")</f>
        <v>A(  )=</v>
      </c>
      <c r="AK119" s="84" t="str">
        <f>VLOOKUP(AD118,STN_TABLE,3,FALSE)</f>
        <v xml:space="preserve"> </v>
      </c>
      <c r="AL119" t="str">
        <f>CONCATENATE("A(",AD119,")=")</f>
        <v>A(  )=</v>
      </c>
      <c r="AM119" t="e">
        <f>AI119+AK119</f>
        <v>#VALUE!</v>
      </c>
      <c r="AO119" s="68" t="str">
        <f>AA119</f>
        <v>A(  )=</v>
      </c>
      <c r="AP119" s="68" t="e">
        <f>VLOOKUP(AO119,Rise_Results,2,FALSE)</f>
        <v>#N/A</v>
      </c>
      <c r="AQ119" s="76" t="e">
        <f>N119</f>
        <v>#VALUE!</v>
      </c>
      <c r="AR119" s="76" t="e">
        <f>IF(OR(AB119&lt;=0,AB120&lt;=0),1/0,AB119)</f>
        <v>#VALUE!</v>
      </c>
      <c r="AS119" s="76" t="e">
        <f>AM119</f>
        <v>#VALUE!</v>
      </c>
      <c r="AT119" t="e">
        <f>IFERROR(AP119,IFERROR(AQ119,IFERROR(AR119,AS119)))</f>
        <v>#VALUE!</v>
      </c>
      <c r="AU119" s="81"/>
    </row>
    <row r="120" spans="1:47" x14ac:dyDescent="0.25">
      <c r="A120" s="84">
        <f>A119+1</f>
        <v>19</v>
      </c>
      <c r="B120" s="84" t="str">
        <f t="shared" si="48"/>
        <v xml:space="preserve">  </v>
      </c>
      <c r="F120" s="82" t="e">
        <f>SUM(F117:F119)</f>
        <v>#VALUE!</v>
      </c>
      <c r="H120" s="82" t="e">
        <f>SUM(H117:H119)</f>
        <v>#VALUE!</v>
      </c>
      <c r="I120" s="84" t="str">
        <f>CONCATENATE("m'(",C119,")=")</f>
        <v>m'(  )=</v>
      </c>
      <c r="J120" s="84" t="e">
        <f>2*(J117*(WLS))/3*H120</f>
        <v>#VALUE!</v>
      </c>
      <c r="K120" s="84" t="e">
        <f>CONCATENATE("M(",C117,")=")</f>
        <v>#VALUE!</v>
      </c>
      <c r="L120" s="84" t="e">
        <f>VLOOKUP(C117,STN_TABLE,4,FALSE)</f>
        <v>#VALUE!</v>
      </c>
      <c r="M120" t="str">
        <f>CONCATENATE("M(",C119,")=")</f>
        <v>M(  )=</v>
      </c>
      <c r="N120" t="e">
        <f>J120+L120</f>
        <v>#VALUE!</v>
      </c>
      <c r="O120" s="99">
        <f>O119+1</f>
        <v>21</v>
      </c>
      <c r="P120" s="99" t="str">
        <f t="shared" si="44"/>
        <v xml:space="preserve">  </v>
      </c>
      <c r="T120" s="89" t="e">
        <f>SUM(T117:T119)</f>
        <v>#VALUE!</v>
      </c>
      <c r="V120" s="82" t="e">
        <f>SUM(V117:V119)</f>
        <v>#VALUE!</v>
      </c>
      <c r="W120" s="84" t="str">
        <f>CONCATENATE("m'(",Q118,")=")</f>
        <v>m'(  )=</v>
      </c>
      <c r="X120" s="84" t="e">
        <f>(2*(X117^2)/24*V120)+(X119*Q117*WLS)</f>
        <v>#VALUE!</v>
      </c>
      <c r="Y120" s="84" t="e">
        <f>CONCATENATE("M(",Q117,")=")</f>
        <v>#VALUE!</v>
      </c>
      <c r="Z120" s="84" t="e">
        <f>VLOOKUP(Q117,STN_TABLE,4,FALSE)</f>
        <v>#VALUE!</v>
      </c>
      <c r="AA120" t="str">
        <f>CONCATENATE("M(",Q118,")=")</f>
        <v>M(  )=</v>
      </c>
      <c r="AB120" t="e">
        <f>X120+Z120</f>
        <v>#VALUE!</v>
      </c>
      <c r="AE120" s="89">
        <f>SUM(AE118:AE119)</f>
        <v>0</v>
      </c>
      <c r="AG120" s="89" t="e">
        <f>SUM(AG118:AG119)</f>
        <v>#VALUE!</v>
      </c>
      <c r="AH120" s="84" t="str">
        <f>CONCATENATE("m'(",AD119,")=")</f>
        <v>m'(  )=</v>
      </c>
      <c r="AI120" s="84" t="e">
        <f>(2*(AI117^2)/6*AG120)+(AI119*AD118*WLS)</f>
        <v>#VALUE!</v>
      </c>
      <c r="AJ120" s="84" t="str">
        <f>CONCATENATE("M(",AD118,")=")</f>
        <v>M(  )=</v>
      </c>
      <c r="AK120" s="84" t="str">
        <f>VLOOKUP(AD118,STN_TABLE,4,FALSE)</f>
        <v xml:space="preserve"> </v>
      </c>
      <c r="AL120" t="str">
        <f>CONCATENATE("M(",AD119,")=")</f>
        <v>M(  )=</v>
      </c>
      <c r="AM120" t="e">
        <f>AI120+AK120</f>
        <v>#VALUE!</v>
      </c>
      <c r="AO120" s="82" t="str">
        <f>AA120</f>
        <v>M(  )=</v>
      </c>
      <c r="AP120" s="82" t="e">
        <f>VLOOKUP(AO120,Rise_Results,2,FALSE)</f>
        <v>#N/A</v>
      </c>
      <c r="AQ120" s="82" t="e">
        <f>N120</f>
        <v>#VALUE!</v>
      </c>
      <c r="AR120" s="82" t="e">
        <f>IF(OR(AB119&lt;=0,AB120&lt;=0),1/0,AB120)</f>
        <v>#VALUE!</v>
      </c>
      <c r="AS120" s="82" t="e">
        <f>AM120</f>
        <v>#VALUE!</v>
      </c>
      <c r="AT120" t="e">
        <f>IFERROR(AP120,IFERROR(AQ120,IFERROR(AR120,AS120)))</f>
        <v>#VALUE!</v>
      </c>
      <c r="AU120" s="81"/>
    </row>
    <row r="121" spans="1:47" x14ac:dyDescent="0.25">
      <c r="A121" s="101">
        <f>A116+1</f>
        <v>16</v>
      </c>
      <c r="B121" s="101" t="str">
        <f t="shared" si="48"/>
        <v xml:space="preserve">  </v>
      </c>
      <c r="O121" s="101">
        <f>O116+1</f>
        <v>18</v>
      </c>
      <c r="P121" s="101" t="str">
        <f t="shared" si="44"/>
        <v xml:space="preserve">  </v>
      </c>
      <c r="AU121" s="81"/>
    </row>
    <row r="122" spans="1:47" x14ac:dyDescent="0.25">
      <c r="A122" s="84">
        <f>A121+1</f>
        <v>17</v>
      </c>
      <c r="B122" s="84" t="str">
        <f t="shared" si="48"/>
        <v xml:space="preserve">  </v>
      </c>
      <c r="C122" s="79" t="e">
        <f t="shared" ref="C122" si="58">IF(C123=B124,IF(C124-C123=C123-B123,B123,IF(C124-C123=C123-B122,B122,"#NA")),IF(C123=B123,IF(C124-C123=C123-B122,B122,IF(C124-C123=C123-B121,B121,"#NA")),"#NA"))</f>
        <v>#VALUE!</v>
      </c>
      <c r="D122" s="68" t="e">
        <f>VLOOKUP(C122,STN_TABLE,2,FALSE)</f>
        <v>#VALUE!</v>
      </c>
      <c r="E122" s="102">
        <v>1</v>
      </c>
      <c r="F122" s="68" t="e">
        <f>D122*E122</f>
        <v>#VALUE!</v>
      </c>
      <c r="G122" s="69" t="e">
        <f>C122</f>
        <v>#VALUE!</v>
      </c>
      <c r="H122" s="69" t="e">
        <f>F122*G122</f>
        <v>#VALUE!</v>
      </c>
      <c r="I122" s="6" t="s">
        <v>93</v>
      </c>
      <c r="J122" s="70" t="e">
        <f>IF(OR(D122=0,D123=0,D124=0),"#NA",IF(AND(C124-C123=C123-C122,C123&lt;&gt;C124,C122&lt;&gt;C123,C122&lt;&gt;C124,D124&lt;&gt;0,OR(D122&lt;&gt;0,D123&lt;&gt;0)),WLS*(C124-C123),"#NA"))</f>
        <v>#VALUE!</v>
      </c>
      <c r="O122" s="99">
        <f>O121+1</f>
        <v>19</v>
      </c>
      <c r="P122" s="99" t="str">
        <f t="shared" si="44"/>
        <v xml:space="preserve">  </v>
      </c>
      <c r="Q122" s="68" t="e">
        <f>IF(OR(P124-P123=P123-P122,P125-P123=P123-P122),P122,IF(OR(P124-P123=P123-P121,P125-P123=P123-P121),P121,"-"))</f>
        <v>#VALUE!</v>
      </c>
      <c r="R122" s="69" t="e">
        <f>VLOOKUP(Q122,STN_TABLE,2,FALSE)</f>
        <v>#VALUE!</v>
      </c>
      <c r="S122" s="69">
        <v>5</v>
      </c>
      <c r="T122" s="68" t="e">
        <f>R122*S122</f>
        <v>#VALUE!</v>
      </c>
      <c r="U122" s="79">
        <v>3</v>
      </c>
      <c r="V122" s="68" t="e">
        <f>R122*U122</f>
        <v>#VALUE!</v>
      </c>
      <c r="W122" s="6" t="s">
        <v>93</v>
      </c>
      <c r="X122" s="70" t="e">
        <f>IF(AND(Q124-Q123=Q123-Q122,NOT(AND(Q122=0,Q123=0)),NOT(AND(Q123=0,Q124=0))),WLS*(Q124-Q123),"#NA")</f>
        <v>#VALUE!</v>
      </c>
      <c r="AD122" s="93"/>
      <c r="AH122" s="6" t="s">
        <v>93</v>
      </c>
      <c r="AI122" s="70" t="e">
        <f>WLS*(AD124-AD123)</f>
        <v>#VALUE!</v>
      </c>
      <c r="AU122" s="81"/>
    </row>
    <row r="123" spans="1:47" x14ac:dyDescent="0.25">
      <c r="A123" s="84">
        <f>A122+1</f>
        <v>18</v>
      </c>
      <c r="B123" s="84" t="str">
        <f t="shared" si="48"/>
        <v xml:space="preserve">  </v>
      </c>
      <c r="C123" s="80" t="e">
        <f t="shared" ref="C123" si="59">IF(OR(B125-B124=B124-B123,B125-B124=B124-B122,B125-B124=B124-B121),B124,IF(OR(B125-B123=B123-B122,B125-B123=B123-B121),B123,IF(B125-B122=B122-B121,B122,"#NA")))</f>
        <v>#VALUE!</v>
      </c>
      <c r="D123" s="76" t="e">
        <f>VLOOKUP(C123,STN_TABLE,2,FALSE)</f>
        <v>#VALUE!</v>
      </c>
      <c r="E123" s="81">
        <v>4</v>
      </c>
      <c r="F123" s="76" t="e">
        <f>D123*E123</f>
        <v>#VALUE!</v>
      </c>
      <c r="G123" s="77" t="e">
        <f>C123</f>
        <v>#VALUE!</v>
      </c>
      <c r="H123" s="77" t="e">
        <f>F123*G123</f>
        <v>#VALUE!</v>
      </c>
      <c r="I123" s="495" t="s">
        <v>97</v>
      </c>
      <c r="J123" s="496"/>
      <c r="K123" s="78" t="s">
        <v>98</v>
      </c>
      <c r="L123" s="78"/>
      <c r="M123" s="7" t="s">
        <v>99</v>
      </c>
      <c r="N123" s="7"/>
      <c r="O123" s="99">
        <f>O122+1</f>
        <v>20</v>
      </c>
      <c r="P123" s="99" t="str">
        <f t="shared" si="44"/>
        <v xml:space="preserve">  </v>
      </c>
      <c r="Q123" s="76" t="str">
        <f>P123</f>
        <v xml:space="preserve">  </v>
      </c>
      <c r="R123" s="77" t="str">
        <f>VLOOKUP(Q123,STN_TABLE,2,FALSE)</f>
        <v xml:space="preserve">  </v>
      </c>
      <c r="S123" s="77">
        <v>8</v>
      </c>
      <c r="T123" s="76" t="e">
        <f>R123*S123</f>
        <v>#VALUE!</v>
      </c>
      <c r="U123" s="80">
        <v>10</v>
      </c>
      <c r="V123" s="76" t="e">
        <f>R123*U123</f>
        <v>#VALUE!</v>
      </c>
      <c r="W123" s="496" t="s">
        <v>97</v>
      </c>
      <c r="X123" s="496"/>
      <c r="Y123" s="496" t="s">
        <v>98</v>
      </c>
      <c r="Z123" s="496"/>
      <c r="AA123" s="494" t="s">
        <v>99</v>
      </c>
      <c r="AB123" s="494"/>
      <c r="AC123" s="99">
        <f>AC118+1</f>
        <v>19</v>
      </c>
      <c r="AD123" s="95" t="str">
        <f>VLOOKUP(AC123,STN_TABLE_2,2,FALSE)</f>
        <v xml:space="preserve">  </v>
      </c>
      <c r="AE123" s="68" t="str">
        <f>VLOOKUP(AD123,STN_TABLE,2,FALSE)</f>
        <v xml:space="preserve">  </v>
      </c>
      <c r="AF123" s="68">
        <v>1</v>
      </c>
      <c r="AG123" s="69" t="e">
        <f>AE123*AF123</f>
        <v>#VALUE!</v>
      </c>
      <c r="AH123" s="496" t="s">
        <v>97</v>
      </c>
      <c r="AI123" s="496"/>
      <c r="AJ123" s="496" t="s">
        <v>98</v>
      </c>
      <c r="AK123" s="496"/>
      <c r="AL123" s="494" t="s">
        <v>99</v>
      </c>
      <c r="AM123" s="494"/>
      <c r="AP123" s="86" t="s">
        <v>112</v>
      </c>
      <c r="AQ123" s="89" t="s">
        <v>113</v>
      </c>
      <c r="AR123" s="89" t="s">
        <v>114</v>
      </c>
      <c r="AS123" s="89" t="s">
        <v>115</v>
      </c>
      <c r="AU123" s="81"/>
    </row>
    <row r="124" spans="1:47" x14ac:dyDescent="0.25">
      <c r="A124" s="84">
        <f>A123+1</f>
        <v>19</v>
      </c>
      <c r="B124" s="84" t="str">
        <f t="shared" si="48"/>
        <v xml:space="preserve">  </v>
      </c>
      <c r="C124" s="88" t="str">
        <f t="shared" ref="C124" si="60">B125</f>
        <v xml:space="preserve">  </v>
      </c>
      <c r="D124" s="82" t="str">
        <f>VLOOKUP(C124,STN_TABLE,2,FALSE)</f>
        <v xml:space="preserve">  </v>
      </c>
      <c r="E124" s="92">
        <v>1</v>
      </c>
      <c r="F124" s="82" t="e">
        <f>D124*E124</f>
        <v>#VALUE!</v>
      </c>
      <c r="G124" s="83" t="str">
        <f>C124</f>
        <v xml:space="preserve">  </v>
      </c>
      <c r="H124" s="83" t="e">
        <f>F124*G124</f>
        <v>#VALUE!</v>
      </c>
      <c r="I124" s="84" t="str">
        <f>CONCATENATE("a'(",C124,")=")</f>
        <v>a'(  )=</v>
      </c>
      <c r="J124" s="84" t="e">
        <f>2*J122/3*F125</f>
        <v>#VALUE!</v>
      </c>
      <c r="K124" s="84" t="e">
        <f>CONCATENATE("A(",C122,")=")</f>
        <v>#VALUE!</v>
      </c>
      <c r="L124" s="84" t="e">
        <f>VLOOKUP(C122,STN_TABLE,3,FALSE)</f>
        <v>#VALUE!</v>
      </c>
      <c r="M124" t="str">
        <f>CONCATENATE("A(",C124,")=")</f>
        <v>A(  )=</v>
      </c>
      <c r="N124" t="e">
        <f>J124+L124</f>
        <v>#VALUE!</v>
      </c>
      <c r="O124" s="99">
        <f>O123+1</f>
        <v>21</v>
      </c>
      <c r="P124" s="99" t="str">
        <f t="shared" si="44"/>
        <v xml:space="preserve">  </v>
      </c>
      <c r="Q124" s="82" t="e">
        <f>IF(P124-P123=P123-P122,P124,IF(P125-P123=P123-P122,P125,IF(P124-P123=P123-P121,P124,IF(P125-P123=P123-P121,P125,"-"))))</f>
        <v>#VALUE!</v>
      </c>
      <c r="R124" s="83" t="e">
        <f>VLOOKUP(Q124,STN_TABLE,2,FALSE)</f>
        <v>#VALUE!</v>
      </c>
      <c r="S124" s="83">
        <v>-1</v>
      </c>
      <c r="T124" s="82" t="e">
        <f>R124*S124</f>
        <v>#VALUE!</v>
      </c>
      <c r="U124" s="88">
        <v>-1</v>
      </c>
      <c r="V124" s="82" t="e">
        <f>R124*U124</f>
        <v>#VALUE!</v>
      </c>
      <c r="W124" s="84" t="str">
        <f>CONCATENATE("a'(",Q123,")=")</f>
        <v>a'(  )=</v>
      </c>
      <c r="X124" s="84" t="e">
        <f>2*X122/12*T125</f>
        <v>#VALUE!</v>
      </c>
      <c r="Y124" s="84" t="e">
        <f>CONCATENATE("A(",Q122,")=")</f>
        <v>#VALUE!</v>
      </c>
      <c r="Z124" s="84" t="e">
        <f>VLOOKUP(Q122,STN_TABLE,3,FALSE)</f>
        <v>#VALUE!</v>
      </c>
      <c r="AA124" t="str">
        <f>CONCATENATE("A(",Q123,")=")</f>
        <v>A(  )=</v>
      </c>
      <c r="AB124" t="e">
        <f>X124+Z124</f>
        <v>#VALUE!</v>
      </c>
      <c r="AC124" s="99">
        <f>AC123+1</f>
        <v>20</v>
      </c>
      <c r="AD124" s="100" t="str">
        <f>VLOOKUP(AC124,STN_TABLE_2,2,FALSE)</f>
        <v xml:space="preserve">  </v>
      </c>
      <c r="AE124" s="82" t="str">
        <f>VLOOKUP(AD124,STN_TABLE,2,FALSE)</f>
        <v xml:space="preserve">  </v>
      </c>
      <c r="AF124" s="82">
        <v>2</v>
      </c>
      <c r="AG124" s="83" t="e">
        <f>AE124*AF124</f>
        <v>#VALUE!</v>
      </c>
      <c r="AH124" s="84" t="str">
        <f>CONCATENATE("a'(",AD124,")=")</f>
        <v>a'(  )=</v>
      </c>
      <c r="AI124" s="84" t="e">
        <f>2*AI122/2*AE125</f>
        <v>#VALUE!</v>
      </c>
      <c r="AJ124" s="84" t="str">
        <f>CONCATENATE("A(",AD123,")=")</f>
        <v>A(  )=</v>
      </c>
      <c r="AK124" s="84" t="str">
        <f>VLOOKUP(AD123,STN_TABLE,3,FALSE)</f>
        <v xml:space="preserve"> </v>
      </c>
      <c r="AL124" t="str">
        <f>CONCATENATE("A(",AD124,")=")</f>
        <v>A(  )=</v>
      </c>
      <c r="AM124" t="e">
        <f>AI124+AK124</f>
        <v>#VALUE!</v>
      </c>
      <c r="AO124" s="68" t="str">
        <f>AA124</f>
        <v>A(  )=</v>
      </c>
      <c r="AP124" s="68" t="e">
        <f>VLOOKUP(AO124,Rise_Results,2,FALSE)</f>
        <v>#N/A</v>
      </c>
      <c r="AQ124" s="76" t="e">
        <f>N124</f>
        <v>#VALUE!</v>
      </c>
      <c r="AR124" s="76" t="e">
        <f>IF(OR(AB124&lt;=0,AB125&lt;=0),1/0,AB124)</f>
        <v>#VALUE!</v>
      </c>
      <c r="AS124" s="76" t="e">
        <f>AM124</f>
        <v>#VALUE!</v>
      </c>
      <c r="AT124" t="e">
        <f>IFERROR(AP124,IFERROR(AQ124,IFERROR(AR124,AS124)))</f>
        <v>#VALUE!</v>
      </c>
      <c r="AU124" s="81"/>
    </row>
    <row r="125" spans="1:47" x14ac:dyDescent="0.25">
      <c r="A125" s="84">
        <f>A124+1</f>
        <v>20</v>
      </c>
      <c r="B125" s="84" t="str">
        <f t="shared" si="48"/>
        <v xml:space="preserve">  </v>
      </c>
      <c r="F125" s="82" t="e">
        <f>SUM(F122:F124)</f>
        <v>#VALUE!</v>
      </c>
      <c r="H125" s="82" t="e">
        <f>SUM(H122:H124)</f>
        <v>#VALUE!</v>
      </c>
      <c r="I125" s="84" t="str">
        <f>CONCATENATE("m'(",C124,")=")</f>
        <v>m'(  )=</v>
      </c>
      <c r="J125" s="84" t="e">
        <f>2*(J122*(WLS))/3*H125</f>
        <v>#VALUE!</v>
      </c>
      <c r="K125" s="84" t="e">
        <f>CONCATENATE("M(",C122,")=")</f>
        <v>#VALUE!</v>
      </c>
      <c r="L125" s="84" t="e">
        <f>VLOOKUP(C122,STN_TABLE,4,FALSE)</f>
        <v>#VALUE!</v>
      </c>
      <c r="M125" t="str">
        <f>CONCATENATE("M(",C124,")=")</f>
        <v>M(  )=</v>
      </c>
      <c r="N125" t="e">
        <f>J125+L125</f>
        <v>#VALUE!</v>
      </c>
      <c r="O125" s="99">
        <f>O124+1</f>
        <v>22</v>
      </c>
      <c r="P125" s="99" t="str">
        <f t="shared" si="44"/>
        <v xml:space="preserve">  </v>
      </c>
      <c r="T125" s="89" t="e">
        <f>SUM(T122:T124)</f>
        <v>#VALUE!</v>
      </c>
      <c r="V125" s="82" t="e">
        <f>SUM(V122:V124)</f>
        <v>#VALUE!</v>
      </c>
      <c r="W125" s="84" t="str">
        <f>CONCATENATE("m'(",Q123,")=")</f>
        <v>m'(  )=</v>
      </c>
      <c r="X125" s="84" t="e">
        <f>(2*(X122^2)/24*V125)+(X124*Q122*WLS)</f>
        <v>#VALUE!</v>
      </c>
      <c r="Y125" s="84" t="e">
        <f>CONCATENATE("M(",Q122,")=")</f>
        <v>#VALUE!</v>
      </c>
      <c r="Z125" s="84" t="e">
        <f>VLOOKUP(Q122,STN_TABLE,4,FALSE)</f>
        <v>#VALUE!</v>
      </c>
      <c r="AA125" t="str">
        <f>CONCATENATE("M(",Q123,")=")</f>
        <v>M(  )=</v>
      </c>
      <c r="AB125" t="e">
        <f>X125+Z125</f>
        <v>#VALUE!</v>
      </c>
      <c r="AE125" s="89">
        <f>SUM(AE123:AE124)</f>
        <v>0</v>
      </c>
      <c r="AG125" s="89" t="e">
        <f>SUM(AG123:AG124)</f>
        <v>#VALUE!</v>
      </c>
      <c r="AH125" s="84" t="str">
        <f>CONCATENATE("m'(",AD124,")=")</f>
        <v>m'(  )=</v>
      </c>
      <c r="AI125" s="84" t="e">
        <f>(2*(AI122^2)/6*AG125)+(AI124*AD123*WLS)</f>
        <v>#VALUE!</v>
      </c>
      <c r="AJ125" s="84" t="str">
        <f>CONCATENATE("M(",AD123,")=")</f>
        <v>M(  )=</v>
      </c>
      <c r="AK125" s="84" t="str">
        <f>VLOOKUP(AD123,STN_TABLE,4,FALSE)</f>
        <v xml:space="preserve"> </v>
      </c>
      <c r="AL125" t="str">
        <f>CONCATENATE("M(",AD124,")=")</f>
        <v>M(  )=</v>
      </c>
      <c r="AM125" t="e">
        <f>AI125+AK125</f>
        <v>#VALUE!</v>
      </c>
      <c r="AO125" s="82" t="str">
        <f>AA125</f>
        <v>M(  )=</v>
      </c>
      <c r="AP125" s="82" t="e">
        <f>VLOOKUP(AO125,Rise_Results,2,FALSE)</f>
        <v>#N/A</v>
      </c>
      <c r="AQ125" s="82" t="e">
        <f>N125</f>
        <v>#VALUE!</v>
      </c>
      <c r="AR125" s="82" t="e">
        <f>IF(OR(AB124&lt;=0,AB125&lt;=0),1/0,AB125)</f>
        <v>#VALUE!</v>
      </c>
      <c r="AS125" s="82" t="e">
        <f>AM125</f>
        <v>#VALUE!</v>
      </c>
      <c r="AT125" t="e">
        <f>IFERROR(AP125,IFERROR(AQ125,IFERROR(AR125,AS125)))</f>
        <v>#VALUE!</v>
      </c>
      <c r="AU125" s="81"/>
    </row>
    <row r="126" spans="1:47" x14ac:dyDescent="0.25">
      <c r="A126" s="101">
        <f>A121+1</f>
        <v>17</v>
      </c>
      <c r="B126" s="101" t="str">
        <f t="shared" si="48"/>
        <v xml:space="preserve">  </v>
      </c>
      <c r="O126" s="101">
        <f>O121+1</f>
        <v>19</v>
      </c>
      <c r="P126" s="101" t="str">
        <f t="shared" si="44"/>
        <v xml:space="preserve">  </v>
      </c>
      <c r="AU126" s="81"/>
    </row>
    <row r="127" spans="1:47" x14ac:dyDescent="0.25">
      <c r="A127" s="84">
        <f>A126+1</f>
        <v>18</v>
      </c>
      <c r="B127" s="84" t="str">
        <f t="shared" si="48"/>
        <v xml:space="preserve">  </v>
      </c>
      <c r="C127" s="79" t="e">
        <f t="shared" ref="C127" si="61">IF(C128=B129,IF(C129-C128=C128-B128,B128,IF(C129-C128=C128-B127,B127,"#NA")),IF(C128=B128,IF(C129-C128=C128-B127,B127,IF(C129-C128=C128-B126,B126,"#NA")),"#NA"))</f>
        <v>#VALUE!</v>
      </c>
      <c r="D127" s="68" t="e">
        <f>VLOOKUP(C127,STN_TABLE,2,FALSE)</f>
        <v>#VALUE!</v>
      </c>
      <c r="E127" s="102">
        <v>1</v>
      </c>
      <c r="F127" s="68" t="e">
        <f>D127*E127</f>
        <v>#VALUE!</v>
      </c>
      <c r="G127" s="69" t="e">
        <f>C127</f>
        <v>#VALUE!</v>
      </c>
      <c r="H127" s="69" t="e">
        <f>F127*G127</f>
        <v>#VALUE!</v>
      </c>
      <c r="I127" s="6" t="s">
        <v>93</v>
      </c>
      <c r="J127" s="70" t="e">
        <f>IF(OR(D127=0,D128=0,D129=0),"#NA",IF(AND(C129-C128=C128-C127,C128&lt;&gt;C129,C127&lt;&gt;C128,C127&lt;&gt;C129,D129&lt;&gt;0,OR(D127&lt;&gt;0,D128&lt;&gt;0)),WLS*(C129-C128),"#NA"))</f>
        <v>#VALUE!</v>
      </c>
      <c r="O127" s="99">
        <f>O126+1</f>
        <v>20</v>
      </c>
      <c r="P127" s="99" t="str">
        <f t="shared" si="44"/>
        <v xml:space="preserve">  </v>
      </c>
      <c r="Q127" s="68" t="e">
        <f>IF(OR(P129-P128=P128-P127,P130-P128=P128-P127),P127,IF(OR(P129-P128=P128-P126,P130-P128=P128-P126),P126,"-"))</f>
        <v>#VALUE!</v>
      </c>
      <c r="R127" s="69" t="e">
        <f>VLOOKUP(Q127,STN_TABLE,2,FALSE)</f>
        <v>#VALUE!</v>
      </c>
      <c r="S127" s="69">
        <v>5</v>
      </c>
      <c r="T127" s="68" t="e">
        <f>R127*S127</f>
        <v>#VALUE!</v>
      </c>
      <c r="U127" s="79">
        <v>3</v>
      </c>
      <c r="V127" s="68" t="e">
        <f>R127*U127</f>
        <v>#VALUE!</v>
      </c>
      <c r="W127" s="6" t="s">
        <v>93</v>
      </c>
      <c r="X127" s="70" t="e">
        <f>IF(AND(Q129-Q128=Q128-Q127,NOT(AND(Q127=0,Q128=0)),NOT(AND(Q128=0,Q129=0))),WLS*(Q129-Q128),"#NA")</f>
        <v>#VALUE!</v>
      </c>
      <c r="AD127" s="93"/>
      <c r="AH127" s="6" t="s">
        <v>93</v>
      </c>
      <c r="AI127" s="70" t="e">
        <f>WLS*(AD129-AD128)</f>
        <v>#VALUE!</v>
      </c>
      <c r="AU127" s="81"/>
    </row>
    <row r="128" spans="1:47" x14ac:dyDescent="0.25">
      <c r="A128" s="84">
        <f>A127+1</f>
        <v>19</v>
      </c>
      <c r="B128" s="84" t="str">
        <f t="shared" si="48"/>
        <v xml:space="preserve">  </v>
      </c>
      <c r="C128" s="80" t="e">
        <f t="shared" ref="C128" si="62">IF(OR(B130-B129=B129-B128,B130-B129=B129-B127,B130-B129=B129-B126),B129,IF(OR(B130-B128=B128-B127,B130-B128=B128-B126),B128,IF(B130-B127=B127-B126,B127,"#NA")))</f>
        <v>#VALUE!</v>
      </c>
      <c r="D128" s="76" t="e">
        <f>VLOOKUP(C128,STN_TABLE,2,FALSE)</f>
        <v>#VALUE!</v>
      </c>
      <c r="E128" s="81">
        <v>4</v>
      </c>
      <c r="F128" s="76" t="e">
        <f>D128*E128</f>
        <v>#VALUE!</v>
      </c>
      <c r="G128" s="77" t="e">
        <f>C128</f>
        <v>#VALUE!</v>
      </c>
      <c r="H128" s="77" t="e">
        <f>F128*G128</f>
        <v>#VALUE!</v>
      </c>
      <c r="I128" s="495" t="s">
        <v>97</v>
      </c>
      <c r="J128" s="496"/>
      <c r="K128" s="78" t="s">
        <v>98</v>
      </c>
      <c r="L128" s="78"/>
      <c r="M128" s="7" t="s">
        <v>99</v>
      </c>
      <c r="N128" s="7"/>
      <c r="O128" s="99">
        <f>O127+1</f>
        <v>21</v>
      </c>
      <c r="P128" s="99" t="str">
        <f t="shared" si="44"/>
        <v xml:space="preserve">  </v>
      </c>
      <c r="Q128" s="76" t="str">
        <f>P128</f>
        <v xml:space="preserve">  </v>
      </c>
      <c r="R128" s="77" t="str">
        <f>VLOOKUP(Q128,STN_TABLE,2,FALSE)</f>
        <v xml:space="preserve">  </v>
      </c>
      <c r="S128" s="77">
        <v>8</v>
      </c>
      <c r="T128" s="76" t="e">
        <f>R128*S128</f>
        <v>#VALUE!</v>
      </c>
      <c r="U128" s="80">
        <v>10</v>
      </c>
      <c r="V128" s="76" t="e">
        <f>R128*U128</f>
        <v>#VALUE!</v>
      </c>
      <c r="W128" s="496" t="s">
        <v>97</v>
      </c>
      <c r="X128" s="496"/>
      <c r="Y128" s="496" t="s">
        <v>98</v>
      </c>
      <c r="Z128" s="496"/>
      <c r="AA128" s="494" t="s">
        <v>99</v>
      </c>
      <c r="AB128" s="494"/>
      <c r="AC128" s="99">
        <f>AC123+1</f>
        <v>20</v>
      </c>
      <c r="AD128" s="95" t="str">
        <f>VLOOKUP(AC128,STN_TABLE_2,2,FALSE)</f>
        <v xml:space="preserve">  </v>
      </c>
      <c r="AE128" s="68" t="str">
        <f>VLOOKUP(AD128,STN_TABLE,2,FALSE)</f>
        <v xml:space="preserve">  </v>
      </c>
      <c r="AF128" s="68">
        <v>1</v>
      </c>
      <c r="AG128" s="69" t="e">
        <f>AE128*AF128</f>
        <v>#VALUE!</v>
      </c>
      <c r="AH128" s="496" t="s">
        <v>97</v>
      </c>
      <c r="AI128" s="496"/>
      <c r="AJ128" s="496" t="s">
        <v>98</v>
      </c>
      <c r="AK128" s="496"/>
      <c r="AL128" s="494" t="s">
        <v>99</v>
      </c>
      <c r="AM128" s="494"/>
      <c r="AP128" s="86" t="s">
        <v>112</v>
      </c>
      <c r="AQ128" s="89" t="s">
        <v>113</v>
      </c>
      <c r="AR128" s="89" t="s">
        <v>114</v>
      </c>
      <c r="AS128" s="89" t="s">
        <v>115</v>
      </c>
      <c r="AU128" s="81"/>
    </row>
    <row r="129" spans="1:47" x14ac:dyDescent="0.25">
      <c r="A129" s="84">
        <f>A128+1</f>
        <v>20</v>
      </c>
      <c r="B129" s="84" t="str">
        <f t="shared" si="48"/>
        <v xml:space="preserve">  </v>
      </c>
      <c r="C129" s="88" t="str">
        <f t="shared" ref="C129" si="63">B130</f>
        <v xml:space="preserve">  </v>
      </c>
      <c r="D129" s="82" t="str">
        <f>VLOOKUP(C129,STN_TABLE,2,FALSE)</f>
        <v xml:space="preserve">  </v>
      </c>
      <c r="E129" s="92">
        <v>1</v>
      </c>
      <c r="F129" s="82" t="e">
        <f>D129*E129</f>
        <v>#VALUE!</v>
      </c>
      <c r="G129" s="83" t="str">
        <f>C129</f>
        <v xml:space="preserve">  </v>
      </c>
      <c r="H129" s="83" t="e">
        <f>F129*G129</f>
        <v>#VALUE!</v>
      </c>
      <c r="I129" s="84" t="str">
        <f>CONCATENATE("a'(",C129,")=")</f>
        <v>a'(  )=</v>
      </c>
      <c r="J129" s="84" t="e">
        <f>2*J127/3*F130</f>
        <v>#VALUE!</v>
      </c>
      <c r="K129" s="84" t="e">
        <f>CONCATENATE("A(",C127,")=")</f>
        <v>#VALUE!</v>
      </c>
      <c r="L129" s="84" t="e">
        <f>VLOOKUP(C127,STN_TABLE,3,FALSE)</f>
        <v>#VALUE!</v>
      </c>
      <c r="M129" t="str">
        <f>CONCATENATE("A(",C129,")=")</f>
        <v>A(  )=</v>
      </c>
      <c r="N129" t="e">
        <f>J129+L129</f>
        <v>#VALUE!</v>
      </c>
      <c r="O129" s="99">
        <f>O128+1</f>
        <v>22</v>
      </c>
      <c r="P129" s="99" t="str">
        <f t="shared" si="44"/>
        <v xml:space="preserve">  </v>
      </c>
      <c r="Q129" s="82" t="e">
        <f>IF(P129-P128=P128-P127,P129,IF(P130-P128=P128-P127,P130,IF(P129-P128=P128-P126,P129,IF(P130-P128=P128-P126,P130,"-"))))</f>
        <v>#VALUE!</v>
      </c>
      <c r="R129" s="83" t="e">
        <f>VLOOKUP(Q129,STN_TABLE,2,FALSE)</f>
        <v>#VALUE!</v>
      </c>
      <c r="S129" s="83">
        <v>-1</v>
      </c>
      <c r="T129" s="82" t="e">
        <f>R129*S129</f>
        <v>#VALUE!</v>
      </c>
      <c r="U129" s="88">
        <v>-1</v>
      </c>
      <c r="V129" s="82" t="e">
        <f>R129*U129</f>
        <v>#VALUE!</v>
      </c>
      <c r="W129" s="84" t="str">
        <f>CONCATENATE("a'(",Q128,")=")</f>
        <v>a'(  )=</v>
      </c>
      <c r="X129" s="84" t="e">
        <f>2*X127/12*T130</f>
        <v>#VALUE!</v>
      </c>
      <c r="Y129" s="84" t="e">
        <f>CONCATENATE("A(",Q127,")=")</f>
        <v>#VALUE!</v>
      </c>
      <c r="Z129" s="84" t="e">
        <f>VLOOKUP(Q127,STN_TABLE,3,FALSE)</f>
        <v>#VALUE!</v>
      </c>
      <c r="AA129" t="str">
        <f>CONCATENATE("A(",Q128,")=")</f>
        <v>A(  )=</v>
      </c>
      <c r="AB129" t="e">
        <f>X129+Z129</f>
        <v>#VALUE!</v>
      </c>
      <c r="AC129" s="99">
        <f>AC128+1</f>
        <v>21</v>
      </c>
      <c r="AD129" s="100" t="str">
        <f>VLOOKUP(AC129,STN_TABLE_2,2,FALSE)</f>
        <v xml:space="preserve">  </v>
      </c>
      <c r="AE129" s="82" t="str">
        <f>VLOOKUP(AD129,STN_TABLE,2,FALSE)</f>
        <v xml:space="preserve">  </v>
      </c>
      <c r="AF129" s="82">
        <v>2</v>
      </c>
      <c r="AG129" s="83" t="e">
        <f>AE129*AF129</f>
        <v>#VALUE!</v>
      </c>
      <c r="AH129" s="84" t="str">
        <f>CONCATENATE("a'(",AD129,")=")</f>
        <v>a'(  )=</v>
      </c>
      <c r="AI129" s="84" t="e">
        <f>2*AI127/2*AE130</f>
        <v>#VALUE!</v>
      </c>
      <c r="AJ129" s="84" t="str">
        <f>CONCATENATE("A(",AD128,")=")</f>
        <v>A(  )=</v>
      </c>
      <c r="AK129" s="84" t="str">
        <f>VLOOKUP(AD128,STN_TABLE,3,FALSE)</f>
        <v xml:space="preserve"> </v>
      </c>
      <c r="AL129" t="str">
        <f>CONCATENATE("A(",AD129,")=")</f>
        <v>A(  )=</v>
      </c>
      <c r="AM129" t="e">
        <f>AI129+AK129</f>
        <v>#VALUE!</v>
      </c>
      <c r="AO129" s="68" t="str">
        <f>AA129</f>
        <v>A(  )=</v>
      </c>
      <c r="AP129" s="68" t="e">
        <f>VLOOKUP(AO129,Rise_Results,2,FALSE)</f>
        <v>#N/A</v>
      </c>
      <c r="AQ129" s="76" t="e">
        <f>N129</f>
        <v>#VALUE!</v>
      </c>
      <c r="AR129" s="76" t="e">
        <f>IF(OR(AB129&lt;=0,AB130&lt;=0),1/0,AB129)</f>
        <v>#VALUE!</v>
      </c>
      <c r="AS129" s="76" t="e">
        <f>AM129</f>
        <v>#VALUE!</v>
      </c>
      <c r="AT129" t="e">
        <f>IFERROR(AP129,IFERROR(AQ129,IFERROR(AR129,AS129)))</f>
        <v>#VALUE!</v>
      </c>
      <c r="AU129" s="81"/>
    </row>
    <row r="130" spans="1:47" x14ac:dyDescent="0.25">
      <c r="A130" s="84">
        <f>A129+1</f>
        <v>21</v>
      </c>
      <c r="B130" s="84" t="str">
        <f t="shared" si="48"/>
        <v xml:space="preserve">  </v>
      </c>
      <c r="F130" s="82" t="e">
        <f>SUM(F127:F129)</f>
        <v>#VALUE!</v>
      </c>
      <c r="H130" s="82" t="e">
        <f>SUM(H127:H129)</f>
        <v>#VALUE!</v>
      </c>
      <c r="I130" s="84" t="str">
        <f>CONCATENATE("m'(",C129,")=")</f>
        <v>m'(  )=</v>
      </c>
      <c r="J130" s="84" t="e">
        <f>2*(J127*(WLS))/3*H130</f>
        <v>#VALUE!</v>
      </c>
      <c r="K130" s="84" t="e">
        <f>CONCATENATE("M(",C127,")=")</f>
        <v>#VALUE!</v>
      </c>
      <c r="L130" s="84" t="e">
        <f>VLOOKUP(C127,STN_TABLE,4,FALSE)</f>
        <v>#VALUE!</v>
      </c>
      <c r="M130" t="str">
        <f>CONCATENATE("M(",C129,")=")</f>
        <v>M(  )=</v>
      </c>
      <c r="N130" t="e">
        <f>J130+L130</f>
        <v>#VALUE!</v>
      </c>
      <c r="O130" s="99">
        <f>O129+1</f>
        <v>23</v>
      </c>
      <c r="P130" s="99" t="str">
        <f t="shared" si="44"/>
        <v xml:space="preserve">  </v>
      </c>
      <c r="T130" s="89" t="e">
        <f>SUM(T127:T129)</f>
        <v>#VALUE!</v>
      </c>
      <c r="V130" s="82" t="e">
        <f>SUM(V127:V129)</f>
        <v>#VALUE!</v>
      </c>
      <c r="W130" s="84" t="str">
        <f>CONCATENATE("m'(",Q128,")=")</f>
        <v>m'(  )=</v>
      </c>
      <c r="X130" s="84" t="e">
        <f>(2*(X127^2)/24*V130)+(X129*Q127*WLS)</f>
        <v>#VALUE!</v>
      </c>
      <c r="Y130" s="84" t="e">
        <f>CONCATENATE("M(",Q127,")=")</f>
        <v>#VALUE!</v>
      </c>
      <c r="Z130" s="84" t="e">
        <f>VLOOKUP(Q127,STN_TABLE,4,FALSE)</f>
        <v>#VALUE!</v>
      </c>
      <c r="AA130" t="str">
        <f>CONCATENATE("M(",Q128,")=")</f>
        <v>M(  )=</v>
      </c>
      <c r="AB130" t="e">
        <f>X130+Z130</f>
        <v>#VALUE!</v>
      </c>
      <c r="AE130" s="89">
        <f>SUM(AE128:AE129)</f>
        <v>0</v>
      </c>
      <c r="AG130" s="89" t="e">
        <f>SUM(AG128:AG129)</f>
        <v>#VALUE!</v>
      </c>
      <c r="AH130" s="84" t="str">
        <f>CONCATENATE("m'(",AD129,")=")</f>
        <v>m'(  )=</v>
      </c>
      <c r="AI130" s="84" t="e">
        <f>(2*(AI127^2)/6*AG130)+(AI129*AD128*WLS)</f>
        <v>#VALUE!</v>
      </c>
      <c r="AJ130" s="84" t="str">
        <f>CONCATENATE("M(",AD128,")=")</f>
        <v>M(  )=</v>
      </c>
      <c r="AK130" s="84" t="str">
        <f>VLOOKUP(AD128,STN_TABLE,4,FALSE)</f>
        <v xml:space="preserve"> </v>
      </c>
      <c r="AL130" t="str">
        <f>CONCATENATE("M(",AD129,")=")</f>
        <v>M(  )=</v>
      </c>
      <c r="AM130" t="e">
        <f>AI130+AK130</f>
        <v>#VALUE!</v>
      </c>
      <c r="AO130" s="82" t="str">
        <f>AA130</f>
        <v>M(  )=</v>
      </c>
      <c r="AP130" s="82" t="e">
        <f>VLOOKUP(AO130,Rise_Results,2,FALSE)</f>
        <v>#N/A</v>
      </c>
      <c r="AQ130" s="82" t="e">
        <f>N130</f>
        <v>#VALUE!</v>
      </c>
      <c r="AR130" s="82" t="e">
        <f>IF(OR(AB129&lt;=0,AB130&lt;=0),1/0,AB130)</f>
        <v>#VALUE!</v>
      </c>
      <c r="AS130" s="82" t="e">
        <f>AM130</f>
        <v>#VALUE!</v>
      </c>
      <c r="AT130" t="e">
        <f>IFERROR(AP130,IFERROR(AQ130,IFERROR(AR130,AS130)))</f>
        <v>#VALUE!</v>
      </c>
      <c r="AU130" s="81"/>
    </row>
    <row r="131" spans="1:47" x14ac:dyDescent="0.25">
      <c r="A131" s="101">
        <f>A126+1</f>
        <v>18</v>
      </c>
      <c r="B131" s="101" t="str">
        <f t="shared" si="48"/>
        <v xml:space="preserve">  </v>
      </c>
      <c r="O131" s="101">
        <f>O126+1</f>
        <v>20</v>
      </c>
      <c r="P131" s="101" t="str">
        <f t="shared" si="44"/>
        <v xml:space="preserve">  </v>
      </c>
      <c r="AU131" s="81"/>
    </row>
    <row r="132" spans="1:47" x14ac:dyDescent="0.25">
      <c r="A132" s="84">
        <f>A131+1</f>
        <v>19</v>
      </c>
      <c r="B132" s="84" t="str">
        <f t="shared" si="48"/>
        <v xml:space="preserve">  </v>
      </c>
      <c r="C132" s="79" t="e">
        <f t="shared" ref="C132" si="64">IF(C133=B134,IF(C134-C133=C133-B133,B133,IF(C134-C133=C133-B132,B132,"#NA")),IF(C133=B133,IF(C134-C133=C133-B132,B132,IF(C134-C133=C133-B131,B131,"#NA")),"#NA"))</f>
        <v>#VALUE!</v>
      </c>
      <c r="D132" s="68" t="e">
        <f>VLOOKUP(C132,STN_TABLE,2,FALSE)</f>
        <v>#VALUE!</v>
      </c>
      <c r="E132" s="102">
        <v>1</v>
      </c>
      <c r="F132" s="68" t="e">
        <f>D132*E132</f>
        <v>#VALUE!</v>
      </c>
      <c r="G132" s="69" t="e">
        <f>C132</f>
        <v>#VALUE!</v>
      </c>
      <c r="H132" s="69" t="e">
        <f>F132*G132</f>
        <v>#VALUE!</v>
      </c>
      <c r="I132" s="6" t="s">
        <v>93</v>
      </c>
      <c r="J132" s="70" t="e">
        <f>IF(OR(D132=0,D133=0,D134=0),"#NA",IF(AND(C134-C133=C133-C132,C133&lt;&gt;C134,C132&lt;&gt;C133,C132&lt;&gt;C134,D134&lt;&gt;0,OR(D132&lt;&gt;0,D133&lt;&gt;0)),WLS*(C134-C133),"#NA"))</f>
        <v>#VALUE!</v>
      </c>
      <c r="O132" s="99">
        <f>O131+1</f>
        <v>21</v>
      </c>
      <c r="P132" s="99" t="str">
        <f t="shared" ref="P132:P150" si="65">VLOOKUP(O132,STN_TABLE_2,2,FALSE)</f>
        <v xml:space="preserve">  </v>
      </c>
      <c r="Q132" s="68" t="e">
        <f>IF(OR(P134-P133=P133-P132,P135-P133=P133-P132),P132,IF(OR(P134-P133=P133-P131,P135-P133=P133-P131),P131,"-"))</f>
        <v>#VALUE!</v>
      </c>
      <c r="R132" s="69" t="e">
        <f>VLOOKUP(Q132,STN_TABLE,2,FALSE)</f>
        <v>#VALUE!</v>
      </c>
      <c r="S132" s="69">
        <v>5</v>
      </c>
      <c r="T132" s="68" t="e">
        <f>R132*S132</f>
        <v>#VALUE!</v>
      </c>
      <c r="U132" s="79">
        <v>3</v>
      </c>
      <c r="V132" s="68" t="e">
        <f>R132*U132</f>
        <v>#VALUE!</v>
      </c>
      <c r="W132" s="6" t="s">
        <v>93</v>
      </c>
      <c r="X132" s="70" t="e">
        <f>IF(AND(Q134-Q133=Q133-Q132,NOT(AND(Q132=0,Q133=0)),NOT(AND(Q133=0,Q134=0))),WLS*(Q134-Q133),"#NA")</f>
        <v>#VALUE!</v>
      </c>
      <c r="AD132" s="93"/>
      <c r="AH132" s="6" t="s">
        <v>93</v>
      </c>
      <c r="AI132" s="70" t="e">
        <f>WLS*(AD134-AD133)</f>
        <v>#VALUE!</v>
      </c>
      <c r="AU132" s="81"/>
    </row>
    <row r="133" spans="1:47" x14ac:dyDescent="0.25">
      <c r="A133" s="84">
        <f>A132+1</f>
        <v>20</v>
      </c>
      <c r="B133" s="84" t="str">
        <f t="shared" si="48"/>
        <v xml:space="preserve">  </v>
      </c>
      <c r="C133" s="80" t="e">
        <f t="shared" ref="C133" si="66">IF(OR(B135-B134=B134-B133,B135-B134=B134-B132,B135-B134=B134-B131),B134,IF(OR(B135-B133=B133-B132,B135-B133=B133-B131),B133,IF(B135-B132=B132-B131,B132,"#NA")))</f>
        <v>#VALUE!</v>
      </c>
      <c r="D133" s="76" t="e">
        <f>VLOOKUP(C133,STN_TABLE,2,FALSE)</f>
        <v>#VALUE!</v>
      </c>
      <c r="E133" s="81">
        <v>4</v>
      </c>
      <c r="F133" s="76" t="e">
        <f>D133*E133</f>
        <v>#VALUE!</v>
      </c>
      <c r="G133" s="77" t="e">
        <f>C133</f>
        <v>#VALUE!</v>
      </c>
      <c r="H133" s="77" t="e">
        <f>F133*G133</f>
        <v>#VALUE!</v>
      </c>
      <c r="I133" s="495" t="s">
        <v>97</v>
      </c>
      <c r="J133" s="496"/>
      <c r="K133" s="78" t="s">
        <v>98</v>
      </c>
      <c r="L133" s="78"/>
      <c r="M133" s="7" t="s">
        <v>99</v>
      </c>
      <c r="N133" s="7"/>
      <c r="O133" s="99">
        <f>O132+1</f>
        <v>22</v>
      </c>
      <c r="P133" s="99" t="str">
        <f t="shared" si="65"/>
        <v xml:space="preserve">  </v>
      </c>
      <c r="Q133" s="76" t="str">
        <f>P133</f>
        <v xml:space="preserve">  </v>
      </c>
      <c r="R133" s="77" t="str">
        <f>VLOOKUP(Q133,STN_TABLE,2,FALSE)</f>
        <v xml:space="preserve">  </v>
      </c>
      <c r="S133" s="77">
        <v>8</v>
      </c>
      <c r="T133" s="76" t="e">
        <f>R133*S133</f>
        <v>#VALUE!</v>
      </c>
      <c r="U133" s="80">
        <v>10</v>
      </c>
      <c r="V133" s="76" t="e">
        <f>R133*U133</f>
        <v>#VALUE!</v>
      </c>
      <c r="W133" s="496" t="s">
        <v>97</v>
      </c>
      <c r="X133" s="496"/>
      <c r="Y133" s="496" t="s">
        <v>98</v>
      </c>
      <c r="Z133" s="496"/>
      <c r="AA133" s="494" t="s">
        <v>99</v>
      </c>
      <c r="AB133" s="494"/>
      <c r="AC133" s="99">
        <f>AC128+1</f>
        <v>21</v>
      </c>
      <c r="AD133" s="95" t="str">
        <f>VLOOKUP(AC133,STN_TABLE_2,2,FALSE)</f>
        <v xml:space="preserve">  </v>
      </c>
      <c r="AE133" s="68" t="str">
        <f>VLOOKUP(AD133,STN_TABLE,2,FALSE)</f>
        <v xml:space="preserve">  </v>
      </c>
      <c r="AF133" s="68">
        <v>1</v>
      </c>
      <c r="AG133" s="69" t="e">
        <f>AE133*AF133</f>
        <v>#VALUE!</v>
      </c>
      <c r="AH133" s="496" t="s">
        <v>97</v>
      </c>
      <c r="AI133" s="496"/>
      <c r="AJ133" s="496" t="s">
        <v>98</v>
      </c>
      <c r="AK133" s="496"/>
      <c r="AL133" s="494" t="s">
        <v>99</v>
      </c>
      <c r="AM133" s="494"/>
      <c r="AP133" s="86" t="s">
        <v>112</v>
      </c>
      <c r="AQ133" s="89" t="s">
        <v>113</v>
      </c>
      <c r="AR133" s="89" t="s">
        <v>114</v>
      </c>
      <c r="AS133" s="89" t="s">
        <v>115</v>
      </c>
      <c r="AU133" s="81"/>
    </row>
    <row r="134" spans="1:47" x14ac:dyDescent="0.25">
      <c r="A134" s="84">
        <f>A133+1</f>
        <v>21</v>
      </c>
      <c r="B134" s="84" t="str">
        <f t="shared" si="48"/>
        <v xml:space="preserve">  </v>
      </c>
      <c r="C134" s="88" t="str">
        <f t="shared" ref="C134" si="67">B135</f>
        <v xml:space="preserve">  </v>
      </c>
      <c r="D134" s="82" t="str">
        <f>VLOOKUP(C134,STN_TABLE,2,FALSE)</f>
        <v xml:space="preserve">  </v>
      </c>
      <c r="E134" s="92">
        <v>1</v>
      </c>
      <c r="F134" s="82" t="e">
        <f>D134*E134</f>
        <v>#VALUE!</v>
      </c>
      <c r="G134" s="83" t="str">
        <f>C134</f>
        <v xml:space="preserve">  </v>
      </c>
      <c r="H134" s="83" t="e">
        <f>F134*G134</f>
        <v>#VALUE!</v>
      </c>
      <c r="I134" s="84" t="str">
        <f>CONCATENATE("a'(",C134,")=")</f>
        <v>a'(  )=</v>
      </c>
      <c r="J134" s="84" t="e">
        <f>2*J132/3*F135</f>
        <v>#VALUE!</v>
      </c>
      <c r="K134" s="84" t="e">
        <f>CONCATENATE("A(",C132,")=")</f>
        <v>#VALUE!</v>
      </c>
      <c r="L134" s="84" t="e">
        <f>VLOOKUP(C132,STN_TABLE,3,FALSE)</f>
        <v>#VALUE!</v>
      </c>
      <c r="M134" t="str">
        <f>CONCATENATE("A(",C134,")=")</f>
        <v>A(  )=</v>
      </c>
      <c r="N134" t="e">
        <f>J134+L134</f>
        <v>#VALUE!</v>
      </c>
      <c r="O134" s="99">
        <f>O133+1</f>
        <v>23</v>
      </c>
      <c r="P134" s="99" t="str">
        <f t="shared" si="65"/>
        <v xml:space="preserve">  </v>
      </c>
      <c r="Q134" s="82" t="e">
        <f>IF(P134-P133=P133-P132,P134,IF(P135-P133=P133-P132,P135,IF(P134-P133=P133-P131,P134,IF(P135-P133=P133-P131,P135,"-"))))</f>
        <v>#VALUE!</v>
      </c>
      <c r="R134" s="83" t="e">
        <f>VLOOKUP(Q134,STN_TABLE,2,FALSE)</f>
        <v>#VALUE!</v>
      </c>
      <c r="S134" s="83">
        <v>-1</v>
      </c>
      <c r="T134" s="82" t="e">
        <f>R134*S134</f>
        <v>#VALUE!</v>
      </c>
      <c r="U134" s="88">
        <v>-1</v>
      </c>
      <c r="V134" s="82" t="e">
        <f>R134*U134</f>
        <v>#VALUE!</v>
      </c>
      <c r="W134" s="84" t="str">
        <f>CONCATENATE("a'(",Q133,")=")</f>
        <v>a'(  )=</v>
      </c>
      <c r="X134" s="84" t="e">
        <f>2*X132/12*T135</f>
        <v>#VALUE!</v>
      </c>
      <c r="Y134" s="84" t="e">
        <f>CONCATENATE("A(",Q132,")=")</f>
        <v>#VALUE!</v>
      </c>
      <c r="Z134" s="84" t="e">
        <f>VLOOKUP(Q132,STN_TABLE,3,FALSE)</f>
        <v>#VALUE!</v>
      </c>
      <c r="AA134" t="str">
        <f>CONCATENATE("A(",Q133,")=")</f>
        <v>A(  )=</v>
      </c>
      <c r="AB134" t="e">
        <f>X134+Z134</f>
        <v>#VALUE!</v>
      </c>
      <c r="AC134" s="99">
        <f>AC133+1</f>
        <v>22</v>
      </c>
      <c r="AD134" s="100" t="str">
        <f>VLOOKUP(AC134,STN_TABLE_2,2,FALSE)</f>
        <v xml:space="preserve">  </v>
      </c>
      <c r="AE134" s="82" t="str">
        <f>VLOOKUP(AD134,STN_TABLE,2,FALSE)</f>
        <v xml:space="preserve">  </v>
      </c>
      <c r="AF134" s="82">
        <v>2</v>
      </c>
      <c r="AG134" s="83" t="e">
        <f>AE134*AF134</f>
        <v>#VALUE!</v>
      </c>
      <c r="AH134" s="84" t="str">
        <f>CONCATENATE("a'(",AD134,")=")</f>
        <v>a'(  )=</v>
      </c>
      <c r="AI134" s="84" t="e">
        <f>2*AI132/2*AE135</f>
        <v>#VALUE!</v>
      </c>
      <c r="AJ134" s="84" t="str">
        <f>CONCATENATE("A(",AD133,")=")</f>
        <v>A(  )=</v>
      </c>
      <c r="AK134" s="84" t="str">
        <f>VLOOKUP(AD133,STN_TABLE,3,FALSE)</f>
        <v xml:space="preserve"> </v>
      </c>
      <c r="AL134" t="str">
        <f>CONCATENATE("A(",AD134,")=")</f>
        <v>A(  )=</v>
      </c>
      <c r="AM134" t="e">
        <f>AI134+AK134</f>
        <v>#VALUE!</v>
      </c>
      <c r="AO134" s="68" t="str">
        <f>AA134</f>
        <v>A(  )=</v>
      </c>
      <c r="AP134" s="68" t="e">
        <f>VLOOKUP(AO134,Rise_Results,2,FALSE)</f>
        <v>#N/A</v>
      </c>
      <c r="AQ134" s="76" t="e">
        <f>N134</f>
        <v>#VALUE!</v>
      </c>
      <c r="AR134" s="76" t="e">
        <f>IF(OR(AB134&lt;=0,AB135&lt;=0),1/0,AB134)</f>
        <v>#VALUE!</v>
      </c>
      <c r="AS134" s="76" t="e">
        <f>AM134</f>
        <v>#VALUE!</v>
      </c>
      <c r="AT134" t="e">
        <f>IFERROR(AP134,IFERROR(AQ134,IFERROR(AR134,AS134)))</f>
        <v>#VALUE!</v>
      </c>
      <c r="AU134" s="81"/>
    </row>
    <row r="135" spans="1:47" x14ac:dyDescent="0.25">
      <c r="A135" s="84">
        <f>A134+1</f>
        <v>22</v>
      </c>
      <c r="B135" s="84" t="str">
        <f t="shared" si="48"/>
        <v xml:space="preserve">  </v>
      </c>
      <c r="F135" s="82" t="e">
        <f>SUM(F132:F134)</f>
        <v>#VALUE!</v>
      </c>
      <c r="H135" s="82" t="e">
        <f>SUM(H132:H134)</f>
        <v>#VALUE!</v>
      </c>
      <c r="I135" s="84" t="str">
        <f>CONCATENATE("m'(",C134,")=")</f>
        <v>m'(  )=</v>
      </c>
      <c r="J135" s="84" t="e">
        <f>2*(J132*(WLS))/3*H135</f>
        <v>#VALUE!</v>
      </c>
      <c r="K135" s="84" t="e">
        <f>CONCATENATE("M(",C132,")=")</f>
        <v>#VALUE!</v>
      </c>
      <c r="L135" s="84" t="e">
        <f>VLOOKUP(C132,STN_TABLE,4,FALSE)</f>
        <v>#VALUE!</v>
      </c>
      <c r="M135" t="str">
        <f>CONCATENATE("M(",C134,")=")</f>
        <v>M(  )=</v>
      </c>
      <c r="N135" t="e">
        <f>J135+L135</f>
        <v>#VALUE!</v>
      </c>
      <c r="O135" s="99">
        <f>O134+1</f>
        <v>24</v>
      </c>
      <c r="P135" s="99" t="str">
        <f t="shared" si="65"/>
        <v xml:space="preserve">  </v>
      </c>
      <c r="T135" s="89" t="e">
        <f>SUM(T132:T134)</f>
        <v>#VALUE!</v>
      </c>
      <c r="V135" s="82" t="e">
        <f>SUM(V132:V134)</f>
        <v>#VALUE!</v>
      </c>
      <c r="W135" s="84" t="str">
        <f>CONCATENATE("m'(",Q133,")=")</f>
        <v>m'(  )=</v>
      </c>
      <c r="X135" s="84" t="e">
        <f>(2*(X132^2)/24*V135)+(X134*Q132*WLS)</f>
        <v>#VALUE!</v>
      </c>
      <c r="Y135" s="84" t="e">
        <f>CONCATENATE("M(",Q132,")=")</f>
        <v>#VALUE!</v>
      </c>
      <c r="Z135" s="84" t="e">
        <f>VLOOKUP(Q132,STN_TABLE,4,FALSE)</f>
        <v>#VALUE!</v>
      </c>
      <c r="AA135" t="str">
        <f>CONCATENATE("M(",Q133,")=")</f>
        <v>M(  )=</v>
      </c>
      <c r="AB135" t="e">
        <f>X135+Z135</f>
        <v>#VALUE!</v>
      </c>
      <c r="AE135" s="89">
        <f>SUM(AE133:AE134)</f>
        <v>0</v>
      </c>
      <c r="AG135" s="89" t="e">
        <f>SUM(AG133:AG134)</f>
        <v>#VALUE!</v>
      </c>
      <c r="AH135" s="84" t="str">
        <f>CONCATENATE("m'(",AD134,")=")</f>
        <v>m'(  )=</v>
      </c>
      <c r="AI135" s="84" t="e">
        <f>(2*(AI132^2)/6*AG135)+(AI134*AD133*WLS)</f>
        <v>#VALUE!</v>
      </c>
      <c r="AJ135" s="84" t="str">
        <f>CONCATENATE("M(",AD133,")=")</f>
        <v>M(  )=</v>
      </c>
      <c r="AK135" s="84" t="str">
        <f>VLOOKUP(AD133,STN_TABLE,4,FALSE)</f>
        <v xml:space="preserve"> </v>
      </c>
      <c r="AL135" t="str">
        <f>CONCATENATE("M(",AD134,")=")</f>
        <v>M(  )=</v>
      </c>
      <c r="AM135" t="e">
        <f>AI135+AK135</f>
        <v>#VALUE!</v>
      </c>
      <c r="AO135" s="82" t="str">
        <f>AA135</f>
        <v>M(  )=</v>
      </c>
      <c r="AP135" s="82" t="e">
        <f>VLOOKUP(AO135,Rise_Results,2,FALSE)</f>
        <v>#N/A</v>
      </c>
      <c r="AQ135" s="82" t="e">
        <f>N135</f>
        <v>#VALUE!</v>
      </c>
      <c r="AR135" s="82" t="e">
        <f>IF(OR(AB134&lt;=0,AB135&lt;=0),1/0,AB135)</f>
        <v>#VALUE!</v>
      </c>
      <c r="AS135" s="82" t="e">
        <f>AM135</f>
        <v>#VALUE!</v>
      </c>
      <c r="AT135" t="e">
        <f>IFERROR(AP135,IFERROR(AQ135,IFERROR(AR135,AS135)))</f>
        <v>#VALUE!</v>
      </c>
      <c r="AU135" s="81"/>
    </row>
    <row r="136" spans="1:47" x14ac:dyDescent="0.25">
      <c r="A136" s="101">
        <f>A131+1</f>
        <v>19</v>
      </c>
      <c r="B136" s="101" t="str">
        <f t="shared" si="48"/>
        <v xml:space="preserve">  </v>
      </c>
      <c r="O136" s="101">
        <f>O131+1</f>
        <v>21</v>
      </c>
      <c r="P136" s="101" t="str">
        <f t="shared" si="65"/>
        <v xml:space="preserve">  </v>
      </c>
      <c r="AU136" s="81"/>
    </row>
    <row r="137" spans="1:47" x14ac:dyDescent="0.25">
      <c r="A137" s="84">
        <f>A136+1</f>
        <v>20</v>
      </c>
      <c r="B137" s="84" t="str">
        <f t="shared" si="48"/>
        <v xml:space="preserve">  </v>
      </c>
      <c r="C137" s="79" t="e">
        <f t="shared" ref="C137" si="68">IF(C138=B139,IF(C139-C138=C138-B138,B138,IF(C139-C138=C138-B137,B137,"#NA")),IF(C138=B138,IF(C139-C138=C138-B137,B137,IF(C139-C138=C138-B136,B136,"#NA")),"#NA"))</f>
        <v>#VALUE!</v>
      </c>
      <c r="D137" s="68" t="e">
        <f>VLOOKUP(C137,STN_TABLE,2,FALSE)</f>
        <v>#VALUE!</v>
      </c>
      <c r="E137" s="102">
        <v>1</v>
      </c>
      <c r="F137" s="68" t="e">
        <f>D137*E137</f>
        <v>#VALUE!</v>
      </c>
      <c r="G137" s="69" t="e">
        <f>C137</f>
        <v>#VALUE!</v>
      </c>
      <c r="H137" s="69" t="e">
        <f>F137*G137</f>
        <v>#VALUE!</v>
      </c>
      <c r="I137" s="6" t="s">
        <v>93</v>
      </c>
      <c r="J137" s="70" t="e">
        <f>IF(OR(D137=0,D138=0,D139=0),"#NA",IF(AND(C139-C138=C138-C137,C138&lt;&gt;C139,C137&lt;&gt;C138,C137&lt;&gt;C139,D139&lt;&gt;0,OR(D137&lt;&gt;0,D138&lt;&gt;0)),WLS*(C139-C138),"#NA"))</f>
        <v>#VALUE!</v>
      </c>
      <c r="O137" s="99">
        <f>O136+1</f>
        <v>22</v>
      </c>
      <c r="P137" s="99" t="str">
        <f t="shared" si="65"/>
        <v xml:space="preserve">  </v>
      </c>
      <c r="Q137" s="68" t="e">
        <f>IF(OR(P139-P138=P138-P137,P140-P138=P138-P137),P137,IF(OR(P139-P138=P138-P136,P140-P138=P138-P136),P136,"-"))</f>
        <v>#VALUE!</v>
      </c>
      <c r="R137" s="69" t="e">
        <f>VLOOKUP(Q137,STN_TABLE,2,FALSE)</f>
        <v>#VALUE!</v>
      </c>
      <c r="S137" s="69">
        <v>5</v>
      </c>
      <c r="T137" s="68" t="e">
        <f>R137*S137</f>
        <v>#VALUE!</v>
      </c>
      <c r="U137" s="79">
        <v>3</v>
      </c>
      <c r="V137" s="68" t="e">
        <f>R137*U137</f>
        <v>#VALUE!</v>
      </c>
      <c r="W137" s="6" t="s">
        <v>93</v>
      </c>
      <c r="X137" s="70" t="e">
        <f>IF(AND(Q139-Q138=Q138-Q137,NOT(AND(Q137=0,Q138=0)),NOT(AND(Q138=0,Q139=0))),WLS*(Q139-Q138),"#NA")</f>
        <v>#VALUE!</v>
      </c>
      <c r="AD137" s="93"/>
      <c r="AH137" s="6" t="s">
        <v>93</v>
      </c>
      <c r="AI137" s="70" t="e">
        <f>WLS*(AD139-AD138)</f>
        <v>#VALUE!</v>
      </c>
      <c r="AU137" s="81"/>
    </row>
    <row r="138" spans="1:47" x14ac:dyDescent="0.25">
      <c r="A138" s="84">
        <f>A137+1</f>
        <v>21</v>
      </c>
      <c r="B138" s="84" t="str">
        <f t="shared" ref="B138:B150" si="69">VLOOKUP(A138,STN_TABLE_2,2,FALSE)</f>
        <v xml:space="preserve">  </v>
      </c>
      <c r="C138" s="80" t="e">
        <f t="shared" ref="C138" si="70">IF(OR(B140-B139=B139-B138,B140-B139=B139-B137,B140-B139=B139-B136),B139,IF(OR(B140-B138=B138-B137,B140-B138=B138-B136),B138,IF(B140-B137=B137-B136,B137,"#NA")))</f>
        <v>#VALUE!</v>
      </c>
      <c r="D138" s="76" t="e">
        <f>VLOOKUP(C138,STN_TABLE,2,FALSE)</f>
        <v>#VALUE!</v>
      </c>
      <c r="E138" s="81">
        <v>4</v>
      </c>
      <c r="F138" s="76" t="e">
        <f>D138*E138</f>
        <v>#VALUE!</v>
      </c>
      <c r="G138" s="77" t="e">
        <f>C138</f>
        <v>#VALUE!</v>
      </c>
      <c r="H138" s="77" t="e">
        <f>F138*G138</f>
        <v>#VALUE!</v>
      </c>
      <c r="I138" s="495" t="s">
        <v>97</v>
      </c>
      <c r="J138" s="496"/>
      <c r="K138" s="78" t="s">
        <v>98</v>
      </c>
      <c r="L138" s="78"/>
      <c r="M138" s="7" t="s">
        <v>99</v>
      </c>
      <c r="N138" s="7"/>
      <c r="O138" s="99">
        <f>O137+1</f>
        <v>23</v>
      </c>
      <c r="P138" s="99" t="str">
        <f t="shared" si="65"/>
        <v xml:space="preserve">  </v>
      </c>
      <c r="Q138" s="76" t="str">
        <f>P138</f>
        <v xml:space="preserve">  </v>
      </c>
      <c r="R138" s="77" t="str">
        <f>VLOOKUP(Q138,STN_TABLE,2,FALSE)</f>
        <v xml:space="preserve">  </v>
      </c>
      <c r="S138" s="77">
        <v>8</v>
      </c>
      <c r="T138" s="76" t="e">
        <f>R138*S138</f>
        <v>#VALUE!</v>
      </c>
      <c r="U138" s="80">
        <v>10</v>
      </c>
      <c r="V138" s="76" t="e">
        <f>R138*U138</f>
        <v>#VALUE!</v>
      </c>
      <c r="W138" s="496" t="s">
        <v>97</v>
      </c>
      <c r="X138" s="496"/>
      <c r="Y138" s="496" t="s">
        <v>98</v>
      </c>
      <c r="Z138" s="496"/>
      <c r="AA138" s="494" t="s">
        <v>99</v>
      </c>
      <c r="AB138" s="494"/>
      <c r="AC138" s="99">
        <f>AC133+1</f>
        <v>22</v>
      </c>
      <c r="AD138" s="95" t="str">
        <f>VLOOKUP(AC138,STN_TABLE_2,2,FALSE)</f>
        <v xml:space="preserve">  </v>
      </c>
      <c r="AE138" s="68" t="str">
        <f>VLOOKUP(AD138,STN_TABLE,2,FALSE)</f>
        <v xml:space="preserve">  </v>
      </c>
      <c r="AF138" s="68">
        <v>1</v>
      </c>
      <c r="AG138" s="69" t="e">
        <f>AE138*AF138</f>
        <v>#VALUE!</v>
      </c>
      <c r="AH138" s="496" t="s">
        <v>97</v>
      </c>
      <c r="AI138" s="496"/>
      <c r="AJ138" s="496" t="s">
        <v>98</v>
      </c>
      <c r="AK138" s="496"/>
      <c r="AL138" s="494" t="s">
        <v>99</v>
      </c>
      <c r="AM138" s="494"/>
      <c r="AP138" s="86" t="s">
        <v>112</v>
      </c>
      <c r="AQ138" s="89" t="s">
        <v>113</v>
      </c>
      <c r="AR138" s="89" t="s">
        <v>114</v>
      </c>
      <c r="AS138" s="89" t="s">
        <v>115</v>
      </c>
      <c r="AU138" s="81"/>
    </row>
    <row r="139" spans="1:47" x14ac:dyDescent="0.25">
      <c r="A139" s="84">
        <f>A138+1</f>
        <v>22</v>
      </c>
      <c r="B139" s="84" t="str">
        <f t="shared" si="69"/>
        <v xml:space="preserve">  </v>
      </c>
      <c r="C139" s="88" t="str">
        <f t="shared" ref="C139" si="71">B140</f>
        <v xml:space="preserve">  </v>
      </c>
      <c r="D139" s="82" t="str">
        <f>VLOOKUP(C139,STN_TABLE,2,FALSE)</f>
        <v xml:space="preserve">  </v>
      </c>
      <c r="E139" s="92">
        <v>1</v>
      </c>
      <c r="F139" s="82" t="e">
        <f>D139*E139</f>
        <v>#VALUE!</v>
      </c>
      <c r="G139" s="83" t="str">
        <f>C139</f>
        <v xml:space="preserve">  </v>
      </c>
      <c r="H139" s="83" t="e">
        <f>F139*G139</f>
        <v>#VALUE!</v>
      </c>
      <c r="I139" s="84" t="str">
        <f>CONCATENATE("a'(",C139,")=")</f>
        <v>a'(  )=</v>
      </c>
      <c r="J139" s="84" t="e">
        <f>2*J137/3*F140</f>
        <v>#VALUE!</v>
      </c>
      <c r="K139" s="84" t="e">
        <f>CONCATENATE("A(",C137,")=")</f>
        <v>#VALUE!</v>
      </c>
      <c r="L139" s="84" t="e">
        <f>VLOOKUP(C137,STN_TABLE,3,FALSE)</f>
        <v>#VALUE!</v>
      </c>
      <c r="M139" t="str">
        <f>CONCATENATE("A(",C139,")=")</f>
        <v>A(  )=</v>
      </c>
      <c r="N139" t="e">
        <f>J139+L139</f>
        <v>#VALUE!</v>
      </c>
      <c r="O139" s="99">
        <f>O138+1</f>
        <v>24</v>
      </c>
      <c r="P139" s="99" t="str">
        <f t="shared" si="65"/>
        <v xml:space="preserve">  </v>
      </c>
      <c r="Q139" s="82" t="e">
        <f>IF(P139-P138=P138-P137,P139,IF(P140-P138=P138-P137,P140,IF(P139-P138=P138-P136,P139,IF(P140-P138=P138-P136,P140,"-"))))</f>
        <v>#VALUE!</v>
      </c>
      <c r="R139" s="83" t="e">
        <f>VLOOKUP(Q139,STN_TABLE,2,FALSE)</f>
        <v>#VALUE!</v>
      </c>
      <c r="S139" s="83">
        <v>-1</v>
      </c>
      <c r="T139" s="82" t="e">
        <f>R139*S139</f>
        <v>#VALUE!</v>
      </c>
      <c r="U139" s="88">
        <v>-1</v>
      </c>
      <c r="V139" s="82" t="e">
        <f>R139*U139</f>
        <v>#VALUE!</v>
      </c>
      <c r="W139" s="84" t="str">
        <f>CONCATENATE("a'(",Q138,")=")</f>
        <v>a'(  )=</v>
      </c>
      <c r="X139" s="84" t="e">
        <f>2*X137/12*T140</f>
        <v>#VALUE!</v>
      </c>
      <c r="Y139" s="84" t="e">
        <f>CONCATENATE("A(",Q137,")=")</f>
        <v>#VALUE!</v>
      </c>
      <c r="Z139" s="84" t="e">
        <f>VLOOKUP(Q137,STN_TABLE,3,FALSE)</f>
        <v>#VALUE!</v>
      </c>
      <c r="AA139" t="str">
        <f>CONCATENATE("A(",Q138,")=")</f>
        <v>A(  )=</v>
      </c>
      <c r="AB139" t="e">
        <f>X139+Z139</f>
        <v>#VALUE!</v>
      </c>
      <c r="AC139" s="99">
        <f>AC138+1</f>
        <v>23</v>
      </c>
      <c r="AD139" s="100" t="str">
        <f>VLOOKUP(AC139,STN_TABLE_2,2,FALSE)</f>
        <v xml:space="preserve">  </v>
      </c>
      <c r="AE139" s="82" t="str">
        <f>VLOOKUP(AD139,STN_TABLE,2,FALSE)</f>
        <v xml:space="preserve">  </v>
      </c>
      <c r="AF139" s="82">
        <v>2</v>
      </c>
      <c r="AG139" s="83" t="e">
        <f>AE139*AF139</f>
        <v>#VALUE!</v>
      </c>
      <c r="AH139" s="84" t="str">
        <f>CONCATENATE("a'(",AD139,")=")</f>
        <v>a'(  )=</v>
      </c>
      <c r="AI139" s="84" t="e">
        <f>2*AI137/2*AE140</f>
        <v>#VALUE!</v>
      </c>
      <c r="AJ139" s="84" t="str">
        <f>CONCATENATE("A(",AD138,")=")</f>
        <v>A(  )=</v>
      </c>
      <c r="AK139" s="84" t="str">
        <f>VLOOKUP(AD138,STN_TABLE,3,FALSE)</f>
        <v xml:space="preserve"> </v>
      </c>
      <c r="AL139" t="str">
        <f>CONCATENATE("A(",AD139,")=")</f>
        <v>A(  )=</v>
      </c>
      <c r="AM139" t="e">
        <f>AI139+AK139</f>
        <v>#VALUE!</v>
      </c>
      <c r="AO139" s="68" t="str">
        <f>AA139</f>
        <v>A(  )=</v>
      </c>
      <c r="AP139" s="68" t="e">
        <f>VLOOKUP(AO139,Rise_Results,2,FALSE)</f>
        <v>#N/A</v>
      </c>
      <c r="AQ139" s="76" t="e">
        <f>N139</f>
        <v>#VALUE!</v>
      </c>
      <c r="AR139" s="76" t="e">
        <f>IF(OR(AB139&lt;=0,AB140&lt;=0),1/0,AB139)</f>
        <v>#VALUE!</v>
      </c>
      <c r="AS139" s="76" t="e">
        <f>AM139</f>
        <v>#VALUE!</v>
      </c>
      <c r="AT139" t="e">
        <f>IFERROR(AP139,IFERROR(AQ139,IFERROR(AR139,AS139)))</f>
        <v>#VALUE!</v>
      </c>
      <c r="AU139" s="81"/>
    </row>
    <row r="140" spans="1:47" x14ac:dyDescent="0.25">
      <c r="A140" s="84">
        <f>A139+1</f>
        <v>23</v>
      </c>
      <c r="B140" s="84" t="str">
        <f t="shared" si="69"/>
        <v xml:space="preserve">  </v>
      </c>
      <c r="F140" s="82" t="e">
        <f>SUM(F137:F139)</f>
        <v>#VALUE!</v>
      </c>
      <c r="H140" s="82" t="e">
        <f>SUM(H137:H139)</f>
        <v>#VALUE!</v>
      </c>
      <c r="I140" s="84" t="str">
        <f>CONCATENATE("m'(",C139,")=")</f>
        <v>m'(  )=</v>
      </c>
      <c r="J140" s="84" t="e">
        <f>2*(J137*(WLS))/3*H140</f>
        <v>#VALUE!</v>
      </c>
      <c r="K140" s="84" t="e">
        <f>CONCATENATE("M(",C137,")=")</f>
        <v>#VALUE!</v>
      </c>
      <c r="L140" s="84" t="e">
        <f>VLOOKUP(C137,STN_TABLE,4,FALSE)</f>
        <v>#VALUE!</v>
      </c>
      <c r="M140" t="str">
        <f>CONCATENATE("M(",C139,")=")</f>
        <v>M(  )=</v>
      </c>
      <c r="N140" t="e">
        <f>J140+L140</f>
        <v>#VALUE!</v>
      </c>
      <c r="O140" s="99">
        <f>O139+1</f>
        <v>25</v>
      </c>
      <c r="P140" s="99" t="str">
        <f t="shared" si="65"/>
        <v xml:space="preserve">  </v>
      </c>
      <c r="T140" s="89" t="e">
        <f>SUM(T137:T139)</f>
        <v>#VALUE!</v>
      </c>
      <c r="V140" s="82" t="e">
        <f>SUM(V137:V139)</f>
        <v>#VALUE!</v>
      </c>
      <c r="W140" s="84" t="str">
        <f>CONCATENATE("m'(",Q138,")=")</f>
        <v>m'(  )=</v>
      </c>
      <c r="X140" s="84" t="e">
        <f>(2*(X137^2)/24*V140)+(X139*Q137*WLS)</f>
        <v>#VALUE!</v>
      </c>
      <c r="Y140" s="84" t="e">
        <f>CONCATENATE("M(",Q137,")=")</f>
        <v>#VALUE!</v>
      </c>
      <c r="Z140" s="84" t="e">
        <f>VLOOKUP(Q137,STN_TABLE,4,FALSE)</f>
        <v>#VALUE!</v>
      </c>
      <c r="AA140" t="str">
        <f>CONCATENATE("M(",Q138,")=")</f>
        <v>M(  )=</v>
      </c>
      <c r="AB140" t="e">
        <f>X140+Z140</f>
        <v>#VALUE!</v>
      </c>
      <c r="AE140" s="89">
        <f>SUM(AE138:AE139)</f>
        <v>0</v>
      </c>
      <c r="AG140" s="89" t="e">
        <f>SUM(AG138:AG139)</f>
        <v>#VALUE!</v>
      </c>
      <c r="AH140" s="84" t="str">
        <f>CONCATENATE("m'(",AD139,")=")</f>
        <v>m'(  )=</v>
      </c>
      <c r="AI140" s="84" t="e">
        <f>(2*(AI137^2)/6*AG140)+(AI139*AD138*WLS)</f>
        <v>#VALUE!</v>
      </c>
      <c r="AJ140" s="84" t="str">
        <f>CONCATENATE("M(",AD138,")=")</f>
        <v>M(  )=</v>
      </c>
      <c r="AK140" s="84" t="str">
        <f>VLOOKUP(AD138,STN_TABLE,4,FALSE)</f>
        <v xml:space="preserve"> </v>
      </c>
      <c r="AL140" t="str">
        <f>CONCATENATE("M(",AD139,")=")</f>
        <v>M(  )=</v>
      </c>
      <c r="AM140" t="e">
        <f>AI140+AK140</f>
        <v>#VALUE!</v>
      </c>
      <c r="AO140" s="82" t="str">
        <f>AA140</f>
        <v>M(  )=</v>
      </c>
      <c r="AP140" s="82" t="e">
        <f>VLOOKUP(AO140,Rise_Results,2,FALSE)</f>
        <v>#N/A</v>
      </c>
      <c r="AQ140" s="82" t="e">
        <f>N140</f>
        <v>#VALUE!</v>
      </c>
      <c r="AR140" s="82" t="e">
        <f>IF(OR(AB139&lt;=0,AB140&lt;=0),1/0,AB140)</f>
        <v>#VALUE!</v>
      </c>
      <c r="AS140" s="82" t="e">
        <f>AM140</f>
        <v>#VALUE!</v>
      </c>
      <c r="AT140" t="e">
        <f>IFERROR(AP140,IFERROR(AQ140,IFERROR(AR140,AS140)))</f>
        <v>#VALUE!</v>
      </c>
      <c r="AU140" s="81"/>
    </row>
    <row r="141" spans="1:47" x14ac:dyDescent="0.25">
      <c r="A141" s="101">
        <f>A136+1</f>
        <v>20</v>
      </c>
      <c r="B141" s="101" t="str">
        <f t="shared" si="69"/>
        <v xml:space="preserve">  </v>
      </c>
      <c r="O141" s="101">
        <f>O136+1</f>
        <v>22</v>
      </c>
      <c r="P141" s="101" t="str">
        <f t="shared" si="65"/>
        <v xml:space="preserve">  </v>
      </c>
      <c r="AU141" s="81"/>
    </row>
    <row r="142" spans="1:47" x14ac:dyDescent="0.25">
      <c r="A142" s="84">
        <f>A141+1</f>
        <v>21</v>
      </c>
      <c r="B142" s="84" t="str">
        <f t="shared" si="69"/>
        <v xml:space="preserve">  </v>
      </c>
      <c r="C142" s="79" t="e">
        <f t="shared" ref="C142" si="72">IF(C143=B144,IF(C144-C143=C143-B143,B143,IF(C144-C143=C143-B142,B142,"#NA")),IF(C143=B143,IF(C144-C143=C143-B142,B142,IF(C144-C143=C143-B141,B141,"#NA")),"#NA"))</f>
        <v>#VALUE!</v>
      </c>
      <c r="D142" s="68" t="e">
        <f>VLOOKUP(C142,STN_TABLE,2,FALSE)</f>
        <v>#VALUE!</v>
      </c>
      <c r="E142" s="102">
        <v>1</v>
      </c>
      <c r="F142" s="68" t="e">
        <f>D142*E142</f>
        <v>#VALUE!</v>
      </c>
      <c r="G142" s="69" t="e">
        <f>C142</f>
        <v>#VALUE!</v>
      </c>
      <c r="H142" s="69" t="e">
        <f>F142*G142</f>
        <v>#VALUE!</v>
      </c>
      <c r="I142" s="6" t="s">
        <v>93</v>
      </c>
      <c r="J142" s="70" t="e">
        <f>IF(OR(D142=0,D143=0,D144=0),"#NA",IF(AND(C144-C143=C143-C142,C143&lt;&gt;C144,C142&lt;&gt;C143,C142&lt;&gt;C144,D144&lt;&gt;0,OR(D142&lt;&gt;0,D143&lt;&gt;0)),WLS*(C144-C143),"#NA"))</f>
        <v>#VALUE!</v>
      </c>
      <c r="O142" s="99">
        <f>O141+1</f>
        <v>23</v>
      </c>
      <c r="P142" s="99" t="str">
        <f t="shared" si="65"/>
        <v xml:space="preserve">  </v>
      </c>
      <c r="Q142" s="68" t="e">
        <f>IF(OR(P144-P143=P143-P142,P145-P143=P143-P142),P142,IF(OR(P144-P143=P143-P141,P145-P143=P143-P141),P141,"-"))</f>
        <v>#VALUE!</v>
      </c>
      <c r="R142" s="69" t="e">
        <f>VLOOKUP(Q142,STN_TABLE,2,FALSE)</f>
        <v>#VALUE!</v>
      </c>
      <c r="S142" s="69">
        <v>5</v>
      </c>
      <c r="T142" s="68" t="e">
        <f>R142*S142</f>
        <v>#VALUE!</v>
      </c>
      <c r="U142" s="79">
        <v>3</v>
      </c>
      <c r="V142" s="68" t="e">
        <f>R142*U142</f>
        <v>#VALUE!</v>
      </c>
      <c r="W142" s="6" t="s">
        <v>93</v>
      </c>
      <c r="X142" s="70" t="e">
        <f>IF(AND(Q144-Q143=Q143-Q142,NOT(AND(Q142=0,Q143=0)),NOT(AND(Q143=0,Q144=0))),WLS*(Q144-Q143),"#NA")</f>
        <v>#VALUE!</v>
      </c>
      <c r="AD142" s="93"/>
      <c r="AH142" s="6" t="s">
        <v>93</v>
      </c>
      <c r="AI142" s="70" t="e">
        <f>WLS*(AD144-AD143)</f>
        <v>#VALUE!</v>
      </c>
      <c r="AU142" s="81"/>
    </row>
    <row r="143" spans="1:47" x14ac:dyDescent="0.25">
      <c r="A143" s="84">
        <f>A142+1</f>
        <v>22</v>
      </c>
      <c r="B143" s="84" t="str">
        <f t="shared" si="69"/>
        <v xml:space="preserve">  </v>
      </c>
      <c r="C143" s="80" t="e">
        <f t="shared" ref="C143" si="73">IF(OR(B145-B144=B144-B143,B145-B144=B144-B142,B145-B144=B144-B141),B144,IF(OR(B145-B143=B143-B142,B145-B143=B143-B141),B143,IF(B145-B142=B142-B141,B142,"#NA")))</f>
        <v>#VALUE!</v>
      </c>
      <c r="D143" s="76" t="e">
        <f>VLOOKUP(C143,STN_TABLE,2,FALSE)</f>
        <v>#VALUE!</v>
      </c>
      <c r="E143" s="81">
        <v>4</v>
      </c>
      <c r="F143" s="76" t="e">
        <f>D143*E143</f>
        <v>#VALUE!</v>
      </c>
      <c r="G143" s="77" t="e">
        <f>C143</f>
        <v>#VALUE!</v>
      </c>
      <c r="H143" s="77" t="e">
        <f>F143*G143</f>
        <v>#VALUE!</v>
      </c>
      <c r="I143" s="495" t="s">
        <v>97</v>
      </c>
      <c r="J143" s="496"/>
      <c r="K143" s="78" t="s">
        <v>98</v>
      </c>
      <c r="L143" s="78"/>
      <c r="M143" s="7" t="s">
        <v>99</v>
      </c>
      <c r="N143" s="7"/>
      <c r="O143" s="99">
        <f>O142+1</f>
        <v>24</v>
      </c>
      <c r="P143" s="99" t="str">
        <f t="shared" si="65"/>
        <v xml:space="preserve">  </v>
      </c>
      <c r="Q143" s="76" t="str">
        <f>P143</f>
        <v xml:space="preserve">  </v>
      </c>
      <c r="R143" s="77" t="str">
        <f>VLOOKUP(Q143,STN_TABLE,2,FALSE)</f>
        <v xml:space="preserve">  </v>
      </c>
      <c r="S143" s="77">
        <v>8</v>
      </c>
      <c r="T143" s="76" t="e">
        <f>R143*S143</f>
        <v>#VALUE!</v>
      </c>
      <c r="U143" s="80">
        <v>10</v>
      </c>
      <c r="V143" s="76" t="e">
        <f>R143*U143</f>
        <v>#VALUE!</v>
      </c>
      <c r="W143" s="496" t="s">
        <v>97</v>
      </c>
      <c r="X143" s="496"/>
      <c r="Y143" s="496" t="s">
        <v>98</v>
      </c>
      <c r="Z143" s="496"/>
      <c r="AA143" s="494" t="s">
        <v>99</v>
      </c>
      <c r="AB143" s="494"/>
      <c r="AC143" s="99">
        <f>AC138+1</f>
        <v>23</v>
      </c>
      <c r="AD143" s="95" t="str">
        <f>VLOOKUP(AC143,STN_TABLE_2,2,FALSE)</f>
        <v xml:space="preserve">  </v>
      </c>
      <c r="AE143" s="68" t="str">
        <f>VLOOKUP(AD143,STN_TABLE,2,FALSE)</f>
        <v xml:space="preserve">  </v>
      </c>
      <c r="AF143" s="68">
        <v>1</v>
      </c>
      <c r="AG143" s="69" t="e">
        <f>AE143*AF143</f>
        <v>#VALUE!</v>
      </c>
      <c r="AH143" s="496" t="s">
        <v>97</v>
      </c>
      <c r="AI143" s="496"/>
      <c r="AJ143" s="496" t="s">
        <v>98</v>
      </c>
      <c r="AK143" s="496"/>
      <c r="AL143" s="494" t="s">
        <v>99</v>
      </c>
      <c r="AM143" s="494"/>
      <c r="AP143" s="86" t="s">
        <v>112</v>
      </c>
      <c r="AQ143" s="89" t="s">
        <v>113</v>
      </c>
      <c r="AR143" s="89" t="s">
        <v>114</v>
      </c>
      <c r="AS143" s="89" t="s">
        <v>115</v>
      </c>
      <c r="AU143" s="81"/>
    </row>
    <row r="144" spans="1:47" x14ac:dyDescent="0.25">
      <c r="A144" s="84">
        <f>A143+1</f>
        <v>23</v>
      </c>
      <c r="B144" s="84" t="str">
        <f t="shared" si="69"/>
        <v xml:space="preserve">  </v>
      </c>
      <c r="C144" s="88" t="str">
        <f t="shared" ref="C144" si="74">B145</f>
        <v xml:space="preserve">  </v>
      </c>
      <c r="D144" s="82" t="str">
        <f>VLOOKUP(C144,STN_TABLE,2,FALSE)</f>
        <v xml:space="preserve">  </v>
      </c>
      <c r="E144" s="92">
        <v>1</v>
      </c>
      <c r="F144" s="82" t="e">
        <f>D144*E144</f>
        <v>#VALUE!</v>
      </c>
      <c r="G144" s="83" t="str">
        <f>C144</f>
        <v xml:space="preserve">  </v>
      </c>
      <c r="H144" s="83" t="e">
        <f>F144*G144</f>
        <v>#VALUE!</v>
      </c>
      <c r="I144" s="84" t="str">
        <f>CONCATENATE("a'(",C144,")=")</f>
        <v>a'(  )=</v>
      </c>
      <c r="J144" s="84" t="e">
        <f>2*J142/3*F145</f>
        <v>#VALUE!</v>
      </c>
      <c r="K144" s="84" t="e">
        <f>CONCATENATE("A(",C142,")=")</f>
        <v>#VALUE!</v>
      </c>
      <c r="L144" s="84" t="e">
        <f>VLOOKUP(C142,STN_TABLE,3,FALSE)</f>
        <v>#VALUE!</v>
      </c>
      <c r="M144" t="str">
        <f>CONCATENATE("A(",C144,")=")</f>
        <v>A(  )=</v>
      </c>
      <c r="N144" t="e">
        <f>J144+L144</f>
        <v>#VALUE!</v>
      </c>
      <c r="O144" s="99">
        <f>O143+1</f>
        <v>25</v>
      </c>
      <c r="P144" s="99" t="str">
        <f t="shared" si="65"/>
        <v xml:space="preserve">  </v>
      </c>
      <c r="Q144" s="82" t="e">
        <f>IF(P144-P143=P143-P142,P144,IF(P145-P143=P143-P142,P145,IF(P144-P143=P143-P141,P144,IF(P145-P143=P143-P141,P145,"-"))))</f>
        <v>#VALUE!</v>
      </c>
      <c r="R144" s="83" t="e">
        <f>VLOOKUP(Q144,STN_TABLE,2,FALSE)</f>
        <v>#VALUE!</v>
      </c>
      <c r="S144" s="83">
        <v>-1</v>
      </c>
      <c r="T144" s="82" t="e">
        <f>R144*S144</f>
        <v>#VALUE!</v>
      </c>
      <c r="U144" s="88">
        <v>-1</v>
      </c>
      <c r="V144" s="82" t="e">
        <f>R144*U144</f>
        <v>#VALUE!</v>
      </c>
      <c r="W144" s="84" t="str">
        <f>CONCATENATE("a'(",Q143,")=")</f>
        <v>a'(  )=</v>
      </c>
      <c r="X144" s="84" t="e">
        <f>2*X142/12*T145</f>
        <v>#VALUE!</v>
      </c>
      <c r="Y144" s="84" t="e">
        <f>CONCATENATE("A(",Q142,")=")</f>
        <v>#VALUE!</v>
      </c>
      <c r="Z144" s="84" t="e">
        <f>VLOOKUP(Q142,STN_TABLE,3,FALSE)</f>
        <v>#VALUE!</v>
      </c>
      <c r="AA144" t="str">
        <f>CONCATENATE("A(",Q143,")=")</f>
        <v>A(  )=</v>
      </c>
      <c r="AB144" t="e">
        <f>X144+Z144</f>
        <v>#VALUE!</v>
      </c>
      <c r="AC144" s="99">
        <f>AC143+1</f>
        <v>24</v>
      </c>
      <c r="AD144" s="100" t="str">
        <f>VLOOKUP(AC144,STN_TABLE_2,2,FALSE)</f>
        <v xml:space="preserve">  </v>
      </c>
      <c r="AE144" s="82" t="str">
        <f>VLOOKUP(AD144,STN_TABLE,2,FALSE)</f>
        <v xml:space="preserve">  </v>
      </c>
      <c r="AF144" s="82">
        <v>2</v>
      </c>
      <c r="AG144" s="83" t="e">
        <f>AE144*AF144</f>
        <v>#VALUE!</v>
      </c>
      <c r="AH144" s="84" t="str">
        <f>CONCATENATE("a'(",AD144,")=")</f>
        <v>a'(  )=</v>
      </c>
      <c r="AI144" s="84" t="e">
        <f>2*AI142/2*AE145</f>
        <v>#VALUE!</v>
      </c>
      <c r="AJ144" s="84" t="str">
        <f>CONCATENATE("A(",AD143,")=")</f>
        <v>A(  )=</v>
      </c>
      <c r="AK144" s="84" t="str">
        <f>VLOOKUP(AD143,STN_TABLE,3,FALSE)</f>
        <v xml:space="preserve"> </v>
      </c>
      <c r="AL144" t="str">
        <f>CONCATENATE("A(",AD144,")=")</f>
        <v>A(  )=</v>
      </c>
      <c r="AM144" t="e">
        <f>AI144+AK144</f>
        <v>#VALUE!</v>
      </c>
      <c r="AO144" s="68" t="str">
        <f>AA144</f>
        <v>A(  )=</v>
      </c>
      <c r="AP144" s="68" t="e">
        <f>VLOOKUP(AO144,Rise_Results,2,FALSE)</f>
        <v>#N/A</v>
      </c>
      <c r="AQ144" s="76" t="e">
        <f>N144</f>
        <v>#VALUE!</v>
      </c>
      <c r="AR144" s="76" t="e">
        <f>IF(OR(AB144&lt;=0,AB145&lt;=0),1/0,AB144)</f>
        <v>#VALUE!</v>
      </c>
      <c r="AS144" s="76" t="e">
        <f>AM144</f>
        <v>#VALUE!</v>
      </c>
      <c r="AT144" t="e">
        <f>IFERROR(AP144,IFERROR(AQ144,IFERROR(AR144,AS144)))</f>
        <v>#VALUE!</v>
      </c>
      <c r="AU144" s="81"/>
    </row>
    <row r="145" spans="1:47" x14ac:dyDescent="0.25">
      <c r="A145" s="84">
        <f>A144+1</f>
        <v>24</v>
      </c>
      <c r="B145" s="84" t="str">
        <f t="shared" si="69"/>
        <v xml:space="preserve">  </v>
      </c>
      <c r="F145" s="82" t="e">
        <f>SUM(F142:F144)</f>
        <v>#VALUE!</v>
      </c>
      <c r="H145" s="82" t="e">
        <f>SUM(H142:H144)</f>
        <v>#VALUE!</v>
      </c>
      <c r="I145" s="84" t="str">
        <f>CONCATENATE("m'(",C144,")=")</f>
        <v>m'(  )=</v>
      </c>
      <c r="J145" s="84" t="e">
        <f>2*(J142*(WLS))/3*H145</f>
        <v>#VALUE!</v>
      </c>
      <c r="K145" s="84" t="e">
        <f>CONCATENATE("M(",C142,")=")</f>
        <v>#VALUE!</v>
      </c>
      <c r="L145" s="84" t="e">
        <f>VLOOKUP(C142,STN_TABLE,4,FALSE)</f>
        <v>#VALUE!</v>
      </c>
      <c r="M145" t="str">
        <f>CONCATENATE("M(",C144,")=")</f>
        <v>M(  )=</v>
      </c>
      <c r="N145" t="e">
        <f>J145+L145</f>
        <v>#VALUE!</v>
      </c>
      <c r="O145" s="99">
        <f>O144+1</f>
        <v>26</v>
      </c>
      <c r="P145" s="99" t="e">
        <f t="shared" si="65"/>
        <v>#N/A</v>
      </c>
      <c r="T145" s="89" t="e">
        <f>SUM(T142:T144)</f>
        <v>#VALUE!</v>
      </c>
      <c r="V145" s="82" t="e">
        <f>SUM(V142:V144)</f>
        <v>#VALUE!</v>
      </c>
      <c r="W145" s="84" t="str">
        <f>CONCATENATE("m'(",Q143,")=")</f>
        <v>m'(  )=</v>
      </c>
      <c r="X145" s="84" t="e">
        <f>(2*(X142^2)/24*V145)+(X144*Q142*WLS)</f>
        <v>#VALUE!</v>
      </c>
      <c r="Y145" s="84" t="e">
        <f>CONCATENATE("M(",Q142,")=")</f>
        <v>#VALUE!</v>
      </c>
      <c r="Z145" s="84" t="e">
        <f>VLOOKUP(Q142,STN_TABLE,4,FALSE)</f>
        <v>#VALUE!</v>
      </c>
      <c r="AA145" t="str">
        <f>CONCATENATE("M(",Q143,")=")</f>
        <v>M(  )=</v>
      </c>
      <c r="AB145" t="e">
        <f>X145+Z145</f>
        <v>#VALUE!</v>
      </c>
      <c r="AE145" s="89">
        <f>SUM(AE143:AE144)</f>
        <v>0</v>
      </c>
      <c r="AG145" s="89" t="e">
        <f>SUM(AG143:AG144)</f>
        <v>#VALUE!</v>
      </c>
      <c r="AH145" s="84" t="str">
        <f>CONCATENATE("m'(",AD144,")=")</f>
        <v>m'(  )=</v>
      </c>
      <c r="AI145" s="84" t="e">
        <f>(2*(AI142^2)/6*AG145)+(AI144*AD143*WLS)</f>
        <v>#VALUE!</v>
      </c>
      <c r="AJ145" s="84" t="str">
        <f>CONCATENATE("M(",AD143,")=")</f>
        <v>M(  )=</v>
      </c>
      <c r="AK145" s="84" t="str">
        <f>VLOOKUP(AD143,STN_TABLE,4,FALSE)</f>
        <v xml:space="preserve"> </v>
      </c>
      <c r="AL145" t="str">
        <f>CONCATENATE("M(",AD144,")=")</f>
        <v>M(  )=</v>
      </c>
      <c r="AM145" t="e">
        <f>AI145+AK145</f>
        <v>#VALUE!</v>
      </c>
      <c r="AO145" s="82" t="str">
        <f>AA145</f>
        <v>M(  )=</v>
      </c>
      <c r="AP145" s="82" t="e">
        <f>VLOOKUP(AO145,Rise_Results,2,FALSE)</f>
        <v>#N/A</v>
      </c>
      <c r="AQ145" s="82" t="e">
        <f>N145</f>
        <v>#VALUE!</v>
      </c>
      <c r="AR145" s="82" t="e">
        <f>IF(OR(AB144&lt;=0,AB145&lt;=0),1/0,AB145)</f>
        <v>#VALUE!</v>
      </c>
      <c r="AS145" s="82" t="e">
        <f>AM145</f>
        <v>#VALUE!</v>
      </c>
      <c r="AT145" t="e">
        <f>IFERROR(AP145,IFERROR(AQ145,IFERROR(AR145,AS145)))</f>
        <v>#VALUE!</v>
      </c>
      <c r="AU145" s="81"/>
    </row>
    <row r="146" spans="1:47" x14ac:dyDescent="0.25">
      <c r="A146" s="101">
        <f>A141+1</f>
        <v>21</v>
      </c>
      <c r="B146" s="101" t="str">
        <f t="shared" si="69"/>
        <v xml:space="preserve">  </v>
      </c>
      <c r="O146" s="101">
        <f>O141+1</f>
        <v>23</v>
      </c>
      <c r="P146" s="101" t="str">
        <f t="shared" si="65"/>
        <v xml:space="preserve">  </v>
      </c>
      <c r="AU146" s="81"/>
    </row>
    <row r="147" spans="1:47" x14ac:dyDescent="0.25">
      <c r="A147" s="84">
        <f>A146+1</f>
        <v>22</v>
      </c>
      <c r="B147" s="84" t="str">
        <f t="shared" si="69"/>
        <v xml:space="preserve">  </v>
      </c>
      <c r="C147" s="79" t="e">
        <f t="shared" ref="C147" si="75">IF(C148=B149,IF(C149-C148=C148-B148,B148,IF(C149-C148=C148-B147,B147,"#NA")),IF(C148=B148,IF(C149-C148=C148-B147,B147,IF(C149-C148=C148-B146,B146,"#NA")),"#NA"))</f>
        <v>#VALUE!</v>
      </c>
      <c r="D147" s="68" t="e">
        <f>VLOOKUP(C147,STN_TABLE,2,FALSE)</f>
        <v>#VALUE!</v>
      </c>
      <c r="E147" s="102">
        <v>1</v>
      </c>
      <c r="F147" s="68" t="e">
        <f>D147*E147</f>
        <v>#VALUE!</v>
      </c>
      <c r="G147" s="69" t="e">
        <f>C147</f>
        <v>#VALUE!</v>
      </c>
      <c r="H147" s="69" t="e">
        <f>F147*G147</f>
        <v>#VALUE!</v>
      </c>
      <c r="I147" s="6" t="s">
        <v>93</v>
      </c>
      <c r="J147" s="70" t="e">
        <f>IF(OR(D147=0,D148=0,D149=0),"#NA",IF(AND(C149-C148=C148-C147,C148&lt;&gt;C149,C147&lt;&gt;C148,C147&lt;&gt;C149,D149&lt;&gt;0,OR(D147&lt;&gt;0,D148&lt;&gt;0)),WLS*(C149-C148),"#NA"))</f>
        <v>#VALUE!</v>
      </c>
      <c r="O147" s="99">
        <f>O146+1</f>
        <v>24</v>
      </c>
      <c r="P147" s="99" t="str">
        <f t="shared" si="65"/>
        <v xml:space="preserve">  </v>
      </c>
      <c r="Q147" s="68" t="e">
        <f>IF(OR(P149-P148=P148-P147,P150-P148=P148-P147),P147,IF(OR(P149-P148=P148-P146,P150-P148=P148-P146),P146,"-"))</f>
        <v>#N/A</v>
      </c>
      <c r="R147" s="69" t="e">
        <f>VLOOKUP(Q147,STN_TABLE,2,FALSE)</f>
        <v>#N/A</v>
      </c>
      <c r="S147" s="69">
        <v>5</v>
      </c>
      <c r="T147" s="68" t="e">
        <f>R147*S147</f>
        <v>#N/A</v>
      </c>
      <c r="U147" s="79">
        <v>3</v>
      </c>
      <c r="V147" s="68" t="e">
        <f>R147*U147</f>
        <v>#N/A</v>
      </c>
      <c r="W147" s="6" t="s">
        <v>93</v>
      </c>
      <c r="X147" s="70" t="e">
        <f>IF(AND(Q149-Q148=Q148-Q147,NOT(AND(Q147=0,Q148=0)),NOT(AND(Q148=0,Q149=0))),WLS*(Q149-Q148),"#NA")</f>
        <v>#N/A</v>
      </c>
      <c r="AD147" s="93"/>
      <c r="AH147" s="6" t="s">
        <v>93</v>
      </c>
      <c r="AI147" s="70" t="e">
        <f>WLS*(AD149-AD148)</f>
        <v>#VALUE!</v>
      </c>
      <c r="AU147" s="81"/>
    </row>
    <row r="148" spans="1:47" x14ac:dyDescent="0.25">
      <c r="A148" s="84">
        <f>A147+1</f>
        <v>23</v>
      </c>
      <c r="B148" s="84" t="str">
        <f t="shared" si="69"/>
        <v xml:space="preserve">  </v>
      </c>
      <c r="C148" s="80" t="e">
        <f t="shared" ref="C148" si="76">IF(OR(B150-B149=B149-B148,B150-B149=B149-B147,B150-B149=B149-B146),B149,IF(OR(B150-B148=B148-B147,B150-B148=B148-B146),B148,IF(B150-B147=B147-B146,B147,"#NA")))</f>
        <v>#VALUE!</v>
      </c>
      <c r="D148" s="76" t="e">
        <f>VLOOKUP(C148,STN_TABLE,2,FALSE)</f>
        <v>#VALUE!</v>
      </c>
      <c r="E148" s="81">
        <v>4</v>
      </c>
      <c r="F148" s="76" t="e">
        <f>D148*E148</f>
        <v>#VALUE!</v>
      </c>
      <c r="G148" s="77" t="e">
        <f>C148</f>
        <v>#VALUE!</v>
      </c>
      <c r="H148" s="77" t="e">
        <f>F148*G148</f>
        <v>#VALUE!</v>
      </c>
      <c r="I148" s="495" t="s">
        <v>97</v>
      </c>
      <c r="J148" s="496"/>
      <c r="K148" s="78" t="s">
        <v>98</v>
      </c>
      <c r="L148" s="78"/>
      <c r="M148" s="7" t="s">
        <v>99</v>
      </c>
      <c r="N148" s="7"/>
      <c r="O148" s="99">
        <f>O147+1</f>
        <v>25</v>
      </c>
      <c r="P148" s="99" t="str">
        <f t="shared" si="65"/>
        <v xml:space="preserve">  </v>
      </c>
      <c r="Q148" s="76" t="str">
        <f>P148</f>
        <v xml:space="preserve">  </v>
      </c>
      <c r="R148" s="77" t="str">
        <f>VLOOKUP(Q148,STN_TABLE,2,FALSE)</f>
        <v xml:space="preserve">  </v>
      </c>
      <c r="S148" s="77">
        <v>8</v>
      </c>
      <c r="T148" s="76" t="e">
        <f>R148*S148</f>
        <v>#VALUE!</v>
      </c>
      <c r="U148" s="80">
        <v>10</v>
      </c>
      <c r="V148" s="76" t="e">
        <f>R148*U148</f>
        <v>#VALUE!</v>
      </c>
      <c r="W148" s="496" t="s">
        <v>97</v>
      </c>
      <c r="X148" s="496"/>
      <c r="Y148" s="496" t="s">
        <v>98</v>
      </c>
      <c r="Z148" s="496"/>
      <c r="AA148" s="494" t="s">
        <v>99</v>
      </c>
      <c r="AB148" s="494"/>
      <c r="AC148" s="99">
        <f>AC143+1</f>
        <v>24</v>
      </c>
      <c r="AD148" s="95" t="str">
        <f>VLOOKUP(AC148,STN_TABLE_2,2,FALSE)</f>
        <v xml:space="preserve">  </v>
      </c>
      <c r="AE148" s="68" t="str">
        <f>VLOOKUP(AD148,STN_TABLE,2,FALSE)</f>
        <v xml:space="preserve">  </v>
      </c>
      <c r="AF148" s="68">
        <v>1</v>
      </c>
      <c r="AG148" s="69" t="e">
        <f>AE148*AF148</f>
        <v>#VALUE!</v>
      </c>
      <c r="AH148" s="496" t="s">
        <v>97</v>
      </c>
      <c r="AI148" s="496"/>
      <c r="AJ148" s="496" t="s">
        <v>98</v>
      </c>
      <c r="AK148" s="496"/>
      <c r="AL148" s="494" t="s">
        <v>99</v>
      </c>
      <c r="AM148" s="494"/>
      <c r="AP148" s="86" t="s">
        <v>112</v>
      </c>
      <c r="AQ148" s="89" t="s">
        <v>113</v>
      </c>
      <c r="AR148" s="89" t="s">
        <v>114</v>
      </c>
      <c r="AS148" s="89" t="s">
        <v>115</v>
      </c>
      <c r="AU148" s="81"/>
    </row>
    <row r="149" spans="1:47" x14ac:dyDescent="0.25">
      <c r="A149" s="84">
        <f>A148+1</f>
        <v>24</v>
      </c>
      <c r="B149" s="84" t="str">
        <f t="shared" si="69"/>
        <v xml:space="preserve">  </v>
      </c>
      <c r="C149" s="88" t="str">
        <f t="shared" ref="C149" si="77">B150</f>
        <v xml:space="preserve">  </v>
      </c>
      <c r="D149" s="82" t="str">
        <f>VLOOKUP(C149,STN_TABLE,2,FALSE)</f>
        <v xml:space="preserve">  </v>
      </c>
      <c r="E149" s="92">
        <v>1</v>
      </c>
      <c r="F149" s="82" t="e">
        <f>D149*E149</f>
        <v>#VALUE!</v>
      </c>
      <c r="G149" s="83" t="str">
        <f>C149</f>
        <v xml:space="preserve">  </v>
      </c>
      <c r="H149" s="83" t="e">
        <f>F149*G149</f>
        <v>#VALUE!</v>
      </c>
      <c r="I149" s="84" t="str">
        <f>CONCATENATE("a'(",C149,")=")</f>
        <v>a'(  )=</v>
      </c>
      <c r="J149" s="84" t="e">
        <f>2*J147/3*F150</f>
        <v>#VALUE!</v>
      </c>
      <c r="K149" s="84" t="e">
        <f>CONCATENATE("A(",C147,")=")</f>
        <v>#VALUE!</v>
      </c>
      <c r="L149" s="84" t="e">
        <f>VLOOKUP(C147,STN_TABLE,3,FALSE)</f>
        <v>#VALUE!</v>
      </c>
      <c r="M149" t="str">
        <f>CONCATENATE("A(",C149,")=")</f>
        <v>A(  )=</v>
      </c>
      <c r="N149" t="e">
        <f>J149+L149</f>
        <v>#VALUE!</v>
      </c>
      <c r="O149" s="99">
        <f>O148+1</f>
        <v>26</v>
      </c>
      <c r="P149" s="99" t="e">
        <f t="shared" si="65"/>
        <v>#N/A</v>
      </c>
      <c r="Q149" s="82" t="e">
        <f>IF(P149-P148=P148-P147,P149,IF(P150-P148=P148-P147,P150,IF(P149-P148=P148-P146,P149,IF(P150-P148=P148-P146,P150,"-"))))</f>
        <v>#N/A</v>
      </c>
      <c r="R149" s="83" t="e">
        <f>VLOOKUP(Q149,STN_TABLE,2,FALSE)</f>
        <v>#N/A</v>
      </c>
      <c r="S149" s="83">
        <v>-1</v>
      </c>
      <c r="T149" s="82" t="e">
        <f>R149*S149</f>
        <v>#N/A</v>
      </c>
      <c r="U149" s="88">
        <v>-1</v>
      </c>
      <c r="V149" s="82" t="e">
        <f>R149*U149</f>
        <v>#N/A</v>
      </c>
      <c r="W149" s="84" t="str">
        <f>CONCATENATE("a'(",Q148,")=")</f>
        <v>a'(  )=</v>
      </c>
      <c r="X149" s="84" t="e">
        <f>2*X147/12*T150</f>
        <v>#N/A</v>
      </c>
      <c r="Y149" s="84" t="e">
        <f>CONCATENATE("A(",Q147,")=")</f>
        <v>#N/A</v>
      </c>
      <c r="Z149" s="84" t="e">
        <f>VLOOKUP(Q147,STN_TABLE,3,FALSE)</f>
        <v>#N/A</v>
      </c>
      <c r="AA149" t="str">
        <f>CONCATENATE("A(",Q148,")=")</f>
        <v>A(  )=</v>
      </c>
      <c r="AB149" t="e">
        <f>X149+Z149</f>
        <v>#N/A</v>
      </c>
      <c r="AC149" s="99">
        <f>AC148+1</f>
        <v>25</v>
      </c>
      <c r="AD149" s="100" t="str">
        <f>VLOOKUP(AC149,STN_TABLE_2,2,FALSE)</f>
        <v xml:space="preserve">  </v>
      </c>
      <c r="AE149" s="82" t="str">
        <f>VLOOKUP(AD149,STN_TABLE,2,FALSE)</f>
        <v xml:space="preserve">  </v>
      </c>
      <c r="AF149" s="82">
        <v>2</v>
      </c>
      <c r="AG149" s="83" t="e">
        <f>AE149*AF149</f>
        <v>#VALUE!</v>
      </c>
      <c r="AH149" s="84" t="str">
        <f>CONCATENATE("a'(",AD149,")=")</f>
        <v>a'(  )=</v>
      </c>
      <c r="AI149" s="84" t="e">
        <f>2*AI147/2*AE150</f>
        <v>#VALUE!</v>
      </c>
      <c r="AJ149" s="84" t="str">
        <f>CONCATENATE("A(",AD148,")=")</f>
        <v>A(  )=</v>
      </c>
      <c r="AK149" s="84" t="str">
        <f>VLOOKUP(AD148,STN_TABLE,3,FALSE)</f>
        <v xml:space="preserve"> </v>
      </c>
      <c r="AL149" t="str">
        <f>CONCATENATE("A(",AD149,")=")</f>
        <v>A(  )=</v>
      </c>
      <c r="AM149" t="e">
        <f>AI149+AK149</f>
        <v>#VALUE!</v>
      </c>
      <c r="AO149" s="68" t="str">
        <f>AA149</f>
        <v>A(  )=</v>
      </c>
      <c r="AP149" s="68" t="e">
        <f>VLOOKUP(AO149,Rise_Results,2,FALSE)</f>
        <v>#N/A</v>
      </c>
      <c r="AQ149" s="76" t="e">
        <f>N149</f>
        <v>#VALUE!</v>
      </c>
      <c r="AR149" s="76" t="e">
        <f>IF(OR(AB149&lt;=0,AB150&lt;=0),1/0,AB149)</f>
        <v>#N/A</v>
      </c>
      <c r="AS149" s="76" t="e">
        <f>AM149</f>
        <v>#VALUE!</v>
      </c>
      <c r="AT149" t="e">
        <f>IFERROR(AP149,IFERROR(AQ149,IFERROR(AR149,AS149)))</f>
        <v>#VALUE!</v>
      </c>
      <c r="AU149" s="81"/>
    </row>
    <row r="150" spans="1:47" x14ac:dyDescent="0.25">
      <c r="A150" s="84">
        <f>A149+1</f>
        <v>25</v>
      </c>
      <c r="B150" s="84" t="str">
        <f t="shared" si="69"/>
        <v xml:space="preserve">  </v>
      </c>
      <c r="F150" s="82" t="e">
        <f>SUM(F147:F149)</f>
        <v>#VALUE!</v>
      </c>
      <c r="H150" s="82" t="e">
        <f>SUM(H147:H149)</f>
        <v>#VALUE!</v>
      </c>
      <c r="I150" s="84" t="str">
        <f>CONCATENATE("m'(",C149,")=")</f>
        <v>m'(  )=</v>
      </c>
      <c r="J150" s="84" t="e">
        <f>2*(J147*(WLS))/3*H150</f>
        <v>#VALUE!</v>
      </c>
      <c r="K150" s="84" t="e">
        <f>CONCATENATE("M(",C147,")=")</f>
        <v>#VALUE!</v>
      </c>
      <c r="L150" s="84" t="e">
        <f>VLOOKUP(C147,STN_TABLE,4,FALSE)</f>
        <v>#VALUE!</v>
      </c>
      <c r="M150" t="str">
        <f>CONCATENATE("M(",C149,")=")</f>
        <v>M(  )=</v>
      </c>
      <c r="N150" t="e">
        <f>J150+L150</f>
        <v>#VALUE!</v>
      </c>
      <c r="O150" s="99">
        <f>O149+1</f>
        <v>27</v>
      </c>
      <c r="P150" s="99" t="e">
        <f t="shared" si="65"/>
        <v>#N/A</v>
      </c>
      <c r="T150" s="89" t="e">
        <f>SUM(T147:T149)</f>
        <v>#N/A</v>
      </c>
      <c r="V150" s="82" t="e">
        <f>SUM(V147:V149)</f>
        <v>#N/A</v>
      </c>
      <c r="W150" s="84" t="str">
        <f>CONCATENATE("m'(",Q148,")=")</f>
        <v>m'(  )=</v>
      </c>
      <c r="X150" s="84" t="e">
        <f>(2*(X147^2)/24*V150)+(X149*Q147*WLS)</f>
        <v>#N/A</v>
      </c>
      <c r="Y150" s="84" t="e">
        <f>CONCATENATE("M(",Q147,")=")</f>
        <v>#N/A</v>
      </c>
      <c r="Z150" s="84" t="e">
        <f>VLOOKUP(Q147,STN_TABLE,4,FALSE)</f>
        <v>#N/A</v>
      </c>
      <c r="AA150" t="str">
        <f>CONCATENATE("M(",Q148,")=")</f>
        <v>M(  )=</v>
      </c>
      <c r="AB150" t="e">
        <f>X150+Z150</f>
        <v>#N/A</v>
      </c>
      <c r="AE150" s="89">
        <f>SUM(AE148:AE149)</f>
        <v>0</v>
      </c>
      <c r="AG150" s="89" t="e">
        <f>SUM(AG148:AG149)</f>
        <v>#VALUE!</v>
      </c>
      <c r="AH150" s="84" t="str">
        <f>CONCATENATE("m'(",AD149,")=")</f>
        <v>m'(  )=</v>
      </c>
      <c r="AI150" s="84" t="e">
        <f>(2*(AI147^2)/6*AG150)+(AI149*AD148*WLS)</f>
        <v>#VALUE!</v>
      </c>
      <c r="AJ150" s="84" t="str">
        <f>CONCATENATE("M(",AD148,")=")</f>
        <v>M(  )=</v>
      </c>
      <c r="AK150" s="84" t="str">
        <f>VLOOKUP(AD148,STN_TABLE,4,FALSE)</f>
        <v xml:space="preserve"> </v>
      </c>
      <c r="AL150" t="str">
        <f>CONCATENATE("M(",AD149,")=")</f>
        <v>M(  )=</v>
      </c>
      <c r="AM150" t="e">
        <f>AI150+AK150</f>
        <v>#VALUE!</v>
      </c>
      <c r="AO150" s="82" t="str">
        <f>AA150</f>
        <v>M(  )=</v>
      </c>
      <c r="AP150" s="82" t="e">
        <f>VLOOKUP(AO150,Rise_Results,2,FALSE)</f>
        <v>#N/A</v>
      </c>
      <c r="AQ150" s="82" t="e">
        <f>N150</f>
        <v>#VALUE!</v>
      </c>
      <c r="AR150" s="82" t="e">
        <f>IF(OR(AB149&lt;=0,AB150&lt;=0),1/0,AB150)</f>
        <v>#N/A</v>
      </c>
      <c r="AS150" s="82" t="e">
        <f>AM150</f>
        <v>#VALUE!</v>
      </c>
      <c r="AT150" t="e">
        <f>IFERROR(AP150,IFERROR(AQ150,IFERROR(AR150,AS150)))</f>
        <v>#VALUE!</v>
      </c>
      <c r="AU150" s="81"/>
    </row>
    <row r="151" spans="1:47" x14ac:dyDescent="0.25">
      <c r="A151" s="101"/>
      <c r="B151" s="101"/>
      <c r="AU151" s="81"/>
    </row>
    <row r="152" spans="1:47" x14ac:dyDescent="0.25">
      <c r="A152" s="84"/>
      <c r="B152" s="84"/>
      <c r="E152" s="81"/>
      <c r="F152" s="81"/>
      <c r="G152" s="81"/>
      <c r="H152" s="81"/>
      <c r="I152" s="103"/>
      <c r="J152" s="70"/>
      <c r="AU152" s="81"/>
    </row>
    <row r="153" spans="1:47" x14ac:dyDescent="0.25">
      <c r="A153" s="84"/>
      <c r="B153" s="84"/>
      <c r="E153" s="81"/>
      <c r="F153" s="81"/>
      <c r="G153" s="81"/>
      <c r="H153" s="81"/>
      <c r="I153" s="104"/>
      <c r="J153" s="78"/>
      <c r="K153" s="78"/>
      <c r="L153" s="78"/>
      <c r="M153" s="7"/>
      <c r="N153" s="7"/>
      <c r="AO153" s="81"/>
      <c r="AP153" s="81"/>
      <c r="AQ153" s="81"/>
      <c r="AR153" s="81"/>
      <c r="AS153" s="81"/>
      <c r="AT153" s="81"/>
      <c r="AU153" s="81"/>
    </row>
    <row r="154" spans="1:47" x14ac:dyDescent="0.25">
      <c r="A154" s="84"/>
      <c r="B154" s="84"/>
      <c r="E154" s="81"/>
      <c r="F154" s="81"/>
      <c r="G154" s="81"/>
      <c r="H154" s="81"/>
      <c r="I154" s="105"/>
      <c r="J154" s="84"/>
      <c r="K154" s="84"/>
      <c r="L154" s="84"/>
      <c r="AO154" s="81"/>
      <c r="AP154" s="81"/>
      <c r="AQ154" s="81"/>
      <c r="AR154" s="81"/>
      <c r="AS154" s="81"/>
      <c r="AT154" s="81"/>
      <c r="AU154" s="81"/>
    </row>
    <row r="155" spans="1:47" x14ac:dyDescent="0.25">
      <c r="A155" s="84"/>
      <c r="B155" s="84"/>
      <c r="E155" s="81"/>
      <c r="F155" s="81"/>
      <c r="G155" s="81"/>
      <c r="H155" s="81"/>
      <c r="I155" s="105"/>
      <c r="J155" s="84"/>
      <c r="K155" s="84"/>
      <c r="L155" s="84"/>
      <c r="AO155" s="81"/>
      <c r="AP155" s="81"/>
      <c r="AQ155" s="81"/>
      <c r="AR155" s="81"/>
      <c r="AS155" s="81"/>
      <c r="AT155" s="81"/>
      <c r="AU155" s="81"/>
    </row>
    <row r="156" spans="1:47" x14ac:dyDescent="0.25">
      <c r="A156" s="101"/>
      <c r="B156" s="101"/>
      <c r="E156" s="81"/>
      <c r="F156" s="81"/>
      <c r="G156" s="81"/>
      <c r="H156" s="81"/>
      <c r="I156" s="81"/>
      <c r="AO156" s="81"/>
      <c r="AP156" s="81"/>
      <c r="AQ156" s="81"/>
      <c r="AR156" s="81"/>
      <c r="AS156" s="81"/>
      <c r="AT156" s="81"/>
      <c r="AU156" s="81"/>
    </row>
    <row r="157" spans="1:47" x14ac:dyDescent="0.25">
      <c r="A157" s="84"/>
      <c r="B157" s="84"/>
      <c r="E157" s="81"/>
      <c r="F157" s="81"/>
      <c r="G157" s="81"/>
      <c r="H157" s="81"/>
      <c r="I157" s="103"/>
      <c r="J157" s="70"/>
      <c r="AO157" s="81"/>
      <c r="AP157" s="81"/>
      <c r="AQ157" s="81"/>
      <c r="AR157" s="81"/>
      <c r="AS157" s="81"/>
      <c r="AT157" s="81"/>
      <c r="AU157" s="81"/>
    </row>
    <row r="158" spans="1:47" x14ac:dyDescent="0.25">
      <c r="A158" s="84"/>
      <c r="B158" s="84"/>
      <c r="E158" s="81"/>
      <c r="F158" s="81"/>
      <c r="G158" s="81"/>
      <c r="H158" s="81"/>
      <c r="I158" s="104"/>
      <c r="J158" s="78"/>
      <c r="K158" s="78"/>
      <c r="L158" s="78"/>
      <c r="M158" s="7"/>
      <c r="N158" s="7"/>
      <c r="AO158" s="81"/>
      <c r="AP158" s="81"/>
      <c r="AQ158" s="81"/>
      <c r="AR158" s="81"/>
      <c r="AS158" s="81"/>
      <c r="AT158" s="81"/>
      <c r="AU158" s="81"/>
    </row>
    <row r="159" spans="1:47" x14ac:dyDescent="0.25">
      <c r="A159" s="84"/>
      <c r="B159" s="84"/>
      <c r="E159" s="81"/>
      <c r="F159" s="81"/>
      <c r="G159" s="81"/>
      <c r="H159" s="81"/>
      <c r="I159" s="105"/>
      <c r="J159" s="84"/>
      <c r="K159" s="84"/>
      <c r="L159" s="84"/>
      <c r="AO159" s="81"/>
      <c r="AP159" s="81"/>
      <c r="AQ159" s="81"/>
      <c r="AR159" s="81"/>
      <c r="AS159" s="81"/>
      <c r="AT159" s="81"/>
      <c r="AU159" s="81"/>
    </row>
    <row r="160" spans="1:47" x14ac:dyDescent="0.25">
      <c r="A160" s="84"/>
      <c r="B160" s="84"/>
      <c r="E160" s="81"/>
      <c r="F160" s="81"/>
      <c r="G160" s="81"/>
      <c r="H160" s="81"/>
      <c r="I160" s="105"/>
      <c r="J160" s="84"/>
      <c r="K160" s="84"/>
      <c r="L160" s="84"/>
      <c r="AO160" s="81"/>
      <c r="AP160" s="81"/>
      <c r="AQ160" s="81"/>
      <c r="AR160" s="81"/>
      <c r="AS160" s="81"/>
      <c r="AT160" s="81"/>
      <c r="AU160" s="81"/>
    </row>
    <row r="161" spans="1:47" x14ac:dyDescent="0.25">
      <c r="A161" s="101"/>
      <c r="B161" s="101"/>
      <c r="E161" s="81"/>
      <c r="F161" s="81"/>
      <c r="G161" s="81"/>
      <c r="H161" s="81"/>
      <c r="I161" s="81"/>
      <c r="AO161" s="81"/>
      <c r="AP161" s="81"/>
      <c r="AQ161" s="81"/>
      <c r="AR161" s="81"/>
      <c r="AS161" s="81"/>
      <c r="AT161" s="81"/>
      <c r="AU161" s="81"/>
    </row>
    <row r="162" spans="1:47" x14ac:dyDescent="0.25">
      <c r="A162" s="84"/>
      <c r="B162" s="84"/>
      <c r="E162" s="81"/>
      <c r="F162" s="81"/>
      <c r="G162" s="81"/>
      <c r="H162" s="81"/>
      <c r="I162" s="103"/>
      <c r="J162" s="70"/>
      <c r="AO162" s="81"/>
      <c r="AP162" s="81"/>
      <c r="AQ162" s="81"/>
      <c r="AR162" s="81"/>
      <c r="AS162" s="81"/>
      <c r="AT162" s="81"/>
      <c r="AU162" s="81"/>
    </row>
    <row r="163" spans="1:47" x14ac:dyDescent="0.25">
      <c r="A163" s="84"/>
      <c r="B163" s="84"/>
      <c r="E163" s="81"/>
      <c r="F163" s="81"/>
      <c r="G163" s="81"/>
      <c r="H163" s="81"/>
      <c r="I163" s="104"/>
      <c r="J163" s="78"/>
      <c r="K163" s="78"/>
      <c r="L163" s="78"/>
      <c r="M163" s="7"/>
      <c r="N163" s="7"/>
      <c r="AO163" s="81"/>
      <c r="AP163" s="81"/>
      <c r="AQ163" s="81"/>
      <c r="AR163" s="81"/>
      <c r="AS163" s="81"/>
      <c r="AT163" s="81"/>
      <c r="AU163" s="81"/>
    </row>
    <row r="164" spans="1:47" x14ac:dyDescent="0.25">
      <c r="A164" s="84"/>
      <c r="B164" s="84"/>
      <c r="E164" s="81"/>
      <c r="F164" s="81"/>
      <c r="G164" s="81"/>
      <c r="H164" s="81"/>
      <c r="I164" s="105"/>
      <c r="J164" s="84"/>
      <c r="K164" s="84"/>
      <c r="L164" s="84"/>
    </row>
    <row r="165" spans="1:47" x14ac:dyDescent="0.25">
      <c r="A165" s="84"/>
      <c r="B165" s="84"/>
      <c r="E165" s="81"/>
      <c r="F165" s="81"/>
      <c r="G165" s="81"/>
      <c r="H165" s="81"/>
      <c r="I165" s="105"/>
      <c r="J165" s="84"/>
      <c r="K165" s="84"/>
      <c r="L165" s="84"/>
    </row>
    <row r="166" spans="1:47" x14ac:dyDescent="0.25">
      <c r="A166" s="101"/>
      <c r="B166" s="101"/>
      <c r="E166" s="81"/>
      <c r="F166" s="81"/>
      <c r="G166" s="81"/>
      <c r="H166" s="81"/>
      <c r="I166" s="81"/>
    </row>
    <row r="167" spans="1:47" x14ac:dyDescent="0.25">
      <c r="A167" s="84"/>
      <c r="B167" s="84"/>
      <c r="E167" s="81"/>
      <c r="F167" s="81"/>
      <c r="G167" s="81"/>
      <c r="H167" s="81"/>
      <c r="I167" s="103"/>
      <c r="J167" s="70"/>
    </row>
    <row r="168" spans="1:47" x14ac:dyDescent="0.25">
      <c r="A168" s="84"/>
      <c r="B168" s="84"/>
      <c r="E168" s="81"/>
      <c r="F168" s="81"/>
      <c r="G168" s="81"/>
      <c r="H168" s="81"/>
      <c r="I168" s="104"/>
      <c r="J168" s="78"/>
      <c r="K168" s="78"/>
      <c r="L168" s="78"/>
      <c r="M168" s="7"/>
      <c r="N168" s="7"/>
    </row>
    <row r="169" spans="1:47" x14ac:dyDescent="0.25">
      <c r="A169" s="84"/>
      <c r="B169" s="84"/>
      <c r="E169" s="81"/>
      <c r="F169" s="81"/>
      <c r="G169" s="81"/>
      <c r="H169" s="81"/>
      <c r="I169" s="105"/>
      <c r="J169" s="84"/>
      <c r="K169" s="84"/>
      <c r="L169" s="84"/>
    </row>
    <row r="170" spans="1:47" x14ac:dyDescent="0.25">
      <c r="A170" s="84"/>
      <c r="B170" s="84"/>
      <c r="E170" s="81"/>
      <c r="F170" s="81"/>
      <c r="G170" s="81"/>
      <c r="H170" s="81"/>
      <c r="I170" s="105"/>
      <c r="J170" s="84"/>
      <c r="K170" s="84"/>
      <c r="L170" s="84"/>
    </row>
    <row r="171" spans="1:47" x14ac:dyDescent="0.25">
      <c r="E171" s="81"/>
      <c r="F171" s="81"/>
      <c r="G171" s="81"/>
      <c r="H171" s="81"/>
      <c r="I171" s="81"/>
    </row>
  </sheetData>
  <sheetProtection selectLockedCells="1" selectUnlockedCells="1"/>
  <mergeCells count="167">
    <mergeCell ref="A1:B1"/>
    <mergeCell ref="E1:F1"/>
    <mergeCell ref="L1:M1"/>
    <mergeCell ref="W33:X33"/>
    <mergeCell ref="Y33:Z33"/>
    <mergeCell ref="AA33:AB33"/>
    <mergeCell ref="AH33:AI33"/>
    <mergeCell ref="AJ33:AK33"/>
    <mergeCell ref="AL33:AM33"/>
    <mergeCell ref="I38:J38"/>
    <mergeCell ref="W38:X38"/>
    <mergeCell ref="Y38:Z38"/>
    <mergeCell ref="AA38:AB38"/>
    <mergeCell ref="AH38:AI38"/>
    <mergeCell ref="AJ38:AK38"/>
    <mergeCell ref="AL38:AM38"/>
    <mergeCell ref="AL43:AM43"/>
    <mergeCell ref="I48:J48"/>
    <mergeCell ref="W48:X48"/>
    <mergeCell ref="Y48:Z48"/>
    <mergeCell ref="AA48:AB48"/>
    <mergeCell ref="AH48:AI48"/>
    <mergeCell ref="AJ48:AK48"/>
    <mergeCell ref="AL48:AM48"/>
    <mergeCell ref="I43:J43"/>
    <mergeCell ref="W43:X43"/>
    <mergeCell ref="Y43:Z43"/>
    <mergeCell ref="AA43:AB43"/>
    <mergeCell ref="AH43:AI43"/>
    <mergeCell ref="AJ43:AK43"/>
    <mergeCell ref="AL53:AM53"/>
    <mergeCell ref="I58:J58"/>
    <mergeCell ref="AH58:AI58"/>
    <mergeCell ref="AJ58:AK58"/>
    <mergeCell ref="AL58:AM58"/>
    <mergeCell ref="I63:J63"/>
    <mergeCell ref="W63:X63"/>
    <mergeCell ref="Y63:Z63"/>
    <mergeCell ref="AA63:AB63"/>
    <mergeCell ref="AH63:AI63"/>
    <mergeCell ref="I53:J53"/>
    <mergeCell ref="W53:X53"/>
    <mergeCell ref="Y53:Z53"/>
    <mergeCell ref="AA53:AB53"/>
    <mergeCell ref="AH53:AI53"/>
    <mergeCell ref="AJ53:AK53"/>
    <mergeCell ref="AJ63:AK63"/>
    <mergeCell ref="AL63:AM63"/>
    <mergeCell ref="I68:J68"/>
    <mergeCell ref="W68:X68"/>
    <mergeCell ref="Y68:Z68"/>
    <mergeCell ref="AA68:AB68"/>
    <mergeCell ref="AH68:AI68"/>
    <mergeCell ref="AJ68:AK68"/>
    <mergeCell ref="AL68:AM68"/>
    <mergeCell ref="AL73:AM73"/>
    <mergeCell ref="I78:J78"/>
    <mergeCell ref="W78:X78"/>
    <mergeCell ref="Y78:Z78"/>
    <mergeCell ref="AA78:AB78"/>
    <mergeCell ref="AH78:AI78"/>
    <mergeCell ref="AJ78:AK78"/>
    <mergeCell ref="AL78:AM78"/>
    <mergeCell ref="I73:J73"/>
    <mergeCell ref="W73:X73"/>
    <mergeCell ref="Y73:Z73"/>
    <mergeCell ref="AA73:AB73"/>
    <mergeCell ref="AH73:AI73"/>
    <mergeCell ref="AJ73:AK73"/>
    <mergeCell ref="AL83:AM83"/>
    <mergeCell ref="I88:J88"/>
    <mergeCell ref="W88:X88"/>
    <mergeCell ref="Y88:Z88"/>
    <mergeCell ref="AA88:AB88"/>
    <mergeCell ref="AH88:AI88"/>
    <mergeCell ref="AJ88:AK88"/>
    <mergeCell ref="AL88:AM88"/>
    <mergeCell ref="I83:J83"/>
    <mergeCell ref="W83:X83"/>
    <mergeCell ref="Y83:Z83"/>
    <mergeCell ref="AA83:AB83"/>
    <mergeCell ref="AH83:AI83"/>
    <mergeCell ref="AJ83:AK83"/>
    <mergeCell ref="AL93:AM93"/>
    <mergeCell ref="I98:J98"/>
    <mergeCell ref="W98:X98"/>
    <mergeCell ref="Y98:Z98"/>
    <mergeCell ref="AA98:AB98"/>
    <mergeCell ref="AH98:AI98"/>
    <mergeCell ref="AJ98:AK98"/>
    <mergeCell ref="AL98:AM98"/>
    <mergeCell ref="I93:J93"/>
    <mergeCell ref="W93:X93"/>
    <mergeCell ref="Y93:Z93"/>
    <mergeCell ref="AA93:AB93"/>
    <mergeCell ref="AH93:AI93"/>
    <mergeCell ref="AJ93:AK93"/>
    <mergeCell ref="AL103:AM103"/>
    <mergeCell ref="I108:J108"/>
    <mergeCell ref="W108:X108"/>
    <mergeCell ref="Y108:Z108"/>
    <mergeCell ref="AA108:AB108"/>
    <mergeCell ref="AH108:AI108"/>
    <mergeCell ref="AJ108:AK108"/>
    <mergeCell ref="AL108:AM108"/>
    <mergeCell ref="I103:J103"/>
    <mergeCell ref="W103:X103"/>
    <mergeCell ref="Y103:Z103"/>
    <mergeCell ref="AA103:AB103"/>
    <mergeCell ref="AH103:AI103"/>
    <mergeCell ref="AJ103:AK103"/>
    <mergeCell ref="AL113:AM113"/>
    <mergeCell ref="I118:J118"/>
    <mergeCell ref="W118:X118"/>
    <mergeCell ref="Y118:Z118"/>
    <mergeCell ref="AA118:AB118"/>
    <mergeCell ref="AH118:AI118"/>
    <mergeCell ref="AJ118:AK118"/>
    <mergeCell ref="AL118:AM118"/>
    <mergeCell ref="I113:J113"/>
    <mergeCell ref="W113:X113"/>
    <mergeCell ref="Y113:Z113"/>
    <mergeCell ref="AA113:AB113"/>
    <mergeCell ref="AH113:AI113"/>
    <mergeCell ref="AJ113:AK113"/>
    <mergeCell ref="AL123:AM123"/>
    <mergeCell ref="I128:J128"/>
    <mergeCell ref="W128:X128"/>
    <mergeCell ref="Y128:Z128"/>
    <mergeCell ref="AA128:AB128"/>
    <mergeCell ref="AH128:AI128"/>
    <mergeCell ref="AJ128:AK128"/>
    <mergeCell ref="AL128:AM128"/>
    <mergeCell ref="I123:J123"/>
    <mergeCell ref="W123:X123"/>
    <mergeCell ref="Y123:Z123"/>
    <mergeCell ref="AA123:AB123"/>
    <mergeCell ref="AH123:AI123"/>
    <mergeCell ref="AJ123:AK123"/>
    <mergeCell ref="AL133:AM133"/>
    <mergeCell ref="I138:J138"/>
    <mergeCell ref="W138:X138"/>
    <mergeCell ref="Y138:Z138"/>
    <mergeCell ref="AA138:AB138"/>
    <mergeCell ref="AH138:AI138"/>
    <mergeCell ref="AJ138:AK138"/>
    <mergeCell ref="AL138:AM138"/>
    <mergeCell ref="I133:J133"/>
    <mergeCell ref="W133:X133"/>
    <mergeCell ref="Y133:Z133"/>
    <mergeCell ref="AA133:AB133"/>
    <mergeCell ref="AH133:AI133"/>
    <mergeCell ref="AJ133:AK133"/>
    <mergeCell ref="AL143:AM143"/>
    <mergeCell ref="I148:J148"/>
    <mergeCell ref="W148:X148"/>
    <mergeCell ref="Y148:Z148"/>
    <mergeCell ref="AA148:AB148"/>
    <mergeCell ref="AH148:AI148"/>
    <mergeCell ref="AJ148:AK148"/>
    <mergeCell ref="AL148:AM148"/>
    <mergeCell ref="I143:J143"/>
    <mergeCell ref="W143:X143"/>
    <mergeCell ref="Y143:Z143"/>
    <mergeCell ref="AA143:AB143"/>
    <mergeCell ref="AH143:AI143"/>
    <mergeCell ref="AJ143:AK143"/>
  </mergeCells>
  <pageMargins left="0.7" right="0.7" top="0.75" bottom="0.75" header="0.3" footer="0.3"/>
  <pageSetup paperSize="9"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AU171"/>
  <sheetViews>
    <sheetView topLeftCell="N1" workbookViewId="0">
      <pane ySplit="1" topLeftCell="A8" activePane="bottomLeft" state="frozen"/>
      <selection activeCell="AG8" sqref="AG8:AG10"/>
      <selection pane="bottomLeft" activeCell="AG8" sqref="AG8:AG10"/>
    </sheetView>
  </sheetViews>
  <sheetFormatPr defaultRowHeight="15" x14ac:dyDescent="0.25"/>
  <sheetData>
    <row r="1" spans="1:46" x14ac:dyDescent="0.25">
      <c r="A1" s="494" t="s">
        <v>90</v>
      </c>
      <c r="B1" s="494"/>
      <c r="C1">
        <f>HLOOKUP(Stn_WL,OFFSET_A,Count_STN+1,FALSE)</f>
        <v>14</v>
      </c>
      <c r="E1" s="494" t="s">
        <v>91</v>
      </c>
      <c r="F1" s="494"/>
      <c r="G1" t="str">
        <f>VLOOKUP(Station_No,RISE_CALC,2,FALSE)</f>
        <v>-</v>
      </c>
      <c r="L1" s="494" t="s">
        <v>92</v>
      </c>
      <c r="M1" s="494"/>
      <c r="N1">
        <v>17</v>
      </c>
    </row>
    <row r="2" spans="1:46" x14ac:dyDescent="0.25">
      <c r="Q2" s="66" t="str">
        <f t="shared" ref="Q2:R6" si="0">G4</f>
        <v>Rise</v>
      </c>
      <c r="R2" s="67" t="e">
        <f t="shared" si="0"/>
        <v>#VALUE!</v>
      </c>
      <c r="S2" s="68" t="e">
        <f>IF(OR(R5-R4=R4-R3,R6-R4=R4-R3),R3,IF(OR(R5-R4=R4-R2,R6-R4=R4-R2),R2,"-"))</f>
        <v>#VALUE!</v>
      </c>
      <c r="T2" s="69" t="e">
        <f>IFERROR(VLOOKUP(S2,STN_TABLE,2,FALSE),IF(R2=RisePerWLS,0,"-"))</f>
        <v>#VALUE!</v>
      </c>
      <c r="U2" s="69">
        <v>5</v>
      </c>
      <c r="V2" s="69" t="e">
        <f>T2*U2</f>
        <v>#VALUE!</v>
      </c>
      <c r="W2" s="69">
        <v>3</v>
      </c>
      <c r="X2" s="69" t="e">
        <f>T2*W2</f>
        <v>#VALUE!</v>
      </c>
      <c r="Y2" s="6" t="s">
        <v>93</v>
      </c>
      <c r="Z2" s="70" t="e">
        <f>IF(AND(S4-S3=S3-S2,NOT(AND(S2=0,S3=0)),NOT(AND(S3=0,S4=0))),WLS*(S4-S3),"#NA")</f>
        <v>#VALUE!</v>
      </c>
      <c r="AE2" s="71" t="s">
        <v>94</v>
      </c>
    </row>
    <row r="3" spans="1:46" x14ac:dyDescent="0.25">
      <c r="B3" s="72" t="s">
        <v>0</v>
      </c>
      <c r="C3" s="73" t="s">
        <v>95</v>
      </c>
      <c r="D3" s="73" t="s">
        <v>18</v>
      </c>
      <c r="E3" s="74" t="s">
        <v>20</v>
      </c>
      <c r="H3" s="75" t="s">
        <v>96</v>
      </c>
      <c r="K3" t="str">
        <f>IF(Rise=0,"(Not considered)","(Considered)")</f>
        <v>(Considered)</v>
      </c>
      <c r="Q3" s="66" t="str">
        <f t="shared" si="0"/>
        <v>1st_UWL</v>
      </c>
      <c r="R3" s="67" t="str">
        <f t="shared" si="0"/>
        <v>#NA</v>
      </c>
      <c r="S3" s="76" t="str">
        <f>R4</f>
        <v>#NA</v>
      </c>
      <c r="T3" s="77" t="e">
        <f>VLOOKUP(S3,STN_TABLE,2,FALSE)</f>
        <v>#N/A</v>
      </c>
      <c r="U3" s="77">
        <v>8</v>
      </c>
      <c r="V3" s="77" t="e">
        <f>T3*U3</f>
        <v>#N/A</v>
      </c>
      <c r="W3" s="77">
        <v>10</v>
      </c>
      <c r="X3" s="77" t="e">
        <f>T3*W3</f>
        <v>#N/A</v>
      </c>
      <c r="Y3" s="78" t="s">
        <v>97</v>
      </c>
      <c r="Z3" s="78"/>
      <c r="AA3" s="78" t="s">
        <v>98</v>
      </c>
      <c r="AB3" s="78"/>
      <c r="AC3" s="7" t="s">
        <v>99</v>
      </c>
      <c r="AD3" s="7"/>
      <c r="AE3" s="66" t="str">
        <f t="shared" ref="AE3:AF7" si="1">G4</f>
        <v>Rise</v>
      </c>
      <c r="AF3" s="67" t="e">
        <f t="shared" si="1"/>
        <v>#VALUE!</v>
      </c>
      <c r="AG3" s="79" t="e">
        <f>IF(AF7-AF6=AF6-AF5,AF5,IF(OR(AF7-AF6=AF6-AF4,AF7-AF5=AF5-AF4),AF4,IF(OR(AF7-AF6=AF6-AF3,AF7-AF5=AF5-AF3,AF7-AF4=AF4-AF3),AF3,"#NA")))</f>
        <v>#VALUE!</v>
      </c>
      <c r="AH3" s="69" t="e">
        <f>IFERROR(VLOOKUP(AG3,STN_TABLE,2,FALSE),IF(AF3=RisePerWLS,0,"-"))</f>
        <v>#VALUE!</v>
      </c>
      <c r="AI3" s="69">
        <v>1</v>
      </c>
      <c r="AJ3" s="69" t="e">
        <f>AH3*AI3</f>
        <v>#VALUE!</v>
      </c>
      <c r="AK3" s="69" t="e">
        <f>AG3</f>
        <v>#VALUE!</v>
      </c>
      <c r="AL3" s="69" t="e">
        <f>AJ3*AK3</f>
        <v>#VALUE!</v>
      </c>
      <c r="AM3" s="6" t="s">
        <v>93</v>
      </c>
      <c r="AN3" s="70" t="e">
        <f>IF(AND(AH3=0,AH4=0,AH5=0),WLS*(AG5-AG4),IF(AND(AG5-AG4=AG4-AG3,AG4&lt;&gt;AG5,AG3&lt;&gt;AG4,AG3&lt;&gt;AG5,AH5&lt;&gt;0,OR(AH3&lt;&gt;0,AH4&lt;&gt;0)),WLS*(AG5-AG4),"#NA"))</f>
        <v>#VALUE!</v>
      </c>
    </row>
    <row r="4" spans="1:46" x14ac:dyDescent="0.25">
      <c r="A4">
        <v>1</v>
      </c>
      <c r="B4" s="80">
        <f t="shared" ref="B4:B28" si="2">VLOOKUP(Stn_WL,OFFSET_A,A4+1,FALSE)</f>
        <v>0</v>
      </c>
      <c r="C4" s="81">
        <f t="shared" ref="C4:C28" si="3">VLOOKUP(Station_No,OFFSET_A,A4+1,FALSE)</f>
        <v>9.5</v>
      </c>
      <c r="D4" s="81">
        <v>0</v>
      </c>
      <c r="E4" s="77">
        <v>0</v>
      </c>
      <c r="G4" t="s">
        <v>100</v>
      </c>
      <c r="H4" t="e">
        <f>Rise/WLS</f>
        <v>#VALUE!</v>
      </c>
      <c r="K4" t="str">
        <f>CONCATENATE("A(",H5,")=")</f>
        <v>A(#NA)=</v>
      </c>
      <c r="L4" t="e">
        <f>IFERROR(N18,N22)</f>
        <v>#VALUE!</v>
      </c>
      <c r="Q4" s="66" t="str">
        <f t="shared" si="0"/>
        <v>2nd_UWL</v>
      </c>
      <c r="R4" s="67" t="str">
        <f t="shared" si="0"/>
        <v>#NA</v>
      </c>
      <c r="S4" s="82" t="e">
        <f>IF((S2-S3)=S3-R5,R5,IF(S2-S3=S3-R6,R6,"-"))</f>
        <v>#VALUE!</v>
      </c>
      <c r="T4" s="83" t="e">
        <f>VLOOKUP(S4,STN_TABLE,2,FALSE)</f>
        <v>#VALUE!</v>
      </c>
      <c r="U4" s="83">
        <v>-1</v>
      </c>
      <c r="V4" s="83" t="e">
        <f>T4*U4</f>
        <v>#VALUE!</v>
      </c>
      <c r="W4" s="83">
        <v>-1</v>
      </c>
      <c r="X4" s="83" t="e">
        <f>T4*W4</f>
        <v>#VALUE!</v>
      </c>
      <c r="Y4" s="84" t="str">
        <f>CONCATENATE("a'(",S3,")=")</f>
        <v>a'(#NA)=</v>
      </c>
      <c r="Z4" s="85" t="e">
        <f>2*Z2/12*V5</f>
        <v>#VALUE!</v>
      </c>
      <c r="AA4" s="84" t="e">
        <f>CONCATENATE("A(",S2,")=")</f>
        <v>#VALUE!</v>
      </c>
      <c r="AB4" s="84" t="e">
        <f>IF(S2=RisePerWLS,0,VLOOKUP(S2,STN_TABLE,3,FALSE))</f>
        <v>#VALUE!</v>
      </c>
      <c r="AC4" t="str">
        <f>CONCATENATE("A(",S3,")=")</f>
        <v>A(#NA)=</v>
      </c>
      <c r="AD4" t="e">
        <f>Z4+AB4</f>
        <v>#VALUE!</v>
      </c>
      <c r="AE4" s="66" t="str">
        <f t="shared" si="1"/>
        <v>1st_UWL</v>
      </c>
      <c r="AF4" s="67" t="str">
        <f t="shared" si="1"/>
        <v>#NA</v>
      </c>
      <c r="AG4" s="80" t="e">
        <f>IF(OR(AF7-AF6=AF6-AF5,AF7-AF6=AF6-AF4,AF7-AF6=AF6-AF3),AF6,IF(OR(AF7-AF5=AF5-AF4,AF7-AF5=AF5-AF3),AF5,IF(AF7-AF4=AF4-AF3,AF4,"#NA")))</f>
        <v>#VALUE!</v>
      </c>
      <c r="AH4" s="77" t="e">
        <f>VLOOKUP(AG4,STN_TABLE,2,FALSE)</f>
        <v>#VALUE!</v>
      </c>
      <c r="AI4" s="77">
        <v>4</v>
      </c>
      <c r="AJ4" s="77" t="e">
        <f>AH4*AI4</f>
        <v>#VALUE!</v>
      </c>
      <c r="AK4" s="77" t="e">
        <f>AG4</f>
        <v>#VALUE!</v>
      </c>
      <c r="AL4" s="77" t="e">
        <f>AJ4*AK4</f>
        <v>#VALUE!</v>
      </c>
      <c r="AM4" s="78" t="s">
        <v>97</v>
      </c>
      <c r="AN4" s="78"/>
      <c r="AO4" s="78" t="s">
        <v>98</v>
      </c>
      <c r="AP4" s="78"/>
      <c r="AQ4" s="7" t="s">
        <v>99</v>
      </c>
      <c r="AR4" s="7"/>
      <c r="AS4" s="7"/>
      <c r="AT4" s="7"/>
    </row>
    <row r="5" spans="1:46" x14ac:dyDescent="0.25">
      <c r="A5">
        <v>2</v>
      </c>
      <c r="B5" s="80">
        <f t="shared" si="2"/>
        <v>0.25</v>
      </c>
      <c r="C5" s="81">
        <f t="shared" si="3"/>
        <v>10.32</v>
      </c>
      <c r="D5" s="81">
        <f t="shared" ref="D5:D28" si="4">IFERROR(VLOOKUP(CONCATENATE("A(",B5,")="),RESULT_TABLE,6,FALSE)," ")</f>
        <v>9.9499999999999993</v>
      </c>
      <c r="E5" s="77">
        <f t="shared" ref="E5:E28" si="5">IFERROR(VLOOKUP(CONCATENATE("M(",B5,")="),RESULT_TABLE,6,FALSE)," ")</f>
        <v>2.5216666666666665</v>
      </c>
      <c r="G5" t="s">
        <v>101</v>
      </c>
      <c r="H5" t="str">
        <f>VLOOKUP(Station_No,RISE_CALC,4,FALSE)</f>
        <v>#NA</v>
      </c>
      <c r="K5" t="str">
        <f>CONCATENATE("M(",H5,")=")</f>
        <v>M(#NA)=</v>
      </c>
      <c r="L5" t="e">
        <f>IFERROR(N19,N23)</f>
        <v>#VALUE!</v>
      </c>
      <c r="Q5" s="66" t="str">
        <f t="shared" si="0"/>
        <v>3rd_UWL</v>
      </c>
      <c r="R5" s="67" t="str">
        <f t="shared" si="0"/>
        <v>#NA</v>
      </c>
      <c r="V5" s="86" t="e">
        <f>SUM(V2:V4)</f>
        <v>#VALUE!</v>
      </c>
      <c r="X5" s="87" t="e">
        <f>SUM(X2:X4)</f>
        <v>#VALUE!</v>
      </c>
      <c r="Y5" s="84" t="str">
        <f>CONCATENATE("m'(",S3,")=")</f>
        <v>m'(#NA)=</v>
      </c>
      <c r="Z5" s="85" t="e">
        <f>(2*(Z2^2)/24*X5)+(Z4*S2*WLS)</f>
        <v>#VALUE!</v>
      </c>
      <c r="AA5" s="84" t="e">
        <f>CONCATENATE("M(",S2,")=")</f>
        <v>#VALUE!</v>
      </c>
      <c r="AB5" s="84" t="e">
        <f>IF(S2=RisePerWLS,0,VLOOKUP(S2,STN_TABLE,4,FALSE))</f>
        <v>#VALUE!</v>
      </c>
      <c r="AC5" t="str">
        <f>CONCATENATE("M(",S3,")=")</f>
        <v>M(#NA)=</v>
      </c>
      <c r="AD5" t="e">
        <f>Z5+AB5</f>
        <v>#VALUE!</v>
      </c>
      <c r="AE5" s="66" t="str">
        <f t="shared" si="1"/>
        <v>2nd_UWL</v>
      </c>
      <c r="AF5" s="67" t="str">
        <f t="shared" si="1"/>
        <v>#NA</v>
      </c>
      <c r="AG5" s="88" t="str">
        <f>AF7</f>
        <v>#NA</v>
      </c>
      <c r="AH5" s="83" t="e">
        <f>VLOOKUP(AG5,STN_TABLE,2,FALSE)</f>
        <v>#N/A</v>
      </c>
      <c r="AI5" s="83">
        <v>1</v>
      </c>
      <c r="AJ5" s="83" t="e">
        <f>AH5*AI5</f>
        <v>#N/A</v>
      </c>
      <c r="AK5" s="83" t="str">
        <f>AG5</f>
        <v>#NA</v>
      </c>
      <c r="AL5" s="83" t="e">
        <f>AJ5*AK5</f>
        <v>#N/A</v>
      </c>
      <c r="AM5" s="84" t="str">
        <f>CONCATENATE("a'(",AG5,")=")</f>
        <v>a'(#NA)=</v>
      </c>
      <c r="AN5" s="84" t="e">
        <f>2*AN3/3*AJ6</f>
        <v>#VALUE!</v>
      </c>
      <c r="AO5" s="84" t="e">
        <f>CONCATENATE("A(",AG3,")=")</f>
        <v>#VALUE!</v>
      </c>
      <c r="AP5" s="84" t="e">
        <f>IF(AG3=RisePerWLS,0,VLOOKUP(AG3,STN_TABLE,3,FALSE))</f>
        <v>#VALUE!</v>
      </c>
      <c r="AQ5" t="str">
        <f>CONCATENATE("A(",AG5,")=")</f>
        <v>A(#NA)=</v>
      </c>
      <c r="AR5" t="e">
        <f>AN5+AP5</f>
        <v>#VALUE!</v>
      </c>
    </row>
    <row r="6" spans="1:46" x14ac:dyDescent="0.25">
      <c r="A6">
        <v>3</v>
      </c>
      <c r="B6" s="80">
        <f t="shared" si="2"/>
        <v>0.5</v>
      </c>
      <c r="C6" s="81">
        <f t="shared" si="3"/>
        <v>10.66</v>
      </c>
      <c r="D6" s="81">
        <f t="shared" si="4"/>
        <v>20.479999999999997</v>
      </c>
      <c r="E6" s="77">
        <f t="shared" si="5"/>
        <v>10.433333333333334</v>
      </c>
      <c r="G6" t="s">
        <v>102</v>
      </c>
      <c r="H6" t="str">
        <f>VLOOKUP(Station_No,RISE_CALC,5,FALSE)</f>
        <v>#NA</v>
      </c>
      <c r="K6" t="str">
        <f>CONCATENATE("A(",H6,")=")</f>
        <v>A(#NA)=</v>
      </c>
      <c r="L6" t="e">
        <f>IFERROR(P27,IFERROR(X6,AD9))</f>
        <v>#VALUE!</v>
      </c>
      <c r="Q6" s="66" t="str">
        <f t="shared" si="0"/>
        <v>4th_UWL</v>
      </c>
      <c r="R6" s="67" t="str">
        <f t="shared" si="0"/>
        <v>#NA</v>
      </c>
      <c r="U6" t="s">
        <v>103</v>
      </c>
      <c r="W6" t="str">
        <f>CONCATENATE("A(",S3,")=")</f>
        <v>A(#NA)=</v>
      </c>
      <c r="X6" t="e">
        <f>IF(OR(AD4&lt;=0,AD5&lt;=0),AD9,AD4)</f>
        <v>#VALUE!</v>
      </c>
      <c r="AE6" s="66" t="str">
        <f t="shared" si="1"/>
        <v>3rd_UWL</v>
      </c>
      <c r="AF6" s="67" t="str">
        <f t="shared" si="1"/>
        <v>#NA</v>
      </c>
      <c r="AJ6" s="89" t="e">
        <f>SUM(AJ3:AJ5)</f>
        <v>#VALUE!</v>
      </c>
      <c r="AL6" s="89" t="e">
        <f>SUM(AL3:AL5)</f>
        <v>#VALUE!</v>
      </c>
      <c r="AM6" s="84" t="str">
        <f>CONCATENATE("m'(",AG5,")=")</f>
        <v>m'(#NA)=</v>
      </c>
      <c r="AN6" s="84" t="e">
        <f>2*(AN3*WLS)/3*AL6</f>
        <v>#VALUE!</v>
      </c>
      <c r="AO6" s="84" t="e">
        <f>CONCATENATE("M(",AG3,")=")</f>
        <v>#VALUE!</v>
      </c>
      <c r="AP6" s="84" t="e">
        <f>IF(AG3=RisePerWLS,0,VLOOKUP(AG3,STN_TABLE,4,FALSE))</f>
        <v>#VALUE!</v>
      </c>
      <c r="AQ6" t="str">
        <f>CONCATENATE("M(",AG5,")=")</f>
        <v>M(#NA)=</v>
      </c>
      <c r="AR6" t="e">
        <f>AN6+AP6</f>
        <v>#VALUE!</v>
      </c>
    </row>
    <row r="7" spans="1:46" x14ac:dyDescent="0.25">
      <c r="A7">
        <v>4</v>
      </c>
      <c r="B7" s="80">
        <f t="shared" si="2"/>
        <v>0.75</v>
      </c>
      <c r="C7" s="81">
        <f t="shared" si="3"/>
        <v>10.87</v>
      </c>
      <c r="D7" s="81">
        <f t="shared" si="4"/>
        <v>31.226666666666663</v>
      </c>
      <c r="E7" s="77">
        <f t="shared" si="5"/>
        <v>23.889999999999993</v>
      </c>
      <c r="G7" t="s">
        <v>104</v>
      </c>
      <c r="H7" t="str">
        <f>VLOOKUP(Station_No,RISE_CALC,6,FALSE)</f>
        <v>#NA</v>
      </c>
      <c r="K7" t="str">
        <f>CONCATENATE("M(",H6,")=")</f>
        <v>M(#NA)=</v>
      </c>
      <c r="L7" t="e">
        <f>IFERROR(P28,IFERROR(X7,AD10))</f>
        <v>#VALUE!</v>
      </c>
      <c r="Q7" s="66"/>
      <c r="R7" s="67"/>
      <c r="W7" t="str">
        <f>CONCATENATE("M(",S3,")=")</f>
        <v>M(#NA)=</v>
      </c>
      <c r="X7" t="e">
        <f>IF(OR(AD4&lt;=0,AD5&lt;=0),AD10,AD5)</f>
        <v>#VALUE!</v>
      </c>
      <c r="Y7" s="6" t="s">
        <v>93</v>
      </c>
      <c r="Z7" s="70" t="e">
        <f>WLS*(U9-U8)</f>
        <v>#VALUE!</v>
      </c>
      <c r="AE7" s="66" t="str">
        <f t="shared" si="1"/>
        <v>4th_UWL</v>
      </c>
      <c r="AF7" s="67" t="str">
        <f t="shared" si="1"/>
        <v>#NA</v>
      </c>
      <c r="AH7" s="81"/>
    </row>
    <row r="8" spans="1:46" x14ac:dyDescent="0.25">
      <c r="A8">
        <v>5</v>
      </c>
      <c r="B8" s="80">
        <f t="shared" si="2"/>
        <v>1</v>
      </c>
      <c r="C8" s="81">
        <f t="shared" si="3"/>
        <v>11</v>
      </c>
      <c r="D8" s="81">
        <f t="shared" si="4"/>
        <v>42.193333333333328</v>
      </c>
      <c r="E8" s="77">
        <f t="shared" si="5"/>
        <v>43.06</v>
      </c>
      <c r="G8" t="s">
        <v>105</v>
      </c>
      <c r="H8" t="str">
        <f>VLOOKUP(Station_No,RISE_CALC,7,FALSE)</f>
        <v>#NA</v>
      </c>
      <c r="K8" t="str">
        <f>CONCATENATE("A(",H7,")=")</f>
        <v>A(#NA)=</v>
      </c>
      <c r="L8" t="e">
        <f>IFERROR(AD15,IFERROR(X24,AD27))</f>
        <v>#VALUE!</v>
      </c>
      <c r="Q8" s="80"/>
      <c r="R8" s="81"/>
      <c r="U8" s="79" t="str">
        <f>R3</f>
        <v>#NA</v>
      </c>
      <c r="V8" s="68" t="e">
        <f>VLOOKUP(U8,STN_TABLE,2,FALSE)</f>
        <v>#N/A</v>
      </c>
      <c r="W8" s="68">
        <v>1</v>
      </c>
      <c r="X8" s="69" t="e">
        <f>V8*W8</f>
        <v>#N/A</v>
      </c>
      <c r="Y8" s="78" t="s">
        <v>97</v>
      </c>
      <c r="Z8" s="78"/>
      <c r="AA8" s="78" t="s">
        <v>98</v>
      </c>
      <c r="AB8" s="78"/>
      <c r="AC8" s="7" t="s">
        <v>99</v>
      </c>
      <c r="AD8" s="7"/>
      <c r="AE8" s="66"/>
      <c r="AF8" s="67"/>
      <c r="AG8" s="68" t="e">
        <f>IF(OR(AF12-AF11=AF11-AF10,AF13-AF11=AF11-AF10),AF10,IF(OR(AF12-AF11=AF11-AF9,AF13-AF11=AF11-AF9),AF9,"-"))</f>
        <v>#VALUE!</v>
      </c>
      <c r="AH8" s="69" t="e">
        <f>IFERROR(VLOOKUP(AG8,STN_TABLE,2,FALSE),IF(AF8=RisePerWLS,0,"-"))</f>
        <v>#VALUE!</v>
      </c>
      <c r="AI8" s="69">
        <v>5</v>
      </c>
      <c r="AJ8" s="69" t="e">
        <f>AH8*AI8</f>
        <v>#VALUE!</v>
      </c>
      <c r="AK8" s="69">
        <v>3</v>
      </c>
      <c r="AL8" s="69" t="e">
        <f>AH8*AK8</f>
        <v>#VALUE!</v>
      </c>
      <c r="AM8" s="6" t="s">
        <v>93</v>
      </c>
      <c r="AN8" s="70" t="e">
        <f>IF(AND(AG10-AG9=AG9-AG8,NOT(AND(AG8=0,AG9=0)),NOT(AND(AG9=0,AG10=0))),WLS*(AG10-AG9),"#NA")</f>
        <v>#VALUE!</v>
      </c>
    </row>
    <row r="9" spans="1:46" x14ac:dyDescent="0.25">
      <c r="A9">
        <v>6</v>
      </c>
      <c r="B9" s="80">
        <f t="shared" si="2"/>
        <v>2</v>
      </c>
      <c r="C9" s="81">
        <f t="shared" si="3"/>
        <v>11</v>
      </c>
      <c r="D9" s="81">
        <f t="shared" si="4"/>
        <v>86.193333333333328</v>
      </c>
      <c r="E9" s="77">
        <f t="shared" si="5"/>
        <v>175.06</v>
      </c>
      <c r="G9" t="s">
        <v>106</v>
      </c>
      <c r="H9" t="str">
        <f>VLOOKUP(Station_No,RISE_CALC,8,FALSE)</f>
        <v>#NA</v>
      </c>
      <c r="K9" t="str">
        <f>CONCATENATE("M(",H7,")=")</f>
        <v>M(#NA)=</v>
      </c>
      <c r="L9" t="e">
        <f>IFERROR(AD16,IFERROR(X25,AD28))</f>
        <v>#VALUE!</v>
      </c>
      <c r="Q9" s="80"/>
      <c r="R9" s="81"/>
      <c r="U9" s="88" t="str">
        <f>R4</f>
        <v>#NA</v>
      </c>
      <c r="V9" s="82" t="e">
        <f>VLOOKUP(U9,STN_TABLE,2,FALSE)</f>
        <v>#N/A</v>
      </c>
      <c r="W9" s="82">
        <v>2</v>
      </c>
      <c r="X9" s="83" t="e">
        <f>V9*W9</f>
        <v>#N/A</v>
      </c>
      <c r="Y9" s="84" t="str">
        <f>CONCATENATE("a'(",U9,")=")</f>
        <v>a'(#NA)=</v>
      </c>
      <c r="Z9" s="84" t="e">
        <f>2*Z7/2*V10</f>
        <v>#VALUE!</v>
      </c>
      <c r="AA9" s="84" t="str">
        <f>CONCATENATE("A(",U8,")=")</f>
        <v>A(#NA)=</v>
      </c>
      <c r="AB9" s="84" t="e">
        <f>IF(U8=RisePerWLS,0,VLOOKUP(U8,STN_TABLE,3,FALSE))</f>
        <v>#VALUE!</v>
      </c>
      <c r="AC9" t="str">
        <f>CONCATENATE("A(",U9,")=")</f>
        <v>A(#NA)=</v>
      </c>
      <c r="AD9" t="e">
        <f>Z9+AB9</f>
        <v>#VALUE!</v>
      </c>
      <c r="AE9" s="66" t="str">
        <f t="shared" ref="AE9:AF13" si="6">G6</f>
        <v>2nd_UWL</v>
      </c>
      <c r="AF9" s="67" t="str">
        <f t="shared" si="6"/>
        <v>#NA</v>
      </c>
      <c r="AG9" s="76" t="str">
        <f>AF11</f>
        <v>#NA</v>
      </c>
      <c r="AH9" s="77" t="e">
        <f>VLOOKUP(AG9,STN_TABLE,2,FALSE)</f>
        <v>#N/A</v>
      </c>
      <c r="AI9" s="77">
        <v>8</v>
      </c>
      <c r="AJ9" s="77" t="e">
        <f>AH9*AI9</f>
        <v>#N/A</v>
      </c>
      <c r="AK9" s="77">
        <v>10</v>
      </c>
      <c r="AL9" s="77" t="e">
        <f>AH9*AK9</f>
        <v>#N/A</v>
      </c>
      <c r="AM9" s="78" t="s">
        <v>97</v>
      </c>
      <c r="AN9" s="78"/>
      <c r="AO9" s="78" t="s">
        <v>98</v>
      </c>
      <c r="AP9" s="78"/>
      <c r="AQ9" s="7" t="s">
        <v>99</v>
      </c>
      <c r="AR9" s="7"/>
      <c r="AS9" s="7"/>
      <c r="AT9" s="7"/>
    </row>
    <row r="10" spans="1:46" x14ac:dyDescent="0.25">
      <c r="A10">
        <v>7</v>
      </c>
      <c r="B10" s="80">
        <f t="shared" si="2"/>
        <v>3</v>
      </c>
      <c r="C10" s="81">
        <f t="shared" si="3"/>
        <v>11</v>
      </c>
      <c r="D10" s="81">
        <f t="shared" si="4"/>
        <v>130.19333333333333</v>
      </c>
      <c r="E10" s="77">
        <f t="shared" si="5"/>
        <v>395.06</v>
      </c>
      <c r="G10" t="s">
        <v>107</v>
      </c>
      <c r="H10" t="str">
        <f>VLOOKUP(Station_No,RISE_CALC,9,FALSE)</f>
        <v>#NA</v>
      </c>
      <c r="K10" t="str">
        <f>CONCATENATE("A(",H8,")=")</f>
        <v>A(#NA)=</v>
      </c>
      <c r="L10" t="e">
        <f>IFERROR(AR5,IFERROR(AL12,AR15))</f>
        <v>#VALUE!</v>
      </c>
      <c r="Q10" s="80"/>
      <c r="R10" s="81"/>
      <c r="V10" s="89" t="e">
        <f>SUM(V8:V9)</f>
        <v>#N/A</v>
      </c>
      <c r="X10" s="89" t="e">
        <f>SUM(X8:X9)</f>
        <v>#N/A</v>
      </c>
      <c r="Y10" s="84" t="str">
        <f>CONCATENATE("m'(",U9,")=")</f>
        <v>m'(#NA)=</v>
      </c>
      <c r="Z10" s="84" t="e">
        <f>(2*(Z7^2)/6*X10)+(Z9*U8*WLS)</f>
        <v>#VALUE!</v>
      </c>
      <c r="AA10" s="84" t="str">
        <f>CONCATENATE("M(",U8,")=")</f>
        <v>M(#NA)=</v>
      </c>
      <c r="AB10" s="84" t="e">
        <f>IF(U8=RisePerWLS,0,VLOOKUP(U8,STN_TABLE,4,FALSE))</f>
        <v>#VALUE!</v>
      </c>
      <c r="AC10" t="str">
        <f>CONCATENATE("M(",U9,")=")</f>
        <v>M(#NA)=</v>
      </c>
      <c r="AD10" t="e">
        <f>Z10+AB10</f>
        <v>#VALUE!</v>
      </c>
      <c r="AE10" s="66" t="str">
        <f t="shared" si="6"/>
        <v>3rd_UWL</v>
      </c>
      <c r="AF10" s="67" t="str">
        <f t="shared" si="6"/>
        <v>#NA</v>
      </c>
      <c r="AG10" s="82" t="e">
        <f>IF(AG8-AG9=AG9-AF12,AF12,IF(AG8-AG9=AG9-AF13,AF13,"-"))</f>
        <v>#VALUE!</v>
      </c>
      <c r="AH10" s="83" t="e">
        <f>VLOOKUP(AG10,STN_TABLE,2,FALSE)</f>
        <v>#VALUE!</v>
      </c>
      <c r="AI10" s="83">
        <v>-1</v>
      </c>
      <c r="AJ10" s="83" t="e">
        <f>AH10*AI10</f>
        <v>#VALUE!</v>
      </c>
      <c r="AK10" s="83">
        <v>-1</v>
      </c>
      <c r="AL10" s="83" t="e">
        <f>AH10*AK10</f>
        <v>#VALUE!</v>
      </c>
      <c r="AM10" s="84" t="str">
        <f>CONCATENATE("a'(",AG9,")=")</f>
        <v>a'(#NA)=</v>
      </c>
      <c r="AN10" s="84" t="e">
        <f>2*AN8/12*AJ11</f>
        <v>#VALUE!</v>
      </c>
      <c r="AO10" s="84" t="e">
        <f>CONCATENATE("A(",AG8,")=")</f>
        <v>#VALUE!</v>
      </c>
      <c r="AP10" s="84" t="e">
        <f>VLOOKUP(AG8,STN_TABLE,3,FALSE)</f>
        <v>#VALUE!</v>
      </c>
      <c r="AQ10" t="str">
        <f>CONCATENATE("A(",AG9,")=")</f>
        <v>A(#NA)=</v>
      </c>
      <c r="AR10" t="e">
        <f>AN10+AP10</f>
        <v>#VALUE!</v>
      </c>
    </row>
    <row r="11" spans="1:46" x14ac:dyDescent="0.25">
      <c r="A11">
        <v>8</v>
      </c>
      <c r="B11" s="80">
        <f t="shared" si="2"/>
        <v>4</v>
      </c>
      <c r="C11" s="81">
        <f t="shared" si="3"/>
        <v>11</v>
      </c>
      <c r="D11" s="81">
        <f t="shared" si="4"/>
        <v>174.19333333333333</v>
      </c>
      <c r="E11" s="77">
        <f t="shared" si="5"/>
        <v>703.06</v>
      </c>
      <c r="G11" t="s">
        <v>108</v>
      </c>
      <c r="H11" t="str">
        <f>VLOOKUP(Station_No,RISE_CALC,10,FALSE)</f>
        <v>#NA</v>
      </c>
      <c r="K11" t="str">
        <f>CONCATENATE("M(",H8,")=")</f>
        <v>M(#NA)=</v>
      </c>
      <c r="L11" t="e">
        <f>IFERROR(AR6,IFERROR(AL13,AR16))</f>
        <v>#VALUE!</v>
      </c>
      <c r="Q11" s="80"/>
      <c r="R11" s="81"/>
      <c r="AE11" s="66" t="str">
        <f t="shared" si="6"/>
        <v>4th_UWL</v>
      </c>
      <c r="AF11" s="67" t="str">
        <f t="shared" si="6"/>
        <v>#NA</v>
      </c>
      <c r="AJ11" s="89" t="e">
        <f>SUM(AJ8:AJ10)</f>
        <v>#VALUE!</v>
      </c>
      <c r="AL11" s="89" t="e">
        <f>SUM(AL8:AL10)</f>
        <v>#VALUE!</v>
      </c>
      <c r="AM11" s="84" t="str">
        <f>CONCATENATE("m'(",AG9,")=")</f>
        <v>m'(#NA)=</v>
      </c>
      <c r="AN11" s="84" t="e">
        <f>(2*(AN8^2)/24*AL11)+(AN10*AG8*WLS)</f>
        <v>#VALUE!</v>
      </c>
      <c r="AO11" s="84" t="e">
        <f>CONCATENATE("M(",AG8,")=")</f>
        <v>#VALUE!</v>
      </c>
      <c r="AP11" s="84" t="e">
        <f>VLOOKUP(AG8,STN_TABLE,4,FALSE)</f>
        <v>#VALUE!</v>
      </c>
      <c r="AQ11" t="str">
        <f>CONCATENATE("M(",AG9,")=")</f>
        <v>M(#NA)=</v>
      </c>
      <c r="AR11" t="e">
        <f>AN11+AP11</f>
        <v>#VALUE!</v>
      </c>
    </row>
    <row r="12" spans="1:46" x14ac:dyDescent="0.25">
      <c r="A12">
        <v>9</v>
      </c>
      <c r="B12" s="80">
        <f t="shared" si="2"/>
        <v>4.8499999999999996</v>
      </c>
      <c r="C12" s="81">
        <f t="shared" si="3"/>
        <v>11</v>
      </c>
      <c r="D12" s="81">
        <f t="shared" si="4"/>
        <v>211.59333333333331</v>
      </c>
      <c r="E12" s="77">
        <f t="shared" si="5"/>
        <v>1034.0499999999997</v>
      </c>
      <c r="Q12" s="90" t="s">
        <v>109</v>
      </c>
      <c r="R12" s="81"/>
      <c r="AE12" s="66" t="str">
        <f t="shared" si="6"/>
        <v>5th_UWL</v>
      </c>
      <c r="AF12" s="67" t="str">
        <f t="shared" si="6"/>
        <v>#NA</v>
      </c>
      <c r="AI12" t="s">
        <v>103</v>
      </c>
      <c r="AK12" t="str">
        <f>CONCATENATE("A(",AG9,")=")</f>
        <v>A(#NA)=</v>
      </c>
      <c r="AL12" t="e">
        <f>IF(OR(AR10&lt;=0,AR11&lt;=0),AR15,AR10)</f>
        <v>#VALUE!</v>
      </c>
    </row>
    <row r="13" spans="1:46" x14ac:dyDescent="0.25">
      <c r="A13">
        <v>10</v>
      </c>
      <c r="B13" s="80">
        <f t="shared" si="2"/>
        <v>5</v>
      </c>
      <c r="C13" s="81">
        <f t="shared" si="3"/>
        <v>11</v>
      </c>
      <c r="D13" s="81">
        <f t="shared" si="4"/>
        <v>218.19333333333333</v>
      </c>
      <c r="E13" s="77">
        <f t="shared" si="5"/>
        <v>1099.06</v>
      </c>
      <c r="G13" s="71" t="s">
        <v>110</v>
      </c>
      <c r="Q13" s="66" t="str">
        <f t="shared" ref="Q13:R16" si="7">G4</f>
        <v>Rise</v>
      </c>
      <c r="R13" s="67" t="e">
        <f t="shared" si="7"/>
        <v>#VALUE!</v>
      </c>
      <c r="S13" s="68" t="e">
        <f>IF(R16-R15=R15-R14,R14,IF(R16-R14=R14-R13,R13,"-"))</f>
        <v>#VALUE!</v>
      </c>
      <c r="T13" s="69" t="e">
        <f>IFERROR(VLOOKUP(S13,STN_TABLE,2,FALSE),IF(R13=RisePerWLS,0,"-"))</f>
        <v>#VALUE!</v>
      </c>
      <c r="U13" s="69">
        <v>1</v>
      </c>
      <c r="V13" s="69" t="e">
        <f>T13*U13</f>
        <v>#VALUE!</v>
      </c>
      <c r="W13" s="69" t="e">
        <f>S13</f>
        <v>#VALUE!</v>
      </c>
      <c r="X13" s="69" t="e">
        <f>V13*W13</f>
        <v>#VALUE!</v>
      </c>
      <c r="Y13" s="6" t="s">
        <v>93</v>
      </c>
      <c r="Z13" s="70" t="e">
        <f>IF(AND(T13=0,T14=0,T15=0),WLS*(S15-S14),IF(AND(S15-S14=S14-S13,S14&lt;&gt;S15,S13&lt;&gt;S14,S13&lt;&gt;S15,T15&lt;&gt;0,OR(T13&lt;&gt;0,T14&lt;&gt;0)),WLS*(S15-S14),"#NA"))</f>
        <v>#VALUE!</v>
      </c>
      <c r="AE13" s="66" t="str">
        <f t="shared" si="6"/>
        <v>6th_UWL</v>
      </c>
      <c r="AF13" s="67" t="str">
        <f t="shared" si="6"/>
        <v>#NA</v>
      </c>
      <c r="AK13" t="str">
        <f>CONCATENATE("M(",AG9,")=")</f>
        <v>M(#NA)=</v>
      </c>
      <c r="AL13" t="e">
        <f>IF(OR(AR10&lt;=0,AR11&lt;=0),AR16,AR11)</f>
        <v>#VALUE!</v>
      </c>
      <c r="AM13" s="6" t="s">
        <v>93</v>
      </c>
      <c r="AN13" s="70" t="e">
        <f>WLS*(AI15-AI14)</f>
        <v>#VALUE!</v>
      </c>
    </row>
    <row r="14" spans="1:46" x14ac:dyDescent="0.25">
      <c r="A14">
        <v>11</v>
      </c>
      <c r="B14" s="80">
        <f t="shared" si="2"/>
        <v>6</v>
      </c>
      <c r="C14" s="81">
        <f t="shared" si="3"/>
        <v>11</v>
      </c>
      <c r="D14" s="81">
        <f t="shared" si="4"/>
        <v>262.19333333333333</v>
      </c>
      <c r="E14" s="77">
        <f t="shared" si="5"/>
        <v>1583.06</v>
      </c>
      <c r="G14" s="91" t="str">
        <f>G4</f>
        <v>Rise</v>
      </c>
      <c r="H14" s="91" t="e">
        <f>RisePerWLS</f>
        <v>#VALUE!</v>
      </c>
      <c r="I14" s="68" t="e">
        <f>H14</f>
        <v>#VALUE!</v>
      </c>
      <c r="J14" s="69">
        <v>0</v>
      </c>
      <c r="K14" s="69">
        <v>5</v>
      </c>
      <c r="L14" s="69">
        <f>J14*K14</f>
        <v>0</v>
      </c>
      <c r="M14" s="69">
        <v>3</v>
      </c>
      <c r="N14" s="69">
        <f>J14*M14</f>
        <v>0</v>
      </c>
      <c r="O14" t="s">
        <v>93</v>
      </c>
      <c r="P14" t="e">
        <f>IF(AND(NOT(AND(J14=0,J15=0)),I14&lt;&gt;I15,I15&lt;&gt;I16,I16-I15=I15-I14),(I16-I15)*WLS,"#NA")</f>
        <v>#N/A</v>
      </c>
      <c r="Q14" s="66" t="str">
        <f t="shared" si="7"/>
        <v>1st_UWL</v>
      </c>
      <c r="R14" s="67" t="str">
        <f t="shared" si="7"/>
        <v>#NA</v>
      </c>
      <c r="S14" s="76" t="e">
        <f>IF(R16-R15=R15-R14,R15,IF(R16-R14=R14-R13,R14,"-"))</f>
        <v>#VALUE!</v>
      </c>
      <c r="T14" s="77" t="e">
        <f>VLOOKUP(S14,STN_TABLE,2,FALSE)</f>
        <v>#VALUE!</v>
      </c>
      <c r="U14" s="77">
        <v>4</v>
      </c>
      <c r="V14" s="77" t="e">
        <f>T14*U14</f>
        <v>#VALUE!</v>
      </c>
      <c r="W14" s="77" t="e">
        <f>S14</f>
        <v>#VALUE!</v>
      </c>
      <c r="X14" s="77" t="e">
        <f>V14*W14</f>
        <v>#VALUE!</v>
      </c>
      <c r="Y14" s="78" t="s">
        <v>97</v>
      </c>
      <c r="Z14" s="78"/>
      <c r="AA14" s="78" t="s">
        <v>98</v>
      </c>
      <c r="AB14" s="78"/>
      <c r="AC14" s="7" t="s">
        <v>99</v>
      </c>
      <c r="AD14" s="7"/>
      <c r="AE14" s="66"/>
      <c r="AF14" s="67"/>
      <c r="AI14" s="79" t="str">
        <f>AF10</f>
        <v>#NA</v>
      </c>
      <c r="AJ14" s="68" t="e">
        <f>VLOOKUP(AI14,STN_TABLE,2,FALSE)</f>
        <v>#N/A</v>
      </c>
      <c r="AK14" s="68">
        <v>1</v>
      </c>
      <c r="AL14" s="69" t="e">
        <f>AJ14*AK14</f>
        <v>#N/A</v>
      </c>
      <c r="AM14" s="78" t="s">
        <v>97</v>
      </c>
      <c r="AN14" s="78"/>
      <c r="AO14" s="78" t="s">
        <v>98</v>
      </c>
      <c r="AP14" s="78"/>
      <c r="AQ14" s="7" t="s">
        <v>99</v>
      </c>
      <c r="AR14" s="7"/>
      <c r="AS14" s="7"/>
      <c r="AT14" s="7"/>
    </row>
    <row r="15" spans="1:46" x14ac:dyDescent="0.25">
      <c r="A15">
        <v>12</v>
      </c>
      <c r="B15" s="80">
        <f t="shared" si="2"/>
        <v>6.5</v>
      </c>
      <c r="C15" s="81">
        <f t="shared" si="3"/>
        <v>11</v>
      </c>
      <c r="D15" s="81">
        <f t="shared" si="4"/>
        <v>284.19333333333333</v>
      </c>
      <c r="E15" s="77">
        <f t="shared" si="5"/>
        <v>1858.06</v>
      </c>
      <c r="G15" s="91" t="str">
        <f>G5</f>
        <v>1st_UWL</v>
      </c>
      <c r="H15" s="91" t="str">
        <f>H5</f>
        <v>#NA</v>
      </c>
      <c r="I15" s="76" t="str">
        <f>H15</f>
        <v>#NA</v>
      </c>
      <c r="J15" s="77" t="e">
        <f>VLOOKUP(I15,STN_TABLE,2,FALSE)</f>
        <v>#N/A</v>
      </c>
      <c r="K15" s="77">
        <v>8</v>
      </c>
      <c r="L15" s="77" t="e">
        <f>J15*K15</f>
        <v>#N/A</v>
      </c>
      <c r="M15" s="77">
        <v>10</v>
      </c>
      <c r="N15" s="77" t="e">
        <f>J15*M15</f>
        <v>#N/A</v>
      </c>
      <c r="O15" t="str">
        <f>CONCATENATE("A(",I15,")=")</f>
        <v>A(#NA)=</v>
      </c>
      <c r="P15" t="e">
        <f>2*P14/12*L17</f>
        <v>#N/A</v>
      </c>
      <c r="Q15" s="66" t="str">
        <f t="shared" si="7"/>
        <v>2nd_UWL</v>
      </c>
      <c r="R15" s="67" t="str">
        <f t="shared" si="7"/>
        <v>#NA</v>
      </c>
      <c r="S15" s="82" t="str">
        <f>R16</f>
        <v>#NA</v>
      </c>
      <c r="T15" s="83" t="e">
        <f>VLOOKUP(S15,STN_TABLE,2,FALSE)</f>
        <v>#N/A</v>
      </c>
      <c r="U15" s="83">
        <v>1</v>
      </c>
      <c r="V15" s="83" t="e">
        <f>T15*U15</f>
        <v>#N/A</v>
      </c>
      <c r="W15" s="83" t="str">
        <f>S15</f>
        <v>#NA</v>
      </c>
      <c r="X15" s="83" t="e">
        <f>V15*W15</f>
        <v>#N/A</v>
      </c>
      <c r="Y15" s="84" t="str">
        <f>CONCATENATE("a'(",S15,")=")</f>
        <v>a'(#NA)=</v>
      </c>
      <c r="Z15" s="84" t="e">
        <f>2*Z13/3*V16</f>
        <v>#VALUE!</v>
      </c>
      <c r="AA15" s="84" t="e">
        <f>CONCATENATE("A(",S13,")=")</f>
        <v>#VALUE!</v>
      </c>
      <c r="AB15" s="84" t="e">
        <f>IF(S13=RisePerWLS,0,VLOOKUP(S13,STN_TABLE,3,FALSE))</f>
        <v>#VALUE!</v>
      </c>
      <c r="AC15" t="str">
        <f>CONCATENATE("A(",S15,")=")</f>
        <v>A(#NA)=</v>
      </c>
      <c r="AD15" t="e">
        <f>Z15+AB15</f>
        <v>#VALUE!</v>
      </c>
      <c r="AE15" s="80"/>
      <c r="AI15" s="88" t="str">
        <f>AF11</f>
        <v>#NA</v>
      </c>
      <c r="AJ15" s="82" t="e">
        <f>VLOOKUP(AI15,STN_TABLE,2,FALSE)</f>
        <v>#N/A</v>
      </c>
      <c r="AK15" s="82">
        <v>2</v>
      </c>
      <c r="AL15" s="83" t="e">
        <f>AJ15*AK15</f>
        <v>#N/A</v>
      </c>
      <c r="AM15" s="84" t="str">
        <f>CONCATENATE("a'(",AI15,")=")</f>
        <v>a'(#NA)=</v>
      </c>
      <c r="AN15" s="84" t="e">
        <f>2*AN13/2*AJ16</f>
        <v>#VALUE!</v>
      </c>
      <c r="AO15" s="84" t="str">
        <f>CONCATENATE("A(",AI14,")=")</f>
        <v>A(#NA)=</v>
      </c>
      <c r="AP15" s="84" t="e">
        <f>IF(AI14=RisePerWLS,0,VLOOKUP(AI14,STN_TABLE,3,FALSE))</f>
        <v>#VALUE!</v>
      </c>
      <c r="AQ15" t="str">
        <f>CONCATENATE("A(",AI15,")=")</f>
        <v>A(#NA)=</v>
      </c>
      <c r="AR15" t="e">
        <f>AN15+AP15</f>
        <v>#VALUE!</v>
      </c>
    </row>
    <row r="16" spans="1:46" x14ac:dyDescent="0.25">
      <c r="A16">
        <v>13</v>
      </c>
      <c r="B16" s="80" t="str">
        <f t="shared" si="2"/>
        <v xml:space="preserve">  </v>
      </c>
      <c r="C16" s="81" t="str">
        <f t="shared" si="3"/>
        <v xml:space="preserve">  </v>
      </c>
      <c r="D16" s="81" t="str">
        <f t="shared" si="4"/>
        <v xml:space="preserve"> </v>
      </c>
      <c r="E16" s="77" t="str">
        <f t="shared" si="5"/>
        <v xml:space="preserve"> </v>
      </c>
      <c r="G16" s="91" t="str">
        <f>G6</f>
        <v>2nd_UWL</v>
      </c>
      <c r="H16" s="91" t="str">
        <f>H6</f>
        <v>#NA</v>
      </c>
      <c r="I16" s="82" t="e">
        <f>IF(H16-H15=H15-H14,H16,"#NA")</f>
        <v>#VALUE!</v>
      </c>
      <c r="J16" s="83" t="e">
        <f>VLOOKUP(I16,STN_TABLE,2,FALSE)</f>
        <v>#VALUE!</v>
      </c>
      <c r="K16" s="83">
        <v>-1</v>
      </c>
      <c r="L16" s="83" t="e">
        <f>J16*K16</f>
        <v>#VALUE!</v>
      </c>
      <c r="M16" s="83">
        <v>-1</v>
      </c>
      <c r="N16" s="83" t="e">
        <f>J16*M16</f>
        <v>#VALUE!</v>
      </c>
      <c r="O16" t="str">
        <f>CONCATENATE("M(",I15,")=")</f>
        <v>M(#NA)=</v>
      </c>
      <c r="P16" t="e">
        <f>(2*(P14^2)/24*N17)+P15*I14*WLS</f>
        <v>#N/A</v>
      </c>
      <c r="Q16" s="66" t="str">
        <f t="shared" si="7"/>
        <v>3rd_UWL</v>
      </c>
      <c r="R16" s="67" t="str">
        <f t="shared" si="7"/>
        <v>#NA</v>
      </c>
      <c r="V16" s="89" t="e">
        <f>SUM(V13:V15)</f>
        <v>#VALUE!</v>
      </c>
      <c r="X16" s="89" t="e">
        <f>SUM(X13:X15)</f>
        <v>#VALUE!</v>
      </c>
      <c r="Y16" s="84" t="str">
        <f>CONCATENATE("m'(",S15,")=")</f>
        <v>m'(#NA)=</v>
      </c>
      <c r="Z16" s="84" t="e">
        <f>2*(Z13*WLS)/3*X16</f>
        <v>#VALUE!</v>
      </c>
      <c r="AA16" s="84" t="e">
        <f>CONCATENATE("M(",S13,")=")</f>
        <v>#VALUE!</v>
      </c>
      <c r="AB16" s="84" t="e">
        <f>IF(S13=RisePerWLS,0,VLOOKUP(S13,STN_TABLE,4,FALSE))</f>
        <v>#VALUE!</v>
      </c>
      <c r="AC16" t="str">
        <f>CONCATENATE("M(",S15,")=")</f>
        <v>M(#NA)=</v>
      </c>
      <c r="AD16" t="e">
        <f>Z16+AB16</f>
        <v>#VALUE!</v>
      </c>
      <c r="AE16" s="80"/>
      <c r="AJ16" s="89" t="e">
        <f>SUM(AJ14:AJ15)</f>
        <v>#N/A</v>
      </c>
      <c r="AL16" s="89" t="e">
        <f>SUM(AL14:AL15)</f>
        <v>#N/A</v>
      </c>
      <c r="AM16" s="84" t="str">
        <f>CONCATENATE("m'(",AI15,")=")</f>
        <v>m'(#NA)=</v>
      </c>
      <c r="AN16" s="84" t="e">
        <f>(2*(AN13^2)/6*AL16)+(AN15*AI14*WLS)</f>
        <v>#VALUE!</v>
      </c>
      <c r="AO16" s="84" t="str">
        <f>CONCATENATE("M(",AI14,")=")</f>
        <v>M(#NA)=</v>
      </c>
      <c r="AP16" s="84" t="e">
        <f>IF(AI14=RisePerWLS,0,VLOOKUP(AI14,STN_TABLE,4,FALSE))</f>
        <v>#VALUE!</v>
      </c>
      <c r="AQ16" t="str">
        <f>CONCATENATE("M(",AI15,")=")</f>
        <v>M(#NA)=</v>
      </c>
      <c r="AR16" t="e">
        <f>AN16+AP16</f>
        <v>#VALUE!</v>
      </c>
    </row>
    <row r="17" spans="1:35" x14ac:dyDescent="0.25">
      <c r="A17">
        <v>14</v>
      </c>
      <c r="B17" s="80" t="str">
        <f t="shared" si="2"/>
        <v xml:space="preserve">  </v>
      </c>
      <c r="C17" s="81" t="str">
        <f t="shared" si="3"/>
        <v xml:space="preserve">  </v>
      </c>
      <c r="D17" s="81" t="str">
        <f t="shared" si="4"/>
        <v xml:space="preserve"> </v>
      </c>
      <c r="E17" s="77" t="str">
        <f t="shared" si="5"/>
        <v xml:space="preserve"> </v>
      </c>
      <c r="G17" s="91"/>
      <c r="H17" s="91"/>
      <c r="L17" s="89" t="e">
        <f>SUM(L14:L16)</f>
        <v>#N/A</v>
      </c>
      <c r="N17" s="89" t="e">
        <f>SUM(N14:N16)</f>
        <v>#N/A</v>
      </c>
      <c r="Q17" s="66"/>
      <c r="R17" s="67"/>
      <c r="AE17" s="90"/>
    </row>
    <row r="18" spans="1:35" x14ac:dyDescent="0.25">
      <c r="A18">
        <v>15</v>
      </c>
      <c r="B18" s="80" t="str">
        <f t="shared" si="2"/>
        <v xml:space="preserve">  </v>
      </c>
      <c r="C18" s="81" t="str">
        <f t="shared" si="3"/>
        <v xml:space="preserve">  </v>
      </c>
      <c r="D18" s="81" t="str">
        <f t="shared" si="4"/>
        <v xml:space="preserve"> </v>
      </c>
      <c r="E18" s="77" t="str">
        <f t="shared" si="5"/>
        <v xml:space="preserve"> </v>
      </c>
      <c r="G18" s="91"/>
      <c r="H18" s="91"/>
      <c r="K18" t="s">
        <v>103</v>
      </c>
      <c r="M18" t="str">
        <f>CONCATENATE("A(",I15,")=")</f>
        <v>A(#NA)=</v>
      </c>
      <c r="N18" t="e">
        <f>IF(OR(P15&lt;=0,P16&lt;=0),N22,P15)</f>
        <v>#N/A</v>
      </c>
      <c r="Q18" s="66"/>
      <c r="R18" s="67"/>
      <c r="AE18" s="80"/>
    </row>
    <row r="19" spans="1:35" x14ac:dyDescent="0.25">
      <c r="A19">
        <v>16</v>
      </c>
      <c r="B19" s="80" t="str">
        <f t="shared" si="2"/>
        <v xml:space="preserve">  </v>
      </c>
      <c r="C19" s="81" t="str">
        <f t="shared" si="3"/>
        <v xml:space="preserve">  </v>
      </c>
      <c r="D19" s="81" t="str">
        <f t="shared" si="4"/>
        <v xml:space="preserve"> </v>
      </c>
      <c r="E19" s="77" t="str">
        <f t="shared" si="5"/>
        <v xml:space="preserve"> </v>
      </c>
      <c r="G19" s="91"/>
      <c r="H19" s="91"/>
      <c r="M19" t="str">
        <f>CONCATENATE("M(",I15,")=")</f>
        <v>M(#NA)=</v>
      </c>
      <c r="N19" t="e">
        <f>IF(OR(P15&lt;=0,P16&lt;=0),N23,P16)</f>
        <v>#N/A</v>
      </c>
      <c r="Q19" s="66"/>
      <c r="R19" s="67"/>
      <c r="AE19" s="80"/>
    </row>
    <row r="20" spans="1:35" x14ac:dyDescent="0.25">
      <c r="A20">
        <v>17</v>
      </c>
      <c r="B20" s="80" t="str">
        <f t="shared" si="2"/>
        <v xml:space="preserve">  </v>
      </c>
      <c r="C20" s="81" t="str">
        <f t="shared" si="3"/>
        <v xml:space="preserve">  </v>
      </c>
      <c r="D20" s="81" t="str">
        <f t="shared" si="4"/>
        <v xml:space="preserve"> </v>
      </c>
      <c r="E20" s="77" t="str">
        <f t="shared" si="5"/>
        <v xml:space="preserve"> </v>
      </c>
      <c r="G20" s="91"/>
      <c r="H20" s="91"/>
      <c r="Q20" s="66"/>
      <c r="R20" s="67"/>
      <c r="S20" s="68" t="e">
        <f>IF(OR(R24-R23=R23-R22,R25-R23=R23-R22),R22,IF(OR(R24-R23=R23-R21,R25-R23=R23-R21),R21,"-"))</f>
        <v>#VALUE!</v>
      </c>
      <c r="T20" s="69" t="e">
        <f>IFERROR(VLOOKUP(S20,STN_TABLE,2,FALSE),IF(R20=RisePerWLS,0,"-"))</f>
        <v>#VALUE!</v>
      </c>
      <c r="U20" s="69">
        <v>5</v>
      </c>
      <c r="V20" s="69" t="e">
        <f>T20*U20</f>
        <v>#VALUE!</v>
      </c>
      <c r="W20" s="69">
        <v>3</v>
      </c>
      <c r="X20" s="69" t="e">
        <f>T20*W20</f>
        <v>#VALUE!</v>
      </c>
      <c r="Y20" s="6" t="s">
        <v>93</v>
      </c>
      <c r="Z20" s="70" t="e">
        <f>IF(AND(S22-S21=S21-S20,NOT(AND(S20=0,S21=0)),NOT(AND(S21=0,S22=0))),WLS*(S22-S21),"#NA")</f>
        <v>#VALUE!</v>
      </c>
      <c r="AE20" s="80"/>
    </row>
    <row r="21" spans="1:35" x14ac:dyDescent="0.25">
      <c r="A21">
        <v>18</v>
      </c>
      <c r="B21" s="80" t="str">
        <f t="shared" si="2"/>
        <v xml:space="preserve">  </v>
      </c>
      <c r="C21" s="81" t="str">
        <f t="shared" si="3"/>
        <v xml:space="preserve">  </v>
      </c>
      <c r="D21" s="81" t="str">
        <f t="shared" si="4"/>
        <v xml:space="preserve"> </v>
      </c>
      <c r="E21" s="77" t="str">
        <f t="shared" si="5"/>
        <v xml:space="preserve"> </v>
      </c>
      <c r="G21" s="91"/>
      <c r="H21" s="91" t="str">
        <f>G14</f>
        <v>Rise</v>
      </c>
      <c r="I21" s="79" t="e">
        <f>H14</f>
        <v>#VALUE!</v>
      </c>
      <c r="J21" s="68">
        <v>0</v>
      </c>
      <c r="K21" s="68">
        <v>1</v>
      </c>
      <c r="L21" s="69">
        <f>J21*K21</f>
        <v>0</v>
      </c>
      <c r="M21" t="s">
        <v>93</v>
      </c>
      <c r="N21" t="e">
        <f>(I22-I21)*WLS</f>
        <v>#VALUE!</v>
      </c>
      <c r="Q21" s="66" t="str">
        <f t="shared" ref="Q21:R25" si="8">G5</f>
        <v>1st_UWL</v>
      </c>
      <c r="R21" s="67" t="str">
        <f t="shared" si="8"/>
        <v>#NA</v>
      </c>
      <c r="S21" s="76" t="str">
        <f>R23</f>
        <v>#NA</v>
      </c>
      <c r="T21" s="77" t="e">
        <f>VLOOKUP(S21,STN_TABLE,2,FALSE)</f>
        <v>#N/A</v>
      </c>
      <c r="U21" s="77">
        <v>8</v>
      </c>
      <c r="V21" s="77" t="e">
        <f>T21*U21</f>
        <v>#N/A</v>
      </c>
      <c r="W21" s="77">
        <v>10</v>
      </c>
      <c r="X21" s="77" t="e">
        <f>T21*W21</f>
        <v>#N/A</v>
      </c>
      <c r="Y21" s="78" t="s">
        <v>97</v>
      </c>
      <c r="Z21" s="78"/>
      <c r="AA21" s="78" t="s">
        <v>98</v>
      </c>
      <c r="AB21" s="78"/>
      <c r="AC21" s="7" t="s">
        <v>99</v>
      </c>
      <c r="AD21" s="7"/>
      <c r="AE21" s="80"/>
    </row>
    <row r="22" spans="1:35" x14ac:dyDescent="0.25">
      <c r="A22">
        <v>19</v>
      </c>
      <c r="B22" s="80" t="str">
        <f t="shared" si="2"/>
        <v xml:space="preserve">  </v>
      </c>
      <c r="C22" s="81" t="str">
        <f t="shared" si="3"/>
        <v xml:space="preserve">  </v>
      </c>
      <c r="D22" s="81" t="str">
        <f t="shared" si="4"/>
        <v xml:space="preserve"> </v>
      </c>
      <c r="E22" s="77" t="str">
        <f t="shared" si="5"/>
        <v xml:space="preserve"> </v>
      </c>
      <c r="G22" s="91"/>
      <c r="H22" s="91" t="str">
        <f>G15</f>
        <v>1st_UWL</v>
      </c>
      <c r="I22" s="88" t="str">
        <f>H15</f>
        <v>#NA</v>
      </c>
      <c r="J22" s="82" t="e">
        <f>VLOOKUP(I22,STN_TABLE,2,FALSE)</f>
        <v>#N/A</v>
      </c>
      <c r="K22" s="82">
        <v>2</v>
      </c>
      <c r="L22" s="83" t="e">
        <f>J22*K22</f>
        <v>#N/A</v>
      </c>
      <c r="M22" t="str">
        <f>CONCATENATE("A(",I22,")=")</f>
        <v>A(#NA)=</v>
      </c>
      <c r="N22" t="e">
        <f>2*N21/2*J23</f>
        <v>#VALUE!</v>
      </c>
      <c r="Q22" s="66" t="str">
        <f t="shared" si="8"/>
        <v>2nd_UWL</v>
      </c>
      <c r="R22" s="67" t="str">
        <f t="shared" si="8"/>
        <v>#NA</v>
      </c>
      <c r="S22" s="82" t="e">
        <f>IF(S20-S21=S21-R24,R24,IF(S20-S21=S21-R25,R25,"-"))</f>
        <v>#VALUE!</v>
      </c>
      <c r="T22" s="83" t="e">
        <f>VLOOKUP(S22,STN_TABLE,2,FALSE)</f>
        <v>#VALUE!</v>
      </c>
      <c r="U22" s="83">
        <v>-1</v>
      </c>
      <c r="V22" s="83" t="e">
        <f>T22*U22</f>
        <v>#VALUE!</v>
      </c>
      <c r="W22" s="83">
        <v>-1</v>
      </c>
      <c r="X22" s="83" t="e">
        <f>T22*W22</f>
        <v>#VALUE!</v>
      </c>
      <c r="Y22" s="84" t="str">
        <f>CONCATENATE("a'(",S21,")=")</f>
        <v>a'(#NA)=</v>
      </c>
      <c r="Z22" s="84" t="e">
        <f>2*Z20/12*V23</f>
        <v>#VALUE!</v>
      </c>
      <c r="AA22" s="84" t="e">
        <f>CONCATENATE("A(",S20,")=")</f>
        <v>#VALUE!</v>
      </c>
      <c r="AB22" s="84" t="e">
        <f>IF(S20=RisePerWLS,0,VLOOKUP(S20,STN_TABLE,3,FALSE))</f>
        <v>#VALUE!</v>
      </c>
      <c r="AC22" t="str">
        <f>CONCATENATE("A(",S21,")=")</f>
        <v>A(#NA)=</v>
      </c>
      <c r="AD22" t="e">
        <f>Z22+AB22</f>
        <v>#VALUE!</v>
      </c>
      <c r="AE22" s="80"/>
    </row>
    <row r="23" spans="1:35" x14ac:dyDescent="0.25">
      <c r="A23">
        <v>20</v>
      </c>
      <c r="B23" s="80" t="str">
        <f t="shared" si="2"/>
        <v xml:space="preserve">  </v>
      </c>
      <c r="C23" s="81" t="str">
        <f t="shared" si="3"/>
        <v xml:space="preserve">  </v>
      </c>
      <c r="D23" s="81" t="str">
        <f t="shared" si="4"/>
        <v xml:space="preserve"> </v>
      </c>
      <c r="E23" s="77" t="str">
        <f t="shared" si="5"/>
        <v xml:space="preserve"> </v>
      </c>
      <c r="J23" s="89" t="e">
        <f>SUM(J21:J22)</f>
        <v>#N/A</v>
      </c>
      <c r="L23" s="89" t="e">
        <f>SUM(L21:L22)</f>
        <v>#N/A</v>
      </c>
      <c r="M23" t="str">
        <f>CONCATENATE("M(",I22,")=")</f>
        <v>M(#NA)=</v>
      </c>
      <c r="N23" t="e">
        <f>(2*(N21^2)/6*L23)+N22*I21*WLS</f>
        <v>#VALUE!</v>
      </c>
      <c r="Q23" s="66" t="str">
        <f t="shared" si="8"/>
        <v>3rd_UWL</v>
      </c>
      <c r="R23" s="67" t="str">
        <f t="shared" si="8"/>
        <v>#NA</v>
      </c>
      <c r="V23" s="89" t="e">
        <f>SUM(V20:V22)</f>
        <v>#VALUE!</v>
      </c>
      <c r="X23" s="89" t="e">
        <f>SUM(X20:X22)</f>
        <v>#VALUE!</v>
      </c>
      <c r="Y23" s="84" t="str">
        <f>CONCATENATE("m'(",S21,")=")</f>
        <v>m'(#NA)=</v>
      </c>
      <c r="Z23" s="84" t="e">
        <f>(2*(Z20^2)/24*X23)+(Z22*S20*WLS)</f>
        <v>#VALUE!</v>
      </c>
      <c r="AA23" s="84" t="e">
        <f>CONCATENATE("M(",S20,")=")</f>
        <v>#VALUE!</v>
      </c>
      <c r="AB23" s="84" t="e">
        <f>IF(S20=RisePerWLS,0,VLOOKUP(S20,STN_TABLE,4,FALSE))</f>
        <v>#VALUE!</v>
      </c>
      <c r="AC23" t="str">
        <f>CONCATENATE("M(",S21,")=")</f>
        <v>M(#NA)=</v>
      </c>
      <c r="AD23" t="e">
        <f>Z23+AB23</f>
        <v>#VALUE!</v>
      </c>
      <c r="AE23" s="80"/>
    </row>
    <row r="24" spans="1:35" x14ac:dyDescent="0.25">
      <c r="A24">
        <v>21</v>
      </c>
      <c r="B24" s="80" t="str">
        <f t="shared" si="2"/>
        <v xml:space="preserve">  </v>
      </c>
      <c r="C24" s="81" t="str">
        <f t="shared" si="3"/>
        <v xml:space="preserve">  </v>
      </c>
      <c r="D24" s="81" t="str">
        <f t="shared" si="4"/>
        <v xml:space="preserve"> </v>
      </c>
      <c r="E24" s="77" t="str">
        <f t="shared" si="5"/>
        <v xml:space="preserve"> </v>
      </c>
      <c r="Q24" s="66" t="str">
        <f t="shared" si="8"/>
        <v>4th_UWL</v>
      </c>
      <c r="R24" s="67" t="str">
        <f t="shared" si="8"/>
        <v>#NA</v>
      </c>
      <c r="U24" t="s">
        <v>103</v>
      </c>
      <c r="W24" t="str">
        <f>CONCATENATE("A(",S21,")=")</f>
        <v>A(#NA)=</v>
      </c>
      <c r="X24" t="e">
        <f>IF(OR(AD22&lt;=0,AD23&lt;=0),AD27,AD22)</f>
        <v>#VALUE!</v>
      </c>
      <c r="AE24" s="80"/>
    </row>
    <row r="25" spans="1:35" x14ac:dyDescent="0.25">
      <c r="A25">
        <v>22</v>
      </c>
      <c r="B25" s="80" t="str">
        <f t="shared" si="2"/>
        <v xml:space="preserve">  </v>
      </c>
      <c r="C25" s="81" t="str">
        <f t="shared" si="3"/>
        <v xml:space="preserve">  </v>
      </c>
      <c r="D25" s="81" t="str">
        <f t="shared" si="4"/>
        <v xml:space="preserve"> </v>
      </c>
      <c r="E25" s="77" t="str">
        <f t="shared" si="5"/>
        <v xml:space="preserve"> </v>
      </c>
      <c r="G25" s="71" t="s">
        <v>111</v>
      </c>
      <c r="Q25" s="66" t="str">
        <f t="shared" si="8"/>
        <v>5th_UWL</v>
      </c>
      <c r="R25" s="67" t="str">
        <f t="shared" si="8"/>
        <v>#NA</v>
      </c>
      <c r="W25" t="str">
        <f>CONCATENATE("M(",S21,")=")</f>
        <v>M(#NA)=</v>
      </c>
      <c r="X25" t="e">
        <f>IF(OR(AD22&lt;=0,AD23&lt;=0),AD28,AD23)</f>
        <v>#VALUE!</v>
      </c>
      <c r="Y25" s="6" t="s">
        <v>93</v>
      </c>
      <c r="Z25" s="70" t="e">
        <f>WLS*(U27-U26)</f>
        <v>#VALUE!</v>
      </c>
      <c r="AE25" s="80"/>
    </row>
    <row r="26" spans="1:35" x14ac:dyDescent="0.25">
      <c r="A26">
        <v>23</v>
      </c>
      <c r="B26" s="80" t="str">
        <f t="shared" si="2"/>
        <v xml:space="preserve">  </v>
      </c>
      <c r="C26" s="81" t="str">
        <f t="shared" si="3"/>
        <v xml:space="preserve">  </v>
      </c>
      <c r="D26" s="81" t="str">
        <f t="shared" si="4"/>
        <v xml:space="preserve"> </v>
      </c>
      <c r="E26" s="77" t="str">
        <f t="shared" si="5"/>
        <v xml:space="preserve"> </v>
      </c>
      <c r="G26" s="91" t="str">
        <f t="shared" ref="G26:H28" si="9">G4</f>
        <v>Rise</v>
      </c>
      <c r="H26" s="91" t="e">
        <f t="shared" si="9"/>
        <v>#VALUE!</v>
      </c>
      <c r="I26" s="68" t="e">
        <f>H26</f>
        <v>#VALUE!</v>
      </c>
      <c r="J26" s="69">
        <v>0</v>
      </c>
      <c r="K26" s="69">
        <v>1</v>
      </c>
      <c r="L26" s="69">
        <f>J26*K26</f>
        <v>0</v>
      </c>
      <c r="M26" s="69" t="e">
        <f>I26</f>
        <v>#VALUE!</v>
      </c>
      <c r="N26" s="69" t="e">
        <f>L26*M26</f>
        <v>#VALUE!</v>
      </c>
      <c r="O26" t="s">
        <v>93</v>
      </c>
      <c r="P26" t="e">
        <f>IF(OR(J26=0,J27=0,J28=0),"#NA",IF(I28-I27=I27-I26,WLS*(I27-I26),"#NA"))</f>
        <v>#VALUE!</v>
      </c>
      <c r="Q26" s="66"/>
      <c r="R26" s="67"/>
      <c r="U26" s="79" t="str">
        <f>R22</f>
        <v>#NA</v>
      </c>
      <c r="V26" s="68" t="e">
        <f>VLOOKUP(U26,STN_TABLE,2,FALSE)</f>
        <v>#N/A</v>
      </c>
      <c r="W26" s="68">
        <v>1</v>
      </c>
      <c r="X26" s="69" t="e">
        <f>V26*W26</f>
        <v>#N/A</v>
      </c>
      <c r="Y26" s="78" t="s">
        <v>97</v>
      </c>
      <c r="Z26" s="78"/>
      <c r="AA26" s="78" t="s">
        <v>98</v>
      </c>
      <c r="AB26" s="78"/>
      <c r="AC26" s="7" t="s">
        <v>99</v>
      </c>
      <c r="AD26" s="7"/>
      <c r="AE26" s="80"/>
    </row>
    <row r="27" spans="1:35" x14ac:dyDescent="0.25">
      <c r="A27">
        <v>24</v>
      </c>
      <c r="B27" s="80" t="str">
        <f t="shared" si="2"/>
        <v xml:space="preserve">  </v>
      </c>
      <c r="C27" s="81" t="str">
        <f t="shared" si="3"/>
        <v xml:space="preserve">  </v>
      </c>
      <c r="D27" s="81" t="str">
        <f t="shared" si="4"/>
        <v xml:space="preserve"> </v>
      </c>
      <c r="E27" s="77" t="str">
        <f t="shared" si="5"/>
        <v xml:space="preserve"> </v>
      </c>
      <c r="G27" s="91" t="str">
        <f t="shared" si="9"/>
        <v>1st_UWL</v>
      </c>
      <c r="H27" s="91" t="str">
        <f t="shared" si="9"/>
        <v>#NA</v>
      </c>
      <c r="I27" s="76" t="e">
        <f>IF(H28-H27=H27-H26,H28,"#NA")</f>
        <v>#VALUE!</v>
      </c>
      <c r="J27" s="77" t="e">
        <f>VLOOKUP(I27,STN_TABLE,2,FALSE)</f>
        <v>#VALUE!</v>
      </c>
      <c r="K27" s="77">
        <v>4</v>
      </c>
      <c r="L27" s="77" t="e">
        <f>J27*K27</f>
        <v>#VALUE!</v>
      </c>
      <c r="M27" s="77" t="e">
        <f>I27</f>
        <v>#VALUE!</v>
      </c>
      <c r="N27" s="77" t="e">
        <f>L27*M27</f>
        <v>#VALUE!</v>
      </c>
      <c r="O27" t="e">
        <f>CONCATENATE("A(",I28,")=")</f>
        <v>#VALUE!</v>
      </c>
      <c r="P27" t="e">
        <f>2*P26/3*L29</f>
        <v>#VALUE!</v>
      </c>
      <c r="Q27" s="80"/>
      <c r="R27" s="81"/>
      <c r="U27" s="88" t="str">
        <f>R23</f>
        <v>#NA</v>
      </c>
      <c r="V27" s="82" t="e">
        <f>VLOOKUP(U27,STN_TABLE,2,FALSE)</f>
        <v>#N/A</v>
      </c>
      <c r="W27" s="82">
        <v>2</v>
      </c>
      <c r="X27" s="83" t="e">
        <f>V27*W27</f>
        <v>#N/A</v>
      </c>
      <c r="Y27" s="84" t="str">
        <f>CONCATENATE("a'(",U27,")=")</f>
        <v>a'(#NA)=</v>
      </c>
      <c r="Z27" s="84" t="e">
        <f>2*Z25/2*V28</f>
        <v>#VALUE!</v>
      </c>
      <c r="AA27" s="84" t="str">
        <f>CONCATENATE("A(",U26,")=")</f>
        <v>A(#NA)=</v>
      </c>
      <c r="AB27" s="84" t="e">
        <f>IF(U26=RisePerWLS,0,VLOOKUP(U26,STN_TABLE,3,FALSE))</f>
        <v>#VALUE!</v>
      </c>
      <c r="AC27" t="str">
        <f>CONCATENATE("A(",U27,")=")</f>
        <v>A(#NA)=</v>
      </c>
      <c r="AD27" t="e">
        <f>Z27+AB27</f>
        <v>#VALUE!</v>
      </c>
      <c r="AE27" s="80"/>
    </row>
    <row r="28" spans="1:35" x14ac:dyDescent="0.25">
      <c r="A28">
        <v>25</v>
      </c>
      <c r="B28" s="88" t="str">
        <f t="shared" si="2"/>
        <v xml:space="preserve">  </v>
      </c>
      <c r="C28" s="92" t="str">
        <f t="shared" si="3"/>
        <v xml:space="preserve">  </v>
      </c>
      <c r="D28" s="81" t="str">
        <f t="shared" si="4"/>
        <v xml:space="preserve"> </v>
      </c>
      <c r="E28" s="77" t="str">
        <f t="shared" si="5"/>
        <v xml:space="preserve"> </v>
      </c>
      <c r="G28" s="91" t="str">
        <f t="shared" si="9"/>
        <v>2nd_UWL</v>
      </c>
      <c r="H28" s="91" t="str">
        <f t="shared" si="9"/>
        <v>#NA</v>
      </c>
      <c r="I28" s="82" t="e">
        <f>IF(H28-H27=H27-H26,H28,"#NA")</f>
        <v>#VALUE!</v>
      </c>
      <c r="J28" s="83" t="e">
        <f>VLOOKUP(I28,STN_TABLE,2,FALSE)</f>
        <v>#VALUE!</v>
      </c>
      <c r="K28" s="83">
        <v>1</v>
      </c>
      <c r="L28" s="83" t="e">
        <f>J28*K28</f>
        <v>#VALUE!</v>
      </c>
      <c r="M28" s="83" t="e">
        <f>I28</f>
        <v>#VALUE!</v>
      </c>
      <c r="N28" s="83" t="e">
        <f>L28*M28</f>
        <v>#VALUE!</v>
      </c>
      <c r="O28" t="e">
        <f>CONCATENATE("M(",I28,")=")</f>
        <v>#VALUE!</v>
      </c>
      <c r="P28" t="e">
        <f>2*(P26*WLS)/3*N29</f>
        <v>#VALUE!</v>
      </c>
      <c r="Q28" s="80"/>
      <c r="R28" s="81"/>
      <c r="V28" s="89" t="e">
        <f>SUM(V26:V27)</f>
        <v>#N/A</v>
      </c>
      <c r="X28" s="89" t="e">
        <f>SUM(X26:X27)</f>
        <v>#N/A</v>
      </c>
      <c r="Y28" s="84" t="str">
        <f>CONCATENATE("m'(",U27,")=")</f>
        <v>m'(#NA)=</v>
      </c>
      <c r="Z28" s="84" t="e">
        <f>(2*(Z25^2)/6*X28)+(Z27*U26*WLS)</f>
        <v>#VALUE!</v>
      </c>
      <c r="AA28" s="84" t="str">
        <f>CONCATENATE("M(",U26,")=")</f>
        <v>M(#NA)=</v>
      </c>
      <c r="AB28" s="84" t="e">
        <f>IF(U26=RisePerWLS,0,VLOOKUP(U26,STN_TABLE,4,FALSE))</f>
        <v>#VALUE!</v>
      </c>
      <c r="AC28" t="str">
        <f>CONCATENATE("M(",U27,")=")</f>
        <v>M(#NA)=</v>
      </c>
      <c r="AD28" t="e">
        <f>Z28+AB28</f>
        <v>#VALUE!</v>
      </c>
      <c r="AE28" s="80"/>
    </row>
    <row r="29" spans="1:35" x14ac:dyDescent="0.25">
      <c r="G29" s="91"/>
      <c r="H29" s="91"/>
      <c r="L29" s="89" t="e">
        <f>SUM(L26:L28)</f>
        <v>#VALUE!</v>
      </c>
      <c r="N29" s="89" t="e">
        <f>SUM(N26:N28)</f>
        <v>#VALUE!</v>
      </c>
      <c r="Q29" s="80"/>
      <c r="R29" s="81"/>
      <c r="AE29" s="80"/>
    </row>
    <row r="30" spans="1:35" x14ac:dyDescent="0.25">
      <c r="G30" s="91"/>
      <c r="H30" s="91"/>
    </row>
    <row r="31" spans="1:35" x14ac:dyDescent="0.25">
      <c r="G31" s="91"/>
      <c r="H31" s="91"/>
    </row>
    <row r="32" spans="1:35" x14ac:dyDescent="0.25">
      <c r="G32" s="91"/>
      <c r="H32" s="91"/>
      <c r="Q32" s="68">
        <f>B4</f>
        <v>0</v>
      </c>
      <c r="R32" s="69">
        <f>VLOOKUP(Q32,STN_TABLE,2,FALSE)</f>
        <v>9.5</v>
      </c>
      <c r="S32" s="69">
        <v>5</v>
      </c>
      <c r="T32" s="68">
        <f>R32*S32</f>
        <v>47.5</v>
      </c>
      <c r="U32" s="79">
        <v>3</v>
      </c>
      <c r="V32" s="68">
        <f>R32*U32</f>
        <v>28.5</v>
      </c>
      <c r="W32" t="s">
        <v>93</v>
      </c>
      <c r="X32" s="70">
        <f>IF(AND(Q34-Q33=Q33-Q32,NOT(AND(Q32=0,Q33=0)),NOT(AND(Q33=0,Q34=0))),WLS*(Q34-Q33),"#NA")</f>
        <v>0.5</v>
      </c>
      <c r="AD32" s="93"/>
      <c r="AH32" s="6" t="s">
        <v>93</v>
      </c>
      <c r="AI32" s="70">
        <f>WLS*(AD34-AD33)</f>
        <v>0.5</v>
      </c>
    </row>
    <row r="33" spans="1:47" x14ac:dyDescent="0.25">
      <c r="Q33" s="76">
        <f>B5</f>
        <v>0.25</v>
      </c>
      <c r="R33" s="77">
        <f>VLOOKUP(Q33,STN_TABLE,2,FALSE)</f>
        <v>10.32</v>
      </c>
      <c r="S33" s="77">
        <v>8</v>
      </c>
      <c r="T33" s="76">
        <f>R33*S33</f>
        <v>82.56</v>
      </c>
      <c r="U33" s="80">
        <v>10</v>
      </c>
      <c r="V33" s="76">
        <f>R33*U33</f>
        <v>103.2</v>
      </c>
      <c r="W33" s="495" t="s">
        <v>97</v>
      </c>
      <c r="X33" s="496"/>
      <c r="Y33" s="496" t="s">
        <v>98</v>
      </c>
      <c r="Z33" s="496"/>
      <c r="AA33" s="494" t="s">
        <v>99</v>
      </c>
      <c r="AB33" s="494"/>
      <c r="AC33" s="94">
        <v>1</v>
      </c>
      <c r="AD33" s="95">
        <f>VLOOKUP(AC33,STN_TABLE_2,2,FALSE)</f>
        <v>0</v>
      </c>
      <c r="AE33" s="68">
        <f>VLOOKUP(AD33,STN_TABLE,2,FALSE)</f>
        <v>9.5</v>
      </c>
      <c r="AF33" s="68">
        <v>1</v>
      </c>
      <c r="AG33" s="69">
        <f>AE33*AF33</f>
        <v>9.5</v>
      </c>
      <c r="AH33" s="496" t="s">
        <v>97</v>
      </c>
      <c r="AI33" s="496"/>
      <c r="AJ33" s="496" t="s">
        <v>98</v>
      </c>
      <c r="AK33" s="496"/>
      <c r="AL33" s="494" t="s">
        <v>99</v>
      </c>
      <c r="AM33" s="494"/>
      <c r="AP33" s="96" t="s">
        <v>112</v>
      </c>
      <c r="AQ33" s="89" t="s">
        <v>113</v>
      </c>
      <c r="AR33" s="89" t="s">
        <v>114</v>
      </c>
      <c r="AS33" s="89" t="s">
        <v>115</v>
      </c>
      <c r="AT33" s="97" t="s">
        <v>116</v>
      </c>
      <c r="AU33" s="98"/>
    </row>
    <row r="34" spans="1:47" x14ac:dyDescent="0.25">
      <c r="Q34" s="82">
        <f>B6</f>
        <v>0.5</v>
      </c>
      <c r="R34" s="83">
        <f>VLOOKUP(Q34,STN_TABLE,2,FALSE)</f>
        <v>10.66</v>
      </c>
      <c r="S34" s="83">
        <v>-1</v>
      </c>
      <c r="T34" s="82">
        <f>R34*S34</f>
        <v>-10.66</v>
      </c>
      <c r="U34" s="88">
        <v>-1</v>
      </c>
      <c r="V34" s="82">
        <f>R34*U34</f>
        <v>-10.66</v>
      </c>
      <c r="W34" s="84" t="str">
        <f>CONCATENATE("a'(",Q33,")=")</f>
        <v>a'(0.25)=</v>
      </c>
      <c r="X34" s="84">
        <f>2*X32/12*T35</f>
        <v>9.9499999999999993</v>
      </c>
      <c r="Y34" s="84" t="str">
        <f>CONCATENATE("A(",Q32,")=")</f>
        <v>A(0)=</v>
      </c>
      <c r="Z34" s="84">
        <f>VLOOKUP(Q32,STN_TABLE,3,FALSE)</f>
        <v>0</v>
      </c>
      <c r="AA34" t="str">
        <f>CONCATENATE("A(",Q33,")=")</f>
        <v>A(0.25)=</v>
      </c>
      <c r="AB34">
        <f>X34+Z34</f>
        <v>9.9499999999999993</v>
      </c>
      <c r="AC34" s="99">
        <f>AC33+1</f>
        <v>2</v>
      </c>
      <c r="AD34" s="100">
        <f>VLOOKUP(AC34,STN_TABLE_2,2,FALSE)</f>
        <v>0.25</v>
      </c>
      <c r="AE34" s="82">
        <f>VLOOKUP(AD34,STN_TABLE,2,FALSE)</f>
        <v>10.32</v>
      </c>
      <c r="AF34" s="82">
        <v>2</v>
      </c>
      <c r="AG34" s="83">
        <f>AE34*AF34</f>
        <v>20.64</v>
      </c>
      <c r="AH34" s="84" t="str">
        <f>CONCATENATE("a'(",AD34,")=")</f>
        <v>a'(0.25)=</v>
      </c>
      <c r="AI34" s="84">
        <f>2*AI32/2*AE35</f>
        <v>9.91</v>
      </c>
      <c r="AJ34" s="84" t="str">
        <f>CONCATENATE("A(",AD33,")=")</f>
        <v>A(0)=</v>
      </c>
      <c r="AK34" s="84">
        <f>VLOOKUP(AD33,STN_TABLE,3,FALSE)</f>
        <v>0</v>
      </c>
      <c r="AL34" t="str">
        <f>CONCATENATE("A(",AD34,")=")</f>
        <v>A(0.25)=</v>
      </c>
      <c r="AM34">
        <f>AI34+AK34</f>
        <v>9.91</v>
      </c>
      <c r="AO34" s="68" t="str">
        <f>AA34</f>
        <v>A(0.25)=</v>
      </c>
      <c r="AP34" s="79" t="e">
        <f>VLOOKUP(AO34,Rise_Results,2,FALSE)</f>
        <v>#N/A</v>
      </c>
      <c r="AQ34" s="76" t="s">
        <v>117</v>
      </c>
      <c r="AR34" s="76">
        <f>IF(OR(AB34&lt;=0,AB35&lt;=0),1/0,AB34)</f>
        <v>9.9499999999999993</v>
      </c>
      <c r="AS34" s="76">
        <f>AM34</f>
        <v>9.91</v>
      </c>
      <c r="AT34" s="80">
        <f>IFERROR(AP34,IFERROR(AR34,AS34))</f>
        <v>9.9499999999999993</v>
      </c>
    </row>
    <row r="35" spans="1:47" x14ac:dyDescent="0.25">
      <c r="A35" s="101"/>
      <c r="T35" s="89">
        <f>SUM(T32:T34)</f>
        <v>119.4</v>
      </c>
      <c r="V35" s="82">
        <f>SUM(V32:V34)</f>
        <v>121.03999999999999</v>
      </c>
      <c r="W35" s="84" t="str">
        <f>CONCATENATE("m'(",Q33,")=")</f>
        <v>m'(0.25)=</v>
      </c>
      <c r="X35" s="84">
        <f>(2*(X32^2)/24*V35)</f>
        <v>2.5216666666666665</v>
      </c>
      <c r="Y35" s="84" t="str">
        <f>CONCATENATE("M(",Q32,")=")</f>
        <v>M(0)=</v>
      </c>
      <c r="Z35" s="84">
        <f>VLOOKUP(Q32,STN_TABLE,4,FALSE)</f>
        <v>0</v>
      </c>
      <c r="AA35" t="str">
        <f>CONCATENATE("M(",Q33,")=")</f>
        <v>M(0.25)=</v>
      </c>
      <c r="AB35">
        <f>X35+Z35</f>
        <v>2.5216666666666665</v>
      </c>
      <c r="AE35" s="89">
        <f>SUM(AE33:AE34)</f>
        <v>19.82</v>
      </c>
      <c r="AG35" s="89">
        <f>SUM(AG33:AG34)</f>
        <v>30.14</v>
      </c>
      <c r="AH35" s="84" t="str">
        <f>CONCATENATE("m'(",AD34,")=")</f>
        <v>m'(0.25)=</v>
      </c>
      <c r="AI35" s="84">
        <f>(2*(AI32^2)/6*AG35)+(AI34*AD33*WLS)</f>
        <v>2.5116666666666667</v>
      </c>
      <c r="AJ35" s="84" t="str">
        <f>CONCATENATE("M(",AD33,")=")</f>
        <v>M(0)=</v>
      </c>
      <c r="AK35" s="84">
        <f>VLOOKUP(AD33,STN_TABLE,4,FALSE)</f>
        <v>0</v>
      </c>
      <c r="AL35" t="str">
        <f>CONCATENATE("M(",AD34,")=")</f>
        <v>M(0.25)=</v>
      </c>
      <c r="AM35">
        <f>AI35+AK35</f>
        <v>2.5116666666666667</v>
      </c>
      <c r="AO35" s="82" t="str">
        <f>AA35</f>
        <v>M(0.25)=</v>
      </c>
      <c r="AP35" s="88" t="e">
        <f>VLOOKUP(AO35,Rise_Results,2,FALSE)</f>
        <v>#N/A</v>
      </c>
      <c r="AQ35" s="82" t="s">
        <v>117</v>
      </c>
      <c r="AR35" s="82">
        <f>IF(OR(AB34&lt;=0,AB35&lt;=0),1/0,AB35)</f>
        <v>2.5216666666666665</v>
      </c>
      <c r="AS35" s="82">
        <f>AM35</f>
        <v>2.5116666666666667</v>
      </c>
      <c r="AT35" s="80">
        <f>IFERROR(AP35,IFERROR(AR35,AS35))</f>
        <v>2.5216666666666665</v>
      </c>
    </row>
    <row r="36" spans="1:47" x14ac:dyDescent="0.25">
      <c r="O36" s="94">
        <v>1</v>
      </c>
      <c r="P36" s="101">
        <f t="shared" ref="P36:P67" si="10">VLOOKUP(O36,STN_TABLE_2,2,FALSE)</f>
        <v>0</v>
      </c>
      <c r="AU36" s="81"/>
    </row>
    <row r="37" spans="1:47" x14ac:dyDescent="0.25">
      <c r="A37" s="94">
        <v>1</v>
      </c>
      <c r="B37" s="94">
        <f>VLOOKUP(A37,STN_TABLE_2,2,FALSE)</f>
        <v>0</v>
      </c>
      <c r="C37" s="79">
        <f>B37</f>
        <v>0</v>
      </c>
      <c r="D37" s="68">
        <f>VLOOKUP(C37,STN_TABLE,2,FALSE)</f>
        <v>9.5</v>
      </c>
      <c r="E37" s="102">
        <v>1</v>
      </c>
      <c r="F37" s="68">
        <f>D37*E37</f>
        <v>9.5</v>
      </c>
      <c r="G37" s="69">
        <f>C37</f>
        <v>0</v>
      </c>
      <c r="H37" s="69">
        <f>F37*G37</f>
        <v>0</v>
      </c>
      <c r="I37" s="6" t="s">
        <v>93</v>
      </c>
      <c r="J37" s="70">
        <f>IF(OR(D37=0,D38=0,D39=0),"#NA",IF(AND(C39-C38=C38-C37,C38&lt;&gt;C39,C37&lt;&gt;C38,C37&lt;&gt;C39,D39&lt;&gt;0,OR(D37&lt;&gt;0,D38&lt;&gt;0)),WLS*(C39-C38),"#NA"))</f>
        <v>0.5</v>
      </c>
      <c r="O37" s="99">
        <f>O36+1</f>
        <v>2</v>
      </c>
      <c r="P37" s="99">
        <f t="shared" si="10"/>
        <v>0.25</v>
      </c>
      <c r="Q37" s="68">
        <f>IF(OR(P39-P38=P38-P37,P40-P38=P38-P37),P37,IF(OR(P39-P38=P38-P36,P40-P38=P38-P36),P36,"-"))</f>
        <v>0.25</v>
      </c>
      <c r="R37" s="69">
        <f>VLOOKUP(Q37,STN_TABLE,2,FALSE)</f>
        <v>10.32</v>
      </c>
      <c r="S37" s="69">
        <v>5</v>
      </c>
      <c r="T37" s="68">
        <f>R37*S37</f>
        <v>51.6</v>
      </c>
      <c r="U37" s="79">
        <v>3</v>
      </c>
      <c r="V37" s="68">
        <f>R37*U37</f>
        <v>30.96</v>
      </c>
      <c r="W37" s="6" t="s">
        <v>93</v>
      </c>
      <c r="X37" s="70">
        <f>IF(AND(Q39-Q38=Q38-Q37,NOT(AND(Q37=0,Q38=0)),NOT(AND(Q38=0,Q39=0))),WLS*(Q39-Q38),"#NA")</f>
        <v>0.5</v>
      </c>
      <c r="AD37" s="93"/>
      <c r="AH37" s="6" t="s">
        <v>93</v>
      </c>
      <c r="AI37" s="70">
        <f>WLS*(AD39-AD38)</f>
        <v>0.5</v>
      </c>
      <c r="AU37" s="81"/>
    </row>
    <row r="38" spans="1:47" x14ac:dyDescent="0.25">
      <c r="A38" s="94">
        <f>A37+1</f>
        <v>2</v>
      </c>
      <c r="B38" s="94">
        <f>VLOOKUP(A38,STN_TABLE_2,2,FALSE)</f>
        <v>0.25</v>
      </c>
      <c r="C38" s="80">
        <f>B38</f>
        <v>0.25</v>
      </c>
      <c r="D38" s="76">
        <f>VLOOKUP(C38,STN_TABLE,2,FALSE)</f>
        <v>10.32</v>
      </c>
      <c r="E38" s="81">
        <v>4</v>
      </c>
      <c r="F38" s="76">
        <f>D38*E38</f>
        <v>41.28</v>
      </c>
      <c r="G38" s="77">
        <f>C38</f>
        <v>0.25</v>
      </c>
      <c r="H38" s="77">
        <f>F38*G38</f>
        <v>10.32</v>
      </c>
      <c r="I38" s="496" t="s">
        <v>97</v>
      </c>
      <c r="J38" s="496"/>
      <c r="K38" s="78" t="s">
        <v>98</v>
      </c>
      <c r="L38" s="78"/>
      <c r="M38" s="7" t="s">
        <v>99</v>
      </c>
      <c r="N38" s="7"/>
      <c r="O38" s="99">
        <f>O37+1</f>
        <v>3</v>
      </c>
      <c r="P38" s="99">
        <f t="shared" si="10"/>
        <v>0.5</v>
      </c>
      <c r="Q38" s="76">
        <f>P38</f>
        <v>0.5</v>
      </c>
      <c r="R38" s="77">
        <f>VLOOKUP(Q38,STN_TABLE,2,FALSE)</f>
        <v>10.66</v>
      </c>
      <c r="S38" s="77">
        <v>8</v>
      </c>
      <c r="T38" s="76">
        <f>R38*S38</f>
        <v>85.28</v>
      </c>
      <c r="U38" s="80">
        <v>10</v>
      </c>
      <c r="V38" s="76">
        <f>R38*U38</f>
        <v>106.6</v>
      </c>
      <c r="W38" s="496" t="s">
        <v>97</v>
      </c>
      <c r="X38" s="496"/>
      <c r="Y38" s="496" t="s">
        <v>98</v>
      </c>
      <c r="Z38" s="496"/>
      <c r="AA38" s="494" t="s">
        <v>99</v>
      </c>
      <c r="AB38" s="494"/>
      <c r="AC38" s="99">
        <f>AC33+1</f>
        <v>2</v>
      </c>
      <c r="AD38" s="95">
        <f>VLOOKUP(AC38,STN_TABLE_2,2,FALSE)</f>
        <v>0.25</v>
      </c>
      <c r="AE38" s="68">
        <f>VLOOKUP(AD38,STN_TABLE,2,FALSE)</f>
        <v>10.32</v>
      </c>
      <c r="AF38" s="68">
        <v>1</v>
      </c>
      <c r="AG38" s="69">
        <f>AE38*AF38</f>
        <v>10.32</v>
      </c>
      <c r="AH38" s="496" t="s">
        <v>97</v>
      </c>
      <c r="AI38" s="496"/>
      <c r="AJ38" s="496" t="s">
        <v>98</v>
      </c>
      <c r="AK38" s="496"/>
      <c r="AL38" s="494" t="s">
        <v>99</v>
      </c>
      <c r="AM38" s="494"/>
      <c r="AP38" s="86" t="s">
        <v>112</v>
      </c>
      <c r="AQ38" s="89" t="s">
        <v>113</v>
      </c>
      <c r="AR38" s="89" t="s">
        <v>114</v>
      </c>
      <c r="AS38" s="89" t="s">
        <v>115</v>
      </c>
    </row>
    <row r="39" spans="1:47" x14ac:dyDescent="0.25">
      <c r="A39" s="94">
        <f>A38+1</f>
        <v>3</v>
      </c>
      <c r="B39" s="94">
        <f>VLOOKUP(A39,STN_TABLE_2,2,FALSE)</f>
        <v>0.5</v>
      </c>
      <c r="C39" s="88">
        <f>B39</f>
        <v>0.5</v>
      </c>
      <c r="D39" s="82">
        <f>VLOOKUP(C39,STN_TABLE,2,FALSE)</f>
        <v>10.66</v>
      </c>
      <c r="E39" s="92">
        <v>1</v>
      </c>
      <c r="F39" s="82">
        <f>D39*E39</f>
        <v>10.66</v>
      </c>
      <c r="G39" s="83">
        <f>C39</f>
        <v>0.5</v>
      </c>
      <c r="H39" s="83">
        <f>F39*G39</f>
        <v>5.33</v>
      </c>
      <c r="I39" s="84" t="str">
        <f>CONCATENATE("a'(",C39,")=")</f>
        <v>a'(0.5)=</v>
      </c>
      <c r="J39" s="84">
        <f>2*J37/3*F40</f>
        <v>20.479999999999997</v>
      </c>
      <c r="K39" s="84" t="str">
        <f>CONCATENATE("A(",C37,")=")</f>
        <v>A(0)=</v>
      </c>
      <c r="L39" s="84">
        <f>VLOOKUP(C37,STN_TABLE,3,FALSE)</f>
        <v>0</v>
      </c>
      <c r="M39" t="str">
        <f>CONCATENATE("A(",C39,")=")</f>
        <v>A(0.5)=</v>
      </c>
      <c r="N39">
        <f>J39+L39</f>
        <v>20.479999999999997</v>
      </c>
      <c r="O39" s="99">
        <f>O38+1</f>
        <v>4</v>
      </c>
      <c r="P39" s="99">
        <f t="shared" si="10"/>
        <v>0.75</v>
      </c>
      <c r="Q39" s="82">
        <f>IF(P39-P38=P38-P37,P39,IF(P40-P38=P38-P37,P40,IF(P39-P38=P38-P36,P39,IF(P40-P38=P38-P36,P40,"-"))))</f>
        <v>0.75</v>
      </c>
      <c r="R39" s="83">
        <f>VLOOKUP(Q39,STN_TABLE,2,FALSE)</f>
        <v>10.87</v>
      </c>
      <c r="S39" s="83">
        <v>-1</v>
      </c>
      <c r="T39" s="82">
        <f>R39*S39</f>
        <v>-10.87</v>
      </c>
      <c r="U39" s="88">
        <v>-1</v>
      </c>
      <c r="V39" s="82">
        <f>R39*U39</f>
        <v>-10.87</v>
      </c>
      <c r="W39" s="84" t="str">
        <f>CONCATENATE("a'(",Q38,")=")</f>
        <v>a'(0.5)=</v>
      </c>
      <c r="X39" s="84">
        <f>2*X37/12*T40</f>
        <v>10.500833333333333</v>
      </c>
      <c r="Y39" s="84" t="str">
        <f>CONCATENATE("A(",Q37,")=")</f>
        <v>A(0.25)=</v>
      </c>
      <c r="Z39" s="84">
        <f>VLOOKUP(Q37,STN_TABLE,3,FALSE)</f>
        <v>9.9499999999999993</v>
      </c>
      <c r="AA39" t="str">
        <f>CONCATENATE("A(",Q38,")=")</f>
        <v>A(0.5)=</v>
      </c>
      <c r="AB39">
        <f>X39+Z39</f>
        <v>20.450833333333332</v>
      </c>
      <c r="AC39" s="99">
        <f>AC38+1</f>
        <v>3</v>
      </c>
      <c r="AD39" s="100">
        <f>VLOOKUP(AC39,STN_TABLE_2,2,FALSE)</f>
        <v>0.5</v>
      </c>
      <c r="AE39" s="82">
        <f>VLOOKUP(AD39,STN_TABLE,2,FALSE)</f>
        <v>10.66</v>
      </c>
      <c r="AF39" s="82">
        <v>2</v>
      </c>
      <c r="AG39" s="83">
        <f>AE39*AF39</f>
        <v>21.32</v>
      </c>
      <c r="AH39" s="84" t="str">
        <f>CONCATENATE("a'(",AD39,")=")</f>
        <v>a'(0.5)=</v>
      </c>
      <c r="AI39" s="84">
        <f>2*AI37/2*AE40</f>
        <v>10.49</v>
      </c>
      <c r="AJ39" s="84" t="str">
        <f>CONCATENATE("A(",AD38,")=")</f>
        <v>A(0.25)=</v>
      </c>
      <c r="AK39" s="84">
        <f>VLOOKUP(AD38,STN_TABLE,3,FALSE)</f>
        <v>9.9499999999999993</v>
      </c>
      <c r="AL39" t="str">
        <f>CONCATENATE("A(",AD39,")=")</f>
        <v>A(0.5)=</v>
      </c>
      <c r="AM39">
        <f>AI39+AK39</f>
        <v>20.439999999999998</v>
      </c>
      <c r="AO39" s="68" t="str">
        <f>AA39</f>
        <v>A(0.5)=</v>
      </c>
      <c r="AP39" s="68" t="e">
        <f>VLOOKUP(AO39,Rise_Results,2,FALSE)</f>
        <v>#N/A</v>
      </c>
      <c r="AQ39" s="76">
        <f>N39</f>
        <v>20.479999999999997</v>
      </c>
      <c r="AR39" s="76">
        <f>IF(OR(AB39&lt;=0,AB40&lt;=0),1/0,AB39)</f>
        <v>20.450833333333332</v>
      </c>
      <c r="AS39" s="76">
        <f>AM39</f>
        <v>20.439999999999998</v>
      </c>
      <c r="AT39">
        <f>IFERROR(AP39,IFERROR(AQ39,IFERROR(AR39,AS39)))</f>
        <v>20.479999999999997</v>
      </c>
    </row>
    <row r="40" spans="1:47" x14ac:dyDescent="0.25">
      <c r="A40">
        <v>4</v>
      </c>
      <c r="F40" s="82">
        <f>SUM(F37:F39)</f>
        <v>61.44</v>
      </c>
      <c r="H40" s="82">
        <f>SUM(H37:H39)</f>
        <v>15.65</v>
      </c>
      <c r="I40" s="84" t="str">
        <f>CONCATENATE("m'(",C39,")=")</f>
        <v>m'(0.5)=</v>
      </c>
      <c r="J40" s="84">
        <f>2*(J37*(WLS))/3*H40</f>
        <v>10.433333333333334</v>
      </c>
      <c r="K40" s="84" t="str">
        <f>CONCATENATE("M(",C37,")=")</f>
        <v>M(0)=</v>
      </c>
      <c r="L40" s="84">
        <f>VLOOKUP(C37,STN_TABLE,4,FALSE)</f>
        <v>0</v>
      </c>
      <c r="M40" t="str">
        <f>CONCATENATE("M(",C39,")=")</f>
        <v>M(0.5)=</v>
      </c>
      <c r="N40">
        <f>J40+L40</f>
        <v>10.433333333333334</v>
      </c>
      <c r="O40" s="99">
        <f>O39+1</f>
        <v>5</v>
      </c>
      <c r="P40" s="99">
        <f t="shared" si="10"/>
        <v>1</v>
      </c>
      <c r="T40" s="89">
        <f>SUM(T37:T39)</f>
        <v>126.00999999999999</v>
      </c>
      <c r="V40" s="82">
        <f>SUM(V37:V39)</f>
        <v>126.69</v>
      </c>
      <c r="W40" s="84" t="str">
        <f>CONCATENATE("m'(",Q38,")=")</f>
        <v>m'(0.5)=</v>
      </c>
      <c r="X40" s="84">
        <f>(2*(X37^2)/24*V40)+(X39*Q37*WLS)</f>
        <v>7.8897916666666656</v>
      </c>
      <c r="Y40" s="84" t="str">
        <f>CONCATENATE("M(",Q37,")=")</f>
        <v>M(0.25)=</v>
      </c>
      <c r="Z40" s="84">
        <f>VLOOKUP(Q37,STN_TABLE,4,FALSE)</f>
        <v>2.5216666666666665</v>
      </c>
      <c r="AA40" t="str">
        <f>CONCATENATE("M(",Q38,")=")</f>
        <v>M(0.5)=</v>
      </c>
      <c r="AB40">
        <f>X40+Z40</f>
        <v>10.411458333333332</v>
      </c>
      <c r="AE40" s="89">
        <f>SUM(AE38:AE39)</f>
        <v>20.98</v>
      </c>
      <c r="AG40" s="89">
        <f>SUM(AG38:AG39)</f>
        <v>31.64</v>
      </c>
      <c r="AH40" s="84" t="str">
        <f>CONCATENATE("m'(",AD39,")=")</f>
        <v>m'(0.5)=</v>
      </c>
      <c r="AI40" s="84">
        <f>(2*(AI37^2)/6*AG40)+(AI39*AD38*WLS)</f>
        <v>7.8816666666666668</v>
      </c>
      <c r="AJ40" s="84" t="str">
        <f>CONCATENATE("M(",AD38,")=")</f>
        <v>M(0.25)=</v>
      </c>
      <c r="AK40" s="84">
        <f>VLOOKUP(AD38,STN_TABLE,4,FALSE)</f>
        <v>2.5216666666666665</v>
      </c>
      <c r="AL40" t="str">
        <f>CONCATENATE("M(",AD39,")=")</f>
        <v>M(0.5)=</v>
      </c>
      <c r="AM40">
        <f>AI40+AK40</f>
        <v>10.403333333333332</v>
      </c>
      <c r="AO40" s="82" t="str">
        <f>AA40</f>
        <v>M(0.5)=</v>
      </c>
      <c r="AP40" s="82" t="e">
        <f>VLOOKUP(AO40,Rise_Results,2,FALSE)</f>
        <v>#N/A</v>
      </c>
      <c r="AQ40" s="82">
        <f>N40</f>
        <v>10.433333333333334</v>
      </c>
      <c r="AR40" s="82">
        <f>IF(OR(AB39&lt;=0,AB40&lt;=0),1/0,AB40)</f>
        <v>10.411458333333332</v>
      </c>
      <c r="AS40" s="82">
        <f>AM40</f>
        <v>10.403333333333332</v>
      </c>
      <c r="AT40">
        <f>IFERROR(AP40,IFERROR(AQ40,IFERROR(AR40,AS40)))</f>
        <v>10.433333333333334</v>
      </c>
    </row>
    <row r="41" spans="1:47" x14ac:dyDescent="0.25">
      <c r="A41" s="94">
        <v>0</v>
      </c>
      <c r="O41" s="101">
        <f>O36+1</f>
        <v>2</v>
      </c>
      <c r="P41" s="101">
        <f t="shared" si="10"/>
        <v>0.25</v>
      </c>
    </row>
    <row r="42" spans="1:47" x14ac:dyDescent="0.25">
      <c r="A42" s="94">
        <f>A41+1</f>
        <v>1</v>
      </c>
      <c r="B42" s="94">
        <f t="shared" ref="B42:B73" si="11">VLOOKUP(A42,STN_TABLE_2,2,FALSE)</f>
        <v>0</v>
      </c>
      <c r="C42" s="79">
        <f>IF(C43=B43,B42,IF(C43=B44,IF(C44-C43=C43-B43,B43,IF(C44-C43=C43-B42,B42,"NA"))))</f>
        <v>0.25</v>
      </c>
      <c r="D42" s="68">
        <f>VLOOKUP(C42,STN_TABLE,2,FALSE)</f>
        <v>10.32</v>
      </c>
      <c r="E42" s="102">
        <v>1</v>
      </c>
      <c r="F42" s="68">
        <f>D42*E42</f>
        <v>10.32</v>
      </c>
      <c r="G42" s="69">
        <f>C42</f>
        <v>0.25</v>
      </c>
      <c r="H42" s="69">
        <f>F42*G42</f>
        <v>2.58</v>
      </c>
      <c r="I42" s="6" t="s">
        <v>93</v>
      </c>
      <c r="J42" s="70">
        <f>IF(OR(D42=0,D43=0,D44=0),"#NA",IF(AND(C44-C43=C43-C42,C43&lt;&gt;C44,C42&lt;&gt;C43,C42&lt;&gt;C44,D44&lt;&gt;0,OR(D42&lt;&gt;0,D43&lt;&gt;0)),WLS*(C44-C43),"#NA"))</f>
        <v>0.5</v>
      </c>
      <c r="O42" s="99">
        <f>O41+1</f>
        <v>3</v>
      </c>
      <c r="P42" s="99">
        <f t="shared" si="10"/>
        <v>0.5</v>
      </c>
      <c r="Q42" s="68">
        <f>IF(OR(P44-P43=P43-P42,P45-P43=P43-P42),P42,IF(OR(P44-P43=P43-P41,P45-P43=P43-P41),P41,"-"))</f>
        <v>0.5</v>
      </c>
      <c r="R42" s="69">
        <f>VLOOKUP(Q42,STN_TABLE,2,FALSE)</f>
        <v>10.66</v>
      </c>
      <c r="S42" s="69">
        <v>5</v>
      </c>
      <c r="T42" s="68">
        <f>R42*S42</f>
        <v>53.3</v>
      </c>
      <c r="U42" s="79">
        <v>3</v>
      </c>
      <c r="V42" s="68">
        <f>R42*U42</f>
        <v>31.98</v>
      </c>
      <c r="W42" s="6" t="s">
        <v>93</v>
      </c>
      <c r="X42" s="70">
        <f>IF(AND(Q44-Q43=Q43-Q42,NOT(AND(Q42=0,Q43=0)),NOT(AND(Q43=0,Q44=0))),WLS*(Q44-Q43),"#NA")</f>
        <v>0.5</v>
      </c>
      <c r="AD42" s="93"/>
      <c r="AH42" s="6" t="s">
        <v>93</v>
      </c>
      <c r="AI42" s="70">
        <f>WLS*(AD44-AD43)</f>
        <v>0.5</v>
      </c>
      <c r="AU42" s="81"/>
    </row>
    <row r="43" spans="1:47" x14ac:dyDescent="0.25">
      <c r="A43" s="94">
        <f>A42+1</f>
        <v>2</v>
      </c>
      <c r="B43" s="94">
        <f t="shared" si="11"/>
        <v>0.25</v>
      </c>
      <c r="C43" s="80">
        <f>IF(OR(B45-B44=B44-B43,B45-B44=B44-B42,),B44,IF(B45-B43=B43-B42,B43,"#NA"))</f>
        <v>0.5</v>
      </c>
      <c r="D43" s="76">
        <f>VLOOKUP(C43,STN_TABLE,2,FALSE)</f>
        <v>10.66</v>
      </c>
      <c r="E43" s="81">
        <v>4</v>
      </c>
      <c r="F43" s="76">
        <f>D43*E43</f>
        <v>42.64</v>
      </c>
      <c r="G43" s="77">
        <f>C43</f>
        <v>0.5</v>
      </c>
      <c r="H43" s="77">
        <f>F43*G43</f>
        <v>21.32</v>
      </c>
      <c r="I43" s="496" t="s">
        <v>97</v>
      </c>
      <c r="J43" s="496"/>
      <c r="K43" s="78" t="s">
        <v>98</v>
      </c>
      <c r="L43" s="78"/>
      <c r="M43" s="7" t="s">
        <v>99</v>
      </c>
      <c r="N43" s="7"/>
      <c r="O43" s="99">
        <f>O42+1</f>
        <v>4</v>
      </c>
      <c r="P43" s="99">
        <f t="shared" si="10"/>
        <v>0.75</v>
      </c>
      <c r="Q43" s="76">
        <f>P43</f>
        <v>0.75</v>
      </c>
      <c r="R43" s="77">
        <f>VLOOKUP(Q43,STN_TABLE,2,FALSE)</f>
        <v>10.87</v>
      </c>
      <c r="S43" s="77">
        <v>8</v>
      </c>
      <c r="T43" s="76">
        <f>R43*S43</f>
        <v>86.96</v>
      </c>
      <c r="U43" s="80">
        <v>10</v>
      </c>
      <c r="V43" s="76">
        <f>R43*U43</f>
        <v>108.69999999999999</v>
      </c>
      <c r="W43" s="496" t="s">
        <v>97</v>
      </c>
      <c r="X43" s="496"/>
      <c r="Y43" s="496" t="s">
        <v>98</v>
      </c>
      <c r="Z43" s="496"/>
      <c r="AA43" s="494" t="s">
        <v>99</v>
      </c>
      <c r="AB43" s="494"/>
      <c r="AC43" s="99">
        <f>AC38+1</f>
        <v>3</v>
      </c>
      <c r="AD43" s="95">
        <f>VLOOKUP(AC43,STN_TABLE_2,2,FALSE)</f>
        <v>0.5</v>
      </c>
      <c r="AE43" s="68">
        <f>VLOOKUP(AD43,STN_TABLE,2,FALSE)</f>
        <v>10.66</v>
      </c>
      <c r="AF43" s="68">
        <v>1</v>
      </c>
      <c r="AG43" s="69">
        <f>AE43*AF43</f>
        <v>10.66</v>
      </c>
      <c r="AH43" s="496" t="s">
        <v>97</v>
      </c>
      <c r="AI43" s="496"/>
      <c r="AJ43" s="496" t="s">
        <v>98</v>
      </c>
      <c r="AK43" s="496"/>
      <c r="AL43" s="494" t="s">
        <v>99</v>
      </c>
      <c r="AM43" s="494"/>
      <c r="AP43" s="86" t="s">
        <v>112</v>
      </c>
      <c r="AQ43" s="89" t="s">
        <v>113</v>
      </c>
      <c r="AR43" s="89" t="s">
        <v>114</v>
      </c>
      <c r="AS43" s="89" t="s">
        <v>115</v>
      </c>
      <c r="AU43" s="81"/>
    </row>
    <row r="44" spans="1:47" x14ac:dyDescent="0.25">
      <c r="A44" s="94">
        <f>A43+1</f>
        <v>3</v>
      </c>
      <c r="B44" s="94">
        <f t="shared" si="11"/>
        <v>0.5</v>
      </c>
      <c r="C44" s="88">
        <f>B45</f>
        <v>0.75</v>
      </c>
      <c r="D44" s="82">
        <f>VLOOKUP(C44,STN_TABLE,2,FALSE)</f>
        <v>10.87</v>
      </c>
      <c r="E44" s="92">
        <v>1</v>
      </c>
      <c r="F44" s="82">
        <f>D44*E44</f>
        <v>10.87</v>
      </c>
      <c r="G44" s="83">
        <f>C44</f>
        <v>0.75</v>
      </c>
      <c r="H44" s="83">
        <f>F44*G44</f>
        <v>8.1524999999999999</v>
      </c>
      <c r="I44" s="84" t="str">
        <f>CONCATENATE("a'(",C44,")=")</f>
        <v>a'(0.75)=</v>
      </c>
      <c r="J44" s="84">
        <f>2*J42/3*F45</f>
        <v>21.276666666666664</v>
      </c>
      <c r="K44" s="84" t="str">
        <f>CONCATENATE("A(",C42,")=")</f>
        <v>A(0.25)=</v>
      </c>
      <c r="L44" s="84">
        <f>VLOOKUP(C42,STN_TABLE,3,FALSE)</f>
        <v>9.9499999999999993</v>
      </c>
      <c r="M44" t="str">
        <f>CONCATENATE("A(",C44,")=")</f>
        <v>A(0.75)=</v>
      </c>
      <c r="N44">
        <f>J44+L44</f>
        <v>31.226666666666663</v>
      </c>
      <c r="O44" s="99">
        <f>O43+1</f>
        <v>5</v>
      </c>
      <c r="P44" s="99">
        <f t="shared" si="10"/>
        <v>1</v>
      </c>
      <c r="Q44" s="82">
        <f>IF(P44-P43=P43-P42,P44,IF(P45-P43=P43-P42,P45,IF(P44-P43=P43-P41,P44,IF(P45-P43=P43-P41,P45,"-"))))</f>
        <v>1</v>
      </c>
      <c r="R44" s="83">
        <f>VLOOKUP(Q44,STN_TABLE,2,FALSE)</f>
        <v>11</v>
      </c>
      <c r="S44" s="83">
        <v>-1</v>
      </c>
      <c r="T44" s="82">
        <f>R44*S44</f>
        <v>-11</v>
      </c>
      <c r="U44" s="88">
        <v>-1</v>
      </c>
      <c r="V44" s="82">
        <f>R44*U44</f>
        <v>-11</v>
      </c>
      <c r="W44" s="84" t="str">
        <f>CONCATENATE("a'(",Q43,")=")</f>
        <v>a'(0.75)=</v>
      </c>
      <c r="X44" s="84">
        <f>2*X42/12*T45</f>
        <v>10.771666666666665</v>
      </c>
      <c r="Y44" s="84" t="str">
        <f>CONCATENATE("A(",Q42,")=")</f>
        <v>A(0.5)=</v>
      </c>
      <c r="Z44" s="84">
        <f>VLOOKUP(Q42,STN_TABLE,3,FALSE)</f>
        <v>20.479999999999997</v>
      </c>
      <c r="AA44" t="str">
        <f>CONCATENATE("A(",Q43,")=")</f>
        <v>A(0.75)=</v>
      </c>
      <c r="AB44">
        <f>X44+Z44</f>
        <v>31.251666666666662</v>
      </c>
      <c r="AC44" s="99">
        <f>AC43+1</f>
        <v>4</v>
      </c>
      <c r="AD44" s="100">
        <f>VLOOKUP(AC44,STN_TABLE_2,2,FALSE)</f>
        <v>0.75</v>
      </c>
      <c r="AE44" s="82">
        <f>VLOOKUP(AD44,STN_TABLE,2,FALSE)</f>
        <v>10.87</v>
      </c>
      <c r="AF44" s="82">
        <v>2</v>
      </c>
      <c r="AG44" s="83">
        <f>AE44*AF44</f>
        <v>21.74</v>
      </c>
      <c r="AH44" s="84" t="str">
        <f>CONCATENATE("a'(",AD44,")=")</f>
        <v>a'(0.75)=</v>
      </c>
      <c r="AI44" s="84">
        <f>2*AI42/2*AE45</f>
        <v>10.765000000000001</v>
      </c>
      <c r="AJ44" s="84" t="str">
        <f>CONCATENATE("A(",AD43,")=")</f>
        <v>A(0.5)=</v>
      </c>
      <c r="AK44" s="84">
        <f>VLOOKUP(AD43,STN_TABLE,3,FALSE)</f>
        <v>20.479999999999997</v>
      </c>
      <c r="AL44" t="str">
        <f>CONCATENATE("A(",AD44,")=")</f>
        <v>A(0.75)=</v>
      </c>
      <c r="AM44">
        <f>AI44+AK44</f>
        <v>31.244999999999997</v>
      </c>
      <c r="AO44" s="68" t="str">
        <f>AA44</f>
        <v>A(0.75)=</v>
      </c>
      <c r="AP44" s="68" t="e">
        <f>VLOOKUP(AO44,Rise_Results,2,FALSE)</f>
        <v>#N/A</v>
      </c>
      <c r="AQ44" s="76">
        <f>N44</f>
        <v>31.226666666666663</v>
      </c>
      <c r="AR44" s="76">
        <f>IF(OR(AB44&lt;=0,AB45&lt;=0),1/0,AB44)</f>
        <v>31.251666666666662</v>
      </c>
      <c r="AS44" s="76">
        <f>AM44</f>
        <v>31.244999999999997</v>
      </c>
      <c r="AT44">
        <f>IFERROR(AP44,IFERROR(AQ44,IFERROR(AR44,AS44)))</f>
        <v>31.226666666666663</v>
      </c>
      <c r="AU44" s="81"/>
    </row>
    <row r="45" spans="1:47" x14ac:dyDescent="0.25">
      <c r="A45" s="94">
        <f>A44+1</f>
        <v>4</v>
      </c>
      <c r="B45" s="94">
        <f t="shared" si="11"/>
        <v>0.75</v>
      </c>
      <c r="F45" s="82">
        <f>SUM(F42:F44)</f>
        <v>63.83</v>
      </c>
      <c r="H45" s="82">
        <f>SUM(H42:H44)</f>
        <v>32.052499999999995</v>
      </c>
      <c r="I45" s="84" t="str">
        <f>CONCATENATE("m'(",C44,")=")</f>
        <v>m'(0.75)=</v>
      </c>
      <c r="J45" s="84">
        <f>2*(J42*(WLS))/3*H45</f>
        <v>21.368333333333329</v>
      </c>
      <c r="K45" s="84" t="str">
        <f>CONCATENATE("M(",C42,")=")</f>
        <v>M(0.25)=</v>
      </c>
      <c r="L45" s="84">
        <f>VLOOKUP(C42,STN_TABLE,4,FALSE)</f>
        <v>2.5216666666666665</v>
      </c>
      <c r="M45" t="str">
        <f>CONCATENATE("M(",C44,")=")</f>
        <v>M(0.75)=</v>
      </c>
      <c r="N45">
        <f>J45+L45</f>
        <v>23.889999999999993</v>
      </c>
      <c r="O45" s="99">
        <f>O44+1</f>
        <v>6</v>
      </c>
      <c r="P45" s="99">
        <f t="shared" si="10"/>
        <v>2</v>
      </c>
      <c r="T45" s="89">
        <f>SUM(T42:T44)</f>
        <v>129.26</v>
      </c>
      <c r="V45" s="82">
        <f>SUM(V42:V44)</f>
        <v>129.67999999999998</v>
      </c>
      <c r="W45" s="84" t="str">
        <f>CONCATENATE("m'(",Q43,")=")</f>
        <v>m'(0.75)=</v>
      </c>
      <c r="X45" s="84">
        <f>(2*(X42^2)/24*V45)+(X44*Q42*WLS)</f>
        <v>13.473333333333331</v>
      </c>
      <c r="Y45" s="84" t="str">
        <f>CONCATENATE("M(",Q42,")=")</f>
        <v>M(0.5)=</v>
      </c>
      <c r="Z45" s="84">
        <f>VLOOKUP(Q42,STN_TABLE,4,FALSE)</f>
        <v>10.433333333333334</v>
      </c>
      <c r="AA45" t="str">
        <f>CONCATENATE("M(",Q43,")=")</f>
        <v>M(0.75)=</v>
      </c>
      <c r="AB45">
        <f>X45+Z45</f>
        <v>23.906666666666666</v>
      </c>
      <c r="AE45" s="89">
        <f>SUM(AE43:AE44)</f>
        <v>21.53</v>
      </c>
      <c r="AG45" s="89">
        <f>SUM(AG43:AG44)</f>
        <v>32.4</v>
      </c>
      <c r="AH45" s="84" t="str">
        <f>CONCATENATE("m'(",AD44,")=")</f>
        <v>m'(0.75)=</v>
      </c>
      <c r="AI45" s="84">
        <f>(2*(AI42^2)/6*AG45)+(AI44*AD43*WLS)</f>
        <v>13.465</v>
      </c>
      <c r="AJ45" s="84" t="str">
        <f>CONCATENATE("M(",AD43,")=")</f>
        <v>M(0.5)=</v>
      </c>
      <c r="AK45" s="84">
        <f>VLOOKUP(AD43,STN_TABLE,4,FALSE)</f>
        <v>10.433333333333334</v>
      </c>
      <c r="AL45" t="str">
        <f>CONCATENATE("M(",AD44,")=")</f>
        <v>M(0.75)=</v>
      </c>
      <c r="AM45">
        <f>AI45+AK45</f>
        <v>23.898333333333333</v>
      </c>
      <c r="AO45" s="82" t="str">
        <f>AA45</f>
        <v>M(0.75)=</v>
      </c>
      <c r="AP45" s="82" t="e">
        <f>VLOOKUP(AO45,Rise_Results,2,FALSE)</f>
        <v>#N/A</v>
      </c>
      <c r="AQ45" s="82">
        <f>N45</f>
        <v>23.889999999999993</v>
      </c>
      <c r="AR45" s="82">
        <f>IF(OR(AB44&lt;=0,AB45&lt;=0),1/0,AB45)</f>
        <v>23.906666666666666</v>
      </c>
      <c r="AS45" s="82">
        <f>AM45</f>
        <v>23.898333333333333</v>
      </c>
      <c r="AT45">
        <f>IFERROR(AP45,IFERROR(AQ45,IFERROR(AR45,AS45)))</f>
        <v>23.889999999999993</v>
      </c>
      <c r="AU45" s="81"/>
    </row>
    <row r="46" spans="1:47" x14ac:dyDescent="0.25">
      <c r="A46" s="101">
        <f>A41+1</f>
        <v>1</v>
      </c>
      <c r="B46" s="101">
        <f t="shared" si="11"/>
        <v>0</v>
      </c>
      <c r="O46" s="101">
        <f>O41+1</f>
        <v>3</v>
      </c>
      <c r="P46" s="101">
        <f t="shared" si="10"/>
        <v>0.5</v>
      </c>
      <c r="AU46" s="81"/>
    </row>
    <row r="47" spans="1:47" x14ac:dyDescent="0.25">
      <c r="A47" s="84">
        <f>A46+1</f>
        <v>2</v>
      </c>
      <c r="B47" s="84">
        <f t="shared" si="11"/>
        <v>0.25</v>
      </c>
      <c r="C47" s="79">
        <f>IF(C48=B49,IF(C49-C48=C48-B48,B48,IF(C49-C48=C48-B47,B47,"#NA")),IF(C48=B48,IF(C49-C48=C48-B47,B47,IF(C49-C48=C48-B46,B46,"#NA")),"#NA"))</f>
        <v>0.5</v>
      </c>
      <c r="D47" s="68">
        <f>VLOOKUP(C47,STN_TABLE,2,FALSE)</f>
        <v>10.66</v>
      </c>
      <c r="E47" s="102">
        <v>1</v>
      </c>
      <c r="F47" s="68">
        <f>D47*E47</f>
        <v>10.66</v>
      </c>
      <c r="G47" s="69">
        <f>C47</f>
        <v>0.5</v>
      </c>
      <c r="H47" s="69">
        <f>F47*G47</f>
        <v>5.33</v>
      </c>
      <c r="I47" s="6" t="s">
        <v>93</v>
      </c>
      <c r="J47" s="70">
        <f>IF(OR(D47=0,D48=0,D49=0),"#NA",IF(AND(C49-C48=C48-C47,C48&lt;&gt;C49,C47&lt;&gt;C48,C47&lt;&gt;C49,D49&lt;&gt;0,OR(D47&lt;&gt;0,D48&lt;&gt;0)),WLS*(C49-C48),"#NA"))</f>
        <v>0.5</v>
      </c>
      <c r="O47" s="99">
        <f>O46+1</f>
        <v>4</v>
      </c>
      <c r="P47" s="99">
        <f t="shared" si="10"/>
        <v>0.75</v>
      </c>
      <c r="Q47" s="68" t="str">
        <f>IF(OR(P49-P48=P48-P47,P50-P48=P48-P47),P47,IF(OR(P49-P48=P48-P46,P50-P48=P48-P46),P46,"-"))</f>
        <v>-</v>
      </c>
      <c r="R47" s="69" t="e">
        <f>VLOOKUP(Q47,STN_TABLE,2,FALSE)</f>
        <v>#N/A</v>
      </c>
      <c r="S47" s="69">
        <v>5</v>
      </c>
      <c r="T47" s="68" t="e">
        <f>R47*S47</f>
        <v>#N/A</v>
      </c>
      <c r="U47" s="79">
        <v>3</v>
      </c>
      <c r="V47" s="68" t="e">
        <f>R47*U47</f>
        <v>#N/A</v>
      </c>
      <c r="W47" s="6" t="s">
        <v>93</v>
      </c>
      <c r="X47" s="70" t="e">
        <f>IF(AND(Q49-Q48=Q48-Q47,NOT(AND(Q47=0,Q48=0)),NOT(AND(Q48=0,Q49=0))),WLS*(Q49-Q48),"#NA")</f>
        <v>#VALUE!</v>
      </c>
      <c r="AD47" s="93"/>
      <c r="AH47" s="6" t="s">
        <v>93</v>
      </c>
      <c r="AI47" s="70">
        <f>WLS*(AD49-AD48)</f>
        <v>0.5</v>
      </c>
      <c r="AU47" s="81"/>
    </row>
    <row r="48" spans="1:47" x14ac:dyDescent="0.25">
      <c r="A48" s="84">
        <f>A47+1</f>
        <v>3</v>
      </c>
      <c r="B48" s="84">
        <f t="shared" si="11"/>
        <v>0.5</v>
      </c>
      <c r="C48" s="80">
        <f>IF(OR(B50-B49=B49-B48,B50-B49=B49-B47,B50-B49=B49-B46),B49,IF(OR(B50-B48=B48-B47,B50-B48=B48-B46),B48,IF(B50-B47=B47-B46,B47,"#NA")))</f>
        <v>0.75</v>
      </c>
      <c r="D48" s="76">
        <f>VLOOKUP(C48,STN_TABLE,2,FALSE)</f>
        <v>10.87</v>
      </c>
      <c r="E48" s="81">
        <v>4</v>
      </c>
      <c r="F48" s="76">
        <f>D48*E48</f>
        <v>43.48</v>
      </c>
      <c r="G48" s="77">
        <f>C48</f>
        <v>0.75</v>
      </c>
      <c r="H48" s="77">
        <f>F48*G48</f>
        <v>32.61</v>
      </c>
      <c r="I48" s="496" t="s">
        <v>97</v>
      </c>
      <c r="J48" s="496"/>
      <c r="K48" s="78" t="s">
        <v>98</v>
      </c>
      <c r="L48" s="78"/>
      <c r="M48" s="7" t="s">
        <v>99</v>
      </c>
      <c r="N48" s="7"/>
      <c r="O48" s="99">
        <f>O47+1</f>
        <v>5</v>
      </c>
      <c r="P48" s="99">
        <f t="shared" si="10"/>
        <v>1</v>
      </c>
      <c r="Q48" s="76">
        <f>P48</f>
        <v>1</v>
      </c>
      <c r="R48" s="77">
        <f>VLOOKUP(Q48,STN_TABLE,2,FALSE)</f>
        <v>11</v>
      </c>
      <c r="S48" s="77">
        <v>8</v>
      </c>
      <c r="T48" s="76">
        <f>R48*S48</f>
        <v>88</v>
      </c>
      <c r="U48" s="80">
        <v>10</v>
      </c>
      <c r="V48" s="76">
        <f>R48*U48</f>
        <v>110</v>
      </c>
      <c r="W48" s="496" t="s">
        <v>97</v>
      </c>
      <c r="X48" s="496"/>
      <c r="Y48" s="496" t="s">
        <v>98</v>
      </c>
      <c r="Z48" s="496"/>
      <c r="AA48" s="494" t="s">
        <v>99</v>
      </c>
      <c r="AB48" s="494"/>
      <c r="AC48" s="99">
        <f>AC43+1</f>
        <v>4</v>
      </c>
      <c r="AD48" s="95">
        <f>VLOOKUP(AC48,STN_TABLE_2,2,FALSE)</f>
        <v>0.75</v>
      </c>
      <c r="AE48" s="68">
        <f>VLOOKUP(AD48,STN_TABLE,2,FALSE)</f>
        <v>10.87</v>
      </c>
      <c r="AF48" s="68">
        <v>1</v>
      </c>
      <c r="AG48" s="69">
        <f>AE48*AF48</f>
        <v>10.87</v>
      </c>
      <c r="AH48" s="496" t="s">
        <v>97</v>
      </c>
      <c r="AI48" s="496"/>
      <c r="AJ48" s="496" t="s">
        <v>98</v>
      </c>
      <c r="AK48" s="496"/>
      <c r="AL48" s="494" t="s">
        <v>99</v>
      </c>
      <c r="AM48" s="494"/>
      <c r="AP48" s="86" t="s">
        <v>112</v>
      </c>
      <c r="AQ48" s="89" t="s">
        <v>113</v>
      </c>
      <c r="AR48" s="89" t="s">
        <v>114</v>
      </c>
      <c r="AS48" s="89" t="s">
        <v>115</v>
      </c>
      <c r="AU48" s="81"/>
    </row>
    <row r="49" spans="1:47" x14ac:dyDescent="0.25">
      <c r="A49" s="84">
        <f>A48+1</f>
        <v>4</v>
      </c>
      <c r="B49" s="84">
        <f t="shared" si="11"/>
        <v>0.75</v>
      </c>
      <c r="C49" s="88">
        <f>B50</f>
        <v>1</v>
      </c>
      <c r="D49" s="82">
        <f>VLOOKUP(C49,STN_TABLE,2,FALSE)</f>
        <v>11</v>
      </c>
      <c r="E49" s="92">
        <v>1</v>
      </c>
      <c r="F49" s="82">
        <f>D49*E49</f>
        <v>11</v>
      </c>
      <c r="G49" s="83">
        <f>C49</f>
        <v>1</v>
      </c>
      <c r="H49" s="83">
        <f>F49*G49</f>
        <v>11</v>
      </c>
      <c r="I49" s="84" t="str">
        <f>CONCATENATE("a'(",C49,")=")</f>
        <v>a'(1)=</v>
      </c>
      <c r="J49" s="84">
        <f>2*J47/3*F50</f>
        <v>21.713333333333331</v>
      </c>
      <c r="K49" s="84" t="str">
        <f>CONCATENATE("A(",C47,")=")</f>
        <v>A(0.5)=</v>
      </c>
      <c r="L49" s="84">
        <f>VLOOKUP(C47,STN_TABLE,3,FALSE)</f>
        <v>20.479999999999997</v>
      </c>
      <c r="M49" t="str">
        <f>CONCATENATE("A(",C49,")=")</f>
        <v>A(1)=</v>
      </c>
      <c r="N49">
        <f>J49+L49</f>
        <v>42.193333333333328</v>
      </c>
      <c r="O49" s="99">
        <f>O48+1</f>
        <v>6</v>
      </c>
      <c r="P49" s="99">
        <f t="shared" si="10"/>
        <v>2</v>
      </c>
      <c r="Q49" s="82" t="str">
        <f>IF(P49-P48=P48-P47,P49,IF(P50-P48=P48-P47,P50,IF(P49-P48=P48-P46,P49,IF(P50-P48=P48-P46,P50,"-"))))</f>
        <v>-</v>
      </c>
      <c r="R49" s="83" t="e">
        <f>VLOOKUP(Q49,STN_TABLE,2,FALSE)</f>
        <v>#N/A</v>
      </c>
      <c r="S49" s="83">
        <v>-1</v>
      </c>
      <c r="T49" s="82" t="e">
        <f>R49*S49</f>
        <v>#N/A</v>
      </c>
      <c r="U49" s="88">
        <v>-1</v>
      </c>
      <c r="V49" s="82" t="e">
        <f>R49*U49</f>
        <v>#N/A</v>
      </c>
      <c r="W49" s="84" t="str">
        <f>CONCATENATE("a'(",Q48,")=")</f>
        <v>a'(1)=</v>
      </c>
      <c r="X49" s="84" t="e">
        <f>2*X47/12*T50</f>
        <v>#VALUE!</v>
      </c>
      <c r="Y49" s="84" t="str">
        <f>CONCATENATE("A(",Q47,")=")</f>
        <v>A(-)=</v>
      </c>
      <c r="Z49" s="84" t="e">
        <f>VLOOKUP(Q47,STN_TABLE,3,FALSE)</f>
        <v>#N/A</v>
      </c>
      <c r="AA49" t="str">
        <f>CONCATENATE("A(",Q48,")=")</f>
        <v>A(1)=</v>
      </c>
      <c r="AB49" t="e">
        <f>X49+Z49</f>
        <v>#VALUE!</v>
      </c>
      <c r="AC49" s="99">
        <f>AC48+1</f>
        <v>5</v>
      </c>
      <c r="AD49" s="100">
        <f>VLOOKUP(AC49,STN_TABLE_2,2,FALSE)</f>
        <v>1</v>
      </c>
      <c r="AE49" s="82">
        <f>VLOOKUP(AD49,STN_TABLE,2,FALSE)</f>
        <v>11</v>
      </c>
      <c r="AF49" s="82">
        <v>2</v>
      </c>
      <c r="AG49" s="83">
        <f>AE49*AF49</f>
        <v>22</v>
      </c>
      <c r="AH49" s="84" t="str">
        <f>CONCATENATE("a'(",AD49,")=")</f>
        <v>a'(1)=</v>
      </c>
      <c r="AI49" s="84">
        <f>2*AI47/2*AE50</f>
        <v>10.934999999999999</v>
      </c>
      <c r="AJ49" s="84" t="str">
        <f>CONCATENATE("A(",AD48,")=")</f>
        <v>A(0.75)=</v>
      </c>
      <c r="AK49" s="84">
        <f>VLOOKUP(AD48,STN_TABLE,3,FALSE)</f>
        <v>31.226666666666663</v>
      </c>
      <c r="AL49" t="str">
        <f>CONCATENATE("A(",AD49,")=")</f>
        <v>A(1)=</v>
      </c>
      <c r="AM49">
        <f>AI49+AK49</f>
        <v>42.161666666666662</v>
      </c>
      <c r="AO49" s="68" t="str">
        <f>AA49</f>
        <v>A(1)=</v>
      </c>
      <c r="AP49" s="68" t="e">
        <f>VLOOKUP(AO49,Rise_Results,2,FALSE)</f>
        <v>#N/A</v>
      </c>
      <c r="AQ49" s="76">
        <f>N49</f>
        <v>42.193333333333328</v>
      </c>
      <c r="AR49" s="76" t="e">
        <f>IF(OR(AB49&lt;=0,AB50&lt;=0),1/0,AB49)</f>
        <v>#VALUE!</v>
      </c>
      <c r="AS49" s="76">
        <f>AM49</f>
        <v>42.161666666666662</v>
      </c>
      <c r="AT49">
        <f>IFERROR(AP49,IFERROR(AQ49,IFERROR(AR49,AS49)))</f>
        <v>42.193333333333328</v>
      </c>
      <c r="AU49" s="81"/>
    </row>
    <row r="50" spans="1:47" x14ac:dyDescent="0.25">
      <c r="A50" s="84">
        <f>A49+1</f>
        <v>5</v>
      </c>
      <c r="B50" s="84">
        <f t="shared" si="11"/>
        <v>1</v>
      </c>
      <c r="F50" s="82">
        <f>SUM(F47:F49)</f>
        <v>65.14</v>
      </c>
      <c r="H50" s="82">
        <f>SUM(H47:H49)</f>
        <v>48.94</v>
      </c>
      <c r="I50" s="84" t="str">
        <f>CONCATENATE("m'(",C49,")=")</f>
        <v>m'(1)=</v>
      </c>
      <c r="J50" s="84">
        <f>2*(J47*(WLS))/3*H50</f>
        <v>32.626666666666665</v>
      </c>
      <c r="K50" s="84" t="str">
        <f>CONCATENATE("M(",C47,")=")</f>
        <v>M(0.5)=</v>
      </c>
      <c r="L50" s="84">
        <f>VLOOKUP(C47,STN_TABLE,4,FALSE)</f>
        <v>10.433333333333334</v>
      </c>
      <c r="M50" t="str">
        <f>CONCATENATE("M(",C49,")=")</f>
        <v>M(1)=</v>
      </c>
      <c r="N50">
        <f>J50+L50</f>
        <v>43.06</v>
      </c>
      <c r="O50" s="99">
        <f>O49+1</f>
        <v>7</v>
      </c>
      <c r="P50" s="99">
        <f t="shared" si="10"/>
        <v>3</v>
      </c>
      <c r="T50" s="89" t="e">
        <f>SUM(T47:T49)</f>
        <v>#N/A</v>
      </c>
      <c r="V50" s="82" t="e">
        <f>SUM(V47:V49)</f>
        <v>#N/A</v>
      </c>
      <c r="W50" s="84" t="str">
        <f>CONCATENATE("m'(",Q48,")=")</f>
        <v>m'(1)=</v>
      </c>
      <c r="X50" s="84" t="e">
        <f>(2*(X47^2)/24*V50)+(X49*Q47*WLS)</f>
        <v>#VALUE!</v>
      </c>
      <c r="Y50" s="84" t="str">
        <f>CONCATENATE("M(",Q47,")=")</f>
        <v>M(-)=</v>
      </c>
      <c r="Z50" s="84" t="e">
        <f>VLOOKUP(Q47,STN_TABLE,4,FALSE)</f>
        <v>#N/A</v>
      </c>
      <c r="AA50" t="str">
        <f>CONCATENATE("M(",Q48,")=")</f>
        <v>M(1)=</v>
      </c>
      <c r="AB50" t="e">
        <f>X50+Z50</f>
        <v>#VALUE!</v>
      </c>
      <c r="AE50" s="89">
        <f>SUM(AE48:AE49)</f>
        <v>21.869999999999997</v>
      </c>
      <c r="AG50" s="89">
        <f>SUM(AG48:AG49)</f>
        <v>32.869999999999997</v>
      </c>
      <c r="AH50" s="84" t="str">
        <f>CONCATENATE("m'(",AD49,")=")</f>
        <v>m'(1)=</v>
      </c>
      <c r="AI50" s="84">
        <f>(2*(AI47^2)/6*AG50)+(AI49*AD48*WLS)</f>
        <v>19.141666666666662</v>
      </c>
      <c r="AJ50" s="84" t="str">
        <f>CONCATENATE("M(",AD48,")=")</f>
        <v>M(0.75)=</v>
      </c>
      <c r="AK50" s="84">
        <f>VLOOKUP(AD48,STN_TABLE,4,FALSE)</f>
        <v>23.889999999999993</v>
      </c>
      <c r="AL50" t="str">
        <f>CONCATENATE("M(",AD49,")=")</f>
        <v>M(1)=</v>
      </c>
      <c r="AM50">
        <f>AI50+AK50</f>
        <v>43.031666666666652</v>
      </c>
      <c r="AO50" s="82" t="str">
        <f>AA50</f>
        <v>M(1)=</v>
      </c>
      <c r="AP50" s="82" t="e">
        <f>VLOOKUP(AO50,Rise_Results,2,FALSE)</f>
        <v>#N/A</v>
      </c>
      <c r="AQ50" s="82">
        <f>N50</f>
        <v>43.06</v>
      </c>
      <c r="AR50" s="82" t="e">
        <f>IF(OR(AB49&lt;=0,AB50&lt;=0),1/0,AB50)</f>
        <v>#VALUE!</v>
      </c>
      <c r="AS50" s="82">
        <f>AM50</f>
        <v>43.031666666666652</v>
      </c>
      <c r="AT50">
        <f>IFERROR(AP50,IFERROR(AQ50,IFERROR(AR50,AS50)))</f>
        <v>43.06</v>
      </c>
      <c r="AU50" s="81"/>
    </row>
    <row r="51" spans="1:47" x14ac:dyDescent="0.25">
      <c r="A51" s="101">
        <f>A46+1</f>
        <v>2</v>
      </c>
      <c r="B51" s="101">
        <f t="shared" si="11"/>
        <v>0.25</v>
      </c>
      <c r="O51" s="101">
        <f>O46+1</f>
        <v>4</v>
      </c>
      <c r="P51" s="101">
        <f t="shared" si="10"/>
        <v>0.75</v>
      </c>
      <c r="AU51" s="81"/>
    </row>
    <row r="52" spans="1:47" x14ac:dyDescent="0.25">
      <c r="A52" s="84">
        <f>A51+1</f>
        <v>3</v>
      </c>
      <c r="B52" s="84">
        <f t="shared" si="11"/>
        <v>0.5</v>
      </c>
      <c r="C52" s="79" t="str">
        <f t="shared" ref="C52" si="12">IF(C53=B54,IF(C54-C53=C53-B53,B53,IF(C54-C53=C53-B52,B52,"#NA")),IF(C53=B53,IF(C54-C53=C53-B52,B52,IF(C54-C53=C53-B51,B51,"#NA")),"#NA"))</f>
        <v>#NA</v>
      </c>
      <c r="D52" s="68" t="e">
        <f>VLOOKUP(C52,STN_TABLE,2,FALSE)</f>
        <v>#N/A</v>
      </c>
      <c r="E52" s="102">
        <v>1</v>
      </c>
      <c r="F52" s="68" t="e">
        <f>D52*E52</f>
        <v>#N/A</v>
      </c>
      <c r="G52" s="69" t="str">
        <f>C52</f>
        <v>#NA</v>
      </c>
      <c r="H52" s="69" t="e">
        <f>F52*G52</f>
        <v>#N/A</v>
      </c>
      <c r="I52" s="6" t="s">
        <v>93</v>
      </c>
      <c r="J52" s="70" t="e">
        <f>IF(OR(D52=0,D53=0,D54=0),"#NA",IF(AND(C54-C53=C53-C52,C53&lt;&gt;C54,C52&lt;&gt;C53,C52&lt;&gt;C54,D54&lt;&gt;0,OR(D52&lt;&gt;0,D53&lt;&gt;0)),WLS*(C54-C53),"#NA"))</f>
        <v>#N/A</v>
      </c>
      <c r="O52" s="99">
        <f>O51+1</f>
        <v>5</v>
      </c>
      <c r="P52" s="99">
        <f t="shared" si="10"/>
        <v>1</v>
      </c>
      <c r="Q52" s="68">
        <f>IF(OR(P54-P53=P53-P52,P55-P53=P53-P52),P52,IF(OR(P54-P53=P53-P51,P55-P53=P53-P51),P51,"-"))</f>
        <v>1</v>
      </c>
      <c r="R52" s="69">
        <f>VLOOKUP(Q52,STN_TABLE,2,FALSE)</f>
        <v>11</v>
      </c>
      <c r="S52" s="69">
        <v>5</v>
      </c>
      <c r="T52" s="68">
        <f>R52*S52</f>
        <v>55</v>
      </c>
      <c r="U52" s="79">
        <v>3</v>
      </c>
      <c r="V52" s="68">
        <f>R52*U52</f>
        <v>33</v>
      </c>
      <c r="W52" s="6" t="s">
        <v>93</v>
      </c>
      <c r="X52" s="70">
        <f>IF(AND(Q54-Q53=Q53-Q52,NOT(AND(Q52=0,Q53=0)),NOT(AND(Q53=0,Q54=0))),WLS*(Q54-Q53),"#NA")</f>
        <v>2</v>
      </c>
      <c r="AD52" s="93"/>
      <c r="AH52" s="6" t="s">
        <v>93</v>
      </c>
      <c r="AI52" s="70">
        <f>WLS*(AD54-AD53)</f>
        <v>2</v>
      </c>
      <c r="AU52" s="81"/>
    </row>
    <row r="53" spans="1:47" x14ac:dyDescent="0.25">
      <c r="A53" s="84">
        <f>A52+1</f>
        <v>4</v>
      </c>
      <c r="B53" s="84">
        <f t="shared" si="11"/>
        <v>0.75</v>
      </c>
      <c r="C53" s="80" t="str">
        <f t="shared" ref="C53" si="13">IF(OR(B55-B54=B54-B53,B55-B54=B54-B52,B55-B54=B54-B51),B54,IF(OR(B55-B53=B53-B52,B55-B53=B53-B51),B53,IF(B55-B52=B52-B51,B52,"#NA")))</f>
        <v>#NA</v>
      </c>
      <c r="D53" s="76" t="e">
        <f>VLOOKUP(C53,STN_TABLE,2,FALSE)</f>
        <v>#N/A</v>
      </c>
      <c r="E53" s="81">
        <v>4</v>
      </c>
      <c r="F53" s="76" t="e">
        <f>D53*E53</f>
        <v>#N/A</v>
      </c>
      <c r="G53" s="77" t="str">
        <f>C53</f>
        <v>#NA</v>
      </c>
      <c r="H53" s="77" t="e">
        <f>F53*G53</f>
        <v>#N/A</v>
      </c>
      <c r="I53" s="495" t="s">
        <v>97</v>
      </c>
      <c r="J53" s="496"/>
      <c r="K53" s="78" t="s">
        <v>98</v>
      </c>
      <c r="L53" s="78"/>
      <c r="M53" s="7" t="s">
        <v>99</v>
      </c>
      <c r="N53" s="7"/>
      <c r="O53" s="99">
        <f>O52+1</f>
        <v>6</v>
      </c>
      <c r="P53" s="99">
        <f t="shared" si="10"/>
        <v>2</v>
      </c>
      <c r="Q53" s="76">
        <f>P53</f>
        <v>2</v>
      </c>
      <c r="R53" s="77">
        <f>VLOOKUP(Q53,STN_TABLE,2,FALSE)</f>
        <v>11</v>
      </c>
      <c r="S53" s="77">
        <v>8</v>
      </c>
      <c r="T53" s="76">
        <f>R53*S53</f>
        <v>88</v>
      </c>
      <c r="U53" s="80">
        <v>10</v>
      </c>
      <c r="V53" s="76">
        <f>R53*U53</f>
        <v>110</v>
      </c>
      <c r="W53" s="496" t="s">
        <v>97</v>
      </c>
      <c r="X53" s="496"/>
      <c r="Y53" s="496" t="s">
        <v>98</v>
      </c>
      <c r="Z53" s="496"/>
      <c r="AA53" s="494" t="s">
        <v>99</v>
      </c>
      <c r="AB53" s="494"/>
      <c r="AC53" s="99">
        <f>AC48+1</f>
        <v>5</v>
      </c>
      <c r="AD53" s="95">
        <f>VLOOKUP(AC53,STN_TABLE_2,2,FALSE)</f>
        <v>1</v>
      </c>
      <c r="AE53" s="68">
        <f>VLOOKUP(AD53,STN_TABLE,2,FALSE)</f>
        <v>11</v>
      </c>
      <c r="AF53" s="68">
        <v>1</v>
      </c>
      <c r="AG53" s="69">
        <f>AE53*AF53</f>
        <v>11</v>
      </c>
      <c r="AH53" s="496" t="s">
        <v>97</v>
      </c>
      <c r="AI53" s="496"/>
      <c r="AJ53" s="496" t="s">
        <v>98</v>
      </c>
      <c r="AK53" s="496"/>
      <c r="AL53" s="494" t="s">
        <v>99</v>
      </c>
      <c r="AM53" s="494"/>
      <c r="AP53" s="86" t="s">
        <v>112</v>
      </c>
      <c r="AQ53" s="89" t="s">
        <v>113</v>
      </c>
      <c r="AR53" s="89" t="s">
        <v>114</v>
      </c>
      <c r="AS53" s="89" t="s">
        <v>115</v>
      </c>
      <c r="AU53" s="81"/>
    </row>
    <row r="54" spans="1:47" x14ac:dyDescent="0.25">
      <c r="A54" s="84">
        <f>A53+1</f>
        <v>5</v>
      </c>
      <c r="B54" s="84">
        <f t="shared" si="11"/>
        <v>1</v>
      </c>
      <c r="C54" s="88">
        <f t="shared" ref="C54" si="14">B55</f>
        <v>2</v>
      </c>
      <c r="D54" s="82">
        <f>VLOOKUP(C54,STN_TABLE,2,FALSE)</f>
        <v>11</v>
      </c>
      <c r="E54" s="92">
        <v>1</v>
      </c>
      <c r="F54" s="82">
        <f>D54*E54</f>
        <v>11</v>
      </c>
      <c r="G54" s="83">
        <f>C54</f>
        <v>2</v>
      </c>
      <c r="H54" s="83">
        <f>F54*G54</f>
        <v>22</v>
      </c>
      <c r="I54" s="84" t="str">
        <f>CONCATENATE("a'(",C54,")=")</f>
        <v>a'(2)=</v>
      </c>
      <c r="J54" s="84" t="e">
        <f>2*J52/3*F55</f>
        <v>#N/A</v>
      </c>
      <c r="K54" s="84" t="str">
        <f>CONCATENATE("A(",C52,")=")</f>
        <v>A(#NA)=</v>
      </c>
      <c r="L54" s="84" t="e">
        <f>VLOOKUP(C52,STN_TABLE,3,FALSE)</f>
        <v>#N/A</v>
      </c>
      <c r="M54" t="str">
        <f>CONCATENATE("A(",C54,")=")</f>
        <v>A(2)=</v>
      </c>
      <c r="N54" t="e">
        <f>J54+L54</f>
        <v>#N/A</v>
      </c>
      <c r="O54" s="99">
        <f>O53+1</f>
        <v>7</v>
      </c>
      <c r="P54" s="99">
        <f t="shared" si="10"/>
        <v>3</v>
      </c>
      <c r="Q54" s="82">
        <f>IF(P54-P53=P53-P52,P54,IF(P55-P53=P53-P52,P55,IF(P54-P53=P53-P51,P54,IF(P55-P53=P53-P51,P55,"-"))))</f>
        <v>3</v>
      </c>
      <c r="R54" s="83">
        <f>VLOOKUP(Q54,STN_TABLE,2,FALSE)</f>
        <v>11</v>
      </c>
      <c r="S54" s="83">
        <v>-1</v>
      </c>
      <c r="T54" s="82">
        <f>R54*S54</f>
        <v>-11</v>
      </c>
      <c r="U54" s="88">
        <v>-1</v>
      </c>
      <c r="V54" s="82">
        <f>R54*U54</f>
        <v>-11</v>
      </c>
      <c r="W54" s="84" t="str">
        <f>CONCATENATE("a'(",Q53,")=")</f>
        <v>a'(2)=</v>
      </c>
      <c r="X54" s="84">
        <f>2*X52/12*T55</f>
        <v>44</v>
      </c>
      <c r="Y54" s="84" t="str">
        <f>CONCATENATE("A(",Q52,")=")</f>
        <v>A(1)=</v>
      </c>
      <c r="Z54" s="84">
        <f>VLOOKUP(Q52,STN_TABLE,3,FALSE)</f>
        <v>42.193333333333328</v>
      </c>
      <c r="AA54" t="str">
        <f>CONCATENATE("A(",Q53,")=")</f>
        <v>A(2)=</v>
      </c>
      <c r="AB54">
        <f>X54+Z54</f>
        <v>86.193333333333328</v>
      </c>
      <c r="AC54" s="99">
        <f>AC53+1</f>
        <v>6</v>
      </c>
      <c r="AD54" s="100">
        <f>VLOOKUP(AC54,STN_TABLE_2,2,FALSE)</f>
        <v>2</v>
      </c>
      <c r="AE54" s="82">
        <f>VLOOKUP(AD54,STN_TABLE,2,FALSE)</f>
        <v>11</v>
      </c>
      <c r="AF54" s="82">
        <v>2</v>
      </c>
      <c r="AG54" s="83">
        <f>AE54*AF54</f>
        <v>22</v>
      </c>
      <c r="AH54" s="84" t="str">
        <f>CONCATENATE("a'(",AD54,")=")</f>
        <v>a'(2)=</v>
      </c>
      <c r="AI54" s="84">
        <f>2*AI52/2*AE55</f>
        <v>44</v>
      </c>
      <c r="AJ54" s="84" t="str">
        <f>CONCATENATE("A(",AD53,")=")</f>
        <v>A(1)=</v>
      </c>
      <c r="AK54" s="84">
        <f>VLOOKUP(AD53,STN_TABLE,3,FALSE)</f>
        <v>42.193333333333328</v>
      </c>
      <c r="AL54" t="str">
        <f>CONCATENATE("A(",AD54,")=")</f>
        <v>A(2)=</v>
      </c>
      <c r="AM54">
        <f>AI54+AK54</f>
        <v>86.193333333333328</v>
      </c>
      <c r="AO54" s="68" t="str">
        <f>AA54</f>
        <v>A(2)=</v>
      </c>
      <c r="AP54" s="68" t="e">
        <f>VLOOKUP(AO54,Rise_Results,2,FALSE)</f>
        <v>#N/A</v>
      </c>
      <c r="AQ54" s="76" t="e">
        <f>N54</f>
        <v>#N/A</v>
      </c>
      <c r="AR54" s="76">
        <f>IF(OR(AB54&lt;=0,AB55&lt;=0),1/0,AB54)</f>
        <v>86.193333333333328</v>
      </c>
      <c r="AS54" s="76">
        <f>AM54</f>
        <v>86.193333333333328</v>
      </c>
      <c r="AT54">
        <f>IFERROR(AP54,IFERROR(AQ54,IFERROR(AR54,AS54)))</f>
        <v>86.193333333333328</v>
      </c>
      <c r="AU54" s="81"/>
    </row>
    <row r="55" spans="1:47" x14ac:dyDescent="0.25">
      <c r="A55" s="84">
        <f>A54+1</f>
        <v>6</v>
      </c>
      <c r="B55" s="84">
        <f t="shared" si="11"/>
        <v>2</v>
      </c>
      <c r="F55" s="82" t="e">
        <f>SUM(F52:F54)</f>
        <v>#N/A</v>
      </c>
      <c r="H55" s="82" t="e">
        <f>SUM(H52:H54)</f>
        <v>#N/A</v>
      </c>
      <c r="I55" s="84" t="str">
        <f>CONCATENATE("m'(",C54,")=")</f>
        <v>m'(2)=</v>
      </c>
      <c r="J55" s="84" t="e">
        <f>2*(J52*(WLS))/3*H55</f>
        <v>#N/A</v>
      </c>
      <c r="K55" s="84" t="str">
        <f>CONCATENATE("M(",C52,")=")</f>
        <v>M(#NA)=</v>
      </c>
      <c r="L55" s="84" t="e">
        <f>VLOOKUP(C52,STN_TABLE,4,FALSE)</f>
        <v>#N/A</v>
      </c>
      <c r="M55" t="str">
        <f>CONCATENATE("M(",C54,")=")</f>
        <v>M(2)=</v>
      </c>
      <c r="N55" t="e">
        <f>J55+L55</f>
        <v>#N/A</v>
      </c>
      <c r="O55" s="99">
        <f>O54+1</f>
        <v>8</v>
      </c>
      <c r="P55" s="99">
        <f t="shared" si="10"/>
        <v>4</v>
      </c>
      <c r="T55" s="89">
        <f>SUM(T52:T54)</f>
        <v>132</v>
      </c>
      <c r="V55" s="82">
        <f>SUM(V52:V54)</f>
        <v>132</v>
      </c>
      <c r="W55" s="84" t="str">
        <f>CONCATENATE("m'(",Q53,")=")</f>
        <v>m'(2)=</v>
      </c>
      <c r="X55" s="84">
        <f>(2*(X52^2)/24*V55)+(X54*Q52*WLS)</f>
        <v>132</v>
      </c>
      <c r="Y55" s="84" t="str">
        <f>CONCATENATE("M(",Q52,")=")</f>
        <v>M(1)=</v>
      </c>
      <c r="Z55" s="84">
        <f>VLOOKUP(Q52,STN_TABLE,4,FALSE)</f>
        <v>43.06</v>
      </c>
      <c r="AA55" t="str">
        <f>CONCATENATE("M(",Q53,")=")</f>
        <v>M(2)=</v>
      </c>
      <c r="AB55">
        <f>X55+Z55</f>
        <v>175.06</v>
      </c>
      <c r="AE55" s="89">
        <f>SUM(AE53:AE54)</f>
        <v>22</v>
      </c>
      <c r="AG55" s="89">
        <f>SUM(AG53:AG54)</f>
        <v>33</v>
      </c>
      <c r="AH55" s="84" t="str">
        <f>CONCATENATE("m'(",AD54,")=")</f>
        <v>m'(2)=</v>
      </c>
      <c r="AI55" s="84">
        <f>(2*(AI52^2)/6*AG55)+(AI54*AD53*WLS)</f>
        <v>132</v>
      </c>
      <c r="AJ55" s="84" t="str">
        <f>CONCATENATE("M(",AD53,")=")</f>
        <v>M(1)=</v>
      </c>
      <c r="AK55" s="84">
        <f>VLOOKUP(AD53,STN_TABLE,4,FALSE)</f>
        <v>43.06</v>
      </c>
      <c r="AL55" t="str">
        <f>CONCATENATE("M(",AD54,")=")</f>
        <v>M(2)=</v>
      </c>
      <c r="AM55">
        <f>AI55+AK55</f>
        <v>175.06</v>
      </c>
      <c r="AO55" s="82" t="str">
        <f>AA55</f>
        <v>M(2)=</v>
      </c>
      <c r="AP55" s="82" t="e">
        <f>VLOOKUP(AO55,Rise_Results,2,FALSE)</f>
        <v>#N/A</v>
      </c>
      <c r="AQ55" s="82" t="e">
        <f>N55</f>
        <v>#N/A</v>
      </c>
      <c r="AR55" s="82">
        <f>IF(OR(AB54&lt;=0,AB55&lt;=0),1/0,AB55)</f>
        <v>175.06</v>
      </c>
      <c r="AS55" s="82">
        <f>AM55</f>
        <v>175.06</v>
      </c>
      <c r="AT55">
        <f>IFERROR(AP55,IFERROR(AQ55,IFERROR(AR55,AS55)))</f>
        <v>175.06</v>
      </c>
      <c r="AU55" s="81"/>
    </row>
    <row r="56" spans="1:47" x14ac:dyDescent="0.25">
      <c r="A56" s="101">
        <f>A51+1</f>
        <v>3</v>
      </c>
      <c r="B56" s="101">
        <f t="shared" si="11"/>
        <v>0.5</v>
      </c>
      <c r="O56" s="101">
        <f>O51+1</f>
        <v>5</v>
      </c>
      <c r="P56" s="101">
        <f t="shared" si="10"/>
        <v>1</v>
      </c>
      <c r="AU56" s="81"/>
    </row>
    <row r="57" spans="1:47" x14ac:dyDescent="0.25">
      <c r="A57" s="84">
        <f>A56+1</f>
        <v>4</v>
      </c>
      <c r="B57" s="84">
        <f t="shared" si="11"/>
        <v>0.75</v>
      </c>
      <c r="C57" s="79">
        <f t="shared" ref="C57" si="15">IF(C58=B59,IF(C59-C58=C58-B58,B58,IF(C59-C58=C58-B57,B57,"#NA")),IF(C58=B58,IF(C59-C58=C58-B57,B57,IF(C59-C58=C58-B56,B56,"#NA")),"#NA"))</f>
        <v>1</v>
      </c>
      <c r="D57" s="68">
        <f>VLOOKUP(C57,STN_TABLE,2,FALSE)</f>
        <v>11</v>
      </c>
      <c r="E57" s="102">
        <v>1</v>
      </c>
      <c r="F57" s="68">
        <f>D57*E57</f>
        <v>11</v>
      </c>
      <c r="G57" s="69">
        <f>C57</f>
        <v>1</v>
      </c>
      <c r="H57" s="69">
        <f>F57*G57</f>
        <v>11</v>
      </c>
      <c r="I57" s="6" t="s">
        <v>93</v>
      </c>
      <c r="J57" s="70">
        <f>IF(OR(D57=0,D58=0,D59=0),"#NA",IF(AND(C59-C58=C58-C57,C58&lt;&gt;C59,C57&lt;&gt;C58,C57&lt;&gt;C59,D59&lt;&gt;0,OR(D57&lt;&gt;0,D58&lt;&gt;0)),WLS*(C59-C58),"#NA"))</f>
        <v>2</v>
      </c>
      <c r="O57" s="99">
        <f>O56+1</f>
        <v>6</v>
      </c>
      <c r="P57" s="99">
        <f t="shared" si="10"/>
        <v>2</v>
      </c>
      <c r="Q57" s="68">
        <f>IF(OR(P59-P58=P58-P57,P60-P58=P58-P57),P57,IF(OR(P59-P58=P58-P56,P60-P58=P58-P56),P56,"-"))</f>
        <v>2</v>
      </c>
      <c r="R57" s="69">
        <f>VLOOKUP(Q57,STN_TABLE,2,FALSE)</f>
        <v>11</v>
      </c>
      <c r="S57" s="69">
        <v>5</v>
      </c>
      <c r="T57" s="68">
        <f>R57*S57</f>
        <v>55</v>
      </c>
      <c r="U57" s="79">
        <v>3</v>
      </c>
      <c r="V57" s="68">
        <f>R57*U57</f>
        <v>33</v>
      </c>
      <c r="W57" s="6" t="s">
        <v>93</v>
      </c>
      <c r="X57" s="70">
        <f>IF(AND(Q59-Q58=Q58-Q57,NOT(AND(Q57=0,Q58=0)),NOT(AND(Q58=0,Q59=0))),WLS*(Q59-Q58),"#NA")</f>
        <v>2</v>
      </c>
      <c r="AD57" s="93"/>
      <c r="AH57" s="6" t="s">
        <v>93</v>
      </c>
      <c r="AI57" s="70">
        <f>WLS*(AD59-AD58)</f>
        <v>2</v>
      </c>
      <c r="AU57" s="81"/>
    </row>
    <row r="58" spans="1:47" x14ac:dyDescent="0.25">
      <c r="A58" s="84">
        <f>A57+1</f>
        <v>5</v>
      </c>
      <c r="B58" s="84">
        <f t="shared" si="11"/>
        <v>1</v>
      </c>
      <c r="C58" s="80">
        <f t="shared" ref="C58" si="16">IF(OR(B60-B59=B59-B58,B60-B59=B59-B57,B60-B59=B59-B56),B59,IF(OR(B60-B58=B58-B57,B60-B58=B58-B56),B58,IF(B60-B57=B57-B56,B57,"#NA")))</f>
        <v>2</v>
      </c>
      <c r="D58" s="76">
        <f>VLOOKUP(C58,STN_TABLE,2,FALSE)</f>
        <v>11</v>
      </c>
      <c r="E58" s="81">
        <v>4</v>
      </c>
      <c r="F58" s="76">
        <f>D58*E58</f>
        <v>44</v>
      </c>
      <c r="G58" s="77">
        <f>C58</f>
        <v>2</v>
      </c>
      <c r="H58" s="77">
        <f>F58*G58</f>
        <v>88</v>
      </c>
      <c r="I58" s="495" t="s">
        <v>97</v>
      </c>
      <c r="J58" s="496"/>
      <c r="K58" s="78" t="s">
        <v>98</v>
      </c>
      <c r="L58" s="78"/>
      <c r="M58" s="7" t="s">
        <v>99</v>
      </c>
      <c r="N58" s="7"/>
      <c r="O58" s="99">
        <f>O57+1</f>
        <v>7</v>
      </c>
      <c r="P58" s="99">
        <f t="shared" si="10"/>
        <v>3</v>
      </c>
      <c r="Q58" s="76">
        <f>P58</f>
        <v>3</v>
      </c>
      <c r="R58" s="77">
        <f>VLOOKUP(Q58,STN_TABLE,2,FALSE)</f>
        <v>11</v>
      </c>
      <c r="S58" s="77">
        <v>8</v>
      </c>
      <c r="T58" s="76">
        <f>R58*S58</f>
        <v>88</v>
      </c>
      <c r="U58" s="80">
        <v>10</v>
      </c>
      <c r="V58" s="76">
        <f>R58*U58</f>
        <v>110</v>
      </c>
      <c r="W58" s="78" t="s">
        <v>97</v>
      </c>
      <c r="X58" s="78"/>
      <c r="Y58" s="78" t="s">
        <v>98</v>
      </c>
      <c r="Z58" s="78"/>
      <c r="AA58" s="7" t="s">
        <v>99</v>
      </c>
      <c r="AB58" s="7"/>
      <c r="AC58" s="99">
        <f>AC53+1</f>
        <v>6</v>
      </c>
      <c r="AD58" s="95">
        <f>VLOOKUP(AC58,STN_TABLE_2,2,FALSE)</f>
        <v>2</v>
      </c>
      <c r="AE58" s="68">
        <f>VLOOKUP(AD58,STN_TABLE,2,FALSE)</f>
        <v>11</v>
      </c>
      <c r="AF58" s="68">
        <v>1</v>
      </c>
      <c r="AG58" s="69">
        <f>AE58*AF58</f>
        <v>11</v>
      </c>
      <c r="AH58" s="496" t="s">
        <v>97</v>
      </c>
      <c r="AI58" s="496"/>
      <c r="AJ58" s="496" t="s">
        <v>98</v>
      </c>
      <c r="AK58" s="496"/>
      <c r="AL58" s="494" t="s">
        <v>99</v>
      </c>
      <c r="AM58" s="494"/>
      <c r="AP58" s="86" t="s">
        <v>112</v>
      </c>
      <c r="AQ58" s="89" t="s">
        <v>113</v>
      </c>
      <c r="AR58" s="89" t="s">
        <v>114</v>
      </c>
      <c r="AS58" s="89" t="s">
        <v>115</v>
      </c>
      <c r="AU58" s="81"/>
    </row>
    <row r="59" spans="1:47" x14ac:dyDescent="0.25">
      <c r="A59" s="84">
        <f>A58+1</f>
        <v>6</v>
      </c>
      <c r="B59" s="84">
        <f t="shared" si="11"/>
        <v>2</v>
      </c>
      <c r="C59" s="88">
        <f t="shared" ref="C59" si="17">B60</f>
        <v>3</v>
      </c>
      <c r="D59" s="82">
        <f>VLOOKUP(C59,STN_TABLE,2,FALSE)</f>
        <v>11</v>
      </c>
      <c r="E59" s="92">
        <v>1</v>
      </c>
      <c r="F59" s="82">
        <f>D59*E59</f>
        <v>11</v>
      </c>
      <c r="G59" s="83">
        <f>C59</f>
        <v>3</v>
      </c>
      <c r="H59" s="83">
        <f>F59*G59</f>
        <v>33</v>
      </c>
      <c r="I59" s="84" t="str">
        <f>CONCATENATE("a'(",C59,")=")</f>
        <v>a'(3)=</v>
      </c>
      <c r="J59" s="84">
        <f>2*J57/3*F60</f>
        <v>88</v>
      </c>
      <c r="K59" s="84" t="str">
        <f>CONCATENATE("A(",C57,")=")</f>
        <v>A(1)=</v>
      </c>
      <c r="L59" s="84">
        <f>VLOOKUP(C57,STN_TABLE,3,FALSE)</f>
        <v>42.193333333333328</v>
      </c>
      <c r="M59" t="str">
        <f>CONCATENATE("A(",C59,")=")</f>
        <v>A(3)=</v>
      </c>
      <c r="N59">
        <f>J59+L59</f>
        <v>130.19333333333333</v>
      </c>
      <c r="O59" s="99">
        <f>O58+1</f>
        <v>8</v>
      </c>
      <c r="P59" s="99">
        <f t="shared" si="10"/>
        <v>4</v>
      </c>
      <c r="Q59" s="82">
        <f>IF(P59-P58=P58-P57,P59,IF(P60-P58=P58-P57,P60,IF(P59-P58=P58-P56,P59,IF(P60-P58=P58-P56,P60,"-"))))</f>
        <v>4</v>
      </c>
      <c r="R59" s="83">
        <f>VLOOKUP(Q59,STN_TABLE,2,FALSE)</f>
        <v>11</v>
      </c>
      <c r="S59" s="83">
        <v>-1</v>
      </c>
      <c r="T59" s="82">
        <f>R59*S59</f>
        <v>-11</v>
      </c>
      <c r="U59" s="88">
        <v>-1</v>
      </c>
      <c r="V59" s="82">
        <f>R59*U59</f>
        <v>-11</v>
      </c>
      <c r="W59" s="84" t="str">
        <f>CONCATENATE("a'(",Q58,")=")</f>
        <v>a'(3)=</v>
      </c>
      <c r="X59" s="84">
        <f>2*X57/12*T60</f>
        <v>44</v>
      </c>
      <c r="Y59" s="84" t="str">
        <f>CONCATENATE("A(",Q57,")=")</f>
        <v>A(2)=</v>
      </c>
      <c r="Z59" s="84">
        <f>VLOOKUP(Q57,STN_TABLE,3,FALSE)</f>
        <v>86.193333333333328</v>
      </c>
      <c r="AA59" t="str">
        <f>CONCATENATE("A(",Q58,")=")</f>
        <v>A(3)=</v>
      </c>
      <c r="AB59">
        <f>X59+Z59</f>
        <v>130.19333333333333</v>
      </c>
      <c r="AC59" s="99">
        <f>AC58+1</f>
        <v>7</v>
      </c>
      <c r="AD59" s="100">
        <f>VLOOKUP(AC59,STN_TABLE_2,2,FALSE)</f>
        <v>3</v>
      </c>
      <c r="AE59" s="82">
        <f>VLOOKUP(AD59,STN_TABLE,2,FALSE)</f>
        <v>11</v>
      </c>
      <c r="AF59" s="82">
        <v>2</v>
      </c>
      <c r="AG59" s="83">
        <f>AE59*AF59</f>
        <v>22</v>
      </c>
      <c r="AH59" s="84" t="str">
        <f>CONCATENATE("a'(",AD59,")=")</f>
        <v>a'(3)=</v>
      </c>
      <c r="AI59" s="84">
        <f>2*AI57/2*AE60</f>
        <v>44</v>
      </c>
      <c r="AJ59" s="84" t="str">
        <f>CONCATENATE("A(",AD58,")=")</f>
        <v>A(2)=</v>
      </c>
      <c r="AK59" s="84">
        <f>VLOOKUP(AD58,STN_TABLE,3,FALSE)</f>
        <v>86.193333333333328</v>
      </c>
      <c r="AL59" t="str">
        <f>CONCATENATE("A(",AD59,")=")</f>
        <v>A(3)=</v>
      </c>
      <c r="AM59">
        <f>AI59+AK59</f>
        <v>130.19333333333333</v>
      </c>
      <c r="AO59" s="68" t="str">
        <f>AA59</f>
        <v>A(3)=</v>
      </c>
      <c r="AP59" s="68" t="e">
        <f>VLOOKUP(AO59,Rise_Results,2,FALSE)</f>
        <v>#N/A</v>
      </c>
      <c r="AQ59" s="76">
        <f>N59</f>
        <v>130.19333333333333</v>
      </c>
      <c r="AR59" s="76">
        <f>IF(OR(AB59&lt;=0,AB60&lt;=0),1/0,AB59)</f>
        <v>130.19333333333333</v>
      </c>
      <c r="AS59" s="76">
        <f>AM59</f>
        <v>130.19333333333333</v>
      </c>
      <c r="AT59">
        <f>IFERROR(AP59,IFERROR(AQ59,IFERROR(AR59,AS59)))</f>
        <v>130.19333333333333</v>
      </c>
      <c r="AU59" s="81"/>
    </row>
    <row r="60" spans="1:47" x14ac:dyDescent="0.25">
      <c r="A60" s="84">
        <f>A59+1</f>
        <v>7</v>
      </c>
      <c r="B60" s="84">
        <f t="shared" si="11"/>
        <v>3</v>
      </c>
      <c r="F60" s="82">
        <f>SUM(F57:F59)</f>
        <v>66</v>
      </c>
      <c r="H60" s="82">
        <f>SUM(H57:H59)</f>
        <v>132</v>
      </c>
      <c r="I60" s="84" t="str">
        <f>CONCATENATE("m'(",C59,")=")</f>
        <v>m'(3)=</v>
      </c>
      <c r="J60" s="84">
        <f>2*(J57*(WLS))/3*H60</f>
        <v>352</v>
      </c>
      <c r="K60" s="84" t="str">
        <f>CONCATENATE("M(",C57,")=")</f>
        <v>M(1)=</v>
      </c>
      <c r="L60" s="84">
        <f>VLOOKUP(C57,STN_TABLE,4,FALSE)</f>
        <v>43.06</v>
      </c>
      <c r="M60" t="str">
        <f>CONCATENATE("M(",C59,")=")</f>
        <v>M(3)=</v>
      </c>
      <c r="N60">
        <f>J60+L60</f>
        <v>395.06</v>
      </c>
      <c r="O60" s="99">
        <f>O59+1</f>
        <v>9</v>
      </c>
      <c r="P60" s="99">
        <f t="shared" si="10"/>
        <v>4.8499999999999996</v>
      </c>
      <c r="T60" s="89">
        <f>SUM(T57:T59)</f>
        <v>132</v>
      </c>
      <c r="V60" s="82">
        <f>SUM(V57:V59)</f>
        <v>132</v>
      </c>
      <c r="W60" s="84" t="str">
        <f>CONCATENATE("m'(",Q58,")=")</f>
        <v>m'(3)=</v>
      </c>
      <c r="X60" s="84">
        <f>(2*(X57^2)/24*V60)+(X59*Q57*WLS)</f>
        <v>220</v>
      </c>
      <c r="Y60" s="84" t="str">
        <f>CONCATENATE("M(",Q57,")=")</f>
        <v>M(2)=</v>
      </c>
      <c r="Z60" s="84">
        <f>VLOOKUP(Q57,STN_TABLE,4,FALSE)</f>
        <v>175.06</v>
      </c>
      <c r="AA60" t="str">
        <f>CONCATENATE("M(",Q58,")=")</f>
        <v>M(3)=</v>
      </c>
      <c r="AB60">
        <f>X60+Z60</f>
        <v>395.06</v>
      </c>
      <c r="AE60" s="89">
        <f>SUM(AE58:AE59)</f>
        <v>22</v>
      </c>
      <c r="AG60" s="89">
        <f>SUM(AG58:AG59)</f>
        <v>33</v>
      </c>
      <c r="AH60" s="84" t="str">
        <f>CONCATENATE("m'(",AD59,")=")</f>
        <v>m'(3)=</v>
      </c>
      <c r="AI60" s="84">
        <f>(2*(AI57^2)/6*AG60)+(AI59*AD58*WLS)</f>
        <v>220</v>
      </c>
      <c r="AJ60" s="84" t="str">
        <f>CONCATENATE("M(",AD58,")=")</f>
        <v>M(2)=</v>
      </c>
      <c r="AK60" s="84">
        <f>VLOOKUP(AD57,STN_TABLE,4,FALSE)</f>
        <v>0</v>
      </c>
      <c r="AL60" t="str">
        <f>CONCATENATE("M(",AD59,")=")</f>
        <v>M(3)=</v>
      </c>
      <c r="AM60">
        <f>AI60+AK60</f>
        <v>220</v>
      </c>
      <c r="AO60" s="82" t="str">
        <f>AA60</f>
        <v>M(3)=</v>
      </c>
      <c r="AP60" s="82" t="e">
        <f>VLOOKUP(AO60,Rise_Results,2,FALSE)</f>
        <v>#N/A</v>
      </c>
      <c r="AQ60" s="82">
        <f>N60</f>
        <v>395.06</v>
      </c>
      <c r="AR60" s="82">
        <f>IF(OR(AB59&lt;=0,AB60&lt;=0),1/0,AB60)</f>
        <v>395.06</v>
      </c>
      <c r="AS60" s="82">
        <f>AM60</f>
        <v>220</v>
      </c>
      <c r="AT60">
        <f>IFERROR(AP60,IFERROR(AQ60,IFERROR(AR60,AS60)))</f>
        <v>395.06</v>
      </c>
      <c r="AU60" s="81"/>
    </row>
    <row r="61" spans="1:47" x14ac:dyDescent="0.25">
      <c r="A61" s="101">
        <f>A56+1</f>
        <v>4</v>
      </c>
      <c r="B61" s="101">
        <f t="shared" si="11"/>
        <v>0.75</v>
      </c>
      <c r="O61" s="101">
        <f>O56+1</f>
        <v>6</v>
      </c>
      <c r="P61" s="101">
        <f t="shared" si="10"/>
        <v>2</v>
      </c>
      <c r="AU61" s="81"/>
    </row>
    <row r="62" spans="1:47" x14ac:dyDescent="0.25">
      <c r="A62" s="84">
        <f>A61+1</f>
        <v>5</v>
      </c>
      <c r="B62" s="84">
        <f t="shared" si="11"/>
        <v>1</v>
      </c>
      <c r="C62" s="79">
        <f t="shared" ref="C62" si="18">IF(C63=B64,IF(C64-C63=C63-B63,B63,IF(C64-C63=C63-B62,B62,"#NA")),IF(C63=B63,IF(C64-C63=C63-B62,B62,IF(C64-C63=C63-B61,B61,"#NA")),"#NA"))</f>
        <v>2</v>
      </c>
      <c r="D62" s="68">
        <f>VLOOKUP(C62,STN_TABLE,2,FALSE)</f>
        <v>11</v>
      </c>
      <c r="E62" s="102">
        <v>1</v>
      </c>
      <c r="F62" s="68">
        <f>D62*E62</f>
        <v>11</v>
      </c>
      <c r="G62" s="69">
        <f>C62</f>
        <v>2</v>
      </c>
      <c r="H62" s="69">
        <f>F62*G62</f>
        <v>22</v>
      </c>
      <c r="I62" s="6" t="s">
        <v>93</v>
      </c>
      <c r="J62" s="70">
        <f>IF(OR(D62=0,D63=0,D64=0),"#NA",IF(AND(C64-C63=C63-C62,C63&lt;&gt;C64,C62&lt;&gt;C63,C62&lt;&gt;C64,D64&lt;&gt;0,OR(D62&lt;&gt;0,D63&lt;&gt;0)),WLS*(C64-C63),"#NA"))</f>
        <v>2</v>
      </c>
      <c r="O62" s="99">
        <f>O61+1</f>
        <v>7</v>
      </c>
      <c r="P62" s="99">
        <f t="shared" si="10"/>
        <v>3</v>
      </c>
      <c r="Q62" s="68">
        <f>IF(OR(P64-P63=P63-P62,P65-P63=P63-P62),P62,IF(OR(P64-P63=P63-P61,P65-P63=P63-P61),P61,"-"))</f>
        <v>3</v>
      </c>
      <c r="R62" s="69">
        <f>VLOOKUP(Q62,STN_TABLE,2,FALSE)</f>
        <v>11</v>
      </c>
      <c r="S62" s="69">
        <v>5</v>
      </c>
      <c r="T62" s="68">
        <f>R62*S62</f>
        <v>55</v>
      </c>
      <c r="U62" s="79">
        <v>3</v>
      </c>
      <c r="V62" s="68">
        <f>R62*U62</f>
        <v>33</v>
      </c>
      <c r="W62" s="6" t="s">
        <v>93</v>
      </c>
      <c r="X62" s="70">
        <f>IF(AND(Q64-Q63=Q63-Q62,NOT(AND(Q62=0,Q63=0)),NOT(AND(Q63=0,Q64=0))),WLS*(Q64-Q63),"#NA")</f>
        <v>2</v>
      </c>
      <c r="AD62" s="93"/>
      <c r="AH62" s="6" t="s">
        <v>93</v>
      </c>
      <c r="AI62" s="70">
        <f>WLS*(AD64-AD63)</f>
        <v>2</v>
      </c>
      <c r="AU62" s="81"/>
    </row>
    <row r="63" spans="1:47" x14ac:dyDescent="0.25">
      <c r="A63" s="84">
        <f>A62+1</f>
        <v>6</v>
      </c>
      <c r="B63" s="84">
        <f t="shared" si="11"/>
        <v>2</v>
      </c>
      <c r="C63" s="80">
        <f t="shared" ref="C63" si="19">IF(OR(B65-B64=B64-B63,B65-B64=B64-B62,B65-B64=B64-B61),B64,IF(OR(B65-B63=B63-B62,B65-B63=B63-B61),B63,IF(B65-B62=B62-B61,B62,"#NA")))</f>
        <v>3</v>
      </c>
      <c r="D63" s="76">
        <f>VLOOKUP(C63,STN_TABLE,2,FALSE)</f>
        <v>11</v>
      </c>
      <c r="E63" s="81">
        <v>4</v>
      </c>
      <c r="F63" s="76">
        <f>D63*E63</f>
        <v>44</v>
      </c>
      <c r="G63" s="77">
        <f>C63</f>
        <v>3</v>
      </c>
      <c r="H63" s="77">
        <f>F63*G63</f>
        <v>132</v>
      </c>
      <c r="I63" s="495" t="s">
        <v>97</v>
      </c>
      <c r="J63" s="496"/>
      <c r="K63" s="78" t="s">
        <v>98</v>
      </c>
      <c r="L63" s="78"/>
      <c r="M63" s="7" t="s">
        <v>99</v>
      </c>
      <c r="N63" s="7"/>
      <c r="O63" s="99">
        <f>O62+1</f>
        <v>8</v>
      </c>
      <c r="P63" s="99">
        <f t="shared" si="10"/>
        <v>4</v>
      </c>
      <c r="Q63" s="76">
        <f>P63</f>
        <v>4</v>
      </c>
      <c r="R63" s="77">
        <f>VLOOKUP(Q63,STN_TABLE,2,FALSE)</f>
        <v>11</v>
      </c>
      <c r="S63" s="77">
        <v>8</v>
      </c>
      <c r="T63" s="76">
        <f>R63*S63</f>
        <v>88</v>
      </c>
      <c r="U63" s="80">
        <v>10</v>
      </c>
      <c r="V63" s="76">
        <f>R63*U63</f>
        <v>110</v>
      </c>
      <c r="W63" s="496" t="s">
        <v>97</v>
      </c>
      <c r="X63" s="496"/>
      <c r="Y63" s="496" t="s">
        <v>98</v>
      </c>
      <c r="Z63" s="496"/>
      <c r="AA63" s="494" t="s">
        <v>99</v>
      </c>
      <c r="AB63" s="494"/>
      <c r="AC63" s="99">
        <f>AC58+1</f>
        <v>7</v>
      </c>
      <c r="AD63" s="95">
        <f>VLOOKUP(AC63,STN_TABLE_2,2,FALSE)</f>
        <v>3</v>
      </c>
      <c r="AE63" s="68">
        <f>VLOOKUP(AD63,STN_TABLE,2,FALSE)</f>
        <v>11</v>
      </c>
      <c r="AF63" s="68">
        <v>1</v>
      </c>
      <c r="AG63" s="69">
        <f>AE63*AF63</f>
        <v>11</v>
      </c>
      <c r="AH63" s="496" t="s">
        <v>97</v>
      </c>
      <c r="AI63" s="496"/>
      <c r="AJ63" s="496" t="s">
        <v>98</v>
      </c>
      <c r="AK63" s="496"/>
      <c r="AL63" s="494" t="s">
        <v>99</v>
      </c>
      <c r="AM63" s="494"/>
      <c r="AP63" s="86" t="s">
        <v>112</v>
      </c>
      <c r="AQ63" s="89" t="s">
        <v>113</v>
      </c>
      <c r="AR63" s="89" t="s">
        <v>114</v>
      </c>
      <c r="AS63" s="89" t="s">
        <v>115</v>
      </c>
      <c r="AU63" s="81"/>
    </row>
    <row r="64" spans="1:47" x14ac:dyDescent="0.25">
      <c r="A64" s="84">
        <f>A63+1</f>
        <v>7</v>
      </c>
      <c r="B64" s="84">
        <f t="shared" si="11"/>
        <v>3</v>
      </c>
      <c r="C64" s="88">
        <f t="shared" ref="C64" si="20">B65</f>
        <v>4</v>
      </c>
      <c r="D64" s="82">
        <f>VLOOKUP(C64,STN_TABLE,2,FALSE)</f>
        <v>11</v>
      </c>
      <c r="E64" s="92">
        <v>1</v>
      </c>
      <c r="F64" s="82">
        <f>D64*E64</f>
        <v>11</v>
      </c>
      <c r="G64" s="83">
        <f>C64</f>
        <v>4</v>
      </c>
      <c r="H64" s="83">
        <f>F64*G64</f>
        <v>44</v>
      </c>
      <c r="I64" s="84" t="str">
        <f>CONCATENATE("a'(",C64,")=")</f>
        <v>a'(4)=</v>
      </c>
      <c r="J64" s="84">
        <f>2*J62/3*F65</f>
        <v>88</v>
      </c>
      <c r="K64" s="84" t="str">
        <f>CONCATENATE("A(",C62,")=")</f>
        <v>A(2)=</v>
      </c>
      <c r="L64" s="84">
        <f>VLOOKUP(C62,STN_TABLE,3,FALSE)</f>
        <v>86.193333333333328</v>
      </c>
      <c r="M64" t="str">
        <f>CONCATENATE("A(",C64,")=")</f>
        <v>A(4)=</v>
      </c>
      <c r="N64">
        <f>J64+L64</f>
        <v>174.19333333333333</v>
      </c>
      <c r="O64" s="99">
        <f>O63+1</f>
        <v>9</v>
      </c>
      <c r="P64" s="99">
        <f t="shared" si="10"/>
        <v>4.8499999999999996</v>
      </c>
      <c r="Q64" s="82">
        <f>IF(P64-P63=P63-P62,P64,IF(P65-P63=P63-P62,P65,IF(P64-P63=P63-P61,P64,IF(P65-P63=P63-P61,P65,"-"))))</f>
        <v>5</v>
      </c>
      <c r="R64" s="83">
        <f>VLOOKUP(Q64,STN_TABLE,2,FALSE)</f>
        <v>11</v>
      </c>
      <c r="S64" s="83">
        <v>-1</v>
      </c>
      <c r="T64" s="82">
        <f>R64*S64</f>
        <v>-11</v>
      </c>
      <c r="U64" s="88">
        <v>-1</v>
      </c>
      <c r="V64" s="82">
        <f>R64*U64</f>
        <v>-11</v>
      </c>
      <c r="W64" s="84" t="str">
        <f>CONCATENATE("a'(",Q63,")=")</f>
        <v>a'(4)=</v>
      </c>
      <c r="X64" s="84">
        <f>2*X62/12*T65</f>
        <v>44</v>
      </c>
      <c r="Y64" s="84" t="str">
        <f>CONCATENATE("A(",Q62,")=")</f>
        <v>A(3)=</v>
      </c>
      <c r="Z64" s="84">
        <f>VLOOKUP(Q62,STN_TABLE,3,FALSE)</f>
        <v>130.19333333333333</v>
      </c>
      <c r="AA64" t="str">
        <f>CONCATENATE("A(",Q63,")=")</f>
        <v>A(4)=</v>
      </c>
      <c r="AB64">
        <f>X64+Z64</f>
        <v>174.19333333333333</v>
      </c>
      <c r="AC64" s="99">
        <f>AC63+1</f>
        <v>8</v>
      </c>
      <c r="AD64" s="100">
        <f>VLOOKUP(AC64,STN_TABLE_2,2,FALSE)</f>
        <v>4</v>
      </c>
      <c r="AE64" s="82">
        <f>VLOOKUP(AD64,STN_TABLE,2,FALSE)</f>
        <v>11</v>
      </c>
      <c r="AF64" s="82">
        <v>2</v>
      </c>
      <c r="AG64" s="83">
        <f>AE64*AF64</f>
        <v>22</v>
      </c>
      <c r="AH64" s="84" t="str">
        <f>CONCATENATE("a'(",AD64,")=")</f>
        <v>a'(4)=</v>
      </c>
      <c r="AI64" s="84">
        <f>2*AI62/2*AE65</f>
        <v>44</v>
      </c>
      <c r="AJ64" s="84" t="str">
        <f>CONCATENATE("A(",AD63,")=")</f>
        <v>A(3)=</v>
      </c>
      <c r="AK64" s="84">
        <f>VLOOKUP(AD63,STN_TABLE,3,FALSE)</f>
        <v>130.19333333333333</v>
      </c>
      <c r="AL64" t="str">
        <f>CONCATENATE("A(",AD64,")=")</f>
        <v>A(4)=</v>
      </c>
      <c r="AM64">
        <f>AI64+AK64</f>
        <v>174.19333333333333</v>
      </c>
      <c r="AO64" s="68" t="str">
        <f>AA64</f>
        <v>A(4)=</v>
      </c>
      <c r="AP64" s="68" t="e">
        <f>VLOOKUP(AO64,Rise_Results,2,FALSE)</f>
        <v>#N/A</v>
      </c>
      <c r="AQ64" s="76">
        <f>N64</f>
        <v>174.19333333333333</v>
      </c>
      <c r="AR64" s="76">
        <f>IF(OR(AB64&lt;=0,AB65&lt;=0),1/0,AB64)</f>
        <v>174.19333333333333</v>
      </c>
      <c r="AS64" s="76">
        <f>AM64</f>
        <v>174.19333333333333</v>
      </c>
      <c r="AT64">
        <f>IFERROR(AP64,IFERROR(AQ64,IFERROR(AR64,AS64)))</f>
        <v>174.19333333333333</v>
      </c>
      <c r="AU64" s="81"/>
    </row>
    <row r="65" spans="1:47" x14ac:dyDescent="0.25">
      <c r="A65" s="84">
        <f>A64+1</f>
        <v>8</v>
      </c>
      <c r="B65" s="84">
        <f t="shared" si="11"/>
        <v>4</v>
      </c>
      <c r="F65" s="82">
        <f>SUM(F62:F64)</f>
        <v>66</v>
      </c>
      <c r="H65" s="82">
        <f>SUM(H62:H64)</f>
        <v>198</v>
      </c>
      <c r="I65" s="84" t="str">
        <f>CONCATENATE("m'(",C64,")=")</f>
        <v>m'(4)=</v>
      </c>
      <c r="J65" s="84">
        <f>2*(J62*(WLS))/3*H65</f>
        <v>528</v>
      </c>
      <c r="K65" s="84" t="str">
        <f>CONCATENATE("M(",C62,")=")</f>
        <v>M(2)=</v>
      </c>
      <c r="L65" s="84">
        <f>VLOOKUP(C62,STN_TABLE,4,FALSE)</f>
        <v>175.06</v>
      </c>
      <c r="M65" t="str">
        <f>CONCATENATE("M(",C64,")=")</f>
        <v>M(4)=</v>
      </c>
      <c r="N65">
        <f>J65+L65</f>
        <v>703.06</v>
      </c>
      <c r="O65" s="99">
        <f>O64+1</f>
        <v>10</v>
      </c>
      <c r="P65" s="99">
        <f t="shared" si="10"/>
        <v>5</v>
      </c>
      <c r="T65" s="89">
        <f>SUM(T62:T64)</f>
        <v>132</v>
      </c>
      <c r="V65" s="82">
        <f>SUM(V62:V64)</f>
        <v>132</v>
      </c>
      <c r="W65" s="84" t="str">
        <f>CONCATENATE("m'(",Q63,")=")</f>
        <v>m'(4)=</v>
      </c>
      <c r="X65" s="84">
        <f>(2*(X62^2)/24*V65)+(X64*Q62*WLS)</f>
        <v>308</v>
      </c>
      <c r="Y65" s="84" t="str">
        <f>CONCATENATE("M(",Q62,")=")</f>
        <v>M(3)=</v>
      </c>
      <c r="Z65" s="84">
        <f>VLOOKUP(Q62,STN_TABLE,4,FALSE)</f>
        <v>395.06</v>
      </c>
      <c r="AA65" t="str">
        <f>CONCATENATE("M(",Q63,")=")</f>
        <v>M(4)=</v>
      </c>
      <c r="AB65">
        <f>X65+Z65</f>
        <v>703.06</v>
      </c>
      <c r="AE65" s="89">
        <f>SUM(AE63:AE64)</f>
        <v>22</v>
      </c>
      <c r="AG65" s="89">
        <f>SUM(AG63:AG64)</f>
        <v>33</v>
      </c>
      <c r="AH65" s="84" t="str">
        <f>CONCATENATE("m'(",AD64,")=")</f>
        <v>m'(4)=</v>
      </c>
      <c r="AI65" s="84">
        <f>(2*(AI62^2)/6*AG65)+(AI64*AD63*WLS)</f>
        <v>308</v>
      </c>
      <c r="AJ65" s="84" t="str">
        <f>CONCATENATE("M(",AD63,")=")</f>
        <v>M(3)=</v>
      </c>
      <c r="AK65" s="84">
        <f>VLOOKUP(AD63,STN_TABLE,4,FALSE)</f>
        <v>395.06</v>
      </c>
      <c r="AL65" t="str">
        <f>CONCATENATE("M(",AD64,")=")</f>
        <v>M(4)=</v>
      </c>
      <c r="AM65">
        <f>AI65+AK65</f>
        <v>703.06</v>
      </c>
      <c r="AO65" s="82" t="str">
        <f>AA65</f>
        <v>M(4)=</v>
      </c>
      <c r="AP65" s="82" t="e">
        <f>VLOOKUP(AO65,Rise_Results,2,FALSE)</f>
        <v>#N/A</v>
      </c>
      <c r="AQ65" s="82">
        <f>N65</f>
        <v>703.06</v>
      </c>
      <c r="AR65" s="82">
        <f>IF(OR(AB64&lt;=0,AB65&lt;=0),1/0,AB65)</f>
        <v>703.06</v>
      </c>
      <c r="AS65" s="82">
        <f>AM65</f>
        <v>703.06</v>
      </c>
      <c r="AT65">
        <f>IFERROR(AP65,IFERROR(AQ65,IFERROR(AR65,AS65)))</f>
        <v>703.06</v>
      </c>
      <c r="AU65" s="81"/>
    </row>
    <row r="66" spans="1:47" x14ac:dyDescent="0.25">
      <c r="A66" s="101">
        <f>A61+1</f>
        <v>5</v>
      </c>
      <c r="B66" s="101">
        <f t="shared" si="11"/>
        <v>1</v>
      </c>
      <c r="O66" s="101">
        <f>O61+1</f>
        <v>7</v>
      </c>
      <c r="P66" s="101">
        <f t="shared" si="10"/>
        <v>3</v>
      </c>
      <c r="AU66" s="81"/>
    </row>
    <row r="67" spans="1:47" x14ac:dyDescent="0.25">
      <c r="A67" s="84">
        <f>A66+1</f>
        <v>6</v>
      </c>
      <c r="B67" s="84">
        <f t="shared" si="11"/>
        <v>2</v>
      </c>
      <c r="C67" s="79" t="str">
        <f t="shared" ref="C67" si="21">IF(C68=B69,IF(C69-C68=C68-B68,B68,IF(C69-C68=C68-B67,B67,"#NA")),IF(C68=B68,IF(C69-C68=C68-B67,B67,IF(C69-C68=C68-B66,B66,"#NA")),"#NA"))</f>
        <v>#NA</v>
      </c>
      <c r="D67" s="68" t="e">
        <f>VLOOKUP(C67,STN_TABLE,2,FALSE)</f>
        <v>#N/A</v>
      </c>
      <c r="E67" s="102">
        <v>1</v>
      </c>
      <c r="F67" s="68" t="e">
        <f>D67*E67</f>
        <v>#N/A</v>
      </c>
      <c r="G67" s="69" t="str">
        <f>C67</f>
        <v>#NA</v>
      </c>
      <c r="H67" s="69" t="e">
        <f>F67*G67</f>
        <v>#N/A</v>
      </c>
      <c r="I67" s="6" t="s">
        <v>93</v>
      </c>
      <c r="J67" s="70" t="e">
        <f>IF(OR(D67=0,D68=0,D69=0),"#NA",IF(AND(C69-C68=C68-C67,C68&lt;&gt;C69,C67&lt;&gt;C68,C67&lt;&gt;C69,D69&lt;&gt;0,OR(D67&lt;&gt;0,D68&lt;&gt;0)),WLS*(C69-C68),"#NA"))</f>
        <v>#N/A</v>
      </c>
      <c r="O67" s="99">
        <f>O66+1</f>
        <v>8</v>
      </c>
      <c r="P67" s="99">
        <f t="shared" si="10"/>
        <v>4</v>
      </c>
      <c r="Q67" s="68" t="str">
        <f>IF(OR(P69-P68=P68-P67,P70-P68=P68-P67),P67,IF(OR(P69-P68=P68-P66,P70-P68=P68-P66),P66,"-"))</f>
        <v>-</v>
      </c>
      <c r="R67" s="69" t="e">
        <f>VLOOKUP(Q67,STN_TABLE,2,FALSE)</f>
        <v>#N/A</v>
      </c>
      <c r="S67" s="69">
        <v>5</v>
      </c>
      <c r="T67" s="68" t="e">
        <f>R67*S67</f>
        <v>#N/A</v>
      </c>
      <c r="U67" s="79">
        <v>3</v>
      </c>
      <c r="V67" s="68" t="e">
        <f>R67*U67</f>
        <v>#N/A</v>
      </c>
      <c r="W67" s="6" t="s">
        <v>93</v>
      </c>
      <c r="X67" s="70" t="e">
        <f>IF(AND(Q69-Q68=Q68-Q67,NOT(AND(Q67=0,Q68=0)),NOT(AND(Q68=0,Q69=0))),WLS*(Q69-Q68),"#NA")</f>
        <v>#VALUE!</v>
      </c>
      <c r="AD67" s="93"/>
      <c r="AH67" s="6" t="s">
        <v>93</v>
      </c>
      <c r="AI67" s="70">
        <f>WLS*(AD69-AD68)</f>
        <v>1.6999999999999993</v>
      </c>
      <c r="AU67" s="81"/>
    </row>
    <row r="68" spans="1:47" x14ac:dyDescent="0.25">
      <c r="A68" s="84">
        <f>A67+1</f>
        <v>7</v>
      </c>
      <c r="B68" s="84">
        <f t="shared" si="11"/>
        <v>3</v>
      </c>
      <c r="C68" s="80" t="str">
        <f t="shared" ref="C68" si="22">IF(OR(B70-B69=B69-B68,B70-B69=B69-B67,B70-B69=B69-B66),B69,IF(OR(B70-B68=B68-B67,B70-B68=B68-B66),B68,IF(B70-B67=B67-B66,B67,"#NA")))</f>
        <v>#NA</v>
      </c>
      <c r="D68" s="76" t="e">
        <f>VLOOKUP(C68,STN_TABLE,2,FALSE)</f>
        <v>#N/A</v>
      </c>
      <c r="E68" s="81">
        <v>4</v>
      </c>
      <c r="F68" s="76" t="e">
        <f>D68*E68</f>
        <v>#N/A</v>
      </c>
      <c r="G68" s="77" t="str">
        <f>C68</f>
        <v>#NA</v>
      </c>
      <c r="H68" s="77" t="e">
        <f>F68*G68</f>
        <v>#N/A</v>
      </c>
      <c r="I68" s="495" t="s">
        <v>97</v>
      </c>
      <c r="J68" s="496"/>
      <c r="K68" s="78" t="s">
        <v>98</v>
      </c>
      <c r="L68" s="78"/>
      <c r="M68" s="7" t="s">
        <v>99</v>
      </c>
      <c r="N68" s="7"/>
      <c r="O68" s="99">
        <f>O67+1</f>
        <v>9</v>
      </c>
      <c r="P68" s="99">
        <f t="shared" ref="P68:P99" si="23">VLOOKUP(O68,STN_TABLE_2,2,FALSE)</f>
        <v>4.8499999999999996</v>
      </c>
      <c r="Q68" s="76">
        <f>P68</f>
        <v>4.8499999999999996</v>
      </c>
      <c r="R68" s="77">
        <f>VLOOKUP(Q68,STN_TABLE,2,FALSE)</f>
        <v>11</v>
      </c>
      <c r="S68" s="77">
        <v>8</v>
      </c>
      <c r="T68" s="76">
        <f>R68*S68</f>
        <v>88</v>
      </c>
      <c r="U68" s="80">
        <v>10</v>
      </c>
      <c r="V68" s="76">
        <f>R68*U68</f>
        <v>110</v>
      </c>
      <c r="W68" s="496" t="s">
        <v>97</v>
      </c>
      <c r="X68" s="496"/>
      <c r="Y68" s="496" t="s">
        <v>98</v>
      </c>
      <c r="Z68" s="496"/>
      <c r="AA68" s="494" t="s">
        <v>99</v>
      </c>
      <c r="AB68" s="494"/>
      <c r="AC68" s="99">
        <f>AC63+1</f>
        <v>8</v>
      </c>
      <c r="AD68" s="95">
        <f>VLOOKUP(AC68,STN_TABLE_2,2,FALSE)</f>
        <v>4</v>
      </c>
      <c r="AE68" s="68">
        <f>VLOOKUP(AD68,STN_TABLE,2,FALSE)</f>
        <v>11</v>
      </c>
      <c r="AF68" s="68">
        <v>1</v>
      </c>
      <c r="AG68" s="69">
        <f>AE68*AF68</f>
        <v>11</v>
      </c>
      <c r="AH68" s="496" t="s">
        <v>97</v>
      </c>
      <c r="AI68" s="496"/>
      <c r="AJ68" s="496" t="s">
        <v>98</v>
      </c>
      <c r="AK68" s="496"/>
      <c r="AL68" s="494" t="s">
        <v>99</v>
      </c>
      <c r="AM68" s="494"/>
      <c r="AP68" s="86" t="s">
        <v>112</v>
      </c>
      <c r="AQ68" s="89" t="s">
        <v>113</v>
      </c>
      <c r="AR68" s="89" t="s">
        <v>114</v>
      </c>
      <c r="AS68" s="89" t="s">
        <v>115</v>
      </c>
      <c r="AU68" s="81"/>
    </row>
    <row r="69" spans="1:47" x14ac:dyDescent="0.25">
      <c r="A69" s="84">
        <f>A68+1</f>
        <v>8</v>
      </c>
      <c r="B69" s="84">
        <f t="shared" si="11"/>
        <v>4</v>
      </c>
      <c r="C69" s="88">
        <f t="shared" ref="C69" si="24">B70</f>
        <v>4.8499999999999996</v>
      </c>
      <c r="D69" s="82">
        <f>VLOOKUP(C69,STN_TABLE,2,FALSE)</f>
        <v>11</v>
      </c>
      <c r="E69" s="92">
        <v>1</v>
      </c>
      <c r="F69" s="82">
        <f>D69*E69</f>
        <v>11</v>
      </c>
      <c r="G69" s="83">
        <f>C69</f>
        <v>4.8499999999999996</v>
      </c>
      <c r="H69" s="83">
        <f>F69*G69</f>
        <v>53.349999999999994</v>
      </c>
      <c r="I69" s="84" t="str">
        <f>CONCATENATE("a'(",C69,")=")</f>
        <v>a'(4.85)=</v>
      </c>
      <c r="J69" s="84" t="e">
        <f>2*J67/3*F70</f>
        <v>#N/A</v>
      </c>
      <c r="K69" s="84" t="str">
        <f>CONCATENATE("A(",C67,")=")</f>
        <v>A(#NA)=</v>
      </c>
      <c r="L69" s="84" t="e">
        <f>VLOOKUP(C67,STN_TABLE,3,FALSE)</f>
        <v>#N/A</v>
      </c>
      <c r="M69" t="str">
        <f>CONCATENATE("A(",C69,")=")</f>
        <v>A(4.85)=</v>
      </c>
      <c r="N69" t="e">
        <f>J69+L69</f>
        <v>#N/A</v>
      </c>
      <c r="O69" s="99">
        <f>O68+1</f>
        <v>10</v>
      </c>
      <c r="P69" s="99">
        <f t="shared" si="23"/>
        <v>5</v>
      </c>
      <c r="Q69" s="82" t="str">
        <f>IF(P69-P68=P68-P67,P69,IF(P70-P68=P68-P67,P70,IF(P69-P68=P68-P66,P69,IF(P70-P68=P68-P66,P70,"-"))))</f>
        <v>-</v>
      </c>
      <c r="R69" s="83" t="e">
        <f>VLOOKUP(Q69,STN_TABLE,2,FALSE)</f>
        <v>#N/A</v>
      </c>
      <c r="S69" s="83">
        <v>-1</v>
      </c>
      <c r="T69" s="82" t="e">
        <f>R69*S69</f>
        <v>#N/A</v>
      </c>
      <c r="U69" s="88">
        <v>-1</v>
      </c>
      <c r="V69" s="82" t="e">
        <f>R69*U69</f>
        <v>#N/A</v>
      </c>
      <c r="W69" s="84" t="str">
        <f>CONCATENATE("a'(",Q68,")=")</f>
        <v>a'(4.85)=</v>
      </c>
      <c r="X69" s="84" t="e">
        <f>2*X67/12*T70</f>
        <v>#VALUE!</v>
      </c>
      <c r="Y69" s="84" t="str">
        <f>CONCATENATE("A(",Q67,")=")</f>
        <v>A(-)=</v>
      </c>
      <c r="Z69" s="84" t="e">
        <f>VLOOKUP(Q67,STN_TABLE,3,FALSE)</f>
        <v>#N/A</v>
      </c>
      <c r="AA69" t="str">
        <f>CONCATENATE("A(",Q68,")=")</f>
        <v>A(4.85)=</v>
      </c>
      <c r="AB69" t="e">
        <f>X69+Z69</f>
        <v>#VALUE!</v>
      </c>
      <c r="AC69" s="99">
        <f>AC68+1</f>
        <v>9</v>
      </c>
      <c r="AD69" s="100">
        <f>VLOOKUP(AC69,STN_TABLE_2,2,FALSE)</f>
        <v>4.8499999999999996</v>
      </c>
      <c r="AE69" s="82">
        <f>VLOOKUP(AD69,STN_TABLE,2,FALSE)</f>
        <v>11</v>
      </c>
      <c r="AF69" s="82">
        <v>2</v>
      </c>
      <c r="AG69" s="83">
        <f>AE69*AF69</f>
        <v>22</v>
      </c>
      <c r="AH69" s="84" t="str">
        <f>CONCATENATE("a'(",AD69,")=")</f>
        <v>a'(4.85)=</v>
      </c>
      <c r="AI69" s="84">
        <f>2*AI67/2*AE70</f>
        <v>37.399999999999984</v>
      </c>
      <c r="AJ69" s="84" t="str">
        <f>CONCATENATE("A(",AD68,")=")</f>
        <v>A(4)=</v>
      </c>
      <c r="AK69" s="84">
        <f>VLOOKUP(AD68,STN_TABLE,3,FALSE)</f>
        <v>174.19333333333333</v>
      </c>
      <c r="AL69" t="str">
        <f>CONCATENATE("A(",AD69,")=")</f>
        <v>A(4.85)=</v>
      </c>
      <c r="AM69">
        <f>AI69+AK69</f>
        <v>211.59333333333331</v>
      </c>
      <c r="AO69" s="68" t="str">
        <f>AA69</f>
        <v>A(4.85)=</v>
      </c>
      <c r="AP69" s="68" t="e">
        <f>VLOOKUP(AO69,Rise_Results,2,FALSE)</f>
        <v>#N/A</v>
      </c>
      <c r="AQ69" s="76" t="e">
        <f>N69</f>
        <v>#N/A</v>
      </c>
      <c r="AR69" s="76" t="e">
        <f>IF(OR(AB69&lt;=0,AB70&lt;=0),1/0,AB69)</f>
        <v>#VALUE!</v>
      </c>
      <c r="AS69" s="76">
        <f>AM69</f>
        <v>211.59333333333331</v>
      </c>
      <c r="AT69">
        <f>IFERROR(AP69,IFERROR(AQ69,IFERROR(AR69,AS69)))</f>
        <v>211.59333333333331</v>
      </c>
      <c r="AU69" s="81"/>
    </row>
    <row r="70" spans="1:47" x14ac:dyDescent="0.25">
      <c r="A70" s="84">
        <f>A69+1</f>
        <v>9</v>
      </c>
      <c r="B70" s="84">
        <f t="shared" si="11"/>
        <v>4.8499999999999996</v>
      </c>
      <c r="F70" s="82" t="e">
        <f>SUM(F67:F69)</f>
        <v>#N/A</v>
      </c>
      <c r="H70" s="82" t="e">
        <f>SUM(H67:H69)</f>
        <v>#N/A</v>
      </c>
      <c r="I70" s="84" t="str">
        <f>CONCATENATE("m'(",C69,")=")</f>
        <v>m'(4.85)=</v>
      </c>
      <c r="J70" s="84" t="e">
        <f>2*(J67*(WLS))/3*H70</f>
        <v>#N/A</v>
      </c>
      <c r="K70" s="84" t="str">
        <f>CONCATENATE("M(",C67,")=")</f>
        <v>M(#NA)=</v>
      </c>
      <c r="L70" s="84" t="e">
        <f>VLOOKUP(C67,STN_TABLE,4,FALSE)</f>
        <v>#N/A</v>
      </c>
      <c r="M70" t="str">
        <f>CONCATENATE("M(",C69,")=")</f>
        <v>M(4.85)=</v>
      </c>
      <c r="N70" t="e">
        <f>J70+L70</f>
        <v>#N/A</v>
      </c>
      <c r="O70" s="99">
        <f>O69+1</f>
        <v>11</v>
      </c>
      <c r="P70" s="99">
        <f t="shared" si="23"/>
        <v>6</v>
      </c>
      <c r="T70" s="89" t="e">
        <f>SUM(T67:T69)</f>
        <v>#N/A</v>
      </c>
      <c r="V70" s="82" t="e">
        <f>SUM(V67:V69)</f>
        <v>#N/A</v>
      </c>
      <c r="W70" s="84" t="str">
        <f>CONCATENATE("m'(",Q68,")=")</f>
        <v>m'(4.85)=</v>
      </c>
      <c r="X70" s="84" t="e">
        <f>(2*(X67^2)/24*V70)+(X69*Q67*WLS)</f>
        <v>#VALUE!</v>
      </c>
      <c r="Y70" s="84" t="str">
        <f>CONCATENATE("M(",Q67,")=")</f>
        <v>M(-)=</v>
      </c>
      <c r="Z70" s="84" t="e">
        <f>VLOOKUP(Q67,STN_TABLE,4,FALSE)</f>
        <v>#N/A</v>
      </c>
      <c r="AA70" t="str">
        <f>CONCATENATE("M(",Q68,")=")</f>
        <v>M(4.85)=</v>
      </c>
      <c r="AB70" t="e">
        <f>X70+Z70</f>
        <v>#VALUE!</v>
      </c>
      <c r="AE70" s="89">
        <f>SUM(AE68:AE69)</f>
        <v>22</v>
      </c>
      <c r="AG70" s="89">
        <f>SUM(AG68:AG69)</f>
        <v>33</v>
      </c>
      <c r="AH70" s="84" t="str">
        <f>CONCATENATE("m'(",AD69,")=")</f>
        <v>m'(4.85)=</v>
      </c>
      <c r="AI70" s="84">
        <f>(2*(AI67^2)/6*AG70)+(AI69*AD68*WLS)</f>
        <v>330.98999999999984</v>
      </c>
      <c r="AJ70" s="84" t="str">
        <f>CONCATENATE("M(",AD68,")=")</f>
        <v>M(4)=</v>
      </c>
      <c r="AK70" s="84">
        <f>VLOOKUP(AD68,STN_TABLE,4,FALSE)</f>
        <v>703.06</v>
      </c>
      <c r="AL70" t="str">
        <f>CONCATENATE("M(",AD69,")=")</f>
        <v>M(4.85)=</v>
      </c>
      <c r="AM70">
        <f>AI70+AK70</f>
        <v>1034.0499999999997</v>
      </c>
      <c r="AO70" s="82" t="str">
        <f>AA70</f>
        <v>M(4.85)=</v>
      </c>
      <c r="AP70" s="82" t="e">
        <f>VLOOKUP(AO70,Rise_Results,2,FALSE)</f>
        <v>#N/A</v>
      </c>
      <c r="AQ70" s="82" t="e">
        <f>N70</f>
        <v>#N/A</v>
      </c>
      <c r="AR70" s="82" t="e">
        <f>IF(OR(AB69&lt;=0,AB70&lt;=0),1/0,AB70)</f>
        <v>#VALUE!</v>
      </c>
      <c r="AS70" s="82">
        <f>AM70</f>
        <v>1034.0499999999997</v>
      </c>
      <c r="AT70">
        <f>IFERROR(AP70,IFERROR(AQ70,IFERROR(AR70,AS70)))</f>
        <v>1034.0499999999997</v>
      </c>
      <c r="AU70" s="81"/>
    </row>
    <row r="71" spans="1:47" x14ac:dyDescent="0.25">
      <c r="A71" s="101">
        <f>A66+1</f>
        <v>6</v>
      </c>
      <c r="B71" s="101">
        <f t="shared" si="11"/>
        <v>2</v>
      </c>
      <c r="O71" s="101">
        <f>O66+1</f>
        <v>8</v>
      </c>
      <c r="P71" s="101">
        <f t="shared" si="23"/>
        <v>4</v>
      </c>
      <c r="AU71" s="81"/>
    </row>
    <row r="72" spans="1:47" x14ac:dyDescent="0.25">
      <c r="A72" s="84">
        <f>A71+1</f>
        <v>7</v>
      </c>
      <c r="B72" s="84">
        <f t="shared" si="11"/>
        <v>3</v>
      </c>
      <c r="C72" s="79">
        <f t="shared" ref="C72" si="25">IF(C73=B74,IF(C74-C73=C73-B73,B73,IF(C74-C73=C73-B72,B72,"#NA")),IF(C73=B73,IF(C74-C73=C73-B72,B72,IF(C74-C73=C73-B71,B71,"#NA")),"#NA"))</f>
        <v>3</v>
      </c>
      <c r="D72" s="68">
        <f>VLOOKUP(C72,STN_TABLE,2,FALSE)</f>
        <v>11</v>
      </c>
      <c r="E72" s="102">
        <v>1</v>
      </c>
      <c r="F72" s="68">
        <f>D72*E72</f>
        <v>11</v>
      </c>
      <c r="G72" s="69">
        <f>C72</f>
        <v>3</v>
      </c>
      <c r="H72" s="69">
        <f>F72*G72</f>
        <v>33</v>
      </c>
      <c r="I72" s="6" t="s">
        <v>93</v>
      </c>
      <c r="J72" s="70">
        <f>IF(OR(D72=0,D73=0,D74=0),"#NA",IF(AND(C74-C73=C73-C72,C73&lt;&gt;C74,C72&lt;&gt;C73,C72&lt;&gt;C74,D74&lt;&gt;0,OR(D72&lt;&gt;0,D73&lt;&gt;0)),WLS*(C74-C73),"#NA"))</f>
        <v>2</v>
      </c>
      <c r="O72" s="99">
        <f>O71+1</f>
        <v>9</v>
      </c>
      <c r="P72" s="99">
        <f t="shared" si="23"/>
        <v>4.8499999999999996</v>
      </c>
      <c r="Q72" s="68">
        <f>IF(OR(P74-P73=P73-P72,P75-P73=P73-P72),P72,IF(OR(P74-P73=P73-P71,P75-P73=P73-P71),P71,"-"))</f>
        <v>4</v>
      </c>
      <c r="R72" s="69">
        <f>VLOOKUP(Q72,STN_TABLE,2,FALSE)</f>
        <v>11</v>
      </c>
      <c r="S72" s="69">
        <v>5</v>
      </c>
      <c r="T72" s="68">
        <f>R72*S72</f>
        <v>55</v>
      </c>
      <c r="U72" s="79">
        <v>3</v>
      </c>
      <c r="V72" s="68">
        <f>R72*U72</f>
        <v>33</v>
      </c>
      <c r="W72" s="6" t="s">
        <v>93</v>
      </c>
      <c r="X72" s="70">
        <f>IF(AND(Q74-Q73=Q73-Q72,NOT(AND(Q72=0,Q73=0)),NOT(AND(Q73=0,Q74=0))),WLS*(Q74-Q73),"#NA")</f>
        <v>2</v>
      </c>
      <c r="AD72" s="93"/>
      <c r="AH72" s="6" t="s">
        <v>93</v>
      </c>
      <c r="AI72" s="70">
        <f>WLS*(AD74-AD73)</f>
        <v>0.30000000000000071</v>
      </c>
      <c r="AU72" s="81"/>
    </row>
    <row r="73" spans="1:47" x14ac:dyDescent="0.25">
      <c r="A73" s="84">
        <f>A72+1</f>
        <v>8</v>
      </c>
      <c r="B73" s="84">
        <f t="shared" si="11"/>
        <v>4</v>
      </c>
      <c r="C73" s="80">
        <f t="shared" ref="C73" si="26">IF(OR(B75-B74=B74-B73,B75-B74=B74-B72,B75-B74=B74-B71),B74,IF(OR(B75-B73=B73-B72,B75-B73=B73-B71),B73,IF(B75-B72=B72-B71,B72,"#NA")))</f>
        <v>4</v>
      </c>
      <c r="D73" s="76">
        <f>VLOOKUP(C73,STN_TABLE,2,FALSE)</f>
        <v>11</v>
      </c>
      <c r="E73" s="81">
        <v>4</v>
      </c>
      <c r="F73" s="76">
        <f>D73*E73</f>
        <v>44</v>
      </c>
      <c r="G73" s="77">
        <f>C73</f>
        <v>4</v>
      </c>
      <c r="H73" s="77">
        <f>F73*G73</f>
        <v>176</v>
      </c>
      <c r="I73" s="495" t="s">
        <v>97</v>
      </c>
      <c r="J73" s="496"/>
      <c r="K73" s="78" t="s">
        <v>98</v>
      </c>
      <c r="L73" s="78"/>
      <c r="M73" s="7" t="s">
        <v>99</v>
      </c>
      <c r="N73" s="7"/>
      <c r="O73" s="99">
        <f>O72+1</f>
        <v>10</v>
      </c>
      <c r="P73" s="99">
        <f t="shared" si="23"/>
        <v>5</v>
      </c>
      <c r="Q73" s="76">
        <f>P73</f>
        <v>5</v>
      </c>
      <c r="R73" s="77">
        <f>VLOOKUP(Q73,STN_TABLE,2,FALSE)</f>
        <v>11</v>
      </c>
      <c r="S73" s="77">
        <v>8</v>
      </c>
      <c r="T73" s="76">
        <f>R73*S73</f>
        <v>88</v>
      </c>
      <c r="U73" s="80">
        <v>10</v>
      </c>
      <c r="V73" s="76">
        <f>R73*U73</f>
        <v>110</v>
      </c>
      <c r="W73" s="496" t="s">
        <v>97</v>
      </c>
      <c r="X73" s="496"/>
      <c r="Y73" s="496" t="s">
        <v>98</v>
      </c>
      <c r="Z73" s="496"/>
      <c r="AA73" s="494" t="s">
        <v>99</v>
      </c>
      <c r="AB73" s="494"/>
      <c r="AC73" s="99">
        <f>AC68+1</f>
        <v>9</v>
      </c>
      <c r="AD73" s="95">
        <f>VLOOKUP(AC73,STN_TABLE_2,2,FALSE)</f>
        <v>4.8499999999999996</v>
      </c>
      <c r="AE73" s="68">
        <f>VLOOKUP(AD73,STN_TABLE,2,FALSE)</f>
        <v>11</v>
      </c>
      <c r="AF73" s="68">
        <v>1</v>
      </c>
      <c r="AG73" s="69">
        <f>AE73*AF73</f>
        <v>11</v>
      </c>
      <c r="AH73" s="496" t="s">
        <v>97</v>
      </c>
      <c r="AI73" s="496"/>
      <c r="AJ73" s="496" t="s">
        <v>98</v>
      </c>
      <c r="AK73" s="496"/>
      <c r="AL73" s="494" t="s">
        <v>99</v>
      </c>
      <c r="AM73" s="494"/>
      <c r="AP73" s="86" t="s">
        <v>112</v>
      </c>
      <c r="AQ73" s="89" t="s">
        <v>113</v>
      </c>
      <c r="AR73" s="89" t="s">
        <v>114</v>
      </c>
      <c r="AS73" s="89" t="s">
        <v>115</v>
      </c>
      <c r="AU73" s="81"/>
    </row>
    <row r="74" spans="1:47" x14ac:dyDescent="0.25">
      <c r="A74" s="84">
        <f>A73+1</f>
        <v>9</v>
      </c>
      <c r="B74" s="84">
        <f t="shared" ref="B74:B105" si="27">VLOOKUP(A74,STN_TABLE_2,2,FALSE)</f>
        <v>4.8499999999999996</v>
      </c>
      <c r="C74" s="88">
        <f t="shared" ref="C74" si="28">B75</f>
        <v>5</v>
      </c>
      <c r="D74" s="82">
        <f>VLOOKUP(C74,STN_TABLE,2,FALSE)</f>
        <v>11</v>
      </c>
      <c r="E74" s="92">
        <v>1</v>
      </c>
      <c r="F74" s="82">
        <f>D74*E74</f>
        <v>11</v>
      </c>
      <c r="G74" s="83">
        <f>C74</f>
        <v>5</v>
      </c>
      <c r="H74" s="83">
        <f>F74*G74</f>
        <v>55</v>
      </c>
      <c r="I74" s="84" t="str">
        <f>CONCATENATE("a'(",C74,")=")</f>
        <v>a'(5)=</v>
      </c>
      <c r="J74" s="84">
        <f>2*J72/3*F75</f>
        <v>88</v>
      </c>
      <c r="K74" s="84" t="str">
        <f>CONCATENATE("A(",C72,")=")</f>
        <v>A(3)=</v>
      </c>
      <c r="L74" s="84">
        <f>VLOOKUP(C72,STN_TABLE,3,FALSE)</f>
        <v>130.19333333333333</v>
      </c>
      <c r="M74" t="str">
        <f>CONCATENATE("A(",C74,")=")</f>
        <v>A(5)=</v>
      </c>
      <c r="N74">
        <f>J74+L74</f>
        <v>218.19333333333333</v>
      </c>
      <c r="O74" s="99">
        <f>O73+1</f>
        <v>11</v>
      </c>
      <c r="P74" s="99">
        <f t="shared" si="23"/>
        <v>6</v>
      </c>
      <c r="Q74" s="82">
        <f>IF(P74-P73=P73-P72,P74,IF(P75-P73=P73-P72,P75,IF(P74-P73=P73-P71,P74,IF(P75-P73=P73-P71,P75,"-"))))</f>
        <v>6</v>
      </c>
      <c r="R74" s="83">
        <f>VLOOKUP(Q74,STN_TABLE,2,FALSE)</f>
        <v>11</v>
      </c>
      <c r="S74" s="83">
        <v>-1</v>
      </c>
      <c r="T74" s="82">
        <f>R74*S74</f>
        <v>-11</v>
      </c>
      <c r="U74" s="88">
        <v>-1</v>
      </c>
      <c r="V74" s="82">
        <f>R74*U74</f>
        <v>-11</v>
      </c>
      <c r="W74" s="84" t="str">
        <f>CONCATENATE("a'(",Q73,")=")</f>
        <v>a'(5)=</v>
      </c>
      <c r="X74" s="84">
        <f>2*X72/12*T75</f>
        <v>44</v>
      </c>
      <c r="Y74" s="84" t="str">
        <f>CONCATENATE("A(",Q72,")=")</f>
        <v>A(4)=</v>
      </c>
      <c r="Z74" s="84">
        <f>VLOOKUP(Q72,STN_TABLE,3,FALSE)</f>
        <v>174.19333333333333</v>
      </c>
      <c r="AA74" t="str">
        <f>CONCATENATE("A(",Q73,")=")</f>
        <v>A(5)=</v>
      </c>
      <c r="AB74">
        <f>X74+Z74</f>
        <v>218.19333333333333</v>
      </c>
      <c r="AC74" s="99">
        <f>AC73+1</f>
        <v>10</v>
      </c>
      <c r="AD74" s="100">
        <f>VLOOKUP(AC74,STN_TABLE_2,2,FALSE)</f>
        <v>5</v>
      </c>
      <c r="AE74" s="82">
        <f>VLOOKUP(AD74,STN_TABLE,2,FALSE)</f>
        <v>11</v>
      </c>
      <c r="AF74" s="82">
        <v>2</v>
      </c>
      <c r="AG74" s="83">
        <f>AE74*AF74</f>
        <v>22</v>
      </c>
      <c r="AH74" s="84" t="str">
        <f>CONCATENATE("a'(",AD74,")=")</f>
        <v>a'(5)=</v>
      </c>
      <c r="AI74" s="84">
        <f>2*AI72/2*AE75</f>
        <v>6.6000000000000156</v>
      </c>
      <c r="AJ74" s="84" t="str">
        <f>CONCATENATE("A(",AD73,")=")</f>
        <v>A(4.85)=</v>
      </c>
      <c r="AK74" s="84">
        <f>VLOOKUP(AD73,STN_TABLE,3,FALSE)</f>
        <v>211.59333333333331</v>
      </c>
      <c r="AL74" t="str">
        <f>CONCATENATE("A(",AD74,")=")</f>
        <v>A(5)=</v>
      </c>
      <c r="AM74">
        <f>AI74+AK74</f>
        <v>218.19333333333333</v>
      </c>
      <c r="AO74" s="68" t="str">
        <f>AA74</f>
        <v>A(5)=</v>
      </c>
      <c r="AP74" s="68" t="e">
        <f>VLOOKUP(AO74,Rise_Results,2,FALSE)</f>
        <v>#N/A</v>
      </c>
      <c r="AQ74" s="76">
        <f>N74</f>
        <v>218.19333333333333</v>
      </c>
      <c r="AR74" s="76">
        <f>IF(OR(AB74&lt;=0,AB75&lt;=0),1/0,AB74)</f>
        <v>218.19333333333333</v>
      </c>
      <c r="AS74" s="76">
        <f>AM74</f>
        <v>218.19333333333333</v>
      </c>
      <c r="AT74">
        <f>IFERROR(AP74,IFERROR(AQ74,IFERROR(AR74,AS74)))</f>
        <v>218.19333333333333</v>
      </c>
      <c r="AU74" s="81"/>
    </row>
    <row r="75" spans="1:47" x14ac:dyDescent="0.25">
      <c r="A75" s="84">
        <f>A74+1</f>
        <v>10</v>
      </c>
      <c r="B75" s="84">
        <f t="shared" si="27"/>
        <v>5</v>
      </c>
      <c r="F75" s="82">
        <f>SUM(F72:F74)</f>
        <v>66</v>
      </c>
      <c r="H75" s="82">
        <f>SUM(H72:H74)</f>
        <v>264</v>
      </c>
      <c r="I75" s="84" t="str">
        <f>CONCATENATE("m'(",C74,")=")</f>
        <v>m'(5)=</v>
      </c>
      <c r="J75" s="84">
        <f>2*(J72*(WLS))/3*H75</f>
        <v>704</v>
      </c>
      <c r="K75" s="84" t="str">
        <f>CONCATENATE("M(",C72,")=")</f>
        <v>M(3)=</v>
      </c>
      <c r="L75" s="84">
        <f>VLOOKUP(C72,STN_TABLE,4,FALSE)</f>
        <v>395.06</v>
      </c>
      <c r="M75" t="str">
        <f>CONCATENATE("M(",C74,")=")</f>
        <v>M(5)=</v>
      </c>
      <c r="N75">
        <f>J75+L75</f>
        <v>1099.06</v>
      </c>
      <c r="O75" s="99">
        <f>O74+1</f>
        <v>12</v>
      </c>
      <c r="P75" s="99">
        <f t="shared" si="23"/>
        <v>6.5</v>
      </c>
      <c r="T75" s="89">
        <f>SUM(T72:T74)</f>
        <v>132</v>
      </c>
      <c r="V75" s="82">
        <f>SUM(V72:V74)</f>
        <v>132</v>
      </c>
      <c r="W75" s="84" t="str">
        <f>CONCATENATE("m'(",Q73,")=")</f>
        <v>m'(5)=</v>
      </c>
      <c r="X75" s="84">
        <f>(2*(X72^2)/24*V75)+(X74*Q72*WLS)</f>
        <v>396</v>
      </c>
      <c r="Y75" s="84" t="str">
        <f>CONCATENATE("M(",Q72,")=")</f>
        <v>M(4)=</v>
      </c>
      <c r="Z75" s="84">
        <f>VLOOKUP(Q72,STN_TABLE,4,FALSE)</f>
        <v>703.06</v>
      </c>
      <c r="AA75" t="str">
        <f>CONCATENATE("M(",Q73,")=")</f>
        <v>M(5)=</v>
      </c>
      <c r="AB75">
        <f>X75+Z75</f>
        <v>1099.06</v>
      </c>
      <c r="AE75" s="89">
        <f>SUM(AE73:AE74)</f>
        <v>22</v>
      </c>
      <c r="AG75" s="89">
        <f>SUM(AG73:AG74)</f>
        <v>33</v>
      </c>
      <c r="AH75" s="84" t="str">
        <f>CONCATENATE("m'(",AD74,")=")</f>
        <v>m'(5)=</v>
      </c>
      <c r="AI75" s="84">
        <f>(2*(AI72^2)/6*AG75)+(AI74*AD73*WLS)</f>
        <v>65.010000000000161</v>
      </c>
      <c r="AJ75" s="84" t="str">
        <f>CONCATENATE("M(",AD73,")=")</f>
        <v>M(4.85)=</v>
      </c>
      <c r="AK75" s="84">
        <f>VLOOKUP(AD73,STN_TABLE,4,FALSE)</f>
        <v>1034.0499999999997</v>
      </c>
      <c r="AL75" t="str">
        <f>CONCATENATE("M(",AD74,")=")</f>
        <v>M(5)=</v>
      </c>
      <c r="AM75">
        <f>AI75+AK75</f>
        <v>1099.06</v>
      </c>
      <c r="AO75" s="82" t="str">
        <f>AA75</f>
        <v>M(5)=</v>
      </c>
      <c r="AP75" s="82" t="e">
        <f>VLOOKUP(AO75,Rise_Results,2,FALSE)</f>
        <v>#N/A</v>
      </c>
      <c r="AQ75" s="82">
        <f>N75</f>
        <v>1099.06</v>
      </c>
      <c r="AR75" s="82">
        <f>IF(OR(AB74&lt;=0,AB75&lt;=0),1/0,AB75)</f>
        <v>1099.06</v>
      </c>
      <c r="AS75" s="82">
        <f>AM75</f>
        <v>1099.06</v>
      </c>
      <c r="AT75">
        <f>IFERROR(AP75,IFERROR(AQ75,IFERROR(AR75,AS75)))</f>
        <v>1099.06</v>
      </c>
      <c r="AU75" s="81"/>
    </row>
    <row r="76" spans="1:47" x14ac:dyDescent="0.25">
      <c r="A76" s="101">
        <f>A71+1</f>
        <v>7</v>
      </c>
      <c r="B76" s="101">
        <f t="shared" si="27"/>
        <v>3</v>
      </c>
      <c r="O76" s="101">
        <f>O71+1</f>
        <v>9</v>
      </c>
      <c r="P76" s="101">
        <f t="shared" si="23"/>
        <v>4.8499999999999996</v>
      </c>
      <c r="AU76" s="81"/>
    </row>
    <row r="77" spans="1:47" x14ac:dyDescent="0.25">
      <c r="A77" s="84">
        <f>A76+1</f>
        <v>8</v>
      </c>
      <c r="B77" s="84">
        <f t="shared" si="27"/>
        <v>4</v>
      </c>
      <c r="C77" s="79">
        <f t="shared" ref="C77" si="29">IF(C78=B79,IF(C79-C78=C78-B78,B78,IF(C79-C78=C78-B77,B77,"#NA")),IF(C78=B78,IF(C79-C78=C78-B77,B77,IF(C79-C78=C78-B76,B76,"#NA")),"#NA"))</f>
        <v>4</v>
      </c>
      <c r="D77" s="68">
        <f>VLOOKUP(C77,STN_TABLE,2,FALSE)</f>
        <v>11</v>
      </c>
      <c r="E77" s="102">
        <v>1</v>
      </c>
      <c r="F77" s="68">
        <f>D77*E77</f>
        <v>11</v>
      </c>
      <c r="G77" s="69">
        <f>C77</f>
        <v>4</v>
      </c>
      <c r="H77" s="69">
        <f>F77*G77</f>
        <v>44</v>
      </c>
      <c r="I77" s="6" t="s">
        <v>93</v>
      </c>
      <c r="J77" s="70">
        <f>IF(OR(D77=0,D78=0,D79=0),"#NA",IF(AND(C79-C78=C78-C77,C78&lt;&gt;C79,C77&lt;&gt;C78,C77&lt;&gt;C79,D79&lt;&gt;0,OR(D77&lt;&gt;0,D78&lt;&gt;0)),WLS*(C79-C78),"#NA"))</f>
        <v>2</v>
      </c>
      <c r="O77" s="99">
        <f>O76+1</f>
        <v>10</v>
      </c>
      <c r="P77" s="99">
        <f t="shared" si="23"/>
        <v>5</v>
      </c>
      <c r="Q77" s="68" t="e">
        <f>IF(OR(P79-P78=P78-P77,P80-P78=P78-P77),P77,IF(OR(P79-P78=P78-P76,P80-P78=P78-P76),P76,"-"))</f>
        <v>#VALUE!</v>
      </c>
      <c r="R77" s="69" t="e">
        <f>VLOOKUP(Q77,STN_TABLE,2,FALSE)</f>
        <v>#VALUE!</v>
      </c>
      <c r="S77" s="69">
        <v>5</v>
      </c>
      <c r="T77" s="68" t="e">
        <f>R77*S77</f>
        <v>#VALUE!</v>
      </c>
      <c r="U77" s="79">
        <v>3</v>
      </c>
      <c r="V77" s="68" t="e">
        <f>R77*U77</f>
        <v>#VALUE!</v>
      </c>
      <c r="W77" s="6" t="s">
        <v>93</v>
      </c>
      <c r="X77" s="70" t="e">
        <f>IF(AND(Q79-Q78=Q78-Q77,NOT(AND(Q77=0,Q78=0)),NOT(AND(Q78=0,Q79=0))),WLS*(Q79-Q78),"#NA")</f>
        <v>#VALUE!</v>
      </c>
      <c r="AD77" s="93"/>
      <c r="AH77" s="6" t="s">
        <v>93</v>
      </c>
      <c r="AI77" s="70">
        <f>WLS*(AD79-AD78)</f>
        <v>2</v>
      </c>
      <c r="AU77" s="81"/>
    </row>
    <row r="78" spans="1:47" x14ac:dyDescent="0.25">
      <c r="A78" s="84">
        <f>A77+1</f>
        <v>9</v>
      </c>
      <c r="B78" s="84">
        <f t="shared" si="27"/>
        <v>4.8499999999999996</v>
      </c>
      <c r="C78" s="80">
        <f t="shared" ref="C78" si="30">IF(OR(B80-B79=B79-B78,B80-B79=B79-B77,B80-B79=B79-B76),B79,IF(OR(B80-B78=B78-B77,B80-B78=B78-B76),B78,IF(B80-B77=B77-B76,B77,"#NA")))</f>
        <v>5</v>
      </c>
      <c r="D78" s="76">
        <f>VLOOKUP(C78,STN_TABLE,2,FALSE)</f>
        <v>11</v>
      </c>
      <c r="E78" s="81">
        <v>4</v>
      </c>
      <c r="F78" s="76">
        <f>D78*E78</f>
        <v>44</v>
      </c>
      <c r="G78" s="77">
        <f>C78</f>
        <v>5</v>
      </c>
      <c r="H78" s="77">
        <f>F78*G78</f>
        <v>220</v>
      </c>
      <c r="I78" s="495" t="s">
        <v>97</v>
      </c>
      <c r="J78" s="496"/>
      <c r="K78" s="78" t="s">
        <v>98</v>
      </c>
      <c r="L78" s="78"/>
      <c r="M78" s="7" t="s">
        <v>99</v>
      </c>
      <c r="N78" s="7"/>
      <c r="O78" s="99">
        <f>O77+1</f>
        <v>11</v>
      </c>
      <c r="P78" s="99">
        <f t="shared" si="23"/>
        <v>6</v>
      </c>
      <c r="Q78" s="76">
        <f>P78</f>
        <v>6</v>
      </c>
      <c r="R78" s="77">
        <f>VLOOKUP(Q78,STN_TABLE,2,FALSE)</f>
        <v>11</v>
      </c>
      <c r="S78" s="77">
        <v>8</v>
      </c>
      <c r="T78" s="76">
        <f>R78*S78</f>
        <v>88</v>
      </c>
      <c r="U78" s="80">
        <v>10</v>
      </c>
      <c r="V78" s="76">
        <f>R78*U78</f>
        <v>110</v>
      </c>
      <c r="W78" s="496" t="s">
        <v>97</v>
      </c>
      <c r="X78" s="496"/>
      <c r="Y78" s="496" t="s">
        <v>98</v>
      </c>
      <c r="Z78" s="496"/>
      <c r="AA78" s="494" t="s">
        <v>99</v>
      </c>
      <c r="AB78" s="494"/>
      <c r="AC78" s="99">
        <f>AC73+1</f>
        <v>10</v>
      </c>
      <c r="AD78" s="95">
        <f>VLOOKUP(AC78,STN_TABLE_2,2,FALSE)</f>
        <v>5</v>
      </c>
      <c r="AE78" s="68">
        <f>VLOOKUP(AD78,STN_TABLE,2,FALSE)</f>
        <v>11</v>
      </c>
      <c r="AF78" s="68">
        <v>1</v>
      </c>
      <c r="AG78" s="69">
        <f>AE78*AF78</f>
        <v>11</v>
      </c>
      <c r="AH78" s="496" t="s">
        <v>97</v>
      </c>
      <c r="AI78" s="496"/>
      <c r="AJ78" s="496" t="s">
        <v>98</v>
      </c>
      <c r="AK78" s="496"/>
      <c r="AL78" s="494" t="s">
        <v>99</v>
      </c>
      <c r="AM78" s="494"/>
      <c r="AP78" s="86" t="s">
        <v>112</v>
      </c>
      <c r="AQ78" s="89" t="s">
        <v>113</v>
      </c>
      <c r="AR78" s="89" t="s">
        <v>114</v>
      </c>
      <c r="AS78" s="89" t="s">
        <v>115</v>
      </c>
      <c r="AU78" s="81"/>
    </row>
    <row r="79" spans="1:47" x14ac:dyDescent="0.25">
      <c r="A79" s="84">
        <f>A78+1</f>
        <v>10</v>
      </c>
      <c r="B79" s="84">
        <f t="shared" si="27"/>
        <v>5</v>
      </c>
      <c r="C79" s="88">
        <f t="shared" ref="C79" si="31">B80</f>
        <v>6</v>
      </c>
      <c r="D79" s="82">
        <f>VLOOKUP(C79,STN_TABLE,2,FALSE)</f>
        <v>11</v>
      </c>
      <c r="E79" s="92">
        <v>1</v>
      </c>
      <c r="F79" s="82">
        <f>D79*E79</f>
        <v>11</v>
      </c>
      <c r="G79" s="83">
        <f>C79</f>
        <v>6</v>
      </c>
      <c r="H79" s="83">
        <f>F79*G79</f>
        <v>66</v>
      </c>
      <c r="I79" s="84" t="str">
        <f>CONCATENATE("a'(",C79,")=")</f>
        <v>a'(6)=</v>
      </c>
      <c r="J79" s="84">
        <f>2*J77/3*F80</f>
        <v>88</v>
      </c>
      <c r="K79" s="84" t="str">
        <f>CONCATENATE("A(",C77,")=")</f>
        <v>A(4)=</v>
      </c>
      <c r="L79" s="84">
        <f>VLOOKUP(C77,STN_TABLE,3,FALSE)</f>
        <v>174.19333333333333</v>
      </c>
      <c r="M79" t="str">
        <f>CONCATENATE("A(",C79,")=")</f>
        <v>A(6)=</v>
      </c>
      <c r="N79">
        <f>J79+L79</f>
        <v>262.19333333333333</v>
      </c>
      <c r="O79" s="99">
        <f>O78+1</f>
        <v>12</v>
      </c>
      <c r="P79" s="99">
        <f t="shared" si="23"/>
        <v>6.5</v>
      </c>
      <c r="Q79" s="82" t="e">
        <f>IF(P79-P78=P78-P77,P79,IF(P80-P78=P78-P77,P80,IF(P79-P78=P78-P76,P79,IF(P80-P78=P78-P76,P80,"-"))))</f>
        <v>#VALUE!</v>
      </c>
      <c r="R79" s="83" t="e">
        <f>VLOOKUP(Q79,STN_TABLE,2,FALSE)</f>
        <v>#VALUE!</v>
      </c>
      <c r="S79" s="83">
        <v>-1</v>
      </c>
      <c r="T79" s="82" t="e">
        <f>R79*S79</f>
        <v>#VALUE!</v>
      </c>
      <c r="U79" s="88">
        <v>-1</v>
      </c>
      <c r="V79" s="82" t="e">
        <f>R79*U79</f>
        <v>#VALUE!</v>
      </c>
      <c r="W79" s="84" t="str">
        <f>CONCATENATE("a'(",Q78,")=")</f>
        <v>a'(6)=</v>
      </c>
      <c r="X79" s="84" t="e">
        <f>2*X77/12*T80</f>
        <v>#VALUE!</v>
      </c>
      <c r="Y79" s="84" t="e">
        <f>CONCATENATE("A(",Q77,")=")</f>
        <v>#VALUE!</v>
      </c>
      <c r="Z79" s="84" t="e">
        <f>VLOOKUP(Q77,STN_TABLE,3,FALSE)</f>
        <v>#VALUE!</v>
      </c>
      <c r="AA79" t="str">
        <f>CONCATENATE("A(",Q78,")=")</f>
        <v>A(6)=</v>
      </c>
      <c r="AB79" t="e">
        <f>X79+Z79</f>
        <v>#VALUE!</v>
      </c>
      <c r="AC79" s="99">
        <f>AC78+1</f>
        <v>11</v>
      </c>
      <c r="AD79" s="100">
        <f>VLOOKUP(AC79,STN_TABLE_2,2,FALSE)</f>
        <v>6</v>
      </c>
      <c r="AE79" s="82">
        <f>VLOOKUP(AD79,STN_TABLE,2,FALSE)</f>
        <v>11</v>
      </c>
      <c r="AF79" s="82">
        <v>2</v>
      </c>
      <c r="AG79" s="83">
        <f>AE79*AF79</f>
        <v>22</v>
      </c>
      <c r="AH79" s="84" t="str">
        <f>CONCATENATE("a'(",AD79,")=")</f>
        <v>a'(6)=</v>
      </c>
      <c r="AI79" s="84">
        <f>2*AI77/2*AE80</f>
        <v>44</v>
      </c>
      <c r="AJ79" s="84" t="str">
        <f>CONCATENATE("A(",AD78,")=")</f>
        <v>A(5)=</v>
      </c>
      <c r="AK79" s="84">
        <f>VLOOKUP(AD78,STN_TABLE,3,FALSE)</f>
        <v>218.19333333333333</v>
      </c>
      <c r="AL79" t="str">
        <f>CONCATENATE("A(",AD79,")=")</f>
        <v>A(6)=</v>
      </c>
      <c r="AM79">
        <f>AI79+AK79</f>
        <v>262.19333333333333</v>
      </c>
      <c r="AO79" s="68" t="str">
        <f>AA79</f>
        <v>A(6)=</v>
      </c>
      <c r="AP79" s="68" t="e">
        <f>VLOOKUP(AO79,Rise_Results,2,FALSE)</f>
        <v>#N/A</v>
      </c>
      <c r="AQ79" s="76">
        <f>N79</f>
        <v>262.19333333333333</v>
      </c>
      <c r="AR79" s="76" t="e">
        <f>IF(OR(AB79&lt;=0,AB80&lt;=0),1/0,AB79)</f>
        <v>#VALUE!</v>
      </c>
      <c r="AS79" s="76">
        <f>AM79</f>
        <v>262.19333333333333</v>
      </c>
      <c r="AT79">
        <f>IFERROR(AP79,IFERROR(AQ79,IFERROR(AR79,AS79)))</f>
        <v>262.19333333333333</v>
      </c>
      <c r="AU79" s="81"/>
    </row>
    <row r="80" spans="1:47" x14ac:dyDescent="0.25">
      <c r="A80" s="84">
        <f>A79+1</f>
        <v>11</v>
      </c>
      <c r="B80" s="84">
        <f t="shared" si="27"/>
        <v>6</v>
      </c>
      <c r="F80" s="82">
        <f>SUM(F77:F79)</f>
        <v>66</v>
      </c>
      <c r="H80" s="82">
        <f>SUM(H77:H79)</f>
        <v>330</v>
      </c>
      <c r="I80" s="84" t="str">
        <f>CONCATENATE("m'(",C79,")=")</f>
        <v>m'(6)=</v>
      </c>
      <c r="J80" s="84">
        <f>2*(J77*(WLS))/3*H80</f>
        <v>880</v>
      </c>
      <c r="K80" s="84" t="str">
        <f>CONCATENATE("M(",C77,")=")</f>
        <v>M(4)=</v>
      </c>
      <c r="L80" s="84">
        <f>VLOOKUP(C77,STN_TABLE,4,FALSE)</f>
        <v>703.06</v>
      </c>
      <c r="M80" t="str">
        <f>CONCATENATE("M(",C79,")=")</f>
        <v>M(6)=</v>
      </c>
      <c r="N80">
        <f>J80+L80</f>
        <v>1583.06</v>
      </c>
      <c r="O80" s="99">
        <f>O79+1</f>
        <v>13</v>
      </c>
      <c r="P80" s="99" t="str">
        <f t="shared" si="23"/>
        <v xml:space="preserve">  </v>
      </c>
      <c r="T80" s="89" t="e">
        <f>SUM(T77:T79)</f>
        <v>#VALUE!</v>
      </c>
      <c r="V80" s="82" t="e">
        <f>SUM(V77:V79)</f>
        <v>#VALUE!</v>
      </c>
      <c r="W80" s="84" t="str">
        <f>CONCATENATE("m'(",Q78,")=")</f>
        <v>m'(6)=</v>
      </c>
      <c r="X80" s="84" t="e">
        <f>(2*(X77^2)/24*V80)+(X79*Q77*WLS)</f>
        <v>#VALUE!</v>
      </c>
      <c r="Y80" s="84" t="e">
        <f>CONCATENATE("M(",Q77,")=")</f>
        <v>#VALUE!</v>
      </c>
      <c r="Z80" s="84" t="e">
        <f>VLOOKUP(Q77,STN_TABLE,4,FALSE)</f>
        <v>#VALUE!</v>
      </c>
      <c r="AA80" t="str">
        <f>CONCATENATE("M(",Q78,")=")</f>
        <v>M(6)=</v>
      </c>
      <c r="AB80" t="e">
        <f>X80+Z80</f>
        <v>#VALUE!</v>
      </c>
      <c r="AE80" s="89">
        <f>SUM(AE78:AE79)</f>
        <v>22</v>
      </c>
      <c r="AG80" s="89">
        <f>SUM(AG78:AG79)</f>
        <v>33</v>
      </c>
      <c r="AH80" s="84" t="str">
        <f>CONCATENATE("m'(",AD79,")=")</f>
        <v>m'(6)=</v>
      </c>
      <c r="AI80" s="84">
        <f>(2*(AI77^2)/6*AG80)+(AI79*AD78*WLS)</f>
        <v>484</v>
      </c>
      <c r="AJ80" s="84" t="str">
        <f>CONCATENATE("M(",AD78,")=")</f>
        <v>M(5)=</v>
      </c>
      <c r="AK80" s="84">
        <f>VLOOKUP(AD78,STN_TABLE,4,FALSE)</f>
        <v>1099.06</v>
      </c>
      <c r="AL80" t="str">
        <f>CONCATENATE("M(",AD79,")=")</f>
        <v>M(6)=</v>
      </c>
      <c r="AM80">
        <f>AI80+AK80</f>
        <v>1583.06</v>
      </c>
      <c r="AO80" s="82" t="str">
        <f>AA80</f>
        <v>M(6)=</v>
      </c>
      <c r="AP80" s="82" t="e">
        <f>VLOOKUP(AO80,Rise_Results,2,FALSE)</f>
        <v>#N/A</v>
      </c>
      <c r="AQ80" s="82">
        <f>N80</f>
        <v>1583.06</v>
      </c>
      <c r="AR80" s="82" t="e">
        <f>IF(OR(AB79&lt;=0,AB80&lt;=0),1/0,AB80)</f>
        <v>#VALUE!</v>
      </c>
      <c r="AS80" s="82">
        <f>AM80</f>
        <v>1583.06</v>
      </c>
      <c r="AT80">
        <f>IFERROR(AP80,IFERROR(AQ80,IFERROR(AR80,AS80)))</f>
        <v>1583.06</v>
      </c>
      <c r="AU80" s="81"/>
    </row>
    <row r="81" spans="1:47" x14ac:dyDescent="0.25">
      <c r="A81" s="101">
        <f>A76+1</f>
        <v>8</v>
      </c>
      <c r="B81" s="101">
        <f t="shared" si="27"/>
        <v>4</v>
      </c>
      <c r="O81" s="101">
        <f>O76+1</f>
        <v>10</v>
      </c>
      <c r="P81" s="101">
        <f t="shared" si="23"/>
        <v>5</v>
      </c>
      <c r="AU81" s="81"/>
    </row>
    <row r="82" spans="1:47" x14ac:dyDescent="0.25">
      <c r="A82" s="84">
        <f>A81+1</f>
        <v>9</v>
      </c>
      <c r="B82" s="84">
        <f t="shared" si="27"/>
        <v>4.8499999999999996</v>
      </c>
      <c r="C82" s="79" t="str">
        <f t="shared" ref="C82" si="32">IF(C83=B84,IF(C84-C83=C83-B83,B83,IF(C84-C83=C83-B82,B82,"#NA")),IF(C83=B83,IF(C84-C83=C83-B82,B82,IF(C84-C83=C83-B81,B81,"#NA")),"#NA"))</f>
        <v>#NA</v>
      </c>
      <c r="D82" s="68" t="e">
        <f>VLOOKUP(C82,STN_TABLE,2,FALSE)</f>
        <v>#N/A</v>
      </c>
      <c r="E82" s="102">
        <v>1</v>
      </c>
      <c r="F82" s="68" t="e">
        <f>D82*E82</f>
        <v>#N/A</v>
      </c>
      <c r="G82" s="69" t="str">
        <f>C82</f>
        <v>#NA</v>
      </c>
      <c r="H82" s="69" t="e">
        <f>F82*G82</f>
        <v>#N/A</v>
      </c>
      <c r="I82" s="6" t="s">
        <v>93</v>
      </c>
      <c r="J82" s="70" t="e">
        <f>IF(OR(D82=0,D83=0,D84=0),"#NA",IF(AND(C84-C83=C83-C82,C83&lt;&gt;C84,C82&lt;&gt;C83,C82&lt;&gt;C84,D84&lt;&gt;0,OR(D82&lt;&gt;0,D83&lt;&gt;0)),WLS*(C84-C83),"#NA"))</f>
        <v>#N/A</v>
      </c>
      <c r="O82" s="99">
        <f>O81+1</f>
        <v>11</v>
      </c>
      <c r="P82" s="99">
        <f t="shared" si="23"/>
        <v>6</v>
      </c>
      <c r="Q82" s="68" t="e">
        <f>IF(OR(P84-P83=P83-P82,P85-P83=P83-P82),P82,IF(OR(P84-P83=P83-P81,P85-P83=P83-P81),P81,"-"))</f>
        <v>#VALUE!</v>
      </c>
      <c r="R82" s="69" t="e">
        <f>VLOOKUP(Q82,STN_TABLE,2,FALSE)</f>
        <v>#VALUE!</v>
      </c>
      <c r="S82" s="69">
        <v>5</v>
      </c>
      <c r="T82" s="68" t="e">
        <f>R82*S82</f>
        <v>#VALUE!</v>
      </c>
      <c r="U82" s="79">
        <v>3</v>
      </c>
      <c r="V82" s="68" t="e">
        <f>R82*U82</f>
        <v>#VALUE!</v>
      </c>
      <c r="W82" s="6" t="s">
        <v>93</v>
      </c>
      <c r="X82" s="70" t="e">
        <f>IF(AND(Q84-Q83=Q83-Q82,NOT(AND(Q82=0,Q83=0)),NOT(AND(Q83=0,Q84=0))),WLS*(Q84-Q83),"#NA")</f>
        <v>#VALUE!</v>
      </c>
      <c r="AD82" s="93"/>
      <c r="AH82" s="6" t="s">
        <v>93</v>
      </c>
      <c r="AI82" s="70">
        <f>WLS*(AD84-AD83)</f>
        <v>1</v>
      </c>
      <c r="AU82" s="81"/>
    </row>
    <row r="83" spans="1:47" x14ac:dyDescent="0.25">
      <c r="A83" s="84">
        <f>A82+1</f>
        <v>10</v>
      </c>
      <c r="B83" s="84">
        <f t="shared" si="27"/>
        <v>5</v>
      </c>
      <c r="C83" s="80" t="str">
        <f t="shared" ref="C83" si="33">IF(OR(B85-B84=B84-B83,B85-B84=B84-B82,B85-B84=B84-B81),B84,IF(OR(B85-B83=B83-B82,B85-B83=B83-B81),B83,IF(B85-B82=B82-B81,B82,"#NA")))</f>
        <v>#NA</v>
      </c>
      <c r="D83" s="76" t="e">
        <f>VLOOKUP(C83,STN_TABLE,2,FALSE)</f>
        <v>#N/A</v>
      </c>
      <c r="E83" s="81">
        <v>4</v>
      </c>
      <c r="F83" s="76" t="e">
        <f>D83*E83</f>
        <v>#N/A</v>
      </c>
      <c r="G83" s="77" t="str">
        <f>C83</f>
        <v>#NA</v>
      </c>
      <c r="H83" s="77" t="e">
        <f>F83*G83</f>
        <v>#N/A</v>
      </c>
      <c r="I83" s="495" t="s">
        <v>97</v>
      </c>
      <c r="J83" s="496"/>
      <c r="K83" s="78" t="s">
        <v>98</v>
      </c>
      <c r="L83" s="78"/>
      <c r="M83" s="7" t="s">
        <v>99</v>
      </c>
      <c r="N83" s="7"/>
      <c r="O83" s="99">
        <f>O82+1</f>
        <v>12</v>
      </c>
      <c r="P83" s="99">
        <f t="shared" si="23"/>
        <v>6.5</v>
      </c>
      <c r="Q83" s="76">
        <f>P83</f>
        <v>6.5</v>
      </c>
      <c r="R83" s="77">
        <f>VLOOKUP(Q83,STN_TABLE,2,FALSE)</f>
        <v>11</v>
      </c>
      <c r="S83" s="77">
        <v>8</v>
      </c>
      <c r="T83" s="76">
        <f>R83*S83</f>
        <v>88</v>
      </c>
      <c r="U83" s="80">
        <v>10</v>
      </c>
      <c r="V83" s="76">
        <f>R83*U83</f>
        <v>110</v>
      </c>
      <c r="W83" s="496" t="s">
        <v>97</v>
      </c>
      <c r="X83" s="496"/>
      <c r="Y83" s="496" t="s">
        <v>98</v>
      </c>
      <c r="Z83" s="496"/>
      <c r="AA83" s="494" t="s">
        <v>99</v>
      </c>
      <c r="AB83" s="494"/>
      <c r="AC83" s="99">
        <f>AC78+1</f>
        <v>11</v>
      </c>
      <c r="AD83" s="95">
        <f>VLOOKUP(AC83,STN_TABLE_2,2,FALSE)</f>
        <v>6</v>
      </c>
      <c r="AE83" s="68">
        <f>VLOOKUP(AD83,STN_TABLE,2,FALSE)</f>
        <v>11</v>
      </c>
      <c r="AF83" s="68">
        <v>1</v>
      </c>
      <c r="AG83" s="69">
        <f>AE83*AF83</f>
        <v>11</v>
      </c>
      <c r="AH83" s="496" t="s">
        <v>97</v>
      </c>
      <c r="AI83" s="496"/>
      <c r="AJ83" s="496" t="s">
        <v>98</v>
      </c>
      <c r="AK83" s="496"/>
      <c r="AL83" s="494" t="s">
        <v>99</v>
      </c>
      <c r="AM83" s="494"/>
      <c r="AP83" s="86" t="s">
        <v>112</v>
      </c>
      <c r="AQ83" s="89" t="s">
        <v>113</v>
      </c>
      <c r="AR83" s="89" t="s">
        <v>114</v>
      </c>
      <c r="AS83" s="89" t="s">
        <v>115</v>
      </c>
      <c r="AU83" s="81"/>
    </row>
    <row r="84" spans="1:47" x14ac:dyDescent="0.25">
      <c r="A84" s="84">
        <f>A83+1</f>
        <v>11</v>
      </c>
      <c r="B84" s="84">
        <f t="shared" si="27"/>
        <v>6</v>
      </c>
      <c r="C84" s="88">
        <f t="shared" ref="C84" si="34">B85</f>
        <v>6.5</v>
      </c>
      <c r="D84" s="82">
        <f>VLOOKUP(C84,STN_TABLE,2,FALSE)</f>
        <v>11</v>
      </c>
      <c r="E84" s="92">
        <v>1</v>
      </c>
      <c r="F84" s="82">
        <f>D84*E84</f>
        <v>11</v>
      </c>
      <c r="G84" s="83">
        <f>C84</f>
        <v>6.5</v>
      </c>
      <c r="H84" s="83">
        <f>F84*G84</f>
        <v>71.5</v>
      </c>
      <c r="I84" s="84" t="str">
        <f>CONCATENATE("a'(",C84,")=")</f>
        <v>a'(6.5)=</v>
      </c>
      <c r="J84" s="84" t="e">
        <f>2*J82/3*F85</f>
        <v>#N/A</v>
      </c>
      <c r="K84" s="84" t="str">
        <f>CONCATENATE("A(",C82,")=")</f>
        <v>A(#NA)=</v>
      </c>
      <c r="L84" s="84" t="e">
        <f>VLOOKUP(C82,STN_TABLE,3,FALSE)</f>
        <v>#N/A</v>
      </c>
      <c r="M84" t="str">
        <f>CONCATENATE("A(",C84,")=")</f>
        <v>A(6.5)=</v>
      </c>
      <c r="N84" t="e">
        <f>J84+L84</f>
        <v>#N/A</v>
      </c>
      <c r="O84" s="99">
        <f>O83+1</f>
        <v>13</v>
      </c>
      <c r="P84" s="99" t="str">
        <f t="shared" si="23"/>
        <v xml:space="preserve">  </v>
      </c>
      <c r="Q84" s="82" t="e">
        <f>IF(P84-P83=P83-P82,P84,IF(P85-P83=P83-P82,P85,IF(P84-P83=P83-P81,P84,IF(P85-P83=P83-P81,P85,"-"))))</f>
        <v>#VALUE!</v>
      </c>
      <c r="R84" s="83" t="e">
        <f>VLOOKUP(Q84,STN_TABLE,2,FALSE)</f>
        <v>#VALUE!</v>
      </c>
      <c r="S84" s="83">
        <v>-1</v>
      </c>
      <c r="T84" s="82" t="e">
        <f>R84*S84</f>
        <v>#VALUE!</v>
      </c>
      <c r="U84" s="88">
        <v>-1</v>
      </c>
      <c r="V84" s="82" t="e">
        <f>R84*U84</f>
        <v>#VALUE!</v>
      </c>
      <c r="W84" s="84" t="str">
        <f>CONCATENATE("a'(",Q83,")=")</f>
        <v>a'(6.5)=</v>
      </c>
      <c r="X84" s="84" t="e">
        <f>2*X82/12*T85</f>
        <v>#VALUE!</v>
      </c>
      <c r="Y84" s="84" t="e">
        <f>CONCATENATE("A(",Q82,")=")</f>
        <v>#VALUE!</v>
      </c>
      <c r="Z84" s="84" t="e">
        <f>VLOOKUP(Q82,STN_TABLE,3,FALSE)</f>
        <v>#VALUE!</v>
      </c>
      <c r="AA84" t="str">
        <f>CONCATENATE("A(",Q83,")=")</f>
        <v>A(6.5)=</v>
      </c>
      <c r="AB84" t="e">
        <f>X84+Z84</f>
        <v>#VALUE!</v>
      </c>
      <c r="AC84" s="99">
        <f>AC83+1</f>
        <v>12</v>
      </c>
      <c r="AD84" s="100">
        <f>VLOOKUP(AC84,STN_TABLE_2,2,FALSE)</f>
        <v>6.5</v>
      </c>
      <c r="AE84" s="82">
        <f>VLOOKUP(AD84,STN_TABLE,2,FALSE)</f>
        <v>11</v>
      </c>
      <c r="AF84" s="82">
        <v>2</v>
      </c>
      <c r="AG84" s="83">
        <f>AE84*AF84</f>
        <v>22</v>
      </c>
      <c r="AH84" s="84" t="str">
        <f>CONCATENATE("a'(",AD84,")=")</f>
        <v>a'(6.5)=</v>
      </c>
      <c r="AI84" s="84">
        <f>2*AI82/2*AE85</f>
        <v>22</v>
      </c>
      <c r="AJ84" s="84" t="str">
        <f>CONCATENATE("A(",AD83,")=")</f>
        <v>A(6)=</v>
      </c>
      <c r="AK84" s="84">
        <f>VLOOKUP(AD83,STN_TABLE,3,FALSE)</f>
        <v>262.19333333333333</v>
      </c>
      <c r="AL84" t="str">
        <f>CONCATENATE("A(",AD84,")=")</f>
        <v>A(6.5)=</v>
      </c>
      <c r="AM84">
        <f>AI84+AK84</f>
        <v>284.19333333333333</v>
      </c>
      <c r="AO84" s="68" t="str">
        <f>AA84</f>
        <v>A(6.5)=</v>
      </c>
      <c r="AP84" s="68" t="e">
        <f>VLOOKUP(AO84,Rise_Results,2,FALSE)</f>
        <v>#N/A</v>
      </c>
      <c r="AQ84" s="76" t="e">
        <f>N84</f>
        <v>#N/A</v>
      </c>
      <c r="AR84" s="76" t="e">
        <f>IF(OR(AB84&lt;=0,AB85&lt;=0),1/0,AB84)</f>
        <v>#VALUE!</v>
      </c>
      <c r="AS84" s="76">
        <f>AM84</f>
        <v>284.19333333333333</v>
      </c>
      <c r="AT84">
        <f>IFERROR(AP84,IFERROR(AQ84,IFERROR(AR84,AS84)))</f>
        <v>284.19333333333333</v>
      </c>
      <c r="AU84" s="81"/>
    </row>
    <row r="85" spans="1:47" x14ac:dyDescent="0.25">
      <c r="A85" s="84">
        <f>A84+1</f>
        <v>12</v>
      </c>
      <c r="B85" s="84">
        <f t="shared" si="27"/>
        <v>6.5</v>
      </c>
      <c r="F85" s="82" t="e">
        <f>SUM(F82:F84)</f>
        <v>#N/A</v>
      </c>
      <c r="H85" s="82" t="e">
        <f>SUM(H82:H84)</f>
        <v>#N/A</v>
      </c>
      <c r="I85" s="84" t="str">
        <f>CONCATENATE("m'(",C84,")=")</f>
        <v>m'(6.5)=</v>
      </c>
      <c r="J85" s="84" t="e">
        <f>2*(J82*(WLS))/3*H85</f>
        <v>#N/A</v>
      </c>
      <c r="K85" s="84" t="str">
        <f>CONCATENATE("M(",C82,")=")</f>
        <v>M(#NA)=</v>
      </c>
      <c r="L85" s="84" t="e">
        <f>VLOOKUP(C82,STN_TABLE,4,FALSE)</f>
        <v>#N/A</v>
      </c>
      <c r="M85" t="str">
        <f>CONCATENATE("M(",C84,")=")</f>
        <v>M(6.5)=</v>
      </c>
      <c r="N85" t="e">
        <f>J85+L85</f>
        <v>#N/A</v>
      </c>
      <c r="O85" s="99">
        <f>O84+1</f>
        <v>14</v>
      </c>
      <c r="P85" s="99" t="str">
        <f t="shared" si="23"/>
        <v xml:space="preserve">  </v>
      </c>
      <c r="T85" s="89" t="e">
        <f>SUM(T82:T84)</f>
        <v>#VALUE!</v>
      </c>
      <c r="V85" s="82" t="e">
        <f>SUM(V82:V84)</f>
        <v>#VALUE!</v>
      </c>
      <c r="W85" s="84" t="str">
        <f>CONCATENATE("m'(",Q83,")=")</f>
        <v>m'(6.5)=</v>
      </c>
      <c r="X85" s="84" t="e">
        <f>(2*(X82^2)/24*V85)+(X84*Q82*WLS)</f>
        <v>#VALUE!</v>
      </c>
      <c r="Y85" s="84" t="e">
        <f>CONCATENATE("M(",Q82,")=")</f>
        <v>#VALUE!</v>
      </c>
      <c r="Z85" s="84" t="e">
        <f>VLOOKUP(Q82,STN_TABLE,4,FALSE)</f>
        <v>#VALUE!</v>
      </c>
      <c r="AA85" t="str">
        <f>CONCATENATE("M(",Q83,")=")</f>
        <v>M(6.5)=</v>
      </c>
      <c r="AB85" t="e">
        <f>X85+Z85</f>
        <v>#VALUE!</v>
      </c>
      <c r="AE85" s="89">
        <f>SUM(AE83:AE84)</f>
        <v>22</v>
      </c>
      <c r="AG85" s="89">
        <f>SUM(AG83:AG84)</f>
        <v>33</v>
      </c>
      <c r="AH85" s="84" t="str">
        <f>CONCATENATE("m'(",AD84,")=")</f>
        <v>m'(6.5)=</v>
      </c>
      <c r="AI85" s="84">
        <f>(2*(AI82^2)/6*AG85)+(AI84*AD83*WLS)</f>
        <v>275</v>
      </c>
      <c r="AJ85" s="84" t="str">
        <f>CONCATENATE("M(",AD83,")=")</f>
        <v>M(6)=</v>
      </c>
      <c r="AK85" s="84">
        <f>VLOOKUP(AD83,STN_TABLE,4,FALSE)</f>
        <v>1583.06</v>
      </c>
      <c r="AL85" t="str">
        <f>CONCATENATE("M(",AD84,")=")</f>
        <v>M(6.5)=</v>
      </c>
      <c r="AM85">
        <f>AI85+AK85</f>
        <v>1858.06</v>
      </c>
      <c r="AO85" s="82" t="str">
        <f>AA85</f>
        <v>M(6.5)=</v>
      </c>
      <c r="AP85" s="82" t="e">
        <f>VLOOKUP(AO85,Rise_Results,2,FALSE)</f>
        <v>#N/A</v>
      </c>
      <c r="AQ85" s="82" t="e">
        <f>N85</f>
        <v>#N/A</v>
      </c>
      <c r="AR85" s="82" t="e">
        <f>IF(OR(AB84&lt;=0,AB85&lt;=0),1/0,AB85)</f>
        <v>#VALUE!</v>
      </c>
      <c r="AS85" s="82">
        <f>AM85</f>
        <v>1858.06</v>
      </c>
      <c r="AT85">
        <f>IFERROR(AP85,IFERROR(AQ85,IFERROR(AR85,AS85)))</f>
        <v>1858.06</v>
      </c>
      <c r="AU85" s="81"/>
    </row>
    <row r="86" spans="1:47" x14ac:dyDescent="0.25">
      <c r="A86" s="101">
        <f>A81+1</f>
        <v>9</v>
      </c>
      <c r="B86" s="101">
        <f t="shared" si="27"/>
        <v>4.8499999999999996</v>
      </c>
      <c r="O86" s="101">
        <f>O81+1</f>
        <v>11</v>
      </c>
      <c r="P86" s="101">
        <f t="shared" si="23"/>
        <v>6</v>
      </c>
      <c r="AU86" s="81"/>
    </row>
    <row r="87" spans="1:47" x14ac:dyDescent="0.25">
      <c r="A87" s="84">
        <f>A86+1</f>
        <v>10</v>
      </c>
      <c r="B87" s="84">
        <f t="shared" si="27"/>
        <v>5</v>
      </c>
      <c r="C87" s="79" t="e">
        <f t="shared" ref="C87" si="35">IF(C88=B89,IF(C89-C88=C88-B88,B88,IF(C89-C88=C88-B87,B87,"#NA")),IF(C88=B88,IF(C89-C88=C88-B87,B87,IF(C89-C88=C88-B86,B86,"#NA")),"#NA"))</f>
        <v>#VALUE!</v>
      </c>
      <c r="D87" s="68" t="e">
        <f>VLOOKUP(C87,STN_TABLE,2,FALSE)</f>
        <v>#VALUE!</v>
      </c>
      <c r="E87" s="102">
        <v>1</v>
      </c>
      <c r="F87" s="68" t="e">
        <f>D87*E87</f>
        <v>#VALUE!</v>
      </c>
      <c r="G87" s="69" t="e">
        <f>C87</f>
        <v>#VALUE!</v>
      </c>
      <c r="H87" s="69" t="e">
        <f>F87*G87</f>
        <v>#VALUE!</v>
      </c>
      <c r="I87" s="6" t="s">
        <v>93</v>
      </c>
      <c r="J87" s="70" t="e">
        <f>IF(OR(D87=0,D88=0,D89=0),"#NA",IF(AND(C89-C88=C88-C87,C88&lt;&gt;C89,C87&lt;&gt;C88,C87&lt;&gt;C89,D89&lt;&gt;0,OR(D87&lt;&gt;0,D88&lt;&gt;0)),WLS*(C89-C88),"#NA"))</f>
        <v>#VALUE!</v>
      </c>
      <c r="O87" s="99">
        <f>O86+1</f>
        <v>12</v>
      </c>
      <c r="P87" s="99">
        <f t="shared" si="23"/>
        <v>6.5</v>
      </c>
      <c r="Q87" s="68" t="e">
        <f>IF(OR(P89-P88=P88-P87,P90-P88=P88-P87),P87,IF(OR(P89-P88=P88-P86,P90-P88=P88-P86),P86,"-"))</f>
        <v>#VALUE!</v>
      </c>
      <c r="R87" s="69" t="e">
        <f>VLOOKUP(Q87,STN_TABLE,2,FALSE)</f>
        <v>#VALUE!</v>
      </c>
      <c r="S87" s="69">
        <v>5</v>
      </c>
      <c r="T87" s="68" t="e">
        <f>R87*S87</f>
        <v>#VALUE!</v>
      </c>
      <c r="U87" s="79">
        <v>3</v>
      </c>
      <c r="V87" s="68" t="e">
        <f>R87*U87</f>
        <v>#VALUE!</v>
      </c>
      <c r="W87" s="6" t="s">
        <v>93</v>
      </c>
      <c r="X87" s="70" t="e">
        <f>IF(AND(Q89-Q88=Q88-Q87,NOT(AND(Q87=0,Q88=0)),NOT(AND(Q88=0,Q89=0))),WLS*(Q89-Q88),"#NA")</f>
        <v>#VALUE!</v>
      </c>
      <c r="AD87" s="93"/>
      <c r="AH87" s="6" t="s">
        <v>93</v>
      </c>
      <c r="AI87" s="70" t="e">
        <f>WLS*(AD89-AD88)</f>
        <v>#VALUE!</v>
      </c>
      <c r="AU87" s="81"/>
    </row>
    <row r="88" spans="1:47" x14ac:dyDescent="0.25">
      <c r="A88" s="84">
        <f>A87+1</f>
        <v>11</v>
      </c>
      <c r="B88" s="84">
        <f t="shared" si="27"/>
        <v>6</v>
      </c>
      <c r="C88" s="80" t="e">
        <f t="shared" ref="C88" si="36">IF(OR(B90-B89=B89-B88,B90-B89=B89-B87,B90-B89=B89-B86),B89,IF(OR(B90-B88=B88-B87,B90-B88=B88-B86),B88,IF(B90-B87=B87-B86,B87,"#NA")))</f>
        <v>#VALUE!</v>
      </c>
      <c r="D88" s="76" t="e">
        <f>VLOOKUP(C88,STN_TABLE,2,FALSE)</f>
        <v>#VALUE!</v>
      </c>
      <c r="E88" s="81">
        <v>4</v>
      </c>
      <c r="F88" s="76" t="e">
        <f>D88*E88</f>
        <v>#VALUE!</v>
      </c>
      <c r="G88" s="77" t="e">
        <f>C88</f>
        <v>#VALUE!</v>
      </c>
      <c r="H88" s="77" t="e">
        <f>F88*G88</f>
        <v>#VALUE!</v>
      </c>
      <c r="I88" s="495" t="s">
        <v>97</v>
      </c>
      <c r="J88" s="496"/>
      <c r="K88" s="78" t="s">
        <v>98</v>
      </c>
      <c r="L88" s="78"/>
      <c r="M88" s="7" t="s">
        <v>99</v>
      </c>
      <c r="N88" s="7"/>
      <c r="O88" s="99">
        <f>O87+1</f>
        <v>13</v>
      </c>
      <c r="P88" s="99" t="str">
        <f t="shared" si="23"/>
        <v xml:space="preserve">  </v>
      </c>
      <c r="Q88" s="76" t="str">
        <f>P88</f>
        <v xml:space="preserve">  </v>
      </c>
      <c r="R88" s="77" t="str">
        <f>VLOOKUP(Q88,STN_TABLE,2,FALSE)</f>
        <v xml:space="preserve">  </v>
      </c>
      <c r="S88" s="77">
        <v>8</v>
      </c>
      <c r="T88" s="76" t="e">
        <f>R88*S88</f>
        <v>#VALUE!</v>
      </c>
      <c r="U88" s="80">
        <v>10</v>
      </c>
      <c r="V88" s="76" t="e">
        <f>R88*U88</f>
        <v>#VALUE!</v>
      </c>
      <c r="W88" s="496" t="s">
        <v>97</v>
      </c>
      <c r="X88" s="496"/>
      <c r="Y88" s="496" t="s">
        <v>98</v>
      </c>
      <c r="Z88" s="496"/>
      <c r="AA88" s="494" t="s">
        <v>99</v>
      </c>
      <c r="AB88" s="494"/>
      <c r="AC88" s="99">
        <f>AC83+1</f>
        <v>12</v>
      </c>
      <c r="AD88" s="95">
        <f>VLOOKUP(AC88,STN_TABLE_2,2,FALSE)</f>
        <v>6.5</v>
      </c>
      <c r="AE88" s="68">
        <f>VLOOKUP(AD88,STN_TABLE,2,FALSE)</f>
        <v>11</v>
      </c>
      <c r="AF88" s="68">
        <v>1</v>
      </c>
      <c r="AG88" s="69">
        <f>AE88*AF88</f>
        <v>11</v>
      </c>
      <c r="AH88" s="496" t="s">
        <v>97</v>
      </c>
      <c r="AI88" s="496"/>
      <c r="AJ88" s="496" t="s">
        <v>98</v>
      </c>
      <c r="AK88" s="496"/>
      <c r="AL88" s="494" t="s">
        <v>99</v>
      </c>
      <c r="AM88" s="494"/>
      <c r="AP88" s="86" t="s">
        <v>112</v>
      </c>
      <c r="AQ88" s="89" t="s">
        <v>113</v>
      </c>
      <c r="AR88" s="89" t="s">
        <v>114</v>
      </c>
      <c r="AS88" s="89" t="s">
        <v>115</v>
      </c>
      <c r="AU88" s="81"/>
    </row>
    <row r="89" spans="1:47" x14ac:dyDescent="0.25">
      <c r="A89" s="84">
        <f>A88+1</f>
        <v>12</v>
      </c>
      <c r="B89" s="84">
        <f t="shared" si="27"/>
        <v>6.5</v>
      </c>
      <c r="C89" s="88" t="str">
        <f t="shared" ref="C89" si="37">B90</f>
        <v xml:space="preserve">  </v>
      </c>
      <c r="D89" s="82" t="str">
        <f>VLOOKUP(C89,STN_TABLE,2,FALSE)</f>
        <v xml:space="preserve">  </v>
      </c>
      <c r="E89" s="92">
        <v>1</v>
      </c>
      <c r="F89" s="82" t="e">
        <f>D89*E89</f>
        <v>#VALUE!</v>
      </c>
      <c r="G89" s="83" t="str">
        <f>C89</f>
        <v xml:space="preserve">  </v>
      </c>
      <c r="H89" s="83" t="e">
        <f>F89*G89</f>
        <v>#VALUE!</v>
      </c>
      <c r="I89" s="84" t="str">
        <f>CONCATENATE("a'(",C89,")=")</f>
        <v>a'(  )=</v>
      </c>
      <c r="J89" s="84" t="e">
        <f>2*J87/3*F90</f>
        <v>#VALUE!</v>
      </c>
      <c r="K89" s="84" t="e">
        <f>CONCATENATE("A(",C87,")=")</f>
        <v>#VALUE!</v>
      </c>
      <c r="L89" s="84" t="e">
        <f>VLOOKUP(C87,STN_TABLE,3,FALSE)</f>
        <v>#VALUE!</v>
      </c>
      <c r="M89" t="str">
        <f>CONCATENATE("A(",C89,")=")</f>
        <v>A(  )=</v>
      </c>
      <c r="N89" t="e">
        <f>J89+L89</f>
        <v>#VALUE!</v>
      </c>
      <c r="O89" s="99">
        <f>O88+1</f>
        <v>14</v>
      </c>
      <c r="P89" s="99" t="str">
        <f t="shared" si="23"/>
        <v xml:space="preserve">  </v>
      </c>
      <c r="Q89" s="82" t="e">
        <f>IF(P89-P88=P88-P87,P89,IF(P90-P88=P88-P87,P90,IF(P89-P88=P88-P86,P89,IF(P90-P88=P88-P86,P90,"-"))))</f>
        <v>#VALUE!</v>
      </c>
      <c r="R89" s="83" t="e">
        <f>VLOOKUP(Q89,STN_TABLE,2,FALSE)</f>
        <v>#VALUE!</v>
      </c>
      <c r="S89" s="83">
        <v>-1</v>
      </c>
      <c r="T89" s="82" t="e">
        <f>R89*S89</f>
        <v>#VALUE!</v>
      </c>
      <c r="U89" s="88">
        <v>-1</v>
      </c>
      <c r="V89" s="82" t="e">
        <f>R89*U89</f>
        <v>#VALUE!</v>
      </c>
      <c r="W89" s="84" t="str">
        <f>CONCATENATE("a'(",Q88,")=")</f>
        <v>a'(  )=</v>
      </c>
      <c r="X89" s="84" t="e">
        <f>2*X87/12*T90</f>
        <v>#VALUE!</v>
      </c>
      <c r="Y89" s="84" t="e">
        <f>CONCATENATE("A(",Q87,")=")</f>
        <v>#VALUE!</v>
      </c>
      <c r="Z89" s="84" t="e">
        <f>VLOOKUP(Q87,STN_TABLE,3,FALSE)</f>
        <v>#VALUE!</v>
      </c>
      <c r="AA89" t="str">
        <f>CONCATENATE("A(",Q88,")=")</f>
        <v>A(  )=</v>
      </c>
      <c r="AB89" t="e">
        <f>X89+Z89</f>
        <v>#VALUE!</v>
      </c>
      <c r="AC89" s="99">
        <f>AC88+1</f>
        <v>13</v>
      </c>
      <c r="AD89" s="100" t="str">
        <f>VLOOKUP(AC89,STN_TABLE_2,2,FALSE)</f>
        <v xml:space="preserve">  </v>
      </c>
      <c r="AE89" s="82" t="str">
        <f>VLOOKUP(AD89,STN_TABLE,2,FALSE)</f>
        <v xml:space="preserve">  </v>
      </c>
      <c r="AF89" s="82">
        <v>2</v>
      </c>
      <c r="AG89" s="83" t="e">
        <f>AE89*AF89</f>
        <v>#VALUE!</v>
      </c>
      <c r="AH89" s="84" t="str">
        <f>CONCATENATE("a'(",AD89,")=")</f>
        <v>a'(  )=</v>
      </c>
      <c r="AI89" s="84" t="e">
        <f>2*AI87/2*AE90</f>
        <v>#VALUE!</v>
      </c>
      <c r="AJ89" s="84" t="str">
        <f>CONCATENATE("A(",AD88,")=")</f>
        <v>A(6.5)=</v>
      </c>
      <c r="AK89" s="84">
        <f>VLOOKUP(AD88,STN_TABLE,3,FALSE)</f>
        <v>284.19333333333333</v>
      </c>
      <c r="AL89" t="str">
        <f>CONCATENATE("A(",AD89,")=")</f>
        <v>A(  )=</v>
      </c>
      <c r="AM89" t="e">
        <f>AI89+AK89</f>
        <v>#VALUE!</v>
      </c>
      <c r="AO89" s="68" t="str">
        <f>AA89</f>
        <v>A(  )=</v>
      </c>
      <c r="AP89" s="68" t="e">
        <f>VLOOKUP(AO89,Rise_Results,2,FALSE)</f>
        <v>#N/A</v>
      </c>
      <c r="AQ89" s="76" t="e">
        <f>N89</f>
        <v>#VALUE!</v>
      </c>
      <c r="AR89" s="76" t="e">
        <f>IF(OR(AB89&lt;=0,AB90&lt;=0),1/0,AB89)</f>
        <v>#VALUE!</v>
      </c>
      <c r="AS89" s="76" t="e">
        <f>AM89</f>
        <v>#VALUE!</v>
      </c>
      <c r="AT89" t="e">
        <f>IFERROR(AP89,IFERROR(AQ89,IFERROR(AR89,AS89)))</f>
        <v>#VALUE!</v>
      </c>
      <c r="AU89" s="81"/>
    </row>
    <row r="90" spans="1:47" x14ac:dyDescent="0.25">
      <c r="A90" s="84">
        <f>A89+1</f>
        <v>13</v>
      </c>
      <c r="B90" s="84" t="str">
        <f t="shared" si="27"/>
        <v xml:space="preserve">  </v>
      </c>
      <c r="F90" s="82" t="e">
        <f>SUM(F87:F89)</f>
        <v>#VALUE!</v>
      </c>
      <c r="H90" s="82" t="e">
        <f>SUM(H87:H89)</f>
        <v>#VALUE!</v>
      </c>
      <c r="I90" s="84" t="str">
        <f>CONCATENATE("m'(",C89,")=")</f>
        <v>m'(  )=</v>
      </c>
      <c r="J90" s="84" t="e">
        <f>2*(J87*(WLS))/3*H90</f>
        <v>#VALUE!</v>
      </c>
      <c r="K90" s="84" t="e">
        <f>CONCATENATE("M(",C87,")=")</f>
        <v>#VALUE!</v>
      </c>
      <c r="L90" s="84" t="e">
        <f>VLOOKUP(C87,STN_TABLE,4,FALSE)</f>
        <v>#VALUE!</v>
      </c>
      <c r="M90" t="str">
        <f>CONCATENATE("M(",C89,")=")</f>
        <v>M(  )=</v>
      </c>
      <c r="N90" t="e">
        <f>J90+L90</f>
        <v>#VALUE!</v>
      </c>
      <c r="O90" s="99">
        <f>O89+1</f>
        <v>15</v>
      </c>
      <c r="P90" s="99" t="str">
        <f t="shared" si="23"/>
        <v xml:space="preserve">  </v>
      </c>
      <c r="T90" s="89" t="e">
        <f>SUM(T87:T89)</f>
        <v>#VALUE!</v>
      </c>
      <c r="V90" s="82" t="e">
        <f>SUM(V87:V89)</f>
        <v>#VALUE!</v>
      </c>
      <c r="W90" s="84" t="str">
        <f>CONCATENATE("m'(",Q88,")=")</f>
        <v>m'(  )=</v>
      </c>
      <c r="X90" s="84" t="e">
        <f>(2*(X87^2)/24*V90)+(X89*Q87*WLS)</f>
        <v>#VALUE!</v>
      </c>
      <c r="Y90" s="84" t="e">
        <f>CONCATENATE("M(",Q87,")=")</f>
        <v>#VALUE!</v>
      </c>
      <c r="Z90" s="84" t="e">
        <f>VLOOKUP(Q87,STN_TABLE,4,FALSE)</f>
        <v>#VALUE!</v>
      </c>
      <c r="AA90" t="str">
        <f>CONCATENATE("M(",Q88,")=")</f>
        <v>M(  )=</v>
      </c>
      <c r="AB90" t="e">
        <f>X90+Z90</f>
        <v>#VALUE!</v>
      </c>
      <c r="AE90" s="89">
        <f>SUM(AE88:AE89)</f>
        <v>11</v>
      </c>
      <c r="AG90" s="89" t="e">
        <f>SUM(AG88:AG89)</f>
        <v>#VALUE!</v>
      </c>
      <c r="AH90" s="84" t="str">
        <f>CONCATENATE("m'(",AD89,")=")</f>
        <v>m'(  )=</v>
      </c>
      <c r="AI90" s="84" t="e">
        <f>(2*(AI87^2)/6*AG90)+(AI89*AD88*WLS)</f>
        <v>#VALUE!</v>
      </c>
      <c r="AJ90" s="84" t="str">
        <f>CONCATENATE("M(",AD88,")=")</f>
        <v>M(6.5)=</v>
      </c>
      <c r="AK90" s="84">
        <f>VLOOKUP(AD88,STN_TABLE,4,FALSE)</f>
        <v>1858.06</v>
      </c>
      <c r="AL90" t="str">
        <f>CONCATENATE("M(",AD89,")=")</f>
        <v>M(  )=</v>
      </c>
      <c r="AM90" t="e">
        <f>AI90+AK90</f>
        <v>#VALUE!</v>
      </c>
      <c r="AO90" s="82" t="str">
        <f>AA90</f>
        <v>M(  )=</v>
      </c>
      <c r="AP90" s="82" t="e">
        <f>VLOOKUP(AO90,Rise_Results,2,FALSE)</f>
        <v>#N/A</v>
      </c>
      <c r="AQ90" s="82" t="e">
        <f>N90</f>
        <v>#VALUE!</v>
      </c>
      <c r="AR90" s="82" t="e">
        <f>IF(OR(AB89&lt;=0,AB90&lt;=0),1/0,AB90)</f>
        <v>#VALUE!</v>
      </c>
      <c r="AS90" s="82" t="e">
        <f>AM90</f>
        <v>#VALUE!</v>
      </c>
      <c r="AT90" t="e">
        <f>IFERROR(AP90,IFERROR(AQ90,IFERROR(AR90,AS90)))</f>
        <v>#VALUE!</v>
      </c>
      <c r="AU90" s="81"/>
    </row>
    <row r="91" spans="1:47" x14ac:dyDescent="0.25">
      <c r="A91" s="101">
        <f>A86+1</f>
        <v>10</v>
      </c>
      <c r="B91" s="101">
        <f t="shared" si="27"/>
        <v>5</v>
      </c>
      <c r="O91" s="101">
        <f>O86+1</f>
        <v>12</v>
      </c>
      <c r="P91" s="101">
        <f t="shared" si="23"/>
        <v>6.5</v>
      </c>
      <c r="AU91" s="81"/>
    </row>
    <row r="92" spans="1:47" x14ac:dyDescent="0.25">
      <c r="A92" s="84">
        <f>A91+1</f>
        <v>11</v>
      </c>
      <c r="B92" s="84">
        <f t="shared" si="27"/>
        <v>6</v>
      </c>
      <c r="C92" s="79" t="e">
        <f t="shared" ref="C92" si="38">IF(C93=B94,IF(C94-C93=C93-B93,B93,IF(C94-C93=C93-B92,B92,"#NA")),IF(C93=B93,IF(C94-C93=C93-B92,B92,IF(C94-C93=C93-B91,B91,"#NA")),"#NA"))</f>
        <v>#VALUE!</v>
      </c>
      <c r="D92" s="68" t="e">
        <f>VLOOKUP(C92,STN_TABLE,2,FALSE)</f>
        <v>#VALUE!</v>
      </c>
      <c r="E92" s="102">
        <v>1</v>
      </c>
      <c r="F92" s="68" t="e">
        <f>D92*E92</f>
        <v>#VALUE!</v>
      </c>
      <c r="G92" s="69" t="e">
        <f>C92</f>
        <v>#VALUE!</v>
      </c>
      <c r="H92" s="69" t="e">
        <f>F92*G92</f>
        <v>#VALUE!</v>
      </c>
      <c r="I92" s="6" t="s">
        <v>93</v>
      </c>
      <c r="J92" s="70" t="e">
        <f>IF(OR(D92=0,D93=0,D94=0),"#NA",IF(AND(C94-C93=C93-C92,C93&lt;&gt;C94,C92&lt;&gt;C93,C92&lt;&gt;C94,D94&lt;&gt;0,OR(D92&lt;&gt;0,D93&lt;&gt;0)),WLS*(C94-C93),"#NA"))</f>
        <v>#VALUE!</v>
      </c>
      <c r="O92" s="99">
        <f>O91+1</f>
        <v>13</v>
      </c>
      <c r="P92" s="99" t="str">
        <f t="shared" si="23"/>
        <v xml:space="preserve">  </v>
      </c>
      <c r="Q92" s="68" t="e">
        <f>IF(OR(P94-P93=P93-P92,P95-P93=P93-P92),P92,IF(OR(P94-P93=P93-P91,P95-P93=P93-P91),P91,"-"))</f>
        <v>#VALUE!</v>
      </c>
      <c r="R92" s="69" t="e">
        <f>VLOOKUP(Q92,STN_TABLE,2,FALSE)</f>
        <v>#VALUE!</v>
      </c>
      <c r="S92" s="69">
        <v>5</v>
      </c>
      <c r="T92" s="68" t="e">
        <f>R92*S92</f>
        <v>#VALUE!</v>
      </c>
      <c r="U92" s="79">
        <v>3</v>
      </c>
      <c r="V92" s="68" t="e">
        <f>R92*U92</f>
        <v>#VALUE!</v>
      </c>
      <c r="W92" s="6" t="s">
        <v>93</v>
      </c>
      <c r="X92" s="70" t="e">
        <f>IF(AND(Q94-Q93=Q93-Q92,NOT(AND(Q92=0,Q93=0)),NOT(AND(Q93=0,Q94=0))),WLS*(Q94-Q93),"#NA")</f>
        <v>#VALUE!</v>
      </c>
      <c r="AD92" s="93"/>
      <c r="AH92" s="6" t="s">
        <v>93</v>
      </c>
      <c r="AI92" s="70" t="e">
        <f>WLS*(AD94-AD93)</f>
        <v>#VALUE!</v>
      </c>
      <c r="AU92" s="81"/>
    </row>
    <row r="93" spans="1:47" x14ac:dyDescent="0.25">
      <c r="A93" s="84">
        <f>A92+1</f>
        <v>12</v>
      </c>
      <c r="B93" s="84">
        <f t="shared" si="27"/>
        <v>6.5</v>
      </c>
      <c r="C93" s="80" t="e">
        <f t="shared" ref="C93" si="39">IF(OR(B95-B94=B94-B93,B95-B94=B94-B92,B95-B94=B94-B91),B94,IF(OR(B95-B93=B93-B92,B95-B93=B93-B91),B93,IF(B95-B92=B92-B91,B92,"#NA")))</f>
        <v>#VALUE!</v>
      </c>
      <c r="D93" s="76" t="e">
        <f>VLOOKUP(C93,STN_TABLE,2,FALSE)</f>
        <v>#VALUE!</v>
      </c>
      <c r="E93" s="81">
        <v>4</v>
      </c>
      <c r="F93" s="76" t="e">
        <f>D93*E93</f>
        <v>#VALUE!</v>
      </c>
      <c r="G93" s="77" t="e">
        <f>C93</f>
        <v>#VALUE!</v>
      </c>
      <c r="H93" s="77" t="e">
        <f>F93*G93</f>
        <v>#VALUE!</v>
      </c>
      <c r="I93" s="495" t="s">
        <v>97</v>
      </c>
      <c r="J93" s="496"/>
      <c r="K93" s="78" t="s">
        <v>98</v>
      </c>
      <c r="L93" s="78"/>
      <c r="M93" s="7" t="s">
        <v>99</v>
      </c>
      <c r="N93" s="7"/>
      <c r="O93" s="99">
        <f>O92+1</f>
        <v>14</v>
      </c>
      <c r="P93" s="99" t="str">
        <f t="shared" si="23"/>
        <v xml:space="preserve">  </v>
      </c>
      <c r="Q93" s="76" t="str">
        <f>P93</f>
        <v xml:space="preserve">  </v>
      </c>
      <c r="R93" s="77" t="str">
        <f>VLOOKUP(Q93,STN_TABLE,2,FALSE)</f>
        <v xml:space="preserve">  </v>
      </c>
      <c r="S93" s="77">
        <v>8</v>
      </c>
      <c r="T93" s="76" t="e">
        <f>R93*S93</f>
        <v>#VALUE!</v>
      </c>
      <c r="U93" s="80">
        <v>10</v>
      </c>
      <c r="V93" s="76" t="e">
        <f>R93*U93</f>
        <v>#VALUE!</v>
      </c>
      <c r="W93" s="496" t="s">
        <v>97</v>
      </c>
      <c r="X93" s="496"/>
      <c r="Y93" s="496" t="s">
        <v>98</v>
      </c>
      <c r="Z93" s="496"/>
      <c r="AA93" s="494" t="s">
        <v>99</v>
      </c>
      <c r="AB93" s="494"/>
      <c r="AC93" s="99">
        <f>AC88+1</f>
        <v>13</v>
      </c>
      <c r="AD93" s="95" t="str">
        <f>VLOOKUP(AC93,STN_TABLE_2,2,FALSE)</f>
        <v xml:space="preserve">  </v>
      </c>
      <c r="AE93" s="68" t="str">
        <f>VLOOKUP(AD93,STN_TABLE,2,FALSE)</f>
        <v xml:space="preserve">  </v>
      </c>
      <c r="AF93" s="68">
        <v>1</v>
      </c>
      <c r="AG93" s="69" t="e">
        <f>AE93*AF93</f>
        <v>#VALUE!</v>
      </c>
      <c r="AH93" s="496" t="s">
        <v>97</v>
      </c>
      <c r="AI93" s="496"/>
      <c r="AJ93" s="496" t="s">
        <v>98</v>
      </c>
      <c r="AK93" s="496"/>
      <c r="AL93" s="494" t="s">
        <v>99</v>
      </c>
      <c r="AM93" s="494"/>
      <c r="AP93" s="86" t="s">
        <v>112</v>
      </c>
      <c r="AQ93" s="89" t="s">
        <v>113</v>
      </c>
      <c r="AR93" s="89" t="s">
        <v>114</v>
      </c>
      <c r="AS93" s="89" t="s">
        <v>115</v>
      </c>
      <c r="AU93" s="81"/>
    </row>
    <row r="94" spans="1:47" x14ac:dyDescent="0.25">
      <c r="A94" s="84">
        <f>A93+1</f>
        <v>13</v>
      </c>
      <c r="B94" s="84" t="str">
        <f t="shared" si="27"/>
        <v xml:space="preserve">  </v>
      </c>
      <c r="C94" s="88" t="str">
        <f t="shared" ref="C94" si="40">B95</f>
        <v xml:space="preserve">  </v>
      </c>
      <c r="D94" s="82" t="str">
        <f>VLOOKUP(C94,STN_TABLE,2,FALSE)</f>
        <v xml:space="preserve">  </v>
      </c>
      <c r="E94" s="92">
        <v>1</v>
      </c>
      <c r="F94" s="82" t="e">
        <f>D94*E94</f>
        <v>#VALUE!</v>
      </c>
      <c r="G94" s="83" t="str">
        <f>C94</f>
        <v xml:space="preserve">  </v>
      </c>
      <c r="H94" s="83" t="e">
        <f>F94*G94</f>
        <v>#VALUE!</v>
      </c>
      <c r="I94" s="84" t="str">
        <f>CONCATENATE("a'(",C94,")=")</f>
        <v>a'(  )=</v>
      </c>
      <c r="J94" s="84" t="e">
        <f>2*J92/3*F95</f>
        <v>#VALUE!</v>
      </c>
      <c r="K94" s="84" t="e">
        <f>CONCATENATE("A(",C92,")=")</f>
        <v>#VALUE!</v>
      </c>
      <c r="L94" s="84" t="e">
        <f>VLOOKUP(C92,STN_TABLE,3,FALSE)</f>
        <v>#VALUE!</v>
      </c>
      <c r="M94" t="str">
        <f>CONCATENATE("A(",C94,")=")</f>
        <v>A(  )=</v>
      </c>
      <c r="N94" t="e">
        <f>J94+L94</f>
        <v>#VALUE!</v>
      </c>
      <c r="O94" s="99">
        <f>O93+1</f>
        <v>15</v>
      </c>
      <c r="P94" s="99" t="str">
        <f t="shared" si="23"/>
        <v xml:space="preserve">  </v>
      </c>
      <c r="Q94" s="82" t="e">
        <f>IF(P94-P93=P93-P92,P94,IF(P95-P93=P93-P92,P95,IF(P94-P93=P93-P91,P94,IF(P95-P93=P93-P91,P95,"-"))))</f>
        <v>#VALUE!</v>
      </c>
      <c r="R94" s="83" t="e">
        <f>VLOOKUP(Q94,STN_TABLE,2,FALSE)</f>
        <v>#VALUE!</v>
      </c>
      <c r="S94" s="83">
        <v>-1</v>
      </c>
      <c r="T94" s="82" t="e">
        <f>R94*S94</f>
        <v>#VALUE!</v>
      </c>
      <c r="U94" s="88">
        <v>-1</v>
      </c>
      <c r="V94" s="82" t="e">
        <f>R94*U94</f>
        <v>#VALUE!</v>
      </c>
      <c r="W94" s="84" t="str">
        <f>CONCATENATE("a'(",Q93,")=")</f>
        <v>a'(  )=</v>
      </c>
      <c r="X94" s="84" t="e">
        <f>2*X92/12*T95</f>
        <v>#VALUE!</v>
      </c>
      <c r="Y94" s="84" t="e">
        <f>CONCATENATE("A(",Q92,")=")</f>
        <v>#VALUE!</v>
      </c>
      <c r="Z94" s="84" t="e">
        <f>VLOOKUP(Q92,STN_TABLE,3,FALSE)</f>
        <v>#VALUE!</v>
      </c>
      <c r="AA94" t="str">
        <f>CONCATENATE("A(",Q93,")=")</f>
        <v>A(  )=</v>
      </c>
      <c r="AB94" t="e">
        <f>X94+Z94</f>
        <v>#VALUE!</v>
      </c>
      <c r="AC94" s="99">
        <f>AC93+1</f>
        <v>14</v>
      </c>
      <c r="AD94" s="100" t="str">
        <f>VLOOKUP(AC94,STN_TABLE_2,2,FALSE)</f>
        <v xml:space="preserve">  </v>
      </c>
      <c r="AE94" s="82" t="str">
        <f>VLOOKUP(AD94,STN_TABLE,2,FALSE)</f>
        <v xml:space="preserve">  </v>
      </c>
      <c r="AF94" s="82">
        <v>2</v>
      </c>
      <c r="AG94" s="83" t="e">
        <f>AE94*AF94</f>
        <v>#VALUE!</v>
      </c>
      <c r="AH94" s="84" t="str">
        <f>CONCATENATE("a'(",AD94,")=")</f>
        <v>a'(  )=</v>
      </c>
      <c r="AI94" s="84" t="e">
        <f>2*AI92/2*AE95</f>
        <v>#VALUE!</v>
      </c>
      <c r="AJ94" s="84" t="str">
        <f>CONCATENATE("A(",AD93,")=")</f>
        <v>A(  )=</v>
      </c>
      <c r="AK94" s="84" t="str">
        <f>VLOOKUP(AD93,STN_TABLE,3,FALSE)</f>
        <v xml:space="preserve"> </v>
      </c>
      <c r="AL94" t="str">
        <f>CONCATENATE("A(",AD94,")=")</f>
        <v>A(  )=</v>
      </c>
      <c r="AM94" t="e">
        <f>AI94+AK94</f>
        <v>#VALUE!</v>
      </c>
      <c r="AO94" s="68" t="str">
        <f>AA94</f>
        <v>A(  )=</v>
      </c>
      <c r="AP94" s="68" t="e">
        <f>VLOOKUP(AO94,Rise_Results,2,FALSE)</f>
        <v>#N/A</v>
      </c>
      <c r="AQ94" s="76" t="e">
        <f>N94</f>
        <v>#VALUE!</v>
      </c>
      <c r="AR94" s="76" t="e">
        <f>IF(OR(AB94&lt;=0,AB95&lt;=0),1/0,AB94)</f>
        <v>#VALUE!</v>
      </c>
      <c r="AS94" s="76" t="e">
        <f>AM94</f>
        <v>#VALUE!</v>
      </c>
      <c r="AT94" t="e">
        <f>IFERROR(AP94,IFERROR(AQ94,IFERROR(AR94,AS94)))</f>
        <v>#VALUE!</v>
      </c>
      <c r="AU94" s="81"/>
    </row>
    <row r="95" spans="1:47" x14ac:dyDescent="0.25">
      <c r="A95" s="84">
        <f>A94+1</f>
        <v>14</v>
      </c>
      <c r="B95" s="84" t="str">
        <f t="shared" si="27"/>
        <v xml:space="preserve">  </v>
      </c>
      <c r="F95" s="82" t="e">
        <f>SUM(F92:F94)</f>
        <v>#VALUE!</v>
      </c>
      <c r="H95" s="82" t="e">
        <f>SUM(H92:H94)</f>
        <v>#VALUE!</v>
      </c>
      <c r="I95" s="84" t="str">
        <f>CONCATENATE("m'(",C94,")=")</f>
        <v>m'(  )=</v>
      </c>
      <c r="J95" s="84" t="e">
        <f>2*(J92*(WLS))/3*H95</f>
        <v>#VALUE!</v>
      </c>
      <c r="K95" s="84" t="e">
        <f>CONCATENATE("M(",C92,")=")</f>
        <v>#VALUE!</v>
      </c>
      <c r="L95" s="84" t="e">
        <f>VLOOKUP(C92,STN_TABLE,4,FALSE)</f>
        <v>#VALUE!</v>
      </c>
      <c r="M95" t="str">
        <f>CONCATENATE("M(",C94,")=")</f>
        <v>M(  )=</v>
      </c>
      <c r="N95" t="e">
        <f>J95+L95</f>
        <v>#VALUE!</v>
      </c>
      <c r="O95" s="99">
        <f>O94+1</f>
        <v>16</v>
      </c>
      <c r="P95" s="99" t="str">
        <f t="shared" si="23"/>
        <v xml:space="preserve">  </v>
      </c>
      <c r="T95" s="89" t="e">
        <f>SUM(T92:T94)</f>
        <v>#VALUE!</v>
      </c>
      <c r="V95" s="82" t="e">
        <f>SUM(V92:V94)</f>
        <v>#VALUE!</v>
      </c>
      <c r="W95" s="84" t="str">
        <f>CONCATENATE("m'(",Q93,")=")</f>
        <v>m'(  )=</v>
      </c>
      <c r="X95" s="84" t="e">
        <f>(2*(X92^2)/24*V95)+(X94*Q92*WLS)</f>
        <v>#VALUE!</v>
      </c>
      <c r="Y95" s="84" t="e">
        <f>CONCATENATE("M(",Q92,")=")</f>
        <v>#VALUE!</v>
      </c>
      <c r="Z95" s="84" t="e">
        <f>VLOOKUP(Q92,STN_TABLE,4,FALSE)</f>
        <v>#VALUE!</v>
      </c>
      <c r="AA95" t="str">
        <f>CONCATENATE("M(",Q93,")=")</f>
        <v>M(  )=</v>
      </c>
      <c r="AB95" t="e">
        <f>X95+Z95</f>
        <v>#VALUE!</v>
      </c>
      <c r="AE95" s="89">
        <f>SUM(AE93:AE94)</f>
        <v>0</v>
      </c>
      <c r="AG95" s="89" t="e">
        <f>SUM(AG93:AG94)</f>
        <v>#VALUE!</v>
      </c>
      <c r="AH95" s="84" t="str">
        <f>CONCATENATE("m'(",AD94,")=")</f>
        <v>m'(  )=</v>
      </c>
      <c r="AI95" s="84" t="e">
        <f>(2*(AI92^2)/6*AG95)+(AI94*AD93*WLS)</f>
        <v>#VALUE!</v>
      </c>
      <c r="AJ95" s="84" t="str">
        <f>CONCATENATE("M(",AD93,")=")</f>
        <v>M(  )=</v>
      </c>
      <c r="AK95" s="84" t="str">
        <f>VLOOKUP(AD93,STN_TABLE,4,FALSE)</f>
        <v xml:space="preserve"> </v>
      </c>
      <c r="AL95" t="str">
        <f>CONCATENATE("M(",AD94,")=")</f>
        <v>M(  )=</v>
      </c>
      <c r="AM95" t="e">
        <f>AI95+AK95</f>
        <v>#VALUE!</v>
      </c>
      <c r="AO95" s="82" t="str">
        <f>AA95</f>
        <v>M(  )=</v>
      </c>
      <c r="AP95" s="82" t="e">
        <f>VLOOKUP(AO95,Rise_Results,2,FALSE)</f>
        <v>#N/A</v>
      </c>
      <c r="AQ95" s="82" t="e">
        <f>N95</f>
        <v>#VALUE!</v>
      </c>
      <c r="AR95" s="82" t="e">
        <f>IF(OR(AB94&lt;=0,AB95&lt;=0),1/0,AB95)</f>
        <v>#VALUE!</v>
      </c>
      <c r="AS95" s="82" t="e">
        <f>AM95</f>
        <v>#VALUE!</v>
      </c>
      <c r="AT95" t="e">
        <f>IFERROR(AP95,IFERROR(AQ95,IFERROR(AR95,AS95)))</f>
        <v>#VALUE!</v>
      </c>
      <c r="AU95" s="81"/>
    </row>
    <row r="96" spans="1:47" x14ac:dyDescent="0.25">
      <c r="A96" s="101">
        <f>A91+1</f>
        <v>11</v>
      </c>
      <c r="B96" s="101">
        <f t="shared" si="27"/>
        <v>6</v>
      </c>
      <c r="O96" s="101">
        <f>O91+1</f>
        <v>13</v>
      </c>
      <c r="P96" s="101" t="str">
        <f t="shared" si="23"/>
        <v xml:space="preserve">  </v>
      </c>
      <c r="AU96" s="81"/>
    </row>
    <row r="97" spans="1:47" x14ac:dyDescent="0.25">
      <c r="A97" s="84">
        <f>A96+1</f>
        <v>12</v>
      </c>
      <c r="B97" s="84">
        <f t="shared" si="27"/>
        <v>6.5</v>
      </c>
      <c r="C97" s="79" t="e">
        <f t="shared" ref="C97" si="41">IF(C98=B99,IF(C99-C98=C98-B98,B98,IF(C99-C98=C98-B97,B97,"#NA")),IF(C98=B98,IF(C99-C98=C98-B97,B97,IF(C99-C98=C98-B96,B96,"#NA")),"#NA"))</f>
        <v>#VALUE!</v>
      </c>
      <c r="D97" s="68" t="e">
        <f>VLOOKUP(C97,STN_TABLE,2,FALSE)</f>
        <v>#VALUE!</v>
      </c>
      <c r="E97" s="102">
        <v>1</v>
      </c>
      <c r="F97" s="68" t="e">
        <f>D97*E97</f>
        <v>#VALUE!</v>
      </c>
      <c r="G97" s="69" t="e">
        <f>C97</f>
        <v>#VALUE!</v>
      </c>
      <c r="H97" s="69" t="e">
        <f>F97*G97</f>
        <v>#VALUE!</v>
      </c>
      <c r="I97" s="6" t="s">
        <v>93</v>
      </c>
      <c r="J97" s="70" t="e">
        <f>IF(OR(D97=0,D98=0,D99=0),"#NA",IF(AND(C99-C98=C98-C97,C98&lt;&gt;C99,C97&lt;&gt;C98,C97&lt;&gt;C99,D99&lt;&gt;0,OR(D97&lt;&gt;0,D98&lt;&gt;0)),WLS*(C99-C98),"#NA"))</f>
        <v>#VALUE!</v>
      </c>
      <c r="O97" s="99">
        <f>O96+1</f>
        <v>14</v>
      </c>
      <c r="P97" s="99" t="str">
        <f t="shared" si="23"/>
        <v xml:space="preserve">  </v>
      </c>
      <c r="Q97" s="68" t="e">
        <f>IF(OR(P99-P98=P98-P97,P100-P98=P98-P97),P97,IF(OR(P99-P98=P98-P96,P100-P98=P98-P96),P96,"-"))</f>
        <v>#VALUE!</v>
      </c>
      <c r="R97" s="69" t="e">
        <f>VLOOKUP(Q97,STN_TABLE,2,FALSE)</f>
        <v>#VALUE!</v>
      </c>
      <c r="S97" s="69">
        <v>5</v>
      </c>
      <c r="T97" s="68" t="e">
        <f>R97*S97</f>
        <v>#VALUE!</v>
      </c>
      <c r="U97" s="79">
        <v>3</v>
      </c>
      <c r="V97" s="68" t="e">
        <f>R97*U97</f>
        <v>#VALUE!</v>
      </c>
      <c r="W97" s="6" t="s">
        <v>93</v>
      </c>
      <c r="X97" s="70" t="e">
        <f>IF(AND(Q99-Q98=Q98-Q97,NOT(AND(Q97=0,Q98=0)),NOT(AND(Q98=0,Q99=0))),WLS*(Q99-Q98),"#NA")</f>
        <v>#VALUE!</v>
      </c>
      <c r="AD97" s="93"/>
      <c r="AH97" s="6" t="s">
        <v>93</v>
      </c>
      <c r="AI97" s="70" t="e">
        <f>WLS*(AD99-AD98)</f>
        <v>#VALUE!</v>
      </c>
      <c r="AU97" s="81"/>
    </row>
    <row r="98" spans="1:47" x14ac:dyDescent="0.25">
      <c r="A98" s="84">
        <f>A97+1</f>
        <v>13</v>
      </c>
      <c r="B98" s="84" t="str">
        <f t="shared" si="27"/>
        <v xml:space="preserve">  </v>
      </c>
      <c r="C98" s="80" t="e">
        <f t="shared" ref="C98" si="42">IF(OR(B100-B99=B99-B98,B100-B99=B99-B97,B100-B99=B99-B96),B99,IF(OR(B100-B98=B98-B97,B100-B98=B98-B96),B98,IF(B100-B97=B97-B96,B97,"#NA")))</f>
        <v>#VALUE!</v>
      </c>
      <c r="D98" s="76" t="e">
        <f>VLOOKUP(C98,STN_TABLE,2,FALSE)</f>
        <v>#VALUE!</v>
      </c>
      <c r="E98" s="81">
        <v>4</v>
      </c>
      <c r="F98" s="76" t="e">
        <f>D98*E98</f>
        <v>#VALUE!</v>
      </c>
      <c r="G98" s="77" t="e">
        <f>C98</f>
        <v>#VALUE!</v>
      </c>
      <c r="H98" s="77" t="e">
        <f>F98*G98</f>
        <v>#VALUE!</v>
      </c>
      <c r="I98" s="495" t="s">
        <v>97</v>
      </c>
      <c r="J98" s="496"/>
      <c r="K98" s="78" t="s">
        <v>98</v>
      </c>
      <c r="L98" s="78"/>
      <c r="M98" s="7" t="s">
        <v>99</v>
      </c>
      <c r="N98" s="7"/>
      <c r="O98" s="99">
        <f>O97+1</f>
        <v>15</v>
      </c>
      <c r="P98" s="99" t="str">
        <f t="shared" si="23"/>
        <v xml:space="preserve">  </v>
      </c>
      <c r="Q98" s="76" t="str">
        <f>P98</f>
        <v xml:space="preserve">  </v>
      </c>
      <c r="R98" s="77" t="str">
        <f>VLOOKUP(Q98,STN_TABLE,2,FALSE)</f>
        <v xml:space="preserve">  </v>
      </c>
      <c r="S98" s="77">
        <v>8</v>
      </c>
      <c r="T98" s="76" t="e">
        <f>R98*S98</f>
        <v>#VALUE!</v>
      </c>
      <c r="U98" s="80">
        <v>10</v>
      </c>
      <c r="V98" s="76" t="e">
        <f>R98*U98</f>
        <v>#VALUE!</v>
      </c>
      <c r="W98" s="496" t="s">
        <v>97</v>
      </c>
      <c r="X98" s="496"/>
      <c r="Y98" s="496" t="s">
        <v>98</v>
      </c>
      <c r="Z98" s="496"/>
      <c r="AA98" s="494" t="s">
        <v>99</v>
      </c>
      <c r="AB98" s="494"/>
      <c r="AC98" s="99">
        <f>AC93+1</f>
        <v>14</v>
      </c>
      <c r="AD98" s="95" t="str">
        <f>VLOOKUP(AC98,STN_TABLE_2,2,FALSE)</f>
        <v xml:space="preserve">  </v>
      </c>
      <c r="AE98" s="68" t="str">
        <f>VLOOKUP(AD98,STN_TABLE,2,FALSE)</f>
        <v xml:space="preserve">  </v>
      </c>
      <c r="AF98" s="68">
        <v>1</v>
      </c>
      <c r="AG98" s="69" t="e">
        <f>AE98*AF98</f>
        <v>#VALUE!</v>
      </c>
      <c r="AH98" s="496" t="s">
        <v>97</v>
      </c>
      <c r="AI98" s="496"/>
      <c r="AJ98" s="496" t="s">
        <v>98</v>
      </c>
      <c r="AK98" s="496"/>
      <c r="AL98" s="494" t="s">
        <v>99</v>
      </c>
      <c r="AM98" s="494"/>
      <c r="AP98" s="86" t="s">
        <v>112</v>
      </c>
      <c r="AQ98" s="89" t="s">
        <v>113</v>
      </c>
      <c r="AR98" s="89" t="s">
        <v>114</v>
      </c>
      <c r="AS98" s="89" t="s">
        <v>115</v>
      </c>
      <c r="AU98" s="81"/>
    </row>
    <row r="99" spans="1:47" x14ac:dyDescent="0.25">
      <c r="A99" s="84">
        <f>A98+1</f>
        <v>14</v>
      </c>
      <c r="B99" s="84" t="str">
        <f t="shared" si="27"/>
        <v xml:space="preserve">  </v>
      </c>
      <c r="C99" s="88" t="str">
        <f t="shared" ref="C99" si="43">B100</f>
        <v xml:space="preserve">  </v>
      </c>
      <c r="D99" s="82" t="str">
        <f>VLOOKUP(C99,STN_TABLE,2,FALSE)</f>
        <v xml:space="preserve">  </v>
      </c>
      <c r="E99" s="92">
        <v>1</v>
      </c>
      <c r="F99" s="82" t="e">
        <f>D99*E99</f>
        <v>#VALUE!</v>
      </c>
      <c r="G99" s="83" t="str">
        <f>C99</f>
        <v xml:space="preserve">  </v>
      </c>
      <c r="H99" s="83" t="e">
        <f>F99*G99</f>
        <v>#VALUE!</v>
      </c>
      <c r="I99" s="84" t="str">
        <f>CONCATENATE("a'(",C99,")=")</f>
        <v>a'(  )=</v>
      </c>
      <c r="J99" s="84" t="e">
        <f>2*J97/3*F100</f>
        <v>#VALUE!</v>
      </c>
      <c r="K99" s="84" t="e">
        <f>CONCATENATE("A(",C97,")=")</f>
        <v>#VALUE!</v>
      </c>
      <c r="L99" s="84" t="e">
        <f>VLOOKUP(C97,STN_TABLE,3,FALSE)</f>
        <v>#VALUE!</v>
      </c>
      <c r="M99" t="str">
        <f>CONCATENATE("A(",C99,")=")</f>
        <v>A(  )=</v>
      </c>
      <c r="N99" t="e">
        <f>J99+L99</f>
        <v>#VALUE!</v>
      </c>
      <c r="O99" s="99">
        <f>O98+1</f>
        <v>16</v>
      </c>
      <c r="P99" s="99" t="str">
        <f t="shared" si="23"/>
        <v xml:space="preserve">  </v>
      </c>
      <c r="Q99" s="82" t="e">
        <f>IF(P99-P98=P98-P97,P99,IF(P100-P98=P98-P97,P100,IF(P99-P98=P98-P96,P99,IF(P100-P98=P98-P96,P100,"-"))))</f>
        <v>#VALUE!</v>
      </c>
      <c r="R99" s="83" t="e">
        <f>VLOOKUP(Q99,STN_TABLE,2,FALSE)</f>
        <v>#VALUE!</v>
      </c>
      <c r="S99" s="83">
        <v>-1</v>
      </c>
      <c r="T99" s="82" t="e">
        <f>R99*S99</f>
        <v>#VALUE!</v>
      </c>
      <c r="U99" s="88">
        <v>-1</v>
      </c>
      <c r="V99" s="82" t="e">
        <f>R99*U99</f>
        <v>#VALUE!</v>
      </c>
      <c r="W99" s="84" t="str">
        <f>CONCATENATE("a'(",Q98,")=")</f>
        <v>a'(  )=</v>
      </c>
      <c r="X99" s="84" t="e">
        <f>2*X97/12*T100</f>
        <v>#VALUE!</v>
      </c>
      <c r="Y99" s="84" t="e">
        <f>CONCATENATE("A(",Q97,")=")</f>
        <v>#VALUE!</v>
      </c>
      <c r="Z99" s="84" t="e">
        <f>VLOOKUP(Q97,STN_TABLE,3,FALSE)</f>
        <v>#VALUE!</v>
      </c>
      <c r="AA99" t="str">
        <f>CONCATENATE("A(",Q98,")=")</f>
        <v>A(  )=</v>
      </c>
      <c r="AB99" t="e">
        <f>X99+Z99</f>
        <v>#VALUE!</v>
      </c>
      <c r="AC99" s="99">
        <f>AC98+1</f>
        <v>15</v>
      </c>
      <c r="AD99" s="100" t="str">
        <f>VLOOKUP(AC99,STN_TABLE_2,2,FALSE)</f>
        <v xml:space="preserve">  </v>
      </c>
      <c r="AE99" s="82" t="str">
        <f>VLOOKUP(AD99,STN_TABLE,2,FALSE)</f>
        <v xml:space="preserve">  </v>
      </c>
      <c r="AF99" s="82">
        <v>2</v>
      </c>
      <c r="AG99" s="83" t="e">
        <f>AE99*AF99</f>
        <v>#VALUE!</v>
      </c>
      <c r="AH99" s="84" t="str">
        <f>CONCATENATE("a'(",AD99,")=")</f>
        <v>a'(  )=</v>
      </c>
      <c r="AI99" s="84" t="e">
        <f>2*AI97/2*AE100</f>
        <v>#VALUE!</v>
      </c>
      <c r="AJ99" s="84" t="str">
        <f>CONCATENATE("A(",AD98,")=")</f>
        <v>A(  )=</v>
      </c>
      <c r="AK99" s="84" t="str">
        <f>VLOOKUP(AD98,STN_TABLE,3,FALSE)</f>
        <v xml:space="preserve"> </v>
      </c>
      <c r="AL99" t="str">
        <f>CONCATENATE("A(",AD99,")=")</f>
        <v>A(  )=</v>
      </c>
      <c r="AM99" t="e">
        <f>AI99+AK99</f>
        <v>#VALUE!</v>
      </c>
      <c r="AO99" s="68" t="str">
        <f>AA99</f>
        <v>A(  )=</v>
      </c>
      <c r="AP99" s="68" t="e">
        <f>VLOOKUP(AO99,Rise_Results,2,FALSE)</f>
        <v>#N/A</v>
      </c>
      <c r="AQ99" s="76" t="e">
        <f>N99</f>
        <v>#VALUE!</v>
      </c>
      <c r="AR99" s="76" t="e">
        <f>IF(OR(AB99&lt;=0,AB100&lt;=0),1/0,AB99)</f>
        <v>#VALUE!</v>
      </c>
      <c r="AS99" s="76" t="e">
        <f>AM99</f>
        <v>#VALUE!</v>
      </c>
      <c r="AT99" t="e">
        <f>IFERROR(AP99,IFERROR(AQ99,IFERROR(AR99,AS99)))</f>
        <v>#VALUE!</v>
      </c>
      <c r="AU99" s="81"/>
    </row>
    <row r="100" spans="1:47" x14ac:dyDescent="0.25">
      <c r="A100" s="84">
        <f>A99+1</f>
        <v>15</v>
      </c>
      <c r="B100" s="84" t="str">
        <f t="shared" si="27"/>
        <v xml:space="preserve">  </v>
      </c>
      <c r="F100" s="82" t="e">
        <f>SUM(F97:F99)</f>
        <v>#VALUE!</v>
      </c>
      <c r="H100" s="82" t="e">
        <f>SUM(H97:H99)</f>
        <v>#VALUE!</v>
      </c>
      <c r="I100" s="84" t="str">
        <f>CONCATENATE("m'(",C99,")=")</f>
        <v>m'(  )=</v>
      </c>
      <c r="J100" s="84" t="e">
        <f>2*(J97*(WLS))/3*H100</f>
        <v>#VALUE!</v>
      </c>
      <c r="K100" s="84" t="e">
        <f>CONCATENATE("M(",C97,")=")</f>
        <v>#VALUE!</v>
      </c>
      <c r="L100" s="84" t="e">
        <f>VLOOKUP(C97,STN_TABLE,4,FALSE)</f>
        <v>#VALUE!</v>
      </c>
      <c r="M100" t="str">
        <f>CONCATENATE("M(",C99,")=")</f>
        <v>M(  )=</v>
      </c>
      <c r="N100" t="e">
        <f>J100+L100</f>
        <v>#VALUE!</v>
      </c>
      <c r="O100" s="99">
        <f>O99+1</f>
        <v>17</v>
      </c>
      <c r="P100" s="99" t="str">
        <f t="shared" ref="P100:P131" si="44">VLOOKUP(O100,STN_TABLE_2,2,FALSE)</f>
        <v xml:space="preserve">  </v>
      </c>
      <c r="T100" s="89" t="e">
        <f>SUM(T97:T99)</f>
        <v>#VALUE!</v>
      </c>
      <c r="V100" s="82" t="e">
        <f>SUM(V97:V99)</f>
        <v>#VALUE!</v>
      </c>
      <c r="W100" s="84" t="str">
        <f>CONCATENATE("m'(",Q98,")=")</f>
        <v>m'(  )=</v>
      </c>
      <c r="X100" s="84" t="e">
        <f>(2*(X97^2)/24*V100)+(X99*Q97*WLS)</f>
        <v>#VALUE!</v>
      </c>
      <c r="Y100" s="84" t="e">
        <f>CONCATENATE("M(",Q97,")=")</f>
        <v>#VALUE!</v>
      </c>
      <c r="Z100" s="84" t="e">
        <f>VLOOKUP(Q97,STN_TABLE,4,FALSE)</f>
        <v>#VALUE!</v>
      </c>
      <c r="AA100" t="str">
        <f>CONCATENATE("M(",Q98,")=")</f>
        <v>M(  )=</v>
      </c>
      <c r="AB100" t="e">
        <f>X100+Z100</f>
        <v>#VALUE!</v>
      </c>
      <c r="AE100" s="89">
        <f>SUM(AE98:AE99)</f>
        <v>0</v>
      </c>
      <c r="AG100" s="89" t="e">
        <f>SUM(AG98:AG99)</f>
        <v>#VALUE!</v>
      </c>
      <c r="AH100" s="84" t="str">
        <f>CONCATENATE("m'(",AD99,")=")</f>
        <v>m'(  )=</v>
      </c>
      <c r="AI100" s="84" t="e">
        <f>(2*(AI97^2)/6*AG100)+(AI99*AD98*WLS)</f>
        <v>#VALUE!</v>
      </c>
      <c r="AJ100" s="84" t="str">
        <f>CONCATENATE("M(",AD98,")=")</f>
        <v>M(  )=</v>
      </c>
      <c r="AK100" s="84" t="str">
        <f>VLOOKUP(AD98,STN_TABLE,4,FALSE)</f>
        <v xml:space="preserve"> </v>
      </c>
      <c r="AL100" t="str">
        <f>CONCATENATE("M(",AD99,")=")</f>
        <v>M(  )=</v>
      </c>
      <c r="AM100" t="e">
        <f>AI100+AK100</f>
        <v>#VALUE!</v>
      </c>
      <c r="AO100" s="82" t="str">
        <f>AA100</f>
        <v>M(  )=</v>
      </c>
      <c r="AP100" s="82" t="e">
        <f>VLOOKUP(AO100,Rise_Results,2,FALSE)</f>
        <v>#N/A</v>
      </c>
      <c r="AQ100" s="82" t="e">
        <f>N100</f>
        <v>#VALUE!</v>
      </c>
      <c r="AR100" s="82" t="e">
        <f>IF(OR(AB99&lt;=0,AB100&lt;=0),1/0,AB100)</f>
        <v>#VALUE!</v>
      </c>
      <c r="AS100" s="82" t="e">
        <f>AM100</f>
        <v>#VALUE!</v>
      </c>
      <c r="AT100" t="e">
        <f>IFERROR(AP100,IFERROR(AQ100,IFERROR(AR100,AS100)))</f>
        <v>#VALUE!</v>
      </c>
      <c r="AU100" s="81"/>
    </row>
    <row r="101" spans="1:47" x14ac:dyDescent="0.25">
      <c r="A101" s="101">
        <f>A96+1</f>
        <v>12</v>
      </c>
      <c r="B101" s="101">
        <f t="shared" si="27"/>
        <v>6.5</v>
      </c>
      <c r="O101" s="101">
        <f>O96+1</f>
        <v>14</v>
      </c>
      <c r="P101" s="101" t="str">
        <f t="shared" si="44"/>
        <v xml:space="preserve">  </v>
      </c>
      <c r="AU101" s="81"/>
    </row>
    <row r="102" spans="1:47" x14ac:dyDescent="0.25">
      <c r="A102" s="84">
        <f>A101+1</f>
        <v>13</v>
      </c>
      <c r="B102" s="84" t="str">
        <f t="shared" si="27"/>
        <v xml:space="preserve">  </v>
      </c>
      <c r="C102" s="79" t="e">
        <f t="shared" ref="C102" si="45">IF(C103=B104,IF(C104-C103=C103-B103,B103,IF(C104-C103=C103-B102,B102,"#NA")),IF(C103=B103,IF(C104-C103=C103-B102,B102,IF(C104-C103=C103-B101,B101,"#NA")),"#NA"))</f>
        <v>#VALUE!</v>
      </c>
      <c r="D102" s="68" t="e">
        <f>VLOOKUP(C102,STN_TABLE,2,FALSE)</f>
        <v>#VALUE!</v>
      </c>
      <c r="E102" s="102">
        <v>1</v>
      </c>
      <c r="F102" s="68" t="e">
        <f>D102*E102</f>
        <v>#VALUE!</v>
      </c>
      <c r="G102" s="69" t="e">
        <f>C102</f>
        <v>#VALUE!</v>
      </c>
      <c r="H102" s="69" t="e">
        <f>F102*G102</f>
        <v>#VALUE!</v>
      </c>
      <c r="I102" s="6" t="s">
        <v>93</v>
      </c>
      <c r="J102" s="70" t="e">
        <f>IF(OR(D102=0,D103=0,D104=0),"#NA",IF(AND(C104-C103=C103-C102,C103&lt;&gt;C104,C102&lt;&gt;C103,C102&lt;&gt;C104,D104&lt;&gt;0,OR(D102&lt;&gt;0,D103&lt;&gt;0)),WLS*(C104-C103),"#NA"))</f>
        <v>#VALUE!</v>
      </c>
      <c r="O102" s="99">
        <f>O101+1</f>
        <v>15</v>
      </c>
      <c r="P102" s="99" t="str">
        <f t="shared" si="44"/>
        <v xml:space="preserve">  </v>
      </c>
      <c r="Q102" s="68" t="e">
        <f>IF(OR(P104-P103=P103-P102,P105-P103=P103-P102),P102,IF(OR(P104-P103=P103-P101,P105-P103=P103-P101),P101,"-"))</f>
        <v>#VALUE!</v>
      </c>
      <c r="R102" s="69" t="e">
        <f>VLOOKUP(Q102,STN_TABLE,2,FALSE)</f>
        <v>#VALUE!</v>
      </c>
      <c r="S102" s="69">
        <v>5</v>
      </c>
      <c r="T102" s="68" t="e">
        <f>R102*S102</f>
        <v>#VALUE!</v>
      </c>
      <c r="U102" s="79">
        <v>3</v>
      </c>
      <c r="V102" s="68" t="e">
        <f>R102*U102</f>
        <v>#VALUE!</v>
      </c>
      <c r="W102" s="6" t="s">
        <v>93</v>
      </c>
      <c r="X102" s="70" t="e">
        <f>IF(AND(Q104-Q103=Q103-Q102,NOT(AND(Q102=0,Q103=0)),NOT(AND(Q103=0,Q104=0))),WLS*(Q104-Q103),"#NA")</f>
        <v>#VALUE!</v>
      </c>
      <c r="AD102" s="93"/>
      <c r="AH102" s="6" t="s">
        <v>93</v>
      </c>
      <c r="AI102" s="70" t="e">
        <f>WLS*(AD104-AD103)</f>
        <v>#VALUE!</v>
      </c>
      <c r="AU102" s="81"/>
    </row>
    <row r="103" spans="1:47" x14ac:dyDescent="0.25">
      <c r="A103" s="84">
        <f>A102+1</f>
        <v>14</v>
      </c>
      <c r="B103" s="84" t="str">
        <f t="shared" si="27"/>
        <v xml:space="preserve">  </v>
      </c>
      <c r="C103" s="80" t="e">
        <f t="shared" ref="C103" si="46">IF(OR(B105-B104=B104-B103,B105-B104=B104-B102,B105-B104=B104-B101),B104,IF(OR(B105-B103=B103-B102,B105-B103=B103-B101),B103,IF(B105-B102=B102-B101,B102,"#NA")))</f>
        <v>#VALUE!</v>
      </c>
      <c r="D103" s="76" t="e">
        <f>VLOOKUP(C103,STN_TABLE,2,FALSE)</f>
        <v>#VALUE!</v>
      </c>
      <c r="E103" s="81">
        <v>4</v>
      </c>
      <c r="F103" s="76" t="e">
        <f>D103*E103</f>
        <v>#VALUE!</v>
      </c>
      <c r="G103" s="77" t="e">
        <f>C103</f>
        <v>#VALUE!</v>
      </c>
      <c r="H103" s="77" t="e">
        <f>F103*G103</f>
        <v>#VALUE!</v>
      </c>
      <c r="I103" s="495" t="s">
        <v>97</v>
      </c>
      <c r="J103" s="496"/>
      <c r="K103" s="78" t="s">
        <v>98</v>
      </c>
      <c r="L103" s="78"/>
      <c r="M103" s="7" t="s">
        <v>99</v>
      </c>
      <c r="N103" s="7"/>
      <c r="O103" s="99">
        <f>O102+1</f>
        <v>16</v>
      </c>
      <c r="P103" s="99" t="str">
        <f t="shared" si="44"/>
        <v xml:space="preserve">  </v>
      </c>
      <c r="Q103" s="76" t="str">
        <f>P103</f>
        <v xml:space="preserve">  </v>
      </c>
      <c r="R103" s="77" t="str">
        <f>VLOOKUP(Q103,STN_TABLE,2,FALSE)</f>
        <v xml:space="preserve">  </v>
      </c>
      <c r="S103" s="77">
        <v>8</v>
      </c>
      <c r="T103" s="76" t="e">
        <f>R103*S103</f>
        <v>#VALUE!</v>
      </c>
      <c r="U103" s="80">
        <v>10</v>
      </c>
      <c r="V103" s="76" t="e">
        <f>R103*U103</f>
        <v>#VALUE!</v>
      </c>
      <c r="W103" s="496" t="s">
        <v>97</v>
      </c>
      <c r="X103" s="496"/>
      <c r="Y103" s="496" t="s">
        <v>98</v>
      </c>
      <c r="Z103" s="496"/>
      <c r="AA103" s="494" t="s">
        <v>99</v>
      </c>
      <c r="AB103" s="494"/>
      <c r="AC103" s="99">
        <f>AC98+1</f>
        <v>15</v>
      </c>
      <c r="AD103" s="95" t="str">
        <f>VLOOKUP(AC103,STN_TABLE_2,2,FALSE)</f>
        <v xml:space="preserve">  </v>
      </c>
      <c r="AE103" s="68" t="str">
        <f>VLOOKUP(AD103,STN_TABLE,2,FALSE)</f>
        <v xml:space="preserve">  </v>
      </c>
      <c r="AF103" s="68">
        <v>1</v>
      </c>
      <c r="AG103" s="69" t="e">
        <f>AE103*AF103</f>
        <v>#VALUE!</v>
      </c>
      <c r="AH103" s="496" t="s">
        <v>97</v>
      </c>
      <c r="AI103" s="496"/>
      <c r="AJ103" s="496" t="s">
        <v>98</v>
      </c>
      <c r="AK103" s="496"/>
      <c r="AL103" s="494" t="s">
        <v>99</v>
      </c>
      <c r="AM103" s="494"/>
      <c r="AP103" s="86" t="s">
        <v>112</v>
      </c>
      <c r="AQ103" s="89" t="s">
        <v>113</v>
      </c>
      <c r="AR103" s="89" t="s">
        <v>114</v>
      </c>
      <c r="AS103" s="89" t="s">
        <v>115</v>
      </c>
      <c r="AU103" s="81"/>
    </row>
    <row r="104" spans="1:47" x14ac:dyDescent="0.25">
      <c r="A104" s="84">
        <f>A103+1</f>
        <v>15</v>
      </c>
      <c r="B104" s="84" t="str">
        <f t="shared" si="27"/>
        <v xml:space="preserve">  </v>
      </c>
      <c r="C104" s="88" t="str">
        <f t="shared" ref="C104" si="47">B105</f>
        <v xml:space="preserve">  </v>
      </c>
      <c r="D104" s="82" t="str">
        <f>VLOOKUP(C104,STN_TABLE,2,FALSE)</f>
        <v xml:space="preserve">  </v>
      </c>
      <c r="E104" s="92">
        <v>1</v>
      </c>
      <c r="F104" s="82" t="e">
        <f>D104*E104</f>
        <v>#VALUE!</v>
      </c>
      <c r="G104" s="83" t="str">
        <f>C104</f>
        <v xml:space="preserve">  </v>
      </c>
      <c r="H104" s="83" t="e">
        <f>F104*G104</f>
        <v>#VALUE!</v>
      </c>
      <c r="I104" s="84" t="str">
        <f>CONCATENATE("a'(",C104,")=")</f>
        <v>a'(  )=</v>
      </c>
      <c r="J104" s="84" t="e">
        <f>2*J102/3*F105</f>
        <v>#VALUE!</v>
      </c>
      <c r="K104" s="84" t="e">
        <f>CONCATENATE("A(",C102,")=")</f>
        <v>#VALUE!</v>
      </c>
      <c r="L104" s="84" t="e">
        <f>VLOOKUP(C102,STN_TABLE,3,FALSE)</f>
        <v>#VALUE!</v>
      </c>
      <c r="M104" t="str">
        <f>CONCATENATE("A(",C104,")=")</f>
        <v>A(  )=</v>
      </c>
      <c r="N104" t="e">
        <f>J104+L104</f>
        <v>#VALUE!</v>
      </c>
      <c r="O104" s="99">
        <f>O103+1</f>
        <v>17</v>
      </c>
      <c r="P104" s="99" t="str">
        <f t="shared" si="44"/>
        <v xml:space="preserve">  </v>
      </c>
      <c r="Q104" s="82" t="e">
        <f>IF(P104-P103=P103-P102,P104,IF(P105-P103=P103-P102,P105,IF(P104-P103=P103-P101,P104,IF(P105-P103=P103-P101,P105,"-"))))</f>
        <v>#VALUE!</v>
      </c>
      <c r="R104" s="83" t="e">
        <f>VLOOKUP(Q104,STN_TABLE,2,FALSE)</f>
        <v>#VALUE!</v>
      </c>
      <c r="S104" s="83">
        <v>-1</v>
      </c>
      <c r="T104" s="82" t="e">
        <f>R104*S104</f>
        <v>#VALUE!</v>
      </c>
      <c r="U104" s="88">
        <v>-1</v>
      </c>
      <c r="V104" s="82" t="e">
        <f>R104*U104</f>
        <v>#VALUE!</v>
      </c>
      <c r="W104" s="84" t="str">
        <f>CONCATENATE("a'(",Q103,")=")</f>
        <v>a'(  )=</v>
      </c>
      <c r="X104" s="84" t="e">
        <f>2*X102/12*T105</f>
        <v>#VALUE!</v>
      </c>
      <c r="Y104" s="84" t="e">
        <f>CONCATENATE("A(",Q102,")=")</f>
        <v>#VALUE!</v>
      </c>
      <c r="Z104" s="84" t="e">
        <f>VLOOKUP(Q102,STN_TABLE,3,FALSE)</f>
        <v>#VALUE!</v>
      </c>
      <c r="AA104" t="str">
        <f>CONCATENATE("A(",Q103,")=")</f>
        <v>A(  )=</v>
      </c>
      <c r="AB104" t="e">
        <f>X104+Z104</f>
        <v>#VALUE!</v>
      </c>
      <c r="AC104" s="99">
        <f>AC103+1</f>
        <v>16</v>
      </c>
      <c r="AD104" s="100" t="str">
        <f>VLOOKUP(AC104,STN_TABLE_2,2,FALSE)</f>
        <v xml:space="preserve">  </v>
      </c>
      <c r="AE104" s="82" t="str">
        <f>VLOOKUP(AD104,STN_TABLE,2,FALSE)</f>
        <v xml:space="preserve">  </v>
      </c>
      <c r="AF104" s="82">
        <v>2</v>
      </c>
      <c r="AG104" s="83" t="e">
        <f>AE104*AF104</f>
        <v>#VALUE!</v>
      </c>
      <c r="AH104" s="84" t="str">
        <f>CONCATENATE("a'(",AD104,")=")</f>
        <v>a'(  )=</v>
      </c>
      <c r="AI104" s="84" t="e">
        <f>2*AI102/2*AE105</f>
        <v>#VALUE!</v>
      </c>
      <c r="AJ104" s="84" t="str">
        <f>CONCATENATE("A(",AD103,")=")</f>
        <v>A(  )=</v>
      </c>
      <c r="AK104" s="84" t="str">
        <f>VLOOKUP(AD103,STN_TABLE,3,FALSE)</f>
        <v xml:space="preserve"> </v>
      </c>
      <c r="AL104" t="str">
        <f>CONCATENATE("A(",AD104,")=")</f>
        <v>A(  )=</v>
      </c>
      <c r="AM104" t="e">
        <f>AI104+AK104</f>
        <v>#VALUE!</v>
      </c>
      <c r="AO104" s="68" t="str">
        <f>AA104</f>
        <v>A(  )=</v>
      </c>
      <c r="AP104" s="68" t="e">
        <f>VLOOKUP(AO104,Rise_Results,2,FALSE)</f>
        <v>#N/A</v>
      </c>
      <c r="AQ104" s="76" t="e">
        <f>N104</f>
        <v>#VALUE!</v>
      </c>
      <c r="AR104" s="76" t="e">
        <f>IF(OR(AB104&lt;=0,AB105&lt;=0),1/0,AB104)</f>
        <v>#VALUE!</v>
      </c>
      <c r="AS104" s="76" t="e">
        <f>AM104</f>
        <v>#VALUE!</v>
      </c>
      <c r="AT104" t="e">
        <f>IFERROR(AP104,IFERROR(AQ104,IFERROR(AR104,AS104)))</f>
        <v>#VALUE!</v>
      </c>
      <c r="AU104" s="81"/>
    </row>
    <row r="105" spans="1:47" x14ac:dyDescent="0.25">
      <c r="A105" s="84">
        <f>A104+1</f>
        <v>16</v>
      </c>
      <c r="B105" s="84" t="str">
        <f t="shared" si="27"/>
        <v xml:space="preserve">  </v>
      </c>
      <c r="F105" s="82" t="e">
        <f>SUM(F102:F104)</f>
        <v>#VALUE!</v>
      </c>
      <c r="H105" s="82" t="e">
        <f>SUM(H102:H104)</f>
        <v>#VALUE!</v>
      </c>
      <c r="I105" s="84" t="str">
        <f>CONCATENATE("m'(",C104,")=")</f>
        <v>m'(  )=</v>
      </c>
      <c r="J105" s="84" t="e">
        <f>2*(J102*(WLS))/3*H105</f>
        <v>#VALUE!</v>
      </c>
      <c r="K105" s="84" t="e">
        <f>CONCATENATE("M(",C102,")=")</f>
        <v>#VALUE!</v>
      </c>
      <c r="L105" s="84" t="e">
        <f>VLOOKUP(C102,STN_TABLE,4,FALSE)</f>
        <v>#VALUE!</v>
      </c>
      <c r="M105" t="str">
        <f>CONCATENATE("M(",C104,")=")</f>
        <v>M(  )=</v>
      </c>
      <c r="N105" t="e">
        <f>J105+L105</f>
        <v>#VALUE!</v>
      </c>
      <c r="O105" s="99">
        <f>O104+1</f>
        <v>18</v>
      </c>
      <c r="P105" s="99" t="str">
        <f t="shared" si="44"/>
        <v xml:space="preserve">  </v>
      </c>
      <c r="T105" s="89" t="e">
        <f>SUM(T102:T104)</f>
        <v>#VALUE!</v>
      </c>
      <c r="V105" s="82" t="e">
        <f>SUM(V102:V104)</f>
        <v>#VALUE!</v>
      </c>
      <c r="W105" s="84" t="str">
        <f>CONCATENATE("m'(",Q103,")=")</f>
        <v>m'(  )=</v>
      </c>
      <c r="X105" s="84" t="e">
        <f>(2*(X102^2)/24*V105)+(X104*Q102*WLS)</f>
        <v>#VALUE!</v>
      </c>
      <c r="Y105" s="84" t="e">
        <f>CONCATENATE("M(",Q102,")=")</f>
        <v>#VALUE!</v>
      </c>
      <c r="Z105" s="84" t="e">
        <f>VLOOKUP(Q102,STN_TABLE,4,FALSE)</f>
        <v>#VALUE!</v>
      </c>
      <c r="AA105" t="str">
        <f>CONCATENATE("M(",Q103,")=")</f>
        <v>M(  )=</v>
      </c>
      <c r="AB105" t="e">
        <f>X105+Z105</f>
        <v>#VALUE!</v>
      </c>
      <c r="AE105" s="89">
        <f>SUM(AE103:AE104)</f>
        <v>0</v>
      </c>
      <c r="AG105" s="89" t="e">
        <f>SUM(AG103:AG104)</f>
        <v>#VALUE!</v>
      </c>
      <c r="AH105" s="84" t="str">
        <f>CONCATENATE("m'(",AD104,")=")</f>
        <v>m'(  )=</v>
      </c>
      <c r="AI105" s="84" t="e">
        <f>(2*(AI102^2)/6*AG105)+(AI104*AD103*WLS)</f>
        <v>#VALUE!</v>
      </c>
      <c r="AJ105" s="84" t="str">
        <f>CONCATENATE("M(",AD103,")=")</f>
        <v>M(  )=</v>
      </c>
      <c r="AK105" s="84" t="str">
        <f>VLOOKUP(AD103,STN_TABLE,4,FALSE)</f>
        <v xml:space="preserve"> </v>
      </c>
      <c r="AL105" t="str">
        <f>CONCATENATE("M(",AD104,")=")</f>
        <v>M(  )=</v>
      </c>
      <c r="AM105" t="e">
        <f>AI105+AK105</f>
        <v>#VALUE!</v>
      </c>
      <c r="AO105" s="82" t="str">
        <f>AA105</f>
        <v>M(  )=</v>
      </c>
      <c r="AP105" s="82" t="e">
        <f>VLOOKUP(AO105,Rise_Results,2,FALSE)</f>
        <v>#N/A</v>
      </c>
      <c r="AQ105" s="82" t="e">
        <f>N105</f>
        <v>#VALUE!</v>
      </c>
      <c r="AR105" s="82" t="e">
        <f>IF(OR(AB104&lt;=0,AB105&lt;=0),1/0,AB105)</f>
        <v>#VALUE!</v>
      </c>
      <c r="AS105" s="82" t="e">
        <f>AM105</f>
        <v>#VALUE!</v>
      </c>
      <c r="AT105" t="e">
        <f>IFERROR(AP105,IFERROR(AQ105,IFERROR(AR105,AS105)))</f>
        <v>#VALUE!</v>
      </c>
      <c r="AU105" s="81"/>
    </row>
    <row r="106" spans="1:47" x14ac:dyDescent="0.25">
      <c r="A106" s="101">
        <f>A101+1</f>
        <v>13</v>
      </c>
      <c r="B106" s="101" t="str">
        <f t="shared" ref="B106:B137" si="48">VLOOKUP(A106,STN_TABLE_2,2,FALSE)</f>
        <v xml:space="preserve">  </v>
      </c>
      <c r="O106" s="101">
        <f>O101+1</f>
        <v>15</v>
      </c>
      <c r="P106" s="101" t="str">
        <f t="shared" si="44"/>
        <v xml:space="preserve">  </v>
      </c>
      <c r="AU106" s="81"/>
    </row>
    <row r="107" spans="1:47" x14ac:dyDescent="0.25">
      <c r="A107" s="84">
        <f>A106+1</f>
        <v>14</v>
      </c>
      <c r="B107" s="84" t="str">
        <f t="shared" si="48"/>
        <v xml:space="preserve">  </v>
      </c>
      <c r="C107" s="79" t="e">
        <f t="shared" ref="C107" si="49">IF(C108=B109,IF(C109-C108=C108-B108,B108,IF(C109-C108=C108-B107,B107,"#NA")),IF(C108=B108,IF(C109-C108=C108-B107,B107,IF(C109-C108=C108-B106,B106,"#NA")),"#NA"))</f>
        <v>#VALUE!</v>
      </c>
      <c r="D107" s="68" t="e">
        <f>VLOOKUP(C107,STN_TABLE,2,FALSE)</f>
        <v>#VALUE!</v>
      </c>
      <c r="E107" s="102">
        <v>1</v>
      </c>
      <c r="F107" s="68" t="e">
        <f>D107*E107</f>
        <v>#VALUE!</v>
      </c>
      <c r="G107" s="69" t="e">
        <f>C107</f>
        <v>#VALUE!</v>
      </c>
      <c r="H107" s="69" t="e">
        <f>F107*G107</f>
        <v>#VALUE!</v>
      </c>
      <c r="I107" s="6" t="s">
        <v>93</v>
      </c>
      <c r="J107" s="70" t="e">
        <f>IF(OR(D107=0,D108=0,D109=0),"#NA",IF(AND(C109-C108=C108-C107,C108&lt;&gt;C109,C107&lt;&gt;C108,C107&lt;&gt;C109,D109&lt;&gt;0,OR(D107&lt;&gt;0,D108&lt;&gt;0)),WLS*(C109-C108),"#NA"))</f>
        <v>#VALUE!</v>
      </c>
      <c r="O107" s="99">
        <f>O106+1</f>
        <v>16</v>
      </c>
      <c r="P107" s="99" t="str">
        <f t="shared" si="44"/>
        <v xml:space="preserve">  </v>
      </c>
      <c r="Q107" s="68" t="e">
        <f>IF(OR(P109-P108=P108-P107,P110-P108=P108-P107),P107,IF(OR(P109-P108=P108-P106,P110-P108=P108-P106),P106,"-"))</f>
        <v>#VALUE!</v>
      </c>
      <c r="R107" s="69" t="e">
        <f>VLOOKUP(Q107,STN_TABLE,2,FALSE)</f>
        <v>#VALUE!</v>
      </c>
      <c r="S107" s="69">
        <v>5</v>
      </c>
      <c r="T107" s="68" t="e">
        <f>R107*S107</f>
        <v>#VALUE!</v>
      </c>
      <c r="U107" s="79">
        <v>3</v>
      </c>
      <c r="V107" s="68" t="e">
        <f>R107*U107</f>
        <v>#VALUE!</v>
      </c>
      <c r="W107" s="6" t="s">
        <v>93</v>
      </c>
      <c r="X107" s="70" t="e">
        <f>IF(AND(Q109-Q108=Q108-Q107,NOT(AND(Q107=0,Q108=0)),NOT(AND(Q108=0,Q109=0))),WLS*(Q109-Q108),"#NA")</f>
        <v>#VALUE!</v>
      </c>
      <c r="AD107" s="93"/>
      <c r="AH107" s="6" t="s">
        <v>93</v>
      </c>
      <c r="AI107" s="70" t="e">
        <f>WLS*(AD109-AD108)</f>
        <v>#VALUE!</v>
      </c>
      <c r="AU107" s="81"/>
    </row>
    <row r="108" spans="1:47" x14ac:dyDescent="0.25">
      <c r="A108" s="84">
        <f>A107+1</f>
        <v>15</v>
      </c>
      <c r="B108" s="84" t="str">
        <f t="shared" si="48"/>
        <v xml:space="preserve">  </v>
      </c>
      <c r="C108" s="80" t="e">
        <f t="shared" ref="C108" si="50">IF(OR(B110-B109=B109-B108,B110-B109=B109-B107,B110-B109=B109-B106),B109,IF(OR(B110-B108=B108-B107,B110-B108=B108-B106),B108,IF(B110-B107=B107-B106,B107,"#NA")))</f>
        <v>#VALUE!</v>
      </c>
      <c r="D108" s="76" t="e">
        <f>VLOOKUP(C108,STN_TABLE,2,FALSE)</f>
        <v>#VALUE!</v>
      </c>
      <c r="E108" s="81">
        <v>4</v>
      </c>
      <c r="F108" s="76" t="e">
        <f>D108*E108</f>
        <v>#VALUE!</v>
      </c>
      <c r="G108" s="77" t="e">
        <f>C108</f>
        <v>#VALUE!</v>
      </c>
      <c r="H108" s="77" t="e">
        <f>F108*G108</f>
        <v>#VALUE!</v>
      </c>
      <c r="I108" s="495" t="s">
        <v>97</v>
      </c>
      <c r="J108" s="496"/>
      <c r="K108" s="78" t="s">
        <v>98</v>
      </c>
      <c r="L108" s="78"/>
      <c r="M108" s="7" t="s">
        <v>99</v>
      </c>
      <c r="N108" s="7"/>
      <c r="O108" s="99">
        <f>O107+1</f>
        <v>17</v>
      </c>
      <c r="P108" s="99" t="str">
        <f t="shared" si="44"/>
        <v xml:space="preserve">  </v>
      </c>
      <c r="Q108" s="76" t="str">
        <f>P108</f>
        <v xml:space="preserve">  </v>
      </c>
      <c r="R108" s="77" t="str">
        <f>VLOOKUP(Q108,STN_TABLE,2,FALSE)</f>
        <v xml:space="preserve">  </v>
      </c>
      <c r="S108" s="77">
        <v>8</v>
      </c>
      <c r="T108" s="76" t="e">
        <f>R108*S108</f>
        <v>#VALUE!</v>
      </c>
      <c r="U108" s="80">
        <v>10</v>
      </c>
      <c r="V108" s="76" t="e">
        <f>R108*U108</f>
        <v>#VALUE!</v>
      </c>
      <c r="W108" s="496" t="s">
        <v>97</v>
      </c>
      <c r="X108" s="496"/>
      <c r="Y108" s="496" t="s">
        <v>98</v>
      </c>
      <c r="Z108" s="496"/>
      <c r="AA108" s="494" t="s">
        <v>99</v>
      </c>
      <c r="AB108" s="494"/>
      <c r="AC108" s="99">
        <f>AC103+1</f>
        <v>16</v>
      </c>
      <c r="AD108" s="95" t="str">
        <f>VLOOKUP(AC108,STN_TABLE_2,2,FALSE)</f>
        <v xml:space="preserve">  </v>
      </c>
      <c r="AE108" s="68" t="str">
        <f>VLOOKUP(AD108,STN_TABLE,2,FALSE)</f>
        <v xml:space="preserve">  </v>
      </c>
      <c r="AF108" s="68">
        <v>1</v>
      </c>
      <c r="AG108" s="69" t="e">
        <f>AE108*AF108</f>
        <v>#VALUE!</v>
      </c>
      <c r="AH108" s="496" t="s">
        <v>97</v>
      </c>
      <c r="AI108" s="496"/>
      <c r="AJ108" s="496" t="s">
        <v>98</v>
      </c>
      <c r="AK108" s="496"/>
      <c r="AL108" s="494" t="s">
        <v>99</v>
      </c>
      <c r="AM108" s="494"/>
      <c r="AP108" s="86" t="s">
        <v>112</v>
      </c>
      <c r="AQ108" s="89" t="s">
        <v>113</v>
      </c>
      <c r="AR108" s="89" t="s">
        <v>114</v>
      </c>
      <c r="AS108" s="89" t="s">
        <v>115</v>
      </c>
      <c r="AU108" s="81"/>
    </row>
    <row r="109" spans="1:47" x14ac:dyDescent="0.25">
      <c r="A109" s="84">
        <f>A108+1</f>
        <v>16</v>
      </c>
      <c r="B109" s="84" t="str">
        <f t="shared" si="48"/>
        <v xml:space="preserve">  </v>
      </c>
      <c r="C109" s="88" t="str">
        <f t="shared" ref="C109" si="51">B110</f>
        <v xml:space="preserve">  </v>
      </c>
      <c r="D109" s="82" t="str">
        <f>VLOOKUP(C109,STN_TABLE,2,FALSE)</f>
        <v xml:space="preserve">  </v>
      </c>
      <c r="E109" s="92">
        <v>1</v>
      </c>
      <c r="F109" s="82" t="e">
        <f>D109*E109</f>
        <v>#VALUE!</v>
      </c>
      <c r="G109" s="83" t="str">
        <f>C109</f>
        <v xml:space="preserve">  </v>
      </c>
      <c r="H109" s="83" t="e">
        <f>F109*G109</f>
        <v>#VALUE!</v>
      </c>
      <c r="I109" s="84" t="str">
        <f>CONCATENATE("a'(",C109,")=")</f>
        <v>a'(  )=</v>
      </c>
      <c r="J109" s="84" t="e">
        <f>2*J107/3*F110</f>
        <v>#VALUE!</v>
      </c>
      <c r="K109" s="84" t="e">
        <f>CONCATENATE("A(",C107,")=")</f>
        <v>#VALUE!</v>
      </c>
      <c r="L109" s="84" t="e">
        <f>VLOOKUP(C107,STN_TABLE,3,FALSE)</f>
        <v>#VALUE!</v>
      </c>
      <c r="M109" t="str">
        <f>CONCATENATE("A(",C109,")=")</f>
        <v>A(  )=</v>
      </c>
      <c r="N109" t="e">
        <f>J109+L109</f>
        <v>#VALUE!</v>
      </c>
      <c r="O109" s="99">
        <f>O108+1</f>
        <v>18</v>
      </c>
      <c r="P109" s="99" t="str">
        <f t="shared" si="44"/>
        <v xml:space="preserve">  </v>
      </c>
      <c r="Q109" s="82" t="e">
        <f>IF(P109-P108=P108-P107,P109,IF(P110-P108=P108-P107,P110,IF(P109-P108=P108-P106,P109,IF(P110-P108=P108-P106,P110,"-"))))</f>
        <v>#VALUE!</v>
      </c>
      <c r="R109" s="83" t="e">
        <f>VLOOKUP(Q109,STN_TABLE,2,FALSE)</f>
        <v>#VALUE!</v>
      </c>
      <c r="S109" s="83">
        <v>-1</v>
      </c>
      <c r="T109" s="82" t="e">
        <f>R109*S109</f>
        <v>#VALUE!</v>
      </c>
      <c r="U109" s="88">
        <v>-1</v>
      </c>
      <c r="V109" s="82" t="e">
        <f>R109*U109</f>
        <v>#VALUE!</v>
      </c>
      <c r="W109" s="84" t="str">
        <f>CONCATENATE("a'(",Q108,")=")</f>
        <v>a'(  )=</v>
      </c>
      <c r="X109" s="84" t="e">
        <f>2*X107/12*T110</f>
        <v>#VALUE!</v>
      </c>
      <c r="Y109" s="84" t="e">
        <f>CONCATENATE("A(",Q107,")=")</f>
        <v>#VALUE!</v>
      </c>
      <c r="Z109" s="84" t="e">
        <f>VLOOKUP(Q107,STN_TABLE,3,FALSE)</f>
        <v>#VALUE!</v>
      </c>
      <c r="AA109" t="str">
        <f>CONCATENATE("A(",Q108,")=")</f>
        <v>A(  )=</v>
      </c>
      <c r="AB109" t="e">
        <f>X109+Z109</f>
        <v>#VALUE!</v>
      </c>
      <c r="AC109" s="99">
        <f>AC108+1</f>
        <v>17</v>
      </c>
      <c r="AD109" s="100" t="str">
        <f>VLOOKUP(AC109,STN_TABLE_2,2,FALSE)</f>
        <v xml:space="preserve">  </v>
      </c>
      <c r="AE109" s="82" t="str">
        <f>VLOOKUP(AD109,STN_TABLE,2,FALSE)</f>
        <v xml:space="preserve">  </v>
      </c>
      <c r="AF109" s="82">
        <v>2</v>
      </c>
      <c r="AG109" s="83" t="e">
        <f>AE109*AF109</f>
        <v>#VALUE!</v>
      </c>
      <c r="AH109" s="84" t="str">
        <f>CONCATENATE("a'(",AD109,")=")</f>
        <v>a'(  )=</v>
      </c>
      <c r="AI109" s="84" t="e">
        <f>2*AI107/2*AE110</f>
        <v>#VALUE!</v>
      </c>
      <c r="AJ109" s="84" t="str">
        <f>CONCATENATE("A(",AD108,")=")</f>
        <v>A(  )=</v>
      </c>
      <c r="AK109" s="84" t="str">
        <f>VLOOKUP(AD108,STN_TABLE,3,FALSE)</f>
        <v xml:space="preserve"> </v>
      </c>
      <c r="AL109" t="str">
        <f>CONCATENATE("A(",AD109,")=")</f>
        <v>A(  )=</v>
      </c>
      <c r="AM109" t="e">
        <f>AI109+AK109</f>
        <v>#VALUE!</v>
      </c>
      <c r="AO109" s="68" t="str">
        <f>AA109</f>
        <v>A(  )=</v>
      </c>
      <c r="AP109" s="68" t="e">
        <f>VLOOKUP(AO109,Rise_Results,2,FALSE)</f>
        <v>#N/A</v>
      </c>
      <c r="AQ109" s="76" t="e">
        <f>N109</f>
        <v>#VALUE!</v>
      </c>
      <c r="AR109" s="76" t="e">
        <f>IF(OR(AB109&lt;=0,AB110&lt;=0),1/0,AB109)</f>
        <v>#VALUE!</v>
      </c>
      <c r="AS109" s="76" t="e">
        <f>AM109</f>
        <v>#VALUE!</v>
      </c>
      <c r="AT109" t="e">
        <f>IFERROR(AP109,IFERROR(AQ109,IFERROR(AR109,AS109)))</f>
        <v>#VALUE!</v>
      </c>
      <c r="AU109" s="81"/>
    </row>
    <row r="110" spans="1:47" x14ac:dyDescent="0.25">
      <c r="A110" s="84">
        <f>A109+1</f>
        <v>17</v>
      </c>
      <c r="B110" s="84" t="str">
        <f t="shared" si="48"/>
        <v xml:space="preserve">  </v>
      </c>
      <c r="F110" s="82" t="e">
        <f>SUM(F107:F109)</f>
        <v>#VALUE!</v>
      </c>
      <c r="H110" s="82" t="e">
        <f>SUM(H107:H109)</f>
        <v>#VALUE!</v>
      </c>
      <c r="I110" s="84" t="str">
        <f>CONCATENATE("m'(",C109,")=")</f>
        <v>m'(  )=</v>
      </c>
      <c r="J110" s="84" t="e">
        <f>2*(J107*(WLS))/3*H110</f>
        <v>#VALUE!</v>
      </c>
      <c r="K110" s="84" t="e">
        <f>CONCATENATE("M(",C107,")=")</f>
        <v>#VALUE!</v>
      </c>
      <c r="L110" s="84" t="e">
        <f>VLOOKUP(C107,STN_TABLE,4,FALSE)</f>
        <v>#VALUE!</v>
      </c>
      <c r="M110" t="str">
        <f>CONCATENATE("M(",C109,")=")</f>
        <v>M(  )=</v>
      </c>
      <c r="N110" t="e">
        <f>J110+L110</f>
        <v>#VALUE!</v>
      </c>
      <c r="O110" s="99">
        <f>O109+1</f>
        <v>19</v>
      </c>
      <c r="P110" s="99" t="str">
        <f t="shared" si="44"/>
        <v xml:space="preserve">  </v>
      </c>
      <c r="T110" s="89" t="e">
        <f>SUM(T107:T109)</f>
        <v>#VALUE!</v>
      </c>
      <c r="V110" s="82" t="e">
        <f>SUM(V107:V109)</f>
        <v>#VALUE!</v>
      </c>
      <c r="W110" s="84" t="str">
        <f>CONCATENATE("m'(",Q108,")=")</f>
        <v>m'(  )=</v>
      </c>
      <c r="X110" s="84" t="e">
        <f>(2*(X107^2)/24*V110)+(X109*Q107*WLS)</f>
        <v>#VALUE!</v>
      </c>
      <c r="Y110" s="84" t="e">
        <f>CONCATENATE("M(",Q107,")=")</f>
        <v>#VALUE!</v>
      </c>
      <c r="Z110" s="84" t="e">
        <f>VLOOKUP(Q107,STN_TABLE,4,FALSE)</f>
        <v>#VALUE!</v>
      </c>
      <c r="AA110" t="str">
        <f>CONCATENATE("M(",Q108,")=")</f>
        <v>M(  )=</v>
      </c>
      <c r="AB110" t="e">
        <f>X110+Z110</f>
        <v>#VALUE!</v>
      </c>
      <c r="AE110" s="89">
        <f>SUM(AE108:AE109)</f>
        <v>0</v>
      </c>
      <c r="AG110" s="89" t="e">
        <f>SUM(AG108:AG109)</f>
        <v>#VALUE!</v>
      </c>
      <c r="AH110" s="84" t="str">
        <f>CONCATENATE("m'(",AD109,")=")</f>
        <v>m'(  )=</v>
      </c>
      <c r="AI110" s="84" t="e">
        <f>(2*(AI107^2)/6*AG110)+(AI109*AD108*WLS)</f>
        <v>#VALUE!</v>
      </c>
      <c r="AJ110" s="84" t="str">
        <f>CONCATENATE("M(",AD108,")=")</f>
        <v>M(  )=</v>
      </c>
      <c r="AK110" s="84" t="str">
        <f>VLOOKUP(AD108,STN_TABLE,4,FALSE)</f>
        <v xml:space="preserve"> </v>
      </c>
      <c r="AL110" t="str">
        <f>CONCATENATE("M(",AD109,")=")</f>
        <v>M(  )=</v>
      </c>
      <c r="AM110" t="e">
        <f>AI110+AK110</f>
        <v>#VALUE!</v>
      </c>
      <c r="AO110" s="82" t="str">
        <f>AA110</f>
        <v>M(  )=</v>
      </c>
      <c r="AP110" s="82" t="e">
        <f>VLOOKUP(AO110,Rise_Results,2,FALSE)</f>
        <v>#N/A</v>
      </c>
      <c r="AQ110" s="82" t="e">
        <f>N110</f>
        <v>#VALUE!</v>
      </c>
      <c r="AR110" s="82" t="e">
        <f>IF(OR(AB109&lt;=0,AB110&lt;=0),1/0,AB110)</f>
        <v>#VALUE!</v>
      </c>
      <c r="AS110" s="82" t="e">
        <f>AM110</f>
        <v>#VALUE!</v>
      </c>
      <c r="AT110" t="e">
        <f>IFERROR(AP110,IFERROR(AQ110,IFERROR(AR110,AS110)))</f>
        <v>#VALUE!</v>
      </c>
      <c r="AU110" s="81"/>
    </row>
    <row r="111" spans="1:47" x14ac:dyDescent="0.25">
      <c r="A111" s="101">
        <f>A106+1</f>
        <v>14</v>
      </c>
      <c r="B111" s="101" t="str">
        <f t="shared" si="48"/>
        <v xml:space="preserve">  </v>
      </c>
      <c r="O111" s="101">
        <f>O106+1</f>
        <v>16</v>
      </c>
      <c r="P111" s="101" t="str">
        <f t="shared" si="44"/>
        <v xml:space="preserve">  </v>
      </c>
      <c r="AU111" s="81"/>
    </row>
    <row r="112" spans="1:47" x14ac:dyDescent="0.25">
      <c r="A112" s="84">
        <f>A111+1</f>
        <v>15</v>
      </c>
      <c r="B112" s="84" t="str">
        <f t="shared" si="48"/>
        <v xml:space="preserve">  </v>
      </c>
      <c r="C112" s="79" t="e">
        <f t="shared" ref="C112" si="52">IF(C113=B114,IF(C114-C113=C113-B113,B113,IF(C114-C113=C113-B112,B112,"#NA")),IF(C113=B113,IF(C114-C113=C113-B112,B112,IF(C114-C113=C113-B111,B111,"#NA")),"#NA"))</f>
        <v>#VALUE!</v>
      </c>
      <c r="D112" s="68" t="e">
        <f>VLOOKUP(C112,STN_TABLE,2,FALSE)</f>
        <v>#VALUE!</v>
      </c>
      <c r="E112" s="102">
        <v>1</v>
      </c>
      <c r="F112" s="68" t="e">
        <f>D112*E112</f>
        <v>#VALUE!</v>
      </c>
      <c r="G112" s="69" t="e">
        <f>C112</f>
        <v>#VALUE!</v>
      </c>
      <c r="H112" s="69" t="e">
        <f>F112*G112</f>
        <v>#VALUE!</v>
      </c>
      <c r="I112" s="6" t="s">
        <v>93</v>
      </c>
      <c r="J112" s="70" t="e">
        <f>IF(OR(D112=0,D113=0,D114=0),"#NA",IF(AND(C114-C113=C113-C112,C113&lt;&gt;C114,C112&lt;&gt;C113,C112&lt;&gt;C114,D114&lt;&gt;0,OR(D112&lt;&gt;0,D113&lt;&gt;0)),WLS*(C114-C113),"#NA"))</f>
        <v>#VALUE!</v>
      </c>
      <c r="O112" s="99">
        <f>O111+1</f>
        <v>17</v>
      </c>
      <c r="P112" s="99" t="str">
        <f t="shared" si="44"/>
        <v xml:space="preserve">  </v>
      </c>
      <c r="Q112" s="68" t="e">
        <f>IF(OR(P114-P113=P113-P112,P115-P113=P113-P112),P112,IF(OR(P114-P113=P113-P111,P115-P113=P113-P111),P111,"-"))</f>
        <v>#VALUE!</v>
      </c>
      <c r="R112" s="69" t="e">
        <f>VLOOKUP(Q112,STN_TABLE,2,FALSE)</f>
        <v>#VALUE!</v>
      </c>
      <c r="S112" s="69">
        <v>5</v>
      </c>
      <c r="T112" s="68" t="e">
        <f>R112*S112</f>
        <v>#VALUE!</v>
      </c>
      <c r="U112" s="79">
        <v>3</v>
      </c>
      <c r="V112" s="68" t="e">
        <f>R112*U112</f>
        <v>#VALUE!</v>
      </c>
      <c r="W112" s="6" t="s">
        <v>93</v>
      </c>
      <c r="X112" s="70" t="e">
        <f>IF(AND(Q114-Q113=Q113-Q112,NOT(AND(Q112=0,Q113=0)),NOT(AND(Q113=0,Q114=0))),WLS*(Q114-Q113),"#NA")</f>
        <v>#VALUE!</v>
      </c>
      <c r="AD112" s="93"/>
      <c r="AH112" s="6" t="s">
        <v>93</v>
      </c>
      <c r="AI112" s="70" t="e">
        <f>WLS*(AD114-AD113)</f>
        <v>#VALUE!</v>
      </c>
      <c r="AU112" s="81"/>
    </row>
    <row r="113" spans="1:47" x14ac:dyDescent="0.25">
      <c r="A113" s="84">
        <f>A112+1</f>
        <v>16</v>
      </c>
      <c r="B113" s="84" t="str">
        <f t="shared" si="48"/>
        <v xml:space="preserve">  </v>
      </c>
      <c r="C113" s="80" t="e">
        <f t="shared" ref="C113" si="53">IF(OR(B115-B114=B114-B113,B115-B114=B114-B112,B115-B114=B114-B111),B114,IF(OR(B115-B113=B113-B112,B115-B113=B113-B111),B113,IF(B115-B112=B112-B111,B112,"#NA")))</f>
        <v>#VALUE!</v>
      </c>
      <c r="D113" s="76" t="e">
        <f>VLOOKUP(C113,STN_TABLE,2,FALSE)</f>
        <v>#VALUE!</v>
      </c>
      <c r="E113" s="81">
        <v>4</v>
      </c>
      <c r="F113" s="76" t="e">
        <f>D113*E113</f>
        <v>#VALUE!</v>
      </c>
      <c r="G113" s="77" t="e">
        <f>C113</f>
        <v>#VALUE!</v>
      </c>
      <c r="H113" s="77" t="e">
        <f>F113*G113</f>
        <v>#VALUE!</v>
      </c>
      <c r="I113" s="495" t="s">
        <v>97</v>
      </c>
      <c r="J113" s="496"/>
      <c r="K113" s="78" t="s">
        <v>98</v>
      </c>
      <c r="L113" s="78"/>
      <c r="M113" s="7" t="s">
        <v>99</v>
      </c>
      <c r="N113" s="7"/>
      <c r="O113" s="99">
        <f>O112+1</f>
        <v>18</v>
      </c>
      <c r="P113" s="99" t="str">
        <f t="shared" si="44"/>
        <v xml:space="preserve">  </v>
      </c>
      <c r="Q113" s="76" t="str">
        <f>P113</f>
        <v xml:space="preserve">  </v>
      </c>
      <c r="R113" s="77" t="str">
        <f>VLOOKUP(Q113,STN_TABLE,2,FALSE)</f>
        <v xml:space="preserve">  </v>
      </c>
      <c r="S113" s="77">
        <v>8</v>
      </c>
      <c r="T113" s="76" t="e">
        <f>R113*S113</f>
        <v>#VALUE!</v>
      </c>
      <c r="U113" s="80">
        <v>10</v>
      </c>
      <c r="V113" s="76" t="e">
        <f>R113*U113</f>
        <v>#VALUE!</v>
      </c>
      <c r="W113" s="496" t="s">
        <v>97</v>
      </c>
      <c r="X113" s="496"/>
      <c r="Y113" s="496" t="s">
        <v>98</v>
      </c>
      <c r="Z113" s="496"/>
      <c r="AA113" s="494" t="s">
        <v>99</v>
      </c>
      <c r="AB113" s="494"/>
      <c r="AC113" s="99">
        <f>AC108+1</f>
        <v>17</v>
      </c>
      <c r="AD113" s="95" t="str">
        <f>VLOOKUP(AC113,STN_TABLE_2,2,FALSE)</f>
        <v xml:space="preserve">  </v>
      </c>
      <c r="AE113" s="68" t="str">
        <f>VLOOKUP(AD113,STN_TABLE,2,FALSE)</f>
        <v xml:space="preserve">  </v>
      </c>
      <c r="AF113" s="68">
        <v>1</v>
      </c>
      <c r="AG113" s="69" t="e">
        <f>AE113*AF113</f>
        <v>#VALUE!</v>
      </c>
      <c r="AH113" s="496" t="s">
        <v>97</v>
      </c>
      <c r="AI113" s="496"/>
      <c r="AJ113" s="496" t="s">
        <v>98</v>
      </c>
      <c r="AK113" s="496"/>
      <c r="AL113" s="494" t="s">
        <v>99</v>
      </c>
      <c r="AM113" s="494"/>
      <c r="AP113" s="86" t="s">
        <v>112</v>
      </c>
      <c r="AQ113" s="89" t="s">
        <v>113</v>
      </c>
      <c r="AR113" s="89" t="s">
        <v>114</v>
      </c>
      <c r="AS113" s="89" t="s">
        <v>115</v>
      </c>
      <c r="AU113" s="81"/>
    </row>
    <row r="114" spans="1:47" x14ac:dyDescent="0.25">
      <c r="A114" s="84">
        <f>A113+1</f>
        <v>17</v>
      </c>
      <c r="B114" s="84" t="str">
        <f t="shared" si="48"/>
        <v xml:space="preserve">  </v>
      </c>
      <c r="C114" s="88" t="str">
        <f t="shared" ref="C114" si="54">B115</f>
        <v xml:space="preserve">  </v>
      </c>
      <c r="D114" s="82" t="str">
        <f>VLOOKUP(C114,STN_TABLE,2,FALSE)</f>
        <v xml:space="preserve">  </v>
      </c>
      <c r="E114" s="92">
        <v>1</v>
      </c>
      <c r="F114" s="82" t="e">
        <f>D114*E114</f>
        <v>#VALUE!</v>
      </c>
      <c r="G114" s="83" t="str">
        <f>C114</f>
        <v xml:space="preserve">  </v>
      </c>
      <c r="H114" s="83" t="e">
        <f>F114*G114</f>
        <v>#VALUE!</v>
      </c>
      <c r="I114" s="84" t="str">
        <f>CONCATENATE("a'(",C114,")=")</f>
        <v>a'(  )=</v>
      </c>
      <c r="J114" s="84" t="e">
        <f>2*J112/3*F115</f>
        <v>#VALUE!</v>
      </c>
      <c r="K114" s="84" t="e">
        <f>CONCATENATE("A(",C112,")=")</f>
        <v>#VALUE!</v>
      </c>
      <c r="L114" s="84" t="e">
        <f>VLOOKUP(C112,STN_TABLE,3,FALSE)</f>
        <v>#VALUE!</v>
      </c>
      <c r="M114" t="str">
        <f>CONCATENATE("A(",C114,")=")</f>
        <v>A(  )=</v>
      </c>
      <c r="N114" t="e">
        <f>J114+L114</f>
        <v>#VALUE!</v>
      </c>
      <c r="O114" s="99">
        <f>O113+1</f>
        <v>19</v>
      </c>
      <c r="P114" s="99" t="str">
        <f t="shared" si="44"/>
        <v xml:space="preserve">  </v>
      </c>
      <c r="Q114" s="82" t="e">
        <f>IF(P114-P113=P113-P112,P114,IF(P115-P113=P113-P112,P115,IF(P114-P113=P113-P111,P114,IF(P115-P113=P113-P111,P115,"-"))))</f>
        <v>#VALUE!</v>
      </c>
      <c r="R114" s="83" t="e">
        <f>VLOOKUP(Q114,STN_TABLE,2,FALSE)</f>
        <v>#VALUE!</v>
      </c>
      <c r="S114" s="83">
        <v>-1</v>
      </c>
      <c r="T114" s="82" t="e">
        <f>R114*S114</f>
        <v>#VALUE!</v>
      </c>
      <c r="U114" s="88">
        <v>-1</v>
      </c>
      <c r="V114" s="82" t="e">
        <f>R114*U114</f>
        <v>#VALUE!</v>
      </c>
      <c r="W114" s="84" t="str">
        <f>CONCATENATE("a'(",Q113,")=")</f>
        <v>a'(  )=</v>
      </c>
      <c r="X114" s="84" t="e">
        <f>2*X112/12*T115</f>
        <v>#VALUE!</v>
      </c>
      <c r="Y114" s="84" t="e">
        <f>CONCATENATE("A(",Q112,")=")</f>
        <v>#VALUE!</v>
      </c>
      <c r="Z114" s="84" t="e">
        <f>VLOOKUP(Q112,STN_TABLE,3,FALSE)</f>
        <v>#VALUE!</v>
      </c>
      <c r="AA114" t="str">
        <f>CONCATENATE("A(",Q113,")=")</f>
        <v>A(  )=</v>
      </c>
      <c r="AB114" t="e">
        <f>X114+Z114</f>
        <v>#VALUE!</v>
      </c>
      <c r="AC114" s="99">
        <f>AC113+1</f>
        <v>18</v>
      </c>
      <c r="AD114" s="100" t="str">
        <f>VLOOKUP(AC114,STN_TABLE_2,2,FALSE)</f>
        <v xml:space="preserve">  </v>
      </c>
      <c r="AE114" s="82" t="str">
        <f>VLOOKUP(AD114,STN_TABLE,2,FALSE)</f>
        <v xml:space="preserve">  </v>
      </c>
      <c r="AF114" s="82">
        <v>2</v>
      </c>
      <c r="AG114" s="83" t="e">
        <f>AE114*AF114</f>
        <v>#VALUE!</v>
      </c>
      <c r="AH114" s="84" t="str">
        <f>CONCATENATE("a'(",AD114,")=")</f>
        <v>a'(  )=</v>
      </c>
      <c r="AI114" s="84" t="e">
        <f>2*AI112/2*AE115</f>
        <v>#VALUE!</v>
      </c>
      <c r="AJ114" s="84" t="str">
        <f>CONCATENATE("A(",AD113,")=")</f>
        <v>A(  )=</v>
      </c>
      <c r="AK114" s="84" t="str">
        <f>VLOOKUP(AD113,STN_TABLE,3,FALSE)</f>
        <v xml:space="preserve"> </v>
      </c>
      <c r="AL114" t="str">
        <f>CONCATENATE("A(",AD114,")=")</f>
        <v>A(  )=</v>
      </c>
      <c r="AM114" t="e">
        <f>AI114+AK114</f>
        <v>#VALUE!</v>
      </c>
      <c r="AO114" s="68" t="str">
        <f>AA114</f>
        <v>A(  )=</v>
      </c>
      <c r="AP114" s="68" t="e">
        <f>VLOOKUP(AO114,Rise_Results,2,FALSE)</f>
        <v>#N/A</v>
      </c>
      <c r="AQ114" s="76" t="e">
        <f>N114</f>
        <v>#VALUE!</v>
      </c>
      <c r="AR114" s="76" t="e">
        <f>IF(OR(AB114&lt;=0,AB115&lt;=0),1/0,AB114)</f>
        <v>#VALUE!</v>
      </c>
      <c r="AS114" s="76" t="e">
        <f>AM114</f>
        <v>#VALUE!</v>
      </c>
      <c r="AT114" t="e">
        <f>IFERROR(AP114,IFERROR(AQ114,IFERROR(AR114,AS114)))</f>
        <v>#VALUE!</v>
      </c>
      <c r="AU114" s="81"/>
    </row>
    <row r="115" spans="1:47" x14ac:dyDescent="0.25">
      <c r="A115" s="84">
        <f>A114+1</f>
        <v>18</v>
      </c>
      <c r="B115" s="84" t="str">
        <f t="shared" si="48"/>
        <v xml:space="preserve">  </v>
      </c>
      <c r="F115" s="82" t="e">
        <f>SUM(F112:F114)</f>
        <v>#VALUE!</v>
      </c>
      <c r="H115" s="82" t="e">
        <f>SUM(H112:H114)</f>
        <v>#VALUE!</v>
      </c>
      <c r="I115" s="84" t="str">
        <f>CONCATENATE("m'(",C114,")=")</f>
        <v>m'(  )=</v>
      </c>
      <c r="J115" s="84" t="e">
        <f>2*(J112*(WLS))/3*H115</f>
        <v>#VALUE!</v>
      </c>
      <c r="K115" s="84" t="e">
        <f>CONCATENATE("M(",C112,")=")</f>
        <v>#VALUE!</v>
      </c>
      <c r="L115" s="84" t="e">
        <f>VLOOKUP(C112,STN_TABLE,4,FALSE)</f>
        <v>#VALUE!</v>
      </c>
      <c r="M115" t="str">
        <f>CONCATENATE("M(",C114,")=")</f>
        <v>M(  )=</v>
      </c>
      <c r="N115" t="e">
        <f>J115+L115</f>
        <v>#VALUE!</v>
      </c>
      <c r="O115" s="99">
        <f>O114+1</f>
        <v>20</v>
      </c>
      <c r="P115" s="99" t="str">
        <f t="shared" si="44"/>
        <v xml:space="preserve">  </v>
      </c>
      <c r="T115" s="89" t="e">
        <f>SUM(T112:T114)</f>
        <v>#VALUE!</v>
      </c>
      <c r="V115" s="82" t="e">
        <f>SUM(V112:V114)</f>
        <v>#VALUE!</v>
      </c>
      <c r="W115" s="84" t="str">
        <f>CONCATENATE("m'(",Q113,")=")</f>
        <v>m'(  )=</v>
      </c>
      <c r="X115" s="84" t="e">
        <f>(2*(X112^2)/24*V115)+(X114*Q112*WLS)</f>
        <v>#VALUE!</v>
      </c>
      <c r="Y115" s="84" t="e">
        <f>CONCATENATE("M(",Q112,")=")</f>
        <v>#VALUE!</v>
      </c>
      <c r="Z115" s="84" t="e">
        <f>VLOOKUP(Q112,STN_TABLE,4,FALSE)</f>
        <v>#VALUE!</v>
      </c>
      <c r="AA115" t="str">
        <f>CONCATENATE("M(",Q113,")=")</f>
        <v>M(  )=</v>
      </c>
      <c r="AB115" t="e">
        <f>X115+Z115</f>
        <v>#VALUE!</v>
      </c>
      <c r="AE115" s="89">
        <f>SUM(AE113:AE114)</f>
        <v>0</v>
      </c>
      <c r="AG115" s="89" t="e">
        <f>SUM(AG113:AG114)</f>
        <v>#VALUE!</v>
      </c>
      <c r="AH115" s="84" t="str">
        <f>CONCATENATE("m'(",AD114,")=")</f>
        <v>m'(  )=</v>
      </c>
      <c r="AI115" s="84" t="e">
        <f>(2*(AI112^2)/6*AG115)+(AI114*AD113*WLS)</f>
        <v>#VALUE!</v>
      </c>
      <c r="AJ115" s="84" t="str">
        <f>CONCATENATE("M(",AD113,")=")</f>
        <v>M(  )=</v>
      </c>
      <c r="AK115" s="84" t="str">
        <f>VLOOKUP(AD113,STN_TABLE,4,FALSE)</f>
        <v xml:space="preserve"> </v>
      </c>
      <c r="AL115" t="str">
        <f>CONCATENATE("M(",AD114,")=")</f>
        <v>M(  )=</v>
      </c>
      <c r="AM115" t="e">
        <f>AI115+AK115</f>
        <v>#VALUE!</v>
      </c>
      <c r="AO115" s="82" t="str">
        <f>AA115</f>
        <v>M(  )=</v>
      </c>
      <c r="AP115" s="82" t="e">
        <f>VLOOKUP(AO115,Rise_Results,2,FALSE)</f>
        <v>#N/A</v>
      </c>
      <c r="AQ115" s="82" t="e">
        <f>N115</f>
        <v>#VALUE!</v>
      </c>
      <c r="AR115" s="82" t="e">
        <f>IF(OR(AB114&lt;=0,AB115&lt;=0),1/0,AB115)</f>
        <v>#VALUE!</v>
      </c>
      <c r="AS115" s="82" t="e">
        <f>AM115</f>
        <v>#VALUE!</v>
      </c>
      <c r="AT115" t="e">
        <f>IFERROR(AP115,IFERROR(AQ115,IFERROR(AR115,AS115)))</f>
        <v>#VALUE!</v>
      </c>
      <c r="AU115" s="81"/>
    </row>
    <row r="116" spans="1:47" x14ac:dyDescent="0.25">
      <c r="A116" s="101">
        <f>A111+1</f>
        <v>15</v>
      </c>
      <c r="B116" s="101" t="str">
        <f t="shared" si="48"/>
        <v xml:space="preserve">  </v>
      </c>
      <c r="O116" s="101">
        <f>O111+1</f>
        <v>17</v>
      </c>
      <c r="P116" s="101" t="str">
        <f t="shared" si="44"/>
        <v xml:space="preserve">  </v>
      </c>
      <c r="AU116" s="81"/>
    </row>
    <row r="117" spans="1:47" x14ac:dyDescent="0.25">
      <c r="A117" s="84">
        <f>A116+1</f>
        <v>16</v>
      </c>
      <c r="B117" s="84" t="str">
        <f t="shared" si="48"/>
        <v xml:space="preserve">  </v>
      </c>
      <c r="C117" s="79" t="e">
        <f t="shared" ref="C117" si="55">IF(C118=B119,IF(C119-C118=C118-B118,B118,IF(C119-C118=C118-B117,B117,"#NA")),IF(C118=B118,IF(C119-C118=C118-B117,B117,IF(C119-C118=C118-B116,B116,"#NA")),"#NA"))</f>
        <v>#VALUE!</v>
      </c>
      <c r="D117" s="68" t="e">
        <f>VLOOKUP(C117,STN_TABLE,2,FALSE)</f>
        <v>#VALUE!</v>
      </c>
      <c r="E117" s="102">
        <v>1</v>
      </c>
      <c r="F117" s="68" t="e">
        <f>D117*E117</f>
        <v>#VALUE!</v>
      </c>
      <c r="G117" s="69" t="e">
        <f>C117</f>
        <v>#VALUE!</v>
      </c>
      <c r="H117" s="69" t="e">
        <f>F117*G117</f>
        <v>#VALUE!</v>
      </c>
      <c r="I117" s="6" t="s">
        <v>93</v>
      </c>
      <c r="J117" s="70" t="e">
        <f>IF(OR(D117=0,D118=0,D119=0),"#NA",IF(AND(C119-C118=C118-C117,C118&lt;&gt;C119,C117&lt;&gt;C118,C117&lt;&gt;C119,D119&lt;&gt;0,OR(D117&lt;&gt;0,D118&lt;&gt;0)),WLS*(C119-C118),"#NA"))</f>
        <v>#VALUE!</v>
      </c>
      <c r="O117" s="99">
        <f>O116+1</f>
        <v>18</v>
      </c>
      <c r="P117" s="99" t="str">
        <f t="shared" si="44"/>
        <v xml:space="preserve">  </v>
      </c>
      <c r="Q117" s="68" t="e">
        <f>IF(OR(P119-P118=P118-P117,P120-P118=P118-P117),P117,IF(OR(P119-P118=P118-P116,P120-P118=P118-P116),P116,"-"))</f>
        <v>#VALUE!</v>
      </c>
      <c r="R117" s="69" t="e">
        <f>VLOOKUP(Q117,STN_TABLE,2,FALSE)</f>
        <v>#VALUE!</v>
      </c>
      <c r="S117" s="69">
        <v>5</v>
      </c>
      <c r="T117" s="68" t="e">
        <f>R117*S117</f>
        <v>#VALUE!</v>
      </c>
      <c r="U117" s="79">
        <v>3</v>
      </c>
      <c r="V117" s="68" t="e">
        <f>R117*U117</f>
        <v>#VALUE!</v>
      </c>
      <c r="W117" s="6" t="s">
        <v>93</v>
      </c>
      <c r="X117" s="70" t="e">
        <f>IF(AND(Q119-Q118=Q118-Q117,NOT(AND(Q117=0,Q118=0)),NOT(AND(Q118=0,Q119=0))),WLS*(Q119-Q118),"#NA")</f>
        <v>#VALUE!</v>
      </c>
      <c r="AD117" s="93"/>
      <c r="AH117" s="6" t="s">
        <v>93</v>
      </c>
      <c r="AI117" s="70" t="e">
        <f>WLS*(AD119-AD118)</f>
        <v>#VALUE!</v>
      </c>
      <c r="AU117" s="81"/>
    </row>
    <row r="118" spans="1:47" x14ac:dyDescent="0.25">
      <c r="A118" s="84">
        <f>A117+1</f>
        <v>17</v>
      </c>
      <c r="B118" s="84" t="str">
        <f t="shared" si="48"/>
        <v xml:space="preserve">  </v>
      </c>
      <c r="C118" s="80" t="e">
        <f t="shared" ref="C118" si="56">IF(OR(B120-B119=B119-B118,B120-B119=B119-B117,B120-B119=B119-B116),B119,IF(OR(B120-B118=B118-B117,B120-B118=B118-B116),B118,IF(B120-B117=B117-B116,B117,"#NA")))</f>
        <v>#VALUE!</v>
      </c>
      <c r="D118" s="76" t="e">
        <f>VLOOKUP(C118,STN_TABLE,2,FALSE)</f>
        <v>#VALUE!</v>
      </c>
      <c r="E118" s="81">
        <v>4</v>
      </c>
      <c r="F118" s="76" t="e">
        <f>D118*E118</f>
        <v>#VALUE!</v>
      </c>
      <c r="G118" s="77" t="e">
        <f>C118</f>
        <v>#VALUE!</v>
      </c>
      <c r="H118" s="77" t="e">
        <f>F118*G118</f>
        <v>#VALUE!</v>
      </c>
      <c r="I118" s="495" t="s">
        <v>97</v>
      </c>
      <c r="J118" s="496"/>
      <c r="K118" s="78" t="s">
        <v>98</v>
      </c>
      <c r="L118" s="78"/>
      <c r="M118" s="7" t="s">
        <v>99</v>
      </c>
      <c r="N118" s="7"/>
      <c r="O118" s="99">
        <f>O117+1</f>
        <v>19</v>
      </c>
      <c r="P118" s="99" t="str">
        <f t="shared" si="44"/>
        <v xml:space="preserve">  </v>
      </c>
      <c r="Q118" s="76" t="str">
        <f>P118</f>
        <v xml:space="preserve">  </v>
      </c>
      <c r="R118" s="77" t="str">
        <f>VLOOKUP(Q118,STN_TABLE,2,FALSE)</f>
        <v xml:space="preserve">  </v>
      </c>
      <c r="S118" s="77">
        <v>8</v>
      </c>
      <c r="T118" s="76" t="e">
        <f>R118*S118</f>
        <v>#VALUE!</v>
      </c>
      <c r="U118" s="80">
        <v>10</v>
      </c>
      <c r="V118" s="76" t="e">
        <f>R118*U118</f>
        <v>#VALUE!</v>
      </c>
      <c r="W118" s="496" t="s">
        <v>97</v>
      </c>
      <c r="X118" s="496"/>
      <c r="Y118" s="496" t="s">
        <v>98</v>
      </c>
      <c r="Z118" s="496"/>
      <c r="AA118" s="494" t="s">
        <v>99</v>
      </c>
      <c r="AB118" s="494"/>
      <c r="AC118" s="99">
        <f>AC113+1</f>
        <v>18</v>
      </c>
      <c r="AD118" s="95" t="str">
        <f>VLOOKUP(AC118,STN_TABLE_2,2,FALSE)</f>
        <v xml:space="preserve">  </v>
      </c>
      <c r="AE118" s="68" t="str">
        <f>VLOOKUP(AD118,STN_TABLE,2,FALSE)</f>
        <v xml:space="preserve">  </v>
      </c>
      <c r="AF118" s="68">
        <v>1</v>
      </c>
      <c r="AG118" s="69" t="e">
        <f>AE118*AF118</f>
        <v>#VALUE!</v>
      </c>
      <c r="AH118" s="496" t="s">
        <v>97</v>
      </c>
      <c r="AI118" s="496"/>
      <c r="AJ118" s="496" t="s">
        <v>98</v>
      </c>
      <c r="AK118" s="496"/>
      <c r="AL118" s="494" t="s">
        <v>99</v>
      </c>
      <c r="AM118" s="494"/>
      <c r="AP118" s="86" t="s">
        <v>112</v>
      </c>
      <c r="AQ118" s="89" t="s">
        <v>113</v>
      </c>
      <c r="AR118" s="89" t="s">
        <v>114</v>
      </c>
      <c r="AS118" s="89" t="s">
        <v>115</v>
      </c>
      <c r="AU118" s="81"/>
    </row>
    <row r="119" spans="1:47" x14ac:dyDescent="0.25">
      <c r="A119" s="84">
        <f>A118+1</f>
        <v>18</v>
      </c>
      <c r="B119" s="84" t="str">
        <f t="shared" si="48"/>
        <v xml:space="preserve">  </v>
      </c>
      <c r="C119" s="88" t="str">
        <f t="shared" ref="C119" si="57">B120</f>
        <v xml:space="preserve">  </v>
      </c>
      <c r="D119" s="82" t="str">
        <f>VLOOKUP(C119,STN_TABLE,2,FALSE)</f>
        <v xml:space="preserve">  </v>
      </c>
      <c r="E119" s="92">
        <v>1</v>
      </c>
      <c r="F119" s="82" t="e">
        <f>D119*E119</f>
        <v>#VALUE!</v>
      </c>
      <c r="G119" s="83" t="str">
        <f>C119</f>
        <v xml:space="preserve">  </v>
      </c>
      <c r="H119" s="83" t="e">
        <f>F119*G119</f>
        <v>#VALUE!</v>
      </c>
      <c r="I119" s="84" t="str">
        <f>CONCATENATE("a'(",C119,")=")</f>
        <v>a'(  )=</v>
      </c>
      <c r="J119" s="84" t="e">
        <f>2*J117/3*F120</f>
        <v>#VALUE!</v>
      </c>
      <c r="K119" s="84" t="e">
        <f>CONCATENATE("A(",C117,")=")</f>
        <v>#VALUE!</v>
      </c>
      <c r="L119" s="84" t="e">
        <f>VLOOKUP(C117,STN_TABLE,3,FALSE)</f>
        <v>#VALUE!</v>
      </c>
      <c r="M119" t="str">
        <f>CONCATENATE("A(",C119,")=")</f>
        <v>A(  )=</v>
      </c>
      <c r="N119" t="e">
        <f>J119+L119</f>
        <v>#VALUE!</v>
      </c>
      <c r="O119" s="99">
        <f>O118+1</f>
        <v>20</v>
      </c>
      <c r="P119" s="99" t="str">
        <f t="shared" si="44"/>
        <v xml:space="preserve">  </v>
      </c>
      <c r="Q119" s="82" t="e">
        <f>IF(P119-P118=P118-P117,P119,IF(P120-P118=P118-P117,P120,IF(P119-P118=P118-P116,P119,IF(P120-P118=P118-P116,P120,"-"))))</f>
        <v>#VALUE!</v>
      </c>
      <c r="R119" s="83" t="e">
        <f>VLOOKUP(Q119,STN_TABLE,2,FALSE)</f>
        <v>#VALUE!</v>
      </c>
      <c r="S119" s="83">
        <v>-1</v>
      </c>
      <c r="T119" s="82" t="e">
        <f>R119*S119</f>
        <v>#VALUE!</v>
      </c>
      <c r="U119" s="88">
        <v>-1</v>
      </c>
      <c r="V119" s="82" t="e">
        <f>R119*U119</f>
        <v>#VALUE!</v>
      </c>
      <c r="W119" s="84" t="str">
        <f>CONCATENATE("a'(",Q118,")=")</f>
        <v>a'(  )=</v>
      </c>
      <c r="X119" s="84" t="e">
        <f>2*X117/12*T120</f>
        <v>#VALUE!</v>
      </c>
      <c r="Y119" s="84" t="e">
        <f>CONCATENATE("A(",Q117,")=")</f>
        <v>#VALUE!</v>
      </c>
      <c r="Z119" s="84" t="e">
        <f>VLOOKUP(Q117,STN_TABLE,3,FALSE)</f>
        <v>#VALUE!</v>
      </c>
      <c r="AA119" t="str">
        <f>CONCATENATE("A(",Q118,")=")</f>
        <v>A(  )=</v>
      </c>
      <c r="AB119" t="e">
        <f>X119+Z119</f>
        <v>#VALUE!</v>
      </c>
      <c r="AC119" s="99">
        <f>AC118+1</f>
        <v>19</v>
      </c>
      <c r="AD119" s="100" t="str">
        <f>VLOOKUP(AC119,STN_TABLE_2,2,FALSE)</f>
        <v xml:space="preserve">  </v>
      </c>
      <c r="AE119" s="82" t="str">
        <f>VLOOKUP(AD119,STN_TABLE,2,FALSE)</f>
        <v xml:space="preserve">  </v>
      </c>
      <c r="AF119" s="82">
        <v>2</v>
      </c>
      <c r="AG119" s="83" t="e">
        <f>AE119*AF119</f>
        <v>#VALUE!</v>
      </c>
      <c r="AH119" s="84" t="str">
        <f>CONCATENATE("a'(",AD119,")=")</f>
        <v>a'(  )=</v>
      </c>
      <c r="AI119" s="84" t="e">
        <f>2*AI117/2*AE120</f>
        <v>#VALUE!</v>
      </c>
      <c r="AJ119" s="84" t="str">
        <f>CONCATENATE("A(",AD118,")=")</f>
        <v>A(  )=</v>
      </c>
      <c r="AK119" s="84" t="str">
        <f>VLOOKUP(AD118,STN_TABLE,3,FALSE)</f>
        <v xml:space="preserve"> </v>
      </c>
      <c r="AL119" t="str">
        <f>CONCATENATE("A(",AD119,")=")</f>
        <v>A(  )=</v>
      </c>
      <c r="AM119" t="e">
        <f>AI119+AK119</f>
        <v>#VALUE!</v>
      </c>
      <c r="AO119" s="68" t="str">
        <f>AA119</f>
        <v>A(  )=</v>
      </c>
      <c r="AP119" s="68" t="e">
        <f>VLOOKUP(AO119,Rise_Results,2,FALSE)</f>
        <v>#N/A</v>
      </c>
      <c r="AQ119" s="76" t="e">
        <f>N119</f>
        <v>#VALUE!</v>
      </c>
      <c r="AR119" s="76" t="e">
        <f>IF(OR(AB119&lt;=0,AB120&lt;=0),1/0,AB119)</f>
        <v>#VALUE!</v>
      </c>
      <c r="AS119" s="76" t="e">
        <f>AM119</f>
        <v>#VALUE!</v>
      </c>
      <c r="AT119" t="e">
        <f>IFERROR(AP119,IFERROR(AQ119,IFERROR(AR119,AS119)))</f>
        <v>#VALUE!</v>
      </c>
      <c r="AU119" s="81"/>
    </row>
    <row r="120" spans="1:47" x14ac:dyDescent="0.25">
      <c r="A120" s="84">
        <f>A119+1</f>
        <v>19</v>
      </c>
      <c r="B120" s="84" t="str">
        <f t="shared" si="48"/>
        <v xml:space="preserve">  </v>
      </c>
      <c r="F120" s="82" t="e">
        <f>SUM(F117:F119)</f>
        <v>#VALUE!</v>
      </c>
      <c r="H120" s="82" t="e">
        <f>SUM(H117:H119)</f>
        <v>#VALUE!</v>
      </c>
      <c r="I120" s="84" t="str">
        <f>CONCATENATE("m'(",C119,")=")</f>
        <v>m'(  )=</v>
      </c>
      <c r="J120" s="84" t="e">
        <f>2*(J117*(WLS))/3*H120</f>
        <v>#VALUE!</v>
      </c>
      <c r="K120" s="84" t="e">
        <f>CONCATENATE("M(",C117,")=")</f>
        <v>#VALUE!</v>
      </c>
      <c r="L120" s="84" t="e">
        <f>VLOOKUP(C117,STN_TABLE,4,FALSE)</f>
        <v>#VALUE!</v>
      </c>
      <c r="M120" t="str">
        <f>CONCATENATE("M(",C119,")=")</f>
        <v>M(  )=</v>
      </c>
      <c r="N120" t="e">
        <f>J120+L120</f>
        <v>#VALUE!</v>
      </c>
      <c r="O120" s="99">
        <f>O119+1</f>
        <v>21</v>
      </c>
      <c r="P120" s="99" t="str">
        <f t="shared" si="44"/>
        <v xml:space="preserve">  </v>
      </c>
      <c r="T120" s="89" t="e">
        <f>SUM(T117:T119)</f>
        <v>#VALUE!</v>
      </c>
      <c r="V120" s="82" t="e">
        <f>SUM(V117:V119)</f>
        <v>#VALUE!</v>
      </c>
      <c r="W120" s="84" t="str">
        <f>CONCATENATE("m'(",Q118,")=")</f>
        <v>m'(  )=</v>
      </c>
      <c r="X120" s="84" t="e">
        <f>(2*(X117^2)/24*V120)+(X119*Q117*WLS)</f>
        <v>#VALUE!</v>
      </c>
      <c r="Y120" s="84" t="e">
        <f>CONCATENATE("M(",Q117,")=")</f>
        <v>#VALUE!</v>
      </c>
      <c r="Z120" s="84" t="e">
        <f>VLOOKUP(Q117,STN_TABLE,4,FALSE)</f>
        <v>#VALUE!</v>
      </c>
      <c r="AA120" t="str">
        <f>CONCATENATE("M(",Q118,")=")</f>
        <v>M(  )=</v>
      </c>
      <c r="AB120" t="e">
        <f>X120+Z120</f>
        <v>#VALUE!</v>
      </c>
      <c r="AE120" s="89">
        <f>SUM(AE118:AE119)</f>
        <v>0</v>
      </c>
      <c r="AG120" s="89" t="e">
        <f>SUM(AG118:AG119)</f>
        <v>#VALUE!</v>
      </c>
      <c r="AH120" s="84" t="str">
        <f>CONCATENATE("m'(",AD119,")=")</f>
        <v>m'(  )=</v>
      </c>
      <c r="AI120" s="84" t="e">
        <f>(2*(AI117^2)/6*AG120)+(AI119*AD118*WLS)</f>
        <v>#VALUE!</v>
      </c>
      <c r="AJ120" s="84" t="str">
        <f>CONCATENATE("M(",AD118,")=")</f>
        <v>M(  )=</v>
      </c>
      <c r="AK120" s="84" t="str">
        <f>VLOOKUP(AD118,STN_TABLE,4,FALSE)</f>
        <v xml:space="preserve"> </v>
      </c>
      <c r="AL120" t="str">
        <f>CONCATENATE("M(",AD119,")=")</f>
        <v>M(  )=</v>
      </c>
      <c r="AM120" t="e">
        <f>AI120+AK120</f>
        <v>#VALUE!</v>
      </c>
      <c r="AO120" s="82" t="str">
        <f>AA120</f>
        <v>M(  )=</v>
      </c>
      <c r="AP120" s="82" t="e">
        <f>VLOOKUP(AO120,Rise_Results,2,FALSE)</f>
        <v>#N/A</v>
      </c>
      <c r="AQ120" s="82" t="e">
        <f>N120</f>
        <v>#VALUE!</v>
      </c>
      <c r="AR120" s="82" t="e">
        <f>IF(OR(AB119&lt;=0,AB120&lt;=0),1/0,AB120)</f>
        <v>#VALUE!</v>
      </c>
      <c r="AS120" s="82" t="e">
        <f>AM120</f>
        <v>#VALUE!</v>
      </c>
      <c r="AT120" t="e">
        <f>IFERROR(AP120,IFERROR(AQ120,IFERROR(AR120,AS120)))</f>
        <v>#VALUE!</v>
      </c>
      <c r="AU120" s="81"/>
    </row>
    <row r="121" spans="1:47" x14ac:dyDescent="0.25">
      <c r="A121" s="101">
        <f>A116+1</f>
        <v>16</v>
      </c>
      <c r="B121" s="101" t="str">
        <f t="shared" si="48"/>
        <v xml:space="preserve">  </v>
      </c>
      <c r="O121" s="101">
        <f>O116+1</f>
        <v>18</v>
      </c>
      <c r="P121" s="101" t="str">
        <f t="shared" si="44"/>
        <v xml:space="preserve">  </v>
      </c>
      <c r="AU121" s="81"/>
    </row>
    <row r="122" spans="1:47" x14ac:dyDescent="0.25">
      <c r="A122" s="84">
        <f>A121+1</f>
        <v>17</v>
      </c>
      <c r="B122" s="84" t="str">
        <f t="shared" si="48"/>
        <v xml:space="preserve">  </v>
      </c>
      <c r="C122" s="79" t="e">
        <f t="shared" ref="C122" si="58">IF(C123=B124,IF(C124-C123=C123-B123,B123,IF(C124-C123=C123-B122,B122,"#NA")),IF(C123=B123,IF(C124-C123=C123-B122,B122,IF(C124-C123=C123-B121,B121,"#NA")),"#NA"))</f>
        <v>#VALUE!</v>
      </c>
      <c r="D122" s="68" t="e">
        <f>VLOOKUP(C122,STN_TABLE,2,FALSE)</f>
        <v>#VALUE!</v>
      </c>
      <c r="E122" s="102">
        <v>1</v>
      </c>
      <c r="F122" s="68" t="e">
        <f>D122*E122</f>
        <v>#VALUE!</v>
      </c>
      <c r="G122" s="69" t="e">
        <f>C122</f>
        <v>#VALUE!</v>
      </c>
      <c r="H122" s="69" t="e">
        <f>F122*G122</f>
        <v>#VALUE!</v>
      </c>
      <c r="I122" s="6" t="s">
        <v>93</v>
      </c>
      <c r="J122" s="70" t="e">
        <f>IF(OR(D122=0,D123=0,D124=0),"#NA",IF(AND(C124-C123=C123-C122,C123&lt;&gt;C124,C122&lt;&gt;C123,C122&lt;&gt;C124,D124&lt;&gt;0,OR(D122&lt;&gt;0,D123&lt;&gt;0)),WLS*(C124-C123),"#NA"))</f>
        <v>#VALUE!</v>
      </c>
      <c r="O122" s="99">
        <f>O121+1</f>
        <v>19</v>
      </c>
      <c r="P122" s="99" t="str">
        <f t="shared" si="44"/>
        <v xml:space="preserve">  </v>
      </c>
      <c r="Q122" s="68" t="e">
        <f>IF(OR(P124-P123=P123-P122,P125-P123=P123-P122),P122,IF(OR(P124-P123=P123-P121,P125-P123=P123-P121),P121,"-"))</f>
        <v>#VALUE!</v>
      </c>
      <c r="R122" s="69" t="e">
        <f>VLOOKUP(Q122,STN_TABLE,2,FALSE)</f>
        <v>#VALUE!</v>
      </c>
      <c r="S122" s="69">
        <v>5</v>
      </c>
      <c r="T122" s="68" t="e">
        <f>R122*S122</f>
        <v>#VALUE!</v>
      </c>
      <c r="U122" s="79">
        <v>3</v>
      </c>
      <c r="V122" s="68" t="e">
        <f>R122*U122</f>
        <v>#VALUE!</v>
      </c>
      <c r="W122" s="6" t="s">
        <v>93</v>
      </c>
      <c r="X122" s="70" t="e">
        <f>IF(AND(Q124-Q123=Q123-Q122,NOT(AND(Q122=0,Q123=0)),NOT(AND(Q123=0,Q124=0))),WLS*(Q124-Q123),"#NA")</f>
        <v>#VALUE!</v>
      </c>
      <c r="AD122" s="93"/>
      <c r="AH122" s="6" t="s">
        <v>93</v>
      </c>
      <c r="AI122" s="70" t="e">
        <f>WLS*(AD124-AD123)</f>
        <v>#VALUE!</v>
      </c>
      <c r="AU122" s="81"/>
    </row>
    <row r="123" spans="1:47" x14ac:dyDescent="0.25">
      <c r="A123" s="84">
        <f>A122+1</f>
        <v>18</v>
      </c>
      <c r="B123" s="84" t="str">
        <f t="shared" si="48"/>
        <v xml:space="preserve">  </v>
      </c>
      <c r="C123" s="80" t="e">
        <f t="shared" ref="C123" si="59">IF(OR(B125-B124=B124-B123,B125-B124=B124-B122,B125-B124=B124-B121),B124,IF(OR(B125-B123=B123-B122,B125-B123=B123-B121),B123,IF(B125-B122=B122-B121,B122,"#NA")))</f>
        <v>#VALUE!</v>
      </c>
      <c r="D123" s="76" t="e">
        <f>VLOOKUP(C123,STN_TABLE,2,FALSE)</f>
        <v>#VALUE!</v>
      </c>
      <c r="E123" s="81">
        <v>4</v>
      </c>
      <c r="F123" s="76" t="e">
        <f>D123*E123</f>
        <v>#VALUE!</v>
      </c>
      <c r="G123" s="77" t="e">
        <f>C123</f>
        <v>#VALUE!</v>
      </c>
      <c r="H123" s="77" t="e">
        <f>F123*G123</f>
        <v>#VALUE!</v>
      </c>
      <c r="I123" s="495" t="s">
        <v>97</v>
      </c>
      <c r="J123" s="496"/>
      <c r="K123" s="78" t="s">
        <v>98</v>
      </c>
      <c r="L123" s="78"/>
      <c r="M123" s="7" t="s">
        <v>99</v>
      </c>
      <c r="N123" s="7"/>
      <c r="O123" s="99">
        <f>O122+1</f>
        <v>20</v>
      </c>
      <c r="P123" s="99" t="str">
        <f t="shared" si="44"/>
        <v xml:space="preserve">  </v>
      </c>
      <c r="Q123" s="76" t="str">
        <f>P123</f>
        <v xml:space="preserve">  </v>
      </c>
      <c r="R123" s="77" t="str">
        <f>VLOOKUP(Q123,STN_TABLE,2,FALSE)</f>
        <v xml:space="preserve">  </v>
      </c>
      <c r="S123" s="77">
        <v>8</v>
      </c>
      <c r="T123" s="76" t="e">
        <f>R123*S123</f>
        <v>#VALUE!</v>
      </c>
      <c r="U123" s="80">
        <v>10</v>
      </c>
      <c r="V123" s="76" t="e">
        <f>R123*U123</f>
        <v>#VALUE!</v>
      </c>
      <c r="W123" s="496" t="s">
        <v>97</v>
      </c>
      <c r="X123" s="496"/>
      <c r="Y123" s="496" t="s">
        <v>98</v>
      </c>
      <c r="Z123" s="496"/>
      <c r="AA123" s="494" t="s">
        <v>99</v>
      </c>
      <c r="AB123" s="494"/>
      <c r="AC123" s="99">
        <f>AC118+1</f>
        <v>19</v>
      </c>
      <c r="AD123" s="95" t="str">
        <f>VLOOKUP(AC123,STN_TABLE_2,2,FALSE)</f>
        <v xml:space="preserve">  </v>
      </c>
      <c r="AE123" s="68" t="str">
        <f>VLOOKUP(AD123,STN_TABLE,2,FALSE)</f>
        <v xml:space="preserve">  </v>
      </c>
      <c r="AF123" s="68">
        <v>1</v>
      </c>
      <c r="AG123" s="69" t="e">
        <f>AE123*AF123</f>
        <v>#VALUE!</v>
      </c>
      <c r="AH123" s="496" t="s">
        <v>97</v>
      </c>
      <c r="AI123" s="496"/>
      <c r="AJ123" s="496" t="s">
        <v>98</v>
      </c>
      <c r="AK123" s="496"/>
      <c r="AL123" s="494" t="s">
        <v>99</v>
      </c>
      <c r="AM123" s="494"/>
      <c r="AP123" s="86" t="s">
        <v>112</v>
      </c>
      <c r="AQ123" s="89" t="s">
        <v>113</v>
      </c>
      <c r="AR123" s="89" t="s">
        <v>114</v>
      </c>
      <c r="AS123" s="89" t="s">
        <v>115</v>
      </c>
      <c r="AU123" s="81"/>
    </row>
    <row r="124" spans="1:47" x14ac:dyDescent="0.25">
      <c r="A124" s="84">
        <f>A123+1</f>
        <v>19</v>
      </c>
      <c r="B124" s="84" t="str">
        <f t="shared" si="48"/>
        <v xml:space="preserve">  </v>
      </c>
      <c r="C124" s="88" t="str">
        <f t="shared" ref="C124" si="60">B125</f>
        <v xml:space="preserve">  </v>
      </c>
      <c r="D124" s="82" t="str">
        <f>VLOOKUP(C124,STN_TABLE,2,FALSE)</f>
        <v xml:space="preserve">  </v>
      </c>
      <c r="E124" s="92">
        <v>1</v>
      </c>
      <c r="F124" s="82" t="e">
        <f>D124*E124</f>
        <v>#VALUE!</v>
      </c>
      <c r="G124" s="83" t="str">
        <f>C124</f>
        <v xml:space="preserve">  </v>
      </c>
      <c r="H124" s="83" t="e">
        <f>F124*G124</f>
        <v>#VALUE!</v>
      </c>
      <c r="I124" s="84" t="str">
        <f>CONCATENATE("a'(",C124,")=")</f>
        <v>a'(  )=</v>
      </c>
      <c r="J124" s="84" t="e">
        <f>2*J122/3*F125</f>
        <v>#VALUE!</v>
      </c>
      <c r="K124" s="84" t="e">
        <f>CONCATENATE("A(",C122,")=")</f>
        <v>#VALUE!</v>
      </c>
      <c r="L124" s="84" t="e">
        <f>VLOOKUP(C122,STN_TABLE,3,FALSE)</f>
        <v>#VALUE!</v>
      </c>
      <c r="M124" t="str">
        <f>CONCATENATE("A(",C124,")=")</f>
        <v>A(  )=</v>
      </c>
      <c r="N124" t="e">
        <f>J124+L124</f>
        <v>#VALUE!</v>
      </c>
      <c r="O124" s="99">
        <f>O123+1</f>
        <v>21</v>
      </c>
      <c r="P124" s="99" t="str">
        <f t="shared" si="44"/>
        <v xml:space="preserve">  </v>
      </c>
      <c r="Q124" s="82" t="e">
        <f>IF(P124-P123=P123-P122,P124,IF(P125-P123=P123-P122,P125,IF(P124-P123=P123-P121,P124,IF(P125-P123=P123-P121,P125,"-"))))</f>
        <v>#VALUE!</v>
      </c>
      <c r="R124" s="83" t="e">
        <f>VLOOKUP(Q124,STN_TABLE,2,FALSE)</f>
        <v>#VALUE!</v>
      </c>
      <c r="S124" s="83">
        <v>-1</v>
      </c>
      <c r="T124" s="82" t="e">
        <f>R124*S124</f>
        <v>#VALUE!</v>
      </c>
      <c r="U124" s="88">
        <v>-1</v>
      </c>
      <c r="V124" s="82" t="e">
        <f>R124*U124</f>
        <v>#VALUE!</v>
      </c>
      <c r="W124" s="84" t="str">
        <f>CONCATENATE("a'(",Q123,")=")</f>
        <v>a'(  )=</v>
      </c>
      <c r="X124" s="84" t="e">
        <f>2*X122/12*T125</f>
        <v>#VALUE!</v>
      </c>
      <c r="Y124" s="84" t="e">
        <f>CONCATENATE("A(",Q122,")=")</f>
        <v>#VALUE!</v>
      </c>
      <c r="Z124" s="84" t="e">
        <f>VLOOKUP(Q122,STN_TABLE,3,FALSE)</f>
        <v>#VALUE!</v>
      </c>
      <c r="AA124" t="str">
        <f>CONCATENATE("A(",Q123,")=")</f>
        <v>A(  )=</v>
      </c>
      <c r="AB124" t="e">
        <f>X124+Z124</f>
        <v>#VALUE!</v>
      </c>
      <c r="AC124" s="99">
        <f>AC123+1</f>
        <v>20</v>
      </c>
      <c r="AD124" s="100" t="str">
        <f>VLOOKUP(AC124,STN_TABLE_2,2,FALSE)</f>
        <v xml:space="preserve">  </v>
      </c>
      <c r="AE124" s="82" t="str">
        <f>VLOOKUP(AD124,STN_TABLE,2,FALSE)</f>
        <v xml:space="preserve">  </v>
      </c>
      <c r="AF124" s="82">
        <v>2</v>
      </c>
      <c r="AG124" s="83" t="e">
        <f>AE124*AF124</f>
        <v>#VALUE!</v>
      </c>
      <c r="AH124" s="84" t="str">
        <f>CONCATENATE("a'(",AD124,")=")</f>
        <v>a'(  )=</v>
      </c>
      <c r="AI124" s="84" t="e">
        <f>2*AI122/2*AE125</f>
        <v>#VALUE!</v>
      </c>
      <c r="AJ124" s="84" t="str">
        <f>CONCATENATE("A(",AD123,")=")</f>
        <v>A(  )=</v>
      </c>
      <c r="AK124" s="84" t="str">
        <f>VLOOKUP(AD123,STN_TABLE,3,FALSE)</f>
        <v xml:space="preserve"> </v>
      </c>
      <c r="AL124" t="str">
        <f>CONCATENATE("A(",AD124,")=")</f>
        <v>A(  )=</v>
      </c>
      <c r="AM124" t="e">
        <f>AI124+AK124</f>
        <v>#VALUE!</v>
      </c>
      <c r="AO124" s="68" t="str">
        <f>AA124</f>
        <v>A(  )=</v>
      </c>
      <c r="AP124" s="68" t="e">
        <f>VLOOKUP(AO124,Rise_Results,2,FALSE)</f>
        <v>#N/A</v>
      </c>
      <c r="AQ124" s="76" t="e">
        <f>N124</f>
        <v>#VALUE!</v>
      </c>
      <c r="AR124" s="76" t="e">
        <f>IF(OR(AB124&lt;=0,AB125&lt;=0),1/0,AB124)</f>
        <v>#VALUE!</v>
      </c>
      <c r="AS124" s="76" t="e">
        <f>AM124</f>
        <v>#VALUE!</v>
      </c>
      <c r="AT124" t="e">
        <f>IFERROR(AP124,IFERROR(AQ124,IFERROR(AR124,AS124)))</f>
        <v>#VALUE!</v>
      </c>
      <c r="AU124" s="81"/>
    </row>
    <row r="125" spans="1:47" x14ac:dyDescent="0.25">
      <c r="A125" s="84">
        <f>A124+1</f>
        <v>20</v>
      </c>
      <c r="B125" s="84" t="str">
        <f t="shared" si="48"/>
        <v xml:space="preserve">  </v>
      </c>
      <c r="F125" s="82" t="e">
        <f>SUM(F122:F124)</f>
        <v>#VALUE!</v>
      </c>
      <c r="H125" s="82" t="e">
        <f>SUM(H122:H124)</f>
        <v>#VALUE!</v>
      </c>
      <c r="I125" s="84" t="str">
        <f>CONCATENATE("m'(",C124,")=")</f>
        <v>m'(  )=</v>
      </c>
      <c r="J125" s="84" t="e">
        <f>2*(J122*(WLS))/3*H125</f>
        <v>#VALUE!</v>
      </c>
      <c r="K125" s="84" t="e">
        <f>CONCATENATE("M(",C122,")=")</f>
        <v>#VALUE!</v>
      </c>
      <c r="L125" s="84" t="e">
        <f>VLOOKUP(C122,STN_TABLE,4,FALSE)</f>
        <v>#VALUE!</v>
      </c>
      <c r="M125" t="str">
        <f>CONCATENATE("M(",C124,")=")</f>
        <v>M(  )=</v>
      </c>
      <c r="N125" t="e">
        <f>J125+L125</f>
        <v>#VALUE!</v>
      </c>
      <c r="O125" s="99">
        <f>O124+1</f>
        <v>22</v>
      </c>
      <c r="P125" s="99" t="str">
        <f t="shared" si="44"/>
        <v xml:space="preserve">  </v>
      </c>
      <c r="T125" s="89" t="e">
        <f>SUM(T122:T124)</f>
        <v>#VALUE!</v>
      </c>
      <c r="V125" s="82" t="e">
        <f>SUM(V122:V124)</f>
        <v>#VALUE!</v>
      </c>
      <c r="W125" s="84" t="str">
        <f>CONCATENATE("m'(",Q123,")=")</f>
        <v>m'(  )=</v>
      </c>
      <c r="X125" s="84" t="e">
        <f>(2*(X122^2)/24*V125)+(X124*Q122*WLS)</f>
        <v>#VALUE!</v>
      </c>
      <c r="Y125" s="84" t="e">
        <f>CONCATENATE("M(",Q122,")=")</f>
        <v>#VALUE!</v>
      </c>
      <c r="Z125" s="84" t="e">
        <f>VLOOKUP(Q122,STN_TABLE,4,FALSE)</f>
        <v>#VALUE!</v>
      </c>
      <c r="AA125" t="str">
        <f>CONCATENATE("M(",Q123,")=")</f>
        <v>M(  )=</v>
      </c>
      <c r="AB125" t="e">
        <f>X125+Z125</f>
        <v>#VALUE!</v>
      </c>
      <c r="AE125" s="89">
        <f>SUM(AE123:AE124)</f>
        <v>0</v>
      </c>
      <c r="AG125" s="89" t="e">
        <f>SUM(AG123:AG124)</f>
        <v>#VALUE!</v>
      </c>
      <c r="AH125" s="84" t="str">
        <f>CONCATENATE("m'(",AD124,")=")</f>
        <v>m'(  )=</v>
      </c>
      <c r="AI125" s="84" t="e">
        <f>(2*(AI122^2)/6*AG125)+(AI124*AD123*WLS)</f>
        <v>#VALUE!</v>
      </c>
      <c r="AJ125" s="84" t="str">
        <f>CONCATENATE("M(",AD123,")=")</f>
        <v>M(  )=</v>
      </c>
      <c r="AK125" s="84" t="str">
        <f>VLOOKUP(AD123,STN_TABLE,4,FALSE)</f>
        <v xml:space="preserve"> </v>
      </c>
      <c r="AL125" t="str">
        <f>CONCATENATE("M(",AD124,")=")</f>
        <v>M(  )=</v>
      </c>
      <c r="AM125" t="e">
        <f>AI125+AK125</f>
        <v>#VALUE!</v>
      </c>
      <c r="AO125" s="82" t="str">
        <f>AA125</f>
        <v>M(  )=</v>
      </c>
      <c r="AP125" s="82" t="e">
        <f>VLOOKUP(AO125,Rise_Results,2,FALSE)</f>
        <v>#N/A</v>
      </c>
      <c r="AQ125" s="82" t="e">
        <f>N125</f>
        <v>#VALUE!</v>
      </c>
      <c r="AR125" s="82" t="e">
        <f>IF(OR(AB124&lt;=0,AB125&lt;=0),1/0,AB125)</f>
        <v>#VALUE!</v>
      </c>
      <c r="AS125" s="82" t="e">
        <f>AM125</f>
        <v>#VALUE!</v>
      </c>
      <c r="AT125" t="e">
        <f>IFERROR(AP125,IFERROR(AQ125,IFERROR(AR125,AS125)))</f>
        <v>#VALUE!</v>
      </c>
      <c r="AU125" s="81"/>
    </row>
    <row r="126" spans="1:47" x14ac:dyDescent="0.25">
      <c r="A126" s="101">
        <f>A121+1</f>
        <v>17</v>
      </c>
      <c r="B126" s="101" t="str">
        <f t="shared" si="48"/>
        <v xml:space="preserve">  </v>
      </c>
      <c r="O126" s="101">
        <f>O121+1</f>
        <v>19</v>
      </c>
      <c r="P126" s="101" t="str">
        <f t="shared" si="44"/>
        <v xml:space="preserve">  </v>
      </c>
      <c r="AU126" s="81"/>
    </row>
    <row r="127" spans="1:47" x14ac:dyDescent="0.25">
      <c r="A127" s="84">
        <f>A126+1</f>
        <v>18</v>
      </c>
      <c r="B127" s="84" t="str">
        <f t="shared" si="48"/>
        <v xml:space="preserve">  </v>
      </c>
      <c r="C127" s="79" t="e">
        <f t="shared" ref="C127" si="61">IF(C128=B129,IF(C129-C128=C128-B128,B128,IF(C129-C128=C128-B127,B127,"#NA")),IF(C128=B128,IF(C129-C128=C128-B127,B127,IF(C129-C128=C128-B126,B126,"#NA")),"#NA"))</f>
        <v>#VALUE!</v>
      </c>
      <c r="D127" s="68" t="e">
        <f>VLOOKUP(C127,STN_TABLE,2,FALSE)</f>
        <v>#VALUE!</v>
      </c>
      <c r="E127" s="102">
        <v>1</v>
      </c>
      <c r="F127" s="68" t="e">
        <f>D127*E127</f>
        <v>#VALUE!</v>
      </c>
      <c r="G127" s="69" t="e">
        <f>C127</f>
        <v>#VALUE!</v>
      </c>
      <c r="H127" s="69" t="e">
        <f>F127*G127</f>
        <v>#VALUE!</v>
      </c>
      <c r="I127" s="6" t="s">
        <v>93</v>
      </c>
      <c r="J127" s="70" t="e">
        <f>IF(OR(D127=0,D128=0,D129=0),"#NA",IF(AND(C129-C128=C128-C127,C128&lt;&gt;C129,C127&lt;&gt;C128,C127&lt;&gt;C129,D129&lt;&gt;0,OR(D127&lt;&gt;0,D128&lt;&gt;0)),WLS*(C129-C128),"#NA"))</f>
        <v>#VALUE!</v>
      </c>
      <c r="O127" s="99">
        <f>O126+1</f>
        <v>20</v>
      </c>
      <c r="P127" s="99" t="str">
        <f t="shared" si="44"/>
        <v xml:space="preserve">  </v>
      </c>
      <c r="Q127" s="68" t="e">
        <f>IF(OR(P129-P128=P128-P127,P130-P128=P128-P127),P127,IF(OR(P129-P128=P128-P126,P130-P128=P128-P126),P126,"-"))</f>
        <v>#VALUE!</v>
      </c>
      <c r="R127" s="69" t="e">
        <f>VLOOKUP(Q127,STN_TABLE,2,FALSE)</f>
        <v>#VALUE!</v>
      </c>
      <c r="S127" s="69">
        <v>5</v>
      </c>
      <c r="T127" s="68" t="e">
        <f>R127*S127</f>
        <v>#VALUE!</v>
      </c>
      <c r="U127" s="79">
        <v>3</v>
      </c>
      <c r="V127" s="68" t="e">
        <f>R127*U127</f>
        <v>#VALUE!</v>
      </c>
      <c r="W127" s="6" t="s">
        <v>93</v>
      </c>
      <c r="X127" s="70" t="e">
        <f>IF(AND(Q129-Q128=Q128-Q127,NOT(AND(Q127=0,Q128=0)),NOT(AND(Q128=0,Q129=0))),WLS*(Q129-Q128),"#NA")</f>
        <v>#VALUE!</v>
      </c>
      <c r="AD127" s="93"/>
      <c r="AH127" s="6" t="s">
        <v>93</v>
      </c>
      <c r="AI127" s="70" t="e">
        <f>WLS*(AD129-AD128)</f>
        <v>#VALUE!</v>
      </c>
      <c r="AU127" s="81"/>
    </row>
    <row r="128" spans="1:47" x14ac:dyDescent="0.25">
      <c r="A128" s="84">
        <f>A127+1</f>
        <v>19</v>
      </c>
      <c r="B128" s="84" t="str">
        <f t="shared" si="48"/>
        <v xml:space="preserve">  </v>
      </c>
      <c r="C128" s="80" t="e">
        <f t="shared" ref="C128" si="62">IF(OR(B130-B129=B129-B128,B130-B129=B129-B127,B130-B129=B129-B126),B129,IF(OR(B130-B128=B128-B127,B130-B128=B128-B126),B128,IF(B130-B127=B127-B126,B127,"#NA")))</f>
        <v>#VALUE!</v>
      </c>
      <c r="D128" s="76" t="e">
        <f>VLOOKUP(C128,STN_TABLE,2,FALSE)</f>
        <v>#VALUE!</v>
      </c>
      <c r="E128" s="81">
        <v>4</v>
      </c>
      <c r="F128" s="76" t="e">
        <f>D128*E128</f>
        <v>#VALUE!</v>
      </c>
      <c r="G128" s="77" t="e">
        <f>C128</f>
        <v>#VALUE!</v>
      </c>
      <c r="H128" s="77" t="e">
        <f>F128*G128</f>
        <v>#VALUE!</v>
      </c>
      <c r="I128" s="495" t="s">
        <v>97</v>
      </c>
      <c r="J128" s="496"/>
      <c r="K128" s="78" t="s">
        <v>98</v>
      </c>
      <c r="L128" s="78"/>
      <c r="M128" s="7" t="s">
        <v>99</v>
      </c>
      <c r="N128" s="7"/>
      <c r="O128" s="99">
        <f>O127+1</f>
        <v>21</v>
      </c>
      <c r="P128" s="99" t="str">
        <f t="shared" si="44"/>
        <v xml:space="preserve">  </v>
      </c>
      <c r="Q128" s="76" t="str">
        <f>P128</f>
        <v xml:space="preserve">  </v>
      </c>
      <c r="R128" s="77" t="str">
        <f>VLOOKUP(Q128,STN_TABLE,2,FALSE)</f>
        <v xml:space="preserve">  </v>
      </c>
      <c r="S128" s="77">
        <v>8</v>
      </c>
      <c r="T128" s="76" t="e">
        <f>R128*S128</f>
        <v>#VALUE!</v>
      </c>
      <c r="U128" s="80">
        <v>10</v>
      </c>
      <c r="V128" s="76" t="e">
        <f>R128*U128</f>
        <v>#VALUE!</v>
      </c>
      <c r="W128" s="496" t="s">
        <v>97</v>
      </c>
      <c r="X128" s="496"/>
      <c r="Y128" s="496" t="s">
        <v>98</v>
      </c>
      <c r="Z128" s="496"/>
      <c r="AA128" s="494" t="s">
        <v>99</v>
      </c>
      <c r="AB128" s="494"/>
      <c r="AC128" s="99">
        <f>AC123+1</f>
        <v>20</v>
      </c>
      <c r="AD128" s="95" t="str">
        <f>VLOOKUP(AC128,STN_TABLE_2,2,FALSE)</f>
        <v xml:space="preserve">  </v>
      </c>
      <c r="AE128" s="68" t="str">
        <f>VLOOKUP(AD128,STN_TABLE,2,FALSE)</f>
        <v xml:space="preserve">  </v>
      </c>
      <c r="AF128" s="68">
        <v>1</v>
      </c>
      <c r="AG128" s="69" t="e">
        <f>AE128*AF128</f>
        <v>#VALUE!</v>
      </c>
      <c r="AH128" s="496" t="s">
        <v>97</v>
      </c>
      <c r="AI128" s="496"/>
      <c r="AJ128" s="496" t="s">
        <v>98</v>
      </c>
      <c r="AK128" s="496"/>
      <c r="AL128" s="494" t="s">
        <v>99</v>
      </c>
      <c r="AM128" s="494"/>
      <c r="AP128" s="86" t="s">
        <v>112</v>
      </c>
      <c r="AQ128" s="89" t="s">
        <v>113</v>
      </c>
      <c r="AR128" s="89" t="s">
        <v>114</v>
      </c>
      <c r="AS128" s="89" t="s">
        <v>115</v>
      </c>
      <c r="AU128" s="81"/>
    </row>
    <row r="129" spans="1:47" x14ac:dyDescent="0.25">
      <c r="A129" s="84">
        <f>A128+1</f>
        <v>20</v>
      </c>
      <c r="B129" s="84" t="str">
        <f t="shared" si="48"/>
        <v xml:space="preserve">  </v>
      </c>
      <c r="C129" s="88" t="str">
        <f t="shared" ref="C129" si="63">B130</f>
        <v xml:space="preserve">  </v>
      </c>
      <c r="D129" s="82" t="str">
        <f>VLOOKUP(C129,STN_TABLE,2,FALSE)</f>
        <v xml:space="preserve">  </v>
      </c>
      <c r="E129" s="92">
        <v>1</v>
      </c>
      <c r="F129" s="82" t="e">
        <f>D129*E129</f>
        <v>#VALUE!</v>
      </c>
      <c r="G129" s="83" t="str">
        <f>C129</f>
        <v xml:space="preserve">  </v>
      </c>
      <c r="H129" s="83" t="e">
        <f>F129*G129</f>
        <v>#VALUE!</v>
      </c>
      <c r="I129" s="84" t="str">
        <f>CONCATENATE("a'(",C129,")=")</f>
        <v>a'(  )=</v>
      </c>
      <c r="J129" s="84" t="e">
        <f>2*J127/3*F130</f>
        <v>#VALUE!</v>
      </c>
      <c r="K129" s="84" t="e">
        <f>CONCATENATE("A(",C127,")=")</f>
        <v>#VALUE!</v>
      </c>
      <c r="L129" s="84" t="e">
        <f>VLOOKUP(C127,STN_TABLE,3,FALSE)</f>
        <v>#VALUE!</v>
      </c>
      <c r="M129" t="str">
        <f>CONCATENATE("A(",C129,")=")</f>
        <v>A(  )=</v>
      </c>
      <c r="N129" t="e">
        <f>J129+L129</f>
        <v>#VALUE!</v>
      </c>
      <c r="O129" s="99">
        <f>O128+1</f>
        <v>22</v>
      </c>
      <c r="P129" s="99" t="str">
        <f t="shared" si="44"/>
        <v xml:space="preserve">  </v>
      </c>
      <c r="Q129" s="82" t="e">
        <f>IF(P129-P128=P128-P127,P129,IF(P130-P128=P128-P127,P130,IF(P129-P128=P128-P126,P129,IF(P130-P128=P128-P126,P130,"-"))))</f>
        <v>#VALUE!</v>
      </c>
      <c r="R129" s="83" t="e">
        <f>VLOOKUP(Q129,STN_TABLE,2,FALSE)</f>
        <v>#VALUE!</v>
      </c>
      <c r="S129" s="83">
        <v>-1</v>
      </c>
      <c r="T129" s="82" t="e">
        <f>R129*S129</f>
        <v>#VALUE!</v>
      </c>
      <c r="U129" s="88">
        <v>-1</v>
      </c>
      <c r="V129" s="82" t="e">
        <f>R129*U129</f>
        <v>#VALUE!</v>
      </c>
      <c r="W129" s="84" t="str">
        <f>CONCATENATE("a'(",Q128,")=")</f>
        <v>a'(  )=</v>
      </c>
      <c r="X129" s="84" t="e">
        <f>2*X127/12*T130</f>
        <v>#VALUE!</v>
      </c>
      <c r="Y129" s="84" t="e">
        <f>CONCATENATE("A(",Q127,")=")</f>
        <v>#VALUE!</v>
      </c>
      <c r="Z129" s="84" t="e">
        <f>VLOOKUP(Q127,STN_TABLE,3,FALSE)</f>
        <v>#VALUE!</v>
      </c>
      <c r="AA129" t="str">
        <f>CONCATENATE("A(",Q128,")=")</f>
        <v>A(  )=</v>
      </c>
      <c r="AB129" t="e">
        <f>X129+Z129</f>
        <v>#VALUE!</v>
      </c>
      <c r="AC129" s="99">
        <f>AC128+1</f>
        <v>21</v>
      </c>
      <c r="AD129" s="100" t="str">
        <f>VLOOKUP(AC129,STN_TABLE_2,2,FALSE)</f>
        <v xml:space="preserve">  </v>
      </c>
      <c r="AE129" s="82" t="str">
        <f>VLOOKUP(AD129,STN_TABLE,2,FALSE)</f>
        <v xml:space="preserve">  </v>
      </c>
      <c r="AF129" s="82">
        <v>2</v>
      </c>
      <c r="AG129" s="83" t="e">
        <f>AE129*AF129</f>
        <v>#VALUE!</v>
      </c>
      <c r="AH129" s="84" t="str">
        <f>CONCATENATE("a'(",AD129,")=")</f>
        <v>a'(  )=</v>
      </c>
      <c r="AI129" s="84" t="e">
        <f>2*AI127/2*AE130</f>
        <v>#VALUE!</v>
      </c>
      <c r="AJ129" s="84" t="str">
        <f>CONCATENATE("A(",AD128,")=")</f>
        <v>A(  )=</v>
      </c>
      <c r="AK129" s="84" t="str">
        <f>VLOOKUP(AD128,STN_TABLE,3,FALSE)</f>
        <v xml:space="preserve"> </v>
      </c>
      <c r="AL129" t="str">
        <f>CONCATENATE("A(",AD129,")=")</f>
        <v>A(  )=</v>
      </c>
      <c r="AM129" t="e">
        <f>AI129+AK129</f>
        <v>#VALUE!</v>
      </c>
      <c r="AO129" s="68" t="str">
        <f>AA129</f>
        <v>A(  )=</v>
      </c>
      <c r="AP129" s="68" t="e">
        <f>VLOOKUP(AO129,Rise_Results,2,FALSE)</f>
        <v>#N/A</v>
      </c>
      <c r="AQ129" s="76" t="e">
        <f>N129</f>
        <v>#VALUE!</v>
      </c>
      <c r="AR129" s="76" t="e">
        <f>IF(OR(AB129&lt;=0,AB130&lt;=0),1/0,AB129)</f>
        <v>#VALUE!</v>
      </c>
      <c r="AS129" s="76" t="e">
        <f>AM129</f>
        <v>#VALUE!</v>
      </c>
      <c r="AT129" t="e">
        <f>IFERROR(AP129,IFERROR(AQ129,IFERROR(AR129,AS129)))</f>
        <v>#VALUE!</v>
      </c>
      <c r="AU129" s="81"/>
    </row>
    <row r="130" spans="1:47" x14ac:dyDescent="0.25">
      <c r="A130" s="84">
        <f>A129+1</f>
        <v>21</v>
      </c>
      <c r="B130" s="84" t="str">
        <f t="shared" si="48"/>
        <v xml:space="preserve">  </v>
      </c>
      <c r="F130" s="82" t="e">
        <f>SUM(F127:F129)</f>
        <v>#VALUE!</v>
      </c>
      <c r="H130" s="82" t="e">
        <f>SUM(H127:H129)</f>
        <v>#VALUE!</v>
      </c>
      <c r="I130" s="84" t="str">
        <f>CONCATENATE("m'(",C129,")=")</f>
        <v>m'(  )=</v>
      </c>
      <c r="J130" s="84" t="e">
        <f>2*(J127*(WLS))/3*H130</f>
        <v>#VALUE!</v>
      </c>
      <c r="K130" s="84" t="e">
        <f>CONCATENATE("M(",C127,")=")</f>
        <v>#VALUE!</v>
      </c>
      <c r="L130" s="84" t="e">
        <f>VLOOKUP(C127,STN_TABLE,4,FALSE)</f>
        <v>#VALUE!</v>
      </c>
      <c r="M130" t="str">
        <f>CONCATENATE("M(",C129,")=")</f>
        <v>M(  )=</v>
      </c>
      <c r="N130" t="e">
        <f>J130+L130</f>
        <v>#VALUE!</v>
      </c>
      <c r="O130" s="99">
        <f>O129+1</f>
        <v>23</v>
      </c>
      <c r="P130" s="99" t="str">
        <f t="shared" si="44"/>
        <v xml:space="preserve">  </v>
      </c>
      <c r="T130" s="89" t="e">
        <f>SUM(T127:T129)</f>
        <v>#VALUE!</v>
      </c>
      <c r="V130" s="82" t="e">
        <f>SUM(V127:V129)</f>
        <v>#VALUE!</v>
      </c>
      <c r="W130" s="84" t="str">
        <f>CONCATENATE("m'(",Q128,")=")</f>
        <v>m'(  )=</v>
      </c>
      <c r="X130" s="84" t="e">
        <f>(2*(X127^2)/24*V130)+(X129*Q127*WLS)</f>
        <v>#VALUE!</v>
      </c>
      <c r="Y130" s="84" t="e">
        <f>CONCATENATE("M(",Q127,")=")</f>
        <v>#VALUE!</v>
      </c>
      <c r="Z130" s="84" t="e">
        <f>VLOOKUP(Q127,STN_TABLE,4,FALSE)</f>
        <v>#VALUE!</v>
      </c>
      <c r="AA130" t="str">
        <f>CONCATENATE("M(",Q128,")=")</f>
        <v>M(  )=</v>
      </c>
      <c r="AB130" t="e">
        <f>X130+Z130</f>
        <v>#VALUE!</v>
      </c>
      <c r="AE130" s="89">
        <f>SUM(AE128:AE129)</f>
        <v>0</v>
      </c>
      <c r="AG130" s="89" t="e">
        <f>SUM(AG128:AG129)</f>
        <v>#VALUE!</v>
      </c>
      <c r="AH130" s="84" t="str">
        <f>CONCATENATE("m'(",AD129,")=")</f>
        <v>m'(  )=</v>
      </c>
      <c r="AI130" s="84" t="e">
        <f>(2*(AI127^2)/6*AG130)+(AI129*AD128*WLS)</f>
        <v>#VALUE!</v>
      </c>
      <c r="AJ130" s="84" t="str">
        <f>CONCATENATE("M(",AD128,")=")</f>
        <v>M(  )=</v>
      </c>
      <c r="AK130" s="84" t="str">
        <f>VLOOKUP(AD128,STN_TABLE,4,FALSE)</f>
        <v xml:space="preserve"> </v>
      </c>
      <c r="AL130" t="str">
        <f>CONCATENATE("M(",AD129,")=")</f>
        <v>M(  )=</v>
      </c>
      <c r="AM130" t="e">
        <f>AI130+AK130</f>
        <v>#VALUE!</v>
      </c>
      <c r="AO130" s="82" t="str">
        <f>AA130</f>
        <v>M(  )=</v>
      </c>
      <c r="AP130" s="82" t="e">
        <f>VLOOKUP(AO130,Rise_Results,2,FALSE)</f>
        <v>#N/A</v>
      </c>
      <c r="AQ130" s="82" t="e">
        <f>N130</f>
        <v>#VALUE!</v>
      </c>
      <c r="AR130" s="82" t="e">
        <f>IF(OR(AB129&lt;=0,AB130&lt;=0),1/0,AB130)</f>
        <v>#VALUE!</v>
      </c>
      <c r="AS130" s="82" t="e">
        <f>AM130</f>
        <v>#VALUE!</v>
      </c>
      <c r="AT130" t="e">
        <f>IFERROR(AP130,IFERROR(AQ130,IFERROR(AR130,AS130)))</f>
        <v>#VALUE!</v>
      </c>
      <c r="AU130" s="81"/>
    </row>
    <row r="131" spans="1:47" x14ac:dyDescent="0.25">
      <c r="A131" s="101">
        <f>A126+1</f>
        <v>18</v>
      </c>
      <c r="B131" s="101" t="str">
        <f t="shared" si="48"/>
        <v xml:space="preserve">  </v>
      </c>
      <c r="O131" s="101">
        <f>O126+1</f>
        <v>20</v>
      </c>
      <c r="P131" s="101" t="str">
        <f t="shared" si="44"/>
        <v xml:space="preserve">  </v>
      </c>
      <c r="AU131" s="81"/>
    </row>
    <row r="132" spans="1:47" x14ac:dyDescent="0.25">
      <c r="A132" s="84">
        <f>A131+1</f>
        <v>19</v>
      </c>
      <c r="B132" s="84" t="str">
        <f t="shared" si="48"/>
        <v xml:space="preserve">  </v>
      </c>
      <c r="C132" s="79" t="e">
        <f t="shared" ref="C132" si="64">IF(C133=B134,IF(C134-C133=C133-B133,B133,IF(C134-C133=C133-B132,B132,"#NA")),IF(C133=B133,IF(C134-C133=C133-B132,B132,IF(C134-C133=C133-B131,B131,"#NA")),"#NA"))</f>
        <v>#VALUE!</v>
      </c>
      <c r="D132" s="68" t="e">
        <f>VLOOKUP(C132,STN_TABLE,2,FALSE)</f>
        <v>#VALUE!</v>
      </c>
      <c r="E132" s="102">
        <v>1</v>
      </c>
      <c r="F132" s="68" t="e">
        <f>D132*E132</f>
        <v>#VALUE!</v>
      </c>
      <c r="G132" s="69" t="e">
        <f>C132</f>
        <v>#VALUE!</v>
      </c>
      <c r="H132" s="69" t="e">
        <f>F132*G132</f>
        <v>#VALUE!</v>
      </c>
      <c r="I132" s="6" t="s">
        <v>93</v>
      </c>
      <c r="J132" s="70" t="e">
        <f>IF(OR(D132=0,D133=0,D134=0),"#NA",IF(AND(C134-C133=C133-C132,C133&lt;&gt;C134,C132&lt;&gt;C133,C132&lt;&gt;C134,D134&lt;&gt;0,OR(D132&lt;&gt;0,D133&lt;&gt;0)),WLS*(C134-C133),"#NA"))</f>
        <v>#VALUE!</v>
      </c>
      <c r="O132" s="99">
        <f>O131+1</f>
        <v>21</v>
      </c>
      <c r="P132" s="99" t="str">
        <f t="shared" ref="P132:P150" si="65">VLOOKUP(O132,STN_TABLE_2,2,FALSE)</f>
        <v xml:space="preserve">  </v>
      </c>
      <c r="Q132" s="68" t="e">
        <f>IF(OR(P134-P133=P133-P132,P135-P133=P133-P132),P132,IF(OR(P134-P133=P133-P131,P135-P133=P133-P131),P131,"-"))</f>
        <v>#VALUE!</v>
      </c>
      <c r="R132" s="69" t="e">
        <f>VLOOKUP(Q132,STN_TABLE,2,FALSE)</f>
        <v>#VALUE!</v>
      </c>
      <c r="S132" s="69">
        <v>5</v>
      </c>
      <c r="T132" s="68" t="e">
        <f>R132*S132</f>
        <v>#VALUE!</v>
      </c>
      <c r="U132" s="79">
        <v>3</v>
      </c>
      <c r="V132" s="68" t="e">
        <f>R132*U132</f>
        <v>#VALUE!</v>
      </c>
      <c r="W132" s="6" t="s">
        <v>93</v>
      </c>
      <c r="X132" s="70" t="e">
        <f>IF(AND(Q134-Q133=Q133-Q132,NOT(AND(Q132=0,Q133=0)),NOT(AND(Q133=0,Q134=0))),WLS*(Q134-Q133),"#NA")</f>
        <v>#VALUE!</v>
      </c>
      <c r="AD132" s="93"/>
      <c r="AH132" s="6" t="s">
        <v>93</v>
      </c>
      <c r="AI132" s="70" t="e">
        <f>WLS*(AD134-AD133)</f>
        <v>#VALUE!</v>
      </c>
      <c r="AU132" s="81"/>
    </row>
    <row r="133" spans="1:47" x14ac:dyDescent="0.25">
      <c r="A133" s="84">
        <f>A132+1</f>
        <v>20</v>
      </c>
      <c r="B133" s="84" t="str">
        <f t="shared" si="48"/>
        <v xml:space="preserve">  </v>
      </c>
      <c r="C133" s="80" t="e">
        <f t="shared" ref="C133" si="66">IF(OR(B135-B134=B134-B133,B135-B134=B134-B132,B135-B134=B134-B131),B134,IF(OR(B135-B133=B133-B132,B135-B133=B133-B131),B133,IF(B135-B132=B132-B131,B132,"#NA")))</f>
        <v>#VALUE!</v>
      </c>
      <c r="D133" s="76" t="e">
        <f>VLOOKUP(C133,STN_TABLE,2,FALSE)</f>
        <v>#VALUE!</v>
      </c>
      <c r="E133" s="81">
        <v>4</v>
      </c>
      <c r="F133" s="76" t="e">
        <f>D133*E133</f>
        <v>#VALUE!</v>
      </c>
      <c r="G133" s="77" t="e">
        <f>C133</f>
        <v>#VALUE!</v>
      </c>
      <c r="H133" s="77" t="e">
        <f>F133*G133</f>
        <v>#VALUE!</v>
      </c>
      <c r="I133" s="495" t="s">
        <v>97</v>
      </c>
      <c r="J133" s="496"/>
      <c r="K133" s="78" t="s">
        <v>98</v>
      </c>
      <c r="L133" s="78"/>
      <c r="M133" s="7" t="s">
        <v>99</v>
      </c>
      <c r="N133" s="7"/>
      <c r="O133" s="99">
        <f>O132+1</f>
        <v>22</v>
      </c>
      <c r="P133" s="99" t="str">
        <f t="shared" si="65"/>
        <v xml:space="preserve">  </v>
      </c>
      <c r="Q133" s="76" t="str">
        <f>P133</f>
        <v xml:space="preserve">  </v>
      </c>
      <c r="R133" s="77" t="str">
        <f>VLOOKUP(Q133,STN_TABLE,2,FALSE)</f>
        <v xml:space="preserve">  </v>
      </c>
      <c r="S133" s="77">
        <v>8</v>
      </c>
      <c r="T133" s="76" t="e">
        <f>R133*S133</f>
        <v>#VALUE!</v>
      </c>
      <c r="U133" s="80">
        <v>10</v>
      </c>
      <c r="V133" s="76" t="e">
        <f>R133*U133</f>
        <v>#VALUE!</v>
      </c>
      <c r="W133" s="496" t="s">
        <v>97</v>
      </c>
      <c r="X133" s="496"/>
      <c r="Y133" s="496" t="s">
        <v>98</v>
      </c>
      <c r="Z133" s="496"/>
      <c r="AA133" s="494" t="s">
        <v>99</v>
      </c>
      <c r="AB133" s="494"/>
      <c r="AC133" s="99">
        <f>AC128+1</f>
        <v>21</v>
      </c>
      <c r="AD133" s="95" t="str">
        <f>VLOOKUP(AC133,STN_TABLE_2,2,FALSE)</f>
        <v xml:space="preserve">  </v>
      </c>
      <c r="AE133" s="68" t="str">
        <f>VLOOKUP(AD133,STN_TABLE,2,FALSE)</f>
        <v xml:space="preserve">  </v>
      </c>
      <c r="AF133" s="68">
        <v>1</v>
      </c>
      <c r="AG133" s="69" t="e">
        <f>AE133*AF133</f>
        <v>#VALUE!</v>
      </c>
      <c r="AH133" s="496" t="s">
        <v>97</v>
      </c>
      <c r="AI133" s="496"/>
      <c r="AJ133" s="496" t="s">
        <v>98</v>
      </c>
      <c r="AK133" s="496"/>
      <c r="AL133" s="494" t="s">
        <v>99</v>
      </c>
      <c r="AM133" s="494"/>
      <c r="AP133" s="86" t="s">
        <v>112</v>
      </c>
      <c r="AQ133" s="89" t="s">
        <v>113</v>
      </c>
      <c r="AR133" s="89" t="s">
        <v>114</v>
      </c>
      <c r="AS133" s="89" t="s">
        <v>115</v>
      </c>
      <c r="AU133" s="81"/>
    </row>
    <row r="134" spans="1:47" x14ac:dyDescent="0.25">
      <c r="A134" s="84">
        <f>A133+1</f>
        <v>21</v>
      </c>
      <c r="B134" s="84" t="str">
        <f t="shared" si="48"/>
        <v xml:space="preserve">  </v>
      </c>
      <c r="C134" s="88" t="str">
        <f t="shared" ref="C134" si="67">B135</f>
        <v xml:space="preserve">  </v>
      </c>
      <c r="D134" s="82" t="str">
        <f>VLOOKUP(C134,STN_TABLE,2,FALSE)</f>
        <v xml:space="preserve">  </v>
      </c>
      <c r="E134" s="92">
        <v>1</v>
      </c>
      <c r="F134" s="82" t="e">
        <f>D134*E134</f>
        <v>#VALUE!</v>
      </c>
      <c r="G134" s="83" t="str">
        <f>C134</f>
        <v xml:space="preserve">  </v>
      </c>
      <c r="H134" s="83" t="e">
        <f>F134*G134</f>
        <v>#VALUE!</v>
      </c>
      <c r="I134" s="84" t="str">
        <f>CONCATENATE("a'(",C134,")=")</f>
        <v>a'(  )=</v>
      </c>
      <c r="J134" s="84" t="e">
        <f>2*J132/3*F135</f>
        <v>#VALUE!</v>
      </c>
      <c r="K134" s="84" t="e">
        <f>CONCATENATE("A(",C132,")=")</f>
        <v>#VALUE!</v>
      </c>
      <c r="L134" s="84" t="e">
        <f>VLOOKUP(C132,STN_TABLE,3,FALSE)</f>
        <v>#VALUE!</v>
      </c>
      <c r="M134" t="str">
        <f>CONCATENATE("A(",C134,")=")</f>
        <v>A(  )=</v>
      </c>
      <c r="N134" t="e">
        <f>J134+L134</f>
        <v>#VALUE!</v>
      </c>
      <c r="O134" s="99">
        <f>O133+1</f>
        <v>23</v>
      </c>
      <c r="P134" s="99" t="str">
        <f t="shared" si="65"/>
        <v xml:space="preserve">  </v>
      </c>
      <c r="Q134" s="82" t="e">
        <f>IF(P134-P133=P133-P132,P134,IF(P135-P133=P133-P132,P135,IF(P134-P133=P133-P131,P134,IF(P135-P133=P133-P131,P135,"-"))))</f>
        <v>#VALUE!</v>
      </c>
      <c r="R134" s="83" t="e">
        <f>VLOOKUP(Q134,STN_TABLE,2,FALSE)</f>
        <v>#VALUE!</v>
      </c>
      <c r="S134" s="83">
        <v>-1</v>
      </c>
      <c r="T134" s="82" t="e">
        <f>R134*S134</f>
        <v>#VALUE!</v>
      </c>
      <c r="U134" s="88">
        <v>-1</v>
      </c>
      <c r="V134" s="82" t="e">
        <f>R134*U134</f>
        <v>#VALUE!</v>
      </c>
      <c r="W134" s="84" t="str">
        <f>CONCATENATE("a'(",Q133,")=")</f>
        <v>a'(  )=</v>
      </c>
      <c r="X134" s="84" t="e">
        <f>2*X132/12*T135</f>
        <v>#VALUE!</v>
      </c>
      <c r="Y134" s="84" t="e">
        <f>CONCATENATE("A(",Q132,")=")</f>
        <v>#VALUE!</v>
      </c>
      <c r="Z134" s="84" t="e">
        <f>VLOOKUP(Q132,STN_TABLE,3,FALSE)</f>
        <v>#VALUE!</v>
      </c>
      <c r="AA134" t="str">
        <f>CONCATENATE("A(",Q133,")=")</f>
        <v>A(  )=</v>
      </c>
      <c r="AB134" t="e">
        <f>X134+Z134</f>
        <v>#VALUE!</v>
      </c>
      <c r="AC134" s="99">
        <f>AC133+1</f>
        <v>22</v>
      </c>
      <c r="AD134" s="100" t="str">
        <f>VLOOKUP(AC134,STN_TABLE_2,2,FALSE)</f>
        <v xml:space="preserve">  </v>
      </c>
      <c r="AE134" s="82" t="str">
        <f>VLOOKUP(AD134,STN_TABLE,2,FALSE)</f>
        <v xml:space="preserve">  </v>
      </c>
      <c r="AF134" s="82">
        <v>2</v>
      </c>
      <c r="AG134" s="83" t="e">
        <f>AE134*AF134</f>
        <v>#VALUE!</v>
      </c>
      <c r="AH134" s="84" t="str">
        <f>CONCATENATE("a'(",AD134,")=")</f>
        <v>a'(  )=</v>
      </c>
      <c r="AI134" s="84" t="e">
        <f>2*AI132/2*AE135</f>
        <v>#VALUE!</v>
      </c>
      <c r="AJ134" s="84" t="str">
        <f>CONCATENATE("A(",AD133,")=")</f>
        <v>A(  )=</v>
      </c>
      <c r="AK134" s="84" t="str">
        <f>VLOOKUP(AD133,STN_TABLE,3,FALSE)</f>
        <v xml:space="preserve"> </v>
      </c>
      <c r="AL134" t="str">
        <f>CONCATENATE("A(",AD134,")=")</f>
        <v>A(  )=</v>
      </c>
      <c r="AM134" t="e">
        <f>AI134+AK134</f>
        <v>#VALUE!</v>
      </c>
      <c r="AO134" s="68" t="str">
        <f>AA134</f>
        <v>A(  )=</v>
      </c>
      <c r="AP134" s="68" t="e">
        <f>VLOOKUP(AO134,Rise_Results,2,FALSE)</f>
        <v>#N/A</v>
      </c>
      <c r="AQ134" s="76" t="e">
        <f>N134</f>
        <v>#VALUE!</v>
      </c>
      <c r="AR134" s="76" t="e">
        <f>IF(OR(AB134&lt;=0,AB135&lt;=0),1/0,AB134)</f>
        <v>#VALUE!</v>
      </c>
      <c r="AS134" s="76" t="e">
        <f>AM134</f>
        <v>#VALUE!</v>
      </c>
      <c r="AT134" t="e">
        <f>IFERROR(AP134,IFERROR(AQ134,IFERROR(AR134,AS134)))</f>
        <v>#VALUE!</v>
      </c>
      <c r="AU134" s="81"/>
    </row>
    <row r="135" spans="1:47" x14ac:dyDescent="0.25">
      <c r="A135" s="84">
        <f>A134+1</f>
        <v>22</v>
      </c>
      <c r="B135" s="84" t="str">
        <f t="shared" si="48"/>
        <v xml:space="preserve">  </v>
      </c>
      <c r="F135" s="82" t="e">
        <f>SUM(F132:F134)</f>
        <v>#VALUE!</v>
      </c>
      <c r="H135" s="82" t="e">
        <f>SUM(H132:H134)</f>
        <v>#VALUE!</v>
      </c>
      <c r="I135" s="84" t="str">
        <f>CONCATENATE("m'(",C134,")=")</f>
        <v>m'(  )=</v>
      </c>
      <c r="J135" s="84" t="e">
        <f>2*(J132*(WLS))/3*H135</f>
        <v>#VALUE!</v>
      </c>
      <c r="K135" s="84" t="e">
        <f>CONCATENATE("M(",C132,")=")</f>
        <v>#VALUE!</v>
      </c>
      <c r="L135" s="84" t="e">
        <f>VLOOKUP(C132,STN_TABLE,4,FALSE)</f>
        <v>#VALUE!</v>
      </c>
      <c r="M135" t="str">
        <f>CONCATENATE("M(",C134,")=")</f>
        <v>M(  )=</v>
      </c>
      <c r="N135" t="e">
        <f>J135+L135</f>
        <v>#VALUE!</v>
      </c>
      <c r="O135" s="99">
        <f>O134+1</f>
        <v>24</v>
      </c>
      <c r="P135" s="99" t="str">
        <f t="shared" si="65"/>
        <v xml:space="preserve">  </v>
      </c>
      <c r="T135" s="89" t="e">
        <f>SUM(T132:T134)</f>
        <v>#VALUE!</v>
      </c>
      <c r="V135" s="82" t="e">
        <f>SUM(V132:V134)</f>
        <v>#VALUE!</v>
      </c>
      <c r="W135" s="84" t="str">
        <f>CONCATENATE("m'(",Q133,")=")</f>
        <v>m'(  )=</v>
      </c>
      <c r="X135" s="84" t="e">
        <f>(2*(X132^2)/24*V135)+(X134*Q132*WLS)</f>
        <v>#VALUE!</v>
      </c>
      <c r="Y135" s="84" t="e">
        <f>CONCATENATE("M(",Q132,")=")</f>
        <v>#VALUE!</v>
      </c>
      <c r="Z135" s="84" t="e">
        <f>VLOOKUP(Q132,STN_TABLE,4,FALSE)</f>
        <v>#VALUE!</v>
      </c>
      <c r="AA135" t="str">
        <f>CONCATENATE("M(",Q133,")=")</f>
        <v>M(  )=</v>
      </c>
      <c r="AB135" t="e">
        <f>X135+Z135</f>
        <v>#VALUE!</v>
      </c>
      <c r="AE135" s="89">
        <f>SUM(AE133:AE134)</f>
        <v>0</v>
      </c>
      <c r="AG135" s="89" t="e">
        <f>SUM(AG133:AG134)</f>
        <v>#VALUE!</v>
      </c>
      <c r="AH135" s="84" t="str">
        <f>CONCATENATE("m'(",AD134,")=")</f>
        <v>m'(  )=</v>
      </c>
      <c r="AI135" s="84" t="e">
        <f>(2*(AI132^2)/6*AG135)+(AI134*AD133*WLS)</f>
        <v>#VALUE!</v>
      </c>
      <c r="AJ135" s="84" t="str">
        <f>CONCATENATE("M(",AD133,")=")</f>
        <v>M(  )=</v>
      </c>
      <c r="AK135" s="84" t="str">
        <f>VLOOKUP(AD133,STN_TABLE,4,FALSE)</f>
        <v xml:space="preserve"> </v>
      </c>
      <c r="AL135" t="str">
        <f>CONCATENATE("M(",AD134,")=")</f>
        <v>M(  )=</v>
      </c>
      <c r="AM135" t="e">
        <f>AI135+AK135</f>
        <v>#VALUE!</v>
      </c>
      <c r="AO135" s="82" t="str">
        <f>AA135</f>
        <v>M(  )=</v>
      </c>
      <c r="AP135" s="82" t="e">
        <f>VLOOKUP(AO135,Rise_Results,2,FALSE)</f>
        <v>#N/A</v>
      </c>
      <c r="AQ135" s="82" t="e">
        <f>N135</f>
        <v>#VALUE!</v>
      </c>
      <c r="AR135" s="82" t="e">
        <f>IF(OR(AB134&lt;=0,AB135&lt;=0),1/0,AB135)</f>
        <v>#VALUE!</v>
      </c>
      <c r="AS135" s="82" t="e">
        <f>AM135</f>
        <v>#VALUE!</v>
      </c>
      <c r="AT135" t="e">
        <f>IFERROR(AP135,IFERROR(AQ135,IFERROR(AR135,AS135)))</f>
        <v>#VALUE!</v>
      </c>
      <c r="AU135" s="81"/>
    </row>
    <row r="136" spans="1:47" x14ac:dyDescent="0.25">
      <c r="A136" s="101">
        <f>A131+1</f>
        <v>19</v>
      </c>
      <c r="B136" s="101" t="str">
        <f t="shared" si="48"/>
        <v xml:space="preserve">  </v>
      </c>
      <c r="O136" s="101">
        <f>O131+1</f>
        <v>21</v>
      </c>
      <c r="P136" s="101" t="str">
        <f t="shared" si="65"/>
        <v xml:space="preserve">  </v>
      </c>
      <c r="AU136" s="81"/>
    </row>
    <row r="137" spans="1:47" x14ac:dyDescent="0.25">
      <c r="A137" s="84">
        <f>A136+1</f>
        <v>20</v>
      </c>
      <c r="B137" s="84" t="str">
        <f t="shared" si="48"/>
        <v xml:space="preserve">  </v>
      </c>
      <c r="C137" s="79" t="e">
        <f t="shared" ref="C137" si="68">IF(C138=B139,IF(C139-C138=C138-B138,B138,IF(C139-C138=C138-B137,B137,"#NA")),IF(C138=B138,IF(C139-C138=C138-B137,B137,IF(C139-C138=C138-B136,B136,"#NA")),"#NA"))</f>
        <v>#VALUE!</v>
      </c>
      <c r="D137" s="68" t="e">
        <f>VLOOKUP(C137,STN_TABLE,2,FALSE)</f>
        <v>#VALUE!</v>
      </c>
      <c r="E137" s="102">
        <v>1</v>
      </c>
      <c r="F137" s="68" t="e">
        <f>D137*E137</f>
        <v>#VALUE!</v>
      </c>
      <c r="G137" s="69" t="e">
        <f>C137</f>
        <v>#VALUE!</v>
      </c>
      <c r="H137" s="69" t="e">
        <f>F137*G137</f>
        <v>#VALUE!</v>
      </c>
      <c r="I137" s="6" t="s">
        <v>93</v>
      </c>
      <c r="J137" s="70" t="e">
        <f>IF(OR(D137=0,D138=0,D139=0),"#NA",IF(AND(C139-C138=C138-C137,C138&lt;&gt;C139,C137&lt;&gt;C138,C137&lt;&gt;C139,D139&lt;&gt;0,OR(D137&lt;&gt;0,D138&lt;&gt;0)),WLS*(C139-C138),"#NA"))</f>
        <v>#VALUE!</v>
      </c>
      <c r="O137" s="99">
        <f>O136+1</f>
        <v>22</v>
      </c>
      <c r="P137" s="99" t="str">
        <f t="shared" si="65"/>
        <v xml:space="preserve">  </v>
      </c>
      <c r="Q137" s="68" t="e">
        <f>IF(OR(P139-P138=P138-P137,P140-P138=P138-P137),P137,IF(OR(P139-P138=P138-P136,P140-P138=P138-P136),P136,"-"))</f>
        <v>#VALUE!</v>
      </c>
      <c r="R137" s="69" t="e">
        <f>VLOOKUP(Q137,STN_TABLE,2,FALSE)</f>
        <v>#VALUE!</v>
      </c>
      <c r="S137" s="69">
        <v>5</v>
      </c>
      <c r="T137" s="68" t="e">
        <f>R137*S137</f>
        <v>#VALUE!</v>
      </c>
      <c r="U137" s="79">
        <v>3</v>
      </c>
      <c r="V137" s="68" t="e">
        <f>R137*U137</f>
        <v>#VALUE!</v>
      </c>
      <c r="W137" s="6" t="s">
        <v>93</v>
      </c>
      <c r="X137" s="70" t="e">
        <f>IF(AND(Q139-Q138=Q138-Q137,NOT(AND(Q137=0,Q138=0)),NOT(AND(Q138=0,Q139=0))),WLS*(Q139-Q138),"#NA")</f>
        <v>#VALUE!</v>
      </c>
      <c r="AD137" s="93"/>
      <c r="AH137" s="6" t="s">
        <v>93</v>
      </c>
      <c r="AI137" s="70" t="e">
        <f>WLS*(AD139-AD138)</f>
        <v>#VALUE!</v>
      </c>
      <c r="AU137" s="81"/>
    </row>
    <row r="138" spans="1:47" x14ac:dyDescent="0.25">
      <c r="A138" s="84">
        <f>A137+1</f>
        <v>21</v>
      </c>
      <c r="B138" s="84" t="str">
        <f t="shared" ref="B138:B150" si="69">VLOOKUP(A138,STN_TABLE_2,2,FALSE)</f>
        <v xml:space="preserve">  </v>
      </c>
      <c r="C138" s="80" t="e">
        <f t="shared" ref="C138" si="70">IF(OR(B140-B139=B139-B138,B140-B139=B139-B137,B140-B139=B139-B136),B139,IF(OR(B140-B138=B138-B137,B140-B138=B138-B136),B138,IF(B140-B137=B137-B136,B137,"#NA")))</f>
        <v>#VALUE!</v>
      </c>
      <c r="D138" s="76" t="e">
        <f>VLOOKUP(C138,STN_TABLE,2,FALSE)</f>
        <v>#VALUE!</v>
      </c>
      <c r="E138" s="81">
        <v>4</v>
      </c>
      <c r="F138" s="76" t="e">
        <f>D138*E138</f>
        <v>#VALUE!</v>
      </c>
      <c r="G138" s="77" t="e">
        <f>C138</f>
        <v>#VALUE!</v>
      </c>
      <c r="H138" s="77" t="e">
        <f>F138*G138</f>
        <v>#VALUE!</v>
      </c>
      <c r="I138" s="495" t="s">
        <v>97</v>
      </c>
      <c r="J138" s="496"/>
      <c r="K138" s="78" t="s">
        <v>98</v>
      </c>
      <c r="L138" s="78"/>
      <c r="M138" s="7" t="s">
        <v>99</v>
      </c>
      <c r="N138" s="7"/>
      <c r="O138" s="99">
        <f>O137+1</f>
        <v>23</v>
      </c>
      <c r="P138" s="99" t="str">
        <f t="shared" si="65"/>
        <v xml:space="preserve">  </v>
      </c>
      <c r="Q138" s="76" t="str">
        <f>P138</f>
        <v xml:space="preserve">  </v>
      </c>
      <c r="R138" s="77" t="str">
        <f>VLOOKUP(Q138,STN_TABLE,2,FALSE)</f>
        <v xml:space="preserve">  </v>
      </c>
      <c r="S138" s="77">
        <v>8</v>
      </c>
      <c r="T138" s="76" t="e">
        <f>R138*S138</f>
        <v>#VALUE!</v>
      </c>
      <c r="U138" s="80">
        <v>10</v>
      </c>
      <c r="V138" s="76" t="e">
        <f>R138*U138</f>
        <v>#VALUE!</v>
      </c>
      <c r="W138" s="496" t="s">
        <v>97</v>
      </c>
      <c r="X138" s="496"/>
      <c r="Y138" s="496" t="s">
        <v>98</v>
      </c>
      <c r="Z138" s="496"/>
      <c r="AA138" s="494" t="s">
        <v>99</v>
      </c>
      <c r="AB138" s="494"/>
      <c r="AC138" s="99">
        <f>AC133+1</f>
        <v>22</v>
      </c>
      <c r="AD138" s="95" t="str">
        <f>VLOOKUP(AC138,STN_TABLE_2,2,FALSE)</f>
        <v xml:space="preserve">  </v>
      </c>
      <c r="AE138" s="68" t="str">
        <f>VLOOKUP(AD138,STN_TABLE,2,FALSE)</f>
        <v xml:space="preserve">  </v>
      </c>
      <c r="AF138" s="68">
        <v>1</v>
      </c>
      <c r="AG138" s="69" t="e">
        <f>AE138*AF138</f>
        <v>#VALUE!</v>
      </c>
      <c r="AH138" s="496" t="s">
        <v>97</v>
      </c>
      <c r="AI138" s="496"/>
      <c r="AJ138" s="496" t="s">
        <v>98</v>
      </c>
      <c r="AK138" s="496"/>
      <c r="AL138" s="494" t="s">
        <v>99</v>
      </c>
      <c r="AM138" s="494"/>
      <c r="AP138" s="86" t="s">
        <v>112</v>
      </c>
      <c r="AQ138" s="89" t="s">
        <v>113</v>
      </c>
      <c r="AR138" s="89" t="s">
        <v>114</v>
      </c>
      <c r="AS138" s="89" t="s">
        <v>115</v>
      </c>
      <c r="AU138" s="81"/>
    </row>
    <row r="139" spans="1:47" x14ac:dyDescent="0.25">
      <c r="A139" s="84">
        <f>A138+1</f>
        <v>22</v>
      </c>
      <c r="B139" s="84" t="str">
        <f t="shared" si="69"/>
        <v xml:space="preserve">  </v>
      </c>
      <c r="C139" s="88" t="str">
        <f t="shared" ref="C139" si="71">B140</f>
        <v xml:space="preserve">  </v>
      </c>
      <c r="D139" s="82" t="str">
        <f>VLOOKUP(C139,STN_TABLE,2,FALSE)</f>
        <v xml:space="preserve">  </v>
      </c>
      <c r="E139" s="92">
        <v>1</v>
      </c>
      <c r="F139" s="82" t="e">
        <f>D139*E139</f>
        <v>#VALUE!</v>
      </c>
      <c r="G139" s="83" t="str">
        <f>C139</f>
        <v xml:space="preserve">  </v>
      </c>
      <c r="H139" s="83" t="e">
        <f>F139*G139</f>
        <v>#VALUE!</v>
      </c>
      <c r="I139" s="84" t="str">
        <f>CONCATENATE("a'(",C139,")=")</f>
        <v>a'(  )=</v>
      </c>
      <c r="J139" s="84" t="e">
        <f>2*J137/3*F140</f>
        <v>#VALUE!</v>
      </c>
      <c r="K139" s="84" t="e">
        <f>CONCATENATE("A(",C137,")=")</f>
        <v>#VALUE!</v>
      </c>
      <c r="L139" s="84" t="e">
        <f>VLOOKUP(C137,STN_TABLE,3,FALSE)</f>
        <v>#VALUE!</v>
      </c>
      <c r="M139" t="str">
        <f>CONCATENATE("A(",C139,")=")</f>
        <v>A(  )=</v>
      </c>
      <c r="N139" t="e">
        <f>J139+L139</f>
        <v>#VALUE!</v>
      </c>
      <c r="O139" s="99">
        <f>O138+1</f>
        <v>24</v>
      </c>
      <c r="P139" s="99" t="str">
        <f t="shared" si="65"/>
        <v xml:space="preserve">  </v>
      </c>
      <c r="Q139" s="82" t="e">
        <f>IF(P139-P138=P138-P137,P139,IF(P140-P138=P138-P137,P140,IF(P139-P138=P138-P136,P139,IF(P140-P138=P138-P136,P140,"-"))))</f>
        <v>#VALUE!</v>
      </c>
      <c r="R139" s="83" t="e">
        <f>VLOOKUP(Q139,STN_TABLE,2,FALSE)</f>
        <v>#VALUE!</v>
      </c>
      <c r="S139" s="83">
        <v>-1</v>
      </c>
      <c r="T139" s="82" t="e">
        <f>R139*S139</f>
        <v>#VALUE!</v>
      </c>
      <c r="U139" s="88">
        <v>-1</v>
      </c>
      <c r="V139" s="82" t="e">
        <f>R139*U139</f>
        <v>#VALUE!</v>
      </c>
      <c r="W139" s="84" t="str">
        <f>CONCATENATE("a'(",Q138,")=")</f>
        <v>a'(  )=</v>
      </c>
      <c r="X139" s="84" t="e">
        <f>2*X137/12*T140</f>
        <v>#VALUE!</v>
      </c>
      <c r="Y139" s="84" t="e">
        <f>CONCATENATE("A(",Q137,")=")</f>
        <v>#VALUE!</v>
      </c>
      <c r="Z139" s="84" t="e">
        <f>VLOOKUP(Q137,STN_TABLE,3,FALSE)</f>
        <v>#VALUE!</v>
      </c>
      <c r="AA139" t="str">
        <f>CONCATENATE("A(",Q138,")=")</f>
        <v>A(  )=</v>
      </c>
      <c r="AB139" t="e">
        <f>X139+Z139</f>
        <v>#VALUE!</v>
      </c>
      <c r="AC139" s="99">
        <f>AC138+1</f>
        <v>23</v>
      </c>
      <c r="AD139" s="100" t="str">
        <f>VLOOKUP(AC139,STN_TABLE_2,2,FALSE)</f>
        <v xml:space="preserve">  </v>
      </c>
      <c r="AE139" s="82" t="str">
        <f>VLOOKUP(AD139,STN_TABLE,2,FALSE)</f>
        <v xml:space="preserve">  </v>
      </c>
      <c r="AF139" s="82">
        <v>2</v>
      </c>
      <c r="AG139" s="83" t="e">
        <f>AE139*AF139</f>
        <v>#VALUE!</v>
      </c>
      <c r="AH139" s="84" t="str">
        <f>CONCATENATE("a'(",AD139,")=")</f>
        <v>a'(  )=</v>
      </c>
      <c r="AI139" s="84" t="e">
        <f>2*AI137/2*AE140</f>
        <v>#VALUE!</v>
      </c>
      <c r="AJ139" s="84" t="str">
        <f>CONCATENATE("A(",AD138,")=")</f>
        <v>A(  )=</v>
      </c>
      <c r="AK139" s="84" t="str">
        <f>VLOOKUP(AD138,STN_TABLE,3,FALSE)</f>
        <v xml:space="preserve"> </v>
      </c>
      <c r="AL139" t="str">
        <f>CONCATENATE("A(",AD139,")=")</f>
        <v>A(  )=</v>
      </c>
      <c r="AM139" t="e">
        <f>AI139+AK139</f>
        <v>#VALUE!</v>
      </c>
      <c r="AO139" s="68" t="str">
        <f>AA139</f>
        <v>A(  )=</v>
      </c>
      <c r="AP139" s="68" t="e">
        <f>VLOOKUP(AO139,Rise_Results,2,FALSE)</f>
        <v>#N/A</v>
      </c>
      <c r="AQ139" s="76" t="e">
        <f>N139</f>
        <v>#VALUE!</v>
      </c>
      <c r="AR139" s="76" t="e">
        <f>IF(OR(AB139&lt;=0,AB140&lt;=0),1/0,AB139)</f>
        <v>#VALUE!</v>
      </c>
      <c r="AS139" s="76" t="e">
        <f>AM139</f>
        <v>#VALUE!</v>
      </c>
      <c r="AT139" t="e">
        <f>IFERROR(AP139,IFERROR(AQ139,IFERROR(AR139,AS139)))</f>
        <v>#VALUE!</v>
      </c>
      <c r="AU139" s="81"/>
    </row>
    <row r="140" spans="1:47" x14ac:dyDescent="0.25">
      <c r="A140" s="84">
        <f>A139+1</f>
        <v>23</v>
      </c>
      <c r="B140" s="84" t="str">
        <f t="shared" si="69"/>
        <v xml:space="preserve">  </v>
      </c>
      <c r="F140" s="82" t="e">
        <f>SUM(F137:F139)</f>
        <v>#VALUE!</v>
      </c>
      <c r="H140" s="82" t="e">
        <f>SUM(H137:H139)</f>
        <v>#VALUE!</v>
      </c>
      <c r="I140" s="84" t="str">
        <f>CONCATENATE("m'(",C139,")=")</f>
        <v>m'(  )=</v>
      </c>
      <c r="J140" s="84" t="e">
        <f>2*(J137*(WLS))/3*H140</f>
        <v>#VALUE!</v>
      </c>
      <c r="K140" s="84" t="e">
        <f>CONCATENATE("M(",C137,")=")</f>
        <v>#VALUE!</v>
      </c>
      <c r="L140" s="84" t="e">
        <f>VLOOKUP(C137,STN_TABLE,4,FALSE)</f>
        <v>#VALUE!</v>
      </c>
      <c r="M140" t="str">
        <f>CONCATENATE("M(",C139,")=")</f>
        <v>M(  )=</v>
      </c>
      <c r="N140" t="e">
        <f>J140+L140</f>
        <v>#VALUE!</v>
      </c>
      <c r="O140" s="99">
        <f>O139+1</f>
        <v>25</v>
      </c>
      <c r="P140" s="99" t="str">
        <f t="shared" si="65"/>
        <v xml:space="preserve">  </v>
      </c>
      <c r="T140" s="89" t="e">
        <f>SUM(T137:T139)</f>
        <v>#VALUE!</v>
      </c>
      <c r="V140" s="82" t="e">
        <f>SUM(V137:V139)</f>
        <v>#VALUE!</v>
      </c>
      <c r="W140" s="84" t="str">
        <f>CONCATENATE("m'(",Q138,")=")</f>
        <v>m'(  )=</v>
      </c>
      <c r="X140" s="84" t="e">
        <f>(2*(X137^2)/24*V140)+(X139*Q137*WLS)</f>
        <v>#VALUE!</v>
      </c>
      <c r="Y140" s="84" t="e">
        <f>CONCATENATE("M(",Q137,")=")</f>
        <v>#VALUE!</v>
      </c>
      <c r="Z140" s="84" t="e">
        <f>VLOOKUP(Q137,STN_TABLE,4,FALSE)</f>
        <v>#VALUE!</v>
      </c>
      <c r="AA140" t="str">
        <f>CONCATENATE("M(",Q138,")=")</f>
        <v>M(  )=</v>
      </c>
      <c r="AB140" t="e">
        <f>X140+Z140</f>
        <v>#VALUE!</v>
      </c>
      <c r="AE140" s="89">
        <f>SUM(AE138:AE139)</f>
        <v>0</v>
      </c>
      <c r="AG140" s="89" t="e">
        <f>SUM(AG138:AG139)</f>
        <v>#VALUE!</v>
      </c>
      <c r="AH140" s="84" t="str">
        <f>CONCATENATE("m'(",AD139,")=")</f>
        <v>m'(  )=</v>
      </c>
      <c r="AI140" s="84" t="e">
        <f>(2*(AI137^2)/6*AG140)+(AI139*AD138*WLS)</f>
        <v>#VALUE!</v>
      </c>
      <c r="AJ140" s="84" t="str">
        <f>CONCATENATE("M(",AD138,")=")</f>
        <v>M(  )=</v>
      </c>
      <c r="AK140" s="84" t="str">
        <f>VLOOKUP(AD138,STN_TABLE,4,FALSE)</f>
        <v xml:space="preserve"> </v>
      </c>
      <c r="AL140" t="str">
        <f>CONCATENATE("M(",AD139,")=")</f>
        <v>M(  )=</v>
      </c>
      <c r="AM140" t="e">
        <f>AI140+AK140</f>
        <v>#VALUE!</v>
      </c>
      <c r="AO140" s="82" t="str">
        <f>AA140</f>
        <v>M(  )=</v>
      </c>
      <c r="AP140" s="82" t="e">
        <f>VLOOKUP(AO140,Rise_Results,2,FALSE)</f>
        <v>#N/A</v>
      </c>
      <c r="AQ140" s="82" t="e">
        <f>N140</f>
        <v>#VALUE!</v>
      </c>
      <c r="AR140" s="82" t="e">
        <f>IF(OR(AB139&lt;=0,AB140&lt;=0),1/0,AB140)</f>
        <v>#VALUE!</v>
      </c>
      <c r="AS140" s="82" t="e">
        <f>AM140</f>
        <v>#VALUE!</v>
      </c>
      <c r="AT140" t="e">
        <f>IFERROR(AP140,IFERROR(AQ140,IFERROR(AR140,AS140)))</f>
        <v>#VALUE!</v>
      </c>
      <c r="AU140" s="81"/>
    </row>
    <row r="141" spans="1:47" x14ac:dyDescent="0.25">
      <c r="A141" s="101">
        <f>A136+1</f>
        <v>20</v>
      </c>
      <c r="B141" s="101" t="str">
        <f t="shared" si="69"/>
        <v xml:space="preserve">  </v>
      </c>
      <c r="O141" s="101">
        <f>O136+1</f>
        <v>22</v>
      </c>
      <c r="P141" s="101" t="str">
        <f t="shared" si="65"/>
        <v xml:space="preserve">  </v>
      </c>
      <c r="AU141" s="81"/>
    </row>
    <row r="142" spans="1:47" x14ac:dyDescent="0.25">
      <c r="A142" s="84">
        <f>A141+1</f>
        <v>21</v>
      </c>
      <c r="B142" s="84" t="str">
        <f t="shared" si="69"/>
        <v xml:space="preserve">  </v>
      </c>
      <c r="C142" s="79" t="e">
        <f t="shared" ref="C142" si="72">IF(C143=B144,IF(C144-C143=C143-B143,B143,IF(C144-C143=C143-B142,B142,"#NA")),IF(C143=B143,IF(C144-C143=C143-B142,B142,IF(C144-C143=C143-B141,B141,"#NA")),"#NA"))</f>
        <v>#VALUE!</v>
      </c>
      <c r="D142" s="68" t="e">
        <f>VLOOKUP(C142,STN_TABLE,2,FALSE)</f>
        <v>#VALUE!</v>
      </c>
      <c r="E142" s="102">
        <v>1</v>
      </c>
      <c r="F142" s="68" t="e">
        <f>D142*E142</f>
        <v>#VALUE!</v>
      </c>
      <c r="G142" s="69" t="e">
        <f>C142</f>
        <v>#VALUE!</v>
      </c>
      <c r="H142" s="69" t="e">
        <f>F142*G142</f>
        <v>#VALUE!</v>
      </c>
      <c r="I142" s="6" t="s">
        <v>93</v>
      </c>
      <c r="J142" s="70" t="e">
        <f>IF(OR(D142=0,D143=0,D144=0),"#NA",IF(AND(C144-C143=C143-C142,C143&lt;&gt;C144,C142&lt;&gt;C143,C142&lt;&gt;C144,D144&lt;&gt;0,OR(D142&lt;&gt;0,D143&lt;&gt;0)),WLS*(C144-C143),"#NA"))</f>
        <v>#VALUE!</v>
      </c>
      <c r="O142" s="99">
        <f>O141+1</f>
        <v>23</v>
      </c>
      <c r="P142" s="99" t="str">
        <f t="shared" si="65"/>
        <v xml:space="preserve">  </v>
      </c>
      <c r="Q142" s="68" t="e">
        <f>IF(OR(P144-P143=P143-P142,P145-P143=P143-P142),P142,IF(OR(P144-P143=P143-P141,P145-P143=P143-P141),P141,"-"))</f>
        <v>#VALUE!</v>
      </c>
      <c r="R142" s="69" t="e">
        <f>VLOOKUP(Q142,STN_TABLE,2,FALSE)</f>
        <v>#VALUE!</v>
      </c>
      <c r="S142" s="69">
        <v>5</v>
      </c>
      <c r="T142" s="68" t="e">
        <f>R142*S142</f>
        <v>#VALUE!</v>
      </c>
      <c r="U142" s="79">
        <v>3</v>
      </c>
      <c r="V142" s="68" t="e">
        <f>R142*U142</f>
        <v>#VALUE!</v>
      </c>
      <c r="W142" s="6" t="s">
        <v>93</v>
      </c>
      <c r="X142" s="70" t="e">
        <f>IF(AND(Q144-Q143=Q143-Q142,NOT(AND(Q142=0,Q143=0)),NOT(AND(Q143=0,Q144=0))),WLS*(Q144-Q143),"#NA")</f>
        <v>#VALUE!</v>
      </c>
      <c r="AD142" s="93"/>
      <c r="AH142" s="6" t="s">
        <v>93</v>
      </c>
      <c r="AI142" s="70" t="e">
        <f>WLS*(AD144-AD143)</f>
        <v>#VALUE!</v>
      </c>
      <c r="AU142" s="81"/>
    </row>
    <row r="143" spans="1:47" x14ac:dyDescent="0.25">
      <c r="A143" s="84">
        <f>A142+1</f>
        <v>22</v>
      </c>
      <c r="B143" s="84" t="str">
        <f t="shared" si="69"/>
        <v xml:space="preserve">  </v>
      </c>
      <c r="C143" s="80" t="e">
        <f t="shared" ref="C143" si="73">IF(OR(B145-B144=B144-B143,B145-B144=B144-B142,B145-B144=B144-B141),B144,IF(OR(B145-B143=B143-B142,B145-B143=B143-B141),B143,IF(B145-B142=B142-B141,B142,"#NA")))</f>
        <v>#VALUE!</v>
      </c>
      <c r="D143" s="76" t="e">
        <f>VLOOKUP(C143,STN_TABLE,2,FALSE)</f>
        <v>#VALUE!</v>
      </c>
      <c r="E143" s="81">
        <v>4</v>
      </c>
      <c r="F143" s="76" t="e">
        <f>D143*E143</f>
        <v>#VALUE!</v>
      </c>
      <c r="G143" s="77" t="e">
        <f>C143</f>
        <v>#VALUE!</v>
      </c>
      <c r="H143" s="77" t="e">
        <f>F143*G143</f>
        <v>#VALUE!</v>
      </c>
      <c r="I143" s="495" t="s">
        <v>97</v>
      </c>
      <c r="J143" s="496"/>
      <c r="K143" s="78" t="s">
        <v>98</v>
      </c>
      <c r="L143" s="78"/>
      <c r="M143" s="7" t="s">
        <v>99</v>
      </c>
      <c r="N143" s="7"/>
      <c r="O143" s="99">
        <f>O142+1</f>
        <v>24</v>
      </c>
      <c r="P143" s="99" t="str">
        <f t="shared" si="65"/>
        <v xml:space="preserve">  </v>
      </c>
      <c r="Q143" s="76" t="str">
        <f>P143</f>
        <v xml:space="preserve">  </v>
      </c>
      <c r="R143" s="77" t="str">
        <f>VLOOKUP(Q143,STN_TABLE,2,FALSE)</f>
        <v xml:space="preserve">  </v>
      </c>
      <c r="S143" s="77">
        <v>8</v>
      </c>
      <c r="T143" s="76" t="e">
        <f>R143*S143</f>
        <v>#VALUE!</v>
      </c>
      <c r="U143" s="80">
        <v>10</v>
      </c>
      <c r="V143" s="76" t="e">
        <f>R143*U143</f>
        <v>#VALUE!</v>
      </c>
      <c r="W143" s="496" t="s">
        <v>97</v>
      </c>
      <c r="X143" s="496"/>
      <c r="Y143" s="496" t="s">
        <v>98</v>
      </c>
      <c r="Z143" s="496"/>
      <c r="AA143" s="494" t="s">
        <v>99</v>
      </c>
      <c r="AB143" s="494"/>
      <c r="AC143" s="99">
        <f>AC138+1</f>
        <v>23</v>
      </c>
      <c r="AD143" s="95" t="str">
        <f>VLOOKUP(AC143,STN_TABLE_2,2,FALSE)</f>
        <v xml:space="preserve">  </v>
      </c>
      <c r="AE143" s="68" t="str">
        <f>VLOOKUP(AD143,STN_TABLE,2,FALSE)</f>
        <v xml:space="preserve">  </v>
      </c>
      <c r="AF143" s="68">
        <v>1</v>
      </c>
      <c r="AG143" s="69" t="e">
        <f>AE143*AF143</f>
        <v>#VALUE!</v>
      </c>
      <c r="AH143" s="496" t="s">
        <v>97</v>
      </c>
      <c r="AI143" s="496"/>
      <c r="AJ143" s="496" t="s">
        <v>98</v>
      </c>
      <c r="AK143" s="496"/>
      <c r="AL143" s="494" t="s">
        <v>99</v>
      </c>
      <c r="AM143" s="494"/>
      <c r="AP143" s="86" t="s">
        <v>112</v>
      </c>
      <c r="AQ143" s="89" t="s">
        <v>113</v>
      </c>
      <c r="AR143" s="89" t="s">
        <v>114</v>
      </c>
      <c r="AS143" s="89" t="s">
        <v>115</v>
      </c>
      <c r="AU143" s="81"/>
    </row>
    <row r="144" spans="1:47" x14ac:dyDescent="0.25">
      <c r="A144" s="84">
        <f>A143+1</f>
        <v>23</v>
      </c>
      <c r="B144" s="84" t="str">
        <f t="shared" si="69"/>
        <v xml:space="preserve">  </v>
      </c>
      <c r="C144" s="88" t="str">
        <f t="shared" ref="C144" si="74">B145</f>
        <v xml:space="preserve">  </v>
      </c>
      <c r="D144" s="82" t="str">
        <f>VLOOKUP(C144,STN_TABLE,2,FALSE)</f>
        <v xml:space="preserve">  </v>
      </c>
      <c r="E144" s="92">
        <v>1</v>
      </c>
      <c r="F144" s="82" t="e">
        <f>D144*E144</f>
        <v>#VALUE!</v>
      </c>
      <c r="G144" s="83" t="str">
        <f>C144</f>
        <v xml:space="preserve">  </v>
      </c>
      <c r="H144" s="83" t="e">
        <f>F144*G144</f>
        <v>#VALUE!</v>
      </c>
      <c r="I144" s="84" t="str">
        <f>CONCATENATE("a'(",C144,")=")</f>
        <v>a'(  )=</v>
      </c>
      <c r="J144" s="84" t="e">
        <f>2*J142/3*F145</f>
        <v>#VALUE!</v>
      </c>
      <c r="K144" s="84" t="e">
        <f>CONCATENATE("A(",C142,")=")</f>
        <v>#VALUE!</v>
      </c>
      <c r="L144" s="84" t="e">
        <f>VLOOKUP(C142,STN_TABLE,3,FALSE)</f>
        <v>#VALUE!</v>
      </c>
      <c r="M144" t="str">
        <f>CONCATENATE("A(",C144,")=")</f>
        <v>A(  )=</v>
      </c>
      <c r="N144" t="e">
        <f>J144+L144</f>
        <v>#VALUE!</v>
      </c>
      <c r="O144" s="99">
        <f>O143+1</f>
        <v>25</v>
      </c>
      <c r="P144" s="99" t="str">
        <f t="shared" si="65"/>
        <v xml:space="preserve">  </v>
      </c>
      <c r="Q144" s="82" t="e">
        <f>IF(P144-P143=P143-P142,P144,IF(P145-P143=P143-P142,P145,IF(P144-P143=P143-P141,P144,IF(P145-P143=P143-P141,P145,"-"))))</f>
        <v>#VALUE!</v>
      </c>
      <c r="R144" s="83" t="e">
        <f>VLOOKUP(Q144,STN_TABLE,2,FALSE)</f>
        <v>#VALUE!</v>
      </c>
      <c r="S144" s="83">
        <v>-1</v>
      </c>
      <c r="T144" s="82" t="e">
        <f>R144*S144</f>
        <v>#VALUE!</v>
      </c>
      <c r="U144" s="88">
        <v>-1</v>
      </c>
      <c r="V144" s="82" t="e">
        <f>R144*U144</f>
        <v>#VALUE!</v>
      </c>
      <c r="W144" s="84" t="str">
        <f>CONCATENATE("a'(",Q143,")=")</f>
        <v>a'(  )=</v>
      </c>
      <c r="X144" s="84" t="e">
        <f>2*X142/12*T145</f>
        <v>#VALUE!</v>
      </c>
      <c r="Y144" s="84" t="e">
        <f>CONCATENATE("A(",Q142,")=")</f>
        <v>#VALUE!</v>
      </c>
      <c r="Z144" s="84" t="e">
        <f>VLOOKUP(Q142,STN_TABLE,3,FALSE)</f>
        <v>#VALUE!</v>
      </c>
      <c r="AA144" t="str">
        <f>CONCATENATE("A(",Q143,")=")</f>
        <v>A(  )=</v>
      </c>
      <c r="AB144" t="e">
        <f>X144+Z144</f>
        <v>#VALUE!</v>
      </c>
      <c r="AC144" s="99">
        <f>AC143+1</f>
        <v>24</v>
      </c>
      <c r="AD144" s="100" t="str">
        <f>VLOOKUP(AC144,STN_TABLE_2,2,FALSE)</f>
        <v xml:space="preserve">  </v>
      </c>
      <c r="AE144" s="82" t="str">
        <f>VLOOKUP(AD144,STN_TABLE,2,FALSE)</f>
        <v xml:space="preserve">  </v>
      </c>
      <c r="AF144" s="82">
        <v>2</v>
      </c>
      <c r="AG144" s="83" t="e">
        <f>AE144*AF144</f>
        <v>#VALUE!</v>
      </c>
      <c r="AH144" s="84" t="str">
        <f>CONCATENATE("a'(",AD144,")=")</f>
        <v>a'(  )=</v>
      </c>
      <c r="AI144" s="84" t="e">
        <f>2*AI142/2*AE145</f>
        <v>#VALUE!</v>
      </c>
      <c r="AJ144" s="84" t="str">
        <f>CONCATENATE("A(",AD143,")=")</f>
        <v>A(  )=</v>
      </c>
      <c r="AK144" s="84" t="str">
        <f>VLOOKUP(AD143,STN_TABLE,3,FALSE)</f>
        <v xml:space="preserve"> </v>
      </c>
      <c r="AL144" t="str">
        <f>CONCATENATE("A(",AD144,")=")</f>
        <v>A(  )=</v>
      </c>
      <c r="AM144" t="e">
        <f>AI144+AK144</f>
        <v>#VALUE!</v>
      </c>
      <c r="AO144" s="68" t="str">
        <f>AA144</f>
        <v>A(  )=</v>
      </c>
      <c r="AP144" s="68" t="e">
        <f>VLOOKUP(AO144,Rise_Results,2,FALSE)</f>
        <v>#N/A</v>
      </c>
      <c r="AQ144" s="76" t="e">
        <f>N144</f>
        <v>#VALUE!</v>
      </c>
      <c r="AR144" s="76" t="e">
        <f>IF(OR(AB144&lt;=0,AB145&lt;=0),1/0,AB144)</f>
        <v>#VALUE!</v>
      </c>
      <c r="AS144" s="76" t="e">
        <f>AM144</f>
        <v>#VALUE!</v>
      </c>
      <c r="AT144" t="e">
        <f>IFERROR(AP144,IFERROR(AQ144,IFERROR(AR144,AS144)))</f>
        <v>#VALUE!</v>
      </c>
      <c r="AU144" s="81"/>
    </row>
    <row r="145" spans="1:47" x14ac:dyDescent="0.25">
      <c r="A145" s="84">
        <f>A144+1</f>
        <v>24</v>
      </c>
      <c r="B145" s="84" t="str">
        <f t="shared" si="69"/>
        <v xml:space="preserve">  </v>
      </c>
      <c r="F145" s="82" t="e">
        <f>SUM(F142:F144)</f>
        <v>#VALUE!</v>
      </c>
      <c r="H145" s="82" t="e">
        <f>SUM(H142:H144)</f>
        <v>#VALUE!</v>
      </c>
      <c r="I145" s="84" t="str">
        <f>CONCATENATE("m'(",C144,")=")</f>
        <v>m'(  )=</v>
      </c>
      <c r="J145" s="84" t="e">
        <f>2*(J142*(WLS))/3*H145</f>
        <v>#VALUE!</v>
      </c>
      <c r="K145" s="84" t="e">
        <f>CONCATENATE("M(",C142,")=")</f>
        <v>#VALUE!</v>
      </c>
      <c r="L145" s="84" t="e">
        <f>VLOOKUP(C142,STN_TABLE,4,FALSE)</f>
        <v>#VALUE!</v>
      </c>
      <c r="M145" t="str">
        <f>CONCATENATE("M(",C144,")=")</f>
        <v>M(  )=</v>
      </c>
      <c r="N145" t="e">
        <f>J145+L145</f>
        <v>#VALUE!</v>
      </c>
      <c r="O145" s="99">
        <f>O144+1</f>
        <v>26</v>
      </c>
      <c r="P145" s="99" t="e">
        <f t="shared" si="65"/>
        <v>#N/A</v>
      </c>
      <c r="T145" s="89" t="e">
        <f>SUM(T142:T144)</f>
        <v>#VALUE!</v>
      </c>
      <c r="V145" s="82" t="e">
        <f>SUM(V142:V144)</f>
        <v>#VALUE!</v>
      </c>
      <c r="W145" s="84" t="str">
        <f>CONCATENATE("m'(",Q143,")=")</f>
        <v>m'(  )=</v>
      </c>
      <c r="X145" s="84" t="e">
        <f>(2*(X142^2)/24*V145)+(X144*Q142*WLS)</f>
        <v>#VALUE!</v>
      </c>
      <c r="Y145" s="84" t="e">
        <f>CONCATENATE("M(",Q142,")=")</f>
        <v>#VALUE!</v>
      </c>
      <c r="Z145" s="84" t="e">
        <f>VLOOKUP(Q142,STN_TABLE,4,FALSE)</f>
        <v>#VALUE!</v>
      </c>
      <c r="AA145" t="str">
        <f>CONCATENATE("M(",Q143,")=")</f>
        <v>M(  )=</v>
      </c>
      <c r="AB145" t="e">
        <f>X145+Z145</f>
        <v>#VALUE!</v>
      </c>
      <c r="AE145" s="89">
        <f>SUM(AE143:AE144)</f>
        <v>0</v>
      </c>
      <c r="AG145" s="89" t="e">
        <f>SUM(AG143:AG144)</f>
        <v>#VALUE!</v>
      </c>
      <c r="AH145" s="84" t="str">
        <f>CONCATENATE("m'(",AD144,")=")</f>
        <v>m'(  )=</v>
      </c>
      <c r="AI145" s="84" t="e">
        <f>(2*(AI142^2)/6*AG145)+(AI144*AD143*WLS)</f>
        <v>#VALUE!</v>
      </c>
      <c r="AJ145" s="84" t="str">
        <f>CONCATENATE("M(",AD143,")=")</f>
        <v>M(  )=</v>
      </c>
      <c r="AK145" s="84" t="str">
        <f>VLOOKUP(AD143,STN_TABLE,4,FALSE)</f>
        <v xml:space="preserve"> </v>
      </c>
      <c r="AL145" t="str">
        <f>CONCATENATE("M(",AD144,")=")</f>
        <v>M(  )=</v>
      </c>
      <c r="AM145" t="e">
        <f>AI145+AK145</f>
        <v>#VALUE!</v>
      </c>
      <c r="AO145" s="82" t="str">
        <f>AA145</f>
        <v>M(  )=</v>
      </c>
      <c r="AP145" s="82" t="e">
        <f>VLOOKUP(AO145,Rise_Results,2,FALSE)</f>
        <v>#N/A</v>
      </c>
      <c r="AQ145" s="82" t="e">
        <f>N145</f>
        <v>#VALUE!</v>
      </c>
      <c r="AR145" s="82" t="e">
        <f>IF(OR(AB144&lt;=0,AB145&lt;=0),1/0,AB145)</f>
        <v>#VALUE!</v>
      </c>
      <c r="AS145" s="82" t="e">
        <f>AM145</f>
        <v>#VALUE!</v>
      </c>
      <c r="AT145" t="e">
        <f>IFERROR(AP145,IFERROR(AQ145,IFERROR(AR145,AS145)))</f>
        <v>#VALUE!</v>
      </c>
      <c r="AU145" s="81"/>
    </row>
    <row r="146" spans="1:47" x14ac:dyDescent="0.25">
      <c r="A146" s="101">
        <f>A141+1</f>
        <v>21</v>
      </c>
      <c r="B146" s="101" t="str">
        <f t="shared" si="69"/>
        <v xml:space="preserve">  </v>
      </c>
      <c r="O146" s="101">
        <f>O141+1</f>
        <v>23</v>
      </c>
      <c r="P146" s="101" t="str">
        <f t="shared" si="65"/>
        <v xml:space="preserve">  </v>
      </c>
      <c r="AU146" s="81"/>
    </row>
    <row r="147" spans="1:47" x14ac:dyDescent="0.25">
      <c r="A147" s="84">
        <f>A146+1</f>
        <v>22</v>
      </c>
      <c r="B147" s="84" t="str">
        <f t="shared" si="69"/>
        <v xml:space="preserve">  </v>
      </c>
      <c r="C147" s="79" t="e">
        <f t="shared" ref="C147" si="75">IF(C148=B149,IF(C149-C148=C148-B148,B148,IF(C149-C148=C148-B147,B147,"#NA")),IF(C148=B148,IF(C149-C148=C148-B147,B147,IF(C149-C148=C148-B146,B146,"#NA")),"#NA"))</f>
        <v>#VALUE!</v>
      </c>
      <c r="D147" s="68" t="e">
        <f>VLOOKUP(C147,STN_TABLE,2,FALSE)</f>
        <v>#VALUE!</v>
      </c>
      <c r="E147" s="102">
        <v>1</v>
      </c>
      <c r="F147" s="68" t="e">
        <f>D147*E147</f>
        <v>#VALUE!</v>
      </c>
      <c r="G147" s="69" t="e">
        <f>C147</f>
        <v>#VALUE!</v>
      </c>
      <c r="H147" s="69" t="e">
        <f>F147*G147</f>
        <v>#VALUE!</v>
      </c>
      <c r="I147" s="6" t="s">
        <v>93</v>
      </c>
      <c r="J147" s="70" t="e">
        <f>IF(OR(D147=0,D148=0,D149=0),"#NA",IF(AND(C149-C148=C148-C147,C148&lt;&gt;C149,C147&lt;&gt;C148,C147&lt;&gt;C149,D149&lt;&gt;0,OR(D147&lt;&gt;0,D148&lt;&gt;0)),WLS*(C149-C148),"#NA"))</f>
        <v>#VALUE!</v>
      </c>
      <c r="O147" s="99">
        <f>O146+1</f>
        <v>24</v>
      </c>
      <c r="P147" s="99" t="str">
        <f t="shared" si="65"/>
        <v xml:space="preserve">  </v>
      </c>
      <c r="Q147" s="68" t="e">
        <f>IF(OR(P149-P148=P148-P147,P150-P148=P148-P147),P147,IF(OR(P149-P148=P148-P146,P150-P148=P148-P146),P146,"-"))</f>
        <v>#N/A</v>
      </c>
      <c r="R147" s="69" t="e">
        <f>VLOOKUP(Q147,STN_TABLE,2,FALSE)</f>
        <v>#N/A</v>
      </c>
      <c r="S147" s="69">
        <v>5</v>
      </c>
      <c r="T147" s="68" t="e">
        <f>R147*S147</f>
        <v>#N/A</v>
      </c>
      <c r="U147" s="79">
        <v>3</v>
      </c>
      <c r="V147" s="68" t="e">
        <f>R147*U147</f>
        <v>#N/A</v>
      </c>
      <c r="W147" s="6" t="s">
        <v>93</v>
      </c>
      <c r="X147" s="70" t="e">
        <f>IF(AND(Q149-Q148=Q148-Q147,NOT(AND(Q147=0,Q148=0)),NOT(AND(Q148=0,Q149=0))),WLS*(Q149-Q148),"#NA")</f>
        <v>#N/A</v>
      </c>
      <c r="AD147" s="93"/>
      <c r="AH147" s="6" t="s">
        <v>93</v>
      </c>
      <c r="AI147" s="70" t="e">
        <f>WLS*(AD149-AD148)</f>
        <v>#VALUE!</v>
      </c>
      <c r="AU147" s="81"/>
    </row>
    <row r="148" spans="1:47" x14ac:dyDescent="0.25">
      <c r="A148" s="84">
        <f>A147+1</f>
        <v>23</v>
      </c>
      <c r="B148" s="84" t="str">
        <f t="shared" si="69"/>
        <v xml:space="preserve">  </v>
      </c>
      <c r="C148" s="80" t="e">
        <f t="shared" ref="C148" si="76">IF(OR(B150-B149=B149-B148,B150-B149=B149-B147,B150-B149=B149-B146),B149,IF(OR(B150-B148=B148-B147,B150-B148=B148-B146),B148,IF(B150-B147=B147-B146,B147,"#NA")))</f>
        <v>#VALUE!</v>
      </c>
      <c r="D148" s="76" t="e">
        <f>VLOOKUP(C148,STN_TABLE,2,FALSE)</f>
        <v>#VALUE!</v>
      </c>
      <c r="E148" s="81">
        <v>4</v>
      </c>
      <c r="F148" s="76" t="e">
        <f>D148*E148</f>
        <v>#VALUE!</v>
      </c>
      <c r="G148" s="77" t="e">
        <f>C148</f>
        <v>#VALUE!</v>
      </c>
      <c r="H148" s="77" t="e">
        <f>F148*G148</f>
        <v>#VALUE!</v>
      </c>
      <c r="I148" s="495" t="s">
        <v>97</v>
      </c>
      <c r="J148" s="496"/>
      <c r="K148" s="78" t="s">
        <v>98</v>
      </c>
      <c r="L148" s="78"/>
      <c r="M148" s="7" t="s">
        <v>99</v>
      </c>
      <c r="N148" s="7"/>
      <c r="O148" s="99">
        <f>O147+1</f>
        <v>25</v>
      </c>
      <c r="P148" s="99" t="str">
        <f t="shared" si="65"/>
        <v xml:space="preserve">  </v>
      </c>
      <c r="Q148" s="76" t="str">
        <f>P148</f>
        <v xml:space="preserve">  </v>
      </c>
      <c r="R148" s="77" t="str">
        <f>VLOOKUP(Q148,STN_TABLE,2,FALSE)</f>
        <v xml:space="preserve">  </v>
      </c>
      <c r="S148" s="77">
        <v>8</v>
      </c>
      <c r="T148" s="76" t="e">
        <f>R148*S148</f>
        <v>#VALUE!</v>
      </c>
      <c r="U148" s="80">
        <v>10</v>
      </c>
      <c r="V148" s="76" t="e">
        <f>R148*U148</f>
        <v>#VALUE!</v>
      </c>
      <c r="W148" s="496" t="s">
        <v>97</v>
      </c>
      <c r="X148" s="496"/>
      <c r="Y148" s="496" t="s">
        <v>98</v>
      </c>
      <c r="Z148" s="496"/>
      <c r="AA148" s="494" t="s">
        <v>99</v>
      </c>
      <c r="AB148" s="494"/>
      <c r="AC148" s="99">
        <f>AC143+1</f>
        <v>24</v>
      </c>
      <c r="AD148" s="95" t="str">
        <f>VLOOKUP(AC148,STN_TABLE_2,2,FALSE)</f>
        <v xml:space="preserve">  </v>
      </c>
      <c r="AE148" s="68" t="str">
        <f>VLOOKUP(AD148,STN_TABLE,2,FALSE)</f>
        <v xml:space="preserve">  </v>
      </c>
      <c r="AF148" s="68">
        <v>1</v>
      </c>
      <c r="AG148" s="69" t="e">
        <f>AE148*AF148</f>
        <v>#VALUE!</v>
      </c>
      <c r="AH148" s="496" t="s">
        <v>97</v>
      </c>
      <c r="AI148" s="496"/>
      <c r="AJ148" s="496" t="s">
        <v>98</v>
      </c>
      <c r="AK148" s="496"/>
      <c r="AL148" s="494" t="s">
        <v>99</v>
      </c>
      <c r="AM148" s="494"/>
      <c r="AP148" s="86" t="s">
        <v>112</v>
      </c>
      <c r="AQ148" s="89" t="s">
        <v>113</v>
      </c>
      <c r="AR148" s="89" t="s">
        <v>114</v>
      </c>
      <c r="AS148" s="89" t="s">
        <v>115</v>
      </c>
      <c r="AU148" s="81"/>
    </row>
    <row r="149" spans="1:47" x14ac:dyDescent="0.25">
      <c r="A149" s="84">
        <f>A148+1</f>
        <v>24</v>
      </c>
      <c r="B149" s="84" t="str">
        <f t="shared" si="69"/>
        <v xml:space="preserve">  </v>
      </c>
      <c r="C149" s="88" t="str">
        <f t="shared" ref="C149" si="77">B150</f>
        <v xml:space="preserve">  </v>
      </c>
      <c r="D149" s="82" t="str">
        <f>VLOOKUP(C149,STN_TABLE,2,FALSE)</f>
        <v xml:space="preserve">  </v>
      </c>
      <c r="E149" s="92">
        <v>1</v>
      </c>
      <c r="F149" s="82" t="e">
        <f>D149*E149</f>
        <v>#VALUE!</v>
      </c>
      <c r="G149" s="83" t="str">
        <f>C149</f>
        <v xml:space="preserve">  </v>
      </c>
      <c r="H149" s="83" t="e">
        <f>F149*G149</f>
        <v>#VALUE!</v>
      </c>
      <c r="I149" s="84" t="str">
        <f>CONCATENATE("a'(",C149,")=")</f>
        <v>a'(  )=</v>
      </c>
      <c r="J149" s="84" t="e">
        <f>2*J147/3*F150</f>
        <v>#VALUE!</v>
      </c>
      <c r="K149" s="84" t="e">
        <f>CONCATENATE("A(",C147,")=")</f>
        <v>#VALUE!</v>
      </c>
      <c r="L149" s="84" t="e">
        <f>VLOOKUP(C147,STN_TABLE,3,FALSE)</f>
        <v>#VALUE!</v>
      </c>
      <c r="M149" t="str">
        <f>CONCATENATE("A(",C149,")=")</f>
        <v>A(  )=</v>
      </c>
      <c r="N149" t="e">
        <f>J149+L149</f>
        <v>#VALUE!</v>
      </c>
      <c r="O149" s="99">
        <f>O148+1</f>
        <v>26</v>
      </c>
      <c r="P149" s="99" t="e">
        <f t="shared" si="65"/>
        <v>#N/A</v>
      </c>
      <c r="Q149" s="82" t="e">
        <f>IF(P149-P148=P148-P147,P149,IF(P150-P148=P148-P147,P150,IF(P149-P148=P148-P146,P149,IF(P150-P148=P148-P146,P150,"-"))))</f>
        <v>#N/A</v>
      </c>
      <c r="R149" s="83" t="e">
        <f>VLOOKUP(Q149,STN_TABLE,2,FALSE)</f>
        <v>#N/A</v>
      </c>
      <c r="S149" s="83">
        <v>-1</v>
      </c>
      <c r="T149" s="82" t="e">
        <f>R149*S149</f>
        <v>#N/A</v>
      </c>
      <c r="U149" s="88">
        <v>-1</v>
      </c>
      <c r="V149" s="82" t="e">
        <f>R149*U149</f>
        <v>#N/A</v>
      </c>
      <c r="W149" s="84" t="str">
        <f>CONCATENATE("a'(",Q148,")=")</f>
        <v>a'(  )=</v>
      </c>
      <c r="X149" s="84" t="e">
        <f>2*X147/12*T150</f>
        <v>#N/A</v>
      </c>
      <c r="Y149" s="84" t="e">
        <f>CONCATENATE("A(",Q147,")=")</f>
        <v>#N/A</v>
      </c>
      <c r="Z149" s="84" t="e">
        <f>VLOOKUP(Q147,STN_TABLE,3,FALSE)</f>
        <v>#N/A</v>
      </c>
      <c r="AA149" t="str">
        <f>CONCATENATE("A(",Q148,")=")</f>
        <v>A(  )=</v>
      </c>
      <c r="AB149" t="e">
        <f>X149+Z149</f>
        <v>#N/A</v>
      </c>
      <c r="AC149" s="99">
        <f>AC148+1</f>
        <v>25</v>
      </c>
      <c r="AD149" s="100" t="str">
        <f>VLOOKUP(AC149,STN_TABLE_2,2,FALSE)</f>
        <v xml:space="preserve">  </v>
      </c>
      <c r="AE149" s="82" t="str">
        <f>VLOOKUP(AD149,STN_TABLE,2,FALSE)</f>
        <v xml:space="preserve">  </v>
      </c>
      <c r="AF149" s="82">
        <v>2</v>
      </c>
      <c r="AG149" s="83" t="e">
        <f>AE149*AF149</f>
        <v>#VALUE!</v>
      </c>
      <c r="AH149" s="84" t="str">
        <f>CONCATENATE("a'(",AD149,")=")</f>
        <v>a'(  )=</v>
      </c>
      <c r="AI149" s="84" t="e">
        <f>2*AI147/2*AE150</f>
        <v>#VALUE!</v>
      </c>
      <c r="AJ149" s="84" t="str">
        <f>CONCATENATE("A(",AD148,")=")</f>
        <v>A(  )=</v>
      </c>
      <c r="AK149" s="84" t="str">
        <f>VLOOKUP(AD148,STN_TABLE,3,FALSE)</f>
        <v xml:space="preserve"> </v>
      </c>
      <c r="AL149" t="str">
        <f>CONCATENATE("A(",AD149,")=")</f>
        <v>A(  )=</v>
      </c>
      <c r="AM149" t="e">
        <f>AI149+AK149</f>
        <v>#VALUE!</v>
      </c>
      <c r="AO149" s="68" t="str">
        <f>AA149</f>
        <v>A(  )=</v>
      </c>
      <c r="AP149" s="68" t="e">
        <f>VLOOKUP(AO149,Rise_Results,2,FALSE)</f>
        <v>#N/A</v>
      </c>
      <c r="AQ149" s="76" t="e">
        <f>N149</f>
        <v>#VALUE!</v>
      </c>
      <c r="AR149" s="76" t="e">
        <f>IF(OR(AB149&lt;=0,AB150&lt;=0),1/0,AB149)</f>
        <v>#N/A</v>
      </c>
      <c r="AS149" s="76" t="e">
        <f>AM149</f>
        <v>#VALUE!</v>
      </c>
      <c r="AT149" t="e">
        <f>IFERROR(AP149,IFERROR(AQ149,IFERROR(AR149,AS149)))</f>
        <v>#VALUE!</v>
      </c>
      <c r="AU149" s="81"/>
    </row>
    <row r="150" spans="1:47" x14ac:dyDescent="0.25">
      <c r="A150" s="84">
        <f>A149+1</f>
        <v>25</v>
      </c>
      <c r="B150" s="84" t="str">
        <f t="shared" si="69"/>
        <v xml:space="preserve">  </v>
      </c>
      <c r="F150" s="82" t="e">
        <f>SUM(F147:F149)</f>
        <v>#VALUE!</v>
      </c>
      <c r="H150" s="82" t="e">
        <f>SUM(H147:H149)</f>
        <v>#VALUE!</v>
      </c>
      <c r="I150" s="84" t="str">
        <f>CONCATENATE("m'(",C149,")=")</f>
        <v>m'(  )=</v>
      </c>
      <c r="J150" s="84" t="e">
        <f>2*(J147*(WLS))/3*H150</f>
        <v>#VALUE!</v>
      </c>
      <c r="K150" s="84" t="e">
        <f>CONCATENATE("M(",C147,")=")</f>
        <v>#VALUE!</v>
      </c>
      <c r="L150" s="84" t="e">
        <f>VLOOKUP(C147,STN_TABLE,4,FALSE)</f>
        <v>#VALUE!</v>
      </c>
      <c r="M150" t="str">
        <f>CONCATENATE("M(",C149,")=")</f>
        <v>M(  )=</v>
      </c>
      <c r="N150" t="e">
        <f>J150+L150</f>
        <v>#VALUE!</v>
      </c>
      <c r="O150" s="99">
        <f>O149+1</f>
        <v>27</v>
      </c>
      <c r="P150" s="99" t="e">
        <f t="shared" si="65"/>
        <v>#N/A</v>
      </c>
      <c r="T150" s="89" t="e">
        <f>SUM(T147:T149)</f>
        <v>#N/A</v>
      </c>
      <c r="V150" s="82" t="e">
        <f>SUM(V147:V149)</f>
        <v>#N/A</v>
      </c>
      <c r="W150" s="84" t="str">
        <f>CONCATENATE("m'(",Q148,")=")</f>
        <v>m'(  )=</v>
      </c>
      <c r="X150" s="84" t="e">
        <f>(2*(X147^2)/24*V150)+(X149*Q147*WLS)</f>
        <v>#N/A</v>
      </c>
      <c r="Y150" s="84" t="e">
        <f>CONCATENATE("M(",Q147,")=")</f>
        <v>#N/A</v>
      </c>
      <c r="Z150" s="84" t="e">
        <f>VLOOKUP(Q147,STN_TABLE,4,FALSE)</f>
        <v>#N/A</v>
      </c>
      <c r="AA150" t="str">
        <f>CONCATENATE("M(",Q148,")=")</f>
        <v>M(  )=</v>
      </c>
      <c r="AB150" t="e">
        <f>X150+Z150</f>
        <v>#N/A</v>
      </c>
      <c r="AE150" s="89">
        <f>SUM(AE148:AE149)</f>
        <v>0</v>
      </c>
      <c r="AG150" s="89" t="e">
        <f>SUM(AG148:AG149)</f>
        <v>#VALUE!</v>
      </c>
      <c r="AH150" s="84" t="str">
        <f>CONCATENATE("m'(",AD149,")=")</f>
        <v>m'(  )=</v>
      </c>
      <c r="AI150" s="84" t="e">
        <f>(2*(AI147^2)/6*AG150)+(AI149*AD148*WLS)</f>
        <v>#VALUE!</v>
      </c>
      <c r="AJ150" s="84" t="str">
        <f>CONCATENATE("M(",AD148,")=")</f>
        <v>M(  )=</v>
      </c>
      <c r="AK150" s="84" t="str">
        <f>VLOOKUP(AD148,STN_TABLE,4,FALSE)</f>
        <v xml:space="preserve"> </v>
      </c>
      <c r="AL150" t="str">
        <f>CONCATENATE("M(",AD149,")=")</f>
        <v>M(  )=</v>
      </c>
      <c r="AM150" t="e">
        <f>AI150+AK150</f>
        <v>#VALUE!</v>
      </c>
      <c r="AO150" s="82" t="str">
        <f>AA150</f>
        <v>M(  )=</v>
      </c>
      <c r="AP150" s="82" t="e">
        <f>VLOOKUP(AO150,Rise_Results,2,FALSE)</f>
        <v>#N/A</v>
      </c>
      <c r="AQ150" s="82" t="e">
        <f>N150</f>
        <v>#VALUE!</v>
      </c>
      <c r="AR150" s="82" t="e">
        <f>IF(OR(AB149&lt;=0,AB150&lt;=0),1/0,AB150)</f>
        <v>#N/A</v>
      </c>
      <c r="AS150" s="82" t="e">
        <f>AM150</f>
        <v>#VALUE!</v>
      </c>
      <c r="AT150" t="e">
        <f>IFERROR(AP150,IFERROR(AQ150,IFERROR(AR150,AS150)))</f>
        <v>#VALUE!</v>
      </c>
      <c r="AU150" s="81"/>
    </row>
    <row r="151" spans="1:47" x14ac:dyDescent="0.25">
      <c r="A151" s="101"/>
      <c r="B151" s="101"/>
      <c r="AU151" s="81"/>
    </row>
    <row r="152" spans="1:47" x14ac:dyDescent="0.25">
      <c r="A152" s="84"/>
      <c r="B152" s="84"/>
      <c r="E152" s="81"/>
      <c r="F152" s="81"/>
      <c r="G152" s="81"/>
      <c r="H152" s="81"/>
      <c r="I152" s="103"/>
      <c r="J152" s="70"/>
      <c r="AU152" s="81"/>
    </row>
    <row r="153" spans="1:47" x14ac:dyDescent="0.25">
      <c r="A153" s="84"/>
      <c r="B153" s="84"/>
      <c r="E153" s="81"/>
      <c r="F153" s="81"/>
      <c r="G153" s="81"/>
      <c r="H153" s="81"/>
      <c r="I153" s="104"/>
      <c r="J153" s="78"/>
      <c r="K153" s="78"/>
      <c r="L153" s="78"/>
      <c r="M153" s="7"/>
      <c r="N153" s="7"/>
      <c r="AO153" s="81"/>
      <c r="AP153" s="81"/>
      <c r="AQ153" s="81"/>
      <c r="AR153" s="81"/>
      <c r="AS153" s="81"/>
      <c r="AT153" s="81"/>
      <c r="AU153" s="81"/>
    </row>
    <row r="154" spans="1:47" x14ac:dyDescent="0.25">
      <c r="A154" s="84"/>
      <c r="B154" s="84"/>
      <c r="E154" s="81"/>
      <c r="F154" s="81"/>
      <c r="G154" s="81"/>
      <c r="H154" s="81"/>
      <c r="I154" s="105"/>
      <c r="J154" s="84"/>
      <c r="K154" s="84"/>
      <c r="L154" s="84"/>
      <c r="AO154" s="81"/>
      <c r="AP154" s="81"/>
      <c r="AQ154" s="81"/>
      <c r="AR154" s="81"/>
      <c r="AS154" s="81"/>
      <c r="AT154" s="81"/>
      <c r="AU154" s="81"/>
    </row>
    <row r="155" spans="1:47" x14ac:dyDescent="0.25">
      <c r="A155" s="84"/>
      <c r="B155" s="84"/>
      <c r="E155" s="81"/>
      <c r="F155" s="81"/>
      <c r="G155" s="81"/>
      <c r="H155" s="81"/>
      <c r="I155" s="105"/>
      <c r="J155" s="84"/>
      <c r="K155" s="84"/>
      <c r="L155" s="84"/>
      <c r="AO155" s="81"/>
      <c r="AP155" s="81"/>
      <c r="AQ155" s="81"/>
      <c r="AR155" s="81"/>
      <c r="AS155" s="81"/>
      <c r="AT155" s="81"/>
      <c r="AU155" s="81"/>
    </row>
    <row r="156" spans="1:47" x14ac:dyDescent="0.25">
      <c r="A156" s="101"/>
      <c r="B156" s="101"/>
      <c r="E156" s="81"/>
      <c r="F156" s="81"/>
      <c r="G156" s="81"/>
      <c r="H156" s="81"/>
      <c r="I156" s="81"/>
      <c r="AO156" s="81"/>
      <c r="AP156" s="81"/>
      <c r="AQ156" s="81"/>
      <c r="AR156" s="81"/>
      <c r="AS156" s="81"/>
      <c r="AT156" s="81"/>
      <c r="AU156" s="81"/>
    </row>
    <row r="157" spans="1:47" x14ac:dyDescent="0.25">
      <c r="A157" s="84"/>
      <c r="B157" s="84"/>
      <c r="E157" s="81"/>
      <c r="F157" s="81"/>
      <c r="G157" s="81"/>
      <c r="H157" s="81"/>
      <c r="I157" s="103"/>
      <c r="J157" s="70"/>
      <c r="AO157" s="81"/>
      <c r="AP157" s="81"/>
      <c r="AQ157" s="81"/>
      <c r="AR157" s="81"/>
      <c r="AS157" s="81"/>
      <c r="AT157" s="81"/>
      <c r="AU157" s="81"/>
    </row>
    <row r="158" spans="1:47" x14ac:dyDescent="0.25">
      <c r="A158" s="84"/>
      <c r="B158" s="84"/>
      <c r="E158" s="81"/>
      <c r="F158" s="81"/>
      <c r="G158" s="81"/>
      <c r="H158" s="81"/>
      <c r="I158" s="104"/>
      <c r="J158" s="78"/>
      <c r="K158" s="78"/>
      <c r="L158" s="78"/>
      <c r="M158" s="7"/>
      <c r="N158" s="7"/>
      <c r="AO158" s="81"/>
      <c r="AP158" s="81"/>
      <c r="AQ158" s="81"/>
      <c r="AR158" s="81"/>
      <c r="AS158" s="81"/>
      <c r="AT158" s="81"/>
      <c r="AU158" s="81"/>
    </row>
    <row r="159" spans="1:47" x14ac:dyDescent="0.25">
      <c r="A159" s="84"/>
      <c r="B159" s="84"/>
      <c r="E159" s="81"/>
      <c r="F159" s="81"/>
      <c r="G159" s="81"/>
      <c r="H159" s="81"/>
      <c r="I159" s="105"/>
      <c r="J159" s="84"/>
      <c r="K159" s="84"/>
      <c r="L159" s="84"/>
      <c r="AO159" s="81"/>
      <c r="AP159" s="81"/>
      <c r="AQ159" s="81"/>
      <c r="AR159" s="81"/>
      <c r="AS159" s="81"/>
      <c r="AT159" s="81"/>
      <c r="AU159" s="81"/>
    </row>
    <row r="160" spans="1:47" x14ac:dyDescent="0.25">
      <c r="A160" s="84"/>
      <c r="B160" s="84"/>
      <c r="E160" s="81"/>
      <c r="F160" s="81"/>
      <c r="G160" s="81"/>
      <c r="H160" s="81"/>
      <c r="I160" s="105"/>
      <c r="J160" s="84"/>
      <c r="K160" s="84"/>
      <c r="L160" s="84"/>
      <c r="AO160" s="81"/>
      <c r="AP160" s="81"/>
      <c r="AQ160" s="81"/>
      <c r="AR160" s="81"/>
      <c r="AS160" s="81"/>
      <c r="AT160" s="81"/>
      <c r="AU160" s="81"/>
    </row>
    <row r="161" spans="1:47" x14ac:dyDescent="0.25">
      <c r="A161" s="101"/>
      <c r="B161" s="101"/>
      <c r="E161" s="81"/>
      <c r="F161" s="81"/>
      <c r="G161" s="81"/>
      <c r="H161" s="81"/>
      <c r="I161" s="81"/>
      <c r="AO161" s="81"/>
      <c r="AP161" s="81"/>
      <c r="AQ161" s="81"/>
      <c r="AR161" s="81"/>
      <c r="AS161" s="81"/>
      <c r="AT161" s="81"/>
      <c r="AU161" s="81"/>
    </row>
    <row r="162" spans="1:47" x14ac:dyDescent="0.25">
      <c r="A162" s="84"/>
      <c r="B162" s="84"/>
      <c r="E162" s="81"/>
      <c r="F162" s="81"/>
      <c r="G162" s="81"/>
      <c r="H162" s="81"/>
      <c r="I162" s="103"/>
      <c r="J162" s="70"/>
      <c r="AO162" s="81"/>
      <c r="AP162" s="81"/>
      <c r="AQ162" s="81"/>
      <c r="AR162" s="81"/>
      <c r="AS162" s="81"/>
      <c r="AT162" s="81"/>
      <c r="AU162" s="81"/>
    </row>
    <row r="163" spans="1:47" x14ac:dyDescent="0.25">
      <c r="A163" s="84"/>
      <c r="B163" s="84"/>
      <c r="E163" s="81"/>
      <c r="F163" s="81"/>
      <c r="G163" s="81"/>
      <c r="H163" s="81"/>
      <c r="I163" s="104"/>
      <c r="J163" s="78"/>
      <c r="K163" s="78"/>
      <c r="L163" s="78"/>
      <c r="M163" s="7"/>
      <c r="N163" s="7"/>
      <c r="AO163" s="81"/>
      <c r="AP163" s="81"/>
      <c r="AQ163" s="81"/>
      <c r="AR163" s="81"/>
      <c r="AS163" s="81"/>
      <c r="AT163" s="81"/>
      <c r="AU163" s="81"/>
    </row>
    <row r="164" spans="1:47" x14ac:dyDescent="0.25">
      <c r="A164" s="84"/>
      <c r="B164" s="84"/>
      <c r="E164" s="81"/>
      <c r="F164" s="81"/>
      <c r="G164" s="81"/>
      <c r="H164" s="81"/>
      <c r="I164" s="105"/>
      <c r="J164" s="84"/>
      <c r="K164" s="84"/>
      <c r="L164" s="84"/>
    </row>
    <row r="165" spans="1:47" x14ac:dyDescent="0.25">
      <c r="A165" s="84"/>
      <c r="B165" s="84"/>
      <c r="E165" s="81"/>
      <c r="F165" s="81"/>
      <c r="G165" s="81"/>
      <c r="H165" s="81"/>
      <c r="I165" s="105"/>
      <c r="J165" s="84"/>
      <c r="K165" s="84"/>
      <c r="L165" s="84"/>
    </row>
    <row r="166" spans="1:47" x14ac:dyDescent="0.25">
      <c r="A166" s="101"/>
      <c r="B166" s="101"/>
      <c r="E166" s="81"/>
      <c r="F166" s="81"/>
      <c r="G166" s="81"/>
      <c r="H166" s="81"/>
      <c r="I166" s="81"/>
    </row>
    <row r="167" spans="1:47" x14ac:dyDescent="0.25">
      <c r="A167" s="84"/>
      <c r="B167" s="84"/>
      <c r="E167" s="81"/>
      <c r="F167" s="81"/>
      <c r="G167" s="81"/>
      <c r="H167" s="81"/>
      <c r="I167" s="103"/>
      <c r="J167" s="70"/>
    </row>
    <row r="168" spans="1:47" x14ac:dyDescent="0.25">
      <c r="A168" s="84"/>
      <c r="B168" s="84"/>
      <c r="E168" s="81"/>
      <c r="F168" s="81"/>
      <c r="G168" s="81"/>
      <c r="H168" s="81"/>
      <c r="I168" s="104"/>
      <c r="J168" s="78"/>
      <c r="K168" s="78"/>
      <c r="L168" s="78"/>
      <c r="M168" s="7"/>
      <c r="N168" s="7"/>
    </row>
    <row r="169" spans="1:47" x14ac:dyDescent="0.25">
      <c r="A169" s="84"/>
      <c r="B169" s="84"/>
      <c r="E169" s="81"/>
      <c r="F169" s="81"/>
      <c r="G169" s="81"/>
      <c r="H169" s="81"/>
      <c r="I169" s="105"/>
      <c r="J169" s="84"/>
      <c r="K169" s="84"/>
      <c r="L169" s="84"/>
    </row>
    <row r="170" spans="1:47" x14ac:dyDescent="0.25">
      <c r="A170" s="84"/>
      <c r="B170" s="84"/>
      <c r="E170" s="81"/>
      <c r="F170" s="81"/>
      <c r="G170" s="81"/>
      <c r="H170" s="81"/>
      <c r="I170" s="105"/>
      <c r="J170" s="84"/>
      <c r="K170" s="84"/>
      <c r="L170" s="84"/>
    </row>
    <row r="171" spans="1:47" x14ac:dyDescent="0.25">
      <c r="E171" s="81"/>
      <c r="F171" s="81"/>
      <c r="G171" s="81"/>
      <c r="H171" s="81"/>
      <c r="I171" s="81"/>
    </row>
  </sheetData>
  <sheetProtection selectLockedCells="1" selectUnlockedCells="1"/>
  <mergeCells count="167">
    <mergeCell ref="A1:B1"/>
    <mergeCell ref="E1:F1"/>
    <mergeCell ref="L1:M1"/>
    <mergeCell ref="W33:X33"/>
    <mergeCell ref="Y33:Z33"/>
    <mergeCell ref="AA33:AB33"/>
    <mergeCell ref="AH33:AI33"/>
    <mergeCell ref="AJ33:AK33"/>
    <mergeCell ref="AL33:AM33"/>
    <mergeCell ref="I38:J38"/>
    <mergeCell ref="W38:X38"/>
    <mergeCell ref="Y38:Z38"/>
    <mergeCell ref="AA38:AB38"/>
    <mergeCell ref="AH38:AI38"/>
    <mergeCell ref="AJ38:AK38"/>
    <mergeCell ref="AL38:AM38"/>
    <mergeCell ref="AL43:AM43"/>
    <mergeCell ref="I48:J48"/>
    <mergeCell ref="W48:X48"/>
    <mergeCell ref="Y48:Z48"/>
    <mergeCell ref="AA48:AB48"/>
    <mergeCell ref="AH48:AI48"/>
    <mergeCell ref="AJ48:AK48"/>
    <mergeCell ref="AL48:AM48"/>
    <mergeCell ref="I43:J43"/>
    <mergeCell ref="W43:X43"/>
    <mergeCell ref="Y43:Z43"/>
    <mergeCell ref="AA43:AB43"/>
    <mergeCell ref="AH43:AI43"/>
    <mergeCell ref="AJ43:AK43"/>
    <mergeCell ref="AL53:AM53"/>
    <mergeCell ref="I58:J58"/>
    <mergeCell ref="AH58:AI58"/>
    <mergeCell ref="AJ58:AK58"/>
    <mergeCell ref="AL58:AM58"/>
    <mergeCell ref="I63:J63"/>
    <mergeCell ref="W63:X63"/>
    <mergeCell ref="Y63:Z63"/>
    <mergeCell ref="AA63:AB63"/>
    <mergeCell ref="AH63:AI63"/>
    <mergeCell ref="I53:J53"/>
    <mergeCell ref="W53:X53"/>
    <mergeCell ref="Y53:Z53"/>
    <mergeCell ref="AA53:AB53"/>
    <mergeCell ref="AH53:AI53"/>
    <mergeCell ref="AJ53:AK53"/>
    <mergeCell ref="AJ63:AK63"/>
    <mergeCell ref="AL63:AM63"/>
    <mergeCell ref="I68:J68"/>
    <mergeCell ref="W68:X68"/>
    <mergeCell ref="Y68:Z68"/>
    <mergeCell ref="AA68:AB68"/>
    <mergeCell ref="AH68:AI68"/>
    <mergeCell ref="AJ68:AK68"/>
    <mergeCell ref="AL68:AM68"/>
    <mergeCell ref="AL73:AM73"/>
    <mergeCell ref="I78:J78"/>
    <mergeCell ref="W78:X78"/>
    <mergeCell ref="Y78:Z78"/>
    <mergeCell ref="AA78:AB78"/>
    <mergeCell ref="AH78:AI78"/>
    <mergeCell ref="AJ78:AK78"/>
    <mergeCell ref="AL78:AM78"/>
    <mergeCell ref="I73:J73"/>
    <mergeCell ref="W73:X73"/>
    <mergeCell ref="Y73:Z73"/>
    <mergeCell ref="AA73:AB73"/>
    <mergeCell ref="AH73:AI73"/>
    <mergeCell ref="AJ73:AK73"/>
    <mergeCell ref="AL83:AM83"/>
    <mergeCell ref="I88:J88"/>
    <mergeCell ref="W88:X88"/>
    <mergeCell ref="Y88:Z88"/>
    <mergeCell ref="AA88:AB88"/>
    <mergeCell ref="AH88:AI88"/>
    <mergeCell ref="AJ88:AK88"/>
    <mergeCell ref="AL88:AM88"/>
    <mergeCell ref="I83:J83"/>
    <mergeCell ref="W83:X83"/>
    <mergeCell ref="Y83:Z83"/>
    <mergeCell ref="AA83:AB83"/>
    <mergeCell ref="AH83:AI83"/>
    <mergeCell ref="AJ83:AK83"/>
    <mergeCell ref="AL93:AM93"/>
    <mergeCell ref="I98:J98"/>
    <mergeCell ref="W98:X98"/>
    <mergeCell ref="Y98:Z98"/>
    <mergeCell ref="AA98:AB98"/>
    <mergeCell ref="AH98:AI98"/>
    <mergeCell ref="AJ98:AK98"/>
    <mergeCell ref="AL98:AM98"/>
    <mergeCell ref="I93:J93"/>
    <mergeCell ref="W93:X93"/>
    <mergeCell ref="Y93:Z93"/>
    <mergeCell ref="AA93:AB93"/>
    <mergeCell ref="AH93:AI93"/>
    <mergeCell ref="AJ93:AK93"/>
    <mergeCell ref="AL103:AM103"/>
    <mergeCell ref="I108:J108"/>
    <mergeCell ref="W108:X108"/>
    <mergeCell ref="Y108:Z108"/>
    <mergeCell ref="AA108:AB108"/>
    <mergeCell ref="AH108:AI108"/>
    <mergeCell ref="AJ108:AK108"/>
    <mergeCell ref="AL108:AM108"/>
    <mergeCell ref="I103:J103"/>
    <mergeCell ref="W103:X103"/>
    <mergeCell ref="Y103:Z103"/>
    <mergeCell ref="AA103:AB103"/>
    <mergeCell ref="AH103:AI103"/>
    <mergeCell ref="AJ103:AK103"/>
    <mergeCell ref="AL113:AM113"/>
    <mergeCell ref="I118:J118"/>
    <mergeCell ref="W118:X118"/>
    <mergeCell ref="Y118:Z118"/>
    <mergeCell ref="AA118:AB118"/>
    <mergeCell ref="AH118:AI118"/>
    <mergeCell ref="AJ118:AK118"/>
    <mergeCell ref="AL118:AM118"/>
    <mergeCell ref="I113:J113"/>
    <mergeCell ref="W113:X113"/>
    <mergeCell ref="Y113:Z113"/>
    <mergeCell ref="AA113:AB113"/>
    <mergeCell ref="AH113:AI113"/>
    <mergeCell ref="AJ113:AK113"/>
    <mergeCell ref="AL123:AM123"/>
    <mergeCell ref="I128:J128"/>
    <mergeCell ref="W128:X128"/>
    <mergeCell ref="Y128:Z128"/>
    <mergeCell ref="AA128:AB128"/>
    <mergeCell ref="AH128:AI128"/>
    <mergeCell ref="AJ128:AK128"/>
    <mergeCell ref="AL128:AM128"/>
    <mergeCell ref="I123:J123"/>
    <mergeCell ref="W123:X123"/>
    <mergeCell ref="Y123:Z123"/>
    <mergeCell ref="AA123:AB123"/>
    <mergeCell ref="AH123:AI123"/>
    <mergeCell ref="AJ123:AK123"/>
    <mergeCell ref="AL133:AM133"/>
    <mergeCell ref="I138:J138"/>
    <mergeCell ref="W138:X138"/>
    <mergeCell ref="Y138:Z138"/>
    <mergeCell ref="AA138:AB138"/>
    <mergeCell ref="AH138:AI138"/>
    <mergeCell ref="AJ138:AK138"/>
    <mergeCell ref="AL138:AM138"/>
    <mergeCell ref="I133:J133"/>
    <mergeCell ref="W133:X133"/>
    <mergeCell ref="Y133:Z133"/>
    <mergeCell ref="AA133:AB133"/>
    <mergeCell ref="AH133:AI133"/>
    <mergeCell ref="AJ133:AK133"/>
    <mergeCell ref="AL143:AM143"/>
    <mergeCell ref="I148:J148"/>
    <mergeCell ref="W148:X148"/>
    <mergeCell ref="Y148:Z148"/>
    <mergeCell ref="AA148:AB148"/>
    <mergeCell ref="AH148:AI148"/>
    <mergeCell ref="AJ148:AK148"/>
    <mergeCell ref="AL148:AM148"/>
    <mergeCell ref="I143:J143"/>
    <mergeCell ref="W143:X143"/>
    <mergeCell ref="Y143:Z143"/>
    <mergeCell ref="AA143:AB143"/>
    <mergeCell ref="AH143:AI143"/>
    <mergeCell ref="AJ143:AK143"/>
  </mergeCells>
  <pageMargins left="0.7" right="0.7" top="0.75" bottom="0.75" header="0.3" footer="0.3"/>
  <pageSetup paperSize="9"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AU171"/>
  <sheetViews>
    <sheetView topLeftCell="N1" workbookViewId="0">
      <pane ySplit="1" topLeftCell="A8" activePane="bottomLeft" state="frozen"/>
      <selection activeCell="AG8" sqref="AG8:AG10"/>
      <selection pane="bottomLeft" activeCell="AG8" sqref="AG8:AG10"/>
    </sheetView>
  </sheetViews>
  <sheetFormatPr defaultRowHeight="15" x14ac:dyDescent="0.25"/>
  <sheetData>
    <row r="1" spans="1:46" x14ac:dyDescent="0.25">
      <c r="A1" s="494" t="s">
        <v>90</v>
      </c>
      <c r="B1" s="494"/>
      <c r="C1">
        <f>HLOOKUP(Stn_WL,OFFSET_A,Count_STN+1,FALSE)</f>
        <v>13</v>
      </c>
      <c r="E1" s="494" t="s">
        <v>91</v>
      </c>
      <c r="F1" s="494"/>
      <c r="G1" t="str">
        <f>VLOOKUP(Station_No,RISE_CALC,2,FALSE)</f>
        <v>-</v>
      </c>
      <c r="L1" s="494" t="s">
        <v>92</v>
      </c>
      <c r="M1" s="494"/>
      <c r="N1">
        <v>16</v>
      </c>
    </row>
    <row r="2" spans="1:46" x14ac:dyDescent="0.25">
      <c r="Q2" s="66" t="str">
        <f t="shared" ref="Q2:R6" si="0">G4</f>
        <v>Rise</v>
      </c>
      <c r="R2" s="67" t="e">
        <f t="shared" si="0"/>
        <v>#VALUE!</v>
      </c>
      <c r="S2" s="68" t="e">
        <f>IF(OR(R5-R4=R4-R3,R6-R4=R4-R3),R3,IF(OR(R5-R4=R4-R2,R6-R4=R4-R2),R2,"-"))</f>
        <v>#VALUE!</v>
      </c>
      <c r="T2" s="69" t="e">
        <f>IFERROR(VLOOKUP(S2,STN_TABLE,2,FALSE),IF(R2=RisePerWLS,0,"-"))</f>
        <v>#VALUE!</v>
      </c>
      <c r="U2" s="69">
        <v>5</v>
      </c>
      <c r="V2" s="69" t="e">
        <f>T2*U2</f>
        <v>#VALUE!</v>
      </c>
      <c r="W2" s="69">
        <v>3</v>
      </c>
      <c r="X2" s="69" t="e">
        <f>T2*W2</f>
        <v>#VALUE!</v>
      </c>
      <c r="Y2" s="6" t="s">
        <v>93</v>
      </c>
      <c r="Z2" s="70" t="e">
        <f>IF(AND(S4-S3=S3-S2,NOT(AND(S2=0,S3=0)),NOT(AND(S3=0,S4=0))),WLS*(S4-S3),"#NA")</f>
        <v>#VALUE!</v>
      </c>
      <c r="AE2" s="71" t="s">
        <v>94</v>
      </c>
    </row>
    <row r="3" spans="1:46" x14ac:dyDescent="0.25">
      <c r="B3" s="72" t="s">
        <v>0</v>
      </c>
      <c r="C3" s="73" t="s">
        <v>95</v>
      </c>
      <c r="D3" s="73" t="s">
        <v>18</v>
      </c>
      <c r="E3" s="74" t="s">
        <v>20</v>
      </c>
      <c r="H3" s="75" t="s">
        <v>96</v>
      </c>
      <c r="K3" t="str">
        <f>IF(Rise=0,"(Not considered)","(Considered)")</f>
        <v>(Considered)</v>
      </c>
      <c r="Q3" s="66" t="str">
        <f t="shared" si="0"/>
        <v>1st_UWL</v>
      </c>
      <c r="R3" s="67" t="str">
        <f t="shared" si="0"/>
        <v>#NA</v>
      </c>
      <c r="S3" s="76" t="str">
        <f>R4</f>
        <v>#NA</v>
      </c>
      <c r="T3" s="77" t="e">
        <f>VLOOKUP(S3,STN_TABLE,2,FALSE)</f>
        <v>#N/A</v>
      </c>
      <c r="U3" s="77">
        <v>8</v>
      </c>
      <c r="V3" s="77" t="e">
        <f>T3*U3</f>
        <v>#N/A</v>
      </c>
      <c r="W3" s="77">
        <v>10</v>
      </c>
      <c r="X3" s="77" t="e">
        <f>T3*W3</f>
        <v>#N/A</v>
      </c>
      <c r="Y3" s="78" t="s">
        <v>97</v>
      </c>
      <c r="Z3" s="78"/>
      <c r="AA3" s="78" t="s">
        <v>98</v>
      </c>
      <c r="AB3" s="78"/>
      <c r="AC3" s="7" t="s">
        <v>99</v>
      </c>
      <c r="AD3" s="7"/>
      <c r="AE3" s="66" t="str">
        <f t="shared" ref="AE3:AF7" si="1">G4</f>
        <v>Rise</v>
      </c>
      <c r="AF3" s="67" t="e">
        <f t="shared" si="1"/>
        <v>#VALUE!</v>
      </c>
      <c r="AG3" s="79" t="e">
        <f>IF(AF7-AF6=AF6-AF5,AF5,IF(OR(AF7-AF6=AF6-AF4,AF7-AF5=AF5-AF4),AF4,IF(OR(AF7-AF6=AF6-AF3,AF7-AF5=AF5-AF3,AF7-AF4=AF4-AF3),AF3,"#NA")))</f>
        <v>#VALUE!</v>
      </c>
      <c r="AH3" s="69" t="e">
        <f>IFERROR(VLOOKUP(AG3,STN_TABLE,2,FALSE),IF(AF3=RisePerWLS,0,"-"))</f>
        <v>#VALUE!</v>
      </c>
      <c r="AI3" s="69">
        <v>1</v>
      </c>
      <c r="AJ3" s="69" t="e">
        <f>AH3*AI3</f>
        <v>#VALUE!</v>
      </c>
      <c r="AK3" s="69" t="e">
        <f>AG3</f>
        <v>#VALUE!</v>
      </c>
      <c r="AL3" s="69" t="e">
        <f>AJ3*AK3</f>
        <v>#VALUE!</v>
      </c>
      <c r="AM3" s="6" t="s">
        <v>93</v>
      </c>
      <c r="AN3" s="70" t="e">
        <f>IF(AND(AH3=0,AH4=0,AH5=0),WLS*(AG5-AG4),IF(AND(AG5-AG4=AG4-AG3,AG4&lt;&gt;AG5,AG3&lt;&gt;AG4,AG3&lt;&gt;AG5,AH5&lt;&gt;0,OR(AH3&lt;&gt;0,AH4&lt;&gt;0)),WLS*(AG5-AG4),"#NA"))</f>
        <v>#VALUE!</v>
      </c>
    </row>
    <row r="4" spans="1:46" x14ac:dyDescent="0.25">
      <c r="A4">
        <v>1</v>
      </c>
      <c r="B4" s="80">
        <f t="shared" ref="B4:B28" si="2">VLOOKUP(Stn_WL,OFFSET_A,A4+1,FALSE)</f>
        <v>0</v>
      </c>
      <c r="C4" s="81">
        <f t="shared" ref="C4:C28" si="3">VLOOKUP(Station_No,OFFSET_A,A4+1,FALSE)</f>
        <v>9.6999999999999993</v>
      </c>
      <c r="D4" s="81">
        <v>0</v>
      </c>
      <c r="E4" s="77">
        <v>0</v>
      </c>
      <c r="G4" t="s">
        <v>100</v>
      </c>
      <c r="H4" t="e">
        <f>Rise/WLS</f>
        <v>#VALUE!</v>
      </c>
      <c r="K4" t="str">
        <f>CONCATENATE("A(",H5,")=")</f>
        <v>A(#NA)=</v>
      </c>
      <c r="L4" t="e">
        <f>IFERROR(N18,N22)</f>
        <v>#VALUE!</v>
      </c>
      <c r="Q4" s="66" t="str">
        <f t="shared" si="0"/>
        <v>2nd_UWL</v>
      </c>
      <c r="R4" s="67" t="str">
        <f t="shared" si="0"/>
        <v>#NA</v>
      </c>
      <c r="S4" s="82" t="e">
        <f>IF((S2-S3)=S3-R5,R5,IF(S2-S3=S3-R6,R6,"-"))</f>
        <v>#VALUE!</v>
      </c>
      <c r="T4" s="83" t="e">
        <f>VLOOKUP(S4,STN_TABLE,2,FALSE)</f>
        <v>#VALUE!</v>
      </c>
      <c r="U4" s="83">
        <v>-1</v>
      </c>
      <c r="V4" s="83" t="e">
        <f>T4*U4</f>
        <v>#VALUE!</v>
      </c>
      <c r="W4" s="83">
        <v>-1</v>
      </c>
      <c r="X4" s="83" t="e">
        <f>T4*W4</f>
        <v>#VALUE!</v>
      </c>
      <c r="Y4" s="84" t="str">
        <f>CONCATENATE("a'(",S3,")=")</f>
        <v>a'(#NA)=</v>
      </c>
      <c r="Z4" s="85" t="e">
        <f>2*Z2/12*V5</f>
        <v>#VALUE!</v>
      </c>
      <c r="AA4" s="84" t="e">
        <f>CONCATENATE("A(",S2,")=")</f>
        <v>#VALUE!</v>
      </c>
      <c r="AB4" s="84" t="e">
        <f>IF(S2=RisePerWLS,0,VLOOKUP(S2,STN_TABLE,3,FALSE))</f>
        <v>#VALUE!</v>
      </c>
      <c r="AC4" t="str">
        <f>CONCATENATE("A(",S3,")=")</f>
        <v>A(#NA)=</v>
      </c>
      <c r="AD4" t="e">
        <f>Z4+AB4</f>
        <v>#VALUE!</v>
      </c>
      <c r="AE4" s="66" t="str">
        <f t="shared" si="1"/>
        <v>1st_UWL</v>
      </c>
      <c r="AF4" s="67" t="str">
        <f t="shared" si="1"/>
        <v>#NA</v>
      </c>
      <c r="AG4" s="80" t="e">
        <f>IF(OR(AF7-AF6=AF6-AF5,AF7-AF6=AF6-AF4,AF7-AF6=AF6-AF3),AF6,IF(OR(AF7-AF5=AF5-AF4,AF7-AF5=AF5-AF3),AF5,IF(AF7-AF4=AF4-AF3,AF4,"#NA")))</f>
        <v>#VALUE!</v>
      </c>
      <c r="AH4" s="77" t="e">
        <f>VLOOKUP(AG4,STN_TABLE,2,FALSE)</f>
        <v>#VALUE!</v>
      </c>
      <c r="AI4" s="77">
        <v>4</v>
      </c>
      <c r="AJ4" s="77" t="e">
        <f>AH4*AI4</f>
        <v>#VALUE!</v>
      </c>
      <c r="AK4" s="77" t="e">
        <f>AG4</f>
        <v>#VALUE!</v>
      </c>
      <c r="AL4" s="77" t="e">
        <f>AJ4*AK4</f>
        <v>#VALUE!</v>
      </c>
      <c r="AM4" s="78" t="s">
        <v>97</v>
      </c>
      <c r="AN4" s="78"/>
      <c r="AO4" s="78" t="s">
        <v>98</v>
      </c>
      <c r="AP4" s="78"/>
      <c r="AQ4" s="7" t="s">
        <v>99</v>
      </c>
      <c r="AR4" s="7"/>
      <c r="AS4" s="7"/>
      <c r="AT4" s="7"/>
    </row>
    <row r="5" spans="1:46" x14ac:dyDescent="0.25">
      <c r="A5">
        <v>2</v>
      </c>
      <c r="B5" s="80">
        <f t="shared" si="2"/>
        <v>0.25</v>
      </c>
      <c r="C5" s="81">
        <f t="shared" si="3"/>
        <v>10.45</v>
      </c>
      <c r="D5" s="81">
        <f t="shared" ref="D5:D28" si="4">IFERROR(VLOOKUP(CONCATENATE("A(",B5,")="),RESULT_TABLE,6,FALSE)," ")</f>
        <v>10.112499999999999</v>
      </c>
      <c r="E5" s="77">
        <f t="shared" ref="E5:E28" si="5">IFERROR(VLOOKUP(CONCATENATE("M(",B5,")="),RESULT_TABLE,6,FALSE)," ")</f>
        <v>2.5593749999999997</v>
      </c>
      <c r="G5" t="s">
        <v>101</v>
      </c>
      <c r="H5" t="str">
        <f>VLOOKUP(Station_No,RISE_CALC,4,FALSE)</f>
        <v>#NA</v>
      </c>
      <c r="K5" t="str">
        <f>CONCATENATE("M(",H5,")=")</f>
        <v>M(#NA)=</v>
      </c>
      <c r="L5" t="e">
        <f>IFERROR(N19,N23)</f>
        <v>#VALUE!</v>
      </c>
      <c r="Q5" s="66" t="str">
        <f t="shared" si="0"/>
        <v>3rd_UWL</v>
      </c>
      <c r="R5" s="67" t="str">
        <f t="shared" si="0"/>
        <v>#NA</v>
      </c>
      <c r="V5" s="86" t="e">
        <f>SUM(V2:V4)</f>
        <v>#VALUE!</v>
      </c>
      <c r="X5" s="87" t="e">
        <f>SUM(X2:X4)</f>
        <v>#VALUE!</v>
      </c>
      <c r="Y5" s="84" t="str">
        <f>CONCATENATE("m'(",S3,")=")</f>
        <v>m'(#NA)=</v>
      </c>
      <c r="Z5" s="85" t="e">
        <f>(2*(Z2^2)/24*X5)+(Z4*S2*WLS)</f>
        <v>#VALUE!</v>
      </c>
      <c r="AA5" s="84" t="e">
        <f>CONCATENATE("M(",S2,")=")</f>
        <v>#VALUE!</v>
      </c>
      <c r="AB5" s="84" t="e">
        <f>IF(S2=RisePerWLS,0,VLOOKUP(S2,STN_TABLE,4,FALSE))</f>
        <v>#VALUE!</v>
      </c>
      <c r="AC5" t="str">
        <f>CONCATENATE("M(",S3,")=")</f>
        <v>M(#NA)=</v>
      </c>
      <c r="AD5" t="e">
        <f>Z5+AB5</f>
        <v>#VALUE!</v>
      </c>
      <c r="AE5" s="66" t="str">
        <f t="shared" si="1"/>
        <v>2nd_UWL</v>
      </c>
      <c r="AF5" s="67" t="str">
        <f t="shared" si="1"/>
        <v>#NA</v>
      </c>
      <c r="AG5" s="88" t="str">
        <f>AF7</f>
        <v>#NA</v>
      </c>
      <c r="AH5" s="83" t="e">
        <f>VLOOKUP(AG5,STN_TABLE,2,FALSE)</f>
        <v>#N/A</v>
      </c>
      <c r="AI5" s="83">
        <v>1</v>
      </c>
      <c r="AJ5" s="83" t="e">
        <f>AH5*AI5</f>
        <v>#N/A</v>
      </c>
      <c r="AK5" s="83" t="str">
        <f>AG5</f>
        <v>#NA</v>
      </c>
      <c r="AL5" s="83" t="e">
        <f>AJ5*AK5</f>
        <v>#N/A</v>
      </c>
      <c r="AM5" s="84" t="str">
        <f>CONCATENATE("a'(",AG5,")=")</f>
        <v>a'(#NA)=</v>
      </c>
      <c r="AN5" s="84" t="e">
        <f>2*AN3/3*AJ6</f>
        <v>#VALUE!</v>
      </c>
      <c r="AO5" s="84" t="e">
        <f>CONCATENATE("A(",AG3,")=")</f>
        <v>#VALUE!</v>
      </c>
      <c r="AP5" s="84" t="e">
        <f>IF(AG3=RisePerWLS,0,VLOOKUP(AG3,STN_TABLE,3,FALSE))</f>
        <v>#VALUE!</v>
      </c>
      <c r="AQ5" t="str">
        <f>CONCATENATE("A(",AG5,")=")</f>
        <v>A(#NA)=</v>
      </c>
      <c r="AR5" t="e">
        <f>AN5+AP5</f>
        <v>#VALUE!</v>
      </c>
    </row>
    <row r="6" spans="1:46" x14ac:dyDescent="0.25">
      <c r="A6">
        <v>3</v>
      </c>
      <c r="B6" s="80">
        <f t="shared" si="2"/>
        <v>0.5</v>
      </c>
      <c r="C6" s="81">
        <f t="shared" si="3"/>
        <v>10.75</v>
      </c>
      <c r="D6" s="81">
        <f t="shared" si="4"/>
        <v>20.75</v>
      </c>
      <c r="E6" s="77">
        <f t="shared" si="5"/>
        <v>10.549999999999999</v>
      </c>
      <c r="G6" t="s">
        <v>102</v>
      </c>
      <c r="H6" t="str">
        <f>VLOOKUP(Station_No,RISE_CALC,5,FALSE)</f>
        <v>#NA</v>
      </c>
      <c r="K6" t="str">
        <f>CONCATENATE("A(",H6,")=")</f>
        <v>A(#NA)=</v>
      </c>
      <c r="L6" t="e">
        <f>IFERROR(P27,IFERROR(X6,AD9))</f>
        <v>#VALUE!</v>
      </c>
      <c r="Q6" s="66" t="str">
        <f t="shared" si="0"/>
        <v>4th_UWL</v>
      </c>
      <c r="R6" s="67" t="str">
        <f t="shared" si="0"/>
        <v>#NA</v>
      </c>
      <c r="U6" t="s">
        <v>103</v>
      </c>
      <c r="W6" t="str">
        <f>CONCATENATE("A(",S3,")=")</f>
        <v>A(#NA)=</v>
      </c>
      <c r="X6" t="e">
        <f>IF(OR(AD4&lt;=0,AD5&lt;=0),AD9,AD4)</f>
        <v>#VALUE!</v>
      </c>
      <c r="AE6" s="66" t="str">
        <f t="shared" si="1"/>
        <v>3rd_UWL</v>
      </c>
      <c r="AF6" s="67" t="str">
        <f t="shared" si="1"/>
        <v>#NA</v>
      </c>
      <c r="AJ6" s="89" t="e">
        <f>SUM(AJ3:AJ5)</f>
        <v>#VALUE!</v>
      </c>
      <c r="AL6" s="89" t="e">
        <f>SUM(AL3:AL5)</f>
        <v>#VALUE!</v>
      </c>
      <c r="AM6" s="84" t="str">
        <f>CONCATENATE("m'(",AG5,")=")</f>
        <v>m'(#NA)=</v>
      </c>
      <c r="AN6" s="84" t="e">
        <f>2*(AN3*WLS)/3*AL6</f>
        <v>#VALUE!</v>
      </c>
      <c r="AO6" s="84" t="e">
        <f>CONCATENATE("M(",AG3,")=")</f>
        <v>#VALUE!</v>
      </c>
      <c r="AP6" s="84" t="e">
        <f>IF(AG3=RisePerWLS,0,VLOOKUP(AG3,STN_TABLE,4,FALSE))</f>
        <v>#VALUE!</v>
      </c>
      <c r="AQ6" t="str">
        <f>CONCATENATE("M(",AG5,")=")</f>
        <v>M(#NA)=</v>
      </c>
      <c r="AR6" t="e">
        <f>AN6+AP6</f>
        <v>#VALUE!</v>
      </c>
    </row>
    <row r="7" spans="1:46" x14ac:dyDescent="0.25">
      <c r="A7">
        <v>4</v>
      </c>
      <c r="B7" s="80">
        <f t="shared" si="2"/>
        <v>0.75</v>
      </c>
      <c r="C7" s="81">
        <f t="shared" si="3"/>
        <v>10.93</v>
      </c>
      <c r="D7" s="81">
        <f t="shared" si="4"/>
        <v>31.572499999999998</v>
      </c>
      <c r="E7" s="77">
        <f t="shared" si="5"/>
        <v>24.099374999999998</v>
      </c>
      <c r="G7" t="s">
        <v>104</v>
      </c>
      <c r="H7" t="str">
        <f>VLOOKUP(Station_No,RISE_CALC,6,FALSE)</f>
        <v>#NA</v>
      </c>
      <c r="K7" t="str">
        <f>CONCATENATE("M(",H6,")=")</f>
        <v>M(#NA)=</v>
      </c>
      <c r="L7" t="e">
        <f>IFERROR(P28,IFERROR(X7,AD10))</f>
        <v>#VALUE!</v>
      </c>
      <c r="Q7" s="66"/>
      <c r="R7" s="67"/>
      <c r="W7" t="str">
        <f>CONCATENATE("M(",S3,")=")</f>
        <v>M(#NA)=</v>
      </c>
      <c r="X7" t="e">
        <f>IF(OR(AD4&lt;=0,AD5&lt;=0),AD10,AD5)</f>
        <v>#VALUE!</v>
      </c>
      <c r="Y7" s="6" t="s">
        <v>93</v>
      </c>
      <c r="Z7" s="70" t="e">
        <f>WLS*(U9-U8)</f>
        <v>#VALUE!</v>
      </c>
      <c r="AE7" s="66" t="str">
        <f t="shared" si="1"/>
        <v>4th_UWL</v>
      </c>
      <c r="AF7" s="67" t="str">
        <f t="shared" si="1"/>
        <v>#NA</v>
      </c>
      <c r="AH7" s="81"/>
    </row>
    <row r="8" spans="1:46" x14ac:dyDescent="0.25">
      <c r="A8">
        <v>5</v>
      </c>
      <c r="B8" s="80">
        <f t="shared" si="2"/>
        <v>1</v>
      </c>
      <c r="C8" s="81">
        <f t="shared" si="3"/>
        <v>11</v>
      </c>
      <c r="D8" s="81">
        <f t="shared" si="4"/>
        <v>42.573333333333331</v>
      </c>
      <c r="E8" s="77">
        <f t="shared" si="5"/>
        <v>43.326666666666661</v>
      </c>
      <c r="G8" t="s">
        <v>105</v>
      </c>
      <c r="H8" t="str">
        <f>VLOOKUP(Station_No,RISE_CALC,7,FALSE)</f>
        <v>#NA</v>
      </c>
      <c r="K8" t="str">
        <f>CONCATENATE("A(",H7,")=")</f>
        <v>A(#NA)=</v>
      </c>
      <c r="L8" t="e">
        <f>IFERROR(AD15,IFERROR(X24,AD27))</f>
        <v>#VALUE!</v>
      </c>
      <c r="Q8" s="80"/>
      <c r="R8" s="81"/>
      <c r="U8" s="79" t="str">
        <f>R3</f>
        <v>#NA</v>
      </c>
      <c r="V8" s="68" t="e">
        <f>VLOOKUP(U8,STN_TABLE,2,FALSE)</f>
        <v>#N/A</v>
      </c>
      <c r="W8" s="68">
        <v>1</v>
      </c>
      <c r="X8" s="69" t="e">
        <f>V8*W8</f>
        <v>#N/A</v>
      </c>
      <c r="Y8" s="78" t="s">
        <v>97</v>
      </c>
      <c r="Z8" s="78"/>
      <c r="AA8" s="78" t="s">
        <v>98</v>
      </c>
      <c r="AB8" s="78"/>
      <c r="AC8" s="7" t="s">
        <v>99</v>
      </c>
      <c r="AD8" s="7"/>
      <c r="AE8" s="66"/>
      <c r="AF8" s="67"/>
      <c r="AG8" s="68" t="e">
        <f>IF(OR(AF12-AF11=AF11-AF10,AF13-AF11=AF11-AF10),AF10,IF(OR(AF12-AF11=AF11-AF9,AF13-AF11=AF11-AF9),AF9,"-"))</f>
        <v>#VALUE!</v>
      </c>
      <c r="AH8" s="69" t="e">
        <f>IFERROR(VLOOKUP(AG8,STN_TABLE,2,FALSE),IF(AF8=RisePerWLS,0,"-"))</f>
        <v>#VALUE!</v>
      </c>
      <c r="AI8" s="69">
        <v>5</v>
      </c>
      <c r="AJ8" s="69" t="e">
        <f>AH8*AI8</f>
        <v>#VALUE!</v>
      </c>
      <c r="AK8" s="69">
        <v>3</v>
      </c>
      <c r="AL8" s="69" t="e">
        <f>AH8*AK8</f>
        <v>#VALUE!</v>
      </c>
      <c r="AM8" s="6" t="s">
        <v>93</v>
      </c>
      <c r="AN8" s="70" t="e">
        <f>IF(AND(AG10-AG9=AG9-AG8,NOT(AND(AG8=0,AG9=0)),NOT(AND(AG9=0,AG10=0))),WLS*(AG10-AG9),"#NA")</f>
        <v>#VALUE!</v>
      </c>
    </row>
    <row r="9" spans="1:46" x14ac:dyDescent="0.25">
      <c r="A9">
        <v>6</v>
      </c>
      <c r="B9" s="80">
        <f t="shared" si="2"/>
        <v>2</v>
      </c>
      <c r="C9" s="81">
        <f t="shared" si="3"/>
        <v>11</v>
      </c>
      <c r="D9" s="81">
        <f t="shared" si="4"/>
        <v>86.573333333333323</v>
      </c>
      <c r="E9" s="77">
        <f t="shared" si="5"/>
        <v>175.32666666666665</v>
      </c>
      <c r="G9" t="s">
        <v>106</v>
      </c>
      <c r="H9" t="str">
        <f>VLOOKUP(Station_No,RISE_CALC,8,FALSE)</f>
        <v>#NA</v>
      </c>
      <c r="K9" t="str">
        <f>CONCATENATE("M(",H7,")=")</f>
        <v>M(#NA)=</v>
      </c>
      <c r="L9" t="e">
        <f>IFERROR(AD16,IFERROR(X25,AD28))</f>
        <v>#VALUE!</v>
      </c>
      <c r="Q9" s="80"/>
      <c r="R9" s="81"/>
      <c r="U9" s="88" t="str">
        <f>R4</f>
        <v>#NA</v>
      </c>
      <c r="V9" s="82" t="e">
        <f>VLOOKUP(U9,STN_TABLE,2,FALSE)</f>
        <v>#N/A</v>
      </c>
      <c r="W9" s="82">
        <v>2</v>
      </c>
      <c r="X9" s="83" t="e">
        <f>V9*W9</f>
        <v>#N/A</v>
      </c>
      <c r="Y9" s="84" t="str">
        <f>CONCATENATE("a'(",U9,")=")</f>
        <v>a'(#NA)=</v>
      </c>
      <c r="Z9" s="84" t="e">
        <f>2*Z7/2*V10</f>
        <v>#VALUE!</v>
      </c>
      <c r="AA9" s="84" t="str">
        <f>CONCATENATE("A(",U8,")=")</f>
        <v>A(#NA)=</v>
      </c>
      <c r="AB9" s="84" t="e">
        <f>IF(U8=RisePerWLS,0,VLOOKUP(U8,STN_TABLE,3,FALSE))</f>
        <v>#VALUE!</v>
      </c>
      <c r="AC9" t="str">
        <f>CONCATENATE("A(",U9,")=")</f>
        <v>A(#NA)=</v>
      </c>
      <c r="AD9" t="e">
        <f>Z9+AB9</f>
        <v>#VALUE!</v>
      </c>
      <c r="AE9" s="66" t="str">
        <f t="shared" ref="AE9:AF13" si="6">G6</f>
        <v>2nd_UWL</v>
      </c>
      <c r="AF9" s="67" t="str">
        <f t="shared" si="6"/>
        <v>#NA</v>
      </c>
      <c r="AG9" s="76" t="str">
        <f>AF11</f>
        <v>#NA</v>
      </c>
      <c r="AH9" s="77" t="e">
        <f>VLOOKUP(AG9,STN_TABLE,2,FALSE)</f>
        <v>#N/A</v>
      </c>
      <c r="AI9" s="77">
        <v>8</v>
      </c>
      <c r="AJ9" s="77" t="e">
        <f>AH9*AI9</f>
        <v>#N/A</v>
      </c>
      <c r="AK9" s="77">
        <v>10</v>
      </c>
      <c r="AL9" s="77" t="e">
        <f>AH9*AK9</f>
        <v>#N/A</v>
      </c>
      <c r="AM9" s="78" t="s">
        <v>97</v>
      </c>
      <c r="AN9" s="78"/>
      <c r="AO9" s="78" t="s">
        <v>98</v>
      </c>
      <c r="AP9" s="78"/>
      <c r="AQ9" s="7" t="s">
        <v>99</v>
      </c>
      <c r="AR9" s="7"/>
      <c r="AS9" s="7"/>
      <c r="AT9" s="7"/>
    </row>
    <row r="10" spans="1:46" x14ac:dyDescent="0.25">
      <c r="A10">
        <v>7</v>
      </c>
      <c r="B10" s="80">
        <f t="shared" si="2"/>
        <v>3</v>
      </c>
      <c r="C10" s="81">
        <f t="shared" si="3"/>
        <v>11</v>
      </c>
      <c r="D10" s="81">
        <f t="shared" si="4"/>
        <v>130.57333333333332</v>
      </c>
      <c r="E10" s="77">
        <f t="shared" si="5"/>
        <v>395.32666666666665</v>
      </c>
      <c r="G10" t="s">
        <v>107</v>
      </c>
      <c r="H10" t="str">
        <f>VLOOKUP(Station_No,RISE_CALC,9,FALSE)</f>
        <v>#NA</v>
      </c>
      <c r="K10" t="str">
        <f>CONCATENATE("A(",H8,")=")</f>
        <v>A(#NA)=</v>
      </c>
      <c r="L10" t="e">
        <f>IFERROR(AR5,IFERROR(AL12,AR15))</f>
        <v>#VALUE!</v>
      </c>
      <c r="Q10" s="80"/>
      <c r="R10" s="81"/>
      <c r="V10" s="89" t="e">
        <f>SUM(V8:V9)</f>
        <v>#N/A</v>
      </c>
      <c r="X10" s="89" t="e">
        <f>SUM(X8:X9)</f>
        <v>#N/A</v>
      </c>
      <c r="Y10" s="84" t="str">
        <f>CONCATENATE("m'(",U9,")=")</f>
        <v>m'(#NA)=</v>
      </c>
      <c r="Z10" s="84" t="e">
        <f>(2*(Z7^2)/6*X10)+(Z9*U8*WLS)</f>
        <v>#VALUE!</v>
      </c>
      <c r="AA10" s="84" t="str">
        <f>CONCATENATE("M(",U8,")=")</f>
        <v>M(#NA)=</v>
      </c>
      <c r="AB10" s="84" t="e">
        <f>IF(U8=RisePerWLS,0,VLOOKUP(U8,STN_TABLE,4,FALSE))</f>
        <v>#VALUE!</v>
      </c>
      <c r="AC10" t="str">
        <f>CONCATENATE("M(",U9,")=")</f>
        <v>M(#NA)=</v>
      </c>
      <c r="AD10" t="e">
        <f>Z10+AB10</f>
        <v>#VALUE!</v>
      </c>
      <c r="AE10" s="66" t="str">
        <f t="shared" si="6"/>
        <v>3rd_UWL</v>
      </c>
      <c r="AF10" s="67" t="str">
        <f t="shared" si="6"/>
        <v>#NA</v>
      </c>
      <c r="AG10" s="82" t="e">
        <f>IF(AG8-AG9=AG9-AF12,AF12,IF(AG8-AG9=AG9-AF13,AF13,"-"))</f>
        <v>#VALUE!</v>
      </c>
      <c r="AH10" s="83" t="e">
        <f>VLOOKUP(AG10,STN_TABLE,2,FALSE)</f>
        <v>#VALUE!</v>
      </c>
      <c r="AI10" s="83">
        <v>-1</v>
      </c>
      <c r="AJ10" s="83" t="e">
        <f>AH10*AI10</f>
        <v>#VALUE!</v>
      </c>
      <c r="AK10" s="83">
        <v>-1</v>
      </c>
      <c r="AL10" s="83" t="e">
        <f>AH10*AK10</f>
        <v>#VALUE!</v>
      </c>
      <c r="AM10" s="84" t="str">
        <f>CONCATENATE("a'(",AG9,")=")</f>
        <v>a'(#NA)=</v>
      </c>
      <c r="AN10" s="84" t="e">
        <f>2*AN8/12*AJ11</f>
        <v>#VALUE!</v>
      </c>
      <c r="AO10" s="84" t="e">
        <f>CONCATENATE("A(",AG8,")=")</f>
        <v>#VALUE!</v>
      </c>
      <c r="AP10" s="84" t="e">
        <f>VLOOKUP(AG8,STN_TABLE,3,FALSE)</f>
        <v>#VALUE!</v>
      </c>
      <c r="AQ10" t="str">
        <f>CONCATENATE("A(",AG9,")=")</f>
        <v>A(#NA)=</v>
      </c>
      <c r="AR10" t="e">
        <f>AN10+AP10</f>
        <v>#VALUE!</v>
      </c>
    </row>
    <row r="11" spans="1:46" x14ac:dyDescent="0.25">
      <c r="A11">
        <v>8</v>
      </c>
      <c r="B11" s="80">
        <f t="shared" si="2"/>
        <v>4</v>
      </c>
      <c r="C11" s="81">
        <f t="shared" si="3"/>
        <v>11</v>
      </c>
      <c r="D11" s="81">
        <f t="shared" si="4"/>
        <v>174.57333333333332</v>
      </c>
      <c r="E11" s="77">
        <f t="shared" si="5"/>
        <v>703.3266666666666</v>
      </c>
      <c r="G11" t="s">
        <v>108</v>
      </c>
      <c r="H11" t="str">
        <f>VLOOKUP(Station_No,RISE_CALC,10,FALSE)</f>
        <v>#NA</v>
      </c>
      <c r="K11" t="str">
        <f>CONCATENATE("M(",H8,")=")</f>
        <v>M(#NA)=</v>
      </c>
      <c r="L11" t="e">
        <f>IFERROR(AR6,IFERROR(AL13,AR16))</f>
        <v>#VALUE!</v>
      </c>
      <c r="Q11" s="80"/>
      <c r="R11" s="81"/>
      <c r="AE11" s="66" t="str">
        <f t="shared" si="6"/>
        <v>4th_UWL</v>
      </c>
      <c r="AF11" s="67" t="str">
        <f t="shared" si="6"/>
        <v>#NA</v>
      </c>
      <c r="AJ11" s="89" t="e">
        <f>SUM(AJ8:AJ10)</f>
        <v>#VALUE!</v>
      </c>
      <c r="AL11" s="89" t="e">
        <f>SUM(AL8:AL10)</f>
        <v>#VALUE!</v>
      </c>
      <c r="AM11" s="84" t="str">
        <f>CONCATENATE("m'(",AG9,")=")</f>
        <v>m'(#NA)=</v>
      </c>
      <c r="AN11" s="84" t="e">
        <f>(2*(AN8^2)/24*AL11)+(AN10*AG8*WLS)</f>
        <v>#VALUE!</v>
      </c>
      <c r="AO11" s="84" t="e">
        <f>CONCATENATE("M(",AG8,")=")</f>
        <v>#VALUE!</v>
      </c>
      <c r="AP11" s="84" t="e">
        <f>VLOOKUP(AG8,STN_TABLE,4,FALSE)</f>
        <v>#VALUE!</v>
      </c>
      <c r="AQ11" t="str">
        <f>CONCATENATE("M(",AG9,")=")</f>
        <v>M(#NA)=</v>
      </c>
      <c r="AR11" t="e">
        <f>AN11+AP11</f>
        <v>#VALUE!</v>
      </c>
    </row>
    <row r="12" spans="1:46" x14ac:dyDescent="0.25">
      <c r="A12">
        <v>9</v>
      </c>
      <c r="B12" s="80">
        <f t="shared" si="2"/>
        <v>4.8499999999999996</v>
      </c>
      <c r="C12" s="81">
        <f t="shared" si="3"/>
        <v>11</v>
      </c>
      <c r="D12" s="81">
        <f t="shared" si="4"/>
        <v>211.9733333333333</v>
      </c>
      <c r="E12" s="77">
        <f t="shared" si="5"/>
        <v>1034.3166666666664</v>
      </c>
      <c r="Q12" s="90" t="s">
        <v>109</v>
      </c>
      <c r="R12" s="81"/>
      <c r="AE12" s="66" t="str">
        <f t="shared" si="6"/>
        <v>5th_UWL</v>
      </c>
      <c r="AF12" s="67" t="str">
        <f t="shared" si="6"/>
        <v>#NA</v>
      </c>
      <c r="AI12" t="s">
        <v>103</v>
      </c>
      <c r="AK12" t="str">
        <f>CONCATENATE("A(",AG9,")=")</f>
        <v>A(#NA)=</v>
      </c>
      <c r="AL12" t="e">
        <f>IF(OR(AR10&lt;=0,AR11&lt;=0),AR15,AR10)</f>
        <v>#VALUE!</v>
      </c>
    </row>
    <row r="13" spans="1:46" x14ac:dyDescent="0.25">
      <c r="A13">
        <v>10</v>
      </c>
      <c r="B13" s="80">
        <f t="shared" si="2"/>
        <v>5</v>
      </c>
      <c r="C13" s="81">
        <f t="shared" si="3"/>
        <v>11</v>
      </c>
      <c r="D13" s="81">
        <f t="shared" si="4"/>
        <v>218.57333333333332</v>
      </c>
      <c r="E13" s="77">
        <f t="shared" si="5"/>
        <v>1099.3266666666666</v>
      </c>
      <c r="G13" s="71" t="s">
        <v>110</v>
      </c>
      <c r="Q13" s="66" t="str">
        <f t="shared" ref="Q13:R16" si="7">G4</f>
        <v>Rise</v>
      </c>
      <c r="R13" s="67" t="e">
        <f t="shared" si="7"/>
        <v>#VALUE!</v>
      </c>
      <c r="S13" s="68" t="e">
        <f>IF(R16-R15=R15-R14,R14,IF(R16-R14=R14-R13,R13,"-"))</f>
        <v>#VALUE!</v>
      </c>
      <c r="T13" s="69" t="e">
        <f>IFERROR(VLOOKUP(S13,STN_TABLE,2,FALSE),IF(R13=RisePerWLS,0,"-"))</f>
        <v>#VALUE!</v>
      </c>
      <c r="U13" s="69">
        <v>1</v>
      </c>
      <c r="V13" s="69" t="e">
        <f>T13*U13</f>
        <v>#VALUE!</v>
      </c>
      <c r="W13" s="69" t="e">
        <f>S13</f>
        <v>#VALUE!</v>
      </c>
      <c r="X13" s="69" t="e">
        <f>V13*W13</f>
        <v>#VALUE!</v>
      </c>
      <c r="Y13" s="6" t="s">
        <v>93</v>
      </c>
      <c r="Z13" s="70" t="e">
        <f>IF(AND(T13=0,T14=0,T15=0),WLS*(S15-S14),IF(AND(S15-S14=S14-S13,S14&lt;&gt;S15,S13&lt;&gt;S14,S13&lt;&gt;S15,T15&lt;&gt;0,OR(T13&lt;&gt;0,T14&lt;&gt;0)),WLS*(S15-S14),"#NA"))</f>
        <v>#VALUE!</v>
      </c>
      <c r="AE13" s="66" t="str">
        <f t="shared" si="6"/>
        <v>6th_UWL</v>
      </c>
      <c r="AF13" s="67" t="str">
        <f t="shared" si="6"/>
        <v>#NA</v>
      </c>
      <c r="AK13" t="str">
        <f>CONCATENATE("M(",AG9,")=")</f>
        <v>M(#NA)=</v>
      </c>
      <c r="AL13" t="e">
        <f>IF(OR(AR10&lt;=0,AR11&lt;=0),AR16,AR11)</f>
        <v>#VALUE!</v>
      </c>
      <c r="AM13" s="6" t="s">
        <v>93</v>
      </c>
      <c r="AN13" s="70" t="e">
        <f>WLS*(AI15-AI14)</f>
        <v>#VALUE!</v>
      </c>
    </row>
    <row r="14" spans="1:46" x14ac:dyDescent="0.25">
      <c r="A14">
        <v>11</v>
      </c>
      <c r="B14" s="80">
        <f t="shared" si="2"/>
        <v>6</v>
      </c>
      <c r="C14" s="81">
        <f t="shared" si="3"/>
        <v>11</v>
      </c>
      <c r="D14" s="81">
        <f t="shared" si="4"/>
        <v>262.57333333333332</v>
      </c>
      <c r="E14" s="77">
        <f t="shared" si="5"/>
        <v>1583.3266666666666</v>
      </c>
      <c r="G14" s="91" t="str">
        <f>G4</f>
        <v>Rise</v>
      </c>
      <c r="H14" s="91" t="e">
        <f>RisePerWLS</f>
        <v>#VALUE!</v>
      </c>
      <c r="I14" s="68" t="e">
        <f>H14</f>
        <v>#VALUE!</v>
      </c>
      <c r="J14" s="69">
        <v>0</v>
      </c>
      <c r="K14" s="69">
        <v>5</v>
      </c>
      <c r="L14" s="69">
        <f>J14*K14</f>
        <v>0</v>
      </c>
      <c r="M14" s="69">
        <v>3</v>
      </c>
      <c r="N14" s="69">
        <f>J14*M14</f>
        <v>0</v>
      </c>
      <c r="O14" t="s">
        <v>93</v>
      </c>
      <c r="P14" t="e">
        <f>IF(AND(NOT(AND(J14=0,J15=0)),I14&lt;&gt;I15,I15&lt;&gt;I16,I16-I15=I15-I14),(I16-I15)*WLS,"#NA")</f>
        <v>#N/A</v>
      </c>
      <c r="Q14" s="66" t="str">
        <f t="shared" si="7"/>
        <v>1st_UWL</v>
      </c>
      <c r="R14" s="67" t="str">
        <f t="shared" si="7"/>
        <v>#NA</v>
      </c>
      <c r="S14" s="76" t="e">
        <f>IF(R16-R15=R15-R14,R15,IF(R16-R14=R14-R13,R14,"-"))</f>
        <v>#VALUE!</v>
      </c>
      <c r="T14" s="77" t="e">
        <f>VLOOKUP(S14,STN_TABLE,2,FALSE)</f>
        <v>#VALUE!</v>
      </c>
      <c r="U14" s="77">
        <v>4</v>
      </c>
      <c r="V14" s="77" t="e">
        <f>T14*U14</f>
        <v>#VALUE!</v>
      </c>
      <c r="W14" s="77" t="e">
        <f>S14</f>
        <v>#VALUE!</v>
      </c>
      <c r="X14" s="77" t="e">
        <f>V14*W14</f>
        <v>#VALUE!</v>
      </c>
      <c r="Y14" s="78" t="s">
        <v>97</v>
      </c>
      <c r="Z14" s="78"/>
      <c r="AA14" s="78" t="s">
        <v>98</v>
      </c>
      <c r="AB14" s="78"/>
      <c r="AC14" s="7" t="s">
        <v>99</v>
      </c>
      <c r="AD14" s="7"/>
      <c r="AE14" s="66"/>
      <c r="AF14" s="67"/>
      <c r="AI14" s="79" t="str">
        <f>AF10</f>
        <v>#NA</v>
      </c>
      <c r="AJ14" s="68" t="e">
        <f>VLOOKUP(AI14,STN_TABLE,2,FALSE)</f>
        <v>#N/A</v>
      </c>
      <c r="AK14" s="68">
        <v>1</v>
      </c>
      <c r="AL14" s="69" t="e">
        <f>AJ14*AK14</f>
        <v>#N/A</v>
      </c>
      <c r="AM14" s="78" t="s">
        <v>97</v>
      </c>
      <c r="AN14" s="78"/>
      <c r="AO14" s="78" t="s">
        <v>98</v>
      </c>
      <c r="AP14" s="78"/>
      <c r="AQ14" s="7" t="s">
        <v>99</v>
      </c>
      <c r="AR14" s="7"/>
      <c r="AS14" s="7"/>
      <c r="AT14" s="7"/>
    </row>
    <row r="15" spans="1:46" x14ac:dyDescent="0.25">
      <c r="A15">
        <v>12</v>
      </c>
      <c r="B15" s="80">
        <f t="shared" si="2"/>
        <v>6.5</v>
      </c>
      <c r="C15" s="81">
        <f t="shared" si="3"/>
        <v>11</v>
      </c>
      <c r="D15" s="81">
        <f t="shared" si="4"/>
        <v>284.57333333333332</v>
      </c>
      <c r="E15" s="77">
        <f t="shared" si="5"/>
        <v>1858.3266666666666</v>
      </c>
      <c r="G15" s="91" t="str">
        <f>G5</f>
        <v>1st_UWL</v>
      </c>
      <c r="H15" s="91" t="str">
        <f>H5</f>
        <v>#NA</v>
      </c>
      <c r="I15" s="76" t="str">
        <f>H15</f>
        <v>#NA</v>
      </c>
      <c r="J15" s="77" t="e">
        <f>VLOOKUP(I15,STN_TABLE,2,FALSE)</f>
        <v>#N/A</v>
      </c>
      <c r="K15" s="77">
        <v>8</v>
      </c>
      <c r="L15" s="77" t="e">
        <f>J15*K15</f>
        <v>#N/A</v>
      </c>
      <c r="M15" s="77">
        <v>10</v>
      </c>
      <c r="N15" s="77" t="e">
        <f>J15*M15</f>
        <v>#N/A</v>
      </c>
      <c r="O15" t="str">
        <f>CONCATENATE("A(",I15,")=")</f>
        <v>A(#NA)=</v>
      </c>
      <c r="P15" t="e">
        <f>2*P14/12*L17</f>
        <v>#N/A</v>
      </c>
      <c r="Q15" s="66" t="str">
        <f t="shared" si="7"/>
        <v>2nd_UWL</v>
      </c>
      <c r="R15" s="67" t="str">
        <f t="shared" si="7"/>
        <v>#NA</v>
      </c>
      <c r="S15" s="82" t="str">
        <f>R16</f>
        <v>#NA</v>
      </c>
      <c r="T15" s="83" t="e">
        <f>VLOOKUP(S15,STN_TABLE,2,FALSE)</f>
        <v>#N/A</v>
      </c>
      <c r="U15" s="83">
        <v>1</v>
      </c>
      <c r="V15" s="83" t="e">
        <f>T15*U15</f>
        <v>#N/A</v>
      </c>
      <c r="W15" s="83" t="str">
        <f>S15</f>
        <v>#NA</v>
      </c>
      <c r="X15" s="83" t="e">
        <f>V15*W15</f>
        <v>#N/A</v>
      </c>
      <c r="Y15" s="84" t="str">
        <f>CONCATENATE("a'(",S15,")=")</f>
        <v>a'(#NA)=</v>
      </c>
      <c r="Z15" s="84" t="e">
        <f>2*Z13/3*V16</f>
        <v>#VALUE!</v>
      </c>
      <c r="AA15" s="84" t="e">
        <f>CONCATENATE("A(",S13,")=")</f>
        <v>#VALUE!</v>
      </c>
      <c r="AB15" s="84" t="e">
        <f>IF(S13=RisePerWLS,0,VLOOKUP(S13,STN_TABLE,3,FALSE))</f>
        <v>#VALUE!</v>
      </c>
      <c r="AC15" t="str">
        <f>CONCATENATE("A(",S15,")=")</f>
        <v>A(#NA)=</v>
      </c>
      <c r="AD15" t="e">
        <f>Z15+AB15</f>
        <v>#VALUE!</v>
      </c>
      <c r="AE15" s="80"/>
      <c r="AI15" s="88" t="str">
        <f>AF11</f>
        <v>#NA</v>
      </c>
      <c r="AJ15" s="82" t="e">
        <f>VLOOKUP(AI15,STN_TABLE,2,FALSE)</f>
        <v>#N/A</v>
      </c>
      <c r="AK15" s="82">
        <v>2</v>
      </c>
      <c r="AL15" s="83" t="e">
        <f>AJ15*AK15</f>
        <v>#N/A</v>
      </c>
      <c r="AM15" s="84" t="str">
        <f>CONCATENATE("a'(",AI15,")=")</f>
        <v>a'(#NA)=</v>
      </c>
      <c r="AN15" s="84" t="e">
        <f>2*AN13/2*AJ16</f>
        <v>#VALUE!</v>
      </c>
      <c r="AO15" s="84" t="str">
        <f>CONCATENATE("A(",AI14,")=")</f>
        <v>A(#NA)=</v>
      </c>
      <c r="AP15" s="84" t="e">
        <f>IF(AI14=RisePerWLS,0,VLOOKUP(AI14,STN_TABLE,3,FALSE))</f>
        <v>#VALUE!</v>
      </c>
      <c r="AQ15" t="str">
        <f>CONCATENATE("A(",AI15,")=")</f>
        <v>A(#NA)=</v>
      </c>
      <c r="AR15" t="e">
        <f>AN15+AP15</f>
        <v>#VALUE!</v>
      </c>
    </row>
    <row r="16" spans="1:46" x14ac:dyDescent="0.25">
      <c r="A16">
        <v>13</v>
      </c>
      <c r="B16" s="80" t="str">
        <f t="shared" si="2"/>
        <v xml:space="preserve">  </v>
      </c>
      <c r="C16" s="81" t="str">
        <f t="shared" si="3"/>
        <v xml:space="preserve">  </v>
      </c>
      <c r="D16" s="81" t="str">
        <f t="shared" si="4"/>
        <v xml:space="preserve"> </v>
      </c>
      <c r="E16" s="77" t="str">
        <f t="shared" si="5"/>
        <v xml:space="preserve"> </v>
      </c>
      <c r="G16" s="91" t="str">
        <f>G6</f>
        <v>2nd_UWL</v>
      </c>
      <c r="H16" s="91" t="str">
        <f>H6</f>
        <v>#NA</v>
      </c>
      <c r="I16" s="82" t="e">
        <f>IF(H16-H15=H15-H14,H16,"#NA")</f>
        <v>#VALUE!</v>
      </c>
      <c r="J16" s="83" t="e">
        <f>VLOOKUP(I16,STN_TABLE,2,FALSE)</f>
        <v>#VALUE!</v>
      </c>
      <c r="K16" s="83">
        <v>-1</v>
      </c>
      <c r="L16" s="83" t="e">
        <f>J16*K16</f>
        <v>#VALUE!</v>
      </c>
      <c r="M16" s="83">
        <v>-1</v>
      </c>
      <c r="N16" s="83" t="e">
        <f>J16*M16</f>
        <v>#VALUE!</v>
      </c>
      <c r="O16" t="str">
        <f>CONCATENATE("M(",I15,")=")</f>
        <v>M(#NA)=</v>
      </c>
      <c r="P16" t="e">
        <f>(2*(P14^2)/24*N17)+P15*I14*WLS</f>
        <v>#N/A</v>
      </c>
      <c r="Q16" s="66" t="str">
        <f t="shared" si="7"/>
        <v>3rd_UWL</v>
      </c>
      <c r="R16" s="67" t="str">
        <f t="shared" si="7"/>
        <v>#NA</v>
      </c>
      <c r="V16" s="89" t="e">
        <f>SUM(V13:V15)</f>
        <v>#VALUE!</v>
      </c>
      <c r="X16" s="89" t="e">
        <f>SUM(X13:X15)</f>
        <v>#VALUE!</v>
      </c>
      <c r="Y16" s="84" t="str">
        <f>CONCATENATE("m'(",S15,")=")</f>
        <v>m'(#NA)=</v>
      </c>
      <c r="Z16" s="84" t="e">
        <f>2*(Z13*WLS)/3*X16</f>
        <v>#VALUE!</v>
      </c>
      <c r="AA16" s="84" t="e">
        <f>CONCATENATE("M(",S13,")=")</f>
        <v>#VALUE!</v>
      </c>
      <c r="AB16" s="84" t="e">
        <f>IF(S13=RisePerWLS,0,VLOOKUP(S13,STN_TABLE,4,FALSE))</f>
        <v>#VALUE!</v>
      </c>
      <c r="AC16" t="str">
        <f>CONCATENATE("M(",S15,")=")</f>
        <v>M(#NA)=</v>
      </c>
      <c r="AD16" t="e">
        <f>Z16+AB16</f>
        <v>#VALUE!</v>
      </c>
      <c r="AE16" s="80"/>
      <c r="AJ16" s="89" t="e">
        <f>SUM(AJ14:AJ15)</f>
        <v>#N/A</v>
      </c>
      <c r="AL16" s="89" t="e">
        <f>SUM(AL14:AL15)</f>
        <v>#N/A</v>
      </c>
      <c r="AM16" s="84" t="str">
        <f>CONCATENATE("m'(",AI15,")=")</f>
        <v>m'(#NA)=</v>
      </c>
      <c r="AN16" s="84" t="e">
        <f>(2*(AN13^2)/6*AL16)+(AN15*AI14*WLS)</f>
        <v>#VALUE!</v>
      </c>
      <c r="AO16" s="84" t="str">
        <f>CONCATENATE("M(",AI14,")=")</f>
        <v>M(#NA)=</v>
      </c>
      <c r="AP16" s="84" t="e">
        <f>IF(AI14=RisePerWLS,0,VLOOKUP(AI14,STN_TABLE,4,FALSE))</f>
        <v>#VALUE!</v>
      </c>
      <c r="AQ16" t="str">
        <f>CONCATENATE("M(",AI15,")=")</f>
        <v>M(#NA)=</v>
      </c>
      <c r="AR16" t="e">
        <f>AN16+AP16</f>
        <v>#VALUE!</v>
      </c>
    </row>
    <row r="17" spans="1:35" x14ac:dyDescent="0.25">
      <c r="A17">
        <v>14</v>
      </c>
      <c r="B17" s="80" t="str">
        <f t="shared" si="2"/>
        <v xml:space="preserve">  </v>
      </c>
      <c r="C17" s="81" t="str">
        <f t="shared" si="3"/>
        <v xml:space="preserve">  </v>
      </c>
      <c r="D17" s="81" t="str">
        <f t="shared" si="4"/>
        <v xml:space="preserve"> </v>
      </c>
      <c r="E17" s="77" t="str">
        <f t="shared" si="5"/>
        <v xml:space="preserve"> </v>
      </c>
      <c r="G17" s="91"/>
      <c r="H17" s="91"/>
      <c r="L17" s="89" t="e">
        <f>SUM(L14:L16)</f>
        <v>#N/A</v>
      </c>
      <c r="N17" s="89" t="e">
        <f>SUM(N14:N16)</f>
        <v>#N/A</v>
      </c>
      <c r="Q17" s="66"/>
      <c r="R17" s="67"/>
      <c r="AE17" s="90"/>
    </row>
    <row r="18" spans="1:35" x14ac:dyDescent="0.25">
      <c r="A18">
        <v>15</v>
      </c>
      <c r="B18" s="80" t="str">
        <f t="shared" si="2"/>
        <v xml:space="preserve">  </v>
      </c>
      <c r="C18" s="81" t="str">
        <f t="shared" si="3"/>
        <v xml:space="preserve">  </v>
      </c>
      <c r="D18" s="81" t="str">
        <f t="shared" si="4"/>
        <v xml:space="preserve"> </v>
      </c>
      <c r="E18" s="77" t="str">
        <f t="shared" si="5"/>
        <v xml:space="preserve"> </v>
      </c>
      <c r="G18" s="91"/>
      <c r="H18" s="91"/>
      <c r="K18" t="s">
        <v>103</v>
      </c>
      <c r="M18" t="str">
        <f>CONCATENATE("A(",I15,")=")</f>
        <v>A(#NA)=</v>
      </c>
      <c r="N18" t="e">
        <f>IF(OR(P15&lt;=0,P16&lt;=0),N22,P15)</f>
        <v>#N/A</v>
      </c>
      <c r="Q18" s="66"/>
      <c r="R18" s="67"/>
      <c r="AE18" s="80"/>
    </row>
    <row r="19" spans="1:35" x14ac:dyDescent="0.25">
      <c r="A19">
        <v>16</v>
      </c>
      <c r="B19" s="80" t="str">
        <f t="shared" si="2"/>
        <v xml:space="preserve">  </v>
      </c>
      <c r="C19" s="81" t="str">
        <f t="shared" si="3"/>
        <v xml:space="preserve">  </v>
      </c>
      <c r="D19" s="81" t="str">
        <f t="shared" si="4"/>
        <v xml:space="preserve"> </v>
      </c>
      <c r="E19" s="77" t="str">
        <f t="shared" si="5"/>
        <v xml:space="preserve"> </v>
      </c>
      <c r="G19" s="91"/>
      <c r="H19" s="91"/>
      <c r="M19" t="str">
        <f>CONCATENATE("M(",I15,")=")</f>
        <v>M(#NA)=</v>
      </c>
      <c r="N19" t="e">
        <f>IF(OR(P15&lt;=0,P16&lt;=0),N23,P16)</f>
        <v>#N/A</v>
      </c>
      <c r="Q19" s="66"/>
      <c r="R19" s="67"/>
      <c r="AE19" s="80"/>
    </row>
    <row r="20" spans="1:35" x14ac:dyDescent="0.25">
      <c r="A20">
        <v>17</v>
      </c>
      <c r="B20" s="80" t="str">
        <f t="shared" si="2"/>
        <v xml:space="preserve">  </v>
      </c>
      <c r="C20" s="81" t="str">
        <f t="shared" si="3"/>
        <v xml:space="preserve">  </v>
      </c>
      <c r="D20" s="81" t="str">
        <f t="shared" si="4"/>
        <v xml:space="preserve"> </v>
      </c>
      <c r="E20" s="77" t="str">
        <f t="shared" si="5"/>
        <v xml:space="preserve"> </v>
      </c>
      <c r="G20" s="91"/>
      <c r="H20" s="91"/>
      <c r="Q20" s="66"/>
      <c r="R20" s="67"/>
      <c r="S20" s="68" t="e">
        <f>IF(OR(R24-R23=R23-R22,R25-R23=R23-R22),R22,IF(OR(R24-R23=R23-R21,R25-R23=R23-R21),R21,"-"))</f>
        <v>#VALUE!</v>
      </c>
      <c r="T20" s="69" t="e">
        <f>IFERROR(VLOOKUP(S20,STN_TABLE,2,FALSE),IF(R20=RisePerWLS,0,"-"))</f>
        <v>#VALUE!</v>
      </c>
      <c r="U20" s="69">
        <v>5</v>
      </c>
      <c r="V20" s="69" t="e">
        <f>T20*U20</f>
        <v>#VALUE!</v>
      </c>
      <c r="W20" s="69">
        <v>3</v>
      </c>
      <c r="X20" s="69" t="e">
        <f>T20*W20</f>
        <v>#VALUE!</v>
      </c>
      <c r="Y20" s="6" t="s">
        <v>93</v>
      </c>
      <c r="Z20" s="70" t="e">
        <f>IF(AND(S22-S21=S21-S20,NOT(AND(S20=0,S21=0)),NOT(AND(S21=0,S22=0))),WLS*(S22-S21),"#NA")</f>
        <v>#VALUE!</v>
      </c>
      <c r="AE20" s="80"/>
    </row>
    <row r="21" spans="1:35" x14ac:dyDescent="0.25">
      <c r="A21">
        <v>18</v>
      </c>
      <c r="B21" s="80" t="str">
        <f t="shared" si="2"/>
        <v xml:space="preserve">  </v>
      </c>
      <c r="C21" s="81" t="str">
        <f t="shared" si="3"/>
        <v xml:space="preserve">  </v>
      </c>
      <c r="D21" s="81" t="str">
        <f t="shared" si="4"/>
        <v xml:space="preserve"> </v>
      </c>
      <c r="E21" s="77" t="str">
        <f t="shared" si="5"/>
        <v xml:space="preserve"> </v>
      </c>
      <c r="G21" s="91"/>
      <c r="H21" s="91" t="str">
        <f>G14</f>
        <v>Rise</v>
      </c>
      <c r="I21" s="79" t="e">
        <f>H14</f>
        <v>#VALUE!</v>
      </c>
      <c r="J21" s="68">
        <v>0</v>
      </c>
      <c r="K21" s="68">
        <v>1</v>
      </c>
      <c r="L21" s="69">
        <f>J21*K21</f>
        <v>0</v>
      </c>
      <c r="M21" t="s">
        <v>93</v>
      </c>
      <c r="N21" t="e">
        <f>(I22-I21)*WLS</f>
        <v>#VALUE!</v>
      </c>
      <c r="Q21" s="66" t="str">
        <f t="shared" ref="Q21:R25" si="8">G5</f>
        <v>1st_UWL</v>
      </c>
      <c r="R21" s="67" t="str">
        <f t="shared" si="8"/>
        <v>#NA</v>
      </c>
      <c r="S21" s="76" t="str">
        <f>R23</f>
        <v>#NA</v>
      </c>
      <c r="T21" s="77" t="e">
        <f>VLOOKUP(S21,STN_TABLE,2,FALSE)</f>
        <v>#N/A</v>
      </c>
      <c r="U21" s="77">
        <v>8</v>
      </c>
      <c r="V21" s="77" t="e">
        <f>T21*U21</f>
        <v>#N/A</v>
      </c>
      <c r="W21" s="77">
        <v>10</v>
      </c>
      <c r="X21" s="77" t="e">
        <f>T21*W21</f>
        <v>#N/A</v>
      </c>
      <c r="Y21" s="78" t="s">
        <v>97</v>
      </c>
      <c r="Z21" s="78"/>
      <c r="AA21" s="78" t="s">
        <v>98</v>
      </c>
      <c r="AB21" s="78"/>
      <c r="AC21" s="7" t="s">
        <v>99</v>
      </c>
      <c r="AD21" s="7"/>
      <c r="AE21" s="80"/>
    </row>
    <row r="22" spans="1:35" x14ac:dyDescent="0.25">
      <c r="A22">
        <v>19</v>
      </c>
      <c r="B22" s="80" t="str">
        <f t="shared" si="2"/>
        <v xml:space="preserve">  </v>
      </c>
      <c r="C22" s="81" t="str">
        <f t="shared" si="3"/>
        <v xml:space="preserve">  </v>
      </c>
      <c r="D22" s="81" t="str">
        <f t="shared" si="4"/>
        <v xml:space="preserve"> </v>
      </c>
      <c r="E22" s="77" t="str">
        <f t="shared" si="5"/>
        <v xml:space="preserve"> </v>
      </c>
      <c r="G22" s="91"/>
      <c r="H22" s="91" t="str">
        <f>G15</f>
        <v>1st_UWL</v>
      </c>
      <c r="I22" s="88" t="str">
        <f>H15</f>
        <v>#NA</v>
      </c>
      <c r="J22" s="82" t="e">
        <f>VLOOKUP(I22,STN_TABLE,2,FALSE)</f>
        <v>#N/A</v>
      </c>
      <c r="K22" s="82">
        <v>2</v>
      </c>
      <c r="L22" s="83" t="e">
        <f>J22*K22</f>
        <v>#N/A</v>
      </c>
      <c r="M22" t="str">
        <f>CONCATENATE("A(",I22,")=")</f>
        <v>A(#NA)=</v>
      </c>
      <c r="N22" t="e">
        <f>2*N21/2*J23</f>
        <v>#VALUE!</v>
      </c>
      <c r="Q22" s="66" t="str">
        <f t="shared" si="8"/>
        <v>2nd_UWL</v>
      </c>
      <c r="R22" s="67" t="str">
        <f t="shared" si="8"/>
        <v>#NA</v>
      </c>
      <c r="S22" s="82" t="e">
        <f>IF(S20-S21=S21-R24,R24,IF(S20-S21=S21-R25,R25,"-"))</f>
        <v>#VALUE!</v>
      </c>
      <c r="T22" s="83" t="e">
        <f>VLOOKUP(S22,STN_TABLE,2,FALSE)</f>
        <v>#VALUE!</v>
      </c>
      <c r="U22" s="83">
        <v>-1</v>
      </c>
      <c r="V22" s="83" t="e">
        <f>T22*U22</f>
        <v>#VALUE!</v>
      </c>
      <c r="W22" s="83">
        <v>-1</v>
      </c>
      <c r="X22" s="83" t="e">
        <f>T22*W22</f>
        <v>#VALUE!</v>
      </c>
      <c r="Y22" s="84" t="str">
        <f>CONCATENATE("a'(",S21,")=")</f>
        <v>a'(#NA)=</v>
      </c>
      <c r="Z22" s="84" t="e">
        <f>2*Z20/12*V23</f>
        <v>#VALUE!</v>
      </c>
      <c r="AA22" s="84" t="e">
        <f>CONCATENATE("A(",S20,")=")</f>
        <v>#VALUE!</v>
      </c>
      <c r="AB22" s="84" t="e">
        <f>IF(S20=RisePerWLS,0,VLOOKUP(S20,STN_TABLE,3,FALSE))</f>
        <v>#VALUE!</v>
      </c>
      <c r="AC22" t="str">
        <f>CONCATENATE("A(",S21,")=")</f>
        <v>A(#NA)=</v>
      </c>
      <c r="AD22" t="e">
        <f>Z22+AB22</f>
        <v>#VALUE!</v>
      </c>
      <c r="AE22" s="80"/>
    </row>
    <row r="23" spans="1:35" x14ac:dyDescent="0.25">
      <c r="A23">
        <v>20</v>
      </c>
      <c r="B23" s="80" t="str">
        <f t="shared" si="2"/>
        <v xml:space="preserve">  </v>
      </c>
      <c r="C23" s="81" t="str">
        <f t="shared" si="3"/>
        <v xml:space="preserve">  </v>
      </c>
      <c r="D23" s="81" t="str">
        <f t="shared" si="4"/>
        <v xml:space="preserve"> </v>
      </c>
      <c r="E23" s="77" t="str">
        <f t="shared" si="5"/>
        <v xml:space="preserve"> </v>
      </c>
      <c r="J23" s="89" t="e">
        <f>SUM(J21:J22)</f>
        <v>#N/A</v>
      </c>
      <c r="L23" s="89" t="e">
        <f>SUM(L21:L22)</f>
        <v>#N/A</v>
      </c>
      <c r="M23" t="str">
        <f>CONCATENATE("M(",I22,")=")</f>
        <v>M(#NA)=</v>
      </c>
      <c r="N23" t="e">
        <f>(2*(N21^2)/6*L23)+N22*I21*WLS</f>
        <v>#VALUE!</v>
      </c>
      <c r="Q23" s="66" t="str">
        <f t="shared" si="8"/>
        <v>3rd_UWL</v>
      </c>
      <c r="R23" s="67" t="str">
        <f t="shared" si="8"/>
        <v>#NA</v>
      </c>
      <c r="V23" s="89" t="e">
        <f>SUM(V20:V22)</f>
        <v>#VALUE!</v>
      </c>
      <c r="X23" s="89" t="e">
        <f>SUM(X20:X22)</f>
        <v>#VALUE!</v>
      </c>
      <c r="Y23" s="84" t="str">
        <f>CONCATENATE("m'(",S21,")=")</f>
        <v>m'(#NA)=</v>
      </c>
      <c r="Z23" s="84" t="e">
        <f>(2*(Z20^2)/24*X23)+(Z22*S20*WLS)</f>
        <v>#VALUE!</v>
      </c>
      <c r="AA23" s="84" t="e">
        <f>CONCATENATE("M(",S20,")=")</f>
        <v>#VALUE!</v>
      </c>
      <c r="AB23" s="84" t="e">
        <f>IF(S20=RisePerWLS,0,VLOOKUP(S20,STN_TABLE,4,FALSE))</f>
        <v>#VALUE!</v>
      </c>
      <c r="AC23" t="str">
        <f>CONCATENATE("M(",S21,")=")</f>
        <v>M(#NA)=</v>
      </c>
      <c r="AD23" t="e">
        <f>Z23+AB23</f>
        <v>#VALUE!</v>
      </c>
      <c r="AE23" s="80"/>
    </row>
    <row r="24" spans="1:35" x14ac:dyDescent="0.25">
      <c r="A24">
        <v>21</v>
      </c>
      <c r="B24" s="80" t="str">
        <f t="shared" si="2"/>
        <v xml:space="preserve">  </v>
      </c>
      <c r="C24" s="81" t="str">
        <f t="shared" si="3"/>
        <v xml:space="preserve">  </v>
      </c>
      <c r="D24" s="81" t="str">
        <f t="shared" si="4"/>
        <v xml:space="preserve"> </v>
      </c>
      <c r="E24" s="77" t="str">
        <f t="shared" si="5"/>
        <v xml:space="preserve"> </v>
      </c>
      <c r="Q24" s="66" t="str">
        <f t="shared" si="8"/>
        <v>4th_UWL</v>
      </c>
      <c r="R24" s="67" t="str">
        <f t="shared" si="8"/>
        <v>#NA</v>
      </c>
      <c r="U24" t="s">
        <v>103</v>
      </c>
      <c r="W24" t="str">
        <f>CONCATENATE("A(",S21,")=")</f>
        <v>A(#NA)=</v>
      </c>
      <c r="X24" t="e">
        <f>IF(OR(AD22&lt;=0,AD23&lt;=0),AD27,AD22)</f>
        <v>#VALUE!</v>
      </c>
      <c r="AE24" s="80"/>
    </row>
    <row r="25" spans="1:35" x14ac:dyDescent="0.25">
      <c r="A25">
        <v>22</v>
      </c>
      <c r="B25" s="80" t="str">
        <f t="shared" si="2"/>
        <v xml:space="preserve">  </v>
      </c>
      <c r="C25" s="81" t="str">
        <f t="shared" si="3"/>
        <v xml:space="preserve">  </v>
      </c>
      <c r="D25" s="81" t="str">
        <f t="shared" si="4"/>
        <v xml:space="preserve"> </v>
      </c>
      <c r="E25" s="77" t="str">
        <f t="shared" si="5"/>
        <v xml:space="preserve"> </v>
      </c>
      <c r="G25" s="71" t="s">
        <v>111</v>
      </c>
      <c r="Q25" s="66" t="str">
        <f t="shared" si="8"/>
        <v>5th_UWL</v>
      </c>
      <c r="R25" s="67" t="str">
        <f t="shared" si="8"/>
        <v>#NA</v>
      </c>
      <c r="W25" t="str">
        <f>CONCATENATE("M(",S21,")=")</f>
        <v>M(#NA)=</v>
      </c>
      <c r="X25" t="e">
        <f>IF(OR(AD22&lt;=0,AD23&lt;=0),AD28,AD23)</f>
        <v>#VALUE!</v>
      </c>
      <c r="Y25" s="6" t="s">
        <v>93</v>
      </c>
      <c r="Z25" s="70" t="e">
        <f>WLS*(U27-U26)</f>
        <v>#VALUE!</v>
      </c>
      <c r="AE25" s="80"/>
    </row>
    <row r="26" spans="1:35" x14ac:dyDescent="0.25">
      <c r="A26">
        <v>23</v>
      </c>
      <c r="B26" s="80" t="str">
        <f t="shared" si="2"/>
        <v xml:space="preserve">  </v>
      </c>
      <c r="C26" s="81" t="str">
        <f t="shared" si="3"/>
        <v xml:space="preserve">  </v>
      </c>
      <c r="D26" s="81" t="str">
        <f t="shared" si="4"/>
        <v xml:space="preserve"> </v>
      </c>
      <c r="E26" s="77" t="str">
        <f t="shared" si="5"/>
        <v xml:space="preserve"> </v>
      </c>
      <c r="G26" s="91" t="str">
        <f t="shared" ref="G26:H28" si="9">G4</f>
        <v>Rise</v>
      </c>
      <c r="H26" s="91" t="e">
        <f t="shared" si="9"/>
        <v>#VALUE!</v>
      </c>
      <c r="I26" s="68" t="e">
        <f>H26</f>
        <v>#VALUE!</v>
      </c>
      <c r="J26" s="69">
        <v>0</v>
      </c>
      <c r="K26" s="69">
        <v>1</v>
      </c>
      <c r="L26" s="69">
        <f>J26*K26</f>
        <v>0</v>
      </c>
      <c r="M26" s="69" t="e">
        <f>I26</f>
        <v>#VALUE!</v>
      </c>
      <c r="N26" s="69" t="e">
        <f>L26*M26</f>
        <v>#VALUE!</v>
      </c>
      <c r="O26" t="s">
        <v>93</v>
      </c>
      <c r="P26" t="e">
        <f>IF(OR(J26=0,J27=0,J28=0),"#NA",IF(I28-I27=I27-I26,WLS*(I27-I26),"#NA"))</f>
        <v>#VALUE!</v>
      </c>
      <c r="Q26" s="66"/>
      <c r="R26" s="67"/>
      <c r="U26" s="79" t="str">
        <f>R22</f>
        <v>#NA</v>
      </c>
      <c r="V26" s="68" t="e">
        <f>VLOOKUP(U26,STN_TABLE,2,FALSE)</f>
        <v>#N/A</v>
      </c>
      <c r="W26" s="68">
        <v>1</v>
      </c>
      <c r="X26" s="69" t="e">
        <f>V26*W26</f>
        <v>#N/A</v>
      </c>
      <c r="Y26" s="78" t="s">
        <v>97</v>
      </c>
      <c r="Z26" s="78"/>
      <c r="AA26" s="78" t="s">
        <v>98</v>
      </c>
      <c r="AB26" s="78"/>
      <c r="AC26" s="7" t="s">
        <v>99</v>
      </c>
      <c r="AD26" s="7"/>
      <c r="AE26" s="80"/>
    </row>
    <row r="27" spans="1:35" x14ac:dyDescent="0.25">
      <c r="A27">
        <v>24</v>
      </c>
      <c r="B27" s="80" t="str">
        <f t="shared" si="2"/>
        <v xml:space="preserve">  </v>
      </c>
      <c r="C27" s="81" t="str">
        <f t="shared" si="3"/>
        <v xml:space="preserve">  </v>
      </c>
      <c r="D27" s="81" t="str">
        <f t="shared" si="4"/>
        <v xml:space="preserve"> </v>
      </c>
      <c r="E27" s="77" t="str">
        <f t="shared" si="5"/>
        <v xml:space="preserve"> </v>
      </c>
      <c r="G27" s="91" t="str">
        <f t="shared" si="9"/>
        <v>1st_UWL</v>
      </c>
      <c r="H27" s="91" t="str">
        <f t="shared" si="9"/>
        <v>#NA</v>
      </c>
      <c r="I27" s="76" t="e">
        <f>IF(H28-H27=H27-H26,H28,"#NA")</f>
        <v>#VALUE!</v>
      </c>
      <c r="J27" s="77" t="e">
        <f>VLOOKUP(I27,STN_TABLE,2,FALSE)</f>
        <v>#VALUE!</v>
      </c>
      <c r="K27" s="77">
        <v>4</v>
      </c>
      <c r="L27" s="77" t="e">
        <f>J27*K27</f>
        <v>#VALUE!</v>
      </c>
      <c r="M27" s="77" t="e">
        <f>I27</f>
        <v>#VALUE!</v>
      </c>
      <c r="N27" s="77" t="e">
        <f>L27*M27</f>
        <v>#VALUE!</v>
      </c>
      <c r="O27" t="e">
        <f>CONCATENATE("A(",I28,")=")</f>
        <v>#VALUE!</v>
      </c>
      <c r="P27" t="e">
        <f>2*P26/3*L29</f>
        <v>#VALUE!</v>
      </c>
      <c r="Q27" s="80"/>
      <c r="R27" s="81"/>
      <c r="U27" s="88" t="str">
        <f>R23</f>
        <v>#NA</v>
      </c>
      <c r="V27" s="82" t="e">
        <f>VLOOKUP(U27,STN_TABLE,2,FALSE)</f>
        <v>#N/A</v>
      </c>
      <c r="W27" s="82">
        <v>2</v>
      </c>
      <c r="X27" s="83" t="e">
        <f>V27*W27</f>
        <v>#N/A</v>
      </c>
      <c r="Y27" s="84" t="str">
        <f>CONCATENATE("a'(",U27,")=")</f>
        <v>a'(#NA)=</v>
      </c>
      <c r="Z27" s="84" t="e">
        <f>2*Z25/2*V28</f>
        <v>#VALUE!</v>
      </c>
      <c r="AA27" s="84" t="str">
        <f>CONCATENATE("A(",U26,")=")</f>
        <v>A(#NA)=</v>
      </c>
      <c r="AB27" s="84" t="e">
        <f>IF(U26=RisePerWLS,0,VLOOKUP(U26,STN_TABLE,3,FALSE))</f>
        <v>#VALUE!</v>
      </c>
      <c r="AC27" t="str">
        <f>CONCATENATE("A(",U27,")=")</f>
        <v>A(#NA)=</v>
      </c>
      <c r="AD27" t="e">
        <f>Z27+AB27</f>
        <v>#VALUE!</v>
      </c>
      <c r="AE27" s="80"/>
    </row>
    <row r="28" spans="1:35" x14ac:dyDescent="0.25">
      <c r="A28">
        <v>25</v>
      </c>
      <c r="B28" s="88" t="str">
        <f t="shared" si="2"/>
        <v xml:space="preserve">  </v>
      </c>
      <c r="C28" s="92" t="str">
        <f t="shared" si="3"/>
        <v xml:space="preserve">  </v>
      </c>
      <c r="D28" s="81" t="str">
        <f t="shared" si="4"/>
        <v xml:space="preserve"> </v>
      </c>
      <c r="E28" s="77" t="str">
        <f t="shared" si="5"/>
        <v xml:space="preserve"> </v>
      </c>
      <c r="G28" s="91" t="str">
        <f t="shared" si="9"/>
        <v>2nd_UWL</v>
      </c>
      <c r="H28" s="91" t="str">
        <f t="shared" si="9"/>
        <v>#NA</v>
      </c>
      <c r="I28" s="82" t="e">
        <f>IF(H28-H27=H27-H26,H28,"#NA")</f>
        <v>#VALUE!</v>
      </c>
      <c r="J28" s="83" t="e">
        <f>VLOOKUP(I28,STN_TABLE,2,FALSE)</f>
        <v>#VALUE!</v>
      </c>
      <c r="K28" s="83">
        <v>1</v>
      </c>
      <c r="L28" s="83" t="e">
        <f>J28*K28</f>
        <v>#VALUE!</v>
      </c>
      <c r="M28" s="83" t="e">
        <f>I28</f>
        <v>#VALUE!</v>
      </c>
      <c r="N28" s="83" t="e">
        <f>L28*M28</f>
        <v>#VALUE!</v>
      </c>
      <c r="O28" t="e">
        <f>CONCATENATE("M(",I28,")=")</f>
        <v>#VALUE!</v>
      </c>
      <c r="P28" t="e">
        <f>2*(P26*WLS)/3*N29</f>
        <v>#VALUE!</v>
      </c>
      <c r="Q28" s="80"/>
      <c r="R28" s="81"/>
      <c r="V28" s="89" t="e">
        <f>SUM(V26:V27)</f>
        <v>#N/A</v>
      </c>
      <c r="X28" s="89" t="e">
        <f>SUM(X26:X27)</f>
        <v>#N/A</v>
      </c>
      <c r="Y28" s="84" t="str">
        <f>CONCATENATE("m'(",U27,")=")</f>
        <v>m'(#NA)=</v>
      </c>
      <c r="Z28" s="84" t="e">
        <f>(2*(Z25^2)/6*X28)+(Z27*U26*WLS)</f>
        <v>#VALUE!</v>
      </c>
      <c r="AA28" s="84" t="str">
        <f>CONCATENATE("M(",U26,")=")</f>
        <v>M(#NA)=</v>
      </c>
      <c r="AB28" s="84" t="e">
        <f>IF(U26=RisePerWLS,0,VLOOKUP(U26,STN_TABLE,4,FALSE))</f>
        <v>#VALUE!</v>
      </c>
      <c r="AC28" t="str">
        <f>CONCATENATE("M(",U27,")=")</f>
        <v>M(#NA)=</v>
      </c>
      <c r="AD28" t="e">
        <f>Z28+AB28</f>
        <v>#VALUE!</v>
      </c>
      <c r="AE28" s="80"/>
    </row>
    <row r="29" spans="1:35" x14ac:dyDescent="0.25">
      <c r="G29" s="91"/>
      <c r="H29" s="91"/>
      <c r="L29" s="89" t="e">
        <f>SUM(L26:L28)</f>
        <v>#VALUE!</v>
      </c>
      <c r="N29" s="89" t="e">
        <f>SUM(N26:N28)</f>
        <v>#VALUE!</v>
      </c>
      <c r="Q29" s="80"/>
      <c r="R29" s="81"/>
      <c r="AE29" s="80"/>
    </row>
    <row r="30" spans="1:35" x14ac:dyDescent="0.25">
      <c r="G30" s="91"/>
      <c r="H30" s="91"/>
    </row>
    <row r="31" spans="1:35" x14ac:dyDescent="0.25">
      <c r="G31" s="91"/>
      <c r="H31" s="91"/>
    </row>
    <row r="32" spans="1:35" x14ac:dyDescent="0.25">
      <c r="G32" s="91"/>
      <c r="H32" s="91"/>
      <c r="Q32" s="68">
        <f>B4</f>
        <v>0</v>
      </c>
      <c r="R32" s="69">
        <f>VLOOKUP(Q32,STN_TABLE,2,FALSE)</f>
        <v>9.6999999999999993</v>
      </c>
      <c r="S32" s="69">
        <v>5</v>
      </c>
      <c r="T32" s="68">
        <f>R32*S32</f>
        <v>48.5</v>
      </c>
      <c r="U32" s="79">
        <v>3</v>
      </c>
      <c r="V32" s="68">
        <f>R32*U32</f>
        <v>29.099999999999998</v>
      </c>
      <c r="W32" t="s">
        <v>93</v>
      </c>
      <c r="X32" s="70">
        <f>IF(AND(Q34-Q33=Q33-Q32,NOT(AND(Q32=0,Q33=0)),NOT(AND(Q33=0,Q34=0))),WLS*(Q34-Q33),"#NA")</f>
        <v>0.5</v>
      </c>
      <c r="AD32" s="93"/>
      <c r="AH32" s="6" t="s">
        <v>93</v>
      </c>
      <c r="AI32" s="70">
        <f>WLS*(AD34-AD33)</f>
        <v>0.5</v>
      </c>
    </row>
    <row r="33" spans="1:47" x14ac:dyDescent="0.25">
      <c r="Q33" s="76">
        <f>B5</f>
        <v>0.25</v>
      </c>
      <c r="R33" s="77">
        <f>VLOOKUP(Q33,STN_TABLE,2,FALSE)</f>
        <v>10.45</v>
      </c>
      <c r="S33" s="77">
        <v>8</v>
      </c>
      <c r="T33" s="76">
        <f>R33*S33</f>
        <v>83.6</v>
      </c>
      <c r="U33" s="80">
        <v>10</v>
      </c>
      <c r="V33" s="76">
        <f>R33*U33</f>
        <v>104.5</v>
      </c>
      <c r="W33" s="495" t="s">
        <v>97</v>
      </c>
      <c r="X33" s="496"/>
      <c r="Y33" s="496" t="s">
        <v>98</v>
      </c>
      <c r="Z33" s="496"/>
      <c r="AA33" s="494" t="s">
        <v>99</v>
      </c>
      <c r="AB33" s="494"/>
      <c r="AC33" s="94">
        <v>1</v>
      </c>
      <c r="AD33" s="95">
        <f>VLOOKUP(AC33,STN_TABLE_2,2,FALSE)</f>
        <v>0</v>
      </c>
      <c r="AE33" s="68">
        <f>VLOOKUP(AD33,STN_TABLE,2,FALSE)</f>
        <v>9.6999999999999993</v>
      </c>
      <c r="AF33" s="68">
        <v>1</v>
      </c>
      <c r="AG33" s="69">
        <f>AE33*AF33</f>
        <v>9.6999999999999993</v>
      </c>
      <c r="AH33" s="496" t="s">
        <v>97</v>
      </c>
      <c r="AI33" s="496"/>
      <c r="AJ33" s="496" t="s">
        <v>98</v>
      </c>
      <c r="AK33" s="496"/>
      <c r="AL33" s="494" t="s">
        <v>99</v>
      </c>
      <c r="AM33" s="494"/>
      <c r="AP33" s="96" t="s">
        <v>112</v>
      </c>
      <c r="AQ33" s="89" t="s">
        <v>113</v>
      </c>
      <c r="AR33" s="89" t="s">
        <v>114</v>
      </c>
      <c r="AS33" s="89" t="s">
        <v>115</v>
      </c>
      <c r="AT33" s="97" t="s">
        <v>116</v>
      </c>
      <c r="AU33" s="98"/>
    </row>
    <row r="34" spans="1:47" x14ac:dyDescent="0.25">
      <c r="Q34" s="82">
        <f>B6</f>
        <v>0.5</v>
      </c>
      <c r="R34" s="83">
        <f>VLOOKUP(Q34,STN_TABLE,2,FALSE)</f>
        <v>10.75</v>
      </c>
      <c r="S34" s="83">
        <v>-1</v>
      </c>
      <c r="T34" s="82">
        <f>R34*S34</f>
        <v>-10.75</v>
      </c>
      <c r="U34" s="88">
        <v>-1</v>
      </c>
      <c r="V34" s="82">
        <f>R34*U34</f>
        <v>-10.75</v>
      </c>
      <c r="W34" s="84" t="str">
        <f>CONCATENATE("a'(",Q33,")=")</f>
        <v>a'(0.25)=</v>
      </c>
      <c r="X34" s="84">
        <f>2*X32/12*T35</f>
        <v>10.112499999999999</v>
      </c>
      <c r="Y34" s="84" t="str">
        <f>CONCATENATE("A(",Q32,")=")</f>
        <v>A(0)=</v>
      </c>
      <c r="Z34" s="84">
        <f>VLOOKUP(Q32,STN_TABLE,3,FALSE)</f>
        <v>0</v>
      </c>
      <c r="AA34" t="str">
        <f>CONCATENATE("A(",Q33,")=")</f>
        <v>A(0.25)=</v>
      </c>
      <c r="AB34">
        <f>X34+Z34</f>
        <v>10.112499999999999</v>
      </c>
      <c r="AC34" s="99">
        <f>AC33+1</f>
        <v>2</v>
      </c>
      <c r="AD34" s="100">
        <f>VLOOKUP(AC34,STN_TABLE_2,2,FALSE)</f>
        <v>0.25</v>
      </c>
      <c r="AE34" s="82">
        <f>VLOOKUP(AD34,STN_TABLE,2,FALSE)</f>
        <v>10.45</v>
      </c>
      <c r="AF34" s="82">
        <v>2</v>
      </c>
      <c r="AG34" s="83">
        <f>AE34*AF34</f>
        <v>20.9</v>
      </c>
      <c r="AH34" s="84" t="str">
        <f>CONCATENATE("a'(",AD34,")=")</f>
        <v>a'(0.25)=</v>
      </c>
      <c r="AI34" s="84">
        <f>2*AI32/2*AE35</f>
        <v>10.074999999999999</v>
      </c>
      <c r="AJ34" s="84" t="str">
        <f>CONCATENATE("A(",AD33,")=")</f>
        <v>A(0)=</v>
      </c>
      <c r="AK34" s="84">
        <f>VLOOKUP(AD33,STN_TABLE,3,FALSE)</f>
        <v>0</v>
      </c>
      <c r="AL34" t="str">
        <f>CONCATENATE("A(",AD34,")=")</f>
        <v>A(0.25)=</v>
      </c>
      <c r="AM34">
        <f>AI34+AK34</f>
        <v>10.074999999999999</v>
      </c>
      <c r="AO34" s="68" t="str">
        <f>AA34</f>
        <v>A(0.25)=</v>
      </c>
      <c r="AP34" s="79" t="e">
        <f>VLOOKUP(AO34,Rise_Results,2,FALSE)</f>
        <v>#N/A</v>
      </c>
      <c r="AQ34" s="76" t="s">
        <v>117</v>
      </c>
      <c r="AR34" s="76">
        <f>IF(OR(AB34&lt;=0,AB35&lt;=0),1/0,AB34)</f>
        <v>10.112499999999999</v>
      </c>
      <c r="AS34" s="76">
        <f>AM34</f>
        <v>10.074999999999999</v>
      </c>
      <c r="AT34" s="80">
        <f>IFERROR(AP34,IFERROR(AR34,AS34))</f>
        <v>10.112499999999999</v>
      </c>
    </row>
    <row r="35" spans="1:47" x14ac:dyDescent="0.25">
      <c r="A35" s="101"/>
      <c r="T35" s="89">
        <f>SUM(T32:T34)</f>
        <v>121.35</v>
      </c>
      <c r="V35" s="82">
        <f>SUM(V32:V34)</f>
        <v>122.85</v>
      </c>
      <c r="W35" s="84" t="str">
        <f>CONCATENATE("m'(",Q33,")=")</f>
        <v>m'(0.25)=</v>
      </c>
      <c r="X35" s="84">
        <f>(2*(X32^2)/24*V35)</f>
        <v>2.5593749999999997</v>
      </c>
      <c r="Y35" s="84" t="str">
        <f>CONCATENATE("M(",Q32,")=")</f>
        <v>M(0)=</v>
      </c>
      <c r="Z35" s="84">
        <f>VLOOKUP(Q32,STN_TABLE,4,FALSE)</f>
        <v>0</v>
      </c>
      <c r="AA35" t="str">
        <f>CONCATENATE("M(",Q33,")=")</f>
        <v>M(0.25)=</v>
      </c>
      <c r="AB35">
        <f>X35+Z35</f>
        <v>2.5593749999999997</v>
      </c>
      <c r="AE35" s="89">
        <f>SUM(AE33:AE34)</f>
        <v>20.149999999999999</v>
      </c>
      <c r="AG35" s="89">
        <f>SUM(AG33:AG34)</f>
        <v>30.599999999999998</v>
      </c>
      <c r="AH35" s="84" t="str">
        <f>CONCATENATE("m'(",AD34,")=")</f>
        <v>m'(0.25)=</v>
      </c>
      <c r="AI35" s="84">
        <f>(2*(AI32^2)/6*AG35)+(AI34*AD33*WLS)</f>
        <v>2.5499999999999998</v>
      </c>
      <c r="AJ35" s="84" t="str">
        <f>CONCATENATE("M(",AD33,")=")</f>
        <v>M(0)=</v>
      </c>
      <c r="AK35" s="84">
        <f>VLOOKUP(AD33,STN_TABLE,4,FALSE)</f>
        <v>0</v>
      </c>
      <c r="AL35" t="str">
        <f>CONCATENATE("M(",AD34,")=")</f>
        <v>M(0.25)=</v>
      </c>
      <c r="AM35">
        <f>AI35+AK35</f>
        <v>2.5499999999999998</v>
      </c>
      <c r="AO35" s="82" t="str">
        <f>AA35</f>
        <v>M(0.25)=</v>
      </c>
      <c r="AP35" s="88" t="e">
        <f>VLOOKUP(AO35,Rise_Results,2,FALSE)</f>
        <v>#N/A</v>
      </c>
      <c r="AQ35" s="82" t="s">
        <v>117</v>
      </c>
      <c r="AR35" s="82">
        <f>IF(OR(AB34&lt;=0,AB35&lt;=0),1/0,AB35)</f>
        <v>2.5593749999999997</v>
      </c>
      <c r="AS35" s="82">
        <f>AM35</f>
        <v>2.5499999999999998</v>
      </c>
      <c r="AT35" s="80">
        <f>IFERROR(AP35,IFERROR(AR35,AS35))</f>
        <v>2.5593749999999997</v>
      </c>
    </row>
    <row r="36" spans="1:47" x14ac:dyDescent="0.25">
      <c r="O36" s="94">
        <v>1</v>
      </c>
      <c r="P36" s="101">
        <f t="shared" ref="P36:P67" si="10">VLOOKUP(O36,STN_TABLE_2,2,FALSE)</f>
        <v>0</v>
      </c>
      <c r="AU36" s="81"/>
    </row>
    <row r="37" spans="1:47" x14ac:dyDescent="0.25">
      <c r="A37" s="94">
        <v>1</v>
      </c>
      <c r="B37" s="94">
        <f>VLOOKUP(A37,STN_TABLE_2,2,FALSE)</f>
        <v>0</v>
      </c>
      <c r="C37" s="79">
        <f>B37</f>
        <v>0</v>
      </c>
      <c r="D37" s="68">
        <f>VLOOKUP(C37,STN_TABLE,2,FALSE)</f>
        <v>9.6999999999999993</v>
      </c>
      <c r="E37" s="102">
        <v>1</v>
      </c>
      <c r="F37" s="68">
        <f>D37*E37</f>
        <v>9.6999999999999993</v>
      </c>
      <c r="G37" s="69">
        <f>C37</f>
        <v>0</v>
      </c>
      <c r="H37" s="69">
        <f>F37*G37</f>
        <v>0</v>
      </c>
      <c r="I37" s="6" t="s">
        <v>93</v>
      </c>
      <c r="J37" s="70">
        <f>IF(OR(D37=0,D38=0,D39=0),"#NA",IF(AND(C39-C38=C38-C37,C38&lt;&gt;C39,C37&lt;&gt;C38,C37&lt;&gt;C39,D39&lt;&gt;0,OR(D37&lt;&gt;0,D38&lt;&gt;0)),WLS*(C39-C38),"#NA"))</f>
        <v>0.5</v>
      </c>
      <c r="O37" s="99">
        <f>O36+1</f>
        <v>2</v>
      </c>
      <c r="P37" s="99">
        <f t="shared" si="10"/>
        <v>0.25</v>
      </c>
      <c r="Q37" s="68">
        <f>IF(OR(P39-P38=P38-P37,P40-P38=P38-P37),P37,IF(OR(P39-P38=P38-P36,P40-P38=P38-P36),P36,"-"))</f>
        <v>0.25</v>
      </c>
      <c r="R37" s="69">
        <f>VLOOKUP(Q37,STN_TABLE,2,FALSE)</f>
        <v>10.45</v>
      </c>
      <c r="S37" s="69">
        <v>5</v>
      </c>
      <c r="T37" s="68">
        <f>R37*S37</f>
        <v>52.25</v>
      </c>
      <c r="U37" s="79">
        <v>3</v>
      </c>
      <c r="V37" s="68">
        <f>R37*U37</f>
        <v>31.349999999999998</v>
      </c>
      <c r="W37" s="6" t="s">
        <v>93</v>
      </c>
      <c r="X37" s="70">
        <f>IF(AND(Q39-Q38=Q38-Q37,NOT(AND(Q37=0,Q38=0)),NOT(AND(Q38=0,Q39=0))),WLS*(Q39-Q38),"#NA")</f>
        <v>0.5</v>
      </c>
      <c r="AD37" s="93"/>
      <c r="AH37" s="6" t="s">
        <v>93</v>
      </c>
      <c r="AI37" s="70">
        <f>WLS*(AD39-AD38)</f>
        <v>0.5</v>
      </c>
      <c r="AU37" s="81"/>
    </row>
    <row r="38" spans="1:47" x14ac:dyDescent="0.25">
      <c r="A38" s="94">
        <f>A37+1</f>
        <v>2</v>
      </c>
      <c r="B38" s="94">
        <f>VLOOKUP(A38,STN_TABLE_2,2,FALSE)</f>
        <v>0.25</v>
      </c>
      <c r="C38" s="80">
        <f>B38</f>
        <v>0.25</v>
      </c>
      <c r="D38" s="76">
        <f>VLOOKUP(C38,STN_TABLE,2,FALSE)</f>
        <v>10.45</v>
      </c>
      <c r="E38" s="81">
        <v>4</v>
      </c>
      <c r="F38" s="76">
        <f>D38*E38</f>
        <v>41.8</v>
      </c>
      <c r="G38" s="77">
        <f>C38</f>
        <v>0.25</v>
      </c>
      <c r="H38" s="77">
        <f>F38*G38</f>
        <v>10.45</v>
      </c>
      <c r="I38" s="496" t="s">
        <v>97</v>
      </c>
      <c r="J38" s="496"/>
      <c r="K38" s="78" t="s">
        <v>98</v>
      </c>
      <c r="L38" s="78"/>
      <c r="M38" s="7" t="s">
        <v>99</v>
      </c>
      <c r="N38" s="7"/>
      <c r="O38" s="99">
        <f>O37+1</f>
        <v>3</v>
      </c>
      <c r="P38" s="99">
        <f t="shared" si="10"/>
        <v>0.5</v>
      </c>
      <c r="Q38" s="76">
        <f>P38</f>
        <v>0.5</v>
      </c>
      <c r="R38" s="77">
        <f>VLOOKUP(Q38,STN_TABLE,2,FALSE)</f>
        <v>10.75</v>
      </c>
      <c r="S38" s="77">
        <v>8</v>
      </c>
      <c r="T38" s="76">
        <f>R38*S38</f>
        <v>86</v>
      </c>
      <c r="U38" s="80">
        <v>10</v>
      </c>
      <c r="V38" s="76">
        <f>R38*U38</f>
        <v>107.5</v>
      </c>
      <c r="W38" s="496" t="s">
        <v>97</v>
      </c>
      <c r="X38" s="496"/>
      <c r="Y38" s="496" t="s">
        <v>98</v>
      </c>
      <c r="Z38" s="496"/>
      <c r="AA38" s="494" t="s">
        <v>99</v>
      </c>
      <c r="AB38" s="494"/>
      <c r="AC38" s="99">
        <f>AC33+1</f>
        <v>2</v>
      </c>
      <c r="AD38" s="95">
        <f>VLOOKUP(AC38,STN_TABLE_2,2,FALSE)</f>
        <v>0.25</v>
      </c>
      <c r="AE38" s="68">
        <f>VLOOKUP(AD38,STN_TABLE,2,FALSE)</f>
        <v>10.45</v>
      </c>
      <c r="AF38" s="68">
        <v>1</v>
      </c>
      <c r="AG38" s="69">
        <f>AE38*AF38</f>
        <v>10.45</v>
      </c>
      <c r="AH38" s="496" t="s">
        <v>97</v>
      </c>
      <c r="AI38" s="496"/>
      <c r="AJ38" s="496" t="s">
        <v>98</v>
      </c>
      <c r="AK38" s="496"/>
      <c r="AL38" s="494" t="s">
        <v>99</v>
      </c>
      <c r="AM38" s="494"/>
      <c r="AP38" s="86" t="s">
        <v>112</v>
      </c>
      <c r="AQ38" s="89" t="s">
        <v>113</v>
      </c>
      <c r="AR38" s="89" t="s">
        <v>114</v>
      </c>
      <c r="AS38" s="89" t="s">
        <v>115</v>
      </c>
    </row>
    <row r="39" spans="1:47" x14ac:dyDescent="0.25">
      <c r="A39" s="94">
        <f>A38+1</f>
        <v>3</v>
      </c>
      <c r="B39" s="94">
        <f>VLOOKUP(A39,STN_TABLE_2,2,FALSE)</f>
        <v>0.5</v>
      </c>
      <c r="C39" s="88">
        <f>B39</f>
        <v>0.5</v>
      </c>
      <c r="D39" s="82">
        <f>VLOOKUP(C39,STN_TABLE,2,FALSE)</f>
        <v>10.75</v>
      </c>
      <c r="E39" s="92">
        <v>1</v>
      </c>
      <c r="F39" s="82">
        <f>D39*E39</f>
        <v>10.75</v>
      </c>
      <c r="G39" s="83">
        <f>C39</f>
        <v>0.5</v>
      </c>
      <c r="H39" s="83">
        <f>F39*G39</f>
        <v>5.375</v>
      </c>
      <c r="I39" s="84" t="str">
        <f>CONCATENATE("a'(",C39,")=")</f>
        <v>a'(0.5)=</v>
      </c>
      <c r="J39" s="84">
        <f>2*J37/3*F40</f>
        <v>20.75</v>
      </c>
      <c r="K39" s="84" t="str">
        <f>CONCATENATE("A(",C37,")=")</f>
        <v>A(0)=</v>
      </c>
      <c r="L39" s="84">
        <f>VLOOKUP(C37,STN_TABLE,3,FALSE)</f>
        <v>0</v>
      </c>
      <c r="M39" t="str">
        <f>CONCATENATE("A(",C39,")=")</f>
        <v>A(0.5)=</v>
      </c>
      <c r="N39">
        <f>J39+L39</f>
        <v>20.75</v>
      </c>
      <c r="O39" s="99">
        <f>O38+1</f>
        <v>4</v>
      </c>
      <c r="P39" s="99">
        <f t="shared" si="10"/>
        <v>0.75</v>
      </c>
      <c r="Q39" s="82">
        <f>IF(P39-P38=P38-P37,P39,IF(P40-P38=P38-P37,P40,IF(P39-P38=P38-P36,P39,IF(P40-P38=P38-P36,P40,"-"))))</f>
        <v>0.75</v>
      </c>
      <c r="R39" s="83">
        <f>VLOOKUP(Q39,STN_TABLE,2,FALSE)</f>
        <v>10.93</v>
      </c>
      <c r="S39" s="83">
        <v>-1</v>
      </c>
      <c r="T39" s="82">
        <f>R39*S39</f>
        <v>-10.93</v>
      </c>
      <c r="U39" s="88">
        <v>-1</v>
      </c>
      <c r="V39" s="82">
        <f>R39*U39</f>
        <v>-10.93</v>
      </c>
      <c r="W39" s="84" t="str">
        <f>CONCATENATE("a'(",Q38,")=")</f>
        <v>a'(0.5)=</v>
      </c>
      <c r="X39" s="84">
        <f>2*X37/12*T40</f>
        <v>10.61</v>
      </c>
      <c r="Y39" s="84" t="str">
        <f>CONCATENATE("A(",Q37,")=")</f>
        <v>A(0.25)=</v>
      </c>
      <c r="Z39" s="84">
        <f>VLOOKUP(Q37,STN_TABLE,3,FALSE)</f>
        <v>10.112499999999999</v>
      </c>
      <c r="AA39" t="str">
        <f>CONCATENATE("A(",Q38,")=")</f>
        <v>A(0.5)=</v>
      </c>
      <c r="AB39">
        <f>X39+Z39</f>
        <v>20.722499999999997</v>
      </c>
      <c r="AC39" s="99">
        <f>AC38+1</f>
        <v>3</v>
      </c>
      <c r="AD39" s="100">
        <f>VLOOKUP(AC39,STN_TABLE_2,2,FALSE)</f>
        <v>0.5</v>
      </c>
      <c r="AE39" s="82">
        <f>VLOOKUP(AD39,STN_TABLE,2,FALSE)</f>
        <v>10.75</v>
      </c>
      <c r="AF39" s="82">
        <v>2</v>
      </c>
      <c r="AG39" s="83">
        <f>AE39*AF39</f>
        <v>21.5</v>
      </c>
      <c r="AH39" s="84" t="str">
        <f>CONCATENATE("a'(",AD39,")=")</f>
        <v>a'(0.5)=</v>
      </c>
      <c r="AI39" s="84">
        <f>2*AI37/2*AE40</f>
        <v>10.6</v>
      </c>
      <c r="AJ39" s="84" t="str">
        <f>CONCATENATE("A(",AD38,")=")</f>
        <v>A(0.25)=</v>
      </c>
      <c r="AK39" s="84">
        <f>VLOOKUP(AD38,STN_TABLE,3,FALSE)</f>
        <v>10.112499999999999</v>
      </c>
      <c r="AL39" t="str">
        <f>CONCATENATE("A(",AD39,")=")</f>
        <v>A(0.5)=</v>
      </c>
      <c r="AM39">
        <f>AI39+AK39</f>
        <v>20.712499999999999</v>
      </c>
      <c r="AO39" s="68" t="str">
        <f>AA39</f>
        <v>A(0.5)=</v>
      </c>
      <c r="AP39" s="68" t="e">
        <f>VLOOKUP(AO39,Rise_Results,2,FALSE)</f>
        <v>#N/A</v>
      </c>
      <c r="AQ39" s="76">
        <f>N39</f>
        <v>20.75</v>
      </c>
      <c r="AR39" s="76">
        <f>IF(OR(AB39&lt;=0,AB40&lt;=0),1/0,AB39)</f>
        <v>20.722499999999997</v>
      </c>
      <c r="AS39" s="76">
        <f>AM39</f>
        <v>20.712499999999999</v>
      </c>
      <c r="AT39">
        <f>IFERROR(AP39,IFERROR(AQ39,IFERROR(AR39,AS39)))</f>
        <v>20.75</v>
      </c>
    </row>
    <row r="40" spans="1:47" x14ac:dyDescent="0.25">
      <c r="A40">
        <v>4</v>
      </c>
      <c r="F40" s="82">
        <f>SUM(F37:F39)</f>
        <v>62.25</v>
      </c>
      <c r="H40" s="82">
        <f>SUM(H37:H39)</f>
        <v>15.824999999999999</v>
      </c>
      <c r="I40" s="84" t="str">
        <f>CONCATENATE("m'(",C39,")=")</f>
        <v>m'(0.5)=</v>
      </c>
      <c r="J40" s="84">
        <f>2*(J37*(WLS))/3*H40</f>
        <v>10.549999999999999</v>
      </c>
      <c r="K40" s="84" t="str">
        <f>CONCATENATE("M(",C37,")=")</f>
        <v>M(0)=</v>
      </c>
      <c r="L40" s="84">
        <f>VLOOKUP(C37,STN_TABLE,4,FALSE)</f>
        <v>0</v>
      </c>
      <c r="M40" t="str">
        <f>CONCATENATE("M(",C39,")=")</f>
        <v>M(0.5)=</v>
      </c>
      <c r="N40">
        <f>J40+L40</f>
        <v>10.549999999999999</v>
      </c>
      <c r="O40" s="99">
        <f>O39+1</f>
        <v>5</v>
      </c>
      <c r="P40" s="99">
        <f t="shared" si="10"/>
        <v>1</v>
      </c>
      <c r="T40" s="89">
        <f>SUM(T37:T39)</f>
        <v>127.32</v>
      </c>
      <c r="V40" s="82">
        <f>SUM(V37:V39)</f>
        <v>127.91999999999999</v>
      </c>
      <c r="W40" s="84" t="str">
        <f>CONCATENATE("m'(",Q38,")=")</f>
        <v>m'(0.5)=</v>
      </c>
      <c r="X40" s="84">
        <f>(2*(X37^2)/24*V40)+(X39*Q37*WLS)</f>
        <v>7.9699999999999989</v>
      </c>
      <c r="Y40" s="84" t="str">
        <f>CONCATENATE("M(",Q37,")=")</f>
        <v>M(0.25)=</v>
      </c>
      <c r="Z40" s="84">
        <f>VLOOKUP(Q37,STN_TABLE,4,FALSE)</f>
        <v>2.5593749999999997</v>
      </c>
      <c r="AA40" t="str">
        <f>CONCATENATE("M(",Q38,")=")</f>
        <v>M(0.5)=</v>
      </c>
      <c r="AB40">
        <f>X40+Z40</f>
        <v>10.529374999999998</v>
      </c>
      <c r="AE40" s="89">
        <f>SUM(AE38:AE39)</f>
        <v>21.2</v>
      </c>
      <c r="AG40" s="89">
        <f>SUM(AG38:AG39)</f>
        <v>31.95</v>
      </c>
      <c r="AH40" s="84" t="str">
        <f>CONCATENATE("m'(",AD39,")=")</f>
        <v>m'(0.5)=</v>
      </c>
      <c r="AI40" s="84">
        <f>(2*(AI37^2)/6*AG40)+(AI39*AD38*WLS)</f>
        <v>7.9624999999999995</v>
      </c>
      <c r="AJ40" s="84" t="str">
        <f>CONCATENATE("M(",AD38,")=")</f>
        <v>M(0.25)=</v>
      </c>
      <c r="AK40" s="84">
        <f>VLOOKUP(AD38,STN_TABLE,4,FALSE)</f>
        <v>2.5593749999999997</v>
      </c>
      <c r="AL40" t="str">
        <f>CONCATENATE("M(",AD39,")=")</f>
        <v>M(0.5)=</v>
      </c>
      <c r="AM40">
        <f>AI40+AK40</f>
        <v>10.521875</v>
      </c>
      <c r="AO40" s="82" t="str">
        <f>AA40</f>
        <v>M(0.5)=</v>
      </c>
      <c r="AP40" s="82" t="e">
        <f>VLOOKUP(AO40,Rise_Results,2,FALSE)</f>
        <v>#N/A</v>
      </c>
      <c r="AQ40" s="82">
        <f>N40</f>
        <v>10.549999999999999</v>
      </c>
      <c r="AR40" s="82">
        <f>IF(OR(AB39&lt;=0,AB40&lt;=0),1/0,AB40)</f>
        <v>10.529374999999998</v>
      </c>
      <c r="AS40" s="82">
        <f>AM40</f>
        <v>10.521875</v>
      </c>
      <c r="AT40">
        <f>IFERROR(AP40,IFERROR(AQ40,IFERROR(AR40,AS40)))</f>
        <v>10.549999999999999</v>
      </c>
    </row>
    <row r="41" spans="1:47" x14ac:dyDescent="0.25">
      <c r="A41" s="94">
        <v>0</v>
      </c>
      <c r="O41" s="101">
        <f>O36+1</f>
        <v>2</v>
      </c>
      <c r="P41" s="101">
        <f t="shared" si="10"/>
        <v>0.25</v>
      </c>
    </row>
    <row r="42" spans="1:47" x14ac:dyDescent="0.25">
      <c r="A42" s="94">
        <f>A41+1</f>
        <v>1</v>
      </c>
      <c r="B42" s="94">
        <f t="shared" ref="B42:B73" si="11">VLOOKUP(A42,STN_TABLE_2,2,FALSE)</f>
        <v>0</v>
      </c>
      <c r="C42" s="79">
        <f>IF(C43=B43,B42,IF(C43=B44,IF(C44-C43=C43-B43,B43,IF(C44-C43=C43-B42,B42,"NA"))))</f>
        <v>0.25</v>
      </c>
      <c r="D42" s="68">
        <f>VLOOKUP(C42,STN_TABLE,2,FALSE)</f>
        <v>10.45</v>
      </c>
      <c r="E42" s="102">
        <v>1</v>
      </c>
      <c r="F42" s="68">
        <f>D42*E42</f>
        <v>10.45</v>
      </c>
      <c r="G42" s="69">
        <f>C42</f>
        <v>0.25</v>
      </c>
      <c r="H42" s="69">
        <f>F42*G42</f>
        <v>2.6124999999999998</v>
      </c>
      <c r="I42" s="6" t="s">
        <v>93</v>
      </c>
      <c r="J42" s="70">
        <f>IF(OR(D42=0,D43=0,D44=0),"#NA",IF(AND(C44-C43=C43-C42,C43&lt;&gt;C44,C42&lt;&gt;C43,C42&lt;&gt;C44,D44&lt;&gt;0,OR(D42&lt;&gt;0,D43&lt;&gt;0)),WLS*(C44-C43),"#NA"))</f>
        <v>0.5</v>
      </c>
      <c r="O42" s="99">
        <f>O41+1</f>
        <v>3</v>
      </c>
      <c r="P42" s="99">
        <f t="shared" si="10"/>
        <v>0.5</v>
      </c>
      <c r="Q42" s="68">
        <f>IF(OR(P44-P43=P43-P42,P45-P43=P43-P42),P42,IF(OR(P44-P43=P43-P41,P45-P43=P43-P41),P41,"-"))</f>
        <v>0.5</v>
      </c>
      <c r="R42" s="69">
        <f>VLOOKUP(Q42,STN_TABLE,2,FALSE)</f>
        <v>10.75</v>
      </c>
      <c r="S42" s="69">
        <v>5</v>
      </c>
      <c r="T42" s="68">
        <f>R42*S42</f>
        <v>53.75</v>
      </c>
      <c r="U42" s="79">
        <v>3</v>
      </c>
      <c r="V42" s="68">
        <f>R42*U42</f>
        <v>32.25</v>
      </c>
      <c r="W42" s="6" t="s">
        <v>93</v>
      </c>
      <c r="X42" s="70">
        <f>IF(AND(Q44-Q43=Q43-Q42,NOT(AND(Q42=0,Q43=0)),NOT(AND(Q43=0,Q44=0))),WLS*(Q44-Q43),"#NA")</f>
        <v>0.5</v>
      </c>
      <c r="AD42" s="93"/>
      <c r="AH42" s="6" t="s">
        <v>93</v>
      </c>
      <c r="AI42" s="70">
        <f>WLS*(AD44-AD43)</f>
        <v>0.5</v>
      </c>
      <c r="AU42" s="81"/>
    </row>
    <row r="43" spans="1:47" x14ac:dyDescent="0.25">
      <c r="A43" s="94">
        <f>A42+1</f>
        <v>2</v>
      </c>
      <c r="B43" s="94">
        <f t="shared" si="11"/>
        <v>0.25</v>
      </c>
      <c r="C43" s="80">
        <f>IF(OR(B45-B44=B44-B43,B45-B44=B44-B42,),B44,IF(B45-B43=B43-B42,B43,"#NA"))</f>
        <v>0.5</v>
      </c>
      <c r="D43" s="76">
        <f>VLOOKUP(C43,STN_TABLE,2,FALSE)</f>
        <v>10.75</v>
      </c>
      <c r="E43" s="81">
        <v>4</v>
      </c>
      <c r="F43" s="76">
        <f>D43*E43</f>
        <v>43</v>
      </c>
      <c r="G43" s="77">
        <f>C43</f>
        <v>0.5</v>
      </c>
      <c r="H43" s="77">
        <f>F43*G43</f>
        <v>21.5</v>
      </c>
      <c r="I43" s="496" t="s">
        <v>97</v>
      </c>
      <c r="J43" s="496"/>
      <c r="K43" s="78" t="s">
        <v>98</v>
      </c>
      <c r="L43" s="78"/>
      <c r="M43" s="7" t="s">
        <v>99</v>
      </c>
      <c r="N43" s="7"/>
      <c r="O43" s="99">
        <f>O42+1</f>
        <v>4</v>
      </c>
      <c r="P43" s="99">
        <f t="shared" si="10"/>
        <v>0.75</v>
      </c>
      <c r="Q43" s="76">
        <f>P43</f>
        <v>0.75</v>
      </c>
      <c r="R43" s="77">
        <f>VLOOKUP(Q43,STN_TABLE,2,FALSE)</f>
        <v>10.93</v>
      </c>
      <c r="S43" s="77">
        <v>8</v>
      </c>
      <c r="T43" s="76">
        <f>R43*S43</f>
        <v>87.44</v>
      </c>
      <c r="U43" s="80">
        <v>10</v>
      </c>
      <c r="V43" s="76">
        <f>R43*U43</f>
        <v>109.3</v>
      </c>
      <c r="W43" s="496" t="s">
        <v>97</v>
      </c>
      <c r="X43" s="496"/>
      <c r="Y43" s="496" t="s">
        <v>98</v>
      </c>
      <c r="Z43" s="496"/>
      <c r="AA43" s="494" t="s">
        <v>99</v>
      </c>
      <c r="AB43" s="494"/>
      <c r="AC43" s="99">
        <f>AC38+1</f>
        <v>3</v>
      </c>
      <c r="AD43" s="95">
        <f>VLOOKUP(AC43,STN_TABLE_2,2,FALSE)</f>
        <v>0.5</v>
      </c>
      <c r="AE43" s="68">
        <f>VLOOKUP(AD43,STN_TABLE,2,FALSE)</f>
        <v>10.75</v>
      </c>
      <c r="AF43" s="68">
        <v>1</v>
      </c>
      <c r="AG43" s="69">
        <f>AE43*AF43</f>
        <v>10.75</v>
      </c>
      <c r="AH43" s="496" t="s">
        <v>97</v>
      </c>
      <c r="AI43" s="496"/>
      <c r="AJ43" s="496" t="s">
        <v>98</v>
      </c>
      <c r="AK43" s="496"/>
      <c r="AL43" s="494" t="s">
        <v>99</v>
      </c>
      <c r="AM43" s="494"/>
      <c r="AP43" s="86" t="s">
        <v>112</v>
      </c>
      <c r="AQ43" s="89" t="s">
        <v>113</v>
      </c>
      <c r="AR43" s="89" t="s">
        <v>114</v>
      </c>
      <c r="AS43" s="89" t="s">
        <v>115</v>
      </c>
      <c r="AU43" s="81"/>
    </row>
    <row r="44" spans="1:47" x14ac:dyDescent="0.25">
      <c r="A44" s="94">
        <f>A43+1</f>
        <v>3</v>
      </c>
      <c r="B44" s="94">
        <f t="shared" si="11"/>
        <v>0.5</v>
      </c>
      <c r="C44" s="88">
        <f>B45</f>
        <v>0.75</v>
      </c>
      <c r="D44" s="82">
        <f>VLOOKUP(C44,STN_TABLE,2,FALSE)</f>
        <v>10.93</v>
      </c>
      <c r="E44" s="92">
        <v>1</v>
      </c>
      <c r="F44" s="82">
        <f>D44*E44</f>
        <v>10.93</v>
      </c>
      <c r="G44" s="83">
        <f>C44</f>
        <v>0.75</v>
      </c>
      <c r="H44" s="83">
        <f>F44*G44</f>
        <v>8.1974999999999998</v>
      </c>
      <c r="I44" s="84" t="str">
        <f>CONCATENATE("a'(",C44,")=")</f>
        <v>a'(0.75)=</v>
      </c>
      <c r="J44" s="84">
        <f>2*J42/3*F45</f>
        <v>21.459999999999997</v>
      </c>
      <c r="K44" s="84" t="str">
        <f>CONCATENATE("A(",C42,")=")</f>
        <v>A(0.25)=</v>
      </c>
      <c r="L44" s="84">
        <f>VLOOKUP(C42,STN_TABLE,3,FALSE)</f>
        <v>10.112499999999999</v>
      </c>
      <c r="M44" t="str">
        <f>CONCATENATE("A(",C44,")=")</f>
        <v>A(0.75)=</v>
      </c>
      <c r="N44">
        <f>J44+L44</f>
        <v>31.572499999999998</v>
      </c>
      <c r="O44" s="99">
        <f>O43+1</f>
        <v>5</v>
      </c>
      <c r="P44" s="99">
        <f t="shared" si="10"/>
        <v>1</v>
      </c>
      <c r="Q44" s="82">
        <f>IF(P44-P43=P43-P42,P44,IF(P45-P43=P43-P42,P45,IF(P44-P43=P43-P41,P44,IF(P45-P43=P43-P41,P45,"-"))))</f>
        <v>1</v>
      </c>
      <c r="R44" s="83">
        <f>VLOOKUP(Q44,STN_TABLE,2,FALSE)</f>
        <v>11</v>
      </c>
      <c r="S44" s="83">
        <v>-1</v>
      </c>
      <c r="T44" s="82">
        <f>R44*S44</f>
        <v>-11</v>
      </c>
      <c r="U44" s="88">
        <v>-1</v>
      </c>
      <c r="V44" s="82">
        <f>R44*U44</f>
        <v>-11</v>
      </c>
      <c r="W44" s="84" t="str">
        <f>CONCATENATE("a'(",Q43,")=")</f>
        <v>a'(0.75)=</v>
      </c>
      <c r="X44" s="84">
        <f>2*X42/12*T45</f>
        <v>10.849166666666665</v>
      </c>
      <c r="Y44" s="84" t="str">
        <f>CONCATENATE("A(",Q42,")=")</f>
        <v>A(0.5)=</v>
      </c>
      <c r="Z44" s="84">
        <f>VLOOKUP(Q42,STN_TABLE,3,FALSE)</f>
        <v>20.75</v>
      </c>
      <c r="AA44" t="str">
        <f>CONCATENATE("A(",Q43,")=")</f>
        <v>A(0.75)=</v>
      </c>
      <c r="AB44">
        <f>X44+Z44</f>
        <v>31.599166666666665</v>
      </c>
      <c r="AC44" s="99">
        <f>AC43+1</f>
        <v>4</v>
      </c>
      <c r="AD44" s="100">
        <f>VLOOKUP(AC44,STN_TABLE_2,2,FALSE)</f>
        <v>0.75</v>
      </c>
      <c r="AE44" s="82">
        <f>VLOOKUP(AD44,STN_TABLE,2,FALSE)</f>
        <v>10.93</v>
      </c>
      <c r="AF44" s="82">
        <v>2</v>
      </c>
      <c r="AG44" s="83">
        <f>AE44*AF44</f>
        <v>21.86</v>
      </c>
      <c r="AH44" s="84" t="str">
        <f>CONCATENATE("a'(",AD44,")=")</f>
        <v>a'(0.75)=</v>
      </c>
      <c r="AI44" s="84">
        <f>2*AI42/2*AE45</f>
        <v>10.84</v>
      </c>
      <c r="AJ44" s="84" t="str">
        <f>CONCATENATE("A(",AD43,")=")</f>
        <v>A(0.5)=</v>
      </c>
      <c r="AK44" s="84">
        <f>VLOOKUP(AD43,STN_TABLE,3,FALSE)</f>
        <v>20.75</v>
      </c>
      <c r="AL44" t="str">
        <f>CONCATENATE("A(",AD44,")=")</f>
        <v>A(0.75)=</v>
      </c>
      <c r="AM44">
        <f>AI44+AK44</f>
        <v>31.59</v>
      </c>
      <c r="AO44" s="68" t="str">
        <f>AA44</f>
        <v>A(0.75)=</v>
      </c>
      <c r="AP44" s="68" t="e">
        <f>VLOOKUP(AO44,Rise_Results,2,FALSE)</f>
        <v>#N/A</v>
      </c>
      <c r="AQ44" s="76">
        <f>N44</f>
        <v>31.572499999999998</v>
      </c>
      <c r="AR44" s="76">
        <f>IF(OR(AB44&lt;=0,AB45&lt;=0),1/0,AB44)</f>
        <v>31.599166666666665</v>
      </c>
      <c r="AS44" s="76">
        <f>AM44</f>
        <v>31.59</v>
      </c>
      <c r="AT44">
        <f>IFERROR(AP44,IFERROR(AQ44,IFERROR(AR44,AS44)))</f>
        <v>31.572499999999998</v>
      </c>
      <c r="AU44" s="81"/>
    </row>
    <row r="45" spans="1:47" x14ac:dyDescent="0.25">
      <c r="A45" s="94">
        <f>A44+1</f>
        <v>4</v>
      </c>
      <c r="B45" s="94">
        <f t="shared" si="11"/>
        <v>0.75</v>
      </c>
      <c r="F45" s="82">
        <f>SUM(F42:F44)</f>
        <v>64.38</v>
      </c>
      <c r="H45" s="82">
        <f>SUM(H42:H44)</f>
        <v>32.31</v>
      </c>
      <c r="I45" s="84" t="str">
        <f>CONCATENATE("m'(",C44,")=")</f>
        <v>m'(0.75)=</v>
      </c>
      <c r="J45" s="84">
        <f>2*(J42*(WLS))/3*H45</f>
        <v>21.54</v>
      </c>
      <c r="K45" s="84" t="str">
        <f>CONCATENATE("M(",C42,")=")</f>
        <v>M(0.25)=</v>
      </c>
      <c r="L45" s="84">
        <f>VLOOKUP(C42,STN_TABLE,4,FALSE)</f>
        <v>2.5593749999999997</v>
      </c>
      <c r="M45" t="str">
        <f>CONCATENATE("M(",C44,")=")</f>
        <v>M(0.75)=</v>
      </c>
      <c r="N45">
        <f>J45+L45</f>
        <v>24.099374999999998</v>
      </c>
      <c r="O45" s="99">
        <f>O44+1</f>
        <v>6</v>
      </c>
      <c r="P45" s="99">
        <f t="shared" si="10"/>
        <v>2</v>
      </c>
      <c r="T45" s="89">
        <f>SUM(T42:T44)</f>
        <v>130.19</v>
      </c>
      <c r="V45" s="82">
        <f>SUM(V42:V44)</f>
        <v>130.55000000000001</v>
      </c>
      <c r="W45" s="84" t="str">
        <f>CONCATENATE("m'(",Q43,")=")</f>
        <v>m'(0.75)=</v>
      </c>
      <c r="X45" s="84">
        <f>(2*(X42^2)/24*V45)+(X44*Q42*WLS)</f>
        <v>13.568958333333331</v>
      </c>
      <c r="Y45" s="84" t="str">
        <f>CONCATENATE("M(",Q42,")=")</f>
        <v>M(0.5)=</v>
      </c>
      <c r="Z45" s="84">
        <f>VLOOKUP(Q42,STN_TABLE,4,FALSE)</f>
        <v>10.549999999999999</v>
      </c>
      <c r="AA45" t="str">
        <f>CONCATENATE("M(",Q43,")=")</f>
        <v>M(0.75)=</v>
      </c>
      <c r="AB45">
        <f>X45+Z45</f>
        <v>24.118958333333332</v>
      </c>
      <c r="AE45" s="89">
        <f>SUM(AE43:AE44)</f>
        <v>21.68</v>
      </c>
      <c r="AG45" s="89">
        <f>SUM(AG43:AG44)</f>
        <v>32.61</v>
      </c>
      <c r="AH45" s="84" t="str">
        <f>CONCATENATE("m'(",AD44,")=")</f>
        <v>m'(0.75)=</v>
      </c>
      <c r="AI45" s="84">
        <f>(2*(AI42^2)/6*AG45)+(AI44*AD43*WLS)</f>
        <v>13.557499999999999</v>
      </c>
      <c r="AJ45" s="84" t="str">
        <f>CONCATENATE("M(",AD43,")=")</f>
        <v>M(0.5)=</v>
      </c>
      <c r="AK45" s="84">
        <f>VLOOKUP(AD43,STN_TABLE,4,FALSE)</f>
        <v>10.549999999999999</v>
      </c>
      <c r="AL45" t="str">
        <f>CONCATENATE("M(",AD44,")=")</f>
        <v>M(0.75)=</v>
      </c>
      <c r="AM45">
        <f>AI45+AK45</f>
        <v>24.107499999999998</v>
      </c>
      <c r="AO45" s="82" t="str">
        <f>AA45</f>
        <v>M(0.75)=</v>
      </c>
      <c r="AP45" s="82" t="e">
        <f>VLOOKUP(AO45,Rise_Results,2,FALSE)</f>
        <v>#N/A</v>
      </c>
      <c r="AQ45" s="82">
        <f>N45</f>
        <v>24.099374999999998</v>
      </c>
      <c r="AR45" s="82">
        <f>IF(OR(AB44&lt;=0,AB45&lt;=0),1/0,AB45)</f>
        <v>24.118958333333332</v>
      </c>
      <c r="AS45" s="82">
        <f>AM45</f>
        <v>24.107499999999998</v>
      </c>
      <c r="AT45">
        <f>IFERROR(AP45,IFERROR(AQ45,IFERROR(AR45,AS45)))</f>
        <v>24.099374999999998</v>
      </c>
      <c r="AU45" s="81"/>
    </row>
    <row r="46" spans="1:47" x14ac:dyDescent="0.25">
      <c r="A46" s="101">
        <f>A41+1</f>
        <v>1</v>
      </c>
      <c r="B46" s="101">
        <f t="shared" si="11"/>
        <v>0</v>
      </c>
      <c r="O46" s="101">
        <f>O41+1</f>
        <v>3</v>
      </c>
      <c r="P46" s="101">
        <f t="shared" si="10"/>
        <v>0.5</v>
      </c>
      <c r="AU46" s="81"/>
    </row>
    <row r="47" spans="1:47" x14ac:dyDescent="0.25">
      <c r="A47" s="84">
        <f>A46+1</f>
        <v>2</v>
      </c>
      <c r="B47" s="84">
        <f t="shared" si="11"/>
        <v>0.25</v>
      </c>
      <c r="C47" s="79">
        <f>IF(C48=B49,IF(C49-C48=C48-B48,B48,IF(C49-C48=C48-B47,B47,"#NA")),IF(C48=B48,IF(C49-C48=C48-B47,B47,IF(C49-C48=C48-B46,B46,"#NA")),"#NA"))</f>
        <v>0.5</v>
      </c>
      <c r="D47" s="68">
        <f>VLOOKUP(C47,STN_TABLE,2,FALSE)</f>
        <v>10.75</v>
      </c>
      <c r="E47" s="102">
        <v>1</v>
      </c>
      <c r="F47" s="68">
        <f>D47*E47</f>
        <v>10.75</v>
      </c>
      <c r="G47" s="69">
        <f>C47</f>
        <v>0.5</v>
      </c>
      <c r="H47" s="69">
        <f>F47*G47</f>
        <v>5.375</v>
      </c>
      <c r="I47" s="6" t="s">
        <v>93</v>
      </c>
      <c r="J47" s="70">
        <f>IF(OR(D47=0,D48=0,D49=0),"#NA",IF(AND(C49-C48=C48-C47,C48&lt;&gt;C49,C47&lt;&gt;C48,C47&lt;&gt;C49,D49&lt;&gt;0,OR(D47&lt;&gt;0,D48&lt;&gt;0)),WLS*(C49-C48),"#NA"))</f>
        <v>0.5</v>
      </c>
      <c r="O47" s="99">
        <f>O46+1</f>
        <v>4</v>
      </c>
      <c r="P47" s="99">
        <f t="shared" si="10"/>
        <v>0.75</v>
      </c>
      <c r="Q47" s="68" t="str">
        <f>IF(OR(P49-P48=P48-P47,P50-P48=P48-P47),P47,IF(OR(P49-P48=P48-P46,P50-P48=P48-P46),P46,"-"))</f>
        <v>-</v>
      </c>
      <c r="R47" s="69" t="e">
        <f>VLOOKUP(Q47,STN_TABLE,2,FALSE)</f>
        <v>#N/A</v>
      </c>
      <c r="S47" s="69">
        <v>5</v>
      </c>
      <c r="T47" s="68" t="e">
        <f>R47*S47</f>
        <v>#N/A</v>
      </c>
      <c r="U47" s="79">
        <v>3</v>
      </c>
      <c r="V47" s="68" t="e">
        <f>R47*U47</f>
        <v>#N/A</v>
      </c>
      <c r="W47" s="6" t="s">
        <v>93</v>
      </c>
      <c r="X47" s="70" t="e">
        <f>IF(AND(Q49-Q48=Q48-Q47,NOT(AND(Q47=0,Q48=0)),NOT(AND(Q48=0,Q49=0))),WLS*(Q49-Q48),"#NA")</f>
        <v>#VALUE!</v>
      </c>
      <c r="AD47" s="93"/>
      <c r="AH47" s="6" t="s">
        <v>93</v>
      </c>
      <c r="AI47" s="70">
        <f>WLS*(AD49-AD48)</f>
        <v>0.5</v>
      </c>
      <c r="AU47" s="81"/>
    </row>
    <row r="48" spans="1:47" x14ac:dyDescent="0.25">
      <c r="A48" s="84">
        <f>A47+1</f>
        <v>3</v>
      </c>
      <c r="B48" s="84">
        <f t="shared" si="11"/>
        <v>0.5</v>
      </c>
      <c r="C48" s="80">
        <f>IF(OR(B50-B49=B49-B48,B50-B49=B49-B47,B50-B49=B49-B46),B49,IF(OR(B50-B48=B48-B47,B50-B48=B48-B46),B48,IF(B50-B47=B47-B46,B47,"#NA")))</f>
        <v>0.75</v>
      </c>
      <c r="D48" s="76">
        <f>VLOOKUP(C48,STN_TABLE,2,FALSE)</f>
        <v>10.93</v>
      </c>
      <c r="E48" s="81">
        <v>4</v>
      </c>
      <c r="F48" s="76">
        <f>D48*E48</f>
        <v>43.72</v>
      </c>
      <c r="G48" s="77">
        <f>C48</f>
        <v>0.75</v>
      </c>
      <c r="H48" s="77">
        <f>F48*G48</f>
        <v>32.79</v>
      </c>
      <c r="I48" s="496" t="s">
        <v>97</v>
      </c>
      <c r="J48" s="496"/>
      <c r="K48" s="78" t="s">
        <v>98</v>
      </c>
      <c r="L48" s="78"/>
      <c r="M48" s="7" t="s">
        <v>99</v>
      </c>
      <c r="N48" s="7"/>
      <c r="O48" s="99">
        <f>O47+1</f>
        <v>5</v>
      </c>
      <c r="P48" s="99">
        <f t="shared" si="10"/>
        <v>1</v>
      </c>
      <c r="Q48" s="76">
        <f>P48</f>
        <v>1</v>
      </c>
      <c r="R48" s="77">
        <f>VLOOKUP(Q48,STN_TABLE,2,FALSE)</f>
        <v>11</v>
      </c>
      <c r="S48" s="77">
        <v>8</v>
      </c>
      <c r="T48" s="76">
        <f>R48*S48</f>
        <v>88</v>
      </c>
      <c r="U48" s="80">
        <v>10</v>
      </c>
      <c r="V48" s="76">
        <f>R48*U48</f>
        <v>110</v>
      </c>
      <c r="W48" s="496" t="s">
        <v>97</v>
      </c>
      <c r="X48" s="496"/>
      <c r="Y48" s="496" t="s">
        <v>98</v>
      </c>
      <c r="Z48" s="496"/>
      <c r="AA48" s="494" t="s">
        <v>99</v>
      </c>
      <c r="AB48" s="494"/>
      <c r="AC48" s="99">
        <f>AC43+1</f>
        <v>4</v>
      </c>
      <c r="AD48" s="95">
        <f>VLOOKUP(AC48,STN_TABLE_2,2,FALSE)</f>
        <v>0.75</v>
      </c>
      <c r="AE48" s="68">
        <f>VLOOKUP(AD48,STN_TABLE,2,FALSE)</f>
        <v>10.93</v>
      </c>
      <c r="AF48" s="68">
        <v>1</v>
      </c>
      <c r="AG48" s="69">
        <f>AE48*AF48</f>
        <v>10.93</v>
      </c>
      <c r="AH48" s="496" t="s">
        <v>97</v>
      </c>
      <c r="AI48" s="496"/>
      <c r="AJ48" s="496" t="s">
        <v>98</v>
      </c>
      <c r="AK48" s="496"/>
      <c r="AL48" s="494" t="s">
        <v>99</v>
      </c>
      <c r="AM48" s="494"/>
      <c r="AP48" s="86" t="s">
        <v>112</v>
      </c>
      <c r="AQ48" s="89" t="s">
        <v>113</v>
      </c>
      <c r="AR48" s="89" t="s">
        <v>114</v>
      </c>
      <c r="AS48" s="89" t="s">
        <v>115</v>
      </c>
      <c r="AU48" s="81"/>
    </row>
    <row r="49" spans="1:47" x14ac:dyDescent="0.25">
      <c r="A49" s="84">
        <f>A48+1</f>
        <v>4</v>
      </c>
      <c r="B49" s="84">
        <f t="shared" si="11"/>
        <v>0.75</v>
      </c>
      <c r="C49" s="88">
        <f>B50</f>
        <v>1</v>
      </c>
      <c r="D49" s="82">
        <f>VLOOKUP(C49,STN_TABLE,2,FALSE)</f>
        <v>11</v>
      </c>
      <c r="E49" s="92">
        <v>1</v>
      </c>
      <c r="F49" s="82">
        <f>D49*E49</f>
        <v>11</v>
      </c>
      <c r="G49" s="83">
        <f>C49</f>
        <v>1</v>
      </c>
      <c r="H49" s="83">
        <f>F49*G49</f>
        <v>11</v>
      </c>
      <c r="I49" s="84" t="str">
        <f>CONCATENATE("a'(",C49,")=")</f>
        <v>a'(1)=</v>
      </c>
      <c r="J49" s="84">
        <f>2*J47/3*F50</f>
        <v>21.823333333333331</v>
      </c>
      <c r="K49" s="84" t="str">
        <f>CONCATENATE("A(",C47,")=")</f>
        <v>A(0.5)=</v>
      </c>
      <c r="L49" s="84">
        <f>VLOOKUP(C47,STN_TABLE,3,FALSE)</f>
        <v>20.75</v>
      </c>
      <c r="M49" t="str">
        <f>CONCATENATE("A(",C49,")=")</f>
        <v>A(1)=</v>
      </c>
      <c r="N49">
        <f>J49+L49</f>
        <v>42.573333333333331</v>
      </c>
      <c r="O49" s="99">
        <f>O48+1</f>
        <v>6</v>
      </c>
      <c r="P49" s="99">
        <f t="shared" si="10"/>
        <v>2</v>
      </c>
      <c r="Q49" s="82" t="str">
        <f>IF(P49-P48=P48-P47,P49,IF(P50-P48=P48-P47,P50,IF(P49-P48=P48-P46,P49,IF(P50-P48=P48-P46,P50,"-"))))</f>
        <v>-</v>
      </c>
      <c r="R49" s="83" t="e">
        <f>VLOOKUP(Q49,STN_TABLE,2,FALSE)</f>
        <v>#N/A</v>
      </c>
      <c r="S49" s="83">
        <v>-1</v>
      </c>
      <c r="T49" s="82" t="e">
        <f>R49*S49</f>
        <v>#N/A</v>
      </c>
      <c r="U49" s="88">
        <v>-1</v>
      </c>
      <c r="V49" s="82" t="e">
        <f>R49*U49</f>
        <v>#N/A</v>
      </c>
      <c r="W49" s="84" t="str">
        <f>CONCATENATE("a'(",Q48,")=")</f>
        <v>a'(1)=</v>
      </c>
      <c r="X49" s="84" t="e">
        <f>2*X47/12*T50</f>
        <v>#VALUE!</v>
      </c>
      <c r="Y49" s="84" t="str">
        <f>CONCATENATE("A(",Q47,")=")</f>
        <v>A(-)=</v>
      </c>
      <c r="Z49" s="84" t="e">
        <f>VLOOKUP(Q47,STN_TABLE,3,FALSE)</f>
        <v>#N/A</v>
      </c>
      <c r="AA49" t="str">
        <f>CONCATENATE("A(",Q48,")=")</f>
        <v>A(1)=</v>
      </c>
      <c r="AB49" t="e">
        <f>X49+Z49</f>
        <v>#VALUE!</v>
      </c>
      <c r="AC49" s="99">
        <f>AC48+1</f>
        <v>5</v>
      </c>
      <c r="AD49" s="100">
        <f>VLOOKUP(AC49,STN_TABLE_2,2,FALSE)</f>
        <v>1</v>
      </c>
      <c r="AE49" s="82">
        <f>VLOOKUP(AD49,STN_TABLE,2,FALSE)</f>
        <v>11</v>
      </c>
      <c r="AF49" s="82">
        <v>2</v>
      </c>
      <c r="AG49" s="83">
        <f>AE49*AF49</f>
        <v>22</v>
      </c>
      <c r="AH49" s="84" t="str">
        <f>CONCATENATE("a'(",AD49,")=")</f>
        <v>a'(1)=</v>
      </c>
      <c r="AI49" s="84">
        <f>2*AI47/2*AE50</f>
        <v>10.965</v>
      </c>
      <c r="AJ49" s="84" t="str">
        <f>CONCATENATE("A(",AD48,")=")</f>
        <v>A(0.75)=</v>
      </c>
      <c r="AK49" s="84">
        <f>VLOOKUP(AD48,STN_TABLE,3,FALSE)</f>
        <v>31.572499999999998</v>
      </c>
      <c r="AL49" t="str">
        <f>CONCATENATE("A(",AD49,")=")</f>
        <v>A(1)=</v>
      </c>
      <c r="AM49">
        <f>AI49+AK49</f>
        <v>42.537499999999994</v>
      </c>
      <c r="AO49" s="68" t="str">
        <f>AA49</f>
        <v>A(1)=</v>
      </c>
      <c r="AP49" s="68" t="e">
        <f>VLOOKUP(AO49,Rise_Results,2,FALSE)</f>
        <v>#N/A</v>
      </c>
      <c r="AQ49" s="76">
        <f>N49</f>
        <v>42.573333333333331</v>
      </c>
      <c r="AR49" s="76" t="e">
        <f>IF(OR(AB49&lt;=0,AB50&lt;=0),1/0,AB49)</f>
        <v>#VALUE!</v>
      </c>
      <c r="AS49" s="76">
        <f>AM49</f>
        <v>42.537499999999994</v>
      </c>
      <c r="AT49">
        <f>IFERROR(AP49,IFERROR(AQ49,IFERROR(AR49,AS49)))</f>
        <v>42.573333333333331</v>
      </c>
      <c r="AU49" s="81"/>
    </row>
    <row r="50" spans="1:47" x14ac:dyDescent="0.25">
      <c r="A50" s="84">
        <f>A49+1</f>
        <v>5</v>
      </c>
      <c r="B50" s="84">
        <f t="shared" si="11"/>
        <v>1</v>
      </c>
      <c r="F50" s="82">
        <f>SUM(F47:F49)</f>
        <v>65.47</v>
      </c>
      <c r="H50" s="82">
        <f>SUM(H47:H49)</f>
        <v>49.164999999999999</v>
      </c>
      <c r="I50" s="84" t="str">
        <f>CONCATENATE("m'(",C49,")=")</f>
        <v>m'(1)=</v>
      </c>
      <c r="J50" s="84">
        <f>2*(J47*(WLS))/3*H50</f>
        <v>32.776666666666664</v>
      </c>
      <c r="K50" s="84" t="str">
        <f>CONCATENATE("M(",C47,")=")</f>
        <v>M(0.5)=</v>
      </c>
      <c r="L50" s="84">
        <f>VLOOKUP(C47,STN_TABLE,4,FALSE)</f>
        <v>10.549999999999999</v>
      </c>
      <c r="M50" t="str">
        <f>CONCATENATE("M(",C49,")=")</f>
        <v>M(1)=</v>
      </c>
      <c r="N50">
        <f>J50+L50</f>
        <v>43.326666666666661</v>
      </c>
      <c r="O50" s="99">
        <f>O49+1</f>
        <v>7</v>
      </c>
      <c r="P50" s="99">
        <f t="shared" si="10"/>
        <v>3</v>
      </c>
      <c r="T50" s="89" t="e">
        <f>SUM(T47:T49)</f>
        <v>#N/A</v>
      </c>
      <c r="V50" s="82" t="e">
        <f>SUM(V47:V49)</f>
        <v>#N/A</v>
      </c>
      <c r="W50" s="84" t="str">
        <f>CONCATENATE("m'(",Q48,")=")</f>
        <v>m'(1)=</v>
      </c>
      <c r="X50" s="84" t="e">
        <f>(2*(X47^2)/24*V50)+(X49*Q47*WLS)</f>
        <v>#VALUE!</v>
      </c>
      <c r="Y50" s="84" t="str">
        <f>CONCATENATE("M(",Q47,")=")</f>
        <v>M(-)=</v>
      </c>
      <c r="Z50" s="84" t="e">
        <f>VLOOKUP(Q47,STN_TABLE,4,FALSE)</f>
        <v>#N/A</v>
      </c>
      <c r="AA50" t="str">
        <f>CONCATENATE("M(",Q48,")=")</f>
        <v>M(1)=</v>
      </c>
      <c r="AB50" t="e">
        <f>X50+Z50</f>
        <v>#VALUE!</v>
      </c>
      <c r="AE50" s="89">
        <f>SUM(AE48:AE49)</f>
        <v>21.93</v>
      </c>
      <c r="AG50" s="89">
        <f>SUM(AG48:AG49)</f>
        <v>32.93</v>
      </c>
      <c r="AH50" s="84" t="str">
        <f>CONCATENATE("m'(",AD49,")=")</f>
        <v>m'(1)=</v>
      </c>
      <c r="AI50" s="84">
        <f>(2*(AI47^2)/6*AG50)+(AI49*AD48*WLS)</f>
        <v>19.191666666666663</v>
      </c>
      <c r="AJ50" s="84" t="str">
        <f>CONCATENATE("M(",AD48,")=")</f>
        <v>M(0.75)=</v>
      </c>
      <c r="AK50" s="84">
        <f>VLOOKUP(AD48,STN_TABLE,4,FALSE)</f>
        <v>24.099374999999998</v>
      </c>
      <c r="AL50" t="str">
        <f>CONCATENATE("M(",AD49,")=")</f>
        <v>M(1)=</v>
      </c>
      <c r="AM50">
        <f>AI50+AK50</f>
        <v>43.291041666666658</v>
      </c>
      <c r="AO50" s="82" t="str">
        <f>AA50</f>
        <v>M(1)=</v>
      </c>
      <c r="AP50" s="82" t="e">
        <f>VLOOKUP(AO50,Rise_Results,2,FALSE)</f>
        <v>#N/A</v>
      </c>
      <c r="AQ50" s="82">
        <f>N50</f>
        <v>43.326666666666661</v>
      </c>
      <c r="AR50" s="82" t="e">
        <f>IF(OR(AB49&lt;=0,AB50&lt;=0),1/0,AB50)</f>
        <v>#VALUE!</v>
      </c>
      <c r="AS50" s="82">
        <f>AM50</f>
        <v>43.291041666666658</v>
      </c>
      <c r="AT50">
        <f>IFERROR(AP50,IFERROR(AQ50,IFERROR(AR50,AS50)))</f>
        <v>43.326666666666661</v>
      </c>
      <c r="AU50" s="81"/>
    </row>
    <row r="51" spans="1:47" x14ac:dyDescent="0.25">
      <c r="A51" s="101">
        <f>A46+1</f>
        <v>2</v>
      </c>
      <c r="B51" s="101">
        <f t="shared" si="11"/>
        <v>0.25</v>
      </c>
      <c r="O51" s="101">
        <f>O46+1</f>
        <v>4</v>
      </c>
      <c r="P51" s="101">
        <f t="shared" si="10"/>
        <v>0.75</v>
      </c>
      <c r="AU51" s="81"/>
    </row>
    <row r="52" spans="1:47" x14ac:dyDescent="0.25">
      <c r="A52" s="84">
        <f>A51+1</f>
        <v>3</v>
      </c>
      <c r="B52" s="84">
        <f t="shared" si="11"/>
        <v>0.5</v>
      </c>
      <c r="C52" s="79" t="str">
        <f t="shared" ref="C52" si="12">IF(C53=B54,IF(C54-C53=C53-B53,B53,IF(C54-C53=C53-B52,B52,"#NA")),IF(C53=B53,IF(C54-C53=C53-B52,B52,IF(C54-C53=C53-B51,B51,"#NA")),"#NA"))</f>
        <v>#NA</v>
      </c>
      <c r="D52" s="68" t="e">
        <f>VLOOKUP(C52,STN_TABLE,2,FALSE)</f>
        <v>#N/A</v>
      </c>
      <c r="E52" s="102">
        <v>1</v>
      </c>
      <c r="F52" s="68" t="e">
        <f>D52*E52</f>
        <v>#N/A</v>
      </c>
      <c r="G52" s="69" t="str">
        <f>C52</f>
        <v>#NA</v>
      </c>
      <c r="H52" s="69" t="e">
        <f>F52*G52</f>
        <v>#N/A</v>
      </c>
      <c r="I52" s="6" t="s">
        <v>93</v>
      </c>
      <c r="J52" s="70" t="e">
        <f>IF(OR(D52=0,D53=0,D54=0),"#NA",IF(AND(C54-C53=C53-C52,C53&lt;&gt;C54,C52&lt;&gt;C53,C52&lt;&gt;C54,D54&lt;&gt;0,OR(D52&lt;&gt;0,D53&lt;&gt;0)),WLS*(C54-C53),"#NA"))</f>
        <v>#N/A</v>
      </c>
      <c r="O52" s="99">
        <f>O51+1</f>
        <v>5</v>
      </c>
      <c r="P52" s="99">
        <f t="shared" si="10"/>
        <v>1</v>
      </c>
      <c r="Q52" s="68">
        <f>IF(OR(P54-P53=P53-P52,P55-P53=P53-P52),P52,IF(OR(P54-P53=P53-P51,P55-P53=P53-P51),P51,"-"))</f>
        <v>1</v>
      </c>
      <c r="R52" s="69">
        <f>VLOOKUP(Q52,STN_TABLE,2,FALSE)</f>
        <v>11</v>
      </c>
      <c r="S52" s="69">
        <v>5</v>
      </c>
      <c r="T52" s="68">
        <f>R52*S52</f>
        <v>55</v>
      </c>
      <c r="U52" s="79">
        <v>3</v>
      </c>
      <c r="V52" s="68">
        <f>R52*U52</f>
        <v>33</v>
      </c>
      <c r="W52" s="6" t="s">
        <v>93</v>
      </c>
      <c r="X52" s="70">
        <f>IF(AND(Q54-Q53=Q53-Q52,NOT(AND(Q52=0,Q53=0)),NOT(AND(Q53=0,Q54=0))),WLS*(Q54-Q53),"#NA")</f>
        <v>2</v>
      </c>
      <c r="AD52" s="93"/>
      <c r="AH52" s="6" t="s">
        <v>93</v>
      </c>
      <c r="AI52" s="70">
        <f>WLS*(AD54-AD53)</f>
        <v>2</v>
      </c>
      <c r="AU52" s="81"/>
    </row>
    <row r="53" spans="1:47" x14ac:dyDescent="0.25">
      <c r="A53" s="84">
        <f>A52+1</f>
        <v>4</v>
      </c>
      <c r="B53" s="84">
        <f t="shared" si="11"/>
        <v>0.75</v>
      </c>
      <c r="C53" s="80" t="str">
        <f t="shared" ref="C53" si="13">IF(OR(B55-B54=B54-B53,B55-B54=B54-B52,B55-B54=B54-B51),B54,IF(OR(B55-B53=B53-B52,B55-B53=B53-B51),B53,IF(B55-B52=B52-B51,B52,"#NA")))</f>
        <v>#NA</v>
      </c>
      <c r="D53" s="76" t="e">
        <f>VLOOKUP(C53,STN_TABLE,2,FALSE)</f>
        <v>#N/A</v>
      </c>
      <c r="E53" s="81">
        <v>4</v>
      </c>
      <c r="F53" s="76" t="e">
        <f>D53*E53</f>
        <v>#N/A</v>
      </c>
      <c r="G53" s="77" t="str">
        <f>C53</f>
        <v>#NA</v>
      </c>
      <c r="H53" s="77" t="e">
        <f>F53*G53</f>
        <v>#N/A</v>
      </c>
      <c r="I53" s="495" t="s">
        <v>97</v>
      </c>
      <c r="J53" s="496"/>
      <c r="K53" s="78" t="s">
        <v>98</v>
      </c>
      <c r="L53" s="78"/>
      <c r="M53" s="7" t="s">
        <v>99</v>
      </c>
      <c r="N53" s="7"/>
      <c r="O53" s="99">
        <f>O52+1</f>
        <v>6</v>
      </c>
      <c r="P53" s="99">
        <f t="shared" si="10"/>
        <v>2</v>
      </c>
      <c r="Q53" s="76">
        <f>P53</f>
        <v>2</v>
      </c>
      <c r="R53" s="77">
        <f>VLOOKUP(Q53,STN_TABLE,2,FALSE)</f>
        <v>11</v>
      </c>
      <c r="S53" s="77">
        <v>8</v>
      </c>
      <c r="T53" s="76">
        <f>R53*S53</f>
        <v>88</v>
      </c>
      <c r="U53" s="80">
        <v>10</v>
      </c>
      <c r="V53" s="76">
        <f>R53*U53</f>
        <v>110</v>
      </c>
      <c r="W53" s="496" t="s">
        <v>97</v>
      </c>
      <c r="X53" s="496"/>
      <c r="Y53" s="496" t="s">
        <v>98</v>
      </c>
      <c r="Z53" s="496"/>
      <c r="AA53" s="494" t="s">
        <v>99</v>
      </c>
      <c r="AB53" s="494"/>
      <c r="AC53" s="99">
        <f>AC48+1</f>
        <v>5</v>
      </c>
      <c r="AD53" s="95">
        <f>VLOOKUP(AC53,STN_TABLE_2,2,FALSE)</f>
        <v>1</v>
      </c>
      <c r="AE53" s="68">
        <f>VLOOKUP(AD53,STN_TABLE,2,FALSE)</f>
        <v>11</v>
      </c>
      <c r="AF53" s="68">
        <v>1</v>
      </c>
      <c r="AG53" s="69">
        <f>AE53*AF53</f>
        <v>11</v>
      </c>
      <c r="AH53" s="496" t="s">
        <v>97</v>
      </c>
      <c r="AI53" s="496"/>
      <c r="AJ53" s="496" t="s">
        <v>98</v>
      </c>
      <c r="AK53" s="496"/>
      <c r="AL53" s="494" t="s">
        <v>99</v>
      </c>
      <c r="AM53" s="494"/>
      <c r="AP53" s="86" t="s">
        <v>112</v>
      </c>
      <c r="AQ53" s="89" t="s">
        <v>113</v>
      </c>
      <c r="AR53" s="89" t="s">
        <v>114</v>
      </c>
      <c r="AS53" s="89" t="s">
        <v>115</v>
      </c>
      <c r="AU53" s="81"/>
    </row>
    <row r="54" spans="1:47" x14ac:dyDescent="0.25">
      <c r="A54" s="84">
        <f>A53+1</f>
        <v>5</v>
      </c>
      <c r="B54" s="84">
        <f t="shared" si="11"/>
        <v>1</v>
      </c>
      <c r="C54" s="88">
        <f t="shared" ref="C54" si="14">B55</f>
        <v>2</v>
      </c>
      <c r="D54" s="82">
        <f>VLOOKUP(C54,STN_TABLE,2,FALSE)</f>
        <v>11</v>
      </c>
      <c r="E54" s="92">
        <v>1</v>
      </c>
      <c r="F54" s="82">
        <f>D54*E54</f>
        <v>11</v>
      </c>
      <c r="G54" s="83">
        <f>C54</f>
        <v>2</v>
      </c>
      <c r="H54" s="83">
        <f>F54*G54</f>
        <v>22</v>
      </c>
      <c r="I54" s="84" t="str">
        <f>CONCATENATE("a'(",C54,")=")</f>
        <v>a'(2)=</v>
      </c>
      <c r="J54" s="84" t="e">
        <f>2*J52/3*F55</f>
        <v>#N/A</v>
      </c>
      <c r="K54" s="84" t="str">
        <f>CONCATENATE("A(",C52,")=")</f>
        <v>A(#NA)=</v>
      </c>
      <c r="L54" s="84" t="e">
        <f>VLOOKUP(C52,STN_TABLE,3,FALSE)</f>
        <v>#N/A</v>
      </c>
      <c r="M54" t="str">
        <f>CONCATENATE("A(",C54,")=")</f>
        <v>A(2)=</v>
      </c>
      <c r="N54" t="e">
        <f>J54+L54</f>
        <v>#N/A</v>
      </c>
      <c r="O54" s="99">
        <f>O53+1</f>
        <v>7</v>
      </c>
      <c r="P54" s="99">
        <f t="shared" si="10"/>
        <v>3</v>
      </c>
      <c r="Q54" s="82">
        <f>IF(P54-P53=P53-P52,P54,IF(P55-P53=P53-P52,P55,IF(P54-P53=P53-P51,P54,IF(P55-P53=P53-P51,P55,"-"))))</f>
        <v>3</v>
      </c>
      <c r="R54" s="83">
        <f>VLOOKUP(Q54,STN_TABLE,2,FALSE)</f>
        <v>11</v>
      </c>
      <c r="S54" s="83">
        <v>-1</v>
      </c>
      <c r="T54" s="82">
        <f>R54*S54</f>
        <v>-11</v>
      </c>
      <c r="U54" s="88">
        <v>-1</v>
      </c>
      <c r="V54" s="82">
        <f>R54*U54</f>
        <v>-11</v>
      </c>
      <c r="W54" s="84" t="str">
        <f>CONCATENATE("a'(",Q53,")=")</f>
        <v>a'(2)=</v>
      </c>
      <c r="X54" s="84">
        <f>2*X52/12*T55</f>
        <v>44</v>
      </c>
      <c r="Y54" s="84" t="str">
        <f>CONCATENATE("A(",Q52,")=")</f>
        <v>A(1)=</v>
      </c>
      <c r="Z54" s="84">
        <f>VLOOKUP(Q52,STN_TABLE,3,FALSE)</f>
        <v>42.573333333333331</v>
      </c>
      <c r="AA54" t="str">
        <f>CONCATENATE("A(",Q53,")=")</f>
        <v>A(2)=</v>
      </c>
      <c r="AB54">
        <f>X54+Z54</f>
        <v>86.573333333333323</v>
      </c>
      <c r="AC54" s="99">
        <f>AC53+1</f>
        <v>6</v>
      </c>
      <c r="AD54" s="100">
        <f>VLOOKUP(AC54,STN_TABLE_2,2,FALSE)</f>
        <v>2</v>
      </c>
      <c r="AE54" s="82">
        <f>VLOOKUP(AD54,STN_TABLE,2,FALSE)</f>
        <v>11</v>
      </c>
      <c r="AF54" s="82">
        <v>2</v>
      </c>
      <c r="AG54" s="83">
        <f>AE54*AF54</f>
        <v>22</v>
      </c>
      <c r="AH54" s="84" t="str">
        <f>CONCATENATE("a'(",AD54,")=")</f>
        <v>a'(2)=</v>
      </c>
      <c r="AI54" s="84">
        <f>2*AI52/2*AE55</f>
        <v>44</v>
      </c>
      <c r="AJ54" s="84" t="str">
        <f>CONCATENATE("A(",AD53,")=")</f>
        <v>A(1)=</v>
      </c>
      <c r="AK54" s="84">
        <f>VLOOKUP(AD53,STN_TABLE,3,FALSE)</f>
        <v>42.573333333333331</v>
      </c>
      <c r="AL54" t="str">
        <f>CONCATENATE("A(",AD54,")=")</f>
        <v>A(2)=</v>
      </c>
      <c r="AM54">
        <f>AI54+AK54</f>
        <v>86.573333333333323</v>
      </c>
      <c r="AO54" s="68" t="str">
        <f>AA54</f>
        <v>A(2)=</v>
      </c>
      <c r="AP54" s="68" t="e">
        <f>VLOOKUP(AO54,Rise_Results,2,FALSE)</f>
        <v>#N/A</v>
      </c>
      <c r="AQ54" s="76" t="e">
        <f>N54</f>
        <v>#N/A</v>
      </c>
      <c r="AR54" s="76">
        <f>IF(OR(AB54&lt;=0,AB55&lt;=0),1/0,AB54)</f>
        <v>86.573333333333323</v>
      </c>
      <c r="AS54" s="76">
        <f>AM54</f>
        <v>86.573333333333323</v>
      </c>
      <c r="AT54">
        <f>IFERROR(AP54,IFERROR(AQ54,IFERROR(AR54,AS54)))</f>
        <v>86.573333333333323</v>
      </c>
      <c r="AU54" s="81"/>
    </row>
    <row r="55" spans="1:47" x14ac:dyDescent="0.25">
      <c r="A55" s="84">
        <f>A54+1</f>
        <v>6</v>
      </c>
      <c r="B55" s="84">
        <f t="shared" si="11"/>
        <v>2</v>
      </c>
      <c r="F55" s="82" t="e">
        <f>SUM(F52:F54)</f>
        <v>#N/A</v>
      </c>
      <c r="H55" s="82" t="e">
        <f>SUM(H52:H54)</f>
        <v>#N/A</v>
      </c>
      <c r="I55" s="84" t="str">
        <f>CONCATENATE("m'(",C54,")=")</f>
        <v>m'(2)=</v>
      </c>
      <c r="J55" s="84" t="e">
        <f>2*(J52*(WLS))/3*H55</f>
        <v>#N/A</v>
      </c>
      <c r="K55" s="84" t="str">
        <f>CONCATENATE("M(",C52,")=")</f>
        <v>M(#NA)=</v>
      </c>
      <c r="L55" s="84" t="e">
        <f>VLOOKUP(C52,STN_TABLE,4,FALSE)</f>
        <v>#N/A</v>
      </c>
      <c r="M55" t="str">
        <f>CONCATENATE("M(",C54,")=")</f>
        <v>M(2)=</v>
      </c>
      <c r="N55" t="e">
        <f>J55+L55</f>
        <v>#N/A</v>
      </c>
      <c r="O55" s="99">
        <f>O54+1</f>
        <v>8</v>
      </c>
      <c r="P55" s="99">
        <f t="shared" si="10"/>
        <v>4</v>
      </c>
      <c r="T55" s="89">
        <f>SUM(T52:T54)</f>
        <v>132</v>
      </c>
      <c r="V55" s="82">
        <f>SUM(V52:V54)</f>
        <v>132</v>
      </c>
      <c r="W55" s="84" t="str">
        <f>CONCATENATE("m'(",Q53,")=")</f>
        <v>m'(2)=</v>
      </c>
      <c r="X55" s="84">
        <f>(2*(X52^2)/24*V55)+(X54*Q52*WLS)</f>
        <v>132</v>
      </c>
      <c r="Y55" s="84" t="str">
        <f>CONCATENATE("M(",Q52,")=")</f>
        <v>M(1)=</v>
      </c>
      <c r="Z55" s="84">
        <f>VLOOKUP(Q52,STN_TABLE,4,FALSE)</f>
        <v>43.326666666666661</v>
      </c>
      <c r="AA55" t="str">
        <f>CONCATENATE("M(",Q53,")=")</f>
        <v>M(2)=</v>
      </c>
      <c r="AB55">
        <f>X55+Z55</f>
        <v>175.32666666666665</v>
      </c>
      <c r="AE55" s="89">
        <f>SUM(AE53:AE54)</f>
        <v>22</v>
      </c>
      <c r="AG55" s="89">
        <f>SUM(AG53:AG54)</f>
        <v>33</v>
      </c>
      <c r="AH55" s="84" t="str">
        <f>CONCATENATE("m'(",AD54,")=")</f>
        <v>m'(2)=</v>
      </c>
      <c r="AI55" s="84">
        <f>(2*(AI52^2)/6*AG55)+(AI54*AD53*WLS)</f>
        <v>132</v>
      </c>
      <c r="AJ55" s="84" t="str">
        <f>CONCATENATE("M(",AD53,")=")</f>
        <v>M(1)=</v>
      </c>
      <c r="AK55" s="84">
        <f>VLOOKUP(AD53,STN_TABLE,4,FALSE)</f>
        <v>43.326666666666661</v>
      </c>
      <c r="AL55" t="str">
        <f>CONCATENATE("M(",AD54,")=")</f>
        <v>M(2)=</v>
      </c>
      <c r="AM55">
        <f>AI55+AK55</f>
        <v>175.32666666666665</v>
      </c>
      <c r="AO55" s="82" t="str">
        <f>AA55</f>
        <v>M(2)=</v>
      </c>
      <c r="AP55" s="82" t="e">
        <f>VLOOKUP(AO55,Rise_Results,2,FALSE)</f>
        <v>#N/A</v>
      </c>
      <c r="AQ55" s="82" t="e">
        <f>N55</f>
        <v>#N/A</v>
      </c>
      <c r="AR55" s="82">
        <f>IF(OR(AB54&lt;=0,AB55&lt;=0),1/0,AB55)</f>
        <v>175.32666666666665</v>
      </c>
      <c r="AS55" s="82">
        <f>AM55</f>
        <v>175.32666666666665</v>
      </c>
      <c r="AT55">
        <f>IFERROR(AP55,IFERROR(AQ55,IFERROR(AR55,AS55)))</f>
        <v>175.32666666666665</v>
      </c>
      <c r="AU55" s="81"/>
    </row>
    <row r="56" spans="1:47" x14ac:dyDescent="0.25">
      <c r="A56" s="101">
        <f>A51+1</f>
        <v>3</v>
      </c>
      <c r="B56" s="101">
        <f t="shared" si="11"/>
        <v>0.5</v>
      </c>
      <c r="O56" s="101">
        <f>O51+1</f>
        <v>5</v>
      </c>
      <c r="P56" s="101">
        <f t="shared" si="10"/>
        <v>1</v>
      </c>
      <c r="AU56" s="81"/>
    </row>
    <row r="57" spans="1:47" x14ac:dyDescent="0.25">
      <c r="A57" s="84">
        <f>A56+1</f>
        <v>4</v>
      </c>
      <c r="B57" s="84">
        <f t="shared" si="11"/>
        <v>0.75</v>
      </c>
      <c r="C57" s="79">
        <f t="shared" ref="C57" si="15">IF(C58=B59,IF(C59-C58=C58-B58,B58,IF(C59-C58=C58-B57,B57,"#NA")),IF(C58=B58,IF(C59-C58=C58-B57,B57,IF(C59-C58=C58-B56,B56,"#NA")),"#NA"))</f>
        <v>1</v>
      </c>
      <c r="D57" s="68">
        <f>VLOOKUP(C57,STN_TABLE,2,FALSE)</f>
        <v>11</v>
      </c>
      <c r="E57" s="102">
        <v>1</v>
      </c>
      <c r="F57" s="68">
        <f>D57*E57</f>
        <v>11</v>
      </c>
      <c r="G57" s="69">
        <f>C57</f>
        <v>1</v>
      </c>
      <c r="H57" s="69">
        <f>F57*G57</f>
        <v>11</v>
      </c>
      <c r="I57" s="6" t="s">
        <v>93</v>
      </c>
      <c r="J57" s="70">
        <f>IF(OR(D57=0,D58=0,D59=0),"#NA",IF(AND(C59-C58=C58-C57,C58&lt;&gt;C59,C57&lt;&gt;C58,C57&lt;&gt;C59,D59&lt;&gt;0,OR(D57&lt;&gt;0,D58&lt;&gt;0)),WLS*(C59-C58),"#NA"))</f>
        <v>2</v>
      </c>
      <c r="O57" s="99">
        <f>O56+1</f>
        <v>6</v>
      </c>
      <c r="P57" s="99">
        <f t="shared" si="10"/>
        <v>2</v>
      </c>
      <c r="Q57" s="68">
        <f>IF(OR(P59-P58=P58-P57,P60-P58=P58-P57),P57,IF(OR(P59-P58=P58-P56,P60-P58=P58-P56),P56,"-"))</f>
        <v>2</v>
      </c>
      <c r="R57" s="69">
        <f>VLOOKUP(Q57,STN_TABLE,2,FALSE)</f>
        <v>11</v>
      </c>
      <c r="S57" s="69">
        <v>5</v>
      </c>
      <c r="T57" s="68">
        <f>R57*S57</f>
        <v>55</v>
      </c>
      <c r="U57" s="79">
        <v>3</v>
      </c>
      <c r="V57" s="68">
        <f>R57*U57</f>
        <v>33</v>
      </c>
      <c r="W57" s="6" t="s">
        <v>93</v>
      </c>
      <c r="X57" s="70">
        <f>IF(AND(Q59-Q58=Q58-Q57,NOT(AND(Q57=0,Q58=0)),NOT(AND(Q58=0,Q59=0))),WLS*(Q59-Q58),"#NA")</f>
        <v>2</v>
      </c>
      <c r="AD57" s="93"/>
      <c r="AH57" s="6" t="s">
        <v>93</v>
      </c>
      <c r="AI57" s="70">
        <f>WLS*(AD59-AD58)</f>
        <v>2</v>
      </c>
      <c r="AU57" s="81"/>
    </row>
    <row r="58" spans="1:47" x14ac:dyDescent="0.25">
      <c r="A58" s="84">
        <f>A57+1</f>
        <v>5</v>
      </c>
      <c r="B58" s="84">
        <f t="shared" si="11"/>
        <v>1</v>
      </c>
      <c r="C58" s="80">
        <f t="shared" ref="C58" si="16">IF(OR(B60-B59=B59-B58,B60-B59=B59-B57,B60-B59=B59-B56),B59,IF(OR(B60-B58=B58-B57,B60-B58=B58-B56),B58,IF(B60-B57=B57-B56,B57,"#NA")))</f>
        <v>2</v>
      </c>
      <c r="D58" s="76">
        <f>VLOOKUP(C58,STN_TABLE,2,FALSE)</f>
        <v>11</v>
      </c>
      <c r="E58" s="81">
        <v>4</v>
      </c>
      <c r="F58" s="76">
        <f>D58*E58</f>
        <v>44</v>
      </c>
      <c r="G58" s="77">
        <f>C58</f>
        <v>2</v>
      </c>
      <c r="H58" s="77">
        <f>F58*G58</f>
        <v>88</v>
      </c>
      <c r="I58" s="495" t="s">
        <v>97</v>
      </c>
      <c r="J58" s="496"/>
      <c r="K58" s="78" t="s">
        <v>98</v>
      </c>
      <c r="L58" s="78"/>
      <c r="M58" s="7" t="s">
        <v>99</v>
      </c>
      <c r="N58" s="7"/>
      <c r="O58" s="99">
        <f>O57+1</f>
        <v>7</v>
      </c>
      <c r="P58" s="99">
        <f t="shared" si="10"/>
        <v>3</v>
      </c>
      <c r="Q58" s="76">
        <f>P58</f>
        <v>3</v>
      </c>
      <c r="R58" s="77">
        <f>VLOOKUP(Q58,STN_TABLE,2,FALSE)</f>
        <v>11</v>
      </c>
      <c r="S58" s="77">
        <v>8</v>
      </c>
      <c r="T58" s="76">
        <f>R58*S58</f>
        <v>88</v>
      </c>
      <c r="U58" s="80">
        <v>10</v>
      </c>
      <c r="V58" s="76">
        <f>R58*U58</f>
        <v>110</v>
      </c>
      <c r="W58" s="78" t="s">
        <v>97</v>
      </c>
      <c r="X58" s="78"/>
      <c r="Y58" s="78" t="s">
        <v>98</v>
      </c>
      <c r="Z58" s="78"/>
      <c r="AA58" s="7" t="s">
        <v>99</v>
      </c>
      <c r="AB58" s="7"/>
      <c r="AC58" s="99">
        <f>AC53+1</f>
        <v>6</v>
      </c>
      <c r="AD58" s="95">
        <f>VLOOKUP(AC58,STN_TABLE_2,2,FALSE)</f>
        <v>2</v>
      </c>
      <c r="AE58" s="68">
        <f>VLOOKUP(AD58,STN_TABLE,2,FALSE)</f>
        <v>11</v>
      </c>
      <c r="AF58" s="68">
        <v>1</v>
      </c>
      <c r="AG58" s="69">
        <f>AE58*AF58</f>
        <v>11</v>
      </c>
      <c r="AH58" s="496" t="s">
        <v>97</v>
      </c>
      <c r="AI58" s="496"/>
      <c r="AJ58" s="496" t="s">
        <v>98</v>
      </c>
      <c r="AK58" s="496"/>
      <c r="AL58" s="494" t="s">
        <v>99</v>
      </c>
      <c r="AM58" s="494"/>
      <c r="AP58" s="86" t="s">
        <v>112</v>
      </c>
      <c r="AQ58" s="89" t="s">
        <v>113</v>
      </c>
      <c r="AR58" s="89" t="s">
        <v>114</v>
      </c>
      <c r="AS58" s="89" t="s">
        <v>115</v>
      </c>
      <c r="AU58" s="81"/>
    </row>
    <row r="59" spans="1:47" x14ac:dyDescent="0.25">
      <c r="A59" s="84">
        <f>A58+1</f>
        <v>6</v>
      </c>
      <c r="B59" s="84">
        <f t="shared" si="11"/>
        <v>2</v>
      </c>
      <c r="C59" s="88">
        <f t="shared" ref="C59" si="17">B60</f>
        <v>3</v>
      </c>
      <c r="D59" s="82">
        <f>VLOOKUP(C59,STN_TABLE,2,FALSE)</f>
        <v>11</v>
      </c>
      <c r="E59" s="92">
        <v>1</v>
      </c>
      <c r="F59" s="82">
        <f>D59*E59</f>
        <v>11</v>
      </c>
      <c r="G59" s="83">
        <f>C59</f>
        <v>3</v>
      </c>
      <c r="H59" s="83">
        <f>F59*G59</f>
        <v>33</v>
      </c>
      <c r="I59" s="84" t="str">
        <f>CONCATENATE("a'(",C59,")=")</f>
        <v>a'(3)=</v>
      </c>
      <c r="J59" s="84">
        <f>2*J57/3*F60</f>
        <v>88</v>
      </c>
      <c r="K59" s="84" t="str">
        <f>CONCATENATE("A(",C57,")=")</f>
        <v>A(1)=</v>
      </c>
      <c r="L59" s="84">
        <f>VLOOKUP(C57,STN_TABLE,3,FALSE)</f>
        <v>42.573333333333331</v>
      </c>
      <c r="M59" t="str">
        <f>CONCATENATE("A(",C59,")=")</f>
        <v>A(3)=</v>
      </c>
      <c r="N59">
        <f>J59+L59</f>
        <v>130.57333333333332</v>
      </c>
      <c r="O59" s="99">
        <f>O58+1</f>
        <v>8</v>
      </c>
      <c r="P59" s="99">
        <f t="shared" si="10"/>
        <v>4</v>
      </c>
      <c r="Q59" s="82">
        <f>IF(P59-P58=P58-P57,P59,IF(P60-P58=P58-P57,P60,IF(P59-P58=P58-P56,P59,IF(P60-P58=P58-P56,P60,"-"))))</f>
        <v>4</v>
      </c>
      <c r="R59" s="83">
        <f>VLOOKUP(Q59,STN_TABLE,2,FALSE)</f>
        <v>11</v>
      </c>
      <c r="S59" s="83">
        <v>-1</v>
      </c>
      <c r="T59" s="82">
        <f>R59*S59</f>
        <v>-11</v>
      </c>
      <c r="U59" s="88">
        <v>-1</v>
      </c>
      <c r="V59" s="82">
        <f>R59*U59</f>
        <v>-11</v>
      </c>
      <c r="W59" s="84" t="str">
        <f>CONCATENATE("a'(",Q58,")=")</f>
        <v>a'(3)=</v>
      </c>
      <c r="X59" s="84">
        <f>2*X57/12*T60</f>
        <v>44</v>
      </c>
      <c r="Y59" s="84" t="str">
        <f>CONCATENATE("A(",Q57,")=")</f>
        <v>A(2)=</v>
      </c>
      <c r="Z59" s="84">
        <f>VLOOKUP(Q57,STN_TABLE,3,FALSE)</f>
        <v>86.573333333333323</v>
      </c>
      <c r="AA59" t="str">
        <f>CONCATENATE("A(",Q58,")=")</f>
        <v>A(3)=</v>
      </c>
      <c r="AB59">
        <f>X59+Z59</f>
        <v>130.57333333333332</v>
      </c>
      <c r="AC59" s="99">
        <f>AC58+1</f>
        <v>7</v>
      </c>
      <c r="AD59" s="100">
        <f>VLOOKUP(AC59,STN_TABLE_2,2,FALSE)</f>
        <v>3</v>
      </c>
      <c r="AE59" s="82">
        <f>VLOOKUP(AD59,STN_TABLE,2,FALSE)</f>
        <v>11</v>
      </c>
      <c r="AF59" s="82">
        <v>2</v>
      </c>
      <c r="AG59" s="83">
        <f>AE59*AF59</f>
        <v>22</v>
      </c>
      <c r="AH59" s="84" t="str">
        <f>CONCATENATE("a'(",AD59,")=")</f>
        <v>a'(3)=</v>
      </c>
      <c r="AI59" s="84">
        <f>2*AI57/2*AE60</f>
        <v>44</v>
      </c>
      <c r="AJ59" s="84" t="str">
        <f>CONCATENATE("A(",AD58,")=")</f>
        <v>A(2)=</v>
      </c>
      <c r="AK59" s="84">
        <f>VLOOKUP(AD58,STN_TABLE,3,FALSE)</f>
        <v>86.573333333333323</v>
      </c>
      <c r="AL59" t="str">
        <f>CONCATENATE("A(",AD59,")=")</f>
        <v>A(3)=</v>
      </c>
      <c r="AM59">
        <f>AI59+AK59</f>
        <v>130.57333333333332</v>
      </c>
      <c r="AO59" s="68" t="str">
        <f>AA59</f>
        <v>A(3)=</v>
      </c>
      <c r="AP59" s="68" t="e">
        <f>VLOOKUP(AO59,Rise_Results,2,FALSE)</f>
        <v>#N/A</v>
      </c>
      <c r="AQ59" s="76">
        <f>N59</f>
        <v>130.57333333333332</v>
      </c>
      <c r="AR59" s="76">
        <f>IF(OR(AB59&lt;=0,AB60&lt;=0),1/0,AB59)</f>
        <v>130.57333333333332</v>
      </c>
      <c r="AS59" s="76">
        <f>AM59</f>
        <v>130.57333333333332</v>
      </c>
      <c r="AT59">
        <f>IFERROR(AP59,IFERROR(AQ59,IFERROR(AR59,AS59)))</f>
        <v>130.57333333333332</v>
      </c>
      <c r="AU59" s="81"/>
    </row>
    <row r="60" spans="1:47" x14ac:dyDescent="0.25">
      <c r="A60" s="84">
        <f>A59+1</f>
        <v>7</v>
      </c>
      <c r="B60" s="84">
        <f t="shared" si="11"/>
        <v>3</v>
      </c>
      <c r="F60" s="82">
        <f>SUM(F57:F59)</f>
        <v>66</v>
      </c>
      <c r="H60" s="82">
        <f>SUM(H57:H59)</f>
        <v>132</v>
      </c>
      <c r="I60" s="84" t="str">
        <f>CONCATENATE("m'(",C59,")=")</f>
        <v>m'(3)=</v>
      </c>
      <c r="J60" s="84">
        <f>2*(J57*(WLS))/3*H60</f>
        <v>352</v>
      </c>
      <c r="K60" s="84" t="str">
        <f>CONCATENATE("M(",C57,")=")</f>
        <v>M(1)=</v>
      </c>
      <c r="L60" s="84">
        <f>VLOOKUP(C57,STN_TABLE,4,FALSE)</f>
        <v>43.326666666666661</v>
      </c>
      <c r="M60" t="str">
        <f>CONCATENATE("M(",C59,")=")</f>
        <v>M(3)=</v>
      </c>
      <c r="N60">
        <f>J60+L60</f>
        <v>395.32666666666665</v>
      </c>
      <c r="O60" s="99">
        <f>O59+1</f>
        <v>9</v>
      </c>
      <c r="P60" s="99">
        <f t="shared" si="10"/>
        <v>4.8499999999999996</v>
      </c>
      <c r="T60" s="89">
        <f>SUM(T57:T59)</f>
        <v>132</v>
      </c>
      <c r="V60" s="82">
        <f>SUM(V57:V59)</f>
        <v>132</v>
      </c>
      <c r="W60" s="84" t="str">
        <f>CONCATENATE("m'(",Q58,")=")</f>
        <v>m'(3)=</v>
      </c>
      <c r="X60" s="84">
        <f>(2*(X57^2)/24*V60)+(X59*Q57*WLS)</f>
        <v>220</v>
      </c>
      <c r="Y60" s="84" t="str">
        <f>CONCATENATE("M(",Q57,")=")</f>
        <v>M(2)=</v>
      </c>
      <c r="Z60" s="84">
        <f>VLOOKUP(Q57,STN_TABLE,4,FALSE)</f>
        <v>175.32666666666665</v>
      </c>
      <c r="AA60" t="str">
        <f>CONCATENATE("M(",Q58,")=")</f>
        <v>M(3)=</v>
      </c>
      <c r="AB60">
        <f>X60+Z60</f>
        <v>395.32666666666665</v>
      </c>
      <c r="AE60" s="89">
        <f>SUM(AE58:AE59)</f>
        <v>22</v>
      </c>
      <c r="AG60" s="89">
        <f>SUM(AG58:AG59)</f>
        <v>33</v>
      </c>
      <c r="AH60" s="84" t="str">
        <f>CONCATENATE("m'(",AD59,")=")</f>
        <v>m'(3)=</v>
      </c>
      <c r="AI60" s="84">
        <f>(2*(AI57^2)/6*AG60)+(AI59*AD58*WLS)</f>
        <v>220</v>
      </c>
      <c r="AJ60" s="84" t="str">
        <f>CONCATENATE("M(",AD58,")=")</f>
        <v>M(2)=</v>
      </c>
      <c r="AK60" s="84">
        <f>VLOOKUP(AD57,STN_TABLE,4,FALSE)</f>
        <v>0</v>
      </c>
      <c r="AL60" t="str">
        <f>CONCATENATE("M(",AD59,")=")</f>
        <v>M(3)=</v>
      </c>
      <c r="AM60">
        <f>AI60+AK60</f>
        <v>220</v>
      </c>
      <c r="AO60" s="82" t="str">
        <f>AA60</f>
        <v>M(3)=</v>
      </c>
      <c r="AP60" s="82" t="e">
        <f>VLOOKUP(AO60,Rise_Results,2,FALSE)</f>
        <v>#N/A</v>
      </c>
      <c r="AQ60" s="82">
        <f>N60</f>
        <v>395.32666666666665</v>
      </c>
      <c r="AR60" s="82">
        <f>IF(OR(AB59&lt;=0,AB60&lt;=0),1/0,AB60)</f>
        <v>395.32666666666665</v>
      </c>
      <c r="AS60" s="82">
        <f>AM60</f>
        <v>220</v>
      </c>
      <c r="AT60">
        <f>IFERROR(AP60,IFERROR(AQ60,IFERROR(AR60,AS60)))</f>
        <v>395.32666666666665</v>
      </c>
      <c r="AU60" s="81"/>
    </row>
    <row r="61" spans="1:47" x14ac:dyDescent="0.25">
      <c r="A61" s="101">
        <f>A56+1</f>
        <v>4</v>
      </c>
      <c r="B61" s="101">
        <f t="shared" si="11"/>
        <v>0.75</v>
      </c>
      <c r="O61" s="101">
        <f>O56+1</f>
        <v>6</v>
      </c>
      <c r="P61" s="101">
        <f t="shared" si="10"/>
        <v>2</v>
      </c>
      <c r="AU61" s="81"/>
    </row>
    <row r="62" spans="1:47" x14ac:dyDescent="0.25">
      <c r="A62" s="84">
        <f>A61+1</f>
        <v>5</v>
      </c>
      <c r="B62" s="84">
        <f t="shared" si="11"/>
        <v>1</v>
      </c>
      <c r="C62" s="79">
        <f t="shared" ref="C62" si="18">IF(C63=B64,IF(C64-C63=C63-B63,B63,IF(C64-C63=C63-B62,B62,"#NA")),IF(C63=B63,IF(C64-C63=C63-B62,B62,IF(C64-C63=C63-B61,B61,"#NA")),"#NA"))</f>
        <v>2</v>
      </c>
      <c r="D62" s="68">
        <f>VLOOKUP(C62,STN_TABLE,2,FALSE)</f>
        <v>11</v>
      </c>
      <c r="E62" s="102">
        <v>1</v>
      </c>
      <c r="F62" s="68">
        <f>D62*E62</f>
        <v>11</v>
      </c>
      <c r="G62" s="69">
        <f>C62</f>
        <v>2</v>
      </c>
      <c r="H62" s="69">
        <f>F62*G62</f>
        <v>22</v>
      </c>
      <c r="I62" s="6" t="s">
        <v>93</v>
      </c>
      <c r="J62" s="70">
        <f>IF(OR(D62=0,D63=0,D64=0),"#NA",IF(AND(C64-C63=C63-C62,C63&lt;&gt;C64,C62&lt;&gt;C63,C62&lt;&gt;C64,D64&lt;&gt;0,OR(D62&lt;&gt;0,D63&lt;&gt;0)),WLS*(C64-C63),"#NA"))</f>
        <v>2</v>
      </c>
      <c r="O62" s="99">
        <f>O61+1</f>
        <v>7</v>
      </c>
      <c r="P62" s="99">
        <f t="shared" si="10"/>
        <v>3</v>
      </c>
      <c r="Q62" s="68">
        <f>IF(OR(P64-P63=P63-P62,P65-P63=P63-P62),P62,IF(OR(P64-P63=P63-P61,P65-P63=P63-P61),P61,"-"))</f>
        <v>3</v>
      </c>
      <c r="R62" s="69">
        <f>VLOOKUP(Q62,STN_TABLE,2,FALSE)</f>
        <v>11</v>
      </c>
      <c r="S62" s="69">
        <v>5</v>
      </c>
      <c r="T62" s="68">
        <f>R62*S62</f>
        <v>55</v>
      </c>
      <c r="U62" s="79">
        <v>3</v>
      </c>
      <c r="V62" s="68">
        <f>R62*U62</f>
        <v>33</v>
      </c>
      <c r="W62" s="6" t="s">
        <v>93</v>
      </c>
      <c r="X62" s="70">
        <f>IF(AND(Q64-Q63=Q63-Q62,NOT(AND(Q62=0,Q63=0)),NOT(AND(Q63=0,Q64=0))),WLS*(Q64-Q63),"#NA")</f>
        <v>2</v>
      </c>
      <c r="AD62" s="93"/>
      <c r="AH62" s="6" t="s">
        <v>93</v>
      </c>
      <c r="AI62" s="70">
        <f>WLS*(AD64-AD63)</f>
        <v>2</v>
      </c>
      <c r="AU62" s="81"/>
    </row>
    <row r="63" spans="1:47" x14ac:dyDescent="0.25">
      <c r="A63" s="84">
        <f>A62+1</f>
        <v>6</v>
      </c>
      <c r="B63" s="84">
        <f t="shared" si="11"/>
        <v>2</v>
      </c>
      <c r="C63" s="80">
        <f t="shared" ref="C63" si="19">IF(OR(B65-B64=B64-B63,B65-B64=B64-B62,B65-B64=B64-B61),B64,IF(OR(B65-B63=B63-B62,B65-B63=B63-B61),B63,IF(B65-B62=B62-B61,B62,"#NA")))</f>
        <v>3</v>
      </c>
      <c r="D63" s="76">
        <f>VLOOKUP(C63,STN_TABLE,2,FALSE)</f>
        <v>11</v>
      </c>
      <c r="E63" s="81">
        <v>4</v>
      </c>
      <c r="F63" s="76">
        <f>D63*E63</f>
        <v>44</v>
      </c>
      <c r="G63" s="77">
        <f>C63</f>
        <v>3</v>
      </c>
      <c r="H63" s="77">
        <f>F63*G63</f>
        <v>132</v>
      </c>
      <c r="I63" s="495" t="s">
        <v>97</v>
      </c>
      <c r="J63" s="496"/>
      <c r="K63" s="78" t="s">
        <v>98</v>
      </c>
      <c r="L63" s="78"/>
      <c r="M63" s="7" t="s">
        <v>99</v>
      </c>
      <c r="N63" s="7"/>
      <c r="O63" s="99">
        <f>O62+1</f>
        <v>8</v>
      </c>
      <c r="P63" s="99">
        <f t="shared" si="10"/>
        <v>4</v>
      </c>
      <c r="Q63" s="76">
        <f>P63</f>
        <v>4</v>
      </c>
      <c r="R63" s="77">
        <f>VLOOKUP(Q63,STN_TABLE,2,FALSE)</f>
        <v>11</v>
      </c>
      <c r="S63" s="77">
        <v>8</v>
      </c>
      <c r="T63" s="76">
        <f>R63*S63</f>
        <v>88</v>
      </c>
      <c r="U63" s="80">
        <v>10</v>
      </c>
      <c r="V63" s="76">
        <f>R63*U63</f>
        <v>110</v>
      </c>
      <c r="W63" s="496" t="s">
        <v>97</v>
      </c>
      <c r="X63" s="496"/>
      <c r="Y63" s="496" t="s">
        <v>98</v>
      </c>
      <c r="Z63" s="496"/>
      <c r="AA63" s="494" t="s">
        <v>99</v>
      </c>
      <c r="AB63" s="494"/>
      <c r="AC63" s="99">
        <f>AC58+1</f>
        <v>7</v>
      </c>
      <c r="AD63" s="95">
        <f>VLOOKUP(AC63,STN_TABLE_2,2,FALSE)</f>
        <v>3</v>
      </c>
      <c r="AE63" s="68">
        <f>VLOOKUP(AD63,STN_TABLE,2,FALSE)</f>
        <v>11</v>
      </c>
      <c r="AF63" s="68">
        <v>1</v>
      </c>
      <c r="AG63" s="69">
        <f>AE63*AF63</f>
        <v>11</v>
      </c>
      <c r="AH63" s="496" t="s">
        <v>97</v>
      </c>
      <c r="AI63" s="496"/>
      <c r="AJ63" s="496" t="s">
        <v>98</v>
      </c>
      <c r="AK63" s="496"/>
      <c r="AL63" s="494" t="s">
        <v>99</v>
      </c>
      <c r="AM63" s="494"/>
      <c r="AP63" s="86" t="s">
        <v>112</v>
      </c>
      <c r="AQ63" s="89" t="s">
        <v>113</v>
      </c>
      <c r="AR63" s="89" t="s">
        <v>114</v>
      </c>
      <c r="AS63" s="89" t="s">
        <v>115</v>
      </c>
      <c r="AU63" s="81"/>
    </row>
    <row r="64" spans="1:47" x14ac:dyDescent="0.25">
      <c r="A64" s="84">
        <f>A63+1</f>
        <v>7</v>
      </c>
      <c r="B64" s="84">
        <f t="shared" si="11"/>
        <v>3</v>
      </c>
      <c r="C64" s="88">
        <f t="shared" ref="C64" si="20">B65</f>
        <v>4</v>
      </c>
      <c r="D64" s="82">
        <f>VLOOKUP(C64,STN_TABLE,2,FALSE)</f>
        <v>11</v>
      </c>
      <c r="E64" s="92">
        <v>1</v>
      </c>
      <c r="F64" s="82">
        <f>D64*E64</f>
        <v>11</v>
      </c>
      <c r="G64" s="83">
        <f>C64</f>
        <v>4</v>
      </c>
      <c r="H64" s="83">
        <f>F64*G64</f>
        <v>44</v>
      </c>
      <c r="I64" s="84" t="str">
        <f>CONCATENATE("a'(",C64,")=")</f>
        <v>a'(4)=</v>
      </c>
      <c r="J64" s="84">
        <f>2*J62/3*F65</f>
        <v>88</v>
      </c>
      <c r="K64" s="84" t="str">
        <f>CONCATENATE("A(",C62,")=")</f>
        <v>A(2)=</v>
      </c>
      <c r="L64" s="84">
        <f>VLOOKUP(C62,STN_TABLE,3,FALSE)</f>
        <v>86.573333333333323</v>
      </c>
      <c r="M64" t="str">
        <f>CONCATENATE("A(",C64,")=")</f>
        <v>A(4)=</v>
      </c>
      <c r="N64">
        <f>J64+L64</f>
        <v>174.57333333333332</v>
      </c>
      <c r="O64" s="99">
        <f>O63+1</f>
        <v>9</v>
      </c>
      <c r="P64" s="99">
        <f t="shared" si="10"/>
        <v>4.8499999999999996</v>
      </c>
      <c r="Q64" s="82">
        <f>IF(P64-P63=P63-P62,P64,IF(P65-P63=P63-P62,P65,IF(P64-P63=P63-P61,P64,IF(P65-P63=P63-P61,P65,"-"))))</f>
        <v>5</v>
      </c>
      <c r="R64" s="83">
        <f>VLOOKUP(Q64,STN_TABLE,2,FALSE)</f>
        <v>11</v>
      </c>
      <c r="S64" s="83">
        <v>-1</v>
      </c>
      <c r="T64" s="82">
        <f>R64*S64</f>
        <v>-11</v>
      </c>
      <c r="U64" s="88">
        <v>-1</v>
      </c>
      <c r="V64" s="82">
        <f>R64*U64</f>
        <v>-11</v>
      </c>
      <c r="W64" s="84" t="str">
        <f>CONCATENATE("a'(",Q63,")=")</f>
        <v>a'(4)=</v>
      </c>
      <c r="X64" s="84">
        <f>2*X62/12*T65</f>
        <v>44</v>
      </c>
      <c r="Y64" s="84" t="str">
        <f>CONCATENATE("A(",Q62,")=")</f>
        <v>A(3)=</v>
      </c>
      <c r="Z64" s="84">
        <f>VLOOKUP(Q62,STN_TABLE,3,FALSE)</f>
        <v>130.57333333333332</v>
      </c>
      <c r="AA64" t="str">
        <f>CONCATENATE("A(",Q63,")=")</f>
        <v>A(4)=</v>
      </c>
      <c r="AB64">
        <f>X64+Z64</f>
        <v>174.57333333333332</v>
      </c>
      <c r="AC64" s="99">
        <f>AC63+1</f>
        <v>8</v>
      </c>
      <c r="AD64" s="100">
        <f>VLOOKUP(AC64,STN_TABLE_2,2,FALSE)</f>
        <v>4</v>
      </c>
      <c r="AE64" s="82">
        <f>VLOOKUP(AD64,STN_TABLE,2,FALSE)</f>
        <v>11</v>
      </c>
      <c r="AF64" s="82">
        <v>2</v>
      </c>
      <c r="AG64" s="83">
        <f>AE64*AF64</f>
        <v>22</v>
      </c>
      <c r="AH64" s="84" t="str">
        <f>CONCATENATE("a'(",AD64,")=")</f>
        <v>a'(4)=</v>
      </c>
      <c r="AI64" s="84">
        <f>2*AI62/2*AE65</f>
        <v>44</v>
      </c>
      <c r="AJ64" s="84" t="str">
        <f>CONCATENATE("A(",AD63,")=")</f>
        <v>A(3)=</v>
      </c>
      <c r="AK64" s="84">
        <f>VLOOKUP(AD63,STN_TABLE,3,FALSE)</f>
        <v>130.57333333333332</v>
      </c>
      <c r="AL64" t="str">
        <f>CONCATENATE("A(",AD64,")=")</f>
        <v>A(4)=</v>
      </c>
      <c r="AM64">
        <f>AI64+AK64</f>
        <v>174.57333333333332</v>
      </c>
      <c r="AO64" s="68" t="str">
        <f>AA64</f>
        <v>A(4)=</v>
      </c>
      <c r="AP64" s="68" t="e">
        <f>VLOOKUP(AO64,Rise_Results,2,FALSE)</f>
        <v>#N/A</v>
      </c>
      <c r="AQ64" s="76">
        <f>N64</f>
        <v>174.57333333333332</v>
      </c>
      <c r="AR64" s="76">
        <f>IF(OR(AB64&lt;=0,AB65&lt;=0),1/0,AB64)</f>
        <v>174.57333333333332</v>
      </c>
      <c r="AS64" s="76">
        <f>AM64</f>
        <v>174.57333333333332</v>
      </c>
      <c r="AT64">
        <f>IFERROR(AP64,IFERROR(AQ64,IFERROR(AR64,AS64)))</f>
        <v>174.57333333333332</v>
      </c>
      <c r="AU64" s="81"/>
    </row>
    <row r="65" spans="1:47" x14ac:dyDescent="0.25">
      <c r="A65" s="84">
        <f>A64+1</f>
        <v>8</v>
      </c>
      <c r="B65" s="84">
        <f t="shared" si="11"/>
        <v>4</v>
      </c>
      <c r="F65" s="82">
        <f>SUM(F62:F64)</f>
        <v>66</v>
      </c>
      <c r="H65" s="82">
        <f>SUM(H62:H64)</f>
        <v>198</v>
      </c>
      <c r="I65" s="84" t="str">
        <f>CONCATENATE("m'(",C64,")=")</f>
        <v>m'(4)=</v>
      </c>
      <c r="J65" s="84">
        <f>2*(J62*(WLS))/3*H65</f>
        <v>528</v>
      </c>
      <c r="K65" s="84" t="str">
        <f>CONCATENATE("M(",C62,")=")</f>
        <v>M(2)=</v>
      </c>
      <c r="L65" s="84">
        <f>VLOOKUP(C62,STN_TABLE,4,FALSE)</f>
        <v>175.32666666666665</v>
      </c>
      <c r="M65" t="str">
        <f>CONCATENATE("M(",C64,")=")</f>
        <v>M(4)=</v>
      </c>
      <c r="N65">
        <f>J65+L65</f>
        <v>703.3266666666666</v>
      </c>
      <c r="O65" s="99">
        <f>O64+1</f>
        <v>10</v>
      </c>
      <c r="P65" s="99">
        <f t="shared" si="10"/>
        <v>5</v>
      </c>
      <c r="T65" s="89">
        <f>SUM(T62:T64)</f>
        <v>132</v>
      </c>
      <c r="V65" s="82">
        <f>SUM(V62:V64)</f>
        <v>132</v>
      </c>
      <c r="W65" s="84" t="str">
        <f>CONCATENATE("m'(",Q63,")=")</f>
        <v>m'(4)=</v>
      </c>
      <c r="X65" s="84">
        <f>(2*(X62^2)/24*V65)+(X64*Q62*WLS)</f>
        <v>308</v>
      </c>
      <c r="Y65" s="84" t="str">
        <f>CONCATENATE("M(",Q62,")=")</f>
        <v>M(3)=</v>
      </c>
      <c r="Z65" s="84">
        <f>VLOOKUP(Q62,STN_TABLE,4,FALSE)</f>
        <v>395.32666666666665</v>
      </c>
      <c r="AA65" t="str">
        <f>CONCATENATE("M(",Q63,")=")</f>
        <v>M(4)=</v>
      </c>
      <c r="AB65">
        <f>X65+Z65</f>
        <v>703.3266666666666</v>
      </c>
      <c r="AE65" s="89">
        <f>SUM(AE63:AE64)</f>
        <v>22</v>
      </c>
      <c r="AG65" s="89">
        <f>SUM(AG63:AG64)</f>
        <v>33</v>
      </c>
      <c r="AH65" s="84" t="str">
        <f>CONCATENATE("m'(",AD64,")=")</f>
        <v>m'(4)=</v>
      </c>
      <c r="AI65" s="84">
        <f>(2*(AI62^2)/6*AG65)+(AI64*AD63*WLS)</f>
        <v>308</v>
      </c>
      <c r="AJ65" s="84" t="str">
        <f>CONCATENATE("M(",AD63,")=")</f>
        <v>M(3)=</v>
      </c>
      <c r="AK65" s="84">
        <f>VLOOKUP(AD63,STN_TABLE,4,FALSE)</f>
        <v>395.32666666666665</v>
      </c>
      <c r="AL65" t="str">
        <f>CONCATENATE("M(",AD64,")=")</f>
        <v>M(4)=</v>
      </c>
      <c r="AM65">
        <f>AI65+AK65</f>
        <v>703.3266666666666</v>
      </c>
      <c r="AO65" s="82" t="str">
        <f>AA65</f>
        <v>M(4)=</v>
      </c>
      <c r="AP65" s="82" t="e">
        <f>VLOOKUP(AO65,Rise_Results,2,FALSE)</f>
        <v>#N/A</v>
      </c>
      <c r="AQ65" s="82">
        <f>N65</f>
        <v>703.3266666666666</v>
      </c>
      <c r="AR65" s="82">
        <f>IF(OR(AB64&lt;=0,AB65&lt;=0),1/0,AB65)</f>
        <v>703.3266666666666</v>
      </c>
      <c r="AS65" s="82">
        <f>AM65</f>
        <v>703.3266666666666</v>
      </c>
      <c r="AT65">
        <f>IFERROR(AP65,IFERROR(AQ65,IFERROR(AR65,AS65)))</f>
        <v>703.3266666666666</v>
      </c>
      <c r="AU65" s="81"/>
    </row>
    <row r="66" spans="1:47" x14ac:dyDescent="0.25">
      <c r="A66" s="101">
        <f>A61+1</f>
        <v>5</v>
      </c>
      <c r="B66" s="101">
        <f t="shared" si="11"/>
        <v>1</v>
      </c>
      <c r="O66" s="101">
        <f>O61+1</f>
        <v>7</v>
      </c>
      <c r="P66" s="101">
        <f t="shared" si="10"/>
        <v>3</v>
      </c>
      <c r="AU66" s="81"/>
    </row>
    <row r="67" spans="1:47" x14ac:dyDescent="0.25">
      <c r="A67" s="84">
        <f>A66+1</f>
        <v>6</v>
      </c>
      <c r="B67" s="84">
        <f t="shared" si="11"/>
        <v>2</v>
      </c>
      <c r="C67" s="79" t="str">
        <f t="shared" ref="C67" si="21">IF(C68=B69,IF(C69-C68=C68-B68,B68,IF(C69-C68=C68-B67,B67,"#NA")),IF(C68=B68,IF(C69-C68=C68-B67,B67,IF(C69-C68=C68-B66,B66,"#NA")),"#NA"))</f>
        <v>#NA</v>
      </c>
      <c r="D67" s="68" t="e">
        <f>VLOOKUP(C67,STN_TABLE,2,FALSE)</f>
        <v>#N/A</v>
      </c>
      <c r="E67" s="102">
        <v>1</v>
      </c>
      <c r="F67" s="68" t="e">
        <f>D67*E67</f>
        <v>#N/A</v>
      </c>
      <c r="G67" s="69" t="str">
        <f>C67</f>
        <v>#NA</v>
      </c>
      <c r="H67" s="69" t="e">
        <f>F67*G67</f>
        <v>#N/A</v>
      </c>
      <c r="I67" s="6" t="s">
        <v>93</v>
      </c>
      <c r="J67" s="70" t="e">
        <f>IF(OR(D67=0,D68=0,D69=0),"#NA",IF(AND(C69-C68=C68-C67,C68&lt;&gt;C69,C67&lt;&gt;C68,C67&lt;&gt;C69,D69&lt;&gt;0,OR(D67&lt;&gt;0,D68&lt;&gt;0)),WLS*(C69-C68),"#NA"))</f>
        <v>#N/A</v>
      </c>
      <c r="O67" s="99">
        <f>O66+1</f>
        <v>8</v>
      </c>
      <c r="P67" s="99">
        <f t="shared" si="10"/>
        <v>4</v>
      </c>
      <c r="Q67" s="68" t="str">
        <f>IF(OR(P69-P68=P68-P67,P70-P68=P68-P67),P67,IF(OR(P69-P68=P68-P66,P70-P68=P68-P66),P66,"-"))</f>
        <v>-</v>
      </c>
      <c r="R67" s="69" t="e">
        <f>VLOOKUP(Q67,STN_TABLE,2,FALSE)</f>
        <v>#N/A</v>
      </c>
      <c r="S67" s="69">
        <v>5</v>
      </c>
      <c r="T67" s="68" t="e">
        <f>R67*S67</f>
        <v>#N/A</v>
      </c>
      <c r="U67" s="79">
        <v>3</v>
      </c>
      <c r="V67" s="68" t="e">
        <f>R67*U67</f>
        <v>#N/A</v>
      </c>
      <c r="W67" s="6" t="s">
        <v>93</v>
      </c>
      <c r="X67" s="70" t="e">
        <f>IF(AND(Q69-Q68=Q68-Q67,NOT(AND(Q67=0,Q68=0)),NOT(AND(Q68=0,Q69=0))),WLS*(Q69-Q68),"#NA")</f>
        <v>#VALUE!</v>
      </c>
      <c r="AD67" s="93"/>
      <c r="AH67" s="6" t="s">
        <v>93</v>
      </c>
      <c r="AI67" s="70">
        <f>WLS*(AD69-AD68)</f>
        <v>1.6999999999999993</v>
      </c>
      <c r="AU67" s="81"/>
    </row>
    <row r="68" spans="1:47" x14ac:dyDescent="0.25">
      <c r="A68" s="84">
        <f>A67+1</f>
        <v>7</v>
      </c>
      <c r="B68" s="84">
        <f t="shared" si="11"/>
        <v>3</v>
      </c>
      <c r="C68" s="80" t="str">
        <f t="shared" ref="C68" si="22">IF(OR(B70-B69=B69-B68,B70-B69=B69-B67,B70-B69=B69-B66),B69,IF(OR(B70-B68=B68-B67,B70-B68=B68-B66),B68,IF(B70-B67=B67-B66,B67,"#NA")))</f>
        <v>#NA</v>
      </c>
      <c r="D68" s="76" t="e">
        <f>VLOOKUP(C68,STN_TABLE,2,FALSE)</f>
        <v>#N/A</v>
      </c>
      <c r="E68" s="81">
        <v>4</v>
      </c>
      <c r="F68" s="76" t="e">
        <f>D68*E68</f>
        <v>#N/A</v>
      </c>
      <c r="G68" s="77" t="str">
        <f>C68</f>
        <v>#NA</v>
      </c>
      <c r="H68" s="77" t="e">
        <f>F68*G68</f>
        <v>#N/A</v>
      </c>
      <c r="I68" s="495" t="s">
        <v>97</v>
      </c>
      <c r="J68" s="496"/>
      <c r="K68" s="78" t="s">
        <v>98</v>
      </c>
      <c r="L68" s="78"/>
      <c r="M68" s="7" t="s">
        <v>99</v>
      </c>
      <c r="N68" s="7"/>
      <c r="O68" s="99">
        <f>O67+1</f>
        <v>9</v>
      </c>
      <c r="P68" s="99">
        <f t="shared" ref="P68:P99" si="23">VLOOKUP(O68,STN_TABLE_2,2,FALSE)</f>
        <v>4.8499999999999996</v>
      </c>
      <c r="Q68" s="76">
        <f>P68</f>
        <v>4.8499999999999996</v>
      </c>
      <c r="R68" s="77">
        <f>VLOOKUP(Q68,STN_TABLE,2,FALSE)</f>
        <v>11</v>
      </c>
      <c r="S68" s="77">
        <v>8</v>
      </c>
      <c r="T68" s="76">
        <f>R68*S68</f>
        <v>88</v>
      </c>
      <c r="U68" s="80">
        <v>10</v>
      </c>
      <c r="V68" s="76">
        <f>R68*U68</f>
        <v>110</v>
      </c>
      <c r="W68" s="496" t="s">
        <v>97</v>
      </c>
      <c r="X68" s="496"/>
      <c r="Y68" s="496" t="s">
        <v>98</v>
      </c>
      <c r="Z68" s="496"/>
      <c r="AA68" s="494" t="s">
        <v>99</v>
      </c>
      <c r="AB68" s="494"/>
      <c r="AC68" s="99">
        <f>AC63+1</f>
        <v>8</v>
      </c>
      <c r="AD68" s="95">
        <f>VLOOKUP(AC68,STN_TABLE_2,2,FALSE)</f>
        <v>4</v>
      </c>
      <c r="AE68" s="68">
        <f>VLOOKUP(AD68,STN_TABLE,2,FALSE)</f>
        <v>11</v>
      </c>
      <c r="AF68" s="68">
        <v>1</v>
      </c>
      <c r="AG68" s="69">
        <f>AE68*AF68</f>
        <v>11</v>
      </c>
      <c r="AH68" s="496" t="s">
        <v>97</v>
      </c>
      <c r="AI68" s="496"/>
      <c r="AJ68" s="496" t="s">
        <v>98</v>
      </c>
      <c r="AK68" s="496"/>
      <c r="AL68" s="494" t="s">
        <v>99</v>
      </c>
      <c r="AM68" s="494"/>
      <c r="AP68" s="86" t="s">
        <v>112</v>
      </c>
      <c r="AQ68" s="89" t="s">
        <v>113</v>
      </c>
      <c r="AR68" s="89" t="s">
        <v>114</v>
      </c>
      <c r="AS68" s="89" t="s">
        <v>115</v>
      </c>
      <c r="AU68" s="81"/>
    </row>
    <row r="69" spans="1:47" x14ac:dyDescent="0.25">
      <c r="A69" s="84">
        <f>A68+1</f>
        <v>8</v>
      </c>
      <c r="B69" s="84">
        <f t="shared" si="11"/>
        <v>4</v>
      </c>
      <c r="C69" s="88">
        <f t="shared" ref="C69" si="24">B70</f>
        <v>4.8499999999999996</v>
      </c>
      <c r="D69" s="82">
        <f>VLOOKUP(C69,STN_TABLE,2,FALSE)</f>
        <v>11</v>
      </c>
      <c r="E69" s="92">
        <v>1</v>
      </c>
      <c r="F69" s="82">
        <f>D69*E69</f>
        <v>11</v>
      </c>
      <c r="G69" s="83">
        <f>C69</f>
        <v>4.8499999999999996</v>
      </c>
      <c r="H69" s="83">
        <f>F69*G69</f>
        <v>53.349999999999994</v>
      </c>
      <c r="I69" s="84" t="str">
        <f>CONCATENATE("a'(",C69,")=")</f>
        <v>a'(4.85)=</v>
      </c>
      <c r="J69" s="84" t="e">
        <f>2*J67/3*F70</f>
        <v>#N/A</v>
      </c>
      <c r="K69" s="84" t="str">
        <f>CONCATENATE("A(",C67,")=")</f>
        <v>A(#NA)=</v>
      </c>
      <c r="L69" s="84" t="e">
        <f>VLOOKUP(C67,STN_TABLE,3,FALSE)</f>
        <v>#N/A</v>
      </c>
      <c r="M69" t="str">
        <f>CONCATENATE("A(",C69,")=")</f>
        <v>A(4.85)=</v>
      </c>
      <c r="N69" t="e">
        <f>J69+L69</f>
        <v>#N/A</v>
      </c>
      <c r="O69" s="99">
        <f>O68+1</f>
        <v>10</v>
      </c>
      <c r="P69" s="99">
        <f t="shared" si="23"/>
        <v>5</v>
      </c>
      <c r="Q69" s="82" t="str">
        <f>IF(P69-P68=P68-P67,P69,IF(P70-P68=P68-P67,P70,IF(P69-P68=P68-P66,P69,IF(P70-P68=P68-P66,P70,"-"))))</f>
        <v>-</v>
      </c>
      <c r="R69" s="83" t="e">
        <f>VLOOKUP(Q69,STN_TABLE,2,FALSE)</f>
        <v>#N/A</v>
      </c>
      <c r="S69" s="83">
        <v>-1</v>
      </c>
      <c r="T69" s="82" t="e">
        <f>R69*S69</f>
        <v>#N/A</v>
      </c>
      <c r="U69" s="88">
        <v>-1</v>
      </c>
      <c r="V69" s="82" t="e">
        <f>R69*U69</f>
        <v>#N/A</v>
      </c>
      <c r="W69" s="84" t="str">
        <f>CONCATENATE("a'(",Q68,")=")</f>
        <v>a'(4.85)=</v>
      </c>
      <c r="X69" s="84" t="e">
        <f>2*X67/12*T70</f>
        <v>#VALUE!</v>
      </c>
      <c r="Y69" s="84" t="str">
        <f>CONCATENATE("A(",Q67,")=")</f>
        <v>A(-)=</v>
      </c>
      <c r="Z69" s="84" t="e">
        <f>VLOOKUP(Q67,STN_TABLE,3,FALSE)</f>
        <v>#N/A</v>
      </c>
      <c r="AA69" t="str">
        <f>CONCATENATE("A(",Q68,")=")</f>
        <v>A(4.85)=</v>
      </c>
      <c r="AB69" t="e">
        <f>X69+Z69</f>
        <v>#VALUE!</v>
      </c>
      <c r="AC69" s="99">
        <f>AC68+1</f>
        <v>9</v>
      </c>
      <c r="AD69" s="100">
        <f>VLOOKUP(AC69,STN_TABLE_2,2,FALSE)</f>
        <v>4.8499999999999996</v>
      </c>
      <c r="AE69" s="82">
        <f>VLOOKUP(AD69,STN_TABLE,2,FALSE)</f>
        <v>11</v>
      </c>
      <c r="AF69" s="82">
        <v>2</v>
      </c>
      <c r="AG69" s="83">
        <f>AE69*AF69</f>
        <v>22</v>
      </c>
      <c r="AH69" s="84" t="str">
        <f>CONCATENATE("a'(",AD69,")=")</f>
        <v>a'(4.85)=</v>
      </c>
      <c r="AI69" s="84">
        <f>2*AI67/2*AE70</f>
        <v>37.399999999999984</v>
      </c>
      <c r="AJ69" s="84" t="str">
        <f>CONCATENATE("A(",AD68,")=")</f>
        <v>A(4)=</v>
      </c>
      <c r="AK69" s="84">
        <f>VLOOKUP(AD68,STN_TABLE,3,FALSE)</f>
        <v>174.57333333333332</v>
      </c>
      <c r="AL69" t="str">
        <f>CONCATENATE("A(",AD69,")=")</f>
        <v>A(4.85)=</v>
      </c>
      <c r="AM69">
        <f>AI69+AK69</f>
        <v>211.9733333333333</v>
      </c>
      <c r="AO69" s="68" t="str">
        <f>AA69</f>
        <v>A(4.85)=</v>
      </c>
      <c r="AP69" s="68" t="e">
        <f>VLOOKUP(AO69,Rise_Results,2,FALSE)</f>
        <v>#N/A</v>
      </c>
      <c r="AQ69" s="76" t="e">
        <f>N69</f>
        <v>#N/A</v>
      </c>
      <c r="AR69" s="76" t="e">
        <f>IF(OR(AB69&lt;=0,AB70&lt;=0),1/0,AB69)</f>
        <v>#VALUE!</v>
      </c>
      <c r="AS69" s="76">
        <f>AM69</f>
        <v>211.9733333333333</v>
      </c>
      <c r="AT69">
        <f>IFERROR(AP69,IFERROR(AQ69,IFERROR(AR69,AS69)))</f>
        <v>211.9733333333333</v>
      </c>
      <c r="AU69" s="81"/>
    </row>
    <row r="70" spans="1:47" x14ac:dyDescent="0.25">
      <c r="A70" s="84">
        <f>A69+1</f>
        <v>9</v>
      </c>
      <c r="B70" s="84">
        <f t="shared" si="11"/>
        <v>4.8499999999999996</v>
      </c>
      <c r="F70" s="82" t="e">
        <f>SUM(F67:F69)</f>
        <v>#N/A</v>
      </c>
      <c r="H70" s="82" t="e">
        <f>SUM(H67:H69)</f>
        <v>#N/A</v>
      </c>
      <c r="I70" s="84" t="str">
        <f>CONCATENATE("m'(",C69,")=")</f>
        <v>m'(4.85)=</v>
      </c>
      <c r="J70" s="84" t="e">
        <f>2*(J67*(WLS))/3*H70</f>
        <v>#N/A</v>
      </c>
      <c r="K70" s="84" t="str">
        <f>CONCATENATE("M(",C67,")=")</f>
        <v>M(#NA)=</v>
      </c>
      <c r="L70" s="84" t="e">
        <f>VLOOKUP(C67,STN_TABLE,4,FALSE)</f>
        <v>#N/A</v>
      </c>
      <c r="M70" t="str">
        <f>CONCATENATE("M(",C69,")=")</f>
        <v>M(4.85)=</v>
      </c>
      <c r="N70" t="e">
        <f>J70+L70</f>
        <v>#N/A</v>
      </c>
      <c r="O70" s="99">
        <f>O69+1</f>
        <v>11</v>
      </c>
      <c r="P70" s="99">
        <f t="shared" si="23"/>
        <v>6</v>
      </c>
      <c r="T70" s="89" t="e">
        <f>SUM(T67:T69)</f>
        <v>#N/A</v>
      </c>
      <c r="V70" s="82" t="e">
        <f>SUM(V67:V69)</f>
        <v>#N/A</v>
      </c>
      <c r="W70" s="84" t="str">
        <f>CONCATENATE("m'(",Q68,")=")</f>
        <v>m'(4.85)=</v>
      </c>
      <c r="X70" s="84" t="e">
        <f>(2*(X67^2)/24*V70)+(X69*Q67*WLS)</f>
        <v>#VALUE!</v>
      </c>
      <c r="Y70" s="84" t="str">
        <f>CONCATENATE("M(",Q67,")=")</f>
        <v>M(-)=</v>
      </c>
      <c r="Z70" s="84" t="e">
        <f>VLOOKUP(Q67,STN_TABLE,4,FALSE)</f>
        <v>#N/A</v>
      </c>
      <c r="AA70" t="str">
        <f>CONCATENATE("M(",Q68,")=")</f>
        <v>M(4.85)=</v>
      </c>
      <c r="AB70" t="e">
        <f>X70+Z70</f>
        <v>#VALUE!</v>
      </c>
      <c r="AE70" s="89">
        <f>SUM(AE68:AE69)</f>
        <v>22</v>
      </c>
      <c r="AG70" s="89">
        <f>SUM(AG68:AG69)</f>
        <v>33</v>
      </c>
      <c r="AH70" s="84" t="str">
        <f>CONCATENATE("m'(",AD69,")=")</f>
        <v>m'(4.85)=</v>
      </c>
      <c r="AI70" s="84">
        <f>(2*(AI67^2)/6*AG70)+(AI69*AD68*WLS)</f>
        <v>330.98999999999984</v>
      </c>
      <c r="AJ70" s="84" t="str">
        <f>CONCATENATE("M(",AD68,")=")</f>
        <v>M(4)=</v>
      </c>
      <c r="AK70" s="84">
        <f>VLOOKUP(AD68,STN_TABLE,4,FALSE)</f>
        <v>703.3266666666666</v>
      </c>
      <c r="AL70" t="str">
        <f>CONCATENATE("M(",AD69,")=")</f>
        <v>M(4.85)=</v>
      </c>
      <c r="AM70">
        <f>AI70+AK70</f>
        <v>1034.3166666666664</v>
      </c>
      <c r="AO70" s="82" t="str">
        <f>AA70</f>
        <v>M(4.85)=</v>
      </c>
      <c r="AP70" s="82" t="e">
        <f>VLOOKUP(AO70,Rise_Results,2,FALSE)</f>
        <v>#N/A</v>
      </c>
      <c r="AQ70" s="82" t="e">
        <f>N70</f>
        <v>#N/A</v>
      </c>
      <c r="AR70" s="82" t="e">
        <f>IF(OR(AB69&lt;=0,AB70&lt;=0),1/0,AB70)</f>
        <v>#VALUE!</v>
      </c>
      <c r="AS70" s="82">
        <f>AM70</f>
        <v>1034.3166666666664</v>
      </c>
      <c r="AT70">
        <f>IFERROR(AP70,IFERROR(AQ70,IFERROR(AR70,AS70)))</f>
        <v>1034.3166666666664</v>
      </c>
      <c r="AU70" s="81"/>
    </row>
    <row r="71" spans="1:47" x14ac:dyDescent="0.25">
      <c r="A71" s="101">
        <f>A66+1</f>
        <v>6</v>
      </c>
      <c r="B71" s="101">
        <f t="shared" si="11"/>
        <v>2</v>
      </c>
      <c r="O71" s="101">
        <f>O66+1</f>
        <v>8</v>
      </c>
      <c r="P71" s="101">
        <f t="shared" si="23"/>
        <v>4</v>
      </c>
      <c r="AU71" s="81"/>
    </row>
    <row r="72" spans="1:47" x14ac:dyDescent="0.25">
      <c r="A72" s="84">
        <f>A71+1</f>
        <v>7</v>
      </c>
      <c r="B72" s="84">
        <f t="shared" si="11"/>
        <v>3</v>
      </c>
      <c r="C72" s="79">
        <f t="shared" ref="C72" si="25">IF(C73=B74,IF(C74-C73=C73-B73,B73,IF(C74-C73=C73-B72,B72,"#NA")),IF(C73=B73,IF(C74-C73=C73-B72,B72,IF(C74-C73=C73-B71,B71,"#NA")),"#NA"))</f>
        <v>3</v>
      </c>
      <c r="D72" s="68">
        <f>VLOOKUP(C72,STN_TABLE,2,FALSE)</f>
        <v>11</v>
      </c>
      <c r="E72" s="102">
        <v>1</v>
      </c>
      <c r="F72" s="68">
        <f>D72*E72</f>
        <v>11</v>
      </c>
      <c r="G72" s="69">
        <f>C72</f>
        <v>3</v>
      </c>
      <c r="H72" s="69">
        <f>F72*G72</f>
        <v>33</v>
      </c>
      <c r="I72" s="6" t="s">
        <v>93</v>
      </c>
      <c r="J72" s="70">
        <f>IF(OR(D72=0,D73=0,D74=0),"#NA",IF(AND(C74-C73=C73-C72,C73&lt;&gt;C74,C72&lt;&gt;C73,C72&lt;&gt;C74,D74&lt;&gt;0,OR(D72&lt;&gt;0,D73&lt;&gt;0)),WLS*(C74-C73),"#NA"))</f>
        <v>2</v>
      </c>
      <c r="O72" s="99">
        <f>O71+1</f>
        <v>9</v>
      </c>
      <c r="P72" s="99">
        <f t="shared" si="23"/>
        <v>4.8499999999999996</v>
      </c>
      <c r="Q72" s="68">
        <f>IF(OR(P74-P73=P73-P72,P75-P73=P73-P72),P72,IF(OR(P74-P73=P73-P71,P75-P73=P73-P71),P71,"-"))</f>
        <v>4</v>
      </c>
      <c r="R72" s="69">
        <f>VLOOKUP(Q72,STN_TABLE,2,FALSE)</f>
        <v>11</v>
      </c>
      <c r="S72" s="69">
        <v>5</v>
      </c>
      <c r="T72" s="68">
        <f>R72*S72</f>
        <v>55</v>
      </c>
      <c r="U72" s="79">
        <v>3</v>
      </c>
      <c r="V72" s="68">
        <f>R72*U72</f>
        <v>33</v>
      </c>
      <c r="W72" s="6" t="s">
        <v>93</v>
      </c>
      <c r="X72" s="70">
        <f>IF(AND(Q74-Q73=Q73-Q72,NOT(AND(Q72=0,Q73=0)),NOT(AND(Q73=0,Q74=0))),WLS*(Q74-Q73),"#NA")</f>
        <v>2</v>
      </c>
      <c r="AD72" s="93"/>
      <c r="AH72" s="6" t="s">
        <v>93</v>
      </c>
      <c r="AI72" s="70">
        <f>WLS*(AD74-AD73)</f>
        <v>0.30000000000000071</v>
      </c>
      <c r="AU72" s="81"/>
    </row>
    <row r="73" spans="1:47" x14ac:dyDescent="0.25">
      <c r="A73" s="84">
        <f>A72+1</f>
        <v>8</v>
      </c>
      <c r="B73" s="84">
        <f t="shared" si="11"/>
        <v>4</v>
      </c>
      <c r="C73" s="80">
        <f t="shared" ref="C73" si="26">IF(OR(B75-B74=B74-B73,B75-B74=B74-B72,B75-B74=B74-B71),B74,IF(OR(B75-B73=B73-B72,B75-B73=B73-B71),B73,IF(B75-B72=B72-B71,B72,"#NA")))</f>
        <v>4</v>
      </c>
      <c r="D73" s="76">
        <f>VLOOKUP(C73,STN_TABLE,2,FALSE)</f>
        <v>11</v>
      </c>
      <c r="E73" s="81">
        <v>4</v>
      </c>
      <c r="F73" s="76">
        <f>D73*E73</f>
        <v>44</v>
      </c>
      <c r="G73" s="77">
        <f>C73</f>
        <v>4</v>
      </c>
      <c r="H73" s="77">
        <f>F73*G73</f>
        <v>176</v>
      </c>
      <c r="I73" s="495" t="s">
        <v>97</v>
      </c>
      <c r="J73" s="496"/>
      <c r="K73" s="78" t="s">
        <v>98</v>
      </c>
      <c r="L73" s="78"/>
      <c r="M73" s="7" t="s">
        <v>99</v>
      </c>
      <c r="N73" s="7"/>
      <c r="O73" s="99">
        <f>O72+1</f>
        <v>10</v>
      </c>
      <c r="P73" s="99">
        <f t="shared" si="23"/>
        <v>5</v>
      </c>
      <c r="Q73" s="76">
        <f>P73</f>
        <v>5</v>
      </c>
      <c r="R73" s="77">
        <f>VLOOKUP(Q73,STN_TABLE,2,FALSE)</f>
        <v>11</v>
      </c>
      <c r="S73" s="77">
        <v>8</v>
      </c>
      <c r="T73" s="76">
        <f>R73*S73</f>
        <v>88</v>
      </c>
      <c r="U73" s="80">
        <v>10</v>
      </c>
      <c r="V73" s="76">
        <f>R73*U73</f>
        <v>110</v>
      </c>
      <c r="W73" s="496" t="s">
        <v>97</v>
      </c>
      <c r="X73" s="496"/>
      <c r="Y73" s="496" t="s">
        <v>98</v>
      </c>
      <c r="Z73" s="496"/>
      <c r="AA73" s="494" t="s">
        <v>99</v>
      </c>
      <c r="AB73" s="494"/>
      <c r="AC73" s="99">
        <f>AC68+1</f>
        <v>9</v>
      </c>
      <c r="AD73" s="95">
        <f>VLOOKUP(AC73,STN_TABLE_2,2,FALSE)</f>
        <v>4.8499999999999996</v>
      </c>
      <c r="AE73" s="68">
        <f>VLOOKUP(AD73,STN_TABLE,2,FALSE)</f>
        <v>11</v>
      </c>
      <c r="AF73" s="68">
        <v>1</v>
      </c>
      <c r="AG73" s="69">
        <f>AE73*AF73</f>
        <v>11</v>
      </c>
      <c r="AH73" s="496" t="s">
        <v>97</v>
      </c>
      <c r="AI73" s="496"/>
      <c r="AJ73" s="496" t="s">
        <v>98</v>
      </c>
      <c r="AK73" s="496"/>
      <c r="AL73" s="494" t="s">
        <v>99</v>
      </c>
      <c r="AM73" s="494"/>
      <c r="AP73" s="86" t="s">
        <v>112</v>
      </c>
      <c r="AQ73" s="89" t="s">
        <v>113</v>
      </c>
      <c r="AR73" s="89" t="s">
        <v>114</v>
      </c>
      <c r="AS73" s="89" t="s">
        <v>115</v>
      </c>
      <c r="AU73" s="81"/>
    </row>
    <row r="74" spans="1:47" x14ac:dyDescent="0.25">
      <c r="A74" s="84">
        <f>A73+1</f>
        <v>9</v>
      </c>
      <c r="B74" s="84">
        <f t="shared" ref="B74:B105" si="27">VLOOKUP(A74,STN_TABLE_2,2,FALSE)</f>
        <v>4.8499999999999996</v>
      </c>
      <c r="C74" s="88">
        <f t="shared" ref="C74" si="28">B75</f>
        <v>5</v>
      </c>
      <c r="D74" s="82">
        <f>VLOOKUP(C74,STN_TABLE,2,FALSE)</f>
        <v>11</v>
      </c>
      <c r="E74" s="92">
        <v>1</v>
      </c>
      <c r="F74" s="82">
        <f>D74*E74</f>
        <v>11</v>
      </c>
      <c r="G74" s="83">
        <f>C74</f>
        <v>5</v>
      </c>
      <c r="H74" s="83">
        <f>F74*G74</f>
        <v>55</v>
      </c>
      <c r="I74" s="84" t="str">
        <f>CONCATENATE("a'(",C74,")=")</f>
        <v>a'(5)=</v>
      </c>
      <c r="J74" s="84">
        <f>2*J72/3*F75</f>
        <v>88</v>
      </c>
      <c r="K74" s="84" t="str">
        <f>CONCATENATE("A(",C72,")=")</f>
        <v>A(3)=</v>
      </c>
      <c r="L74" s="84">
        <f>VLOOKUP(C72,STN_TABLE,3,FALSE)</f>
        <v>130.57333333333332</v>
      </c>
      <c r="M74" t="str">
        <f>CONCATENATE("A(",C74,")=")</f>
        <v>A(5)=</v>
      </c>
      <c r="N74">
        <f>J74+L74</f>
        <v>218.57333333333332</v>
      </c>
      <c r="O74" s="99">
        <f>O73+1</f>
        <v>11</v>
      </c>
      <c r="P74" s="99">
        <f t="shared" si="23"/>
        <v>6</v>
      </c>
      <c r="Q74" s="82">
        <f>IF(P74-P73=P73-P72,P74,IF(P75-P73=P73-P72,P75,IF(P74-P73=P73-P71,P74,IF(P75-P73=P73-P71,P75,"-"))))</f>
        <v>6</v>
      </c>
      <c r="R74" s="83">
        <f>VLOOKUP(Q74,STN_TABLE,2,FALSE)</f>
        <v>11</v>
      </c>
      <c r="S74" s="83">
        <v>-1</v>
      </c>
      <c r="T74" s="82">
        <f>R74*S74</f>
        <v>-11</v>
      </c>
      <c r="U74" s="88">
        <v>-1</v>
      </c>
      <c r="V74" s="82">
        <f>R74*U74</f>
        <v>-11</v>
      </c>
      <c r="W74" s="84" t="str">
        <f>CONCATENATE("a'(",Q73,")=")</f>
        <v>a'(5)=</v>
      </c>
      <c r="X74" s="84">
        <f>2*X72/12*T75</f>
        <v>44</v>
      </c>
      <c r="Y74" s="84" t="str">
        <f>CONCATENATE("A(",Q72,")=")</f>
        <v>A(4)=</v>
      </c>
      <c r="Z74" s="84">
        <f>VLOOKUP(Q72,STN_TABLE,3,FALSE)</f>
        <v>174.57333333333332</v>
      </c>
      <c r="AA74" t="str">
        <f>CONCATENATE("A(",Q73,")=")</f>
        <v>A(5)=</v>
      </c>
      <c r="AB74">
        <f>X74+Z74</f>
        <v>218.57333333333332</v>
      </c>
      <c r="AC74" s="99">
        <f>AC73+1</f>
        <v>10</v>
      </c>
      <c r="AD74" s="100">
        <f>VLOOKUP(AC74,STN_TABLE_2,2,FALSE)</f>
        <v>5</v>
      </c>
      <c r="AE74" s="82">
        <f>VLOOKUP(AD74,STN_TABLE,2,FALSE)</f>
        <v>11</v>
      </c>
      <c r="AF74" s="82">
        <v>2</v>
      </c>
      <c r="AG74" s="83">
        <f>AE74*AF74</f>
        <v>22</v>
      </c>
      <c r="AH74" s="84" t="str">
        <f>CONCATENATE("a'(",AD74,")=")</f>
        <v>a'(5)=</v>
      </c>
      <c r="AI74" s="84">
        <f>2*AI72/2*AE75</f>
        <v>6.6000000000000156</v>
      </c>
      <c r="AJ74" s="84" t="str">
        <f>CONCATENATE("A(",AD73,")=")</f>
        <v>A(4.85)=</v>
      </c>
      <c r="AK74" s="84">
        <f>VLOOKUP(AD73,STN_TABLE,3,FALSE)</f>
        <v>211.9733333333333</v>
      </c>
      <c r="AL74" t="str">
        <f>CONCATENATE("A(",AD74,")=")</f>
        <v>A(5)=</v>
      </c>
      <c r="AM74">
        <f>AI74+AK74</f>
        <v>218.57333333333332</v>
      </c>
      <c r="AO74" s="68" t="str">
        <f>AA74</f>
        <v>A(5)=</v>
      </c>
      <c r="AP74" s="68" t="e">
        <f>VLOOKUP(AO74,Rise_Results,2,FALSE)</f>
        <v>#N/A</v>
      </c>
      <c r="AQ74" s="76">
        <f>N74</f>
        <v>218.57333333333332</v>
      </c>
      <c r="AR74" s="76">
        <f>IF(OR(AB74&lt;=0,AB75&lt;=0),1/0,AB74)</f>
        <v>218.57333333333332</v>
      </c>
      <c r="AS74" s="76">
        <f>AM74</f>
        <v>218.57333333333332</v>
      </c>
      <c r="AT74">
        <f>IFERROR(AP74,IFERROR(AQ74,IFERROR(AR74,AS74)))</f>
        <v>218.57333333333332</v>
      </c>
      <c r="AU74" s="81"/>
    </row>
    <row r="75" spans="1:47" x14ac:dyDescent="0.25">
      <c r="A75" s="84">
        <f>A74+1</f>
        <v>10</v>
      </c>
      <c r="B75" s="84">
        <f t="shared" si="27"/>
        <v>5</v>
      </c>
      <c r="F75" s="82">
        <f>SUM(F72:F74)</f>
        <v>66</v>
      </c>
      <c r="H75" s="82">
        <f>SUM(H72:H74)</f>
        <v>264</v>
      </c>
      <c r="I75" s="84" t="str">
        <f>CONCATENATE("m'(",C74,")=")</f>
        <v>m'(5)=</v>
      </c>
      <c r="J75" s="84">
        <f>2*(J72*(WLS))/3*H75</f>
        <v>704</v>
      </c>
      <c r="K75" s="84" t="str">
        <f>CONCATENATE("M(",C72,")=")</f>
        <v>M(3)=</v>
      </c>
      <c r="L75" s="84">
        <f>VLOOKUP(C72,STN_TABLE,4,FALSE)</f>
        <v>395.32666666666665</v>
      </c>
      <c r="M75" t="str">
        <f>CONCATENATE("M(",C74,")=")</f>
        <v>M(5)=</v>
      </c>
      <c r="N75">
        <f>J75+L75</f>
        <v>1099.3266666666666</v>
      </c>
      <c r="O75" s="99">
        <f>O74+1</f>
        <v>12</v>
      </c>
      <c r="P75" s="99">
        <f t="shared" si="23"/>
        <v>6.5</v>
      </c>
      <c r="T75" s="89">
        <f>SUM(T72:T74)</f>
        <v>132</v>
      </c>
      <c r="V75" s="82">
        <f>SUM(V72:V74)</f>
        <v>132</v>
      </c>
      <c r="W75" s="84" t="str">
        <f>CONCATENATE("m'(",Q73,")=")</f>
        <v>m'(5)=</v>
      </c>
      <c r="X75" s="84">
        <f>(2*(X72^2)/24*V75)+(X74*Q72*WLS)</f>
        <v>396</v>
      </c>
      <c r="Y75" s="84" t="str">
        <f>CONCATENATE("M(",Q72,")=")</f>
        <v>M(4)=</v>
      </c>
      <c r="Z75" s="84">
        <f>VLOOKUP(Q72,STN_TABLE,4,FALSE)</f>
        <v>703.3266666666666</v>
      </c>
      <c r="AA75" t="str">
        <f>CONCATENATE("M(",Q73,")=")</f>
        <v>M(5)=</v>
      </c>
      <c r="AB75">
        <f>X75+Z75</f>
        <v>1099.3266666666666</v>
      </c>
      <c r="AE75" s="89">
        <f>SUM(AE73:AE74)</f>
        <v>22</v>
      </c>
      <c r="AG75" s="89">
        <f>SUM(AG73:AG74)</f>
        <v>33</v>
      </c>
      <c r="AH75" s="84" t="str">
        <f>CONCATENATE("m'(",AD74,")=")</f>
        <v>m'(5)=</v>
      </c>
      <c r="AI75" s="84">
        <f>(2*(AI72^2)/6*AG75)+(AI74*AD73*WLS)</f>
        <v>65.010000000000161</v>
      </c>
      <c r="AJ75" s="84" t="str">
        <f>CONCATENATE("M(",AD73,")=")</f>
        <v>M(4.85)=</v>
      </c>
      <c r="AK75" s="84">
        <f>VLOOKUP(AD73,STN_TABLE,4,FALSE)</f>
        <v>1034.3166666666664</v>
      </c>
      <c r="AL75" t="str">
        <f>CONCATENATE("M(",AD74,")=")</f>
        <v>M(5)=</v>
      </c>
      <c r="AM75">
        <f>AI75+AK75</f>
        <v>1099.3266666666666</v>
      </c>
      <c r="AO75" s="82" t="str">
        <f>AA75</f>
        <v>M(5)=</v>
      </c>
      <c r="AP75" s="82" t="e">
        <f>VLOOKUP(AO75,Rise_Results,2,FALSE)</f>
        <v>#N/A</v>
      </c>
      <c r="AQ75" s="82">
        <f>N75</f>
        <v>1099.3266666666666</v>
      </c>
      <c r="AR75" s="82">
        <f>IF(OR(AB74&lt;=0,AB75&lt;=0),1/0,AB75)</f>
        <v>1099.3266666666666</v>
      </c>
      <c r="AS75" s="82">
        <f>AM75</f>
        <v>1099.3266666666666</v>
      </c>
      <c r="AT75">
        <f>IFERROR(AP75,IFERROR(AQ75,IFERROR(AR75,AS75)))</f>
        <v>1099.3266666666666</v>
      </c>
      <c r="AU75" s="81"/>
    </row>
    <row r="76" spans="1:47" x14ac:dyDescent="0.25">
      <c r="A76" s="101">
        <f>A71+1</f>
        <v>7</v>
      </c>
      <c r="B76" s="101">
        <f t="shared" si="27"/>
        <v>3</v>
      </c>
      <c r="O76" s="101">
        <f>O71+1</f>
        <v>9</v>
      </c>
      <c r="P76" s="101">
        <f t="shared" si="23"/>
        <v>4.8499999999999996</v>
      </c>
      <c r="AU76" s="81"/>
    </row>
    <row r="77" spans="1:47" x14ac:dyDescent="0.25">
      <c r="A77" s="84">
        <f>A76+1</f>
        <v>8</v>
      </c>
      <c r="B77" s="84">
        <f t="shared" si="27"/>
        <v>4</v>
      </c>
      <c r="C77" s="79">
        <f t="shared" ref="C77" si="29">IF(C78=B79,IF(C79-C78=C78-B78,B78,IF(C79-C78=C78-B77,B77,"#NA")),IF(C78=B78,IF(C79-C78=C78-B77,B77,IF(C79-C78=C78-B76,B76,"#NA")),"#NA"))</f>
        <v>4</v>
      </c>
      <c r="D77" s="68">
        <f>VLOOKUP(C77,STN_TABLE,2,FALSE)</f>
        <v>11</v>
      </c>
      <c r="E77" s="102">
        <v>1</v>
      </c>
      <c r="F77" s="68">
        <f>D77*E77</f>
        <v>11</v>
      </c>
      <c r="G77" s="69">
        <f>C77</f>
        <v>4</v>
      </c>
      <c r="H77" s="69">
        <f>F77*G77</f>
        <v>44</v>
      </c>
      <c r="I77" s="6" t="s">
        <v>93</v>
      </c>
      <c r="J77" s="70">
        <f>IF(OR(D77=0,D78=0,D79=0),"#NA",IF(AND(C79-C78=C78-C77,C78&lt;&gt;C79,C77&lt;&gt;C78,C77&lt;&gt;C79,D79&lt;&gt;0,OR(D77&lt;&gt;0,D78&lt;&gt;0)),WLS*(C79-C78),"#NA"))</f>
        <v>2</v>
      </c>
      <c r="O77" s="99">
        <f>O76+1</f>
        <v>10</v>
      </c>
      <c r="P77" s="99">
        <f t="shared" si="23"/>
        <v>5</v>
      </c>
      <c r="Q77" s="68" t="e">
        <f>IF(OR(P79-P78=P78-P77,P80-P78=P78-P77),P77,IF(OR(P79-P78=P78-P76,P80-P78=P78-P76),P76,"-"))</f>
        <v>#VALUE!</v>
      </c>
      <c r="R77" s="69" t="e">
        <f>VLOOKUP(Q77,STN_TABLE,2,FALSE)</f>
        <v>#VALUE!</v>
      </c>
      <c r="S77" s="69">
        <v>5</v>
      </c>
      <c r="T77" s="68" t="e">
        <f>R77*S77</f>
        <v>#VALUE!</v>
      </c>
      <c r="U77" s="79">
        <v>3</v>
      </c>
      <c r="V77" s="68" t="e">
        <f>R77*U77</f>
        <v>#VALUE!</v>
      </c>
      <c r="W77" s="6" t="s">
        <v>93</v>
      </c>
      <c r="X77" s="70" t="e">
        <f>IF(AND(Q79-Q78=Q78-Q77,NOT(AND(Q77=0,Q78=0)),NOT(AND(Q78=0,Q79=0))),WLS*(Q79-Q78),"#NA")</f>
        <v>#VALUE!</v>
      </c>
      <c r="AD77" s="93"/>
      <c r="AH77" s="6" t="s">
        <v>93</v>
      </c>
      <c r="AI77" s="70">
        <f>WLS*(AD79-AD78)</f>
        <v>2</v>
      </c>
      <c r="AU77" s="81"/>
    </row>
    <row r="78" spans="1:47" x14ac:dyDescent="0.25">
      <c r="A78" s="84">
        <f>A77+1</f>
        <v>9</v>
      </c>
      <c r="B78" s="84">
        <f t="shared" si="27"/>
        <v>4.8499999999999996</v>
      </c>
      <c r="C78" s="80">
        <f t="shared" ref="C78" si="30">IF(OR(B80-B79=B79-B78,B80-B79=B79-B77,B80-B79=B79-B76),B79,IF(OR(B80-B78=B78-B77,B80-B78=B78-B76),B78,IF(B80-B77=B77-B76,B77,"#NA")))</f>
        <v>5</v>
      </c>
      <c r="D78" s="76">
        <f>VLOOKUP(C78,STN_TABLE,2,FALSE)</f>
        <v>11</v>
      </c>
      <c r="E78" s="81">
        <v>4</v>
      </c>
      <c r="F78" s="76">
        <f>D78*E78</f>
        <v>44</v>
      </c>
      <c r="G78" s="77">
        <f>C78</f>
        <v>5</v>
      </c>
      <c r="H78" s="77">
        <f>F78*G78</f>
        <v>220</v>
      </c>
      <c r="I78" s="495" t="s">
        <v>97</v>
      </c>
      <c r="J78" s="496"/>
      <c r="K78" s="78" t="s">
        <v>98</v>
      </c>
      <c r="L78" s="78"/>
      <c r="M78" s="7" t="s">
        <v>99</v>
      </c>
      <c r="N78" s="7"/>
      <c r="O78" s="99">
        <f>O77+1</f>
        <v>11</v>
      </c>
      <c r="P78" s="99">
        <f t="shared" si="23"/>
        <v>6</v>
      </c>
      <c r="Q78" s="76">
        <f>P78</f>
        <v>6</v>
      </c>
      <c r="R78" s="77">
        <f>VLOOKUP(Q78,STN_TABLE,2,FALSE)</f>
        <v>11</v>
      </c>
      <c r="S78" s="77">
        <v>8</v>
      </c>
      <c r="T78" s="76">
        <f>R78*S78</f>
        <v>88</v>
      </c>
      <c r="U78" s="80">
        <v>10</v>
      </c>
      <c r="V78" s="76">
        <f>R78*U78</f>
        <v>110</v>
      </c>
      <c r="W78" s="496" t="s">
        <v>97</v>
      </c>
      <c r="X78" s="496"/>
      <c r="Y78" s="496" t="s">
        <v>98</v>
      </c>
      <c r="Z78" s="496"/>
      <c r="AA78" s="494" t="s">
        <v>99</v>
      </c>
      <c r="AB78" s="494"/>
      <c r="AC78" s="99">
        <f>AC73+1</f>
        <v>10</v>
      </c>
      <c r="AD78" s="95">
        <f>VLOOKUP(AC78,STN_TABLE_2,2,FALSE)</f>
        <v>5</v>
      </c>
      <c r="AE78" s="68">
        <f>VLOOKUP(AD78,STN_TABLE,2,FALSE)</f>
        <v>11</v>
      </c>
      <c r="AF78" s="68">
        <v>1</v>
      </c>
      <c r="AG78" s="69">
        <f>AE78*AF78</f>
        <v>11</v>
      </c>
      <c r="AH78" s="496" t="s">
        <v>97</v>
      </c>
      <c r="AI78" s="496"/>
      <c r="AJ78" s="496" t="s">
        <v>98</v>
      </c>
      <c r="AK78" s="496"/>
      <c r="AL78" s="494" t="s">
        <v>99</v>
      </c>
      <c r="AM78" s="494"/>
      <c r="AP78" s="86" t="s">
        <v>112</v>
      </c>
      <c r="AQ78" s="89" t="s">
        <v>113</v>
      </c>
      <c r="AR78" s="89" t="s">
        <v>114</v>
      </c>
      <c r="AS78" s="89" t="s">
        <v>115</v>
      </c>
      <c r="AU78" s="81"/>
    </row>
    <row r="79" spans="1:47" x14ac:dyDescent="0.25">
      <c r="A79" s="84">
        <f>A78+1</f>
        <v>10</v>
      </c>
      <c r="B79" s="84">
        <f t="shared" si="27"/>
        <v>5</v>
      </c>
      <c r="C79" s="88">
        <f t="shared" ref="C79" si="31">B80</f>
        <v>6</v>
      </c>
      <c r="D79" s="82">
        <f>VLOOKUP(C79,STN_TABLE,2,FALSE)</f>
        <v>11</v>
      </c>
      <c r="E79" s="92">
        <v>1</v>
      </c>
      <c r="F79" s="82">
        <f>D79*E79</f>
        <v>11</v>
      </c>
      <c r="G79" s="83">
        <f>C79</f>
        <v>6</v>
      </c>
      <c r="H79" s="83">
        <f>F79*G79</f>
        <v>66</v>
      </c>
      <c r="I79" s="84" t="str">
        <f>CONCATENATE("a'(",C79,")=")</f>
        <v>a'(6)=</v>
      </c>
      <c r="J79" s="84">
        <f>2*J77/3*F80</f>
        <v>88</v>
      </c>
      <c r="K79" s="84" t="str">
        <f>CONCATENATE("A(",C77,")=")</f>
        <v>A(4)=</v>
      </c>
      <c r="L79" s="84">
        <f>VLOOKUP(C77,STN_TABLE,3,FALSE)</f>
        <v>174.57333333333332</v>
      </c>
      <c r="M79" t="str">
        <f>CONCATENATE("A(",C79,")=")</f>
        <v>A(6)=</v>
      </c>
      <c r="N79">
        <f>J79+L79</f>
        <v>262.57333333333332</v>
      </c>
      <c r="O79" s="99">
        <f>O78+1</f>
        <v>12</v>
      </c>
      <c r="P79" s="99">
        <f t="shared" si="23"/>
        <v>6.5</v>
      </c>
      <c r="Q79" s="82" t="e">
        <f>IF(P79-P78=P78-P77,P79,IF(P80-P78=P78-P77,P80,IF(P79-P78=P78-P76,P79,IF(P80-P78=P78-P76,P80,"-"))))</f>
        <v>#VALUE!</v>
      </c>
      <c r="R79" s="83" t="e">
        <f>VLOOKUP(Q79,STN_TABLE,2,FALSE)</f>
        <v>#VALUE!</v>
      </c>
      <c r="S79" s="83">
        <v>-1</v>
      </c>
      <c r="T79" s="82" t="e">
        <f>R79*S79</f>
        <v>#VALUE!</v>
      </c>
      <c r="U79" s="88">
        <v>-1</v>
      </c>
      <c r="V79" s="82" t="e">
        <f>R79*U79</f>
        <v>#VALUE!</v>
      </c>
      <c r="W79" s="84" t="str">
        <f>CONCATENATE("a'(",Q78,")=")</f>
        <v>a'(6)=</v>
      </c>
      <c r="X79" s="84" t="e">
        <f>2*X77/12*T80</f>
        <v>#VALUE!</v>
      </c>
      <c r="Y79" s="84" t="e">
        <f>CONCATENATE("A(",Q77,")=")</f>
        <v>#VALUE!</v>
      </c>
      <c r="Z79" s="84" t="e">
        <f>VLOOKUP(Q77,STN_TABLE,3,FALSE)</f>
        <v>#VALUE!</v>
      </c>
      <c r="AA79" t="str">
        <f>CONCATENATE("A(",Q78,")=")</f>
        <v>A(6)=</v>
      </c>
      <c r="AB79" t="e">
        <f>X79+Z79</f>
        <v>#VALUE!</v>
      </c>
      <c r="AC79" s="99">
        <f>AC78+1</f>
        <v>11</v>
      </c>
      <c r="AD79" s="100">
        <f>VLOOKUP(AC79,STN_TABLE_2,2,FALSE)</f>
        <v>6</v>
      </c>
      <c r="AE79" s="82">
        <f>VLOOKUP(AD79,STN_TABLE,2,FALSE)</f>
        <v>11</v>
      </c>
      <c r="AF79" s="82">
        <v>2</v>
      </c>
      <c r="AG79" s="83">
        <f>AE79*AF79</f>
        <v>22</v>
      </c>
      <c r="AH79" s="84" t="str">
        <f>CONCATENATE("a'(",AD79,")=")</f>
        <v>a'(6)=</v>
      </c>
      <c r="AI79" s="84">
        <f>2*AI77/2*AE80</f>
        <v>44</v>
      </c>
      <c r="AJ79" s="84" t="str">
        <f>CONCATENATE("A(",AD78,")=")</f>
        <v>A(5)=</v>
      </c>
      <c r="AK79" s="84">
        <f>VLOOKUP(AD78,STN_TABLE,3,FALSE)</f>
        <v>218.57333333333332</v>
      </c>
      <c r="AL79" t="str">
        <f>CONCATENATE("A(",AD79,")=")</f>
        <v>A(6)=</v>
      </c>
      <c r="AM79">
        <f>AI79+AK79</f>
        <v>262.57333333333332</v>
      </c>
      <c r="AO79" s="68" t="str">
        <f>AA79</f>
        <v>A(6)=</v>
      </c>
      <c r="AP79" s="68" t="e">
        <f>VLOOKUP(AO79,Rise_Results,2,FALSE)</f>
        <v>#N/A</v>
      </c>
      <c r="AQ79" s="76">
        <f>N79</f>
        <v>262.57333333333332</v>
      </c>
      <c r="AR79" s="76" t="e">
        <f>IF(OR(AB79&lt;=0,AB80&lt;=0),1/0,AB79)</f>
        <v>#VALUE!</v>
      </c>
      <c r="AS79" s="76">
        <f>AM79</f>
        <v>262.57333333333332</v>
      </c>
      <c r="AT79">
        <f>IFERROR(AP79,IFERROR(AQ79,IFERROR(AR79,AS79)))</f>
        <v>262.57333333333332</v>
      </c>
      <c r="AU79" s="81"/>
    </row>
    <row r="80" spans="1:47" x14ac:dyDescent="0.25">
      <c r="A80" s="84">
        <f>A79+1</f>
        <v>11</v>
      </c>
      <c r="B80" s="84">
        <f t="shared" si="27"/>
        <v>6</v>
      </c>
      <c r="F80" s="82">
        <f>SUM(F77:F79)</f>
        <v>66</v>
      </c>
      <c r="H80" s="82">
        <f>SUM(H77:H79)</f>
        <v>330</v>
      </c>
      <c r="I80" s="84" t="str">
        <f>CONCATENATE("m'(",C79,")=")</f>
        <v>m'(6)=</v>
      </c>
      <c r="J80" s="84">
        <f>2*(J77*(WLS))/3*H80</f>
        <v>880</v>
      </c>
      <c r="K80" s="84" t="str">
        <f>CONCATENATE("M(",C77,")=")</f>
        <v>M(4)=</v>
      </c>
      <c r="L80" s="84">
        <f>VLOOKUP(C77,STN_TABLE,4,FALSE)</f>
        <v>703.3266666666666</v>
      </c>
      <c r="M80" t="str">
        <f>CONCATENATE("M(",C79,")=")</f>
        <v>M(6)=</v>
      </c>
      <c r="N80">
        <f>J80+L80</f>
        <v>1583.3266666666666</v>
      </c>
      <c r="O80" s="99">
        <f>O79+1</f>
        <v>13</v>
      </c>
      <c r="P80" s="99" t="str">
        <f t="shared" si="23"/>
        <v xml:space="preserve">  </v>
      </c>
      <c r="T80" s="89" t="e">
        <f>SUM(T77:T79)</f>
        <v>#VALUE!</v>
      </c>
      <c r="V80" s="82" t="e">
        <f>SUM(V77:V79)</f>
        <v>#VALUE!</v>
      </c>
      <c r="W80" s="84" t="str">
        <f>CONCATENATE("m'(",Q78,")=")</f>
        <v>m'(6)=</v>
      </c>
      <c r="X80" s="84" t="e">
        <f>(2*(X77^2)/24*V80)+(X79*Q77*WLS)</f>
        <v>#VALUE!</v>
      </c>
      <c r="Y80" s="84" t="e">
        <f>CONCATENATE("M(",Q77,")=")</f>
        <v>#VALUE!</v>
      </c>
      <c r="Z80" s="84" t="e">
        <f>VLOOKUP(Q77,STN_TABLE,4,FALSE)</f>
        <v>#VALUE!</v>
      </c>
      <c r="AA80" t="str">
        <f>CONCATENATE("M(",Q78,")=")</f>
        <v>M(6)=</v>
      </c>
      <c r="AB80" t="e">
        <f>X80+Z80</f>
        <v>#VALUE!</v>
      </c>
      <c r="AE80" s="89">
        <f>SUM(AE78:AE79)</f>
        <v>22</v>
      </c>
      <c r="AG80" s="89">
        <f>SUM(AG78:AG79)</f>
        <v>33</v>
      </c>
      <c r="AH80" s="84" t="str">
        <f>CONCATENATE("m'(",AD79,")=")</f>
        <v>m'(6)=</v>
      </c>
      <c r="AI80" s="84">
        <f>(2*(AI77^2)/6*AG80)+(AI79*AD78*WLS)</f>
        <v>484</v>
      </c>
      <c r="AJ80" s="84" t="str">
        <f>CONCATENATE("M(",AD78,")=")</f>
        <v>M(5)=</v>
      </c>
      <c r="AK80" s="84">
        <f>VLOOKUP(AD78,STN_TABLE,4,FALSE)</f>
        <v>1099.3266666666666</v>
      </c>
      <c r="AL80" t="str">
        <f>CONCATENATE("M(",AD79,")=")</f>
        <v>M(6)=</v>
      </c>
      <c r="AM80">
        <f>AI80+AK80</f>
        <v>1583.3266666666666</v>
      </c>
      <c r="AO80" s="82" t="str">
        <f>AA80</f>
        <v>M(6)=</v>
      </c>
      <c r="AP80" s="82" t="e">
        <f>VLOOKUP(AO80,Rise_Results,2,FALSE)</f>
        <v>#N/A</v>
      </c>
      <c r="AQ80" s="82">
        <f>N80</f>
        <v>1583.3266666666666</v>
      </c>
      <c r="AR80" s="82" t="e">
        <f>IF(OR(AB79&lt;=0,AB80&lt;=0),1/0,AB80)</f>
        <v>#VALUE!</v>
      </c>
      <c r="AS80" s="82">
        <f>AM80</f>
        <v>1583.3266666666666</v>
      </c>
      <c r="AT80">
        <f>IFERROR(AP80,IFERROR(AQ80,IFERROR(AR80,AS80)))</f>
        <v>1583.3266666666666</v>
      </c>
      <c r="AU80" s="81"/>
    </row>
    <row r="81" spans="1:47" x14ac:dyDescent="0.25">
      <c r="A81" s="101">
        <f>A76+1</f>
        <v>8</v>
      </c>
      <c r="B81" s="101">
        <f t="shared" si="27"/>
        <v>4</v>
      </c>
      <c r="O81" s="101">
        <f>O76+1</f>
        <v>10</v>
      </c>
      <c r="P81" s="101">
        <f t="shared" si="23"/>
        <v>5</v>
      </c>
      <c r="AU81" s="81"/>
    </row>
    <row r="82" spans="1:47" x14ac:dyDescent="0.25">
      <c r="A82" s="84">
        <f>A81+1</f>
        <v>9</v>
      </c>
      <c r="B82" s="84">
        <f t="shared" si="27"/>
        <v>4.8499999999999996</v>
      </c>
      <c r="C82" s="79" t="str">
        <f t="shared" ref="C82" si="32">IF(C83=B84,IF(C84-C83=C83-B83,B83,IF(C84-C83=C83-B82,B82,"#NA")),IF(C83=B83,IF(C84-C83=C83-B82,B82,IF(C84-C83=C83-B81,B81,"#NA")),"#NA"))</f>
        <v>#NA</v>
      </c>
      <c r="D82" s="68" t="e">
        <f>VLOOKUP(C82,STN_TABLE,2,FALSE)</f>
        <v>#N/A</v>
      </c>
      <c r="E82" s="102">
        <v>1</v>
      </c>
      <c r="F82" s="68" t="e">
        <f>D82*E82</f>
        <v>#N/A</v>
      </c>
      <c r="G82" s="69" t="str">
        <f>C82</f>
        <v>#NA</v>
      </c>
      <c r="H82" s="69" t="e">
        <f>F82*G82</f>
        <v>#N/A</v>
      </c>
      <c r="I82" s="6" t="s">
        <v>93</v>
      </c>
      <c r="J82" s="70" t="e">
        <f>IF(OR(D82=0,D83=0,D84=0),"#NA",IF(AND(C84-C83=C83-C82,C83&lt;&gt;C84,C82&lt;&gt;C83,C82&lt;&gt;C84,D84&lt;&gt;0,OR(D82&lt;&gt;0,D83&lt;&gt;0)),WLS*(C84-C83),"#NA"))</f>
        <v>#N/A</v>
      </c>
      <c r="O82" s="99">
        <f>O81+1</f>
        <v>11</v>
      </c>
      <c r="P82" s="99">
        <f t="shared" si="23"/>
        <v>6</v>
      </c>
      <c r="Q82" s="68" t="e">
        <f>IF(OR(P84-P83=P83-P82,P85-P83=P83-P82),P82,IF(OR(P84-P83=P83-P81,P85-P83=P83-P81),P81,"-"))</f>
        <v>#VALUE!</v>
      </c>
      <c r="R82" s="69" t="e">
        <f>VLOOKUP(Q82,STN_TABLE,2,FALSE)</f>
        <v>#VALUE!</v>
      </c>
      <c r="S82" s="69">
        <v>5</v>
      </c>
      <c r="T82" s="68" t="e">
        <f>R82*S82</f>
        <v>#VALUE!</v>
      </c>
      <c r="U82" s="79">
        <v>3</v>
      </c>
      <c r="V82" s="68" t="e">
        <f>R82*U82</f>
        <v>#VALUE!</v>
      </c>
      <c r="W82" s="6" t="s">
        <v>93</v>
      </c>
      <c r="X82" s="70" t="e">
        <f>IF(AND(Q84-Q83=Q83-Q82,NOT(AND(Q82=0,Q83=0)),NOT(AND(Q83=0,Q84=0))),WLS*(Q84-Q83),"#NA")</f>
        <v>#VALUE!</v>
      </c>
      <c r="AD82" s="93"/>
      <c r="AH82" s="6" t="s">
        <v>93</v>
      </c>
      <c r="AI82" s="70">
        <f>WLS*(AD84-AD83)</f>
        <v>1</v>
      </c>
      <c r="AU82" s="81"/>
    </row>
    <row r="83" spans="1:47" x14ac:dyDescent="0.25">
      <c r="A83" s="84">
        <f>A82+1</f>
        <v>10</v>
      </c>
      <c r="B83" s="84">
        <f t="shared" si="27"/>
        <v>5</v>
      </c>
      <c r="C83" s="80" t="str">
        <f t="shared" ref="C83" si="33">IF(OR(B85-B84=B84-B83,B85-B84=B84-B82,B85-B84=B84-B81),B84,IF(OR(B85-B83=B83-B82,B85-B83=B83-B81),B83,IF(B85-B82=B82-B81,B82,"#NA")))</f>
        <v>#NA</v>
      </c>
      <c r="D83" s="76" t="e">
        <f>VLOOKUP(C83,STN_TABLE,2,FALSE)</f>
        <v>#N/A</v>
      </c>
      <c r="E83" s="81">
        <v>4</v>
      </c>
      <c r="F83" s="76" t="e">
        <f>D83*E83</f>
        <v>#N/A</v>
      </c>
      <c r="G83" s="77" t="str">
        <f>C83</f>
        <v>#NA</v>
      </c>
      <c r="H83" s="77" t="e">
        <f>F83*G83</f>
        <v>#N/A</v>
      </c>
      <c r="I83" s="495" t="s">
        <v>97</v>
      </c>
      <c r="J83" s="496"/>
      <c r="K83" s="78" t="s">
        <v>98</v>
      </c>
      <c r="L83" s="78"/>
      <c r="M83" s="7" t="s">
        <v>99</v>
      </c>
      <c r="N83" s="7"/>
      <c r="O83" s="99">
        <f>O82+1</f>
        <v>12</v>
      </c>
      <c r="P83" s="99">
        <f t="shared" si="23"/>
        <v>6.5</v>
      </c>
      <c r="Q83" s="76">
        <f>P83</f>
        <v>6.5</v>
      </c>
      <c r="R83" s="77">
        <f>VLOOKUP(Q83,STN_TABLE,2,FALSE)</f>
        <v>11</v>
      </c>
      <c r="S83" s="77">
        <v>8</v>
      </c>
      <c r="T83" s="76">
        <f>R83*S83</f>
        <v>88</v>
      </c>
      <c r="U83" s="80">
        <v>10</v>
      </c>
      <c r="V83" s="76">
        <f>R83*U83</f>
        <v>110</v>
      </c>
      <c r="W83" s="496" t="s">
        <v>97</v>
      </c>
      <c r="X83" s="496"/>
      <c r="Y83" s="496" t="s">
        <v>98</v>
      </c>
      <c r="Z83" s="496"/>
      <c r="AA83" s="494" t="s">
        <v>99</v>
      </c>
      <c r="AB83" s="494"/>
      <c r="AC83" s="99">
        <f>AC78+1</f>
        <v>11</v>
      </c>
      <c r="AD83" s="95">
        <f>VLOOKUP(AC83,STN_TABLE_2,2,FALSE)</f>
        <v>6</v>
      </c>
      <c r="AE83" s="68">
        <f>VLOOKUP(AD83,STN_TABLE,2,FALSE)</f>
        <v>11</v>
      </c>
      <c r="AF83" s="68">
        <v>1</v>
      </c>
      <c r="AG83" s="69">
        <f>AE83*AF83</f>
        <v>11</v>
      </c>
      <c r="AH83" s="496" t="s">
        <v>97</v>
      </c>
      <c r="AI83" s="496"/>
      <c r="AJ83" s="496" t="s">
        <v>98</v>
      </c>
      <c r="AK83" s="496"/>
      <c r="AL83" s="494" t="s">
        <v>99</v>
      </c>
      <c r="AM83" s="494"/>
      <c r="AP83" s="86" t="s">
        <v>112</v>
      </c>
      <c r="AQ83" s="89" t="s">
        <v>113</v>
      </c>
      <c r="AR83" s="89" t="s">
        <v>114</v>
      </c>
      <c r="AS83" s="89" t="s">
        <v>115</v>
      </c>
      <c r="AU83" s="81"/>
    </row>
    <row r="84" spans="1:47" x14ac:dyDescent="0.25">
      <c r="A84" s="84">
        <f>A83+1</f>
        <v>11</v>
      </c>
      <c r="B84" s="84">
        <f t="shared" si="27"/>
        <v>6</v>
      </c>
      <c r="C84" s="88">
        <f t="shared" ref="C84" si="34">B85</f>
        <v>6.5</v>
      </c>
      <c r="D84" s="82">
        <f>VLOOKUP(C84,STN_TABLE,2,FALSE)</f>
        <v>11</v>
      </c>
      <c r="E84" s="92">
        <v>1</v>
      </c>
      <c r="F84" s="82">
        <f>D84*E84</f>
        <v>11</v>
      </c>
      <c r="G84" s="83">
        <f>C84</f>
        <v>6.5</v>
      </c>
      <c r="H84" s="83">
        <f>F84*G84</f>
        <v>71.5</v>
      </c>
      <c r="I84" s="84" t="str">
        <f>CONCATENATE("a'(",C84,")=")</f>
        <v>a'(6.5)=</v>
      </c>
      <c r="J84" s="84" t="e">
        <f>2*J82/3*F85</f>
        <v>#N/A</v>
      </c>
      <c r="K84" s="84" t="str">
        <f>CONCATENATE("A(",C82,")=")</f>
        <v>A(#NA)=</v>
      </c>
      <c r="L84" s="84" t="e">
        <f>VLOOKUP(C82,STN_TABLE,3,FALSE)</f>
        <v>#N/A</v>
      </c>
      <c r="M84" t="str">
        <f>CONCATENATE("A(",C84,")=")</f>
        <v>A(6.5)=</v>
      </c>
      <c r="N84" t="e">
        <f>J84+L84</f>
        <v>#N/A</v>
      </c>
      <c r="O84" s="99">
        <f>O83+1</f>
        <v>13</v>
      </c>
      <c r="P84" s="99" t="str">
        <f t="shared" si="23"/>
        <v xml:space="preserve">  </v>
      </c>
      <c r="Q84" s="82" t="e">
        <f>IF(P84-P83=P83-P82,P84,IF(P85-P83=P83-P82,P85,IF(P84-P83=P83-P81,P84,IF(P85-P83=P83-P81,P85,"-"))))</f>
        <v>#VALUE!</v>
      </c>
      <c r="R84" s="83" t="e">
        <f>VLOOKUP(Q84,STN_TABLE,2,FALSE)</f>
        <v>#VALUE!</v>
      </c>
      <c r="S84" s="83">
        <v>-1</v>
      </c>
      <c r="T84" s="82" t="e">
        <f>R84*S84</f>
        <v>#VALUE!</v>
      </c>
      <c r="U84" s="88">
        <v>-1</v>
      </c>
      <c r="V84" s="82" t="e">
        <f>R84*U84</f>
        <v>#VALUE!</v>
      </c>
      <c r="W84" s="84" t="str">
        <f>CONCATENATE("a'(",Q83,")=")</f>
        <v>a'(6.5)=</v>
      </c>
      <c r="X84" s="84" t="e">
        <f>2*X82/12*T85</f>
        <v>#VALUE!</v>
      </c>
      <c r="Y84" s="84" t="e">
        <f>CONCATENATE("A(",Q82,")=")</f>
        <v>#VALUE!</v>
      </c>
      <c r="Z84" s="84" t="e">
        <f>VLOOKUP(Q82,STN_TABLE,3,FALSE)</f>
        <v>#VALUE!</v>
      </c>
      <c r="AA84" t="str">
        <f>CONCATENATE("A(",Q83,")=")</f>
        <v>A(6.5)=</v>
      </c>
      <c r="AB84" t="e">
        <f>X84+Z84</f>
        <v>#VALUE!</v>
      </c>
      <c r="AC84" s="99">
        <f>AC83+1</f>
        <v>12</v>
      </c>
      <c r="AD84" s="100">
        <f>VLOOKUP(AC84,STN_TABLE_2,2,FALSE)</f>
        <v>6.5</v>
      </c>
      <c r="AE84" s="82">
        <f>VLOOKUP(AD84,STN_TABLE,2,FALSE)</f>
        <v>11</v>
      </c>
      <c r="AF84" s="82">
        <v>2</v>
      </c>
      <c r="AG84" s="83">
        <f>AE84*AF84</f>
        <v>22</v>
      </c>
      <c r="AH84" s="84" t="str">
        <f>CONCATENATE("a'(",AD84,")=")</f>
        <v>a'(6.5)=</v>
      </c>
      <c r="AI84" s="84">
        <f>2*AI82/2*AE85</f>
        <v>22</v>
      </c>
      <c r="AJ84" s="84" t="str">
        <f>CONCATENATE("A(",AD83,")=")</f>
        <v>A(6)=</v>
      </c>
      <c r="AK84" s="84">
        <f>VLOOKUP(AD83,STN_TABLE,3,FALSE)</f>
        <v>262.57333333333332</v>
      </c>
      <c r="AL84" t="str">
        <f>CONCATENATE("A(",AD84,")=")</f>
        <v>A(6.5)=</v>
      </c>
      <c r="AM84">
        <f>AI84+AK84</f>
        <v>284.57333333333332</v>
      </c>
      <c r="AO84" s="68" t="str">
        <f>AA84</f>
        <v>A(6.5)=</v>
      </c>
      <c r="AP84" s="68" t="e">
        <f>VLOOKUP(AO84,Rise_Results,2,FALSE)</f>
        <v>#N/A</v>
      </c>
      <c r="AQ84" s="76" t="e">
        <f>N84</f>
        <v>#N/A</v>
      </c>
      <c r="AR84" s="76" t="e">
        <f>IF(OR(AB84&lt;=0,AB85&lt;=0),1/0,AB84)</f>
        <v>#VALUE!</v>
      </c>
      <c r="AS84" s="76">
        <f>AM84</f>
        <v>284.57333333333332</v>
      </c>
      <c r="AT84">
        <f>IFERROR(AP84,IFERROR(AQ84,IFERROR(AR84,AS84)))</f>
        <v>284.57333333333332</v>
      </c>
      <c r="AU84" s="81"/>
    </row>
    <row r="85" spans="1:47" x14ac:dyDescent="0.25">
      <c r="A85" s="84">
        <f>A84+1</f>
        <v>12</v>
      </c>
      <c r="B85" s="84">
        <f t="shared" si="27"/>
        <v>6.5</v>
      </c>
      <c r="F85" s="82" t="e">
        <f>SUM(F82:F84)</f>
        <v>#N/A</v>
      </c>
      <c r="H85" s="82" t="e">
        <f>SUM(H82:H84)</f>
        <v>#N/A</v>
      </c>
      <c r="I85" s="84" t="str">
        <f>CONCATENATE("m'(",C84,")=")</f>
        <v>m'(6.5)=</v>
      </c>
      <c r="J85" s="84" t="e">
        <f>2*(J82*(WLS))/3*H85</f>
        <v>#N/A</v>
      </c>
      <c r="K85" s="84" t="str">
        <f>CONCATENATE("M(",C82,")=")</f>
        <v>M(#NA)=</v>
      </c>
      <c r="L85" s="84" t="e">
        <f>VLOOKUP(C82,STN_TABLE,4,FALSE)</f>
        <v>#N/A</v>
      </c>
      <c r="M85" t="str">
        <f>CONCATENATE("M(",C84,")=")</f>
        <v>M(6.5)=</v>
      </c>
      <c r="N85" t="e">
        <f>J85+L85</f>
        <v>#N/A</v>
      </c>
      <c r="O85" s="99">
        <f>O84+1</f>
        <v>14</v>
      </c>
      <c r="P85" s="99" t="str">
        <f t="shared" si="23"/>
        <v xml:space="preserve">  </v>
      </c>
      <c r="T85" s="89" t="e">
        <f>SUM(T82:T84)</f>
        <v>#VALUE!</v>
      </c>
      <c r="V85" s="82" t="e">
        <f>SUM(V82:V84)</f>
        <v>#VALUE!</v>
      </c>
      <c r="W85" s="84" t="str">
        <f>CONCATENATE("m'(",Q83,")=")</f>
        <v>m'(6.5)=</v>
      </c>
      <c r="X85" s="84" t="e">
        <f>(2*(X82^2)/24*V85)+(X84*Q82*WLS)</f>
        <v>#VALUE!</v>
      </c>
      <c r="Y85" s="84" t="e">
        <f>CONCATENATE("M(",Q82,")=")</f>
        <v>#VALUE!</v>
      </c>
      <c r="Z85" s="84" t="e">
        <f>VLOOKUP(Q82,STN_TABLE,4,FALSE)</f>
        <v>#VALUE!</v>
      </c>
      <c r="AA85" t="str">
        <f>CONCATENATE("M(",Q83,")=")</f>
        <v>M(6.5)=</v>
      </c>
      <c r="AB85" t="e">
        <f>X85+Z85</f>
        <v>#VALUE!</v>
      </c>
      <c r="AE85" s="89">
        <f>SUM(AE83:AE84)</f>
        <v>22</v>
      </c>
      <c r="AG85" s="89">
        <f>SUM(AG83:AG84)</f>
        <v>33</v>
      </c>
      <c r="AH85" s="84" t="str">
        <f>CONCATENATE("m'(",AD84,")=")</f>
        <v>m'(6.5)=</v>
      </c>
      <c r="AI85" s="84">
        <f>(2*(AI82^2)/6*AG85)+(AI84*AD83*WLS)</f>
        <v>275</v>
      </c>
      <c r="AJ85" s="84" t="str">
        <f>CONCATENATE("M(",AD83,")=")</f>
        <v>M(6)=</v>
      </c>
      <c r="AK85" s="84">
        <f>VLOOKUP(AD83,STN_TABLE,4,FALSE)</f>
        <v>1583.3266666666666</v>
      </c>
      <c r="AL85" t="str">
        <f>CONCATENATE("M(",AD84,")=")</f>
        <v>M(6.5)=</v>
      </c>
      <c r="AM85">
        <f>AI85+AK85</f>
        <v>1858.3266666666666</v>
      </c>
      <c r="AO85" s="82" t="str">
        <f>AA85</f>
        <v>M(6.5)=</v>
      </c>
      <c r="AP85" s="82" t="e">
        <f>VLOOKUP(AO85,Rise_Results,2,FALSE)</f>
        <v>#N/A</v>
      </c>
      <c r="AQ85" s="82" t="e">
        <f>N85</f>
        <v>#N/A</v>
      </c>
      <c r="AR85" s="82" t="e">
        <f>IF(OR(AB84&lt;=0,AB85&lt;=0),1/0,AB85)</f>
        <v>#VALUE!</v>
      </c>
      <c r="AS85" s="82">
        <f>AM85</f>
        <v>1858.3266666666666</v>
      </c>
      <c r="AT85">
        <f>IFERROR(AP85,IFERROR(AQ85,IFERROR(AR85,AS85)))</f>
        <v>1858.3266666666666</v>
      </c>
      <c r="AU85" s="81"/>
    </row>
    <row r="86" spans="1:47" x14ac:dyDescent="0.25">
      <c r="A86" s="101">
        <f>A81+1</f>
        <v>9</v>
      </c>
      <c r="B86" s="101">
        <f t="shared" si="27"/>
        <v>4.8499999999999996</v>
      </c>
      <c r="O86" s="101">
        <f>O81+1</f>
        <v>11</v>
      </c>
      <c r="P86" s="101">
        <f t="shared" si="23"/>
        <v>6</v>
      </c>
      <c r="AU86" s="81"/>
    </row>
    <row r="87" spans="1:47" x14ac:dyDescent="0.25">
      <c r="A87" s="84">
        <f>A86+1</f>
        <v>10</v>
      </c>
      <c r="B87" s="84">
        <f t="shared" si="27"/>
        <v>5</v>
      </c>
      <c r="C87" s="79" t="e">
        <f t="shared" ref="C87" si="35">IF(C88=B89,IF(C89-C88=C88-B88,B88,IF(C89-C88=C88-B87,B87,"#NA")),IF(C88=B88,IF(C89-C88=C88-B87,B87,IF(C89-C88=C88-B86,B86,"#NA")),"#NA"))</f>
        <v>#VALUE!</v>
      </c>
      <c r="D87" s="68" t="e">
        <f>VLOOKUP(C87,STN_TABLE,2,FALSE)</f>
        <v>#VALUE!</v>
      </c>
      <c r="E87" s="102">
        <v>1</v>
      </c>
      <c r="F87" s="68" t="e">
        <f>D87*E87</f>
        <v>#VALUE!</v>
      </c>
      <c r="G87" s="69" t="e">
        <f>C87</f>
        <v>#VALUE!</v>
      </c>
      <c r="H87" s="69" t="e">
        <f>F87*G87</f>
        <v>#VALUE!</v>
      </c>
      <c r="I87" s="6" t="s">
        <v>93</v>
      </c>
      <c r="J87" s="70" t="e">
        <f>IF(OR(D87=0,D88=0,D89=0),"#NA",IF(AND(C89-C88=C88-C87,C88&lt;&gt;C89,C87&lt;&gt;C88,C87&lt;&gt;C89,D89&lt;&gt;0,OR(D87&lt;&gt;0,D88&lt;&gt;0)),WLS*(C89-C88),"#NA"))</f>
        <v>#VALUE!</v>
      </c>
      <c r="O87" s="99">
        <f>O86+1</f>
        <v>12</v>
      </c>
      <c r="P87" s="99">
        <f t="shared" si="23"/>
        <v>6.5</v>
      </c>
      <c r="Q87" s="68" t="e">
        <f>IF(OR(P89-P88=P88-P87,P90-P88=P88-P87),P87,IF(OR(P89-P88=P88-P86,P90-P88=P88-P86),P86,"-"))</f>
        <v>#VALUE!</v>
      </c>
      <c r="R87" s="69" t="e">
        <f>VLOOKUP(Q87,STN_TABLE,2,FALSE)</f>
        <v>#VALUE!</v>
      </c>
      <c r="S87" s="69">
        <v>5</v>
      </c>
      <c r="T87" s="68" t="e">
        <f>R87*S87</f>
        <v>#VALUE!</v>
      </c>
      <c r="U87" s="79">
        <v>3</v>
      </c>
      <c r="V87" s="68" t="e">
        <f>R87*U87</f>
        <v>#VALUE!</v>
      </c>
      <c r="W87" s="6" t="s">
        <v>93</v>
      </c>
      <c r="X87" s="70" t="e">
        <f>IF(AND(Q89-Q88=Q88-Q87,NOT(AND(Q87=0,Q88=0)),NOT(AND(Q88=0,Q89=0))),WLS*(Q89-Q88),"#NA")</f>
        <v>#VALUE!</v>
      </c>
      <c r="AD87" s="93"/>
      <c r="AH87" s="6" t="s">
        <v>93</v>
      </c>
      <c r="AI87" s="70" t="e">
        <f>WLS*(AD89-AD88)</f>
        <v>#VALUE!</v>
      </c>
      <c r="AU87" s="81"/>
    </row>
    <row r="88" spans="1:47" x14ac:dyDescent="0.25">
      <c r="A88" s="84">
        <f>A87+1</f>
        <v>11</v>
      </c>
      <c r="B88" s="84">
        <f t="shared" si="27"/>
        <v>6</v>
      </c>
      <c r="C88" s="80" t="e">
        <f t="shared" ref="C88" si="36">IF(OR(B90-B89=B89-B88,B90-B89=B89-B87,B90-B89=B89-B86),B89,IF(OR(B90-B88=B88-B87,B90-B88=B88-B86),B88,IF(B90-B87=B87-B86,B87,"#NA")))</f>
        <v>#VALUE!</v>
      </c>
      <c r="D88" s="76" t="e">
        <f>VLOOKUP(C88,STN_TABLE,2,FALSE)</f>
        <v>#VALUE!</v>
      </c>
      <c r="E88" s="81">
        <v>4</v>
      </c>
      <c r="F88" s="76" t="e">
        <f>D88*E88</f>
        <v>#VALUE!</v>
      </c>
      <c r="G88" s="77" t="e">
        <f>C88</f>
        <v>#VALUE!</v>
      </c>
      <c r="H88" s="77" t="e">
        <f>F88*G88</f>
        <v>#VALUE!</v>
      </c>
      <c r="I88" s="495" t="s">
        <v>97</v>
      </c>
      <c r="J88" s="496"/>
      <c r="K88" s="78" t="s">
        <v>98</v>
      </c>
      <c r="L88" s="78"/>
      <c r="M88" s="7" t="s">
        <v>99</v>
      </c>
      <c r="N88" s="7"/>
      <c r="O88" s="99">
        <f>O87+1</f>
        <v>13</v>
      </c>
      <c r="P88" s="99" t="str">
        <f t="shared" si="23"/>
        <v xml:space="preserve">  </v>
      </c>
      <c r="Q88" s="76" t="str">
        <f>P88</f>
        <v xml:space="preserve">  </v>
      </c>
      <c r="R88" s="77" t="str">
        <f>VLOOKUP(Q88,STN_TABLE,2,FALSE)</f>
        <v xml:space="preserve">  </v>
      </c>
      <c r="S88" s="77">
        <v>8</v>
      </c>
      <c r="T88" s="76" t="e">
        <f>R88*S88</f>
        <v>#VALUE!</v>
      </c>
      <c r="U88" s="80">
        <v>10</v>
      </c>
      <c r="V88" s="76" t="e">
        <f>R88*U88</f>
        <v>#VALUE!</v>
      </c>
      <c r="W88" s="496" t="s">
        <v>97</v>
      </c>
      <c r="X88" s="496"/>
      <c r="Y88" s="496" t="s">
        <v>98</v>
      </c>
      <c r="Z88" s="496"/>
      <c r="AA88" s="494" t="s">
        <v>99</v>
      </c>
      <c r="AB88" s="494"/>
      <c r="AC88" s="99">
        <f>AC83+1</f>
        <v>12</v>
      </c>
      <c r="AD88" s="95">
        <f>VLOOKUP(AC88,STN_TABLE_2,2,FALSE)</f>
        <v>6.5</v>
      </c>
      <c r="AE88" s="68">
        <f>VLOOKUP(AD88,STN_TABLE,2,FALSE)</f>
        <v>11</v>
      </c>
      <c r="AF88" s="68">
        <v>1</v>
      </c>
      <c r="AG88" s="69">
        <f>AE88*AF88</f>
        <v>11</v>
      </c>
      <c r="AH88" s="496" t="s">
        <v>97</v>
      </c>
      <c r="AI88" s="496"/>
      <c r="AJ88" s="496" t="s">
        <v>98</v>
      </c>
      <c r="AK88" s="496"/>
      <c r="AL88" s="494" t="s">
        <v>99</v>
      </c>
      <c r="AM88" s="494"/>
      <c r="AP88" s="86" t="s">
        <v>112</v>
      </c>
      <c r="AQ88" s="89" t="s">
        <v>113</v>
      </c>
      <c r="AR88" s="89" t="s">
        <v>114</v>
      </c>
      <c r="AS88" s="89" t="s">
        <v>115</v>
      </c>
      <c r="AU88" s="81"/>
    </row>
    <row r="89" spans="1:47" x14ac:dyDescent="0.25">
      <c r="A89" s="84">
        <f>A88+1</f>
        <v>12</v>
      </c>
      <c r="B89" s="84">
        <f t="shared" si="27"/>
        <v>6.5</v>
      </c>
      <c r="C89" s="88" t="str">
        <f t="shared" ref="C89" si="37">B90</f>
        <v xml:space="preserve">  </v>
      </c>
      <c r="D89" s="82" t="str">
        <f>VLOOKUP(C89,STN_TABLE,2,FALSE)</f>
        <v xml:space="preserve">  </v>
      </c>
      <c r="E89" s="92">
        <v>1</v>
      </c>
      <c r="F89" s="82" t="e">
        <f>D89*E89</f>
        <v>#VALUE!</v>
      </c>
      <c r="G89" s="83" t="str">
        <f>C89</f>
        <v xml:space="preserve">  </v>
      </c>
      <c r="H89" s="83" t="e">
        <f>F89*G89</f>
        <v>#VALUE!</v>
      </c>
      <c r="I89" s="84" t="str">
        <f>CONCATENATE("a'(",C89,")=")</f>
        <v>a'(  )=</v>
      </c>
      <c r="J89" s="84" t="e">
        <f>2*J87/3*F90</f>
        <v>#VALUE!</v>
      </c>
      <c r="K89" s="84" t="e">
        <f>CONCATENATE("A(",C87,")=")</f>
        <v>#VALUE!</v>
      </c>
      <c r="L89" s="84" t="e">
        <f>VLOOKUP(C87,STN_TABLE,3,FALSE)</f>
        <v>#VALUE!</v>
      </c>
      <c r="M89" t="str">
        <f>CONCATENATE("A(",C89,")=")</f>
        <v>A(  )=</v>
      </c>
      <c r="N89" t="e">
        <f>J89+L89</f>
        <v>#VALUE!</v>
      </c>
      <c r="O89" s="99">
        <f>O88+1</f>
        <v>14</v>
      </c>
      <c r="P89" s="99" t="str">
        <f t="shared" si="23"/>
        <v xml:space="preserve">  </v>
      </c>
      <c r="Q89" s="82" t="e">
        <f>IF(P89-P88=P88-P87,P89,IF(P90-P88=P88-P87,P90,IF(P89-P88=P88-P86,P89,IF(P90-P88=P88-P86,P90,"-"))))</f>
        <v>#VALUE!</v>
      </c>
      <c r="R89" s="83" t="e">
        <f>VLOOKUP(Q89,STN_TABLE,2,FALSE)</f>
        <v>#VALUE!</v>
      </c>
      <c r="S89" s="83">
        <v>-1</v>
      </c>
      <c r="T89" s="82" t="e">
        <f>R89*S89</f>
        <v>#VALUE!</v>
      </c>
      <c r="U89" s="88">
        <v>-1</v>
      </c>
      <c r="V89" s="82" t="e">
        <f>R89*U89</f>
        <v>#VALUE!</v>
      </c>
      <c r="W89" s="84" t="str">
        <f>CONCATENATE("a'(",Q88,")=")</f>
        <v>a'(  )=</v>
      </c>
      <c r="X89" s="84" t="e">
        <f>2*X87/12*T90</f>
        <v>#VALUE!</v>
      </c>
      <c r="Y89" s="84" t="e">
        <f>CONCATENATE("A(",Q87,")=")</f>
        <v>#VALUE!</v>
      </c>
      <c r="Z89" s="84" t="e">
        <f>VLOOKUP(Q87,STN_TABLE,3,FALSE)</f>
        <v>#VALUE!</v>
      </c>
      <c r="AA89" t="str">
        <f>CONCATENATE("A(",Q88,")=")</f>
        <v>A(  )=</v>
      </c>
      <c r="AB89" t="e">
        <f>X89+Z89</f>
        <v>#VALUE!</v>
      </c>
      <c r="AC89" s="99">
        <f>AC88+1</f>
        <v>13</v>
      </c>
      <c r="AD89" s="100" t="str">
        <f>VLOOKUP(AC89,STN_TABLE_2,2,FALSE)</f>
        <v xml:space="preserve">  </v>
      </c>
      <c r="AE89" s="82" t="str">
        <f>VLOOKUP(AD89,STN_TABLE,2,FALSE)</f>
        <v xml:space="preserve">  </v>
      </c>
      <c r="AF89" s="82">
        <v>2</v>
      </c>
      <c r="AG89" s="83" t="e">
        <f>AE89*AF89</f>
        <v>#VALUE!</v>
      </c>
      <c r="AH89" s="84" t="str">
        <f>CONCATENATE("a'(",AD89,")=")</f>
        <v>a'(  )=</v>
      </c>
      <c r="AI89" s="84" t="e">
        <f>2*AI87/2*AE90</f>
        <v>#VALUE!</v>
      </c>
      <c r="AJ89" s="84" t="str">
        <f>CONCATENATE("A(",AD88,")=")</f>
        <v>A(6.5)=</v>
      </c>
      <c r="AK89" s="84">
        <f>VLOOKUP(AD88,STN_TABLE,3,FALSE)</f>
        <v>284.57333333333332</v>
      </c>
      <c r="AL89" t="str">
        <f>CONCATENATE("A(",AD89,")=")</f>
        <v>A(  )=</v>
      </c>
      <c r="AM89" t="e">
        <f>AI89+AK89</f>
        <v>#VALUE!</v>
      </c>
      <c r="AO89" s="68" t="str">
        <f>AA89</f>
        <v>A(  )=</v>
      </c>
      <c r="AP89" s="68" t="e">
        <f>VLOOKUP(AO89,Rise_Results,2,FALSE)</f>
        <v>#N/A</v>
      </c>
      <c r="AQ89" s="76" t="e">
        <f>N89</f>
        <v>#VALUE!</v>
      </c>
      <c r="AR89" s="76" t="e">
        <f>IF(OR(AB89&lt;=0,AB90&lt;=0),1/0,AB89)</f>
        <v>#VALUE!</v>
      </c>
      <c r="AS89" s="76" t="e">
        <f>AM89</f>
        <v>#VALUE!</v>
      </c>
      <c r="AT89" t="e">
        <f>IFERROR(AP89,IFERROR(AQ89,IFERROR(AR89,AS89)))</f>
        <v>#VALUE!</v>
      </c>
      <c r="AU89" s="81"/>
    </row>
    <row r="90" spans="1:47" x14ac:dyDescent="0.25">
      <c r="A90" s="84">
        <f>A89+1</f>
        <v>13</v>
      </c>
      <c r="B90" s="84" t="str">
        <f t="shared" si="27"/>
        <v xml:space="preserve">  </v>
      </c>
      <c r="F90" s="82" t="e">
        <f>SUM(F87:F89)</f>
        <v>#VALUE!</v>
      </c>
      <c r="H90" s="82" t="e">
        <f>SUM(H87:H89)</f>
        <v>#VALUE!</v>
      </c>
      <c r="I90" s="84" t="str">
        <f>CONCATENATE("m'(",C89,")=")</f>
        <v>m'(  )=</v>
      </c>
      <c r="J90" s="84" t="e">
        <f>2*(J87*(WLS))/3*H90</f>
        <v>#VALUE!</v>
      </c>
      <c r="K90" s="84" t="e">
        <f>CONCATENATE("M(",C87,")=")</f>
        <v>#VALUE!</v>
      </c>
      <c r="L90" s="84" t="e">
        <f>VLOOKUP(C87,STN_TABLE,4,FALSE)</f>
        <v>#VALUE!</v>
      </c>
      <c r="M90" t="str">
        <f>CONCATENATE("M(",C89,")=")</f>
        <v>M(  )=</v>
      </c>
      <c r="N90" t="e">
        <f>J90+L90</f>
        <v>#VALUE!</v>
      </c>
      <c r="O90" s="99">
        <f>O89+1</f>
        <v>15</v>
      </c>
      <c r="P90" s="99" t="str">
        <f t="shared" si="23"/>
        <v xml:space="preserve">  </v>
      </c>
      <c r="T90" s="89" t="e">
        <f>SUM(T87:T89)</f>
        <v>#VALUE!</v>
      </c>
      <c r="V90" s="82" t="e">
        <f>SUM(V87:V89)</f>
        <v>#VALUE!</v>
      </c>
      <c r="W90" s="84" t="str">
        <f>CONCATENATE("m'(",Q88,")=")</f>
        <v>m'(  )=</v>
      </c>
      <c r="X90" s="84" t="e">
        <f>(2*(X87^2)/24*V90)+(X89*Q87*WLS)</f>
        <v>#VALUE!</v>
      </c>
      <c r="Y90" s="84" t="e">
        <f>CONCATENATE("M(",Q87,")=")</f>
        <v>#VALUE!</v>
      </c>
      <c r="Z90" s="84" t="e">
        <f>VLOOKUP(Q87,STN_TABLE,4,FALSE)</f>
        <v>#VALUE!</v>
      </c>
      <c r="AA90" t="str">
        <f>CONCATENATE("M(",Q88,")=")</f>
        <v>M(  )=</v>
      </c>
      <c r="AB90" t="e">
        <f>X90+Z90</f>
        <v>#VALUE!</v>
      </c>
      <c r="AE90" s="89">
        <f>SUM(AE88:AE89)</f>
        <v>11</v>
      </c>
      <c r="AG90" s="89" t="e">
        <f>SUM(AG88:AG89)</f>
        <v>#VALUE!</v>
      </c>
      <c r="AH90" s="84" t="str">
        <f>CONCATENATE("m'(",AD89,")=")</f>
        <v>m'(  )=</v>
      </c>
      <c r="AI90" s="84" t="e">
        <f>(2*(AI87^2)/6*AG90)+(AI89*AD88*WLS)</f>
        <v>#VALUE!</v>
      </c>
      <c r="AJ90" s="84" t="str">
        <f>CONCATENATE("M(",AD88,")=")</f>
        <v>M(6.5)=</v>
      </c>
      <c r="AK90" s="84">
        <f>VLOOKUP(AD88,STN_TABLE,4,FALSE)</f>
        <v>1858.3266666666666</v>
      </c>
      <c r="AL90" t="str">
        <f>CONCATENATE("M(",AD89,")=")</f>
        <v>M(  )=</v>
      </c>
      <c r="AM90" t="e">
        <f>AI90+AK90</f>
        <v>#VALUE!</v>
      </c>
      <c r="AO90" s="82" t="str">
        <f>AA90</f>
        <v>M(  )=</v>
      </c>
      <c r="AP90" s="82" t="e">
        <f>VLOOKUP(AO90,Rise_Results,2,FALSE)</f>
        <v>#N/A</v>
      </c>
      <c r="AQ90" s="82" t="e">
        <f>N90</f>
        <v>#VALUE!</v>
      </c>
      <c r="AR90" s="82" t="e">
        <f>IF(OR(AB89&lt;=0,AB90&lt;=0),1/0,AB90)</f>
        <v>#VALUE!</v>
      </c>
      <c r="AS90" s="82" t="e">
        <f>AM90</f>
        <v>#VALUE!</v>
      </c>
      <c r="AT90" t="e">
        <f>IFERROR(AP90,IFERROR(AQ90,IFERROR(AR90,AS90)))</f>
        <v>#VALUE!</v>
      </c>
      <c r="AU90" s="81"/>
    </row>
    <row r="91" spans="1:47" x14ac:dyDescent="0.25">
      <c r="A91" s="101">
        <f>A86+1</f>
        <v>10</v>
      </c>
      <c r="B91" s="101">
        <f t="shared" si="27"/>
        <v>5</v>
      </c>
      <c r="O91" s="101">
        <f>O86+1</f>
        <v>12</v>
      </c>
      <c r="P91" s="101">
        <f t="shared" si="23"/>
        <v>6.5</v>
      </c>
      <c r="AU91" s="81"/>
    </row>
    <row r="92" spans="1:47" x14ac:dyDescent="0.25">
      <c r="A92" s="84">
        <f>A91+1</f>
        <v>11</v>
      </c>
      <c r="B92" s="84">
        <f t="shared" si="27"/>
        <v>6</v>
      </c>
      <c r="C92" s="79" t="e">
        <f t="shared" ref="C92" si="38">IF(C93=B94,IF(C94-C93=C93-B93,B93,IF(C94-C93=C93-B92,B92,"#NA")),IF(C93=B93,IF(C94-C93=C93-B92,B92,IF(C94-C93=C93-B91,B91,"#NA")),"#NA"))</f>
        <v>#VALUE!</v>
      </c>
      <c r="D92" s="68" t="e">
        <f>VLOOKUP(C92,STN_TABLE,2,FALSE)</f>
        <v>#VALUE!</v>
      </c>
      <c r="E92" s="102">
        <v>1</v>
      </c>
      <c r="F92" s="68" t="e">
        <f>D92*E92</f>
        <v>#VALUE!</v>
      </c>
      <c r="G92" s="69" t="e">
        <f>C92</f>
        <v>#VALUE!</v>
      </c>
      <c r="H92" s="69" t="e">
        <f>F92*G92</f>
        <v>#VALUE!</v>
      </c>
      <c r="I92" s="6" t="s">
        <v>93</v>
      </c>
      <c r="J92" s="70" t="e">
        <f>IF(OR(D92=0,D93=0,D94=0),"#NA",IF(AND(C94-C93=C93-C92,C93&lt;&gt;C94,C92&lt;&gt;C93,C92&lt;&gt;C94,D94&lt;&gt;0,OR(D92&lt;&gt;0,D93&lt;&gt;0)),WLS*(C94-C93),"#NA"))</f>
        <v>#VALUE!</v>
      </c>
      <c r="O92" s="99">
        <f>O91+1</f>
        <v>13</v>
      </c>
      <c r="P92" s="99" t="str">
        <f t="shared" si="23"/>
        <v xml:space="preserve">  </v>
      </c>
      <c r="Q92" s="68" t="e">
        <f>IF(OR(P94-P93=P93-P92,P95-P93=P93-P92),P92,IF(OR(P94-P93=P93-P91,P95-P93=P93-P91),P91,"-"))</f>
        <v>#VALUE!</v>
      </c>
      <c r="R92" s="69" t="e">
        <f>VLOOKUP(Q92,STN_TABLE,2,FALSE)</f>
        <v>#VALUE!</v>
      </c>
      <c r="S92" s="69">
        <v>5</v>
      </c>
      <c r="T92" s="68" t="e">
        <f>R92*S92</f>
        <v>#VALUE!</v>
      </c>
      <c r="U92" s="79">
        <v>3</v>
      </c>
      <c r="V92" s="68" t="e">
        <f>R92*U92</f>
        <v>#VALUE!</v>
      </c>
      <c r="W92" s="6" t="s">
        <v>93</v>
      </c>
      <c r="X92" s="70" t="e">
        <f>IF(AND(Q94-Q93=Q93-Q92,NOT(AND(Q92=0,Q93=0)),NOT(AND(Q93=0,Q94=0))),WLS*(Q94-Q93),"#NA")</f>
        <v>#VALUE!</v>
      </c>
      <c r="AD92" s="93"/>
      <c r="AH92" s="6" t="s">
        <v>93</v>
      </c>
      <c r="AI92" s="70" t="e">
        <f>WLS*(AD94-AD93)</f>
        <v>#VALUE!</v>
      </c>
      <c r="AU92" s="81"/>
    </row>
    <row r="93" spans="1:47" x14ac:dyDescent="0.25">
      <c r="A93" s="84">
        <f>A92+1</f>
        <v>12</v>
      </c>
      <c r="B93" s="84">
        <f t="shared" si="27"/>
        <v>6.5</v>
      </c>
      <c r="C93" s="80" t="e">
        <f t="shared" ref="C93" si="39">IF(OR(B95-B94=B94-B93,B95-B94=B94-B92,B95-B94=B94-B91),B94,IF(OR(B95-B93=B93-B92,B95-B93=B93-B91),B93,IF(B95-B92=B92-B91,B92,"#NA")))</f>
        <v>#VALUE!</v>
      </c>
      <c r="D93" s="76" t="e">
        <f>VLOOKUP(C93,STN_TABLE,2,FALSE)</f>
        <v>#VALUE!</v>
      </c>
      <c r="E93" s="81">
        <v>4</v>
      </c>
      <c r="F93" s="76" t="e">
        <f>D93*E93</f>
        <v>#VALUE!</v>
      </c>
      <c r="G93" s="77" t="e">
        <f>C93</f>
        <v>#VALUE!</v>
      </c>
      <c r="H93" s="77" t="e">
        <f>F93*G93</f>
        <v>#VALUE!</v>
      </c>
      <c r="I93" s="495" t="s">
        <v>97</v>
      </c>
      <c r="J93" s="496"/>
      <c r="K93" s="78" t="s">
        <v>98</v>
      </c>
      <c r="L93" s="78"/>
      <c r="M93" s="7" t="s">
        <v>99</v>
      </c>
      <c r="N93" s="7"/>
      <c r="O93" s="99">
        <f>O92+1</f>
        <v>14</v>
      </c>
      <c r="P93" s="99" t="str">
        <f t="shared" si="23"/>
        <v xml:space="preserve">  </v>
      </c>
      <c r="Q93" s="76" t="str">
        <f>P93</f>
        <v xml:space="preserve">  </v>
      </c>
      <c r="R93" s="77" t="str">
        <f>VLOOKUP(Q93,STN_TABLE,2,FALSE)</f>
        <v xml:space="preserve">  </v>
      </c>
      <c r="S93" s="77">
        <v>8</v>
      </c>
      <c r="T93" s="76" t="e">
        <f>R93*S93</f>
        <v>#VALUE!</v>
      </c>
      <c r="U93" s="80">
        <v>10</v>
      </c>
      <c r="V93" s="76" t="e">
        <f>R93*U93</f>
        <v>#VALUE!</v>
      </c>
      <c r="W93" s="496" t="s">
        <v>97</v>
      </c>
      <c r="X93" s="496"/>
      <c r="Y93" s="496" t="s">
        <v>98</v>
      </c>
      <c r="Z93" s="496"/>
      <c r="AA93" s="494" t="s">
        <v>99</v>
      </c>
      <c r="AB93" s="494"/>
      <c r="AC93" s="99">
        <f>AC88+1</f>
        <v>13</v>
      </c>
      <c r="AD93" s="95" t="str">
        <f>VLOOKUP(AC93,STN_TABLE_2,2,FALSE)</f>
        <v xml:space="preserve">  </v>
      </c>
      <c r="AE93" s="68" t="str">
        <f>VLOOKUP(AD93,STN_TABLE,2,FALSE)</f>
        <v xml:space="preserve">  </v>
      </c>
      <c r="AF93" s="68">
        <v>1</v>
      </c>
      <c r="AG93" s="69" t="e">
        <f>AE93*AF93</f>
        <v>#VALUE!</v>
      </c>
      <c r="AH93" s="496" t="s">
        <v>97</v>
      </c>
      <c r="AI93" s="496"/>
      <c r="AJ93" s="496" t="s">
        <v>98</v>
      </c>
      <c r="AK93" s="496"/>
      <c r="AL93" s="494" t="s">
        <v>99</v>
      </c>
      <c r="AM93" s="494"/>
      <c r="AP93" s="86" t="s">
        <v>112</v>
      </c>
      <c r="AQ93" s="89" t="s">
        <v>113</v>
      </c>
      <c r="AR93" s="89" t="s">
        <v>114</v>
      </c>
      <c r="AS93" s="89" t="s">
        <v>115</v>
      </c>
      <c r="AU93" s="81"/>
    </row>
    <row r="94" spans="1:47" x14ac:dyDescent="0.25">
      <c r="A94" s="84">
        <f>A93+1</f>
        <v>13</v>
      </c>
      <c r="B94" s="84" t="str">
        <f t="shared" si="27"/>
        <v xml:space="preserve">  </v>
      </c>
      <c r="C94" s="88" t="str">
        <f t="shared" ref="C94" si="40">B95</f>
        <v xml:space="preserve">  </v>
      </c>
      <c r="D94" s="82" t="str">
        <f>VLOOKUP(C94,STN_TABLE,2,FALSE)</f>
        <v xml:space="preserve">  </v>
      </c>
      <c r="E94" s="92">
        <v>1</v>
      </c>
      <c r="F94" s="82" t="e">
        <f>D94*E94</f>
        <v>#VALUE!</v>
      </c>
      <c r="G94" s="83" t="str">
        <f>C94</f>
        <v xml:space="preserve">  </v>
      </c>
      <c r="H94" s="83" t="e">
        <f>F94*G94</f>
        <v>#VALUE!</v>
      </c>
      <c r="I94" s="84" t="str">
        <f>CONCATENATE("a'(",C94,")=")</f>
        <v>a'(  )=</v>
      </c>
      <c r="J94" s="84" t="e">
        <f>2*J92/3*F95</f>
        <v>#VALUE!</v>
      </c>
      <c r="K94" s="84" t="e">
        <f>CONCATENATE("A(",C92,")=")</f>
        <v>#VALUE!</v>
      </c>
      <c r="L94" s="84" t="e">
        <f>VLOOKUP(C92,STN_TABLE,3,FALSE)</f>
        <v>#VALUE!</v>
      </c>
      <c r="M94" t="str">
        <f>CONCATENATE("A(",C94,")=")</f>
        <v>A(  )=</v>
      </c>
      <c r="N94" t="e">
        <f>J94+L94</f>
        <v>#VALUE!</v>
      </c>
      <c r="O94" s="99">
        <f>O93+1</f>
        <v>15</v>
      </c>
      <c r="P94" s="99" t="str">
        <f t="shared" si="23"/>
        <v xml:space="preserve">  </v>
      </c>
      <c r="Q94" s="82" t="e">
        <f>IF(P94-P93=P93-P92,P94,IF(P95-P93=P93-P92,P95,IF(P94-P93=P93-P91,P94,IF(P95-P93=P93-P91,P95,"-"))))</f>
        <v>#VALUE!</v>
      </c>
      <c r="R94" s="83" t="e">
        <f>VLOOKUP(Q94,STN_TABLE,2,FALSE)</f>
        <v>#VALUE!</v>
      </c>
      <c r="S94" s="83">
        <v>-1</v>
      </c>
      <c r="T94" s="82" t="e">
        <f>R94*S94</f>
        <v>#VALUE!</v>
      </c>
      <c r="U94" s="88">
        <v>-1</v>
      </c>
      <c r="V94" s="82" t="e">
        <f>R94*U94</f>
        <v>#VALUE!</v>
      </c>
      <c r="W94" s="84" t="str">
        <f>CONCATENATE("a'(",Q93,")=")</f>
        <v>a'(  )=</v>
      </c>
      <c r="X94" s="84" t="e">
        <f>2*X92/12*T95</f>
        <v>#VALUE!</v>
      </c>
      <c r="Y94" s="84" t="e">
        <f>CONCATENATE("A(",Q92,")=")</f>
        <v>#VALUE!</v>
      </c>
      <c r="Z94" s="84" t="e">
        <f>VLOOKUP(Q92,STN_TABLE,3,FALSE)</f>
        <v>#VALUE!</v>
      </c>
      <c r="AA94" t="str">
        <f>CONCATENATE("A(",Q93,")=")</f>
        <v>A(  )=</v>
      </c>
      <c r="AB94" t="e">
        <f>X94+Z94</f>
        <v>#VALUE!</v>
      </c>
      <c r="AC94" s="99">
        <f>AC93+1</f>
        <v>14</v>
      </c>
      <c r="AD94" s="100" t="str">
        <f>VLOOKUP(AC94,STN_TABLE_2,2,FALSE)</f>
        <v xml:space="preserve">  </v>
      </c>
      <c r="AE94" s="82" t="str">
        <f>VLOOKUP(AD94,STN_TABLE,2,FALSE)</f>
        <v xml:space="preserve">  </v>
      </c>
      <c r="AF94" s="82">
        <v>2</v>
      </c>
      <c r="AG94" s="83" t="e">
        <f>AE94*AF94</f>
        <v>#VALUE!</v>
      </c>
      <c r="AH94" s="84" t="str">
        <f>CONCATENATE("a'(",AD94,")=")</f>
        <v>a'(  )=</v>
      </c>
      <c r="AI94" s="84" t="e">
        <f>2*AI92/2*AE95</f>
        <v>#VALUE!</v>
      </c>
      <c r="AJ94" s="84" t="str">
        <f>CONCATENATE("A(",AD93,")=")</f>
        <v>A(  )=</v>
      </c>
      <c r="AK94" s="84" t="str">
        <f>VLOOKUP(AD93,STN_TABLE,3,FALSE)</f>
        <v xml:space="preserve"> </v>
      </c>
      <c r="AL94" t="str">
        <f>CONCATENATE("A(",AD94,")=")</f>
        <v>A(  )=</v>
      </c>
      <c r="AM94" t="e">
        <f>AI94+AK94</f>
        <v>#VALUE!</v>
      </c>
      <c r="AO94" s="68" t="str">
        <f>AA94</f>
        <v>A(  )=</v>
      </c>
      <c r="AP94" s="68" t="e">
        <f>VLOOKUP(AO94,Rise_Results,2,FALSE)</f>
        <v>#N/A</v>
      </c>
      <c r="AQ94" s="76" t="e">
        <f>N94</f>
        <v>#VALUE!</v>
      </c>
      <c r="AR94" s="76" t="e">
        <f>IF(OR(AB94&lt;=0,AB95&lt;=0),1/0,AB94)</f>
        <v>#VALUE!</v>
      </c>
      <c r="AS94" s="76" t="e">
        <f>AM94</f>
        <v>#VALUE!</v>
      </c>
      <c r="AT94" t="e">
        <f>IFERROR(AP94,IFERROR(AQ94,IFERROR(AR94,AS94)))</f>
        <v>#VALUE!</v>
      </c>
      <c r="AU94" s="81"/>
    </row>
    <row r="95" spans="1:47" x14ac:dyDescent="0.25">
      <c r="A95" s="84">
        <f>A94+1</f>
        <v>14</v>
      </c>
      <c r="B95" s="84" t="str">
        <f t="shared" si="27"/>
        <v xml:space="preserve">  </v>
      </c>
      <c r="F95" s="82" t="e">
        <f>SUM(F92:F94)</f>
        <v>#VALUE!</v>
      </c>
      <c r="H95" s="82" t="e">
        <f>SUM(H92:H94)</f>
        <v>#VALUE!</v>
      </c>
      <c r="I95" s="84" t="str">
        <f>CONCATENATE("m'(",C94,")=")</f>
        <v>m'(  )=</v>
      </c>
      <c r="J95" s="84" t="e">
        <f>2*(J92*(WLS))/3*H95</f>
        <v>#VALUE!</v>
      </c>
      <c r="K95" s="84" t="e">
        <f>CONCATENATE("M(",C92,")=")</f>
        <v>#VALUE!</v>
      </c>
      <c r="L95" s="84" t="e">
        <f>VLOOKUP(C92,STN_TABLE,4,FALSE)</f>
        <v>#VALUE!</v>
      </c>
      <c r="M95" t="str">
        <f>CONCATENATE("M(",C94,")=")</f>
        <v>M(  )=</v>
      </c>
      <c r="N95" t="e">
        <f>J95+L95</f>
        <v>#VALUE!</v>
      </c>
      <c r="O95" s="99">
        <f>O94+1</f>
        <v>16</v>
      </c>
      <c r="P95" s="99" t="str">
        <f t="shared" si="23"/>
        <v xml:space="preserve">  </v>
      </c>
      <c r="T95" s="89" t="e">
        <f>SUM(T92:T94)</f>
        <v>#VALUE!</v>
      </c>
      <c r="V95" s="82" t="e">
        <f>SUM(V92:V94)</f>
        <v>#VALUE!</v>
      </c>
      <c r="W95" s="84" t="str">
        <f>CONCATENATE("m'(",Q93,")=")</f>
        <v>m'(  )=</v>
      </c>
      <c r="X95" s="84" t="e">
        <f>(2*(X92^2)/24*V95)+(X94*Q92*WLS)</f>
        <v>#VALUE!</v>
      </c>
      <c r="Y95" s="84" t="e">
        <f>CONCATENATE("M(",Q92,")=")</f>
        <v>#VALUE!</v>
      </c>
      <c r="Z95" s="84" t="e">
        <f>VLOOKUP(Q92,STN_TABLE,4,FALSE)</f>
        <v>#VALUE!</v>
      </c>
      <c r="AA95" t="str">
        <f>CONCATENATE("M(",Q93,")=")</f>
        <v>M(  )=</v>
      </c>
      <c r="AB95" t="e">
        <f>X95+Z95</f>
        <v>#VALUE!</v>
      </c>
      <c r="AE95" s="89">
        <f>SUM(AE93:AE94)</f>
        <v>0</v>
      </c>
      <c r="AG95" s="89" t="e">
        <f>SUM(AG93:AG94)</f>
        <v>#VALUE!</v>
      </c>
      <c r="AH95" s="84" t="str">
        <f>CONCATENATE("m'(",AD94,")=")</f>
        <v>m'(  )=</v>
      </c>
      <c r="AI95" s="84" t="e">
        <f>(2*(AI92^2)/6*AG95)+(AI94*AD93*WLS)</f>
        <v>#VALUE!</v>
      </c>
      <c r="AJ95" s="84" t="str">
        <f>CONCATENATE("M(",AD93,")=")</f>
        <v>M(  )=</v>
      </c>
      <c r="AK95" s="84" t="str">
        <f>VLOOKUP(AD93,STN_TABLE,4,FALSE)</f>
        <v xml:space="preserve"> </v>
      </c>
      <c r="AL95" t="str">
        <f>CONCATENATE("M(",AD94,")=")</f>
        <v>M(  )=</v>
      </c>
      <c r="AM95" t="e">
        <f>AI95+AK95</f>
        <v>#VALUE!</v>
      </c>
      <c r="AO95" s="82" t="str">
        <f>AA95</f>
        <v>M(  )=</v>
      </c>
      <c r="AP95" s="82" t="e">
        <f>VLOOKUP(AO95,Rise_Results,2,FALSE)</f>
        <v>#N/A</v>
      </c>
      <c r="AQ95" s="82" t="e">
        <f>N95</f>
        <v>#VALUE!</v>
      </c>
      <c r="AR95" s="82" t="e">
        <f>IF(OR(AB94&lt;=0,AB95&lt;=0),1/0,AB95)</f>
        <v>#VALUE!</v>
      </c>
      <c r="AS95" s="82" t="e">
        <f>AM95</f>
        <v>#VALUE!</v>
      </c>
      <c r="AT95" t="e">
        <f>IFERROR(AP95,IFERROR(AQ95,IFERROR(AR95,AS95)))</f>
        <v>#VALUE!</v>
      </c>
      <c r="AU95" s="81"/>
    </row>
    <row r="96" spans="1:47" x14ac:dyDescent="0.25">
      <c r="A96" s="101">
        <f>A91+1</f>
        <v>11</v>
      </c>
      <c r="B96" s="101">
        <f t="shared" si="27"/>
        <v>6</v>
      </c>
      <c r="O96" s="101">
        <f>O91+1</f>
        <v>13</v>
      </c>
      <c r="P96" s="101" t="str">
        <f t="shared" si="23"/>
        <v xml:space="preserve">  </v>
      </c>
      <c r="AU96" s="81"/>
    </row>
    <row r="97" spans="1:47" x14ac:dyDescent="0.25">
      <c r="A97" s="84">
        <f>A96+1</f>
        <v>12</v>
      </c>
      <c r="B97" s="84">
        <f t="shared" si="27"/>
        <v>6.5</v>
      </c>
      <c r="C97" s="79" t="e">
        <f t="shared" ref="C97" si="41">IF(C98=B99,IF(C99-C98=C98-B98,B98,IF(C99-C98=C98-B97,B97,"#NA")),IF(C98=B98,IF(C99-C98=C98-B97,B97,IF(C99-C98=C98-B96,B96,"#NA")),"#NA"))</f>
        <v>#VALUE!</v>
      </c>
      <c r="D97" s="68" t="e">
        <f>VLOOKUP(C97,STN_TABLE,2,FALSE)</f>
        <v>#VALUE!</v>
      </c>
      <c r="E97" s="102">
        <v>1</v>
      </c>
      <c r="F97" s="68" t="e">
        <f>D97*E97</f>
        <v>#VALUE!</v>
      </c>
      <c r="G97" s="69" t="e">
        <f>C97</f>
        <v>#VALUE!</v>
      </c>
      <c r="H97" s="69" t="e">
        <f>F97*G97</f>
        <v>#VALUE!</v>
      </c>
      <c r="I97" s="6" t="s">
        <v>93</v>
      </c>
      <c r="J97" s="70" t="e">
        <f>IF(OR(D97=0,D98=0,D99=0),"#NA",IF(AND(C99-C98=C98-C97,C98&lt;&gt;C99,C97&lt;&gt;C98,C97&lt;&gt;C99,D99&lt;&gt;0,OR(D97&lt;&gt;0,D98&lt;&gt;0)),WLS*(C99-C98),"#NA"))</f>
        <v>#VALUE!</v>
      </c>
      <c r="O97" s="99">
        <f>O96+1</f>
        <v>14</v>
      </c>
      <c r="P97" s="99" t="str">
        <f t="shared" si="23"/>
        <v xml:space="preserve">  </v>
      </c>
      <c r="Q97" s="68" t="e">
        <f>IF(OR(P99-P98=P98-P97,P100-P98=P98-P97),P97,IF(OR(P99-P98=P98-P96,P100-P98=P98-P96),P96,"-"))</f>
        <v>#VALUE!</v>
      </c>
      <c r="R97" s="69" t="e">
        <f>VLOOKUP(Q97,STN_TABLE,2,FALSE)</f>
        <v>#VALUE!</v>
      </c>
      <c r="S97" s="69">
        <v>5</v>
      </c>
      <c r="T97" s="68" t="e">
        <f>R97*S97</f>
        <v>#VALUE!</v>
      </c>
      <c r="U97" s="79">
        <v>3</v>
      </c>
      <c r="V97" s="68" t="e">
        <f>R97*U97</f>
        <v>#VALUE!</v>
      </c>
      <c r="W97" s="6" t="s">
        <v>93</v>
      </c>
      <c r="X97" s="70" t="e">
        <f>IF(AND(Q99-Q98=Q98-Q97,NOT(AND(Q97=0,Q98=0)),NOT(AND(Q98=0,Q99=0))),WLS*(Q99-Q98),"#NA")</f>
        <v>#VALUE!</v>
      </c>
      <c r="AD97" s="93"/>
      <c r="AH97" s="6" t="s">
        <v>93</v>
      </c>
      <c r="AI97" s="70" t="e">
        <f>WLS*(AD99-AD98)</f>
        <v>#VALUE!</v>
      </c>
      <c r="AU97" s="81"/>
    </row>
    <row r="98" spans="1:47" x14ac:dyDescent="0.25">
      <c r="A98" s="84">
        <f>A97+1</f>
        <v>13</v>
      </c>
      <c r="B98" s="84" t="str">
        <f t="shared" si="27"/>
        <v xml:space="preserve">  </v>
      </c>
      <c r="C98" s="80" t="e">
        <f t="shared" ref="C98" si="42">IF(OR(B100-B99=B99-B98,B100-B99=B99-B97,B100-B99=B99-B96),B99,IF(OR(B100-B98=B98-B97,B100-B98=B98-B96),B98,IF(B100-B97=B97-B96,B97,"#NA")))</f>
        <v>#VALUE!</v>
      </c>
      <c r="D98" s="76" t="e">
        <f>VLOOKUP(C98,STN_TABLE,2,FALSE)</f>
        <v>#VALUE!</v>
      </c>
      <c r="E98" s="81">
        <v>4</v>
      </c>
      <c r="F98" s="76" t="e">
        <f>D98*E98</f>
        <v>#VALUE!</v>
      </c>
      <c r="G98" s="77" t="e">
        <f>C98</f>
        <v>#VALUE!</v>
      </c>
      <c r="H98" s="77" t="e">
        <f>F98*G98</f>
        <v>#VALUE!</v>
      </c>
      <c r="I98" s="495" t="s">
        <v>97</v>
      </c>
      <c r="J98" s="496"/>
      <c r="K98" s="78" t="s">
        <v>98</v>
      </c>
      <c r="L98" s="78"/>
      <c r="M98" s="7" t="s">
        <v>99</v>
      </c>
      <c r="N98" s="7"/>
      <c r="O98" s="99">
        <f>O97+1</f>
        <v>15</v>
      </c>
      <c r="P98" s="99" t="str">
        <f t="shared" si="23"/>
        <v xml:space="preserve">  </v>
      </c>
      <c r="Q98" s="76" t="str">
        <f>P98</f>
        <v xml:space="preserve">  </v>
      </c>
      <c r="R98" s="77" t="str">
        <f>VLOOKUP(Q98,STN_TABLE,2,FALSE)</f>
        <v xml:space="preserve">  </v>
      </c>
      <c r="S98" s="77">
        <v>8</v>
      </c>
      <c r="T98" s="76" t="e">
        <f>R98*S98</f>
        <v>#VALUE!</v>
      </c>
      <c r="U98" s="80">
        <v>10</v>
      </c>
      <c r="V98" s="76" t="e">
        <f>R98*U98</f>
        <v>#VALUE!</v>
      </c>
      <c r="W98" s="496" t="s">
        <v>97</v>
      </c>
      <c r="X98" s="496"/>
      <c r="Y98" s="496" t="s">
        <v>98</v>
      </c>
      <c r="Z98" s="496"/>
      <c r="AA98" s="494" t="s">
        <v>99</v>
      </c>
      <c r="AB98" s="494"/>
      <c r="AC98" s="99">
        <f>AC93+1</f>
        <v>14</v>
      </c>
      <c r="AD98" s="95" t="str">
        <f>VLOOKUP(AC98,STN_TABLE_2,2,FALSE)</f>
        <v xml:space="preserve">  </v>
      </c>
      <c r="AE98" s="68" t="str">
        <f>VLOOKUP(AD98,STN_TABLE,2,FALSE)</f>
        <v xml:space="preserve">  </v>
      </c>
      <c r="AF98" s="68">
        <v>1</v>
      </c>
      <c r="AG98" s="69" t="e">
        <f>AE98*AF98</f>
        <v>#VALUE!</v>
      </c>
      <c r="AH98" s="496" t="s">
        <v>97</v>
      </c>
      <c r="AI98" s="496"/>
      <c r="AJ98" s="496" t="s">
        <v>98</v>
      </c>
      <c r="AK98" s="496"/>
      <c r="AL98" s="494" t="s">
        <v>99</v>
      </c>
      <c r="AM98" s="494"/>
      <c r="AP98" s="86" t="s">
        <v>112</v>
      </c>
      <c r="AQ98" s="89" t="s">
        <v>113</v>
      </c>
      <c r="AR98" s="89" t="s">
        <v>114</v>
      </c>
      <c r="AS98" s="89" t="s">
        <v>115</v>
      </c>
      <c r="AU98" s="81"/>
    </row>
    <row r="99" spans="1:47" x14ac:dyDescent="0.25">
      <c r="A99" s="84">
        <f>A98+1</f>
        <v>14</v>
      </c>
      <c r="B99" s="84" t="str">
        <f t="shared" si="27"/>
        <v xml:space="preserve">  </v>
      </c>
      <c r="C99" s="88" t="str">
        <f t="shared" ref="C99" si="43">B100</f>
        <v xml:space="preserve">  </v>
      </c>
      <c r="D99" s="82" t="str">
        <f>VLOOKUP(C99,STN_TABLE,2,FALSE)</f>
        <v xml:space="preserve">  </v>
      </c>
      <c r="E99" s="92">
        <v>1</v>
      </c>
      <c r="F99" s="82" t="e">
        <f>D99*E99</f>
        <v>#VALUE!</v>
      </c>
      <c r="G99" s="83" t="str">
        <f>C99</f>
        <v xml:space="preserve">  </v>
      </c>
      <c r="H99" s="83" t="e">
        <f>F99*G99</f>
        <v>#VALUE!</v>
      </c>
      <c r="I99" s="84" t="str">
        <f>CONCATENATE("a'(",C99,")=")</f>
        <v>a'(  )=</v>
      </c>
      <c r="J99" s="84" t="e">
        <f>2*J97/3*F100</f>
        <v>#VALUE!</v>
      </c>
      <c r="K99" s="84" t="e">
        <f>CONCATENATE("A(",C97,")=")</f>
        <v>#VALUE!</v>
      </c>
      <c r="L99" s="84" t="e">
        <f>VLOOKUP(C97,STN_TABLE,3,FALSE)</f>
        <v>#VALUE!</v>
      </c>
      <c r="M99" t="str">
        <f>CONCATENATE("A(",C99,")=")</f>
        <v>A(  )=</v>
      </c>
      <c r="N99" t="e">
        <f>J99+L99</f>
        <v>#VALUE!</v>
      </c>
      <c r="O99" s="99">
        <f>O98+1</f>
        <v>16</v>
      </c>
      <c r="P99" s="99" t="str">
        <f t="shared" si="23"/>
        <v xml:space="preserve">  </v>
      </c>
      <c r="Q99" s="82" t="e">
        <f>IF(P99-P98=P98-P97,P99,IF(P100-P98=P98-P97,P100,IF(P99-P98=P98-P96,P99,IF(P100-P98=P98-P96,P100,"-"))))</f>
        <v>#VALUE!</v>
      </c>
      <c r="R99" s="83" t="e">
        <f>VLOOKUP(Q99,STN_TABLE,2,FALSE)</f>
        <v>#VALUE!</v>
      </c>
      <c r="S99" s="83">
        <v>-1</v>
      </c>
      <c r="T99" s="82" t="e">
        <f>R99*S99</f>
        <v>#VALUE!</v>
      </c>
      <c r="U99" s="88">
        <v>-1</v>
      </c>
      <c r="V99" s="82" t="e">
        <f>R99*U99</f>
        <v>#VALUE!</v>
      </c>
      <c r="W99" s="84" t="str">
        <f>CONCATENATE("a'(",Q98,")=")</f>
        <v>a'(  )=</v>
      </c>
      <c r="X99" s="84" t="e">
        <f>2*X97/12*T100</f>
        <v>#VALUE!</v>
      </c>
      <c r="Y99" s="84" t="e">
        <f>CONCATENATE("A(",Q97,")=")</f>
        <v>#VALUE!</v>
      </c>
      <c r="Z99" s="84" t="e">
        <f>VLOOKUP(Q97,STN_TABLE,3,FALSE)</f>
        <v>#VALUE!</v>
      </c>
      <c r="AA99" t="str">
        <f>CONCATENATE("A(",Q98,")=")</f>
        <v>A(  )=</v>
      </c>
      <c r="AB99" t="e">
        <f>X99+Z99</f>
        <v>#VALUE!</v>
      </c>
      <c r="AC99" s="99">
        <f>AC98+1</f>
        <v>15</v>
      </c>
      <c r="AD99" s="100" t="str">
        <f>VLOOKUP(AC99,STN_TABLE_2,2,FALSE)</f>
        <v xml:space="preserve">  </v>
      </c>
      <c r="AE99" s="82" t="str">
        <f>VLOOKUP(AD99,STN_TABLE,2,FALSE)</f>
        <v xml:space="preserve">  </v>
      </c>
      <c r="AF99" s="82">
        <v>2</v>
      </c>
      <c r="AG99" s="83" t="e">
        <f>AE99*AF99</f>
        <v>#VALUE!</v>
      </c>
      <c r="AH99" s="84" t="str">
        <f>CONCATENATE("a'(",AD99,")=")</f>
        <v>a'(  )=</v>
      </c>
      <c r="AI99" s="84" t="e">
        <f>2*AI97/2*AE100</f>
        <v>#VALUE!</v>
      </c>
      <c r="AJ99" s="84" t="str">
        <f>CONCATENATE("A(",AD98,")=")</f>
        <v>A(  )=</v>
      </c>
      <c r="AK99" s="84" t="str">
        <f>VLOOKUP(AD98,STN_TABLE,3,FALSE)</f>
        <v xml:space="preserve"> </v>
      </c>
      <c r="AL99" t="str">
        <f>CONCATENATE("A(",AD99,")=")</f>
        <v>A(  )=</v>
      </c>
      <c r="AM99" t="e">
        <f>AI99+AK99</f>
        <v>#VALUE!</v>
      </c>
      <c r="AO99" s="68" t="str">
        <f>AA99</f>
        <v>A(  )=</v>
      </c>
      <c r="AP99" s="68" t="e">
        <f>VLOOKUP(AO99,Rise_Results,2,FALSE)</f>
        <v>#N/A</v>
      </c>
      <c r="AQ99" s="76" t="e">
        <f>N99</f>
        <v>#VALUE!</v>
      </c>
      <c r="AR99" s="76" t="e">
        <f>IF(OR(AB99&lt;=0,AB100&lt;=0),1/0,AB99)</f>
        <v>#VALUE!</v>
      </c>
      <c r="AS99" s="76" t="e">
        <f>AM99</f>
        <v>#VALUE!</v>
      </c>
      <c r="AT99" t="e">
        <f>IFERROR(AP99,IFERROR(AQ99,IFERROR(AR99,AS99)))</f>
        <v>#VALUE!</v>
      </c>
      <c r="AU99" s="81"/>
    </row>
    <row r="100" spans="1:47" x14ac:dyDescent="0.25">
      <c r="A100" s="84">
        <f>A99+1</f>
        <v>15</v>
      </c>
      <c r="B100" s="84" t="str">
        <f t="shared" si="27"/>
        <v xml:space="preserve">  </v>
      </c>
      <c r="F100" s="82" t="e">
        <f>SUM(F97:F99)</f>
        <v>#VALUE!</v>
      </c>
      <c r="H100" s="82" t="e">
        <f>SUM(H97:H99)</f>
        <v>#VALUE!</v>
      </c>
      <c r="I100" s="84" t="str">
        <f>CONCATENATE("m'(",C99,")=")</f>
        <v>m'(  )=</v>
      </c>
      <c r="J100" s="84" t="e">
        <f>2*(J97*(WLS))/3*H100</f>
        <v>#VALUE!</v>
      </c>
      <c r="K100" s="84" t="e">
        <f>CONCATENATE("M(",C97,")=")</f>
        <v>#VALUE!</v>
      </c>
      <c r="L100" s="84" t="e">
        <f>VLOOKUP(C97,STN_TABLE,4,FALSE)</f>
        <v>#VALUE!</v>
      </c>
      <c r="M100" t="str">
        <f>CONCATENATE("M(",C99,")=")</f>
        <v>M(  )=</v>
      </c>
      <c r="N100" t="e">
        <f>J100+L100</f>
        <v>#VALUE!</v>
      </c>
      <c r="O100" s="99">
        <f>O99+1</f>
        <v>17</v>
      </c>
      <c r="P100" s="99" t="str">
        <f t="shared" ref="P100:P131" si="44">VLOOKUP(O100,STN_TABLE_2,2,FALSE)</f>
        <v xml:space="preserve">  </v>
      </c>
      <c r="T100" s="89" t="e">
        <f>SUM(T97:T99)</f>
        <v>#VALUE!</v>
      </c>
      <c r="V100" s="82" t="e">
        <f>SUM(V97:V99)</f>
        <v>#VALUE!</v>
      </c>
      <c r="W100" s="84" t="str">
        <f>CONCATENATE("m'(",Q98,")=")</f>
        <v>m'(  )=</v>
      </c>
      <c r="X100" s="84" t="e">
        <f>(2*(X97^2)/24*V100)+(X99*Q97*WLS)</f>
        <v>#VALUE!</v>
      </c>
      <c r="Y100" s="84" t="e">
        <f>CONCATENATE("M(",Q97,")=")</f>
        <v>#VALUE!</v>
      </c>
      <c r="Z100" s="84" t="e">
        <f>VLOOKUP(Q97,STN_TABLE,4,FALSE)</f>
        <v>#VALUE!</v>
      </c>
      <c r="AA100" t="str">
        <f>CONCATENATE("M(",Q98,")=")</f>
        <v>M(  )=</v>
      </c>
      <c r="AB100" t="e">
        <f>X100+Z100</f>
        <v>#VALUE!</v>
      </c>
      <c r="AE100" s="89">
        <f>SUM(AE98:AE99)</f>
        <v>0</v>
      </c>
      <c r="AG100" s="89" t="e">
        <f>SUM(AG98:AG99)</f>
        <v>#VALUE!</v>
      </c>
      <c r="AH100" s="84" t="str">
        <f>CONCATENATE("m'(",AD99,")=")</f>
        <v>m'(  )=</v>
      </c>
      <c r="AI100" s="84" t="e">
        <f>(2*(AI97^2)/6*AG100)+(AI99*AD98*WLS)</f>
        <v>#VALUE!</v>
      </c>
      <c r="AJ100" s="84" t="str">
        <f>CONCATENATE("M(",AD98,")=")</f>
        <v>M(  )=</v>
      </c>
      <c r="AK100" s="84" t="str">
        <f>VLOOKUP(AD98,STN_TABLE,4,FALSE)</f>
        <v xml:space="preserve"> </v>
      </c>
      <c r="AL100" t="str">
        <f>CONCATENATE("M(",AD99,")=")</f>
        <v>M(  )=</v>
      </c>
      <c r="AM100" t="e">
        <f>AI100+AK100</f>
        <v>#VALUE!</v>
      </c>
      <c r="AO100" s="82" t="str">
        <f>AA100</f>
        <v>M(  )=</v>
      </c>
      <c r="AP100" s="82" t="e">
        <f>VLOOKUP(AO100,Rise_Results,2,FALSE)</f>
        <v>#N/A</v>
      </c>
      <c r="AQ100" s="82" t="e">
        <f>N100</f>
        <v>#VALUE!</v>
      </c>
      <c r="AR100" s="82" t="e">
        <f>IF(OR(AB99&lt;=0,AB100&lt;=0),1/0,AB100)</f>
        <v>#VALUE!</v>
      </c>
      <c r="AS100" s="82" t="e">
        <f>AM100</f>
        <v>#VALUE!</v>
      </c>
      <c r="AT100" t="e">
        <f>IFERROR(AP100,IFERROR(AQ100,IFERROR(AR100,AS100)))</f>
        <v>#VALUE!</v>
      </c>
      <c r="AU100" s="81"/>
    </row>
    <row r="101" spans="1:47" x14ac:dyDescent="0.25">
      <c r="A101" s="101">
        <f>A96+1</f>
        <v>12</v>
      </c>
      <c r="B101" s="101">
        <f t="shared" si="27"/>
        <v>6.5</v>
      </c>
      <c r="O101" s="101">
        <f>O96+1</f>
        <v>14</v>
      </c>
      <c r="P101" s="101" t="str">
        <f t="shared" si="44"/>
        <v xml:space="preserve">  </v>
      </c>
      <c r="AU101" s="81"/>
    </row>
    <row r="102" spans="1:47" x14ac:dyDescent="0.25">
      <c r="A102" s="84">
        <f>A101+1</f>
        <v>13</v>
      </c>
      <c r="B102" s="84" t="str">
        <f t="shared" si="27"/>
        <v xml:space="preserve">  </v>
      </c>
      <c r="C102" s="79" t="e">
        <f t="shared" ref="C102" si="45">IF(C103=B104,IF(C104-C103=C103-B103,B103,IF(C104-C103=C103-B102,B102,"#NA")),IF(C103=B103,IF(C104-C103=C103-B102,B102,IF(C104-C103=C103-B101,B101,"#NA")),"#NA"))</f>
        <v>#VALUE!</v>
      </c>
      <c r="D102" s="68" t="e">
        <f>VLOOKUP(C102,STN_TABLE,2,FALSE)</f>
        <v>#VALUE!</v>
      </c>
      <c r="E102" s="102">
        <v>1</v>
      </c>
      <c r="F102" s="68" t="e">
        <f>D102*E102</f>
        <v>#VALUE!</v>
      </c>
      <c r="G102" s="69" t="e">
        <f>C102</f>
        <v>#VALUE!</v>
      </c>
      <c r="H102" s="69" t="e">
        <f>F102*G102</f>
        <v>#VALUE!</v>
      </c>
      <c r="I102" s="6" t="s">
        <v>93</v>
      </c>
      <c r="J102" s="70" t="e">
        <f>IF(OR(D102=0,D103=0,D104=0),"#NA",IF(AND(C104-C103=C103-C102,C103&lt;&gt;C104,C102&lt;&gt;C103,C102&lt;&gt;C104,D104&lt;&gt;0,OR(D102&lt;&gt;0,D103&lt;&gt;0)),WLS*(C104-C103),"#NA"))</f>
        <v>#VALUE!</v>
      </c>
      <c r="O102" s="99">
        <f>O101+1</f>
        <v>15</v>
      </c>
      <c r="P102" s="99" t="str">
        <f t="shared" si="44"/>
        <v xml:space="preserve">  </v>
      </c>
      <c r="Q102" s="68" t="e">
        <f>IF(OR(P104-P103=P103-P102,P105-P103=P103-P102),P102,IF(OR(P104-P103=P103-P101,P105-P103=P103-P101),P101,"-"))</f>
        <v>#VALUE!</v>
      </c>
      <c r="R102" s="69" t="e">
        <f>VLOOKUP(Q102,STN_TABLE,2,FALSE)</f>
        <v>#VALUE!</v>
      </c>
      <c r="S102" s="69">
        <v>5</v>
      </c>
      <c r="T102" s="68" t="e">
        <f>R102*S102</f>
        <v>#VALUE!</v>
      </c>
      <c r="U102" s="79">
        <v>3</v>
      </c>
      <c r="V102" s="68" t="e">
        <f>R102*U102</f>
        <v>#VALUE!</v>
      </c>
      <c r="W102" s="6" t="s">
        <v>93</v>
      </c>
      <c r="X102" s="70" t="e">
        <f>IF(AND(Q104-Q103=Q103-Q102,NOT(AND(Q102=0,Q103=0)),NOT(AND(Q103=0,Q104=0))),WLS*(Q104-Q103),"#NA")</f>
        <v>#VALUE!</v>
      </c>
      <c r="AD102" s="93"/>
      <c r="AH102" s="6" t="s">
        <v>93</v>
      </c>
      <c r="AI102" s="70" t="e">
        <f>WLS*(AD104-AD103)</f>
        <v>#VALUE!</v>
      </c>
      <c r="AU102" s="81"/>
    </row>
    <row r="103" spans="1:47" x14ac:dyDescent="0.25">
      <c r="A103" s="84">
        <f>A102+1</f>
        <v>14</v>
      </c>
      <c r="B103" s="84" t="str">
        <f t="shared" si="27"/>
        <v xml:space="preserve">  </v>
      </c>
      <c r="C103" s="80" t="e">
        <f t="shared" ref="C103" si="46">IF(OR(B105-B104=B104-B103,B105-B104=B104-B102,B105-B104=B104-B101),B104,IF(OR(B105-B103=B103-B102,B105-B103=B103-B101),B103,IF(B105-B102=B102-B101,B102,"#NA")))</f>
        <v>#VALUE!</v>
      </c>
      <c r="D103" s="76" t="e">
        <f>VLOOKUP(C103,STN_TABLE,2,FALSE)</f>
        <v>#VALUE!</v>
      </c>
      <c r="E103" s="81">
        <v>4</v>
      </c>
      <c r="F103" s="76" t="e">
        <f>D103*E103</f>
        <v>#VALUE!</v>
      </c>
      <c r="G103" s="77" t="e">
        <f>C103</f>
        <v>#VALUE!</v>
      </c>
      <c r="H103" s="77" t="e">
        <f>F103*G103</f>
        <v>#VALUE!</v>
      </c>
      <c r="I103" s="495" t="s">
        <v>97</v>
      </c>
      <c r="J103" s="496"/>
      <c r="K103" s="78" t="s">
        <v>98</v>
      </c>
      <c r="L103" s="78"/>
      <c r="M103" s="7" t="s">
        <v>99</v>
      </c>
      <c r="N103" s="7"/>
      <c r="O103" s="99">
        <f>O102+1</f>
        <v>16</v>
      </c>
      <c r="P103" s="99" t="str">
        <f t="shared" si="44"/>
        <v xml:space="preserve">  </v>
      </c>
      <c r="Q103" s="76" t="str">
        <f>P103</f>
        <v xml:space="preserve">  </v>
      </c>
      <c r="R103" s="77" t="str">
        <f>VLOOKUP(Q103,STN_TABLE,2,FALSE)</f>
        <v xml:space="preserve">  </v>
      </c>
      <c r="S103" s="77">
        <v>8</v>
      </c>
      <c r="T103" s="76" t="e">
        <f>R103*S103</f>
        <v>#VALUE!</v>
      </c>
      <c r="U103" s="80">
        <v>10</v>
      </c>
      <c r="V103" s="76" t="e">
        <f>R103*U103</f>
        <v>#VALUE!</v>
      </c>
      <c r="W103" s="496" t="s">
        <v>97</v>
      </c>
      <c r="X103" s="496"/>
      <c r="Y103" s="496" t="s">
        <v>98</v>
      </c>
      <c r="Z103" s="496"/>
      <c r="AA103" s="494" t="s">
        <v>99</v>
      </c>
      <c r="AB103" s="494"/>
      <c r="AC103" s="99">
        <f>AC98+1</f>
        <v>15</v>
      </c>
      <c r="AD103" s="95" t="str">
        <f>VLOOKUP(AC103,STN_TABLE_2,2,FALSE)</f>
        <v xml:space="preserve">  </v>
      </c>
      <c r="AE103" s="68" t="str">
        <f>VLOOKUP(AD103,STN_TABLE,2,FALSE)</f>
        <v xml:space="preserve">  </v>
      </c>
      <c r="AF103" s="68">
        <v>1</v>
      </c>
      <c r="AG103" s="69" t="e">
        <f>AE103*AF103</f>
        <v>#VALUE!</v>
      </c>
      <c r="AH103" s="496" t="s">
        <v>97</v>
      </c>
      <c r="AI103" s="496"/>
      <c r="AJ103" s="496" t="s">
        <v>98</v>
      </c>
      <c r="AK103" s="496"/>
      <c r="AL103" s="494" t="s">
        <v>99</v>
      </c>
      <c r="AM103" s="494"/>
      <c r="AP103" s="86" t="s">
        <v>112</v>
      </c>
      <c r="AQ103" s="89" t="s">
        <v>113</v>
      </c>
      <c r="AR103" s="89" t="s">
        <v>114</v>
      </c>
      <c r="AS103" s="89" t="s">
        <v>115</v>
      </c>
      <c r="AU103" s="81"/>
    </row>
    <row r="104" spans="1:47" x14ac:dyDescent="0.25">
      <c r="A104" s="84">
        <f>A103+1</f>
        <v>15</v>
      </c>
      <c r="B104" s="84" t="str">
        <f t="shared" si="27"/>
        <v xml:space="preserve">  </v>
      </c>
      <c r="C104" s="88" t="str">
        <f t="shared" ref="C104" si="47">B105</f>
        <v xml:space="preserve">  </v>
      </c>
      <c r="D104" s="82" t="str">
        <f>VLOOKUP(C104,STN_TABLE,2,FALSE)</f>
        <v xml:space="preserve">  </v>
      </c>
      <c r="E104" s="92">
        <v>1</v>
      </c>
      <c r="F104" s="82" t="e">
        <f>D104*E104</f>
        <v>#VALUE!</v>
      </c>
      <c r="G104" s="83" t="str">
        <f>C104</f>
        <v xml:space="preserve">  </v>
      </c>
      <c r="H104" s="83" t="e">
        <f>F104*G104</f>
        <v>#VALUE!</v>
      </c>
      <c r="I104" s="84" t="str">
        <f>CONCATENATE("a'(",C104,")=")</f>
        <v>a'(  )=</v>
      </c>
      <c r="J104" s="84" t="e">
        <f>2*J102/3*F105</f>
        <v>#VALUE!</v>
      </c>
      <c r="K104" s="84" t="e">
        <f>CONCATENATE("A(",C102,")=")</f>
        <v>#VALUE!</v>
      </c>
      <c r="L104" s="84" t="e">
        <f>VLOOKUP(C102,STN_TABLE,3,FALSE)</f>
        <v>#VALUE!</v>
      </c>
      <c r="M104" t="str">
        <f>CONCATENATE("A(",C104,")=")</f>
        <v>A(  )=</v>
      </c>
      <c r="N104" t="e">
        <f>J104+L104</f>
        <v>#VALUE!</v>
      </c>
      <c r="O104" s="99">
        <f>O103+1</f>
        <v>17</v>
      </c>
      <c r="P104" s="99" t="str">
        <f t="shared" si="44"/>
        <v xml:space="preserve">  </v>
      </c>
      <c r="Q104" s="82" t="e">
        <f>IF(P104-P103=P103-P102,P104,IF(P105-P103=P103-P102,P105,IF(P104-P103=P103-P101,P104,IF(P105-P103=P103-P101,P105,"-"))))</f>
        <v>#VALUE!</v>
      </c>
      <c r="R104" s="83" t="e">
        <f>VLOOKUP(Q104,STN_TABLE,2,FALSE)</f>
        <v>#VALUE!</v>
      </c>
      <c r="S104" s="83">
        <v>-1</v>
      </c>
      <c r="T104" s="82" t="e">
        <f>R104*S104</f>
        <v>#VALUE!</v>
      </c>
      <c r="U104" s="88">
        <v>-1</v>
      </c>
      <c r="V104" s="82" t="e">
        <f>R104*U104</f>
        <v>#VALUE!</v>
      </c>
      <c r="W104" s="84" t="str">
        <f>CONCATENATE("a'(",Q103,")=")</f>
        <v>a'(  )=</v>
      </c>
      <c r="X104" s="84" t="e">
        <f>2*X102/12*T105</f>
        <v>#VALUE!</v>
      </c>
      <c r="Y104" s="84" t="e">
        <f>CONCATENATE("A(",Q102,")=")</f>
        <v>#VALUE!</v>
      </c>
      <c r="Z104" s="84" t="e">
        <f>VLOOKUP(Q102,STN_TABLE,3,FALSE)</f>
        <v>#VALUE!</v>
      </c>
      <c r="AA104" t="str">
        <f>CONCATENATE("A(",Q103,")=")</f>
        <v>A(  )=</v>
      </c>
      <c r="AB104" t="e">
        <f>X104+Z104</f>
        <v>#VALUE!</v>
      </c>
      <c r="AC104" s="99">
        <f>AC103+1</f>
        <v>16</v>
      </c>
      <c r="AD104" s="100" t="str">
        <f>VLOOKUP(AC104,STN_TABLE_2,2,FALSE)</f>
        <v xml:space="preserve">  </v>
      </c>
      <c r="AE104" s="82" t="str">
        <f>VLOOKUP(AD104,STN_TABLE,2,FALSE)</f>
        <v xml:space="preserve">  </v>
      </c>
      <c r="AF104" s="82">
        <v>2</v>
      </c>
      <c r="AG104" s="83" t="e">
        <f>AE104*AF104</f>
        <v>#VALUE!</v>
      </c>
      <c r="AH104" s="84" t="str">
        <f>CONCATENATE("a'(",AD104,")=")</f>
        <v>a'(  )=</v>
      </c>
      <c r="AI104" s="84" t="e">
        <f>2*AI102/2*AE105</f>
        <v>#VALUE!</v>
      </c>
      <c r="AJ104" s="84" t="str">
        <f>CONCATENATE("A(",AD103,")=")</f>
        <v>A(  )=</v>
      </c>
      <c r="AK104" s="84" t="str">
        <f>VLOOKUP(AD103,STN_TABLE,3,FALSE)</f>
        <v xml:space="preserve"> </v>
      </c>
      <c r="AL104" t="str">
        <f>CONCATENATE("A(",AD104,")=")</f>
        <v>A(  )=</v>
      </c>
      <c r="AM104" t="e">
        <f>AI104+AK104</f>
        <v>#VALUE!</v>
      </c>
      <c r="AO104" s="68" t="str">
        <f>AA104</f>
        <v>A(  )=</v>
      </c>
      <c r="AP104" s="68" t="e">
        <f>VLOOKUP(AO104,Rise_Results,2,FALSE)</f>
        <v>#N/A</v>
      </c>
      <c r="AQ104" s="76" t="e">
        <f>N104</f>
        <v>#VALUE!</v>
      </c>
      <c r="AR104" s="76" t="e">
        <f>IF(OR(AB104&lt;=0,AB105&lt;=0),1/0,AB104)</f>
        <v>#VALUE!</v>
      </c>
      <c r="AS104" s="76" t="e">
        <f>AM104</f>
        <v>#VALUE!</v>
      </c>
      <c r="AT104" t="e">
        <f>IFERROR(AP104,IFERROR(AQ104,IFERROR(AR104,AS104)))</f>
        <v>#VALUE!</v>
      </c>
      <c r="AU104" s="81"/>
    </row>
    <row r="105" spans="1:47" x14ac:dyDescent="0.25">
      <c r="A105" s="84">
        <f>A104+1</f>
        <v>16</v>
      </c>
      <c r="B105" s="84" t="str">
        <f t="shared" si="27"/>
        <v xml:space="preserve">  </v>
      </c>
      <c r="F105" s="82" t="e">
        <f>SUM(F102:F104)</f>
        <v>#VALUE!</v>
      </c>
      <c r="H105" s="82" t="e">
        <f>SUM(H102:H104)</f>
        <v>#VALUE!</v>
      </c>
      <c r="I105" s="84" t="str">
        <f>CONCATENATE("m'(",C104,")=")</f>
        <v>m'(  )=</v>
      </c>
      <c r="J105" s="84" t="e">
        <f>2*(J102*(WLS))/3*H105</f>
        <v>#VALUE!</v>
      </c>
      <c r="K105" s="84" t="e">
        <f>CONCATENATE("M(",C102,")=")</f>
        <v>#VALUE!</v>
      </c>
      <c r="L105" s="84" t="e">
        <f>VLOOKUP(C102,STN_TABLE,4,FALSE)</f>
        <v>#VALUE!</v>
      </c>
      <c r="M105" t="str">
        <f>CONCATENATE("M(",C104,")=")</f>
        <v>M(  )=</v>
      </c>
      <c r="N105" t="e">
        <f>J105+L105</f>
        <v>#VALUE!</v>
      </c>
      <c r="O105" s="99">
        <f>O104+1</f>
        <v>18</v>
      </c>
      <c r="P105" s="99" t="str">
        <f t="shared" si="44"/>
        <v xml:space="preserve">  </v>
      </c>
      <c r="T105" s="89" t="e">
        <f>SUM(T102:T104)</f>
        <v>#VALUE!</v>
      </c>
      <c r="V105" s="82" t="e">
        <f>SUM(V102:V104)</f>
        <v>#VALUE!</v>
      </c>
      <c r="W105" s="84" t="str">
        <f>CONCATENATE("m'(",Q103,")=")</f>
        <v>m'(  )=</v>
      </c>
      <c r="X105" s="84" t="e">
        <f>(2*(X102^2)/24*V105)+(X104*Q102*WLS)</f>
        <v>#VALUE!</v>
      </c>
      <c r="Y105" s="84" t="e">
        <f>CONCATENATE("M(",Q102,")=")</f>
        <v>#VALUE!</v>
      </c>
      <c r="Z105" s="84" t="e">
        <f>VLOOKUP(Q102,STN_TABLE,4,FALSE)</f>
        <v>#VALUE!</v>
      </c>
      <c r="AA105" t="str">
        <f>CONCATENATE("M(",Q103,")=")</f>
        <v>M(  )=</v>
      </c>
      <c r="AB105" t="e">
        <f>X105+Z105</f>
        <v>#VALUE!</v>
      </c>
      <c r="AE105" s="89">
        <f>SUM(AE103:AE104)</f>
        <v>0</v>
      </c>
      <c r="AG105" s="89" t="e">
        <f>SUM(AG103:AG104)</f>
        <v>#VALUE!</v>
      </c>
      <c r="AH105" s="84" t="str">
        <f>CONCATENATE("m'(",AD104,")=")</f>
        <v>m'(  )=</v>
      </c>
      <c r="AI105" s="84" t="e">
        <f>(2*(AI102^2)/6*AG105)+(AI104*AD103*WLS)</f>
        <v>#VALUE!</v>
      </c>
      <c r="AJ105" s="84" t="str">
        <f>CONCATENATE("M(",AD103,")=")</f>
        <v>M(  )=</v>
      </c>
      <c r="AK105" s="84" t="str">
        <f>VLOOKUP(AD103,STN_TABLE,4,FALSE)</f>
        <v xml:space="preserve"> </v>
      </c>
      <c r="AL105" t="str">
        <f>CONCATENATE("M(",AD104,")=")</f>
        <v>M(  )=</v>
      </c>
      <c r="AM105" t="e">
        <f>AI105+AK105</f>
        <v>#VALUE!</v>
      </c>
      <c r="AO105" s="82" t="str">
        <f>AA105</f>
        <v>M(  )=</v>
      </c>
      <c r="AP105" s="82" t="e">
        <f>VLOOKUP(AO105,Rise_Results,2,FALSE)</f>
        <v>#N/A</v>
      </c>
      <c r="AQ105" s="82" t="e">
        <f>N105</f>
        <v>#VALUE!</v>
      </c>
      <c r="AR105" s="82" t="e">
        <f>IF(OR(AB104&lt;=0,AB105&lt;=0),1/0,AB105)</f>
        <v>#VALUE!</v>
      </c>
      <c r="AS105" s="82" t="e">
        <f>AM105</f>
        <v>#VALUE!</v>
      </c>
      <c r="AT105" t="e">
        <f>IFERROR(AP105,IFERROR(AQ105,IFERROR(AR105,AS105)))</f>
        <v>#VALUE!</v>
      </c>
      <c r="AU105" s="81"/>
    </row>
    <row r="106" spans="1:47" x14ac:dyDescent="0.25">
      <c r="A106" s="101">
        <f>A101+1</f>
        <v>13</v>
      </c>
      <c r="B106" s="101" t="str">
        <f t="shared" ref="B106:B137" si="48">VLOOKUP(A106,STN_TABLE_2,2,FALSE)</f>
        <v xml:space="preserve">  </v>
      </c>
      <c r="O106" s="101">
        <f>O101+1</f>
        <v>15</v>
      </c>
      <c r="P106" s="101" t="str">
        <f t="shared" si="44"/>
        <v xml:space="preserve">  </v>
      </c>
      <c r="AU106" s="81"/>
    </row>
    <row r="107" spans="1:47" x14ac:dyDescent="0.25">
      <c r="A107" s="84">
        <f>A106+1</f>
        <v>14</v>
      </c>
      <c r="B107" s="84" t="str">
        <f t="shared" si="48"/>
        <v xml:space="preserve">  </v>
      </c>
      <c r="C107" s="79" t="e">
        <f t="shared" ref="C107" si="49">IF(C108=B109,IF(C109-C108=C108-B108,B108,IF(C109-C108=C108-B107,B107,"#NA")),IF(C108=B108,IF(C109-C108=C108-B107,B107,IF(C109-C108=C108-B106,B106,"#NA")),"#NA"))</f>
        <v>#VALUE!</v>
      </c>
      <c r="D107" s="68" t="e">
        <f>VLOOKUP(C107,STN_TABLE,2,FALSE)</f>
        <v>#VALUE!</v>
      </c>
      <c r="E107" s="102">
        <v>1</v>
      </c>
      <c r="F107" s="68" t="e">
        <f>D107*E107</f>
        <v>#VALUE!</v>
      </c>
      <c r="G107" s="69" t="e">
        <f>C107</f>
        <v>#VALUE!</v>
      </c>
      <c r="H107" s="69" t="e">
        <f>F107*G107</f>
        <v>#VALUE!</v>
      </c>
      <c r="I107" s="6" t="s">
        <v>93</v>
      </c>
      <c r="J107" s="70" t="e">
        <f>IF(OR(D107=0,D108=0,D109=0),"#NA",IF(AND(C109-C108=C108-C107,C108&lt;&gt;C109,C107&lt;&gt;C108,C107&lt;&gt;C109,D109&lt;&gt;0,OR(D107&lt;&gt;0,D108&lt;&gt;0)),WLS*(C109-C108),"#NA"))</f>
        <v>#VALUE!</v>
      </c>
      <c r="O107" s="99">
        <f>O106+1</f>
        <v>16</v>
      </c>
      <c r="P107" s="99" t="str">
        <f t="shared" si="44"/>
        <v xml:space="preserve">  </v>
      </c>
      <c r="Q107" s="68" t="e">
        <f>IF(OR(P109-P108=P108-P107,P110-P108=P108-P107),P107,IF(OR(P109-P108=P108-P106,P110-P108=P108-P106),P106,"-"))</f>
        <v>#VALUE!</v>
      </c>
      <c r="R107" s="69" t="e">
        <f>VLOOKUP(Q107,STN_TABLE,2,FALSE)</f>
        <v>#VALUE!</v>
      </c>
      <c r="S107" s="69">
        <v>5</v>
      </c>
      <c r="T107" s="68" t="e">
        <f>R107*S107</f>
        <v>#VALUE!</v>
      </c>
      <c r="U107" s="79">
        <v>3</v>
      </c>
      <c r="V107" s="68" t="e">
        <f>R107*U107</f>
        <v>#VALUE!</v>
      </c>
      <c r="W107" s="6" t="s">
        <v>93</v>
      </c>
      <c r="X107" s="70" t="e">
        <f>IF(AND(Q109-Q108=Q108-Q107,NOT(AND(Q107=0,Q108=0)),NOT(AND(Q108=0,Q109=0))),WLS*(Q109-Q108),"#NA")</f>
        <v>#VALUE!</v>
      </c>
      <c r="AD107" s="93"/>
      <c r="AH107" s="6" t="s">
        <v>93</v>
      </c>
      <c r="AI107" s="70" t="e">
        <f>WLS*(AD109-AD108)</f>
        <v>#VALUE!</v>
      </c>
      <c r="AU107" s="81"/>
    </row>
    <row r="108" spans="1:47" x14ac:dyDescent="0.25">
      <c r="A108" s="84">
        <f>A107+1</f>
        <v>15</v>
      </c>
      <c r="B108" s="84" t="str">
        <f t="shared" si="48"/>
        <v xml:space="preserve">  </v>
      </c>
      <c r="C108" s="80" t="e">
        <f t="shared" ref="C108" si="50">IF(OR(B110-B109=B109-B108,B110-B109=B109-B107,B110-B109=B109-B106),B109,IF(OR(B110-B108=B108-B107,B110-B108=B108-B106),B108,IF(B110-B107=B107-B106,B107,"#NA")))</f>
        <v>#VALUE!</v>
      </c>
      <c r="D108" s="76" t="e">
        <f>VLOOKUP(C108,STN_TABLE,2,FALSE)</f>
        <v>#VALUE!</v>
      </c>
      <c r="E108" s="81">
        <v>4</v>
      </c>
      <c r="F108" s="76" t="e">
        <f>D108*E108</f>
        <v>#VALUE!</v>
      </c>
      <c r="G108" s="77" t="e">
        <f>C108</f>
        <v>#VALUE!</v>
      </c>
      <c r="H108" s="77" t="e">
        <f>F108*G108</f>
        <v>#VALUE!</v>
      </c>
      <c r="I108" s="495" t="s">
        <v>97</v>
      </c>
      <c r="J108" s="496"/>
      <c r="K108" s="78" t="s">
        <v>98</v>
      </c>
      <c r="L108" s="78"/>
      <c r="M108" s="7" t="s">
        <v>99</v>
      </c>
      <c r="N108" s="7"/>
      <c r="O108" s="99">
        <f>O107+1</f>
        <v>17</v>
      </c>
      <c r="P108" s="99" t="str">
        <f t="shared" si="44"/>
        <v xml:space="preserve">  </v>
      </c>
      <c r="Q108" s="76" t="str">
        <f>P108</f>
        <v xml:space="preserve">  </v>
      </c>
      <c r="R108" s="77" t="str">
        <f>VLOOKUP(Q108,STN_TABLE,2,FALSE)</f>
        <v xml:space="preserve">  </v>
      </c>
      <c r="S108" s="77">
        <v>8</v>
      </c>
      <c r="T108" s="76" t="e">
        <f>R108*S108</f>
        <v>#VALUE!</v>
      </c>
      <c r="U108" s="80">
        <v>10</v>
      </c>
      <c r="V108" s="76" t="e">
        <f>R108*U108</f>
        <v>#VALUE!</v>
      </c>
      <c r="W108" s="496" t="s">
        <v>97</v>
      </c>
      <c r="X108" s="496"/>
      <c r="Y108" s="496" t="s">
        <v>98</v>
      </c>
      <c r="Z108" s="496"/>
      <c r="AA108" s="494" t="s">
        <v>99</v>
      </c>
      <c r="AB108" s="494"/>
      <c r="AC108" s="99">
        <f>AC103+1</f>
        <v>16</v>
      </c>
      <c r="AD108" s="95" t="str">
        <f>VLOOKUP(AC108,STN_TABLE_2,2,FALSE)</f>
        <v xml:space="preserve">  </v>
      </c>
      <c r="AE108" s="68" t="str">
        <f>VLOOKUP(AD108,STN_TABLE,2,FALSE)</f>
        <v xml:space="preserve">  </v>
      </c>
      <c r="AF108" s="68">
        <v>1</v>
      </c>
      <c r="AG108" s="69" t="e">
        <f>AE108*AF108</f>
        <v>#VALUE!</v>
      </c>
      <c r="AH108" s="496" t="s">
        <v>97</v>
      </c>
      <c r="AI108" s="496"/>
      <c r="AJ108" s="496" t="s">
        <v>98</v>
      </c>
      <c r="AK108" s="496"/>
      <c r="AL108" s="494" t="s">
        <v>99</v>
      </c>
      <c r="AM108" s="494"/>
      <c r="AP108" s="86" t="s">
        <v>112</v>
      </c>
      <c r="AQ108" s="89" t="s">
        <v>113</v>
      </c>
      <c r="AR108" s="89" t="s">
        <v>114</v>
      </c>
      <c r="AS108" s="89" t="s">
        <v>115</v>
      </c>
      <c r="AU108" s="81"/>
    </row>
    <row r="109" spans="1:47" x14ac:dyDescent="0.25">
      <c r="A109" s="84">
        <f>A108+1</f>
        <v>16</v>
      </c>
      <c r="B109" s="84" t="str">
        <f t="shared" si="48"/>
        <v xml:space="preserve">  </v>
      </c>
      <c r="C109" s="88" t="str">
        <f t="shared" ref="C109" si="51">B110</f>
        <v xml:space="preserve">  </v>
      </c>
      <c r="D109" s="82" t="str">
        <f>VLOOKUP(C109,STN_TABLE,2,FALSE)</f>
        <v xml:space="preserve">  </v>
      </c>
      <c r="E109" s="92">
        <v>1</v>
      </c>
      <c r="F109" s="82" t="e">
        <f>D109*E109</f>
        <v>#VALUE!</v>
      </c>
      <c r="G109" s="83" t="str">
        <f>C109</f>
        <v xml:space="preserve">  </v>
      </c>
      <c r="H109" s="83" t="e">
        <f>F109*G109</f>
        <v>#VALUE!</v>
      </c>
      <c r="I109" s="84" t="str">
        <f>CONCATENATE("a'(",C109,")=")</f>
        <v>a'(  )=</v>
      </c>
      <c r="J109" s="84" t="e">
        <f>2*J107/3*F110</f>
        <v>#VALUE!</v>
      </c>
      <c r="K109" s="84" t="e">
        <f>CONCATENATE("A(",C107,")=")</f>
        <v>#VALUE!</v>
      </c>
      <c r="L109" s="84" t="e">
        <f>VLOOKUP(C107,STN_TABLE,3,FALSE)</f>
        <v>#VALUE!</v>
      </c>
      <c r="M109" t="str">
        <f>CONCATENATE("A(",C109,")=")</f>
        <v>A(  )=</v>
      </c>
      <c r="N109" t="e">
        <f>J109+L109</f>
        <v>#VALUE!</v>
      </c>
      <c r="O109" s="99">
        <f>O108+1</f>
        <v>18</v>
      </c>
      <c r="P109" s="99" t="str">
        <f t="shared" si="44"/>
        <v xml:space="preserve">  </v>
      </c>
      <c r="Q109" s="82" t="e">
        <f>IF(P109-P108=P108-P107,P109,IF(P110-P108=P108-P107,P110,IF(P109-P108=P108-P106,P109,IF(P110-P108=P108-P106,P110,"-"))))</f>
        <v>#VALUE!</v>
      </c>
      <c r="R109" s="83" t="e">
        <f>VLOOKUP(Q109,STN_TABLE,2,FALSE)</f>
        <v>#VALUE!</v>
      </c>
      <c r="S109" s="83">
        <v>-1</v>
      </c>
      <c r="T109" s="82" t="e">
        <f>R109*S109</f>
        <v>#VALUE!</v>
      </c>
      <c r="U109" s="88">
        <v>-1</v>
      </c>
      <c r="V109" s="82" t="e">
        <f>R109*U109</f>
        <v>#VALUE!</v>
      </c>
      <c r="W109" s="84" t="str">
        <f>CONCATENATE("a'(",Q108,")=")</f>
        <v>a'(  )=</v>
      </c>
      <c r="X109" s="84" t="e">
        <f>2*X107/12*T110</f>
        <v>#VALUE!</v>
      </c>
      <c r="Y109" s="84" t="e">
        <f>CONCATENATE("A(",Q107,")=")</f>
        <v>#VALUE!</v>
      </c>
      <c r="Z109" s="84" t="e">
        <f>VLOOKUP(Q107,STN_TABLE,3,FALSE)</f>
        <v>#VALUE!</v>
      </c>
      <c r="AA109" t="str">
        <f>CONCATENATE("A(",Q108,")=")</f>
        <v>A(  )=</v>
      </c>
      <c r="AB109" t="e">
        <f>X109+Z109</f>
        <v>#VALUE!</v>
      </c>
      <c r="AC109" s="99">
        <f>AC108+1</f>
        <v>17</v>
      </c>
      <c r="AD109" s="100" t="str">
        <f>VLOOKUP(AC109,STN_TABLE_2,2,FALSE)</f>
        <v xml:space="preserve">  </v>
      </c>
      <c r="AE109" s="82" t="str">
        <f>VLOOKUP(AD109,STN_TABLE,2,FALSE)</f>
        <v xml:space="preserve">  </v>
      </c>
      <c r="AF109" s="82">
        <v>2</v>
      </c>
      <c r="AG109" s="83" t="e">
        <f>AE109*AF109</f>
        <v>#VALUE!</v>
      </c>
      <c r="AH109" s="84" t="str">
        <f>CONCATENATE("a'(",AD109,")=")</f>
        <v>a'(  )=</v>
      </c>
      <c r="AI109" s="84" t="e">
        <f>2*AI107/2*AE110</f>
        <v>#VALUE!</v>
      </c>
      <c r="AJ109" s="84" t="str">
        <f>CONCATENATE("A(",AD108,")=")</f>
        <v>A(  )=</v>
      </c>
      <c r="AK109" s="84" t="str">
        <f>VLOOKUP(AD108,STN_TABLE,3,FALSE)</f>
        <v xml:space="preserve"> </v>
      </c>
      <c r="AL109" t="str">
        <f>CONCATENATE("A(",AD109,")=")</f>
        <v>A(  )=</v>
      </c>
      <c r="AM109" t="e">
        <f>AI109+AK109</f>
        <v>#VALUE!</v>
      </c>
      <c r="AO109" s="68" t="str">
        <f>AA109</f>
        <v>A(  )=</v>
      </c>
      <c r="AP109" s="68" t="e">
        <f>VLOOKUP(AO109,Rise_Results,2,FALSE)</f>
        <v>#N/A</v>
      </c>
      <c r="AQ109" s="76" t="e">
        <f>N109</f>
        <v>#VALUE!</v>
      </c>
      <c r="AR109" s="76" t="e">
        <f>IF(OR(AB109&lt;=0,AB110&lt;=0),1/0,AB109)</f>
        <v>#VALUE!</v>
      </c>
      <c r="AS109" s="76" t="e">
        <f>AM109</f>
        <v>#VALUE!</v>
      </c>
      <c r="AT109" t="e">
        <f>IFERROR(AP109,IFERROR(AQ109,IFERROR(AR109,AS109)))</f>
        <v>#VALUE!</v>
      </c>
      <c r="AU109" s="81"/>
    </row>
    <row r="110" spans="1:47" x14ac:dyDescent="0.25">
      <c r="A110" s="84">
        <f>A109+1</f>
        <v>17</v>
      </c>
      <c r="B110" s="84" t="str">
        <f t="shared" si="48"/>
        <v xml:space="preserve">  </v>
      </c>
      <c r="F110" s="82" t="e">
        <f>SUM(F107:F109)</f>
        <v>#VALUE!</v>
      </c>
      <c r="H110" s="82" t="e">
        <f>SUM(H107:H109)</f>
        <v>#VALUE!</v>
      </c>
      <c r="I110" s="84" t="str">
        <f>CONCATENATE("m'(",C109,")=")</f>
        <v>m'(  )=</v>
      </c>
      <c r="J110" s="84" t="e">
        <f>2*(J107*(WLS))/3*H110</f>
        <v>#VALUE!</v>
      </c>
      <c r="K110" s="84" t="e">
        <f>CONCATENATE("M(",C107,")=")</f>
        <v>#VALUE!</v>
      </c>
      <c r="L110" s="84" t="e">
        <f>VLOOKUP(C107,STN_TABLE,4,FALSE)</f>
        <v>#VALUE!</v>
      </c>
      <c r="M110" t="str">
        <f>CONCATENATE("M(",C109,")=")</f>
        <v>M(  )=</v>
      </c>
      <c r="N110" t="e">
        <f>J110+L110</f>
        <v>#VALUE!</v>
      </c>
      <c r="O110" s="99">
        <f>O109+1</f>
        <v>19</v>
      </c>
      <c r="P110" s="99" t="str">
        <f t="shared" si="44"/>
        <v xml:space="preserve">  </v>
      </c>
      <c r="T110" s="89" t="e">
        <f>SUM(T107:T109)</f>
        <v>#VALUE!</v>
      </c>
      <c r="V110" s="82" t="e">
        <f>SUM(V107:V109)</f>
        <v>#VALUE!</v>
      </c>
      <c r="W110" s="84" t="str">
        <f>CONCATENATE("m'(",Q108,")=")</f>
        <v>m'(  )=</v>
      </c>
      <c r="X110" s="84" t="e">
        <f>(2*(X107^2)/24*V110)+(X109*Q107*WLS)</f>
        <v>#VALUE!</v>
      </c>
      <c r="Y110" s="84" t="e">
        <f>CONCATENATE("M(",Q107,")=")</f>
        <v>#VALUE!</v>
      </c>
      <c r="Z110" s="84" t="e">
        <f>VLOOKUP(Q107,STN_TABLE,4,FALSE)</f>
        <v>#VALUE!</v>
      </c>
      <c r="AA110" t="str">
        <f>CONCATENATE("M(",Q108,")=")</f>
        <v>M(  )=</v>
      </c>
      <c r="AB110" t="e">
        <f>X110+Z110</f>
        <v>#VALUE!</v>
      </c>
      <c r="AE110" s="89">
        <f>SUM(AE108:AE109)</f>
        <v>0</v>
      </c>
      <c r="AG110" s="89" t="e">
        <f>SUM(AG108:AG109)</f>
        <v>#VALUE!</v>
      </c>
      <c r="AH110" s="84" t="str">
        <f>CONCATENATE("m'(",AD109,")=")</f>
        <v>m'(  )=</v>
      </c>
      <c r="AI110" s="84" t="e">
        <f>(2*(AI107^2)/6*AG110)+(AI109*AD108*WLS)</f>
        <v>#VALUE!</v>
      </c>
      <c r="AJ110" s="84" t="str">
        <f>CONCATENATE("M(",AD108,")=")</f>
        <v>M(  )=</v>
      </c>
      <c r="AK110" s="84" t="str">
        <f>VLOOKUP(AD108,STN_TABLE,4,FALSE)</f>
        <v xml:space="preserve"> </v>
      </c>
      <c r="AL110" t="str">
        <f>CONCATENATE("M(",AD109,")=")</f>
        <v>M(  )=</v>
      </c>
      <c r="AM110" t="e">
        <f>AI110+AK110</f>
        <v>#VALUE!</v>
      </c>
      <c r="AO110" s="82" t="str">
        <f>AA110</f>
        <v>M(  )=</v>
      </c>
      <c r="AP110" s="82" t="e">
        <f>VLOOKUP(AO110,Rise_Results,2,FALSE)</f>
        <v>#N/A</v>
      </c>
      <c r="AQ110" s="82" t="e">
        <f>N110</f>
        <v>#VALUE!</v>
      </c>
      <c r="AR110" s="82" t="e">
        <f>IF(OR(AB109&lt;=0,AB110&lt;=0),1/0,AB110)</f>
        <v>#VALUE!</v>
      </c>
      <c r="AS110" s="82" t="e">
        <f>AM110</f>
        <v>#VALUE!</v>
      </c>
      <c r="AT110" t="e">
        <f>IFERROR(AP110,IFERROR(AQ110,IFERROR(AR110,AS110)))</f>
        <v>#VALUE!</v>
      </c>
      <c r="AU110" s="81"/>
    </row>
    <row r="111" spans="1:47" x14ac:dyDescent="0.25">
      <c r="A111" s="101">
        <f>A106+1</f>
        <v>14</v>
      </c>
      <c r="B111" s="101" t="str">
        <f t="shared" si="48"/>
        <v xml:space="preserve">  </v>
      </c>
      <c r="O111" s="101">
        <f>O106+1</f>
        <v>16</v>
      </c>
      <c r="P111" s="101" t="str">
        <f t="shared" si="44"/>
        <v xml:space="preserve">  </v>
      </c>
      <c r="AU111" s="81"/>
    </row>
    <row r="112" spans="1:47" x14ac:dyDescent="0.25">
      <c r="A112" s="84">
        <f>A111+1</f>
        <v>15</v>
      </c>
      <c r="B112" s="84" t="str">
        <f t="shared" si="48"/>
        <v xml:space="preserve">  </v>
      </c>
      <c r="C112" s="79" t="e">
        <f t="shared" ref="C112" si="52">IF(C113=B114,IF(C114-C113=C113-B113,B113,IF(C114-C113=C113-B112,B112,"#NA")),IF(C113=B113,IF(C114-C113=C113-B112,B112,IF(C114-C113=C113-B111,B111,"#NA")),"#NA"))</f>
        <v>#VALUE!</v>
      </c>
      <c r="D112" s="68" t="e">
        <f>VLOOKUP(C112,STN_TABLE,2,FALSE)</f>
        <v>#VALUE!</v>
      </c>
      <c r="E112" s="102">
        <v>1</v>
      </c>
      <c r="F112" s="68" t="e">
        <f>D112*E112</f>
        <v>#VALUE!</v>
      </c>
      <c r="G112" s="69" t="e">
        <f>C112</f>
        <v>#VALUE!</v>
      </c>
      <c r="H112" s="69" t="e">
        <f>F112*G112</f>
        <v>#VALUE!</v>
      </c>
      <c r="I112" s="6" t="s">
        <v>93</v>
      </c>
      <c r="J112" s="70" t="e">
        <f>IF(OR(D112=0,D113=0,D114=0),"#NA",IF(AND(C114-C113=C113-C112,C113&lt;&gt;C114,C112&lt;&gt;C113,C112&lt;&gt;C114,D114&lt;&gt;0,OR(D112&lt;&gt;0,D113&lt;&gt;0)),WLS*(C114-C113),"#NA"))</f>
        <v>#VALUE!</v>
      </c>
      <c r="O112" s="99">
        <f>O111+1</f>
        <v>17</v>
      </c>
      <c r="P112" s="99" t="str">
        <f t="shared" si="44"/>
        <v xml:space="preserve">  </v>
      </c>
      <c r="Q112" s="68" t="e">
        <f>IF(OR(P114-P113=P113-P112,P115-P113=P113-P112),P112,IF(OR(P114-P113=P113-P111,P115-P113=P113-P111),P111,"-"))</f>
        <v>#VALUE!</v>
      </c>
      <c r="R112" s="69" t="e">
        <f>VLOOKUP(Q112,STN_TABLE,2,FALSE)</f>
        <v>#VALUE!</v>
      </c>
      <c r="S112" s="69">
        <v>5</v>
      </c>
      <c r="T112" s="68" t="e">
        <f>R112*S112</f>
        <v>#VALUE!</v>
      </c>
      <c r="U112" s="79">
        <v>3</v>
      </c>
      <c r="V112" s="68" t="e">
        <f>R112*U112</f>
        <v>#VALUE!</v>
      </c>
      <c r="W112" s="6" t="s">
        <v>93</v>
      </c>
      <c r="X112" s="70" t="e">
        <f>IF(AND(Q114-Q113=Q113-Q112,NOT(AND(Q112=0,Q113=0)),NOT(AND(Q113=0,Q114=0))),WLS*(Q114-Q113),"#NA")</f>
        <v>#VALUE!</v>
      </c>
      <c r="AD112" s="93"/>
      <c r="AH112" s="6" t="s">
        <v>93</v>
      </c>
      <c r="AI112" s="70" t="e">
        <f>WLS*(AD114-AD113)</f>
        <v>#VALUE!</v>
      </c>
      <c r="AU112" s="81"/>
    </row>
    <row r="113" spans="1:47" x14ac:dyDescent="0.25">
      <c r="A113" s="84">
        <f>A112+1</f>
        <v>16</v>
      </c>
      <c r="B113" s="84" t="str">
        <f t="shared" si="48"/>
        <v xml:space="preserve">  </v>
      </c>
      <c r="C113" s="80" t="e">
        <f t="shared" ref="C113" si="53">IF(OR(B115-B114=B114-B113,B115-B114=B114-B112,B115-B114=B114-B111),B114,IF(OR(B115-B113=B113-B112,B115-B113=B113-B111),B113,IF(B115-B112=B112-B111,B112,"#NA")))</f>
        <v>#VALUE!</v>
      </c>
      <c r="D113" s="76" t="e">
        <f>VLOOKUP(C113,STN_TABLE,2,FALSE)</f>
        <v>#VALUE!</v>
      </c>
      <c r="E113" s="81">
        <v>4</v>
      </c>
      <c r="F113" s="76" t="e">
        <f>D113*E113</f>
        <v>#VALUE!</v>
      </c>
      <c r="G113" s="77" t="e">
        <f>C113</f>
        <v>#VALUE!</v>
      </c>
      <c r="H113" s="77" t="e">
        <f>F113*G113</f>
        <v>#VALUE!</v>
      </c>
      <c r="I113" s="495" t="s">
        <v>97</v>
      </c>
      <c r="J113" s="496"/>
      <c r="K113" s="78" t="s">
        <v>98</v>
      </c>
      <c r="L113" s="78"/>
      <c r="M113" s="7" t="s">
        <v>99</v>
      </c>
      <c r="N113" s="7"/>
      <c r="O113" s="99">
        <f>O112+1</f>
        <v>18</v>
      </c>
      <c r="P113" s="99" t="str">
        <f t="shared" si="44"/>
        <v xml:space="preserve">  </v>
      </c>
      <c r="Q113" s="76" t="str">
        <f>P113</f>
        <v xml:space="preserve">  </v>
      </c>
      <c r="R113" s="77" t="str">
        <f>VLOOKUP(Q113,STN_TABLE,2,FALSE)</f>
        <v xml:space="preserve">  </v>
      </c>
      <c r="S113" s="77">
        <v>8</v>
      </c>
      <c r="T113" s="76" t="e">
        <f>R113*S113</f>
        <v>#VALUE!</v>
      </c>
      <c r="U113" s="80">
        <v>10</v>
      </c>
      <c r="V113" s="76" t="e">
        <f>R113*U113</f>
        <v>#VALUE!</v>
      </c>
      <c r="W113" s="496" t="s">
        <v>97</v>
      </c>
      <c r="X113" s="496"/>
      <c r="Y113" s="496" t="s">
        <v>98</v>
      </c>
      <c r="Z113" s="496"/>
      <c r="AA113" s="494" t="s">
        <v>99</v>
      </c>
      <c r="AB113" s="494"/>
      <c r="AC113" s="99">
        <f>AC108+1</f>
        <v>17</v>
      </c>
      <c r="AD113" s="95" t="str">
        <f>VLOOKUP(AC113,STN_TABLE_2,2,FALSE)</f>
        <v xml:space="preserve">  </v>
      </c>
      <c r="AE113" s="68" t="str">
        <f>VLOOKUP(AD113,STN_TABLE,2,FALSE)</f>
        <v xml:space="preserve">  </v>
      </c>
      <c r="AF113" s="68">
        <v>1</v>
      </c>
      <c r="AG113" s="69" t="e">
        <f>AE113*AF113</f>
        <v>#VALUE!</v>
      </c>
      <c r="AH113" s="496" t="s">
        <v>97</v>
      </c>
      <c r="AI113" s="496"/>
      <c r="AJ113" s="496" t="s">
        <v>98</v>
      </c>
      <c r="AK113" s="496"/>
      <c r="AL113" s="494" t="s">
        <v>99</v>
      </c>
      <c r="AM113" s="494"/>
      <c r="AP113" s="86" t="s">
        <v>112</v>
      </c>
      <c r="AQ113" s="89" t="s">
        <v>113</v>
      </c>
      <c r="AR113" s="89" t="s">
        <v>114</v>
      </c>
      <c r="AS113" s="89" t="s">
        <v>115</v>
      </c>
      <c r="AU113" s="81"/>
    </row>
    <row r="114" spans="1:47" x14ac:dyDescent="0.25">
      <c r="A114" s="84">
        <f>A113+1</f>
        <v>17</v>
      </c>
      <c r="B114" s="84" t="str">
        <f t="shared" si="48"/>
        <v xml:space="preserve">  </v>
      </c>
      <c r="C114" s="88" t="str">
        <f t="shared" ref="C114" si="54">B115</f>
        <v xml:space="preserve">  </v>
      </c>
      <c r="D114" s="82" t="str">
        <f>VLOOKUP(C114,STN_TABLE,2,FALSE)</f>
        <v xml:space="preserve">  </v>
      </c>
      <c r="E114" s="92">
        <v>1</v>
      </c>
      <c r="F114" s="82" t="e">
        <f>D114*E114</f>
        <v>#VALUE!</v>
      </c>
      <c r="G114" s="83" t="str">
        <f>C114</f>
        <v xml:space="preserve">  </v>
      </c>
      <c r="H114" s="83" t="e">
        <f>F114*G114</f>
        <v>#VALUE!</v>
      </c>
      <c r="I114" s="84" t="str">
        <f>CONCATENATE("a'(",C114,")=")</f>
        <v>a'(  )=</v>
      </c>
      <c r="J114" s="84" t="e">
        <f>2*J112/3*F115</f>
        <v>#VALUE!</v>
      </c>
      <c r="K114" s="84" t="e">
        <f>CONCATENATE("A(",C112,")=")</f>
        <v>#VALUE!</v>
      </c>
      <c r="L114" s="84" t="e">
        <f>VLOOKUP(C112,STN_TABLE,3,FALSE)</f>
        <v>#VALUE!</v>
      </c>
      <c r="M114" t="str">
        <f>CONCATENATE("A(",C114,")=")</f>
        <v>A(  )=</v>
      </c>
      <c r="N114" t="e">
        <f>J114+L114</f>
        <v>#VALUE!</v>
      </c>
      <c r="O114" s="99">
        <f>O113+1</f>
        <v>19</v>
      </c>
      <c r="P114" s="99" t="str">
        <f t="shared" si="44"/>
        <v xml:space="preserve">  </v>
      </c>
      <c r="Q114" s="82" t="e">
        <f>IF(P114-P113=P113-P112,P114,IF(P115-P113=P113-P112,P115,IF(P114-P113=P113-P111,P114,IF(P115-P113=P113-P111,P115,"-"))))</f>
        <v>#VALUE!</v>
      </c>
      <c r="R114" s="83" t="e">
        <f>VLOOKUP(Q114,STN_TABLE,2,FALSE)</f>
        <v>#VALUE!</v>
      </c>
      <c r="S114" s="83">
        <v>-1</v>
      </c>
      <c r="T114" s="82" t="e">
        <f>R114*S114</f>
        <v>#VALUE!</v>
      </c>
      <c r="U114" s="88">
        <v>-1</v>
      </c>
      <c r="V114" s="82" t="e">
        <f>R114*U114</f>
        <v>#VALUE!</v>
      </c>
      <c r="W114" s="84" t="str">
        <f>CONCATENATE("a'(",Q113,")=")</f>
        <v>a'(  )=</v>
      </c>
      <c r="X114" s="84" t="e">
        <f>2*X112/12*T115</f>
        <v>#VALUE!</v>
      </c>
      <c r="Y114" s="84" t="e">
        <f>CONCATENATE("A(",Q112,")=")</f>
        <v>#VALUE!</v>
      </c>
      <c r="Z114" s="84" t="e">
        <f>VLOOKUP(Q112,STN_TABLE,3,FALSE)</f>
        <v>#VALUE!</v>
      </c>
      <c r="AA114" t="str">
        <f>CONCATENATE("A(",Q113,")=")</f>
        <v>A(  )=</v>
      </c>
      <c r="AB114" t="e">
        <f>X114+Z114</f>
        <v>#VALUE!</v>
      </c>
      <c r="AC114" s="99">
        <f>AC113+1</f>
        <v>18</v>
      </c>
      <c r="AD114" s="100" t="str">
        <f>VLOOKUP(AC114,STN_TABLE_2,2,FALSE)</f>
        <v xml:space="preserve">  </v>
      </c>
      <c r="AE114" s="82" t="str">
        <f>VLOOKUP(AD114,STN_TABLE,2,FALSE)</f>
        <v xml:space="preserve">  </v>
      </c>
      <c r="AF114" s="82">
        <v>2</v>
      </c>
      <c r="AG114" s="83" t="e">
        <f>AE114*AF114</f>
        <v>#VALUE!</v>
      </c>
      <c r="AH114" s="84" t="str">
        <f>CONCATENATE("a'(",AD114,")=")</f>
        <v>a'(  )=</v>
      </c>
      <c r="AI114" s="84" t="e">
        <f>2*AI112/2*AE115</f>
        <v>#VALUE!</v>
      </c>
      <c r="AJ114" s="84" t="str">
        <f>CONCATENATE("A(",AD113,")=")</f>
        <v>A(  )=</v>
      </c>
      <c r="AK114" s="84" t="str">
        <f>VLOOKUP(AD113,STN_TABLE,3,FALSE)</f>
        <v xml:space="preserve"> </v>
      </c>
      <c r="AL114" t="str">
        <f>CONCATENATE("A(",AD114,")=")</f>
        <v>A(  )=</v>
      </c>
      <c r="AM114" t="e">
        <f>AI114+AK114</f>
        <v>#VALUE!</v>
      </c>
      <c r="AO114" s="68" t="str">
        <f>AA114</f>
        <v>A(  )=</v>
      </c>
      <c r="AP114" s="68" t="e">
        <f>VLOOKUP(AO114,Rise_Results,2,FALSE)</f>
        <v>#N/A</v>
      </c>
      <c r="AQ114" s="76" t="e">
        <f>N114</f>
        <v>#VALUE!</v>
      </c>
      <c r="AR114" s="76" t="e">
        <f>IF(OR(AB114&lt;=0,AB115&lt;=0),1/0,AB114)</f>
        <v>#VALUE!</v>
      </c>
      <c r="AS114" s="76" t="e">
        <f>AM114</f>
        <v>#VALUE!</v>
      </c>
      <c r="AT114" t="e">
        <f>IFERROR(AP114,IFERROR(AQ114,IFERROR(AR114,AS114)))</f>
        <v>#VALUE!</v>
      </c>
      <c r="AU114" s="81"/>
    </row>
    <row r="115" spans="1:47" x14ac:dyDescent="0.25">
      <c r="A115" s="84">
        <f>A114+1</f>
        <v>18</v>
      </c>
      <c r="B115" s="84" t="str">
        <f t="shared" si="48"/>
        <v xml:space="preserve">  </v>
      </c>
      <c r="F115" s="82" t="e">
        <f>SUM(F112:F114)</f>
        <v>#VALUE!</v>
      </c>
      <c r="H115" s="82" t="e">
        <f>SUM(H112:H114)</f>
        <v>#VALUE!</v>
      </c>
      <c r="I115" s="84" t="str">
        <f>CONCATENATE("m'(",C114,")=")</f>
        <v>m'(  )=</v>
      </c>
      <c r="J115" s="84" t="e">
        <f>2*(J112*(WLS))/3*H115</f>
        <v>#VALUE!</v>
      </c>
      <c r="K115" s="84" t="e">
        <f>CONCATENATE("M(",C112,")=")</f>
        <v>#VALUE!</v>
      </c>
      <c r="L115" s="84" t="e">
        <f>VLOOKUP(C112,STN_TABLE,4,FALSE)</f>
        <v>#VALUE!</v>
      </c>
      <c r="M115" t="str">
        <f>CONCATENATE("M(",C114,")=")</f>
        <v>M(  )=</v>
      </c>
      <c r="N115" t="e">
        <f>J115+L115</f>
        <v>#VALUE!</v>
      </c>
      <c r="O115" s="99">
        <f>O114+1</f>
        <v>20</v>
      </c>
      <c r="P115" s="99" t="str">
        <f t="shared" si="44"/>
        <v xml:space="preserve">  </v>
      </c>
      <c r="T115" s="89" t="e">
        <f>SUM(T112:T114)</f>
        <v>#VALUE!</v>
      </c>
      <c r="V115" s="82" t="e">
        <f>SUM(V112:V114)</f>
        <v>#VALUE!</v>
      </c>
      <c r="W115" s="84" t="str">
        <f>CONCATENATE("m'(",Q113,")=")</f>
        <v>m'(  )=</v>
      </c>
      <c r="X115" s="84" t="e">
        <f>(2*(X112^2)/24*V115)+(X114*Q112*WLS)</f>
        <v>#VALUE!</v>
      </c>
      <c r="Y115" s="84" t="e">
        <f>CONCATENATE("M(",Q112,")=")</f>
        <v>#VALUE!</v>
      </c>
      <c r="Z115" s="84" t="e">
        <f>VLOOKUP(Q112,STN_TABLE,4,FALSE)</f>
        <v>#VALUE!</v>
      </c>
      <c r="AA115" t="str">
        <f>CONCATENATE("M(",Q113,")=")</f>
        <v>M(  )=</v>
      </c>
      <c r="AB115" t="e">
        <f>X115+Z115</f>
        <v>#VALUE!</v>
      </c>
      <c r="AE115" s="89">
        <f>SUM(AE113:AE114)</f>
        <v>0</v>
      </c>
      <c r="AG115" s="89" t="e">
        <f>SUM(AG113:AG114)</f>
        <v>#VALUE!</v>
      </c>
      <c r="AH115" s="84" t="str">
        <f>CONCATENATE("m'(",AD114,")=")</f>
        <v>m'(  )=</v>
      </c>
      <c r="AI115" s="84" t="e">
        <f>(2*(AI112^2)/6*AG115)+(AI114*AD113*WLS)</f>
        <v>#VALUE!</v>
      </c>
      <c r="AJ115" s="84" t="str">
        <f>CONCATENATE("M(",AD113,")=")</f>
        <v>M(  )=</v>
      </c>
      <c r="AK115" s="84" t="str">
        <f>VLOOKUP(AD113,STN_TABLE,4,FALSE)</f>
        <v xml:space="preserve"> </v>
      </c>
      <c r="AL115" t="str">
        <f>CONCATENATE("M(",AD114,")=")</f>
        <v>M(  )=</v>
      </c>
      <c r="AM115" t="e">
        <f>AI115+AK115</f>
        <v>#VALUE!</v>
      </c>
      <c r="AO115" s="82" t="str">
        <f>AA115</f>
        <v>M(  )=</v>
      </c>
      <c r="AP115" s="82" t="e">
        <f>VLOOKUP(AO115,Rise_Results,2,FALSE)</f>
        <v>#N/A</v>
      </c>
      <c r="AQ115" s="82" t="e">
        <f>N115</f>
        <v>#VALUE!</v>
      </c>
      <c r="AR115" s="82" t="e">
        <f>IF(OR(AB114&lt;=0,AB115&lt;=0),1/0,AB115)</f>
        <v>#VALUE!</v>
      </c>
      <c r="AS115" s="82" t="e">
        <f>AM115</f>
        <v>#VALUE!</v>
      </c>
      <c r="AT115" t="e">
        <f>IFERROR(AP115,IFERROR(AQ115,IFERROR(AR115,AS115)))</f>
        <v>#VALUE!</v>
      </c>
      <c r="AU115" s="81"/>
    </row>
    <row r="116" spans="1:47" x14ac:dyDescent="0.25">
      <c r="A116" s="101">
        <f>A111+1</f>
        <v>15</v>
      </c>
      <c r="B116" s="101" t="str">
        <f t="shared" si="48"/>
        <v xml:space="preserve">  </v>
      </c>
      <c r="O116" s="101">
        <f>O111+1</f>
        <v>17</v>
      </c>
      <c r="P116" s="101" t="str">
        <f t="shared" si="44"/>
        <v xml:space="preserve">  </v>
      </c>
      <c r="AU116" s="81"/>
    </row>
    <row r="117" spans="1:47" x14ac:dyDescent="0.25">
      <c r="A117" s="84">
        <f>A116+1</f>
        <v>16</v>
      </c>
      <c r="B117" s="84" t="str">
        <f t="shared" si="48"/>
        <v xml:space="preserve">  </v>
      </c>
      <c r="C117" s="79" t="e">
        <f t="shared" ref="C117" si="55">IF(C118=B119,IF(C119-C118=C118-B118,B118,IF(C119-C118=C118-B117,B117,"#NA")),IF(C118=B118,IF(C119-C118=C118-B117,B117,IF(C119-C118=C118-B116,B116,"#NA")),"#NA"))</f>
        <v>#VALUE!</v>
      </c>
      <c r="D117" s="68" t="e">
        <f>VLOOKUP(C117,STN_TABLE,2,FALSE)</f>
        <v>#VALUE!</v>
      </c>
      <c r="E117" s="102">
        <v>1</v>
      </c>
      <c r="F117" s="68" t="e">
        <f>D117*E117</f>
        <v>#VALUE!</v>
      </c>
      <c r="G117" s="69" t="e">
        <f>C117</f>
        <v>#VALUE!</v>
      </c>
      <c r="H117" s="69" t="e">
        <f>F117*G117</f>
        <v>#VALUE!</v>
      </c>
      <c r="I117" s="6" t="s">
        <v>93</v>
      </c>
      <c r="J117" s="70" t="e">
        <f>IF(OR(D117=0,D118=0,D119=0),"#NA",IF(AND(C119-C118=C118-C117,C118&lt;&gt;C119,C117&lt;&gt;C118,C117&lt;&gt;C119,D119&lt;&gt;0,OR(D117&lt;&gt;0,D118&lt;&gt;0)),WLS*(C119-C118),"#NA"))</f>
        <v>#VALUE!</v>
      </c>
      <c r="O117" s="99">
        <f>O116+1</f>
        <v>18</v>
      </c>
      <c r="P117" s="99" t="str">
        <f t="shared" si="44"/>
        <v xml:space="preserve">  </v>
      </c>
      <c r="Q117" s="68" t="e">
        <f>IF(OR(P119-P118=P118-P117,P120-P118=P118-P117),P117,IF(OR(P119-P118=P118-P116,P120-P118=P118-P116),P116,"-"))</f>
        <v>#VALUE!</v>
      </c>
      <c r="R117" s="69" t="e">
        <f>VLOOKUP(Q117,STN_TABLE,2,FALSE)</f>
        <v>#VALUE!</v>
      </c>
      <c r="S117" s="69">
        <v>5</v>
      </c>
      <c r="T117" s="68" t="e">
        <f>R117*S117</f>
        <v>#VALUE!</v>
      </c>
      <c r="U117" s="79">
        <v>3</v>
      </c>
      <c r="V117" s="68" t="e">
        <f>R117*U117</f>
        <v>#VALUE!</v>
      </c>
      <c r="W117" s="6" t="s">
        <v>93</v>
      </c>
      <c r="X117" s="70" t="e">
        <f>IF(AND(Q119-Q118=Q118-Q117,NOT(AND(Q117=0,Q118=0)),NOT(AND(Q118=0,Q119=0))),WLS*(Q119-Q118),"#NA")</f>
        <v>#VALUE!</v>
      </c>
      <c r="AD117" s="93"/>
      <c r="AH117" s="6" t="s">
        <v>93</v>
      </c>
      <c r="AI117" s="70" t="e">
        <f>WLS*(AD119-AD118)</f>
        <v>#VALUE!</v>
      </c>
      <c r="AU117" s="81"/>
    </row>
    <row r="118" spans="1:47" x14ac:dyDescent="0.25">
      <c r="A118" s="84">
        <f>A117+1</f>
        <v>17</v>
      </c>
      <c r="B118" s="84" t="str">
        <f t="shared" si="48"/>
        <v xml:space="preserve">  </v>
      </c>
      <c r="C118" s="80" t="e">
        <f t="shared" ref="C118" si="56">IF(OR(B120-B119=B119-B118,B120-B119=B119-B117,B120-B119=B119-B116),B119,IF(OR(B120-B118=B118-B117,B120-B118=B118-B116),B118,IF(B120-B117=B117-B116,B117,"#NA")))</f>
        <v>#VALUE!</v>
      </c>
      <c r="D118" s="76" t="e">
        <f>VLOOKUP(C118,STN_TABLE,2,FALSE)</f>
        <v>#VALUE!</v>
      </c>
      <c r="E118" s="81">
        <v>4</v>
      </c>
      <c r="F118" s="76" t="e">
        <f>D118*E118</f>
        <v>#VALUE!</v>
      </c>
      <c r="G118" s="77" t="e">
        <f>C118</f>
        <v>#VALUE!</v>
      </c>
      <c r="H118" s="77" t="e">
        <f>F118*G118</f>
        <v>#VALUE!</v>
      </c>
      <c r="I118" s="495" t="s">
        <v>97</v>
      </c>
      <c r="J118" s="496"/>
      <c r="K118" s="78" t="s">
        <v>98</v>
      </c>
      <c r="L118" s="78"/>
      <c r="M118" s="7" t="s">
        <v>99</v>
      </c>
      <c r="N118" s="7"/>
      <c r="O118" s="99">
        <f>O117+1</f>
        <v>19</v>
      </c>
      <c r="P118" s="99" t="str">
        <f t="shared" si="44"/>
        <v xml:space="preserve">  </v>
      </c>
      <c r="Q118" s="76" t="str">
        <f>P118</f>
        <v xml:space="preserve">  </v>
      </c>
      <c r="R118" s="77" t="str">
        <f>VLOOKUP(Q118,STN_TABLE,2,FALSE)</f>
        <v xml:space="preserve">  </v>
      </c>
      <c r="S118" s="77">
        <v>8</v>
      </c>
      <c r="T118" s="76" t="e">
        <f>R118*S118</f>
        <v>#VALUE!</v>
      </c>
      <c r="U118" s="80">
        <v>10</v>
      </c>
      <c r="V118" s="76" t="e">
        <f>R118*U118</f>
        <v>#VALUE!</v>
      </c>
      <c r="W118" s="496" t="s">
        <v>97</v>
      </c>
      <c r="X118" s="496"/>
      <c r="Y118" s="496" t="s">
        <v>98</v>
      </c>
      <c r="Z118" s="496"/>
      <c r="AA118" s="494" t="s">
        <v>99</v>
      </c>
      <c r="AB118" s="494"/>
      <c r="AC118" s="99">
        <f>AC113+1</f>
        <v>18</v>
      </c>
      <c r="AD118" s="95" t="str">
        <f>VLOOKUP(AC118,STN_TABLE_2,2,FALSE)</f>
        <v xml:space="preserve">  </v>
      </c>
      <c r="AE118" s="68" t="str">
        <f>VLOOKUP(AD118,STN_TABLE,2,FALSE)</f>
        <v xml:space="preserve">  </v>
      </c>
      <c r="AF118" s="68">
        <v>1</v>
      </c>
      <c r="AG118" s="69" t="e">
        <f>AE118*AF118</f>
        <v>#VALUE!</v>
      </c>
      <c r="AH118" s="496" t="s">
        <v>97</v>
      </c>
      <c r="AI118" s="496"/>
      <c r="AJ118" s="496" t="s">
        <v>98</v>
      </c>
      <c r="AK118" s="496"/>
      <c r="AL118" s="494" t="s">
        <v>99</v>
      </c>
      <c r="AM118" s="494"/>
      <c r="AP118" s="86" t="s">
        <v>112</v>
      </c>
      <c r="AQ118" s="89" t="s">
        <v>113</v>
      </c>
      <c r="AR118" s="89" t="s">
        <v>114</v>
      </c>
      <c r="AS118" s="89" t="s">
        <v>115</v>
      </c>
      <c r="AU118" s="81"/>
    </row>
    <row r="119" spans="1:47" x14ac:dyDescent="0.25">
      <c r="A119" s="84">
        <f>A118+1</f>
        <v>18</v>
      </c>
      <c r="B119" s="84" t="str">
        <f t="shared" si="48"/>
        <v xml:space="preserve">  </v>
      </c>
      <c r="C119" s="88" t="str">
        <f t="shared" ref="C119" si="57">B120</f>
        <v xml:space="preserve">  </v>
      </c>
      <c r="D119" s="82" t="str">
        <f>VLOOKUP(C119,STN_TABLE,2,FALSE)</f>
        <v xml:space="preserve">  </v>
      </c>
      <c r="E119" s="92">
        <v>1</v>
      </c>
      <c r="F119" s="82" t="e">
        <f>D119*E119</f>
        <v>#VALUE!</v>
      </c>
      <c r="G119" s="83" t="str">
        <f>C119</f>
        <v xml:space="preserve">  </v>
      </c>
      <c r="H119" s="83" t="e">
        <f>F119*G119</f>
        <v>#VALUE!</v>
      </c>
      <c r="I119" s="84" t="str">
        <f>CONCATENATE("a'(",C119,")=")</f>
        <v>a'(  )=</v>
      </c>
      <c r="J119" s="84" t="e">
        <f>2*J117/3*F120</f>
        <v>#VALUE!</v>
      </c>
      <c r="K119" s="84" t="e">
        <f>CONCATENATE("A(",C117,")=")</f>
        <v>#VALUE!</v>
      </c>
      <c r="L119" s="84" t="e">
        <f>VLOOKUP(C117,STN_TABLE,3,FALSE)</f>
        <v>#VALUE!</v>
      </c>
      <c r="M119" t="str">
        <f>CONCATENATE("A(",C119,")=")</f>
        <v>A(  )=</v>
      </c>
      <c r="N119" t="e">
        <f>J119+L119</f>
        <v>#VALUE!</v>
      </c>
      <c r="O119" s="99">
        <f>O118+1</f>
        <v>20</v>
      </c>
      <c r="P119" s="99" t="str">
        <f t="shared" si="44"/>
        <v xml:space="preserve">  </v>
      </c>
      <c r="Q119" s="82" t="e">
        <f>IF(P119-P118=P118-P117,P119,IF(P120-P118=P118-P117,P120,IF(P119-P118=P118-P116,P119,IF(P120-P118=P118-P116,P120,"-"))))</f>
        <v>#VALUE!</v>
      </c>
      <c r="R119" s="83" t="e">
        <f>VLOOKUP(Q119,STN_TABLE,2,FALSE)</f>
        <v>#VALUE!</v>
      </c>
      <c r="S119" s="83">
        <v>-1</v>
      </c>
      <c r="T119" s="82" t="e">
        <f>R119*S119</f>
        <v>#VALUE!</v>
      </c>
      <c r="U119" s="88">
        <v>-1</v>
      </c>
      <c r="V119" s="82" t="e">
        <f>R119*U119</f>
        <v>#VALUE!</v>
      </c>
      <c r="W119" s="84" t="str">
        <f>CONCATENATE("a'(",Q118,")=")</f>
        <v>a'(  )=</v>
      </c>
      <c r="X119" s="84" t="e">
        <f>2*X117/12*T120</f>
        <v>#VALUE!</v>
      </c>
      <c r="Y119" s="84" t="e">
        <f>CONCATENATE("A(",Q117,")=")</f>
        <v>#VALUE!</v>
      </c>
      <c r="Z119" s="84" t="e">
        <f>VLOOKUP(Q117,STN_TABLE,3,FALSE)</f>
        <v>#VALUE!</v>
      </c>
      <c r="AA119" t="str">
        <f>CONCATENATE("A(",Q118,")=")</f>
        <v>A(  )=</v>
      </c>
      <c r="AB119" t="e">
        <f>X119+Z119</f>
        <v>#VALUE!</v>
      </c>
      <c r="AC119" s="99">
        <f>AC118+1</f>
        <v>19</v>
      </c>
      <c r="AD119" s="100" t="str">
        <f>VLOOKUP(AC119,STN_TABLE_2,2,FALSE)</f>
        <v xml:space="preserve">  </v>
      </c>
      <c r="AE119" s="82" t="str">
        <f>VLOOKUP(AD119,STN_TABLE,2,FALSE)</f>
        <v xml:space="preserve">  </v>
      </c>
      <c r="AF119" s="82">
        <v>2</v>
      </c>
      <c r="AG119" s="83" t="e">
        <f>AE119*AF119</f>
        <v>#VALUE!</v>
      </c>
      <c r="AH119" s="84" t="str">
        <f>CONCATENATE("a'(",AD119,")=")</f>
        <v>a'(  )=</v>
      </c>
      <c r="AI119" s="84" t="e">
        <f>2*AI117/2*AE120</f>
        <v>#VALUE!</v>
      </c>
      <c r="AJ119" s="84" t="str">
        <f>CONCATENATE("A(",AD118,")=")</f>
        <v>A(  )=</v>
      </c>
      <c r="AK119" s="84" t="str">
        <f>VLOOKUP(AD118,STN_TABLE,3,FALSE)</f>
        <v xml:space="preserve"> </v>
      </c>
      <c r="AL119" t="str">
        <f>CONCATENATE("A(",AD119,")=")</f>
        <v>A(  )=</v>
      </c>
      <c r="AM119" t="e">
        <f>AI119+AK119</f>
        <v>#VALUE!</v>
      </c>
      <c r="AO119" s="68" t="str">
        <f>AA119</f>
        <v>A(  )=</v>
      </c>
      <c r="AP119" s="68" t="e">
        <f>VLOOKUP(AO119,Rise_Results,2,FALSE)</f>
        <v>#N/A</v>
      </c>
      <c r="AQ119" s="76" t="e">
        <f>N119</f>
        <v>#VALUE!</v>
      </c>
      <c r="AR119" s="76" t="e">
        <f>IF(OR(AB119&lt;=0,AB120&lt;=0),1/0,AB119)</f>
        <v>#VALUE!</v>
      </c>
      <c r="AS119" s="76" t="e">
        <f>AM119</f>
        <v>#VALUE!</v>
      </c>
      <c r="AT119" t="e">
        <f>IFERROR(AP119,IFERROR(AQ119,IFERROR(AR119,AS119)))</f>
        <v>#VALUE!</v>
      </c>
      <c r="AU119" s="81"/>
    </row>
    <row r="120" spans="1:47" x14ac:dyDescent="0.25">
      <c r="A120" s="84">
        <f>A119+1</f>
        <v>19</v>
      </c>
      <c r="B120" s="84" t="str">
        <f t="shared" si="48"/>
        <v xml:space="preserve">  </v>
      </c>
      <c r="F120" s="82" t="e">
        <f>SUM(F117:F119)</f>
        <v>#VALUE!</v>
      </c>
      <c r="H120" s="82" t="e">
        <f>SUM(H117:H119)</f>
        <v>#VALUE!</v>
      </c>
      <c r="I120" s="84" t="str">
        <f>CONCATENATE("m'(",C119,")=")</f>
        <v>m'(  )=</v>
      </c>
      <c r="J120" s="84" t="e">
        <f>2*(J117*(WLS))/3*H120</f>
        <v>#VALUE!</v>
      </c>
      <c r="K120" s="84" t="e">
        <f>CONCATENATE("M(",C117,")=")</f>
        <v>#VALUE!</v>
      </c>
      <c r="L120" s="84" t="e">
        <f>VLOOKUP(C117,STN_TABLE,4,FALSE)</f>
        <v>#VALUE!</v>
      </c>
      <c r="M120" t="str">
        <f>CONCATENATE("M(",C119,")=")</f>
        <v>M(  )=</v>
      </c>
      <c r="N120" t="e">
        <f>J120+L120</f>
        <v>#VALUE!</v>
      </c>
      <c r="O120" s="99">
        <f>O119+1</f>
        <v>21</v>
      </c>
      <c r="P120" s="99" t="str">
        <f t="shared" si="44"/>
        <v xml:space="preserve">  </v>
      </c>
      <c r="T120" s="89" t="e">
        <f>SUM(T117:T119)</f>
        <v>#VALUE!</v>
      </c>
      <c r="V120" s="82" t="e">
        <f>SUM(V117:V119)</f>
        <v>#VALUE!</v>
      </c>
      <c r="W120" s="84" t="str">
        <f>CONCATENATE("m'(",Q118,")=")</f>
        <v>m'(  )=</v>
      </c>
      <c r="X120" s="84" t="e">
        <f>(2*(X117^2)/24*V120)+(X119*Q117*WLS)</f>
        <v>#VALUE!</v>
      </c>
      <c r="Y120" s="84" t="e">
        <f>CONCATENATE("M(",Q117,")=")</f>
        <v>#VALUE!</v>
      </c>
      <c r="Z120" s="84" t="e">
        <f>VLOOKUP(Q117,STN_TABLE,4,FALSE)</f>
        <v>#VALUE!</v>
      </c>
      <c r="AA120" t="str">
        <f>CONCATENATE("M(",Q118,")=")</f>
        <v>M(  )=</v>
      </c>
      <c r="AB120" t="e">
        <f>X120+Z120</f>
        <v>#VALUE!</v>
      </c>
      <c r="AE120" s="89">
        <f>SUM(AE118:AE119)</f>
        <v>0</v>
      </c>
      <c r="AG120" s="89" t="e">
        <f>SUM(AG118:AG119)</f>
        <v>#VALUE!</v>
      </c>
      <c r="AH120" s="84" t="str">
        <f>CONCATENATE("m'(",AD119,")=")</f>
        <v>m'(  )=</v>
      </c>
      <c r="AI120" s="84" t="e">
        <f>(2*(AI117^2)/6*AG120)+(AI119*AD118*WLS)</f>
        <v>#VALUE!</v>
      </c>
      <c r="AJ120" s="84" t="str">
        <f>CONCATENATE("M(",AD118,")=")</f>
        <v>M(  )=</v>
      </c>
      <c r="AK120" s="84" t="str">
        <f>VLOOKUP(AD118,STN_TABLE,4,FALSE)</f>
        <v xml:space="preserve"> </v>
      </c>
      <c r="AL120" t="str">
        <f>CONCATENATE("M(",AD119,")=")</f>
        <v>M(  )=</v>
      </c>
      <c r="AM120" t="e">
        <f>AI120+AK120</f>
        <v>#VALUE!</v>
      </c>
      <c r="AO120" s="82" t="str">
        <f>AA120</f>
        <v>M(  )=</v>
      </c>
      <c r="AP120" s="82" t="e">
        <f>VLOOKUP(AO120,Rise_Results,2,FALSE)</f>
        <v>#N/A</v>
      </c>
      <c r="AQ120" s="82" t="e">
        <f>N120</f>
        <v>#VALUE!</v>
      </c>
      <c r="AR120" s="82" t="e">
        <f>IF(OR(AB119&lt;=0,AB120&lt;=0),1/0,AB120)</f>
        <v>#VALUE!</v>
      </c>
      <c r="AS120" s="82" t="e">
        <f>AM120</f>
        <v>#VALUE!</v>
      </c>
      <c r="AT120" t="e">
        <f>IFERROR(AP120,IFERROR(AQ120,IFERROR(AR120,AS120)))</f>
        <v>#VALUE!</v>
      </c>
      <c r="AU120" s="81"/>
    </row>
    <row r="121" spans="1:47" x14ac:dyDescent="0.25">
      <c r="A121" s="101">
        <f>A116+1</f>
        <v>16</v>
      </c>
      <c r="B121" s="101" t="str">
        <f t="shared" si="48"/>
        <v xml:space="preserve">  </v>
      </c>
      <c r="O121" s="101">
        <f>O116+1</f>
        <v>18</v>
      </c>
      <c r="P121" s="101" t="str">
        <f t="shared" si="44"/>
        <v xml:space="preserve">  </v>
      </c>
      <c r="AU121" s="81"/>
    </row>
    <row r="122" spans="1:47" x14ac:dyDescent="0.25">
      <c r="A122" s="84">
        <f>A121+1</f>
        <v>17</v>
      </c>
      <c r="B122" s="84" t="str">
        <f t="shared" si="48"/>
        <v xml:space="preserve">  </v>
      </c>
      <c r="C122" s="79" t="e">
        <f t="shared" ref="C122" si="58">IF(C123=B124,IF(C124-C123=C123-B123,B123,IF(C124-C123=C123-B122,B122,"#NA")),IF(C123=B123,IF(C124-C123=C123-B122,B122,IF(C124-C123=C123-B121,B121,"#NA")),"#NA"))</f>
        <v>#VALUE!</v>
      </c>
      <c r="D122" s="68" t="e">
        <f>VLOOKUP(C122,STN_TABLE,2,FALSE)</f>
        <v>#VALUE!</v>
      </c>
      <c r="E122" s="102">
        <v>1</v>
      </c>
      <c r="F122" s="68" t="e">
        <f>D122*E122</f>
        <v>#VALUE!</v>
      </c>
      <c r="G122" s="69" t="e">
        <f>C122</f>
        <v>#VALUE!</v>
      </c>
      <c r="H122" s="69" t="e">
        <f>F122*G122</f>
        <v>#VALUE!</v>
      </c>
      <c r="I122" s="6" t="s">
        <v>93</v>
      </c>
      <c r="J122" s="70" t="e">
        <f>IF(OR(D122=0,D123=0,D124=0),"#NA",IF(AND(C124-C123=C123-C122,C123&lt;&gt;C124,C122&lt;&gt;C123,C122&lt;&gt;C124,D124&lt;&gt;0,OR(D122&lt;&gt;0,D123&lt;&gt;0)),WLS*(C124-C123),"#NA"))</f>
        <v>#VALUE!</v>
      </c>
      <c r="O122" s="99">
        <f>O121+1</f>
        <v>19</v>
      </c>
      <c r="P122" s="99" t="str">
        <f t="shared" si="44"/>
        <v xml:space="preserve">  </v>
      </c>
      <c r="Q122" s="68" t="e">
        <f>IF(OR(P124-P123=P123-P122,P125-P123=P123-P122),P122,IF(OR(P124-P123=P123-P121,P125-P123=P123-P121),P121,"-"))</f>
        <v>#VALUE!</v>
      </c>
      <c r="R122" s="69" t="e">
        <f>VLOOKUP(Q122,STN_TABLE,2,FALSE)</f>
        <v>#VALUE!</v>
      </c>
      <c r="S122" s="69">
        <v>5</v>
      </c>
      <c r="T122" s="68" t="e">
        <f>R122*S122</f>
        <v>#VALUE!</v>
      </c>
      <c r="U122" s="79">
        <v>3</v>
      </c>
      <c r="V122" s="68" t="e">
        <f>R122*U122</f>
        <v>#VALUE!</v>
      </c>
      <c r="W122" s="6" t="s">
        <v>93</v>
      </c>
      <c r="X122" s="70" t="e">
        <f>IF(AND(Q124-Q123=Q123-Q122,NOT(AND(Q122=0,Q123=0)),NOT(AND(Q123=0,Q124=0))),WLS*(Q124-Q123),"#NA")</f>
        <v>#VALUE!</v>
      </c>
      <c r="AD122" s="93"/>
      <c r="AH122" s="6" t="s">
        <v>93</v>
      </c>
      <c r="AI122" s="70" t="e">
        <f>WLS*(AD124-AD123)</f>
        <v>#VALUE!</v>
      </c>
      <c r="AU122" s="81"/>
    </row>
    <row r="123" spans="1:47" x14ac:dyDescent="0.25">
      <c r="A123" s="84">
        <f>A122+1</f>
        <v>18</v>
      </c>
      <c r="B123" s="84" t="str">
        <f t="shared" si="48"/>
        <v xml:space="preserve">  </v>
      </c>
      <c r="C123" s="80" t="e">
        <f t="shared" ref="C123" si="59">IF(OR(B125-B124=B124-B123,B125-B124=B124-B122,B125-B124=B124-B121),B124,IF(OR(B125-B123=B123-B122,B125-B123=B123-B121),B123,IF(B125-B122=B122-B121,B122,"#NA")))</f>
        <v>#VALUE!</v>
      </c>
      <c r="D123" s="76" t="e">
        <f>VLOOKUP(C123,STN_TABLE,2,FALSE)</f>
        <v>#VALUE!</v>
      </c>
      <c r="E123" s="81">
        <v>4</v>
      </c>
      <c r="F123" s="76" t="e">
        <f>D123*E123</f>
        <v>#VALUE!</v>
      </c>
      <c r="G123" s="77" t="e">
        <f>C123</f>
        <v>#VALUE!</v>
      </c>
      <c r="H123" s="77" t="e">
        <f>F123*G123</f>
        <v>#VALUE!</v>
      </c>
      <c r="I123" s="495" t="s">
        <v>97</v>
      </c>
      <c r="J123" s="496"/>
      <c r="K123" s="78" t="s">
        <v>98</v>
      </c>
      <c r="L123" s="78"/>
      <c r="M123" s="7" t="s">
        <v>99</v>
      </c>
      <c r="N123" s="7"/>
      <c r="O123" s="99">
        <f>O122+1</f>
        <v>20</v>
      </c>
      <c r="P123" s="99" t="str">
        <f t="shared" si="44"/>
        <v xml:space="preserve">  </v>
      </c>
      <c r="Q123" s="76" t="str">
        <f>P123</f>
        <v xml:space="preserve">  </v>
      </c>
      <c r="R123" s="77" t="str">
        <f>VLOOKUP(Q123,STN_TABLE,2,FALSE)</f>
        <v xml:space="preserve">  </v>
      </c>
      <c r="S123" s="77">
        <v>8</v>
      </c>
      <c r="T123" s="76" t="e">
        <f>R123*S123</f>
        <v>#VALUE!</v>
      </c>
      <c r="U123" s="80">
        <v>10</v>
      </c>
      <c r="V123" s="76" t="e">
        <f>R123*U123</f>
        <v>#VALUE!</v>
      </c>
      <c r="W123" s="496" t="s">
        <v>97</v>
      </c>
      <c r="X123" s="496"/>
      <c r="Y123" s="496" t="s">
        <v>98</v>
      </c>
      <c r="Z123" s="496"/>
      <c r="AA123" s="494" t="s">
        <v>99</v>
      </c>
      <c r="AB123" s="494"/>
      <c r="AC123" s="99">
        <f>AC118+1</f>
        <v>19</v>
      </c>
      <c r="AD123" s="95" t="str">
        <f>VLOOKUP(AC123,STN_TABLE_2,2,FALSE)</f>
        <v xml:space="preserve">  </v>
      </c>
      <c r="AE123" s="68" t="str">
        <f>VLOOKUP(AD123,STN_TABLE,2,FALSE)</f>
        <v xml:space="preserve">  </v>
      </c>
      <c r="AF123" s="68">
        <v>1</v>
      </c>
      <c r="AG123" s="69" t="e">
        <f>AE123*AF123</f>
        <v>#VALUE!</v>
      </c>
      <c r="AH123" s="496" t="s">
        <v>97</v>
      </c>
      <c r="AI123" s="496"/>
      <c r="AJ123" s="496" t="s">
        <v>98</v>
      </c>
      <c r="AK123" s="496"/>
      <c r="AL123" s="494" t="s">
        <v>99</v>
      </c>
      <c r="AM123" s="494"/>
      <c r="AP123" s="86" t="s">
        <v>112</v>
      </c>
      <c r="AQ123" s="89" t="s">
        <v>113</v>
      </c>
      <c r="AR123" s="89" t="s">
        <v>114</v>
      </c>
      <c r="AS123" s="89" t="s">
        <v>115</v>
      </c>
      <c r="AU123" s="81"/>
    </row>
    <row r="124" spans="1:47" x14ac:dyDescent="0.25">
      <c r="A124" s="84">
        <f>A123+1</f>
        <v>19</v>
      </c>
      <c r="B124" s="84" t="str">
        <f t="shared" si="48"/>
        <v xml:space="preserve">  </v>
      </c>
      <c r="C124" s="88" t="str">
        <f t="shared" ref="C124" si="60">B125</f>
        <v xml:space="preserve">  </v>
      </c>
      <c r="D124" s="82" t="str">
        <f>VLOOKUP(C124,STN_TABLE,2,FALSE)</f>
        <v xml:space="preserve">  </v>
      </c>
      <c r="E124" s="92">
        <v>1</v>
      </c>
      <c r="F124" s="82" t="e">
        <f>D124*E124</f>
        <v>#VALUE!</v>
      </c>
      <c r="G124" s="83" t="str">
        <f>C124</f>
        <v xml:space="preserve">  </v>
      </c>
      <c r="H124" s="83" t="e">
        <f>F124*G124</f>
        <v>#VALUE!</v>
      </c>
      <c r="I124" s="84" t="str">
        <f>CONCATENATE("a'(",C124,")=")</f>
        <v>a'(  )=</v>
      </c>
      <c r="J124" s="84" t="e">
        <f>2*J122/3*F125</f>
        <v>#VALUE!</v>
      </c>
      <c r="K124" s="84" t="e">
        <f>CONCATENATE("A(",C122,")=")</f>
        <v>#VALUE!</v>
      </c>
      <c r="L124" s="84" t="e">
        <f>VLOOKUP(C122,STN_TABLE,3,FALSE)</f>
        <v>#VALUE!</v>
      </c>
      <c r="M124" t="str">
        <f>CONCATENATE("A(",C124,")=")</f>
        <v>A(  )=</v>
      </c>
      <c r="N124" t="e">
        <f>J124+L124</f>
        <v>#VALUE!</v>
      </c>
      <c r="O124" s="99">
        <f>O123+1</f>
        <v>21</v>
      </c>
      <c r="P124" s="99" t="str">
        <f t="shared" si="44"/>
        <v xml:space="preserve">  </v>
      </c>
      <c r="Q124" s="82" t="e">
        <f>IF(P124-P123=P123-P122,P124,IF(P125-P123=P123-P122,P125,IF(P124-P123=P123-P121,P124,IF(P125-P123=P123-P121,P125,"-"))))</f>
        <v>#VALUE!</v>
      </c>
      <c r="R124" s="83" t="e">
        <f>VLOOKUP(Q124,STN_TABLE,2,FALSE)</f>
        <v>#VALUE!</v>
      </c>
      <c r="S124" s="83">
        <v>-1</v>
      </c>
      <c r="T124" s="82" t="e">
        <f>R124*S124</f>
        <v>#VALUE!</v>
      </c>
      <c r="U124" s="88">
        <v>-1</v>
      </c>
      <c r="V124" s="82" t="e">
        <f>R124*U124</f>
        <v>#VALUE!</v>
      </c>
      <c r="W124" s="84" t="str">
        <f>CONCATENATE("a'(",Q123,")=")</f>
        <v>a'(  )=</v>
      </c>
      <c r="X124" s="84" t="e">
        <f>2*X122/12*T125</f>
        <v>#VALUE!</v>
      </c>
      <c r="Y124" s="84" t="e">
        <f>CONCATENATE("A(",Q122,")=")</f>
        <v>#VALUE!</v>
      </c>
      <c r="Z124" s="84" t="e">
        <f>VLOOKUP(Q122,STN_TABLE,3,FALSE)</f>
        <v>#VALUE!</v>
      </c>
      <c r="AA124" t="str">
        <f>CONCATENATE("A(",Q123,")=")</f>
        <v>A(  )=</v>
      </c>
      <c r="AB124" t="e">
        <f>X124+Z124</f>
        <v>#VALUE!</v>
      </c>
      <c r="AC124" s="99">
        <f>AC123+1</f>
        <v>20</v>
      </c>
      <c r="AD124" s="100" t="str">
        <f>VLOOKUP(AC124,STN_TABLE_2,2,FALSE)</f>
        <v xml:space="preserve">  </v>
      </c>
      <c r="AE124" s="82" t="str">
        <f>VLOOKUP(AD124,STN_TABLE,2,FALSE)</f>
        <v xml:space="preserve">  </v>
      </c>
      <c r="AF124" s="82">
        <v>2</v>
      </c>
      <c r="AG124" s="83" t="e">
        <f>AE124*AF124</f>
        <v>#VALUE!</v>
      </c>
      <c r="AH124" s="84" t="str">
        <f>CONCATENATE("a'(",AD124,")=")</f>
        <v>a'(  )=</v>
      </c>
      <c r="AI124" s="84" t="e">
        <f>2*AI122/2*AE125</f>
        <v>#VALUE!</v>
      </c>
      <c r="AJ124" s="84" t="str">
        <f>CONCATENATE("A(",AD123,")=")</f>
        <v>A(  )=</v>
      </c>
      <c r="AK124" s="84" t="str">
        <f>VLOOKUP(AD123,STN_TABLE,3,FALSE)</f>
        <v xml:space="preserve"> </v>
      </c>
      <c r="AL124" t="str">
        <f>CONCATENATE("A(",AD124,")=")</f>
        <v>A(  )=</v>
      </c>
      <c r="AM124" t="e">
        <f>AI124+AK124</f>
        <v>#VALUE!</v>
      </c>
      <c r="AO124" s="68" t="str">
        <f>AA124</f>
        <v>A(  )=</v>
      </c>
      <c r="AP124" s="68" t="e">
        <f>VLOOKUP(AO124,Rise_Results,2,FALSE)</f>
        <v>#N/A</v>
      </c>
      <c r="AQ124" s="76" t="e">
        <f>N124</f>
        <v>#VALUE!</v>
      </c>
      <c r="AR124" s="76" t="e">
        <f>IF(OR(AB124&lt;=0,AB125&lt;=0),1/0,AB124)</f>
        <v>#VALUE!</v>
      </c>
      <c r="AS124" s="76" t="e">
        <f>AM124</f>
        <v>#VALUE!</v>
      </c>
      <c r="AT124" t="e">
        <f>IFERROR(AP124,IFERROR(AQ124,IFERROR(AR124,AS124)))</f>
        <v>#VALUE!</v>
      </c>
      <c r="AU124" s="81"/>
    </row>
    <row r="125" spans="1:47" x14ac:dyDescent="0.25">
      <c r="A125" s="84">
        <f>A124+1</f>
        <v>20</v>
      </c>
      <c r="B125" s="84" t="str">
        <f t="shared" si="48"/>
        <v xml:space="preserve">  </v>
      </c>
      <c r="F125" s="82" t="e">
        <f>SUM(F122:F124)</f>
        <v>#VALUE!</v>
      </c>
      <c r="H125" s="82" t="e">
        <f>SUM(H122:H124)</f>
        <v>#VALUE!</v>
      </c>
      <c r="I125" s="84" t="str">
        <f>CONCATENATE("m'(",C124,")=")</f>
        <v>m'(  )=</v>
      </c>
      <c r="J125" s="84" t="e">
        <f>2*(J122*(WLS))/3*H125</f>
        <v>#VALUE!</v>
      </c>
      <c r="K125" s="84" t="e">
        <f>CONCATENATE("M(",C122,")=")</f>
        <v>#VALUE!</v>
      </c>
      <c r="L125" s="84" t="e">
        <f>VLOOKUP(C122,STN_TABLE,4,FALSE)</f>
        <v>#VALUE!</v>
      </c>
      <c r="M125" t="str">
        <f>CONCATENATE("M(",C124,")=")</f>
        <v>M(  )=</v>
      </c>
      <c r="N125" t="e">
        <f>J125+L125</f>
        <v>#VALUE!</v>
      </c>
      <c r="O125" s="99">
        <f>O124+1</f>
        <v>22</v>
      </c>
      <c r="P125" s="99" t="str">
        <f t="shared" si="44"/>
        <v xml:space="preserve">  </v>
      </c>
      <c r="T125" s="89" t="e">
        <f>SUM(T122:T124)</f>
        <v>#VALUE!</v>
      </c>
      <c r="V125" s="82" t="e">
        <f>SUM(V122:V124)</f>
        <v>#VALUE!</v>
      </c>
      <c r="W125" s="84" t="str">
        <f>CONCATENATE("m'(",Q123,")=")</f>
        <v>m'(  )=</v>
      </c>
      <c r="X125" s="84" t="e">
        <f>(2*(X122^2)/24*V125)+(X124*Q122*WLS)</f>
        <v>#VALUE!</v>
      </c>
      <c r="Y125" s="84" t="e">
        <f>CONCATENATE("M(",Q122,")=")</f>
        <v>#VALUE!</v>
      </c>
      <c r="Z125" s="84" t="e">
        <f>VLOOKUP(Q122,STN_TABLE,4,FALSE)</f>
        <v>#VALUE!</v>
      </c>
      <c r="AA125" t="str">
        <f>CONCATENATE("M(",Q123,")=")</f>
        <v>M(  )=</v>
      </c>
      <c r="AB125" t="e">
        <f>X125+Z125</f>
        <v>#VALUE!</v>
      </c>
      <c r="AE125" s="89">
        <f>SUM(AE123:AE124)</f>
        <v>0</v>
      </c>
      <c r="AG125" s="89" t="e">
        <f>SUM(AG123:AG124)</f>
        <v>#VALUE!</v>
      </c>
      <c r="AH125" s="84" t="str">
        <f>CONCATENATE("m'(",AD124,")=")</f>
        <v>m'(  )=</v>
      </c>
      <c r="AI125" s="84" t="e">
        <f>(2*(AI122^2)/6*AG125)+(AI124*AD123*WLS)</f>
        <v>#VALUE!</v>
      </c>
      <c r="AJ125" s="84" t="str">
        <f>CONCATENATE("M(",AD123,")=")</f>
        <v>M(  )=</v>
      </c>
      <c r="AK125" s="84" t="str">
        <f>VLOOKUP(AD123,STN_TABLE,4,FALSE)</f>
        <v xml:space="preserve"> </v>
      </c>
      <c r="AL125" t="str">
        <f>CONCATENATE("M(",AD124,")=")</f>
        <v>M(  )=</v>
      </c>
      <c r="AM125" t="e">
        <f>AI125+AK125</f>
        <v>#VALUE!</v>
      </c>
      <c r="AO125" s="82" t="str">
        <f>AA125</f>
        <v>M(  )=</v>
      </c>
      <c r="AP125" s="82" t="e">
        <f>VLOOKUP(AO125,Rise_Results,2,FALSE)</f>
        <v>#N/A</v>
      </c>
      <c r="AQ125" s="82" t="e">
        <f>N125</f>
        <v>#VALUE!</v>
      </c>
      <c r="AR125" s="82" t="e">
        <f>IF(OR(AB124&lt;=0,AB125&lt;=0),1/0,AB125)</f>
        <v>#VALUE!</v>
      </c>
      <c r="AS125" s="82" t="e">
        <f>AM125</f>
        <v>#VALUE!</v>
      </c>
      <c r="AT125" t="e">
        <f>IFERROR(AP125,IFERROR(AQ125,IFERROR(AR125,AS125)))</f>
        <v>#VALUE!</v>
      </c>
      <c r="AU125" s="81"/>
    </row>
    <row r="126" spans="1:47" x14ac:dyDescent="0.25">
      <c r="A126" s="101">
        <f>A121+1</f>
        <v>17</v>
      </c>
      <c r="B126" s="101" t="str">
        <f t="shared" si="48"/>
        <v xml:space="preserve">  </v>
      </c>
      <c r="O126" s="101">
        <f>O121+1</f>
        <v>19</v>
      </c>
      <c r="P126" s="101" t="str">
        <f t="shared" si="44"/>
        <v xml:space="preserve">  </v>
      </c>
      <c r="AU126" s="81"/>
    </row>
    <row r="127" spans="1:47" x14ac:dyDescent="0.25">
      <c r="A127" s="84">
        <f>A126+1</f>
        <v>18</v>
      </c>
      <c r="B127" s="84" t="str">
        <f t="shared" si="48"/>
        <v xml:space="preserve">  </v>
      </c>
      <c r="C127" s="79" t="e">
        <f t="shared" ref="C127" si="61">IF(C128=B129,IF(C129-C128=C128-B128,B128,IF(C129-C128=C128-B127,B127,"#NA")),IF(C128=B128,IF(C129-C128=C128-B127,B127,IF(C129-C128=C128-B126,B126,"#NA")),"#NA"))</f>
        <v>#VALUE!</v>
      </c>
      <c r="D127" s="68" t="e">
        <f>VLOOKUP(C127,STN_TABLE,2,FALSE)</f>
        <v>#VALUE!</v>
      </c>
      <c r="E127" s="102">
        <v>1</v>
      </c>
      <c r="F127" s="68" t="e">
        <f>D127*E127</f>
        <v>#VALUE!</v>
      </c>
      <c r="G127" s="69" t="e">
        <f>C127</f>
        <v>#VALUE!</v>
      </c>
      <c r="H127" s="69" t="e">
        <f>F127*G127</f>
        <v>#VALUE!</v>
      </c>
      <c r="I127" s="6" t="s">
        <v>93</v>
      </c>
      <c r="J127" s="70" t="e">
        <f>IF(OR(D127=0,D128=0,D129=0),"#NA",IF(AND(C129-C128=C128-C127,C128&lt;&gt;C129,C127&lt;&gt;C128,C127&lt;&gt;C129,D129&lt;&gt;0,OR(D127&lt;&gt;0,D128&lt;&gt;0)),WLS*(C129-C128),"#NA"))</f>
        <v>#VALUE!</v>
      </c>
      <c r="O127" s="99">
        <f>O126+1</f>
        <v>20</v>
      </c>
      <c r="P127" s="99" t="str">
        <f t="shared" si="44"/>
        <v xml:space="preserve">  </v>
      </c>
      <c r="Q127" s="68" t="e">
        <f>IF(OR(P129-P128=P128-P127,P130-P128=P128-P127),P127,IF(OR(P129-P128=P128-P126,P130-P128=P128-P126),P126,"-"))</f>
        <v>#VALUE!</v>
      </c>
      <c r="R127" s="69" t="e">
        <f>VLOOKUP(Q127,STN_TABLE,2,FALSE)</f>
        <v>#VALUE!</v>
      </c>
      <c r="S127" s="69">
        <v>5</v>
      </c>
      <c r="T127" s="68" t="e">
        <f>R127*S127</f>
        <v>#VALUE!</v>
      </c>
      <c r="U127" s="79">
        <v>3</v>
      </c>
      <c r="V127" s="68" t="e">
        <f>R127*U127</f>
        <v>#VALUE!</v>
      </c>
      <c r="W127" s="6" t="s">
        <v>93</v>
      </c>
      <c r="X127" s="70" t="e">
        <f>IF(AND(Q129-Q128=Q128-Q127,NOT(AND(Q127=0,Q128=0)),NOT(AND(Q128=0,Q129=0))),WLS*(Q129-Q128),"#NA")</f>
        <v>#VALUE!</v>
      </c>
      <c r="AD127" s="93"/>
      <c r="AH127" s="6" t="s">
        <v>93</v>
      </c>
      <c r="AI127" s="70" t="e">
        <f>WLS*(AD129-AD128)</f>
        <v>#VALUE!</v>
      </c>
      <c r="AU127" s="81"/>
    </row>
    <row r="128" spans="1:47" x14ac:dyDescent="0.25">
      <c r="A128" s="84">
        <f>A127+1</f>
        <v>19</v>
      </c>
      <c r="B128" s="84" t="str">
        <f t="shared" si="48"/>
        <v xml:space="preserve">  </v>
      </c>
      <c r="C128" s="80" t="e">
        <f t="shared" ref="C128" si="62">IF(OR(B130-B129=B129-B128,B130-B129=B129-B127,B130-B129=B129-B126),B129,IF(OR(B130-B128=B128-B127,B130-B128=B128-B126),B128,IF(B130-B127=B127-B126,B127,"#NA")))</f>
        <v>#VALUE!</v>
      </c>
      <c r="D128" s="76" t="e">
        <f>VLOOKUP(C128,STN_TABLE,2,FALSE)</f>
        <v>#VALUE!</v>
      </c>
      <c r="E128" s="81">
        <v>4</v>
      </c>
      <c r="F128" s="76" t="e">
        <f>D128*E128</f>
        <v>#VALUE!</v>
      </c>
      <c r="G128" s="77" t="e">
        <f>C128</f>
        <v>#VALUE!</v>
      </c>
      <c r="H128" s="77" t="e">
        <f>F128*G128</f>
        <v>#VALUE!</v>
      </c>
      <c r="I128" s="495" t="s">
        <v>97</v>
      </c>
      <c r="J128" s="496"/>
      <c r="K128" s="78" t="s">
        <v>98</v>
      </c>
      <c r="L128" s="78"/>
      <c r="M128" s="7" t="s">
        <v>99</v>
      </c>
      <c r="N128" s="7"/>
      <c r="O128" s="99">
        <f>O127+1</f>
        <v>21</v>
      </c>
      <c r="P128" s="99" t="str">
        <f t="shared" si="44"/>
        <v xml:space="preserve">  </v>
      </c>
      <c r="Q128" s="76" t="str">
        <f>P128</f>
        <v xml:space="preserve">  </v>
      </c>
      <c r="R128" s="77" t="str">
        <f>VLOOKUP(Q128,STN_TABLE,2,FALSE)</f>
        <v xml:space="preserve">  </v>
      </c>
      <c r="S128" s="77">
        <v>8</v>
      </c>
      <c r="T128" s="76" t="e">
        <f>R128*S128</f>
        <v>#VALUE!</v>
      </c>
      <c r="U128" s="80">
        <v>10</v>
      </c>
      <c r="V128" s="76" t="e">
        <f>R128*U128</f>
        <v>#VALUE!</v>
      </c>
      <c r="W128" s="496" t="s">
        <v>97</v>
      </c>
      <c r="X128" s="496"/>
      <c r="Y128" s="496" t="s">
        <v>98</v>
      </c>
      <c r="Z128" s="496"/>
      <c r="AA128" s="494" t="s">
        <v>99</v>
      </c>
      <c r="AB128" s="494"/>
      <c r="AC128" s="99">
        <f>AC123+1</f>
        <v>20</v>
      </c>
      <c r="AD128" s="95" t="str">
        <f>VLOOKUP(AC128,STN_TABLE_2,2,FALSE)</f>
        <v xml:space="preserve">  </v>
      </c>
      <c r="AE128" s="68" t="str">
        <f>VLOOKUP(AD128,STN_TABLE,2,FALSE)</f>
        <v xml:space="preserve">  </v>
      </c>
      <c r="AF128" s="68">
        <v>1</v>
      </c>
      <c r="AG128" s="69" t="e">
        <f>AE128*AF128</f>
        <v>#VALUE!</v>
      </c>
      <c r="AH128" s="496" t="s">
        <v>97</v>
      </c>
      <c r="AI128" s="496"/>
      <c r="AJ128" s="496" t="s">
        <v>98</v>
      </c>
      <c r="AK128" s="496"/>
      <c r="AL128" s="494" t="s">
        <v>99</v>
      </c>
      <c r="AM128" s="494"/>
      <c r="AP128" s="86" t="s">
        <v>112</v>
      </c>
      <c r="AQ128" s="89" t="s">
        <v>113</v>
      </c>
      <c r="AR128" s="89" t="s">
        <v>114</v>
      </c>
      <c r="AS128" s="89" t="s">
        <v>115</v>
      </c>
      <c r="AU128" s="81"/>
    </row>
    <row r="129" spans="1:47" x14ac:dyDescent="0.25">
      <c r="A129" s="84">
        <f>A128+1</f>
        <v>20</v>
      </c>
      <c r="B129" s="84" t="str">
        <f t="shared" si="48"/>
        <v xml:space="preserve">  </v>
      </c>
      <c r="C129" s="88" t="str">
        <f t="shared" ref="C129" si="63">B130</f>
        <v xml:space="preserve">  </v>
      </c>
      <c r="D129" s="82" t="str">
        <f>VLOOKUP(C129,STN_TABLE,2,FALSE)</f>
        <v xml:space="preserve">  </v>
      </c>
      <c r="E129" s="92">
        <v>1</v>
      </c>
      <c r="F129" s="82" t="e">
        <f>D129*E129</f>
        <v>#VALUE!</v>
      </c>
      <c r="G129" s="83" t="str">
        <f>C129</f>
        <v xml:space="preserve">  </v>
      </c>
      <c r="H129" s="83" t="e">
        <f>F129*G129</f>
        <v>#VALUE!</v>
      </c>
      <c r="I129" s="84" t="str">
        <f>CONCATENATE("a'(",C129,")=")</f>
        <v>a'(  )=</v>
      </c>
      <c r="J129" s="84" t="e">
        <f>2*J127/3*F130</f>
        <v>#VALUE!</v>
      </c>
      <c r="K129" s="84" t="e">
        <f>CONCATENATE("A(",C127,")=")</f>
        <v>#VALUE!</v>
      </c>
      <c r="L129" s="84" t="e">
        <f>VLOOKUP(C127,STN_TABLE,3,FALSE)</f>
        <v>#VALUE!</v>
      </c>
      <c r="M129" t="str">
        <f>CONCATENATE("A(",C129,")=")</f>
        <v>A(  )=</v>
      </c>
      <c r="N129" t="e">
        <f>J129+L129</f>
        <v>#VALUE!</v>
      </c>
      <c r="O129" s="99">
        <f>O128+1</f>
        <v>22</v>
      </c>
      <c r="P129" s="99" t="str">
        <f t="shared" si="44"/>
        <v xml:space="preserve">  </v>
      </c>
      <c r="Q129" s="82" t="e">
        <f>IF(P129-P128=P128-P127,P129,IF(P130-P128=P128-P127,P130,IF(P129-P128=P128-P126,P129,IF(P130-P128=P128-P126,P130,"-"))))</f>
        <v>#VALUE!</v>
      </c>
      <c r="R129" s="83" t="e">
        <f>VLOOKUP(Q129,STN_TABLE,2,FALSE)</f>
        <v>#VALUE!</v>
      </c>
      <c r="S129" s="83">
        <v>-1</v>
      </c>
      <c r="T129" s="82" t="e">
        <f>R129*S129</f>
        <v>#VALUE!</v>
      </c>
      <c r="U129" s="88">
        <v>-1</v>
      </c>
      <c r="V129" s="82" t="e">
        <f>R129*U129</f>
        <v>#VALUE!</v>
      </c>
      <c r="W129" s="84" t="str">
        <f>CONCATENATE("a'(",Q128,")=")</f>
        <v>a'(  )=</v>
      </c>
      <c r="X129" s="84" t="e">
        <f>2*X127/12*T130</f>
        <v>#VALUE!</v>
      </c>
      <c r="Y129" s="84" t="e">
        <f>CONCATENATE("A(",Q127,")=")</f>
        <v>#VALUE!</v>
      </c>
      <c r="Z129" s="84" t="e">
        <f>VLOOKUP(Q127,STN_TABLE,3,FALSE)</f>
        <v>#VALUE!</v>
      </c>
      <c r="AA129" t="str">
        <f>CONCATENATE("A(",Q128,")=")</f>
        <v>A(  )=</v>
      </c>
      <c r="AB129" t="e">
        <f>X129+Z129</f>
        <v>#VALUE!</v>
      </c>
      <c r="AC129" s="99">
        <f>AC128+1</f>
        <v>21</v>
      </c>
      <c r="AD129" s="100" t="str">
        <f>VLOOKUP(AC129,STN_TABLE_2,2,FALSE)</f>
        <v xml:space="preserve">  </v>
      </c>
      <c r="AE129" s="82" t="str">
        <f>VLOOKUP(AD129,STN_TABLE,2,FALSE)</f>
        <v xml:space="preserve">  </v>
      </c>
      <c r="AF129" s="82">
        <v>2</v>
      </c>
      <c r="AG129" s="83" t="e">
        <f>AE129*AF129</f>
        <v>#VALUE!</v>
      </c>
      <c r="AH129" s="84" t="str">
        <f>CONCATENATE("a'(",AD129,")=")</f>
        <v>a'(  )=</v>
      </c>
      <c r="AI129" s="84" t="e">
        <f>2*AI127/2*AE130</f>
        <v>#VALUE!</v>
      </c>
      <c r="AJ129" s="84" t="str">
        <f>CONCATENATE("A(",AD128,")=")</f>
        <v>A(  )=</v>
      </c>
      <c r="AK129" s="84" t="str">
        <f>VLOOKUP(AD128,STN_TABLE,3,FALSE)</f>
        <v xml:space="preserve"> </v>
      </c>
      <c r="AL129" t="str">
        <f>CONCATENATE("A(",AD129,")=")</f>
        <v>A(  )=</v>
      </c>
      <c r="AM129" t="e">
        <f>AI129+AK129</f>
        <v>#VALUE!</v>
      </c>
      <c r="AO129" s="68" t="str">
        <f>AA129</f>
        <v>A(  )=</v>
      </c>
      <c r="AP129" s="68" t="e">
        <f>VLOOKUP(AO129,Rise_Results,2,FALSE)</f>
        <v>#N/A</v>
      </c>
      <c r="AQ129" s="76" t="e">
        <f>N129</f>
        <v>#VALUE!</v>
      </c>
      <c r="AR129" s="76" t="e">
        <f>IF(OR(AB129&lt;=0,AB130&lt;=0),1/0,AB129)</f>
        <v>#VALUE!</v>
      </c>
      <c r="AS129" s="76" t="e">
        <f>AM129</f>
        <v>#VALUE!</v>
      </c>
      <c r="AT129" t="e">
        <f>IFERROR(AP129,IFERROR(AQ129,IFERROR(AR129,AS129)))</f>
        <v>#VALUE!</v>
      </c>
      <c r="AU129" s="81"/>
    </row>
    <row r="130" spans="1:47" x14ac:dyDescent="0.25">
      <c r="A130" s="84">
        <f>A129+1</f>
        <v>21</v>
      </c>
      <c r="B130" s="84" t="str">
        <f t="shared" si="48"/>
        <v xml:space="preserve">  </v>
      </c>
      <c r="F130" s="82" t="e">
        <f>SUM(F127:F129)</f>
        <v>#VALUE!</v>
      </c>
      <c r="H130" s="82" t="e">
        <f>SUM(H127:H129)</f>
        <v>#VALUE!</v>
      </c>
      <c r="I130" s="84" t="str">
        <f>CONCATENATE("m'(",C129,")=")</f>
        <v>m'(  )=</v>
      </c>
      <c r="J130" s="84" t="e">
        <f>2*(J127*(WLS))/3*H130</f>
        <v>#VALUE!</v>
      </c>
      <c r="K130" s="84" t="e">
        <f>CONCATENATE("M(",C127,")=")</f>
        <v>#VALUE!</v>
      </c>
      <c r="L130" s="84" t="e">
        <f>VLOOKUP(C127,STN_TABLE,4,FALSE)</f>
        <v>#VALUE!</v>
      </c>
      <c r="M130" t="str">
        <f>CONCATENATE("M(",C129,")=")</f>
        <v>M(  )=</v>
      </c>
      <c r="N130" t="e">
        <f>J130+L130</f>
        <v>#VALUE!</v>
      </c>
      <c r="O130" s="99">
        <f>O129+1</f>
        <v>23</v>
      </c>
      <c r="P130" s="99" t="str">
        <f t="shared" si="44"/>
        <v xml:space="preserve">  </v>
      </c>
      <c r="T130" s="89" t="e">
        <f>SUM(T127:T129)</f>
        <v>#VALUE!</v>
      </c>
      <c r="V130" s="82" t="e">
        <f>SUM(V127:V129)</f>
        <v>#VALUE!</v>
      </c>
      <c r="W130" s="84" t="str">
        <f>CONCATENATE("m'(",Q128,")=")</f>
        <v>m'(  )=</v>
      </c>
      <c r="X130" s="84" t="e">
        <f>(2*(X127^2)/24*V130)+(X129*Q127*WLS)</f>
        <v>#VALUE!</v>
      </c>
      <c r="Y130" s="84" t="e">
        <f>CONCATENATE("M(",Q127,")=")</f>
        <v>#VALUE!</v>
      </c>
      <c r="Z130" s="84" t="e">
        <f>VLOOKUP(Q127,STN_TABLE,4,FALSE)</f>
        <v>#VALUE!</v>
      </c>
      <c r="AA130" t="str">
        <f>CONCATENATE("M(",Q128,")=")</f>
        <v>M(  )=</v>
      </c>
      <c r="AB130" t="e">
        <f>X130+Z130</f>
        <v>#VALUE!</v>
      </c>
      <c r="AE130" s="89">
        <f>SUM(AE128:AE129)</f>
        <v>0</v>
      </c>
      <c r="AG130" s="89" t="e">
        <f>SUM(AG128:AG129)</f>
        <v>#VALUE!</v>
      </c>
      <c r="AH130" s="84" t="str">
        <f>CONCATENATE("m'(",AD129,")=")</f>
        <v>m'(  )=</v>
      </c>
      <c r="AI130" s="84" t="e">
        <f>(2*(AI127^2)/6*AG130)+(AI129*AD128*WLS)</f>
        <v>#VALUE!</v>
      </c>
      <c r="AJ130" s="84" t="str">
        <f>CONCATENATE("M(",AD128,")=")</f>
        <v>M(  )=</v>
      </c>
      <c r="AK130" s="84" t="str">
        <f>VLOOKUP(AD128,STN_TABLE,4,FALSE)</f>
        <v xml:space="preserve"> </v>
      </c>
      <c r="AL130" t="str">
        <f>CONCATENATE("M(",AD129,")=")</f>
        <v>M(  )=</v>
      </c>
      <c r="AM130" t="e">
        <f>AI130+AK130</f>
        <v>#VALUE!</v>
      </c>
      <c r="AO130" s="82" t="str">
        <f>AA130</f>
        <v>M(  )=</v>
      </c>
      <c r="AP130" s="82" t="e">
        <f>VLOOKUP(AO130,Rise_Results,2,FALSE)</f>
        <v>#N/A</v>
      </c>
      <c r="AQ130" s="82" t="e">
        <f>N130</f>
        <v>#VALUE!</v>
      </c>
      <c r="AR130" s="82" t="e">
        <f>IF(OR(AB129&lt;=0,AB130&lt;=0),1/0,AB130)</f>
        <v>#VALUE!</v>
      </c>
      <c r="AS130" s="82" t="e">
        <f>AM130</f>
        <v>#VALUE!</v>
      </c>
      <c r="AT130" t="e">
        <f>IFERROR(AP130,IFERROR(AQ130,IFERROR(AR130,AS130)))</f>
        <v>#VALUE!</v>
      </c>
      <c r="AU130" s="81"/>
    </row>
    <row r="131" spans="1:47" x14ac:dyDescent="0.25">
      <c r="A131" s="101">
        <f>A126+1</f>
        <v>18</v>
      </c>
      <c r="B131" s="101" t="str">
        <f t="shared" si="48"/>
        <v xml:space="preserve">  </v>
      </c>
      <c r="O131" s="101">
        <f>O126+1</f>
        <v>20</v>
      </c>
      <c r="P131" s="101" t="str">
        <f t="shared" si="44"/>
        <v xml:space="preserve">  </v>
      </c>
      <c r="AU131" s="81"/>
    </row>
    <row r="132" spans="1:47" x14ac:dyDescent="0.25">
      <c r="A132" s="84">
        <f>A131+1</f>
        <v>19</v>
      </c>
      <c r="B132" s="84" t="str">
        <f t="shared" si="48"/>
        <v xml:space="preserve">  </v>
      </c>
      <c r="C132" s="79" t="e">
        <f t="shared" ref="C132" si="64">IF(C133=B134,IF(C134-C133=C133-B133,B133,IF(C134-C133=C133-B132,B132,"#NA")),IF(C133=B133,IF(C134-C133=C133-B132,B132,IF(C134-C133=C133-B131,B131,"#NA")),"#NA"))</f>
        <v>#VALUE!</v>
      </c>
      <c r="D132" s="68" t="e">
        <f>VLOOKUP(C132,STN_TABLE,2,FALSE)</f>
        <v>#VALUE!</v>
      </c>
      <c r="E132" s="102">
        <v>1</v>
      </c>
      <c r="F132" s="68" t="e">
        <f>D132*E132</f>
        <v>#VALUE!</v>
      </c>
      <c r="G132" s="69" t="e">
        <f>C132</f>
        <v>#VALUE!</v>
      </c>
      <c r="H132" s="69" t="e">
        <f>F132*G132</f>
        <v>#VALUE!</v>
      </c>
      <c r="I132" s="6" t="s">
        <v>93</v>
      </c>
      <c r="J132" s="70" t="e">
        <f>IF(OR(D132=0,D133=0,D134=0),"#NA",IF(AND(C134-C133=C133-C132,C133&lt;&gt;C134,C132&lt;&gt;C133,C132&lt;&gt;C134,D134&lt;&gt;0,OR(D132&lt;&gt;0,D133&lt;&gt;0)),WLS*(C134-C133),"#NA"))</f>
        <v>#VALUE!</v>
      </c>
      <c r="O132" s="99">
        <f>O131+1</f>
        <v>21</v>
      </c>
      <c r="P132" s="99" t="str">
        <f t="shared" ref="P132:P150" si="65">VLOOKUP(O132,STN_TABLE_2,2,FALSE)</f>
        <v xml:space="preserve">  </v>
      </c>
      <c r="Q132" s="68" t="e">
        <f>IF(OR(P134-P133=P133-P132,P135-P133=P133-P132),P132,IF(OR(P134-P133=P133-P131,P135-P133=P133-P131),P131,"-"))</f>
        <v>#VALUE!</v>
      </c>
      <c r="R132" s="69" t="e">
        <f>VLOOKUP(Q132,STN_TABLE,2,FALSE)</f>
        <v>#VALUE!</v>
      </c>
      <c r="S132" s="69">
        <v>5</v>
      </c>
      <c r="T132" s="68" t="e">
        <f>R132*S132</f>
        <v>#VALUE!</v>
      </c>
      <c r="U132" s="79">
        <v>3</v>
      </c>
      <c r="V132" s="68" t="e">
        <f>R132*U132</f>
        <v>#VALUE!</v>
      </c>
      <c r="W132" s="6" t="s">
        <v>93</v>
      </c>
      <c r="X132" s="70" t="e">
        <f>IF(AND(Q134-Q133=Q133-Q132,NOT(AND(Q132=0,Q133=0)),NOT(AND(Q133=0,Q134=0))),WLS*(Q134-Q133),"#NA")</f>
        <v>#VALUE!</v>
      </c>
      <c r="AD132" s="93"/>
      <c r="AH132" s="6" t="s">
        <v>93</v>
      </c>
      <c r="AI132" s="70" t="e">
        <f>WLS*(AD134-AD133)</f>
        <v>#VALUE!</v>
      </c>
      <c r="AU132" s="81"/>
    </row>
    <row r="133" spans="1:47" x14ac:dyDescent="0.25">
      <c r="A133" s="84">
        <f>A132+1</f>
        <v>20</v>
      </c>
      <c r="B133" s="84" t="str">
        <f t="shared" si="48"/>
        <v xml:space="preserve">  </v>
      </c>
      <c r="C133" s="80" t="e">
        <f t="shared" ref="C133" si="66">IF(OR(B135-B134=B134-B133,B135-B134=B134-B132,B135-B134=B134-B131),B134,IF(OR(B135-B133=B133-B132,B135-B133=B133-B131),B133,IF(B135-B132=B132-B131,B132,"#NA")))</f>
        <v>#VALUE!</v>
      </c>
      <c r="D133" s="76" t="e">
        <f>VLOOKUP(C133,STN_TABLE,2,FALSE)</f>
        <v>#VALUE!</v>
      </c>
      <c r="E133" s="81">
        <v>4</v>
      </c>
      <c r="F133" s="76" t="e">
        <f>D133*E133</f>
        <v>#VALUE!</v>
      </c>
      <c r="G133" s="77" t="e">
        <f>C133</f>
        <v>#VALUE!</v>
      </c>
      <c r="H133" s="77" t="e">
        <f>F133*G133</f>
        <v>#VALUE!</v>
      </c>
      <c r="I133" s="495" t="s">
        <v>97</v>
      </c>
      <c r="J133" s="496"/>
      <c r="K133" s="78" t="s">
        <v>98</v>
      </c>
      <c r="L133" s="78"/>
      <c r="M133" s="7" t="s">
        <v>99</v>
      </c>
      <c r="N133" s="7"/>
      <c r="O133" s="99">
        <f>O132+1</f>
        <v>22</v>
      </c>
      <c r="P133" s="99" t="str">
        <f t="shared" si="65"/>
        <v xml:space="preserve">  </v>
      </c>
      <c r="Q133" s="76" t="str">
        <f>P133</f>
        <v xml:space="preserve">  </v>
      </c>
      <c r="R133" s="77" t="str">
        <f>VLOOKUP(Q133,STN_TABLE,2,FALSE)</f>
        <v xml:space="preserve">  </v>
      </c>
      <c r="S133" s="77">
        <v>8</v>
      </c>
      <c r="T133" s="76" t="e">
        <f>R133*S133</f>
        <v>#VALUE!</v>
      </c>
      <c r="U133" s="80">
        <v>10</v>
      </c>
      <c r="V133" s="76" t="e">
        <f>R133*U133</f>
        <v>#VALUE!</v>
      </c>
      <c r="W133" s="496" t="s">
        <v>97</v>
      </c>
      <c r="X133" s="496"/>
      <c r="Y133" s="496" t="s">
        <v>98</v>
      </c>
      <c r="Z133" s="496"/>
      <c r="AA133" s="494" t="s">
        <v>99</v>
      </c>
      <c r="AB133" s="494"/>
      <c r="AC133" s="99">
        <f>AC128+1</f>
        <v>21</v>
      </c>
      <c r="AD133" s="95" t="str">
        <f>VLOOKUP(AC133,STN_TABLE_2,2,FALSE)</f>
        <v xml:space="preserve">  </v>
      </c>
      <c r="AE133" s="68" t="str">
        <f>VLOOKUP(AD133,STN_TABLE,2,FALSE)</f>
        <v xml:space="preserve">  </v>
      </c>
      <c r="AF133" s="68">
        <v>1</v>
      </c>
      <c r="AG133" s="69" t="e">
        <f>AE133*AF133</f>
        <v>#VALUE!</v>
      </c>
      <c r="AH133" s="496" t="s">
        <v>97</v>
      </c>
      <c r="AI133" s="496"/>
      <c r="AJ133" s="496" t="s">
        <v>98</v>
      </c>
      <c r="AK133" s="496"/>
      <c r="AL133" s="494" t="s">
        <v>99</v>
      </c>
      <c r="AM133" s="494"/>
      <c r="AP133" s="86" t="s">
        <v>112</v>
      </c>
      <c r="AQ133" s="89" t="s">
        <v>113</v>
      </c>
      <c r="AR133" s="89" t="s">
        <v>114</v>
      </c>
      <c r="AS133" s="89" t="s">
        <v>115</v>
      </c>
      <c r="AU133" s="81"/>
    </row>
    <row r="134" spans="1:47" x14ac:dyDescent="0.25">
      <c r="A134" s="84">
        <f>A133+1</f>
        <v>21</v>
      </c>
      <c r="B134" s="84" t="str">
        <f t="shared" si="48"/>
        <v xml:space="preserve">  </v>
      </c>
      <c r="C134" s="88" t="str">
        <f t="shared" ref="C134" si="67">B135</f>
        <v xml:space="preserve">  </v>
      </c>
      <c r="D134" s="82" t="str">
        <f>VLOOKUP(C134,STN_TABLE,2,FALSE)</f>
        <v xml:space="preserve">  </v>
      </c>
      <c r="E134" s="92">
        <v>1</v>
      </c>
      <c r="F134" s="82" t="e">
        <f>D134*E134</f>
        <v>#VALUE!</v>
      </c>
      <c r="G134" s="83" t="str">
        <f>C134</f>
        <v xml:space="preserve">  </v>
      </c>
      <c r="H134" s="83" t="e">
        <f>F134*G134</f>
        <v>#VALUE!</v>
      </c>
      <c r="I134" s="84" t="str">
        <f>CONCATENATE("a'(",C134,")=")</f>
        <v>a'(  )=</v>
      </c>
      <c r="J134" s="84" t="e">
        <f>2*J132/3*F135</f>
        <v>#VALUE!</v>
      </c>
      <c r="K134" s="84" t="e">
        <f>CONCATENATE("A(",C132,")=")</f>
        <v>#VALUE!</v>
      </c>
      <c r="L134" s="84" t="e">
        <f>VLOOKUP(C132,STN_TABLE,3,FALSE)</f>
        <v>#VALUE!</v>
      </c>
      <c r="M134" t="str">
        <f>CONCATENATE("A(",C134,")=")</f>
        <v>A(  )=</v>
      </c>
      <c r="N134" t="e">
        <f>J134+L134</f>
        <v>#VALUE!</v>
      </c>
      <c r="O134" s="99">
        <f>O133+1</f>
        <v>23</v>
      </c>
      <c r="P134" s="99" t="str">
        <f t="shared" si="65"/>
        <v xml:space="preserve">  </v>
      </c>
      <c r="Q134" s="82" t="e">
        <f>IF(P134-P133=P133-P132,P134,IF(P135-P133=P133-P132,P135,IF(P134-P133=P133-P131,P134,IF(P135-P133=P133-P131,P135,"-"))))</f>
        <v>#VALUE!</v>
      </c>
      <c r="R134" s="83" t="e">
        <f>VLOOKUP(Q134,STN_TABLE,2,FALSE)</f>
        <v>#VALUE!</v>
      </c>
      <c r="S134" s="83">
        <v>-1</v>
      </c>
      <c r="T134" s="82" t="e">
        <f>R134*S134</f>
        <v>#VALUE!</v>
      </c>
      <c r="U134" s="88">
        <v>-1</v>
      </c>
      <c r="V134" s="82" t="e">
        <f>R134*U134</f>
        <v>#VALUE!</v>
      </c>
      <c r="W134" s="84" t="str">
        <f>CONCATENATE("a'(",Q133,")=")</f>
        <v>a'(  )=</v>
      </c>
      <c r="X134" s="84" t="e">
        <f>2*X132/12*T135</f>
        <v>#VALUE!</v>
      </c>
      <c r="Y134" s="84" t="e">
        <f>CONCATENATE("A(",Q132,")=")</f>
        <v>#VALUE!</v>
      </c>
      <c r="Z134" s="84" t="e">
        <f>VLOOKUP(Q132,STN_TABLE,3,FALSE)</f>
        <v>#VALUE!</v>
      </c>
      <c r="AA134" t="str">
        <f>CONCATENATE("A(",Q133,")=")</f>
        <v>A(  )=</v>
      </c>
      <c r="AB134" t="e">
        <f>X134+Z134</f>
        <v>#VALUE!</v>
      </c>
      <c r="AC134" s="99">
        <f>AC133+1</f>
        <v>22</v>
      </c>
      <c r="AD134" s="100" t="str">
        <f>VLOOKUP(AC134,STN_TABLE_2,2,FALSE)</f>
        <v xml:space="preserve">  </v>
      </c>
      <c r="AE134" s="82" t="str">
        <f>VLOOKUP(AD134,STN_TABLE,2,FALSE)</f>
        <v xml:space="preserve">  </v>
      </c>
      <c r="AF134" s="82">
        <v>2</v>
      </c>
      <c r="AG134" s="83" t="e">
        <f>AE134*AF134</f>
        <v>#VALUE!</v>
      </c>
      <c r="AH134" s="84" t="str">
        <f>CONCATENATE("a'(",AD134,")=")</f>
        <v>a'(  )=</v>
      </c>
      <c r="AI134" s="84" t="e">
        <f>2*AI132/2*AE135</f>
        <v>#VALUE!</v>
      </c>
      <c r="AJ134" s="84" t="str">
        <f>CONCATENATE("A(",AD133,")=")</f>
        <v>A(  )=</v>
      </c>
      <c r="AK134" s="84" t="str">
        <f>VLOOKUP(AD133,STN_TABLE,3,FALSE)</f>
        <v xml:space="preserve"> </v>
      </c>
      <c r="AL134" t="str">
        <f>CONCATENATE("A(",AD134,")=")</f>
        <v>A(  )=</v>
      </c>
      <c r="AM134" t="e">
        <f>AI134+AK134</f>
        <v>#VALUE!</v>
      </c>
      <c r="AO134" s="68" t="str">
        <f>AA134</f>
        <v>A(  )=</v>
      </c>
      <c r="AP134" s="68" t="e">
        <f>VLOOKUP(AO134,Rise_Results,2,FALSE)</f>
        <v>#N/A</v>
      </c>
      <c r="AQ134" s="76" t="e">
        <f>N134</f>
        <v>#VALUE!</v>
      </c>
      <c r="AR134" s="76" t="e">
        <f>IF(OR(AB134&lt;=0,AB135&lt;=0),1/0,AB134)</f>
        <v>#VALUE!</v>
      </c>
      <c r="AS134" s="76" t="e">
        <f>AM134</f>
        <v>#VALUE!</v>
      </c>
      <c r="AT134" t="e">
        <f>IFERROR(AP134,IFERROR(AQ134,IFERROR(AR134,AS134)))</f>
        <v>#VALUE!</v>
      </c>
      <c r="AU134" s="81"/>
    </row>
    <row r="135" spans="1:47" x14ac:dyDescent="0.25">
      <c r="A135" s="84">
        <f>A134+1</f>
        <v>22</v>
      </c>
      <c r="B135" s="84" t="str">
        <f t="shared" si="48"/>
        <v xml:space="preserve">  </v>
      </c>
      <c r="F135" s="82" t="e">
        <f>SUM(F132:F134)</f>
        <v>#VALUE!</v>
      </c>
      <c r="H135" s="82" t="e">
        <f>SUM(H132:H134)</f>
        <v>#VALUE!</v>
      </c>
      <c r="I135" s="84" t="str">
        <f>CONCATENATE("m'(",C134,")=")</f>
        <v>m'(  )=</v>
      </c>
      <c r="J135" s="84" t="e">
        <f>2*(J132*(WLS))/3*H135</f>
        <v>#VALUE!</v>
      </c>
      <c r="K135" s="84" t="e">
        <f>CONCATENATE("M(",C132,")=")</f>
        <v>#VALUE!</v>
      </c>
      <c r="L135" s="84" t="e">
        <f>VLOOKUP(C132,STN_TABLE,4,FALSE)</f>
        <v>#VALUE!</v>
      </c>
      <c r="M135" t="str">
        <f>CONCATENATE("M(",C134,")=")</f>
        <v>M(  )=</v>
      </c>
      <c r="N135" t="e">
        <f>J135+L135</f>
        <v>#VALUE!</v>
      </c>
      <c r="O135" s="99">
        <f>O134+1</f>
        <v>24</v>
      </c>
      <c r="P135" s="99" t="str">
        <f t="shared" si="65"/>
        <v xml:space="preserve">  </v>
      </c>
      <c r="T135" s="89" t="e">
        <f>SUM(T132:T134)</f>
        <v>#VALUE!</v>
      </c>
      <c r="V135" s="82" t="e">
        <f>SUM(V132:V134)</f>
        <v>#VALUE!</v>
      </c>
      <c r="W135" s="84" t="str">
        <f>CONCATENATE("m'(",Q133,")=")</f>
        <v>m'(  )=</v>
      </c>
      <c r="X135" s="84" t="e">
        <f>(2*(X132^2)/24*V135)+(X134*Q132*WLS)</f>
        <v>#VALUE!</v>
      </c>
      <c r="Y135" s="84" t="e">
        <f>CONCATENATE("M(",Q132,")=")</f>
        <v>#VALUE!</v>
      </c>
      <c r="Z135" s="84" t="e">
        <f>VLOOKUP(Q132,STN_TABLE,4,FALSE)</f>
        <v>#VALUE!</v>
      </c>
      <c r="AA135" t="str">
        <f>CONCATENATE("M(",Q133,")=")</f>
        <v>M(  )=</v>
      </c>
      <c r="AB135" t="e">
        <f>X135+Z135</f>
        <v>#VALUE!</v>
      </c>
      <c r="AE135" s="89">
        <f>SUM(AE133:AE134)</f>
        <v>0</v>
      </c>
      <c r="AG135" s="89" t="e">
        <f>SUM(AG133:AG134)</f>
        <v>#VALUE!</v>
      </c>
      <c r="AH135" s="84" t="str">
        <f>CONCATENATE("m'(",AD134,")=")</f>
        <v>m'(  )=</v>
      </c>
      <c r="AI135" s="84" t="e">
        <f>(2*(AI132^2)/6*AG135)+(AI134*AD133*WLS)</f>
        <v>#VALUE!</v>
      </c>
      <c r="AJ135" s="84" t="str">
        <f>CONCATENATE("M(",AD133,")=")</f>
        <v>M(  )=</v>
      </c>
      <c r="AK135" s="84" t="str">
        <f>VLOOKUP(AD133,STN_TABLE,4,FALSE)</f>
        <v xml:space="preserve"> </v>
      </c>
      <c r="AL135" t="str">
        <f>CONCATENATE("M(",AD134,")=")</f>
        <v>M(  )=</v>
      </c>
      <c r="AM135" t="e">
        <f>AI135+AK135</f>
        <v>#VALUE!</v>
      </c>
      <c r="AO135" s="82" t="str">
        <f>AA135</f>
        <v>M(  )=</v>
      </c>
      <c r="AP135" s="82" t="e">
        <f>VLOOKUP(AO135,Rise_Results,2,FALSE)</f>
        <v>#N/A</v>
      </c>
      <c r="AQ135" s="82" t="e">
        <f>N135</f>
        <v>#VALUE!</v>
      </c>
      <c r="AR135" s="82" t="e">
        <f>IF(OR(AB134&lt;=0,AB135&lt;=0),1/0,AB135)</f>
        <v>#VALUE!</v>
      </c>
      <c r="AS135" s="82" t="e">
        <f>AM135</f>
        <v>#VALUE!</v>
      </c>
      <c r="AT135" t="e">
        <f>IFERROR(AP135,IFERROR(AQ135,IFERROR(AR135,AS135)))</f>
        <v>#VALUE!</v>
      </c>
      <c r="AU135" s="81"/>
    </row>
    <row r="136" spans="1:47" x14ac:dyDescent="0.25">
      <c r="A136" s="101">
        <f>A131+1</f>
        <v>19</v>
      </c>
      <c r="B136" s="101" t="str">
        <f t="shared" si="48"/>
        <v xml:space="preserve">  </v>
      </c>
      <c r="O136" s="101">
        <f>O131+1</f>
        <v>21</v>
      </c>
      <c r="P136" s="101" t="str">
        <f t="shared" si="65"/>
        <v xml:space="preserve">  </v>
      </c>
      <c r="AU136" s="81"/>
    </row>
    <row r="137" spans="1:47" x14ac:dyDescent="0.25">
      <c r="A137" s="84">
        <f>A136+1</f>
        <v>20</v>
      </c>
      <c r="B137" s="84" t="str">
        <f t="shared" si="48"/>
        <v xml:space="preserve">  </v>
      </c>
      <c r="C137" s="79" t="e">
        <f t="shared" ref="C137" si="68">IF(C138=B139,IF(C139-C138=C138-B138,B138,IF(C139-C138=C138-B137,B137,"#NA")),IF(C138=B138,IF(C139-C138=C138-B137,B137,IF(C139-C138=C138-B136,B136,"#NA")),"#NA"))</f>
        <v>#VALUE!</v>
      </c>
      <c r="D137" s="68" t="e">
        <f>VLOOKUP(C137,STN_TABLE,2,FALSE)</f>
        <v>#VALUE!</v>
      </c>
      <c r="E137" s="102">
        <v>1</v>
      </c>
      <c r="F137" s="68" t="e">
        <f>D137*E137</f>
        <v>#VALUE!</v>
      </c>
      <c r="G137" s="69" t="e">
        <f>C137</f>
        <v>#VALUE!</v>
      </c>
      <c r="H137" s="69" t="e">
        <f>F137*G137</f>
        <v>#VALUE!</v>
      </c>
      <c r="I137" s="6" t="s">
        <v>93</v>
      </c>
      <c r="J137" s="70" t="e">
        <f>IF(OR(D137=0,D138=0,D139=0),"#NA",IF(AND(C139-C138=C138-C137,C138&lt;&gt;C139,C137&lt;&gt;C138,C137&lt;&gt;C139,D139&lt;&gt;0,OR(D137&lt;&gt;0,D138&lt;&gt;0)),WLS*(C139-C138),"#NA"))</f>
        <v>#VALUE!</v>
      </c>
      <c r="O137" s="99">
        <f>O136+1</f>
        <v>22</v>
      </c>
      <c r="P137" s="99" t="str">
        <f t="shared" si="65"/>
        <v xml:space="preserve">  </v>
      </c>
      <c r="Q137" s="68" t="e">
        <f>IF(OR(P139-P138=P138-P137,P140-P138=P138-P137),P137,IF(OR(P139-P138=P138-P136,P140-P138=P138-P136),P136,"-"))</f>
        <v>#VALUE!</v>
      </c>
      <c r="R137" s="69" t="e">
        <f>VLOOKUP(Q137,STN_TABLE,2,FALSE)</f>
        <v>#VALUE!</v>
      </c>
      <c r="S137" s="69">
        <v>5</v>
      </c>
      <c r="T137" s="68" t="e">
        <f>R137*S137</f>
        <v>#VALUE!</v>
      </c>
      <c r="U137" s="79">
        <v>3</v>
      </c>
      <c r="V137" s="68" t="e">
        <f>R137*U137</f>
        <v>#VALUE!</v>
      </c>
      <c r="W137" s="6" t="s">
        <v>93</v>
      </c>
      <c r="X137" s="70" t="e">
        <f>IF(AND(Q139-Q138=Q138-Q137,NOT(AND(Q137=0,Q138=0)),NOT(AND(Q138=0,Q139=0))),WLS*(Q139-Q138),"#NA")</f>
        <v>#VALUE!</v>
      </c>
      <c r="AD137" s="93"/>
      <c r="AH137" s="6" t="s">
        <v>93</v>
      </c>
      <c r="AI137" s="70" t="e">
        <f>WLS*(AD139-AD138)</f>
        <v>#VALUE!</v>
      </c>
      <c r="AU137" s="81"/>
    </row>
    <row r="138" spans="1:47" x14ac:dyDescent="0.25">
      <c r="A138" s="84">
        <f>A137+1</f>
        <v>21</v>
      </c>
      <c r="B138" s="84" t="str">
        <f t="shared" ref="B138:B150" si="69">VLOOKUP(A138,STN_TABLE_2,2,FALSE)</f>
        <v xml:space="preserve">  </v>
      </c>
      <c r="C138" s="80" t="e">
        <f t="shared" ref="C138" si="70">IF(OR(B140-B139=B139-B138,B140-B139=B139-B137,B140-B139=B139-B136),B139,IF(OR(B140-B138=B138-B137,B140-B138=B138-B136),B138,IF(B140-B137=B137-B136,B137,"#NA")))</f>
        <v>#VALUE!</v>
      </c>
      <c r="D138" s="76" t="e">
        <f>VLOOKUP(C138,STN_TABLE,2,FALSE)</f>
        <v>#VALUE!</v>
      </c>
      <c r="E138" s="81">
        <v>4</v>
      </c>
      <c r="F138" s="76" t="e">
        <f>D138*E138</f>
        <v>#VALUE!</v>
      </c>
      <c r="G138" s="77" t="e">
        <f>C138</f>
        <v>#VALUE!</v>
      </c>
      <c r="H138" s="77" t="e">
        <f>F138*G138</f>
        <v>#VALUE!</v>
      </c>
      <c r="I138" s="495" t="s">
        <v>97</v>
      </c>
      <c r="J138" s="496"/>
      <c r="K138" s="78" t="s">
        <v>98</v>
      </c>
      <c r="L138" s="78"/>
      <c r="M138" s="7" t="s">
        <v>99</v>
      </c>
      <c r="N138" s="7"/>
      <c r="O138" s="99">
        <f>O137+1</f>
        <v>23</v>
      </c>
      <c r="P138" s="99" t="str">
        <f t="shared" si="65"/>
        <v xml:space="preserve">  </v>
      </c>
      <c r="Q138" s="76" t="str">
        <f>P138</f>
        <v xml:space="preserve">  </v>
      </c>
      <c r="R138" s="77" t="str">
        <f>VLOOKUP(Q138,STN_TABLE,2,FALSE)</f>
        <v xml:space="preserve">  </v>
      </c>
      <c r="S138" s="77">
        <v>8</v>
      </c>
      <c r="T138" s="76" t="e">
        <f>R138*S138</f>
        <v>#VALUE!</v>
      </c>
      <c r="U138" s="80">
        <v>10</v>
      </c>
      <c r="V138" s="76" t="e">
        <f>R138*U138</f>
        <v>#VALUE!</v>
      </c>
      <c r="W138" s="496" t="s">
        <v>97</v>
      </c>
      <c r="X138" s="496"/>
      <c r="Y138" s="496" t="s">
        <v>98</v>
      </c>
      <c r="Z138" s="496"/>
      <c r="AA138" s="494" t="s">
        <v>99</v>
      </c>
      <c r="AB138" s="494"/>
      <c r="AC138" s="99">
        <f>AC133+1</f>
        <v>22</v>
      </c>
      <c r="AD138" s="95" t="str">
        <f>VLOOKUP(AC138,STN_TABLE_2,2,FALSE)</f>
        <v xml:space="preserve">  </v>
      </c>
      <c r="AE138" s="68" t="str">
        <f>VLOOKUP(AD138,STN_TABLE,2,FALSE)</f>
        <v xml:space="preserve">  </v>
      </c>
      <c r="AF138" s="68">
        <v>1</v>
      </c>
      <c r="AG138" s="69" t="e">
        <f>AE138*AF138</f>
        <v>#VALUE!</v>
      </c>
      <c r="AH138" s="496" t="s">
        <v>97</v>
      </c>
      <c r="AI138" s="496"/>
      <c r="AJ138" s="496" t="s">
        <v>98</v>
      </c>
      <c r="AK138" s="496"/>
      <c r="AL138" s="494" t="s">
        <v>99</v>
      </c>
      <c r="AM138" s="494"/>
      <c r="AP138" s="86" t="s">
        <v>112</v>
      </c>
      <c r="AQ138" s="89" t="s">
        <v>113</v>
      </c>
      <c r="AR138" s="89" t="s">
        <v>114</v>
      </c>
      <c r="AS138" s="89" t="s">
        <v>115</v>
      </c>
      <c r="AU138" s="81"/>
    </row>
    <row r="139" spans="1:47" x14ac:dyDescent="0.25">
      <c r="A139" s="84">
        <f>A138+1</f>
        <v>22</v>
      </c>
      <c r="B139" s="84" t="str">
        <f t="shared" si="69"/>
        <v xml:space="preserve">  </v>
      </c>
      <c r="C139" s="88" t="str">
        <f t="shared" ref="C139" si="71">B140</f>
        <v xml:space="preserve">  </v>
      </c>
      <c r="D139" s="82" t="str">
        <f>VLOOKUP(C139,STN_TABLE,2,FALSE)</f>
        <v xml:space="preserve">  </v>
      </c>
      <c r="E139" s="92">
        <v>1</v>
      </c>
      <c r="F139" s="82" t="e">
        <f>D139*E139</f>
        <v>#VALUE!</v>
      </c>
      <c r="G139" s="83" t="str">
        <f>C139</f>
        <v xml:space="preserve">  </v>
      </c>
      <c r="H139" s="83" t="e">
        <f>F139*G139</f>
        <v>#VALUE!</v>
      </c>
      <c r="I139" s="84" t="str">
        <f>CONCATENATE("a'(",C139,")=")</f>
        <v>a'(  )=</v>
      </c>
      <c r="J139" s="84" t="e">
        <f>2*J137/3*F140</f>
        <v>#VALUE!</v>
      </c>
      <c r="K139" s="84" t="e">
        <f>CONCATENATE("A(",C137,")=")</f>
        <v>#VALUE!</v>
      </c>
      <c r="L139" s="84" t="e">
        <f>VLOOKUP(C137,STN_TABLE,3,FALSE)</f>
        <v>#VALUE!</v>
      </c>
      <c r="M139" t="str">
        <f>CONCATENATE("A(",C139,")=")</f>
        <v>A(  )=</v>
      </c>
      <c r="N139" t="e">
        <f>J139+L139</f>
        <v>#VALUE!</v>
      </c>
      <c r="O139" s="99">
        <f>O138+1</f>
        <v>24</v>
      </c>
      <c r="P139" s="99" t="str">
        <f t="shared" si="65"/>
        <v xml:space="preserve">  </v>
      </c>
      <c r="Q139" s="82" t="e">
        <f>IF(P139-P138=P138-P137,P139,IF(P140-P138=P138-P137,P140,IF(P139-P138=P138-P136,P139,IF(P140-P138=P138-P136,P140,"-"))))</f>
        <v>#VALUE!</v>
      </c>
      <c r="R139" s="83" t="e">
        <f>VLOOKUP(Q139,STN_TABLE,2,FALSE)</f>
        <v>#VALUE!</v>
      </c>
      <c r="S139" s="83">
        <v>-1</v>
      </c>
      <c r="T139" s="82" t="e">
        <f>R139*S139</f>
        <v>#VALUE!</v>
      </c>
      <c r="U139" s="88">
        <v>-1</v>
      </c>
      <c r="V139" s="82" t="e">
        <f>R139*U139</f>
        <v>#VALUE!</v>
      </c>
      <c r="W139" s="84" t="str">
        <f>CONCATENATE("a'(",Q138,")=")</f>
        <v>a'(  )=</v>
      </c>
      <c r="X139" s="84" t="e">
        <f>2*X137/12*T140</f>
        <v>#VALUE!</v>
      </c>
      <c r="Y139" s="84" t="e">
        <f>CONCATENATE("A(",Q137,")=")</f>
        <v>#VALUE!</v>
      </c>
      <c r="Z139" s="84" t="e">
        <f>VLOOKUP(Q137,STN_TABLE,3,FALSE)</f>
        <v>#VALUE!</v>
      </c>
      <c r="AA139" t="str">
        <f>CONCATENATE("A(",Q138,")=")</f>
        <v>A(  )=</v>
      </c>
      <c r="AB139" t="e">
        <f>X139+Z139</f>
        <v>#VALUE!</v>
      </c>
      <c r="AC139" s="99">
        <f>AC138+1</f>
        <v>23</v>
      </c>
      <c r="AD139" s="100" t="str">
        <f>VLOOKUP(AC139,STN_TABLE_2,2,FALSE)</f>
        <v xml:space="preserve">  </v>
      </c>
      <c r="AE139" s="82" t="str">
        <f>VLOOKUP(AD139,STN_TABLE,2,FALSE)</f>
        <v xml:space="preserve">  </v>
      </c>
      <c r="AF139" s="82">
        <v>2</v>
      </c>
      <c r="AG139" s="83" t="e">
        <f>AE139*AF139</f>
        <v>#VALUE!</v>
      </c>
      <c r="AH139" s="84" t="str">
        <f>CONCATENATE("a'(",AD139,")=")</f>
        <v>a'(  )=</v>
      </c>
      <c r="AI139" s="84" t="e">
        <f>2*AI137/2*AE140</f>
        <v>#VALUE!</v>
      </c>
      <c r="AJ139" s="84" t="str">
        <f>CONCATENATE("A(",AD138,")=")</f>
        <v>A(  )=</v>
      </c>
      <c r="AK139" s="84" t="str">
        <f>VLOOKUP(AD138,STN_TABLE,3,FALSE)</f>
        <v xml:space="preserve"> </v>
      </c>
      <c r="AL139" t="str">
        <f>CONCATENATE("A(",AD139,")=")</f>
        <v>A(  )=</v>
      </c>
      <c r="AM139" t="e">
        <f>AI139+AK139</f>
        <v>#VALUE!</v>
      </c>
      <c r="AO139" s="68" t="str">
        <f>AA139</f>
        <v>A(  )=</v>
      </c>
      <c r="AP139" s="68" t="e">
        <f>VLOOKUP(AO139,Rise_Results,2,FALSE)</f>
        <v>#N/A</v>
      </c>
      <c r="AQ139" s="76" t="e">
        <f>N139</f>
        <v>#VALUE!</v>
      </c>
      <c r="AR139" s="76" t="e">
        <f>IF(OR(AB139&lt;=0,AB140&lt;=0),1/0,AB139)</f>
        <v>#VALUE!</v>
      </c>
      <c r="AS139" s="76" t="e">
        <f>AM139</f>
        <v>#VALUE!</v>
      </c>
      <c r="AT139" t="e">
        <f>IFERROR(AP139,IFERROR(AQ139,IFERROR(AR139,AS139)))</f>
        <v>#VALUE!</v>
      </c>
      <c r="AU139" s="81"/>
    </row>
    <row r="140" spans="1:47" x14ac:dyDescent="0.25">
      <c r="A140" s="84">
        <f>A139+1</f>
        <v>23</v>
      </c>
      <c r="B140" s="84" t="str">
        <f t="shared" si="69"/>
        <v xml:space="preserve">  </v>
      </c>
      <c r="F140" s="82" t="e">
        <f>SUM(F137:F139)</f>
        <v>#VALUE!</v>
      </c>
      <c r="H140" s="82" t="e">
        <f>SUM(H137:H139)</f>
        <v>#VALUE!</v>
      </c>
      <c r="I140" s="84" t="str">
        <f>CONCATENATE("m'(",C139,")=")</f>
        <v>m'(  )=</v>
      </c>
      <c r="J140" s="84" t="e">
        <f>2*(J137*(WLS))/3*H140</f>
        <v>#VALUE!</v>
      </c>
      <c r="K140" s="84" t="e">
        <f>CONCATENATE("M(",C137,")=")</f>
        <v>#VALUE!</v>
      </c>
      <c r="L140" s="84" t="e">
        <f>VLOOKUP(C137,STN_TABLE,4,FALSE)</f>
        <v>#VALUE!</v>
      </c>
      <c r="M140" t="str">
        <f>CONCATENATE("M(",C139,")=")</f>
        <v>M(  )=</v>
      </c>
      <c r="N140" t="e">
        <f>J140+L140</f>
        <v>#VALUE!</v>
      </c>
      <c r="O140" s="99">
        <f>O139+1</f>
        <v>25</v>
      </c>
      <c r="P140" s="99" t="str">
        <f t="shared" si="65"/>
        <v xml:space="preserve">  </v>
      </c>
      <c r="T140" s="89" t="e">
        <f>SUM(T137:T139)</f>
        <v>#VALUE!</v>
      </c>
      <c r="V140" s="82" t="e">
        <f>SUM(V137:V139)</f>
        <v>#VALUE!</v>
      </c>
      <c r="W140" s="84" t="str">
        <f>CONCATENATE("m'(",Q138,")=")</f>
        <v>m'(  )=</v>
      </c>
      <c r="X140" s="84" t="e">
        <f>(2*(X137^2)/24*V140)+(X139*Q137*WLS)</f>
        <v>#VALUE!</v>
      </c>
      <c r="Y140" s="84" t="e">
        <f>CONCATENATE("M(",Q137,")=")</f>
        <v>#VALUE!</v>
      </c>
      <c r="Z140" s="84" t="e">
        <f>VLOOKUP(Q137,STN_TABLE,4,FALSE)</f>
        <v>#VALUE!</v>
      </c>
      <c r="AA140" t="str">
        <f>CONCATENATE("M(",Q138,")=")</f>
        <v>M(  )=</v>
      </c>
      <c r="AB140" t="e">
        <f>X140+Z140</f>
        <v>#VALUE!</v>
      </c>
      <c r="AE140" s="89">
        <f>SUM(AE138:AE139)</f>
        <v>0</v>
      </c>
      <c r="AG140" s="89" t="e">
        <f>SUM(AG138:AG139)</f>
        <v>#VALUE!</v>
      </c>
      <c r="AH140" s="84" t="str">
        <f>CONCATENATE("m'(",AD139,")=")</f>
        <v>m'(  )=</v>
      </c>
      <c r="AI140" s="84" t="e">
        <f>(2*(AI137^2)/6*AG140)+(AI139*AD138*WLS)</f>
        <v>#VALUE!</v>
      </c>
      <c r="AJ140" s="84" t="str">
        <f>CONCATENATE("M(",AD138,")=")</f>
        <v>M(  )=</v>
      </c>
      <c r="AK140" s="84" t="str">
        <f>VLOOKUP(AD138,STN_TABLE,4,FALSE)</f>
        <v xml:space="preserve"> </v>
      </c>
      <c r="AL140" t="str">
        <f>CONCATENATE("M(",AD139,")=")</f>
        <v>M(  )=</v>
      </c>
      <c r="AM140" t="e">
        <f>AI140+AK140</f>
        <v>#VALUE!</v>
      </c>
      <c r="AO140" s="82" t="str">
        <f>AA140</f>
        <v>M(  )=</v>
      </c>
      <c r="AP140" s="82" t="e">
        <f>VLOOKUP(AO140,Rise_Results,2,FALSE)</f>
        <v>#N/A</v>
      </c>
      <c r="AQ140" s="82" t="e">
        <f>N140</f>
        <v>#VALUE!</v>
      </c>
      <c r="AR140" s="82" t="e">
        <f>IF(OR(AB139&lt;=0,AB140&lt;=0),1/0,AB140)</f>
        <v>#VALUE!</v>
      </c>
      <c r="AS140" s="82" t="e">
        <f>AM140</f>
        <v>#VALUE!</v>
      </c>
      <c r="AT140" t="e">
        <f>IFERROR(AP140,IFERROR(AQ140,IFERROR(AR140,AS140)))</f>
        <v>#VALUE!</v>
      </c>
      <c r="AU140" s="81"/>
    </row>
    <row r="141" spans="1:47" x14ac:dyDescent="0.25">
      <c r="A141" s="101">
        <f>A136+1</f>
        <v>20</v>
      </c>
      <c r="B141" s="101" t="str">
        <f t="shared" si="69"/>
        <v xml:space="preserve">  </v>
      </c>
      <c r="O141" s="101">
        <f>O136+1</f>
        <v>22</v>
      </c>
      <c r="P141" s="101" t="str">
        <f t="shared" si="65"/>
        <v xml:space="preserve">  </v>
      </c>
      <c r="AU141" s="81"/>
    </row>
    <row r="142" spans="1:47" x14ac:dyDescent="0.25">
      <c r="A142" s="84">
        <f>A141+1</f>
        <v>21</v>
      </c>
      <c r="B142" s="84" t="str">
        <f t="shared" si="69"/>
        <v xml:space="preserve">  </v>
      </c>
      <c r="C142" s="79" t="e">
        <f t="shared" ref="C142" si="72">IF(C143=B144,IF(C144-C143=C143-B143,B143,IF(C144-C143=C143-B142,B142,"#NA")),IF(C143=B143,IF(C144-C143=C143-B142,B142,IF(C144-C143=C143-B141,B141,"#NA")),"#NA"))</f>
        <v>#VALUE!</v>
      </c>
      <c r="D142" s="68" t="e">
        <f>VLOOKUP(C142,STN_TABLE,2,FALSE)</f>
        <v>#VALUE!</v>
      </c>
      <c r="E142" s="102">
        <v>1</v>
      </c>
      <c r="F142" s="68" t="e">
        <f>D142*E142</f>
        <v>#VALUE!</v>
      </c>
      <c r="G142" s="69" t="e">
        <f>C142</f>
        <v>#VALUE!</v>
      </c>
      <c r="H142" s="69" t="e">
        <f>F142*G142</f>
        <v>#VALUE!</v>
      </c>
      <c r="I142" s="6" t="s">
        <v>93</v>
      </c>
      <c r="J142" s="70" t="e">
        <f>IF(OR(D142=0,D143=0,D144=0),"#NA",IF(AND(C144-C143=C143-C142,C143&lt;&gt;C144,C142&lt;&gt;C143,C142&lt;&gt;C144,D144&lt;&gt;0,OR(D142&lt;&gt;0,D143&lt;&gt;0)),WLS*(C144-C143),"#NA"))</f>
        <v>#VALUE!</v>
      </c>
      <c r="O142" s="99">
        <f>O141+1</f>
        <v>23</v>
      </c>
      <c r="P142" s="99" t="str">
        <f t="shared" si="65"/>
        <v xml:space="preserve">  </v>
      </c>
      <c r="Q142" s="68" t="e">
        <f>IF(OR(P144-P143=P143-P142,P145-P143=P143-P142),P142,IF(OR(P144-P143=P143-P141,P145-P143=P143-P141),P141,"-"))</f>
        <v>#VALUE!</v>
      </c>
      <c r="R142" s="69" t="e">
        <f>VLOOKUP(Q142,STN_TABLE,2,FALSE)</f>
        <v>#VALUE!</v>
      </c>
      <c r="S142" s="69">
        <v>5</v>
      </c>
      <c r="T142" s="68" t="e">
        <f>R142*S142</f>
        <v>#VALUE!</v>
      </c>
      <c r="U142" s="79">
        <v>3</v>
      </c>
      <c r="V142" s="68" t="e">
        <f>R142*U142</f>
        <v>#VALUE!</v>
      </c>
      <c r="W142" s="6" t="s">
        <v>93</v>
      </c>
      <c r="X142" s="70" t="e">
        <f>IF(AND(Q144-Q143=Q143-Q142,NOT(AND(Q142=0,Q143=0)),NOT(AND(Q143=0,Q144=0))),WLS*(Q144-Q143),"#NA")</f>
        <v>#VALUE!</v>
      </c>
      <c r="AD142" s="93"/>
      <c r="AH142" s="6" t="s">
        <v>93</v>
      </c>
      <c r="AI142" s="70" t="e">
        <f>WLS*(AD144-AD143)</f>
        <v>#VALUE!</v>
      </c>
      <c r="AU142" s="81"/>
    </row>
    <row r="143" spans="1:47" x14ac:dyDescent="0.25">
      <c r="A143" s="84">
        <f>A142+1</f>
        <v>22</v>
      </c>
      <c r="B143" s="84" t="str">
        <f t="shared" si="69"/>
        <v xml:space="preserve">  </v>
      </c>
      <c r="C143" s="80" t="e">
        <f t="shared" ref="C143" si="73">IF(OR(B145-B144=B144-B143,B145-B144=B144-B142,B145-B144=B144-B141),B144,IF(OR(B145-B143=B143-B142,B145-B143=B143-B141),B143,IF(B145-B142=B142-B141,B142,"#NA")))</f>
        <v>#VALUE!</v>
      </c>
      <c r="D143" s="76" t="e">
        <f>VLOOKUP(C143,STN_TABLE,2,FALSE)</f>
        <v>#VALUE!</v>
      </c>
      <c r="E143" s="81">
        <v>4</v>
      </c>
      <c r="F143" s="76" t="e">
        <f>D143*E143</f>
        <v>#VALUE!</v>
      </c>
      <c r="G143" s="77" t="e">
        <f>C143</f>
        <v>#VALUE!</v>
      </c>
      <c r="H143" s="77" t="e">
        <f>F143*G143</f>
        <v>#VALUE!</v>
      </c>
      <c r="I143" s="495" t="s">
        <v>97</v>
      </c>
      <c r="J143" s="496"/>
      <c r="K143" s="78" t="s">
        <v>98</v>
      </c>
      <c r="L143" s="78"/>
      <c r="M143" s="7" t="s">
        <v>99</v>
      </c>
      <c r="N143" s="7"/>
      <c r="O143" s="99">
        <f>O142+1</f>
        <v>24</v>
      </c>
      <c r="P143" s="99" t="str">
        <f t="shared" si="65"/>
        <v xml:space="preserve">  </v>
      </c>
      <c r="Q143" s="76" t="str">
        <f>P143</f>
        <v xml:space="preserve">  </v>
      </c>
      <c r="R143" s="77" t="str">
        <f>VLOOKUP(Q143,STN_TABLE,2,FALSE)</f>
        <v xml:space="preserve">  </v>
      </c>
      <c r="S143" s="77">
        <v>8</v>
      </c>
      <c r="T143" s="76" t="e">
        <f>R143*S143</f>
        <v>#VALUE!</v>
      </c>
      <c r="U143" s="80">
        <v>10</v>
      </c>
      <c r="V143" s="76" t="e">
        <f>R143*U143</f>
        <v>#VALUE!</v>
      </c>
      <c r="W143" s="496" t="s">
        <v>97</v>
      </c>
      <c r="X143" s="496"/>
      <c r="Y143" s="496" t="s">
        <v>98</v>
      </c>
      <c r="Z143" s="496"/>
      <c r="AA143" s="494" t="s">
        <v>99</v>
      </c>
      <c r="AB143" s="494"/>
      <c r="AC143" s="99">
        <f>AC138+1</f>
        <v>23</v>
      </c>
      <c r="AD143" s="95" t="str">
        <f>VLOOKUP(AC143,STN_TABLE_2,2,FALSE)</f>
        <v xml:space="preserve">  </v>
      </c>
      <c r="AE143" s="68" t="str">
        <f>VLOOKUP(AD143,STN_TABLE,2,FALSE)</f>
        <v xml:space="preserve">  </v>
      </c>
      <c r="AF143" s="68">
        <v>1</v>
      </c>
      <c r="AG143" s="69" t="e">
        <f>AE143*AF143</f>
        <v>#VALUE!</v>
      </c>
      <c r="AH143" s="496" t="s">
        <v>97</v>
      </c>
      <c r="AI143" s="496"/>
      <c r="AJ143" s="496" t="s">
        <v>98</v>
      </c>
      <c r="AK143" s="496"/>
      <c r="AL143" s="494" t="s">
        <v>99</v>
      </c>
      <c r="AM143" s="494"/>
      <c r="AP143" s="86" t="s">
        <v>112</v>
      </c>
      <c r="AQ143" s="89" t="s">
        <v>113</v>
      </c>
      <c r="AR143" s="89" t="s">
        <v>114</v>
      </c>
      <c r="AS143" s="89" t="s">
        <v>115</v>
      </c>
      <c r="AU143" s="81"/>
    </row>
    <row r="144" spans="1:47" x14ac:dyDescent="0.25">
      <c r="A144" s="84">
        <f>A143+1</f>
        <v>23</v>
      </c>
      <c r="B144" s="84" t="str">
        <f t="shared" si="69"/>
        <v xml:space="preserve">  </v>
      </c>
      <c r="C144" s="88" t="str">
        <f t="shared" ref="C144" si="74">B145</f>
        <v xml:space="preserve">  </v>
      </c>
      <c r="D144" s="82" t="str">
        <f>VLOOKUP(C144,STN_TABLE,2,FALSE)</f>
        <v xml:space="preserve">  </v>
      </c>
      <c r="E144" s="92">
        <v>1</v>
      </c>
      <c r="F144" s="82" t="e">
        <f>D144*E144</f>
        <v>#VALUE!</v>
      </c>
      <c r="G144" s="83" t="str">
        <f>C144</f>
        <v xml:space="preserve">  </v>
      </c>
      <c r="H144" s="83" t="e">
        <f>F144*G144</f>
        <v>#VALUE!</v>
      </c>
      <c r="I144" s="84" t="str">
        <f>CONCATENATE("a'(",C144,")=")</f>
        <v>a'(  )=</v>
      </c>
      <c r="J144" s="84" t="e">
        <f>2*J142/3*F145</f>
        <v>#VALUE!</v>
      </c>
      <c r="K144" s="84" t="e">
        <f>CONCATENATE("A(",C142,")=")</f>
        <v>#VALUE!</v>
      </c>
      <c r="L144" s="84" t="e">
        <f>VLOOKUP(C142,STN_TABLE,3,FALSE)</f>
        <v>#VALUE!</v>
      </c>
      <c r="M144" t="str">
        <f>CONCATENATE("A(",C144,")=")</f>
        <v>A(  )=</v>
      </c>
      <c r="N144" t="e">
        <f>J144+L144</f>
        <v>#VALUE!</v>
      </c>
      <c r="O144" s="99">
        <f>O143+1</f>
        <v>25</v>
      </c>
      <c r="P144" s="99" t="str">
        <f t="shared" si="65"/>
        <v xml:space="preserve">  </v>
      </c>
      <c r="Q144" s="82" t="e">
        <f>IF(P144-P143=P143-P142,P144,IF(P145-P143=P143-P142,P145,IF(P144-P143=P143-P141,P144,IF(P145-P143=P143-P141,P145,"-"))))</f>
        <v>#VALUE!</v>
      </c>
      <c r="R144" s="83" t="e">
        <f>VLOOKUP(Q144,STN_TABLE,2,FALSE)</f>
        <v>#VALUE!</v>
      </c>
      <c r="S144" s="83">
        <v>-1</v>
      </c>
      <c r="T144" s="82" t="e">
        <f>R144*S144</f>
        <v>#VALUE!</v>
      </c>
      <c r="U144" s="88">
        <v>-1</v>
      </c>
      <c r="V144" s="82" t="e">
        <f>R144*U144</f>
        <v>#VALUE!</v>
      </c>
      <c r="W144" s="84" t="str">
        <f>CONCATENATE("a'(",Q143,")=")</f>
        <v>a'(  )=</v>
      </c>
      <c r="X144" s="84" t="e">
        <f>2*X142/12*T145</f>
        <v>#VALUE!</v>
      </c>
      <c r="Y144" s="84" t="e">
        <f>CONCATENATE("A(",Q142,")=")</f>
        <v>#VALUE!</v>
      </c>
      <c r="Z144" s="84" t="e">
        <f>VLOOKUP(Q142,STN_TABLE,3,FALSE)</f>
        <v>#VALUE!</v>
      </c>
      <c r="AA144" t="str">
        <f>CONCATENATE("A(",Q143,")=")</f>
        <v>A(  )=</v>
      </c>
      <c r="AB144" t="e">
        <f>X144+Z144</f>
        <v>#VALUE!</v>
      </c>
      <c r="AC144" s="99">
        <f>AC143+1</f>
        <v>24</v>
      </c>
      <c r="AD144" s="100" t="str">
        <f>VLOOKUP(AC144,STN_TABLE_2,2,FALSE)</f>
        <v xml:space="preserve">  </v>
      </c>
      <c r="AE144" s="82" t="str">
        <f>VLOOKUP(AD144,STN_TABLE,2,FALSE)</f>
        <v xml:space="preserve">  </v>
      </c>
      <c r="AF144" s="82">
        <v>2</v>
      </c>
      <c r="AG144" s="83" t="e">
        <f>AE144*AF144</f>
        <v>#VALUE!</v>
      </c>
      <c r="AH144" s="84" t="str">
        <f>CONCATENATE("a'(",AD144,")=")</f>
        <v>a'(  )=</v>
      </c>
      <c r="AI144" s="84" t="e">
        <f>2*AI142/2*AE145</f>
        <v>#VALUE!</v>
      </c>
      <c r="AJ144" s="84" t="str">
        <f>CONCATENATE("A(",AD143,")=")</f>
        <v>A(  )=</v>
      </c>
      <c r="AK144" s="84" t="str">
        <f>VLOOKUP(AD143,STN_TABLE,3,FALSE)</f>
        <v xml:space="preserve"> </v>
      </c>
      <c r="AL144" t="str">
        <f>CONCATENATE("A(",AD144,")=")</f>
        <v>A(  )=</v>
      </c>
      <c r="AM144" t="e">
        <f>AI144+AK144</f>
        <v>#VALUE!</v>
      </c>
      <c r="AO144" s="68" t="str">
        <f>AA144</f>
        <v>A(  )=</v>
      </c>
      <c r="AP144" s="68" t="e">
        <f>VLOOKUP(AO144,Rise_Results,2,FALSE)</f>
        <v>#N/A</v>
      </c>
      <c r="AQ144" s="76" t="e">
        <f>N144</f>
        <v>#VALUE!</v>
      </c>
      <c r="AR144" s="76" t="e">
        <f>IF(OR(AB144&lt;=0,AB145&lt;=0),1/0,AB144)</f>
        <v>#VALUE!</v>
      </c>
      <c r="AS144" s="76" t="e">
        <f>AM144</f>
        <v>#VALUE!</v>
      </c>
      <c r="AT144" t="e">
        <f>IFERROR(AP144,IFERROR(AQ144,IFERROR(AR144,AS144)))</f>
        <v>#VALUE!</v>
      </c>
      <c r="AU144" s="81"/>
    </row>
    <row r="145" spans="1:47" x14ac:dyDescent="0.25">
      <c r="A145" s="84">
        <f>A144+1</f>
        <v>24</v>
      </c>
      <c r="B145" s="84" t="str">
        <f t="shared" si="69"/>
        <v xml:space="preserve">  </v>
      </c>
      <c r="F145" s="82" t="e">
        <f>SUM(F142:F144)</f>
        <v>#VALUE!</v>
      </c>
      <c r="H145" s="82" t="e">
        <f>SUM(H142:H144)</f>
        <v>#VALUE!</v>
      </c>
      <c r="I145" s="84" t="str">
        <f>CONCATENATE("m'(",C144,")=")</f>
        <v>m'(  )=</v>
      </c>
      <c r="J145" s="84" t="e">
        <f>2*(J142*(WLS))/3*H145</f>
        <v>#VALUE!</v>
      </c>
      <c r="K145" s="84" t="e">
        <f>CONCATENATE("M(",C142,")=")</f>
        <v>#VALUE!</v>
      </c>
      <c r="L145" s="84" t="e">
        <f>VLOOKUP(C142,STN_TABLE,4,FALSE)</f>
        <v>#VALUE!</v>
      </c>
      <c r="M145" t="str">
        <f>CONCATENATE("M(",C144,")=")</f>
        <v>M(  )=</v>
      </c>
      <c r="N145" t="e">
        <f>J145+L145</f>
        <v>#VALUE!</v>
      </c>
      <c r="O145" s="99">
        <f>O144+1</f>
        <v>26</v>
      </c>
      <c r="P145" s="99" t="e">
        <f t="shared" si="65"/>
        <v>#N/A</v>
      </c>
      <c r="T145" s="89" t="e">
        <f>SUM(T142:T144)</f>
        <v>#VALUE!</v>
      </c>
      <c r="V145" s="82" t="e">
        <f>SUM(V142:V144)</f>
        <v>#VALUE!</v>
      </c>
      <c r="W145" s="84" t="str">
        <f>CONCATENATE("m'(",Q143,")=")</f>
        <v>m'(  )=</v>
      </c>
      <c r="X145" s="84" t="e">
        <f>(2*(X142^2)/24*V145)+(X144*Q142*WLS)</f>
        <v>#VALUE!</v>
      </c>
      <c r="Y145" s="84" t="e">
        <f>CONCATENATE("M(",Q142,")=")</f>
        <v>#VALUE!</v>
      </c>
      <c r="Z145" s="84" t="e">
        <f>VLOOKUP(Q142,STN_TABLE,4,FALSE)</f>
        <v>#VALUE!</v>
      </c>
      <c r="AA145" t="str">
        <f>CONCATENATE("M(",Q143,")=")</f>
        <v>M(  )=</v>
      </c>
      <c r="AB145" t="e">
        <f>X145+Z145</f>
        <v>#VALUE!</v>
      </c>
      <c r="AE145" s="89">
        <f>SUM(AE143:AE144)</f>
        <v>0</v>
      </c>
      <c r="AG145" s="89" t="e">
        <f>SUM(AG143:AG144)</f>
        <v>#VALUE!</v>
      </c>
      <c r="AH145" s="84" t="str">
        <f>CONCATENATE("m'(",AD144,")=")</f>
        <v>m'(  )=</v>
      </c>
      <c r="AI145" s="84" t="e">
        <f>(2*(AI142^2)/6*AG145)+(AI144*AD143*WLS)</f>
        <v>#VALUE!</v>
      </c>
      <c r="AJ145" s="84" t="str">
        <f>CONCATENATE("M(",AD143,")=")</f>
        <v>M(  )=</v>
      </c>
      <c r="AK145" s="84" t="str">
        <f>VLOOKUP(AD143,STN_TABLE,4,FALSE)</f>
        <v xml:space="preserve"> </v>
      </c>
      <c r="AL145" t="str">
        <f>CONCATENATE("M(",AD144,")=")</f>
        <v>M(  )=</v>
      </c>
      <c r="AM145" t="e">
        <f>AI145+AK145</f>
        <v>#VALUE!</v>
      </c>
      <c r="AO145" s="82" t="str">
        <f>AA145</f>
        <v>M(  )=</v>
      </c>
      <c r="AP145" s="82" t="e">
        <f>VLOOKUP(AO145,Rise_Results,2,FALSE)</f>
        <v>#N/A</v>
      </c>
      <c r="AQ145" s="82" t="e">
        <f>N145</f>
        <v>#VALUE!</v>
      </c>
      <c r="AR145" s="82" t="e">
        <f>IF(OR(AB144&lt;=0,AB145&lt;=0),1/0,AB145)</f>
        <v>#VALUE!</v>
      </c>
      <c r="AS145" s="82" t="e">
        <f>AM145</f>
        <v>#VALUE!</v>
      </c>
      <c r="AT145" t="e">
        <f>IFERROR(AP145,IFERROR(AQ145,IFERROR(AR145,AS145)))</f>
        <v>#VALUE!</v>
      </c>
      <c r="AU145" s="81"/>
    </row>
    <row r="146" spans="1:47" x14ac:dyDescent="0.25">
      <c r="A146" s="101">
        <f>A141+1</f>
        <v>21</v>
      </c>
      <c r="B146" s="101" t="str">
        <f t="shared" si="69"/>
        <v xml:space="preserve">  </v>
      </c>
      <c r="O146" s="101">
        <f>O141+1</f>
        <v>23</v>
      </c>
      <c r="P146" s="101" t="str">
        <f t="shared" si="65"/>
        <v xml:space="preserve">  </v>
      </c>
      <c r="AU146" s="81"/>
    </row>
    <row r="147" spans="1:47" x14ac:dyDescent="0.25">
      <c r="A147" s="84">
        <f>A146+1</f>
        <v>22</v>
      </c>
      <c r="B147" s="84" t="str">
        <f t="shared" si="69"/>
        <v xml:space="preserve">  </v>
      </c>
      <c r="C147" s="79" t="e">
        <f t="shared" ref="C147" si="75">IF(C148=B149,IF(C149-C148=C148-B148,B148,IF(C149-C148=C148-B147,B147,"#NA")),IF(C148=B148,IF(C149-C148=C148-B147,B147,IF(C149-C148=C148-B146,B146,"#NA")),"#NA"))</f>
        <v>#VALUE!</v>
      </c>
      <c r="D147" s="68" t="e">
        <f>VLOOKUP(C147,STN_TABLE,2,FALSE)</f>
        <v>#VALUE!</v>
      </c>
      <c r="E147" s="102">
        <v>1</v>
      </c>
      <c r="F147" s="68" t="e">
        <f>D147*E147</f>
        <v>#VALUE!</v>
      </c>
      <c r="G147" s="69" t="e">
        <f>C147</f>
        <v>#VALUE!</v>
      </c>
      <c r="H147" s="69" t="e">
        <f>F147*G147</f>
        <v>#VALUE!</v>
      </c>
      <c r="I147" s="6" t="s">
        <v>93</v>
      </c>
      <c r="J147" s="70" t="e">
        <f>IF(OR(D147=0,D148=0,D149=0),"#NA",IF(AND(C149-C148=C148-C147,C148&lt;&gt;C149,C147&lt;&gt;C148,C147&lt;&gt;C149,D149&lt;&gt;0,OR(D147&lt;&gt;0,D148&lt;&gt;0)),WLS*(C149-C148),"#NA"))</f>
        <v>#VALUE!</v>
      </c>
      <c r="O147" s="99">
        <f>O146+1</f>
        <v>24</v>
      </c>
      <c r="P147" s="99" t="str">
        <f t="shared" si="65"/>
        <v xml:space="preserve">  </v>
      </c>
      <c r="Q147" s="68" t="e">
        <f>IF(OR(P149-P148=P148-P147,P150-P148=P148-P147),P147,IF(OR(P149-P148=P148-P146,P150-P148=P148-P146),P146,"-"))</f>
        <v>#N/A</v>
      </c>
      <c r="R147" s="69" t="e">
        <f>VLOOKUP(Q147,STN_TABLE,2,FALSE)</f>
        <v>#N/A</v>
      </c>
      <c r="S147" s="69">
        <v>5</v>
      </c>
      <c r="T147" s="68" t="e">
        <f>R147*S147</f>
        <v>#N/A</v>
      </c>
      <c r="U147" s="79">
        <v>3</v>
      </c>
      <c r="V147" s="68" t="e">
        <f>R147*U147</f>
        <v>#N/A</v>
      </c>
      <c r="W147" s="6" t="s">
        <v>93</v>
      </c>
      <c r="X147" s="70" t="e">
        <f>IF(AND(Q149-Q148=Q148-Q147,NOT(AND(Q147=0,Q148=0)),NOT(AND(Q148=0,Q149=0))),WLS*(Q149-Q148),"#NA")</f>
        <v>#N/A</v>
      </c>
      <c r="AD147" s="93"/>
      <c r="AH147" s="6" t="s">
        <v>93</v>
      </c>
      <c r="AI147" s="70" t="e">
        <f>WLS*(AD149-AD148)</f>
        <v>#VALUE!</v>
      </c>
      <c r="AU147" s="81"/>
    </row>
    <row r="148" spans="1:47" x14ac:dyDescent="0.25">
      <c r="A148" s="84">
        <f>A147+1</f>
        <v>23</v>
      </c>
      <c r="B148" s="84" t="str">
        <f t="shared" si="69"/>
        <v xml:space="preserve">  </v>
      </c>
      <c r="C148" s="80" t="e">
        <f t="shared" ref="C148" si="76">IF(OR(B150-B149=B149-B148,B150-B149=B149-B147,B150-B149=B149-B146),B149,IF(OR(B150-B148=B148-B147,B150-B148=B148-B146),B148,IF(B150-B147=B147-B146,B147,"#NA")))</f>
        <v>#VALUE!</v>
      </c>
      <c r="D148" s="76" t="e">
        <f>VLOOKUP(C148,STN_TABLE,2,FALSE)</f>
        <v>#VALUE!</v>
      </c>
      <c r="E148" s="81">
        <v>4</v>
      </c>
      <c r="F148" s="76" t="e">
        <f>D148*E148</f>
        <v>#VALUE!</v>
      </c>
      <c r="G148" s="77" t="e">
        <f>C148</f>
        <v>#VALUE!</v>
      </c>
      <c r="H148" s="77" t="e">
        <f>F148*G148</f>
        <v>#VALUE!</v>
      </c>
      <c r="I148" s="495" t="s">
        <v>97</v>
      </c>
      <c r="J148" s="496"/>
      <c r="K148" s="78" t="s">
        <v>98</v>
      </c>
      <c r="L148" s="78"/>
      <c r="M148" s="7" t="s">
        <v>99</v>
      </c>
      <c r="N148" s="7"/>
      <c r="O148" s="99">
        <f>O147+1</f>
        <v>25</v>
      </c>
      <c r="P148" s="99" t="str">
        <f t="shared" si="65"/>
        <v xml:space="preserve">  </v>
      </c>
      <c r="Q148" s="76" t="str">
        <f>P148</f>
        <v xml:space="preserve">  </v>
      </c>
      <c r="R148" s="77" t="str">
        <f>VLOOKUP(Q148,STN_TABLE,2,FALSE)</f>
        <v xml:space="preserve">  </v>
      </c>
      <c r="S148" s="77">
        <v>8</v>
      </c>
      <c r="T148" s="76" t="e">
        <f>R148*S148</f>
        <v>#VALUE!</v>
      </c>
      <c r="U148" s="80">
        <v>10</v>
      </c>
      <c r="V148" s="76" t="e">
        <f>R148*U148</f>
        <v>#VALUE!</v>
      </c>
      <c r="W148" s="496" t="s">
        <v>97</v>
      </c>
      <c r="X148" s="496"/>
      <c r="Y148" s="496" t="s">
        <v>98</v>
      </c>
      <c r="Z148" s="496"/>
      <c r="AA148" s="494" t="s">
        <v>99</v>
      </c>
      <c r="AB148" s="494"/>
      <c r="AC148" s="99">
        <f>AC143+1</f>
        <v>24</v>
      </c>
      <c r="AD148" s="95" t="str">
        <f>VLOOKUP(AC148,STN_TABLE_2,2,FALSE)</f>
        <v xml:space="preserve">  </v>
      </c>
      <c r="AE148" s="68" t="str">
        <f>VLOOKUP(AD148,STN_TABLE,2,FALSE)</f>
        <v xml:space="preserve">  </v>
      </c>
      <c r="AF148" s="68">
        <v>1</v>
      </c>
      <c r="AG148" s="69" t="e">
        <f>AE148*AF148</f>
        <v>#VALUE!</v>
      </c>
      <c r="AH148" s="496" t="s">
        <v>97</v>
      </c>
      <c r="AI148" s="496"/>
      <c r="AJ148" s="496" t="s">
        <v>98</v>
      </c>
      <c r="AK148" s="496"/>
      <c r="AL148" s="494" t="s">
        <v>99</v>
      </c>
      <c r="AM148" s="494"/>
      <c r="AP148" s="86" t="s">
        <v>112</v>
      </c>
      <c r="AQ148" s="89" t="s">
        <v>113</v>
      </c>
      <c r="AR148" s="89" t="s">
        <v>114</v>
      </c>
      <c r="AS148" s="89" t="s">
        <v>115</v>
      </c>
      <c r="AU148" s="81"/>
    </row>
    <row r="149" spans="1:47" x14ac:dyDescent="0.25">
      <c r="A149" s="84">
        <f>A148+1</f>
        <v>24</v>
      </c>
      <c r="B149" s="84" t="str">
        <f t="shared" si="69"/>
        <v xml:space="preserve">  </v>
      </c>
      <c r="C149" s="88" t="str">
        <f t="shared" ref="C149" si="77">B150</f>
        <v xml:space="preserve">  </v>
      </c>
      <c r="D149" s="82" t="str">
        <f>VLOOKUP(C149,STN_TABLE,2,FALSE)</f>
        <v xml:space="preserve">  </v>
      </c>
      <c r="E149" s="92">
        <v>1</v>
      </c>
      <c r="F149" s="82" t="e">
        <f>D149*E149</f>
        <v>#VALUE!</v>
      </c>
      <c r="G149" s="83" t="str">
        <f>C149</f>
        <v xml:space="preserve">  </v>
      </c>
      <c r="H149" s="83" t="e">
        <f>F149*G149</f>
        <v>#VALUE!</v>
      </c>
      <c r="I149" s="84" t="str">
        <f>CONCATENATE("a'(",C149,")=")</f>
        <v>a'(  )=</v>
      </c>
      <c r="J149" s="84" t="e">
        <f>2*J147/3*F150</f>
        <v>#VALUE!</v>
      </c>
      <c r="K149" s="84" t="e">
        <f>CONCATENATE("A(",C147,")=")</f>
        <v>#VALUE!</v>
      </c>
      <c r="L149" s="84" t="e">
        <f>VLOOKUP(C147,STN_TABLE,3,FALSE)</f>
        <v>#VALUE!</v>
      </c>
      <c r="M149" t="str">
        <f>CONCATENATE("A(",C149,")=")</f>
        <v>A(  )=</v>
      </c>
      <c r="N149" t="e">
        <f>J149+L149</f>
        <v>#VALUE!</v>
      </c>
      <c r="O149" s="99">
        <f>O148+1</f>
        <v>26</v>
      </c>
      <c r="P149" s="99" t="e">
        <f t="shared" si="65"/>
        <v>#N/A</v>
      </c>
      <c r="Q149" s="82" t="e">
        <f>IF(P149-P148=P148-P147,P149,IF(P150-P148=P148-P147,P150,IF(P149-P148=P148-P146,P149,IF(P150-P148=P148-P146,P150,"-"))))</f>
        <v>#N/A</v>
      </c>
      <c r="R149" s="83" t="e">
        <f>VLOOKUP(Q149,STN_TABLE,2,FALSE)</f>
        <v>#N/A</v>
      </c>
      <c r="S149" s="83">
        <v>-1</v>
      </c>
      <c r="T149" s="82" t="e">
        <f>R149*S149</f>
        <v>#N/A</v>
      </c>
      <c r="U149" s="88">
        <v>-1</v>
      </c>
      <c r="V149" s="82" t="e">
        <f>R149*U149</f>
        <v>#N/A</v>
      </c>
      <c r="W149" s="84" t="str">
        <f>CONCATENATE("a'(",Q148,")=")</f>
        <v>a'(  )=</v>
      </c>
      <c r="X149" s="84" t="e">
        <f>2*X147/12*T150</f>
        <v>#N/A</v>
      </c>
      <c r="Y149" s="84" t="e">
        <f>CONCATENATE("A(",Q147,")=")</f>
        <v>#N/A</v>
      </c>
      <c r="Z149" s="84" t="e">
        <f>VLOOKUP(Q147,STN_TABLE,3,FALSE)</f>
        <v>#N/A</v>
      </c>
      <c r="AA149" t="str">
        <f>CONCATENATE("A(",Q148,")=")</f>
        <v>A(  )=</v>
      </c>
      <c r="AB149" t="e">
        <f>X149+Z149</f>
        <v>#N/A</v>
      </c>
      <c r="AC149" s="99">
        <f>AC148+1</f>
        <v>25</v>
      </c>
      <c r="AD149" s="100" t="str">
        <f>VLOOKUP(AC149,STN_TABLE_2,2,FALSE)</f>
        <v xml:space="preserve">  </v>
      </c>
      <c r="AE149" s="82" t="str">
        <f>VLOOKUP(AD149,STN_TABLE,2,FALSE)</f>
        <v xml:space="preserve">  </v>
      </c>
      <c r="AF149" s="82">
        <v>2</v>
      </c>
      <c r="AG149" s="83" t="e">
        <f>AE149*AF149</f>
        <v>#VALUE!</v>
      </c>
      <c r="AH149" s="84" t="str">
        <f>CONCATENATE("a'(",AD149,")=")</f>
        <v>a'(  )=</v>
      </c>
      <c r="AI149" s="84" t="e">
        <f>2*AI147/2*AE150</f>
        <v>#VALUE!</v>
      </c>
      <c r="AJ149" s="84" t="str">
        <f>CONCATENATE("A(",AD148,")=")</f>
        <v>A(  )=</v>
      </c>
      <c r="AK149" s="84" t="str">
        <f>VLOOKUP(AD148,STN_TABLE,3,FALSE)</f>
        <v xml:space="preserve"> </v>
      </c>
      <c r="AL149" t="str">
        <f>CONCATENATE("A(",AD149,")=")</f>
        <v>A(  )=</v>
      </c>
      <c r="AM149" t="e">
        <f>AI149+AK149</f>
        <v>#VALUE!</v>
      </c>
      <c r="AO149" s="68" t="str">
        <f>AA149</f>
        <v>A(  )=</v>
      </c>
      <c r="AP149" s="68" t="e">
        <f>VLOOKUP(AO149,Rise_Results,2,FALSE)</f>
        <v>#N/A</v>
      </c>
      <c r="AQ149" s="76" t="e">
        <f>N149</f>
        <v>#VALUE!</v>
      </c>
      <c r="AR149" s="76" t="e">
        <f>IF(OR(AB149&lt;=0,AB150&lt;=0),1/0,AB149)</f>
        <v>#N/A</v>
      </c>
      <c r="AS149" s="76" t="e">
        <f>AM149</f>
        <v>#VALUE!</v>
      </c>
      <c r="AT149" t="e">
        <f>IFERROR(AP149,IFERROR(AQ149,IFERROR(AR149,AS149)))</f>
        <v>#VALUE!</v>
      </c>
      <c r="AU149" s="81"/>
    </row>
    <row r="150" spans="1:47" x14ac:dyDescent="0.25">
      <c r="A150" s="84">
        <f>A149+1</f>
        <v>25</v>
      </c>
      <c r="B150" s="84" t="str">
        <f t="shared" si="69"/>
        <v xml:space="preserve">  </v>
      </c>
      <c r="F150" s="82" t="e">
        <f>SUM(F147:F149)</f>
        <v>#VALUE!</v>
      </c>
      <c r="H150" s="82" t="e">
        <f>SUM(H147:H149)</f>
        <v>#VALUE!</v>
      </c>
      <c r="I150" s="84" t="str">
        <f>CONCATENATE("m'(",C149,")=")</f>
        <v>m'(  )=</v>
      </c>
      <c r="J150" s="84" t="e">
        <f>2*(J147*(WLS))/3*H150</f>
        <v>#VALUE!</v>
      </c>
      <c r="K150" s="84" t="e">
        <f>CONCATENATE("M(",C147,")=")</f>
        <v>#VALUE!</v>
      </c>
      <c r="L150" s="84" t="e">
        <f>VLOOKUP(C147,STN_TABLE,4,FALSE)</f>
        <v>#VALUE!</v>
      </c>
      <c r="M150" t="str">
        <f>CONCATENATE("M(",C149,")=")</f>
        <v>M(  )=</v>
      </c>
      <c r="N150" t="e">
        <f>J150+L150</f>
        <v>#VALUE!</v>
      </c>
      <c r="O150" s="99">
        <f>O149+1</f>
        <v>27</v>
      </c>
      <c r="P150" s="99" t="e">
        <f t="shared" si="65"/>
        <v>#N/A</v>
      </c>
      <c r="T150" s="89" t="e">
        <f>SUM(T147:T149)</f>
        <v>#N/A</v>
      </c>
      <c r="V150" s="82" t="e">
        <f>SUM(V147:V149)</f>
        <v>#N/A</v>
      </c>
      <c r="W150" s="84" t="str">
        <f>CONCATENATE("m'(",Q148,")=")</f>
        <v>m'(  )=</v>
      </c>
      <c r="X150" s="84" t="e">
        <f>(2*(X147^2)/24*V150)+(X149*Q147*WLS)</f>
        <v>#N/A</v>
      </c>
      <c r="Y150" s="84" t="e">
        <f>CONCATENATE("M(",Q147,")=")</f>
        <v>#N/A</v>
      </c>
      <c r="Z150" s="84" t="e">
        <f>VLOOKUP(Q147,STN_TABLE,4,FALSE)</f>
        <v>#N/A</v>
      </c>
      <c r="AA150" t="str">
        <f>CONCATENATE("M(",Q148,")=")</f>
        <v>M(  )=</v>
      </c>
      <c r="AB150" t="e">
        <f>X150+Z150</f>
        <v>#N/A</v>
      </c>
      <c r="AE150" s="89">
        <f>SUM(AE148:AE149)</f>
        <v>0</v>
      </c>
      <c r="AG150" s="89" t="e">
        <f>SUM(AG148:AG149)</f>
        <v>#VALUE!</v>
      </c>
      <c r="AH150" s="84" t="str">
        <f>CONCATENATE("m'(",AD149,")=")</f>
        <v>m'(  )=</v>
      </c>
      <c r="AI150" s="84" t="e">
        <f>(2*(AI147^2)/6*AG150)+(AI149*AD148*WLS)</f>
        <v>#VALUE!</v>
      </c>
      <c r="AJ150" s="84" t="str">
        <f>CONCATENATE("M(",AD148,")=")</f>
        <v>M(  )=</v>
      </c>
      <c r="AK150" s="84" t="str">
        <f>VLOOKUP(AD148,STN_TABLE,4,FALSE)</f>
        <v xml:space="preserve"> </v>
      </c>
      <c r="AL150" t="str">
        <f>CONCATENATE("M(",AD149,")=")</f>
        <v>M(  )=</v>
      </c>
      <c r="AM150" t="e">
        <f>AI150+AK150</f>
        <v>#VALUE!</v>
      </c>
      <c r="AO150" s="82" t="str">
        <f>AA150</f>
        <v>M(  )=</v>
      </c>
      <c r="AP150" s="82" t="e">
        <f>VLOOKUP(AO150,Rise_Results,2,FALSE)</f>
        <v>#N/A</v>
      </c>
      <c r="AQ150" s="82" t="e">
        <f>N150</f>
        <v>#VALUE!</v>
      </c>
      <c r="AR150" s="82" t="e">
        <f>IF(OR(AB149&lt;=0,AB150&lt;=0),1/0,AB150)</f>
        <v>#N/A</v>
      </c>
      <c r="AS150" s="82" t="e">
        <f>AM150</f>
        <v>#VALUE!</v>
      </c>
      <c r="AT150" t="e">
        <f>IFERROR(AP150,IFERROR(AQ150,IFERROR(AR150,AS150)))</f>
        <v>#VALUE!</v>
      </c>
      <c r="AU150" s="81"/>
    </row>
    <row r="151" spans="1:47" x14ac:dyDescent="0.25">
      <c r="A151" s="101"/>
      <c r="B151" s="101"/>
      <c r="AU151" s="81"/>
    </row>
    <row r="152" spans="1:47" x14ac:dyDescent="0.25">
      <c r="A152" s="84"/>
      <c r="B152" s="84"/>
      <c r="E152" s="81"/>
      <c r="F152" s="81"/>
      <c r="G152" s="81"/>
      <c r="H152" s="81"/>
      <c r="I152" s="103"/>
      <c r="J152" s="70"/>
      <c r="AU152" s="81"/>
    </row>
    <row r="153" spans="1:47" x14ac:dyDescent="0.25">
      <c r="A153" s="84"/>
      <c r="B153" s="84"/>
      <c r="E153" s="81"/>
      <c r="F153" s="81"/>
      <c r="G153" s="81"/>
      <c r="H153" s="81"/>
      <c r="I153" s="104"/>
      <c r="J153" s="78"/>
      <c r="K153" s="78"/>
      <c r="L153" s="78"/>
      <c r="M153" s="7"/>
      <c r="N153" s="7"/>
      <c r="AO153" s="81"/>
      <c r="AP153" s="81"/>
      <c r="AQ153" s="81"/>
      <c r="AR153" s="81"/>
      <c r="AS153" s="81"/>
      <c r="AT153" s="81"/>
      <c r="AU153" s="81"/>
    </row>
    <row r="154" spans="1:47" x14ac:dyDescent="0.25">
      <c r="A154" s="84"/>
      <c r="B154" s="84"/>
      <c r="E154" s="81"/>
      <c r="F154" s="81"/>
      <c r="G154" s="81"/>
      <c r="H154" s="81"/>
      <c r="I154" s="105"/>
      <c r="J154" s="84"/>
      <c r="K154" s="84"/>
      <c r="L154" s="84"/>
      <c r="AO154" s="81"/>
      <c r="AP154" s="81"/>
      <c r="AQ154" s="81"/>
      <c r="AR154" s="81"/>
      <c r="AS154" s="81"/>
      <c r="AT154" s="81"/>
      <c r="AU154" s="81"/>
    </row>
    <row r="155" spans="1:47" x14ac:dyDescent="0.25">
      <c r="A155" s="84"/>
      <c r="B155" s="84"/>
      <c r="E155" s="81"/>
      <c r="F155" s="81"/>
      <c r="G155" s="81"/>
      <c r="H155" s="81"/>
      <c r="I155" s="105"/>
      <c r="J155" s="84"/>
      <c r="K155" s="84"/>
      <c r="L155" s="84"/>
      <c r="AO155" s="81"/>
      <c r="AP155" s="81"/>
      <c r="AQ155" s="81"/>
      <c r="AR155" s="81"/>
      <c r="AS155" s="81"/>
      <c r="AT155" s="81"/>
      <c r="AU155" s="81"/>
    </row>
    <row r="156" spans="1:47" x14ac:dyDescent="0.25">
      <c r="A156" s="101"/>
      <c r="B156" s="101"/>
      <c r="E156" s="81"/>
      <c r="F156" s="81"/>
      <c r="G156" s="81"/>
      <c r="H156" s="81"/>
      <c r="I156" s="81"/>
      <c r="AO156" s="81"/>
      <c r="AP156" s="81"/>
      <c r="AQ156" s="81"/>
      <c r="AR156" s="81"/>
      <c r="AS156" s="81"/>
      <c r="AT156" s="81"/>
      <c r="AU156" s="81"/>
    </row>
    <row r="157" spans="1:47" x14ac:dyDescent="0.25">
      <c r="A157" s="84"/>
      <c r="B157" s="84"/>
      <c r="E157" s="81"/>
      <c r="F157" s="81"/>
      <c r="G157" s="81"/>
      <c r="H157" s="81"/>
      <c r="I157" s="103"/>
      <c r="J157" s="70"/>
      <c r="AO157" s="81"/>
      <c r="AP157" s="81"/>
      <c r="AQ157" s="81"/>
      <c r="AR157" s="81"/>
      <c r="AS157" s="81"/>
      <c r="AT157" s="81"/>
      <c r="AU157" s="81"/>
    </row>
    <row r="158" spans="1:47" x14ac:dyDescent="0.25">
      <c r="A158" s="84"/>
      <c r="B158" s="84"/>
      <c r="E158" s="81"/>
      <c r="F158" s="81"/>
      <c r="G158" s="81"/>
      <c r="H158" s="81"/>
      <c r="I158" s="104"/>
      <c r="J158" s="78"/>
      <c r="K158" s="78"/>
      <c r="L158" s="78"/>
      <c r="M158" s="7"/>
      <c r="N158" s="7"/>
      <c r="AO158" s="81"/>
      <c r="AP158" s="81"/>
      <c r="AQ158" s="81"/>
      <c r="AR158" s="81"/>
      <c r="AS158" s="81"/>
      <c r="AT158" s="81"/>
      <c r="AU158" s="81"/>
    </row>
    <row r="159" spans="1:47" x14ac:dyDescent="0.25">
      <c r="A159" s="84"/>
      <c r="B159" s="84"/>
      <c r="E159" s="81"/>
      <c r="F159" s="81"/>
      <c r="G159" s="81"/>
      <c r="H159" s="81"/>
      <c r="I159" s="105"/>
      <c r="J159" s="84"/>
      <c r="K159" s="84"/>
      <c r="L159" s="84"/>
      <c r="AO159" s="81"/>
      <c r="AP159" s="81"/>
      <c r="AQ159" s="81"/>
      <c r="AR159" s="81"/>
      <c r="AS159" s="81"/>
      <c r="AT159" s="81"/>
      <c r="AU159" s="81"/>
    </row>
    <row r="160" spans="1:47" x14ac:dyDescent="0.25">
      <c r="A160" s="84"/>
      <c r="B160" s="84"/>
      <c r="E160" s="81"/>
      <c r="F160" s="81"/>
      <c r="G160" s="81"/>
      <c r="H160" s="81"/>
      <c r="I160" s="105"/>
      <c r="J160" s="84"/>
      <c r="K160" s="84"/>
      <c r="L160" s="84"/>
      <c r="AO160" s="81"/>
      <c r="AP160" s="81"/>
      <c r="AQ160" s="81"/>
      <c r="AR160" s="81"/>
      <c r="AS160" s="81"/>
      <c r="AT160" s="81"/>
      <c r="AU160" s="81"/>
    </row>
    <row r="161" spans="1:47" x14ac:dyDescent="0.25">
      <c r="A161" s="101"/>
      <c r="B161" s="101"/>
      <c r="E161" s="81"/>
      <c r="F161" s="81"/>
      <c r="G161" s="81"/>
      <c r="H161" s="81"/>
      <c r="I161" s="81"/>
      <c r="AO161" s="81"/>
      <c r="AP161" s="81"/>
      <c r="AQ161" s="81"/>
      <c r="AR161" s="81"/>
      <c r="AS161" s="81"/>
      <c r="AT161" s="81"/>
      <c r="AU161" s="81"/>
    </row>
    <row r="162" spans="1:47" x14ac:dyDescent="0.25">
      <c r="A162" s="84"/>
      <c r="B162" s="84"/>
      <c r="E162" s="81"/>
      <c r="F162" s="81"/>
      <c r="G162" s="81"/>
      <c r="H162" s="81"/>
      <c r="I162" s="103"/>
      <c r="J162" s="70"/>
      <c r="AO162" s="81"/>
      <c r="AP162" s="81"/>
      <c r="AQ162" s="81"/>
      <c r="AR162" s="81"/>
      <c r="AS162" s="81"/>
      <c r="AT162" s="81"/>
      <c r="AU162" s="81"/>
    </row>
    <row r="163" spans="1:47" x14ac:dyDescent="0.25">
      <c r="A163" s="84"/>
      <c r="B163" s="84"/>
      <c r="E163" s="81"/>
      <c r="F163" s="81"/>
      <c r="G163" s="81"/>
      <c r="H163" s="81"/>
      <c r="I163" s="104"/>
      <c r="J163" s="78"/>
      <c r="K163" s="78"/>
      <c r="L163" s="78"/>
      <c r="M163" s="7"/>
      <c r="N163" s="7"/>
      <c r="AO163" s="81"/>
      <c r="AP163" s="81"/>
      <c r="AQ163" s="81"/>
      <c r="AR163" s="81"/>
      <c r="AS163" s="81"/>
      <c r="AT163" s="81"/>
      <c r="AU163" s="81"/>
    </row>
    <row r="164" spans="1:47" x14ac:dyDescent="0.25">
      <c r="A164" s="84"/>
      <c r="B164" s="84"/>
      <c r="E164" s="81"/>
      <c r="F164" s="81"/>
      <c r="G164" s="81"/>
      <c r="H164" s="81"/>
      <c r="I164" s="105"/>
      <c r="J164" s="84"/>
      <c r="K164" s="84"/>
      <c r="L164" s="84"/>
    </row>
    <row r="165" spans="1:47" x14ac:dyDescent="0.25">
      <c r="A165" s="84"/>
      <c r="B165" s="84"/>
      <c r="E165" s="81"/>
      <c r="F165" s="81"/>
      <c r="G165" s="81"/>
      <c r="H165" s="81"/>
      <c r="I165" s="105"/>
      <c r="J165" s="84"/>
      <c r="K165" s="84"/>
      <c r="L165" s="84"/>
    </row>
    <row r="166" spans="1:47" x14ac:dyDescent="0.25">
      <c r="A166" s="101"/>
      <c r="B166" s="101"/>
      <c r="E166" s="81"/>
      <c r="F166" s="81"/>
      <c r="G166" s="81"/>
      <c r="H166" s="81"/>
      <c r="I166" s="81"/>
    </row>
    <row r="167" spans="1:47" x14ac:dyDescent="0.25">
      <c r="A167" s="84"/>
      <c r="B167" s="84"/>
      <c r="E167" s="81"/>
      <c r="F167" s="81"/>
      <c r="G167" s="81"/>
      <c r="H167" s="81"/>
      <c r="I167" s="103"/>
      <c r="J167" s="70"/>
    </row>
    <row r="168" spans="1:47" x14ac:dyDescent="0.25">
      <c r="A168" s="84"/>
      <c r="B168" s="84"/>
      <c r="E168" s="81"/>
      <c r="F168" s="81"/>
      <c r="G168" s="81"/>
      <c r="H168" s="81"/>
      <c r="I168" s="104"/>
      <c r="J168" s="78"/>
      <c r="K168" s="78"/>
      <c r="L168" s="78"/>
      <c r="M168" s="7"/>
      <c r="N168" s="7"/>
    </row>
    <row r="169" spans="1:47" x14ac:dyDescent="0.25">
      <c r="A169" s="84"/>
      <c r="B169" s="84"/>
      <c r="E169" s="81"/>
      <c r="F169" s="81"/>
      <c r="G169" s="81"/>
      <c r="H169" s="81"/>
      <c r="I169" s="105"/>
      <c r="J169" s="84"/>
      <c r="K169" s="84"/>
      <c r="L169" s="84"/>
    </row>
    <row r="170" spans="1:47" x14ac:dyDescent="0.25">
      <c r="A170" s="84"/>
      <c r="B170" s="84"/>
      <c r="E170" s="81"/>
      <c r="F170" s="81"/>
      <c r="G170" s="81"/>
      <c r="H170" s="81"/>
      <c r="I170" s="105"/>
      <c r="J170" s="84"/>
      <c r="K170" s="84"/>
      <c r="L170" s="84"/>
    </row>
    <row r="171" spans="1:47" x14ac:dyDescent="0.25">
      <c r="E171" s="81"/>
      <c r="F171" s="81"/>
      <c r="G171" s="81"/>
      <c r="H171" s="81"/>
      <c r="I171" s="81"/>
    </row>
  </sheetData>
  <sheetProtection selectLockedCells="1" selectUnlockedCells="1"/>
  <mergeCells count="167">
    <mergeCell ref="A1:B1"/>
    <mergeCell ref="E1:F1"/>
    <mergeCell ref="L1:M1"/>
    <mergeCell ref="W33:X33"/>
    <mergeCell ref="Y33:Z33"/>
    <mergeCell ref="AA33:AB33"/>
    <mergeCell ref="AH33:AI33"/>
    <mergeCell ref="AJ33:AK33"/>
    <mergeCell ref="AL33:AM33"/>
    <mergeCell ref="I38:J38"/>
    <mergeCell ref="W38:X38"/>
    <mergeCell ref="Y38:Z38"/>
    <mergeCell ref="AA38:AB38"/>
    <mergeCell ref="AH38:AI38"/>
    <mergeCell ref="AJ38:AK38"/>
    <mergeCell ref="AL38:AM38"/>
    <mergeCell ref="AL43:AM43"/>
    <mergeCell ref="I48:J48"/>
    <mergeCell ref="W48:X48"/>
    <mergeCell ref="Y48:Z48"/>
    <mergeCell ref="AA48:AB48"/>
    <mergeCell ref="AH48:AI48"/>
    <mergeCell ref="AJ48:AK48"/>
    <mergeCell ref="AL48:AM48"/>
    <mergeCell ref="I43:J43"/>
    <mergeCell ref="W43:X43"/>
    <mergeCell ref="Y43:Z43"/>
    <mergeCell ref="AA43:AB43"/>
    <mergeCell ref="AH43:AI43"/>
    <mergeCell ref="AJ43:AK43"/>
    <mergeCell ref="AL53:AM53"/>
    <mergeCell ref="I58:J58"/>
    <mergeCell ref="AH58:AI58"/>
    <mergeCell ref="AJ58:AK58"/>
    <mergeCell ref="AL58:AM58"/>
    <mergeCell ref="I63:J63"/>
    <mergeCell ref="W63:X63"/>
    <mergeCell ref="Y63:Z63"/>
    <mergeCell ref="AA63:AB63"/>
    <mergeCell ref="AH63:AI63"/>
    <mergeCell ref="I53:J53"/>
    <mergeCell ref="W53:X53"/>
    <mergeCell ref="Y53:Z53"/>
    <mergeCell ref="AA53:AB53"/>
    <mergeCell ref="AH53:AI53"/>
    <mergeCell ref="AJ53:AK53"/>
    <mergeCell ref="AJ63:AK63"/>
    <mergeCell ref="AL63:AM63"/>
    <mergeCell ref="I68:J68"/>
    <mergeCell ref="W68:X68"/>
    <mergeCell ref="Y68:Z68"/>
    <mergeCell ref="AA68:AB68"/>
    <mergeCell ref="AH68:AI68"/>
    <mergeCell ref="AJ68:AK68"/>
    <mergeCell ref="AL68:AM68"/>
    <mergeCell ref="AL73:AM73"/>
    <mergeCell ref="I78:J78"/>
    <mergeCell ref="W78:X78"/>
    <mergeCell ref="Y78:Z78"/>
    <mergeCell ref="AA78:AB78"/>
    <mergeCell ref="AH78:AI78"/>
    <mergeCell ref="AJ78:AK78"/>
    <mergeCell ref="AL78:AM78"/>
    <mergeCell ref="I73:J73"/>
    <mergeCell ref="W73:X73"/>
    <mergeCell ref="Y73:Z73"/>
    <mergeCell ref="AA73:AB73"/>
    <mergeCell ref="AH73:AI73"/>
    <mergeCell ref="AJ73:AK73"/>
    <mergeCell ref="AL83:AM83"/>
    <mergeCell ref="I88:J88"/>
    <mergeCell ref="W88:X88"/>
    <mergeCell ref="Y88:Z88"/>
    <mergeCell ref="AA88:AB88"/>
    <mergeCell ref="AH88:AI88"/>
    <mergeCell ref="AJ88:AK88"/>
    <mergeCell ref="AL88:AM88"/>
    <mergeCell ref="I83:J83"/>
    <mergeCell ref="W83:X83"/>
    <mergeCell ref="Y83:Z83"/>
    <mergeCell ref="AA83:AB83"/>
    <mergeCell ref="AH83:AI83"/>
    <mergeCell ref="AJ83:AK83"/>
    <mergeCell ref="AL93:AM93"/>
    <mergeCell ref="I98:J98"/>
    <mergeCell ref="W98:X98"/>
    <mergeCell ref="Y98:Z98"/>
    <mergeCell ref="AA98:AB98"/>
    <mergeCell ref="AH98:AI98"/>
    <mergeCell ref="AJ98:AK98"/>
    <mergeCell ref="AL98:AM98"/>
    <mergeCell ref="I93:J93"/>
    <mergeCell ref="W93:X93"/>
    <mergeCell ref="Y93:Z93"/>
    <mergeCell ref="AA93:AB93"/>
    <mergeCell ref="AH93:AI93"/>
    <mergeCell ref="AJ93:AK93"/>
    <mergeCell ref="AL103:AM103"/>
    <mergeCell ref="I108:J108"/>
    <mergeCell ref="W108:X108"/>
    <mergeCell ref="Y108:Z108"/>
    <mergeCell ref="AA108:AB108"/>
    <mergeCell ref="AH108:AI108"/>
    <mergeCell ref="AJ108:AK108"/>
    <mergeCell ref="AL108:AM108"/>
    <mergeCell ref="I103:J103"/>
    <mergeCell ref="W103:X103"/>
    <mergeCell ref="Y103:Z103"/>
    <mergeCell ref="AA103:AB103"/>
    <mergeCell ref="AH103:AI103"/>
    <mergeCell ref="AJ103:AK103"/>
    <mergeCell ref="AL113:AM113"/>
    <mergeCell ref="I118:J118"/>
    <mergeCell ref="W118:X118"/>
    <mergeCell ref="Y118:Z118"/>
    <mergeCell ref="AA118:AB118"/>
    <mergeCell ref="AH118:AI118"/>
    <mergeCell ref="AJ118:AK118"/>
    <mergeCell ref="AL118:AM118"/>
    <mergeCell ref="I113:J113"/>
    <mergeCell ref="W113:X113"/>
    <mergeCell ref="Y113:Z113"/>
    <mergeCell ref="AA113:AB113"/>
    <mergeCell ref="AH113:AI113"/>
    <mergeCell ref="AJ113:AK113"/>
    <mergeCell ref="AL123:AM123"/>
    <mergeCell ref="I128:J128"/>
    <mergeCell ref="W128:X128"/>
    <mergeCell ref="Y128:Z128"/>
    <mergeCell ref="AA128:AB128"/>
    <mergeCell ref="AH128:AI128"/>
    <mergeCell ref="AJ128:AK128"/>
    <mergeCell ref="AL128:AM128"/>
    <mergeCell ref="I123:J123"/>
    <mergeCell ref="W123:X123"/>
    <mergeCell ref="Y123:Z123"/>
    <mergeCell ref="AA123:AB123"/>
    <mergeCell ref="AH123:AI123"/>
    <mergeCell ref="AJ123:AK123"/>
    <mergeCell ref="AL133:AM133"/>
    <mergeCell ref="I138:J138"/>
    <mergeCell ref="W138:X138"/>
    <mergeCell ref="Y138:Z138"/>
    <mergeCell ref="AA138:AB138"/>
    <mergeCell ref="AH138:AI138"/>
    <mergeCell ref="AJ138:AK138"/>
    <mergeCell ref="AL138:AM138"/>
    <mergeCell ref="I133:J133"/>
    <mergeCell ref="W133:X133"/>
    <mergeCell ref="Y133:Z133"/>
    <mergeCell ref="AA133:AB133"/>
    <mergeCell ref="AH133:AI133"/>
    <mergeCell ref="AJ133:AK133"/>
    <mergeCell ref="AL143:AM143"/>
    <mergeCell ref="I148:J148"/>
    <mergeCell ref="W148:X148"/>
    <mergeCell ref="Y148:Z148"/>
    <mergeCell ref="AA148:AB148"/>
    <mergeCell ref="AH148:AI148"/>
    <mergeCell ref="AJ148:AK148"/>
    <mergeCell ref="AL148:AM148"/>
    <mergeCell ref="I143:J143"/>
    <mergeCell ref="W143:X143"/>
    <mergeCell ref="Y143:Z143"/>
    <mergeCell ref="AA143:AB143"/>
    <mergeCell ref="AH143:AI143"/>
    <mergeCell ref="AJ143:AK143"/>
  </mergeCells>
  <pageMargins left="0.7" right="0.7" top="0.75" bottom="0.75" header="0.3" footer="0.3"/>
  <pageSetup paperSize="9"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AU171"/>
  <sheetViews>
    <sheetView topLeftCell="N1" workbookViewId="0">
      <pane ySplit="1" topLeftCell="A8" activePane="bottomLeft" state="frozen"/>
      <selection activeCell="AG8" sqref="AG8:AG10"/>
      <selection pane="bottomLeft" activeCell="AG8" sqref="AG8:AG10"/>
    </sheetView>
  </sheetViews>
  <sheetFormatPr defaultRowHeight="15" x14ac:dyDescent="0.25"/>
  <sheetData>
    <row r="1" spans="1:46" x14ac:dyDescent="0.25">
      <c r="A1" s="494" t="s">
        <v>90</v>
      </c>
      <c r="B1" s="494"/>
      <c r="C1">
        <f>HLOOKUP(Stn_WL,OFFSET_A,Count_STN+1,FALSE)</f>
        <v>12</v>
      </c>
      <c r="E1" s="494" t="s">
        <v>91</v>
      </c>
      <c r="F1" s="494"/>
      <c r="G1" t="str">
        <f>VLOOKUP(Station_No,RISE_CALC,2,FALSE)</f>
        <v>-</v>
      </c>
      <c r="L1" s="494" t="s">
        <v>92</v>
      </c>
      <c r="M1" s="494"/>
      <c r="N1">
        <v>15</v>
      </c>
    </row>
    <row r="2" spans="1:46" x14ac:dyDescent="0.25">
      <c r="Q2" s="66" t="str">
        <f t="shared" ref="Q2:R6" si="0">G4</f>
        <v>Rise</v>
      </c>
      <c r="R2" s="67" t="e">
        <f t="shared" si="0"/>
        <v>#VALUE!</v>
      </c>
      <c r="S2" s="68" t="e">
        <f>IF(OR(R5-R4=R4-R3,R6-R4=R4-R3),R3,IF(OR(R5-R4=R4-R2,R6-R4=R4-R2),R2,"-"))</f>
        <v>#VALUE!</v>
      </c>
      <c r="T2" s="69" t="e">
        <f>IFERROR(VLOOKUP(S2,STN_TABLE,2,FALSE),IF(R2=RisePerWLS,0,"-"))</f>
        <v>#VALUE!</v>
      </c>
      <c r="U2" s="69">
        <v>5</v>
      </c>
      <c r="V2" s="69" t="e">
        <f>T2*U2</f>
        <v>#VALUE!</v>
      </c>
      <c r="W2" s="69">
        <v>3</v>
      </c>
      <c r="X2" s="69" t="e">
        <f>T2*W2</f>
        <v>#VALUE!</v>
      </c>
      <c r="Y2" s="6" t="s">
        <v>93</v>
      </c>
      <c r="Z2" s="70" t="e">
        <f>IF(AND(S4-S3=S3-S2,NOT(AND(S2=0,S3=0)),NOT(AND(S3=0,S4=0))),WLS*(S4-S3),"#NA")</f>
        <v>#VALUE!</v>
      </c>
      <c r="AE2" s="71" t="s">
        <v>94</v>
      </c>
    </row>
    <row r="3" spans="1:46" x14ac:dyDescent="0.25">
      <c r="B3" s="72" t="s">
        <v>0</v>
      </c>
      <c r="C3" s="73" t="s">
        <v>95</v>
      </c>
      <c r="D3" s="73" t="s">
        <v>18</v>
      </c>
      <c r="E3" s="74" t="s">
        <v>20</v>
      </c>
      <c r="H3" s="75" t="s">
        <v>96</v>
      </c>
      <c r="K3" t="str">
        <f>IF(Rise=0,"(Not considered)","(Considered)")</f>
        <v>(Considered)</v>
      </c>
      <c r="Q3" s="66" t="str">
        <f t="shared" si="0"/>
        <v>1st_UWL</v>
      </c>
      <c r="R3" s="67" t="str">
        <f t="shared" si="0"/>
        <v>#NA</v>
      </c>
      <c r="S3" s="76" t="str">
        <f>R4</f>
        <v>#NA</v>
      </c>
      <c r="T3" s="77" t="e">
        <f>VLOOKUP(S3,STN_TABLE,2,FALSE)</f>
        <v>#N/A</v>
      </c>
      <c r="U3" s="77">
        <v>8</v>
      </c>
      <c r="V3" s="77" t="e">
        <f>T3*U3</f>
        <v>#N/A</v>
      </c>
      <c r="W3" s="77">
        <v>10</v>
      </c>
      <c r="X3" s="77" t="e">
        <f>T3*W3</f>
        <v>#N/A</v>
      </c>
      <c r="Y3" s="78" t="s">
        <v>97</v>
      </c>
      <c r="Z3" s="78"/>
      <c r="AA3" s="78" t="s">
        <v>98</v>
      </c>
      <c r="AB3" s="78"/>
      <c r="AC3" s="7" t="s">
        <v>99</v>
      </c>
      <c r="AD3" s="7"/>
      <c r="AE3" s="66" t="str">
        <f t="shared" ref="AE3:AF7" si="1">G4</f>
        <v>Rise</v>
      </c>
      <c r="AF3" s="67" t="e">
        <f t="shared" si="1"/>
        <v>#VALUE!</v>
      </c>
      <c r="AG3" s="79" t="e">
        <f>IF(AF7-AF6=AF6-AF5,AF5,IF(OR(AF7-AF6=AF6-AF4,AF7-AF5=AF5-AF4),AF4,IF(OR(AF7-AF6=AF6-AF3,AF7-AF5=AF5-AF3,AF7-AF4=AF4-AF3),AF3,"#NA")))</f>
        <v>#VALUE!</v>
      </c>
      <c r="AH3" s="69" t="e">
        <f>IFERROR(VLOOKUP(AG3,STN_TABLE,2,FALSE),IF(AF3=RisePerWLS,0,"-"))</f>
        <v>#VALUE!</v>
      </c>
      <c r="AI3" s="69">
        <v>1</v>
      </c>
      <c r="AJ3" s="69" t="e">
        <f>AH3*AI3</f>
        <v>#VALUE!</v>
      </c>
      <c r="AK3" s="69" t="e">
        <f>AG3</f>
        <v>#VALUE!</v>
      </c>
      <c r="AL3" s="69" t="e">
        <f>AJ3*AK3</f>
        <v>#VALUE!</v>
      </c>
      <c r="AM3" s="6" t="s">
        <v>93</v>
      </c>
      <c r="AN3" s="70" t="e">
        <f>IF(AND(AH3=0,AH4=0,AH5=0),WLS*(AG5-AG4),IF(AND(AG5-AG4=AG4-AG3,AG4&lt;&gt;AG5,AG3&lt;&gt;AG4,AG3&lt;&gt;AG5,AH5&lt;&gt;0,OR(AH3&lt;&gt;0,AH4&lt;&gt;0)),WLS*(AG5-AG4),"#NA"))</f>
        <v>#VALUE!</v>
      </c>
    </row>
    <row r="4" spans="1:46" x14ac:dyDescent="0.25">
      <c r="A4">
        <v>1</v>
      </c>
      <c r="B4" s="80">
        <f t="shared" ref="B4:B28" si="2">VLOOKUP(Stn_WL,OFFSET_A,A4+1,FALSE)</f>
        <v>0</v>
      </c>
      <c r="C4" s="81">
        <f t="shared" ref="C4:C28" si="3">VLOOKUP(Station_No,OFFSET_A,A4+1,FALSE)</f>
        <v>9.6999999999999993</v>
      </c>
      <c r="D4" s="81">
        <v>0</v>
      </c>
      <c r="E4" s="77">
        <v>0</v>
      </c>
      <c r="G4" t="s">
        <v>100</v>
      </c>
      <c r="H4" t="e">
        <f>Rise/WLS</f>
        <v>#VALUE!</v>
      </c>
      <c r="K4" t="str">
        <f>CONCATENATE("A(",H5,")=")</f>
        <v>A(#NA)=</v>
      </c>
      <c r="L4" t="e">
        <f>IFERROR(N18,N22)</f>
        <v>#VALUE!</v>
      </c>
      <c r="Q4" s="66" t="str">
        <f t="shared" si="0"/>
        <v>2nd_UWL</v>
      </c>
      <c r="R4" s="67" t="str">
        <f t="shared" si="0"/>
        <v>#NA</v>
      </c>
      <c r="S4" s="82" t="e">
        <f>IF((S2-S3)=S3-R5,R5,IF(S2-S3=S3-R6,R6,"-"))</f>
        <v>#VALUE!</v>
      </c>
      <c r="T4" s="83" t="e">
        <f>VLOOKUP(S4,STN_TABLE,2,FALSE)</f>
        <v>#VALUE!</v>
      </c>
      <c r="U4" s="83">
        <v>-1</v>
      </c>
      <c r="V4" s="83" t="e">
        <f>T4*U4</f>
        <v>#VALUE!</v>
      </c>
      <c r="W4" s="83">
        <v>-1</v>
      </c>
      <c r="X4" s="83" t="e">
        <f>T4*W4</f>
        <v>#VALUE!</v>
      </c>
      <c r="Y4" s="84" t="str">
        <f>CONCATENATE("a'(",S3,")=")</f>
        <v>a'(#NA)=</v>
      </c>
      <c r="Z4" s="85" t="e">
        <f>2*Z2/12*V5</f>
        <v>#VALUE!</v>
      </c>
      <c r="AA4" s="84" t="e">
        <f>CONCATENATE("A(",S2,")=")</f>
        <v>#VALUE!</v>
      </c>
      <c r="AB4" s="84" t="e">
        <f>IF(S2=RisePerWLS,0,VLOOKUP(S2,STN_TABLE,3,FALSE))</f>
        <v>#VALUE!</v>
      </c>
      <c r="AC4" t="str">
        <f>CONCATENATE("A(",S3,")=")</f>
        <v>A(#NA)=</v>
      </c>
      <c r="AD4" t="e">
        <f>Z4+AB4</f>
        <v>#VALUE!</v>
      </c>
      <c r="AE4" s="66" t="str">
        <f t="shared" si="1"/>
        <v>1st_UWL</v>
      </c>
      <c r="AF4" s="67" t="str">
        <f t="shared" si="1"/>
        <v>#NA</v>
      </c>
      <c r="AG4" s="80" t="e">
        <f>IF(OR(AF7-AF6=AF6-AF5,AF7-AF6=AF6-AF4,AF7-AF6=AF6-AF3),AF6,IF(OR(AF7-AF5=AF5-AF4,AF7-AF5=AF5-AF3),AF5,IF(AF7-AF4=AF4-AF3,AF4,"#NA")))</f>
        <v>#VALUE!</v>
      </c>
      <c r="AH4" s="77" t="e">
        <f>VLOOKUP(AG4,STN_TABLE,2,FALSE)</f>
        <v>#VALUE!</v>
      </c>
      <c r="AI4" s="77">
        <v>4</v>
      </c>
      <c r="AJ4" s="77" t="e">
        <f>AH4*AI4</f>
        <v>#VALUE!</v>
      </c>
      <c r="AK4" s="77" t="e">
        <f>AG4</f>
        <v>#VALUE!</v>
      </c>
      <c r="AL4" s="77" t="e">
        <f>AJ4*AK4</f>
        <v>#VALUE!</v>
      </c>
      <c r="AM4" s="78" t="s">
        <v>97</v>
      </c>
      <c r="AN4" s="78"/>
      <c r="AO4" s="78" t="s">
        <v>98</v>
      </c>
      <c r="AP4" s="78"/>
      <c r="AQ4" s="7" t="s">
        <v>99</v>
      </c>
      <c r="AR4" s="7"/>
      <c r="AS4" s="7"/>
      <c r="AT4" s="7"/>
    </row>
    <row r="5" spans="1:46" x14ac:dyDescent="0.25">
      <c r="A5">
        <v>2</v>
      </c>
      <c r="B5" s="80">
        <f t="shared" si="2"/>
        <v>0.25</v>
      </c>
      <c r="C5" s="81">
        <f t="shared" si="3"/>
        <v>10.45</v>
      </c>
      <c r="D5" s="81">
        <f t="shared" ref="D5:D28" si="4">IFERROR(VLOOKUP(CONCATENATE("A(",B5,")="),RESULT_TABLE,6,FALSE)," ")</f>
        <v>10.112499999999999</v>
      </c>
      <c r="E5" s="77">
        <f t="shared" ref="E5:E28" si="5">IFERROR(VLOOKUP(CONCATENATE("M(",B5,")="),RESULT_TABLE,6,FALSE)," ")</f>
        <v>2.5593749999999997</v>
      </c>
      <c r="G5" t="s">
        <v>101</v>
      </c>
      <c r="H5" t="str">
        <f>VLOOKUP(Station_No,RISE_CALC,4,FALSE)</f>
        <v>#NA</v>
      </c>
      <c r="K5" t="str">
        <f>CONCATENATE("M(",H5,")=")</f>
        <v>M(#NA)=</v>
      </c>
      <c r="L5" t="e">
        <f>IFERROR(N19,N23)</f>
        <v>#VALUE!</v>
      </c>
      <c r="Q5" s="66" t="str">
        <f t="shared" si="0"/>
        <v>3rd_UWL</v>
      </c>
      <c r="R5" s="67" t="str">
        <f t="shared" si="0"/>
        <v>#NA</v>
      </c>
      <c r="V5" s="86" t="e">
        <f>SUM(V2:V4)</f>
        <v>#VALUE!</v>
      </c>
      <c r="X5" s="87" t="e">
        <f>SUM(X2:X4)</f>
        <v>#VALUE!</v>
      </c>
      <c r="Y5" s="84" t="str">
        <f>CONCATENATE("m'(",S3,")=")</f>
        <v>m'(#NA)=</v>
      </c>
      <c r="Z5" s="85" t="e">
        <f>(2*(Z2^2)/24*X5)+(Z4*S2*WLS)</f>
        <v>#VALUE!</v>
      </c>
      <c r="AA5" s="84" t="e">
        <f>CONCATENATE("M(",S2,")=")</f>
        <v>#VALUE!</v>
      </c>
      <c r="AB5" s="84" t="e">
        <f>IF(S2=RisePerWLS,0,VLOOKUP(S2,STN_TABLE,4,FALSE))</f>
        <v>#VALUE!</v>
      </c>
      <c r="AC5" t="str">
        <f>CONCATENATE("M(",S3,")=")</f>
        <v>M(#NA)=</v>
      </c>
      <c r="AD5" t="e">
        <f>Z5+AB5</f>
        <v>#VALUE!</v>
      </c>
      <c r="AE5" s="66" t="str">
        <f t="shared" si="1"/>
        <v>2nd_UWL</v>
      </c>
      <c r="AF5" s="67" t="str">
        <f t="shared" si="1"/>
        <v>#NA</v>
      </c>
      <c r="AG5" s="88" t="str">
        <f>AF7</f>
        <v>#NA</v>
      </c>
      <c r="AH5" s="83" t="e">
        <f>VLOOKUP(AG5,STN_TABLE,2,FALSE)</f>
        <v>#N/A</v>
      </c>
      <c r="AI5" s="83">
        <v>1</v>
      </c>
      <c r="AJ5" s="83" t="e">
        <f>AH5*AI5</f>
        <v>#N/A</v>
      </c>
      <c r="AK5" s="83" t="str">
        <f>AG5</f>
        <v>#NA</v>
      </c>
      <c r="AL5" s="83" t="e">
        <f>AJ5*AK5</f>
        <v>#N/A</v>
      </c>
      <c r="AM5" s="84" t="str">
        <f>CONCATENATE("a'(",AG5,")=")</f>
        <v>a'(#NA)=</v>
      </c>
      <c r="AN5" s="84" t="e">
        <f>2*AN3/3*AJ6</f>
        <v>#VALUE!</v>
      </c>
      <c r="AO5" s="84" t="e">
        <f>CONCATENATE("A(",AG3,")=")</f>
        <v>#VALUE!</v>
      </c>
      <c r="AP5" s="84" t="e">
        <f>IF(AG3=RisePerWLS,0,VLOOKUP(AG3,STN_TABLE,3,FALSE))</f>
        <v>#VALUE!</v>
      </c>
      <c r="AQ5" t="str">
        <f>CONCATENATE("A(",AG5,")=")</f>
        <v>A(#NA)=</v>
      </c>
      <c r="AR5" t="e">
        <f>AN5+AP5</f>
        <v>#VALUE!</v>
      </c>
    </row>
    <row r="6" spans="1:46" x14ac:dyDescent="0.25">
      <c r="A6">
        <v>3</v>
      </c>
      <c r="B6" s="80">
        <f t="shared" si="2"/>
        <v>0.5</v>
      </c>
      <c r="C6" s="81">
        <f t="shared" si="3"/>
        <v>10.75</v>
      </c>
      <c r="D6" s="81">
        <f t="shared" si="4"/>
        <v>20.75</v>
      </c>
      <c r="E6" s="77">
        <f t="shared" si="5"/>
        <v>10.549999999999999</v>
      </c>
      <c r="G6" t="s">
        <v>102</v>
      </c>
      <c r="H6" t="str">
        <f>VLOOKUP(Station_No,RISE_CALC,5,FALSE)</f>
        <v>#NA</v>
      </c>
      <c r="K6" t="str">
        <f>CONCATENATE("A(",H6,")=")</f>
        <v>A(#NA)=</v>
      </c>
      <c r="L6" t="e">
        <f>IFERROR(P27,IFERROR(X6,AD9))</f>
        <v>#VALUE!</v>
      </c>
      <c r="Q6" s="66" t="str">
        <f t="shared" si="0"/>
        <v>4th_UWL</v>
      </c>
      <c r="R6" s="67" t="str">
        <f t="shared" si="0"/>
        <v>#NA</v>
      </c>
      <c r="U6" t="s">
        <v>103</v>
      </c>
      <c r="W6" t="str">
        <f>CONCATENATE("A(",S3,")=")</f>
        <v>A(#NA)=</v>
      </c>
      <c r="X6" t="e">
        <f>IF(OR(AD4&lt;=0,AD5&lt;=0),AD9,AD4)</f>
        <v>#VALUE!</v>
      </c>
      <c r="AE6" s="66" t="str">
        <f t="shared" si="1"/>
        <v>3rd_UWL</v>
      </c>
      <c r="AF6" s="67" t="str">
        <f t="shared" si="1"/>
        <v>#NA</v>
      </c>
      <c r="AJ6" s="89" t="e">
        <f>SUM(AJ3:AJ5)</f>
        <v>#VALUE!</v>
      </c>
      <c r="AL6" s="89" t="e">
        <f>SUM(AL3:AL5)</f>
        <v>#VALUE!</v>
      </c>
      <c r="AM6" s="84" t="str">
        <f>CONCATENATE("m'(",AG5,")=")</f>
        <v>m'(#NA)=</v>
      </c>
      <c r="AN6" s="84" t="e">
        <f>2*(AN3*WLS)/3*AL6</f>
        <v>#VALUE!</v>
      </c>
      <c r="AO6" s="84" t="e">
        <f>CONCATENATE("M(",AG3,")=")</f>
        <v>#VALUE!</v>
      </c>
      <c r="AP6" s="84" t="e">
        <f>IF(AG3=RisePerWLS,0,VLOOKUP(AG3,STN_TABLE,4,FALSE))</f>
        <v>#VALUE!</v>
      </c>
      <c r="AQ6" t="str">
        <f>CONCATENATE("M(",AG5,")=")</f>
        <v>M(#NA)=</v>
      </c>
      <c r="AR6" t="e">
        <f>AN6+AP6</f>
        <v>#VALUE!</v>
      </c>
    </row>
    <row r="7" spans="1:46" x14ac:dyDescent="0.25">
      <c r="A7">
        <v>4</v>
      </c>
      <c r="B7" s="80">
        <f t="shared" si="2"/>
        <v>0.75</v>
      </c>
      <c r="C7" s="81">
        <f t="shared" si="3"/>
        <v>10.93</v>
      </c>
      <c r="D7" s="81">
        <f t="shared" si="4"/>
        <v>31.572499999999998</v>
      </c>
      <c r="E7" s="77">
        <f t="shared" si="5"/>
        <v>24.099374999999998</v>
      </c>
      <c r="G7" t="s">
        <v>104</v>
      </c>
      <c r="H7" t="str">
        <f>VLOOKUP(Station_No,RISE_CALC,6,FALSE)</f>
        <v>#NA</v>
      </c>
      <c r="K7" t="str">
        <f>CONCATENATE("M(",H6,")=")</f>
        <v>M(#NA)=</v>
      </c>
      <c r="L7" t="e">
        <f>IFERROR(P28,IFERROR(X7,AD10))</f>
        <v>#VALUE!</v>
      </c>
      <c r="Q7" s="66"/>
      <c r="R7" s="67"/>
      <c r="W7" t="str">
        <f>CONCATENATE("M(",S3,")=")</f>
        <v>M(#NA)=</v>
      </c>
      <c r="X7" t="e">
        <f>IF(OR(AD4&lt;=0,AD5&lt;=0),AD10,AD5)</f>
        <v>#VALUE!</v>
      </c>
      <c r="Y7" s="6" t="s">
        <v>93</v>
      </c>
      <c r="Z7" s="70" t="e">
        <f>WLS*(U9-U8)</f>
        <v>#VALUE!</v>
      </c>
      <c r="AE7" s="66" t="str">
        <f t="shared" si="1"/>
        <v>4th_UWL</v>
      </c>
      <c r="AF7" s="67" t="str">
        <f t="shared" si="1"/>
        <v>#NA</v>
      </c>
      <c r="AH7" s="81"/>
    </row>
    <row r="8" spans="1:46" x14ac:dyDescent="0.25">
      <c r="A8">
        <v>5</v>
      </c>
      <c r="B8" s="80">
        <f t="shared" si="2"/>
        <v>1</v>
      </c>
      <c r="C8" s="81">
        <f t="shared" si="3"/>
        <v>11</v>
      </c>
      <c r="D8" s="81">
        <f t="shared" si="4"/>
        <v>42.573333333333331</v>
      </c>
      <c r="E8" s="77">
        <f t="shared" si="5"/>
        <v>43.326666666666661</v>
      </c>
      <c r="G8" t="s">
        <v>105</v>
      </c>
      <c r="H8" t="str">
        <f>VLOOKUP(Station_No,RISE_CALC,7,FALSE)</f>
        <v>#NA</v>
      </c>
      <c r="K8" t="str">
        <f>CONCATENATE("A(",H7,")=")</f>
        <v>A(#NA)=</v>
      </c>
      <c r="L8" t="e">
        <f>IFERROR(AD15,IFERROR(X24,AD27))</f>
        <v>#VALUE!</v>
      </c>
      <c r="Q8" s="80"/>
      <c r="R8" s="81"/>
      <c r="U8" s="79" t="str">
        <f>R3</f>
        <v>#NA</v>
      </c>
      <c r="V8" s="68" t="e">
        <f>VLOOKUP(U8,STN_TABLE,2,FALSE)</f>
        <v>#N/A</v>
      </c>
      <c r="W8" s="68">
        <v>1</v>
      </c>
      <c r="X8" s="69" t="e">
        <f>V8*W8</f>
        <v>#N/A</v>
      </c>
      <c r="Y8" s="78" t="s">
        <v>97</v>
      </c>
      <c r="Z8" s="78"/>
      <c r="AA8" s="78" t="s">
        <v>98</v>
      </c>
      <c r="AB8" s="78"/>
      <c r="AC8" s="7" t="s">
        <v>99</v>
      </c>
      <c r="AD8" s="7"/>
      <c r="AE8" s="66"/>
      <c r="AF8" s="67"/>
      <c r="AG8" s="68" t="e">
        <f>IF(OR(AF12-AF11=AF11-AF10,AF13-AF11=AF11-AF10),AF10,IF(OR(AF12-AF11=AF11-AF9,AF13-AF11=AF11-AF9),AF9,"-"))</f>
        <v>#VALUE!</v>
      </c>
      <c r="AH8" s="69" t="e">
        <f>IFERROR(VLOOKUP(AG8,STN_TABLE,2,FALSE),IF(AF8=RisePerWLS,0,"-"))</f>
        <v>#VALUE!</v>
      </c>
      <c r="AI8" s="69">
        <v>5</v>
      </c>
      <c r="AJ8" s="69" t="e">
        <f>AH8*AI8</f>
        <v>#VALUE!</v>
      </c>
      <c r="AK8" s="69">
        <v>3</v>
      </c>
      <c r="AL8" s="69" t="e">
        <f>AH8*AK8</f>
        <v>#VALUE!</v>
      </c>
      <c r="AM8" s="6" t="s">
        <v>93</v>
      </c>
      <c r="AN8" s="70" t="e">
        <f>IF(AND(AG10-AG9=AG9-AG8,NOT(AND(AG8=0,AG9=0)),NOT(AND(AG9=0,AG10=0))),WLS*(AG10-AG9),"#NA")</f>
        <v>#VALUE!</v>
      </c>
    </row>
    <row r="9" spans="1:46" x14ac:dyDescent="0.25">
      <c r="A9">
        <v>6</v>
      </c>
      <c r="B9" s="80">
        <f t="shared" si="2"/>
        <v>2</v>
      </c>
      <c r="C9" s="81">
        <f t="shared" si="3"/>
        <v>11</v>
      </c>
      <c r="D9" s="81">
        <f t="shared" si="4"/>
        <v>86.573333333333323</v>
      </c>
      <c r="E9" s="77">
        <f t="shared" si="5"/>
        <v>175.32666666666665</v>
      </c>
      <c r="G9" t="s">
        <v>106</v>
      </c>
      <c r="H9" t="str">
        <f>VLOOKUP(Station_No,RISE_CALC,8,FALSE)</f>
        <v>#NA</v>
      </c>
      <c r="K9" t="str">
        <f>CONCATENATE("M(",H7,")=")</f>
        <v>M(#NA)=</v>
      </c>
      <c r="L9" t="e">
        <f>IFERROR(AD16,IFERROR(X25,AD28))</f>
        <v>#VALUE!</v>
      </c>
      <c r="Q9" s="80"/>
      <c r="R9" s="81"/>
      <c r="U9" s="88" t="str">
        <f>R4</f>
        <v>#NA</v>
      </c>
      <c r="V9" s="82" t="e">
        <f>VLOOKUP(U9,STN_TABLE,2,FALSE)</f>
        <v>#N/A</v>
      </c>
      <c r="W9" s="82">
        <v>2</v>
      </c>
      <c r="X9" s="83" t="e">
        <f>V9*W9</f>
        <v>#N/A</v>
      </c>
      <c r="Y9" s="84" t="str">
        <f>CONCATENATE("a'(",U9,")=")</f>
        <v>a'(#NA)=</v>
      </c>
      <c r="Z9" s="84" t="e">
        <f>2*Z7/2*V10</f>
        <v>#VALUE!</v>
      </c>
      <c r="AA9" s="84" t="str">
        <f>CONCATENATE("A(",U8,")=")</f>
        <v>A(#NA)=</v>
      </c>
      <c r="AB9" s="84" t="e">
        <f>IF(U8=RisePerWLS,0,VLOOKUP(U8,STN_TABLE,3,FALSE))</f>
        <v>#VALUE!</v>
      </c>
      <c r="AC9" t="str">
        <f>CONCATENATE("A(",U9,")=")</f>
        <v>A(#NA)=</v>
      </c>
      <c r="AD9" t="e">
        <f>Z9+AB9</f>
        <v>#VALUE!</v>
      </c>
      <c r="AE9" s="66" t="str">
        <f t="shared" ref="AE9:AF13" si="6">G6</f>
        <v>2nd_UWL</v>
      </c>
      <c r="AF9" s="67" t="str">
        <f t="shared" si="6"/>
        <v>#NA</v>
      </c>
      <c r="AG9" s="76" t="str">
        <f>AF11</f>
        <v>#NA</v>
      </c>
      <c r="AH9" s="77" t="e">
        <f>VLOOKUP(AG9,STN_TABLE,2,FALSE)</f>
        <v>#N/A</v>
      </c>
      <c r="AI9" s="77">
        <v>8</v>
      </c>
      <c r="AJ9" s="77" t="e">
        <f>AH9*AI9</f>
        <v>#N/A</v>
      </c>
      <c r="AK9" s="77">
        <v>10</v>
      </c>
      <c r="AL9" s="77" t="e">
        <f>AH9*AK9</f>
        <v>#N/A</v>
      </c>
      <c r="AM9" s="78" t="s">
        <v>97</v>
      </c>
      <c r="AN9" s="78"/>
      <c r="AO9" s="78" t="s">
        <v>98</v>
      </c>
      <c r="AP9" s="78"/>
      <c r="AQ9" s="7" t="s">
        <v>99</v>
      </c>
      <c r="AR9" s="7"/>
      <c r="AS9" s="7"/>
      <c r="AT9" s="7"/>
    </row>
    <row r="10" spans="1:46" x14ac:dyDescent="0.25">
      <c r="A10">
        <v>7</v>
      </c>
      <c r="B10" s="80">
        <f t="shared" si="2"/>
        <v>3</v>
      </c>
      <c r="C10" s="81">
        <f t="shared" si="3"/>
        <v>11</v>
      </c>
      <c r="D10" s="81">
        <f t="shared" si="4"/>
        <v>130.57333333333332</v>
      </c>
      <c r="E10" s="77">
        <f t="shared" si="5"/>
        <v>395.32666666666665</v>
      </c>
      <c r="G10" t="s">
        <v>107</v>
      </c>
      <c r="H10" t="str">
        <f>VLOOKUP(Station_No,RISE_CALC,9,FALSE)</f>
        <v>#NA</v>
      </c>
      <c r="K10" t="str">
        <f>CONCATENATE("A(",H8,")=")</f>
        <v>A(#NA)=</v>
      </c>
      <c r="L10" t="e">
        <f>IFERROR(AR5,IFERROR(AL12,AR15))</f>
        <v>#VALUE!</v>
      </c>
      <c r="Q10" s="80"/>
      <c r="R10" s="81"/>
      <c r="V10" s="89" t="e">
        <f>SUM(V8:V9)</f>
        <v>#N/A</v>
      </c>
      <c r="X10" s="89" t="e">
        <f>SUM(X8:X9)</f>
        <v>#N/A</v>
      </c>
      <c r="Y10" s="84" t="str">
        <f>CONCATENATE("m'(",U9,")=")</f>
        <v>m'(#NA)=</v>
      </c>
      <c r="Z10" s="84" t="e">
        <f>(2*(Z7^2)/6*X10)+(Z9*U8*WLS)</f>
        <v>#VALUE!</v>
      </c>
      <c r="AA10" s="84" t="str">
        <f>CONCATENATE("M(",U8,")=")</f>
        <v>M(#NA)=</v>
      </c>
      <c r="AB10" s="84" t="e">
        <f>IF(U8=RisePerWLS,0,VLOOKUP(U8,STN_TABLE,4,FALSE))</f>
        <v>#VALUE!</v>
      </c>
      <c r="AC10" t="str">
        <f>CONCATENATE("M(",U9,")=")</f>
        <v>M(#NA)=</v>
      </c>
      <c r="AD10" t="e">
        <f>Z10+AB10</f>
        <v>#VALUE!</v>
      </c>
      <c r="AE10" s="66" t="str">
        <f t="shared" si="6"/>
        <v>3rd_UWL</v>
      </c>
      <c r="AF10" s="67" t="str">
        <f t="shared" si="6"/>
        <v>#NA</v>
      </c>
      <c r="AG10" s="82" t="e">
        <f>IF(AG8-AG9=AG9-AF12,AF12,IF(AG8-AG9=AG9-AF13,AF13,"-"))</f>
        <v>#VALUE!</v>
      </c>
      <c r="AH10" s="83" t="e">
        <f>VLOOKUP(AG10,STN_TABLE,2,FALSE)</f>
        <v>#VALUE!</v>
      </c>
      <c r="AI10" s="83">
        <v>-1</v>
      </c>
      <c r="AJ10" s="83" t="e">
        <f>AH10*AI10</f>
        <v>#VALUE!</v>
      </c>
      <c r="AK10" s="83">
        <v>-1</v>
      </c>
      <c r="AL10" s="83" t="e">
        <f>AH10*AK10</f>
        <v>#VALUE!</v>
      </c>
      <c r="AM10" s="84" t="str">
        <f>CONCATENATE("a'(",AG9,")=")</f>
        <v>a'(#NA)=</v>
      </c>
      <c r="AN10" s="84" t="e">
        <f>2*AN8/12*AJ11</f>
        <v>#VALUE!</v>
      </c>
      <c r="AO10" s="84" t="e">
        <f>CONCATENATE("A(",AG8,")=")</f>
        <v>#VALUE!</v>
      </c>
      <c r="AP10" s="84" t="e">
        <f>VLOOKUP(AG8,STN_TABLE,3,FALSE)</f>
        <v>#VALUE!</v>
      </c>
      <c r="AQ10" t="str">
        <f>CONCATENATE("A(",AG9,")=")</f>
        <v>A(#NA)=</v>
      </c>
      <c r="AR10" t="e">
        <f>AN10+AP10</f>
        <v>#VALUE!</v>
      </c>
    </row>
    <row r="11" spans="1:46" x14ac:dyDescent="0.25">
      <c r="A11">
        <v>8</v>
      </c>
      <c r="B11" s="80">
        <f t="shared" si="2"/>
        <v>4</v>
      </c>
      <c r="C11" s="81">
        <f t="shared" si="3"/>
        <v>11</v>
      </c>
      <c r="D11" s="81">
        <f t="shared" si="4"/>
        <v>174.57333333333332</v>
      </c>
      <c r="E11" s="77">
        <f t="shared" si="5"/>
        <v>703.3266666666666</v>
      </c>
      <c r="G11" t="s">
        <v>108</v>
      </c>
      <c r="H11" t="str">
        <f>VLOOKUP(Station_No,RISE_CALC,10,FALSE)</f>
        <v>#NA</v>
      </c>
      <c r="K11" t="str">
        <f>CONCATENATE("M(",H8,")=")</f>
        <v>M(#NA)=</v>
      </c>
      <c r="L11" t="e">
        <f>IFERROR(AR6,IFERROR(AL13,AR16))</f>
        <v>#VALUE!</v>
      </c>
      <c r="Q11" s="80"/>
      <c r="R11" s="81"/>
      <c r="AE11" s="66" t="str">
        <f t="shared" si="6"/>
        <v>4th_UWL</v>
      </c>
      <c r="AF11" s="67" t="str">
        <f t="shared" si="6"/>
        <v>#NA</v>
      </c>
      <c r="AJ11" s="89" t="e">
        <f>SUM(AJ8:AJ10)</f>
        <v>#VALUE!</v>
      </c>
      <c r="AL11" s="89" t="e">
        <f>SUM(AL8:AL10)</f>
        <v>#VALUE!</v>
      </c>
      <c r="AM11" s="84" t="str">
        <f>CONCATENATE("m'(",AG9,")=")</f>
        <v>m'(#NA)=</v>
      </c>
      <c r="AN11" s="84" t="e">
        <f>(2*(AN8^2)/24*AL11)+(AN10*AG8*WLS)</f>
        <v>#VALUE!</v>
      </c>
      <c r="AO11" s="84" t="e">
        <f>CONCATENATE("M(",AG8,")=")</f>
        <v>#VALUE!</v>
      </c>
      <c r="AP11" s="84" t="e">
        <f>VLOOKUP(AG8,STN_TABLE,4,FALSE)</f>
        <v>#VALUE!</v>
      </c>
      <c r="AQ11" t="str">
        <f>CONCATENATE("M(",AG9,")=")</f>
        <v>M(#NA)=</v>
      </c>
      <c r="AR11" t="e">
        <f>AN11+AP11</f>
        <v>#VALUE!</v>
      </c>
    </row>
    <row r="12" spans="1:46" x14ac:dyDescent="0.25">
      <c r="A12">
        <v>9</v>
      </c>
      <c r="B12" s="80">
        <f t="shared" si="2"/>
        <v>4.8499999999999996</v>
      </c>
      <c r="C12" s="81">
        <f t="shared" si="3"/>
        <v>11</v>
      </c>
      <c r="D12" s="81">
        <f t="shared" si="4"/>
        <v>211.9733333333333</v>
      </c>
      <c r="E12" s="77">
        <f t="shared" si="5"/>
        <v>1034.3166666666664</v>
      </c>
      <c r="Q12" s="90" t="s">
        <v>109</v>
      </c>
      <c r="R12" s="81"/>
      <c r="AE12" s="66" t="str">
        <f t="shared" si="6"/>
        <v>5th_UWL</v>
      </c>
      <c r="AF12" s="67" t="str">
        <f t="shared" si="6"/>
        <v>#NA</v>
      </c>
      <c r="AI12" t="s">
        <v>103</v>
      </c>
      <c r="AK12" t="str">
        <f>CONCATENATE("A(",AG9,")=")</f>
        <v>A(#NA)=</v>
      </c>
      <c r="AL12" t="e">
        <f>IF(OR(AR10&lt;=0,AR11&lt;=0),AR15,AR10)</f>
        <v>#VALUE!</v>
      </c>
    </row>
    <row r="13" spans="1:46" x14ac:dyDescent="0.25">
      <c r="A13">
        <v>10</v>
      </c>
      <c r="B13" s="80">
        <f t="shared" si="2"/>
        <v>5</v>
      </c>
      <c r="C13" s="81">
        <f t="shared" si="3"/>
        <v>11</v>
      </c>
      <c r="D13" s="81">
        <f t="shared" si="4"/>
        <v>218.57333333333332</v>
      </c>
      <c r="E13" s="77">
        <f t="shared" si="5"/>
        <v>1099.3266666666666</v>
      </c>
      <c r="G13" s="71" t="s">
        <v>110</v>
      </c>
      <c r="Q13" s="66" t="str">
        <f t="shared" ref="Q13:R16" si="7">G4</f>
        <v>Rise</v>
      </c>
      <c r="R13" s="67" t="e">
        <f t="shared" si="7"/>
        <v>#VALUE!</v>
      </c>
      <c r="S13" s="68" t="e">
        <f>IF(R16-R15=R15-R14,R14,IF(R16-R14=R14-R13,R13,"-"))</f>
        <v>#VALUE!</v>
      </c>
      <c r="T13" s="69" t="e">
        <f>IFERROR(VLOOKUP(S13,STN_TABLE,2,FALSE),IF(R13=RisePerWLS,0,"-"))</f>
        <v>#VALUE!</v>
      </c>
      <c r="U13" s="69">
        <v>1</v>
      </c>
      <c r="V13" s="69" t="e">
        <f>T13*U13</f>
        <v>#VALUE!</v>
      </c>
      <c r="W13" s="69" t="e">
        <f>S13</f>
        <v>#VALUE!</v>
      </c>
      <c r="X13" s="69" t="e">
        <f>V13*W13</f>
        <v>#VALUE!</v>
      </c>
      <c r="Y13" s="6" t="s">
        <v>93</v>
      </c>
      <c r="Z13" s="70" t="e">
        <f>IF(AND(T13=0,T14=0,T15=0),WLS*(S15-S14),IF(AND(S15-S14=S14-S13,S14&lt;&gt;S15,S13&lt;&gt;S14,S13&lt;&gt;S15,T15&lt;&gt;0,OR(T13&lt;&gt;0,T14&lt;&gt;0)),WLS*(S15-S14),"#NA"))</f>
        <v>#VALUE!</v>
      </c>
      <c r="AE13" s="66" t="str">
        <f t="shared" si="6"/>
        <v>6th_UWL</v>
      </c>
      <c r="AF13" s="67" t="str">
        <f t="shared" si="6"/>
        <v>#NA</v>
      </c>
      <c r="AK13" t="str">
        <f>CONCATENATE("M(",AG9,")=")</f>
        <v>M(#NA)=</v>
      </c>
      <c r="AL13" t="e">
        <f>IF(OR(AR10&lt;=0,AR11&lt;=0),AR16,AR11)</f>
        <v>#VALUE!</v>
      </c>
      <c r="AM13" s="6" t="s">
        <v>93</v>
      </c>
      <c r="AN13" s="70" t="e">
        <f>WLS*(AI15-AI14)</f>
        <v>#VALUE!</v>
      </c>
    </row>
    <row r="14" spans="1:46" x14ac:dyDescent="0.25">
      <c r="A14">
        <v>11</v>
      </c>
      <c r="B14" s="80">
        <f t="shared" si="2"/>
        <v>6</v>
      </c>
      <c r="C14" s="81">
        <f t="shared" si="3"/>
        <v>11</v>
      </c>
      <c r="D14" s="81">
        <f t="shared" si="4"/>
        <v>262.57333333333332</v>
      </c>
      <c r="E14" s="77">
        <f t="shared" si="5"/>
        <v>1583.3266666666666</v>
      </c>
      <c r="G14" s="91" t="str">
        <f>G4</f>
        <v>Rise</v>
      </c>
      <c r="H14" s="91" t="e">
        <f>RisePerWLS</f>
        <v>#VALUE!</v>
      </c>
      <c r="I14" s="68" t="e">
        <f>H14</f>
        <v>#VALUE!</v>
      </c>
      <c r="J14" s="69">
        <v>0</v>
      </c>
      <c r="K14" s="69">
        <v>5</v>
      </c>
      <c r="L14" s="69">
        <f>J14*K14</f>
        <v>0</v>
      </c>
      <c r="M14" s="69">
        <v>3</v>
      </c>
      <c r="N14" s="69">
        <f>J14*M14</f>
        <v>0</v>
      </c>
      <c r="O14" t="s">
        <v>93</v>
      </c>
      <c r="P14" t="e">
        <f>IF(AND(NOT(AND(J14=0,J15=0)),I14&lt;&gt;I15,I15&lt;&gt;I16,I16-I15=I15-I14),(I16-I15)*WLS,"#NA")</f>
        <v>#N/A</v>
      </c>
      <c r="Q14" s="66" t="str">
        <f t="shared" si="7"/>
        <v>1st_UWL</v>
      </c>
      <c r="R14" s="67" t="str">
        <f t="shared" si="7"/>
        <v>#NA</v>
      </c>
      <c r="S14" s="76" t="e">
        <f>IF(R16-R15=R15-R14,R15,IF(R16-R14=R14-R13,R14,"-"))</f>
        <v>#VALUE!</v>
      </c>
      <c r="T14" s="77" t="e">
        <f>VLOOKUP(S14,STN_TABLE,2,FALSE)</f>
        <v>#VALUE!</v>
      </c>
      <c r="U14" s="77">
        <v>4</v>
      </c>
      <c r="V14" s="77" t="e">
        <f>T14*U14</f>
        <v>#VALUE!</v>
      </c>
      <c r="W14" s="77" t="e">
        <f>S14</f>
        <v>#VALUE!</v>
      </c>
      <c r="X14" s="77" t="e">
        <f>V14*W14</f>
        <v>#VALUE!</v>
      </c>
      <c r="Y14" s="78" t="s">
        <v>97</v>
      </c>
      <c r="Z14" s="78"/>
      <c r="AA14" s="78" t="s">
        <v>98</v>
      </c>
      <c r="AB14" s="78"/>
      <c r="AC14" s="7" t="s">
        <v>99</v>
      </c>
      <c r="AD14" s="7"/>
      <c r="AE14" s="66"/>
      <c r="AF14" s="67"/>
      <c r="AI14" s="79" t="str">
        <f>AF10</f>
        <v>#NA</v>
      </c>
      <c r="AJ14" s="68" t="e">
        <f>VLOOKUP(AI14,STN_TABLE,2,FALSE)</f>
        <v>#N/A</v>
      </c>
      <c r="AK14" s="68">
        <v>1</v>
      </c>
      <c r="AL14" s="69" t="e">
        <f>AJ14*AK14</f>
        <v>#N/A</v>
      </c>
      <c r="AM14" s="78" t="s">
        <v>97</v>
      </c>
      <c r="AN14" s="78"/>
      <c r="AO14" s="78" t="s">
        <v>98</v>
      </c>
      <c r="AP14" s="78"/>
      <c r="AQ14" s="7" t="s">
        <v>99</v>
      </c>
      <c r="AR14" s="7"/>
      <c r="AS14" s="7"/>
      <c r="AT14" s="7"/>
    </row>
    <row r="15" spans="1:46" x14ac:dyDescent="0.25">
      <c r="A15">
        <v>12</v>
      </c>
      <c r="B15" s="80">
        <f t="shared" si="2"/>
        <v>6.5</v>
      </c>
      <c r="C15" s="81">
        <f t="shared" si="3"/>
        <v>11</v>
      </c>
      <c r="D15" s="81">
        <f t="shared" si="4"/>
        <v>284.57333333333332</v>
      </c>
      <c r="E15" s="77">
        <f t="shared" si="5"/>
        <v>1858.3266666666666</v>
      </c>
      <c r="G15" s="91" t="str">
        <f>G5</f>
        <v>1st_UWL</v>
      </c>
      <c r="H15" s="91" t="str">
        <f>H5</f>
        <v>#NA</v>
      </c>
      <c r="I15" s="76" t="str">
        <f>H15</f>
        <v>#NA</v>
      </c>
      <c r="J15" s="77" t="e">
        <f>VLOOKUP(I15,STN_TABLE,2,FALSE)</f>
        <v>#N/A</v>
      </c>
      <c r="K15" s="77">
        <v>8</v>
      </c>
      <c r="L15" s="77" t="e">
        <f>J15*K15</f>
        <v>#N/A</v>
      </c>
      <c r="M15" s="77">
        <v>10</v>
      </c>
      <c r="N15" s="77" t="e">
        <f>J15*M15</f>
        <v>#N/A</v>
      </c>
      <c r="O15" t="str">
        <f>CONCATENATE("A(",I15,")=")</f>
        <v>A(#NA)=</v>
      </c>
      <c r="P15" t="e">
        <f>2*P14/12*L17</f>
        <v>#N/A</v>
      </c>
      <c r="Q15" s="66" t="str">
        <f t="shared" si="7"/>
        <v>2nd_UWL</v>
      </c>
      <c r="R15" s="67" t="str">
        <f t="shared" si="7"/>
        <v>#NA</v>
      </c>
      <c r="S15" s="82" t="str">
        <f>R16</f>
        <v>#NA</v>
      </c>
      <c r="T15" s="83" t="e">
        <f>VLOOKUP(S15,STN_TABLE,2,FALSE)</f>
        <v>#N/A</v>
      </c>
      <c r="U15" s="83">
        <v>1</v>
      </c>
      <c r="V15" s="83" t="e">
        <f>T15*U15</f>
        <v>#N/A</v>
      </c>
      <c r="W15" s="83" t="str">
        <f>S15</f>
        <v>#NA</v>
      </c>
      <c r="X15" s="83" t="e">
        <f>V15*W15</f>
        <v>#N/A</v>
      </c>
      <c r="Y15" s="84" t="str">
        <f>CONCATENATE("a'(",S15,")=")</f>
        <v>a'(#NA)=</v>
      </c>
      <c r="Z15" s="84" t="e">
        <f>2*Z13/3*V16</f>
        <v>#VALUE!</v>
      </c>
      <c r="AA15" s="84" t="e">
        <f>CONCATENATE("A(",S13,")=")</f>
        <v>#VALUE!</v>
      </c>
      <c r="AB15" s="84" t="e">
        <f>IF(S13=RisePerWLS,0,VLOOKUP(S13,STN_TABLE,3,FALSE))</f>
        <v>#VALUE!</v>
      </c>
      <c r="AC15" t="str">
        <f>CONCATENATE("A(",S15,")=")</f>
        <v>A(#NA)=</v>
      </c>
      <c r="AD15" t="e">
        <f>Z15+AB15</f>
        <v>#VALUE!</v>
      </c>
      <c r="AE15" s="80"/>
      <c r="AI15" s="88" t="str">
        <f>AF11</f>
        <v>#NA</v>
      </c>
      <c r="AJ15" s="82" t="e">
        <f>VLOOKUP(AI15,STN_TABLE,2,FALSE)</f>
        <v>#N/A</v>
      </c>
      <c r="AK15" s="82">
        <v>2</v>
      </c>
      <c r="AL15" s="83" t="e">
        <f>AJ15*AK15</f>
        <v>#N/A</v>
      </c>
      <c r="AM15" s="84" t="str">
        <f>CONCATENATE("a'(",AI15,")=")</f>
        <v>a'(#NA)=</v>
      </c>
      <c r="AN15" s="84" t="e">
        <f>2*AN13/2*AJ16</f>
        <v>#VALUE!</v>
      </c>
      <c r="AO15" s="84" t="str">
        <f>CONCATENATE("A(",AI14,")=")</f>
        <v>A(#NA)=</v>
      </c>
      <c r="AP15" s="84" t="e">
        <f>IF(AI14=RisePerWLS,0,VLOOKUP(AI14,STN_TABLE,3,FALSE))</f>
        <v>#VALUE!</v>
      </c>
      <c r="AQ15" t="str">
        <f>CONCATENATE("A(",AI15,")=")</f>
        <v>A(#NA)=</v>
      </c>
      <c r="AR15" t="e">
        <f>AN15+AP15</f>
        <v>#VALUE!</v>
      </c>
    </row>
    <row r="16" spans="1:46" x14ac:dyDescent="0.25">
      <c r="A16">
        <v>13</v>
      </c>
      <c r="B16" s="80" t="str">
        <f t="shared" si="2"/>
        <v xml:space="preserve">  </v>
      </c>
      <c r="C16" s="81" t="str">
        <f t="shared" si="3"/>
        <v xml:space="preserve">  </v>
      </c>
      <c r="D16" s="81" t="str">
        <f t="shared" si="4"/>
        <v xml:space="preserve"> </v>
      </c>
      <c r="E16" s="77" t="str">
        <f t="shared" si="5"/>
        <v xml:space="preserve"> </v>
      </c>
      <c r="G16" s="91" t="str">
        <f>G6</f>
        <v>2nd_UWL</v>
      </c>
      <c r="H16" s="91" t="str">
        <f>H6</f>
        <v>#NA</v>
      </c>
      <c r="I16" s="82" t="e">
        <f>IF(H16-H15=H15-H14,H16,"#NA")</f>
        <v>#VALUE!</v>
      </c>
      <c r="J16" s="83" t="e">
        <f>VLOOKUP(I16,STN_TABLE,2,FALSE)</f>
        <v>#VALUE!</v>
      </c>
      <c r="K16" s="83">
        <v>-1</v>
      </c>
      <c r="L16" s="83" t="e">
        <f>J16*K16</f>
        <v>#VALUE!</v>
      </c>
      <c r="M16" s="83">
        <v>-1</v>
      </c>
      <c r="N16" s="83" t="e">
        <f>J16*M16</f>
        <v>#VALUE!</v>
      </c>
      <c r="O16" t="str">
        <f>CONCATENATE("M(",I15,")=")</f>
        <v>M(#NA)=</v>
      </c>
      <c r="P16" t="e">
        <f>(2*(P14^2)/24*N17)+P15*I14*WLS</f>
        <v>#N/A</v>
      </c>
      <c r="Q16" s="66" t="str">
        <f t="shared" si="7"/>
        <v>3rd_UWL</v>
      </c>
      <c r="R16" s="67" t="str">
        <f t="shared" si="7"/>
        <v>#NA</v>
      </c>
      <c r="V16" s="89" t="e">
        <f>SUM(V13:V15)</f>
        <v>#VALUE!</v>
      </c>
      <c r="X16" s="89" t="e">
        <f>SUM(X13:X15)</f>
        <v>#VALUE!</v>
      </c>
      <c r="Y16" s="84" t="str">
        <f>CONCATENATE("m'(",S15,")=")</f>
        <v>m'(#NA)=</v>
      </c>
      <c r="Z16" s="84" t="e">
        <f>2*(Z13*WLS)/3*X16</f>
        <v>#VALUE!</v>
      </c>
      <c r="AA16" s="84" t="e">
        <f>CONCATENATE("M(",S13,")=")</f>
        <v>#VALUE!</v>
      </c>
      <c r="AB16" s="84" t="e">
        <f>IF(S13=RisePerWLS,0,VLOOKUP(S13,STN_TABLE,4,FALSE))</f>
        <v>#VALUE!</v>
      </c>
      <c r="AC16" t="str">
        <f>CONCATENATE("M(",S15,")=")</f>
        <v>M(#NA)=</v>
      </c>
      <c r="AD16" t="e">
        <f>Z16+AB16</f>
        <v>#VALUE!</v>
      </c>
      <c r="AE16" s="80"/>
      <c r="AJ16" s="89" t="e">
        <f>SUM(AJ14:AJ15)</f>
        <v>#N/A</v>
      </c>
      <c r="AL16" s="89" t="e">
        <f>SUM(AL14:AL15)</f>
        <v>#N/A</v>
      </c>
      <c r="AM16" s="84" t="str">
        <f>CONCATENATE("m'(",AI15,")=")</f>
        <v>m'(#NA)=</v>
      </c>
      <c r="AN16" s="84" t="e">
        <f>(2*(AN13^2)/6*AL16)+(AN15*AI14*WLS)</f>
        <v>#VALUE!</v>
      </c>
      <c r="AO16" s="84" t="str">
        <f>CONCATENATE("M(",AI14,")=")</f>
        <v>M(#NA)=</v>
      </c>
      <c r="AP16" s="84" t="e">
        <f>IF(AI14=RisePerWLS,0,VLOOKUP(AI14,STN_TABLE,4,FALSE))</f>
        <v>#VALUE!</v>
      </c>
      <c r="AQ16" t="str">
        <f>CONCATENATE("M(",AI15,")=")</f>
        <v>M(#NA)=</v>
      </c>
      <c r="AR16" t="e">
        <f>AN16+AP16</f>
        <v>#VALUE!</v>
      </c>
    </row>
    <row r="17" spans="1:35" x14ac:dyDescent="0.25">
      <c r="A17">
        <v>14</v>
      </c>
      <c r="B17" s="80" t="str">
        <f t="shared" si="2"/>
        <v xml:space="preserve">  </v>
      </c>
      <c r="C17" s="81" t="str">
        <f t="shared" si="3"/>
        <v xml:space="preserve">  </v>
      </c>
      <c r="D17" s="81" t="str">
        <f t="shared" si="4"/>
        <v xml:space="preserve"> </v>
      </c>
      <c r="E17" s="77" t="str">
        <f t="shared" si="5"/>
        <v xml:space="preserve"> </v>
      </c>
      <c r="G17" s="91"/>
      <c r="H17" s="91"/>
      <c r="L17" s="89" t="e">
        <f>SUM(L14:L16)</f>
        <v>#N/A</v>
      </c>
      <c r="N17" s="89" t="e">
        <f>SUM(N14:N16)</f>
        <v>#N/A</v>
      </c>
      <c r="Q17" s="66"/>
      <c r="R17" s="67"/>
      <c r="AE17" s="90"/>
    </row>
    <row r="18" spans="1:35" x14ac:dyDescent="0.25">
      <c r="A18">
        <v>15</v>
      </c>
      <c r="B18" s="80" t="str">
        <f t="shared" si="2"/>
        <v xml:space="preserve">  </v>
      </c>
      <c r="C18" s="81" t="str">
        <f t="shared" si="3"/>
        <v xml:space="preserve">  </v>
      </c>
      <c r="D18" s="81" t="str">
        <f t="shared" si="4"/>
        <v xml:space="preserve"> </v>
      </c>
      <c r="E18" s="77" t="str">
        <f t="shared" si="5"/>
        <v xml:space="preserve"> </v>
      </c>
      <c r="G18" s="91"/>
      <c r="H18" s="91"/>
      <c r="K18" t="s">
        <v>103</v>
      </c>
      <c r="M18" t="str">
        <f>CONCATENATE("A(",I15,")=")</f>
        <v>A(#NA)=</v>
      </c>
      <c r="N18" t="e">
        <f>IF(OR(P15&lt;=0,P16&lt;=0),N22,P15)</f>
        <v>#N/A</v>
      </c>
      <c r="Q18" s="66"/>
      <c r="R18" s="67"/>
      <c r="AE18" s="80"/>
    </row>
    <row r="19" spans="1:35" x14ac:dyDescent="0.25">
      <c r="A19">
        <v>16</v>
      </c>
      <c r="B19" s="80" t="str">
        <f t="shared" si="2"/>
        <v xml:space="preserve">  </v>
      </c>
      <c r="C19" s="81" t="str">
        <f t="shared" si="3"/>
        <v xml:space="preserve">  </v>
      </c>
      <c r="D19" s="81" t="str">
        <f t="shared" si="4"/>
        <v xml:space="preserve"> </v>
      </c>
      <c r="E19" s="77" t="str">
        <f t="shared" si="5"/>
        <v xml:space="preserve"> </v>
      </c>
      <c r="G19" s="91"/>
      <c r="H19" s="91"/>
      <c r="M19" t="str">
        <f>CONCATENATE("M(",I15,")=")</f>
        <v>M(#NA)=</v>
      </c>
      <c r="N19" t="e">
        <f>IF(OR(P15&lt;=0,P16&lt;=0),N23,P16)</f>
        <v>#N/A</v>
      </c>
      <c r="Q19" s="66"/>
      <c r="R19" s="67"/>
      <c r="AE19" s="80"/>
    </row>
    <row r="20" spans="1:35" x14ac:dyDescent="0.25">
      <c r="A20">
        <v>17</v>
      </c>
      <c r="B20" s="80" t="str">
        <f t="shared" si="2"/>
        <v xml:space="preserve">  </v>
      </c>
      <c r="C20" s="81" t="str">
        <f t="shared" si="3"/>
        <v xml:space="preserve">  </v>
      </c>
      <c r="D20" s="81" t="str">
        <f t="shared" si="4"/>
        <v xml:space="preserve"> </v>
      </c>
      <c r="E20" s="77" t="str">
        <f t="shared" si="5"/>
        <v xml:space="preserve"> </v>
      </c>
      <c r="G20" s="91"/>
      <c r="H20" s="91"/>
      <c r="Q20" s="66"/>
      <c r="R20" s="67"/>
      <c r="S20" s="68" t="e">
        <f>IF(OR(R24-R23=R23-R22,R25-R23=R23-R22),R22,IF(OR(R24-R23=R23-R21,R25-R23=R23-R21),R21,"-"))</f>
        <v>#VALUE!</v>
      </c>
      <c r="T20" s="69" t="e">
        <f>IFERROR(VLOOKUP(S20,STN_TABLE,2,FALSE),IF(R20=RisePerWLS,0,"-"))</f>
        <v>#VALUE!</v>
      </c>
      <c r="U20" s="69">
        <v>5</v>
      </c>
      <c r="V20" s="69" t="e">
        <f>T20*U20</f>
        <v>#VALUE!</v>
      </c>
      <c r="W20" s="69">
        <v>3</v>
      </c>
      <c r="X20" s="69" t="e">
        <f>T20*W20</f>
        <v>#VALUE!</v>
      </c>
      <c r="Y20" s="6" t="s">
        <v>93</v>
      </c>
      <c r="Z20" s="70" t="e">
        <f>IF(AND(S22-S21=S21-S20,NOT(AND(S20=0,S21=0)),NOT(AND(S21=0,S22=0))),WLS*(S22-S21),"#NA")</f>
        <v>#VALUE!</v>
      </c>
      <c r="AE20" s="80"/>
    </row>
    <row r="21" spans="1:35" x14ac:dyDescent="0.25">
      <c r="A21">
        <v>18</v>
      </c>
      <c r="B21" s="80" t="str">
        <f t="shared" si="2"/>
        <v xml:space="preserve">  </v>
      </c>
      <c r="C21" s="81" t="str">
        <f t="shared" si="3"/>
        <v xml:space="preserve">  </v>
      </c>
      <c r="D21" s="81" t="str">
        <f t="shared" si="4"/>
        <v xml:space="preserve"> </v>
      </c>
      <c r="E21" s="77" t="str">
        <f t="shared" si="5"/>
        <v xml:space="preserve"> </v>
      </c>
      <c r="G21" s="91"/>
      <c r="H21" s="91" t="str">
        <f>G14</f>
        <v>Rise</v>
      </c>
      <c r="I21" s="79" t="e">
        <f>H14</f>
        <v>#VALUE!</v>
      </c>
      <c r="J21" s="68">
        <v>0</v>
      </c>
      <c r="K21" s="68">
        <v>1</v>
      </c>
      <c r="L21" s="69">
        <f>J21*K21</f>
        <v>0</v>
      </c>
      <c r="M21" t="s">
        <v>93</v>
      </c>
      <c r="N21" t="e">
        <f>(I22-I21)*WLS</f>
        <v>#VALUE!</v>
      </c>
      <c r="Q21" s="66" t="str">
        <f t="shared" ref="Q21:R25" si="8">G5</f>
        <v>1st_UWL</v>
      </c>
      <c r="R21" s="67" t="str">
        <f t="shared" si="8"/>
        <v>#NA</v>
      </c>
      <c r="S21" s="76" t="str">
        <f>R23</f>
        <v>#NA</v>
      </c>
      <c r="T21" s="77" t="e">
        <f>VLOOKUP(S21,STN_TABLE,2,FALSE)</f>
        <v>#N/A</v>
      </c>
      <c r="U21" s="77">
        <v>8</v>
      </c>
      <c r="V21" s="77" t="e">
        <f>T21*U21</f>
        <v>#N/A</v>
      </c>
      <c r="W21" s="77">
        <v>10</v>
      </c>
      <c r="X21" s="77" t="e">
        <f>T21*W21</f>
        <v>#N/A</v>
      </c>
      <c r="Y21" s="78" t="s">
        <v>97</v>
      </c>
      <c r="Z21" s="78"/>
      <c r="AA21" s="78" t="s">
        <v>98</v>
      </c>
      <c r="AB21" s="78"/>
      <c r="AC21" s="7" t="s">
        <v>99</v>
      </c>
      <c r="AD21" s="7"/>
      <c r="AE21" s="80"/>
    </row>
    <row r="22" spans="1:35" x14ac:dyDescent="0.25">
      <c r="A22">
        <v>19</v>
      </c>
      <c r="B22" s="80" t="str">
        <f t="shared" si="2"/>
        <v xml:space="preserve">  </v>
      </c>
      <c r="C22" s="81" t="str">
        <f t="shared" si="3"/>
        <v xml:space="preserve">  </v>
      </c>
      <c r="D22" s="81" t="str">
        <f t="shared" si="4"/>
        <v xml:space="preserve"> </v>
      </c>
      <c r="E22" s="77" t="str">
        <f t="shared" si="5"/>
        <v xml:space="preserve"> </v>
      </c>
      <c r="G22" s="91"/>
      <c r="H22" s="91" t="str">
        <f>G15</f>
        <v>1st_UWL</v>
      </c>
      <c r="I22" s="88" t="str">
        <f>H15</f>
        <v>#NA</v>
      </c>
      <c r="J22" s="82" t="e">
        <f>VLOOKUP(I22,STN_TABLE,2,FALSE)</f>
        <v>#N/A</v>
      </c>
      <c r="K22" s="82">
        <v>2</v>
      </c>
      <c r="L22" s="83" t="e">
        <f>J22*K22</f>
        <v>#N/A</v>
      </c>
      <c r="M22" t="str">
        <f>CONCATENATE("A(",I22,")=")</f>
        <v>A(#NA)=</v>
      </c>
      <c r="N22" t="e">
        <f>2*N21/2*J23</f>
        <v>#VALUE!</v>
      </c>
      <c r="Q22" s="66" t="str">
        <f t="shared" si="8"/>
        <v>2nd_UWL</v>
      </c>
      <c r="R22" s="67" t="str">
        <f t="shared" si="8"/>
        <v>#NA</v>
      </c>
      <c r="S22" s="82" t="e">
        <f>IF(S20-S21=S21-R24,R24,IF(S20-S21=S21-R25,R25,"-"))</f>
        <v>#VALUE!</v>
      </c>
      <c r="T22" s="83" t="e">
        <f>VLOOKUP(S22,STN_TABLE,2,FALSE)</f>
        <v>#VALUE!</v>
      </c>
      <c r="U22" s="83">
        <v>-1</v>
      </c>
      <c r="V22" s="83" t="e">
        <f>T22*U22</f>
        <v>#VALUE!</v>
      </c>
      <c r="W22" s="83">
        <v>-1</v>
      </c>
      <c r="X22" s="83" t="e">
        <f>T22*W22</f>
        <v>#VALUE!</v>
      </c>
      <c r="Y22" s="84" t="str">
        <f>CONCATENATE("a'(",S21,")=")</f>
        <v>a'(#NA)=</v>
      </c>
      <c r="Z22" s="84" t="e">
        <f>2*Z20/12*V23</f>
        <v>#VALUE!</v>
      </c>
      <c r="AA22" s="84" t="e">
        <f>CONCATENATE("A(",S20,")=")</f>
        <v>#VALUE!</v>
      </c>
      <c r="AB22" s="84" t="e">
        <f>IF(S20=RisePerWLS,0,VLOOKUP(S20,STN_TABLE,3,FALSE))</f>
        <v>#VALUE!</v>
      </c>
      <c r="AC22" t="str">
        <f>CONCATENATE("A(",S21,")=")</f>
        <v>A(#NA)=</v>
      </c>
      <c r="AD22" t="e">
        <f>Z22+AB22</f>
        <v>#VALUE!</v>
      </c>
      <c r="AE22" s="80"/>
    </row>
    <row r="23" spans="1:35" x14ac:dyDescent="0.25">
      <c r="A23">
        <v>20</v>
      </c>
      <c r="B23" s="80" t="str">
        <f t="shared" si="2"/>
        <v xml:space="preserve">  </v>
      </c>
      <c r="C23" s="81" t="str">
        <f t="shared" si="3"/>
        <v xml:space="preserve">  </v>
      </c>
      <c r="D23" s="81" t="str">
        <f t="shared" si="4"/>
        <v xml:space="preserve"> </v>
      </c>
      <c r="E23" s="77" t="str">
        <f t="shared" si="5"/>
        <v xml:space="preserve"> </v>
      </c>
      <c r="J23" s="89" t="e">
        <f>SUM(J21:J22)</f>
        <v>#N/A</v>
      </c>
      <c r="L23" s="89" t="e">
        <f>SUM(L21:L22)</f>
        <v>#N/A</v>
      </c>
      <c r="M23" t="str">
        <f>CONCATENATE("M(",I22,")=")</f>
        <v>M(#NA)=</v>
      </c>
      <c r="N23" t="e">
        <f>(2*(N21^2)/6*L23)+N22*I21*WLS</f>
        <v>#VALUE!</v>
      </c>
      <c r="Q23" s="66" t="str">
        <f t="shared" si="8"/>
        <v>3rd_UWL</v>
      </c>
      <c r="R23" s="67" t="str">
        <f t="shared" si="8"/>
        <v>#NA</v>
      </c>
      <c r="V23" s="89" t="e">
        <f>SUM(V20:V22)</f>
        <v>#VALUE!</v>
      </c>
      <c r="X23" s="89" t="e">
        <f>SUM(X20:X22)</f>
        <v>#VALUE!</v>
      </c>
      <c r="Y23" s="84" t="str">
        <f>CONCATENATE("m'(",S21,")=")</f>
        <v>m'(#NA)=</v>
      </c>
      <c r="Z23" s="84" t="e">
        <f>(2*(Z20^2)/24*X23)+(Z22*S20*WLS)</f>
        <v>#VALUE!</v>
      </c>
      <c r="AA23" s="84" t="e">
        <f>CONCATENATE("M(",S20,")=")</f>
        <v>#VALUE!</v>
      </c>
      <c r="AB23" s="84" t="e">
        <f>IF(S20=RisePerWLS,0,VLOOKUP(S20,STN_TABLE,4,FALSE))</f>
        <v>#VALUE!</v>
      </c>
      <c r="AC23" t="str">
        <f>CONCATENATE("M(",S21,")=")</f>
        <v>M(#NA)=</v>
      </c>
      <c r="AD23" t="e">
        <f>Z23+AB23</f>
        <v>#VALUE!</v>
      </c>
      <c r="AE23" s="80"/>
    </row>
    <row r="24" spans="1:35" x14ac:dyDescent="0.25">
      <c r="A24">
        <v>21</v>
      </c>
      <c r="B24" s="80" t="str">
        <f t="shared" si="2"/>
        <v xml:space="preserve">  </v>
      </c>
      <c r="C24" s="81" t="str">
        <f t="shared" si="3"/>
        <v xml:space="preserve">  </v>
      </c>
      <c r="D24" s="81" t="str">
        <f t="shared" si="4"/>
        <v xml:space="preserve"> </v>
      </c>
      <c r="E24" s="77" t="str">
        <f t="shared" si="5"/>
        <v xml:space="preserve"> </v>
      </c>
      <c r="Q24" s="66" t="str">
        <f t="shared" si="8"/>
        <v>4th_UWL</v>
      </c>
      <c r="R24" s="67" t="str">
        <f t="shared" si="8"/>
        <v>#NA</v>
      </c>
      <c r="U24" t="s">
        <v>103</v>
      </c>
      <c r="W24" t="str">
        <f>CONCATENATE("A(",S21,")=")</f>
        <v>A(#NA)=</v>
      </c>
      <c r="X24" t="e">
        <f>IF(OR(AD22&lt;=0,AD23&lt;=0),AD27,AD22)</f>
        <v>#VALUE!</v>
      </c>
      <c r="AE24" s="80"/>
    </row>
    <row r="25" spans="1:35" x14ac:dyDescent="0.25">
      <c r="A25">
        <v>22</v>
      </c>
      <c r="B25" s="80" t="str">
        <f t="shared" si="2"/>
        <v xml:space="preserve">  </v>
      </c>
      <c r="C25" s="81" t="str">
        <f t="shared" si="3"/>
        <v xml:space="preserve">  </v>
      </c>
      <c r="D25" s="81" t="str">
        <f t="shared" si="4"/>
        <v xml:space="preserve"> </v>
      </c>
      <c r="E25" s="77" t="str">
        <f t="shared" si="5"/>
        <v xml:space="preserve"> </v>
      </c>
      <c r="G25" s="71" t="s">
        <v>111</v>
      </c>
      <c r="Q25" s="66" t="str">
        <f t="shared" si="8"/>
        <v>5th_UWL</v>
      </c>
      <c r="R25" s="67" t="str">
        <f t="shared" si="8"/>
        <v>#NA</v>
      </c>
      <c r="W25" t="str">
        <f>CONCATENATE("M(",S21,")=")</f>
        <v>M(#NA)=</v>
      </c>
      <c r="X25" t="e">
        <f>IF(OR(AD22&lt;=0,AD23&lt;=0),AD28,AD23)</f>
        <v>#VALUE!</v>
      </c>
      <c r="Y25" s="6" t="s">
        <v>93</v>
      </c>
      <c r="Z25" s="70" t="e">
        <f>WLS*(U27-U26)</f>
        <v>#VALUE!</v>
      </c>
      <c r="AE25" s="80"/>
    </row>
    <row r="26" spans="1:35" x14ac:dyDescent="0.25">
      <c r="A26">
        <v>23</v>
      </c>
      <c r="B26" s="80" t="str">
        <f t="shared" si="2"/>
        <v xml:space="preserve">  </v>
      </c>
      <c r="C26" s="81" t="str">
        <f t="shared" si="3"/>
        <v xml:space="preserve">  </v>
      </c>
      <c r="D26" s="81" t="str">
        <f t="shared" si="4"/>
        <v xml:space="preserve"> </v>
      </c>
      <c r="E26" s="77" t="str">
        <f t="shared" si="5"/>
        <v xml:space="preserve"> </v>
      </c>
      <c r="G26" s="91" t="str">
        <f t="shared" ref="G26:H28" si="9">G4</f>
        <v>Rise</v>
      </c>
      <c r="H26" s="91" t="e">
        <f t="shared" si="9"/>
        <v>#VALUE!</v>
      </c>
      <c r="I26" s="68" t="e">
        <f>H26</f>
        <v>#VALUE!</v>
      </c>
      <c r="J26" s="69">
        <v>0</v>
      </c>
      <c r="K26" s="69">
        <v>1</v>
      </c>
      <c r="L26" s="69">
        <f>J26*K26</f>
        <v>0</v>
      </c>
      <c r="M26" s="69" t="e">
        <f>I26</f>
        <v>#VALUE!</v>
      </c>
      <c r="N26" s="69" t="e">
        <f>L26*M26</f>
        <v>#VALUE!</v>
      </c>
      <c r="O26" t="s">
        <v>93</v>
      </c>
      <c r="P26" t="e">
        <f>IF(OR(J26=0,J27=0,J28=0),"#NA",IF(I28-I27=I27-I26,WLS*(I27-I26),"#NA"))</f>
        <v>#VALUE!</v>
      </c>
      <c r="Q26" s="66"/>
      <c r="R26" s="67"/>
      <c r="U26" s="79" t="str">
        <f>R22</f>
        <v>#NA</v>
      </c>
      <c r="V26" s="68" t="e">
        <f>VLOOKUP(U26,STN_TABLE,2,FALSE)</f>
        <v>#N/A</v>
      </c>
      <c r="W26" s="68">
        <v>1</v>
      </c>
      <c r="X26" s="69" t="e">
        <f>V26*W26</f>
        <v>#N/A</v>
      </c>
      <c r="Y26" s="78" t="s">
        <v>97</v>
      </c>
      <c r="Z26" s="78"/>
      <c r="AA26" s="78" t="s">
        <v>98</v>
      </c>
      <c r="AB26" s="78"/>
      <c r="AC26" s="7" t="s">
        <v>99</v>
      </c>
      <c r="AD26" s="7"/>
      <c r="AE26" s="80"/>
    </row>
    <row r="27" spans="1:35" x14ac:dyDescent="0.25">
      <c r="A27">
        <v>24</v>
      </c>
      <c r="B27" s="80" t="str">
        <f t="shared" si="2"/>
        <v xml:space="preserve">  </v>
      </c>
      <c r="C27" s="81" t="str">
        <f t="shared" si="3"/>
        <v xml:space="preserve">  </v>
      </c>
      <c r="D27" s="81" t="str">
        <f t="shared" si="4"/>
        <v xml:space="preserve"> </v>
      </c>
      <c r="E27" s="77" t="str">
        <f t="shared" si="5"/>
        <v xml:space="preserve"> </v>
      </c>
      <c r="G27" s="91" t="str">
        <f t="shared" si="9"/>
        <v>1st_UWL</v>
      </c>
      <c r="H27" s="91" t="str">
        <f t="shared" si="9"/>
        <v>#NA</v>
      </c>
      <c r="I27" s="76" t="e">
        <f>IF(H28-H27=H27-H26,H28,"#NA")</f>
        <v>#VALUE!</v>
      </c>
      <c r="J27" s="77" t="e">
        <f>VLOOKUP(I27,STN_TABLE,2,FALSE)</f>
        <v>#VALUE!</v>
      </c>
      <c r="K27" s="77">
        <v>4</v>
      </c>
      <c r="L27" s="77" t="e">
        <f>J27*K27</f>
        <v>#VALUE!</v>
      </c>
      <c r="M27" s="77" t="e">
        <f>I27</f>
        <v>#VALUE!</v>
      </c>
      <c r="N27" s="77" t="e">
        <f>L27*M27</f>
        <v>#VALUE!</v>
      </c>
      <c r="O27" t="e">
        <f>CONCATENATE("A(",I28,")=")</f>
        <v>#VALUE!</v>
      </c>
      <c r="P27" t="e">
        <f>2*P26/3*L29</f>
        <v>#VALUE!</v>
      </c>
      <c r="Q27" s="80"/>
      <c r="R27" s="81"/>
      <c r="U27" s="88" t="str">
        <f>R23</f>
        <v>#NA</v>
      </c>
      <c r="V27" s="82" t="e">
        <f>VLOOKUP(U27,STN_TABLE,2,FALSE)</f>
        <v>#N/A</v>
      </c>
      <c r="W27" s="82">
        <v>2</v>
      </c>
      <c r="X27" s="83" t="e">
        <f>V27*W27</f>
        <v>#N/A</v>
      </c>
      <c r="Y27" s="84" t="str">
        <f>CONCATENATE("a'(",U27,")=")</f>
        <v>a'(#NA)=</v>
      </c>
      <c r="Z27" s="84" t="e">
        <f>2*Z25/2*V28</f>
        <v>#VALUE!</v>
      </c>
      <c r="AA27" s="84" t="str">
        <f>CONCATENATE("A(",U26,")=")</f>
        <v>A(#NA)=</v>
      </c>
      <c r="AB27" s="84" t="e">
        <f>IF(U26=RisePerWLS,0,VLOOKUP(U26,STN_TABLE,3,FALSE))</f>
        <v>#VALUE!</v>
      </c>
      <c r="AC27" t="str">
        <f>CONCATENATE("A(",U27,")=")</f>
        <v>A(#NA)=</v>
      </c>
      <c r="AD27" t="e">
        <f>Z27+AB27</f>
        <v>#VALUE!</v>
      </c>
      <c r="AE27" s="80"/>
    </row>
    <row r="28" spans="1:35" x14ac:dyDescent="0.25">
      <c r="A28">
        <v>25</v>
      </c>
      <c r="B28" s="88" t="str">
        <f t="shared" si="2"/>
        <v xml:space="preserve">  </v>
      </c>
      <c r="C28" s="92" t="str">
        <f t="shared" si="3"/>
        <v xml:space="preserve">  </v>
      </c>
      <c r="D28" s="81" t="str">
        <f t="shared" si="4"/>
        <v xml:space="preserve"> </v>
      </c>
      <c r="E28" s="77" t="str">
        <f t="shared" si="5"/>
        <v xml:space="preserve"> </v>
      </c>
      <c r="G28" s="91" t="str">
        <f t="shared" si="9"/>
        <v>2nd_UWL</v>
      </c>
      <c r="H28" s="91" t="str">
        <f t="shared" si="9"/>
        <v>#NA</v>
      </c>
      <c r="I28" s="82" t="e">
        <f>IF(H28-H27=H27-H26,H28,"#NA")</f>
        <v>#VALUE!</v>
      </c>
      <c r="J28" s="83" t="e">
        <f>VLOOKUP(I28,STN_TABLE,2,FALSE)</f>
        <v>#VALUE!</v>
      </c>
      <c r="K28" s="83">
        <v>1</v>
      </c>
      <c r="L28" s="83" t="e">
        <f>J28*K28</f>
        <v>#VALUE!</v>
      </c>
      <c r="M28" s="83" t="e">
        <f>I28</f>
        <v>#VALUE!</v>
      </c>
      <c r="N28" s="83" t="e">
        <f>L28*M28</f>
        <v>#VALUE!</v>
      </c>
      <c r="O28" t="e">
        <f>CONCATENATE("M(",I28,")=")</f>
        <v>#VALUE!</v>
      </c>
      <c r="P28" t="e">
        <f>2*(P26*WLS)/3*N29</f>
        <v>#VALUE!</v>
      </c>
      <c r="Q28" s="80"/>
      <c r="R28" s="81"/>
      <c r="V28" s="89" t="e">
        <f>SUM(V26:V27)</f>
        <v>#N/A</v>
      </c>
      <c r="X28" s="89" t="e">
        <f>SUM(X26:X27)</f>
        <v>#N/A</v>
      </c>
      <c r="Y28" s="84" t="str">
        <f>CONCATENATE("m'(",U27,")=")</f>
        <v>m'(#NA)=</v>
      </c>
      <c r="Z28" s="84" t="e">
        <f>(2*(Z25^2)/6*X28)+(Z27*U26*WLS)</f>
        <v>#VALUE!</v>
      </c>
      <c r="AA28" s="84" t="str">
        <f>CONCATENATE("M(",U26,")=")</f>
        <v>M(#NA)=</v>
      </c>
      <c r="AB28" s="84" t="e">
        <f>IF(U26=RisePerWLS,0,VLOOKUP(U26,STN_TABLE,4,FALSE))</f>
        <v>#VALUE!</v>
      </c>
      <c r="AC28" t="str">
        <f>CONCATENATE("M(",U27,")=")</f>
        <v>M(#NA)=</v>
      </c>
      <c r="AD28" t="e">
        <f>Z28+AB28</f>
        <v>#VALUE!</v>
      </c>
      <c r="AE28" s="80"/>
    </row>
    <row r="29" spans="1:35" x14ac:dyDescent="0.25">
      <c r="G29" s="91"/>
      <c r="H29" s="91"/>
      <c r="L29" s="89" t="e">
        <f>SUM(L26:L28)</f>
        <v>#VALUE!</v>
      </c>
      <c r="N29" s="89" t="e">
        <f>SUM(N26:N28)</f>
        <v>#VALUE!</v>
      </c>
      <c r="Q29" s="80"/>
      <c r="R29" s="81"/>
      <c r="AE29" s="80"/>
    </row>
    <row r="30" spans="1:35" x14ac:dyDescent="0.25">
      <c r="G30" s="91"/>
      <c r="H30" s="91"/>
    </row>
    <row r="31" spans="1:35" x14ac:dyDescent="0.25">
      <c r="G31" s="91"/>
      <c r="H31" s="91"/>
    </row>
    <row r="32" spans="1:35" x14ac:dyDescent="0.25">
      <c r="G32" s="91"/>
      <c r="H32" s="91"/>
      <c r="Q32" s="68">
        <f>B4</f>
        <v>0</v>
      </c>
      <c r="R32" s="69">
        <f>VLOOKUP(Q32,STN_TABLE,2,FALSE)</f>
        <v>9.6999999999999993</v>
      </c>
      <c r="S32" s="69">
        <v>5</v>
      </c>
      <c r="T32" s="68">
        <f>R32*S32</f>
        <v>48.5</v>
      </c>
      <c r="U32" s="79">
        <v>3</v>
      </c>
      <c r="V32" s="68">
        <f>R32*U32</f>
        <v>29.099999999999998</v>
      </c>
      <c r="W32" t="s">
        <v>93</v>
      </c>
      <c r="X32" s="70">
        <f>IF(AND(Q34-Q33=Q33-Q32,NOT(AND(Q32=0,Q33=0)),NOT(AND(Q33=0,Q34=0))),WLS*(Q34-Q33),"#NA")</f>
        <v>0.5</v>
      </c>
      <c r="AD32" s="93"/>
      <c r="AH32" s="6" t="s">
        <v>93</v>
      </c>
      <c r="AI32" s="70">
        <f>WLS*(AD34-AD33)</f>
        <v>0.5</v>
      </c>
    </row>
    <row r="33" spans="1:47" x14ac:dyDescent="0.25">
      <c r="Q33" s="76">
        <f>B5</f>
        <v>0.25</v>
      </c>
      <c r="R33" s="77">
        <f>VLOOKUP(Q33,STN_TABLE,2,FALSE)</f>
        <v>10.45</v>
      </c>
      <c r="S33" s="77">
        <v>8</v>
      </c>
      <c r="T33" s="76">
        <f>R33*S33</f>
        <v>83.6</v>
      </c>
      <c r="U33" s="80">
        <v>10</v>
      </c>
      <c r="V33" s="76">
        <f>R33*U33</f>
        <v>104.5</v>
      </c>
      <c r="W33" s="495" t="s">
        <v>97</v>
      </c>
      <c r="X33" s="496"/>
      <c r="Y33" s="496" t="s">
        <v>98</v>
      </c>
      <c r="Z33" s="496"/>
      <c r="AA33" s="494" t="s">
        <v>99</v>
      </c>
      <c r="AB33" s="494"/>
      <c r="AC33" s="94">
        <v>1</v>
      </c>
      <c r="AD33" s="95">
        <f>VLOOKUP(AC33,STN_TABLE_2,2,FALSE)</f>
        <v>0</v>
      </c>
      <c r="AE33" s="68">
        <f>VLOOKUP(AD33,STN_TABLE,2,FALSE)</f>
        <v>9.6999999999999993</v>
      </c>
      <c r="AF33" s="68">
        <v>1</v>
      </c>
      <c r="AG33" s="69">
        <f>AE33*AF33</f>
        <v>9.6999999999999993</v>
      </c>
      <c r="AH33" s="496" t="s">
        <v>97</v>
      </c>
      <c r="AI33" s="496"/>
      <c r="AJ33" s="496" t="s">
        <v>98</v>
      </c>
      <c r="AK33" s="496"/>
      <c r="AL33" s="494" t="s">
        <v>99</v>
      </c>
      <c r="AM33" s="494"/>
      <c r="AP33" s="96" t="s">
        <v>112</v>
      </c>
      <c r="AQ33" s="89" t="s">
        <v>113</v>
      </c>
      <c r="AR33" s="89" t="s">
        <v>114</v>
      </c>
      <c r="AS33" s="89" t="s">
        <v>115</v>
      </c>
      <c r="AT33" s="97" t="s">
        <v>116</v>
      </c>
      <c r="AU33" s="98"/>
    </row>
    <row r="34" spans="1:47" x14ac:dyDescent="0.25">
      <c r="Q34" s="82">
        <f>B6</f>
        <v>0.5</v>
      </c>
      <c r="R34" s="83">
        <f>VLOOKUP(Q34,STN_TABLE,2,FALSE)</f>
        <v>10.75</v>
      </c>
      <c r="S34" s="83">
        <v>-1</v>
      </c>
      <c r="T34" s="82">
        <f>R34*S34</f>
        <v>-10.75</v>
      </c>
      <c r="U34" s="88">
        <v>-1</v>
      </c>
      <c r="V34" s="82">
        <f>R34*U34</f>
        <v>-10.75</v>
      </c>
      <c r="W34" s="84" t="str">
        <f>CONCATENATE("a'(",Q33,")=")</f>
        <v>a'(0.25)=</v>
      </c>
      <c r="X34" s="84">
        <f>2*X32/12*T35</f>
        <v>10.112499999999999</v>
      </c>
      <c r="Y34" s="84" t="str">
        <f>CONCATENATE("A(",Q32,")=")</f>
        <v>A(0)=</v>
      </c>
      <c r="Z34" s="84">
        <f>VLOOKUP(Q32,STN_TABLE,3,FALSE)</f>
        <v>0</v>
      </c>
      <c r="AA34" t="str">
        <f>CONCATENATE("A(",Q33,")=")</f>
        <v>A(0.25)=</v>
      </c>
      <c r="AB34">
        <f>X34+Z34</f>
        <v>10.112499999999999</v>
      </c>
      <c r="AC34" s="99">
        <f>AC33+1</f>
        <v>2</v>
      </c>
      <c r="AD34" s="100">
        <f>VLOOKUP(AC34,STN_TABLE_2,2,FALSE)</f>
        <v>0.25</v>
      </c>
      <c r="AE34" s="82">
        <f>VLOOKUP(AD34,STN_TABLE,2,FALSE)</f>
        <v>10.45</v>
      </c>
      <c r="AF34" s="82">
        <v>2</v>
      </c>
      <c r="AG34" s="83">
        <f>AE34*AF34</f>
        <v>20.9</v>
      </c>
      <c r="AH34" s="84" t="str">
        <f>CONCATENATE("a'(",AD34,")=")</f>
        <v>a'(0.25)=</v>
      </c>
      <c r="AI34" s="84">
        <f>2*AI32/2*AE35</f>
        <v>10.074999999999999</v>
      </c>
      <c r="AJ34" s="84" t="str">
        <f>CONCATENATE("A(",AD33,")=")</f>
        <v>A(0)=</v>
      </c>
      <c r="AK34" s="84">
        <f>VLOOKUP(AD33,STN_TABLE,3,FALSE)</f>
        <v>0</v>
      </c>
      <c r="AL34" t="str">
        <f>CONCATENATE("A(",AD34,")=")</f>
        <v>A(0.25)=</v>
      </c>
      <c r="AM34">
        <f>AI34+AK34</f>
        <v>10.074999999999999</v>
      </c>
      <c r="AO34" s="68" t="str">
        <f>AA34</f>
        <v>A(0.25)=</v>
      </c>
      <c r="AP34" s="79" t="e">
        <f>VLOOKUP(AO34,Rise_Results,2,FALSE)</f>
        <v>#N/A</v>
      </c>
      <c r="AQ34" s="76" t="s">
        <v>117</v>
      </c>
      <c r="AR34" s="76">
        <f>IF(OR(AB34&lt;=0,AB35&lt;=0),1/0,AB34)</f>
        <v>10.112499999999999</v>
      </c>
      <c r="AS34" s="76">
        <f>AM34</f>
        <v>10.074999999999999</v>
      </c>
      <c r="AT34" s="80">
        <f>IFERROR(AP34,IFERROR(AR34,AS34))</f>
        <v>10.112499999999999</v>
      </c>
    </row>
    <row r="35" spans="1:47" x14ac:dyDescent="0.25">
      <c r="A35" s="101"/>
      <c r="T35" s="89">
        <f>SUM(T32:T34)</f>
        <v>121.35</v>
      </c>
      <c r="V35" s="82">
        <f>SUM(V32:V34)</f>
        <v>122.85</v>
      </c>
      <c r="W35" s="84" t="str">
        <f>CONCATENATE("m'(",Q33,")=")</f>
        <v>m'(0.25)=</v>
      </c>
      <c r="X35" s="84">
        <f>(2*(X32^2)/24*V35)</f>
        <v>2.5593749999999997</v>
      </c>
      <c r="Y35" s="84" t="str">
        <f>CONCATENATE("M(",Q32,")=")</f>
        <v>M(0)=</v>
      </c>
      <c r="Z35" s="84">
        <f>VLOOKUP(Q32,STN_TABLE,4,FALSE)</f>
        <v>0</v>
      </c>
      <c r="AA35" t="str">
        <f>CONCATENATE("M(",Q33,")=")</f>
        <v>M(0.25)=</v>
      </c>
      <c r="AB35">
        <f>X35+Z35</f>
        <v>2.5593749999999997</v>
      </c>
      <c r="AE35" s="89">
        <f>SUM(AE33:AE34)</f>
        <v>20.149999999999999</v>
      </c>
      <c r="AG35" s="89">
        <f>SUM(AG33:AG34)</f>
        <v>30.599999999999998</v>
      </c>
      <c r="AH35" s="84" t="str">
        <f>CONCATENATE("m'(",AD34,")=")</f>
        <v>m'(0.25)=</v>
      </c>
      <c r="AI35" s="84">
        <f>(2*(AI32^2)/6*AG35)+(AI34*AD33*WLS)</f>
        <v>2.5499999999999998</v>
      </c>
      <c r="AJ35" s="84" t="str">
        <f>CONCATENATE("M(",AD33,")=")</f>
        <v>M(0)=</v>
      </c>
      <c r="AK35" s="84">
        <f>VLOOKUP(AD33,STN_TABLE,4,FALSE)</f>
        <v>0</v>
      </c>
      <c r="AL35" t="str">
        <f>CONCATENATE("M(",AD34,")=")</f>
        <v>M(0.25)=</v>
      </c>
      <c r="AM35">
        <f>AI35+AK35</f>
        <v>2.5499999999999998</v>
      </c>
      <c r="AO35" s="82" t="str">
        <f>AA35</f>
        <v>M(0.25)=</v>
      </c>
      <c r="AP35" s="88" t="e">
        <f>VLOOKUP(AO35,Rise_Results,2,FALSE)</f>
        <v>#N/A</v>
      </c>
      <c r="AQ35" s="82" t="s">
        <v>117</v>
      </c>
      <c r="AR35" s="82">
        <f>IF(OR(AB34&lt;=0,AB35&lt;=0),1/0,AB35)</f>
        <v>2.5593749999999997</v>
      </c>
      <c r="AS35" s="82">
        <f>AM35</f>
        <v>2.5499999999999998</v>
      </c>
      <c r="AT35" s="80">
        <f>IFERROR(AP35,IFERROR(AR35,AS35))</f>
        <v>2.5593749999999997</v>
      </c>
    </row>
    <row r="36" spans="1:47" x14ac:dyDescent="0.25">
      <c r="O36" s="94">
        <v>1</v>
      </c>
      <c r="P36" s="101">
        <f t="shared" ref="P36:P67" si="10">VLOOKUP(O36,STN_TABLE_2,2,FALSE)</f>
        <v>0</v>
      </c>
      <c r="AU36" s="81"/>
    </row>
    <row r="37" spans="1:47" x14ac:dyDescent="0.25">
      <c r="A37" s="94">
        <v>1</v>
      </c>
      <c r="B37" s="94">
        <f>VLOOKUP(A37,STN_TABLE_2,2,FALSE)</f>
        <v>0</v>
      </c>
      <c r="C37" s="79">
        <f>B37</f>
        <v>0</v>
      </c>
      <c r="D37" s="68">
        <f>VLOOKUP(C37,STN_TABLE,2,FALSE)</f>
        <v>9.6999999999999993</v>
      </c>
      <c r="E37" s="102">
        <v>1</v>
      </c>
      <c r="F37" s="68">
        <f>D37*E37</f>
        <v>9.6999999999999993</v>
      </c>
      <c r="G37" s="69">
        <f>C37</f>
        <v>0</v>
      </c>
      <c r="H37" s="69">
        <f>F37*G37</f>
        <v>0</v>
      </c>
      <c r="I37" s="6" t="s">
        <v>93</v>
      </c>
      <c r="J37" s="70">
        <f>IF(OR(D37=0,D38=0,D39=0),"#NA",IF(AND(C39-C38=C38-C37,C38&lt;&gt;C39,C37&lt;&gt;C38,C37&lt;&gt;C39,D39&lt;&gt;0,OR(D37&lt;&gt;0,D38&lt;&gt;0)),WLS*(C39-C38),"#NA"))</f>
        <v>0.5</v>
      </c>
      <c r="O37" s="99">
        <f>O36+1</f>
        <v>2</v>
      </c>
      <c r="P37" s="99">
        <f t="shared" si="10"/>
        <v>0.25</v>
      </c>
      <c r="Q37" s="68">
        <f>IF(OR(P39-P38=P38-P37,P40-P38=P38-P37),P37,IF(OR(P39-P38=P38-P36,P40-P38=P38-P36),P36,"-"))</f>
        <v>0.25</v>
      </c>
      <c r="R37" s="69">
        <f>VLOOKUP(Q37,STN_TABLE,2,FALSE)</f>
        <v>10.45</v>
      </c>
      <c r="S37" s="69">
        <v>5</v>
      </c>
      <c r="T37" s="68">
        <f>R37*S37</f>
        <v>52.25</v>
      </c>
      <c r="U37" s="79">
        <v>3</v>
      </c>
      <c r="V37" s="68">
        <f>R37*U37</f>
        <v>31.349999999999998</v>
      </c>
      <c r="W37" s="6" t="s">
        <v>93</v>
      </c>
      <c r="X37" s="70">
        <f>IF(AND(Q39-Q38=Q38-Q37,NOT(AND(Q37=0,Q38=0)),NOT(AND(Q38=0,Q39=0))),WLS*(Q39-Q38),"#NA")</f>
        <v>0.5</v>
      </c>
      <c r="AD37" s="93"/>
      <c r="AH37" s="6" t="s">
        <v>93</v>
      </c>
      <c r="AI37" s="70">
        <f>WLS*(AD39-AD38)</f>
        <v>0.5</v>
      </c>
      <c r="AU37" s="81"/>
    </row>
    <row r="38" spans="1:47" x14ac:dyDescent="0.25">
      <c r="A38" s="94">
        <f>A37+1</f>
        <v>2</v>
      </c>
      <c r="B38" s="94">
        <f>VLOOKUP(A38,STN_TABLE_2,2,FALSE)</f>
        <v>0.25</v>
      </c>
      <c r="C38" s="80">
        <f>B38</f>
        <v>0.25</v>
      </c>
      <c r="D38" s="76">
        <f>VLOOKUP(C38,STN_TABLE,2,FALSE)</f>
        <v>10.45</v>
      </c>
      <c r="E38" s="81">
        <v>4</v>
      </c>
      <c r="F38" s="76">
        <f>D38*E38</f>
        <v>41.8</v>
      </c>
      <c r="G38" s="77">
        <f>C38</f>
        <v>0.25</v>
      </c>
      <c r="H38" s="77">
        <f>F38*G38</f>
        <v>10.45</v>
      </c>
      <c r="I38" s="496" t="s">
        <v>97</v>
      </c>
      <c r="J38" s="496"/>
      <c r="K38" s="78" t="s">
        <v>98</v>
      </c>
      <c r="L38" s="78"/>
      <c r="M38" s="7" t="s">
        <v>99</v>
      </c>
      <c r="N38" s="7"/>
      <c r="O38" s="99">
        <f>O37+1</f>
        <v>3</v>
      </c>
      <c r="P38" s="99">
        <f t="shared" si="10"/>
        <v>0.5</v>
      </c>
      <c r="Q38" s="76">
        <f>P38</f>
        <v>0.5</v>
      </c>
      <c r="R38" s="77">
        <f>VLOOKUP(Q38,STN_TABLE,2,FALSE)</f>
        <v>10.75</v>
      </c>
      <c r="S38" s="77">
        <v>8</v>
      </c>
      <c r="T38" s="76">
        <f>R38*S38</f>
        <v>86</v>
      </c>
      <c r="U38" s="80">
        <v>10</v>
      </c>
      <c r="V38" s="76">
        <f>R38*U38</f>
        <v>107.5</v>
      </c>
      <c r="W38" s="496" t="s">
        <v>97</v>
      </c>
      <c r="X38" s="496"/>
      <c r="Y38" s="496" t="s">
        <v>98</v>
      </c>
      <c r="Z38" s="496"/>
      <c r="AA38" s="494" t="s">
        <v>99</v>
      </c>
      <c r="AB38" s="494"/>
      <c r="AC38" s="99">
        <f>AC33+1</f>
        <v>2</v>
      </c>
      <c r="AD38" s="95">
        <f>VLOOKUP(AC38,STN_TABLE_2,2,FALSE)</f>
        <v>0.25</v>
      </c>
      <c r="AE38" s="68">
        <f>VLOOKUP(AD38,STN_TABLE,2,FALSE)</f>
        <v>10.45</v>
      </c>
      <c r="AF38" s="68">
        <v>1</v>
      </c>
      <c r="AG38" s="69">
        <f>AE38*AF38</f>
        <v>10.45</v>
      </c>
      <c r="AH38" s="496" t="s">
        <v>97</v>
      </c>
      <c r="AI38" s="496"/>
      <c r="AJ38" s="496" t="s">
        <v>98</v>
      </c>
      <c r="AK38" s="496"/>
      <c r="AL38" s="494" t="s">
        <v>99</v>
      </c>
      <c r="AM38" s="494"/>
      <c r="AP38" s="86" t="s">
        <v>112</v>
      </c>
      <c r="AQ38" s="89" t="s">
        <v>113</v>
      </c>
      <c r="AR38" s="89" t="s">
        <v>114</v>
      </c>
      <c r="AS38" s="89" t="s">
        <v>115</v>
      </c>
    </row>
    <row r="39" spans="1:47" x14ac:dyDescent="0.25">
      <c r="A39" s="94">
        <f>A38+1</f>
        <v>3</v>
      </c>
      <c r="B39" s="94">
        <f>VLOOKUP(A39,STN_TABLE_2,2,FALSE)</f>
        <v>0.5</v>
      </c>
      <c r="C39" s="88">
        <f>B39</f>
        <v>0.5</v>
      </c>
      <c r="D39" s="82">
        <f>VLOOKUP(C39,STN_TABLE,2,FALSE)</f>
        <v>10.75</v>
      </c>
      <c r="E39" s="92">
        <v>1</v>
      </c>
      <c r="F39" s="82">
        <f>D39*E39</f>
        <v>10.75</v>
      </c>
      <c r="G39" s="83">
        <f>C39</f>
        <v>0.5</v>
      </c>
      <c r="H39" s="83">
        <f>F39*G39</f>
        <v>5.375</v>
      </c>
      <c r="I39" s="84" t="str">
        <f>CONCATENATE("a'(",C39,")=")</f>
        <v>a'(0.5)=</v>
      </c>
      <c r="J39" s="84">
        <f>2*J37/3*F40</f>
        <v>20.75</v>
      </c>
      <c r="K39" s="84" t="str">
        <f>CONCATENATE("A(",C37,")=")</f>
        <v>A(0)=</v>
      </c>
      <c r="L39" s="84">
        <f>VLOOKUP(C37,STN_TABLE,3,FALSE)</f>
        <v>0</v>
      </c>
      <c r="M39" t="str">
        <f>CONCATENATE("A(",C39,")=")</f>
        <v>A(0.5)=</v>
      </c>
      <c r="N39">
        <f>J39+L39</f>
        <v>20.75</v>
      </c>
      <c r="O39" s="99">
        <f>O38+1</f>
        <v>4</v>
      </c>
      <c r="P39" s="99">
        <f t="shared" si="10"/>
        <v>0.75</v>
      </c>
      <c r="Q39" s="82">
        <f>IF(P39-P38=P38-P37,P39,IF(P40-P38=P38-P37,P40,IF(P39-P38=P38-P36,P39,IF(P40-P38=P38-P36,P40,"-"))))</f>
        <v>0.75</v>
      </c>
      <c r="R39" s="83">
        <f>VLOOKUP(Q39,STN_TABLE,2,FALSE)</f>
        <v>10.93</v>
      </c>
      <c r="S39" s="83">
        <v>-1</v>
      </c>
      <c r="T39" s="82">
        <f>R39*S39</f>
        <v>-10.93</v>
      </c>
      <c r="U39" s="88">
        <v>-1</v>
      </c>
      <c r="V39" s="82">
        <f>R39*U39</f>
        <v>-10.93</v>
      </c>
      <c r="W39" s="84" t="str">
        <f>CONCATENATE("a'(",Q38,")=")</f>
        <v>a'(0.5)=</v>
      </c>
      <c r="X39" s="84">
        <f>2*X37/12*T40</f>
        <v>10.61</v>
      </c>
      <c r="Y39" s="84" t="str">
        <f>CONCATENATE("A(",Q37,")=")</f>
        <v>A(0.25)=</v>
      </c>
      <c r="Z39" s="84">
        <f>VLOOKUP(Q37,STN_TABLE,3,FALSE)</f>
        <v>10.112499999999999</v>
      </c>
      <c r="AA39" t="str">
        <f>CONCATENATE("A(",Q38,")=")</f>
        <v>A(0.5)=</v>
      </c>
      <c r="AB39">
        <f>X39+Z39</f>
        <v>20.722499999999997</v>
      </c>
      <c r="AC39" s="99">
        <f>AC38+1</f>
        <v>3</v>
      </c>
      <c r="AD39" s="100">
        <f>VLOOKUP(AC39,STN_TABLE_2,2,FALSE)</f>
        <v>0.5</v>
      </c>
      <c r="AE39" s="82">
        <f>VLOOKUP(AD39,STN_TABLE,2,FALSE)</f>
        <v>10.75</v>
      </c>
      <c r="AF39" s="82">
        <v>2</v>
      </c>
      <c r="AG39" s="83">
        <f>AE39*AF39</f>
        <v>21.5</v>
      </c>
      <c r="AH39" s="84" t="str">
        <f>CONCATENATE("a'(",AD39,")=")</f>
        <v>a'(0.5)=</v>
      </c>
      <c r="AI39" s="84">
        <f>2*AI37/2*AE40</f>
        <v>10.6</v>
      </c>
      <c r="AJ39" s="84" t="str">
        <f>CONCATENATE("A(",AD38,")=")</f>
        <v>A(0.25)=</v>
      </c>
      <c r="AK39" s="84">
        <f>VLOOKUP(AD38,STN_TABLE,3,FALSE)</f>
        <v>10.112499999999999</v>
      </c>
      <c r="AL39" t="str">
        <f>CONCATENATE("A(",AD39,")=")</f>
        <v>A(0.5)=</v>
      </c>
      <c r="AM39">
        <f>AI39+AK39</f>
        <v>20.712499999999999</v>
      </c>
      <c r="AO39" s="68" t="str">
        <f>AA39</f>
        <v>A(0.5)=</v>
      </c>
      <c r="AP39" s="68" t="e">
        <f>VLOOKUP(AO39,Rise_Results,2,FALSE)</f>
        <v>#N/A</v>
      </c>
      <c r="AQ39" s="76">
        <f>N39</f>
        <v>20.75</v>
      </c>
      <c r="AR39" s="76">
        <f>IF(OR(AB39&lt;=0,AB40&lt;=0),1/0,AB39)</f>
        <v>20.722499999999997</v>
      </c>
      <c r="AS39" s="76">
        <f>AM39</f>
        <v>20.712499999999999</v>
      </c>
      <c r="AT39">
        <f>IFERROR(AP39,IFERROR(AQ39,IFERROR(AR39,AS39)))</f>
        <v>20.75</v>
      </c>
    </row>
    <row r="40" spans="1:47" x14ac:dyDescent="0.25">
      <c r="A40">
        <v>4</v>
      </c>
      <c r="F40" s="82">
        <f>SUM(F37:F39)</f>
        <v>62.25</v>
      </c>
      <c r="H40" s="82">
        <f>SUM(H37:H39)</f>
        <v>15.824999999999999</v>
      </c>
      <c r="I40" s="84" t="str">
        <f>CONCATENATE("m'(",C39,")=")</f>
        <v>m'(0.5)=</v>
      </c>
      <c r="J40" s="84">
        <f>2*(J37*(WLS))/3*H40</f>
        <v>10.549999999999999</v>
      </c>
      <c r="K40" s="84" t="str">
        <f>CONCATENATE("M(",C37,")=")</f>
        <v>M(0)=</v>
      </c>
      <c r="L40" s="84">
        <f>VLOOKUP(C37,STN_TABLE,4,FALSE)</f>
        <v>0</v>
      </c>
      <c r="M40" t="str">
        <f>CONCATENATE("M(",C39,")=")</f>
        <v>M(0.5)=</v>
      </c>
      <c r="N40">
        <f>J40+L40</f>
        <v>10.549999999999999</v>
      </c>
      <c r="O40" s="99">
        <f>O39+1</f>
        <v>5</v>
      </c>
      <c r="P40" s="99">
        <f t="shared" si="10"/>
        <v>1</v>
      </c>
      <c r="T40" s="89">
        <f>SUM(T37:T39)</f>
        <v>127.32</v>
      </c>
      <c r="V40" s="82">
        <f>SUM(V37:V39)</f>
        <v>127.91999999999999</v>
      </c>
      <c r="W40" s="84" t="str">
        <f>CONCATENATE("m'(",Q38,")=")</f>
        <v>m'(0.5)=</v>
      </c>
      <c r="X40" s="84">
        <f>(2*(X37^2)/24*V40)+(X39*Q37*WLS)</f>
        <v>7.9699999999999989</v>
      </c>
      <c r="Y40" s="84" t="str">
        <f>CONCATENATE("M(",Q37,")=")</f>
        <v>M(0.25)=</v>
      </c>
      <c r="Z40" s="84">
        <f>VLOOKUP(Q37,STN_TABLE,4,FALSE)</f>
        <v>2.5593749999999997</v>
      </c>
      <c r="AA40" t="str">
        <f>CONCATENATE("M(",Q38,")=")</f>
        <v>M(0.5)=</v>
      </c>
      <c r="AB40">
        <f>X40+Z40</f>
        <v>10.529374999999998</v>
      </c>
      <c r="AE40" s="89">
        <f>SUM(AE38:AE39)</f>
        <v>21.2</v>
      </c>
      <c r="AG40" s="89">
        <f>SUM(AG38:AG39)</f>
        <v>31.95</v>
      </c>
      <c r="AH40" s="84" t="str">
        <f>CONCATENATE("m'(",AD39,")=")</f>
        <v>m'(0.5)=</v>
      </c>
      <c r="AI40" s="84">
        <f>(2*(AI37^2)/6*AG40)+(AI39*AD38*WLS)</f>
        <v>7.9624999999999995</v>
      </c>
      <c r="AJ40" s="84" t="str">
        <f>CONCATENATE("M(",AD38,")=")</f>
        <v>M(0.25)=</v>
      </c>
      <c r="AK40" s="84">
        <f>VLOOKUP(AD38,STN_TABLE,4,FALSE)</f>
        <v>2.5593749999999997</v>
      </c>
      <c r="AL40" t="str">
        <f>CONCATENATE("M(",AD39,")=")</f>
        <v>M(0.5)=</v>
      </c>
      <c r="AM40">
        <f>AI40+AK40</f>
        <v>10.521875</v>
      </c>
      <c r="AO40" s="82" t="str">
        <f>AA40</f>
        <v>M(0.5)=</v>
      </c>
      <c r="AP40" s="82" t="e">
        <f>VLOOKUP(AO40,Rise_Results,2,FALSE)</f>
        <v>#N/A</v>
      </c>
      <c r="AQ40" s="82">
        <f>N40</f>
        <v>10.549999999999999</v>
      </c>
      <c r="AR40" s="82">
        <f>IF(OR(AB39&lt;=0,AB40&lt;=0),1/0,AB40)</f>
        <v>10.529374999999998</v>
      </c>
      <c r="AS40" s="82">
        <f>AM40</f>
        <v>10.521875</v>
      </c>
      <c r="AT40">
        <f>IFERROR(AP40,IFERROR(AQ40,IFERROR(AR40,AS40)))</f>
        <v>10.549999999999999</v>
      </c>
    </row>
    <row r="41" spans="1:47" x14ac:dyDescent="0.25">
      <c r="A41" s="94">
        <v>0</v>
      </c>
      <c r="O41" s="101">
        <f>O36+1</f>
        <v>2</v>
      </c>
      <c r="P41" s="101">
        <f t="shared" si="10"/>
        <v>0.25</v>
      </c>
    </row>
    <row r="42" spans="1:47" x14ac:dyDescent="0.25">
      <c r="A42" s="94">
        <f>A41+1</f>
        <v>1</v>
      </c>
      <c r="B42" s="94">
        <f t="shared" ref="B42:B73" si="11">VLOOKUP(A42,STN_TABLE_2,2,FALSE)</f>
        <v>0</v>
      </c>
      <c r="C42" s="79">
        <f>IF(C43=B43,B42,IF(C43=B44,IF(C44-C43=C43-B43,B43,IF(C44-C43=C43-B42,B42,"NA"))))</f>
        <v>0.25</v>
      </c>
      <c r="D42" s="68">
        <f>VLOOKUP(C42,STN_TABLE,2,FALSE)</f>
        <v>10.45</v>
      </c>
      <c r="E42" s="102">
        <v>1</v>
      </c>
      <c r="F42" s="68">
        <f>D42*E42</f>
        <v>10.45</v>
      </c>
      <c r="G42" s="69">
        <f>C42</f>
        <v>0.25</v>
      </c>
      <c r="H42" s="69">
        <f>F42*G42</f>
        <v>2.6124999999999998</v>
      </c>
      <c r="I42" s="6" t="s">
        <v>93</v>
      </c>
      <c r="J42" s="70">
        <f>IF(OR(D42=0,D43=0,D44=0),"#NA",IF(AND(C44-C43=C43-C42,C43&lt;&gt;C44,C42&lt;&gt;C43,C42&lt;&gt;C44,D44&lt;&gt;0,OR(D42&lt;&gt;0,D43&lt;&gt;0)),WLS*(C44-C43),"#NA"))</f>
        <v>0.5</v>
      </c>
      <c r="O42" s="99">
        <f>O41+1</f>
        <v>3</v>
      </c>
      <c r="P42" s="99">
        <f t="shared" si="10"/>
        <v>0.5</v>
      </c>
      <c r="Q42" s="68">
        <f>IF(OR(P44-P43=P43-P42,P45-P43=P43-P42),P42,IF(OR(P44-P43=P43-P41,P45-P43=P43-P41),P41,"-"))</f>
        <v>0.5</v>
      </c>
      <c r="R42" s="69">
        <f>VLOOKUP(Q42,STN_TABLE,2,FALSE)</f>
        <v>10.75</v>
      </c>
      <c r="S42" s="69">
        <v>5</v>
      </c>
      <c r="T42" s="68">
        <f>R42*S42</f>
        <v>53.75</v>
      </c>
      <c r="U42" s="79">
        <v>3</v>
      </c>
      <c r="V42" s="68">
        <f>R42*U42</f>
        <v>32.25</v>
      </c>
      <c r="W42" s="6" t="s">
        <v>93</v>
      </c>
      <c r="X42" s="70">
        <f>IF(AND(Q44-Q43=Q43-Q42,NOT(AND(Q42=0,Q43=0)),NOT(AND(Q43=0,Q44=0))),WLS*(Q44-Q43),"#NA")</f>
        <v>0.5</v>
      </c>
      <c r="AD42" s="93"/>
      <c r="AH42" s="6" t="s">
        <v>93</v>
      </c>
      <c r="AI42" s="70">
        <f>WLS*(AD44-AD43)</f>
        <v>0.5</v>
      </c>
      <c r="AU42" s="81"/>
    </row>
    <row r="43" spans="1:47" x14ac:dyDescent="0.25">
      <c r="A43" s="94">
        <f>A42+1</f>
        <v>2</v>
      </c>
      <c r="B43" s="94">
        <f t="shared" si="11"/>
        <v>0.25</v>
      </c>
      <c r="C43" s="80">
        <f>IF(OR(B45-B44=B44-B43,B45-B44=B44-B42,),B44,IF(B45-B43=B43-B42,B43,"#NA"))</f>
        <v>0.5</v>
      </c>
      <c r="D43" s="76">
        <f>VLOOKUP(C43,STN_TABLE,2,FALSE)</f>
        <v>10.75</v>
      </c>
      <c r="E43" s="81">
        <v>4</v>
      </c>
      <c r="F43" s="76">
        <f>D43*E43</f>
        <v>43</v>
      </c>
      <c r="G43" s="77">
        <f>C43</f>
        <v>0.5</v>
      </c>
      <c r="H43" s="77">
        <f>F43*G43</f>
        <v>21.5</v>
      </c>
      <c r="I43" s="496" t="s">
        <v>97</v>
      </c>
      <c r="J43" s="496"/>
      <c r="K43" s="78" t="s">
        <v>98</v>
      </c>
      <c r="L43" s="78"/>
      <c r="M43" s="7" t="s">
        <v>99</v>
      </c>
      <c r="N43" s="7"/>
      <c r="O43" s="99">
        <f>O42+1</f>
        <v>4</v>
      </c>
      <c r="P43" s="99">
        <f t="shared" si="10"/>
        <v>0.75</v>
      </c>
      <c r="Q43" s="76">
        <f>P43</f>
        <v>0.75</v>
      </c>
      <c r="R43" s="77">
        <f>VLOOKUP(Q43,STN_TABLE,2,FALSE)</f>
        <v>10.93</v>
      </c>
      <c r="S43" s="77">
        <v>8</v>
      </c>
      <c r="T43" s="76">
        <f>R43*S43</f>
        <v>87.44</v>
      </c>
      <c r="U43" s="80">
        <v>10</v>
      </c>
      <c r="V43" s="76">
        <f>R43*U43</f>
        <v>109.3</v>
      </c>
      <c r="W43" s="496" t="s">
        <v>97</v>
      </c>
      <c r="X43" s="496"/>
      <c r="Y43" s="496" t="s">
        <v>98</v>
      </c>
      <c r="Z43" s="496"/>
      <c r="AA43" s="494" t="s">
        <v>99</v>
      </c>
      <c r="AB43" s="494"/>
      <c r="AC43" s="99">
        <f>AC38+1</f>
        <v>3</v>
      </c>
      <c r="AD43" s="95">
        <f>VLOOKUP(AC43,STN_TABLE_2,2,FALSE)</f>
        <v>0.5</v>
      </c>
      <c r="AE43" s="68">
        <f>VLOOKUP(AD43,STN_TABLE,2,FALSE)</f>
        <v>10.75</v>
      </c>
      <c r="AF43" s="68">
        <v>1</v>
      </c>
      <c r="AG43" s="69">
        <f>AE43*AF43</f>
        <v>10.75</v>
      </c>
      <c r="AH43" s="496" t="s">
        <v>97</v>
      </c>
      <c r="AI43" s="496"/>
      <c r="AJ43" s="496" t="s">
        <v>98</v>
      </c>
      <c r="AK43" s="496"/>
      <c r="AL43" s="494" t="s">
        <v>99</v>
      </c>
      <c r="AM43" s="494"/>
      <c r="AP43" s="86" t="s">
        <v>112</v>
      </c>
      <c r="AQ43" s="89" t="s">
        <v>113</v>
      </c>
      <c r="AR43" s="89" t="s">
        <v>114</v>
      </c>
      <c r="AS43" s="89" t="s">
        <v>115</v>
      </c>
      <c r="AU43" s="81"/>
    </row>
    <row r="44" spans="1:47" x14ac:dyDescent="0.25">
      <c r="A44" s="94">
        <f>A43+1</f>
        <v>3</v>
      </c>
      <c r="B44" s="94">
        <f t="shared" si="11"/>
        <v>0.5</v>
      </c>
      <c r="C44" s="88">
        <f>B45</f>
        <v>0.75</v>
      </c>
      <c r="D44" s="82">
        <f>VLOOKUP(C44,STN_TABLE,2,FALSE)</f>
        <v>10.93</v>
      </c>
      <c r="E44" s="92">
        <v>1</v>
      </c>
      <c r="F44" s="82">
        <f>D44*E44</f>
        <v>10.93</v>
      </c>
      <c r="G44" s="83">
        <f>C44</f>
        <v>0.75</v>
      </c>
      <c r="H44" s="83">
        <f>F44*G44</f>
        <v>8.1974999999999998</v>
      </c>
      <c r="I44" s="84" t="str">
        <f>CONCATENATE("a'(",C44,")=")</f>
        <v>a'(0.75)=</v>
      </c>
      <c r="J44" s="84">
        <f>2*J42/3*F45</f>
        <v>21.459999999999997</v>
      </c>
      <c r="K44" s="84" t="str">
        <f>CONCATENATE("A(",C42,")=")</f>
        <v>A(0.25)=</v>
      </c>
      <c r="L44" s="84">
        <f>VLOOKUP(C42,STN_TABLE,3,FALSE)</f>
        <v>10.112499999999999</v>
      </c>
      <c r="M44" t="str">
        <f>CONCATENATE("A(",C44,")=")</f>
        <v>A(0.75)=</v>
      </c>
      <c r="N44">
        <f>J44+L44</f>
        <v>31.572499999999998</v>
      </c>
      <c r="O44" s="99">
        <f>O43+1</f>
        <v>5</v>
      </c>
      <c r="P44" s="99">
        <f t="shared" si="10"/>
        <v>1</v>
      </c>
      <c r="Q44" s="82">
        <f>IF(P44-P43=P43-P42,P44,IF(P45-P43=P43-P42,P45,IF(P44-P43=P43-P41,P44,IF(P45-P43=P43-P41,P45,"-"))))</f>
        <v>1</v>
      </c>
      <c r="R44" s="83">
        <f>VLOOKUP(Q44,STN_TABLE,2,FALSE)</f>
        <v>11</v>
      </c>
      <c r="S44" s="83">
        <v>-1</v>
      </c>
      <c r="T44" s="82">
        <f>R44*S44</f>
        <v>-11</v>
      </c>
      <c r="U44" s="88">
        <v>-1</v>
      </c>
      <c r="V44" s="82">
        <f>R44*U44</f>
        <v>-11</v>
      </c>
      <c r="W44" s="84" t="str">
        <f>CONCATENATE("a'(",Q43,")=")</f>
        <v>a'(0.75)=</v>
      </c>
      <c r="X44" s="84">
        <f>2*X42/12*T45</f>
        <v>10.849166666666665</v>
      </c>
      <c r="Y44" s="84" t="str">
        <f>CONCATENATE("A(",Q42,")=")</f>
        <v>A(0.5)=</v>
      </c>
      <c r="Z44" s="84">
        <f>VLOOKUP(Q42,STN_TABLE,3,FALSE)</f>
        <v>20.75</v>
      </c>
      <c r="AA44" t="str">
        <f>CONCATENATE("A(",Q43,")=")</f>
        <v>A(0.75)=</v>
      </c>
      <c r="AB44">
        <f>X44+Z44</f>
        <v>31.599166666666665</v>
      </c>
      <c r="AC44" s="99">
        <f>AC43+1</f>
        <v>4</v>
      </c>
      <c r="AD44" s="100">
        <f>VLOOKUP(AC44,STN_TABLE_2,2,FALSE)</f>
        <v>0.75</v>
      </c>
      <c r="AE44" s="82">
        <f>VLOOKUP(AD44,STN_TABLE,2,FALSE)</f>
        <v>10.93</v>
      </c>
      <c r="AF44" s="82">
        <v>2</v>
      </c>
      <c r="AG44" s="83">
        <f>AE44*AF44</f>
        <v>21.86</v>
      </c>
      <c r="AH44" s="84" t="str">
        <f>CONCATENATE("a'(",AD44,")=")</f>
        <v>a'(0.75)=</v>
      </c>
      <c r="AI44" s="84">
        <f>2*AI42/2*AE45</f>
        <v>10.84</v>
      </c>
      <c r="AJ44" s="84" t="str">
        <f>CONCATENATE("A(",AD43,")=")</f>
        <v>A(0.5)=</v>
      </c>
      <c r="AK44" s="84">
        <f>VLOOKUP(AD43,STN_TABLE,3,FALSE)</f>
        <v>20.75</v>
      </c>
      <c r="AL44" t="str">
        <f>CONCATENATE("A(",AD44,")=")</f>
        <v>A(0.75)=</v>
      </c>
      <c r="AM44">
        <f>AI44+AK44</f>
        <v>31.59</v>
      </c>
      <c r="AO44" s="68" t="str">
        <f>AA44</f>
        <v>A(0.75)=</v>
      </c>
      <c r="AP44" s="68" t="e">
        <f>VLOOKUP(AO44,Rise_Results,2,FALSE)</f>
        <v>#N/A</v>
      </c>
      <c r="AQ44" s="76">
        <f>N44</f>
        <v>31.572499999999998</v>
      </c>
      <c r="AR44" s="76">
        <f>IF(OR(AB44&lt;=0,AB45&lt;=0),1/0,AB44)</f>
        <v>31.599166666666665</v>
      </c>
      <c r="AS44" s="76">
        <f>AM44</f>
        <v>31.59</v>
      </c>
      <c r="AT44">
        <f>IFERROR(AP44,IFERROR(AQ44,IFERROR(AR44,AS44)))</f>
        <v>31.572499999999998</v>
      </c>
      <c r="AU44" s="81"/>
    </row>
    <row r="45" spans="1:47" x14ac:dyDescent="0.25">
      <c r="A45" s="94">
        <f>A44+1</f>
        <v>4</v>
      </c>
      <c r="B45" s="94">
        <f t="shared" si="11"/>
        <v>0.75</v>
      </c>
      <c r="F45" s="82">
        <f>SUM(F42:F44)</f>
        <v>64.38</v>
      </c>
      <c r="H45" s="82">
        <f>SUM(H42:H44)</f>
        <v>32.31</v>
      </c>
      <c r="I45" s="84" t="str">
        <f>CONCATENATE("m'(",C44,")=")</f>
        <v>m'(0.75)=</v>
      </c>
      <c r="J45" s="84">
        <f>2*(J42*(WLS))/3*H45</f>
        <v>21.54</v>
      </c>
      <c r="K45" s="84" t="str">
        <f>CONCATENATE("M(",C42,")=")</f>
        <v>M(0.25)=</v>
      </c>
      <c r="L45" s="84">
        <f>VLOOKUP(C42,STN_TABLE,4,FALSE)</f>
        <v>2.5593749999999997</v>
      </c>
      <c r="M45" t="str">
        <f>CONCATENATE("M(",C44,")=")</f>
        <v>M(0.75)=</v>
      </c>
      <c r="N45">
        <f>J45+L45</f>
        <v>24.099374999999998</v>
      </c>
      <c r="O45" s="99">
        <f>O44+1</f>
        <v>6</v>
      </c>
      <c r="P45" s="99">
        <f t="shared" si="10"/>
        <v>2</v>
      </c>
      <c r="T45" s="89">
        <f>SUM(T42:T44)</f>
        <v>130.19</v>
      </c>
      <c r="V45" s="82">
        <f>SUM(V42:V44)</f>
        <v>130.55000000000001</v>
      </c>
      <c r="W45" s="84" t="str">
        <f>CONCATENATE("m'(",Q43,")=")</f>
        <v>m'(0.75)=</v>
      </c>
      <c r="X45" s="84">
        <f>(2*(X42^2)/24*V45)+(X44*Q42*WLS)</f>
        <v>13.568958333333331</v>
      </c>
      <c r="Y45" s="84" t="str">
        <f>CONCATENATE("M(",Q42,")=")</f>
        <v>M(0.5)=</v>
      </c>
      <c r="Z45" s="84">
        <f>VLOOKUP(Q42,STN_TABLE,4,FALSE)</f>
        <v>10.549999999999999</v>
      </c>
      <c r="AA45" t="str">
        <f>CONCATENATE("M(",Q43,")=")</f>
        <v>M(0.75)=</v>
      </c>
      <c r="AB45">
        <f>X45+Z45</f>
        <v>24.118958333333332</v>
      </c>
      <c r="AE45" s="89">
        <f>SUM(AE43:AE44)</f>
        <v>21.68</v>
      </c>
      <c r="AG45" s="89">
        <f>SUM(AG43:AG44)</f>
        <v>32.61</v>
      </c>
      <c r="AH45" s="84" t="str">
        <f>CONCATENATE("m'(",AD44,")=")</f>
        <v>m'(0.75)=</v>
      </c>
      <c r="AI45" s="84">
        <f>(2*(AI42^2)/6*AG45)+(AI44*AD43*WLS)</f>
        <v>13.557499999999999</v>
      </c>
      <c r="AJ45" s="84" t="str">
        <f>CONCATENATE("M(",AD43,")=")</f>
        <v>M(0.5)=</v>
      </c>
      <c r="AK45" s="84">
        <f>VLOOKUP(AD43,STN_TABLE,4,FALSE)</f>
        <v>10.549999999999999</v>
      </c>
      <c r="AL45" t="str">
        <f>CONCATENATE("M(",AD44,")=")</f>
        <v>M(0.75)=</v>
      </c>
      <c r="AM45">
        <f>AI45+AK45</f>
        <v>24.107499999999998</v>
      </c>
      <c r="AO45" s="82" t="str">
        <f>AA45</f>
        <v>M(0.75)=</v>
      </c>
      <c r="AP45" s="82" t="e">
        <f>VLOOKUP(AO45,Rise_Results,2,FALSE)</f>
        <v>#N/A</v>
      </c>
      <c r="AQ45" s="82">
        <f>N45</f>
        <v>24.099374999999998</v>
      </c>
      <c r="AR45" s="82">
        <f>IF(OR(AB44&lt;=0,AB45&lt;=0),1/0,AB45)</f>
        <v>24.118958333333332</v>
      </c>
      <c r="AS45" s="82">
        <f>AM45</f>
        <v>24.107499999999998</v>
      </c>
      <c r="AT45">
        <f>IFERROR(AP45,IFERROR(AQ45,IFERROR(AR45,AS45)))</f>
        <v>24.099374999999998</v>
      </c>
      <c r="AU45" s="81"/>
    </row>
    <row r="46" spans="1:47" x14ac:dyDescent="0.25">
      <c r="A46" s="101">
        <f>A41+1</f>
        <v>1</v>
      </c>
      <c r="B46" s="101">
        <f t="shared" si="11"/>
        <v>0</v>
      </c>
      <c r="O46" s="101">
        <f>O41+1</f>
        <v>3</v>
      </c>
      <c r="P46" s="101">
        <f t="shared" si="10"/>
        <v>0.5</v>
      </c>
      <c r="AU46" s="81"/>
    </row>
    <row r="47" spans="1:47" x14ac:dyDescent="0.25">
      <c r="A47" s="84">
        <f>A46+1</f>
        <v>2</v>
      </c>
      <c r="B47" s="84">
        <f t="shared" si="11"/>
        <v>0.25</v>
      </c>
      <c r="C47" s="79">
        <f>IF(C48=B49,IF(C49-C48=C48-B48,B48,IF(C49-C48=C48-B47,B47,"#NA")),IF(C48=B48,IF(C49-C48=C48-B47,B47,IF(C49-C48=C48-B46,B46,"#NA")),"#NA"))</f>
        <v>0.5</v>
      </c>
      <c r="D47" s="68">
        <f>VLOOKUP(C47,STN_TABLE,2,FALSE)</f>
        <v>10.75</v>
      </c>
      <c r="E47" s="102">
        <v>1</v>
      </c>
      <c r="F47" s="68">
        <f>D47*E47</f>
        <v>10.75</v>
      </c>
      <c r="G47" s="69">
        <f>C47</f>
        <v>0.5</v>
      </c>
      <c r="H47" s="69">
        <f>F47*G47</f>
        <v>5.375</v>
      </c>
      <c r="I47" s="6" t="s">
        <v>93</v>
      </c>
      <c r="J47" s="70">
        <f>IF(OR(D47=0,D48=0,D49=0),"#NA",IF(AND(C49-C48=C48-C47,C48&lt;&gt;C49,C47&lt;&gt;C48,C47&lt;&gt;C49,D49&lt;&gt;0,OR(D47&lt;&gt;0,D48&lt;&gt;0)),WLS*(C49-C48),"#NA"))</f>
        <v>0.5</v>
      </c>
      <c r="O47" s="99">
        <f>O46+1</f>
        <v>4</v>
      </c>
      <c r="P47" s="99">
        <f t="shared" si="10"/>
        <v>0.75</v>
      </c>
      <c r="Q47" s="68" t="str">
        <f>IF(OR(P49-P48=P48-P47,P50-P48=P48-P47),P47,IF(OR(P49-P48=P48-P46,P50-P48=P48-P46),P46,"-"))</f>
        <v>-</v>
      </c>
      <c r="R47" s="69" t="e">
        <f>VLOOKUP(Q47,STN_TABLE,2,FALSE)</f>
        <v>#N/A</v>
      </c>
      <c r="S47" s="69">
        <v>5</v>
      </c>
      <c r="T47" s="68" t="e">
        <f>R47*S47</f>
        <v>#N/A</v>
      </c>
      <c r="U47" s="79">
        <v>3</v>
      </c>
      <c r="V47" s="68" t="e">
        <f>R47*U47</f>
        <v>#N/A</v>
      </c>
      <c r="W47" s="6" t="s">
        <v>93</v>
      </c>
      <c r="X47" s="70" t="e">
        <f>IF(AND(Q49-Q48=Q48-Q47,NOT(AND(Q47=0,Q48=0)),NOT(AND(Q48=0,Q49=0))),WLS*(Q49-Q48),"#NA")</f>
        <v>#VALUE!</v>
      </c>
      <c r="AD47" s="93"/>
      <c r="AH47" s="6" t="s">
        <v>93</v>
      </c>
      <c r="AI47" s="70">
        <f>WLS*(AD49-AD48)</f>
        <v>0.5</v>
      </c>
      <c r="AU47" s="81"/>
    </row>
    <row r="48" spans="1:47" x14ac:dyDescent="0.25">
      <c r="A48" s="84">
        <f>A47+1</f>
        <v>3</v>
      </c>
      <c r="B48" s="84">
        <f t="shared" si="11"/>
        <v>0.5</v>
      </c>
      <c r="C48" s="80">
        <f>IF(OR(B50-B49=B49-B48,B50-B49=B49-B47,B50-B49=B49-B46),B49,IF(OR(B50-B48=B48-B47,B50-B48=B48-B46),B48,IF(B50-B47=B47-B46,B47,"#NA")))</f>
        <v>0.75</v>
      </c>
      <c r="D48" s="76">
        <f>VLOOKUP(C48,STN_TABLE,2,FALSE)</f>
        <v>10.93</v>
      </c>
      <c r="E48" s="81">
        <v>4</v>
      </c>
      <c r="F48" s="76">
        <f>D48*E48</f>
        <v>43.72</v>
      </c>
      <c r="G48" s="77">
        <f>C48</f>
        <v>0.75</v>
      </c>
      <c r="H48" s="77">
        <f>F48*G48</f>
        <v>32.79</v>
      </c>
      <c r="I48" s="496" t="s">
        <v>97</v>
      </c>
      <c r="J48" s="496"/>
      <c r="K48" s="78" t="s">
        <v>98</v>
      </c>
      <c r="L48" s="78"/>
      <c r="M48" s="7" t="s">
        <v>99</v>
      </c>
      <c r="N48" s="7"/>
      <c r="O48" s="99">
        <f>O47+1</f>
        <v>5</v>
      </c>
      <c r="P48" s="99">
        <f t="shared" si="10"/>
        <v>1</v>
      </c>
      <c r="Q48" s="76">
        <f>P48</f>
        <v>1</v>
      </c>
      <c r="R48" s="77">
        <f>VLOOKUP(Q48,STN_TABLE,2,FALSE)</f>
        <v>11</v>
      </c>
      <c r="S48" s="77">
        <v>8</v>
      </c>
      <c r="T48" s="76">
        <f>R48*S48</f>
        <v>88</v>
      </c>
      <c r="U48" s="80">
        <v>10</v>
      </c>
      <c r="V48" s="76">
        <f>R48*U48</f>
        <v>110</v>
      </c>
      <c r="W48" s="496" t="s">
        <v>97</v>
      </c>
      <c r="X48" s="496"/>
      <c r="Y48" s="496" t="s">
        <v>98</v>
      </c>
      <c r="Z48" s="496"/>
      <c r="AA48" s="494" t="s">
        <v>99</v>
      </c>
      <c r="AB48" s="494"/>
      <c r="AC48" s="99">
        <f>AC43+1</f>
        <v>4</v>
      </c>
      <c r="AD48" s="95">
        <f>VLOOKUP(AC48,STN_TABLE_2,2,FALSE)</f>
        <v>0.75</v>
      </c>
      <c r="AE48" s="68">
        <f>VLOOKUP(AD48,STN_TABLE,2,FALSE)</f>
        <v>10.93</v>
      </c>
      <c r="AF48" s="68">
        <v>1</v>
      </c>
      <c r="AG48" s="69">
        <f>AE48*AF48</f>
        <v>10.93</v>
      </c>
      <c r="AH48" s="496" t="s">
        <v>97</v>
      </c>
      <c r="AI48" s="496"/>
      <c r="AJ48" s="496" t="s">
        <v>98</v>
      </c>
      <c r="AK48" s="496"/>
      <c r="AL48" s="494" t="s">
        <v>99</v>
      </c>
      <c r="AM48" s="494"/>
      <c r="AP48" s="86" t="s">
        <v>112</v>
      </c>
      <c r="AQ48" s="89" t="s">
        <v>113</v>
      </c>
      <c r="AR48" s="89" t="s">
        <v>114</v>
      </c>
      <c r="AS48" s="89" t="s">
        <v>115</v>
      </c>
      <c r="AU48" s="81"/>
    </row>
    <row r="49" spans="1:47" x14ac:dyDescent="0.25">
      <c r="A49" s="84">
        <f>A48+1</f>
        <v>4</v>
      </c>
      <c r="B49" s="84">
        <f t="shared" si="11"/>
        <v>0.75</v>
      </c>
      <c r="C49" s="88">
        <f>B50</f>
        <v>1</v>
      </c>
      <c r="D49" s="82">
        <f>VLOOKUP(C49,STN_TABLE,2,FALSE)</f>
        <v>11</v>
      </c>
      <c r="E49" s="92">
        <v>1</v>
      </c>
      <c r="F49" s="82">
        <f>D49*E49</f>
        <v>11</v>
      </c>
      <c r="G49" s="83">
        <f>C49</f>
        <v>1</v>
      </c>
      <c r="H49" s="83">
        <f>F49*G49</f>
        <v>11</v>
      </c>
      <c r="I49" s="84" t="str">
        <f>CONCATENATE("a'(",C49,")=")</f>
        <v>a'(1)=</v>
      </c>
      <c r="J49" s="84">
        <f>2*J47/3*F50</f>
        <v>21.823333333333331</v>
      </c>
      <c r="K49" s="84" t="str">
        <f>CONCATENATE("A(",C47,")=")</f>
        <v>A(0.5)=</v>
      </c>
      <c r="L49" s="84">
        <f>VLOOKUP(C47,STN_TABLE,3,FALSE)</f>
        <v>20.75</v>
      </c>
      <c r="M49" t="str">
        <f>CONCATENATE("A(",C49,")=")</f>
        <v>A(1)=</v>
      </c>
      <c r="N49">
        <f>J49+L49</f>
        <v>42.573333333333331</v>
      </c>
      <c r="O49" s="99">
        <f>O48+1</f>
        <v>6</v>
      </c>
      <c r="P49" s="99">
        <f t="shared" si="10"/>
        <v>2</v>
      </c>
      <c r="Q49" s="82" t="str">
        <f>IF(P49-P48=P48-P47,P49,IF(P50-P48=P48-P47,P50,IF(P49-P48=P48-P46,P49,IF(P50-P48=P48-P46,P50,"-"))))</f>
        <v>-</v>
      </c>
      <c r="R49" s="83" t="e">
        <f>VLOOKUP(Q49,STN_TABLE,2,FALSE)</f>
        <v>#N/A</v>
      </c>
      <c r="S49" s="83">
        <v>-1</v>
      </c>
      <c r="T49" s="82" t="e">
        <f>R49*S49</f>
        <v>#N/A</v>
      </c>
      <c r="U49" s="88">
        <v>-1</v>
      </c>
      <c r="V49" s="82" t="e">
        <f>R49*U49</f>
        <v>#N/A</v>
      </c>
      <c r="W49" s="84" t="str">
        <f>CONCATENATE("a'(",Q48,")=")</f>
        <v>a'(1)=</v>
      </c>
      <c r="X49" s="84" t="e">
        <f>2*X47/12*T50</f>
        <v>#VALUE!</v>
      </c>
      <c r="Y49" s="84" t="str">
        <f>CONCATENATE("A(",Q47,")=")</f>
        <v>A(-)=</v>
      </c>
      <c r="Z49" s="84" t="e">
        <f>VLOOKUP(Q47,STN_TABLE,3,FALSE)</f>
        <v>#N/A</v>
      </c>
      <c r="AA49" t="str">
        <f>CONCATENATE("A(",Q48,")=")</f>
        <v>A(1)=</v>
      </c>
      <c r="AB49" t="e">
        <f>X49+Z49</f>
        <v>#VALUE!</v>
      </c>
      <c r="AC49" s="99">
        <f>AC48+1</f>
        <v>5</v>
      </c>
      <c r="AD49" s="100">
        <f>VLOOKUP(AC49,STN_TABLE_2,2,FALSE)</f>
        <v>1</v>
      </c>
      <c r="AE49" s="82">
        <f>VLOOKUP(AD49,STN_TABLE,2,FALSE)</f>
        <v>11</v>
      </c>
      <c r="AF49" s="82">
        <v>2</v>
      </c>
      <c r="AG49" s="83">
        <f>AE49*AF49</f>
        <v>22</v>
      </c>
      <c r="AH49" s="84" t="str">
        <f>CONCATENATE("a'(",AD49,")=")</f>
        <v>a'(1)=</v>
      </c>
      <c r="AI49" s="84">
        <f>2*AI47/2*AE50</f>
        <v>10.965</v>
      </c>
      <c r="AJ49" s="84" t="str">
        <f>CONCATENATE("A(",AD48,")=")</f>
        <v>A(0.75)=</v>
      </c>
      <c r="AK49" s="84">
        <f>VLOOKUP(AD48,STN_TABLE,3,FALSE)</f>
        <v>31.572499999999998</v>
      </c>
      <c r="AL49" t="str">
        <f>CONCATENATE("A(",AD49,")=")</f>
        <v>A(1)=</v>
      </c>
      <c r="AM49">
        <f>AI49+AK49</f>
        <v>42.537499999999994</v>
      </c>
      <c r="AO49" s="68" t="str">
        <f>AA49</f>
        <v>A(1)=</v>
      </c>
      <c r="AP49" s="68" t="e">
        <f>VLOOKUP(AO49,Rise_Results,2,FALSE)</f>
        <v>#N/A</v>
      </c>
      <c r="AQ49" s="76">
        <f>N49</f>
        <v>42.573333333333331</v>
      </c>
      <c r="AR49" s="76" t="e">
        <f>IF(OR(AB49&lt;=0,AB50&lt;=0),1/0,AB49)</f>
        <v>#VALUE!</v>
      </c>
      <c r="AS49" s="76">
        <f>AM49</f>
        <v>42.537499999999994</v>
      </c>
      <c r="AT49">
        <f>IFERROR(AP49,IFERROR(AQ49,IFERROR(AR49,AS49)))</f>
        <v>42.573333333333331</v>
      </c>
      <c r="AU49" s="81"/>
    </row>
    <row r="50" spans="1:47" x14ac:dyDescent="0.25">
      <c r="A50" s="84">
        <f>A49+1</f>
        <v>5</v>
      </c>
      <c r="B50" s="84">
        <f t="shared" si="11"/>
        <v>1</v>
      </c>
      <c r="F50" s="82">
        <f>SUM(F47:F49)</f>
        <v>65.47</v>
      </c>
      <c r="H50" s="82">
        <f>SUM(H47:H49)</f>
        <v>49.164999999999999</v>
      </c>
      <c r="I50" s="84" t="str">
        <f>CONCATENATE("m'(",C49,")=")</f>
        <v>m'(1)=</v>
      </c>
      <c r="J50" s="84">
        <f>2*(J47*(WLS))/3*H50</f>
        <v>32.776666666666664</v>
      </c>
      <c r="K50" s="84" t="str">
        <f>CONCATENATE("M(",C47,")=")</f>
        <v>M(0.5)=</v>
      </c>
      <c r="L50" s="84">
        <f>VLOOKUP(C47,STN_TABLE,4,FALSE)</f>
        <v>10.549999999999999</v>
      </c>
      <c r="M50" t="str">
        <f>CONCATENATE("M(",C49,")=")</f>
        <v>M(1)=</v>
      </c>
      <c r="N50">
        <f>J50+L50</f>
        <v>43.326666666666661</v>
      </c>
      <c r="O50" s="99">
        <f>O49+1</f>
        <v>7</v>
      </c>
      <c r="P50" s="99">
        <f t="shared" si="10"/>
        <v>3</v>
      </c>
      <c r="T50" s="89" t="e">
        <f>SUM(T47:T49)</f>
        <v>#N/A</v>
      </c>
      <c r="V50" s="82" t="e">
        <f>SUM(V47:V49)</f>
        <v>#N/A</v>
      </c>
      <c r="W50" s="84" t="str">
        <f>CONCATENATE("m'(",Q48,")=")</f>
        <v>m'(1)=</v>
      </c>
      <c r="X50" s="84" t="e">
        <f>(2*(X47^2)/24*V50)+(X49*Q47*WLS)</f>
        <v>#VALUE!</v>
      </c>
      <c r="Y50" s="84" t="str">
        <f>CONCATENATE("M(",Q47,")=")</f>
        <v>M(-)=</v>
      </c>
      <c r="Z50" s="84" t="e">
        <f>VLOOKUP(Q47,STN_TABLE,4,FALSE)</f>
        <v>#N/A</v>
      </c>
      <c r="AA50" t="str">
        <f>CONCATENATE("M(",Q48,")=")</f>
        <v>M(1)=</v>
      </c>
      <c r="AB50" t="e">
        <f>X50+Z50</f>
        <v>#VALUE!</v>
      </c>
      <c r="AE50" s="89">
        <f>SUM(AE48:AE49)</f>
        <v>21.93</v>
      </c>
      <c r="AG50" s="89">
        <f>SUM(AG48:AG49)</f>
        <v>32.93</v>
      </c>
      <c r="AH50" s="84" t="str">
        <f>CONCATENATE("m'(",AD49,")=")</f>
        <v>m'(1)=</v>
      </c>
      <c r="AI50" s="84">
        <f>(2*(AI47^2)/6*AG50)+(AI49*AD48*WLS)</f>
        <v>19.191666666666663</v>
      </c>
      <c r="AJ50" s="84" t="str">
        <f>CONCATENATE("M(",AD48,")=")</f>
        <v>M(0.75)=</v>
      </c>
      <c r="AK50" s="84">
        <f>VLOOKUP(AD48,STN_TABLE,4,FALSE)</f>
        <v>24.099374999999998</v>
      </c>
      <c r="AL50" t="str">
        <f>CONCATENATE("M(",AD49,")=")</f>
        <v>M(1)=</v>
      </c>
      <c r="AM50">
        <f>AI50+AK50</f>
        <v>43.291041666666658</v>
      </c>
      <c r="AO50" s="82" t="str">
        <f>AA50</f>
        <v>M(1)=</v>
      </c>
      <c r="AP50" s="82" t="e">
        <f>VLOOKUP(AO50,Rise_Results,2,FALSE)</f>
        <v>#N/A</v>
      </c>
      <c r="AQ50" s="82">
        <f>N50</f>
        <v>43.326666666666661</v>
      </c>
      <c r="AR50" s="82" t="e">
        <f>IF(OR(AB49&lt;=0,AB50&lt;=0),1/0,AB50)</f>
        <v>#VALUE!</v>
      </c>
      <c r="AS50" s="82">
        <f>AM50</f>
        <v>43.291041666666658</v>
      </c>
      <c r="AT50">
        <f>IFERROR(AP50,IFERROR(AQ50,IFERROR(AR50,AS50)))</f>
        <v>43.326666666666661</v>
      </c>
      <c r="AU50" s="81"/>
    </row>
    <row r="51" spans="1:47" x14ac:dyDescent="0.25">
      <c r="A51" s="101">
        <f>A46+1</f>
        <v>2</v>
      </c>
      <c r="B51" s="101">
        <f t="shared" si="11"/>
        <v>0.25</v>
      </c>
      <c r="O51" s="101">
        <f>O46+1</f>
        <v>4</v>
      </c>
      <c r="P51" s="101">
        <f t="shared" si="10"/>
        <v>0.75</v>
      </c>
      <c r="AU51" s="81"/>
    </row>
    <row r="52" spans="1:47" x14ac:dyDescent="0.25">
      <c r="A52" s="84">
        <f>A51+1</f>
        <v>3</v>
      </c>
      <c r="B52" s="84">
        <f t="shared" si="11"/>
        <v>0.5</v>
      </c>
      <c r="C52" s="79" t="str">
        <f t="shared" ref="C52" si="12">IF(C53=B54,IF(C54-C53=C53-B53,B53,IF(C54-C53=C53-B52,B52,"#NA")),IF(C53=B53,IF(C54-C53=C53-B52,B52,IF(C54-C53=C53-B51,B51,"#NA")),"#NA"))</f>
        <v>#NA</v>
      </c>
      <c r="D52" s="68" t="e">
        <f>VLOOKUP(C52,STN_TABLE,2,FALSE)</f>
        <v>#N/A</v>
      </c>
      <c r="E52" s="102">
        <v>1</v>
      </c>
      <c r="F52" s="68" t="e">
        <f>D52*E52</f>
        <v>#N/A</v>
      </c>
      <c r="G52" s="69" t="str">
        <f>C52</f>
        <v>#NA</v>
      </c>
      <c r="H52" s="69" t="e">
        <f>F52*G52</f>
        <v>#N/A</v>
      </c>
      <c r="I52" s="6" t="s">
        <v>93</v>
      </c>
      <c r="J52" s="70" t="e">
        <f>IF(OR(D52=0,D53=0,D54=0),"#NA",IF(AND(C54-C53=C53-C52,C53&lt;&gt;C54,C52&lt;&gt;C53,C52&lt;&gt;C54,D54&lt;&gt;0,OR(D52&lt;&gt;0,D53&lt;&gt;0)),WLS*(C54-C53),"#NA"))</f>
        <v>#N/A</v>
      </c>
      <c r="O52" s="99">
        <f>O51+1</f>
        <v>5</v>
      </c>
      <c r="P52" s="99">
        <f t="shared" si="10"/>
        <v>1</v>
      </c>
      <c r="Q52" s="68">
        <f>IF(OR(P54-P53=P53-P52,P55-P53=P53-P52),P52,IF(OR(P54-P53=P53-P51,P55-P53=P53-P51),P51,"-"))</f>
        <v>1</v>
      </c>
      <c r="R52" s="69">
        <f>VLOOKUP(Q52,STN_TABLE,2,FALSE)</f>
        <v>11</v>
      </c>
      <c r="S52" s="69">
        <v>5</v>
      </c>
      <c r="T52" s="68">
        <f>R52*S52</f>
        <v>55</v>
      </c>
      <c r="U52" s="79">
        <v>3</v>
      </c>
      <c r="V52" s="68">
        <f>R52*U52</f>
        <v>33</v>
      </c>
      <c r="W52" s="6" t="s">
        <v>93</v>
      </c>
      <c r="X52" s="70">
        <f>IF(AND(Q54-Q53=Q53-Q52,NOT(AND(Q52=0,Q53=0)),NOT(AND(Q53=0,Q54=0))),WLS*(Q54-Q53),"#NA")</f>
        <v>2</v>
      </c>
      <c r="AD52" s="93"/>
      <c r="AH52" s="6" t="s">
        <v>93</v>
      </c>
      <c r="AI52" s="70">
        <f>WLS*(AD54-AD53)</f>
        <v>2</v>
      </c>
      <c r="AU52" s="81"/>
    </row>
    <row r="53" spans="1:47" x14ac:dyDescent="0.25">
      <c r="A53" s="84">
        <f>A52+1</f>
        <v>4</v>
      </c>
      <c r="B53" s="84">
        <f t="shared" si="11"/>
        <v>0.75</v>
      </c>
      <c r="C53" s="80" t="str">
        <f t="shared" ref="C53" si="13">IF(OR(B55-B54=B54-B53,B55-B54=B54-B52,B55-B54=B54-B51),B54,IF(OR(B55-B53=B53-B52,B55-B53=B53-B51),B53,IF(B55-B52=B52-B51,B52,"#NA")))</f>
        <v>#NA</v>
      </c>
      <c r="D53" s="76" t="e">
        <f>VLOOKUP(C53,STN_TABLE,2,FALSE)</f>
        <v>#N/A</v>
      </c>
      <c r="E53" s="81">
        <v>4</v>
      </c>
      <c r="F53" s="76" t="e">
        <f>D53*E53</f>
        <v>#N/A</v>
      </c>
      <c r="G53" s="77" t="str">
        <f>C53</f>
        <v>#NA</v>
      </c>
      <c r="H53" s="77" t="e">
        <f>F53*G53</f>
        <v>#N/A</v>
      </c>
      <c r="I53" s="495" t="s">
        <v>97</v>
      </c>
      <c r="J53" s="496"/>
      <c r="K53" s="78" t="s">
        <v>98</v>
      </c>
      <c r="L53" s="78"/>
      <c r="M53" s="7" t="s">
        <v>99</v>
      </c>
      <c r="N53" s="7"/>
      <c r="O53" s="99">
        <f>O52+1</f>
        <v>6</v>
      </c>
      <c r="P53" s="99">
        <f t="shared" si="10"/>
        <v>2</v>
      </c>
      <c r="Q53" s="76">
        <f>P53</f>
        <v>2</v>
      </c>
      <c r="R53" s="77">
        <f>VLOOKUP(Q53,STN_TABLE,2,FALSE)</f>
        <v>11</v>
      </c>
      <c r="S53" s="77">
        <v>8</v>
      </c>
      <c r="T53" s="76">
        <f>R53*S53</f>
        <v>88</v>
      </c>
      <c r="U53" s="80">
        <v>10</v>
      </c>
      <c r="V53" s="76">
        <f>R53*U53</f>
        <v>110</v>
      </c>
      <c r="W53" s="496" t="s">
        <v>97</v>
      </c>
      <c r="X53" s="496"/>
      <c r="Y53" s="496" t="s">
        <v>98</v>
      </c>
      <c r="Z53" s="496"/>
      <c r="AA53" s="494" t="s">
        <v>99</v>
      </c>
      <c r="AB53" s="494"/>
      <c r="AC53" s="99">
        <f>AC48+1</f>
        <v>5</v>
      </c>
      <c r="AD53" s="95">
        <f>VLOOKUP(AC53,STN_TABLE_2,2,FALSE)</f>
        <v>1</v>
      </c>
      <c r="AE53" s="68">
        <f>VLOOKUP(AD53,STN_TABLE,2,FALSE)</f>
        <v>11</v>
      </c>
      <c r="AF53" s="68">
        <v>1</v>
      </c>
      <c r="AG53" s="69">
        <f>AE53*AF53</f>
        <v>11</v>
      </c>
      <c r="AH53" s="496" t="s">
        <v>97</v>
      </c>
      <c r="AI53" s="496"/>
      <c r="AJ53" s="496" t="s">
        <v>98</v>
      </c>
      <c r="AK53" s="496"/>
      <c r="AL53" s="494" t="s">
        <v>99</v>
      </c>
      <c r="AM53" s="494"/>
      <c r="AP53" s="86" t="s">
        <v>112</v>
      </c>
      <c r="AQ53" s="89" t="s">
        <v>113</v>
      </c>
      <c r="AR53" s="89" t="s">
        <v>114</v>
      </c>
      <c r="AS53" s="89" t="s">
        <v>115</v>
      </c>
      <c r="AU53" s="81"/>
    </row>
    <row r="54" spans="1:47" x14ac:dyDescent="0.25">
      <c r="A54" s="84">
        <f>A53+1</f>
        <v>5</v>
      </c>
      <c r="B54" s="84">
        <f t="shared" si="11"/>
        <v>1</v>
      </c>
      <c r="C54" s="88">
        <f t="shared" ref="C54" si="14">B55</f>
        <v>2</v>
      </c>
      <c r="D54" s="82">
        <f>VLOOKUP(C54,STN_TABLE,2,FALSE)</f>
        <v>11</v>
      </c>
      <c r="E54" s="92">
        <v>1</v>
      </c>
      <c r="F54" s="82">
        <f>D54*E54</f>
        <v>11</v>
      </c>
      <c r="G54" s="83">
        <f>C54</f>
        <v>2</v>
      </c>
      <c r="H54" s="83">
        <f>F54*G54</f>
        <v>22</v>
      </c>
      <c r="I54" s="84" t="str">
        <f>CONCATENATE("a'(",C54,")=")</f>
        <v>a'(2)=</v>
      </c>
      <c r="J54" s="84" t="e">
        <f>2*J52/3*F55</f>
        <v>#N/A</v>
      </c>
      <c r="K54" s="84" t="str">
        <f>CONCATENATE("A(",C52,")=")</f>
        <v>A(#NA)=</v>
      </c>
      <c r="L54" s="84" t="e">
        <f>VLOOKUP(C52,STN_TABLE,3,FALSE)</f>
        <v>#N/A</v>
      </c>
      <c r="M54" t="str">
        <f>CONCATENATE("A(",C54,")=")</f>
        <v>A(2)=</v>
      </c>
      <c r="N54" t="e">
        <f>J54+L54</f>
        <v>#N/A</v>
      </c>
      <c r="O54" s="99">
        <f>O53+1</f>
        <v>7</v>
      </c>
      <c r="P54" s="99">
        <f t="shared" si="10"/>
        <v>3</v>
      </c>
      <c r="Q54" s="82">
        <f>IF(P54-P53=P53-P52,P54,IF(P55-P53=P53-P52,P55,IF(P54-P53=P53-P51,P54,IF(P55-P53=P53-P51,P55,"-"))))</f>
        <v>3</v>
      </c>
      <c r="R54" s="83">
        <f>VLOOKUP(Q54,STN_TABLE,2,FALSE)</f>
        <v>11</v>
      </c>
      <c r="S54" s="83">
        <v>-1</v>
      </c>
      <c r="T54" s="82">
        <f>R54*S54</f>
        <v>-11</v>
      </c>
      <c r="U54" s="88">
        <v>-1</v>
      </c>
      <c r="V54" s="82">
        <f>R54*U54</f>
        <v>-11</v>
      </c>
      <c r="W54" s="84" t="str">
        <f>CONCATENATE("a'(",Q53,")=")</f>
        <v>a'(2)=</v>
      </c>
      <c r="X54" s="84">
        <f>2*X52/12*T55</f>
        <v>44</v>
      </c>
      <c r="Y54" s="84" t="str">
        <f>CONCATENATE("A(",Q52,")=")</f>
        <v>A(1)=</v>
      </c>
      <c r="Z54" s="84">
        <f>VLOOKUP(Q52,STN_TABLE,3,FALSE)</f>
        <v>42.573333333333331</v>
      </c>
      <c r="AA54" t="str">
        <f>CONCATENATE("A(",Q53,")=")</f>
        <v>A(2)=</v>
      </c>
      <c r="AB54">
        <f>X54+Z54</f>
        <v>86.573333333333323</v>
      </c>
      <c r="AC54" s="99">
        <f>AC53+1</f>
        <v>6</v>
      </c>
      <c r="AD54" s="100">
        <f>VLOOKUP(AC54,STN_TABLE_2,2,FALSE)</f>
        <v>2</v>
      </c>
      <c r="AE54" s="82">
        <f>VLOOKUP(AD54,STN_TABLE,2,FALSE)</f>
        <v>11</v>
      </c>
      <c r="AF54" s="82">
        <v>2</v>
      </c>
      <c r="AG54" s="83">
        <f>AE54*AF54</f>
        <v>22</v>
      </c>
      <c r="AH54" s="84" t="str">
        <f>CONCATENATE("a'(",AD54,")=")</f>
        <v>a'(2)=</v>
      </c>
      <c r="AI54" s="84">
        <f>2*AI52/2*AE55</f>
        <v>44</v>
      </c>
      <c r="AJ54" s="84" t="str">
        <f>CONCATENATE("A(",AD53,")=")</f>
        <v>A(1)=</v>
      </c>
      <c r="AK54" s="84">
        <f>VLOOKUP(AD53,STN_TABLE,3,FALSE)</f>
        <v>42.573333333333331</v>
      </c>
      <c r="AL54" t="str">
        <f>CONCATENATE("A(",AD54,")=")</f>
        <v>A(2)=</v>
      </c>
      <c r="AM54">
        <f>AI54+AK54</f>
        <v>86.573333333333323</v>
      </c>
      <c r="AO54" s="68" t="str">
        <f>AA54</f>
        <v>A(2)=</v>
      </c>
      <c r="AP54" s="68" t="e">
        <f>VLOOKUP(AO54,Rise_Results,2,FALSE)</f>
        <v>#N/A</v>
      </c>
      <c r="AQ54" s="76" t="e">
        <f>N54</f>
        <v>#N/A</v>
      </c>
      <c r="AR54" s="76">
        <f>IF(OR(AB54&lt;=0,AB55&lt;=0),1/0,AB54)</f>
        <v>86.573333333333323</v>
      </c>
      <c r="AS54" s="76">
        <f>AM54</f>
        <v>86.573333333333323</v>
      </c>
      <c r="AT54">
        <f>IFERROR(AP54,IFERROR(AQ54,IFERROR(AR54,AS54)))</f>
        <v>86.573333333333323</v>
      </c>
      <c r="AU54" s="81"/>
    </row>
    <row r="55" spans="1:47" x14ac:dyDescent="0.25">
      <c r="A55" s="84">
        <f>A54+1</f>
        <v>6</v>
      </c>
      <c r="B55" s="84">
        <f t="shared" si="11"/>
        <v>2</v>
      </c>
      <c r="F55" s="82" t="e">
        <f>SUM(F52:F54)</f>
        <v>#N/A</v>
      </c>
      <c r="H55" s="82" t="e">
        <f>SUM(H52:H54)</f>
        <v>#N/A</v>
      </c>
      <c r="I55" s="84" t="str">
        <f>CONCATENATE("m'(",C54,")=")</f>
        <v>m'(2)=</v>
      </c>
      <c r="J55" s="84" t="e">
        <f>2*(J52*(WLS))/3*H55</f>
        <v>#N/A</v>
      </c>
      <c r="K55" s="84" t="str">
        <f>CONCATENATE("M(",C52,")=")</f>
        <v>M(#NA)=</v>
      </c>
      <c r="L55" s="84" t="e">
        <f>VLOOKUP(C52,STN_TABLE,4,FALSE)</f>
        <v>#N/A</v>
      </c>
      <c r="M55" t="str">
        <f>CONCATENATE("M(",C54,")=")</f>
        <v>M(2)=</v>
      </c>
      <c r="N55" t="e">
        <f>J55+L55</f>
        <v>#N/A</v>
      </c>
      <c r="O55" s="99">
        <f>O54+1</f>
        <v>8</v>
      </c>
      <c r="P55" s="99">
        <f t="shared" si="10"/>
        <v>4</v>
      </c>
      <c r="T55" s="89">
        <f>SUM(T52:T54)</f>
        <v>132</v>
      </c>
      <c r="V55" s="82">
        <f>SUM(V52:V54)</f>
        <v>132</v>
      </c>
      <c r="W55" s="84" t="str">
        <f>CONCATENATE("m'(",Q53,")=")</f>
        <v>m'(2)=</v>
      </c>
      <c r="X55" s="84">
        <f>(2*(X52^2)/24*V55)+(X54*Q52*WLS)</f>
        <v>132</v>
      </c>
      <c r="Y55" s="84" t="str">
        <f>CONCATENATE("M(",Q52,")=")</f>
        <v>M(1)=</v>
      </c>
      <c r="Z55" s="84">
        <f>VLOOKUP(Q52,STN_TABLE,4,FALSE)</f>
        <v>43.326666666666661</v>
      </c>
      <c r="AA55" t="str">
        <f>CONCATENATE("M(",Q53,")=")</f>
        <v>M(2)=</v>
      </c>
      <c r="AB55">
        <f>X55+Z55</f>
        <v>175.32666666666665</v>
      </c>
      <c r="AE55" s="89">
        <f>SUM(AE53:AE54)</f>
        <v>22</v>
      </c>
      <c r="AG55" s="89">
        <f>SUM(AG53:AG54)</f>
        <v>33</v>
      </c>
      <c r="AH55" s="84" t="str">
        <f>CONCATENATE("m'(",AD54,")=")</f>
        <v>m'(2)=</v>
      </c>
      <c r="AI55" s="84">
        <f>(2*(AI52^2)/6*AG55)+(AI54*AD53*WLS)</f>
        <v>132</v>
      </c>
      <c r="AJ55" s="84" t="str">
        <f>CONCATENATE("M(",AD53,")=")</f>
        <v>M(1)=</v>
      </c>
      <c r="AK55" s="84">
        <f>VLOOKUP(AD53,STN_TABLE,4,FALSE)</f>
        <v>43.326666666666661</v>
      </c>
      <c r="AL55" t="str">
        <f>CONCATENATE("M(",AD54,")=")</f>
        <v>M(2)=</v>
      </c>
      <c r="AM55">
        <f>AI55+AK55</f>
        <v>175.32666666666665</v>
      </c>
      <c r="AO55" s="82" t="str">
        <f>AA55</f>
        <v>M(2)=</v>
      </c>
      <c r="AP55" s="82" t="e">
        <f>VLOOKUP(AO55,Rise_Results,2,FALSE)</f>
        <v>#N/A</v>
      </c>
      <c r="AQ55" s="82" t="e">
        <f>N55</f>
        <v>#N/A</v>
      </c>
      <c r="AR55" s="82">
        <f>IF(OR(AB54&lt;=0,AB55&lt;=0),1/0,AB55)</f>
        <v>175.32666666666665</v>
      </c>
      <c r="AS55" s="82">
        <f>AM55</f>
        <v>175.32666666666665</v>
      </c>
      <c r="AT55">
        <f>IFERROR(AP55,IFERROR(AQ55,IFERROR(AR55,AS55)))</f>
        <v>175.32666666666665</v>
      </c>
      <c r="AU55" s="81"/>
    </row>
    <row r="56" spans="1:47" x14ac:dyDescent="0.25">
      <c r="A56" s="101">
        <f>A51+1</f>
        <v>3</v>
      </c>
      <c r="B56" s="101">
        <f t="shared" si="11"/>
        <v>0.5</v>
      </c>
      <c r="O56" s="101">
        <f>O51+1</f>
        <v>5</v>
      </c>
      <c r="P56" s="101">
        <f t="shared" si="10"/>
        <v>1</v>
      </c>
      <c r="AU56" s="81"/>
    </row>
    <row r="57" spans="1:47" x14ac:dyDescent="0.25">
      <c r="A57" s="84">
        <f>A56+1</f>
        <v>4</v>
      </c>
      <c r="B57" s="84">
        <f t="shared" si="11"/>
        <v>0.75</v>
      </c>
      <c r="C57" s="79">
        <f t="shared" ref="C57" si="15">IF(C58=B59,IF(C59-C58=C58-B58,B58,IF(C59-C58=C58-B57,B57,"#NA")),IF(C58=B58,IF(C59-C58=C58-B57,B57,IF(C59-C58=C58-B56,B56,"#NA")),"#NA"))</f>
        <v>1</v>
      </c>
      <c r="D57" s="68">
        <f>VLOOKUP(C57,STN_TABLE,2,FALSE)</f>
        <v>11</v>
      </c>
      <c r="E57" s="102">
        <v>1</v>
      </c>
      <c r="F57" s="68">
        <f>D57*E57</f>
        <v>11</v>
      </c>
      <c r="G57" s="69">
        <f>C57</f>
        <v>1</v>
      </c>
      <c r="H57" s="69">
        <f>F57*G57</f>
        <v>11</v>
      </c>
      <c r="I57" s="6" t="s">
        <v>93</v>
      </c>
      <c r="J57" s="70">
        <f>IF(OR(D57=0,D58=0,D59=0),"#NA",IF(AND(C59-C58=C58-C57,C58&lt;&gt;C59,C57&lt;&gt;C58,C57&lt;&gt;C59,D59&lt;&gt;0,OR(D57&lt;&gt;0,D58&lt;&gt;0)),WLS*(C59-C58),"#NA"))</f>
        <v>2</v>
      </c>
      <c r="O57" s="99">
        <f>O56+1</f>
        <v>6</v>
      </c>
      <c r="P57" s="99">
        <f t="shared" si="10"/>
        <v>2</v>
      </c>
      <c r="Q57" s="68">
        <f>IF(OR(P59-P58=P58-P57,P60-P58=P58-P57),P57,IF(OR(P59-P58=P58-P56,P60-P58=P58-P56),P56,"-"))</f>
        <v>2</v>
      </c>
      <c r="R57" s="69">
        <f>VLOOKUP(Q57,STN_TABLE,2,FALSE)</f>
        <v>11</v>
      </c>
      <c r="S57" s="69">
        <v>5</v>
      </c>
      <c r="T57" s="68">
        <f>R57*S57</f>
        <v>55</v>
      </c>
      <c r="U57" s="79">
        <v>3</v>
      </c>
      <c r="V57" s="68">
        <f>R57*U57</f>
        <v>33</v>
      </c>
      <c r="W57" s="6" t="s">
        <v>93</v>
      </c>
      <c r="X57" s="70">
        <f>IF(AND(Q59-Q58=Q58-Q57,NOT(AND(Q57=0,Q58=0)),NOT(AND(Q58=0,Q59=0))),WLS*(Q59-Q58),"#NA")</f>
        <v>2</v>
      </c>
      <c r="AD57" s="93"/>
      <c r="AH57" s="6" t="s">
        <v>93</v>
      </c>
      <c r="AI57" s="70">
        <f>WLS*(AD59-AD58)</f>
        <v>2</v>
      </c>
      <c r="AU57" s="81"/>
    </row>
    <row r="58" spans="1:47" x14ac:dyDescent="0.25">
      <c r="A58" s="84">
        <f>A57+1</f>
        <v>5</v>
      </c>
      <c r="B58" s="84">
        <f t="shared" si="11"/>
        <v>1</v>
      </c>
      <c r="C58" s="80">
        <f t="shared" ref="C58" si="16">IF(OR(B60-B59=B59-B58,B60-B59=B59-B57,B60-B59=B59-B56),B59,IF(OR(B60-B58=B58-B57,B60-B58=B58-B56),B58,IF(B60-B57=B57-B56,B57,"#NA")))</f>
        <v>2</v>
      </c>
      <c r="D58" s="76">
        <f>VLOOKUP(C58,STN_TABLE,2,FALSE)</f>
        <v>11</v>
      </c>
      <c r="E58" s="81">
        <v>4</v>
      </c>
      <c r="F58" s="76">
        <f>D58*E58</f>
        <v>44</v>
      </c>
      <c r="G58" s="77">
        <f>C58</f>
        <v>2</v>
      </c>
      <c r="H58" s="77">
        <f>F58*G58</f>
        <v>88</v>
      </c>
      <c r="I58" s="495" t="s">
        <v>97</v>
      </c>
      <c r="J58" s="496"/>
      <c r="K58" s="78" t="s">
        <v>98</v>
      </c>
      <c r="L58" s="78"/>
      <c r="M58" s="7" t="s">
        <v>99</v>
      </c>
      <c r="N58" s="7"/>
      <c r="O58" s="99">
        <f>O57+1</f>
        <v>7</v>
      </c>
      <c r="P58" s="99">
        <f t="shared" si="10"/>
        <v>3</v>
      </c>
      <c r="Q58" s="76">
        <f>P58</f>
        <v>3</v>
      </c>
      <c r="R58" s="77">
        <f>VLOOKUP(Q58,STN_TABLE,2,FALSE)</f>
        <v>11</v>
      </c>
      <c r="S58" s="77">
        <v>8</v>
      </c>
      <c r="T58" s="76">
        <f>R58*S58</f>
        <v>88</v>
      </c>
      <c r="U58" s="80">
        <v>10</v>
      </c>
      <c r="V58" s="76">
        <f>R58*U58</f>
        <v>110</v>
      </c>
      <c r="W58" s="78" t="s">
        <v>97</v>
      </c>
      <c r="X58" s="78"/>
      <c r="Y58" s="78" t="s">
        <v>98</v>
      </c>
      <c r="Z58" s="78"/>
      <c r="AA58" s="7" t="s">
        <v>99</v>
      </c>
      <c r="AB58" s="7"/>
      <c r="AC58" s="99">
        <f>AC53+1</f>
        <v>6</v>
      </c>
      <c r="AD58" s="95">
        <f>VLOOKUP(AC58,STN_TABLE_2,2,FALSE)</f>
        <v>2</v>
      </c>
      <c r="AE58" s="68">
        <f>VLOOKUP(AD58,STN_TABLE,2,FALSE)</f>
        <v>11</v>
      </c>
      <c r="AF58" s="68">
        <v>1</v>
      </c>
      <c r="AG58" s="69">
        <f>AE58*AF58</f>
        <v>11</v>
      </c>
      <c r="AH58" s="496" t="s">
        <v>97</v>
      </c>
      <c r="AI58" s="496"/>
      <c r="AJ58" s="496" t="s">
        <v>98</v>
      </c>
      <c r="AK58" s="496"/>
      <c r="AL58" s="494" t="s">
        <v>99</v>
      </c>
      <c r="AM58" s="494"/>
      <c r="AP58" s="86" t="s">
        <v>112</v>
      </c>
      <c r="AQ58" s="89" t="s">
        <v>113</v>
      </c>
      <c r="AR58" s="89" t="s">
        <v>114</v>
      </c>
      <c r="AS58" s="89" t="s">
        <v>115</v>
      </c>
      <c r="AU58" s="81"/>
    </row>
    <row r="59" spans="1:47" x14ac:dyDescent="0.25">
      <c r="A59" s="84">
        <f>A58+1</f>
        <v>6</v>
      </c>
      <c r="B59" s="84">
        <f t="shared" si="11"/>
        <v>2</v>
      </c>
      <c r="C59" s="88">
        <f t="shared" ref="C59" si="17">B60</f>
        <v>3</v>
      </c>
      <c r="D59" s="82">
        <f>VLOOKUP(C59,STN_TABLE,2,FALSE)</f>
        <v>11</v>
      </c>
      <c r="E59" s="92">
        <v>1</v>
      </c>
      <c r="F59" s="82">
        <f>D59*E59</f>
        <v>11</v>
      </c>
      <c r="G59" s="83">
        <f>C59</f>
        <v>3</v>
      </c>
      <c r="H59" s="83">
        <f>F59*G59</f>
        <v>33</v>
      </c>
      <c r="I59" s="84" t="str">
        <f>CONCATENATE("a'(",C59,")=")</f>
        <v>a'(3)=</v>
      </c>
      <c r="J59" s="84">
        <f>2*J57/3*F60</f>
        <v>88</v>
      </c>
      <c r="K59" s="84" t="str">
        <f>CONCATENATE("A(",C57,")=")</f>
        <v>A(1)=</v>
      </c>
      <c r="L59" s="84">
        <f>VLOOKUP(C57,STN_TABLE,3,FALSE)</f>
        <v>42.573333333333331</v>
      </c>
      <c r="M59" t="str">
        <f>CONCATENATE("A(",C59,")=")</f>
        <v>A(3)=</v>
      </c>
      <c r="N59">
        <f>J59+L59</f>
        <v>130.57333333333332</v>
      </c>
      <c r="O59" s="99">
        <f>O58+1</f>
        <v>8</v>
      </c>
      <c r="P59" s="99">
        <f t="shared" si="10"/>
        <v>4</v>
      </c>
      <c r="Q59" s="82">
        <f>IF(P59-P58=P58-P57,P59,IF(P60-P58=P58-P57,P60,IF(P59-P58=P58-P56,P59,IF(P60-P58=P58-P56,P60,"-"))))</f>
        <v>4</v>
      </c>
      <c r="R59" s="83">
        <f>VLOOKUP(Q59,STN_TABLE,2,FALSE)</f>
        <v>11</v>
      </c>
      <c r="S59" s="83">
        <v>-1</v>
      </c>
      <c r="T59" s="82">
        <f>R59*S59</f>
        <v>-11</v>
      </c>
      <c r="U59" s="88">
        <v>-1</v>
      </c>
      <c r="V59" s="82">
        <f>R59*U59</f>
        <v>-11</v>
      </c>
      <c r="W59" s="84" t="str">
        <f>CONCATENATE("a'(",Q58,")=")</f>
        <v>a'(3)=</v>
      </c>
      <c r="X59" s="84">
        <f>2*X57/12*T60</f>
        <v>44</v>
      </c>
      <c r="Y59" s="84" t="str">
        <f>CONCATENATE("A(",Q57,")=")</f>
        <v>A(2)=</v>
      </c>
      <c r="Z59" s="84">
        <f>VLOOKUP(Q57,STN_TABLE,3,FALSE)</f>
        <v>86.573333333333323</v>
      </c>
      <c r="AA59" t="str">
        <f>CONCATENATE("A(",Q58,")=")</f>
        <v>A(3)=</v>
      </c>
      <c r="AB59">
        <f>X59+Z59</f>
        <v>130.57333333333332</v>
      </c>
      <c r="AC59" s="99">
        <f>AC58+1</f>
        <v>7</v>
      </c>
      <c r="AD59" s="100">
        <f>VLOOKUP(AC59,STN_TABLE_2,2,FALSE)</f>
        <v>3</v>
      </c>
      <c r="AE59" s="82">
        <f>VLOOKUP(AD59,STN_TABLE,2,FALSE)</f>
        <v>11</v>
      </c>
      <c r="AF59" s="82">
        <v>2</v>
      </c>
      <c r="AG59" s="83">
        <f>AE59*AF59</f>
        <v>22</v>
      </c>
      <c r="AH59" s="84" t="str">
        <f>CONCATENATE("a'(",AD59,")=")</f>
        <v>a'(3)=</v>
      </c>
      <c r="AI59" s="84">
        <f>2*AI57/2*AE60</f>
        <v>44</v>
      </c>
      <c r="AJ59" s="84" t="str">
        <f>CONCATENATE("A(",AD58,")=")</f>
        <v>A(2)=</v>
      </c>
      <c r="AK59" s="84">
        <f>VLOOKUP(AD58,STN_TABLE,3,FALSE)</f>
        <v>86.573333333333323</v>
      </c>
      <c r="AL59" t="str">
        <f>CONCATENATE("A(",AD59,")=")</f>
        <v>A(3)=</v>
      </c>
      <c r="AM59">
        <f>AI59+AK59</f>
        <v>130.57333333333332</v>
      </c>
      <c r="AO59" s="68" t="str">
        <f>AA59</f>
        <v>A(3)=</v>
      </c>
      <c r="AP59" s="68" t="e">
        <f>VLOOKUP(AO59,Rise_Results,2,FALSE)</f>
        <v>#N/A</v>
      </c>
      <c r="AQ59" s="76">
        <f>N59</f>
        <v>130.57333333333332</v>
      </c>
      <c r="AR59" s="76">
        <f>IF(OR(AB59&lt;=0,AB60&lt;=0),1/0,AB59)</f>
        <v>130.57333333333332</v>
      </c>
      <c r="AS59" s="76">
        <f>AM59</f>
        <v>130.57333333333332</v>
      </c>
      <c r="AT59">
        <f>IFERROR(AP59,IFERROR(AQ59,IFERROR(AR59,AS59)))</f>
        <v>130.57333333333332</v>
      </c>
      <c r="AU59" s="81"/>
    </row>
    <row r="60" spans="1:47" x14ac:dyDescent="0.25">
      <c r="A60" s="84">
        <f>A59+1</f>
        <v>7</v>
      </c>
      <c r="B60" s="84">
        <f t="shared" si="11"/>
        <v>3</v>
      </c>
      <c r="F60" s="82">
        <f>SUM(F57:F59)</f>
        <v>66</v>
      </c>
      <c r="H60" s="82">
        <f>SUM(H57:H59)</f>
        <v>132</v>
      </c>
      <c r="I60" s="84" t="str">
        <f>CONCATENATE("m'(",C59,")=")</f>
        <v>m'(3)=</v>
      </c>
      <c r="J60" s="84">
        <f>2*(J57*(WLS))/3*H60</f>
        <v>352</v>
      </c>
      <c r="K60" s="84" t="str">
        <f>CONCATENATE("M(",C57,")=")</f>
        <v>M(1)=</v>
      </c>
      <c r="L60" s="84">
        <f>VLOOKUP(C57,STN_TABLE,4,FALSE)</f>
        <v>43.326666666666661</v>
      </c>
      <c r="M60" t="str">
        <f>CONCATENATE("M(",C59,")=")</f>
        <v>M(3)=</v>
      </c>
      <c r="N60">
        <f>J60+L60</f>
        <v>395.32666666666665</v>
      </c>
      <c r="O60" s="99">
        <f>O59+1</f>
        <v>9</v>
      </c>
      <c r="P60" s="99">
        <f t="shared" si="10"/>
        <v>4.8499999999999996</v>
      </c>
      <c r="T60" s="89">
        <f>SUM(T57:T59)</f>
        <v>132</v>
      </c>
      <c r="V60" s="82">
        <f>SUM(V57:V59)</f>
        <v>132</v>
      </c>
      <c r="W60" s="84" t="str">
        <f>CONCATENATE("m'(",Q58,")=")</f>
        <v>m'(3)=</v>
      </c>
      <c r="X60" s="84">
        <f>(2*(X57^2)/24*V60)+(X59*Q57*WLS)</f>
        <v>220</v>
      </c>
      <c r="Y60" s="84" t="str">
        <f>CONCATENATE("M(",Q57,")=")</f>
        <v>M(2)=</v>
      </c>
      <c r="Z60" s="84">
        <f>VLOOKUP(Q57,STN_TABLE,4,FALSE)</f>
        <v>175.32666666666665</v>
      </c>
      <c r="AA60" t="str">
        <f>CONCATENATE("M(",Q58,")=")</f>
        <v>M(3)=</v>
      </c>
      <c r="AB60">
        <f>X60+Z60</f>
        <v>395.32666666666665</v>
      </c>
      <c r="AE60" s="89">
        <f>SUM(AE58:AE59)</f>
        <v>22</v>
      </c>
      <c r="AG60" s="89">
        <f>SUM(AG58:AG59)</f>
        <v>33</v>
      </c>
      <c r="AH60" s="84" t="str">
        <f>CONCATENATE("m'(",AD59,")=")</f>
        <v>m'(3)=</v>
      </c>
      <c r="AI60" s="84">
        <f>(2*(AI57^2)/6*AG60)+(AI59*AD58*WLS)</f>
        <v>220</v>
      </c>
      <c r="AJ60" s="84" t="str">
        <f>CONCATENATE("M(",AD58,")=")</f>
        <v>M(2)=</v>
      </c>
      <c r="AK60" s="84">
        <f>VLOOKUP(AD57,STN_TABLE,4,FALSE)</f>
        <v>0</v>
      </c>
      <c r="AL60" t="str">
        <f>CONCATENATE("M(",AD59,")=")</f>
        <v>M(3)=</v>
      </c>
      <c r="AM60">
        <f>AI60+AK60</f>
        <v>220</v>
      </c>
      <c r="AO60" s="82" t="str">
        <f>AA60</f>
        <v>M(3)=</v>
      </c>
      <c r="AP60" s="82" t="e">
        <f>VLOOKUP(AO60,Rise_Results,2,FALSE)</f>
        <v>#N/A</v>
      </c>
      <c r="AQ60" s="82">
        <f>N60</f>
        <v>395.32666666666665</v>
      </c>
      <c r="AR60" s="82">
        <f>IF(OR(AB59&lt;=0,AB60&lt;=0),1/0,AB60)</f>
        <v>395.32666666666665</v>
      </c>
      <c r="AS60" s="82">
        <f>AM60</f>
        <v>220</v>
      </c>
      <c r="AT60">
        <f>IFERROR(AP60,IFERROR(AQ60,IFERROR(AR60,AS60)))</f>
        <v>395.32666666666665</v>
      </c>
      <c r="AU60" s="81"/>
    </row>
    <row r="61" spans="1:47" x14ac:dyDescent="0.25">
      <c r="A61" s="101">
        <f>A56+1</f>
        <v>4</v>
      </c>
      <c r="B61" s="101">
        <f t="shared" si="11"/>
        <v>0.75</v>
      </c>
      <c r="O61" s="101">
        <f>O56+1</f>
        <v>6</v>
      </c>
      <c r="P61" s="101">
        <f t="shared" si="10"/>
        <v>2</v>
      </c>
      <c r="AU61" s="81"/>
    </row>
    <row r="62" spans="1:47" x14ac:dyDescent="0.25">
      <c r="A62" s="84">
        <f>A61+1</f>
        <v>5</v>
      </c>
      <c r="B62" s="84">
        <f t="shared" si="11"/>
        <v>1</v>
      </c>
      <c r="C62" s="79">
        <f t="shared" ref="C62" si="18">IF(C63=B64,IF(C64-C63=C63-B63,B63,IF(C64-C63=C63-B62,B62,"#NA")),IF(C63=B63,IF(C64-C63=C63-B62,B62,IF(C64-C63=C63-B61,B61,"#NA")),"#NA"))</f>
        <v>2</v>
      </c>
      <c r="D62" s="68">
        <f>VLOOKUP(C62,STN_TABLE,2,FALSE)</f>
        <v>11</v>
      </c>
      <c r="E62" s="102">
        <v>1</v>
      </c>
      <c r="F62" s="68">
        <f>D62*E62</f>
        <v>11</v>
      </c>
      <c r="G62" s="69">
        <f>C62</f>
        <v>2</v>
      </c>
      <c r="H62" s="69">
        <f>F62*G62</f>
        <v>22</v>
      </c>
      <c r="I62" s="6" t="s">
        <v>93</v>
      </c>
      <c r="J62" s="70">
        <f>IF(OR(D62=0,D63=0,D64=0),"#NA",IF(AND(C64-C63=C63-C62,C63&lt;&gt;C64,C62&lt;&gt;C63,C62&lt;&gt;C64,D64&lt;&gt;0,OR(D62&lt;&gt;0,D63&lt;&gt;0)),WLS*(C64-C63),"#NA"))</f>
        <v>2</v>
      </c>
      <c r="O62" s="99">
        <f>O61+1</f>
        <v>7</v>
      </c>
      <c r="P62" s="99">
        <f t="shared" si="10"/>
        <v>3</v>
      </c>
      <c r="Q62" s="68">
        <f>IF(OR(P64-P63=P63-P62,P65-P63=P63-P62),P62,IF(OR(P64-P63=P63-P61,P65-P63=P63-P61),P61,"-"))</f>
        <v>3</v>
      </c>
      <c r="R62" s="69">
        <f>VLOOKUP(Q62,STN_TABLE,2,FALSE)</f>
        <v>11</v>
      </c>
      <c r="S62" s="69">
        <v>5</v>
      </c>
      <c r="T62" s="68">
        <f>R62*S62</f>
        <v>55</v>
      </c>
      <c r="U62" s="79">
        <v>3</v>
      </c>
      <c r="V62" s="68">
        <f>R62*U62</f>
        <v>33</v>
      </c>
      <c r="W62" s="6" t="s">
        <v>93</v>
      </c>
      <c r="X62" s="70">
        <f>IF(AND(Q64-Q63=Q63-Q62,NOT(AND(Q62=0,Q63=0)),NOT(AND(Q63=0,Q64=0))),WLS*(Q64-Q63),"#NA")</f>
        <v>2</v>
      </c>
      <c r="AD62" s="93"/>
      <c r="AH62" s="6" t="s">
        <v>93</v>
      </c>
      <c r="AI62" s="70">
        <f>WLS*(AD64-AD63)</f>
        <v>2</v>
      </c>
      <c r="AU62" s="81"/>
    </row>
    <row r="63" spans="1:47" x14ac:dyDescent="0.25">
      <c r="A63" s="84">
        <f>A62+1</f>
        <v>6</v>
      </c>
      <c r="B63" s="84">
        <f t="shared" si="11"/>
        <v>2</v>
      </c>
      <c r="C63" s="80">
        <f t="shared" ref="C63" si="19">IF(OR(B65-B64=B64-B63,B65-B64=B64-B62,B65-B64=B64-B61),B64,IF(OR(B65-B63=B63-B62,B65-B63=B63-B61),B63,IF(B65-B62=B62-B61,B62,"#NA")))</f>
        <v>3</v>
      </c>
      <c r="D63" s="76">
        <f>VLOOKUP(C63,STN_TABLE,2,FALSE)</f>
        <v>11</v>
      </c>
      <c r="E63" s="81">
        <v>4</v>
      </c>
      <c r="F63" s="76">
        <f>D63*E63</f>
        <v>44</v>
      </c>
      <c r="G63" s="77">
        <f>C63</f>
        <v>3</v>
      </c>
      <c r="H63" s="77">
        <f>F63*G63</f>
        <v>132</v>
      </c>
      <c r="I63" s="495" t="s">
        <v>97</v>
      </c>
      <c r="J63" s="496"/>
      <c r="K63" s="78" t="s">
        <v>98</v>
      </c>
      <c r="L63" s="78"/>
      <c r="M63" s="7" t="s">
        <v>99</v>
      </c>
      <c r="N63" s="7"/>
      <c r="O63" s="99">
        <f>O62+1</f>
        <v>8</v>
      </c>
      <c r="P63" s="99">
        <f t="shared" si="10"/>
        <v>4</v>
      </c>
      <c r="Q63" s="76">
        <f>P63</f>
        <v>4</v>
      </c>
      <c r="R63" s="77">
        <f>VLOOKUP(Q63,STN_TABLE,2,FALSE)</f>
        <v>11</v>
      </c>
      <c r="S63" s="77">
        <v>8</v>
      </c>
      <c r="T63" s="76">
        <f>R63*S63</f>
        <v>88</v>
      </c>
      <c r="U63" s="80">
        <v>10</v>
      </c>
      <c r="V63" s="76">
        <f>R63*U63</f>
        <v>110</v>
      </c>
      <c r="W63" s="496" t="s">
        <v>97</v>
      </c>
      <c r="X63" s="496"/>
      <c r="Y63" s="496" t="s">
        <v>98</v>
      </c>
      <c r="Z63" s="496"/>
      <c r="AA63" s="494" t="s">
        <v>99</v>
      </c>
      <c r="AB63" s="494"/>
      <c r="AC63" s="99">
        <f>AC58+1</f>
        <v>7</v>
      </c>
      <c r="AD63" s="95">
        <f>VLOOKUP(AC63,STN_TABLE_2,2,FALSE)</f>
        <v>3</v>
      </c>
      <c r="AE63" s="68">
        <f>VLOOKUP(AD63,STN_TABLE,2,FALSE)</f>
        <v>11</v>
      </c>
      <c r="AF63" s="68">
        <v>1</v>
      </c>
      <c r="AG63" s="69">
        <f>AE63*AF63</f>
        <v>11</v>
      </c>
      <c r="AH63" s="496" t="s">
        <v>97</v>
      </c>
      <c r="AI63" s="496"/>
      <c r="AJ63" s="496" t="s">
        <v>98</v>
      </c>
      <c r="AK63" s="496"/>
      <c r="AL63" s="494" t="s">
        <v>99</v>
      </c>
      <c r="AM63" s="494"/>
      <c r="AP63" s="86" t="s">
        <v>112</v>
      </c>
      <c r="AQ63" s="89" t="s">
        <v>113</v>
      </c>
      <c r="AR63" s="89" t="s">
        <v>114</v>
      </c>
      <c r="AS63" s="89" t="s">
        <v>115</v>
      </c>
      <c r="AU63" s="81"/>
    </row>
    <row r="64" spans="1:47" x14ac:dyDescent="0.25">
      <c r="A64" s="84">
        <f>A63+1</f>
        <v>7</v>
      </c>
      <c r="B64" s="84">
        <f t="shared" si="11"/>
        <v>3</v>
      </c>
      <c r="C64" s="88">
        <f t="shared" ref="C64" si="20">B65</f>
        <v>4</v>
      </c>
      <c r="D64" s="82">
        <f>VLOOKUP(C64,STN_TABLE,2,FALSE)</f>
        <v>11</v>
      </c>
      <c r="E64" s="92">
        <v>1</v>
      </c>
      <c r="F64" s="82">
        <f>D64*E64</f>
        <v>11</v>
      </c>
      <c r="G64" s="83">
        <f>C64</f>
        <v>4</v>
      </c>
      <c r="H64" s="83">
        <f>F64*G64</f>
        <v>44</v>
      </c>
      <c r="I64" s="84" t="str">
        <f>CONCATENATE("a'(",C64,")=")</f>
        <v>a'(4)=</v>
      </c>
      <c r="J64" s="84">
        <f>2*J62/3*F65</f>
        <v>88</v>
      </c>
      <c r="K64" s="84" t="str">
        <f>CONCATENATE("A(",C62,")=")</f>
        <v>A(2)=</v>
      </c>
      <c r="L64" s="84">
        <f>VLOOKUP(C62,STN_TABLE,3,FALSE)</f>
        <v>86.573333333333323</v>
      </c>
      <c r="M64" t="str">
        <f>CONCATENATE("A(",C64,")=")</f>
        <v>A(4)=</v>
      </c>
      <c r="N64">
        <f>J64+L64</f>
        <v>174.57333333333332</v>
      </c>
      <c r="O64" s="99">
        <f>O63+1</f>
        <v>9</v>
      </c>
      <c r="P64" s="99">
        <f t="shared" si="10"/>
        <v>4.8499999999999996</v>
      </c>
      <c r="Q64" s="82">
        <f>IF(P64-P63=P63-P62,P64,IF(P65-P63=P63-P62,P65,IF(P64-P63=P63-P61,P64,IF(P65-P63=P63-P61,P65,"-"))))</f>
        <v>5</v>
      </c>
      <c r="R64" s="83">
        <f>VLOOKUP(Q64,STN_TABLE,2,FALSE)</f>
        <v>11</v>
      </c>
      <c r="S64" s="83">
        <v>-1</v>
      </c>
      <c r="T64" s="82">
        <f>R64*S64</f>
        <v>-11</v>
      </c>
      <c r="U64" s="88">
        <v>-1</v>
      </c>
      <c r="V64" s="82">
        <f>R64*U64</f>
        <v>-11</v>
      </c>
      <c r="W64" s="84" t="str">
        <f>CONCATENATE("a'(",Q63,")=")</f>
        <v>a'(4)=</v>
      </c>
      <c r="X64" s="84">
        <f>2*X62/12*T65</f>
        <v>44</v>
      </c>
      <c r="Y64" s="84" t="str">
        <f>CONCATENATE("A(",Q62,")=")</f>
        <v>A(3)=</v>
      </c>
      <c r="Z64" s="84">
        <f>VLOOKUP(Q62,STN_TABLE,3,FALSE)</f>
        <v>130.57333333333332</v>
      </c>
      <c r="AA64" t="str">
        <f>CONCATENATE("A(",Q63,")=")</f>
        <v>A(4)=</v>
      </c>
      <c r="AB64">
        <f>X64+Z64</f>
        <v>174.57333333333332</v>
      </c>
      <c r="AC64" s="99">
        <f>AC63+1</f>
        <v>8</v>
      </c>
      <c r="AD64" s="100">
        <f>VLOOKUP(AC64,STN_TABLE_2,2,FALSE)</f>
        <v>4</v>
      </c>
      <c r="AE64" s="82">
        <f>VLOOKUP(AD64,STN_TABLE,2,FALSE)</f>
        <v>11</v>
      </c>
      <c r="AF64" s="82">
        <v>2</v>
      </c>
      <c r="AG64" s="83">
        <f>AE64*AF64</f>
        <v>22</v>
      </c>
      <c r="AH64" s="84" t="str">
        <f>CONCATENATE("a'(",AD64,")=")</f>
        <v>a'(4)=</v>
      </c>
      <c r="AI64" s="84">
        <f>2*AI62/2*AE65</f>
        <v>44</v>
      </c>
      <c r="AJ64" s="84" t="str">
        <f>CONCATENATE("A(",AD63,")=")</f>
        <v>A(3)=</v>
      </c>
      <c r="AK64" s="84">
        <f>VLOOKUP(AD63,STN_TABLE,3,FALSE)</f>
        <v>130.57333333333332</v>
      </c>
      <c r="AL64" t="str">
        <f>CONCATENATE("A(",AD64,")=")</f>
        <v>A(4)=</v>
      </c>
      <c r="AM64">
        <f>AI64+AK64</f>
        <v>174.57333333333332</v>
      </c>
      <c r="AO64" s="68" t="str">
        <f>AA64</f>
        <v>A(4)=</v>
      </c>
      <c r="AP64" s="68" t="e">
        <f>VLOOKUP(AO64,Rise_Results,2,FALSE)</f>
        <v>#N/A</v>
      </c>
      <c r="AQ64" s="76">
        <f>N64</f>
        <v>174.57333333333332</v>
      </c>
      <c r="AR64" s="76">
        <f>IF(OR(AB64&lt;=0,AB65&lt;=0),1/0,AB64)</f>
        <v>174.57333333333332</v>
      </c>
      <c r="AS64" s="76">
        <f>AM64</f>
        <v>174.57333333333332</v>
      </c>
      <c r="AT64">
        <f>IFERROR(AP64,IFERROR(AQ64,IFERROR(AR64,AS64)))</f>
        <v>174.57333333333332</v>
      </c>
      <c r="AU64" s="81"/>
    </row>
    <row r="65" spans="1:47" x14ac:dyDescent="0.25">
      <c r="A65" s="84">
        <f>A64+1</f>
        <v>8</v>
      </c>
      <c r="B65" s="84">
        <f t="shared" si="11"/>
        <v>4</v>
      </c>
      <c r="F65" s="82">
        <f>SUM(F62:F64)</f>
        <v>66</v>
      </c>
      <c r="H65" s="82">
        <f>SUM(H62:H64)</f>
        <v>198</v>
      </c>
      <c r="I65" s="84" t="str">
        <f>CONCATENATE("m'(",C64,")=")</f>
        <v>m'(4)=</v>
      </c>
      <c r="J65" s="84">
        <f>2*(J62*(WLS))/3*H65</f>
        <v>528</v>
      </c>
      <c r="K65" s="84" t="str">
        <f>CONCATENATE("M(",C62,")=")</f>
        <v>M(2)=</v>
      </c>
      <c r="L65" s="84">
        <f>VLOOKUP(C62,STN_TABLE,4,FALSE)</f>
        <v>175.32666666666665</v>
      </c>
      <c r="M65" t="str">
        <f>CONCATENATE("M(",C64,")=")</f>
        <v>M(4)=</v>
      </c>
      <c r="N65">
        <f>J65+L65</f>
        <v>703.3266666666666</v>
      </c>
      <c r="O65" s="99">
        <f>O64+1</f>
        <v>10</v>
      </c>
      <c r="P65" s="99">
        <f t="shared" si="10"/>
        <v>5</v>
      </c>
      <c r="T65" s="89">
        <f>SUM(T62:T64)</f>
        <v>132</v>
      </c>
      <c r="V65" s="82">
        <f>SUM(V62:V64)</f>
        <v>132</v>
      </c>
      <c r="W65" s="84" t="str">
        <f>CONCATENATE("m'(",Q63,")=")</f>
        <v>m'(4)=</v>
      </c>
      <c r="X65" s="84">
        <f>(2*(X62^2)/24*V65)+(X64*Q62*WLS)</f>
        <v>308</v>
      </c>
      <c r="Y65" s="84" t="str">
        <f>CONCATENATE("M(",Q62,")=")</f>
        <v>M(3)=</v>
      </c>
      <c r="Z65" s="84">
        <f>VLOOKUP(Q62,STN_TABLE,4,FALSE)</f>
        <v>395.32666666666665</v>
      </c>
      <c r="AA65" t="str">
        <f>CONCATENATE("M(",Q63,")=")</f>
        <v>M(4)=</v>
      </c>
      <c r="AB65">
        <f>X65+Z65</f>
        <v>703.3266666666666</v>
      </c>
      <c r="AE65" s="89">
        <f>SUM(AE63:AE64)</f>
        <v>22</v>
      </c>
      <c r="AG65" s="89">
        <f>SUM(AG63:AG64)</f>
        <v>33</v>
      </c>
      <c r="AH65" s="84" t="str">
        <f>CONCATENATE("m'(",AD64,")=")</f>
        <v>m'(4)=</v>
      </c>
      <c r="AI65" s="84">
        <f>(2*(AI62^2)/6*AG65)+(AI64*AD63*WLS)</f>
        <v>308</v>
      </c>
      <c r="AJ65" s="84" t="str">
        <f>CONCATENATE("M(",AD63,")=")</f>
        <v>M(3)=</v>
      </c>
      <c r="AK65" s="84">
        <f>VLOOKUP(AD63,STN_TABLE,4,FALSE)</f>
        <v>395.32666666666665</v>
      </c>
      <c r="AL65" t="str">
        <f>CONCATENATE("M(",AD64,")=")</f>
        <v>M(4)=</v>
      </c>
      <c r="AM65">
        <f>AI65+AK65</f>
        <v>703.3266666666666</v>
      </c>
      <c r="AO65" s="82" t="str">
        <f>AA65</f>
        <v>M(4)=</v>
      </c>
      <c r="AP65" s="82" t="e">
        <f>VLOOKUP(AO65,Rise_Results,2,FALSE)</f>
        <v>#N/A</v>
      </c>
      <c r="AQ65" s="82">
        <f>N65</f>
        <v>703.3266666666666</v>
      </c>
      <c r="AR65" s="82">
        <f>IF(OR(AB64&lt;=0,AB65&lt;=0),1/0,AB65)</f>
        <v>703.3266666666666</v>
      </c>
      <c r="AS65" s="82">
        <f>AM65</f>
        <v>703.3266666666666</v>
      </c>
      <c r="AT65">
        <f>IFERROR(AP65,IFERROR(AQ65,IFERROR(AR65,AS65)))</f>
        <v>703.3266666666666</v>
      </c>
      <c r="AU65" s="81"/>
    </row>
    <row r="66" spans="1:47" x14ac:dyDescent="0.25">
      <c r="A66" s="101">
        <f>A61+1</f>
        <v>5</v>
      </c>
      <c r="B66" s="101">
        <f t="shared" si="11"/>
        <v>1</v>
      </c>
      <c r="O66" s="101">
        <f>O61+1</f>
        <v>7</v>
      </c>
      <c r="P66" s="101">
        <f t="shared" si="10"/>
        <v>3</v>
      </c>
      <c r="AU66" s="81"/>
    </row>
    <row r="67" spans="1:47" x14ac:dyDescent="0.25">
      <c r="A67" s="84">
        <f>A66+1</f>
        <v>6</v>
      </c>
      <c r="B67" s="84">
        <f t="shared" si="11"/>
        <v>2</v>
      </c>
      <c r="C67" s="79" t="str">
        <f t="shared" ref="C67" si="21">IF(C68=B69,IF(C69-C68=C68-B68,B68,IF(C69-C68=C68-B67,B67,"#NA")),IF(C68=B68,IF(C69-C68=C68-B67,B67,IF(C69-C68=C68-B66,B66,"#NA")),"#NA"))</f>
        <v>#NA</v>
      </c>
      <c r="D67" s="68" t="e">
        <f>VLOOKUP(C67,STN_TABLE,2,FALSE)</f>
        <v>#N/A</v>
      </c>
      <c r="E67" s="102">
        <v>1</v>
      </c>
      <c r="F67" s="68" t="e">
        <f>D67*E67</f>
        <v>#N/A</v>
      </c>
      <c r="G67" s="69" t="str">
        <f>C67</f>
        <v>#NA</v>
      </c>
      <c r="H67" s="69" t="e">
        <f>F67*G67</f>
        <v>#N/A</v>
      </c>
      <c r="I67" s="6" t="s">
        <v>93</v>
      </c>
      <c r="J67" s="70" t="e">
        <f>IF(OR(D67=0,D68=0,D69=0),"#NA",IF(AND(C69-C68=C68-C67,C68&lt;&gt;C69,C67&lt;&gt;C68,C67&lt;&gt;C69,D69&lt;&gt;0,OR(D67&lt;&gt;0,D68&lt;&gt;0)),WLS*(C69-C68),"#NA"))</f>
        <v>#N/A</v>
      </c>
      <c r="O67" s="99">
        <f>O66+1</f>
        <v>8</v>
      </c>
      <c r="P67" s="99">
        <f t="shared" si="10"/>
        <v>4</v>
      </c>
      <c r="Q67" s="68" t="str">
        <f>IF(OR(P69-P68=P68-P67,P70-P68=P68-P67),P67,IF(OR(P69-P68=P68-P66,P70-P68=P68-P66),P66,"-"))</f>
        <v>-</v>
      </c>
      <c r="R67" s="69" t="e">
        <f>VLOOKUP(Q67,STN_TABLE,2,FALSE)</f>
        <v>#N/A</v>
      </c>
      <c r="S67" s="69">
        <v>5</v>
      </c>
      <c r="T67" s="68" t="e">
        <f>R67*S67</f>
        <v>#N/A</v>
      </c>
      <c r="U67" s="79">
        <v>3</v>
      </c>
      <c r="V67" s="68" t="e">
        <f>R67*U67</f>
        <v>#N/A</v>
      </c>
      <c r="W67" s="6" t="s">
        <v>93</v>
      </c>
      <c r="X67" s="70" t="e">
        <f>IF(AND(Q69-Q68=Q68-Q67,NOT(AND(Q67=0,Q68=0)),NOT(AND(Q68=0,Q69=0))),WLS*(Q69-Q68),"#NA")</f>
        <v>#VALUE!</v>
      </c>
      <c r="AD67" s="93"/>
      <c r="AH67" s="6" t="s">
        <v>93</v>
      </c>
      <c r="AI67" s="70">
        <f>WLS*(AD69-AD68)</f>
        <v>1.6999999999999993</v>
      </c>
      <c r="AU67" s="81"/>
    </row>
    <row r="68" spans="1:47" x14ac:dyDescent="0.25">
      <c r="A68" s="84">
        <f>A67+1</f>
        <v>7</v>
      </c>
      <c r="B68" s="84">
        <f t="shared" si="11"/>
        <v>3</v>
      </c>
      <c r="C68" s="80" t="str">
        <f t="shared" ref="C68" si="22">IF(OR(B70-B69=B69-B68,B70-B69=B69-B67,B70-B69=B69-B66),B69,IF(OR(B70-B68=B68-B67,B70-B68=B68-B66),B68,IF(B70-B67=B67-B66,B67,"#NA")))</f>
        <v>#NA</v>
      </c>
      <c r="D68" s="76" t="e">
        <f>VLOOKUP(C68,STN_TABLE,2,FALSE)</f>
        <v>#N/A</v>
      </c>
      <c r="E68" s="81">
        <v>4</v>
      </c>
      <c r="F68" s="76" t="e">
        <f>D68*E68</f>
        <v>#N/A</v>
      </c>
      <c r="G68" s="77" t="str">
        <f>C68</f>
        <v>#NA</v>
      </c>
      <c r="H68" s="77" t="e">
        <f>F68*G68</f>
        <v>#N/A</v>
      </c>
      <c r="I68" s="495" t="s">
        <v>97</v>
      </c>
      <c r="J68" s="496"/>
      <c r="K68" s="78" t="s">
        <v>98</v>
      </c>
      <c r="L68" s="78"/>
      <c r="M68" s="7" t="s">
        <v>99</v>
      </c>
      <c r="N68" s="7"/>
      <c r="O68" s="99">
        <f>O67+1</f>
        <v>9</v>
      </c>
      <c r="P68" s="99">
        <f t="shared" ref="P68:P99" si="23">VLOOKUP(O68,STN_TABLE_2,2,FALSE)</f>
        <v>4.8499999999999996</v>
      </c>
      <c r="Q68" s="76">
        <f>P68</f>
        <v>4.8499999999999996</v>
      </c>
      <c r="R68" s="77">
        <f>VLOOKUP(Q68,STN_TABLE,2,FALSE)</f>
        <v>11</v>
      </c>
      <c r="S68" s="77">
        <v>8</v>
      </c>
      <c r="T68" s="76">
        <f>R68*S68</f>
        <v>88</v>
      </c>
      <c r="U68" s="80">
        <v>10</v>
      </c>
      <c r="V68" s="76">
        <f>R68*U68</f>
        <v>110</v>
      </c>
      <c r="W68" s="496" t="s">
        <v>97</v>
      </c>
      <c r="X68" s="496"/>
      <c r="Y68" s="496" t="s">
        <v>98</v>
      </c>
      <c r="Z68" s="496"/>
      <c r="AA68" s="494" t="s">
        <v>99</v>
      </c>
      <c r="AB68" s="494"/>
      <c r="AC68" s="99">
        <f>AC63+1</f>
        <v>8</v>
      </c>
      <c r="AD68" s="95">
        <f>VLOOKUP(AC68,STN_TABLE_2,2,FALSE)</f>
        <v>4</v>
      </c>
      <c r="AE68" s="68">
        <f>VLOOKUP(AD68,STN_TABLE,2,FALSE)</f>
        <v>11</v>
      </c>
      <c r="AF68" s="68">
        <v>1</v>
      </c>
      <c r="AG68" s="69">
        <f>AE68*AF68</f>
        <v>11</v>
      </c>
      <c r="AH68" s="496" t="s">
        <v>97</v>
      </c>
      <c r="AI68" s="496"/>
      <c r="AJ68" s="496" t="s">
        <v>98</v>
      </c>
      <c r="AK68" s="496"/>
      <c r="AL68" s="494" t="s">
        <v>99</v>
      </c>
      <c r="AM68" s="494"/>
      <c r="AP68" s="86" t="s">
        <v>112</v>
      </c>
      <c r="AQ68" s="89" t="s">
        <v>113</v>
      </c>
      <c r="AR68" s="89" t="s">
        <v>114</v>
      </c>
      <c r="AS68" s="89" t="s">
        <v>115</v>
      </c>
      <c r="AU68" s="81"/>
    </row>
    <row r="69" spans="1:47" x14ac:dyDescent="0.25">
      <c r="A69" s="84">
        <f>A68+1</f>
        <v>8</v>
      </c>
      <c r="B69" s="84">
        <f t="shared" si="11"/>
        <v>4</v>
      </c>
      <c r="C69" s="88">
        <f t="shared" ref="C69" si="24">B70</f>
        <v>4.8499999999999996</v>
      </c>
      <c r="D69" s="82">
        <f>VLOOKUP(C69,STN_TABLE,2,FALSE)</f>
        <v>11</v>
      </c>
      <c r="E69" s="92">
        <v>1</v>
      </c>
      <c r="F69" s="82">
        <f>D69*E69</f>
        <v>11</v>
      </c>
      <c r="G69" s="83">
        <f>C69</f>
        <v>4.8499999999999996</v>
      </c>
      <c r="H69" s="83">
        <f>F69*G69</f>
        <v>53.349999999999994</v>
      </c>
      <c r="I69" s="84" t="str">
        <f>CONCATENATE("a'(",C69,")=")</f>
        <v>a'(4.85)=</v>
      </c>
      <c r="J69" s="84" t="e">
        <f>2*J67/3*F70</f>
        <v>#N/A</v>
      </c>
      <c r="K69" s="84" t="str">
        <f>CONCATENATE("A(",C67,")=")</f>
        <v>A(#NA)=</v>
      </c>
      <c r="L69" s="84" t="e">
        <f>VLOOKUP(C67,STN_TABLE,3,FALSE)</f>
        <v>#N/A</v>
      </c>
      <c r="M69" t="str">
        <f>CONCATENATE("A(",C69,")=")</f>
        <v>A(4.85)=</v>
      </c>
      <c r="N69" t="e">
        <f>J69+L69</f>
        <v>#N/A</v>
      </c>
      <c r="O69" s="99">
        <f>O68+1</f>
        <v>10</v>
      </c>
      <c r="P69" s="99">
        <f t="shared" si="23"/>
        <v>5</v>
      </c>
      <c r="Q69" s="82" t="str">
        <f>IF(P69-P68=P68-P67,P69,IF(P70-P68=P68-P67,P70,IF(P69-P68=P68-P66,P69,IF(P70-P68=P68-P66,P70,"-"))))</f>
        <v>-</v>
      </c>
      <c r="R69" s="83" t="e">
        <f>VLOOKUP(Q69,STN_TABLE,2,FALSE)</f>
        <v>#N/A</v>
      </c>
      <c r="S69" s="83">
        <v>-1</v>
      </c>
      <c r="T69" s="82" t="e">
        <f>R69*S69</f>
        <v>#N/A</v>
      </c>
      <c r="U69" s="88">
        <v>-1</v>
      </c>
      <c r="V69" s="82" t="e">
        <f>R69*U69</f>
        <v>#N/A</v>
      </c>
      <c r="W69" s="84" t="str">
        <f>CONCATENATE("a'(",Q68,")=")</f>
        <v>a'(4.85)=</v>
      </c>
      <c r="X69" s="84" t="e">
        <f>2*X67/12*T70</f>
        <v>#VALUE!</v>
      </c>
      <c r="Y69" s="84" t="str">
        <f>CONCATENATE("A(",Q67,")=")</f>
        <v>A(-)=</v>
      </c>
      <c r="Z69" s="84" t="e">
        <f>VLOOKUP(Q67,STN_TABLE,3,FALSE)</f>
        <v>#N/A</v>
      </c>
      <c r="AA69" t="str">
        <f>CONCATENATE("A(",Q68,")=")</f>
        <v>A(4.85)=</v>
      </c>
      <c r="AB69" t="e">
        <f>X69+Z69</f>
        <v>#VALUE!</v>
      </c>
      <c r="AC69" s="99">
        <f>AC68+1</f>
        <v>9</v>
      </c>
      <c r="AD69" s="100">
        <f>VLOOKUP(AC69,STN_TABLE_2,2,FALSE)</f>
        <v>4.8499999999999996</v>
      </c>
      <c r="AE69" s="82">
        <f>VLOOKUP(AD69,STN_TABLE,2,FALSE)</f>
        <v>11</v>
      </c>
      <c r="AF69" s="82">
        <v>2</v>
      </c>
      <c r="AG69" s="83">
        <f>AE69*AF69</f>
        <v>22</v>
      </c>
      <c r="AH69" s="84" t="str">
        <f>CONCATENATE("a'(",AD69,")=")</f>
        <v>a'(4.85)=</v>
      </c>
      <c r="AI69" s="84">
        <f>2*AI67/2*AE70</f>
        <v>37.399999999999984</v>
      </c>
      <c r="AJ69" s="84" t="str">
        <f>CONCATENATE("A(",AD68,")=")</f>
        <v>A(4)=</v>
      </c>
      <c r="AK69" s="84">
        <f>VLOOKUP(AD68,STN_TABLE,3,FALSE)</f>
        <v>174.57333333333332</v>
      </c>
      <c r="AL69" t="str">
        <f>CONCATENATE("A(",AD69,")=")</f>
        <v>A(4.85)=</v>
      </c>
      <c r="AM69">
        <f>AI69+AK69</f>
        <v>211.9733333333333</v>
      </c>
      <c r="AO69" s="68" t="str">
        <f>AA69</f>
        <v>A(4.85)=</v>
      </c>
      <c r="AP69" s="68" t="e">
        <f>VLOOKUP(AO69,Rise_Results,2,FALSE)</f>
        <v>#N/A</v>
      </c>
      <c r="AQ69" s="76" t="e">
        <f>N69</f>
        <v>#N/A</v>
      </c>
      <c r="AR69" s="76" t="e">
        <f>IF(OR(AB69&lt;=0,AB70&lt;=0),1/0,AB69)</f>
        <v>#VALUE!</v>
      </c>
      <c r="AS69" s="76">
        <f>AM69</f>
        <v>211.9733333333333</v>
      </c>
      <c r="AT69">
        <f>IFERROR(AP69,IFERROR(AQ69,IFERROR(AR69,AS69)))</f>
        <v>211.9733333333333</v>
      </c>
      <c r="AU69" s="81"/>
    </row>
    <row r="70" spans="1:47" x14ac:dyDescent="0.25">
      <c r="A70" s="84">
        <f>A69+1</f>
        <v>9</v>
      </c>
      <c r="B70" s="84">
        <f t="shared" si="11"/>
        <v>4.8499999999999996</v>
      </c>
      <c r="F70" s="82" t="e">
        <f>SUM(F67:F69)</f>
        <v>#N/A</v>
      </c>
      <c r="H70" s="82" t="e">
        <f>SUM(H67:H69)</f>
        <v>#N/A</v>
      </c>
      <c r="I70" s="84" t="str">
        <f>CONCATENATE("m'(",C69,")=")</f>
        <v>m'(4.85)=</v>
      </c>
      <c r="J70" s="84" t="e">
        <f>2*(J67*(WLS))/3*H70</f>
        <v>#N/A</v>
      </c>
      <c r="K70" s="84" t="str">
        <f>CONCATENATE("M(",C67,")=")</f>
        <v>M(#NA)=</v>
      </c>
      <c r="L70" s="84" t="e">
        <f>VLOOKUP(C67,STN_TABLE,4,FALSE)</f>
        <v>#N/A</v>
      </c>
      <c r="M70" t="str">
        <f>CONCATENATE("M(",C69,")=")</f>
        <v>M(4.85)=</v>
      </c>
      <c r="N70" t="e">
        <f>J70+L70</f>
        <v>#N/A</v>
      </c>
      <c r="O70" s="99">
        <f>O69+1</f>
        <v>11</v>
      </c>
      <c r="P70" s="99">
        <f t="shared" si="23"/>
        <v>6</v>
      </c>
      <c r="T70" s="89" t="e">
        <f>SUM(T67:T69)</f>
        <v>#N/A</v>
      </c>
      <c r="V70" s="82" t="e">
        <f>SUM(V67:V69)</f>
        <v>#N/A</v>
      </c>
      <c r="W70" s="84" t="str">
        <f>CONCATENATE("m'(",Q68,")=")</f>
        <v>m'(4.85)=</v>
      </c>
      <c r="X70" s="84" t="e">
        <f>(2*(X67^2)/24*V70)+(X69*Q67*WLS)</f>
        <v>#VALUE!</v>
      </c>
      <c r="Y70" s="84" t="str">
        <f>CONCATENATE("M(",Q67,")=")</f>
        <v>M(-)=</v>
      </c>
      <c r="Z70" s="84" t="e">
        <f>VLOOKUP(Q67,STN_TABLE,4,FALSE)</f>
        <v>#N/A</v>
      </c>
      <c r="AA70" t="str">
        <f>CONCATENATE("M(",Q68,")=")</f>
        <v>M(4.85)=</v>
      </c>
      <c r="AB70" t="e">
        <f>X70+Z70</f>
        <v>#VALUE!</v>
      </c>
      <c r="AE70" s="89">
        <f>SUM(AE68:AE69)</f>
        <v>22</v>
      </c>
      <c r="AG70" s="89">
        <f>SUM(AG68:AG69)</f>
        <v>33</v>
      </c>
      <c r="AH70" s="84" t="str">
        <f>CONCATENATE("m'(",AD69,")=")</f>
        <v>m'(4.85)=</v>
      </c>
      <c r="AI70" s="84">
        <f>(2*(AI67^2)/6*AG70)+(AI69*AD68*WLS)</f>
        <v>330.98999999999984</v>
      </c>
      <c r="AJ70" s="84" t="str">
        <f>CONCATENATE("M(",AD68,")=")</f>
        <v>M(4)=</v>
      </c>
      <c r="AK70" s="84">
        <f>VLOOKUP(AD68,STN_TABLE,4,FALSE)</f>
        <v>703.3266666666666</v>
      </c>
      <c r="AL70" t="str">
        <f>CONCATENATE("M(",AD69,")=")</f>
        <v>M(4.85)=</v>
      </c>
      <c r="AM70">
        <f>AI70+AK70</f>
        <v>1034.3166666666664</v>
      </c>
      <c r="AO70" s="82" t="str">
        <f>AA70</f>
        <v>M(4.85)=</v>
      </c>
      <c r="AP70" s="82" t="e">
        <f>VLOOKUP(AO70,Rise_Results,2,FALSE)</f>
        <v>#N/A</v>
      </c>
      <c r="AQ70" s="82" t="e">
        <f>N70</f>
        <v>#N/A</v>
      </c>
      <c r="AR70" s="82" t="e">
        <f>IF(OR(AB69&lt;=0,AB70&lt;=0),1/0,AB70)</f>
        <v>#VALUE!</v>
      </c>
      <c r="AS70" s="82">
        <f>AM70</f>
        <v>1034.3166666666664</v>
      </c>
      <c r="AT70">
        <f>IFERROR(AP70,IFERROR(AQ70,IFERROR(AR70,AS70)))</f>
        <v>1034.3166666666664</v>
      </c>
      <c r="AU70" s="81"/>
    </row>
    <row r="71" spans="1:47" x14ac:dyDescent="0.25">
      <c r="A71" s="101">
        <f>A66+1</f>
        <v>6</v>
      </c>
      <c r="B71" s="101">
        <f t="shared" si="11"/>
        <v>2</v>
      </c>
      <c r="O71" s="101">
        <f>O66+1</f>
        <v>8</v>
      </c>
      <c r="P71" s="101">
        <f t="shared" si="23"/>
        <v>4</v>
      </c>
      <c r="AU71" s="81"/>
    </row>
    <row r="72" spans="1:47" x14ac:dyDescent="0.25">
      <c r="A72" s="84">
        <f>A71+1</f>
        <v>7</v>
      </c>
      <c r="B72" s="84">
        <f t="shared" si="11"/>
        <v>3</v>
      </c>
      <c r="C72" s="79">
        <f t="shared" ref="C72" si="25">IF(C73=B74,IF(C74-C73=C73-B73,B73,IF(C74-C73=C73-B72,B72,"#NA")),IF(C73=B73,IF(C74-C73=C73-B72,B72,IF(C74-C73=C73-B71,B71,"#NA")),"#NA"))</f>
        <v>3</v>
      </c>
      <c r="D72" s="68">
        <f>VLOOKUP(C72,STN_TABLE,2,FALSE)</f>
        <v>11</v>
      </c>
      <c r="E72" s="102">
        <v>1</v>
      </c>
      <c r="F72" s="68">
        <f>D72*E72</f>
        <v>11</v>
      </c>
      <c r="G72" s="69">
        <f>C72</f>
        <v>3</v>
      </c>
      <c r="H72" s="69">
        <f>F72*G72</f>
        <v>33</v>
      </c>
      <c r="I72" s="6" t="s">
        <v>93</v>
      </c>
      <c r="J72" s="70">
        <f>IF(OR(D72=0,D73=0,D74=0),"#NA",IF(AND(C74-C73=C73-C72,C73&lt;&gt;C74,C72&lt;&gt;C73,C72&lt;&gt;C74,D74&lt;&gt;0,OR(D72&lt;&gt;0,D73&lt;&gt;0)),WLS*(C74-C73),"#NA"))</f>
        <v>2</v>
      </c>
      <c r="O72" s="99">
        <f>O71+1</f>
        <v>9</v>
      </c>
      <c r="P72" s="99">
        <f t="shared" si="23"/>
        <v>4.8499999999999996</v>
      </c>
      <c r="Q72" s="68">
        <f>IF(OR(P74-P73=P73-P72,P75-P73=P73-P72),P72,IF(OR(P74-P73=P73-P71,P75-P73=P73-P71),P71,"-"))</f>
        <v>4</v>
      </c>
      <c r="R72" s="69">
        <f>VLOOKUP(Q72,STN_TABLE,2,FALSE)</f>
        <v>11</v>
      </c>
      <c r="S72" s="69">
        <v>5</v>
      </c>
      <c r="T72" s="68">
        <f>R72*S72</f>
        <v>55</v>
      </c>
      <c r="U72" s="79">
        <v>3</v>
      </c>
      <c r="V72" s="68">
        <f>R72*U72</f>
        <v>33</v>
      </c>
      <c r="W72" s="6" t="s">
        <v>93</v>
      </c>
      <c r="X72" s="70">
        <f>IF(AND(Q74-Q73=Q73-Q72,NOT(AND(Q72=0,Q73=0)),NOT(AND(Q73=0,Q74=0))),WLS*(Q74-Q73),"#NA")</f>
        <v>2</v>
      </c>
      <c r="AD72" s="93"/>
      <c r="AH72" s="6" t="s">
        <v>93</v>
      </c>
      <c r="AI72" s="70">
        <f>WLS*(AD74-AD73)</f>
        <v>0.30000000000000071</v>
      </c>
      <c r="AU72" s="81"/>
    </row>
    <row r="73" spans="1:47" x14ac:dyDescent="0.25">
      <c r="A73" s="84">
        <f>A72+1</f>
        <v>8</v>
      </c>
      <c r="B73" s="84">
        <f t="shared" si="11"/>
        <v>4</v>
      </c>
      <c r="C73" s="80">
        <f t="shared" ref="C73" si="26">IF(OR(B75-B74=B74-B73,B75-B74=B74-B72,B75-B74=B74-B71),B74,IF(OR(B75-B73=B73-B72,B75-B73=B73-B71),B73,IF(B75-B72=B72-B71,B72,"#NA")))</f>
        <v>4</v>
      </c>
      <c r="D73" s="76">
        <f>VLOOKUP(C73,STN_TABLE,2,FALSE)</f>
        <v>11</v>
      </c>
      <c r="E73" s="81">
        <v>4</v>
      </c>
      <c r="F73" s="76">
        <f>D73*E73</f>
        <v>44</v>
      </c>
      <c r="G73" s="77">
        <f>C73</f>
        <v>4</v>
      </c>
      <c r="H73" s="77">
        <f>F73*G73</f>
        <v>176</v>
      </c>
      <c r="I73" s="495" t="s">
        <v>97</v>
      </c>
      <c r="J73" s="496"/>
      <c r="K73" s="78" t="s">
        <v>98</v>
      </c>
      <c r="L73" s="78"/>
      <c r="M73" s="7" t="s">
        <v>99</v>
      </c>
      <c r="N73" s="7"/>
      <c r="O73" s="99">
        <f>O72+1</f>
        <v>10</v>
      </c>
      <c r="P73" s="99">
        <f t="shared" si="23"/>
        <v>5</v>
      </c>
      <c r="Q73" s="76">
        <f>P73</f>
        <v>5</v>
      </c>
      <c r="R73" s="77">
        <f>VLOOKUP(Q73,STN_TABLE,2,FALSE)</f>
        <v>11</v>
      </c>
      <c r="S73" s="77">
        <v>8</v>
      </c>
      <c r="T73" s="76">
        <f>R73*S73</f>
        <v>88</v>
      </c>
      <c r="U73" s="80">
        <v>10</v>
      </c>
      <c r="V73" s="76">
        <f>R73*U73</f>
        <v>110</v>
      </c>
      <c r="W73" s="496" t="s">
        <v>97</v>
      </c>
      <c r="X73" s="496"/>
      <c r="Y73" s="496" t="s">
        <v>98</v>
      </c>
      <c r="Z73" s="496"/>
      <c r="AA73" s="494" t="s">
        <v>99</v>
      </c>
      <c r="AB73" s="494"/>
      <c r="AC73" s="99">
        <f>AC68+1</f>
        <v>9</v>
      </c>
      <c r="AD73" s="95">
        <f>VLOOKUP(AC73,STN_TABLE_2,2,FALSE)</f>
        <v>4.8499999999999996</v>
      </c>
      <c r="AE73" s="68">
        <f>VLOOKUP(AD73,STN_TABLE,2,FALSE)</f>
        <v>11</v>
      </c>
      <c r="AF73" s="68">
        <v>1</v>
      </c>
      <c r="AG73" s="69">
        <f>AE73*AF73</f>
        <v>11</v>
      </c>
      <c r="AH73" s="496" t="s">
        <v>97</v>
      </c>
      <c r="AI73" s="496"/>
      <c r="AJ73" s="496" t="s">
        <v>98</v>
      </c>
      <c r="AK73" s="496"/>
      <c r="AL73" s="494" t="s">
        <v>99</v>
      </c>
      <c r="AM73" s="494"/>
      <c r="AP73" s="86" t="s">
        <v>112</v>
      </c>
      <c r="AQ73" s="89" t="s">
        <v>113</v>
      </c>
      <c r="AR73" s="89" t="s">
        <v>114</v>
      </c>
      <c r="AS73" s="89" t="s">
        <v>115</v>
      </c>
      <c r="AU73" s="81"/>
    </row>
    <row r="74" spans="1:47" x14ac:dyDescent="0.25">
      <c r="A74" s="84">
        <f>A73+1</f>
        <v>9</v>
      </c>
      <c r="B74" s="84">
        <f t="shared" ref="B74:B105" si="27">VLOOKUP(A74,STN_TABLE_2,2,FALSE)</f>
        <v>4.8499999999999996</v>
      </c>
      <c r="C74" s="88">
        <f t="shared" ref="C74" si="28">B75</f>
        <v>5</v>
      </c>
      <c r="D74" s="82">
        <f>VLOOKUP(C74,STN_TABLE,2,FALSE)</f>
        <v>11</v>
      </c>
      <c r="E74" s="92">
        <v>1</v>
      </c>
      <c r="F74" s="82">
        <f>D74*E74</f>
        <v>11</v>
      </c>
      <c r="G74" s="83">
        <f>C74</f>
        <v>5</v>
      </c>
      <c r="H74" s="83">
        <f>F74*G74</f>
        <v>55</v>
      </c>
      <c r="I74" s="84" t="str">
        <f>CONCATENATE("a'(",C74,")=")</f>
        <v>a'(5)=</v>
      </c>
      <c r="J74" s="84">
        <f>2*J72/3*F75</f>
        <v>88</v>
      </c>
      <c r="K74" s="84" t="str">
        <f>CONCATENATE("A(",C72,")=")</f>
        <v>A(3)=</v>
      </c>
      <c r="L74" s="84">
        <f>VLOOKUP(C72,STN_TABLE,3,FALSE)</f>
        <v>130.57333333333332</v>
      </c>
      <c r="M74" t="str">
        <f>CONCATENATE("A(",C74,")=")</f>
        <v>A(5)=</v>
      </c>
      <c r="N74">
        <f>J74+L74</f>
        <v>218.57333333333332</v>
      </c>
      <c r="O74" s="99">
        <f>O73+1</f>
        <v>11</v>
      </c>
      <c r="P74" s="99">
        <f t="shared" si="23"/>
        <v>6</v>
      </c>
      <c r="Q74" s="82">
        <f>IF(P74-P73=P73-P72,P74,IF(P75-P73=P73-P72,P75,IF(P74-P73=P73-P71,P74,IF(P75-P73=P73-P71,P75,"-"))))</f>
        <v>6</v>
      </c>
      <c r="R74" s="83">
        <f>VLOOKUP(Q74,STN_TABLE,2,FALSE)</f>
        <v>11</v>
      </c>
      <c r="S74" s="83">
        <v>-1</v>
      </c>
      <c r="T74" s="82">
        <f>R74*S74</f>
        <v>-11</v>
      </c>
      <c r="U74" s="88">
        <v>-1</v>
      </c>
      <c r="V74" s="82">
        <f>R74*U74</f>
        <v>-11</v>
      </c>
      <c r="W74" s="84" t="str">
        <f>CONCATENATE("a'(",Q73,")=")</f>
        <v>a'(5)=</v>
      </c>
      <c r="X74" s="84">
        <f>2*X72/12*T75</f>
        <v>44</v>
      </c>
      <c r="Y74" s="84" t="str">
        <f>CONCATENATE("A(",Q72,")=")</f>
        <v>A(4)=</v>
      </c>
      <c r="Z74" s="84">
        <f>VLOOKUP(Q72,STN_TABLE,3,FALSE)</f>
        <v>174.57333333333332</v>
      </c>
      <c r="AA74" t="str">
        <f>CONCATENATE("A(",Q73,")=")</f>
        <v>A(5)=</v>
      </c>
      <c r="AB74">
        <f>X74+Z74</f>
        <v>218.57333333333332</v>
      </c>
      <c r="AC74" s="99">
        <f>AC73+1</f>
        <v>10</v>
      </c>
      <c r="AD74" s="100">
        <f>VLOOKUP(AC74,STN_TABLE_2,2,FALSE)</f>
        <v>5</v>
      </c>
      <c r="AE74" s="82">
        <f>VLOOKUP(AD74,STN_TABLE,2,FALSE)</f>
        <v>11</v>
      </c>
      <c r="AF74" s="82">
        <v>2</v>
      </c>
      <c r="AG74" s="83">
        <f>AE74*AF74</f>
        <v>22</v>
      </c>
      <c r="AH74" s="84" t="str">
        <f>CONCATENATE("a'(",AD74,")=")</f>
        <v>a'(5)=</v>
      </c>
      <c r="AI74" s="84">
        <f>2*AI72/2*AE75</f>
        <v>6.6000000000000156</v>
      </c>
      <c r="AJ74" s="84" t="str">
        <f>CONCATENATE("A(",AD73,")=")</f>
        <v>A(4.85)=</v>
      </c>
      <c r="AK74" s="84">
        <f>VLOOKUP(AD73,STN_TABLE,3,FALSE)</f>
        <v>211.9733333333333</v>
      </c>
      <c r="AL74" t="str">
        <f>CONCATENATE("A(",AD74,")=")</f>
        <v>A(5)=</v>
      </c>
      <c r="AM74">
        <f>AI74+AK74</f>
        <v>218.57333333333332</v>
      </c>
      <c r="AO74" s="68" t="str">
        <f>AA74</f>
        <v>A(5)=</v>
      </c>
      <c r="AP74" s="68" t="e">
        <f>VLOOKUP(AO74,Rise_Results,2,FALSE)</f>
        <v>#N/A</v>
      </c>
      <c r="AQ74" s="76">
        <f>N74</f>
        <v>218.57333333333332</v>
      </c>
      <c r="AR74" s="76">
        <f>IF(OR(AB74&lt;=0,AB75&lt;=0),1/0,AB74)</f>
        <v>218.57333333333332</v>
      </c>
      <c r="AS74" s="76">
        <f>AM74</f>
        <v>218.57333333333332</v>
      </c>
      <c r="AT74">
        <f>IFERROR(AP74,IFERROR(AQ74,IFERROR(AR74,AS74)))</f>
        <v>218.57333333333332</v>
      </c>
      <c r="AU74" s="81"/>
    </row>
    <row r="75" spans="1:47" x14ac:dyDescent="0.25">
      <c r="A75" s="84">
        <f>A74+1</f>
        <v>10</v>
      </c>
      <c r="B75" s="84">
        <f t="shared" si="27"/>
        <v>5</v>
      </c>
      <c r="F75" s="82">
        <f>SUM(F72:F74)</f>
        <v>66</v>
      </c>
      <c r="H75" s="82">
        <f>SUM(H72:H74)</f>
        <v>264</v>
      </c>
      <c r="I75" s="84" t="str">
        <f>CONCATENATE("m'(",C74,")=")</f>
        <v>m'(5)=</v>
      </c>
      <c r="J75" s="84">
        <f>2*(J72*(WLS))/3*H75</f>
        <v>704</v>
      </c>
      <c r="K75" s="84" t="str">
        <f>CONCATENATE("M(",C72,")=")</f>
        <v>M(3)=</v>
      </c>
      <c r="L75" s="84">
        <f>VLOOKUP(C72,STN_TABLE,4,FALSE)</f>
        <v>395.32666666666665</v>
      </c>
      <c r="M75" t="str">
        <f>CONCATENATE("M(",C74,")=")</f>
        <v>M(5)=</v>
      </c>
      <c r="N75">
        <f>J75+L75</f>
        <v>1099.3266666666666</v>
      </c>
      <c r="O75" s="99">
        <f>O74+1</f>
        <v>12</v>
      </c>
      <c r="P75" s="99">
        <f t="shared" si="23"/>
        <v>6.5</v>
      </c>
      <c r="T75" s="89">
        <f>SUM(T72:T74)</f>
        <v>132</v>
      </c>
      <c r="V75" s="82">
        <f>SUM(V72:V74)</f>
        <v>132</v>
      </c>
      <c r="W75" s="84" t="str">
        <f>CONCATENATE("m'(",Q73,")=")</f>
        <v>m'(5)=</v>
      </c>
      <c r="X75" s="84">
        <f>(2*(X72^2)/24*V75)+(X74*Q72*WLS)</f>
        <v>396</v>
      </c>
      <c r="Y75" s="84" t="str">
        <f>CONCATENATE("M(",Q72,")=")</f>
        <v>M(4)=</v>
      </c>
      <c r="Z75" s="84">
        <f>VLOOKUP(Q72,STN_TABLE,4,FALSE)</f>
        <v>703.3266666666666</v>
      </c>
      <c r="AA75" t="str">
        <f>CONCATENATE("M(",Q73,")=")</f>
        <v>M(5)=</v>
      </c>
      <c r="AB75">
        <f>X75+Z75</f>
        <v>1099.3266666666666</v>
      </c>
      <c r="AE75" s="89">
        <f>SUM(AE73:AE74)</f>
        <v>22</v>
      </c>
      <c r="AG75" s="89">
        <f>SUM(AG73:AG74)</f>
        <v>33</v>
      </c>
      <c r="AH75" s="84" t="str">
        <f>CONCATENATE("m'(",AD74,")=")</f>
        <v>m'(5)=</v>
      </c>
      <c r="AI75" s="84">
        <f>(2*(AI72^2)/6*AG75)+(AI74*AD73*WLS)</f>
        <v>65.010000000000161</v>
      </c>
      <c r="AJ75" s="84" t="str">
        <f>CONCATENATE("M(",AD73,")=")</f>
        <v>M(4.85)=</v>
      </c>
      <c r="AK75" s="84">
        <f>VLOOKUP(AD73,STN_TABLE,4,FALSE)</f>
        <v>1034.3166666666664</v>
      </c>
      <c r="AL75" t="str">
        <f>CONCATENATE("M(",AD74,")=")</f>
        <v>M(5)=</v>
      </c>
      <c r="AM75">
        <f>AI75+AK75</f>
        <v>1099.3266666666666</v>
      </c>
      <c r="AO75" s="82" t="str">
        <f>AA75</f>
        <v>M(5)=</v>
      </c>
      <c r="AP75" s="82" t="e">
        <f>VLOOKUP(AO75,Rise_Results,2,FALSE)</f>
        <v>#N/A</v>
      </c>
      <c r="AQ75" s="82">
        <f>N75</f>
        <v>1099.3266666666666</v>
      </c>
      <c r="AR75" s="82">
        <f>IF(OR(AB74&lt;=0,AB75&lt;=0),1/0,AB75)</f>
        <v>1099.3266666666666</v>
      </c>
      <c r="AS75" s="82">
        <f>AM75</f>
        <v>1099.3266666666666</v>
      </c>
      <c r="AT75">
        <f>IFERROR(AP75,IFERROR(AQ75,IFERROR(AR75,AS75)))</f>
        <v>1099.3266666666666</v>
      </c>
      <c r="AU75" s="81"/>
    </row>
    <row r="76" spans="1:47" x14ac:dyDescent="0.25">
      <c r="A76" s="101">
        <f>A71+1</f>
        <v>7</v>
      </c>
      <c r="B76" s="101">
        <f t="shared" si="27"/>
        <v>3</v>
      </c>
      <c r="O76" s="101">
        <f>O71+1</f>
        <v>9</v>
      </c>
      <c r="P76" s="101">
        <f t="shared" si="23"/>
        <v>4.8499999999999996</v>
      </c>
      <c r="AU76" s="81"/>
    </row>
    <row r="77" spans="1:47" x14ac:dyDescent="0.25">
      <c r="A77" s="84">
        <f>A76+1</f>
        <v>8</v>
      </c>
      <c r="B77" s="84">
        <f t="shared" si="27"/>
        <v>4</v>
      </c>
      <c r="C77" s="79">
        <f t="shared" ref="C77" si="29">IF(C78=B79,IF(C79-C78=C78-B78,B78,IF(C79-C78=C78-B77,B77,"#NA")),IF(C78=B78,IF(C79-C78=C78-B77,B77,IF(C79-C78=C78-B76,B76,"#NA")),"#NA"))</f>
        <v>4</v>
      </c>
      <c r="D77" s="68">
        <f>VLOOKUP(C77,STN_TABLE,2,FALSE)</f>
        <v>11</v>
      </c>
      <c r="E77" s="102">
        <v>1</v>
      </c>
      <c r="F77" s="68">
        <f>D77*E77</f>
        <v>11</v>
      </c>
      <c r="G77" s="69">
        <f>C77</f>
        <v>4</v>
      </c>
      <c r="H77" s="69">
        <f>F77*G77</f>
        <v>44</v>
      </c>
      <c r="I77" s="6" t="s">
        <v>93</v>
      </c>
      <c r="J77" s="70">
        <f>IF(OR(D77=0,D78=0,D79=0),"#NA",IF(AND(C79-C78=C78-C77,C78&lt;&gt;C79,C77&lt;&gt;C78,C77&lt;&gt;C79,D79&lt;&gt;0,OR(D77&lt;&gt;0,D78&lt;&gt;0)),WLS*(C79-C78),"#NA"))</f>
        <v>2</v>
      </c>
      <c r="O77" s="99">
        <f>O76+1</f>
        <v>10</v>
      </c>
      <c r="P77" s="99">
        <f t="shared" si="23"/>
        <v>5</v>
      </c>
      <c r="Q77" s="68" t="e">
        <f>IF(OR(P79-P78=P78-P77,P80-P78=P78-P77),P77,IF(OR(P79-P78=P78-P76,P80-P78=P78-P76),P76,"-"))</f>
        <v>#VALUE!</v>
      </c>
      <c r="R77" s="69" t="e">
        <f>VLOOKUP(Q77,STN_TABLE,2,FALSE)</f>
        <v>#VALUE!</v>
      </c>
      <c r="S77" s="69">
        <v>5</v>
      </c>
      <c r="T77" s="68" t="e">
        <f>R77*S77</f>
        <v>#VALUE!</v>
      </c>
      <c r="U77" s="79">
        <v>3</v>
      </c>
      <c r="V77" s="68" t="e">
        <f>R77*U77</f>
        <v>#VALUE!</v>
      </c>
      <c r="W77" s="6" t="s">
        <v>93</v>
      </c>
      <c r="X77" s="70" t="e">
        <f>IF(AND(Q79-Q78=Q78-Q77,NOT(AND(Q77=0,Q78=0)),NOT(AND(Q78=0,Q79=0))),WLS*(Q79-Q78),"#NA")</f>
        <v>#VALUE!</v>
      </c>
      <c r="AD77" s="93"/>
      <c r="AH77" s="6" t="s">
        <v>93</v>
      </c>
      <c r="AI77" s="70">
        <f>WLS*(AD79-AD78)</f>
        <v>2</v>
      </c>
      <c r="AU77" s="81"/>
    </row>
    <row r="78" spans="1:47" x14ac:dyDescent="0.25">
      <c r="A78" s="84">
        <f>A77+1</f>
        <v>9</v>
      </c>
      <c r="B78" s="84">
        <f t="shared" si="27"/>
        <v>4.8499999999999996</v>
      </c>
      <c r="C78" s="80">
        <f t="shared" ref="C78" si="30">IF(OR(B80-B79=B79-B78,B80-B79=B79-B77,B80-B79=B79-B76),B79,IF(OR(B80-B78=B78-B77,B80-B78=B78-B76),B78,IF(B80-B77=B77-B76,B77,"#NA")))</f>
        <v>5</v>
      </c>
      <c r="D78" s="76">
        <f>VLOOKUP(C78,STN_TABLE,2,FALSE)</f>
        <v>11</v>
      </c>
      <c r="E78" s="81">
        <v>4</v>
      </c>
      <c r="F78" s="76">
        <f>D78*E78</f>
        <v>44</v>
      </c>
      <c r="G78" s="77">
        <f>C78</f>
        <v>5</v>
      </c>
      <c r="H78" s="77">
        <f>F78*G78</f>
        <v>220</v>
      </c>
      <c r="I78" s="495" t="s">
        <v>97</v>
      </c>
      <c r="J78" s="496"/>
      <c r="K78" s="78" t="s">
        <v>98</v>
      </c>
      <c r="L78" s="78"/>
      <c r="M78" s="7" t="s">
        <v>99</v>
      </c>
      <c r="N78" s="7"/>
      <c r="O78" s="99">
        <f>O77+1</f>
        <v>11</v>
      </c>
      <c r="P78" s="99">
        <f t="shared" si="23"/>
        <v>6</v>
      </c>
      <c r="Q78" s="76">
        <f>P78</f>
        <v>6</v>
      </c>
      <c r="R78" s="77">
        <f>VLOOKUP(Q78,STN_TABLE,2,FALSE)</f>
        <v>11</v>
      </c>
      <c r="S78" s="77">
        <v>8</v>
      </c>
      <c r="T78" s="76">
        <f>R78*S78</f>
        <v>88</v>
      </c>
      <c r="U78" s="80">
        <v>10</v>
      </c>
      <c r="V78" s="76">
        <f>R78*U78</f>
        <v>110</v>
      </c>
      <c r="W78" s="496" t="s">
        <v>97</v>
      </c>
      <c r="X78" s="496"/>
      <c r="Y78" s="496" t="s">
        <v>98</v>
      </c>
      <c r="Z78" s="496"/>
      <c r="AA78" s="494" t="s">
        <v>99</v>
      </c>
      <c r="AB78" s="494"/>
      <c r="AC78" s="99">
        <f>AC73+1</f>
        <v>10</v>
      </c>
      <c r="AD78" s="95">
        <f>VLOOKUP(AC78,STN_TABLE_2,2,FALSE)</f>
        <v>5</v>
      </c>
      <c r="AE78" s="68">
        <f>VLOOKUP(AD78,STN_TABLE,2,FALSE)</f>
        <v>11</v>
      </c>
      <c r="AF78" s="68">
        <v>1</v>
      </c>
      <c r="AG78" s="69">
        <f>AE78*AF78</f>
        <v>11</v>
      </c>
      <c r="AH78" s="496" t="s">
        <v>97</v>
      </c>
      <c r="AI78" s="496"/>
      <c r="AJ78" s="496" t="s">
        <v>98</v>
      </c>
      <c r="AK78" s="496"/>
      <c r="AL78" s="494" t="s">
        <v>99</v>
      </c>
      <c r="AM78" s="494"/>
      <c r="AP78" s="86" t="s">
        <v>112</v>
      </c>
      <c r="AQ78" s="89" t="s">
        <v>113</v>
      </c>
      <c r="AR78" s="89" t="s">
        <v>114</v>
      </c>
      <c r="AS78" s="89" t="s">
        <v>115</v>
      </c>
      <c r="AU78" s="81"/>
    </row>
    <row r="79" spans="1:47" x14ac:dyDescent="0.25">
      <c r="A79" s="84">
        <f>A78+1</f>
        <v>10</v>
      </c>
      <c r="B79" s="84">
        <f t="shared" si="27"/>
        <v>5</v>
      </c>
      <c r="C79" s="88">
        <f t="shared" ref="C79" si="31">B80</f>
        <v>6</v>
      </c>
      <c r="D79" s="82">
        <f>VLOOKUP(C79,STN_TABLE,2,FALSE)</f>
        <v>11</v>
      </c>
      <c r="E79" s="92">
        <v>1</v>
      </c>
      <c r="F79" s="82">
        <f>D79*E79</f>
        <v>11</v>
      </c>
      <c r="G79" s="83">
        <f>C79</f>
        <v>6</v>
      </c>
      <c r="H79" s="83">
        <f>F79*G79</f>
        <v>66</v>
      </c>
      <c r="I79" s="84" t="str">
        <f>CONCATENATE("a'(",C79,")=")</f>
        <v>a'(6)=</v>
      </c>
      <c r="J79" s="84">
        <f>2*J77/3*F80</f>
        <v>88</v>
      </c>
      <c r="K79" s="84" t="str">
        <f>CONCATENATE("A(",C77,")=")</f>
        <v>A(4)=</v>
      </c>
      <c r="L79" s="84">
        <f>VLOOKUP(C77,STN_TABLE,3,FALSE)</f>
        <v>174.57333333333332</v>
      </c>
      <c r="M79" t="str">
        <f>CONCATENATE("A(",C79,")=")</f>
        <v>A(6)=</v>
      </c>
      <c r="N79">
        <f>J79+L79</f>
        <v>262.57333333333332</v>
      </c>
      <c r="O79" s="99">
        <f>O78+1</f>
        <v>12</v>
      </c>
      <c r="P79" s="99">
        <f t="shared" si="23"/>
        <v>6.5</v>
      </c>
      <c r="Q79" s="82" t="e">
        <f>IF(P79-P78=P78-P77,P79,IF(P80-P78=P78-P77,P80,IF(P79-P78=P78-P76,P79,IF(P80-P78=P78-P76,P80,"-"))))</f>
        <v>#VALUE!</v>
      </c>
      <c r="R79" s="83" t="e">
        <f>VLOOKUP(Q79,STN_TABLE,2,FALSE)</f>
        <v>#VALUE!</v>
      </c>
      <c r="S79" s="83">
        <v>-1</v>
      </c>
      <c r="T79" s="82" t="e">
        <f>R79*S79</f>
        <v>#VALUE!</v>
      </c>
      <c r="U79" s="88">
        <v>-1</v>
      </c>
      <c r="V79" s="82" t="e">
        <f>R79*U79</f>
        <v>#VALUE!</v>
      </c>
      <c r="W79" s="84" t="str">
        <f>CONCATENATE("a'(",Q78,")=")</f>
        <v>a'(6)=</v>
      </c>
      <c r="X79" s="84" t="e">
        <f>2*X77/12*T80</f>
        <v>#VALUE!</v>
      </c>
      <c r="Y79" s="84" t="e">
        <f>CONCATENATE("A(",Q77,")=")</f>
        <v>#VALUE!</v>
      </c>
      <c r="Z79" s="84" t="e">
        <f>VLOOKUP(Q77,STN_TABLE,3,FALSE)</f>
        <v>#VALUE!</v>
      </c>
      <c r="AA79" t="str">
        <f>CONCATENATE("A(",Q78,")=")</f>
        <v>A(6)=</v>
      </c>
      <c r="AB79" t="e">
        <f>X79+Z79</f>
        <v>#VALUE!</v>
      </c>
      <c r="AC79" s="99">
        <f>AC78+1</f>
        <v>11</v>
      </c>
      <c r="AD79" s="100">
        <f>VLOOKUP(AC79,STN_TABLE_2,2,FALSE)</f>
        <v>6</v>
      </c>
      <c r="AE79" s="82">
        <f>VLOOKUP(AD79,STN_TABLE,2,FALSE)</f>
        <v>11</v>
      </c>
      <c r="AF79" s="82">
        <v>2</v>
      </c>
      <c r="AG79" s="83">
        <f>AE79*AF79</f>
        <v>22</v>
      </c>
      <c r="AH79" s="84" t="str">
        <f>CONCATENATE("a'(",AD79,")=")</f>
        <v>a'(6)=</v>
      </c>
      <c r="AI79" s="84">
        <f>2*AI77/2*AE80</f>
        <v>44</v>
      </c>
      <c r="AJ79" s="84" t="str">
        <f>CONCATENATE("A(",AD78,")=")</f>
        <v>A(5)=</v>
      </c>
      <c r="AK79" s="84">
        <f>VLOOKUP(AD78,STN_TABLE,3,FALSE)</f>
        <v>218.57333333333332</v>
      </c>
      <c r="AL79" t="str">
        <f>CONCATENATE("A(",AD79,")=")</f>
        <v>A(6)=</v>
      </c>
      <c r="AM79">
        <f>AI79+AK79</f>
        <v>262.57333333333332</v>
      </c>
      <c r="AO79" s="68" t="str">
        <f>AA79</f>
        <v>A(6)=</v>
      </c>
      <c r="AP79" s="68" t="e">
        <f>VLOOKUP(AO79,Rise_Results,2,FALSE)</f>
        <v>#N/A</v>
      </c>
      <c r="AQ79" s="76">
        <f>N79</f>
        <v>262.57333333333332</v>
      </c>
      <c r="AR79" s="76" t="e">
        <f>IF(OR(AB79&lt;=0,AB80&lt;=0),1/0,AB79)</f>
        <v>#VALUE!</v>
      </c>
      <c r="AS79" s="76">
        <f>AM79</f>
        <v>262.57333333333332</v>
      </c>
      <c r="AT79">
        <f>IFERROR(AP79,IFERROR(AQ79,IFERROR(AR79,AS79)))</f>
        <v>262.57333333333332</v>
      </c>
      <c r="AU79" s="81"/>
    </row>
    <row r="80" spans="1:47" x14ac:dyDescent="0.25">
      <c r="A80" s="84">
        <f>A79+1</f>
        <v>11</v>
      </c>
      <c r="B80" s="84">
        <f t="shared" si="27"/>
        <v>6</v>
      </c>
      <c r="F80" s="82">
        <f>SUM(F77:F79)</f>
        <v>66</v>
      </c>
      <c r="H80" s="82">
        <f>SUM(H77:H79)</f>
        <v>330</v>
      </c>
      <c r="I80" s="84" t="str">
        <f>CONCATENATE("m'(",C79,")=")</f>
        <v>m'(6)=</v>
      </c>
      <c r="J80" s="84">
        <f>2*(J77*(WLS))/3*H80</f>
        <v>880</v>
      </c>
      <c r="K80" s="84" t="str">
        <f>CONCATENATE("M(",C77,")=")</f>
        <v>M(4)=</v>
      </c>
      <c r="L80" s="84">
        <f>VLOOKUP(C77,STN_TABLE,4,FALSE)</f>
        <v>703.3266666666666</v>
      </c>
      <c r="M80" t="str">
        <f>CONCATENATE("M(",C79,")=")</f>
        <v>M(6)=</v>
      </c>
      <c r="N80">
        <f>J80+L80</f>
        <v>1583.3266666666666</v>
      </c>
      <c r="O80" s="99">
        <f>O79+1</f>
        <v>13</v>
      </c>
      <c r="P80" s="99" t="str">
        <f t="shared" si="23"/>
        <v xml:space="preserve">  </v>
      </c>
      <c r="T80" s="89" t="e">
        <f>SUM(T77:T79)</f>
        <v>#VALUE!</v>
      </c>
      <c r="V80" s="82" t="e">
        <f>SUM(V77:V79)</f>
        <v>#VALUE!</v>
      </c>
      <c r="W80" s="84" t="str">
        <f>CONCATENATE("m'(",Q78,")=")</f>
        <v>m'(6)=</v>
      </c>
      <c r="X80" s="84" t="e">
        <f>(2*(X77^2)/24*V80)+(X79*Q77*WLS)</f>
        <v>#VALUE!</v>
      </c>
      <c r="Y80" s="84" t="e">
        <f>CONCATENATE("M(",Q77,")=")</f>
        <v>#VALUE!</v>
      </c>
      <c r="Z80" s="84" t="e">
        <f>VLOOKUP(Q77,STN_TABLE,4,FALSE)</f>
        <v>#VALUE!</v>
      </c>
      <c r="AA80" t="str">
        <f>CONCATENATE("M(",Q78,")=")</f>
        <v>M(6)=</v>
      </c>
      <c r="AB80" t="e">
        <f>X80+Z80</f>
        <v>#VALUE!</v>
      </c>
      <c r="AE80" s="89">
        <f>SUM(AE78:AE79)</f>
        <v>22</v>
      </c>
      <c r="AG80" s="89">
        <f>SUM(AG78:AG79)</f>
        <v>33</v>
      </c>
      <c r="AH80" s="84" t="str">
        <f>CONCATENATE("m'(",AD79,")=")</f>
        <v>m'(6)=</v>
      </c>
      <c r="AI80" s="84">
        <f>(2*(AI77^2)/6*AG80)+(AI79*AD78*WLS)</f>
        <v>484</v>
      </c>
      <c r="AJ80" s="84" t="str">
        <f>CONCATENATE("M(",AD78,")=")</f>
        <v>M(5)=</v>
      </c>
      <c r="AK80" s="84">
        <f>VLOOKUP(AD78,STN_TABLE,4,FALSE)</f>
        <v>1099.3266666666666</v>
      </c>
      <c r="AL80" t="str">
        <f>CONCATENATE("M(",AD79,")=")</f>
        <v>M(6)=</v>
      </c>
      <c r="AM80">
        <f>AI80+AK80</f>
        <v>1583.3266666666666</v>
      </c>
      <c r="AO80" s="82" t="str">
        <f>AA80</f>
        <v>M(6)=</v>
      </c>
      <c r="AP80" s="82" t="e">
        <f>VLOOKUP(AO80,Rise_Results,2,FALSE)</f>
        <v>#N/A</v>
      </c>
      <c r="AQ80" s="82">
        <f>N80</f>
        <v>1583.3266666666666</v>
      </c>
      <c r="AR80" s="82" t="e">
        <f>IF(OR(AB79&lt;=0,AB80&lt;=0),1/0,AB80)</f>
        <v>#VALUE!</v>
      </c>
      <c r="AS80" s="82">
        <f>AM80</f>
        <v>1583.3266666666666</v>
      </c>
      <c r="AT80">
        <f>IFERROR(AP80,IFERROR(AQ80,IFERROR(AR80,AS80)))</f>
        <v>1583.3266666666666</v>
      </c>
      <c r="AU80" s="81"/>
    </row>
    <row r="81" spans="1:47" x14ac:dyDescent="0.25">
      <c r="A81" s="101">
        <f>A76+1</f>
        <v>8</v>
      </c>
      <c r="B81" s="101">
        <f t="shared" si="27"/>
        <v>4</v>
      </c>
      <c r="O81" s="101">
        <f>O76+1</f>
        <v>10</v>
      </c>
      <c r="P81" s="101">
        <f t="shared" si="23"/>
        <v>5</v>
      </c>
      <c r="AU81" s="81"/>
    </row>
    <row r="82" spans="1:47" x14ac:dyDescent="0.25">
      <c r="A82" s="84">
        <f>A81+1</f>
        <v>9</v>
      </c>
      <c r="B82" s="84">
        <f t="shared" si="27"/>
        <v>4.8499999999999996</v>
      </c>
      <c r="C82" s="79" t="str">
        <f t="shared" ref="C82" si="32">IF(C83=B84,IF(C84-C83=C83-B83,B83,IF(C84-C83=C83-B82,B82,"#NA")),IF(C83=B83,IF(C84-C83=C83-B82,B82,IF(C84-C83=C83-B81,B81,"#NA")),"#NA"))</f>
        <v>#NA</v>
      </c>
      <c r="D82" s="68" t="e">
        <f>VLOOKUP(C82,STN_TABLE,2,FALSE)</f>
        <v>#N/A</v>
      </c>
      <c r="E82" s="102">
        <v>1</v>
      </c>
      <c r="F82" s="68" t="e">
        <f>D82*E82</f>
        <v>#N/A</v>
      </c>
      <c r="G82" s="69" t="str">
        <f>C82</f>
        <v>#NA</v>
      </c>
      <c r="H82" s="69" t="e">
        <f>F82*G82</f>
        <v>#N/A</v>
      </c>
      <c r="I82" s="6" t="s">
        <v>93</v>
      </c>
      <c r="J82" s="70" t="e">
        <f>IF(OR(D82=0,D83=0,D84=0),"#NA",IF(AND(C84-C83=C83-C82,C83&lt;&gt;C84,C82&lt;&gt;C83,C82&lt;&gt;C84,D84&lt;&gt;0,OR(D82&lt;&gt;0,D83&lt;&gt;0)),WLS*(C84-C83),"#NA"))</f>
        <v>#N/A</v>
      </c>
      <c r="O82" s="99">
        <f>O81+1</f>
        <v>11</v>
      </c>
      <c r="P82" s="99">
        <f t="shared" si="23"/>
        <v>6</v>
      </c>
      <c r="Q82" s="68" t="e">
        <f>IF(OR(P84-P83=P83-P82,P85-P83=P83-P82),P82,IF(OR(P84-P83=P83-P81,P85-P83=P83-P81),P81,"-"))</f>
        <v>#VALUE!</v>
      </c>
      <c r="R82" s="69" t="e">
        <f>VLOOKUP(Q82,STN_TABLE,2,FALSE)</f>
        <v>#VALUE!</v>
      </c>
      <c r="S82" s="69">
        <v>5</v>
      </c>
      <c r="T82" s="68" t="e">
        <f>R82*S82</f>
        <v>#VALUE!</v>
      </c>
      <c r="U82" s="79">
        <v>3</v>
      </c>
      <c r="V82" s="68" t="e">
        <f>R82*U82</f>
        <v>#VALUE!</v>
      </c>
      <c r="W82" s="6" t="s">
        <v>93</v>
      </c>
      <c r="X82" s="70" t="e">
        <f>IF(AND(Q84-Q83=Q83-Q82,NOT(AND(Q82=0,Q83=0)),NOT(AND(Q83=0,Q84=0))),WLS*(Q84-Q83),"#NA")</f>
        <v>#VALUE!</v>
      </c>
      <c r="AD82" s="93"/>
      <c r="AH82" s="6" t="s">
        <v>93</v>
      </c>
      <c r="AI82" s="70">
        <f>WLS*(AD84-AD83)</f>
        <v>1</v>
      </c>
      <c r="AU82" s="81"/>
    </row>
    <row r="83" spans="1:47" x14ac:dyDescent="0.25">
      <c r="A83" s="84">
        <f>A82+1</f>
        <v>10</v>
      </c>
      <c r="B83" s="84">
        <f t="shared" si="27"/>
        <v>5</v>
      </c>
      <c r="C83" s="80" t="str">
        <f t="shared" ref="C83" si="33">IF(OR(B85-B84=B84-B83,B85-B84=B84-B82,B85-B84=B84-B81),B84,IF(OR(B85-B83=B83-B82,B85-B83=B83-B81),B83,IF(B85-B82=B82-B81,B82,"#NA")))</f>
        <v>#NA</v>
      </c>
      <c r="D83" s="76" t="e">
        <f>VLOOKUP(C83,STN_TABLE,2,FALSE)</f>
        <v>#N/A</v>
      </c>
      <c r="E83" s="81">
        <v>4</v>
      </c>
      <c r="F83" s="76" t="e">
        <f>D83*E83</f>
        <v>#N/A</v>
      </c>
      <c r="G83" s="77" t="str">
        <f>C83</f>
        <v>#NA</v>
      </c>
      <c r="H83" s="77" t="e">
        <f>F83*G83</f>
        <v>#N/A</v>
      </c>
      <c r="I83" s="495" t="s">
        <v>97</v>
      </c>
      <c r="J83" s="496"/>
      <c r="K83" s="78" t="s">
        <v>98</v>
      </c>
      <c r="L83" s="78"/>
      <c r="M83" s="7" t="s">
        <v>99</v>
      </c>
      <c r="N83" s="7"/>
      <c r="O83" s="99">
        <f>O82+1</f>
        <v>12</v>
      </c>
      <c r="P83" s="99">
        <f t="shared" si="23"/>
        <v>6.5</v>
      </c>
      <c r="Q83" s="76">
        <f>P83</f>
        <v>6.5</v>
      </c>
      <c r="R83" s="77">
        <f>VLOOKUP(Q83,STN_TABLE,2,FALSE)</f>
        <v>11</v>
      </c>
      <c r="S83" s="77">
        <v>8</v>
      </c>
      <c r="T83" s="76">
        <f>R83*S83</f>
        <v>88</v>
      </c>
      <c r="U83" s="80">
        <v>10</v>
      </c>
      <c r="V83" s="76">
        <f>R83*U83</f>
        <v>110</v>
      </c>
      <c r="W83" s="496" t="s">
        <v>97</v>
      </c>
      <c r="X83" s="496"/>
      <c r="Y83" s="496" t="s">
        <v>98</v>
      </c>
      <c r="Z83" s="496"/>
      <c r="AA83" s="494" t="s">
        <v>99</v>
      </c>
      <c r="AB83" s="494"/>
      <c r="AC83" s="99">
        <f>AC78+1</f>
        <v>11</v>
      </c>
      <c r="AD83" s="95">
        <f>VLOOKUP(AC83,STN_TABLE_2,2,FALSE)</f>
        <v>6</v>
      </c>
      <c r="AE83" s="68">
        <f>VLOOKUP(AD83,STN_TABLE,2,FALSE)</f>
        <v>11</v>
      </c>
      <c r="AF83" s="68">
        <v>1</v>
      </c>
      <c r="AG83" s="69">
        <f>AE83*AF83</f>
        <v>11</v>
      </c>
      <c r="AH83" s="496" t="s">
        <v>97</v>
      </c>
      <c r="AI83" s="496"/>
      <c r="AJ83" s="496" t="s">
        <v>98</v>
      </c>
      <c r="AK83" s="496"/>
      <c r="AL83" s="494" t="s">
        <v>99</v>
      </c>
      <c r="AM83" s="494"/>
      <c r="AP83" s="86" t="s">
        <v>112</v>
      </c>
      <c r="AQ83" s="89" t="s">
        <v>113</v>
      </c>
      <c r="AR83" s="89" t="s">
        <v>114</v>
      </c>
      <c r="AS83" s="89" t="s">
        <v>115</v>
      </c>
      <c r="AU83" s="81"/>
    </row>
    <row r="84" spans="1:47" x14ac:dyDescent="0.25">
      <c r="A84" s="84">
        <f>A83+1</f>
        <v>11</v>
      </c>
      <c r="B84" s="84">
        <f t="shared" si="27"/>
        <v>6</v>
      </c>
      <c r="C84" s="88">
        <f t="shared" ref="C84" si="34">B85</f>
        <v>6.5</v>
      </c>
      <c r="D84" s="82">
        <f>VLOOKUP(C84,STN_TABLE,2,FALSE)</f>
        <v>11</v>
      </c>
      <c r="E84" s="92">
        <v>1</v>
      </c>
      <c r="F84" s="82">
        <f>D84*E84</f>
        <v>11</v>
      </c>
      <c r="G84" s="83">
        <f>C84</f>
        <v>6.5</v>
      </c>
      <c r="H84" s="83">
        <f>F84*G84</f>
        <v>71.5</v>
      </c>
      <c r="I84" s="84" t="str">
        <f>CONCATENATE("a'(",C84,")=")</f>
        <v>a'(6.5)=</v>
      </c>
      <c r="J84" s="84" t="e">
        <f>2*J82/3*F85</f>
        <v>#N/A</v>
      </c>
      <c r="K84" s="84" t="str">
        <f>CONCATENATE("A(",C82,")=")</f>
        <v>A(#NA)=</v>
      </c>
      <c r="L84" s="84" t="e">
        <f>VLOOKUP(C82,STN_TABLE,3,FALSE)</f>
        <v>#N/A</v>
      </c>
      <c r="M84" t="str">
        <f>CONCATENATE("A(",C84,")=")</f>
        <v>A(6.5)=</v>
      </c>
      <c r="N84" t="e">
        <f>J84+L84</f>
        <v>#N/A</v>
      </c>
      <c r="O84" s="99">
        <f>O83+1</f>
        <v>13</v>
      </c>
      <c r="P84" s="99" t="str">
        <f t="shared" si="23"/>
        <v xml:space="preserve">  </v>
      </c>
      <c r="Q84" s="82" t="e">
        <f>IF(P84-P83=P83-P82,P84,IF(P85-P83=P83-P82,P85,IF(P84-P83=P83-P81,P84,IF(P85-P83=P83-P81,P85,"-"))))</f>
        <v>#VALUE!</v>
      </c>
      <c r="R84" s="83" t="e">
        <f>VLOOKUP(Q84,STN_TABLE,2,FALSE)</f>
        <v>#VALUE!</v>
      </c>
      <c r="S84" s="83">
        <v>-1</v>
      </c>
      <c r="T84" s="82" t="e">
        <f>R84*S84</f>
        <v>#VALUE!</v>
      </c>
      <c r="U84" s="88">
        <v>-1</v>
      </c>
      <c r="V84" s="82" t="e">
        <f>R84*U84</f>
        <v>#VALUE!</v>
      </c>
      <c r="W84" s="84" t="str">
        <f>CONCATENATE("a'(",Q83,")=")</f>
        <v>a'(6.5)=</v>
      </c>
      <c r="X84" s="84" t="e">
        <f>2*X82/12*T85</f>
        <v>#VALUE!</v>
      </c>
      <c r="Y84" s="84" t="e">
        <f>CONCATENATE("A(",Q82,")=")</f>
        <v>#VALUE!</v>
      </c>
      <c r="Z84" s="84" t="e">
        <f>VLOOKUP(Q82,STN_TABLE,3,FALSE)</f>
        <v>#VALUE!</v>
      </c>
      <c r="AA84" t="str">
        <f>CONCATENATE("A(",Q83,")=")</f>
        <v>A(6.5)=</v>
      </c>
      <c r="AB84" t="e">
        <f>X84+Z84</f>
        <v>#VALUE!</v>
      </c>
      <c r="AC84" s="99">
        <f>AC83+1</f>
        <v>12</v>
      </c>
      <c r="AD84" s="100">
        <f>VLOOKUP(AC84,STN_TABLE_2,2,FALSE)</f>
        <v>6.5</v>
      </c>
      <c r="AE84" s="82">
        <f>VLOOKUP(AD84,STN_TABLE,2,FALSE)</f>
        <v>11</v>
      </c>
      <c r="AF84" s="82">
        <v>2</v>
      </c>
      <c r="AG84" s="83">
        <f>AE84*AF84</f>
        <v>22</v>
      </c>
      <c r="AH84" s="84" t="str">
        <f>CONCATENATE("a'(",AD84,")=")</f>
        <v>a'(6.5)=</v>
      </c>
      <c r="AI84" s="84">
        <f>2*AI82/2*AE85</f>
        <v>22</v>
      </c>
      <c r="AJ84" s="84" t="str">
        <f>CONCATENATE("A(",AD83,")=")</f>
        <v>A(6)=</v>
      </c>
      <c r="AK84" s="84">
        <f>VLOOKUP(AD83,STN_TABLE,3,FALSE)</f>
        <v>262.57333333333332</v>
      </c>
      <c r="AL84" t="str">
        <f>CONCATENATE("A(",AD84,")=")</f>
        <v>A(6.5)=</v>
      </c>
      <c r="AM84">
        <f>AI84+AK84</f>
        <v>284.57333333333332</v>
      </c>
      <c r="AO84" s="68" t="str">
        <f>AA84</f>
        <v>A(6.5)=</v>
      </c>
      <c r="AP84" s="68" t="e">
        <f>VLOOKUP(AO84,Rise_Results,2,FALSE)</f>
        <v>#N/A</v>
      </c>
      <c r="AQ84" s="76" t="e">
        <f>N84</f>
        <v>#N/A</v>
      </c>
      <c r="AR84" s="76" t="e">
        <f>IF(OR(AB84&lt;=0,AB85&lt;=0),1/0,AB84)</f>
        <v>#VALUE!</v>
      </c>
      <c r="AS84" s="76">
        <f>AM84</f>
        <v>284.57333333333332</v>
      </c>
      <c r="AT84">
        <f>IFERROR(AP84,IFERROR(AQ84,IFERROR(AR84,AS84)))</f>
        <v>284.57333333333332</v>
      </c>
      <c r="AU84" s="81"/>
    </row>
    <row r="85" spans="1:47" x14ac:dyDescent="0.25">
      <c r="A85" s="84">
        <f>A84+1</f>
        <v>12</v>
      </c>
      <c r="B85" s="84">
        <f t="shared" si="27"/>
        <v>6.5</v>
      </c>
      <c r="F85" s="82" t="e">
        <f>SUM(F82:F84)</f>
        <v>#N/A</v>
      </c>
      <c r="H85" s="82" t="e">
        <f>SUM(H82:H84)</f>
        <v>#N/A</v>
      </c>
      <c r="I85" s="84" t="str">
        <f>CONCATENATE("m'(",C84,")=")</f>
        <v>m'(6.5)=</v>
      </c>
      <c r="J85" s="84" t="e">
        <f>2*(J82*(WLS))/3*H85</f>
        <v>#N/A</v>
      </c>
      <c r="K85" s="84" t="str">
        <f>CONCATENATE("M(",C82,")=")</f>
        <v>M(#NA)=</v>
      </c>
      <c r="L85" s="84" t="e">
        <f>VLOOKUP(C82,STN_TABLE,4,FALSE)</f>
        <v>#N/A</v>
      </c>
      <c r="M85" t="str">
        <f>CONCATENATE("M(",C84,")=")</f>
        <v>M(6.5)=</v>
      </c>
      <c r="N85" t="e">
        <f>J85+L85</f>
        <v>#N/A</v>
      </c>
      <c r="O85" s="99">
        <f>O84+1</f>
        <v>14</v>
      </c>
      <c r="P85" s="99" t="str">
        <f t="shared" si="23"/>
        <v xml:space="preserve">  </v>
      </c>
      <c r="T85" s="89" t="e">
        <f>SUM(T82:T84)</f>
        <v>#VALUE!</v>
      </c>
      <c r="V85" s="82" t="e">
        <f>SUM(V82:V84)</f>
        <v>#VALUE!</v>
      </c>
      <c r="W85" s="84" t="str">
        <f>CONCATENATE("m'(",Q83,")=")</f>
        <v>m'(6.5)=</v>
      </c>
      <c r="X85" s="84" t="e">
        <f>(2*(X82^2)/24*V85)+(X84*Q82*WLS)</f>
        <v>#VALUE!</v>
      </c>
      <c r="Y85" s="84" t="e">
        <f>CONCATENATE("M(",Q82,")=")</f>
        <v>#VALUE!</v>
      </c>
      <c r="Z85" s="84" t="e">
        <f>VLOOKUP(Q82,STN_TABLE,4,FALSE)</f>
        <v>#VALUE!</v>
      </c>
      <c r="AA85" t="str">
        <f>CONCATENATE("M(",Q83,")=")</f>
        <v>M(6.5)=</v>
      </c>
      <c r="AB85" t="e">
        <f>X85+Z85</f>
        <v>#VALUE!</v>
      </c>
      <c r="AE85" s="89">
        <f>SUM(AE83:AE84)</f>
        <v>22</v>
      </c>
      <c r="AG85" s="89">
        <f>SUM(AG83:AG84)</f>
        <v>33</v>
      </c>
      <c r="AH85" s="84" t="str">
        <f>CONCATENATE("m'(",AD84,")=")</f>
        <v>m'(6.5)=</v>
      </c>
      <c r="AI85" s="84">
        <f>(2*(AI82^2)/6*AG85)+(AI84*AD83*WLS)</f>
        <v>275</v>
      </c>
      <c r="AJ85" s="84" t="str">
        <f>CONCATENATE("M(",AD83,")=")</f>
        <v>M(6)=</v>
      </c>
      <c r="AK85" s="84">
        <f>VLOOKUP(AD83,STN_TABLE,4,FALSE)</f>
        <v>1583.3266666666666</v>
      </c>
      <c r="AL85" t="str">
        <f>CONCATENATE("M(",AD84,")=")</f>
        <v>M(6.5)=</v>
      </c>
      <c r="AM85">
        <f>AI85+AK85</f>
        <v>1858.3266666666666</v>
      </c>
      <c r="AO85" s="82" t="str">
        <f>AA85</f>
        <v>M(6.5)=</v>
      </c>
      <c r="AP85" s="82" t="e">
        <f>VLOOKUP(AO85,Rise_Results,2,FALSE)</f>
        <v>#N/A</v>
      </c>
      <c r="AQ85" s="82" t="e">
        <f>N85</f>
        <v>#N/A</v>
      </c>
      <c r="AR85" s="82" t="e">
        <f>IF(OR(AB84&lt;=0,AB85&lt;=0),1/0,AB85)</f>
        <v>#VALUE!</v>
      </c>
      <c r="AS85" s="82">
        <f>AM85</f>
        <v>1858.3266666666666</v>
      </c>
      <c r="AT85">
        <f>IFERROR(AP85,IFERROR(AQ85,IFERROR(AR85,AS85)))</f>
        <v>1858.3266666666666</v>
      </c>
      <c r="AU85" s="81"/>
    </row>
    <row r="86" spans="1:47" x14ac:dyDescent="0.25">
      <c r="A86" s="101">
        <f>A81+1</f>
        <v>9</v>
      </c>
      <c r="B86" s="101">
        <f t="shared" si="27"/>
        <v>4.8499999999999996</v>
      </c>
      <c r="O86" s="101">
        <f>O81+1</f>
        <v>11</v>
      </c>
      <c r="P86" s="101">
        <f t="shared" si="23"/>
        <v>6</v>
      </c>
      <c r="AU86" s="81"/>
    </row>
    <row r="87" spans="1:47" x14ac:dyDescent="0.25">
      <c r="A87" s="84">
        <f>A86+1</f>
        <v>10</v>
      </c>
      <c r="B87" s="84">
        <f t="shared" si="27"/>
        <v>5</v>
      </c>
      <c r="C87" s="79" t="e">
        <f t="shared" ref="C87" si="35">IF(C88=B89,IF(C89-C88=C88-B88,B88,IF(C89-C88=C88-B87,B87,"#NA")),IF(C88=B88,IF(C89-C88=C88-B87,B87,IF(C89-C88=C88-B86,B86,"#NA")),"#NA"))</f>
        <v>#VALUE!</v>
      </c>
      <c r="D87" s="68" t="e">
        <f>VLOOKUP(C87,STN_TABLE,2,FALSE)</f>
        <v>#VALUE!</v>
      </c>
      <c r="E87" s="102">
        <v>1</v>
      </c>
      <c r="F87" s="68" t="e">
        <f>D87*E87</f>
        <v>#VALUE!</v>
      </c>
      <c r="G87" s="69" t="e">
        <f>C87</f>
        <v>#VALUE!</v>
      </c>
      <c r="H87" s="69" t="e">
        <f>F87*G87</f>
        <v>#VALUE!</v>
      </c>
      <c r="I87" s="6" t="s">
        <v>93</v>
      </c>
      <c r="J87" s="70" t="e">
        <f>IF(OR(D87=0,D88=0,D89=0),"#NA",IF(AND(C89-C88=C88-C87,C88&lt;&gt;C89,C87&lt;&gt;C88,C87&lt;&gt;C89,D89&lt;&gt;0,OR(D87&lt;&gt;0,D88&lt;&gt;0)),WLS*(C89-C88),"#NA"))</f>
        <v>#VALUE!</v>
      </c>
      <c r="O87" s="99">
        <f>O86+1</f>
        <v>12</v>
      </c>
      <c r="P87" s="99">
        <f t="shared" si="23"/>
        <v>6.5</v>
      </c>
      <c r="Q87" s="68" t="e">
        <f>IF(OR(P89-P88=P88-P87,P90-P88=P88-P87),P87,IF(OR(P89-P88=P88-P86,P90-P88=P88-P86),P86,"-"))</f>
        <v>#VALUE!</v>
      </c>
      <c r="R87" s="69" t="e">
        <f>VLOOKUP(Q87,STN_TABLE,2,FALSE)</f>
        <v>#VALUE!</v>
      </c>
      <c r="S87" s="69">
        <v>5</v>
      </c>
      <c r="T87" s="68" t="e">
        <f>R87*S87</f>
        <v>#VALUE!</v>
      </c>
      <c r="U87" s="79">
        <v>3</v>
      </c>
      <c r="V87" s="68" t="e">
        <f>R87*U87</f>
        <v>#VALUE!</v>
      </c>
      <c r="W87" s="6" t="s">
        <v>93</v>
      </c>
      <c r="X87" s="70" t="e">
        <f>IF(AND(Q89-Q88=Q88-Q87,NOT(AND(Q87=0,Q88=0)),NOT(AND(Q88=0,Q89=0))),WLS*(Q89-Q88),"#NA")</f>
        <v>#VALUE!</v>
      </c>
      <c r="AD87" s="93"/>
      <c r="AH87" s="6" t="s">
        <v>93</v>
      </c>
      <c r="AI87" s="70" t="e">
        <f>WLS*(AD89-AD88)</f>
        <v>#VALUE!</v>
      </c>
      <c r="AU87" s="81"/>
    </row>
    <row r="88" spans="1:47" x14ac:dyDescent="0.25">
      <c r="A88" s="84">
        <f>A87+1</f>
        <v>11</v>
      </c>
      <c r="B88" s="84">
        <f t="shared" si="27"/>
        <v>6</v>
      </c>
      <c r="C88" s="80" t="e">
        <f t="shared" ref="C88" si="36">IF(OR(B90-B89=B89-B88,B90-B89=B89-B87,B90-B89=B89-B86),B89,IF(OR(B90-B88=B88-B87,B90-B88=B88-B86),B88,IF(B90-B87=B87-B86,B87,"#NA")))</f>
        <v>#VALUE!</v>
      </c>
      <c r="D88" s="76" t="e">
        <f>VLOOKUP(C88,STN_TABLE,2,FALSE)</f>
        <v>#VALUE!</v>
      </c>
      <c r="E88" s="81">
        <v>4</v>
      </c>
      <c r="F88" s="76" t="e">
        <f>D88*E88</f>
        <v>#VALUE!</v>
      </c>
      <c r="G88" s="77" t="e">
        <f>C88</f>
        <v>#VALUE!</v>
      </c>
      <c r="H88" s="77" t="e">
        <f>F88*G88</f>
        <v>#VALUE!</v>
      </c>
      <c r="I88" s="495" t="s">
        <v>97</v>
      </c>
      <c r="J88" s="496"/>
      <c r="K88" s="78" t="s">
        <v>98</v>
      </c>
      <c r="L88" s="78"/>
      <c r="M88" s="7" t="s">
        <v>99</v>
      </c>
      <c r="N88" s="7"/>
      <c r="O88" s="99">
        <f>O87+1</f>
        <v>13</v>
      </c>
      <c r="P88" s="99" t="str">
        <f t="shared" si="23"/>
        <v xml:space="preserve">  </v>
      </c>
      <c r="Q88" s="76" t="str">
        <f>P88</f>
        <v xml:space="preserve">  </v>
      </c>
      <c r="R88" s="77" t="str">
        <f>VLOOKUP(Q88,STN_TABLE,2,FALSE)</f>
        <v xml:space="preserve">  </v>
      </c>
      <c r="S88" s="77">
        <v>8</v>
      </c>
      <c r="T88" s="76" t="e">
        <f>R88*S88</f>
        <v>#VALUE!</v>
      </c>
      <c r="U88" s="80">
        <v>10</v>
      </c>
      <c r="V88" s="76" t="e">
        <f>R88*U88</f>
        <v>#VALUE!</v>
      </c>
      <c r="W88" s="496" t="s">
        <v>97</v>
      </c>
      <c r="X88" s="496"/>
      <c r="Y88" s="496" t="s">
        <v>98</v>
      </c>
      <c r="Z88" s="496"/>
      <c r="AA88" s="494" t="s">
        <v>99</v>
      </c>
      <c r="AB88" s="494"/>
      <c r="AC88" s="99">
        <f>AC83+1</f>
        <v>12</v>
      </c>
      <c r="AD88" s="95">
        <f>VLOOKUP(AC88,STN_TABLE_2,2,FALSE)</f>
        <v>6.5</v>
      </c>
      <c r="AE88" s="68">
        <f>VLOOKUP(AD88,STN_TABLE,2,FALSE)</f>
        <v>11</v>
      </c>
      <c r="AF88" s="68">
        <v>1</v>
      </c>
      <c r="AG88" s="69">
        <f>AE88*AF88</f>
        <v>11</v>
      </c>
      <c r="AH88" s="496" t="s">
        <v>97</v>
      </c>
      <c r="AI88" s="496"/>
      <c r="AJ88" s="496" t="s">
        <v>98</v>
      </c>
      <c r="AK88" s="496"/>
      <c r="AL88" s="494" t="s">
        <v>99</v>
      </c>
      <c r="AM88" s="494"/>
      <c r="AP88" s="86" t="s">
        <v>112</v>
      </c>
      <c r="AQ88" s="89" t="s">
        <v>113</v>
      </c>
      <c r="AR88" s="89" t="s">
        <v>114</v>
      </c>
      <c r="AS88" s="89" t="s">
        <v>115</v>
      </c>
      <c r="AU88" s="81"/>
    </row>
    <row r="89" spans="1:47" x14ac:dyDescent="0.25">
      <c r="A89" s="84">
        <f>A88+1</f>
        <v>12</v>
      </c>
      <c r="B89" s="84">
        <f t="shared" si="27"/>
        <v>6.5</v>
      </c>
      <c r="C89" s="88" t="str">
        <f t="shared" ref="C89" si="37">B90</f>
        <v xml:space="preserve">  </v>
      </c>
      <c r="D89" s="82" t="str">
        <f>VLOOKUP(C89,STN_TABLE,2,FALSE)</f>
        <v xml:space="preserve">  </v>
      </c>
      <c r="E89" s="92">
        <v>1</v>
      </c>
      <c r="F89" s="82" t="e">
        <f>D89*E89</f>
        <v>#VALUE!</v>
      </c>
      <c r="G89" s="83" t="str">
        <f>C89</f>
        <v xml:space="preserve">  </v>
      </c>
      <c r="H89" s="83" t="e">
        <f>F89*G89</f>
        <v>#VALUE!</v>
      </c>
      <c r="I89" s="84" t="str">
        <f>CONCATENATE("a'(",C89,")=")</f>
        <v>a'(  )=</v>
      </c>
      <c r="J89" s="84" t="e">
        <f>2*J87/3*F90</f>
        <v>#VALUE!</v>
      </c>
      <c r="K89" s="84" t="e">
        <f>CONCATENATE("A(",C87,")=")</f>
        <v>#VALUE!</v>
      </c>
      <c r="L89" s="84" t="e">
        <f>VLOOKUP(C87,STN_TABLE,3,FALSE)</f>
        <v>#VALUE!</v>
      </c>
      <c r="M89" t="str">
        <f>CONCATENATE("A(",C89,")=")</f>
        <v>A(  )=</v>
      </c>
      <c r="N89" t="e">
        <f>J89+L89</f>
        <v>#VALUE!</v>
      </c>
      <c r="O89" s="99">
        <f>O88+1</f>
        <v>14</v>
      </c>
      <c r="P89" s="99" t="str">
        <f t="shared" si="23"/>
        <v xml:space="preserve">  </v>
      </c>
      <c r="Q89" s="82" t="e">
        <f>IF(P89-P88=P88-P87,P89,IF(P90-P88=P88-P87,P90,IF(P89-P88=P88-P86,P89,IF(P90-P88=P88-P86,P90,"-"))))</f>
        <v>#VALUE!</v>
      </c>
      <c r="R89" s="83" t="e">
        <f>VLOOKUP(Q89,STN_TABLE,2,FALSE)</f>
        <v>#VALUE!</v>
      </c>
      <c r="S89" s="83">
        <v>-1</v>
      </c>
      <c r="T89" s="82" t="e">
        <f>R89*S89</f>
        <v>#VALUE!</v>
      </c>
      <c r="U89" s="88">
        <v>-1</v>
      </c>
      <c r="V89" s="82" t="e">
        <f>R89*U89</f>
        <v>#VALUE!</v>
      </c>
      <c r="W89" s="84" t="str">
        <f>CONCATENATE("a'(",Q88,")=")</f>
        <v>a'(  )=</v>
      </c>
      <c r="X89" s="84" t="e">
        <f>2*X87/12*T90</f>
        <v>#VALUE!</v>
      </c>
      <c r="Y89" s="84" t="e">
        <f>CONCATENATE("A(",Q87,")=")</f>
        <v>#VALUE!</v>
      </c>
      <c r="Z89" s="84" t="e">
        <f>VLOOKUP(Q87,STN_TABLE,3,FALSE)</f>
        <v>#VALUE!</v>
      </c>
      <c r="AA89" t="str">
        <f>CONCATENATE("A(",Q88,")=")</f>
        <v>A(  )=</v>
      </c>
      <c r="AB89" t="e">
        <f>X89+Z89</f>
        <v>#VALUE!</v>
      </c>
      <c r="AC89" s="99">
        <f>AC88+1</f>
        <v>13</v>
      </c>
      <c r="AD89" s="100" t="str">
        <f>VLOOKUP(AC89,STN_TABLE_2,2,FALSE)</f>
        <v xml:space="preserve">  </v>
      </c>
      <c r="AE89" s="82" t="str">
        <f>VLOOKUP(AD89,STN_TABLE,2,FALSE)</f>
        <v xml:space="preserve">  </v>
      </c>
      <c r="AF89" s="82">
        <v>2</v>
      </c>
      <c r="AG89" s="83" t="e">
        <f>AE89*AF89</f>
        <v>#VALUE!</v>
      </c>
      <c r="AH89" s="84" t="str">
        <f>CONCATENATE("a'(",AD89,")=")</f>
        <v>a'(  )=</v>
      </c>
      <c r="AI89" s="84" t="e">
        <f>2*AI87/2*AE90</f>
        <v>#VALUE!</v>
      </c>
      <c r="AJ89" s="84" t="str">
        <f>CONCATENATE("A(",AD88,")=")</f>
        <v>A(6.5)=</v>
      </c>
      <c r="AK89" s="84">
        <f>VLOOKUP(AD88,STN_TABLE,3,FALSE)</f>
        <v>284.57333333333332</v>
      </c>
      <c r="AL89" t="str">
        <f>CONCATENATE("A(",AD89,")=")</f>
        <v>A(  )=</v>
      </c>
      <c r="AM89" t="e">
        <f>AI89+AK89</f>
        <v>#VALUE!</v>
      </c>
      <c r="AO89" s="68" t="str">
        <f>AA89</f>
        <v>A(  )=</v>
      </c>
      <c r="AP89" s="68" t="e">
        <f>VLOOKUP(AO89,Rise_Results,2,FALSE)</f>
        <v>#N/A</v>
      </c>
      <c r="AQ89" s="76" t="e">
        <f>N89</f>
        <v>#VALUE!</v>
      </c>
      <c r="AR89" s="76" t="e">
        <f>IF(OR(AB89&lt;=0,AB90&lt;=0),1/0,AB89)</f>
        <v>#VALUE!</v>
      </c>
      <c r="AS89" s="76" t="e">
        <f>AM89</f>
        <v>#VALUE!</v>
      </c>
      <c r="AT89" t="e">
        <f>IFERROR(AP89,IFERROR(AQ89,IFERROR(AR89,AS89)))</f>
        <v>#VALUE!</v>
      </c>
      <c r="AU89" s="81"/>
    </row>
    <row r="90" spans="1:47" x14ac:dyDescent="0.25">
      <c r="A90" s="84">
        <f>A89+1</f>
        <v>13</v>
      </c>
      <c r="B90" s="84" t="str">
        <f t="shared" si="27"/>
        <v xml:space="preserve">  </v>
      </c>
      <c r="F90" s="82" t="e">
        <f>SUM(F87:F89)</f>
        <v>#VALUE!</v>
      </c>
      <c r="H90" s="82" t="e">
        <f>SUM(H87:H89)</f>
        <v>#VALUE!</v>
      </c>
      <c r="I90" s="84" t="str">
        <f>CONCATENATE("m'(",C89,")=")</f>
        <v>m'(  )=</v>
      </c>
      <c r="J90" s="84" t="e">
        <f>2*(J87*(WLS))/3*H90</f>
        <v>#VALUE!</v>
      </c>
      <c r="K90" s="84" t="e">
        <f>CONCATENATE("M(",C87,")=")</f>
        <v>#VALUE!</v>
      </c>
      <c r="L90" s="84" t="e">
        <f>VLOOKUP(C87,STN_TABLE,4,FALSE)</f>
        <v>#VALUE!</v>
      </c>
      <c r="M90" t="str">
        <f>CONCATENATE("M(",C89,")=")</f>
        <v>M(  )=</v>
      </c>
      <c r="N90" t="e">
        <f>J90+L90</f>
        <v>#VALUE!</v>
      </c>
      <c r="O90" s="99">
        <f>O89+1</f>
        <v>15</v>
      </c>
      <c r="P90" s="99" t="str">
        <f t="shared" si="23"/>
        <v xml:space="preserve">  </v>
      </c>
      <c r="T90" s="89" t="e">
        <f>SUM(T87:T89)</f>
        <v>#VALUE!</v>
      </c>
      <c r="V90" s="82" t="e">
        <f>SUM(V87:V89)</f>
        <v>#VALUE!</v>
      </c>
      <c r="W90" s="84" t="str">
        <f>CONCATENATE("m'(",Q88,")=")</f>
        <v>m'(  )=</v>
      </c>
      <c r="X90" s="84" t="e">
        <f>(2*(X87^2)/24*V90)+(X89*Q87*WLS)</f>
        <v>#VALUE!</v>
      </c>
      <c r="Y90" s="84" t="e">
        <f>CONCATENATE("M(",Q87,")=")</f>
        <v>#VALUE!</v>
      </c>
      <c r="Z90" s="84" t="e">
        <f>VLOOKUP(Q87,STN_TABLE,4,FALSE)</f>
        <v>#VALUE!</v>
      </c>
      <c r="AA90" t="str">
        <f>CONCATENATE("M(",Q88,")=")</f>
        <v>M(  )=</v>
      </c>
      <c r="AB90" t="e">
        <f>X90+Z90</f>
        <v>#VALUE!</v>
      </c>
      <c r="AE90" s="89">
        <f>SUM(AE88:AE89)</f>
        <v>11</v>
      </c>
      <c r="AG90" s="89" t="e">
        <f>SUM(AG88:AG89)</f>
        <v>#VALUE!</v>
      </c>
      <c r="AH90" s="84" t="str">
        <f>CONCATENATE("m'(",AD89,")=")</f>
        <v>m'(  )=</v>
      </c>
      <c r="AI90" s="84" t="e">
        <f>(2*(AI87^2)/6*AG90)+(AI89*AD88*WLS)</f>
        <v>#VALUE!</v>
      </c>
      <c r="AJ90" s="84" t="str">
        <f>CONCATENATE("M(",AD88,")=")</f>
        <v>M(6.5)=</v>
      </c>
      <c r="AK90" s="84">
        <f>VLOOKUP(AD88,STN_TABLE,4,FALSE)</f>
        <v>1858.3266666666666</v>
      </c>
      <c r="AL90" t="str">
        <f>CONCATENATE("M(",AD89,")=")</f>
        <v>M(  )=</v>
      </c>
      <c r="AM90" t="e">
        <f>AI90+AK90</f>
        <v>#VALUE!</v>
      </c>
      <c r="AO90" s="82" t="str">
        <f>AA90</f>
        <v>M(  )=</v>
      </c>
      <c r="AP90" s="82" t="e">
        <f>VLOOKUP(AO90,Rise_Results,2,FALSE)</f>
        <v>#N/A</v>
      </c>
      <c r="AQ90" s="82" t="e">
        <f>N90</f>
        <v>#VALUE!</v>
      </c>
      <c r="AR90" s="82" t="e">
        <f>IF(OR(AB89&lt;=0,AB90&lt;=0),1/0,AB90)</f>
        <v>#VALUE!</v>
      </c>
      <c r="AS90" s="82" t="e">
        <f>AM90</f>
        <v>#VALUE!</v>
      </c>
      <c r="AT90" t="e">
        <f>IFERROR(AP90,IFERROR(AQ90,IFERROR(AR90,AS90)))</f>
        <v>#VALUE!</v>
      </c>
      <c r="AU90" s="81"/>
    </row>
    <row r="91" spans="1:47" x14ac:dyDescent="0.25">
      <c r="A91" s="101">
        <f>A86+1</f>
        <v>10</v>
      </c>
      <c r="B91" s="101">
        <f t="shared" si="27"/>
        <v>5</v>
      </c>
      <c r="O91" s="101">
        <f>O86+1</f>
        <v>12</v>
      </c>
      <c r="P91" s="101">
        <f t="shared" si="23"/>
        <v>6.5</v>
      </c>
      <c r="AU91" s="81"/>
    </row>
    <row r="92" spans="1:47" x14ac:dyDescent="0.25">
      <c r="A92" s="84">
        <f>A91+1</f>
        <v>11</v>
      </c>
      <c r="B92" s="84">
        <f t="shared" si="27"/>
        <v>6</v>
      </c>
      <c r="C92" s="79" t="e">
        <f t="shared" ref="C92" si="38">IF(C93=B94,IF(C94-C93=C93-B93,B93,IF(C94-C93=C93-B92,B92,"#NA")),IF(C93=B93,IF(C94-C93=C93-B92,B92,IF(C94-C93=C93-B91,B91,"#NA")),"#NA"))</f>
        <v>#VALUE!</v>
      </c>
      <c r="D92" s="68" t="e">
        <f>VLOOKUP(C92,STN_TABLE,2,FALSE)</f>
        <v>#VALUE!</v>
      </c>
      <c r="E92" s="102">
        <v>1</v>
      </c>
      <c r="F92" s="68" t="e">
        <f>D92*E92</f>
        <v>#VALUE!</v>
      </c>
      <c r="G92" s="69" t="e">
        <f>C92</f>
        <v>#VALUE!</v>
      </c>
      <c r="H92" s="69" t="e">
        <f>F92*G92</f>
        <v>#VALUE!</v>
      </c>
      <c r="I92" s="6" t="s">
        <v>93</v>
      </c>
      <c r="J92" s="70" t="e">
        <f>IF(OR(D92=0,D93=0,D94=0),"#NA",IF(AND(C94-C93=C93-C92,C93&lt;&gt;C94,C92&lt;&gt;C93,C92&lt;&gt;C94,D94&lt;&gt;0,OR(D92&lt;&gt;0,D93&lt;&gt;0)),WLS*(C94-C93),"#NA"))</f>
        <v>#VALUE!</v>
      </c>
      <c r="O92" s="99">
        <f>O91+1</f>
        <v>13</v>
      </c>
      <c r="P92" s="99" t="str">
        <f t="shared" si="23"/>
        <v xml:space="preserve">  </v>
      </c>
      <c r="Q92" s="68" t="e">
        <f>IF(OR(P94-P93=P93-P92,P95-P93=P93-P92),P92,IF(OR(P94-P93=P93-P91,P95-P93=P93-P91),P91,"-"))</f>
        <v>#VALUE!</v>
      </c>
      <c r="R92" s="69" t="e">
        <f>VLOOKUP(Q92,STN_TABLE,2,FALSE)</f>
        <v>#VALUE!</v>
      </c>
      <c r="S92" s="69">
        <v>5</v>
      </c>
      <c r="T92" s="68" t="e">
        <f>R92*S92</f>
        <v>#VALUE!</v>
      </c>
      <c r="U92" s="79">
        <v>3</v>
      </c>
      <c r="V92" s="68" t="e">
        <f>R92*U92</f>
        <v>#VALUE!</v>
      </c>
      <c r="W92" s="6" t="s">
        <v>93</v>
      </c>
      <c r="X92" s="70" t="e">
        <f>IF(AND(Q94-Q93=Q93-Q92,NOT(AND(Q92=0,Q93=0)),NOT(AND(Q93=0,Q94=0))),WLS*(Q94-Q93),"#NA")</f>
        <v>#VALUE!</v>
      </c>
      <c r="AD92" s="93"/>
      <c r="AH92" s="6" t="s">
        <v>93</v>
      </c>
      <c r="AI92" s="70" t="e">
        <f>WLS*(AD94-AD93)</f>
        <v>#VALUE!</v>
      </c>
      <c r="AU92" s="81"/>
    </row>
    <row r="93" spans="1:47" x14ac:dyDescent="0.25">
      <c r="A93" s="84">
        <f>A92+1</f>
        <v>12</v>
      </c>
      <c r="B93" s="84">
        <f t="shared" si="27"/>
        <v>6.5</v>
      </c>
      <c r="C93" s="80" t="e">
        <f t="shared" ref="C93" si="39">IF(OR(B95-B94=B94-B93,B95-B94=B94-B92,B95-B94=B94-B91),B94,IF(OR(B95-B93=B93-B92,B95-B93=B93-B91),B93,IF(B95-B92=B92-B91,B92,"#NA")))</f>
        <v>#VALUE!</v>
      </c>
      <c r="D93" s="76" t="e">
        <f>VLOOKUP(C93,STN_TABLE,2,FALSE)</f>
        <v>#VALUE!</v>
      </c>
      <c r="E93" s="81">
        <v>4</v>
      </c>
      <c r="F93" s="76" t="e">
        <f>D93*E93</f>
        <v>#VALUE!</v>
      </c>
      <c r="G93" s="77" t="e">
        <f>C93</f>
        <v>#VALUE!</v>
      </c>
      <c r="H93" s="77" t="e">
        <f>F93*G93</f>
        <v>#VALUE!</v>
      </c>
      <c r="I93" s="495" t="s">
        <v>97</v>
      </c>
      <c r="J93" s="496"/>
      <c r="K93" s="78" t="s">
        <v>98</v>
      </c>
      <c r="L93" s="78"/>
      <c r="M93" s="7" t="s">
        <v>99</v>
      </c>
      <c r="N93" s="7"/>
      <c r="O93" s="99">
        <f>O92+1</f>
        <v>14</v>
      </c>
      <c r="P93" s="99" t="str">
        <f t="shared" si="23"/>
        <v xml:space="preserve">  </v>
      </c>
      <c r="Q93" s="76" t="str">
        <f>P93</f>
        <v xml:space="preserve">  </v>
      </c>
      <c r="R93" s="77" t="str">
        <f>VLOOKUP(Q93,STN_TABLE,2,FALSE)</f>
        <v xml:space="preserve">  </v>
      </c>
      <c r="S93" s="77">
        <v>8</v>
      </c>
      <c r="T93" s="76" t="e">
        <f>R93*S93</f>
        <v>#VALUE!</v>
      </c>
      <c r="U93" s="80">
        <v>10</v>
      </c>
      <c r="V93" s="76" t="e">
        <f>R93*U93</f>
        <v>#VALUE!</v>
      </c>
      <c r="W93" s="496" t="s">
        <v>97</v>
      </c>
      <c r="X93" s="496"/>
      <c r="Y93" s="496" t="s">
        <v>98</v>
      </c>
      <c r="Z93" s="496"/>
      <c r="AA93" s="494" t="s">
        <v>99</v>
      </c>
      <c r="AB93" s="494"/>
      <c r="AC93" s="99">
        <f>AC88+1</f>
        <v>13</v>
      </c>
      <c r="AD93" s="95" t="str">
        <f>VLOOKUP(AC93,STN_TABLE_2,2,FALSE)</f>
        <v xml:space="preserve">  </v>
      </c>
      <c r="AE93" s="68" t="str">
        <f>VLOOKUP(AD93,STN_TABLE,2,FALSE)</f>
        <v xml:space="preserve">  </v>
      </c>
      <c r="AF93" s="68">
        <v>1</v>
      </c>
      <c r="AG93" s="69" t="e">
        <f>AE93*AF93</f>
        <v>#VALUE!</v>
      </c>
      <c r="AH93" s="496" t="s">
        <v>97</v>
      </c>
      <c r="AI93" s="496"/>
      <c r="AJ93" s="496" t="s">
        <v>98</v>
      </c>
      <c r="AK93" s="496"/>
      <c r="AL93" s="494" t="s">
        <v>99</v>
      </c>
      <c r="AM93" s="494"/>
      <c r="AP93" s="86" t="s">
        <v>112</v>
      </c>
      <c r="AQ93" s="89" t="s">
        <v>113</v>
      </c>
      <c r="AR93" s="89" t="s">
        <v>114</v>
      </c>
      <c r="AS93" s="89" t="s">
        <v>115</v>
      </c>
      <c r="AU93" s="81"/>
    </row>
    <row r="94" spans="1:47" x14ac:dyDescent="0.25">
      <c r="A94" s="84">
        <f>A93+1</f>
        <v>13</v>
      </c>
      <c r="B94" s="84" t="str">
        <f t="shared" si="27"/>
        <v xml:space="preserve">  </v>
      </c>
      <c r="C94" s="88" t="str">
        <f t="shared" ref="C94" si="40">B95</f>
        <v xml:space="preserve">  </v>
      </c>
      <c r="D94" s="82" t="str">
        <f>VLOOKUP(C94,STN_TABLE,2,FALSE)</f>
        <v xml:space="preserve">  </v>
      </c>
      <c r="E94" s="92">
        <v>1</v>
      </c>
      <c r="F94" s="82" t="e">
        <f>D94*E94</f>
        <v>#VALUE!</v>
      </c>
      <c r="G94" s="83" t="str">
        <f>C94</f>
        <v xml:space="preserve">  </v>
      </c>
      <c r="H94" s="83" t="e">
        <f>F94*G94</f>
        <v>#VALUE!</v>
      </c>
      <c r="I94" s="84" t="str">
        <f>CONCATENATE("a'(",C94,")=")</f>
        <v>a'(  )=</v>
      </c>
      <c r="J94" s="84" t="e">
        <f>2*J92/3*F95</f>
        <v>#VALUE!</v>
      </c>
      <c r="K94" s="84" t="e">
        <f>CONCATENATE("A(",C92,")=")</f>
        <v>#VALUE!</v>
      </c>
      <c r="L94" s="84" t="e">
        <f>VLOOKUP(C92,STN_TABLE,3,FALSE)</f>
        <v>#VALUE!</v>
      </c>
      <c r="M94" t="str">
        <f>CONCATENATE("A(",C94,")=")</f>
        <v>A(  )=</v>
      </c>
      <c r="N94" t="e">
        <f>J94+L94</f>
        <v>#VALUE!</v>
      </c>
      <c r="O94" s="99">
        <f>O93+1</f>
        <v>15</v>
      </c>
      <c r="P94" s="99" t="str">
        <f t="shared" si="23"/>
        <v xml:space="preserve">  </v>
      </c>
      <c r="Q94" s="82" t="e">
        <f>IF(P94-P93=P93-P92,P94,IF(P95-P93=P93-P92,P95,IF(P94-P93=P93-P91,P94,IF(P95-P93=P93-P91,P95,"-"))))</f>
        <v>#VALUE!</v>
      </c>
      <c r="R94" s="83" t="e">
        <f>VLOOKUP(Q94,STN_TABLE,2,FALSE)</f>
        <v>#VALUE!</v>
      </c>
      <c r="S94" s="83">
        <v>-1</v>
      </c>
      <c r="T94" s="82" t="e">
        <f>R94*S94</f>
        <v>#VALUE!</v>
      </c>
      <c r="U94" s="88">
        <v>-1</v>
      </c>
      <c r="V94" s="82" t="e">
        <f>R94*U94</f>
        <v>#VALUE!</v>
      </c>
      <c r="W94" s="84" t="str">
        <f>CONCATENATE("a'(",Q93,")=")</f>
        <v>a'(  )=</v>
      </c>
      <c r="X94" s="84" t="e">
        <f>2*X92/12*T95</f>
        <v>#VALUE!</v>
      </c>
      <c r="Y94" s="84" t="e">
        <f>CONCATENATE("A(",Q92,")=")</f>
        <v>#VALUE!</v>
      </c>
      <c r="Z94" s="84" t="e">
        <f>VLOOKUP(Q92,STN_TABLE,3,FALSE)</f>
        <v>#VALUE!</v>
      </c>
      <c r="AA94" t="str">
        <f>CONCATENATE("A(",Q93,")=")</f>
        <v>A(  )=</v>
      </c>
      <c r="AB94" t="e">
        <f>X94+Z94</f>
        <v>#VALUE!</v>
      </c>
      <c r="AC94" s="99">
        <f>AC93+1</f>
        <v>14</v>
      </c>
      <c r="AD94" s="100" t="str">
        <f>VLOOKUP(AC94,STN_TABLE_2,2,FALSE)</f>
        <v xml:space="preserve">  </v>
      </c>
      <c r="AE94" s="82" t="str">
        <f>VLOOKUP(AD94,STN_TABLE,2,FALSE)</f>
        <v xml:space="preserve">  </v>
      </c>
      <c r="AF94" s="82">
        <v>2</v>
      </c>
      <c r="AG94" s="83" t="e">
        <f>AE94*AF94</f>
        <v>#VALUE!</v>
      </c>
      <c r="AH94" s="84" t="str">
        <f>CONCATENATE("a'(",AD94,")=")</f>
        <v>a'(  )=</v>
      </c>
      <c r="AI94" s="84" t="e">
        <f>2*AI92/2*AE95</f>
        <v>#VALUE!</v>
      </c>
      <c r="AJ94" s="84" t="str">
        <f>CONCATENATE("A(",AD93,")=")</f>
        <v>A(  )=</v>
      </c>
      <c r="AK94" s="84" t="str">
        <f>VLOOKUP(AD93,STN_TABLE,3,FALSE)</f>
        <v xml:space="preserve"> </v>
      </c>
      <c r="AL94" t="str">
        <f>CONCATENATE("A(",AD94,")=")</f>
        <v>A(  )=</v>
      </c>
      <c r="AM94" t="e">
        <f>AI94+AK94</f>
        <v>#VALUE!</v>
      </c>
      <c r="AO94" s="68" t="str">
        <f>AA94</f>
        <v>A(  )=</v>
      </c>
      <c r="AP94" s="68" t="e">
        <f>VLOOKUP(AO94,Rise_Results,2,FALSE)</f>
        <v>#N/A</v>
      </c>
      <c r="AQ94" s="76" t="e">
        <f>N94</f>
        <v>#VALUE!</v>
      </c>
      <c r="AR94" s="76" t="e">
        <f>IF(OR(AB94&lt;=0,AB95&lt;=0),1/0,AB94)</f>
        <v>#VALUE!</v>
      </c>
      <c r="AS94" s="76" t="e">
        <f>AM94</f>
        <v>#VALUE!</v>
      </c>
      <c r="AT94" t="e">
        <f>IFERROR(AP94,IFERROR(AQ94,IFERROR(AR94,AS94)))</f>
        <v>#VALUE!</v>
      </c>
      <c r="AU94" s="81"/>
    </row>
    <row r="95" spans="1:47" x14ac:dyDescent="0.25">
      <c r="A95" s="84">
        <f>A94+1</f>
        <v>14</v>
      </c>
      <c r="B95" s="84" t="str">
        <f t="shared" si="27"/>
        <v xml:space="preserve">  </v>
      </c>
      <c r="F95" s="82" t="e">
        <f>SUM(F92:F94)</f>
        <v>#VALUE!</v>
      </c>
      <c r="H95" s="82" t="e">
        <f>SUM(H92:H94)</f>
        <v>#VALUE!</v>
      </c>
      <c r="I95" s="84" t="str">
        <f>CONCATENATE("m'(",C94,")=")</f>
        <v>m'(  )=</v>
      </c>
      <c r="J95" s="84" t="e">
        <f>2*(J92*(WLS))/3*H95</f>
        <v>#VALUE!</v>
      </c>
      <c r="K95" s="84" t="e">
        <f>CONCATENATE("M(",C92,")=")</f>
        <v>#VALUE!</v>
      </c>
      <c r="L95" s="84" t="e">
        <f>VLOOKUP(C92,STN_TABLE,4,FALSE)</f>
        <v>#VALUE!</v>
      </c>
      <c r="M95" t="str">
        <f>CONCATENATE("M(",C94,")=")</f>
        <v>M(  )=</v>
      </c>
      <c r="N95" t="e">
        <f>J95+L95</f>
        <v>#VALUE!</v>
      </c>
      <c r="O95" s="99">
        <f>O94+1</f>
        <v>16</v>
      </c>
      <c r="P95" s="99" t="str">
        <f t="shared" si="23"/>
        <v xml:space="preserve">  </v>
      </c>
      <c r="T95" s="89" t="e">
        <f>SUM(T92:T94)</f>
        <v>#VALUE!</v>
      </c>
      <c r="V95" s="82" t="e">
        <f>SUM(V92:V94)</f>
        <v>#VALUE!</v>
      </c>
      <c r="W95" s="84" t="str">
        <f>CONCATENATE("m'(",Q93,")=")</f>
        <v>m'(  )=</v>
      </c>
      <c r="X95" s="84" t="e">
        <f>(2*(X92^2)/24*V95)+(X94*Q92*WLS)</f>
        <v>#VALUE!</v>
      </c>
      <c r="Y95" s="84" t="e">
        <f>CONCATENATE("M(",Q92,")=")</f>
        <v>#VALUE!</v>
      </c>
      <c r="Z95" s="84" t="e">
        <f>VLOOKUP(Q92,STN_TABLE,4,FALSE)</f>
        <v>#VALUE!</v>
      </c>
      <c r="AA95" t="str">
        <f>CONCATENATE("M(",Q93,")=")</f>
        <v>M(  )=</v>
      </c>
      <c r="AB95" t="e">
        <f>X95+Z95</f>
        <v>#VALUE!</v>
      </c>
      <c r="AE95" s="89">
        <f>SUM(AE93:AE94)</f>
        <v>0</v>
      </c>
      <c r="AG95" s="89" t="e">
        <f>SUM(AG93:AG94)</f>
        <v>#VALUE!</v>
      </c>
      <c r="AH95" s="84" t="str">
        <f>CONCATENATE("m'(",AD94,")=")</f>
        <v>m'(  )=</v>
      </c>
      <c r="AI95" s="84" t="e">
        <f>(2*(AI92^2)/6*AG95)+(AI94*AD93*WLS)</f>
        <v>#VALUE!</v>
      </c>
      <c r="AJ95" s="84" t="str">
        <f>CONCATENATE("M(",AD93,")=")</f>
        <v>M(  )=</v>
      </c>
      <c r="AK95" s="84" t="str">
        <f>VLOOKUP(AD93,STN_TABLE,4,FALSE)</f>
        <v xml:space="preserve"> </v>
      </c>
      <c r="AL95" t="str">
        <f>CONCATENATE("M(",AD94,")=")</f>
        <v>M(  )=</v>
      </c>
      <c r="AM95" t="e">
        <f>AI95+AK95</f>
        <v>#VALUE!</v>
      </c>
      <c r="AO95" s="82" t="str">
        <f>AA95</f>
        <v>M(  )=</v>
      </c>
      <c r="AP95" s="82" t="e">
        <f>VLOOKUP(AO95,Rise_Results,2,FALSE)</f>
        <v>#N/A</v>
      </c>
      <c r="AQ95" s="82" t="e">
        <f>N95</f>
        <v>#VALUE!</v>
      </c>
      <c r="AR95" s="82" t="e">
        <f>IF(OR(AB94&lt;=0,AB95&lt;=0),1/0,AB95)</f>
        <v>#VALUE!</v>
      </c>
      <c r="AS95" s="82" t="e">
        <f>AM95</f>
        <v>#VALUE!</v>
      </c>
      <c r="AT95" t="e">
        <f>IFERROR(AP95,IFERROR(AQ95,IFERROR(AR95,AS95)))</f>
        <v>#VALUE!</v>
      </c>
      <c r="AU95" s="81"/>
    </row>
    <row r="96" spans="1:47" x14ac:dyDescent="0.25">
      <c r="A96" s="101">
        <f>A91+1</f>
        <v>11</v>
      </c>
      <c r="B96" s="101">
        <f t="shared" si="27"/>
        <v>6</v>
      </c>
      <c r="O96" s="101">
        <f>O91+1</f>
        <v>13</v>
      </c>
      <c r="P96" s="101" t="str">
        <f t="shared" si="23"/>
        <v xml:space="preserve">  </v>
      </c>
      <c r="AU96" s="81"/>
    </row>
    <row r="97" spans="1:47" x14ac:dyDescent="0.25">
      <c r="A97" s="84">
        <f>A96+1</f>
        <v>12</v>
      </c>
      <c r="B97" s="84">
        <f t="shared" si="27"/>
        <v>6.5</v>
      </c>
      <c r="C97" s="79" t="e">
        <f t="shared" ref="C97" si="41">IF(C98=B99,IF(C99-C98=C98-B98,B98,IF(C99-C98=C98-B97,B97,"#NA")),IF(C98=B98,IF(C99-C98=C98-B97,B97,IF(C99-C98=C98-B96,B96,"#NA")),"#NA"))</f>
        <v>#VALUE!</v>
      </c>
      <c r="D97" s="68" t="e">
        <f>VLOOKUP(C97,STN_TABLE,2,FALSE)</f>
        <v>#VALUE!</v>
      </c>
      <c r="E97" s="102">
        <v>1</v>
      </c>
      <c r="F97" s="68" t="e">
        <f>D97*E97</f>
        <v>#VALUE!</v>
      </c>
      <c r="G97" s="69" t="e">
        <f>C97</f>
        <v>#VALUE!</v>
      </c>
      <c r="H97" s="69" t="e">
        <f>F97*G97</f>
        <v>#VALUE!</v>
      </c>
      <c r="I97" s="6" t="s">
        <v>93</v>
      </c>
      <c r="J97" s="70" t="e">
        <f>IF(OR(D97=0,D98=0,D99=0),"#NA",IF(AND(C99-C98=C98-C97,C98&lt;&gt;C99,C97&lt;&gt;C98,C97&lt;&gt;C99,D99&lt;&gt;0,OR(D97&lt;&gt;0,D98&lt;&gt;0)),WLS*(C99-C98),"#NA"))</f>
        <v>#VALUE!</v>
      </c>
      <c r="O97" s="99">
        <f>O96+1</f>
        <v>14</v>
      </c>
      <c r="P97" s="99" t="str">
        <f t="shared" si="23"/>
        <v xml:space="preserve">  </v>
      </c>
      <c r="Q97" s="68" t="e">
        <f>IF(OR(P99-P98=P98-P97,P100-P98=P98-P97),P97,IF(OR(P99-P98=P98-P96,P100-P98=P98-P96),P96,"-"))</f>
        <v>#VALUE!</v>
      </c>
      <c r="R97" s="69" t="e">
        <f>VLOOKUP(Q97,STN_TABLE,2,FALSE)</f>
        <v>#VALUE!</v>
      </c>
      <c r="S97" s="69">
        <v>5</v>
      </c>
      <c r="T97" s="68" t="e">
        <f>R97*S97</f>
        <v>#VALUE!</v>
      </c>
      <c r="U97" s="79">
        <v>3</v>
      </c>
      <c r="V97" s="68" t="e">
        <f>R97*U97</f>
        <v>#VALUE!</v>
      </c>
      <c r="W97" s="6" t="s">
        <v>93</v>
      </c>
      <c r="X97" s="70" t="e">
        <f>IF(AND(Q99-Q98=Q98-Q97,NOT(AND(Q97=0,Q98=0)),NOT(AND(Q98=0,Q99=0))),WLS*(Q99-Q98),"#NA")</f>
        <v>#VALUE!</v>
      </c>
      <c r="AD97" s="93"/>
      <c r="AH97" s="6" t="s">
        <v>93</v>
      </c>
      <c r="AI97" s="70" t="e">
        <f>WLS*(AD99-AD98)</f>
        <v>#VALUE!</v>
      </c>
      <c r="AU97" s="81"/>
    </row>
    <row r="98" spans="1:47" x14ac:dyDescent="0.25">
      <c r="A98" s="84">
        <f>A97+1</f>
        <v>13</v>
      </c>
      <c r="B98" s="84" t="str">
        <f t="shared" si="27"/>
        <v xml:space="preserve">  </v>
      </c>
      <c r="C98" s="80" t="e">
        <f t="shared" ref="C98" si="42">IF(OR(B100-B99=B99-B98,B100-B99=B99-B97,B100-B99=B99-B96),B99,IF(OR(B100-B98=B98-B97,B100-B98=B98-B96),B98,IF(B100-B97=B97-B96,B97,"#NA")))</f>
        <v>#VALUE!</v>
      </c>
      <c r="D98" s="76" t="e">
        <f>VLOOKUP(C98,STN_TABLE,2,FALSE)</f>
        <v>#VALUE!</v>
      </c>
      <c r="E98" s="81">
        <v>4</v>
      </c>
      <c r="F98" s="76" t="e">
        <f>D98*E98</f>
        <v>#VALUE!</v>
      </c>
      <c r="G98" s="77" t="e">
        <f>C98</f>
        <v>#VALUE!</v>
      </c>
      <c r="H98" s="77" t="e">
        <f>F98*G98</f>
        <v>#VALUE!</v>
      </c>
      <c r="I98" s="495" t="s">
        <v>97</v>
      </c>
      <c r="J98" s="496"/>
      <c r="K98" s="78" t="s">
        <v>98</v>
      </c>
      <c r="L98" s="78"/>
      <c r="M98" s="7" t="s">
        <v>99</v>
      </c>
      <c r="N98" s="7"/>
      <c r="O98" s="99">
        <f>O97+1</f>
        <v>15</v>
      </c>
      <c r="P98" s="99" t="str">
        <f t="shared" si="23"/>
        <v xml:space="preserve">  </v>
      </c>
      <c r="Q98" s="76" t="str">
        <f>P98</f>
        <v xml:space="preserve">  </v>
      </c>
      <c r="R98" s="77" t="str">
        <f>VLOOKUP(Q98,STN_TABLE,2,FALSE)</f>
        <v xml:space="preserve">  </v>
      </c>
      <c r="S98" s="77">
        <v>8</v>
      </c>
      <c r="T98" s="76" t="e">
        <f>R98*S98</f>
        <v>#VALUE!</v>
      </c>
      <c r="U98" s="80">
        <v>10</v>
      </c>
      <c r="V98" s="76" t="e">
        <f>R98*U98</f>
        <v>#VALUE!</v>
      </c>
      <c r="W98" s="496" t="s">
        <v>97</v>
      </c>
      <c r="X98" s="496"/>
      <c r="Y98" s="496" t="s">
        <v>98</v>
      </c>
      <c r="Z98" s="496"/>
      <c r="AA98" s="494" t="s">
        <v>99</v>
      </c>
      <c r="AB98" s="494"/>
      <c r="AC98" s="99">
        <f>AC93+1</f>
        <v>14</v>
      </c>
      <c r="AD98" s="95" t="str">
        <f>VLOOKUP(AC98,STN_TABLE_2,2,FALSE)</f>
        <v xml:space="preserve">  </v>
      </c>
      <c r="AE98" s="68" t="str">
        <f>VLOOKUP(AD98,STN_TABLE,2,FALSE)</f>
        <v xml:space="preserve">  </v>
      </c>
      <c r="AF98" s="68">
        <v>1</v>
      </c>
      <c r="AG98" s="69" t="e">
        <f>AE98*AF98</f>
        <v>#VALUE!</v>
      </c>
      <c r="AH98" s="496" t="s">
        <v>97</v>
      </c>
      <c r="AI98" s="496"/>
      <c r="AJ98" s="496" t="s">
        <v>98</v>
      </c>
      <c r="AK98" s="496"/>
      <c r="AL98" s="494" t="s">
        <v>99</v>
      </c>
      <c r="AM98" s="494"/>
      <c r="AP98" s="86" t="s">
        <v>112</v>
      </c>
      <c r="AQ98" s="89" t="s">
        <v>113</v>
      </c>
      <c r="AR98" s="89" t="s">
        <v>114</v>
      </c>
      <c r="AS98" s="89" t="s">
        <v>115</v>
      </c>
      <c r="AU98" s="81"/>
    </row>
    <row r="99" spans="1:47" x14ac:dyDescent="0.25">
      <c r="A99" s="84">
        <f>A98+1</f>
        <v>14</v>
      </c>
      <c r="B99" s="84" t="str">
        <f t="shared" si="27"/>
        <v xml:space="preserve">  </v>
      </c>
      <c r="C99" s="88" t="str">
        <f t="shared" ref="C99" si="43">B100</f>
        <v xml:space="preserve">  </v>
      </c>
      <c r="D99" s="82" t="str">
        <f>VLOOKUP(C99,STN_TABLE,2,FALSE)</f>
        <v xml:space="preserve">  </v>
      </c>
      <c r="E99" s="92">
        <v>1</v>
      </c>
      <c r="F99" s="82" t="e">
        <f>D99*E99</f>
        <v>#VALUE!</v>
      </c>
      <c r="G99" s="83" t="str">
        <f>C99</f>
        <v xml:space="preserve">  </v>
      </c>
      <c r="H99" s="83" t="e">
        <f>F99*G99</f>
        <v>#VALUE!</v>
      </c>
      <c r="I99" s="84" t="str">
        <f>CONCATENATE("a'(",C99,")=")</f>
        <v>a'(  )=</v>
      </c>
      <c r="J99" s="84" t="e">
        <f>2*J97/3*F100</f>
        <v>#VALUE!</v>
      </c>
      <c r="K99" s="84" t="e">
        <f>CONCATENATE("A(",C97,")=")</f>
        <v>#VALUE!</v>
      </c>
      <c r="L99" s="84" t="e">
        <f>VLOOKUP(C97,STN_TABLE,3,FALSE)</f>
        <v>#VALUE!</v>
      </c>
      <c r="M99" t="str">
        <f>CONCATENATE("A(",C99,")=")</f>
        <v>A(  )=</v>
      </c>
      <c r="N99" t="e">
        <f>J99+L99</f>
        <v>#VALUE!</v>
      </c>
      <c r="O99" s="99">
        <f>O98+1</f>
        <v>16</v>
      </c>
      <c r="P99" s="99" t="str">
        <f t="shared" si="23"/>
        <v xml:space="preserve">  </v>
      </c>
      <c r="Q99" s="82" t="e">
        <f>IF(P99-P98=P98-P97,P99,IF(P100-P98=P98-P97,P100,IF(P99-P98=P98-P96,P99,IF(P100-P98=P98-P96,P100,"-"))))</f>
        <v>#VALUE!</v>
      </c>
      <c r="R99" s="83" t="e">
        <f>VLOOKUP(Q99,STN_TABLE,2,FALSE)</f>
        <v>#VALUE!</v>
      </c>
      <c r="S99" s="83">
        <v>-1</v>
      </c>
      <c r="T99" s="82" t="e">
        <f>R99*S99</f>
        <v>#VALUE!</v>
      </c>
      <c r="U99" s="88">
        <v>-1</v>
      </c>
      <c r="V99" s="82" t="e">
        <f>R99*U99</f>
        <v>#VALUE!</v>
      </c>
      <c r="W99" s="84" t="str">
        <f>CONCATENATE("a'(",Q98,")=")</f>
        <v>a'(  )=</v>
      </c>
      <c r="X99" s="84" t="e">
        <f>2*X97/12*T100</f>
        <v>#VALUE!</v>
      </c>
      <c r="Y99" s="84" t="e">
        <f>CONCATENATE("A(",Q97,")=")</f>
        <v>#VALUE!</v>
      </c>
      <c r="Z99" s="84" t="e">
        <f>VLOOKUP(Q97,STN_TABLE,3,FALSE)</f>
        <v>#VALUE!</v>
      </c>
      <c r="AA99" t="str">
        <f>CONCATENATE("A(",Q98,")=")</f>
        <v>A(  )=</v>
      </c>
      <c r="AB99" t="e">
        <f>X99+Z99</f>
        <v>#VALUE!</v>
      </c>
      <c r="AC99" s="99">
        <f>AC98+1</f>
        <v>15</v>
      </c>
      <c r="AD99" s="100" t="str">
        <f>VLOOKUP(AC99,STN_TABLE_2,2,FALSE)</f>
        <v xml:space="preserve">  </v>
      </c>
      <c r="AE99" s="82" t="str">
        <f>VLOOKUP(AD99,STN_TABLE,2,FALSE)</f>
        <v xml:space="preserve">  </v>
      </c>
      <c r="AF99" s="82">
        <v>2</v>
      </c>
      <c r="AG99" s="83" t="e">
        <f>AE99*AF99</f>
        <v>#VALUE!</v>
      </c>
      <c r="AH99" s="84" t="str">
        <f>CONCATENATE("a'(",AD99,")=")</f>
        <v>a'(  )=</v>
      </c>
      <c r="AI99" s="84" t="e">
        <f>2*AI97/2*AE100</f>
        <v>#VALUE!</v>
      </c>
      <c r="AJ99" s="84" t="str">
        <f>CONCATENATE("A(",AD98,")=")</f>
        <v>A(  )=</v>
      </c>
      <c r="AK99" s="84" t="str">
        <f>VLOOKUP(AD98,STN_TABLE,3,FALSE)</f>
        <v xml:space="preserve"> </v>
      </c>
      <c r="AL99" t="str">
        <f>CONCATENATE("A(",AD99,")=")</f>
        <v>A(  )=</v>
      </c>
      <c r="AM99" t="e">
        <f>AI99+AK99</f>
        <v>#VALUE!</v>
      </c>
      <c r="AO99" s="68" t="str">
        <f>AA99</f>
        <v>A(  )=</v>
      </c>
      <c r="AP99" s="68" t="e">
        <f>VLOOKUP(AO99,Rise_Results,2,FALSE)</f>
        <v>#N/A</v>
      </c>
      <c r="AQ99" s="76" t="e">
        <f>N99</f>
        <v>#VALUE!</v>
      </c>
      <c r="AR99" s="76" t="e">
        <f>IF(OR(AB99&lt;=0,AB100&lt;=0),1/0,AB99)</f>
        <v>#VALUE!</v>
      </c>
      <c r="AS99" s="76" t="e">
        <f>AM99</f>
        <v>#VALUE!</v>
      </c>
      <c r="AT99" t="e">
        <f>IFERROR(AP99,IFERROR(AQ99,IFERROR(AR99,AS99)))</f>
        <v>#VALUE!</v>
      </c>
      <c r="AU99" s="81"/>
    </row>
    <row r="100" spans="1:47" x14ac:dyDescent="0.25">
      <c r="A100" s="84">
        <f>A99+1</f>
        <v>15</v>
      </c>
      <c r="B100" s="84" t="str">
        <f t="shared" si="27"/>
        <v xml:space="preserve">  </v>
      </c>
      <c r="F100" s="82" t="e">
        <f>SUM(F97:F99)</f>
        <v>#VALUE!</v>
      </c>
      <c r="H100" s="82" t="e">
        <f>SUM(H97:H99)</f>
        <v>#VALUE!</v>
      </c>
      <c r="I100" s="84" t="str">
        <f>CONCATENATE("m'(",C99,")=")</f>
        <v>m'(  )=</v>
      </c>
      <c r="J100" s="84" t="e">
        <f>2*(J97*(WLS))/3*H100</f>
        <v>#VALUE!</v>
      </c>
      <c r="K100" s="84" t="e">
        <f>CONCATENATE("M(",C97,")=")</f>
        <v>#VALUE!</v>
      </c>
      <c r="L100" s="84" t="e">
        <f>VLOOKUP(C97,STN_TABLE,4,FALSE)</f>
        <v>#VALUE!</v>
      </c>
      <c r="M100" t="str">
        <f>CONCATENATE("M(",C99,")=")</f>
        <v>M(  )=</v>
      </c>
      <c r="N100" t="e">
        <f>J100+L100</f>
        <v>#VALUE!</v>
      </c>
      <c r="O100" s="99">
        <f>O99+1</f>
        <v>17</v>
      </c>
      <c r="P100" s="99" t="str">
        <f t="shared" ref="P100:P131" si="44">VLOOKUP(O100,STN_TABLE_2,2,FALSE)</f>
        <v xml:space="preserve">  </v>
      </c>
      <c r="T100" s="89" t="e">
        <f>SUM(T97:T99)</f>
        <v>#VALUE!</v>
      </c>
      <c r="V100" s="82" t="e">
        <f>SUM(V97:V99)</f>
        <v>#VALUE!</v>
      </c>
      <c r="W100" s="84" t="str">
        <f>CONCATENATE("m'(",Q98,")=")</f>
        <v>m'(  )=</v>
      </c>
      <c r="X100" s="84" t="e">
        <f>(2*(X97^2)/24*V100)+(X99*Q97*WLS)</f>
        <v>#VALUE!</v>
      </c>
      <c r="Y100" s="84" t="e">
        <f>CONCATENATE("M(",Q97,")=")</f>
        <v>#VALUE!</v>
      </c>
      <c r="Z100" s="84" t="e">
        <f>VLOOKUP(Q97,STN_TABLE,4,FALSE)</f>
        <v>#VALUE!</v>
      </c>
      <c r="AA100" t="str">
        <f>CONCATENATE("M(",Q98,")=")</f>
        <v>M(  )=</v>
      </c>
      <c r="AB100" t="e">
        <f>X100+Z100</f>
        <v>#VALUE!</v>
      </c>
      <c r="AE100" s="89">
        <f>SUM(AE98:AE99)</f>
        <v>0</v>
      </c>
      <c r="AG100" s="89" t="e">
        <f>SUM(AG98:AG99)</f>
        <v>#VALUE!</v>
      </c>
      <c r="AH100" s="84" t="str">
        <f>CONCATENATE("m'(",AD99,")=")</f>
        <v>m'(  )=</v>
      </c>
      <c r="AI100" s="84" t="e">
        <f>(2*(AI97^2)/6*AG100)+(AI99*AD98*WLS)</f>
        <v>#VALUE!</v>
      </c>
      <c r="AJ100" s="84" t="str">
        <f>CONCATENATE("M(",AD98,")=")</f>
        <v>M(  )=</v>
      </c>
      <c r="AK100" s="84" t="str">
        <f>VLOOKUP(AD98,STN_TABLE,4,FALSE)</f>
        <v xml:space="preserve"> </v>
      </c>
      <c r="AL100" t="str">
        <f>CONCATENATE("M(",AD99,")=")</f>
        <v>M(  )=</v>
      </c>
      <c r="AM100" t="e">
        <f>AI100+AK100</f>
        <v>#VALUE!</v>
      </c>
      <c r="AO100" s="82" t="str">
        <f>AA100</f>
        <v>M(  )=</v>
      </c>
      <c r="AP100" s="82" t="e">
        <f>VLOOKUP(AO100,Rise_Results,2,FALSE)</f>
        <v>#N/A</v>
      </c>
      <c r="AQ100" s="82" t="e">
        <f>N100</f>
        <v>#VALUE!</v>
      </c>
      <c r="AR100" s="82" t="e">
        <f>IF(OR(AB99&lt;=0,AB100&lt;=0),1/0,AB100)</f>
        <v>#VALUE!</v>
      </c>
      <c r="AS100" s="82" t="e">
        <f>AM100</f>
        <v>#VALUE!</v>
      </c>
      <c r="AT100" t="e">
        <f>IFERROR(AP100,IFERROR(AQ100,IFERROR(AR100,AS100)))</f>
        <v>#VALUE!</v>
      </c>
      <c r="AU100" s="81"/>
    </row>
    <row r="101" spans="1:47" x14ac:dyDescent="0.25">
      <c r="A101" s="101">
        <f>A96+1</f>
        <v>12</v>
      </c>
      <c r="B101" s="101">
        <f t="shared" si="27"/>
        <v>6.5</v>
      </c>
      <c r="O101" s="101">
        <f>O96+1</f>
        <v>14</v>
      </c>
      <c r="P101" s="101" t="str">
        <f t="shared" si="44"/>
        <v xml:space="preserve">  </v>
      </c>
      <c r="AU101" s="81"/>
    </row>
    <row r="102" spans="1:47" x14ac:dyDescent="0.25">
      <c r="A102" s="84">
        <f>A101+1</f>
        <v>13</v>
      </c>
      <c r="B102" s="84" t="str">
        <f t="shared" si="27"/>
        <v xml:space="preserve">  </v>
      </c>
      <c r="C102" s="79" t="e">
        <f t="shared" ref="C102" si="45">IF(C103=B104,IF(C104-C103=C103-B103,B103,IF(C104-C103=C103-B102,B102,"#NA")),IF(C103=B103,IF(C104-C103=C103-B102,B102,IF(C104-C103=C103-B101,B101,"#NA")),"#NA"))</f>
        <v>#VALUE!</v>
      </c>
      <c r="D102" s="68" t="e">
        <f>VLOOKUP(C102,STN_TABLE,2,FALSE)</f>
        <v>#VALUE!</v>
      </c>
      <c r="E102" s="102">
        <v>1</v>
      </c>
      <c r="F102" s="68" t="e">
        <f>D102*E102</f>
        <v>#VALUE!</v>
      </c>
      <c r="G102" s="69" t="e">
        <f>C102</f>
        <v>#VALUE!</v>
      </c>
      <c r="H102" s="69" t="e">
        <f>F102*G102</f>
        <v>#VALUE!</v>
      </c>
      <c r="I102" s="6" t="s">
        <v>93</v>
      </c>
      <c r="J102" s="70" t="e">
        <f>IF(OR(D102=0,D103=0,D104=0),"#NA",IF(AND(C104-C103=C103-C102,C103&lt;&gt;C104,C102&lt;&gt;C103,C102&lt;&gt;C104,D104&lt;&gt;0,OR(D102&lt;&gt;0,D103&lt;&gt;0)),WLS*(C104-C103),"#NA"))</f>
        <v>#VALUE!</v>
      </c>
      <c r="O102" s="99">
        <f>O101+1</f>
        <v>15</v>
      </c>
      <c r="P102" s="99" t="str">
        <f t="shared" si="44"/>
        <v xml:space="preserve">  </v>
      </c>
      <c r="Q102" s="68" t="e">
        <f>IF(OR(P104-P103=P103-P102,P105-P103=P103-P102),P102,IF(OR(P104-P103=P103-P101,P105-P103=P103-P101),P101,"-"))</f>
        <v>#VALUE!</v>
      </c>
      <c r="R102" s="69" t="e">
        <f>VLOOKUP(Q102,STN_TABLE,2,FALSE)</f>
        <v>#VALUE!</v>
      </c>
      <c r="S102" s="69">
        <v>5</v>
      </c>
      <c r="T102" s="68" t="e">
        <f>R102*S102</f>
        <v>#VALUE!</v>
      </c>
      <c r="U102" s="79">
        <v>3</v>
      </c>
      <c r="V102" s="68" t="e">
        <f>R102*U102</f>
        <v>#VALUE!</v>
      </c>
      <c r="W102" s="6" t="s">
        <v>93</v>
      </c>
      <c r="X102" s="70" t="e">
        <f>IF(AND(Q104-Q103=Q103-Q102,NOT(AND(Q102=0,Q103=0)),NOT(AND(Q103=0,Q104=0))),WLS*(Q104-Q103),"#NA")</f>
        <v>#VALUE!</v>
      </c>
      <c r="AD102" s="93"/>
      <c r="AH102" s="6" t="s">
        <v>93</v>
      </c>
      <c r="AI102" s="70" t="e">
        <f>WLS*(AD104-AD103)</f>
        <v>#VALUE!</v>
      </c>
      <c r="AU102" s="81"/>
    </row>
    <row r="103" spans="1:47" x14ac:dyDescent="0.25">
      <c r="A103" s="84">
        <f>A102+1</f>
        <v>14</v>
      </c>
      <c r="B103" s="84" t="str">
        <f t="shared" si="27"/>
        <v xml:space="preserve">  </v>
      </c>
      <c r="C103" s="80" t="e">
        <f t="shared" ref="C103" si="46">IF(OR(B105-B104=B104-B103,B105-B104=B104-B102,B105-B104=B104-B101),B104,IF(OR(B105-B103=B103-B102,B105-B103=B103-B101),B103,IF(B105-B102=B102-B101,B102,"#NA")))</f>
        <v>#VALUE!</v>
      </c>
      <c r="D103" s="76" t="e">
        <f>VLOOKUP(C103,STN_TABLE,2,FALSE)</f>
        <v>#VALUE!</v>
      </c>
      <c r="E103" s="81">
        <v>4</v>
      </c>
      <c r="F103" s="76" t="e">
        <f>D103*E103</f>
        <v>#VALUE!</v>
      </c>
      <c r="G103" s="77" t="e">
        <f>C103</f>
        <v>#VALUE!</v>
      </c>
      <c r="H103" s="77" t="e">
        <f>F103*G103</f>
        <v>#VALUE!</v>
      </c>
      <c r="I103" s="495" t="s">
        <v>97</v>
      </c>
      <c r="J103" s="496"/>
      <c r="K103" s="78" t="s">
        <v>98</v>
      </c>
      <c r="L103" s="78"/>
      <c r="M103" s="7" t="s">
        <v>99</v>
      </c>
      <c r="N103" s="7"/>
      <c r="O103" s="99">
        <f>O102+1</f>
        <v>16</v>
      </c>
      <c r="P103" s="99" t="str">
        <f t="shared" si="44"/>
        <v xml:space="preserve">  </v>
      </c>
      <c r="Q103" s="76" t="str">
        <f>P103</f>
        <v xml:space="preserve">  </v>
      </c>
      <c r="R103" s="77" t="str">
        <f>VLOOKUP(Q103,STN_TABLE,2,FALSE)</f>
        <v xml:space="preserve">  </v>
      </c>
      <c r="S103" s="77">
        <v>8</v>
      </c>
      <c r="T103" s="76" t="e">
        <f>R103*S103</f>
        <v>#VALUE!</v>
      </c>
      <c r="U103" s="80">
        <v>10</v>
      </c>
      <c r="V103" s="76" t="e">
        <f>R103*U103</f>
        <v>#VALUE!</v>
      </c>
      <c r="W103" s="496" t="s">
        <v>97</v>
      </c>
      <c r="X103" s="496"/>
      <c r="Y103" s="496" t="s">
        <v>98</v>
      </c>
      <c r="Z103" s="496"/>
      <c r="AA103" s="494" t="s">
        <v>99</v>
      </c>
      <c r="AB103" s="494"/>
      <c r="AC103" s="99">
        <f>AC98+1</f>
        <v>15</v>
      </c>
      <c r="AD103" s="95" t="str">
        <f>VLOOKUP(AC103,STN_TABLE_2,2,FALSE)</f>
        <v xml:space="preserve">  </v>
      </c>
      <c r="AE103" s="68" t="str">
        <f>VLOOKUP(AD103,STN_TABLE,2,FALSE)</f>
        <v xml:space="preserve">  </v>
      </c>
      <c r="AF103" s="68">
        <v>1</v>
      </c>
      <c r="AG103" s="69" t="e">
        <f>AE103*AF103</f>
        <v>#VALUE!</v>
      </c>
      <c r="AH103" s="496" t="s">
        <v>97</v>
      </c>
      <c r="AI103" s="496"/>
      <c r="AJ103" s="496" t="s">
        <v>98</v>
      </c>
      <c r="AK103" s="496"/>
      <c r="AL103" s="494" t="s">
        <v>99</v>
      </c>
      <c r="AM103" s="494"/>
      <c r="AP103" s="86" t="s">
        <v>112</v>
      </c>
      <c r="AQ103" s="89" t="s">
        <v>113</v>
      </c>
      <c r="AR103" s="89" t="s">
        <v>114</v>
      </c>
      <c r="AS103" s="89" t="s">
        <v>115</v>
      </c>
      <c r="AU103" s="81"/>
    </row>
    <row r="104" spans="1:47" x14ac:dyDescent="0.25">
      <c r="A104" s="84">
        <f>A103+1</f>
        <v>15</v>
      </c>
      <c r="B104" s="84" t="str">
        <f t="shared" si="27"/>
        <v xml:space="preserve">  </v>
      </c>
      <c r="C104" s="88" t="str">
        <f t="shared" ref="C104" si="47">B105</f>
        <v xml:space="preserve">  </v>
      </c>
      <c r="D104" s="82" t="str">
        <f>VLOOKUP(C104,STN_TABLE,2,FALSE)</f>
        <v xml:space="preserve">  </v>
      </c>
      <c r="E104" s="92">
        <v>1</v>
      </c>
      <c r="F104" s="82" t="e">
        <f>D104*E104</f>
        <v>#VALUE!</v>
      </c>
      <c r="G104" s="83" t="str">
        <f>C104</f>
        <v xml:space="preserve">  </v>
      </c>
      <c r="H104" s="83" t="e">
        <f>F104*G104</f>
        <v>#VALUE!</v>
      </c>
      <c r="I104" s="84" t="str">
        <f>CONCATENATE("a'(",C104,")=")</f>
        <v>a'(  )=</v>
      </c>
      <c r="J104" s="84" t="e">
        <f>2*J102/3*F105</f>
        <v>#VALUE!</v>
      </c>
      <c r="K104" s="84" t="e">
        <f>CONCATENATE("A(",C102,")=")</f>
        <v>#VALUE!</v>
      </c>
      <c r="L104" s="84" t="e">
        <f>VLOOKUP(C102,STN_TABLE,3,FALSE)</f>
        <v>#VALUE!</v>
      </c>
      <c r="M104" t="str">
        <f>CONCATENATE("A(",C104,")=")</f>
        <v>A(  )=</v>
      </c>
      <c r="N104" t="e">
        <f>J104+L104</f>
        <v>#VALUE!</v>
      </c>
      <c r="O104" s="99">
        <f>O103+1</f>
        <v>17</v>
      </c>
      <c r="P104" s="99" t="str">
        <f t="shared" si="44"/>
        <v xml:space="preserve">  </v>
      </c>
      <c r="Q104" s="82" t="e">
        <f>IF(P104-P103=P103-P102,P104,IF(P105-P103=P103-P102,P105,IF(P104-P103=P103-P101,P104,IF(P105-P103=P103-P101,P105,"-"))))</f>
        <v>#VALUE!</v>
      </c>
      <c r="R104" s="83" t="e">
        <f>VLOOKUP(Q104,STN_TABLE,2,FALSE)</f>
        <v>#VALUE!</v>
      </c>
      <c r="S104" s="83">
        <v>-1</v>
      </c>
      <c r="T104" s="82" t="e">
        <f>R104*S104</f>
        <v>#VALUE!</v>
      </c>
      <c r="U104" s="88">
        <v>-1</v>
      </c>
      <c r="V104" s="82" t="e">
        <f>R104*U104</f>
        <v>#VALUE!</v>
      </c>
      <c r="W104" s="84" t="str">
        <f>CONCATENATE("a'(",Q103,")=")</f>
        <v>a'(  )=</v>
      </c>
      <c r="X104" s="84" t="e">
        <f>2*X102/12*T105</f>
        <v>#VALUE!</v>
      </c>
      <c r="Y104" s="84" t="e">
        <f>CONCATENATE("A(",Q102,")=")</f>
        <v>#VALUE!</v>
      </c>
      <c r="Z104" s="84" t="e">
        <f>VLOOKUP(Q102,STN_TABLE,3,FALSE)</f>
        <v>#VALUE!</v>
      </c>
      <c r="AA104" t="str">
        <f>CONCATENATE("A(",Q103,")=")</f>
        <v>A(  )=</v>
      </c>
      <c r="AB104" t="e">
        <f>X104+Z104</f>
        <v>#VALUE!</v>
      </c>
      <c r="AC104" s="99">
        <f>AC103+1</f>
        <v>16</v>
      </c>
      <c r="AD104" s="100" t="str">
        <f>VLOOKUP(AC104,STN_TABLE_2,2,FALSE)</f>
        <v xml:space="preserve">  </v>
      </c>
      <c r="AE104" s="82" t="str">
        <f>VLOOKUP(AD104,STN_TABLE,2,FALSE)</f>
        <v xml:space="preserve">  </v>
      </c>
      <c r="AF104" s="82">
        <v>2</v>
      </c>
      <c r="AG104" s="83" t="e">
        <f>AE104*AF104</f>
        <v>#VALUE!</v>
      </c>
      <c r="AH104" s="84" t="str">
        <f>CONCATENATE("a'(",AD104,")=")</f>
        <v>a'(  )=</v>
      </c>
      <c r="AI104" s="84" t="e">
        <f>2*AI102/2*AE105</f>
        <v>#VALUE!</v>
      </c>
      <c r="AJ104" s="84" t="str">
        <f>CONCATENATE("A(",AD103,")=")</f>
        <v>A(  )=</v>
      </c>
      <c r="AK104" s="84" t="str">
        <f>VLOOKUP(AD103,STN_TABLE,3,FALSE)</f>
        <v xml:space="preserve"> </v>
      </c>
      <c r="AL104" t="str">
        <f>CONCATENATE("A(",AD104,")=")</f>
        <v>A(  )=</v>
      </c>
      <c r="AM104" t="e">
        <f>AI104+AK104</f>
        <v>#VALUE!</v>
      </c>
      <c r="AO104" s="68" t="str">
        <f>AA104</f>
        <v>A(  )=</v>
      </c>
      <c r="AP104" s="68" t="e">
        <f>VLOOKUP(AO104,Rise_Results,2,FALSE)</f>
        <v>#N/A</v>
      </c>
      <c r="AQ104" s="76" t="e">
        <f>N104</f>
        <v>#VALUE!</v>
      </c>
      <c r="AR104" s="76" t="e">
        <f>IF(OR(AB104&lt;=0,AB105&lt;=0),1/0,AB104)</f>
        <v>#VALUE!</v>
      </c>
      <c r="AS104" s="76" t="e">
        <f>AM104</f>
        <v>#VALUE!</v>
      </c>
      <c r="AT104" t="e">
        <f>IFERROR(AP104,IFERROR(AQ104,IFERROR(AR104,AS104)))</f>
        <v>#VALUE!</v>
      </c>
      <c r="AU104" s="81"/>
    </row>
    <row r="105" spans="1:47" x14ac:dyDescent="0.25">
      <c r="A105" s="84">
        <f>A104+1</f>
        <v>16</v>
      </c>
      <c r="B105" s="84" t="str">
        <f t="shared" si="27"/>
        <v xml:space="preserve">  </v>
      </c>
      <c r="F105" s="82" t="e">
        <f>SUM(F102:F104)</f>
        <v>#VALUE!</v>
      </c>
      <c r="H105" s="82" t="e">
        <f>SUM(H102:H104)</f>
        <v>#VALUE!</v>
      </c>
      <c r="I105" s="84" t="str">
        <f>CONCATENATE("m'(",C104,")=")</f>
        <v>m'(  )=</v>
      </c>
      <c r="J105" s="84" t="e">
        <f>2*(J102*(WLS))/3*H105</f>
        <v>#VALUE!</v>
      </c>
      <c r="K105" s="84" t="e">
        <f>CONCATENATE("M(",C102,")=")</f>
        <v>#VALUE!</v>
      </c>
      <c r="L105" s="84" t="e">
        <f>VLOOKUP(C102,STN_TABLE,4,FALSE)</f>
        <v>#VALUE!</v>
      </c>
      <c r="M105" t="str">
        <f>CONCATENATE("M(",C104,")=")</f>
        <v>M(  )=</v>
      </c>
      <c r="N105" t="e">
        <f>J105+L105</f>
        <v>#VALUE!</v>
      </c>
      <c r="O105" s="99">
        <f>O104+1</f>
        <v>18</v>
      </c>
      <c r="P105" s="99" t="str">
        <f t="shared" si="44"/>
        <v xml:space="preserve">  </v>
      </c>
      <c r="T105" s="89" t="e">
        <f>SUM(T102:T104)</f>
        <v>#VALUE!</v>
      </c>
      <c r="V105" s="82" t="e">
        <f>SUM(V102:V104)</f>
        <v>#VALUE!</v>
      </c>
      <c r="W105" s="84" t="str">
        <f>CONCATENATE("m'(",Q103,")=")</f>
        <v>m'(  )=</v>
      </c>
      <c r="X105" s="84" t="e">
        <f>(2*(X102^2)/24*V105)+(X104*Q102*WLS)</f>
        <v>#VALUE!</v>
      </c>
      <c r="Y105" s="84" t="e">
        <f>CONCATENATE("M(",Q102,")=")</f>
        <v>#VALUE!</v>
      </c>
      <c r="Z105" s="84" t="e">
        <f>VLOOKUP(Q102,STN_TABLE,4,FALSE)</f>
        <v>#VALUE!</v>
      </c>
      <c r="AA105" t="str">
        <f>CONCATENATE("M(",Q103,")=")</f>
        <v>M(  )=</v>
      </c>
      <c r="AB105" t="e">
        <f>X105+Z105</f>
        <v>#VALUE!</v>
      </c>
      <c r="AE105" s="89">
        <f>SUM(AE103:AE104)</f>
        <v>0</v>
      </c>
      <c r="AG105" s="89" t="e">
        <f>SUM(AG103:AG104)</f>
        <v>#VALUE!</v>
      </c>
      <c r="AH105" s="84" t="str">
        <f>CONCATENATE("m'(",AD104,")=")</f>
        <v>m'(  )=</v>
      </c>
      <c r="AI105" s="84" t="e">
        <f>(2*(AI102^2)/6*AG105)+(AI104*AD103*WLS)</f>
        <v>#VALUE!</v>
      </c>
      <c r="AJ105" s="84" t="str">
        <f>CONCATENATE("M(",AD103,")=")</f>
        <v>M(  )=</v>
      </c>
      <c r="AK105" s="84" t="str">
        <f>VLOOKUP(AD103,STN_TABLE,4,FALSE)</f>
        <v xml:space="preserve"> </v>
      </c>
      <c r="AL105" t="str">
        <f>CONCATENATE("M(",AD104,")=")</f>
        <v>M(  )=</v>
      </c>
      <c r="AM105" t="e">
        <f>AI105+AK105</f>
        <v>#VALUE!</v>
      </c>
      <c r="AO105" s="82" t="str">
        <f>AA105</f>
        <v>M(  )=</v>
      </c>
      <c r="AP105" s="82" t="e">
        <f>VLOOKUP(AO105,Rise_Results,2,FALSE)</f>
        <v>#N/A</v>
      </c>
      <c r="AQ105" s="82" t="e">
        <f>N105</f>
        <v>#VALUE!</v>
      </c>
      <c r="AR105" s="82" t="e">
        <f>IF(OR(AB104&lt;=0,AB105&lt;=0),1/0,AB105)</f>
        <v>#VALUE!</v>
      </c>
      <c r="AS105" s="82" t="e">
        <f>AM105</f>
        <v>#VALUE!</v>
      </c>
      <c r="AT105" t="e">
        <f>IFERROR(AP105,IFERROR(AQ105,IFERROR(AR105,AS105)))</f>
        <v>#VALUE!</v>
      </c>
      <c r="AU105" s="81"/>
    </row>
    <row r="106" spans="1:47" x14ac:dyDescent="0.25">
      <c r="A106" s="101">
        <f>A101+1</f>
        <v>13</v>
      </c>
      <c r="B106" s="101" t="str">
        <f t="shared" ref="B106:B137" si="48">VLOOKUP(A106,STN_TABLE_2,2,FALSE)</f>
        <v xml:space="preserve">  </v>
      </c>
      <c r="O106" s="101">
        <f>O101+1</f>
        <v>15</v>
      </c>
      <c r="P106" s="101" t="str">
        <f t="shared" si="44"/>
        <v xml:space="preserve">  </v>
      </c>
      <c r="AU106" s="81"/>
    </row>
    <row r="107" spans="1:47" x14ac:dyDescent="0.25">
      <c r="A107" s="84">
        <f>A106+1</f>
        <v>14</v>
      </c>
      <c r="B107" s="84" t="str">
        <f t="shared" si="48"/>
        <v xml:space="preserve">  </v>
      </c>
      <c r="C107" s="79" t="e">
        <f t="shared" ref="C107" si="49">IF(C108=B109,IF(C109-C108=C108-B108,B108,IF(C109-C108=C108-B107,B107,"#NA")),IF(C108=B108,IF(C109-C108=C108-B107,B107,IF(C109-C108=C108-B106,B106,"#NA")),"#NA"))</f>
        <v>#VALUE!</v>
      </c>
      <c r="D107" s="68" t="e">
        <f>VLOOKUP(C107,STN_TABLE,2,FALSE)</f>
        <v>#VALUE!</v>
      </c>
      <c r="E107" s="102">
        <v>1</v>
      </c>
      <c r="F107" s="68" t="e">
        <f>D107*E107</f>
        <v>#VALUE!</v>
      </c>
      <c r="G107" s="69" t="e">
        <f>C107</f>
        <v>#VALUE!</v>
      </c>
      <c r="H107" s="69" t="e">
        <f>F107*G107</f>
        <v>#VALUE!</v>
      </c>
      <c r="I107" s="6" t="s">
        <v>93</v>
      </c>
      <c r="J107" s="70" t="e">
        <f>IF(OR(D107=0,D108=0,D109=0),"#NA",IF(AND(C109-C108=C108-C107,C108&lt;&gt;C109,C107&lt;&gt;C108,C107&lt;&gt;C109,D109&lt;&gt;0,OR(D107&lt;&gt;0,D108&lt;&gt;0)),WLS*(C109-C108),"#NA"))</f>
        <v>#VALUE!</v>
      </c>
      <c r="O107" s="99">
        <f>O106+1</f>
        <v>16</v>
      </c>
      <c r="P107" s="99" t="str">
        <f t="shared" si="44"/>
        <v xml:space="preserve">  </v>
      </c>
      <c r="Q107" s="68" t="e">
        <f>IF(OR(P109-P108=P108-P107,P110-P108=P108-P107),P107,IF(OR(P109-P108=P108-P106,P110-P108=P108-P106),P106,"-"))</f>
        <v>#VALUE!</v>
      </c>
      <c r="R107" s="69" t="e">
        <f>VLOOKUP(Q107,STN_TABLE,2,FALSE)</f>
        <v>#VALUE!</v>
      </c>
      <c r="S107" s="69">
        <v>5</v>
      </c>
      <c r="T107" s="68" t="e">
        <f>R107*S107</f>
        <v>#VALUE!</v>
      </c>
      <c r="U107" s="79">
        <v>3</v>
      </c>
      <c r="V107" s="68" t="e">
        <f>R107*U107</f>
        <v>#VALUE!</v>
      </c>
      <c r="W107" s="6" t="s">
        <v>93</v>
      </c>
      <c r="X107" s="70" t="e">
        <f>IF(AND(Q109-Q108=Q108-Q107,NOT(AND(Q107=0,Q108=0)),NOT(AND(Q108=0,Q109=0))),WLS*(Q109-Q108),"#NA")</f>
        <v>#VALUE!</v>
      </c>
      <c r="AD107" s="93"/>
      <c r="AH107" s="6" t="s">
        <v>93</v>
      </c>
      <c r="AI107" s="70" t="e">
        <f>WLS*(AD109-AD108)</f>
        <v>#VALUE!</v>
      </c>
      <c r="AU107" s="81"/>
    </row>
    <row r="108" spans="1:47" x14ac:dyDescent="0.25">
      <c r="A108" s="84">
        <f>A107+1</f>
        <v>15</v>
      </c>
      <c r="B108" s="84" t="str">
        <f t="shared" si="48"/>
        <v xml:space="preserve">  </v>
      </c>
      <c r="C108" s="80" t="e">
        <f t="shared" ref="C108" si="50">IF(OR(B110-B109=B109-B108,B110-B109=B109-B107,B110-B109=B109-B106),B109,IF(OR(B110-B108=B108-B107,B110-B108=B108-B106),B108,IF(B110-B107=B107-B106,B107,"#NA")))</f>
        <v>#VALUE!</v>
      </c>
      <c r="D108" s="76" t="e">
        <f>VLOOKUP(C108,STN_TABLE,2,FALSE)</f>
        <v>#VALUE!</v>
      </c>
      <c r="E108" s="81">
        <v>4</v>
      </c>
      <c r="F108" s="76" t="e">
        <f>D108*E108</f>
        <v>#VALUE!</v>
      </c>
      <c r="G108" s="77" t="e">
        <f>C108</f>
        <v>#VALUE!</v>
      </c>
      <c r="H108" s="77" t="e">
        <f>F108*G108</f>
        <v>#VALUE!</v>
      </c>
      <c r="I108" s="495" t="s">
        <v>97</v>
      </c>
      <c r="J108" s="496"/>
      <c r="K108" s="78" t="s">
        <v>98</v>
      </c>
      <c r="L108" s="78"/>
      <c r="M108" s="7" t="s">
        <v>99</v>
      </c>
      <c r="N108" s="7"/>
      <c r="O108" s="99">
        <f>O107+1</f>
        <v>17</v>
      </c>
      <c r="P108" s="99" t="str">
        <f t="shared" si="44"/>
        <v xml:space="preserve">  </v>
      </c>
      <c r="Q108" s="76" t="str">
        <f>P108</f>
        <v xml:space="preserve">  </v>
      </c>
      <c r="R108" s="77" t="str">
        <f>VLOOKUP(Q108,STN_TABLE,2,FALSE)</f>
        <v xml:space="preserve">  </v>
      </c>
      <c r="S108" s="77">
        <v>8</v>
      </c>
      <c r="T108" s="76" t="e">
        <f>R108*S108</f>
        <v>#VALUE!</v>
      </c>
      <c r="U108" s="80">
        <v>10</v>
      </c>
      <c r="V108" s="76" t="e">
        <f>R108*U108</f>
        <v>#VALUE!</v>
      </c>
      <c r="W108" s="496" t="s">
        <v>97</v>
      </c>
      <c r="X108" s="496"/>
      <c r="Y108" s="496" t="s">
        <v>98</v>
      </c>
      <c r="Z108" s="496"/>
      <c r="AA108" s="494" t="s">
        <v>99</v>
      </c>
      <c r="AB108" s="494"/>
      <c r="AC108" s="99">
        <f>AC103+1</f>
        <v>16</v>
      </c>
      <c r="AD108" s="95" t="str">
        <f>VLOOKUP(AC108,STN_TABLE_2,2,FALSE)</f>
        <v xml:space="preserve">  </v>
      </c>
      <c r="AE108" s="68" t="str">
        <f>VLOOKUP(AD108,STN_TABLE,2,FALSE)</f>
        <v xml:space="preserve">  </v>
      </c>
      <c r="AF108" s="68">
        <v>1</v>
      </c>
      <c r="AG108" s="69" t="e">
        <f>AE108*AF108</f>
        <v>#VALUE!</v>
      </c>
      <c r="AH108" s="496" t="s">
        <v>97</v>
      </c>
      <c r="AI108" s="496"/>
      <c r="AJ108" s="496" t="s">
        <v>98</v>
      </c>
      <c r="AK108" s="496"/>
      <c r="AL108" s="494" t="s">
        <v>99</v>
      </c>
      <c r="AM108" s="494"/>
      <c r="AP108" s="86" t="s">
        <v>112</v>
      </c>
      <c r="AQ108" s="89" t="s">
        <v>113</v>
      </c>
      <c r="AR108" s="89" t="s">
        <v>114</v>
      </c>
      <c r="AS108" s="89" t="s">
        <v>115</v>
      </c>
      <c r="AU108" s="81"/>
    </row>
    <row r="109" spans="1:47" x14ac:dyDescent="0.25">
      <c r="A109" s="84">
        <f>A108+1</f>
        <v>16</v>
      </c>
      <c r="B109" s="84" t="str">
        <f t="shared" si="48"/>
        <v xml:space="preserve">  </v>
      </c>
      <c r="C109" s="88" t="str">
        <f t="shared" ref="C109" si="51">B110</f>
        <v xml:space="preserve">  </v>
      </c>
      <c r="D109" s="82" t="str">
        <f>VLOOKUP(C109,STN_TABLE,2,FALSE)</f>
        <v xml:space="preserve">  </v>
      </c>
      <c r="E109" s="92">
        <v>1</v>
      </c>
      <c r="F109" s="82" t="e">
        <f>D109*E109</f>
        <v>#VALUE!</v>
      </c>
      <c r="G109" s="83" t="str">
        <f>C109</f>
        <v xml:space="preserve">  </v>
      </c>
      <c r="H109" s="83" t="e">
        <f>F109*G109</f>
        <v>#VALUE!</v>
      </c>
      <c r="I109" s="84" t="str">
        <f>CONCATENATE("a'(",C109,")=")</f>
        <v>a'(  )=</v>
      </c>
      <c r="J109" s="84" t="e">
        <f>2*J107/3*F110</f>
        <v>#VALUE!</v>
      </c>
      <c r="K109" s="84" t="e">
        <f>CONCATENATE("A(",C107,")=")</f>
        <v>#VALUE!</v>
      </c>
      <c r="L109" s="84" t="e">
        <f>VLOOKUP(C107,STN_TABLE,3,FALSE)</f>
        <v>#VALUE!</v>
      </c>
      <c r="M109" t="str">
        <f>CONCATENATE("A(",C109,")=")</f>
        <v>A(  )=</v>
      </c>
      <c r="N109" t="e">
        <f>J109+L109</f>
        <v>#VALUE!</v>
      </c>
      <c r="O109" s="99">
        <f>O108+1</f>
        <v>18</v>
      </c>
      <c r="P109" s="99" t="str">
        <f t="shared" si="44"/>
        <v xml:space="preserve">  </v>
      </c>
      <c r="Q109" s="82" t="e">
        <f>IF(P109-P108=P108-P107,P109,IF(P110-P108=P108-P107,P110,IF(P109-P108=P108-P106,P109,IF(P110-P108=P108-P106,P110,"-"))))</f>
        <v>#VALUE!</v>
      </c>
      <c r="R109" s="83" t="e">
        <f>VLOOKUP(Q109,STN_TABLE,2,FALSE)</f>
        <v>#VALUE!</v>
      </c>
      <c r="S109" s="83">
        <v>-1</v>
      </c>
      <c r="T109" s="82" t="e">
        <f>R109*S109</f>
        <v>#VALUE!</v>
      </c>
      <c r="U109" s="88">
        <v>-1</v>
      </c>
      <c r="V109" s="82" t="e">
        <f>R109*U109</f>
        <v>#VALUE!</v>
      </c>
      <c r="W109" s="84" t="str">
        <f>CONCATENATE("a'(",Q108,")=")</f>
        <v>a'(  )=</v>
      </c>
      <c r="X109" s="84" t="e">
        <f>2*X107/12*T110</f>
        <v>#VALUE!</v>
      </c>
      <c r="Y109" s="84" t="e">
        <f>CONCATENATE("A(",Q107,")=")</f>
        <v>#VALUE!</v>
      </c>
      <c r="Z109" s="84" t="e">
        <f>VLOOKUP(Q107,STN_TABLE,3,FALSE)</f>
        <v>#VALUE!</v>
      </c>
      <c r="AA109" t="str">
        <f>CONCATENATE("A(",Q108,")=")</f>
        <v>A(  )=</v>
      </c>
      <c r="AB109" t="e">
        <f>X109+Z109</f>
        <v>#VALUE!</v>
      </c>
      <c r="AC109" s="99">
        <f>AC108+1</f>
        <v>17</v>
      </c>
      <c r="AD109" s="100" t="str">
        <f>VLOOKUP(AC109,STN_TABLE_2,2,FALSE)</f>
        <v xml:space="preserve">  </v>
      </c>
      <c r="AE109" s="82" t="str">
        <f>VLOOKUP(AD109,STN_TABLE,2,FALSE)</f>
        <v xml:space="preserve">  </v>
      </c>
      <c r="AF109" s="82">
        <v>2</v>
      </c>
      <c r="AG109" s="83" t="e">
        <f>AE109*AF109</f>
        <v>#VALUE!</v>
      </c>
      <c r="AH109" s="84" t="str">
        <f>CONCATENATE("a'(",AD109,")=")</f>
        <v>a'(  )=</v>
      </c>
      <c r="AI109" s="84" t="e">
        <f>2*AI107/2*AE110</f>
        <v>#VALUE!</v>
      </c>
      <c r="AJ109" s="84" t="str">
        <f>CONCATENATE("A(",AD108,")=")</f>
        <v>A(  )=</v>
      </c>
      <c r="AK109" s="84" t="str">
        <f>VLOOKUP(AD108,STN_TABLE,3,FALSE)</f>
        <v xml:space="preserve"> </v>
      </c>
      <c r="AL109" t="str">
        <f>CONCATENATE("A(",AD109,")=")</f>
        <v>A(  )=</v>
      </c>
      <c r="AM109" t="e">
        <f>AI109+AK109</f>
        <v>#VALUE!</v>
      </c>
      <c r="AO109" s="68" t="str">
        <f>AA109</f>
        <v>A(  )=</v>
      </c>
      <c r="AP109" s="68" t="e">
        <f>VLOOKUP(AO109,Rise_Results,2,FALSE)</f>
        <v>#N/A</v>
      </c>
      <c r="AQ109" s="76" t="e">
        <f>N109</f>
        <v>#VALUE!</v>
      </c>
      <c r="AR109" s="76" t="e">
        <f>IF(OR(AB109&lt;=0,AB110&lt;=0),1/0,AB109)</f>
        <v>#VALUE!</v>
      </c>
      <c r="AS109" s="76" t="e">
        <f>AM109</f>
        <v>#VALUE!</v>
      </c>
      <c r="AT109" t="e">
        <f>IFERROR(AP109,IFERROR(AQ109,IFERROR(AR109,AS109)))</f>
        <v>#VALUE!</v>
      </c>
      <c r="AU109" s="81"/>
    </row>
    <row r="110" spans="1:47" x14ac:dyDescent="0.25">
      <c r="A110" s="84">
        <f>A109+1</f>
        <v>17</v>
      </c>
      <c r="B110" s="84" t="str">
        <f t="shared" si="48"/>
        <v xml:space="preserve">  </v>
      </c>
      <c r="F110" s="82" t="e">
        <f>SUM(F107:F109)</f>
        <v>#VALUE!</v>
      </c>
      <c r="H110" s="82" t="e">
        <f>SUM(H107:H109)</f>
        <v>#VALUE!</v>
      </c>
      <c r="I110" s="84" t="str">
        <f>CONCATENATE("m'(",C109,")=")</f>
        <v>m'(  )=</v>
      </c>
      <c r="J110" s="84" t="e">
        <f>2*(J107*(WLS))/3*H110</f>
        <v>#VALUE!</v>
      </c>
      <c r="K110" s="84" t="e">
        <f>CONCATENATE("M(",C107,")=")</f>
        <v>#VALUE!</v>
      </c>
      <c r="L110" s="84" t="e">
        <f>VLOOKUP(C107,STN_TABLE,4,FALSE)</f>
        <v>#VALUE!</v>
      </c>
      <c r="M110" t="str">
        <f>CONCATENATE("M(",C109,")=")</f>
        <v>M(  )=</v>
      </c>
      <c r="N110" t="e">
        <f>J110+L110</f>
        <v>#VALUE!</v>
      </c>
      <c r="O110" s="99">
        <f>O109+1</f>
        <v>19</v>
      </c>
      <c r="P110" s="99" t="str">
        <f t="shared" si="44"/>
        <v xml:space="preserve">  </v>
      </c>
      <c r="T110" s="89" t="e">
        <f>SUM(T107:T109)</f>
        <v>#VALUE!</v>
      </c>
      <c r="V110" s="82" t="e">
        <f>SUM(V107:V109)</f>
        <v>#VALUE!</v>
      </c>
      <c r="W110" s="84" t="str">
        <f>CONCATENATE("m'(",Q108,")=")</f>
        <v>m'(  )=</v>
      </c>
      <c r="X110" s="84" t="e">
        <f>(2*(X107^2)/24*V110)+(X109*Q107*WLS)</f>
        <v>#VALUE!</v>
      </c>
      <c r="Y110" s="84" t="e">
        <f>CONCATENATE("M(",Q107,")=")</f>
        <v>#VALUE!</v>
      </c>
      <c r="Z110" s="84" t="e">
        <f>VLOOKUP(Q107,STN_TABLE,4,FALSE)</f>
        <v>#VALUE!</v>
      </c>
      <c r="AA110" t="str">
        <f>CONCATENATE("M(",Q108,")=")</f>
        <v>M(  )=</v>
      </c>
      <c r="AB110" t="e">
        <f>X110+Z110</f>
        <v>#VALUE!</v>
      </c>
      <c r="AE110" s="89">
        <f>SUM(AE108:AE109)</f>
        <v>0</v>
      </c>
      <c r="AG110" s="89" t="e">
        <f>SUM(AG108:AG109)</f>
        <v>#VALUE!</v>
      </c>
      <c r="AH110" s="84" t="str">
        <f>CONCATENATE("m'(",AD109,")=")</f>
        <v>m'(  )=</v>
      </c>
      <c r="AI110" s="84" t="e">
        <f>(2*(AI107^2)/6*AG110)+(AI109*AD108*WLS)</f>
        <v>#VALUE!</v>
      </c>
      <c r="AJ110" s="84" t="str">
        <f>CONCATENATE("M(",AD108,")=")</f>
        <v>M(  )=</v>
      </c>
      <c r="AK110" s="84" t="str">
        <f>VLOOKUP(AD108,STN_TABLE,4,FALSE)</f>
        <v xml:space="preserve"> </v>
      </c>
      <c r="AL110" t="str">
        <f>CONCATENATE("M(",AD109,")=")</f>
        <v>M(  )=</v>
      </c>
      <c r="AM110" t="e">
        <f>AI110+AK110</f>
        <v>#VALUE!</v>
      </c>
      <c r="AO110" s="82" t="str">
        <f>AA110</f>
        <v>M(  )=</v>
      </c>
      <c r="AP110" s="82" t="e">
        <f>VLOOKUP(AO110,Rise_Results,2,FALSE)</f>
        <v>#N/A</v>
      </c>
      <c r="AQ110" s="82" t="e">
        <f>N110</f>
        <v>#VALUE!</v>
      </c>
      <c r="AR110" s="82" t="e">
        <f>IF(OR(AB109&lt;=0,AB110&lt;=0),1/0,AB110)</f>
        <v>#VALUE!</v>
      </c>
      <c r="AS110" s="82" t="e">
        <f>AM110</f>
        <v>#VALUE!</v>
      </c>
      <c r="AT110" t="e">
        <f>IFERROR(AP110,IFERROR(AQ110,IFERROR(AR110,AS110)))</f>
        <v>#VALUE!</v>
      </c>
      <c r="AU110" s="81"/>
    </row>
    <row r="111" spans="1:47" x14ac:dyDescent="0.25">
      <c r="A111" s="101">
        <f>A106+1</f>
        <v>14</v>
      </c>
      <c r="B111" s="101" t="str">
        <f t="shared" si="48"/>
        <v xml:space="preserve">  </v>
      </c>
      <c r="O111" s="101">
        <f>O106+1</f>
        <v>16</v>
      </c>
      <c r="P111" s="101" t="str">
        <f t="shared" si="44"/>
        <v xml:space="preserve">  </v>
      </c>
      <c r="AU111" s="81"/>
    </row>
    <row r="112" spans="1:47" x14ac:dyDescent="0.25">
      <c r="A112" s="84">
        <f>A111+1</f>
        <v>15</v>
      </c>
      <c r="B112" s="84" t="str">
        <f t="shared" si="48"/>
        <v xml:space="preserve">  </v>
      </c>
      <c r="C112" s="79" t="e">
        <f t="shared" ref="C112" si="52">IF(C113=B114,IF(C114-C113=C113-B113,B113,IF(C114-C113=C113-B112,B112,"#NA")),IF(C113=B113,IF(C114-C113=C113-B112,B112,IF(C114-C113=C113-B111,B111,"#NA")),"#NA"))</f>
        <v>#VALUE!</v>
      </c>
      <c r="D112" s="68" t="e">
        <f>VLOOKUP(C112,STN_TABLE,2,FALSE)</f>
        <v>#VALUE!</v>
      </c>
      <c r="E112" s="102">
        <v>1</v>
      </c>
      <c r="F112" s="68" t="e">
        <f>D112*E112</f>
        <v>#VALUE!</v>
      </c>
      <c r="G112" s="69" t="e">
        <f>C112</f>
        <v>#VALUE!</v>
      </c>
      <c r="H112" s="69" t="e">
        <f>F112*G112</f>
        <v>#VALUE!</v>
      </c>
      <c r="I112" s="6" t="s">
        <v>93</v>
      </c>
      <c r="J112" s="70" t="e">
        <f>IF(OR(D112=0,D113=0,D114=0),"#NA",IF(AND(C114-C113=C113-C112,C113&lt;&gt;C114,C112&lt;&gt;C113,C112&lt;&gt;C114,D114&lt;&gt;0,OR(D112&lt;&gt;0,D113&lt;&gt;0)),WLS*(C114-C113),"#NA"))</f>
        <v>#VALUE!</v>
      </c>
      <c r="O112" s="99">
        <f>O111+1</f>
        <v>17</v>
      </c>
      <c r="P112" s="99" t="str">
        <f t="shared" si="44"/>
        <v xml:space="preserve">  </v>
      </c>
      <c r="Q112" s="68" t="e">
        <f>IF(OR(P114-P113=P113-P112,P115-P113=P113-P112),P112,IF(OR(P114-P113=P113-P111,P115-P113=P113-P111),P111,"-"))</f>
        <v>#VALUE!</v>
      </c>
      <c r="R112" s="69" t="e">
        <f>VLOOKUP(Q112,STN_TABLE,2,FALSE)</f>
        <v>#VALUE!</v>
      </c>
      <c r="S112" s="69">
        <v>5</v>
      </c>
      <c r="T112" s="68" t="e">
        <f>R112*S112</f>
        <v>#VALUE!</v>
      </c>
      <c r="U112" s="79">
        <v>3</v>
      </c>
      <c r="V112" s="68" t="e">
        <f>R112*U112</f>
        <v>#VALUE!</v>
      </c>
      <c r="W112" s="6" t="s">
        <v>93</v>
      </c>
      <c r="X112" s="70" t="e">
        <f>IF(AND(Q114-Q113=Q113-Q112,NOT(AND(Q112=0,Q113=0)),NOT(AND(Q113=0,Q114=0))),WLS*(Q114-Q113),"#NA")</f>
        <v>#VALUE!</v>
      </c>
      <c r="AD112" s="93"/>
      <c r="AH112" s="6" t="s">
        <v>93</v>
      </c>
      <c r="AI112" s="70" t="e">
        <f>WLS*(AD114-AD113)</f>
        <v>#VALUE!</v>
      </c>
      <c r="AU112" s="81"/>
    </row>
    <row r="113" spans="1:47" x14ac:dyDescent="0.25">
      <c r="A113" s="84">
        <f>A112+1</f>
        <v>16</v>
      </c>
      <c r="B113" s="84" t="str">
        <f t="shared" si="48"/>
        <v xml:space="preserve">  </v>
      </c>
      <c r="C113" s="80" t="e">
        <f t="shared" ref="C113" si="53">IF(OR(B115-B114=B114-B113,B115-B114=B114-B112,B115-B114=B114-B111),B114,IF(OR(B115-B113=B113-B112,B115-B113=B113-B111),B113,IF(B115-B112=B112-B111,B112,"#NA")))</f>
        <v>#VALUE!</v>
      </c>
      <c r="D113" s="76" t="e">
        <f>VLOOKUP(C113,STN_TABLE,2,FALSE)</f>
        <v>#VALUE!</v>
      </c>
      <c r="E113" s="81">
        <v>4</v>
      </c>
      <c r="F113" s="76" t="e">
        <f>D113*E113</f>
        <v>#VALUE!</v>
      </c>
      <c r="G113" s="77" t="e">
        <f>C113</f>
        <v>#VALUE!</v>
      </c>
      <c r="H113" s="77" t="e">
        <f>F113*G113</f>
        <v>#VALUE!</v>
      </c>
      <c r="I113" s="495" t="s">
        <v>97</v>
      </c>
      <c r="J113" s="496"/>
      <c r="K113" s="78" t="s">
        <v>98</v>
      </c>
      <c r="L113" s="78"/>
      <c r="M113" s="7" t="s">
        <v>99</v>
      </c>
      <c r="N113" s="7"/>
      <c r="O113" s="99">
        <f>O112+1</f>
        <v>18</v>
      </c>
      <c r="P113" s="99" t="str">
        <f t="shared" si="44"/>
        <v xml:space="preserve">  </v>
      </c>
      <c r="Q113" s="76" t="str">
        <f>P113</f>
        <v xml:space="preserve">  </v>
      </c>
      <c r="R113" s="77" t="str">
        <f>VLOOKUP(Q113,STN_TABLE,2,FALSE)</f>
        <v xml:space="preserve">  </v>
      </c>
      <c r="S113" s="77">
        <v>8</v>
      </c>
      <c r="T113" s="76" t="e">
        <f>R113*S113</f>
        <v>#VALUE!</v>
      </c>
      <c r="U113" s="80">
        <v>10</v>
      </c>
      <c r="V113" s="76" t="e">
        <f>R113*U113</f>
        <v>#VALUE!</v>
      </c>
      <c r="W113" s="496" t="s">
        <v>97</v>
      </c>
      <c r="X113" s="496"/>
      <c r="Y113" s="496" t="s">
        <v>98</v>
      </c>
      <c r="Z113" s="496"/>
      <c r="AA113" s="494" t="s">
        <v>99</v>
      </c>
      <c r="AB113" s="494"/>
      <c r="AC113" s="99">
        <f>AC108+1</f>
        <v>17</v>
      </c>
      <c r="AD113" s="95" t="str">
        <f>VLOOKUP(AC113,STN_TABLE_2,2,FALSE)</f>
        <v xml:space="preserve">  </v>
      </c>
      <c r="AE113" s="68" t="str">
        <f>VLOOKUP(AD113,STN_TABLE,2,FALSE)</f>
        <v xml:space="preserve">  </v>
      </c>
      <c r="AF113" s="68">
        <v>1</v>
      </c>
      <c r="AG113" s="69" t="e">
        <f>AE113*AF113</f>
        <v>#VALUE!</v>
      </c>
      <c r="AH113" s="496" t="s">
        <v>97</v>
      </c>
      <c r="AI113" s="496"/>
      <c r="AJ113" s="496" t="s">
        <v>98</v>
      </c>
      <c r="AK113" s="496"/>
      <c r="AL113" s="494" t="s">
        <v>99</v>
      </c>
      <c r="AM113" s="494"/>
      <c r="AP113" s="86" t="s">
        <v>112</v>
      </c>
      <c r="AQ113" s="89" t="s">
        <v>113</v>
      </c>
      <c r="AR113" s="89" t="s">
        <v>114</v>
      </c>
      <c r="AS113" s="89" t="s">
        <v>115</v>
      </c>
      <c r="AU113" s="81"/>
    </row>
    <row r="114" spans="1:47" x14ac:dyDescent="0.25">
      <c r="A114" s="84">
        <f>A113+1</f>
        <v>17</v>
      </c>
      <c r="B114" s="84" t="str">
        <f t="shared" si="48"/>
        <v xml:space="preserve">  </v>
      </c>
      <c r="C114" s="88" t="str">
        <f t="shared" ref="C114" si="54">B115</f>
        <v xml:space="preserve">  </v>
      </c>
      <c r="D114" s="82" t="str">
        <f>VLOOKUP(C114,STN_TABLE,2,FALSE)</f>
        <v xml:space="preserve">  </v>
      </c>
      <c r="E114" s="92">
        <v>1</v>
      </c>
      <c r="F114" s="82" t="e">
        <f>D114*E114</f>
        <v>#VALUE!</v>
      </c>
      <c r="G114" s="83" t="str">
        <f>C114</f>
        <v xml:space="preserve">  </v>
      </c>
      <c r="H114" s="83" t="e">
        <f>F114*G114</f>
        <v>#VALUE!</v>
      </c>
      <c r="I114" s="84" t="str">
        <f>CONCATENATE("a'(",C114,")=")</f>
        <v>a'(  )=</v>
      </c>
      <c r="J114" s="84" t="e">
        <f>2*J112/3*F115</f>
        <v>#VALUE!</v>
      </c>
      <c r="K114" s="84" t="e">
        <f>CONCATENATE("A(",C112,")=")</f>
        <v>#VALUE!</v>
      </c>
      <c r="L114" s="84" t="e">
        <f>VLOOKUP(C112,STN_TABLE,3,FALSE)</f>
        <v>#VALUE!</v>
      </c>
      <c r="M114" t="str">
        <f>CONCATENATE("A(",C114,")=")</f>
        <v>A(  )=</v>
      </c>
      <c r="N114" t="e">
        <f>J114+L114</f>
        <v>#VALUE!</v>
      </c>
      <c r="O114" s="99">
        <f>O113+1</f>
        <v>19</v>
      </c>
      <c r="P114" s="99" t="str">
        <f t="shared" si="44"/>
        <v xml:space="preserve">  </v>
      </c>
      <c r="Q114" s="82" t="e">
        <f>IF(P114-P113=P113-P112,P114,IF(P115-P113=P113-P112,P115,IF(P114-P113=P113-P111,P114,IF(P115-P113=P113-P111,P115,"-"))))</f>
        <v>#VALUE!</v>
      </c>
      <c r="R114" s="83" t="e">
        <f>VLOOKUP(Q114,STN_TABLE,2,FALSE)</f>
        <v>#VALUE!</v>
      </c>
      <c r="S114" s="83">
        <v>-1</v>
      </c>
      <c r="T114" s="82" t="e">
        <f>R114*S114</f>
        <v>#VALUE!</v>
      </c>
      <c r="U114" s="88">
        <v>-1</v>
      </c>
      <c r="V114" s="82" t="e">
        <f>R114*U114</f>
        <v>#VALUE!</v>
      </c>
      <c r="W114" s="84" t="str">
        <f>CONCATENATE("a'(",Q113,")=")</f>
        <v>a'(  )=</v>
      </c>
      <c r="X114" s="84" t="e">
        <f>2*X112/12*T115</f>
        <v>#VALUE!</v>
      </c>
      <c r="Y114" s="84" t="e">
        <f>CONCATENATE("A(",Q112,")=")</f>
        <v>#VALUE!</v>
      </c>
      <c r="Z114" s="84" t="e">
        <f>VLOOKUP(Q112,STN_TABLE,3,FALSE)</f>
        <v>#VALUE!</v>
      </c>
      <c r="AA114" t="str">
        <f>CONCATENATE("A(",Q113,")=")</f>
        <v>A(  )=</v>
      </c>
      <c r="AB114" t="e">
        <f>X114+Z114</f>
        <v>#VALUE!</v>
      </c>
      <c r="AC114" s="99">
        <f>AC113+1</f>
        <v>18</v>
      </c>
      <c r="AD114" s="100" t="str">
        <f>VLOOKUP(AC114,STN_TABLE_2,2,FALSE)</f>
        <v xml:space="preserve">  </v>
      </c>
      <c r="AE114" s="82" t="str">
        <f>VLOOKUP(AD114,STN_TABLE,2,FALSE)</f>
        <v xml:space="preserve">  </v>
      </c>
      <c r="AF114" s="82">
        <v>2</v>
      </c>
      <c r="AG114" s="83" t="e">
        <f>AE114*AF114</f>
        <v>#VALUE!</v>
      </c>
      <c r="AH114" s="84" t="str">
        <f>CONCATENATE("a'(",AD114,")=")</f>
        <v>a'(  )=</v>
      </c>
      <c r="AI114" s="84" t="e">
        <f>2*AI112/2*AE115</f>
        <v>#VALUE!</v>
      </c>
      <c r="AJ114" s="84" t="str">
        <f>CONCATENATE("A(",AD113,")=")</f>
        <v>A(  )=</v>
      </c>
      <c r="AK114" s="84" t="str">
        <f>VLOOKUP(AD113,STN_TABLE,3,FALSE)</f>
        <v xml:space="preserve"> </v>
      </c>
      <c r="AL114" t="str">
        <f>CONCATENATE("A(",AD114,")=")</f>
        <v>A(  )=</v>
      </c>
      <c r="AM114" t="e">
        <f>AI114+AK114</f>
        <v>#VALUE!</v>
      </c>
      <c r="AO114" s="68" t="str">
        <f>AA114</f>
        <v>A(  )=</v>
      </c>
      <c r="AP114" s="68" t="e">
        <f>VLOOKUP(AO114,Rise_Results,2,FALSE)</f>
        <v>#N/A</v>
      </c>
      <c r="AQ114" s="76" t="e">
        <f>N114</f>
        <v>#VALUE!</v>
      </c>
      <c r="AR114" s="76" t="e">
        <f>IF(OR(AB114&lt;=0,AB115&lt;=0),1/0,AB114)</f>
        <v>#VALUE!</v>
      </c>
      <c r="AS114" s="76" t="e">
        <f>AM114</f>
        <v>#VALUE!</v>
      </c>
      <c r="AT114" t="e">
        <f>IFERROR(AP114,IFERROR(AQ114,IFERROR(AR114,AS114)))</f>
        <v>#VALUE!</v>
      </c>
      <c r="AU114" s="81"/>
    </row>
    <row r="115" spans="1:47" x14ac:dyDescent="0.25">
      <c r="A115" s="84">
        <f>A114+1</f>
        <v>18</v>
      </c>
      <c r="B115" s="84" t="str">
        <f t="shared" si="48"/>
        <v xml:space="preserve">  </v>
      </c>
      <c r="F115" s="82" t="e">
        <f>SUM(F112:F114)</f>
        <v>#VALUE!</v>
      </c>
      <c r="H115" s="82" t="e">
        <f>SUM(H112:H114)</f>
        <v>#VALUE!</v>
      </c>
      <c r="I115" s="84" t="str">
        <f>CONCATENATE("m'(",C114,")=")</f>
        <v>m'(  )=</v>
      </c>
      <c r="J115" s="84" t="e">
        <f>2*(J112*(WLS))/3*H115</f>
        <v>#VALUE!</v>
      </c>
      <c r="K115" s="84" t="e">
        <f>CONCATENATE("M(",C112,")=")</f>
        <v>#VALUE!</v>
      </c>
      <c r="L115" s="84" t="e">
        <f>VLOOKUP(C112,STN_TABLE,4,FALSE)</f>
        <v>#VALUE!</v>
      </c>
      <c r="M115" t="str">
        <f>CONCATENATE("M(",C114,")=")</f>
        <v>M(  )=</v>
      </c>
      <c r="N115" t="e">
        <f>J115+L115</f>
        <v>#VALUE!</v>
      </c>
      <c r="O115" s="99">
        <f>O114+1</f>
        <v>20</v>
      </c>
      <c r="P115" s="99" t="str">
        <f t="shared" si="44"/>
        <v xml:space="preserve">  </v>
      </c>
      <c r="T115" s="89" t="e">
        <f>SUM(T112:T114)</f>
        <v>#VALUE!</v>
      </c>
      <c r="V115" s="82" t="e">
        <f>SUM(V112:V114)</f>
        <v>#VALUE!</v>
      </c>
      <c r="W115" s="84" t="str">
        <f>CONCATENATE("m'(",Q113,")=")</f>
        <v>m'(  )=</v>
      </c>
      <c r="X115" s="84" t="e">
        <f>(2*(X112^2)/24*V115)+(X114*Q112*WLS)</f>
        <v>#VALUE!</v>
      </c>
      <c r="Y115" s="84" t="e">
        <f>CONCATENATE("M(",Q112,")=")</f>
        <v>#VALUE!</v>
      </c>
      <c r="Z115" s="84" t="e">
        <f>VLOOKUP(Q112,STN_TABLE,4,FALSE)</f>
        <v>#VALUE!</v>
      </c>
      <c r="AA115" t="str">
        <f>CONCATENATE("M(",Q113,")=")</f>
        <v>M(  )=</v>
      </c>
      <c r="AB115" t="e">
        <f>X115+Z115</f>
        <v>#VALUE!</v>
      </c>
      <c r="AE115" s="89">
        <f>SUM(AE113:AE114)</f>
        <v>0</v>
      </c>
      <c r="AG115" s="89" t="e">
        <f>SUM(AG113:AG114)</f>
        <v>#VALUE!</v>
      </c>
      <c r="AH115" s="84" t="str">
        <f>CONCATENATE("m'(",AD114,")=")</f>
        <v>m'(  )=</v>
      </c>
      <c r="AI115" s="84" t="e">
        <f>(2*(AI112^2)/6*AG115)+(AI114*AD113*WLS)</f>
        <v>#VALUE!</v>
      </c>
      <c r="AJ115" s="84" t="str">
        <f>CONCATENATE("M(",AD113,")=")</f>
        <v>M(  )=</v>
      </c>
      <c r="AK115" s="84" t="str">
        <f>VLOOKUP(AD113,STN_TABLE,4,FALSE)</f>
        <v xml:space="preserve"> </v>
      </c>
      <c r="AL115" t="str">
        <f>CONCATENATE("M(",AD114,")=")</f>
        <v>M(  )=</v>
      </c>
      <c r="AM115" t="e">
        <f>AI115+AK115</f>
        <v>#VALUE!</v>
      </c>
      <c r="AO115" s="82" t="str">
        <f>AA115</f>
        <v>M(  )=</v>
      </c>
      <c r="AP115" s="82" t="e">
        <f>VLOOKUP(AO115,Rise_Results,2,FALSE)</f>
        <v>#N/A</v>
      </c>
      <c r="AQ115" s="82" t="e">
        <f>N115</f>
        <v>#VALUE!</v>
      </c>
      <c r="AR115" s="82" t="e">
        <f>IF(OR(AB114&lt;=0,AB115&lt;=0),1/0,AB115)</f>
        <v>#VALUE!</v>
      </c>
      <c r="AS115" s="82" t="e">
        <f>AM115</f>
        <v>#VALUE!</v>
      </c>
      <c r="AT115" t="e">
        <f>IFERROR(AP115,IFERROR(AQ115,IFERROR(AR115,AS115)))</f>
        <v>#VALUE!</v>
      </c>
      <c r="AU115" s="81"/>
    </row>
    <row r="116" spans="1:47" x14ac:dyDescent="0.25">
      <c r="A116" s="101">
        <f>A111+1</f>
        <v>15</v>
      </c>
      <c r="B116" s="101" t="str">
        <f t="shared" si="48"/>
        <v xml:space="preserve">  </v>
      </c>
      <c r="O116" s="101">
        <f>O111+1</f>
        <v>17</v>
      </c>
      <c r="P116" s="101" t="str">
        <f t="shared" si="44"/>
        <v xml:space="preserve">  </v>
      </c>
      <c r="AU116" s="81"/>
    </row>
    <row r="117" spans="1:47" x14ac:dyDescent="0.25">
      <c r="A117" s="84">
        <f>A116+1</f>
        <v>16</v>
      </c>
      <c r="B117" s="84" t="str">
        <f t="shared" si="48"/>
        <v xml:space="preserve">  </v>
      </c>
      <c r="C117" s="79" t="e">
        <f t="shared" ref="C117" si="55">IF(C118=B119,IF(C119-C118=C118-B118,B118,IF(C119-C118=C118-B117,B117,"#NA")),IF(C118=B118,IF(C119-C118=C118-B117,B117,IF(C119-C118=C118-B116,B116,"#NA")),"#NA"))</f>
        <v>#VALUE!</v>
      </c>
      <c r="D117" s="68" t="e">
        <f>VLOOKUP(C117,STN_TABLE,2,FALSE)</f>
        <v>#VALUE!</v>
      </c>
      <c r="E117" s="102">
        <v>1</v>
      </c>
      <c r="F117" s="68" t="e">
        <f>D117*E117</f>
        <v>#VALUE!</v>
      </c>
      <c r="G117" s="69" t="e">
        <f>C117</f>
        <v>#VALUE!</v>
      </c>
      <c r="H117" s="69" t="e">
        <f>F117*G117</f>
        <v>#VALUE!</v>
      </c>
      <c r="I117" s="6" t="s">
        <v>93</v>
      </c>
      <c r="J117" s="70" t="e">
        <f>IF(OR(D117=0,D118=0,D119=0),"#NA",IF(AND(C119-C118=C118-C117,C118&lt;&gt;C119,C117&lt;&gt;C118,C117&lt;&gt;C119,D119&lt;&gt;0,OR(D117&lt;&gt;0,D118&lt;&gt;0)),WLS*(C119-C118),"#NA"))</f>
        <v>#VALUE!</v>
      </c>
      <c r="O117" s="99">
        <f>O116+1</f>
        <v>18</v>
      </c>
      <c r="P117" s="99" t="str">
        <f t="shared" si="44"/>
        <v xml:space="preserve">  </v>
      </c>
      <c r="Q117" s="68" t="e">
        <f>IF(OR(P119-P118=P118-P117,P120-P118=P118-P117),P117,IF(OR(P119-P118=P118-P116,P120-P118=P118-P116),P116,"-"))</f>
        <v>#VALUE!</v>
      </c>
      <c r="R117" s="69" t="e">
        <f>VLOOKUP(Q117,STN_TABLE,2,FALSE)</f>
        <v>#VALUE!</v>
      </c>
      <c r="S117" s="69">
        <v>5</v>
      </c>
      <c r="T117" s="68" t="e">
        <f>R117*S117</f>
        <v>#VALUE!</v>
      </c>
      <c r="U117" s="79">
        <v>3</v>
      </c>
      <c r="V117" s="68" t="e">
        <f>R117*U117</f>
        <v>#VALUE!</v>
      </c>
      <c r="W117" s="6" t="s">
        <v>93</v>
      </c>
      <c r="X117" s="70" t="e">
        <f>IF(AND(Q119-Q118=Q118-Q117,NOT(AND(Q117=0,Q118=0)),NOT(AND(Q118=0,Q119=0))),WLS*(Q119-Q118),"#NA")</f>
        <v>#VALUE!</v>
      </c>
      <c r="AD117" s="93"/>
      <c r="AH117" s="6" t="s">
        <v>93</v>
      </c>
      <c r="AI117" s="70" t="e">
        <f>WLS*(AD119-AD118)</f>
        <v>#VALUE!</v>
      </c>
      <c r="AU117" s="81"/>
    </row>
    <row r="118" spans="1:47" x14ac:dyDescent="0.25">
      <c r="A118" s="84">
        <f>A117+1</f>
        <v>17</v>
      </c>
      <c r="B118" s="84" t="str">
        <f t="shared" si="48"/>
        <v xml:space="preserve">  </v>
      </c>
      <c r="C118" s="80" t="e">
        <f t="shared" ref="C118" si="56">IF(OR(B120-B119=B119-B118,B120-B119=B119-B117,B120-B119=B119-B116),B119,IF(OR(B120-B118=B118-B117,B120-B118=B118-B116),B118,IF(B120-B117=B117-B116,B117,"#NA")))</f>
        <v>#VALUE!</v>
      </c>
      <c r="D118" s="76" t="e">
        <f>VLOOKUP(C118,STN_TABLE,2,FALSE)</f>
        <v>#VALUE!</v>
      </c>
      <c r="E118" s="81">
        <v>4</v>
      </c>
      <c r="F118" s="76" t="e">
        <f>D118*E118</f>
        <v>#VALUE!</v>
      </c>
      <c r="G118" s="77" t="e">
        <f>C118</f>
        <v>#VALUE!</v>
      </c>
      <c r="H118" s="77" t="e">
        <f>F118*G118</f>
        <v>#VALUE!</v>
      </c>
      <c r="I118" s="495" t="s">
        <v>97</v>
      </c>
      <c r="J118" s="496"/>
      <c r="K118" s="78" t="s">
        <v>98</v>
      </c>
      <c r="L118" s="78"/>
      <c r="M118" s="7" t="s">
        <v>99</v>
      </c>
      <c r="N118" s="7"/>
      <c r="O118" s="99">
        <f>O117+1</f>
        <v>19</v>
      </c>
      <c r="P118" s="99" t="str">
        <f t="shared" si="44"/>
        <v xml:space="preserve">  </v>
      </c>
      <c r="Q118" s="76" t="str">
        <f>P118</f>
        <v xml:space="preserve">  </v>
      </c>
      <c r="R118" s="77" t="str">
        <f>VLOOKUP(Q118,STN_TABLE,2,FALSE)</f>
        <v xml:space="preserve">  </v>
      </c>
      <c r="S118" s="77">
        <v>8</v>
      </c>
      <c r="T118" s="76" t="e">
        <f>R118*S118</f>
        <v>#VALUE!</v>
      </c>
      <c r="U118" s="80">
        <v>10</v>
      </c>
      <c r="V118" s="76" t="e">
        <f>R118*U118</f>
        <v>#VALUE!</v>
      </c>
      <c r="W118" s="496" t="s">
        <v>97</v>
      </c>
      <c r="X118" s="496"/>
      <c r="Y118" s="496" t="s">
        <v>98</v>
      </c>
      <c r="Z118" s="496"/>
      <c r="AA118" s="494" t="s">
        <v>99</v>
      </c>
      <c r="AB118" s="494"/>
      <c r="AC118" s="99">
        <f>AC113+1</f>
        <v>18</v>
      </c>
      <c r="AD118" s="95" t="str">
        <f>VLOOKUP(AC118,STN_TABLE_2,2,FALSE)</f>
        <v xml:space="preserve">  </v>
      </c>
      <c r="AE118" s="68" t="str">
        <f>VLOOKUP(AD118,STN_TABLE,2,FALSE)</f>
        <v xml:space="preserve">  </v>
      </c>
      <c r="AF118" s="68">
        <v>1</v>
      </c>
      <c r="AG118" s="69" t="e">
        <f>AE118*AF118</f>
        <v>#VALUE!</v>
      </c>
      <c r="AH118" s="496" t="s">
        <v>97</v>
      </c>
      <c r="AI118" s="496"/>
      <c r="AJ118" s="496" t="s">
        <v>98</v>
      </c>
      <c r="AK118" s="496"/>
      <c r="AL118" s="494" t="s">
        <v>99</v>
      </c>
      <c r="AM118" s="494"/>
      <c r="AP118" s="86" t="s">
        <v>112</v>
      </c>
      <c r="AQ118" s="89" t="s">
        <v>113</v>
      </c>
      <c r="AR118" s="89" t="s">
        <v>114</v>
      </c>
      <c r="AS118" s="89" t="s">
        <v>115</v>
      </c>
      <c r="AU118" s="81"/>
    </row>
    <row r="119" spans="1:47" x14ac:dyDescent="0.25">
      <c r="A119" s="84">
        <f>A118+1</f>
        <v>18</v>
      </c>
      <c r="B119" s="84" t="str">
        <f t="shared" si="48"/>
        <v xml:space="preserve">  </v>
      </c>
      <c r="C119" s="88" t="str">
        <f t="shared" ref="C119" si="57">B120</f>
        <v xml:space="preserve">  </v>
      </c>
      <c r="D119" s="82" t="str">
        <f>VLOOKUP(C119,STN_TABLE,2,FALSE)</f>
        <v xml:space="preserve">  </v>
      </c>
      <c r="E119" s="92">
        <v>1</v>
      </c>
      <c r="F119" s="82" t="e">
        <f>D119*E119</f>
        <v>#VALUE!</v>
      </c>
      <c r="G119" s="83" t="str">
        <f>C119</f>
        <v xml:space="preserve">  </v>
      </c>
      <c r="H119" s="83" t="e">
        <f>F119*G119</f>
        <v>#VALUE!</v>
      </c>
      <c r="I119" s="84" t="str">
        <f>CONCATENATE("a'(",C119,")=")</f>
        <v>a'(  )=</v>
      </c>
      <c r="J119" s="84" t="e">
        <f>2*J117/3*F120</f>
        <v>#VALUE!</v>
      </c>
      <c r="K119" s="84" t="e">
        <f>CONCATENATE("A(",C117,")=")</f>
        <v>#VALUE!</v>
      </c>
      <c r="L119" s="84" t="e">
        <f>VLOOKUP(C117,STN_TABLE,3,FALSE)</f>
        <v>#VALUE!</v>
      </c>
      <c r="M119" t="str">
        <f>CONCATENATE("A(",C119,")=")</f>
        <v>A(  )=</v>
      </c>
      <c r="N119" t="e">
        <f>J119+L119</f>
        <v>#VALUE!</v>
      </c>
      <c r="O119" s="99">
        <f>O118+1</f>
        <v>20</v>
      </c>
      <c r="P119" s="99" t="str">
        <f t="shared" si="44"/>
        <v xml:space="preserve">  </v>
      </c>
      <c r="Q119" s="82" t="e">
        <f>IF(P119-P118=P118-P117,P119,IF(P120-P118=P118-P117,P120,IF(P119-P118=P118-P116,P119,IF(P120-P118=P118-P116,P120,"-"))))</f>
        <v>#VALUE!</v>
      </c>
      <c r="R119" s="83" t="e">
        <f>VLOOKUP(Q119,STN_TABLE,2,FALSE)</f>
        <v>#VALUE!</v>
      </c>
      <c r="S119" s="83">
        <v>-1</v>
      </c>
      <c r="T119" s="82" t="e">
        <f>R119*S119</f>
        <v>#VALUE!</v>
      </c>
      <c r="U119" s="88">
        <v>-1</v>
      </c>
      <c r="V119" s="82" t="e">
        <f>R119*U119</f>
        <v>#VALUE!</v>
      </c>
      <c r="W119" s="84" t="str">
        <f>CONCATENATE("a'(",Q118,")=")</f>
        <v>a'(  )=</v>
      </c>
      <c r="X119" s="84" t="e">
        <f>2*X117/12*T120</f>
        <v>#VALUE!</v>
      </c>
      <c r="Y119" s="84" t="e">
        <f>CONCATENATE("A(",Q117,")=")</f>
        <v>#VALUE!</v>
      </c>
      <c r="Z119" s="84" t="e">
        <f>VLOOKUP(Q117,STN_TABLE,3,FALSE)</f>
        <v>#VALUE!</v>
      </c>
      <c r="AA119" t="str">
        <f>CONCATENATE("A(",Q118,")=")</f>
        <v>A(  )=</v>
      </c>
      <c r="AB119" t="e">
        <f>X119+Z119</f>
        <v>#VALUE!</v>
      </c>
      <c r="AC119" s="99">
        <f>AC118+1</f>
        <v>19</v>
      </c>
      <c r="AD119" s="100" t="str">
        <f>VLOOKUP(AC119,STN_TABLE_2,2,FALSE)</f>
        <v xml:space="preserve">  </v>
      </c>
      <c r="AE119" s="82" t="str">
        <f>VLOOKUP(AD119,STN_TABLE,2,FALSE)</f>
        <v xml:space="preserve">  </v>
      </c>
      <c r="AF119" s="82">
        <v>2</v>
      </c>
      <c r="AG119" s="83" t="e">
        <f>AE119*AF119</f>
        <v>#VALUE!</v>
      </c>
      <c r="AH119" s="84" t="str">
        <f>CONCATENATE("a'(",AD119,")=")</f>
        <v>a'(  )=</v>
      </c>
      <c r="AI119" s="84" t="e">
        <f>2*AI117/2*AE120</f>
        <v>#VALUE!</v>
      </c>
      <c r="AJ119" s="84" t="str">
        <f>CONCATENATE("A(",AD118,")=")</f>
        <v>A(  )=</v>
      </c>
      <c r="AK119" s="84" t="str">
        <f>VLOOKUP(AD118,STN_TABLE,3,FALSE)</f>
        <v xml:space="preserve"> </v>
      </c>
      <c r="AL119" t="str">
        <f>CONCATENATE("A(",AD119,")=")</f>
        <v>A(  )=</v>
      </c>
      <c r="AM119" t="e">
        <f>AI119+AK119</f>
        <v>#VALUE!</v>
      </c>
      <c r="AO119" s="68" t="str">
        <f>AA119</f>
        <v>A(  )=</v>
      </c>
      <c r="AP119" s="68" t="e">
        <f>VLOOKUP(AO119,Rise_Results,2,FALSE)</f>
        <v>#N/A</v>
      </c>
      <c r="AQ119" s="76" t="e">
        <f>N119</f>
        <v>#VALUE!</v>
      </c>
      <c r="AR119" s="76" t="e">
        <f>IF(OR(AB119&lt;=0,AB120&lt;=0),1/0,AB119)</f>
        <v>#VALUE!</v>
      </c>
      <c r="AS119" s="76" t="e">
        <f>AM119</f>
        <v>#VALUE!</v>
      </c>
      <c r="AT119" t="e">
        <f>IFERROR(AP119,IFERROR(AQ119,IFERROR(AR119,AS119)))</f>
        <v>#VALUE!</v>
      </c>
      <c r="AU119" s="81"/>
    </row>
    <row r="120" spans="1:47" x14ac:dyDescent="0.25">
      <c r="A120" s="84">
        <f>A119+1</f>
        <v>19</v>
      </c>
      <c r="B120" s="84" t="str">
        <f t="shared" si="48"/>
        <v xml:space="preserve">  </v>
      </c>
      <c r="F120" s="82" t="e">
        <f>SUM(F117:F119)</f>
        <v>#VALUE!</v>
      </c>
      <c r="H120" s="82" t="e">
        <f>SUM(H117:H119)</f>
        <v>#VALUE!</v>
      </c>
      <c r="I120" s="84" t="str">
        <f>CONCATENATE("m'(",C119,")=")</f>
        <v>m'(  )=</v>
      </c>
      <c r="J120" s="84" t="e">
        <f>2*(J117*(WLS))/3*H120</f>
        <v>#VALUE!</v>
      </c>
      <c r="K120" s="84" t="e">
        <f>CONCATENATE("M(",C117,")=")</f>
        <v>#VALUE!</v>
      </c>
      <c r="L120" s="84" t="e">
        <f>VLOOKUP(C117,STN_TABLE,4,FALSE)</f>
        <v>#VALUE!</v>
      </c>
      <c r="M120" t="str">
        <f>CONCATENATE("M(",C119,")=")</f>
        <v>M(  )=</v>
      </c>
      <c r="N120" t="e">
        <f>J120+L120</f>
        <v>#VALUE!</v>
      </c>
      <c r="O120" s="99">
        <f>O119+1</f>
        <v>21</v>
      </c>
      <c r="P120" s="99" t="str">
        <f t="shared" si="44"/>
        <v xml:space="preserve">  </v>
      </c>
      <c r="T120" s="89" t="e">
        <f>SUM(T117:T119)</f>
        <v>#VALUE!</v>
      </c>
      <c r="V120" s="82" t="e">
        <f>SUM(V117:V119)</f>
        <v>#VALUE!</v>
      </c>
      <c r="W120" s="84" t="str">
        <f>CONCATENATE("m'(",Q118,")=")</f>
        <v>m'(  )=</v>
      </c>
      <c r="X120" s="84" t="e">
        <f>(2*(X117^2)/24*V120)+(X119*Q117*WLS)</f>
        <v>#VALUE!</v>
      </c>
      <c r="Y120" s="84" t="e">
        <f>CONCATENATE("M(",Q117,")=")</f>
        <v>#VALUE!</v>
      </c>
      <c r="Z120" s="84" t="e">
        <f>VLOOKUP(Q117,STN_TABLE,4,FALSE)</f>
        <v>#VALUE!</v>
      </c>
      <c r="AA120" t="str">
        <f>CONCATENATE("M(",Q118,")=")</f>
        <v>M(  )=</v>
      </c>
      <c r="AB120" t="e">
        <f>X120+Z120</f>
        <v>#VALUE!</v>
      </c>
      <c r="AE120" s="89">
        <f>SUM(AE118:AE119)</f>
        <v>0</v>
      </c>
      <c r="AG120" s="89" t="e">
        <f>SUM(AG118:AG119)</f>
        <v>#VALUE!</v>
      </c>
      <c r="AH120" s="84" t="str">
        <f>CONCATENATE("m'(",AD119,")=")</f>
        <v>m'(  )=</v>
      </c>
      <c r="AI120" s="84" t="e">
        <f>(2*(AI117^2)/6*AG120)+(AI119*AD118*WLS)</f>
        <v>#VALUE!</v>
      </c>
      <c r="AJ120" s="84" t="str">
        <f>CONCATENATE("M(",AD118,")=")</f>
        <v>M(  )=</v>
      </c>
      <c r="AK120" s="84" t="str">
        <f>VLOOKUP(AD118,STN_TABLE,4,FALSE)</f>
        <v xml:space="preserve"> </v>
      </c>
      <c r="AL120" t="str">
        <f>CONCATENATE("M(",AD119,")=")</f>
        <v>M(  )=</v>
      </c>
      <c r="AM120" t="e">
        <f>AI120+AK120</f>
        <v>#VALUE!</v>
      </c>
      <c r="AO120" s="82" t="str">
        <f>AA120</f>
        <v>M(  )=</v>
      </c>
      <c r="AP120" s="82" t="e">
        <f>VLOOKUP(AO120,Rise_Results,2,FALSE)</f>
        <v>#N/A</v>
      </c>
      <c r="AQ120" s="82" t="e">
        <f>N120</f>
        <v>#VALUE!</v>
      </c>
      <c r="AR120" s="82" t="e">
        <f>IF(OR(AB119&lt;=0,AB120&lt;=0),1/0,AB120)</f>
        <v>#VALUE!</v>
      </c>
      <c r="AS120" s="82" t="e">
        <f>AM120</f>
        <v>#VALUE!</v>
      </c>
      <c r="AT120" t="e">
        <f>IFERROR(AP120,IFERROR(AQ120,IFERROR(AR120,AS120)))</f>
        <v>#VALUE!</v>
      </c>
      <c r="AU120" s="81"/>
    </row>
    <row r="121" spans="1:47" x14ac:dyDescent="0.25">
      <c r="A121" s="101">
        <f>A116+1</f>
        <v>16</v>
      </c>
      <c r="B121" s="101" t="str">
        <f t="shared" si="48"/>
        <v xml:space="preserve">  </v>
      </c>
      <c r="O121" s="101">
        <f>O116+1</f>
        <v>18</v>
      </c>
      <c r="P121" s="101" t="str">
        <f t="shared" si="44"/>
        <v xml:space="preserve">  </v>
      </c>
      <c r="AU121" s="81"/>
    </row>
    <row r="122" spans="1:47" x14ac:dyDescent="0.25">
      <c r="A122" s="84">
        <f>A121+1</f>
        <v>17</v>
      </c>
      <c r="B122" s="84" t="str">
        <f t="shared" si="48"/>
        <v xml:space="preserve">  </v>
      </c>
      <c r="C122" s="79" t="e">
        <f t="shared" ref="C122" si="58">IF(C123=B124,IF(C124-C123=C123-B123,B123,IF(C124-C123=C123-B122,B122,"#NA")),IF(C123=B123,IF(C124-C123=C123-B122,B122,IF(C124-C123=C123-B121,B121,"#NA")),"#NA"))</f>
        <v>#VALUE!</v>
      </c>
      <c r="D122" s="68" t="e">
        <f>VLOOKUP(C122,STN_TABLE,2,FALSE)</f>
        <v>#VALUE!</v>
      </c>
      <c r="E122" s="102">
        <v>1</v>
      </c>
      <c r="F122" s="68" t="e">
        <f>D122*E122</f>
        <v>#VALUE!</v>
      </c>
      <c r="G122" s="69" t="e">
        <f>C122</f>
        <v>#VALUE!</v>
      </c>
      <c r="H122" s="69" t="e">
        <f>F122*G122</f>
        <v>#VALUE!</v>
      </c>
      <c r="I122" s="6" t="s">
        <v>93</v>
      </c>
      <c r="J122" s="70" t="e">
        <f>IF(OR(D122=0,D123=0,D124=0),"#NA",IF(AND(C124-C123=C123-C122,C123&lt;&gt;C124,C122&lt;&gt;C123,C122&lt;&gt;C124,D124&lt;&gt;0,OR(D122&lt;&gt;0,D123&lt;&gt;0)),WLS*(C124-C123),"#NA"))</f>
        <v>#VALUE!</v>
      </c>
      <c r="O122" s="99">
        <f>O121+1</f>
        <v>19</v>
      </c>
      <c r="P122" s="99" t="str">
        <f t="shared" si="44"/>
        <v xml:space="preserve">  </v>
      </c>
      <c r="Q122" s="68" t="e">
        <f>IF(OR(P124-P123=P123-P122,P125-P123=P123-P122),P122,IF(OR(P124-P123=P123-P121,P125-P123=P123-P121),P121,"-"))</f>
        <v>#VALUE!</v>
      </c>
      <c r="R122" s="69" t="e">
        <f>VLOOKUP(Q122,STN_TABLE,2,FALSE)</f>
        <v>#VALUE!</v>
      </c>
      <c r="S122" s="69">
        <v>5</v>
      </c>
      <c r="T122" s="68" t="e">
        <f>R122*S122</f>
        <v>#VALUE!</v>
      </c>
      <c r="U122" s="79">
        <v>3</v>
      </c>
      <c r="V122" s="68" t="e">
        <f>R122*U122</f>
        <v>#VALUE!</v>
      </c>
      <c r="W122" s="6" t="s">
        <v>93</v>
      </c>
      <c r="X122" s="70" t="e">
        <f>IF(AND(Q124-Q123=Q123-Q122,NOT(AND(Q122=0,Q123=0)),NOT(AND(Q123=0,Q124=0))),WLS*(Q124-Q123),"#NA")</f>
        <v>#VALUE!</v>
      </c>
      <c r="AD122" s="93"/>
      <c r="AH122" s="6" t="s">
        <v>93</v>
      </c>
      <c r="AI122" s="70" t="e">
        <f>WLS*(AD124-AD123)</f>
        <v>#VALUE!</v>
      </c>
      <c r="AU122" s="81"/>
    </row>
    <row r="123" spans="1:47" x14ac:dyDescent="0.25">
      <c r="A123" s="84">
        <f>A122+1</f>
        <v>18</v>
      </c>
      <c r="B123" s="84" t="str">
        <f t="shared" si="48"/>
        <v xml:space="preserve">  </v>
      </c>
      <c r="C123" s="80" t="e">
        <f t="shared" ref="C123" si="59">IF(OR(B125-B124=B124-B123,B125-B124=B124-B122,B125-B124=B124-B121),B124,IF(OR(B125-B123=B123-B122,B125-B123=B123-B121),B123,IF(B125-B122=B122-B121,B122,"#NA")))</f>
        <v>#VALUE!</v>
      </c>
      <c r="D123" s="76" t="e">
        <f>VLOOKUP(C123,STN_TABLE,2,FALSE)</f>
        <v>#VALUE!</v>
      </c>
      <c r="E123" s="81">
        <v>4</v>
      </c>
      <c r="F123" s="76" t="e">
        <f>D123*E123</f>
        <v>#VALUE!</v>
      </c>
      <c r="G123" s="77" t="e">
        <f>C123</f>
        <v>#VALUE!</v>
      </c>
      <c r="H123" s="77" t="e">
        <f>F123*G123</f>
        <v>#VALUE!</v>
      </c>
      <c r="I123" s="495" t="s">
        <v>97</v>
      </c>
      <c r="J123" s="496"/>
      <c r="K123" s="78" t="s">
        <v>98</v>
      </c>
      <c r="L123" s="78"/>
      <c r="M123" s="7" t="s">
        <v>99</v>
      </c>
      <c r="N123" s="7"/>
      <c r="O123" s="99">
        <f>O122+1</f>
        <v>20</v>
      </c>
      <c r="P123" s="99" t="str">
        <f t="shared" si="44"/>
        <v xml:space="preserve">  </v>
      </c>
      <c r="Q123" s="76" t="str">
        <f>P123</f>
        <v xml:space="preserve">  </v>
      </c>
      <c r="R123" s="77" t="str">
        <f>VLOOKUP(Q123,STN_TABLE,2,FALSE)</f>
        <v xml:space="preserve">  </v>
      </c>
      <c r="S123" s="77">
        <v>8</v>
      </c>
      <c r="T123" s="76" t="e">
        <f>R123*S123</f>
        <v>#VALUE!</v>
      </c>
      <c r="U123" s="80">
        <v>10</v>
      </c>
      <c r="V123" s="76" t="e">
        <f>R123*U123</f>
        <v>#VALUE!</v>
      </c>
      <c r="W123" s="496" t="s">
        <v>97</v>
      </c>
      <c r="X123" s="496"/>
      <c r="Y123" s="496" t="s">
        <v>98</v>
      </c>
      <c r="Z123" s="496"/>
      <c r="AA123" s="494" t="s">
        <v>99</v>
      </c>
      <c r="AB123" s="494"/>
      <c r="AC123" s="99">
        <f>AC118+1</f>
        <v>19</v>
      </c>
      <c r="AD123" s="95" t="str">
        <f>VLOOKUP(AC123,STN_TABLE_2,2,FALSE)</f>
        <v xml:space="preserve">  </v>
      </c>
      <c r="AE123" s="68" t="str">
        <f>VLOOKUP(AD123,STN_TABLE,2,FALSE)</f>
        <v xml:space="preserve">  </v>
      </c>
      <c r="AF123" s="68">
        <v>1</v>
      </c>
      <c r="AG123" s="69" t="e">
        <f>AE123*AF123</f>
        <v>#VALUE!</v>
      </c>
      <c r="AH123" s="496" t="s">
        <v>97</v>
      </c>
      <c r="AI123" s="496"/>
      <c r="AJ123" s="496" t="s">
        <v>98</v>
      </c>
      <c r="AK123" s="496"/>
      <c r="AL123" s="494" t="s">
        <v>99</v>
      </c>
      <c r="AM123" s="494"/>
      <c r="AP123" s="86" t="s">
        <v>112</v>
      </c>
      <c r="AQ123" s="89" t="s">
        <v>113</v>
      </c>
      <c r="AR123" s="89" t="s">
        <v>114</v>
      </c>
      <c r="AS123" s="89" t="s">
        <v>115</v>
      </c>
      <c r="AU123" s="81"/>
    </row>
    <row r="124" spans="1:47" x14ac:dyDescent="0.25">
      <c r="A124" s="84">
        <f>A123+1</f>
        <v>19</v>
      </c>
      <c r="B124" s="84" t="str">
        <f t="shared" si="48"/>
        <v xml:space="preserve">  </v>
      </c>
      <c r="C124" s="88" t="str">
        <f t="shared" ref="C124" si="60">B125</f>
        <v xml:space="preserve">  </v>
      </c>
      <c r="D124" s="82" t="str">
        <f>VLOOKUP(C124,STN_TABLE,2,FALSE)</f>
        <v xml:space="preserve">  </v>
      </c>
      <c r="E124" s="92">
        <v>1</v>
      </c>
      <c r="F124" s="82" t="e">
        <f>D124*E124</f>
        <v>#VALUE!</v>
      </c>
      <c r="G124" s="83" t="str">
        <f>C124</f>
        <v xml:space="preserve">  </v>
      </c>
      <c r="H124" s="83" t="e">
        <f>F124*G124</f>
        <v>#VALUE!</v>
      </c>
      <c r="I124" s="84" t="str">
        <f>CONCATENATE("a'(",C124,")=")</f>
        <v>a'(  )=</v>
      </c>
      <c r="J124" s="84" t="e">
        <f>2*J122/3*F125</f>
        <v>#VALUE!</v>
      </c>
      <c r="K124" s="84" t="e">
        <f>CONCATENATE("A(",C122,")=")</f>
        <v>#VALUE!</v>
      </c>
      <c r="L124" s="84" t="e">
        <f>VLOOKUP(C122,STN_TABLE,3,FALSE)</f>
        <v>#VALUE!</v>
      </c>
      <c r="M124" t="str">
        <f>CONCATENATE("A(",C124,")=")</f>
        <v>A(  )=</v>
      </c>
      <c r="N124" t="e">
        <f>J124+L124</f>
        <v>#VALUE!</v>
      </c>
      <c r="O124" s="99">
        <f>O123+1</f>
        <v>21</v>
      </c>
      <c r="P124" s="99" t="str">
        <f t="shared" si="44"/>
        <v xml:space="preserve">  </v>
      </c>
      <c r="Q124" s="82" t="e">
        <f>IF(P124-P123=P123-P122,P124,IF(P125-P123=P123-P122,P125,IF(P124-P123=P123-P121,P124,IF(P125-P123=P123-P121,P125,"-"))))</f>
        <v>#VALUE!</v>
      </c>
      <c r="R124" s="83" t="e">
        <f>VLOOKUP(Q124,STN_TABLE,2,FALSE)</f>
        <v>#VALUE!</v>
      </c>
      <c r="S124" s="83">
        <v>-1</v>
      </c>
      <c r="T124" s="82" t="e">
        <f>R124*S124</f>
        <v>#VALUE!</v>
      </c>
      <c r="U124" s="88">
        <v>-1</v>
      </c>
      <c r="V124" s="82" t="e">
        <f>R124*U124</f>
        <v>#VALUE!</v>
      </c>
      <c r="W124" s="84" t="str">
        <f>CONCATENATE("a'(",Q123,")=")</f>
        <v>a'(  )=</v>
      </c>
      <c r="X124" s="84" t="e">
        <f>2*X122/12*T125</f>
        <v>#VALUE!</v>
      </c>
      <c r="Y124" s="84" t="e">
        <f>CONCATENATE("A(",Q122,")=")</f>
        <v>#VALUE!</v>
      </c>
      <c r="Z124" s="84" t="e">
        <f>VLOOKUP(Q122,STN_TABLE,3,FALSE)</f>
        <v>#VALUE!</v>
      </c>
      <c r="AA124" t="str">
        <f>CONCATENATE("A(",Q123,")=")</f>
        <v>A(  )=</v>
      </c>
      <c r="AB124" t="e">
        <f>X124+Z124</f>
        <v>#VALUE!</v>
      </c>
      <c r="AC124" s="99">
        <f>AC123+1</f>
        <v>20</v>
      </c>
      <c r="AD124" s="100" t="str">
        <f>VLOOKUP(AC124,STN_TABLE_2,2,FALSE)</f>
        <v xml:space="preserve">  </v>
      </c>
      <c r="AE124" s="82" t="str">
        <f>VLOOKUP(AD124,STN_TABLE,2,FALSE)</f>
        <v xml:space="preserve">  </v>
      </c>
      <c r="AF124" s="82">
        <v>2</v>
      </c>
      <c r="AG124" s="83" t="e">
        <f>AE124*AF124</f>
        <v>#VALUE!</v>
      </c>
      <c r="AH124" s="84" t="str">
        <f>CONCATENATE("a'(",AD124,")=")</f>
        <v>a'(  )=</v>
      </c>
      <c r="AI124" s="84" t="e">
        <f>2*AI122/2*AE125</f>
        <v>#VALUE!</v>
      </c>
      <c r="AJ124" s="84" t="str">
        <f>CONCATENATE("A(",AD123,")=")</f>
        <v>A(  )=</v>
      </c>
      <c r="AK124" s="84" t="str">
        <f>VLOOKUP(AD123,STN_TABLE,3,FALSE)</f>
        <v xml:space="preserve"> </v>
      </c>
      <c r="AL124" t="str">
        <f>CONCATENATE("A(",AD124,")=")</f>
        <v>A(  )=</v>
      </c>
      <c r="AM124" t="e">
        <f>AI124+AK124</f>
        <v>#VALUE!</v>
      </c>
      <c r="AO124" s="68" t="str">
        <f>AA124</f>
        <v>A(  )=</v>
      </c>
      <c r="AP124" s="68" t="e">
        <f>VLOOKUP(AO124,Rise_Results,2,FALSE)</f>
        <v>#N/A</v>
      </c>
      <c r="AQ124" s="76" t="e">
        <f>N124</f>
        <v>#VALUE!</v>
      </c>
      <c r="AR124" s="76" t="e">
        <f>IF(OR(AB124&lt;=0,AB125&lt;=0),1/0,AB124)</f>
        <v>#VALUE!</v>
      </c>
      <c r="AS124" s="76" t="e">
        <f>AM124</f>
        <v>#VALUE!</v>
      </c>
      <c r="AT124" t="e">
        <f>IFERROR(AP124,IFERROR(AQ124,IFERROR(AR124,AS124)))</f>
        <v>#VALUE!</v>
      </c>
      <c r="AU124" s="81"/>
    </row>
    <row r="125" spans="1:47" x14ac:dyDescent="0.25">
      <c r="A125" s="84">
        <f>A124+1</f>
        <v>20</v>
      </c>
      <c r="B125" s="84" t="str">
        <f t="shared" si="48"/>
        <v xml:space="preserve">  </v>
      </c>
      <c r="F125" s="82" t="e">
        <f>SUM(F122:F124)</f>
        <v>#VALUE!</v>
      </c>
      <c r="H125" s="82" t="e">
        <f>SUM(H122:H124)</f>
        <v>#VALUE!</v>
      </c>
      <c r="I125" s="84" t="str">
        <f>CONCATENATE("m'(",C124,")=")</f>
        <v>m'(  )=</v>
      </c>
      <c r="J125" s="84" t="e">
        <f>2*(J122*(WLS))/3*H125</f>
        <v>#VALUE!</v>
      </c>
      <c r="K125" s="84" t="e">
        <f>CONCATENATE("M(",C122,")=")</f>
        <v>#VALUE!</v>
      </c>
      <c r="L125" s="84" t="e">
        <f>VLOOKUP(C122,STN_TABLE,4,FALSE)</f>
        <v>#VALUE!</v>
      </c>
      <c r="M125" t="str">
        <f>CONCATENATE("M(",C124,")=")</f>
        <v>M(  )=</v>
      </c>
      <c r="N125" t="e">
        <f>J125+L125</f>
        <v>#VALUE!</v>
      </c>
      <c r="O125" s="99">
        <f>O124+1</f>
        <v>22</v>
      </c>
      <c r="P125" s="99" t="str">
        <f t="shared" si="44"/>
        <v xml:space="preserve">  </v>
      </c>
      <c r="T125" s="89" t="e">
        <f>SUM(T122:T124)</f>
        <v>#VALUE!</v>
      </c>
      <c r="V125" s="82" t="e">
        <f>SUM(V122:V124)</f>
        <v>#VALUE!</v>
      </c>
      <c r="W125" s="84" t="str">
        <f>CONCATENATE("m'(",Q123,")=")</f>
        <v>m'(  )=</v>
      </c>
      <c r="X125" s="84" t="e">
        <f>(2*(X122^2)/24*V125)+(X124*Q122*WLS)</f>
        <v>#VALUE!</v>
      </c>
      <c r="Y125" s="84" t="e">
        <f>CONCATENATE("M(",Q122,")=")</f>
        <v>#VALUE!</v>
      </c>
      <c r="Z125" s="84" t="e">
        <f>VLOOKUP(Q122,STN_TABLE,4,FALSE)</f>
        <v>#VALUE!</v>
      </c>
      <c r="AA125" t="str">
        <f>CONCATENATE("M(",Q123,")=")</f>
        <v>M(  )=</v>
      </c>
      <c r="AB125" t="e">
        <f>X125+Z125</f>
        <v>#VALUE!</v>
      </c>
      <c r="AE125" s="89">
        <f>SUM(AE123:AE124)</f>
        <v>0</v>
      </c>
      <c r="AG125" s="89" t="e">
        <f>SUM(AG123:AG124)</f>
        <v>#VALUE!</v>
      </c>
      <c r="AH125" s="84" t="str">
        <f>CONCATENATE("m'(",AD124,")=")</f>
        <v>m'(  )=</v>
      </c>
      <c r="AI125" s="84" t="e">
        <f>(2*(AI122^2)/6*AG125)+(AI124*AD123*WLS)</f>
        <v>#VALUE!</v>
      </c>
      <c r="AJ125" s="84" t="str">
        <f>CONCATENATE("M(",AD123,")=")</f>
        <v>M(  )=</v>
      </c>
      <c r="AK125" s="84" t="str">
        <f>VLOOKUP(AD123,STN_TABLE,4,FALSE)</f>
        <v xml:space="preserve"> </v>
      </c>
      <c r="AL125" t="str">
        <f>CONCATENATE("M(",AD124,")=")</f>
        <v>M(  )=</v>
      </c>
      <c r="AM125" t="e">
        <f>AI125+AK125</f>
        <v>#VALUE!</v>
      </c>
      <c r="AO125" s="82" t="str">
        <f>AA125</f>
        <v>M(  )=</v>
      </c>
      <c r="AP125" s="82" t="e">
        <f>VLOOKUP(AO125,Rise_Results,2,FALSE)</f>
        <v>#N/A</v>
      </c>
      <c r="AQ125" s="82" t="e">
        <f>N125</f>
        <v>#VALUE!</v>
      </c>
      <c r="AR125" s="82" t="e">
        <f>IF(OR(AB124&lt;=0,AB125&lt;=0),1/0,AB125)</f>
        <v>#VALUE!</v>
      </c>
      <c r="AS125" s="82" t="e">
        <f>AM125</f>
        <v>#VALUE!</v>
      </c>
      <c r="AT125" t="e">
        <f>IFERROR(AP125,IFERROR(AQ125,IFERROR(AR125,AS125)))</f>
        <v>#VALUE!</v>
      </c>
      <c r="AU125" s="81"/>
    </row>
    <row r="126" spans="1:47" x14ac:dyDescent="0.25">
      <c r="A126" s="101">
        <f>A121+1</f>
        <v>17</v>
      </c>
      <c r="B126" s="101" t="str">
        <f t="shared" si="48"/>
        <v xml:space="preserve">  </v>
      </c>
      <c r="O126" s="101">
        <f>O121+1</f>
        <v>19</v>
      </c>
      <c r="P126" s="101" t="str">
        <f t="shared" si="44"/>
        <v xml:space="preserve">  </v>
      </c>
      <c r="AU126" s="81"/>
    </row>
    <row r="127" spans="1:47" x14ac:dyDescent="0.25">
      <c r="A127" s="84">
        <f>A126+1</f>
        <v>18</v>
      </c>
      <c r="B127" s="84" t="str">
        <f t="shared" si="48"/>
        <v xml:space="preserve">  </v>
      </c>
      <c r="C127" s="79" t="e">
        <f t="shared" ref="C127" si="61">IF(C128=B129,IF(C129-C128=C128-B128,B128,IF(C129-C128=C128-B127,B127,"#NA")),IF(C128=B128,IF(C129-C128=C128-B127,B127,IF(C129-C128=C128-B126,B126,"#NA")),"#NA"))</f>
        <v>#VALUE!</v>
      </c>
      <c r="D127" s="68" t="e">
        <f>VLOOKUP(C127,STN_TABLE,2,FALSE)</f>
        <v>#VALUE!</v>
      </c>
      <c r="E127" s="102">
        <v>1</v>
      </c>
      <c r="F127" s="68" t="e">
        <f>D127*E127</f>
        <v>#VALUE!</v>
      </c>
      <c r="G127" s="69" t="e">
        <f>C127</f>
        <v>#VALUE!</v>
      </c>
      <c r="H127" s="69" t="e">
        <f>F127*G127</f>
        <v>#VALUE!</v>
      </c>
      <c r="I127" s="6" t="s">
        <v>93</v>
      </c>
      <c r="J127" s="70" t="e">
        <f>IF(OR(D127=0,D128=0,D129=0),"#NA",IF(AND(C129-C128=C128-C127,C128&lt;&gt;C129,C127&lt;&gt;C128,C127&lt;&gt;C129,D129&lt;&gt;0,OR(D127&lt;&gt;0,D128&lt;&gt;0)),WLS*(C129-C128),"#NA"))</f>
        <v>#VALUE!</v>
      </c>
      <c r="O127" s="99">
        <f>O126+1</f>
        <v>20</v>
      </c>
      <c r="P127" s="99" t="str">
        <f t="shared" si="44"/>
        <v xml:space="preserve">  </v>
      </c>
      <c r="Q127" s="68" t="e">
        <f>IF(OR(P129-P128=P128-P127,P130-P128=P128-P127),P127,IF(OR(P129-P128=P128-P126,P130-P128=P128-P126),P126,"-"))</f>
        <v>#VALUE!</v>
      </c>
      <c r="R127" s="69" t="e">
        <f>VLOOKUP(Q127,STN_TABLE,2,FALSE)</f>
        <v>#VALUE!</v>
      </c>
      <c r="S127" s="69">
        <v>5</v>
      </c>
      <c r="T127" s="68" t="e">
        <f>R127*S127</f>
        <v>#VALUE!</v>
      </c>
      <c r="U127" s="79">
        <v>3</v>
      </c>
      <c r="V127" s="68" t="e">
        <f>R127*U127</f>
        <v>#VALUE!</v>
      </c>
      <c r="W127" s="6" t="s">
        <v>93</v>
      </c>
      <c r="X127" s="70" t="e">
        <f>IF(AND(Q129-Q128=Q128-Q127,NOT(AND(Q127=0,Q128=0)),NOT(AND(Q128=0,Q129=0))),WLS*(Q129-Q128),"#NA")</f>
        <v>#VALUE!</v>
      </c>
      <c r="AD127" s="93"/>
      <c r="AH127" s="6" t="s">
        <v>93</v>
      </c>
      <c r="AI127" s="70" t="e">
        <f>WLS*(AD129-AD128)</f>
        <v>#VALUE!</v>
      </c>
      <c r="AU127" s="81"/>
    </row>
    <row r="128" spans="1:47" x14ac:dyDescent="0.25">
      <c r="A128" s="84">
        <f>A127+1</f>
        <v>19</v>
      </c>
      <c r="B128" s="84" t="str">
        <f t="shared" si="48"/>
        <v xml:space="preserve">  </v>
      </c>
      <c r="C128" s="80" t="e">
        <f t="shared" ref="C128" si="62">IF(OR(B130-B129=B129-B128,B130-B129=B129-B127,B130-B129=B129-B126),B129,IF(OR(B130-B128=B128-B127,B130-B128=B128-B126),B128,IF(B130-B127=B127-B126,B127,"#NA")))</f>
        <v>#VALUE!</v>
      </c>
      <c r="D128" s="76" t="e">
        <f>VLOOKUP(C128,STN_TABLE,2,FALSE)</f>
        <v>#VALUE!</v>
      </c>
      <c r="E128" s="81">
        <v>4</v>
      </c>
      <c r="F128" s="76" t="e">
        <f>D128*E128</f>
        <v>#VALUE!</v>
      </c>
      <c r="G128" s="77" t="e">
        <f>C128</f>
        <v>#VALUE!</v>
      </c>
      <c r="H128" s="77" t="e">
        <f>F128*G128</f>
        <v>#VALUE!</v>
      </c>
      <c r="I128" s="495" t="s">
        <v>97</v>
      </c>
      <c r="J128" s="496"/>
      <c r="K128" s="78" t="s">
        <v>98</v>
      </c>
      <c r="L128" s="78"/>
      <c r="M128" s="7" t="s">
        <v>99</v>
      </c>
      <c r="N128" s="7"/>
      <c r="O128" s="99">
        <f>O127+1</f>
        <v>21</v>
      </c>
      <c r="P128" s="99" t="str">
        <f t="shared" si="44"/>
        <v xml:space="preserve">  </v>
      </c>
      <c r="Q128" s="76" t="str">
        <f>P128</f>
        <v xml:space="preserve">  </v>
      </c>
      <c r="R128" s="77" t="str">
        <f>VLOOKUP(Q128,STN_TABLE,2,FALSE)</f>
        <v xml:space="preserve">  </v>
      </c>
      <c r="S128" s="77">
        <v>8</v>
      </c>
      <c r="T128" s="76" t="e">
        <f>R128*S128</f>
        <v>#VALUE!</v>
      </c>
      <c r="U128" s="80">
        <v>10</v>
      </c>
      <c r="V128" s="76" t="e">
        <f>R128*U128</f>
        <v>#VALUE!</v>
      </c>
      <c r="W128" s="496" t="s">
        <v>97</v>
      </c>
      <c r="X128" s="496"/>
      <c r="Y128" s="496" t="s">
        <v>98</v>
      </c>
      <c r="Z128" s="496"/>
      <c r="AA128" s="494" t="s">
        <v>99</v>
      </c>
      <c r="AB128" s="494"/>
      <c r="AC128" s="99">
        <f>AC123+1</f>
        <v>20</v>
      </c>
      <c r="AD128" s="95" t="str">
        <f>VLOOKUP(AC128,STN_TABLE_2,2,FALSE)</f>
        <v xml:space="preserve">  </v>
      </c>
      <c r="AE128" s="68" t="str">
        <f>VLOOKUP(AD128,STN_TABLE,2,FALSE)</f>
        <v xml:space="preserve">  </v>
      </c>
      <c r="AF128" s="68">
        <v>1</v>
      </c>
      <c r="AG128" s="69" t="e">
        <f>AE128*AF128</f>
        <v>#VALUE!</v>
      </c>
      <c r="AH128" s="496" t="s">
        <v>97</v>
      </c>
      <c r="AI128" s="496"/>
      <c r="AJ128" s="496" t="s">
        <v>98</v>
      </c>
      <c r="AK128" s="496"/>
      <c r="AL128" s="494" t="s">
        <v>99</v>
      </c>
      <c r="AM128" s="494"/>
      <c r="AP128" s="86" t="s">
        <v>112</v>
      </c>
      <c r="AQ128" s="89" t="s">
        <v>113</v>
      </c>
      <c r="AR128" s="89" t="s">
        <v>114</v>
      </c>
      <c r="AS128" s="89" t="s">
        <v>115</v>
      </c>
      <c r="AU128" s="81"/>
    </row>
    <row r="129" spans="1:47" x14ac:dyDescent="0.25">
      <c r="A129" s="84">
        <f>A128+1</f>
        <v>20</v>
      </c>
      <c r="B129" s="84" t="str">
        <f t="shared" si="48"/>
        <v xml:space="preserve">  </v>
      </c>
      <c r="C129" s="88" t="str">
        <f t="shared" ref="C129" si="63">B130</f>
        <v xml:space="preserve">  </v>
      </c>
      <c r="D129" s="82" t="str">
        <f>VLOOKUP(C129,STN_TABLE,2,FALSE)</f>
        <v xml:space="preserve">  </v>
      </c>
      <c r="E129" s="92">
        <v>1</v>
      </c>
      <c r="F129" s="82" t="e">
        <f>D129*E129</f>
        <v>#VALUE!</v>
      </c>
      <c r="G129" s="83" t="str">
        <f>C129</f>
        <v xml:space="preserve">  </v>
      </c>
      <c r="H129" s="83" t="e">
        <f>F129*G129</f>
        <v>#VALUE!</v>
      </c>
      <c r="I129" s="84" t="str">
        <f>CONCATENATE("a'(",C129,")=")</f>
        <v>a'(  )=</v>
      </c>
      <c r="J129" s="84" t="e">
        <f>2*J127/3*F130</f>
        <v>#VALUE!</v>
      </c>
      <c r="K129" s="84" t="e">
        <f>CONCATENATE("A(",C127,")=")</f>
        <v>#VALUE!</v>
      </c>
      <c r="L129" s="84" t="e">
        <f>VLOOKUP(C127,STN_TABLE,3,FALSE)</f>
        <v>#VALUE!</v>
      </c>
      <c r="M129" t="str">
        <f>CONCATENATE("A(",C129,")=")</f>
        <v>A(  )=</v>
      </c>
      <c r="N129" t="e">
        <f>J129+L129</f>
        <v>#VALUE!</v>
      </c>
      <c r="O129" s="99">
        <f>O128+1</f>
        <v>22</v>
      </c>
      <c r="P129" s="99" t="str">
        <f t="shared" si="44"/>
        <v xml:space="preserve">  </v>
      </c>
      <c r="Q129" s="82" t="e">
        <f>IF(P129-P128=P128-P127,P129,IF(P130-P128=P128-P127,P130,IF(P129-P128=P128-P126,P129,IF(P130-P128=P128-P126,P130,"-"))))</f>
        <v>#VALUE!</v>
      </c>
      <c r="R129" s="83" t="e">
        <f>VLOOKUP(Q129,STN_TABLE,2,FALSE)</f>
        <v>#VALUE!</v>
      </c>
      <c r="S129" s="83">
        <v>-1</v>
      </c>
      <c r="T129" s="82" t="e">
        <f>R129*S129</f>
        <v>#VALUE!</v>
      </c>
      <c r="U129" s="88">
        <v>-1</v>
      </c>
      <c r="V129" s="82" t="e">
        <f>R129*U129</f>
        <v>#VALUE!</v>
      </c>
      <c r="W129" s="84" t="str">
        <f>CONCATENATE("a'(",Q128,")=")</f>
        <v>a'(  )=</v>
      </c>
      <c r="X129" s="84" t="e">
        <f>2*X127/12*T130</f>
        <v>#VALUE!</v>
      </c>
      <c r="Y129" s="84" t="e">
        <f>CONCATENATE("A(",Q127,")=")</f>
        <v>#VALUE!</v>
      </c>
      <c r="Z129" s="84" t="e">
        <f>VLOOKUP(Q127,STN_TABLE,3,FALSE)</f>
        <v>#VALUE!</v>
      </c>
      <c r="AA129" t="str">
        <f>CONCATENATE("A(",Q128,")=")</f>
        <v>A(  )=</v>
      </c>
      <c r="AB129" t="e">
        <f>X129+Z129</f>
        <v>#VALUE!</v>
      </c>
      <c r="AC129" s="99">
        <f>AC128+1</f>
        <v>21</v>
      </c>
      <c r="AD129" s="100" t="str">
        <f>VLOOKUP(AC129,STN_TABLE_2,2,FALSE)</f>
        <v xml:space="preserve">  </v>
      </c>
      <c r="AE129" s="82" t="str">
        <f>VLOOKUP(AD129,STN_TABLE,2,FALSE)</f>
        <v xml:space="preserve">  </v>
      </c>
      <c r="AF129" s="82">
        <v>2</v>
      </c>
      <c r="AG129" s="83" t="e">
        <f>AE129*AF129</f>
        <v>#VALUE!</v>
      </c>
      <c r="AH129" s="84" t="str">
        <f>CONCATENATE("a'(",AD129,")=")</f>
        <v>a'(  )=</v>
      </c>
      <c r="AI129" s="84" t="e">
        <f>2*AI127/2*AE130</f>
        <v>#VALUE!</v>
      </c>
      <c r="AJ129" s="84" t="str">
        <f>CONCATENATE("A(",AD128,")=")</f>
        <v>A(  )=</v>
      </c>
      <c r="AK129" s="84" t="str">
        <f>VLOOKUP(AD128,STN_TABLE,3,FALSE)</f>
        <v xml:space="preserve"> </v>
      </c>
      <c r="AL129" t="str">
        <f>CONCATENATE("A(",AD129,")=")</f>
        <v>A(  )=</v>
      </c>
      <c r="AM129" t="e">
        <f>AI129+AK129</f>
        <v>#VALUE!</v>
      </c>
      <c r="AO129" s="68" t="str">
        <f>AA129</f>
        <v>A(  )=</v>
      </c>
      <c r="AP129" s="68" t="e">
        <f>VLOOKUP(AO129,Rise_Results,2,FALSE)</f>
        <v>#N/A</v>
      </c>
      <c r="AQ129" s="76" t="e">
        <f>N129</f>
        <v>#VALUE!</v>
      </c>
      <c r="AR129" s="76" t="e">
        <f>IF(OR(AB129&lt;=0,AB130&lt;=0),1/0,AB129)</f>
        <v>#VALUE!</v>
      </c>
      <c r="AS129" s="76" t="e">
        <f>AM129</f>
        <v>#VALUE!</v>
      </c>
      <c r="AT129" t="e">
        <f>IFERROR(AP129,IFERROR(AQ129,IFERROR(AR129,AS129)))</f>
        <v>#VALUE!</v>
      </c>
      <c r="AU129" s="81"/>
    </row>
    <row r="130" spans="1:47" x14ac:dyDescent="0.25">
      <c r="A130" s="84">
        <f>A129+1</f>
        <v>21</v>
      </c>
      <c r="B130" s="84" t="str">
        <f t="shared" si="48"/>
        <v xml:space="preserve">  </v>
      </c>
      <c r="F130" s="82" t="e">
        <f>SUM(F127:F129)</f>
        <v>#VALUE!</v>
      </c>
      <c r="H130" s="82" t="e">
        <f>SUM(H127:H129)</f>
        <v>#VALUE!</v>
      </c>
      <c r="I130" s="84" t="str">
        <f>CONCATENATE("m'(",C129,")=")</f>
        <v>m'(  )=</v>
      </c>
      <c r="J130" s="84" t="e">
        <f>2*(J127*(WLS))/3*H130</f>
        <v>#VALUE!</v>
      </c>
      <c r="K130" s="84" t="e">
        <f>CONCATENATE("M(",C127,")=")</f>
        <v>#VALUE!</v>
      </c>
      <c r="L130" s="84" t="e">
        <f>VLOOKUP(C127,STN_TABLE,4,FALSE)</f>
        <v>#VALUE!</v>
      </c>
      <c r="M130" t="str">
        <f>CONCATENATE("M(",C129,")=")</f>
        <v>M(  )=</v>
      </c>
      <c r="N130" t="e">
        <f>J130+L130</f>
        <v>#VALUE!</v>
      </c>
      <c r="O130" s="99">
        <f>O129+1</f>
        <v>23</v>
      </c>
      <c r="P130" s="99" t="str">
        <f t="shared" si="44"/>
        <v xml:space="preserve">  </v>
      </c>
      <c r="T130" s="89" t="e">
        <f>SUM(T127:T129)</f>
        <v>#VALUE!</v>
      </c>
      <c r="V130" s="82" t="e">
        <f>SUM(V127:V129)</f>
        <v>#VALUE!</v>
      </c>
      <c r="W130" s="84" t="str">
        <f>CONCATENATE("m'(",Q128,")=")</f>
        <v>m'(  )=</v>
      </c>
      <c r="X130" s="84" t="e">
        <f>(2*(X127^2)/24*V130)+(X129*Q127*WLS)</f>
        <v>#VALUE!</v>
      </c>
      <c r="Y130" s="84" t="e">
        <f>CONCATENATE("M(",Q127,")=")</f>
        <v>#VALUE!</v>
      </c>
      <c r="Z130" s="84" t="e">
        <f>VLOOKUP(Q127,STN_TABLE,4,FALSE)</f>
        <v>#VALUE!</v>
      </c>
      <c r="AA130" t="str">
        <f>CONCATENATE("M(",Q128,")=")</f>
        <v>M(  )=</v>
      </c>
      <c r="AB130" t="e">
        <f>X130+Z130</f>
        <v>#VALUE!</v>
      </c>
      <c r="AE130" s="89">
        <f>SUM(AE128:AE129)</f>
        <v>0</v>
      </c>
      <c r="AG130" s="89" t="e">
        <f>SUM(AG128:AG129)</f>
        <v>#VALUE!</v>
      </c>
      <c r="AH130" s="84" t="str">
        <f>CONCATENATE("m'(",AD129,")=")</f>
        <v>m'(  )=</v>
      </c>
      <c r="AI130" s="84" t="e">
        <f>(2*(AI127^2)/6*AG130)+(AI129*AD128*WLS)</f>
        <v>#VALUE!</v>
      </c>
      <c r="AJ130" s="84" t="str">
        <f>CONCATENATE("M(",AD128,")=")</f>
        <v>M(  )=</v>
      </c>
      <c r="AK130" s="84" t="str">
        <f>VLOOKUP(AD128,STN_TABLE,4,FALSE)</f>
        <v xml:space="preserve"> </v>
      </c>
      <c r="AL130" t="str">
        <f>CONCATENATE("M(",AD129,")=")</f>
        <v>M(  )=</v>
      </c>
      <c r="AM130" t="e">
        <f>AI130+AK130</f>
        <v>#VALUE!</v>
      </c>
      <c r="AO130" s="82" t="str">
        <f>AA130</f>
        <v>M(  )=</v>
      </c>
      <c r="AP130" s="82" t="e">
        <f>VLOOKUP(AO130,Rise_Results,2,FALSE)</f>
        <v>#N/A</v>
      </c>
      <c r="AQ130" s="82" t="e">
        <f>N130</f>
        <v>#VALUE!</v>
      </c>
      <c r="AR130" s="82" t="e">
        <f>IF(OR(AB129&lt;=0,AB130&lt;=0),1/0,AB130)</f>
        <v>#VALUE!</v>
      </c>
      <c r="AS130" s="82" t="e">
        <f>AM130</f>
        <v>#VALUE!</v>
      </c>
      <c r="AT130" t="e">
        <f>IFERROR(AP130,IFERROR(AQ130,IFERROR(AR130,AS130)))</f>
        <v>#VALUE!</v>
      </c>
      <c r="AU130" s="81"/>
    </row>
    <row r="131" spans="1:47" x14ac:dyDescent="0.25">
      <c r="A131" s="101">
        <f>A126+1</f>
        <v>18</v>
      </c>
      <c r="B131" s="101" t="str">
        <f t="shared" si="48"/>
        <v xml:space="preserve">  </v>
      </c>
      <c r="O131" s="101">
        <f>O126+1</f>
        <v>20</v>
      </c>
      <c r="P131" s="101" t="str">
        <f t="shared" si="44"/>
        <v xml:space="preserve">  </v>
      </c>
      <c r="AU131" s="81"/>
    </row>
    <row r="132" spans="1:47" x14ac:dyDescent="0.25">
      <c r="A132" s="84">
        <f>A131+1</f>
        <v>19</v>
      </c>
      <c r="B132" s="84" t="str">
        <f t="shared" si="48"/>
        <v xml:space="preserve">  </v>
      </c>
      <c r="C132" s="79" t="e">
        <f t="shared" ref="C132" si="64">IF(C133=B134,IF(C134-C133=C133-B133,B133,IF(C134-C133=C133-B132,B132,"#NA")),IF(C133=B133,IF(C134-C133=C133-B132,B132,IF(C134-C133=C133-B131,B131,"#NA")),"#NA"))</f>
        <v>#VALUE!</v>
      </c>
      <c r="D132" s="68" t="e">
        <f>VLOOKUP(C132,STN_TABLE,2,FALSE)</f>
        <v>#VALUE!</v>
      </c>
      <c r="E132" s="102">
        <v>1</v>
      </c>
      <c r="F132" s="68" t="e">
        <f>D132*E132</f>
        <v>#VALUE!</v>
      </c>
      <c r="G132" s="69" t="e">
        <f>C132</f>
        <v>#VALUE!</v>
      </c>
      <c r="H132" s="69" t="e">
        <f>F132*G132</f>
        <v>#VALUE!</v>
      </c>
      <c r="I132" s="6" t="s">
        <v>93</v>
      </c>
      <c r="J132" s="70" t="e">
        <f>IF(OR(D132=0,D133=0,D134=0),"#NA",IF(AND(C134-C133=C133-C132,C133&lt;&gt;C134,C132&lt;&gt;C133,C132&lt;&gt;C134,D134&lt;&gt;0,OR(D132&lt;&gt;0,D133&lt;&gt;0)),WLS*(C134-C133),"#NA"))</f>
        <v>#VALUE!</v>
      </c>
      <c r="O132" s="99">
        <f>O131+1</f>
        <v>21</v>
      </c>
      <c r="P132" s="99" t="str">
        <f t="shared" ref="P132:P150" si="65">VLOOKUP(O132,STN_TABLE_2,2,FALSE)</f>
        <v xml:space="preserve">  </v>
      </c>
      <c r="Q132" s="68" t="e">
        <f>IF(OR(P134-P133=P133-P132,P135-P133=P133-P132),P132,IF(OR(P134-P133=P133-P131,P135-P133=P133-P131),P131,"-"))</f>
        <v>#VALUE!</v>
      </c>
      <c r="R132" s="69" t="e">
        <f>VLOOKUP(Q132,STN_TABLE,2,FALSE)</f>
        <v>#VALUE!</v>
      </c>
      <c r="S132" s="69">
        <v>5</v>
      </c>
      <c r="T132" s="68" t="e">
        <f>R132*S132</f>
        <v>#VALUE!</v>
      </c>
      <c r="U132" s="79">
        <v>3</v>
      </c>
      <c r="V132" s="68" t="e">
        <f>R132*U132</f>
        <v>#VALUE!</v>
      </c>
      <c r="W132" s="6" t="s">
        <v>93</v>
      </c>
      <c r="X132" s="70" t="e">
        <f>IF(AND(Q134-Q133=Q133-Q132,NOT(AND(Q132=0,Q133=0)),NOT(AND(Q133=0,Q134=0))),WLS*(Q134-Q133),"#NA")</f>
        <v>#VALUE!</v>
      </c>
      <c r="AD132" s="93"/>
      <c r="AH132" s="6" t="s">
        <v>93</v>
      </c>
      <c r="AI132" s="70" t="e">
        <f>WLS*(AD134-AD133)</f>
        <v>#VALUE!</v>
      </c>
      <c r="AU132" s="81"/>
    </row>
    <row r="133" spans="1:47" x14ac:dyDescent="0.25">
      <c r="A133" s="84">
        <f>A132+1</f>
        <v>20</v>
      </c>
      <c r="B133" s="84" t="str">
        <f t="shared" si="48"/>
        <v xml:space="preserve">  </v>
      </c>
      <c r="C133" s="80" t="e">
        <f t="shared" ref="C133" si="66">IF(OR(B135-B134=B134-B133,B135-B134=B134-B132,B135-B134=B134-B131),B134,IF(OR(B135-B133=B133-B132,B135-B133=B133-B131),B133,IF(B135-B132=B132-B131,B132,"#NA")))</f>
        <v>#VALUE!</v>
      </c>
      <c r="D133" s="76" t="e">
        <f>VLOOKUP(C133,STN_TABLE,2,FALSE)</f>
        <v>#VALUE!</v>
      </c>
      <c r="E133" s="81">
        <v>4</v>
      </c>
      <c r="F133" s="76" t="e">
        <f>D133*E133</f>
        <v>#VALUE!</v>
      </c>
      <c r="G133" s="77" t="e">
        <f>C133</f>
        <v>#VALUE!</v>
      </c>
      <c r="H133" s="77" t="e">
        <f>F133*G133</f>
        <v>#VALUE!</v>
      </c>
      <c r="I133" s="495" t="s">
        <v>97</v>
      </c>
      <c r="J133" s="496"/>
      <c r="K133" s="78" t="s">
        <v>98</v>
      </c>
      <c r="L133" s="78"/>
      <c r="M133" s="7" t="s">
        <v>99</v>
      </c>
      <c r="N133" s="7"/>
      <c r="O133" s="99">
        <f>O132+1</f>
        <v>22</v>
      </c>
      <c r="P133" s="99" t="str">
        <f t="shared" si="65"/>
        <v xml:space="preserve">  </v>
      </c>
      <c r="Q133" s="76" t="str">
        <f>P133</f>
        <v xml:space="preserve">  </v>
      </c>
      <c r="R133" s="77" t="str">
        <f>VLOOKUP(Q133,STN_TABLE,2,FALSE)</f>
        <v xml:space="preserve">  </v>
      </c>
      <c r="S133" s="77">
        <v>8</v>
      </c>
      <c r="T133" s="76" t="e">
        <f>R133*S133</f>
        <v>#VALUE!</v>
      </c>
      <c r="U133" s="80">
        <v>10</v>
      </c>
      <c r="V133" s="76" t="e">
        <f>R133*U133</f>
        <v>#VALUE!</v>
      </c>
      <c r="W133" s="496" t="s">
        <v>97</v>
      </c>
      <c r="X133" s="496"/>
      <c r="Y133" s="496" t="s">
        <v>98</v>
      </c>
      <c r="Z133" s="496"/>
      <c r="AA133" s="494" t="s">
        <v>99</v>
      </c>
      <c r="AB133" s="494"/>
      <c r="AC133" s="99">
        <f>AC128+1</f>
        <v>21</v>
      </c>
      <c r="AD133" s="95" t="str">
        <f>VLOOKUP(AC133,STN_TABLE_2,2,FALSE)</f>
        <v xml:space="preserve">  </v>
      </c>
      <c r="AE133" s="68" t="str">
        <f>VLOOKUP(AD133,STN_TABLE,2,FALSE)</f>
        <v xml:space="preserve">  </v>
      </c>
      <c r="AF133" s="68">
        <v>1</v>
      </c>
      <c r="AG133" s="69" t="e">
        <f>AE133*AF133</f>
        <v>#VALUE!</v>
      </c>
      <c r="AH133" s="496" t="s">
        <v>97</v>
      </c>
      <c r="AI133" s="496"/>
      <c r="AJ133" s="496" t="s">
        <v>98</v>
      </c>
      <c r="AK133" s="496"/>
      <c r="AL133" s="494" t="s">
        <v>99</v>
      </c>
      <c r="AM133" s="494"/>
      <c r="AP133" s="86" t="s">
        <v>112</v>
      </c>
      <c r="AQ133" s="89" t="s">
        <v>113</v>
      </c>
      <c r="AR133" s="89" t="s">
        <v>114</v>
      </c>
      <c r="AS133" s="89" t="s">
        <v>115</v>
      </c>
      <c r="AU133" s="81"/>
    </row>
    <row r="134" spans="1:47" x14ac:dyDescent="0.25">
      <c r="A134" s="84">
        <f>A133+1</f>
        <v>21</v>
      </c>
      <c r="B134" s="84" t="str">
        <f t="shared" si="48"/>
        <v xml:space="preserve">  </v>
      </c>
      <c r="C134" s="88" t="str">
        <f t="shared" ref="C134" si="67">B135</f>
        <v xml:space="preserve">  </v>
      </c>
      <c r="D134" s="82" t="str">
        <f>VLOOKUP(C134,STN_TABLE,2,FALSE)</f>
        <v xml:space="preserve">  </v>
      </c>
      <c r="E134" s="92">
        <v>1</v>
      </c>
      <c r="F134" s="82" t="e">
        <f>D134*E134</f>
        <v>#VALUE!</v>
      </c>
      <c r="G134" s="83" t="str">
        <f>C134</f>
        <v xml:space="preserve">  </v>
      </c>
      <c r="H134" s="83" t="e">
        <f>F134*G134</f>
        <v>#VALUE!</v>
      </c>
      <c r="I134" s="84" t="str">
        <f>CONCATENATE("a'(",C134,")=")</f>
        <v>a'(  )=</v>
      </c>
      <c r="J134" s="84" t="e">
        <f>2*J132/3*F135</f>
        <v>#VALUE!</v>
      </c>
      <c r="K134" s="84" t="e">
        <f>CONCATENATE("A(",C132,")=")</f>
        <v>#VALUE!</v>
      </c>
      <c r="L134" s="84" t="e">
        <f>VLOOKUP(C132,STN_TABLE,3,FALSE)</f>
        <v>#VALUE!</v>
      </c>
      <c r="M134" t="str">
        <f>CONCATENATE("A(",C134,")=")</f>
        <v>A(  )=</v>
      </c>
      <c r="N134" t="e">
        <f>J134+L134</f>
        <v>#VALUE!</v>
      </c>
      <c r="O134" s="99">
        <f>O133+1</f>
        <v>23</v>
      </c>
      <c r="P134" s="99" t="str">
        <f t="shared" si="65"/>
        <v xml:space="preserve">  </v>
      </c>
      <c r="Q134" s="82" t="e">
        <f>IF(P134-P133=P133-P132,P134,IF(P135-P133=P133-P132,P135,IF(P134-P133=P133-P131,P134,IF(P135-P133=P133-P131,P135,"-"))))</f>
        <v>#VALUE!</v>
      </c>
      <c r="R134" s="83" t="e">
        <f>VLOOKUP(Q134,STN_TABLE,2,FALSE)</f>
        <v>#VALUE!</v>
      </c>
      <c r="S134" s="83">
        <v>-1</v>
      </c>
      <c r="T134" s="82" t="e">
        <f>R134*S134</f>
        <v>#VALUE!</v>
      </c>
      <c r="U134" s="88">
        <v>-1</v>
      </c>
      <c r="V134" s="82" t="e">
        <f>R134*U134</f>
        <v>#VALUE!</v>
      </c>
      <c r="W134" s="84" t="str">
        <f>CONCATENATE("a'(",Q133,")=")</f>
        <v>a'(  )=</v>
      </c>
      <c r="X134" s="84" t="e">
        <f>2*X132/12*T135</f>
        <v>#VALUE!</v>
      </c>
      <c r="Y134" s="84" t="e">
        <f>CONCATENATE("A(",Q132,")=")</f>
        <v>#VALUE!</v>
      </c>
      <c r="Z134" s="84" t="e">
        <f>VLOOKUP(Q132,STN_TABLE,3,FALSE)</f>
        <v>#VALUE!</v>
      </c>
      <c r="AA134" t="str">
        <f>CONCATENATE("A(",Q133,")=")</f>
        <v>A(  )=</v>
      </c>
      <c r="AB134" t="e">
        <f>X134+Z134</f>
        <v>#VALUE!</v>
      </c>
      <c r="AC134" s="99">
        <f>AC133+1</f>
        <v>22</v>
      </c>
      <c r="AD134" s="100" t="str">
        <f>VLOOKUP(AC134,STN_TABLE_2,2,FALSE)</f>
        <v xml:space="preserve">  </v>
      </c>
      <c r="AE134" s="82" t="str">
        <f>VLOOKUP(AD134,STN_TABLE,2,FALSE)</f>
        <v xml:space="preserve">  </v>
      </c>
      <c r="AF134" s="82">
        <v>2</v>
      </c>
      <c r="AG134" s="83" t="e">
        <f>AE134*AF134</f>
        <v>#VALUE!</v>
      </c>
      <c r="AH134" s="84" t="str">
        <f>CONCATENATE("a'(",AD134,")=")</f>
        <v>a'(  )=</v>
      </c>
      <c r="AI134" s="84" t="e">
        <f>2*AI132/2*AE135</f>
        <v>#VALUE!</v>
      </c>
      <c r="AJ134" s="84" t="str">
        <f>CONCATENATE("A(",AD133,")=")</f>
        <v>A(  )=</v>
      </c>
      <c r="AK134" s="84" t="str">
        <f>VLOOKUP(AD133,STN_TABLE,3,FALSE)</f>
        <v xml:space="preserve"> </v>
      </c>
      <c r="AL134" t="str">
        <f>CONCATENATE("A(",AD134,")=")</f>
        <v>A(  )=</v>
      </c>
      <c r="AM134" t="e">
        <f>AI134+AK134</f>
        <v>#VALUE!</v>
      </c>
      <c r="AO134" s="68" t="str">
        <f>AA134</f>
        <v>A(  )=</v>
      </c>
      <c r="AP134" s="68" t="e">
        <f>VLOOKUP(AO134,Rise_Results,2,FALSE)</f>
        <v>#N/A</v>
      </c>
      <c r="AQ134" s="76" t="e">
        <f>N134</f>
        <v>#VALUE!</v>
      </c>
      <c r="AR134" s="76" t="e">
        <f>IF(OR(AB134&lt;=0,AB135&lt;=0),1/0,AB134)</f>
        <v>#VALUE!</v>
      </c>
      <c r="AS134" s="76" t="e">
        <f>AM134</f>
        <v>#VALUE!</v>
      </c>
      <c r="AT134" t="e">
        <f>IFERROR(AP134,IFERROR(AQ134,IFERROR(AR134,AS134)))</f>
        <v>#VALUE!</v>
      </c>
      <c r="AU134" s="81"/>
    </row>
    <row r="135" spans="1:47" x14ac:dyDescent="0.25">
      <c r="A135" s="84">
        <f>A134+1</f>
        <v>22</v>
      </c>
      <c r="B135" s="84" t="str">
        <f t="shared" si="48"/>
        <v xml:space="preserve">  </v>
      </c>
      <c r="F135" s="82" t="e">
        <f>SUM(F132:F134)</f>
        <v>#VALUE!</v>
      </c>
      <c r="H135" s="82" t="e">
        <f>SUM(H132:H134)</f>
        <v>#VALUE!</v>
      </c>
      <c r="I135" s="84" t="str">
        <f>CONCATENATE("m'(",C134,")=")</f>
        <v>m'(  )=</v>
      </c>
      <c r="J135" s="84" t="e">
        <f>2*(J132*(WLS))/3*H135</f>
        <v>#VALUE!</v>
      </c>
      <c r="K135" s="84" t="e">
        <f>CONCATENATE("M(",C132,")=")</f>
        <v>#VALUE!</v>
      </c>
      <c r="L135" s="84" t="e">
        <f>VLOOKUP(C132,STN_TABLE,4,FALSE)</f>
        <v>#VALUE!</v>
      </c>
      <c r="M135" t="str">
        <f>CONCATENATE("M(",C134,")=")</f>
        <v>M(  )=</v>
      </c>
      <c r="N135" t="e">
        <f>J135+L135</f>
        <v>#VALUE!</v>
      </c>
      <c r="O135" s="99">
        <f>O134+1</f>
        <v>24</v>
      </c>
      <c r="P135" s="99" t="str">
        <f t="shared" si="65"/>
        <v xml:space="preserve">  </v>
      </c>
      <c r="T135" s="89" t="e">
        <f>SUM(T132:T134)</f>
        <v>#VALUE!</v>
      </c>
      <c r="V135" s="82" t="e">
        <f>SUM(V132:V134)</f>
        <v>#VALUE!</v>
      </c>
      <c r="W135" s="84" t="str">
        <f>CONCATENATE("m'(",Q133,")=")</f>
        <v>m'(  )=</v>
      </c>
      <c r="X135" s="84" t="e">
        <f>(2*(X132^2)/24*V135)+(X134*Q132*WLS)</f>
        <v>#VALUE!</v>
      </c>
      <c r="Y135" s="84" t="e">
        <f>CONCATENATE("M(",Q132,")=")</f>
        <v>#VALUE!</v>
      </c>
      <c r="Z135" s="84" t="e">
        <f>VLOOKUP(Q132,STN_TABLE,4,FALSE)</f>
        <v>#VALUE!</v>
      </c>
      <c r="AA135" t="str">
        <f>CONCATENATE("M(",Q133,")=")</f>
        <v>M(  )=</v>
      </c>
      <c r="AB135" t="e">
        <f>X135+Z135</f>
        <v>#VALUE!</v>
      </c>
      <c r="AE135" s="89">
        <f>SUM(AE133:AE134)</f>
        <v>0</v>
      </c>
      <c r="AG135" s="89" t="e">
        <f>SUM(AG133:AG134)</f>
        <v>#VALUE!</v>
      </c>
      <c r="AH135" s="84" t="str">
        <f>CONCATENATE("m'(",AD134,")=")</f>
        <v>m'(  )=</v>
      </c>
      <c r="AI135" s="84" t="e">
        <f>(2*(AI132^2)/6*AG135)+(AI134*AD133*WLS)</f>
        <v>#VALUE!</v>
      </c>
      <c r="AJ135" s="84" t="str">
        <f>CONCATENATE("M(",AD133,")=")</f>
        <v>M(  )=</v>
      </c>
      <c r="AK135" s="84" t="str">
        <f>VLOOKUP(AD133,STN_TABLE,4,FALSE)</f>
        <v xml:space="preserve"> </v>
      </c>
      <c r="AL135" t="str">
        <f>CONCATENATE("M(",AD134,")=")</f>
        <v>M(  )=</v>
      </c>
      <c r="AM135" t="e">
        <f>AI135+AK135</f>
        <v>#VALUE!</v>
      </c>
      <c r="AO135" s="82" t="str">
        <f>AA135</f>
        <v>M(  )=</v>
      </c>
      <c r="AP135" s="82" t="e">
        <f>VLOOKUP(AO135,Rise_Results,2,FALSE)</f>
        <v>#N/A</v>
      </c>
      <c r="AQ135" s="82" t="e">
        <f>N135</f>
        <v>#VALUE!</v>
      </c>
      <c r="AR135" s="82" t="e">
        <f>IF(OR(AB134&lt;=0,AB135&lt;=0),1/0,AB135)</f>
        <v>#VALUE!</v>
      </c>
      <c r="AS135" s="82" t="e">
        <f>AM135</f>
        <v>#VALUE!</v>
      </c>
      <c r="AT135" t="e">
        <f>IFERROR(AP135,IFERROR(AQ135,IFERROR(AR135,AS135)))</f>
        <v>#VALUE!</v>
      </c>
      <c r="AU135" s="81"/>
    </row>
    <row r="136" spans="1:47" x14ac:dyDescent="0.25">
      <c r="A136" s="101">
        <f>A131+1</f>
        <v>19</v>
      </c>
      <c r="B136" s="101" t="str">
        <f t="shared" si="48"/>
        <v xml:space="preserve">  </v>
      </c>
      <c r="O136" s="101">
        <f>O131+1</f>
        <v>21</v>
      </c>
      <c r="P136" s="101" t="str">
        <f t="shared" si="65"/>
        <v xml:space="preserve">  </v>
      </c>
      <c r="AU136" s="81"/>
    </row>
    <row r="137" spans="1:47" x14ac:dyDescent="0.25">
      <c r="A137" s="84">
        <f>A136+1</f>
        <v>20</v>
      </c>
      <c r="B137" s="84" t="str">
        <f t="shared" si="48"/>
        <v xml:space="preserve">  </v>
      </c>
      <c r="C137" s="79" t="e">
        <f t="shared" ref="C137" si="68">IF(C138=B139,IF(C139-C138=C138-B138,B138,IF(C139-C138=C138-B137,B137,"#NA")),IF(C138=B138,IF(C139-C138=C138-B137,B137,IF(C139-C138=C138-B136,B136,"#NA")),"#NA"))</f>
        <v>#VALUE!</v>
      </c>
      <c r="D137" s="68" t="e">
        <f>VLOOKUP(C137,STN_TABLE,2,FALSE)</f>
        <v>#VALUE!</v>
      </c>
      <c r="E137" s="102">
        <v>1</v>
      </c>
      <c r="F137" s="68" t="e">
        <f>D137*E137</f>
        <v>#VALUE!</v>
      </c>
      <c r="G137" s="69" t="e">
        <f>C137</f>
        <v>#VALUE!</v>
      </c>
      <c r="H137" s="69" t="e">
        <f>F137*G137</f>
        <v>#VALUE!</v>
      </c>
      <c r="I137" s="6" t="s">
        <v>93</v>
      </c>
      <c r="J137" s="70" t="e">
        <f>IF(OR(D137=0,D138=0,D139=0),"#NA",IF(AND(C139-C138=C138-C137,C138&lt;&gt;C139,C137&lt;&gt;C138,C137&lt;&gt;C139,D139&lt;&gt;0,OR(D137&lt;&gt;0,D138&lt;&gt;0)),WLS*(C139-C138),"#NA"))</f>
        <v>#VALUE!</v>
      </c>
      <c r="O137" s="99">
        <f>O136+1</f>
        <v>22</v>
      </c>
      <c r="P137" s="99" t="str">
        <f t="shared" si="65"/>
        <v xml:space="preserve">  </v>
      </c>
      <c r="Q137" s="68" t="e">
        <f>IF(OR(P139-P138=P138-P137,P140-P138=P138-P137),P137,IF(OR(P139-P138=P138-P136,P140-P138=P138-P136),P136,"-"))</f>
        <v>#VALUE!</v>
      </c>
      <c r="R137" s="69" t="e">
        <f>VLOOKUP(Q137,STN_TABLE,2,FALSE)</f>
        <v>#VALUE!</v>
      </c>
      <c r="S137" s="69">
        <v>5</v>
      </c>
      <c r="T137" s="68" t="e">
        <f>R137*S137</f>
        <v>#VALUE!</v>
      </c>
      <c r="U137" s="79">
        <v>3</v>
      </c>
      <c r="V137" s="68" t="e">
        <f>R137*U137</f>
        <v>#VALUE!</v>
      </c>
      <c r="W137" s="6" t="s">
        <v>93</v>
      </c>
      <c r="X137" s="70" t="e">
        <f>IF(AND(Q139-Q138=Q138-Q137,NOT(AND(Q137=0,Q138=0)),NOT(AND(Q138=0,Q139=0))),WLS*(Q139-Q138),"#NA")</f>
        <v>#VALUE!</v>
      </c>
      <c r="AD137" s="93"/>
      <c r="AH137" s="6" t="s">
        <v>93</v>
      </c>
      <c r="AI137" s="70" t="e">
        <f>WLS*(AD139-AD138)</f>
        <v>#VALUE!</v>
      </c>
      <c r="AU137" s="81"/>
    </row>
    <row r="138" spans="1:47" x14ac:dyDescent="0.25">
      <c r="A138" s="84">
        <f>A137+1</f>
        <v>21</v>
      </c>
      <c r="B138" s="84" t="str">
        <f t="shared" ref="B138:B150" si="69">VLOOKUP(A138,STN_TABLE_2,2,FALSE)</f>
        <v xml:space="preserve">  </v>
      </c>
      <c r="C138" s="80" t="e">
        <f t="shared" ref="C138" si="70">IF(OR(B140-B139=B139-B138,B140-B139=B139-B137,B140-B139=B139-B136),B139,IF(OR(B140-B138=B138-B137,B140-B138=B138-B136),B138,IF(B140-B137=B137-B136,B137,"#NA")))</f>
        <v>#VALUE!</v>
      </c>
      <c r="D138" s="76" t="e">
        <f>VLOOKUP(C138,STN_TABLE,2,FALSE)</f>
        <v>#VALUE!</v>
      </c>
      <c r="E138" s="81">
        <v>4</v>
      </c>
      <c r="F138" s="76" t="e">
        <f>D138*E138</f>
        <v>#VALUE!</v>
      </c>
      <c r="G138" s="77" t="e">
        <f>C138</f>
        <v>#VALUE!</v>
      </c>
      <c r="H138" s="77" t="e">
        <f>F138*G138</f>
        <v>#VALUE!</v>
      </c>
      <c r="I138" s="495" t="s">
        <v>97</v>
      </c>
      <c r="J138" s="496"/>
      <c r="K138" s="78" t="s">
        <v>98</v>
      </c>
      <c r="L138" s="78"/>
      <c r="M138" s="7" t="s">
        <v>99</v>
      </c>
      <c r="N138" s="7"/>
      <c r="O138" s="99">
        <f>O137+1</f>
        <v>23</v>
      </c>
      <c r="P138" s="99" t="str">
        <f t="shared" si="65"/>
        <v xml:space="preserve">  </v>
      </c>
      <c r="Q138" s="76" t="str">
        <f>P138</f>
        <v xml:space="preserve">  </v>
      </c>
      <c r="R138" s="77" t="str">
        <f>VLOOKUP(Q138,STN_TABLE,2,FALSE)</f>
        <v xml:space="preserve">  </v>
      </c>
      <c r="S138" s="77">
        <v>8</v>
      </c>
      <c r="T138" s="76" t="e">
        <f>R138*S138</f>
        <v>#VALUE!</v>
      </c>
      <c r="U138" s="80">
        <v>10</v>
      </c>
      <c r="V138" s="76" t="e">
        <f>R138*U138</f>
        <v>#VALUE!</v>
      </c>
      <c r="W138" s="496" t="s">
        <v>97</v>
      </c>
      <c r="X138" s="496"/>
      <c r="Y138" s="496" t="s">
        <v>98</v>
      </c>
      <c r="Z138" s="496"/>
      <c r="AA138" s="494" t="s">
        <v>99</v>
      </c>
      <c r="AB138" s="494"/>
      <c r="AC138" s="99">
        <f>AC133+1</f>
        <v>22</v>
      </c>
      <c r="AD138" s="95" t="str">
        <f>VLOOKUP(AC138,STN_TABLE_2,2,FALSE)</f>
        <v xml:space="preserve">  </v>
      </c>
      <c r="AE138" s="68" t="str">
        <f>VLOOKUP(AD138,STN_TABLE,2,FALSE)</f>
        <v xml:space="preserve">  </v>
      </c>
      <c r="AF138" s="68">
        <v>1</v>
      </c>
      <c r="AG138" s="69" t="e">
        <f>AE138*AF138</f>
        <v>#VALUE!</v>
      </c>
      <c r="AH138" s="496" t="s">
        <v>97</v>
      </c>
      <c r="AI138" s="496"/>
      <c r="AJ138" s="496" t="s">
        <v>98</v>
      </c>
      <c r="AK138" s="496"/>
      <c r="AL138" s="494" t="s">
        <v>99</v>
      </c>
      <c r="AM138" s="494"/>
      <c r="AP138" s="86" t="s">
        <v>112</v>
      </c>
      <c r="AQ138" s="89" t="s">
        <v>113</v>
      </c>
      <c r="AR138" s="89" t="s">
        <v>114</v>
      </c>
      <c r="AS138" s="89" t="s">
        <v>115</v>
      </c>
      <c r="AU138" s="81"/>
    </row>
    <row r="139" spans="1:47" x14ac:dyDescent="0.25">
      <c r="A139" s="84">
        <f>A138+1</f>
        <v>22</v>
      </c>
      <c r="B139" s="84" t="str">
        <f t="shared" si="69"/>
        <v xml:space="preserve">  </v>
      </c>
      <c r="C139" s="88" t="str">
        <f t="shared" ref="C139" si="71">B140</f>
        <v xml:space="preserve">  </v>
      </c>
      <c r="D139" s="82" t="str">
        <f>VLOOKUP(C139,STN_TABLE,2,FALSE)</f>
        <v xml:space="preserve">  </v>
      </c>
      <c r="E139" s="92">
        <v>1</v>
      </c>
      <c r="F139" s="82" t="e">
        <f>D139*E139</f>
        <v>#VALUE!</v>
      </c>
      <c r="G139" s="83" t="str">
        <f>C139</f>
        <v xml:space="preserve">  </v>
      </c>
      <c r="H139" s="83" t="e">
        <f>F139*G139</f>
        <v>#VALUE!</v>
      </c>
      <c r="I139" s="84" t="str">
        <f>CONCATENATE("a'(",C139,")=")</f>
        <v>a'(  )=</v>
      </c>
      <c r="J139" s="84" t="e">
        <f>2*J137/3*F140</f>
        <v>#VALUE!</v>
      </c>
      <c r="K139" s="84" t="e">
        <f>CONCATENATE("A(",C137,")=")</f>
        <v>#VALUE!</v>
      </c>
      <c r="L139" s="84" t="e">
        <f>VLOOKUP(C137,STN_TABLE,3,FALSE)</f>
        <v>#VALUE!</v>
      </c>
      <c r="M139" t="str">
        <f>CONCATENATE("A(",C139,")=")</f>
        <v>A(  )=</v>
      </c>
      <c r="N139" t="e">
        <f>J139+L139</f>
        <v>#VALUE!</v>
      </c>
      <c r="O139" s="99">
        <f>O138+1</f>
        <v>24</v>
      </c>
      <c r="P139" s="99" t="str">
        <f t="shared" si="65"/>
        <v xml:space="preserve">  </v>
      </c>
      <c r="Q139" s="82" t="e">
        <f>IF(P139-P138=P138-P137,P139,IF(P140-P138=P138-P137,P140,IF(P139-P138=P138-P136,P139,IF(P140-P138=P138-P136,P140,"-"))))</f>
        <v>#VALUE!</v>
      </c>
      <c r="R139" s="83" t="e">
        <f>VLOOKUP(Q139,STN_TABLE,2,FALSE)</f>
        <v>#VALUE!</v>
      </c>
      <c r="S139" s="83">
        <v>-1</v>
      </c>
      <c r="T139" s="82" t="e">
        <f>R139*S139</f>
        <v>#VALUE!</v>
      </c>
      <c r="U139" s="88">
        <v>-1</v>
      </c>
      <c r="V139" s="82" t="e">
        <f>R139*U139</f>
        <v>#VALUE!</v>
      </c>
      <c r="W139" s="84" t="str">
        <f>CONCATENATE("a'(",Q138,")=")</f>
        <v>a'(  )=</v>
      </c>
      <c r="X139" s="84" t="e">
        <f>2*X137/12*T140</f>
        <v>#VALUE!</v>
      </c>
      <c r="Y139" s="84" t="e">
        <f>CONCATENATE("A(",Q137,")=")</f>
        <v>#VALUE!</v>
      </c>
      <c r="Z139" s="84" t="e">
        <f>VLOOKUP(Q137,STN_TABLE,3,FALSE)</f>
        <v>#VALUE!</v>
      </c>
      <c r="AA139" t="str">
        <f>CONCATENATE("A(",Q138,")=")</f>
        <v>A(  )=</v>
      </c>
      <c r="AB139" t="e">
        <f>X139+Z139</f>
        <v>#VALUE!</v>
      </c>
      <c r="AC139" s="99">
        <f>AC138+1</f>
        <v>23</v>
      </c>
      <c r="AD139" s="100" t="str">
        <f>VLOOKUP(AC139,STN_TABLE_2,2,FALSE)</f>
        <v xml:space="preserve">  </v>
      </c>
      <c r="AE139" s="82" t="str">
        <f>VLOOKUP(AD139,STN_TABLE,2,FALSE)</f>
        <v xml:space="preserve">  </v>
      </c>
      <c r="AF139" s="82">
        <v>2</v>
      </c>
      <c r="AG139" s="83" t="e">
        <f>AE139*AF139</f>
        <v>#VALUE!</v>
      </c>
      <c r="AH139" s="84" t="str">
        <f>CONCATENATE("a'(",AD139,")=")</f>
        <v>a'(  )=</v>
      </c>
      <c r="AI139" s="84" t="e">
        <f>2*AI137/2*AE140</f>
        <v>#VALUE!</v>
      </c>
      <c r="AJ139" s="84" t="str">
        <f>CONCATENATE("A(",AD138,")=")</f>
        <v>A(  )=</v>
      </c>
      <c r="AK139" s="84" t="str">
        <f>VLOOKUP(AD138,STN_TABLE,3,FALSE)</f>
        <v xml:space="preserve"> </v>
      </c>
      <c r="AL139" t="str">
        <f>CONCATENATE("A(",AD139,")=")</f>
        <v>A(  )=</v>
      </c>
      <c r="AM139" t="e">
        <f>AI139+AK139</f>
        <v>#VALUE!</v>
      </c>
      <c r="AO139" s="68" t="str">
        <f>AA139</f>
        <v>A(  )=</v>
      </c>
      <c r="AP139" s="68" t="e">
        <f>VLOOKUP(AO139,Rise_Results,2,FALSE)</f>
        <v>#N/A</v>
      </c>
      <c r="AQ139" s="76" t="e">
        <f>N139</f>
        <v>#VALUE!</v>
      </c>
      <c r="AR139" s="76" t="e">
        <f>IF(OR(AB139&lt;=0,AB140&lt;=0),1/0,AB139)</f>
        <v>#VALUE!</v>
      </c>
      <c r="AS139" s="76" t="e">
        <f>AM139</f>
        <v>#VALUE!</v>
      </c>
      <c r="AT139" t="e">
        <f>IFERROR(AP139,IFERROR(AQ139,IFERROR(AR139,AS139)))</f>
        <v>#VALUE!</v>
      </c>
      <c r="AU139" s="81"/>
    </row>
    <row r="140" spans="1:47" x14ac:dyDescent="0.25">
      <c r="A140" s="84">
        <f>A139+1</f>
        <v>23</v>
      </c>
      <c r="B140" s="84" t="str">
        <f t="shared" si="69"/>
        <v xml:space="preserve">  </v>
      </c>
      <c r="F140" s="82" t="e">
        <f>SUM(F137:F139)</f>
        <v>#VALUE!</v>
      </c>
      <c r="H140" s="82" t="e">
        <f>SUM(H137:H139)</f>
        <v>#VALUE!</v>
      </c>
      <c r="I140" s="84" t="str">
        <f>CONCATENATE("m'(",C139,")=")</f>
        <v>m'(  )=</v>
      </c>
      <c r="J140" s="84" t="e">
        <f>2*(J137*(WLS))/3*H140</f>
        <v>#VALUE!</v>
      </c>
      <c r="K140" s="84" t="e">
        <f>CONCATENATE("M(",C137,")=")</f>
        <v>#VALUE!</v>
      </c>
      <c r="L140" s="84" t="e">
        <f>VLOOKUP(C137,STN_TABLE,4,FALSE)</f>
        <v>#VALUE!</v>
      </c>
      <c r="M140" t="str">
        <f>CONCATENATE("M(",C139,")=")</f>
        <v>M(  )=</v>
      </c>
      <c r="N140" t="e">
        <f>J140+L140</f>
        <v>#VALUE!</v>
      </c>
      <c r="O140" s="99">
        <f>O139+1</f>
        <v>25</v>
      </c>
      <c r="P140" s="99" t="str">
        <f t="shared" si="65"/>
        <v xml:space="preserve">  </v>
      </c>
      <c r="T140" s="89" t="e">
        <f>SUM(T137:T139)</f>
        <v>#VALUE!</v>
      </c>
      <c r="V140" s="82" t="e">
        <f>SUM(V137:V139)</f>
        <v>#VALUE!</v>
      </c>
      <c r="W140" s="84" t="str">
        <f>CONCATENATE("m'(",Q138,")=")</f>
        <v>m'(  )=</v>
      </c>
      <c r="X140" s="84" t="e">
        <f>(2*(X137^2)/24*V140)+(X139*Q137*WLS)</f>
        <v>#VALUE!</v>
      </c>
      <c r="Y140" s="84" t="e">
        <f>CONCATENATE("M(",Q137,")=")</f>
        <v>#VALUE!</v>
      </c>
      <c r="Z140" s="84" t="e">
        <f>VLOOKUP(Q137,STN_TABLE,4,FALSE)</f>
        <v>#VALUE!</v>
      </c>
      <c r="AA140" t="str">
        <f>CONCATENATE("M(",Q138,")=")</f>
        <v>M(  )=</v>
      </c>
      <c r="AB140" t="e">
        <f>X140+Z140</f>
        <v>#VALUE!</v>
      </c>
      <c r="AE140" s="89">
        <f>SUM(AE138:AE139)</f>
        <v>0</v>
      </c>
      <c r="AG140" s="89" t="e">
        <f>SUM(AG138:AG139)</f>
        <v>#VALUE!</v>
      </c>
      <c r="AH140" s="84" t="str">
        <f>CONCATENATE("m'(",AD139,")=")</f>
        <v>m'(  )=</v>
      </c>
      <c r="AI140" s="84" t="e">
        <f>(2*(AI137^2)/6*AG140)+(AI139*AD138*WLS)</f>
        <v>#VALUE!</v>
      </c>
      <c r="AJ140" s="84" t="str">
        <f>CONCATENATE("M(",AD138,")=")</f>
        <v>M(  )=</v>
      </c>
      <c r="AK140" s="84" t="str">
        <f>VLOOKUP(AD138,STN_TABLE,4,FALSE)</f>
        <v xml:space="preserve"> </v>
      </c>
      <c r="AL140" t="str">
        <f>CONCATENATE("M(",AD139,")=")</f>
        <v>M(  )=</v>
      </c>
      <c r="AM140" t="e">
        <f>AI140+AK140</f>
        <v>#VALUE!</v>
      </c>
      <c r="AO140" s="82" t="str">
        <f>AA140</f>
        <v>M(  )=</v>
      </c>
      <c r="AP140" s="82" t="e">
        <f>VLOOKUP(AO140,Rise_Results,2,FALSE)</f>
        <v>#N/A</v>
      </c>
      <c r="AQ140" s="82" t="e">
        <f>N140</f>
        <v>#VALUE!</v>
      </c>
      <c r="AR140" s="82" t="e">
        <f>IF(OR(AB139&lt;=0,AB140&lt;=0),1/0,AB140)</f>
        <v>#VALUE!</v>
      </c>
      <c r="AS140" s="82" t="e">
        <f>AM140</f>
        <v>#VALUE!</v>
      </c>
      <c r="AT140" t="e">
        <f>IFERROR(AP140,IFERROR(AQ140,IFERROR(AR140,AS140)))</f>
        <v>#VALUE!</v>
      </c>
      <c r="AU140" s="81"/>
    </row>
    <row r="141" spans="1:47" x14ac:dyDescent="0.25">
      <c r="A141" s="101">
        <f>A136+1</f>
        <v>20</v>
      </c>
      <c r="B141" s="101" t="str">
        <f t="shared" si="69"/>
        <v xml:space="preserve">  </v>
      </c>
      <c r="O141" s="101">
        <f>O136+1</f>
        <v>22</v>
      </c>
      <c r="P141" s="101" t="str">
        <f t="shared" si="65"/>
        <v xml:space="preserve">  </v>
      </c>
      <c r="AU141" s="81"/>
    </row>
    <row r="142" spans="1:47" x14ac:dyDescent="0.25">
      <c r="A142" s="84">
        <f>A141+1</f>
        <v>21</v>
      </c>
      <c r="B142" s="84" t="str">
        <f t="shared" si="69"/>
        <v xml:space="preserve">  </v>
      </c>
      <c r="C142" s="79" t="e">
        <f t="shared" ref="C142" si="72">IF(C143=B144,IF(C144-C143=C143-B143,B143,IF(C144-C143=C143-B142,B142,"#NA")),IF(C143=B143,IF(C144-C143=C143-B142,B142,IF(C144-C143=C143-B141,B141,"#NA")),"#NA"))</f>
        <v>#VALUE!</v>
      </c>
      <c r="D142" s="68" t="e">
        <f>VLOOKUP(C142,STN_TABLE,2,FALSE)</f>
        <v>#VALUE!</v>
      </c>
      <c r="E142" s="102">
        <v>1</v>
      </c>
      <c r="F142" s="68" t="e">
        <f>D142*E142</f>
        <v>#VALUE!</v>
      </c>
      <c r="G142" s="69" t="e">
        <f>C142</f>
        <v>#VALUE!</v>
      </c>
      <c r="H142" s="69" t="e">
        <f>F142*G142</f>
        <v>#VALUE!</v>
      </c>
      <c r="I142" s="6" t="s">
        <v>93</v>
      </c>
      <c r="J142" s="70" t="e">
        <f>IF(OR(D142=0,D143=0,D144=0),"#NA",IF(AND(C144-C143=C143-C142,C143&lt;&gt;C144,C142&lt;&gt;C143,C142&lt;&gt;C144,D144&lt;&gt;0,OR(D142&lt;&gt;0,D143&lt;&gt;0)),WLS*(C144-C143),"#NA"))</f>
        <v>#VALUE!</v>
      </c>
      <c r="O142" s="99">
        <f>O141+1</f>
        <v>23</v>
      </c>
      <c r="P142" s="99" t="str">
        <f t="shared" si="65"/>
        <v xml:space="preserve">  </v>
      </c>
      <c r="Q142" s="68" t="e">
        <f>IF(OR(P144-P143=P143-P142,P145-P143=P143-P142),P142,IF(OR(P144-P143=P143-P141,P145-P143=P143-P141),P141,"-"))</f>
        <v>#VALUE!</v>
      </c>
      <c r="R142" s="69" t="e">
        <f>VLOOKUP(Q142,STN_TABLE,2,FALSE)</f>
        <v>#VALUE!</v>
      </c>
      <c r="S142" s="69">
        <v>5</v>
      </c>
      <c r="T142" s="68" t="e">
        <f>R142*S142</f>
        <v>#VALUE!</v>
      </c>
      <c r="U142" s="79">
        <v>3</v>
      </c>
      <c r="V142" s="68" t="e">
        <f>R142*U142</f>
        <v>#VALUE!</v>
      </c>
      <c r="W142" s="6" t="s">
        <v>93</v>
      </c>
      <c r="X142" s="70" t="e">
        <f>IF(AND(Q144-Q143=Q143-Q142,NOT(AND(Q142=0,Q143=0)),NOT(AND(Q143=0,Q144=0))),WLS*(Q144-Q143),"#NA")</f>
        <v>#VALUE!</v>
      </c>
      <c r="AD142" s="93"/>
      <c r="AH142" s="6" t="s">
        <v>93</v>
      </c>
      <c r="AI142" s="70" t="e">
        <f>WLS*(AD144-AD143)</f>
        <v>#VALUE!</v>
      </c>
      <c r="AU142" s="81"/>
    </row>
    <row r="143" spans="1:47" x14ac:dyDescent="0.25">
      <c r="A143" s="84">
        <f>A142+1</f>
        <v>22</v>
      </c>
      <c r="B143" s="84" t="str">
        <f t="shared" si="69"/>
        <v xml:space="preserve">  </v>
      </c>
      <c r="C143" s="80" t="e">
        <f t="shared" ref="C143" si="73">IF(OR(B145-B144=B144-B143,B145-B144=B144-B142,B145-B144=B144-B141),B144,IF(OR(B145-B143=B143-B142,B145-B143=B143-B141),B143,IF(B145-B142=B142-B141,B142,"#NA")))</f>
        <v>#VALUE!</v>
      </c>
      <c r="D143" s="76" t="e">
        <f>VLOOKUP(C143,STN_TABLE,2,FALSE)</f>
        <v>#VALUE!</v>
      </c>
      <c r="E143" s="81">
        <v>4</v>
      </c>
      <c r="F143" s="76" t="e">
        <f>D143*E143</f>
        <v>#VALUE!</v>
      </c>
      <c r="G143" s="77" t="e">
        <f>C143</f>
        <v>#VALUE!</v>
      </c>
      <c r="H143" s="77" t="e">
        <f>F143*G143</f>
        <v>#VALUE!</v>
      </c>
      <c r="I143" s="495" t="s">
        <v>97</v>
      </c>
      <c r="J143" s="496"/>
      <c r="K143" s="78" t="s">
        <v>98</v>
      </c>
      <c r="L143" s="78"/>
      <c r="M143" s="7" t="s">
        <v>99</v>
      </c>
      <c r="N143" s="7"/>
      <c r="O143" s="99">
        <f>O142+1</f>
        <v>24</v>
      </c>
      <c r="P143" s="99" t="str">
        <f t="shared" si="65"/>
        <v xml:space="preserve">  </v>
      </c>
      <c r="Q143" s="76" t="str">
        <f>P143</f>
        <v xml:space="preserve">  </v>
      </c>
      <c r="R143" s="77" t="str">
        <f>VLOOKUP(Q143,STN_TABLE,2,FALSE)</f>
        <v xml:space="preserve">  </v>
      </c>
      <c r="S143" s="77">
        <v>8</v>
      </c>
      <c r="T143" s="76" t="e">
        <f>R143*S143</f>
        <v>#VALUE!</v>
      </c>
      <c r="U143" s="80">
        <v>10</v>
      </c>
      <c r="V143" s="76" t="e">
        <f>R143*U143</f>
        <v>#VALUE!</v>
      </c>
      <c r="W143" s="496" t="s">
        <v>97</v>
      </c>
      <c r="X143" s="496"/>
      <c r="Y143" s="496" t="s">
        <v>98</v>
      </c>
      <c r="Z143" s="496"/>
      <c r="AA143" s="494" t="s">
        <v>99</v>
      </c>
      <c r="AB143" s="494"/>
      <c r="AC143" s="99">
        <f>AC138+1</f>
        <v>23</v>
      </c>
      <c r="AD143" s="95" t="str">
        <f>VLOOKUP(AC143,STN_TABLE_2,2,FALSE)</f>
        <v xml:space="preserve">  </v>
      </c>
      <c r="AE143" s="68" t="str">
        <f>VLOOKUP(AD143,STN_TABLE,2,FALSE)</f>
        <v xml:space="preserve">  </v>
      </c>
      <c r="AF143" s="68">
        <v>1</v>
      </c>
      <c r="AG143" s="69" t="e">
        <f>AE143*AF143</f>
        <v>#VALUE!</v>
      </c>
      <c r="AH143" s="496" t="s">
        <v>97</v>
      </c>
      <c r="AI143" s="496"/>
      <c r="AJ143" s="496" t="s">
        <v>98</v>
      </c>
      <c r="AK143" s="496"/>
      <c r="AL143" s="494" t="s">
        <v>99</v>
      </c>
      <c r="AM143" s="494"/>
      <c r="AP143" s="86" t="s">
        <v>112</v>
      </c>
      <c r="AQ143" s="89" t="s">
        <v>113</v>
      </c>
      <c r="AR143" s="89" t="s">
        <v>114</v>
      </c>
      <c r="AS143" s="89" t="s">
        <v>115</v>
      </c>
      <c r="AU143" s="81"/>
    </row>
    <row r="144" spans="1:47" x14ac:dyDescent="0.25">
      <c r="A144" s="84">
        <f>A143+1</f>
        <v>23</v>
      </c>
      <c r="B144" s="84" t="str">
        <f t="shared" si="69"/>
        <v xml:space="preserve">  </v>
      </c>
      <c r="C144" s="88" t="str">
        <f t="shared" ref="C144" si="74">B145</f>
        <v xml:space="preserve">  </v>
      </c>
      <c r="D144" s="82" t="str">
        <f>VLOOKUP(C144,STN_TABLE,2,FALSE)</f>
        <v xml:space="preserve">  </v>
      </c>
      <c r="E144" s="92">
        <v>1</v>
      </c>
      <c r="F144" s="82" t="e">
        <f>D144*E144</f>
        <v>#VALUE!</v>
      </c>
      <c r="G144" s="83" t="str">
        <f>C144</f>
        <v xml:space="preserve">  </v>
      </c>
      <c r="H144" s="83" t="e">
        <f>F144*G144</f>
        <v>#VALUE!</v>
      </c>
      <c r="I144" s="84" t="str">
        <f>CONCATENATE("a'(",C144,")=")</f>
        <v>a'(  )=</v>
      </c>
      <c r="J144" s="84" t="e">
        <f>2*J142/3*F145</f>
        <v>#VALUE!</v>
      </c>
      <c r="K144" s="84" t="e">
        <f>CONCATENATE("A(",C142,")=")</f>
        <v>#VALUE!</v>
      </c>
      <c r="L144" s="84" t="e">
        <f>VLOOKUP(C142,STN_TABLE,3,FALSE)</f>
        <v>#VALUE!</v>
      </c>
      <c r="M144" t="str">
        <f>CONCATENATE("A(",C144,")=")</f>
        <v>A(  )=</v>
      </c>
      <c r="N144" t="e">
        <f>J144+L144</f>
        <v>#VALUE!</v>
      </c>
      <c r="O144" s="99">
        <f>O143+1</f>
        <v>25</v>
      </c>
      <c r="P144" s="99" t="str">
        <f t="shared" si="65"/>
        <v xml:space="preserve">  </v>
      </c>
      <c r="Q144" s="82" t="e">
        <f>IF(P144-P143=P143-P142,P144,IF(P145-P143=P143-P142,P145,IF(P144-P143=P143-P141,P144,IF(P145-P143=P143-P141,P145,"-"))))</f>
        <v>#VALUE!</v>
      </c>
      <c r="R144" s="83" t="e">
        <f>VLOOKUP(Q144,STN_TABLE,2,FALSE)</f>
        <v>#VALUE!</v>
      </c>
      <c r="S144" s="83">
        <v>-1</v>
      </c>
      <c r="T144" s="82" t="e">
        <f>R144*S144</f>
        <v>#VALUE!</v>
      </c>
      <c r="U144" s="88">
        <v>-1</v>
      </c>
      <c r="V144" s="82" t="e">
        <f>R144*U144</f>
        <v>#VALUE!</v>
      </c>
      <c r="W144" s="84" t="str">
        <f>CONCATENATE("a'(",Q143,")=")</f>
        <v>a'(  )=</v>
      </c>
      <c r="X144" s="84" t="e">
        <f>2*X142/12*T145</f>
        <v>#VALUE!</v>
      </c>
      <c r="Y144" s="84" t="e">
        <f>CONCATENATE("A(",Q142,")=")</f>
        <v>#VALUE!</v>
      </c>
      <c r="Z144" s="84" t="e">
        <f>VLOOKUP(Q142,STN_TABLE,3,FALSE)</f>
        <v>#VALUE!</v>
      </c>
      <c r="AA144" t="str">
        <f>CONCATENATE("A(",Q143,")=")</f>
        <v>A(  )=</v>
      </c>
      <c r="AB144" t="e">
        <f>X144+Z144</f>
        <v>#VALUE!</v>
      </c>
      <c r="AC144" s="99">
        <f>AC143+1</f>
        <v>24</v>
      </c>
      <c r="AD144" s="100" t="str">
        <f>VLOOKUP(AC144,STN_TABLE_2,2,FALSE)</f>
        <v xml:space="preserve">  </v>
      </c>
      <c r="AE144" s="82" t="str">
        <f>VLOOKUP(AD144,STN_TABLE,2,FALSE)</f>
        <v xml:space="preserve">  </v>
      </c>
      <c r="AF144" s="82">
        <v>2</v>
      </c>
      <c r="AG144" s="83" t="e">
        <f>AE144*AF144</f>
        <v>#VALUE!</v>
      </c>
      <c r="AH144" s="84" t="str">
        <f>CONCATENATE("a'(",AD144,")=")</f>
        <v>a'(  )=</v>
      </c>
      <c r="AI144" s="84" t="e">
        <f>2*AI142/2*AE145</f>
        <v>#VALUE!</v>
      </c>
      <c r="AJ144" s="84" t="str">
        <f>CONCATENATE("A(",AD143,")=")</f>
        <v>A(  )=</v>
      </c>
      <c r="AK144" s="84" t="str">
        <f>VLOOKUP(AD143,STN_TABLE,3,FALSE)</f>
        <v xml:space="preserve"> </v>
      </c>
      <c r="AL144" t="str">
        <f>CONCATENATE("A(",AD144,")=")</f>
        <v>A(  )=</v>
      </c>
      <c r="AM144" t="e">
        <f>AI144+AK144</f>
        <v>#VALUE!</v>
      </c>
      <c r="AO144" s="68" t="str">
        <f>AA144</f>
        <v>A(  )=</v>
      </c>
      <c r="AP144" s="68" t="e">
        <f>VLOOKUP(AO144,Rise_Results,2,FALSE)</f>
        <v>#N/A</v>
      </c>
      <c r="AQ144" s="76" t="e">
        <f>N144</f>
        <v>#VALUE!</v>
      </c>
      <c r="AR144" s="76" t="e">
        <f>IF(OR(AB144&lt;=0,AB145&lt;=0),1/0,AB144)</f>
        <v>#VALUE!</v>
      </c>
      <c r="AS144" s="76" t="e">
        <f>AM144</f>
        <v>#VALUE!</v>
      </c>
      <c r="AT144" t="e">
        <f>IFERROR(AP144,IFERROR(AQ144,IFERROR(AR144,AS144)))</f>
        <v>#VALUE!</v>
      </c>
      <c r="AU144" s="81"/>
    </row>
    <row r="145" spans="1:47" x14ac:dyDescent="0.25">
      <c r="A145" s="84">
        <f>A144+1</f>
        <v>24</v>
      </c>
      <c r="B145" s="84" t="str">
        <f t="shared" si="69"/>
        <v xml:space="preserve">  </v>
      </c>
      <c r="F145" s="82" t="e">
        <f>SUM(F142:F144)</f>
        <v>#VALUE!</v>
      </c>
      <c r="H145" s="82" t="e">
        <f>SUM(H142:H144)</f>
        <v>#VALUE!</v>
      </c>
      <c r="I145" s="84" t="str">
        <f>CONCATENATE("m'(",C144,")=")</f>
        <v>m'(  )=</v>
      </c>
      <c r="J145" s="84" t="e">
        <f>2*(J142*(WLS))/3*H145</f>
        <v>#VALUE!</v>
      </c>
      <c r="K145" s="84" t="e">
        <f>CONCATENATE("M(",C142,")=")</f>
        <v>#VALUE!</v>
      </c>
      <c r="L145" s="84" t="e">
        <f>VLOOKUP(C142,STN_TABLE,4,FALSE)</f>
        <v>#VALUE!</v>
      </c>
      <c r="M145" t="str">
        <f>CONCATENATE("M(",C144,")=")</f>
        <v>M(  )=</v>
      </c>
      <c r="N145" t="e">
        <f>J145+L145</f>
        <v>#VALUE!</v>
      </c>
      <c r="O145" s="99">
        <f>O144+1</f>
        <v>26</v>
      </c>
      <c r="P145" s="99" t="e">
        <f t="shared" si="65"/>
        <v>#N/A</v>
      </c>
      <c r="T145" s="89" t="e">
        <f>SUM(T142:T144)</f>
        <v>#VALUE!</v>
      </c>
      <c r="V145" s="82" t="e">
        <f>SUM(V142:V144)</f>
        <v>#VALUE!</v>
      </c>
      <c r="W145" s="84" t="str">
        <f>CONCATENATE("m'(",Q143,")=")</f>
        <v>m'(  )=</v>
      </c>
      <c r="X145" s="84" t="e">
        <f>(2*(X142^2)/24*V145)+(X144*Q142*WLS)</f>
        <v>#VALUE!</v>
      </c>
      <c r="Y145" s="84" t="e">
        <f>CONCATENATE("M(",Q142,")=")</f>
        <v>#VALUE!</v>
      </c>
      <c r="Z145" s="84" t="e">
        <f>VLOOKUP(Q142,STN_TABLE,4,FALSE)</f>
        <v>#VALUE!</v>
      </c>
      <c r="AA145" t="str">
        <f>CONCATENATE("M(",Q143,")=")</f>
        <v>M(  )=</v>
      </c>
      <c r="AB145" t="e">
        <f>X145+Z145</f>
        <v>#VALUE!</v>
      </c>
      <c r="AE145" s="89">
        <f>SUM(AE143:AE144)</f>
        <v>0</v>
      </c>
      <c r="AG145" s="89" t="e">
        <f>SUM(AG143:AG144)</f>
        <v>#VALUE!</v>
      </c>
      <c r="AH145" s="84" t="str">
        <f>CONCATENATE("m'(",AD144,")=")</f>
        <v>m'(  )=</v>
      </c>
      <c r="AI145" s="84" t="e">
        <f>(2*(AI142^2)/6*AG145)+(AI144*AD143*WLS)</f>
        <v>#VALUE!</v>
      </c>
      <c r="AJ145" s="84" t="str">
        <f>CONCATENATE("M(",AD143,")=")</f>
        <v>M(  )=</v>
      </c>
      <c r="AK145" s="84" t="str">
        <f>VLOOKUP(AD143,STN_TABLE,4,FALSE)</f>
        <v xml:space="preserve"> </v>
      </c>
      <c r="AL145" t="str">
        <f>CONCATENATE("M(",AD144,")=")</f>
        <v>M(  )=</v>
      </c>
      <c r="AM145" t="e">
        <f>AI145+AK145</f>
        <v>#VALUE!</v>
      </c>
      <c r="AO145" s="82" t="str">
        <f>AA145</f>
        <v>M(  )=</v>
      </c>
      <c r="AP145" s="82" t="e">
        <f>VLOOKUP(AO145,Rise_Results,2,FALSE)</f>
        <v>#N/A</v>
      </c>
      <c r="AQ145" s="82" t="e">
        <f>N145</f>
        <v>#VALUE!</v>
      </c>
      <c r="AR145" s="82" t="e">
        <f>IF(OR(AB144&lt;=0,AB145&lt;=0),1/0,AB145)</f>
        <v>#VALUE!</v>
      </c>
      <c r="AS145" s="82" t="e">
        <f>AM145</f>
        <v>#VALUE!</v>
      </c>
      <c r="AT145" t="e">
        <f>IFERROR(AP145,IFERROR(AQ145,IFERROR(AR145,AS145)))</f>
        <v>#VALUE!</v>
      </c>
      <c r="AU145" s="81"/>
    </row>
    <row r="146" spans="1:47" x14ac:dyDescent="0.25">
      <c r="A146" s="101">
        <f>A141+1</f>
        <v>21</v>
      </c>
      <c r="B146" s="101" t="str">
        <f t="shared" si="69"/>
        <v xml:space="preserve">  </v>
      </c>
      <c r="O146" s="101">
        <f>O141+1</f>
        <v>23</v>
      </c>
      <c r="P146" s="101" t="str">
        <f t="shared" si="65"/>
        <v xml:space="preserve">  </v>
      </c>
      <c r="AU146" s="81"/>
    </row>
    <row r="147" spans="1:47" x14ac:dyDescent="0.25">
      <c r="A147" s="84">
        <f>A146+1</f>
        <v>22</v>
      </c>
      <c r="B147" s="84" t="str">
        <f t="shared" si="69"/>
        <v xml:space="preserve">  </v>
      </c>
      <c r="C147" s="79" t="e">
        <f t="shared" ref="C147" si="75">IF(C148=B149,IF(C149-C148=C148-B148,B148,IF(C149-C148=C148-B147,B147,"#NA")),IF(C148=B148,IF(C149-C148=C148-B147,B147,IF(C149-C148=C148-B146,B146,"#NA")),"#NA"))</f>
        <v>#VALUE!</v>
      </c>
      <c r="D147" s="68" t="e">
        <f>VLOOKUP(C147,STN_TABLE,2,FALSE)</f>
        <v>#VALUE!</v>
      </c>
      <c r="E147" s="102">
        <v>1</v>
      </c>
      <c r="F147" s="68" t="e">
        <f>D147*E147</f>
        <v>#VALUE!</v>
      </c>
      <c r="G147" s="69" t="e">
        <f>C147</f>
        <v>#VALUE!</v>
      </c>
      <c r="H147" s="69" t="e">
        <f>F147*G147</f>
        <v>#VALUE!</v>
      </c>
      <c r="I147" s="6" t="s">
        <v>93</v>
      </c>
      <c r="J147" s="70" t="e">
        <f>IF(OR(D147=0,D148=0,D149=0),"#NA",IF(AND(C149-C148=C148-C147,C148&lt;&gt;C149,C147&lt;&gt;C148,C147&lt;&gt;C149,D149&lt;&gt;0,OR(D147&lt;&gt;0,D148&lt;&gt;0)),WLS*(C149-C148),"#NA"))</f>
        <v>#VALUE!</v>
      </c>
      <c r="O147" s="99">
        <f>O146+1</f>
        <v>24</v>
      </c>
      <c r="P147" s="99" t="str">
        <f t="shared" si="65"/>
        <v xml:space="preserve">  </v>
      </c>
      <c r="Q147" s="68" t="e">
        <f>IF(OR(P149-P148=P148-P147,P150-P148=P148-P147),P147,IF(OR(P149-P148=P148-P146,P150-P148=P148-P146),P146,"-"))</f>
        <v>#N/A</v>
      </c>
      <c r="R147" s="69" t="e">
        <f>VLOOKUP(Q147,STN_TABLE,2,FALSE)</f>
        <v>#N/A</v>
      </c>
      <c r="S147" s="69">
        <v>5</v>
      </c>
      <c r="T147" s="68" t="e">
        <f>R147*S147</f>
        <v>#N/A</v>
      </c>
      <c r="U147" s="79">
        <v>3</v>
      </c>
      <c r="V147" s="68" t="e">
        <f>R147*U147</f>
        <v>#N/A</v>
      </c>
      <c r="W147" s="6" t="s">
        <v>93</v>
      </c>
      <c r="X147" s="70" t="e">
        <f>IF(AND(Q149-Q148=Q148-Q147,NOT(AND(Q147=0,Q148=0)),NOT(AND(Q148=0,Q149=0))),WLS*(Q149-Q148),"#NA")</f>
        <v>#N/A</v>
      </c>
      <c r="AD147" s="93"/>
      <c r="AH147" s="6" t="s">
        <v>93</v>
      </c>
      <c r="AI147" s="70" t="e">
        <f>WLS*(AD149-AD148)</f>
        <v>#VALUE!</v>
      </c>
      <c r="AU147" s="81"/>
    </row>
    <row r="148" spans="1:47" x14ac:dyDescent="0.25">
      <c r="A148" s="84">
        <f>A147+1</f>
        <v>23</v>
      </c>
      <c r="B148" s="84" t="str">
        <f t="shared" si="69"/>
        <v xml:space="preserve">  </v>
      </c>
      <c r="C148" s="80" t="e">
        <f t="shared" ref="C148" si="76">IF(OR(B150-B149=B149-B148,B150-B149=B149-B147,B150-B149=B149-B146),B149,IF(OR(B150-B148=B148-B147,B150-B148=B148-B146),B148,IF(B150-B147=B147-B146,B147,"#NA")))</f>
        <v>#VALUE!</v>
      </c>
      <c r="D148" s="76" t="e">
        <f>VLOOKUP(C148,STN_TABLE,2,FALSE)</f>
        <v>#VALUE!</v>
      </c>
      <c r="E148" s="81">
        <v>4</v>
      </c>
      <c r="F148" s="76" t="e">
        <f>D148*E148</f>
        <v>#VALUE!</v>
      </c>
      <c r="G148" s="77" t="e">
        <f>C148</f>
        <v>#VALUE!</v>
      </c>
      <c r="H148" s="77" t="e">
        <f>F148*G148</f>
        <v>#VALUE!</v>
      </c>
      <c r="I148" s="495" t="s">
        <v>97</v>
      </c>
      <c r="J148" s="496"/>
      <c r="K148" s="78" t="s">
        <v>98</v>
      </c>
      <c r="L148" s="78"/>
      <c r="M148" s="7" t="s">
        <v>99</v>
      </c>
      <c r="N148" s="7"/>
      <c r="O148" s="99">
        <f>O147+1</f>
        <v>25</v>
      </c>
      <c r="P148" s="99" t="str">
        <f t="shared" si="65"/>
        <v xml:space="preserve">  </v>
      </c>
      <c r="Q148" s="76" t="str">
        <f>P148</f>
        <v xml:space="preserve">  </v>
      </c>
      <c r="R148" s="77" t="str">
        <f>VLOOKUP(Q148,STN_TABLE,2,FALSE)</f>
        <v xml:space="preserve">  </v>
      </c>
      <c r="S148" s="77">
        <v>8</v>
      </c>
      <c r="T148" s="76" t="e">
        <f>R148*S148</f>
        <v>#VALUE!</v>
      </c>
      <c r="U148" s="80">
        <v>10</v>
      </c>
      <c r="V148" s="76" t="e">
        <f>R148*U148</f>
        <v>#VALUE!</v>
      </c>
      <c r="W148" s="496" t="s">
        <v>97</v>
      </c>
      <c r="X148" s="496"/>
      <c r="Y148" s="496" t="s">
        <v>98</v>
      </c>
      <c r="Z148" s="496"/>
      <c r="AA148" s="494" t="s">
        <v>99</v>
      </c>
      <c r="AB148" s="494"/>
      <c r="AC148" s="99">
        <f>AC143+1</f>
        <v>24</v>
      </c>
      <c r="AD148" s="95" t="str">
        <f>VLOOKUP(AC148,STN_TABLE_2,2,FALSE)</f>
        <v xml:space="preserve">  </v>
      </c>
      <c r="AE148" s="68" t="str">
        <f>VLOOKUP(AD148,STN_TABLE,2,FALSE)</f>
        <v xml:space="preserve">  </v>
      </c>
      <c r="AF148" s="68">
        <v>1</v>
      </c>
      <c r="AG148" s="69" t="e">
        <f>AE148*AF148</f>
        <v>#VALUE!</v>
      </c>
      <c r="AH148" s="496" t="s">
        <v>97</v>
      </c>
      <c r="AI148" s="496"/>
      <c r="AJ148" s="496" t="s">
        <v>98</v>
      </c>
      <c r="AK148" s="496"/>
      <c r="AL148" s="494" t="s">
        <v>99</v>
      </c>
      <c r="AM148" s="494"/>
      <c r="AP148" s="86" t="s">
        <v>112</v>
      </c>
      <c r="AQ148" s="89" t="s">
        <v>113</v>
      </c>
      <c r="AR148" s="89" t="s">
        <v>114</v>
      </c>
      <c r="AS148" s="89" t="s">
        <v>115</v>
      </c>
      <c r="AU148" s="81"/>
    </row>
    <row r="149" spans="1:47" x14ac:dyDescent="0.25">
      <c r="A149" s="84">
        <f>A148+1</f>
        <v>24</v>
      </c>
      <c r="B149" s="84" t="str">
        <f t="shared" si="69"/>
        <v xml:space="preserve">  </v>
      </c>
      <c r="C149" s="88" t="str">
        <f t="shared" ref="C149" si="77">B150</f>
        <v xml:space="preserve">  </v>
      </c>
      <c r="D149" s="82" t="str">
        <f>VLOOKUP(C149,STN_TABLE,2,FALSE)</f>
        <v xml:space="preserve">  </v>
      </c>
      <c r="E149" s="92">
        <v>1</v>
      </c>
      <c r="F149" s="82" t="e">
        <f>D149*E149</f>
        <v>#VALUE!</v>
      </c>
      <c r="G149" s="83" t="str">
        <f>C149</f>
        <v xml:space="preserve">  </v>
      </c>
      <c r="H149" s="83" t="e">
        <f>F149*G149</f>
        <v>#VALUE!</v>
      </c>
      <c r="I149" s="84" t="str">
        <f>CONCATENATE("a'(",C149,")=")</f>
        <v>a'(  )=</v>
      </c>
      <c r="J149" s="84" t="e">
        <f>2*J147/3*F150</f>
        <v>#VALUE!</v>
      </c>
      <c r="K149" s="84" t="e">
        <f>CONCATENATE("A(",C147,")=")</f>
        <v>#VALUE!</v>
      </c>
      <c r="L149" s="84" t="e">
        <f>VLOOKUP(C147,STN_TABLE,3,FALSE)</f>
        <v>#VALUE!</v>
      </c>
      <c r="M149" t="str">
        <f>CONCATENATE("A(",C149,")=")</f>
        <v>A(  )=</v>
      </c>
      <c r="N149" t="e">
        <f>J149+L149</f>
        <v>#VALUE!</v>
      </c>
      <c r="O149" s="99">
        <f>O148+1</f>
        <v>26</v>
      </c>
      <c r="P149" s="99" t="e">
        <f t="shared" si="65"/>
        <v>#N/A</v>
      </c>
      <c r="Q149" s="82" t="e">
        <f>IF(P149-P148=P148-P147,P149,IF(P150-P148=P148-P147,P150,IF(P149-P148=P148-P146,P149,IF(P150-P148=P148-P146,P150,"-"))))</f>
        <v>#N/A</v>
      </c>
      <c r="R149" s="83" t="e">
        <f>VLOOKUP(Q149,STN_TABLE,2,FALSE)</f>
        <v>#N/A</v>
      </c>
      <c r="S149" s="83">
        <v>-1</v>
      </c>
      <c r="T149" s="82" t="e">
        <f>R149*S149</f>
        <v>#N/A</v>
      </c>
      <c r="U149" s="88">
        <v>-1</v>
      </c>
      <c r="V149" s="82" t="e">
        <f>R149*U149</f>
        <v>#N/A</v>
      </c>
      <c r="W149" s="84" t="str">
        <f>CONCATENATE("a'(",Q148,")=")</f>
        <v>a'(  )=</v>
      </c>
      <c r="X149" s="84" t="e">
        <f>2*X147/12*T150</f>
        <v>#N/A</v>
      </c>
      <c r="Y149" s="84" t="e">
        <f>CONCATENATE("A(",Q147,")=")</f>
        <v>#N/A</v>
      </c>
      <c r="Z149" s="84" t="e">
        <f>VLOOKUP(Q147,STN_TABLE,3,FALSE)</f>
        <v>#N/A</v>
      </c>
      <c r="AA149" t="str">
        <f>CONCATENATE("A(",Q148,")=")</f>
        <v>A(  )=</v>
      </c>
      <c r="AB149" t="e">
        <f>X149+Z149</f>
        <v>#N/A</v>
      </c>
      <c r="AC149" s="99">
        <f>AC148+1</f>
        <v>25</v>
      </c>
      <c r="AD149" s="100" t="str">
        <f>VLOOKUP(AC149,STN_TABLE_2,2,FALSE)</f>
        <v xml:space="preserve">  </v>
      </c>
      <c r="AE149" s="82" t="str">
        <f>VLOOKUP(AD149,STN_TABLE,2,FALSE)</f>
        <v xml:space="preserve">  </v>
      </c>
      <c r="AF149" s="82">
        <v>2</v>
      </c>
      <c r="AG149" s="83" t="e">
        <f>AE149*AF149</f>
        <v>#VALUE!</v>
      </c>
      <c r="AH149" s="84" t="str">
        <f>CONCATENATE("a'(",AD149,")=")</f>
        <v>a'(  )=</v>
      </c>
      <c r="AI149" s="84" t="e">
        <f>2*AI147/2*AE150</f>
        <v>#VALUE!</v>
      </c>
      <c r="AJ149" s="84" t="str">
        <f>CONCATENATE("A(",AD148,")=")</f>
        <v>A(  )=</v>
      </c>
      <c r="AK149" s="84" t="str">
        <f>VLOOKUP(AD148,STN_TABLE,3,FALSE)</f>
        <v xml:space="preserve"> </v>
      </c>
      <c r="AL149" t="str">
        <f>CONCATENATE("A(",AD149,")=")</f>
        <v>A(  )=</v>
      </c>
      <c r="AM149" t="e">
        <f>AI149+AK149</f>
        <v>#VALUE!</v>
      </c>
      <c r="AO149" s="68" t="str">
        <f>AA149</f>
        <v>A(  )=</v>
      </c>
      <c r="AP149" s="68" t="e">
        <f>VLOOKUP(AO149,Rise_Results,2,FALSE)</f>
        <v>#N/A</v>
      </c>
      <c r="AQ149" s="76" t="e">
        <f>N149</f>
        <v>#VALUE!</v>
      </c>
      <c r="AR149" s="76" t="e">
        <f>IF(OR(AB149&lt;=0,AB150&lt;=0),1/0,AB149)</f>
        <v>#N/A</v>
      </c>
      <c r="AS149" s="76" t="e">
        <f>AM149</f>
        <v>#VALUE!</v>
      </c>
      <c r="AT149" t="e">
        <f>IFERROR(AP149,IFERROR(AQ149,IFERROR(AR149,AS149)))</f>
        <v>#VALUE!</v>
      </c>
      <c r="AU149" s="81"/>
    </row>
    <row r="150" spans="1:47" x14ac:dyDescent="0.25">
      <c r="A150" s="84">
        <f>A149+1</f>
        <v>25</v>
      </c>
      <c r="B150" s="84" t="str">
        <f t="shared" si="69"/>
        <v xml:space="preserve">  </v>
      </c>
      <c r="F150" s="82" t="e">
        <f>SUM(F147:F149)</f>
        <v>#VALUE!</v>
      </c>
      <c r="H150" s="82" t="e">
        <f>SUM(H147:H149)</f>
        <v>#VALUE!</v>
      </c>
      <c r="I150" s="84" t="str">
        <f>CONCATENATE("m'(",C149,")=")</f>
        <v>m'(  )=</v>
      </c>
      <c r="J150" s="84" t="e">
        <f>2*(J147*(WLS))/3*H150</f>
        <v>#VALUE!</v>
      </c>
      <c r="K150" s="84" t="e">
        <f>CONCATENATE("M(",C147,")=")</f>
        <v>#VALUE!</v>
      </c>
      <c r="L150" s="84" t="e">
        <f>VLOOKUP(C147,STN_TABLE,4,FALSE)</f>
        <v>#VALUE!</v>
      </c>
      <c r="M150" t="str">
        <f>CONCATENATE("M(",C149,")=")</f>
        <v>M(  )=</v>
      </c>
      <c r="N150" t="e">
        <f>J150+L150</f>
        <v>#VALUE!</v>
      </c>
      <c r="O150" s="99">
        <f>O149+1</f>
        <v>27</v>
      </c>
      <c r="P150" s="99" t="e">
        <f t="shared" si="65"/>
        <v>#N/A</v>
      </c>
      <c r="T150" s="89" t="e">
        <f>SUM(T147:T149)</f>
        <v>#N/A</v>
      </c>
      <c r="V150" s="82" t="e">
        <f>SUM(V147:V149)</f>
        <v>#N/A</v>
      </c>
      <c r="W150" s="84" t="str">
        <f>CONCATENATE("m'(",Q148,")=")</f>
        <v>m'(  )=</v>
      </c>
      <c r="X150" s="84" t="e">
        <f>(2*(X147^2)/24*V150)+(X149*Q147*WLS)</f>
        <v>#N/A</v>
      </c>
      <c r="Y150" s="84" t="e">
        <f>CONCATENATE("M(",Q147,")=")</f>
        <v>#N/A</v>
      </c>
      <c r="Z150" s="84" t="e">
        <f>VLOOKUP(Q147,STN_TABLE,4,FALSE)</f>
        <v>#N/A</v>
      </c>
      <c r="AA150" t="str">
        <f>CONCATENATE("M(",Q148,")=")</f>
        <v>M(  )=</v>
      </c>
      <c r="AB150" t="e">
        <f>X150+Z150</f>
        <v>#N/A</v>
      </c>
      <c r="AE150" s="89">
        <f>SUM(AE148:AE149)</f>
        <v>0</v>
      </c>
      <c r="AG150" s="89" t="e">
        <f>SUM(AG148:AG149)</f>
        <v>#VALUE!</v>
      </c>
      <c r="AH150" s="84" t="str">
        <f>CONCATENATE("m'(",AD149,")=")</f>
        <v>m'(  )=</v>
      </c>
      <c r="AI150" s="84" t="e">
        <f>(2*(AI147^2)/6*AG150)+(AI149*AD148*WLS)</f>
        <v>#VALUE!</v>
      </c>
      <c r="AJ150" s="84" t="str">
        <f>CONCATENATE("M(",AD148,")=")</f>
        <v>M(  )=</v>
      </c>
      <c r="AK150" s="84" t="str">
        <f>VLOOKUP(AD148,STN_TABLE,4,FALSE)</f>
        <v xml:space="preserve"> </v>
      </c>
      <c r="AL150" t="str">
        <f>CONCATENATE("M(",AD149,")=")</f>
        <v>M(  )=</v>
      </c>
      <c r="AM150" t="e">
        <f>AI150+AK150</f>
        <v>#VALUE!</v>
      </c>
      <c r="AO150" s="82" t="str">
        <f>AA150</f>
        <v>M(  )=</v>
      </c>
      <c r="AP150" s="82" t="e">
        <f>VLOOKUP(AO150,Rise_Results,2,FALSE)</f>
        <v>#N/A</v>
      </c>
      <c r="AQ150" s="82" t="e">
        <f>N150</f>
        <v>#VALUE!</v>
      </c>
      <c r="AR150" s="82" t="e">
        <f>IF(OR(AB149&lt;=0,AB150&lt;=0),1/0,AB150)</f>
        <v>#N/A</v>
      </c>
      <c r="AS150" s="82" t="e">
        <f>AM150</f>
        <v>#VALUE!</v>
      </c>
      <c r="AT150" t="e">
        <f>IFERROR(AP150,IFERROR(AQ150,IFERROR(AR150,AS150)))</f>
        <v>#VALUE!</v>
      </c>
      <c r="AU150" s="81"/>
    </row>
    <row r="151" spans="1:47" x14ac:dyDescent="0.25">
      <c r="A151" s="101"/>
      <c r="B151" s="101"/>
      <c r="AU151" s="81"/>
    </row>
    <row r="152" spans="1:47" x14ac:dyDescent="0.25">
      <c r="A152" s="84"/>
      <c r="B152" s="84"/>
      <c r="E152" s="81"/>
      <c r="F152" s="81"/>
      <c r="G152" s="81"/>
      <c r="H152" s="81"/>
      <c r="I152" s="103"/>
      <c r="J152" s="70"/>
      <c r="AU152" s="81"/>
    </row>
    <row r="153" spans="1:47" x14ac:dyDescent="0.25">
      <c r="A153" s="84"/>
      <c r="B153" s="84"/>
      <c r="E153" s="81"/>
      <c r="F153" s="81"/>
      <c r="G153" s="81"/>
      <c r="H153" s="81"/>
      <c r="I153" s="104"/>
      <c r="J153" s="78"/>
      <c r="K153" s="78"/>
      <c r="L153" s="78"/>
      <c r="M153" s="7"/>
      <c r="N153" s="7"/>
      <c r="AO153" s="81"/>
      <c r="AP153" s="81"/>
      <c r="AQ153" s="81"/>
      <c r="AR153" s="81"/>
      <c r="AS153" s="81"/>
      <c r="AT153" s="81"/>
      <c r="AU153" s="81"/>
    </row>
    <row r="154" spans="1:47" x14ac:dyDescent="0.25">
      <c r="A154" s="84"/>
      <c r="B154" s="84"/>
      <c r="E154" s="81"/>
      <c r="F154" s="81"/>
      <c r="G154" s="81"/>
      <c r="H154" s="81"/>
      <c r="I154" s="105"/>
      <c r="J154" s="84"/>
      <c r="K154" s="84"/>
      <c r="L154" s="84"/>
      <c r="AO154" s="81"/>
      <c r="AP154" s="81"/>
      <c r="AQ154" s="81"/>
      <c r="AR154" s="81"/>
      <c r="AS154" s="81"/>
      <c r="AT154" s="81"/>
      <c r="AU154" s="81"/>
    </row>
    <row r="155" spans="1:47" x14ac:dyDescent="0.25">
      <c r="A155" s="84"/>
      <c r="B155" s="84"/>
      <c r="E155" s="81"/>
      <c r="F155" s="81"/>
      <c r="G155" s="81"/>
      <c r="H155" s="81"/>
      <c r="I155" s="105"/>
      <c r="J155" s="84"/>
      <c r="K155" s="84"/>
      <c r="L155" s="84"/>
      <c r="AO155" s="81"/>
      <c r="AP155" s="81"/>
      <c r="AQ155" s="81"/>
      <c r="AR155" s="81"/>
      <c r="AS155" s="81"/>
      <c r="AT155" s="81"/>
      <c r="AU155" s="81"/>
    </row>
    <row r="156" spans="1:47" x14ac:dyDescent="0.25">
      <c r="A156" s="101"/>
      <c r="B156" s="101"/>
      <c r="E156" s="81"/>
      <c r="F156" s="81"/>
      <c r="G156" s="81"/>
      <c r="H156" s="81"/>
      <c r="I156" s="81"/>
      <c r="AO156" s="81"/>
      <c r="AP156" s="81"/>
      <c r="AQ156" s="81"/>
      <c r="AR156" s="81"/>
      <c r="AS156" s="81"/>
      <c r="AT156" s="81"/>
      <c r="AU156" s="81"/>
    </row>
    <row r="157" spans="1:47" x14ac:dyDescent="0.25">
      <c r="A157" s="84"/>
      <c r="B157" s="84"/>
      <c r="E157" s="81"/>
      <c r="F157" s="81"/>
      <c r="G157" s="81"/>
      <c r="H157" s="81"/>
      <c r="I157" s="103"/>
      <c r="J157" s="70"/>
      <c r="AO157" s="81"/>
      <c r="AP157" s="81"/>
      <c r="AQ157" s="81"/>
      <c r="AR157" s="81"/>
      <c r="AS157" s="81"/>
      <c r="AT157" s="81"/>
      <c r="AU157" s="81"/>
    </row>
    <row r="158" spans="1:47" x14ac:dyDescent="0.25">
      <c r="A158" s="84"/>
      <c r="B158" s="84"/>
      <c r="E158" s="81"/>
      <c r="F158" s="81"/>
      <c r="G158" s="81"/>
      <c r="H158" s="81"/>
      <c r="I158" s="104"/>
      <c r="J158" s="78"/>
      <c r="K158" s="78"/>
      <c r="L158" s="78"/>
      <c r="M158" s="7"/>
      <c r="N158" s="7"/>
      <c r="AO158" s="81"/>
      <c r="AP158" s="81"/>
      <c r="AQ158" s="81"/>
      <c r="AR158" s="81"/>
      <c r="AS158" s="81"/>
      <c r="AT158" s="81"/>
      <c r="AU158" s="81"/>
    </row>
    <row r="159" spans="1:47" x14ac:dyDescent="0.25">
      <c r="A159" s="84"/>
      <c r="B159" s="84"/>
      <c r="E159" s="81"/>
      <c r="F159" s="81"/>
      <c r="G159" s="81"/>
      <c r="H159" s="81"/>
      <c r="I159" s="105"/>
      <c r="J159" s="84"/>
      <c r="K159" s="84"/>
      <c r="L159" s="84"/>
      <c r="AO159" s="81"/>
      <c r="AP159" s="81"/>
      <c r="AQ159" s="81"/>
      <c r="AR159" s="81"/>
      <c r="AS159" s="81"/>
      <c r="AT159" s="81"/>
      <c r="AU159" s="81"/>
    </row>
    <row r="160" spans="1:47" x14ac:dyDescent="0.25">
      <c r="A160" s="84"/>
      <c r="B160" s="84"/>
      <c r="E160" s="81"/>
      <c r="F160" s="81"/>
      <c r="G160" s="81"/>
      <c r="H160" s="81"/>
      <c r="I160" s="105"/>
      <c r="J160" s="84"/>
      <c r="K160" s="84"/>
      <c r="L160" s="84"/>
      <c r="AO160" s="81"/>
      <c r="AP160" s="81"/>
      <c r="AQ160" s="81"/>
      <c r="AR160" s="81"/>
      <c r="AS160" s="81"/>
      <c r="AT160" s="81"/>
      <c r="AU160" s="81"/>
    </row>
    <row r="161" spans="1:47" x14ac:dyDescent="0.25">
      <c r="A161" s="101"/>
      <c r="B161" s="101"/>
      <c r="E161" s="81"/>
      <c r="F161" s="81"/>
      <c r="G161" s="81"/>
      <c r="H161" s="81"/>
      <c r="I161" s="81"/>
      <c r="AO161" s="81"/>
      <c r="AP161" s="81"/>
      <c r="AQ161" s="81"/>
      <c r="AR161" s="81"/>
      <c r="AS161" s="81"/>
      <c r="AT161" s="81"/>
      <c r="AU161" s="81"/>
    </row>
    <row r="162" spans="1:47" x14ac:dyDescent="0.25">
      <c r="A162" s="84"/>
      <c r="B162" s="84"/>
      <c r="E162" s="81"/>
      <c r="F162" s="81"/>
      <c r="G162" s="81"/>
      <c r="H162" s="81"/>
      <c r="I162" s="103"/>
      <c r="J162" s="70"/>
      <c r="AO162" s="81"/>
      <c r="AP162" s="81"/>
      <c r="AQ162" s="81"/>
      <c r="AR162" s="81"/>
      <c r="AS162" s="81"/>
      <c r="AT162" s="81"/>
      <c r="AU162" s="81"/>
    </row>
    <row r="163" spans="1:47" x14ac:dyDescent="0.25">
      <c r="A163" s="84"/>
      <c r="B163" s="84"/>
      <c r="E163" s="81"/>
      <c r="F163" s="81"/>
      <c r="G163" s="81"/>
      <c r="H163" s="81"/>
      <c r="I163" s="104"/>
      <c r="J163" s="78"/>
      <c r="K163" s="78"/>
      <c r="L163" s="78"/>
      <c r="M163" s="7"/>
      <c r="N163" s="7"/>
      <c r="AO163" s="81"/>
      <c r="AP163" s="81"/>
      <c r="AQ163" s="81"/>
      <c r="AR163" s="81"/>
      <c r="AS163" s="81"/>
      <c r="AT163" s="81"/>
      <c r="AU163" s="81"/>
    </row>
    <row r="164" spans="1:47" x14ac:dyDescent="0.25">
      <c r="A164" s="84"/>
      <c r="B164" s="84"/>
      <c r="E164" s="81"/>
      <c r="F164" s="81"/>
      <c r="G164" s="81"/>
      <c r="H164" s="81"/>
      <c r="I164" s="105"/>
      <c r="J164" s="84"/>
      <c r="K164" s="84"/>
      <c r="L164" s="84"/>
    </row>
    <row r="165" spans="1:47" x14ac:dyDescent="0.25">
      <c r="A165" s="84"/>
      <c r="B165" s="84"/>
      <c r="E165" s="81"/>
      <c r="F165" s="81"/>
      <c r="G165" s="81"/>
      <c r="H165" s="81"/>
      <c r="I165" s="105"/>
      <c r="J165" s="84"/>
      <c r="K165" s="84"/>
      <c r="L165" s="84"/>
    </row>
    <row r="166" spans="1:47" x14ac:dyDescent="0.25">
      <c r="A166" s="101"/>
      <c r="B166" s="101"/>
      <c r="E166" s="81"/>
      <c r="F166" s="81"/>
      <c r="G166" s="81"/>
      <c r="H166" s="81"/>
      <c r="I166" s="81"/>
    </row>
    <row r="167" spans="1:47" x14ac:dyDescent="0.25">
      <c r="A167" s="84"/>
      <c r="B167" s="84"/>
      <c r="E167" s="81"/>
      <c r="F167" s="81"/>
      <c r="G167" s="81"/>
      <c r="H167" s="81"/>
      <c r="I167" s="103"/>
      <c r="J167" s="70"/>
    </row>
    <row r="168" spans="1:47" x14ac:dyDescent="0.25">
      <c r="A168" s="84"/>
      <c r="B168" s="84"/>
      <c r="E168" s="81"/>
      <c r="F168" s="81"/>
      <c r="G168" s="81"/>
      <c r="H168" s="81"/>
      <c r="I168" s="104"/>
      <c r="J168" s="78"/>
      <c r="K168" s="78"/>
      <c r="L168" s="78"/>
      <c r="M168" s="7"/>
      <c r="N168" s="7"/>
    </row>
    <row r="169" spans="1:47" x14ac:dyDescent="0.25">
      <c r="A169" s="84"/>
      <c r="B169" s="84"/>
      <c r="E169" s="81"/>
      <c r="F169" s="81"/>
      <c r="G169" s="81"/>
      <c r="H169" s="81"/>
      <c r="I169" s="105"/>
      <c r="J169" s="84"/>
      <c r="K169" s="84"/>
      <c r="L169" s="84"/>
    </row>
    <row r="170" spans="1:47" x14ac:dyDescent="0.25">
      <c r="A170" s="84"/>
      <c r="B170" s="84"/>
      <c r="E170" s="81"/>
      <c r="F170" s="81"/>
      <c r="G170" s="81"/>
      <c r="H170" s="81"/>
      <c r="I170" s="105"/>
      <c r="J170" s="84"/>
      <c r="K170" s="84"/>
      <c r="L170" s="84"/>
    </row>
    <row r="171" spans="1:47" x14ac:dyDescent="0.25">
      <c r="E171" s="81"/>
      <c r="F171" s="81"/>
      <c r="G171" s="81"/>
      <c r="H171" s="81"/>
      <c r="I171" s="81"/>
    </row>
  </sheetData>
  <sheetProtection selectLockedCells="1" selectUnlockedCells="1"/>
  <mergeCells count="167">
    <mergeCell ref="A1:B1"/>
    <mergeCell ref="E1:F1"/>
    <mergeCell ref="L1:M1"/>
    <mergeCell ref="W33:X33"/>
    <mergeCell ref="Y33:Z33"/>
    <mergeCell ref="AA33:AB33"/>
    <mergeCell ref="AH33:AI33"/>
    <mergeCell ref="AJ33:AK33"/>
    <mergeCell ref="AL33:AM33"/>
    <mergeCell ref="I38:J38"/>
    <mergeCell ref="W38:X38"/>
    <mergeCell ref="Y38:Z38"/>
    <mergeCell ref="AA38:AB38"/>
    <mergeCell ref="AH38:AI38"/>
    <mergeCell ref="AJ38:AK38"/>
    <mergeCell ref="AL38:AM38"/>
    <mergeCell ref="AL43:AM43"/>
    <mergeCell ref="I48:J48"/>
    <mergeCell ref="W48:X48"/>
    <mergeCell ref="Y48:Z48"/>
    <mergeCell ref="AA48:AB48"/>
    <mergeCell ref="AH48:AI48"/>
    <mergeCell ref="AJ48:AK48"/>
    <mergeCell ref="AL48:AM48"/>
    <mergeCell ref="I43:J43"/>
    <mergeCell ref="W43:X43"/>
    <mergeCell ref="Y43:Z43"/>
    <mergeCell ref="AA43:AB43"/>
    <mergeCell ref="AH43:AI43"/>
    <mergeCell ref="AJ43:AK43"/>
    <mergeCell ref="AL53:AM53"/>
    <mergeCell ref="I58:J58"/>
    <mergeCell ref="AH58:AI58"/>
    <mergeCell ref="AJ58:AK58"/>
    <mergeCell ref="AL58:AM58"/>
    <mergeCell ref="I63:J63"/>
    <mergeCell ref="W63:X63"/>
    <mergeCell ref="Y63:Z63"/>
    <mergeCell ref="AA63:AB63"/>
    <mergeCell ref="AH63:AI63"/>
    <mergeCell ref="I53:J53"/>
    <mergeCell ref="W53:X53"/>
    <mergeCell ref="Y53:Z53"/>
    <mergeCell ref="AA53:AB53"/>
    <mergeCell ref="AH53:AI53"/>
    <mergeCell ref="AJ53:AK53"/>
    <mergeCell ref="AJ63:AK63"/>
    <mergeCell ref="AL63:AM63"/>
    <mergeCell ref="I68:J68"/>
    <mergeCell ref="W68:X68"/>
    <mergeCell ref="Y68:Z68"/>
    <mergeCell ref="AA68:AB68"/>
    <mergeCell ref="AH68:AI68"/>
    <mergeCell ref="AJ68:AK68"/>
    <mergeCell ref="AL68:AM68"/>
    <mergeCell ref="AL73:AM73"/>
    <mergeCell ref="I78:J78"/>
    <mergeCell ref="W78:X78"/>
    <mergeCell ref="Y78:Z78"/>
    <mergeCell ref="AA78:AB78"/>
    <mergeCell ref="AH78:AI78"/>
    <mergeCell ref="AJ78:AK78"/>
    <mergeCell ref="AL78:AM78"/>
    <mergeCell ref="I73:J73"/>
    <mergeCell ref="W73:X73"/>
    <mergeCell ref="Y73:Z73"/>
    <mergeCell ref="AA73:AB73"/>
    <mergeCell ref="AH73:AI73"/>
    <mergeCell ref="AJ73:AK73"/>
    <mergeCell ref="AL83:AM83"/>
    <mergeCell ref="I88:J88"/>
    <mergeCell ref="W88:X88"/>
    <mergeCell ref="Y88:Z88"/>
    <mergeCell ref="AA88:AB88"/>
    <mergeCell ref="AH88:AI88"/>
    <mergeCell ref="AJ88:AK88"/>
    <mergeCell ref="AL88:AM88"/>
    <mergeCell ref="I83:J83"/>
    <mergeCell ref="W83:X83"/>
    <mergeCell ref="Y83:Z83"/>
    <mergeCell ref="AA83:AB83"/>
    <mergeCell ref="AH83:AI83"/>
    <mergeCell ref="AJ83:AK83"/>
    <mergeCell ref="AL93:AM93"/>
    <mergeCell ref="I98:J98"/>
    <mergeCell ref="W98:X98"/>
    <mergeCell ref="Y98:Z98"/>
    <mergeCell ref="AA98:AB98"/>
    <mergeCell ref="AH98:AI98"/>
    <mergeCell ref="AJ98:AK98"/>
    <mergeCell ref="AL98:AM98"/>
    <mergeCell ref="I93:J93"/>
    <mergeCell ref="W93:X93"/>
    <mergeCell ref="Y93:Z93"/>
    <mergeCell ref="AA93:AB93"/>
    <mergeCell ref="AH93:AI93"/>
    <mergeCell ref="AJ93:AK93"/>
    <mergeCell ref="AL103:AM103"/>
    <mergeCell ref="I108:J108"/>
    <mergeCell ref="W108:X108"/>
    <mergeCell ref="Y108:Z108"/>
    <mergeCell ref="AA108:AB108"/>
    <mergeCell ref="AH108:AI108"/>
    <mergeCell ref="AJ108:AK108"/>
    <mergeCell ref="AL108:AM108"/>
    <mergeCell ref="I103:J103"/>
    <mergeCell ref="W103:X103"/>
    <mergeCell ref="Y103:Z103"/>
    <mergeCell ref="AA103:AB103"/>
    <mergeCell ref="AH103:AI103"/>
    <mergeCell ref="AJ103:AK103"/>
    <mergeCell ref="AL113:AM113"/>
    <mergeCell ref="I118:J118"/>
    <mergeCell ref="W118:X118"/>
    <mergeCell ref="Y118:Z118"/>
    <mergeCell ref="AA118:AB118"/>
    <mergeCell ref="AH118:AI118"/>
    <mergeCell ref="AJ118:AK118"/>
    <mergeCell ref="AL118:AM118"/>
    <mergeCell ref="I113:J113"/>
    <mergeCell ref="W113:X113"/>
    <mergeCell ref="Y113:Z113"/>
    <mergeCell ref="AA113:AB113"/>
    <mergeCell ref="AH113:AI113"/>
    <mergeCell ref="AJ113:AK113"/>
    <mergeCell ref="AL123:AM123"/>
    <mergeCell ref="I128:J128"/>
    <mergeCell ref="W128:X128"/>
    <mergeCell ref="Y128:Z128"/>
    <mergeCell ref="AA128:AB128"/>
    <mergeCell ref="AH128:AI128"/>
    <mergeCell ref="AJ128:AK128"/>
    <mergeCell ref="AL128:AM128"/>
    <mergeCell ref="I123:J123"/>
    <mergeCell ref="W123:X123"/>
    <mergeCell ref="Y123:Z123"/>
    <mergeCell ref="AA123:AB123"/>
    <mergeCell ref="AH123:AI123"/>
    <mergeCell ref="AJ123:AK123"/>
    <mergeCell ref="AL133:AM133"/>
    <mergeCell ref="I138:J138"/>
    <mergeCell ref="W138:X138"/>
    <mergeCell ref="Y138:Z138"/>
    <mergeCell ref="AA138:AB138"/>
    <mergeCell ref="AH138:AI138"/>
    <mergeCell ref="AJ138:AK138"/>
    <mergeCell ref="AL138:AM138"/>
    <mergeCell ref="I133:J133"/>
    <mergeCell ref="W133:X133"/>
    <mergeCell ref="Y133:Z133"/>
    <mergeCell ref="AA133:AB133"/>
    <mergeCell ref="AH133:AI133"/>
    <mergeCell ref="AJ133:AK133"/>
    <mergeCell ref="AL143:AM143"/>
    <mergeCell ref="I148:J148"/>
    <mergeCell ref="W148:X148"/>
    <mergeCell ref="Y148:Z148"/>
    <mergeCell ref="AA148:AB148"/>
    <mergeCell ref="AH148:AI148"/>
    <mergeCell ref="AJ148:AK148"/>
    <mergeCell ref="AL148:AM148"/>
    <mergeCell ref="I143:J143"/>
    <mergeCell ref="W143:X143"/>
    <mergeCell ref="Y143:Z143"/>
    <mergeCell ref="AA143:AB143"/>
    <mergeCell ref="AH143:AI143"/>
    <mergeCell ref="AJ143:AK143"/>
  </mergeCells>
  <pageMargins left="0.7" right="0.7" top="0.75" bottom="0.75" header="0.3" footer="0.3"/>
  <pageSetup paperSize="9"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AU171"/>
  <sheetViews>
    <sheetView topLeftCell="N1" workbookViewId="0">
      <pane ySplit="1" topLeftCell="A8" activePane="bottomLeft" state="frozen"/>
      <selection activeCell="AG8" sqref="AG8:AG10"/>
      <selection pane="bottomLeft" activeCell="AG8" sqref="AG8:AG10"/>
    </sheetView>
  </sheetViews>
  <sheetFormatPr defaultRowHeight="15" x14ac:dyDescent="0.25"/>
  <sheetData>
    <row r="1" spans="1:46" x14ac:dyDescent="0.25">
      <c r="A1" s="494" t="s">
        <v>90</v>
      </c>
      <c r="B1" s="494"/>
      <c r="C1">
        <f>HLOOKUP(Stn_WL,OFFSET_A,Count_STN+1,FALSE)</f>
        <v>11</v>
      </c>
      <c r="E1" s="494" t="s">
        <v>91</v>
      </c>
      <c r="F1" s="494"/>
      <c r="G1" t="str">
        <f>VLOOKUP(Station_No,RISE_CALC,2,FALSE)</f>
        <v>-</v>
      </c>
      <c r="L1" s="494" t="s">
        <v>92</v>
      </c>
      <c r="M1" s="494"/>
      <c r="N1">
        <v>14</v>
      </c>
    </row>
    <row r="2" spans="1:46" x14ac:dyDescent="0.25">
      <c r="Q2" s="66" t="str">
        <f t="shared" ref="Q2:R6" si="0">G4</f>
        <v>Rise</v>
      </c>
      <c r="R2" s="67" t="e">
        <f t="shared" si="0"/>
        <v>#VALUE!</v>
      </c>
      <c r="S2" s="68" t="e">
        <f>IF(OR(R5-R4=R4-R3,R6-R4=R4-R3),R3,IF(OR(R5-R4=R4-R2,R6-R4=R4-R2),R2,"-"))</f>
        <v>#VALUE!</v>
      </c>
      <c r="T2" s="69" t="e">
        <f>IFERROR(VLOOKUP(S2,STN_TABLE,2,FALSE),IF(R2=RisePerWLS,0,"-"))</f>
        <v>#VALUE!</v>
      </c>
      <c r="U2" s="69">
        <v>5</v>
      </c>
      <c r="V2" s="69" t="e">
        <f>T2*U2</f>
        <v>#VALUE!</v>
      </c>
      <c r="W2" s="69">
        <v>3</v>
      </c>
      <c r="X2" s="69" t="e">
        <f>T2*W2</f>
        <v>#VALUE!</v>
      </c>
      <c r="Y2" s="6" t="s">
        <v>93</v>
      </c>
      <c r="Z2" s="70" t="e">
        <f>IF(AND(S4-S3=S3-S2,NOT(AND(S2=0,S3=0)),NOT(AND(S3=0,S4=0))),WLS*(S4-S3),"#NA")</f>
        <v>#VALUE!</v>
      </c>
      <c r="AE2" s="71" t="s">
        <v>94</v>
      </c>
    </row>
    <row r="3" spans="1:46" x14ac:dyDescent="0.25">
      <c r="B3" s="72" t="s">
        <v>0</v>
      </c>
      <c r="C3" s="73" t="s">
        <v>95</v>
      </c>
      <c r="D3" s="73" t="s">
        <v>18</v>
      </c>
      <c r="E3" s="74" t="s">
        <v>20</v>
      </c>
      <c r="H3" s="75" t="s">
        <v>96</v>
      </c>
      <c r="K3" t="str">
        <f>IF(Rise=0,"(Not considered)","(Considered)")</f>
        <v>(Considered)</v>
      </c>
      <c r="Q3" s="66" t="str">
        <f t="shared" si="0"/>
        <v>1st_UWL</v>
      </c>
      <c r="R3" s="67" t="str">
        <f t="shared" si="0"/>
        <v>#NA</v>
      </c>
      <c r="S3" s="76" t="str">
        <f>R4</f>
        <v>#NA</v>
      </c>
      <c r="T3" s="77" t="e">
        <f>VLOOKUP(S3,STN_TABLE,2,FALSE)</f>
        <v>#N/A</v>
      </c>
      <c r="U3" s="77">
        <v>8</v>
      </c>
      <c r="V3" s="77" t="e">
        <f>T3*U3</f>
        <v>#N/A</v>
      </c>
      <c r="W3" s="77">
        <v>10</v>
      </c>
      <c r="X3" s="77" t="e">
        <f>T3*W3</f>
        <v>#N/A</v>
      </c>
      <c r="Y3" s="78" t="s">
        <v>97</v>
      </c>
      <c r="Z3" s="78"/>
      <c r="AA3" s="78" t="s">
        <v>98</v>
      </c>
      <c r="AB3" s="78"/>
      <c r="AC3" s="7" t="s">
        <v>99</v>
      </c>
      <c r="AD3" s="7"/>
      <c r="AE3" s="66" t="str">
        <f t="shared" ref="AE3:AF7" si="1">G4</f>
        <v>Rise</v>
      </c>
      <c r="AF3" s="67" t="e">
        <f t="shared" si="1"/>
        <v>#VALUE!</v>
      </c>
      <c r="AG3" s="79" t="e">
        <f>IF(AF7-AF6=AF6-AF5,AF5,IF(OR(AF7-AF6=AF6-AF4,AF7-AF5=AF5-AF4),AF4,IF(OR(AF7-AF6=AF6-AF3,AF7-AF5=AF5-AF3,AF7-AF4=AF4-AF3),AF3,"#NA")))</f>
        <v>#VALUE!</v>
      </c>
      <c r="AH3" s="69" t="e">
        <f>IFERROR(VLOOKUP(AG3,STN_TABLE,2,FALSE),IF(AF3=RisePerWLS,0,"-"))</f>
        <v>#VALUE!</v>
      </c>
      <c r="AI3" s="69">
        <v>1</v>
      </c>
      <c r="AJ3" s="69" t="e">
        <f>AH3*AI3</f>
        <v>#VALUE!</v>
      </c>
      <c r="AK3" s="69" t="e">
        <f>AG3</f>
        <v>#VALUE!</v>
      </c>
      <c r="AL3" s="69" t="e">
        <f>AJ3*AK3</f>
        <v>#VALUE!</v>
      </c>
      <c r="AM3" s="6" t="s">
        <v>93</v>
      </c>
      <c r="AN3" s="70" t="e">
        <f>IF(AND(AH3=0,AH4=0,AH5=0),WLS*(AG5-AG4),IF(AND(AG5-AG4=AG4-AG3,AG4&lt;&gt;AG5,AG3&lt;&gt;AG4,AG3&lt;&gt;AG5,AH5&lt;&gt;0,OR(AH3&lt;&gt;0,AH4&lt;&gt;0)),WLS*(AG5-AG4),"#NA"))</f>
        <v>#VALUE!</v>
      </c>
    </row>
    <row r="4" spans="1:46" x14ac:dyDescent="0.25">
      <c r="A4">
        <v>1</v>
      </c>
      <c r="B4" s="80">
        <f t="shared" ref="B4:B28" si="2">VLOOKUP(Stn_WL,OFFSET_A,A4+1,FALSE)</f>
        <v>0</v>
      </c>
      <c r="C4" s="81">
        <f t="shared" ref="C4:C28" si="3">VLOOKUP(Station_No,OFFSET_A,A4+1,FALSE)</f>
        <v>9.6999999999999993</v>
      </c>
      <c r="D4" s="81">
        <v>0</v>
      </c>
      <c r="E4" s="77">
        <v>0</v>
      </c>
      <c r="G4" t="s">
        <v>100</v>
      </c>
      <c r="H4" t="e">
        <f>Rise/WLS</f>
        <v>#VALUE!</v>
      </c>
      <c r="K4" t="str">
        <f>CONCATENATE("A(",H5,")=")</f>
        <v>A(#NA)=</v>
      </c>
      <c r="L4" t="e">
        <f>IFERROR(N18,N22)</f>
        <v>#VALUE!</v>
      </c>
      <c r="Q4" s="66" t="str">
        <f t="shared" si="0"/>
        <v>2nd_UWL</v>
      </c>
      <c r="R4" s="67" t="str">
        <f t="shared" si="0"/>
        <v>#NA</v>
      </c>
      <c r="S4" s="82" t="e">
        <f>IF((S2-S3)=S3-R5,R5,IF(S2-S3=S3-R6,R6,"-"))</f>
        <v>#VALUE!</v>
      </c>
      <c r="T4" s="83" t="e">
        <f>VLOOKUP(S4,STN_TABLE,2,FALSE)</f>
        <v>#VALUE!</v>
      </c>
      <c r="U4" s="83">
        <v>-1</v>
      </c>
      <c r="V4" s="83" t="e">
        <f>T4*U4</f>
        <v>#VALUE!</v>
      </c>
      <c r="W4" s="83">
        <v>-1</v>
      </c>
      <c r="X4" s="83" t="e">
        <f>T4*W4</f>
        <v>#VALUE!</v>
      </c>
      <c r="Y4" s="84" t="str">
        <f>CONCATENATE("a'(",S3,")=")</f>
        <v>a'(#NA)=</v>
      </c>
      <c r="Z4" s="85" t="e">
        <f>2*Z2/12*V5</f>
        <v>#VALUE!</v>
      </c>
      <c r="AA4" s="84" t="e">
        <f>CONCATENATE("A(",S2,")=")</f>
        <v>#VALUE!</v>
      </c>
      <c r="AB4" s="84" t="e">
        <f>IF(S2=RisePerWLS,0,VLOOKUP(S2,STN_TABLE,3,FALSE))</f>
        <v>#VALUE!</v>
      </c>
      <c r="AC4" t="str">
        <f>CONCATENATE("A(",S3,")=")</f>
        <v>A(#NA)=</v>
      </c>
      <c r="AD4" t="e">
        <f>Z4+AB4</f>
        <v>#VALUE!</v>
      </c>
      <c r="AE4" s="66" t="str">
        <f t="shared" si="1"/>
        <v>1st_UWL</v>
      </c>
      <c r="AF4" s="67" t="str">
        <f t="shared" si="1"/>
        <v>#NA</v>
      </c>
      <c r="AG4" s="80" t="e">
        <f>IF(OR(AF7-AF6=AF6-AF5,AF7-AF6=AF6-AF4,AF7-AF6=AF6-AF3),AF6,IF(OR(AF7-AF5=AF5-AF4,AF7-AF5=AF5-AF3),AF5,IF(AF7-AF4=AF4-AF3,AF4,"#NA")))</f>
        <v>#VALUE!</v>
      </c>
      <c r="AH4" s="77" t="e">
        <f>VLOOKUP(AG4,STN_TABLE,2,FALSE)</f>
        <v>#VALUE!</v>
      </c>
      <c r="AI4" s="77">
        <v>4</v>
      </c>
      <c r="AJ4" s="77" t="e">
        <f>AH4*AI4</f>
        <v>#VALUE!</v>
      </c>
      <c r="AK4" s="77" t="e">
        <f>AG4</f>
        <v>#VALUE!</v>
      </c>
      <c r="AL4" s="77" t="e">
        <f>AJ4*AK4</f>
        <v>#VALUE!</v>
      </c>
      <c r="AM4" s="78" t="s">
        <v>97</v>
      </c>
      <c r="AN4" s="78"/>
      <c r="AO4" s="78" t="s">
        <v>98</v>
      </c>
      <c r="AP4" s="78"/>
      <c r="AQ4" s="7" t="s">
        <v>99</v>
      </c>
      <c r="AR4" s="7"/>
      <c r="AS4" s="7"/>
      <c r="AT4" s="7"/>
    </row>
    <row r="5" spans="1:46" x14ac:dyDescent="0.25">
      <c r="A5">
        <v>2</v>
      </c>
      <c r="B5" s="80">
        <f t="shared" si="2"/>
        <v>0.25</v>
      </c>
      <c r="C5" s="81">
        <f t="shared" si="3"/>
        <v>10.45</v>
      </c>
      <c r="D5" s="81">
        <f t="shared" ref="D5:D28" si="4">IFERROR(VLOOKUP(CONCATENATE("A(",B5,")="),RESULT_TABLE,6,FALSE)," ")</f>
        <v>10.112499999999999</v>
      </c>
      <c r="E5" s="77">
        <f t="shared" ref="E5:E28" si="5">IFERROR(VLOOKUP(CONCATENATE("M(",B5,")="),RESULT_TABLE,6,FALSE)," ")</f>
        <v>2.5593749999999997</v>
      </c>
      <c r="G5" t="s">
        <v>101</v>
      </c>
      <c r="H5" t="str">
        <f>VLOOKUP(Station_No,RISE_CALC,4,FALSE)</f>
        <v>#NA</v>
      </c>
      <c r="K5" t="str">
        <f>CONCATENATE("M(",H5,")=")</f>
        <v>M(#NA)=</v>
      </c>
      <c r="L5" t="e">
        <f>IFERROR(N19,N23)</f>
        <v>#VALUE!</v>
      </c>
      <c r="Q5" s="66" t="str">
        <f t="shared" si="0"/>
        <v>3rd_UWL</v>
      </c>
      <c r="R5" s="67" t="str">
        <f t="shared" si="0"/>
        <v>#NA</v>
      </c>
      <c r="V5" s="86" t="e">
        <f>SUM(V2:V4)</f>
        <v>#VALUE!</v>
      </c>
      <c r="X5" s="87" t="e">
        <f>SUM(X2:X4)</f>
        <v>#VALUE!</v>
      </c>
      <c r="Y5" s="84" t="str">
        <f>CONCATENATE("m'(",S3,")=")</f>
        <v>m'(#NA)=</v>
      </c>
      <c r="Z5" s="85" t="e">
        <f>(2*(Z2^2)/24*X5)+(Z4*S2*WLS)</f>
        <v>#VALUE!</v>
      </c>
      <c r="AA5" s="84" t="e">
        <f>CONCATENATE("M(",S2,")=")</f>
        <v>#VALUE!</v>
      </c>
      <c r="AB5" s="84" t="e">
        <f>IF(S2=RisePerWLS,0,VLOOKUP(S2,STN_TABLE,4,FALSE))</f>
        <v>#VALUE!</v>
      </c>
      <c r="AC5" t="str">
        <f>CONCATENATE("M(",S3,")=")</f>
        <v>M(#NA)=</v>
      </c>
      <c r="AD5" t="e">
        <f>Z5+AB5</f>
        <v>#VALUE!</v>
      </c>
      <c r="AE5" s="66" t="str">
        <f t="shared" si="1"/>
        <v>2nd_UWL</v>
      </c>
      <c r="AF5" s="67" t="str">
        <f t="shared" si="1"/>
        <v>#NA</v>
      </c>
      <c r="AG5" s="88" t="str">
        <f>AF7</f>
        <v>#NA</v>
      </c>
      <c r="AH5" s="83" t="e">
        <f>VLOOKUP(AG5,STN_TABLE,2,FALSE)</f>
        <v>#N/A</v>
      </c>
      <c r="AI5" s="83">
        <v>1</v>
      </c>
      <c r="AJ5" s="83" t="e">
        <f>AH5*AI5</f>
        <v>#N/A</v>
      </c>
      <c r="AK5" s="83" t="str">
        <f>AG5</f>
        <v>#NA</v>
      </c>
      <c r="AL5" s="83" t="e">
        <f>AJ5*AK5</f>
        <v>#N/A</v>
      </c>
      <c r="AM5" s="84" t="str">
        <f>CONCATENATE("a'(",AG5,")=")</f>
        <v>a'(#NA)=</v>
      </c>
      <c r="AN5" s="84" t="e">
        <f>2*AN3/3*AJ6</f>
        <v>#VALUE!</v>
      </c>
      <c r="AO5" s="84" t="e">
        <f>CONCATENATE("A(",AG3,")=")</f>
        <v>#VALUE!</v>
      </c>
      <c r="AP5" s="84" t="e">
        <f>IF(AG3=RisePerWLS,0,VLOOKUP(AG3,STN_TABLE,3,FALSE))</f>
        <v>#VALUE!</v>
      </c>
      <c r="AQ5" t="str">
        <f>CONCATENATE("A(",AG5,")=")</f>
        <v>A(#NA)=</v>
      </c>
      <c r="AR5" t="e">
        <f>AN5+AP5</f>
        <v>#VALUE!</v>
      </c>
    </row>
    <row r="6" spans="1:46" x14ac:dyDescent="0.25">
      <c r="A6">
        <v>3</v>
      </c>
      <c r="B6" s="80">
        <f t="shared" si="2"/>
        <v>0.5</v>
      </c>
      <c r="C6" s="81">
        <f t="shared" si="3"/>
        <v>10.75</v>
      </c>
      <c r="D6" s="81">
        <f t="shared" si="4"/>
        <v>20.75</v>
      </c>
      <c r="E6" s="77">
        <f t="shared" si="5"/>
        <v>10.549999999999999</v>
      </c>
      <c r="G6" t="s">
        <v>102</v>
      </c>
      <c r="H6" t="str">
        <f>VLOOKUP(Station_No,RISE_CALC,5,FALSE)</f>
        <v>#NA</v>
      </c>
      <c r="K6" t="str">
        <f>CONCATENATE("A(",H6,")=")</f>
        <v>A(#NA)=</v>
      </c>
      <c r="L6" t="e">
        <f>IFERROR(P27,IFERROR(X6,AD9))</f>
        <v>#VALUE!</v>
      </c>
      <c r="Q6" s="66" t="str">
        <f t="shared" si="0"/>
        <v>4th_UWL</v>
      </c>
      <c r="R6" s="67" t="str">
        <f t="shared" si="0"/>
        <v>#NA</v>
      </c>
      <c r="U6" t="s">
        <v>103</v>
      </c>
      <c r="W6" t="str">
        <f>CONCATENATE("A(",S3,")=")</f>
        <v>A(#NA)=</v>
      </c>
      <c r="X6" t="e">
        <f>IF(OR(AD4&lt;=0,AD5&lt;=0),AD9,AD4)</f>
        <v>#VALUE!</v>
      </c>
      <c r="AE6" s="66" t="str">
        <f t="shared" si="1"/>
        <v>3rd_UWL</v>
      </c>
      <c r="AF6" s="67" t="str">
        <f t="shared" si="1"/>
        <v>#NA</v>
      </c>
      <c r="AJ6" s="89" t="e">
        <f>SUM(AJ3:AJ5)</f>
        <v>#VALUE!</v>
      </c>
      <c r="AL6" s="89" t="e">
        <f>SUM(AL3:AL5)</f>
        <v>#VALUE!</v>
      </c>
      <c r="AM6" s="84" t="str">
        <f>CONCATENATE("m'(",AG5,")=")</f>
        <v>m'(#NA)=</v>
      </c>
      <c r="AN6" s="84" t="e">
        <f>2*(AN3*WLS)/3*AL6</f>
        <v>#VALUE!</v>
      </c>
      <c r="AO6" s="84" t="e">
        <f>CONCATENATE("M(",AG3,")=")</f>
        <v>#VALUE!</v>
      </c>
      <c r="AP6" s="84" t="e">
        <f>IF(AG3=RisePerWLS,0,VLOOKUP(AG3,STN_TABLE,4,FALSE))</f>
        <v>#VALUE!</v>
      </c>
      <c r="AQ6" t="str">
        <f>CONCATENATE("M(",AG5,")=")</f>
        <v>M(#NA)=</v>
      </c>
      <c r="AR6" t="e">
        <f>AN6+AP6</f>
        <v>#VALUE!</v>
      </c>
    </row>
    <row r="7" spans="1:46" x14ac:dyDescent="0.25">
      <c r="A7">
        <v>4</v>
      </c>
      <c r="B7" s="80">
        <f t="shared" si="2"/>
        <v>0.75</v>
      </c>
      <c r="C7" s="81">
        <f t="shared" si="3"/>
        <v>10.93</v>
      </c>
      <c r="D7" s="81">
        <f t="shared" si="4"/>
        <v>31.572499999999998</v>
      </c>
      <c r="E7" s="77">
        <f t="shared" si="5"/>
        <v>24.099374999999998</v>
      </c>
      <c r="G7" t="s">
        <v>104</v>
      </c>
      <c r="H7" t="str">
        <f>VLOOKUP(Station_No,RISE_CALC,6,FALSE)</f>
        <v>#NA</v>
      </c>
      <c r="K7" t="str">
        <f>CONCATENATE("M(",H6,")=")</f>
        <v>M(#NA)=</v>
      </c>
      <c r="L7" t="e">
        <f>IFERROR(P28,IFERROR(X7,AD10))</f>
        <v>#VALUE!</v>
      </c>
      <c r="Q7" s="66"/>
      <c r="R7" s="67"/>
      <c r="W7" t="str">
        <f>CONCATENATE("M(",S3,")=")</f>
        <v>M(#NA)=</v>
      </c>
      <c r="X7" t="e">
        <f>IF(OR(AD4&lt;=0,AD5&lt;=0),AD10,AD5)</f>
        <v>#VALUE!</v>
      </c>
      <c r="Y7" s="6" t="s">
        <v>93</v>
      </c>
      <c r="Z7" s="70" t="e">
        <f>WLS*(U9-U8)</f>
        <v>#VALUE!</v>
      </c>
      <c r="AE7" s="66" t="str">
        <f t="shared" si="1"/>
        <v>4th_UWL</v>
      </c>
      <c r="AF7" s="67" t="str">
        <f t="shared" si="1"/>
        <v>#NA</v>
      </c>
      <c r="AH7" s="81"/>
    </row>
    <row r="8" spans="1:46" x14ac:dyDescent="0.25">
      <c r="A8">
        <v>5</v>
      </c>
      <c r="B8" s="80">
        <f t="shared" si="2"/>
        <v>1</v>
      </c>
      <c r="C8" s="81">
        <f t="shared" si="3"/>
        <v>11</v>
      </c>
      <c r="D8" s="81">
        <f t="shared" si="4"/>
        <v>42.573333333333331</v>
      </c>
      <c r="E8" s="77">
        <f t="shared" si="5"/>
        <v>43.326666666666661</v>
      </c>
      <c r="G8" t="s">
        <v>105</v>
      </c>
      <c r="H8" t="str">
        <f>VLOOKUP(Station_No,RISE_CALC,7,FALSE)</f>
        <v>#NA</v>
      </c>
      <c r="K8" t="str">
        <f>CONCATENATE("A(",H7,")=")</f>
        <v>A(#NA)=</v>
      </c>
      <c r="L8" t="e">
        <f>IFERROR(AD15,IFERROR(X24,AD27))</f>
        <v>#VALUE!</v>
      </c>
      <c r="Q8" s="80"/>
      <c r="R8" s="81"/>
      <c r="U8" s="79" t="str">
        <f>R3</f>
        <v>#NA</v>
      </c>
      <c r="V8" s="68" t="e">
        <f>VLOOKUP(U8,STN_TABLE,2,FALSE)</f>
        <v>#N/A</v>
      </c>
      <c r="W8" s="68">
        <v>1</v>
      </c>
      <c r="X8" s="69" t="e">
        <f>V8*W8</f>
        <v>#N/A</v>
      </c>
      <c r="Y8" s="78" t="s">
        <v>97</v>
      </c>
      <c r="Z8" s="78"/>
      <c r="AA8" s="78" t="s">
        <v>98</v>
      </c>
      <c r="AB8" s="78"/>
      <c r="AC8" s="7" t="s">
        <v>99</v>
      </c>
      <c r="AD8" s="7"/>
      <c r="AE8" s="66"/>
      <c r="AF8" s="67"/>
      <c r="AG8" s="68" t="e">
        <f>IF(OR(AF12-AF11=AF11-AF10,AF13-AF11=AF11-AF10),AF10,IF(OR(AF12-AF11=AF11-AF9,AF13-AF11=AF11-AF9),AF9,"-"))</f>
        <v>#VALUE!</v>
      </c>
      <c r="AH8" s="69" t="e">
        <f>IFERROR(VLOOKUP(AG8,STN_TABLE,2,FALSE),IF(AF8=RisePerWLS,0,"-"))</f>
        <v>#VALUE!</v>
      </c>
      <c r="AI8" s="69">
        <v>5</v>
      </c>
      <c r="AJ8" s="69" t="e">
        <f>AH8*AI8</f>
        <v>#VALUE!</v>
      </c>
      <c r="AK8" s="69">
        <v>3</v>
      </c>
      <c r="AL8" s="69" t="e">
        <f>AH8*AK8</f>
        <v>#VALUE!</v>
      </c>
      <c r="AM8" s="6" t="s">
        <v>93</v>
      </c>
      <c r="AN8" s="70" t="e">
        <f>IF(AND(AG10-AG9=AG9-AG8,NOT(AND(AG8=0,AG9=0)),NOT(AND(AG9=0,AG10=0))),WLS*(AG10-AG9),"#NA")</f>
        <v>#VALUE!</v>
      </c>
    </row>
    <row r="9" spans="1:46" x14ac:dyDescent="0.25">
      <c r="A9">
        <v>6</v>
      </c>
      <c r="B9" s="80">
        <f t="shared" si="2"/>
        <v>2</v>
      </c>
      <c r="C9" s="81">
        <f t="shared" si="3"/>
        <v>11</v>
      </c>
      <c r="D9" s="81">
        <f t="shared" si="4"/>
        <v>86.573333333333323</v>
      </c>
      <c r="E9" s="77">
        <f t="shared" si="5"/>
        <v>175.32666666666665</v>
      </c>
      <c r="G9" t="s">
        <v>106</v>
      </c>
      <c r="H9" t="str">
        <f>VLOOKUP(Station_No,RISE_CALC,8,FALSE)</f>
        <v>#NA</v>
      </c>
      <c r="K9" t="str">
        <f>CONCATENATE("M(",H7,")=")</f>
        <v>M(#NA)=</v>
      </c>
      <c r="L9" t="e">
        <f>IFERROR(AD16,IFERROR(X25,AD28))</f>
        <v>#VALUE!</v>
      </c>
      <c r="Q9" s="80"/>
      <c r="R9" s="81"/>
      <c r="U9" s="88" t="str">
        <f>R4</f>
        <v>#NA</v>
      </c>
      <c r="V9" s="82" t="e">
        <f>VLOOKUP(U9,STN_TABLE,2,FALSE)</f>
        <v>#N/A</v>
      </c>
      <c r="W9" s="82">
        <v>2</v>
      </c>
      <c r="X9" s="83" t="e">
        <f>V9*W9</f>
        <v>#N/A</v>
      </c>
      <c r="Y9" s="84" t="str">
        <f>CONCATENATE("a'(",U9,")=")</f>
        <v>a'(#NA)=</v>
      </c>
      <c r="Z9" s="84" t="e">
        <f>2*Z7/2*V10</f>
        <v>#VALUE!</v>
      </c>
      <c r="AA9" s="84" t="str">
        <f>CONCATENATE("A(",U8,")=")</f>
        <v>A(#NA)=</v>
      </c>
      <c r="AB9" s="84" t="e">
        <f>IF(U8=RisePerWLS,0,VLOOKUP(U8,STN_TABLE,3,FALSE))</f>
        <v>#VALUE!</v>
      </c>
      <c r="AC9" t="str">
        <f>CONCATENATE("A(",U9,")=")</f>
        <v>A(#NA)=</v>
      </c>
      <c r="AD9" t="e">
        <f>Z9+AB9</f>
        <v>#VALUE!</v>
      </c>
      <c r="AE9" s="66" t="str">
        <f t="shared" ref="AE9:AF13" si="6">G6</f>
        <v>2nd_UWL</v>
      </c>
      <c r="AF9" s="67" t="str">
        <f t="shared" si="6"/>
        <v>#NA</v>
      </c>
      <c r="AG9" s="76" t="str">
        <f>AF11</f>
        <v>#NA</v>
      </c>
      <c r="AH9" s="77" t="e">
        <f>VLOOKUP(AG9,STN_TABLE,2,FALSE)</f>
        <v>#N/A</v>
      </c>
      <c r="AI9" s="77">
        <v>8</v>
      </c>
      <c r="AJ9" s="77" t="e">
        <f>AH9*AI9</f>
        <v>#N/A</v>
      </c>
      <c r="AK9" s="77">
        <v>10</v>
      </c>
      <c r="AL9" s="77" t="e">
        <f>AH9*AK9</f>
        <v>#N/A</v>
      </c>
      <c r="AM9" s="78" t="s">
        <v>97</v>
      </c>
      <c r="AN9" s="78"/>
      <c r="AO9" s="78" t="s">
        <v>98</v>
      </c>
      <c r="AP9" s="78"/>
      <c r="AQ9" s="7" t="s">
        <v>99</v>
      </c>
      <c r="AR9" s="7"/>
      <c r="AS9" s="7"/>
      <c r="AT9" s="7"/>
    </row>
    <row r="10" spans="1:46" x14ac:dyDescent="0.25">
      <c r="A10">
        <v>7</v>
      </c>
      <c r="B10" s="80">
        <f t="shared" si="2"/>
        <v>3</v>
      </c>
      <c r="C10" s="81">
        <f t="shared" si="3"/>
        <v>11</v>
      </c>
      <c r="D10" s="81">
        <f t="shared" si="4"/>
        <v>130.57333333333332</v>
      </c>
      <c r="E10" s="77">
        <f t="shared" si="5"/>
        <v>395.32666666666665</v>
      </c>
      <c r="G10" t="s">
        <v>107</v>
      </c>
      <c r="H10" t="str">
        <f>VLOOKUP(Station_No,RISE_CALC,9,FALSE)</f>
        <v>#NA</v>
      </c>
      <c r="K10" t="str">
        <f>CONCATENATE("A(",H8,")=")</f>
        <v>A(#NA)=</v>
      </c>
      <c r="L10" t="e">
        <f>IFERROR(AR5,IFERROR(AL12,AR15))</f>
        <v>#VALUE!</v>
      </c>
      <c r="Q10" s="80"/>
      <c r="R10" s="81"/>
      <c r="V10" s="89" t="e">
        <f>SUM(V8:V9)</f>
        <v>#N/A</v>
      </c>
      <c r="X10" s="89" t="e">
        <f>SUM(X8:X9)</f>
        <v>#N/A</v>
      </c>
      <c r="Y10" s="84" t="str">
        <f>CONCATENATE("m'(",U9,")=")</f>
        <v>m'(#NA)=</v>
      </c>
      <c r="Z10" s="84" t="e">
        <f>(2*(Z7^2)/6*X10)+(Z9*U8*WLS)</f>
        <v>#VALUE!</v>
      </c>
      <c r="AA10" s="84" t="str">
        <f>CONCATENATE("M(",U8,")=")</f>
        <v>M(#NA)=</v>
      </c>
      <c r="AB10" s="84" t="e">
        <f>IF(U8=RisePerWLS,0,VLOOKUP(U8,STN_TABLE,4,FALSE))</f>
        <v>#VALUE!</v>
      </c>
      <c r="AC10" t="str">
        <f>CONCATENATE("M(",U9,")=")</f>
        <v>M(#NA)=</v>
      </c>
      <c r="AD10" t="e">
        <f>Z10+AB10</f>
        <v>#VALUE!</v>
      </c>
      <c r="AE10" s="66" t="str">
        <f t="shared" si="6"/>
        <v>3rd_UWL</v>
      </c>
      <c r="AF10" s="67" t="str">
        <f t="shared" si="6"/>
        <v>#NA</v>
      </c>
      <c r="AG10" s="82" t="e">
        <f>IF(AG8-AG9=AG9-AF12,AF12,IF(AG8-AG9=AG9-AF13,AF13,"-"))</f>
        <v>#VALUE!</v>
      </c>
      <c r="AH10" s="83" t="e">
        <f>VLOOKUP(AG10,STN_TABLE,2,FALSE)</f>
        <v>#VALUE!</v>
      </c>
      <c r="AI10" s="83">
        <v>-1</v>
      </c>
      <c r="AJ10" s="83" t="e">
        <f>AH10*AI10</f>
        <v>#VALUE!</v>
      </c>
      <c r="AK10" s="83">
        <v>-1</v>
      </c>
      <c r="AL10" s="83" t="e">
        <f>AH10*AK10</f>
        <v>#VALUE!</v>
      </c>
      <c r="AM10" s="84" t="str">
        <f>CONCATENATE("a'(",AG9,")=")</f>
        <v>a'(#NA)=</v>
      </c>
      <c r="AN10" s="84" t="e">
        <f>2*AN8/12*AJ11</f>
        <v>#VALUE!</v>
      </c>
      <c r="AO10" s="84" t="e">
        <f>CONCATENATE("A(",AG8,")=")</f>
        <v>#VALUE!</v>
      </c>
      <c r="AP10" s="84" t="e">
        <f>VLOOKUP(AG8,STN_TABLE,3,FALSE)</f>
        <v>#VALUE!</v>
      </c>
      <c r="AQ10" t="str">
        <f>CONCATENATE("A(",AG9,")=")</f>
        <v>A(#NA)=</v>
      </c>
      <c r="AR10" t="e">
        <f>AN10+AP10</f>
        <v>#VALUE!</v>
      </c>
    </row>
    <row r="11" spans="1:46" x14ac:dyDescent="0.25">
      <c r="A11">
        <v>8</v>
      </c>
      <c r="B11" s="80">
        <f t="shared" si="2"/>
        <v>4</v>
      </c>
      <c r="C11" s="81">
        <f t="shared" si="3"/>
        <v>11</v>
      </c>
      <c r="D11" s="81">
        <f t="shared" si="4"/>
        <v>174.57333333333332</v>
      </c>
      <c r="E11" s="77">
        <f t="shared" si="5"/>
        <v>703.3266666666666</v>
      </c>
      <c r="G11" t="s">
        <v>108</v>
      </c>
      <c r="H11" t="str">
        <f>VLOOKUP(Station_No,RISE_CALC,10,FALSE)</f>
        <v>#NA</v>
      </c>
      <c r="K11" t="str">
        <f>CONCATENATE("M(",H8,")=")</f>
        <v>M(#NA)=</v>
      </c>
      <c r="L11" t="e">
        <f>IFERROR(AR6,IFERROR(AL13,AR16))</f>
        <v>#VALUE!</v>
      </c>
      <c r="Q11" s="80"/>
      <c r="R11" s="81"/>
      <c r="AE11" s="66" t="str">
        <f t="shared" si="6"/>
        <v>4th_UWL</v>
      </c>
      <c r="AF11" s="67" t="str">
        <f t="shared" si="6"/>
        <v>#NA</v>
      </c>
      <c r="AJ11" s="89" t="e">
        <f>SUM(AJ8:AJ10)</f>
        <v>#VALUE!</v>
      </c>
      <c r="AL11" s="89" t="e">
        <f>SUM(AL8:AL10)</f>
        <v>#VALUE!</v>
      </c>
      <c r="AM11" s="84" t="str">
        <f>CONCATENATE("m'(",AG9,")=")</f>
        <v>m'(#NA)=</v>
      </c>
      <c r="AN11" s="84" t="e">
        <f>(2*(AN8^2)/24*AL11)+(AN10*AG8*WLS)</f>
        <v>#VALUE!</v>
      </c>
      <c r="AO11" s="84" t="e">
        <f>CONCATENATE("M(",AG8,")=")</f>
        <v>#VALUE!</v>
      </c>
      <c r="AP11" s="84" t="e">
        <f>VLOOKUP(AG8,STN_TABLE,4,FALSE)</f>
        <v>#VALUE!</v>
      </c>
      <c r="AQ11" t="str">
        <f>CONCATENATE("M(",AG9,")=")</f>
        <v>M(#NA)=</v>
      </c>
      <c r="AR11" t="e">
        <f>AN11+AP11</f>
        <v>#VALUE!</v>
      </c>
    </row>
    <row r="12" spans="1:46" x14ac:dyDescent="0.25">
      <c r="A12">
        <v>9</v>
      </c>
      <c r="B12" s="80">
        <f t="shared" si="2"/>
        <v>4.8499999999999996</v>
      </c>
      <c r="C12" s="81">
        <f t="shared" si="3"/>
        <v>11</v>
      </c>
      <c r="D12" s="81">
        <f t="shared" si="4"/>
        <v>211.9733333333333</v>
      </c>
      <c r="E12" s="77">
        <f t="shared" si="5"/>
        <v>1034.3166666666664</v>
      </c>
      <c r="Q12" s="90" t="s">
        <v>109</v>
      </c>
      <c r="R12" s="81"/>
      <c r="AE12" s="66" t="str">
        <f t="shared" si="6"/>
        <v>5th_UWL</v>
      </c>
      <c r="AF12" s="67" t="str">
        <f t="shared" si="6"/>
        <v>#NA</v>
      </c>
      <c r="AI12" t="s">
        <v>103</v>
      </c>
      <c r="AK12" t="str">
        <f>CONCATENATE("A(",AG9,")=")</f>
        <v>A(#NA)=</v>
      </c>
      <c r="AL12" t="e">
        <f>IF(OR(AR10&lt;=0,AR11&lt;=0),AR15,AR10)</f>
        <v>#VALUE!</v>
      </c>
    </row>
    <row r="13" spans="1:46" x14ac:dyDescent="0.25">
      <c r="A13">
        <v>10</v>
      </c>
      <c r="B13" s="80">
        <f t="shared" si="2"/>
        <v>5</v>
      </c>
      <c r="C13" s="81">
        <f t="shared" si="3"/>
        <v>11</v>
      </c>
      <c r="D13" s="81">
        <f t="shared" si="4"/>
        <v>218.57333333333332</v>
      </c>
      <c r="E13" s="77">
        <f t="shared" si="5"/>
        <v>1099.3266666666666</v>
      </c>
      <c r="G13" s="71" t="s">
        <v>110</v>
      </c>
      <c r="Q13" s="66" t="str">
        <f t="shared" ref="Q13:R16" si="7">G4</f>
        <v>Rise</v>
      </c>
      <c r="R13" s="67" t="e">
        <f t="shared" si="7"/>
        <v>#VALUE!</v>
      </c>
      <c r="S13" s="68" t="e">
        <f>IF(R16-R15=R15-R14,R14,IF(R16-R14=R14-R13,R13,"-"))</f>
        <v>#VALUE!</v>
      </c>
      <c r="T13" s="69" t="e">
        <f>IFERROR(VLOOKUP(S13,STN_TABLE,2,FALSE),IF(R13=RisePerWLS,0,"-"))</f>
        <v>#VALUE!</v>
      </c>
      <c r="U13" s="69">
        <v>1</v>
      </c>
      <c r="V13" s="69" t="e">
        <f>T13*U13</f>
        <v>#VALUE!</v>
      </c>
      <c r="W13" s="69" t="e">
        <f>S13</f>
        <v>#VALUE!</v>
      </c>
      <c r="X13" s="69" t="e">
        <f>V13*W13</f>
        <v>#VALUE!</v>
      </c>
      <c r="Y13" s="6" t="s">
        <v>93</v>
      </c>
      <c r="Z13" s="70" t="e">
        <f>IF(AND(T13=0,T14=0,T15=0),WLS*(S15-S14),IF(AND(S15-S14=S14-S13,S14&lt;&gt;S15,S13&lt;&gt;S14,S13&lt;&gt;S15,T15&lt;&gt;0,OR(T13&lt;&gt;0,T14&lt;&gt;0)),WLS*(S15-S14),"#NA"))</f>
        <v>#VALUE!</v>
      </c>
      <c r="AE13" s="66" t="str">
        <f t="shared" si="6"/>
        <v>6th_UWL</v>
      </c>
      <c r="AF13" s="67" t="str">
        <f t="shared" si="6"/>
        <v>#NA</v>
      </c>
      <c r="AK13" t="str">
        <f>CONCATENATE("M(",AG9,")=")</f>
        <v>M(#NA)=</v>
      </c>
      <c r="AL13" t="e">
        <f>IF(OR(AR10&lt;=0,AR11&lt;=0),AR16,AR11)</f>
        <v>#VALUE!</v>
      </c>
      <c r="AM13" s="6" t="s">
        <v>93</v>
      </c>
      <c r="AN13" s="70" t="e">
        <f>WLS*(AI15-AI14)</f>
        <v>#VALUE!</v>
      </c>
    </row>
    <row r="14" spans="1:46" x14ac:dyDescent="0.25">
      <c r="A14">
        <v>11</v>
      </c>
      <c r="B14" s="80">
        <f t="shared" si="2"/>
        <v>6</v>
      </c>
      <c r="C14" s="81">
        <f t="shared" si="3"/>
        <v>11</v>
      </c>
      <c r="D14" s="81">
        <f t="shared" si="4"/>
        <v>262.57333333333332</v>
      </c>
      <c r="E14" s="77">
        <f t="shared" si="5"/>
        <v>1583.3266666666666</v>
      </c>
      <c r="G14" s="91" t="str">
        <f>G4</f>
        <v>Rise</v>
      </c>
      <c r="H14" s="91" t="e">
        <f>RisePerWLS</f>
        <v>#VALUE!</v>
      </c>
      <c r="I14" s="68" t="e">
        <f>H14</f>
        <v>#VALUE!</v>
      </c>
      <c r="J14" s="69">
        <v>0</v>
      </c>
      <c r="K14" s="69">
        <v>5</v>
      </c>
      <c r="L14" s="69">
        <f>J14*K14</f>
        <v>0</v>
      </c>
      <c r="M14" s="69">
        <v>3</v>
      </c>
      <c r="N14" s="69">
        <f>J14*M14</f>
        <v>0</v>
      </c>
      <c r="O14" t="s">
        <v>93</v>
      </c>
      <c r="P14" t="e">
        <f>IF(AND(NOT(AND(J14=0,J15=0)),I14&lt;&gt;I15,I15&lt;&gt;I16,I16-I15=I15-I14),(I16-I15)*WLS,"#NA")</f>
        <v>#N/A</v>
      </c>
      <c r="Q14" s="66" t="str">
        <f t="shared" si="7"/>
        <v>1st_UWL</v>
      </c>
      <c r="R14" s="67" t="str">
        <f t="shared" si="7"/>
        <v>#NA</v>
      </c>
      <c r="S14" s="76" t="e">
        <f>IF(R16-R15=R15-R14,R15,IF(R16-R14=R14-R13,R14,"-"))</f>
        <v>#VALUE!</v>
      </c>
      <c r="T14" s="77" t="e">
        <f>VLOOKUP(S14,STN_TABLE,2,FALSE)</f>
        <v>#VALUE!</v>
      </c>
      <c r="U14" s="77">
        <v>4</v>
      </c>
      <c r="V14" s="77" t="e">
        <f>T14*U14</f>
        <v>#VALUE!</v>
      </c>
      <c r="W14" s="77" t="e">
        <f>S14</f>
        <v>#VALUE!</v>
      </c>
      <c r="X14" s="77" t="e">
        <f>V14*W14</f>
        <v>#VALUE!</v>
      </c>
      <c r="Y14" s="78" t="s">
        <v>97</v>
      </c>
      <c r="Z14" s="78"/>
      <c r="AA14" s="78" t="s">
        <v>98</v>
      </c>
      <c r="AB14" s="78"/>
      <c r="AC14" s="7" t="s">
        <v>99</v>
      </c>
      <c r="AD14" s="7"/>
      <c r="AE14" s="66"/>
      <c r="AF14" s="67"/>
      <c r="AI14" s="79" t="str">
        <f>AF10</f>
        <v>#NA</v>
      </c>
      <c r="AJ14" s="68" t="e">
        <f>VLOOKUP(AI14,STN_TABLE,2,FALSE)</f>
        <v>#N/A</v>
      </c>
      <c r="AK14" s="68">
        <v>1</v>
      </c>
      <c r="AL14" s="69" t="e">
        <f>AJ14*AK14</f>
        <v>#N/A</v>
      </c>
      <c r="AM14" s="78" t="s">
        <v>97</v>
      </c>
      <c r="AN14" s="78"/>
      <c r="AO14" s="78" t="s">
        <v>98</v>
      </c>
      <c r="AP14" s="78"/>
      <c r="AQ14" s="7" t="s">
        <v>99</v>
      </c>
      <c r="AR14" s="7"/>
      <c r="AS14" s="7"/>
      <c r="AT14" s="7"/>
    </row>
    <row r="15" spans="1:46" x14ac:dyDescent="0.25">
      <c r="A15">
        <v>12</v>
      </c>
      <c r="B15" s="80">
        <f t="shared" si="2"/>
        <v>6.5</v>
      </c>
      <c r="C15" s="81">
        <f t="shared" si="3"/>
        <v>11</v>
      </c>
      <c r="D15" s="81">
        <f t="shared" si="4"/>
        <v>284.57333333333332</v>
      </c>
      <c r="E15" s="77">
        <f t="shared" si="5"/>
        <v>1858.3266666666666</v>
      </c>
      <c r="G15" s="91" t="str">
        <f>G5</f>
        <v>1st_UWL</v>
      </c>
      <c r="H15" s="91" t="str">
        <f>H5</f>
        <v>#NA</v>
      </c>
      <c r="I15" s="76" t="str">
        <f>H15</f>
        <v>#NA</v>
      </c>
      <c r="J15" s="77" t="e">
        <f>VLOOKUP(I15,STN_TABLE,2,FALSE)</f>
        <v>#N/A</v>
      </c>
      <c r="K15" s="77">
        <v>8</v>
      </c>
      <c r="L15" s="77" t="e">
        <f>J15*K15</f>
        <v>#N/A</v>
      </c>
      <c r="M15" s="77">
        <v>10</v>
      </c>
      <c r="N15" s="77" t="e">
        <f>J15*M15</f>
        <v>#N/A</v>
      </c>
      <c r="O15" t="str">
        <f>CONCATENATE("A(",I15,")=")</f>
        <v>A(#NA)=</v>
      </c>
      <c r="P15" t="e">
        <f>2*P14/12*L17</f>
        <v>#N/A</v>
      </c>
      <c r="Q15" s="66" t="str">
        <f t="shared" si="7"/>
        <v>2nd_UWL</v>
      </c>
      <c r="R15" s="67" t="str">
        <f t="shared" si="7"/>
        <v>#NA</v>
      </c>
      <c r="S15" s="82" t="str">
        <f>R16</f>
        <v>#NA</v>
      </c>
      <c r="T15" s="83" t="e">
        <f>VLOOKUP(S15,STN_TABLE,2,FALSE)</f>
        <v>#N/A</v>
      </c>
      <c r="U15" s="83">
        <v>1</v>
      </c>
      <c r="V15" s="83" t="e">
        <f>T15*U15</f>
        <v>#N/A</v>
      </c>
      <c r="W15" s="83" t="str">
        <f>S15</f>
        <v>#NA</v>
      </c>
      <c r="X15" s="83" t="e">
        <f>V15*W15</f>
        <v>#N/A</v>
      </c>
      <c r="Y15" s="84" t="str">
        <f>CONCATENATE("a'(",S15,")=")</f>
        <v>a'(#NA)=</v>
      </c>
      <c r="Z15" s="84" t="e">
        <f>2*Z13/3*V16</f>
        <v>#VALUE!</v>
      </c>
      <c r="AA15" s="84" t="e">
        <f>CONCATENATE("A(",S13,")=")</f>
        <v>#VALUE!</v>
      </c>
      <c r="AB15" s="84" t="e">
        <f>IF(S13=RisePerWLS,0,VLOOKUP(S13,STN_TABLE,3,FALSE))</f>
        <v>#VALUE!</v>
      </c>
      <c r="AC15" t="str">
        <f>CONCATENATE("A(",S15,")=")</f>
        <v>A(#NA)=</v>
      </c>
      <c r="AD15" t="e">
        <f>Z15+AB15</f>
        <v>#VALUE!</v>
      </c>
      <c r="AE15" s="80"/>
      <c r="AI15" s="88" t="str">
        <f>AF11</f>
        <v>#NA</v>
      </c>
      <c r="AJ15" s="82" t="e">
        <f>VLOOKUP(AI15,STN_TABLE,2,FALSE)</f>
        <v>#N/A</v>
      </c>
      <c r="AK15" s="82">
        <v>2</v>
      </c>
      <c r="AL15" s="83" t="e">
        <f>AJ15*AK15</f>
        <v>#N/A</v>
      </c>
      <c r="AM15" s="84" t="str">
        <f>CONCATENATE("a'(",AI15,")=")</f>
        <v>a'(#NA)=</v>
      </c>
      <c r="AN15" s="84" t="e">
        <f>2*AN13/2*AJ16</f>
        <v>#VALUE!</v>
      </c>
      <c r="AO15" s="84" t="str">
        <f>CONCATENATE("A(",AI14,")=")</f>
        <v>A(#NA)=</v>
      </c>
      <c r="AP15" s="84" t="e">
        <f>IF(AI14=RisePerWLS,0,VLOOKUP(AI14,STN_TABLE,3,FALSE))</f>
        <v>#VALUE!</v>
      </c>
      <c r="AQ15" t="str">
        <f>CONCATENATE("A(",AI15,")=")</f>
        <v>A(#NA)=</v>
      </c>
      <c r="AR15" t="e">
        <f>AN15+AP15</f>
        <v>#VALUE!</v>
      </c>
    </row>
    <row r="16" spans="1:46" x14ac:dyDescent="0.25">
      <c r="A16">
        <v>13</v>
      </c>
      <c r="B16" s="80" t="str">
        <f t="shared" si="2"/>
        <v xml:space="preserve">  </v>
      </c>
      <c r="C16" s="81" t="str">
        <f t="shared" si="3"/>
        <v xml:space="preserve">  </v>
      </c>
      <c r="D16" s="81" t="str">
        <f t="shared" si="4"/>
        <v xml:space="preserve"> </v>
      </c>
      <c r="E16" s="77" t="str">
        <f t="shared" si="5"/>
        <v xml:space="preserve"> </v>
      </c>
      <c r="G16" s="91" t="str">
        <f>G6</f>
        <v>2nd_UWL</v>
      </c>
      <c r="H16" s="91" t="str">
        <f>H6</f>
        <v>#NA</v>
      </c>
      <c r="I16" s="82" t="e">
        <f>IF(H16-H15=H15-H14,H16,"#NA")</f>
        <v>#VALUE!</v>
      </c>
      <c r="J16" s="83" t="e">
        <f>VLOOKUP(I16,STN_TABLE,2,FALSE)</f>
        <v>#VALUE!</v>
      </c>
      <c r="K16" s="83">
        <v>-1</v>
      </c>
      <c r="L16" s="83" t="e">
        <f>J16*K16</f>
        <v>#VALUE!</v>
      </c>
      <c r="M16" s="83">
        <v>-1</v>
      </c>
      <c r="N16" s="83" t="e">
        <f>J16*M16</f>
        <v>#VALUE!</v>
      </c>
      <c r="O16" t="str">
        <f>CONCATENATE("M(",I15,")=")</f>
        <v>M(#NA)=</v>
      </c>
      <c r="P16" t="e">
        <f>(2*(P14^2)/24*N17)+P15*I14*WLS</f>
        <v>#N/A</v>
      </c>
      <c r="Q16" s="66" t="str">
        <f t="shared" si="7"/>
        <v>3rd_UWL</v>
      </c>
      <c r="R16" s="67" t="str">
        <f t="shared" si="7"/>
        <v>#NA</v>
      </c>
      <c r="V16" s="89" t="e">
        <f>SUM(V13:V15)</f>
        <v>#VALUE!</v>
      </c>
      <c r="X16" s="89" t="e">
        <f>SUM(X13:X15)</f>
        <v>#VALUE!</v>
      </c>
      <c r="Y16" s="84" t="str">
        <f>CONCATENATE("m'(",S15,")=")</f>
        <v>m'(#NA)=</v>
      </c>
      <c r="Z16" s="84" t="e">
        <f>2*(Z13*WLS)/3*X16</f>
        <v>#VALUE!</v>
      </c>
      <c r="AA16" s="84" t="e">
        <f>CONCATENATE("M(",S13,")=")</f>
        <v>#VALUE!</v>
      </c>
      <c r="AB16" s="84" t="e">
        <f>IF(S13=RisePerWLS,0,VLOOKUP(S13,STN_TABLE,4,FALSE))</f>
        <v>#VALUE!</v>
      </c>
      <c r="AC16" t="str">
        <f>CONCATENATE("M(",S15,")=")</f>
        <v>M(#NA)=</v>
      </c>
      <c r="AD16" t="e">
        <f>Z16+AB16</f>
        <v>#VALUE!</v>
      </c>
      <c r="AE16" s="80"/>
      <c r="AJ16" s="89" t="e">
        <f>SUM(AJ14:AJ15)</f>
        <v>#N/A</v>
      </c>
      <c r="AL16" s="89" t="e">
        <f>SUM(AL14:AL15)</f>
        <v>#N/A</v>
      </c>
      <c r="AM16" s="84" t="str">
        <f>CONCATENATE("m'(",AI15,")=")</f>
        <v>m'(#NA)=</v>
      </c>
      <c r="AN16" s="84" t="e">
        <f>(2*(AN13^2)/6*AL16)+(AN15*AI14*WLS)</f>
        <v>#VALUE!</v>
      </c>
      <c r="AO16" s="84" t="str">
        <f>CONCATENATE("M(",AI14,")=")</f>
        <v>M(#NA)=</v>
      </c>
      <c r="AP16" s="84" t="e">
        <f>IF(AI14=RisePerWLS,0,VLOOKUP(AI14,STN_TABLE,4,FALSE))</f>
        <v>#VALUE!</v>
      </c>
      <c r="AQ16" t="str">
        <f>CONCATENATE("M(",AI15,")=")</f>
        <v>M(#NA)=</v>
      </c>
      <c r="AR16" t="e">
        <f>AN16+AP16</f>
        <v>#VALUE!</v>
      </c>
    </row>
    <row r="17" spans="1:35" x14ac:dyDescent="0.25">
      <c r="A17">
        <v>14</v>
      </c>
      <c r="B17" s="80" t="str">
        <f t="shared" si="2"/>
        <v xml:space="preserve">  </v>
      </c>
      <c r="C17" s="81" t="str">
        <f t="shared" si="3"/>
        <v xml:space="preserve">  </v>
      </c>
      <c r="D17" s="81" t="str">
        <f t="shared" si="4"/>
        <v xml:space="preserve"> </v>
      </c>
      <c r="E17" s="77" t="str">
        <f t="shared" si="5"/>
        <v xml:space="preserve"> </v>
      </c>
      <c r="G17" s="91"/>
      <c r="H17" s="91"/>
      <c r="L17" s="89" t="e">
        <f>SUM(L14:L16)</f>
        <v>#N/A</v>
      </c>
      <c r="N17" s="89" t="e">
        <f>SUM(N14:N16)</f>
        <v>#N/A</v>
      </c>
      <c r="Q17" s="66"/>
      <c r="R17" s="67"/>
      <c r="AE17" s="90"/>
    </row>
    <row r="18" spans="1:35" x14ac:dyDescent="0.25">
      <c r="A18">
        <v>15</v>
      </c>
      <c r="B18" s="80" t="str">
        <f t="shared" si="2"/>
        <v xml:space="preserve">  </v>
      </c>
      <c r="C18" s="81" t="str">
        <f t="shared" si="3"/>
        <v xml:space="preserve">  </v>
      </c>
      <c r="D18" s="81" t="str">
        <f t="shared" si="4"/>
        <v xml:space="preserve"> </v>
      </c>
      <c r="E18" s="77" t="str">
        <f t="shared" si="5"/>
        <v xml:space="preserve"> </v>
      </c>
      <c r="G18" s="91"/>
      <c r="H18" s="91"/>
      <c r="K18" t="s">
        <v>103</v>
      </c>
      <c r="M18" t="str">
        <f>CONCATENATE("A(",I15,")=")</f>
        <v>A(#NA)=</v>
      </c>
      <c r="N18" t="e">
        <f>IF(OR(P15&lt;=0,P16&lt;=0),N22,P15)</f>
        <v>#N/A</v>
      </c>
      <c r="Q18" s="66"/>
      <c r="R18" s="67"/>
      <c r="AE18" s="80"/>
    </row>
    <row r="19" spans="1:35" x14ac:dyDescent="0.25">
      <c r="A19">
        <v>16</v>
      </c>
      <c r="B19" s="80" t="str">
        <f t="shared" si="2"/>
        <v xml:space="preserve">  </v>
      </c>
      <c r="C19" s="81" t="str">
        <f t="shared" si="3"/>
        <v xml:space="preserve">  </v>
      </c>
      <c r="D19" s="81" t="str">
        <f t="shared" si="4"/>
        <v xml:space="preserve"> </v>
      </c>
      <c r="E19" s="77" t="str">
        <f t="shared" si="5"/>
        <v xml:space="preserve"> </v>
      </c>
      <c r="G19" s="91"/>
      <c r="H19" s="91"/>
      <c r="M19" t="str">
        <f>CONCATENATE("M(",I15,")=")</f>
        <v>M(#NA)=</v>
      </c>
      <c r="N19" t="e">
        <f>IF(OR(P15&lt;=0,P16&lt;=0),N23,P16)</f>
        <v>#N/A</v>
      </c>
      <c r="Q19" s="66"/>
      <c r="R19" s="67"/>
      <c r="AE19" s="80"/>
    </row>
    <row r="20" spans="1:35" x14ac:dyDescent="0.25">
      <c r="A20">
        <v>17</v>
      </c>
      <c r="B20" s="80" t="str">
        <f t="shared" si="2"/>
        <v xml:space="preserve">  </v>
      </c>
      <c r="C20" s="81" t="str">
        <f t="shared" si="3"/>
        <v xml:space="preserve">  </v>
      </c>
      <c r="D20" s="81" t="str">
        <f t="shared" si="4"/>
        <v xml:space="preserve"> </v>
      </c>
      <c r="E20" s="77" t="str">
        <f t="shared" si="5"/>
        <v xml:space="preserve"> </v>
      </c>
      <c r="G20" s="91"/>
      <c r="H20" s="91"/>
      <c r="Q20" s="66"/>
      <c r="R20" s="67"/>
      <c r="S20" s="68" t="e">
        <f>IF(OR(R24-R23=R23-R22,R25-R23=R23-R22),R22,IF(OR(R24-R23=R23-R21,R25-R23=R23-R21),R21,"-"))</f>
        <v>#VALUE!</v>
      </c>
      <c r="T20" s="69" t="e">
        <f>IFERROR(VLOOKUP(S20,STN_TABLE,2,FALSE),IF(R20=RisePerWLS,0,"-"))</f>
        <v>#VALUE!</v>
      </c>
      <c r="U20" s="69">
        <v>5</v>
      </c>
      <c r="V20" s="69" t="e">
        <f>T20*U20</f>
        <v>#VALUE!</v>
      </c>
      <c r="W20" s="69">
        <v>3</v>
      </c>
      <c r="X20" s="69" t="e">
        <f>T20*W20</f>
        <v>#VALUE!</v>
      </c>
      <c r="Y20" s="6" t="s">
        <v>93</v>
      </c>
      <c r="Z20" s="70" t="e">
        <f>IF(AND(S22-S21=S21-S20,NOT(AND(S20=0,S21=0)),NOT(AND(S21=0,S22=0))),WLS*(S22-S21),"#NA")</f>
        <v>#VALUE!</v>
      </c>
      <c r="AE20" s="80"/>
    </row>
    <row r="21" spans="1:35" x14ac:dyDescent="0.25">
      <c r="A21">
        <v>18</v>
      </c>
      <c r="B21" s="80" t="str">
        <f t="shared" si="2"/>
        <v xml:space="preserve">  </v>
      </c>
      <c r="C21" s="81" t="str">
        <f t="shared" si="3"/>
        <v xml:space="preserve">  </v>
      </c>
      <c r="D21" s="81" t="str">
        <f t="shared" si="4"/>
        <v xml:space="preserve"> </v>
      </c>
      <c r="E21" s="77" t="str">
        <f t="shared" si="5"/>
        <v xml:space="preserve"> </v>
      </c>
      <c r="G21" s="91"/>
      <c r="H21" s="91" t="str">
        <f>G14</f>
        <v>Rise</v>
      </c>
      <c r="I21" s="79" t="e">
        <f>H14</f>
        <v>#VALUE!</v>
      </c>
      <c r="J21" s="68">
        <v>0</v>
      </c>
      <c r="K21" s="68">
        <v>1</v>
      </c>
      <c r="L21" s="69">
        <f>J21*K21</f>
        <v>0</v>
      </c>
      <c r="M21" t="s">
        <v>93</v>
      </c>
      <c r="N21" t="e">
        <f>(I22-I21)*WLS</f>
        <v>#VALUE!</v>
      </c>
      <c r="Q21" s="66" t="str">
        <f t="shared" ref="Q21:R25" si="8">G5</f>
        <v>1st_UWL</v>
      </c>
      <c r="R21" s="67" t="str">
        <f t="shared" si="8"/>
        <v>#NA</v>
      </c>
      <c r="S21" s="76" t="str">
        <f>R23</f>
        <v>#NA</v>
      </c>
      <c r="T21" s="77" t="e">
        <f>VLOOKUP(S21,STN_TABLE,2,FALSE)</f>
        <v>#N/A</v>
      </c>
      <c r="U21" s="77">
        <v>8</v>
      </c>
      <c r="V21" s="77" t="e">
        <f>T21*U21</f>
        <v>#N/A</v>
      </c>
      <c r="W21" s="77">
        <v>10</v>
      </c>
      <c r="X21" s="77" t="e">
        <f>T21*W21</f>
        <v>#N/A</v>
      </c>
      <c r="Y21" s="78" t="s">
        <v>97</v>
      </c>
      <c r="Z21" s="78"/>
      <c r="AA21" s="78" t="s">
        <v>98</v>
      </c>
      <c r="AB21" s="78"/>
      <c r="AC21" s="7" t="s">
        <v>99</v>
      </c>
      <c r="AD21" s="7"/>
      <c r="AE21" s="80"/>
    </row>
    <row r="22" spans="1:35" x14ac:dyDescent="0.25">
      <c r="A22">
        <v>19</v>
      </c>
      <c r="B22" s="80" t="str">
        <f t="shared" si="2"/>
        <v xml:space="preserve">  </v>
      </c>
      <c r="C22" s="81" t="str">
        <f t="shared" si="3"/>
        <v xml:space="preserve">  </v>
      </c>
      <c r="D22" s="81" t="str">
        <f t="shared" si="4"/>
        <v xml:space="preserve"> </v>
      </c>
      <c r="E22" s="77" t="str">
        <f t="shared" si="5"/>
        <v xml:space="preserve"> </v>
      </c>
      <c r="G22" s="91"/>
      <c r="H22" s="91" t="str">
        <f>G15</f>
        <v>1st_UWL</v>
      </c>
      <c r="I22" s="88" t="str">
        <f>H15</f>
        <v>#NA</v>
      </c>
      <c r="J22" s="82" t="e">
        <f>VLOOKUP(I22,STN_TABLE,2,FALSE)</f>
        <v>#N/A</v>
      </c>
      <c r="K22" s="82">
        <v>2</v>
      </c>
      <c r="L22" s="83" t="e">
        <f>J22*K22</f>
        <v>#N/A</v>
      </c>
      <c r="M22" t="str">
        <f>CONCATENATE("A(",I22,")=")</f>
        <v>A(#NA)=</v>
      </c>
      <c r="N22" t="e">
        <f>2*N21/2*J23</f>
        <v>#VALUE!</v>
      </c>
      <c r="Q22" s="66" t="str">
        <f t="shared" si="8"/>
        <v>2nd_UWL</v>
      </c>
      <c r="R22" s="67" t="str">
        <f t="shared" si="8"/>
        <v>#NA</v>
      </c>
      <c r="S22" s="82" t="e">
        <f>IF(S20-S21=S21-R24,R24,IF(S20-S21=S21-R25,R25,"-"))</f>
        <v>#VALUE!</v>
      </c>
      <c r="T22" s="83" t="e">
        <f>VLOOKUP(S22,STN_TABLE,2,FALSE)</f>
        <v>#VALUE!</v>
      </c>
      <c r="U22" s="83">
        <v>-1</v>
      </c>
      <c r="V22" s="83" t="e">
        <f>T22*U22</f>
        <v>#VALUE!</v>
      </c>
      <c r="W22" s="83">
        <v>-1</v>
      </c>
      <c r="X22" s="83" t="e">
        <f>T22*W22</f>
        <v>#VALUE!</v>
      </c>
      <c r="Y22" s="84" t="str">
        <f>CONCATENATE("a'(",S21,")=")</f>
        <v>a'(#NA)=</v>
      </c>
      <c r="Z22" s="84" t="e">
        <f>2*Z20/12*V23</f>
        <v>#VALUE!</v>
      </c>
      <c r="AA22" s="84" t="e">
        <f>CONCATENATE("A(",S20,")=")</f>
        <v>#VALUE!</v>
      </c>
      <c r="AB22" s="84" t="e">
        <f>IF(S20=RisePerWLS,0,VLOOKUP(S20,STN_TABLE,3,FALSE))</f>
        <v>#VALUE!</v>
      </c>
      <c r="AC22" t="str">
        <f>CONCATENATE("A(",S21,")=")</f>
        <v>A(#NA)=</v>
      </c>
      <c r="AD22" t="e">
        <f>Z22+AB22</f>
        <v>#VALUE!</v>
      </c>
      <c r="AE22" s="80"/>
    </row>
    <row r="23" spans="1:35" x14ac:dyDescent="0.25">
      <c r="A23">
        <v>20</v>
      </c>
      <c r="B23" s="80" t="str">
        <f t="shared" si="2"/>
        <v xml:space="preserve">  </v>
      </c>
      <c r="C23" s="81" t="str">
        <f t="shared" si="3"/>
        <v xml:space="preserve">  </v>
      </c>
      <c r="D23" s="81" t="str">
        <f t="shared" si="4"/>
        <v xml:space="preserve"> </v>
      </c>
      <c r="E23" s="77" t="str">
        <f t="shared" si="5"/>
        <v xml:space="preserve"> </v>
      </c>
      <c r="J23" s="89" t="e">
        <f>SUM(J21:J22)</f>
        <v>#N/A</v>
      </c>
      <c r="L23" s="89" t="e">
        <f>SUM(L21:L22)</f>
        <v>#N/A</v>
      </c>
      <c r="M23" t="str">
        <f>CONCATENATE("M(",I22,")=")</f>
        <v>M(#NA)=</v>
      </c>
      <c r="N23" t="e">
        <f>(2*(N21^2)/6*L23)+N22*I21*WLS</f>
        <v>#VALUE!</v>
      </c>
      <c r="Q23" s="66" t="str">
        <f t="shared" si="8"/>
        <v>3rd_UWL</v>
      </c>
      <c r="R23" s="67" t="str">
        <f t="shared" si="8"/>
        <v>#NA</v>
      </c>
      <c r="V23" s="89" t="e">
        <f>SUM(V20:V22)</f>
        <v>#VALUE!</v>
      </c>
      <c r="X23" s="89" t="e">
        <f>SUM(X20:X22)</f>
        <v>#VALUE!</v>
      </c>
      <c r="Y23" s="84" t="str">
        <f>CONCATENATE("m'(",S21,")=")</f>
        <v>m'(#NA)=</v>
      </c>
      <c r="Z23" s="84" t="e">
        <f>(2*(Z20^2)/24*X23)+(Z22*S20*WLS)</f>
        <v>#VALUE!</v>
      </c>
      <c r="AA23" s="84" t="e">
        <f>CONCATENATE("M(",S20,")=")</f>
        <v>#VALUE!</v>
      </c>
      <c r="AB23" s="84" t="e">
        <f>IF(S20=RisePerWLS,0,VLOOKUP(S20,STN_TABLE,4,FALSE))</f>
        <v>#VALUE!</v>
      </c>
      <c r="AC23" t="str">
        <f>CONCATENATE("M(",S21,")=")</f>
        <v>M(#NA)=</v>
      </c>
      <c r="AD23" t="e">
        <f>Z23+AB23</f>
        <v>#VALUE!</v>
      </c>
      <c r="AE23" s="80"/>
    </row>
    <row r="24" spans="1:35" x14ac:dyDescent="0.25">
      <c r="A24">
        <v>21</v>
      </c>
      <c r="B24" s="80" t="str">
        <f t="shared" si="2"/>
        <v xml:space="preserve">  </v>
      </c>
      <c r="C24" s="81" t="str">
        <f t="shared" si="3"/>
        <v xml:space="preserve">  </v>
      </c>
      <c r="D24" s="81" t="str">
        <f t="shared" si="4"/>
        <v xml:space="preserve"> </v>
      </c>
      <c r="E24" s="77" t="str">
        <f t="shared" si="5"/>
        <v xml:space="preserve"> </v>
      </c>
      <c r="Q24" s="66" t="str">
        <f t="shared" si="8"/>
        <v>4th_UWL</v>
      </c>
      <c r="R24" s="67" t="str">
        <f t="shared" si="8"/>
        <v>#NA</v>
      </c>
      <c r="U24" t="s">
        <v>103</v>
      </c>
      <c r="W24" t="str">
        <f>CONCATENATE("A(",S21,")=")</f>
        <v>A(#NA)=</v>
      </c>
      <c r="X24" t="e">
        <f>IF(OR(AD22&lt;=0,AD23&lt;=0),AD27,AD22)</f>
        <v>#VALUE!</v>
      </c>
      <c r="AE24" s="80"/>
    </row>
    <row r="25" spans="1:35" x14ac:dyDescent="0.25">
      <c r="A25">
        <v>22</v>
      </c>
      <c r="B25" s="80" t="str">
        <f t="shared" si="2"/>
        <v xml:space="preserve">  </v>
      </c>
      <c r="C25" s="81" t="str">
        <f t="shared" si="3"/>
        <v xml:space="preserve">  </v>
      </c>
      <c r="D25" s="81" t="str">
        <f t="shared" si="4"/>
        <v xml:space="preserve"> </v>
      </c>
      <c r="E25" s="77" t="str">
        <f t="shared" si="5"/>
        <v xml:space="preserve"> </v>
      </c>
      <c r="G25" s="71" t="s">
        <v>111</v>
      </c>
      <c r="Q25" s="66" t="str">
        <f t="shared" si="8"/>
        <v>5th_UWL</v>
      </c>
      <c r="R25" s="67" t="str">
        <f t="shared" si="8"/>
        <v>#NA</v>
      </c>
      <c r="W25" t="str">
        <f>CONCATENATE("M(",S21,")=")</f>
        <v>M(#NA)=</v>
      </c>
      <c r="X25" t="e">
        <f>IF(OR(AD22&lt;=0,AD23&lt;=0),AD28,AD23)</f>
        <v>#VALUE!</v>
      </c>
      <c r="Y25" s="6" t="s">
        <v>93</v>
      </c>
      <c r="Z25" s="70" t="e">
        <f>WLS*(U27-U26)</f>
        <v>#VALUE!</v>
      </c>
      <c r="AE25" s="80"/>
    </row>
    <row r="26" spans="1:35" x14ac:dyDescent="0.25">
      <c r="A26">
        <v>23</v>
      </c>
      <c r="B26" s="80" t="str">
        <f t="shared" si="2"/>
        <v xml:space="preserve">  </v>
      </c>
      <c r="C26" s="81" t="str">
        <f t="shared" si="3"/>
        <v xml:space="preserve">  </v>
      </c>
      <c r="D26" s="81" t="str">
        <f t="shared" si="4"/>
        <v xml:space="preserve"> </v>
      </c>
      <c r="E26" s="77" t="str">
        <f t="shared" si="5"/>
        <v xml:space="preserve"> </v>
      </c>
      <c r="G26" s="91" t="str">
        <f t="shared" ref="G26:H28" si="9">G4</f>
        <v>Rise</v>
      </c>
      <c r="H26" s="91" t="e">
        <f t="shared" si="9"/>
        <v>#VALUE!</v>
      </c>
      <c r="I26" s="68" t="e">
        <f>H26</f>
        <v>#VALUE!</v>
      </c>
      <c r="J26" s="69">
        <v>0</v>
      </c>
      <c r="K26" s="69">
        <v>1</v>
      </c>
      <c r="L26" s="69">
        <f>J26*K26</f>
        <v>0</v>
      </c>
      <c r="M26" s="69" t="e">
        <f>I26</f>
        <v>#VALUE!</v>
      </c>
      <c r="N26" s="69" t="e">
        <f>L26*M26</f>
        <v>#VALUE!</v>
      </c>
      <c r="O26" t="s">
        <v>93</v>
      </c>
      <c r="P26" t="e">
        <f>IF(OR(J26=0,J27=0,J28=0),"#NA",IF(I28-I27=I27-I26,WLS*(I27-I26),"#NA"))</f>
        <v>#VALUE!</v>
      </c>
      <c r="Q26" s="66"/>
      <c r="R26" s="67"/>
      <c r="U26" s="79" t="str">
        <f>R22</f>
        <v>#NA</v>
      </c>
      <c r="V26" s="68" t="e">
        <f>VLOOKUP(U26,STN_TABLE,2,FALSE)</f>
        <v>#N/A</v>
      </c>
      <c r="W26" s="68">
        <v>1</v>
      </c>
      <c r="X26" s="69" t="e">
        <f>V26*W26</f>
        <v>#N/A</v>
      </c>
      <c r="Y26" s="78" t="s">
        <v>97</v>
      </c>
      <c r="Z26" s="78"/>
      <c r="AA26" s="78" t="s">
        <v>98</v>
      </c>
      <c r="AB26" s="78"/>
      <c r="AC26" s="7" t="s">
        <v>99</v>
      </c>
      <c r="AD26" s="7"/>
      <c r="AE26" s="80"/>
    </row>
    <row r="27" spans="1:35" x14ac:dyDescent="0.25">
      <c r="A27">
        <v>24</v>
      </c>
      <c r="B27" s="80" t="str">
        <f t="shared" si="2"/>
        <v xml:space="preserve">  </v>
      </c>
      <c r="C27" s="81" t="str">
        <f t="shared" si="3"/>
        <v xml:space="preserve">  </v>
      </c>
      <c r="D27" s="81" t="str">
        <f t="shared" si="4"/>
        <v xml:space="preserve"> </v>
      </c>
      <c r="E27" s="77" t="str">
        <f t="shared" si="5"/>
        <v xml:space="preserve"> </v>
      </c>
      <c r="G27" s="91" t="str">
        <f t="shared" si="9"/>
        <v>1st_UWL</v>
      </c>
      <c r="H27" s="91" t="str">
        <f t="shared" si="9"/>
        <v>#NA</v>
      </c>
      <c r="I27" s="76" t="e">
        <f>IF(H28-H27=H27-H26,H28,"#NA")</f>
        <v>#VALUE!</v>
      </c>
      <c r="J27" s="77" t="e">
        <f>VLOOKUP(I27,STN_TABLE,2,FALSE)</f>
        <v>#VALUE!</v>
      </c>
      <c r="K27" s="77">
        <v>4</v>
      </c>
      <c r="L27" s="77" t="e">
        <f>J27*K27</f>
        <v>#VALUE!</v>
      </c>
      <c r="M27" s="77" t="e">
        <f>I27</f>
        <v>#VALUE!</v>
      </c>
      <c r="N27" s="77" t="e">
        <f>L27*M27</f>
        <v>#VALUE!</v>
      </c>
      <c r="O27" t="e">
        <f>CONCATENATE("A(",I28,")=")</f>
        <v>#VALUE!</v>
      </c>
      <c r="P27" t="e">
        <f>2*P26/3*L29</f>
        <v>#VALUE!</v>
      </c>
      <c r="Q27" s="80"/>
      <c r="R27" s="81"/>
      <c r="U27" s="88" t="str">
        <f>R23</f>
        <v>#NA</v>
      </c>
      <c r="V27" s="82" t="e">
        <f>VLOOKUP(U27,STN_TABLE,2,FALSE)</f>
        <v>#N/A</v>
      </c>
      <c r="W27" s="82">
        <v>2</v>
      </c>
      <c r="X27" s="83" t="e">
        <f>V27*W27</f>
        <v>#N/A</v>
      </c>
      <c r="Y27" s="84" t="str">
        <f>CONCATENATE("a'(",U27,")=")</f>
        <v>a'(#NA)=</v>
      </c>
      <c r="Z27" s="84" t="e">
        <f>2*Z25/2*V28</f>
        <v>#VALUE!</v>
      </c>
      <c r="AA27" s="84" t="str">
        <f>CONCATENATE("A(",U26,")=")</f>
        <v>A(#NA)=</v>
      </c>
      <c r="AB27" s="84" t="e">
        <f>IF(U26=RisePerWLS,0,VLOOKUP(U26,STN_TABLE,3,FALSE))</f>
        <v>#VALUE!</v>
      </c>
      <c r="AC27" t="str">
        <f>CONCATENATE("A(",U27,")=")</f>
        <v>A(#NA)=</v>
      </c>
      <c r="AD27" t="e">
        <f>Z27+AB27</f>
        <v>#VALUE!</v>
      </c>
      <c r="AE27" s="80"/>
    </row>
    <row r="28" spans="1:35" x14ac:dyDescent="0.25">
      <c r="A28">
        <v>25</v>
      </c>
      <c r="B28" s="88" t="str">
        <f t="shared" si="2"/>
        <v xml:space="preserve">  </v>
      </c>
      <c r="C28" s="92" t="str">
        <f t="shared" si="3"/>
        <v xml:space="preserve">  </v>
      </c>
      <c r="D28" s="81" t="str">
        <f t="shared" si="4"/>
        <v xml:space="preserve"> </v>
      </c>
      <c r="E28" s="77" t="str">
        <f t="shared" si="5"/>
        <v xml:space="preserve"> </v>
      </c>
      <c r="G28" s="91" t="str">
        <f t="shared" si="9"/>
        <v>2nd_UWL</v>
      </c>
      <c r="H28" s="91" t="str">
        <f t="shared" si="9"/>
        <v>#NA</v>
      </c>
      <c r="I28" s="82" t="e">
        <f>IF(H28-H27=H27-H26,H28,"#NA")</f>
        <v>#VALUE!</v>
      </c>
      <c r="J28" s="83" t="e">
        <f>VLOOKUP(I28,STN_TABLE,2,FALSE)</f>
        <v>#VALUE!</v>
      </c>
      <c r="K28" s="83">
        <v>1</v>
      </c>
      <c r="L28" s="83" t="e">
        <f>J28*K28</f>
        <v>#VALUE!</v>
      </c>
      <c r="M28" s="83" t="e">
        <f>I28</f>
        <v>#VALUE!</v>
      </c>
      <c r="N28" s="83" t="e">
        <f>L28*M28</f>
        <v>#VALUE!</v>
      </c>
      <c r="O28" t="e">
        <f>CONCATENATE("M(",I28,")=")</f>
        <v>#VALUE!</v>
      </c>
      <c r="P28" t="e">
        <f>2*(P26*WLS)/3*N29</f>
        <v>#VALUE!</v>
      </c>
      <c r="Q28" s="80"/>
      <c r="R28" s="81"/>
      <c r="V28" s="89" t="e">
        <f>SUM(V26:V27)</f>
        <v>#N/A</v>
      </c>
      <c r="X28" s="89" t="e">
        <f>SUM(X26:X27)</f>
        <v>#N/A</v>
      </c>
      <c r="Y28" s="84" t="str">
        <f>CONCATENATE("m'(",U27,")=")</f>
        <v>m'(#NA)=</v>
      </c>
      <c r="Z28" s="84" t="e">
        <f>(2*(Z25^2)/6*X28)+(Z27*U26*WLS)</f>
        <v>#VALUE!</v>
      </c>
      <c r="AA28" s="84" t="str">
        <f>CONCATENATE("M(",U26,")=")</f>
        <v>M(#NA)=</v>
      </c>
      <c r="AB28" s="84" t="e">
        <f>IF(U26=RisePerWLS,0,VLOOKUP(U26,STN_TABLE,4,FALSE))</f>
        <v>#VALUE!</v>
      </c>
      <c r="AC28" t="str">
        <f>CONCATENATE("M(",U27,")=")</f>
        <v>M(#NA)=</v>
      </c>
      <c r="AD28" t="e">
        <f>Z28+AB28</f>
        <v>#VALUE!</v>
      </c>
      <c r="AE28" s="80"/>
    </row>
    <row r="29" spans="1:35" x14ac:dyDescent="0.25">
      <c r="G29" s="91"/>
      <c r="H29" s="91"/>
      <c r="L29" s="89" t="e">
        <f>SUM(L26:L28)</f>
        <v>#VALUE!</v>
      </c>
      <c r="N29" s="89" t="e">
        <f>SUM(N26:N28)</f>
        <v>#VALUE!</v>
      </c>
      <c r="Q29" s="80"/>
      <c r="R29" s="81"/>
      <c r="AE29" s="80"/>
    </row>
    <row r="30" spans="1:35" x14ac:dyDescent="0.25">
      <c r="G30" s="91"/>
      <c r="H30" s="91"/>
    </row>
    <row r="31" spans="1:35" x14ac:dyDescent="0.25">
      <c r="G31" s="91"/>
      <c r="H31" s="91"/>
    </row>
    <row r="32" spans="1:35" x14ac:dyDescent="0.25">
      <c r="G32" s="91"/>
      <c r="H32" s="91"/>
      <c r="Q32" s="68">
        <f>B4</f>
        <v>0</v>
      </c>
      <c r="R32" s="69">
        <f>VLOOKUP(Q32,STN_TABLE,2,FALSE)</f>
        <v>9.6999999999999993</v>
      </c>
      <c r="S32" s="69">
        <v>5</v>
      </c>
      <c r="T32" s="68">
        <f>R32*S32</f>
        <v>48.5</v>
      </c>
      <c r="U32" s="79">
        <v>3</v>
      </c>
      <c r="V32" s="68">
        <f>R32*U32</f>
        <v>29.099999999999998</v>
      </c>
      <c r="W32" t="s">
        <v>93</v>
      </c>
      <c r="X32" s="70">
        <f>IF(AND(Q34-Q33=Q33-Q32,NOT(AND(Q32=0,Q33=0)),NOT(AND(Q33=0,Q34=0))),WLS*(Q34-Q33),"#NA")</f>
        <v>0.5</v>
      </c>
      <c r="AD32" s="93"/>
      <c r="AH32" s="6" t="s">
        <v>93</v>
      </c>
      <c r="AI32" s="70">
        <f>WLS*(AD34-AD33)</f>
        <v>0.5</v>
      </c>
    </row>
    <row r="33" spans="1:47" x14ac:dyDescent="0.25">
      <c r="Q33" s="76">
        <f>B5</f>
        <v>0.25</v>
      </c>
      <c r="R33" s="77">
        <f>VLOOKUP(Q33,STN_TABLE,2,FALSE)</f>
        <v>10.45</v>
      </c>
      <c r="S33" s="77">
        <v>8</v>
      </c>
      <c r="T33" s="76">
        <f>R33*S33</f>
        <v>83.6</v>
      </c>
      <c r="U33" s="80">
        <v>10</v>
      </c>
      <c r="V33" s="76">
        <f>R33*U33</f>
        <v>104.5</v>
      </c>
      <c r="W33" s="495" t="s">
        <v>97</v>
      </c>
      <c r="X33" s="496"/>
      <c r="Y33" s="496" t="s">
        <v>98</v>
      </c>
      <c r="Z33" s="496"/>
      <c r="AA33" s="494" t="s">
        <v>99</v>
      </c>
      <c r="AB33" s="494"/>
      <c r="AC33" s="94">
        <v>1</v>
      </c>
      <c r="AD33" s="95">
        <f>VLOOKUP(AC33,STN_TABLE_2,2,FALSE)</f>
        <v>0</v>
      </c>
      <c r="AE33" s="68">
        <f>VLOOKUP(AD33,STN_TABLE,2,FALSE)</f>
        <v>9.6999999999999993</v>
      </c>
      <c r="AF33" s="68">
        <v>1</v>
      </c>
      <c r="AG33" s="69">
        <f>AE33*AF33</f>
        <v>9.6999999999999993</v>
      </c>
      <c r="AH33" s="496" t="s">
        <v>97</v>
      </c>
      <c r="AI33" s="496"/>
      <c r="AJ33" s="496" t="s">
        <v>98</v>
      </c>
      <c r="AK33" s="496"/>
      <c r="AL33" s="494" t="s">
        <v>99</v>
      </c>
      <c r="AM33" s="494"/>
      <c r="AP33" s="96" t="s">
        <v>112</v>
      </c>
      <c r="AQ33" s="89" t="s">
        <v>113</v>
      </c>
      <c r="AR33" s="89" t="s">
        <v>114</v>
      </c>
      <c r="AS33" s="89" t="s">
        <v>115</v>
      </c>
      <c r="AT33" s="97" t="s">
        <v>116</v>
      </c>
      <c r="AU33" s="98"/>
    </row>
    <row r="34" spans="1:47" x14ac:dyDescent="0.25">
      <c r="Q34" s="82">
        <f>B6</f>
        <v>0.5</v>
      </c>
      <c r="R34" s="83">
        <f>VLOOKUP(Q34,STN_TABLE,2,FALSE)</f>
        <v>10.75</v>
      </c>
      <c r="S34" s="83">
        <v>-1</v>
      </c>
      <c r="T34" s="82">
        <f>R34*S34</f>
        <v>-10.75</v>
      </c>
      <c r="U34" s="88">
        <v>-1</v>
      </c>
      <c r="V34" s="82">
        <f>R34*U34</f>
        <v>-10.75</v>
      </c>
      <c r="W34" s="84" t="str">
        <f>CONCATENATE("a'(",Q33,")=")</f>
        <v>a'(0.25)=</v>
      </c>
      <c r="X34" s="84">
        <f>2*X32/12*T35</f>
        <v>10.112499999999999</v>
      </c>
      <c r="Y34" s="84" t="str">
        <f>CONCATENATE("A(",Q32,")=")</f>
        <v>A(0)=</v>
      </c>
      <c r="Z34" s="84">
        <f>VLOOKUP(Q32,STN_TABLE,3,FALSE)</f>
        <v>0</v>
      </c>
      <c r="AA34" t="str">
        <f>CONCATENATE("A(",Q33,")=")</f>
        <v>A(0.25)=</v>
      </c>
      <c r="AB34">
        <f>X34+Z34</f>
        <v>10.112499999999999</v>
      </c>
      <c r="AC34" s="99">
        <f>AC33+1</f>
        <v>2</v>
      </c>
      <c r="AD34" s="100">
        <f>VLOOKUP(AC34,STN_TABLE_2,2,FALSE)</f>
        <v>0.25</v>
      </c>
      <c r="AE34" s="82">
        <f>VLOOKUP(AD34,STN_TABLE,2,FALSE)</f>
        <v>10.45</v>
      </c>
      <c r="AF34" s="82">
        <v>2</v>
      </c>
      <c r="AG34" s="83">
        <f>AE34*AF34</f>
        <v>20.9</v>
      </c>
      <c r="AH34" s="84" t="str">
        <f>CONCATENATE("a'(",AD34,")=")</f>
        <v>a'(0.25)=</v>
      </c>
      <c r="AI34" s="84">
        <f>2*AI32/2*AE35</f>
        <v>10.074999999999999</v>
      </c>
      <c r="AJ34" s="84" t="str">
        <f>CONCATENATE("A(",AD33,")=")</f>
        <v>A(0)=</v>
      </c>
      <c r="AK34" s="84">
        <f>VLOOKUP(AD33,STN_TABLE,3,FALSE)</f>
        <v>0</v>
      </c>
      <c r="AL34" t="str">
        <f>CONCATENATE("A(",AD34,")=")</f>
        <v>A(0.25)=</v>
      </c>
      <c r="AM34">
        <f>AI34+AK34</f>
        <v>10.074999999999999</v>
      </c>
      <c r="AO34" s="68" t="str">
        <f>AA34</f>
        <v>A(0.25)=</v>
      </c>
      <c r="AP34" s="79" t="e">
        <f>VLOOKUP(AO34,Rise_Results,2,FALSE)</f>
        <v>#N/A</v>
      </c>
      <c r="AQ34" s="76" t="s">
        <v>117</v>
      </c>
      <c r="AR34" s="76">
        <f>IF(OR(AB34&lt;=0,AB35&lt;=0),1/0,AB34)</f>
        <v>10.112499999999999</v>
      </c>
      <c r="AS34" s="76">
        <f>AM34</f>
        <v>10.074999999999999</v>
      </c>
      <c r="AT34" s="80">
        <f>IFERROR(AP34,IFERROR(AR34,AS34))</f>
        <v>10.112499999999999</v>
      </c>
    </row>
    <row r="35" spans="1:47" x14ac:dyDescent="0.25">
      <c r="A35" s="101"/>
      <c r="T35" s="89">
        <f>SUM(T32:T34)</f>
        <v>121.35</v>
      </c>
      <c r="V35" s="82">
        <f>SUM(V32:V34)</f>
        <v>122.85</v>
      </c>
      <c r="W35" s="84" t="str">
        <f>CONCATENATE("m'(",Q33,")=")</f>
        <v>m'(0.25)=</v>
      </c>
      <c r="X35" s="84">
        <f>(2*(X32^2)/24*V35)</f>
        <v>2.5593749999999997</v>
      </c>
      <c r="Y35" s="84" t="str">
        <f>CONCATENATE("M(",Q32,")=")</f>
        <v>M(0)=</v>
      </c>
      <c r="Z35" s="84">
        <f>VLOOKUP(Q32,STN_TABLE,4,FALSE)</f>
        <v>0</v>
      </c>
      <c r="AA35" t="str">
        <f>CONCATENATE("M(",Q33,")=")</f>
        <v>M(0.25)=</v>
      </c>
      <c r="AB35">
        <f>X35+Z35</f>
        <v>2.5593749999999997</v>
      </c>
      <c r="AE35" s="89">
        <f>SUM(AE33:AE34)</f>
        <v>20.149999999999999</v>
      </c>
      <c r="AG35" s="89">
        <f>SUM(AG33:AG34)</f>
        <v>30.599999999999998</v>
      </c>
      <c r="AH35" s="84" t="str">
        <f>CONCATENATE("m'(",AD34,")=")</f>
        <v>m'(0.25)=</v>
      </c>
      <c r="AI35" s="84">
        <f>(2*(AI32^2)/6*AG35)+(AI34*AD33*WLS)</f>
        <v>2.5499999999999998</v>
      </c>
      <c r="AJ35" s="84" t="str">
        <f>CONCATENATE("M(",AD33,")=")</f>
        <v>M(0)=</v>
      </c>
      <c r="AK35" s="84">
        <f>VLOOKUP(AD33,STN_TABLE,4,FALSE)</f>
        <v>0</v>
      </c>
      <c r="AL35" t="str">
        <f>CONCATENATE("M(",AD34,")=")</f>
        <v>M(0.25)=</v>
      </c>
      <c r="AM35">
        <f>AI35+AK35</f>
        <v>2.5499999999999998</v>
      </c>
      <c r="AO35" s="82" t="str">
        <f>AA35</f>
        <v>M(0.25)=</v>
      </c>
      <c r="AP35" s="88" t="e">
        <f>VLOOKUP(AO35,Rise_Results,2,FALSE)</f>
        <v>#N/A</v>
      </c>
      <c r="AQ35" s="82" t="s">
        <v>117</v>
      </c>
      <c r="AR35" s="82">
        <f>IF(OR(AB34&lt;=0,AB35&lt;=0),1/0,AB35)</f>
        <v>2.5593749999999997</v>
      </c>
      <c r="AS35" s="82">
        <f>AM35</f>
        <v>2.5499999999999998</v>
      </c>
      <c r="AT35" s="80">
        <f>IFERROR(AP35,IFERROR(AR35,AS35))</f>
        <v>2.5593749999999997</v>
      </c>
    </row>
    <row r="36" spans="1:47" x14ac:dyDescent="0.25">
      <c r="O36" s="94">
        <v>1</v>
      </c>
      <c r="P36" s="101">
        <f t="shared" ref="P36:P67" si="10">VLOOKUP(O36,STN_TABLE_2,2,FALSE)</f>
        <v>0</v>
      </c>
      <c r="AU36" s="81"/>
    </row>
    <row r="37" spans="1:47" x14ac:dyDescent="0.25">
      <c r="A37" s="94">
        <v>1</v>
      </c>
      <c r="B37" s="94">
        <f>VLOOKUP(A37,STN_TABLE_2,2,FALSE)</f>
        <v>0</v>
      </c>
      <c r="C37" s="79">
        <f>B37</f>
        <v>0</v>
      </c>
      <c r="D37" s="68">
        <f>VLOOKUP(C37,STN_TABLE,2,FALSE)</f>
        <v>9.6999999999999993</v>
      </c>
      <c r="E37" s="102">
        <v>1</v>
      </c>
      <c r="F37" s="68">
        <f>D37*E37</f>
        <v>9.6999999999999993</v>
      </c>
      <c r="G37" s="69">
        <f>C37</f>
        <v>0</v>
      </c>
      <c r="H37" s="69">
        <f>F37*G37</f>
        <v>0</v>
      </c>
      <c r="I37" s="6" t="s">
        <v>93</v>
      </c>
      <c r="J37" s="70">
        <f>IF(OR(D37=0,D38=0,D39=0),"#NA",IF(AND(C39-C38=C38-C37,C38&lt;&gt;C39,C37&lt;&gt;C38,C37&lt;&gt;C39,D39&lt;&gt;0,OR(D37&lt;&gt;0,D38&lt;&gt;0)),WLS*(C39-C38),"#NA"))</f>
        <v>0.5</v>
      </c>
      <c r="O37" s="99">
        <f>O36+1</f>
        <v>2</v>
      </c>
      <c r="P37" s="99">
        <f t="shared" si="10"/>
        <v>0.25</v>
      </c>
      <c r="Q37" s="68">
        <f>IF(OR(P39-P38=P38-P37,P40-P38=P38-P37),P37,IF(OR(P39-P38=P38-P36,P40-P38=P38-P36),P36,"-"))</f>
        <v>0.25</v>
      </c>
      <c r="R37" s="69">
        <f>VLOOKUP(Q37,STN_TABLE,2,FALSE)</f>
        <v>10.45</v>
      </c>
      <c r="S37" s="69">
        <v>5</v>
      </c>
      <c r="T37" s="68">
        <f>R37*S37</f>
        <v>52.25</v>
      </c>
      <c r="U37" s="79">
        <v>3</v>
      </c>
      <c r="V37" s="68">
        <f>R37*U37</f>
        <v>31.349999999999998</v>
      </c>
      <c r="W37" s="6" t="s">
        <v>93</v>
      </c>
      <c r="X37" s="70">
        <f>IF(AND(Q39-Q38=Q38-Q37,NOT(AND(Q37=0,Q38=0)),NOT(AND(Q38=0,Q39=0))),WLS*(Q39-Q38),"#NA")</f>
        <v>0.5</v>
      </c>
      <c r="AD37" s="93"/>
      <c r="AH37" s="6" t="s">
        <v>93</v>
      </c>
      <c r="AI37" s="70">
        <f>WLS*(AD39-AD38)</f>
        <v>0.5</v>
      </c>
      <c r="AU37" s="81"/>
    </row>
    <row r="38" spans="1:47" x14ac:dyDescent="0.25">
      <c r="A38" s="94">
        <f>A37+1</f>
        <v>2</v>
      </c>
      <c r="B38" s="94">
        <f>VLOOKUP(A38,STN_TABLE_2,2,FALSE)</f>
        <v>0.25</v>
      </c>
      <c r="C38" s="80">
        <f>B38</f>
        <v>0.25</v>
      </c>
      <c r="D38" s="76">
        <f>VLOOKUP(C38,STN_TABLE,2,FALSE)</f>
        <v>10.45</v>
      </c>
      <c r="E38" s="81">
        <v>4</v>
      </c>
      <c r="F38" s="76">
        <f>D38*E38</f>
        <v>41.8</v>
      </c>
      <c r="G38" s="77">
        <f>C38</f>
        <v>0.25</v>
      </c>
      <c r="H38" s="77">
        <f>F38*G38</f>
        <v>10.45</v>
      </c>
      <c r="I38" s="496" t="s">
        <v>97</v>
      </c>
      <c r="J38" s="496"/>
      <c r="K38" s="78" t="s">
        <v>98</v>
      </c>
      <c r="L38" s="78"/>
      <c r="M38" s="7" t="s">
        <v>99</v>
      </c>
      <c r="N38" s="7"/>
      <c r="O38" s="99">
        <f>O37+1</f>
        <v>3</v>
      </c>
      <c r="P38" s="99">
        <f t="shared" si="10"/>
        <v>0.5</v>
      </c>
      <c r="Q38" s="76">
        <f>P38</f>
        <v>0.5</v>
      </c>
      <c r="R38" s="77">
        <f>VLOOKUP(Q38,STN_TABLE,2,FALSE)</f>
        <v>10.75</v>
      </c>
      <c r="S38" s="77">
        <v>8</v>
      </c>
      <c r="T38" s="76">
        <f>R38*S38</f>
        <v>86</v>
      </c>
      <c r="U38" s="80">
        <v>10</v>
      </c>
      <c r="V38" s="76">
        <f>R38*U38</f>
        <v>107.5</v>
      </c>
      <c r="W38" s="496" t="s">
        <v>97</v>
      </c>
      <c r="X38" s="496"/>
      <c r="Y38" s="496" t="s">
        <v>98</v>
      </c>
      <c r="Z38" s="496"/>
      <c r="AA38" s="494" t="s">
        <v>99</v>
      </c>
      <c r="AB38" s="494"/>
      <c r="AC38" s="99">
        <f>AC33+1</f>
        <v>2</v>
      </c>
      <c r="AD38" s="95">
        <f>VLOOKUP(AC38,STN_TABLE_2,2,FALSE)</f>
        <v>0.25</v>
      </c>
      <c r="AE38" s="68">
        <f>VLOOKUP(AD38,STN_TABLE,2,FALSE)</f>
        <v>10.45</v>
      </c>
      <c r="AF38" s="68">
        <v>1</v>
      </c>
      <c r="AG38" s="69">
        <f>AE38*AF38</f>
        <v>10.45</v>
      </c>
      <c r="AH38" s="496" t="s">
        <v>97</v>
      </c>
      <c r="AI38" s="496"/>
      <c r="AJ38" s="496" t="s">
        <v>98</v>
      </c>
      <c r="AK38" s="496"/>
      <c r="AL38" s="494" t="s">
        <v>99</v>
      </c>
      <c r="AM38" s="494"/>
      <c r="AP38" s="86" t="s">
        <v>112</v>
      </c>
      <c r="AQ38" s="89" t="s">
        <v>113</v>
      </c>
      <c r="AR38" s="89" t="s">
        <v>114</v>
      </c>
      <c r="AS38" s="89" t="s">
        <v>115</v>
      </c>
    </row>
    <row r="39" spans="1:47" x14ac:dyDescent="0.25">
      <c r="A39" s="94">
        <f>A38+1</f>
        <v>3</v>
      </c>
      <c r="B39" s="94">
        <f>VLOOKUP(A39,STN_TABLE_2,2,FALSE)</f>
        <v>0.5</v>
      </c>
      <c r="C39" s="88">
        <f>B39</f>
        <v>0.5</v>
      </c>
      <c r="D39" s="82">
        <f>VLOOKUP(C39,STN_TABLE,2,FALSE)</f>
        <v>10.75</v>
      </c>
      <c r="E39" s="92">
        <v>1</v>
      </c>
      <c r="F39" s="82">
        <f>D39*E39</f>
        <v>10.75</v>
      </c>
      <c r="G39" s="83">
        <f>C39</f>
        <v>0.5</v>
      </c>
      <c r="H39" s="83">
        <f>F39*G39</f>
        <v>5.375</v>
      </c>
      <c r="I39" s="84" t="str">
        <f>CONCATENATE("a'(",C39,")=")</f>
        <v>a'(0.5)=</v>
      </c>
      <c r="J39" s="84">
        <f>2*J37/3*F40</f>
        <v>20.75</v>
      </c>
      <c r="K39" s="84" t="str">
        <f>CONCATENATE("A(",C37,")=")</f>
        <v>A(0)=</v>
      </c>
      <c r="L39" s="84">
        <f>VLOOKUP(C37,STN_TABLE,3,FALSE)</f>
        <v>0</v>
      </c>
      <c r="M39" t="str">
        <f>CONCATENATE("A(",C39,")=")</f>
        <v>A(0.5)=</v>
      </c>
      <c r="N39">
        <f>J39+L39</f>
        <v>20.75</v>
      </c>
      <c r="O39" s="99">
        <f>O38+1</f>
        <v>4</v>
      </c>
      <c r="P39" s="99">
        <f t="shared" si="10"/>
        <v>0.75</v>
      </c>
      <c r="Q39" s="82">
        <f>IF(P39-P38=P38-P37,P39,IF(P40-P38=P38-P37,P40,IF(P39-P38=P38-P36,P39,IF(P40-P38=P38-P36,P40,"-"))))</f>
        <v>0.75</v>
      </c>
      <c r="R39" s="83">
        <f>VLOOKUP(Q39,STN_TABLE,2,FALSE)</f>
        <v>10.93</v>
      </c>
      <c r="S39" s="83">
        <v>-1</v>
      </c>
      <c r="T39" s="82">
        <f>R39*S39</f>
        <v>-10.93</v>
      </c>
      <c r="U39" s="88">
        <v>-1</v>
      </c>
      <c r="V39" s="82">
        <f>R39*U39</f>
        <v>-10.93</v>
      </c>
      <c r="W39" s="84" t="str">
        <f>CONCATENATE("a'(",Q38,")=")</f>
        <v>a'(0.5)=</v>
      </c>
      <c r="X39" s="84">
        <f>2*X37/12*T40</f>
        <v>10.61</v>
      </c>
      <c r="Y39" s="84" t="str">
        <f>CONCATENATE("A(",Q37,")=")</f>
        <v>A(0.25)=</v>
      </c>
      <c r="Z39" s="84">
        <f>VLOOKUP(Q37,STN_TABLE,3,FALSE)</f>
        <v>10.112499999999999</v>
      </c>
      <c r="AA39" t="str">
        <f>CONCATENATE("A(",Q38,")=")</f>
        <v>A(0.5)=</v>
      </c>
      <c r="AB39">
        <f>X39+Z39</f>
        <v>20.722499999999997</v>
      </c>
      <c r="AC39" s="99">
        <f>AC38+1</f>
        <v>3</v>
      </c>
      <c r="AD39" s="100">
        <f>VLOOKUP(AC39,STN_TABLE_2,2,FALSE)</f>
        <v>0.5</v>
      </c>
      <c r="AE39" s="82">
        <f>VLOOKUP(AD39,STN_TABLE,2,FALSE)</f>
        <v>10.75</v>
      </c>
      <c r="AF39" s="82">
        <v>2</v>
      </c>
      <c r="AG39" s="83">
        <f>AE39*AF39</f>
        <v>21.5</v>
      </c>
      <c r="AH39" s="84" t="str">
        <f>CONCATENATE("a'(",AD39,")=")</f>
        <v>a'(0.5)=</v>
      </c>
      <c r="AI39" s="84">
        <f>2*AI37/2*AE40</f>
        <v>10.6</v>
      </c>
      <c r="AJ39" s="84" t="str">
        <f>CONCATENATE("A(",AD38,")=")</f>
        <v>A(0.25)=</v>
      </c>
      <c r="AK39" s="84">
        <f>VLOOKUP(AD38,STN_TABLE,3,FALSE)</f>
        <v>10.112499999999999</v>
      </c>
      <c r="AL39" t="str">
        <f>CONCATENATE("A(",AD39,")=")</f>
        <v>A(0.5)=</v>
      </c>
      <c r="AM39">
        <f>AI39+AK39</f>
        <v>20.712499999999999</v>
      </c>
      <c r="AO39" s="68" t="str">
        <f>AA39</f>
        <v>A(0.5)=</v>
      </c>
      <c r="AP39" s="68" t="e">
        <f>VLOOKUP(AO39,Rise_Results,2,FALSE)</f>
        <v>#N/A</v>
      </c>
      <c r="AQ39" s="76">
        <f>N39</f>
        <v>20.75</v>
      </c>
      <c r="AR39" s="76">
        <f>IF(OR(AB39&lt;=0,AB40&lt;=0),1/0,AB39)</f>
        <v>20.722499999999997</v>
      </c>
      <c r="AS39" s="76">
        <f>AM39</f>
        <v>20.712499999999999</v>
      </c>
      <c r="AT39">
        <f>IFERROR(AP39,IFERROR(AQ39,IFERROR(AR39,AS39)))</f>
        <v>20.75</v>
      </c>
    </row>
    <row r="40" spans="1:47" x14ac:dyDescent="0.25">
      <c r="A40">
        <v>4</v>
      </c>
      <c r="F40" s="82">
        <f>SUM(F37:F39)</f>
        <v>62.25</v>
      </c>
      <c r="H40" s="82">
        <f>SUM(H37:H39)</f>
        <v>15.824999999999999</v>
      </c>
      <c r="I40" s="84" t="str">
        <f>CONCATENATE("m'(",C39,")=")</f>
        <v>m'(0.5)=</v>
      </c>
      <c r="J40" s="84">
        <f>2*(J37*(WLS))/3*H40</f>
        <v>10.549999999999999</v>
      </c>
      <c r="K40" s="84" t="str">
        <f>CONCATENATE("M(",C37,")=")</f>
        <v>M(0)=</v>
      </c>
      <c r="L40" s="84">
        <f>VLOOKUP(C37,STN_TABLE,4,FALSE)</f>
        <v>0</v>
      </c>
      <c r="M40" t="str">
        <f>CONCATENATE("M(",C39,")=")</f>
        <v>M(0.5)=</v>
      </c>
      <c r="N40">
        <f>J40+L40</f>
        <v>10.549999999999999</v>
      </c>
      <c r="O40" s="99">
        <f>O39+1</f>
        <v>5</v>
      </c>
      <c r="P40" s="99">
        <f t="shared" si="10"/>
        <v>1</v>
      </c>
      <c r="T40" s="89">
        <f>SUM(T37:T39)</f>
        <v>127.32</v>
      </c>
      <c r="V40" s="82">
        <f>SUM(V37:V39)</f>
        <v>127.91999999999999</v>
      </c>
      <c r="W40" s="84" t="str">
        <f>CONCATENATE("m'(",Q38,")=")</f>
        <v>m'(0.5)=</v>
      </c>
      <c r="X40" s="84">
        <f>(2*(X37^2)/24*V40)+(X39*Q37*WLS)</f>
        <v>7.9699999999999989</v>
      </c>
      <c r="Y40" s="84" t="str">
        <f>CONCATENATE("M(",Q37,")=")</f>
        <v>M(0.25)=</v>
      </c>
      <c r="Z40" s="84">
        <f>VLOOKUP(Q37,STN_TABLE,4,FALSE)</f>
        <v>2.5593749999999997</v>
      </c>
      <c r="AA40" t="str">
        <f>CONCATENATE("M(",Q38,")=")</f>
        <v>M(0.5)=</v>
      </c>
      <c r="AB40">
        <f>X40+Z40</f>
        <v>10.529374999999998</v>
      </c>
      <c r="AE40" s="89">
        <f>SUM(AE38:AE39)</f>
        <v>21.2</v>
      </c>
      <c r="AG40" s="89">
        <f>SUM(AG38:AG39)</f>
        <v>31.95</v>
      </c>
      <c r="AH40" s="84" t="str">
        <f>CONCATENATE("m'(",AD39,")=")</f>
        <v>m'(0.5)=</v>
      </c>
      <c r="AI40" s="84">
        <f>(2*(AI37^2)/6*AG40)+(AI39*AD38*WLS)</f>
        <v>7.9624999999999995</v>
      </c>
      <c r="AJ40" s="84" t="str">
        <f>CONCATENATE("M(",AD38,")=")</f>
        <v>M(0.25)=</v>
      </c>
      <c r="AK40" s="84">
        <f>VLOOKUP(AD38,STN_TABLE,4,FALSE)</f>
        <v>2.5593749999999997</v>
      </c>
      <c r="AL40" t="str">
        <f>CONCATENATE("M(",AD39,")=")</f>
        <v>M(0.5)=</v>
      </c>
      <c r="AM40">
        <f>AI40+AK40</f>
        <v>10.521875</v>
      </c>
      <c r="AO40" s="82" t="str">
        <f>AA40</f>
        <v>M(0.5)=</v>
      </c>
      <c r="AP40" s="82" t="e">
        <f>VLOOKUP(AO40,Rise_Results,2,FALSE)</f>
        <v>#N/A</v>
      </c>
      <c r="AQ40" s="82">
        <f>N40</f>
        <v>10.549999999999999</v>
      </c>
      <c r="AR40" s="82">
        <f>IF(OR(AB39&lt;=0,AB40&lt;=0),1/0,AB40)</f>
        <v>10.529374999999998</v>
      </c>
      <c r="AS40" s="82">
        <f>AM40</f>
        <v>10.521875</v>
      </c>
      <c r="AT40">
        <f>IFERROR(AP40,IFERROR(AQ40,IFERROR(AR40,AS40)))</f>
        <v>10.549999999999999</v>
      </c>
    </row>
    <row r="41" spans="1:47" x14ac:dyDescent="0.25">
      <c r="A41" s="94">
        <v>0</v>
      </c>
      <c r="O41" s="101">
        <f>O36+1</f>
        <v>2</v>
      </c>
      <c r="P41" s="101">
        <f t="shared" si="10"/>
        <v>0.25</v>
      </c>
    </row>
    <row r="42" spans="1:47" x14ac:dyDescent="0.25">
      <c r="A42" s="94">
        <f>A41+1</f>
        <v>1</v>
      </c>
      <c r="B42" s="94">
        <f t="shared" ref="B42:B73" si="11">VLOOKUP(A42,STN_TABLE_2,2,FALSE)</f>
        <v>0</v>
      </c>
      <c r="C42" s="79">
        <f>IF(C43=B43,B42,IF(C43=B44,IF(C44-C43=C43-B43,B43,IF(C44-C43=C43-B42,B42,"NA"))))</f>
        <v>0.25</v>
      </c>
      <c r="D42" s="68">
        <f>VLOOKUP(C42,STN_TABLE,2,FALSE)</f>
        <v>10.45</v>
      </c>
      <c r="E42" s="102">
        <v>1</v>
      </c>
      <c r="F42" s="68">
        <f>D42*E42</f>
        <v>10.45</v>
      </c>
      <c r="G42" s="69">
        <f>C42</f>
        <v>0.25</v>
      </c>
      <c r="H42" s="69">
        <f>F42*G42</f>
        <v>2.6124999999999998</v>
      </c>
      <c r="I42" s="6" t="s">
        <v>93</v>
      </c>
      <c r="J42" s="70">
        <f>IF(OR(D42=0,D43=0,D44=0),"#NA",IF(AND(C44-C43=C43-C42,C43&lt;&gt;C44,C42&lt;&gt;C43,C42&lt;&gt;C44,D44&lt;&gt;0,OR(D42&lt;&gt;0,D43&lt;&gt;0)),WLS*(C44-C43),"#NA"))</f>
        <v>0.5</v>
      </c>
      <c r="O42" s="99">
        <f>O41+1</f>
        <v>3</v>
      </c>
      <c r="P42" s="99">
        <f t="shared" si="10"/>
        <v>0.5</v>
      </c>
      <c r="Q42" s="68">
        <f>IF(OR(P44-P43=P43-P42,P45-P43=P43-P42),P42,IF(OR(P44-P43=P43-P41,P45-P43=P43-P41),P41,"-"))</f>
        <v>0.5</v>
      </c>
      <c r="R42" s="69">
        <f>VLOOKUP(Q42,STN_TABLE,2,FALSE)</f>
        <v>10.75</v>
      </c>
      <c r="S42" s="69">
        <v>5</v>
      </c>
      <c r="T42" s="68">
        <f>R42*S42</f>
        <v>53.75</v>
      </c>
      <c r="U42" s="79">
        <v>3</v>
      </c>
      <c r="V42" s="68">
        <f>R42*U42</f>
        <v>32.25</v>
      </c>
      <c r="W42" s="6" t="s">
        <v>93</v>
      </c>
      <c r="X42" s="70">
        <f>IF(AND(Q44-Q43=Q43-Q42,NOT(AND(Q42=0,Q43=0)),NOT(AND(Q43=0,Q44=0))),WLS*(Q44-Q43),"#NA")</f>
        <v>0.5</v>
      </c>
      <c r="AD42" s="93"/>
      <c r="AH42" s="6" t="s">
        <v>93</v>
      </c>
      <c r="AI42" s="70">
        <f>WLS*(AD44-AD43)</f>
        <v>0.5</v>
      </c>
      <c r="AU42" s="81"/>
    </row>
    <row r="43" spans="1:47" x14ac:dyDescent="0.25">
      <c r="A43" s="94">
        <f>A42+1</f>
        <v>2</v>
      </c>
      <c r="B43" s="94">
        <f t="shared" si="11"/>
        <v>0.25</v>
      </c>
      <c r="C43" s="80">
        <f>IF(OR(B45-B44=B44-B43,B45-B44=B44-B42,),B44,IF(B45-B43=B43-B42,B43,"#NA"))</f>
        <v>0.5</v>
      </c>
      <c r="D43" s="76">
        <f>VLOOKUP(C43,STN_TABLE,2,FALSE)</f>
        <v>10.75</v>
      </c>
      <c r="E43" s="81">
        <v>4</v>
      </c>
      <c r="F43" s="76">
        <f>D43*E43</f>
        <v>43</v>
      </c>
      <c r="G43" s="77">
        <f>C43</f>
        <v>0.5</v>
      </c>
      <c r="H43" s="77">
        <f>F43*G43</f>
        <v>21.5</v>
      </c>
      <c r="I43" s="496" t="s">
        <v>97</v>
      </c>
      <c r="J43" s="496"/>
      <c r="K43" s="78" t="s">
        <v>98</v>
      </c>
      <c r="L43" s="78"/>
      <c r="M43" s="7" t="s">
        <v>99</v>
      </c>
      <c r="N43" s="7"/>
      <c r="O43" s="99">
        <f>O42+1</f>
        <v>4</v>
      </c>
      <c r="P43" s="99">
        <f t="shared" si="10"/>
        <v>0.75</v>
      </c>
      <c r="Q43" s="76">
        <f>P43</f>
        <v>0.75</v>
      </c>
      <c r="R43" s="77">
        <f>VLOOKUP(Q43,STN_TABLE,2,FALSE)</f>
        <v>10.93</v>
      </c>
      <c r="S43" s="77">
        <v>8</v>
      </c>
      <c r="T43" s="76">
        <f>R43*S43</f>
        <v>87.44</v>
      </c>
      <c r="U43" s="80">
        <v>10</v>
      </c>
      <c r="V43" s="76">
        <f>R43*U43</f>
        <v>109.3</v>
      </c>
      <c r="W43" s="496" t="s">
        <v>97</v>
      </c>
      <c r="X43" s="496"/>
      <c r="Y43" s="496" t="s">
        <v>98</v>
      </c>
      <c r="Z43" s="496"/>
      <c r="AA43" s="494" t="s">
        <v>99</v>
      </c>
      <c r="AB43" s="494"/>
      <c r="AC43" s="99">
        <f>AC38+1</f>
        <v>3</v>
      </c>
      <c r="AD43" s="95">
        <f>VLOOKUP(AC43,STN_TABLE_2,2,FALSE)</f>
        <v>0.5</v>
      </c>
      <c r="AE43" s="68">
        <f>VLOOKUP(AD43,STN_TABLE,2,FALSE)</f>
        <v>10.75</v>
      </c>
      <c r="AF43" s="68">
        <v>1</v>
      </c>
      <c r="AG43" s="69">
        <f>AE43*AF43</f>
        <v>10.75</v>
      </c>
      <c r="AH43" s="496" t="s">
        <v>97</v>
      </c>
      <c r="AI43" s="496"/>
      <c r="AJ43" s="496" t="s">
        <v>98</v>
      </c>
      <c r="AK43" s="496"/>
      <c r="AL43" s="494" t="s">
        <v>99</v>
      </c>
      <c r="AM43" s="494"/>
      <c r="AP43" s="86" t="s">
        <v>112</v>
      </c>
      <c r="AQ43" s="89" t="s">
        <v>113</v>
      </c>
      <c r="AR43" s="89" t="s">
        <v>114</v>
      </c>
      <c r="AS43" s="89" t="s">
        <v>115</v>
      </c>
      <c r="AU43" s="81"/>
    </row>
    <row r="44" spans="1:47" x14ac:dyDescent="0.25">
      <c r="A44" s="94">
        <f>A43+1</f>
        <v>3</v>
      </c>
      <c r="B44" s="94">
        <f t="shared" si="11"/>
        <v>0.5</v>
      </c>
      <c r="C44" s="88">
        <f>B45</f>
        <v>0.75</v>
      </c>
      <c r="D44" s="82">
        <f>VLOOKUP(C44,STN_TABLE,2,FALSE)</f>
        <v>10.93</v>
      </c>
      <c r="E44" s="92">
        <v>1</v>
      </c>
      <c r="F44" s="82">
        <f>D44*E44</f>
        <v>10.93</v>
      </c>
      <c r="G44" s="83">
        <f>C44</f>
        <v>0.75</v>
      </c>
      <c r="H44" s="83">
        <f>F44*G44</f>
        <v>8.1974999999999998</v>
      </c>
      <c r="I44" s="84" t="str">
        <f>CONCATENATE("a'(",C44,")=")</f>
        <v>a'(0.75)=</v>
      </c>
      <c r="J44" s="84">
        <f>2*J42/3*F45</f>
        <v>21.459999999999997</v>
      </c>
      <c r="K44" s="84" t="str">
        <f>CONCATENATE("A(",C42,")=")</f>
        <v>A(0.25)=</v>
      </c>
      <c r="L44" s="84">
        <f>VLOOKUP(C42,STN_TABLE,3,FALSE)</f>
        <v>10.112499999999999</v>
      </c>
      <c r="M44" t="str">
        <f>CONCATENATE("A(",C44,")=")</f>
        <v>A(0.75)=</v>
      </c>
      <c r="N44">
        <f>J44+L44</f>
        <v>31.572499999999998</v>
      </c>
      <c r="O44" s="99">
        <f>O43+1</f>
        <v>5</v>
      </c>
      <c r="P44" s="99">
        <f t="shared" si="10"/>
        <v>1</v>
      </c>
      <c r="Q44" s="82">
        <f>IF(P44-P43=P43-P42,P44,IF(P45-P43=P43-P42,P45,IF(P44-P43=P43-P41,P44,IF(P45-P43=P43-P41,P45,"-"))))</f>
        <v>1</v>
      </c>
      <c r="R44" s="83">
        <f>VLOOKUP(Q44,STN_TABLE,2,FALSE)</f>
        <v>11</v>
      </c>
      <c r="S44" s="83">
        <v>-1</v>
      </c>
      <c r="T44" s="82">
        <f>R44*S44</f>
        <v>-11</v>
      </c>
      <c r="U44" s="88">
        <v>-1</v>
      </c>
      <c r="V44" s="82">
        <f>R44*U44</f>
        <v>-11</v>
      </c>
      <c r="W44" s="84" t="str">
        <f>CONCATENATE("a'(",Q43,")=")</f>
        <v>a'(0.75)=</v>
      </c>
      <c r="X44" s="84">
        <f>2*X42/12*T45</f>
        <v>10.849166666666665</v>
      </c>
      <c r="Y44" s="84" t="str">
        <f>CONCATENATE("A(",Q42,")=")</f>
        <v>A(0.5)=</v>
      </c>
      <c r="Z44" s="84">
        <f>VLOOKUP(Q42,STN_TABLE,3,FALSE)</f>
        <v>20.75</v>
      </c>
      <c r="AA44" t="str">
        <f>CONCATENATE("A(",Q43,")=")</f>
        <v>A(0.75)=</v>
      </c>
      <c r="AB44">
        <f>X44+Z44</f>
        <v>31.599166666666665</v>
      </c>
      <c r="AC44" s="99">
        <f>AC43+1</f>
        <v>4</v>
      </c>
      <c r="AD44" s="100">
        <f>VLOOKUP(AC44,STN_TABLE_2,2,FALSE)</f>
        <v>0.75</v>
      </c>
      <c r="AE44" s="82">
        <f>VLOOKUP(AD44,STN_TABLE,2,FALSE)</f>
        <v>10.93</v>
      </c>
      <c r="AF44" s="82">
        <v>2</v>
      </c>
      <c r="AG44" s="83">
        <f>AE44*AF44</f>
        <v>21.86</v>
      </c>
      <c r="AH44" s="84" t="str">
        <f>CONCATENATE("a'(",AD44,")=")</f>
        <v>a'(0.75)=</v>
      </c>
      <c r="AI44" s="84">
        <f>2*AI42/2*AE45</f>
        <v>10.84</v>
      </c>
      <c r="AJ44" s="84" t="str">
        <f>CONCATENATE("A(",AD43,")=")</f>
        <v>A(0.5)=</v>
      </c>
      <c r="AK44" s="84">
        <f>VLOOKUP(AD43,STN_TABLE,3,FALSE)</f>
        <v>20.75</v>
      </c>
      <c r="AL44" t="str">
        <f>CONCATENATE("A(",AD44,")=")</f>
        <v>A(0.75)=</v>
      </c>
      <c r="AM44">
        <f>AI44+AK44</f>
        <v>31.59</v>
      </c>
      <c r="AO44" s="68" t="str">
        <f>AA44</f>
        <v>A(0.75)=</v>
      </c>
      <c r="AP44" s="68" t="e">
        <f>VLOOKUP(AO44,Rise_Results,2,FALSE)</f>
        <v>#N/A</v>
      </c>
      <c r="AQ44" s="76">
        <f>N44</f>
        <v>31.572499999999998</v>
      </c>
      <c r="AR44" s="76">
        <f>IF(OR(AB44&lt;=0,AB45&lt;=0),1/0,AB44)</f>
        <v>31.599166666666665</v>
      </c>
      <c r="AS44" s="76">
        <f>AM44</f>
        <v>31.59</v>
      </c>
      <c r="AT44">
        <f>IFERROR(AP44,IFERROR(AQ44,IFERROR(AR44,AS44)))</f>
        <v>31.572499999999998</v>
      </c>
      <c r="AU44" s="81"/>
    </row>
    <row r="45" spans="1:47" x14ac:dyDescent="0.25">
      <c r="A45" s="94">
        <f>A44+1</f>
        <v>4</v>
      </c>
      <c r="B45" s="94">
        <f t="shared" si="11"/>
        <v>0.75</v>
      </c>
      <c r="F45" s="82">
        <f>SUM(F42:F44)</f>
        <v>64.38</v>
      </c>
      <c r="H45" s="82">
        <f>SUM(H42:H44)</f>
        <v>32.31</v>
      </c>
      <c r="I45" s="84" t="str">
        <f>CONCATENATE("m'(",C44,")=")</f>
        <v>m'(0.75)=</v>
      </c>
      <c r="J45" s="84">
        <f>2*(J42*(WLS))/3*H45</f>
        <v>21.54</v>
      </c>
      <c r="K45" s="84" t="str">
        <f>CONCATENATE("M(",C42,")=")</f>
        <v>M(0.25)=</v>
      </c>
      <c r="L45" s="84">
        <f>VLOOKUP(C42,STN_TABLE,4,FALSE)</f>
        <v>2.5593749999999997</v>
      </c>
      <c r="M45" t="str">
        <f>CONCATENATE("M(",C44,")=")</f>
        <v>M(0.75)=</v>
      </c>
      <c r="N45">
        <f>J45+L45</f>
        <v>24.099374999999998</v>
      </c>
      <c r="O45" s="99">
        <f>O44+1</f>
        <v>6</v>
      </c>
      <c r="P45" s="99">
        <f t="shared" si="10"/>
        <v>2</v>
      </c>
      <c r="T45" s="89">
        <f>SUM(T42:T44)</f>
        <v>130.19</v>
      </c>
      <c r="V45" s="82">
        <f>SUM(V42:V44)</f>
        <v>130.55000000000001</v>
      </c>
      <c r="W45" s="84" t="str">
        <f>CONCATENATE("m'(",Q43,")=")</f>
        <v>m'(0.75)=</v>
      </c>
      <c r="X45" s="84">
        <f>(2*(X42^2)/24*V45)+(X44*Q42*WLS)</f>
        <v>13.568958333333331</v>
      </c>
      <c r="Y45" s="84" t="str">
        <f>CONCATENATE("M(",Q42,")=")</f>
        <v>M(0.5)=</v>
      </c>
      <c r="Z45" s="84">
        <f>VLOOKUP(Q42,STN_TABLE,4,FALSE)</f>
        <v>10.549999999999999</v>
      </c>
      <c r="AA45" t="str">
        <f>CONCATENATE("M(",Q43,")=")</f>
        <v>M(0.75)=</v>
      </c>
      <c r="AB45">
        <f>X45+Z45</f>
        <v>24.118958333333332</v>
      </c>
      <c r="AE45" s="89">
        <f>SUM(AE43:AE44)</f>
        <v>21.68</v>
      </c>
      <c r="AG45" s="89">
        <f>SUM(AG43:AG44)</f>
        <v>32.61</v>
      </c>
      <c r="AH45" s="84" t="str">
        <f>CONCATENATE("m'(",AD44,")=")</f>
        <v>m'(0.75)=</v>
      </c>
      <c r="AI45" s="84">
        <f>(2*(AI42^2)/6*AG45)+(AI44*AD43*WLS)</f>
        <v>13.557499999999999</v>
      </c>
      <c r="AJ45" s="84" t="str">
        <f>CONCATENATE("M(",AD43,")=")</f>
        <v>M(0.5)=</v>
      </c>
      <c r="AK45" s="84">
        <f>VLOOKUP(AD43,STN_TABLE,4,FALSE)</f>
        <v>10.549999999999999</v>
      </c>
      <c r="AL45" t="str">
        <f>CONCATENATE("M(",AD44,")=")</f>
        <v>M(0.75)=</v>
      </c>
      <c r="AM45">
        <f>AI45+AK45</f>
        <v>24.107499999999998</v>
      </c>
      <c r="AO45" s="82" t="str">
        <f>AA45</f>
        <v>M(0.75)=</v>
      </c>
      <c r="AP45" s="82" t="e">
        <f>VLOOKUP(AO45,Rise_Results,2,FALSE)</f>
        <v>#N/A</v>
      </c>
      <c r="AQ45" s="82">
        <f>N45</f>
        <v>24.099374999999998</v>
      </c>
      <c r="AR45" s="82">
        <f>IF(OR(AB44&lt;=0,AB45&lt;=0),1/0,AB45)</f>
        <v>24.118958333333332</v>
      </c>
      <c r="AS45" s="82">
        <f>AM45</f>
        <v>24.107499999999998</v>
      </c>
      <c r="AT45">
        <f>IFERROR(AP45,IFERROR(AQ45,IFERROR(AR45,AS45)))</f>
        <v>24.099374999999998</v>
      </c>
      <c r="AU45" s="81"/>
    </row>
    <row r="46" spans="1:47" x14ac:dyDescent="0.25">
      <c r="A46" s="101">
        <f>A41+1</f>
        <v>1</v>
      </c>
      <c r="B46" s="101">
        <f t="shared" si="11"/>
        <v>0</v>
      </c>
      <c r="O46" s="101">
        <f>O41+1</f>
        <v>3</v>
      </c>
      <c r="P46" s="101">
        <f t="shared" si="10"/>
        <v>0.5</v>
      </c>
      <c r="AU46" s="81"/>
    </row>
    <row r="47" spans="1:47" x14ac:dyDescent="0.25">
      <c r="A47" s="84">
        <f>A46+1</f>
        <v>2</v>
      </c>
      <c r="B47" s="84">
        <f t="shared" si="11"/>
        <v>0.25</v>
      </c>
      <c r="C47" s="79">
        <f>IF(C48=B49,IF(C49-C48=C48-B48,B48,IF(C49-C48=C48-B47,B47,"#NA")),IF(C48=B48,IF(C49-C48=C48-B47,B47,IF(C49-C48=C48-B46,B46,"#NA")),"#NA"))</f>
        <v>0.5</v>
      </c>
      <c r="D47" s="68">
        <f>VLOOKUP(C47,STN_TABLE,2,FALSE)</f>
        <v>10.75</v>
      </c>
      <c r="E47" s="102">
        <v>1</v>
      </c>
      <c r="F47" s="68">
        <f>D47*E47</f>
        <v>10.75</v>
      </c>
      <c r="G47" s="69">
        <f>C47</f>
        <v>0.5</v>
      </c>
      <c r="H47" s="69">
        <f>F47*G47</f>
        <v>5.375</v>
      </c>
      <c r="I47" s="6" t="s">
        <v>93</v>
      </c>
      <c r="J47" s="70">
        <f>IF(OR(D47=0,D48=0,D49=0),"#NA",IF(AND(C49-C48=C48-C47,C48&lt;&gt;C49,C47&lt;&gt;C48,C47&lt;&gt;C49,D49&lt;&gt;0,OR(D47&lt;&gt;0,D48&lt;&gt;0)),WLS*(C49-C48),"#NA"))</f>
        <v>0.5</v>
      </c>
      <c r="O47" s="99">
        <f>O46+1</f>
        <v>4</v>
      </c>
      <c r="P47" s="99">
        <f t="shared" si="10"/>
        <v>0.75</v>
      </c>
      <c r="Q47" s="68" t="str">
        <f>IF(OR(P49-P48=P48-P47,P50-P48=P48-P47),P47,IF(OR(P49-P48=P48-P46,P50-P48=P48-P46),P46,"-"))</f>
        <v>-</v>
      </c>
      <c r="R47" s="69" t="e">
        <f>VLOOKUP(Q47,STN_TABLE,2,FALSE)</f>
        <v>#N/A</v>
      </c>
      <c r="S47" s="69">
        <v>5</v>
      </c>
      <c r="T47" s="68" t="e">
        <f>R47*S47</f>
        <v>#N/A</v>
      </c>
      <c r="U47" s="79">
        <v>3</v>
      </c>
      <c r="V47" s="68" t="e">
        <f>R47*U47</f>
        <v>#N/A</v>
      </c>
      <c r="W47" s="6" t="s">
        <v>93</v>
      </c>
      <c r="X47" s="70" t="e">
        <f>IF(AND(Q49-Q48=Q48-Q47,NOT(AND(Q47=0,Q48=0)),NOT(AND(Q48=0,Q49=0))),WLS*(Q49-Q48),"#NA")</f>
        <v>#VALUE!</v>
      </c>
      <c r="AD47" s="93"/>
      <c r="AH47" s="6" t="s">
        <v>93</v>
      </c>
      <c r="AI47" s="70">
        <f>WLS*(AD49-AD48)</f>
        <v>0.5</v>
      </c>
      <c r="AU47" s="81"/>
    </row>
    <row r="48" spans="1:47" x14ac:dyDescent="0.25">
      <c r="A48" s="84">
        <f>A47+1</f>
        <v>3</v>
      </c>
      <c r="B48" s="84">
        <f t="shared" si="11"/>
        <v>0.5</v>
      </c>
      <c r="C48" s="80">
        <f>IF(OR(B50-B49=B49-B48,B50-B49=B49-B47,B50-B49=B49-B46),B49,IF(OR(B50-B48=B48-B47,B50-B48=B48-B46),B48,IF(B50-B47=B47-B46,B47,"#NA")))</f>
        <v>0.75</v>
      </c>
      <c r="D48" s="76">
        <f>VLOOKUP(C48,STN_TABLE,2,FALSE)</f>
        <v>10.93</v>
      </c>
      <c r="E48" s="81">
        <v>4</v>
      </c>
      <c r="F48" s="76">
        <f>D48*E48</f>
        <v>43.72</v>
      </c>
      <c r="G48" s="77">
        <f>C48</f>
        <v>0.75</v>
      </c>
      <c r="H48" s="77">
        <f>F48*G48</f>
        <v>32.79</v>
      </c>
      <c r="I48" s="496" t="s">
        <v>97</v>
      </c>
      <c r="J48" s="496"/>
      <c r="K48" s="78" t="s">
        <v>98</v>
      </c>
      <c r="L48" s="78"/>
      <c r="M48" s="7" t="s">
        <v>99</v>
      </c>
      <c r="N48" s="7"/>
      <c r="O48" s="99">
        <f>O47+1</f>
        <v>5</v>
      </c>
      <c r="P48" s="99">
        <f t="shared" si="10"/>
        <v>1</v>
      </c>
      <c r="Q48" s="76">
        <f>P48</f>
        <v>1</v>
      </c>
      <c r="R48" s="77">
        <f>VLOOKUP(Q48,STN_TABLE,2,FALSE)</f>
        <v>11</v>
      </c>
      <c r="S48" s="77">
        <v>8</v>
      </c>
      <c r="T48" s="76">
        <f>R48*S48</f>
        <v>88</v>
      </c>
      <c r="U48" s="80">
        <v>10</v>
      </c>
      <c r="V48" s="76">
        <f>R48*U48</f>
        <v>110</v>
      </c>
      <c r="W48" s="496" t="s">
        <v>97</v>
      </c>
      <c r="X48" s="496"/>
      <c r="Y48" s="496" t="s">
        <v>98</v>
      </c>
      <c r="Z48" s="496"/>
      <c r="AA48" s="494" t="s">
        <v>99</v>
      </c>
      <c r="AB48" s="494"/>
      <c r="AC48" s="99">
        <f>AC43+1</f>
        <v>4</v>
      </c>
      <c r="AD48" s="95">
        <f>VLOOKUP(AC48,STN_TABLE_2,2,FALSE)</f>
        <v>0.75</v>
      </c>
      <c r="AE48" s="68">
        <f>VLOOKUP(AD48,STN_TABLE,2,FALSE)</f>
        <v>10.93</v>
      </c>
      <c r="AF48" s="68">
        <v>1</v>
      </c>
      <c r="AG48" s="69">
        <f>AE48*AF48</f>
        <v>10.93</v>
      </c>
      <c r="AH48" s="496" t="s">
        <v>97</v>
      </c>
      <c r="AI48" s="496"/>
      <c r="AJ48" s="496" t="s">
        <v>98</v>
      </c>
      <c r="AK48" s="496"/>
      <c r="AL48" s="494" t="s">
        <v>99</v>
      </c>
      <c r="AM48" s="494"/>
      <c r="AP48" s="86" t="s">
        <v>112</v>
      </c>
      <c r="AQ48" s="89" t="s">
        <v>113</v>
      </c>
      <c r="AR48" s="89" t="s">
        <v>114</v>
      </c>
      <c r="AS48" s="89" t="s">
        <v>115</v>
      </c>
      <c r="AU48" s="81"/>
    </row>
    <row r="49" spans="1:47" x14ac:dyDescent="0.25">
      <c r="A49" s="84">
        <f>A48+1</f>
        <v>4</v>
      </c>
      <c r="B49" s="84">
        <f t="shared" si="11"/>
        <v>0.75</v>
      </c>
      <c r="C49" s="88">
        <f>B50</f>
        <v>1</v>
      </c>
      <c r="D49" s="82">
        <f>VLOOKUP(C49,STN_TABLE,2,FALSE)</f>
        <v>11</v>
      </c>
      <c r="E49" s="92">
        <v>1</v>
      </c>
      <c r="F49" s="82">
        <f>D49*E49</f>
        <v>11</v>
      </c>
      <c r="G49" s="83">
        <f>C49</f>
        <v>1</v>
      </c>
      <c r="H49" s="83">
        <f>F49*G49</f>
        <v>11</v>
      </c>
      <c r="I49" s="84" t="str">
        <f>CONCATENATE("a'(",C49,")=")</f>
        <v>a'(1)=</v>
      </c>
      <c r="J49" s="84">
        <f>2*J47/3*F50</f>
        <v>21.823333333333331</v>
      </c>
      <c r="K49" s="84" t="str">
        <f>CONCATENATE("A(",C47,")=")</f>
        <v>A(0.5)=</v>
      </c>
      <c r="L49" s="84">
        <f>VLOOKUP(C47,STN_TABLE,3,FALSE)</f>
        <v>20.75</v>
      </c>
      <c r="M49" t="str">
        <f>CONCATENATE("A(",C49,")=")</f>
        <v>A(1)=</v>
      </c>
      <c r="N49">
        <f>J49+L49</f>
        <v>42.573333333333331</v>
      </c>
      <c r="O49" s="99">
        <f>O48+1</f>
        <v>6</v>
      </c>
      <c r="P49" s="99">
        <f t="shared" si="10"/>
        <v>2</v>
      </c>
      <c r="Q49" s="82" t="str">
        <f>IF(P49-P48=P48-P47,P49,IF(P50-P48=P48-P47,P50,IF(P49-P48=P48-P46,P49,IF(P50-P48=P48-P46,P50,"-"))))</f>
        <v>-</v>
      </c>
      <c r="R49" s="83" t="e">
        <f>VLOOKUP(Q49,STN_TABLE,2,FALSE)</f>
        <v>#N/A</v>
      </c>
      <c r="S49" s="83">
        <v>-1</v>
      </c>
      <c r="T49" s="82" t="e">
        <f>R49*S49</f>
        <v>#N/A</v>
      </c>
      <c r="U49" s="88">
        <v>-1</v>
      </c>
      <c r="V49" s="82" t="e">
        <f>R49*U49</f>
        <v>#N/A</v>
      </c>
      <c r="W49" s="84" t="str">
        <f>CONCATENATE("a'(",Q48,")=")</f>
        <v>a'(1)=</v>
      </c>
      <c r="X49" s="84" t="e">
        <f>2*X47/12*T50</f>
        <v>#VALUE!</v>
      </c>
      <c r="Y49" s="84" t="str">
        <f>CONCATENATE("A(",Q47,")=")</f>
        <v>A(-)=</v>
      </c>
      <c r="Z49" s="84" t="e">
        <f>VLOOKUP(Q47,STN_TABLE,3,FALSE)</f>
        <v>#N/A</v>
      </c>
      <c r="AA49" t="str">
        <f>CONCATENATE("A(",Q48,")=")</f>
        <v>A(1)=</v>
      </c>
      <c r="AB49" t="e">
        <f>X49+Z49</f>
        <v>#VALUE!</v>
      </c>
      <c r="AC49" s="99">
        <f>AC48+1</f>
        <v>5</v>
      </c>
      <c r="AD49" s="100">
        <f>VLOOKUP(AC49,STN_TABLE_2,2,FALSE)</f>
        <v>1</v>
      </c>
      <c r="AE49" s="82">
        <f>VLOOKUP(AD49,STN_TABLE,2,FALSE)</f>
        <v>11</v>
      </c>
      <c r="AF49" s="82">
        <v>2</v>
      </c>
      <c r="AG49" s="83">
        <f>AE49*AF49</f>
        <v>22</v>
      </c>
      <c r="AH49" s="84" t="str">
        <f>CONCATENATE("a'(",AD49,")=")</f>
        <v>a'(1)=</v>
      </c>
      <c r="AI49" s="84">
        <f>2*AI47/2*AE50</f>
        <v>10.965</v>
      </c>
      <c r="AJ49" s="84" t="str">
        <f>CONCATENATE("A(",AD48,")=")</f>
        <v>A(0.75)=</v>
      </c>
      <c r="AK49" s="84">
        <f>VLOOKUP(AD48,STN_TABLE,3,FALSE)</f>
        <v>31.572499999999998</v>
      </c>
      <c r="AL49" t="str">
        <f>CONCATENATE("A(",AD49,")=")</f>
        <v>A(1)=</v>
      </c>
      <c r="AM49">
        <f>AI49+AK49</f>
        <v>42.537499999999994</v>
      </c>
      <c r="AO49" s="68" t="str">
        <f>AA49</f>
        <v>A(1)=</v>
      </c>
      <c r="AP49" s="68" t="e">
        <f>VLOOKUP(AO49,Rise_Results,2,FALSE)</f>
        <v>#N/A</v>
      </c>
      <c r="AQ49" s="76">
        <f>N49</f>
        <v>42.573333333333331</v>
      </c>
      <c r="AR49" s="76" t="e">
        <f>IF(OR(AB49&lt;=0,AB50&lt;=0),1/0,AB49)</f>
        <v>#VALUE!</v>
      </c>
      <c r="AS49" s="76">
        <f>AM49</f>
        <v>42.537499999999994</v>
      </c>
      <c r="AT49">
        <f>IFERROR(AP49,IFERROR(AQ49,IFERROR(AR49,AS49)))</f>
        <v>42.573333333333331</v>
      </c>
      <c r="AU49" s="81"/>
    </row>
    <row r="50" spans="1:47" x14ac:dyDescent="0.25">
      <c r="A50" s="84">
        <f>A49+1</f>
        <v>5</v>
      </c>
      <c r="B50" s="84">
        <f t="shared" si="11"/>
        <v>1</v>
      </c>
      <c r="F50" s="82">
        <f>SUM(F47:F49)</f>
        <v>65.47</v>
      </c>
      <c r="H50" s="82">
        <f>SUM(H47:H49)</f>
        <v>49.164999999999999</v>
      </c>
      <c r="I50" s="84" t="str">
        <f>CONCATENATE("m'(",C49,")=")</f>
        <v>m'(1)=</v>
      </c>
      <c r="J50" s="84">
        <f>2*(J47*(WLS))/3*H50</f>
        <v>32.776666666666664</v>
      </c>
      <c r="K50" s="84" t="str">
        <f>CONCATENATE("M(",C47,")=")</f>
        <v>M(0.5)=</v>
      </c>
      <c r="L50" s="84">
        <f>VLOOKUP(C47,STN_TABLE,4,FALSE)</f>
        <v>10.549999999999999</v>
      </c>
      <c r="M50" t="str">
        <f>CONCATENATE("M(",C49,")=")</f>
        <v>M(1)=</v>
      </c>
      <c r="N50">
        <f>J50+L50</f>
        <v>43.326666666666661</v>
      </c>
      <c r="O50" s="99">
        <f>O49+1</f>
        <v>7</v>
      </c>
      <c r="P50" s="99">
        <f t="shared" si="10"/>
        <v>3</v>
      </c>
      <c r="T50" s="89" t="e">
        <f>SUM(T47:T49)</f>
        <v>#N/A</v>
      </c>
      <c r="V50" s="82" t="e">
        <f>SUM(V47:V49)</f>
        <v>#N/A</v>
      </c>
      <c r="W50" s="84" t="str">
        <f>CONCATENATE("m'(",Q48,")=")</f>
        <v>m'(1)=</v>
      </c>
      <c r="X50" s="84" t="e">
        <f>(2*(X47^2)/24*V50)+(X49*Q47*WLS)</f>
        <v>#VALUE!</v>
      </c>
      <c r="Y50" s="84" t="str">
        <f>CONCATENATE("M(",Q47,")=")</f>
        <v>M(-)=</v>
      </c>
      <c r="Z50" s="84" t="e">
        <f>VLOOKUP(Q47,STN_TABLE,4,FALSE)</f>
        <v>#N/A</v>
      </c>
      <c r="AA50" t="str">
        <f>CONCATENATE("M(",Q48,")=")</f>
        <v>M(1)=</v>
      </c>
      <c r="AB50" t="e">
        <f>X50+Z50</f>
        <v>#VALUE!</v>
      </c>
      <c r="AE50" s="89">
        <f>SUM(AE48:AE49)</f>
        <v>21.93</v>
      </c>
      <c r="AG50" s="89">
        <f>SUM(AG48:AG49)</f>
        <v>32.93</v>
      </c>
      <c r="AH50" s="84" t="str">
        <f>CONCATENATE("m'(",AD49,")=")</f>
        <v>m'(1)=</v>
      </c>
      <c r="AI50" s="84">
        <f>(2*(AI47^2)/6*AG50)+(AI49*AD48*WLS)</f>
        <v>19.191666666666663</v>
      </c>
      <c r="AJ50" s="84" t="str">
        <f>CONCATENATE("M(",AD48,")=")</f>
        <v>M(0.75)=</v>
      </c>
      <c r="AK50" s="84">
        <f>VLOOKUP(AD48,STN_TABLE,4,FALSE)</f>
        <v>24.099374999999998</v>
      </c>
      <c r="AL50" t="str">
        <f>CONCATENATE("M(",AD49,")=")</f>
        <v>M(1)=</v>
      </c>
      <c r="AM50">
        <f>AI50+AK50</f>
        <v>43.291041666666658</v>
      </c>
      <c r="AO50" s="82" t="str">
        <f>AA50</f>
        <v>M(1)=</v>
      </c>
      <c r="AP50" s="82" t="e">
        <f>VLOOKUP(AO50,Rise_Results,2,FALSE)</f>
        <v>#N/A</v>
      </c>
      <c r="AQ50" s="82">
        <f>N50</f>
        <v>43.326666666666661</v>
      </c>
      <c r="AR50" s="82" t="e">
        <f>IF(OR(AB49&lt;=0,AB50&lt;=0),1/0,AB50)</f>
        <v>#VALUE!</v>
      </c>
      <c r="AS50" s="82">
        <f>AM50</f>
        <v>43.291041666666658</v>
      </c>
      <c r="AT50">
        <f>IFERROR(AP50,IFERROR(AQ50,IFERROR(AR50,AS50)))</f>
        <v>43.326666666666661</v>
      </c>
      <c r="AU50" s="81"/>
    </row>
    <row r="51" spans="1:47" x14ac:dyDescent="0.25">
      <c r="A51" s="101">
        <f>A46+1</f>
        <v>2</v>
      </c>
      <c r="B51" s="101">
        <f t="shared" si="11"/>
        <v>0.25</v>
      </c>
      <c r="O51" s="101">
        <f>O46+1</f>
        <v>4</v>
      </c>
      <c r="P51" s="101">
        <f t="shared" si="10"/>
        <v>0.75</v>
      </c>
      <c r="AU51" s="81"/>
    </row>
    <row r="52" spans="1:47" x14ac:dyDescent="0.25">
      <c r="A52" s="84">
        <f>A51+1</f>
        <v>3</v>
      </c>
      <c r="B52" s="84">
        <f t="shared" si="11"/>
        <v>0.5</v>
      </c>
      <c r="C52" s="79" t="str">
        <f t="shared" ref="C52" si="12">IF(C53=B54,IF(C54-C53=C53-B53,B53,IF(C54-C53=C53-B52,B52,"#NA")),IF(C53=B53,IF(C54-C53=C53-B52,B52,IF(C54-C53=C53-B51,B51,"#NA")),"#NA"))</f>
        <v>#NA</v>
      </c>
      <c r="D52" s="68" t="e">
        <f>VLOOKUP(C52,STN_TABLE,2,FALSE)</f>
        <v>#N/A</v>
      </c>
      <c r="E52" s="102">
        <v>1</v>
      </c>
      <c r="F52" s="68" t="e">
        <f>D52*E52</f>
        <v>#N/A</v>
      </c>
      <c r="G52" s="69" t="str">
        <f>C52</f>
        <v>#NA</v>
      </c>
      <c r="H52" s="69" t="e">
        <f>F52*G52</f>
        <v>#N/A</v>
      </c>
      <c r="I52" s="6" t="s">
        <v>93</v>
      </c>
      <c r="J52" s="70" t="e">
        <f>IF(OR(D52=0,D53=0,D54=0),"#NA",IF(AND(C54-C53=C53-C52,C53&lt;&gt;C54,C52&lt;&gt;C53,C52&lt;&gt;C54,D54&lt;&gt;0,OR(D52&lt;&gt;0,D53&lt;&gt;0)),WLS*(C54-C53),"#NA"))</f>
        <v>#N/A</v>
      </c>
      <c r="O52" s="99">
        <f>O51+1</f>
        <v>5</v>
      </c>
      <c r="P52" s="99">
        <f t="shared" si="10"/>
        <v>1</v>
      </c>
      <c r="Q52" s="68">
        <f>IF(OR(P54-P53=P53-P52,P55-P53=P53-P52),P52,IF(OR(P54-P53=P53-P51,P55-P53=P53-P51),P51,"-"))</f>
        <v>1</v>
      </c>
      <c r="R52" s="69">
        <f>VLOOKUP(Q52,STN_TABLE,2,FALSE)</f>
        <v>11</v>
      </c>
      <c r="S52" s="69">
        <v>5</v>
      </c>
      <c r="T52" s="68">
        <f>R52*S52</f>
        <v>55</v>
      </c>
      <c r="U52" s="79">
        <v>3</v>
      </c>
      <c r="V52" s="68">
        <f>R52*U52</f>
        <v>33</v>
      </c>
      <c r="W52" s="6" t="s">
        <v>93</v>
      </c>
      <c r="X52" s="70">
        <f>IF(AND(Q54-Q53=Q53-Q52,NOT(AND(Q52=0,Q53=0)),NOT(AND(Q53=0,Q54=0))),WLS*(Q54-Q53),"#NA")</f>
        <v>2</v>
      </c>
      <c r="AD52" s="93"/>
      <c r="AH52" s="6" t="s">
        <v>93</v>
      </c>
      <c r="AI52" s="70">
        <f>WLS*(AD54-AD53)</f>
        <v>2</v>
      </c>
      <c r="AU52" s="81"/>
    </row>
    <row r="53" spans="1:47" x14ac:dyDescent="0.25">
      <c r="A53" s="84">
        <f>A52+1</f>
        <v>4</v>
      </c>
      <c r="B53" s="84">
        <f t="shared" si="11"/>
        <v>0.75</v>
      </c>
      <c r="C53" s="80" t="str">
        <f t="shared" ref="C53" si="13">IF(OR(B55-B54=B54-B53,B55-B54=B54-B52,B55-B54=B54-B51),B54,IF(OR(B55-B53=B53-B52,B55-B53=B53-B51),B53,IF(B55-B52=B52-B51,B52,"#NA")))</f>
        <v>#NA</v>
      </c>
      <c r="D53" s="76" t="e">
        <f>VLOOKUP(C53,STN_TABLE,2,FALSE)</f>
        <v>#N/A</v>
      </c>
      <c r="E53" s="81">
        <v>4</v>
      </c>
      <c r="F53" s="76" t="e">
        <f>D53*E53</f>
        <v>#N/A</v>
      </c>
      <c r="G53" s="77" t="str">
        <f>C53</f>
        <v>#NA</v>
      </c>
      <c r="H53" s="77" t="e">
        <f>F53*G53</f>
        <v>#N/A</v>
      </c>
      <c r="I53" s="495" t="s">
        <v>97</v>
      </c>
      <c r="J53" s="496"/>
      <c r="K53" s="78" t="s">
        <v>98</v>
      </c>
      <c r="L53" s="78"/>
      <c r="M53" s="7" t="s">
        <v>99</v>
      </c>
      <c r="N53" s="7"/>
      <c r="O53" s="99">
        <f>O52+1</f>
        <v>6</v>
      </c>
      <c r="P53" s="99">
        <f t="shared" si="10"/>
        <v>2</v>
      </c>
      <c r="Q53" s="76">
        <f>P53</f>
        <v>2</v>
      </c>
      <c r="R53" s="77">
        <f>VLOOKUP(Q53,STN_TABLE,2,FALSE)</f>
        <v>11</v>
      </c>
      <c r="S53" s="77">
        <v>8</v>
      </c>
      <c r="T53" s="76">
        <f>R53*S53</f>
        <v>88</v>
      </c>
      <c r="U53" s="80">
        <v>10</v>
      </c>
      <c r="V53" s="76">
        <f>R53*U53</f>
        <v>110</v>
      </c>
      <c r="W53" s="496" t="s">
        <v>97</v>
      </c>
      <c r="X53" s="496"/>
      <c r="Y53" s="496" t="s">
        <v>98</v>
      </c>
      <c r="Z53" s="496"/>
      <c r="AA53" s="494" t="s">
        <v>99</v>
      </c>
      <c r="AB53" s="494"/>
      <c r="AC53" s="99">
        <f>AC48+1</f>
        <v>5</v>
      </c>
      <c r="AD53" s="95">
        <f>VLOOKUP(AC53,STN_TABLE_2,2,FALSE)</f>
        <v>1</v>
      </c>
      <c r="AE53" s="68">
        <f>VLOOKUP(AD53,STN_TABLE,2,FALSE)</f>
        <v>11</v>
      </c>
      <c r="AF53" s="68">
        <v>1</v>
      </c>
      <c r="AG53" s="69">
        <f>AE53*AF53</f>
        <v>11</v>
      </c>
      <c r="AH53" s="496" t="s">
        <v>97</v>
      </c>
      <c r="AI53" s="496"/>
      <c r="AJ53" s="496" t="s">
        <v>98</v>
      </c>
      <c r="AK53" s="496"/>
      <c r="AL53" s="494" t="s">
        <v>99</v>
      </c>
      <c r="AM53" s="494"/>
      <c r="AP53" s="86" t="s">
        <v>112</v>
      </c>
      <c r="AQ53" s="89" t="s">
        <v>113</v>
      </c>
      <c r="AR53" s="89" t="s">
        <v>114</v>
      </c>
      <c r="AS53" s="89" t="s">
        <v>115</v>
      </c>
      <c r="AU53" s="81"/>
    </row>
    <row r="54" spans="1:47" x14ac:dyDescent="0.25">
      <c r="A54" s="84">
        <f>A53+1</f>
        <v>5</v>
      </c>
      <c r="B54" s="84">
        <f t="shared" si="11"/>
        <v>1</v>
      </c>
      <c r="C54" s="88">
        <f t="shared" ref="C54" si="14">B55</f>
        <v>2</v>
      </c>
      <c r="D54" s="82">
        <f>VLOOKUP(C54,STN_TABLE,2,FALSE)</f>
        <v>11</v>
      </c>
      <c r="E54" s="92">
        <v>1</v>
      </c>
      <c r="F54" s="82">
        <f>D54*E54</f>
        <v>11</v>
      </c>
      <c r="G54" s="83">
        <f>C54</f>
        <v>2</v>
      </c>
      <c r="H54" s="83">
        <f>F54*G54</f>
        <v>22</v>
      </c>
      <c r="I54" s="84" t="str">
        <f>CONCATENATE("a'(",C54,")=")</f>
        <v>a'(2)=</v>
      </c>
      <c r="J54" s="84" t="e">
        <f>2*J52/3*F55</f>
        <v>#N/A</v>
      </c>
      <c r="K54" s="84" t="str">
        <f>CONCATENATE("A(",C52,")=")</f>
        <v>A(#NA)=</v>
      </c>
      <c r="L54" s="84" t="e">
        <f>VLOOKUP(C52,STN_TABLE,3,FALSE)</f>
        <v>#N/A</v>
      </c>
      <c r="M54" t="str">
        <f>CONCATENATE("A(",C54,")=")</f>
        <v>A(2)=</v>
      </c>
      <c r="N54" t="e">
        <f>J54+L54</f>
        <v>#N/A</v>
      </c>
      <c r="O54" s="99">
        <f>O53+1</f>
        <v>7</v>
      </c>
      <c r="P54" s="99">
        <f t="shared" si="10"/>
        <v>3</v>
      </c>
      <c r="Q54" s="82">
        <f>IF(P54-P53=P53-P52,P54,IF(P55-P53=P53-P52,P55,IF(P54-P53=P53-P51,P54,IF(P55-P53=P53-P51,P55,"-"))))</f>
        <v>3</v>
      </c>
      <c r="R54" s="83">
        <f>VLOOKUP(Q54,STN_TABLE,2,FALSE)</f>
        <v>11</v>
      </c>
      <c r="S54" s="83">
        <v>-1</v>
      </c>
      <c r="T54" s="82">
        <f>R54*S54</f>
        <v>-11</v>
      </c>
      <c r="U54" s="88">
        <v>-1</v>
      </c>
      <c r="V54" s="82">
        <f>R54*U54</f>
        <v>-11</v>
      </c>
      <c r="W54" s="84" t="str">
        <f>CONCATENATE("a'(",Q53,")=")</f>
        <v>a'(2)=</v>
      </c>
      <c r="X54" s="84">
        <f>2*X52/12*T55</f>
        <v>44</v>
      </c>
      <c r="Y54" s="84" t="str">
        <f>CONCATENATE("A(",Q52,")=")</f>
        <v>A(1)=</v>
      </c>
      <c r="Z54" s="84">
        <f>VLOOKUP(Q52,STN_TABLE,3,FALSE)</f>
        <v>42.573333333333331</v>
      </c>
      <c r="AA54" t="str">
        <f>CONCATENATE("A(",Q53,")=")</f>
        <v>A(2)=</v>
      </c>
      <c r="AB54">
        <f>X54+Z54</f>
        <v>86.573333333333323</v>
      </c>
      <c r="AC54" s="99">
        <f>AC53+1</f>
        <v>6</v>
      </c>
      <c r="AD54" s="100">
        <f>VLOOKUP(AC54,STN_TABLE_2,2,FALSE)</f>
        <v>2</v>
      </c>
      <c r="AE54" s="82">
        <f>VLOOKUP(AD54,STN_TABLE,2,FALSE)</f>
        <v>11</v>
      </c>
      <c r="AF54" s="82">
        <v>2</v>
      </c>
      <c r="AG54" s="83">
        <f>AE54*AF54</f>
        <v>22</v>
      </c>
      <c r="AH54" s="84" t="str">
        <f>CONCATENATE("a'(",AD54,")=")</f>
        <v>a'(2)=</v>
      </c>
      <c r="AI54" s="84">
        <f>2*AI52/2*AE55</f>
        <v>44</v>
      </c>
      <c r="AJ54" s="84" t="str">
        <f>CONCATENATE("A(",AD53,")=")</f>
        <v>A(1)=</v>
      </c>
      <c r="AK54" s="84">
        <f>VLOOKUP(AD53,STN_TABLE,3,FALSE)</f>
        <v>42.573333333333331</v>
      </c>
      <c r="AL54" t="str">
        <f>CONCATENATE("A(",AD54,")=")</f>
        <v>A(2)=</v>
      </c>
      <c r="AM54">
        <f>AI54+AK54</f>
        <v>86.573333333333323</v>
      </c>
      <c r="AO54" s="68" t="str">
        <f>AA54</f>
        <v>A(2)=</v>
      </c>
      <c r="AP54" s="68" t="e">
        <f>VLOOKUP(AO54,Rise_Results,2,FALSE)</f>
        <v>#N/A</v>
      </c>
      <c r="AQ54" s="76" t="e">
        <f>N54</f>
        <v>#N/A</v>
      </c>
      <c r="AR54" s="76">
        <f>IF(OR(AB54&lt;=0,AB55&lt;=0),1/0,AB54)</f>
        <v>86.573333333333323</v>
      </c>
      <c r="AS54" s="76">
        <f>AM54</f>
        <v>86.573333333333323</v>
      </c>
      <c r="AT54">
        <f>IFERROR(AP54,IFERROR(AQ54,IFERROR(AR54,AS54)))</f>
        <v>86.573333333333323</v>
      </c>
      <c r="AU54" s="81"/>
    </row>
    <row r="55" spans="1:47" x14ac:dyDescent="0.25">
      <c r="A55" s="84">
        <f>A54+1</f>
        <v>6</v>
      </c>
      <c r="B55" s="84">
        <f t="shared" si="11"/>
        <v>2</v>
      </c>
      <c r="F55" s="82" t="e">
        <f>SUM(F52:F54)</f>
        <v>#N/A</v>
      </c>
      <c r="H55" s="82" t="e">
        <f>SUM(H52:H54)</f>
        <v>#N/A</v>
      </c>
      <c r="I55" s="84" t="str">
        <f>CONCATENATE("m'(",C54,")=")</f>
        <v>m'(2)=</v>
      </c>
      <c r="J55" s="84" t="e">
        <f>2*(J52*(WLS))/3*H55</f>
        <v>#N/A</v>
      </c>
      <c r="K55" s="84" t="str">
        <f>CONCATENATE("M(",C52,")=")</f>
        <v>M(#NA)=</v>
      </c>
      <c r="L55" s="84" t="e">
        <f>VLOOKUP(C52,STN_TABLE,4,FALSE)</f>
        <v>#N/A</v>
      </c>
      <c r="M55" t="str">
        <f>CONCATENATE("M(",C54,")=")</f>
        <v>M(2)=</v>
      </c>
      <c r="N55" t="e">
        <f>J55+L55</f>
        <v>#N/A</v>
      </c>
      <c r="O55" s="99">
        <f>O54+1</f>
        <v>8</v>
      </c>
      <c r="P55" s="99">
        <f t="shared" si="10"/>
        <v>4</v>
      </c>
      <c r="T55" s="89">
        <f>SUM(T52:T54)</f>
        <v>132</v>
      </c>
      <c r="V55" s="82">
        <f>SUM(V52:V54)</f>
        <v>132</v>
      </c>
      <c r="W55" s="84" t="str">
        <f>CONCATENATE("m'(",Q53,")=")</f>
        <v>m'(2)=</v>
      </c>
      <c r="X55" s="84">
        <f>(2*(X52^2)/24*V55)+(X54*Q52*WLS)</f>
        <v>132</v>
      </c>
      <c r="Y55" s="84" t="str">
        <f>CONCATENATE("M(",Q52,")=")</f>
        <v>M(1)=</v>
      </c>
      <c r="Z55" s="84">
        <f>VLOOKUP(Q52,STN_TABLE,4,FALSE)</f>
        <v>43.326666666666661</v>
      </c>
      <c r="AA55" t="str">
        <f>CONCATENATE("M(",Q53,")=")</f>
        <v>M(2)=</v>
      </c>
      <c r="AB55">
        <f>X55+Z55</f>
        <v>175.32666666666665</v>
      </c>
      <c r="AE55" s="89">
        <f>SUM(AE53:AE54)</f>
        <v>22</v>
      </c>
      <c r="AG55" s="89">
        <f>SUM(AG53:AG54)</f>
        <v>33</v>
      </c>
      <c r="AH55" s="84" t="str">
        <f>CONCATENATE("m'(",AD54,")=")</f>
        <v>m'(2)=</v>
      </c>
      <c r="AI55" s="84">
        <f>(2*(AI52^2)/6*AG55)+(AI54*AD53*WLS)</f>
        <v>132</v>
      </c>
      <c r="AJ55" s="84" t="str">
        <f>CONCATENATE("M(",AD53,")=")</f>
        <v>M(1)=</v>
      </c>
      <c r="AK55" s="84">
        <f>VLOOKUP(AD53,STN_TABLE,4,FALSE)</f>
        <v>43.326666666666661</v>
      </c>
      <c r="AL55" t="str">
        <f>CONCATENATE("M(",AD54,")=")</f>
        <v>M(2)=</v>
      </c>
      <c r="AM55">
        <f>AI55+AK55</f>
        <v>175.32666666666665</v>
      </c>
      <c r="AO55" s="82" t="str">
        <f>AA55</f>
        <v>M(2)=</v>
      </c>
      <c r="AP55" s="82" t="e">
        <f>VLOOKUP(AO55,Rise_Results,2,FALSE)</f>
        <v>#N/A</v>
      </c>
      <c r="AQ55" s="82" t="e">
        <f>N55</f>
        <v>#N/A</v>
      </c>
      <c r="AR55" s="82">
        <f>IF(OR(AB54&lt;=0,AB55&lt;=0),1/0,AB55)</f>
        <v>175.32666666666665</v>
      </c>
      <c r="AS55" s="82">
        <f>AM55</f>
        <v>175.32666666666665</v>
      </c>
      <c r="AT55">
        <f>IFERROR(AP55,IFERROR(AQ55,IFERROR(AR55,AS55)))</f>
        <v>175.32666666666665</v>
      </c>
      <c r="AU55" s="81"/>
    </row>
    <row r="56" spans="1:47" x14ac:dyDescent="0.25">
      <c r="A56" s="101">
        <f>A51+1</f>
        <v>3</v>
      </c>
      <c r="B56" s="101">
        <f t="shared" si="11"/>
        <v>0.5</v>
      </c>
      <c r="O56" s="101">
        <f>O51+1</f>
        <v>5</v>
      </c>
      <c r="P56" s="101">
        <f t="shared" si="10"/>
        <v>1</v>
      </c>
      <c r="AU56" s="81"/>
    </row>
    <row r="57" spans="1:47" x14ac:dyDescent="0.25">
      <c r="A57" s="84">
        <f>A56+1</f>
        <v>4</v>
      </c>
      <c r="B57" s="84">
        <f t="shared" si="11"/>
        <v>0.75</v>
      </c>
      <c r="C57" s="79">
        <f t="shared" ref="C57" si="15">IF(C58=B59,IF(C59-C58=C58-B58,B58,IF(C59-C58=C58-B57,B57,"#NA")),IF(C58=B58,IF(C59-C58=C58-B57,B57,IF(C59-C58=C58-B56,B56,"#NA")),"#NA"))</f>
        <v>1</v>
      </c>
      <c r="D57" s="68">
        <f>VLOOKUP(C57,STN_TABLE,2,FALSE)</f>
        <v>11</v>
      </c>
      <c r="E57" s="102">
        <v>1</v>
      </c>
      <c r="F57" s="68">
        <f>D57*E57</f>
        <v>11</v>
      </c>
      <c r="G57" s="69">
        <f>C57</f>
        <v>1</v>
      </c>
      <c r="H57" s="69">
        <f>F57*G57</f>
        <v>11</v>
      </c>
      <c r="I57" s="6" t="s">
        <v>93</v>
      </c>
      <c r="J57" s="70">
        <f>IF(OR(D57=0,D58=0,D59=0),"#NA",IF(AND(C59-C58=C58-C57,C58&lt;&gt;C59,C57&lt;&gt;C58,C57&lt;&gt;C59,D59&lt;&gt;0,OR(D57&lt;&gt;0,D58&lt;&gt;0)),WLS*(C59-C58),"#NA"))</f>
        <v>2</v>
      </c>
      <c r="O57" s="99">
        <f>O56+1</f>
        <v>6</v>
      </c>
      <c r="P57" s="99">
        <f t="shared" si="10"/>
        <v>2</v>
      </c>
      <c r="Q57" s="68">
        <f>IF(OR(P59-P58=P58-P57,P60-P58=P58-P57),P57,IF(OR(P59-P58=P58-P56,P60-P58=P58-P56),P56,"-"))</f>
        <v>2</v>
      </c>
      <c r="R57" s="69">
        <f>VLOOKUP(Q57,STN_TABLE,2,FALSE)</f>
        <v>11</v>
      </c>
      <c r="S57" s="69">
        <v>5</v>
      </c>
      <c r="T57" s="68">
        <f>R57*S57</f>
        <v>55</v>
      </c>
      <c r="U57" s="79">
        <v>3</v>
      </c>
      <c r="V57" s="68">
        <f>R57*U57</f>
        <v>33</v>
      </c>
      <c r="W57" s="6" t="s">
        <v>93</v>
      </c>
      <c r="X57" s="70">
        <f>IF(AND(Q59-Q58=Q58-Q57,NOT(AND(Q57=0,Q58=0)),NOT(AND(Q58=0,Q59=0))),WLS*(Q59-Q58),"#NA")</f>
        <v>2</v>
      </c>
      <c r="AD57" s="93"/>
      <c r="AH57" s="6" t="s">
        <v>93</v>
      </c>
      <c r="AI57" s="70">
        <f>WLS*(AD59-AD58)</f>
        <v>2</v>
      </c>
      <c r="AU57" s="81"/>
    </row>
    <row r="58" spans="1:47" x14ac:dyDescent="0.25">
      <c r="A58" s="84">
        <f>A57+1</f>
        <v>5</v>
      </c>
      <c r="B58" s="84">
        <f t="shared" si="11"/>
        <v>1</v>
      </c>
      <c r="C58" s="80">
        <f t="shared" ref="C58" si="16">IF(OR(B60-B59=B59-B58,B60-B59=B59-B57,B60-B59=B59-B56),B59,IF(OR(B60-B58=B58-B57,B60-B58=B58-B56),B58,IF(B60-B57=B57-B56,B57,"#NA")))</f>
        <v>2</v>
      </c>
      <c r="D58" s="76">
        <f>VLOOKUP(C58,STN_TABLE,2,FALSE)</f>
        <v>11</v>
      </c>
      <c r="E58" s="81">
        <v>4</v>
      </c>
      <c r="F58" s="76">
        <f>D58*E58</f>
        <v>44</v>
      </c>
      <c r="G58" s="77">
        <f>C58</f>
        <v>2</v>
      </c>
      <c r="H58" s="77">
        <f>F58*G58</f>
        <v>88</v>
      </c>
      <c r="I58" s="495" t="s">
        <v>97</v>
      </c>
      <c r="J58" s="496"/>
      <c r="K58" s="78" t="s">
        <v>98</v>
      </c>
      <c r="L58" s="78"/>
      <c r="M58" s="7" t="s">
        <v>99</v>
      </c>
      <c r="N58" s="7"/>
      <c r="O58" s="99">
        <f>O57+1</f>
        <v>7</v>
      </c>
      <c r="P58" s="99">
        <f t="shared" si="10"/>
        <v>3</v>
      </c>
      <c r="Q58" s="76">
        <f>P58</f>
        <v>3</v>
      </c>
      <c r="R58" s="77">
        <f>VLOOKUP(Q58,STN_TABLE,2,FALSE)</f>
        <v>11</v>
      </c>
      <c r="S58" s="77">
        <v>8</v>
      </c>
      <c r="T58" s="76">
        <f>R58*S58</f>
        <v>88</v>
      </c>
      <c r="U58" s="80">
        <v>10</v>
      </c>
      <c r="V58" s="76">
        <f>R58*U58</f>
        <v>110</v>
      </c>
      <c r="W58" s="78" t="s">
        <v>97</v>
      </c>
      <c r="X58" s="78"/>
      <c r="Y58" s="78" t="s">
        <v>98</v>
      </c>
      <c r="Z58" s="78"/>
      <c r="AA58" s="7" t="s">
        <v>99</v>
      </c>
      <c r="AB58" s="7"/>
      <c r="AC58" s="99">
        <f>AC53+1</f>
        <v>6</v>
      </c>
      <c r="AD58" s="95">
        <f>VLOOKUP(AC58,STN_TABLE_2,2,FALSE)</f>
        <v>2</v>
      </c>
      <c r="AE58" s="68">
        <f>VLOOKUP(AD58,STN_TABLE,2,FALSE)</f>
        <v>11</v>
      </c>
      <c r="AF58" s="68">
        <v>1</v>
      </c>
      <c r="AG58" s="69">
        <f>AE58*AF58</f>
        <v>11</v>
      </c>
      <c r="AH58" s="496" t="s">
        <v>97</v>
      </c>
      <c r="AI58" s="496"/>
      <c r="AJ58" s="496" t="s">
        <v>98</v>
      </c>
      <c r="AK58" s="496"/>
      <c r="AL58" s="494" t="s">
        <v>99</v>
      </c>
      <c r="AM58" s="494"/>
      <c r="AP58" s="86" t="s">
        <v>112</v>
      </c>
      <c r="AQ58" s="89" t="s">
        <v>113</v>
      </c>
      <c r="AR58" s="89" t="s">
        <v>114</v>
      </c>
      <c r="AS58" s="89" t="s">
        <v>115</v>
      </c>
      <c r="AU58" s="81"/>
    </row>
    <row r="59" spans="1:47" x14ac:dyDescent="0.25">
      <c r="A59" s="84">
        <f>A58+1</f>
        <v>6</v>
      </c>
      <c r="B59" s="84">
        <f t="shared" si="11"/>
        <v>2</v>
      </c>
      <c r="C59" s="88">
        <f t="shared" ref="C59" si="17">B60</f>
        <v>3</v>
      </c>
      <c r="D59" s="82">
        <f>VLOOKUP(C59,STN_TABLE,2,FALSE)</f>
        <v>11</v>
      </c>
      <c r="E59" s="92">
        <v>1</v>
      </c>
      <c r="F59" s="82">
        <f>D59*E59</f>
        <v>11</v>
      </c>
      <c r="G59" s="83">
        <f>C59</f>
        <v>3</v>
      </c>
      <c r="H59" s="83">
        <f>F59*G59</f>
        <v>33</v>
      </c>
      <c r="I59" s="84" t="str">
        <f>CONCATENATE("a'(",C59,")=")</f>
        <v>a'(3)=</v>
      </c>
      <c r="J59" s="84">
        <f>2*J57/3*F60</f>
        <v>88</v>
      </c>
      <c r="K59" s="84" t="str">
        <f>CONCATENATE("A(",C57,")=")</f>
        <v>A(1)=</v>
      </c>
      <c r="L59" s="84">
        <f>VLOOKUP(C57,STN_TABLE,3,FALSE)</f>
        <v>42.573333333333331</v>
      </c>
      <c r="M59" t="str">
        <f>CONCATENATE("A(",C59,")=")</f>
        <v>A(3)=</v>
      </c>
      <c r="N59">
        <f>J59+L59</f>
        <v>130.57333333333332</v>
      </c>
      <c r="O59" s="99">
        <f>O58+1</f>
        <v>8</v>
      </c>
      <c r="P59" s="99">
        <f t="shared" si="10"/>
        <v>4</v>
      </c>
      <c r="Q59" s="82">
        <f>IF(P59-P58=P58-P57,P59,IF(P60-P58=P58-P57,P60,IF(P59-P58=P58-P56,P59,IF(P60-P58=P58-P56,P60,"-"))))</f>
        <v>4</v>
      </c>
      <c r="R59" s="83">
        <f>VLOOKUP(Q59,STN_TABLE,2,FALSE)</f>
        <v>11</v>
      </c>
      <c r="S59" s="83">
        <v>-1</v>
      </c>
      <c r="T59" s="82">
        <f>R59*S59</f>
        <v>-11</v>
      </c>
      <c r="U59" s="88">
        <v>-1</v>
      </c>
      <c r="V59" s="82">
        <f>R59*U59</f>
        <v>-11</v>
      </c>
      <c r="W59" s="84" t="str">
        <f>CONCATENATE("a'(",Q58,")=")</f>
        <v>a'(3)=</v>
      </c>
      <c r="X59" s="84">
        <f>2*X57/12*T60</f>
        <v>44</v>
      </c>
      <c r="Y59" s="84" t="str">
        <f>CONCATENATE("A(",Q57,")=")</f>
        <v>A(2)=</v>
      </c>
      <c r="Z59" s="84">
        <f>VLOOKUP(Q57,STN_TABLE,3,FALSE)</f>
        <v>86.573333333333323</v>
      </c>
      <c r="AA59" t="str">
        <f>CONCATENATE("A(",Q58,")=")</f>
        <v>A(3)=</v>
      </c>
      <c r="AB59">
        <f>X59+Z59</f>
        <v>130.57333333333332</v>
      </c>
      <c r="AC59" s="99">
        <f>AC58+1</f>
        <v>7</v>
      </c>
      <c r="AD59" s="100">
        <f>VLOOKUP(AC59,STN_TABLE_2,2,FALSE)</f>
        <v>3</v>
      </c>
      <c r="AE59" s="82">
        <f>VLOOKUP(AD59,STN_TABLE,2,FALSE)</f>
        <v>11</v>
      </c>
      <c r="AF59" s="82">
        <v>2</v>
      </c>
      <c r="AG59" s="83">
        <f>AE59*AF59</f>
        <v>22</v>
      </c>
      <c r="AH59" s="84" t="str">
        <f>CONCATENATE("a'(",AD59,")=")</f>
        <v>a'(3)=</v>
      </c>
      <c r="AI59" s="84">
        <f>2*AI57/2*AE60</f>
        <v>44</v>
      </c>
      <c r="AJ59" s="84" t="str">
        <f>CONCATENATE("A(",AD58,")=")</f>
        <v>A(2)=</v>
      </c>
      <c r="AK59" s="84">
        <f>VLOOKUP(AD58,STN_TABLE,3,FALSE)</f>
        <v>86.573333333333323</v>
      </c>
      <c r="AL59" t="str">
        <f>CONCATENATE("A(",AD59,")=")</f>
        <v>A(3)=</v>
      </c>
      <c r="AM59">
        <f>AI59+AK59</f>
        <v>130.57333333333332</v>
      </c>
      <c r="AO59" s="68" t="str">
        <f>AA59</f>
        <v>A(3)=</v>
      </c>
      <c r="AP59" s="68" t="e">
        <f>VLOOKUP(AO59,Rise_Results,2,FALSE)</f>
        <v>#N/A</v>
      </c>
      <c r="AQ59" s="76">
        <f>N59</f>
        <v>130.57333333333332</v>
      </c>
      <c r="AR59" s="76">
        <f>IF(OR(AB59&lt;=0,AB60&lt;=0),1/0,AB59)</f>
        <v>130.57333333333332</v>
      </c>
      <c r="AS59" s="76">
        <f>AM59</f>
        <v>130.57333333333332</v>
      </c>
      <c r="AT59">
        <f>IFERROR(AP59,IFERROR(AQ59,IFERROR(AR59,AS59)))</f>
        <v>130.57333333333332</v>
      </c>
      <c r="AU59" s="81"/>
    </row>
    <row r="60" spans="1:47" x14ac:dyDescent="0.25">
      <c r="A60" s="84">
        <f>A59+1</f>
        <v>7</v>
      </c>
      <c r="B60" s="84">
        <f t="shared" si="11"/>
        <v>3</v>
      </c>
      <c r="F60" s="82">
        <f>SUM(F57:F59)</f>
        <v>66</v>
      </c>
      <c r="H60" s="82">
        <f>SUM(H57:H59)</f>
        <v>132</v>
      </c>
      <c r="I60" s="84" t="str">
        <f>CONCATENATE("m'(",C59,")=")</f>
        <v>m'(3)=</v>
      </c>
      <c r="J60" s="84">
        <f>2*(J57*(WLS))/3*H60</f>
        <v>352</v>
      </c>
      <c r="K60" s="84" t="str">
        <f>CONCATENATE("M(",C57,")=")</f>
        <v>M(1)=</v>
      </c>
      <c r="L60" s="84">
        <f>VLOOKUP(C57,STN_TABLE,4,FALSE)</f>
        <v>43.326666666666661</v>
      </c>
      <c r="M60" t="str">
        <f>CONCATENATE("M(",C59,")=")</f>
        <v>M(3)=</v>
      </c>
      <c r="N60">
        <f>J60+L60</f>
        <v>395.32666666666665</v>
      </c>
      <c r="O60" s="99">
        <f>O59+1</f>
        <v>9</v>
      </c>
      <c r="P60" s="99">
        <f t="shared" si="10"/>
        <v>4.8499999999999996</v>
      </c>
      <c r="T60" s="89">
        <f>SUM(T57:T59)</f>
        <v>132</v>
      </c>
      <c r="V60" s="82">
        <f>SUM(V57:V59)</f>
        <v>132</v>
      </c>
      <c r="W60" s="84" t="str">
        <f>CONCATENATE("m'(",Q58,")=")</f>
        <v>m'(3)=</v>
      </c>
      <c r="X60" s="84">
        <f>(2*(X57^2)/24*V60)+(X59*Q57*WLS)</f>
        <v>220</v>
      </c>
      <c r="Y60" s="84" t="str">
        <f>CONCATENATE("M(",Q57,")=")</f>
        <v>M(2)=</v>
      </c>
      <c r="Z60" s="84">
        <f>VLOOKUP(Q57,STN_TABLE,4,FALSE)</f>
        <v>175.32666666666665</v>
      </c>
      <c r="AA60" t="str">
        <f>CONCATENATE("M(",Q58,")=")</f>
        <v>M(3)=</v>
      </c>
      <c r="AB60">
        <f>X60+Z60</f>
        <v>395.32666666666665</v>
      </c>
      <c r="AE60" s="89">
        <f>SUM(AE58:AE59)</f>
        <v>22</v>
      </c>
      <c r="AG60" s="89">
        <f>SUM(AG58:AG59)</f>
        <v>33</v>
      </c>
      <c r="AH60" s="84" t="str">
        <f>CONCATENATE("m'(",AD59,")=")</f>
        <v>m'(3)=</v>
      </c>
      <c r="AI60" s="84">
        <f>(2*(AI57^2)/6*AG60)+(AI59*AD58*WLS)</f>
        <v>220</v>
      </c>
      <c r="AJ60" s="84" t="str">
        <f>CONCATENATE("M(",AD58,")=")</f>
        <v>M(2)=</v>
      </c>
      <c r="AK60" s="84">
        <f>VLOOKUP(AD57,STN_TABLE,4,FALSE)</f>
        <v>0</v>
      </c>
      <c r="AL60" t="str">
        <f>CONCATENATE("M(",AD59,")=")</f>
        <v>M(3)=</v>
      </c>
      <c r="AM60">
        <f>AI60+AK60</f>
        <v>220</v>
      </c>
      <c r="AO60" s="82" t="str">
        <f>AA60</f>
        <v>M(3)=</v>
      </c>
      <c r="AP60" s="82" t="e">
        <f>VLOOKUP(AO60,Rise_Results,2,FALSE)</f>
        <v>#N/A</v>
      </c>
      <c r="AQ60" s="82">
        <f>N60</f>
        <v>395.32666666666665</v>
      </c>
      <c r="AR60" s="82">
        <f>IF(OR(AB59&lt;=0,AB60&lt;=0),1/0,AB60)</f>
        <v>395.32666666666665</v>
      </c>
      <c r="AS60" s="82">
        <f>AM60</f>
        <v>220</v>
      </c>
      <c r="AT60">
        <f>IFERROR(AP60,IFERROR(AQ60,IFERROR(AR60,AS60)))</f>
        <v>395.32666666666665</v>
      </c>
      <c r="AU60" s="81"/>
    </row>
    <row r="61" spans="1:47" x14ac:dyDescent="0.25">
      <c r="A61" s="101">
        <f>A56+1</f>
        <v>4</v>
      </c>
      <c r="B61" s="101">
        <f t="shared" si="11"/>
        <v>0.75</v>
      </c>
      <c r="O61" s="101">
        <f>O56+1</f>
        <v>6</v>
      </c>
      <c r="P61" s="101">
        <f t="shared" si="10"/>
        <v>2</v>
      </c>
      <c r="AU61" s="81"/>
    </row>
    <row r="62" spans="1:47" x14ac:dyDescent="0.25">
      <c r="A62" s="84">
        <f>A61+1</f>
        <v>5</v>
      </c>
      <c r="B62" s="84">
        <f t="shared" si="11"/>
        <v>1</v>
      </c>
      <c r="C62" s="79">
        <f t="shared" ref="C62" si="18">IF(C63=B64,IF(C64-C63=C63-B63,B63,IF(C64-C63=C63-B62,B62,"#NA")),IF(C63=B63,IF(C64-C63=C63-B62,B62,IF(C64-C63=C63-B61,B61,"#NA")),"#NA"))</f>
        <v>2</v>
      </c>
      <c r="D62" s="68">
        <f>VLOOKUP(C62,STN_TABLE,2,FALSE)</f>
        <v>11</v>
      </c>
      <c r="E62" s="102">
        <v>1</v>
      </c>
      <c r="F62" s="68">
        <f>D62*E62</f>
        <v>11</v>
      </c>
      <c r="G62" s="69">
        <f>C62</f>
        <v>2</v>
      </c>
      <c r="H62" s="69">
        <f>F62*G62</f>
        <v>22</v>
      </c>
      <c r="I62" s="6" t="s">
        <v>93</v>
      </c>
      <c r="J62" s="70">
        <f>IF(OR(D62=0,D63=0,D64=0),"#NA",IF(AND(C64-C63=C63-C62,C63&lt;&gt;C64,C62&lt;&gt;C63,C62&lt;&gt;C64,D64&lt;&gt;0,OR(D62&lt;&gt;0,D63&lt;&gt;0)),WLS*(C64-C63),"#NA"))</f>
        <v>2</v>
      </c>
      <c r="O62" s="99">
        <f>O61+1</f>
        <v>7</v>
      </c>
      <c r="P62" s="99">
        <f t="shared" si="10"/>
        <v>3</v>
      </c>
      <c r="Q62" s="68">
        <f>IF(OR(P64-P63=P63-P62,P65-P63=P63-P62),P62,IF(OR(P64-P63=P63-P61,P65-P63=P63-P61),P61,"-"))</f>
        <v>3</v>
      </c>
      <c r="R62" s="69">
        <f>VLOOKUP(Q62,STN_TABLE,2,FALSE)</f>
        <v>11</v>
      </c>
      <c r="S62" s="69">
        <v>5</v>
      </c>
      <c r="T62" s="68">
        <f>R62*S62</f>
        <v>55</v>
      </c>
      <c r="U62" s="79">
        <v>3</v>
      </c>
      <c r="V62" s="68">
        <f>R62*U62</f>
        <v>33</v>
      </c>
      <c r="W62" s="6" t="s">
        <v>93</v>
      </c>
      <c r="X62" s="70">
        <f>IF(AND(Q64-Q63=Q63-Q62,NOT(AND(Q62=0,Q63=0)),NOT(AND(Q63=0,Q64=0))),WLS*(Q64-Q63),"#NA")</f>
        <v>2</v>
      </c>
      <c r="AD62" s="93"/>
      <c r="AH62" s="6" t="s">
        <v>93</v>
      </c>
      <c r="AI62" s="70">
        <f>WLS*(AD64-AD63)</f>
        <v>2</v>
      </c>
      <c r="AU62" s="81"/>
    </row>
    <row r="63" spans="1:47" x14ac:dyDescent="0.25">
      <c r="A63" s="84">
        <f>A62+1</f>
        <v>6</v>
      </c>
      <c r="B63" s="84">
        <f t="shared" si="11"/>
        <v>2</v>
      </c>
      <c r="C63" s="80">
        <f t="shared" ref="C63" si="19">IF(OR(B65-B64=B64-B63,B65-B64=B64-B62,B65-B64=B64-B61),B64,IF(OR(B65-B63=B63-B62,B65-B63=B63-B61),B63,IF(B65-B62=B62-B61,B62,"#NA")))</f>
        <v>3</v>
      </c>
      <c r="D63" s="76">
        <f>VLOOKUP(C63,STN_TABLE,2,FALSE)</f>
        <v>11</v>
      </c>
      <c r="E63" s="81">
        <v>4</v>
      </c>
      <c r="F63" s="76">
        <f>D63*E63</f>
        <v>44</v>
      </c>
      <c r="G63" s="77">
        <f>C63</f>
        <v>3</v>
      </c>
      <c r="H63" s="77">
        <f>F63*G63</f>
        <v>132</v>
      </c>
      <c r="I63" s="495" t="s">
        <v>97</v>
      </c>
      <c r="J63" s="496"/>
      <c r="K63" s="78" t="s">
        <v>98</v>
      </c>
      <c r="L63" s="78"/>
      <c r="M63" s="7" t="s">
        <v>99</v>
      </c>
      <c r="N63" s="7"/>
      <c r="O63" s="99">
        <f>O62+1</f>
        <v>8</v>
      </c>
      <c r="P63" s="99">
        <f t="shared" si="10"/>
        <v>4</v>
      </c>
      <c r="Q63" s="76">
        <f>P63</f>
        <v>4</v>
      </c>
      <c r="R63" s="77">
        <f>VLOOKUP(Q63,STN_TABLE,2,FALSE)</f>
        <v>11</v>
      </c>
      <c r="S63" s="77">
        <v>8</v>
      </c>
      <c r="T63" s="76">
        <f>R63*S63</f>
        <v>88</v>
      </c>
      <c r="U63" s="80">
        <v>10</v>
      </c>
      <c r="V63" s="76">
        <f>R63*U63</f>
        <v>110</v>
      </c>
      <c r="W63" s="496" t="s">
        <v>97</v>
      </c>
      <c r="X63" s="496"/>
      <c r="Y63" s="496" t="s">
        <v>98</v>
      </c>
      <c r="Z63" s="496"/>
      <c r="AA63" s="494" t="s">
        <v>99</v>
      </c>
      <c r="AB63" s="494"/>
      <c r="AC63" s="99">
        <f>AC58+1</f>
        <v>7</v>
      </c>
      <c r="AD63" s="95">
        <f>VLOOKUP(AC63,STN_TABLE_2,2,FALSE)</f>
        <v>3</v>
      </c>
      <c r="AE63" s="68">
        <f>VLOOKUP(AD63,STN_TABLE,2,FALSE)</f>
        <v>11</v>
      </c>
      <c r="AF63" s="68">
        <v>1</v>
      </c>
      <c r="AG63" s="69">
        <f>AE63*AF63</f>
        <v>11</v>
      </c>
      <c r="AH63" s="496" t="s">
        <v>97</v>
      </c>
      <c r="AI63" s="496"/>
      <c r="AJ63" s="496" t="s">
        <v>98</v>
      </c>
      <c r="AK63" s="496"/>
      <c r="AL63" s="494" t="s">
        <v>99</v>
      </c>
      <c r="AM63" s="494"/>
      <c r="AP63" s="86" t="s">
        <v>112</v>
      </c>
      <c r="AQ63" s="89" t="s">
        <v>113</v>
      </c>
      <c r="AR63" s="89" t="s">
        <v>114</v>
      </c>
      <c r="AS63" s="89" t="s">
        <v>115</v>
      </c>
      <c r="AU63" s="81"/>
    </row>
    <row r="64" spans="1:47" x14ac:dyDescent="0.25">
      <c r="A64" s="84">
        <f>A63+1</f>
        <v>7</v>
      </c>
      <c r="B64" s="84">
        <f t="shared" si="11"/>
        <v>3</v>
      </c>
      <c r="C64" s="88">
        <f t="shared" ref="C64" si="20">B65</f>
        <v>4</v>
      </c>
      <c r="D64" s="82">
        <f>VLOOKUP(C64,STN_TABLE,2,FALSE)</f>
        <v>11</v>
      </c>
      <c r="E64" s="92">
        <v>1</v>
      </c>
      <c r="F64" s="82">
        <f>D64*E64</f>
        <v>11</v>
      </c>
      <c r="G64" s="83">
        <f>C64</f>
        <v>4</v>
      </c>
      <c r="H64" s="83">
        <f>F64*G64</f>
        <v>44</v>
      </c>
      <c r="I64" s="84" t="str">
        <f>CONCATENATE("a'(",C64,")=")</f>
        <v>a'(4)=</v>
      </c>
      <c r="J64" s="84">
        <f>2*J62/3*F65</f>
        <v>88</v>
      </c>
      <c r="K64" s="84" t="str">
        <f>CONCATENATE("A(",C62,")=")</f>
        <v>A(2)=</v>
      </c>
      <c r="L64" s="84">
        <f>VLOOKUP(C62,STN_TABLE,3,FALSE)</f>
        <v>86.573333333333323</v>
      </c>
      <c r="M64" t="str">
        <f>CONCATENATE("A(",C64,")=")</f>
        <v>A(4)=</v>
      </c>
      <c r="N64">
        <f>J64+L64</f>
        <v>174.57333333333332</v>
      </c>
      <c r="O64" s="99">
        <f>O63+1</f>
        <v>9</v>
      </c>
      <c r="P64" s="99">
        <f t="shared" si="10"/>
        <v>4.8499999999999996</v>
      </c>
      <c r="Q64" s="82">
        <f>IF(P64-P63=P63-P62,P64,IF(P65-P63=P63-P62,P65,IF(P64-P63=P63-P61,P64,IF(P65-P63=P63-P61,P65,"-"))))</f>
        <v>5</v>
      </c>
      <c r="R64" s="83">
        <f>VLOOKUP(Q64,STN_TABLE,2,FALSE)</f>
        <v>11</v>
      </c>
      <c r="S64" s="83">
        <v>-1</v>
      </c>
      <c r="T64" s="82">
        <f>R64*S64</f>
        <v>-11</v>
      </c>
      <c r="U64" s="88">
        <v>-1</v>
      </c>
      <c r="V64" s="82">
        <f>R64*U64</f>
        <v>-11</v>
      </c>
      <c r="W64" s="84" t="str">
        <f>CONCATENATE("a'(",Q63,")=")</f>
        <v>a'(4)=</v>
      </c>
      <c r="X64" s="84">
        <f>2*X62/12*T65</f>
        <v>44</v>
      </c>
      <c r="Y64" s="84" t="str">
        <f>CONCATENATE("A(",Q62,")=")</f>
        <v>A(3)=</v>
      </c>
      <c r="Z64" s="84">
        <f>VLOOKUP(Q62,STN_TABLE,3,FALSE)</f>
        <v>130.57333333333332</v>
      </c>
      <c r="AA64" t="str">
        <f>CONCATENATE("A(",Q63,")=")</f>
        <v>A(4)=</v>
      </c>
      <c r="AB64">
        <f>X64+Z64</f>
        <v>174.57333333333332</v>
      </c>
      <c r="AC64" s="99">
        <f>AC63+1</f>
        <v>8</v>
      </c>
      <c r="AD64" s="100">
        <f>VLOOKUP(AC64,STN_TABLE_2,2,FALSE)</f>
        <v>4</v>
      </c>
      <c r="AE64" s="82">
        <f>VLOOKUP(AD64,STN_TABLE,2,FALSE)</f>
        <v>11</v>
      </c>
      <c r="AF64" s="82">
        <v>2</v>
      </c>
      <c r="AG64" s="83">
        <f>AE64*AF64</f>
        <v>22</v>
      </c>
      <c r="AH64" s="84" t="str">
        <f>CONCATENATE("a'(",AD64,")=")</f>
        <v>a'(4)=</v>
      </c>
      <c r="AI64" s="84">
        <f>2*AI62/2*AE65</f>
        <v>44</v>
      </c>
      <c r="AJ64" s="84" t="str">
        <f>CONCATENATE("A(",AD63,")=")</f>
        <v>A(3)=</v>
      </c>
      <c r="AK64" s="84">
        <f>VLOOKUP(AD63,STN_TABLE,3,FALSE)</f>
        <v>130.57333333333332</v>
      </c>
      <c r="AL64" t="str">
        <f>CONCATENATE("A(",AD64,")=")</f>
        <v>A(4)=</v>
      </c>
      <c r="AM64">
        <f>AI64+AK64</f>
        <v>174.57333333333332</v>
      </c>
      <c r="AO64" s="68" t="str">
        <f>AA64</f>
        <v>A(4)=</v>
      </c>
      <c r="AP64" s="68" t="e">
        <f>VLOOKUP(AO64,Rise_Results,2,FALSE)</f>
        <v>#N/A</v>
      </c>
      <c r="AQ64" s="76">
        <f>N64</f>
        <v>174.57333333333332</v>
      </c>
      <c r="AR64" s="76">
        <f>IF(OR(AB64&lt;=0,AB65&lt;=0),1/0,AB64)</f>
        <v>174.57333333333332</v>
      </c>
      <c r="AS64" s="76">
        <f>AM64</f>
        <v>174.57333333333332</v>
      </c>
      <c r="AT64">
        <f>IFERROR(AP64,IFERROR(AQ64,IFERROR(AR64,AS64)))</f>
        <v>174.57333333333332</v>
      </c>
      <c r="AU64" s="81"/>
    </row>
    <row r="65" spans="1:47" x14ac:dyDescent="0.25">
      <c r="A65" s="84">
        <f>A64+1</f>
        <v>8</v>
      </c>
      <c r="B65" s="84">
        <f t="shared" si="11"/>
        <v>4</v>
      </c>
      <c r="F65" s="82">
        <f>SUM(F62:F64)</f>
        <v>66</v>
      </c>
      <c r="H65" s="82">
        <f>SUM(H62:H64)</f>
        <v>198</v>
      </c>
      <c r="I65" s="84" t="str">
        <f>CONCATENATE("m'(",C64,")=")</f>
        <v>m'(4)=</v>
      </c>
      <c r="J65" s="84">
        <f>2*(J62*(WLS))/3*H65</f>
        <v>528</v>
      </c>
      <c r="K65" s="84" t="str">
        <f>CONCATENATE("M(",C62,")=")</f>
        <v>M(2)=</v>
      </c>
      <c r="L65" s="84">
        <f>VLOOKUP(C62,STN_TABLE,4,FALSE)</f>
        <v>175.32666666666665</v>
      </c>
      <c r="M65" t="str">
        <f>CONCATENATE("M(",C64,")=")</f>
        <v>M(4)=</v>
      </c>
      <c r="N65">
        <f>J65+L65</f>
        <v>703.3266666666666</v>
      </c>
      <c r="O65" s="99">
        <f>O64+1</f>
        <v>10</v>
      </c>
      <c r="P65" s="99">
        <f t="shared" si="10"/>
        <v>5</v>
      </c>
      <c r="T65" s="89">
        <f>SUM(T62:T64)</f>
        <v>132</v>
      </c>
      <c r="V65" s="82">
        <f>SUM(V62:V64)</f>
        <v>132</v>
      </c>
      <c r="W65" s="84" t="str">
        <f>CONCATENATE("m'(",Q63,")=")</f>
        <v>m'(4)=</v>
      </c>
      <c r="X65" s="84">
        <f>(2*(X62^2)/24*V65)+(X64*Q62*WLS)</f>
        <v>308</v>
      </c>
      <c r="Y65" s="84" t="str">
        <f>CONCATENATE("M(",Q62,")=")</f>
        <v>M(3)=</v>
      </c>
      <c r="Z65" s="84">
        <f>VLOOKUP(Q62,STN_TABLE,4,FALSE)</f>
        <v>395.32666666666665</v>
      </c>
      <c r="AA65" t="str">
        <f>CONCATENATE("M(",Q63,")=")</f>
        <v>M(4)=</v>
      </c>
      <c r="AB65">
        <f>X65+Z65</f>
        <v>703.3266666666666</v>
      </c>
      <c r="AE65" s="89">
        <f>SUM(AE63:AE64)</f>
        <v>22</v>
      </c>
      <c r="AG65" s="89">
        <f>SUM(AG63:AG64)</f>
        <v>33</v>
      </c>
      <c r="AH65" s="84" t="str">
        <f>CONCATENATE("m'(",AD64,")=")</f>
        <v>m'(4)=</v>
      </c>
      <c r="AI65" s="84">
        <f>(2*(AI62^2)/6*AG65)+(AI64*AD63*WLS)</f>
        <v>308</v>
      </c>
      <c r="AJ65" s="84" t="str">
        <f>CONCATENATE("M(",AD63,")=")</f>
        <v>M(3)=</v>
      </c>
      <c r="AK65" s="84">
        <f>VLOOKUP(AD63,STN_TABLE,4,FALSE)</f>
        <v>395.32666666666665</v>
      </c>
      <c r="AL65" t="str">
        <f>CONCATENATE("M(",AD64,")=")</f>
        <v>M(4)=</v>
      </c>
      <c r="AM65">
        <f>AI65+AK65</f>
        <v>703.3266666666666</v>
      </c>
      <c r="AO65" s="82" t="str">
        <f>AA65</f>
        <v>M(4)=</v>
      </c>
      <c r="AP65" s="82" t="e">
        <f>VLOOKUP(AO65,Rise_Results,2,FALSE)</f>
        <v>#N/A</v>
      </c>
      <c r="AQ65" s="82">
        <f>N65</f>
        <v>703.3266666666666</v>
      </c>
      <c r="AR65" s="82">
        <f>IF(OR(AB64&lt;=0,AB65&lt;=0),1/0,AB65)</f>
        <v>703.3266666666666</v>
      </c>
      <c r="AS65" s="82">
        <f>AM65</f>
        <v>703.3266666666666</v>
      </c>
      <c r="AT65">
        <f>IFERROR(AP65,IFERROR(AQ65,IFERROR(AR65,AS65)))</f>
        <v>703.3266666666666</v>
      </c>
      <c r="AU65" s="81"/>
    </row>
    <row r="66" spans="1:47" x14ac:dyDescent="0.25">
      <c r="A66" s="101">
        <f>A61+1</f>
        <v>5</v>
      </c>
      <c r="B66" s="101">
        <f t="shared" si="11"/>
        <v>1</v>
      </c>
      <c r="O66" s="101">
        <f>O61+1</f>
        <v>7</v>
      </c>
      <c r="P66" s="101">
        <f t="shared" si="10"/>
        <v>3</v>
      </c>
      <c r="AU66" s="81"/>
    </row>
    <row r="67" spans="1:47" x14ac:dyDescent="0.25">
      <c r="A67" s="84">
        <f>A66+1</f>
        <v>6</v>
      </c>
      <c r="B67" s="84">
        <f t="shared" si="11"/>
        <v>2</v>
      </c>
      <c r="C67" s="79" t="str">
        <f t="shared" ref="C67" si="21">IF(C68=B69,IF(C69-C68=C68-B68,B68,IF(C69-C68=C68-B67,B67,"#NA")),IF(C68=B68,IF(C69-C68=C68-B67,B67,IF(C69-C68=C68-B66,B66,"#NA")),"#NA"))</f>
        <v>#NA</v>
      </c>
      <c r="D67" s="68" t="e">
        <f>VLOOKUP(C67,STN_TABLE,2,FALSE)</f>
        <v>#N/A</v>
      </c>
      <c r="E67" s="102">
        <v>1</v>
      </c>
      <c r="F67" s="68" t="e">
        <f>D67*E67</f>
        <v>#N/A</v>
      </c>
      <c r="G67" s="69" t="str">
        <f>C67</f>
        <v>#NA</v>
      </c>
      <c r="H67" s="69" t="e">
        <f>F67*G67</f>
        <v>#N/A</v>
      </c>
      <c r="I67" s="6" t="s">
        <v>93</v>
      </c>
      <c r="J67" s="70" t="e">
        <f>IF(OR(D67=0,D68=0,D69=0),"#NA",IF(AND(C69-C68=C68-C67,C68&lt;&gt;C69,C67&lt;&gt;C68,C67&lt;&gt;C69,D69&lt;&gt;0,OR(D67&lt;&gt;0,D68&lt;&gt;0)),WLS*(C69-C68),"#NA"))</f>
        <v>#N/A</v>
      </c>
      <c r="O67" s="99">
        <f>O66+1</f>
        <v>8</v>
      </c>
      <c r="P67" s="99">
        <f t="shared" si="10"/>
        <v>4</v>
      </c>
      <c r="Q67" s="68" t="str">
        <f>IF(OR(P69-P68=P68-P67,P70-P68=P68-P67),P67,IF(OR(P69-P68=P68-P66,P70-P68=P68-P66),P66,"-"))</f>
        <v>-</v>
      </c>
      <c r="R67" s="69" t="e">
        <f>VLOOKUP(Q67,STN_TABLE,2,FALSE)</f>
        <v>#N/A</v>
      </c>
      <c r="S67" s="69">
        <v>5</v>
      </c>
      <c r="T67" s="68" t="e">
        <f>R67*S67</f>
        <v>#N/A</v>
      </c>
      <c r="U67" s="79">
        <v>3</v>
      </c>
      <c r="V67" s="68" t="e">
        <f>R67*U67</f>
        <v>#N/A</v>
      </c>
      <c r="W67" s="6" t="s">
        <v>93</v>
      </c>
      <c r="X67" s="70" t="e">
        <f>IF(AND(Q69-Q68=Q68-Q67,NOT(AND(Q67=0,Q68=0)),NOT(AND(Q68=0,Q69=0))),WLS*(Q69-Q68),"#NA")</f>
        <v>#VALUE!</v>
      </c>
      <c r="AD67" s="93"/>
      <c r="AH67" s="6" t="s">
        <v>93</v>
      </c>
      <c r="AI67" s="70">
        <f>WLS*(AD69-AD68)</f>
        <v>1.6999999999999993</v>
      </c>
      <c r="AU67" s="81"/>
    </row>
    <row r="68" spans="1:47" x14ac:dyDescent="0.25">
      <c r="A68" s="84">
        <f>A67+1</f>
        <v>7</v>
      </c>
      <c r="B68" s="84">
        <f t="shared" si="11"/>
        <v>3</v>
      </c>
      <c r="C68" s="80" t="str">
        <f t="shared" ref="C68" si="22">IF(OR(B70-B69=B69-B68,B70-B69=B69-B67,B70-B69=B69-B66),B69,IF(OR(B70-B68=B68-B67,B70-B68=B68-B66),B68,IF(B70-B67=B67-B66,B67,"#NA")))</f>
        <v>#NA</v>
      </c>
      <c r="D68" s="76" t="e">
        <f>VLOOKUP(C68,STN_TABLE,2,FALSE)</f>
        <v>#N/A</v>
      </c>
      <c r="E68" s="81">
        <v>4</v>
      </c>
      <c r="F68" s="76" t="e">
        <f>D68*E68</f>
        <v>#N/A</v>
      </c>
      <c r="G68" s="77" t="str">
        <f>C68</f>
        <v>#NA</v>
      </c>
      <c r="H68" s="77" t="e">
        <f>F68*G68</f>
        <v>#N/A</v>
      </c>
      <c r="I68" s="495" t="s">
        <v>97</v>
      </c>
      <c r="J68" s="496"/>
      <c r="K68" s="78" t="s">
        <v>98</v>
      </c>
      <c r="L68" s="78"/>
      <c r="M68" s="7" t="s">
        <v>99</v>
      </c>
      <c r="N68" s="7"/>
      <c r="O68" s="99">
        <f>O67+1</f>
        <v>9</v>
      </c>
      <c r="P68" s="99">
        <f t="shared" ref="P68:P99" si="23">VLOOKUP(O68,STN_TABLE_2,2,FALSE)</f>
        <v>4.8499999999999996</v>
      </c>
      <c r="Q68" s="76">
        <f>P68</f>
        <v>4.8499999999999996</v>
      </c>
      <c r="R68" s="77">
        <f>VLOOKUP(Q68,STN_TABLE,2,FALSE)</f>
        <v>11</v>
      </c>
      <c r="S68" s="77">
        <v>8</v>
      </c>
      <c r="T68" s="76">
        <f>R68*S68</f>
        <v>88</v>
      </c>
      <c r="U68" s="80">
        <v>10</v>
      </c>
      <c r="V68" s="76">
        <f>R68*U68</f>
        <v>110</v>
      </c>
      <c r="W68" s="496" t="s">
        <v>97</v>
      </c>
      <c r="X68" s="496"/>
      <c r="Y68" s="496" t="s">
        <v>98</v>
      </c>
      <c r="Z68" s="496"/>
      <c r="AA68" s="494" t="s">
        <v>99</v>
      </c>
      <c r="AB68" s="494"/>
      <c r="AC68" s="99">
        <f>AC63+1</f>
        <v>8</v>
      </c>
      <c r="AD68" s="95">
        <f>VLOOKUP(AC68,STN_TABLE_2,2,FALSE)</f>
        <v>4</v>
      </c>
      <c r="AE68" s="68">
        <f>VLOOKUP(AD68,STN_TABLE,2,FALSE)</f>
        <v>11</v>
      </c>
      <c r="AF68" s="68">
        <v>1</v>
      </c>
      <c r="AG68" s="69">
        <f>AE68*AF68</f>
        <v>11</v>
      </c>
      <c r="AH68" s="496" t="s">
        <v>97</v>
      </c>
      <c r="AI68" s="496"/>
      <c r="AJ68" s="496" t="s">
        <v>98</v>
      </c>
      <c r="AK68" s="496"/>
      <c r="AL68" s="494" t="s">
        <v>99</v>
      </c>
      <c r="AM68" s="494"/>
      <c r="AP68" s="86" t="s">
        <v>112</v>
      </c>
      <c r="AQ68" s="89" t="s">
        <v>113</v>
      </c>
      <c r="AR68" s="89" t="s">
        <v>114</v>
      </c>
      <c r="AS68" s="89" t="s">
        <v>115</v>
      </c>
      <c r="AU68" s="81"/>
    </row>
    <row r="69" spans="1:47" x14ac:dyDescent="0.25">
      <c r="A69" s="84">
        <f>A68+1</f>
        <v>8</v>
      </c>
      <c r="B69" s="84">
        <f t="shared" si="11"/>
        <v>4</v>
      </c>
      <c r="C69" s="88">
        <f t="shared" ref="C69" si="24">B70</f>
        <v>4.8499999999999996</v>
      </c>
      <c r="D69" s="82">
        <f>VLOOKUP(C69,STN_TABLE,2,FALSE)</f>
        <v>11</v>
      </c>
      <c r="E69" s="92">
        <v>1</v>
      </c>
      <c r="F69" s="82">
        <f>D69*E69</f>
        <v>11</v>
      </c>
      <c r="G69" s="83">
        <f>C69</f>
        <v>4.8499999999999996</v>
      </c>
      <c r="H69" s="83">
        <f>F69*G69</f>
        <v>53.349999999999994</v>
      </c>
      <c r="I69" s="84" t="str">
        <f>CONCATENATE("a'(",C69,")=")</f>
        <v>a'(4.85)=</v>
      </c>
      <c r="J69" s="84" t="e">
        <f>2*J67/3*F70</f>
        <v>#N/A</v>
      </c>
      <c r="K69" s="84" t="str">
        <f>CONCATENATE("A(",C67,")=")</f>
        <v>A(#NA)=</v>
      </c>
      <c r="L69" s="84" t="e">
        <f>VLOOKUP(C67,STN_TABLE,3,FALSE)</f>
        <v>#N/A</v>
      </c>
      <c r="M69" t="str">
        <f>CONCATENATE("A(",C69,")=")</f>
        <v>A(4.85)=</v>
      </c>
      <c r="N69" t="e">
        <f>J69+L69</f>
        <v>#N/A</v>
      </c>
      <c r="O69" s="99">
        <f>O68+1</f>
        <v>10</v>
      </c>
      <c r="P69" s="99">
        <f t="shared" si="23"/>
        <v>5</v>
      </c>
      <c r="Q69" s="82" t="str">
        <f>IF(P69-P68=P68-P67,P69,IF(P70-P68=P68-P67,P70,IF(P69-P68=P68-P66,P69,IF(P70-P68=P68-P66,P70,"-"))))</f>
        <v>-</v>
      </c>
      <c r="R69" s="83" t="e">
        <f>VLOOKUP(Q69,STN_TABLE,2,FALSE)</f>
        <v>#N/A</v>
      </c>
      <c r="S69" s="83">
        <v>-1</v>
      </c>
      <c r="T69" s="82" t="e">
        <f>R69*S69</f>
        <v>#N/A</v>
      </c>
      <c r="U69" s="88">
        <v>-1</v>
      </c>
      <c r="V69" s="82" t="e">
        <f>R69*U69</f>
        <v>#N/A</v>
      </c>
      <c r="W69" s="84" t="str">
        <f>CONCATENATE("a'(",Q68,")=")</f>
        <v>a'(4.85)=</v>
      </c>
      <c r="X69" s="84" t="e">
        <f>2*X67/12*T70</f>
        <v>#VALUE!</v>
      </c>
      <c r="Y69" s="84" t="str">
        <f>CONCATENATE("A(",Q67,")=")</f>
        <v>A(-)=</v>
      </c>
      <c r="Z69" s="84" t="e">
        <f>VLOOKUP(Q67,STN_TABLE,3,FALSE)</f>
        <v>#N/A</v>
      </c>
      <c r="AA69" t="str">
        <f>CONCATENATE("A(",Q68,")=")</f>
        <v>A(4.85)=</v>
      </c>
      <c r="AB69" t="e">
        <f>X69+Z69</f>
        <v>#VALUE!</v>
      </c>
      <c r="AC69" s="99">
        <f>AC68+1</f>
        <v>9</v>
      </c>
      <c r="AD69" s="100">
        <f>VLOOKUP(AC69,STN_TABLE_2,2,FALSE)</f>
        <v>4.8499999999999996</v>
      </c>
      <c r="AE69" s="82">
        <f>VLOOKUP(AD69,STN_TABLE,2,FALSE)</f>
        <v>11</v>
      </c>
      <c r="AF69" s="82">
        <v>2</v>
      </c>
      <c r="AG69" s="83">
        <f>AE69*AF69</f>
        <v>22</v>
      </c>
      <c r="AH69" s="84" t="str">
        <f>CONCATENATE("a'(",AD69,")=")</f>
        <v>a'(4.85)=</v>
      </c>
      <c r="AI69" s="84">
        <f>2*AI67/2*AE70</f>
        <v>37.399999999999984</v>
      </c>
      <c r="AJ69" s="84" t="str">
        <f>CONCATENATE("A(",AD68,")=")</f>
        <v>A(4)=</v>
      </c>
      <c r="AK69" s="84">
        <f>VLOOKUP(AD68,STN_TABLE,3,FALSE)</f>
        <v>174.57333333333332</v>
      </c>
      <c r="AL69" t="str">
        <f>CONCATENATE("A(",AD69,")=")</f>
        <v>A(4.85)=</v>
      </c>
      <c r="AM69">
        <f>AI69+AK69</f>
        <v>211.9733333333333</v>
      </c>
      <c r="AO69" s="68" t="str">
        <f>AA69</f>
        <v>A(4.85)=</v>
      </c>
      <c r="AP69" s="68" t="e">
        <f>VLOOKUP(AO69,Rise_Results,2,FALSE)</f>
        <v>#N/A</v>
      </c>
      <c r="AQ69" s="76" t="e">
        <f>N69</f>
        <v>#N/A</v>
      </c>
      <c r="AR69" s="76" t="e">
        <f>IF(OR(AB69&lt;=0,AB70&lt;=0),1/0,AB69)</f>
        <v>#VALUE!</v>
      </c>
      <c r="AS69" s="76">
        <f>AM69</f>
        <v>211.9733333333333</v>
      </c>
      <c r="AT69">
        <f>IFERROR(AP69,IFERROR(AQ69,IFERROR(AR69,AS69)))</f>
        <v>211.9733333333333</v>
      </c>
      <c r="AU69" s="81"/>
    </row>
    <row r="70" spans="1:47" x14ac:dyDescent="0.25">
      <c r="A70" s="84">
        <f>A69+1</f>
        <v>9</v>
      </c>
      <c r="B70" s="84">
        <f t="shared" si="11"/>
        <v>4.8499999999999996</v>
      </c>
      <c r="F70" s="82" t="e">
        <f>SUM(F67:F69)</f>
        <v>#N/A</v>
      </c>
      <c r="H70" s="82" t="e">
        <f>SUM(H67:H69)</f>
        <v>#N/A</v>
      </c>
      <c r="I70" s="84" t="str">
        <f>CONCATENATE("m'(",C69,")=")</f>
        <v>m'(4.85)=</v>
      </c>
      <c r="J70" s="84" t="e">
        <f>2*(J67*(WLS))/3*H70</f>
        <v>#N/A</v>
      </c>
      <c r="K70" s="84" t="str">
        <f>CONCATENATE("M(",C67,")=")</f>
        <v>M(#NA)=</v>
      </c>
      <c r="L70" s="84" t="e">
        <f>VLOOKUP(C67,STN_TABLE,4,FALSE)</f>
        <v>#N/A</v>
      </c>
      <c r="M70" t="str">
        <f>CONCATENATE("M(",C69,")=")</f>
        <v>M(4.85)=</v>
      </c>
      <c r="N70" t="e">
        <f>J70+L70</f>
        <v>#N/A</v>
      </c>
      <c r="O70" s="99">
        <f>O69+1</f>
        <v>11</v>
      </c>
      <c r="P70" s="99">
        <f t="shared" si="23"/>
        <v>6</v>
      </c>
      <c r="T70" s="89" t="e">
        <f>SUM(T67:T69)</f>
        <v>#N/A</v>
      </c>
      <c r="V70" s="82" t="e">
        <f>SUM(V67:V69)</f>
        <v>#N/A</v>
      </c>
      <c r="W70" s="84" t="str">
        <f>CONCATENATE("m'(",Q68,")=")</f>
        <v>m'(4.85)=</v>
      </c>
      <c r="X70" s="84" t="e">
        <f>(2*(X67^2)/24*V70)+(X69*Q67*WLS)</f>
        <v>#VALUE!</v>
      </c>
      <c r="Y70" s="84" t="str">
        <f>CONCATENATE("M(",Q67,")=")</f>
        <v>M(-)=</v>
      </c>
      <c r="Z70" s="84" t="e">
        <f>VLOOKUP(Q67,STN_TABLE,4,FALSE)</f>
        <v>#N/A</v>
      </c>
      <c r="AA70" t="str">
        <f>CONCATENATE("M(",Q68,")=")</f>
        <v>M(4.85)=</v>
      </c>
      <c r="AB70" t="e">
        <f>X70+Z70</f>
        <v>#VALUE!</v>
      </c>
      <c r="AE70" s="89">
        <f>SUM(AE68:AE69)</f>
        <v>22</v>
      </c>
      <c r="AG70" s="89">
        <f>SUM(AG68:AG69)</f>
        <v>33</v>
      </c>
      <c r="AH70" s="84" t="str">
        <f>CONCATENATE("m'(",AD69,")=")</f>
        <v>m'(4.85)=</v>
      </c>
      <c r="AI70" s="84">
        <f>(2*(AI67^2)/6*AG70)+(AI69*AD68*WLS)</f>
        <v>330.98999999999984</v>
      </c>
      <c r="AJ70" s="84" t="str">
        <f>CONCATENATE("M(",AD68,")=")</f>
        <v>M(4)=</v>
      </c>
      <c r="AK70" s="84">
        <f>VLOOKUP(AD68,STN_TABLE,4,FALSE)</f>
        <v>703.3266666666666</v>
      </c>
      <c r="AL70" t="str">
        <f>CONCATENATE("M(",AD69,")=")</f>
        <v>M(4.85)=</v>
      </c>
      <c r="AM70">
        <f>AI70+AK70</f>
        <v>1034.3166666666664</v>
      </c>
      <c r="AO70" s="82" t="str">
        <f>AA70</f>
        <v>M(4.85)=</v>
      </c>
      <c r="AP70" s="82" t="e">
        <f>VLOOKUP(AO70,Rise_Results,2,FALSE)</f>
        <v>#N/A</v>
      </c>
      <c r="AQ70" s="82" t="e">
        <f>N70</f>
        <v>#N/A</v>
      </c>
      <c r="AR70" s="82" t="e">
        <f>IF(OR(AB69&lt;=0,AB70&lt;=0),1/0,AB70)</f>
        <v>#VALUE!</v>
      </c>
      <c r="AS70" s="82">
        <f>AM70</f>
        <v>1034.3166666666664</v>
      </c>
      <c r="AT70">
        <f>IFERROR(AP70,IFERROR(AQ70,IFERROR(AR70,AS70)))</f>
        <v>1034.3166666666664</v>
      </c>
      <c r="AU70" s="81"/>
    </row>
    <row r="71" spans="1:47" x14ac:dyDescent="0.25">
      <c r="A71" s="101">
        <f>A66+1</f>
        <v>6</v>
      </c>
      <c r="B71" s="101">
        <f t="shared" si="11"/>
        <v>2</v>
      </c>
      <c r="O71" s="101">
        <f>O66+1</f>
        <v>8</v>
      </c>
      <c r="P71" s="101">
        <f t="shared" si="23"/>
        <v>4</v>
      </c>
      <c r="AU71" s="81"/>
    </row>
    <row r="72" spans="1:47" x14ac:dyDescent="0.25">
      <c r="A72" s="84">
        <f>A71+1</f>
        <v>7</v>
      </c>
      <c r="B72" s="84">
        <f t="shared" si="11"/>
        <v>3</v>
      </c>
      <c r="C72" s="79">
        <f t="shared" ref="C72" si="25">IF(C73=B74,IF(C74-C73=C73-B73,B73,IF(C74-C73=C73-B72,B72,"#NA")),IF(C73=B73,IF(C74-C73=C73-B72,B72,IF(C74-C73=C73-B71,B71,"#NA")),"#NA"))</f>
        <v>3</v>
      </c>
      <c r="D72" s="68">
        <f>VLOOKUP(C72,STN_TABLE,2,FALSE)</f>
        <v>11</v>
      </c>
      <c r="E72" s="102">
        <v>1</v>
      </c>
      <c r="F72" s="68">
        <f>D72*E72</f>
        <v>11</v>
      </c>
      <c r="G72" s="69">
        <f>C72</f>
        <v>3</v>
      </c>
      <c r="H72" s="69">
        <f>F72*G72</f>
        <v>33</v>
      </c>
      <c r="I72" s="6" t="s">
        <v>93</v>
      </c>
      <c r="J72" s="70">
        <f>IF(OR(D72=0,D73=0,D74=0),"#NA",IF(AND(C74-C73=C73-C72,C73&lt;&gt;C74,C72&lt;&gt;C73,C72&lt;&gt;C74,D74&lt;&gt;0,OR(D72&lt;&gt;0,D73&lt;&gt;0)),WLS*(C74-C73),"#NA"))</f>
        <v>2</v>
      </c>
      <c r="O72" s="99">
        <f>O71+1</f>
        <v>9</v>
      </c>
      <c r="P72" s="99">
        <f t="shared" si="23"/>
        <v>4.8499999999999996</v>
      </c>
      <c r="Q72" s="68">
        <f>IF(OR(P74-P73=P73-P72,P75-P73=P73-P72),P72,IF(OR(P74-P73=P73-P71,P75-P73=P73-P71),P71,"-"))</f>
        <v>4</v>
      </c>
      <c r="R72" s="69">
        <f>VLOOKUP(Q72,STN_TABLE,2,FALSE)</f>
        <v>11</v>
      </c>
      <c r="S72" s="69">
        <v>5</v>
      </c>
      <c r="T72" s="68">
        <f>R72*S72</f>
        <v>55</v>
      </c>
      <c r="U72" s="79">
        <v>3</v>
      </c>
      <c r="V72" s="68">
        <f>R72*U72</f>
        <v>33</v>
      </c>
      <c r="W72" s="6" t="s">
        <v>93</v>
      </c>
      <c r="X72" s="70">
        <f>IF(AND(Q74-Q73=Q73-Q72,NOT(AND(Q72=0,Q73=0)),NOT(AND(Q73=0,Q74=0))),WLS*(Q74-Q73),"#NA")</f>
        <v>2</v>
      </c>
      <c r="AD72" s="93"/>
      <c r="AH72" s="6" t="s">
        <v>93</v>
      </c>
      <c r="AI72" s="70">
        <f>WLS*(AD74-AD73)</f>
        <v>0.30000000000000071</v>
      </c>
      <c r="AU72" s="81"/>
    </row>
    <row r="73" spans="1:47" x14ac:dyDescent="0.25">
      <c r="A73" s="84">
        <f>A72+1</f>
        <v>8</v>
      </c>
      <c r="B73" s="84">
        <f t="shared" si="11"/>
        <v>4</v>
      </c>
      <c r="C73" s="80">
        <f t="shared" ref="C73" si="26">IF(OR(B75-B74=B74-B73,B75-B74=B74-B72,B75-B74=B74-B71),B74,IF(OR(B75-B73=B73-B72,B75-B73=B73-B71),B73,IF(B75-B72=B72-B71,B72,"#NA")))</f>
        <v>4</v>
      </c>
      <c r="D73" s="76">
        <f>VLOOKUP(C73,STN_TABLE,2,FALSE)</f>
        <v>11</v>
      </c>
      <c r="E73" s="81">
        <v>4</v>
      </c>
      <c r="F73" s="76">
        <f>D73*E73</f>
        <v>44</v>
      </c>
      <c r="G73" s="77">
        <f>C73</f>
        <v>4</v>
      </c>
      <c r="H73" s="77">
        <f>F73*G73</f>
        <v>176</v>
      </c>
      <c r="I73" s="495" t="s">
        <v>97</v>
      </c>
      <c r="J73" s="496"/>
      <c r="K73" s="78" t="s">
        <v>98</v>
      </c>
      <c r="L73" s="78"/>
      <c r="M73" s="7" t="s">
        <v>99</v>
      </c>
      <c r="N73" s="7"/>
      <c r="O73" s="99">
        <f>O72+1</f>
        <v>10</v>
      </c>
      <c r="P73" s="99">
        <f t="shared" si="23"/>
        <v>5</v>
      </c>
      <c r="Q73" s="76">
        <f>P73</f>
        <v>5</v>
      </c>
      <c r="R73" s="77">
        <f>VLOOKUP(Q73,STN_TABLE,2,FALSE)</f>
        <v>11</v>
      </c>
      <c r="S73" s="77">
        <v>8</v>
      </c>
      <c r="T73" s="76">
        <f>R73*S73</f>
        <v>88</v>
      </c>
      <c r="U73" s="80">
        <v>10</v>
      </c>
      <c r="V73" s="76">
        <f>R73*U73</f>
        <v>110</v>
      </c>
      <c r="W73" s="496" t="s">
        <v>97</v>
      </c>
      <c r="X73" s="496"/>
      <c r="Y73" s="496" t="s">
        <v>98</v>
      </c>
      <c r="Z73" s="496"/>
      <c r="AA73" s="494" t="s">
        <v>99</v>
      </c>
      <c r="AB73" s="494"/>
      <c r="AC73" s="99">
        <f>AC68+1</f>
        <v>9</v>
      </c>
      <c r="AD73" s="95">
        <f>VLOOKUP(AC73,STN_TABLE_2,2,FALSE)</f>
        <v>4.8499999999999996</v>
      </c>
      <c r="AE73" s="68">
        <f>VLOOKUP(AD73,STN_TABLE,2,FALSE)</f>
        <v>11</v>
      </c>
      <c r="AF73" s="68">
        <v>1</v>
      </c>
      <c r="AG73" s="69">
        <f>AE73*AF73</f>
        <v>11</v>
      </c>
      <c r="AH73" s="496" t="s">
        <v>97</v>
      </c>
      <c r="AI73" s="496"/>
      <c r="AJ73" s="496" t="s">
        <v>98</v>
      </c>
      <c r="AK73" s="496"/>
      <c r="AL73" s="494" t="s">
        <v>99</v>
      </c>
      <c r="AM73" s="494"/>
      <c r="AP73" s="86" t="s">
        <v>112</v>
      </c>
      <c r="AQ73" s="89" t="s">
        <v>113</v>
      </c>
      <c r="AR73" s="89" t="s">
        <v>114</v>
      </c>
      <c r="AS73" s="89" t="s">
        <v>115</v>
      </c>
      <c r="AU73" s="81"/>
    </row>
    <row r="74" spans="1:47" x14ac:dyDescent="0.25">
      <c r="A74" s="84">
        <f>A73+1</f>
        <v>9</v>
      </c>
      <c r="B74" s="84">
        <f t="shared" ref="B74:B105" si="27">VLOOKUP(A74,STN_TABLE_2,2,FALSE)</f>
        <v>4.8499999999999996</v>
      </c>
      <c r="C74" s="88">
        <f t="shared" ref="C74" si="28">B75</f>
        <v>5</v>
      </c>
      <c r="D74" s="82">
        <f>VLOOKUP(C74,STN_TABLE,2,FALSE)</f>
        <v>11</v>
      </c>
      <c r="E74" s="92">
        <v>1</v>
      </c>
      <c r="F74" s="82">
        <f>D74*E74</f>
        <v>11</v>
      </c>
      <c r="G74" s="83">
        <f>C74</f>
        <v>5</v>
      </c>
      <c r="H74" s="83">
        <f>F74*G74</f>
        <v>55</v>
      </c>
      <c r="I74" s="84" t="str">
        <f>CONCATENATE("a'(",C74,")=")</f>
        <v>a'(5)=</v>
      </c>
      <c r="J74" s="84">
        <f>2*J72/3*F75</f>
        <v>88</v>
      </c>
      <c r="K74" s="84" t="str">
        <f>CONCATENATE("A(",C72,")=")</f>
        <v>A(3)=</v>
      </c>
      <c r="L74" s="84">
        <f>VLOOKUP(C72,STN_TABLE,3,FALSE)</f>
        <v>130.57333333333332</v>
      </c>
      <c r="M74" t="str">
        <f>CONCATENATE("A(",C74,")=")</f>
        <v>A(5)=</v>
      </c>
      <c r="N74">
        <f>J74+L74</f>
        <v>218.57333333333332</v>
      </c>
      <c r="O74" s="99">
        <f>O73+1</f>
        <v>11</v>
      </c>
      <c r="P74" s="99">
        <f t="shared" si="23"/>
        <v>6</v>
      </c>
      <c r="Q74" s="82">
        <f>IF(P74-P73=P73-P72,P74,IF(P75-P73=P73-P72,P75,IF(P74-P73=P73-P71,P74,IF(P75-P73=P73-P71,P75,"-"))))</f>
        <v>6</v>
      </c>
      <c r="R74" s="83">
        <f>VLOOKUP(Q74,STN_TABLE,2,FALSE)</f>
        <v>11</v>
      </c>
      <c r="S74" s="83">
        <v>-1</v>
      </c>
      <c r="T74" s="82">
        <f>R74*S74</f>
        <v>-11</v>
      </c>
      <c r="U74" s="88">
        <v>-1</v>
      </c>
      <c r="V74" s="82">
        <f>R74*U74</f>
        <v>-11</v>
      </c>
      <c r="W74" s="84" t="str">
        <f>CONCATENATE("a'(",Q73,")=")</f>
        <v>a'(5)=</v>
      </c>
      <c r="X74" s="84">
        <f>2*X72/12*T75</f>
        <v>44</v>
      </c>
      <c r="Y74" s="84" t="str">
        <f>CONCATENATE("A(",Q72,")=")</f>
        <v>A(4)=</v>
      </c>
      <c r="Z74" s="84">
        <f>VLOOKUP(Q72,STN_TABLE,3,FALSE)</f>
        <v>174.57333333333332</v>
      </c>
      <c r="AA74" t="str">
        <f>CONCATENATE("A(",Q73,")=")</f>
        <v>A(5)=</v>
      </c>
      <c r="AB74">
        <f>X74+Z74</f>
        <v>218.57333333333332</v>
      </c>
      <c r="AC74" s="99">
        <f>AC73+1</f>
        <v>10</v>
      </c>
      <c r="AD74" s="100">
        <f>VLOOKUP(AC74,STN_TABLE_2,2,FALSE)</f>
        <v>5</v>
      </c>
      <c r="AE74" s="82">
        <f>VLOOKUP(AD74,STN_TABLE,2,FALSE)</f>
        <v>11</v>
      </c>
      <c r="AF74" s="82">
        <v>2</v>
      </c>
      <c r="AG74" s="83">
        <f>AE74*AF74</f>
        <v>22</v>
      </c>
      <c r="AH74" s="84" t="str">
        <f>CONCATENATE("a'(",AD74,")=")</f>
        <v>a'(5)=</v>
      </c>
      <c r="AI74" s="84">
        <f>2*AI72/2*AE75</f>
        <v>6.6000000000000156</v>
      </c>
      <c r="AJ74" s="84" t="str">
        <f>CONCATENATE("A(",AD73,")=")</f>
        <v>A(4.85)=</v>
      </c>
      <c r="AK74" s="84">
        <f>VLOOKUP(AD73,STN_TABLE,3,FALSE)</f>
        <v>211.9733333333333</v>
      </c>
      <c r="AL74" t="str">
        <f>CONCATENATE("A(",AD74,")=")</f>
        <v>A(5)=</v>
      </c>
      <c r="AM74">
        <f>AI74+AK74</f>
        <v>218.57333333333332</v>
      </c>
      <c r="AO74" s="68" t="str">
        <f>AA74</f>
        <v>A(5)=</v>
      </c>
      <c r="AP74" s="68" t="e">
        <f>VLOOKUP(AO74,Rise_Results,2,FALSE)</f>
        <v>#N/A</v>
      </c>
      <c r="AQ74" s="76">
        <f>N74</f>
        <v>218.57333333333332</v>
      </c>
      <c r="AR74" s="76">
        <f>IF(OR(AB74&lt;=0,AB75&lt;=0),1/0,AB74)</f>
        <v>218.57333333333332</v>
      </c>
      <c r="AS74" s="76">
        <f>AM74</f>
        <v>218.57333333333332</v>
      </c>
      <c r="AT74">
        <f>IFERROR(AP74,IFERROR(AQ74,IFERROR(AR74,AS74)))</f>
        <v>218.57333333333332</v>
      </c>
      <c r="AU74" s="81"/>
    </row>
    <row r="75" spans="1:47" x14ac:dyDescent="0.25">
      <c r="A75" s="84">
        <f>A74+1</f>
        <v>10</v>
      </c>
      <c r="B75" s="84">
        <f t="shared" si="27"/>
        <v>5</v>
      </c>
      <c r="F75" s="82">
        <f>SUM(F72:F74)</f>
        <v>66</v>
      </c>
      <c r="H75" s="82">
        <f>SUM(H72:H74)</f>
        <v>264</v>
      </c>
      <c r="I75" s="84" t="str">
        <f>CONCATENATE("m'(",C74,")=")</f>
        <v>m'(5)=</v>
      </c>
      <c r="J75" s="84">
        <f>2*(J72*(WLS))/3*H75</f>
        <v>704</v>
      </c>
      <c r="K75" s="84" t="str">
        <f>CONCATENATE("M(",C72,")=")</f>
        <v>M(3)=</v>
      </c>
      <c r="L75" s="84">
        <f>VLOOKUP(C72,STN_TABLE,4,FALSE)</f>
        <v>395.32666666666665</v>
      </c>
      <c r="M75" t="str">
        <f>CONCATENATE("M(",C74,")=")</f>
        <v>M(5)=</v>
      </c>
      <c r="N75">
        <f>J75+L75</f>
        <v>1099.3266666666666</v>
      </c>
      <c r="O75" s="99">
        <f>O74+1</f>
        <v>12</v>
      </c>
      <c r="P75" s="99">
        <f t="shared" si="23"/>
        <v>6.5</v>
      </c>
      <c r="T75" s="89">
        <f>SUM(T72:T74)</f>
        <v>132</v>
      </c>
      <c r="V75" s="82">
        <f>SUM(V72:V74)</f>
        <v>132</v>
      </c>
      <c r="W75" s="84" t="str">
        <f>CONCATENATE("m'(",Q73,")=")</f>
        <v>m'(5)=</v>
      </c>
      <c r="X75" s="84">
        <f>(2*(X72^2)/24*V75)+(X74*Q72*WLS)</f>
        <v>396</v>
      </c>
      <c r="Y75" s="84" t="str">
        <f>CONCATENATE("M(",Q72,")=")</f>
        <v>M(4)=</v>
      </c>
      <c r="Z75" s="84">
        <f>VLOOKUP(Q72,STN_TABLE,4,FALSE)</f>
        <v>703.3266666666666</v>
      </c>
      <c r="AA75" t="str">
        <f>CONCATENATE("M(",Q73,")=")</f>
        <v>M(5)=</v>
      </c>
      <c r="AB75">
        <f>X75+Z75</f>
        <v>1099.3266666666666</v>
      </c>
      <c r="AE75" s="89">
        <f>SUM(AE73:AE74)</f>
        <v>22</v>
      </c>
      <c r="AG75" s="89">
        <f>SUM(AG73:AG74)</f>
        <v>33</v>
      </c>
      <c r="AH75" s="84" t="str">
        <f>CONCATENATE("m'(",AD74,")=")</f>
        <v>m'(5)=</v>
      </c>
      <c r="AI75" s="84">
        <f>(2*(AI72^2)/6*AG75)+(AI74*AD73*WLS)</f>
        <v>65.010000000000161</v>
      </c>
      <c r="AJ75" s="84" t="str">
        <f>CONCATENATE("M(",AD73,")=")</f>
        <v>M(4.85)=</v>
      </c>
      <c r="AK75" s="84">
        <f>VLOOKUP(AD73,STN_TABLE,4,FALSE)</f>
        <v>1034.3166666666664</v>
      </c>
      <c r="AL75" t="str">
        <f>CONCATENATE("M(",AD74,")=")</f>
        <v>M(5)=</v>
      </c>
      <c r="AM75">
        <f>AI75+AK75</f>
        <v>1099.3266666666666</v>
      </c>
      <c r="AO75" s="82" t="str">
        <f>AA75</f>
        <v>M(5)=</v>
      </c>
      <c r="AP75" s="82" t="e">
        <f>VLOOKUP(AO75,Rise_Results,2,FALSE)</f>
        <v>#N/A</v>
      </c>
      <c r="AQ75" s="82">
        <f>N75</f>
        <v>1099.3266666666666</v>
      </c>
      <c r="AR75" s="82">
        <f>IF(OR(AB74&lt;=0,AB75&lt;=0),1/0,AB75)</f>
        <v>1099.3266666666666</v>
      </c>
      <c r="AS75" s="82">
        <f>AM75</f>
        <v>1099.3266666666666</v>
      </c>
      <c r="AT75">
        <f>IFERROR(AP75,IFERROR(AQ75,IFERROR(AR75,AS75)))</f>
        <v>1099.3266666666666</v>
      </c>
      <c r="AU75" s="81"/>
    </row>
    <row r="76" spans="1:47" x14ac:dyDescent="0.25">
      <c r="A76" s="101">
        <f>A71+1</f>
        <v>7</v>
      </c>
      <c r="B76" s="101">
        <f t="shared" si="27"/>
        <v>3</v>
      </c>
      <c r="O76" s="101">
        <f>O71+1</f>
        <v>9</v>
      </c>
      <c r="P76" s="101">
        <f t="shared" si="23"/>
        <v>4.8499999999999996</v>
      </c>
      <c r="AU76" s="81"/>
    </row>
    <row r="77" spans="1:47" x14ac:dyDescent="0.25">
      <c r="A77" s="84">
        <f>A76+1</f>
        <v>8</v>
      </c>
      <c r="B77" s="84">
        <f t="shared" si="27"/>
        <v>4</v>
      </c>
      <c r="C77" s="79">
        <f t="shared" ref="C77" si="29">IF(C78=B79,IF(C79-C78=C78-B78,B78,IF(C79-C78=C78-B77,B77,"#NA")),IF(C78=B78,IF(C79-C78=C78-B77,B77,IF(C79-C78=C78-B76,B76,"#NA")),"#NA"))</f>
        <v>4</v>
      </c>
      <c r="D77" s="68">
        <f>VLOOKUP(C77,STN_TABLE,2,FALSE)</f>
        <v>11</v>
      </c>
      <c r="E77" s="102">
        <v>1</v>
      </c>
      <c r="F77" s="68">
        <f>D77*E77</f>
        <v>11</v>
      </c>
      <c r="G77" s="69">
        <f>C77</f>
        <v>4</v>
      </c>
      <c r="H77" s="69">
        <f>F77*G77</f>
        <v>44</v>
      </c>
      <c r="I77" s="6" t="s">
        <v>93</v>
      </c>
      <c r="J77" s="70">
        <f>IF(OR(D77=0,D78=0,D79=0),"#NA",IF(AND(C79-C78=C78-C77,C78&lt;&gt;C79,C77&lt;&gt;C78,C77&lt;&gt;C79,D79&lt;&gt;0,OR(D77&lt;&gt;0,D78&lt;&gt;0)),WLS*(C79-C78),"#NA"))</f>
        <v>2</v>
      </c>
      <c r="O77" s="99">
        <f>O76+1</f>
        <v>10</v>
      </c>
      <c r="P77" s="99">
        <f t="shared" si="23"/>
        <v>5</v>
      </c>
      <c r="Q77" s="68" t="e">
        <f>IF(OR(P79-P78=P78-P77,P80-P78=P78-P77),P77,IF(OR(P79-P78=P78-P76,P80-P78=P78-P76),P76,"-"))</f>
        <v>#VALUE!</v>
      </c>
      <c r="R77" s="69" t="e">
        <f>VLOOKUP(Q77,STN_TABLE,2,FALSE)</f>
        <v>#VALUE!</v>
      </c>
      <c r="S77" s="69">
        <v>5</v>
      </c>
      <c r="T77" s="68" t="e">
        <f>R77*S77</f>
        <v>#VALUE!</v>
      </c>
      <c r="U77" s="79">
        <v>3</v>
      </c>
      <c r="V77" s="68" t="e">
        <f>R77*U77</f>
        <v>#VALUE!</v>
      </c>
      <c r="W77" s="6" t="s">
        <v>93</v>
      </c>
      <c r="X77" s="70" t="e">
        <f>IF(AND(Q79-Q78=Q78-Q77,NOT(AND(Q77=0,Q78=0)),NOT(AND(Q78=0,Q79=0))),WLS*(Q79-Q78),"#NA")</f>
        <v>#VALUE!</v>
      </c>
      <c r="AD77" s="93"/>
      <c r="AH77" s="6" t="s">
        <v>93</v>
      </c>
      <c r="AI77" s="70">
        <f>WLS*(AD79-AD78)</f>
        <v>2</v>
      </c>
      <c r="AU77" s="81"/>
    </row>
    <row r="78" spans="1:47" x14ac:dyDescent="0.25">
      <c r="A78" s="84">
        <f>A77+1</f>
        <v>9</v>
      </c>
      <c r="B78" s="84">
        <f t="shared" si="27"/>
        <v>4.8499999999999996</v>
      </c>
      <c r="C78" s="80">
        <f t="shared" ref="C78" si="30">IF(OR(B80-B79=B79-B78,B80-B79=B79-B77,B80-B79=B79-B76),B79,IF(OR(B80-B78=B78-B77,B80-B78=B78-B76),B78,IF(B80-B77=B77-B76,B77,"#NA")))</f>
        <v>5</v>
      </c>
      <c r="D78" s="76">
        <f>VLOOKUP(C78,STN_TABLE,2,FALSE)</f>
        <v>11</v>
      </c>
      <c r="E78" s="81">
        <v>4</v>
      </c>
      <c r="F78" s="76">
        <f>D78*E78</f>
        <v>44</v>
      </c>
      <c r="G78" s="77">
        <f>C78</f>
        <v>5</v>
      </c>
      <c r="H78" s="77">
        <f>F78*G78</f>
        <v>220</v>
      </c>
      <c r="I78" s="495" t="s">
        <v>97</v>
      </c>
      <c r="J78" s="496"/>
      <c r="K78" s="78" t="s">
        <v>98</v>
      </c>
      <c r="L78" s="78"/>
      <c r="M78" s="7" t="s">
        <v>99</v>
      </c>
      <c r="N78" s="7"/>
      <c r="O78" s="99">
        <f>O77+1</f>
        <v>11</v>
      </c>
      <c r="P78" s="99">
        <f t="shared" si="23"/>
        <v>6</v>
      </c>
      <c r="Q78" s="76">
        <f>P78</f>
        <v>6</v>
      </c>
      <c r="R78" s="77">
        <f>VLOOKUP(Q78,STN_TABLE,2,FALSE)</f>
        <v>11</v>
      </c>
      <c r="S78" s="77">
        <v>8</v>
      </c>
      <c r="T78" s="76">
        <f>R78*S78</f>
        <v>88</v>
      </c>
      <c r="U78" s="80">
        <v>10</v>
      </c>
      <c r="V78" s="76">
        <f>R78*U78</f>
        <v>110</v>
      </c>
      <c r="W78" s="496" t="s">
        <v>97</v>
      </c>
      <c r="X78" s="496"/>
      <c r="Y78" s="496" t="s">
        <v>98</v>
      </c>
      <c r="Z78" s="496"/>
      <c r="AA78" s="494" t="s">
        <v>99</v>
      </c>
      <c r="AB78" s="494"/>
      <c r="AC78" s="99">
        <f>AC73+1</f>
        <v>10</v>
      </c>
      <c r="AD78" s="95">
        <f>VLOOKUP(AC78,STN_TABLE_2,2,FALSE)</f>
        <v>5</v>
      </c>
      <c r="AE78" s="68">
        <f>VLOOKUP(AD78,STN_TABLE,2,FALSE)</f>
        <v>11</v>
      </c>
      <c r="AF78" s="68">
        <v>1</v>
      </c>
      <c r="AG78" s="69">
        <f>AE78*AF78</f>
        <v>11</v>
      </c>
      <c r="AH78" s="496" t="s">
        <v>97</v>
      </c>
      <c r="AI78" s="496"/>
      <c r="AJ78" s="496" t="s">
        <v>98</v>
      </c>
      <c r="AK78" s="496"/>
      <c r="AL78" s="494" t="s">
        <v>99</v>
      </c>
      <c r="AM78" s="494"/>
      <c r="AP78" s="86" t="s">
        <v>112</v>
      </c>
      <c r="AQ78" s="89" t="s">
        <v>113</v>
      </c>
      <c r="AR78" s="89" t="s">
        <v>114</v>
      </c>
      <c r="AS78" s="89" t="s">
        <v>115</v>
      </c>
      <c r="AU78" s="81"/>
    </row>
    <row r="79" spans="1:47" x14ac:dyDescent="0.25">
      <c r="A79" s="84">
        <f>A78+1</f>
        <v>10</v>
      </c>
      <c r="B79" s="84">
        <f t="shared" si="27"/>
        <v>5</v>
      </c>
      <c r="C79" s="88">
        <f t="shared" ref="C79" si="31">B80</f>
        <v>6</v>
      </c>
      <c r="D79" s="82">
        <f>VLOOKUP(C79,STN_TABLE,2,FALSE)</f>
        <v>11</v>
      </c>
      <c r="E79" s="92">
        <v>1</v>
      </c>
      <c r="F79" s="82">
        <f>D79*E79</f>
        <v>11</v>
      </c>
      <c r="G79" s="83">
        <f>C79</f>
        <v>6</v>
      </c>
      <c r="H79" s="83">
        <f>F79*G79</f>
        <v>66</v>
      </c>
      <c r="I79" s="84" t="str">
        <f>CONCATENATE("a'(",C79,")=")</f>
        <v>a'(6)=</v>
      </c>
      <c r="J79" s="84">
        <f>2*J77/3*F80</f>
        <v>88</v>
      </c>
      <c r="K79" s="84" t="str">
        <f>CONCATENATE("A(",C77,")=")</f>
        <v>A(4)=</v>
      </c>
      <c r="L79" s="84">
        <f>VLOOKUP(C77,STN_TABLE,3,FALSE)</f>
        <v>174.57333333333332</v>
      </c>
      <c r="M79" t="str">
        <f>CONCATENATE("A(",C79,")=")</f>
        <v>A(6)=</v>
      </c>
      <c r="N79">
        <f>J79+L79</f>
        <v>262.57333333333332</v>
      </c>
      <c r="O79" s="99">
        <f>O78+1</f>
        <v>12</v>
      </c>
      <c r="P79" s="99">
        <f t="shared" si="23"/>
        <v>6.5</v>
      </c>
      <c r="Q79" s="82" t="e">
        <f>IF(P79-P78=P78-P77,P79,IF(P80-P78=P78-P77,P80,IF(P79-P78=P78-P76,P79,IF(P80-P78=P78-P76,P80,"-"))))</f>
        <v>#VALUE!</v>
      </c>
      <c r="R79" s="83" t="e">
        <f>VLOOKUP(Q79,STN_TABLE,2,FALSE)</f>
        <v>#VALUE!</v>
      </c>
      <c r="S79" s="83">
        <v>-1</v>
      </c>
      <c r="T79" s="82" t="e">
        <f>R79*S79</f>
        <v>#VALUE!</v>
      </c>
      <c r="U79" s="88">
        <v>-1</v>
      </c>
      <c r="V79" s="82" t="e">
        <f>R79*U79</f>
        <v>#VALUE!</v>
      </c>
      <c r="W79" s="84" t="str">
        <f>CONCATENATE("a'(",Q78,")=")</f>
        <v>a'(6)=</v>
      </c>
      <c r="X79" s="84" t="e">
        <f>2*X77/12*T80</f>
        <v>#VALUE!</v>
      </c>
      <c r="Y79" s="84" t="e">
        <f>CONCATENATE("A(",Q77,")=")</f>
        <v>#VALUE!</v>
      </c>
      <c r="Z79" s="84" t="e">
        <f>VLOOKUP(Q77,STN_TABLE,3,FALSE)</f>
        <v>#VALUE!</v>
      </c>
      <c r="AA79" t="str">
        <f>CONCATENATE("A(",Q78,")=")</f>
        <v>A(6)=</v>
      </c>
      <c r="AB79" t="e">
        <f>X79+Z79</f>
        <v>#VALUE!</v>
      </c>
      <c r="AC79" s="99">
        <f>AC78+1</f>
        <v>11</v>
      </c>
      <c r="AD79" s="100">
        <f>VLOOKUP(AC79,STN_TABLE_2,2,FALSE)</f>
        <v>6</v>
      </c>
      <c r="AE79" s="82">
        <f>VLOOKUP(AD79,STN_TABLE,2,FALSE)</f>
        <v>11</v>
      </c>
      <c r="AF79" s="82">
        <v>2</v>
      </c>
      <c r="AG79" s="83">
        <f>AE79*AF79</f>
        <v>22</v>
      </c>
      <c r="AH79" s="84" t="str">
        <f>CONCATENATE("a'(",AD79,")=")</f>
        <v>a'(6)=</v>
      </c>
      <c r="AI79" s="84">
        <f>2*AI77/2*AE80</f>
        <v>44</v>
      </c>
      <c r="AJ79" s="84" t="str">
        <f>CONCATENATE("A(",AD78,")=")</f>
        <v>A(5)=</v>
      </c>
      <c r="AK79" s="84">
        <f>VLOOKUP(AD78,STN_TABLE,3,FALSE)</f>
        <v>218.57333333333332</v>
      </c>
      <c r="AL79" t="str">
        <f>CONCATENATE("A(",AD79,")=")</f>
        <v>A(6)=</v>
      </c>
      <c r="AM79">
        <f>AI79+AK79</f>
        <v>262.57333333333332</v>
      </c>
      <c r="AO79" s="68" t="str">
        <f>AA79</f>
        <v>A(6)=</v>
      </c>
      <c r="AP79" s="68" t="e">
        <f>VLOOKUP(AO79,Rise_Results,2,FALSE)</f>
        <v>#N/A</v>
      </c>
      <c r="AQ79" s="76">
        <f>N79</f>
        <v>262.57333333333332</v>
      </c>
      <c r="AR79" s="76" t="e">
        <f>IF(OR(AB79&lt;=0,AB80&lt;=0),1/0,AB79)</f>
        <v>#VALUE!</v>
      </c>
      <c r="AS79" s="76">
        <f>AM79</f>
        <v>262.57333333333332</v>
      </c>
      <c r="AT79">
        <f>IFERROR(AP79,IFERROR(AQ79,IFERROR(AR79,AS79)))</f>
        <v>262.57333333333332</v>
      </c>
      <c r="AU79" s="81"/>
    </row>
    <row r="80" spans="1:47" x14ac:dyDescent="0.25">
      <c r="A80" s="84">
        <f>A79+1</f>
        <v>11</v>
      </c>
      <c r="B80" s="84">
        <f t="shared" si="27"/>
        <v>6</v>
      </c>
      <c r="F80" s="82">
        <f>SUM(F77:F79)</f>
        <v>66</v>
      </c>
      <c r="H80" s="82">
        <f>SUM(H77:H79)</f>
        <v>330</v>
      </c>
      <c r="I80" s="84" t="str">
        <f>CONCATENATE("m'(",C79,")=")</f>
        <v>m'(6)=</v>
      </c>
      <c r="J80" s="84">
        <f>2*(J77*(WLS))/3*H80</f>
        <v>880</v>
      </c>
      <c r="K80" s="84" t="str">
        <f>CONCATENATE("M(",C77,")=")</f>
        <v>M(4)=</v>
      </c>
      <c r="L80" s="84">
        <f>VLOOKUP(C77,STN_TABLE,4,FALSE)</f>
        <v>703.3266666666666</v>
      </c>
      <c r="M80" t="str">
        <f>CONCATENATE("M(",C79,")=")</f>
        <v>M(6)=</v>
      </c>
      <c r="N80">
        <f>J80+L80</f>
        <v>1583.3266666666666</v>
      </c>
      <c r="O80" s="99">
        <f>O79+1</f>
        <v>13</v>
      </c>
      <c r="P80" s="99" t="str">
        <f t="shared" si="23"/>
        <v xml:space="preserve">  </v>
      </c>
      <c r="T80" s="89" t="e">
        <f>SUM(T77:T79)</f>
        <v>#VALUE!</v>
      </c>
      <c r="V80" s="82" t="e">
        <f>SUM(V77:V79)</f>
        <v>#VALUE!</v>
      </c>
      <c r="W80" s="84" t="str">
        <f>CONCATENATE("m'(",Q78,")=")</f>
        <v>m'(6)=</v>
      </c>
      <c r="X80" s="84" t="e">
        <f>(2*(X77^2)/24*V80)+(X79*Q77*WLS)</f>
        <v>#VALUE!</v>
      </c>
      <c r="Y80" s="84" t="e">
        <f>CONCATENATE("M(",Q77,")=")</f>
        <v>#VALUE!</v>
      </c>
      <c r="Z80" s="84" t="e">
        <f>VLOOKUP(Q77,STN_TABLE,4,FALSE)</f>
        <v>#VALUE!</v>
      </c>
      <c r="AA80" t="str">
        <f>CONCATENATE("M(",Q78,")=")</f>
        <v>M(6)=</v>
      </c>
      <c r="AB80" t="e">
        <f>X80+Z80</f>
        <v>#VALUE!</v>
      </c>
      <c r="AE80" s="89">
        <f>SUM(AE78:AE79)</f>
        <v>22</v>
      </c>
      <c r="AG80" s="89">
        <f>SUM(AG78:AG79)</f>
        <v>33</v>
      </c>
      <c r="AH80" s="84" t="str">
        <f>CONCATENATE("m'(",AD79,")=")</f>
        <v>m'(6)=</v>
      </c>
      <c r="AI80" s="84">
        <f>(2*(AI77^2)/6*AG80)+(AI79*AD78*WLS)</f>
        <v>484</v>
      </c>
      <c r="AJ80" s="84" t="str">
        <f>CONCATENATE("M(",AD78,")=")</f>
        <v>M(5)=</v>
      </c>
      <c r="AK80" s="84">
        <f>VLOOKUP(AD78,STN_TABLE,4,FALSE)</f>
        <v>1099.3266666666666</v>
      </c>
      <c r="AL80" t="str">
        <f>CONCATENATE("M(",AD79,")=")</f>
        <v>M(6)=</v>
      </c>
      <c r="AM80">
        <f>AI80+AK80</f>
        <v>1583.3266666666666</v>
      </c>
      <c r="AO80" s="82" t="str">
        <f>AA80</f>
        <v>M(6)=</v>
      </c>
      <c r="AP80" s="82" t="e">
        <f>VLOOKUP(AO80,Rise_Results,2,FALSE)</f>
        <v>#N/A</v>
      </c>
      <c r="AQ80" s="82">
        <f>N80</f>
        <v>1583.3266666666666</v>
      </c>
      <c r="AR80" s="82" t="e">
        <f>IF(OR(AB79&lt;=0,AB80&lt;=0),1/0,AB80)</f>
        <v>#VALUE!</v>
      </c>
      <c r="AS80" s="82">
        <f>AM80</f>
        <v>1583.3266666666666</v>
      </c>
      <c r="AT80">
        <f>IFERROR(AP80,IFERROR(AQ80,IFERROR(AR80,AS80)))</f>
        <v>1583.3266666666666</v>
      </c>
      <c r="AU80" s="81"/>
    </row>
    <row r="81" spans="1:47" x14ac:dyDescent="0.25">
      <c r="A81" s="101">
        <f>A76+1</f>
        <v>8</v>
      </c>
      <c r="B81" s="101">
        <f t="shared" si="27"/>
        <v>4</v>
      </c>
      <c r="O81" s="101">
        <f>O76+1</f>
        <v>10</v>
      </c>
      <c r="P81" s="101">
        <f t="shared" si="23"/>
        <v>5</v>
      </c>
      <c r="AU81" s="81"/>
    </row>
    <row r="82" spans="1:47" x14ac:dyDescent="0.25">
      <c r="A82" s="84">
        <f>A81+1</f>
        <v>9</v>
      </c>
      <c r="B82" s="84">
        <f t="shared" si="27"/>
        <v>4.8499999999999996</v>
      </c>
      <c r="C82" s="79" t="str">
        <f t="shared" ref="C82" si="32">IF(C83=B84,IF(C84-C83=C83-B83,B83,IF(C84-C83=C83-B82,B82,"#NA")),IF(C83=B83,IF(C84-C83=C83-B82,B82,IF(C84-C83=C83-B81,B81,"#NA")),"#NA"))</f>
        <v>#NA</v>
      </c>
      <c r="D82" s="68" t="e">
        <f>VLOOKUP(C82,STN_TABLE,2,FALSE)</f>
        <v>#N/A</v>
      </c>
      <c r="E82" s="102">
        <v>1</v>
      </c>
      <c r="F82" s="68" t="e">
        <f>D82*E82</f>
        <v>#N/A</v>
      </c>
      <c r="G82" s="69" t="str">
        <f>C82</f>
        <v>#NA</v>
      </c>
      <c r="H82" s="69" t="e">
        <f>F82*G82</f>
        <v>#N/A</v>
      </c>
      <c r="I82" s="6" t="s">
        <v>93</v>
      </c>
      <c r="J82" s="70" t="e">
        <f>IF(OR(D82=0,D83=0,D84=0),"#NA",IF(AND(C84-C83=C83-C82,C83&lt;&gt;C84,C82&lt;&gt;C83,C82&lt;&gt;C84,D84&lt;&gt;0,OR(D82&lt;&gt;0,D83&lt;&gt;0)),WLS*(C84-C83),"#NA"))</f>
        <v>#N/A</v>
      </c>
      <c r="O82" s="99">
        <f>O81+1</f>
        <v>11</v>
      </c>
      <c r="P82" s="99">
        <f t="shared" si="23"/>
        <v>6</v>
      </c>
      <c r="Q82" s="68" t="e">
        <f>IF(OR(P84-P83=P83-P82,P85-P83=P83-P82),P82,IF(OR(P84-P83=P83-P81,P85-P83=P83-P81),P81,"-"))</f>
        <v>#VALUE!</v>
      </c>
      <c r="R82" s="69" t="e">
        <f>VLOOKUP(Q82,STN_TABLE,2,FALSE)</f>
        <v>#VALUE!</v>
      </c>
      <c r="S82" s="69">
        <v>5</v>
      </c>
      <c r="T82" s="68" t="e">
        <f>R82*S82</f>
        <v>#VALUE!</v>
      </c>
      <c r="U82" s="79">
        <v>3</v>
      </c>
      <c r="V82" s="68" t="e">
        <f>R82*U82</f>
        <v>#VALUE!</v>
      </c>
      <c r="W82" s="6" t="s">
        <v>93</v>
      </c>
      <c r="X82" s="70" t="e">
        <f>IF(AND(Q84-Q83=Q83-Q82,NOT(AND(Q82=0,Q83=0)),NOT(AND(Q83=0,Q84=0))),WLS*(Q84-Q83),"#NA")</f>
        <v>#VALUE!</v>
      </c>
      <c r="AD82" s="93"/>
      <c r="AH82" s="6" t="s">
        <v>93</v>
      </c>
      <c r="AI82" s="70">
        <f>WLS*(AD84-AD83)</f>
        <v>1</v>
      </c>
      <c r="AU82" s="81"/>
    </row>
    <row r="83" spans="1:47" x14ac:dyDescent="0.25">
      <c r="A83" s="84">
        <f>A82+1</f>
        <v>10</v>
      </c>
      <c r="B83" s="84">
        <f t="shared" si="27"/>
        <v>5</v>
      </c>
      <c r="C83" s="80" t="str">
        <f t="shared" ref="C83" si="33">IF(OR(B85-B84=B84-B83,B85-B84=B84-B82,B85-B84=B84-B81),B84,IF(OR(B85-B83=B83-B82,B85-B83=B83-B81),B83,IF(B85-B82=B82-B81,B82,"#NA")))</f>
        <v>#NA</v>
      </c>
      <c r="D83" s="76" t="e">
        <f>VLOOKUP(C83,STN_TABLE,2,FALSE)</f>
        <v>#N/A</v>
      </c>
      <c r="E83" s="81">
        <v>4</v>
      </c>
      <c r="F83" s="76" t="e">
        <f>D83*E83</f>
        <v>#N/A</v>
      </c>
      <c r="G83" s="77" t="str">
        <f>C83</f>
        <v>#NA</v>
      </c>
      <c r="H83" s="77" t="e">
        <f>F83*G83</f>
        <v>#N/A</v>
      </c>
      <c r="I83" s="495" t="s">
        <v>97</v>
      </c>
      <c r="J83" s="496"/>
      <c r="K83" s="78" t="s">
        <v>98</v>
      </c>
      <c r="L83" s="78"/>
      <c r="M83" s="7" t="s">
        <v>99</v>
      </c>
      <c r="N83" s="7"/>
      <c r="O83" s="99">
        <f>O82+1</f>
        <v>12</v>
      </c>
      <c r="P83" s="99">
        <f t="shared" si="23"/>
        <v>6.5</v>
      </c>
      <c r="Q83" s="76">
        <f>P83</f>
        <v>6.5</v>
      </c>
      <c r="R83" s="77">
        <f>VLOOKUP(Q83,STN_TABLE,2,FALSE)</f>
        <v>11</v>
      </c>
      <c r="S83" s="77">
        <v>8</v>
      </c>
      <c r="T83" s="76">
        <f>R83*S83</f>
        <v>88</v>
      </c>
      <c r="U83" s="80">
        <v>10</v>
      </c>
      <c r="V83" s="76">
        <f>R83*U83</f>
        <v>110</v>
      </c>
      <c r="W83" s="496" t="s">
        <v>97</v>
      </c>
      <c r="X83" s="496"/>
      <c r="Y83" s="496" t="s">
        <v>98</v>
      </c>
      <c r="Z83" s="496"/>
      <c r="AA83" s="494" t="s">
        <v>99</v>
      </c>
      <c r="AB83" s="494"/>
      <c r="AC83" s="99">
        <f>AC78+1</f>
        <v>11</v>
      </c>
      <c r="AD83" s="95">
        <f>VLOOKUP(AC83,STN_TABLE_2,2,FALSE)</f>
        <v>6</v>
      </c>
      <c r="AE83" s="68">
        <f>VLOOKUP(AD83,STN_TABLE,2,FALSE)</f>
        <v>11</v>
      </c>
      <c r="AF83" s="68">
        <v>1</v>
      </c>
      <c r="AG83" s="69">
        <f>AE83*AF83</f>
        <v>11</v>
      </c>
      <c r="AH83" s="496" t="s">
        <v>97</v>
      </c>
      <c r="AI83" s="496"/>
      <c r="AJ83" s="496" t="s">
        <v>98</v>
      </c>
      <c r="AK83" s="496"/>
      <c r="AL83" s="494" t="s">
        <v>99</v>
      </c>
      <c r="AM83" s="494"/>
      <c r="AP83" s="86" t="s">
        <v>112</v>
      </c>
      <c r="AQ83" s="89" t="s">
        <v>113</v>
      </c>
      <c r="AR83" s="89" t="s">
        <v>114</v>
      </c>
      <c r="AS83" s="89" t="s">
        <v>115</v>
      </c>
      <c r="AU83" s="81"/>
    </row>
    <row r="84" spans="1:47" x14ac:dyDescent="0.25">
      <c r="A84" s="84">
        <f>A83+1</f>
        <v>11</v>
      </c>
      <c r="B84" s="84">
        <f t="shared" si="27"/>
        <v>6</v>
      </c>
      <c r="C84" s="88">
        <f t="shared" ref="C84" si="34">B85</f>
        <v>6.5</v>
      </c>
      <c r="D84" s="82">
        <f>VLOOKUP(C84,STN_TABLE,2,FALSE)</f>
        <v>11</v>
      </c>
      <c r="E84" s="92">
        <v>1</v>
      </c>
      <c r="F84" s="82">
        <f>D84*E84</f>
        <v>11</v>
      </c>
      <c r="G84" s="83">
        <f>C84</f>
        <v>6.5</v>
      </c>
      <c r="H84" s="83">
        <f>F84*G84</f>
        <v>71.5</v>
      </c>
      <c r="I84" s="84" t="str">
        <f>CONCATENATE("a'(",C84,")=")</f>
        <v>a'(6.5)=</v>
      </c>
      <c r="J84" s="84" t="e">
        <f>2*J82/3*F85</f>
        <v>#N/A</v>
      </c>
      <c r="K84" s="84" t="str">
        <f>CONCATENATE("A(",C82,")=")</f>
        <v>A(#NA)=</v>
      </c>
      <c r="L84" s="84" t="e">
        <f>VLOOKUP(C82,STN_TABLE,3,FALSE)</f>
        <v>#N/A</v>
      </c>
      <c r="M84" t="str">
        <f>CONCATENATE("A(",C84,")=")</f>
        <v>A(6.5)=</v>
      </c>
      <c r="N84" t="e">
        <f>J84+L84</f>
        <v>#N/A</v>
      </c>
      <c r="O84" s="99">
        <f>O83+1</f>
        <v>13</v>
      </c>
      <c r="P84" s="99" t="str">
        <f t="shared" si="23"/>
        <v xml:space="preserve">  </v>
      </c>
      <c r="Q84" s="82" t="e">
        <f>IF(P84-P83=P83-P82,P84,IF(P85-P83=P83-P82,P85,IF(P84-P83=P83-P81,P84,IF(P85-P83=P83-P81,P85,"-"))))</f>
        <v>#VALUE!</v>
      </c>
      <c r="R84" s="83" t="e">
        <f>VLOOKUP(Q84,STN_TABLE,2,FALSE)</f>
        <v>#VALUE!</v>
      </c>
      <c r="S84" s="83">
        <v>-1</v>
      </c>
      <c r="T84" s="82" t="e">
        <f>R84*S84</f>
        <v>#VALUE!</v>
      </c>
      <c r="U84" s="88">
        <v>-1</v>
      </c>
      <c r="V84" s="82" t="e">
        <f>R84*U84</f>
        <v>#VALUE!</v>
      </c>
      <c r="W84" s="84" t="str">
        <f>CONCATENATE("a'(",Q83,")=")</f>
        <v>a'(6.5)=</v>
      </c>
      <c r="X84" s="84" t="e">
        <f>2*X82/12*T85</f>
        <v>#VALUE!</v>
      </c>
      <c r="Y84" s="84" t="e">
        <f>CONCATENATE("A(",Q82,")=")</f>
        <v>#VALUE!</v>
      </c>
      <c r="Z84" s="84" t="e">
        <f>VLOOKUP(Q82,STN_TABLE,3,FALSE)</f>
        <v>#VALUE!</v>
      </c>
      <c r="AA84" t="str">
        <f>CONCATENATE("A(",Q83,")=")</f>
        <v>A(6.5)=</v>
      </c>
      <c r="AB84" t="e">
        <f>X84+Z84</f>
        <v>#VALUE!</v>
      </c>
      <c r="AC84" s="99">
        <f>AC83+1</f>
        <v>12</v>
      </c>
      <c r="AD84" s="100">
        <f>VLOOKUP(AC84,STN_TABLE_2,2,FALSE)</f>
        <v>6.5</v>
      </c>
      <c r="AE84" s="82">
        <f>VLOOKUP(AD84,STN_TABLE,2,FALSE)</f>
        <v>11</v>
      </c>
      <c r="AF84" s="82">
        <v>2</v>
      </c>
      <c r="AG84" s="83">
        <f>AE84*AF84</f>
        <v>22</v>
      </c>
      <c r="AH84" s="84" t="str">
        <f>CONCATENATE("a'(",AD84,")=")</f>
        <v>a'(6.5)=</v>
      </c>
      <c r="AI84" s="84">
        <f>2*AI82/2*AE85</f>
        <v>22</v>
      </c>
      <c r="AJ84" s="84" t="str">
        <f>CONCATENATE("A(",AD83,")=")</f>
        <v>A(6)=</v>
      </c>
      <c r="AK84" s="84">
        <f>VLOOKUP(AD83,STN_TABLE,3,FALSE)</f>
        <v>262.57333333333332</v>
      </c>
      <c r="AL84" t="str">
        <f>CONCATENATE("A(",AD84,")=")</f>
        <v>A(6.5)=</v>
      </c>
      <c r="AM84">
        <f>AI84+AK84</f>
        <v>284.57333333333332</v>
      </c>
      <c r="AO84" s="68" t="str">
        <f>AA84</f>
        <v>A(6.5)=</v>
      </c>
      <c r="AP84" s="68" t="e">
        <f>VLOOKUP(AO84,Rise_Results,2,FALSE)</f>
        <v>#N/A</v>
      </c>
      <c r="AQ84" s="76" t="e">
        <f>N84</f>
        <v>#N/A</v>
      </c>
      <c r="AR84" s="76" t="e">
        <f>IF(OR(AB84&lt;=0,AB85&lt;=0),1/0,AB84)</f>
        <v>#VALUE!</v>
      </c>
      <c r="AS84" s="76">
        <f>AM84</f>
        <v>284.57333333333332</v>
      </c>
      <c r="AT84">
        <f>IFERROR(AP84,IFERROR(AQ84,IFERROR(AR84,AS84)))</f>
        <v>284.57333333333332</v>
      </c>
      <c r="AU84" s="81"/>
    </row>
    <row r="85" spans="1:47" x14ac:dyDescent="0.25">
      <c r="A85" s="84">
        <f>A84+1</f>
        <v>12</v>
      </c>
      <c r="B85" s="84">
        <f t="shared" si="27"/>
        <v>6.5</v>
      </c>
      <c r="F85" s="82" t="e">
        <f>SUM(F82:F84)</f>
        <v>#N/A</v>
      </c>
      <c r="H85" s="82" t="e">
        <f>SUM(H82:H84)</f>
        <v>#N/A</v>
      </c>
      <c r="I85" s="84" t="str">
        <f>CONCATENATE("m'(",C84,")=")</f>
        <v>m'(6.5)=</v>
      </c>
      <c r="J85" s="84" t="e">
        <f>2*(J82*(WLS))/3*H85</f>
        <v>#N/A</v>
      </c>
      <c r="K85" s="84" t="str">
        <f>CONCATENATE("M(",C82,")=")</f>
        <v>M(#NA)=</v>
      </c>
      <c r="L85" s="84" t="e">
        <f>VLOOKUP(C82,STN_TABLE,4,FALSE)</f>
        <v>#N/A</v>
      </c>
      <c r="M85" t="str">
        <f>CONCATENATE("M(",C84,")=")</f>
        <v>M(6.5)=</v>
      </c>
      <c r="N85" t="e">
        <f>J85+L85</f>
        <v>#N/A</v>
      </c>
      <c r="O85" s="99">
        <f>O84+1</f>
        <v>14</v>
      </c>
      <c r="P85" s="99" t="str">
        <f t="shared" si="23"/>
        <v xml:space="preserve">  </v>
      </c>
      <c r="T85" s="89" t="e">
        <f>SUM(T82:T84)</f>
        <v>#VALUE!</v>
      </c>
      <c r="V85" s="82" t="e">
        <f>SUM(V82:V84)</f>
        <v>#VALUE!</v>
      </c>
      <c r="W85" s="84" t="str">
        <f>CONCATENATE("m'(",Q83,")=")</f>
        <v>m'(6.5)=</v>
      </c>
      <c r="X85" s="84" t="e">
        <f>(2*(X82^2)/24*V85)+(X84*Q82*WLS)</f>
        <v>#VALUE!</v>
      </c>
      <c r="Y85" s="84" t="e">
        <f>CONCATENATE("M(",Q82,")=")</f>
        <v>#VALUE!</v>
      </c>
      <c r="Z85" s="84" t="e">
        <f>VLOOKUP(Q82,STN_TABLE,4,FALSE)</f>
        <v>#VALUE!</v>
      </c>
      <c r="AA85" t="str">
        <f>CONCATENATE("M(",Q83,")=")</f>
        <v>M(6.5)=</v>
      </c>
      <c r="AB85" t="e">
        <f>X85+Z85</f>
        <v>#VALUE!</v>
      </c>
      <c r="AE85" s="89">
        <f>SUM(AE83:AE84)</f>
        <v>22</v>
      </c>
      <c r="AG85" s="89">
        <f>SUM(AG83:AG84)</f>
        <v>33</v>
      </c>
      <c r="AH85" s="84" t="str">
        <f>CONCATENATE("m'(",AD84,")=")</f>
        <v>m'(6.5)=</v>
      </c>
      <c r="AI85" s="84">
        <f>(2*(AI82^2)/6*AG85)+(AI84*AD83*WLS)</f>
        <v>275</v>
      </c>
      <c r="AJ85" s="84" t="str">
        <f>CONCATENATE("M(",AD83,")=")</f>
        <v>M(6)=</v>
      </c>
      <c r="AK85" s="84">
        <f>VLOOKUP(AD83,STN_TABLE,4,FALSE)</f>
        <v>1583.3266666666666</v>
      </c>
      <c r="AL85" t="str">
        <f>CONCATENATE("M(",AD84,")=")</f>
        <v>M(6.5)=</v>
      </c>
      <c r="AM85">
        <f>AI85+AK85</f>
        <v>1858.3266666666666</v>
      </c>
      <c r="AO85" s="82" t="str">
        <f>AA85</f>
        <v>M(6.5)=</v>
      </c>
      <c r="AP85" s="82" t="e">
        <f>VLOOKUP(AO85,Rise_Results,2,FALSE)</f>
        <v>#N/A</v>
      </c>
      <c r="AQ85" s="82" t="e">
        <f>N85</f>
        <v>#N/A</v>
      </c>
      <c r="AR85" s="82" t="e">
        <f>IF(OR(AB84&lt;=0,AB85&lt;=0),1/0,AB85)</f>
        <v>#VALUE!</v>
      </c>
      <c r="AS85" s="82">
        <f>AM85</f>
        <v>1858.3266666666666</v>
      </c>
      <c r="AT85">
        <f>IFERROR(AP85,IFERROR(AQ85,IFERROR(AR85,AS85)))</f>
        <v>1858.3266666666666</v>
      </c>
      <c r="AU85" s="81"/>
    </row>
    <row r="86" spans="1:47" x14ac:dyDescent="0.25">
      <c r="A86" s="101">
        <f>A81+1</f>
        <v>9</v>
      </c>
      <c r="B86" s="101">
        <f t="shared" si="27"/>
        <v>4.8499999999999996</v>
      </c>
      <c r="O86" s="101">
        <f>O81+1</f>
        <v>11</v>
      </c>
      <c r="P86" s="101">
        <f t="shared" si="23"/>
        <v>6</v>
      </c>
      <c r="AU86" s="81"/>
    </row>
    <row r="87" spans="1:47" x14ac:dyDescent="0.25">
      <c r="A87" s="84">
        <f>A86+1</f>
        <v>10</v>
      </c>
      <c r="B87" s="84">
        <f t="shared" si="27"/>
        <v>5</v>
      </c>
      <c r="C87" s="79" t="e">
        <f t="shared" ref="C87" si="35">IF(C88=B89,IF(C89-C88=C88-B88,B88,IF(C89-C88=C88-B87,B87,"#NA")),IF(C88=B88,IF(C89-C88=C88-B87,B87,IF(C89-C88=C88-B86,B86,"#NA")),"#NA"))</f>
        <v>#VALUE!</v>
      </c>
      <c r="D87" s="68" t="e">
        <f>VLOOKUP(C87,STN_TABLE,2,FALSE)</f>
        <v>#VALUE!</v>
      </c>
      <c r="E87" s="102">
        <v>1</v>
      </c>
      <c r="F87" s="68" t="e">
        <f>D87*E87</f>
        <v>#VALUE!</v>
      </c>
      <c r="G87" s="69" t="e">
        <f>C87</f>
        <v>#VALUE!</v>
      </c>
      <c r="H87" s="69" t="e">
        <f>F87*G87</f>
        <v>#VALUE!</v>
      </c>
      <c r="I87" s="6" t="s">
        <v>93</v>
      </c>
      <c r="J87" s="70" t="e">
        <f>IF(OR(D87=0,D88=0,D89=0),"#NA",IF(AND(C89-C88=C88-C87,C88&lt;&gt;C89,C87&lt;&gt;C88,C87&lt;&gt;C89,D89&lt;&gt;0,OR(D87&lt;&gt;0,D88&lt;&gt;0)),WLS*(C89-C88),"#NA"))</f>
        <v>#VALUE!</v>
      </c>
      <c r="O87" s="99">
        <f>O86+1</f>
        <v>12</v>
      </c>
      <c r="P87" s="99">
        <f t="shared" si="23"/>
        <v>6.5</v>
      </c>
      <c r="Q87" s="68" t="e">
        <f>IF(OR(P89-P88=P88-P87,P90-P88=P88-P87),P87,IF(OR(P89-P88=P88-P86,P90-P88=P88-P86),P86,"-"))</f>
        <v>#VALUE!</v>
      </c>
      <c r="R87" s="69" t="e">
        <f>VLOOKUP(Q87,STN_TABLE,2,FALSE)</f>
        <v>#VALUE!</v>
      </c>
      <c r="S87" s="69">
        <v>5</v>
      </c>
      <c r="T87" s="68" t="e">
        <f>R87*S87</f>
        <v>#VALUE!</v>
      </c>
      <c r="U87" s="79">
        <v>3</v>
      </c>
      <c r="V87" s="68" t="e">
        <f>R87*U87</f>
        <v>#VALUE!</v>
      </c>
      <c r="W87" s="6" t="s">
        <v>93</v>
      </c>
      <c r="X87" s="70" t="e">
        <f>IF(AND(Q89-Q88=Q88-Q87,NOT(AND(Q87=0,Q88=0)),NOT(AND(Q88=0,Q89=0))),WLS*(Q89-Q88),"#NA")</f>
        <v>#VALUE!</v>
      </c>
      <c r="AD87" s="93"/>
      <c r="AH87" s="6" t="s">
        <v>93</v>
      </c>
      <c r="AI87" s="70" t="e">
        <f>WLS*(AD89-AD88)</f>
        <v>#VALUE!</v>
      </c>
      <c r="AU87" s="81"/>
    </row>
    <row r="88" spans="1:47" x14ac:dyDescent="0.25">
      <c r="A88" s="84">
        <f>A87+1</f>
        <v>11</v>
      </c>
      <c r="B88" s="84">
        <f t="shared" si="27"/>
        <v>6</v>
      </c>
      <c r="C88" s="80" t="e">
        <f t="shared" ref="C88" si="36">IF(OR(B90-B89=B89-B88,B90-B89=B89-B87,B90-B89=B89-B86),B89,IF(OR(B90-B88=B88-B87,B90-B88=B88-B86),B88,IF(B90-B87=B87-B86,B87,"#NA")))</f>
        <v>#VALUE!</v>
      </c>
      <c r="D88" s="76" t="e">
        <f>VLOOKUP(C88,STN_TABLE,2,FALSE)</f>
        <v>#VALUE!</v>
      </c>
      <c r="E88" s="81">
        <v>4</v>
      </c>
      <c r="F88" s="76" t="e">
        <f>D88*E88</f>
        <v>#VALUE!</v>
      </c>
      <c r="G88" s="77" t="e">
        <f>C88</f>
        <v>#VALUE!</v>
      </c>
      <c r="H88" s="77" t="e">
        <f>F88*G88</f>
        <v>#VALUE!</v>
      </c>
      <c r="I88" s="495" t="s">
        <v>97</v>
      </c>
      <c r="J88" s="496"/>
      <c r="K88" s="78" t="s">
        <v>98</v>
      </c>
      <c r="L88" s="78"/>
      <c r="M88" s="7" t="s">
        <v>99</v>
      </c>
      <c r="N88" s="7"/>
      <c r="O88" s="99">
        <f>O87+1</f>
        <v>13</v>
      </c>
      <c r="P88" s="99" t="str">
        <f t="shared" si="23"/>
        <v xml:space="preserve">  </v>
      </c>
      <c r="Q88" s="76" t="str">
        <f>P88</f>
        <v xml:space="preserve">  </v>
      </c>
      <c r="R88" s="77" t="str">
        <f>VLOOKUP(Q88,STN_TABLE,2,FALSE)</f>
        <v xml:space="preserve">  </v>
      </c>
      <c r="S88" s="77">
        <v>8</v>
      </c>
      <c r="T88" s="76" t="e">
        <f>R88*S88</f>
        <v>#VALUE!</v>
      </c>
      <c r="U88" s="80">
        <v>10</v>
      </c>
      <c r="V88" s="76" t="e">
        <f>R88*U88</f>
        <v>#VALUE!</v>
      </c>
      <c r="W88" s="496" t="s">
        <v>97</v>
      </c>
      <c r="X88" s="496"/>
      <c r="Y88" s="496" t="s">
        <v>98</v>
      </c>
      <c r="Z88" s="496"/>
      <c r="AA88" s="494" t="s">
        <v>99</v>
      </c>
      <c r="AB88" s="494"/>
      <c r="AC88" s="99">
        <f>AC83+1</f>
        <v>12</v>
      </c>
      <c r="AD88" s="95">
        <f>VLOOKUP(AC88,STN_TABLE_2,2,FALSE)</f>
        <v>6.5</v>
      </c>
      <c r="AE88" s="68">
        <f>VLOOKUP(AD88,STN_TABLE,2,FALSE)</f>
        <v>11</v>
      </c>
      <c r="AF88" s="68">
        <v>1</v>
      </c>
      <c r="AG88" s="69">
        <f>AE88*AF88</f>
        <v>11</v>
      </c>
      <c r="AH88" s="496" t="s">
        <v>97</v>
      </c>
      <c r="AI88" s="496"/>
      <c r="AJ88" s="496" t="s">
        <v>98</v>
      </c>
      <c r="AK88" s="496"/>
      <c r="AL88" s="494" t="s">
        <v>99</v>
      </c>
      <c r="AM88" s="494"/>
      <c r="AP88" s="86" t="s">
        <v>112</v>
      </c>
      <c r="AQ88" s="89" t="s">
        <v>113</v>
      </c>
      <c r="AR88" s="89" t="s">
        <v>114</v>
      </c>
      <c r="AS88" s="89" t="s">
        <v>115</v>
      </c>
      <c r="AU88" s="81"/>
    </row>
    <row r="89" spans="1:47" x14ac:dyDescent="0.25">
      <c r="A89" s="84">
        <f>A88+1</f>
        <v>12</v>
      </c>
      <c r="B89" s="84">
        <f t="shared" si="27"/>
        <v>6.5</v>
      </c>
      <c r="C89" s="88" t="str">
        <f t="shared" ref="C89" si="37">B90</f>
        <v xml:space="preserve">  </v>
      </c>
      <c r="D89" s="82" t="str">
        <f>VLOOKUP(C89,STN_TABLE,2,FALSE)</f>
        <v xml:space="preserve">  </v>
      </c>
      <c r="E89" s="92">
        <v>1</v>
      </c>
      <c r="F89" s="82" t="e">
        <f>D89*E89</f>
        <v>#VALUE!</v>
      </c>
      <c r="G89" s="83" t="str">
        <f>C89</f>
        <v xml:space="preserve">  </v>
      </c>
      <c r="H89" s="83" t="e">
        <f>F89*G89</f>
        <v>#VALUE!</v>
      </c>
      <c r="I89" s="84" t="str">
        <f>CONCATENATE("a'(",C89,")=")</f>
        <v>a'(  )=</v>
      </c>
      <c r="J89" s="84" t="e">
        <f>2*J87/3*F90</f>
        <v>#VALUE!</v>
      </c>
      <c r="K89" s="84" t="e">
        <f>CONCATENATE("A(",C87,")=")</f>
        <v>#VALUE!</v>
      </c>
      <c r="L89" s="84" t="e">
        <f>VLOOKUP(C87,STN_TABLE,3,FALSE)</f>
        <v>#VALUE!</v>
      </c>
      <c r="M89" t="str">
        <f>CONCATENATE("A(",C89,")=")</f>
        <v>A(  )=</v>
      </c>
      <c r="N89" t="e">
        <f>J89+L89</f>
        <v>#VALUE!</v>
      </c>
      <c r="O89" s="99">
        <f>O88+1</f>
        <v>14</v>
      </c>
      <c r="P89" s="99" t="str">
        <f t="shared" si="23"/>
        <v xml:space="preserve">  </v>
      </c>
      <c r="Q89" s="82" t="e">
        <f>IF(P89-P88=P88-P87,P89,IF(P90-P88=P88-P87,P90,IF(P89-P88=P88-P86,P89,IF(P90-P88=P88-P86,P90,"-"))))</f>
        <v>#VALUE!</v>
      </c>
      <c r="R89" s="83" t="e">
        <f>VLOOKUP(Q89,STN_TABLE,2,FALSE)</f>
        <v>#VALUE!</v>
      </c>
      <c r="S89" s="83">
        <v>-1</v>
      </c>
      <c r="T89" s="82" t="e">
        <f>R89*S89</f>
        <v>#VALUE!</v>
      </c>
      <c r="U89" s="88">
        <v>-1</v>
      </c>
      <c r="V89" s="82" t="e">
        <f>R89*U89</f>
        <v>#VALUE!</v>
      </c>
      <c r="W89" s="84" t="str">
        <f>CONCATENATE("a'(",Q88,")=")</f>
        <v>a'(  )=</v>
      </c>
      <c r="X89" s="84" t="e">
        <f>2*X87/12*T90</f>
        <v>#VALUE!</v>
      </c>
      <c r="Y89" s="84" t="e">
        <f>CONCATENATE("A(",Q87,")=")</f>
        <v>#VALUE!</v>
      </c>
      <c r="Z89" s="84" t="e">
        <f>VLOOKUP(Q87,STN_TABLE,3,FALSE)</f>
        <v>#VALUE!</v>
      </c>
      <c r="AA89" t="str">
        <f>CONCATENATE("A(",Q88,")=")</f>
        <v>A(  )=</v>
      </c>
      <c r="AB89" t="e">
        <f>X89+Z89</f>
        <v>#VALUE!</v>
      </c>
      <c r="AC89" s="99">
        <f>AC88+1</f>
        <v>13</v>
      </c>
      <c r="AD89" s="100" t="str">
        <f>VLOOKUP(AC89,STN_TABLE_2,2,FALSE)</f>
        <v xml:space="preserve">  </v>
      </c>
      <c r="AE89" s="82" t="str">
        <f>VLOOKUP(AD89,STN_TABLE,2,FALSE)</f>
        <v xml:space="preserve">  </v>
      </c>
      <c r="AF89" s="82">
        <v>2</v>
      </c>
      <c r="AG89" s="83" t="e">
        <f>AE89*AF89</f>
        <v>#VALUE!</v>
      </c>
      <c r="AH89" s="84" t="str">
        <f>CONCATENATE("a'(",AD89,")=")</f>
        <v>a'(  )=</v>
      </c>
      <c r="AI89" s="84" t="e">
        <f>2*AI87/2*AE90</f>
        <v>#VALUE!</v>
      </c>
      <c r="AJ89" s="84" t="str">
        <f>CONCATENATE("A(",AD88,")=")</f>
        <v>A(6.5)=</v>
      </c>
      <c r="AK89" s="84">
        <f>VLOOKUP(AD88,STN_TABLE,3,FALSE)</f>
        <v>284.57333333333332</v>
      </c>
      <c r="AL89" t="str">
        <f>CONCATENATE("A(",AD89,")=")</f>
        <v>A(  )=</v>
      </c>
      <c r="AM89" t="e">
        <f>AI89+AK89</f>
        <v>#VALUE!</v>
      </c>
      <c r="AO89" s="68" t="str">
        <f>AA89</f>
        <v>A(  )=</v>
      </c>
      <c r="AP89" s="68" t="e">
        <f>VLOOKUP(AO89,Rise_Results,2,FALSE)</f>
        <v>#N/A</v>
      </c>
      <c r="AQ89" s="76" t="e">
        <f>N89</f>
        <v>#VALUE!</v>
      </c>
      <c r="AR89" s="76" t="e">
        <f>IF(OR(AB89&lt;=0,AB90&lt;=0),1/0,AB89)</f>
        <v>#VALUE!</v>
      </c>
      <c r="AS89" s="76" t="e">
        <f>AM89</f>
        <v>#VALUE!</v>
      </c>
      <c r="AT89" t="e">
        <f>IFERROR(AP89,IFERROR(AQ89,IFERROR(AR89,AS89)))</f>
        <v>#VALUE!</v>
      </c>
      <c r="AU89" s="81"/>
    </row>
    <row r="90" spans="1:47" x14ac:dyDescent="0.25">
      <c r="A90" s="84">
        <f>A89+1</f>
        <v>13</v>
      </c>
      <c r="B90" s="84" t="str">
        <f t="shared" si="27"/>
        <v xml:space="preserve">  </v>
      </c>
      <c r="F90" s="82" t="e">
        <f>SUM(F87:F89)</f>
        <v>#VALUE!</v>
      </c>
      <c r="H90" s="82" t="e">
        <f>SUM(H87:H89)</f>
        <v>#VALUE!</v>
      </c>
      <c r="I90" s="84" t="str">
        <f>CONCATENATE("m'(",C89,")=")</f>
        <v>m'(  )=</v>
      </c>
      <c r="J90" s="84" t="e">
        <f>2*(J87*(WLS))/3*H90</f>
        <v>#VALUE!</v>
      </c>
      <c r="K90" s="84" t="e">
        <f>CONCATENATE("M(",C87,")=")</f>
        <v>#VALUE!</v>
      </c>
      <c r="L90" s="84" t="e">
        <f>VLOOKUP(C87,STN_TABLE,4,FALSE)</f>
        <v>#VALUE!</v>
      </c>
      <c r="M90" t="str">
        <f>CONCATENATE("M(",C89,")=")</f>
        <v>M(  )=</v>
      </c>
      <c r="N90" t="e">
        <f>J90+L90</f>
        <v>#VALUE!</v>
      </c>
      <c r="O90" s="99">
        <f>O89+1</f>
        <v>15</v>
      </c>
      <c r="P90" s="99" t="str">
        <f t="shared" si="23"/>
        <v xml:space="preserve">  </v>
      </c>
      <c r="T90" s="89" t="e">
        <f>SUM(T87:T89)</f>
        <v>#VALUE!</v>
      </c>
      <c r="V90" s="82" t="e">
        <f>SUM(V87:V89)</f>
        <v>#VALUE!</v>
      </c>
      <c r="W90" s="84" t="str">
        <f>CONCATENATE("m'(",Q88,")=")</f>
        <v>m'(  )=</v>
      </c>
      <c r="X90" s="84" t="e">
        <f>(2*(X87^2)/24*V90)+(X89*Q87*WLS)</f>
        <v>#VALUE!</v>
      </c>
      <c r="Y90" s="84" t="e">
        <f>CONCATENATE("M(",Q87,")=")</f>
        <v>#VALUE!</v>
      </c>
      <c r="Z90" s="84" t="e">
        <f>VLOOKUP(Q87,STN_TABLE,4,FALSE)</f>
        <v>#VALUE!</v>
      </c>
      <c r="AA90" t="str">
        <f>CONCATENATE("M(",Q88,")=")</f>
        <v>M(  )=</v>
      </c>
      <c r="AB90" t="e">
        <f>X90+Z90</f>
        <v>#VALUE!</v>
      </c>
      <c r="AE90" s="89">
        <f>SUM(AE88:AE89)</f>
        <v>11</v>
      </c>
      <c r="AG90" s="89" t="e">
        <f>SUM(AG88:AG89)</f>
        <v>#VALUE!</v>
      </c>
      <c r="AH90" s="84" t="str">
        <f>CONCATENATE("m'(",AD89,")=")</f>
        <v>m'(  )=</v>
      </c>
      <c r="AI90" s="84" t="e">
        <f>(2*(AI87^2)/6*AG90)+(AI89*AD88*WLS)</f>
        <v>#VALUE!</v>
      </c>
      <c r="AJ90" s="84" t="str">
        <f>CONCATENATE("M(",AD88,")=")</f>
        <v>M(6.5)=</v>
      </c>
      <c r="AK90" s="84">
        <f>VLOOKUP(AD88,STN_TABLE,4,FALSE)</f>
        <v>1858.3266666666666</v>
      </c>
      <c r="AL90" t="str">
        <f>CONCATENATE("M(",AD89,")=")</f>
        <v>M(  )=</v>
      </c>
      <c r="AM90" t="e">
        <f>AI90+AK90</f>
        <v>#VALUE!</v>
      </c>
      <c r="AO90" s="82" t="str">
        <f>AA90</f>
        <v>M(  )=</v>
      </c>
      <c r="AP90" s="82" t="e">
        <f>VLOOKUP(AO90,Rise_Results,2,FALSE)</f>
        <v>#N/A</v>
      </c>
      <c r="AQ90" s="82" t="e">
        <f>N90</f>
        <v>#VALUE!</v>
      </c>
      <c r="AR90" s="82" t="e">
        <f>IF(OR(AB89&lt;=0,AB90&lt;=0),1/0,AB90)</f>
        <v>#VALUE!</v>
      </c>
      <c r="AS90" s="82" t="e">
        <f>AM90</f>
        <v>#VALUE!</v>
      </c>
      <c r="AT90" t="e">
        <f>IFERROR(AP90,IFERROR(AQ90,IFERROR(AR90,AS90)))</f>
        <v>#VALUE!</v>
      </c>
      <c r="AU90" s="81"/>
    </row>
    <row r="91" spans="1:47" x14ac:dyDescent="0.25">
      <c r="A91" s="101">
        <f>A86+1</f>
        <v>10</v>
      </c>
      <c r="B91" s="101">
        <f t="shared" si="27"/>
        <v>5</v>
      </c>
      <c r="O91" s="101">
        <f>O86+1</f>
        <v>12</v>
      </c>
      <c r="P91" s="101">
        <f t="shared" si="23"/>
        <v>6.5</v>
      </c>
      <c r="AU91" s="81"/>
    </row>
    <row r="92" spans="1:47" x14ac:dyDescent="0.25">
      <c r="A92" s="84">
        <f>A91+1</f>
        <v>11</v>
      </c>
      <c r="B92" s="84">
        <f t="shared" si="27"/>
        <v>6</v>
      </c>
      <c r="C92" s="79" t="e">
        <f t="shared" ref="C92" si="38">IF(C93=B94,IF(C94-C93=C93-B93,B93,IF(C94-C93=C93-B92,B92,"#NA")),IF(C93=B93,IF(C94-C93=C93-B92,B92,IF(C94-C93=C93-B91,B91,"#NA")),"#NA"))</f>
        <v>#VALUE!</v>
      </c>
      <c r="D92" s="68" t="e">
        <f>VLOOKUP(C92,STN_TABLE,2,FALSE)</f>
        <v>#VALUE!</v>
      </c>
      <c r="E92" s="102">
        <v>1</v>
      </c>
      <c r="F92" s="68" t="e">
        <f>D92*E92</f>
        <v>#VALUE!</v>
      </c>
      <c r="G92" s="69" t="e">
        <f>C92</f>
        <v>#VALUE!</v>
      </c>
      <c r="H92" s="69" t="e">
        <f>F92*G92</f>
        <v>#VALUE!</v>
      </c>
      <c r="I92" s="6" t="s">
        <v>93</v>
      </c>
      <c r="J92" s="70" t="e">
        <f>IF(OR(D92=0,D93=0,D94=0),"#NA",IF(AND(C94-C93=C93-C92,C93&lt;&gt;C94,C92&lt;&gt;C93,C92&lt;&gt;C94,D94&lt;&gt;0,OR(D92&lt;&gt;0,D93&lt;&gt;0)),WLS*(C94-C93),"#NA"))</f>
        <v>#VALUE!</v>
      </c>
      <c r="O92" s="99">
        <f>O91+1</f>
        <v>13</v>
      </c>
      <c r="P92" s="99" t="str">
        <f t="shared" si="23"/>
        <v xml:space="preserve">  </v>
      </c>
      <c r="Q92" s="68" t="e">
        <f>IF(OR(P94-P93=P93-P92,P95-P93=P93-P92),P92,IF(OR(P94-P93=P93-P91,P95-P93=P93-P91),P91,"-"))</f>
        <v>#VALUE!</v>
      </c>
      <c r="R92" s="69" t="e">
        <f>VLOOKUP(Q92,STN_TABLE,2,FALSE)</f>
        <v>#VALUE!</v>
      </c>
      <c r="S92" s="69">
        <v>5</v>
      </c>
      <c r="T92" s="68" t="e">
        <f>R92*S92</f>
        <v>#VALUE!</v>
      </c>
      <c r="U92" s="79">
        <v>3</v>
      </c>
      <c r="V92" s="68" t="e">
        <f>R92*U92</f>
        <v>#VALUE!</v>
      </c>
      <c r="W92" s="6" t="s">
        <v>93</v>
      </c>
      <c r="X92" s="70" t="e">
        <f>IF(AND(Q94-Q93=Q93-Q92,NOT(AND(Q92=0,Q93=0)),NOT(AND(Q93=0,Q94=0))),WLS*(Q94-Q93),"#NA")</f>
        <v>#VALUE!</v>
      </c>
      <c r="AD92" s="93"/>
      <c r="AH92" s="6" t="s">
        <v>93</v>
      </c>
      <c r="AI92" s="70" t="e">
        <f>WLS*(AD94-AD93)</f>
        <v>#VALUE!</v>
      </c>
      <c r="AU92" s="81"/>
    </row>
    <row r="93" spans="1:47" x14ac:dyDescent="0.25">
      <c r="A93" s="84">
        <f>A92+1</f>
        <v>12</v>
      </c>
      <c r="B93" s="84">
        <f t="shared" si="27"/>
        <v>6.5</v>
      </c>
      <c r="C93" s="80" t="e">
        <f t="shared" ref="C93" si="39">IF(OR(B95-B94=B94-B93,B95-B94=B94-B92,B95-B94=B94-B91),B94,IF(OR(B95-B93=B93-B92,B95-B93=B93-B91),B93,IF(B95-B92=B92-B91,B92,"#NA")))</f>
        <v>#VALUE!</v>
      </c>
      <c r="D93" s="76" t="e">
        <f>VLOOKUP(C93,STN_TABLE,2,FALSE)</f>
        <v>#VALUE!</v>
      </c>
      <c r="E93" s="81">
        <v>4</v>
      </c>
      <c r="F93" s="76" t="e">
        <f>D93*E93</f>
        <v>#VALUE!</v>
      </c>
      <c r="G93" s="77" t="e">
        <f>C93</f>
        <v>#VALUE!</v>
      </c>
      <c r="H93" s="77" t="e">
        <f>F93*G93</f>
        <v>#VALUE!</v>
      </c>
      <c r="I93" s="495" t="s">
        <v>97</v>
      </c>
      <c r="J93" s="496"/>
      <c r="K93" s="78" t="s">
        <v>98</v>
      </c>
      <c r="L93" s="78"/>
      <c r="M93" s="7" t="s">
        <v>99</v>
      </c>
      <c r="N93" s="7"/>
      <c r="O93" s="99">
        <f>O92+1</f>
        <v>14</v>
      </c>
      <c r="P93" s="99" t="str">
        <f t="shared" si="23"/>
        <v xml:space="preserve">  </v>
      </c>
      <c r="Q93" s="76" t="str">
        <f>P93</f>
        <v xml:space="preserve">  </v>
      </c>
      <c r="R93" s="77" t="str">
        <f>VLOOKUP(Q93,STN_TABLE,2,FALSE)</f>
        <v xml:space="preserve">  </v>
      </c>
      <c r="S93" s="77">
        <v>8</v>
      </c>
      <c r="T93" s="76" t="e">
        <f>R93*S93</f>
        <v>#VALUE!</v>
      </c>
      <c r="U93" s="80">
        <v>10</v>
      </c>
      <c r="V93" s="76" t="e">
        <f>R93*U93</f>
        <v>#VALUE!</v>
      </c>
      <c r="W93" s="496" t="s">
        <v>97</v>
      </c>
      <c r="X93" s="496"/>
      <c r="Y93" s="496" t="s">
        <v>98</v>
      </c>
      <c r="Z93" s="496"/>
      <c r="AA93" s="494" t="s">
        <v>99</v>
      </c>
      <c r="AB93" s="494"/>
      <c r="AC93" s="99">
        <f>AC88+1</f>
        <v>13</v>
      </c>
      <c r="AD93" s="95" t="str">
        <f>VLOOKUP(AC93,STN_TABLE_2,2,FALSE)</f>
        <v xml:space="preserve">  </v>
      </c>
      <c r="AE93" s="68" t="str">
        <f>VLOOKUP(AD93,STN_TABLE,2,FALSE)</f>
        <v xml:space="preserve">  </v>
      </c>
      <c r="AF93" s="68">
        <v>1</v>
      </c>
      <c r="AG93" s="69" t="e">
        <f>AE93*AF93</f>
        <v>#VALUE!</v>
      </c>
      <c r="AH93" s="496" t="s">
        <v>97</v>
      </c>
      <c r="AI93" s="496"/>
      <c r="AJ93" s="496" t="s">
        <v>98</v>
      </c>
      <c r="AK93" s="496"/>
      <c r="AL93" s="494" t="s">
        <v>99</v>
      </c>
      <c r="AM93" s="494"/>
      <c r="AP93" s="86" t="s">
        <v>112</v>
      </c>
      <c r="AQ93" s="89" t="s">
        <v>113</v>
      </c>
      <c r="AR93" s="89" t="s">
        <v>114</v>
      </c>
      <c r="AS93" s="89" t="s">
        <v>115</v>
      </c>
      <c r="AU93" s="81"/>
    </row>
    <row r="94" spans="1:47" x14ac:dyDescent="0.25">
      <c r="A94" s="84">
        <f>A93+1</f>
        <v>13</v>
      </c>
      <c r="B94" s="84" t="str">
        <f t="shared" si="27"/>
        <v xml:space="preserve">  </v>
      </c>
      <c r="C94" s="88" t="str">
        <f t="shared" ref="C94" si="40">B95</f>
        <v xml:space="preserve">  </v>
      </c>
      <c r="D94" s="82" t="str">
        <f>VLOOKUP(C94,STN_TABLE,2,FALSE)</f>
        <v xml:space="preserve">  </v>
      </c>
      <c r="E94" s="92">
        <v>1</v>
      </c>
      <c r="F94" s="82" t="e">
        <f>D94*E94</f>
        <v>#VALUE!</v>
      </c>
      <c r="G94" s="83" t="str">
        <f>C94</f>
        <v xml:space="preserve">  </v>
      </c>
      <c r="H94" s="83" t="e">
        <f>F94*G94</f>
        <v>#VALUE!</v>
      </c>
      <c r="I94" s="84" t="str">
        <f>CONCATENATE("a'(",C94,")=")</f>
        <v>a'(  )=</v>
      </c>
      <c r="J94" s="84" t="e">
        <f>2*J92/3*F95</f>
        <v>#VALUE!</v>
      </c>
      <c r="K94" s="84" t="e">
        <f>CONCATENATE("A(",C92,")=")</f>
        <v>#VALUE!</v>
      </c>
      <c r="L94" s="84" t="e">
        <f>VLOOKUP(C92,STN_TABLE,3,FALSE)</f>
        <v>#VALUE!</v>
      </c>
      <c r="M94" t="str">
        <f>CONCATENATE("A(",C94,")=")</f>
        <v>A(  )=</v>
      </c>
      <c r="N94" t="e">
        <f>J94+L94</f>
        <v>#VALUE!</v>
      </c>
      <c r="O94" s="99">
        <f>O93+1</f>
        <v>15</v>
      </c>
      <c r="P94" s="99" t="str">
        <f t="shared" si="23"/>
        <v xml:space="preserve">  </v>
      </c>
      <c r="Q94" s="82" t="e">
        <f>IF(P94-P93=P93-P92,P94,IF(P95-P93=P93-P92,P95,IF(P94-P93=P93-P91,P94,IF(P95-P93=P93-P91,P95,"-"))))</f>
        <v>#VALUE!</v>
      </c>
      <c r="R94" s="83" t="e">
        <f>VLOOKUP(Q94,STN_TABLE,2,FALSE)</f>
        <v>#VALUE!</v>
      </c>
      <c r="S94" s="83">
        <v>-1</v>
      </c>
      <c r="T94" s="82" t="e">
        <f>R94*S94</f>
        <v>#VALUE!</v>
      </c>
      <c r="U94" s="88">
        <v>-1</v>
      </c>
      <c r="V94" s="82" t="e">
        <f>R94*U94</f>
        <v>#VALUE!</v>
      </c>
      <c r="W94" s="84" t="str">
        <f>CONCATENATE("a'(",Q93,")=")</f>
        <v>a'(  )=</v>
      </c>
      <c r="X94" s="84" t="e">
        <f>2*X92/12*T95</f>
        <v>#VALUE!</v>
      </c>
      <c r="Y94" s="84" t="e">
        <f>CONCATENATE("A(",Q92,")=")</f>
        <v>#VALUE!</v>
      </c>
      <c r="Z94" s="84" t="e">
        <f>VLOOKUP(Q92,STN_TABLE,3,FALSE)</f>
        <v>#VALUE!</v>
      </c>
      <c r="AA94" t="str">
        <f>CONCATENATE("A(",Q93,")=")</f>
        <v>A(  )=</v>
      </c>
      <c r="AB94" t="e">
        <f>X94+Z94</f>
        <v>#VALUE!</v>
      </c>
      <c r="AC94" s="99">
        <f>AC93+1</f>
        <v>14</v>
      </c>
      <c r="AD94" s="100" t="str">
        <f>VLOOKUP(AC94,STN_TABLE_2,2,FALSE)</f>
        <v xml:space="preserve">  </v>
      </c>
      <c r="AE94" s="82" t="str">
        <f>VLOOKUP(AD94,STN_TABLE,2,FALSE)</f>
        <v xml:space="preserve">  </v>
      </c>
      <c r="AF94" s="82">
        <v>2</v>
      </c>
      <c r="AG94" s="83" t="e">
        <f>AE94*AF94</f>
        <v>#VALUE!</v>
      </c>
      <c r="AH94" s="84" t="str">
        <f>CONCATENATE("a'(",AD94,")=")</f>
        <v>a'(  )=</v>
      </c>
      <c r="AI94" s="84" t="e">
        <f>2*AI92/2*AE95</f>
        <v>#VALUE!</v>
      </c>
      <c r="AJ94" s="84" t="str">
        <f>CONCATENATE("A(",AD93,")=")</f>
        <v>A(  )=</v>
      </c>
      <c r="AK94" s="84" t="str">
        <f>VLOOKUP(AD93,STN_TABLE,3,FALSE)</f>
        <v xml:space="preserve"> </v>
      </c>
      <c r="AL94" t="str">
        <f>CONCATENATE("A(",AD94,")=")</f>
        <v>A(  )=</v>
      </c>
      <c r="AM94" t="e">
        <f>AI94+AK94</f>
        <v>#VALUE!</v>
      </c>
      <c r="AO94" s="68" t="str">
        <f>AA94</f>
        <v>A(  )=</v>
      </c>
      <c r="AP94" s="68" t="e">
        <f>VLOOKUP(AO94,Rise_Results,2,FALSE)</f>
        <v>#N/A</v>
      </c>
      <c r="AQ94" s="76" t="e">
        <f>N94</f>
        <v>#VALUE!</v>
      </c>
      <c r="AR94" s="76" t="e">
        <f>IF(OR(AB94&lt;=0,AB95&lt;=0),1/0,AB94)</f>
        <v>#VALUE!</v>
      </c>
      <c r="AS94" s="76" t="e">
        <f>AM94</f>
        <v>#VALUE!</v>
      </c>
      <c r="AT94" t="e">
        <f>IFERROR(AP94,IFERROR(AQ94,IFERROR(AR94,AS94)))</f>
        <v>#VALUE!</v>
      </c>
      <c r="AU94" s="81"/>
    </row>
    <row r="95" spans="1:47" x14ac:dyDescent="0.25">
      <c r="A95" s="84">
        <f>A94+1</f>
        <v>14</v>
      </c>
      <c r="B95" s="84" t="str">
        <f t="shared" si="27"/>
        <v xml:space="preserve">  </v>
      </c>
      <c r="F95" s="82" t="e">
        <f>SUM(F92:F94)</f>
        <v>#VALUE!</v>
      </c>
      <c r="H95" s="82" t="e">
        <f>SUM(H92:H94)</f>
        <v>#VALUE!</v>
      </c>
      <c r="I95" s="84" t="str">
        <f>CONCATENATE("m'(",C94,")=")</f>
        <v>m'(  )=</v>
      </c>
      <c r="J95" s="84" t="e">
        <f>2*(J92*(WLS))/3*H95</f>
        <v>#VALUE!</v>
      </c>
      <c r="K95" s="84" t="e">
        <f>CONCATENATE("M(",C92,")=")</f>
        <v>#VALUE!</v>
      </c>
      <c r="L95" s="84" t="e">
        <f>VLOOKUP(C92,STN_TABLE,4,FALSE)</f>
        <v>#VALUE!</v>
      </c>
      <c r="M95" t="str">
        <f>CONCATENATE("M(",C94,")=")</f>
        <v>M(  )=</v>
      </c>
      <c r="N95" t="e">
        <f>J95+L95</f>
        <v>#VALUE!</v>
      </c>
      <c r="O95" s="99">
        <f>O94+1</f>
        <v>16</v>
      </c>
      <c r="P95" s="99" t="str">
        <f t="shared" si="23"/>
        <v xml:space="preserve">  </v>
      </c>
      <c r="T95" s="89" t="e">
        <f>SUM(T92:T94)</f>
        <v>#VALUE!</v>
      </c>
      <c r="V95" s="82" t="e">
        <f>SUM(V92:V94)</f>
        <v>#VALUE!</v>
      </c>
      <c r="W95" s="84" t="str">
        <f>CONCATENATE("m'(",Q93,")=")</f>
        <v>m'(  )=</v>
      </c>
      <c r="X95" s="84" t="e">
        <f>(2*(X92^2)/24*V95)+(X94*Q92*WLS)</f>
        <v>#VALUE!</v>
      </c>
      <c r="Y95" s="84" t="e">
        <f>CONCATENATE("M(",Q92,")=")</f>
        <v>#VALUE!</v>
      </c>
      <c r="Z95" s="84" t="e">
        <f>VLOOKUP(Q92,STN_TABLE,4,FALSE)</f>
        <v>#VALUE!</v>
      </c>
      <c r="AA95" t="str">
        <f>CONCATENATE("M(",Q93,")=")</f>
        <v>M(  )=</v>
      </c>
      <c r="AB95" t="e">
        <f>X95+Z95</f>
        <v>#VALUE!</v>
      </c>
      <c r="AE95" s="89">
        <f>SUM(AE93:AE94)</f>
        <v>0</v>
      </c>
      <c r="AG95" s="89" t="e">
        <f>SUM(AG93:AG94)</f>
        <v>#VALUE!</v>
      </c>
      <c r="AH95" s="84" t="str">
        <f>CONCATENATE("m'(",AD94,")=")</f>
        <v>m'(  )=</v>
      </c>
      <c r="AI95" s="84" t="e">
        <f>(2*(AI92^2)/6*AG95)+(AI94*AD93*WLS)</f>
        <v>#VALUE!</v>
      </c>
      <c r="AJ95" s="84" t="str">
        <f>CONCATENATE("M(",AD93,")=")</f>
        <v>M(  )=</v>
      </c>
      <c r="AK95" s="84" t="str">
        <f>VLOOKUP(AD93,STN_TABLE,4,FALSE)</f>
        <v xml:space="preserve"> </v>
      </c>
      <c r="AL95" t="str">
        <f>CONCATENATE("M(",AD94,")=")</f>
        <v>M(  )=</v>
      </c>
      <c r="AM95" t="e">
        <f>AI95+AK95</f>
        <v>#VALUE!</v>
      </c>
      <c r="AO95" s="82" t="str">
        <f>AA95</f>
        <v>M(  )=</v>
      </c>
      <c r="AP95" s="82" t="e">
        <f>VLOOKUP(AO95,Rise_Results,2,FALSE)</f>
        <v>#N/A</v>
      </c>
      <c r="AQ95" s="82" t="e">
        <f>N95</f>
        <v>#VALUE!</v>
      </c>
      <c r="AR95" s="82" t="e">
        <f>IF(OR(AB94&lt;=0,AB95&lt;=0),1/0,AB95)</f>
        <v>#VALUE!</v>
      </c>
      <c r="AS95" s="82" t="e">
        <f>AM95</f>
        <v>#VALUE!</v>
      </c>
      <c r="AT95" t="e">
        <f>IFERROR(AP95,IFERROR(AQ95,IFERROR(AR95,AS95)))</f>
        <v>#VALUE!</v>
      </c>
      <c r="AU95" s="81"/>
    </row>
    <row r="96" spans="1:47" x14ac:dyDescent="0.25">
      <c r="A96" s="101">
        <f>A91+1</f>
        <v>11</v>
      </c>
      <c r="B96" s="101">
        <f t="shared" si="27"/>
        <v>6</v>
      </c>
      <c r="O96" s="101">
        <f>O91+1</f>
        <v>13</v>
      </c>
      <c r="P96" s="101" t="str">
        <f t="shared" si="23"/>
        <v xml:space="preserve">  </v>
      </c>
      <c r="AU96" s="81"/>
    </row>
    <row r="97" spans="1:47" x14ac:dyDescent="0.25">
      <c r="A97" s="84">
        <f>A96+1</f>
        <v>12</v>
      </c>
      <c r="B97" s="84">
        <f t="shared" si="27"/>
        <v>6.5</v>
      </c>
      <c r="C97" s="79" t="e">
        <f t="shared" ref="C97" si="41">IF(C98=B99,IF(C99-C98=C98-B98,B98,IF(C99-C98=C98-B97,B97,"#NA")),IF(C98=B98,IF(C99-C98=C98-B97,B97,IF(C99-C98=C98-B96,B96,"#NA")),"#NA"))</f>
        <v>#VALUE!</v>
      </c>
      <c r="D97" s="68" t="e">
        <f>VLOOKUP(C97,STN_TABLE,2,FALSE)</f>
        <v>#VALUE!</v>
      </c>
      <c r="E97" s="102">
        <v>1</v>
      </c>
      <c r="F97" s="68" t="e">
        <f>D97*E97</f>
        <v>#VALUE!</v>
      </c>
      <c r="G97" s="69" t="e">
        <f>C97</f>
        <v>#VALUE!</v>
      </c>
      <c r="H97" s="69" t="e">
        <f>F97*G97</f>
        <v>#VALUE!</v>
      </c>
      <c r="I97" s="6" t="s">
        <v>93</v>
      </c>
      <c r="J97" s="70" t="e">
        <f>IF(OR(D97=0,D98=0,D99=0),"#NA",IF(AND(C99-C98=C98-C97,C98&lt;&gt;C99,C97&lt;&gt;C98,C97&lt;&gt;C99,D99&lt;&gt;0,OR(D97&lt;&gt;0,D98&lt;&gt;0)),WLS*(C99-C98),"#NA"))</f>
        <v>#VALUE!</v>
      </c>
      <c r="O97" s="99">
        <f>O96+1</f>
        <v>14</v>
      </c>
      <c r="P97" s="99" t="str">
        <f t="shared" si="23"/>
        <v xml:space="preserve">  </v>
      </c>
      <c r="Q97" s="68" t="e">
        <f>IF(OR(P99-P98=P98-P97,P100-P98=P98-P97),P97,IF(OR(P99-P98=P98-P96,P100-P98=P98-P96),P96,"-"))</f>
        <v>#VALUE!</v>
      </c>
      <c r="R97" s="69" t="e">
        <f>VLOOKUP(Q97,STN_TABLE,2,FALSE)</f>
        <v>#VALUE!</v>
      </c>
      <c r="S97" s="69">
        <v>5</v>
      </c>
      <c r="T97" s="68" t="e">
        <f>R97*S97</f>
        <v>#VALUE!</v>
      </c>
      <c r="U97" s="79">
        <v>3</v>
      </c>
      <c r="V97" s="68" t="e">
        <f>R97*U97</f>
        <v>#VALUE!</v>
      </c>
      <c r="W97" s="6" t="s">
        <v>93</v>
      </c>
      <c r="X97" s="70" t="e">
        <f>IF(AND(Q99-Q98=Q98-Q97,NOT(AND(Q97=0,Q98=0)),NOT(AND(Q98=0,Q99=0))),WLS*(Q99-Q98),"#NA")</f>
        <v>#VALUE!</v>
      </c>
      <c r="AD97" s="93"/>
      <c r="AH97" s="6" t="s">
        <v>93</v>
      </c>
      <c r="AI97" s="70" t="e">
        <f>WLS*(AD99-AD98)</f>
        <v>#VALUE!</v>
      </c>
      <c r="AU97" s="81"/>
    </row>
    <row r="98" spans="1:47" x14ac:dyDescent="0.25">
      <c r="A98" s="84">
        <f>A97+1</f>
        <v>13</v>
      </c>
      <c r="B98" s="84" t="str">
        <f t="shared" si="27"/>
        <v xml:space="preserve">  </v>
      </c>
      <c r="C98" s="80" t="e">
        <f t="shared" ref="C98" si="42">IF(OR(B100-B99=B99-B98,B100-B99=B99-B97,B100-B99=B99-B96),B99,IF(OR(B100-B98=B98-B97,B100-B98=B98-B96),B98,IF(B100-B97=B97-B96,B97,"#NA")))</f>
        <v>#VALUE!</v>
      </c>
      <c r="D98" s="76" t="e">
        <f>VLOOKUP(C98,STN_TABLE,2,FALSE)</f>
        <v>#VALUE!</v>
      </c>
      <c r="E98" s="81">
        <v>4</v>
      </c>
      <c r="F98" s="76" t="e">
        <f>D98*E98</f>
        <v>#VALUE!</v>
      </c>
      <c r="G98" s="77" t="e">
        <f>C98</f>
        <v>#VALUE!</v>
      </c>
      <c r="H98" s="77" t="e">
        <f>F98*G98</f>
        <v>#VALUE!</v>
      </c>
      <c r="I98" s="495" t="s">
        <v>97</v>
      </c>
      <c r="J98" s="496"/>
      <c r="K98" s="78" t="s">
        <v>98</v>
      </c>
      <c r="L98" s="78"/>
      <c r="M98" s="7" t="s">
        <v>99</v>
      </c>
      <c r="N98" s="7"/>
      <c r="O98" s="99">
        <f>O97+1</f>
        <v>15</v>
      </c>
      <c r="P98" s="99" t="str">
        <f t="shared" si="23"/>
        <v xml:space="preserve">  </v>
      </c>
      <c r="Q98" s="76" t="str">
        <f>P98</f>
        <v xml:space="preserve">  </v>
      </c>
      <c r="R98" s="77" t="str">
        <f>VLOOKUP(Q98,STN_TABLE,2,FALSE)</f>
        <v xml:space="preserve">  </v>
      </c>
      <c r="S98" s="77">
        <v>8</v>
      </c>
      <c r="T98" s="76" t="e">
        <f>R98*S98</f>
        <v>#VALUE!</v>
      </c>
      <c r="U98" s="80">
        <v>10</v>
      </c>
      <c r="V98" s="76" t="e">
        <f>R98*U98</f>
        <v>#VALUE!</v>
      </c>
      <c r="W98" s="496" t="s">
        <v>97</v>
      </c>
      <c r="X98" s="496"/>
      <c r="Y98" s="496" t="s">
        <v>98</v>
      </c>
      <c r="Z98" s="496"/>
      <c r="AA98" s="494" t="s">
        <v>99</v>
      </c>
      <c r="AB98" s="494"/>
      <c r="AC98" s="99">
        <f>AC93+1</f>
        <v>14</v>
      </c>
      <c r="AD98" s="95" t="str">
        <f>VLOOKUP(AC98,STN_TABLE_2,2,FALSE)</f>
        <v xml:space="preserve">  </v>
      </c>
      <c r="AE98" s="68" t="str">
        <f>VLOOKUP(AD98,STN_TABLE,2,FALSE)</f>
        <v xml:space="preserve">  </v>
      </c>
      <c r="AF98" s="68">
        <v>1</v>
      </c>
      <c r="AG98" s="69" t="e">
        <f>AE98*AF98</f>
        <v>#VALUE!</v>
      </c>
      <c r="AH98" s="496" t="s">
        <v>97</v>
      </c>
      <c r="AI98" s="496"/>
      <c r="AJ98" s="496" t="s">
        <v>98</v>
      </c>
      <c r="AK98" s="496"/>
      <c r="AL98" s="494" t="s">
        <v>99</v>
      </c>
      <c r="AM98" s="494"/>
      <c r="AP98" s="86" t="s">
        <v>112</v>
      </c>
      <c r="AQ98" s="89" t="s">
        <v>113</v>
      </c>
      <c r="AR98" s="89" t="s">
        <v>114</v>
      </c>
      <c r="AS98" s="89" t="s">
        <v>115</v>
      </c>
      <c r="AU98" s="81"/>
    </row>
    <row r="99" spans="1:47" x14ac:dyDescent="0.25">
      <c r="A99" s="84">
        <f>A98+1</f>
        <v>14</v>
      </c>
      <c r="B99" s="84" t="str">
        <f t="shared" si="27"/>
        <v xml:space="preserve">  </v>
      </c>
      <c r="C99" s="88" t="str">
        <f t="shared" ref="C99" si="43">B100</f>
        <v xml:space="preserve">  </v>
      </c>
      <c r="D99" s="82" t="str">
        <f>VLOOKUP(C99,STN_TABLE,2,FALSE)</f>
        <v xml:space="preserve">  </v>
      </c>
      <c r="E99" s="92">
        <v>1</v>
      </c>
      <c r="F99" s="82" t="e">
        <f>D99*E99</f>
        <v>#VALUE!</v>
      </c>
      <c r="G99" s="83" t="str">
        <f>C99</f>
        <v xml:space="preserve">  </v>
      </c>
      <c r="H99" s="83" t="e">
        <f>F99*G99</f>
        <v>#VALUE!</v>
      </c>
      <c r="I99" s="84" t="str">
        <f>CONCATENATE("a'(",C99,")=")</f>
        <v>a'(  )=</v>
      </c>
      <c r="J99" s="84" t="e">
        <f>2*J97/3*F100</f>
        <v>#VALUE!</v>
      </c>
      <c r="K99" s="84" t="e">
        <f>CONCATENATE("A(",C97,")=")</f>
        <v>#VALUE!</v>
      </c>
      <c r="L99" s="84" t="e">
        <f>VLOOKUP(C97,STN_TABLE,3,FALSE)</f>
        <v>#VALUE!</v>
      </c>
      <c r="M99" t="str">
        <f>CONCATENATE("A(",C99,")=")</f>
        <v>A(  )=</v>
      </c>
      <c r="N99" t="e">
        <f>J99+L99</f>
        <v>#VALUE!</v>
      </c>
      <c r="O99" s="99">
        <f>O98+1</f>
        <v>16</v>
      </c>
      <c r="P99" s="99" t="str">
        <f t="shared" si="23"/>
        <v xml:space="preserve">  </v>
      </c>
      <c r="Q99" s="82" t="e">
        <f>IF(P99-P98=P98-P97,P99,IF(P100-P98=P98-P97,P100,IF(P99-P98=P98-P96,P99,IF(P100-P98=P98-P96,P100,"-"))))</f>
        <v>#VALUE!</v>
      </c>
      <c r="R99" s="83" t="e">
        <f>VLOOKUP(Q99,STN_TABLE,2,FALSE)</f>
        <v>#VALUE!</v>
      </c>
      <c r="S99" s="83">
        <v>-1</v>
      </c>
      <c r="T99" s="82" t="e">
        <f>R99*S99</f>
        <v>#VALUE!</v>
      </c>
      <c r="U99" s="88">
        <v>-1</v>
      </c>
      <c r="V99" s="82" t="e">
        <f>R99*U99</f>
        <v>#VALUE!</v>
      </c>
      <c r="W99" s="84" t="str">
        <f>CONCATENATE("a'(",Q98,")=")</f>
        <v>a'(  )=</v>
      </c>
      <c r="X99" s="84" t="e">
        <f>2*X97/12*T100</f>
        <v>#VALUE!</v>
      </c>
      <c r="Y99" s="84" t="e">
        <f>CONCATENATE("A(",Q97,")=")</f>
        <v>#VALUE!</v>
      </c>
      <c r="Z99" s="84" t="e">
        <f>VLOOKUP(Q97,STN_TABLE,3,FALSE)</f>
        <v>#VALUE!</v>
      </c>
      <c r="AA99" t="str">
        <f>CONCATENATE("A(",Q98,")=")</f>
        <v>A(  )=</v>
      </c>
      <c r="AB99" t="e">
        <f>X99+Z99</f>
        <v>#VALUE!</v>
      </c>
      <c r="AC99" s="99">
        <f>AC98+1</f>
        <v>15</v>
      </c>
      <c r="AD99" s="100" t="str">
        <f>VLOOKUP(AC99,STN_TABLE_2,2,FALSE)</f>
        <v xml:space="preserve">  </v>
      </c>
      <c r="AE99" s="82" t="str">
        <f>VLOOKUP(AD99,STN_TABLE,2,FALSE)</f>
        <v xml:space="preserve">  </v>
      </c>
      <c r="AF99" s="82">
        <v>2</v>
      </c>
      <c r="AG99" s="83" t="e">
        <f>AE99*AF99</f>
        <v>#VALUE!</v>
      </c>
      <c r="AH99" s="84" t="str">
        <f>CONCATENATE("a'(",AD99,")=")</f>
        <v>a'(  )=</v>
      </c>
      <c r="AI99" s="84" t="e">
        <f>2*AI97/2*AE100</f>
        <v>#VALUE!</v>
      </c>
      <c r="AJ99" s="84" t="str">
        <f>CONCATENATE("A(",AD98,")=")</f>
        <v>A(  )=</v>
      </c>
      <c r="AK99" s="84" t="str">
        <f>VLOOKUP(AD98,STN_TABLE,3,FALSE)</f>
        <v xml:space="preserve"> </v>
      </c>
      <c r="AL99" t="str">
        <f>CONCATENATE("A(",AD99,")=")</f>
        <v>A(  )=</v>
      </c>
      <c r="AM99" t="e">
        <f>AI99+AK99</f>
        <v>#VALUE!</v>
      </c>
      <c r="AO99" s="68" t="str">
        <f>AA99</f>
        <v>A(  )=</v>
      </c>
      <c r="AP99" s="68" t="e">
        <f>VLOOKUP(AO99,Rise_Results,2,FALSE)</f>
        <v>#N/A</v>
      </c>
      <c r="AQ99" s="76" t="e">
        <f>N99</f>
        <v>#VALUE!</v>
      </c>
      <c r="AR99" s="76" t="e">
        <f>IF(OR(AB99&lt;=0,AB100&lt;=0),1/0,AB99)</f>
        <v>#VALUE!</v>
      </c>
      <c r="AS99" s="76" t="e">
        <f>AM99</f>
        <v>#VALUE!</v>
      </c>
      <c r="AT99" t="e">
        <f>IFERROR(AP99,IFERROR(AQ99,IFERROR(AR99,AS99)))</f>
        <v>#VALUE!</v>
      </c>
      <c r="AU99" s="81"/>
    </row>
    <row r="100" spans="1:47" x14ac:dyDescent="0.25">
      <c r="A100" s="84">
        <f>A99+1</f>
        <v>15</v>
      </c>
      <c r="B100" s="84" t="str">
        <f t="shared" si="27"/>
        <v xml:space="preserve">  </v>
      </c>
      <c r="F100" s="82" t="e">
        <f>SUM(F97:F99)</f>
        <v>#VALUE!</v>
      </c>
      <c r="H100" s="82" t="e">
        <f>SUM(H97:H99)</f>
        <v>#VALUE!</v>
      </c>
      <c r="I100" s="84" t="str">
        <f>CONCATENATE("m'(",C99,")=")</f>
        <v>m'(  )=</v>
      </c>
      <c r="J100" s="84" t="e">
        <f>2*(J97*(WLS))/3*H100</f>
        <v>#VALUE!</v>
      </c>
      <c r="K100" s="84" t="e">
        <f>CONCATENATE("M(",C97,")=")</f>
        <v>#VALUE!</v>
      </c>
      <c r="L100" s="84" t="e">
        <f>VLOOKUP(C97,STN_TABLE,4,FALSE)</f>
        <v>#VALUE!</v>
      </c>
      <c r="M100" t="str">
        <f>CONCATENATE("M(",C99,")=")</f>
        <v>M(  )=</v>
      </c>
      <c r="N100" t="e">
        <f>J100+L100</f>
        <v>#VALUE!</v>
      </c>
      <c r="O100" s="99">
        <f>O99+1</f>
        <v>17</v>
      </c>
      <c r="P100" s="99" t="str">
        <f t="shared" ref="P100:P131" si="44">VLOOKUP(O100,STN_TABLE_2,2,FALSE)</f>
        <v xml:space="preserve">  </v>
      </c>
      <c r="T100" s="89" t="e">
        <f>SUM(T97:T99)</f>
        <v>#VALUE!</v>
      </c>
      <c r="V100" s="82" t="e">
        <f>SUM(V97:V99)</f>
        <v>#VALUE!</v>
      </c>
      <c r="W100" s="84" t="str">
        <f>CONCATENATE("m'(",Q98,")=")</f>
        <v>m'(  )=</v>
      </c>
      <c r="X100" s="84" t="e">
        <f>(2*(X97^2)/24*V100)+(X99*Q97*WLS)</f>
        <v>#VALUE!</v>
      </c>
      <c r="Y100" s="84" t="e">
        <f>CONCATENATE("M(",Q97,")=")</f>
        <v>#VALUE!</v>
      </c>
      <c r="Z100" s="84" t="e">
        <f>VLOOKUP(Q97,STN_TABLE,4,FALSE)</f>
        <v>#VALUE!</v>
      </c>
      <c r="AA100" t="str">
        <f>CONCATENATE("M(",Q98,")=")</f>
        <v>M(  )=</v>
      </c>
      <c r="AB100" t="e">
        <f>X100+Z100</f>
        <v>#VALUE!</v>
      </c>
      <c r="AE100" s="89">
        <f>SUM(AE98:AE99)</f>
        <v>0</v>
      </c>
      <c r="AG100" s="89" t="e">
        <f>SUM(AG98:AG99)</f>
        <v>#VALUE!</v>
      </c>
      <c r="AH100" s="84" t="str">
        <f>CONCATENATE("m'(",AD99,")=")</f>
        <v>m'(  )=</v>
      </c>
      <c r="AI100" s="84" t="e">
        <f>(2*(AI97^2)/6*AG100)+(AI99*AD98*WLS)</f>
        <v>#VALUE!</v>
      </c>
      <c r="AJ100" s="84" t="str">
        <f>CONCATENATE("M(",AD98,")=")</f>
        <v>M(  )=</v>
      </c>
      <c r="AK100" s="84" t="str">
        <f>VLOOKUP(AD98,STN_TABLE,4,FALSE)</f>
        <v xml:space="preserve"> </v>
      </c>
      <c r="AL100" t="str">
        <f>CONCATENATE("M(",AD99,")=")</f>
        <v>M(  )=</v>
      </c>
      <c r="AM100" t="e">
        <f>AI100+AK100</f>
        <v>#VALUE!</v>
      </c>
      <c r="AO100" s="82" t="str">
        <f>AA100</f>
        <v>M(  )=</v>
      </c>
      <c r="AP100" s="82" t="e">
        <f>VLOOKUP(AO100,Rise_Results,2,FALSE)</f>
        <v>#N/A</v>
      </c>
      <c r="AQ100" s="82" t="e">
        <f>N100</f>
        <v>#VALUE!</v>
      </c>
      <c r="AR100" s="82" t="e">
        <f>IF(OR(AB99&lt;=0,AB100&lt;=0),1/0,AB100)</f>
        <v>#VALUE!</v>
      </c>
      <c r="AS100" s="82" t="e">
        <f>AM100</f>
        <v>#VALUE!</v>
      </c>
      <c r="AT100" t="e">
        <f>IFERROR(AP100,IFERROR(AQ100,IFERROR(AR100,AS100)))</f>
        <v>#VALUE!</v>
      </c>
      <c r="AU100" s="81"/>
    </row>
    <row r="101" spans="1:47" x14ac:dyDescent="0.25">
      <c r="A101" s="101">
        <f>A96+1</f>
        <v>12</v>
      </c>
      <c r="B101" s="101">
        <f t="shared" si="27"/>
        <v>6.5</v>
      </c>
      <c r="O101" s="101">
        <f>O96+1</f>
        <v>14</v>
      </c>
      <c r="P101" s="101" t="str">
        <f t="shared" si="44"/>
        <v xml:space="preserve">  </v>
      </c>
      <c r="AU101" s="81"/>
    </row>
    <row r="102" spans="1:47" x14ac:dyDescent="0.25">
      <c r="A102" s="84">
        <f>A101+1</f>
        <v>13</v>
      </c>
      <c r="B102" s="84" t="str">
        <f t="shared" si="27"/>
        <v xml:space="preserve">  </v>
      </c>
      <c r="C102" s="79" t="e">
        <f t="shared" ref="C102" si="45">IF(C103=B104,IF(C104-C103=C103-B103,B103,IF(C104-C103=C103-B102,B102,"#NA")),IF(C103=B103,IF(C104-C103=C103-B102,B102,IF(C104-C103=C103-B101,B101,"#NA")),"#NA"))</f>
        <v>#VALUE!</v>
      </c>
      <c r="D102" s="68" t="e">
        <f>VLOOKUP(C102,STN_TABLE,2,FALSE)</f>
        <v>#VALUE!</v>
      </c>
      <c r="E102" s="102">
        <v>1</v>
      </c>
      <c r="F102" s="68" t="e">
        <f>D102*E102</f>
        <v>#VALUE!</v>
      </c>
      <c r="G102" s="69" t="e">
        <f>C102</f>
        <v>#VALUE!</v>
      </c>
      <c r="H102" s="69" t="e">
        <f>F102*G102</f>
        <v>#VALUE!</v>
      </c>
      <c r="I102" s="6" t="s">
        <v>93</v>
      </c>
      <c r="J102" s="70" t="e">
        <f>IF(OR(D102=0,D103=0,D104=0),"#NA",IF(AND(C104-C103=C103-C102,C103&lt;&gt;C104,C102&lt;&gt;C103,C102&lt;&gt;C104,D104&lt;&gt;0,OR(D102&lt;&gt;0,D103&lt;&gt;0)),WLS*(C104-C103),"#NA"))</f>
        <v>#VALUE!</v>
      </c>
      <c r="O102" s="99">
        <f>O101+1</f>
        <v>15</v>
      </c>
      <c r="P102" s="99" t="str">
        <f t="shared" si="44"/>
        <v xml:space="preserve">  </v>
      </c>
      <c r="Q102" s="68" t="e">
        <f>IF(OR(P104-P103=P103-P102,P105-P103=P103-P102),P102,IF(OR(P104-P103=P103-P101,P105-P103=P103-P101),P101,"-"))</f>
        <v>#VALUE!</v>
      </c>
      <c r="R102" s="69" t="e">
        <f>VLOOKUP(Q102,STN_TABLE,2,FALSE)</f>
        <v>#VALUE!</v>
      </c>
      <c r="S102" s="69">
        <v>5</v>
      </c>
      <c r="T102" s="68" t="e">
        <f>R102*S102</f>
        <v>#VALUE!</v>
      </c>
      <c r="U102" s="79">
        <v>3</v>
      </c>
      <c r="V102" s="68" t="e">
        <f>R102*U102</f>
        <v>#VALUE!</v>
      </c>
      <c r="W102" s="6" t="s">
        <v>93</v>
      </c>
      <c r="X102" s="70" t="e">
        <f>IF(AND(Q104-Q103=Q103-Q102,NOT(AND(Q102=0,Q103=0)),NOT(AND(Q103=0,Q104=0))),WLS*(Q104-Q103),"#NA")</f>
        <v>#VALUE!</v>
      </c>
      <c r="AD102" s="93"/>
      <c r="AH102" s="6" t="s">
        <v>93</v>
      </c>
      <c r="AI102" s="70" t="e">
        <f>WLS*(AD104-AD103)</f>
        <v>#VALUE!</v>
      </c>
      <c r="AU102" s="81"/>
    </row>
    <row r="103" spans="1:47" x14ac:dyDescent="0.25">
      <c r="A103" s="84">
        <f>A102+1</f>
        <v>14</v>
      </c>
      <c r="B103" s="84" t="str">
        <f t="shared" si="27"/>
        <v xml:space="preserve">  </v>
      </c>
      <c r="C103" s="80" t="e">
        <f t="shared" ref="C103" si="46">IF(OR(B105-B104=B104-B103,B105-B104=B104-B102,B105-B104=B104-B101),B104,IF(OR(B105-B103=B103-B102,B105-B103=B103-B101),B103,IF(B105-B102=B102-B101,B102,"#NA")))</f>
        <v>#VALUE!</v>
      </c>
      <c r="D103" s="76" t="e">
        <f>VLOOKUP(C103,STN_TABLE,2,FALSE)</f>
        <v>#VALUE!</v>
      </c>
      <c r="E103" s="81">
        <v>4</v>
      </c>
      <c r="F103" s="76" t="e">
        <f>D103*E103</f>
        <v>#VALUE!</v>
      </c>
      <c r="G103" s="77" t="e">
        <f>C103</f>
        <v>#VALUE!</v>
      </c>
      <c r="H103" s="77" t="e">
        <f>F103*G103</f>
        <v>#VALUE!</v>
      </c>
      <c r="I103" s="495" t="s">
        <v>97</v>
      </c>
      <c r="J103" s="496"/>
      <c r="K103" s="78" t="s">
        <v>98</v>
      </c>
      <c r="L103" s="78"/>
      <c r="M103" s="7" t="s">
        <v>99</v>
      </c>
      <c r="N103" s="7"/>
      <c r="O103" s="99">
        <f>O102+1</f>
        <v>16</v>
      </c>
      <c r="P103" s="99" t="str">
        <f t="shared" si="44"/>
        <v xml:space="preserve">  </v>
      </c>
      <c r="Q103" s="76" t="str">
        <f>P103</f>
        <v xml:space="preserve">  </v>
      </c>
      <c r="R103" s="77" t="str">
        <f>VLOOKUP(Q103,STN_TABLE,2,FALSE)</f>
        <v xml:space="preserve">  </v>
      </c>
      <c r="S103" s="77">
        <v>8</v>
      </c>
      <c r="T103" s="76" t="e">
        <f>R103*S103</f>
        <v>#VALUE!</v>
      </c>
      <c r="U103" s="80">
        <v>10</v>
      </c>
      <c r="V103" s="76" t="e">
        <f>R103*U103</f>
        <v>#VALUE!</v>
      </c>
      <c r="W103" s="496" t="s">
        <v>97</v>
      </c>
      <c r="X103" s="496"/>
      <c r="Y103" s="496" t="s">
        <v>98</v>
      </c>
      <c r="Z103" s="496"/>
      <c r="AA103" s="494" t="s">
        <v>99</v>
      </c>
      <c r="AB103" s="494"/>
      <c r="AC103" s="99">
        <f>AC98+1</f>
        <v>15</v>
      </c>
      <c r="AD103" s="95" t="str">
        <f>VLOOKUP(AC103,STN_TABLE_2,2,FALSE)</f>
        <v xml:space="preserve">  </v>
      </c>
      <c r="AE103" s="68" t="str">
        <f>VLOOKUP(AD103,STN_TABLE,2,FALSE)</f>
        <v xml:space="preserve">  </v>
      </c>
      <c r="AF103" s="68">
        <v>1</v>
      </c>
      <c r="AG103" s="69" t="e">
        <f>AE103*AF103</f>
        <v>#VALUE!</v>
      </c>
      <c r="AH103" s="496" t="s">
        <v>97</v>
      </c>
      <c r="AI103" s="496"/>
      <c r="AJ103" s="496" t="s">
        <v>98</v>
      </c>
      <c r="AK103" s="496"/>
      <c r="AL103" s="494" t="s">
        <v>99</v>
      </c>
      <c r="AM103" s="494"/>
      <c r="AP103" s="86" t="s">
        <v>112</v>
      </c>
      <c r="AQ103" s="89" t="s">
        <v>113</v>
      </c>
      <c r="AR103" s="89" t="s">
        <v>114</v>
      </c>
      <c r="AS103" s="89" t="s">
        <v>115</v>
      </c>
      <c r="AU103" s="81"/>
    </row>
    <row r="104" spans="1:47" x14ac:dyDescent="0.25">
      <c r="A104" s="84">
        <f>A103+1</f>
        <v>15</v>
      </c>
      <c r="B104" s="84" t="str">
        <f t="shared" si="27"/>
        <v xml:space="preserve">  </v>
      </c>
      <c r="C104" s="88" t="str">
        <f t="shared" ref="C104" si="47">B105</f>
        <v xml:space="preserve">  </v>
      </c>
      <c r="D104" s="82" t="str">
        <f>VLOOKUP(C104,STN_TABLE,2,FALSE)</f>
        <v xml:space="preserve">  </v>
      </c>
      <c r="E104" s="92">
        <v>1</v>
      </c>
      <c r="F104" s="82" t="e">
        <f>D104*E104</f>
        <v>#VALUE!</v>
      </c>
      <c r="G104" s="83" t="str">
        <f>C104</f>
        <v xml:space="preserve">  </v>
      </c>
      <c r="H104" s="83" t="e">
        <f>F104*G104</f>
        <v>#VALUE!</v>
      </c>
      <c r="I104" s="84" t="str">
        <f>CONCATENATE("a'(",C104,")=")</f>
        <v>a'(  )=</v>
      </c>
      <c r="J104" s="84" t="e">
        <f>2*J102/3*F105</f>
        <v>#VALUE!</v>
      </c>
      <c r="K104" s="84" t="e">
        <f>CONCATENATE("A(",C102,")=")</f>
        <v>#VALUE!</v>
      </c>
      <c r="L104" s="84" t="e">
        <f>VLOOKUP(C102,STN_TABLE,3,FALSE)</f>
        <v>#VALUE!</v>
      </c>
      <c r="M104" t="str">
        <f>CONCATENATE("A(",C104,")=")</f>
        <v>A(  )=</v>
      </c>
      <c r="N104" t="e">
        <f>J104+L104</f>
        <v>#VALUE!</v>
      </c>
      <c r="O104" s="99">
        <f>O103+1</f>
        <v>17</v>
      </c>
      <c r="P104" s="99" t="str">
        <f t="shared" si="44"/>
        <v xml:space="preserve">  </v>
      </c>
      <c r="Q104" s="82" t="e">
        <f>IF(P104-P103=P103-P102,P104,IF(P105-P103=P103-P102,P105,IF(P104-P103=P103-P101,P104,IF(P105-P103=P103-P101,P105,"-"))))</f>
        <v>#VALUE!</v>
      </c>
      <c r="R104" s="83" t="e">
        <f>VLOOKUP(Q104,STN_TABLE,2,FALSE)</f>
        <v>#VALUE!</v>
      </c>
      <c r="S104" s="83">
        <v>-1</v>
      </c>
      <c r="T104" s="82" t="e">
        <f>R104*S104</f>
        <v>#VALUE!</v>
      </c>
      <c r="U104" s="88">
        <v>-1</v>
      </c>
      <c r="V104" s="82" t="e">
        <f>R104*U104</f>
        <v>#VALUE!</v>
      </c>
      <c r="W104" s="84" t="str">
        <f>CONCATENATE("a'(",Q103,")=")</f>
        <v>a'(  )=</v>
      </c>
      <c r="X104" s="84" t="e">
        <f>2*X102/12*T105</f>
        <v>#VALUE!</v>
      </c>
      <c r="Y104" s="84" t="e">
        <f>CONCATENATE("A(",Q102,")=")</f>
        <v>#VALUE!</v>
      </c>
      <c r="Z104" s="84" t="e">
        <f>VLOOKUP(Q102,STN_TABLE,3,FALSE)</f>
        <v>#VALUE!</v>
      </c>
      <c r="AA104" t="str">
        <f>CONCATENATE("A(",Q103,")=")</f>
        <v>A(  )=</v>
      </c>
      <c r="AB104" t="e">
        <f>X104+Z104</f>
        <v>#VALUE!</v>
      </c>
      <c r="AC104" s="99">
        <f>AC103+1</f>
        <v>16</v>
      </c>
      <c r="AD104" s="100" t="str">
        <f>VLOOKUP(AC104,STN_TABLE_2,2,FALSE)</f>
        <v xml:space="preserve">  </v>
      </c>
      <c r="AE104" s="82" t="str">
        <f>VLOOKUP(AD104,STN_TABLE,2,FALSE)</f>
        <v xml:space="preserve">  </v>
      </c>
      <c r="AF104" s="82">
        <v>2</v>
      </c>
      <c r="AG104" s="83" t="e">
        <f>AE104*AF104</f>
        <v>#VALUE!</v>
      </c>
      <c r="AH104" s="84" t="str">
        <f>CONCATENATE("a'(",AD104,")=")</f>
        <v>a'(  )=</v>
      </c>
      <c r="AI104" s="84" t="e">
        <f>2*AI102/2*AE105</f>
        <v>#VALUE!</v>
      </c>
      <c r="AJ104" s="84" t="str">
        <f>CONCATENATE("A(",AD103,")=")</f>
        <v>A(  )=</v>
      </c>
      <c r="AK104" s="84" t="str">
        <f>VLOOKUP(AD103,STN_TABLE,3,FALSE)</f>
        <v xml:space="preserve"> </v>
      </c>
      <c r="AL104" t="str">
        <f>CONCATENATE("A(",AD104,")=")</f>
        <v>A(  )=</v>
      </c>
      <c r="AM104" t="e">
        <f>AI104+AK104</f>
        <v>#VALUE!</v>
      </c>
      <c r="AO104" s="68" t="str">
        <f>AA104</f>
        <v>A(  )=</v>
      </c>
      <c r="AP104" s="68" t="e">
        <f>VLOOKUP(AO104,Rise_Results,2,FALSE)</f>
        <v>#N/A</v>
      </c>
      <c r="AQ104" s="76" t="e">
        <f>N104</f>
        <v>#VALUE!</v>
      </c>
      <c r="AR104" s="76" t="e">
        <f>IF(OR(AB104&lt;=0,AB105&lt;=0),1/0,AB104)</f>
        <v>#VALUE!</v>
      </c>
      <c r="AS104" s="76" t="e">
        <f>AM104</f>
        <v>#VALUE!</v>
      </c>
      <c r="AT104" t="e">
        <f>IFERROR(AP104,IFERROR(AQ104,IFERROR(AR104,AS104)))</f>
        <v>#VALUE!</v>
      </c>
      <c r="AU104" s="81"/>
    </row>
    <row r="105" spans="1:47" x14ac:dyDescent="0.25">
      <c r="A105" s="84">
        <f>A104+1</f>
        <v>16</v>
      </c>
      <c r="B105" s="84" t="str">
        <f t="shared" si="27"/>
        <v xml:space="preserve">  </v>
      </c>
      <c r="F105" s="82" t="e">
        <f>SUM(F102:F104)</f>
        <v>#VALUE!</v>
      </c>
      <c r="H105" s="82" t="e">
        <f>SUM(H102:H104)</f>
        <v>#VALUE!</v>
      </c>
      <c r="I105" s="84" t="str">
        <f>CONCATENATE("m'(",C104,")=")</f>
        <v>m'(  )=</v>
      </c>
      <c r="J105" s="84" t="e">
        <f>2*(J102*(WLS))/3*H105</f>
        <v>#VALUE!</v>
      </c>
      <c r="K105" s="84" t="e">
        <f>CONCATENATE("M(",C102,")=")</f>
        <v>#VALUE!</v>
      </c>
      <c r="L105" s="84" t="e">
        <f>VLOOKUP(C102,STN_TABLE,4,FALSE)</f>
        <v>#VALUE!</v>
      </c>
      <c r="M105" t="str">
        <f>CONCATENATE("M(",C104,")=")</f>
        <v>M(  )=</v>
      </c>
      <c r="N105" t="e">
        <f>J105+L105</f>
        <v>#VALUE!</v>
      </c>
      <c r="O105" s="99">
        <f>O104+1</f>
        <v>18</v>
      </c>
      <c r="P105" s="99" t="str">
        <f t="shared" si="44"/>
        <v xml:space="preserve">  </v>
      </c>
      <c r="T105" s="89" t="e">
        <f>SUM(T102:T104)</f>
        <v>#VALUE!</v>
      </c>
      <c r="V105" s="82" t="e">
        <f>SUM(V102:V104)</f>
        <v>#VALUE!</v>
      </c>
      <c r="W105" s="84" t="str">
        <f>CONCATENATE("m'(",Q103,")=")</f>
        <v>m'(  )=</v>
      </c>
      <c r="X105" s="84" t="e">
        <f>(2*(X102^2)/24*V105)+(X104*Q102*WLS)</f>
        <v>#VALUE!</v>
      </c>
      <c r="Y105" s="84" t="e">
        <f>CONCATENATE("M(",Q102,")=")</f>
        <v>#VALUE!</v>
      </c>
      <c r="Z105" s="84" t="e">
        <f>VLOOKUP(Q102,STN_TABLE,4,FALSE)</f>
        <v>#VALUE!</v>
      </c>
      <c r="AA105" t="str">
        <f>CONCATENATE("M(",Q103,")=")</f>
        <v>M(  )=</v>
      </c>
      <c r="AB105" t="e">
        <f>X105+Z105</f>
        <v>#VALUE!</v>
      </c>
      <c r="AE105" s="89">
        <f>SUM(AE103:AE104)</f>
        <v>0</v>
      </c>
      <c r="AG105" s="89" t="e">
        <f>SUM(AG103:AG104)</f>
        <v>#VALUE!</v>
      </c>
      <c r="AH105" s="84" t="str">
        <f>CONCATENATE("m'(",AD104,")=")</f>
        <v>m'(  )=</v>
      </c>
      <c r="AI105" s="84" t="e">
        <f>(2*(AI102^2)/6*AG105)+(AI104*AD103*WLS)</f>
        <v>#VALUE!</v>
      </c>
      <c r="AJ105" s="84" t="str">
        <f>CONCATENATE("M(",AD103,")=")</f>
        <v>M(  )=</v>
      </c>
      <c r="AK105" s="84" t="str">
        <f>VLOOKUP(AD103,STN_TABLE,4,FALSE)</f>
        <v xml:space="preserve"> </v>
      </c>
      <c r="AL105" t="str">
        <f>CONCATENATE("M(",AD104,")=")</f>
        <v>M(  )=</v>
      </c>
      <c r="AM105" t="e">
        <f>AI105+AK105</f>
        <v>#VALUE!</v>
      </c>
      <c r="AO105" s="82" t="str">
        <f>AA105</f>
        <v>M(  )=</v>
      </c>
      <c r="AP105" s="82" t="e">
        <f>VLOOKUP(AO105,Rise_Results,2,FALSE)</f>
        <v>#N/A</v>
      </c>
      <c r="AQ105" s="82" t="e">
        <f>N105</f>
        <v>#VALUE!</v>
      </c>
      <c r="AR105" s="82" t="e">
        <f>IF(OR(AB104&lt;=0,AB105&lt;=0),1/0,AB105)</f>
        <v>#VALUE!</v>
      </c>
      <c r="AS105" s="82" t="e">
        <f>AM105</f>
        <v>#VALUE!</v>
      </c>
      <c r="AT105" t="e">
        <f>IFERROR(AP105,IFERROR(AQ105,IFERROR(AR105,AS105)))</f>
        <v>#VALUE!</v>
      </c>
      <c r="AU105" s="81"/>
    </row>
    <row r="106" spans="1:47" x14ac:dyDescent="0.25">
      <c r="A106" s="101">
        <f>A101+1</f>
        <v>13</v>
      </c>
      <c r="B106" s="101" t="str">
        <f t="shared" ref="B106:B137" si="48">VLOOKUP(A106,STN_TABLE_2,2,FALSE)</f>
        <v xml:space="preserve">  </v>
      </c>
      <c r="O106" s="101">
        <f>O101+1</f>
        <v>15</v>
      </c>
      <c r="P106" s="101" t="str">
        <f t="shared" si="44"/>
        <v xml:space="preserve">  </v>
      </c>
      <c r="AU106" s="81"/>
    </row>
    <row r="107" spans="1:47" x14ac:dyDescent="0.25">
      <c r="A107" s="84">
        <f>A106+1</f>
        <v>14</v>
      </c>
      <c r="B107" s="84" t="str">
        <f t="shared" si="48"/>
        <v xml:space="preserve">  </v>
      </c>
      <c r="C107" s="79" t="e">
        <f t="shared" ref="C107" si="49">IF(C108=B109,IF(C109-C108=C108-B108,B108,IF(C109-C108=C108-B107,B107,"#NA")),IF(C108=B108,IF(C109-C108=C108-B107,B107,IF(C109-C108=C108-B106,B106,"#NA")),"#NA"))</f>
        <v>#VALUE!</v>
      </c>
      <c r="D107" s="68" t="e">
        <f>VLOOKUP(C107,STN_TABLE,2,FALSE)</f>
        <v>#VALUE!</v>
      </c>
      <c r="E107" s="102">
        <v>1</v>
      </c>
      <c r="F107" s="68" t="e">
        <f>D107*E107</f>
        <v>#VALUE!</v>
      </c>
      <c r="G107" s="69" t="e">
        <f>C107</f>
        <v>#VALUE!</v>
      </c>
      <c r="H107" s="69" t="e">
        <f>F107*G107</f>
        <v>#VALUE!</v>
      </c>
      <c r="I107" s="6" t="s">
        <v>93</v>
      </c>
      <c r="J107" s="70" t="e">
        <f>IF(OR(D107=0,D108=0,D109=0),"#NA",IF(AND(C109-C108=C108-C107,C108&lt;&gt;C109,C107&lt;&gt;C108,C107&lt;&gt;C109,D109&lt;&gt;0,OR(D107&lt;&gt;0,D108&lt;&gt;0)),WLS*(C109-C108),"#NA"))</f>
        <v>#VALUE!</v>
      </c>
      <c r="O107" s="99">
        <f>O106+1</f>
        <v>16</v>
      </c>
      <c r="P107" s="99" t="str">
        <f t="shared" si="44"/>
        <v xml:space="preserve">  </v>
      </c>
      <c r="Q107" s="68" t="e">
        <f>IF(OR(P109-P108=P108-P107,P110-P108=P108-P107),P107,IF(OR(P109-P108=P108-P106,P110-P108=P108-P106),P106,"-"))</f>
        <v>#VALUE!</v>
      </c>
      <c r="R107" s="69" t="e">
        <f>VLOOKUP(Q107,STN_TABLE,2,FALSE)</f>
        <v>#VALUE!</v>
      </c>
      <c r="S107" s="69">
        <v>5</v>
      </c>
      <c r="T107" s="68" t="e">
        <f>R107*S107</f>
        <v>#VALUE!</v>
      </c>
      <c r="U107" s="79">
        <v>3</v>
      </c>
      <c r="V107" s="68" t="e">
        <f>R107*U107</f>
        <v>#VALUE!</v>
      </c>
      <c r="W107" s="6" t="s">
        <v>93</v>
      </c>
      <c r="X107" s="70" t="e">
        <f>IF(AND(Q109-Q108=Q108-Q107,NOT(AND(Q107=0,Q108=0)),NOT(AND(Q108=0,Q109=0))),WLS*(Q109-Q108),"#NA")</f>
        <v>#VALUE!</v>
      </c>
      <c r="AD107" s="93"/>
      <c r="AH107" s="6" t="s">
        <v>93</v>
      </c>
      <c r="AI107" s="70" t="e">
        <f>WLS*(AD109-AD108)</f>
        <v>#VALUE!</v>
      </c>
      <c r="AU107" s="81"/>
    </row>
    <row r="108" spans="1:47" x14ac:dyDescent="0.25">
      <c r="A108" s="84">
        <f>A107+1</f>
        <v>15</v>
      </c>
      <c r="B108" s="84" t="str">
        <f t="shared" si="48"/>
        <v xml:space="preserve">  </v>
      </c>
      <c r="C108" s="80" t="e">
        <f t="shared" ref="C108" si="50">IF(OR(B110-B109=B109-B108,B110-B109=B109-B107,B110-B109=B109-B106),B109,IF(OR(B110-B108=B108-B107,B110-B108=B108-B106),B108,IF(B110-B107=B107-B106,B107,"#NA")))</f>
        <v>#VALUE!</v>
      </c>
      <c r="D108" s="76" t="e">
        <f>VLOOKUP(C108,STN_TABLE,2,FALSE)</f>
        <v>#VALUE!</v>
      </c>
      <c r="E108" s="81">
        <v>4</v>
      </c>
      <c r="F108" s="76" t="e">
        <f>D108*E108</f>
        <v>#VALUE!</v>
      </c>
      <c r="G108" s="77" t="e">
        <f>C108</f>
        <v>#VALUE!</v>
      </c>
      <c r="H108" s="77" t="e">
        <f>F108*G108</f>
        <v>#VALUE!</v>
      </c>
      <c r="I108" s="495" t="s">
        <v>97</v>
      </c>
      <c r="J108" s="496"/>
      <c r="K108" s="78" t="s">
        <v>98</v>
      </c>
      <c r="L108" s="78"/>
      <c r="M108" s="7" t="s">
        <v>99</v>
      </c>
      <c r="N108" s="7"/>
      <c r="O108" s="99">
        <f>O107+1</f>
        <v>17</v>
      </c>
      <c r="P108" s="99" t="str">
        <f t="shared" si="44"/>
        <v xml:space="preserve">  </v>
      </c>
      <c r="Q108" s="76" t="str">
        <f>P108</f>
        <v xml:space="preserve">  </v>
      </c>
      <c r="R108" s="77" t="str">
        <f>VLOOKUP(Q108,STN_TABLE,2,FALSE)</f>
        <v xml:space="preserve">  </v>
      </c>
      <c r="S108" s="77">
        <v>8</v>
      </c>
      <c r="T108" s="76" t="e">
        <f>R108*S108</f>
        <v>#VALUE!</v>
      </c>
      <c r="U108" s="80">
        <v>10</v>
      </c>
      <c r="V108" s="76" t="e">
        <f>R108*U108</f>
        <v>#VALUE!</v>
      </c>
      <c r="W108" s="496" t="s">
        <v>97</v>
      </c>
      <c r="X108" s="496"/>
      <c r="Y108" s="496" t="s">
        <v>98</v>
      </c>
      <c r="Z108" s="496"/>
      <c r="AA108" s="494" t="s">
        <v>99</v>
      </c>
      <c r="AB108" s="494"/>
      <c r="AC108" s="99">
        <f>AC103+1</f>
        <v>16</v>
      </c>
      <c r="AD108" s="95" t="str">
        <f>VLOOKUP(AC108,STN_TABLE_2,2,FALSE)</f>
        <v xml:space="preserve">  </v>
      </c>
      <c r="AE108" s="68" t="str">
        <f>VLOOKUP(AD108,STN_TABLE,2,FALSE)</f>
        <v xml:space="preserve">  </v>
      </c>
      <c r="AF108" s="68">
        <v>1</v>
      </c>
      <c r="AG108" s="69" t="e">
        <f>AE108*AF108</f>
        <v>#VALUE!</v>
      </c>
      <c r="AH108" s="496" t="s">
        <v>97</v>
      </c>
      <c r="AI108" s="496"/>
      <c r="AJ108" s="496" t="s">
        <v>98</v>
      </c>
      <c r="AK108" s="496"/>
      <c r="AL108" s="494" t="s">
        <v>99</v>
      </c>
      <c r="AM108" s="494"/>
      <c r="AP108" s="86" t="s">
        <v>112</v>
      </c>
      <c r="AQ108" s="89" t="s">
        <v>113</v>
      </c>
      <c r="AR108" s="89" t="s">
        <v>114</v>
      </c>
      <c r="AS108" s="89" t="s">
        <v>115</v>
      </c>
      <c r="AU108" s="81"/>
    </row>
    <row r="109" spans="1:47" x14ac:dyDescent="0.25">
      <c r="A109" s="84">
        <f>A108+1</f>
        <v>16</v>
      </c>
      <c r="B109" s="84" t="str">
        <f t="shared" si="48"/>
        <v xml:space="preserve">  </v>
      </c>
      <c r="C109" s="88" t="str">
        <f t="shared" ref="C109" si="51">B110</f>
        <v xml:space="preserve">  </v>
      </c>
      <c r="D109" s="82" t="str">
        <f>VLOOKUP(C109,STN_TABLE,2,FALSE)</f>
        <v xml:space="preserve">  </v>
      </c>
      <c r="E109" s="92">
        <v>1</v>
      </c>
      <c r="F109" s="82" t="e">
        <f>D109*E109</f>
        <v>#VALUE!</v>
      </c>
      <c r="G109" s="83" t="str">
        <f>C109</f>
        <v xml:space="preserve">  </v>
      </c>
      <c r="H109" s="83" t="e">
        <f>F109*G109</f>
        <v>#VALUE!</v>
      </c>
      <c r="I109" s="84" t="str">
        <f>CONCATENATE("a'(",C109,")=")</f>
        <v>a'(  )=</v>
      </c>
      <c r="J109" s="84" t="e">
        <f>2*J107/3*F110</f>
        <v>#VALUE!</v>
      </c>
      <c r="K109" s="84" t="e">
        <f>CONCATENATE("A(",C107,")=")</f>
        <v>#VALUE!</v>
      </c>
      <c r="L109" s="84" t="e">
        <f>VLOOKUP(C107,STN_TABLE,3,FALSE)</f>
        <v>#VALUE!</v>
      </c>
      <c r="M109" t="str">
        <f>CONCATENATE("A(",C109,")=")</f>
        <v>A(  )=</v>
      </c>
      <c r="N109" t="e">
        <f>J109+L109</f>
        <v>#VALUE!</v>
      </c>
      <c r="O109" s="99">
        <f>O108+1</f>
        <v>18</v>
      </c>
      <c r="P109" s="99" t="str">
        <f t="shared" si="44"/>
        <v xml:space="preserve">  </v>
      </c>
      <c r="Q109" s="82" t="e">
        <f>IF(P109-P108=P108-P107,P109,IF(P110-P108=P108-P107,P110,IF(P109-P108=P108-P106,P109,IF(P110-P108=P108-P106,P110,"-"))))</f>
        <v>#VALUE!</v>
      </c>
      <c r="R109" s="83" t="e">
        <f>VLOOKUP(Q109,STN_TABLE,2,FALSE)</f>
        <v>#VALUE!</v>
      </c>
      <c r="S109" s="83">
        <v>-1</v>
      </c>
      <c r="T109" s="82" t="e">
        <f>R109*S109</f>
        <v>#VALUE!</v>
      </c>
      <c r="U109" s="88">
        <v>-1</v>
      </c>
      <c r="V109" s="82" t="e">
        <f>R109*U109</f>
        <v>#VALUE!</v>
      </c>
      <c r="W109" s="84" t="str">
        <f>CONCATENATE("a'(",Q108,")=")</f>
        <v>a'(  )=</v>
      </c>
      <c r="X109" s="84" t="e">
        <f>2*X107/12*T110</f>
        <v>#VALUE!</v>
      </c>
      <c r="Y109" s="84" t="e">
        <f>CONCATENATE("A(",Q107,")=")</f>
        <v>#VALUE!</v>
      </c>
      <c r="Z109" s="84" t="e">
        <f>VLOOKUP(Q107,STN_TABLE,3,FALSE)</f>
        <v>#VALUE!</v>
      </c>
      <c r="AA109" t="str">
        <f>CONCATENATE("A(",Q108,")=")</f>
        <v>A(  )=</v>
      </c>
      <c r="AB109" t="e">
        <f>X109+Z109</f>
        <v>#VALUE!</v>
      </c>
      <c r="AC109" s="99">
        <f>AC108+1</f>
        <v>17</v>
      </c>
      <c r="AD109" s="100" t="str">
        <f>VLOOKUP(AC109,STN_TABLE_2,2,FALSE)</f>
        <v xml:space="preserve">  </v>
      </c>
      <c r="AE109" s="82" t="str">
        <f>VLOOKUP(AD109,STN_TABLE,2,FALSE)</f>
        <v xml:space="preserve">  </v>
      </c>
      <c r="AF109" s="82">
        <v>2</v>
      </c>
      <c r="AG109" s="83" t="e">
        <f>AE109*AF109</f>
        <v>#VALUE!</v>
      </c>
      <c r="AH109" s="84" t="str">
        <f>CONCATENATE("a'(",AD109,")=")</f>
        <v>a'(  )=</v>
      </c>
      <c r="AI109" s="84" t="e">
        <f>2*AI107/2*AE110</f>
        <v>#VALUE!</v>
      </c>
      <c r="AJ109" s="84" t="str">
        <f>CONCATENATE("A(",AD108,")=")</f>
        <v>A(  )=</v>
      </c>
      <c r="AK109" s="84" t="str">
        <f>VLOOKUP(AD108,STN_TABLE,3,FALSE)</f>
        <v xml:space="preserve"> </v>
      </c>
      <c r="AL109" t="str">
        <f>CONCATENATE("A(",AD109,")=")</f>
        <v>A(  )=</v>
      </c>
      <c r="AM109" t="e">
        <f>AI109+AK109</f>
        <v>#VALUE!</v>
      </c>
      <c r="AO109" s="68" t="str">
        <f>AA109</f>
        <v>A(  )=</v>
      </c>
      <c r="AP109" s="68" t="e">
        <f>VLOOKUP(AO109,Rise_Results,2,FALSE)</f>
        <v>#N/A</v>
      </c>
      <c r="AQ109" s="76" t="e">
        <f>N109</f>
        <v>#VALUE!</v>
      </c>
      <c r="AR109" s="76" t="e">
        <f>IF(OR(AB109&lt;=0,AB110&lt;=0),1/0,AB109)</f>
        <v>#VALUE!</v>
      </c>
      <c r="AS109" s="76" t="e">
        <f>AM109</f>
        <v>#VALUE!</v>
      </c>
      <c r="AT109" t="e">
        <f>IFERROR(AP109,IFERROR(AQ109,IFERROR(AR109,AS109)))</f>
        <v>#VALUE!</v>
      </c>
      <c r="AU109" s="81"/>
    </row>
    <row r="110" spans="1:47" x14ac:dyDescent="0.25">
      <c r="A110" s="84">
        <f>A109+1</f>
        <v>17</v>
      </c>
      <c r="B110" s="84" t="str">
        <f t="shared" si="48"/>
        <v xml:space="preserve">  </v>
      </c>
      <c r="F110" s="82" t="e">
        <f>SUM(F107:F109)</f>
        <v>#VALUE!</v>
      </c>
      <c r="H110" s="82" t="e">
        <f>SUM(H107:H109)</f>
        <v>#VALUE!</v>
      </c>
      <c r="I110" s="84" t="str">
        <f>CONCATENATE("m'(",C109,")=")</f>
        <v>m'(  )=</v>
      </c>
      <c r="J110" s="84" t="e">
        <f>2*(J107*(WLS))/3*H110</f>
        <v>#VALUE!</v>
      </c>
      <c r="K110" s="84" t="e">
        <f>CONCATENATE("M(",C107,")=")</f>
        <v>#VALUE!</v>
      </c>
      <c r="L110" s="84" t="e">
        <f>VLOOKUP(C107,STN_TABLE,4,FALSE)</f>
        <v>#VALUE!</v>
      </c>
      <c r="M110" t="str">
        <f>CONCATENATE("M(",C109,")=")</f>
        <v>M(  )=</v>
      </c>
      <c r="N110" t="e">
        <f>J110+L110</f>
        <v>#VALUE!</v>
      </c>
      <c r="O110" s="99">
        <f>O109+1</f>
        <v>19</v>
      </c>
      <c r="P110" s="99" t="str">
        <f t="shared" si="44"/>
        <v xml:space="preserve">  </v>
      </c>
      <c r="T110" s="89" t="e">
        <f>SUM(T107:T109)</f>
        <v>#VALUE!</v>
      </c>
      <c r="V110" s="82" t="e">
        <f>SUM(V107:V109)</f>
        <v>#VALUE!</v>
      </c>
      <c r="W110" s="84" t="str">
        <f>CONCATENATE("m'(",Q108,")=")</f>
        <v>m'(  )=</v>
      </c>
      <c r="X110" s="84" t="e">
        <f>(2*(X107^2)/24*V110)+(X109*Q107*WLS)</f>
        <v>#VALUE!</v>
      </c>
      <c r="Y110" s="84" t="e">
        <f>CONCATENATE("M(",Q107,")=")</f>
        <v>#VALUE!</v>
      </c>
      <c r="Z110" s="84" t="e">
        <f>VLOOKUP(Q107,STN_TABLE,4,FALSE)</f>
        <v>#VALUE!</v>
      </c>
      <c r="AA110" t="str">
        <f>CONCATENATE("M(",Q108,")=")</f>
        <v>M(  )=</v>
      </c>
      <c r="AB110" t="e">
        <f>X110+Z110</f>
        <v>#VALUE!</v>
      </c>
      <c r="AE110" s="89">
        <f>SUM(AE108:AE109)</f>
        <v>0</v>
      </c>
      <c r="AG110" s="89" t="e">
        <f>SUM(AG108:AG109)</f>
        <v>#VALUE!</v>
      </c>
      <c r="AH110" s="84" t="str">
        <f>CONCATENATE("m'(",AD109,")=")</f>
        <v>m'(  )=</v>
      </c>
      <c r="AI110" s="84" t="e">
        <f>(2*(AI107^2)/6*AG110)+(AI109*AD108*WLS)</f>
        <v>#VALUE!</v>
      </c>
      <c r="AJ110" s="84" t="str">
        <f>CONCATENATE("M(",AD108,")=")</f>
        <v>M(  )=</v>
      </c>
      <c r="AK110" s="84" t="str">
        <f>VLOOKUP(AD108,STN_TABLE,4,FALSE)</f>
        <v xml:space="preserve"> </v>
      </c>
      <c r="AL110" t="str">
        <f>CONCATENATE("M(",AD109,")=")</f>
        <v>M(  )=</v>
      </c>
      <c r="AM110" t="e">
        <f>AI110+AK110</f>
        <v>#VALUE!</v>
      </c>
      <c r="AO110" s="82" t="str">
        <f>AA110</f>
        <v>M(  )=</v>
      </c>
      <c r="AP110" s="82" t="e">
        <f>VLOOKUP(AO110,Rise_Results,2,FALSE)</f>
        <v>#N/A</v>
      </c>
      <c r="AQ110" s="82" t="e">
        <f>N110</f>
        <v>#VALUE!</v>
      </c>
      <c r="AR110" s="82" t="e">
        <f>IF(OR(AB109&lt;=0,AB110&lt;=0),1/0,AB110)</f>
        <v>#VALUE!</v>
      </c>
      <c r="AS110" s="82" t="e">
        <f>AM110</f>
        <v>#VALUE!</v>
      </c>
      <c r="AT110" t="e">
        <f>IFERROR(AP110,IFERROR(AQ110,IFERROR(AR110,AS110)))</f>
        <v>#VALUE!</v>
      </c>
      <c r="AU110" s="81"/>
    </row>
    <row r="111" spans="1:47" x14ac:dyDescent="0.25">
      <c r="A111" s="101">
        <f>A106+1</f>
        <v>14</v>
      </c>
      <c r="B111" s="101" t="str">
        <f t="shared" si="48"/>
        <v xml:space="preserve">  </v>
      </c>
      <c r="O111" s="101">
        <f>O106+1</f>
        <v>16</v>
      </c>
      <c r="P111" s="101" t="str">
        <f t="shared" si="44"/>
        <v xml:space="preserve">  </v>
      </c>
      <c r="AU111" s="81"/>
    </row>
    <row r="112" spans="1:47" x14ac:dyDescent="0.25">
      <c r="A112" s="84">
        <f>A111+1</f>
        <v>15</v>
      </c>
      <c r="B112" s="84" t="str">
        <f t="shared" si="48"/>
        <v xml:space="preserve">  </v>
      </c>
      <c r="C112" s="79" t="e">
        <f t="shared" ref="C112" si="52">IF(C113=B114,IF(C114-C113=C113-B113,B113,IF(C114-C113=C113-B112,B112,"#NA")),IF(C113=B113,IF(C114-C113=C113-B112,B112,IF(C114-C113=C113-B111,B111,"#NA")),"#NA"))</f>
        <v>#VALUE!</v>
      </c>
      <c r="D112" s="68" t="e">
        <f>VLOOKUP(C112,STN_TABLE,2,FALSE)</f>
        <v>#VALUE!</v>
      </c>
      <c r="E112" s="102">
        <v>1</v>
      </c>
      <c r="F112" s="68" t="e">
        <f>D112*E112</f>
        <v>#VALUE!</v>
      </c>
      <c r="G112" s="69" t="e">
        <f>C112</f>
        <v>#VALUE!</v>
      </c>
      <c r="H112" s="69" t="e">
        <f>F112*G112</f>
        <v>#VALUE!</v>
      </c>
      <c r="I112" s="6" t="s">
        <v>93</v>
      </c>
      <c r="J112" s="70" t="e">
        <f>IF(OR(D112=0,D113=0,D114=0),"#NA",IF(AND(C114-C113=C113-C112,C113&lt;&gt;C114,C112&lt;&gt;C113,C112&lt;&gt;C114,D114&lt;&gt;0,OR(D112&lt;&gt;0,D113&lt;&gt;0)),WLS*(C114-C113),"#NA"))</f>
        <v>#VALUE!</v>
      </c>
      <c r="O112" s="99">
        <f>O111+1</f>
        <v>17</v>
      </c>
      <c r="P112" s="99" t="str">
        <f t="shared" si="44"/>
        <v xml:space="preserve">  </v>
      </c>
      <c r="Q112" s="68" t="e">
        <f>IF(OR(P114-P113=P113-P112,P115-P113=P113-P112),P112,IF(OR(P114-P113=P113-P111,P115-P113=P113-P111),P111,"-"))</f>
        <v>#VALUE!</v>
      </c>
      <c r="R112" s="69" t="e">
        <f>VLOOKUP(Q112,STN_TABLE,2,FALSE)</f>
        <v>#VALUE!</v>
      </c>
      <c r="S112" s="69">
        <v>5</v>
      </c>
      <c r="T112" s="68" t="e">
        <f>R112*S112</f>
        <v>#VALUE!</v>
      </c>
      <c r="U112" s="79">
        <v>3</v>
      </c>
      <c r="V112" s="68" t="e">
        <f>R112*U112</f>
        <v>#VALUE!</v>
      </c>
      <c r="W112" s="6" t="s">
        <v>93</v>
      </c>
      <c r="X112" s="70" t="e">
        <f>IF(AND(Q114-Q113=Q113-Q112,NOT(AND(Q112=0,Q113=0)),NOT(AND(Q113=0,Q114=0))),WLS*(Q114-Q113),"#NA")</f>
        <v>#VALUE!</v>
      </c>
      <c r="AD112" s="93"/>
      <c r="AH112" s="6" t="s">
        <v>93</v>
      </c>
      <c r="AI112" s="70" t="e">
        <f>WLS*(AD114-AD113)</f>
        <v>#VALUE!</v>
      </c>
      <c r="AU112" s="81"/>
    </row>
    <row r="113" spans="1:47" x14ac:dyDescent="0.25">
      <c r="A113" s="84">
        <f>A112+1</f>
        <v>16</v>
      </c>
      <c r="B113" s="84" t="str">
        <f t="shared" si="48"/>
        <v xml:space="preserve">  </v>
      </c>
      <c r="C113" s="80" t="e">
        <f t="shared" ref="C113" si="53">IF(OR(B115-B114=B114-B113,B115-B114=B114-B112,B115-B114=B114-B111),B114,IF(OR(B115-B113=B113-B112,B115-B113=B113-B111),B113,IF(B115-B112=B112-B111,B112,"#NA")))</f>
        <v>#VALUE!</v>
      </c>
      <c r="D113" s="76" t="e">
        <f>VLOOKUP(C113,STN_TABLE,2,FALSE)</f>
        <v>#VALUE!</v>
      </c>
      <c r="E113" s="81">
        <v>4</v>
      </c>
      <c r="F113" s="76" t="e">
        <f>D113*E113</f>
        <v>#VALUE!</v>
      </c>
      <c r="G113" s="77" t="e">
        <f>C113</f>
        <v>#VALUE!</v>
      </c>
      <c r="H113" s="77" t="e">
        <f>F113*G113</f>
        <v>#VALUE!</v>
      </c>
      <c r="I113" s="495" t="s">
        <v>97</v>
      </c>
      <c r="J113" s="496"/>
      <c r="K113" s="78" t="s">
        <v>98</v>
      </c>
      <c r="L113" s="78"/>
      <c r="M113" s="7" t="s">
        <v>99</v>
      </c>
      <c r="N113" s="7"/>
      <c r="O113" s="99">
        <f>O112+1</f>
        <v>18</v>
      </c>
      <c r="P113" s="99" t="str">
        <f t="shared" si="44"/>
        <v xml:space="preserve">  </v>
      </c>
      <c r="Q113" s="76" t="str">
        <f>P113</f>
        <v xml:space="preserve">  </v>
      </c>
      <c r="R113" s="77" t="str">
        <f>VLOOKUP(Q113,STN_TABLE,2,FALSE)</f>
        <v xml:space="preserve">  </v>
      </c>
      <c r="S113" s="77">
        <v>8</v>
      </c>
      <c r="T113" s="76" t="e">
        <f>R113*S113</f>
        <v>#VALUE!</v>
      </c>
      <c r="U113" s="80">
        <v>10</v>
      </c>
      <c r="V113" s="76" t="e">
        <f>R113*U113</f>
        <v>#VALUE!</v>
      </c>
      <c r="W113" s="496" t="s">
        <v>97</v>
      </c>
      <c r="X113" s="496"/>
      <c r="Y113" s="496" t="s">
        <v>98</v>
      </c>
      <c r="Z113" s="496"/>
      <c r="AA113" s="494" t="s">
        <v>99</v>
      </c>
      <c r="AB113" s="494"/>
      <c r="AC113" s="99">
        <f>AC108+1</f>
        <v>17</v>
      </c>
      <c r="AD113" s="95" t="str">
        <f>VLOOKUP(AC113,STN_TABLE_2,2,FALSE)</f>
        <v xml:space="preserve">  </v>
      </c>
      <c r="AE113" s="68" t="str">
        <f>VLOOKUP(AD113,STN_TABLE,2,FALSE)</f>
        <v xml:space="preserve">  </v>
      </c>
      <c r="AF113" s="68">
        <v>1</v>
      </c>
      <c r="AG113" s="69" t="e">
        <f>AE113*AF113</f>
        <v>#VALUE!</v>
      </c>
      <c r="AH113" s="496" t="s">
        <v>97</v>
      </c>
      <c r="AI113" s="496"/>
      <c r="AJ113" s="496" t="s">
        <v>98</v>
      </c>
      <c r="AK113" s="496"/>
      <c r="AL113" s="494" t="s">
        <v>99</v>
      </c>
      <c r="AM113" s="494"/>
      <c r="AP113" s="86" t="s">
        <v>112</v>
      </c>
      <c r="AQ113" s="89" t="s">
        <v>113</v>
      </c>
      <c r="AR113" s="89" t="s">
        <v>114</v>
      </c>
      <c r="AS113" s="89" t="s">
        <v>115</v>
      </c>
      <c r="AU113" s="81"/>
    </row>
    <row r="114" spans="1:47" x14ac:dyDescent="0.25">
      <c r="A114" s="84">
        <f>A113+1</f>
        <v>17</v>
      </c>
      <c r="B114" s="84" t="str">
        <f t="shared" si="48"/>
        <v xml:space="preserve">  </v>
      </c>
      <c r="C114" s="88" t="str">
        <f t="shared" ref="C114" si="54">B115</f>
        <v xml:space="preserve">  </v>
      </c>
      <c r="D114" s="82" t="str">
        <f>VLOOKUP(C114,STN_TABLE,2,FALSE)</f>
        <v xml:space="preserve">  </v>
      </c>
      <c r="E114" s="92">
        <v>1</v>
      </c>
      <c r="F114" s="82" t="e">
        <f>D114*E114</f>
        <v>#VALUE!</v>
      </c>
      <c r="G114" s="83" t="str">
        <f>C114</f>
        <v xml:space="preserve">  </v>
      </c>
      <c r="H114" s="83" t="e">
        <f>F114*G114</f>
        <v>#VALUE!</v>
      </c>
      <c r="I114" s="84" t="str">
        <f>CONCATENATE("a'(",C114,")=")</f>
        <v>a'(  )=</v>
      </c>
      <c r="J114" s="84" t="e">
        <f>2*J112/3*F115</f>
        <v>#VALUE!</v>
      </c>
      <c r="K114" s="84" t="e">
        <f>CONCATENATE("A(",C112,")=")</f>
        <v>#VALUE!</v>
      </c>
      <c r="L114" s="84" t="e">
        <f>VLOOKUP(C112,STN_TABLE,3,FALSE)</f>
        <v>#VALUE!</v>
      </c>
      <c r="M114" t="str">
        <f>CONCATENATE("A(",C114,")=")</f>
        <v>A(  )=</v>
      </c>
      <c r="N114" t="e">
        <f>J114+L114</f>
        <v>#VALUE!</v>
      </c>
      <c r="O114" s="99">
        <f>O113+1</f>
        <v>19</v>
      </c>
      <c r="P114" s="99" t="str">
        <f t="shared" si="44"/>
        <v xml:space="preserve">  </v>
      </c>
      <c r="Q114" s="82" t="e">
        <f>IF(P114-P113=P113-P112,P114,IF(P115-P113=P113-P112,P115,IF(P114-P113=P113-P111,P114,IF(P115-P113=P113-P111,P115,"-"))))</f>
        <v>#VALUE!</v>
      </c>
      <c r="R114" s="83" t="e">
        <f>VLOOKUP(Q114,STN_TABLE,2,FALSE)</f>
        <v>#VALUE!</v>
      </c>
      <c r="S114" s="83">
        <v>-1</v>
      </c>
      <c r="T114" s="82" t="e">
        <f>R114*S114</f>
        <v>#VALUE!</v>
      </c>
      <c r="U114" s="88">
        <v>-1</v>
      </c>
      <c r="V114" s="82" t="e">
        <f>R114*U114</f>
        <v>#VALUE!</v>
      </c>
      <c r="W114" s="84" t="str">
        <f>CONCATENATE("a'(",Q113,")=")</f>
        <v>a'(  )=</v>
      </c>
      <c r="X114" s="84" t="e">
        <f>2*X112/12*T115</f>
        <v>#VALUE!</v>
      </c>
      <c r="Y114" s="84" t="e">
        <f>CONCATENATE("A(",Q112,")=")</f>
        <v>#VALUE!</v>
      </c>
      <c r="Z114" s="84" t="e">
        <f>VLOOKUP(Q112,STN_TABLE,3,FALSE)</f>
        <v>#VALUE!</v>
      </c>
      <c r="AA114" t="str">
        <f>CONCATENATE("A(",Q113,")=")</f>
        <v>A(  )=</v>
      </c>
      <c r="AB114" t="e">
        <f>X114+Z114</f>
        <v>#VALUE!</v>
      </c>
      <c r="AC114" s="99">
        <f>AC113+1</f>
        <v>18</v>
      </c>
      <c r="AD114" s="100" t="str">
        <f>VLOOKUP(AC114,STN_TABLE_2,2,FALSE)</f>
        <v xml:space="preserve">  </v>
      </c>
      <c r="AE114" s="82" t="str">
        <f>VLOOKUP(AD114,STN_TABLE,2,FALSE)</f>
        <v xml:space="preserve">  </v>
      </c>
      <c r="AF114" s="82">
        <v>2</v>
      </c>
      <c r="AG114" s="83" t="e">
        <f>AE114*AF114</f>
        <v>#VALUE!</v>
      </c>
      <c r="AH114" s="84" t="str">
        <f>CONCATENATE("a'(",AD114,")=")</f>
        <v>a'(  )=</v>
      </c>
      <c r="AI114" s="84" t="e">
        <f>2*AI112/2*AE115</f>
        <v>#VALUE!</v>
      </c>
      <c r="AJ114" s="84" t="str">
        <f>CONCATENATE("A(",AD113,")=")</f>
        <v>A(  )=</v>
      </c>
      <c r="AK114" s="84" t="str">
        <f>VLOOKUP(AD113,STN_TABLE,3,FALSE)</f>
        <v xml:space="preserve"> </v>
      </c>
      <c r="AL114" t="str">
        <f>CONCATENATE("A(",AD114,")=")</f>
        <v>A(  )=</v>
      </c>
      <c r="AM114" t="e">
        <f>AI114+AK114</f>
        <v>#VALUE!</v>
      </c>
      <c r="AO114" s="68" t="str">
        <f>AA114</f>
        <v>A(  )=</v>
      </c>
      <c r="AP114" s="68" t="e">
        <f>VLOOKUP(AO114,Rise_Results,2,FALSE)</f>
        <v>#N/A</v>
      </c>
      <c r="AQ114" s="76" t="e">
        <f>N114</f>
        <v>#VALUE!</v>
      </c>
      <c r="AR114" s="76" t="e">
        <f>IF(OR(AB114&lt;=0,AB115&lt;=0),1/0,AB114)</f>
        <v>#VALUE!</v>
      </c>
      <c r="AS114" s="76" t="e">
        <f>AM114</f>
        <v>#VALUE!</v>
      </c>
      <c r="AT114" t="e">
        <f>IFERROR(AP114,IFERROR(AQ114,IFERROR(AR114,AS114)))</f>
        <v>#VALUE!</v>
      </c>
      <c r="AU114" s="81"/>
    </row>
    <row r="115" spans="1:47" x14ac:dyDescent="0.25">
      <c r="A115" s="84">
        <f>A114+1</f>
        <v>18</v>
      </c>
      <c r="B115" s="84" t="str">
        <f t="shared" si="48"/>
        <v xml:space="preserve">  </v>
      </c>
      <c r="F115" s="82" t="e">
        <f>SUM(F112:F114)</f>
        <v>#VALUE!</v>
      </c>
      <c r="H115" s="82" t="e">
        <f>SUM(H112:H114)</f>
        <v>#VALUE!</v>
      </c>
      <c r="I115" s="84" t="str">
        <f>CONCATENATE("m'(",C114,")=")</f>
        <v>m'(  )=</v>
      </c>
      <c r="J115" s="84" t="e">
        <f>2*(J112*(WLS))/3*H115</f>
        <v>#VALUE!</v>
      </c>
      <c r="K115" s="84" t="e">
        <f>CONCATENATE("M(",C112,")=")</f>
        <v>#VALUE!</v>
      </c>
      <c r="L115" s="84" t="e">
        <f>VLOOKUP(C112,STN_TABLE,4,FALSE)</f>
        <v>#VALUE!</v>
      </c>
      <c r="M115" t="str">
        <f>CONCATENATE("M(",C114,")=")</f>
        <v>M(  )=</v>
      </c>
      <c r="N115" t="e">
        <f>J115+L115</f>
        <v>#VALUE!</v>
      </c>
      <c r="O115" s="99">
        <f>O114+1</f>
        <v>20</v>
      </c>
      <c r="P115" s="99" t="str">
        <f t="shared" si="44"/>
        <v xml:space="preserve">  </v>
      </c>
      <c r="T115" s="89" t="e">
        <f>SUM(T112:T114)</f>
        <v>#VALUE!</v>
      </c>
      <c r="V115" s="82" t="e">
        <f>SUM(V112:V114)</f>
        <v>#VALUE!</v>
      </c>
      <c r="W115" s="84" t="str">
        <f>CONCATENATE("m'(",Q113,")=")</f>
        <v>m'(  )=</v>
      </c>
      <c r="X115" s="84" t="e">
        <f>(2*(X112^2)/24*V115)+(X114*Q112*WLS)</f>
        <v>#VALUE!</v>
      </c>
      <c r="Y115" s="84" t="e">
        <f>CONCATENATE("M(",Q112,")=")</f>
        <v>#VALUE!</v>
      </c>
      <c r="Z115" s="84" t="e">
        <f>VLOOKUP(Q112,STN_TABLE,4,FALSE)</f>
        <v>#VALUE!</v>
      </c>
      <c r="AA115" t="str">
        <f>CONCATENATE("M(",Q113,")=")</f>
        <v>M(  )=</v>
      </c>
      <c r="AB115" t="e">
        <f>X115+Z115</f>
        <v>#VALUE!</v>
      </c>
      <c r="AE115" s="89">
        <f>SUM(AE113:AE114)</f>
        <v>0</v>
      </c>
      <c r="AG115" s="89" t="e">
        <f>SUM(AG113:AG114)</f>
        <v>#VALUE!</v>
      </c>
      <c r="AH115" s="84" t="str">
        <f>CONCATENATE("m'(",AD114,")=")</f>
        <v>m'(  )=</v>
      </c>
      <c r="AI115" s="84" t="e">
        <f>(2*(AI112^2)/6*AG115)+(AI114*AD113*WLS)</f>
        <v>#VALUE!</v>
      </c>
      <c r="AJ115" s="84" t="str">
        <f>CONCATENATE("M(",AD113,")=")</f>
        <v>M(  )=</v>
      </c>
      <c r="AK115" s="84" t="str">
        <f>VLOOKUP(AD113,STN_TABLE,4,FALSE)</f>
        <v xml:space="preserve"> </v>
      </c>
      <c r="AL115" t="str">
        <f>CONCATENATE("M(",AD114,")=")</f>
        <v>M(  )=</v>
      </c>
      <c r="AM115" t="e">
        <f>AI115+AK115</f>
        <v>#VALUE!</v>
      </c>
      <c r="AO115" s="82" t="str">
        <f>AA115</f>
        <v>M(  )=</v>
      </c>
      <c r="AP115" s="82" t="e">
        <f>VLOOKUP(AO115,Rise_Results,2,FALSE)</f>
        <v>#N/A</v>
      </c>
      <c r="AQ115" s="82" t="e">
        <f>N115</f>
        <v>#VALUE!</v>
      </c>
      <c r="AR115" s="82" t="e">
        <f>IF(OR(AB114&lt;=0,AB115&lt;=0),1/0,AB115)</f>
        <v>#VALUE!</v>
      </c>
      <c r="AS115" s="82" t="e">
        <f>AM115</f>
        <v>#VALUE!</v>
      </c>
      <c r="AT115" t="e">
        <f>IFERROR(AP115,IFERROR(AQ115,IFERROR(AR115,AS115)))</f>
        <v>#VALUE!</v>
      </c>
      <c r="AU115" s="81"/>
    </row>
    <row r="116" spans="1:47" x14ac:dyDescent="0.25">
      <c r="A116" s="101">
        <f>A111+1</f>
        <v>15</v>
      </c>
      <c r="B116" s="101" t="str">
        <f t="shared" si="48"/>
        <v xml:space="preserve">  </v>
      </c>
      <c r="O116" s="101">
        <f>O111+1</f>
        <v>17</v>
      </c>
      <c r="P116" s="101" t="str">
        <f t="shared" si="44"/>
        <v xml:space="preserve">  </v>
      </c>
      <c r="AU116" s="81"/>
    </row>
    <row r="117" spans="1:47" x14ac:dyDescent="0.25">
      <c r="A117" s="84">
        <f>A116+1</f>
        <v>16</v>
      </c>
      <c r="B117" s="84" t="str">
        <f t="shared" si="48"/>
        <v xml:space="preserve">  </v>
      </c>
      <c r="C117" s="79" t="e">
        <f t="shared" ref="C117" si="55">IF(C118=B119,IF(C119-C118=C118-B118,B118,IF(C119-C118=C118-B117,B117,"#NA")),IF(C118=B118,IF(C119-C118=C118-B117,B117,IF(C119-C118=C118-B116,B116,"#NA")),"#NA"))</f>
        <v>#VALUE!</v>
      </c>
      <c r="D117" s="68" t="e">
        <f>VLOOKUP(C117,STN_TABLE,2,FALSE)</f>
        <v>#VALUE!</v>
      </c>
      <c r="E117" s="102">
        <v>1</v>
      </c>
      <c r="F117" s="68" t="e">
        <f>D117*E117</f>
        <v>#VALUE!</v>
      </c>
      <c r="G117" s="69" t="e">
        <f>C117</f>
        <v>#VALUE!</v>
      </c>
      <c r="H117" s="69" t="e">
        <f>F117*G117</f>
        <v>#VALUE!</v>
      </c>
      <c r="I117" s="6" t="s">
        <v>93</v>
      </c>
      <c r="J117" s="70" t="e">
        <f>IF(OR(D117=0,D118=0,D119=0),"#NA",IF(AND(C119-C118=C118-C117,C118&lt;&gt;C119,C117&lt;&gt;C118,C117&lt;&gt;C119,D119&lt;&gt;0,OR(D117&lt;&gt;0,D118&lt;&gt;0)),WLS*(C119-C118),"#NA"))</f>
        <v>#VALUE!</v>
      </c>
      <c r="O117" s="99">
        <f>O116+1</f>
        <v>18</v>
      </c>
      <c r="P117" s="99" t="str">
        <f t="shared" si="44"/>
        <v xml:space="preserve">  </v>
      </c>
      <c r="Q117" s="68" t="e">
        <f>IF(OR(P119-P118=P118-P117,P120-P118=P118-P117),P117,IF(OR(P119-P118=P118-P116,P120-P118=P118-P116),P116,"-"))</f>
        <v>#VALUE!</v>
      </c>
      <c r="R117" s="69" t="e">
        <f>VLOOKUP(Q117,STN_TABLE,2,FALSE)</f>
        <v>#VALUE!</v>
      </c>
      <c r="S117" s="69">
        <v>5</v>
      </c>
      <c r="T117" s="68" t="e">
        <f>R117*S117</f>
        <v>#VALUE!</v>
      </c>
      <c r="U117" s="79">
        <v>3</v>
      </c>
      <c r="V117" s="68" t="e">
        <f>R117*U117</f>
        <v>#VALUE!</v>
      </c>
      <c r="W117" s="6" t="s">
        <v>93</v>
      </c>
      <c r="X117" s="70" t="e">
        <f>IF(AND(Q119-Q118=Q118-Q117,NOT(AND(Q117=0,Q118=0)),NOT(AND(Q118=0,Q119=0))),WLS*(Q119-Q118),"#NA")</f>
        <v>#VALUE!</v>
      </c>
      <c r="AD117" s="93"/>
      <c r="AH117" s="6" t="s">
        <v>93</v>
      </c>
      <c r="AI117" s="70" t="e">
        <f>WLS*(AD119-AD118)</f>
        <v>#VALUE!</v>
      </c>
      <c r="AU117" s="81"/>
    </row>
    <row r="118" spans="1:47" x14ac:dyDescent="0.25">
      <c r="A118" s="84">
        <f>A117+1</f>
        <v>17</v>
      </c>
      <c r="B118" s="84" t="str">
        <f t="shared" si="48"/>
        <v xml:space="preserve">  </v>
      </c>
      <c r="C118" s="80" t="e">
        <f t="shared" ref="C118" si="56">IF(OR(B120-B119=B119-B118,B120-B119=B119-B117,B120-B119=B119-B116),B119,IF(OR(B120-B118=B118-B117,B120-B118=B118-B116),B118,IF(B120-B117=B117-B116,B117,"#NA")))</f>
        <v>#VALUE!</v>
      </c>
      <c r="D118" s="76" t="e">
        <f>VLOOKUP(C118,STN_TABLE,2,FALSE)</f>
        <v>#VALUE!</v>
      </c>
      <c r="E118" s="81">
        <v>4</v>
      </c>
      <c r="F118" s="76" t="e">
        <f>D118*E118</f>
        <v>#VALUE!</v>
      </c>
      <c r="G118" s="77" t="e">
        <f>C118</f>
        <v>#VALUE!</v>
      </c>
      <c r="H118" s="77" t="e">
        <f>F118*G118</f>
        <v>#VALUE!</v>
      </c>
      <c r="I118" s="495" t="s">
        <v>97</v>
      </c>
      <c r="J118" s="496"/>
      <c r="K118" s="78" t="s">
        <v>98</v>
      </c>
      <c r="L118" s="78"/>
      <c r="M118" s="7" t="s">
        <v>99</v>
      </c>
      <c r="N118" s="7"/>
      <c r="O118" s="99">
        <f>O117+1</f>
        <v>19</v>
      </c>
      <c r="P118" s="99" t="str">
        <f t="shared" si="44"/>
        <v xml:space="preserve">  </v>
      </c>
      <c r="Q118" s="76" t="str">
        <f>P118</f>
        <v xml:space="preserve">  </v>
      </c>
      <c r="R118" s="77" t="str">
        <f>VLOOKUP(Q118,STN_TABLE,2,FALSE)</f>
        <v xml:space="preserve">  </v>
      </c>
      <c r="S118" s="77">
        <v>8</v>
      </c>
      <c r="T118" s="76" t="e">
        <f>R118*S118</f>
        <v>#VALUE!</v>
      </c>
      <c r="U118" s="80">
        <v>10</v>
      </c>
      <c r="V118" s="76" t="e">
        <f>R118*U118</f>
        <v>#VALUE!</v>
      </c>
      <c r="W118" s="496" t="s">
        <v>97</v>
      </c>
      <c r="X118" s="496"/>
      <c r="Y118" s="496" t="s">
        <v>98</v>
      </c>
      <c r="Z118" s="496"/>
      <c r="AA118" s="494" t="s">
        <v>99</v>
      </c>
      <c r="AB118" s="494"/>
      <c r="AC118" s="99">
        <f>AC113+1</f>
        <v>18</v>
      </c>
      <c r="AD118" s="95" t="str">
        <f>VLOOKUP(AC118,STN_TABLE_2,2,FALSE)</f>
        <v xml:space="preserve">  </v>
      </c>
      <c r="AE118" s="68" t="str">
        <f>VLOOKUP(AD118,STN_TABLE,2,FALSE)</f>
        <v xml:space="preserve">  </v>
      </c>
      <c r="AF118" s="68">
        <v>1</v>
      </c>
      <c r="AG118" s="69" t="e">
        <f>AE118*AF118</f>
        <v>#VALUE!</v>
      </c>
      <c r="AH118" s="496" t="s">
        <v>97</v>
      </c>
      <c r="AI118" s="496"/>
      <c r="AJ118" s="496" t="s">
        <v>98</v>
      </c>
      <c r="AK118" s="496"/>
      <c r="AL118" s="494" t="s">
        <v>99</v>
      </c>
      <c r="AM118" s="494"/>
      <c r="AP118" s="86" t="s">
        <v>112</v>
      </c>
      <c r="AQ118" s="89" t="s">
        <v>113</v>
      </c>
      <c r="AR118" s="89" t="s">
        <v>114</v>
      </c>
      <c r="AS118" s="89" t="s">
        <v>115</v>
      </c>
      <c r="AU118" s="81"/>
    </row>
    <row r="119" spans="1:47" x14ac:dyDescent="0.25">
      <c r="A119" s="84">
        <f>A118+1</f>
        <v>18</v>
      </c>
      <c r="B119" s="84" t="str">
        <f t="shared" si="48"/>
        <v xml:space="preserve">  </v>
      </c>
      <c r="C119" s="88" t="str">
        <f t="shared" ref="C119" si="57">B120</f>
        <v xml:space="preserve">  </v>
      </c>
      <c r="D119" s="82" t="str">
        <f>VLOOKUP(C119,STN_TABLE,2,FALSE)</f>
        <v xml:space="preserve">  </v>
      </c>
      <c r="E119" s="92">
        <v>1</v>
      </c>
      <c r="F119" s="82" t="e">
        <f>D119*E119</f>
        <v>#VALUE!</v>
      </c>
      <c r="G119" s="83" t="str">
        <f>C119</f>
        <v xml:space="preserve">  </v>
      </c>
      <c r="H119" s="83" t="e">
        <f>F119*G119</f>
        <v>#VALUE!</v>
      </c>
      <c r="I119" s="84" t="str">
        <f>CONCATENATE("a'(",C119,")=")</f>
        <v>a'(  )=</v>
      </c>
      <c r="J119" s="84" t="e">
        <f>2*J117/3*F120</f>
        <v>#VALUE!</v>
      </c>
      <c r="K119" s="84" t="e">
        <f>CONCATENATE("A(",C117,")=")</f>
        <v>#VALUE!</v>
      </c>
      <c r="L119" s="84" t="e">
        <f>VLOOKUP(C117,STN_TABLE,3,FALSE)</f>
        <v>#VALUE!</v>
      </c>
      <c r="M119" t="str">
        <f>CONCATENATE("A(",C119,")=")</f>
        <v>A(  )=</v>
      </c>
      <c r="N119" t="e">
        <f>J119+L119</f>
        <v>#VALUE!</v>
      </c>
      <c r="O119" s="99">
        <f>O118+1</f>
        <v>20</v>
      </c>
      <c r="P119" s="99" t="str">
        <f t="shared" si="44"/>
        <v xml:space="preserve">  </v>
      </c>
      <c r="Q119" s="82" t="e">
        <f>IF(P119-P118=P118-P117,P119,IF(P120-P118=P118-P117,P120,IF(P119-P118=P118-P116,P119,IF(P120-P118=P118-P116,P120,"-"))))</f>
        <v>#VALUE!</v>
      </c>
      <c r="R119" s="83" t="e">
        <f>VLOOKUP(Q119,STN_TABLE,2,FALSE)</f>
        <v>#VALUE!</v>
      </c>
      <c r="S119" s="83">
        <v>-1</v>
      </c>
      <c r="T119" s="82" t="e">
        <f>R119*S119</f>
        <v>#VALUE!</v>
      </c>
      <c r="U119" s="88">
        <v>-1</v>
      </c>
      <c r="V119" s="82" t="e">
        <f>R119*U119</f>
        <v>#VALUE!</v>
      </c>
      <c r="W119" s="84" t="str">
        <f>CONCATENATE("a'(",Q118,")=")</f>
        <v>a'(  )=</v>
      </c>
      <c r="X119" s="84" t="e">
        <f>2*X117/12*T120</f>
        <v>#VALUE!</v>
      </c>
      <c r="Y119" s="84" t="e">
        <f>CONCATENATE("A(",Q117,")=")</f>
        <v>#VALUE!</v>
      </c>
      <c r="Z119" s="84" t="e">
        <f>VLOOKUP(Q117,STN_TABLE,3,FALSE)</f>
        <v>#VALUE!</v>
      </c>
      <c r="AA119" t="str">
        <f>CONCATENATE("A(",Q118,")=")</f>
        <v>A(  )=</v>
      </c>
      <c r="AB119" t="e">
        <f>X119+Z119</f>
        <v>#VALUE!</v>
      </c>
      <c r="AC119" s="99">
        <f>AC118+1</f>
        <v>19</v>
      </c>
      <c r="AD119" s="100" t="str">
        <f>VLOOKUP(AC119,STN_TABLE_2,2,FALSE)</f>
        <v xml:space="preserve">  </v>
      </c>
      <c r="AE119" s="82" t="str">
        <f>VLOOKUP(AD119,STN_TABLE,2,FALSE)</f>
        <v xml:space="preserve">  </v>
      </c>
      <c r="AF119" s="82">
        <v>2</v>
      </c>
      <c r="AG119" s="83" t="e">
        <f>AE119*AF119</f>
        <v>#VALUE!</v>
      </c>
      <c r="AH119" s="84" t="str">
        <f>CONCATENATE("a'(",AD119,")=")</f>
        <v>a'(  )=</v>
      </c>
      <c r="AI119" s="84" t="e">
        <f>2*AI117/2*AE120</f>
        <v>#VALUE!</v>
      </c>
      <c r="AJ119" s="84" t="str">
        <f>CONCATENATE("A(",AD118,")=")</f>
        <v>A(  )=</v>
      </c>
      <c r="AK119" s="84" t="str">
        <f>VLOOKUP(AD118,STN_TABLE,3,FALSE)</f>
        <v xml:space="preserve"> </v>
      </c>
      <c r="AL119" t="str">
        <f>CONCATENATE("A(",AD119,")=")</f>
        <v>A(  )=</v>
      </c>
      <c r="AM119" t="e">
        <f>AI119+AK119</f>
        <v>#VALUE!</v>
      </c>
      <c r="AO119" s="68" t="str">
        <f>AA119</f>
        <v>A(  )=</v>
      </c>
      <c r="AP119" s="68" t="e">
        <f>VLOOKUP(AO119,Rise_Results,2,FALSE)</f>
        <v>#N/A</v>
      </c>
      <c r="AQ119" s="76" t="e">
        <f>N119</f>
        <v>#VALUE!</v>
      </c>
      <c r="AR119" s="76" t="e">
        <f>IF(OR(AB119&lt;=0,AB120&lt;=0),1/0,AB119)</f>
        <v>#VALUE!</v>
      </c>
      <c r="AS119" s="76" t="e">
        <f>AM119</f>
        <v>#VALUE!</v>
      </c>
      <c r="AT119" t="e">
        <f>IFERROR(AP119,IFERROR(AQ119,IFERROR(AR119,AS119)))</f>
        <v>#VALUE!</v>
      </c>
      <c r="AU119" s="81"/>
    </row>
    <row r="120" spans="1:47" x14ac:dyDescent="0.25">
      <c r="A120" s="84">
        <f>A119+1</f>
        <v>19</v>
      </c>
      <c r="B120" s="84" t="str">
        <f t="shared" si="48"/>
        <v xml:space="preserve">  </v>
      </c>
      <c r="F120" s="82" t="e">
        <f>SUM(F117:F119)</f>
        <v>#VALUE!</v>
      </c>
      <c r="H120" s="82" t="e">
        <f>SUM(H117:H119)</f>
        <v>#VALUE!</v>
      </c>
      <c r="I120" s="84" t="str">
        <f>CONCATENATE("m'(",C119,")=")</f>
        <v>m'(  )=</v>
      </c>
      <c r="J120" s="84" t="e">
        <f>2*(J117*(WLS))/3*H120</f>
        <v>#VALUE!</v>
      </c>
      <c r="K120" s="84" t="e">
        <f>CONCATENATE("M(",C117,")=")</f>
        <v>#VALUE!</v>
      </c>
      <c r="L120" s="84" t="e">
        <f>VLOOKUP(C117,STN_TABLE,4,FALSE)</f>
        <v>#VALUE!</v>
      </c>
      <c r="M120" t="str">
        <f>CONCATENATE("M(",C119,")=")</f>
        <v>M(  )=</v>
      </c>
      <c r="N120" t="e">
        <f>J120+L120</f>
        <v>#VALUE!</v>
      </c>
      <c r="O120" s="99">
        <f>O119+1</f>
        <v>21</v>
      </c>
      <c r="P120" s="99" t="str">
        <f t="shared" si="44"/>
        <v xml:space="preserve">  </v>
      </c>
      <c r="T120" s="89" t="e">
        <f>SUM(T117:T119)</f>
        <v>#VALUE!</v>
      </c>
      <c r="V120" s="82" t="e">
        <f>SUM(V117:V119)</f>
        <v>#VALUE!</v>
      </c>
      <c r="W120" s="84" t="str">
        <f>CONCATENATE("m'(",Q118,")=")</f>
        <v>m'(  )=</v>
      </c>
      <c r="X120" s="84" t="e">
        <f>(2*(X117^2)/24*V120)+(X119*Q117*WLS)</f>
        <v>#VALUE!</v>
      </c>
      <c r="Y120" s="84" t="e">
        <f>CONCATENATE("M(",Q117,")=")</f>
        <v>#VALUE!</v>
      </c>
      <c r="Z120" s="84" t="e">
        <f>VLOOKUP(Q117,STN_TABLE,4,FALSE)</f>
        <v>#VALUE!</v>
      </c>
      <c r="AA120" t="str">
        <f>CONCATENATE("M(",Q118,")=")</f>
        <v>M(  )=</v>
      </c>
      <c r="AB120" t="e">
        <f>X120+Z120</f>
        <v>#VALUE!</v>
      </c>
      <c r="AE120" s="89">
        <f>SUM(AE118:AE119)</f>
        <v>0</v>
      </c>
      <c r="AG120" s="89" t="e">
        <f>SUM(AG118:AG119)</f>
        <v>#VALUE!</v>
      </c>
      <c r="AH120" s="84" t="str">
        <f>CONCATENATE("m'(",AD119,")=")</f>
        <v>m'(  )=</v>
      </c>
      <c r="AI120" s="84" t="e">
        <f>(2*(AI117^2)/6*AG120)+(AI119*AD118*WLS)</f>
        <v>#VALUE!</v>
      </c>
      <c r="AJ120" s="84" t="str">
        <f>CONCATENATE("M(",AD118,")=")</f>
        <v>M(  )=</v>
      </c>
      <c r="AK120" s="84" t="str">
        <f>VLOOKUP(AD118,STN_TABLE,4,FALSE)</f>
        <v xml:space="preserve"> </v>
      </c>
      <c r="AL120" t="str">
        <f>CONCATENATE("M(",AD119,")=")</f>
        <v>M(  )=</v>
      </c>
      <c r="AM120" t="e">
        <f>AI120+AK120</f>
        <v>#VALUE!</v>
      </c>
      <c r="AO120" s="82" t="str">
        <f>AA120</f>
        <v>M(  )=</v>
      </c>
      <c r="AP120" s="82" t="e">
        <f>VLOOKUP(AO120,Rise_Results,2,FALSE)</f>
        <v>#N/A</v>
      </c>
      <c r="AQ120" s="82" t="e">
        <f>N120</f>
        <v>#VALUE!</v>
      </c>
      <c r="AR120" s="82" t="e">
        <f>IF(OR(AB119&lt;=0,AB120&lt;=0),1/0,AB120)</f>
        <v>#VALUE!</v>
      </c>
      <c r="AS120" s="82" t="e">
        <f>AM120</f>
        <v>#VALUE!</v>
      </c>
      <c r="AT120" t="e">
        <f>IFERROR(AP120,IFERROR(AQ120,IFERROR(AR120,AS120)))</f>
        <v>#VALUE!</v>
      </c>
      <c r="AU120" s="81"/>
    </row>
    <row r="121" spans="1:47" x14ac:dyDescent="0.25">
      <c r="A121" s="101">
        <f>A116+1</f>
        <v>16</v>
      </c>
      <c r="B121" s="101" t="str">
        <f t="shared" si="48"/>
        <v xml:space="preserve">  </v>
      </c>
      <c r="O121" s="101">
        <f>O116+1</f>
        <v>18</v>
      </c>
      <c r="P121" s="101" t="str">
        <f t="shared" si="44"/>
        <v xml:space="preserve">  </v>
      </c>
      <c r="AU121" s="81"/>
    </row>
    <row r="122" spans="1:47" x14ac:dyDescent="0.25">
      <c r="A122" s="84">
        <f>A121+1</f>
        <v>17</v>
      </c>
      <c r="B122" s="84" t="str">
        <f t="shared" si="48"/>
        <v xml:space="preserve">  </v>
      </c>
      <c r="C122" s="79" t="e">
        <f t="shared" ref="C122" si="58">IF(C123=B124,IF(C124-C123=C123-B123,B123,IF(C124-C123=C123-B122,B122,"#NA")),IF(C123=B123,IF(C124-C123=C123-B122,B122,IF(C124-C123=C123-B121,B121,"#NA")),"#NA"))</f>
        <v>#VALUE!</v>
      </c>
      <c r="D122" s="68" t="e">
        <f>VLOOKUP(C122,STN_TABLE,2,FALSE)</f>
        <v>#VALUE!</v>
      </c>
      <c r="E122" s="102">
        <v>1</v>
      </c>
      <c r="F122" s="68" t="e">
        <f>D122*E122</f>
        <v>#VALUE!</v>
      </c>
      <c r="G122" s="69" t="e">
        <f>C122</f>
        <v>#VALUE!</v>
      </c>
      <c r="H122" s="69" t="e">
        <f>F122*G122</f>
        <v>#VALUE!</v>
      </c>
      <c r="I122" s="6" t="s">
        <v>93</v>
      </c>
      <c r="J122" s="70" t="e">
        <f>IF(OR(D122=0,D123=0,D124=0),"#NA",IF(AND(C124-C123=C123-C122,C123&lt;&gt;C124,C122&lt;&gt;C123,C122&lt;&gt;C124,D124&lt;&gt;0,OR(D122&lt;&gt;0,D123&lt;&gt;0)),WLS*(C124-C123),"#NA"))</f>
        <v>#VALUE!</v>
      </c>
      <c r="O122" s="99">
        <f>O121+1</f>
        <v>19</v>
      </c>
      <c r="P122" s="99" t="str">
        <f t="shared" si="44"/>
        <v xml:space="preserve">  </v>
      </c>
      <c r="Q122" s="68" t="e">
        <f>IF(OR(P124-P123=P123-P122,P125-P123=P123-P122),P122,IF(OR(P124-P123=P123-P121,P125-P123=P123-P121),P121,"-"))</f>
        <v>#VALUE!</v>
      </c>
      <c r="R122" s="69" t="e">
        <f>VLOOKUP(Q122,STN_TABLE,2,FALSE)</f>
        <v>#VALUE!</v>
      </c>
      <c r="S122" s="69">
        <v>5</v>
      </c>
      <c r="T122" s="68" t="e">
        <f>R122*S122</f>
        <v>#VALUE!</v>
      </c>
      <c r="U122" s="79">
        <v>3</v>
      </c>
      <c r="V122" s="68" t="e">
        <f>R122*U122</f>
        <v>#VALUE!</v>
      </c>
      <c r="W122" s="6" t="s">
        <v>93</v>
      </c>
      <c r="X122" s="70" t="e">
        <f>IF(AND(Q124-Q123=Q123-Q122,NOT(AND(Q122=0,Q123=0)),NOT(AND(Q123=0,Q124=0))),WLS*(Q124-Q123),"#NA")</f>
        <v>#VALUE!</v>
      </c>
      <c r="AD122" s="93"/>
      <c r="AH122" s="6" t="s">
        <v>93</v>
      </c>
      <c r="AI122" s="70" t="e">
        <f>WLS*(AD124-AD123)</f>
        <v>#VALUE!</v>
      </c>
      <c r="AU122" s="81"/>
    </row>
    <row r="123" spans="1:47" x14ac:dyDescent="0.25">
      <c r="A123" s="84">
        <f>A122+1</f>
        <v>18</v>
      </c>
      <c r="B123" s="84" t="str">
        <f t="shared" si="48"/>
        <v xml:space="preserve">  </v>
      </c>
      <c r="C123" s="80" t="e">
        <f t="shared" ref="C123" si="59">IF(OR(B125-B124=B124-B123,B125-B124=B124-B122,B125-B124=B124-B121),B124,IF(OR(B125-B123=B123-B122,B125-B123=B123-B121),B123,IF(B125-B122=B122-B121,B122,"#NA")))</f>
        <v>#VALUE!</v>
      </c>
      <c r="D123" s="76" t="e">
        <f>VLOOKUP(C123,STN_TABLE,2,FALSE)</f>
        <v>#VALUE!</v>
      </c>
      <c r="E123" s="81">
        <v>4</v>
      </c>
      <c r="F123" s="76" t="e">
        <f>D123*E123</f>
        <v>#VALUE!</v>
      </c>
      <c r="G123" s="77" t="e">
        <f>C123</f>
        <v>#VALUE!</v>
      </c>
      <c r="H123" s="77" t="e">
        <f>F123*G123</f>
        <v>#VALUE!</v>
      </c>
      <c r="I123" s="495" t="s">
        <v>97</v>
      </c>
      <c r="J123" s="496"/>
      <c r="K123" s="78" t="s">
        <v>98</v>
      </c>
      <c r="L123" s="78"/>
      <c r="M123" s="7" t="s">
        <v>99</v>
      </c>
      <c r="N123" s="7"/>
      <c r="O123" s="99">
        <f>O122+1</f>
        <v>20</v>
      </c>
      <c r="P123" s="99" t="str">
        <f t="shared" si="44"/>
        <v xml:space="preserve">  </v>
      </c>
      <c r="Q123" s="76" t="str">
        <f>P123</f>
        <v xml:space="preserve">  </v>
      </c>
      <c r="R123" s="77" t="str">
        <f>VLOOKUP(Q123,STN_TABLE,2,FALSE)</f>
        <v xml:space="preserve">  </v>
      </c>
      <c r="S123" s="77">
        <v>8</v>
      </c>
      <c r="T123" s="76" t="e">
        <f>R123*S123</f>
        <v>#VALUE!</v>
      </c>
      <c r="U123" s="80">
        <v>10</v>
      </c>
      <c r="V123" s="76" t="e">
        <f>R123*U123</f>
        <v>#VALUE!</v>
      </c>
      <c r="W123" s="496" t="s">
        <v>97</v>
      </c>
      <c r="X123" s="496"/>
      <c r="Y123" s="496" t="s">
        <v>98</v>
      </c>
      <c r="Z123" s="496"/>
      <c r="AA123" s="494" t="s">
        <v>99</v>
      </c>
      <c r="AB123" s="494"/>
      <c r="AC123" s="99">
        <f>AC118+1</f>
        <v>19</v>
      </c>
      <c r="AD123" s="95" t="str">
        <f>VLOOKUP(AC123,STN_TABLE_2,2,FALSE)</f>
        <v xml:space="preserve">  </v>
      </c>
      <c r="AE123" s="68" t="str">
        <f>VLOOKUP(AD123,STN_TABLE,2,FALSE)</f>
        <v xml:space="preserve">  </v>
      </c>
      <c r="AF123" s="68">
        <v>1</v>
      </c>
      <c r="AG123" s="69" t="e">
        <f>AE123*AF123</f>
        <v>#VALUE!</v>
      </c>
      <c r="AH123" s="496" t="s">
        <v>97</v>
      </c>
      <c r="AI123" s="496"/>
      <c r="AJ123" s="496" t="s">
        <v>98</v>
      </c>
      <c r="AK123" s="496"/>
      <c r="AL123" s="494" t="s">
        <v>99</v>
      </c>
      <c r="AM123" s="494"/>
      <c r="AP123" s="86" t="s">
        <v>112</v>
      </c>
      <c r="AQ123" s="89" t="s">
        <v>113</v>
      </c>
      <c r="AR123" s="89" t="s">
        <v>114</v>
      </c>
      <c r="AS123" s="89" t="s">
        <v>115</v>
      </c>
      <c r="AU123" s="81"/>
    </row>
    <row r="124" spans="1:47" x14ac:dyDescent="0.25">
      <c r="A124" s="84">
        <f>A123+1</f>
        <v>19</v>
      </c>
      <c r="B124" s="84" t="str">
        <f t="shared" si="48"/>
        <v xml:space="preserve">  </v>
      </c>
      <c r="C124" s="88" t="str">
        <f t="shared" ref="C124" si="60">B125</f>
        <v xml:space="preserve">  </v>
      </c>
      <c r="D124" s="82" t="str">
        <f>VLOOKUP(C124,STN_TABLE,2,FALSE)</f>
        <v xml:space="preserve">  </v>
      </c>
      <c r="E124" s="92">
        <v>1</v>
      </c>
      <c r="F124" s="82" t="e">
        <f>D124*E124</f>
        <v>#VALUE!</v>
      </c>
      <c r="G124" s="83" t="str">
        <f>C124</f>
        <v xml:space="preserve">  </v>
      </c>
      <c r="H124" s="83" t="e">
        <f>F124*G124</f>
        <v>#VALUE!</v>
      </c>
      <c r="I124" s="84" t="str">
        <f>CONCATENATE("a'(",C124,")=")</f>
        <v>a'(  )=</v>
      </c>
      <c r="J124" s="84" t="e">
        <f>2*J122/3*F125</f>
        <v>#VALUE!</v>
      </c>
      <c r="K124" s="84" t="e">
        <f>CONCATENATE("A(",C122,")=")</f>
        <v>#VALUE!</v>
      </c>
      <c r="L124" s="84" t="e">
        <f>VLOOKUP(C122,STN_TABLE,3,FALSE)</f>
        <v>#VALUE!</v>
      </c>
      <c r="M124" t="str">
        <f>CONCATENATE("A(",C124,")=")</f>
        <v>A(  )=</v>
      </c>
      <c r="N124" t="e">
        <f>J124+L124</f>
        <v>#VALUE!</v>
      </c>
      <c r="O124" s="99">
        <f>O123+1</f>
        <v>21</v>
      </c>
      <c r="P124" s="99" t="str">
        <f t="shared" si="44"/>
        <v xml:space="preserve">  </v>
      </c>
      <c r="Q124" s="82" t="e">
        <f>IF(P124-P123=P123-P122,P124,IF(P125-P123=P123-P122,P125,IF(P124-P123=P123-P121,P124,IF(P125-P123=P123-P121,P125,"-"))))</f>
        <v>#VALUE!</v>
      </c>
      <c r="R124" s="83" t="e">
        <f>VLOOKUP(Q124,STN_TABLE,2,FALSE)</f>
        <v>#VALUE!</v>
      </c>
      <c r="S124" s="83">
        <v>-1</v>
      </c>
      <c r="T124" s="82" t="e">
        <f>R124*S124</f>
        <v>#VALUE!</v>
      </c>
      <c r="U124" s="88">
        <v>-1</v>
      </c>
      <c r="V124" s="82" t="e">
        <f>R124*U124</f>
        <v>#VALUE!</v>
      </c>
      <c r="W124" s="84" t="str">
        <f>CONCATENATE("a'(",Q123,")=")</f>
        <v>a'(  )=</v>
      </c>
      <c r="X124" s="84" t="e">
        <f>2*X122/12*T125</f>
        <v>#VALUE!</v>
      </c>
      <c r="Y124" s="84" t="e">
        <f>CONCATENATE("A(",Q122,")=")</f>
        <v>#VALUE!</v>
      </c>
      <c r="Z124" s="84" t="e">
        <f>VLOOKUP(Q122,STN_TABLE,3,FALSE)</f>
        <v>#VALUE!</v>
      </c>
      <c r="AA124" t="str">
        <f>CONCATENATE("A(",Q123,")=")</f>
        <v>A(  )=</v>
      </c>
      <c r="AB124" t="e">
        <f>X124+Z124</f>
        <v>#VALUE!</v>
      </c>
      <c r="AC124" s="99">
        <f>AC123+1</f>
        <v>20</v>
      </c>
      <c r="AD124" s="100" t="str">
        <f>VLOOKUP(AC124,STN_TABLE_2,2,FALSE)</f>
        <v xml:space="preserve">  </v>
      </c>
      <c r="AE124" s="82" t="str">
        <f>VLOOKUP(AD124,STN_TABLE,2,FALSE)</f>
        <v xml:space="preserve">  </v>
      </c>
      <c r="AF124" s="82">
        <v>2</v>
      </c>
      <c r="AG124" s="83" t="e">
        <f>AE124*AF124</f>
        <v>#VALUE!</v>
      </c>
      <c r="AH124" s="84" t="str">
        <f>CONCATENATE("a'(",AD124,")=")</f>
        <v>a'(  )=</v>
      </c>
      <c r="AI124" s="84" t="e">
        <f>2*AI122/2*AE125</f>
        <v>#VALUE!</v>
      </c>
      <c r="AJ124" s="84" t="str">
        <f>CONCATENATE("A(",AD123,")=")</f>
        <v>A(  )=</v>
      </c>
      <c r="AK124" s="84" t="str">
        <f>VLOOKUP(AD123,STN_TABLE,3,FALSE)</f>
        <v xml:space="preserve"> </v>
      </c>
      <c r="AL124" t="str">
        <f>CONCATENATE("A(",AD124,")=")</f>
        <v>A(  )=</v>
      </c>
      <c r="AM124" t="e">
        <f>AI124+AK124</f>
        <v>#VALUE!</v>
      </c>
      <c r="AO124" s="68" t="str">
        <f>AA124</f>
        <v>A(  )=</v>
      </c>
      <c r="AP124" s="68" t="e">
        <f>VLOOKUP(AO124,Rise_Results,2,FALSE)</f>
        <v>#N/A</v>
      </c>
      <c r="AQ124" s="76" t="e">
        <f>N124</f>
        <v>#VALUE!</v>
      </c>
      <c r="AR124" s="76" t="e">
        <f>IF(OR(AB124&lt;=0,AB125&lt;=0),1/0,AB124)</f>
        <v>#VALUE!</v>
      </c>
      <c r="AS124" s="76" t="e">
        <f>AM124</f>
        <v>#VALUE!</v>
      </c>
      <c r="AT124" t="e">
        <f>IFERROR(AP124,IFERROR(AQ124,IFERROR(AR124,AS124)))</f>
        <v>#VALUE!</v>
      </c>
      <c r="AU124" s="81"/>
    </row>
    <row r="125" spans="1:47" x14ac:dyDescent="0.25">
      <c r="A125" s="84">
        <f>A124+1</f>
        <v>20</v>
      </c>
      <c r="B125" s="84" t="str">
        <f t="shared" si="48"/>
        <v xml:space="preserve">  </v>
      </c>
      <c r="F125" s="82" t="e">
        <f>SUM(F122:F124)</f>
        <v>#VALUE!</v>
      </c>
      <c r="H125" s="82" t="e">
        <f>SUM(H122:H124)</f>
        <v>#VALUE!</v>
      </c>
      <c r="I125" s="84" t="str">
        <f>CONCATENATE("m'(",C124,")=")</f>
        <v>m'(  )=</v>
      </c>
      <c r="J125" s="84" t="e">
        <f>2*(J122*(WLS))/3*H125</f>
        <v>#VALUE!</v>
      </c>
      <c r="K125" s="84" t="e">
        <f>CONCATENATE("M(",C122,")=")</f>
        <v>#VALUE!</v>
      </c>
      <c r="L125" s="84" t="e">
        <f>VLOOKUP(C122,STN_TABLE,4,FALSE)</f>
        <v>#VALUE!</v>
      </c>
      <c r="M125" t="str">
        <f>CONCATENATE("M(",C124,")=")</f>
        <v>M(  )=</v>
      </c>
      <c r="N125" t="e">
        <f>J125+L125</f>
        <v>#VALUE!</v>
      </c>
      <c r="O125" s="99">
        <f>O124+1</f>
        <v>22</v>
      </c>
      <c r="P125" s="99" t="str">
        <f t="shared" si="44"/>
        <v xml:space="preserve">  </v>
      </c>
      <c r="T125" s="89" t="e">
        <f>SUM(T122:T124)</f>
        <v>#VALUE!</v>
      </c>
      <c r="V125" s="82" t="e">
        <f>SUM(V122:V124)</f>
        <v>#VALUE!</v>
      </c>
      <c r="W125" s="84" t="str">
        <f>CONCATENATE("m'(",Q123,")=")</f>
        <v>m'(  )=</v>
      </c>
      <c r="X125" s="84" t="e">
        <f>(2*(X122^2)/24*V125)+(X124*Q122*WLS)</f>
        <v>#VALUE!</v>
      </c>
      <c r="Y125" s="84" t="e">
        <f>CONCATENATE("M(",Q122,")=")</f>
        <v>#VALUE!</v>
      </c>
      <c r="Z125" s="84" t="e">
        <f>VLOOKUP(Q122,STN_TABLE,4,FALSE)</f>
        <v>#VALUE!</v>
      </c>
      <c r="AA125" t="str">
        <f>CONCATENATE("M(",Q123,")=")</f>
        <v>M(  )=</v>
      </c>
      <c r="AB125" t="e">
        <f>X125+Z125</f>
        <v>#VALUE!</v>
      </c>
      <c r="AE125" s="89">
        <f>SUM(AE123:AE124)</f>
        <v>0</v>
      </c>
      <c r="AG125" s="89" t="e">
        <f>SUM(AG123:AG124)</f>
        <v>#VALUE!</v>
      </c>
      <c r="AH125" s="84" t="str">
        <f>CONCATENATE("m'(",AD124,")=")</f>
        <v>m'(  )=</v>
      </c>
      <c r="AI125" s="84" t="e">
        <f>(2*(AI122^2)/6*AG125)+(AI124*AD123*WLS)</f>
        <v>#VALUE!</v>
      </c>
      <c r="AJ125" s="84" t="str">
        <f>CONCATENATE("M(",AD123,")=")</f>
        <v>M(  )=</v>
      </c>
      <c r="AK125" s="84" t="str">
        <f>VLOOKUP(AD123,STN_TABLE,4,FALSE)</f>
        <v xml:space="preserve"> </v>
      </c>
      <c r="AL125" t="str">
        <f>CONCATENATE("M(",AD124,")=")</f>
        <v>M(  )=</v>
      </c>
      <c r="AM125" t="e">
        <f>AI125+AK125</f>
        <v>#VALUE!</v>
      </c>
      <c r="AO125" s="82" t="str">
        <f>AA125</f>
        <v>M(  )=</v>
      </c>
      <c r="AP125" s="82" t="e">
        <f>VLOOKUP(AO125,Rise_Results,2,FALSE)</f>
        <v>#N/A</v>
      </c>
      <c r="AQ125" s="82" t="e">
        <f>N125</f>
        <v>#VALUE!</v>
      </c>
      <c r="AR125" s="82" t="e">
        <f>IF(OR(AB124&lt;=0,AB125&lt;=0),1/0,AB125)</f>
        <v>#VALUE!</v>
      </c>
      <c r="AS125" s="82" t="e">
        <f>AM125</f>
        <v>#VALUE!</v>
      </c>
      <c r="AT125" t="e">
        <f>IFERROR(AP125,IFERROR(AQ125,IFERROR(AR125,AS125)))</f>
        <v>#VALUE!</v>
      </c>
      <c r="AU125" s="81"/>
    </row>
    <row r="126" spans="1:47" x14ac:dyDescent="0.25">
      <c r="A126" s="101">
        <f>A121+1</f>
        <v>17</v>
      </c>
      <c r="B126" s="101" t="str">
        <f t="shared" si="48"/>
        <v xml:space="preserve">  </v>
      </c>
      <c r="O126" s="101">
        <f>O121+1</f>
        <v>19</v>
      </c>
      <c r="P126" s="101" t="str">
        <f t="shared" si="44"/>
        <v xml:space="preserve">  </v>
      </c>
      <c r="AU126" s="81"/>
    </row>
    <row r="127" spans="1:47" x14ac:dyDescent="0.25">
      <c r="A127" s="84">
        <f>A126+1</f>
        <v>18</v>
      </c>
      <c r="B127" s="84" t="str">
        <f t="shared" si="48"/>
        <v xml:space="preserve">  </v>
      </c>
      <c r="C127" s="79" t="e">
        <f t="shared" ref="C127" si="61">IF(C128=B129,IF(C129-C128=C128-B128,B128,IF(C129-C128=C128-B127,B127,"#NA")),IF(C128=B128,IF(C129-C128=C128-B127,B127,IF(C129-C128=C128-B126,B126,"#NA")),"#NA"))</f>
        <v>#VALUE!</v>
      </c>
      <c r="D127" s="68" t="e">
        <f>VLOOKUP(C127,STN_TABLE,2,FALSE)</f>
        <v>#VALUE!</v>
      </c>
      <c r="E127" s="102">
        <v>1</v>
      </c>
      <c r="F127" s="68" t="e">
        <f>D127*E127</f>
        <v>#VALUE!</v>
      </c>
      <c r="G127" s="69" t="e">
        <f>C127</f>
        <v>#VALUE!</v>
      </c>
      <c r="H127" s="69" t="e">
        <f>F127*G127</f>
        <v>#VALUE!</v>
      </c>
      <c r="I127" s="6" t="s">
        <v>93</v>
      </c>
      <c r="J127" s="70" t="e">
        <f>IF(OR(D127=0,D128=0,D129=0),"#NA",IF(AND(C129-C128=C128-C127,C128&lt;&gt;C129,C127&lt;&gt;C128,C127&lt;&gt;C129,D129&lt;&gt;0,OR(D127&lt;&gt;0,D128&lt;&gt;0)),WLS*(C129-C128),"#NA"))</f>
        <v>#VALUE!</v>
      </c>
      <c r="O127" s="99">
        <f>O126+1</f>
        <v>20</v>
      </c>
      <c r="P127" s="99" t="str">
        <f t="shared" si="44"/>
        <v xml:space="preserve">  </v>
      </c>
      <c r="Q127" s="68" t="e">
        <f>IF(OR(P129-P128=P128-P127,P130-P128=P128-P127),P127,IF(OR(P129-P128=P128-P126,P130-P128=P128-P126),P126,"-"))</f>
        <v>#VALUE!</v>
      </c>
      <c r="R127" s="69" t="e">
        <f>VLOOKUP(Q127,STN_TABLE,2,FALSE)</f>
        <v>#VALUE!</v>
      </c>
      <c r="S127" s="69">
        <v>5</v>
      </c>
      <c r="T127" s="68" t="e">
        <f>R127*S127</f>
        <v>#VALUE!</v>
      </c>
      <c r="U127" s="79">
        <v>3</v>
      </c>
      <c r="V127" s="68" t="e">
        <f>R127*U127</f>
        <v>#VALUE!</v>
      </c>
      <c r="W127" s="6" t="s">
        <v>93</v>
      </c>
      <c r="X127" s="70" t="e">
        <f>IF(AND(Q129-Q128=Q128-Q127,NOT(AND(Q127=0,Q128=0)),NOT(AND(Q128=0,Q129=0))),WLS*(Q129-Q128),"#NA")</f>
        <v>#VALUE!</v>
      </c>
      <c r="AD127" s="93"/>
      <c r="AH127" s="6" t="s">
        <v>93</v>
      </c>
      <c r="AI127" s="70" t="e">
        <f>WLS*(AD129-AD128)</f>
        <v>#VALUE!</v>
      </c>
      <c r="AU127" s="81"/>
    </row>
    <row r="128" spans="1:47" x14ac:dyDescent="0.25">
      <c r="A128" s="84">
        <f>A127+1</f>
        <v>19</v>
      </c>
      <c r="B128" s="84" t="str">
        <f t="shared" si="48"/>
        <v xml:space="preserve">  </v>
      </c>
      <c r="C128" s="80" t="e">
        <f t="shared" ref="C128" si="62">IF(OR(B130-B129=B129-B128,B130-B129=B129-B127,B130-B129=B129-B126),B129,IF(OR(B130-B128=B128-B127,B130-B128=B128-B126),B128,IF(B130-B127=B127-B126,B127,"#NA")))</f>
        <v>#VALUE!</v>
      </c>
      <c r="D128" s="76" t="e">
        <f>VLOOKUP(C128,STN_TABLE,2,FALSE)</f>
        <v>#VALUE!</v>
      </c>
      <c r="E128" s="81">
        <v>4</v>
      </c>
      <c r="F128" s="76" t="e">
        <f>D128*E128</f>
        <v>#VALUE!</v>
      </c>
      <c r="G128" s="77" t="e">
        <f>C128</f>
        <v>#VALUE!</v>
      </c>
      <c r="H128" s="77" t="e">
        <f>F128*G128</f>
        <v>#VALUE!</v>
      </c>
      <c r="I128" s="495" t="s">
        <v>97</v>
      </c>
      <c r="J128" s="496"/>
      <c r="K128" s="78" t="s">
        <v>98</v>
      </c>
      <c r="L128" s="78"/>
      <c r="M128" s="7" t="s">
        <v>99</v>
      </c>
      <c r="N128" s="7"/>
      <c r="O128" s="99">
        <f>O127+1</f>
        <v>21</v>
      </c>
      <c r="P128" s="99" t="str">
        <f t="shared" si="44"/>
        <v xml:space="preserve">  </v>
      </c>
      <c r="Q128" s="76" t="str">
        <f>P128</f>
        <v xml:space="preserve">  </v>
      </c>
      <c r="R128" s="77" t="str">
        <f>VLOOKUP(Q128,STN_TABLE,2,FALSE)</f>
        <v xml:space="preserve">  </v>
      </c>
      <c r="S128" s="77">
        <v>8</v>
      </c>
      <c r="T128" s="76" t="e">
        <f>R128*S128</f>
        <v>#VALUE!</v>
      </c>
      <c r="U128" s="80">
        <v>10</v>
      </c>
      <c r="V128" s="76" t="e">
        <f>R128*U128</f>
        <v>#VALUE!</v>
      </c>
      <c r="W128" s="496" t="s">
        <v>97</v>
      </c>
      <c r="X128" s="496"/>
      <c r="Y128" s="496" t="s">
        <v>98</v>
      </c>
      <c r="Z128" s="496"/>
      <c r="AA128" s="494" t="s">
        <v>99</v>
      </c>
      <c r="AB128" s="494"/>
      <c r="AC128" s="99">
        <f>AC123+1</f>
        <v>20</v>
      </c>
      <c r="AD128" s="95" t="str">
        <f>VLOOKUP(AC128,STN_TABLE_2,2,FALSE)</f>
        <v xml:space="preserve">  </v>
      </c>
      <c r="AE128" s="68" t="str">
        <f>VLOOKUP(AD128,STN_TABLE,2,FALSE)</f>
        <v xml:space="preserve">  </v>
      </c>
      <c r="AF128" s="68">
        <v>1</v>
      </c>
      <c r="AG128" s="69" t="e">
        <f>AE128*AF128</f>
        <v>#VALUE!</v>
      </c>
      <c r="AH128" s="496" t="s">
        <v>97</v>
      </c>
      <c r="AI128" s="496"/>
      <c r="AJ128" s="496" t="s">
        <v>98</v>
      </c>
      <c r="AK128" s="496"/>
      <c r="AL128" s="494" t="s">
        <v>99</v>
      </c>
      <c r="AM128" s="494"/>
      <c r="AP128" s="86" t="s">
        <v>112</v>
      </c>
      <c r="AQ128" s="89" t="s">
        <v>113</v>
      </c>
      <c r="AR128" s="89" t="s">
        <v>114</v>
      </c>
      <c r="AS128" s="89" t="s">
        <v>115</v>
      </c>
      <c r="AU128" s="81"/>
    </row>
    <row r="129" spans="1:47" x14ac:dyDescent="0.25">
      <c r="A129" s="84">
        <f>A128+1</f>
        <v>20</v>
      </c>
      <c r="B129" s="84" t="str">
        <f t="shared" si="48"/>
        <v xml:space="preserve">  </v>
      </c>
      <c r="C129" s="88" t="str">
        <f t="shared" ref="C129" si="63">B130</f>
        <v xml:space="preserve">  </v>
      </c>
      <c r="D129" s="82" t="str">
        <f>VLOOKUP(C129,STN_TABLE,2,FALSE)</f>
        <v xml:space="preserve">  </v>
      </c>
      <c r="E129" s="92">
        <v>1</v>
      </c>
      <c r="F129" s="82" t="e">
        <f>D129*E129</f>
        <v>#VALUE!</v>
      </c>
      <c r="G129" s="83" t="str">
        <f>C129</f>
        <v xml:space="preserve">  </v>
      </c>
      <c r="H129" s="83" t="e">
        <f>F129*G129</f>
        <v>#VALUE!</v>
      </c>
      <c r="I129" s="84" t="str">
        <f>CONCATENATE("a'(",C129,")=")</f>
        <v>a'(  )=</v>
      </c>
      <c r="J129" s="84" t="e">
        <f>2*J127/3*F130</f>
        <v>#VALUE!</v>
      </c>
      <c r="K129" s="84" t="e">
        <f>CONCATENATE("A(",C127,")=")</f>
        <v>#VALUE!</v>
      </c>
      <c r="L129" s="84" t="e">
        <f>VLOOKUP(C127,STN_TABLE,3,FALSE)</f>
        <v>#VALUE!</v>
      </c>
      <c r="M129" t="str">
        <f>CONCATENATE("A(",C129,")=")</f>
        <v>A(  )=</v>
      </c>
      <c r="N129" t="e">
        <f>J129+L129</f>
        <v>#VALUE!</v>
      </c>
      <c r="O129" s="99">
        <f>O128+1</f>
        <v>22</v>
      </c>
      <c r="P129" s="99" t="str">
        <f t="shared" si="44"/>
        <v xml:space="preserve">  </v>
      </c>
      <c r="Q129" s="82" t="e">
        <f>IF(P129-P128=P128-P127,P129,IF(P130-P128=P128-P127,P130,IF(P129-P128=P128-P126,P129,IF(P130-P128=P128-P126,P130,"-"))))</f>
        <v>#VALUE!</v>
      </c>
      <c r="R129" s="83" t="e">
        <f>VLOOKUP(Q129,STN_TABLE,2,FALSE)</f>
        <v>#VALUE!</v>
      </c>
      <c r="S129" s="83">
        <v>-1</v>
      </c>
      <c r="T129" s="82" t="e">
        <f>R129*S129</f>
        <v>#VALUE!</v>
      </c>
      <c r="U129" s="88">
        <v>-1</v>
      </c>
      <c r="V129" s="82" t="e">
        <f>R129*U129</f>
        <v>#VALUE!</v>
      </c>
      <c r="W129" s="84" t="str">
        <f>CONCATENATE("a'(",Q128,")=")</f>
        <v>a'(  )=</v>
      </c>
      <c r="X129" s="84" t="e">
        <f>2*X127/12*T130</f>
        <v>#VALUE!</v>
      </c>
      <c r="Y129" s="84" t="e">
        <f>CONCATENATE("A(",Q127,")=")</f>
        <v>#VALUE!</v>
      </c>
      <c r="Z129" s="84" t="e">
        <f>VLOOKUP(Q127,STN_TABLE,3,FALSE)</f>
        <v>#VALUE!</v>
      </c>
      <c r="AA129" t="str">
        <f>CONCATENATE("A(",Q128,")=")</f>
        <v>A(  )=</v>
      </c>
      <c r="AB129" t="e">
        <f>X129+Z129</f>
        <v>#VALUE!</v>
      </c>
      <c r="AC129" s="99">
        <f>AC128+1</f>
        <v>21</v>
      </c>
      <c r="AD129" s="100" t="str">
        <f>VLOOKUP(AC129,STN_TABLE_2,2,FALSE)</f>
        <v xml:space="preserve">  </v>
      </c>
      <c r="AE129" s="82" t="str">
        <f>VLOOKUP(AD129,STN_TABLE,2,FALSE)</f>
        <v xml:space="preserve">  </v>
      </c>
      <c r="AF129" s="82">
        <v>2</v>
      </c>
      <c r="AG129" s="83" t="e">
        <f>AE129*AF129</f>
        <v>#VALUE!</v>
      </c>
      <c r="AH129" s="84" t="str">
        <f>CONCATENATE("a'(",AD129,")=")</f>
        <v>a'(  )=</v>
      </c>
      <c r="AI129" s="84" t="e">
        <f>2*AI127/2*AE130</f>
        <v>#VALUE!</v>
      </c>
      <c r="AJ129" s="84" t="str">
        <f>CONCATENATE("A(",AD128,")=")</f>
        <v>A(  )=</v>
      </c>
      <c r="AK129" s="84" t="str">
        <f>VLOOKUP(AD128,STN_TABLE,3,FALSE)</f>
        <v xml:space="preserve"> </v>
      </c>
      <c r="AL129" t="str">
        <f>CONCATENATE("A(",AD129,")=")</f>
        <v>A(  )=</v>
      </c>
      <c r="AM129" t="e">
        <f>AI129+AK129</f>
        <v>#VALUE!</v>
      </c>
      <c r="AO129" s="68" t="str">
        <f>AA129</f>
        <v>A(  )=</v>
      </c>
      <c r="AP129" s="68" t="e">
        <f>VLOOKUP(AO129,Rise_Results,2,FALSE)</f>
        <v>#N/A</v>
      </c>
      <c r="AQ129" s="76" t="e">
        <f>N129</f>
        <v>#VALUE!</v>
      </c>
      <c r="AR129" s="76" t="e">
        <f>IF(OR(AB129&lt;=0,AB130&lt;=0),1/0,AB129)</f>
        <v>#VALUE!</v>
      </c>
      <c r="AS129" s="76" t="e">
        <f>AM129</f>
        <v>#VALUE!</v>
      </c>
      <c r="AT129" t="e">
        <f>IFERROR(AP129,IFERROR(AQ129,IFERROR(AR129,AS129)))</f>
        <v>#VALUE!</v>
      </c>
      <c r="AU129" s="81"/>
    </row>
    <row r="130" spans="1:47" x14ac:dyDescent="0.25">
      <c r="A130" s="84">
        <f>A129+1</f>
        <v>21</v>
      </c>
      <c r="B130" s="84" t="str">
        <f t="shared" si="48"/>
        <v xml:space="preserve">  </v>
      </c>
      <c r="F130" s="82" t="e">
        <f>SUM(F127:F129)</f>
        <v>#VALUE!</v>
      </c>
      <c r="H130" s="82" t="e">
        <f>SUM(H127:H129)</f>
        <v>#VALUE!</v>
      </c>
      <c r="I130" s="84" t="str">
        <f>CONCATENATE("m'(",C129,")=")</f>
        <v>m'(  )=</v>
      </c>
      <c r="J130" s="84" t="e">
        <f>2*(J127*(WLS))/3*H130</f>
        <v>#VALUE!</v>
      </c>
      <c r="K130" s="84" t="e">
        <f>CONCATENATE("M(",C127,")=")</f>
        <v>#VALUE!</v>
      </c>
      <c r="L130" s="84" t="e">
        <f>VLOOKUP(C127,STN_TABLE,4,FALSE)</f>
        <v>#VALUE!</v>
      </c>
      <c r="M130" t="str">
        <f>CONCATENATE("M(",C129,")=")</f>
        <v>M(  )=</v>
      </c>
      <c r="N130" t="e">
        <f>J130+L130</f>
        <v>#VALUE!</v>
      </c>
      <c r="O130" s="99">
        <f>O129+1</f>
        <v>23</v>
      </c>
      <c r="P130" s="99" t="str">
        <f t="shared" si="44"/>
        <v xml:space="preserve">  </v>
      </c>
      <c r="T130" s="89" t="e">
        <f>SUM(T127:T129)</f>
        <v>#VALUE!</v>
      </c>
      <c r="V130" s="82" t="e">
        <f>SUM(V127:V129)</f>
        <v>#VALUE!</v>
      </c>
      <c r="W130" s="84" t="str">
        <f>CONCATENATE("m'(",Q128,")=")</f>
        <v>m'(  )=</v>
      </c>
      <c r="X130" s="84" t="e">
        <f>(2*(X127^2)/24*V130)+(X129*Q127*WLS)</f>
        <v>#VALUE!</v>
      </c>
      <c r="Y130" s="84" t="e">
        <f>CONCATENATE("M(",Q127,")=")</f>
        <v>#VALUE!</v>
      </c>
      <c r="Z130" s="84" t="e">
        <f>VLOOKUP(Q127,STN_TABLE,4,FALSE)</f>
        <v>#VALUE!</v>
      </c>
      <c r="AA130" t="str">
        <f>CONCATENATE("M(",Q128,")=")</f>
        <v>M(  )=</v>
      </c>
      <c r="AB130" t="e">
        <f>X130+Z130</f>
        <v>#VALUE!</v>
      </c>
      <c r="AE130" s="89">
        <f>SUM(AE128:AE129)</f>
        <v>0</v>
      </c>
      <c r="AG130" s="89" t="e">
        <f>SUM(AG128:AG129)</f>
        <v>#VALUE!</v>
      </c>
      <c r="AH130" s="84" t="str">
        <f>CONCATENATE("m'(",AD129,")=")</f>
        <v>m'(  )=</v>
      </c>
      <c r="AI130" s="84" t="e">
        <f>(2*(AI127^2)/6*AG130)+(AI129*AD128*WLS)</f>
        <v>#VALUE!</v>
      </c>
      <c r="AJ130" s="84" t="str">
        <f>CONCATENATE("M(",AD128,")=")</f>
        <v>M(  )=</v>
      </c>
      <c r="AK130" s="84" t="str">
        <f>VLOOKUP(AD128,STN_TABLE,4,FALSE)</f>
        <v xml:space="preserve"> </v>
      </c>
      <c r="AL130" t="str">
        <f>CONCATENATE("M(",AD129,")=")</f>
        <v>M(  )=</v>
      </c>
      <c r="AM130" t="e">
        <f>AI130+AK130</f>
        <v>#VALUE!</v>
      </c>
      <c r="AO130" s="82" t="str">
        <f>AA130</f>
        <v>M(  )=</v>
      </c>
      <c r="AP130" s="82" t="e">
        <f>VLOOKUP(AO130,Rise_Results,2,FALSE)</f>
        <v>#N/A</v>
      </c>
      <c r="AQ130" s="82" t="e">
        <f>N130</f>
        <v>#VALUE!</v>
      </c>
      <c r="AR130" s="82" t="e">
        <f>IF(OR(AB129&lt;=0,AB130&lt;=0),1/0,AB130)</f>
        <v>#VALUE!</v>
      </c>
      <c r="AS130" s="82" t="e">
        <f>AM130</f>
        <v>#VALUE!</v>
      </c>
      <c r="AT130" t="e">
        <f>IFERROR(AP130,IFERROR(AQ130,IFERROR(AR130,AS130)))</f>
        <v>#VALUE!</v>
      </c>
      <c r="AU130" s="81"/>
    </row>
    <row r="131" spans="1:47" x14ac:dyDescent="0.25">
      <c r="A131" s="101">
        <f>A126+1</f>
        <v>18</v>
      </c>
      <c r="B131" s="101" t="str">
        <f t="shared" si="48"/>
        <v xml:space="preserve">  </v>
      </c>
      <c r="O131" s="101">
        <f>O126+1</f>
        <v>20</v>
      </c>
      <c r="P131" s="101" t="str">
        <f t="shared" si="44"/>
        <v xml:space="preserve">  </v>
      </c>
      <c r="AU131" s="81"/>
    </row>
    <row r="132" spans="1:47" x14ac:dyDescent="0.25">
      <c r="A132" s="84">
        <f>A131+1</f>
        <v>19</v>
      </c>
      <c r="B132" s="84" t="str">
        <f t="shared" si="48"/>
        <v xml:space="preserve">  </v>
      </c>
      <c r="C132" s="79" t="e">
        <f t="shared" ref="C132" si="64">IF(C133=B134,IF(C134-C133=C133-B133,B133,IF(C134-C133=C133-B132,B132,"#NA")),IF(C133=B133,IF(C134-C133=C133-B132,B132,IF(C134-C133=C133-B131,B131,"#NA")),"#NA"))</f>
        <v>#VALUE!</v>
      </c>
      <c r="D132" s="68" t="e">
        <f>VLOOKUP(C132,STN_TABLE,2,FALSE)</f>
        <v>#VALUE!</v>
      </c>
      <c r="E132" s="102">
        <v>1</v>
      </c>
      <c r="F132" s="68" t="e">
        <f>D132*E132</f>
        <v>#VALUE!</v>
      </c>
      <c r="G132" s="69" t="e">
        <f>C132</f>
        <v>#VALUE!</v>
      </c>
      <c r="H132" s="69" t="e">
        <f>F132*G132</f>
        <v>#VALUE!</v>
      </c>
      <c r="I132" s="6" t="s">
        <v>93</v>
      </c>
      <c r="J132" s="70" t="e">
        <f>IF(OR(D132=0,D133=0,D134=0),"#NA",IF(AND(C134-C133=C133-C132,C133&lt;&gt;C134,C132&lt;&gt;C133,C132&lt;&gt;C134,D134&lt;&gt;0,OR(D132&lt;&gt;0,D133&lt;&gt;0)),WLS*(C134-C133),"#NA"))</f>
        <v>#VALUE!</v>
      </c>
      <c r="O132" s="99">
        <f>O131+1</f>
        <v>21</v>
      </c>
      <c r="P132" s="99" t="str">
        <f t="shared" ref="P132:P150" si="65">VLOOKUP(O132,STN_TABLE_2,2,FALSE)</f>
        <v xml:space="preserve">  </v>
      </c>
      <c r="Q132" s="68" t="e">
        <f>IF(OR(P134-P133=P133-P132,P135-P133=P133-P132),P132,IF(OR(P134-P133=P133-P131,P135-P133=P133-P131),P131,"-"))</f>
        <v>#VALUE!</v>
      </c>
      <c r="R132" s="69" t="e">
        <f>VLOOKUP(Q132,STN_TABLE,2,FALSE)</f>
        <v>#VALUE!</v>
      </c>
      <c r="S132" s="69">
        <v>5</v>
      </c>
      <c r="T132" s="68" t="e">
        <f>R132*S132</f>
        <v>#VALUE!</v>
      </c>
      <c r="U132" s="79">
        <v>3</v>
      </c>
      <c r="V132" s="68" t="e">
        <f>R132*U132</f>
        <v>#VALUE!</v>
      </c>
      <c r="W132" s="6" t="s">
        <v>93</v>
      </c>
      <c r="X132" s="70" t="e">
        <f>IF(AND(Q134-Q133=Q133-Q132,NOT(AND(Q132=0,Q133=0)),NOT(AND(Q133=0,Q134=0))),WLS*(Q134-Q133),"#NA")</f>
        <v>#VALUE!</v>
      </c>
      <c r="AD132" s="93"/>
      <c r="AH132" s="6" t="s">
        <v>93</v>
      </c>
      <c r="AI132" s="70" t="e">
        <f>WLS*(AD134-AD133)</f>
        <v>#VALUE!</v>
      </c>
      <c r="AU132" s="81"/>
    </row>
    <row r="133" spans="1:47" x14ac:dyDescent="0.25">
      <c r="A133" s="84">
        <f>A132+1</f>
        <v>20</v>
      </c>
      <c r="B133" s="84" t="str">
        <f t="shared" si="48"/>
        <v xml:space="preserve">  </v>
      </c>
      <c r="C133" s="80" t="e">
        <f t="shared" ref="C133" si="66">IF(OR(B135-B134=B134-B133,B135-B134=B134-B132,B135-B134=B134-B131),B134,IF(OR(B135-B133=B133-B132,B135-B133=B133-B131),B133,IF(B135-B132=B132-B131,B132,"#NA")))</f>
        <v>#VALUE!</v>
      </c>
      <c r="D133" s="76" t="e">
        <f>VLOOKUP(C133,STN_TABLE,2,FALSE)</f>
        <v>#VALUE!</v>
      </c>
      <c r="E133" s="81">
        <v>4</v>
      </c>
      <c r="F133" s="76" t="e">
        <f>D133*E133</f>
        <v>#VALUE!</v>
      </c>
      <c r="G133" s="77" t="e">
        <f>C133</f>
        <v>#VALUE!</v>
      </c>
      <c r="H133" s="77" t="e">
        <f>F133*G133</f>
        <v>#VALUE!</v>
      </c>
      <c r="I133" s="495" t="s">
        <v>97</v>
      </c>
      <c r="J133" s="496"/>
      <c r="K133" s="78" t="s">
        <v>98</v>
      </c>
      <c r="L133" s="78"/>
      <c r="M133" s="7" t="s">
        <v>99</v>
      </c>
      <c r="N133" s="7"/>
      <c r="O133" s="99">
        <f>O132+1</f>
        <v>22</v>
      </c>
      <c r="P133" s="99" t="str">
        <f t="shared" si="65"/>
        <v xml:space="preserve">  </v>
      </c>
      <c r="Q133" s="76" t="str">
        <f>P133</f>
        <v xml:space="preserve">  </v>
      </c>
      <c r="R133" s="77" t="str">
        <f>VLOOKUP(Q133,STN_TABLE,2,FALSE)</f>
        <v xml:space="preserve">  </v>
      </c>
      <c r="S133" s="77">
        <v>8</v>
      </c>
      <c r="T133" s="76" t="e">
        <f>R133*S133</f>
        <v>#VALUE!</v>
      </c>
      <c r="U133" s="80">
        <v>10</v>
      </c>
      <c r="V133" s="76" t="e">
        <f>R133*U133</f>
        <v>#VALUE!</v>
      </c>
      <c r="W133" s="496" t="s">
        <v>97</v>
      </c>
      <c r="X133" s="496"/>
      <c r="Y133" s="496" t="s">
        <v>98</v>
      </c>
      <c r="Z133" s="496"/>
      <c r="AA133" s="494" t="s">
        <v>99</v>
      </c>
      <c r="AB133" s="494"/>
      <c r="AC133" s="99">
        <f>AC128+1</f>
        <v>21</v>
      </c>
      <c r="AD133" s="95" t="str">
        <f>VLOOKUP(AC133,STN_TABLE_2,2,FALSE)</f>
        <v xml:space="preserve">  </v>
      </c>
      <c r="AE133" s="68" t="str">
        <f>VLOOKUP(AD133,STN_TABLE,2,FALSE)</f>
        <v xml:space="preserve">  </v>
      </c>
      <c r="AF133" s="68">
        <v>1</v>
      </c>
      <c r="AG133" s="69" t="e">
        <f>AE133*AF133</f>
        <v>#VALUE!</v>
      </c>
      <c r="AH133" s="496" t="s">
        <v>97</v>
      </c>
      <c r="AI133" s="496"/>
      <c r="AJ133" s="496" t="s">
        <v>98</v>
      </c>
      <c r="AK133" s="496"/>
      <c r="AL133" s="494" t="s">
        <v>99</v>
      </c>
      <c r="AM133" s="494"/>
      <c r="AP133" s="86" t="s">
        <v>112</v>
      </c>
      <c r="AQ133" s="89" t="s">
        <v>113</v>
      </c>
      <c r="AR133" s="89" t="s">
        <v>114</v>
      </c>
      <c r="AS133" s="89" t="s">
        <v>115</v>
      </c>
      <c r="AU133" s="81"/>
    </row>
    <row r="134" spans="1:47" x14ac:dyDescent="0.25">
      <c r="A134" s="84">
        <f>A133+1</f>
        <v>21</v>
      </c>
      <c r="B134" s="84" t="str">
        <f t="shared" si="48"/>
        <v xml:space="preserve">  </v>
      </c>
      <c r="C134" s="88" t="str">
        <f t="shared" ref="C134" si="67">B135</f>
        <v xml:space="preserve">  </v>
      </c>
      <c r="D134" s="82" t="str">
        <f>VLOOKUP(C134,STN_TABLE,2,FALSE)</f>
        <v xml:space="preserve">  </v>
      </c>
      <c r="E134" s="92">
        <v>1</v>
      </c>
      <c r="F134" s="82" t="e">
        <f>D134*E134</f>
        <v>#VALUE!</v>
      </c>
      <c r="G134" s="83" t="str">
        <f>C134</f>
        <v xml:space="preserve">  </v>
      </c>
      <c r="H134" s="83" t="e">
        <f>F134*G134</f>
        <v>#VALUE!</v>
      </c>
      <c r="I134" s="84" t="str">
        <f>CONCATENATE("a'(",C134,")=")</f>
        <v>a'(  )=</v>
      </c>
      <c r="J134" s="84" t="e">
        <f>2*J132/3*F135</f>
        <v>#VALUE!</v>
      </c>
      <c r="K134" s="84" t="e">
        <f>CONCATENATE("A(",C132,")=")</f>
        <v>#VALUE!</v>
      </c>
      <c r="L134" s="84" t="e">
        <f>VLOOKUP(C132,STN_TABLE,3,FALSE)</f>
        <v>#VALUE!</v>
      </c>
      <c r="M134" t="str">
        <f>CONCATENATE("A(",C134,")=")</f>
        <v>A(  )=</v>
      </c>
      <c r="N134" t="e">
        <f>J134+L134</f>
        <v>#VALUE!</v>
      </c>
      <c r="O134" s="99">
        <f>O133+1</f>
        <v>23</v>
      </c>
      <c r="P134" s="99" t="str">
        <f t="shared" si="65"/>
        <v xml:space="preserve">  </v>
      </c>
      <c r="Q134" s="82" t="e">
        <f>IF(P134-P133=P133-P132,P134,IF(P135-P133=P133-P132,P135,IF(P134-P133=P133-P131,P134,IF(P135-P133=P133-P131,P135,"-"))))</f>
        <v>#VALUE!</v>
      </c>
      <c r="R134" s="83" t="e">
        <f>VLOOKUP(Q134,STN_TABLE,2,FALSE)</f>
        <v>#VALUE!</v>
      </c>
      <c r="S134" s="83">
        <v>-1</v>
      </c>
      <c r="T134" s="82" t="e">
        <f>R134*S134</f>
        <v>#VALUE!</v>
      </c>
      <c r="U134" s="88">
        <v>-1</v>
      </c>
      <c r="V134" s="82" t="e">
        <f>R134*U134</f>
        <v>#VALUE!</v>
      </c>
      <c r="W134" s="84" t="str">
        <f>CONCATENATE("a'(",Q133,")=")</f>
        <v>a'(  )=</v>
      </c>
      <c r="X134" s="84" t="e">
        <f>2*X132/12*T135</f>
        <v>#VALUE!</v>
      </c>
      <c r="Y134" s="84" t="e">
        <f>CONCATENATE("A(",Q132,")=")</f>
        <v>#VALUE!</v>
      </c>
      <c r="Z134" s="84" t="e">
        <f>VLOOKUP(Q132,STN_TABLE,3,FALSE)</f>
        <v>#VALUE!</v>
      </c>
      <c r="AA134" t="str">
        <f>CONCATENATE("A(",Q133,")=")</f>
        <v>A(  )=</v>
      </c>
      <c r="AB134" t="e">
        <f>X134+Z134</f>
        <v>#VALUE!</v>
      </c>
      <c r="AC134" s="99">
        <f>AC133+1</f>
        <v>22</v>
      </c>
      <c r="AD134" s="100" t="str">
        <f>VLOOKUP(AC134,STN_TABLE_2,2,FALSE)</f>
        <v xml:space="preserve">  </v>
      </c>
      <c r="AE134" s="82" t="str">
        <f>VLOOKUP(AD134,STN_TABLE,2,FALSE)</f>
        <v xml:space="preserve">  </v>
      </c>
      <c r="AF134" s="82">
        <v>2</v>
      </c>
      <c r="AG134" s="83" t="e">
        <f>AE134*AF134</f>
        <v>#VALUE!</v>
      </c>
      <c r="AH134" s="84" t="str">
        <f>CONCATENATE("a'(",AD134,")=")</f>
        <v>a'(  )=</v>
      </c>
      <c r="AI134" s="84" t="e">
        <f>2*AI132/2*AE135</f>
        <v>#VALUE!</v>
      </c>
      <c r="AJ134" s="84" t="str">
        <f>CONCATENATE("A(",AD133,")=")</f>
        <v>A(  )=</v>
      </c>
      <c r="AK134" s="84" t="str">
        <f>VLOOKUP(AD133,STN_TABLE,3,FALSE)</f>
        <v xml:space="preserve"> </v>
      </c>
      <c r="AL134" t="str">
        <f>CONCATENATE("A(",AD134,")=")</f>
        <v>A(  )=</v>
      </c>
      <c r="AM134" t="e">
        <f>AI134+AK134</f>
        <v>#VALUE!</v>
      </c>
      <c r="AO134" s="68" t="str">
        <f>AA134</f>
        <v>A(  )=</v>
      </c>
      <c r="AP134" s="68" t="e">
        <f>VLOOKUP(AO134,Rise_Results,2,FALSE)</f>
        <v>#N/A</v>
      </c>
      <c r="AQ134" s="76" t="e">
        <f>N134</f>
        <v>#VALUE!</v>
      </c>
      <c r="AR134" s="76" t="e">
        <f>IF(OR(AB134&lt;=0,AB135&lt;=0),1/0,AB134)</f>
        <v>#VALUE!</v>
      </c>
      <c r="AS134" s="76" t="e">
        <f>AM134</f>
        <v>#VALUE!</v>
      </c>
      <c r="AT134" t="e">
        <f>IFERROR(AP134,IFERROR(AQ134,IFERROR(AR134,AS134)))</f>
        <v>#VALUE!</v>
      </c>
      <c r="AU134" s="81"/>
    </row>
    <row r="135" spans="1:47" x14ac:dyDescent="0.25">
      <c r="A135" s="84">
        <f>A134+1</f>
        <v>22</v>
      </c>
      <c r="B135" s="84" t="str">
        <f t="shared" si="48"/>
        <v xml:space="preserve">  </v>
      </c>
      <c r="F135" s="82" t="e">
        <f>SUM(F132:F134)</f>
        <v>#VALUE!</v>
      </c>
      <c r="H135" s="82" t="e">
        <f>SUM(H132:H134)</f>
        <v>#VALUE!</v>
      </c>
      <c r="I135" s="84" t="str">
        <f>CONCATENATE("m'(",C134,")=")</f>
        <v>m'(  )=</v>
      </c>
      <c r="J135" s="84" t="e">
        <f>2*(J132*(WLS))/3*H135</f>
        <v>#VALUE!</v>
      </c>
      <c r="K135" s="84" t="e">
        <f>CONCATENATE("M(",C132,")=")</f>
        <v>#VALUE!</v>
      </c>
      <c r="L135" s="84" t="e">
        <f>VLOOKUP(C132,STN_TABLE,4,FALSE)</f>
        <v>#VALUE!</v>
      </c>
      <c r="M135" t="str">
        <f>CONCATENATE("M(",C134,")=")</f>
        <v>M(  )=</v>
      </c>
      <c r="N135" t="e">
        <f>J135+L135</f>
        <v>#VALUE!</v>
      </c>
      <c r="O135" s="99">
        <f>O134+1</f>
        <v>24</v>
      </c>
      <c r="P135" s="99" t="str">
        <f t="shared" si="65"/>
        <v xml:space="preserve">  </v>
      </c>
      <c r="T135" s="89" t="e">
        <f>SUM(T132:T134)</f>
        <v>#VALUE!</v>
      </c>
      <c r="V135" s="82" t="e">
        <f>SUM(V132:V134)</f>
        <v>#VALUE!</v>
      </c>
      <c r="W135" s="84" t="str">
        <f>CONCATENATE("m'(",Q133,")=")</f>
        <v>m'(  )=</v>
      </c>
      <c r="X135" s="84" t="e">
        <f>(2*(X132^2)/24*V135)+(X134*Q132*WLS)</f>
        <v>#VALUE!</v>
      </c>
      <c r="Y135" s="84" t="e">
        <f>CONCATENATE("M(",Q132,")=")</f>
        <v>#VALUE!</v>
      </c>
      <c r="Z135" s="84" t="e">
        <f>VLOOKUP(Q132,STN_TABLE,4,FALSE)</f>
        <v>#VALUE!</v>
      </c>
      <c r="AA135" t="str">
        <f>CONCATENATE("M(",Q133,")=")</f>
        <v>M(  )=</v>
      </c>
      <c r="AB135" t="e">
        <f>X135+Z135</f>
        <v>#VALUE!</v>
      </c>
      <c r="AE135" s="89">
        <f>SUM(AE133:AE134)</f>
        <v>0</v>
      </c>
      <c r="AG135" s="89" t="e">
        <f>SUM(AG133:AG134)</f>
        <v>#VALUE!</v>
      </c>
      <c r="AH135" s="84" t="str">
        <f>CONCATENATE("m'(",AD134,")=")</f>
        <v>m'(  )=</v>
      </c>
      <c r="AI135" s="84" t="e">
        <f>(2*(AI132^2)/6*AG135)+(AI134*AD133*WLS)</f>
        <v>#VALUE!</v>
      </c>
      <c r="AJ135" s="84" t="str">
        <f>CONCATENATE("M(",AD133,")=")</f>
        <v>M(  )=</v>
      </c>
      <c r="AK135" s="84" t="str">
        <f>VLOOKUP(AD133,STN_TABLE,4,FALSE)</f>
        <v xml:space="preserve"> </v>
      </c>
      <c r="AL135" t="str">
        <f>CONCATENATE("M(",AD134,")=")</f>
        <v>M(  )=</v>
      </c>
      <c r="AM135" t="e">
        <f>AI135+AK135</f>
        <v>#VALUE!</v>
      </c>
      <c r="AO135" s="82" t="str">
        <f>AA135</f>
        <v>M(  )=</v>
      </c>
      <c r="AP135" s="82" t="e">
        <f>VLOOKUP(AO135,Rise_Results,2,FALSE)</f>
        <v>#N/A</v>
      </c>
      <c r="AQ135" s="82" t="e">
        <f>N135</f>
        <v>#VALUE!</v>
      </c>
      <c r="AR135" s="82" t="e">
        <f>IF(OR(AB134&lt;=0,AB135&lt;=0),1/0,AB135)</f>
        <v>#VALUE!</v>
      </c>
      <c r="AS135" s="82" t="e">
        <f>AM135</f>
        <v>#VALUE!</v>
      </c>
      <c r="AT135" t="e">
        <f>IFERROR(AP135,IFERROR(AQ135,IFERROR(AR135,AS135)))</f>
        <v>#VALUE!</v>
      </c>
      <c r="AU135" s="81"/>
    </row>
    <row r="136" spans="1:47" x14ac:dyDescent="0.25">
      <c r="A136" s="101">
        <f>A131+1</f>
        <v>19</v>
      </c>
      <c r="B136" s="101" t="str">
        <f t="shared" si="48"/>
        <v xml:space="preserve">  </v>
      </c>
      <c r="O136" s="101">
        <f>O131+1</f>
        <v>21</v>
      </c>
      <c r="P136" s="101" t="str">
        <f t="shared" si="65"/>
        <v xml:space="preserve">  </v>
      </c>
      <c r="AU136" s="81"/>
    </row>
    <row r="137" spans="1:47" x14ac:dyDescent="0.25">
      <c r="A137" s="84">
        <f>A136+1</f>
        <v>20</v>
      </c>
      <c r="B137" s="84" t="str">
        <f t="shared" si="48"/>
        <v xml:space="preserve">  </v>
      </c>
      <c r="C137" s="79" t="e">
        <f t="shared" ref="C137" si="68">IF(C138=B139,IF(C139-C138=C138-B138,B138,IF(C139-C138=C138-B137,B137,"#NA")),IF(C138=B138,IF(C139-C138=C138-B137,B137,IF(C139-C138=C138-B136,B136,"#NA")),"#NA"))</f>
        <v>#VALUE!</v>
      </c>
      <c r="D137" s="68" t="e">
        <f>VLOOKUP(C137,STN_TABLE,2,FALSE)</f>
        <v>#VALUE!</v>
      </c>
      <c r="E137" s="102">
        <v>1</v>
      </c>
      <c r="F137" s="68" t="e">
        <f>D137*E137</f>
        <v>#VALUE!</v>
      </c>
      <c r="G137" s="69" t="e">
        <f>C137</f>
        <v>#VALUE!</v>
      </c>
      <c r="H137" s="69" t="e">
        <f>F137*G137</f>
        <v>#VALUE!</v>
      </c>
      <c r="I137" s="6" t="s">
        <v>93</v>
      </c>
      <c r="J137" s="70" t="e">
        <f>IF(OR(D137=0,D138=0,D139=0),"#NA",IF(AND(C139-C138=C138-C137,C138&lt;&gt;C139,C137&lt;&gt;C138,C137&lt;&gt;C139,D139&lt;&gt;0,OR(D137&lt;&gt;0,D138&lt;&gt;0)),WLS*(C139-C138),"#NA"))</f>
        <v>#VALUE!</v>
      </c>
      <c r="O137" s="99">
        <f>O136+1</f>
        <v>22</v>
      </c>
      <c r="P137" s="99" t="str">
        <f t="shared" si="65"/>
        <v xml:space="preserve">  </v>
      </c>
      <c r="Q137" s="68" t="e">
        <f>IF(OR(P139-P138=P138-P137,P140-P138=P138-P137),P137,IF(OR(P139-P138=P138-P136,P140-P138=P138-P136),P136,"-"))</f>
        <v>#VALUE!</v>
      </c>
      <c r="R137" s="69" t="e">
        <f>VLOOKUP(Q137,STN_TABLE,2,FALSE)</f>
        <v>#VALUE!</v>
      </c>
      <c r="S137" s="69">
        <v>5</v>
      </c>
      <c r="T137" s="68" t="e">
        <f>R137*S137</f>
        <v>#VALUE!</v>
      </c>
      <c r="U137" s="79">
        <v>3</v>
      </c>
      <c r="V137" s="68" t="e">
        <f>R137*U137</f>
        <v>#VALUE!</v>
      </c>
      <c r="W137" s="6" t="s">
        <v>93</v>
      </c>
      <c r="X137" s="70" t="e">
        <f>IF(AND(Q139-Q138=Q138-Q137,NOT(AND(Q137=0,Q138=0)),NOT(AND(Q138=0,Q139=0))),WLS*(Q139-Q138),"#NA")</f>
        <v>#VALUE!</v>
      </c>
      <c r="AD137" s="93"/>
      <c r="AH137" s="6" t="s">
        <v>93</v>
      </c>
      <c r="AI137" s="70" t="e">
        <f>WLS*(AD139-AD138)</f>
        <v>#VALUE!</v>
      </c>
      <c r="AU137" s="81"/>
    </row>
    <row r="138" spans="1:47" x14ac:dyDescent="0.25">
      <c r="A138" s="84">
        <f>A137+1</f>
        <v>21</v>
      </c>
      <c r="B138" s="84" t="str">
        <f t="shared" ref="B138:B150" si="69">VLOOKUP(A138,STN_TABLE_2,2,FALSE)</f>
        <v xml:space="preserve">  </v>
      </c>
      <c r="C138" s="80" t="e">
        <f t="shared" ref="C138" si="70">IF(OR(B140-B139=B139-B138,B140-B139=B139-B137,B140-B139=B139-B136),B139,IF(OR(B140-B138=B138-B137,B140-B138=B138-B136),B138,IF(B140-B137=B137-B136,B137,"#NA")))</f>
        <v>#VALUE!</v>
      </c>
      <c r="D138" s="76" t="e">
        <f>VLOOKUP(C138,STN_TABLE,2,FALSE)</f>
        <v>#VALUE!</v>
      </c>
      <c r="E138" s="81">
        <v>4</v>
      </c>
      <c r="F138" s="76" t="e">
        <f>D138*E138</f>
        <v>#VALUE!</v>
      </c>
      <c r="G138" s="77" t="e">
        <f>C138</f>
        <v>#VALUE!</v>
      </c>
      <c r="H138" s="77" t="e">
        <f>F138*G138</f>
        <v>#VALUE!</v>
      </c>
      <c r="I138" s="495" t="s">
        <v>97</v>
      </c>
      <c r="J138" s="496"/>
      <c r="K138" s="78" t="s">
        <v>98</v>
      </c>
      <c r="L138" s="78"/>
      <c r="M138" s="7" t="s">
        <v>99</v>
      </c>
      <c r="N138" s="7"/>
      <c r="O138" s="99">
        <f>O137+1</f>
        <v>23</v>
      </c>
      <c r="P138" s="99" t="str">
        <f t="shared" si="65"/>
        <v xml:space="preserve">  </v>
      </c>
      <c r="Q138" s="76" t="str">
        <f>P138</f>
        <v xml:space="preserve">  </v>
      </c>
      <c r="R138" s="77" t="str">
        <f>VLOOKUP(Q138,STN_TABLE,2,FALSE)</f>
        <v xml:space="preserve">  </v>
      </c>
      <c r="S138" s="77">
        <v>8</v>
      </c>
      <c r="T138" s="76" t="e">
        <f>R138*S138</f>
        <v>#VALUE!</v>
      </c>
      <c r="U138" s="80">
        <v>10</v>
      </c>
      <c r="V138" s="76" t="e">
        <f>R138*U138</f>
        <v>#VALUE!</v>
      </c>
      <c r="W138" s="496" t="s">
        <v>97</v>
      </c>
      <c r="X138" s="496"/>
      <c r="Y138" s="496" t="s">
        <v>98</v>
      </c>
      <c r="Z138" s="496"/>
      <c r="AA138" s="494" t="s">
        <v>99</v>
      </c>
      <c r="AB138" s="494"/>
      <c r="AC138" s="99">
        <f>AC133+1</f>
        <v>22</v>
      </c>
      <c r="AD138" s="95" t="str">
        <f>VLOOKUP(AC138,STN_TABLE_2,2,FALSE)</f>
        <v xml:space="preserve">  </v>
      </c>
      <c r="AE138" s="68" t="str">
        <f>VLOOKUP(AD138,STN_TABLE,2,FALSE)</f>
        <v xml:space="preserve">  </v>
      </c>
      <c r="AF138" s="68">
        <v>1</v>
      </c>
      <c r="AG138" s="69" t="e">
        <f>AE138*AF138</f>
        <v>#VALUE!</v>
      </c>
      <c r="AH138" s="496" t="s">
        <v>97</v>
      </c>
      <c r="AI138" s="496"/>
      <c r="AJ138" s="496" t="s">
        <v>98</v>
      </c>
      <c r="AK138" s="496"/>
      <c r="AL138" s="494" t="s">
        <v>99</v>
      </c>
      <c r="AM138" s="494"/>
      <c r="AP138" s="86" t="s">
        <v>112</v>
      </c>
      <c r="AQ138" s="89" t="s">
        <v>113</v>
      </c>
      <c r="AR138" s="89" t="s">
        <v>114</v>
      </c>
      <c r="AS138" s="89" t="s">
        <v>115</v>
      </c>
      <c r="AU138" s="81"/>
    </row>
    <row r="139" spans="1:47" x14ac:dyDescent="0.25">
      <c r="A139" s="84">
        <f>A138+1</f>
        <v>22</v>
      </c>
      <c r="B139" s="84" t="str">
        <f t="shared" si="69"/>
        <v xml:space="preserve">  </v>
      </c>
      <c r="C139" s="88" t="str">
        <f t="shared" ref="C139" si="71">B140</f>
        <v xml:space="preserve">  </v>
      </c>
      <c r="D139" s="82" t="str">
        <f>VLOOKUP(C139,STN_TABLE,2,FALSE)</f>
        <v xml:space="preserve">  </v>
      </c>
      <c r="E139" s="92">
        <v>1</v>
      </c>
      <c r="F139" s="82" t="e">
        <f>D139*E139</f>
        <v>#VALUE!</v>
      </c>
      <c r="G139" s="83" t="str">
        <f>C139</f>
        <v xml:space="preserve">  </v>
      </c>
      <c r="H139" s="83" t="e">
        <f>F139*G139</f>
        <v>#VALUE!</v>
      </c>
      <c r="I139" s="84" t="str">
        <f>CONCATENATE("a'(",C139,")=")</f>
        <v>a'(  )=</v>
      </c>
      <c r="J139" s="84" t="e">
        <f>2*J137/3*F140</f>
        <v>#VALUE!</v>
      </c>
      <c r="K139" s="84" t="e">
        <f>CONCATENATE("A(",C137,")=")</f>
        <v>#VALUE!</v>
      </c>
      <c r="L139" s="84" t="e">
        <f>VLOOKUP(C137,STN_TABLE,3,FALSE)</f>
        <v>#VALUE!</v>
      </c>
      <c r="M139" t="str">
        <f>CONCATENATE("A(",C139,")=")</f>
        <v>A(  )=</v>
      </c>
      <c r="N139" t="e">
        <f>J139+L139</f>
        <v>#VALUE!</v>
      </c>
      <c r="O139" s="99">
        <f>O138+1</f>
        <v>24</v>
      </c>
      <c r="P139" s="99" t="str">
        <f t="shared" si="65"/>
        <v xml:space="preserve">  </v>
      </c>
      <c r="Q139" s="82" t="e">
        <f>IF(P139-P138=P138-P137,P139,IF(P140-P138=P138-P137,P140,IF(P139-P138=P138-P136,P139,IF(P140-P138=P138-P136,P140,"-"))))</f>
        <v>#VALUE!</v>
      </c>
      <c r="R139" s="83" t="e">
        <f>VLOOKUP(Q139,STN_TABLE,2,FALSE)</f>
        <v>#VALUE!</v>
      </c>
      <c r="S139" s="83">
        <v>-1</v>
      </c>
      <c r="T139" s="82" t="e">
        <f>R139*S139</f>
        <v>#VALUE!</v>
      </c>
      <c r="U139" s="88">
        <v>-1</v>
      </c>
      <c r="V139" s="82" t="e">
        <f>R139*U139</f>
        <v>#VALUE!</v>
      </c>
      <c r="W139" s="84" t="str">
        <f>CONCATENATE("a'(",Q138,")=")</f>
        <v>a'(  )=</v>
      </c>
      <c r="X139" s="84" t="e">
        <f>2*X137/12*T140</f>
        <v>#VALUE!</v>
      </c>
      <c r="Y139" s="84" t="e">
        <f>CONCATENATE("A(",Q137,")=")</f>
        <v>#VALUE!</v>
      </c>
      <c r="Z139" s="84" t="e">
        <f>VLOOKUP(Q137,STN_TABLE,3,FALSE)</f>
        <v>#VALUE!</v>
      </c>
      <c r="AA139" t="str">
        <f>CONCATENATE("A(",Q138,")=")</f>
        <v>A(  )=</v>
      </c>
      <c r="AB139" t="e">
        <f>X139+Z139</f>
        <v>#VALUE!</v>
      </c>
      <c r="AC139" s="99">
        <f>AC138+1</f>
        <v>23</v>
      </c>
      <c r="AD139" s="100" t="str">
        <f>VLOOKUP(AC139,STN_TABLE_2,2,FALSE)</f>
        <v xml:space="preserve">  </v>
      </c>
      <c r="AE139" s="82" t="str">
        <f>VLOOKUP(AD139,STN_TABLE,2,FALSE)</f>
        <v xml:space="preserve">  </v>
      </c>
      <c r="AF139" s="82">
        <v>2</v>
      </c>
      <c r="AG139" s="83" t="e">
        <f>AE139*AF139</f>
        <v>#VALUE!</v>
      </c>
      <c r="AH139" s="84" t="str">
        <f>CONCATENATE("a'(",AD139,")=")</f>
        <v>a'(  )=</v>
      </c>
      <c r="AI139" s="84" t="e">
        <f>2*AI137/2*AE140</f>
        <v>#VALUE!</v>
      </c>
      <c r="AJ139" s="84" t="str">
        <f>CONCATENATE("A(",AD138,")=")</f>
        <v>A(  )=</v>
      </c>
      <c r="AK139" s="84" t="str">
        <f>VLOOKUP(AD138,STN_TABLE,3,FALSE)</f>
        <v xml:space="preserve"> </v>
      </c>
      <c r="AL139" t="str">
        <f>CONCATENATE("A(",AD139,")=")</f>
        <v>A(  )=</v>
      </c>
      <c r="AM139" t="e">
        <f>AI139+AK139</f>
        <v>#VALUE!</v>
      </c>
      <c r="AO139" s="68" t="str">
        <f>AA139</f>
        <v>A(  )=</v>
      </c>
      <c r="AP139" s="68" t="e">
        <f>VLOOKUP(AO139,Rise_Results,2,FALSE)</f>
        <v>#N/A</v>
      </c>
      <c r="AQ139" s="76" t="e">
        <f>N139</f>
        <v>#VALUE!</v>
      </c>
      <c r="AR139" s="76" t="e">
        <f>IF(OR(AB139&lt;=0,AB140&lt;=0),1/0,AB139)</f>
        <v>#VALUE!</v>
      </c>
      <c r="AS139" s="76" t="e">
        <f>AM139</f>
        <v>#VALUE!</v>
      </c>
      <c r="AT139" t="e">
        <f>IFERROR(AP139,IFERROR(AQ139,IFERROR(AR139,AS139)))</f>
        <v>#VALUE!</v>
      </c>
      <c r="AU139" s="81"/>
    </row>
    <row r="140" spans="1:47" x14ac:dyDescent="0.25">
      <c r="A140" s="84">
        <f>A139+1</f>
        <v>23</v>
      </c>
      <c r="B140" s="84" t="str">
        <f t="shared" si="69"/>
        <v xml:space="preserve">  </v>
      </c>
      <c r="F140" s="82" t="e">
        <f>SUM(F137:F139)</f>
        <v>#VALUE!</v>
      </c>
      <c r="H140" s="82" t="e">
        <f>SUM(H137:H139)</f>
        <v>#VALUE!</v>
      </c>
      <c r="I140" s="84" t="str">
        <f>CONCATENATE("m'(",C139,")=")</f>
        <v>m'(  )=</v>
      </c>
      <c r="J140" s="84" t="e">
        <f>2*(J137*(WLS))/3*H140</f>
        <v>#VALUE!</v>
      </c>
      <c r="K140" s="84" t="e">
        <f>CONCATENATE("M(",C137,")=")</f>
        <v>#VALUE!</v>
      </c>
      <c r="L140" s="84" t="e">
        <f>VLOOKUP(C137,STN_TABLE,4,FALSE)</f>
        <v>#VALUE!</v>
      </c>
      <c r="M140" t="str">
        <f>CONCATENATE("M(",C139,")=")</f>
        <v>M(  )=</v>
      </c>
      <c r="N140" t="e">
        <f>J140+L140</f>
        <v>#VALUE!</v>
      </c>
      <c r="O140" s="99">
        <f>O139+1</f>
        <v>25</v>
      </c>
      <c r="P140" s="99" t="str">
        <f t="shared" si="65"/>
        <v xml:space="preserve">  </v>
      </c>
      <c r="T140" s="89" t="e">
        <f>SUM(T137:T139)</f>
        <v>#VALUE!</v>
      </c>
      <c r="V140" s="82" t="e">
        <f>SUM(V137:V139)</f>
        <v>#VALUE!</v>
      </c>
      <c r="W140" s="84" t="str">
        <f>CONCATENATE("m'(",Q138,")=")</f>
        <v>m'(  )=</v>
      </c>
      <c r="X140" s="84" t="e">
        <f>(2*(X137^2)/24*V140)+(X139*Q137*WLS)</f>
        <v>#VALUE!</v>
      </c>
      <c r="Y140" s="84" t="e">
        <f>CONCATENATE("M(",Q137,")=")</f>
        <v>#VALUE!</v>
      </c>
      <c r="Z140" s="84" t="e">
        <f>VLOOKUP(Q137,STN_TABLE,4,FALSE)</f>
        <v>#VALUE!</v>
      </c>
      <c r="AA140" t="str">
        <f>CONCATENATE("M(",Q138,")=")</f>
        <v>M(  )=</v>
      </c>
      <c r="AB140" t="e">
        <f>X140+Z140</f>
        <v>#VALUE!</v>
      </c>
      <c r="AE140" s="89">
        <f>SUM(AE138:AE139)</f>
        <v>0</v>
      </c>
      <c r="AG140" s="89" t="e">
        <f>SUM(AG138:AG139)</f>
        <v>#VALUE!</v>
      </c>
      <c r="AH140" s="84" t="str">
        <f>CONCATENATE("m'(",AD139,")=")</f>
        <v>m'(  )=</v>
      </c>
      <c r="AI140" s="84" t="e">
        <f>(2*(AI137^2)/6*AG140)+(AI139*AD138*WLS)</f>
        <v>#VALUE!</v>
      </c>
      <c r="AJ140" s="84" t="str">
        <f>CONCATENATE("M(",AD138,")=")</f>
        <v>M(  )=</v>
      </c>
      <c r="AK140" s="84" t="str">
        <f>VLOOKUP(AD138,STN_TABLE,4,FALSE)</f>
        <v xml:space="preserve"> </v>
      </c>
      <c r="AL140" t="str">
        <f>CONCATENATE("M(",AD139,")=")</f>
        <v>M(  )=</v>
      </c>
      <c r="AM140" t="e">
        <f>AI140+AK140</f>
        <v>#VALUE!</v>
      </c>
      <c r="AO140" s="82" t="str">
        <f>AA140</f>
        <v>M(  )=</v>
      </c>
      <c r="AP140" s="82" t="e">
        <f>VLOOKUP(AO140,Rise_Results,2,FALSE)</f>
        <v>#N/A</v>
      </c>
      <c r="AQ140" s="82" t="e">
        <f>N140</f>
        <v>#VALUE!</v>
      </c>
      <c r="AR140" s="82" t="e">
        <f>IF(OR(AB139&lt;=0,AB140&lt;=0),1/0,AB140)</f>
        <v>#VALUE!</v>
      </c>
      <c r="AS140" s="82" t="e">
        <f>AM140</f>
        <v>#VALUE!</v>
      </c>
      <c r="AT140" t="e">
        <f>IFERROR(AP140,IFERROR(AQ140,IFERROR(AR140,AS140)))</f>
        <v>#VALUE!</v>
      </c>
      <c r="AU140" s="81"/>
    </row>
    <row r="141" spans="1:47" x14ac:dyDescent="0.25">
      <c r="A141" s="101">
        <f>A136+1</f>
        <v>20</v>
      </c>
      <c r="B141" s="101" t="str">
        <f t="shared" si="69"/>
        <v xml:space="preserve">  </v>
      </c>
      <c r="O141" s="101">
        <f>O136+1</f>
        <v>22</v>
      </c>
      <c r="P141" s="101" t="str">
        <f t="shared" si="65"/>
        <v xml:space="preserve">  </v>
      </c>
      <c r="AU141" s="81"/>
    </row>
    <row r="142" spans="1:47" x14ac:dyDescent="0.25">
      <c r="A142" s="84">
        <f>A141+1</f>
        <v>21</v>
      </c>
      <c r="B142" s="84" t="str">
        <f t="shared" si="69"/>
        <v xml:space="preserve">  </v>
      </c>
      <c r="C142" s="79" t="e">
        <f t="shared" ref="C142" si="72">IF(C143=B144,IF(C144-C143=C143-B143,B143,IF(C144-C143=C143-B142,B142,"#NA")),IF(C143=B143,IF(C144-C143=C143-B142,B142,IF(C144-C143=C143-B141,B141,"#NA")),"#NA"))</f>
        <v>#VALUE!</v>
      </c>
      <c r="D142" s="68" t="e">
        <f>VLOOKUP(C142,STN_TABLE,2,FALSE)</f>
        <v>#VALUE!</v>
      </c>
      <c r="E142" s="102">
        <v>1</v>
      </c>
      <c r="F142" s="68" t="e">
        <f>D142*E142</f>
        <v>#VALUE!</v>
      </c>
      <c r="G142" s="69" t="e">
        <f>C142</f>
        <v>#VALUE!</v>
      </c>
      <c r="H142" s="69" t="e">
        <f>F142*G142</f>
        <v>#VALUE!</v>
      </c>
      <c r="I142" s="6" t="s">
        <v>93</v>
      </c>
      <c r="J142" s="70" t="e">
        <f>IF(OR(D142=0,D143=0,D144=0),"#NA",IF(AND(C144-C143=C143-C142,C143&lt;&gt;C144,C142&lt;&gt;C143,C142&lt;&gt;C144,D144&lt;&gt;0,OR(D142&lt;&gt;0,D143&lt;&gt;0)),WLS*(C144-C143),"#NA"))</f>
        <v>#VALUE!</v>
      </c>
      <c r="O142" s="99">
        <f>O141+1</f>
        <v>23</v>
      </c>
      <c r="P142" s="99" t="str">
        <f t="shared" si="65"/>
        <v xml:space="preserve">  </v>
      </c>
      <c r="Q142" s="68" t="e">
        <f>IF(OR(P144-P143=P143-P142,P145-P143=P143-P142),P142,IF(OR(P144-P143=P143-P141,P145-P143=P143-P141),P141,"-"))</f>
        <v>#VALUE!</v>
      </c>
      <c r="R142" s="69" t="e">
        <f>VLOOKUP(Q142,STN_TABLE,2,FALSE)</f>
        <v>#VALUE!</v>
      </c>
      <c r="S142" s="69">
        <v>5</v>
      </c>
      <c r="T142" s="68" t="e">
        <f>R142*S142</f>
        <v>#VALUE!</v>
      </c>
      <c r="U142" s="79">
        <v>3</v>
      </c>
      <c r="V142" s="68" t="e">
        <f>R142*U142</f>
        <v>#VALUE!</v>
      </c>
      <c r="W142" s="6" t="s">
        <v>93</v>
      </c>
      <c r="X142" s="70" t="e">
        <f>IF(AND(Q144-Q143=Q143-Q142,NOT(AND(Q142=0,Q143=0)),NOT(AND(Q143=0,Q144=0))),WLS*(Q144-Q143),"#NA")</f>
        <v>#VALUE!</v>
      </c>
      <c r="AD142" s="93"/>
      <c r="AH142" s="6" t="s">
        <v>93</v>
      </c>
      <c r="AI142" s="70" t="e">
        <f>WLS*(AD144-AD143)</f>
        <v>#VALUE!</v>
      </c>
      <c r="AU142" s="81"/>
    </row>
    <row r="143" spans="1:47" x14ac:dyDescent="0.25">
      <c r="A143" s="84">
        <f>A142+1</f>
        <v>22</v>
      </c>
      <c r="B143" s="84" t="str">
        <f t="shared" si="69"/>
        <v xml:space="preserve">  </v>
      </c>
      <c r="C143" s="80" t="e">
        <f t="shared" ref="C143" si="73">IF(OR(B145-B144=B144-B143,B145-B144=B144-B142,B145-B144=B144-B141),B144,IF(OR(B145-B143=B143-B142,B145-B143=B143-B141),B143,IF(B145-B142=B142-B141,B142,"#NA")))</f>
        <v>#VALUE!</v>
      </c>
      <c r="D143" s="76" t="e">
        <f>VLOOKUP(C143,STN_TABLE,2,FALSE)</f>
        <v>#VALUE!</v>
      </c>
      <c r="E143" s="81">
        <v>4</v>
      </c>
      <c r="F143" s="76" t="e">
        <f>D143*E143</f>
        <v>#VALUE!</v>
      </c>
      <c r="G143" s="77" t="e">
        <f>C143</f>
        <v>#VALUE!</v>
      </c>
      <c r="H143" s="77" t="e">
        <f>F143*G143</f>
        <v>#VALUE!</v>
      </c>
      <c r="I143" s="495" t="s">
        <v>97</v>
      </c>
      <c r="J143" s="496"/>
      <c r="K143" s="78" t="s">
        <v>98</v>
      </c>
      <c r="L143" s="78"/>
      <c r="M143" s="7" t="s">
        <v>99</v>
      </c>
      <c r="N143" s="7"/>
      <c r="O143" s="99">
        <f>O142+1</f>
        <v>24</v>
      </c>
      <c r="P143" s="99" t="str">
        <f t="shared" si="65"/>
        <v xml:space="preserve">  </v>
      </c>
      <c r="Q143" s="76" t="str">
        <f>P143</f>
        <v xml:space="preserve">  </v>
      </c>
      <c r="R143" s="77" t="str">
        <f>VLOOKUP(Q143,STN_TABLE,2,FALSE)</f>
        <v xml:space="preserve">  </v>
      </c>
      <c r="S143" s="77">
        <v>8</v>
      </c>
      <c r="T143" s="76" t="e">
        <f>R143*S143</f>
        <v>#VALUE!</v>
      </c>
      <c r="U143" s="80">
        <v>10</v>
      </c>
      <c r="V143" s="76" t="e">
        <f>R143*U143</f>
        <v>#VALUE!</v>
      </c>
      <c r="W143" s="496" t="s">
        <v>97</v>
      </c>
      <c r="X143" s="496"/>
      <c r="Y143" s="496" t="s">
        <v>98</v>
      </c>
      <c r="Z143" s="496"/>
      <c r="AA143" s="494" t="s">
        <v>99</v>
      </c>
      <c r="AB143" s="494"/>
      <c r="AC143" s="99">
        <f>AC138+1</f>
        <v>23</v>
      </c>
      <c r="AD143" s="95" t="str">
        <f>VLOOKUP(AC143,STN_TABLE_2,2,FALSE)</f>
        <v xml:space="preserve">  </v>
      </c>
      <c r="AE143" s="68" t="str">
        <f>VLOOKUP(AD143,STN_TABLE,2,FALSE)</f>
        <v xml:space="preserve">  </v>
      </c>
      <c r="AF143" s="68">
        <v>1</v>
      </c>
      <c r="AG143" s="69" t="e">
        <f>AE143*AF143</f>
        <v>#VALUE!</v>
      </c>
      <c r="AH143" s="496" t="s">
        <v>97</v>
      </c>
      <c r="AI143" s="496"/>
      <c r="AJ143" s="496" t="s">
        <v>98</v>
      </c>
      <c r="AK143" s="496"/>
      <c r="AL143" s="494" t="s">
        <v>99</v>
      </c>
      <c r="AM143" s="494"/>
      <c r="AP143" s="86" t="s">
        <v>112</v>
      </c>
      <c r="AQ143" s="89" t="s">
        <v>113</v>
      </c>
      <c r="AR143" s="89" t="s">
        <v>114</v>
      </c>
      <c r="AS143" s="89" t="s">
        <v>115</v>
      </c>
      <c r="AU143" s="81"/>
    </row>
    <row r="144" spans="1:47" x14ac:dyDescent="0.25">
      <c r="A144" s="84">
        <f>A143+1</f>
        <v>23</v>
      </c>
      <c r="B144" s="84" t="str">
        <f t="shared" si="69"/>
        <v xml:space="preserve">  </v>
      </c>
      <c r="C144" s="88" t="str">
        <f t="shared" ref="C144" si="74">B145</f>
        <v xml:space="preserve">  </v>
      </c>
      <c r="D144" s="82" t="str">
        <f>VLOOKUP(C144,STN_TABLE,2,FALSE)</f>
        <v xml:space="preserve">  </v>
      </c>
      <c r="E144" s="92">
        <v>1</v>
      </c>
      <c r="F144" s="82" t="e">
        <f>D144*E144</f>
        <v>#VALUE!</v>
      </c>
      <c r="G144" s="83" t="str">
        <f>C144</f>
        <v xml:space="preserve">  </v>
      </c>
      <c r="H144" s="83" t="e">
        <f>F144*G144</f>
        <v>#VALUE!</v>
      </c>
      <c r="I144" s="84" t="str">
        <f>CONCATENATE("a'(",C144,")=")</f>
        <v>a'(  )=</v>
      </c>
      <c r="J144" s="84" t="e">
        <f>2*J142/3*F145</f>
        <v>#VALUE!</v>
      </c>
      <c r="K144" s="84" t="e">
        <f>CONCATENATE("A(",C142,")=")</f>
        <v>#VALUE!</v>
      </c>
      <c r="L144" s="84" t="e">
        <f>VLOOKUP(C142,STN_TABLE,3,FALSE)</f>
        <v>#VALUE!</v>
      </c>
      <c r="M144" t="str">
        <f>CONCATENATE("A(",C144,")=")</f>
        <v>A(  )=</v>
      </c>
      <c r="N144" t="e">
        <f>J144+L144</f>
        <v>#VALUE!</v>
      </c>
      <c r="O144" s="99">
        <f>O143+1</f>
        <v>25</v>
      </c>
      <c r="P144" s="99" t="str">
        <f t="shared" si="65"/>
        <v xml:space="preserve">  </v>
      </c>
      <c r="Q144" s="82" t="e">
        <f>IF(P144-P143=P143-P142,P144,IF(P145-P143=P143-P142,P145,IF(P144-P143=P143-P141,P144,IF(P145-P143=P143-P141,P145,"-"))))</f>
        <v>#VALUE!</v>
      </c>
      <c r="R144" s="83" t="e">
        <f>VLOOKUP(Q144,STN_TABLE,2,FALSE)</f>
        <v>#VALUE!</v>
      </c>
      <c r="S144" s="83">
        <v>-1</v>
      </c>
      <c r="T144" s="82" t="e">
        <f>R144*S144</f>
        <v>#VALUE!</v>
      </c>
      <c r="U144" s="88">
        <v>-1</v>
      </c>
      <c r="V144" s="82" t="e">
        <f>R144*U144</f>
        <v>#VALUE!</v>
      </c>
      <c r="W144" s="84" t="str">
        <f>CONCATENATE("a'(",Q143,")=")</f>
        <v>a'(  )=</v>
      </c>
      <c r="X144" s="84" t="e">
        <f>2*X142/12*T145</f>
        <v>#VALUE!</v>
      </c>
      <c r="Y144" s="84" t="e">
        <f>CONCATENATE("A(",Q142,")=")</f>
        <v>#VALUE!</v>
      </c>
      <c r="Z144" s="84" t="e">
        <f>VLOOKUP(Q142,STN_TABLE,3,FALSE)</f>
        <v>#VALUE!</v>
      </c>
      <c r="AA144" t="str">
        <f>CONCATENATE("A(",Q143,")=")</f>
        <v>A(  )=</v>
      </c>
      <c r="AB144" t="e">
        <f>X144+Z144</f>
        <v>#VALUE!</v>
      </c>
      <c r="AC144" s="99">
        <f>AC143+1</f>
        <v>24</v>
      </c>
      <c r="AD144" s="100" t="str">
        <f>VLOOKUP(AC144,STN_TABLE_2,2,FALSE)</f>
        <v xml:space="preserve">  </v>
      </c>
      <c r="AE144" s="82" t="str">
        <f>VLOOKUP(AD144,STN_TABLE,2,FALSE)</f>
        <v xml:space="preserve">  </v>
      </c>
      <c r="AF144" s="82">
        <v>2</v>
      </c>
      <c r="AG144" s="83" t="e">
        <f>AE144*AF144</f>
        <v>#VALUE!</v>
      </c>
      <c r="AH144" s="84" t="str">
        <f>CONCATENATE("a'(",AD144,")=")</f>
        <v>a'(  )=</v>
      </c>
      <c r="AI144" s="84" t="e">
        <f>2*AI142/2*AE145</f>
        <v>#VALUE!</v>
      </c>
      <c r="AJ144" s="84" t="str">
        <f>CONCATENATE("A(",AD143,")=")</f>
        <v>A(  )=</v>
      </c>
      <c r="AK144" s="84" t="str">
        <f>VLOOKUP(AD143,STN_TABLE,3,FALSE)</f>
        <v xml:space="preserve"> </v>
      </c>
      <c r="AL144" t="str">
        <f>CONCATENATE("A(",AD144,")=")</f>
        <v>A(  )=</v>
      </c>
      <c r="AM144" t="e">
        <f>AI144+AK144</f>
        <v>#VALUE!</v>
      </c>
      <c r="AO144" s="68" t="str">
        <f>AA144</f>
        <v>A(  )=</v>
      </c>
      <c r="AP144" s="68" t="e">
        <f>VLOOKUP(AO144,Rise_Results,2,FALSE)</f>
        <v>#N/A</v>
      </c>
      <c r="AQ144" s="76" t="e">
        <f>N144</f>
        <v>#VALUE!</v>
      </c>
      <c r="AR144" s="76" t="e">
        <f>IF(OR(AB144&lt;=0,AB145&lt;=0),1/0,AB144)</f>
        <v>#VALUE!</v>
      </c>
      <c r="AS144" s="76" t="e">
        <f>AM144</f>
        <v>#VALUE!</v>
      </c>
      <c r="AT144" t="e">
        <f>IFERROR(AP144,IFERROR(AQ144,IFERROR(AR144,AS144)))</f>
        <v>#VALUE!</v>
      </c>
      <c r="AU144" s="81"/>
    </row>
    <row r="145" spans="1:47" x14ac:dyDescent="0.25">
      <c r="A145" s="84">
        <f>A144+1</f>
        <v>24</v>
      </c>
      <c r="B145" s="84" t="str">
        <f t="shared" si="69"/>
        <v xml:space="preserve">  </v>
      </c>
      <c r="F145" s="82" t="e">
        <f>SUM(F142:F144)</f>
        <v>#VALUE!</v>
      </c>
      <c r="H145" s="82" t="e">
        <f>SUM(H142:H144)</f>
        <v>#VALUE!</v>
      </c>
      <c r="I145" s="84" t="str">
        <f>CONCATENATE("m'(",C144,")=")</f>
        <v>m'(  )=</v>
      </c>
      <c r="J145" s="84" t="e">
        <f>2*(J142*(WLS))/3*H145</f>
        <v>#VALUE!</v>
      </c>
      <c r="K145" s="84" t="e">
        <f>CONCATENATE("M(",C142,")=")</f>
        <v>#VALUE!</v>
      </c>
      <c r="L145" s="84" t="e">
        <f>VLOOKUP(C142,STN_TABLE,4,FALSE)</f>
        <v>#VALUE!</v>
      </c>
      <c r="M145" t="str">
        <f>CONCATENATE("M(",C144,")=")</f>
        <v>M(  )=</v>
      </c>
      <c r="N145" t="e">
        <f>J145+L145</f>
        <v>#VALUE!</v>
      </c>
      <c r="O145" s="99">
        <f>O144+1</f>
        <v>26</v>
      </c>
      <c r="P145" s="99" t="e">
        <f t="shared" si="65"/>
        <v>#N/A</v>
      </c>
      <c r="T145" s="89" t="e">
        <f>SUM(T142:T144)</f>
        <v>#VALUE!</v>
      </c>
      <c r="V145" s="82" t="e">
        <f>SUM(V142:V144)</f>
        <v>#VALUE!</v>
      </c>
      <c r="W145" s="84" t="str">
        <f>CONCATENATE("m'(",Q143,")=")</f>
        <v>m'(  )=</v>
      </c>
      <c r="X145" s="84" t="e">
        <f>(2*(X142^2)/24*V145)+(X144*Q142*WLS)</f>
        <v>#VALUE!</v>
      </c>
      <c r="Y145" s="84" t="e">
        <f>CONCATENATE("M(",Q142,")=")</f>
        <v>#VALUE!</v>
      </c>
      <c r="Z145" s="84" t="e">
        <f>VLOOKUP(Q142,STN_TABLE,4,FALSE)</f>
        <v>#VALUE!</v>
      </c>
      <c r="AA145" t="str">
        <f>CONCATENATE("M(",Q143,")=")</f>
        <v>M(  )=</v>
      </c>
      <c r="AB145" t="e">
        <f>X145+Z145</f>
        <v>#VALUE!</v>
      </c>
      <c r="AE145" s="89">
        <f>SUM(AE143:AE144)</f>
        <v>0</v>
      </c>
      <c r="AG145" s="89" t="e">
        <f>SUM(AG143:AG144)</f>
        <v>#VALUE!</v>
      </c>
      <c r="AH145" s="84" t="str">
        <f>CONCATENATE("m'(",AD144,")=")</f>
        <v>m'(  )=</v>
      </c>
      <c r="AI145" s="84" t="e">
        <f>(2*(AI142^2)/6*AG145)+(AI144*AD143*WLS)</f>
        <v>#VALUE!</v>
      </c>
      <c r="AJ145" s="84" t="str">
        <f>CONCATENATE("M(",AD143,")=")</f>
        <v>M(  )=</v>
      </c>
      <c r="AK145" s="84" t="str">
        <f>VLOOKUP(AD143,STN_TABLE,4,FALSE)</f>
        <v xml:space="preserve"> </v>
      </c>
      <c r="AL145" t="str">
        <f>CONCATENATE("M(",AD144,")=")</f>
        <v>M(  )=</v>
      </c>
      <c r="AM145" t="e">
        <f>AI145+AK145</f>
        <v>#VALUE!</v>
      </c>
      <c r="AO145" s="82" t="str">
        <f>AA145</f>
        <v>M(  )=</v>
      </c>
      <c r="AP145" s="82" t="e">
        <f>VLOOKUP(AO145,Rise_Results,2,FALSE)</f>
        <v>#N/A</v>
      </c>
      <c r="AQ145" s="82" t="e">
        <f>N145</f>
        <v>#VALUE!</v>
      </c>
      <c r="AR145" s="82" t="e">
        <f>IF(OR(AB144&lt;=0,AB145&lt;=0),1/0,AB145)</f>
        <v>#VALUE!</v>
      </c>
      <c r="AS145" s="82" t="e">
        <f>AM145</f>
        <v>#VALUE!</v>
      </c>
      <c r="AT145" t="e">
        <f>IFERROR(AP145,IFERROR(AQ145,IFERROR(AR145,AS145)))</f>
        <v>#VALUE!</v>
      </c>
      <c r="AU145" s="81"/>
    </row>
    <row r="146" spans="1:47" x14ac:dyDescent="0.25">
      <c r="A146" s="101">
        <f>A141+1</f>
        <v>21</v>
      </c>
      <c r="B146" s="101" t="str">
        <f t="shared" si="69"/>
        <v xml:space="preserve">  </v>
      </c>
      <c r="O146" s="101">
        <f>O141+1</f>
        <v>23</v>
      </c>
      <c r="P146" s="101" t="str">
        <f t="shared" si="65"/>
        <v xml:space="preserve">  </v>
      </c>
      <c r="AU146" s="81"/>
    </row>
    <row r="147" spans="1:47" x14ac:dyDescent="0.25">
      <c r="A147" s="84">
        <f>A146+1</f>
        <v>22</v>
      </c>
      <c r="B147" s="84" t="str">
        <f t="shared" si="69"/>
        <v xml:space="preserve">  </v>
      </c>
      <c r="C147" s="79" t="e">
        <f t="shared" ref="C147" si="75">IF(C148=B149,IF(C149-C148=C148-B148,B148,IF(C149-C148=C148-B147,B147,"#NA")),IF(C148=B148,IF(C149-C148=C148-B147,B147,IF(C149-C148=C148-B146,B146,"#NA")),"#NA"))</f>
        <v>#VALUE!</v>
      </c>
      <c r="D147" s="68" t="e">
        <f>VLOOKUP(C147,STN_TABLE,2,FALSE)</f>
        <v>#VALUE!</v>
      </c>
      <c r="E147" s="102">
        <v>1</v>
      </c>
      <c r="F147" s="68" t="e">
        <f>D147*E147</f>
        <v>#VALUE!</v>
      </c>
      <c r="G147" s="69" t="e">
        <f>C147</f>
        <v>#VALUE!</v>
      </c>
      <c r="H147" s="69" t="e">
        <f>F147*G147</f>
        <v>#VALUE!</v>
      </c>
      <c r="I147" s="6" t="s">
        <v>93</v>
      </c>
      <c r="J147" s="70" t="e">
        <f>IF(OR(D147=0,D148=0,D149=0),"#NA",IF(AND(C149-C148=C148-C147,C148&lt;&gt;C149,C147&lt;&gt;C148,C147&lt;&gt;C149,D149&lt;&gt;0,OR(D147&lt;&gt;0,D148&lt;&gt;0)),WLS*(C149-C148),"#NA"))</f>
        <v>#VALUE!</v>
      </c>
      <c r="O147" s="99">
        <f>O146+1</f>
        <v>24</v>
      </c>
      <c r="P147" s="99" t="str">
        <f t="shared" si="65"/>
        <v xml:space="preserve">  </v>
      </c>
      <c r="Q147" s="68" t="e">
        <f>IF(OR(P149-P148=P148-P147,P150-P148=P148-P147),P147,IF(OR(P149-P148=P148-P146,P150-P148=P148-P146),P146,"-"))</f>
        <v>#N/A</v>
      </c>
      <c r="R147" s="69" t="e">
        <f>VLOOKUP(Q147,STN_TABLE,2,FALSE)</f>
        <v>#N/A</v>
      </c>
      <c r="S147" s="69">
        <v>5</v>
      </c>
      <c r="T147" s="68" t="e">
        <f>R147*S147</f>
        <v>#N/A</v>
      </c>
      <c r="U147" s="79">
        <v>3</v>
      </c>
      <c r="V147" s="68" t="e">
        <f>R147*U147</f>
        <v>#N/A</v>
      </c>
      <c r="W147" s="6" t="s">
        <v>93</v>
      </c>
      <c r="X147" s="70" t="e">
        <f>IF(AND(Q149-Q148=Q148-Q147,NOT(AND(Q147=0,Q148=0)),NOT(AND(Q148=0,Q149=0))),WLS*(Q149-Q148),"#NA")</f>
        <v>#N/A</v>
      </c>
      <c r="AD147" s="93"/>
      <c r="AH147" s="6" t="s">
        <v>93</v>
      </c>
      <c r="AI147" s="70" t="e">
        <f>WLS*(AD149-AD148)</f>
        <v>#VALUE!</v>
      </c>
      <c r="AU147" s="81"/>
    </row>
    <row r="148" spans="1:47" x14ac:dyDescent="0.25">
      <c r="A148" s="84">
        <f>A147+1</f>
        <v>23</v>
      </c>
      <c r="B148" s="84" t="str">
        <f t="shared" si="69"/>
        <v xml:space="preserve">  </v>
      </c>
      <c r="C148" s="80" t="e">
        <f t="shared" ref="C148" si="76">IF(OR(B150-B149=B149-B148,B150-B149=B149-B147,B150-B149=B149-B146),B149,IF(OR(B150-B148=B148-B147,B150-B148=B148-B146),B148,IF(B150-B147=B147-B146,B147,"#NA")))</f>
        <v>#VALUE!</v>
      </c>
      <c r="D148" s="76" t="e">
        <f>VLOOKUP(C148,STN_TABLE,2,FALSE)</f>
        <v>#VALUE!</v>
      </c>
      <c r="E148" s="81">
        <v>4</v>
      </c>
      <c r="F148" s="76" t="e">
        <f>D148*E148</f>
        <v>#VALUE!</v>
      </c>
      <c r="G148" s="77" t="e">
        <f>C148</f>
        <v>#VALUE!</v>
      </c>
      <c r="H148" s="77" t="e">
        <f>F148*G148</f>
        <v>#VALUE!</v>
      </c>
      <c r="I148" s="495" t="s">
        <v>97</v>
      </c>
      <c r="J148" s="496"/>
      <c r="K148" s="78" t="s">
        <v>98</v>
      </c>
      <c r="L148" s="78"/>
      <c r="M148" s="7" t="s">
        <v>99</v>
      </c>
      <c r="N148" s="7"/>
      <c r="O148" s="99">
        <f>O147+1</f>
        <v>25</v>
      </c>
      <c r="P148" s="99" t="str">
        <f t="shared" si="65"/>
        <v xml:space="preserve">  </v>
      </c>
      <c r="Q148" s="76" t="str">
        <f>P148</f>
        <v xml:space="preserve">  </v>
      </c>
      <c r="R148" s="77" t="str">
        <f>VLOOKUP(Q148,STN_TABLE,2,FALSE)</f>
        <v xml:space="preserve">  </v>
      </c>
      <c r="S148" s="77">
        <v>8</v>
      </c>
      <c r="T148" s="76" t="e">
        <f>R148*S148</f>
        <v>#VALUE!</v>
      </c>
      <c r="U148" s="80">
        <v>10</v>
      </c>
      <c r="V148" s="76" t="e">
        <f>R148*U148</f>
        <v>#VALUE!</v>
      </c>
      <c r="W148" s="496" t="s">
        <v>97</v>
      </c>
      <c r="X148" s="496"/>
      <c r="Y148" s="496" t="s">
        <v>98</v>
      </c>
      <c r="Z148" s="496"/>
      <c r="AA148" s="494" t="s">
        <v>99</v>
      </c>
      <c r="AB148" s="494"/>
      <c r="AC148" s="99">
        <f>AC143+1</f>
        <v>24</v>
      </c>
      <c r="AD148" s="95" t="str">
        <f>VLOOKUP(AC148,STN_TABLE_2,2,FALSE)</f>
        <v xml:space="preserve">  </v>
      </c>
      <c r="AE148" s="68" t="str">
        <f>VLOOKUP(AD148,STN_TABLE,2,FALSE)</f>
        <v xml:space="preserve">  </v>
      </c>
      <c r="AF148" s="68">
        <v>1</v>
      </c>
      <c r="AG148" s="69" t="e">
        <f>AE148*AF148</f>
        <v>#VALUE!</v>
      </c>
      <c r="AH148" s="496" t="s">
        <v>97</v>
      </c>
      <c r="AI148" s="496"/>
      <c r="AJ148" s="496" t="s">
        <v>98</v>
      </c>
      <c r="AK148" s="496"/>
      <c r="AL148" s="494" t="s">
        <v>99</v>
      </c>
      <c r="AM148" s="494"/>
      <c r="AP148" s="86" t="s">
        <v>112</v>
      </c>
      <c r="AQ148" s="89" t="s">
        <v>113</v>
      </c>
      <c r="AR148" s="89" t="s">
        <v>114</v>
      </c>
      <c r="AS148" s="89" t="s">
        <v>115</v>
      </c>
      <c r="AU148" s="81"/>
    </row>
    <row r="149" spans="1:47" x14ac:dyDescent="0.25">
      <c r="A149" s="84">
        <f>A148+1</f>
        <v>24</v>
      </c>
      <c r="B149" s="84" t="str">
        <f t="shared" si="69"/>
        <v xml:space="preserve">  </v>
      </c>
      <c r="C149" s="88" t="str">
        <f t="shared" ref="C149" si="77">B150</f>
        <v xml:space="preserve">  </v>
      </c>
      <c r="D149" s="82" t="str">
        <f>VLOOKUP(C149,STN_TABLE,2,FALSE)</f>
        <v xml:space="preserve">  </v>
      </c>
      <c r="E149" s="92">
        <v>1</v>
      </c>
      <c r="F149" s="82" t="e">
        <f>D149*E149</f>
        <v>#VALUE!</v>
      </c>
      <c r="G149" s="83" t="str">
        <f>C149</f>
        <v xml:space="preserve">  </v>
      </c>
      <c r="H149" s="83" t="e">
        <f>F149*G149</f>
        <v>#VALUE!</v>
      </c>
      <c r="I149" s="84" t="str">
        <f>CONCATENATE("a'(",C149,")=")</f>
        <v>a'(  )=</v>
      </c>
      <c r="J149" s="84" t="e">
        <f>2*J147/3*F150</f>
        <v>#VALUE!</v>
      </c>
      <c r="K149" s="84" t="e">
        <f>CONCATENATE("A(",C147,")=")</f>
        <v>#VALUE!</v>
      </c>
      <c r="L149" s="84" t="e">
        <f>VLOOKUP(C147,STN_TABLE,3,FALSE)</f>
        <v>#VALUE!</v>
      </c>
      <c r="M149" t="str">
        <f>CONCATENATE("A(",C149,")=")</f>
        <v>A(  )=</v>
      </c>
      <c r="N149" t="e">
        <f>J149+L149</f>
        <v>#VALUE!</v>
      </c>
      <c r="O149" s="99">
        <f>O148+1</f>
        <v>26</v>
      </c>
      <c r="P149" s="99" t="e">
        <f t="shared" si="65"/>
        <v>#N/A</v>
      </c>
      <c r="Q149" s="82" t="e">
        <f>IF(P149-P148=P148-P147,P149,IF(P150-P148=P148-P147,P150,IF(P149-P148=P148-P146,P149,IF(P150-P148=P148-P146,P150,"-"))))</f>
        <v>#N/A</v>
      </c>
      <c r="R149" s="83" t="e">
        <f>VLOOKUP(Q149,STN_TABLE,2,FALSE)</f>
        <v>#N/A</v>
      </c>
      <c r="S149" s="83">
        <v>-1</v>
      </c>
      <c r="T149" s="82" t="e">
        <f>R149*S149</f>
        <v>#N/A</v>
      </c>
      <c r="U149" s="88">
        <v>-1</v>
      </c>
      <c r="V149" s="82" t="e">
        <f>R149*U149</f>
        <v>#N/A</v>
      </c>
      <c r="W149" s="84" t="str">
        <f>CONCATENATE("a'(",Q148,")=")</f>
        <v>a'(  )=</v>
      </c>
      <c r="X149" s="84" t="e">
        <f>2*X147/12*T150</f>
        <v>#N/A</v>
      </c>
      <c r="Y149" s="84" t="e">
        <f>CONCATENATE("A(",Q147,")=")</f>
        <v>#N/A</v>
      </c>
      <c r="Z149" s="84" t="e">
        <f>VLOOKUP(Q147,STN_TABLE,3,FALSE)</f>
        <v>#N/A</v>
      </c>
      <c r="AA149" t="str">
        <f>CONCATENATE("A(",Q148,")=")</f>
        <v>A(  )=</v>
      </c>
      <c r="AB149" t="e">
        <f>X149+Z149</f>
        <v>#N/A</v>
      </c>
      <c r="AC149" s="99">
        <f>AC148+1</f>
        <v>25</v>
      </c>
      <c r="AD149" s="100" t="str">
        <f>VLOOKUP(AC149,STN_TABLE_2,2,FALSE)</f>
        <v xml:space="preserve">  </v>
      </c>
      <c r="AE149" s="82" t="str">
        <f>VLOOKUP(AD149,STN_TABLE,2,FALSE)</f>
        <v xml:space="preserve">  </v>
      </c>
      <c r="AF149" s="82">
        <v>2</v>
      </c>
      <c r="AG149" s="83" t="e">
        <f>AE149*AF149</f>
        <v>#VALUE!</v>
      </c>
      <c r="AH149" s="84" t="str">
        <f>CONCATENATE("a'(",AD149,")=")</f>
        <v>a'(  )=</v>
      </c>
      <c r="AI149" s="84" t="e">
        <f>2*AI147/2*AE150</f>
        <v>#VALUE!</v>
      </c>
      <c r="AJ149" s="84" t="str">
        <f>CONCATENATE("A(",AD148,")=")</f>
        <v>A(  )=</v>
      </c>
      <c r="AK149" s="84" t="str">
        <f>VLOOKUP(AD148,STN_TABLE,3,FALSE)</f>
        <v xml:space="preserve"> </v>
      </c>
      <c r="AL149" t="str">
        <f>CONCATENATE("A(",AD149,")=")</f>
        <v>A(  )=</v>
      </c>
      <c r="AM149" t="e">
        <f>AI149+AK149</f>
        <v>#VALUE!</v>
      </c>
      <c r="AO149" s="68" t="str">
        <f>AA149</f>
        <v>A(  )=</v>
      </c>
      <c r="AP149" s="68" t="e">
        <f>VLOOKUP(AO149,Rise_Results,2,FALSE)</f>
        <v>#N/A</v>
      </c>
      <c r="AQ149" s="76" t="e">
        <f>N149</f>
        <v>#VALUE!</v>
      </c>
      <c r="AR149" s="76" t="e">
        <f>IF(OR(AB149&lt;=0,AB150&lt;=0),1/0,AB149)</f>
        <v>#N/A</v>
      </c>
      <c r="AS149" s="76" t="e">
        <f>AM149</f>
        <v>#VALUE!</v>
      </c>
      <c r="AT149" t="e">
        <f>IFERROR(AP149,IFERROR(AQ149,IFERROR(AR149,AS149)))</f>
        <v>#VALUE!</v>
      </c>
      <c r="AU149" s="81"/>
    </row>
    <row r="150" spans="1:47" x14ac:dyDescent="0.25">
      <c r="A150" s="84">
        <f>A149+1</f>
        <v>25</v>
      </c>
      <c r="B150" s="84" t="str">
        <f t="shared" si="69"/>
        <v xml:space="preserve">  </v>
      </c>
      <c r="F150" s="82" t="e">
        <f>SUM(F147:F149)</f>
        <v>#VALUE!</v>
      </c>
      <c r="H150" s="82" t="e">
        <f>SUM(H147:H149)</f>
        <v>#VALUE!</v>
      </c>
      <c r="I150" s="84" t="str">
        <f>CONCATENATE("m'(",C149,")=")</f>
        <v>m'(  )=</v>
      </c>
      <c r="J150" s="84" t="e">
        <f>2*(J147*(WLS))/3*H150</f>
        <v>#VALUE!</v>
      </c>
      <c r="K150" s="84" t="e">
        <f>CONCATENATE("M(",C147,")=")</f>
        <v>#VALUE!</v>
      </c>
      <c r="L150" s="84" t="e">
        <f>VLOOKUP(C147,STN_TABLE,4,FALSE)</f>
        <v>#VALUE!</v>
      </c>
      <c r="M150" t="str">
        <f>CONCATENATE("M(",C149,")=")</f>
        <v>M(  )=</v>
      </c>
      <c r="N150" t="e">
        <f>J150+L150</f>
        <v>#VALUE!</v>
      </c>
      <c r="O150" s="99">
        <f>O149+1</f>
        <v>27</v>
      </c>
      <c r="P150" s="99" t="e">
        <f t="shared" si="65"/>
        <v>#N/A</v>
      </c>
      <c r="T150" s="89" t="e">
        <f>SUM(T147:T149)</f>
        <v>#N/A</v>
      </c>
      <c r="V150" s="82" t="e">
        <f>SUM(V147:V149)</f>
        <v>#N/A</v>
      </c>
      <c r="W150" s="84" t="str">
        <f>CONCATENATE("m'(",Q148,")=")</f>
        <v>m'(  )=</v>
      </c>
      <c r="X150" s="84" t="e">
        <f>(2*(X147^2)/24*V150)+(X149*Q147*WLS)</f>
        <v>#N/A</v>
      </c>
      <c r="Y150" s="84" t="e">
        <f>CONCATENATE("M(",Q147,")=")</f>
        <v>#N/A</v>
      </c>
      <c r="Z150" s="84" t="e">
        <f>VLOOKUP(Q147,STN_TABLE,4,FALSE)</f>
        <v>#N/A</v>
      </c>
      <c r="AA150" t="str">
        <f>CONCATENATE("M(",Q148,")=")</f>
        <v>M(  )=</v>
      </c>
      <c r="AB150" t="e">
        <f>X150+Z150</f>
        <v>#N/A</v>
      </c>
      <c r="AE150" s="89">
        <f>SUM(AE148:AE149)</f>
        <v>0</v>
      </c>
      <c r="AG150" s="89" t="e">
        <f>SUM(AG148:AG149)</f>
        <v>#VALUE!</v>
      </c>
      <c r="AH150" s="84" t="str">
        <f>CONCATENATE("m'(",AD149,")=")</f>
        <v>m'(  )=</v>
      </c>
      <c r="AI150" s="84" t="e">
        <f>(2*(AI147^2)/6*AG150)+(AI149*AD148*WLS)</f>
        <v>#VALUE!</v>
      </c>
      <c r="AJ150" s="84" t="str">
        <f>CONCATENATE("M(",AD148,")=")</f>
        <v>M(  )=</v>
      </c>
      <c r="AK150" s="84" t="str">
        <f>VLOOKUP(AD148,STN_TABLE,4,FALSE)</f>
        <v xml:space="preserve"> </v>
      </c>
      <c r="AL150" t="str">
        <f>CONCATENATE("M(",AD149,")=")</f>
        <v>M(  )=</v>
      </c>
      <c r="AM150" t="e">
        <f>AI150+AK150</f>
        <v>#VALUE!</v>
      </c>
      <c r="AO150" s="82" t="str">
        <f>AA150</f>
        <v>M(  )=</v>
      </c>
      <c r="AP150" s="82" t="e">
        <f>VLOOKUP(AO150,Rise_Results,2,FALSE)</f>
        <v>#N/A</v>
      </c>
      <c r="AQ150" s="82" t="e">
        <f>N150</f>
        <v>#VALUE!</v>
      </c>
      <c r="AR150" s="82" t="e">
        <f>IF(OR(AB149&lt;=0,AB150&lt;=0),1/0,AB150)</f>
        <v>#N/A</v>
      </c>
      <c r="AS150" s="82" t="e">
        <f>AM150</f>
        <v>#VALUE!</v>
      </c>
      <c r="AT150" t="e">
        <f>IFERROR(AP150,IFERROR(AQ150,IFERROR(AR150,AS150)))</f>
        <v>#VALUE!</v>
      </c>
      <c r="AU150" s="81"/>
    </row>
    <row r="151" spans="1:47" x14ac:dyDescent="0.25">
      <c r="A151" s="101"/>
      <c r="B151" s="101"/>
      <c r="AU151" s="81"/>
    </row>
    <row r="152" spans="1:47" x14ac:dyDescent="0.25">
      <c r="A152" s="84"/>
      <c r="B152" s="84"/>
      <c r="E152" s="81"/>
      <c r="F152" s="81"/>
      <c r="G152" s="81"/>
      <c r="H152" s="81"/>
      <c r="I152" s="103"/>
      <c r="J152" s="70"/>
      <c r="AU152" s="81"/>
    </row>
    <row r="153" spans="1:47" x14ac:dyDescent="0.25">
      <c r="A153" s="84"/>
      <c r="B153" s="84"/>
      <c r="E153" s="81"/>
      <c r="F153" s="81"/>
      <c r="G153" s="81"/>
      <c r="H153" s="81"/>
      <c r="I153" s="104"/>
      <c r="J153" s="78"/>
      <c r="K153" s="78"/>
      <c r="L153" s="78"/>
      <c r="M153" s="7"/>
      <c r="N153" s="7"/>
      <c r="AO153" s="81"/>
      <c r="AP153" s="81"/>
      <c r="AQ153" s="81"/>
      <c r="AR153" s="81"/>
      <c r="AS153" s="81"/>
      <c r="AT153" s="81"/>
      <c r="AU153" s="81"/>
    </row>
    <row r="154" spans="1:47" x14ac:dyDescent="0.25">
      <c r="A154" s="84"/>
      <c r="B154" s="84"/>
      <c r="E154" s="81"/>
      <c r="F154" s="81"/>
      <c r="G154" s="81"/>
      <c r="H154" s="81"/>
      <c r="I154" s="105"/>
      <c r="J154" s="84"/>
      <c r="K154" s="84"/>
      <c r="L154" s="84"/>
      <c r="AO154" s="81"/>
      <c r="AP154" s="81"/>
      <c r="AQ154" s="81"/>
      <c r="AR154" s="81"/>
      <c r="AS154" s="81"/>
      <c r="AT154" s="81"/>
      <c r="AU154" s="81"/>
    </row>
    <row r="155" spans="1:47" x14ac:dyDescent="0.25">
      <c r="A155" s="84"/>
      <c r="B155" s="84"/>
      <c r="E155" s="81"/>
      <c r="F155" s="81"/>
      <c r="G155" s="81"/>
      <c r="H155" s="81"/>
      <c r="I155" s="105"/>
      <c r="J155" s="84"/>
      <c r="K155" s="84"/>
      <c r="L155" s="84"/>
      <c r="AO155" s="81"/>
      <c r="AP155" s="81"/>
      <c r="AQ155" s="81"/>
      <c r="AR155" s="81"/>
      <c r="AS155" s="81"/>
      <c r="AT155" s="81"/>
      <c r="AU155" s="81"/>
    </row>
    <row r="156" spans="1:47" x14ac:dyDescent="0.25">
      <c r="A156" s="101"/>
      <c r="B156" s="101"/>
      <c r="E156" s="81"/>
      <c r="F156" s="81"/>
      <c r="G156" s="81"/>
      <c r="H156" s="81"/>
      <c r="I156" s="81"/>
      <c r="AO156" s="81"/>
      <c r="AP156" s="81"/>
      <c r="AQ156" s="81"/>
      <c r="AR156" s="81"/>
      <c r="AS156" s="81"/>
      <c r="AT156" s="81"/>
      <c r="AU156" s="81"/>
    </row>
    <row r="157" spans="1:47" x14ac:dyDescent="0.25">
      <c r="A157" s="84"/>
      <c r="B157" s="84"/>
      <c r="E157" s="81"/>
      <c r="F157" s="81"/>
      <c r="G157" s="81"/>
      <c r="H157" s="81"/>
      <c r="I157" s="103"/>
      <c r="J157" s="70"/>
      <c r="AO157" s="81"/>
      <c r="AP157" s="81"/>
      <c r="AQ157" s="81"/>
      <c r="AR157" s="81"/>
      <c r="AS157" s="81"/>
      <c r="AT157" s="81"/>
      <c r="AU157" s="81"/>
    </row>
    <row r="158" spans="1:47" x14ac:dyDescent="0.25">
      <c r="A158" s="84"/>
      <c r="B158" s="84"/>
      <c r="E158" s="81"/>
      <c r="F158" s="81"/>
      <c r="G158" s="81"/>
      <c r="H158" s="81"/>
      <c r="I158" s="104"/>
      <c r="J158" s="78"/>
      <c r="K158" s="78"/>
      <c r="L158" s="78"/>
      <c r="M158" s="7"/>
      <c r="N158" s="7"/>
      <c r="AO158" s="81"/>
      <c r="AP158" s="81"/>
      <c r="AQ158" s="81"/>
      <c r="AR158" s="81"/>
      <c r="AS158" s="81"/>
      <c r="AT158" s="81"/>
      <c r="AU158" s="81"/>
    </row>
    <row r="159" spans="1:47" x14ac:dyDescent="0.25">
      <c r="A159" s="84"/>
      <c r="B159" s="84"/>
      <c r="E159" s="81"/>
      <c r="F159" s="81"/>
      <c r="G159" s="81"/>
      <c r="H159" s="81"/>
      <c r="I159" s="105"/>
      <c r="J159" s="84"/>
      <c r="K159" s="84"/>
      <c r="L159" s="84"/>
      <c r="AO159" s="81"/>
      <c r="AP159" s="81"/>
      <c r="AQ159" s="81"/>
      <c r="AR159" s="81"/>
      <c r="AS159" s="81"/>
      <c r="AT159" s="81"/>
      <c r="AU159" s="81"/>
    </row>
    <row r="160" spans="1:47" x14ac:dyDescent="0.25">
      <c r="A160" s="84"/>
      <c r="B160" s="84"/>
      <c r="E160" s="81"/>
      <c r="F160" s="81"/>
      <c r="G160" s="81"/>
      <c r="H160" s="81"/>
      <c r="I160" s="105"/>
      <c r="J160" s="84"/>
      <c r="K160" s="84"/>
      <c r="L160" s="84"/>
      <c r="AO160" s="81"/>
      <c r="AP160" s="81"/>
      <c r="AQ160" s="81"/>
      <c r="AR160" s="81"/>
      <c r="AS160" s="81"/>
      <c r="AT160" s="81"/>
      <c r="AU160" s="81"/>
    </row>
    <row r="161" spans="1:47" x14ac:dyDescent="0.25">
      <c r="A161" s="101"/>
      <c r="B161" s="101"/>
      <c r="E161" s="81"/>
      <c r="F161" s="81"/>
      <c r="G161" s="81"/>
      <c r="H161" s="81"/>
      <c r="I161" s="81"/>
      <c r="AO161" s="81"/>
      <c r="AP161" s="81"/>
      <c r="AQ161" s="81"/>
      <c r="AR161" s="81"/>
      <c r="AS161" s="81"/>
      <c r="AT161" s="81"/>
      <c r="AU161" s="81"/>
    </row>
    <row r="162" spans="1:47" x14ac:dyDescent="0.25">
      <c r="A162" s="84"/>
      <c r="B162" s="84"/>
      <c r="E162" s="81"/>
      <c r="F162" s="81"/>
      <c r="G162" s="81"/>
      <c r="H162" s="81"/>
      <c r="I162" s="103"/>
      <c r="J162" s="70"/>
      <c r="AO162" s="81"/>
      <c r="AP162" s="81"/>
      <c r="AQ162" s="81"/>
      <c r="AR162" s="81"/>
      <c r="AS162" s="81"/>
      <c r="AT162" s="81"/>
      <c r="AU162" s="81"/>
    </row>
    <row r="163" spans="1:47" x14ac:dyDescent="0.25">
      <c r="A163" s="84"/>
      <c r="B163" s="84"/>
      <c r="E163" s="81"/>
      <c r="F163" s="81"/>
      <c r="G163" s="81"/>
      <c r="H163" s="81"/>
      <c r="I163" s="104"/>
      <c r="J163" s="78"/>
      <c r="K163" s="78"/>
      <c r="L163" s="78"/>
      <c r="M163" s="7"/>
      <c r="N163" s="7"/>
      <c r="AO163" s="81"/>
      <c r="AP163" s="81"/>
      <c r="AQ163" s="81"/>
      <c r="AR163" s="81"/>
      <c r="AS163" s="81"/>
      <c r="AT163" s="81"/>
      <c r="AU163" s="81"/>
    </row>
    <row r="164" spans="1:47" x14ac:dyDescent="0.25">
      <c r="A164" s="84"/>
      <c r="B164" s="84"/>
      <c r="E164" s="81"/>
      <c r="F164" s="81"/>
      <c r="G164" s="81"/>
      <c r="H164" s="81"/>
      <c r="I164" s="105"/>
      <c r="J164" s="84"/>
      <c r="K164" s="84"/>
      <c r="L164" s="84"/>
    </row>
    <row r="165" spans="1:47" x14ac:dyDescent="0.25">
      <c r="A165" s="84"/>
      <c r="B165" s="84"/>
      <c r="E165" s="81"/>
      <c r="F165" s="81"/>
      <c r="G165" s="81"/>
      <c r="H165" s="81"/>
      <c r="I165" s="105"/>
      <c r="J165" s="84"/>
      <c r="K165" s="84"/>
      <c r="L165" s="84"/>
    </row>
    <row r="166" spans="1:47" x14ac:dyDescent="0.25">
      <c r="A166" s="101"/>
      <c r="B166" s="101"/>
      <c r="E166" s="81"/>
      <c r="F166" s="81"/>
      <c r="G166" s="81"/>
      <c r="H166" s="81"/>
      <c r="I166" s="81"/>
    </row>
    <row r="167" spans="1:47" x14ac:dyDescent="0.25">
      <c r="A167" s="84"/>
      <c r="B167" s="84"/>
      <c r="E167" s="81"/>
      <c r="F167" s="81"/>
      <c r="G167" s="81"/>
      <c r="H167" s="81"/>
      <c r="I167" s="103"/>
      <c r="J167" s="70"/>
    </row>
    <row r="168" spans="1:47" x14ac:dyDescent="0.25">
      <c r="A168" s="84"/>
      <c r="B168" s="84"/>
      <c r="E168" s="81"/>
      <c r="F168" s="81"/>
      <c r="G168" s="81"/>
      <c r="H168" s="81"/>
      <c r="I168" s="104"/>
      <c r="J168" s="78"/>
      <c r="K168" s="78"/>
      <c r="L168" s="78"/>
      <c r="M168" s="7"/>
      <c r="N168" s="7"/>
    </row>
    <row r="169" spans="1:47" x14ac:dyDescent="0.25">
      <c r="A169" s="84"/>
      <c r="B169" s="84"/>
      <c r="E169" s="81"/>
      <c r="F169" s="81"/>
      <c r="G169" s="81"/>
      <c r="H169" s="81"/>
      <c r="I169" s="105"/>
      <c r="J169" s="84"/>
      <c r="K169" s="84"/>
      <c r="L169" s="84"/>
    </row>
    <row r="170" spans="1:47" x14ac:dyDescent="0.25">
      <c r="A170" s="84"/>
      <c r="B170" s="84"/>
      <c r="E170" s="81"/>
      <c r="F170" s="81"/>
      <c r="G170" s="81"/>
      <c r="H170" s="81"/>
      <c r="I170" s="105"/>
      <c r="J170" s="84"/>
      <c r="K170" s="84"/>
      <c r="L170" s="84"/>
    </row>
    <row r="171" spans="1:47" x14ac:dyDescent="0.25">
      <c r="E171" s="81"/>
      <c r="F171" s="81"/>
      <c r="G171" s="81"/>
      <c r="H171" s="81"/>
      <c r="I171" s="81"/>
    </row>
  </sheetData>
  <sheetProtection selectLockedCells="1" selectUnlockedCells="1"/>
  <mergeCells count="167">
    <mergeCell ref="A1:B1"/>
    <mergeCell ref="E1:F1"/>
    <mergeCell ref="L1:M1"/>
    <mergeCell ref="W33:X33"/>
    <mergeCell ref="Y33:Z33"/>
    <mergeCell ref="AA33:AB33"/>
    <mergeCell ref="AH33:AI33"/>
    <mergeCell ref="AJ33:AK33"/>
    <mergeCell ref="AL33:AM33"/>
    <mergeCell ref="I38:J38"/>
    <mergeCell ref="W38:X38"/>
    <mergeCell ref="Y38:Z38"/>
    <mergeCell ref="AA38:AB38"/>
    <mergeCell ref="AH38:AI38"/>
    <mergeCell ref="AJ38:AK38"/>
    <mergeCell ref="AL38:AM38"/>
    <mergeCell ref="AL43:AM43"/>
    <mergeCell ref="I48:J48"/>
    <mergeCell ref="W48:X48"/>
    <mergeCell ref="Y48:Z48"/>
    <mergeCell ref="AA48:AB48"/>
    <mergeCell ref="AH48:AI48"/>
    <mergeCell ref="AJ48:AK48"/>
    <mergeCell ref="AL48:AM48"/>
    <mergeCell ref="I43:J43"/>
    <mergeCell ref="W43:X43"/>
    <mergeCell ref="Y43:Z43"/>
    <mergeCell ref="AA43:AB43"/>
    <mergeCell ref="AH43:AI43"/>
    <mergeCell ref="AJ43:AK43"/>
    <mergeCell ref="AL53:AM53"/>
    <mergeCell ref="I58:J58"/>
    <mergeCell ref="AH58:AI58"/>
    <mergeCell ref="AJ58:AK58"/>
    <mergeCell ref="AL58:AM58"/>
    <mergeCell ref="I63:J63"/>
    <mergeCell ref="W63:X63"/>
    <mergeCell ref="Y63:Z63"/>
    <mergeCell ref="AA63:AB63"/>
    <mergeCell ref="AH63:AI63"/>
    <mergeCell ref="I53:J53"/>
    <mergeCell ref="W53:X53"/>
    <mergeCell ref="Y53:Z53"/>
    <mergeCell ref="AA53:AB53"/>
    <mergeCell ref="AH53:AI53"/>
    <mergeCell ref="AJ53:AK53"/>
    <mergeCell ref="AJ63:AK63"/>
    <mergeCell ref="AL63:AM63"/>
    <mergeCell ref="I68:J68"/>
    <mergeCell ref="W68:X68"/>
    <mergeCell ref="Y68:Z68"/>
    <mergeCell ref="AA68:AB68"/>
    <mergeCell ref="AH68:AI68"/>
    <mergeCell ref="AJ68:AK68"/>
    <mergeCell ref="AL68:AM68"/>
    <mergeCell ref="AL73:AM73"/>
    <mergeCell ref="I78:J78"/>
    <mergeCell ref="W78:X78"/>
    <mergeCell ref="Y78:Z78"/>
    <mergeCell ref="AA78:AB78"/>
    <mergeCell ref="AH78:AI78"/>
    <mergeCell ref="AJ78:AK78"/>
    <mergeCell ref="AL78:AM78"/>
    <mergeCell ref="I73:J73"/>
    <mergeCell ref="W73:X73"/>
    <mergeCell ref="Y73:Z73"/>
    <mergeCell ref="AA73:AB73"/>
    <mergeCell ref="AH73:AI73"/>
    <mergeCell ref="AJ73:AK73"/>
    <mergeCell ref="AL83:AM83"/>
    <mergeCell ref="I88:J88"/>
    <mergeCell ref="W88:X88"/>
    <mergeCell ref="Y88:Z88"/>
    <mergeCell ref="AA88:AB88"/>
    <mergeCell ref="AH88:AI88"/>
    <mergeCell ref="AJ88:AK88"/>
    <mergeCell ref="AL88:AM88"/>
    <mergeCell ref="I83:J83"/>
    <mergeCell ref="W83:X83"/>
    <mergeCell ref="Y83:Z83"/>
    <mergeCell ref="AA83:AB83"/>
    <mergeCell ref="AH83:AI83"/>
    <mergeCell ref="AJ83:AK83"/>
    <mergeCell ref="AL93:AM93"/>
    <mergeCell ref="I98:J98"/>
    <mergeCell ref="W98:X98"/>
    <mergeCell ref="Y98:Z98"/>
    <mergeCell ref="AA98:AB98"/>
    <mergeCell ref="AH98:AI98"/>
    <mergeCell ref="AJ98:AK98"/>
    <mergeCell ref="AL98:AM98"/>
    <mergeCell ref="I93:J93"/>
    <mergeCell ref="W93:X93"/>
    <mergeCell ref="Y93:Z93"/>
    <mergeCell ref="AA93:AB93"/>
    <mergeCell ref="AH93:AI93"/>
    <mergeCell ref="AJ93:AK93"/>
    <mergeCell ref="AL103:AM103"/>
    <mergeCell ref="I108:J108"/>
    <mergeCell ref="W108:X108"/>
    <mergeCell ref="Y108:Z108"/>
    <mergeCell ref="AA108:AB108"/>
    <mergeCell ref="AH108:AI108"/>
    <mergeCell ref="AJ108:AK108"/>
    <mergeCell ref="AL108:AM108"/>
    <mergeCell ref="I103:J103"/>
    <mergeCell ref="W103:X103"/>
    <mergeCell ref="Y103:Z103"/>
    <mergeCell ref="AA103:AB103"/>
    <mergeCell ref="AH103:AI103"/>
    <mergeCell ref="AJ103:AK103"/>
    <mergeCell ref="AL113:AM113"/>
    <mergeCell ref="I118:J118"/>
    <mergeCell ref="W118:X118"/>
    <mergeCell ref="Y118:Z118"/>
    <mergeCell ref="AA118:AB118"/>
    <mergeCell ref="AH118:AI118"/>
    <mergeCell ref="AJ118:AK118"/>
    <mergeCell ref="AL118:AM118"/>
    <mergeCell ref="I113:J113"/>
    <mergeCell ref="W113:X113"/>
    <mergeCell ref="Y113:Z113"/>
    <mergeCell ref="AA113:AB113"/>
    <mergeCell ref="AH113:AI113"/>
    <mergeCell ref="AJ113:AK113"/>
    <mergeCell ref="AL123:AM123"/>
    <mergeCell ref="I128:J128"/>
    <mergeCell ref="W128:X128"/>
    <mergeCell ref="Y128:Z128"/>
    <mergeCell ref="AA128:AB128"/>
    <mergeCell ref="AH128:AI128"/>
    <mergeCell ref="AJ128:AK128"/>
    <mergeCell ref="AL128:AM128"/>
    <mergeCell ref="I123:J123"/>
    <mergeCell ref="W123:X123"/>
    <mergeCell ref="Y123:Z123"/>
    <mergeCell ref="AA123:AB123"/>
    <mergeCell ref="AH123:AI123"/>
    <mergeCell ref="AJ123:AK123"/>
    <mergeCell ref="AL133:AM133"/>
    <mergeCell ref="I138:J138"/>
    <mergeCell ref="W138:X138"/>
    <mergeCell ref="Y138:Z138"/>
    <mergeCell ref="AA138:AB138"/>
    <mergeCell ref="AH138:AI138"/>
    <mergeCell ref="AJ138:AK138"/>
    <mergeCell ref="AL138:AM138"/>
    <mergeCell ref="I133:J133"/>
    <mergeCell ref="W133:X133"/>
    <mergeCell ref="Y133:Z133"/>
    <mergeCell ref="AA133:AB133"/>
    <mergeCell ref="AH133:AI133"/>
    <mergeCell ref="AJ133:AK133"/>
    <mergeCell ref="AL143:AM143"/>
    <mergeCell ref="I148:J148"/>
    <mergeCell ref="W148:X148"/>
    <mergeCell ref="Y148:Z148"/>
    <mergeCell ref="AA148:AB148"/>
    <mergeCell ref="AH148:AI148"/>
    <mergeCell ref="AJ148:AK148"/>
    <mergeCell ref="AL148:AM148"/>
    <mergeCell ref="I143:J143"/>
    <mergeCell ref="W143:X143"/>
    <mergeCell ref="Y143:Z143"/>
    <mergeCell ref="AA143:AB143"/>
    <mergeCell ref="AH143:AI143"/>
    <mergeCell ref="AJ143:AK143"/>
  </mergeCells>
  <pageMargins left="0.7" right="0.7" top="0.75" bottom="0.75" header="0.3" footer="0.3"/>
  <pageSetup paperSize="9"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AU171"/>
  <sheetViews>
    <sheetView topLeftCell="N1" workbookViewId="0">
      <pane ySplit="1" topLeftCell="A8" activePane="bottomLeft" state="frozen"/>
      <selection activeCell="AG8" sqref="AG8:AG10"/>
      <selection pane="bottomLeft" activeCell="AG8" sqref="AG8:AG10"/>
    </sheetView>
  </sheetViews>
  <sheetFormatPr defaultRowHeight="15" x14ac:dyDescent="0.25"/>
  <sheetData>
    <row r="1" spans="1:46" x14ac:dyDescent="0.25">
      <c r="A1" s="494" t="s">
        <v>90</v>
      </c>
      <c r="B1" s="494"/>
      <c r="C1">
        <f>HLOOKUP(Stn_WL,OFFSET_A,Count_STN+1,FALSE)</f>
        <v>10</v>
      </c>
      <c r="E1" s="494" t="s">
        <v>91</v>
      </c>
      <c r="F1" s="494"/>
      <c r="G1" t="str">
        <f>VLOOKUP(Station_No,RISE_CALC,2,FALSE)</f>
        <v>-</v>
      </c>
      <c r="L1" s="494" t="s">
        <v>92</v>
      </c>
      <c r="M1" s="494"/>
      <c r="N1">
        <v>13</v>
      </c>
    </row>
    <row r="2" spans="1:46" x14ac:dyDescent="0.25">
      <c r="Q2" s="66" t="str">
        <f t="shared" ref="Q2:R6" si="0">G4</f>
        <v>Rise</v>
      </c>
      <c r="R2" s="67" t="e">
        <f t="shared" si="0"/>
        <v>#VALUE!</v>
      </c>
      <c r="S2" s="68" t="e">
        <f>IF(OR(R5-R4=R4-R3,R6-R4=R4-R3),R3,IF(OR(R5-R4=R4-R2,R6-R4=R4-R2),R2,"-"))</f>
        <v>#VALUE!</v>
      </c>
      <c r="T2" s="69" t="e">
        <f>IFERROR(VLOOKUP(S2,STN_TABLE,2,FALSE),IF(R2=RisePerWLS,0,"-"))</f>
        <v>#VALUE!</v>
      </c>
      <c r="U2" s="69">
        <v>5</v>
      </c>
      <c r="V2" s="69" t="e">
        <f>T2*U2</f>
        <v>#VALUE!</v>
      </c>
      <c r="W2" s="69">
        <v>3</v>
      </c>
      <c r="X2" s="69" t="e">
        <f>T2*W2</f>
        <v>#VALUE!</v>
      </c>
      <c r="Y2" s="6" t="s">
        <v>93</v>
      </c>
      <c r="Z2" s="70" t="e">
        <f>IF(AND(S4-S3=S3-S2,NOT(AND(S2=0,S3=0)),NOT(AND(S3=0,S4=0))),WLS*(S4-S3),"#NA")</f>
        <v>#VALUE!</v>
      </c>
      <c r="AE2" s="71" t="s">
        <v>94</v>
      </c>
    </row>
    <row r="3" spans="1:46" x14ac:dyDescent="0.25">
      <c r="B3" s="72" t="s">
        <v>0</v>
      </c>
      <c r="C3" s="73" t="s">
        <v>95</v>
      </c>
      <c r="D3" s="73" t="s">
        <v>18</v>
      </c>
      <c r="E3" s="74" t="s">
        <v>20</v>
      </c>
      <c r="H3" s="75" t="s">
        <v>96</v>
      </c>
      <c r="K3" t="str">
        <f>IF(Rise=0,"(Not considered)","(Considered)")</f>
        <v>(Considered)</v>
      </c>
      <c r="Q3" s="66" t="str">
        <f t="shared" si="0"/>
        <v>1st_UWL</v>
      </c>
      <c r="R3" s="67" t="str">
        <f t="shared" si="0"/>
        <v>#NA</v>
      </c>
      <c r="S3" s="76" t="str">
        <f>R4</f>
        <v>#NA</v>
      </c>
      <c r="T3" s="77" t="e">
        <f>VLOOKUP(S3,STN_TABLE,2,FALSE)</f>
        <v>#N/A</v>
      </c>
      <c r="U3" s="77">
        <v>8</v>
      </c>
      <c r="V3" s="77" t="e">
        <f>T3*U3</f>
        <v>#N/A</v>
      </c>
      <c r="W3" s="77">
        <v>10</v>
      </c>
      <c r="X3" s="77" t="e">
        <f>T3*W3</f>
        <v>#N/A</v>
      </c>
      <c r="Y3" s="78" t="s">
        <v>97</v>
      </c>
      <c r="Z3" s="78"/>
      <c r="AA3" s="78" t="s">
        <v>98</v>
      </c>
      <c r="AB3" s="78"/>
      <c r="AC3" s="7" t="s">
        <v>99</v>
      </c>
      <c r="AD3" s="7"/>
      <c r="AE3" s="66" t="str">
        <f t="shared" ref="AE3:AF7" si="1">G4</f>
        <v>Rise</v>
      </c>
      <c r="AF3" s="67" t="e">
        <f t="shared" si="1"/>
        <v>#VALUE!</v>
      </c>
      <c r="AG3" s="79" t="e">
        <f>IF(AF7-AF6=AF6-AF5,AF5,IF(OR(AF7-AF6=AF6-AF4,AF7-AF5=AF5-AF4),AF4,IF(OR(AF7-AF6=AF6-AF3,AF7-AF5=AF5-AF3,AF7-AF4=AF4-AF3),AF3,"#NA")))</f>
        <v>#VALUE!</v>
      </c>
      <c r="AH3" s="69" t="e">
        <f>IFERROR(VLOOKUP(AG3,STN_TABLE,2,FALSE),IF(AF3=RisePerWLS,0,"-"))</f>
        <v>#VALUE!</v>
      </c>
      <c r="AI3" s="69">
        <v>1</v>
      </c>
      <c r="AJ3" s="69" t="e">
        <f>AH3*AI3</f>
        <v>#VALUE!</v>
      </c>
      <c r="AK3" s="69" t="e">
        <f>AG3</f>
        <v>#VALUE!</v>
      </c>
      <c r="AL3" s="69" t="e">
        <f>AJ3*AK3</f>
        <v>#VALUE!</v>
      </c>
      <c r="AM3" s="6" t="s">
        <v>93</v>
      </c>
      <c r="AN3" s="70" t="e">
        <f>IF(AND(AH3=0,AH4=0,AH5=0),WLS*(AG5-AG4),IF(AND(AG5-AG4=AG4-AG3,AG4&lt;&gt;AG5,AG3&lt;&gt;AG4,AG3&lt;&gt;AG5,AH5&lt;&gt;0,OR(AH3&lt;&gt;0,AH4&lt;&gt;0)),WLS*(AG5-AG4),"#NA"))</f>
        <v>#VALUE!</v>
      </c>
    </row>
    <row r="4" spans="1:46" x14ac:dyDescent="0.25">
      <c r="A4">
        <v>1</v>
      </c>
      <c r="B4" s="80">
        <f t="shared" ref="B4:B28" si="2">VLOOKUP(Stn_WL,OFFSET_A,A4+1,FALSE)</f>
        <v>0</v>
      </c>
      <c r="C4" s="81">
        <f t="shared" ref="C4:C28" si="3">VLOOKUP(Station_No,OFFSET_A,A4+1,FALSE)</f>
        <v>9.6999999999999993</v>
      </c>
      <c r="D4" s="81">
        <v>0</v>
      </c>
      <c r="E4" s="77">
        <v>0</v>
      </c>
      <c r="G4" t="s">
        <v>100</v>
      </c>
      <c r="H4" t="e">
        <f>Rise/WLS</f>
        <v>#VALUE!</v>
      </c>
      <c r="K4" t="str">
        <f>CONCATENATE("A(",H5,")=")</f>
        <v>A(#NA)=</v>
      </c>
      <c r="L4" t="e">
        <f>IFERROR(N18,N22)</f>
        <v>#VALUE!</v>
      </c>
      <c r="Q4" s="66" t="str">
        <f t="shared" si="0"/>
        <v>2nd_UWL</v>
      </c>
      <c r="R4" s="67" t="str">
        <f t="shared" si="0"/>
        <v>#NA</v>
      </c>
      <c r="S4" s="82" t="e">
        <f>IF((S2-S3)=S3-R5,R5,IF(S2-S3=S3-R6,R6,"-"))</f>
        <v>#VALUE!</v>
      </c>
      <c r="T4" s="83" t="e">
        <f>VLOOKUP(S4,STN_TABLE,2,FALSE)</f>
        <v>#VALUE!</v>
      </c>
      <c r="U4" s="83">
        <v>-1</v>
      </c>
      <c r="V4" s="83" t="e">
        <f>T4*U4</f>
        <v>#VALUE!</v>
      </c>
      <c r="W4" s="83">
        <v>-1</v>
      </c>
      <c r="X4" s="83" t="e">
        <f>T4*W4</f>
        <v>#VALUE!</v>
      </c>
      <c r="Y4" s="84" t="str">
        <f>CONCATENATE("a'(",S3,")=")</f>
        <v>a'(#NA)=</v>
      </c>
      <c r="Z4" s="85" t="e">
        <f>2*Z2/12*V5</f>
        <v>#VALUE!</v>
      </c>
      <c r="AA4" s="84" t="e">
        <f>CONCATENATE("A(",S2,")=")</f>
        <v>#VALUE!</v>
      </c>
      <c r="AB4" s="84" t="e">
        <f>IF(S2=RisePerWLS,0,VLOOKUP(S2,STN_TABLE,3,FALSE))</f>
        <v>#VALUE!</v>
      </c>
      <c r="AC4" t="str">
        <f>CONCATENATE("A(",S3,")=")</f>
        <v>A(#NA)=</v>
      </c>
      <c r="AD4" t="e">
        <f>Z4+AB4</f>
        <v>#VALUE!</v>
      </c>
      <c r="AE4" s="66" t="str">
        <f t="shared" si="1"/>
        <v>1st_UWL</v>
      </c>
      <c r="AF4" s="67" t="str">
        <f t="shared" si="1"/>
        <v>#NA</v>
      </c>
      <c r="AG4" s="80" t="e">
        <f>IF(OR(AF7-AF6=AF6-AF5,AF7-AF6=AF6-AF4,AF7-AF6=AF6-AF3),AF6,IF(OR(AF7-AF5=AF5-AF4,AF7-AF5=AF5-AF3),AF5,IF(AF7-AF4=AF4-AF3,AF4,"#NA")))</f>
        <v>#VALUE!</v>
      </c>
      <c r="AH4" s="77" t="e">
        <f>VLOOKUP(AG4,STN_TABLE,2,FALSE)</f>
        <v>#VALUE!</v>
      </c>
      <c r="AI4" s="77">
        <v>4</v>
      </c>
      <c r="AJ4" s="77" t="e">
        <f>AH4*AI4</f>
        <v>#VALUE!</v>
      </c>
      <c r="AK4" s="77" t="e">
        <f>AG4</f>
        <v>#VALUE!</v>
      </c>
      <c r="AL4" s="77" t="e">
        <f>AJ4*AK4</f>
        <v>#VALUE!</v>
      </c>
      <c r="AM4" s="78" t="s">
        <v>97</v>
      </c>
      <c r="AN4" s="78"/>
      <c r="AO4" s="78" t="s">
        <v>98</v>
      </c>
      <c r="AP4" s="78"/>
      <c r="AQ4" s="7" t="s">
        <v>99</v>
      </c>
      <c r="AR4" s="7"/>
      <c r="AS4" s="7"/>
      <c r="AT4" s="7"/>
    </row>
    <row r="5" spans="1:46" x14ac:dyDescent="0.25">
      <c r="A5">
        <v>2</v>
      </c>
      <c r="B5" s="80">
        <f t="shared" si="2"/>
        <v>0.25</v>
      </c>
      <c r="C5" s="81">
        <f t="shared" si="3"/>
        <v>10.45</v>
      </c>
      <c r="D5" s="81">
        <f t="shared" ref="D5:D28" si="4">IFERROR(VLOOKUP(CONCATENATE("A(",B5,")="),RESULT_TABLE,6,FALSE)," ")</f>
        <v>10.112499999999999</v>
      </c>
      <c r="E5" s="77">
        <f t="shared" ref="E5:E28" si="5">IFERROR(VLOOKUP(CONCATENATE("M(",B5,")="),RESULT_TABLE,6,FALSE)," ")</f>
        <v>2.5593749999999997</v>
      </c>
      <c r="G5" t="s">
        <v>101</v>
      </c>
      <c r="H5" t="str">
        <f>VLOOKUP(Station_No,RISE_CALC,4,FALSE)</f>
        <v>#NA</v>
      </c>
      <c r="K5" t="str">
        <f>CONCATENATE("M(",H5,")=")</f>
        <v>M(#NA)=</v>
      </c>
      <c r="L5" t="e">
        <f>IFERROR(N19,N23)</f>
        <v>#VALUE!</v>
      </c>
      <c r="Q5" s="66" t="str">
        <f t="shared" si="0"/>
        <v>3rd_UWL</v>
      </c>
      <c r="R5" s="67" t="str">
        <f t="shared" si="0"/>
        <v>#NA</v>
      </c>
      <c r="V5" s="86" t="e">
        <f>SUM(V2:V4)</f>
        <v>#VALUE!</v>
      </c>
      <c r="X5" s="87" t="e">
        <f>SUM(X2:X4)</f>
        <v>#VALUE!</v>
      </c>
      <c r="Y5" s="84" t="str">
        <f>CONCATENATE("m'(",S3,")=")</f>
        <v>m'(#NA)=</v>
      </c>
      <c r="Z5" s="85" t="e">
        <f>(2*(Z2^2)/24*X5)+(Z4*S2*WLS)</f>
        <v>#VALUE!</v>
      </c>
      <c r="AA5" s="84" t="e">
        <f>CONCATENATE("M(",S2,")=")</f>
        <v>#VALUE!</v>
      </c>
      <c r="AB5" s="84" t="e">
        <f>IF(S2=RisePerWLS,0,VLOOKUP(S2,STN_TABLE,4,FALSE))</f>
        <v>#VALUE!</v>
      </c>
      <c r="AC5" t="str">
        <f>CONCATENATE("M(",S3,")=")</f>
        <v>M(#NA)=</v>
      </c>
      <c r="AD5" t="e">
        <f>Z5+AB5</f>
        <v>#VALUE!</v>
      </c>
      <c r="AE5" s="66" t="str">
        <f t="shared" si="1"/>
        <v>2nd_UWL</v>
      </c>
      <c r="AF5" s="67" t="str">
        <f t="shared" si="1"/>
        <v>#NA</v>
      </c>
      <c r="AG5" s="88" t="str">
        <f>AF7</f>
        <v>#NA</v>
      </c>
      <c r="AH5" s="83" t="e">
        <f>VLOOKUP(AG5,STN_TABLE,2,FALSE)</f>
        <v>#N/A</v>
      </c>
      <c r="AI5" s="83">
        <v>1</v>
      </c>
      <c r="AJ5" s="83" t="e">
        <f>AH5*AI5</f>
        <v>#N/A</v>
      </c>
      <c r="AK5" s="83" t="str">
        <f>AG5</f>
        <v>#NA</v>
      </c>
      <c r="AL5" s="83" t="e">
        <f>AJ5*AK5</f>
        <v>#N/A</v>
      </c>
      <c r="AM5" s="84" t="str">
        <f>CONCATENATE("a'(",AG5,")=")</f>
        <v>a'(#NA)=</v>
      </c>
      <c r="AN5" s="84" t="e">
        <f>2*AN3/3*AJ6</f>
        <v>#VALUE!</v>
      </c>
      <c r="AO5" s="84" t="e">
        <f>CONCATENATE("A(",AG3,")=")</f>
        <v>#VALUE!</v>
      </c>
      <c r="AP5" s="84" t="e">
        <f>IF(AG3=RisePerWLS,0,VLOOKUP(AG3,STN_TABLE,3,FALSE))</f>
        <v>#VALUE!</v>
      </c>
      <c r="AQ5" t="str">
        <f>CONCATENATE("A(",AG5,")=")</f>
        <v>A(#NA)=</v>
      </c>
      <c r="AR5" t="e">
        <f>AN5+AP5</f>
        <v>#VALUE!</v>
      </c>
    </row>
    <row r="6" spans="1:46" x14ac:dyDescent="0.25">
      <c r="A6">
        <v>3</v>
      </c>
      <c r="B6" s="80">
        <f t="shared" si="2"/>
        <v>0.5</v>
      </c>
      <c r="C6" s="81">
        <f t="shared" si="3"/>
        <v>10.75</v>
      </c>
      <c r="D6" s="81">
        <f t="shared" si="4"/>
        <v>20.75</v>
      </c>
      <c r="E6" s="77">
        <f t="shared" si="5"/>
        <v>10.549999999999999</v>
      </c>
      <c r="G6" t="s">
        <v>102</v>
      </c>
      <c r="H6" t="str">
        <f>VLOOKUP(Station_No,RISE_CALC,5,FALSE)</f>
        <v>#NA</v>
      </c>
      <c r="K6" t="str">
        <f>CONCATENATE("A(",H6,")=")</f>
        <v>A(#NA)=</v>
      </c>
      <c r="L6" t="e">
        <f>IFERROR(P27,IFERROR(X6,AD9))</f>
        <v>#VALUE!</v>
      </c>
      <c r="Q6" s="66" t="str">
        <f t="shared" si="0"/>
        <v>4th_UWL</v>
      </c>
      <c r="R6" s="67" t="str">
        <f t="shared" si="0"/>
        <v>#NA</v>
      </c>
      <c r="U6" t="s">
        <v>103</v>
      </c>
      <c r="W6" t="str">
        <f>CONCATENATE("A(",S3,")=")</f>
        <v>A(#NA)=</v>
      </c>
      <c r="X6" t="e">
        <f>IF(OR(AD4&lt;=0,AD5&lt;=0),AD9,AD4)</f>
        <v>#VALUE!</v>
      </c>
      <c r="AE6" s="66" t="str">
        <f t="shared" si="1"/>
        <v>3rd_UWL</v>
      </c>
      <c r="AF6" s="67" t="str">
        <f t="shared" si="1"/>
        <v>#NA</v>
      </c>
      <c r="AJ6" s="89" t="e">
        <f>SUM(AJ3:AJ5)</f>
        <v>#VALUE!</v>
      </c>
      <c r="AL6" s="89" t="e">
        <f>SUM(AL3:AL5)</f>
        <v>#VALUE!</v>
      </c>
      <c r="AM6" s="84" t="str">
        <f>CONCATENATE("m'(",AG5,")=")</f>
        <v>m'(#NA)=</v>
      </c>
      <c r="AN6" s="84" t="e">
        <f>2*(AN3*WLS)/3*AL6</f>
        <v>#VALUE!</v>
      </c>
      <c r="AO6" s="84" t="e">
        <f>CONCATENATE("M(",AG3,")=")</f>
        <v>#VALUE!</v>
      </c>
      <c r="AP6" s="84" t="e">
        <f>IF(AG3=RisePerWLS,0,VLOOKUP(AG3,STN_TABLE,4,FALSE))</f>
        <v>#VALUE!</v>
      </c>
      <c r="AQ6" t="str">
        <f>CONCATENATE("M(",AG5,")=")</f>
        <v>M(#NA)=</v>
      </c>
      <c r="AR6" t="e">
        <f>AN6+AP6</f>
        <v>#VALUE!</v>
      </c>
    </row>
    <row r="7" spans="1:46" x14ac:dyDescent="0.25">
      <c r="A7">
        <v>4</v>
      </c>
      <c r="B7" s="80">
        <f t="shared" si="2"/>
        <v>0.75</v>
      </c>
      <c r="C7" s="81">
        <f t="shared" si="3"/>
        <v>10.93</v>
      </c>
      <c r="D7" s="81">
        <f t="shared" si="4"/>
        <v>31.572499999999998</v>
      </c>
      <c r="E7" s="77">
        <f t="shared" si="5"/>
        <v>24.099374999999998</v>
      </c>
      <c r="G7" t="s">
        <v>104</v>
      </c>
      <c r="H7" t="str">
        <f>VLOOKUP(Station_No,RISE_CALC,6,FALSE)</f>
        <v>#NA</v>
      </c>
      <c r="K7" t="str">
        <f>CONCATENATE("M(",H6,")=")</f>
        <v>M(#NA)=</v>
      </c>
      <c r="L7" t="e">
        <f>IFERROR(P28,IFERROR(X7,AD10))</f>
        <v>#VALUE!</v>
      </c>
      <c r="Q7" s="66"/>
      <c r="R7" s="67"/>
      <c r="W7" t="str">
        <f>CONCATENATE("M(",S3,")=")</f>
        <v>M(#NA)=</v>
      </c>
      <c r="X7" t="e">
        <f>IF(OR(AD4&lt;=0,AD5&lt;=0),AD10,AD5)</f>
        <v>#VALUE!</v>
      </c>
      <c r="Y7" s="6" t="s">
        <v>93</v>
      </c>
      <c r="Z7" s="70" t="e">
        <f>WLS*(U9-U8)</f>
        <v>#VALUE!</v>
      </c>
      <c r="AE7" s="66" t="str">
        <f t="shared" si="1"/>
        <v>4th_UWL</v>
      </c>
      <c r="AF7" s="67" t="str">
        <f t="shared" si="1"/>
        <v>#NA</v>
      </c>
      <c r="AH7" s="81"/>
    </row>
    <row r="8" spans="1:46" x14ac:dyDescent="0.25">
      <c r="A8">
        <v>5</v>
      </c>
      <c r="B8" s="80">
        <f t="shared" si="2"/>
        <v>1</v>
      </c>
      <c r="C8" s="81">
        <f t="shared" si="3"/>
        <v>11</v>
      </c>
      <c r="D8" s="81">
        <f t="shared" si="4"/>
        <v>42.573333333333331</v>
      </c>
      <c r="E8" s="77">
        <f t="shared" si="5"/>
        <v>43.326666666666661</v>
      </c>
      <c r="G8" t="s">
        <v>105</v>
      </c>
      <c r="H8" t="str">
        <f>VLOOKUP(Station_No,RISE_CALC,7,FALSE)</f>
        <v>#NA</v>
      </c>
      <c r="K8" t="str">
        <f>CONCATENATE("A(",H7,")=")</f>
        <v>A(#NA)=</v>
      </c>
      <c r="L8" t="e">
        <f>IFERROR(AD15,IFERROR(X24,AD27))</f>
        <v>#VALUE!</v>
      </c>
      <c r="Q8" s="80"/>
      <c r="R8" s="81"/>
      <c r="U8" s="79" t="str">
        <f>R3</f>
        <v>#NA</v>
      </c>
      <c r="V8" s="68" t="e">
        <f>VLOOKUP(U8,STN_TABLE,2,FALSE)</f>
        <v>#N/A</v>
      </c>
      <c r="W8" s="68">
        <v>1</v>
      </c>
      <c r="X8" s="69" t="e">
        <f>V8*W8</f>
        <v>#N/A</v>
      </c>
      <c r="Y8" s="78" t="s">
        <v>97</v>
      </c>
      <c r="Z8" s="78"/>
      <c r="AA8" s="78" t="s">
        <v>98</v>
      </c>
      <c r="AB8" s="78"/>
      <c r="AC8" s="7" t="s">
        <v>99</v>
      </c>
      <c r="AD8" s="7"/>
      <c r="AE8" s="66"/>
      <c r="AF8" s="67"/>
      <c r="AG8" s="68" t="e">
        <f>IF(OR(AF12-AF11=AF11-AF10,AF13-AF11=AF11-AF10),AF10,IF(OR(AF12-AF11=AF11-AF9,AF13-AF11=AF11-AF9),AF9,"-"))</f>
        <v>#VALUE!</v>
      </c>
      <c r="AH8" s="69" t="e">
        <f>IFERROR(VLOOKUP(AG8,STN_TABLE,2,FALSE),IF(AF8=RisePerWLS,0,"-"))</f>
        <v>#VALUE!</v>
      </c>
      <c r="AI8" s="69">
        <v>5</v>
      </c>
      <c r="AJ8" s="69" t="e">
        <f>AH8*AI8</f>
        <v>#VALUE!</v>
      </c>
      <c r="AK8" s="69">
        <v>3</v>
      </c>
      <c r="AL8" s="69" t="e">
        <f>AH8*AK8</f>
        <v>#VALUE!</v>
      </c>
      <c r="AM8" s="6" t="s">
        <v>93</v>
      </c>
      <c r="AN8" s="70" t="e">
        <f>IF(AND(AG10-AG9=AG9-AG8,NOT(AND(AG8=0,AG9=0)),NOT(AND(AG9=0,AG10=0))),WLS*(AG10-AG9),"#NA")</f>
        <v>#VALUE!</v>
      </c>
    </row>
    <row r="9" spans="1:46" x14ac:dyDescent="0.25">
      <c r="A9">
        <v>6</v>
      </c>
      <c r="B9" s="80">
        <f t="shared" si="2"/>
        <v>2</v>
      </c>
      <c r="C9" s="81">
        <f t="shared" si="3"/>
        <v>11</v>
      </c>
      <c r="D9" s="81">
        <f t="shared" si="4"/>
        <v>86.573333333333323</v>
      </c>
      <c r="E9" s="77">
        <f t="shared" si="5"/>
        <v>175.32666666666665</v>
      </c>
      <c r="G9" t="s">
        <v>106</v>
      </c>
      <c r="H9" t="str">
        <f>VLOOKUP(Station_No,RISE_CALC,8,FALSE)</f>
        <v>#NA</v>
      </c>
      <c r="K9" t="str">
        <f>CONCATENATE("M(",H7,")=")</f>
        <v>M(#NA)=</v>
      </c>
      <c r="L9" t="e">
        <f>IFERROR(AD16,IFERROR(X25,AD28))</f>
        <v>#VALUE!</v>
      </c>
      <c r="Q9" s="80"/>
      <c r="R9" s="81"/>
      <c r="U9" s="88" t="str">
        <f>R4</f>
        <v>#NA</v>
      </c>
      <c r="V9" s="82" t="e">
        <f>VLOOKUP(U9,STN_TABLE,2,FALSE)</f>
        <v>#N/A</v>
      </c>
      <c r="W9" s="82">
        <v>2</v>
      </c>
      <c r="X9" s="83" t="e">
        <f>V9*W9</f>
        <v>#N/A</v>
      </c>
      <c r="Y9" s="84" t="str">
        <f>CONCATENATE("a'(",U9,")=")</f>
        <v>a'(#NA)=</v>
      </c>
      <c r="Z9" s="84" t="e">
        <f>2*Z7/2*V10</f>
        <v>#VALUE!</v>
      </c>
      <c r="AA9" s="84" t="str">
        <f>CONCATENATE("A(",U8,")=")</f>
        <v>A(#NA)=</v>
      </c>
      <c r="AB9" s="84" t="e">
        <f>IF(U8=RisePerWLS,0,VLOOKUP(U8,STN_TABLE,3,FALSE))</f>
        <v>#VALUE!</v>
      </c>
      <c r="AC9" t="str">
        <f>CONCATENATE("A(",U9,")=")</f>
        <v>A(#NA)=</v>
      </c>
      <c r="AD9" t="e">
        <f>Z9+AB9</f>
        <v>#VALUE!</v>
      </c>
      <c r="AE9" s="66" t="str">
        <f t="shared" ref="AE9:AF13" si="6">G6</f>
        <v>2nd_UWL</v>
      </c>
      <c r="AF9" s="67" t="str">
        <f t="shared" si="6"/>
        <v>#NA</v>
      </c>
      <c r="AG9" s="76" t="str">
        <f>AF11</f>
        <v>#NA</v>
      </c>
      <c r="AH9" s="77" t="e">
        <f>VLOOKUP(AG9,STN_TABLE,2,FALSE)</f>
        <v>#N/A</v>
      </c>
      <c r="AI9" s="77">
        <v>8</v>
      </c>
      <c r="AJ9" s="77" t="e">
        <f>AH9*AI9</f>
        <v>#N/A</v>
      </c>
      <c r="AK9" s="77">
        <v>10</v>
      </c>
      <c r="AL9" s="77" t="e">
        <f>AH9*AK9</f>
        <v>#N/A</v>
      </c>
      <c r="AM9" s="78" t="s">
        <v>97</v>
      </c>
      <c r="AN9" s="78"/>
      <c r="AO9" s="78" t="s">
        <v>98</v>
      </c>
      <c r="AP9" s="78"/>
      <c r="AQ9" s="7" t="s">
        <v>99</v>
      </c>
      <c r="AR9" s="7"/>
      <c r="AS9" s="7"/>
      <c r="AT9" s="7"/>
    </row>
    <row r="10" spans="1:46" x14ac:dyDescent="0.25">
      <c r="A10">
        <v>7</v>
      </c>
      <c r="B10" s="80">
        <f t="shared" si="2"/>
        <v>3</v>
      </c>
      <c r="C10" s="81">
        <f t="shared" si="3"/>
        <v>11</v>
      </c>
      <c r="D10" s="81">
        <f t="shared" si="4"/>
        <v>130.57333333333332</v>
      </c>
      <c r="E10" s="77">
        <f t="shared" si="5"/>
        <v>395.32666666666665</v>
      </c>
      <c r="G10" t="s">
        <v>107</v>
      </c>
      <c r="H10" t="str">
        <f>VLOOKUP(Station_No,RISE_CALC,9,FALSE)</f>
        <v>#NA</v>
      </c>
      <c r="K10" t="str">
        <f>CONCATENATE("A(",H8,")=")</f>
        <v>A(#NA)=</v>
      </c>
      <c r="L10" t="e">
        <f>IFERROR(AR5,IFERROR(AL12,AR15))</f>
        <v>#VALUE!</v>
      </c>
      <c r="Q10" s="80"/>
      <c r="R10" s="81"/>
      <c r="V10" s="89" t="e">
        <f>SUM(V8:V9)</f>
        <v>#N/A</v>
      </c>
      <c r="X10" s="89" t="e">
        <f>SUM(X8:X9)</f>
        <v>#N/A</v>
      </c>
      <c r="Y10" s="84" t="str">
        <f>CONCATENATE("m'(",U9,")=")</f>
        <v>m'(#NA)=</v>
      </c>
      <c r="Z10" s="84" t="e">
        <f>(2*(Z7^2)/6*X10)+(Z9*U8*WLS)</f>
        <v>#VALUE!</v>
      </c>
      <c r="AA10" s="84" t="str">
        <f>CONCATENATE("M(",U8,")=")</f>
        <v>M(#NA)=</v>
      </c>
      <c r="AB10" s="84" t="e">
        <f>IF(U8=RisePerWLS,0,VLOOKUP(U8,STN_TABLE,4,FALSE))</f>
        <v>#VALUE!</v>
      </c>
      <c r="AC10" t="str">
        <f>CONCATENATE("M(",U9,")=")</f>
        <v>M(#NA)=</v>
      </c>
      <c r="AD10" t="e">
        <f>Z10+AB10</f>
        <v>#VALUE!</v>
      </c>
      <c r="AE10" s="66" t="str">
        <f t="shared" si="6"/>
        <v>3rd_UWL</v>
      </c>
      <c r="AF10" s="67" t="str">
        <f t="shared" si="6"/>
        <v>#NA</v>
      </c>
      <c r="AG10" s="82" t="e">
        <f>IF(AG8-AG9=AG9-AF12,AF12,IF(AG8-AG9=AG9-AF13,AF13,"-"))</f>
        <v>#VALUE!</v>
      </c>
      <c r="AH10" s="83" t="e">
        <f>VLOOKUP(AG10,STN_TABLE,2,FALSE)</f>
        <v>#VALUE!</v>
      </c>
      <c r="AI10" s="83">
        <v>-1</v>
      </c>
      <c r="AJ10" s="83" t="e">
        <f>AH10*AI10</f>
        <v>#VALUE!</v>
      </c>
      <c r="AK10" s="83">
        <v>-1</v>
      </c>
      <c r="AL10" s="83" t="e">
        <f>AH10*AK10</f>
        <v>#VALUE!</v>
      </c>
      <c r="AM10" s="84" t="str">
        <f>CONCATENATE("a'(",AG9,")=")</f>
        <v>a'(#NA)=</v>
      </c>
      <c r="AN10" s="84" t="e">
        <f>2*AN8/12*AJ11</f>
        <v>#VALUE!</v>
      </c>
      <c r="AO10" s="84" t="e">
        <f>CONCATENATE("A(",AG8,")=")</f>
        <v>#VALUE!</v>
      </c>
      <c r="AP10" s="84" t="e">
        <f>VLOOKUP(AG8,STN_TABLE,3,FALSE)</f>
        <v>#VALUE!</v>
      </c>
      <c r="AQ10" t="str">
        <f>CONCATENATE("A(",AG9,")=")</f>
        <v>A(#NA)=</v>
      </c>
      <c r="AR10" t="e">
        <f>AN10+AP10</f>
        <v>#VALUE!</v>
      </c>
    </row>
    <row r="11" spans="1:46" x14ac:dyDescent="0.25">
      <c r="A11">
        <v>8</v>
      </c>
      <c r="B11" s="80">
        <f t="shared" si="2"/>
        <v>4</v>
      </c>
      <c r="C11" s="81">
        <f t="shared" si="3"/>
        <v>11</v>
      </c>
      <c r="D11" s="81">
        <f t="shared" si="4"/>
        <v>174.57333333333332</v>
      </c>
      <c r="E11" s="77">
        <f t="shared" si="5"/>
        <v>703.3266666666666</v>
      </c>
      <c r="G11" t="s">
        <v>108</v>
      </c>
      <c r="H11" t="str">
        <f>VLOOKUP(Station_No,RISE_CALC,10,FALSE)</f>
        <v>#NA</v>
      </c>
      <c r="K11" t="str">
        <f>CONCATENATE("M(",H8,")=")</f>
        <v>M(#NA)=</v>
      </c>
      <c r="L11" t="e">
        <f>IFERROR(AR6,IFERROR(AL13,AR16))</f>
        <v>#VALUE!</v>
      </c>
      <c r="Q11" s="80"/>
      <c r="R11" s="81"/>
      <c r="AE11" s="66" t="str">
        <f t="shared" si="6"/>
        <v>4th_UWL</v>
      </c>
      <c r="AF11" s="67" t="str">
        <f t="shared" si="6"/>
        <v>#NA</v>
      </c>
      <c r="AJ11" s="89" t="e">
        <f>SUM(AJ8:AJ10)</f>
        <v>#VALUE!</v>
      </c>
      <c r="AL11" s="89" t="e">
        <f>SUM(AL8:AL10)</f>
        <v>#VALUE!</v>
      </c>
      <c r="AM11" s="84" t="str">
        <f>CONCATENATE("m'(",AG9,")=")</f>
        <v>m'(#NA)=</v>
      </c>
      <c r="AN11" s="84" t="e">
        <f>(2*(AN8^2)/24*AL11)+(AN10*AG8*WLS)</f>
        <v>#VALUE!</v>
      </c>
      <c r="AO11" s="84" t="e">
        <f>CONCATENATE("M(",AG8,")=")</f>
        <v>#VALUE!</v>
      </c>
      <c r="AP11" s="84" t="e">
        <f>VLOOKUP(AG8,STN_TABLE,4,FALSE)</f>
        <v>#VALUE!</v>
      </c>
      <c r="AQ11" t="str">
        <f>CONCATENATE("M(",AG9,")=")</f>
        <v>M(#NA)=</v>
      </c>
      <c r="AR11" t="e">
        <f>AN11+AP11</f>
        <v>#VALUE!</v>
      </c>
    </row>
    <row r="12" spans="1:46" x14ac:dyDescent="0.25">
      <c r="A12">
        <v>9</v>
      </c>
      <c r="B12" s="80">
        <f t="shared" si="2"/>
        <v>4.8499999999999996</v>
      </c>
      <c r="C12" s="81">
        <f t="shared" si="3"/>
        <v>11</v>
      </c>
      <c r="D12" s="81">
        <f t="shared" si="4"/>
        <v>211.9733333333333</v>
      </c>
      <c r="E12" s="77">
        <f t="shared" si="5"/>
        <v>1034.3166666666664</v>
      </c>
      <c r="Q12" s="90" t="s">
        <v>109</v>
      </c>
      <c r="R12" s="81"/>
      <c r="AE12" s="66" t="str">
        <f t="shared" si="6"/>
        <v>5th_UWL</v>
      </c>
      <c r="AF12" s="67" t="str">
        <f t="shared" si="6"/>
        <v>#NA</v>
      </c>
      <c r="AI12" t="s">
        <v>103</v>
      </c>
      <c r="AK12" t="str">
        <f>CONCATENATE("A(",AG9,")=")</f>
        <v>A(#NA)=</v>
      </c>
      <c r="AL12" t="e">
        <f>IF(OR(AR10&lt;=0,AR11&lt;=0),AR15,AR10)</f>
        <v>#VALUE!</v>
      </c>
    </row>
    <row r="13" spans="1:46" x14ac:dyDescent="0.25">
      <c r="A13">
        <v>10</v>
      </c>
      <c r="B13" s="80">
        <f t="shared" si="2"/>
        <v>5</v>
      </c>
      <c r="C13" s="81">
        <f t="shared" si="3"/>
        <v>11</v>
      </c>
      <c r="D13" s="81">
        <f t="shared" si="4"/>
        <v>218.57333333333332</v>
      </c>
      <c r="E13" s="77">
        <f t="shared" si="5"/>
        <v>1099.3266666666666</v>
      </c>
      <c r="G13" s="71" t="s">
        <v>110</v>
      </c>
      <c r="Q13" s="66" t="str">
        <f t="shared" ref="Q13:R16" si="7">G4</f>
        <v>Rise</v>
      </c>
      <c r="R13" s="67" t="e">
        <f t="shared" si="7"/>
        <v>#VALUE!</v>
      </c>
      <c r="S13" s="68" t="e">
        <f>IF(R16-R15=R15-R14,R14,IF(R16-R14=R14-R13,R13,"-"))</f>
        <v>#VALUE!</v>
      </c>
      <c r="T13" s="69" t="e">
        <f>IFERROR(VLOOKUP(S13,STN_TABLE,2,FALSE),IF(R13=RisePerWLS,0,"-"))</f>
        <v>#VALUE!</v>
      </c>
      <c r="U13" s="69">
        <v>1</v>
      </c>
      <c r="V13" s="69" t="e">
        <f>T13*U13</f>
        <v>#VALUE!</v>
      </c>
      <c r="W13" s="69" t="e">
        <f>S13</f>
        <v>#VALUE!</v>
      </c>
      <c r="X13" s="69" t="e">
        <f>V13*W13</f>
        <v>#VALUE!</v>
      </c>
      <c r="Y13" s="6" t="s">
        <v>93</v>
      </c>
      <c r="Z13" s="70" t="e">
        <f>IF(AND(T13=0,T14=0,T15=0),WLS*(S15-S14),IF(AND(S15-S14=S14-S13,S14&lt;&gt;S15,S13&lt;&gt;S14,S13&lt;&gt;S15,T15&lt;&gt;0,OR(T13&lt;&gt;0,T14&lt;&gt;0)),WLS*(S15-S14),"#NA"))</f>
        <v>#VALUE!</v>
      </c>
      <c r="AE13" s="66" t="str">
        <f t="shared" si="6"/>
        <v>6th_UWL</v>
      </c>
      <c r="AF13" s="67" t="str">
        <f t="shared" si="6"/>
        <v>#NA</v>
      </c>
      <c r="AK13" t="str">
        <f>CONCATENATE("M(",AG9,")=")</f>
        <v>M(#NA)=</v>
      </c>
      <c r="AL13" t="e">
        <f>IF(OR(AR10&lt;=0,AR11&lt;=0),AR16,AR11)</f>
        <v>#VALUE!</v>
      </c>
      <c r="AM13" s="6" t="s">
        <v>93</v>
      </c>
      <c r="AN13" s="70" t="e">
        <f>WLS*(AI15-AI14)</f>
        <v>#VALUE!</v>
      </c>
    </row>
    <row r="14" spans="1:46" x14ac:dyDescent="0.25">
      <c r="A14">
        <v>11</v>
      </c>
      <c r="B14" s="80">
        <f t="shared" si="2"/>
        <v>6</v>
      </c>
      <c r="C14" s="81">
        <f t="shared" si="3"/>
        <v>11</v>
      </c>
      <c r="D14" s="81">
        <f t="shared" si="4"/>
        <v>262.57333333333332</v>
      </c>
      <c r="E14" s="77">
        <f t="shared" si="5"/>
        <v>1583.3266666666666</v>
      </c>
      <c r="G14" s="91" t="str">
        <f>G4</f>
        <v>Rise</v>
      </c>
      <c r="H14" s="91" t="e">
        <f>RisePerWLS</f>
        <v>#VALUE!</v>
      </c>
      <c r="I14" s="68" t="e">
        <f>H14</f>
        <v>#VALUE!</v>
      </c>
      <c r="J14" s="69">
        <v>0</v>
      </c>
      <c r="K14" s="69">
        <v>5</v>
      </c>
      <c r="L14" s="69">
        <f>J14*K14</f>
        <v>0</v>
      </c>
      <c r="M14" s="69">
        <v>3</v>
      </c>
      <c r="N14" s="69">
        <f>J14*M14</f>
        <v>0</v>
      </c>
      <c r="O14" t="s">
        <v>93</v>
      </c>
      <c r="P14" t="e">
        <f>IF(AND(NOT(AND(J14=0,J15=0)),I14&lt;&gt;I15,I15&lt;&gt;I16,I16-I15=I15-I14),(I16-I15)*WLS,"#NA")</f>
        <v>#N/A</v>
      </c>
      <c r="Q14" s="66" t="str">
        <f t="shared" si="7"/>
        <v>1st_UWL</v>
      </c>
      <c r="R14" s="67" t="str">
        <f t="shared" si="7"/>
        <v>#NA</v>
      </c>
      <c r="S14" s="76" t="e">
        <f>IF(R16-R15=R15-R14,R15,IF(R16-R14=R14-R13,R14,"-"))</f>
        <v>#VALUE!</v>
      </c>
      <c r="T14" s="77" t="e">
        <f>VLOOKUP(S14,STN_TABLE,2,FALSE)</f>
        <v>#VALUE!</v>
      </c>
      <c r="U14" s="77">
        <v>4</v>
      </c>
      <c r="V14" s="77" t="e">
        <f>T14*U14</f>
        <v>#VALUE!</v>
      </c>
      <c r="W14" s="77" t="e">
        <f>S14</f>
        <v>#VALUE!</v>
      </c>
      <c r="X14" s="77" t="e">
        <f>V14*W14</f>
        <v>#VALUE!</v>
      </c>
      <c r="Y14" s="78" t="s">
        <v>97</v>
      </c>
      <c r="Z14" s="78"/>
      <c r="AA14" s="78" t="s">
        <v>98</v>
      </c>
      <c r="AB14" s="78"/>
      <c r="AC14" s="7" t="s">
        <v>99</v>
      </c>
      <c r="AD14" s="7"/>
      <c r="AE14" s="66"/>
      <c r="AF14" s="67"/>
      <c r="AI14" s="79" t="str">
        <f>AF10</f>
        <v>#NA</v>
      </c>
      <c r="AJ14" s="68" t="e">
        <f>VLOOKUP(AI14,STN_TABLE,2,FALSE)</f>
        <v>#N/A</v>
      </c>
      <c r="AK14" s="68">
        <v>1</v>
      </c>
      <c r="AL14" s="69" t="e">
        <f>AJ14*AK14</f>
        <v>#N/A</v>
      </c>
      <c r="AM14" s="78" t="s">
        <v>97</v>
      </c>
      <c r="AN14" s="78"/>
      <c r="AO14" s="78" t="s">
        <v>98</v>
      </c>
      <c r="AP14" s="78"/>
      <c r="AQ14" s="7" t="s">
        <v>99</v>
      </c>
      <c r="AR14" s="7"/>
      <c r="AS14" s="7"/>
      <c r="AT14" s="7"/>
    </row>
    <row r="15" spans="1:46" x14ac:dyDescent="0.25">
      <c r="A15">
        <v>12</v>
      </c>
      <c r="B15" s="80">
        <f t="shared" si="2"/>
        <v>6.5</v>
      </c>
      <c r="C15" s="81">
        <f t="shared" si="3"/>
        <v>11</v>
      </c>
      <c r="D15" s="81">
        <f t="shared" si="4"/>
        <v>284.57333333333332</v>
      </c>
      <c r="E15" s="77">
        <f t="shared" si="5"/>
        <v>1858.3266666666666</v>
      </c>
      <c r="G15" s="91" t="str">
        <f>G5</f>
        <v>1st_UWL</v>
      </c>
      <c r="H15" s="91" t="str">
        <f>H5</f>
        <v>#NA</v>
      </c>
      <c r="I15" s="76" t="str">
        <f>H15</f>
        <v>#NA</v>
      </c>
      <c r="J15" s="77" t="e">
        <f>VLOOKUP(I15,STN_TABLE,2,FALSE)</f>
        <v>#N/A</v>
      </c>
      <c r="K15" s="77">
        <v>8</v>
      </c>
      <c r="L15" s="77" t="e">
        <f>J15*K15</f>
        <v>#N/A</v>
      </c>
      <c r="M15" s="77">
        <v>10</v>
      </c>
      <c r="N15" s="77" t="e">
        <f>J15*M15</f>
        <v>#N/A</v>
      </c>
      <c r="O15" t="str">
        <f>CONCATENATE("A(",I15,")=")</f>
        <v>A(#NA)=</v>
      </c>
      <c r="P15" t="e">
        <f>2*P14/12*L17</f>
        <v>#N/A</v>
      </c>
      <c r="Q15" s="66" t="str">
        <f t="shared" si="7"/>
        <v>2nd_UWL</v>
      </c>
      <c r="R15" s="67" t="str">
        <f t="shared" si="7"/>
        <v>#NA</v>
      </c>
      <c r="S15" s="82" t="str">
        <f>R16</f>
        <v>#NA</v>
      </c>
      <c r="T15" s="83" t="e">
        <f>VLOOKUP(S15,STN_TABLE,2,FALSE)</f>
        <v>#N/A</v>
      </c>
      <c r="U15" s="83">
        <v>1</v>
      </c>
      <c r="V15" s="83" t="e">
        <f>T15*U15</f>
        <v>#N/A</v>
      </c>
      <c r="W15" s="83" t="str">
        <f>S15</f>
        <v>#NA</v>
      </c>
      <c r="X15" s="83" t="e">
        <f>V15*W15</f>
        <v>#N/A</v>
      </c>
      <c r="Y15" s="84" t="str">
        <f>CONCATENATE("a'(",S15,")=")</f>
        <v>a'(#NA)=</v>
      </c>
      <c r="Z15" s="84" t="e">
        <f>2*Z13/3*V16</f>
        <v>#VALUE!</v>
      </c>
      <c r="AA15" s="84" t="e">
        <f>CONCATENATE("A(",S13,")=")</f>
        <v>#VALUE!</v>
      </c>
      <c r="AB15" s="84" t="e">
        <f>IF(S13=RisePerWLS,0,VLOOKUP(S13,STN_TABLE,3,FALSE))</f>
        <v>#VALUE!</v>
      </c>
      <c r="AC15" t="str">
        <f>CONCATENATE("A(",S15,")=")</f>
        <v>A(#NA)=</v>
      </c>
      <c r="AD15" t="e">
        <f>Z15+AB15</f>
        <v>#VALUE!</v>
      </c>
      <c r="AE15" s="80"/>
      <c r="AI15" s="88" t="str">
        <f>AF11</f>
        <v>#NA</v>
      </c>
      <c r="AJ15" s="82" t="e">
        <f>VLOOKUP(AI15,STN_TABLE,2,FALSE)</f>
        <v>#N/A</v>
      </c>
      <c r="AK15" s="82">
        <v>2</v>
      </c>
      <c r="AL15" s="83" t="e">
        <f>AJ15*AK15</f>
        <v>#N/A</v>
      </c>
      <c r="AM15" s="84" t="str">
        <f>CONCATENATE("a'(",AI15,")=")</f>
        <v>a'(#NA)=</v>
      </c>
      <c r="AN15" s="84" t="e">
        <f>2*AN13/2*AJ16</f>
        <v>#VALUE!</v>
      </c>
      <c r="AO15" s="84" t="str">
        <f>CONCATENATE("A(",AI14,")=")</f>
        <v>A(#NA)=</v>
      </c>
      <c r="AP15" s="84" t="e">
        <f>IF(AI14=RisePerWLS,0,VLOOKUP(AI14,STN_TABLE,3,FALSE))</f>
        <v>#VALUE!</v>
      </c>
      <c r="AQ15" t="str">
        <f>CONCATENATE("A(",AI15,")=")</f>
        <v>A(#NA)=</v>
      </c>
      <c r="AR15" t="e">
        <f>AN15+AP15</f>
        <v>#VALUE!</v>
      </c>
    </row>
    <row r="16" spans="1:46" x14ac:dyDescent="0.25">
      <c r="A16">
        <v>13</v>
      </c>
      <c r="B16" s="80" t="str">
        <f t="shared" si="2"/>
        <v xml:space="preserve">  </v>
      </c>
      <c r="C16" s="81" t="str">
        <f t="shared" si="3"/>
        <v xml:space="preserve">  </v>
      </c>
      <c r="D16" s="81" t="str">
        <f t="shared" si="4"/>
        <v xml:space="preserve"> </v>
      </c>
      <c r="E16" s="77" t="str">
        <f t="shared" si="5"/>
        <v xml:space="preserve"> </v>
      </c>
      <c r="G16" s="91" t="str">
        <f>G6</f>
        <v>2nd_UWL</v>
      </c>
      <c r="H16" s="91" t="str">
        <f>H6</f>
        <v>#NA</v>
      </c>
      <c r="I16" s="82" t="e">
        <f>IF(H16-H15=H15-H14,H16,"#NA")</f>
        <v>#VALUE!</v>
      </c>
      <c r="J16" s="83" t="e">
        <f>VLOOKUP(I16,STN_TABLE,2,FALSE)</f>
        <v>#VALUE!</v>
      </c>
      <c r="K16" s="83">
        <v>-1</v>
      </c>
      <c r="L16" s="83" t="e">
        <f>J16*K16</f>
        <v>#VALUE!</v>
      </c>
      <c r="M16" s="83">
        <v>-1</v>
      </c>
      <c r="N16" s="83" t="e">
        <f>J16*M16</f>
        <v>#VALUE!</v>
      </c>
      <c r="O16" t="str">
        <f>CONCATENATE("M(",I15,")=")</f>
        <v>M(#NA)=</v>
      </c>
      <c r="P16" t="e">
        <f>(2*(P14^2)/24*N17)+P15*I14*WLS</f>
        <v>#N/A</v>
      </c>
      <c r="Q16" s="66" t="str">
        <f t="shared" si="7"/>
        <v>3rd_UWL</v>
      </c>
      <c r="R16" s="67" t="str">
        <f t="shared" si="7"/>
        <v>#NA</v>
      </c>
      <c r="V16" s="89" t="e">
        <f>SUM(V13:V15)</f>
        <v>#VALUE!</v>
      </c>
      <c r="X16" s="89" t="e">
        <f>SUM(X13:X15)</f>
        <v>#VALUE!</v>
      </c>
      <c r="Y16" s="84" t="str">
        <f>CONCATENATE("m'(",S15,")=")</f>
        <v>m'(#NA)=</v>
      </c>
      <c r="Z16" s="84" t="e">
        <f>2*(Z13*WLS)/3*X16</f>
        <v>#VALUE!</v>
      </c>
      <c r="AA16" s="84" t="e">
        <f>CONCATENATE("M(",S13,")=")</f>
        <v>#VALUE!</v>
      </c>
      <c r="AB16" s="84" t="e">
        <f>IF(S13=RisePerWLS,0,VLOOKUP(S13,STN_TABLE,4,FALSE))</f>
        <v>#VALUE!</v>
      </c>
      <c r="AC16" t="str">
        <f>CONCATENATE("M(",S15,")=")</f>
        <v>M(#NA)=</v>
      </c>
      <c r="AD16" t="e">
        <f>Z16+AB16</f>
        <v>#VALUE!</v>
      </c>
      <c r="AE16" s="80"/>
      <c r="AJ16" s="89" t="e">
        <f>SUM(AJ14:AJ15)</f>
        <v>#N/A</v>
      </c>
      <c r="AL16" s="89" t="e">
        <f>SUM(AL14:AL15)</f>
        <v>#N/A</v>
      </c>
      <c r="AM16" s="84" t="str">
        <f>CONCATENATE("m'(",AI15,")=")</f>
        <v>m'(#NA)=</v>
      </c>
      <c r="AN16" s="84" t="e">
        <f>(2*(AN13^2)/6*AL16)+(AN15*AI14*WLS)</f>
        <v>#VALUE!</v>
      </c>
      <c r="AO16" s="84" t="str">
        <f>CONCATENATE("M(",AI14,")=")</f>
        <v>M(#NA)=</v>
      </c>
      <c r="AP16" s="84" t="e">
        <f>IF(AI14=RisePerWLS,0,VLOOKUP(AI14,STN_TABLE,4,FALSE))</f>
        <v>#VALUE!</v>
      </c>
      <c r="AQ16" t="str">
        <f>CONCATENATE("M(",AI15,")=")</f>
        <v>M(#NA)=</v>
      </c>
      <c r="AR16" t="e">
        <f>AN16+AP16</f>
        <v>#VALUE!</v>
      </c>
    </row>
    <row r="17" spans="1:35" x14ac:dyDescent="0.25">
      <c r="A17">
        <v>14</v>
      </c>
      <c r="B17" s="80" t="str">
        <f t="shared" si="2"/>
        <v xml:space="preserve">  </v>
      </c>
      <c r="C17" s="81" t="str">
        <f t="shared" si="3"/>
        <v xml:space="preserve">  </v>
      </c>
      <c r="D17" s="81" t="str">
        <f t="shared" si="4"/>
        <v xml:space="preserve"> </v>
      </c>
      <c r="E17" s="77" t="str">
        <f t="shared" si="5"/>
        <v xml:space="preserve"> </v>
      </c>
      <c r="G17" s="91"/>
      <c r="H17" s="91"/>
      <c r="L17" s="89" t="e">
        <f>SUM(L14:L16)</f>
        <v>#N/A</v>
      </c>
      <c r="N17" s="89" t="e">
        <f>SUM(N14:N16)</f>
        <v>#N/A</v>
      </c>
      <c r="Q17" s="66"/>
      <c r="R17" s="67"/>
      <c r="AE17" s="90"/>
    </row>
    <row r="18" spans="1:35" x14ac:dyDescent="0.25">
      <c r="A18">
        <v>15</v>
      </c>
      <c r="B18" s="80" t="str">
        <f t="shared" si="2"/>
        <v xml:space="preserve">  </v>
      </c>
      <c r="C18" s="81" t="str">
        <f t="shared" si="3"/>
        <v xml:space="preserve">  </v>
      </c>
      <c r="D18" s="81" t="str">
        <f t="shared" si="4"/>
        <v xml:space="preserve"> </v>
      </c>
      <c r="E18" s="77" t="str">
        <f t="shared" si="5"/>
        <v xml:space="preserve"> </v>
      </c>
      <c r="G18" s="91"/>
      <c r="H18" s="91"/>
      <c r="K18" t="s">
        <v>103</v>
      </c>
      <c r="M18" t="str">
        <f>CONCATENATE("A(",I15,")=")</f>
        <v>A(#NA)=</v>
      </c>
      <c r="N18" t="e">
        <f>IF(OR(P15&lt;=0,P16&lt;=0),N22,P15)</f>
        <v>#N/A</v>
      </c>
      <c r="Q18" s="66"/>
      <c r="R18" s="67"/>
      <c r="AE18" s="80"/>
    </row>
    <row r="19" spans="1:35" x14ac:dyDescent="0.25">
      <c r="A19">
        <v>16</v>
      </c>
      <c r="B19" s="80" t="str">
        <f t="shared" si="2"/>
        <v xml:space="preserve">  </v>
      </c>
      <c r="C19" s="81" t="str">
        <f t="shared" si="3"/>
        <v xml:space="preserve">  </v>
      </c>
      <c r="D19" s="81" t="str">
        <f t="shared" si="4"/>
        <v xml:space="preserve"> </v>
      </c>
      <c r="E19" s="77" t="str">
        <f t="shared" si="5"/>
        <v xml:space="preserve"> </v>
      </c>
      <c r="G19" s="91"/>
      <c r="H19" s="91"/>
      <c r="M19" t="str">
        <f>CONCATENATE("M(",I15,")=")</f>
        <v>M(#NA)=</v>
      </c>
      <c r="N19" t="e">
        <f>IF(OR(P15&lt;=0,P16&lt;=0),N23,P16)</f>
        <v>#N/A</v>
      </c>
      <c r="Q19" s="66"/>
      <c r="R19" s="67"/>
      <c r="AE19" s="80"/>
    </row>
    <row r="20" spans="1:35" x14ac:dyDescent="0.25">
      <c r="A20">
        <v>17</v>
      </c>
      <c r="B20" s="80" t="str">
        <f t="shared" si="2"/>
        <v xml:space="preserve">  </v>
      </c>
      <c r="C20" s="81" t="str">
        <f t="shared" si="3"/>
        <v xml:space="preserve">  </v>
      </c>
      <c r="D20" s="81" t="str">
        <f t="shared" si="4"/>
        <v xml:space="preserve"> </v>
      </c>
      <c r="E20" s="77" t="str">
        <f t="shared" si="5"/>
        <v xml:space="preserve"> </v>
      </c>
      <c r="G20" s="91"/>
      <c r="H20" s="91"/>
      <c r="Q20" s="66"/>
      <c r="R20" s="67"/>
      <c r="S20" s="68" t="e">
        <f>IF(OR(R24-R23=R23-R22,R25-R23=R23-R22),R22,IF(OR(R24-R23=R23-R21,R25-R23=R23-R21),R21,"-"))</f>
        <v>#VALUE!</v>
      </c>
      <c r="T20" s="69" t="e">
        <f>IFERROR(VLOOKUP(S20,STN_TABLE,2,FALSE),IF(R20=RisePerWLS,0,"-"))</f>
        <v>#VALUE!</v>
      </c>
      <c r="U20" s="69">
        <v>5</v>
      </c>
      <c r="V20" s="69" t="e">
        <f>T20*U20</f>
        <v>#VALUE!</v>
      </c>
      <c r="W20" s="69">
        <v>3</v>
      </c>
      <c r="X20" s="69" t="e">
        <f>T20*W20</f>
        <v>#VALUE!</v>
      </c>
      <c r="Y20" s="6" t="s">
        <v>93</v>
      </c>
      <c r="Z20" s="70" t="e">
        <f>IF(AND(S22-S21=S21-S20,NOT(AND(S20=0,S21=0)),NOT(AND(S21=0,S22=0))),WLS*(S22-S21),"#NA")</f>
        <v>#VALUE!</v>
      </c>
      <c r="AE20" s="80"/>
    </row>
    <row r="21" spans="1:35" x14ac:dyDescent="0.25">
      <c r="A21">
        <v>18</v>
      </c>
      <c r="B21" s="80" t="str">
        <f t="shared" si="2"/>
        <v xml:space="preserve">  </v>
      </c>
      <c r="C21" s="81" t="str">
        <f t="shared" si="3"/>
        <v xml:space="preserve">  </v>
      </c>
      <c r="D21" s="81" t="str">
        <f t="shared" si="4"/>
        <v xml:space="preserve"> </v>
      </c>
      <c r="E21" s="77" t="str">
        <f t="shared" si="5"/>
        <v xml:space="preserve"> </v>
      </c>
      <c r="G21" s="91"/>
      <c r="H21" s="91" t="str">
        <f>G14</f>
        <v>Rise</v>
      </c>
      <c r="I21" s="79" t="e">
        <f>H14</f>
        <v>#VALUE!</v>
      </c>
      <c r="J21" s="68">
        <v>0</v>
      </c>
      <c r="K21" s="68">
        <v>1</v>
      </c>
      <c r="L21" s="69">
        <f>J21*K21</f>
        <v>0</v>
      </c>
      <c r="M21" t="s">
        <v>93</v>
      </c>
      <c r="N21" t="e">
        <f>(I22-I21)*WLS</f>
        <v>#VALUE!</v>
      </c>
      <c r="Q21" s="66" t="str">
        <f t="shared" ref="Q21:R25" si="8">G5</f>
        <v>1st_UWL</v>
      </c>
      <c r="R21" s="67" t="str">
        <f t="shared" si="8"/>
        <v>#NA</v>
      </c>
      <c r="S21" s="76" t="str">
        <f>R23</f>
        <v>#NA</v>
      </c>
      <c r="T21" s="77" t="e">
        <f>VLOOKUP(S21,STN_TABLE,2,FALSE)</f>
        <v>#N/A</v>
      </c>
      <c r="U21" s="77">
        <v>8</v>
      </c>
      <c r="V21" s="77" t="e">
        <f>T21*U21</f>
        <v>#N/A</v>
      </c>
      <c r="W21" s="77">
        <v>10</v>
      </c>
      <c r="X21" s="77" t="e">
        <f>T21*W21</f>
        <v>#N/A</v>
      </c>
      <c r="Y21" s="78" t="s">
        <v>97</v>
      </c>
      <c r="Z21" s="78"/>
      <c r="AA21" s="78" t="s">
        <v>98</v>
      </c>
      <c r="AB21" s="78"/>
      <c r="AC21" s="7" t="s">
        <v>99</v>
      </c>
      <c r="AD21" s="7"/>
      <c r="AE21" s="80"/>
    </row>
    <row r="22" spans="1:35" x14ac:dyDescent="0.25">
      <c r="A22">
        <v>19</v>
      </c>
      <c r="B22" s="80" t="str">
        <f t="shared" si="2"/>
        <v xml:space="preserve">  </v>
      </c>
      <c r="C22" s="81" t="str">
        <f t="shared" si="3"/>
        <v xml:space="preserve">  </v>
      </c>
      <c r="D22" s="81" t="str">
        <f t="shared" si="4"/>
        <v xml:space="preserve"> </v>
      </c>
      <c r="E22" s="77" t="str">
        <f t="shared" si="5"/>
        <v xml:space="preserve"> </v>
      </c>
      <c r="G22" s="91"/>
      <c r="H22" s="91" t="str">
        <f>G15</f>
        <v>1st_UWL</v>
      </c>
      <c r="I22" s="88" t="str">
        <f>H15</f>
        <v>#NA</v>
      </c>
      <c r="J22" s="82" t="e">
        <f>VLOOKUP(I22,STN_TABLE,2,FALSE)</f>
        <v>#N/A</v>
      </c>
      <c r="K22" s="82">
        <v>2</v>
      </c>
      <c r="L22" s="83" t="e">
        <f>J22*K22</f>
        <v>#N/A</v>
      </c>
      <c r="M22" t="str">
        <f>CONCATENATE("A(",I22,")=")</f>
        <v>A(#NA)=</v>
      </c>
      <c r="N22" t="e">
        <f>2*N21/2*J23</f>
        <v>#VALUE!</v>
      </c>
      <c r="Q22" s="66" t="str">
        <f t="shared" si="8"/>
        <v>2nd_UWL</v>
      </c>
      <c r="R22" s="67" t="str">
        <f t="shared" si="8"/>
        <v>#NA</v>
      </c>
      <c r="S22" s="82" t="e">
        <f>IF(S20-S21=S21-R24,R24,IF(S20-S21=S21-R25,R25,"-"))</f>
        <v>#VALUE!</v>
      </c>
      <c r="T22" s="83" t="e">
        <f>VLOOKUP(S22,STN_TABLE,2,FALSE)</f>
        <v>#VALUE!</v>
      </c>
      <c r="U22" s="83">
        <v>-1</v>
      </c>
      <c r="V22" s="83" t="e">
        <f>T22*U22</f>
        <v>#VALUE!</v>
      </c>
      <c r="W22" s="83">
        <v>-1</v>
      </c>
      <c r="X22" s="83" t="e">
        <f>T22*W22</f>
        <v>#VALUE!</v>
      </c>
      <c r="Y22" s="84" t="str">
        <f>CONCATENATE("a'(",S21,")=")</f>
        <v>a'(#NA)=</v>
      </c>
      <c r="Z22" s="84" t="e">
        <f>2*Z20/12*V23</f>
        <v>#VALUE!</v>
      </c>
      <c r="AA22" s="84" t="e">
        <f>CONCATENATE("A(",S20,")=")</f>
        <v>#VALUE!</v>
      </c>
      <c r="AB22" s="84" t="e">
        <f>IF(S20=RisePerWLS,0,VLOOKUP(S20,STN_TABLE,3,FALSE))</f>
        <v>#VALUE!</v>
      </c>
      <c r="AC22" t="str">
        <f>CONCATENATE("A(",S21,")=")</f>
        <v>A(#NA)=</v>
      </c>
      <c r="AD22" t="e">
        <f>Z22+AB22</f>
        <v>#VALUE!</v>
      </c>
      <c r="AE22" s="80"/>
    </row>
    <row r="23" spans="1:35" x14ac:dyDescent="0.25">
      <c r="A23">
        <v>20</v>
      </c>
      <c r="B23" s="80" t="str">
        <f t="shared" si="2"/>
        <v xml:space="preserve">  </v>
      </c>
      <c r="C23" s="81" t="str">
        <f t="shared" si="3"/>
        <v xml:space="preserve">  </v>
      </c>
      <c r="D23" s="81" t="str">
        <f t="shared" si="4"/>
        <v xml:space="preserve"> </v>
      </c>
      <c r="E23" s="77" t="str">
        <f t="shared" si="5"/>
        <v xml:space="preserve"> </v>
      </c>
      <c r="J23" s="89" t="e">
        <f>SUM(J21:J22)</f>
        <v>#N/A</v>
      </c>
      <c r="L23" s="89" t="e">
        <f>SUM(L21:L22)</f>
        <v>#N/A</v>
      </c>
      <c r="M23" t="str">
        <f>CONCATENATE("M(",I22,")=")</f>
        <v>M(#NA)=</v>
      </c>
      <c r="N23" t="e">
        <f>(2*(N21^2)/6*L23)+N22*I21*WLS</f>
        <v>#VALUE!</v>
      </c>
      <c r="Q23" s="66" t="str">
        <f t="shared" si="8"/>
        <v>3rd_UWL</v>
      </c>
      <c r="R23" s="67" t="str">
        <f t="shared" si="8"/>
        <v>#NA</v>
      </c>
      <c r="V23" s="89" t="e">
        <f>SUM(V20:V22)</f>
        <v>#VALUE!</v>
      </c>
      <c r="X23" s="89" t="e">
        <f>SUM(X20:X22)</f>
        <v>#VALUE!</v>
      </c>
      <c r="Y23" s="84" t="str">
        <f>CONCATENATE("m'(",S21,")=")</f>
        <v>m'(#NA)=</v>
      </c>
      <c r="Z23" s="84" t="e">
        <f>(2*(Z20^2)/24*X23)+(Z22*S20*WLS)</f>
        <v>#VALUE!</v>
      </c>
      <c r="AA23" s="84" t="e">
        <f>CONCATENATE("M(",S20,")=")</f>
        <v>#VALUE!</v>
      </c>
      <c r="AB23" s="84" t="e">
        <f>IF(S20=RisePerWLS,0,VLOOKUP(S20,STN_TABLE,4,FALSE))</f>
        <v>#VALUE!</v>
      </c>
      <c r="AC23" t="str">
        <f>CONCATENATE("M(",S21,")=")</f>
        <v>M(#NA)=</v>
      </c>
      <c r="AD23" t="e">
        <f>Z23+AB23</f>
        <v>#VALUE!</v>
      </c>
      <c r="AE23" s="80"/>
    </row>
    <row r="24" spans="1:35" x14ac:dyDescent="0.25">
      <c r="A24">
        <v>21</v>
      </c>
      <c r="B24" s="80" t="str">
        <f t="shared" si="2"/>
        <v xml:space="preserve">  </v>
      </c>
      <c r="C24" s="81" t="str">
        <f t="shared" si="3"/>
        <v xml:space="preserve">  </v>
      </c>
      <c r="D24" s="81" t="str">
        <f t="shared" si="4"/>
        <v xml:space="preserve"> </v>
      </c>
      <c r="E24" s="77" t="str">
        <f t="shared" si="5"/>
        <v xml:space="preserve"> </v>
      </c>
      <c r="Q24" s="66" t="str">
        <f t="shared" si="8"/>
        <v>4th_UWL</v>
      </c>
      <c r="R24" s="67" t="str">
        <f t="shared" si="8"/>
        <v>#NA</v>
      </c>
      <c r="U24" t="s">
        <v>103</v>
      </c>
      <c r="W24" t="str">
        <f>CONCATENATE("A(",S21,")=")</f>
        <v>A(#NA)=</v>
      </c>
      <c r="X24" t="e">
        <f>IF(OR(AD22&lt;=0,AD23&lt;=0),AD27,AD22)</f>
        <v>#VALUE!</v>
      </c>
      <c r="AE24" s="80"/>
    </row>
    <row r="25" spans="1:35" x14ac:dyDescent="0.25">
      <c r="A25">
        <v>22</v>
      </c>
      <c r="B25" s="80" t="str">
        <f t="shared" si="2"/>
        <v xml:space="preserve">  </v>
      </c>
      <c r="C25" s="81" t="str">
        <f t="shared" si="3"/>
        <v xml:space="preserve">  </v>
      </c>
      <c r="D25" s="81" t="str">
        <f t="shared" si="4"/>
        <v xml:space="preserve"> </v>
      </c>
      <c r="E25" s="77" t="str">
        <f t="shared" si="5"/>
        <v xml:space="preserve"> </v>
      </c>
      <c r="G25" s="71" t="s">
        <v>111</v>
      </c>
      <c r="Q25" s="66" t="str">
        <f t="shared" si="8"/>
        <v>5th_UWL</v>
      </c>
      <c r="R25" s="67" t="str">
        <f t="shared" si="8"/>
        <v>#NA</v>
      </c>
      <c r="W25" t="str">
        <f>CONCATENATE("M(",S21,")=")</f>
        <v>M(#NA)=</v>
      </c>
      <c r="X25" t="e">
        <f>IF(OR(AD22&lt;=0,AD23&lt;=0),AD28,AD23)</f>
        <v>#VALUE!</v>
      </c>
      <c r="Y25" s="6" t="s">
        <v>93</v>
      </c>
      <c r="Z25" s="70" t="e">
        <f>WLS*(U27-U26)</f>
        <v>#VALUE!</v>
      </c>
      <c r="AE25" s="80"/>
    </row>
    <row r="26" spans="1:35" x14ac:dyDescent="0.25">
      <c r="A26">
        <v>23</v>
      </c>
      <c r="B26" s="80" t="str">
        <f t="shared" si="2"/>
        <v xml:space="preserve">  </v>
      </c>
      <c r="C26" s="81" t="str">
        <f t="shared" si="3"/>
        <v xml:space="preserve">  </v>
      </c>
      <c r="D26" s="81" t="str">
        <f t="shared" si="4"/>
        <v xml:space="preserve"> </v>
      </c>
      <c r="E26" s="77" t="str">
        <f t="shared" si="5"/>
        <v xml:space="preserve"> </v>
      </c>
      <c r="G26" s="91" t="str">
        <f t="shared" ref="G26:H28" si="9">G4</f>
        <v>Rise</v>
      </c>
      <c r="H26" s="91" t="e">
        <f t="shared" si="9"/>
        <v>#VALUE!</v>
      </c>
      <c r="I26" s="68" t="e">
        <f>H26</f>
        <v>#VALUE!</v>
      </c>
      <c r="J26" s="69">
        <v>0</v>
      </c>
      <c r="K26" s="69">
        <v>1</v>
      </c>
      <c r="L26" s="69">
        <f>J26*K26</f>
        <v>0</v>
      </c>
      <c r="M26" s="69" t="e">
        <f>I26</f>
        <v>#VALUE!</v>
      </c>
      <c r="N26" s="69" t="e">
        <f>L26*M26</f>
        <v>#VALUE!</v>
      </c>
      <c r="O26" t="s">
        <v>93</v>
      </c>
      <c r="P26" t="e">
        <f>IF(OR(J26=0,J27=0,J28=0),"#NA",IF(I28-I27=I27-I26,WLS*(I27-I26),"#NA"))</f>
        <v>#VALUE!</v>
      </c>
      <c r="Q26" s="66"/>
      <c r="R26" s="67"/>
      <c r="U26" s="79" t="str">
        <f>R22</f>
        <v>#NA</v>
      </c>
      <c r="V26" s="68" t="e">
        <f>VLOOKUP(U26,STN_TABLE,2,FALSE)</f>
        <v>#N/A</v>
      </c>
      <c r="W26" s="68">
        <v>1</v>
      </c>
      <c r="X26" s="69" t="e">
        <f>V26*W26</f>
        <v>#N/A</v>
      </c>
      <c r="Y26" s="78" t="s">
        <v>97</v>
      </c>
      <c r="Z26" s="78"/>
      <c r="AA26" s="78" t="s">
        <v>98</v>
      </c>
      <c r="AB26" s="78"/>
      <c r="AC26" s="7" t="s">
        <v>99</v>
      </c>
      <c r="AD26" s="7"/>
      <c r="AE26" s="80"/>
    </row>
    <row r="27" spans="1:35" x14ac:dyDescent="0.25">
      <c r="A27">
        <v>24</v>
      </c>
      <c r="B27" s="80" t="str">
        <f t="shared" si="2"/>
        <v xml:space="preserve">  </v>
      </c>
      <c r="C27" s="81" t="str">
        <f t="shared" si="3"/>
        <v xml:space="preserve">  </v>
      </c>
      <c r="D27" s="81" t="str">
        <f t="shared" si="4"/>
        <v xml:space="preserve"> </v>
      </c>
      <c r="E27" s="77" t="str">
        <f t="shared" si="5"/>
        <v xml:space="preserve"> </v>
      </c>
      <c r="G27" s="91" t="str">
        <f t="shared" si="9"/>
        <v>1st_UWL</v>
      </c>
      <c r="H27" s="91" t="str">
        <f t="shared" si="9"/>
        <v>#NA</v>
      </c>
      <c r="I27" s="76" t="e">
        <f>IF(H28-H27=H27-H26,H28,"#NA")</f>
        <v>#VALUE!</v>
      </c>
      <c r="J27" s="77" t="e">
        <f>VLOOKUP(I27,STN_TABLE,2,FALSE)</f>
        <v>#VALUE!</v>
      </c>
      <c r="K27" s="77">
        <v>4</v>
      </c>
      <c r="L27" s="77" t="e">
        <f>J27*K27</f>
        <v>#VALUE!</v>
      </c>
      <c r="M27" s="77" t="e">
        <f>I27</f>
        <v>#VALUE!</v>
      </c>
      <c r="N27" s="77" t="e">
        <f>L27*M27</f>
        <v>#VALUE!</v>
      </c>
      <c r="O27" t="e">
        <f>CONCATENATE("A(",I28,")=")</f>
        <v>#VALUE!</v>
      </c>
      <c r="P27" t="e">
        <f>2*P26/3*L29</f>
        <v>#VALUE!</v>
      </c>
      <c r="Q27" s="80"/>
      <c r="R27" s="81"/>
      <c r="U27" s="88" t="str">
        <f>R23</f>
        <v>#NA</v>
      </c>
      <c r="V27" s="82" t="e">
        <f>VLOOKUP(U27,STN_TABLE,2,FALSE)</f>
        <v>#N/A</v>
      </c>
      <c r="W27" s="82">
        <v>2</v>
      </c>
      <c r="X27" s="83" t="e">
        <f>V27*W27</f>
        <v>#N/A</v>
      </c>
      <c r="Y27" s="84" t="str">
        <f>CONCATENATE("a'(",U27,")=")</f>
        <v>a'(#NA)=</v>
      </c>
      <c r="Z27" s="84" t="e">
        <f>2*Z25/2*V28</f>
        <v>#VALUE!</v>
      </c>
      <c r="AA27" s="84" t="str">
        <f>CONCATENATE("A(",U26,")=")</f>
        <v>A(#NA)=</v>
      </c>
      <c r="AB27" s="84" t="e">
        <f>IF(U26=RisePerWLS,0,VLOOKUP(U26,STN_TABLE,3,FALSE))</f>
        <v>#VALUE!</v>
      </c>
      <c r="AC27" t="str">
        <f>CONCATENATE("A(",U27,")=")</f>
        <v>A(#NA)=</v>
      </c>
      <c r="AD27" t="e">
        <f>Z27+AB27</f>
        <v>#VALUE!</v>
      </c>
      <c r="AE27" s="80"/>
    </row>
    <row r="28" spans="1:35" x14ac:dyDescent="0.25">
      <c r="A28">
        <v>25</v>
      </c>
      <c r="B28" s="88" t="str">
        <f t="shared" si="2"/>
        <v xml:space="preserve">  </v>
      </c>
      <c r="C28" s="92" t="str">
        <f t="shared" si="3"/>
        <v xml:space="preserve">  </v>
      </c>
      <c r="D28" s="81" t="str">
        <f t="shared" si="4"/>
        <v xml:space="preserve"> </v>
      </c>
      <c r="E28" s="77" t="str">
        <f t="shared" si="5"/>
        <v xml:space="preserve"> </v>
      </c>
      <c r="G28" s="91" t="str">
        <f t="shared" si="9"/>
        <v>2nd_UWL</v>
      </c>
      <c r="H28" s="91" t="str">
        <f t="shared" si="9"/>
        <v>#NA</v>
      </c>
      <c r="I28" s="82" t="e">
        <f>IF(H28-H27=H27-H26,H28,"#NA")</f>
        <v>#VALUE!</v>
      </c>
      <c r="J28" s="83" t="e">
        <f>VLOOKUP(I28,STN_TABLE,2,FALSE)</f>
        <v>#VALUE!</v>
      </c>
      <c r="K28" s="83">
        <v>1</v>
      </c>
      <c r="L28" s="83" t="e">
        <f>J28*K28</f>
        <v>#VALUE!</v>
      </c>
      <c r="M28" s="83" t="e">
        <f>I28</f>
        <v>#VALUE!</v>
      </c>
      <c r="N28" s="83" t="e">
        <f>L28*M28</f>
        <v>#VALUE!</v>
      </c>
      <c r="O28" t="e">
        <f>CONCATENATE("M(",I28,")=")</f>
        <v>#VALUE!</v>
      </c>
      <c r="P28" t="e">
        <f>2*(P26*WLS)/3*N29</f>
        <v>#VALUE!</v>
      </c>
      <c r="Q28" s="80"/>
      <c r="R28" s="81"/>
      <c r="V28" s="89" t="e">
        <f>SUM(V26:V27)</f>
        <v>#N/A</v>
      </c>
      <c r="X28" s="89" t="e">
        <f>SUM(X26:X27)</f>
        <v>#N/A</v>
      </c>
      <c r="Y28" s="84" t="str">
        <f>CONCATENATE("m'(",U27,")=")</f>
        <v>m'(#NA)=</v>
      </c>
      <c r="Z28" s="84" t="e">
        <f>(2*(Z25^2)/6*X28)+(Z27*U26*WLS)</f>
        <v>#VALUE!</v>
      </c>
      <c r="AA28" s="84" t="str">
        <f>CONCATENATE("M(",U26,")=")</f>
        <v>M(#NA)=</v>
      </c>
      <c r="AB28" s="84" t="e">
        <f>IF(U26=RisePerWLS,0,VLOOKUP(U26,STN_TABLE,4,FALSE))</f>
        <v>#VALUE!</v>
      </c>
      <c r="AC28" t="str">
        <f>CONCATENATE("M(",U27,")=")</f>
        <v>M(#NA)=</v>
      </c>
      <c r="AD28" t="e">
        <f>Z28+AB28</f>
        <v>#VALUE!</v>
      </c>
      <c r="AE28" s="80"/>
    </row>
    <row r="29" spans="1:35" x14ac:dyDescent="0.25">
      <c r="G29" s="91"/>
      <c r="H29" s="91"/>
      <c r="L29" s="89" t="e">
        <f>SUM(L26:L28)</f>
        <v>#VALUE!</v>
      </c>
      <c r="N29" s="89" t="e">
        <f>SUM(N26:N28)</f>
        <v>#VALUE!</v>
      </c>
      <c r="Q29" s="80"/>
      <c r="R29" s="81"/>
      <c r="AE29" s="80"/>
    </row>
    <row r="30" spans="1:35" x14ac:dyDescent="0.25">
      <c r="G30" s="91"/>
      <c r="H30" s="91"/>
    </row>
    <row r="31" spans="1:35" x14ac:dyDescent="0.25">
      <c r="G31" s="91"/>
      <c r="H31" s="91"/>
    </row>
    <row r="32" spans="1:35" x14ac:dyDescent="0.25">
      <c r="G32" s="91"/>
      <c r="H32" s="91"/>
      <c r="Q32" s="68">
        <f>B4</f>
        <v>0</v>
      </c>
      <c r="R32" s="69">
        <f>VLOOKUP(Q32,STN_TABLE,2,FALSE)</f>
        <v>9.6999999999999993</v>
      </c>
      <c r="S32" s="69">
        <v>5</v>
      </c>
      <c r="T32" s="68">
        <f>R32*S32</f>
        <v>48.5</v>
      </c>
      <c r="U32" s="79">
        <v>3</v>
      </c>
      <c r="V32" s="68">
        <f>R32*U32</f>
        <v>29.099999999999998</v>
      </c>
      <c r="W32" t="s">
        <v>93</v>
      </c>
      <c r="X32" s="70">
        <f>IF(AND(Q34-Q33=Q33-Q32,NOT(AND(Q32=0,Q33=0)),NOT(AND(Q33=0,Q34=0))),WLS*(Q34-Q33),"#NA")</f>
        <v>0.5</v>
      </c>
      <c r="AD32" s="93"/>
      <c r="AH32" s="6" t="s">
        <v>93</v>
      </c>
      <c r="AI32" s="70">
        <f>WLS*(AD34-AD33)</f>
        <v>0.5</v>
      </c>
    </row>
    <row r="33" spans="1:47" x14ac:dyDescent="0.25">
      <c r="Q33" s="76">
        <f>B5</f>
        <v>0.25</v>
      </c>
      <c r="R33" s="77">
        <f>VLOOKUP(Q33,STN_TABLE,2,FALSE)</f>
        <v>10.45</v>
      </c>
      <c r="S33" s="77">
        <v>8</v>
      </c>
      <c r="T33" s="76">
        <f>R33*S33</f>
        <v>83.6</v>
      </c>
      <c r="U33" s="80">
        <v>10</v>
      </c>
      <c r="V33" s="76">
        <f>R33*U33</f>
        <v>104.5</v>
      </c>
      <c r="W33" s="495" t="s">
        <v>97</v>
      </c>
      <c r="X33" s="496"/>
      <c r="Y33" s="496" t="s">
        <v>98</v>
      </c>
      <c r="Z33" s="496"/>
      <c r="AA33" s="494" t="s">
        <v>99</v>
      </c>
      <c r="AB33" s="494"/>
      <c r="AC33" s="94">
        <v>1</v>
      </c>
      <c r="AD33" s="95">
        <f>VLOOKUP(AC33,STN_TABLE_2,2,FALSE)</f>
        <v>0</v>
      </c>
      <c r="AE33" s="68">
        <f>VLOOKUP(AD33,STN_TABLE,2,FALSE)</f>
        <v>9.6999999999999993</v>
      </c>
      <c r="AF33" s="68">
        <v>1</v>
      </c>
      <c r="AG33" s="69">
        <f>AE33*AF33</f>
        <v>9.6999999999999993</v>
      </c>
      <c r="AH33" s="496" t="s">
        <v>97</v>
      </c>
      <c r="AI33" s="496"/>
      <c r="AJ33" s="496" t="s">
        <v>98</v>
      </c>
      <c r="AK33" s="496"/>
      <c r="AL33" s="494" t="s">
        <v>99</v>
      </c>
      <c r="AM33" s="494"/>
      <c r="AP33" s="96" t="s">
        <v>112</v>
      </c>
      <c r="AQ33" s="89" t="s">
        <v>113</v>
      </c>
      <c r="AR33" s="89" t="s">
        <v>114</v>
      </c>
      <c r="AS33" s="89" t="s">
        <v>115</v>
      </c>
      <c r="AT33" s="97" t="s">
        <v>116</v>
      </c>
      <c r="AU33" s="98"/>
    </row>
    <row r="34" spans="1:47" x14ac:dyDescent="0.25">
      <c r="Q34" s="82">
        <f>B6</f>
        <v>0.5</v>
      </c>
      <c r="R34" s="83">
        <f>VLOOKUP(Q34,STN_TABLE,2,FALSE)</f>
        <v>10.75</v>
      </c>
      <c r="S34" s="83">
        <v>-1</v>
      </c>
      <c r="T34" s="82">
        <f>R34*S34</f>
        <v>-10.75</v>
      </c>
      <c r="U34" s="88">
        <v>-1</v>
      </c>
      <c r="V34" s="82">
        <f>R34*U34</f>
        <v>-10.75</v>
      </c>
      <c r="W34" s="84" t="str">
        <f>CONCATENATE("a'(",Q33,")=")</f>
        <v>a'(0.25)=</v>
      </c>
      <c r="X34" s="84">
        <f>2*X32/12*T35</f>
        <v>10.112499999999999</v>
      </c>
      <c r="Y34" s="84" t="str">
        <f>CONCATENATE("A(",Q32,")=")</f>
        <v>A(0)=</v>
      </c>
      <c r="Z34" s="84">
        <f>VLOOKUP(Q32,STN_TABLE,3,FALSE)</f>
        <v>0</v>
      </c>
      <c r="AA34" t="str">
        <f>CONCATENATE("A(",Q33,")=")</f>
        <v>A(0.25)=</v>
      </c>
      <c r="AB34">
        <f>X34+Z34</f>
        <v>10.112499999999999</v>
      </c>
      <c r="AC34" s="99">
        <f>AC33+1</f>
        <v>2</v>
      </c>
      <c r="AD34" s="100">
        <f>VLOOKUP(AC34,STN_TABLE_2,2,FALSE)</f>
        <v>0.25</v>
      </c>
      <c r="AE34" s="82">
        <f>VLOOKUP(AD34,STN_TABLE,2,FALSE)</f>
        <v>10.45</v>
      </c>
      <c r="AF34" s="82">
        <v>2</v>
      </c>
      <c r="AG34" s="83">
        <f>AE34*AF34</f>
        <v>20.9</v>
      </c>
      <c r="AH34" s="84" t="str">
        <f>CONCATENATE("a'(",AD34,")=")</f>
        <v>a'(0.25)=</v>
      </c>
      <c r="AI34" s="84">
        <f>2*AI32/2*AE35</f>
        <v>10.074999999999999</v>
      </c>
      <c r="AJ34" s="84" t="str">
        <f>CONCATENATE("A(",AD33,")=")</f>
        <v>A(0)=</v>
      </c>
      <c r="AK34" s="84">
        <f>VLOOKUP(AD33,STN_TABLE,3,FALSE)</f>
        <v>0</v>
      </c>
      <c r="AL34" t="str">
        <f>CONCATENATE("A(",AD34,")=")</f>
        <v>A(0.25)=</v>
      </c>
      <c r="AM34">
        <f>AI34+AK34</f>
        <v>10.074999999999999</v>
      </c>
      <c r="AO34" s="68" t="str">
        <f>AA34</f>
        <v>A(0.25)=</v>
      </c>
      <c r="AP34" s="79" t="e">
        <f>VLOOKUP(AO34,Rise_Results,2,FALSE)</f>
        <v>#N/A</v>
      </c>
      <c r="AQ34" s="76" t="s">
        <v>117</v>
      </c>
      <c r="AR34" s="76">
        <f>IF(OR(AB34&lt;=0,AB35&lt;=0),1/0,AB34)</f>
        <v>10.112499999999999</v>
      </c>
      <c r="AS34" s="76">
        <f>AM34</f>
        <v>10.074999999999999</v>
      </c>
      <c r="AT34" s="80">
        <f>IFERROR(AP34,IFERROR(AR34,AS34))</f>
        <v>10.112499999999999</v>
      </c>
    </row>
    <row r="35" spans="1:47" x14ac:dyDescent="0.25">
      <c r="A35" s="101"/>
      <c r="T35" s="89">
        <f>SUM(T32:T34)</f>
        <v>121.35</v>
      </c>
      <c r="V35" s="82">
        <f>SUM(V32:V34)</f>
        <v>122.85</v>
      </c>
      <c r="W35" s="84" t="str">
        <f>CONCATENATE("m'(",Q33,")=")</f>
        <v>m'(0.25)=</v>
      </c>
      <c r="X35" s="84">
        <f>(2*(X32^2)/24*V35)</f>
        <v>2.5593749999999997</v>
      </c>
      <c r="Y35" s="84" t="str">
        <f>CONCATENATE("M(",Q32,")=")</f>
        <v>M(0)=</v>
      </c>
      <c r="Z35" s="84">
        <f>VLOOKUP(Q32,STN_TABLE,4,FALSE)</f>
        <v>0</v>
      </c>
      <c r="AA35" t="str">
        <f>CONCATENATE("M(",Q33,")=")</f>
        <v>M(0.25)=</v>
      </c>
      <c r="AB35">
        <f>X35+Z35</f>
        <v>2.5593749999999997</v>
      </c>
      <c r="AE35" s="89">
        <f>SUM(AE33:AE34)</f>
        <v>20.149999999999999</v>
      </c>
      <c r="AG35" s="89">
        <f>SUM(AG33:AG34)</f>
        <v>30.599999999999998</v>
      </c>
      <c r="AH35" s="84" t="str">
        <f>CONCATENATE("m'(",AD34,")=")</f>
        <v>m'(0.25)=</v>
      </c>
      <c r="AI35" s="84">
        <f>(2*(AI32^2)/6*AG35)+(AI34*AD33*WLS)</f>
        <v>2.5499999999999998</v>
      </c>
      <c r="AJ35" s="84" t="str">
        <f>CONCATENATE("M(",AD33,")=")</f>
        <v>M(0)=</v>
      </c>
      <c r="AK35" s="84">
        <f>VLOOKUP(AD33,STN_TABLE,4,FALSE)</f>
        <v>0</v>
      </c>
      <c r="AL35" t="str">
        <f>CONCATENATE("M(",AD34,")=")</f>
        <v>M(0.25)=</v>
      </c>
      <c r="AM35">
        <f>AI35+AK35</f>
        <v>2.5499999999999998</v>
      </c>
      <c r="AO35" s="82" t="str">
        <f>AA35</f>
        <v>M(0.25)=</v>
      </c>
      <c r="AP35" s="88" t="e">
        <f>VLOOKUP(AO35,Rise_Results,2,FALSE)</f>
        <v>#N/A</v>
      </c>
      <c r="AQ35" s="82" t="s">
        <v>117</v>
      </c>
      <c r="AR35" s="82">
        <f>IF(OR(AB34&lt;=0,AB35&lt;=0),1/0,AB35)</f>
        <v>2.5593749999999997</v>
      </c>
      <c r="AS35" s="82">
        <f>AM35</f>
        <v>2.5499999999999998</v>
      </c>
      <c r="AT35" s="80">
        <f>IFERROR(AP35,IFERROR(AR35,AS35))</f>
        <v>2.5593749999999997</v>
      </c>
    </row>
    <row r="36" spans="1:47" x14ac:dyDescent="0.25">
      <c r="O36" s="94">
        <v>1</v>
      </c>
      <c r="P36" s="101">
        <f t="shared" ref="P36:P67" si="10">VLOOKUP(O36,STN_TABLE_2,2,FALSE)</f>
        <v>0</v>
      </c>
      <c r="AU36" s="81"/>
    </row>
    <row r="37" spans="1:47" x14ac:dyDescent="0.25">
      <c r="A37" s="94">
        <v>1</v>
      </c>
      <c r="B37" s="94">
        <f>VLOOKUP(A37,STN_TABLE_2,2,FALSE)</f>
        <v>0</v>
      </c>
      <c r="C37" s="79">
        <f>B37</f>
        <v>0</v>
      </c>
      <c r="D37" s="68">
        <f>VLOOKUP(C37,STN_TABLE,2,FALSE)</f>
        <v>9.6999999999999993</v>
      </c>
      <c r="E37" s="102">
        <v>1</v>
      </c>
      <c r="F37" s="68">
        <f>D37*E37</f>
        <v>9.6999999999999993</v>
      </c>
      <c r="G37" s="69">
        <f>C37</f>
        <v>0</v>
      </c>
      <c r="H37" s="69">
        <f>F37*G37</f>
        <v>0</v>
      </c>
      <c r="I37" s="6" t="s">
        <v>93</v>
      </c>
      <c r="J37" s="70">
        <f>IF(OR(D37=0,D38=0,D39=0),"#NA",IF(AND(C39-C38=C38-C37,C38&lt;&gt;C39,C37&lt;&gt;C38,C37&lt;&gt;C39,D39&lt;&gt;0,OR(D37&lt;&gt;0,D38&lt;&gt;0)),WLS*(C39-C38),"#NA"))</f>
        <v>0.5</v>
      </c>
      <c r="O37" s="99">
        <f>O36+1</f>
        <v>2</v>
      </c>
      <c r="P37" s="99">
        <f t="shared" si="10"/>
        <v>0.25</v>
      </c>
      <c r="Q37" s="68">
        <f>IF(OR(P39-P38=P38-P37,P40-P38=P38-P37),P37,IF(OR(P39-P38=P38-P36,P40-P38=P38-P36),P36,"-"))</f>
        <v>0.25</v>
      </c>
      <c r="R37" s="69">
        <f>VLOOKUP(Q37,STN_TABLE,2,FALSE)</f>
        <v>10.45</v>
      </c>
      <c r="S37" s="69">
        <v>5</v>
      </c>
      <c r="T37" s="68">
        <f>R37*S37</f>
        <v>52.25</v>
      </c>
      <c r="U37" s="79">
        <v>3</v>
      </c>
      <c r="V37" s="68">
        <f>R37*U37</f>
        <v>31.349999999999998</v>
      </c>
      <c r="W37" s="6" t="s">
        <v>93</v>
      </c>
      <c r="X37" s="70">
        <f>IF(AND(Q39-Q38=Q38-Q37,NOT(AND(Q37=0,Q38=0)),NOT(AND(Q38=0,Q39=0))),WLS*(Q39-Q38),"#NA")</f>
        <v>0.5</v>
      </c>
      <c r="AD37" s="93"/>
      <c r="AH37" s="6" t="s">
        <v>93</v>
      </c>
      <c r="AI37" s="70">
        <f>WLS*(AD39-AD38)</f>
        <v>0.5</v>
      </c>
      <c r="AU37" s="81"/>
    </row>
    <row r="38" spans="1:47" x14ac:dyDescent="0.25">
      <c r="A38" s="94">
        <f>A37+1</f>
        <v>2</v>
      </c>
      <c r="B38" s="94">
        <f>VLOOKUP(A38,STN_TABLE_2,2,FALSE)</f>
        <v>0.25</v>
      </c>
      <c r="C38" s="80">
        <f>B38</f>
        <v>0.25</v>
      </c>
      <c r="D38" s="76">
        <f>VLOOKUP(C38,STN_TABLE,2,FALSE)</f>
        <v>10.45</v>
      </c>
      <c r="E38" s="81">
        <v>4</v>
      </c>
      <c r="F38" s="76">
        <f>D38*E38</f>
        <v>41.8</v>
      </c>
      <c r="G38" s="77">
        <f>C38</f>
        <v>0.25</v>
      </c>
      <c r="H38" s="77">
        <f>F38*G38</f>
        <v>10.45</v>
      </c>
      <c r="I38" s="496" t="s">
        <v>97</v>
      </c>
      <c r="J38" s="496"/>
      <c r="K38" s="78" t="s">
        <v>98</v>
      </c>
      <c r="L38" s="78"/>
      <c r="M38" s="7" t="s">
        <v>99</v>
      </c>
      <c r="N38" s="7"/>
      <c r="O38" s="99">
        <f>O37+1</f>
        <v>3</v>
      </c>
      <c r="P38" s="99">
        <f t="shared" si="10"/>
        <v>0.5</v>
      </c>
      <c r="Q38" s="76">
        <f>P38</f>
        <v>0.5</v>
      </c>
      <c r="R38" s="77">
        <f>VLOOKUP(Q38,STN_TABLE,2,FALSE)</f>
        <v>10.75</v>
      </c>
      <c r="S38" s="77">
        <v>8</v>
      </c>
      <c r="T38" s="76">
        <f>R38*S38</f>
        <v>86</v>
      </c>
      <c r="U38" s="80">
        <v>10</v>
      </c>
      <c r="V38" s="76">
        <f>R38*U38</f>
        <v>107.5</v>
      </c>
      <c r="W38" s="496" t="s">
        <v>97</v>
      </c>
      <c r="X38" s="496"/>
      <c r="Y38" s="496" t="s">
        <v>98</v>
      </c>
      <c r="Z38" s="496"/>
      <c r="AA38" s="494" t="s">
        <v>99</v>
      </c>
      <c r="AB38" s="494"/>
      <c r="AC38" s="99">
        <f>AC33+1</f>
        <v>2</v>
      </c>
      <c r="AD38" s="95">
        <f>VLOOKUP(AC38,STN_TABLE_2,2,FALSE)</f>
        <v>0.25</v>
      </c>
      <c r="AE38" s="68">
        <f>VLOOKUP(AD38,STN_TABLE,2,FALSE)</f>
        <v>10.45</v>
      </c>
      <c r="AF38" s="68">
        <v>1</v>
      </c>
      <c r="AG38" s="69">
        <f>AE38*AF38</f>
        <v>10.45</v>
      </c>
      <c r="AH38" s="496" t="s">
        <v>97</v>
      </c>
      <c r="AI38" s="496"/>
      <c r="AJ38" s="496" t="s">
        <v>98</v>
      </c>
      <c r="AK38" s="496"/>
      <c r="AL38" s="494" t="s">
        <v>99</v>
      </c>
      <c r="AM38" s="494"/>
      <c r="AP38" s="86" t="s">
        <v>112</v>
      </c>
      <c r="AQ38" s="89" t="s">
        <v>113</v>
      </c>
      <c r="AR38" s="89" t="s">
        <v>114</v>
      </c>
      <c r="AS38" s="89" t="s">
        <v>115</v>
      </c>
    </row>
    <row r="39" spans="1:47" x14ac:dyDescent="0.25">
      <c r="A39" s="94">
        <f>A38+1</f>
        <v>3</v>
      </c>
      <c r="B39" s="94">
        <f>VLOOKUP(A39,STN_TABLE_2,2,FALSE)</f>
        <v>0.5</v>
      </c>
      <c r="C39" s="88">
        <f>B39</f>
        <v>0.5</v>
      </c>
      <c r="D39" s="82">
        <f>VLOOKUP(C39,STN_TABLE,2,FALSE)</f>
        <v>10.75</v>
      </c>
      <c r="E39" s="92">
        <v>1</v>
      </c>
      <c r="F39" s="82">
        <f>D39*E39</f>
        <v>10.75</v>
      </c>
      <c r="G39" s="83">
        <f>C39</f>
        <v>0.5</v>
      </c>
      <c r="H39" s="83">
        <f>F39*G39</f>
        <v>5.375</v>
      </c>
      <c r="I39" s="84" t="str">
        <f>CONCATENATE("a'(",C39,")=")</f>
        <v>a'(0.5)=</v>
      </c>
      <c r="J39" s="84">
        <f>2*J37/3*F40</f>
        <v>20.75</v>
      </c>
      <c r="K39" s="84" t="str">
        <f>CONCATENATE("A(",C37,")=")</f>
        <v>A(0)=</v>
      </c>
      <c r="L39" s="84">
        <f>VLOOKUP(C37,STN_TABLE,3,FALSE)</f>
        <v>0</v>
      </c>
      <c r="M39" t="str">
        <f>CONCATENATE("A(",C39,")=")</f>
        <v>A(0.5)=</v>
      </c>
      <c r="N39">
        <f>J39+L39</f>
        <v>20.75</v>
      </c>
      <c r="O39" s="99">
        <f>O38+1</f>
        <v>4</v>
      </c>
      <c r="P39" s="99">
        <f t="shared" si="10"/>
        <v>0.75</v>
      </c>
      <c r="Q39" s="82">
        <f>IF(P39-P38=P38-P37,P39,IF(P40-P38=P38-P37,P40,IF(P39-P38=P38-P36,P39,IF(P40-P38=P38-P36,P40,"-"))))</f>
        <v>0.75</v>
      </c>
      <c r="R39" s="83">
        <f>VLOOKUP(Q39,STN_TABLE,2,FALSE)</f>
        <v>10.93</v>
      </c>
      <c r="S39" s="83">
        <v>-1</v>
      </c>
      <c r="T39" s="82">
        <f>R39*S39</f>
        <v>-10.93</v>
      </c>
      <c r="U39" s="88">
        <v>-1</v>
      </c>
      <c r="V39" s="82">
        <f>R39*U39</f>
        <v>-10.93</v>
      </c>
      <c r="W39" s="84" t="str">
        <f>CONCATENATE("a'(",Q38,")=")</f>
        <v>a'(0.5)=</v>
      </c>
      <c r="X39" s="84">
        <f>2*X37/12*T40</f>
        <v>10.61</v>
      </c>
      <c r="Y39" s="84" t="str">
        <f>CONCATENATE("A(",Q37,")=")</f>
        <v>A(0.25)=</v>
      </c>
      <c r="Z39" s="84">
        <f>VLOOKUP(Q37,STN_TABLE,3,FALSE)</f>
        <v>10.112499999999999</v>
      </c>
      <c r="AA39" t="str">
        <f>CONCATENATE("A(",Q38,")=")</f>
        <v>A(0.5)=</v>
      </c>
      <c r="AB39">
        <f>X39+Z39</f>
        <v>20.722499999999997</v>
      </c>
      <c r="AC39" s="99">
        <f>AC38+1</f>
        <v>3</v>
      </c>
      <c r="AD39" s="100">
        <f>VLOOKUP(AC39,STN_TABLE_2,2,FALSE)</f>
        <v>0.5</v>
      </c>
      <c r="AE39" s="82">
        <f>VLOOKUP(AD39,STN_TABLE,2,FALSE)</f>
        <v>10.75</v>
      </c>
      <c r="AF39" s="82">
        <v>2</v>
      </c>
      <c r="AG39" s="83">
        <f>AE39*AF39</f>
        <v>21.5</v>
      </c>
      <c r="AH39" s="84" t="str">
        <f>CONCATENATE("a'(",AD39,")=")</f>
        <v>a'(0.5)=</v>
      </c>
      <c r="AI39" s="84">
        <f>2*AI37/2*AE40</f>
        <v>10.6</v>
      </c>
      <c r="AJ39" s="84" t="str">
        <f>CONCATENATE("A(",AD38,")=")</f>
        <v>A(0.25)=</v>
      </c>
      <c r="AK39" s="84">
        <f>VLOOKUP(AD38,STN_TABLE,3,FALSE)</f>
        <v>10.112499999999999</v>
      </c>
      <c r="AL39" t="str">
        <f>CONCATENATE("A(",AD39,")=")</f>
        <v>A(0.5)=</v>
      </c>
      <c r="AM39">
        <f>AI39+AK39</f>
        <v>20.712499999999999</v>
      </c>
      <c r="AO39" s="68" t="str">
        <f>AA39</f>
        <v>A(0.5)=</v>
      </c>
      <c r="AP39" s="68" t="e">
        <f>VLOOKUP(AO39,Rise_Results,2,FALSE)</f>
        <v>#N/A</v>
      </c>
      <c r="AQ39" s="76">
        <f>N39</f>
        <v>20.75</v>
      </c>
      <c r="AR39" s="76">
        <f>IF(OR(AB39&lt;=0,AB40&lt;=0),1/0,AB39)</f>
        <v>20.722499999999997</v>
      </c>
      <c r="AS39" s="76">
        <f>AM39</f>
        <v>20.712499999999999</v>
      </c>
      <c r="AT39">
        <f>IFERROR(AP39,IFERROR(AQ39,IFERROR(AR39,AS39)))</f>
        <v>20.75</v>
      </c>
    </row>
    <row r="40" spans="1:47" x14ac:dyDescent="0.25">
      <c r="A40">
        <v>4</v>
      </c>
      <c r="F40" s="82">
        <f>SUM(F37:F39)</f>
        <v>62.25</v>
      </c>
      <c r="H40" s="82">
        <f>SUM(H37:H39)</f>
        <v>15.824999999999999</v>
      </c>
      <c r="I40" s="84" t="str">
        <f>CONCATENATE("m'(",C39,")=")</f>
        <v>m'(0.5)=</v>
      </c>
      <c r="J40" s="84">
        <f>2*(J37*(WLS))/3*H40</f>
        <v>10.549999999999999</v>
      </c>
      <c r="K40" s="84" t="str">
        <f>CONCATENATE("M(",C37,")=")</f>
        <v>M(0)=</v>
      </c>
      <c r="L40" s="84">
        <f>VLOOKUP(C37,STN_TABLE,4,FALSE)</f>
        <v>0</v>
      </c>
      <c r="M40" t="str">
        <f>CONCATENATE("M(",C39,")=")</f>
        <v>M(0.5)=</v>
      </c>
      <c r="N40">
        <f>J40+L40</f>
        <v>10.549999999999999</v>
      </c>
      <c r="O40" s="99">
        <f>O39+1</f>
        <v>5</v>
      </c>
      <c r="P40" s="99">
        <f t="shared" si="10"/>
        <v>1</v>
      </c>
      <c r="T40" s="89">
        <f>SUM(T37:T39)</f>
        <v>127.32</v>
      </c>
      <c r="V40" s="82">
        <f>SUM(V37:V39)</f>
        <v>127.91999999999999</v>
      </c>
      <c r="W40" s="84" t="str">
        <f>CONCATENATE("m'(",Q38,")=")</f>
        <v>m'(0.5)=</v>
      </c>
      <c r="X40" s="84">
        <f>(2*(X37^2)/24*V40)+(X39*Q37*WLS)</f>
        <v>7.9699999999999989</v>
      </c>
      <c r="Y40" s="84" t="str">
        <f>CONCATENATE("M(",Q37,")=")</f>
        <v>M(0.25)=</v>
      </c>
      <c r="Z40" s="84">
        <f>VLOOKUP(Q37,STN_TABLE,4,FALSE)</f>
        <v>2.5593749999999997</v>
      </c>
      <c r="AA40" t="str">
        <f>CONCATENATE("M(",Q38,")=")</f>
        <v>M(0.5)=</v>
      </c>
      <c r="AB40">
        <f>X40+Z40</f>
        <v>10.529374999999998</v>
      </c>
      <c r="AE40" s="89">
        <f>SUM(AE38:AE39)</f>
        <v>21.2</v>
      </c>
      <c r="AG40" s="89">
        <f>SUM(AG38:AG39)</f>
        <v>31.95</v>
      </c>
      <c r="AH40" s="84" t="str">
        <f>CONCATENATE("m'(",AD39,")=")</f>
        <v>m'(0.5)=</v>
      </c>
      <c r="AI40" s="84">
        <f>(2*(AI37^2)/6*AG40)+(AI39*AD38*WLS)</f>
        <v>7.9624999999999995</v>
      </c>
      <c r="AJ40" s="84" t="str">
        <f>CONCATENATE("M(",AD38,")=")</f>
        <v>M(0.25)=</v>
      </c>
      <c r="AK40" s="84">
        <f>VLOOKUP(AD38,STN_TABLE,4,FALSE)</f>
        <v>2.5593749999999997</v>
      </c>
      <c r="AL40" t="str">
        <f>CONCATENATE("M(",AD39,")=")</f>
        <v>M(0.5)=</v>
      </c>
      <c r="AM40">
        <f>AI40+AK40</f>
        <v>10.521875</v>
      </c>
      <c r="AO40" s="82" t="str">
        <f>AA40</f>
        <v>M(0.5)=</v>
      </c>
      <c r="AP40" s="82" t="e">
        <f>VLOOKUP(AO40,Rise_Results,2,FALSE)</f>
        <v>#N/A</v>
      </c>
      <c r="AQ40" s="82">
        <f>N40</f>
        <v>10.549999999999999</v>
      </c>
      <c r="AR40" s="82">
        <f>IF(OR(AB39&lt;=0,AB40&lt;=0),1/0,AB40)</f>
        <v>10.529374999999998</v>
      </c>
      <c r="AS40" s="82">
        <f>AM40</f>
        <v>10.521875</v>
      </c>
      <c r="AT40">
        <f>IFERROR(AP40,IFERROR(AQ40,IFERROR(AR40,AS40)))</f>
        <v>10.549999999999999</v>
      </c>
    </row>
    <row r="41" spans="1:47" x14ac:dyDescent="0.25">
      <c r="A41" s="94">
        <v>0</v>
      </c>
      <c r="O41" s="101">
        <f>O36+1</f>
        <v>2</v>
      </c>
      <c r="P41" s="101">
        <f t="shared" si="10"/>
        <v>0.25</v>
      </c>
    </row>
    <row r="42" spans="1:47" x14ac:dyDescent="0.25">
      <c r="A42" s="94">
        <f>A41+1</f>
        <v>1</v>
      </c>
      <c r="B42" s="94">
        <f t="shared" ref="B42:B73" si="11">VLOOKUP(A42,STN_TABLE_2,2,FALSE)</f>
        <v>0</v>
      </c>
      <c r="C42" s="79">
        <f>IF(C43=B43,B42,IF(C43=B44,IF(C44-C43=C43-B43,B43,IF(C44-C43=C43-B42,B42,"NA"))))</f>
        <v>0.25</v>
      </c>
      <c r="D42" s="68">
        <f>VLOOKUP(C42,STN_TABLE,2,FALSE)</f>
        <v>10.45</v>
      </c>
      <c r="E42" s="102">
        <v>1</v>
      </c>
      <c r="F42" s="68">
        <f>D42*E42</f>
        <v>10.45</v>
      </c>
      <c r="G42" s="69">
        <f>C42</f>
        <v>0.25</v>
      </c>
      <c r="H42" s="69">
        <f>F42*G42</f>
        <v>2.6124999999999998</v>
      </c>
      <c r="I42" s="6" t="s">
        <v>93</v>
      </c>
      <c r="J42" s="70">
        <f>IF(OR(D42=0,D43=0,D44=0),"#NA",IF(AND(C44-C43=C43-C42,C43&lt;&gt;C44,C42&lt;&gt;C43,C42&lt;&gt;C44,D44&lt;&gt;0,OR(D42&lt;&gt;0,D43&lt;&gt;0)),WLS*(C44-C43),"#NA"))</f>
        <v>0.5</v>
      </c>
      <c r="O42" s="99">
        <f>O41+1</f>
        <v>3</v>
      </c>
      <c r="P42" s="99">
        <f t="shared" si="10"/>
        <v>0.5</v>
      </c>
      <c r="Q42" s="68">
        <f>IF(OR(P44-P43=P43-P42,P45-P43=P43-P42),P42,IF(OR(P44-P43=P43-P41,P45-P43=P43-P41),P41,"-"))</f>
        <v>0.5</v>
      </c>
      <c r="R42" s="69">
        <f>VLOOKUP(Q42,STN_TABLE,2,FALSE)</f>
        <v>10.75</v>
      </c>
      <c r="S42" s="69">
        <v>5</v>
      </c>
      <c r="T42" s="68">
        <f>R42*S42</f>
        <v>53.75</v>
      </c>
      <c r="U42" s="79">
        <v>3</v>
      </c>
      <c r="V42" s="68">
        <f>R42*U42</f>
        <v>32.25</v>
      </c>
      <c r="W42" s="6" t="s">
        <v>93</v>
      </c>
      <c r="X42" s="70">
        <f>IF(AND(Q44-Q43=Q43-Q42,NOT(AND(Q42=0,Q43=0)),NOT(AND(Q43=0,Q44=0))),WLS*(Q44-Q43),"#NA")</f>
        <v>0.5</v>
      </c>
      <c r="AD42" s="93"/>
      <c r="AH42" s="6" t="s">
        <v>93</v>
      </c>
      <c r="AI42" s="70">
        <f>WLS*(AD44-AD43)</f>
        <v>0.5</v>
      </c>
      <c r="AU42" s="81"/>
    </row>
    <row r="43" spans="1:47" x14ac:dyDescent="0.25">
      <c r="A43" s="94">
        <f>A42+1</f>
        <v>2</v>
      </c>
      <c r="B43" s="94">
        <f t="shared" si="11"/>
        <v>0.25</v>
      </c>
      <c r="C43" s="80">
        <f>IF(OR(B45-B44=B44-B43,B45-B44=B44-B42,),B44,IF(B45-B43=B43-B42,B43,"#NA"))</f>
        <v>0.5</v>
      </c>
      <c r="D43" s="76">
        <f>VLOOKUP(C43,STN_TABLE,2,FALSE)</f>
        <v>10.75</v>
      </c>
      <c r="E43" s="81">
        <v>4</v>
      </c>
      <c r="F43" s="76">
        <f>D43*E43</f>
        <v>43</v>
      </c>
      <c r="G43" s="77">
        <f>C43</f>
        <v>0.5</v>
      </c>
      <c r="H43" s="77">
        <f>F43*G43</f>
        <v>21.5</v>
      </c>
      <c r="I43" s="496" t="s">
        <v>97</v>
      </c>
      <c r="J43" s="496"/>
      <c r="K43" s="78" t="s">
        <v>98</v>
      </c>
      <c r="L43" s="78"/>
      <c r="M43" s="7" t="s">
        <v>99</v>
      </c>
      <c r="N43" s="7"/>
      <c r="O43" s="99">
        <f>O42+1</f>
        <v>4</v>
      </c>
      <c r="P43" s="99">
        <f t="shared" si="10"/>
        <v>0.75</v>
      </c>
      <c r="Q43" s="76">
        <f>P43</f>
        <v>0.75</v>
      </c>
      <c r="R43" s="77">
        <f>VLOOKUP(Q43,STN_TABLE,2,FALSE)</f>
        <v>10.93</v>
      </c>
      <c r="S43" s="77">
        <v>8</v>
      </c>
      <c r="T43" s="76">
        <f>R43*S43</f>
        <v>87.44</v>
      </c>
      <c r="U43" s="80">
        <v>10</v>
      </c>
      <c r="V43" s="76">
        <f>R43*U43</f>
        <v>109.3</v>
      </c>
      <c r="W43" s="496" t="s">
        <v>97</v>
      </c>
      <c r="X43" s="496"/>
      <c r="Y43" s="496" t="s">
        <v>98</v>
      </c>
      <c r="Z43" s="496"/>
      <c r="AA43" s="494" t="s">
        <v>99</v>
      </c>
      <c r="AB43" s="494"/>
      <c r="AC43" s="99">
        <f>AC38+1</f>
        <v>3</v>
      </c>
      <c r="AD43" s="95">
        <f>VLOOKUP(AC43,STN_TABLE_2,2,FALSE)</f>
        <v>0.5</v>
      </c>
      <c r="AE43" s="68">
        <f>VLOOKUP(AD43,STN_TABLE,2,FALSE)</f>
        <v>10.75</v>
      </c>
      <c r="AF43" s="68">
        <v>1</v>
      </c>
      <c r="AG43" s="69">
        <f>AE43*AF43</f>
        <v>10.75</v>
      </c>
      <c r="AH43" s="496" t="s">
        <v>97</v>
      </c>
      <c r="AI43" s="496"/>
      <c r="AJ43" s="496" t="s">
        <v>98</v>
      </c>
      <c r="AK43" s="496"/>
      <c r="AL43" s="494" t="s">
        <v>99</v>
      </c>
      <c r="AM43" s="494"/>
      <c r="AP43" s="86" t="s">
        <v>112</v>
      </c>
      <c r="AQ43" s="89" t="s">
        <v>113</v>
      </c>
      <c r="AR43" s="89" t="s">
        <v>114</v>
      </c>
      <c r="AS43" s="89" t="s">
        <v>115</v>
      </c>
      <c r="AU43" s="81"/>
    </row>
    <row r="44" spans="1:47" x14ac:dyDescent="0.25">
      <c r="A44" s="94">
        <f>A43+1</f>
        <v>3</v>
      </c>
      <c r="B44" s="94">
        <f t="shared" si="11"/>
        <v>0.5</v>
      </c>
      <c r="C44" s="88">
        <f>B45</f>
        <v>0.75</v>
      </c>
      <c r="D44" s="82">
        <f>VLOOKUP(C44,STN_TABLE,2,FALSE)</f>
        <v>10.93</v>
      </c>
      <c r="E44" s="92">
        <v>1</v>
      </c>
      <c r="F44" s="82">
        <f>D44*E44</f>
        <v>10.93</v>
      </c>
      <c r="G44" s="83">
        <f>C44</f>
        <v>0.75</v>
      </c>
      <c r="H44" s="83">
        <f>F44*G44</f>
        <v>8.1974999999999998</v>
      </c>
      <c r="I44" s="84" t="str">
        <f>CONCATENATE("a'(",C44,")=")</f>
        <v>a'(0.75)=</v>
      </c>
      <c r="J44" s="84">
        <f>2*J42/3*F45</f>
        <v>21.459999999999997</v>
      </c>
      <c r="K44" s="84" t="str">
        <f>CONCATENATE("A(",C42,")=")</f>
        <v>A(0.25)=</v>
      </c>
      <c r="L44" s="84">
        <f>VLOOKUP(C42,STN_TABLE,3,FALSE)</f>
        <v>10.112499999999999</v>
      </c>
      <c r="M44" t="str">
        <f>CONCATENATE("A(",C44,")=")</f>
        <v>A(0.75)=</v>
      </c>
      <c r="N44">
        <f>J44+L44</f>
        <v>31.572499999999998</v>
      </c>
      <c r="O44" s="99">
        <f>O43+1</f>
        <v>5</v>
      </c>
      <c r="P44" s="99">
        <f t="shared" si="10"/>
        <v>1</v>
      </c>
      <c r="Q44" s="82">
        <f>IF(P44-P43=P43-P42,P44,IF(P45-P43=P43-P42,P45,IF(P44-P43=P43-P41,P44,IF(P45-P43=P43-P41,P45,"-"))))</f>
        <v>1</v>
      </c>
      <c r="R44" s="83">
        <f>VLOOKUP(Q44,STN_TABLE,2,FALSE)</f>
        <v>11</v>
      </c>
      <c r="S44" s="83">
        <v>-1</v>
      </c>
      <c r="T44" s="82">
        <f>R44*S44</f>
        <v>-11</v>
      </c>
      <c r="U44" s="88">
        <v>-1</v>
      </c>
      <c r="V44" s="82">
        <f>R44*U44</f>
        <v>-11</v>
      </c>
      <c r="W44" s="84" t="str">
        <f>CONCATENATE("a'(",Q43,")=")</f>
        <v>a'(0.75)=</v>
      </c>
      <c r="X44" s="84">
        <f>2*X42/12*T45</f>
        <v>10.849166666666665</v>
      </c>
      <c r="Y44" s="84" t="str">
        <f>CONCATENATE("A(",Q42,")=")</f>
        <v>A(0.5)=</v>
      </c>
      <c r="Z44" s="84">
        <f>VLOOKUP(Q42,STN_TABLE,3,FALSE)</f>
        <v>20.75</v>
      </c>
      <c r="AA44" t="str">
        <f>CONCATENATE("A(",Q43,")=")</f>
        <v>A(0.75)=</v>
      </c>
      <c r="AB44">
        <f>X44+Z44</f>
        <v>31.599166666666665</v>
      </c>
      <c r="AC44" s="99">
        <f>AC43+1</f>
        <v>4</v>
      </c>
      <c r="AD44" s="100">
        <f>VLOOKUP(AC44,STN_TABLE_2,2,FALSE)</f>
        <v>0.75</v>
      </c>
      <c r="AE44" s="82">
        <f>VLOOKUP(AD44,STN_TABLE,2,FALSE)</f>
        <v>10.93</v>
      </c>
      <c r="AF44" s="82">
        <v>2</v>
      </c>
      <c r="AG44" s="83">
        <f>AE44*AF44</f>
        <v>21.86</v>
      </c>
      <c r="AH44" s="84" t="str">
        <f>CONCATENATE("a'(",AD44,")=")</f>
        <v>a'(0.75)=</v>
      </c>
      <c r="AI44" s="84">
        <f>2*AI42/2*AE45</f>
        <v>10.84</v>
      </c>
      <c r="AJ44" s="84" t="str">
        <f>CONCATENATE("A(",AD43,")=")</f>
        <v>A(0.5)=</v>
      </c>
      <c r="AK44" s="84">
        <f>VLOOKUP(AD43,STN_TABLE,3,FALSE)</f>
        <v>20.75</v>
      </c>
      <c r="AL44" t="str">
        <f>CONCATENATE("A(",AD44,")=")</f>
        <v>A(0.75)=</v>
      </c>
      <c r="AM44">
        <f>AI44+AK44</f>
        <v>31.59</v>
      </c>
      <c r="AO44" s="68" t="str">
        <f>AA44</f>
        <v>A(0.75)=</v>
      </c>
      <c r="AP44" s="68" t="e">
        <f>VLOOKUP(AO44,Rise_Results,2,FALSE)</f>
        <v>#N/A</v>
      </c>
      <c r="AQ44" s="76">
        <f>N44</f>
        <v>31.572499999999998</v>
      </c>
      <c r="AR44" s="76">
        <f>IF(OR(AB44&lt;=0,AB45&lt;=0),1/0,AB44)</f>
        <v>31.599166666666665</v>
      </c>
      <c r="AS44" s="76">
        <f>AM44</f>
        <v>31.59</v>
      </c>
      <c r="AT44">
        <f>IFERROR(AP44,IFERROR(AQ44,IFERROR(AR44,AS44)))</f>
        <v>31.572499999999998</v>
      </c>
      <c r="AU44" s="81"/>
    </row>
    <row r="45" spans="1:47" x14ac:dyDescent="0.25">
      <c r="A45" s="94">
        <f>A44+1</f>
        <v>4</v>
      </c>
      <c r="B45" s="94">
        <f t="shared" si="11"/>
        <v>0.75</v>
      </c>
      <c r="F45" s="82">
        <f>SUM(F42:F44)</f>
        <v>64.38</v>
      </c>
      <c r="H45" s="82">
        <f>SUM(H42:H44)</f>
        <v>32.31</v>
      </c>
      <c r="I45" s="84" t="str">
        <f>CONCATENATE("m'(",C44,")=")</f>
        <v>m'(0.75)=</v>
      </c>
      <c r="J45" s="84">
        <f>2*(J42*(WLS))/3*H45</f>
        <v>21.54</v>
      </c>
      <c r="K45" s="84" t="str">
        <f>CONCATENATE("M(",C42,")=")</f>
        <v>M(0.25)=</v>
      </c>
      <c r="L45" s="84">
        <f>VLOOKUP(C42,STN_TABLE,4,FALSE)</f>
        <v>2.5593749999999997</v>
      </c>
      <c r="M45" t="str">
        <f>CONCATENATE("M(",C44,")=")</f>
        <v>M(0.75)=</v>
      </c>
      <c r="N45">
        <f>J45+L45</f>
        <v>24.099374999999998</v>
      </c>
      <c r="O45" s="99">
        <f>O44+1</f>
        <v>6</v>
      </c>
      <c r="P45" s="99">
        <f t="shared" si="10"/>
        <v>2</v>
      </c>
      <c r="T45" s="89">
        <f>SUM(T42:T44)</f>
        <v>130.19</v>
      </c>
      <c r="V45" s="82">
        <f>SUM(V42:V44)</f>
        <v>130.55000000000001</v>
      </c>
      <c r="W45" s="84" t="str">
        <f>CONCATENATE("m'(",Q43,")=")</f>
        <v>m'(0.75)=</v>
      </c>
      <c r="X45" s="84">
        <f>(2*(X42^2)/24*V45)+(X44*Q42*WLS)</f>
        <v>13.568958333333331</v>
      </c>
      <c r="Y45" s="84" t="str">
        <f>CONCATENATE("M(",Q42,")=")</f>
        <v>M(0.5)=</v>
      </c>
      <c r="Z45" s="84">
        <f>VLOOKUP(Q42,STN_TABLE,4,FALSE)</f>
        <v>10.549999999999999</v>
      </c>
      <c r="AA45" t="str">
        <f>CONCATENATE("M(",Q43,")=")</f>
        <v>M(0.75)=</v>
      </c>
      <c r="AB45">
        <f>X45+Z45</f>
        <v>24.118958333333332</v>
      </c>
      <c r="AE45" s="89">
        <f>SUM(AE43:AE44)</f>
        <v>21.68</v>
      </c>
      <c r="AG45" s="89">
        <f>SUM(AG43:AG44)</f>
        <v>32.61</v>
      </c>
      <c r="AH45" s="84" t="str">
        <f>CONCATENATE("m'(",AD44,")=")</f>
        <v>m'(0.75)=</v>
      </c>
      <c r="AI45" s="84">
        <f>(2*(AI42^2)/6*AG45)+(AI44*AD43*WLS)</f>
        <v>13.557499999999999</v>
      </c>
      <c r="AJ45" s="84" t="str">
        <f>CONCATENATE("M(",AD43,")=")</f>
        <v>M(0.5)=</v>
      </c>
      <c r="AK45" s="84">
        <f>VLOOKUP(AD43,STN_TABLE,4,FALSE)</f>
        <v>10.549999999999999</v>
      </c>
      <c r="AL45" t="str">
        <f>CONCATENATE("M(",AD44,")=")</f>
        <v>M(0.75)=</v>
      </c>
      <c r="AM45">
        <f>AI45+AK45</f>
        <v>24.107499999999998</v>
      </c>
      <c r="AO45" s="82" t="str">
        <f>AA45</f>
        <v>M(0.75)=</v>
      </c>
      <c r="AP45" s="82" t="e">
        <f>VLOOKUP(AO45,Rise_Results,2,FALSE)</f>
        <v>#N/A</v>
      </c>
      <c r="AQ45" s="82">
        <f>N45</f>
        <v>24.099374999999998</v>
      </c>
      <c r="AR45" s="82">
        <f>IF(OR(AB44&lt;=0,AB45&lt;=0),1/0,AB45)</f>
        <v>24.118958333333332</v>
      </c>
      <c r="AS45" s="82">
        <f>AM45</f>
        <v>24.107499999999998</v>
      </c>
      <c r="AT45">
        <f>IFERROR(AP45,IFERROR(AQ45,IFERROR(AR45,AS45)))</f>
        <v>24.099374999999998</v>
      </c>
      <c r="AU45" s="81"/>
    </row>
    <row r="46" spans="1:47" x14ac:dyDescent="0.25">
      <c r="A46" s="101">
        <f>A41+1</f>
        <v>1</v>
      </c>
      <c r="B46" s="101">
        <f t="shared" si="11"/>
        <v>0</v>
      </c>
      <c r="O46" s="101">
        <f>O41+1</f>
        <v>3</v>
      </c>
      <c r="P46" s="101">
        <f t="shared" si="10"/>
        <v>0.5</v>
      </c>
      <c r="AU46" s="81"/>
    </row>
    <row r="47" spans="1:47" x14ac:dyDescent="0.25">
      <c r="A47" s="84">
        <f>A46+1</f>
        <v>2</v>
      </c>
      <c r="B47" s="84">
        <f t="shared" si="11"/>
        <v>0.25</v>
      </c>
      <c r="C47" s="79">
        <f>IF(C48=B49,IF(C49-C48=C48-B48,B48,IF(C49-C48=C48-B47,B47,"#NA")),IF(C48=B48,IF(C49-C48=C48-B47,B47,IF(C49-C48=C48-B46,B46,"#NA")),"#NA"))</f>
        <v>0.5</v>
      </c>
      <c r="D47" s="68">
        <f>VLOOKUP(C47,STN_TABLE,2,FALSE)</f>
        <v>10.75</v>
      </c>
      <c r="E47" s="102">
        <v>1</v>
      </c>
      <c r="F47" s="68">
        <f>D47*E47</f>
        <v>10.75</v>
      </c>
      <c r="G47" s="69">
        <f>C47</f>
        <v>0.5</v>
      </c>
      <c r="H47" s="69">
        <f>F47*G47</f>
        <v>5.375</v>
      </c>
      <c r="I47" s="6" t="s">
        <v>93</v>
      </c>
      <c r="J47" s="70">
        <f>IF(OR(D47=0,D48=0,D49=0),"#NA",IF(AND(C49-C48=C48-C47,C48&lt;&gt;C49,C47&lt;&gt;C48,C47&lt;&gt;C49,D49&lt;&gt;0,OR(D47&lt;&gt;0,D48&lt;&gt;0)),WLS*(C49-C48),"#NA"))</f>
        <v>0.5</v>
      </c>
      <c r="O47" s="99">
        <f>O46+1</f>
        <v>4</v>
      </c>
      <c r="P47" s="99">
        <f t="shared" si="10"/>
        <v>0.75</v>
      </c>
      <c r="Q47" s="68" t="str">
        <f>IF(OR(P49-P48=P48-P47,P50-P48=P48-P47),P47,IF(OR(P49-P48=P48-P46,P50-P48=P48-P46),P46,"-"))</f>
        <v>-</v>
      </c>
      <c r="R47" s="69" t="e">
        <f>VLOOKUP(Q47,STN_TABLE,2,FALSE)</f>
        <v>#N/A</v>
      </c>
      <c r="S47" s="69">
        <v>5</v>
      </c>
      <c r="T47" s="68" t="e">
        <f>R47*S47</f>
        <v>#N/A</v>
      </c>
      <c r="U47" s="79">
        <v>3</v>
      </c>
      <c r="V47" s="68" t="e">
        <f>R47*U47</f>
        <v>#N/A</v>
      </c>
      <c r="W47" s="6" t="s">
        <v>93</v>
      </c>
      <c r="X47" s="70" t="e">
        <f>IF(AND(Q49-Q48=Q48-Q47,NOT(AND(Q47=0,Q48=0)),NOT(AND(Q48=0,Q49=0))),WLS*(Q49-Q48),"#NA")</f>
        <v>#VALUE!</v>
      </c>
      <c r="AD47" s="93"/>
      <c r="AH47" s="6" t="s">
        <v>93</v>
      </c>
      <c r="AI47" s="70">
        <f>WLS*(AD49-AD48)</f>
        <v>0.5</v>
      </c>
      <c r="AU47" s="81"/>
    </row>
    <row r="48" spans="1:47" x14ac:dyDescent="0.25">
      <c r="A48" s="84">
        <f>A47+1</f>
        <v>3</v>
      </c>
      <c r="B48" s="84">
        <f t="shared" si="11"/>
        <v>0.5</v>
      </c>
      <c r="C48" s="80">
        <f>IF(OR(B50-B49=B49-B48,B50-B49=B49-B47,B50-B49=B49-B46),B49,IF(OR(B50-B48=B48-B47,B50-B48=B48-B46),B48,IF(B50-B47=B47-B46,B47,"#NA")))</f>
        <v>0.75</v>
      </c>
      <c r="D48" s="76">
        <f>VLOOKUP(C48,STN_TABLE,2,FALSE)</f>
        <v>10.93</v>
      </c>
      <c r="E48" s="81">
        <v>4</v>
      </c>
      <c r="F48" s="76">
        <f>D48*E48</f>
        <v>43.72</v>
      </c>
      <c r="G48" s="77">
        <f>C48</f>
        <v>0.75</v>
      </c>
      <c r="H48" s="77">
        <f>F48*G48</f>
        <v>32.79</v>
      </c>
      <c r="I48" s="496" t="s">
        <v>97</v>
      </c>
      <c r="J48" s="496"/>
      <c r="K48" s="78" t="s">
        <v>98</v>
      </c>
      <c r="L48" s="78"/>
      <c r="M48" s="7" t="s">
        <v>99</v>
      </c>
      <c r="N48" s="7"/>
      <c r="O48" s="99">
        <f>O47+1</f>
        <v>5</v>
      </c>
      <c r="P48" s="99">
        <f t="shared" si="10"/>
        <v>1</v>
      </c>
      <c r="Q48" s="76">
        <f>P48</f>
        <v>1</v>
      </c>
      <c r="R48" s="77">
        <f>VLOOKUP(Q48,STN_TABLE,2,FALSE)</f>
        <v>11</v>
      </c>
      <c r="S48" s="77">
        <v>8</v>
      </c>
      <c r="T48" s="76">
        <f>R48*S48</f>
        <v>88</v>
      </c>
      <c r="U48" s="80">
        <v>10</v>
      </c>
      <c r="V48" s="76">
        <f>R48*U48</f>
        <v>110</v>
      </c>
      <c r="W48" s="496" t="s">
        <v>97</v>
      </c>
      <c r="X48" s="496"/>
      <c r="Y48" s="496" t="s">
        <v>98</v>
      </c>
      <c r="Z48" s="496"/>
      <c r="AA48" s="494" t="s">
        <v>99</v>
      </c>
      <c r="AB48" s="494"/>
      <c r="AC48" s="99">
        <f>AC43+1</f>
        <v>4</v>
      </c>
      <c r="AD48" s="95">
        <f>VLOOKUP(AC48,STN_TABLE_2,2,FALSE)</f>
        <v>0.75</v>
      </c>
      <c r="AE48" s="68">
        <f>VLOOKUP(AD48,STN_TABLE,2,FALSE)</f>
        <v>10.93</v>
      </c>
      <c r="AF48" s="68">
        <v>1</v>
      </c>
      <c r="AG48" s="69">
        <f>AE48*AF48</f>
        <v>10.93</v>
      </c>
      <c r="AH48" s="496" t="s">
        <v>97</v>
      </c>
      <c r="AI48" s="496"/>
      <c r="AJ48" s="496" t="s">
        <v>98</v>
      </c>
      <c r="AK48" s="496"/>
      <c r="AL48" s="494" t="s">
        <v>99</v>
      </c>
      <c r="AM48" s="494"/>
      <c r="AP48" s="86" t="s">
        <v>112</v>
      </c>
      <c r="AQ48" s="89" t="s">
        <v>113</v>
      </c>
      <c r="AR48" s="89" t="s">
        <v>114</v>
      </c>
      <c r="AS48" s="89" t="s">
        <v>115</v>
      </c>
      <c r="AU48" s="81"/>
    </row>
    <row r="49" spans="1:47" x14ac:dyDescent="0.25">
      <c r="A49" s="84">
        <f>A48+1</f>
        <v>4</v>
      </c>
      <c r="B49" s="84">
        <f t="shared" si="11"/>
        <v>0.75</v>
      </c>
      <c r="C49" s="88">
        <f>B50</f>
        <v>1</v>
      </c>
      <c r="D49" s="82">
        <f>VLOOKUP(C49,STN_TABLE,2,FALSE)</f>
        <v>11</v>
      </c>
      <c r="E49" s="92">
        <v>1</v>
      </c>
      <c r="F49" s="82">
        <f>D49*E49</f>
        <v>11</v>
      </c>
      <c r="G49" s="83">
        <f>C49</f>
        <v>1</v>
      </c>
      <c r="H49" s="83">
        <f>F49*G49</f>
        <v>11</v>
      </c>
      <c r="I49" s="84" t="str">
        <f>CONCATENATE("a'(",C49,")=")</f>
        <v>a'(1)=</v>
      </c>
      <c r="J49" s="84">
        <f>2*J47/3*F50</f>
        <v>21.823333333333331</v>
      </c>
      <c r="K49" s="84" t="str">
        <f>CONCATENATE("A(",C47,")=")</f>
        <v>A(0.5)=</v>
      </c>
      <c r="L49" s="84">
        <f>VLOOKUP(C47,STN_TABLE,3,FALSE)</f>
        <v>20.75</v>
      </c>
      <c r="M49" t="str">
        <f>CONCATENATE("A(",C49,")=")</f>
        <v>A(1)=</v>
      </c>
      <c r="N49">
        <f>J49+L49</f>
        <v>42.573333333333331</v>
      </c>
      <c r="O49" s="99">
        <f>O48+1</f>
        <v>6</v>
      </c>
      <c r="P49" s="99">
        <f t="shared" si="10"/>
        <v>2</v>
      </c>
      <c r="Q49" s="82" t="str">
        <f>IF(P49-P48=P48-P47,P49,IF(P50-P48=P48-P47,P50,IF(P49-P48=P48-P46,P49,IF(P50-P48=P48-P46,P50,"-"))))</f>
        <v>-</v>
      </c>
      <c r="R49" s="83" t="e">
        <f>VLOOKUP(Q49,STN_TABLE,2,FALSE)</f>
        <v>#N/A</v>
      </c>
      <c r="S49" s="83">
        <v>-1</v>
      </c>
      <c r="T49" s="82" t="e">
        <f>R49*S49</f>
        <v>#N/A</v>
      </c>
      <c r="U49" s="88">
        <v>-1</v>
      </c>
      <c r="V49" s="82" t="e">
        <f>R49*U49</f>
        <v>#N/A</v>
      </c>
      <c r="W49" s="84" t="str">
        <f>CONCATENATE("a'(",Q48,")=")</f>
        <v>a'(1)=</v>
      </c>
      <c r="X49" s="84" t="e">
        <f>2*X47/12*T50</f>
        <v>#VALUE!</v>
      </c>
      <c r="Y49" s="84" t="str">
        <f>CONCATENATE("A(",Q47,")=")</f>
        <v>A(-)=</v>
      </c>
      <c r="Z49" s="84" t="e">
        <f>VLOOKUP(Q47,STN_TABLE,3,FALSE)</f>
        <v>#N/A</v>
      </c>
      <c r="AA49" t="str">
        <f>CONCATENATE("A(",Q48,")=")</f>
        <v>A(1)=</v>
      </c>
      <c r="AB49" t="e">
        <f>X49+Z49</f>
        <v>#VALUE!</v>
      </c>
      <c r="AC49" s="99">
        <f>AC48+1</f>
        <v>5</v>
      </c>
      <c r="AD49" s="100">
        <f>VLOOKUP(AC49,STN_TABLE_2,2,FALSE)</f>
        <v>1</v>
      </c>
      <c r="AE49" s="82">
        <f>VLOOKUP(AD49,STN_TABLE,2,FALSE)</f>
        <v>11</v>
      </c>
      <c r="AF49" s="82">
        <v>2</v>
      </c>
      <c r="AG49" s="83">
        <f>AE49*AF49</f>
        <v>22</v>
      </c>
      <c r="AH49" s="84" t="str">
        <f>CONCATENATE("a'(",AD49,")=")</f>
        <v>a'(1)=</v>
      </c>
      <c r="AI49" s="84">
        <f>2*AI47/2*AE50</f>
        <v>10.965</v>
      </c>
      <c r="AJ49" s="84" t="str">
        <f>CONCATENATE("A(",AD48,")=")</f>
        <v>A(0.75)=</v>
      </c>
      <c r="AK49" s="84">
        <f>VLOOKUP(AD48,STN_TABLE,3,FALSE)</f>
        <v>31.572499999999998</v>
      </c>
      <c r="AL49" t="str">
        <f>CONCATENATE("A(",AD49,")=")</f>
        <v>A(1)=</v>
      </c>
      <c r="AM49">
        <f>AI49+AK49</f>
        <v>42.537499999999994</v>
      </c>
      <c r="AO49" s="68" t="str">
        <f>AA49</f>
        <v>A(1)=</v>
      </c>
      <c r="AP49" s="68" t="e">
        <f>VLOOKUP(AO49,Rise_Results,2,FALSE)</f>
        <v>#N/A</v>
      </c>
      <c r="AQ49" s="76">
        <f>N49</f>
        <v>42.573333333333331</v>
      </c>
      <c r="AR49" s="76" t="e">
        <f>IF(OR(AB49&lt;=0,AB50&lt;=0),1/0,AB49)</f>
        <v>#VALUE!</v>
      </c>
      <c r="AS49" s="76">
        <f>AM49</f>
        <v>42.537499999999994</v>
      </c>
      <c r="AT49">
        <f>IFERROR(AP49,IFERROR(AQ49,IFERROR(AR49,AS49)))</f>
        <v>42.573333333333331</v>
      </c>
      <c r="AU49" s="81"/>
    </row>
    <row r="50" spans="1:47" x14ac:dyDescent="0.25">
      <c r="A50" s="84">
        <f>A49+1</f>
        <v>5</v>
      </c>
      <c r="B50" s="84">
        <f t="shared" si="11"/>
        <v>1</v>
      </c>
      <c r="F50" s="82">
        <f>SUM(F47:F49)</f>
        <v>65.47</v>
      </c>
      <c r="H50" s="82">
        <f>SUM(H47:H49)</f>
        <v>49.164999999999999</v>
      </c>
      <c r="I50" s="84" t="str">
        <f>CONCATENATE("m'(",C49,")=")</f>
        <v>m'(1)=</v>
      </c>
      <c r="J50" s="84">
        <f>2*(J47*(WLS))/3*H50</f>
        <v>32.776666666666664</v>
      </c>
      <c r="K50" s="84" t="str">
        <f>CONCATENATE("M(",C47,")=")</f>
        <v>M(0.5)=</v>
      </c>
      <c r="L50" s="84">
        <f>VLOOKUP(C47,STN_TABLE,4,FALSE)</f>
        <v>10.549999999999999</v>
      </c>
      <c r="M50" t="str">
        <f>CONCATENATE("M(",C49,")=")</f>
        <v>M(1)=</v>
      </c>
      <c r="N50">
        <f>J50+L50</f>
        <v>43.326666666666661</v>
      </c>
      <c r="O50" s="99">
        <f>O49+1</f>
        <v>7</v>
      </c>
      <c r="P50" s="99">
        <f t="shared" si="10"/>
        <v>3</v>
      </c>
      <c r="T50" s="89" t="e">
        <f>SUM(T47:T49)</f>
        <v>#N/A</v>
      </c>
      <c r="V50" s="82" t="e">
        <f>SUM(V47:V49)</f>
        <v>#N/A</v>
      </c>
      <c r="W50" s="84" t="str">
        <f>CONCATENATE("m'(",Q48,")=")</f>
        <v>m'(1)=</v>
      </c>
      <c r="X50" s="84" t="e">
        <f>(2*(X47^2)/24*V50)+(X49*Q47*WLS)</f>
        <v>#VALUE!</v>
      </c>
      <c r="Y50" s="84" t="str">
        <f>CONCATENATE("M(",Q47,")=")</f>
        <v>M(-)=</v>
      </c>
      <c r="Z50" s="84" t="e">
        <f>VLOOKUP(Q47,STN_TABLE,4,FALSE)</f>
        <v>#N/A</v>
      </c>
      <c r="AA50" t="str">
        <f>CONCATENATE("M(",Q48,")=")</f>
        <v>M(1)=</v>
      </c>
      <c r="AB50" t="e">
        <f>X50+Z50</f>
        <v>#VALUE!</v>
      </c>
      <c r="AE50" s="89">
        <f>SUM(AE48:AE49)</f>
        <v>21.93</v>
      </c>
      <c r="AG50" s="89">
        <f>SUM(AG48:AG49)</f>
        <v>32.93</v>
      </c>
      <c r="AH50" s="84" t="str">
        <f>CONCATENATE("m'(",AD49,")=")</f>
        <v>m'(1)=</v>
      </c>
      <c r="AI50" s="84">
        <f>(2*(AI47^2)/6*AG50)+(AI49*AD48*WLS)</f>
        <v>19.191666666666663</v>
      </c>
      <c r="AJ50" s="84" t="str">
        <f>CONCATENATE("M(",AD48,")=")</f>
        <v>M(0.75)=</v>
      </c>
      <c r="AK50" s="84">
        <f>VLOOKUP(AD48,STN_TABLE,4,FALSE)</f>
        <v>24.099374999999998</v>
      </c>
      <c r="AL50" t="str">
        <f>CONCATENATE("M(",AD49,")=")</f>
        <v>M(1)=</v>
      </c>
      <c r="AM50">
        <f>AI50+AK50</f>
        <v>43.291041666666658</v>
      </c>
      <c r="AO50" s="82" t="str">
        <f>AA50</f>
        <v>M(1)=</v>
      </c>
      <c r="AP50" s="82" t="e">
        <f>VLOOKUP(AO50,Rise_Results,2,FALSE)</f>
        <v>#N/A</v>
      </c>
      <c r="AQ50" s="82">
        <f>N50</f>
        <v>43.326666666666661</v>
      </c>
      <c r="AR50" s="82" t="e">
        <f>IF(OR(AB49&lt;=0,AB50&lt;=0),1/0,AB50)</f>
        <v>#VALUE!</v>
      </c>
      <c r="AS50" s="82">
        <f>AM50</f>
        <v>43.291041666666658</v>
      </c>
      <c r="AT50">
        <f>IFERROR(AP50,IFERROR(AQ50,IFERROR(AR50,AS50)))</f>
        <v>43.326666666666661</v>
      </c>
      <c r="AU50" s="81"/>
    </row>
    <row r="51" spans="1:47" x14ac:dyDescent="0.25">
      <c r="A51" s="101">
        <f>A46+1</f>
        <v>2</v>
      </c>
      <c r="B51" s="101">
        <f t="shared" si="11"/>
        <v>0.25</v>
      </c>
      <c r="O51" s="101">
        <f>O46+1</f>
        <v>4</v>
      </c>
      <c r="P51" s="101">
        <f t="shared" si="10"/>
        <v>0.75</v>
      </c>
      <c r="AU51" s="81"/>
    </row>
    <row r="52" spans="1:47" x14ac:dyDescent="0.25">
      <c r="A52" s="84">
        <f>A51+1</f>
        <v>3</v>
      </c>
      <c r="B52" s="84">
        <f t="shared" si="11"/>
        <v>0.5</v>
      </c>
      <c r="C52" s="79" t="str">
        <f t="shared" ref="C52" si="12">IF(C53=B54,IF(C54-C53=C53-B53,B53,IF(C54-C53=C53-B52,B52,"#NA")),IF(C53=B53,IF(C54-C53=C53-B52,B52,IF(C54-C53=C53-B51,B51,"#NA")),"#NA"))</f>
        <v>#NA</v>
      </c>
      <c r="D52" s="68" t="e">
        <f>VLOOKUP(C52,STN_TABLE,2,FALSE)</f>
        <v>#N/A</v>
      </c>
      <c r="E52" s="102">
        <v>1</v>
      </c>
      <c r="F52" s="68" t="e">
        <f>D52*E52</f>
        <v>#N/A</v>
      </c>
      <c r="G52" s="69" t="str">
        <f>C52</f>
        <v>#NA</v>
      </c>
      <c r="H52" s="69" t="e">
        <f>F52*G52</f>
        <v>#N/A</v>
      </c>
      <c r="I52" s="6" t="s">
        <v>93</v>
      </c>
      <c r="J52" s="70" t="e">
        <f>IF(OR(D52=0,D53=0,D54=0),"#NA",IF(AND(C54-C53=C53-C52,C53&lt;&gt;C54,C52&lt;&gt;C53,C52&lt;&gt;C54,D54&lt;&gt;0,OR(D52&lt;&gt;0,D53&lt;&gt;0)),WLS*(C54-C53),"#NA"))</f>
        <v>#N/A</v>
      </c>
      <c r="O52" s="99">
        <f>O51+1</f>
        <v>5</v>
      </c>
      <c r="P52" s="99">
        <f t="shared" si="10"/>
        <v>1</v>
      </c>
      <c r="Q52" s="68">
        <f>IF(OR(P54-P53=P53-P52,P55-P53=P53-P52),P52,IF(OR(P54-P53=P53-P51,P55-P53=P53-P51),P51,"-"))</f>
        <v>1</v>
      </c>
      <c r="R52" s="69">
        <f>VLOOKUP(Q52,STN_TABLE,2,FALSE)</f>
        <v>11</v>
      </c>
      <c r="S52" s="69">
        <v>5</v>
      </c>
      <c r="T52" s="68">
        <f>R52*S52</f>
        <v>55</v>
      </c>
      <c r="U52" s="79">
        <v>3</v>
      </c>
      <c r="V52" s="68">
        <f>R52*U52</f>
        <v>33</v>
      </c>
      <c r="W52" s="6" t="s">
        <v>93</v>
      </c>
      <c r="X52" s="70">
        <f>IF(AND(Q54-Q53=Q53-Q52,NOT(AND(Q52=0,Q53=0)),NOT(AND(Q53=0,Q54=0))),WLS*(Q54-Q53),"#NA")</f>
        <v>2</v>
      </c>
      <c r="AD52" s="93"/>
      <c r="AH52" s="6" t="s">
        <v>93</v>
      </c>
      <c r="AI52" s="70">
        <f>WLS*(AD54-AD53)</f>
        <v>2</v>
      </c>
      <c r="AU52" s="81"/>
    </row>
    <row r="53" spans="1:47" x14ac:dyDescent="0.25">
      <c r="A53" s="84">
        <f>A52+1</f>
        <v>4</v>
      </c>
      <c r="B53" s="84">
        <f t="shared" si="11"/>
        <v>0.75</v>
      </c>
      <c r="C53" s="80" t="str">
        <f t="shared" ref="C53" si="13">IF(OR(B55-B54=B54-B53,B55-B54=B54-B52,B55-B54=B54-B51),B54,IF(OR(B55-B53=B53-B52,B55-B53=B53-B51),B53,IF(B55-B52=B52-B51,B52,"#NA")))</f>
        <v>#NA</v>
      </c>
      <c r="D53" s="76" t="e">
        <f>VLOOKUP(C53,STN_TABLE,2,FALSE)</f>
        <v>#N/A</v>
      </c>
      <c r="E53" s="81">
        <v>4</v>
      </c>
      <c r="F53" s="76" t="e">
        <f>D53*E53</f>
        <v>#N/A</v>
      </c>
      <c r="G53" s="77" t="str">
        <f>C53</f>
        <v>#NA</v>
      </c>
      <c r="H53" s="77" t="e">
        <f>F53*G53</f>
        <v>#N/A</v>
      </c>
      <c r="I53" s="495" t="s">
        <v>97</v>
      </c>
      <c r="J53" s="496"/>
      <c r="K53" s="78" t="s">
        <v>98</v>
      </c>
      <c r="L53" s="78"/>
      <c r="M53" s="7" t="s">
        <v>99</v>
      </c>
      <c r="N53" s="7"/>
      <c r="O53" s="99">
        <f>O52+1</f>
        <v>6</v>
      </c>
      <c r="P53" s="99">
        <f t="shared" si="10"/>
        <v>2</v>
      </c>
      <c r="Q53" s="76">
        <f>P53</f>
        <v>2</v>
      </c>
      <c r="R53" s="77">
        <f>VLOOKUP(Q53,STN_TABLE,2,FALSE)</f>
        <v>11</v>
      </c>
      <c r="S53" s="77">
        <v>8</v>
      </c>
      <c r="T53" s="76">
        <f>R53*S53</f>
        <v>88</v>
      </c>
      <c r="U53" s="80">
        <v>10</v>
      </c>
      <c r="V53" s="76">
        <f>R53*U53</f>
        <v>110</v>
      </c>
      <c r="W53" s="496" t="s">
        <v>97</v>
      </c>
      <c r="X53" s="496"/>
      <c r="Y53" s="496" t="s">
        <v>98</v>
      </c>
      <c r="Z53" s="496"/>
      <c r="AA53" s="494" t="s">
        <v>99</v>
      </c>
      <c r="AB53" s="494"/>
      <c r="AC53" s="99">
        <f>AC48+1</f>
        <v>5</v>
      </c>
      <c r="AD53" s="95">
        <f>VLOOKUP(AC53,STN_TABLE_2,2,FALSE)</f>
        <v>1</v>
      </c>
      <c r="AE53" s="68">
        <f>VLOOKUP(AD53,STN_TABLE,2,FALSE)</f>
        <v>11</v>
      </c>
      <c r="AF53" s="68">
        <v>1</v>
      </c>
      <c r="AG53" s="69">
        <f>AE53*AF53</f>
        <v>11</v>
      </c>
      <c r="AH53" s="496" t="s">
        <v>97</v>
      </c>
      <c r="AI53" s="496"/>
      <c r="AJ53" s="496" t="s">
        <v>98</v>
      </c>
      <c r="AK53" s="496"/>
      <c r="AL53" s="494" t="s">
        <v>99</v>
      </c>
      <c r="AM53" s="494"/>
      <c r="AP53" s="86" t="s">
        <v>112</v>
      </c>
      <c r="AQ53" s="89" t="s">
        <v>113</v>
      </c>
      <c r="AR53" s="89" t="s">
        <v>114</v>
      </c>
      <c r="AS53" s="89" t="s">
        <v>115</v>
      </c>
      <c r="AU53" s="81"/>
    </row>
    <row r="54" spans="1:47" x14ac:dyDescent="0.25">
      <c r="A54" s="84">
        <f>A53+1</f>
        <v>5</v>
      </c>
      <c r="B54" s="84">
        <f t="shared" si="11"/>
        <v>1</v>
      </c>
      <c r="C54" s="88">
        <f t="shared" ref="C54" si="14">B55</f>
        <v>2</v>
      </c>
      <c r="D54" s="82">
        <f>VLOOKUP(C54,STN_TABLE,2,FALSE)</f>
        <v>11</v>
      </c>
      <c r="E54" s="92">
        <v>1</v>
      </c>
      <c r="F54" s="82">
        <f>D54*E54</f>
        <v>11</v>
      </c>
      <c r="G54" s="83">
        <f>C54</f>
        <v>2</v>
      </c>
      <c r="H54" s="83">
        <f>F54*G54</f>
        <v>22</v>
      </c>
      <c r="I54" s="84" t="str">
        <f>CONCATENATE("a'(",C54,")=")</f>
        <v>a'(2)=</v>
      </c>
      <c r="J54" s="84" t="e">
        <f>2*J52/3*F55</f>
        <v>#N/A</v>
      </c>
      <c r="K54" s="84" t="str">
        <f>CONCATENATE("A(",C52,")=")</f>
        <v>A(#NA)=</v>
      </c>
      <c r="L54" s="84" t="e">
        <f>VLOOKUP(C52,STN_TABLE,3,FALSE)</f>
        <v>#N/A</v>
      </c>
      <c r="M54" t="str">
        <f>CONCATENATE("A(",C54,")=")</f>
        <v>A(2)=</v>
      </c>
      <c r="N54" t="e">
        <f>J54+L54</f>
        <v>#N/A</v>
      </c>
      <c r="O54" s="99">
        <f>O53+1</f>
        <v>7</v>
      </c>
      <c r="P54" s="99">
        <f t="shared" si="10"/>
        <v>3</v>
      </c>
      <c r="Q54" s="82">
        <f>IF(P54-P53=P53-P52,P54,IF(P55-P53=P53-P52,P55,IF(P54-P53=P53-P51,P54,IF(P55-P53=P53-P51,P55,"-"))))</f>
        <v>3</v>
      </c>
      <c r="R54" s="83">
        <f>VLOOKUP(Q54,STN_TABLE,2,FALSE)</f>
        <v>11</v>
      </c>
      <c r="S54" s="83">
        <v>-1</v>
      </c>
      <c r="T54" s="82">
        <f>R54*S54</f>
        <v>-11</v>
      </c>
      <c r="U54" s="88">
        <v>-1</v>
      </c>
      <c r="V54" s="82">
        <f>R54*U54</f>
        <v>-11</v>
      </c>
      <c r="W54" s="84" t="str">
        <f>CONCATENATE("a'(",Q53,")=")</f>
        <v>a'(2)=</v>
      </c>
      <c r="X54" s="84">
        <f>2*X52/12*T55</f>
        <v>44</v>
      </c>
      <c r="Y54" s="84" t="str">
        <f>CONCATENATE("A(",Q52,")=")</f>
        <v>A(1)=</v>
      </c>
      <c r="Z54" s="84">
        <f>VLOOKUP(Q52,STN_TABLE,3,FALSE)</f>
        <v>42.573333333333331</v>
      </c>
      <c r="AA54" t="str">
        <f>CONCATENATE("A(",Q53,")=")</f>
        <v>A(2)=</v>
      </c>
      <c r="AB54">
        <f>X54+Z54</f>
        <v>86.573333333333323</v>
      </c>
      <c r="AC54" s="99">
        <f>AC53+1</f>
        <v>6</v>
      </c>
      <c r="AD54" s="100">
        <f>VLOOKUP(AC54,STN_TABLE_2,2,FALSE)</f>
        <v>2</v>
      </c>
      <c r="AE54" s="82">
        <f>VLOOKUP(AD54,STN_TABLE,2,FALSE)</f>
        <v>11</v>
      </c>
      <c r="AF54" s="82">
        <v>2</v>
      </c>
      <c r="AG54" s="83">
        <f>AE54*AF54</f>
        <v>22</v>
      </c>
      <c r="AH54" s="84" t="str">
        <f>CONCATENATE("a'(",AD54,")=")</f>
        <v>a'(2)=</v>
      </c>
      <c r="AI54" s="84">
        <f>2*AI52/2*AE55</f>
        <v>44</v>
      </c>
      <c r="AJ54" s="84" t="str">
        <f>CONCATENATE("A(",AD53,")=")</f>
        <v>A(1)=</v>
      </c>
      <c r="AK54" s="84">
        <f>VLOOKUP(AD53,STN_TABLE,3,FALSE)</f>
        <v>42.573333333333331</v>
      </c>
      <c r="AL54" t="str">
        <f>CONCATENATE("A(",AD54,")=")</f>
        <v>A(2)=</v>
      </c>
      <c r="AM54">
        <f>AI54+AK54</f>
        <v>86.573333333333323</v>
      </c>
      <c r="AO54" s="68" t="str">
        <f>AA54</f>
        <v>A(2)=</v>
      </c>
      <c r="AP54" s="68" t="e">
        <f>VLOOKUP(AO54,Rise_Results,2,FALSE)</f>
        <v>#N/A</v>
      </c>
      <c r="AQ54" s="76" t="e">
        <f>N54</f>
        <v>#N/A</v>
      </c>
      <c r="AR54" s="76">
        <f>IF(OR(AB54&lt;=0,AB55&lt;=0),1/0,AB54)</f>
        <v>86.573333333333323</v>
      </c>
      <c r="AS54" s="76">
        <f>AM54</f>
        <v>86.573333333333323</v>
      </c>
      <c r="AT54">
        <f>IFERROR(AP54,IFERROR(AQ54,IFERROR(AR54,AS54)))</f>
        <v>86.573333333333323</v>
      </c>
      <c r="AU54" s="81"/>
    </row>
    <row r="55" spans="1:47" x14ac:dyDescent="0.25">
      <c r="A55" s="84">
        <f>A54+1</f>
        <v>6</v>
      </c>
      <c r="B55" s="84">
        <f t="shared" si="11"/>
        <v>2</v>
      </c>
      <c r="F55" s="82" t="e">
        <f>SUM(F52:F54)</f>
        <v>#N/A</v>
      </c>
      <c r="H55" s="82" t="e">
        <f>SUM(H52:H54)</f>
        <v>#N/A</v>
      </c>
      <c r="I55" s="84" t="str">
        <f>CONCATENATE("m'(",C54,")=")</f>
        <v>m'(2)=</v>
      </c>
      <c r="J55" s="84" t="e">
        <f>2*(J52*(WLS))/3*H55</f>
        <v>#N/A</v>
      </c>
      <c r="K55" s="84" t="str">
        <f>CONCATENATE("M(",C52,")=")</f>
        <v>M(#NA)=</v>
      </c>
      <c r="L55" s="84" t="e">
        <f>VLOOKUP(C52,STN_TABLE,4,FALSE)</f>
        <v>#N/A</v>
      </c>
      <c r="M55" t="str">
        <f>CONCATENATE("M(",C54,")=")</f>
        <v>M(2)=</v>
      </c>
      <c r="N55" t="e">
        <f>J55+L55</f>
        <v>#N/A</v>
      </c>
      <c r="O55" s="99">
        <f>O54+1</f>
        <v>8</v>
      </c>
      <c r="P55" s="99">
        <f t="shared" si="10"/>
        <v>4</v>
      </c>
      <c r="T55" s="89">
        <f>SUM(T52:T54)</f>
        <v>132</v>
      </c>
      <c r="V55" s="82">
        <f>SUM(V52:V54)</f>
        <v>132</v>
      </c>
      <c r="W55" s="84" t="str">
        <f>CONCATENATE("m'(",Q53,")=")</f>
        <v>m'(2)=</v>
      </c>
      <c r="X55" s="84">
        <f>(2*(X52^2)/24*V55)+(X54*Q52*WLS)</f>
        <v>132</v>
      </c>
      <c r="Y55" s="84" t="str">
        <f>CONCATENATE("M(",Q52,")=")</f>
        <v>M(1)=</v>
      </c>
      <c r="Z55" s="84">
        <f>VLOOKUP(Q52,STN_TABLE,4,FALSE)</f>
        <v>43.326666666666661</v>
      </c>
      <c r="AA55" t="str">
        <f>CONCATENATE("M(",Q53,")=")</f>
        <v>M(2)=</v>
      </c>
      <c r="AB55">
        <f>X55+Z55</f>
        <v>175.32666666666665</v>
      </c>
      <c r="AE55" s="89">
        <f>SUM(AE53:AE54)</f>
        <v>22</v>
      </c>
      <c r="AG55" s="89">
        <f>SUM(AG53:AG54)</f>
        <v>33</v>
      </c>
      <c r="AH55" s="84" t="str">
        <f>CONCATENATE("m'(",AD54,")=")</f>
        <v>m'(2)=</v>
      </c>
      <c r="AI55" s="84">
        <f>(2*(AI52^2)/6*AG55)+(AI54*AD53*WLS)</f>
        <v>132</v>
      </c>
      <c r="AJ55" s="84" t="str">
        <f>CONCATENATE("M(",AD53,")=")</f>
        <v>M(1)=</v>
      </c>
      <c r="AK55" s="84">
        <f>VLOOKUP(AD53,STN_TABLE,4,FALSE)</f>
        <v>43.326666666666661</v>
      </c>
      <c r="AL55" t="str">
        <f>CONCATENATE("M(",AD54,")=")</f>
        <v>M(2)=</v>
      </c>
      <c r="AM55">
        <f>AI55+AK55</f>
        <v>175.32666666666665</v>
      </c>
      <c r="AO55" s="82" t="str">
        <f>AA55</f>
        <v>M(2)=</v>
      </c>
      <c r="AP55" s="82" t="e">
        <f>VLOOKUP(AO55,Rise_Results,2,FALSE)</f>
        <v>#N/A</v>
      </c>
      <c r="AQ55" s="82" t="e">
        <f>N55</f>
        <v>#N/A</v>
      </c>
      <c r="AR55" s="82">
        <f>IF(OR(AB54&lt;=0,AB55&lt;=0),1/0,AB55)</f>
        <v>175.32666666666665</v>
      </c>
      <c r="AS55" s="82">
        <f>AM55</f>
        <v>175.32666666666665</v>
      </c>
      <c r="AT55">
        <f>IFERROR(AP55,IFERROR(AQ55,IFERROR(AR55,AS55)))</f>
        <v>175.32666666666665</v>
      </c>
      <c r="AU55" s="81"/>
    </row>
    <row r="56" spans="1:47" x14ac:dyDescent="0.25">
      <c r="A56" s="101">
        <f>A51+1</f>
        <v>3</v>
      </c>
      <c r="B56" s="101">
        <f t="shared" si="11"/>
        <v>0.5</v>
      </c>
      <c r="O56" s="101">
        <f>O51+1</f>
        <v>5</v>
      </c>
      <c r="P56" s="101">
        <f t="shared" si="10"/>
        <v>1</v>
      </c>
      <c r="AU56" s="81"/>
    </row>
    <row r="57" spans="1:47" x14ac:dyDescent="0.25">
      <c r="A57" s="84">
        <f>A56+1</f>
        <v>4</v>
      </c>
      <c r="B57" s="84">
        <f t="shared" si="11"/>
        <v>0.75</v>
      </c>
      <c r="C57" s="79">
        <f t="shared" ref="C57" si="15">IF(C58=B59,IF(C59-C58=C58-B58,B58,IF(C59-C58=C58-B57,B57,"#NA")),IF(C58=B58,IF(C59-C58=C58-B57,B57,IF(C59-C58=C58-B56,B56,"#NA")),"#NA"))</f>
        <v>1</v>
      </c>
      <c r="D57" s="68">
        <f>VLOOKUP(C57,STN_TABLE,2,FALSE)</f>
        <v>11</v>
      </c>
      <c r="E57" s="102">
        <v>1</v>
      </c>
      <c r="F57" s="68">
        <f>D57*E57</f>
        <v>11</v>
      </c>
      <c r="G57" s="69">
        <f>C57</f>
        <v>1</v>
      </c>
      <c r="H57" s="69">
        <f>F57*G57</f>
        <v>11</v>
      </c>
      <c r="I57" s="6" t="s">
        <v>93</v>
      </c>
      <c r="J57" s="70">
        <f>IF(OR(D57=0,D58=0,D59=0),"#NA",IF(AND(C59-C58=C58-C57,C58&lt;&gt;C59,C57&lt;&gt;C58,C57&lt;&gt;C59,D59&lt;&gt;0,OR(D57&lt;&gt;0,D58&lt;&gt;0)),WLS*(C59-C58),"#NA"))</f>
        <v>2</v>
      </c>
      <c r="O57" s="99">
        <f>O56+1</f>
        <v>6</v>
      </c>
      <c r="P57" s="99">
        <f t="shared" si="10"/>
        <v>2</v>
      </c>
      <c r="Q57" s="68">
        <f>IF(OR(P59-P58=P58-P57,P60-P58=P58-P57),P57,IF(OR(P59-P58=P58-P56,P60-P58=P58-P56),P56,"-"))</f>
        <v>2</v>
      </c>
      <c r="R57" s="69">
        <f>VLOOKUP(Q57,STN_TABLE,2,FALSE)</f>
        <v>11</v>
      </c>
      <c r="S57" s="69">
        <v>5</v>
      </c>
      <c r="T57" s="68">
        <f>R57*S57</f>
        <v>55</v>
      </c>
      <c r="U57" s="79">
        <v>3</v>
      </c>
      <c r="V57" s="68">
        <f>R57*U57</f>
        <v>33</v>
      </c>
      <c r="W57" s="6" t="s">
        <v>93</v>
      </c>
      <c r="X57" s="70">
        <f>IF(AND(Q59-Q58=Q58-Q57,NOT(AND(Q57=0,Q58=0)),NOT(AND(Q58=0,Q59=0))),WLS*(Q59-Q58),"#NA")</f>
        <v>2</v>
      </c>
      <c r="AD57" s="93"/>
      <c r="AH57" s="6" t="s">
        <v>93</v>
      </c>
      <c r="AI57" s="70">
        <f>WLS*(AD59-AD58)</f>
        <v>2</v>
      </c>
      <c r="AU57" s="81"/>
    </row>
    <row r="58" spans="1:47" x14ac:dyDescent="0.25">
      <c r="A58" s="84">
        <f>A57+1</f>
        <v>5</v>
      </c>
      <c r="B58" s="84">
        <f t="shared" si="11"/>
        <v>1</v>
      </c>
      <c r="C58" s="80">
        <f t="shared" ref="C58" si="16">IF(OR(B60-B59=B59-B58,B60-B59=B59-B57,B60-B59=B59-B56),B59,IF(OR(B60-B58=B58-B57,B60-B58=B58-B56),B58,IF(B60-B57=B57-B56,B57,"#NA")))</f>
        <v>2</v>
      </c>
      <c r="D58" s="76">
        <f>VLOOKUP(C58,STN_TABLE,2,FALSE)</f>
        <v>11</v>
      </c>
      <c r="E58" s="81">
        <v>4</v>
      </c>
      <c r="F58" s="76">
        <f>D58*E58</f>
        <v>44</v>
      </c>
      <c r="G58" s="77">
        <f>C58</f>
        <v>2</v>
      </c>
      <c r="H58" s="77">
        <f>F58*G58</f>
        <v>88</v>
      </c>
      <c r="I58" s="495" t="s">
        <v>97</v>
      </c>
      <c r="J58" s="496"/>
      <c r="K58" s="78" t="s">
        <v>98</v>
      </c>
      <c r="L58" s="78"/>
      <c r="M58" s="7" t="s">
        <v>99</v>
      </c>
      <c r="N58" s="7"/>
      <c r="O58" s="99">
        <f>O57+1</f>
        <v>7</v>
      </c>
      <c r="P58" s="99">
        <f t="shared" si="10"/>
        <v>3</v>
      </c>
      <c r="Q58" s="76">
        <f>P58</f>
        <v>3</v>
      </c>
      <c r="R58" s="77">
        <f>VLOOKUP(Q58,STN_TABLE,2,FALSE)</f>
        <v>11</v>
      </c>
      <c r="S58" s="77">
        <v>8</v>
      </c>
      <c r="T58" s="76">
        <f>R58*S58</f>
        <v>88</v>
      </c>
      <c r="U58" s="80">
        <v>10</v>
      </c>
      <c r="V58" s="76">
        <f>R58*U58</f>
        <v>110</v>
      </c>
      <c r="W58" s="78" t="s">
        <v>97</v>
      </c>
      <c r="X58" s="78"/>
      <c r="Y58" s="78" t="s">
        <v>98</v>
      </c>
      <c r="Z58" s="78"/>
      <c r="AA58" s="7" t="s">
        <v>99</v>
      </c>
      <c r="AB58" s="7"/>
      <c r="AC58" s="99">
        <f>AC53+1</f>
        <v>6</v>
      </c>
      <c r="AD58" s="95">
        <f>VLOOKUP(AC58,STN_TABLE_2,2,FALSE)</f>
        <v>2</v>
      </c>
      <c r="AE58" s="68">
        <f>VLOOKUP(AD58,STN_TABLE,2,FALSE)</f>
        <v>11</v>
      </c>
      <c r="AF58" s="68">
        <v>1</v>
      </c>
      <c r="AG58" s="69">
        <f>AE58*AF58</f>
        <v>11</v>
      </c>
      <c r="AH58" s="496" t="s">
        <v>97</v>
      </c>
      <c r="AI58" s="496"/>
      <c r="AJ58" s="496" t="s">
        <v>98</v>
      </c>
      <c r="AK58" s="496"/>
      <c r="AL58" s="494" t="s">
        <v>99</v>
      </c>
      <c r="AM58" s="494"/>
      <c r="AP58" s="86" t="s">
        <v>112</v>
      </c>
      <c r="AQ58" s="89" t="s">
        <v>113</v>
      </c>
      <c r="AR58" s="89" t="s">
        <v>114</v>
      </c>
      <c r="AS58" s="89" t="s">
        <v>115</v>
      </c>
      <c r="AU58" s="81"/>
    </row>
    <row r="59" spans="1:47" x14ac:dyDescent="0.25">
      <c r="A59" s="84">
        <f>A58+1</f>
        <v>6</v>
      </c>
      <c r="B59" s="84">
        <f t="shared" si="11"/>
        <v>2</v>
      </c>
      <c r="C59" s="88">
        <f t="shared" ref="C59" si="17">B60</f>
        <v>3</v>
      </c>
      <c r="D59" s="82">
        <f>VLOOKUP(C59,STN_TABLE,2,FALSE)</f>
        <v>11</v>
      </c>
      <c r="E59" s="92">
        <v>1</v>
      </c>
      <c r="F59" s="82">
        <f>D59*E59</f>
        <v>11</v>
      </c>
      <c r="G59" s="83">
        <f>C59</f>
        <v>3</v>
      </c>
      <c r="H59" s="83">
        <f>F59*G59</f>
        <v>33</v>
      </c>
      <c r="I59" s="84" t="str">
        <f>CONCATENATE("a'(",C59,")=")</f>
        <v>a'(3)=</v>
      </c>
      <c r="J59" s="84">
        <f>2*J57/3*F60</f>
        <v>88</v>
      </c>
      <c r="K59" s="84" t="str">
        <f>CONCATENATE("A(",C57,")=")</f>
        <v>A(1)=</v>
      </c>
      <c r="L59" s="84">
        <f>VLOOKUP(C57,STN_TABLE,3,FALSE)</f>
        <v>42.573333333333331</v>
      </c>
      <c r="M59" t="str">
        <f>CONCATENATE("A(",C59,")=")</f>
        <v>A(3)=</v>
      </c>
      <c r="N59">
        <f>J59+L59</f>
        <v>130.57333333333332</v>
      </c>
      <c r="O59" s="99">
        <f>O58+1</f>
        <v>8</v>
      </c>
      <c r="P59" s="99">
        <f t="shared" si="10"/>
        <v>4</v>
      </c>
      <c r="Q59" s="82">
        <f>IF(P59-P58=P58-P57,P59,IF(P60-P58=P58-P57,P60,IF(P59-P58=P58-P56,P59,IF(P60-P58=P58-P56,P60,"-"))))</f>
        <v>4</v>
      </c>
      <c r="R59" s="83">
        <f>VLOOKUP(Q59,STN_TABLE,2,FALSE)</f>
        <v>11</v>
      </c>
      <c r="S59" s="83">
        <v>-1</v>
      </c>
      <c r="T59" s="82">
        <f>R59*S59</f>
        <v>-11</v>
      </c>
      <c r="U59" s="88">
        <v>-1</v>
      </c>
      <c r="V59" s="82">
        <f>R59*U59</f>
        <v>-11</v>
      </c>
      <c r="W59" s="84" t="str">
        <f>CONCATENATE("a'(",Q58,")=")</f>
        <v>a'(3)=</v>
      </c>
      <c r="X59" s="84">
        <f>2*X57/12*T60</f>
        <v>44</v>
      </c>
      <c r="Y59" s="84" t="str">
        <f>CONCATENATE("A(",Q57,")=")</f>
        <v>A(2)=</v>
      </c>
      <c r="Z59" s="84">
        <f>VLOOKUP(Q57,STN_TABLE,3,FALSE)</f>
        <v>86.573333333333323</v>
      </c>
      <c r="AA59" t="str">
        <f>CONCATENATE("A(",Q58,")=")</f>
        <v>A(3)=</v>
      </c>
      <c r="AB59">
        <f>X59+Z59</f>
        <v>130.57333333333332</v>
      </c>
      <c r="AC59" s="99">
        <f>AC58+1</f>
        <v>7</v>
      </c>
      <c r="AD59" s="100">
        <f>VLOOKUP(AC59,STN_TABLE_2,2,FALSE)</f>
        <v>3</v>
      </c>
      <c r="AE59" s="82">
        <f>VLOOKUP(AD59,STN_TABLE,2,FALSE)</f>
        <v>11</v>
      </c>
      <c r="AF59" s="82">
        <v>2</v>
      </c>
      <c r="AG59" s="83">
        <f>AE59*AF59</f>
        <v>22</v>
      </c>
      <c r="AH59" s="84" t="str">
        <f>CONCATENATE("a'(",AD59,")=")</f>
        <v>a'(3)=</v>
      </c>
      <c r="AI59" s="84">
        <f>2*AI57/2*AE60</f>
        <v>44</v>
      </c>
      <c r="AJ59" s="84" t="str">
        <f>CONCATENATE("A(",AD58,")=")</f>
        <v>A(2)=</v>
      </c>
      <c r="AK59" s="84">
        <f>VLOOKUP(AD58,STN_TABLE,3,FALSE)</f>
        <v>86.573333333333323</v>
      </c>
      <c r="AL59" t="str">
        <f>CONCATENATE("A(",AD59,")=")</f>
        <v>A(3)=</v>
      </c>
      <c r="AM59">
        <f>AI59+AK59</f>
        <v>130.57333333333332</v>
      </c>
      <c r="AO59" s="68" t="str">
        <f>AA59</f>
        <v>A(3)=</v>
      </c>
      <c r="AP59" s="68" t="e">
        <f>VLOOKUP(AO59,Rise_Results,2,FALSE)</f>
        <v>#N/A</v>
      </c>
      <c r="AQ59" s="76">
        <f>N59</f>
        <v>130.57333333333332</v>
      </c>
      <c r="AR59" s="76">
        <f>IF(OR(AB59&lt;=0,AB60&lt;=0),1/0,AB59)</f>
        <v>130.57333333333332</v>
      </c>
      <c r="AS59" s="76">
        <f>AM59</f>
        <v>130.57333333333332</v>
      </c>
      <c r="AT59">
        <f>IFERROR(AP59,IFERROR(AQ59,IFERROR(AR59,AS59)))</f>
        <v>130.57333333333332</v>
      </c>
      <c r="AU59" s="81"/>
    </row>
    <row r="60" spans="1:47" x14ac:dyDescent="0.25">
      <c r="A60" s="84">
        <f>A59+1</f>
        <v>7</v>
      </c>
      <c r="B60" s="84">
        <f t="shared" si="11"/>
        <v>3</v>
      </c>
      <c r="F60" s="82">
        <f>SUM(F57:F59)</f>
        <v>66</v>
      </c>
      <c r="H60" s="82">
        <f>SUM(H57:H59)</f>
        <v>132</v>
      </c>
      <c r="I60" s="84" t="str">
        <f>CONCATENATE("m'(",C59,")=")</f>
        <v>m'(3)=</v>
      </c>
      <c r="J60" s="84">
        <f>2*(J57*(WLS))/3*H60</f>
        <v>352</v>
      </c>
      <c r="K60" s="84" t="str">
        <f>CONCATENATE("M(",C57,")=")</f>
        <v>M(1)=</v>
      </c>
      <c r="L60" s="84">
        <f>VLOOKUP(C57,STN_TABLE,4,FALSE)</f>
        <v>43.326666666666661</v>
      </c>
      <c r="M60" t="str">
        <f>CONCATENATE("M(",C59,")=")</f>
        <v>M(3)=</v>
      </c>
      <c r="N60">
        <f>J60+L60</f>
        <v>395.32666666666665</v>
      </c>
      <c r="O60" s="99">
        <f>O59+1</f>
        <v>9</v>
      </c>
      <c r="P60" s="99">
        <f t="shared" si="10"/>
        <v>4.8499999999999996</v>
      </c>
      <c r="T60" s="89">
        <f>SUM(T57:T59)</f>
        <v>132</v>
      </c>
      <c r="V60" s="82">
        <f>SUM(V57:V59)</f>
        <v>132</v>
      </c>
      <c r="W60" s="84" t="str">
        <f>CONCATENATE("m'(",Q58,")=")</f>
        <v>m'(3)=</v>
      </c>
      <c r="X60" s="84">
        <f>(2*(X57^2)/24*V60)+(X59*Q57*WLS)</f>
        <v>220</v>
      </c>
      <c r="Y60" s="84" t="str">
        <f>CONCATENATE("M(",Q57,")=")</f>
        <v>M(2)=</v>
      </c>
      <c r="Z60" s="84">
        <f>VLOOKUP(Q57,STN_TABLE,4,FALSE)</f>
        <v>175.32666666666665</v>
      </c>
      <c r="AA60" t="str">
        <f>CONCATENATE("M(",Q58,")=")</f>
        <v>M(3)=</v>
      </c>
      <c r="AB60">
        <f>X60+Z60</f>
        <v>395.32666666666665</v>
      </c>
      <c r="AE60" s="89">
        <f>SUM(AE58:AE59)</f>
        <v>22</v>
      </c>
      <c r="AG60" s="89">
        <f>SUM(AG58:AG59)</f>
        <v>33</v>
      </c>
      <c r="AH60" s="84" t="str">
        <f>CONCATENATE("m'(",AD59,")=")</f>
        <v>m'(3)=</v>
      </c>
      <c r="AI60" s="84">
        <f>(2*(AI57^2)/6*AG60)+(AI59*AD58*WLS)</f>
        <v>220</v>
      </c>
      <c r="AJ60" s="84" t="str">
        <f>CONCATENATE("M(",AD58,")=")</f>
        <v>M(2)=</v>
      </c>
      <c r="AK60" s="84">
        <f>VLOOKUP(AD57,STN_TABLE,4,FALSE)</f>
        <v>0</v>
      </c>
      <c r="AL60" t="str">
        <f>CONCATENATE("M(",AD59,")=")</f>
        <v>M(3)=</v>
      </c>
      <c r="AM60">
        <f>AI60+AK60</f>
        <v>220</v>
      </c>
      <c r="AO60" s="82" t="str">
        <f>AA60</f>
        <v>M(3)=</v>
      </c>
      <c r="AP60" s="82" t="e">
        <f>VLOOKUP(AO60,Rise_Results,2,FALSE)</f>
        <v>#N/A</v>
      </c>
      <c r="AQ60" s="82">
        <f>N60</f>
        <v>395.32666666666665</v>
      </c>
      <c r="AR60" s="82">
        <f>IF(OR(AB59&lt;=0,AB60&lt;=0),1/0,AB60)</f>
        <v>395.32666666666665</v>
      </c>
      <c r="AS60" s="82">
        <f>AM60</f>
        <v>220</v>
      </c>
      <c r="AT60">
        <f>IFERROR(AP60,IFERROR(AQ60,IFERROR(AR60,AS60)))</f>
        <v>395.32666666666665</v>
      </c>
      <c r="AU60" s="81"/>
    </row>
    <row r="61" spans="1:47" x14ac:dyDescent="0.25">
      <c r="A61" s="101">
        <f>A56+1</f>
        <v>4</v>
      </c>
      <c r="B61" s="101">
        <f t="shared" si="11"/>
        <v>0.75</v>
      </c>
      <c r="O61" s="101">
        <f>O56+1</f>
        <v>6</v>
      </c>
      <c r="P61" s="101">
        <f t="shared" si="10"/>
        <v>2</v>
      </c>
      <c r="AU61" s="81"/>
    </row>
    <row r="62" spans="1:47" x14ac:dyDescent="0.25">
      <c r="A62" s="84">
        <f>A61+1</f>
        <v>5</v>
      </c>
      <c r="B62" s="84">
        <f t="shared" si="11"/>
        <v>1</v>
      </c>
      <c r="C62" s="79">
        <f t="shared" ref="C62" si="18">IF(C63=B64,IF(C64-C63=C63-B63,B63,IF(C64-C63=C63-B62,B62,"#NA")),IF(C63=B63,IF(C64-C63=C63-B62,B62,IF(C64-C63=C63-B61,B61,"#NA")),"#NA"))</f>
        <v>2</v>
      </c>
      <c r="D62" s="68">
        <f>VLOOKUP(C62,STN_TABLE,2,FALSE)</f>
        <v>11</v>
      </c>
      <c r="E62" s="102">
        <v>1</v>
      </c>
      <c r="F62" s="68">
        <f>D62*E62</f>
        <v>11</v>
      </c>
      <c r="G62" s="69">
        <f>C62</f>
        <v>2</v>
      </c>
      <c r="H62" s="69">
        <f>F62*G62</f>
        <v>22</v>
      </c>
      <c r="I62" s="6" t="s">
        <v>93</v>
      </c>
      <c r="J62" s="70">
        <f>IF(OR(D62=0,D63=0,D64=0),"#NA",IF(AND(C64-C63=C63-C62,C63&lt;&gt;C64,C62&lt;&gt;C63,C62&lt;&gt;C64,D64&lt;&gt;0,OR(D62&lt;&gt;0,D63&lt;&gt;0)),WLS*(C64-C63),"#NA"))</f>
        <v>2</v>
      </c>
      <c r="O62" s="99">
        <f>O61+1</f>
        <v>7</v>
      </c>
      <c r="P62" s="99">
        <f t="shared" si="10"/>
        <v>3</v>
      </c>
      <c r="Q62" s="68">
        <f>IF(OR(P64-P63=P63-P62,P65-P63=P63-P62),P62,IF(OR(P64-P63=P63-P61,P65-P63=P63-P61),P61,"-"))</f>
        <v>3</v>
      </c>
      <c r="R62" s="69">
        <f>VLOOKUP(Q62,STN_TABLE,2,FALSE)</f>
        <v>11</v>
      </c>
      <c r="S62" s="69">
        <v>5</v>
      </c>
      <c r="T62" s="68">
        <f>R62*S62</f>
        <v>55</v>
      </c>
      <c r="U62" s="79">
        <v>3</v>
      </c>
      <c r="V62" s="68">
        <f>R62*U62</f>
        <v>33</v>
      </c>
      <c r="W62" s="6" t="s">
        <v>93</v>
      </c>
      <c r="X62" s="70">
        <f>IF(AND(Q64-Q63=Q63-Q62,NOT(AND(Q62=0,Q63=0)),NOT(AND(Q63=0,Q64=0))),WLS*(Q64-Q63),"#NA")</f>
        <v>2</v>
      </c>
      <c r="AD62" s="93"/>
      <c r="AH62" s="6" t="s">
        <v>93</v>
      </c>
      <c r="AI62" s="70">
        <f>WLS*(AD64-AD63)</f>
        <v>2</v>
      </c>
      <c r="AU62" s="81"/>
    </row>
    <row r="63" spans="1:47" x14ac:dyDescent="0.25">
      <c r="A63" s="84">
        <f>A62+1</f>
        <v>6</v>
      </c>
      <c r="B63" s="84">
        <f t="shared" si="11"/>
        <v>2</v>
      </c>
      <c r="C63" s="80">
        <f t="shared" ref="C63" si="19">IF(OR(B65-B64=B64-B63,B65-B64=B64-B62,B65-B64=B64-B61),B64,IF(OR(B65-B63=B63-B62,B65-B63=B63-B61),B63,IF(B65-B62=B62-B61,B62,"#NA")))</f>
        <v>3</v>
      </c>
      <c r="D63" s="76">
        <f>VLOOKUP(C63,STN_TABLE,2,FALSE)</f>
        <v>11</v>
      </c>
      <c r="E63" s="81">
        <v>4</v>
      </c>
      <c r="F63" s="76">
        <f>D63*E63</f>
        <v>44</v>
      </c>
      <c r="G63" s="77">
        <f>C63</f>
        <v>3</v>
      </c>
      <c r="H63" s="77">
        <f>F63*G63</f>
        <v>132</v>
      </c>
      <c r="I63" s="495" t="s">
        <v>97</v>
      </c>
      <c r="J63" s="496"/>
      <c r="K63" s="78" t="s">
        <v>98</v>
      </c>
      <c r="L63" s="78"/>
      <c r="M63" s="7" t="s">
        <v>99</v>
      </c>
      <c r="N63" s="7"/>
      <c r="O63" s="99">
        <f>O62+1</f>
        <v>8</v>
      </c>
      <c r="P63" s="99">
        <f t="shared" si="10"/>
        <v>4</v>
      </c>
      <c r="Q63" s="76">
        <f>P63</f>
        <v>4</v>
      </c>
      <c r="R63" s="77">
        <f>VLOOKUP(Q63,STN_TABLE,2,FALSE)</f>
        <v>11</v>
      </c>
      <c r="S63" s="77">
        <v>8</v>
      </c>
      <c r="T63" s="76">
        <f>R63*S63</f>
        <v>88</v>
      </c>
      <c r="U63" s="80">
        <v>10</v>
      </c>
      <c r="V63" s="76">
        <f>R63*U63</f>
        <v>110</v>
      </c>
      <c r="W63" s="496" t="s">
        <v>97</v>
      </c>
      <c r="X63" s="496"/>
      <c r="Y63" s="496" t="s">
        <v>98</v>
      </c>
      <c r="Z63" s="496"/>
      <c r="AA63" s="494" t="s">
        <v>99</v>
      </c>
      <c r="AB63" s="494"/>
      <c r="AC63" s="99">
        <f>AC58+1</f>
        <v>7</v>
      </c>
      <c r="AD63" s="95">
        <f>VLOOKUP(AC63,STN_TABLE_2,2,FALSE)</f>
        <v>3</v>
      </c>
      <c r="AE63" s="68">
        <f>VLOOKUP(AD63,STN_TABLE,2,FALSE)</f>
        <v>11</v>
      </c>
      <c r="AF63" s="68">
        <v>1</v>
      </c>
      <c r="AG63" s="69">
        <f>AE63*AF63</f>
        <v>11</v>
      </c>
      <c r="AH63" s="496" t="s">
        <v>97</v>
      </c>
      <c r="AI63" s="496"/>
      <c r="AJ63" s="496" t="s">
        <v>98</v>
      </c>
      <c r="AK63" s="496"/>
      <c r="AL63" s="494" t="s">
        <v>99</v>
      </c>
      <c r="AM63" s="494"/>
      <c r="AP63" s="86" t="s">
        <v>112</v>
      </c>
      <c r="AQ63" s="89" t="s">
        <v>113</v>
      </c>
      <c r="AR63" s="89" t="s">
        <v>114</v>
      </c>
      <c r="AS63" s="89" t="s">
        <v>115</v>
      </c>
      <c r="AU63" s="81"/>
    </row>
    <row r="64" spans="1:47" x14ac:dyDescent="0.25">
      <c r="A64" s="84">
        <f>A63+1</f>
        <v>7</v>
      </c>
      <c r="B64" s="84">
        <f t="shared" si="11"/>
        <v>3</v>
      </c>
      <c r="C64" s="88">
        <f t="shared" ref="C64" si="20">B65</f>
        <v>4</v>
      </c>
      <c r="D64" s="82">
        <f>VLOOKUP(C64,STN_TABLE,2,FALSE)</f>
        <v>11</v>
      </c>
      <c r="E64" s="92">
        <v>1</v>
      </c>
      <c r="F64" s="82">
        <f>D64*E64</f>
        <v>11</v>
      </c>
      <c r="G64" s="83">
        <f>C64</f>
        <v>4</v>
      </c>
      <c r="H64" s="83">
        <f>F64*G64</f>
        <v>44</v>
      </c>
      <c r="I64" s="84" t="str">
        <f>CONCATENATE("a'(",C64,")=")</f>
        <v>a'(4)=</v>
      </c>
      <c r="J64" s="84">
        <f>2*J62/3*F65</f>
        <v>88</v>
      </c>
      <c r="K64" s="84" t="str">
        <f>CONCATENATE("A(",C62,")=")</f>
        <v>A(2)=</v>
      </c>
      <c r="L64" s="84">
        <f>VLOOKUP(C62,STN_TABLE,3,FALSE)</f>
        <v>86.573333333333323</v>
      </c>
      <c r="M64" t="str">
        <f>CONCATENATE("A(",C64,")=")</f>
        <v>A(4)=</v>
      </c>
      <c r="N64">
        <f>J64+L64</f>
        <v>174.57333333333332</v>
      </c>
      <c r="O64" s="99">
        <f>O63+1</f>
        <v>9</v>
      </c>
      <c r="P64" s="99">
        <f t="shared" si="10"/>
        <v>4.8499999999999996</v>
      </c>
      <c r="Q64" s="82">
        <f>IF(P64-P63=P63-P62,P64,IF(P65-P63=P63-P62,P65,IF(P64-P63=P63-P61,P64,IF(P65-P63=P63-P61,P65,"-"))))</f>
        <v>5</v>
      </c>
      <c r="R64" s="83">
        <f>VLOOKUP(Q64,STN_TABLE,2,FALSE)</f>
        <v>11</v>
      </c>
      <c r="S64" s="83">
        <v>-1</v>
      </c>
      <c r="T64" s="82">
        <f>R64*S64</f>
        <v>-11</v>
      </c>
      <c r="U64" s="88">
        <v>-1</v>
      </c>
      <c r="V64" s="82">
        <f>R64*U64</f>
        <v>-11</v>
      </c>
      <c r="W64" s="84" t="str">
        <f>CONCATENATE("a'(",Q63,")=")</f>
        <v>a'(4)=</v>
      </c>
      <c r="X64" s="84">
        <f>2*X62/12*T65</f>
        <v>44</v>
      </c>
      <c r="Y64" s="84" t="str">
        <f>CONCATENATE("A(",Q62,")=")</f>
        <v>A(3)=</v>
      </c>
      <c r="Z64" s="84">
        <f>VLOOKUP(Q62,STN_TABLE,3,FALSE)</f>
        <v>130.57333333333332</v>
      </c>
      <c r="AA64" t="str">
        <f>CONCATENATE("A(",Q63,")=")</f>
        <v>A(4)=</v>
      </c>
      <c r="AB64">
        <f>X64+Z64</f>
        <v>174.57333333333332</v>
      </c>
      <c r="AC64" s="99">
        <f>AC63+1</f>
        <v>8</v>
      </c>
      <c r="AD64" s="100">
        <f>VLOOKUP(AC64,STN_TABLE_2,2,FALSE)</f>
        <v>4</v>
      </c>
      <c r="AE64" s="82">
        <f>VLOOKUP(AD64,STN_TABLE,2,FALSE)</f>
        <v>11</v>
      </c>
      <c r="AF64" s="82">
        <v>2</v>
      </c>
      <c r="AG64" s="83">
        <f>AE64*AF64</f>
        <v>22</v>
      </c>
      <c r="AH64" s="84" t="str">
        <f>CONCATENATE("a'(",AD64,")=")</f>
        <v>a'(4)=</v>
      </c>
      <c r="AI64" s="84">
        <f>2*AI62/2*AE65</f>
        <v>44</v>
      </c>
      <c r="AJ64" s="84" t="str">
        <f>CONCATENATE("A(",AD63,")=")</f>
        <v>A(3)=</v>
      </c>
      <c r="AK64" s="84">
        <f>VLOOKUP(AD63,STN_TABLE,3,FALSE)</f>
        <v>130.57333333333332</v>
      </c>
      <c r="AL64" t="str">
        <f>CONCATENATE("A(",AD64,")=")</f>
        <v>A(4)=</v>
      </c>
      <c r="AM64">
        <f>AI64+AK64</f>
        <v>174.57333333333332</v>
      </c>
      <c r="AO64" s="68" t="str">
        <f>AA64</f>
        <v>A(4)=</v>
      </c>
      <c r="AP64" s="68" t="e">
        <f>VLOOKUP(AO64,Rise_Results,2,FALSE)</f>
        <v>#N/A</v>
      </c>
      <c r="AQ64" s="76">
        <f>N64</f>
        <v>174.57333333333332</v>
      </c>
      <c r="AR64" s="76">
        <f>IF(OR(AB64&lt;=0,AB65&lt;=0),1/0,AB64)</f>
        <v>174.57333333333332</v>
      </c>
      <c r="AS64" s="76">
        <f>AM64</f>
        <v>174.57333333333332</v>
      </c>
      <c r="AT64">
        <f>IFERROR(AP64,IFERROR(AQ64,IFERROR(AR64,AS64)))</f>
        <v>174.57333333333332</v>
      </c>
      <c r="AU64" s="81"/>
    </row>
    <row r="65" spans="1:47" x14ac:dyDescent="0.25">
      <c r="A65" s="84">
        <f>A64+1</f>
        <v>8</v>
      </c>
      <c r="B65" s="84">
        <f t="shared" si="11"/>
        <v>4</v>
      </c>
      <c r="F65" s="82">
        <f>SUM(F62:F64)</f>
        <v>66</v>
      </c>
      <c r="H65" s="82">
        <f>SUM(H62:H64)</f>
        <v>198</v>
      </c>
      <c r="I65" s="84" t="str">
        <f>CONCATENATE("m'(",C64,")=")</f>
        <v>m'(4)=</v>
      </c>
      <c r="J65" s="84">
        <f>2*(J62*(WLS))/3*H65</f>
        <v>528</v>
      </c>
      <c r="K65" s="84" t="str">
        <f>CONCATENATE("M(",C62,")=")</f>
        <v>M(2)=</v>
      </c>
      <c r="L65" s="84">
        <f>VLOOKUP(C62,STN_TABLE,4,FALSE)</f>
        <v>175.32666666666665</v>
      </c>
      <c r="M65" t="str">
        <f>CONCATENATE("M(",C64,")=")</f>
        <v>M(4)=</v>
      </c>
      <c r="N65">
        <f>J65+L65</f>
        <v>703.3266666666666</v>
      </c>
      <c r="O65" s="99">
        <f>O64+1</f>
        <v>10</v>
      </c>
      <c r="P65" s="99">
        <f t="shared" si="10"/>
        <v>5</v>
      </c>
      <c r="T65" s="89">
        <f>SUM(T62:T64)</f>
        <v>132</v>
      </c>
      <c r="V65" s="82">
        <f>SUM(V62:V64)</f>
        <v>132</v>
      </c>
      <c r="W65" s="84" t="str">
        <f>CONCATENATE("m'(",Q63,")=")</f>
        <v>m'(4)=</v>
      </c>
      <c r="X65" s="84">
        <f>(2*(X62^2)/24*V65)+(X64*Q62*WLS)</f>
        <v>308</v>
      </c>
      <c r="Y65" s="84" t="str">
        <f>CONCATENATE("M(",Q62,")=")</f>
        <v>M(3)=</v>
      </c>
      <c r="Z65" s="84">
        <f>VLOOKUP(Q62,STN_TABLE,4,FALSE)</f>
        <v>395.32666666666665</v>
      </c>
      <c r="AA65" t="str">
        <f>CONCATENATE("M(",Q63,")=")</f>
        <v>M(4)=</v>
      </c>
      <c r="AB65">
        <f>X65+Z65</f>
        <v>703.3266666666666</v>
      </c>
      <c r="AE65" s="89">
        <f>SUM(AE63:AE64)</f>
        <v>22</v>
      </c>
      <c r="AG65" s="89">
        <f>SUM(AG63:AG64)</f>
        <v>33</v>
      </c>
      <c r="AH65" s="84" t="str">
        <f>CONCATENATE("m'(",AD64,")=")</f>
        <v>m'(4)=</v>
      </c>
      <c r="AI65" s="84">
        <f>(2*(AI62^2)/6*AG65)+(AI64*AD63*WLS)</f>
        <v>308</v>
      </c>
      <c r="AJ65" s="84" t="str">
        <f>CONCATENATE("M(",AD63,")=")</f>
        <v>M(3)=</v>
      </c>
      <c r="AK65" s="84">
        <f>VLOOKUP(AD63,STN_TABLE,4,FALSE)</f>
        <v>395.32666666666665</v>
      </c>
      <c r="AL65" t="str">
        <f>CONCATENATE("M(",AD64,")=")</f>
        <v>M(4)=</v>
      </c>
      <c r="AM65">
        <f>AI65+AK65</f>
        <v>703.3266666666666</v>
      </c>
      <c r="AO65" s="82" t="str">
        <f>AA65</f>
        <v>M(4)=</v>
      </c>
      <c r="AP65" s="82" t="e">
        <f>VLOOKUP(AO65,Rise_Results,2,FALSE)</f>
        <v>#N/A</v>
      </c>
      <c r="AQ65" s="82">
        <f>N65</f>
        <v>703.3266666666666</v>
      </c>
      <c r="AR65" s="82">
        <f>IF(OR(AB64&lt;=0,AB65&lt;=0),1/0,AB65)</f>
        <v>703.3266666666666</v>
      </c>
      <c r="AS65" s="82">
        <f>AM65</f>
        <v>703.3266666666666</v>
      </c>
      <c r="AT65">
        <f>IFERROR(AP65,IFERROR(AQ65,IFERROR(AR65,AS65)))</f>
        <v>703.3266666666666</v>
      </c>
      <c r="AU65" s="81"/>
    </row>
    <row r="66" spans="1:47" x14ac:dyDescent="0.25">
      <c r="A66" s="101">
        <f>A61+1</f>
        <v>5</v>
      </c>
      <c r="B66" s="101">
        <f t="shared" si="11"/>
        <v>1</v>
      </c>
      <c r="O66" s="101">
        <f>O61+1</f>
        <v>7</v>
      </c>
      <c r="P66" s="101">
        <f t="shared" si="10"/>
        <v>3</v>
      </c>
      <c r="AU66" s="81"/>
    </row>
    <row r="67" spans="1:47" x14ac:dyDescent="0.25">
      <c r="A67" s="84">
        <f>A66+1</f>
        <v>6</v>
      </c>
      <c r="B67" s="84">
        <f t="shared" si="11"/>
        <v>2</v>
      </c>
      <c r="C67" s="79" t="str">
        <f t="shared" ref="C67" si="21">IF(C68=B69,IF(C69-C68=C68-B68,B68,IF(C69-C68=C68-B67,B67,"#NA")),IF(C68=B68,IF(C69-C68=C68-B67,B67,IF(C69-C68=C68-B66,B66,"#NA")),"#NA"))</f>
        <v>#NA</v>
      </c>
      <c r="D67" s="68" t="e">
        <f>VLOOKUP(C67,STN_TABLE,2,FALSE)</f>
        <v>#N/A</v>
      </c>
      <c r="E67" s="102">
        <v>1</v>
      </c>
      <c r="F67" s="68" t="e">
        <f>D67*E67</f>
        <v>#N/A</v>
      </c>
      <c r="G67" s="69" t="str">
        <f>C67</f>
        <v>#NA</v>
      </c>
      <c r="H67" s="69" t="e">
        <f>F67*G67</f>
        <v>#N/A</v>
      </c>
      <c r="I67" s="6" t="s">
        <v>93</v>
      </c>
      <c r="J67" s="70" t="e">
        <f>IF(OR(D67=0,D68=0,D69=0),"#NA",IF(AND(C69-C68=C68-C67,C68&lt;&gt;C69,C67&lt;&gt;C68,C67&lt;&gt;C69,D69&lt;&gt;0,OR(D67&lt;&gt;0,D68&lt;&gt;0)),WLS*(C69-C68),"#NA"))</f>
        <v>#N/A</v>
      </c>
      <c r="O67" s="99">
        <f>O66+1</f>
        <v>8</v>
      </c>
      <c r="P67" s="99">
        <f t="shared" si="10"/>
        <v>4</v>
      </c>
      <c r="Q67" s="68" t="str">
        <f>IF(OR(P69-P68=P68-P67,P70-P68=P68-P67),P67,IF(OR(P69-P68=P68-P66,P70-P68=P68-P66),P66,"-"))</f>
        <v>-</v>
      </c>
      <c r="R67" s="69" t="e">
        <f>VLOOKUP(Q67,STN_TABLE,2,FALSE)</f>
        <v>#N/A</v>
      </c>
      <c r="S67" s="69">
        <v>5</v>
      </c>
      <c r="T67" s="68" t="e">
        <f>R67*S67</f>
        <v>#N/A</v>
      </c>
      <c r="U67" s="79">
        <v>3</v>
      </c>
      <c r="V67" s="68" t="e">
        <f>R67*U67</f>
        <v>#N/A</v>
      </c>
      <c r="W67" s="6" t="s">
        <v>93</v>
      </c>
      <c r="X67" s="70" t="e">
        <f>IF(AND(Q69-Q68=Q68-Q67,NOT(AND(Q67=0,Q68=0)),NOT(AND(Q68=0,Q69=0))),WLS*(Q69-Q68),"#NA")</f>
        <v>#VALUE!</v>
      </c>
      <c r="AD67" s="93"/>
      <c r="AH67" s="6" t="s">
        <v>93</v>
      </c>
      <c r="AI67" s="70">
        <f>WLS*(AD69-AD68)</f>
        <v>1.6999999999999993</v>
      </c>
      <c r="AU67" s="81"/>
    </row>
    <row r="68" spans="1:47" x14ac:dyDescent="0.25">
      <c r="A68" s="84">
        <f>A67+1</f>
        <v>7</v>
      </c>
      <c r="B68" s="84">
        <f t="shared" si="11"/>
        <v>3</v>
      </c>
      <c r="C68" s="80" t="str">
        <f t="shared" ref="C68" si="22">IF(OR(B70-B69=B69-B68,B70-B69=B69-B67,B70-B69=B69-B66),B69,IF(OR(B70-B68=B68-B67,B70-B68=B68-B66),B68,IF(B70-B67=B67-B66,B67,"#NA")))</f>
        <v>#NA</v>
      </c>
      <c r="D68" s="76" t="e">
        <f>VLOOKUP(C68,STN_TABLE,2,FALSE)</f>
        <v>#N/A</v>
      </c>
      <c r="E68" s="81">
        <v>4</v>
      </c>
      <c r="F68" s="76" t="e">
        <f>D68*E68</f>
        <v>#N/A</v>
      </c>
      <c r="G68" s="77" t="str">
        <f>C68</f>
        <v>#NA</v>
      </c>
      <c r="H68" s="77" t="e">
        <f>F68*G68</f>
        <v>#N/A</v>
      </c>
      <c r="I68" s="495" t="s">
        <v>97</v>
      </c>
      <c r="J68" s="496"/>
      <c r="K68" s="78" t="s">
        <v>98</v>
      </c>
      <c r="L68" s="78"/>
      <c r="M68" s="7" t="s">
        <v>99</v>
      </c>
      <c r="N68" s="7"/>
      <c r="O68" s="99">
        <f>O67+1</f>
        <v>9</v>
      </c>
      <c r="P68" s="99">
        <f t="shared" ref="P68:P99" si="23">VLOOKUP(O68,STN_TABLE_2,2,FALSE)</f>
        <v>4.8499999999999996</v>
      </c>
      <c r="Q68" s="76">
        <f>P68</f>
        <v>4.8499999999999996</v>
      </c>
      <c r="R68" s="77">
        <f>VLOOKUP(Q68,STN_TABLE,2,FALSE)</f>
        <v>11</v>
      </c>
      <c r="S68" s="77">
        <v>8</v>
      </c>
      <c r="T68" s="76">
        <f>R68*S68</f>
        <v>88</v>
      </c>
      <c r="U68" s="80">
        <v>10</v>
      </c>
      <c r="V68" s="76">
        <f>R68*U68</f>
        <v>110</v>
      </c>
      <c r="W68" s="496" t="s">
        <v>97</v>
      </c>
      <c r="X68" s="496"/>
      <c r="Y68" s="496" t="s">
        <v>98</v>
      </c>
      <c r="Z68" s="496"/>
      <c r="AA68" s="494" t="s">
        <v>99</v>
      </c>
      <c r="AB68" s="494"/>
      <c r="AC68" s="99">
        <f>AC63+1</f>
        <v>8</v>
      </c>
      <c r="AD68" s="95">
        <f>VLOOKUP(AC68,STN_TABLE_2,2,FALSE)</f>
        <v>4</v>
      </c>
      <c r="AE68" s="68">
        <f>VLOOKUP(AD68,STN_TABLE,2,FALSE)</f>
        <v>11</v>
      </c>
      <c r="AF68" s="68">
        <v>1</v>
      </c>
      <c r="AG68" s="69">
        <f>AE68*AF68</f>
        <v>11</v>
      </c>
      <c r="AH68" s="496" t="s">
        <v>97</v>
      </c>
      <c r="AI68" s="496"/>
      <c r="AJ68" s="496" t="s">
        <v>98</v>
      </c>
      <c r="AK68" s="496"/>
      <c r="AL68" s="494" t="s">
        <v>99</v>
      </c>
      <c r="AM68" s="494"/>
      <c r="AP68" s="86" t="s">
        <v>112</v>
      </c>
      <c r="AQ68" s="89" t="s">
        <v>113</v>
      </c>
      <c r="AR68" s="89" t="s">
        <v>114</v>
      </c>
      <c r="AS68" s="89" t="s">
        <v>115</v>
      </c>
      <c r="AU68" s="81"/>
    </row>
    <row r="69" spans="1:47" x14ac:dyDescent="0.25">
      <c r="A69" s="84">
        <f>A68+1</f>
        <v>8</v>
      </c>
      <c r="B69" s="84">
        <f t="shared" si="11"/>
        <v>4</v>
      </c>
      <c r="C69" s="88">
        <f t="shared" ref="C69" si="24">B70</f>
        <v>4.8499999999999996</v>
      </c>
      <c r="D69" s="82">
        <f>VLOOKUP(C69,STN_TABLE,2,FALSE)</f>
        <v>11</v>
      </c>
      <c r="E69" s="92">
        <v>1</v>
      </c>
      <c r="F69" s="82">
        <f>D69*E69</f>
        <v>11</v>
      </c>
      <c r="G69" s="83">
        <f>C69</f>
        <v>4.8499999999999996</v>
      </c>
      <c r="H69" s="83">
        <f>F69*G69</f>
        <v>53.349999999999994</v>
      </c>
      <c r="I69" s="84" t="str">
        <f>CONCATENATE("a'(",C69,")=")</f>
        <v>a'(4.85)=</v>
      </c>
      <c r="J69" s="84" t="e">
        <f>2*J67/3*F70</f>
        <v>#N/A</v>
      </c>
      <c r="K69" s="84" t="str">
        <f>CONCATENATE("A(",C67,")=")</f>
        <v>A(#NA)=</v>
      </c>
      <c r="L69" s="84" t="e">
        <f>VLOOKUP(C67,STN_TABLE,3,FALSE)</f>
        <v>#N/A</v>
      </c>
      <c r="M69" t="str">
        <f>CONCATENATE("A(",C69,")=")</f>
        <v>A(4.85)=</v>
      </c>
      <c r="N69" t="e">
        <f>J69+L69</f>
        <v>#N/A</v>
      </c>
      <c r="O69" s="99">
        <f>O68+1</f>
        <v>10</v>
      </c>
      <c r="P69" s="99">
        <f t="shared" si="23"/>
        <v>5</v>
      </c>
      <c r="Q69" s="82" t="str">
        <f>IF(P69-P68=P68-P67,P69,IF(P70-P68=P68-P67,P70,IF(P69-P68=P68-P66,P69,IF(P70-P68=P68-P66,P70,"-"))))</f>
        <v>-</v>
      </c>
      <c r="R69" s="83" t="e">
        <f>VLOOKUP(Q69,STN_TABLE,2,FALSE)</f>
        <v>#N/A</v>
      </c>
      <c r="S69" s="83">
        <v>-1</v>
      </c>
      <c r="T69" s="82" t="e">
        <f>R69*S69</f>
        <v>#N/A</v>
      </c>
      <c r="U69" s="88">
        <v>-1</v>
      </c>
      <c r="V69" s="82" t="e">
        <f>R69*U69</f>
        <v>#N/A</v>
      </c>
      <c r="W69" s="84" t="str">
        <f>CONCATENATE("a'(",Q68,")=")</f>
        <v>a'(4.85)=</v>
      </c>
      <c r="X69" s="84" t="e">
        <f>2*X67/12*T70</f>
        <v>#VALUE!</v>
      </c>
      <c r="Y69" s="84" t="str">
        <f>CONCATENATE("A(",Q67,")=")</f>
        <v>A(-)=</v>
      </c>
      <c r="Z69" s="84" t="e">
        <f>VLOOKUP(Q67,STN_TABLE,3,FALSE)</f>
        <v>#N/A</v>
      </c>
      <c r="AA69" t="str">
        <f>CONCATENATE("A(",Q68,")=")</f>
        <v>A(4.85)=</v>
      </c>
      <c r="AB69" t="e">
        <f>X69+Z69</f>
        <v>#VALUE!</v>
      </c>
      <c r="AC69" s="99">
        <f>AC68+1</f>
        <v>9</v>
      </c>
      <c r="AD69" s="100">
        <f>VLOOKUP(AC69,STN_TABLE_2,2,FALSE)</f>
        <v>4.8499999999999996</v>
      </c>
      <c r="AE69" s="82">
        <f>VLOOKUP(AD69,STN_TABLE,2,FALSE)</f>
        <v>11</v>
      </c>
      <c r="AF69" s="82">
        <v>2</v>
      </c>
      <c r="AG69" s="83">
        <f>AE69*AF69</f>
        <v>22</v>
      </c>
      <c r="AH69" s="84" t="str">
        <f>CONCATENATE("a'(",AD69,")=")</f>
        <v>a'(4.85)=</v>
      </c>
      <c r="AI69" s="84">
        <f>2*AI67/2*AE70</f>
        <v>37.399999999999984</v>
      </c>
      <c r="AJ69" s="84" t="str">
        <f>CONCATENATE("A(",AD68,")=")</f>
        <v>A(4)=</v>
      </c>
      <c r="AK69" s="84">
        <f>VLOOKUP(AD68,STN_TABLE,3,FALSE)</f>
        <v>174.57333333333332</v>
      </c>
      <c r="AL69" t="str">
        <f>CONCATENATE("A(",AD69,")=")</f>
        <v>A(4.85)=</v>
      </c>
      <c r="AM69">
        <f>AI69+AK69</f>
        <v>211.9733333333333</v>
      </c>
      <c r="AO69" s="68" t="str">
        <f>AA69</f>
        <v>A(4.85)=</v>
      </c>
      <c r="AP69" s="68" t="e">
        <f>VLOOKUP(AO69,Rise_Results,2,FALSE)</f>
        <v>#N/A</v>
      </c>
      <c r="AQ69" s="76" t="e">
        <f>N69</f>
        <v>#N/A</v>
      </c>
      <c r="AR69" s="76" t="e">
        <f>IF(OR(AB69&lt;=0,AB70&lt;=0),1/0,AB69)</f>
        <v>#VALUE!</v>
      </c>
      <c r="AS69" s="76">
        <f>AM69</f>
        <v>211.9733333333333</v>
      </c>
      <c r="AT69">
        <f>IFERROR(AP69,IFERROR(AQ69,IFERROR(AR69,AS69)))</f>
        <v>211.9733333333333</v>
      </c>
      <c r="AU69" s="81"/>
    </row>
    <row r="70" spans="1:47" x14ac:dyDescent="0.25">
      <c r="A70" s="84">
        <f>A69+1</f>
        <v>9</v>
      </c>
      <c r="B70" s="84">
        <f t="shared" si="11"/>
        <v>4.8499999999999996</v>
      </c>
      <c r="F70" s="82" t="e">
        <f>SUM(F67:F69)</f>
        <v>#N/A</v>
      </c>
      <c r="H70" s="82" t="e">
        <f>SUM(H67:H69)</f>
        <v>#N/A</v>
      </c>
      <c r="I70" s="84" t="str">
        <f>CONCATENATE("m'(",C69,")=")</f>
        <v>m'(4.85)=</v>
      </c>
      <c r="J70" s="84" t="e">
        <f>2*(J67*(WLS))/3*H70</f>
        <v>#N/A</v>
      </c>
      <c r="K70" s="84" t="str">
        <f>CONCATENATE("M(",C67,")=")</f>
        <v>M(#NA)=</v>
      </c>
      <c r="L70" s="84" t="e">
        <f>VLOOKUP(C67,STN_TABLE,4,FALSE)</f>
        <v>#N/A</v>
      </c>
      <c r="M70" t="str">
        <f>CONCATENATE("M(",C69,")=")</f>
        <v>M(4.85)=</v>
      </c>
      <c r="N70" t="e">
        <f>J70+L70</f>
        <v>#N/A</v>
      </c>
      <c r="O70" s="99">
        <f>O69+1</f>
        <v>11</v>
      </c>
      <c r="P70" s="99">
        <f t="shared" si="23"/>
        <v>6</v>
      </c>
      <c r="T70" s="89" t="e">
        <f>SUM(T67:T69)</f>
        <v>#N/A</v>
      </c>
      <c r="V70" s="82" t="e">
        <f>SUM(V67:V69)</f>
        <v>#N/A</v>
      </c>
      <c r="W70" s="84" t="str">
        <f>CONCATENATE("m'(",Q68,")=")</f>
        <v>m'(4.85)=</v>
      </c>
      <c r="X70" s="84" t="e">
        <f>(2*(X67^2)/24*V70)+(X69*Q67*WLS)</f>
        <v>#VALUE!</v>
      </c>
      <c r="Y70" s="84" t="str">
        <f>CONCATENATE("M(",Q67,")=")</f>
        <v>M(-)=</v>
      </c>
      <c r="Z70" s="84" t="e">
        <f>VLOOKUP(Q67,STN_TABLE,4,FALSE)</f>
        <v>#N/A</v>
      </c>
      <c r="AA70" t="str">
        <f>CONCATENATE("M(",Q68,")=")</f>
        <v>M(4.85)=</v>
      </c>
      <c r="AB70" t="e">
        <f>X70+Z70</f>
        <v>#VALUE!</v>
      </c>
      <c r="AE70" s="89">
        <f>SUM(AE68:AE69)</f>
        <v>22</v>
      </c>
      <c r="AG70" s="89">
        <f>SUM(AG68:AG69)</f>
        <v>33</v>
      </c>
      <c r="AH70" s="84" t="str">
        <f>CONCATENATE("m'(",AD69,")=")</f>
        <v>m'(4.85)=</v>
      </c>
      <c r="AI70" s="84">
        <f>(2*(AI67^2)/6*AG70)+(AI69*AD68*WLS)</f>
        <v>330.98999999999984</v>
      </c>
      <c r="AJ70" s="84" t="str">
        <f>CONCATENATE("M(",AD68,")=")</f>
        <v>M(4)=</v>
      </c>
      <c r="AK70" s="84">
        <f>VLOOKUP(AD68,STN_TABLE,4,FALSE)</f>
        <v>703.3266666666666</v>
      </c>
      <c r="AL70" t="str">
        <f>CONCATENATE("M(",AD69,")=")</f>
        <v>M(4.85)=</v>
      </c>
      <c r="AM70">
        <f>AI70+AK70</f>
        <v>1034.3166666666664</v>
      </c>
      <c r="AO70" s="82" t="str">
        <f>AA70</f>
        <v>M(4.85)=</v>
      </c>
      <c r="AP70" s="82" t="e">
        <f>VLOOKUP(AO70,Rise_Results,2,FALSE)</f>
        <v>#N/A</v>
      </c>
      <c r="AQ70" s="82" t="e">
        <f>N70</f>
        <v>#N/A</v>
      </c>
      <c r="AR70" s="82" t="e">
        <f>IF(OR(AB69&lt;=0,AB70&lt;=0),1/0,AB70)</f>
        <v>#VALUE!</v>
      </c>
      <c r="AS70" s="82">
        <f>AM70</f>
        <v>1034.3166666666664</v>
      </c>
      <c r="AT70">
        <f>IFERROR(AP70,IFERROR(AQ70,IFERROR(AR70,AS70)))</f>
        <v>1034.3166666666664</v>
      </c>
      <c r="AU70" s="81"/>
    </row>
    <row r="71" spans="1:47" x14ac:dyDescent="0.25">
      <c r="A71" s="101">
        <f>A66+1</f>
        <v>6</v>
      </c>
      <c r="B71" s="101">
        <f t="shared" si="11"/>
        <v>2</v>
      </c>
      <c r="O71" s="101">
        <f>O66+1</f>
        <v>8</v>
      </c>
      <c r="P71" s="101">
        <f t="shared" si="23"/>
        <v>4</v>
      </c>
      <c r="AU71" s="81"/>
    </row>
    <row r="72" spans="1:47" x14ac:dyDescent="0.25">
      <c r="A72" s="84">
        <f>A71+1</f>
        <v>7</v>
      </c>
      <c r="B72" s="84">
        <f t="shared" si="11"/>
        <v>3</v>
      </c>
      <c r="C72" s="79">
        <f t="shared" ref="C72" si="25">IF(C73=B74,IF(C74-C73=C73-B73,B73,IF(C74-C73=C73-B72,B72,"#NA")),IF(C73=B73,IF(C74-C73=C73-B72,B72,IF(C74-C73=C73-B71,B71,"#NA")),"#NA"))</f>
        <v>3</v>
      </c>
      <c r="D72" s="68">
        <f>VLOOKUP(C72,STN_TABLE,2,FALSE)</f>
        <v>11</v>
      </c>
      <c r="E72" s="102">
        <v>1</v>
      </c>
      <c r="F72" s="68">
        <f>D72*E72</f>
        <v>11</v>
      </c>
      <c r="G72" s="69">
        <f>C72</f>
        <v>3</v>
      </c>
      <c r="H72" s="69">
        <f>F72*G72</f>
        <v>33</v>
      </c>
      <c r="I72" s="6" t="s">
        <v>93</v>
      </c>
      <c r="J72" s="70">
        <f>IF(OR(D72=0,D73=0,D74=0),"#NA",IF(AND(C74-C73=C73-C72,C73&lt;&gt;C74,C72&lt;&gt;C73,C72&lt;&gt;C74,D74&lt;&gt;0,OR(D72&lt;&gt;0,D73&lt;&gt;0)),WLS*(C74-C73),"#NA"))</f>
        <v>2</v>
      </c>
      <c r="O72" s="99">
        <f>O71+1</f>
        <v>9</v>
      </c>
      <c r="P72" s="99">
        <f t="shared" si="23"/>
        <v>4.8499999999999996</v>
      </c>
      <c r="Q72" s="68">
        <f>IF(OR(P74-P73=P73-P72,P75-P73=P73-P72),P72,IF(OR(P74-P73=P73-P71,P75-P73=P73-P71),P71,"-"))</f>
        <v>4</v>
      </c>
      <c r="R72" s="69">
        <f>VLOOKUP(Q72,STN_TABLE,2,FALSE)</f>
        <v>11</v>
      </c>
      <c r="S72" s="69">
        <v>5</v>
      </c>
      <c r="T72" s="68">
        <f>R72*S72</f>
        <v>55</v>
      </c>
      <c r="U72" s="79">
        <v>3</v>
      </c>
      <c r="V72" s="68">
        <f>R72*U72</f>
        <v>33</v>
      </c>
      <c r="W72" s="6" t="s">
        <v>93</v>
      </c>
      <c r="X72" s="70">
        <f>IF(AND(Q74-Q73=Q73-Q72,NOT(AND(Q72=0,Q73=0)),NOT(AND(Q73=0,Q74=0))),WLS*(Q74-Q73),"#NA")</f>
        <v>2</v>
      </c>
      <c r="AD72" s="93"/>
      <c r="AH72" s="6" t="s">
        <v>93</v>
      </c>
      <c r="AI72" s="70">
        <f>WLS*(AD74-AD73)</f>
        <v>0.30000000000000071</v>
      </c>
      <c r="AU72" s="81"/>
    </row>
    <row r="73" spans="1:47" x14ac:dyDescent="0.25">
      <c r="A73" s="84">
        <f>A72+1</f>
        <v>8</v>
      </c>
      <c r="B73" s="84">
        <f t="shared" si="11"/>
        <v>4</v>
      </c>
      <c r="C73" s="80">
        <f t="shared" ref="C73" si="26">IF(OR(B75-B74=B74-B73,B75-B74=B74-B72,B75-B74=B74-B71),B74,IF(OR(B75-B73=B73-B72,B75-B73=B73-B71),B73,IF(B75-B72=B72-B71,B72,"#NA")))</f>
        <v>4</v>
      </c>
      <c r="D73" s="76">
        <f>VLOOKUP(C73,STN_TABLE,2,FALSE)</f>
        <v>11</v>
      </c>
      <c r="E73" s="81">
        <v>4</v>
      </c>
      <c r="F73" s="76">
        <f>D73*E73</f>
        <v>44</v>
      </c>
      <c r="G73" s="77">
        <f>C73</f>
        <v>4</v>
      </c>
      <c r="H73" s="77">
        <f>F73*G73</f>
        <v>176</v>
      </c>
      <c r="I73" s="495" t="s">
        <v>97</v>
      </c>
      <c r="J73" s="496"/>
      <c r="K73" s="78" t="s">
        <v>98</v>
      </c>
      <c r="L73" s="78"/>
      <c r="M73" s="7" t="s">
        <v>99</v>
      </c>
      <c r="N73" s="7"/>
      <c r="O73" s="99">
        <f>O72+1</f>
        <v>10</v>
      </c>
      <c r="P73" s="99">
        <f t="shared" si="23"/>
        <v>5</v>
      </c>
      <c r="Q73" s="76">
        <f>P73</f>
        <v>5</v>
      </c>
      <c r="R73" s="77">
        <f>VLOOKUP(Q73,STN_TABLE,2,FALSE)</f>
        <v>11</v>
      </c>
      <c r="S73" s="77">
        <v>8</v>
      </c>
      <c r="T73" s="76">
        <f>R73*S73</f>
        <v>88</v>
      </c>
      <c r="U73" s="80">
        <v>10</v>
      </c>
      <c r="V73" s="76">
        <f>R73*U73</f>
        <v>110</v>
      </c>
      <c r="W73" s="496" t="s">
        <v>97</v>
      </c>
      <c r="X73" s="496"/>
      <c r="Y73" s="496" t="s">
        <v>98</v>
      </c>
      <c r="Z73" s="496"/>
      <c r="AA73" s="494" t="s">
        <v>99</v>
      </c>
      <c r="AB73" s="494"/>
      <c r="AC73" s="99">
        <f>AC68+1</f>
        <v>9</v>
      </c>
      <c r="AD73" s="95">
        <f>VLOOKUP(AC73,STN_TABLE_2,2,FALSE)</f>
        <v>4.8499999999999996</v>
      </c>
      <c r="AE73" s="68">
        <f>VLOOKUP(AD73,STN_TABLE,2,FALSE)</f>
        <v>11</v>
      </c>
      <c r="AF73" s="68">
        <v>1</v>
      </c>
      <c r="AG73" s="69">
        <f>AE73*AF73</f>
        <v>11</v>
      </c>
      <c r="AH73" s="496" t="s">
        <v>97</v>
      </c>
      <c r="AI73" s="496"/>
      <c r="AJ73" s="496" t="s">
        <v>98</v>
      </c>
      <c r="AK73" s="496"/>
      <c r="AL73" s="494" t="s">
        <v>99</v>
      </c>
      <c r="AM73" s="494"/>
      <c r="AP73" s="86" t="s">
        <v>112</v>
      </c>
      <c r="AQ73" s="89" t="s">
        <v>113</v>
      </c>
      <c r="AR73" s="89" t="s">
        <v>114</v>
      </c>
      <c r="AS73" s="89" t="s">
        <v>115</v>
      </c>
      <c r="AU73" s="81"/>
    </row>
    <row r="74" spans="1:47" x14ac:dyDescent="0.25">
      <c r="A74" s="84">
        <f>A73+1</f>
        <v>9</v>
      </c>
      <c r="B74" s="84">
        <f t="shared" ref="B74:B105" si="27">VLOOKUP(A74,STN_TABLE_2,2,FALSE)</f>
        <v>4.8499999999999996</v>
      </c>
      <c r="C74" s="88">
        <f t="shared" ref="C74" si="28">B75</f>
        <v>5</v>
      </c>
      <c r="D74" s="82">
        <f>VLOOKUP(C74,STN_TABLE,2,FALSE)</f>
        <v>11</v>
      </c>
      <c r="E74" s="92">
        <v>1</v>
      </c>
      <c r="F74" s="82">
        <f>D74*E74</f>
        <v>11</v>
      </c>
      <c r="G74" s="83">
        <f>C74</f>
        <v>5</v>
      </c>
      <c r="H74" s="83">
        <f>F74*G74</f>
        <v>55</v>
      </c>
      <c r="I74" s="84" t="str">
        <f>CONCATENATE("a'(",C74,")=")</f>
        <v>a'(5)=</v>
      </c>
      <c r="J74" s="84">
        <f>2*J72/3*F75</f>
        <v>88</v>
      </c>
      <c r="K74" s="84" t="str">
        <f>CONCATENATE("A(",C72,")=")</f>
        <v>A(3)=</v>
      </c>
      <c r="L74" s="84">
        <f>VLOOKUP(C72,STN_TABLE,3,FALSE)</f>
        <v>130.57333333333332</v>
      </c>
      <c r="M74" t="str">
        <f>CONCATENATE("A(",C74,")=")</f>
        <v>A(5)=</v>
      </c>
      <c r="N74">
        <f>J74+L74</f>
        <v>218.57333333333332</v>
      </c>
      <c r="O74" s="99">
        <f>O73+1</f>
        <v>11</v>
      </c>
      <c r="P74" s="99">
        <f t="shared" si="23"/>
        <v>6</v>
      </c>
      <c r="Q74" s="82">
        <f>IF(P74-P73=P73-P72,P74,IF(P75-P73=P73-P72,P75,IF(P74-P73=P73-P71,P74,IF(P75-P73=P73-P71,P75,"-"))))</f>
        <v>6</v>
      </c>
      <c r="R74" s="83">
        <f>VLOOKUP(Q74,STN_TABLE,2,FALSE)</f>
        <v>11</v>
      </c>
      <c r="S74" s="83">
        <v>-1</v>
      </c>
      <c r="T74" s="82">
        <f>R74*S74</f>
        <v>-11</v>
      </c>
      <c r="U74" s="88">
        <v>-1</v>
      </c>
      <c r="V74" s="82">
        <f>R74*U74</f>
        <v>-11</v>
      </c>
      <c r="W74" s="84" t="str">
        <f>CONCATENATE("a'(",Q73,")=")</f>
        <v>a'(5)=</v>
      </c>
      <c r="X74" s="84">
        <f>2*X72/12*T75</f>
        <v>44</v>
      </c>
      <c r="Y74" s="84" t="str">
        <f>CONCATENATE("A(",Q72,")=")</f>
        <v>A(4)=</v>
      </c>
      <c r="Z74" s="84">
        <f>VLOOKUP(Q72,STN_TABLE,3,FALSE)</f>
        <v>174.57333333333332</v>
      </c>
      <c r="AA74" t="str">
        <f>CONCATENATE("A(",Q73,")=")</f>
        <v>A(5)=</v>
      </c>
      <c r="AB74">
        <f>X74+Z74</f>
        <v>218.57333333333332</v>
      </c>
      <c r="AC74" s="99">
        <f>AC73+1</f>
        <v>10</v>
      </c>
      <c r="AD74" s="100">
        <f>VLOOKUP(AC74,STN_TABLE_2,2,FALSE)</f>
        <v>5</v>
      </c>
      <c r="AE74" s="82">
        <f>VLOOKUP(AD74,STN_TABLE,2,FALSE)</f>
        <v>11</v>
      </c>
      <c r="AF74" s="82">
        <v>2</v>
      </c>
      <c r="AG74" s="83">
        <f>AE74*AF74</f>
        <v>22</v>
      </c>
      <c r="AH74" s="84" t="str">
        <f>CONCATENATE("a'(",AD74,")=")</f>
        <v>a'(5)=</v>
      </c>
      <c r="AI74" s="84">
        <f>2*AI72/2*AE75</f>
        <v>6.6000000000000156</v>
      </c>
      <c r="AJ74" s="84" t="str">
        <f>CONCATENATE("A(",AD73,")=")</f>
        <v>A(4.85)=</v>
      </c>
      <c r="AK74" s="84">
        <f>VLOOKUP(AD73,STN_TABLE,3,FALSE)</f>
        <v>211.9733333333333</v>
      </c>
      <c r="AL74" t="str">
        <f>CONCATENATE("A(",AD74,")=")</f>
        <v>A(5)=</v>
      </c>
      <c r="AM74">
        <f>AI74+AK74</f>
        <v>218.57333333333332</v>
      </c>
      <c r="AO74" s="68" t="str">
        <f>AA74</f>
        <v>A(5)=</v>
      </c>
      <c r="AP74" s="68" t="e">
        <f>VLOOKUP(AO74,Rise_Results,2,FALSE)</f>
        <v>#N/A</v>
      </c>
      <c r="AQ74" s="76">
        <f>N74</f>
        <v>218.57333333333332</v>
      </c>
      <c r="AR74" s="76">
        <f>IF(OR(AB74&lt;=0,AB75&lt;=0),1/0,AB74)</f>
        <v>218.57333333333332</v>
      </c>
      <c r="AS74" s="76">
        <f>AM74</f>
        <v>218.57333333333332</v>
      </c>
      <c r="AT74">
        <f>IFERROR(AP74,IFERROR(AQ74,IFERROR(AR74,AS74)))</f>
        <v>218.57333333333332</v>
      </c>
      <c r="AU74" s="81"/>
    </row>
    <row r="75" spans="1:47" x14ac:dyDescent="0.25">
      <c r="A75" s="84">
        <f>A74+1</f>
        <v>10</v>
      </c>
      <c r="B75" s="84">
        <f t="shared" si="27"/>
        <v>5</v>
      </c>
      <c r="F75" s="82">
        <f>SUM(F72:F74)</f>
        <v>66</v>
      </c>
      <c r="H75" s="82">
        <f>SUM(H72:H74)</f>
        <v>264</v>
      </c>
      <c r="I75" s="84" t="str">
        <f>CONCATENATE("m'(",C74,")=")</f>
        <v>m'(5)=</v>
      </c>
      <c r="J75" s="84">
        <f>2*(J72*(WLS))/3*H75</f>
        <v>704</v>
      </c>
      <c r="K75" s="84" t="str">
        <f>CONCATENATE("M(",C72,")=")</f>
        <v>M(3)=</v>
      </c>
      <c r="L75" s="84">
        <f>VLOOKUP(C72,STN_TABLE,4,FALSE)</f>
        <v>395.32666666666665</v>
      </c>
      <c r="M75" t="str">
        <f>CONCATENATE("M(",C74,")=")</f>
        <v>M(5)=</v>
      </c>
      <c r="N75">
        <f>J75+L75</f>
        <v>1099.3266666666666</v>
      </c>
      <c r="O75" s="99">
        <f>O74+1</f>
        <v>12</v>
      </c>
      <c r="P75" s="99">
        <f t="shared" si="23"/>
        <v>6.5</v>
      </c>
      <c r="T75" s="89">
        <f>SUM(T72:T74)</f>
        <v>132</v>
      </c>
      <c r="V75" s="82">
        <f>SUM(V72:V74)</f>
        <v>132</v>
      </c>
      <c r="W75" s="84" t="str">
        <f>CONCATENATE("m'(",Q73,")=")</f>
        <v>m'(5)=</v>
      </c>
      <c r="X75" s="84">
        <f>(2*(X72^2)/24*V75)+(X74*Q72*WLS)</f>
        <v>396</v>
      </c>
      <c r="Y75" s="84" t="str">
        <f>CONCATENATE("M(",Q72,")=")</f>
        <v>M(4)=</v>
      </c>
      <c r="Z75" s="84">
        <f>VLOOKUP(Q72,STN_TABLE,4,FALSE)</f>
        <v>703.3266666666666</v>
      </c>
      <c r="AA75" t="str">
        <f>CONCATENATE("M(",Q73,")=")</f>
        <v>M(5)=</v>
      </c>
      <c r="AB75">
        <f>X75+Z75</f>
        <v>1099.3266666666666</v>
      </c>
      <c r="AE75" s="89">
        <f>SUM(AE73:AE74)</f>
        <v>22</v>
      </c>
      <c r="AG75" s="89">
        <f>SUM(AG73:AG74)</f>
        <v>33</v>
      </c>
      <c r="AH75" s="84" t="str">
        <f>CONCATENATE("m'(",AD74,")=")</f>
        <v>m'(5)=</v>
      </c>
      <c r="AI75" s="84">
        <f>(2*(AI72^2)/6*AG75)+(AI74*AD73*WLS)</f>
        <v>65.010000000000161</v>
      </c>
      <c r="AJ75" s="84" t="str">
        <f>CONCATENATE("M(",AD73,")=")</f>
        <v>M(4.85)=</v>
      </c>
      <c r="AK75" s="84">
        <f>VLOOKUP(AD73,STN_TABLE,4,FALSE)</f>
        <v>1034.3166666666664</v>
      </c>
      <c r="AL75" t="str">
        <f>CONCATENATE("M(",AD74,")=")</f>
        <v>M(5)=</v>
      </c>
      <c r="AM75">
        <f>AI75+AK75</f>
        <v>1099.3266666666666</v>
      </c>
      <c r="AO75" s="82" t="str">
        <f>AA75</f>
        <v>M(5)=</v>
      </c>
      <c r="AP75" s="82" t="e">
        <f>VLOOKUP(AO75,Rise_Results,2,FALSE)</f>
        <v>#N/A</v>
      </c>
      <c r="AQ75" s="82">
        <f>N75</f>
        <v>1099.3266666666666</v>
      </c>
      <c r="AR75" s="82">
        <f>IF(OR(AB74&lt;=0,AB75&lt;=0),1/0,AB75)</f>
        <v>1099.3266666666666</v>
      </c>
      <c r="AS75" s="82">
        <f>AM75</f>
        <v>1099.3266666666666</v>
      </c>
      <c r="AT75">
        <f>IFERROR(AP75,IFERROR(AQ75,IFERROR(AR75,AS75)))</f>
        <v>1099.3266666666666</v>
      </c>
      <c r="AU75" s="81"/>
    </row>
    <row r="76" spans="1:47" x14ac:dyDescent="0.25">
      <c r="A76" s="101">
        <f>A71+1</f>
        <v>7</v>
      </c>
      <c r="B76" s="101">
        <f t="shared" si="27"/>
        <v>3</v>
      </c>
      <c r="O76" s="101">
        <f>O71+1</f>
        <v>9</v>
      </c>
      <c r="P76" s="101">
        <f t="shared" si="23"/>
        <v>4.8499999999999996</v>
      </c>
      <c r="AU76" s="81"/>
    </row>
    <row r="77" spans="1:47" x14ac:dyDescent="0.25">
      <c r="A77" s="84">
        <f>A76+1</f>
        <v>8</v>
      </c>
      <c r="B77" s="84">
        <f t="shared" si="27"/>
        <v>4</v>
      </c>
      <c r="C77" s="79">
        <f t="shared" ref="C77" si="29">IF(C78=B79,IF(C79-C78=C78-B78,B78,IF(C79-C78=C78-B77,B77,"#NA")),IF(C78=B78,IF(C79-C78=C78-B77,B77,IF(C79-C78=C78-B76,B76,"#NA")),"#NA"))</f>
        <v>4</v>
      </c>
      <c r="D77" s="68">
        <f>VLOOKUP(C77,STN_TABLE,2,FALSE)</f>
        <v>11</v>
      </c>
      <c r="E77" s="102">
        <v>1</v>
      </c>
      <c r="F77" s="68">
        <f>D77*E77</f>
        <v>11</v>
      </c>
      <c r="G77" s="69">
        <f>C77</f>
        <v>4</v>
      </c>
      <c r="H77" s="69">
        <f>F77*G77</f>
        <v>44</v>
      </c>
      <c r="I77" s="6" t="s">
        <v>93</v>
      </c>
      <c r="J77" s="70">
        <f>IF(OR(D77=0,D78=0,D79=0),"#NA",IF(AND(C79-C78=C78-C77,C78&lt;&gt;C79,C77&lt;&gt;C78,C77&lt;&gt;C79,D79&lt;&gt;0,OR(D77&lt;&gt;0,D78&lt;&gt;0)),WLS*(C79-C78),"#NA"))</f>
        <v>2</v>
      </c>
      <c r="O77" s="99">
        <f>O76+1</f>
        <v>10</v>
      </c>
      <c r="P77" s="99">
        <f t="shared" si="23"/>
        <v>5</v>
      </c>
      <c r="Q77" s="68" t="e">
        <f>IF(OR(P79-P78=P78-P77,P80-P78=P78-P77),P77,IF(OR(P79-P78=P78-P76,P80-P78=P78-P76),P76,"-"))</f>
        <v>#VALUE!</v>
      </c>
      <c r="R77" s="69" t="e">
        <f>VLOOKUP(Q77,STN_TABLE,2,FALSE)</f>
        <v>#VALUE!</v>
      </c>
      <c r="S77" s="69">
        <v>5</v>
      </c>
      <c r="T77" s="68" t="e">
        <f>R77*S77</f>
        <v>#VALUE!</v>
      </c>
      <c r="U77" s="79">
        <v>3</v>
      </c>
      <c r="V77" s="68" t="e">
        <f>R77*U77</f>
        <v>#VALUE!</v>
      </c>
      <c r="W77" s="6" t="s">
        <v>93</v>
      </c>
      <c r="X77" s="70" t="e">
        <f>IF(AND(Q79-Q78=Q78-Q77,NOT(AND(Q77=0,Q78=0)),NOT(AND(Q78=0,Q79=0))),WLS*(Q79-Q78),"#NA")</f>
        <v>#VALUE!</v>
      </c>
      <c r="AD77" s="93"/>
      <c r="AH77" s="6" t="s">
        <v>93</v>
      </c>
      <c r="AI77" s="70">
        <f>WLS*(AD79-AD78)</f>
        <v>2</v>
      </c>
      <c r="AU77" s="81"/>
    </row>
    <row r="78" spans="1:47" x14ac:dyDescent="0.25">
      <c r="A78" s="84">
        <f>A77+1</f>
        <v>9</v>
      </c>
      <c r="B78" s="84">
        <f t="shared" si="27"/>
        <v>4.8499999999999996</v>
      </c>
      <c r="C78" s="80">
        <f t="shared" ref="C78" si="30">IF(OR(B80-B79=B79-B78,B80-B79=B79-B77,B80-B79=B79-B76),B79,IF(OR(B80-B78=B78-B77,B80-B78=B78-B76),B78,IF(B80-B77=B77-B76,B77,"#NA")))</f>
        <v>5</v>
      </c>
      <c r="D78" s="76">
        <f>VLOOKUP(C78,STN_TABLE,2,FALSE)</f>
        <v>11</v>
      </c>
      <c r="E78" s="81">
        <v>4</v>
      </c>
      <c r="F78" s="76">
        <f>D78*E78</f>
        <v>44</v>
      </c>
      <c r="G78" s="77">
        <f>C78</f>
        <v>5</v>
      </c>
      <c r="H78" s="77">
        <f>F78*G78</f>
        <v>220</v>
      </c>
      <c r="I78" s="495" t="s">
        <v>97</v>
      </c>
      <c r="J78" s="496"/>
      <c r="K78" s="78" t="s">
        <v>98</v>
      </c>
      <c r="L78" s="78"/>
      <c r="M78" s="7" t="s">
        <v>99</v>
      </c>
      <c r="N78" s="7"/>
      <c r="O78" s="99">
        <f>O77+1</f>
        <v>11</v>
      </c>
      <c r="P78" s="99">
        <f t="shared" si="23"/>
        <v>6</v>
      </c>
      <c r="Q78" s="76">
        <f>P78</f>
        <v>6</v>
      </c>
      <c r="R78" s="77">
        <f>VLOOKUP(Q78,STN_TABLE,2,FALSE)</f>
        <v>11</v>
      </c>
      <c r="S78" s="77">
        <v>8</v>
      </c>
      <c r="T78" s="76">
        <f>R78*S78</f>
        <v>88</v>
      </c>
      <c r="U78" s="80">
        <v>10</v>
      </c>
      <c r="V78" s="76">
        <f>R78*U78</f>
        <v>110</v>
      </c>
      <c r="W78" s="496" t="s">
        <v>97</v>
      </c>
      <c r="X78" s="496"/>
      <c r="Y78" s="496" t="s">
        <v>98</v>
      </c>
      <c r="Z78" s="496"/>
      <c r="AA78" s="494" t="s">
        <v>99</v>
      </c>
      <c r="AB78" s="494"/>
      <c r="AC78" s="99">
        <f>AC73+1</f>
        <v>10</v>
      </c>
      <c r="AD78" s="95">
        <f>VLOOKUP(AC78,STN_TABLE_2,2,FALSE)</f>
        <v>5</v>
      </c>
      <c r="AE78" s="68">
        <f>VLOOKUP(AD78,STN_TABLE,2,FALSE)</f>
        <v>11</v>
      </c>
      <c r="AF78" s="68">
        <v>1</v>
      </c>
      <c r="AG78" s="69">
        <f>AE78*AF78</f>
        <v>11</v>
      </c>
      <c r="AH78" s="496" t="s">
        <v>97</v>
      </c>
      <c r="AI78" s="496"/>
      <c r="AJ78" s="496" t="s">
        <v>98</v>
      </c>
      <c r="AK78" s="496"/>
      <c r="AL78" s="494" t="s">
        <v>99</v>
      </c>
      <c r="AM78" s="494"/>
      <c r="AP78" s="86" t="s">
        <v>112</v>
      </c>
      <c r="AQ78" s="89" t="s">
        <v>113</v>
      </c>
      <c r="AR78" s="89" t="s">
        <v>114</v>
      </c>
      <c r="AS78" s="89" t="s">
        <v>115</v>
      </c>
      <c r="AU78" s="81"/>
    </row>
    <row r="79" spans="1:47" x14ac:dyDescent="0.25">
      <c r="A79" s="84">
        <f>A78+1</f>
        <v>10</v>
      </c>
      <c r="B79" s="84">
        <f t="shared" si="27"/>
        <v>5</v>
      </c>
      <c r="C79" s="88">
        <f t="shared" ref="C79" si="31">B80</f>
        <v>6</v>
      </c>
      <c r="D79" s="82">
        <f>VLOOKUP(C79,STN_TABLE,2,FALSE)</f>
        <v>11</v>
      </c>
      <c r="E79" s="92">
        <v>1</v>
      </c>
      <c r="F79" s="82">
        <f>D79*E79</f>
        <v>11</v>
      </c>
      <c r="G79" s="83">
        <f>C79</f>
        <v>6</v>
      </c>
      <c r="H79" s="83">
        <f>F79*G79</f>
        <v>66</v>
      </c>
      <c r="I79" s="84" t="str">
        <f>CONCATENATE("a'(",C79,")=")</f>
        <v>a'(6)=</v>
      </c>
      <c r="J79" s="84">
        <f>2*J77/3*F80</f>
        <v>88</v>
      </c>
      <c r="K79" s="84" t="str">
        <f>CONCATENATE("A(",C77,")=")</f>
        <v>A(4)=</v>
      </c>
      <c r="L79" s="84">
        <f>VLOOKUP(C77,STN_TABLE,3,FALSE)</f>
        <v>174.57333333333332</v>
      </c>
      <c r="M79" t="str">
        <f>CONCATENATE("A(",C79,")=")</f>
        <v>A(6)=</v>
      </c>
      <c r="N79">
        <f>J79+L79</f>
        <v>262.57333333333332</v>
      </c>
      <c r="O79" s="99">
        <f>O78+1</f>
        <v>12</v>
      </c>
      <c r="P79" s="99">
        <f t="shared" si="23"/>
        <v>6.5</v>
      </c>
      <c r="Q79" s="82" t="e">
        <f>IF(P79-P78=P78-P77,P79,IF(P80-P78=P78-P77,P80,IF(P79-P78=P78-P76,P79,IF(P80-P78=P78-P76,P80,"-"))))</f>
        <v>#VALUE!</v>
      </c>
      <c r="R79" s="83" t="e">
        <f>VLOOKUP(Q79,STN_TABLE,2,FALSE)</f>
        <v>#VALUE!</v>
      </c>
      <c r="S79" s="83">
        <v>-1</v>
      </c>
      <c r="T79" s="82" t="e">
        <f>R79*S79</f>
        <v>#VALUE!</v>
      </c>
      <c r="U79" s="88">
        <v>-1</v>
      </c>
      <c r="V79" s="82" t="e">
        <f>R79*U79</f>
        <v>#VALUE!</v>
      </c>
      <c r="W79" s="84" t="str">
        <f>CONCATENATE("a'(",Q78,")=")</f>
        <v>a'(6)=</v>
      </c>
      <c r="X79" s="84" t="e">
        <f>2*X77/12*T80</f>
        <v>#VALUE!</v>
      </c>
      <c r="Y79" s="84" t="e">
        <f>CONCATENATE("A(",Q77,")=")</f>
        <v>#VALUE!</v>
      </c>
      <c r="Z79" s="84" t="e">
        <f>VLOOKUP(Q77,STN_TABLE,3,FALSE)</f>
        <v>#VALUE!</v>
      </c>
      <c r="AA79" t="str">
        <f>CONCATENATE("A(",Q78,")=")</f>
        <v>A(6)=</v>
      </c>
      <c r="AB79" t="e">
        <f>X79+Z79</f>
        <v>#VALUE!</v>
      </c>
      <c r="AC79" s="99">
        <f>AC78+1</f>
        <v>11</v>
      </c>
      <c r="AD79" s="100">
        <f>VLOOKUP(AC79,STN_TABLE_2,2,FALSE)</f>
        <v>6</v>
      </c>
      <c r="AE79" s="82">
        <f>VLOOKUP(AD79,STN_TABLE,2,FALSE)</f>
        <v>11</v>
      </c>
      <c r="AF79" s="82">
        <v>2</v>
      </c>
      <c r="AG79" s="83">
        <f>AE79*AF79</f>
        <v>22</v>
      </c>
      <c r="AH79" s="84" t="str">
        <f>CONCATENATE("a'(",AD79,")=")</f>
        <v>a'(6)=</v>
      </c>
      <c r="AI79" s="84">
        <f>2*AI77/2*AE80</f>
        <v>44</v>
      </c>
      <c r="AJ79" s="84" t="str">
        <f>CONCATENATE("A(",AD78,")=")</f>
        <v>A(5)=</v>
      </c>
      <c r="AK79" s="84">
        <f>VLOOKUP(AD78,STN_TABLE,3,FALSE)</f>
        <v>218.57333333333332</v>
      </c>
      <c r="AL79" t="str">
        <f>CONCATENATE("A(",AD79,")=")</f>
        <v>A(6)=</v>
      </c>
      <c r="AM79">
        <f>AI79+AK79</f>
        <v>262.57333333333332</v>
      </c>
      <c r="AO79" s="68" t="str">
        <f>AA79</f>
        <v>A(6)=</v>
      </c>
      <c r="AP79" s="68" t="e">
        <f>VLOOKUP(AO79,Rise_Results,2,FALSE)</f>
        <v>#N/A</v>
      </c>
      <c r="AQ79" s="76">
        <f>N79</f>
        <v>262.57333333333332</v>
      </c>
      <c r="AR79" s="76" t="e">
        <f>IF(OR(AB79&lt;=0,AB80&lt;=0),1/0,AB79)</f>
        <v>#VALUE!</v>
      </c>
      <c r="AS79" s="76">
        <f>AM79</f>
        <v>262.57333333333332</v>
      </c>
      <c r="AT79">
        <f>IFERROR(AP79,IFERROR(AQ79,IFERROR(AR79,AS79)))</f>
        <v>262.57333333333332</v>
      </c>
      <c r="AU79" s="81"/>
    </row>
    <row r="80" spans="1:47" x14ac:dyDescent="0.25">
      <c r="A80" s="84">
        <f>A79+1</f>
        <v>11</v>
      </c>
      <c r="B80" s="84">
        <f t="shared" si="27"/>
        <v>6</v>
      </c>
      <c r="F80" s="82">
        <f>SUM(F77:F79)</f>
        <v>66</v>
      </c>
      <c r="H80" s="82">
        <f>SUM(H77:H79)</f>
        <v>330</v>
      </c>
      <c r="I80" s="84" t="str">
        <f>CONCATENATE("m'(",C79,")=")</f>
        <v>m'(6)=</v>
      </c>
      <c r="J80" s="84">
        <f>2*(J77*(WLS))/3*H80</f>
        <v>880</v>
      </c>
      <c r="K80" s="84" t="str">
        <f>CONCATENATE("M(",C77,")=")</f>
        <v>M(4)=</v>
      </c>
      <c r="L80" s="84">
        <f>VLOOKUP(C77,STN_TABLE,4,FALSE)</f>
        <v>703.3266666666666</v>
      </c>
      <c r="M80" t="str">
        <f>CONCATENATE("M(",C79,")=")</f>
        <v>M(6)=</v>
      </c>
      <c r="N80">
        <f>J80+L80</f>
        <v>1583.3266666666666</v>
      </c>
      <c r="O80" s="99">
        <f>O79+1</f>
        <v>13</v>
      </c>
      <c r="P80" s="99" t="str">
        <f t="shared" si="23"/>
        <v xml:space="preserve">  </v>
      </c>
      <c r="T80" s="89" t="e">
        <f>SUM(T77:T79)</f>
        <v>#VALUE!</v>
      </c>
      <c r="V80" s="82" t="e">
        <f>SUM(V77:V79)</f>
        <v>#VALUE!</v>
      </c>
      <c r="W80" s="84" t="str">
        <f>CONCATENATE("m'(",Q78,")=")</f>
        <v>m'(6)=</v>
      </c>
      <c r="X80" s="84" t="e">
        <f>(2*(X77^2)/24*V80)+(X79*Q77*WLS)</f>
        <v>#VALUE!</v>
      </c>
      <c r="Y80" s="84" t="e">
        <f>CONCATENATE("M(",Q77,")=")</f>
        <v>#VALUE!</v>
      </c>
      <c r="Z80" s="84" t="e">
        <f>VLOOKUP(Q77,STN_TABLE,4,FALSE)</f>
        <v>#VALUE!</v>
      </c>
      <c r="AA80" t="str">
        <f>CONCATENATE("M(",Q78,")=")</f>
        <v>M(6)=</v>
      </c>
      <c r="AB80" t="e">
        <f>X80+Z80</f>
        <v>#VALUE!</v>
      </c>
      <c r="AE80" s="89">
        <f>SUM(AE78:AE79)</f>
        <v>22</v>
      </c>
      <c r="AG80" s="89">
        <f>SUM(AG78:AG79)</f>
        <v>33</v>
      </c>
      <c r="AH80" s="84" t="str">
        <f>CONCATENATE("m'(",AD79,")=")</f>
        <v>m'(6)=</v>
      </c>
      <c r="AI80" s="84">
        <f>(2*(AI77^2)/6*AG80)+(AI79*AD78*WLS)</f>
        <v>484</v>
      </c>
      <c r="AJ80" s="84" t="str">
        <f>CONCATENATE("M(",AD78,")=")</f>
        <v>M(5)=</v>
      </c>
      <c r="AK80" s="84">
        <f>VLOOKUP(AD78,STN_TABLE,4,FALSE)</f>
        <v>1099.3266666666666</v>
      </c>
      <c r="AL80" t="str">
        <f>CONCATENATE("M(",AD79,")=")</f>
        <v>M(6)=</v>
      </c>
      <c r="AM80">
        <f>AI80+AK80</f>
        <v>1583.3266666666666</v>
      </c>
      <c r="AO80" s="82" t="str">
        <f>AA80</f>
        <v>M(6)=</v>
      </c>
      <c r="AP80" s="82" t="e">
        <f>VLOOKUP(AO80,Rise_Results,2,FALSE)</f>
        <v>#N/A</v>
      </c>
      <c r="AQ80" s="82">
        <f>N80</f>
        <v>1583.3266666666666</v>
      </c>
      <c r="AR80" s="82" t="e">
        <f>IF(OR(AB79&lt;=0,AB80&lt;=0),1/0,AB80)</f>
        <v>#VALUE!</v>
      </c>
      <c r="AS80" s="82">
        <f>AM80</f>
        <v>1583.3266666666666</v>
      </c>
      <c r="AT80">
        <f>IFERROR(AP80,IFERROR(AQ80,IFERROR(AR80,AS80)))</f>
        <v>1583.3266666666666</v>
      </c>
      <c r="AU80" s="81"/>
    </row>
    <row r="81" spans="1:47" x14ac:dyDescent="0.25">
      <c r="A81" s="101">
        <f>A76+1</f>
        <v>8</v>
      </c>
      <c r="B81" s="101">
        <f t="shared" si="27"/>
        <v>4</v>
      </c>
      <c r="O81" s="101">
        <f>O76+1</f>
        <v>10</v>
      </c>
      <c r="P81" s="101">
        <f t="shared" si="23"/>
        <v>5</v>
      </c>
      <c r="AU81" s="81"/>
    </row>
    <row r="82" spans="1:47" x14ac:dyDescent="0.25">
      <c r="A82" s="84">
        <f>A81+1</f>
        <v>9</v>
      </c>
      <c r="B82" s="84">
        <f t="shared" si="27"/>
        <v>4.8499999999999996</v>
      </c>
      <c r="C82" s="79" t="str">
        <f t="shared" ref="C82" si="32">IF(C83=B84,IF(C84-C83=C83-B83,B83,IF(C84-C83=C83-B82,B82,"#NA")),IF(C83=B83,IF(C84-C83=C83-B82,B82,IF(C84-C83=C83-B81,B81,"#NA")),"#NA"))</f>
        <v>#NA</v>
      </c>
      <c r="D82" s="68" t="e">
        <f>VLOOKUP(C82,STN_TABLE,2,FALSE)</f>
        <v>#N/A</v>
      </c>
      <c r="E82" s="102">
        <v>1</v>
      </c>
      <c r="F82" s="68" t="e">
        <f>D82*E82</f>
        <v>#N/A</v>
      </c>
      <c r="G82" s="69" t="str">
        <f>C82</f>
        <v>#NA</v>
      </c>
      <c r="H82" s="69" t="e">
        <f>F82*G82</f>
        <v>#N/A</v>
      </c>
      <c r="I82" s="6" t="s">
        <v>93</v>
      </c>
      <c r="J82" s="70" t="e">
        <f>IF(OR(D82=0,D83=0,D84=0),"#NA",IF(AND(C84-C83=C83-C82,C83&lt;&gt;C84,C82&lt;&gt;C83,C82&lt;&gt;C84,D84&lt;&gt;0,OR(D82&lt;&gt;0,D83&lt;&gt;0)),WLS*(C84-C83),"#NA"))</f>
        <v>#N/A</v>
      </c>
      <c r="O82" s="99">
        <f>O81+1</f>
        <v>11</v>
      </c>
      <c r="P82" s="99">
        <f t="shared" si="23"/>
        <v>6</v>
      </c>
      <c r="Q82" s="68" t="e">
        <f>IF(OR(P84-P83=P83-P82,P85-P83=P83-P82),P82,IF(OR(P84-P83=P83-P81,P85-P83=P83-P81),P81,"-"))</f>
        <v>#VALUE!</v>
      </c>
      <c r="R82" s="69" t="e">
        <f>VLOOKUP(Q82,STN_TABLE,2,FALSE)</f>
        <v>#VALUE!</v>
      </c>
      <c r="S82" s="69">
        <v>5</v>
      </c>
      <c r="T82" s="68" t="e">
        <f>R82*S82</f>
        <v>#VALUE!</v>
      </c>
      <c r="U82" s="79">
        <v>3</v>
      </c>
      <c r="V82" s="68" t="e">
        <f>R82*U82</f>
        <v>#VALUE!</v>
      </c>
      <c r="W82" s="6" t="s">
        <v>93</v>
      </c>
      <c r="X82" s="70" t="e">
        <f>IF(AND(Q84-Q83=Q83-Q82,NOT(AND(Q82=0,Q83=0)),NOT(AND(Q83=0,Q84=0))),WLS*(Q84-Q83),"#NA")</f>
        <v>#VALUE!</v>
      </c>
      <c r="AD82" s="93"/>
      <c r="AH82" s="6" t="s">
        <v>93</v>
      </c>
      <c r="AI82" s="70">
        <f>WLS*(AD84-AD83)</f>
        <v>1</v>
      </c>
      <c r="AU82" s="81"/>
    </row>
    <row r="83" spans="1:47" x14ac:dyDescent="0.25">
      <c r="A83" s="84">
        <f>A82+1</f>
        <v>10</v>
      </c>
      <c r="B83" s="84">
        <f t="shared" si="27"/>
        <v>5</v>
      </c>
      <c r="C83" s="80" t="str">
        <f t="shared" ref="C83" si="33">IF(OR(B85-B84=B84-B83,B85-B84=B84-B82,B85-B84=B84-B81),B84,IF(OR(B85-B83=B83-B82,B85-B83=B83-B81),B83,IF(B85-B82=B82-B81,B82,"#NA")))</f>
        <v>#NA</v>
      </c>
      <c r="D83" s="76" t="e">
        <f>VLOOKUP(C83,STN_TABLE,2,FALSE)</f>
        <v>#N/A</v>
      </c>
      <c r="E83" s="81">
        <v>4</v>
      </c>
      <c r="F83" s="76" t="e">
        <f>D83*E83</f>
        <v>#N/A</v>
      </c>
      <c r="G83" s="77" t="str">
        <f>C83</f>
        <v>#NA</v>
      </c>
      <c r="H83" s="77" t="e">
        <f>F83*G83</f>
        <v>#N/A</v>
      </c>
      <c r="I83" s="495" t="s">
        <v>97</v>
      </c>
      <c r="J83" s="496"/>
      <c r="K83" s="78" t="s">
        <v>98</v>
      </c>
      <c r="L83" s="78"/>
      <c r="M83" s="7" t="s">
        <v>99</v>
      </c>
      <c r="N83" s="7"/>
      <c r="O83" s="99">
        <f>O82+1</f>
        <v>12</v>
      </c>
      <c r="P83" s="99">
        <f t="shared" si="23"/>
        <v>6.5</v>
      </c>
      <c r="Q83" s="76">
        <f>P83</f>
        <v>6.5</v>
      </c>
      <c r="R83" s="77">
        <f>VLOOKUP(Q83,STN_TABLE,2,FALSE)</f>
        <v>11</v>
      </c>
      <c r="S83" s="77">
        <v>8</v>
      </c>
      <c r="T83" s="76">
        <f>R83*S83</f>
        <v>88</v>
      </c>
      <c r="U83" s="80">
        <v>10</v>
      </c>
      <c r="V83" s="76">
        <f>R83*U83</f>
        <v>110</v>
      </c>
      <c r="W83" s="496" t="s">
        <v>97</v>
      </c>
      <c r="X83" s="496"/>
      <c r="Y83" s="496" t="s">
        <v>98</v>
      </c>
      <c r="Z83" s="496"/>
      <c r="AA83" s="494" t="s">
        <v>99</v>
      </c>
      <c r="AB83" s="494"/>
      <c r="AC83" s="99">
        <f>AC78+1</f>
        <v>11</v>
      </c>
      <c r="AD83" s="95">
        <f>VLOOKUP(AC83,STN_TABLE_2,2,FALSE)</f>
        <v>6</v>
      </c>
      <c r="AE83" s="68">
        <f>VLOOKUP(AD83,STN_TABLE,2,FALSE)</f>
        <v>11</v>
      </c>
      <c r="AF83" s="68">
        <v>1</v>
      </c>
      <c r="AG83" s="69">
        <f>AE83*AF83</f>
        <v>11</v>
      </c>
      <c r="AH83" s="496" t="s">
        <v>97</v>
      </c>
      <c r="AI83" s="496"/>
      <c r="AJ83" s="496" t="s">
        <v>98</v>
      </c>
      <c r="AK83" s="496"/>
      <c r="AL83" s="494" t="s">
        <v>99</v>
      </c>
      <c r="AM83" s="494"/>
      <c r="AP83" s="86" t="s">
        <v>112</v>
      </c>
      <c r="AQ83" s="89" t="s">
        <v>113</v>
      </c>
      <c r="AR83" s="89" t="s">
        <v>114</v>
      </c>
      <c r="AS83" s="89" t="s">
        <v>115</v>
      </c>
      <c r="AU83" s="81"/>
    </row>
    <row r="84" spans="1:47" x14ac:dyDescent="0.25">
      <c r="A84" s="84">
        <f>A83+1</f>
        <v>11</v>
      </c>
      <c r="B84" s="84">
        <f t="shared" si="27"/>
        <v>6</v>
      </c>
      <c r="C84" s="88">
        <f t="shared" ref="C84" si="34">B85</f>
        <v>6.5</v>
      </c>
      <c r="D84" s="82">
        <f>VLOOKUP(C84,STN_TABLE,2,FALSE)</f>
        <v>11</v>
      </c>
      <c r="E84" s="92">
        <v>1</v>
      </c>
      <c r="F84" s="82">
        <f>D84*E84</f>
        <v>11</v>
      </c>
      <c r="G84" s="83">
        <f>C84</f>
        <v>6.5</v>
      </c>
      <c r="H84" s="83">
        <f>F84*G84</f>
        <v>71.5</v>
      </c>
      <c r="I84" s="84" t="str">
        <f>CONCATENATE("a'(",C84,")=")</f>
        <v>a'(6.5)=</v>
      </c>
      <c r="J84" s="84" t="e">
        <f>2*J82/3*F85</f>
        <v>#N/A</v>
      </c>
      <c r="K84" s="84" t="str">
        <f>CONCATENATE("A(",C82,")=")</f>
        <v>A(#NA)=</v>
      </c>
      <c r="L84" s="84" t="e">
        <f>VLOOKUP(C82,STN_TABLE,3,FALSE)</f>
        <v>#N/A</v>
      </c>
      <c r="M84" t="str">
        <f>CONCATENATE("A(",C84,")=")</f>
        <v>A(6.5)=</v>
      </c>
      <c r="N84" t="e">
        <f>J84+L84</f>
        <v>#N/A</v>
      </c>
      <c r="O84" s="99">
        <f>O83+1</f>
        <v>13</v>
      </c>
      <c r="P84" s="99" t="str">
        <f t="shared" si="23"/>
        <v xml:space="preserve">  </v>
      </c>
      <c r="Q84" s="82" t="e">
        <f>IF(P84-P83=P83-P82,P84,IF(P85-P83=P83-P82,P85,IF(P84-P83=P83-P81,P84,IF(P85-P83=P83-P81,P85,"-"))))</f>
        <v>#VALUE!</v>
      </c>
      <c r="R84" s="83" t="e">
        <f>VLOOKUP(Q84,STN_TABLE,2,FALSE)</f>
        <v>#VALUE!</v>
      </c>
      <c r="S84" s="83">
        <v>-1</v>
      </c>
      <c r="T84" s="82" t="e">
        <f>R84*S84</f>
        <v>#VALUE!</v>
      </c>
      <c r="U84" s="88">
        <v>-1</v>
      </c>
      <c r="V84" s="82" t="e">
        <f>R84*U84</f>
        <v>#VALUE!</v>
      </c>
      <c r="W84" s="84" t="str">
        <f>CONCATENATE("a'(",Q83,")=")</f>
        <v>a'(6.5)=</v>
      </c>
      <c r="X84" s="84" t="e">
        <f>2*X82/12*T85</f>
        <v>#VALUE!</v>
      </c>
      <c r="Y84" s="84" t="e">
        <f>CONCATENATE("A(",Q82,")=")</f>
        <v>#VALUE!</v>
      </c>
      <c r="Z84" s="84" t="e">
        <f>VLOOKUP(Q82,STN_TABLE,3,FALSE)</f>
        <v>#VALUE!</v>
      </c>
      <c r="AA84" t="str">
        <f>CONCATENATE("A(",Q83,")=")</f>
        <v>A(6.5)=</v>
      </c>
      <c r="AB84" t="e">
        <f>X84+Z84</f>
        <v>#VALUE!</v>
      </c>
      <c r="AC84" s="99">
        <f>AC83+1</f>
        <v>12</v>
      </c>
      <c r="AD84" s="100">
        <f>VLOOKUP(AC84,STN_TABLE_2,2,FALSE)</f>
        <v>6.5</v>
      </c>
      <c r="AE84" s="82">
        <f>VLOOKUP(AD84,STN_TABLE,2,FALSE)</f>
        <v>11</v>
      </c>
      <c r="AF84" s="82">
        <v>2</v>
      </c>
      <c r="AG84" s="83">
        <f>AE84*AF84</f>
        <v>22</v>
      </c>
      <c r="AH84" s="84" t="str">
        <f>CONCATENATE("a'(",AD84,")=")</f>
        <v>a'(6.5)=</v>
      </c>
      <c r="AI84" s="84">
        <f>2*AI82/2*AE85</f>
        <v>22</v>
      </c>
      <c r="AJ84" s="84" t="str">
        <f>CONCATENATE("A(",AD83,")=")</f>
        <v>A(6)=</v>
      </c>
      <c r="AK84" s="84">
        <f>VLOOKUP(AD83,STN_TABLE,3,FALSE)</f>
        <v>262.57333333333332</v>
      </c>
      <c r="AL84" t="str">
        <f>CONCATENATE("A(",AD84,")=")</f>
        <v>A(6.5)=</v>
      </c>
      <c r="AM84">
        <f>AI84+AK84</f>
        <v>284.57333333333332</v>
      </c>
      <c r="AO84" s="68" t="str">
        <f>AA84</f>
        <v>A(6.5)=</v>
      </c>
      <c r="AP84" s="68" t="e">
        <f>VLOOKUP(AO84,Rise_Results,2,FALSE)</f>
        <v>#N/A</v>
      </c>
      <c r="AQ84" s="76" t="e">
        <f>N84</f>
        <v>#N/A</v>
      </c>
      <c r="AR84" s="76" t="e">
        <f>IF(OR(AB84&lt;=0,AB85&lt;=0),1/0,AB84)</f>
        <v>#VALUE!</v>
      </c>
      <c r="AS84" s="76">
        <f>AM84</f>
        <v>284.57333333333332</v>
      </c>
      <c r="AT84">
        <f>IFERROR(AP84,IFERROR(AQ84,IFERROR(AR84,AS84)))</f>
        <v>284.57333333333332</v>
      </c>
      <c r="AU84" s="81"/>
    </row>
    <row r="85" spans="1:47" x14ac:dyDescent="0.25">
      <c r="A85" s="84">
        <f>A84+1</f>
        <v>12</v>
      </c>
      <c r="B85" s="84">
        <f t="shared" si="27"/>
        <v>6.5</v>
      </c>
      <c r="F85" s="82" t="e">
        <f>SUM(F82:F84)</f>
        <v>#N/A</v>
      </c>
      <c r="H85" s="82" t="e">
        <f>SUM(H82:H84)</f>
        <v>#N/A</v>
      </c>
      <c r="I85" s="84" t="str">
        <f>CONCATENATE("m'(",C84,")=")</f>
        <v>m'(6.5)=</v>
      </c>
      <c r="J85" s="84" t="e">
        <f>2*(J82*(WLS))/3*H85</f>
        <v>#N/A</v>
      </c>
      <c r="K85" s="84" t="str">
        <f>CONCATENATE("M(",C82,")=")</f>
        <v>M(#NA)=</v>
      </c>
      <c r="L85" s="84" t="e">
        <f>VLOOKUP(C82,STN_TABLE,4,FALSE)</f>
        <v>#N/A</v>
      </c>
      <c r="M85" t="str">
        <f>CONCATENATE("M(",C84,")=")</f>
        <v>M(6.5)=</v>
      </c>
      <c r="N85" t="e">
        <f>J85+L85</f>
        <v>#N/A</v>
      </c>
      <c r="O85" s="99">
        <f>O84+1</f>
        <v>14</v>
      </c>
      <c r="P85" s="99" t="str">
        <f t="shared" si="23"/>
        <v xml:space="preserve">  </v>
      </c>
      <c r="T85" s="89" t="e">
        <f>SUM(T82:T84)</f>
        <v>#VALUE!</v>
      </c>
      <c r="V85" s="82" t="e">
        <f>SUM(V82:V84)</f>
        <v>#VALUE!</v>
      </c>
      <c r="W85" s="84" t="str">
        <f>CONCATENATE("m'(",Q83,")=")</f>
        <v>m'(6.5)=</v>
      </c>
      <c r="X85" s="84" t="e">
        <f>(2*(X82^2)/24*V85)+(X84*Q82*WLS)</f>
        <v>#VALUE!</v>
      </c>
      <c r="Y85" s="84" t="e">
        <f>CONCATENATE("M(",Q82,")=")</f>
        <v>#VALUE!</v>
      </c>
      <c r="Z85" s="84" t="e">
        <f>VLOOKUP(Q82,STN_TABLE,4,FALSE)</f>
        <v>#VALUE!</v>
      </c>
      <c r="AA85" t="str">
        <f>CONCATENATE("M(",Q83,")=")</f>
        <v>M(6.5)=</v>
      </c>
      <c r="AB85" t="e">
        <f>X85+Z85</f>
        <v>#VALUE!</v>
      </c>
      <c r="AE85" s="89">
        <f>SUM(AE83:AE84)</f>
        <v>22</v>
      </c>
      <c r="AG85" s="89">
        <f>SUM(AG83:AG84)</f>
        <v>33</v>
      </c>
      <c r="AH85" s="84" t="str">
        <f>CONCATENATE("m'(",AD84,")=")</f>
        <v>m'(6.5)=</v>
      </c>
      <c r="AI85" s="84">
        <f>(2*(AI82^2)/6*AG85)+(AI84*AD83*WLS)</f>
        <v>275</v>
      </c>
      <c r="AJ85" s="84" t="str">
        <f>CONCATENATE("M(",AD83,")=")</f>
        <v>M(6)=</v>
      </c>
      <c r="AK85" s="84">
        <f>VLOOKUP(AD83,STN_TABLE,4,FALSE)</f>
        <v>1583.3266666666666</v>
      </c>
      <c r="AL85" t="str">
        <f>CONCATENATE("M(",AD84,")=")</f>
        <v>M(6.5)=</v>
      </c>
      <c r="AM85">
        <f>AI85+AK85</f>
        <v>1858.3266666666666</v>
      </c>
      <c r="AO85" s="82" t="str">
        <f>AA85</f>
        <v>M(6.5)=</v>
      </c>
      <c r="AP85" s="82" t="e">
        <f>VLOOKUP(AO85,Rise_Results,2,FALSE)</f>
        <v>#N/A</v>
      </c>
      <c r="AQ85" s="82" t="e">
        <f>N85</f>
        <v>#N/A</v>
      </c>
      <c r="AR85" s="82" t="e">
        <f>IF(OR(AB84&lt;=0,AB85&lt;=0),1/0,AB85)</f>
        <v>#VALUE!</v>
      </c>
      <c r="AS85" s="82">
        <f>AM85</f>
        <v>1858.3266666666666</v>
      </c>
      <c r="AT85">
        <f>IFERROR(AP85,IFERROR(AQ85,IFERROR(AR85,AS85)))</f>
        <v>1858.3266666666666</v>
      </c>
      <c r="AU85" s="81"/>
    </row>
    <row r="86" spans="1:47" x14ac:dyDescent="0.25">
      <c r="A86" s="101">
        <f>A81+1</f>
        <v>9</v>
      </c>
      <c r="B86" s="101">
        <f t="shared" si="27"/>
        <v>4.8499999999999996</v>
      </c>
      <c r="O86" s="101">
        <f>O81+1</f>
        <v>11</v>
      </c>
      <c r="P86" s="101">
        <f t="shared" si="23"/>
        <v>6</v>
      </c>
      <c r="AU86" s="81"/>
    </row>
    <row r="87" spans="1:47" x14ac:dyDescent="0.25">
      <c r="A87" s="84">
        <f>A86+1</f>
        <v>10</v>
      </c>
      <c r="B87" s="84">
        <f t="shared" si="27"/>
        <v>5</v>
      </c>
      <c r="C87" s="79" t="e">
        <f t="shared" ref="C87" si="35">IF(C88=B89,IF(C89-C88=C88-B88,B88,IF(C89-C88=C88-B87,B87,"#NA")),IF(C88=B88,IF(C89-C88=C88-B87,B87,IF(C89-C88=C88-B86,B86,"#NA")),"#NA"))</f>
        <v>#VALUE!</v>
      </c>
      <c r="D87" s="68" t="e">
        <f>VLOOKUP(C87,STN_TABLE,2,FALSE)</f>
        <v>#VALUE!</v>
      </c>
      <c r="E87" s="102">
        <v>1</v>
      </c>
      <c r="F87" s="68" t="e">
        <f>D87*E87</f>
        <v>#VALUE!</v>
      </c>
      <c r="G87" s="69" t="e">
        <f>C87</f>
        <v>#VALUE!</v>
      </c>
      <c r="H87" s="69" t="e">
        <f>F87*G87</f>
        <v>#VALUE!</v>
      </c>
      <c r="I87" s="6" t="s">
        <v>93</v>
      </c>
      <c r="J87" s="70" t="e">
        <f>IF(OR(D87=0,D88=0,D89=0),"#NA",IF(AND(C89-C88=C88-C87,C88&lt;&gt;C89,C87&lt;&gt;C88,C87&lt;&gt;C89,D89&lt;&gt;0,OR(D87&lt;&gt;0,D88&lt;&gt;0)),WLS*(C89-C88),"#NA"))</f>
        <v>#VALUE!</v>
      </c>
      <c r="O87" s="99">
        <f>O86+1</f>
        <v>12</v>
      </c>
      <c r="P87" s="99">
        <f t="shared" si="23"/>
        <v>6.5</v>
      </c>
      <c r="Q87" s="68" t="e">
        <f>IF(OR(P89-P88=P88-P87,P90-P88=P88-P87),P87,IF(OR(P89-P88=P88-P86,P90-P88=P88-P86),P86,"-"))</f>
        <v>#VALUE!</v>
      </c>
      <c r="R87" s="69" t="e">
        <f>VLOOKUP(Q87,STN_TABLE,2,FALSE)</f>
        <v>#VALUE!</v>
      </c>
      <c r="S87" s="69">
        <v>5</v>
      </c>
      <c r="T87" s="68" t="e">
        <f>R87*S87</f>
        <v>#VALUE!</v>
      </c>
      <c r="U87" s="79">
        <v>3</v>
      </c>
      <c r="V87" s="68" t="e">
        <f>R87*U87</f>
        <v>#VALUE!</v>
      </c>
      <c r="W87" s="6" t="s">
        <v>93</v>
      </c>
      <c r="X87" s="70" t="e">
        <f>IF(AND(Q89-Q88=Q88-Q87,NOT(AND(Q87=0,Q88=0)),NOT(AND(Q88=0,Q89=0))),WLS*(Q89-Q88),"#NA")</f>
        <v>#VALUE!</v>
      </c>
      <c r="AD87" s="93"/>
      <c r="AH87" s="6" t="s">
        <v>93</v>
      </c>
      <c r="AI87" s="70" t="e">
        <f>WLS*(AD89-AD88)</f>
        <v>#VALUE!</v>
      </c>
      <c r="AU87" s="81"/>
    </row>
    <row r="88" spans="1:47" x14ac:dyDescent="0.25">
      <c r="A88" s="84">
        <f>A87+1</f>
        <v>11</v>
      </c>
      <c r="B88" s="84">
        <f t="shared" si="27"/>
        <v>6</v>
      </c>
      <c r="C88" s="80" t="e">
        <f t="shared" ref="C88" si="36">IF(OR(B90-B89=B89-B88,B90-B89=B89-B87,B90-B89=B89-B86),B89,IF(OR(B90-B88=B88-B87,B90-B88=B88-B86),B88,IF(B90-B87=B87-B86,B87,"#NA")))</f>
        <v>#VALUE!</v>
      </c>
      <c r="D88" s="76" t="e">
        <f>VLOOKUP(C88,STN_TABLE,2,FALSE)</f>
        <v>#VALUE!</v>
      </c>
      <c r="E88" s="81">
        <v>4</v>
      </c>
      <c r="F88" s="76" t="e">
        <f>D88*E88</f>
        <v>#VALUE!</v>
      </c>
      <c r="G88" s="77" t="e">
        <f>C88</f>
        <v>#VALUE!</v>
      </c>
      <c r="H88" s="77" t="e">
        <f>F88*G88</f>
        <v>#VALUE!</v>
      </c>
      <c r="I88" s="495" t="s">
        <v>97</v>
      </c>
      <c r="J88" s="496"/>
      <c r="K88" s="78" t="s">
        <v>98</v>
      </c>
      <c r="L88" s="78"/>
      <c r="M88" s="7" t="s">
        <v>99</v>
      </c>
      <c r="N88" s="7"/>
      <c r="O88" s="99">
        <f>O87+1</f>
        <v>13</v>
      </c>
      <c r="P88" s="99" t="str">
        <f t="shared" si="23"/>
        <v xml:space="preserve">  </v>
      </c>
      <c r="Q88" s="76" t="str">
        <f>P88</f>
        <v xml:space="preserve">  </v>
      </c>
      <c r="R88" s="77" t="str">
        <f>VLOOKUP(Q88,STN_TABLE,2,FALSE)</f>
        <v xml:space="preserve">  </v>
      </c>
      <c r="S88" s="77">
        <v>8</v>
      </c>
      <c r="T88" s="76" t="e">
        <f>R88*S88</f>
        <v>#VALUE!</v>
      </c>
      <c r="U88" s="80">
        <v>10</v>
      </c>
      <c r="V88" s="76" t="e">
        <f>R88*U88</f>
        <v>#VALUE!</v>
      </c>
      <c r="W88" s="496" t="s">
        <v>97</v>
      </c>
      <c r="X88" s="496"/>
      <c r="Y88" s="496" t="s">
        <v>98</v>
      </c>
      <c r="Z88" s="496"/>
      <c r="AA88" s="494" t="s">
        <v>99</v>
      </c>
      <c r="AB88" s="494"/>
      <c r="AC88" s="99">
        <f>AC83+1</f>
        <v>12</v>
      </c>
      <c r="AD88" s="95">
        <f>VLOOKUP(AC88,STN_TABLE_2,2,FALSE)</f>
        <v>6.5</v>
      </c>
      <c r="AE88" s="68">
        <f>VLOOKUP(AD88,STN_TABLE,2,FALSE)</f>
        <v>11</v>
      </c>
      <c r="AF88" s="68">
        <v>1</v>
      </c>
      <c r="AG88" s="69">
        <f>AE88*AF88</f>
        <v>11</v>
      </c>
      <c r="AH88" s="496" t="s">
        <v>97</v>
      </c>
      <c r="AI88" s="496"/>
      <c r="AJ88" s="496" t="s">
        <v>98</v>
      </c>
      <c r="AK88" s="496"/>
      <c r="AL88" s="494" t="s">
        <v>99</v>
      </c>
      <c r="AM88" s="494"/>
      <c r="AP88" s="86" t="s">
        <v>112</v>
      </c>
      <c r="AQ88" s="89" t="s">
        <v>113</v>
      </c>
      <c r="AR88" s="89" t="s">
        <v>114</v>
      </c>
      <c r="AS88" s="89" t="s">
        <v>115</v>
      </c>
      <c r="AU88" s="81"/>
    </row>
    <row r="89" spans="1:47" x14ac:dyDescent="0.25">
      <c r="A89" s="84">
        <f>A88+1</f>
        <v>12</v>
      </c>
      <c r="B89" s="84">
        <f t="shared" si="27"/>
        <v>6.5</v>
      </c>
      <c r="C89" s="88" t="str">
        <f t="shared" ref="C89" si="37">B90</f>
        <v xml:space="preserve">  </v>
      </c>
      <c r="D89" s="82" t="str">
        <f>VLOOKUP(C89,STN_TABLE,2,FALSE)</f>
        <v xml:space="preserve">  </v>
      </c>
      <c r="E89" s="92">
        <v>1</v>
      </c>
      <c r="F89" s="82" t="e">
        <f>D89*E89</f>
        <v>#VALUE!</v>
      </c>
      <c r="G89" s="83" t="str">
        <f>C89</f>
        <v xml:space="preserve">  </v>
      </c>
      <c r="H89" s="83" t="e">
        <f>F89*G89</f>
        <v>#VALUE!</v>
      </c>
      <c r="I89" s="84" t="str">
        <f>CONCATENATE("a'(",C89,")=")</f>
        <v>a'(  )=</v>
      </c>
      <c r="J89" s="84" t="e">
        <f>2*J87/3*F90</f>
        <v>#VALUE!</v>
      </c>
      <c r="K89" s="84" t="e">
        <f>CONCATENATE("A(",C87,")=")</f>
        <v>#VALUE!</v>
      </c>
      <c r="L89" s="84" t="e">
        <f>VLOOKUP(C87,STN_TABLE,3,FALSE)</f>
        <v>#VALUE!</v>
      </c>
      <c r="M89" t="str">
        <f>CONCATENATE("A(",C89,")=")</f>
        <v>A(  )=</v>
      </c>
      <c r="N89" t="e">
        <f>J89+L89</f>
        <v>#VALUE!</v>
      </c>
      <c r="O89" s="99">
        <f>O88+1</f>
        <v>14</v>
      </c>
      <c r="P89" s="99" t="str">
        <f t="shared" si="23"/>
        <v xml:space="preserve">  </v>
      </c>
      <c r="Q89" s="82" t="e">
        <f>IF(P89-P88=P88-P87,P89,IF(P90-P88=P88-P87,P90,IF(P89-P88=P88-P86,P89,IF(P90-P88=P88-P86,P90,"-"))))</f>
        <v>#VALUE!</v>
      </c>
      <c r="R89" s="83" t="e">
        <f>VLOOKUP(Q89,STN_TABLE,2,FALSE)</f>
        <v>#VALUE!</v>
      </c>
      <c r="S89" s="83">
        <v>-1</v>
      </c>
      <c r="T89" s="82" t="e">
        <f>R89*S89</f>
        <v>#VALUE!</v>
      </c>
      <c r="U89" s="88">
        <v>-1</v>
      </c>
      <c r="V89" s="82" t="e">
        <f>R89*U89</f>
        <v>#VALUE!</v>
      </c>
      <c r="W89" s="84" t="str">
        <f>CONCATENATE("a'(",Q88,")=")</f>
        <v>a'(  )=</v>
      </c>
      <c r="X89" s="84" t="e">
        <f>2*X87/12*T90</f>
        <v>#VALUE!</v>
      </c>
      <c r="Y89" s="84" t="e">
        <f>CONCATENATE("A(",Q87,")=")</f>
        <v>#VALUE!</v>
      </c>
      <c r="Z89" s="84" t="e">
        <f>VLOOKUP(Q87,STN_TABLE,3,FALSE)</f>
        <v>#VALUE!</v>
      </c>
      <c r="AA89" t="str">
        <f>CONCATENATE("A(",Q88,")=")</f>
        <v>A(  )=</v>
      </c>
      <c r="AB89" t="e">
        <f>X89+Z89</f>
        <v>#VALUE!</v>
      </c>
      <c r="AC89" s="99">
        <f>AC88+1</f>
        <v>13</v>
      </c>
      <c r="AD89" s="100" t="str">
        <f>VLOOKUP(AC89,STN_TABLE_2,2,FALSE)</f>
        <v xml:space="preserve">  </v>
      </c>
      <c r="AE89" s="82" t="str">
        <f>VLOOKUP(AD89,STN_TABLE,2,FALSE)</f>
        <v xml:space="preserve">  </v>
      </c>
      <c r="AF89" s="82">
        <v>2</v>
      </c>
      <c r="AG89" s="83" t="e">
        <f>AE89*AF89</f>
        <v>#VALUE!</v>
      </c>
      <c r="AH89" s="84" t="str">
        <f>CONCATENATE("a'(",AD89,")=")</f>
        <v>a'(  )=</v>
      </c>
      <c r="AI89" s="84" t="e">
        <f>2*AI87/2*AE90</f>
        <v>#VALUE!</v>
      </c>
      <c r="AJ89" s="84" t="str">
        <f>CONCATENATE("A(",AD88,")=")</f>
        <v>A(6.5)=</v>
      </c>
      <c r="AK89" s="84">
        <f>VLOOKUP(AD88,STN_TABLE,3,FALSE)</f>
        <v>284.57333333333332</v>
      </c>
      <c r="AL89" t="str">
        <f>CONCATENATE("A(",AD89,")=")</f>
        <v>A(  )=</v>
      </c>
      <c r="AM89" t="e">
        <f>AI89+AK89</f>
        <v>#VALUE!</v>
      </c>
      <c r="AO89" s="68" t="str">
        <f>AA89</f>
        <v>A(  )=</v>
      </c>
      <c r="AP89" s="68" t="e">
        <f>VLOOKUP(AO89,Rise_Results,2,FALSE)</f>
        <v>#N/A</v>
      </c>
      <c r="AQ89" s="76" t="e">
        <f>N89</f>
        <v>#VALUE!</v>
      </c>
      <c r="AR89" s="76" t="e">
        <f>IF(OR(AB89&lt;=0,AB90&lt;=0),1/0,AB89)</f>
        <v>#VALUE!</v>
      </c>
      <c r="AS89" s="76" t="e">
        <f>AM89</f>
        <v>#VALUE!</v>
      </c>
      <c r="AT89" t="e">
        <f>IFERROR(AP89,IFERROR(AQ89,IFERROR(AR89,AS89)))</f>
        <v>#VALUE!</v>
      </c>
      <c r="AU89" s="81"/>
    </row>
    <row r="90" spans="1:47" x14ac:dyDescent="0.25">
      <c r="A90" s="84">
        <f>A89+1</f>
        <v>13</v>
      </c>
      <c r="B90" s="84" t="str">
        <f t="shared" si="27"/>
        <v xml:space="preserve">  </v>
      </c>
      <c r="F90" s="82" t="e">
        <f>SUM(F87:F89)</f>
        <v>#VALUE!</v>
      </c>
      <c r="H90" s="82" t="e">
        <f>SUM(H87:H89)</f>
        <v>#VALUE!</v>
      </c>
      <c r="I90" s="84" t="str">
        <f>CONCATENATE("m'(",C89,")=")</f>
        <v>m'(  )=</v>
      </c>
      <c r="J90" s="84" t="e">
        <f>2*(J87*(WLS))/3*H90</f>
        <v>#VALUE!</v>
      </c>
      <c r="K90" s="84" t="e">
        <f>CONCATENATE("M(",C87,")=")</f>
        <v>#VALUE!</v>
      </c>
      <c r="L90" s="84" t="e">
        <f>VLOOKUP(C87,STN_TABLE,4,FALSE)</f>
        <v>#VALUE!</v>
      </c>
      <c r="M90" t="str">
        <f>CONCATENATE("M(",C89,")=")</f>
        <v>M(  )=</v>
      </c>
      <c r="N90" t="e">
        <f>J90+L90</f>
        <v>#VALUE!</v>
      </c>
      <c r="O90" s="99">
        <f>O89+1</f>
        <v>15</v>
      </c>
      <c r="P90" s="99" t="str">
        <f t="shared" si="23"/>
        <v xml:space="preserve">  </v>
      </c>
      <c r="T90" s="89" t="e">
        <f>SUM(T87:T89)</f>
        <v>#VALUE!</v>
      </c>
      <c r="V90" s="82" t="e">
        <f>SUM(V87:V89)</f>
        <v>#VALUE!</v>
      </c>
      <c r="W90" s="84" t="str">
        <f>CONCATENATE("m'(",Q88,")=")</f>
        <v>m'(  )=</v>
      </c>
      <c r="X90" s="84" t="e">
        <f>(2*(X87^2)/24*V90)+(X89*Q87*WLS)</f>
        <v>#VALUE!</v>
      </c>
      <c r="Y90" s="84" t="e">
        <f>CONCATENATE("M(",Q87,")=")</f>
        <v>#VALUE!</v>
      </c>
      <c r="Z90" s="84" t="e">
        <f>VLOOKUP(Q87,STN_TABLE,4,FALSE)</f>
        <v>#VALUE!</v>
      </c>
      <c r="AA90" t="str">
        <f>CONCATENATE("M(",Q88,")=")</f>
        <v>M(  )=</v>
      </c>
      <c r="AB90" t="e">
        <f>X90+Z90</f>
        <v>#VALUE!</v>
      </c>
      <c r="AE90" s="89">
        <f>SUM(AE88:AE89)</f>
        <v>11</v>
      </c>
      <c r="AG90" s="89" t="e">
        <f>SUM(AG88:AG89)</f>
        <v>#VALUE!</v>
      </c>
      <c r="AH90" s="84" t="str">
        <f>CONCATENATE("m'(",AD89,")=")</f>
        <v>m'(  )=</v>
      </c>
      <c r="AI90" s="84" t="e">
        <f>(2*(AI87^2)/6*AG90)+(AI89*AD88*WLS)</f>
        <v>#VALUE!</v>
      </c>
      <c r="AJ90" s="84" t="str">
        <f>CONCATENATE("M(",AD88,")=")</f>
        <v>M(6.5)=</v>
      </c>
      <c r="AK90" s="84">
        <f>VLOOKUP(AD88,STN_TABLE,4,FALSE)</f>
        <v>1858.3266666666666</v>
      </c>
      <c r="AL90" t="str">
        <f>CONCATENATE("M(",AD89,")=")</f>
        <v>M(  )=</v>
      </c>
      <c r="AM90" t="e">
        <f>AI90+AK90</f>
        <v>#VALUE!</v>
      </c>
      <c r="AO90" s="82" t="str">
        <f>AA90</f>
        <v>M(  )=</v>
      </c>
      <c r="AP90" s="82" t="e">
        <f>VLOOKUP(AO90,Rise_Results,2,FALSE)</f>
        <v>#N/A</v>
      </c>
      <c r="AQ90" s="82" t="e">
        <f>N90</f>
        <v>#VALUE!</v>
      </c>
      <c r="AR90" s="82" t="e">
        <f>IF(OR(AB89&lt;=0,AB90&lt;=0),1/0,AB90)</f>
        <v>#VALUE!</v>
      </c>
      <c r="AS90" s="82" t="e">
        <f>AM90</f>
        <v>#VALUE!</v>
      </c>
      <c r="AT90" t="e">
        <f>IFERROR(AP90,IFERROR(AQ90,IFERROR(AR90,AS90)))</f>
        <v>#VALUE!</v>
      </c>
      <c r="AU90" s="81"/>
    </row>
    <row r="91" spans="1:47" x14ac:dyDescent="0.25">
      <c r="A91" s="101">
        <f>A86+1</f>
        <v>10</v>
      </c>
      <c r="B91" s="101">
        <f t="shared" si="27"/>
        <v>5</v>
      </c>
      <c r="O91" s="101">
        <f>O86+1</f>
        <v>12</v>
      </c>
      <c r="P91" s="101">
        <f t="shared" si="23"/>
        <v>6.5</v>
      </c>
      <c r="AU91" s="81"/>
    </row>
    <row r="92" spans="1:47" x14ac:dyDescent="0.25">
      <c r="A92" s="84">
        <f>A91+1</f>
        <v>11</v>
      </c>
      <c r="B92" s="84">
        <f t="shared" si="27"/>
        <v>6</v>
      </c>
      <c r="C92" s="79" t="e">
        <f t="shared" ref="C92" si="38">IF(C93=B94,IF(C94-C93=C93-B93,B93,IF(C94-C93=C93-B92,B92,"#NA")),IF(C93=B93,IF(C94-C93=C93-B92,B92,IF(C94-C93=C93-B91,B91,"#NA")),"#NA"))</f>
        <v>#VALUE!</v>
      </c>
      <c r="D92" s="68" t="e">
        <f>VLOOKUP(C92,STN_TABLE,2,FALSE)</f>
        <v>#VALUE!</v>
      </c>
      <c r="E92" s="102">
        <v>1</v>
      </c>
      <c r="F92" s="68" t="e">
        <f>D92*E92</f>
        <v>#VALUE!</v>
      </c>
      <c r="G92" s="69" t="e">
        <f>C92</f>
        <v>#VALUE!</v>
      </c>
      <c r="H92" s="69" t="e">
        <f>F92*G92</f>
        <v>#VALUE!</v>
      </c>
      <c r="I92" s="6" t="s">
        <v>93</v>
      </c>
      <c r="J92" s="70" t="e">
        <f>IF(OR(D92=0,D93=0,D94=0),"#NA",IF(AND(C94-C93=C93-C92,C93&lt;&gt;C94,C92&lt;&gt;C93,C92&lt;&gt;C94,D94&lt;&gt;0,OR(D92&lt;&gt;0,D93&lt;&gt;0)),WLS*(C94-C93),"#NA"))</f>
        <v>#VALUE!</v>
      </c>
      <c r="O92" s="99">
        <f>O91+1</f>
        <v>13</v>
      </c>
      <c r="P92" s="99" t="str">
        <f t="shared" si="23"/>
        <v xml:space="preserve">  </v>
      </c>
      <c r="Q92" s="68" t="e">
        <f>IF(OR(P94-P93=P93-P92,P95-P93=P93-P92),P92,IF(OR(P94-P93=P93-P91,P95-P93=P93-P91),P91,"-"))</f>
        <v>#VALUE!</v>
      </c>
      <c r="R92" s="69" t="e">
        <f>VLOOKUP(Q92,STN_TABLE,2,FALSE)</f>
        <v>#VALUE!</v>
      </c>
      <c r="S92" s="69">
        <v>5</v>
      </c>
      <c r="T92" s="68" t="e">
        <f>R92*S92</f>
        <v>#VALUE!</v>
      </c>
      <c r="U92" s="79">
        <v>3</v>
      </c>
      <c r="V92" s="68" t="e">
        <f>R92*U92</f>
        <v>#VALUE!</v>
      </c>
      <c r="W92" s="6" t="s">
        <v>93</v>
      </c>
      <c r="X92" s="70" t="e">
        <f>IF(AND(Q94-Q93=Q93-Q92,NOT(AND(Q92=0,Q93=0)),NOT(AND(Q93=0,Q94=0))),WLS*(Q94-Q93),"#NA")</f>
        <v>#VALUE!</v>
      </c>
      <c r="AD92" s="93"/>
      <c r="AH92" s="6" t="s">
        <v>93</v>
      </c>
      <c r="AI92" s="70" t="e">
        <f>WLS*(AD94-AD93)</f>
        <v>#VALUE!</v>
      </c>
      <c r="AU92" s="81"/>
    </row>
    <row r="93" spans="1:47" x14ac:dyDescent="0.25">
      <c r="A93" s="84">
        <f>A92+1</f>
        <v>12</v>
      </c>
      <c r="B93" s="84">
        <f t="shared" si="27"/>
        <v>6.5</v>
      </c>
      <c r="C93" s="80" t="e">
        <f t="shared" ref="C93" si="39">IF(OR(B95-B94=B94-B93,B95-B94=B94-B92,B95-B94=B94-B91),B94,IF(OR(B95-B93=B93-B92,B95-B93=B93-B91),B93,IF(B95-B92=B92-B91,B92,"#NA")))</f>
        <v>#VALUE!</v>
      </c>
      <c r="D93" s="76" t="e">
        <f>VLOOKUP(C93,STN_TABLE,2,FALSE)</f>
        <v>#VALUE!</v>
      </c>
      <c r="E93" s="81">
        <v>4</v>
      </c>
      <c r="F93" s="76" t="e">
        <f>D93*E93</f>
        <v>#VALUE!</v>
      </c>
      <c r="G93" s="77" t="e">
        <f>C93</f>
        <v>#VALUE!</v>
      </c>
      <c r="H93" s="77" t="e">
        <f>F93*G93</f>
        <v>#VALUE!</v>
      </c>
      <c r="I93" s="495" t="s">
        <v>97</v>
      </c>
      <c r="J93" s="496"/>
      <c r="K93" s="78" t="s">
        <v>98</v>
      </c>
      <c r="L93" s="78"/>
      <c r="M93" s="7" t="s">
        <v>99</v>
      </c>
      <c r="N93" s="7"/>
      <c r="O93" s="99">
        <f>O92+1</f>
        <v>14</v>
      </c>
      <c r="P93" s="99" t="str">
        <f t="shared" si="23"/>
        <v xml:space="preserve">  </v>
      </c>
      <c r="Q93" s="76" t="str">
        <f>P93</f>
        <v xml:space="preserve">  </v>
      </c>
      <c r="R93" s="77" t="str">
        <f>VLOOKUP(Q93,STN_TABLE,2,FALSE)</f>
        <v xml:space="preserve">  </v>
      </c>
      <c r="S93" s="77">
        <v>8</v>
      </c>
      <c r="T93" s="76" t="e">
        <f>R93*S93</f>
        <v>#VALUE!</v>
      </c>
      <c r="U93" s="80">
        <v>10</v>
      </c>
      <c r="V93" s="76" t="e">
        <f>R93*U93</f>
        <v>#VALUE!</v>
      </c>
      <c r="W93" s="496" t="s">
        <v>97</v>
      </c>
      <c r="X93" s="496"/>
      <c r="Y93" s="496" t="s">
        <v>98</v>
      </c>
      <c r="Z93" s="496"/>
      <c r="AA93" s="494" t="s">
        <v>99</v>
      </c>
      <c r="AB93" s="494"/>
      <c r="AC93" s="99">
        <f>AC88+1</f>
        <v>13</v>
      </c>
      <c r="AD93" s="95" t="str">
        <f>VLOOKUP(AC93,STN_TABLE_2,2,FALSE)</f>
        <v xml:space="preserve">  </v>
      </c>
      <c r="AE93" s="68" t="str">
        <f>VLOOKUP(AD93,STN_TABLE,2,FALSE)</f>
        <v xml:space="preserve">  </v>
      </c>
      <c r="AF93" s="68">
        <v>1</v>
      </c>
      <c r="AG93" s="69" t="e">
        <f>AE93*AF93</f>
        <v>#VALUE!</v>
      </c>
      <c r="AH93" s="496" t="s">
        <v>97</v>
      </c>
      <c r="AI93" s="496"/>
      <c r="AJ93" s="496" t="s">
        <v>98</v>
      </c>
      <c r="AK93" s="496"/>
      <c r="AL93" s="494" t="s">
        <v>99</v>
      </c>
      <c r="AM93" s="494"/>
      <c r="AP93" s="86" t="s">
        <v>112</v>
      </c>
      <c r="AQ93" s="89" t="s">
        <v>113</v>
      </c>
      <c r="AR93" s="89" t="s">
        <v>114</v>
      </c>
      <c r="AS93" s="89" t="s">
        <v>115</v>
      </c>
      <c r="AU93" s="81"/>
    </row>
    <row r="94" spans="1:47" x14ac:dyDescent="0.25">
      <c r="A94" s="84">
        <f>A93+1</f>
        <v>13</v>
      </c>
      <c r="B94" s="84" t="str">
        <f t="shared" si="27"/>
        <v xml:space="preserve">  </v>
      </c>
      <c r="C94" s="88" t="str">
        <f t="shared" ref="C94" si="40">B95</f>
        <v xml:space="preserve">  </v>
      </c>
      <c r="D94" s="82" t="str">
        <f>VLOOKUP(C94,STN_TABLE,2,FALSE)</f>
        <v xml:space="preserve">  </v>
      </c>
      <c r="E94" s="92">
        <v>1</v>
      </c>
      <c r="F94" s="82" t="e">
        <f>D94*E94</f>
        <v>#VALUE!</v>
      </c>
      <c r="G94" s="83" t="str">
        <f>C94</f>
        <v xml:space="preserve">  </v>
      </c>
      <c r="H94" s="83" t="e">
        <f>F94*G94</f>
        <v>#VALUE!</v>
      </c>
      <c r="I94" s="84" t="str">
        <f>CONCATENATE("a'(",C94,")=")</f>
        <v>a'(  )=</v>
      </c>
      <c r="J94" s="84" t="e">
        <f>2*J92/3*F95</f>
        <v>#VALUE!</v>
      </c>
      <c r="K94" s="84" t="e">
        <f>CONCATENATE("A(",C92,")=")</f>
        <v>#VALUE!</v>
      </c>
      <c r="L94" s="84" t="e">
        <f>VLOOKUP(C92,STN_TABLE,3,FALSE)</f>
        <v>#VALUE!</v>
      </c>
      <c r="M94" t="str">
        <f>CONCATENATE("A(",C94,")=")</f>
        <v>A(  )=</v>
      </c>
      <c r="N94" t="e">
        <f>J94+L94</f>
        <v>#VALUE!</v>
      </c>
      <c r="O94" s="99">
        <f>O93+1</f>
        <v>15</v>
      </c>
      <c r="P94" s="99" t="str">
        <f t="shared" si="23"/>
        <v xml:space="preserve">  </v>
      </c>
      <c r="Q94" s="82" t="e">
        <f>IF(P94-P93=P93-P92,P94,IF(P95-P93=P93-P92,P95,IF(P94-P93=P93-P91,P94,IF(P95-P93=P93-P91,P95,"-"))))</f>
        <v>#VALUE!</v>
      </c>
      <c r="R94" s="83" t="e">
        <f>VLOOKUP(Q94,STN_TABLE,2,FALSE)</f>
        <v>#VALUE!</v>
      </c>
      <c r="S94" s="83">
        <v>-1</v>
      </c>
      <c r="T94" s="82" t="e">
        <f>R94*S94</f>
        <v>#VALUE!</v>
      </c>
      <c r="U94" s="88">
        <v>-1</v>
      </c>
      <c r="V94" s="82" t="e">
        <f>R94*U94</f>
        <v>#VALUE!</v>
      </c>
      <c r="W94" s="84" t="str">
        <f>CONCATENATE("a'(",Q93,")=")</f>
        <v>a'(  )=</v>
      </c>
      <c r="X94" s="84" t="e">
        <f>2*X92/12*T95</f>
        <v>#VALUE!</v>
      </c>
      <c r="Y94" s="84" t="e">
        <f>CONCATENATE("A(",Q92,")=")</f>
        <v>#VALUE!</v>
      </c>
      <c r="Z94" s="84" t="e">
        <f>VLOOKUP(Q92,STN_TABLE,3,FALSE)</f>
        <v>#VALUE!</v>
      </c>
      <c r="AA94" t="str">
        <f>CONCATENATE("A(",Q93,")=")</f>
        <v>A(  )=</v>
      </c>
      <c r="AB94" t="e">
        <f>X94+Z94</f>
        <v>#VALUE!</v>
      </c>
      <c r="AC94" s="99">
        <f>AC93+1</f>
        <v>14</v>
      </c>
      <c r="AD94" s="100" t="str">
        <f>VLOOKUP(AC94,STN_TABLE_2,2,FALSE)</f>
        <v xml:space="preserve">  </v>
      </c>
      <c r="AE94" s="82" t="str">
        <f>VLOOKUP(AD94,STN_TABLE,2,FALSE)</f>
        <v xml:space="preserve">  </v>
      </c>
      <c r="AF94" s="82">
        <v>2</v>
      </c>
      <c r="AG94" s="83" t="e">
        <f>AE94*AF94</f>
        <v>#VALUE!</v>
      </c>
      <c r="AH94" s="84" t="str">
        <f>CONCATENATE("a'(",AD94,")=")</f>
        <v>a'(  )=</v>
      </c>
      <c r="AI94" s="84" t="e">
        <f>2*AI92/2*AE95</f>
        <v>#VALUE!</v>
      </c>
      <c r="AJ94" s="84" t="str">
        <f>CONCATENATE("A(",AD93,")=")</f>
        <v>A(  )=</v>
      </c>
      <c r="AK94" s="84" t="str">
        <f>VLOOKUP(AD93,STN_TABLE,3,FALSE)</f>
        <v xml:space="preserve"> </v>
      </c>
      <c r="AL94" t="str">
        <f>CONCATENATE("A(",AD94,")=")</f>
        <v>A(  )=</v>
      </c>
      <c r="AM94" t="e">
        <f>AI94+AK94</f>
        <v>#VALUE!</v>
      </c>
      <c r="AO94" s="68" t="str">
        <f>AA94</f>
        <v>A(  )=</v>
      </c>
      <c r="AP94" s="68" t="e">
        <f>VLOOKUP(AO94,Rise_Results,2,FALSE)</f>
        <v>#N/A</v>
      </c>
      <c r="AQ94" s="76" t="e">
        <f>N94</f>
        <v>#VALUE!</v>
      </c>
      <c r="AR94" s="76" t="e">
        <f>IF(OR(AB94&lt;=0,AB95&lt;=0),1/0,AB94)</f>
        <v>#VALUE!</v>
      </c>
      <c r="AS94" s="76" t="e">
        <f>AM94</f>
        <v>#VALUE!</v>
      </c>
      <c r="AT94" t="e">
        <f>IFERROR(AP94,IFERROR(AQ94,IFERROR(AR94,AS94)))</f>
        <v>#VALUE!</v>
      </c>
      <c r="AU94" s="81"/>
    </row>
    <row r="95" spans="1:47" x14ac:dyDescent="0.25">
      <c r="A95" s="84">
        <f>A94+1</f>
        <v>14</v>
      </c>
      <c r="B95" s="84" t="str">
        <f t="shared" si="27"/>
        <v xml:space="preserve">  </v>
      </c>
      <c r="F95" s="82" t="e">
        <f>SUM(F92:F94)</f>
        <v>#VALUE!</v>
      </c>
      <c r="H95" s="82" t="e">
        <f>SUM(H92:H94)</f>
        <v>#VALUE!</v>
      </c>
      <c r="I95" s="84" t="str">
        <f>CONCATENATE("m'(",C94,")=")</f>
        <v>m'(  )=</v>
      </c>
      <c r="J95" s="84" t="e">
        <f>2*(J92*(WLS))/3*H95</f>
        <v>#VALUE!</v>
      </c>
      <c r="K95" s="84" t="e">
        <f>CONCATENATE("M(",C92,")=")</f>
        <v>#VALUE!</v>
      </c>
      <c r="L95" s="84" t="e">
        <f>VLOOKUP(C92,STN_TABLE,4,FALSE)</f>
        <v>#VALUE!</v>
      </c>
      <c r="M95" t="str">
        <f>CONCATENATE("M(",C94,")=")</f>
        <v>M(  )=</v>
      </c>
      <c r="N95" t="e">
        <f>J95+L95</f>
        <v>#VALUE!</v>
      </c>
      <c r="O95" s="99">
        <f>O94+1</f>
        <v>16</v>
      </c>
      <c r="P95" s="99" t="str">
        <f t="shared" si="23"/>
        <v xml:space="preserve">  </v>
      </c>
      <c r="T95" s="89" t="e">
        <f>SUM(T92:T94)</f>
        <v>#VALUE!</v>
      </c>
      <c r="V95" s="82" t="e">
        <f>SUM(V92:V94)</f>
        <v>#VALUE!</v>
      </c>
      <c r="W95" s="84" t="str">
        <f>CONCATENATE("m'(",Q93,")=")</f>
        <v>m'(  )=</v>
      </c>
      <c r="X95" s="84" t="e">
        <f>(2*(X92^2)/24*V95)+(X94*Q92*WLS)</f>
        <v>#VALUE!</v>
      </c>
      <c r="Y95" s="84" t="e">
        <f>CONCATENATE("M(",Q92,")=")</f>
        <v>#VALUE!</v>
      </c>
      <c r="Z95" s="84" t="e">
        <f>VLOOKUP(Q92,STN_TABLE,4,FALSE)</f>
        <v>#VALUE!</v>
      </c>
      <c r="AA95" t="str">
        <f>CONCATENATE("M(",Q93,")=")</f>
        <v>M(  )=</v>
      </c>
      <c r="AB95" t="e">
        <f>X95+Z95</f>
        <v>#VALUE!</v>
      </c>
      <c r="AE95" s="89">
        <f>SUM(AE93:AE94)</f>
        <v>0</v>
      </c>
      <c r="AG95" s="89" t="e">
        <f>SUM(AG93:AG94)</f>
        <v>#VALUE!</v>
      </c>
      <c r="AH95" s="84" t="str">
        <f>CONCATENATE("m'(",AD94,")=")</f>
        <v>m'(  )=</v>
      </c>
      <c r="AI95" s="84" t="e">
        <f>(2*(AI92^2)/6*AG95)+(AI94*AD93*WLS)</f>
        <v>#VALUE!</v>
      </c>
      <c r="AJ95" s="84" t="str">
        <f>CONCATENATE("M(",AD93,")=")</f>
        <v>M(  )=</v>
      </c>
      <c r="AK95" s="84" t="str">
        <f>VLOOKUP(AD93,STN_TABLE,4,FALSE)</f>
        <v xml:space="preserve"> </v>
      </c>
      <c r="AL95" t="str">
        <f>CONCATENATE("M(",AD94,")=")</f>
        <v>M(  )=</v>
      </c>
      <c r="AM95" t="e">
        <f>AI95+AK95</f>
        <v>#VALUE!</v>
      </c>
      <c r="AO95" s="82" t="str">
        <f>AA95</f>
        <v>M(  )=</v>
      </c>
      <c r="AP95" s="82" t="e">
        <f>VLOOKUP(AO95,Rise_Results,2,FALSE)</f>
        <v>#N/A</v>
      </c>
      <c r="AQ95" s="82" t="e">
        <f>N95</f>
        <v>#VALUE!</v>
      </c>
      <c r="AR95" s="82" t="e">
        <f>IF(OR(AB94&lt;=0,AB95&lt;=0),1/0,AB95)</f>
        <v>#VALUE!</v>
      </c>
      <c r="AS95" s="82" t="e">
        <f>AM95</f>
        <v>#VALUE!</v>
      </c>
      <c r="AT95" t="e">
        <f>IFERROR(AP95,IFERROR(AQ95,IFERROR(AR95,AS95)))</f>
        <v>#VALUE!</v>
      </c>
      <c r="AU95" s="81"/>
    </row>
    <row r="96" spans="1:47" x14ac:dyDescent="0.25">
      <c r="A96" s="101">
        <f>A91+1</f>
        <v>11</v>
      </c>
      <c r="B96" s="101">
        <f t="shared" si="27"/>
        <v>6</v>
      </c>
      <c r="O96" s="101">
        <f>O91+1</f>
        <v>13</v>
      </c>
      <c r="P96" s="101" t="str">
        <f t="shared" si="23"/>
        <v xml:space="preserve">  </v>
      </c>
      <c r="AU96" s="81"/>
    </row>
    <row r="97" spans="1:47" x14ac:dyDescent="0.25">
      <c r="A97" s="84">
        <f>A96+1</f>
        <v>12</v>
      </c>
      <c r="B97" s="84">
        <f t="shared" si="27"/>
        <v>6.5</v>
      </c>
      <c r="C97" s="79" t="e">
        <f t="shared" ref="C97" si="41">IF(C98=B99,IF(C99-C98=C98-B98,B98,IF(C99-C98=C98-B97,B97,"#NA")),IF(C98=B98,IF(C99-C98=C98-B97,B97,IF(C99-C98=C98-B96,B96,"#NA")),"#NA"))</f>
        <v>#VALUE!</v>
      </c>
      <c r="D97" s="68" t="e">
        <f>VLOOKUP(C97,STN_TABLE,2,FALSE)</f>
        <v>#VALUE!</v>
      </c>
      <c r="E97" s="102">
        <v>1</v>
      </c>
      <c r="F97" s="68" t="e">
        <f>D97*E97</f>
        <v>#VALUE!</v>
      </c>
      <c r="G97" s="69" t="e">
        <f>C97</f>
        <v>#VALUE!</v>
      </c>
      <c r="H97" s="69" t="e">
        <f>F97*G97</f>
        <v>#VALUE!</v>
      </c>
      <c r="I97" s="6" t="s">
        <v>93</v>
      </c>
      <c r="J97" s="70" t="e">
        <f>IF(OR(D97=0,D98=0,D99=0),"#NA",IF(AND(C99-C98=C98-C97,C98&lt;&gt;C99,C97&lt;&gt;C98,C97&lt;&gt;C99,D99&lt;&gt;0,OR(D97&lt;&gt;0,D98&lt;&gt;0)),WLS*(C99-C98),"#NA"))</f>
        <v>#VALUE!</v>
      </c>
      <c r="O97" s="99">
        <f>O96+1</f>
        <v>14</v>
      </c>
      <c r="P97" s="99" t="str">
        <f t="shared" si="23"/>
        <v xml:space="preserve">  </v>
      </c>
      <c r="Q97" s="68" t="e">
        <f>IF(OR(P99-P98=P98-P97,P100-P98=P98-P97),P97,IF(OR(P99-P98=P98-P96,P100-P98=P98-P96),P96,"-"))</f>
        <v>#VALUE!</v>
      </c>
      <c r="R97" s="69" t="e">
        <f>VLOOKUP(Q97,STN_TABLE,2,FALSE)</f>
        <v>#VALUE!</v>
      </c>
      <c r="S97" s="69">
        <v>5</v>
      </c>
      <c r="T97" s="68" t="e">
        <f>R97*S97</f>
        <v>#VALUE!</v>
      </c>
      <c r="U97" s="79">
        <v>3</v>
      </c>
      <c r="V97" s="68" t="e">
        <f>R97*U97</f>
        <v>#VALUE!</v>
      </c>
      <c r="W97" s="6" t="s">
        <v>93</v>
      </c>
      <c r="X97" s="70" t="e">
        <f>IF(AND(Q99-Q98=Q98-Q97,NOT(AND(Q97=0,Q98=0)),NOT(AND(Q98=0,Q99=0))),WLS*(Q99-Q98),"#NA")</f>
        <v>#VALUE!</v>
      </c>
      <c r="AD97" s="93"/>
      <c r="AH97" s="6" t="s">
        <v>93</v>
      </c>
      <c r="AI97" s="70" t="e">
        <f>WLS*(AD99-AD98)</f>
        <v>#VALUE!</v>
      </c>
      <c r="AU97" s="81"/>
    </row>
    <row r="98" spans="1:47" x14ac:dyDescent="0.25">
      <c r="A98" s="84">
        <f>A97+1</f>
        <v>13</v>
      </c>
      <c r="B98" s="84" t="str">
        <f t="shared" si="27"/>
        <v xml:space="preserve">  </v>
      </c>
      <c r="C98" s="80" t="e">
        <f t="shared" ref="C98" si="42">IF(OR(B100-B99=B99-B98,B100-B99=B99-B97,B100-B99=B99-B96),B99,IF(OR(B100-B98=B98-B97,B100-B98=B98-B96),B98,IF(B100-B97=B97-B96,B97,"#NA")))</f>
        <v>#VALUE!</v>
      </c>
      <c r="D98" s="76" t="e">
        <f>VLOOKUP(C98,STN_TABLE,2,FALSE)</f>
        <v>#VALUE!</v>
      </c>
      <c r="E98" s="81">
        <v>4</v>
      </c>
      <c r="F98" s="76" t="e">
        <f>D98*E98</f>
        <v>#VALUE!</v>
      </c>
      <c r="G98" s="77" t="e">
        <f>C98</f>
        <v>#VALUE!</v>
      </c>
      <c r="H98" s="77" t="e">
        <f>F98*G98</f>
        <v>#VALUE!</v>
      </c>
      <c r="I98" s="495" t="s">
        <v>97</v>
      </c>
      <c r="J98" s="496"/>
      <c r="K98" s="78" t="s">
        <v>98</v>
      </c>
      <c r="L98" s="78"/>
      <c r="M98" s="7" t="s">
        <v>99</v>
      </c>
      <c r="N98" s="7"/>
      <c r="O98" s="99">
        <f>O97+1</f>
        <v>15</v>
      </c>
      <c r="P98" s="99" t="str">
        <f t="shared" si="23"/>
        <v xml:space="preserve">  </v>
      </c>
      <c r="Q98" s="76" t="str">
        <f>P98</f>
        <v xml:space="preserve">  </v>
      </c>
      <c r="R98" s="77" t="str">
        <f>VLOOKUP(Q98,STN_TABLE,2,FALSE)</f>
        <v xml:space="preserve">  </v>
      </c>
      <c r="S98" s="77">
        <v>8</v>
      </c>
      <c r="T98" s="76" t="e">
        <f>R98*S98</f>
        <v>#VALUE!</v>
      </c>
      <c r="U98" s="80">
        <v>10</v>
      </c>
      <c r="V98" s="76" t="e">
        <f>R98*U98</f>
        <v>#VALUE!</v>
      </c>
      <c r="W98" s="496" t="s">
        <v>97</v>
      </c>
      <c r="X98" s="496"/>
      <c r="Y98" s="496" t="s">
        <v>98</v>
      </c>
      <c r="Z98" s="496"/>
      <c r="AA98" s="494" t="s">
        <v>99</v>
      </c>
      <c r="AB98" s="494"/>
      <c r="AC98" s="99">
        <f>AC93+1</f>
        <v>14</v>
      </c>
      <c r="AD98" s="95" t="str">
        <f>VLOOKUP(AC98,STN_TABLE_2,2,FALSE)</f>
        <v xml:space="preserve">  </v>
      </c>
      <c r="AE98" s="68" t="str">
        <f>VLOOKUP(AD98,STN_TABLE,2,FALSE)</f>
        <v xml:space="preserve">  </v>
      </c>
      <c r="AF98" s="68">
        <v>1</v>
      </c>
      <c r="AG98" s="69" t="e">
        <f>AE98*AF98</f>
        <v>#VALUE!</v>
      </c>
      <c r="AH98" s="496" t="s">
        <v>97</v>
      </c>
      <c r="AI98" s="496"/>
      <c r="AJ98" s="496" t="s">
        <v>98</v>
      </c>
      <c r="AK98" s="496"/>
      <c r="AL98" s="494" t="s">
        <v>99</v>
      </c>
      <c r="AM98" s="494"/>
      <c r="AP98" s="86" t="s">
        <v>112</v>
      </c>
      <c r="AQ98" s="89" t="s">
        <v>113</v>
      </c>
      <c r="AR98" s="89" t="s">
        <v>114</v>
      </c>
      <c r="AS98" s="89" t="s">
        <v>115</v>
      </c>
      <c r="AU98" s="81"/>
    </row>
    <row r="99" spans="1:47" x14ac:dyDescent="0.25">
      <c r="A99" s="84">
        <f>A98+1</f>
        <v>14</v>
      </c>
      <c r="B99" s="84" t="str">
        <f t="shared" si="27"/>
        <v xml:space="preserve">  </v>
      </c>
      <c r="C99" s="88" t="str">
        <f t="shared" ref="C99" si="43">B100</f>
        <v xml:space="preserve">  </v>
      </c>
      <c r="D99" s="82" t="str">
        <f>VLOOKUP(C99,STN_TABLE,2,FALSE)</f>
        <v xml:space="preserve">  </v>
      </c>
      <c r="E99" s="92">
        <v>1</v>
      </c>
      <c r="F99" s="82" t="e">
        <f>D99*E99</f>
        <v>#VALUE!</v>
      </c>
      <c r="G99" s="83" t="str">
        <f>C99</f>
        <v xml:space="preserve">  </v>
      </c>
      <c r="H99" s="83" t="e">
        <f>F99*G99</f>
        <v>#VALUE!</v>
      </c>
      <c r="I99" s="84" t="str">
        <f>CONCATENATE("a'(",C99,")=")</f>
        <v>a'(  )=</v>
      </c>
      <c r="J99" s="84" t="e">
        <f>2*J97/3*F100</f>
        <v>#VALUE!</v>
      </c>
      <c r="K99" s="84" t="e">
        <f>CONCATENATE("A(",C97,")=")</f>
        <v>#VALUE!</v>
      </c>
      <c r="L99" s="84" t="e">
        <f>VLOOKUP(C97,STN_TABLE,3,FALSE)</f>
        <v>#VALUE!</v>
      </c>
      <c r="M99" t="str">
        <f>CONCATENATE("A(",C99,")=")</f>
        <v>A(  )=</v>
      </c>
      <c r="N99" t="e">
        <f>J99+L99</f>
        <v>#VALUE!</v>
      </c>
      <c r="O99" s="99">
        <f>O98+1</f>
        <v>16</v>
      </c>
      <c r="P99" s="99" t="str">
        <f t="shared" si="23"/>
        <v xml:space="preserve">  </v>
      </c>
      <c r="Q99" s="82" t="e">
        <f>IF(P99-P98=P98-P97,P99,IF(P100-P98=P98-P97,P100,IF(P99-P98=P98-P96,P99,IF(P100-P98=P98-P96,P100,"-"))))</f>
        <v>#VALUE!</v>
      </c>
      <c r="R99" s="83" t="e">
        <f>VLOOKUP(Q99,STN_TABLE,2,FALSE)</f>
        <v>#VALUE!</v>
      </c>
      <c r="S99" s="83">
        <v>-1</v>
      </c>
      <c r="T99" s="82" t="e">
        <f>R99*S99</f>
        <v>#VALUE!</v>
      </c>
      <c r="U99" s="88">
        <v>-1</v>
      </c>
      <c r="V99" s="82" t="e">
        <f>R99*U99</f>
        <v>#VALUE!</v>
      </c>
      <c r="W99" s="84" t="str">
        <f>CONCATENATE("a'(",Q98,")=")</f>
        <v>a'(  )=</v>
      </c>
      <c r="X99" s="84" t="e">
        <f>2*X97/12*T100</f>
        <v>#VALUE!</v>
      </c>
      <c r="Y99" s="84" t="e">
        <f>CONCATENATE("A(",Q97,")=")</f>
        <v>#VALUE!</v>
      </c>
      <c r="Z99" s="84" t="e">
        <f>VLOOKUP(Q97,STN_TABLE,3,FALSE)</f>
        <v>#VALUE!</v>
      </c>
      <c r="AA99" t="str">
        <f>CONCATENATE("A(",Q98,")=")</f>
        <v>A(  )=</v>
      </c>
      <c r="AB99" t="e">
        <f>X99+Z99</f>
        <v>#VALUE!</v>
      </c>
      <c r="AC99" s="99">
        <f>AC98+1</f>
        <v>15</v>
      </c>
      <c r="AD99" s="100" t="str">
        <f>VLOOKUP(AC99,STN_TABLE_2,2,FALSE)</f>
        <v xml:space="preserve">  </v>
      </c>
      <c r="AE99" s="82" t="str">
        <f>VLOOKUP(AD99,STN_TABLE,2,FALSE)</f>
        <v xml:space="preserve">  </v>
      </c>
      <c r="AF99" s="82">
        <v>2</v>
      </c>
      <c r="AG99" s="83" t="e">
        <f>AE99*AF99</f>
        <v>#VALUE!</v>
      </c>
      <c r="AH99" s="84" t="str">
        <f>CONCATENATE("a'(",AD99,")=")</f>
        <v>a'(  )=</v>
      </c>
      <c r="AI99" s="84" t="e">
        <f>2*AI97/2*AE100</f>
        <v>#VALUE!</v>
      </c>
      <c r="AJ99" s="84" t="str">
        <f>CONCATENATE("A(",AD98,")=")</f>
        <v>A(  )=</v>
      </c>
      <c r="AK99" s="84" t="str">
        <f>VLOOKUP(AD98,STN_TABLE,3,FALSE)</f>
        <v xml:space="preserve"> </v>
      </c>
      <c r="AL99" t="str">
        <f>CONCATENATE("A(",AD99,")=")</f>
        <v>A(  )=</v>
      </c>
      <c r="AM99" t="e">
        <f>AI99+AK99</f>
        <v>#VALUE!</v>
      </c>
      <c r="AO99" s="68" t="str">
        <f>AA99</f>
        <v>A(  )=</v>
      </c>
      <c r="AP99" s="68" t="e">
        <f>VLOOKUP(AO99,Rise_Results,2,FALSE)</f>
        <v>#N/A</v>
      </c>
      <c r="AQ99" s="76" t="e">
        <f>N99</f>
        <v>#VALUE!</v>
      </c>
      <c r="AR99" s="76" t="e">
        <f>IF(OR(AB99&lt;=0,AB100&lt;=0),1/0,AB99)</f>
        <v>#VALUE!</v>
      </c>
      <c r="AS99" s="76" t="e">
        <f>AM99</f>
        <v>#VALUE!</v>
      </c>
      <c r="AT99" t="e">
        <f>IFERROR(AP99,IFERROR(AQ99,IFERROR(AR99,AS99)))</f>
        <v>#VALUE!</v>
      </c>
      <c r="AU99" s="81"/>
    </row>
    <row r="100" spans="1:47" x14ac:dyDescent="0.25">
      <c r="A100" s="84">
        <f>A99+1</f>
        <v>15</v>
      </c>
      <c r="B100" s="84" t="str">
        <f t="shared" si="27"/>
        <v xml:space="preserve">  </v>
      </c>
      <c r="F100" s="82" t="e">
        <f>SUM(F97:F99)</f>
        <v>#VALUE!</v>
      </c>
      <c r="H100" s="82" t="e">
        <f>SUM(H97:H99)</f>
        <v>#VALUE!</v>
      </c>
      <c r="I100" s="84" t="str">
        <f>CONCATENATE("m'(",C99,")=")</f>
        <v>m'(  )=</v>
      </c>
      <c r="J100" s="84" t="e">
        <f>2*(J97*(WLS))/3*H100</f>
        <v>#VALUE!</v>
      </c>
      <c r="K100" s="84" t="e">
        <f>CONCATENATE("M(",C97,")=")</f>
        <v>#VALUE!</v>
      </c>
      <c r="L100" s="84" t="e">
        <f>VLOOKUP(C97,STN_TABLE,4,FALSE)</f>
        <v>#VALUE!</v>
      </c>
      <c r="M100" t="str">
        <f>CONCATENATE("M(",C99,")=")</f>
        <v>M(  )=</v>
      </c>
      <c r="N100" t="e">
        <f>J100+L100</f>
        <v>#VALUE!</v>
      </c>
      <c r="O100" s="99">
        <f>O99+1</f>
        <v>17</v>
      </c>
      <c r="P100" s="99" t="str">
        <f t="shared" ref="P100:P131" si="44">VLOOKUP(O100,STN_TABLE_2,2,FALSE)</f>
        <v xml:space="preserve">  </v>
      </c>
      <c r="T100" s="89" t="e">
        <f>SUM(T97:T99)</f>
        <v>#VALUE!</v>
      </c>
      <c r="V100" s="82" t="e">
        <f>SUM(V97:V99)</f>
        <v>#VALUE!</v>
      </c>
      <c r="W100" s="84" t="str">
        <f>CONCATENATE("m'(",Q98,")=")</f>
        <v>m'(  )=</v>
      </c>
      <c r="X100" s="84" t="e">
        <f>(2*(X97^2)/24*V100)+(X99*Q97*WLS)</f>
        <v>#VALUE!</v>
      </c>
      <c r="Y100" s="84" t="e">
        <f>CONCATENATE("M(",Q97,")=")</f>
        <v>#VALUE!</v>
      </c>
      <c r="Z100" s="84" t="e">
        <f>VLOOKUP(Q97,STN_TABLE,4,FALSE)</f>
        <v>#VALUE!</v>
      </c>
      <c r="AA100" t="str">
        <f>CONCATENATE("M(",Q98,")=")</f>
        <v>M(  )=</v>
      </c>
      <c r="AB100" t="e">
        <f>X100+Z100</f>
        <v>#VALUE!</v>
      </c>
      <c r="AE100" s="89">
        <f>SUM(AE98:AE99)</f>
        <v>0</v>
      </c>
      <c r="AG100" s="89" t="e">
        <f>SUM(AG98:AG99)</f>
        <v>#VALUE!</v>
      </c>
      <c r="AH100" s="84" t="str">
        <f>CONCATENATE("m'(",AD99,")=")</f>
        <v>m'(  )=</v>
      </c>
      <c r="AI100" s="84" t="e">
        <f>(2*(AI97^2)/6*AG100)+(AI99*AD98*WLS)</f>
        <v>#VALUE!</v>
      </c>
      <c r="AJ100" s="84" t="str">
        <f>CONCATENATE("M(",AD98,")=")</f>
        <v>M(  )=</v>
      </c>
      <c r="AK100" s="84" t="str">
        <f>VLOOKUP(AD98,STN_TABLE,4,FALSE)</f>
        <v xml:space="preserve"> </v>
      </c>
      <c r="AL100" t="str">
        <f>CONCATENATE("M(",AD99,")=")</f>
        <v>M(  )=</v>
      </c>
      <c r="AM100" t="e">
        <f>AI100+AK100</f>
        <v>#VALUE!</v>
      </c>
      <c r="AO100" s="82" t="str">
        <f>AA100</f>
        <v>M(  )=</v>
      </c>
      <c r="AP100" s="82" t="e">
        <f>VLOOKUP(AO100,Rise_Results,2,FALSE)</f>
        <v>#N/A</v>
      </c>
      <c r="AQ100" s="82" t="e">
        <f>N100</f>
        <v>#VALUE!</v>
      </c>
      <c r="AR100" s="82" t="e">
        <f>IF(OR(AB99&lt;=0,AB100&lt;=0),1/0,AB100)</f>
        <v>#VALUE!</v>
      </c>
      <c r="AS100" s="82" t="e">
        <f>AM100</f>
        <v>#VALUE!</v>
      </c>
      <c r="AT100" t="e">
        <f>IFERROR(AP100,IFERROR(AQ100,IFERROR(AR100,AS100)))</f>
        <v>#VALUE!</v>
      </c>
      <c r="AU100" s="81"/>
    </row>
    <row r="101" spans="1:47" x14ac:dyDescent="0.25">
      <c r="A101" s="101">
        <f>A96+1</f>
        <v>12</v>
      </c>
      <c r="B101" s="101">
        <f t="shared" si="27"/>
        <v>6.5</v>
      </c>
      <c r="O101" s="101">
        <f>O96+1</f>
        <v>14</v>
      </c>
      <c r="P101" s="101" t="str">
        <f t="shared" si="44"/>
        <v xml:space="preserve">  </v>
      </c>
      <c r="AU101" s="81"/>
    </row>
    <row r="102" spans="1:47" x14ac:dyDescent="0.25">
      <c r="A102" s="84">
        <f>A101+1</f>
        <v>13</v>
      </c>
      <c r="B102" s="84" t="str">
        <f t="shared" si="27"/>
        <v xml:space="preserve">  </v>
      </c>
      <c r="C102" s="79" t="e">
        <f t="shared" ref="C102" si="45">IF(C103=B104,IF(C104-C103=C103-B103,B103,IF(C104-C103=C103-B102,B102,"#NA")),IF(C103=B103,IF(C104-C103=C103-B102,B102,IF(C104-C103=C103-B101,B101,"#NA")),"#NA"))</f>
        <v>#VALUE!</v>
      </c>
      <c r="D102" s="68" t="e">
        <f>VLOOKUP(C102,STN_TABLE,2,FALSE)</f>
        <v>#VALUE!</v>
      </c>
      <c r="E102" s="102">
        <v>1</v>
      </c>
      <c r="F102" s="68" t="e">
        <f>D102*E102</f>
        <v>#VALUE!</v>
      </c>
      <c r="G102" s="69" t="e">
        <f>C102</f>
        <v>#VALUE!</v>
      </c>
      <c r="H102" s="69" t="e">
        <f>F102*G102</f>
        <v>#VALUE!</v>
      </c>
      <c r="I102" s="6" t="s">
        <v>93</v>
      </c>
      <c r="J102" s="70" t="e">
        <f>IF(OR(D102=0,D103=0,D104=0),"#NA",IF(AND(C104-C103=C103-C102,C103&lt;&gt;C104,C102&lt;&gt;C103,C102&lt;&gt;C104,D104&lt;&gt;0,OR(D102&lt;&gt;0,D103&lt;&gt;0)),WLS*(C104-C103),"#NA"))</f>
        <v>#VALUE!</v>
      </c>
      <c r="O102" s="99">
        <f>O101+1</f>
        <v>15</v>
      </c>
      <c r="P102" s="99" t="str">
        <f t="shared" si="44"/>
        <v xml:space="preserve">  </v>
      </c>
      <c r="Q102" s="68" t="e">
        <f>IF(OR(P104-P103=P103-P102,P105-P103=P103-P102),P102,IF(OR(P104-P103=P103-P101,P105-P103=P103-P101),P101,"-"))</f>
        <v>#VALUE!</v>
      </c>
      <c r="R102" s="69" t="e">
        <f>VLOOKUP(Q102,STN_TABLE,2,FALSE)</f>
        <v>#VALUE!</v>
      </c>
      <c r="S102" s="69">
        <v>5</v>
      </c>
      <c r="T102" s="68" t="e">
        <f>R102*S102</f>
        <v>#VALUE!</v>
      </c>
      <c r="U102" s="79">
        <v>3</v>
      </c>
      <c r="V102" s="68" t="e">
        <f>R102*U102</f>
        <v>#VALUE!</v>
      </c>
      <c r="W102" s="6" t="s">
        <v>93</v>
      </c>
      <c r="X102" s="70" t="e">
        <f>IF(AND(Q104-Q103=Q103-Q102,NOT(AND(Q102=0,Q103=0)),NOT(AND(Q103=0,Q104=0))),WLS*(Q104-Q103),"#NA")</f>
        <v>#VALUE!</v>
      </c>
      <c r="AD102" s="93"/>
      <c r="AH102" s="6" t="s">
        <v>93</v>
      </c>
      <c r="AI102" s="70" t="e">
        <f>WLS*(AD104-AD103)</f>
        <v>#VALUE!</v>
      </c>
      <c r="AU102" s="81"/>
    </row>
    <row r="103" spans="1:47" x14ac:dyDescent="0.25">
      <c r="A103" s="84">
        <f>A102+1</f>
        <v>14</v>
      </c>
      <c r="B103" s="84" t="str">
        <f t="shared" si="27"/>
        <v xml:space="preserve">  </v>
      </c>
      <c r="C103" s="80" t="e">
        <f t="shared" ref="C103" si="46">IF(OR(B105-B104=B104-B103,B105-B104=B104-B102,B105-B104=B104-B101),B104,IF(OR(B105-B103=B103-B102,B105-B103=B103-B101),B103,IF(B105-B102=B102-B101,B102,"#NA")))</f>
        <v>#VALUE!</v>
      </c>
      <c r="D103" s="76" t="e">
        <f>VLOOKUP(C103,STN_TABLE,2,FALSE)</f>
        <v>#VALUE!</v>
      </c>
      <c r="E103" s="81">
        <v>4</v>
      </c>
      <c r="F103" s="76" t="e">
        <f>D103*E103</f>
        <v>#VALUE!</v>
      </c>
      <c r="G103" s="77" t="e">
        <f>C103</f>
        <v>#VALUE!</v>
      </c>
      <c r="H103" s="77" t="e">
        <f>F103*G103</f>
        <v>#VALUE!</v>
      </c>
      <c r="I103" s="495" t="s">
        <v>97</v>
      </c>
      <c r="J103" s="496"/>
      <c r="K103" s="78" t="s">
        <v>98</v>
      </c>
      <c r="L103" s="78"/>
      <c r="M103" s="7" t="s">
        <v>99</v>
      </c>
      <c r="N103" s="7"/>
      <c r="O103" s="99">
        <f>O102+1</f>
        <v>16</v>
      </c>
      <c r="P103" s="99" t="str">
        <f t="shared" si="44"/>
        <v xml:space="preserve">  </v>
      </c>
      <c r="Q103" s="76" t="str">
        <f>P103</f>
        <v xml:space="preserve">  </v>
      </c>
      <c r="R103" s="77" t="str">
        <f>VLOOKUP(Q103,STN_TABLE,2,FALSE)</f>
        <v xml:space="preserve">  </v>
      </c>
      <c r="S103" s="77">
        <v>8</v>
      </c>
      <c r="T103" s="76" t="e">
        <f>R103*S103</f>
        <v>#VALUE!</v>
      </c>
      <c r="U103" s="80">
        <v>10</v>
      </c>
      <c r="V103" s="76" t="e">
        <f>R103*U103</f>
        <v>#VALUE!</v>
      </c>
      <c r="W103" s="496" t="s">
        <v>97</v>
      </c>
      <c r="X103" s="496"/>
      <c r="Y103" s="496" t="s">
        <v>98</v>
      </c>
      <c r="Z103" s="496"/>
      <c r="AA103" s="494" t="s">
        <v>99</v>
      </c>
      <c r="AB103" s="494"/>
      <c r="AC103" s="99">
        <f>AC98+1</f>
        <v>15</v>
      </c>
      <c r="AD103" s="95" t="str">
        <f>VLOOKUP(AC103,STN_TABLE_2,2,FALSE)</f>
        <v xml:space="preserve">  </v>
      </c>
      <c r="AE103" s="68" t="str">
        <f>VLOOKUP(AD103,STN_TABLE,2,FALSE)</f>
        <v xml:space="preserve">  </v>
      </c>
      <c r="AF103" s="68">
        <v>1</v>
      </c>
      <c r="AG103" s="69" t="e">
        <f>AE103*AF103</f>
        <v>#VALUE!</v>
      </c>
      <c r="AH103" s="496" t="s">
        <v>97</v>
      </c>
      <c r="AI103" s="496"/>
      <c r="AJ103" s="496" t="s">
        <v>98</v>
      </c>
      <c r="AK103" s="496"/>
      <c r="AL103" s="494" t="s">
        <v>99</v>
      </c>
      <c r="AM103" s="494"/>
      <c r="AP103" s="86" t="s">
        <v>112</v>
      </c>
      <c r="AQ103" s="89" t="s">
        <v>113</v>
      </c>
      <c r="AR103" s="89" t="s">
        <v>114</v>
      </c>
      <c r="AS103" s="89" t="s">
        <v>115</v>
      </c>
      <c r="AU103" s="81"/>
    </row>
    <row r="104" spans="1:47" x14ac:dyDescent="0.25">
      <c r="A104" s="84">
        <f>A103+1</f>
        <v>15</v>
      </c>
      <c r="B104" s="84" t="str">
        <f t="shared" si="27"/>
        <v xml:space="preserve">  </v>
      </c>
      <c r="C104" s="88" t="str">
        <f t="shared" ref="C104" si="47">B105</f>
        <v xml:space="preserve">  </v>
      </c>
      <c r="D104" s="82" t="str">
        <f>VLOOKUP(C104,STN_TABLE,2,FALSE)</f>
        <v xml:space="preserve">  </v>
      </c>
      <c r="E104" s="92">
        <v>1</v>
      </c>
      <c r="F104" s="82" t="e">
        <f>D104*E104</f>
        <v>#VALUE!</v>
      </c>
      <c r="G104" s="83" t="str">
        <f>C104</f>
        <v xml:space="preserve">  </v>
      </c>
      <c r="H104" s="83" t="e">
        <f>F104*G104</f>
        <v>#VALUE!</v>
      </c>
      <c r="I104" s="84" t="str">
        <f>CONCATENATE("a'(",C104,")=")</f>
        <v>a'(  )=</v>
      </c>
      <c r="J104" s="84" t="e">
        <f>2*J102/3*F105</f>
        <v>#VALUE!</v>
      </c>
      <c r="K104" s="84" t="e">
        <f>CONCATENATE("A(",C102,")=")</f>
        <v>#VALUE!</v>
      </c>
      <c r="L104" s="84" t="e">
        <f>VLOOKUP(C102,STN_TABLE,3,FALSE)</f>
        <v>#VALUE!</v>
      </c>
      <c r="M104" t="str">
        <f>CONCATENATE("A(",C104,")=")</f>
        <v>A(  )=</v>
      </c>
      <c r="N104" t="e">
        <f>J104+L104</f>
        <v>#VALUE!</v>
      </c>
      <c r="O104" s="99">
        <f>O103+1</f>
        <v>17</v>
      </c>
      <c r="P104" s="99" t="str">
        <f t="shared" si="44"/>
        <v xml:space="preserve">  </v>
      </c>
      <c r="Q104" s="82" t="e">
        <f>IF(P104-P103=P103-P102,P104,IF(P105-P103=P103-P102,P105,IF(P104-P103=P103-P101,P104,IF(P105-P103=P103-P101,P105,"-"))))</f>
        <v>#VALUE!</v>
      </c>
      <c r="R104" s="83" t="e">
        <f>VLOOKUP(Q104,STN_TABLE,2,FALSE)</f>
        <v>#VALUE!</v>
      </c>
      <c r="S104" s="83">
        <v>-1</v>
      </c>
      <c r="T104" s="82" t="e">
        <f>R104*S104</f>
        <v>#VALUE!</v>
      </c>
      <c r="U104" s="88">
        <v>-1</v>
      </c>
      <c r="V104" s="82" t="e">
        <f>R104*U104</f>
        <v>#VALUE!</v>
      </c>
      <c r="W104" s="84" t="str">
        <f>CONCATENATE("a'(",Q103,")=")</f>
        <v>a'(  )=</v>
      </c>
      <c r="X104" s="84" t="e">
        <f>2*X102/12*T105</f>
        <v>#VALUE!</v>
      </c>
      <c r="Y104" s="84" t="e">
        <f>CONCATENATE("A(",Q102,")=")</f>
        <v>#VALUE!</v>
      </c>
      <c r="Z104" s="84" t="e">
        <f>VLOOKUP(Q102,STN_TABLE,3,FALSE)</f>
        <v>#VALUE!</v>
      </c>
      <c r="AA104" t="str">
        <f>CONCATENATE("A(",Q103,")=")</f>
        <v>A(  )=</v>
      </c>
      <c r="AB104" t="e">
        <f>X104+Z104</f>
        <v>#VALUE!</v>
      </c>
      <c r="AC104" s="99">
        <f>AC103+1</f>
        <v>16</v>
      </c>
      <c r="AD104" s="100" t="str">
        <f>VLOOKUP(AC104,STN_TABLE_2,2,FALSE)</f>
        <v xml:space="preserve">  </v>
      </c>
      <c r="AE104" s="82" t="str">
        <f>VLOOKUP(AD104,STN_TABLE,2,FALSE)</f>
        <v xml:space="preserve">  </v>
      </c>
      <c r="AF104" s="82">
        <v>2</v>
      </c>
      <c r="AG104" s="83" t="e">
        <f>AE104*AF104</f>
        <v>#VALUE!</v>
      </c>
      <c r="AH104" s="84" t="str">
        <f>CONCATENATE("a'(",AD104,")=")</f>
        <v>a'(  )=</v>
      </c>
      <c r="AI104" s="84" t="e">
        <f>2*AI102/2*AE105</f>
        <v>#VALUE!</v>
      </c>
      <c r="AJ104" s="84" t="str">
        <f>CONCATENATE("A(",AD103,")=")</f>
        <v>A(  )=</v>
      </c>
      <c r="AK104" s="84" t="str">
        <f>VLOOKUP(AD103,STN_TABLE,3,FALSE)</f>
        <v xml:space="preserve"> </v>
      </c>
      <c r="AL104" t="str">
        <f>CONCATENATE("A(",AD104,")=")</f>
        <v>A(  )=</v>
      </c>
      <c r="AM104" t="e">
        <f>AI104+AK104</f>
        <v>#VALUE!</v>
      </c>
      <c r="AO104" s="68" t="str">
        <f>AA104</f>
        <v>A(  )=</v>
      </c>
      <c r="AP104" s="68" t="e">
        <f>VLOOKUP(AO104,Rise_Results,2,FALSE)</f>
        <v>#N/A</v>
      </c>
      <c r="AQ104" s="76" t="e">
        <f>N104</f>
        <v>#VALUE!</v>
      </c>
      <c r="AR104" s="76" t="e">
        <f>IF(OR(AB104&lt;=0,AB105&lt;=0),1/0,AB104)</f>
        <v>#VALUE!</v>
      </c>
      <c r="AS104" s="76" t="e">
        <f>AM104</f>
        <v>#VALUE!</v>
      </c>
      <c r="AT104" t="e">
        <f>IFERROR(AP104,IFERROR(AQ104,IFERROR(AR104,AS104)))</f>
        <v>#VALUE!</v>
      </c>
      <c r="AU104" s="81"/>
    </row>
    <row r="105" spans="1:47" x14ac:dyDescent="0.25">
      <c r="A105" s="84">
        <f>A104+1</f>
        <v>16</v>
      </c>
      <c r="B105" s="84" t="str">
        <f t="shared" si="27"/>
        <v xml:space="preserve">  </v>
      </c>
      <c r="F105" s="82" t="e">
        <f>SUM(F102:F104)</f>
        <v>#VALUE!</v>
      </c>
      <c r="H105" s="82" t="e">
        <f>SUM(H102:H104)</f>
        <v>#VALUE!</v>
      </c>
      <c r="I105" s="84" t="str">
        <f>CONCATENATE("m'(",C104,")=")</f>
        <v>m'(  )=</v>
      </c>
      <c r="J105" s="84" t="e">
        <f>2*(J102*(WLS))/3*H105</f>
        <v>#VALUE!</v>
      </c>
      <c r="K105" s="84" t="e">
        <f>CONCATENATE("M(",C102,")=")</f>
        <v>#VALUE!</v>
      </c>
      <c r="L105" s="84" t="e">
        <f>VLOOKUP(C102,STN_TABLE,4,FALSE)</f>
        <v>#VALUE!</v>
      </c>
      <c r="M105" t="str">
        <f>CONCATENATE("M(",C104,")=")</f>
        <v>M(  )=</v>
      </c>
      <c r="N105" t="e">
        <f>J105+L105</f>
        <v>#VALUE!</v>
      </c>
      <c r="O105" s="99">
        <f>O104+1</f>
        <v>18</v>
      </c>
      <c r="P105" s="99" t="str">
        <f t="shared" si="44"/>
        <v xml:space="preserve">  </v>
      </c>
      <c r="T105" s="89" t="e">
        <f>SUM(T102:T104)</f>
        <v>#VALUE!</v>
      </c>
      <c r="V105" s="82" t="e">
        <f>SUM(V102:V104)</f>
        <v>#VALUE!</v>
      </c>
      <c r="W105" s="84" t="str">
        <f>CONCATENATE("m'(",Q103,")=")</f>
        <v>m'(  )=</v>
      </c>
      <c r="X105" s="84" t="e">
        <f>(2*(X102^2)/24*V105)+(X104*Q102*WLS)</f>
        <v>#VALUE!</v>
      </c>
      <c r="Y105" s="84" t="e">
        <f>CONCATENATE("M(",Q102,")=")</f>
        <v>#VALUE!</v>
      </c>
      <c r="Z105" s="84" t="e">
        <f>VLOOKUP(Q102,STN_TABLE,4,FALSE)</f>
        <v>#VALUE!</v>
      </c>
      <c r="AA105" t="str">
        <f>CONCATENATE("M(",Q103,")=")</f>
        <v>M(  )=</v>
      </c>
      <c r="AB105" t="e">
        <f>X105+Z105</f>
        <v>#VALUE!</v>
      </c>
      <c r="AE105" s="89">
        <f>SUM(AE103:AE104)</f>
        <v>0</v>
      </c>
      <c r="AG105" s="89" t="e">
        <f>SUM(AG103:AG104)</f>
        <v>#VALUE!</v>
      </c>
      <c r="AH105" s="84" t="str">
        <f>CONCATENATE("m'(",AD104,")=")</f>
        <v>m'(  )=</v>
      </c>
      <c r="AI105" s="84" t="e">
        <f>(2*(AI102^2)/6*AG105)+(AI104*AD103*WLS)</f>
        <v>#VALUE!</v>
      </c>
      <c r="AJ105" s="84" t="str">
        <f>CONCATENATE("M(",AD103,")=")</f>
        <v>M(  )=</v>
      </c>
      <c r="AK105" s="84" t="str">
        <f>VLOOKUP(AD103,STN_TABLE,4,FALSE)</f>
        <v xml:space="preserve"> </v>
      </c>
      <c r="AL105" t="str">
        <f>CONCATENATE("M(",AD104,")=")</f>
        <v>M(  )=</v>
      </c>
      <c r="AM105" t="e">
        <f>AI105+AK105</f>
        <v>#VALUE!</v>
      </c>
      <c r="AO105" s="82" t="str">
        <f>AA105</f>
        <v>M(  )=</v>
      </c>
      <c r="AP105" s="82" t="e">
        <f>VLOOKUP(AO105,Rise_Results,2,FALSE)</f>
        <v>#N/A</v>
      </c>
      <c r="AQ105" s="82" t="e">
        <f>N105</f>
        <v>#VALUE!</v>
      </c>
      <c r="AR105" s="82" t="e">
        <f>IF(OR(AB104&lt;=0,AB105&lt;=0),1/0,AB105)</f>
        <v>#VALUE!</v>
      </c>
      <c r="AS105" s="82" t="e">
        <f>AM105</f>
        <v>#VALUE!</v>
      </c>
      <c r="AT105" t="e">
        <f>IFERROR(AP105,IFERROR(AQ105,IFERROR(AR105,AS105)))</f>
        <v>#VALUE!</v>
      </c>
      <c r="AU105" s="81"/>
    </row>
    <row r="106" spans="1:47" x14ac:dyDescent="0.25">
      <c r="A106" s="101">
        <f>A101+1</f>
        <v>13</v>
      </c>
      <c r="B106" s="101" t="str">
        <f t="shared" ref="B106:B137" si="48">VLOOKUP(A106,STN_TABLE_2,2,FALSE)</f>
        <v xml:space="preserve">  </v>
      </c>
      <c r="O106" s="101">
        <f>O101+1</f>
        <v>15</v>
      </c>
      <c r="P106" s="101" t="str">
        <f t="shared" si="44"/>
        <v xml:space="preserve">  </v>
      </c>
      <c r="AU106" s="81"/>
    </row>
    <row r="107" spans="1:47" x14ac:dyDescent="0.25">
      <c r="A107" s="84">
        <f>A106+1</f>
        <v>14</v>
      </c>
      <c r="B107" s="84" t="str">
        <f t="shared" si="48"/>
        <v xml:space="preserve">  </v>
      </c>
      <c r="C107" s="79" t="e">
        <f t="shared" ref="C107" si="49">IF(C108=B109,IF(C109-C108=C108-B108,B108,IF(C109-C108=C108-B107,B107,"#NA")),IF(C108=B108,IF(C109-C108=C108-B107,B107,IF(C109-C108=C108-B106,B106,"#NA")),"#NA"))</f>
        <v>#VALUE!</v>
      </c>
      <c r="D107" s="68" t="e">
        <f>VLOOKUP(C107,STN_TABLE,2,FALSE)</f>
        <v>#VALUE!</v>
      </c>
      <c r="E107" s="102">
        <v>1</v>
      </c>
      <c r="F107" s="68" t="e">
        <f>D107*E107</f>
        <v>#VALUE!</v>
      </c>
      <c r="G107" s="69" t="e">
        <f>C107</f>
        <v>#VALUE!</v>
      </c>
      <c r="H107" s="69" t="e">
        <f>F107*G107</f>
        <v>#VALUE!</v>
      </c>
      <c r="I107" s="6" t="s">
        <v>93</v>
      </c>
      <c r="J107" s="70" t="e">
        <f>IF(OR(D107=0,D108=0,D109=0),"#NA",IF(AND(C109-C108=C108-C107,C108&lt;&gt;C109,C107&lt;&gt;C108,C107&lt;&gt;C109,D109&lt;&gt;0,OR(D107&lt;&gt;0,D108&lt;&gt;0)),WLS*(C109-C108),"#NA"))</f>
        <v>#VALUE!</v>
      </c>
      <c r="O107" s="99">
        <f>O106+1</f>
        <v>16</v>
      </c>
      <c r="P107" s="99" t="str">
        <f t="shared" si="44"/>
        <v xml:space="preserve">  </v>
      </c>
      <c r="Q107" s="68" t="e">
        <f>IF(OR(P109-P108=P108-P107,P110-P108=P108-P107),P107,IF(OR(P109-P108=P108-P106,P110-P108=P108-P106),P106,"-"))</f>
        <v>#VALUE!</v>
      </c>
      <c r="R107" s="69" t="e">
        <f>VLOOKUP(Q107,STN_TABLE,2,FALSE)</f>
        <v>#VALUE!</v>
      </c>
      <c r="S107" s="69">
        <v>5</v>
      </c>
      <c r="T107" s="68" t="e">
        <f>R107*S107</f>
        <v>#VALUE!</v>
      </c>
      <c r="U107" s="79">
        <v>3</v>
      </c>
      <c r="V107" s="68" t="e">
        <f>R107*U107</f>
        <v>#VALUE!</v>
      </c>
      <c r="W107" s="6" t="s">
        <v>93</v>
      </c>
      <c r="X107" s="70" t="e">
        <f>IF(AND(Q109-Q108=Q108-Q107,NOT(AND(Q107=0,Q108=0)),NOT(AND(Q108=0,Q109=0))),WLS*(Q109-Q108),"#NA")</f>
        <v>#VALUE!</v>
      </c>
      <c r="AD107" s="93"/>
      <c r="AH107" s="6" t="s">
        <v>93</v>
      </c>
      <c r="AI107" s="70" t="e">
        <f>WLS*(AD109-AD108)</f>
        <v>#VALUE!</v>
      </c>
      <c r="AU107" s="81"/>
    </row>
    <row r="108" spans="1:47" x14ac:dyDescent="0.25">
      <c r="A108" s="84">
        <f>A107+1</f>
        <v>15</v>
      </c>
      <c r="B108" s="84" t="str">
        <f t="shared" si="48"/>
        <v xml:space="preserve">  </v>
      </c>
      <c r="C108" s="80" t="e">
        <f t="shared" ref="C108" si="50">IF(OR(B110-B109=B109-B108,B110-B109=B109-B107,B110-B109=B109-B106),B109,IF(OR(B110-B108=B108-B107,B110-B108=B108-B106),B108,IF(B110-B107=B107-B106,B107,"#NA")))</f>
        <v>#VALUE!</v>
      </c>
      <c r="D108" s="76" t="e">
        <f>VLOOKUP(C108,STN_TABLE,2,FALSE)</f>
        <v>#VALUE!</v>
      </c>
      <c r="E108" s="81">
        <v>4</v>
      </c>
      <c r="F108" s="76" t="e">
        <f>D108*E108</f>
        <v>#VALUE!</v>
      </c>
      <c r="G108" s="77" t="e">
        <f>C108</f>
        <v>#VALUE!</v>
      </c>
      <c r="H108" s="77" t="e">
        <f>F108*G108</f>
        <v>#VALUE!</v>
      </c>
      <c r="I108" s="495" t="s">
        <v>97</v>
      </c>
      <c r="J108" s="496"/>
      <c r="K108" s="78" t="s">
        <v>98</v>
      </c>
      <c r="L108" s="78"/>
      <c r="M108" s="7" t="s">
        <v>99</v>
      </c>
      <c r="N108" s="7"/>
      <c r="O108" s="99">
        <f>O107+1</f>
        <v>17</v>
      </c>
      <c r="P108" s="99" t="str">
        <f t="shared" si="44"/>
        <v xml:space="preserve">  </v>
      </c>
      <c r="Q108" s="76" t="str">
        <f>P108</f>
        <v xml:space="preserve">  </v>
      </c>
      <c r="R108" s="77" t="str">
        <f>VLOOKUP(Q108,STN_TABLE,2,FALSE)</f>
        <v xml:space="preserve">  </v>
      </c>
      <c r="S108" s="77">
        <v>8</v>
      </c>
      <c r="T108" s="76" t="e">
        <f>R108*S108</f>
        <v>#VALUE!</v>
      </c>
      <c r="U108" s="80">
        <v>10</v>
      </c>
      <c r="V108" s="76" t="e">
        <f>R108*U108</f>
        <v>#VALUE!</v>
      </c>
      <c r="W108" s="496" t="s">
        <v>97</v>
      </c>
      <c r="X108" s="496"/>
      <c r="Y108" s="496" t="s">
        <v>98</v>
      </c>
      <c r="Z108" s="496"/>
      <c r="AA108" s="494" t="s">
        <v>99</v>
      </c>
      <c r="AB108" s="494"/>
      <c r="AC108" s="99">
        <f>AC103+1</f>
        <v>16</v>
      </c>
      <c r="AD108" s="95" t="str">
        <f>VLOOKUP(AC108,STN_TABLE_2,2,FALSE)</f>
        <v xml:space="preserve">  </v>
      </c>
      <c r="AE108" s="68" t="str">
        <f>VLOOKUP(AD108,STN_TABLE,2,FALSE)</f>
        <v xml:space="preserve">  </v>
      </c>
      <c r="AF108" s="68">
        <v>1</v>
      </c>
      <c r="AG108" s="69" t="e">
        <f>AE108*AF108</f>
        <v>#VALUE!</v>
      </c>
      <c r="AH108" s="496" t="s">
        <v>97</v>
      </c>
      <c r="AI108" s="496"/>
      <c r="AJ108" s="496" t="s">
        <v>98</v>
      </c>
      <c r="AK108" s="496"/>
      <c r="AL108" s="494" t="s">
        <v>99</v>
      </c>
      <c r="AM108" s="494"/>
      <c r="AP108" s="86" t="s">
        <v>112</v>
      </c>
      <c r="AQ108" s="89" t="s">
        <v>113</v>
      </c>
      <c r="AR108" s="89" t="s">
        <v>114</v>
      </c>
      <c r="AS108" s="89" t="s">
        <v>115</v>
      </c>
      <c r="AU108" s="81"/>
    </row>
    <row r="109" spans="1:47" x14ac:dyDescent="0.25">
      <c r="A109" s="84">
        <f>A108+1</f>
        <v>16</v>
      </c>
      <c r="B109" s="84" t="str">
        <f t="shared" si="48"/>
        <v xml:space="preserve">  </v>
      </c>
      <c r="C109" s="88" t="str">
        <f t="shared" ref="C109" si="51">B110</f>
        <v xml:space="preserve">  </v>
      </c>
      <c r="D109" s="82" t="str">
        <f>VLOOKUP(C109,STN_TABLE,2,FALSE)</f>
        <v xml:space="preserve">  </v>
      </c>
      <c r="E109" s="92">
        <v>1</v>
      </c>
      <c r="F109" s="82" t="e">
        <f>D109*E109</f>
        <v>#VALUE!</v>
      </c>
      <c r="G109" s="83" t="str">
        <f>C109</f>
        <v xml:space="preserve">  </v>
      </c>
      <c r="H109" s="83" t="e">
        <f>F109*G109</f>
        <v>#VALUE!</v>
      </c>
      <c r="I109" s="84" t="str">
        <f>CONCATENATE("a'(",C109,")=")</f>
        <v>a'(  )=</v>
      </c>
      <c r="J109" s="84" t="e">
        <f>2*J107/3*F110</f>
        <v>#VALUE!</v>
      </c>
      <c r="K109" s="84" t="e">
        <f>CONCATENATE("A(",C107,")=")</f>
        <v>#VALUE!</v>
      </c>
      <c r="L109" s="84" t="e">
        <f>VLOOKUP(C107,STN_TABLE,3,FALSE)</f>
        <v>#VALUE!</v>
      </c>
      <c r="M109" t="str">
        <f>CONCATENATE("A(",C109,")=")</f>
        <v>A(  )=</v>
      </c>
      <c r="N109" t="e">
        <f>J109+L109</f>
        <v>#VALUE!</v>
      </c>
      <c r="O109" s="99">
        <f>O108+1</f>
        <v>18</v>
      </c>
      <c r="P109" s="99" t="str">
        <f t="shared" si="44"/>
        <v xml:space="preserve">  </v>
      </c>
      <c r="Q109" s="82" t="e">
        <f>IF(P109-P108=P108-P107,P109,IF(P110-P108=P108-P107,P110,IF(P109-P108=P108-P106,P109,IF(P110-P108=P108-P106,P110,"-"))))</f>
        <v>#VALUE!</v>
      </c>
      <c r="R109" s="83" t="e">
        <f>VLOOKUP(Q109,STN_TABLE,2,FALSE)</f>
        <v>#VALUE!</v>
      </c>
      <c r="S109" s="83">
        <v>-1</v>
      </c>
      <c r="T109" s="82" t="e">
        <f>R109*S109</f>
        <v>#VALUE!</v>
      </c>
      <c r="U109" s="88">
        <v>-1</v>
      </c>
      <c r="V109" s="82" t="e">
        <f>R109*U109</f>
        <v>#VALUE!</v>
      </c>
      <c r="W109" s="84" t="str">
        <f>CONCATENATE("a'(",Q108,")=")</f>
        <v>a'(  )=</v>
      </c>
      <c r="X109" s="84" t="e">
        <f>2*X107/12*T110</f>
        <v>#VALUE!</v>
      </c>
      <c r="Y109" s="84" t="e">
        <f>CONCATENATE("A(",Q107,")=")</f>
        <v>#VALUE!</v>
      </c>
      <c r="Z109" s="84" t="e">
        <f>VLOOKUP(Q107,STN_TABLE,3,FALSE)</f>
        <v>#VALUE!</v>
      </c>
      <c r="AA109" t="str">
        <f>CONCATENATE("A(",Q108,")=")</f>
        <v>A(  )=</v>
      </c>
      <c r="AB109" t="e">
        <f>X109+Z109</f>
        <v>#VALUE!</v>
      </c>
      <c r="AC109" s="99">
        <f>AC108+1</f>
        <v>17</v>
      </c>
      <c r="AD109" s="100" t="str">
        <f>VLOOKUP(AC109,STN_TABLE_2,2,FALSE)</f>
        <v xml:space="preserve">  </v>
      </c>
      <c r="AE109" s="82" t="str">
        <f>VLOOKUP(AD109,STN_TABLE,2,FALSE)</f>
        <v xml:space="preserve">  </v>
      </c>
      <c r="AF109" s="82">
        <v>2</v>
      </c>
      <c r="AG109" s="83" t="e">
        <f>AE109*AF109</f>
        <v>#VALUE!</v>
      </c>
      <c r="AH109" s="84" t="str">
        <f>CONCATENATE("a'(",AD109,")=")</f>
        <v>a'(  )=</v>
      </c>
      <c r="AI109" s="84" t="e">
        <f>2*AI107/2*AE110</f>
        <v>#VALUE!</v>
      </c>
      <c r="AJ109" s="84" t="str">
        <f>CONCATENATE("A(",AD108,")=")</f>
        <v>A(  )=</v>
      </c>
      <c r="AK109" s="84" t="str">
        <f>VLOOKUP(AD108,STN_TABLE,3,FALSE)</f>
        <v xml:space="preserve"> </v>
      </c>
      <c r="AL109" t="str">
        <f>CONCATENATE("A(",AD109,")=")</f>
        <v>A(  )=</v>
      </c>
      <c r="AM109" t="e">
        <f>AI109+AK109</f>
        <v>#VALUE!</v>
      </c>
      <c r="AO109" s="68" t="str">
        <f>AA109</f>
        <v>A(  )=</v>
      </c>
      <c r="AP109" s="68" t="e">
        <f>VLOOKUP(AO109,Rise_Results,2,FALSE)</f>
        <v>#N/A</v>
      </c>
      <c r="AQ109" s="76" t="e">
        <f>N109</f>
        <v>#VALUE!</v>
      </c>
      <c r="AR109" s="76" t="e">
        <f>IF(OR(AB109&lt;=0,AB110&lt;=0),1/0,AB109)</f>
        <v>#VALUE!</v>
      </c>
      <c r="AS109" s="76" t="e">
        <f>AM109</f>
        <v>#VALUE!</v>
      </c>
      <c r="AT109" t="e">
        <f>IFERROR(AP109,IFERROR(AQ109,IFERROR(AR109,AS109)))</f>
        <v>#VALUE!</v>
      </c>
      <c r="AU109" s="81"/>
    </row>
    <row r="110" spans="1:47" x14ac:dyDescent="0.25">
      <c r="A110" s="84">
        <f>A109+1</f>
        <v>17</v>
      </c>
      <c r="B110" s="84" t="str">
        <f t="shared" si="48"/>
        <v xml:space="preserve">  </v>
      </c>
      <c r="F110" s="82" t="e">
        <f>SUM(F107:F109)</f>
        <v>#VALUE!</v>
      </c>
      <c r="H110" s="82" t="e">
        <f>SUM(H107:H109)</f>
        <v>#VALUE!</v>
      </c>
      <c r="I110" s="84" t="str">
        <f>CONCATENATE("m'(",C109,")=")</f>
        <v>m'(  )=</v>
      </c>
      <c r="J110" s="84" t="e">
        <f>2*(J107*(WLS))/3*H110</f>
        <v>#VALUE!</v>
      </c>
      <c r="K110" s="84" t="e">
        <f>CONCATENATE("M(",C107,")=")</f>
        <v>#VALUE!</v>
      </c>
      <c r="L110" s="84" t="e">
        <f>VLOOKUP(C107,STN_TABLE,4,FALSE)</f>
        <v>#VALUE!</v>
      </c>
      <c r="M110" t="str">
        <f>CONCATENATE("M(",C109,")=")</f>
        <v>M(  )=</v>
      </c>
      <c r="N110" t="e">
        <f>J110+L110</f>
        <v>#VALUE!</v>
      </c>
      <c r="O110" s="99">
        <f>O109+1</f>
        <v>19</v>
      </c>
      <c r="P110" s="99" t="str">
        <f t="shared" si="44"/>
        <v xml:space="preserve">  </v>
      </c>
      <c r="T110" s="89" t="e">
        <f>SUM(T107:T109)</f>
        <v>#VALUE!</v>
      </c>
      <c r="V110" s="82" t="e">
        <f>SUM(V107:V109)</f>
        <v>#VALUE!</v>
      </c>
      <c r="W110" s="84" t="str">
        <f>CONCATENATE("m'(",Q108,")=")</f>
        <v>m'(  )=</v>
      </c>
      <c r="X110" s="84" t="e">
        <f>(2*(X107^2)/24*V110)+(X109*Q107*WLS)</f>
        <v>#VALUE!</v>
      </c>
      <c r="Y110" s="84" t="e">
        <f>CONCATENATE("M(",Q107,")=")</f>
        <v>#VALUE!</v>
      </c>
      <c r="Z110" s="84" t="e">
        <f>VLOOKUP(Q107,STN_TABLE,4,FALSE)</f>
        <v>#VALUE!</v>
      </c>
      <c r="AA110" t="str">
        <f>CONCATENATE("M(",Q108,")=")</f>
        <v>M(  )=</v>
      </c>
      <c r="AB110" t="e">
        <f>X110+Z110</f>
        <v>#VALUE!</v>
      </c>
      <c r="AE110" s="89">
        <f>SUM(AE108:AE109)</f>
        <v>0</v>
      </c>
      <c r="AG110" s="89" t="e">
        <f>SUM(AG108:AG109)</f>
        <v>#VALUE!</v>
      </c>
      <c r="AH110" s="84" t="str">
        <f>CONCATENATE("m'(",AD109,")=")</f>
        <v>m'(  )=</v>
      </c>
      <c r="AI110" s="84" t="e">
        <f>(2*(AI107^2)/6*AG110)+(AI109*AD108*WLS)</f>
        <v>#VALUE!</v>
      </c>
      <c r="AJ110" s="84" t="str">
        <f>CONCATENATE("M(",AD108,")=")</f>
        <v>M(  )=</v>
      </c>
      <c r="AK110" s="84" t="str">
        <f>VLOOKUP(AD108,STN_TABLE,4,FALSE)</f>
        <v xml:space="preserve"> </v>
      </c>
      <c r="AL110" t="str">
        <f>CONCATENATE("M(",AD109,")=")</f>
        <v>M(  )=</v>
      </c>
      <c r="AM110" t="e">
        <f>AI110+AK110</f>
        <v>#VALUE!</v>
      </c>
      <c r="AO110" s="82" t="str">
        <f>AA110</f>
        <v>M(  )=</v>
      </c>
      <c r="AP110" s="82" t="e">
        <f>VLOOKUP(AO110,Rise_Results,2,FALSE)</f>
        <v>#N/A</v>
      </c>
      <c r="AQ110" s="82" t="e">
        <f>N110</f>
        <v>#VALUE!</v>
      </c>
      <c r="AR110" s="82" t="e">
        <f>IF(OR(AB109&lt;=0,AB110&lt;=0),1/0,AB110)</f>
        <v>#VALUE!</v>
      </c>
      <c r="AS110" s="82" t="e">
        <f>AM110</f>
        <v>#VALUE!</v>
      </c>
      <c r="AT110" t="e">
        <f>IFERROR(AP110,IFERROR(AQ110,IFERROR(AR110,AS110)))</f>
        <v>#VALUE!</v>
      </c>
      <c r="AU110" s="81"/>
    </row>
    <row r="111" spans="1:47" x14ac:dyDescent="0.25">
      <c r="A111" s="101">
        <f>A106+1</f>
        <v>14</v>
      </c>
      <c r="B111" s="101" t="str">
        <f t="shared" si="48"/>
        <v xml:space="preserve">  </v>
      </c>
      <c r="O111" s="101">
        <f>O106+1</f>
        <v>16</v>
      </c>
      <c r="P111" s="101" t="str">
        <f t="shared" si="44"/>
        <v xml:space="preserve">  </v>
      </c>
      <c r="AU111" s="81"/>
    </row>
    <row r="112" spans="1:47" x14ac:dyDescent="0.25">
      <c r="A112" s="84">
        <f>A111+1</f>
        <v>15</v>
      </c>
      <c r="B112" s="84" t="str">
        <f t="shared" si="48"/>
        <v xml:space="preserve">  </v>
      </c>
      <c r="C112" s="79" t="e">
        <f t="shared" ref="C112" si="52">IF(C113=B114,IF(C114-C113=C113-B113,B113,IF(C114-C113=C113-B112,B112,"#NA")),IF(C113=B113,IF(C114-C113=C113-B112,B112,IF(C114-C113=C113-B111,B111,"#NA")),"#NA"))</f>
        <v>#VALUE!</v>
      </c>
      <c r="D112" s="68" t="e">
        <f>VLOOKUP(C112,STN_TABLE,2,FALSE)</f>
        <v>#VALUE!</v>
      </c>
      <c r="E112" s="102">
        <v>1</v>
      </c>
      <c r="F112" s="68" t="e">
        <f>D112*E112</f>
        <v>#VALUE!</v>
      </c>
      <c r="G112" s="69" t="e">
        <f>C112</f>
        <v>#VALUE!</v>
      </c>
      <c r="H112" s="69" t="e">
        <f>F112*G112</f>
        <v>#VALUE!</v>
      </c>
      <c r="I112" s="6" t="s">
        <v>93</v>
      </c>
      <c r="J112" s="70" t="e">
        <f>IF(OR(D112=0,D113=0,D114=0),"#NA",IF(AND(C114-C113=C113-C112,C113&lt;&gt;C114,C112&lt;&gt;C113,C112&lt;&gt;C114,D114&lt;&gt;0,OR(D112&lt;&gt;0,D113&lt;&gt;0)),WLS*(C114-C113),"#NA"))</f>
        <v>#VALUE!</v>
      </c>
      <c r="O112" s="99">
        <f>O111+1</f>
        <v>17</v>
      </c>
      <c r="P112" s="99" t="str">
        <f t="shared" si="44"/>
        <v xml:space="preserve">  </v>
      </c>
      <c r="Q112" s="68" t="e">
        <f>IF(OR(P114-P113=P113-P112,P115-P113=P113-P112),P112,IF(OR(P114-P113=P113-P111,P115-P113=P113-P111),P111,"-"))</f>
        <v>#VALUE!</v>
      </c>
      <c r="R112" s="69" t="e">
        <f>VLOOKUP(Q112,STN_TABLE,2,FALSE)</f>
        <v>#VALUE!</v>
      </c>
      <c r="S112" s="69">
        <v>5</v>
      </c>
      <c r="T112" s="68" t="e">
        <f>R112*S112</f>
        <v>#VALUE!</v>
      </c>
      <c r="U112" s="79">
        <v>3</v>
      </c>
      <c r="V112" s="68" t="e">
        <f>R112*U112</f>
        <v>#VALUE!</v>
      </c>
      <c r="W112" s="6" t="s">
        <v>93</v>
      </c>
      <c r="X112" s="70" t="e">
        <f>IF(AND(Q114-Q113=Q113-Q112,NOT(AND(Q112=0,Q113=0)),NOT(AND(Q113=0,Q114=0))),WLS*(Q114-Q113),"#NA")</f>
        <v>#VALUE!</v>
      </c>
      <c r="AD112" s="93"/>
      <c r="AH112" s="6" t="s">
        <v>93</v>
      </c>
      <c r="AI112" s="70" t="e">
        <f>WLS*(AD114-AD113)</f>
        <v>#VALUE!</v>
      </c>
      <c r="AU112" s="81"/>
    </row>
    <row r="113" spans="1:47" x14ac:dyDescent="0.25">
      <c r="A113" s="84">
        <f>A112+1</f>
        <v>16</v>
      </c>
      <c r="B113" s="84" t="str">
        <f t="shared" si="48"/>
        <v xml:space="preserve">  </v>
      </c>
      <c r="C113" s="80" t="e">
        <f t="shared" ref="C113" si="53">IF(OR(B115-B114=B114-B113,B115-B114=B114-B112,B115-B114=B114-B111),B114,IF(OR(B115-B113=B113-B112,B115-B113=B113-B111),B113,IF(B115-B112=B112-B111,B112,"#NA")))</f>
        <v>#VALUE!</v>
      </c>
      <c r="D113" s="76" t="e">
        <f>VLOOKUP(C113,STN_TABLE,2,FALSE)</f>
        <v>#VALUE!</v>
      </c>
      <c r="E113" s="81">
        <v>4</v>
      </c>
      <c r="F113" s="76" t="e">
        <f>D113*E113</f>
        <v>#VALUE!</v>
      </c>
      <c r="G113" s="77" t="e">
        <f>C113</f>
        <v>#VALUE!</v>
      </c>
      <c r="H113" s="77" t="e">
        <f>F113*G113</f>
        <v>#VALUE!</v>
      </c>
      <c r="I113" s="495" t="s">
        <v>97</v>
      </c>
      <c r="J113" s="496"/>
      <c r="K113" s="78" t="s">
        <v>98</v>
      </c>
      <c r="L113" s="78"/>
      <c r="M113" s="7" t="s">
        <v>99</v>
      </c>
      <c r="N113" s="7"/>
      <c r="O113" s="99">
        <f>O112+1</f>
        <v>18</v>
      </c>
      <c r="P113" s="99" t="str">
        <f t="shared" si="44"/>
        <v xml:space="preserve">  </v>
      </c>
      <c r="Q113" s="76" t="str">
        <f>P113</f>
        <v xml:space="preserve">  </v>
      </c>
      <c r="R113" s="77" t="str">
        <f>VLOOKUP(Q113,STN_TABLE,2,FALSE)</f>
        <v xml:space="preserve">  </v>
      </c>
      <c r="S113" s="77">
        <v>8</v>
      </c>
      <c r="T113" s="76" t="e">
        <f>R113*S113</f>
        <v>#VALUE!</v>
      </c>
      <c r="U113" s="80">
        <v>10</v>
      </c>
      <c r="V113" s="76" t="e">
        <f>R113*U113</f>
        <v>#VALUE!</v>
      </c>
      <c r="W113" s="496" t="s">
        <v>97</v>
      </c>
      <c r="X113" s="496"/>
      <c r="Y113" s="496" t="s">
        <v>98</v>
      </c>
      <c r="Z113" s="496"/>
      <c r="AA113" s="494" t="s">
        <v>99</v>
      </c>
      <c r="AB113" s="494"/>
      <c r="AC113" s="99">
        <f>AC108+1</f>
        <v>17</v>
      </c>
      <c r="AD113" s="95" t="str">
        <f>VLOOKUP(AC113,STN_TABLE_2,2,FALSE)</f>
        <v xml:space="preserve">  </v>
      </c>
      <c r="AE113" s="68" t="str">
        <f>VLOOKUP(AD113,STN_TABLE,2,FALSE)</f>
        <v xml:space="preserve">  </v>
      </c>
      <c r="AF113" s="68">
        <v>1</v>
      </c>
      <c r="AG113" s="69" t="e">
        <f>AE113*AF113</f>
        <v>#VALUE!</v>
      </c>
      <c r="AH113" s="496" t="s">
        <v>97</v>
      </c>
      <c r="AI113" s="496"/>
      <c r="AJ113" s="496" t="s">
        <v>98</v>
      </c>
      <c r="AK113" s="496"/>
      <c r="AL113" s="494" t="s">
        <v>99</v>
      </c>
      <c r="AM113" s="494"/>
      <c r="AP113" s="86" t="s">
        <v>112</v>
      </c>
      <c r="AQ113" s="89" t="s">
        <v>113</v>
      </c>
      <c r="AR113" s="89" t="s">
        <v>114</v>
      </c>
      <c r="AS113" s="89" t="s">
        <v>115</v>
      </c>
      <c r="AU113" s="81"/>
    </row>
    <row r="114" spans="1:47" x14ac:dyDescent="0.25">
      <c r="A114" s="84">
        <f>A113+1</f>
        <v>17</v>
      </c>
      <c r="B114" s="84" t="str">
        <f t="shared" si="48"/>
        <v xml:space="preserve">  </v>
      </c>
      <c r="C114" s="88" t="str">
        <f t="shared" ref="C114" si="54">B115</f>
        <v xml:space="preserve">  </v>
      </c>
      <c r="D114" s="82" t="str">
        <f>VLOOKUP(C114,STN_TABLE,2,FALSE)</f>
        <v xml:space="preserve">  </v>
      </c>
      <c r="E114" s="92">
        <v>1</v>
      </c>
      <c r="F114" s="82" t="e">
        <f>D114*E114</f>
        <v>#VALUE!</v>
      </c>
      <c r="G114" s="83" t="str">
        <f>C114</f>
        <v xml:space="preserve">  </v>
      </c>
      <c r="H114" s="83" t="e">
        <f>F114*G114</f>
        <v>#VALUE!</v>
      </c>
      <c r="I114" s="84" t="str">
        <f>CONCATENATE("a'(",C114,")=")</f>
        <v>a'(  )=</v>
      </c>
      <c r="J114" s="84" t="e">
        <f>2*J112/3*F115</f>
        <v>#VALUE!</v>
      </c>
      <c r="K114" s="84" t="e">
        <f>CONCATENATE("A(",C112,")=")</f>
        <v>#VALUE!</v>
      </c>
      <c r="L114" s="84" t="e">
        <f>VLOOKUP(C112,STN_TABLE,3,FALSE)</f>
        <v>#VALUE!</v>
      </c>
      <c r="M114" t="str">
        <f>CONCATENATE("A(",C114,")=")</f>
        <v>A(  )=</v>
      </c>
      <c r="N114" t="e">
        <f>J114+L114</f>
        <v>#VALUE!</v>
      </c>
      <c r="O114" s="99">
        <f>O113+1</f>
        <v>19</v>
      </c>
      <c r="P114" s="99" t="str">
        <f t="shared" si="44"/>
        <v xml:space="preserve">  </v>
      </c>
      <c r="Q114" s="82" t="e">
        <f>IF(P114-P113=P113-P112,P114,IF(P115-P113=P113-P112,P115,IF(P114-P113=P113-P111,P114,IF(P115-P113=P113-P111,P115,"-"))))</f>
        <v>#VALUE!</v>
      </c>
      <c r="R114" s="83" t="e">
        <f>VLOOKUP(Q114,STN_TABLE,2,FALSE)</f>
        <v>#VALUE!</v>
      </c>
      <c r="S114" s="83">
        <v>-1</v>
      </c>
      <c r="T114" s="82" t="e">
        <f>R114*S114</f>
        <v>#VALUE!</v>
      </c>
      <c r="U114" s="88">
        <v>-1</v>
      </c>
      <c r="V114" s="82" t="e">
        <f>R114*U114</f>
        <v>#VALUE!</v>
      </c>
      <c r="W114" s="84" t="str">
        <f>CONCATENATE("a'(",Q113,")=")</f>
        <v>a'(  )=</v>
      </c>
      <c r="X114" s="84" t="e">
        <f>2*X112/12*T115</f>
        <v>#VALUE!</v>
      </c>
      <c r="Y114" s="84" t="e">
        <f>CONCATENATE("A(",Q112,")=")</f>
        <v>#VALUE!</v>
      </c>
      <c r="Z114" s="84" t="e">
        <f>VLOOKUP(Q112,STN_TABLE,3,FALSE)</f>
        <v>#VALUE!</v>
      </c>
      <c r="AA114" t="str">
        <f>CONCATENATE("A(",Q113,")=")</f>
        <v>A(  )=</v>
      </c>
      <c r="AB114" t="e">
        <f>X114+Z114</f>
        <v>#VALUE!</v>
      </c>
      <c r="AC114" s="99">
        <f>AC113+1</f>
        <v>18</v>
      </c>
      <c r="AD114" s="100" t="str">
        <f>VLOOKUP(AC114,STN_TABLE_2,2,FALSE)</f>
        <v xml:space="preserve">  </v>
      </c>
      <c r="AE114" s="82" t="str">
        <f>VLOOKUP(AD114,STN_TABLE,2,FALSE)</f>
        <v xml:space="preserve">  </v>
      </c>
      <c r="AF114" s="82">
        <v>2</v>
      </c>
      <c r="AG114" s="83" t="e">
        <f>AE114*AF114</f>
        <v>#VALUE!</v>
      </c>
      <c r="AH114" s="84" t="str">
        <f>CONCATENATE("a'(",AD114,")=")</f>
        <v>a'(  )=</v>
      </c>
      <c r="AI114" s="84" t="e">
        <f>2*AI112/2*AE115</f>
        <v>#VALUE!</v>
      </c>
      <c r="AJ114" s="84" t="str">
        <f>CONCATENATE("A(",AD113,")=")</f>
        <v>A(  )=</v>
      </c>
      <c r="AK114" s="84" t="str">
        <f>VLOOKUP(AD113,STN_TABLE,3,FALSE)</f>
        <v xml:space="preserve"> </v>
      </c>
      <c r="AL114" t="str">
        <f>CONCATENATE("A(",AD114,")=")</f>
        <v>A(  )=</v>
      </c>
      <c r="AM114" t="e">
        <f>AI114+AK114</f>
        <v>#VALUE!</v>
      </c>
      <c r="AO114" s="68" t="str">
        <f>AA114</f>
        <v>A(  )=</v>
      </c>
      <c r="AP114" s="68" t="e">
        <f>VLOOKUP(AO114,Rise_Results,2,FALSE)</f>
        <v>#N/A</v>
      </c>
      <c r="AQ114" s="76" t="e">
        <f>N114</f>
        <v>#VALUE!</v>
      </c>
      <c r="AR114" s="76" t="e">
        <f>IF(OR(AB114&lt;=0,AB115&lt;=0),1/0,AB114)</f>
        <v>#VALUE!</v>
      </c>
      <c r="AS114" s="76" t="e">
        <f>AM114</f>
        <v>#VALUE!</v>
      </c>
      <c r="AT114" t="e">
        <f>IFERROR(AP114,IFERROR(AQ114,IFERROR(AR114,AS114)))</f>
        <v>#VALUE!</v>
      </c>
      <c r="AU114" s="81"/>
    </row>
    <row r="115" spans="1:47" x14ac:dyDescent="0.25">
      <c r="A115" s="84">
        <f>A114+1</f>
        <v>18</v>
      </c>
      <c r="B115" s="84" t="str">
        <f t="shared" si="48"/>
        <v xml:space="preserve">  </v>
      </c>
      <c r="F115" s="82" t="e">
        <f>SUM(F112:F114)</f>
        <v>#VALUE!</v>
      </c>
      <c r="H115" s="82" t="e">
        <f>SUM(H112:H114)</f>
        <v>#VALUE!</v>
      </c>
      <c r="I115" s="84" t="str">
        <f>CONCATENATE("m'(",C114,")=")</f>
        <v>m'(  )=</v>
      </c>
      <c r="J115" s="84" t="e">
        <f>2*(J112*(WLS))/3*H115</f>
        <v>#VALUE!</v>
      </c>
      <c r="K115" s="84" t="e">
        <f>CONCATENATE("M(",C112,")=")</f>
        <v>#VALUE!</v>
      </c>
      <c r="L115" s="84" t="e">
        <f>VLOOKUP(C112,STN_TABLE,4,FALSE)</f>
        <v>#VALUE!</v>
      </c>
      <c r="M115" t="str">
        <f>CONCATENATE("M(",C114,")=")</f>
        <v>M(  )=</v>
      </c>
      <c r="N115" t="e">
        <f>J115+L115</f>
        <v>#VALUE!</v>
      </c>
      <c r="O115" s="99">
        <f>O114+1</f>
        <v>20</v>
      </c>
      <c r="P115" s="99" t="str">
        <f t="shared" si="44"/>
        <v xml:space="preserve">  </v>
      </c>
      <c r="T115" s="89" t="e">
        <f>SUM(T112:T114)</f>
        <v>#VALUE!</v>
      </c>
      <c r="V115" s="82" t="e">
        <f>SUM(V112:V114)</f>
        <v>#VALUE!</v>
      </c>
      <c r="W115" s="84" t="str">
        <f>CONCATENATE("m'(",Q113,")=")</f>
        <v>m'(  )=</v>
      </c>
      <c r="X115" s="84" t="e">
        <f>(2*(X112^2)/24*V115)+(X114*Q112*WLS)</f>
        <v>#VALUE!</v>
      </c>
      <c r="Y115" s="84" t="e">
        <f>CONCATENATE("M(",Q112,")=")</f>
        <v>#VALUE!</v>
      </c>
      <c r="Z115" s="84" t="e">
        <f>VLOOKUP(Q112,STN_TABLE,4,FALSE)</f>
        <v>#VALUE!</v>
      </c>
      <c r="AA115" t="str">
        <f>CONCATENATE("M(",Q113,")=")</f>
        <v>M(  )=</v>
      </c>
      <c r="AB115" t="e">
        <f>X115+Z115</f>
        <v>#VALUE!</v>
      </c>
      <c r="AE115" s="89">
        <f>SUM(AE113:AE114)</f>
        <v>0</v>
      </c>
      <c r="AG115" s="89" t="e">
        <f>SUM(AG113:AG114)</f>
        <v>#VALUE!</v>
      </c>
      <c r="AH115" s="84" t="str">
        <f>CONCATENATE("m'(",AD114,")=")</f>
        <v>m'(  )=</v>
      </c>
      <c r="AI115" s="84" t="e">
        <f>(2*(AI112^2)/6*AG115)+(AI114*AD113*WLS)</f>
        <v>#VALUE!</v>
      </c>
      <c r="AJ115" s="84" t="str">
        <f>CONCATENATE("M(",AD113,")=")</f>
        <v>M(  )=</v>
      </c>
      <c r="AK115" s="84" t="str">
        <f>VLOOKUP(AD113,STN_TABLE,4,FALSE)</f>
        <v xml:space="preserve"> </v>
      </c>
      <c r="AL115" t="str">
        <f>CONCATENATE("M(",AD114,")=")</f>
        <v>M(  )=</v>
      </c>
      <c r="AM115" t="e">
        <f>AI115+AK115</f>
        <v>#VALUE!</v>
      </c>
      <c r="AO115" s="82" t="str">
        <f>AA115</f>
        <v>M(  )=</v>
      </c>
      <c r="AP115" s="82" t="e">
        <f>VLOOKUP(AO115,Rise_Results,2,FALSE)</f>
        <v>#N/A</v>
      </c>
      <c r="AQ115" s="82" t="e">
        <f>N115</f>
        <v>#VALUE!</v>
      </c>
      <c r="AR115" s="82" t="e">
        <f>IF(OR(AB114&lt;=0,AB115&lt;=0),1/0,AB115)</f>
        <v>#VALUE!</v>
      </c>
      <c r="AS115" s="82" t="e">
        <f>AM115</f>
        <v>#VALUE!</v>
      </c>
      <c r="AT115" t="e">
        <f>IFERROR(AP115,IFERROR(AQ115,IFERROR(AR115,AS115)))</f>
        <v>#VALUE!</v>
      </c>
      <c r="AU115" s="81"/>
    </row>
    <row r="116" spans="1:47" x14ac:dyDescent="0.25">
      <c r="A116" s="101">
        <f>A111+1</f>
        <v>15</v>
      </c>
      <c r="B116" s="101" t="str">
        <f t="shared" si="48"/>
        <v xml:space="preserve">  </v>
      </c>
      <c r="O116" s="101">
        <f>O111+1</f>
        <v>17</v>
      </c>
      <c r="P116" s="101" t="str">
        <f t="shared" si="44"/>
        <v xml:space="preserve">  </v>
      </c>
      <c r="AU116" s="81"/>
    </row>
    <row r="117" spans="1:47" x14ac:dyDescent="0.25">
      <c r="A117" s="84">
        <f>A116+1</f>
        <v>16</v>
      </c>
      <c r="B117" s="84" t="str">
        <f t="shared" si="48"/>
        <v xml:space="preserve">  </v>
      </c>
      <c r="C117" s="79" t="e">
        <f t="shared" ref="C117" si="55">IF(C118=B119,IF(C119-C118=C118-B118,B118,IF(C119-C118=C118-B117,B117,"#NA")),IF(C118=B118,IF(C119-C118=C118-B117,B117,IF(C119-C118=C118-B116,B116,"#NA")),"#NA"))</f>
        <v>#VALUE!</v>
      </c>
      <c r="D117" s="68" t="e">
        <f>VLOOKUP(C117,STN_TABLE,2,FALSE)</f>
        <v>#VALUE!</v>
      </c>
      <c r="E117" s="102">
        <v>1</v>
      </c>
      <c r="F117" s="68" t="e">
        <f>D117*E117</f>
        <v>#VALUE!</v>
      </c>
      <c r="G117" s="69" t="e">
        <f>C117</f>
        <v>#VALUE!</v>
      </c>
      <c r="H117" s="69" t="e">
        <f>F117*G117</f>
        <v>#VALUE!</v>
      </c>
      <c r="I117" s="6" t="s">
        <v>93</v>
      </c>
      <c r="J117" s="70" t="e">
        <f>IF(OR(D117=0,D118=0,D119=0),"#NA",IF(AND(C119-C118=C118-C117,C118&lt;&gt;C119,C117&lt;&gt;C118,C117&lt;&gt;C119,D119&lt;&gt;0,OR(D117&lt;&gt;0,D118&lt;&gt;0)),WLS*(C119-C118),"#NA"))</f>
        <v>#VALUE!</v>
      </c>
      <c r="O117" s="99">
        <f>O116+1</f>
        <v>18</v>
      </c>
      <c r="P117" s="99" t="str">
        <f t="shared" si="44"/>
        <v xml:space="preserve">  </v>
      </c>
      <c r="Q117" s="68" t="e">
        <f>IF(OR(P119-P118=P118-P117,P120-P118=P118-P117),P117,IF(OR(P119-P118=P118-P116,P120-P118=P118-P116),P116,"-"))</f>
        <v>#VALUE!</v>
      </c>
      <c r="R117" s="69" t="e">
        <f>VLOOKUP(Q117,STN_TABLE,2,FALSE)</f>
        <v>#VALUE!</v>
      </c>
      <c r="S117" s="69">
        <v>5</v>
      </c>
      <c r="T117" s="68" t="e">
        <f>R117*S117</f>
        <v>#VALUE!</v>
      </c>
      <c r="U117" s="79">
        <v>3</v>
      </c>
      <c r="V117" s="68" t="e">
        <f>R117*U117</f>
        <v>#VALUE!</v>
      </c>
      <c r="W117" s="6" t="s">
        <v>93</v>
      </c>
      <c r="X117" s="70" t="e">
        <f>IF(AND(Q119-Q118=Q118-Q117,NOT(AND(Q117=0,Q118=0)),NOT(AND(Q118=0,Q119=0))),WLS*(Q119-Q118),"#NA")</f>
        <v>#VALUE!</v>
      </c>
      <c r="AD117" s="93"/>
      <c r="AH117" s="6" t="s">
        <v>93</v>
      </c>
      <c r="AI117" s="70" t="e">
        <f>WLS*(AD119-AD118)</f>
        <v>#VALUE!</v>
      </c>
      <c r="AU117" s="81"/>
    </row>
    <row r="118" spans="1:47" x14ac:dyDescent="0.25">
      <c r="A118" s="84">
        <f>A117+1</f>
        <v>17</v>
      </c>
      <c r="B118" s="84" t="str">
        <f t="shared" si="48"/>
        <v xml:space="preserve">  </v>
      </c>
      <c r="C118" s="80" t="e">
        <f t="shared" ref="C118" si="56">IF(OR(B120-B119=B119-B118,B120-B119=B119-B117,B120-B119=B119-B116),B119,IF(OR(B120-B118=B118-B117,B120-B118=B118-B116),B118,IF(B120-B117=B117-B116,B117,"#NA")))</f>
        <v>#VALUE!</v>
      </c>
      <c r="D118" s="76" t="e">
        <f>VLOOKUP(C118,STN_TABLE,2,FALSE)</f>
        <v>#VALUE!</v>
      </c>
      <c r="E118" s="81">
        <v>4</v>
      </c>
      <c r="F118" s="76" t="e">
        <f>D118*E118</f>
        <v>#VALUE!</v>
      </c>
      <c r="G118" s="77" t="e">
        <f>C118</f>
        <v>#VALUE!</v>
      </c>
      <c r="H118" s="77" t="e">
        <f>F118*G118</f>
        <v>#VALUE!</v>
      </c>
      <c r="I118" s="495" t="s">
        <v>97</v>
      </c>
      <c r="J118" s="496"/>
      <c r="K118" s="78" t="s">
        <v>98</v>
      </c>
      <c r="L118" s="78"/>
      <c r="M118" s="7" t="s">
        <v>99</v>
      </c>
      <c r="N118" s="7"/>
      <c r="O118" s="99">
        <f>O117+1</f>
        <v>19</v>
      </c>
      <c r="P118" s="99" t="str">
        <f t="shared" si="44"/>
        <v xml:space="preserve">  </v>
      </c>
      <c r="Q118" s="76" t="str">
        <f>P118</f>
        <v xml:space="preserve">  </v>
      </c>
      <c r="R118" s="77" t="str">
        <f>VLOOKUP(Q118,STN_TABLE,2,FALSE)</f>
        <v xml:space="preserve">  </v>
      </c>
      <c r="S118" s="77">
        <v>8</v>
      </c>
      <c r="T118" s="76" t="e">
        <f>R118*S118</f>
        <v>#VALUE!</v>
      </c>
      <c r="U118" s="80">
        <v>10</v>
      </c>
      <c r="V118" s="76" t="e">
        <f>R118*U118</f>
        <v>#VALUE!</v>
      </c>
      <c r="W118" s="496" t="s">
        <v>97</v>
      </c>
      <c r="X118" s="496"/>
      <c r="Y118" s="496" t="s">
        <v>98</v>
      </c>
      <c r="Z118" s="496"/>
      <c r="AA118" s="494" t="s">
        <v>99</v>
      </c>
      <c r="AB118" s="494"/>
      <c r="AC118" s="99">
        <f>AC113+1</f>
        <v>18</v>
      </c>
      <c r="AD118" s="95" t="str">
        <f>VLOOKUP(AC118,STN_TABLE_2,2,FALSE)</f>
        <v xml:space="preserve">  </v>
      </c>
      <c r="AE118" s="68" t="str">
        <f>VLOOKUP(AD118,STN_TABLE,2,FALSE)</f>
        <v xml:space="preserve">  </v>
      </c>
      <c r="AF118" s="68">
        <v>1</v>
      </c>
      <c r="AG118" s="69" t="e">
        <f>AE118*AF118</f>
        <v>#VALUE!</v>
      </c>
      <c r="AH118" s="496" t="s">
        <v>97</v>
      </c>
      <c r="AI118" s="496"/>
      <c r="AJ118" s="496" t="s">
        <v>98</v>
      </c>
      <c r="AK118" s="496"/>
      <c r="AL118" s="494" t="s">
        <v>99</v>
      </c>
      <c r="AM118" s="494"/>
      <c r="AP118" s="86" t="s">
        <v>112</v>
      </c>
      <c r="AQ118" s="89" t="s">
        <v>113</v>
      </c>
      <c r="AR118" s="89" t="s">
        <v>114</v>
      </c>
      <c r="AS118" s="89" t="s">
        <v>115</v>
      </c>
      <c r="AU118" s="81"/>
    </row>
    <row r="119" spans="1:47" x14ac:dyDescent="0.25">
      <c r="A119" s="84">
        <f>A118+1</f>
        <v>18</v>
      </c>
      <c r="B119" s="84" t="str">
        <f t="shared" si="48"/>
        <v xml:space="preserve">  </v>
      </c>
      <c r="C119" s="88" t="str">
        <f t="shared" ref="C119" si="57">B120</f>
        <v xml:space="preserve">  </v>
      </c>
      <c r="D119" s="82" t="str">
        <f>VLOOKUP(C119,STN_TABLE,2,FALSE)</f>
        <v xml:space="preserve">  </v>
      </c>
      <c r="E119" s="92">
        <v>1</v>
      </c>
      <c r="F119" s="82" t="e">
        <f>D119*E119</f>
        <v>#VALUE!</v>
      </c>
      <c r="G119" s="83" t="str">
        <f>C119</f>
        <v xml:space="preserve">  </v>
      </c>
      <c r="H119" s="83" t="e">
        <f>F119*G119</f>
        <v>#VALUE!</v>
      </c>
      <c r="I119" s="84" t="str">
        <f>CONCATENATE("a'(",C119,")=")</f>
        <v>a'(  )=</v>
      </c>
      <c r="J119" s="84" t="e">
        <f>2*J117/3*F120</f>
        <v>#VALUE!</v>
      </c>
      <c r="K119" s="84" t="e">
        <f>CONCATENATE("A(",C117,")=")</f>
        <v>#VALUE!</v>
      </c>
      <c r="L119" s="84" t="e">
        <f>VLOOKUP(C117,STN_TABLE,3,FALSE)</f>
        <v>#VALUE!</v>
      </c>
      <c r="M119" t="str">
        <f>CONCATENATE("A(",C119,")=")</f>
        <v>A(  )=</v>
      </c>
      <c r="N119" t="e">
        <f>J119+L119</f>
        <v>#VALUE!</v>
      </c>
      <c r="O119" s="99">
        <f>O118+1</f>
        <v>20</v>
      </c>
      <c r="P119" s="99" t="str">
        <f t="shared" si="44"/>
        <v xml:space="preserve">  </v>
      </c>
      <c r="Q119" s="82" t="e">
        <f>IF(P119-P118=P118-P117,P119,IF(P120-P118=P118-P117,P120,IF(P119-P118=P118-P116,P119,IF(P120-P118=P118-P116,P120,"-"))))</f>
        <v>#VALUE!</v>
      </c>
      <c r="R119" s="83" t="e">
        <f>VLOOKUP(Q119,STN_TABLE,2,FALSE)</f>
        <v>#VALUE!</v>
      </c>
      <c r="S119" s="83">
        <v>-1</v>
      </c>
      <c r="T119" s="82" t="e">
        <f>R119*S119</f>
        <v>#VALUE!</v>
      </c>
      <c r="U119" s="88">
        <v>-1</v>
      </c>
      <c r="V119" s="82" t="e">
        <f>R119*U119</f>
        <v>#VALUE!</v>
      </c>
      <c r="W119" s="84" t="str">
        <f>CONCATENATE("a'(",Q118,")=")</f>
        <v>a'(  )=</v>
      </c>
      <c r="X119" s="84" t="e">
        <f>2*X117/12*T120</f>
        <v>#VALUE!</v>
      </c>
      <c r="Y119" s="84" t="e">
        <f>CONCATENATE("A(",Q117,")=")</f>
        <v>#VALUE!</v>
      </c>
      <c r="Z119" s="84" t="e">
        <f>VLOOKUP(Q117,STN_TABLE,3,FALSE)</f>
        <v>#VALUE!</v>
      </c>
      <c r="AA119" t="str">
        <f>CONCATENATE("A(",Q118,")=")</f>
        <v>A(  )=</v>
      </c>
      <c r="AB119" t="e">
        <f>X119+Z119</f>
        <v>#VALUE!</v>
      </c>
      <c r="AC119" s="99">
        <f>AC118+1</f>
        <v>19</v>
      </c>
      <c r="AD119" s="100" t="str">
        <f>VLOOKUP(AC119,STN_TABLE_2,2,FALSE)</f>
        <v xml:space="preserve">  </v>
      </c>
      <c r="AE119" s="82" t="str">
        <f>VLOOKUP(AD119,STN_TABLE,2,FALSE)</f>
        <v xml:space="preserve">  </v>
      </c>
      <c r="AF119" s="82">
        <v>2</v>
      </c>
      <c r="AG119" s="83" t="e">
        <f>AE119*AF119</f>
        <v>#VALUE!</v>
      </c>
      <c r="AH119" s="84" t="str">
        <f>CONCATENATE("a'(",AD119,")=")</f>
        <v>a'(  )=</v>
      </c>
      <c r="AI119" s="84" t="e">
        <f>2*AI117/2*AE120</f>
        <v>#VALUE!</v>
      </c>
      <c r="AJ119" s="84" t="str">
        <f>CONCATENATE("A(",AD118,")=")</f>
        <v>A(  )=</v>
      </c>
      <c r="AK119" s="84" t="str">
        <f>VLOOKUP(AD118,STN_TABLE,3,FALSE)</f>
        <v xml:space="preserve"> </v>
      </c>
      <c r="AL119" t="str">
        <f>CONCATENATE("A(",AD119,")=")</f>
        <v>A(  )=</v>
      </c>
      <c r="AM119" t="e">
        <f>AI119+AK119</f>
        <v>#VALUE!</v>
      </c>
      <c r="AO119" s="68" t="str">
        <f>AA119</f>
        <v>A(  )=</v>
      </c>
      <c r="AP119" s="68" t="e">
        <f>VLOOKUP(AO119,Rise_Results,2,FALSE)</f>
        <v>#N/A</v>
      </c>
      <c r="AQ119" s="76" t="e">
        <f>N119</f>
        <v>#VALUE!</v>
      </c>
      <c r="AR119" s="76" t="e">
        <f>IF(OR(AB119&lt;=0,AB120&lt;=0),1/0,AB119)</f>
        <v>#VALUE!</v>
      </c>
      <c r="AS119" s="76" t="e">
        <f>AM119</f>
        <v>#VALUE!</v>
      </c>
      <c r="AT119" t="e">
        <f>IFERROR(AP119,IFERROR(AQ119,IFERROR(AR119,AS119)))</f>
        <v>#VALUE!</v>
      </c>
      <c r="AU119" s="81"/>
    </row>
    <row r="120" spans="1:47" x14ac:dyDescent="0.25">
      <c r="A120" s="84">
        <f>A119+1</f>
        <v>19</v>
      </c>
      <c r="B120" s="84" t="str">
        <f t="shared" si="48"/>
        <v xml:space="preserve">  </v>
      </c>
      <c r="F120" s="82" t="e">
        <f>SUM(F117:F119)</f>
        <v>#VALUE!</v>
      </c>
      <c r="H120" s="82" t="e">
        <f>SUM(H117:H119)</f>
        <v>#VALUE!</v>
      </c>
      <c r="I120" s="84" t="str">
        <f>CONCATENATE("m'(",C119,")=")</f>
        <v>m'(  )=</v>
      </c>
      <c r="J120" s="84" t="e">
        <f>2*(J117*(WLS))/3*H120</f>
        <v>#VALUE!</v>
      </c>
      <c r="K120" s="84" t="e">
        <f>CONCATENATE("M(",C117,")=")</f>
        <v>#VALUE!</v>
      </c>
      <c r="L120" s="84" t="e">
        <f>VLOOKUP(C117,STN_TABLE,4,FALSE)</f>
        <v>#VALUE!</v>
      </c>
      <c r="M120" t="str">
        <f>CONCATENATE("M(",C119,")=")</f>
        <v>M(  )=</v>
      </c>
      <c r="N120" t="e">
        <f>J120+L120</f>
        <v>#VALUE!</v>
      </c>
      <c r="O120" s="99">
        <f>O119+1</f>
        <v>21</v>
      </c>
      <c r="P120" s="99" t="str">
        <f t="shared" si="44"/>
        <v xml:space="preserve">  </v>
      </c>
      <c r="T120" s="89" t="e">
        <f>SUM(T117:T119)</f>
        <v>#VALUE!</v>
      </c>
      <c r="V120" s="82" t="e">
        <f>SUM(V117:V119)</f>
        <v>#VALUE!</v>
      </c>
      <c r="W120" s="84" t="str">
        <f>CONCATENATE("m'(",Q118,")=")</f>
        <v>m'(  )=</v>
      </c>
      <c r="X120" s="84" t="e">
        <f>(2*(X117^2)/24*V120)+(X119*Q117*WLS)</f>
        <v>#VALUE!</v>
      </c>
      <c r="Y120" s="84" t="e">
        <f>CONCATENATE("M(",Q117,")=")</f>
        <v>#VALUE!</v>
      </c>
      <c r="Z120" s="84" t="e">
        <f>VLOOKUP(Q117,STN_TABLE,4,FALSE)</f>
        <v>#VALUE!</v>
      </c>
      <c r="AA120" t="str">
        <f>CONCATENATE("M(",Q118,")=")</f>
        <v>M(  )=</v>
      </c>
      <c r="AB120" t="e">
        <f>X120+Z120</f>
        <v>#VALUE!</v>
      </c>
      <c r="AE120" s="89">
        <f>SUM(AE118:AE119)</f>
        <v>0</v>
      </c>
      <c r="AG120" s="89" t="e">
        <f>SUM(AG118:AG119)</f>
        <v>#VALUE!</v>
      </c>
      <c r="AH120" s="84" t="str">
        <f>CONCATENATE("m'(",AD119,")=")</f>
        <v>m'(  )=</v>
      </c>
      <c r="AI120" s="84" t="e">
        <f>(2*(AI117^2)/6*AG120)+(AI119*AD118*WLS)</f>
        <v>#VALUE!</v>
      </c>
      <c r="AJ120" s="84" t="str">
        <f>CONCATENATE("M(",AD118,")=")</f>
        <v>M(  )=</v>
      </c>
      <c r="AK120" s="84" t="str">
        <f>VLOOKUP(AD118,STN_TABLE,4,FALSE)</f>
        <v xml:space="preserve"> </v>
      </c>
      <c r="AL120" t="str">
        <f>CONCATENATE("M(",AD119,")=")</f>
        <v>M(  )=</v>
      </c>
      <c r="AM120" t="e">
        <f>AI120+AK120</f>
        <v>#VALUE!</v>
      </c>
      <c r="AO120" s="82" t="str">
        <f>AA120</f>
        <v>M(  )=</v>
      </c>
      <c r="AP120" s="82" t="e">
        <f>VLOOKUP(AO120,Rise_Results,2,FALSE)</f>
        <v>#N/A</v>
      </c>
      <c r="AQ120" s="82" t="e">
        <f>N120</f>
        <v>#VALUE!</v>
      </c>
      <c r="AR120" s="82" t="e">
        <f>IF(OR(AB119&lt;=0,AB120&lt;=0),1/0,AB120)</f>
        <v>#VALUE!</v>
      </c>
      <c r="AS120" s="82" t="e">
        <f>AM120</f>
        <v>#VALUE!</v>
      </c>
      <c r="AT120" t="e">
        <f>IFERROR(AP120,IFERROR(AQ120,IFERROR(AR120,AS120)))</f>
        <v>#VALUE!</v>
      </c>
      <c r="AU120" s="81"/>
    </row>
    <row r="121" spans="1:47" x14ac:dyDescent="0.25">
      <c r="A121" s="101">
        <f>A116+1</f>
        <v>16</v>
      </c>
      <c r="B121" s="101" t="str">
        <f t="shared" si="48"/>
        <v xml:space="preserve">  </v>
      </c>
      <c r="O121" s="101">
        <f>O116+1</f>
        <v>18</v>
      </c>
      <c r="P121" s="101" t="str">
        <f t="shared" si="44"/>
        <v xml:space="preserve">  </v>
      </c>
      <c r="AU121" s="81"/>
    </row>
    <row r="122" spans="1:47" x14ac:dyDescent="0.25">
      <c r="A122" s="84">
        <f>A121+1</f>
        <v>17</v>
      </c>
      <c r="B122" s="84" t="str">
        <f t="shared" si="48"/>
        <v xml:space="preserve">  </v>
      </c>
      <c r="C122" s="79" t="e">
        <f t="shared" ref="C122" si="58">IF(C123=B124,IF(C124-C123=C123-B123,B123,IF(C124-C123=C123-B122,B122,"#NA")),IF(C123=B123,IF(C124-C123=C123-B122,B122,IF(C124-C123=C123-B121,B121,"#NA")),"#NA"))</f>
        <v>#VALUE!</v>
      </c>
      <c r="D122" s="68" t="e">
        <f>VLOOKUP(C122,STN_TABLE,2,FALSE)</f>
        <v>#VALUE!</v>
      </c>
      <c r="E122" s="102">
        <v>1</v>
      </c>
      <c r="F122" s="68" t="e">
        <f>D122*E122</f>
        <v>#VALUE!</v>
      </c>
      <c r="G122" s="69" t="e">
        <f>C122</f>
        <v>#VALUE!</v>
      </c>
      <c r="H122" s="69" t="e">
        <f>F122*G122</f>
        <v>#VALUE!</v>
      </c>
      <c r="I122" s="6" t="s">
        <v>93</v>
      </c>
      <c r="J122" s="70" t="e">
        <f>IF(OR(D122=0,D123=0,D124=0),"#NA",IF(AND(C124-C123=C123-C122,C123&lt;&gt;C124,C122&lt;&gt;C123,C122&lt;&gt;C124,D124&lt;&gt;0,OR(D122&lt;&gt;0,D123&lt;&gt;0)),WLS*(C124-C123),"#NA"))</f>
        <v>#VALUE!</v>
      </c>
      <c r="O122" s="99">
        <f>O121+1</f>
        <v>19</v>
      </c>
      <c r="P122" s="99" t="str">
        <f t="shared" si="44"/>
        <v xml:space="preserve">  </v>
      </c>
      <c r="Q122" s="68" t="e">
        <f>IF(OR(P124-P123=P123-P122,P125-P123=P123-P122),P122,IF(OR(P124-P123=P123-P121,P125-P123=P123-P121),P121,"-"))</f>
        <v>#VALUE!</v>
      </c>
      <c r="R122" s="69" t="e">
        <f>VLOOKUP(Q122,STN_TABLE,2,FALSE)</f>
        <v>#VALUE!</v>
      </c>
      <c r="S122" s="69">
        <v>5</v>
      </c>
      <c r="T122" s="68" t="e">
        <f>R122*S122</f>
        <v>#VALUE!</v>
      </c>
      <c r="U122" s="79">
        <v>3</v>
      </c>
      <c r="V122" s="68" t="e">
        <f>R122*U122</f>
        <v>#VALUE!</v>
      </c>
      <c r="W122" s="6" t="s">
        <v>93</v>
      </c>
      <c r="X122" s="70" t="e">
        <f>IF(AND(Q124-Q123=Q123-Q122,NOT(AND(Q122=0,Q123=0)),NOT(AND(Q123=0,Q124=0))),WLS*(Q124-Q123),"#NA")</f>
        <v>#VALUE!</v>
      </c>
      <c r="AD122" s="93"/>
      <c r="AH122" s="6" t="s">
        <v>93</v>
      </c>
      <c r="AI122" s="70" t="e">
        <f>WLS*(AD124-AD123)</f>
        <v>#VALUE!</v>
      </c>
      <c r="AU122" s="81"/>
    </row>
    <row r="123" spans="1:47" x14ac:dyDescent="0.25">
      <c r="A123" s="84">
        <f>A122+1</f>
        <v>18</v>
      </c>
      <c r="B123" s="84" t="str">
        <f t="shared" si="48"/>
        <v xml:space="preserve">  </v>
      </c>
      <c r="C123" s="80" t="e">
        <f t="shared" ref="C123" si="59">IF(OR(B125-B124=B124-B123,B125-B124=B124-B122,B125-B124=B124-B121),B124,IF(OR(B125-B123=B123-B122,B125-B123=B123-B121),B123,IF(B125-B122=B122-B121,B122,"#NA")))</f>
        <v>#VALUE!</v>
      </c>
      <c r="D123" s="76" t="e">
        <f>VLOOKUP(C123,STN_TABLE,2,FALSE)</f>
        <v>#VALUE!</v>
      </c>
      <c r="E123" s="81">
        <v>4</v>
      </c>
      <c r="F123" s="76" t="e">
        <f>D123*E123</f>
        <v>#VALUE!</v>
      </c>
      <c r="G123" s="77" t="e">
        <f>C123</f>
        <v>#VALUE!</v>
      </c>
      <c r="H123" s="77" t="e">
        <f>F123*G123</f>
        <v>#VALUE!</v>
      </c>
      <c r="I123" s="495" t="s">
        <v>97</v>
      </c>
      <c r="J123" s="496"/>
      <c r="K123" s="78" t="s">
        <v>98</v>
      </c>
      <c r="L123" s="78"/>
      <c r="M123" s="7" t="s">
        <v>99</v>
      </c>
      <c r="N123" s="7"/>
      <c r="O123" s="99">
        <f>O122+1</f>
        <v>20</v>
      </c>
      <c r="P123" s="99" t="str">
        <f t="shared" si="44"/>
        <v xml:space="preserve">  </v>
      </c>
      <c r="Q123" s="76" t="str">
        <f>P123</f>
        <v xml:space="preserve">  </v>
      </c>
      <c r="R123" s="77" t="str">
        <f>VLOOKUP(Q123,STN_TABLE,2,FALSE)</f>
        <v xml:space="preserve">  </v>
      </c>
      <c r="S123" s="77">
        <v>8</v>
      </c>
      <c r="T123" s="76" t="e">
        <f>R123*S123</f>
        <v>#VALUE!</v>
      </c>
      <c r="U123" s="80">
        <v>10</v>
      </c>
      <c r="V123" s="76" t="e">
        <f>R123*U123</f>
        <v>#VALUE!</v>
      </c>
      <c r="W123" s="496" t="s">
        <v>97</v>
      </c>
      <c r="X123" s="496"/>
      <c r="Y123" s="496" t="s">
        <v>98</v>
      </c>
      <c r="Z123" s="496"/>
      <c r="AA123" s="494" t="s">
        <v>99</v>
      </c>
      <c r="AB123" s="494"/>
      <c r="AC123" s="99">
        <f>AC118+1</f>
        <v>19</v>
      </c>
      <c r="AD123" s="95" t="str">
        <f>VLOOKUP(AC123,STN_TABLE_2,2,FALSE)</f>
        <v xml:space="preserve">  </v>
      </c>
      <c r="AE123" s="68" t="str">
        <f>VLOOKUP(AD123,STN_TABLE,2,FALSE)</f>
        <v xml:space="preserve">  </v>
      </c>
      <c r="AF123" s="68">
        <v>1</v>
      </c>
      <c r="AG123" s="69" t="e">
        <f>AE123*AF123</f>
        <v>#VALUE!</v>
      </c>
      <c r="AH123" s="496" t="s">
        <v>97</v>
      </c>
      <c r="AI123" s="496"/>
      <c r="AJ123" s="496" t="s">
        <v>98</v>
      </c>
      <c r="AK123" s="496"/>
      <c r="AL123" s="494" t="s">
        <v>99</v>
      </c>
      <c r="AM123" s="494"/>
      <c r="AP123" s="86" t="s">
        <v>112</v>
      </c>
      <c r="AQ123" s="89" t="s">
        <v>113</v>
      </c>
      <c r="AR123" s="89" t="s">
        <v>114</v>
      </c>
      <c r="AS123" s="89" t="s">
        <v>115</v>
      </c>
      <c r="AU123" s="81"/>
    </row>
    <row r="124" spans="1:47" x14ac:dyDescent="0.25">
      <c r="A124" s="84">
        <f>A123+1</f>
        <v>19</v>
      </c>
      <c r="B124" s="84" t="str">
        <f t="shared" si="48"/>
        <v xml:space="preserve">  </v>
      </c>
      <c r="C124" s="88" t="str">
        <f t="shared" ref="C124" si="60">B125</f>
        <v xml:space="preserve">  </v>
      </c>
      <c r="D124" s="82" t="str">
        <f>VLOOKUP(C124,STN_TABLE,2,FALSE)</f>
        <v xml:space="preserve">  </v>
      </c>
      <c r="E124" s="92">
        <v>1</v>
      </c>
      <c r="F124" s="82" t="e">
        <f>D124*E124</f>
        <v>#VALUE!</v>
      </c>
      <c r="G124" s="83" t="str">
        <f>C124</f>
        <v xml:space="preserve">  </v>
      </c>
      <c r="H124" s="83" t="e">
        <f>F124*G124</f>
        <v>#VALUE!</v>
      </c>
      <c r="I124" s="84" t="str">
        <f>CONCATENATE("a'(",C124,")=")</f>
        <v>a'(  )=</v>
      </c>
      <c r="J124" s="84" t="e">
        <f>2*J122/3*F125</f>
        <v>#VALUE!</v>
      </c>
      <c r="K124" s="84" t="e">
        <f>CONCATENATE("A(",C122,")=")</f>
        <v>#VALUE!</v>
      </c>
      <c r="L124" s="84" t="e">
        <f>VLOOKUP(C122,STN_TABLE,3,FALSE)</f>
        <v>#VALUE!</v>
      </c>
      <c r="M124" t="str">
        <f>CONCATENATE("A(",C124,")=")</f>
        <v>A(  )=</v>
      </c>
      <c r="N124" t="e">
        <f>J124+L124</f>
        <v>#VALUE!</v>
      </c>
      <c r="O124" s="99">
        <f>O123+1</f>
        <v>21</v>
      </c>
      <c r="P124" s="99" t="str">
        <f t="shared" si="44"/>
        <v xml:space="preserve">  </v>
      </c>
      <c r="Q124" s="82" t="e">
        <f>IF(P124-P123=P123-P122,P124,IF(P125-P123=P123-P122,P125,IF(P124-P123=P123-P121,P124,IF(P125-P123=P123-P121,P125,"-"))))</f>
        <v>#VALUE!</v>
      </c>
      <c r="R124" s="83" t="e">
        <f>VLOOKUP(Q124,STN_TABLE,2,FALSE)</f>
        <v>#VALUE!</v>
      </c>
      <c r="S124" s="83">
        <v>-1</v>
      </c>
      <c r="T124" s="82" t="e">
        <f>R124*S124</f>
        <v>#VALUE!</v>
      </c>
      <c r="U124" s="88">
        <v>-1</v>
      </c>
      <c r="V124" s="82" t="e">
        <f>R124*U124</f>
        <v>#VALUE!</v>
      </c>
      <c r="W124" s="84" t="str">
        <f>CONCATENATE("a'(",Q123,")=")</f>
        <v>a'(  )=</v>
      </c>
      <c r="X124" s="84" t="e">
        <f>2*X122/12*T125</f>
        <v>#VALUE!</v>
      </c>
      <c r="Y124" s="84" t="e">
        <f>CONCATENATE("A(",Q122,")=")</f>
        <v>#VALUE!</v>
      </c>
      <c r="Z124" s="84" t="e">
        <f>VLOOKUP(Q122,STN_TABLE,3,FALSE)</f>
        <v>#VALUE!</v>
      </c>
      <c r="AA124" t="str">
        <f>CONCATENATE("A(",Q123,")=")</f>
        <v>A(  )=</v>
      </c>
      <c r="AB124" t="e">
        <f>X124+Z124</f>
        <v>#VALUE!</v>
      </c>
      <c r="AC124" s="99">
        <f>AC123+1</f>
        <v>20</v>
      </c>
      <c r="AD124" s="100" t="str">
        <f>VLOOKUP(AC124,STN_TABLE_2,2,FALSE)</f>
        <v xml:space="preserve">  </v>
      </c>
      <c r="AE124" s="82" t="str">
        <f>VLOOKUP(AD124,STN_TABLE,2,FALSE)</f>
        <v xml:space="preserve">  </v>
      </c>
      <c r="AF124" s="82">
        <v>2</v>
      </c>
      <c r="AG124" s="83" t="e">
        <f>AE124*AF124</f>
        <v>#VALUE!</v>
      </c>
      <c r="AH124" s="84" t="str">
        <f>CONCATENATE("a'(",AD124,")=")</f>
        <v>a'(  )=</v>
      </c>
      <c r="AI124" s="84" t="e">
        <f>2*AI122/2*AE125</f>
        <v>#VALUE!</v>
      </c>
      <c r="AJ124" s="84" t="str">
        <f>CONCATENATE("A(",AD123,")=")</f>
        <v>A(  )=</v>
      </c>
      <c r="AK124" s="84" t="str">
        <f>VLOOKUP(AD123,STN_TABLE,3,FALSE)</f>
        <v xml:space="preserve"> </v>
      </c>
      <c r="AL124" t="str">
        <f>CONCATENATE("A(",AD124,")=")</f>
        <v>A(  )=</v>
      </c>
      <c r="AM124" t="e">
        <f>AI124+AK124</f>
        <v>#VALUE!</v>
      </c>
      <c r="AO124" s="68" t="str">
        <f>AA124</f>
        <v>A(  )=</v>
      </c>
      <c r="AP124" s="68" t="e">
        <f>VLOOKUP(AO124,Rise_Results,2,FALSE)</f>
        <v>#N/A</v>
      </c>
      <c r="AQ124" s="76" t="e">
        <f>N124</f>
        <v>#VALUE!</v>
      </c>
      <c r="AR124" s="76" t="e">
        <f>IF(OR(AB124&lt;=0,AB125&lt;=0),1/0,AB124)</f>
        <v>#VALUE!</v>
      </c>
      <c r="AS124" s="76" t="e">
        <f>AM124</f>
        <v>#VALUE!</v>
      </c>
      <c r="AT124" t="e">
        <f>IFERROR(AP124,IFERROR(AQ124,IFERROR(AR124,AS124)))</f>
        <v>#VALUE!</v>
      </c>
      <c r="AU124" s="81"/>
    </row>
    <row r="125" spans="1:47" x14ac:dyDescent="0.25">
      <c r="A125" s="84">
        <f>A124+1</f>
        <v>20</v>
      </c>
      <c r="B125" s="84" t="str">
        <f t="shared" si="48"/>
        <v xml:space="preserve">  </v>
      </c>
      <c r="F125" s="82" t="e">
        <f>SUM(F122:F124)</f>
        <v>#VALUE!</v>
      </c>
      <c r="H125" s="82" t="e">
        <f>SUM(H122:H124)</f>
        <v>#VALUE!</v>
      </c>
      <c r="I125" s="84" t="str">
        <f>CONCATENATE("m'(",C124,")=")</f>
        <v>m'(  )=</v>
      </c>
      <c r="J125" s="84" t="e">
        <f>2*(J122*(WLS))/3*H125</f>
        <v>#VALUE!</v>
      </c>
      <c r="K125" s="84" t="e">
        <f>CONCATENATE("M(",C122,")=")</f>
        <v>#VALUE!</v>
      </c>
      <c r="L125" s="84" t="e">
        <f>VLOOKUP(C122,STN_TABLE,4,FALSE)</f>
        <v>#VALUE!</v>
      </c>
      <c r="M125" t="str">
        <f>CONCATENATE("M(",C124,")=")</f>
        <v>M(  )=</v>
      </c>
      <c r="N125" t="e">
        <f>J125+L125</f>
        <v>#VALUE!</v>
      </c>
      <c r="O125" s="99">
        <f>O124+1</f>
        <v>22</v>
      </c>
      <c r="P125" s="99" t="str">
        <f t="shared" si="44"/>
        <v xml:space="preserve">  </v>
      </c>
      <c r="T125" s="89" t="e">
        <f>SUM(T122:T124)</f>
        <v>#VALUE!</v>
      </c>
      <c r="V125" s="82" t="e">
        <f>SUM(V122:V124)</f>
        <v>#VALUE!</v>
      </c>
      <c r="W125" s="84" t="str">
        <f>CONCATENATE("m'(",Q123,")=")</f>
        <v>m'(  )=</v>
      </c>
      <c r="X125" s="84" t="e">
        <f>(2*(X122^2)/24*V125)+(X124*Q122*WLS)</f>
        <v>#VALUE!</v>
      </c>
      <c r="Y125" s="84" t="e">
        <f>CONCATENATE("M(",Q122,")=")</f>
        <v>#VALUE!</v>
      </c>
      <c r="Z125" s="84" t="e">
        <f>VLOOKUP(Q122,STN_TABLE,4,FALSE)</f>
        <v>#VALUE!</v>
      </c>
      <c r="AA125" t="str">
        <f>CONCATENATE("M(",Q123,")=")</f>
        <v>M(  )=</v>
      </c>
      <c r="AB125" t="e">
        <f>X125+Z125</f>
        <v>#VALUE!</v>
      </c>
      <c r="AE125" s="89">
        <f>SUM(AE123:AE124)</f>
        <v>0</v>
      </c>
      <c r="AG125" s="89" t="e">
        <f>SUM(AG123:AG124)</f>
        <v>#VALUE!</v>
      </c>
      <c r="AH125" s="84" t="str">
        <f>CONCATENATE("m'(",AD124,")=")</f>
        <v>m'(  )=</v>
      </c>
      <c r="AI125" s="84" t="e">
        <f>(2*(AI122^2)/6*AG125)+(AI124*AD123*WLS)</f>
        <v>#VALUE!</v>
      </c>
      <c r="AJ125" s="84" t="str">
        <f>CONCATENATE("M(",AD123,")=")</f>
        <v>M(  )=</v>
      </c>
      <c r="AK125" s="84" t="str">
        <f>VLOOKUP(AD123,STN_TABLE,4,FALSE)</f>
        <v xml:space="preserve"> </v>
      </c>
      <c r="AL125" t="str">
        <f>CONCATENATE("M(",AD124,")=")</f>
        <v>M(  )=</v>
      </c>
      <c r="AM125" t="e">
        <f>AI125+AK125</f>
        <v>#VALUE!</v>
      </c>
      <c r="AO125" s="82" t="str">
        <f>AA125</f>
        <v>M(  )=</v>
      </c>
      <c r="AP125" s="82" t="e">
        <f>VLOOKUP(AO125,Rise_Results,2,FALSE)</f>
        <v>#N/A</v>
      </c>
      <c r="AQ125" s="82" t="e">
        <f>N125</f>
        <v>#VALUE!</v>
      </c>
      <c r="AR125" s="82" t="e">
        <f>IF(OR(AB124&lt;=0,AB125&lt;=0),1/0,AB125)</f>
        <v>#VALUE!</v>
      </c>
      <c r="AS125" s="82" t="e">
        <f>AM125</f>
        <v>#VALUE!</v>
      </c>
      <c r="AT125" t="e">
        <f>IFERROR(AP125,IFERROR(AQ125,IFERROR(AR125,AS125)))</f>
        <v>#VALUE!</v>
      </c>
      <c r="AU125" s="81"/>
    </row>
    <row r="126" spans="1:47" x14ac:dyDescent="0.25">
      <c r="A126" s="101">
        <f>A121+1</f>
        <v>17</v>
      </c>
      <c r="B126" s="101" t="str">
        <f t="shared" si="48"/>
        <v xml:space="preserve">  </v>
      </c>
      <c r="O126" s="101">
        <f>O121+1</f>
        <v>19</v>
      </c>
      <c r="P126" s="101" t="str">
        <f t="shared" si="44"/>
        <v xml:space="preserve">  </v>
      </c>
      <c r="AU126" s="81"/>
    </row>
    <row r="127" spans="1:47" x14ac:dyDescent="0.25">
      <c r="A127" s="84">
        <f>A126+1</f>
        <v>18</v>
      </c>
      <c r="B127" s="84" t="str">
        <f t="shared" si="48"/>
        <v xml:space="preserve">  </v>
      </c>
      <c r="C127" s="79" t="e">
        <f t="shared" ref="C127" si="61">IF(C128=B129,IF(C129-C128=C128-B128,B128,IF(C129-C128=C128-B127,B127,"#NA")),IF(C128=B128,IF(C129-C128=C128-B127,B127,IF(C129-C128=C128-B126,B126,"#NA")),"#NA"))</f>
        <v>#VALUE!</v>
      </c>
      <c r="D127" s="68" t="e">
        <f>VLOOKUP(C127,STN_TABLE,2,FALSE)</f>
        <v>#VALUE!</v>
      </c>
      <c r="E127" s="102">
        <v>1</v>
      </c>
      <c r="F127" s="68" t="e">
        <f>D127*E127</f>
        <v>#VALUE!</v>
      </c>
      <c r="G127" s="69" t="e">
        <f>C127</f>
        <v>#VALUE!</v>
      </c>
      <c r="H127" s="69" t="e">
        <f>F127*G127</f>
        <v>#VALUE!</v>
      </c>
      <c r="I127" s="6" t="s">
        <v>93</v>
      </c>
      <c r="J127" s="70" t="e">
        <f>IF(OR(D127=0,D128=0,D129=0),"#NA",IF(AND(C129-C128=C128-C127,C128&lt;&gt;C129,C127&lt;&gt;C128,C127&lt;&gt;C129,D129&lt;&gt;0,OR(D127&lt;&gt;0,D128&lt;&gt;0)),WLS*(C129-C128),"#NA"))</f>
        <v>#VALUE!</v>
      </c>
      <c r="O127" s="99">
        <f>O126+1</f>
        <v>20</v>
      </c>
      <c r="P127" s="99" t="str">
        <f t="shared" si="44"/>
        <v xml:space="preserve">  </v>
      </c>
      <c r="Q127" s="68" t="e">
        <f>IF(OR(P129-P128=P128-P127,P130-P128=P128-P127),P127,IF(OR(P129-P128=P128-P126,P130-P128=P128-P126),P126,"-"))</f>
        <v>#VALUE!</v>
      </c>
      <c r="R127" s="69" t="e">
        <f>VLOOKUP(Q127,STN_TABLE,2,FALSE)</f>
        <v>#VALUE!</v>
      </c>
      <c r="S127" s="69">
        <v>5</v>
      </c>
      <c r="T127" s="68" t="e">
        <f>R127*S127</f>
        <v>#VALUE!</v>
      </c>
      <c r="U127" s="79">
        <v>3</v>
      </c>
      <c r="V127" s="68" t="e">
        <f>R127*U127</f>
        <v>#VALUE!</v>
      </c>
      <c r="W127" s="6" t="s">
        <v>93</v>
      </c>
      <c r="X127" s="70" t="e">
        <f>IF(AND(Q129-Q128=Q128-Q127,NOT(AND(Q127=0,Q128=0)),NOT(AND(Q128=0,Q129=0))),WLS*(Q129-Q128),"#NA")</f>
        <v>#VALUE!</v>
      </c>
      <c r="AD127" s="93"/>
      <c r="AH127" s="6" t="s">
        <v>93</v>
      </c>
      <c r="AI127" s="70" t="e">
        <f>WLS*(AD129-AD128)</f>
        <v>#VALUE!</v>
      </c>
      <c r="AU127" s="81"/>
    </row>
    <row r="128" spans="1:47" x14ac:dyDescent="0.25">
      <c r="A128" s="84">
        <f>A127+1</f>
        <v>19</v>
      </c>
      <c r="B128" s="84" t="str">
        <f t="shared" si="48"/>
        <v xml:space="preserve">  </v>
      </c>
      <c r="C128" s="80" t="e">
        <f t="shared" ref="C128" si="62">IF(OR(B130-B129=B129-B128,B130-B129=B129-B127,B130-B129=B129-B126),B129,IF(OR(B130-B128=B128-B127,B130-B128=B128-B126),B128,IF(B130-B127=B127-B126,B127,"#NA")))</f>
        <v>#VALUE!</v>
      </c>
      <c r="D128" s="76" t="e">
        <f>VLOOKUP(C128,STN_TABLE,2,FALSE)</f>
        <v>#VALUE!</v>
      </c>
      <c r="E128" s="81">
        <v>4</v>
      </c>
      <c r="F128" s="76" t="e">
        <f>D128*E128</f>
        <v>#VALUE!</v>
      </c>
      <c r="G128" s="77" t="e">
        <f>C128</f>
        <v>#VALUE!</v>
      </c>
      <c r="H128" s="77" t="e">
        <f>F128*G128</f>
        <v>#VALUE!</v>
      </c>
      <c r="I128" s="495" t="s">
        <v>97</v>
      </c>
      <c r="J128" s="496"/>
      <c r="K128" s="78" t="s">
        <v>98</v>
      </c>
      <c r="L128" s="78"/>
      <c r="M128" s="7" t="s">
        <v>99</v>
      </c>
      <c r="N128" s="7"/>
      <c r="O128" s="99">
        <f>O127+1</f>
        <v>21</v>
      </c>
      <c r="P128" s="99" t="str">
        <f t="shared" si="44"/>
        <v xml:space="preserve">  </v>
      </c>
      <c r="Q128" s="76" t="str">
        <f>P128</f>
        <v xml:space="preserve">  </v>
      </c>
      <c r="R128" s="77" t="str">
        <f>VLOOKUP(Q128,STN_TABLE,2,FALSE)</f>
        <v xml:space="preserve">  </v>
      </c>
      <c r="S128" s="77">
        <v>8</v>
      </c>
      <c r="T128" s="76" t="e">
        <f>R128*S128</f>
        <v>#VALUE!</v>
      </c>
      <c r="U128" s="80">
        <v>10</v>
      </c>
      <c r="V128" s="76" t="e">
        <f>R128*U128</f>
        <v>#VALUE!</v>
      </c>
      <c r="W128" s="496" t="s">
        <v>97</v>
      </c>
      <c r="X128" s="496"/>
      <c r="Y128" s="496" t="s">
        <v>98</v>
      </c>
      <c r="Z128" s="496"/>
      <c r="AA128" s="494" t="s">
        <v>99</v>
      </c>
      <c r="AB128" s="494"/>
      <c r="AC128" s="99">
        <f>AC123+1</f>
        <v>20</v>
      </c>
      <c r="AD128" s="95" t="str">
        <f>VLOOKUP(AC128,STN_TABLE_2,2,FALSE)</f>
        <v xml:space="preserve">  </v>
      </c>
      <c r="AE128" s="68" t="str">
        <f>VLOOKUP(AD128,STN_TABLE,2,FALSE)</f>
        <v xml:space="preserve">  </v>
      </c>
      <c r="AF128" s="68">
        <v>1</v>
      </c>
      <c r="AG128" s="69" t="e">
        <f>AE128*AF128</f>
        <v>#VALUE!</v>
      </c>
      <c r="AH128" s="496" t="s">
        <v>97</v>
      </c>
      <c r="AI128" s="496"/>
      <c r="AJ128" s="496" t="s">
        <v>98</v>
      </c>
      <c r="AK128" s="496"/>
      <c r="AL128" s="494" t="s">
        <v>99</v>
      </c>
      <c r="AM128" s="494"/>
      <c r="AP128" s="86" t="s">
        <v>112</v>
      </c>
      <c r="AQ128" s="89" t="s">
        <v>113</v>
      </c>
      <c r="AR128" s="89" t="s">
        <v>114</v>
      </c>
      <c r="AS128" s="89" t="s">
        <v>115</v>
      </c>
      <c r="AU128" s="81"/>
    </row>
    <row r="129" spans="1:47" x14ac:dyDescent="0.25">
      <c r="A129" s="84">
        <f>A128+1</f>
        <v>20</v>
      </c>
      <c r="B129" s="84" t="str">
        <f t="shared" si="48"/>
        <v xml:space="preserve">  </v>
      </c>
      <c r="C129" s="88" t="str">
        <f t="shared" ref="C129" si="63">B130</f>
        <v xml:space="preserve">  </v>
      </c>
      <c r="D129" s="82" t="str">
        <f>VLOOKUP(C129,STN_TABLE,2,FALSE)</f>
        <v xml:space="preserve">  </v>
      </c>
      <c r="E129" s="92">
        <v>1</v>
      </c>
      <c r="F129" s="82" t="e">
        <f>D129*E129</f>
        <v>#VALUE!</v>
      </c>
      <c r="G129" s="83" t="str">
        <f>C129</f>
        <v xml:space="preserve">  </v>
      </c>
      <c r="H129" s="83" t="e">
        <f>F129*G129</f>
        <v>#VALUE!</v>
      </c>
      <c r="I129" s="84" t="str">
        <f>CONCATENATE("a'(",C129,")=")</f>
        <v>a'(  )=</v>
      </c>
      <c r="J129" s="84" t="e">
        <f>2*J127/3*F130</f>
        <v>#VALUE!</v>
      </c>
      <c r="K129" s="84" t="e">
        <f>CONCATENATE("A(",C127,")=")</f>
        <v>#VALUE!</v>
      </c>
      <c r="L129" s="84" t="e">
        <f>VLOOKUP(C127,STN_TABLE,3,FALSE)</f>
        <v>#VALUE!</v>
      </c>
      <c r="M129" t="str">
        <f>CONCATENATE("A(",C129,")=")</f>
        <v>A(  )=</v>
      </c>
      <c r="N129" t="e">
        <f>J129+L129</f>
        <v>#VALUE!</v>
      </c>
      <c r="O129" s="99">
        <f>O128+1</f>
        <v>22</v>
      </c>
      <c r="P129" s="99" t="str">
        <f t="shared" si="44"/>
        <v xml:space="preserve">  </v>
      </c>
      <c r="Q129" s="82" t="e">
        <f>IF(P129-P128=P128-P127,P129,IF(P130-P128=P128-P127,P130,IF(P129-P128=P128-P126,P129,IF(P130-P128=P128-P126,P130,"-"))))</f>
        <v>#VALUE!</v>
      </c>
      <c r="R129" s="83" t="e">
        <f>VLOOKUP(Q129,STN_TABLE,2,FALSE)</f>
        <v>#VALUE!</v>
      </c>
      <c r="S129" s="83">
        <v>-1</v>
      </c>
      <c r="T129" s="82" t="e">
        <f>R129*S129</f>
        <v>#VALUE!</v>
      </c>
      <c r="U129" s="88">
        <v>-1</v>
      </c>
      <c r="V129" s="82" t="e">
        <f>R129*U129</f>
        <v>#VALUE!</v>
      </c>
      <c r="W129" s="84" t="str">
        <f>CONCATENATE("a'(",Q128,")=")</f>
        <v>a'(  )=</v>
      </c>
      <c r="X129" s="84" t="e">
        <f>2*X127/12*T130</f>
        <v>#VALUE!</v>
      </c>
      <c r="Y129" s="84" t="e">
        <f>CONCATENATE("A(",Q127,")=")</f>
        <v>#VALUE!</v>
      </c>
      <c r="Z129" s="84" t="e">
        <f>VLOOKUP(Q127,STN_TABLE,3,FALSE)</f>
        <v>#VALUE!</v>
      </c>
      <c r="AA129" t="str">
        <f>CONCATENATE("A(",Q128,")=")</f>
        <v>A(  )=</v>
      </c>
      <c r="AB129" t="e">
        <f>X129+Z129</f>
        <v>#VALUE!</v>
      </c>
      <c r="AC129" s="99">
        <f>AC128+1</f>
        <v>21</v>
      </c>
      <c r="AD129" s="100" t="str">
        <f>VLOOKUP(AC129,STN_TABLE_2,2,FALSE)</f>
        <v xml:space="preserve">  </v>
      </c>
      <c r="AE129" s="82" t="str">
        <f>VLOOKUP(AD129,STN_TABLE,2,FALSE)</f>
        <v xml:space="preserve">  </v>
      </c>
      <c r="AF129" s="82">
        <v>2</v>
      </c>
      <c r="AG129" s="83" t="e">
        <f>AE129*AF129</f>
        <v>#VALUE!</v>
      </c>
      <c r="AH129" s="84" t="str">
        <f>CONCATENATE("a'(",AD129,")=")</f>
        <v>a'(  )=</v>
      </c>
      <c r="AI129" s="84" t="e">
        <f>2*AI127/2*AE130</f>
        <v>#VALUE!</v>
      </c>
      <c r="AJ129" s="84" t="str">
        <f>CONCATENATE("A(",AD128,")=")</f>
        <v>A(  )=</v>
      </c>
      <c r="AK129" s="84" t="str">
        <f>VLOOKUP(AD128,STN_TABLE,3,FALSE)</f>
        <v xml:space="preserve"> </v>
      </c>
      <c r="AL129" t="str">
        <f>CONCATENATE("A(",AD129,")=")</f>
        <v>A(  )=</v>
      </c>
      <c r="AM129" t="e">
        <f>AI129+AK129</f>
        <v>#VALUE!</v>
      </c>
      <c r="AO129" s="68" t="str">
        <f>AA129</f>
        <v>A(  )=</v>
      </c>
      <c r="AP129" s="68" t="e">
        <f>VLOOKUP(AO129,Rise_Results,2,FALSE)</f>
        <v>#N/A</v>
      </c>
      <c r="AQ129" s="76" t="e">
        <f>N129</f>
        <v>#VALUE!</v>
      </c>
      <c r="AR129" s="76" t="e">
        <f>IF(OR(AB129&lt;=0,AB130&lt;=0),1/0,AB129)</f>
        <v>#VALUE!</v>
      </c>
      <c r="AS129" s="76" t="e">
        <f>AM129</f>
        <v>#VALUE!</v>
      </c>
      <c r="AT129" t="e">
        <f>IFERROR(AP129,IFERROR(AQ129,IFERROR(AR129,AS129)))</f>
        <v>#VALUE!</v>
      </c>
      <c r="AU129" s="81"/>
    </row>
    <row r="130" spans="1:47" x14ac:dyDescent="0.25">
      <c r="A130" s="84">
        <f>A129+1</f>
        <v>21</v>
      </c>
      <c r="B130" s="84" t="str">
        <f t="shared" si="48"/>
        <v xml:space="preserve">  </v>
      </c>
      <c r="F130" s="82" t="e">
        <f>SUM(F127:F129)</f>
        <v>#VALUE!</v>
      </c>
      <c r="H130" s="82" t="e">
        <f>SUM(H127:H129)</f>
        <v>#VALUE!</v>
      </c>
      <c r="I130" s="84" t="str">
        <f>CONCATENATE("m'(",C129,")=")</f>
        <v>m'(  )=</v>
      </c>
      <c r="J130" s="84" t="e">
        <f>2*(J127*(WLS))/3*H130</f>
        <v>#VALUE!</v>
      </c>
      <c r="K130" s="84" t="e">
        <f>CONCATENATE("M(",C127,")=")</f>
        <v>#VALUE!</v>
      </c>
      <c r="L130" s="84" t="e">
        <f>VLOOKUP(C127,STN_TABLE,4,FALSE)</f>
        <v>#VALUE!</v>
      </c>
      <c r="M130" t="str">
        <f>CONCATENATE("M(",C129,")=")</f>
        <v>M(  )=</v>
      </c>
      <c r="N130" t="e">
        <f>J130+L130</f>
        <v>#VALUE!</v>
      </c>
      <c r="O130" s="99">
        <f>O129+1</f>
        <v>23</v>
      </c>
      <c r="P130" s="99" t="str">
        <f t="shared" si="44"/>
        <v xml:space="preserve">  </v>
      </c>
      <c r="T130" s="89" t="e">
        <f>SUM(T127:T129)</f>
        <v>#VALUE!</v>
      </c>
      <c r="V130" s="82" t="e">
        <f>SUM(V127:V129)</f>
        <v>#VALUE!</v>
      </c>
      <c r="W130" s="84" t="str">
        <f>CONCATENATE("m'(",Q128,")=")</f>
        <v>m'(  )=</v>
      </c>
      <c r="X130" s="84" t="e">
        <f>(2*(X127^2)/24*V130)+(X129*Q127*WLS)</f>
        <v>#VALUE!</v>
      </c>
      <c r="Y130" s="84" t="e">
        <f>CONCATENATE("M(",Q127,")=")</f>
        <v>#VALUE!</v>
      </c>
      <c r="Z130" s="84" t="e">
        <f>VLOOKUP(Q127,STN_TABLE,4,FALSE)</f>
        <v>#VALUE!</v>
      </c>
      <c r="AA130" t="str">
        <f>CONCATENATE("M(",Q128,")=")</f>
        <v>M(  )=</v>
      </c>
      <c r="AB130" t="e">
        <f>X130+Z130</f>
        <v>#VALUE!</v>
      </c>
      <c r="AE130" s="89">
        <f>SUM(AE128:AE129)</f>
        <v>0</v>
      </c>
      <c r="AG130" s="89" t="e">
        <f>SUM(AG128:AG129)</f>
        <v>#VALUE!</v>
      </c>
      <c r="AH130" s="84" t="str">
        <f>CONCATENATE("m'(",AD129,")=")</f>
        <v>m'(  )=</v>
      </c>
      <c r="AI130" s="84" t="e">
        <f>(2*(AI127^2)/6*AG130)+(AI129*AD128*WLS)</f>
        <v>#VALUE!</v>
      </c>
      <c r="AJ130" s="84" t="str">
        <f>CONCATENATE("M(",AD128,")=")</f>
        <v>M(  )=</v>
      </c>
      <c r="AK130" s="84" t="str">
        <f>VLOOKUP(AD128,STN_TABLE,4,FALSE)</f>
        <v xml:space="preserve"> </v>
      </c>
      <c r="AL130" t="str">
        <f>CONCATENATE("M(",AD129,")=")</f>
        <v>M(  )=</v>
      </c>
      <c r="AM130" t="e">
        <f>AI130+AK130</f>
        <v>#VALUE!</v>
      </c>
      <c r="AO130" s="82" t="str">
        <f>AA130</f>
        <v>M(  )=</v>
      </c>
      <c r="AP130" s="82" t="e">
        <f>VLOOKUP(AO130,Rise_Results,2,FALSE)</f>
        <v>#N/A</v>
      </c>
      <c r="AQ130" s="82" t="e">
        <f>N130</f>
        <v>#VALUE!</v>
      </c>
      <c r="AR130" s="82" t="e">
        <f>IF(OR(AB129&lt;=0,AB130&lt;=0),1/0,AB130)</f>
        <v>#VALUE!</v>
      </c>
      <c r="AS130" s="82" t="e">
        <f>AM130</f>
        <v>#VALUE!</v>
      </c>
      <c r="AT130" t="e">
        <f>IFERROR(AP130,IFERROR(AQ130,IFERROR(AR130,AS130)))</f>
        <v>#VALUE!</v>
      </c>
      <c r="AU130" s="81"/>
    </row>
    <row r="131" spans="1:47" x14ac:dyDescent="0.25">
      <c r="A131" s="101">
        <f>A126+1</f>
        <v>18</v>
      </c>
      <c r="B131" s="101" t="str">
        <f t="shared" si="48"/>
        <v xml:space="preserve">  </v>
      </c>
      <c r="O131" s="101">
        <f>O126+1</f>
        <v>20</v>
      </c>
      <c r="P131" s="101" t="str">
        <f t="shared" si="44"/>
        <v xml:space="preserve">  </v>
      </c>
      <c r="AU131" s="81"/>
    </row>
    <row r="132" spans="1:47" x14ac:dyDescent="0.25">
      <c r="A132" s="84">
        <f>A131+1</f>
        <v>19</v>
      </c>
      <c r="B132" s="84" t="str">
        <f t="shared" si="48"/>
        <v xml:space="preserve">  </v>
      </c>
      <c r="C132" s="79" t="e">
        <f t="shared" ref="C132" si="64">IF(C133=B134,IF(C134-C133=C133-B133,B133,IF(C134-C133=C133-B132,B132,"#NA")),IF(C133=B133,IF(C134-C133=C133-B132,B132,IF(C134-C133=C133-B131,B131,"#NA")),"#NA"))</f>
        <v>#VALUE!</v>
      </c>
      <c r="D132" s="68" t="e">
        <f>VLOOKUP(C132,STN_TABLE,2,FALSE)</f>
        <v>#VALUE!</v>
      </c>
      <c r="E132" s="102">
        <v>1</v>
      </c>
      <c r="F132" s="68" t="e">
        <f>D132*E132</f>
        <v>#VALUE!</v>
      </c>
      <c r="G132" s="69" t="e">
        <f>C132</f>
        <v>#VALUE!</v>
      </c>
      <c r="H132" s="69" t="e">
        <f>F132*G132</f>
        <v>#VALUE!</v>
      </c>
      <c r="I132" s="6" t="s">
        <v>93</v>
      </c>
      <c r="J132" s="70" t="e">
        <f>IF(OR(D132=0,D133=0,D134=0),"#NA",IF(AND(C134-C133=C133-C132,C133&lt;&gt;C134,C132&lt;&gt;C133,C132&lt;&gt;C134,D134&lt;&gt;0,OR(D132&lt;&gt;0,D133&lt;&gt;0)),WLS*(C134-C133),"#NA"))</f>
        <v>#VALUE!</v>
      </c>
      <c r="O132" s="99">
        <f>O131+1</f>
        <v>21</v>
      </c>
      <c r="P132" s="99" t="str">
        <f t="shared" ref="P132:P150" si="65">VLOOKUP(O132,STN_TABLE_2,2,FALSE)</f>
        <v xml:space="preserve">  </v>
      </c>
      <c r="Q132" s="68" t="e">
        <f>IF(OR(P134-P133=P133-P132,P135-P133=P133-P132),P132,IF(OR(P134-P133=P133-P131,P135-P133=P133-P131),P131,"-"))</f>
        <v>#VALUE!</v>
      </c>
      <c r="R132" s="69" t="e">
        <f>VLOOKUP(Q132,STN_TABLE,2,FALSE)</f>
        <v>#VALUE!</v>
      </c>
      <c r="S132" s="69">
        <v>5</v>
      </c>
      <c r="T132" s="68" t="e">
        <f>R132*S132</f>
        <v>#VALUE!</v>
      </c>
      <c r="U132" s="79">
        <v>3</v>
      </c>
      <c r="V132" s="68" t="e">
        <f>R132*U132</f>
        <v>#VALUE!</v>
      </c>
      <c r="W132" s="6" t="s">
        <v>93</v>
      </c>
      <c r="X132" s="70" t="e">
        <f>IF(AND(Q134-Q133=Q133-Q132,NOT(AND(Q132=0,Q133=0)),NOT(AND(Q133=0,Q134=0))),WLS*(Q134-Q133),"#NA")</f>
        <v>#VALUE!</v>
      </c>
      <c r="AD132" s="93"/>
      <c r="AH132" s="6" t="s">
        <v>93</v>
      </c>
      <c r="AI132" s="70" t="e">
        <f>WLS*(AD134-AD133)</f>
        <v>#VALUE!</v>
      </c>
      <c r="AU132" s="81"/>
    </row>
    <row r="133" spans="1:47" x14ac:dyDescent="0.25">
      <c r="A133" s="84">
        <f>A132+1</f>
        <v>20</v>
      </c>
      <c r="B133" s="84" t="str">
        <f t="shared" si="48"/>
        <v xml:space="preserve">  </v>
      </c>
      <c r="C133" s="80" t="e">
        <f t="shared" ref="C133" si="66">IF(OR(B135-B134=B134-B133,B135-B134=B134-B132,B135-B134=B134-B131),B134,IF(OR(B135-B133=B133-B132,B135-B133=B133-B131),B133,IF(B135-B132=B132-B131,B132,"#NA")))</f>
        <v>#VALUE!</v>
      </c>
      <c r="D133" s="76" t="e">
        <f>VLOOKUP(C133,STN_TABLE,2,FALSE)</f>
        <v>#VALUE!</v>
      </c>
      <c r="E133" s="81">
        <v>4</v>
      </c>
      <c r="F133" s="76" t="e">
        <f>D133*E133</f>
        <v>#VALUE!</v>
      </c>
      <c r="G133" s="77" t="e">
        <f>C133</f>
        <v>#VALUE!</v>
      </c>
      <c r="H133" s="77" t="e">
        <f>F133*G133</f>
        <v>#VALUE!</v>
      </c>
      <c r="I133" s="495" t="s">
        <v>97</v>
      </c>
      <c r="J133" s="496"/>
      <c r="K133" s="78" t="s">
        <v>98</v>
      </c>
      <c r="L133" s="78"/>
      <c r="M133" s="7" t="s">
        <v>99</v>
      </c>
      <c r="N133" s="7"/>
      <c r="O133" s="99">
        <f>O132+1</f>
        <v>22</v>
      </c>
      <c r="P133" s="99" t="str">
        <f t="shared" si="65"/>
        <v xml:space="preserve">  </v>
      </c>
      <c r="Q133" s="76" t="str">
        <f>P133</f>
        <v xml:space="preserve">  </v>
      </c>
      <c r="R133" s="77" t="str">
        <f>VLOOKUP(Q133,STN_TABLE,2,FALSE)</f>
        <v xml:space="preserve">  </v>
      </c>
      <c r="S133" s="77">
        <v>8</v>
      </c>
      <c r="T133" s="76" t="e">
        <f>R133*S133</f>
        <v>#VALUE!</v>
      </c>
      <c r="U133" s="80">
        <v>10</v>
      </c>
      <c r="V133" s="76" t="e">
        <f>R133*U133</f>
        <v>#VALUE!</v>
      </c>
      <c r="W133" s="496" t="s">
        <v>97</v>
      </c>
      <c r="X133" s="496"/>
      <c r="Y133" s="496" t="s">
        <v>98</v>
      </c>
      <c r="Z133" s="496"/>
      <c r="AA133" s="494" t="s">
        <v>99</v>
      </c>
      <c r="AB133" s="494"/>
      <c r="AC133" s="99">
        <f>AC128+1</f>
        <v>21</v>
      </c>
      <c r="AD133" s="95" t="str">
        <f>VLOOKUP(AC133,STN_TABLE_2,2,FALSE)</f>
        <v xml:space="preserve">  </v>
      </c>
      <c r="AE133" s="68" t="str">
        <f>VLOOKUP(AD133,STN_TABLE,2,FALSE)</f>
        <v xml:space="preserve">  </v>
      </c>
      <c r="AF133" s="68">
        <v>1</v>
      </c>
      <c r="AG133" s="69" t="e">
        <f>AE133*AF133</f>
        <v>#VALUE!</v>
      </c>
      <c r="AH133" s="496" t="s">
        <v>97</v>
      </c>
      <c r="AI133" s="496"/>
      <c r="AJ133" s="496" t="s">
        <v>98</v>
      </c>
      <c r="AK133" s="496"/>
      <c r="AL133" s="494" t="s">
        <v>99</v>
      </c>
      <c r="AM133" s="494"/>
      <c r="AP133" s="86" t="s">
        <v>112</v>
      </c>
      <c r="AQ133" s="89" t="s">
        <v>113</v>
      </c>
      <c r="AR133" s="89" t="s">
        <v>114</v>
      </c>
      <c r="AS133" s="89" t="s">
        <v>115</v>
      </c>
      <c r="AU133" s="81"/>
    </row>
    <row r="134" spans="1:47" x14ac:dyDescent="0.25">
      <c r="A134" s="84">
        <f>A133+1</f>
        <v>21</v>
      </c>
      <c r="B134" s="84" t="str">
        <f t="shared" si="48"/>
        <v xml:space="preserve">  </v>
      </c>
      <c r="C134" s="88" t="str">
        <f t="shared" ref="C134" si="67">B135</f>
        <v xml:space="preserve">  </v>
      </c>
      <c r="D134" s="82" t="str">
        <f>VLOOKUP(C134,STN_TABLE,2,FALSE)</f>
        <v xml:space="preserve">  </v>
      </c>
      <c r="E134" s="92">
        <v>1</v>
      </c>
      <c r="F134" s="82" t="e">
        <f>D134*E134</f>
        <v>#VALUE!</v>
      </c>
      <c r="G134" s="83" t="str">
        <f>C134</f>
        <v xml:space="preserve">  </v>
      </c>
      <c r="H134" s="83" t="e">
        <f>F134*G134</f>
        <v>#VALUE!</v>
      </c>
      <c r="I134" s="84" t="str">
        <f>CONCATENATE("a'(",C134,")=")</f>
        <v>a'(  )=</v>
      </c>
      <c r="J134" s="84" t="e">
        <f>2*J132/3*F135</f>
        <v>#VALUE!</v>
      </c>
      <c r="K134" s="84" t="e">
        <f>CONCATENATE("A(",C132,")=")</f>
        <v>#VALUE!</v>
      </c>
      <c r="L134" s="84" t="e">
        <f>VLOOKUP(C132,STN_TABLE,3,FALSE)</f>
        <v>#VALUE!</v>
      </c>
      <c r="M134" t="str">
        <f>CONCATENATE("A(",C134,")=")</f>
        <v>A(  )=</v>
      </c>
      <c r="N134" t="e">
        <f>J134+L134</f>
        <v>#VALUE!</v>
      </c>
      <c r="O134" s="99">
        <f>O133+1</f>
        <v>23</v>
      </c>
      <c r="P134" s="99" t="str">
        <f t="shared" si="65"/>
        <v xml:space="preserve">  </v>
      </c>
      <c r="Q134" s="82" t="e">
        <f>IF(P134-P133=P133-P132,P134,IF(P135-P133=P133-P132,P135,IF(P134-P133=P133-P131,P134,IF(P135-P133=P133-P131,P135,"-"))))</f>
        <v>#VALUE!</v>
      </c>
      <c r="R134" s="83" t="e">
        <f>VLOOKUP(Q134,STN_TABLE,2,FALSE)</f>
        <v>#VALUE!</v>
      </c>
      <c r="S134" s="83">
        <v>-1</v>
      </c>
      <c r="T134" s="82" t="e">
        <f>R134*S134</f>
        <v>#VALUE!</v>
      </c>
      <c r="U134" s="88">
        <v>-1</v>
      </c>
      <c r="V134" s="82" t="e">
        <f>R134*U134</f>
        <v>#VALUE!</v>
      </c>
      <c r="W134" s="84" t="str">
        <f>CONCATENATE("a'(",Q133,")=")</f>
        <v>a'(  )=</v>
      </c>
      <c r="X134" s="84" t="e">
        <f>2*X132/12*T135</f>
        <v>#VALUE!</v>
      </c>
      <c r="Y134" s="84" t="e">
        <f>CONCATENATE("A(",Q132,")=")</f>
        <v>#VALUE!</v>
      </c>
      <c r="Z134" s="84" t="e">
        <f>VLOOKUP(Q132,STN_TABLE,3,FALSE)</f>
        <v>#VALUE!</v>
      </c>
      <c r="AA134" t="str">
        <f>CONCATENATE("A(",Q133,")=")</f>
        <v>A(  )=</v>
      </c>
      <c r="AB134" t="e">
        <f>X134+Z134</f>
        <v>#VALUE!</v>
      </c>
      <c r="AC134" s="99">
        <f>AC133+1</f>
        <v>22</v>
      </c>
      <c r="AD134" s="100" t="str">
        <f>VLOOKUP(AC134,STN_TABLE_2,2,FALSE)</f>
        <v xml:space="preserve">  </v>
      </c>
      <c r="AE134" s="82" t="str">
        <f>VLOOKUP(AD134,STN_TABLE,2,FALSE)</f>
        <v xml:space="preserve">  </v>
      </c>
      <c r="AF134" s="82">
        <v>2</v>
      </c>
      <c r="AG134" s="83" t="e">
        <f>AE134*AF134</f>
        <v>#VALUE!</v>
      </c>
      <c r="AH134" s="84" t="str">
        <f>CONCATENATE("a'(",AD134,")=")</f>
        <v>a'(  )=</v>
      </c>
      <c r="AI134" s="84" t="e">
        <f>2*AI132/2*AE135</f>
        <v>#VALUE!</v>
      </c>
      <c r="AJ134" s="84" t="str">
        <f>CONCATENATE("A(",AD133,")=")</f>
        <v>A(  )=</v>
      </c>
      <c r="AK134" s="84" t="str">
        <f>VLOOKUP(AD133,STN_TABLE,3,FALSE)</f>
        <v xml:space="preserve"> </v>
      </c>
      <c r="AL134" t="str">
        <f>CONCATENATE("A(",AD134,")=")</f>
        <v>A(  )=</v>
      </c>
      <c r="AM134" t="e">
        <f>AI134+AK134</f>
        <v>#VALUE!</v>
      </c>
      <c r="AO134" s="68" t="str">
        <f>AA134</f>
        <v>A(  )=</v>
      </c>
      <c r="AP134" s="68" t="e">
        <f>VLOOKUP(AO134,Rise_Results,2,FALSE)</f>
        <v>#N/A</v>
      </c>
      <c r="AQ134" s="76" t="e">
        <f>N134</f>
        <v>#VALUE!</v>
      </c>
      <c r="AR134" s="76" t="e">
        <f>IF(OR(AB134&lt;=0,AB135&lt;=0),1/0,AB134)</f>
        <v>#VALUE!</v>
      </c>
      <c r="AS134" s="76" t="e">
        <f>AM134</f>
        <v>#VALUE!</v>
      </c>
      <c r="AT134" t="e">
        <f>IFERROR(AP134,IFERROR(AQ134,IFERROR(AR134,AS134)))</f>
        <v>#VALUE!</v>
      </c>
      <c r="AU134" s="81"/>
    </row>
    <row r="135" spans="1:47" x14ac:dyDescent="0.25">
      <c r="A135" s="84">
        <f>A134+1</f>
        <v>22</v>
      </c>
      <c r="B135" s="84" t="str">
        <f t="shared" si="48"/>
        <v xml:space="preserve">  </v>
      </c>
      <c r="F135" s="82" t="e">
        <f>SUM(F132:F134)</f>
        <v>#VALUE!</v>
      </c>
      <c r="H135" s="82" t="e">
        <f>SUM(H132:H134)</f>
        <v>#VALUE!</v>
      </c>
      <c r="I135" s="84" t="str">
        <f>CONCATENATE("m'(",C134,")=")</f>
        <v>m'(  )=</v>
      </c>
      <c r="J135" s="84" t="e">
        <f>2*(J132*(WLS))/3*H135</f>
        <v>#VALUE!</v>
      </c>
      <c r="K135" s="84" t="e">
        <f>CONCATENATE("M(",C132,")=")</f>
        <v>#VALUE!</v>
      </c>
      <c r="L135" s="84" t="e">
        <f>VLOOKUP(C132,STN_TABLE,4,FALSE)</f>
        <v>#VALUE!</v>
      </c>
      <c r="M135" t="str">
        <f>CONCATENATE("M(",C134,")=")</f>
        <v>M(  )=</v>
      </c>
      <c r="N135" t="e">
        <f>J135+L135</f>
        <v>#VALUE!</v>
      </c>
      <c r="O135" s="99">
        <f>O134+1</f>
        <v>24</v>
      </c>
      <c r="P135" s="99" t="str">
        <f t="shared" si="65"/>
        <v xml:space="preserve">  </v>
      </c>
      <c r="T135" s="89" t="e">
        <f>SUM(T132:T134)</f>
        <v>#VALUE!</v>
      </c>
      <c r="V135" s="82" t="e">
        <f>SUM(V132:V134)</f>
        <v>#VALUE!</v>
      </c>
      <c r="W135" s="84" t="str">
        <f>CONCATENATE("m'(",Q133,")=")</f>
        <v>m'(  )=</v>
      </c>
      <c r="X135" s="84" t="e">
        <f>(2*(X132^2)/24*V135)+(X134*Q132*WLS)</f>
        <v>#VALUE!</v>
      </c>
      <c r="Y135" s="84" t="e">
        <f>CONCATENATE("M(",Q132,")=")</f>
        <v>#VALUE!</v>
      </c>
      <c r="Z135" s="84" t="e">
        <f>VLOOKUP(Q132,STN_TABLE,4,FALSE)</f>
        <v>#VALUE!</v>
      </c>
      <c r="AA135" t="str">
        <f>CONCATENATE("M(",Q133,")=")</f>
        <v>M(  )=</v>
      </c>
      <c r="AB135" t="e">
        <f>X135+Z135</f>
        <v>#VALUE!</v>
      </c>
      <c r="AE135" s="89">
        <f>SUM(AE133:AE134)</f>
        <v>0</v>
      </c>
      <c r="AG135" s="89" t="e">
        <f>SUM(AG133:AG134)</f>
        <v>#VALUE!</v>
      </c>
      <c r="AH135" s="84" t="str">
        <f>CONCATENATE("m'(",AD134,")=")</f>
        <v>m'(  )=</v>
      </c>
      <c r="AI135" s="84" t="e">
        <f>(2*(AI132^2)/6*AG135)+(AI134*AD133*WLS)</f>
        <v>#VALUE!</v>
      </c>
      <c r="AJ135" s="84" t="str">
        <f>CONCATENATE("M(",AD133,")=")</f>
        <v>M(  )=</v>
      </c>
      <c r="AK135" s="84" t="str">
        <f>VLOOKUP(AD133,STN_TABLE,4,FALSE)</f>
        <v xml:space="preserve"> </v>
      </c>
      <c r="AL135" t="str">
        <f>CONCATENATE("M(",AD134,")=")</f>
        <v>M(  )=</v>
      </c>
      <c r="AM135" t="e">
        <f>AI135+AK135</f>
        <v>#VALUE!</v>
      </c>
      <c r="AO135" s="82" t="str">
        <f>AA135</f>
        <v>M(  )=</v>
      </c>
      <c r="AP135" s="82" t="e">
        <f>VLOOKUP(AO135,Rise_Results,2,FALSE)</f>
        <v>#N/A</v>
      </c>
      <c r="AQ135" s="82" t="e">
        <f>N135</f>
        <v>#VALUE!</v>
      </c>
      <c r="AR135" s="82" t="e">
        <f>IF(OR(AB134&lt;=0,AB135&lt;=0),1/0,AB135)</f>
        <v>#VALUE!</v>
      </c>
      <c r="AS135" s="82" t="e">
        <f>AM135</f>
        <v>#VALUE!</v>
      </c>
      <c r="AT135" t="e">
        <f>IFERROR(AP135,IFERROR(AQ135,IFERROR(AR135,AS135)))</f>
        <v>#VALUE!</v>
      </c>
      <c r="AU135" s="81"/>
    </row>
    <row r="136" spans="1:47" x14ac:dyDescent="0.25">
      <c r="A136" s="101">
        <f>A131+1</f>
        <v>19</v>
      </c>
      <c r="B136" s="101" t="str">
        <f t="shared" si="48"/>
        <v xml:space="preserve">  </v>
      </c>
      <c r="O136" s="101">
        <f>O131+1</f>
        <v>21</v>
      </c>
      <c r="P136" s="101" t="str">
        <f t="shared" si="65"/>
        <v xml:space="preserve">  </v>
      </c>
      <c r="AU136" s="81"/>
    </row>
    <row r="137" spans="1:47" x14ac:dyDescent="0.25">
      <c r="A137" s="84">
        <f>A136+1</f>
        <v>20</v>
      </c>
      <c r="B137" s="84" t="str">
        <f t="shared" si="48"/>
        <v xml:space="preserve">  </v>
      </c>
      <c r="C137" s="79" t="e">
        <f t="shared" ref="C137" si="68">IF(C138=B139,IF(C139-C138=C138-B138,B138,IF(C139-C138=C138-B137,B137,"#NA")),IF(C138=B138,IF(C139-C138=C138-B137,B137,IF(C139-C138=C138-B136,B136,"#NA")),"#NA"))</f>
        <v>#VALUE!</v>
      </c>
      <c r="D137" s="68" t="e">
        <f>VLOOKUP(C137,STN_TABLE,2,FALSE)</f>
        <v>#VALUE!</v>
      </c>
      <c r="E137" s="102">
        <v>1</v>
      </c>
      <c r="F137" s="68" t="e">
        <f>D137*E137</f>
        <v>#VALUE!</v>
      </c>
      <c r="G137" s="69" t="e">
        <f>C137</f>
        <v>#VALUE!</v>
      </c>
      <c r="H137" s="69" t="e">
        <f>F137*G137</f>
        <v>#VALUE!</v>
      </c>
      <c r="I137" s="6" t="s">
        <v>93</v>
      </c>
      <c r="J137" s="70" t="e">
        <f>IF(OR(D137=0,D138=0,D139=0),"#NA",IF(AND(C139-C138=C138-C137,C138&lt;&gt;C139,C137&lt;&gt;C138,C137&lt;&gt;C139,D139&lt;&gt;0,OR(D137&lt;&gt;0,D138&lt;&gt;0)),WLS*(C139-C138),"#NA"))</f>
        <v>#VALUE!</v>
      </c>
      <c r="O137" s="99">
        <f>O136+1</f>
        <v>22</v>
      </c>
      <c r="P137" s="99" t="str">
        <f t="shared" si="65"/>
        <v xml:space="preserve">  </v>
      </c>
      <c r="Q137" s="68" t="e">
        <f>IF(OR(P139-P138=P138-P137,P140-P138=P138-P137),P137,IF(OR(P139-P138=P138-P136,P140-P138=P138-P136),P136,"-"))</f>
        <v>#VALUE!</v>
      </c>
      <c r="R137" s="69" t="e">
        <f>VLOOKUP(Q137,STN_TABLE,2,FALSE)</f>
        <v>#VALUE!</v>
      </c>
      <c r="S137" s="69">
        <v>5</v>
      </c>
      <c r="T137" s="68" t="e">
        <f>R137*S137</f>
        <v>#VALUE!</v>
      </c>
      <c r="U137" s="79">
        <v>3</v>
      </c>
      <c r="V137" s="68" t="e">
        <f>R137*U137</f>
        <v>#VALUE!</v>
      </c>
      <c r="W137" s="6" t="s">
        <v>93</v>
      </c>
      <c r="X137" s="70" t="e">
        <f>IF(AND(Q139-Q138=Q138-Q137,NOT(AND(Q137=0,Q138=0)),NOT(AND(Q138=0,Q139=0))),WLS*(Q139-Q138),"#NA")</f>
        <v>#VALUE!</v>
      </c>
      <c r="AD137" s="93"/>
      <c r="AH137" s="6" t="s">
        <v>93</v>
      </c>
      <c r="AI137" s="70" t="e">
        <f>WLS*(AD139-AD138)</f>
        <v>#VALUE!</v>
      </c>
      <c r="AU137" s="81"/>
    </row>
    <row r="138" spans="1:47" x14ac:dyDescent="0.25">
      <c r="A138" s="84">
        <f>A137+1</f>
        <v>21</v>
      </c>
      <c r="B138" s="84" t="str">
        <f t="shared" ref="B138:B150" si="69">VLOOKUP(A138,STN_TABLE_2,2,FALSE)</f>
        <v xml:space="preserve">  </v>
      </c>
      <c r="C138" s="80" t="e">
        <f t="shared" ref="C138" si="70">IF(OR(B140-B139=B139-B138,B140-B139=B139-B137,B140-B139=B139-B136),B139,IF(OR(B140-B138=B138-B137,B140-B138=B138-B136),B138,IF(B140-B137=B137-B136,B137,"#NA")))</f>
        <v>#VALUE!</v>
      </c>
      <c r="D138" s="76" t="e">
        <f>VLOOKUP(C138,STN_TABLE,2,FALSE)</f>
        <v>#VALUE!</v>
      </c>
      <c r="E138" s="81">
        <v>4</v>
      </c>
      <c r="F138" s="76" t="e">
        <f>D138*E138</f>
        <v>#VALUE!</v>
      </c>
      <c r="G138" s="77" t="e">
        <f>C138</f>
        <v>#VALUE!</v>
      </c>
      <c r="H138" s="77" t="e">
        <f>F138*G138</f>
        <v>#VALUE!</v>
      </c>
      <c r="I138" s="495" t="s">
        <v>97</v>
      </c>
      <c r="J138" s="496"/>
      <c r="K138" s="78" t="s">
        <v>98</v>
      </c>
      <c r="L138" s="78"/>
      <c r="M138" s="7" t="s">
        <v>99</v>
      </c>
      <c r="N138" s="7"/>
      <c r="O138" s="99">
        <f>O137+1</f>
        <v>23</v>
      </c>
      <c r="P138" s="99" t="str">
        <f t="shared" si="65"/>
        <v xml:space="preserve">  </v>
      </c>
      <c r="Q138" s="76" t="str">
        <f>P138</f>
        <v xml:space="preserve">  </v>
      </c>
      <c r="R138" s="77" t="str">
        <f>VLOOKUP(Q138,STN_TABLE,2,FALSE)</f>
        <v xml:space="preserve">  </v>
      </c>
      <c r="S138" s="77">
        <v>8</v>
      </c>
      <c r="T138" s="76" t="e">
        <f>R138*S138</f>
        <v>#VALUE!</v>
      </c>
      <c r="U138" s="80">
        <v>10</v>
      </c>
      <c r="V138" s="76" t="e">
        <f>R138*U138</f>
        <v>#VALUE!</v>
      </c>
      <c r="W138" s="496" t="s">
        <v>97</v>
      </c>
      <c r="X138" s="496"/>
      <c r="Y138" s="496" t="s">
        <v>98</v>
      </c>
      <c r="Z138" s="496"/>
      <c r="AA138" s="494" t="s">
        <v>99</v>
      </c>
      <c r="AB138" s="494"/>
      <c r="AC138" s="99">
        <f>AC133+1</f>
        <v>22</v>
      </c>
      <c r="AD138" s="95" t="str">
        <f>VLOOKUP(AC138,STN_TABLE_2,2,FALSE)</f>
        <v xml:space="preserve">  </v>
      </c>
      <c r="AE138" s="68" t="str">
        <f>VLOOKUP(AD138,STN_TABLE,2,FALSE)</f>
        <v xml:space="preserve">  </v>
      </c>
      <c r="AF138" s="68">
        <v>1</v>
      </c>
      <c r="AG138" s="69" t="e">
        <f>AE138*AF138</f>
        <v>#VALUE!</v>
      </c>
      <c r="AH138" s="496" t="s">
        <v>97</v>
      </c>
      <c r="AI138" s="496"/>
      <c r="AJ138" s="496" t="s">
        <v>98</v>
      </c>
      <c r="AK138" s="496"/>
      <c r="AL138" s="494" t="s">
        <v>99</v>
      </c>
      <c r="AM138" s="494"/>
      <c r="AP138" s="86" t="s">
        <v>112</v>
      </c>
      <c r="AQ138" s="89" t="s">
        <v>113</v>
      </c>
      <c r="AR138" s="89" t="s">
        <v>114</v>
      </c>
      <c r="AS138" s="89" t="s">
        <v>115</v>
      </c>
      <c r="AU138" s="81"/>
    </row>
    <row r="139" spans="1:47" x14ac:dyDescent="0.25">
      <c r="A139" s="84">
        <f>A138+1</f>
        <v>22</v>
      </c>
      <c r="B139" s="84" t="str">
        <f t="shared" si="69"/>
        <v xml:space="preserve">  </v>
      </c>
      <c r="C139" s="88" t="str">
        <f t="shared" ref="C139" si="71">B140</f>
        <v xml:space="preserve">  </v>
      </c>
      <c r="D139" s="82" t="str">
        <f>VLOOKUP(C139,STN_TABLE,2,FALSE)</f>
        <v xml:space="preserve">  </v>
      </c>
      <c r="E139" s="92">
        <v>1</v>
      </c>
      <c r="F139" s="82" t="e">
        <f>D139*E139</f>
        <v>#VALUE!</v>
      </c>
      <c r="G139" s="83" t="str">
        <f>C139</f>
        <v xml:space="preserve">  </v>
      </c>
      <c r="H139" s="83" t="e">
        <f>F139*G139</f>
        <v>#VALUE!</v>
      </c>
      <c r="I139" s="84" t="str">
        <f>CONCATENATE("a'(",C139,")=")</f>
        <v>a'(  )=</v>
      </c>
      <c r="J139" s="84" t="e">
        <f>2*J137/3*F140</f>
        <v>#VALUE!</v>
      </c>
      <c r="K139" s="84" t="e">
        <f>CONCATENATE("A(",C137,")=")</f>
        <v>#VALUE!</v>
      </c>
      <c r="L139" s="84" t="e">
        <f>VLOOKUP(C137,STN_TABLE,3,FALSE)</f>
        <v>#VALUE!</v>
      </c>
      <c r="M139" t="str">
        <f>CONCATENATE("A(",C139,")=")</f>
        <v>A(  )=</v>
      </c>
      <c r="N139" t="e">
        <f>J139+L139</f>
        <v>#VALUE!</v>
      </c>
      <c r="O139" s="99">
        <f>O138+1</f>
        <v>24</v>
      </c>
      <c r="P139" s="99" t="str">
        <f t="shared" si="65"/>
        <v xml:space="preserve">  </v>
      </c>
      <c r="Q139" s="82" t="e">
        <f>IF(P139-P138=P138-P137,P139,IF(P140-P138=P138-P137,P140,IF(P139-P138=P138-P136,P139,IF(P140-P138=P138-P136,P140,"-"))))</f>
        <v>#VALUE!</v>
      </c>
      <c r="R139" s="83" t="e">
        <f>VLOOKUP(Q139,STN_TABLE,2,FALSE)</f>
        <v>#VALUE!</v>
      </c>
      <c r="S139" s="83">
        <v>-1</v>
      </c>
      <c r="T139" s="82" t="e">
        <f>R139*S139</f>
        <v>#VALUE!</v>
      </c>
      <c r="U139" s="88">
        <v>-1</v>
      </c>
      <c r="V139" s="82" t="e">
        <f>R139*U139</f>
        <v>#VALUE!</v>
      </c>
      <c r="W139" s="84" t="str">
        <f>CONCATENATE("a'(",Q138,")=")</f>
        <v>a'(  )=</v>
      </c>
      <c r="X139" s="84" t="e">
        <f>2*X137/12*T140</f>
        <v>#VALUE!</v>
      </c>
      <c r="Y139" s="84" t="e">
        <f>CONCATENATE("A(",Q137,")=")</f>
        <v>#VALUE!</v>
      </c>
      <c r="Z139" s="84" t="e">
        <f>VLOOKUP(Q137,STN_TABLE,3,FALSE)</f>
        <v>#VALUE!</v>
      </c>
      <c r="AA139" t="str">
        <f>CONCATENATE("A(",Q138,")=")</f>
        <v>A(  )=</v>
      </c>
      <c r="AB139" t="e">
        <f>X139+Z139</f>
        <v>#VALUE!</v>
      </c>
      <c r="AC139" s="99">
        <f>AC138+1</f>
        <v>23</v>
      </c>
      <c r="AD139" s="100" t="str">
        <f>VLOOKUP(AC139,STN_TABLE_2,2,FALSE)</f>
        <v xml:space="preserve">  </v>
      </c>
      <c r="AE139" s="82" t="str">
        <f>VLOOKUP(AD139,STN_TABLE,2,FALSE)</f>
        <v xml:space="preserve">  </v>
      </c>
      <c r="AF139" s="82">
        <v>2</v>
      </c>
      <c r="AG139" s="83" t="e">
        <f>AE139*AF139</f>
        <v>#VALUE!</v>
      </c>
      <c r="AH139" s="84" t="str">
        <f>CONCATENATE("a'(",AD139,")=")</f>
        <v>a'(  )=</v>
      </c>
      <c r="AI139" s="84" t="e">
        <f>2*AI137/2*AE140</f>
        <v>#VALUE!</v>
      </c>
      <c r="AJ139" s="84" t="str">
        <f>CONCATENATE("A(",AD138,")=")</f>
        <v>A(  )=</v>
      </c>
      <c r="AK139" s="84" t="str">
        <f>VLOOKUP(AD138,STN_TABLE,3,FALSE)</f>
        <v xml:space="preserve"> </v>
      </c>
      <c r="AL139" t="str">
        <f>CONCATENATE("A(",AD139,")=")</f>
        <v>A(  )=</v>
      </c>
      <c r="AM139" t="e">
        <f>AI139+AK139</f>
        <v>#VALUE!</v>
      </c>
      <c r="AO139" s="68" t="str">
        <f>AA139</f>
        <v>A(  )=</v>
      </c>
      <c r="AP139" s="68" t="e">
        <f>VLOOKUP(AO139,Rise_Results,2,FALSE)</f>
        <v>#N/A</v>
      </c>
      <c r="AQ139" s="76" t="e">
        <f>N139</f>
        <v>#VALUE!</v>
      </c>
      <c r="AR139" s="76" t="e">
        <f>IF(OR(AB139&lt;=0,AB140&lt;=0),1/0,AB139)</f>
        <v>#VALUE!</v>
      </c>
      <c r="AS139" s="76" t="e">
        <f>AM139</f>
        <v>#VALUE!</v>
      </c>
      <c r="AT139" t="e">
        <f>IFERROR(AP139,IFERROR(AQ139,IFERROR(AR139,AS139)))</f>
        <v>#VALUE!</v>
      </c>
      <c r="AU139" s="81"/>
    </row>
    <row r="140" spans="1:47" x14ac:dyDescent="0.25">
      <c r="A140" s="84">
        <f>A139+1</f>
        <v>23</v>
      </c>
      <c r="B140" s="84" t="str">
        <f t="shared" si="69"/>
        <v xml:space="preserve">  </v>
      </c>
      <c r="F140" s="82" t="e">
        <f>SUM(F137:F139)</f>
        <v>#VALUE!</v>
      </c>
      <c r="H140" s="82" t="e">
        <f>SUM(H137:H139)</f>
        <v>#VALUE!</v>
      </c>
      <c r="I140" s="84" t="str">
        <f>CONCATENATE("m'(",C139,")=")</f>
        <v>m'(  )=</v>
      </c>
      <c r="J140" s="84" t="e">
        <f>2*(J137*(WLS))/3*H140</f>
        <v>#VALUE!</v>
      </c>
      <c r="K140" s="84" t="e">
        <f>CONCATENATE("M(",C137,")=")</f>
        <v>#VALUE!</v>
      </c>
      <c r="L140" s="84" t="e">
        <f>VLOOKUP(C137,STN_TABLE,4,FALSE)</f>
        <v>#VALUE!</v>
      </c>
      <c r="M140" t="str">
        <f>CONCATENATE("M(",C139,")=")</f>
        <v>M(  )=</v>
      </c>
      <c r="N140" t="e">
        <f>J140+L140</f>
        <v>#VALUE!</v>
      </c>
      <c r="O140" s="99">
        <f>O139+1</f>
        <v>25</v>
      </c>
      <c r="P140" s="99" t="str">
        <f t="shared" si="65"/>
        <v xml:space="preserve">  </v>
      </c>
      <c r="T140" s="89" t="e">
        <f>SUM(T137:T139)</f>
        <v>#VALUE!</v>
      </c>
      <c r="V140" s="82" t="e">
        <f>SUM(V137:V139)</f>
        <v>#VALUE!</v>
      </c>
      <c r="W140" s="84" t="str">
        <f>CONCATENATE("m'(",Q138,")=")</f>
        <v>m'(  )=</v>
      </c>
      <c r="X140" s="84" t="e">
        <f>(2*(X137^2)/24*V140)+(X139*Q137*WLS)</f>
        <v>#VALUE!</v>
      </c>
      <c r="Y140" s="84" t="e">
        <f>CONCATENATE("M(",Q137,")=")</f>
        <v>#VALUE!</v>
      </c>
      <c r="Z140" s="84" t="e">
        <f>VLOOKUP(Q137,STN_TABLE,4,FALSE)</f>
        <v>#VALUE!</v>
      </c>
      <c r="AA140" t="str">
        <f>CONCATENATE("M(",Q138,")=")</f>
        <v>M(  )=</v>
      </c>
      <c r="AB140" t="e">
        <f>X140+Z140</f>
        <v>#VALUE!</v>
      </c>
      <c r="AE140" s="89">
        <f>SUM(AE138:AE139)</f>
        <v>0</v>
      </c>
      <c r="AG140" s="89" t="e">
        <f>SUM(AG138:AG139)</f>
        <v>#VALUE!</v>
      </c>
      <c r="AH140" s="84" t="str">
        <f>CONCATENATE("m'(",AD139,")=")</f>
        <v>m'(  )=</v>
      </c>
      <c r="AI140" s="84" t="e">
        <f>(2*(AI137^2)/6*AG140)+(AI139*AD138*WLS)</f>
        <v>#VALUE!</v>
      </c>
      <c r="AJ140" s="84" t="str">
        <f>CONCATENATE("M(",AD138,")=")</f>
        <v>M(  )=</v>
      </c>
      <c r="AK140" s="84" t="str">
        <f>VLOOKUP(AD138,STN_TABLE,4,FALSE)</f>
        <v xml:space="preserve"> </v>
      </c>
      <c r="AL140" t="str">
        <f>CONCATENATE("M(",AD139,")=")</f>
        <v>M(  )=</v>
      </c>
      <c r="AM140" t="e">
        <f>AI140+AK140</f>
        <v>#VALUE!</v>
      </c>
      <c r="AO140" s="82" t="str">
        <f>AA140</f>
        <v>M(  )=</v>
      </c>
      <c r="AP140" s="82" t="e">
        <f>VLOOKUP(AO140,Rise_Results,2,FALSE)</f>
        <v>#N/A</v>
      </c>
      <c r="AQ140" s="82" t="e">
        <f>N140</f>
        <v>#VALUE!</v>
      </c>
      <c r="AR140" s="82" t="e">
        <f>IF(OR(AB139&lt;=0,AB140&lt;=0),1/0,AB140)</f>
        <v>#VALUE!</v>
      </c>
      <c r="AS140" s="82" t="e">
        <f>AM140</f>
        <v>#VALUE!</v>
      </c>
      <c r="AT140" t="e">
        <f>IFERROR(AP140,IFERROR(AQ140,IFERROR(AR140,AS140)))</f>
        <v>#VALUE!</v>
      </c>
      <c r="AU140" s="81"/>
    </row>
    <row r="141" spans="1:47" x14ac:dyDescent="0.25">
      <c r="A141" s="101">
        <f>A136+1</f>
        <v>20</v>
      </c>
      <c r="B141" s="101" t="str">
        <f t="shared" si="69"/>
        <v xml:space="preserve">  </v>
      </c>
      <c r="O141" s="101">
        <f>O136+1</f>
        <v>22</v>
      </c>
      <c r="P141" s="101" t="str">
        <f t="shared" si="65"/>
        <v xml:space="preserve">  </v>
      </c>
      <c r="AU141" s="81"/>
    </row>
    <row r="142" spans="1:47" x14ac:dyDescent="0.25">
      <c r="A142" s="84">
        <f>A141+1</f>
        <v>21</v>
      </c>
      <c r="B142" s="84" t="str">
        <f t="shared" si="69"/>
        <v xml:space="preserve">  </v>
      </c>
      <c r="C142" s="79" t="e">
        <f t="shared" ref="C142" si="72">IF(C143=B144,IF(C144-C143=C143-B143,B143,IF(C144-C143=C143-B142,B142,"#NA")),IF(C143=B143,IF(C144-C143=C143-B142,B142,IF(C144-C143=C143-B141,B141,"#NA")),"#NA"))</f>
        <v>#VALUE!</v>
      </c>
      <c r="D142" s="68" t="e">
        <f>VLOOKUP(C142,STN_TABLE,2,FALSE)</f>
        <v>#VALUE!</v>
      </c>
      <c r="E142" s="102">
        <v>1</v>
      </c>
      <c r="F142" s="68" t="e">
        <f>D142*E142</f>
        <v>#VALUE!</v>
      </c>
      <c r="G142" s="69" t="e">
        <f>C142</f>
        <v>#VALUE!</v>
      </c>
      <c r="H142" s="69" t="e">
        <f>F142*G142</f>
        <v>#VALUE!</v>
      </c>
      <c r="I142" s="6" t="s">
        <v>93</v>
      </c>
      <c r="J142" s="70" t="e">
        <f>IF(OR(D142=0,D143=0,D144=0),"#NA",IF(AND(C144-C143=C143-C142,C143&lt;&gt;C144,C142&lt;&gt;C143,C142&lt;&gt;C144,D144&lt;&gt;0,OR(D142&lt;&gt;0,D143&lt;&gt;0)),WLS*(C144-C143),"#NA"))</f>
        <v>#VALUE!</v>
      </c>
      <c r="O142" s="99">
        <f>O141+1</f>
        <v>23</v>
      </c>
      <c r="P142" s="99" t="str">
        <f t="shared" si="65"/>
        <v xml:space="preserve">  </v>
      </c>
      <c r="Q142" s="68" t="e">
        <f>IF(OR(P144-P143=P143-P142,P145-P143=P143-P142),P142,IF(OR(P144-P143=P143-P141,P145-P143=P143-P141),P141,"-"))</f>
        <v>#VALUE!</v>
      </c>
      <c r="R142" s="69" t="e">
        <f>VLOOKUP(Q142,STN_TABLE,2,FALSE)</f>
        <v>#VALUE!</v>
      </c>
      <c r="S142" s="69">
        <v>5</v>
      </c>
      <c r="T142" s="68" t="e">
        <f>R142*S142</f>
        <v>#VALUE!</v>
      </c>
      <c r="U142" s="79">
        <v>3</v>
      </c>
      <c r="V142" s="68" t="e">
        <f>R142*U142</f>
        <v>#VALUE!</v>
      </c>
      <c r="W142" s="6" t="s">
        <v>93</v>
      </c>
      <c r="X142" s="70" t="e">
        <f>IF(AND(Q144-Q143=Q143-Q142,NOT(AND(Q142=0,Q143=0)),NOT(AND(Q143=0,Q144=0))),WLS*(Q144-Q143),"#NA")</f>
        <v>#VALUE!</v>
      </c>
      <c r="AD142" s="93"/>
      <c r="AH142" s="6" t="s">
        <v>93</v>
      </c>
      <c r="AI142" s="70" t="e">
        <f>WLS*(AD144-AD143)</f>
        <v>#VALUE!</v>
      </c>
      <c r="AU142" s="81"/>
    </row>
    <row r="143" spans="1:47" x14ac:dyDescent="0.25">
      <c r="A143" s="84">
        <f>A142+1</f>
        <v>22</v>
      </c>
      <c r="B143" s="84" t="str">
        <f t="shared" si="69"/>
        <v xml:space="preserve">  </v>
      </c>
      <c r="C143" s="80" t="e">
        <f t="shared" ref="C143" si="73">IF(OR(B145-B144=B144-B143,B145-B144=B144-B142,B145-B144=B144-B141),B144,IF(OR(B145-B143=B143-B142,B145-B143=B143-B141),B143,IF(B145-B142=B142-B141,B142,"#NA")))</f>
        <v>#VALUE!</v>
      </c>
      <c r="D143" s="76" t="e">
        <f>VLOOKUP(C143,STN_TABLE,2,FALSE)</f>
        <v>#VALUE!</v>
      </c>
      <c r="E143" s="81">
        <v>4</v>
      </c>
      <c r="F143" s="76" t="e">
        <f>D143*E143</f>
        <v>#VALUE!</v>
      </c>
      <c r="G143" s="77" t="e">
        <f>C143</f>
        <v>#VALUE!</v>
      </c>
      <c r="H143" s="77" t="e">
        <f>F143*G143</f>
        <v>#VALUE!</v>
      </c>
      <c r="I143" s="495" t="s">
        <v>97</v>
      </c>
      <c r="J143" s="496"/>
      <c r="K143" s="78" t="s">
        <v>98</v>
      </c>
      <c r="L143" s="78"/>
      <c r="M143" s="7" t="s">
        <v>99</v>
      </c>
      <c r="N143" s="7"/>
      <c r="O143" s="99">
        <f>O142+1</f>
        <v>24</v>
      </c>
      <c r="P143" s="99" t="str">
        <f t="shared" si="65"/>
        <v xml:space="preserve">  </v>
      </c>
      <c r="Q143" s="76" t="str">
        <f>P143</f>
        <v xml:space="preserve">  </v>
      </c>
      <c r="R143" s="77" t="str">
        <f>VLOOKUP(Q143,STN_TABLE,2,FALSE)</f>
        <v xml:space="preserve">  </v>
      </c>
      <c r="S143" s="77">
        <v>8</v>
      </c>
      <c r="T143" s="76" t="e">
        <f>R143*S143</f>
        <v>#VALUE!</v>
      </c>
      <c r="U143" s="80">
        <v>10</v>
      </c>
      <c r="V143" s="76" t="e">
        <f>R143*U143</f>
        <v>#VALUE!</v>
      </c>
      <c r="W143" s="496" t="s">
        <v>97</v>
      </c>
      <c r="X143" s="496"/>
      <c r="Y143" s="496" t="s">
        <v>98</v>
      </c>
      <c r="Z143" s="496"/>
      <c r="AA143" s="494" t="s">
        <v>99</v>
      </c>
      <c r="AB143" s="494"/>
      <c r="AC143" s="99">
        <f>AC138+1</f>
        <v>23</v>
      </c>
      <c r="AD143" s="95" t="str">
        <f>VLOOKUP(AC143,STN_TABLE_2,2,FALSE)</f>
        <v xml:space="preserve">  </v>
      </c>
      <c r="AE143" s="68" t="str">
        <f>VLOOKUP(AD143,STN_TABLE,2,FALSE)</f>
        <v xml:space="preserve">  </v>
      </c>
      <c r="AF143" s="68">
        <v>1</v>
      </c>
      <c r="AG143" s="69" t="e">
        <f>AE143*AF143</f>
        <v>#VALUE!</v>
      </c>
      <c r="AH143" s="496" t="s">
        <v>97</v>
      </c>
      <c r="AI143" s="496"/>
      <c r="AJ143" s="496" t="s">
        <v>98</v>
      </c>
      <c r="AK143" s="496"/>
      <c r="AL143" s="494" t="s">
        <v>99</v>
      </c>
      <c r="AM143" s="494"/>
      <c r="AP143" s="86" t="s">
        <v>112</v>
      </c>
      <c r="AQ143" s="89" t="s">
        <v>113</v>
      </c>
      <c r="AR143" s="89" t="s">
        <v>114</v>
      </c>
      <c r="AS143" s="89" t="s">
        <v>115</v>
      </c>
      <c r="AU143" s="81"/>
    </row>
    <row r="144" spans="1:47" x14ac:dyDescent="0.25">
      <c r="A144" s="84">
        <f>A143+1</f>
        <v>23</v>
      </c>
      <c r="B144" s="84" t="str">
        <f t="shared" si="69"/>
        <v xml:space="preserve">  </v>
      </c>
      <c r="C144" s="88" t="str">
        <f t="shared" ref="C144" si="74">B145</f>
        <v xml:space="preserve">  </v>
      </c>
      <c r="D144" s="82" t="str">
        <f>VLOOKUP(C144,STN_TABLE,2,FALSE)</f>
        <v xml:space="preserve">  </v>
      </c>
      <c r="E144" s="92">
        <v>1</v>
      </c>
      <c r="F144" s="82" t="e">
        <f>D144*E144</f>
        <v>#VALUE!</v>
      </c>
      <c r="G144" s="83" t="str">
        <f>C144</f>
        <v xml:space="preserve">  </v>
      </c>
      <c r="H144" s="83" t="e">
        <f>F144*G144</f>
        <v>#VALUE!</v>
      </c>
      <c r="I144" s="84" t="str">
        <f>CONCATENATE("a'(",C144,")=")</f>
        <v>a'(  )=</v>
      </c>
      <c r="J144" s="84" t="e">
        <f>2*J142/3*F145</f>
        <v>#VALUE!</v>
      </c>
      <c r="K144" s="84" t="e">
        <f>CONCATENATE("A(",C142,")=")</f>
        <v>#VALUE!</v>
      </c>
      <c r="L144" s="84" t="e">
        <f>VLOOKUP(C142,STN_TABLE,3,FALSE)</f>
        <v>#VALUE!</v>
      </c>
      <c r="M144" t="str">
        <f>CONCATENATE("A(",C144,")=")</f>
        <v>A(  )=</v>
      </c>
      <c r="N144" t="e">
        <f>J144+L144</f>
        <v>#VALUE!</v>
      </c>
      <c r="O144" s="99">
        <f>O143+1</f>
        <v>25</v>
      </c>
      <c r="P144" s="99" t="str">
        <f t="shared" si="65"/>
        <v xml:space="preserve">  </v>
      </c>
      <c r="Q144" s="82" t="e">
        <f>IF(P144-P143=P143-P142,P144,IF(P145-P143=P143-P142,P145,IF(P144-P143=P143-P141,P144,IF(P145-P143=P143-P141,P145,"-"))))</f>
        <v>#VALUE!</v>
      </c>
      <c r="R144" s="83" t="e">
        <f>VLOOKUP(Q144,STN_TABLE,2,FALSE)</f>
        <v>#VALUE!</v>
      </c>
      <c r="S144" s="83">
        <v>-1</v>
      </c>
      <c r="T144" s="82" t="e">
        <f>R144*S144</f>
        <v>#VALUE!</v>
      </c>
      <c r="U144" s="88">
        <v>-1</v>
      </c>
      <c r="V144" s="82" t="e">
        <f>R144*U144</f>
        <v>#VALUE!</v>
      </c>
      <c r="W144" s="84" t="str">
        <f>CONCATENATE("a'(",Q143,")=")</f>
        <v>a'(  )=</v>
      </c>
      <c r="X144" s="84" t="e">
        <f>2*X142/12*T145</f>
        <v>#VALUE!</v>
      </c>
      <c r="Y144" s="84" t="e">
        <f>CONCATENATE("A(",Q142,")=")</f>
        <v>#VALUE!</v>
      </c>
      <c r="Z144" s="84" t="e">
        <f>VLOOKUP(Q142,STN_TABLE,3,FALSE)</f>
        <v>#VALUE!</v>
      </c>
      <c r="AA144" t="str">
        <f>CONCATENATE("A(",Q143,")=")</f>
        <v>A(  )=</v>
      </c>
      <c r="AB144" t="e">
        <f>X144+Z144</f>
        <v>#VALUE!</v>
      </c>
      <c r="AC144" s="99">
        <f>AC143+1</f>
        <v>24</v>
      </c>
      <c r="AD144" s="100" t="str">
        <f>VLOOKUP(AC144,STN_TABLE_2,2,FALSE)</f>
        <v xml:space="preserve">  </v>
      </c>
      <c r="AE144" s="82" t="str">
        <f>VLOOKUP(AD144,STN_TABLE,2,FALSE)</f>
        <v xml:space="preserve">  </v>
      </c>
      <c r="AF144" s="82">
        <v>2</v>
      </c>
      <c r="AG144" s="83" t="e">
        <f>AE144*AF144</f>
        <v>#VALUE!</v>
      </c>
      <c r="AH144" s="84" t="str">
        <f>CONCATENATE("a'(",AD144,")=")</f>
        <v>a'(  )=</v>
      </c>
      <c r="AI144" s="84" t="e">
        <f>2*AI142/2*AE145</f>
        <v>#VALUE!</v>
      </c>
      <c r="AJ144" s="84" t="str">
        <f>CONCATENATE("A(",AD143,")=")</f>
        <v>A(  )=</v>
      </c>
      <c r="AK144" s="84" t="str">
        <f>VLOOKUP(AD143,STN_TABLE,3,FALSE)</f>
        <v xml:space="preserve"> </v>
      </c>
      <c r="AL144" t="str">
        <f>CONCATENATE("A(",AD144,")=")</f>
        <v>A(  )=</v>
      </c>
      <c r="AM144" t="e">
        <f>AI144+AK144</f>
        <v>#VALUE!</v>
      </c>
      <c r="AO144" s="68" t="str">
        <f>AA144</f>
        <v>A(  )=</v>
      </c>
      <c r="AP144" s="68" t="e">
        <f>VLOOKUP(AO144,Rise_Results,2,FALSE)</f>
        <v>#N/A</v>
      </c>
      <c r="AQ144" s="76" t="e">
        <f>N144</f>
        <v>#VALUE!</v>
      </c>
      <c r="AR144" s="76" t="e">
        <f>IF(OR(AB144&lt;=0,AB145&lt;=0),1/0,AB144)</f>
        <v>#VALUE!</v>
      </c>
      <c r="AS144" s="76" t="e">
        <f>AM144</f>
        <v>#VALUE!</v>
      </c>
      <c r="AT144" t="e">
        <f>IFERROR(AP144,IFERROR(AQ144,IFERROR(AR144,AS144)))</f>
        <v>#VALUE!</v>
      </c>
      <c r="AU144" s="81"/>
    </row>
    <row r="145" spans="1:47" x14ac:dyDescent="0.25">
      <c r="A145" s="84">
        <f>A144+1</f>
        <v>24</v>
      </c>
      <c r="B145" s="84" t="str">
        <f t="shared" si="69"/>
        <v xml:space="preserve">  </v>
      </c>
      <c r="F145" s="82" t="e">
        <f>SUM(F142:F144)</f>
        <v>#VALUE!</v>
      </c>
      <c r="H145" s="82" t="e">
        <f>SUM(H142:H144)</f>
        <v>#VALUE!</v>
      </c>
      <c r="I145" s="84" t="str">
        <f>CONCATENATE("m'(",C144,")=")</f>
        <v>m'(  )=</v>
      </c>
      <c r="J145" s="84" t="e">
        <f>2*(J142*(WLS))/3*H145</f>
        <v>#VALUE!</v>
      </c>
      <c r="K145" s="84" t="e">
        <f>CONCATENATE("M(",C142,")=")</f>
        <v>#VALUE!</v>
      </c>
      <c r="L145" s="84" t="e">
        <f>VLOOKUP(C142,STN_TABLE,4,FALSE)</f>
        <v>#VALUE!</v>
      </c>
      <c r="M145" t="str">
        <f>CONCATENATE("M(",C144,")=")</f>
        <v>M(  )=</v>
      </c>
      <c r="N145" t="e">
        <f>J145+L145</f>
        <v>#VALUE!</v>
      </c>
      <c r="O145" s="99">
        <f>O144+1</f>
        <v>26</v>
      </c>
      <c r="P145" s="99" t="e">
        <f t="shared" si="65"/>
        <v>#N/A</v>
      </c>
      <c r="T145" s="89" t="e">
        <f>SUM(T142:T144)</f>
        <v>#VALUE!</v>
      </c>
      <c r="V145" s="82" t="e">
        <f>SUM(V142:V144)</f>
        <v>#VALUE!</v>
      </c>
      <c r="W145" s="84" t="str">
        <f>CONCATENATE("m'(",Q143,")=")</f>
        <v>m'(  )=</v>
      </c>
      <c r="X145" s="84" t="e">
        <f>(2*(X142^2)/24*V145)+(X144*Q142*WLS)</f>
        <v>#VALUE!</v>
      </c>
      <c r="Y145" s="84" t="e">
        <f>CONCATENATE("M(",Q142,")=")</f>
        <v>#VALUE!</v>
      </c>
      <c r="Z145" s="84" t="e">
        <f>VLOOKUP(Q142,STN_TABLE,4,FALSE)</f>
        <v>#VALUE!</v>
      </c>
      <c r="AA145" t="str">
        <f>CONCATENATE("M(",Q143,")=")</f>
        <v>M(  )=</v>
      </c>
      <c r="AB145" t="e">
        <f>X145+Z145</f>
        <v>#VALUE!</v>
      </c>
      <c r="AE145" s="89">
        <f>SUM(AE143:AE144)</f>
        <v>0</v>
      </c>
      <c r="AG145" s="89" t="e">
        <f>SUM(AG143:AG144)</f>
        <v>#VALUE!</v>
      </c>
      <c r="AH145" s="84" t="str">
        <f>CONCATENATE("m'(",AD144,")=")</f>
        <v>m'(  )=</v>
      </c>
      <c r="AI145" s="84" t="e">
        <f>(2*(AI142^2)/6*AG145)+(AI144*AD143*WLS)</f>
        <v>#VALUE!</v>
      </c>
      <c r="AJ145" s="84" t="str">
        <f>CONCATENATE("M(",AD143,")=")</f>
        <v>M(  )=</v>
      </c>
      <c r="AK145" s="84" t="str">
        <f>VLOOKUP(AD143,STN_TABLE,4,FALSE)</f>
        <v xml:space="preserve"> </v>
      </c>
      <c r="AL145" t="str">
        <f>CONCATENATE("M(",AD144,")=")</f>
        <v>M(  )=</v>
      </c>
      <c r="AM145" t="e">
        <f>AI145+AK145</f>
        <v>#VALUE!</v>
      </c>
      <c r="AO145" s="82" t="str">
        <f>AA145</f>
        <v>M(  )=</v>
      </c>
      <c r="AP145" s="82" t="e">
        <f>VLOOKUP(AO145,Rise_Results,2,FALSE)</f>
        <v>#N/A</v>
      </c>
      <c r="AQ145" s="82" t="e">
        <f>N145</f>
        <v>#VALUE!</v>
      </c>
      <c r="AR145" s="82" t="e">
        <f>IF(OR(AB144&lt;=0,AB145&lt;=0),1/0,AB145)</f>
        <v>#VALUE!</v>
      </c>
      <c r="AS145" s="82" t="e">
        <f>AM145</f>
        <v>#VALUE!</v>
      </c>
      <c r="AT145" t="e">
        <f>IFERROR(AP145,IFERROR(AQ145,IFERROR(AR145,AS145)))</f>
        <v>#VALUE!</v>
      </c>
      <c r="AU145" s="81"/>
    </row>
    <row r="146" spans="1:47" x14ac:dyDescent="0.25">
      <c r="A146" s="101">
        <f>A141+1</f>
        <v>21</v>
      </c>
      <c r="B146" s="101" t="str">
        <f t="shared" si="69"/>
        <v xml:space="preserve">  </v>
      </c>
      <c r="O146" s="101">
        <f>O141+1</f>
        <v>23</v>
      </c>
      <c r="P146" s="101" t="str">
        <f t="shared" si="65"/>
        <v xml:space="preserve">  </v>
      </c>
      <c r="AU146" s="81"/>
    </row>
    <row r="147" spans="1:47" x14ac:dyDescent="0.25">
      <c r="A147" s="84">
        <f>A146+1</f>
        <v>22</v>
      </c>
      <c r="B147" s="84" t="str">
        <f t="shared" si="69"/>
        <v xml:space="preserve">  </v>
      </c>
      <c r="C147" s="79" t="e">
        <f t="shared" ref="C147" si="75">IF(C148=B149,IF(C149-C148=C148-B148,B148,IF(C149-C148=C148-B147,B147,"#NA")),IF(C148=B148,IF(C149-C148=C148-B147,B147,IF(C149-C148=C148-B146,B146,"#NA")),"#NA"))</f>
        <v>#VALUE!</v>
      </c>
      <c r="D147" s="68" t="e">
        <f>VLOOKUP(C147,STN_TABLE,2,FALSE)</f>
        <v>#VALUE!</v>
      </c>
      <c r="E147" s="102">
        <v>1</v>
      </c>
      <c r="F147" s="68" t="e">
        <f>D147*E147</f>
        <v>#VALUE!</v>
      </c>
      <c r="G147" s="69" t="e">
        <f>C147</f>
        <v>#VALUE!</v>
      </c>
      <c r="H147" s="69" t="e">
        <f>F147*G147</f>
        <v>#VALUE!</v>
      </c>
      <c r="I147" s="6" t="s">
        <v>93</v>
      </c>
      <c r="J147" s="70" t="e">
        <f>IF(OR(D147=0,D148=0,D149=0),"#NA",IF(AND(C149-C148=C148-C147,C148&lt;&gt;C149,C147&lt;&gt;C148,C147&lt;&gt;C149,D149&lt;&gt;0,OR(D147&lt;&gt;0,D148&lt;&gt;0)),WLS*(C149-C148),"#NA"))</f>
        <v>#VALUE!</v>
      </c>
      <c r="O147" s="99">
        <f>O146+1</f>
        <v>24</v>
      </c>
      <c r="P147" s="99" t="str">
        <f t="shared" si="65"/>
        <v xml:space="preserve">  </v>
      </c>
      <c r="Q147" s="68" t="e">
        <f>IF(OR(P149-P148=P148-P147,P150-P148=P148-P147),P147,IF(OR(P149-P148=P148-P146,P150-P148=P148-P146),P146,"-"))</f>
        <v>#N/A</v>
      </c>
      <c r="R147" s="69" t="e">
        <f>VLOOKUP(Q147,STN_TABLE,2,FALSE)</f>
        <v>#N/A</v>
      </c>
      <c r="S147" s="69">
        <v>5</v>
      </c>
      <c r="T147" s="68" t="e">
        <f>R147*S147</f>
        <v>#N/A</v>
      </c>
      <c r="U147" s="79">
        <v>3</v>
      </c>
      <c r="V147" s="68" t="e">
        <f>R147*U147</f>
        <v>#N/A</v>
      </c>
      <c r="W147" s="6" t="s">
        <v>93</v>
      </c>
      <c r="X147" s="70" t="e">
        <f>IF(AND(Q149-Q148=Q148-Q147,NOT(AND(Q147=0,Q148=0)),NOT(AND(Q148=0,Q149=0))),WLS*(Q149-Q148),"#NA")</f>
        <v>#N/A</v>
      </c>
      <c r="AD147" s="93"/>
      <c r="AH147" s="6" t="s">
        <v>93</v>
      </c>
      <c r="AI147" s="70" t="e">
        <f>WLS*(AD149-AD148)</f>
        <v>#VALUE!</v>
      </c>
      <c r="AU147" s="81"/>
    </row>
    <row r="148" spans="1:47" x14ac:dyDescent="0.25">
      <c r="A148" s="84">
        <f>A147+1</f>
        <v>23</v>
      </c>
      <c r="B148" s="84" t="str">
        <f t="shared" si="69"/>
        <v xml:space="preserve">  </v>
      </c>
      <c r="C148" s="80" t="e">
        <f t="shared" ref="C148" si="76">IF(OR(B150-B149=B149-B148,B150-B149=B149-B147,B150-B149=B149-B146),B149,IF(OR(B150-B148=B148-B147,B150-B148=B148-B146),B148,IF(B150-B147=B147-B146,B147,"#NA")))</f>
        <v>#VALUE!</v>
      </c>
      <c r="D148" s="76" t="e">
        <f>VLOOKUP(C148,STN_TABLE,2,FALSE)</f>
        <v>#VALUE!</v>
      </c>
      <c r="E148" s="81">
        <v>4</v>
      </c>
      <c r="F148" s="76" t="e">
        <f>D148*E148</f>
        <v>#VALUE!</v>
      </c>
      <c r="G148" s="77" t="e">
        <f>C148</f>
        <v>#VALUE!</v>
      </c>
      <c r="H148" s="77" t="e">
        <f>F148*G148</f>
        <v>#VALUE!</v>
      </c>
      <c r="I148" s="495" t="s">
        <v>97</v>
      </c>
      <c r="J148" s="496"/>
      <c r="K148" s="78" t="s">
        <v>98</v>
      </c>
      <c r="L148" s="78"/>
      <c r="M148" s="7" t="s">
        <v>99</v>
      </c>
      <c r="N148" s="7"/>
      <c r="O148" s="99">
        <f>O147+1</f>
        <v>25</v>
      </c>
      <c r="P148" s="99" t="str">
        <f t="shared" si="65"/>
        <v xml:space="preserve">  </v>
      </c>
      <c r="Q148" s="76" t="str">
        <f>P148</f>
        <v xml:space="preserve">  </v>
      </c>
      <c r="R148" s="77" t="str">
        <f>VLOOKUP(Q148,STN_TABLE,2,FALSE)</f>
        <v xml:space="preserve">  </v>
      </c>
      <c r="S148" s="77">
        <v>8</v>
      </c>
      <c r="T148" s="76" t="e">
        <f>R148*S148</f>
        <v>#VALUE!</v>
      </c>
      <c r="U148" s="80">
        <v>10</v>
      </c>
      <c r="V148" s="76" t="e">
        <f>R148*U148</f>
        <v>#VALUE!</v>
      </c>
      <c r="W148" s="496" t="s">
        <v>97</v>
      </c>
      <c r="X148" s="496"/>
      <c r="Y148" s="496" t="s">
        <v>98</v>
      </c>
      <c r="Z148" s="496"/>
      <c r="AA148" s="494" t="s">
        <v>99</v>
      </c>
      <c r="AB148" s="494"/>
      <c r="AC148" s="99">
        <f>AC143+1</f>
        <v>24</v>
      </c>
      <c r="AD148" s="95" t="str">
        <f>VLOOKUP(AC148,STN_TABLE_2,2,FALSE)</f>
        <v xml:space="preserve">  </v>
      </c>
      <c r="AE148" s="68" t="str">
        <f>VLOOKUP(AD148,STN_TABLE,2,FALSE)</f>
        <v xml:space="preserve">  </v>
      </c>
      <c r="AF148" s="68">
        <v>1</v>
      </c>
      <c r="AG148" s="69" t="e">
        <f>AE148*AF148</f>
        <v>#VALUE!</v>
      </c>
      <c r="AH148" s="496" t="s">
        <v>97</v>
      </c>
      <c r="AI148" s="496"/>
      <c r="AJ148" s="496" t="s">
        <v>98</v>
      </c>
      <c r="AK148" s="496"/>
      <c r="AL148" s="494" t="s">
        <v>99</v>
      </c>
      <c r="AM148" s="494"/>
      <c r="AP148" s="86" t="s">
        <v>112</v>
      </c>
      <c r="AQ148" s="89" t="s">
        <v>113</v>
      </c>
      <c r="AR148" s="89" t="s">
        <v>114</v>
      </c>
      <c r="AS148" s="89" t="s">
        <v>115</v>
      </c>
      <c r="AU148" s="81"/>
    </row>
    <row r="149" spans="1:47" x14ac:dyDescent="0.25">
      <c r="A149" s="84">
        <f>A148+1</f>
        <v>24</v>
      </c>
      <c r="B149" s="84" t="str">
        <f t="shared" si="69"/>
        <v xml:space="preserve">  </v>
      </c>
      <c r="C149" s="88" t="str">
        <f t="shared" ref="C149" si="77">B150</f>
        <v xml:space="preserve">  </v>
      </c>
      <c r="D149" s="82" t="str">
        <f>VLOOKUP(C149,STN_TABLE,2,FALSE)</f>
        <v xml:space="preserve">  </v>
      </c>
      <c r="E149" s="92">
        <v>1</v>
      </c>
      <c r="F149" s="82" t="e">
        <f>D149*E149</f>
        <v>#VALUE!</v>
      </c>
      <c r="G149" s="83" t="str">
        <f>C149</f>
        <v xml:space="preserve">  </v>
      </c>
      <c r="H149" s="83" t="e">
        <f>F149*G149</f>
        <v>#VALUE!</v>
      </c>
      <c r="I149" s="84" t="str">
        <f>CONCATENATE("a'(",C149,")=")</f>
        <v>a'(  )=</v>
      </c>
      <c r="J149" s="84" t="e">
        <f>2*J147/3*F150</f>
        <v>#VALUE!</v>
      </c>
      <c r="K149" s="84" t="e">
        <f>CONCATENATE("A(",C147,")=")</f>
        <v>#VALUE!</v>
      </c>
      <c r="L149" s="84" t="e">
        <f>VLOOKUP(C147,STN_TABLE,3,FALSE)</f>
        <v>#VALUE!</v>
      </c>
      <c r="M149" t="str">
        <f>CONCATENATE("A(",C149,")=")</f>
        <v>A(  )=</v>
      </c>
      <c r="N149" t="e">
        <f>J149+L149</f>
        <v>#VALUE!</v>
      </c>
      <c r="O149" s="99">
        <f>O148+1</f>
        <v>26</v>
      </c>
      <c r="P149" s="99" t="e">
        <f t="shared" si="65"/>
        <v>#N/A</v>
      </c>
      <c r="Q149" s="82" t="e">
        <f>IF(P149-P148=P148-P147,P149,IF(P150-P148=P148-P147,P150,IF(P149-P148=P148-P146,P149,IF(P150-P148=P148-P146,P150,"-"))))</f>
        <v>#N/A</v>
      </c>
      <c r="R149" s="83" t="e">
        <f>VLOOKUP(Q149,STN_TABLE,2,FALSE)</f>
        <v>#N/A</v>
      </c>
      <c r="S149" s="83">
        <v>-1</v>
      </c>
      <c r="T149" s="82" t="e">
        <f>R149*S149</f>
        <v>#N/A</v>
      </c>
      <c r="U149" s="88">
        <v>-1</v>
      </c>
      <c r="V149" s="82" t="e">
        <f>R149*U149</f>
        <v>#N/A</v>
      </c>
      <c r="W149" s="84" t="str">
        <f>CONCATENATE("a'(",Q148,")=")</f>
        <v>a'(  )=</v>
      </c>
      <c r="X149" s="84" t="e">
        <f>2*X147/12*T150</f>
        <v>#N/A</v>
      </c>
      <c r="Y149" s="84" t="e">
        <f>CONCATENATE("A(",Q147,")=")</f>
        <v>#N/A</v>
      </c>
      <c r="Z149" s="84" t="e">
        <f>VLOOKUP(Q147,STN_TABLE,3,FALSE)</f>
        <v>#N/A</v>
      </c>
      <c r="AA149" t="str">
        <f>CONCATENATE("A(",Q148,")=")</f>
        <v>A(  )=</v>
      </c>
      <c r="AB149" t="e">
        <f>X149+Z149</f>
        <v>#N/A</v>
      </c>
      <c r="AC149" s="99">
        <f>AC148+1</f>
        <v>25</v>
      </c>
      <c r="AD149" s="100" t="str">
        <f>VLOOKUP(AC149,STN_TABLE_2,2,FALSE)</f>
        <v xml:space="preserve">  </v>
      </c>
      <c r="AE149" s="82" t="str">
        <f>VLOOKUP(AD149,STN_TABLE,2,FALSE)</f>
        <v xml:space="preserve">  </v>
      </c>
      <c r="AF149" s="82">
        <v>2</v>
      </c>
      <c r="AG149" s="83" t="e">
        <f>AE149*AF149</f>
        <v>#VALUE!</v>
      </c>
      <c r="AH149" s="84" t="str">
        <f>CONCATENATE("a'(",AD149,")=")</f>
        <v>a'(  )=</v>
      </c>
      <c r="AI149" s="84" t="e">
        <f>2*AI147/2*AE150</f>
        <v>#VALUE!</v>
      </c>
      <c r="AJ149" s="84" t="str">
        <f>CONCATENATE("A(",AD148,")=")</f>
        <v>A(  )=</v>
      </c>
      <c r="AK149" s="84" t="str">
        <f>VLOOKUP(AD148,STN_TABLE,3,FALSE)</f>
        <v xml:space="preserve"> </v>
      </c>
      <c r="AL149" t="str">
        <f>CONCATENATE("A(",AD149,")=")</f>
        <v>A(  )=</v>
      </c>
      <c r="AM149" t="e">
        <f>AI149+AK149</f>
        <v>#VALUE!</v>
      </c>
      <c r="AO149" s="68" t="str">
        <f>AA149</f>
        <v>A(  )=</v>
      </c>
      <c r="AP149" s="68" t="e">
        <f>VLOOKUP(AO149,Rise_Results,2,FALSE)</f>
        <v>#N/A</v>
      </c>
      <c r="AQ149" s="76" t="e">
        <f>N149</f>
        <v>#VALUE!</v>
      </c>
      <c r="AR149" s="76" t="e">
        <f>IF(OR(AB149&lt;=0,AB150&lt;=0),1/0,AB149)</f>
        <v>#N/A</v>
      </c>
      <c r="AS149" s="76" t="e">
        <f>AM149</f>
        <v>#VALUE!</v>
      </c>
      <c r="AT149" t="e">
        <f>IFERROR(AP149,IFERROR(AQ149,IFERROR(AR149,AS149)))</f>
        <v>#VALUE!</v>
      </c>
      <c r="AU149" s="81"/>
    </row>
    <row r="150" spans="1:47" x14ac:dyDescent="0.25">
      <c r="A150" s="84">
        <f>A149+1</f>
        <v>25</v>
      </c>
      <c r="B150" s="84" t="str">
        <f t="shared" si="69"/>
        <v xml:space="preserve">  </v>
      </c>
      <c r="F150" s="82" t="e">
        <f>SUM(F147:F149)</f>
        <v>#VALUE!</v>
      </c>
      <c r="H150" s="82" t="e">
        <f>SUM(H147:H149)</f>
        <v>#VALUE!</v>
      </c>
      <c r="I150" s="84" t="str">
        <f>CONCATENATE("m'(",C149,")=")</f>
        <v>m'(  )=</v>
      </c>
      <c r="J150" s="84" t="e">
        <f>2*(J147*(WLS))/3*H150</f>
        <v>#VALUE!</v>
      </c>
      <c r="K150" s="84" t="e">
        <f>CONCATENATE("M(",C147,")=")</f>
        <v>#VALUE!</v>
      </c>
      <c r="L150" s="84" t="e">
        <f>VLOOKUP(C147,STN_TABLE,4,FALSE)</f>
        <v>#VALUE!</v>
      </c>
      <c r="M150" t="str">
        <f>CONCATENATE("M(",C149,")=")</f>
        <v>M(  )=</v>
      </c>
      <c r="N150" t="e">
        <f>J150+L150</f>
        <v>#VALUE!</v>
      </c>
      <c r="O150" s="99">
        <f>O149+1</f>
        <v>27</v>
      </c>
      <c r="P150" s="99" t="e">
        <f t="shared" si="65"/>
        <v>#N/A</v>
      </c>
      <c r="T150" s="89" t="e">
        <f>SUM(T147:T149)</f>
        <v>#N/A</v>
      </c>
      <c r="V150" s="82" t="e">
        <f>SUM(V147:V149)</f>
        <v>#N/A</v>
      </c>
      <c r="W150" s="84" t="str">
        <f>CONCATENATE("m'(",Q148,")=")</f>
        <v>m'(  )=</v>
      </c>
      <c r="X150" s="84" t="e">
        <f>(2*(X147^2)/24*V150)+(X149*Q147*WLS)</f>
        <v>#N/A</v>
      </c>
      <c r="Y150" s="84" t="e">
        <f>CONCATENATE("M(",Q147,")=")</f>
        <v>#N/A</v>
      </c>
      <c r="Z150" s="84" t="e">
        <f>VLOOKUP(Q147,STN_TABLE,4,FALSE)</f>
        <v>#N/A</v>
      </c>
      <c r="AA150" t="str">
        <f>CONCATENATE("M(",Q148,")=")</f>
        <v>M(  )=</v>
      </c>
      <c r="AB150" t="e">
        <f>X150+Z150</f>
        <v>#N/A</v>
      </c>
      <c r="AE150" s="89">
        <f>SUM(AE148:AE149)</f>
        <v>0</v>
      </c>
      <c r="AG150" s="89" t="e">
        <f>SUM(AG148:AG149)</f>
        <v>#VALUE!</v>
      </c>
      <c r="AH150" s="84" t="str">
        <f>CONCATENATE("m'(",AD149,")=")</f>
        <v>m'(  )=</v>
      </c>
      <c r="AI150" s="84" t="e">
        <f>(2*(AI147^2)/6*AG150)+(AI149*AD148*WLS)</f>
        <v>#VALUE!</v>
      </c>
      <c r="AJ150" s="84" t="str">
        <f>CONCATENATE("M(",AD148,")=")</f>
        <v>M(  )=</v>
      </c>
      <c r="AK150" s="84" t="str">
        <f>VLOOKUP(AD148,STN_TABLE,4,FALSE)</f>
        <v xml:space="preserve"> </v>
      </c>
      <c r="AL150" t="str">
        <f>CONCATENATE("M(",AD149,")=")</f>
        <v>M(  )=</v>
      </c>
      <c r="AM150" t="e">
        <f>AI150+AK150</f>
        <v>#VALUE!</v>
      </c>
      <c r="AO150" s="82" t="str">
        <f>AA150</f>
        <v>M(  )=</v>
      </c>
      <c r="AP150" s="82" t="e">
        <f>VLOOKUP(AO150,Rise_Results,2,FALSE)</f>
        <v>#N/A</v>
      </c>
      <c r="AQ150" s="82" t="e">
        <f>N150</f>
        <v>#VALUE!</v>
      </c>
      <c r="AR150" s="82" t="e">
        <f>IF(OR(AB149&lt;=0,AB150&lt;=0),1/0,AB150)</f>
        <v>#N/A</v>
      </c>
      <c r="AS150" s="82" t="e">
        <f>AM150</f>
        <v>#VALUE!</v>
      </c>
      <c r="AT150" t="e">
        <f>IFERROR(AP150,IFERROR(AQ150,IFERROR(AR150,AS150)))</f>
        <v>#VALUE!</v>
      </c>
      <c r="AU150" s="81"/>
    </row>
    <row r="151" spans="1:47" x14ac:dyDescent="0.25">
      <c r="A151" s="101"/>
      <c r="B151" s="101"/>
      <c r="AU151" s="81"/>
    </row>
    <row r="152" spans="1:47" x14ac:dyDescent="0.25">
      <c r="A152" s="84"/>
      <c r="B152" s="84"/>
      <c r="E152" s="81"/>
      <c r="F152" s="81"/>
      <c r="G152" s="81"/>
      <c r="H152" s="81"/>
      <c r="I152" s="103"/>
      <c r="J152" s="70"/>
      <c r="AU152" s="81"/>
    </row>
    <row r="153" spans="1:47" x14ac:dyDescent="0.25">
      <c r="A153" s="84"/>
      <c r="B153" s="84"/>
      <c r="E153" s="81"/>
      <c r="F153" s="81"/>
      <c r="G153" s="81"/>
      <c r="H153" s="81"/>
      <c r="I153" s="104"/>
      <c r="J153" s="78"/>
      <c r="K153" s="78"/>
      <c r="L153" s="78"/>
      <c r="M153" s="7"/>
      <c r="N153" s="7"/>
      <c r="AO153" s="81"/>
      <c r="AP153" s="81"/>
      <c r="AQ153" s="81"/>
      <c r="AR153" s="81"/>
      <c r="AS153" s="81"/>
      <c r="AT153" s="81"/>
      <c r="AU153" s="81"/>
    </row>
    <row r="154" spans="1:47" x14ac:dyDescent="0.25">
      <c r="A154" s="84"/>
      <c r="B154" s="84"/>
      <c r="E154" s="81"/>
      <c r="F154" s="81"/>
      <c r="G154" s="81"/>
      <c r="H154" s="81"/>
      <c r="I154" s="105"/>
      <c r="J154" s="84"/>
      <c r="K154" s="84"/>
      <c r="L154" s="84"/>
      <c r="AO154" s="81"/>
      <c r="AP154" s="81"/>
      <c r="AQ154" s="81"/>
      <c r="AR154" s="81"/>
      <c r="AS154" s="81"/>
      <c r="AT154" s="81"/>
      <c r="AU154" s="81"/>
    </row>
    <row r="155" spans="1:47" x14ac:dyDescent="0.25">
      <c r="A155" s="84"/>
      <c r="B155" s="84"/>
      <c r="E155" s="81"/>
      <c r="F155" s="81"/>
      <c r="G155" s="81"/>
      <c r="H155" s="81"/>
      <c r="I155" s="105"/>
      <c r="J155" s="84"/>
      <c r="K155" s="84"/>
      <c r="L155" s="84"/>
      <c r="AO155" s="81"/>
      <c r="AP155" s="81"/>
      <c r="AQ155" s="81"/>
      <c r="AR155" s="81"/>
      <c r="AS155" s="81"/>
      <c r="AT155" s="81"/>
      <c r="AU155" s="81"/>
    </row>
    <row r="156" spans="1:47" x14ac:dyDescent="0.25">
      <c r="A156" s="101"/>
      <c r="B156" s="101"/>
      <c r="E156" s="81"/>
      <c r="F156" s="81"/>
      <c r="G156" s="81"/>
      <c r="H156" s="81"/>
      <c r="I156" s="81"/>
      <c r="AO156" s="81"/>
      <c r="AP156" s="81"/>
      <c r="AQ156" s="81"/>
      <c r="AR156" s="81"/>
      <c r="AS156" s="81"/>
      <c r="AT156" s="81"/>
      <c r="AU156" s="81"/>
    </row>
    <row r="157" spans="1:47" x14ac:dyDescent="0.25">
      <c r="A157" s="84"/>
      <c r="B157" s="84"/>
      <c r="E157" s="81"/>
      <c r="F157" s="81"/>
      <c r="G157" s="81"/>
      <c r="H157" s="81"/>
      <c r="I157" s="103"/>
      <c r="J157" s="70"/>
      <c r="AO157" s="81"/>
      <c r="AP157" s="81"/>
      <c r="AQ157" s="81"/>
      <c r="AR157" s="81"/>
      <c r="AS157" s="81"/>
      <c r="AT157" s="81"/>
      <c r="AU157" s="81"/>
    </row>
    <row r="158" spans="1:47" x14ac:dyDescent="0.25">
      <c r="A158" s="84"/>
      <c r="B158" s="84"/>
      <c r="E158" s="81"/>
      <c r="F158" s="81"/>
      <c r="G158" s="81"/>
      <c r="H158" s="81"/>
      <c r="I158" s="104"/>
      <c r="J158" s="78"/>
      <c r="K158" s="78"/>
      <c r="L158" s="78"/>
      <c r="M158" s="7"/>
      <c r="N158" s="7"/>
      <c r="AO158" s="81"/>
      <c r="AP158" s="81"/>
      <c r="AQ158" s="81"/>
      <c r="AR158" s="81"/>
      <c r="AS158" s="81"/>
      <c r="AT158" s="81"/>
      <c r="AU158" s="81"/>
    </row>
    <row r="159" spans="1:47" x14ac:dyDescent="0.25">
      <c r="A159" s="84"/>
      <c r="B159" s="84"/>
      <c r="E159" s="81"/>
      <c r="F159" s="81"/>
      <c r="G159" s="81"/>
      <c r="H159" s="81"/>
      <c r="I159" s="105"/>
      <c r="J159" s="84"/>
      <c r="K159" s="84"/>
      <c r="L159" s="84"/>
      <c r="AO159" s="81"/>
      <c r="AP159" s="81"/>
      <c r="AQ159" s="81"/>
      <c r="AR159" s="81"/>
      <c r="AS159" s="81"/>
      <c r="AT159" s="81"/>
      <c r="AU159" s="81"/>
    </row>
    <row r="160" spans="1:47" x14ac:dyDescent="0.25">
      <c r="A160" s="84"/>
      <c r="B160" s="84"/>
      <c r="E160" s="81"/>
      <c r="F160" s="81"/>
      <c r="G160" s="81"/>
      <c r="H160" s="81"/>
      <c r="I160" s="105"/>
      <c r="J160" s="84"/>
      <c r="K160" s="84"/>
      <c r="L160" s="84"/>
      <c r="AO160" s="81"/>
      <c r="AP160" s="81"/>
      <c r="AQ160" s="81"/>
      <c r="AR160" s="81"/>
      <c r="AS160" s="81"/>
      <c r="AT160" s="81"/>
      <c r="AU160" s="81"/>
    </row>
    <row r="161" spans="1:47" x14ac:dyDescent="0.25">
      <c r="A161" s="101"/>
      <c r="B161" s="101"/>
      <c r="E161" s="81"/>
      <c r="F161" s="81"/>
      <c r="G161" s="81"/>
      <c r="H161" s="81"/>
      <c r="I161" s="81"/>
      <c r="AO161" s="81"/>
      <c r="AP161" s="81"/>
      <c r="AQ161" s="81"/>
      <c r="AR161" s="81"/>
      <c r="AS161" s="81"/>
      <c r="AT161" s="81"/>
      <c r="AU161" s="81"/>
    </row>
    <row r="162" spans="1:47" x14ac:dyDescent="0.25">
      <c r="A162" s="84"/>
      <c r="B162" s="84"/>
      <c r="E162" s="81"/>
      <c r="F162" s="81"/>
      <c r="G162" s="81"/>
      <c r="H162" s="81"/>
      <c r="I162" s="103"/>
      <c r="J162" s="70"/>
      <c r="AO162" s="81"/>
      <c r="AP162" s="81"/>
      <c r="AQ162" s="81"/>
      <c r="AR162" s="81"/>
      <c r="AS162" s="81"/>
      <c r="AT162" s="81"/>
      <c r="AU162" s="81"/>
    </row>
    <row r="163" spans="1:47" x14ac:dyDescent="0.25">
      <c r="A163" s="84"/>
      <c r="B163" s="84"/>
      <c r="E163" s="81"/>
      <c r="F163" s="81"/>
      <c r="G163" s="81"/>
      <c r="H163" s="81"/>
      <c r="I163" s="104"/>
      <c r="J163" s="78"/>
      <c r="K163" s="78"/>
      <c r="L163" s="78"/>
      <c r="M163" s="7"/>
      <c r="N163" s="7"/>
      <c r="AO163" s="81"/>
      <c r="AP163" s="81"/>
      <c r="AQ163" s="81"/>
      <c r="AR163" s="81"/>
      <c r="AS163" s="81"/>
      <c r="AT163" s="81"/>
      <c r="AU163" s="81"/>
    </row>
    <row r="164" spans="1:47" x14ac:dyDescent="0.25">
      <c r="A164" s="84"/>
      <c r="B164" s="84"/>
      <c r="E164" s="81"/>
      <c r="F164" s="81"/>
      <c r="G164" s="81"/>
      <c r="H164" s="81"/>
      <c r="I164" s="105"/>
      <c r="J164" s="84"/>
      <c r="K164" s="84"/>
      <c r="L164" s="84"/>
    </row>
    <row r="165" spans="1:47" x14ac:dyDescent="0.25">
      <c r="A165" s="84"/>
      <c r="B165" s="84"/>
      <c r="E165" s="81"/>
      <c r="F165" s="81"/>
      <c r="G165" s="81"/>
      <c r="H165" s="81"/>
      <c r="I165" s="105"/>
      <c r="J165" s="84"/>
      <c r="K165" s="84"/>
      <c r="L165" s="84"/>
    </row>
    <row r="166" spans="1:47" x14ac:dyDescent="0.25">
      <c r="A166" s="101"/>
      <c r="B166" s="101"/>
      <c r="E166" s="81"/>
      <c r="F166" s="81"/>
      <c r="G166" s="81"/>
      <c r="H166" s="81"/>
      <c r="I166" s="81"/>
    </row>
    <row r="167" spans="1:47" x14ac:dyDescent="0.25">
      <c r="A167" s="84"/>
      <c r="B167" s="84"/>
      <c r="E167" s="81"/>
      <c r="F167" s="81"/>
      <c r="G167" s="81"/>
      <c r="H167" s="81"/>
      <c r="I167" s="103"/>
      <c r="J167" s="70"/>
    </row>
    <row r="168" spans="1:47" x14ac:dyDescent="0.25">
      <c r="A168" s="84"/>
      <c r="B168" s="84"/>
      <c r="E168" s="81"/>
      <c r="F168" s="81"/>
      <c r="G168" s="81"/>
      <c r="H168" s="81"/>
      <c r="I168" s="104"/>
      <c r="J168" s="78"/>
      <c r="K168" s="78"/>
      <c r="L168" s="78"/>
      <c r="M168" s="7"/>
      <c r="N168" s="7"/>
    </row>
    <row r="169" spans="1:47" x14ac:dyDescent="0.25">
      <c r="A169" s="84"/>
      <c r="B169" s="84"/>
      <c r="E169" s="81"/>
      <c r="F169" s="81"/>
      <c r="G169" s="81"/>
      <c r="H169" s="81"/>
      <c r="I169" s="105"/>
      <c r="J169" s="84"/>
      <c r="K169" s="84"/>
      <c r="L169" s="84"/>
    </row>
    <row r="170" spans="1:47" x14ac:dyDescent="0.25">
      <c r="A170" s="84"/>
      <c r="B170" s="84"/>
      <c r="E170" s="81"/>
      <c r="F170" s="81"/>
      <c r="G170" s="81"/>
      <c r="H170" s="81"/>
      <c r="I170" s="105"/>
      <c r="J170" s="84"/>
      <c r="K170" s="84"/>
      <c r="L170" s="84"/>
    </row>
    <row r="171" spans="1:47" x14ac:dyDescent="0.25">
      <c r="E171" s="81"/>
      <c r="F171" s="81"/>
      <c r="G171" s="81"/>
      <c r="H171" s="81"/>
      <c r="I171" s="81"/>
    </row>
  </sheetData>
  <sheetProtection selectLockedCells="1" selectUnlockedCells="1"/>
  <mergeCells count="167">
    <mergeCell ref="A1:B1"/>
    <mergeCell ref="E1:F1"/>
    <mergeCell ref="L1:M1"/>
    <mergeCell ref="W33:X33"/>
    <mergeCell ref="Y33:Z33"/>
    <mergeCell ref="AA33:AB33"/>
    <mergeCell ref="AH33:AI33"/>
    <mergeCell ref="AJ33:AK33"/>
    <mergeCell ref="AL33:AM33"/>
    <mergeCell ref="I38:J38"/>
    <mergeCell ref="W38:X38"/>
    <mergeCell ref="Y38:Z38"/>
    <mergeCell ref="AA38:AB38"/>
    <mergeCell ref="AH38:AI38"/>
    <mergeCell ref="AJ38:AK38"/>
    <mergeCell ref="AL38:AM38"/>
    <mergeCell ref="AL43:AM43"/>
    <mergeCell ref="I48:J48"/>
    <mergeCell ref="W48:X48"/>
    <mergeCell ref="Y48:Z48"/>
    <mergeCell ref="AA48:AB48"/>
    <mergeCell ref="AH48:AI48"/>
    <mergeCell ref="AJ48:AK48"/>
    <mergeCell ref="AL48:AM48"/>
    <mergeCell ref="I43:J43"/>
    <mergeCell ref="W43:X43"/>
    <mergeCell ref="Y43:Z43"/>
    <mergeCell ref="AA43:AB43"/>
    <mergeCell ref="AH43:AI43"/>
    <mergeCell ref="AJ43:AK43"/>
    <mergeCell ref="AL53:AM53"/>
    <mergeCell ref="I58:J58"/>
    <mergeCell ref="AH58:AI58"/>
    <mergeCell ref="AJ58:AK58"/>
    <mergeCell ref="AL58:AM58"/>
    <mergeCell ref="I63:J63"/>
    <mergeCell ref="W63:X63"/>
    <mergeCell ref="Y63:Z63"/>
    <mergeCell ref="AA63:AB63"/>
    <mergeCell ref="AH63:AI63"/>
    <mergeCell ref="I53:J53"/>
    <mergeCell ref="W53:X53"/>
    <mergeCell ref="Y53:Z53"/>
    <mergeCell ref="AA53:AB53"/>
    <mergeCell ref="AH53:AI53"/>
    <mergeCell ref="AJ53:AK53"/>
    <mergeCell ref="AJ63:AK63"/>
    <mergeCell ref="AL63:AM63"/>
    <mergeCell ref="I68:J68"/>
    <mergeCell ref="W68:X68"/>
    <mergeCell ref="Y68:Z68"/>
    <mergeCell ref="AA68:AB68"/>
    <mergeCell ref="AH68:AI68"/>
    <mergeCell ref="AJ68:AK68"/>
    <mergeCell ref="AL68:AM68"/>
    <mergeCell ref="AL73:AM73"/>
    <mergeCell ref="I78:J78"/>
    <mergeCell ref="W78:X78"/>
    <mergeCell ref="Y78:Z78"/>
    <mergeCell ref="AA78:AB78"/>
    <mergeCell ref="AH78:AI78"/>
    <mergeCell ref="AJ78:AK78"/>
    <mergeCell ref="AL78:AM78"/>
    <mergeCell ref="I73:J73"/>
    <mergeCell ref="W73:X73"/>
    <mergeCell ref="Y73:Z73"/>
    <mergeCell ref="AA73:AB73"/>
    <mergeCell ref="AH73:AI73"/>
    <mergeCell ref="AJ73:AK73"/>
    <mergeCell ref="AL83:AM83"/>
    <mergeCell ref="I88:J88"/>
    <mergeCell ref="W88:X88"/>
    <mergeCell ref="Y88:Z88"/>
    <mergeCell ref="AA88:AB88"/>
    <mergeCell ref="AH88:AI88"/>
    <mergeCell ref="AJ88:AK88"/>
    <mergeCell ref="AL88:AM88"/>
    <mergeCell ref="I83:J83"/>
    <mergeCell ref="W83:X83"/>
    <mergeCell ref="Y83:Z83"/>
    <mergeCell ref="AA83:AB83"/>
    <mergeCell ref="AH83:AI83"/>
    <mergeCell ref="AJ83:AK83"/>
    <mergeCell ref="AL93:AM93"/>
    <mergeCell ref="I98:J98"/>
    <mergeCell ref="W98:X98"/>
    <mergeCell ref="Y98:Z98"/>
    <mergeCell ref="AA98:AB98"/>
    <mergeCell ref="AH98:AI98"/>
    <mergeCell ref="AJ98:AK98"/>
    <mergeCell ref="AL98:AM98"/>
    <mergeCell ref="I93:J93"/>
    <mergeCell ref="W93:X93"/>
    <mergeCell ref="Y93:Z93"/>
    <mergeCell ref="AA93:AB93"/>
    <mergeCell ref="AH93:AI93"/>
    <mergeCell ref="AJ93:AK93"/>
    <mergeCell ref="AL103:AM103"/>
    <mergeCell ref="I108:J108"/>
    <mergeCell ref="W108:X108"/>
    <mergeCell ref="Y108:Z108"/>
    <mergeCell ref="AA108:AB108"/>
    <mergeCell ref="AH108:AI108"/>
    <mergeCell ref="AJ108:AK108"/>
    <mergeCell ref="AL108:AM108"/>
    <mergeCell ref="I103:J103"/>
    <mergeCell ref="W103:X103"/>
    <mergeCell ref="Y103:Z103"/>
    <mergeCell ref="AA103:AB103"/>
    <mergeCell ref="AH103:AI103"/>
    <mergeCell ref="AJ103:AK103"/>
    <mergeCell ref="AL113:AM113"/>
    <mergeCell ref="I118:J118"/>
    <mergeCell ref="W118:X118"/>
    <mergeCell ref="Y118:Z118"/>
    <mergeCell ref="AA118:AB118"/>
    <mergeCell ref="AH118:AI118"/>
    <mergeCell ref="AJ118:AK118"/>
    <mergeCell ref="AL118:AM118"/>
    <mergeCell ref="I113:J113"/>
    <mergeCell ref="W113:X113"/>
    <mergeCell ref="Y113:Z113"/>
    <mergeCell ref="AA113:AB113"/>
    <mergeCell ref="AH113:AI113"/>
    <mergeCell ref="AJ113:AK113"/>
    <mergeCell ref="AL123:AM123"/>
    <mergeCell ref="I128:J128"/>
    <mergeCell ref="W128:X128"/>
    <mergeCell ref="Y128:Z128"/>
    <mergeCell ref="AA128:AB128"/>
    <mergeCell ref="AH128:AI128"/>
    <mergeCell ref="AJ128:AK128"/>
    <mergeCell ref="AL128:AM128"/>
    <mergeCell ref="I123:J123"/>
    <mergeCell ref="W123:X123"/>
    <mergeCell ref="Y123:Z123"/>
    <mergeCell ref="AA123:AB123"/>
    <mergeCell ref="AH123:AI123"/>
    <mergeCell ref="AJ123:AK123"/>
    <mergeCell ref="AL133:AM133"/>
    <mergeCell ref="I138:J138"/>
    <mergeCell ref="W138:X138"/>
    <mergeCell ref="Y138:Z138"/>
    <mergeCell ref="AA138:AB138"/>
    <mergeCell ref="AH138:AI138"/>
    <mergeCell ref="AJ138:AK138"/>
    <mergeCell ref="AL138:AM138"/>
    <mergeCell ref="I133:J133"/>
    <mergeCell ref="W133:X133"/>
    <mergeCell ref="Y133:Z133"/>
    <mergeCell ref="AA133:AB133"/>
    <mergeCell ref="AH133:AI133"/>
    <mergeCell ref="AJ133:AK133"/>
    <mergeCell ref="AL143:AM143"/>
    <mergeCell ref="I148:J148"/>
    <mergeCell ref="W148:X148"/>
    <mergeCell ref="Y148:Z148"/>
    <mergeCell ref="AA148:AB148"/>
    <mergeCell ref="AH148:AI148"/>
    <mergeCell ref="AJ148:AK148"/>
    <mergeCell ref="AL148:AM148"/>
    <mergeCell ref="I143:J143"/>
    <mergeCell ref="W143:X143"/>
    <mergeCell ref="Y143:Z143"/>
    <mergeCell ref="AA143:AB143"/>
    <mergeCell ref="AH143:AI143"/>
    <mergeCell ref="AJ143:AK143"/>
  </mergeCells>
  <pageMargins left="0.7" right="0.7" top="0.75" bottom="0.75" header="0.3" footer="0.3"/>
  <pageSetup paperSize="9"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AU171"/>
  <sheetViews>
    <sheetView topLeftCell="N1" workbookViewId="0">
      <pane ySplit="1" topLeftCell="A8" activePane="bottomLeft" state="frozen"/>
      <selection activeCell="AG8" sqref="AG8:AG10"/>
      <selection pane="bottomLeft" activeCell="AG8" sqref="AG8:AG10"/>
    </sheetView>
  </sheetViews>
  <sheetFormatPr defaultRowHeight="15" x14ac:dyDescent="0.25"/>
  <sheetData>
    <row r="1" spans="1:46" x14ac:dyDescent="0.25">
      <c r="A1" s="494" t="s">
        <v>90</v>
      </c>
      <c r="B1" s="494"/>
      <c r="C1">
        <f>HLOOKUP(Stn_WL,OFFSET_A,Count_STN+1,FALSE)</f>
        <v>9</v>
      </c>
      <c r="E1" s="494" t="s">
        <v>91</v>
      </c>
      <c r="F1" s="494"/>
      <c r="G1" t="str">
        <f>VLOOKUP(Station_No,RISE_CALC,2,FALSE)</f>
        <v>-</v>
      </c>
      <c r="L1" s="494" t="s">
        <v>92</v>
      </c>
      <c r="M1" s="494"/>
      <c r="N1">
        <v>12</v>
      </c>
    </row>
    <row r="2" spans="1:46" x14ac:dyDescent="0.25">
      <c r="Q2" s="66" t="str">
        <f t="shared" ref="Q2:R6" si="0">G4</f>
        <v>Rise</v>
      </c>
      <c r="R2" s="67" t="e">
        <f t="shared" si="0"/>
        <v>#VALUE!</v>
      </c>
      <c r="S2" s="68" t="e">
        <f>IF(OR(R5-R4=R4-R3,R6-R4=R4-R3),R3,IF(OR(R5-R4=R4-R2,R6-R4=R4-R2),R2,"-"))</f>
        <v>#VALUE!</v>
      </c>
      <c r="T2" s="69" t="e">
        <f>IFERROR(VLOOKUP(S2,STN_TABLE,2,FALSE),IF(R2=RisePerWLS,0,"-"))</f>
        <v>#VALUE!</v>
      </c>
      <c r="U2" s="69">
        <v>5</v>
      </c>
      <c r="V2" s="69" t="e">
        <f>T2*U2</f>
        <v>#VALUE!</v>
      </c>
      <c r="W2" s="69">
        <v>3</v>
      </c>
      <c r="X2" s="69" t="e">
        <f>T2*W2</f>
        <v>#VALUE!</v>
      </c>
      <c r="Y2" s="6" t="s">
        <v>93</v>
      </c>
      <c r="Z2" s="70" t="e">
        <f>IF(AND(S4-S3=S3-S2,NOT(AND(S2=0,S3=0)),NOT(AND(S3=0,S4=0))),WLS*(S4-S3),"#NA")</f>
        <v>#VALUE!</v>
      </c>
      <c r="AE2" s="71" t="s">
        <v>94</v>
      </c>
    </row>
    <row r="3" spans="1:46" x14ac:dyDescent="0.25">
      <c r="B3" s="72" t="s">
        <v>0</v>
      </c>
      <c r="C3" s="73" t="s">
        <v>95</v>
      </c>
      <c r="D3" s="73" t="s">
        <v>18</v>
      </c>
      <c r="E3" s="74" t="s">
        <v>20</v>
      </c>
      <c r="H3" s="75" t="s">
        <v>96</v>
      </c>
      <c r="K3" t="str">
        <f>IF(Rise=0,"(Not considered)","(Considered)")</f>
        <v>(Considered)</v>
      </c>
      <c r="Q3" s="66" t="str">
        <f t="shared" si="0"/>
        <v>1st_UWL</v>
      </c>
      <c r="R3" s="67" t="str">
        <f t="shared" si="0"/>
        <v>#NA</v>
      </c>
      <c r="S3" s="76" t="str">
        <f>R4</f>
        <v>#NA</v>
      </c>
      <c r="T3" s="77" t="e">
        <f>VLOOKUP(S3,STN_TABLE,2,FALSE)</f>
        <v>#N/A</v>
      </c>
      <c r="U3" s="77">
        <v>8</v>
      </c>
      <c r="V3" s="77" t="e">
        <f>T3*U3</f>
        <v>#N/A</v>
      </c>
      <c r="W3" s="77">
        <v>10</v>
      </c>
      <c r="X3" s="77" t="e">
        <f>T3*W3</f>
        <v>#N/A</v>
      </c>
      <c r="Y3" s="78" t="s">
        <v>97</v>
      </c>
      <c r="Z3" s="78"/>
      <c r="AA3" s="78" t="s">
        <v>98</v>
      </c>
      <c r="AB3" s="78"/>
      <c r="AC3" s="7" t="s">
        <v>99</v>
      </c>
      <c r="AD3" s="7"/>
      <c r="AE3" s="66" t="str">
        <f t="shared" ref="AE3:AF7" si="1">G4</f>
        <v>Rise</v>
      </c>
      <c r="AF3" s="67" t="e">
        <f t="shared" si="1"/>
        <v>#VALUE!</v>
      </c>
      <c r="AG3" s="79" t="e">
        <f>IF(AF7-AF6=AF6-AF5,AF5,IF(OR(AF7-AF6=AF6-AF4,AF7-AF5=AF5-AF4),AF4,IF(OR(AF7-AF6=AF6-AF3,AF7-AF5=AF5-AF3,AF7-AF4=AF4-AF3),AF3,"#NA")))</f>
        <v>#VALUE!</v>
      </c>
      <c r="AH3" s="69" t="e">
        <f>IFERROR(VLOOKUP(AG3,STN_TABLE,2,FALSE),IF(AF3=RisePerWLS,0,"-"))</f>
        <v>#VALUE!</v>
      </c>
      <c r="AI3" s="69">
        <v>1</v>
      </c>
      <c r="AJ3" s="69" t="e">
        <f>AH3*AI3</f>
        <v>#VALUE!</v>
      </c>
      <c r="AK3" s="69" t="e">
        <f>AG3</f>
        <v>#VALUE!</v>
      </c>
      <c r="AL3" s="69" t="e">
        <f>AJ3*AK3</f>
        <v>#VALUE!</v>
      </c>
      <c r="AM3" s="6" t="s">
        <v>93</v>
      </c>
      <c r="AN3" s="70" t="e">
        <f>IF(AND(AH3=0,AH4=0,AH5=0),WLS*(AG5-AG4),IF(AND(AG5-AG4=AG4-AG3,AG4&lt;&gt;AG5,AG3&lt;&gt;AG4,AG3&lt;&gt;AG5,AH5&lt;&gt;0,OR(AH3&lt;&gt;0,AH4&lt;&gt;0)),WLS*(AG5-AG4),"#NA"))</f>
        <v>#VALUE!</v>
      </c>
    </row>
    <row r="4" spans="1:46" x14ac:dyDescent="0.25">
      <c r="A4">
        <v>1</v>
      </c>
      <c r="B4" s="80">
        <f t="shared" ref="B4:B28" si="2">VLOOKUP(Stn_WL,OFFSET_A,A4+1,FALSE)</f>
        <v>0</v>
      </c>
      <c r="C4" s="81">
        <f t="shared" ref="C4:C28" si="3">VLOOKUP(Station_No,OFFSET_A,A4+1,FALSE)</f>
        <v>9.6999999999999993</v>
      </c>
      <c r="D4" s="81">
        <v>0</v>
      </c>
      <c r="E4" s="77">
        <v>0</v>
      </c>
      <c r="G4" t="s">
        <v>100</v>
      </c>
      <c r="H4" t="e">
        <f>Rise/WLS</f>
        <v>#VALUE!</v>
      </c>
      <c r="K4" t="str">
        <f>CONCATENATE("A(",H5,")=")</f>
        <v>A(#NA)=</v>
      </c>
      <c r="L4" t="e">
        <f>IFERROR(N18,N22)</f>
        <v>#VALUE!</v>
      </c>
      <c r="Q4" s="66" t="str">
        <f t="shared" si="0"/>
        <v>2nd_UWL</v>
      </c>
      <c r="R4" s="67" t="str">
        <f t="shared" si="0"/>
        <v>#NA</v>
      </c>
      <c r="S4" s="82" t="e">
        <f>IF((S2-S3)=S3-R5,R5,IF(S2-S3=S3-R6,R6,"-"))</f>
        <v>#VALUE!</v>
      </c>
      <c r="T4" s="83" t="e">
        <f>VLOOKUP(S4,STN_TABLE,2,FALSE)</f>
        <v>#VALUE!</v>
      </c>
      <c r="U4" s="83">
        <v>-1</v>
      </c>
      <c r="V4" s="83" t="e">
        <f>T4*U4</f>
        <v>#VALUE!</v>
      </c>
      <c r="W4" s="83">
        <v>-1</v>
      </c>
      <c r="X4" s="83" t="e">
        <f>T4*W4</f>
        <v>#VALUE!</v>
      </c>
      <c r="Y4" s="84" t="str">
        <f>CONCATENATE("a'(",S3,")=")</f>
        <v>a'(#NA)=</v>
      </c>
      <c r="Z4" s="85" t="e">
        <f>2*Z2/12*V5</f>
        <v>#VALUE!</v>
      </c>
      <c r="AA4" s="84" t="e">
        <f>CONCATENATE("A(",S2,")=")</f>
        <v>#VALUE!</v>
      </c>
      <c r="AB4" s="84" t="e">
        <f>IF(S2=RisePerWLS,0,VLOOKUP(S2,STN_TABLE,3,FALSE))</f>
        <v>#VALUE!</v>
      </c>
      <c r="AC4" t="str">
        <f>CONCATENATE("A(",S3,")=")</f>
        <v>A(#NA)=</v>
      </c>
      <c r="AD4" t="e">
        <f>Z4+AB4</f>
        <v>#VALUE!</v>
      </c>
      <c r="AE4" s="66" t="str">
        <f t="shared" si="1"/>
        <v>1st_UWL</v>
      </c>
      <c r="AF4" s="67" t="str">
        <f t="shared" si="1"/>
        <v>#NA</v>
      </c>
      <c r="AG4" s="80" t="e">
        <f>IF(OR(AF7-AF6=AF6-AF5,AF7-AF6=AF6-AF4,AF7-AF6=AF6-AF3),AF6,IF(OR(AF7-AF5=AF5-AF4,AF7-AF5=AF5-AF3),AF5,IF(AF7-AF4=AF4-AF3,AF4,"#NA")))</f>
        <v>#VALUE!</v>
      </c>
      <c r="AH4" s="77" t="e">
        <f>VLOOKUP(AG4,STN_TABLE,2,FALSE)</f>
        <v>#VALUE!</v>
      </c>
      <c r="AI4" s="77">
        <v>4</v>
      </c>
      <c r="AJ4" s="77" t="e">
        <f>AH4*AI4</f>
        <v>#VALUE!</v>
      </c>
      <c r="AK4" s="77" t="e">
        <f>AG4</f>
        <v>#VALUE!</v>
      </c>
      <c r="AL4" s="77" t="e">
        <f>AJ4*AK4</f>
        <v>#VALUE!</v>
      </c>
      <c r="AM4" s="78" t="s">
        <v>97</v>
      </c>
      <c r="AN4" s="78"/>
      <c r="AO4" s="78" t="s">
        <v>98</v>
      </c>
      <c r="AP4" s="78"/>
      <c r="AQ4" s="7" t="s">
        <v>99</v>
      </c>
      <c r="AR4" s="7"/>
      <c r="AS4" s="7"/>
      <c r="AT4" s="7"/>
    </row>
    <row r="5" spans="1:46" x14ac:dyDescent="0.25">
      <c r="A5">
        <v>2</v>
      </c>
      <c r="B5" s="80">
        <f t="shared" si="2"/>
        <v>0.25</v>
      </c>
      <c r="C5" s="81">
        <f t="shared" si="3"/>
        <v>10.45</v>
      </c>
      <c r="D5" s="81">
        <f t="shared" ref="D5:D28" si="4">IFERROR(VLOOKUP(CONCATENATE("A(",B5,")="),RESULT_TABLE,6,FALSE)," ")</f>
        <v>10.112499999999999</v>
      </c>
      <c r="E5" s="77">
        <f t="shared" ref="E5:E28" si="5">IFERROR(VLOOKUP(CONCATENATE("M(",B5,")="),RESULT_TABLE,6,FALSE)," ")</f>
        <v>2.5593749999999997</v>
      </c>
      <c r="G5" t="s">
        <v>101</v>
      </c>
      <c r="H5" t="str">
        <f>VLOOKUP(Station_No,RISE_CALC,4,FALSE)</f>
        <v>#NA</v>
      </c>
      <c r="K5" t="str">
        <f>CONCATENATE("M(",H5,")=")</f>
        <v>M(#NA)=</v>
      </c>
      <c r="L5" t="e">
        <f>IFERROR(N19,N23)</f>
        <v>#VALUE!</v>
      </c>
      <c r="Q5" s="66" t="str">
        <f t="shared" si="0"/>
        <v>3rd_UWL</v>
      </c>
      <c r="R5" s="67" t="str">
        <f t="shared" si="0"/>
        <v>#NA</v>
      </c>
      <c r="V5" s="86" t="e">
        <f>SUM(V2:V4)</f>
        <v>#VALUE!</v>
      </c>
      <c r="X5" s="87" t="e">
        <f>SUM(X2:X4)</f>
        <v>#VALUE!</v>
      </c>
      <c r="Y5" s="84" t="str">
        <f>CONCATENATE("m'(",S3,")=")</f>
        <v>m'(#NA)=</v>
      </c>
      <c r="Z5" s="85" t="e">
        <f>(2*(Z2^2)/24*X5)+(Z4*S2*WLS)</f>
        <v>#VALUE!</v>
      </c>
      <c r="AA5" s="84" t="e">
        <f>CONCATENATE("M(",S2,")=")</f>
        <v>#VALUE!</v>
      </c>
      <c r="AB5" s="84" t="e">
        <f>IF(S2=RisePerWLS,0,VLOOKUP(S2,STN_TABLE,4,FALSE))</f>
        <v>#VALUE!</v>
      </c>
      <c r="AC5" t="str">
        <f>CONCATENATE("M(",S3,")=")</f>
        <v>M(#NA)=</v>
      </c>
      <c r="AD5" t="e">
        <f>Z5+AB5</f>
        <v>#VALUE!</v>
      </c>
      <c r="AE5" s="66" t="str">
        <f t="shared" si="1"/>
        <v>2nd_UWL</v>
      </c>
      <c r="AF5" s="67" t="str">
        <f t="shared" si="1"/>
        <v>#NA</v>
      </c>
      <c r="AG5" s="88" t="str">
        <f>AF7</f>
        <v>#NA</v>
      </c>
      <c r="AH5" s="83" t="e">
        <f>VLOOKUP(AG5,STN_TABLE,2,FALSE)</f>
        <v>#N/A</v>
      </c>
      <c r="AI5" s="83">
        <v>1</v>
      </c>
      <c r="AJ5" s="83" t="e">
        <f>AH5*AI5</f>
        <v>#N/A</v>
      </c>
      <c r="AK5" s="83" t="str">
        <f>AG5</f>
        <v>#NA</v>
      </c>
      <c r="AL5" s="83" t="e">
        <f>AJ5*AK5</f>
        <v>#N/A</v>
      </c>
      <c r="AM5" s="84" t="str">
        <f>CONCATENATE("a'(",AG5,")=")</f>
        <v>a'(#NA)=</v>
      </c>
      <c r="AN5" s="84" t="e">
        <f>2*AN3/3*AJ6</f>
        <v>#VALUE!</v>
      </c>
      <c r="AO5" s="84" t="e">
        <f>CONCATENATE("A(",AG3,")=")</f>
        <v>#VALUE!</v>
      </c>
      <c r="AP5" s="84" t="e">
        <f>IF(AG3=RisePerWLS,0,VLOOKUP(AG3,STN_TABLE,3,FALSE))</f>
        <v>#VALUE!</v>
      </c>
      <c r="AQ5" t="str">
        <f>CONCATENATE("A(",AG5,")=")</f>
        <v>A(#NA)=</v>
      </c>
      <c r="AR5" t="e">
        <f>AN5+AP5</f>
        <v>#VALUE!</v>
      </c>
    </row>
    <row r="6" spans="1:46" x14ac:dyDescent="0.25">
      <c r="A6">
        <v>3</v>
      </c>
      <c r="B6" s="80">
        <f t="shared" si="2"/>
        <v>0.5</v>
      </c>
      <c r="C6" s="81">
        <f t="shared" si="3"/>
        <v>10.75</v>
      </c>
      <c r="D6" s="81">
        <f t="shared" si="4"/>
        <v>20.75</v>
      </c>
      <c r="E6" s="77">
        <f t="shared" si="5"/>
        <v>10.549999999999999</v>
      </c>
      <c r="G6" t="s">
        <v>102</v>
      </c>
      <c r="H6" t="str">
        <f>VLOOKUP(Station_No,RISE_CALC,5,FALSE)</f>
        <v>#NA</v>
      </c>
      <c r="K6" t="str">
        <f>CONCATENATE("A(",H6,")=")</f>
        <v>A(#NA)=</v>
      </c>
      <c r="L6" t="e">
        <f>IFERROR(P27,IFERROR(X6,AD9))</f>
        <v>#VALUE!</v>
      </c>
      <c r="Q6" s="66" t="str">
        <f t="shared" si="0"/>
        <v>4th_UWL</v>
      </c>
      <c r="R6" s="67" t="str">
        <f t="shared" si="0"/>
        <v>#NA</v>
      </c>
      <c r="U6" t="s">
        <v>103</v>
      </c>
      <c r="W6" t="str">
        <f>CONCATENATE("A(",S3,")=")</f>
        <v>A(#NA)=</v>
      </c>
      <c r="X6" t="e">
        <f>IF(OR(AD4&lt;=0,AD5&lt;=0),AD9,AD4)</f>
        <v>#VALUE!</v>
      </c>
      <c r="AE6" s="66" t="str">
        <f t="shared" si="1"/>
        <v>3rd_UWL</v>
      </c>
      <c r="AF6" s="67" t="str">
        <f t="shared" si="1"/>
        <v>#NA</v>
      </c>
      <c r="AJ6" s="89" t="e">
        <f>SUM(AJ3:AJ5)</f>
        <v>#VALUE!</v>
      </c>
      <c r="AL6" s="89" t="e">
        <f>SUM(AL3:AL5)</f>
        <v>#VALUE!</v>
      </c>
      <c r="AM6" s="84" t="str">
        <f>CONCATENATE("m'(",AG5,")=")</f>
        <v>m'(#NA)=</v>
      </c>
      <c r="AN6" s="84" t="e">
        <f>2*(AN3*WLS)/3*AL6</f>
        <v>#VALUE!</v>
      </c>
      <c r="AO6" s="84" t="e">
        <f>CONCATENATE("M(",AG3,")=")</f>
        <v>#VALUE!</v>
      </c>
      <c r="AP6" s="84" t="e">
        <f>IF(AG3=RisePerWLS,0,VLOOKUP(AG3,STN_TABLE,4,FALSE))</f>
        <v>#VALUE!</v>
      </c>
      <c r="AQ6" t="str">
        <f>CONCATENATE("M(",AG5,")=")</f>
        <v>M(#NA)=</v>
      </c>
      <c r="AR6" t="e">
        <f>AN6+AP6</f>
        <v>#VALUE!</v>
      </c>
    </row>
    <row r="7" spans="1:46" x14ac:dyDescent="0.25">
      <c r="A7">
        <v>4</v>
      </c>
      <c r="B7" s="80">
        <f t="shared" si="2"/>
        <v>0.75</v>
      </c>
      <c r="C7" s="81">
        <f t="shared" si="3"/>
        <v>10.93</v>
      </c>
      <c r="D7" s="81">
        <f t="shared" si="4"/>
        <v>31.572499999999998</v>
      </c>
      <c r="E7" s="77">
        <f t="shared" si="5"/>
        <v>24.099374999999998</v>
      </c>
      <c r="G7" t="s">
        <v>104</v>
      </c>
      <c r="H7" t="str">
        <f>VLOOKUP(Station_No,RISE_CALC,6,FALSE)</f>
        <v>#NA</v>
      </c>
      <c r="K7" t="str">
        <f>CONCATENATE("M(",H6,")=")</f>
        <v>M(#NA)=</v>
      </c>
      <c r="L7" t="e">
        <f>IFERROR(P28,IFERROR(X7,AD10))</f>
        <v>#VALUE!</v>
      </c>
      <c r="Q7" s="66"/>
      <c r="R7" s="67"/>
      <c r="W7" t="str">
        <f>CONCATENATE("M(",S3,")=")</f>
        <v>M(#NA)=</v>
      </c>
      <c r="X7" t="e">
        <f>IF(OR(AD4&lt;=0,AD5&lt;=0),AD10,AD5)</f>
        <v>#VALUE!</v>
      </c>
      <c r="Y7" s="6" t="s">
        <v>93</v>
      </c>
      <c r="Z7" s="70" t="e">
        <f>WLS*(U9-U8)</f>
        <v>#VALUE!</v>
      </c>
      <c r="AE7" s="66" t="str">
        <f t="shared" si="1"/>
        <v>4th_UWL</v>
      </c>
      <c r="AF7" s="67" t="str">
        <f t="shared" si="1"/>
        <v>#NA</v>
      </c>
      <c r="AH7" s="81"/>
    </row>
    <row r="8" spans="1:46" x14ac:dyDescent="0.25">
      <c r="A8">
        <v>5</v>
      </c>
      <c r="B8" s="80">
        <f t="shared" si="2"/>
        <v>1</v>
      </c>
      <c r="C8" s="81">
        <f t="shared" si="3"/>
        <v>11</v>
      </c>
      <c r="D8" s="81">
        <f t="shared" si="4"/>
        <v>42.573333333333331</v>
      </c>
      <c r="E8" s="77">
        <f t="shared" si="5"/>
        <v>43.326666666666661</v>
      </c>
      <c r="G8" t="s">
        <v>105</v>
      </c>
      <c r="H8" t="str">
        <f>VLOOKUP(Station_No,RISE_CALC,7,FALSE)</f>
        <v>#NA</v>
      </c>
      <c r="K8" t="str">
        <f>CONCATENATE("A(",H7,")=")</f>
        <v>A(#NA)=</v>
      </c>
      <c r="L8" t="e">
        <f>IFERROR(AD15,IFERROR(X24,AD27))</f>
        <v>#VALUE!</v>
      </c>
      <c r="Q8" s="80"/>
      <c r="R8" s="81"/>
      <c r="U8" s="79" t="str">
        <f>R3</f>
        <v>#NA</v>
      </c>
      <c r="V8" s="68" t="e">
        <f>VLOOKUP(U8,STN_TABLE,2,FALSE)</f>
        <v>#N/A</v>
      </c>
      <c r="W8" s="68">
        <v>1</v>
      </c>
      <c r="X8" s="69" t="e">
        <f>V8*W8</f>
        <v>#N/A</v>
      </c>
      <c r="Y8" s="78" t="s">
        <v>97</v>
      </c>
      <c r="Z8" s="78"/>
      <c r="AA8" s="78" t="s">
        <v>98</v>
      </c>
      <c r="AB8" s="78"/>
      <c r="AC8" s="7" t="s">
        <v>99</v>
      </c>
      <c r="AD8" s="7"/>
      <c r="AE8" s="66"/>
      <c r="AF8" s="67"/>
      <c r="AG8" s="68" t="e">
        <f>IF(OR(AF12-AF11=AF11-AF10,AF13-AF11=AF11-AF10),AF10,IF(OR(AF12-AF11=AF11-AF9,AF13-AF11=AF11-AF9),AF9,"-"))</f>
        <v>#VALUE!</v>
      </c>
      <c r="AH8" s="69" t="e">
        <f>IFERROR(VLOOKUP(AG8,STN_TABLE,2,FALSE),IF(AF8=RisePerWLS,0,"-"))</f>
        <v>#VALUE!</v>
      </c>
      <c r="AI8" s="69">
        <v>5</v>
      </c>
      <c r="AJ8" s="69" t="e">
        <f>AH8*AI8</f>
        <v>#VALUE!</v>
      </c>
      <c r="AK8" s="69">
        <v>3</v>
      </c>
      <c r="AL8" s="69" t="e">
        <f>AH8*AK8</f>
        <v>#VALUE!</v>
      </c>
      <c r="AM8" s="6" t="s">
        <v>93</v>
      </c>
      <c r="AN8" s="70" t="e">
        <f>IF(AND(AG10-AG9=AG9-AG8,NOT(AND(AG8=0,AG9=0)),NOT(AND(AG9=0,AG10=0))),WLS*(AG10-AG9),"#NA")</f>
        <v>#VALUE!</v>
      </c>
    </row>
    <row r="9" spans="1:46" x14ac:dyDescent="0.25">
      <c r="A9">
        <v>6</v>
      </c>
      <c r="B9" s="80">
        <f t="shared" si="2"/>
        <v>2</v>
      </c>
      <c r="C9" s="81">
        <f t="shared" si="3"/>
        <v>11</v>
      </c>
      <c r="D9" s="81">
        <f t="shared" si="4"/>
        <v>86.573333333333323</v>
      </c>
      <c r="E9" s="77">
        <f t="shared" si="5"/>
        <v>175.32666666666665</v>
      </c>
      <c r="G9" t="s">
        <v>106</v>
      </c>
      <c r="H9" t="str">
        <f>VLOOKUP(Station_No,RISE_CALC,8,FALSE)</f>
        <v>#NA</v>
      </c>
      <c r="K9" t="str">
        <f>CONCATENATE("M(",H7,")=")</f>
        <v>M(#NA)=</v>
      </c>
      <c r="L9" t="e">
        <f>IFERROR(AD16,IFERROR(X25,AD28))</f>
        <v>#VALUE!</v>
      </c>
      <c r="Q9" s="80"/>
      <c r="R9" s="81"/>
      <c r="U9" s="88" t="str">
        <f>R4</f>
        <v>#NA</v>
      </c>
      <c r="V9" s="82" t="e">
        <f>VLOOKUP(U9,STN_TABLE,2,FALSE)</f>
        <v>#N/A</v>
      </c>
      <c r="W9" s="82">
        <v>2</v>
      </c>
      <c r="X9" s="83" t="e">
        <f>V9*W9</f>
        <v>#N/A</v>
      </c>
      <c r="Y9" s="84" t="str">
        <f>CONCATENATE("a'(",U9,")=")</f>
        <v>a'(#NA)=</v>
      </c>
      <c r="Z9" s="84" t="e">
        <f>2*Z7/2*V10</f>
        <v>#VALUE!</v>
      </c>
      <c r="AA9" s="84" t="str">
        <f>CONCATENATE("A(",U8,")=")</f>
        <v>A(#NA)=</v>
      </c>
      <c r="AB9" s="84" t="e">
        <f>IF(U8=RisePerWLS,0,VLOOKUP(U8,STN_TABLE,3,FALSE))</f>
        <v>#VALUE!</v>
      </c>
      <c r="AC9" t="str">
        <f>CONCATENATE("A(",U9,")=")</f>
        <v>A(#NA)=</v>
      </c>
      <c r="AD9" t="e">
        <f>Z9+AB9</f>
        <v>#VALUE!</v>
      </c>
      <c r="AE9" s="66" t="str">
        <f t="shared" ref="AE9:AF13" si="6">G6</f>
        <v>2nd_UWL</v>
      </c>
      <c r="AF9" s="67" t="str">
        <f t="shared" si="6"/>
        <v>#NA</v>
      </c>
      <c r="AG9" s="76" t="str">
        <f>AF11</f>
        <v>#NA</v>
      </c>
      <c r="AH9" s="77" t="e">
        <f>VLOOKUP(AG9,STN_TABLE,2,FALSE)</f>
        <v>#N/A</v>
      </c>
      <c r="AI9" s="77">
        <v>8</v>
      </c>
      <c r="AJ9" s="77" t="e">
        <f>AH9*AI9</f>
        <v>#N/A</v>
      </c>
      <c r="AK9" s="77">
        <v>10</v>
      </c>
      <c r="AL9" s="77" t="e">
        <f>AH9*AK9</f>
        <v>#N/A</v>
      </c>
      <c r="AM9" s="78" t="s">
        <v>97</v>
      </c>
      <c r="AN9" s="78"/>
      <c r="AO9" s="78" t="s">
        <v>98</v>
      </c>
      <c r="AP9" s="78"/>
      <c r="AQ9" s="7" t="s">
        <v>99</v>
      </c>
      <c r="AR9" s="7"/>
      <c r="AS9" s="7"/>
      <c r="AT9" s="7"/>
    </row>
    <row r="10" spans="1:46" x14ac:dyDescent="0.25">
      <c r="A10">
        <v>7</v>
      </c>
      <c r="B10" s="80">
        <f t="shared" si="2"/>
        <v>3</v>
      </c>
      <c r="C10" s="81">
        <f t="shared" si="3"/>
        <v>11</v>
      </c>
      <c r="D10" s="81">
        <f t="shared" si="4"/>
        <v>130.57333333333332</v>
      </c>
      <c r="E10" s="77">
        <f t="shared" si="5"/>
        <v>395.32666666666665</v>
      </c>
      <c r="G10" t="s">
        <v>107</v>
      </c>
      <c r="H10" t="str">
        <f>VLOOKUP(Station_No,RISE_CALC,9,FALSE)</f>
        <v>#NA</v>
      </c>
      <c r="K10" t="str">
        <f>CONCATENATE("A(",H8,")=")</f>
        <v>A(#NA)=</v>
      </c>
      <c r="L10" t="e">
        <f>IFERROR(AR5,IFERROR(AL12,AR15))</f>
        <v>#VALUE!</v>
      </c>
      <c r="Q10" s="80"/>
      <c r="R10" s="81"/>
      <c r="V10" s="89" t="e">
        <f>SUM(V8:V9)</f>
        <v>#N/A</v>
      </c>
      <c r="X10" s="89" t="e">
        <f>SUM(X8:X9)</f>
        <v>#N/A</v>
      </c>
      <c r="Y10" s="84" t="str">
        <f>CONCATENATE("m'(",U9,")=")</f>
        <v>m'(#NA)=</v>
      </c>
      <c r="Z10" s="84" t="e">
        <f>(2*(Z7^2)/6*X10)+(Z9*U8*WLS)</f>
        <v>#VALUE!</v>
      </c>
      <c r="AA10" s="84" t="str">
        <f>CONCATENATE("M(",U8,")=")</f>
        <v>M(#NA)=</v>
      </c>
      <c r="AB10" s="84" t="e">
        <f>IF(U8=RisePerWLS,0,VLOOKUP(U8,STN_TABLE,4,FALSE))</f>
        <v>#VALUE!</v>
      </c>
      <c r="AC10" t="str">
        <f>CONCATENATE("M(",U9,")=")</f>
        <v>M(#NA)=</v>
      </c>
      <c r="AD10" t="e">
        <f>Z10+AB10</f>
        <v>#VALUE!</v>
      </c>
      <c r="AE10" s="66" t="str">
        <f t="shared" si="6"/>
        <v>3rd_UWL</v>
      </c>
      <c r="AF10" s="67" t="str">
        <f t="shared" si="6"/>
        <v>#NA</v>
      </c>
      <c r="AG10" s="82" t="e">
        <f>IF(AG8-AG9=AG9-AF12,AF12,IF(AG8-AG9=AG9-AF13,AF13,"-"))</f>
        <v>#VALUE!</v>
      </c>
      <c r="AH10" s="83" t="e">
        <f>VLOOKUP(AG10,STN_TABLE,2,FALSE)</f>
        <v>#VALUE!</v>
      </c>
      <c r="AI10" s="83">
        <v>-1</v>
      </c>
      <c r="AJ10" s="83" t="e">
        <f>AH10*AI10</f>
        <v>#VALUE!</v>
      </c>
      <c r="AK10" s="83">
        <v>-1</v>
      </c>
      <c r="AL10" s="83" t="e">
        <f>AH10*AK10</f>
        <v>#VALUE!</v>
      </c>
      <c r="AM10" s="84" t="str">
        <f>CONCATENATE("a'(",AG9,")=")</f>
        <v>a'(#NA)=</v>
      </c>
      <c r="AN10" s="84" t="e">
        <f>2*AN8/12*AJ11</f>
        <v>#VALUE!</v>
      </c>
      <c r="AO10" s="84" t="e">
        <f>CONCATENATE("A(",AG8,")=")</f>
        <v>#VALUE!</v>
      </c>
      <c r="AP10" s="84" t="e">
        <f>VLOOKUP(AG8,STN_TABLE,3,FALSE)</f>
        <v>#VALUE!</v>
      </c>
      <c r="AQ10" t="str">
        <f>CONCATENATE("A(",AG9,")=")</f>
        <v>A(#NA)=</v>
      </c>
      <c r="AR10" t="e">
        <f>AN10+AP10</f>
        <v>#VALUE!</v>
      </c>
    </row>
    <row r="11" spans="1:46" x14ac:dyDescent="0.25">
      <c r="A11">
        <v>8</v>
      </c>
      <c r="B11" s="80">
        <f t="shared" si="2"/>
        <v>4</v>
      </c>
      <c r="C11" s="81">
        <f t="shared" si="3"/>
        <v>11</v>
      </c>
      <c r="D11" s="81">
        <f t="shared" si="4"/>
        <v>174.57333333333332</v>
      </c>
      <c r="E11" s="77">
        <f t="shared" si="5"/>
        <v>703.3266666666666</v>
      </c>
      <c r="G11" t="s">
        <v>108</v>
      </c>
      <c r="H11" t="str">
        <f>VLOOKUP(Station_No,RISE_CALC,10,FALSE)</f>
        <v>#NA</v>
      </c>
      <c r="K11" t="str">
        <f>CONCATENATE("M(",H8,")=")</f>
        <v>M(#NA)=</v>
      </c>
      <c r="L11" t="e">
        <f>IFERROR(AR6,IFERROR(AL13,AR16))</f>
        <v>#VALUE!</v>
      </c>
      <c r="Q11" s="80"/>
      <c r="R11" s="81"/>
      <c r="AE11" s="66" t="str">
        <f t="shared" si="6"/>
        <v>4th_UWL</v>
      </c>
      <c r="AF11" s="67" t="str">
        <f t="shared" si="6"/>
        <v>#NA</v>
      </c>
      <c r="AJ11" s="89" t="e">
        <f>SUM(AJ8:AJ10)</f>
        <v>#VALUE!</v>
      </c>
      <c r="AL11" s="89" t="e">
        <f>SUM(AL8:AL10)</f>
        <v>#VALUE!</v>
      </c>
      <c r="AM11" s="84" t="str">
        <f>CONCATENATE("m'(",AG9,")=")</f>
        <v>m'(#NA)=</v>
      </c>
      <c r="AN11" s="84" t="e">
        <f>(2*(AN8^2)/24*AL11)+(AN10*AG8*WLS)</f>
        <v>#VALUE!</v>
      </c>
      <c r="AO11" s="84" t="e">
        <f>CONCATENATE("M(",AG8,")=")</f>
        <v>#VALUE!</v>
      </c>
      <c r="AP11" s="84" t="e">
        <f>VLOOKUP(AG8,STN_TABLE,4,FALSE)</f>
        <v>#VALUE!</v>
      </c>
      <c r="AQ11" t="str">
        <f>CONCATENATE("M(",AG9,")=")</f>
        <v>M(#NA)=</v>
      </c>
      <c r="AR11" t="e">
        <f>AN11+AP11</f>
        <v>#VALUE!</v>
      </c>
    </row>
    <row r="12" spans="1:46" x14ac:dyDescent="0.25">
      <c r="A12">
        <v>9</v>
      </c>
      <c r="B12" s="80">
        <f t="shared" si="2"/>
        <v>4.8499999999999996</v>
      </c>
      <c r="C12" s="81">
        <f t="shared" si="3"/>
        <v>11</v>
      </c>
      <c r="D12" s="81">
        <f t="shared" si="4"/>
        <v>211.9733333333333</v>
      </c>
      <c r="E12" s="77">
        <f t="shared" si="5"/>
        <v>1034.3166666666664</v>
      </c>
      <c r="Q12" s="90" t="s">
        <v>109</v>
      </c>
      <c r="R12" s="81"/>
      <c r="AE12" s="66" t="str">
        <f t="shared" si="6"/>
        <v>5th_UWL</v>
      </c>
      <c r="AF12" s="67" t="str">
        <f t="shared" si="6"/>
        <v>#NA</v>
      </c>
      <c r="AI12" t="s">
        <v>103</v>
      </c>
      <c r="AK12" t="str">
        <f>CONCATENATE("A(",AG9,")=")</f>
        <v>A(#NA)=</v>
      </c>
      <c r="AL12" t="e">
        <f>IF(OR(AR10&lt;=0,AR11&lt;=0),AR15,AR10)</f>
        <v>#VALUE!</v>
      </c>
    </row>
    <row r="13" spans="1:46" x14ac:dyDescent="0.25">
      <c r="A13">
        <v>10</v>
      </c>
      <c r="B13" s="80">
        <f t="shared" si="2"/>
        <v>5</v>
      </c>
      <c r="C13" s="81">
        <f t="shared" si="3"/>
        <v>11</v>
      </c>
      <c r="D13" s="81">
        <f t="shared" si="4"/>
        <v>218.57333333333332</v>
      </c>
      <c r="E13" s="77">
        <f t="shared" si="5"/>
        <v>1099.3266666666666</v>
      </c>
      <c r="G13" s="71" t="s">
        <v>110</v>
      </c>
      <c r="Q13" s="66" t="str">
        <f t="shared" ref="Q13:R16" si="7">G4</f>
        <v>Rise</v>
      </c>
      <c r="R13" s="67" t="e">
        <f t="shared" si="7"/>
        <v>#VALUE!</v>
      </c>
      <c r="S13" s="68" t="e">
        <f>IF(R16-R15=R15-R14,R14,IF(R16-R14=R14-R13,R13,"-"))</f>
        <v>#VALUE!</v>
      </c>
      <c r="T13" s="69" t="e">
        <f>IFERROR(VLOOKUP(S13,STN_TABLE,2,FALSE),IF(R13=RisePerWLS,0,"-"))</f>
        <v>#VALUE!</v>
      </c>
      <c r="U13" s="69">
        <v>1</v>
      </c>
      <c r="V13" s="69" t="e">
        <f>T13*U13</f>
        <v>#VALUE!</v>
      </c>
      <c r="W13" s="69" t="e">
        <f>S13</f>
        <v>#VALUE!</v>
      </c>
      <c r="X13" s="69" t="e">
        <f>V13*W13</f>
        <v>#VALUE!</v>
      </c>
      <c r="Y13" s="6" t="s">
        <v>93</v>
      </c>
      <c r="Z13" s="70" t="e">
        <f>IF(AND(T13=0,T14=0,T15=0),WLS*(S15-S14),IF(AND(S15-S14=S14-S13,S14&lt;&gt;S15,S13&lt;&gt;S14,S13&lt;&gt;S15,T15&lt;&gt;0,OR(T13&lt;&gt;0,T14&lt;&gt;0)),WLS*(S15-S14),"#NA"))</f>
        <v>#VALUE!</v>
      </c>
      <c r="AE13" s="66" t="str">
        <f t="shared" si="6"/>
        <v>6th_UWL</v>
      </c>
      <c r="AF13" s="67" t="str">
        <f t="shared" si="6"/>
        <v>#NA</v>
      </c>
      <c r="AK13" t="str">
        <f>CONCATENATE("M(",AG9,")=")</f>
        <v>M(#NA)=</v>
      </c>
      <c r="AL13" t="e">
        <f>IF(OR(AR10&lt;=0,AR11&lt;=0),AR16,AR11)</f>
        <v>#VALUE!</v>
      </c>
      <c r="AM13" s="6" t="s">
        <v>93</v>
      </c>
      <c r="AN13" s="70" t="e">
        <f>WLS*(AI15-AI14)</f>
        <v>#VALUE!</v>
      </c>
    </row>
    <row r="14" spans="1:46" x14ac:dyDescent="0.25">
      <c r="A14">
        <v>11</v>
      </c>
      <c r="B14" s="80">
        <f t="shared" si="2"/>
        <v>6</v>
      </c>
      <c r="C14" s="81">
        <f t="shared" si="3"/>
        <v>11</v>
      </c>
      <c r="D14" s="81">
        <f t="shared" si="4"/>
        <v>262.57333333333332</v>
      </c>
      <c r="E14" s="77">
        <f t="shared" si="5"/>
        <v>1583.3266666666666</v>
      </c>
      <c r="G14" s="91" t="str">
        <f>G4</f>
        <v>Rise</v>
      </c>
      <c r="H14" s="91" t="e">
        <f>RisePerWLS</f>
        <v>#VALUE!</v>
      </c>
      <c r="I14" s="68" t="e">
        <f>H14</f>
        <v>#VALUE!</v>
      </c>
      <c r="J14" s="69">
        <v>0</v>
      </c>
      <c r="K14" s="69">
        <v>5</v>
      </c>
      <c r="L14" s="69">
        <f>J14*K14</f>
        <v>0</v>
      </c>
      <c r="M14" s="69">
        <v>3</v>
      </c>
      <c r="N14" s="69">
        <f>J14*M14</f>
        <v>0</v>
      </c>
      <c r="O14" t="s">
        <v>93</v>
      </c>
      <c r="P14" t="e">
        <f>IF(AND(NOT(AND(J14=0,J15=0)),I14&lt;&gt;I15,I15&lt;&gt;I16,I16-I15=I15-I14),(I16-I15)*WLS,"#NA")</f>
        <v>#N/A</v>
      </c>
      <c r="Q14" s="66" t="str">
        <f t="shared" si="7"/>
        <v>1st_UWL</v>
      </c>
      <c r="R14" s="67" t="str">
        <f t="shared" si="7"/>
        <v>#NA</v>
      </c>
      <c r="S14" s="76" t="e">
        <f>IF(R16-R15=R15-R14,R15,IF(R16-R14=R14-R13,R14,"-"))</f>
        <v>#VALUE!</v>
      </c>
      <c r="T14" s="77" t="e">
        <f>VLOOKUP(S14,STN_TABLE,2,FALSE)</f>
        <v>#VALUE!</v>
      </c>
      <c r="U14" s="77">
        <v>4</v>
      </c>
      <c r="V14" s="77" t="e">
        <f>T14*U14</f>
        <v>#VALUE!</v>
      </c>
      <c r="W14" s="77" t="e">
        <f>S14</f>
        <v>#VALUE!</v>
      </c>
      <c r="X14" s="77" t="e">
        <f>V14*W14</f>
        <v>#VALUE!</v>
      </c>
      <c r="Y14" s="78" t="s">
        <v>97</v>
      </c>
      <c r="Z14" s="78"/>
      <c r="AA14" s="78" t="s">
        <v>98</v>
      </c>
      <c r="AB14" s="78"/>
      <c r="AC14" s="7" t="s">
        <v>99</v>
      </c>
      <c r="AD14" s="7"/>
      <c r="AE14" s="66"/>
      <c r="AF14" s="67"/>
      <c r="AI14" s="79" t="str">
        <f>AF10</f>
        <v>#NA</v>
      </c>
      <c r="AJ14" s="68" t="e">
        <f>VLOOKUP(AI14,STN_TABLE,2,FALSE)</f>
        <v>#N/A</v>
      </c>
      <c r="AK14" s="68">
        <v>1</v>
      </c>
      <c r="AL14" s="69" t="e">
        <f>AJ14*AK14</f>
        <v>#N/A</v>
      </c>
      <c r="AM14" s="78" t="s">
        <v>97</v>
      </c>
      <c r="AN14" s="78"/>
      <c r="AO14" s="78" t="s">
        <v>98</v>
      </c>
      <c r="AP14" s="78"/>
      <c r="AQ14" s="7" t="s">
        <v>99</v>
      </c>
      <c r="AR14" s="7"/>
      <c r="AS14" s="7"/>
      <c r="AT14" s="7"/>
    </row>
    <row r="15" spans="1:46" x14ac:dyDescent="0.25">
      <c r="A15">
        <v>12</v>
      </c>
      <c r="B15" s="80">
        <f t="shared" si="2"/>
        <v>6.5</v>
      </c>
      <c r="C15" s="81">
        <f t="shared" si="3"/>
        <v>11</v>
      </c>
      <c r="D15" s="81">
        <f t="shared" si="4"/>
        <v>284.57333333333332</v>
      </c>
      <c r="E15" s="77">
        <f t="shared" si="5"/>
        <v>1858.3266666666666</v>
      </c>
      <c r="G15" s="91" t="str">
        <f>G5</f>
        <v>1st_UWL</v>
      </c>
      <c r="H15" s="91" t="str">
        <f>H5</f>
        <v>#NA</v>
      </c>
      <c r="I15" s="76" t="str">
        <f>H15</f>
        <v>#NA</v>
      </c>
      <c r="J15" s="77" t="e">
        <f>VLOOKUP(I15,STN_TABLE,2,FALSE)</f>
        <v>#N/A</v>
      </c>
      <c r="K15" s="77">
        <v>8</v>
      </c>
      <c r="L15" s="77" t="e">
        <f>J15*K15</f>
        <v>#N/A</v>
      </c>
      <c r="M15" s="77">
        <v>10</v>
      </c>
      <c r="N15" s="77" t="e">
        <f>J15*M15</f>
        <v>#N/A</v>
      </c>
      <c r="O15" t="str">
        <f>CONCATENATE("A(",I15,")=")</f>
        <v>A(#NA)=</v>
      </c>
      <c r="P15" t="e">
        <f>2*P14/12*L17</f>
        <v>#N/A</v>
      </c>
      <c r="Q15" s="66" t="str">
        <f t="shared" si="7"/>
        <v>2nd_UWL</v>
      </c>
      <c r="R15" s="67" t="str">
        <f t="shared" si="7"/>
        <v>#NA</v>
      </c>
      <c r="S15" s="82" t="str">
        <f>R16</f>
        <v>#NA</v>
      </c>
      <c r="T15" s="83" t="e">
        <f>VLOOKUP(S15,STN_TABLE,2,FALSE)</f>
        <v>#N/A</v>
      </c>
      <c r="U15" s="83">
        <v>1</v>
      </c>
      <c r="V15" s="83" t="e">
        <f>T15*U15</f>
        <v>#N/A</v>
      </c>
      <c r="W15" s="83" t="str">
        <f>S15</f>
        <v>#NA</v>
      </c>
      <c r="X15" s="83" t="e">
        <f>V15*W15</f>
        <v>#N/A</v>
      </c>
      <c r="Y15" s="84" t="str">
        <f>CONCATENATE("a'(",S15,")=")</f>
        <v>a'(#NA)=</v>
      </c>
      <c r="Z15" s="84" t="e">
        <f>2*Z13/3*V16</f>
        <v>#VALUE!</v>
      </c>
      <c r="AA15" s="84" t="e">
        <f>CONCATENATE("A(",S13,")=")</f>
        <v>#VALUE!</v>
      </c>
      <c r="AB15" s="84" t="e">
        <f>IF(S13=RisePerWLS,0,VLOOKUP(S13,STN_TABLE,3,FALSE))</f>
        <v>#VALUE!</v>
      </c>
      <c r="AC15" t="str">
        <f>CONCATENATE("A(",S15,")=")</f>
        <v>A(#NA)=</v>
      </c>
      <c r="AD15" t="e">
        <f>Z15+AB15</f>
        <v>#VALUE!</v>
      </c>
      <c r="AE15" s="80"/>
      <c r="AI15" s="88" t="str">
        <f>AF11</f>
        <v>#NA</v>
      </c>
      <c r="AJ15" s="82" t="e">
        <f>VLOOKUP(AI15,STN_TABLE,2,FALSE)</f>
        <v>#N/A</v>
      </c>
      <c r="AK15" s="82">
        <v>2</v>
      </c>
      <c r="AL15" s="83" t="e">
        <f>AJ15*AK15</f>
        <v>#N/A</v>
      </c>
      <c r="AM15" s="84" t="str">
        <f>CONCATENATE("a'(",AI15,")=")</f>
        <v>a'(#NA)=</v>
      </c>
      <c r="AN15" s="84" t="e">
        <f>2*AN13/2*AJ16</f>
        <v>#VALUE!</v>
      </c>
      <c r="AO15" s="84" t="str">
        <f>CONCATENATE("A(",AI14,")=")</f>
        <v>A(#NA)=</v>
      </c>
      <c r="AP15" s="84" t="e">
        <f>IF(AI14=RisePerWLS,0,VLOOKUP(AI14,STN_TABLE,3,FALSE))</f>
        <v>#VALUE!</v>
      </c>
      <c r="AQ15" t="str">
        <f>CONCATENATE("A(",AI15,")=")</f>
        <v>A(#NA)=</v>
      </c>
      <c r="AR15" t="e">
        <f>AN15+AP15</f>
        <v>#VALUE!</v>
      </c>
    </row>
    <row r="16" spans="1:46" x14ac:dyDescent="0.25">
      <c r="A16">
        <v>13</v>
      </c>
      <c r="B16" s="80" t="str">
        <f t="shared" si="2"/>
        <v xml:space="preserve">  </v>
      </c>
      <c r="C16" s="81" t="str">
        <f t="shared" si="3"/>
        <v xml:space="preserve">  </v>
      </c>
      <c r="D16" s="81" t="str">
        <f t="shared" si="4"/>
        <v xml:space="preserve"> </v>
      </c>
      <c r="E16" s="77" t="str">
        <f t="shared" si="5"/>
        <v xml:space="preserve"> </v>
      </c>
      <c r="G16" s="91" t="str">
        <f>G6</f>
        <v>2nd_UWL</v>
      </c>
      <c r="H16" s="91" t="str">
        <f>H6</f>
        <v>#NA</v>
      </c>
      <c r="I16" s="82" t="e">
        <f>IF(H16-H15=H15-H14,H16,"#NA")</f>
        <v>#VALUE!</v>
      </c>
      <c r="J16" s="83" t="e">
        <f>VLOOKUP(I16,STN_TABLE,2,FALSE)</f>
        <v>#VALUE!</v>
      </c>
      <c r="K16" s="83">
        <v>-1</v>
      </c>
      <c r="L16" s="83" t="e">
        <f>J16*K16</f>
        <v>#VALUE!</v>
      </c>
      <c r="M16" s="83">
        <v>-1</v>
      </c>
      <c r="N16" s="83" t="e">
        <f>J16*M16</f>
        <v>#VALUE!</v>
      </c>
      <c r="O16" t="str">
        <f>CONCATENATE("M(",I15,")=")</f>
        <v>M(#NA)=</v>
      </c>
      <c r="P16" t="e">
        <f>(2*(P14^2)/24*N17)+P15*I14*WLS</f>
        <v>#N/A</v>
      </c>
      <c r="Q16" s="66" t="str">
        <f t="shared" si="7"/>
        <v>3rd_UWL</v>
      </c>
      <c r="R16" s="67" t="str">
        <f t="shared" si="7"/>
        <v>#NA</v>
      </c>
      <c r="V16" s="89" t="e">
        <f>SUM(V13:V15)</f>
        <v>#VALUE!</v>
      </c>
      <c r="X16" s="89" t="e">
        <f>SUM(X13:X15)</f>
        <v>#VALUE!</v>
      </c>
      <c r="Y16" s="84" t="str">
        <f>CONCATENATE("m'(",S15,")=")</f>
        <v>m'(#NA)=</v>
      </c>
      <c r="Z16" s="84" t="e">
        <f>2*(Z13*WLS)/3*X16</f>
        <v>#VALUE!</v>
      </c>
      <c r="AA16" s="84" t="e">
        <f>CONCATENATE("M(",S13,")=")</f>
        <v>#VALUE!</v>
      </c>
      <c r="AB16" s="84" t="e">
        <f>IF(S13=RisePerWLS,0,VLOOKUP(S13,STN_TABLE,4,FALSE))</f>
        <v>#VALUE!</v>
      </c>
      <c r="AC16" t="str">
        <f>CONCATENATE("M(",S15,")=")</f>
        <v>M(#NA)=</v>
      </c>
      <c r="AD16" t="e">
        <f>Z16+AB16</f>
        <v>#VALUE!</v>
      </c>
      <c r="AE16" s="80"/>
      <c r="AJ16" s="89" t="e">
        <f>SUM(AJ14:AJ15)</f>
        <v>#N/A</v>
      </c>
      <c r="AL16" s="89" t="e">
        <f>SUM(AL14:AL15)</f>
        <v>#N/A</v>
      </c>
      <c r="AM16" s="84" t="str">
        <f>CONCATENATE("m'(",AI15,")=")</f>
        <v>m'(#NA)=</v>
      </c>
      <c r="AN16" s="84" t="e">
        <f>(2*(AN13^2)/6*AL16)+(AN15*AI14*WLS)</f>
        <v>#VALUE!</v>
      </c>
      <c r="AO16" s="84" t="str">
        <f>CONCATENATE("M(",AI14,")=")</f>
        <v>M(#NA)=</v>
      </c>
      <c r="AP16" s="84" t="e">
        <f>IF(AI14=RisePerWLS,0,VLOOKUP(AI14,STN_TABLE,4,FALSE))</f>
        <v>#VALUE!</v>
      </c>
      <c r="AQ16" t="str">
        <f>CONCATENATE("M(",AI15,")=")</f>
        <v>M(#NA)=</v>
      </c>
      <c r="AR16" t="e">
        <f>AN16+AP16</f>
        <v>#VALUE!</v>
      </c>
    </row>
    <row r="17" spans="1:35" x14ac:dyDescent="0.25">
      <c r="A17">
        <v>14</v>
      </c>
      <c r="B17" s="80" t="str">
        <f t="shared" si="2"/>
        <v xml:space="preserve">  </v>
      </c>
      <c r="C17" s="81" t="str">
        <f t="shared" si="3"/>
        <v xml:space="preserve">  </v>
      </c>
      <c r="D17" s="81" t="str">
        <f t="shared" si="4"/>
        <v xml:space="preserve"> </v>
      </c>
      <c r="E17" s="77" t="str">
        <f t="shared" si="5"/>
        <v xml:space="preserve"> </v>
      </c>
      <c r="G17" s="91"/>
      <c r="H17" s="91"/>
      <c r="L17" s="89" t="e">
        <f>SUM(L14:L16)</f>
        <v>#N/A</v>
      </c>
      <c r="N17" s="89" t="e">
        <f>SUM(N14:N16)</f>
        <v>#N/A</v>
      </c>
      <c r="Q17" s="66"/>
      <c r="R17" s="67"/>
      <c r="AE17" s="90"/>
    </row>
    <row r="18" spans="1:35" x14ac:dyDescent="0.25">
      <c r="A18">
        <v>15</v>
      </c>
      <c r="B18" s="80" t="str">
        <f t="shared" si="2"/>
        <v xml:space="preserve">  </v>
      </c>
      <c r="C18" s="81" t="str">
        <f t="shared" si="3"/>
        <v xml:space="preserve">  </v>
      </c>
      <c r="D18" s="81" t="str">
        <f t="shared" si="4"/>
        <v xml:space="preserve"> </v>
      </c>
      <c r="E18" s="77" t="str">
        <f t="shared" si="5"/>
        <v xml:space="preserve"> </v>
      </c>
      <c r="G18" s="91"/>
      <c r="H18" s="91"/>
      <c r="K18" t="s">
        <v>103</v>
      </c>
      <c r="M18" t="str">
        <f>CONCATENATE("A(",I15,")=")</f>
        <v>A(#NA)=</v>
      </c>
      <c r="N18" t="e">
        <f>IF(OR(P15&lt;=0,P16&lt;=0),N22,P15)</f>
        <v>#N/A</v>
      </c>
      <c r="Q18" s="66"/>
      <c r="R18" s="67"/>
      <c r="AE18" s="80"/>
    </row>
    <row r="19" spans="1:35" x14ac:dyDescent="0.25">
      <c r="A19">
        <v>16</v>
      </c>
      <c r="B19" s="80" t="str">
        <f t="shared" si="2"/>
        <v xml:space="preserve">  </v>
      </c>
      <c r="C19" s="81" t="str">
        <f t="shared" si="3"/>
        <v xml:space="preserve">  </v>
      </c>
      <c r="D19" s="81" t="str">
        <f t="shared" si="4"/>
        <v xml:space="preserve"> </v>
      </c>
      <c r="E19" s="77" t="str">
        <f t="shared" si="5"/>
        <v xml:space="preserve"> </v>
      </c>
      <c r="G19" s="91"/>
      <c r="H19" s="91"/>
      <c r="M19" t="str">
        <f>CONCATENATE("M(",I15,")=")</f>
        <v>M(#NA)=</v>
      </c>
      <c r="N19" t="e">
        <f>IF(OR(P15&lt;=0,P16&lt;=0),N23,P16)</f>
        <v>#N/A</v>
      </c>
      <c r="Q19" s="66"/>
      <c r="R19" s="67"/>
      <c r="AE19" s="80"/>
    </row>
    <row r="20" spans="1:35" x14ac:dyDescent="0.25">
      <c r="A20">
        <v>17</v>
      </c>
      <c r="B20" s="80" t="str">
        <f t="shared" si="2"/>
        <v xml:space="preserve">  </v>
      </c>
      <c r="C20" s="81" t="str">
        <f t="shared" si="3"/>
        <v xml:space="preserve">  </v>
      </c>
      <c r="D20" s="81" t="str">
        <f t="shared" si="4"/>
        <v xml:space="preserve"> </v>
      </c>
      <c r="E20" s="77" t="str">
        <f t="shared" si="5"/>
        <v xml:space="preserve"> </v>
      </c>
      <c r="G20" s="91"/>
      <c r="H20" s="91"/>
      <c r="Q20" s="66"/>
      <c r="R20" s="67"/>
      <c r="S20" s="68" t="e">
        <f>IF(OR(R24-R23=R23-R22,R25-R23=R23-R22),R22,IF(OR(R24-R23=R23-R21,R25-R23=R23-R21),R21,"-"))</f>
        <v>#VALUE!</v>
      </c>
      <c r="T20" s="69" t="e">
        <f>IFERROR(VLOOKUP(S20,STN_TABLE,2,FALSE),IF(R20=RisePerWLS,0,"-"))</f>
        <v>#VALUE!</v>
      </c>
      <c r="U20" s="69">
        <v>5</v>
      </c>
      <c r="V20" s="69" t="e">
        <f>T20*U20</f>
        <v>#VALUE!</v>
      </c>
      <c r="W20" s="69">
        <v>3</v>
      </c>
      <c r="X20" s="69" t="e">
        <f>T20*W20</f>
        <v>#VALUE!</v>
      </c>
      <c r="Y20" s="6" t="s">
        <v>93</v>
      </c>
      <c r="Z20" s="70" t="e">
        <f>IF(AND(S22-S21=S21-S20,NOT(AND(S20=0,S21=0)),NOT(AND(S21=0,S22=0))),WLS*(S22-S21),"#NA")</f>
        <v>#VALUE!</v>
      </c>
      <c r="AE20" s="80"/>
    </row>
    <row r="21" spans="1:35" x14ac:dyDescent="0.25">
      <c r="A21">
        <v>18</v>
      </c>
      <c r="B21" s="80" t="str">
        <f t="shared" si="2"/>
        <v xml:space="preserve">  </v>
      </c>
      <c r="C21" s="81" t="str">
        <f t="shared" si="3"/>
        <v xml:space="preserve">  </v>
      </c>
      <c r="D21" s="81" t="str">
        <f t="shared" si="4"/>
        <v xml:space="preserve"> </v>
      </c>
      <c r="E21" s="77" t="str">
        <f t="shared" si="5"/>
        <v xml:space="preserve"> </v>
      </c>
      <c r="G21" s="91"/>
      <c r="H21" s="91" t="str">
        <f>G14</f>
        <v>Rise</v>
      </c>
      <c r="I21" s="79" t="e">
        <f>H14</f>
        <v>#VALUE!</v>
      </c>
      <c r="J21" s="68">
        <v>0</v>
      </c>
      <c r="K21" s="68">
        <v>1</v>
      </c>
      <c r="L21" s="69">
        <f>J21*K21</f>
        <v>0</v>
      </c>
      <c r="M21" t="s">
        <v>93</v>
      </c>
      <c r="N21" t="e">
        <f>(I22-I21)*WLS</f>
        <v>#VALUE!</v>
      </c>
      <c r="Q21" s="66" t="str">
        <f t="shared" ref="Q21:R25" si="8">G5</f>
        <v>1st_UWL</v>
      </c>
      <c r="R21" s="67" t="str">
        <f t="shared" si="8"/>
        <v>#NA</v>
      </c>
      <c r="S21" s="76" t="str">
        <f>R23</f>
        <v>#NA</v>
      </c>
      <c r="T21" s="77" t="e">
        <f>VLOOKUP(S21,STN_TABLE,2,FALSE)</f>
        <v>#N/A</v>
      </c>
      <c r="U21" s="77">
        <v>8</v>
      </c>
      <c r="V21" s="77" t="e">
        <f>T21*U21</f>
        <v>#N/A</v>
      </c>
      <c r="W21" s="77">
        <v>10</v>
      </c>
      <c r="X21" s="77" t="e">
        <f>T21*W21</f>
        <v>#N/A</v>
      </c>
      <c r="Y21" s="78" t="s">
        <v>97</v>
      </c>
      <c r="Z21" s="78"/>
      <c r="AA21" s="78" t="s">
        <v>98</v>
      </c>
      <c r="AB21" s="78"/>
      <c r="AC21" s="7" t="s">
        <v>99</v>
      </c>
      <c r="AD21" s="7"/>
      <c r="AE21" s="80"/>
    </row>
    <row r="22" spans="1:35" x14ac:dyDescent="0.25">
      <c r="A22">
        <v>19</v>
      </c>
      <c r="B22" s="80" t="str">
        <f t="shared" si="2"/>
        <v xml:space="preserve">  </v>
      </c>
      <c r="C22" s="81" t="str">
        <f t="shared" si="3"/>
        <v xml:space="preserve">  </v>
      </c>
      <c r="D22" s="81" t="str">
        <f t="shared" si="4"/>
        <v xml:space="preserve"> </v>
      </c>
      <c r="E22" s="77" t="str">
        <f t="shared" si="5"/>
        <v xml:space="preserve"> </v>
      </c>
      <c r="G22" s="91"/>
      <c r="H22" s="91" t="str">
        <f>G15</f>
        <v>1st_UWL</v>
      </c>
      <c r="I22" s="88" t="str">
        <f>H15</f>
        <v>#NA</v>
      </c>
      <c r="J22" s="82" t="e">
        <f>VLOOKUP(I22,STN_TABLE,2,FALSE)</f>
        <v>#N/A</v>
      </c>
      <c r="K22" s="82">
        <v>2</v>
      </c>
      <c r="L22" s="83" t="e">
        <f>J22*K22</f>
        <v>#N/A</v>
      </c>
      <c r="M22" t="str">
        <f>CONCATENATE("A(",I22,")=")</f>
        <v>A(#NA)=</v>
      </c>
      <c r="N22" t="e">
        <f>2*N21/2*J23</f>
        <v>#VALUE!</v>
      </c>
      <c r="Q22" s="66" t="str">
        <f t="shared" si="8"/>
        <v>2nd_UWL</v>
      </c>
      <c r="R22" s="67" t="str">
        <f t="shared" si="8"/>
        <v>#NA</v>
      </c>
      <c r="S22" s="82" t="e">
        <f>IF(S20-S21=S21-R24,R24,IF(S20-S21=S21-R25,R25,"-"))</f>
        <v>#VALUE!</v>
      </c>
      <c r="T22" s="83" t="e">
        <f>VLOOKUP(S22,STN_TABLE,2,FALSE)</f>
        <v>#VALUE!</v>
      </c>
      <c r="U22" s="83">
        <v>-1</v>
      </c>
      <c r="V22" s="83" t="e">
        <f>T22*U22</f>
        <v>#VALUE!</v>
      </c>
      <c r="W22" s="83">
        <v>-1</v>
      </c>
      <c r="X22" s="83" t="e">
        <f>T22*W22</f>
        <v>#VALUE!</v>
      </c>
      <c r="Y22" s="84" t="str">
        <f>CONCATENATE("a'(",S21,")=")</f>
        <v>a'(#NA)=</v>
      </c>
      <c r="Z22" s="84" t="e">
        <f>2*Z20/12*V23</f>
        <v>#VALUE!</v>
      </c>
      <c r="AA22" s="84" t="e">
        <f>CONCATENATE("A(",S20,")=")</f>
        <v>#VALUE!</v>
      </c>
      <c r="AB22" s="84" t="e">
        <f>IF(S20=RisePerWLS,0,VLOOKUP(S20,STN_TABLE,3,FALSE))</f>
        <v>#VALUE!</v>
      </c>
      <c r="AC22" t="str">
        <f>CONCATENATE("A(",S21,")=")</f>
        <v>A(#NA)=</v>
      </c>
      <c r="AD22" t="e">
        <f>Z22+AB22</f>
        <v>#VALUE!</v>
      </c>
      <c r="AE22" s="80"/>
    </row>
    <row r="23" spans="1:35" x14ac:dyDescent="0.25">
      <c r="A23">
        <v>20</v>
      </c>
      <c r="B23" s="80" t="str">
        <f t="shared" si="2"/>
        <v xml:space="preserve">  </v>
      </c>
      <c r="C23" s="81" t="str">
        <f t="shared" si="3"/>
        <v xml:space="preserve">  </v>
      </c>
      <c r="D23" s="81" t="str">
        <f t="shared" si="4"/>
        <v xml:space="preserve"> </v>
      </c>
      <c r="E23" s="77" t="str">
        <f t="shared" si="5"/>
        <v xml:space="preserve"> </v>
      </c>
      <c r="J23" s="89" t="e">
        <f>SUM(J21:J22)</f>
        <v>#N/A</v>
      </c>
      <c r="L23" s="89" t="e">
        <f>SUM(L21:L22)</f>
        <v>#N/A</v>
      </c>
      <c r="M23" t="str">
        <f>CONCATENATE("M(",I22,")=")</f>
        <v>M(#NA)=</v>
      </c>
      <c r="N23" t="e">
        <f>(2*(N21^2)/6*L23)+N22*I21*WLS</f>
        <v>#VALUE!</v>
      </c>
      <c r="Q23" s="66" t="str">
        <f t="shared" si="8"/>
        <v>3rd_UWL</v>
      </c>
      <c r="R23" s="67" t="str">
        <f t="shared" si="8"/>
        <v>#NA</v>
      </c>
      <c r="V23" s="89" t="e">
        <f>SUM(V20:V22)</f>
        <v>#VALUE!</v>
      </c>
      <c r="X23" s="89" t="e">
        <f>SUM(X20:X22)</f>
        <v>#VALUE!</v>
      </c>
      <c r="Y23" s="84" t="str">
        <f>CONCATENATE("m'(",S21,")=")</f>
        <v>m'(#NA)=</v>
      </c>
      <c r="Z23" s="84" t="e">
        <f>(2*(Z20^2)/24*X23)+(Z22*S20*WLS)</f>
        <v>#VALUE!</v>
      </c>
      <c r="AA23" s="84" t="e">
        <f>CONCATENATE("M(",S20,")=")</f>
        <v>#VALUE!</v>
      </c>
      <c r="AB23" s="84" t="e">
        <f>IF(S20=RisePerWLS,0,VLOOKUP(S20,STN_TABLE,4,FALSE))</f>
        <v>#VALUE!</v>
      </c>
      <c r="AC23" t="str">
        <f>CONCATENATE("M(",S21,")=")</f>
        <v>M(#NA)=</v>
      </c>
      <c r="AD23" t="e">
        <f>Z23+AB23</f>
        <v>#VALUE!</v>
      </c>
      <c r="AE23" s="80"/>
    </row>
    <row r="24" spans="1:35" x14ac:dyDescent="0.25">
      <c r="A24">
        <v>21</v>
      </c>
      <c r="B24" s="80" t="str">
        <f t="shared" si="2"/>
        <v xml:space="preserve">  </v>
      </c>
      <c r="C24" s="81" t="str">
        <f t="shared" si="3"/>
        <v xml:space="preserve">  </v>
      </c>
      <c r="D24" s="81" t="str">
        <f t="shared" si="4"/>
        <v xml:space="preserve"> </v>
      </c>
      <c r="E24" s="77" t="str">
        <f t="shared" si="5"/>
        <v xml:space="preserve"> </v>
      </c>
      <c r="Q24" s="66" t="str">
        <f t="shared" si="8"/>
        <v>4th_UWL</v>
      </c>
      <c r="R24" s="67" t="str">
        <f t="shared" si="8"/>
        <v>#NA</v>
      </c>
      <c r="U24" t="s">
        <v>103</v>
      </c>
      <c r="W24" t="str">
        <f>CONCATENATE("A(",S21,")=")</f>
        <v>A(#NA)=</v>
      </c>
      <c r="X24" t="e">
        <f>IF(OR(AD22&lt;=0,AD23&lt;=0),AD27,AD22)</f>
        <v>#VALUE!</v>
      </c>
      <c r="AE24" s="80"/>
    </row>
    <row r="25" spans="1:35" x14ac:dyDescent="0.25">
      <c r="A25">
        <v>22</v>
      </c>
      <c r="B25" s="80" t="str">
        <f t="shared" si="2"/>
        <v xml:space="preserve">  </v>
      </c>
      <c r="C25" s="81" t="str">
        <f t="shared" si="3"/>
        <v xml:space="preserve">  </v>
      </c>
      <c r="D25" s="81" t="str">
        <f t="shared" si="4"/>
        <v xml:space="preserve"> </v>
      </c>
      <c r="E25" s="77" t="str">
        <f t="shared" si="5"/>
        <v xml:space="preserve"> </v>
      </c>
      <c r="G25" s="71" t="s">
        <v>111</v>
      </c>
      <c r="Q25" s="66" t="str">
        <f t="shared" si="8"/>
        <v>5th_UWL</v>
      </c>
      <c r="R25" s="67" t="str">
        <f t="shared" si="8"/>
        <v>#NA</v>
      </c>
      <c r="W25" t="str">
        <f>CONCATENATE("M(",S21,")=")</f>
        <v>M(#NA)=</v>
      </c>
      <c r="X25" t="e">
        <f>IF(OR(AD22&lt;=0,AD23&lt;=0),AD28,AD23)</f>
        <v>#VALUE!</v>
      </c>
      <c r="Y25" s="6" t="s">
        <v>93</v>
      </c>
      <c r="Z25" s="70" t="e">
        <f>WLS*(U27-U26)</f>
        <v>#VALUE!</v>
      </c>
      <c r="AE25" s="80"/>
    </row>
    <row r="26" spans="1:35" x14ac:dyDescent="0.25">
      <c r="A26">
        <v>23</v>
      </c>
      <c r="B26" s="80" t="str">
        <f t="shared" si="2"/>
        <v xml:space="preserve">  </v>
      </c>
      <c r="C26" s="81" t="str">
        <f t="shared" si="3"/>
        <v xml:space="preserve">  </v>
      </c>
      <c r="D26" s="81" t="str">
        <f t="shared" si="4"/>
        <v xml:space="preserve"> </v>
      </c>
      <c r="E26" s="77" t="str">
        <f t="shared" si="5"/>
        <v xml:space="preserve"> </v>
      </c>
      <c r="G26" s="91" t="str">
        <f t="shared" ref="G26:H28" si="9">G4</f>
        <v>Rise</v>
      </c>
      <c r="H26" s="91" t="e">
        <f t="shared" si="9"/>
        <v>#VALUE!</v>
      </c>
      <c r="I26" s="68" t="e">
        <f>H26</f>
        <v>#VALUE!</v>
      </c>
      <c r="J26" s="69">
        <v>0</v>
      </c>
      <c r="K26" s="69">
        <v>1</v>
      </c>
      <c r="L26" s="69">
        <f>J26*K26</f>
        <v>0</v>
      </c>
      <c r="M26" s="69" t="e">
        <f>I26</f>
        <v>#VALUE!</v>
      </c>
      <c r="N26" s="69" t="e">
        <f>L26*M26</f>
        <v>#VALUE!</v>
      </c>
      <c r="O26" t="s">
        <v>93</v>
      </c>
      <c r="P26" t="e">
        <f>IF(OR(J26=0,J27=0,J28=0),"#NA",IF(I28-I27=I27-I26,WLS*(I27-I26),"#NA"))</f>
        <v>#VALUE!</v>
      </c>
      <c r="Q26" s="66"/>
      <c r="R26" s="67"/>
      <c r="U26" s="79" t="str">
        <f>R22</f>
        <v>#NA</v>
      </c>
      <c r="V26" s="68" t="e">
        <f>VLOOKUP(U26,STN_TABLE,2,FALSE)</f>
        <v>#N/A</v>
      </c>
      <c r="W26" s="68">
        <v>1</v>
      </c>
      <c r="X26" s="69" t="e">
        <f>V26*W26</f>
        <v>#N/A</v>
      </c>
      <c r="Y26" s="78" t="s">
        <v>97</v>
      </c>
      <c r="Z26" s="78"/>
      <c r="AA26" s="78" t="s">
        <v>98</v>
      </c>
      <c r="AB26" s="78"/>
      <c r="AC26" s="7" t="s">
        <v>99</v>
      </c>
      <c r="AD26" s="7"/>
      <c r="AE26" s="80"/>
    </row>
    <row r="27" spans="1:35" x14ac:dyDescent="0.25">
      <c r="A27">
        <v>24</v>
      </c>
      <c r="B27" s="80" t="str">
        <f t="shared" si="2"/>
        <v xml:space="preserve">  </v>
      </c>
      <c r="C27" s="81" t="str">
        <f t="shared" si="3"/>
        <v xml:space="preserve">  </v>
      </c>
      <c r="D27" s="81" t="str">
        <f t="shared" si="4"/>
        <v xml:space="preserve"> </v>
      </c>
      <c r="E27" s="77" t="str">
        <f t="shared" si="5"/>
        <v xml:space="preserve"> </v>
      </c>
      <c r="G27" s="91" t="str">
        <f t="shared" si="9"/>
        <v>1st_UWL</v>
      </c>
      <c r="H27" s="91" t="str">
        <f t="shared" si="9"/>
        <v>#NA</v>
      </c>
      <c r="I27" s="76" t="e">
        <f>IF(H28-H27=H27-H26,H28,"#NA")</f>
        <v>#VALUE!</v>
      </c>
      <c r="J27" s="77" t="e">
        <f>VLOOKUP(I27,STN_TABLE,2,FALSE)</f>
        <v>#VALUE!</v>
      </c>
      <c r="K27" s="77">
        <v>4</v>
      </c>
      <c r="L27" s="77" t="e">
        <f>J27*K27</f>
        <v>#VALUE!</v>
      </c>
      <c r="M27" s="77" t="e">
        <f>I27</f>
        <v>#VALUE!</v>
      </c>
      <c r="N27" s="77" t="e">
        <f>L27*M27</f>
        <v>#VALUE!</v>
      </c>
      <c r="O27" t="e">
        <f>CONCATENATE("A(",I28,")=")</f>
        <v>#VALUE!</v>
      </c>
      <c r="P27" t="e">
        <f>2*P26/3*L29</f>
        <v>#VALUE!</v>
      </c>
      <c r="Q27" s="80"/>
      <c r="R27" s="81"/>
      <c r="U27" s="88" t="str">
        <f>R23</f>
        <v>#NA</v>
      </c>
      <c r="V27" s="82" t="e">
        <f>VLOOKUP(U27,STN_TABLE,2,FALSE)</f>
        <v>#N/A</v>
      </c>
      <c r="W27" s="82">
        <v>2</v>
      </c>
      <c r="X27" s="83" t="e">
        <f>V27*W27</f>
        <v>#N/A</v>
      </c>
      <c r="Y27" s="84" t="str">
        <f>CONCATENATE("a'(",U27,")=")</f>
        <v>a'(#NA)=</v>
      </c>
      <c r="Z27" s="84" t="e">
        <f>2*Z25/2*V28</f>
        <v>#VALUE!</v>
      </c>
      <c r="AA27" s="84" t="str">
        <f>CONCATENATE("A(",U26,")=")</f>
        <v>A(#NA)=</v>
      </c>
      <c r="AB27" s="84" t="e">
        <f>IF(U26=RisePerWLS,0,VLOOKUP(U26,STN_TABLE,3,FALSE))</f>
        <v>#VALUE!</v>
      </c>
      <c r="AC27" t="str">
        <f>CONCATENATE("A(",U27,")=")</f>
        <v>A(#NA)=</v>
      </c>
      <c r="AD27" t="e">
        <f>Z27+AB27</f>
        <v>#VALUE!</v>
      </c>
      <c r="AE27" s="80"/>
    </row>
    <row r="28" spans="1:35" x14ac:dyDescent="0.25">
      <c r="A28">
        <v>25</v>
      </c>
      <c r="B28" s="88" t="str">
        <f t="shared" si="2"/>
        <v xml:space="preserve">  </v>
      </c>
      <c r="C28" s="92" t="str">
        <f t="shared" si="3"/>
        <v xml:space="preserve">  </v>
      </c>
      <c r="D28" s="81" t="str">
        <f t="shared" si="4"/>
        <v xml:space="preserve"> </v>
      </c>
      <c r="E28" s="77" t="str">
        <f t="shared" si="5"/>
        <v xml:space="preserve"> </v>
      </c>
      <c r="G28" s="91" t="str">
        <f t="shared" si="9"/>
        <v>2nd_UWL</v>
      </c>
      <c r="H28" s="91" t="str">
        <f t="shared" si="9"/>
        <v>#NA</v>
      </c>
      <c r="I28" s="82" t="e">
        <f>IF(H28-H27=H27-H26,H28,"#NA")</f>
        <v>#VALUE!</v>
      </c>
      <c r="J28" s="83" t="e">
        <f>VLOOKUP(I28,STN_TABLE,2,FALSE)</f>
        <v>#VALUE!</v>
      </c>
      <c r="K28" s="83">
        <v>1</v>
      </c>
      <c r="L28" s="83" t="e">
        <f>J28*K28</f>
        <v>#VALUE!</v>
      </c>
      <c r="M28" s="83" t="e">
        <f>I28</f>
        <v>#VALUE!</v>
      </c>
      <c r="N28" s="83" t="e">
        <f>L28*M28</f>
        <v>#VALUE!</v>
      </c>
      <c r="O28" t="e">
        <f>CONCATENATE("M(",I28,")=")</f>
        <v>#VALUE!</v>
      </c>
      <c r="P28" t="e">
        <f>2*(P26*WLS)/3*N29</f>
        <v>#VALUE!</v>
      </c>
      <c r="Q28" s="80"/>
      <c r="R28" s="81"/>
      <c r="V28" s="89" t="e">
        <f>SUM(V26:V27)</f>
        <v>#N/A</v>
      </c>
      <c r="X28" s="89" t="e">
        <f>SUM(X26:X27)</f>
        <v>#N/A</v>
      </c>
      <c r="Y28" s="84" t="str">
        <f>CONCATENATE("m'(",U27,")=")</f>
        <v>m'(#NA)=</v>
      </c>
      <c r="Z28" s="84" t="e">
        <f>(2*(Z25^2)/6*X28)+(Z27*U26*WLS)</f>
        <v>#VALUE!</v>
      </c>
      <c r="AA28" s="84" t="str">
        <f>CONCATENATE("M(",U26,")=")</f>
        <v>M(#NA)=</v>
      </c>
      <c r="AB28" s="84" t="e">
        <f>IF(U26=RisePerWLS,0,VLOOKUP(U26,STN_TABLE,4,FALSE))</f>
        <v>#VALUE!</v>
      </c>
      <c r="AC28" t="str">
        <f>CONCATENATE("M(",U27,")=")</f>
        <v>M(#NA)=</v>
      </c>
      <c r="AD28" t="e">
        <f>Z28+AB28</f>
        <v>#VALUE!</v>
      </c>
      <c r="AE28" s="80"/>
    </row>
    <row r="29" spans="1:35" x14ac:dyDescent="0.25">
      <c r="G29" s="91"/>
      <c r="H29" s="91"/>
      <c r="L29" s="89" t="e">
        <f>SUM(L26:L28)</f>
        <v>#VALUE!</v>
      </c>
      <c r="N29" s="89" t="e">
        <f>SUM(N26:N28)</f>
        <v>#VALUE!</v>
      </c>
      <c r="Q29" s="80"/>
      <c r="R29" s="81"/>
      <c r="AE29" s="80"/>
    </row>
    <row r="30" spans="1:35" x14ac:dyDescent="0.25">
      <c r="G30" s="91"/>
      <c r="H30" s="91"/>
    </row>
    <row r="31" spans="1:35" x14ac:dyDescent="0.25">
      <c r="G31" s="91"/>
      <c r="H31" s="91"/>
    </row>
    <row r="32" spans="1:35" x14ac:dyDescent="0.25">
      <c r="G32" s="91"/>
      <c r="H32" s="91"/>
      <c r="Q32" s="68">
        <f>B4</f>
        <v>0</v>
      </c>
      <c r="R32" s="69">
        <f>VLOOKUP(Q32,STN_TABLE,2,FALSE)</f>
        <v>9.6999999999999993</v>
      </c>
      <c r="S32" s="69">
        <v>5</v>
      </c>
      <c r="T32" s="68">
        <f>R32*S32</f>
        <v>48.5</v>
      </c>
      <c r="U32" s="79">
        <v>3</v>
      </c>
      <c r="V32" s="68">
        <f>R32*U32</f>
        <v>29.099999999999998</v>
      </c>
      <c r="W32" t="s">
        <v>93</v>
      </c>
      <c r="X32" s="70">
        <f>IF(AND(Q34-Q33=Q33-Q32,NOT(AND(Q32=0,Q33=0)),NOT(AND(Q33=0,Q34=0))),WLS*(Q34-Q33),"#NA")</f>
        <v>0.5</v>
      </c>
      <c r="AD32" s="93"/>
      <c r="AH32" s="6" t="s">
        <v>93</v>
      </c>
      <c r="AI32" s="70">
        <f>WLS*(AD34-AD33)</f>
        <v>0.5</v>
      </c>
    </row>
    <row r="33" spans="1:47" x14ac:dyDescent="0.25">
      <c r="Q33" s="76">
        <f>B5</f>
        <v>0.25</v>
      </c>
      <c r="R33" s="77">
        <f>VLOOKUP(Q33,STN_TABLE,2,FALSE)</f>
        <v>10.45</v>
      </c>
      <c r="S33" s="77">
        <v>8</v>
      </c>
      <c r="T33" s="76">
        <f>R33*S33</f>
        <v>83.6</v>
      </c>
      <c r="U33" s="80">
        <v>10</v>
      </c>
      <c r="V33" s="76">
        <f>R33*U33</f>
        <v>104.5</v>
      </c>
      <c r="W33" s="495" t="s">
        <v>97</v>
      </c>
      <c r="X33" s="496"/>
      <c r="Y33" s="496" t="s">
        <v>98</v>
      </c>
      <c r="Z33" s="496"/>
      <c r="AA33" s="494" t="s">
        <v>99</v>
      </c>
      <c r="AB33" s="494"/>
      <c r="AC33" s="94">
        <v>1</v>
      </c>
      <c r="AD33" s="95">
        <f>VLOOKUP(AC33,STN_TABLE_2,2,FALSE)</f>
        <v>0</v>
      </c>
      <c r="AE33" s="68">
        <f>VLOOKUP(AD33,STN_TABLE,2,FALSE)</f>
        <v>9.6999999999999993</v>
      </c>
      <c r="AF33" s="68">
        <v>1</v>
      </c>
      <c r="AG33" s="69">
        <f>AE33*AF33</f>
        <v>9.6999999999999993</v>
      </c>
      <c r="AH33" s="496" t="s">
        <v>97</v>
      </c>
      <c r="AI33" s="496"/>
      <c r="AJ33" s="496" t="s">
        <v>98</v>
      </c>
      <c r="AK33" s="496"/>
      <c r="AL33" s="494" t="s">
        <v>99</v>
      </c>
      <c r="AM33" s="494"/>
      <c r="AP33" s="96" t="s">
        <v>112</v>
      </c>
      <c r="AQ33" s="89" t="s">
        <v>113</v>
      </c>
      <c r="AR33" s="89" t="s">
        <v>114</v>
      </c>
      <c r="AS33" s="89" t="s">
        <v>115</v>
      </c>
      <c r="AT33" s="97" t="s">
        <v>116</v>
      </c>
      <c r="AU33" s="98"/>
    </row>
    <row r="34" spans="1:47" x14ac:dyDescent="0.25">
      <c r="Q34" s="82">
        <f>B6</f>
        <v>0.5</v>
      </c>
      <c r="R34" s="83">
        <f>VLOOKUP(Q34,STN_TABLE,2,FALSE)</f>
        <v>10.75</v>
      </c>
      <c r="S34" s="83">
        <v>-1</v>
      </c>
      <c r="T34" s="82">
        <f>R34*S34</f>
        <v>-10.75</v>
      </c>
      <c r="U34" s="88">
        <v>-1</v>
      </c>
      <c r="V34" s="82">
        <f>R34*U34</f>
        <v>-10.75</v>
      </c>
      <c r="W34" s="84" t="str">
        <f>CONCATENATE("a'(",Q33,")=")</f>
        <v>a'(0.25)=</v>
      </c>
      <c r="X34" s="84">
        <f>2*X32/12*T35</f>
        <v>10.112499999999999</v>
      </c>
      <c r="Y34" s="84" t="str">
        <f>CONCATENATE("A(",Q32,")=")</f>
        <v>A(0)=</v>
      </c>
      <c r="Z34" s="84">
        <f>VLOOKUP(Q32,STN_TABLE,3,FALSE)</f>
        <v>0</v>
      </c>
      <c r="AA34" t="str">
        <f>CONCATENATE("A(",Q33,")=")</f>
        <v>A(0.25)=</v>
      </c>
      <c r="AB34">
        <f>X34+Z34</f>
        <v>10.112499999999999</v>
      </c>
      <c r="AC34" s="99">
        <f>AC33+1</f>
        <v>2</v>
      </c>
      <c r="AD34" s="100">
        <f>VLOOKUP(AC34,STN_TABLE_2,2,FALSE)</f>
        <v>0.25</v>
      </c>
      <c r="AE34" s="82">
        <f>VLOOKUP(AD34,STN_TABLE,2,FALSE)</f>
        <v>10.45</v>
      </c>
      <c r="AF34" s="82">
        <v>2</v>
      </c>
      <c r="AG34" s="83">
        <f>AE34*AF34</f>
        <v>20.9</v>
      </c>
      <c r="AH34" s="84" t="str">
        <f>CONCATENATE("a'(",AD34,")=")</f>
        <v>a'(0.25)=</v>
      </c>
      <c r="AI34" s="84">
        <f>2*AI32/2*AE35</f>
        <v>10.074999999999999</v>
      </c>
      <c r="AJ34" s="84" t="str">
        <f>CONCATENATE("A(",AD33,")=")</f>
        <v>A(0)=</v>
      </c>
      <c r="AK34" s="84">
        <f>VLOOKUP(AD33,STN_TABLE,3,FALSE)</f>
        <v>0</v>
      </c>
      <c r="AL34" t="str">
        <f>CONCATENATE("A(",AD34,")=")</f>
        <v>A(0.25)=</v>
      </c>
      <c r="AM34">
        <f>AI34+AK34</f>
        <v>10.074999999999999</v>
      </c>
      <c r="AO34" s="68" t="str">
        <f>AA34</f>
        <v>A(0.25)=</v>
      </c>
      <c r="AP34" s="79" t="e">
        <f>VLOOKUP(AO34,Rise_Results,2,FALSE)</f>
        <v>#N/A</v>
      </c>
      <c r="AQ34" s="76" t="s">
        <v>117</v>
      </c>
      <c r="AR34" s="76">
        <f>IF(OR(AB34&lt;=0,AB35&lt;=0),1/0,AB34)</f>
        <v>10.112499999999999</v>
      </c>
      <c r="AS34" s="76">
        <f>AM34</f>
        <v>10.074999999999999</v>
      </c>
      <c r="AT34" s="80">
        <f>IFERROR(AP34,IFERROR(AR34,AS34))</f>
        <v>10.112499999999999</v>
      </c>
    </row>
    <row r="35" spans="1:47" x14ac:dyDescent="0.25">
      <c r="A35" s="101"/>
      <c r="T35" s="89">
        <f>SUM(T32:T34)</f>
        <v>121.35</v>
      </c>
      <c r="V35" s="82">
        <f>SUM(V32:V34)</f>
        <v>122.85</v>
      </c>
      <c r="W35" s="84" t="str">
        <f>CONCATENATE("m'(",Q33,")=")</f>
        <v>m'(0.25)=</v>
      </c>
      <c r="X35" s="84">
        <f>(2*(X32^2)/24*V35)</f>
        <v>2.5593749999999997</v>
      </c>
      <c r="Y35" s="84" t="str">
        <f>CONCATENATE("M(",Q32,")=")</f>
        <v>M(0)=</v>
      </c>
      <c r="Z35" s="84">
        <f>VLOOKUP(Q32,STN_TABLE,4,FALSE)</f>
        <v>0</v>
      </c>
      <c r="AA35" t="str">
        <f>CONCATENATE("M(",Q33,")=")</f>
        <v>M(0.25)=</v>
      </c>
      <c r="AB35">
        <f>X35+Z35</f>
        <v>2.5593749999999997</v>
      </c>
      <c r="AE35" s="89">
        <f>SUM(AE33:AE34)</f>
        <v>20.149999999999999</v>
      </c>
      <c r="AG35" s="89">
        <f>SUM(AG33:AG34)</f>
        <v>30.599999999999998</v>
      </c>
      <c r="AH35" s="84" t="str">
        <f>CONCATENATE("m'(",AD34,")=")</f>
        <v>m'(0.25)=</v>
      </c>
      <c r="AI35" s="84">
        <f>(2*(AI32^2)/6*AG35)+(AI34*AD33*WLS)</f>
        <v>2.5499999999999998</v>
      </c>
      <c r="AJ35" s="84" t="str">
        <f>CONCATENATE("M(",AD33,")=")</f>
        <v>M(0)=</v>
      </c>
      <c r="AK35" s="84">
        <f>VLOOKUP(AD33,STN_TABLE,4,FALSE)</f>
        <v>0</v>
      </c>
      <c r="AL35" t="str">
        <f>CONCATENATE("M(",AD34,")=")</f>
        <v>M(0.25)=</v>
      </c>
      <c r="AM35">
        <f>AI35+AK35</f>
        <v>2.5499999999999998</v>
      </c>
      <c r="AO35" s="82" t="str">
        <f>AA35</f>
        <v>M(0.25)=</v>
      </c>
      <c r="AP35" s="88" t="e">
        <f>VLOOKUP(AO35,Rise_Results,2,FALSE)</f>
        <v>#N/A</v>
      </c>
      <c r="AQ35" s="82" t="s">
        <v>117</v>
      </c>
      <c r="AR35" s="82">
        <f>IF(OR(AB34&lt;=0,AB35&lt;=0),1/0,AB35)</f>
        <v>2.5593749999999997</v>
      </c>
      <c r="AS35" s="82">
        <f>AM35</f>
        <v>2.5499999999999998</v>
      </c>
      <c r="AT35" s="80">
        <f>IFERROR(AP35,IFERROR(AR35,AS35))</f>
        <v>2.5593749999999997</v>
      </c>
    </row>
    <row r="36" spans="1:47" x14ac:dyDescent="0.25">
      <c r="O36" s="94">
        <v>1</v>
      </c>
      <c r="P36" s="101">
        <f t="shared" ref="P36:P67" si="10">VLOOKUP(O36,STN_TABLE_2,2,FALSE)</f>
        <v>0</v>
      </c>
      <c r="AU36" s="81"/>
    </row>
    <row r="37" spans="1:47" x14ac:dyDescent="0.25">
      <c r="A37" s="94">
        <v>1</v>
      </c>
      <c r="B37" s="94">
        <f>VLOOKUP(A37,STN_TABLE_2,2,FALSE)</f>
        <v>0</v>
      </c>
      <c r="C37" s="79">
        <f>B37</f>
        <v>0</v>
      </c>
      <c r="D37" s="68">
        <f>VLOOKUP(C37,STN_TABLE,2,FALSE)</f>
        <v>9.6999999999999993</v>
      </c>
      <c r="E37" s="102">
        <v>1</v>
      </c>
      <c r="F37" s="68">
        <f>D37*E37</f>
        <v>9.6999999999999993</v>
      </c>
      <c r="G37" s="69">
        <f>C37</f>
        <v>0</v>
      </c>
      <c r="H37" s="69">
        <f>F37*G37</f>
        <v>0</v>
      </c>
      <c r="I37" s="6" t="s">
        <v>93</v>
      </c>
      <c r="J37" s="70">
        <f>IF(OR(D37=0,D38=0,D39=0),"#NA",IF(AND(C39-C38=C38-C37,C38&lt;&gt;C39,C37&lt;&gt;C38,C37&lt;&gt;C39,D39&lt;&gt;0,OR(D37&lt;&gt;0,D38&lt;&gt;0)),WLS*(C39-C38),"#NA"))</f>
        <v>0.5</v>
      </c>
      <c r="O37" s="99">
        <f>O36+1</f>
        <v>2</v>
      </c>
      <c r="P37" s="99">
        <f t="shared" si="10"/>
        <v>0.25</v>
      </c>
      <c r="Q37" s="68">
        <f>IF(OR(P39-P38=P38-P37,P40-P38=P38-P37),P37,IF(OR(P39-P38=P38-P36,P40-P38=P38-P36),P36,"-"))</f>
        <v>0.25</v>
      </c>
      <c r="R37" s="69">
        <f>VLOOKUP(Q37,STN_TABLE,2,FALSE)</f>
        <v>10.45</v>
      </c>
      <c r="S37" s="69">
        <v>5</v>
      </c>
      <c r="T37" s="68">
        <f>R37*S37</f>
        <v>52.25</v>
      </c>
      <c r="U37" s="79">
        <v>3</v>
      </c>
      <c r="V37" s="68">
        <f>R37*U37</f>
        <v>31.349999999999998</v>
      </c>
      <c r="W37" s="6" t="s">
        <v>93</v>
      </c>
      <c r="X37" s="70">
        <f>IF(AND(Q39-Q38=Q38-Q37,NOT(AND(Q37=0,Q38=0)),NOT(AND(Q38=0,Q39=0))),WLS*(Q39-Q38),"#NA")</f>
        <v>0.5</v>
      </c>
      <c r="AD37" s="93"/>
      <c r="AH37" s="6" t="s">
        <v>93</v>
      </c>
      <c r="AI37" s="70">
        <f>WLS*(AD39-AD38)</f>
        <v>0.5</v>
      </c>
      <c r="AU37" s="81"/>
    </row>
    <row r="38" spans="1:47" x14ac:dyDescent="0.25">
      <c r="A38" s="94">
        <f>A37+1</f>
        <v>2</v>
      </c>
      <c r="B38" s="94">
        <f>VLOOKUP(A38,STN_TABLE_2,2,FALSE)</f>
        <v>0.25</v>
      </c>
      <c r="C38" s="80">
        <f>B38</f>
        <v>0.25</v>
      </c>
      <c r="D38" s="76">
        <f>VLOOKUP(C38,STN_TABLE,2,FALSE)</f>
        <v>10.45</v>
      </c>
      <c r="E38" s="81">
        <v>4</v>
      </c>
      <c r="F38" s="76">
        <f>D38*E38</f>
        <v>41.8</v>
      </c>
      <c r="G38" s="77">
        <f>C38</f>
        <v>0.25</v>
      </c>
      <c r="H38" s="77">
        <f>F38*G38</f>
        <v>10.45</v>
      </c>
      <c r="I38" s="496" t="s">
        <v>97</v>
      </c>
      <c r="J38" s="496"/>
      <c r="K38" s="78" t="s">
        <v>98</v>
      </c>
      <c r="L38" s="78"/>
      <c r="M38" s="7" t="s">
        <v>99</v>
      </c>
      <c r="N38" s="7"/>
      <c r="O38" s="99">
        <f>O37+1</f>
        <v>3</v>
      </c>
      <c r="P38" s="99">
        <f t="shared" si="10"/>
        <v>0.5</v>
      </c>
      <c r="Q38" s="76">
        <f>P38</f>
        <v>0.5</v>
      </c>
      <c r="R38" s="77">
        <f>VLOOKUP(Q38,STN_TABLE,2,FALSE)</f>
        <v>10.75</v>
      </c>
      <c r="S38" s="77">
        <v>8</v>
      </c>
      <c r="T38" s="76">
        <f>R38*S38</f>
        <v>86</v>
      </c>
      <c r="U38" s="80">
        <v>10</v>
      </c>
      <c r="V38" s="76">
        <f>R38*U38</f>
        <v>107.5</v>
      </c>
      <c r="W38" s="496" t="s">
        <v>97</v>
      </c>
      <c r="X38" s="496"/>
      <c r="Y38" s="496" t="s">
        <v>98</v>
      </c>
      <c r="Z38" s="496"/>
      <c r="AA38" s="494" t="s">
        <v>99</v>
      </c>
      <c r="AB38" s="494"/>
      <c r="AC38" s="99">
        <f>AC33+1</f>
        <v>2</v>
      </c>
      <c r="AD38" s="95">
        <f>VLOOKUP(AC38,STN_TABLE_2,2,FALSE)</f>
        <v>0.25</v>
      </c>
      <c r="AE38" s="68">
        <f>VLOOKUP(AD38,STN_TABLE,2,FALSE)</f>
        <v>10.45</v>
      </c>
      <c r="AF38" s="68">
        <v>1</v>
      </c>
      <c r="AG38" s="69">
        <f>AE38*AF38</f>
        <v>10.45</v>
      </c>
      <c r="AH38" s="496" t="s">
        <v>97</v>
      </c>
      <c r="AI38" s="496"/>
      <c r="AJ38" s="496" t="s">
        <v>98</v>
      </c>
      <c r="AK38" s="496"/>
      <c r="AL38" s="494" t="s">
        <v>99</v>
      </c>
      <c r="AM38" s="494"/>
      <c r="AP38" s="86" t="s">
        <v>112</v>
      </c>
      <c r="AQ38" s="89" t="s">
        <v>113</v>
      </c>
      <c r="AR38" s="89" t="s">
        <v>114</v>
      </c>
      <c r="AS38" s="89" t="s">
        <v>115</v>
      </c>
    </row>
    <row r="39" spans="1:47" x14ac:dyDescent="0.25">
      <c r="A39" s="94">
        <f>A38+1</f>
        <v>3</v>
      </c>
      <c r="B39" s="94">
        <f>VLOOKUP(A39,STN_TABLE_2,2,FALSE)</f>
        <v>0.5</v>
      </c>
      <c r="C39" s="88">
        <f>B39</f>
        <v>0.5</v>
      </c>
      <c r="D39" s="82">
        <f>VLOOKUP(C39,STN_TABLE,2,FALSE)</f>
        <v>10.75</v>
      </c>
      <c r="E39" s="92">
        <v>1</v>
      </c>
      <c r="F39" s="82">
        <f>D39*E39</f>
        <v>10.75</v>
      </c>
      <c r="G39" s="83">
        <f>C39</f>
        <v>0.5</v>
      </c>
      <c r="H39" s="83">
        <f>F39*G39</f>
        <v>5.375</v>
      </c>
      <c r="I39" s="84" t="str">
        <f>CONCATENATE("a'(",C39,")=")</f>
        <v>a'(0.5)=</v>
      </c>
      <c r="J39" s="84">
        <f>2*J37/3*F40</f>
        <v>20.75</v>
      </c>
      <c r="K39" s="84" t="str">
        <f>CONCATENATE("A(",C37,")=")</f>
        <v>A(0)=</v>
      </c>
      <c r="L39" s="84">
        <f>VLOOKUP(C37,STN_TABLE,3,FALSE)</f>
        <v>0</v>
      </c>
      <c r="M39" t="str">
        <f>CONCATENATE("A(",C39,")=")</f>
        <v>A(0.5)=</v>
      </c>
      <c r="N39">
        <f>J39+L39</f>
        <v>20.75</v>
      </c>
      <c r="O39" s="99">
        <f>O38+1</f>
        <v>4</v>
      </c>
      <c r="P39" s="99">
        <f t="shared" si="10"/>
        <v>0.75</v>
      </c>
      <c r="Q39" s="82">
        <f>IF(P39-P38=P38-P37,P39,IF(P40-P38=P38-P37,P40,IF(P39-P38=P38-P36,P39,IF(P40-P38=P38-P36,P40,"-"))))</f>
        <v>0.75</v>
      </c>
      <c r="R39" s="83">
        <f>VLOOKUP(Q39,STN_TABLE,2,FALSE)</f>
        <v>10.93</v>
      </c>
      <c r="S39" s="83">
        <v>-1</v>
      </c>
      <c r="T39" s="82">
        <f>R39*S39</f>
        <v>-10.93</v>
      </c>
      <c r="U39" s="88">
        <v>-1</v>
      </c>
      <c r="V39" s="82">
        <f>R39*U39</f>
        <v>-10.93</v>
      </c>
      <c r="W39" s="84" t="str">
        <f>CONCATENATE("a'(",Q38,")=")</f>
        <v>a'(0.5)=</v>
      </c>
      <c r="X39" s="84">
        <f>2*X37/12*T40</f>
        <v>10.61</v>
      </c>
      <c r="Y39" s="84" t="str">
        <f>CONCATENATE("A(",Q37,")=")</f>
        <v>A(0.25)=</v>
      </c>
      <c r="Z39" s="84">
        <f>VLOOKUP(Q37,STN_TABLE,3,FALSE)</f>
        <v>10.112499999999999</v>
      </c>
      <c r="AA39" t="str">
        <f>CONCATENATE("A(",Q38,")=")</f>
        <v>A(0.5)=</v>
      </c>
      <c r="AB39">
        <f>X39+Z39</f>
        <v>20.722499999999997</v>
      </c>
      <c r="AC39" s="99">
        <f>AC38+1</f>
        <v>3</v>
      </c>
      <c r="AD39" s="100">
        <f>VLOOKUP(AC39,STN_TABLE_2,2,FALSE)</f>
        <v>0.5</v>
      </c>
      <c r="AE39" s="82">
        <f>VLOOKUP(AD39,STN_TABLE,2,FALSE)</f>
        <v>10.75</v>
      </c>
      <c r="AF39" s="82">
        <v>2</v>
      </c>
      <c r="AG39" s="83">
        <f>AE39*AF39</f>
        <v>21.5</v>
      </c>
      <c r="AH39" s="84" t="str">
        <f>CONCATENATE("a'(",AD39,")=")</f>
        <v>a'(0.5)=</v>
      </c>
      <c r="AI39" s="84">
        <f>2*AI37/2*AE40</f>
        <v>10.6</v>
      </c>
      <c r="AJ39" s="84" t="str">
        <f>CONCATENATE("A(",AD38,")=")</f>
        <v>A(0.25)=</v>
      </c>
      <c r="AK39" s="84">
        <f>VLOOKUP(AD38,STN_TABLE,3,FALSE)</f>
        <v>10.112499999999999</v>
      </c>
      <c r="AL39" t="str">
        <f>CONCATENATE("A(",AD39,")=")</f>
        <v>A(0.5)=</v>
      </c>
      <c r="AM39">
        <f>AI39+AK39</f>
        <v>20.712499999999999</v>
      </c>
      <c r="AO39" s="68" t="str">
        <f>AA39</f>
        <v>A(0.5)=</v>
      </c>
      <c r="AP39" s="68" t="e">
        <f>VLOOKUP(AO39,Rise_Results,2,FALSE)</f>
        <v>#N/A</v>
      </c>
      <c r="AQ39" s="76">
        <f>N39</f>
        <v>20.75</v>
      </c>
      <c r="AR39" s="76">
        <f>IF(OR(AB39&lt;=0,AB40&lt;=0),1/0,AB39)</f>
        <v>20.722499999999997</v>
      </c>
      <c r="AS39" s="76">
        <f>AM39</f>
        <v>20.712499999999999</v>
      </c>
      <c r="AT39">
        <f>IFERROR(AP39,IFERROR(AQ39,IFERROR(AR39,AS39)))</f>
        <v>20.75</v>
      </c>
    </row>
    <row r="40" spans="1:47" x14ac:dyDescent="0.25">
      <c r="A40">
        <v>4</v>
      </c>
      <c r="F40" s="82">
        <f>SUM(F37:F39)</f>
        <v>62.25</v>
      </c>
      <c r="H40" s="82">
        <f>SUM(H37:H39)</f>
        <v>15.824999999999999</v>
      </c>
      <c r="I40" s="84" t="str">
        <f>CONCATENATE("m'(",C39,")=")</f>
        <v>m'(0.5)=</v>
      </c>
      <c r="J40" s="84">
        <f>2*(J37*(WLS))/3*H40</f>
        <v>10.549999999999999</v>
      </c>
      <c r="K40" s="84" t="str">
        <f>CONCATENATE("M(",C37,")=")</f>
        <v>M(0)=</v>
      </c>
      <c r="L40" s="84">
        <f>VLOOKUP(C37,STN_TABLE,4,FALSE)</f>
        <v>0</v>
      </c>
      <c r="M40" t="str">
        <f>CONCATENATE("M(",C39,")=")</f>
        <v>M(0.5)=</v>
      </c>
      <c r="N40">
        <f>J40+L40</f>
        <v>10.549999999999999</v>
      </c>
      <c r="O40" s="99">
        <f>O39+1</f>
        <v>5</v>
      </c>
      <c r="P40" s="99">
        <f t="shared" si="10"/>
        <v>1</v>
      </c>
      <c r="T40" s="89">
        <f>SUM(T37:T39)</f>
        <v>127.32</v>
      </c>
      <c r="V40" s="82">
        <f>SUM(V37:V39)</f>
        <v>127.91999999999999</v>
      </c>
      <c r="W40" s="84" t="str">
        <f>CONCATENATE("m'(",Q38,")=")</f>
        <v>m'(0.5)=</v>
      </c>
      <c r="X40" s="84">
        <f>(2*(X37^2)/24*V40)+(X39*Q37*WLS)</f>
        <v>7.9699999999999989</v>
      </c>
      <c r="Y40" s="84" t="str">
        <f>CONCATENATE("M(",Q37,")=")</f>
        <v>M(0.25)=</v>
      </c>
      <c r="Z40" s="84">
        <f>VLOOKUP(Q37,STN_TABLE,4,FALSE)</f>
        <v>2.5593749999999997</v>
      </c>
      <c r="AA40" t="str">
        <f>CONCATENATE("M(",Q38,")=")</f>
        <v>M(0.5)=</v>
      </c>
      <c r="AB40">
        <f>X40+Z40</f>
        <v>10.529374999999998</v>
      </c>
      <c r="AE40" s="89">
        <f>SUM(AE38:AE39)</f>
        <v>21.2</v>
      </c>
      <c r="AG40" s="89">
        <f>SUM(AG38:AG39)</f>
        <v>31.95</v>
      </c>
      <c r="AH40" s="84" t="str">
        <f>CONCATENATE("m'(",AD39,")=")</f>
        <v>m'(0.5)=</v>
      </c>
      <c r="AI40" s="84">
        <f>(2*(AI37^2)/6*AG40)+(AI39*AD38*WLS)</f>
        <v>7.9624999999999995</v>
      </c>
      <c r="AJ40" s="84" t="str">
        <f>CONCATENATE("M(",AD38,")=")</f>
        <v>M(0.25)=</v>
      </c>
      <c r="AK40" s="84">
        <f>VLOOKUP(AD38,STN_TABLE,4,FALSE)</f>
        <v>2.5593749999999997</v>
      </c>
      <c r="AL40" t="str">
        <f>CONCATENATE("M(",AD39,")=")</f>
        <v>M(0.5)=</v>
      </c>
      <c r="AM40">
        <f>AI40+AK40</f>
        <v>10.521875</v>
      </c>
      <c r="AO40" s="82" t="str">
        <f>AA40</f>
        <v>M(0.5)=</v>
      </c>
      <c r="AP40" s="82" t="e">
        <f>VLOOKUP(AO40,Rise_Results,2,FALSE)</f>
        <v>#N/A</v>
      </c>
      <c r="AQ40" s="82">
        <f>N40</f>
        <v>10.549999999999999</v>
      </c>
      <c r="AR40" s="82">
        <f>IF(OR(AB39&lt;=0,AB40&lt;=0),1/0,AB40)</f>
        <v>10.529374999999998</v>
      </c>
      <c r="AS40" s="82">
        <f>AM40</f>
        <v>10.521875</v>
      </c>
      <c r="AT40">
        <f>IFERROR(AP40,IFERROR(AQ40,IFERROR(AR40,AS40)))</f>
        <v>10.549999999999999</v>
      </c>
    </row>
    <row r="41" spans="1:47" x14ac:dyDescent="0.25">
      <c r="A41" s="94">
        <v>0</v>
      </c>
      <c r="O41" s="101">
        <f>O36+1</f>
        <v>2</v>
      </c>
      <c r="P41" s="101">
        <f t="shared" si="10"/>
        <v>0.25</v>
      </c>
    </row>
    <row r="42" spans="1:47" x14ac:dyDescent="0.25">
      <c r="A42" s="94">
        <f>A41+1</f>
        <v>1</v>
      </c>
      <c r="B42" s="94">
        <f t="shared" ref="B42:B73" si="11">VLOOKUP(A42,STN_TABLE_2,2,FALSE)</f>
        <v>0</v>
      </c>
      <c r="C42" s="79">
        <f>IF(C43=B43,B42,IF(C43=B44,IF(C44-C43=C43-B43,B43,IF(C44-C43=C43-B42,B42,"NA"))))</f>
        <v>0.25</v>
      </c>
      <c r="D42" s="68">
        <f>VLOOKUP(C42,STN_TABLE,2,FALSE)</f>
        <v>10.45</v>
      </c>
      <c r="E42" s="102">
        <v>1</v>
      </c>
      <c r="F42" s="68">
        <f>D42*E42</f>
        <v>10.45</v>
      </c>
      <c r="G42" s="69">
        <f>C42</f>
        <v>0.25</v>
      </c>
      <c r="H42" s="69">
        <f>F42*G42</f>
        <v>2.6124999999999998</v>
      </c>
      <c r="I42" s="6" t="s">
        <v>93</v>
      </c>
      <c r="J42" s="70">
        <f>IF(OR(D42=0,D43=0,D44=0),"#NA",IF(AND(C44-C43=C43-C42,C43&lt;&gt;C44,C42&lt;&gt;C43,C42&lt;&gt;C44,D44&lt;&gt;0,OR(D42&lt;&gt;0,D43&lt;&gt;0)),WLS*(C44-C43),"#NA"))</f>
        <v>0.5</v>
      </c>
      <c r="O42" s="99">
        <f>O41+1</f>
        <v>3</v>
      </c>
      <c r="P42" s="99">
        <f t="shared" si="10"/>
        <v>0.5</v>
      </c>
      <c r="Q42" s="68">
        <f>IF(OR(P44-P43=P43-P42,P45-P43=P43-P42),P42,IF(OR(P44-P43=P43-P41,P45-P43=P43-P41),P41,"-"))</f>
        <v>0.5</v>
      </c>
      <c r="R42" s="69">
        <f>VLOOKUP(Q42,STN_TABLE,2,FALSE)</f>
        <v>10.75</v>
      </c>
      <c r="S42" s="69">
        <v>5</v>
      </c>
      <c r="T42" s="68">
        <f>R42*S42</f>
        <v>53.75</v>
      </c>
      <c r="U42" s="79">
        <v>3</v>
      </c>
      <c r="V42" s="68">
        <f>R42*U42</f>
        <v>32.25</v>
      </c>
      <c r="W42" s="6" t="s">
        <v>93</v>
      </c>
      <c r="X42" s="70">
        <f>IF(AND(Q44-Q43=Q43-Q42,NOT(AND(Q42=0,Q43=0)),NOT(AND(Q43=0,Q44=0))),WLS*(Q44-Q43),"#NA")</f>
        <v>0.5</v>
      </c>
      <c r="AD42" s="93"/>
      <c r="AH42" s="6" t="s">
        <v>93</v>
      </c>
      <c r="AI42" s="70">
        <f>WLS*(AD44-AD43)</f>
        <v>0.5</v>
      </c>
      <c r="AU42" s="81"/>
    </row>
    <row r="43" spans="1:47" x14ac:dyDescent="0.25">
      <c r="A43" s="94">
        <f>A42+1</f>
        <v>2</v>
      </c>
      <c r="B43" s="94">
        <f t="shared" si="11"/>
        <v>0.25</v>
      </c>
      <c r="C43" s="80">
        <f>IF(OR(B45-B44=B44-B43,B45-B44=B44-B42,),B44,IF(B45-B43=B43-B42,B43,"#NA"))</f>
        <v>0.5</v>
      </c>
      <c r="D43" s="76">
        <f>VLOOKUP(C43,STN_TABLE,2,FALSE)</f>
        <v>10.75</v>
      </c>
      <c r="E43" s="81">
        <v>4</v>
      </c>
      <c r="F43" s="76">
        <f>D43*E43</f>
        <v>43</v>
      </c>
      <c r="G43" s="77">
        <f>C43</f>
        <v>0.5</v>
      </c>
      <c r="H43" s="77">
        <f>F43*G43</f>
        <v>21.5</v>
      </c>
      <c r="I43" s="496" t="s">
        <v>97</v>
      </c>
      <c r="J43" s="496"/>
      <c r="K43" s="78" t="s">
        <v>98</v>
      </c>
      <c r="L43" s="78"/>
      <c r="M43" s="7" t="s">
        <v>99</v>
      </c>
      <c r="N43" s="7"/>
      <c r="O43" s="99">
        <f>O42+1</f>
        <v>4</v>
      </c>
      <c r="P43" s="99">
        <f t="shared" si="10"/>
        <v>0.75</v>
      </c>
      <c r="Q43" s="76">
        <f>P43</f>
        <v>0.75</v>
      </c>
      <c r="R43" s="77">
        <f>VLOOKUP(Q43,STN_TABLE,2,FALSE)</f>
        <v>10.93</v>
      </c>
      <c r="S43" s="77">
        <v>8</v>
      </c>
      <c r="T43" s="76">
        <f>R43*S43</f>
        <v>87.44</v>
      </c>
      <c r="U43" s="80">
        <v>10</v>
      </c>
      <c r="V43" s="76">
        <f>R43*U43</f>
        <v>109.3</v>
      </c>
      <c r="W43" s="496" t="s">
        <v>97</v>
      </c>
      <c r="X43" s="496"/>
      <c r="Y43" s="496" t="s">
        <v>98</v>
      </c>
      <c r="Z43" s="496"/>
      <c r="AA43" s="494" t="s">
        <v>99</v>
      </c>
      <c r="AB43" s="494"/>
      <c r="AC43" s="99">
        <f>AC38+1</f>
        <v>3</v>
      </c>
      <c r="AD43" s="95">
        <f>VLOOKUP(AC43,STN_TABLE_2,2,FALSE)</f>
        <v>0.5</v>
      </c>
      <c r="AE43" s="68">
        <f>VLOOKUP(AD43,STN_TABLE,2,FALSE)</f>
        <v>10.75</v>
      </c>
      <c r="AF43" s="68">
        <v>1</v>
      </c>
      <c r="AG43" s="69">
        <f>AE43*AF43</f>
        <v>10.75</v>
      </c>
      <c r="AH43" s="496" t="s">
        <v>97</v>
      </c>
      <c r="AI43" s="496"/>
      <c r="AJ43" s="496" t="s">
        <v>98</v>
      </c>
      <c r="AK43" s="496"/>
      <c r="AL43" s="494" t="s">
        <v>99</v>
      </c>
      <c r="AM43" s="494"/>
      <c r="AP43" s="86" t="s">
        <v>112</v>
      </c>
      <c r="AQ43" s="89" t="s">
        <v>113</v>
      </c>
      <c r="AR43" s="89" t="s">
        <v>114</v>
      </c>
      <c r="AS43" s="89" t="s">
        <v>115</v>
      </c>
      <c r="AU43" s="81"/>
    </row>
    <row r="44" spans="1:47" x14ac:dyDescent="0.25">
      <c r="A44" s="94">
        <f>A43+1</f>
        <v>3</v>
      </c>
      <c r="B44" s="94">
        <f t="shared" si="11"/>
        <v>0.5</v>
      </c>
      <c r="C44" s="88">
        <f>B45</f>
        <v>0.75</v>
      </c>
      <c r="D44" s="82">
        <f>VLOOKUP(C44,STN_TABLE,2,FALSE)</f>
        <v>10.93</v>
      </c>
      <c r="E44" s="92">
        <v>1</v>
      </c>
      <c r="F44" s="82">
        <f>D44*E44</f>
        <v>10.93</v>
      </c>
      <c r="G44" s="83">
        <f>C44</f>
        <v>0.75</v>
      </c>
      <c r="H44" s="83">
        <f>F44*G44</f>
        <v>8.1974999999999998</v>
      </c>
      <c r="I44" s="84" t="str">
        <f>CONCATENATE("a'(",C44,")=")</f>
        <v>a'(0.75)=</v>
      </c>
      <c r="J44" s="84">
        <f>2*J42/3*F45</f>
        <v>21.459999999999997</v>
      </c>
      <c r="K44" s="84" t="str">
        <f>CONCATENATE("A(",C42,")=")</f>
        <v>A(0.25)=</v>
      </c>
      <c r="L44" s="84">
        <f>VLOOKUP(C42,STN_TABLE,3,FALSE)</f>
        <v>10.112499999999999</v>
      </c>
      <c r="M44" t="str">
        <f>CONCATENATE("A(",C44,")=")</f>
        <v>A(0.75)=</v>
      </c>
      <c r="N44">
        <f>J44+L44</f>
        <v>31.572499999999998</v>
      </c>
      <c r="O44" s="99">
        <f>O43+1</f>
        <v>5</v>
      </c>
      <c r="P44" s="99">
        <f t="shared" si="10"/>
        <v>1</v>
      </c>
      <c r="Q44" s="82">
        <f>IF(P44-P43=P43-P42,P44,IF(P45-P43=P43-P42,P45,IF(P44-P43=P43-P41,P44,IF(P45-P43=P43-P41,P45,"-"))))</f>
        <v>1</v>
      </c>
      <c r="R44" s="83">
        <f>VLOOKUP(Q44,STN_TABLE,2,FALSE)</f>
        <v>11</v>
      </c>
      <c r="S44" s="83">
        <v>-1</v>
      </c>
      <c r="T44" s="82">
        <f>R44*S44</f>
        <v>-11</v>
      </c>
      <c r="U44" s="88">
        <v>-1</v>
      </c>
      <c r="V44" s="82">
        <f>R44*U44</f>
        <v>-11</v>
      </c>
      <c r="W44" s="84" t="str">
        <f>CONCATENATE("a'(",Q43,")=")</f>
        <v>a'(0.75)=</v>
      </c>
      <c r="X44" s="84">
        <f>2*X42/12*T45</f>
        <v>10.849166666666665</v>
      </c>
      <c r="Y44" s="84" t="str">
        <f>CONCATENATE("A(",Q42,")=")</f>
        <v>A(0.5)=</v>
      </c>
      <c r="Z44" s="84">
        <f>VLOOKUP(Q42,STN_TABLE,3,FALSE)</f>
        <v>20.75</v>
      </c>
      <c r="AA44" t="str">
        <f>CONCATENATE("A(",Q43,")=")</f>
        <v>A(0.75)=</v>
      </c>
      <c r="AB44">
        <f>X44+Z44</f>
        <v>31.599166666666665</v>
      </c>
      <c r="AC44" s="99">
        <f>AC43+1</f>
        <v>4</v>
      </c>
      <c r="AD44" s="100">
        <f>VLOOKUP(AC44,STN_TABLE_2,2,FALSE)</f>
        <v>0.75</v>
      </c>
      <c r="AE44" s="82">
        <f>VLOOKUP(AD44,STN_TABLE,2,FALSE)</f>
        <v>10.93</v>
      </c>
      <c r="AF44" s="82">
        <v>2</v>
      </c>
      <c r="AG44" s="83">
        <f>AE44*AF44</f>
        <v>21.86</v>
      </c>
      <c r="AH44" s="84" t="str">
        <f>CONCATENATE("a'(",AD44,")=")</f>
        <v>a'(0.75)=</v>
      </c>
      <c r="AI44" s="84">
        <f>2*AI42/2*AE45</f>
        <v>10.84</v>
      </c>
      <c r="AJ44" s="84" t="str">
        <f>CONCATENATE("A(",AD43,")=")</f>
        <v>A(0.5)=</v>
      </c>
      <c r="AK44" s="84">
        <f>VLOOKUP(AD43,STN_TABLE,3,FALSE)</f>
        <v>20.75</v>
      </c>
      <c r="AL44" t="str">
        <f>CONCATENATE("A(",AD44,")=")</f>
        <v>A(0.75)=</v>
      </c>
      <c r="AM44">
        <f>AI44+AK44</f>
        <v>31.59</v>
      </c>
      <c r="AO44" s="68" t="str">
        <f>AA44</f>
        <v>A(0.75)=</v>
      </c>
      <c r="AP44" s="68" t="e">
        <f>VLOOKUP(AO44,Rise_Results,2,FALSE)</f>
        <v>#N/A</v>
      </c>
      <c r="AQ44" s="76">
        <f>N44</f>
        <v>31.572499999999998</v>
      </c>
      <c r="AR44" s="76">
        <f>IF(OR(AB44&lt;=0,AB45&lt;=0),1/0,AB44)</f>
        <v>31.599166666666665</v>
      </c>
      <c r="AS44" s="76">
        <f>AM44</f>
        <v>31.59</v>
      </c>
      <c r="AT44">
        <f>IFERROR(AP44,IFERROR(AQ44,IFERROR(AR44,AS44)))</f>
        <v>31.572499999999998</v>
      </c>
      <c r="AU44" s="81"/>
    </row>
    <row r="45" spans="1:47" x14ac:dyDescent="0.25">
      <c r="A45" s="94">
        <f>A44+1</f>
        <v>4</v>
      </c>
      <c r="B45" s="94">
        <f t="shared" si="11"/>
        <v>0.75</v>
      </c>
      <c r="F45" s="82">
        <f>SUM(F42:F44)</f>
        <v>64.38</v>
      </c>
      <c r="H45" s="82">
        <f>SUM(H42:H44)</f>
        <v>32.31</v>
      </c>
      <c r="I45" s="84" t="str">
        <f>CONCATENATE("m'(",C44,")=")</f>
        <v>m'(0.75)=</v>
      </c>
      <c r="J45" s="84">
        <f>2*(J42*(WLS))/3*H45</f>
        <v>21.54</v>
      </c>
      <c r="K45" s="84" t="str">
        <f>CONCATENATE("M(",C42,")=")</f>
        <v>M(0.25)=</v>
      </c>
      <c r="L45" s="84">
        <f>VLOOKUP(C42,STN_TABLE,4,FALSE)</f>
        <v>2.5593749999999997</v>
      </c>
      <c r="M45" t="str">
        <f>CONCATENATE("M(",C44,")=")</f>
        <v>M(0.75)=</v>
      </c>
      <c r="N45">
        <f>J45+L45</f>
        <v>24.099374999999998</v>
      </c>
      <c r="O45" s="99">
        <f>O44+1</f>
        <v>6</v>
      </c>
      <c r="P45" s="99">
        <f t="shared" si="10"/>
        <v>2</v>
      </c>
      <c r="T45" s="89">
        <f>SUM(T42:T44)</f>
        <v>130.19</v>
      </c>
      <c r="V45" s="82">
        <f>SUM(V42:V44)</f>
        <v>130.55000000000001</v>
      </c>
      <c r="W45" s="84" t="str">
        <f>CONCATENATE("m'(",Q43,")=")</f>
        <v>m'(0.75)=</v>
      </c>
      <c r="X45" s="84">
        <f>(2*(X42^2)/24*V45)+(X44*Q42*WLS)</f>
        <v>13.568958333333331</v>
      </c>
      <c r="Y45" s="84" t="str">
        <f>CONCATENATE("M(",Q42,")=")</f>
        <v>M(0.5)=</v>
      </c>
      <c r="Z45" s="84">
        <f>VLOOKUP(Q42,STN_TABLE,4,FALSE)</f>
        <v>10.549999999999999</v>
      </c>
      <c r="AA45" t="str">
        <f>CONCATENATE("M(",Q43,")=")</f>
        <v>M(0.75)=</v>
      </c>
      <c r="AB45">
        <f>X45+Z45</f>
        <v>24.118958333333332</v>
      </c>
      <c r="AE45" s="89">
        <f>SUM(AE43:AE44)</f>
        <v>21.68</v>
      </c>
      <c r="AG45" s="89">
        <f>SUM(AG43:AG44)</f>
        <v>32.61</v>
      </c>
      <c r="AH45" s="84" t="str">
        <f>CONCATENATE("m'(",AD44,")=")</f>
        <v>m'(0.75)=</v>
      </c>
      <c r="AI45" s="84">
        <f>(2*(AI42^2)/6*AG45)+(AI44*AD43*WLS)</f>
        <v>13.557499999999999</v>
      </c>
      <c r="AJ45" s="84" t="str">
        <f>CONCATENATE("M(",AD43,")=")</f>
        <v>M(0.5)=</v>
      </c>
      <c r="AK45" s="84">
        <f>VLOOKUP(AD43,STN_TABLE,4,FALSE)</f>
        <v>10.549999999999999</v>
      </c>
      <c r="AL45" t="str">
        <f>CONCATENATE("M(",AD44,")=")</f>
        <v>M(0.75)=</v>
      </c>
      <c r="AM45">
        <f>AI45+AK45</f>
        <v>24.107499999999998</v>
      </c>
      <c r="AO45" s="82" t="str">
        <f>AA45</f>
        <v>M(0.75)=</v>
      </c>
      <c r="AP45" s="82" t="e">
        <f>VLOOKUP(AO45,Rise_Results,2,FALSE)</f>
        <v>#N/A</v>
      </c>
      <c r="AQ45" s="82">
        <f>N45</f>
        <v>24.099374999999998</v>
      </c>
      <c r="AR45" s="82">
        <f>IF(OR(AB44&lt;=0,AB45&lt;=0),1/0,AB45)</f>
        <v>24.118958333333332</v>
      </c>
      <c r="AS45" s="82">
        <f>AM45</f>
        <v>24.107499999999998</v>
      </c>
      <c r="AT45">
        <f>IFERROR(AP45,IFERROR(AQ45,IFERROR(AR45,AS45)))</f>
        <v>24.099374999999998</v>
      </c>
      <c r="AU45" s="81"/>
    </row>
    <row r="46" spans="1:47" x14ac:dyDescent="0.25">
      <c r="A46" s="101">
        <f>A41+1</f>
        <v>1</v>
      </c>
      <c r="B46" s="101">
        <f t="shared" si="11"/>
        <v>0</v>
      </c>
      <c r="O46" s="101">
        <f>O41+1</f>
        <v>3</v>
      </c>
      <c r="P46" s="101">
        <f t="shared" si="10"/>
        <v>0.5</v>
      </c>
      <c r="AU46" s="81"/>
    </row>
    <row r="47" spans="1:47" x14ac:dyDescent="0.25">
      <c r="A47" s="84">
        <f>A46+1</f>
        <v>2</v>
      </c>
      <c r="B47" s="84">
        <f t="shared" si="11"/>
        <v>0.25</v>
      </c>
      <c r="C47" s="79">
        <f>IF(C48=B49,IF(C49-C48=C48-B48,B48,IF(C49-C48=C48-B47,B47,"#NA")),IF(C48=B48,IF(C49-C48=C48-B47,B47,IF(C49-C48=C48-B46,B46,"#NA")),"#NA"))</f>
        <v>0.5</v>
      </c>
      <c r="D47" s="68">
        <f>VLOOKUP(C47,STN_TABLE,2,FALSE)</f>
        <v>10.75</v>
      </c>
      <c r="E47" s="102">
        <v>1</v>
      </c>
      <c r="F47" s="68">
        <f>D47*E47</f>
        <v>10.75</v>
      </c>
      <c r="G47" s="69">
        <f>C47</f>
        <v>0.5</v>
      </c>
      <c r="H47" s="69">
        <f>F47*G47</f>
        <v>5.375</v>
      </c>
      <c r="I47" s="6" t="s">
        <v>93</v>
      </c>
      <c r="J47" s="70">
        <f>IF(OR(D47=0,D48=0,D49=0),"#NA",IF(AND(C49-C48=C48-C47,C48&lt;&gt;C49,C47&lt;&gt;C48,C47&lt;&gt;C49,D49&lt;&gt;0,OR(D47&lt;&gt;0,D48&lt;&gt;0)),WLS*(C49-C48),"#NA"))</f>
        <v>0.5</v>
      </c>
      <c r="O47" s="99">
        <f>O46+1</f>
        <v>4</v>
      </c>
      <c r="P47" s="99">
        <f t="shared" si="10"/>
        <v>0.75</v>
      </c>
      <c r="Q47" s="68" t="str">
        <f>IF(OR(P49-P48=P48-P47,P50-P48=P48-P47),P47,IF(OR(P49-P48=P48-P46,P50-P48=P48-P46),P46,"-"))</f>
        <v>-</v>
      </c>
      <c r="R47" s="69" t="e">
        <f>VLOOKUP(Q47,STN_TABLE,2,FALSE)</f>
        <v>#N/A</v>
      </c>
      <c r="S47" s="69">
        <v>5</v>
      </c>
      <c r="T47" s="68" t="e">
        <f>R47*S47</f>
        <v>#N/A</v>
      </c>
      <c r="U47" s="79">
        <v>3</v>
      </c>
      <c r="V47" s="68" t="e">
        <f>R47*U47</f>
        <v>#N/A</v>
      </c>
      <c r="W47" s="6" t="s">
        <v>93</v>
      </c>
      <c r="X47" s="70" t="e">
        <f>IF(AND(Q49-Q48=Q48-Q47,NOT(AND(Q47=0,Q48=0)),NOT(AND(Q48=0,Q49=0))),WLS*(Q49-Q48),"#NA")</f>
        <v>#VALUE!</v>
      </c>
      <c r="AD47" s="93"/>
      <c r="AH47" s="6" t="s">
        <v>93</v>
      </c>
      <c r="AI47" s="70">
        <f>WLS*(AD49-AD48)</f>
        <v>0.5</v>
      </c>
      <c r="AU47" s="81"/>
    </row>
    <row r="48" spans="1:47" x14ac:dyDescent="0.25">
      <c r="A48" s="84">
        <f>A47+1</f>
        <v>3</v>
      </c>
      <c r="B48" s="84">
        <f t="shared" si="11"/>
        <v>0.5</v>
      </c>
      <c r="C48" s="80">
        <f>IF(OR(B50-B49=B49-B48,B50-B49=B49-B47,B50-B49=B49-B46),B49,IF(OR(B50-B48=B48-B47,B50-B48=B48-B46),B48,IF(B50-B47=B47-B46,B47,"#NA")))</f>
        <v>0.75</v>
      </c>
      <c r="D48" s="76">
        <f>VLOOKUP(C48,STN_TABLE,2,FALSE)</f>
        <v>10.93</v>
      </c>
      <c r="E48" s="81">
        <v>4</v>
      </c>
      <c r="F48" s="76">
        <f>D48*E48</f>
        <v>43.72</v>
      </c>
      <c r="G48" s="77">
        <f>C48</f>
        <v>0.75</v>
      </c>
      <c r="H48" s="77">
        <f>F48*G48</f>
        <v>32.79</v>
      </c>
      <c r="I48" s="496" t="s">
        <v>97</v>
      </c>
      <c r="J48" s="496"/>
      <c r="K48" s="78" t="s">
        <v>98</v>
      </c>
      <c r="L48" s="78"/>
      <c r="M48" s="7" t="s">
        <v>99</v>
      </c>
      <c r="N48" s="7"/>
      <c r="O48" s="99">
        <f>O47+1</f>
        <v>5</v>
      </c>
      <c r="P48" s="99">
        <f t="shared" si="10"/>
        <v>1</v>
      </c>
      <c r="Q48" s="76">
        <f>P48</f>
        <v>1</v>
      </c>
      <c r="R48" s="77">
        <f>VLOOKUP(Q48,STN_TABLE,2,FALSE)</f>
        <v>11</v>
      </c>
      <c r="S48" s="77">
        <v>8</v>
      </c>
      <c r="T48" s="76">
        <f>R48*S48</f>
        <v>88</v>
      </c>
      <c r="U48" s="80">
        <v>10</v>
      </c>
      <c r="V48" s="76">
        <f>R48*U48</f>
        <v>110</v>
      </c>
      <c r="W48" s="496" t="s">
        <v>97</v>
      </c>
      <c r="X48" s="496"/>
      <c r="Y48" s="496" t="s">
        <v>98</v>
      </c>
      <c r="Z48" s="496"/>
      <c r="AA48" s="494" t="s">
        <v>99</v>
      </c>
      <c r="AB48" s="494"/>
      <c r="AC48" s="99">
        <f>AC43+1</f>
        <v>4</v>
      </c>
      <c r="AD48" s="95">
        <f>VLOOKUP(AC48,STN_TABLE_2,2,FALSE)</f>
        <v>0.75</v>
      </c>
      <c r="AE48" s="68">
        <f>VLOOKUP(AD48,STN_TABLE,2,FALSE)</f>
        <v>10.93</v>
      </c>
      <c r="AF48" s="68">
        <v>1</v>
      </c>
      <c r="AG48" s="69">
        <f>AE48*AF48</f>
        <v>10.93</v>
      </c>
      <c r="AH48" s="496" t="s">
        <v>97</v>
      </c>
      <c r="AI48" s="496"/>
      <c r="AJ48" s="496" t="s">
        <v>98</v>
      </c>
      <c r="AK48" s="496"/>
      <c r="AL48" s="494" t="s">
        <v>99</v>
      </c>
      <c r="AM48" s="494"/>
      <c r="AP48" s="86" t="s">
        <v>112</v>
      </c>
      <c r="AQ48" s="89" t="s">
        <v>113</v>
      </c>
      <c r="AR48" s="89" t="s">
        <v>114</v>
      </c>
      <c r="AS48" s="89" t="s">
        <v>115</v>
      </c>
      <c r="AU48" s="81"/>
    </row>
    <row r="49" spans="1:47" x14ac:dyDescent="0.25">
      <c r="A49" s="84">
        <f>A48+1</f>
        <v>4</v>
      </c>
      <c r="B49" s="84">
        <f t="shared" si="11"/>
        <v>0.75</v>
      </c>
      <c r="C49" s="88">
        <f>B50</f>
        <v>1</v>
      </c>
      <c r="D49" s="82">
        <f>VLOOKUP(C49,STN_TABLE,2,FALSE)</f>
        <v>11</v>
      </c>
      <c r="E49" s="92">
        <v>1</v>
      </c>
      <c r="F49" s="82">
        <f>D49*E49</f>
        <v>11</v>
      </c>
      <c r="G49" s="83">
        <f>C49</f>
        <v>1</v>
      </c>
      <c r="H49" s="83">
        <f>F49*G49</f>
        <v>11</v>
      </c>
      <c r="I49" s="84" t="str">
        <f>CONCATENATE("a'(",C49,")=")</f>
        <v>a'(1)=</v>
      </c>
      <c r="J49" s="84">
        <f>2*J47/3*F50</f>
        <v>21.823333333333331</v>
      </c>
      <c r="K49" s="84" t="str">
        <f>CONCATENATE("A(",C47,")=")</f>
        <v>A(0.5)=</v>
      </c>
      <c r="L49" s="84">
        <f>VLOOKUP(C47,STN_TABLE,3,FALSE)</f>
        <v>20.75</v>
      </c>
      <c r="M49" t="str">
        <f>CONCATENATE("A(",C49,")=")</f>
        <v>A(1)=</v>
      </c>
      <c r="N49">
        <f>J49+L49</f>
        <v>42.573333333333331</v>
      </c>
      <c r="O49" s="99">
        <f>O48+1</f>
        <v>6</v>
      </c>
      <c r="P49" s="99">
        <f t="shared" si="10"/>
        <v>2</v>
      </c>
      <c r="Q49" s="82" t="str">
        <f>IF(P49-P48=P48-P47,P49,IF(P50-P48=P48-P47,P50,IF(P49-P48=P48-P46,P49,IF(P50-P48=P48-P46,P50,"-"))))</f>
        <v>-</v>
      </c>
      <c r="R49" s="83" t="e">
        <f>VLOOKUP(Q49,STN_TABLE,2,FALSE)</f>
        <v>#N/A</v>
      </c>
      <c r="S49" s="83">
        <v>-1</v>
      </c>
      <c r="T49" s="82" t="e">
        <f>R49*S49</f>
        <v>#N/A</v>
      </c>
      <c r="U49" s="88">
        <v>-1</v>
      </c>
      <c r="V49" s="82" t="e">
        <f>R49*U49</f>
        <v>#N/A</v>
      </c>
      <c r="W49" s="84" t="str">
        <f>CONCATENATE("a'(",Q48,")=")</f>
        <v>a'(1)=</v>
      </c>
      <c r="X49" s="84" t="e">
        <f>2*X47/12*T50</f>
        <v>#VALUE!</v>
      </c>
      <c r="Y49" s="84" t="str">
        <f>CONCATENATE("A(",Q47,")=")</f>
        <v>A(-)=</v>
      </c>
      <c r="Z49" s="84" t="e">
        <f>VLOOKUP(Q47,STN_TABLE,3,FALSE)</f>
        <v>#N/A</v>
      </c>
      <c r="AA49" t="str">
        <f>CONCATENATE("A(",Q48,")=")</f>
        <v>A(1)=</v>
      </c>
      <c r="AB49" t="e">
        <f>X49+Z49</f>
        <v>#VALUE!</v>
      </c>
      <c r="AC49" s="99">
        <f>AC48+1</f>
        <v>5</v>
      </c>
      <c r="AD49" s="100">
        <f>VLOOKUP(AC49,STN_TABLE_2,2,FALSE)</f>
        <v>1</v>
      </c>
      <c r="AE49" s="82">
        <f>VLOOKUP(AD49,STN_TABLE,2,FALSE)</f>
        <v>11</v>
      </c>
      <c r="AF49" s="82">
        <v>2</v>
      </c>
      <c r="AG49" s="83">
        <f>AE49*AF49</f>
        <v>22</v>
      </c>
      <c r="AH49" s="84" t="str">
        <f>CONCATENATE("a'(",AD49,")=")</f>
        <v>a'(1)=</v>
      </c>
      <c r="AI49" s="84">
        <f>2*AI47/2*AE50</f>
        <v>10.965</v>
      </c>
      <c r="AJ49" s="84" t="str">
        <f>CONCATENATE("A(",AD48,")=")</f>
        <v>A(0.75)=</v>
      </c>
      <c r="AK49" s="84">
        <f>VLOOKUP(AD48,STN_TABLE,3,FALSE)</f>
        <v>31.572499999999998</v>
      </c>
      <c r="AL49" t="str">
        <f>CONCATENATE("A(",AD49,")=")</f>
        <v>A(1)=</v>
      </c>
      <c r="AM49">
        <f>AI49+AK49</f>
        <v>42.537499999999994</v>
      </c>
      <c r="AO49" s="68" t="str">
        <f>AA49</f>
        <v>A(1)=</v>
      </c>
      <c r="AP49" s="68" t="e">
        <f>VLOOKUP(AO49,Rise_Results,2,FALSE)</f>
        <v>#N/A</v>
      </c>
      <c r="AQ49" s="76">
        <f>N49</f>
        <v>42.573333333333331</v>
      </c>
      <c r="AR49" s="76" t="e">
        <f>IF(OR(AB49&lt;=0,AB50&lt;=0),1/0,AB49)</f>
        <v>#VALUE!</v>
      </c>
      <c r="AS49" s="76">
        <f>AM49</f>
        <v>42.537499999999994</v>
      </c>
      <c r="AT49">
        <f>IFERROR(AP49,IFERROR(AQ49,IFERROR(AR49,AS49)))</f>
        <v>42.573333333333331</v>
      </c>
      <c r="AU49" s="81"/>
    </row>
    <row r="50" spans="1:47" x14ac:dyDescent="0.25">
      <c r="A50" s="84">
        <f>A49+1</f>
        <v>5</v>
      </c>
      <c r="B50" s="84">
        <f t="shared" si="11"/>
        <v>1</v>
      </c>
      <c r="F50" s="82">
        <f>SUM(F47:F49)</f>
        <v>65.47</v>
      </c>
      <c r="H50" s="82">
        <f>SUM(H47:H49)</f>
        <v>49.164999999999999</v>
      </c>
      <c r="I50" s="84" t="str">
        <f>CONCATENATE("m'(",C49,")=")</f>
        <v>m'(1)=</v>
      </c>
      <c r="J50" s="84">
        <f>2*(J47*(WLS))/3*H50</f>
        <v>32.776666666666664</v>
      </c>
      <c r="K50" s="84" t="str">
        <f>CONCATENATE("M(",C47,")=")</f>
        <v>M(0.5)=</v>
      </c>
      <c r="L50" s="84">
        <f>VLOOKUP(C47,STN_TABLE,4,FALSE)</f>
        <v>10.549999999999999</v>
      </c>
      <c r="M50" t="str">
        <f>CONCATENATE("M(",C49,")=")</f>
        <v>M(1)=</v>
      </c>
      <c r="N50">
        <f>J50+L50</f>
        <v>43.326666666666661</v>
      </c>
      <c r="O50" s="99">
        <f>O49+1</f>
        <v>7</v>
      </c>
      <c r="P50" s="99">
        <f t="shared" si="10"/>
        <v>3</v>
      </c>
      <c r="T50" s="89" t="e">
        <f>SUM(T47:T49)</f>
        <v>#N/A</v>
      </c>
      <c r="V50" s="82" t="e">
        <f>SUM(V47:V49)</f>
        <v>#N/A</v>
      </c>
      <c r="W50" s="84" t="str">
        <f>CONCATENATE("m'(",Q48,")=")</f>
        <v>m'(1)=</v>
      </c>
      <c r="X50" s="84" t="e">
        <f>(2*(X47^2)/24*V50)+(X49*Q47*WLS)</f>
        <v>#VALUE!</v>
      </c>
      <c r="Y50" s="84" t="str">
        <f>CONCATENATE("M(",Q47,")=")</f>
        <v>M(-)=</v>
      </c>
      <c r="Z50" s="84" t="e">
        <f>VLOOKUP(Q47,STN_TABLE,4,FALSE)</f>
        <v>#N/A</v>
      </c>
      <c r="AA50" t="str">
        <f>CONCATENATE("M(",Q48,")=")</f>
        <v>M(1)=</v>
      </c>
      <c r="AB50" t="e">
        <f>X50+Z50</f>
        <v>#VALUE!</v>
      </c>
      <c r="AE50" s="89">
        <f>SUM(AE48:AE49)</f>
        <v>21.93</v>
      </c>
      <c r="AG50" s="89">
        <f>SUM(AG48:AG49)</f>
        <v>32.93</v>
      </c>
      <c r="AH50" s="84" t="str">
        <f>CONCATENATE("m'(",AD49,")=")</f>
        <v>m'(1)=</v>
      </c>
      <c r="AI50" s="84">
        <f>(2*(AI47^2)/6*AG50)+(AI49*AD48*WLS)</f>
        <v>19.191666666666663</v>
      </c>
      <c r="AJ50" s="84" t="str">
        <f>CONCATENATE("M(",AD48,")=")</f>
        <v>M(0.75)=</v>
      </c>
      <c r="AK50" s="84">
        <f>VLOOKUP(AD48,STN_TABLE,4,FALSE)</f>
        <v>24.099374999999998</v>
      </c>
      <c r="AL50" t="str">
        <f>CONCATENATE("M(",AD49,")=")</f>
        <v>M(1)=</v>
      </c>
      <c r="AM50">
        <f>AI50+AK50</f>
        <v>43.291041666666658</v>
      </c>
      <c r="AO50" s="82" t="str">
        <f>AA50</f>
        <v>M(1)=</v>
      </c>
      <c r="AP50" s="82" t="e">
        <f>VLOOKUP(AO50,Rise_Results,2,FALSE)</f>
        <v>#N/A</v>
      </c>
      <c r="AQ50" s="82">
        <f>N50</f>
        <v>43.326666666666661</v>
      </c>
      <c r="AR50" s="82" t="e">
        <f>IF(OR(AB49&lt;=0,AB50&lt;=0),1/0,AB50)</f>
        <v>#VALUE!</v>
      </c>
      <c r="AS50" s="82">
        <f>AM50</f>
        <v>43.291041666666658</v>
      </c>
      <c r="AT50">
        <f>IFERROR(AP50,IFERROR(AQ50,IFERROR(AR50,AS50)))</f>
        <v>43.326666666666661</v>
      </c>
      <c r="AU50" s="81"/>
    </row>
    <row r="51" spans="1:47" x14ac:dyDescent="0.25">
      <c r="A51" s="101">
        <f>A46+1</f>
        <v>2</v>
      </c>
      <c r="B51" s="101">
        <f t="shared" si="11"/>
        <v>0.25</v>
      </c>
      <c r="O51" s="101">
        <f>O46+1</f>
        <v>4</v>
      </c>
      <c r="P51" s="101">
        <f t="shared" si="10"/>
        <v>0.75</v>
      </c>
      <c r="AU51" s="81"/>
    </row>
    <row r="52" spans="1:47" x14ac:dyDescent="0.25">
      <c r="A52" s="84">
        <f>A51+1</f>
        <v>3</v>
      </c>
      <c r="B52" s="84">
        <f t="shared" si="11"/>
        <v>0.5</v>
      </c>
      <c r="C52" s="79" t="str">
        <f t="shared" ref="C52" si="12">IF(C53=B54,IF(C54-C53=C53-B53,B53,IF(C54-C53=C53-B52,B52,"#NA")),IF(C53=B53,IF(C54-C53=C53-B52,B52,IF(C54-C53=C53-B51,B51,"#NA")),"#NA"))</f>
        <v>#NA</v>
      </c>
      <c r="D52" s="68" t="e">
        <f>VLOOKUP(C52,STN_TABLE,2,FALSE)</f>
        <v>#N/A</v>
      </c>
      <c r="E52" s="102">
        <v>1</v>
      </c>
      <c r="F52" s="68" t="e">
        <f>D52*E52</f>
        <v>#N/A</v>
      </c>
      <c r="G52" s="69" t="str">
        <f>C52</f>
        <v>#NA</v>
      </c>
      <c r="H52" s="69" t="e">
        <f>F52*G52</f>
        <v>#N/A</v>
      </c>
      <c r="I52" s="6" t="s">
        <v>93</v>
      </c>
      <c r="J52" s="70" t="e">
        <f>IF(OR(D52=0,D53=0,D54=0),"#NA",IF(AND(C54-C53=C53-C52,C53&lt;&gt;C54,C52&lt;&gt;C53,C52&lt;&gt;C54,D54&lt;&gt;0,OR(D52&lt;&gt;0,D53&lt;&gt;0)),WLS*(C54-C53),"#NA"))</f>
        <v>#N/A</v>
      </c>
      <c r="O52" s="99">
        <f>O51+1</f>
        <v>5</v>
      </c>
      <c r="P52" s="99">
        <f t="shared" si="10"/>
        <v>1</v>
      </c>
      <c r="Q52" s="68">
        <f>IF(OR(P54-P53=P53-P52,P55-P53=P53-P52),P52,IF(OR(P54-P53=P53-P51,P55-P53=P53-P51),P51,"-"))</f>
        <v>1</v>
      </c>
      <c r="R52" s="69">
        <f>VLOOKUP(Q52,STN_TABLE,2,FALSE)</f>
        <v>11</v>
      </c>
      <c r="S52" s="69">
        <v>5</v>
      </c>
      <c r="T52" s="68">
        <f>R52*S52</f>
        <v>55</v>
      </c>
      <c r="U52" s="79">
        <v>3</v>
      </c>
      <c r="V52" s="68">
        <f>R52*U52</f>
        <v>33</v>
      </c>
      <c r="W52" s="6" t="s">
        <v>93</v>
      </c>
      <c r="X52" s="70">
        <f>IF(AND(Q54-Q53=Q53-Q52,NOT(AND(Q52=0,Q53=0)),NOT(AND(Q53=0,Q54=0))),WLS*(Q54-Q53),"#NA")</f>
        <v>2</v>
      </c>
      <c r="AD52" s="93"/>
      <c r="AH52" s="6" t="s">
        <v>93</v>
      </c>
      <c r="AI52" s="70">
        <f>WLS*(AD54-AD53)</f>
        <v>2</v>
      </c>
      <c r="AU52" s="81"/>
    </row>
    <row r="53" spans="1:47" x14ac:dyDescent="0.25">
      <c r="A53" s="84">
        <f>A52+1</f>
        <v>4</v>
      </c>
      <c r="B53" s="84">
        <f t="shared" si="11"/>
        <v>0.75</v>
      </c>
      <c r="C53" s="80" t="str">
        <f t="shared" ref="C53" si="13">IF(OR(B55-B54=B54-B53,B55-B54=B54-B52,B55-B54=B54-B51),B54,IF(OR(B55-B53=B53-B52,B55-B53=B53-B51),B53,IF(B55-B52=B52-B51,B52,"#NA")))</f>
        <v>#NA</v>
      </c>
      <c r="D53" s="76" t="e">
        <f>VLOOKUP(C53,STN_TABLE,2,FALSE)</f>
        <v>#N/A</v>
      </c>
      <c r="E53" s="81">
        <v>4</v>
      </c>
      <c r="F53" s="76" t="e">
        <f>D53*E53</f>
        <v>#N/A</v>
      </c>
      <c r="G53" s="77" t="str">
        <f>C53</f>
        <v>#NA</v>
      </c>
      <c r="H53" s="77" t="e">
        <f>F53*G53</f>
        <v>#N/A</v>
      </c>
      <c r="I53" s="495" t="s">
        <v>97</v>
      </c>
      <c r="J53" s="496"/>
      <c r="K53" s="78" t="s">
        <v>98</v>
      </c>
      <c r="L53" s="78"/>
      <c r="M53" s="7" t="s">
        <v>99</v>
      </c>
      <c r="N53" s="7"/>
      <c r="O53" s="99">
        <f>O52+1</f>
        <v>6</v>
      </c>
      <c r="P53" s="99">
        <f t="shared" si="10"/>
        <v>2</v>
      </c>
      <c r="Q53" s="76">
        <f>P53</f>
        <v>2</v>
      </c>
      <c r="R53" s="77">
        <f>VLOOKUP(Q53,STN_TABLE,2,FALSE)</f>
        <v>11</v>
      </c>
      <c r="S53" s="77">
        <v>8</v>
      </c>
      <c r="T53" s="76">
        <f>R53*S53</f>
        <v>88</v>
      </c>
      <c r="U53" s="80">
        <v>10</v>
      </c>
      <c r="V53" s="76">
        <f>R53*U53</f>
        <v>110</v>
      </c>
      <c r="W53" s="496" t="s">
        <v>97</v>
      </c>
      <c r="X53" s="496"/>
      <c r="Y53" s="496" t="s">
        <v>98</v>
      </c>
      <c r="Z53" s="496"/>
      <c r="AA53" s="494" t="s">
        <v>99</v>
      </c>
      <c r="AB53" s="494"/>
      <c r="AC53" s="99">
        <f>AC48+1</f>
        <v>5</v>
      </c>
      <c r="AD53" s="95">
        <f>VLOOKUP(AC53,STN_TABLE_2,2,FALSE)</f>
        <v>1</v>
      </c>
      <c r="AE53" s="68">
        <f>VLOOKUP(AD53,STN_TABLE,2,FALSE)</f>
        <v>11</v>
      </c>
      <c r="AF53" s="68">
        <v>1</v>
      </c>
      <c r="AG53" s="69">
        <f>AE53*AF53</f>
        <v>11</v>
      </c>
      <c r="AH53" s="496" t="s">
        <v>97</v>
      </c>
      <c r="AI53" s="496"/>
      <c r="AJ53" s="496" t="s">
        <v>98</v>
      </c>
      <c r="AK53" s="496"/>
      <c r="AL53" s="494" t="s">
        <v>99</v>
      </c>
      <c r="AM53" s="494"/>
      <c r="AP53" s="86" t="s">
        <v>112</v>
      </c>
      <c r="AQ53" s="89" t="s">
        <v>113</v>
      </c>
      <c r="AR53" s="89" t="s">
        <v>114</v>
      </c>
      <c r="AS53" s="89" t="s">
        <v>115</v>
      </c>
      <c r="AU53" s="81"/>
    </row>
    <row r="54" spans="1:47" x14ac:dyDescent="0.25">
      <c r="A54" s="84">
        <f>A53+1</f>
        <v>5</v>
      </c>
      <c r="B54" s="84">
        <f t="shared" si="11"/>
        <v>1</v>
      </c>
      <c r="C54" s="88">
        <f t="shared" ref="C54" si="14">B55</f>
        <v>2</v>
      </c>
      <c r="D54" s="82">
        <f>VLOOKUP(C54,STN_TABLE,2,FALSE)</f>
        <v>11</v>
      </c>
      <c r="E54" s="92">
        <v>1</v>
      </c>
      <c r="F54" s="82">
        <f>D54*E54</f>
        <v>11</v>
      </c>
      <c r="G54" s="83">
        <f>C54</f>
        <v>2</v>
      </c>
      <c r="H54" s="83">
        <f>F54*G54</f>
        <v>22</v>
      </c>
      <c r="I54" s="84" t="str">
        <f>CONCATENATE("a'(",C54,")=")</f>
        <v>a'(2)=</v>
      </c>
      <c r="J54" s="84" t="e">
        <f>2*J52/3*F55</f>
        <v>#N/A</v>
      </c>
      <c r="K54" s="84" t="str">
        <f>CONCATENATE("A(",C52,")=")</f>
        <v>A(#NA)=</v>
      </c>
      <c r="L54" s="84" t="e">
        <f>VLOOKUP(C52,STN_TABLE,3,FALSE)</f>
        <v>#N/A</v>
      </c>
      <c r="M54" t="str">
        <f>CONCATENATE("A(",C54,")=")</f>
        <v>A(2)=</v>
      </c>
      <c r="N54" t="e">
        <f>J54+L54</f>
        <v>#N/A</v>
      </c>
      <c r="O54" s="99">
        <f>O53+1</f>
        <v>7</v>
      </c>
      <c r="P54" s="99">
        <f t="shared" si="10"/>
        <v>3</v>
      </c>
      <c r="Q54" s="82">
        <f>IF(P54-P53=P53-P52,P54,IF(P55-P53=P53-P52,P55,IF(P54-P53=P53-P51,P54,IF(P55-P53=P53-P51,P55,"-"))))</f>
        <v>3</v>
      </c>
      <c r="R54" s="83">
        <f>VLOOKUP(Q54,STN_TABLE,2,FALSE)</f>
        <v>11</v>
      </c>
      <c r="S54" s="83">
        <v>-1</v>
      </c>
      <c r="T54" s="82">
        <f>R54*S54</f>
        <v>-11</v>
      </c>
      <c r="U54" s="88">
        <v>-1</v>
      </c>
      <c r="V54" s="82">
        <f>R54*U54</f>
        <v>-11</v>
      </c>
      <c r="W54" s="84" t="str">
        <f>CONCATENATE("a'(",Q53,")=")</f>
        <v>a'(2)=</v>
      </c>
      <c r="X54" s="84">
        <f>2*X52/12*T55</f>
        <v>44</v>
      </c>
      <c r="Y54" s="84" t="str">
        <f>CONCATENATE("A(",Q52,")=")</f>
        <v>A(1)=</v>
      </c>
      <c r="Z54" s="84">
        <f>VLOOKUP(Q52,STN_TABLE,3,FALSE)</f>
        <v>42.573333333333331</v>
      </c>
      <c r="AA54" t="str">
        <f>CONCATENATE("A(",Q53,")=")</f>
        <v>A(2)=</v>
      </c>
      <c r="AB54">
        <f>X54+Z54</f>
        <v>86.573333333333323</v>
      </c>
      <c r="AC54" s="99">
        <f>AC53+1</f>
        <v>6</v>
      </c>
      <c r="AD54" s="100">
        <f>VLOOKUP(AC54,STN_TABLE_2,2,FALSE)</f>
        <v>2</v>
      </c>
      <c r="AE54" s="82">
        <f>VLOOKUP(AD54,STN_TABLE,2,FALSE)</f>
        <v>11</v>
      </c>
      <c r="AF54" s="82">
        <v>2</v>
      </c>
      <c r="AG54" s="83">
        <f>AE54*AF54</f>
        <v>22</v>
      </c>
      <c r="AH54" s="84" t="str">
        <f>CONCATENATE("a'(",AD54,")=")</f>
        <v>a'(2)=</v>
      </c>
      <c r="AI54" s="84">
        <f>2*AI52/2*AE55</f>
        <v>44</v>
      </c>
      <c r="AJ54" s="84" t="str">
        <f>CONCATENATE("A(",AD53,")=")</f>
        <v>A(1)=</v>
      </c>
      <c r="AK54" s="84">
        <f>VLOOKUP(AD53,STN_TABLE,3,FALSE)</f>
        <v>42.573333333333331</v>
      </c>
      <c r="AL54" t="str">
        <f>CONCATENATE("A(",AD54,")=")</f>
        <v>A(2)=</v>
      </c>
      <c r="AM54">
        <f>AI54+AK54</f>
        <v>86.573333333333323</v>
      </c>
      <c r="AO54" s="68" t="str">
        <f>AA54</f>
        <v>A(2)=</v>
      </c>
      <c r="AP54" s="68" t="e">
        <f>VLOOKUP(AO54,Rise_Results,2,FALSE)</f>
        <v>#N/A</v>
      </c>
      <c r="AQ54" s="76" t="e">
        <f>N54</f>
        <v>#N/A</v>
      </c>
      <c r="AR54" s="76">
        <f>IF(OR(AB54&lt;=0,AB55&lt;=0),1/0,AB54)</f>
        <v>86.573333333333323</v>
      </c>
      <c r="AS54" s="76">
        <f>AM54</f>
        <v>86.573333333333323</v>
      </c>
      <c r="AT54">
        <f>IFERROR(AP54,IFERROR(AQ54,IFERROR(AR54,AS54)))</f>
        <v>86.573333333333323</v>
      </c>
      <c r="AU54" s="81"/>
    </row>
    <row r="55" spans="1:47" x14ac:dyDescent="0.25">
      <c r="A55" s="84">
        <f>A54+1</f>
        <v>6</v>
      </c>
      <c r="B55" s="84">
        <f t="shared" si="11"/>
        <v>2</v>
      </c>
      <c r="F55" s="82" t="e">
        <f>SUM(F52:F54)</f>
        <v>#N/A</v>
      </c>
      <c r="H55" s="82" t="e">
        <f>SUM(H52:H54)</f>
        <v>#N/A</v>
      </c>
      <c r="I55" s="84" t="str">
        <f>CONCATENATE("m'(",C54,")=")</f>
        <v>m'(2)=</v>
      </c>
      <c r="J55" s="84" t="e">
        <f>2*(J52*(WLS))/3*H55</f>
        <v>#N/A</v>
      </c>
      <c r="K55" s="84" t="str">
        <f>CONCATENATE("M(",C52,")=")</f>
        <v>M(#NA)=</v>
      </c>
      <c r="L55" s="84" t="e">
        <f>VLOOKUP(C52,STN_TABLE,4,FALSE)</f>
        <v>#N/A</v>
      </c>
      <c r="M55" t="str">
        <f>CONCATENATE("M(",C54,")=")</f>
        <v>M(2)=</v>
      </c>
      <c r="N55" t="e">
        <f>J55+L55</f>
        <v>#N/A</v>
      </c>
      <c r="O55" s="99">
        <f>O54+1</f>
        <v>8</v>
      </c>
      <c r="P55" s="99">
        <f t="shared" si="10"/>
        <v>4</v>
      </c>
      <c r="T55" s="89">
        <f>SUM(T52:T54)</f>
        <v>132</v>
      </c>
      <c r="V55" s="82">
        <f>SUM(V52:V54)</f>
        <v>132</v>
      </c>
      <c r="W55" s="84" t="str">
        <f>CONCATENATE("m'(",Q53,")=")</f>
        <v>m'(2)=</v>
      </c>
      <c r="X55" s="84">
        <f>(2*(X52^2)/24*V55)+(X54*Q52*WLS)</f>
        <v>132</v>
      </c>
      <c r="Y55" s="84" t="str">
        <f>CONCATENATE("M(",Q52,")=")</f>
        <v>M(1)=</v>
      </c>
      <c r="Z55" s="84">
        <f>VLOOKUP(Q52,STN_TABLE,4,FALSE)</f>
        <v>43.326666666666661</v>
      </c>
      <c r="AA55" t="str">
        <f>CONCATENATE("M(",Q53,")=")</f>
        <v>M(2)=</v>
      </c>
      <c r="AB55">
        <f>X55+Z55</f>
        <v>175.32666666666665</v>
      </c>
      <c r="AE55" s="89">
        <f>SUM(AE53:AE54)</f>
        <v>22</v>
      </c>
      <c r="AG55" s="89">
        <f>SUM(AG53:AG54)</f>
        <v>33</v>
      </c>
      <c r="AH55" s="84" t="str">
        <f>CONCATENATE("m'(",AD54,")=")</f>
        <v>m'(2)=</v>
      </c>
      <c r="AI55" s="84">
        <f>(2*(AI52^2)/6*AG55)+(AI54*AD53*WLS)</f>
        <v>132</v>
      </c>
      <c r="AJ55" s="84" t="str">
        <f>CONCATENATE("M(",AD53,")=")</f>
        <v>M(1)=</v>
      </c>
      <c r="AK55" s="84">
        <f>VLOOKUP(AD53,STN_TABLE,4,FALSE)</f>
        <v>43.326666666666661</v>
      </c>
      <c r="AL55" t="str">
        <f>CONCATENATE("M(",AD54,")=")</f>
        <v>M(2)=</v>
      </c>
      <c r="AM55">
        <f>AI55+AK55</f>
        <v>175.32666666666665</v>
      </c>
      <c r="AO55" s="82" t="str">
        <f>AA55</f>
        <v>M(2)=</v>
      </c>
      <c r="AP55" s="82" t="e">
        <f>VLOOKUP(AO55,Rise_Results,2,FALSE)</f>
        <v>#N/A</v>
      </c>
      <c r="AQ55" s="82" t="e">
        <f>N55</f>
        <v>#N/A</v>
      </c>
      <c r="AR55" s="82">
        <f>IF(OR(AB54&lt;=0,AB55&lt;=0),1/0,AB55)</f>
        <v>175.32666666666665</v>
      </c>
      <c r="AS55" s="82">
        <f>AM55</f>
        <v>175.32666666666665</v>
      </c>
      <c r="AT55">
        <f>IFERROR(AP55,IFERROR(AQ55,IFERROR(AR55,AS55)))</f>
        <v>175.32666666666665</v>
      </c>
      <c r="AU55" s="81"/>
    </row>
    <row r="56" spans="1:47" x14ac:dyDescent="0.25">
      <c r="A56" s="101">
        <f>A51+1</f>
        <v>3</v>
      </c>
      <c r="B56" s="101">
        <f t="shared" si="11"/>
        <v>0.5</v>
      </c>
      <c r="O56" s="101">
        <f>O51+1</f>
        <v>5</v>
      </c>
      <c r="P56" s="101">
        <f t="shared" si="10"/>
        <v>1</v>
      </c>
      <c r="AU56" s="81"/>
    </row>
    <row r="57" spans="1:47" x14ac:dyDescent="0.25">
      <c r="A57" s="84">
        <f>A56+1</f>
        <v>4</v>
      </c>
      <c r="B57" s="84">
        <f t="shared" si="11"/>
        <v>0.75</v>
      </c>
      <c r="C57" s="79">
        <f t="shared" ref="C57" si="15">IF(C58=B59,IF(C59-C58=C58-B58,B58,IF(C59-C58=C58-B57,B57,"#NA")),IF(C58=B58,IF(C59-C58=C58-B57,B57,IF(C59-C58=C58-B56,B56,"#NA")),"#NA"))</f>
        <v>1</v>
      </c>
      <c r="D57" s="68">
        <f>VLOOKUP(C57,STN_TABLE,2,FALSE)</f>
        <v>11</v>
      </c>
      <c r="E57" s="102">
        <v>1</v>
      </c>
      <c r="F57" s="68">
        <f>D57*E57</f>
        <v>11</v>
      </c>
      <c r="G57" s="69">
        <f>C57</f>
        <v>1</v>
      </c>
      <c r="H57" s="69">
        <f>F57*G57</f>
        <v>11</v>
      </c>
      <c r="I57" s="6" t="s">
        <v>93</v>
      </c>
      <c r="J57" s="70">
        <f>IF(OR(D57=0,D58=0,D59=0),"#NA",IF(AND(C59-C58=C58-C57,C58&lt;&gt;C59,C57&lt;&gt;C58,C57&lt;&gt;C59,D59&lt;&gt;0,OR(D57&lt;&gt;0,D58&lt;&gt;0)),WLS*(C59-C58),"#NA"))</f>
        <v>2</v>
      </c>
      <c r="O57" s="99">
        <f>O56+1</f>
        <v>6</v>
      </c>
      <c r="P57" s="99">
        <f t="shared" si="10"/>
        <v>2</v>
      </c>
      <c r="Q57" s="68">
        <f>IF(OR(P59-P58=P58-P57,P60-P58=P58-P57),P57,IF(OR(P59-P58=P58-P56,P60-P58=P58-P56),P56,"-"))</f>
        <v>2</v>
      </c>
      <c r="R57" s="69">
        <f>VLOOKUP(Q57,STN_TABLE,2,FALSE)</f>
        <v>11</v>
      </c>
      <c r="S57" s="69">
        <v>5</v>
      </c>
      <c r="T57" s="68">
        <f>R57*S57</f>
        <v>55</v>
      </c>
      <c r="U57" s="79">
        <v>3</v>
      </c>
      <c r="V57" s="68">
        <f>R57*U57</f>
        <v>33</v>
      </c>
      <c r="W57" s="6" t="s">
        <v>93</v>
      </c>
      <c r="X57" s="70">
        <f>IF(AND(Q59-Q58=Q58-Q57,NOT(AND(Q57=0,Q58=0)),NOT(AND(Q58=0,Q59=0))),WLS*(Q59-Q58),"#NA")</f>
        <v>2</v>
      </c>
      <c r="AD57" s="93"/>
      <c r="AH57" s="6" t="s">
        <v>93</v>
      </c>
      <c r="AI57" s="70">
        <f>WLS*(AD59-AD58)</f>
        <v>2</v>
      </c>
      <c r="AU57" s="81"/>
    </row>
    <row r="58" spans="1:47" x14ac:dyDescent="0.25">
      <c r="A58" s="84">
        <f>A57+1</f>
        <v>5</v>
      </c>
      <c r="B58" s="84">
        <f t="shared" si="11"/>
        <v>1</v>
      </c>
      <c r="C58" s="80">
        <f t="shared" ref="C58" si="16">IF(OR(B60-B59=B59-B58,B60-B59=B59-B57,B60-B59=B59-B56),B59,IF(OR(B60-B58=B58-B57,B60-B58=B58-B56),B58,IF(B60-B57=B57-B56,B57,"#NA")))</f>
        <v>2</v>
      </c>
      <c r="D58" s="76">
        <f>VLOOKUP(C58,STN_TABLE,2,FALSE)</f>
        <v>11</v>
      </c>
      <c r="E58" s="81">
        <v>4</v>
      </c>
      <c r="F58" s="76">
        <f>D58*E58</f>
        <v>44</v>
      </c>
      <c r="G58" s="77">
        <f>C58</f>
        <v>2</v>
      </c>
      <c r="H58" s="77">
        <f>F58*G58</f>
        <v>88</v>
      </c>
      <c r="I58" s="495" t="s">
        <v>97</v>
      </c>
      <c r="J58" s="496"/>
      <c r="K58" s="78" t="s">
        <v>98</v>
      </c>
      <c r="L58" s="78"/>
      <c r="M58" s="7" t="s">
        <v>99</v>
      </c>
      <c r="N58" s="7"/>
      <c r="O58" s="99">
        <f>O57+1</f>
        <v>7</v>
      </c>
      <c r="P58" s="99">
        <f t="shared" si="10"/>
        <v>3</v>
      </c>
      <c r="Q58" s="76">
        <f>P58</f>
        <v>3</v>
      </c>
      <c r="R58" s="77">
        <f>VLOOKUP(Q58,STN_TABLE,2,FALSE)</f>
        <v>11</v>
      </c>
      <c r="S58" s="77">
        <v>8</v>
      </c>
      <c r="T58" s="76">
        <f>R58*S58</f>
        <v>88</v>
      </c>
      <c r="U58" s="80">
        <v>10</v>
      </c>
      <c r="V58" s="76">
        <f>R58*U58</f>
        <v>110</v>
      </c>
      <c r="W58" s="78" t="s">
        <v>97</v>
      </c>
      <c r="X58" s="78"/>
      <c r="Y58" s="78" t="s">
        <v>98</v>
      </c>
      <c r="Z58" s="78"/>
      <c r="AA58" s="7" t="s">
        <v>99</v>
      </c>
      <c r="AB58" s="7"/>
      <c r="AC58" s="99">
        <f>AC53+1</f>
        <v>6</v>
      </c>
      <c r="AD58" s="95">
        <f>VLOOKUP(AC58,STN_TABLE_2,2,FALSE)</f>
        <v>2</v>
      </c>
      <c r="AE58" s="68">
        <f>VLOOKUP(AD58,STN_TABLE,2,FALSE)</f>
        <v>11</v>
      </c>
      <c r="AF58" s="68">
        <v>1</v>
      </c>
      <c r="AG58" s="69">
        <f>AE58*AF58</f>
        <v>11</v>
      </c>
      <c r="AH58" s="496" t="s">
        <v>97</v>
      </c>
      <c r="AI58" s="496"/>
      <c r="AJ58" s="496" t="s">
        <v>98</v>
      </c>
      <c r="AK58" s="496"/>
      <c r="AL58" s="494" t="s">
        <v>99</v>
      </c>
      <c r="AM58" s="494"/>
      <c r="AP58" s="86" t="s">
        <v>112</v>
      </c>
      <c r="AQ58" s="89" t="s">
        <v>113</v>
      </c>
      <c r="AR58" s="89" t="s">
        <v>114</v>
      </c>
      <c r="AS58" s="89" t="s">
        <v>115</v>
      </c>
      <c r="AU58" s="81"/>
    </row>
    <row r="59" spans="1:47" x14ac:dyDescent="0.25">
      <c r="A59" s="84">
        <f>A58+1</f>
        <v>6</v>
      </c>
      <c r="B59" s="84">
        <f t="shared" si="11"/>
        <v>2</v>
      </c>
      <c r="C59" s="88">
        <f t="shared" ref="C59" si="17">B60</f>
        <v>3</v>
      </c>
      <c r="D59" s="82">
        <f>VLOOKUP(C59,STN_TABLE,2,FALSE)</f>
        <v>11</v>
      </c>
      <c r="E59" s="92">
        <v>1</v>
      </c>
      <c r="F59" s="82">
        <f>D59*E59</f>
        <v>11</v>
      </c>
      <c r="G59" s="83">
        <f>C59</f>
        <v>3</v>
      </c>
      <c r="H59" s="83">
        <f>F59*G59</f>
        <v>33</v>
      </c>
      <c r="I59" s="84" t="str">
        <f>CONCATENATE("a'(",C59,")=")</f>
        <v>a'(3)=</v>
      </c>
      <c r="J59" s="84">
        <f>2*J57/3*F60</f>
        <v>88</v>
      </c>
      <c r="K59" s="84" t="str">
        <f>CONCATENATE("A(",C57,")=")</f>
        <v>A(1)=</v>
      </c>
      <c r="L59" s="84">
        <f>VLOOKUP(C57,STN_TABLE,3,FALSE)</f>
        <v>42.573333333333331</v>
      </c>
      <c r="M59" t="str">
        <f>CONCATENATE("A(",C59,")=")</f>
        <v>A(3)=</v>
      </c>
      <c r="N59">
        <f>J59+L59</f>
        <v>130.57333333333332</v>
      </c>
      <c r="O59" s="99">
        <f>O58+1</f>
        <v>8</v>
      </c>
      <c r="P59" s="99">
        <f t="shared" si="10"/>
        <v>4</v>
      </c>
      <c r="Q59" s="82">
        <f>IF(P59-P58=P58-P57,P59,IF(P60-P58=P58-P57,P60,IF(P59-P58=P58-P56,P59,IF(P60-P58=P58-P56,P60,"-"))))</f>
        <v>4</v>
      </c>
      <c r="R59" s="83">
        <f>VLOOKUP(Q59,STN_TABLE,2,FALSE)</f>
        <v>11</v>
      </c>
      <c r="S59" s="83">
        <v>-1</v>
      </c>
      <c r="T59" s="82">
        <f>R59*S59</f>
        <v>-11</v>
      </c>
      <c r="U59" s="88">
        <v>-1</v>
      </c>
      <c r="V59" s="82">
        <f>R59*U59</f>
        <v>-11</v>
      </c>
      <c r="W59" s="84" t="str">
        <f>CONCATENATE("a'(",Q58,")=")</f>
        <v>a'(3)=</v>
      </c>
      <c r="X59" s="84">
        <f>2*X57/12*T60</f>
        <v>44</v>
      </c>
      <c r="Y59" s="84" t="str">
        <f>CONCATENATE("A(",Q57,")=")</f>
        <v>A(2)=</v>
      </c>
      <c r="Z59" s="84">
        <f>VLOOKUP(Q57,STN_TABLE,3,FALSE)</f>
        <v>86.573333333333323</v>
      </c>
      <c r="AA59" t="str">
        <f>CONCATENATE("A(",Q58,")=")</f>
        <v>A(3)=</v>
      </c>
      <c r="AB59">
        <f>X59+Z59</f>
        <v>130.57333333333332</v>
      </c>
      <c r="AC59" s="99">
        <f>AC58+1</f>
        <v>7</v>
      </c>
      <c r="AD59" s="100">
        <f>VLOOKUP(AC59,STN_TABLE_2,2,FALSE)</f>
        <v>3</v>
      </c>
      <c r="AE59" s="82">
        <f>VLOOKUP(AD59,STN_TABLE,2,FALSE)</f>
        <v>11</v>
      </c>
      <c r="AF59" s="82">
        <v>2</v>
      </c>
      <c r="AG59" s="83">
        <f>AE59*AF59</f>
        <v>22</v>
      </c>
      <c r="AH59" s="84" t="str">
        <f>CONCATENATE("a'(",AD59,")=")</f>
        <v>a'(3)=</v>
      </c>
      <c r="AI59" s="84">
        <f>2*AI57/2*AE60</f>
        <v>44</v>
      </c>
      <c r="AJ59" s="84" t="str">
        <f>CONCATENATE("A(",AD58,")=")</f>
        <v>A(2)=</v>
      </c>
      <c r="AK59" s="84">
        <f>VLOOKUP(AD58,STN_TABLE,3,FALSE)</f>
        <v>86.573333333333323</v>
      </c>
      <c r="AL59" t="str">
        <f>CONCATENATE("A(",AD59,")=")</f>
        <v>A(3)=</v>
      </c>
      <c r="AM59">
        <f>AI59+AK59</f>
        <v>130.57333333333332</v>
      </c>
      <c r="AO59" s="68" t="str">
        <f>AA59</f>
        <v>A(3)=</v>
      </c>
      <c r="AP59" s="68" t="e">
        <f>VLOOKUP(AO59,Rise_Results,2,FALSE)</f>
        <v>#N/A</v>
      </c>
      <c r="AQ59" s="76">
        <f>N59</f>
        <v>130.57333333333332</v>
      </c>
      <c r="AR59" s="76">
        <f>IF(OR(AB59&lt;=0,AB60&lt;=0),1/0,AB59)</f>
        <v>130.57333333333332</v>
      </c>
      <c r="AS59" s="76">
        <f>AM59</f>
        <v>130.57333333333332</v>
      </c>
      <c r="AT59">
        <f>IFERROR(AP59,IFERROR(AQ59,IFERROR(AR59,AS59)))</f>
        <v>130.57333333333332</v>
      </c>
      <c r="AU59" s="81"/>
    </row>
    <row r="60" spans="1:47" x14ac:dyDescent="0.25">
      <c r="A60" s="84">
        <f>A59+1</f>
        <v>7</v>
      </c>
      <c r="B60" s="84">
        <f t="shared" si="11"/>
        <v>3</v>
      </c>
      <c r="F60" s="82">
        <f>SUM(F57:F59)</f>
        <v>66</v>
      </c>
      <c r="H60" s="82">
        <f>SUM(H57:H59)</f>
        <v>132</v>
      </c>
      <c r="I60" s="84" t="str">
        <f>CONCATENATE("m'(",C59,")=")</f>
        <v>m'(3)=</v>
      </c>
      <c r="J60" s="84">
        <f>2*(J57*(WLS))/3*H60</f>
        <v>352</v>
      </c>
      <c r="K60" s="84" t="str">
        <f>CONCATENATE("M(",C57,")=")</f>
        <v>M(1)=</v>
      </c>
      <c r="L60" s="84">
        <f>VLOOKUP(C57,STN_TABLE,4,FALSE)</f>
        <v>43.326666666666661</v>
      </c>
      <c r="M60" t="str">
        <f>CONCATENATE("M(",C59,")=")</f>
        <v>M(3)=</v>
      </c>
      <c r="N60">
        <f>J60+L60</f>
        <v>395.32666666666665</v>
      </c>
      <c r="O60" s="99">
        <f>O59+1</f>
        <v>9</v>
      </c>
      <c r="P60" s="99">
        <f t="shared" si="10"/>
        <v>4.8499999999999996</v>
      </c>
      <c r="T60" s="89">
        <f>SUM(T57:T59)</f>
        <v>132</v>
      </c>
      <c r="V60" s="82">
        <f>SUM(V57:V59)</f>
        <v>132</v>
      </c>
      <c r="W60" s="84" t="str">
        <f>CONCATENATE("m'(",Q58,")=")</f>
        <v>m'(3)=</v>
      </c>
      <c r="X60" s="84">
        <f>(2*(X57^2)/24*V60)+(X59*Q57*WLS)</f>
        <v>220</v>
      </c>
      <c r="Y60" s="84" t="str">
        <f>CONCATENATE("M(",Q57,")=")</f>
        <v>M(2)=</v>
      </c>
      <c r="Z60" s="84">
        <f>VLOOKUP(Q57,STN_TABLE,4,FALSE)</f>
        <v>175.32666666666665</v>
      </c>
      <c r="AA60" t="str">
        <f>CONCATENATE("M(",Q58,")=")</f>
        <v>M(3)=</v>
      </c>
      <c r="AB60">
        <f>X60+Z60</f>
        <v>395.32666666666665</v>
      </c>
      <c r="AE60" s="89">
        <f>SUM(AE58:AE59)</f>
        <v>22</v>
      </c>
      <c r="AG60" s="89">
        <f>SUM(AG58:AG59)</f>
        <v>33</v>
      </c>
      <c r="AH60" s="84" t="str">
        <f>CONCATENATE("m'(",AD59,")=")</f>
        <v>m'(3)=</v>
      </c>
      <c r="AI60" s="84">
        <f>(2*(AI57^2)/6*AG60)+(AI59*AD58*WLS)</f>
        <v>220</v>
      </c>
      <c r="AJ60" s="84" t="str">
        <f>CONCATENATE("M(",AD58,")=")</f>
        <v>M(2)=</v>
      </c>
      <c r="AK60" s="84">
        <f>VLOOKUP(AD57,STN_TABLE,4,FALSE)</f>
        <v>0</v>
      </c>
      <c r="AL60" t="str">
        <f>CONCATENATE("M(",AD59,")=")</f>
        <v>M(3)=</v>
      </c>
      <c r="AM60">
        <f>AI60+AK60</f>
        <v>220</v>
      </c>
      <c r="AO60" s="82" t="str">
        <f>AA60</f>
        <v>M(3)=</v>
      </c>
      <c r="AP60" s="82" t="e">
        <f>VLOOKUP(AO60,Rise_Results,2,FALSE)</f>
        <v>#N/A</v>
      </c>
      <c r="AQ60" s="82">
        <f>N60</f>
        <v>395.32666666666665</v>
      </c>
      <c r="AR60" s="82">
        <f>IF(OR(AB59&lt;=0,AB60&lt;=0),1/0,AB60)</f>
        <v>395.32666666666665</v>
      </c>
      <c r="AS60" s="82">
        <f>AM60</f>
        <v>220</v>
      </c>
      <c r="AT60">
        <f>IFERROR(AP60,IFERROR(AQ60,IFERROR(AR60,AS60)))</f>
        <v>395.32666666666665</v>
      </c>
      <c r="AU60" s="81"/>
    </row>
    <row r="61" spans="1:47" x14ac:dyDescent="0.25">
      <c r="A61" s="101">
        <f>A56+1</f>
        <v>4</v>
      </c>
      <c r="B61" s="101">
        <f t="shared" si="11"/>
        <v>0.75</v>
      </c>
      <c r="O61" s="101">
        <f>O56+1</f>
        <v>6</v>
      </c>
      <c r="P61" s="101">
        <f t="shared" si="10"/>
        <v>2</v>
      </c>
      <c r="AU61" s="81"/>
    </row>
    <row r="62" spans="1:47" x14ac:dyDescent="0.25">
      <c r="A62" s="84">
        <f>A61+1</f>
        <v>5</v>
      </c>
      <c r="B62" s="84">
        <f t="shared" si="11"/>
        <v>1</v>
      </c>
      <c r="C62" s="79">
        <f t="shared" ref="C62" si="18">IF(C63=B64,IF(C64-C63=C63-B63,B63,IF(C64-C63=C63-B62,B62,"#NA")),IF(C63=B63,IF(C64-C63=C63-B62,B62,IF(C64-C63=C63-B61,B61,"#NA")),"#NA"))</f>
        <v>2</v>
      </c>
      <c r="D62" s="68">
        <f>VLOOKUP(C62,STN_TABLE,2,FALSE)</f>
        <v>11</v>
      </c>
      <c r="E62" s="102">
        <v>1</v>
      </c>
      <c r="F62" s="68">
        <f>D62*E62</f>
        <v>11</v>
      </c>
      <c r="G62" s="69">
        <f>C62</f>
        <v>2</v>
      </c>
      <c r="H62" s="69">
        <f>F62*G62</f>
        <v>22</v>
      </c>
      <c r="I62" s="6" t="s">
        <v>93</v>
      </c>
      <c r="J62" s="70">
        <f>IF(OR(D62=0,D63=0,D64=0),"#NA",IF(AND(C64-C63=C63-C62,C63&lt;&gt;C64,C62&lt;&gt;C63,C62&lt;&gt;C64,D64&lt;&gt;0,OR(D62&lt;&gt;0,D63&lt;&gt;0)),WLS*(C64-C63),"#NA"))</f>
        <v>2</v>
      </c>
      <c r="O62" s="99">
        <f>O61+1</f>
        <v>7</v>
      </c>
      <c r="P62" s="99">
        <f t="shared" si="10"/>
        <v>3</v>
      </c>
      <c r="Q62" s="68">
        <f>IF(OR(P64-P63=P63-P62,P65-P63=P63-P62),P62,IF(OR(P64-P63=P63-P61,P65-P63=P63-P61),P61,"-"))</f>
        <v>3</v>
      </c>
      <c r="R62" s="69">
        <f>VLOOKUP(Q62,STN_TABLE,2,FALSE)</f>
        <v>11</v>
      </c>
      <c r="S62" s="69">
        <v>5</v>
      </c>
      <c r="T62" s="68">
        <f>R62*S62</f>
        <v>55</v>
      </c>
      <c r="U62" s="79">
        <v>3</v>
      </c>
      <c r="V62" s="68">
        <f>R62*U62</f>
        <v>33</v>
      </c>
      <c r="W62" s="6" t="s">
        <v>93</v>
      </c>
      <c r="X62" s="70">
        <f>IF(AND(Q64-Q63=Q63-Q62,NOT(AND(Q62=0,Q63=0)),NOT(AND(Q63=0,Q64=0))),WLS*(Q64-Q63),"#NA")</f>
        <v>2</v>
      </c>
      <c r="AD62" s="93"/>
      <c r="AH62" s="6" t="s">
        <v>93</v>
      </c>
      <c r="AI62" s="70">
        <f>WLS*(AD64-AD63)</f>
        <v>2</v>
      </c>
      <c r="AU62" s="81"/>
    </row>
    <row r="63" spans="1:47" x14ac:dyDescent="0.25">
      <c r="A63" s="84">
        <f>A62+1</f>
        <v>6</v>
      </c>
      <c r="B63" s="84">
        <f t="shared" si="11"/>
        <v>2</v>
      </c>
      <c r="C63" s="80">
        <f t="shared" ref="C63" si="19">IF(OR(B65-B64=B64-B63,B65-B64=B64-B62,B65-B64=B64-B61),B64,IF(OR(B65-B63=B63-B62,B65-B63=B63-B61),B63,IF(B65-B62=B62-B61,B62,"#NA")))</f>
        <v>3</v>
      </c>
      <c r="D63" s="76">
        <f>VLOOKUP(C63,STN_TABLE,2,FALSE)</f>
        <v>11</v>
      </c>
      <c r="E63" s="81">
        <v>4</v>
      </c>
      <c r="F63" s="76">
        <f>D63*E63</f>
        <v>44</v>
      </c>
      <c r="G63" s="77">
        <f>C63</f>
        <v>3</v>
      </c>
      <c r="H63" s="77">
        <f>F63*G63</f>
        <v>132</v>
      </c>
      <c r="I63" s="495" t="s">
        <v>97</v>
      </c>
      <c r="J63" s="496"/>
      <c r="K63" s="78" t="s">
        <v>98</v>
      </c>
      <c r="L63" s="78"/>
      <c r="M63" s="7" t="s">
        <v>99</v>
      </c>
      <c r="N63" s="7"/>
      <c r="O63" s="99">
        <f>O62+1</f>
        <v>8</v>
      </c>
      <c r="P63" s="99">
        <f t="shared" si="10"/>
        <v>4</v>
      </c>
      <c r="Q63" s="76">
        <f>P63</f>
        <v>4</v>
      </c>
      <c r="R63" s="77">
        <f>VLOOKUP(Q63,STN_TABLE,2,FALSE)</f>
        <v>11</v>
      </c>
      <c r="S63" s="77">
        <v>8</v>
      </c>
      <c r="T63" s="76">
        <f>R63*S63</f>
        <v>88</v>
      </c>
      <c r="U63" s="80">
        <v>10</v>
      </c>
      <c r="V63" s="76">
        <f>R63*U63</f>
        <v>110</v>
      </c>
      <c r="W63" s="496" t="s">
        <v>97</v>
      </c>
      <c r="X63" s="496"/>
      <c r="Y63" s="496" t="s">
        <v>98</v>
      </c>
      <c r="Z63" s="496"/>
      <c r="AA63" s="494" t="s">
        <v>99</v>
      </c>
      <c r="AB63" s="494"/>
      <c r="AC63" s="99">
        <f>AC58+1</f>
        <v>7</v>
      </c>
      <c r="AD63" s="95">
        <f>VLOOKUP(AC63,STN_TABLE_2,2,FALSE)</f>
        <v>3</v>
      </c>
      <c r="AE63" s="68">
        <f>VLOOKUP(AD63,STN_TABLE,2,FALSE)</f>
        <v>11</v>
      </c>
      <c r="AF63" s="68">
        <v>1</v>
      </c>
      <c r="AG63" s="69">
        <f>AE63*AF63</f>
        <v>11</v>
      </c>
      <c r="AH63" s="496" t="s">
        <v>97</v>
      </c>
      <c r="AI63" s="496"/>
      <c r="AJ63" s="496" t="s">
        <v>98</v>
      </c>
      <c r="AK63" s="496"/>
      <c r="AL63" s="494" t="s">
        <v>99</v>
      </c>
      <c r="AM63" s="494"/>
      <c r="AP63" s="86" t="s">
        <v>112</v>
      </c>
      <c r="AQ63" s="89" t="s">
        <v>113</v>
      </c>
      <c r="AR63" s="89" t="s">
        <v>114</v>
      </c>
      <c r="AS63" s="89" t="s">
        <v>115</v>
      </c>
      <c r="AU63" s="81"/>
    </row>
    <row r="64" spans="1:47" x14ac:dyDescent="0.25">
      <c r="A64" s="84">
        <f>A63+1</f>
        <v>7</v>
      </c>
      <c r="B64" s="84">
        <f t="shared" si="11"/>
        <v>3</v>
      </c>
      <c r="C64" s="88">
        <f t="shared" ref="C64" si="20">B65</f>
        <v>4</v>
      </c>
      <c r="D64" s="82">
        <f>VLOOKUP(C64,STN_TABLE,2,FALSE)</f>
        <v>11</v>
      </c>
      <c r="E64" s="92">
        <v>1</v>
      </c>
      <c r="F64" s="82">
        <f>D64*E64</f>
        <v>11</v>
      </c>
      <c r="G64" s="83">
        <f>C64</f>
        <v>4</v>
      </c>
      <c r="H64" s="83">
        <f>F64*G64</f>
        <v>44</v>
      </c>
      <c r="I64" s="84" t="str">
        <f>CONCATENATE("a'(",C64,")=")</f>
        <v>a'(4)=</v>
      </c>
      <c r="J64" s="84">
        <f>2*J62/3*F65</f>
        <v>88</v>
      </c>
      <c r="K64" s="84" t="str">
        <f>CONCATENATE("A(",C62,")=")</f>
        <v>A(2)=</v>
      </c>
      <c r="L64" s="84">
        <f>VLOOKUP(C62,STN_TABLE,3,FALSE)</f>
        <v>86.573333333333323</v>
      </c>
      <c r="M64" t="str">
        <f>CONCATENATE("A(",C64,")=")</f>
        <v>A(4)=</v>
      </c>
      <c r="N64">
        <f>J64+L64</f>
        <v>174.57333333333332</v>
      </c>
      <c r="O64" s="99">
        <f>O63+1</f>
        <v>9</v>
      </c>
      <c r="P64" s="99">
        <f t="shared" si="10"/>
        <v>4.8499999999999996</v>
      </c>
      <c r="Q64" s="82">
        <f>IF(P64-P63=P63-P62,P64,IF(P65-P63=P63-P62,P65,IF(P64-P63=P63-P61,P64,IF(P65-P63=P63-P61,P65,"-"))))</f>
        <v>5</v>
      </c>
      <c r="R64" s="83">
        <f>VLOOKUP(Q64,STN_TABLE,2,FALSE)</f>
        <v>11</v>
      </c>
      <c r="S64" s="83">
        <v>-1</v>
      </c>
      <c r="T64" s="82">
        <f>R64*S64</f>
        <v>-11</v>
      </c>
      <c r="U64" s="88">
        <v>-1</v>
      </c>
      <c r="V64" s="82">
        <f>R64*U64</f>
        <v>-11</v>
      </c>
      <c r="W64" s="84" t="str">
        <f>CONCATENATE("a'(",Q63,")=")</f>
        <v>a'(4)=</v>
      </c>
      <c r="X64" s="84">
        <f>2*X62/12*T65</f>
        <v>44</v>
      </c>
      <c r="Y64" s="84" t="str">
        <f>CONCATENATE("A(",Q62,")=")</f>
        <v>A(3)=</v>
      </c>
      <c r="Z64" s="84">
        <f>VLOOKUP(Q62,STN_TABLE,3,FALSE)</f>
        <v>130.57333333333332</v>
      </c>
      <c r="AA64" t="str">
        <f>CONCATENATE("A(",Q63,")=")</f>
        <v>A(4)=</v>
      </c>
      <c r="AB64">
        <f>X64+Z64</f>
        <v>174.57333333333332</v>
      </c>
      <c r="AC64" s="99">
        <f>AC63+1</f>
        <v>8</v>
      </c>
      <c r="AD64" s="100">
        <f>VLOOKUP(AC64,STN_TABLE_2,2,FALSE)</f>
        <v>4</v>
      </c>
      <c r="AE64" s="82">
        <f>VLOOKUP(AD64,STN_TABLE,2,FALSE)</f>
        <v>11</v>
      </c>
      <c r="AF64" s="82">
        <v>2</v>
      </c>
      <c r="AG64" s="83">
        <f>AE64*AF64</f>
        <v>22</v>
      </c>
      <c r="AH64" s="84" t="str">
        <f>CONCATENATE("a'(",AD64,")=")</f>
        <v>a'(4)=</v>
      </c>
      <c r="AI64" s="84">
        <f>2*AI62/2*AE65</f>
        <v>44</v>
      </c>
      <c r="AJ64" s="84" t="str">
        <f>CONCATENATE("A(",AD63,")=")</f>
        <v>A(3)=</v>
      </c>
      <c r="AK64" s="84">
        <f>VLOOKUP(AD63,STN_TABLE,3,FALSE)</f>
        <v>130.57333333333332</v>
      </c>
      <c r="AL64" t="str">
        <f>CONCATENATE("A(",AD64,")=")</f>
        <v>A(4)=</v>
      </c>
      <c r="AM64">
        <f>AI64+AK64</f>
        <v>174.57333333333332</v>
      </c>
      <c r="AO64" s="68" t="str">
        <f>AA64</f>
        <v>A(4)=</v>
      </c>
      <c r="AP64" s="68" t="e">
        <f>VLOOKUP(AO64,Rise_Results,2,FALSE)</f>
        <v>#N/A</v>
      </c>
      <c r="AQ64" s="76">
        <f>N64</f>
        <v>174.57333333333332</v>
      </c>
      <c r="AR64" s="76">
        <f>IF(OR(AB64&lt;=0,AB65&lt;=0),1/0,AB64)</f>
        <v>174.57333333333332</v>
      </c>
      <c r="AS64" s="76">
        <f>AM64</f>
        <v>174.57333333333332</v>
      </c>
      <c r="AT64">
        <f>IFERROR(AP64,IFERROR(AQ64,IFERROR(AR64,AS64)))</f>
        <v>174.57333333333332</v>
      </c>
      <c r="AU64" s="81"/>
    </row>
    <row r="65" spans="1:47" x14ac:dyDescent="0.25">
      <c r="A65" s="84">
        <f>A64+1</f>
        <v>8</v>
      </c>
      <c r="B65" s="84">
        <f t="shared" si="11"/>
        <v>4</v>
      </c>
      <c r="F65" s="82">
        <f>SUM(F62:F64)</f>
        <v>66</v>
      </c>
      <c r="H65" s="82">
        <f>SUM(H62:H64)</f>
        <v>198</v>
      </c>
      <c r="I65" s="84" t="str">
        <f>CONCATENATE("m'(",C64,")=")</f>
        <v>m'(4)=</v>
      </c>
      <c r="J65" s="84">
        <f>2*(J62*(WLS))/3*H65</f>
        <v>528</v>
      </c>
      <c r="K65" s="84" t="str">
        <f>CONCATENATE("M(",C62,")=")</f>
        <v>M(2)=</v>
      </c>
      <c r="L65" s="84">
        <f>VLOOKUP(C62,STN_TABLE,4,FALSE)</f>
        <v>175.32666666666665</v>
      </c>
      <c r="M65" t="str">
        <f>CONCATENATE("M(",C64,")=")</f>
        <v>M(4)=</v>
      </c>
      <c r="N65">
        <f>J65+L65</f>
        <v>703.3266666666666</v>
      </c>
      <c r="O65" s="99">
        <f>O64+1</f>
        <v>10</v>
      </c>
      <c r="P65" s="99">
        <f t="shared" si="10"/>
        <v>5</v>
      </c>
      <c r="T65" s="89">
        <f>SUM(T62:T64)</f>
        <v>132</v>
      </c>
      <c r="V65" s="82">
        <f>SUM(V62:V64)</f>
        <v>132</v>
      </c>
      <c r="W65" s="84" t="str">
        <f>CONCATENATE("m'(",Q63,")=")</f>
        <v>m'(4)=</v>
      </c>
      <c r="X65" s="84">
        <f>(2*(X62^2)/24*V65)+(X64*Q62*WLS)</f>
        <v>308</v>
      </c>
      <c r="Y65" s="84" t="str">
        <f>CONCATENATE("M(",Q62,")=")</f>
        <v>M(3)=</v>
      </c>
      <c r="Z65" s="84">
        <f>VLOOKUP(Q62,STN_TABLE,4,FALSE)</f>
        <v>395.32666666666665</v>
      </c>
      <c r="AA65" t="str">
        <f>CONCATENATE("M(",Q63,")=")</f>
        <v>M(4)=</v>
      </c>
      <c r="AB65">
        <f>X65+Z65</f>
        <v>703.3266666666666</v>
      </c>
      <c r="AE65" s="89">
        <f>SUM(AE63:AE64)</f>
        <v>22</v>
      </c>
      <c r="AG65" s="89">
        <f>SUM(AG63:AG64)</f>
        <v>33</v>
      </c>
      <c r="AH65" s="84" t="str">
        <f>CONCATENATE("m'(",AD64,")=")</f>
        <v>m'(4)=</v>
      </c>
      <c r="AI65" s="84">
        <f>(2*(AI62^2)/6*AG65)+(AI64*AD63*WLS)</f>
        <v>308</v>
      </c>
      <c r="AJ65" s="84" t="str">
        <f>CONCATENATE("M(",AD63,")=")</f>
        <v>M(3)=</v>
      </c>
      <c r="AK65" s="84">
        <f>VLOOKUP(AD63,STN_TABLE,4,FALSE)</f>
        <v>395.32666666666665</v>
      </c>
      <c r="AL65" t="str">
        <f>CONCATENATE("M(",AD64,")=")</f>
        <v>M(4)=</v>
      </c>
      <c r="AM65">
        <f>AI65+AK65</f>
        <v>703.3266666666666</v>
      </c>
      <c r="AO65" s="82" t="str">
        <f>AA65</f>
        <v>M(4)=</v>
      </c>
      <c r="AP65" s="82" t="e">
        <f>VLOOKUP(AO65,Rise_Results,2,FALSE)</f>
        <v>#N/A</v>
      </c>
      <c r="AQ65" s="82">
        <f>N65</f>
        <v>703.3266666666666</v>
      </c>
      <c r="AR65" s="82">
        <f>IF(OR(AB64&lt;=0,AB65&lt;=0),1/0,AB65)</f>
        <v>703.3266666666666</v>
      </c>
      <c r="AS65" s="82">
        <f>AM65</f>
        <v>703.3266666666666</v>
      </c>
      <c r="AT65">
        <f>IFERROR(AP65,IFERROR(AQ65,IFERROR(AR65,AS65)))</f>
        <v>703.3266666666666</v>
      </c>
      <c r="AU65" s="81"/>
    </row>
    <row r="66" spans="1:47" x14ac:dyDescent="0.25">
      <c r="A66" s="101">
        <f>A61+1</f>
        <v>5</v>
      </c>
      <c r="B66" s="101">
        <f t="shared" si="11"/>
        <v>1</v>
      </c>
      <c r="O66" s="101">
        <f>O61+1</f>
        <v>7</v>
      </c>
      <c r="P66" s="101">
        <f t="shared" si="10"/>
        <v>3</v>
      </c>
      <c r="AU66" s="81"/>
    </row>
    <row r="67" spans="1:47" x14ac:dyDescent="0.25">
      <c r="A67" s="84">
        <f>A66+1</f>
        <v>6</v>
      </c>
      <c r="B67" s="84">
        <f t="shared" si="11"/>
        <v>2</v>
      </c>
      <c r="C67" s="79" t="str">
        <f t="shared" ref="C67" si="21">IF(C68=B69,IF(C69-C68=C68-B68,B68,IF(C69-C68=C68-B67,B67,"#NA")),IF(C68=B68,IF(C69-C68=C68-B67,B67,IF(C69-C68=C68-B66,B66,"#NA")),"#NA"))</f>
        <v>#NA</v>
      </c>
      <c r="D67" s="68" t="e">
        <f>VLOOKUP(C67,STN_TABLE,2,FALSE)</f>
        <v>#N/A</v>
      </c>
      <c r="E67" s="102">
        <v>1</v>
      </c>
      <c r="F67" s="68" t="e">
        <f>D67*E67</f>
        <v>#N/A</v>
      </c>
      <c r="G67" s="69" t="str">
        <f>C67</f>
        <v>#NA</v>
      </c>
      <c r="H67" s="69" t="e">
        <f>F67*G67</f>
        <v>#N/A</v>
      </c>
      <c r="I67" s="6" t="s">
        <v>93</v>
      </c>
      <c r="J67" s="70" t="e">
        <f>IF(OR(D67=0,D68=0,D69=0),"#NA",IF(AND(C69-C68=C68-C67,C68&lt;&gt;C69,C67&lt;&gt;C68,C67&lt;&gt;C69,D69&lt;&gt;0,OR(D67&lt;&gt;0,D68&lt;&gt;0)),WLS*(C69-C68),"#NA"))</f>
        <v>#N/A</v>
      </c>
      <c r="O67" s="99">
        <f>O66+1</f>
        <v>8</v>
      </c>
      <c r="P67" s="99">
        <f t="shared" si="10"/>
        <v>4</v>
      </c>
      <c r="Q67" s="68" t="str">
        <f>IF(OR(P69-P68=P68-P67,P70-P68=P68-P67),P67,IF(OR(P69-P68=P68-P66,P70-P68=P68-P66),P66,"-"))</f>
        <v>-</v>
      </c>
      <c r="R67" s="69" t="e">
        <f>VLOOKUP(Q67,STN_TABLE,2,FALSE)</f>
        <v>#N/A</v>
      </c>
      <c r="S67" s="69">
        <v>5</v>
      </c>
      <c r="T67" s="68" t="e">
        <f>R67*S67</f>
        <v>#N/A</v>
      </c>
      <c r="U67" s="79">
        <v>3</v>
      </c>
      <c r="V67" s="68" t="e">
        <f>R67*U67</f>
        <v>#N/A</v>
      </c>
      <c r="W67" s="6" t="s">
        <v>93</v>
      </c>
      <c r="X67" s="70" t="e">
        <f>IF(AND(Q69-Q68=Q68-Q67,NOT(AND(Q67=0,Q68=0)),NOT(AND(Q68=0,Q69=0))),WLS*(Q69-Q68),"#NA")</f>
        <v>#VALUE!</v>
      </c>
      <c r="AD67" s="93"/>
      <c r="AH67" s="6" t="s">
        <v>93</v>
      </c>
      <c r="AI67" s="70">
        <f>WLS*(AD69-AD68)</f>
        <v>1.6999999999999993</v>
      </c>
      <c r="AU67" s="81"/>
    </row>
    <row r="68" spans="1:47" x14ac:dyDescent="0.25">
      <c r="A68" s="84">
        <f>A67+1</f>
        <v>7</v>
      </c>
      <c r="B68" s="84">
        <f t="shared" si="11"/>
        <v>3</v>
      </c>
      <c r="C68" s="80" t="str">
        <f t="shared" ref="C68" si="22">IF(OR(B70-B69=B69-B68,B70-B69=B69-B67,B70-B69=B69-B66),B69,IF(OR(B70-B68=B68-B67,B70-B68=B68-B66),B68,IF(B70-B67=B67-B66,B67,"#NA")))</f>
        <v>#NA</v>
      </c>
      <c r="D68" s="76" t="e">
        <f>VLOOKUP(C68,STN_TABLE,2,FALSE)</f>
        <v>#N/A</v>
      </c>
      <c r="E68" s="81">
        <v>4</v>
      </c>
      <c r="F68" s="76" t="e">
        <f>D68*E68</f>
        <v>#N/A</v>
      </c>
      <c r="G68" s="77" t="str">
        <f>C68</f>
        <v>#NA</v>
      </c>
      <c r="H68" s="77" t="e">
        <f>F68*G68</f>
        <v>#N/A</v>
      </c>
      <c r="I68" s="495" t="s">
        <v>97</v>
      </c>
      <c r="J68" s="496"/>
      <c r="K68" s="78" t="s">
        <v>98</v>
      </c>
      <c r="L68" s="78"/>
      <c r="M68" s="7" t="s">
        <v>99</v>
      </c>
      <c r="N68" s="7"/>
      <c r="O68" s="99">
        <f>O67+1</f>
        <v>9</v>
      </c>
      <c r="P68" s="99">
        <f t="shared" ref="P68:P99" si="23">VLOOKUP(O68,STN_TABLE_2,2,FALSE)</f>
        <v>4.8499999999999996</v>
      </c>
      <c r="Q68" s="76">
        <f>P68</f>
        <v>4.8499999999999996</v>
      </c>
      <c r="R68" s="77">
        <f>VLOOKUP(Q68,STN_TABLE,2,FALSE)</f>
        <v>11</v>
      </c>
      <c r="S68" s="77">
        <v>8</v>
      </c>
      <c r="T68" s="76">
        <f>R68*S68</f>
        <v>88</v>
      </c>
      <c r="U68" s="80">
        <v>10</v>
      </c>
      <c r="V68" s="76">
        <f>R68*U68</f>
        <v>110</v>
      </c>
      <c r="W68" s="496" t="s">
        <v>97</v>
      </c>
      <c r="X68" s="496"/>
      <c r="Y68" s="496" t="s">
        <v>98</v>
      </c>
      <c r="Z68" s="496"/>
      <c r="AA68" s="494" t="s">
        <v>99</v>
      </c>
      <c r="AB68" s="494"/>
      <c r="AC68" s="99">
        <f>AC63+1</f>
        <v>8</v>
      </c>
      <c r="AD68" s="95">
        <f>VLOOKUP(AC68,STN_TABLE_2,2,FALSE)</f>
        <v>4</v>
      </c>
      <c r="AE68" s="68">
        <f>VLOOKUP(AD68,STN_TABLE,2,FALSE)</f>
        <v>11</v>
      </c>
      <c r="AF68" s="68">
        <v>1</v>
      </c>
      <c r="AG68" s="69">
        <f>AE68*AF68</f>
        <v>11</v>
      </c>
      <c r="AH68" s="496" t="s">
        <v>97</v>
      </c>
      <c r="AI68" s="496"/>
      <c r="AJ68" s="496" t="s">
        <v>98</v>
      </c>
      <c r="AK68" s="496"/>
      <c r="AL68" s="494" t="s">
        <v>99</v>
      </c>
      <c r="AM68" s="494"/>
      <c r="AP68" s="86" t="s">
        <v>112</v>
      </c>
      <c r="AQ68" s="89" t="s">
        <v>113</v>
      </c>
      <c r="AR68" s="89" t="s">
        <v>114</v>
      </c>
      <c r="AS68" s="89" t="s">
        <v>115</v>
      </c>
      <c r="AU68" s="81"/>
    </row>
    <row r="69" spans="1:47" x14ac:dyDescent="0.25">
      <c r="A69" s="84">
        <f>A68+1</f>
        <v>8</v>
      </c>
      <c r="B69" s="84">
        <f t="shared" si="11"/>
        <v>4</v>
      </c>
      <c r="C69" s="88">
        <f t="shared" ref="C69" si="24">B70</f>
        <v>4.8499999999999996</v>
      </c>
      <c r="D69" s="82">
        <f>VLOOKUP(C69,STN_TABLE,2,FALSE)</f>
        <v>11</v>
      </c>
      <c r="E69" s="92">
        <v>1</v>
      </c>
      <c r="F69" s="82">
        <f>D69*E69</f>
        <v>11</v>
      </c>
      <c r="G69" s="83">
        <f>C69</f>
        <v>4.8499999999999996</v>
      </c>
      <c r="H69" s="83">
        <f>F69*G69</f>
        <v>53.349999999999994</v>
      </c>
      <c r="I69" s="84" t="str">
        <f>CONCATENATE("a'(",C69,")=")</f>
        <v>a'(4.85)=</v>
      </c>
      <c r="J69" s="84" t="e">
        <f>2*J67/3*F70</f>
        <v>#N/A</v>
      </c>
      <c r="K69" s="84" t="str">
        <f>CONCATENATE("A(",C67,")=")</f>
        <v>A(#NA)=</v>
      </c>
      <c r="L69" s="84" t="e">
        <f>VLOOKUP(C67,STN_TABLE,3,FALSE)</f>
        <v>#N/A</v>
      </c>
      <c r="M69" t="str">
        <f>CONCATENATE("A(",C69,")=")</f>
        <v>A(4.85)=</v>
      </c>
      <c r="N69" t="e">
        <f>J69+L69</f>
        <v>#N/A</v>
      </c>
      <c r="O69" s="99">
        <f>O68+1</f>
        <v>10</v>
      </c>
      <c r="P69" s="99">
        <f t="shared" si="23"/>
        <v>5</v>
      </c>
      <c r="Q69" s="82" t="str">
        <f>IF(P69-P68=P68-P67,P69,IF(P70-P68=P68-P67,P70,IF(P69-P68=P68-P66,P69,IF(P70-P68=P68-P66,P70,"-"))))</f>
        <v>-</v>
      </c>
      <c r="R69" s="83" t="e">
        <f>VLOOKUP(Q69,STN_TABLE,2,FALSE)</f>
        <v>#N/A</v>
      </c>
      <c r="S69" s="83">
        <v>-1</v>
      </c>
      <c r="T69" s="82" t="e">
        <f>R69*S69</f>
        <v>#N/A</v>
      </c>
      <c r="U69" s="88">
        <v>-1</v>
      </c>
      <c r="V69" s="82" t="e">
        <f>R69*U69</f>
        <v>#N/A</v>
      </c>
      <c r="W69" s="84" t="str">
        <f>CONCATENATE("a'(",Q68,")=")</f>
        <v>a'(4.85)=</v>
      </c>
      <c r="X69" s="84" t="e">
        <f>2*X67/12*T70</f>
        <v>#VALUE!</v>
      </c>
      <c r="Y69" s="84" t="str">
        <f>CONCATENATE("A(",Q67,")=")</f>
        <v>A(-)=</v>
      </c>
      <c r="Z69" s="84" t="e">
        <f>VLOOKUP(Q67,STN_TABLE,3,FALSE)</f>
        <v>#N/A</v>
      </c>
      <c r="AA69" t="str">
        <f>CONCATENATE("A(",Q68,")=")</f>
        <v>A(4.85)=</v>
      </c>
      <c r="AB69" t="e">
        <f>X69+Z69</f>
        <v>#VALUE!</v>
      </c>
      <c r="AC69" s="99">
        <f>AC68+1</f>
        <v>9</v>
      </c>
      <c r="AD69" s="100">
        <f>VLOOKUP(AC69,STN_TABLE_2,2,FALSE)</f>
        <v>4.8499999999999996</v>
      </c>
      <c r="AE69" s="82">
        <f>VLOOKUP(AD69,STN_TABLE,2,FALSE)</f>
        <v>11</v>
      </c>
      <c r="AF69" s="82">
        <v>2</v>
      </c>
      <c r="AG69" s="83">
        <f>AE69*AF69</f>
        <v>22</v>
      </c>
      <c r="AH69" s="84" t="str">
        <f>CONCATENATE("a'(",AD69,")=")</f>
        <v>a'(4.85)=</v>
      </c>
      <c r="AI69" s="84">
        <f>2*AI67/2*AE70</f>
        <v>37.399999999999984</v>
      </c>
      <c r="AJ69" s="84" t="str">
        <f>CONCATENATE("A(",AD68,")=")</f>
        <v>A(4)=</v>
      </c>
      <c r="AK69" s="84">
        <f>VLOOKUP(AD68,STN_TABLE,3,FALSE)</f>
        <v>174.57333333333332</v>
      </c>
      <c r="AL69" t="str">
        <f>CONCATENATE("A(",AD69,")=")</f>
        <v>A(4.85)=</v>
      </c>
      <c r="AM69">
        <f>AI69+AK69</f>
        <v>211.9733333333333</v>
      </c>
      <c r="AO69" s="68" t="str">
        <f>AA69</f>
        <v>A(4.85)=</v>
      </c>
      <c r="AP69" s="68" t="e">
        <f>VLOOKUP(AO69,Rise_Results,2,FALSE)</f>
        <v>#N/A</v>
      </c>
      <c r="AQ69" s="76" t="e">
        <f>N69</f>
        <v>#N/A</v>
      </c>
      <c r="AR69" s="76" t="e">
        <f>IF(OR(AB69&lt;=0,AB70&lt;=0),1/0,AB69)</f>
        <v>#VALUE!</v>
      </c>
      <c r="AS69" s="76">
        <f>AM69</f>
        <v>211.9733333333333</v>
      </c>
      <c r="AT69">
        <f>IFERROR(AP69,IFERROR(AQ69,IFERROR(AR69,AS69)))</f>
        <v>211.9733333333333</v>
      </c>
      <c r="AU69" s="81"/>
    </row>
    <row r="70" spans="1:47" x14ac:dyDescent="0.25">
      <c r="A70" s="84">
        <f>A69+1</f>
        <v>9</v>
      </c>
      <c r="B70" s="84">
        <f t="shared" si="11"/>
        <v>4.8499999999999996</v>
      </c>
      <c r="F70" s="82" t="e">
        <f>SUM(F67:F69)</f>
        <v>#N/A</v>
      </c>
      <c r="H70" s="82" t="e">
        <f>SUM(H67:H69)</f>
        <v>#N/A</v>
      </c>
      <c r="I70" s="84" t="str">
        <f>CONCATENATE("m'(",C69,")=")</f>
        <v>m'(4.85)=</v>
      </c>
      <c r="J70" s="84" t="e">
        <f>2*(J67*(WLS))/3*H70</f>
        <v>#N/A</v>
      </c>
      <c r="K70" s="84" t="str">
        <f>CONCATENATE("M(",C67,")=")</f>
        <v>M(#NA)=</v>
      </c>
      <c r="L70" s="84" t="e">
        <f>VLOOKUP(C67,STN_TABLE,4,FALSE)</f>
        <v>#N/A</v>
      </c>
      <c r="M70" t="str">
        <f>CONCATENATE("M(",C69,")=")</f>
        <v>M(4.85)=</v>
      </c>
      <c r="N70" t="e">
        <f>J70+L70</f>
        <v>#N/A</v>
      </c>
      <c r="O70" s="99">
        <f>O69+1</f>
        <v>11</v>
      </c>
      <c r="P70" s="99">
        <f t="shared" si="23"/>
        <v>6</v>
      </c>
      <c r="T70" s="89" t="e">
        <f>SUM(T67:T69)</f>
        <v>#N/A</v>
      </c>
      <c r="V70" s="82" t="e">
        <f>SUM(V67:V69)</f>
        <v>#N/A</v>
      </c>
      <c r="W70" s="84" t="str">
        <f>CONCATENATE("m'(",Q68,")=")</f>
        <v>m'(4.85)=</v>
      </c>
      <c r="X70" s="84" t="e">
        <f>(2*(X67^2)/24*V70)+(X69*Q67*WLS)</f>
        <v>#VALUE!</v>
      </c>
      <c r="Y70" s="84" t="str">
        <f>CONCATENATE("M(",Q67,")=")</f>
        <v>M(-)=</v>
      </c>
      <c r="Z70" s="84" t="e">
        <f>VLOOKUP(Q67,STN_TABLE,4,FALSE)</f>
        <v>#N/A</v>
      </c>
      <c r="AA70" t="str">
        <f>CONCATENATE("M(",Q68,")=")</f>
        <v>M(4.85)=</v>
      </c>
      <c r="AB70" t="e">
        <f>X70+Z70</f>
        <v>#VALUE!</v>
      </c>
      <c r="AE70" s="89">
        <f>SUM(AE68:AE69)</f>
        <v>22</v>
      </c>
      <c r="AG70" s="89">
        <f>SUM(AG68:AG69)</f>
        <v>33</v>
      </c>
      <c r="AH70" s="84" t="str">
        <f>CONCATENATE("m'(",AD69,")=")</f>
        <v>m'(4.85)=</v>
      </c>
      <c r="AI70" s="84">
        <f>(2*(AI67^2)/6*AG70)+(AI69*AD68*WLS)</f>
        <v>330.98999999999984</v>
      </c>
      <c r="AJ70" s="84" t="str">
        <f>CONCATENATE("M(",AD68,")=")</f>
        <v>M(4)=</v>
      </c>
      <c r="AK70" s="84">
        <f>VLOOKUP(AD68,STN_TABLE,4,FALSE)</f>
        <v>703.3266666666666</v>
      </c>
      <c r="AL70" t="str">
        <f>CONCATENATE("M(",AD69,")=")</f>
        <v>M(4.85)=</v>
      </c>
      <c r="AM70">
        <f>AI70+AK70</f>
        <v>1034.3166666666664</v>
      </c>
      <c r="AO70" s="82" t="str">
        <f>AA70</f>
        <v>M(4.85)=</v>
      </c>
      <c r="AP70" s="82" t="e">
        <f>VLOOKUP(AO70,Rise_Results,2,FALSE)</f>
        <v>#N/A</v>
      </c>
      <c r="AQ70" s="82" t="e">
        <f>N70</f>
        <v>#N/A</v>
      </c>
      <c r="AR70" s="82" t="e">
        <f>IF(OR(AB69&lt;=0,AB70&lt;=0),1/0,AB70)</f>
        <v>#VALUE!</v>
      </c>
      <c r="AS70" s="82">
        <f>AM70</f>
        <v>1034.3166666666664</v>
      </c>
      <c r="AT70">
        <f>IFERROR(AP70,IFERROR(AQ70,IFERROR(AR70,AS70)))</f>
        <v>1034.3166666666664</v>
      </c>
      <c r="AU70" s="81"/>
    </row>
    <row r="71" spans="1:47" x14ac:dyDescent="0.25">
      <c r="A71" s="101">
        <f>A66+1</f>
        <v>6</v>
      </c>
      <c r="B71" s="101">
        <f t="shared" si="11"/>
        <v>2</v>
      </c>
      <c r="O71" s="101">
        <f>O66+1</f>
        <v>8</v>
      </c>
      <c r="P71" s="101">
        <f t="shared" si="23"/>
        <v>4</v>
      </c>
      <c r="AU71" s="81"/>
    </row>
    <row r="72" spans="1:47" x14ac:dyDescent="0.25">
      <c r="A72" s="84">
        <f>A71+1</f>
        <v>7</v>
      </c>
      <c r="B72" s="84">
        <f t="shared" si="11"/>
        <v>3</v>
      </c>
      <c r="C72" s="79">
        <f t="shared" ref="C72" si="25">IF(C73=B74,IF(C74-C73=C73-B73,B73,IF(C74-C73=C73-B72,B72,"#NA")),IF(C73=B73,IF(C74-C73=C73-B72,B72,IF(C74-C73=C73-B71,B71,"#NA")),"#NA"))</f>
        <v>3</v>
      </c>
      <c r="D72" s="68">
        <f>VLOOKUP(C72,STN_TABLE,2,FALSE)</f>
        <v>11</v>
      </c>
      <c r="E72" s="102">
        <v>1</v>
      </c>
      <c r="F72" s="68">
        <f>D72*E72</f>
        <v>11</v>
      </c>
      <c r="G72" s="69">
        <f>C72</f>
        <v>3</v>
      </c>
      <c r="H72" s="69">
        <f>F72*G72</f>
        <v>33</v>
      </c>
      <c r="I72" s="6" t="s">
        <v>93</v>
      </c>
      <c r="J72" s="70">
        <f>IF(OR(D72=0,D73=0,D74=0),"#NA",IF(AND(C74-C73=C73-C72,C73&lt;&gt;C74,C72&lt;&gt;C73,C72&lt;&gt;C74,D74&lt;&gt;0,OR(D72&lt;&gt;0,D73&lt;&gt;0)),WLS*(C74-C73),"#NA"))</f>
        <v>2</v>
      </c>
      <c r="O72" s="99">
        <f>O71+1</f>
        <v>9</v>
      </c>
      <c r="P72" s="99">
        <f t="shared" si="23"/>
        <v>4.8499999999999996</v>
      </c>
      <c r="Q72" s="68">
        <f>IF(OR(P74-P73=P73-P72,P75-P73=P73-P72),P72,IF(OR(P74-P73=P73-P71,P75-P73=P73-P71),P71,"-"))</f>
        <v>4</v>
      </c>
      <c r="R72" s="69">
        <f>VLOOKUP(Q72,STN_TABLE,2,FALSE)</f>
        <v>11</v>
      </c>
      <c r="S72" s="69">
        <v>5</v>
      </c>
      <c r="T72" s="68">
        <f>R72*S72</f>
        <v>55</v>
      </c>
      <c r="U72" s="79">
        <v>3</v>
      </c>
      <c r="V72" s="68">
        <f>R72*U72</f>
        <v>33</v>
      </c>
      <c r="W72" s="6" t="s">
        <v>93</v>
      </c>
      <c r="X72" s="70">
        <f>IF(AND(Q74-Q73=Q73-Q72,NOT(AND(Q72=0,Q73=0)),NOT(AND(Q73=0,Q74=0))),WLS*(Q74-Q73),"#NA")</f>
        <v>2</v>
      </c>
      <c r="AD72" s="93"/>
      <c r="AH72" s="6" t="s">
        <v>93</v>
      </c>
      <c r="AI72" s="70">
        <f>WLS*(AD74-AD73)</f>
        <v>0.30000000000000071</v>
      </c>
      <c r="AU72" s="81"/>
    </row>
    <row r="73" spans="1:47" x14ac:dyDescent="0.25">
      <c r="A73" s="84">
        <f>A72+1</f>
        <v>8</v>
      </c>
      <c r="B73" s="84">
        <f t="shared" si="11"/>
        <v>4</v>
      </c>
      <c r="C73" s="80">
        <f t="shared" ref="C73" si="26">IF(OR(B75-B74=B74-B73,B75-B74=B74-B72,B75-B74=B74-B71),B74,IF(OR(B75-B73=B73-B72,B75-B73=B73-B71),B73,IF(B75-B72=B72-B71,B72,"#NA")))</f>
        <v>4</v>
      </c>
      <c r="D73" s="76">
        <f>VLOOKUP(C73,STN_TABLE,2,FALSE)</f>
        <v>11</v>
      </c>
      <c r="E73" s="81">
        <v>4</v>
      </c>
      <c r="F73" s="76">
        <f>D73*E73</f>
        <v>44</v>
      </c>
      <c r="G73" s="77">
        <f>C73</f>
        <v>4</v>
      </c>
      <c r="H73" s="77">
        <f>F73*G73</f>
        <v>176</v>
      </c>
      <c r="I73" s="495" t="s">
        <v>97</v>
      </c>
      <c r="J73" s="496"/>
      <c r="K73" s="78" t="s">
        <v>98</v>
      </c>
      <c r="L73" s="78"/>
      <c r="M73" s="7" t="s">
        <v>99</v>
      </c>
      <c r="N73" s="7"/>
      <c r="O73" s="99">
        <f>O72+1</f>
        <v>10</v>
      </c>
      <c r="P73" s="99">
        <f t="shared" si="23"/>
        <v>5</v>
      </c>
      <c r="Q73" s="76">
        <f>P73</f>
        <v>5</v>
      </c>
      <c r="R73" s="77">
        <f>VLOOKUP(Q73,STN_TABLE,2,FALSE)</f>
        <v>11</v>
      </c>
      <c r="S73" s="77">
        <v>8</v>
      </c>
      <c r="T73" s="76">
        <f>R73*S73</f>
        <v>88</v>
      </c>
      <c r="U73" s="80">
        <v>10</v>
      </c>
      <c r="V73" s="76">
        <f>R73*U73</f>
        <v>110</v>
      </c>
      <c r="W73" s="496" t="s">
        <v>97</v>
      </c>
      <c r="X73" s="496"/>
      <c r="Y73" s="496" t="s">
        <v>98</v>
      </c>
      <c r="Z73" s="496"/>
      <c r="AA73" s="494" t="s">
        <v>99</v>
      </c>
      <c r="AB73" s="494"/>
      <c r="AC73" s="99">
        <f>AC68+1</f>
        <v>9</v>
      </c>
      <c r="AD73" s="95">
        <f>VLOOKUP(AC73,STN_TABLE_2,2,FALSE)</f>
        <v>4.8499999999999996</v>
      </c>
      <c r="AE73" s="68">
        <f>VLOOKUP(AD73,STN_TABLE,2,FALSE)</f>
        <v>11</v>
      </c>
      <c r="AF73" s="68">
        <v>1</v>
      </c>
      <c r="AG73" s="69">
        <f>AE73*AF73</f>
        <v>11</v>
      </c>
      <c r="AH73" s="496" t="s">
        <v>97</v>
      </c>
      <c r="AI73" s="496"/>
      <c r="AJ73" s="496" t="s">
        <v>98</v>
      </c>
      <c r="AK73" s="496"/>
      <c r="AL73" s="494" t="s">
        <v>99</v>
      </c>
      <c r="AM73" s="494"/>
      <c r="AP73" s="86" t="s">
        <v>112</v>
      </c>
      <c r="AQ73" s="89" t="s">
        <v>113</v>
      </c>
      <c r="AR73" s="89" t="s">
        <v>114</v>
      </c>
      <c r="AS73" s="89" t="s">
        <v>115</v>
      </c>
      <c r="AU73" s="81"/>
    </row>
    <row r="74" spans="1:47" x14ac:dyDescent="0.25">
      <c r="A74" s="84">
        <f>A73+1</f>
        <v>9</v>
      </c>
      <c r="B74" s="84">
        <f t="shared" ref="B74:B105" si="27">VLOOKUP(A74,STN_TABLE_2,2,FALSE)</f>
        <v>4.8499999999999996</v>
      </c>
      <c r="C74" s="88">
        <f t="shared" ref="C74" si="28">B75</f>
        <v>5</v>
      </c>
      <c r="D74" s="82">
        <f>VLOOKUP(C74,STN_TABLE,2,FALSE)</f>
        <v>11</v>
      </c>
      <c r="E74" s="92">
        <v>1</v>
      </c>
      <c r="F74" s="82">
        <f>D74*E74</f>
        <v>11</v>
      </c>
      <c r="G74" s="83">
        <f>C74</f>
        <v>5</v>
      </c>
      <c r="H74" s="83">
        <f>F74*G74</f>
        <v>55</v>
      </c>
      <c r="I74" s="84" t="str">
        <f>CONCATENATE("a'(",C74,")=")</f>
        <v>a'(5)=</v>
      </c>
      <c r="J74" s="84">
        <f>2*J72/3*F75</f>
        <v>88</v>
      </c>
      <c r="K74" s="84" t="str">
        <f>CONCATENATE("A(",C72,")=")</f>
        <v>A(3)=</v>
      </c>
      <c r="L74" s="84">
        <f>VLOOKUP(C72,STN_TABLE,3,FALSE)</f>
        <v>130.57333333333332</v>
      </c>
      <c r="M74" t="str">
        <f>CONCATENATE("A(",C74,")=")</f>
        <v>A(5)=</v>
      </c>
      <c r="N74">
        <f>J74+L74</f>
        <v>218.57333333333332</v>
      </c>
      <c r="O74" s="99">
        <f>O73+1</f>
        <v>11</v>
      </c>
      <c r="P74" s="99">
        <f t="shared" si="23"/>
        <v>6</v>
      </c>
      <c r="Q74" s="82">
        <f>IF(P74-P73=P73-P72,P74,IF(P75-P73=P73-P72,P75,IF(P74-P73=P73-P71,P74,IF(P75-P73=P73-P71,P75,"-"))))</f>
        <v>6</v>
      </c>
      <c r="R74" s="83">
        <f>VLOOKUP(Q74,STN_TABLE,2,FALSE)</f>
        <v>11</v>
      </c>
      <c r="S74" s="83">
        <v>-1</v>
      </c>
      <c r="T74" s="82">
        <f>R74*S74</f>
        <v>-11</v>
      </c>
      <c r="U74" s="88">
        <v>-1</v>
      </c>
      <c r="V74" s="82">
        <f>R74*U74</f>
        <v>-11</v>
      </c>
      <c r="W74" s="84" t="str">
        <f>CONCATENATE("a'(",Q73,")=")</f>
        <v>a'(5)=</v>
      </c>
      <c r="X74" s="84">
        <f>2*X72/12*T75</f>
        <v>44</v>
      </c>
      <c r="Y74" s="84" t="str">
        <f>CONCATENATE("A(",Q72,")=")</f>
        <v>A(4)=</v>
      </c>
      <c r="Z74" s="84">
        <f>VLOOKUP(Q72,STN_TABLE,3,FALSE)</f>
        <v>174.57333333333332</v>
      </c>
      <c r="AA74" t="str">
        <f>CONCATENATE("A(",Q73,")=")</f>
        <v>A(5)=</v>
      </c>
      <c r="AB74">
        <f>X74+Z74</f>
        <v>218.57333333333332</v>
      </c>
      <c r="AC74" s="99">
        <f>AC73+1</f>
        <v>10</v>
      </c>
      <c r="AD74" s="100">
        <f>VLOOKUP(AC74,STN_TABLE_2,2,FALSE)</f>
        <v>5</v>
      </c>
      <c r="AE74" s="82">
        <f>VLOOKUP(AD74,STN_TABLE,2,FALSE)</f>
        <v>11</v>
      </c>
      <c r="AF74" s="82">
        <v>2</v>
      </c>
      <c r="AG74" s="83">
        <f>AE74*AF74</f>
        <v>22</v>
      </c>
      <c r="AH74" s="84" t="str">
        <f>CONCATENATE("a'(",AD74,")=")</f>
        <v>a'(5)=</v>
      </c>
      <c r="AI74" s="84">
        <f>2*AI72/2*AE75</f>
        <v>6.6000000000000156</v>
      </c>
      <c r="AJ74" s="84" t="str">
        <f>CONCATENATE("A(",AD73,")=")</f>
        <v>A(4.85)=</v>
      </c>
      <c r="AK74" s="84">
        <f>VLOOKUP(AD73,STN_TABLE,3,FALSE)</f>
        <v>211.9733333333333</v>
      </c>
      <c r="AL74" t="str">
        <f>CONCATENATE("A(",AD74,")=")</f>
        <v>A(5)=</v>
      </c>
      <c r="AM74">
        <f>AI74+AK74</f>
        <v>218.57333333333332</v>
      </c>
      <c r="AO74" s="68" t="str">
        <f>AA74</f>
        <v>A(5)=</v>
      </c>
      <c r="AP74" s="68" t="e">
        <f>VLOOKUP(AO74,Rise_Results,2,FALSE)</f>
        <v>#N/A</v>
      </c>
      <c r="AQ74" s="76">
        <f>N74</f>
        <v>218.57333333333332</v>
      </c>
      <c r="AR74" s="76">
        <f>IF(OR(AB74&lt;=0,AB75&lt;=0),1/0,AB74)</f>
        <v>218.57333333333332</v>
      </c>
      <c r="AS74" s="76">
        <f>AM74</f>
        <v>218.57333333333332</v>
      </c>
      <c r="AT74">
        <f>IFERROR(AP74,IFERROR(AQ74,IFERROR(AR74,AS74)))</f>
        <v>218.57333333333332</v>
      </c>
      <c r="AU74" s="81"/>
    </row>
    <row r="75" spans="1:47" x14ac:dyDescent="0.25">
      <c r="A75" s="84">
        <f>A74+1</f>
        <v>10</v>
      </c>
      <c r="B75" s="84">
        <f t="shared" si="27"/>
        <v>5</v>
      </c>
      <c r="F75" s="82">
        <f>SUM(F72:F74)</f>
        <v>66</v>
      </c>
      <c r="H75" s="82">
        <f>SUM(H72:H74)</f>
        <v>264</v>
      </c>
      <c r="I75" s="84" t="str">
        <f>CONCATENATE("m'(",C74,")=")</f>
        <v>m'(5)=</v>
      </c>
      <c r="J75" s="84">
        <f>2*(J72*(WLS))/3*H75</f>
        <v>704</v>
      </c>
      <c r="K75" s="84" t="str">
        <f>CONCATENATE("M(",C72,")=")</f>
        <v>M(3)=</v>
      </c>
      <c r="L75" s="84">
        <f>VLOOKUP(C72,STN_TABLE,4,FALSE)</f>
        <v>395.32666666666665</v>
      </c>
      <c r="M75" t="str">
        <f>CONCATENATE("M(",C74,")=")</f>
        <v>M(5)=</v>
      </c>
      <c r="N75">
        <f>J75+L75</f>
        <v>1099.3266666666666</v>
      </c>
      <c r="O75" s="99">
        <f>O74+1</f>
        <v>12</v>
      </c>
      <c r="P75" s="99">
        <f t="shared" si="23"/>
        <v>6.5</v>
      </c>
      <c r="T75" s="89">
        <f>SUM(T72:T74)</f>
        <v>132</v>
      </c>
      <c r="V75" s="82">
        <f>SUM(V72:V74)</f>
        <v>132</v>
      </c>
      <c r="W75" s="84" t="str">
        <f>CONCATENATE("m'(",Q73,")=")</f>
        <v>m'(5)=</v>
      </c>
      <c r="X75" s="84">
        <f>(2*(X72^2)/24*V75)+(X74*Q72*WLS)</f>
        <v>396</v>
      </c>
      <c r="Y75" s="84" t="str">
        <f>CONCATENATE("M(",Q72,")=")</f>
        <v>M(4)=</v>
      </c>
      <c r="Z75" s="84">
        <f>VLOOKUP(Q72,STN_TABLE,4,FALSE)</f>
        <v>703.3266666666666</v>
      </c>
      <c r="AA75" t="str">
        <f>CONCATENATE("M(",Q73,")=")</f>
        <v>M(5)=</v>
      </c>
      <c r="AB75">
        <f>X75+Z75</f>
        <v>1099.3266666666666</v>
      </c>
      <c r="AE75" s="89">
        <f>SUM(AE73:AE74)</f>
        <v>22</v>
      </c>
      <c r="AG75" s="89">
        <f>SUM(AG73:AG74)</f>
        <v>33</v>
      </c>
      <c r="AH75" s="84" t="str">
        <f>CONCATENATE("m'(",AD74,")=")</f>
        <v>m'(5)=</v>
      </c>
      <c r="AI75" s="84">
        <f>(2*(AI72^2)/6*AG75)+(AI74*AD73*WLS)</f>
        <v>65.010000000000161</v>
      </c>
      <c r="AJ75" s="84" t="str">
        <f>CONCATENATE("M(",AD73,")=")</f>
        <v>M(4.85)=</v>
      </c>
      <c r="AK75" s="84">
        <f>VLOOKUP(AD73,STN_TABLE,4,FALSE)</f>
        <v>1034.3166666666664</v>
      </c>
      <c r="AL75" t="str">
        <f>CONCATENATE("M(",AD74,")=")</f>
        <v>M(5)=</v>
      </c>
      <c r="AM75">
        <f>AI75+AK75</f>
        <v>1099.3266666666666</v>
      </c>
      <c r="AO75" s="82" t="str">
        <f>AA75</f>
        <v>M(5)=</v>
      </c>
      <c r="AP75" s="82" t="e">
        <f>VLOOKUP(AO75,Rise_Results,2,FALSE)</f>
        <v>#N/A</v>
      </c>
      <c r="AQ75" s="82">
        <f>N75</f>
        <v>1099.3266666666666</v>
      </c>
      <c r="AR75" s="82">
        <f>IF(OR(AB74&lt;=0,AB75&lt;=0),1/0,AB75)</f>
        <v>1099.3266666666666</v>
      </c>
      <c r="AS75" s="82">
        <f>AM75</f>
        <v>1099.3266666666666</v>
      </c>
      <c r="AT75">
        <f>IFERROR(AP75,IFERROR(AQ75,IFERROR(AR75,AS75)))</f>
        <v>1099.3266666666666</v>
      </c>
      <c r="AU75" s="81"/>
    </row>
    <row r="76" spans="1:47" x14ac:dyDescent="0.25">
      <c r="A76" s="101">
        <f>A71+1</f>
        <v>7</v>
      </c>
      <c r="B76" s="101">
        <f t="shared" si="27"/>
        <v>3</v>
      </c>
      <c r="O76" s="101">
        <f>O71+1</f>
        <v>9</v>
      </c>
      <c r="P76" s="101">
        <f t="shared" si="23"/>
        <v>4.8499999999999996</v>
      </c>
      <c r="AU76" s="81"/>
    </row>
    <row r="77" spans="1:47" x14ac:dyDescent="0.25">
      <c r="A77" s="84">
        <f>A76+1</f>
        <v>8</v>
      </c>
      <c r="B77" s="84">
        <f t="shared" si="27"/>
        <v>4</v>
      </c>
      <c r="C77" s="79">
        <f t="shared" ref="C77" si="29">IF(C78=B79,IF(C79-C78=C78-B78,B78,IF(C79-C78=C78-B77,B77,"#NA")),IF(C78=B78,IF(C79-C78=C78-B77,B77,IF(C79-C78=C78-B76,B76,"#NA")),"#NA"))</f>
        <v>4</v>
      </c>
      <c r="D77" s="68">
        <f>VLOOKUP(C77,STN_TABLE,2,FALSE)</f>
        <v>11</v>
      </c>
      <c r="E77" s="102">
        <v>1</v>
      </c>
      <c r="F77" s="68">
        <f>D77*E77</f>
        <v>11</v>
      </c>
      <c r="G77" s="69">
        <f>C77</f>
        <v>4</v>
      </c>
      <c r="H77" s="69">
        <f>F77*G77</f>
        <v>44</v>
      </c>
      <c r="I77" s="6" t="s">
        <v>93</v>
      </c>
      <c r="J77" s="70">
        <f>IF(OR(D77=0,D78=0,D79=0),"#NA",IF(AND(C79-C78=C78-C77,C78&lt;&gt;C79,C77&lt;&gt;C78,C77&lt;&gt;C79,D79&lt;&gt;0,OR(D77&lt;&gt;0,D78&lt;&gt;0)),WLS*(C79-C78),"#NA"))</f>
        <v>2</v>
      </c>
      <c r="O77" s="99">
        <f>O76+1</f>
        <v>10</v>
      </c>
      <c r="P77" s="99">
        <f t="shared" si="23"/>
        <v>5</v>
      </c>
      <c r="Q77" s="68" t="e">
        <f>IF(OR(P79-P78=P78-P77,P80-P78=P78-P77),P77,IF(OR(P79-P78=P78-P76,P80-P78=P78-P76),P76,"-"))</f>
        <v>#VALUE!</v>
      </c>
      <c r="R77" s="69" t="e">
        <f>VLOOKUP(Q77,STN_TABLE,2,FALSE)</f>
        <v>#VALUE!</v>
      </c>
      <c r="S77" s="69">
        <v>5</v>
      </c>
      <c r="T77" s="68" t="e">
        <f>R77*S77</f>
        <v>#VALUE!</v>
      </c>
      <c r="U77" s="79">
        <v>3</v>
      </c>
      <c r="V77" s="68" t="e">
        <f>R77*U77</f>
        <v>#VALUE!</v>
      </c>
      <c r="W77" s="6" t="s">
        <v>93</v>
      </c>
      <c r="X77" s="70" t="e">
        <f>IF(AND(Q79-Q78=Q78-Q77,NOT(AND(Q77=0,Q78=0)),NOT(AND(Q78=0,Q79=0))),WLS*(Q79-Q78),"#NA")</f>
        <v>#VALUE!</v>
      </c>
      <c r="AD77" s="93"/>
      <c r="AH77" s="6" t="s">
        <v>93</v>
      </c>
      <c r="AI77" s="70">
        <f>WLS*(AD79-AD78)</f>
        <v>2</v>
      </c>
      <c r="AU77" s="81"/>
    </row>
    <row r="78" spans="1:47" x14ac:dyDescent="0.25">
      <c r="A78" s="84">
        <f>A77+1</f>
        <v>9</v>
      </c>
      <c r="B78" s="84">
        <f t="shared" si="27"/>
        <v>4.8499999999999996</v>
      </c>
      <c r="C78" s="80">
        <f t="shared" ref="C78" si="30">IF(OR(B80-B79=B79-B78,B80-B79=B79-B77,B80-B79=B79-B76),B79,IF(OR(B80-B78=B78-B77,B80-B78=B78-B76),B78,IF(B80-B77=B77-B76,B77,"#NA")))</f>
        <v>5</v>
      </c>
      <c r="D78" s="76">
        <f>VLOOKUP(C78,STN_TABLE,2,FALSE)</f>
        <v>11</v>
      </c>
      <c r="E78" s="81">
        <v>4</v>
      </c>
      <c r="F78" s="76">
        <f>D78*E78</f>
        <v>44</v>
      </c>
      <c r="G78" s="77">
        <f>C78</f>
        <v>5</v>
      </c>
      <c r="H78" s="77">
        <f>F78*G78</f>
        <v>220</v>
      </c>
      <c r="I78" s="495" t="s">
        <v>97</v>
      </c>
      <c r="J78" s="496"/>
      <c r="K78" s="78" t="s">
        <v>98</v>
      </c>
      <c r="L78" s="78"/>
      <c r="M78" s="7" t="s">
        <v>99</v>
      </c>
      <c r="N78" s="7"/>
      <c r="O78" s="99">
        <f>O77+1</f>
        <v>11</v>
      </c>
      <c r="P78" s="99">
        <f t="shared" si="23"/>
        <v>6</v>
      </c>
      <c r="Q78" s="76">
        <f>P78</f>
        <v>6</v>
      </c>
      <c r="R78" s="77">
        <f>VLOOKUP(Q78,STN_TABLE,2,FALSE)</f>
        <v>11</v>
      </c>
      <c r="S78" s="77">
        <v>8</v>
      </c>
      <c r="T78" s="76">
        <f>R78*S78</f>
        <v>88</v>
      </c>
      <c r="U78" s="80">
        <v>10</v>
      </c>
      <c r="V78" s="76">
        <f>R78*U78</f>
        <v>110</v>
      </c>
      <c r="W78" s="496" t="s">
        <v>97</v>
      </c>
      <c r="X78" s="496"/>
      <c r="Y78" s="496" t="s">
        <v>98</v>
      </c>
      <c r="Z78" s="496"/>
      <c r="AA78" s="494" t="s">
        <v>99</v>
      </c>
      <c r="AB78" s="494"/>
      <c r="AC78" s="99">
        <f>AC73+1</f>
        <v>10</v>
      </c>
      <c r="AD78" s="95">
        <f>VLOOKUP(AC78,STN_TABLE_2,2,FALSE)</f>
        <v>5</v>
      </c>
      <c r="AE78" s="68">
        <f>VLOOKUP(AD78,STN_TABLE,2,FALSE)</f>
        <v>11</v>
      </c>
      <c r="AF78" s="68">
        <v>1</v>
      </c>
      <c r="AG78" s="69">
        <f>AE78*AF78</f>
        <v>11</v>
      </c>
      <c r="AH78" s="496" t="s">
        <v>97</v>
      </c>
      <c r="AI78" s="496"/>
      <c r="AJ78" s="496" t="s">
        <v>98</v>
      </c>
      <c r="AK78" s="496"/>
      <c r="AL78" s="494" t="s">
        <v>99</v>
      </c>
      <c r="AM78" s="494"/>
      <c r="AP78" s="86" t="s">
        <v>112</v>
      </c>
      <c r="AQ78" s="89" t="s">
        <v>113</v>
      </c>
      <c r="AR78" s="89" t="s">
        <v>114</v>
      </c>
      <c r="AS78" s="89" t="s">
        <v>115</v>
      </c>
      <c r="AU78" s="81"/>
    </row>
    <row r="79" spans="1:47" x14ac:dyDescent="0.25">
      <c r="A79" s="84">
        <f>A78+1</f>
        <v>10</v>
      </c>
      <c r="B79" s="84">
        <f t="shared" si="27"/>
        <v>5</v>
      </c>
      <c r="C79" s="88">
        <f t="shared" ref="C79" si="31">B80</f>
        <v>6</v>
      </c>
      <c r="D79" s="82">
        <f>VLOOKUP(C79,STN_TABLE,2,FALSE)</f>
        <v>11</v>
      </c>
      <c r="E79" s="92">
        <v>1</v>
      </c>
      <c r="F79" s="82">
        <f>D79*E79</f>
        <v>11</v>
      </c>
      <c r="G79" s="83">
        <f>C79</f>
        <v>6</v>
      </c>
      <c r="H79" s="83">
        <f>F79*G79</f>
        <v>66</v>
      </c>
      <c r="I79" s="84" t="str">
        <f>CONCATENATE("a'(",C79,")=")</f>
        <v>a'(6)=</v>
      </c>
      <c r="J79" s="84">
        <f>2*J77/3*F80</f>
        <v>88</v>
      </c>
      <c r="K79" s="84" t="str">
        <f>CONCATENATE("A(",C77,")=")</f>
        <v>A(4)=</v>
      </c>
      <c r="L79" s="84">
        <f>VLOOKUP(C77,STN_TABLE,3,FALSE)</f>
        <v>174.57333333333332</v>
      </c>
      <c r="M79" t="str">
        <f>CONCATENATE("A(",C79,")=")</f>
        <v>A(6)=</v>
      </c>
      <c r="N79">
        <f>J79+L79</f>
        <v>262.57333333333332</v>
      </c>
      <c r="O79" s="99">
        <f>O78+1</f>
        <v>12</v>
      </c>
      <c r="P79" s="99">
        <f t="shared" si="23"/>
        <v>6.5</v>
      </c>
      <c r="Q79" s="82" t="e">
        <f>IF(P79-P78=P78-P77,P79,IF(P80-P78=P78-P77,P80,IF(P79-P78=P78-P76,P79,IF(P80-P78=P78-P76,P80,"-"))))</f>
        <v>#VALUE!</v>
      </c>
      <c r="R79" s="83" t="e">
        <f>VLOOKUP(Q79,STN_TABLE,2,FALSE)</f>
        <v>#VALUE!</v>
      </c>
      <c r="S79" s="83">
        <v>-1</v>
      </c>
      <c r="T79" s="82" t="e">
        <f>R79*S79</f>
        <v>#VALUE!</v>
      </c>
      <c r="U79" s="88">
        <v>-1</v>
      </c>
      <c r="V79" s="82" t="e">
        <f>R79*U79</f>
        <v>#VALUE!</v>
      </c>
      <c r="W79" s="84" t="str">
        <f>CONCATENATE("a'(",Q78,")=")</f>
        <v>a'(6)=</v>
      </c>
      <c r="X79" s="84" t="e">
        <f>2*X77/12*T80</f>
        <v>#VALUE!</v>
      </c>
      <c r="Y79" s="84" t="e">
        <f>CONCATENATE("A(",Q77,")=")</f>
        <v>#VALUE!</v>
      </c>
      <c r="Z79" s="84" t="e">
        <f>VLOOKUP(Q77,STN_TABLE,3,FALSE)</f>
        <v>#VALUE!</v>
      </c>
      <c r="AA79" t="str">
        <f>CONCATENATE("A(",Q78,")=")</f>
        <v>A(6)=</v>
      </c>
      <c r="AB79" t="e">
        <f>X79+Z79</f>
        <v>#VALUE!</v>
      </c>
      <c r="AC79" s="99">
        <f>AC78+1</f>
        <v>11</v>
      </c>
      <c r="AD79" s="100">
        <f>VLOOKUP(AC79,STN_TABLE_2,2,FALSE)</f>
        <v>6</v>
      </c>
      <c r="AE79" s="82">
        <f>VLOOKUP(AD79,STN_TABLE,2,FALSE)</f>
        <v>11</v>
      </c>
      <c r="AF79" s="82">
        <v>2</v>
      </c>
      <c r="AG79" s="83">
        <f>AE79*AF79</f>
        <v>22</v>
      </c>
      <c r="AH79" s="84" t="str">
        <f>CONCATENATE("a'(",AD79,")=")</f>
        <v>a'(6)=</v>
      </c>
      <c r="AI79" s="84">
        <f>2*AI77/2*AE80</f>
        <v>44</v>
      </c>
      <c r="AJ79" s="84" t="str">
        <f>CONCATENATE("A(",AD78,")=")</f>
        <v>A(5)=</v>
      </c>
      <c r="AK79" s="84">
        <f>VLOOKUP(AD78,STN_TABLE,3,FALSE)</f>
        <v>218.57333333333332</v>
      </c>
      <c r="AL79" t="str">
        <f>CONCATENATE("A(",AD79,")=")</f>
        <v>A(6)=</v>
      </c>
      <c r="AM79">
        <f>AI79+AK79</f>
        <v>262.57333333333332</v>
      </c>
      <c r="AO79" s="68" t="str">
        <f>AA79</f>
        <v>A(6)=</v>
      </c>
      <c r="AP79" s="68" t="e">
        <f>VLOOKUP(AO79,Rise_Results,2,FALSE)</f>
        <v>#N/A</v>
      </c>
      <c r="AQ79" s="76">
        <f>N79</f>
        <v>262.57333333333332</v>
      </c>
      <c r="AR79" s="76" t="e">
        <f>IF(OR(AB79&lt;=0,AB80&lt;=0),1/0,AB79)</f>
        <v>#VALUE!</v>
      </c>
      <c r="AS79" s="76">
        <f>AM79</f>
        <v>262.57333333333332</v>
      </c>
      <c r="AT79">
        <f>IFERROR(AP79,IFERROR(AQ79,IFERROR(AR79,AS79)))</f>
        <v>262.57333333333332</v>
      </c>
      <c r="AU79" s="81"/>
    </row>
    <row r="80" spans="1:47" x14ac:dyDescent="0.25">
      <c r="A80" s="84">
        <f>A79+1</f>
        <v>11</v>
      </c>
      <c r="B80" s="84">
        <f t="shared" si="27"/>
        <v>6</v>
      </c>
      <c r="F80" s="82">
        <f>SUM(F77:F79)</f>
        <v>66</v>
      </c>
      <c r="H80" s="82">
        <f>SUM(H77:H79)</f>
        <v>330</v>
      </c>
      <c r="I80" s="84" t="str">
        <f>CONCATENATE("m'(",C79,")=")</f>
        <v>m'(6)=</v>
      </c>
      <c r="J80" s="84">
        <f>2*(J77*(WLS))/3*H80</f>
        <v>880</v>
      </c>
      <c r="K80" s="84" t="str">
        <f>CONCATENATE("M(",C77,")=")</f>
        <v>M(4)=</v>
      </c>
      <c r="L80" s="84">
        <f>VLOOKUP(C77,STN_TABLE,4,FALSE)</f>
        <v>703.3266666666666</v>
      </c>
      <c r="M80" t="str">
        <f>CONCATENATE("M(",C79,")=")</f>
        <v>M(6)=</v>
      </c>
      <c r="N80">
        <f>J80+L80</f>
        <v>1583.3266666666666</v>
      </c>
      <c r="O80" s="99">
        <f>O79+1</f>
        <v>13</v>
      </c>
      <c r="P80" s="99" t="str">
        <f t="shared" si="23"/>
        <v xml:space="preserve">  </v>
      </c>
      <c r="T80" s="89" t="e">
        <f>SUM(T77:T79)</f>
        <v>#VALUE!</v>
      </c>
      <c r="V80" s="82" t="e">
        <f>SUM(V77:V79)</f>
        <v>#VALUE!</v>
      </c>
      <c r="W80" s="84" t="str">
        <f>CONCATENATE("m'(",Q78,")=")</f>
        <v>m'(6)=</v>
      </c>
      <c r="X80" s="84" t="e">
        <f>(2*(X77^2)/24*V80)+(X79*Q77*WLS)</f>
        <v>#VALUE!</v>
      </c>
      <c r="Y80" s="84" t="e">
        <f>CONCATENATE("M(",Q77,")=")</f>
        <v>#VALUE!</v>
      </c>
      <c r="Z80" s="84" t="e">
        <f>VLOOKUP(Q77,STN_TABLE,4,FALSE)</f>
        <v>#VALUE!</v>
      </c>
      <c r="AA80" t="str">
        <f>CONCATENATE("M(",Q78,")=")</f>
        <v>M(6)=</v>
      </c>
      <c r="AB80" t="e">
        <f>X80+Z80</f>
        <v>#VALUE!</v>
      </c>
      <c r="AE80" s="89">
        <f>SUM(AE78:AE79)</f>
        <v>22</v>
      </c>
      <c r="AG80" s="89">
        <f>SUM(AG78:AG79)</f>
        <v>33</v>
      </c>
      <c r="AH80" s="84" t="str">
        <f>CONCATENATE("m'(",AD79,")=")</f>
        <v>m'(6)=</v>
      </c>
      <c r="AI80" s="84">
        <f>(2*(AI77^2)/6*AG80)+(AI79*AD78*WLS)</f>
        <v>484</v>
      </c>
      <c r="AJ80" s="84" t="str">
        <f>CONCATENATE("M(",AD78,")=")</f>
        <v>M(5)=</v>
      </c>
      <c r="AK80" s="84">
        <f>VLOOKUP(AD78,STN_TABLE,4,FALSE)</f>
        <v>1099.3266666666666</v>
      </c>
      <c r="AL80" t="str">
        <f>CONCATENATE("M(",AD79,")=")</f>
        <v>M(6)=</v>
      </c>
      <c r="AM80">
        <f>AI80+AK80</f>
        <v>1583.3266666666666</v>
      </c>
      <c r="AO80" s="82" t="str">
        <f>AA80</f>
        <v>M(6)=</v>
      </c>
      <c r="AP80" s="82" t="e">
        <f>VLOOKUP(AO80,Rise_Results,2,FALSE)</f>
        <v>#N/A</v>
      </c>
      <c r="AQ80" s="82">
        <f>N80</f>
        <v>1583.3266666666666</v>
      </c>
      <c r="AR80" s="82" t="e">
        <f>IF(OR(AB79&lt;=0,AB80&lt;=0),1/0,AB80)</f>
        <v>#VALUE!</v>
      </c>
      <c r="AS80" s="82">
        <f>AM80</f>
        <v>1583.3266666666666</v>
      </c>
      <c r="AT80">
        <f>IFERROR(AP80,IFERROR(AQ80,IFERROR(AR80,AS80)))</f>
        <v>1583.3266666666666</v>
      </c>
      <c r="AU80" s="81"/>
    </row>
    <row r="81" spans="1:47" x14ac:dyDescent="0.25">
      <c r="A81" s="101">
        <f>A76+1</f>
        <v>8</v>
      </c>
      <c r="B81" s="101">
        <f t="shared" si="27"/>
        <v>4</v>
      </c>
      <c r="O81" s="101">
        <f>O76+1</f>
        <v>10</v>
      </c>
      <c r="P81" s="101">
        <f t="shared" si="23"/>
        <v>5</v>
      </c>
      <c r="AU81" s="81"/>
    </row>
    <row r="82" spans="1:47" x14ac:dyDescent="0.25">
      <c r="A82" s="84">
        <f>A81+1</f>
        <v>9</v>
      </c>
      <c r="B82" s="84">
        <f t="shared" si="27"/>
        <v>4.8499999999999996</v>
      </c>
      <c r="C82" s="79" t="str">
        <f t="shared" ref="C82" si="32">IF(C83=B84,IF(C84-C83=C83-B83,B83,IF(C84-C83=C83-B82,B82,"#NA")),IF(C83=B83,IF(C84-C83=C83-B82,B82,IF(C84-C83=C83-B81,B81,"#NA")),"#NA"))</f>
        <v>#NA</v>
      </c>
      <c r="D82" s="68" t="e">
        <f>VLOOKUP(C82,STN_TABLE,2,FALSE)</f>
        <v>#N/A</v>
      </c>
      <c r="E82" s="102">
        <v>1</v>
      </c>
      <c r="F82" s="68" t="e">
        <f>D82*E82</f>
        <v>#N/A</v>
      </c>
      <c r="G82" s="69" t="str">
        <f>C82</f>
        <v>#NA</v>
      </c>
      <c r="H82" s="69" t="e">
        <f>F82*G82</f>
        <v>#N/A</v>
      </c>
      <c r="I82" s="6" t="s">
        <v>93</v>
      </c>
      <c r="J82" s="70" t="e">
        <f>IF(OR(D82=0,D83=0,D84=0),"#NA",IF(AND(C84-C83=C83-C82,C83&lt;&gt;C84,C82&lt;&gt;C83,C82&lt;&gt;C84,D84&lt;&gt;0,OR(D82&lt;&gt;0,D83&lt;&gt;0)),WLS*(C84-C83),"#NA"))</f>
        <v>#N/A</v>
      </c>
      <c r="O82" s="99">
        <f>O81+1</f>
        <v>11</v>
      </c>
      <c r="P82" s="99">
        <f t="shared" si="23"/>
        <v>6</v>
      </c>
      <c r="Q82" s="68" t="e">
        <f>IF(OR(P84-P83=P83-P82,P85-P83=P83-P82),P82,IF(OR(P84-P83=P83-P81,P85-P83=P83-P81),P81,"-"))</f>
        <v>#VALUE!</v>
      </c>
      <c r="R82" s="69" t="e">
        <f>VLOOKUP(Q82,STN_TABLE,2,FALSE)</f>
        <v>#VALUE!</v>
      </c>
      <c r="S82" s="69">
        <v>5</v>
      </c>
      <c r="T82" s="68" t="e">
        <f>R82*S82</f>
        <v>#VALUE!</v>
      </c>
      <c r="U82" s="79">
        <v>3</v>
      </c>
      <c r="V82" s="68" t="e">
        <f>R82*U82</f>
        <v>#VALUE!</v>
      </c>
      <c r="W82" s="6" t="s">
        <v>93</v>
      </c>
      <c r="X82" s="70" t="e">
        <f>IF(AND(Q84-Q83=Q83-Q82,NOT(AND(Q82=0,Q83=0)),NOT(AND(Q83=0,Q84=0))),WLS*(Q84-Q83),"#NA")</f>
        <v>#VALUE!</v>
      </c>
      <c r="AD82" s="93"/>
      <c r="AH82" s="6" t="s">
        <v>93</v>
      </c>
      <c r="AI82" s="70">
        <f>WLS*(AD84-AD83)</f>
        <v>1</v>
      </c>
      <c r="AU82" s="81"/>
    </row>
    <row r="83" spans="1:47" x14ac:dyDescent="0.25">
      <c r="A83" s="84">
        <f>A82+1</f>
        <v>10</v>
      </c>
      <c r="B83" s="84">
        <f t="shared" si="27"/>
        <v>5</v>
      </c>
      <c r="C83" s="80" t="str">
        <f t="shared" ref="C83" si="33">IF(OR(B85-B84=B84-B83,B85-B84=B84-B82,B85-B84=B84-B81),B84,IF(OR(B85-B83=B83-B82,B85-B83=B83-B81),B83,IF(B85-B82=B82-B81,B82,"#NA")))</f>
        <v>#NA</v>
      </c>
      <c r="D83" s="76" t="e">
        <f>VLOOKUP(C83,STN_TABLE,2,FALSE)</f>
        <v>#N/A</v>
      </c>
      <c r="E83" s="81">
        <v>4</v>
      </c>
      <c r="F83" s="76" t="e">
        <f>D83*E83</f>
        <v>#N/A</v>
      </c>
      <c r="G83" s="77" t="str">
        <f>C83</f>
        <v>#NA</v>
      </c>
      <c r="H83" s="77" t="e">
        <f>F83*G83</f>
        <v>#N/A</v>
      </c>
      <c r="I83" s="495" t="s">
        <v>97</v>
      </c>
      <c r="J83" s="496"/>
      <c r="K83" s="78" t="s">
        <v>98</v>
      </c>
      <c r="L83" s="78"/>
      <c r="M83" s="7" t="s">
        <v>99</v>
      </c>
      <c r="N83" s="7"/>
      <c r="O83" s="99">
        <f>O82+1</f>
        <v>12</v>
      </c>
      <c r="P83" s="99">
        <f t="shared" si="23"/>
        <v>6.5</v>
      </c>
      <c r="Q83" s="76">
        <f>P83</f>
        <v>6.5</v>
      </c>
      <c r="R83" s="77">
        <f>VLOOKUP(Q83,STN_TABLE,2,FALSE)</f>
        <v>11</v>
      </c>
      <c r="S83" s="77">
        <v>8</v>
      </c>
      <c r="T83" s="76">
        <f>R83*S83</f>
        <v>88</v>
      </c>
      <c r="U83" s="80">
        <v>10</v>
      </c>
      <c r="V83" s="76">
        <f>R83*U83</f>
        <v>110</v>
      </c>
      <c r="W83" s="496" t="s">
        <v>97</v>
      </c>
      <c r="X83" s="496"/>
      <c r="Y83" s="496" t="s">
        <v>98</v>
      </c>
      <c r="Z83" s="496"/>
      <c r="AA83" s="494" t="s">
        <v>99</v>
      </c>
      <c r="AB83" s="494"/>
      <c r="AC83" s="99">
        <f>AC78+1</f>
        <v>11</v>
      </c>
      <c r="AD83" s="95">
        <f>VLOOKUP(AC83,STN_TABLE_2,2,FALSE)</f>
        <v>6</v>
      </c>
      <c r="AE83" s="68">
        <f>VLOOKUP(AD83,STN_TABLE,2,FALSE)</f>
        <v>11</v>
      </c>
      <c r="AF83" s="68">
        <v>1</v>
      </c>
      <c r="AG83" s="69">
        <f>AE83*AF83</f>
        <v>11</v>
      </c>
      <c r="AH83" s="496" t="s">
        <v>97</v>
      </c>
      <c r="AI83" s="496"/>
      <c r="AJ83" s="496" t="s">
        <v>98</v>
      </c>
      <c r="AK83" s="496"/>
      <c r="AL83" s="494" t="s">
        <v>99</v>
      </c>
      <c r="AM83" s="494"/>
      <c r="AP83" s="86" t="s">
        <v>112</v>
      </c>
      <c r="AQ83" s="89" t="s">
        <v>113</v>
      </c>
      <c r="AR83" s="89" t="s">
        <v>114</v>
      </c>
      <c r="AS83" s="89" t="s">
        <v>115</v>
      </c>
      <c r="AU83" s="81"/>
    </row>
    <row r="84" spans="1:47" x14ac:dyDescent="0.25">
      <c r="A84" s="84">
        <f>A83+1</f>
        <v>11</v>
      </c>
      <c r="B84" s="84">
        <f t="shared" si="27"/>
        <v>6</v>
      </c>
      <c r="C84" s="88">
        <f t="shared" ref="C84" si="34">B85</f>
        <v>6.5</v>
      </c>
      <c r="D84" s="82">
        <f>VLOOKUP(C84,STN_TABLE,2,FALSE)</f>
        <v>11</v>
      </c>
      <c r="E84" s="92">
        <v>1</v>
      </c>
      <c r="F84" s="82">
        <f>D84*E84</f>
        <v>11</v>
      </c>
      <c r="G84" s="83">
        <f>C84</f>
        <v>6.5</v>
      </c>
      <c r="H84" s="83">
        <f>F84*G84</f>
        <v>71.5</v>
      </c>
      <c r="I84" s="84" t="str">
        <f>CONCATENATE("a'(",C84,")=")</f>
        <v>a'(6.5)=</v>
      </c>
      <c r="J84" s="84" t="e">
        <f>2*J82/3*F85</f>
        <v>#N/A</v>
      </c>
      <c r="K84" s="84" t="str">
        <f>CONCATENATE("A(",C82,")=")</f>
        <v>A(#NA)=</v>
      </c>
      <c r="L84" s="84" t="e">
        <f>VLOOKUP(C82,STN_TABLE,3,FALSE)</f>
        <v>#N/A</v>
      </c>
      <c r="M84" t="str">
        <f>CONCATENATE("A(",C84,")=")</f>
        <v>A(6.5)=</v>
      </c>
      <c r="N84" t="e">
        <f>J84+L84</f>
        <v>#N/A</v>
      </c>
      <c r="O84" s="99">
        <f>O83+1</f>
        <v>13</v>
      </c>
      <c r="P84" s="99" t="str">
        <f t="shared" si="23"/>
        <v xml:space="preserve">  </v>
      </c>
      <c r="Q84" s="82" t="e">
        <f>IF(P84-P83=P83-P82,P84,IF(P85-P83=P83-P82,P85,IF(P84-P83=P83-P81,P84,IF(P85-P83=P83-P81,P85,"-"))))</f>
        <v>#VALUE!</v>
      </c>
      <c r="R84" s="83" t="e">
        <f>VLOOKUP(Q84,STN_TABLE,2,FALSE)</f>
        <v>#VALUE!</v>
      </c>
      <c r="S84" s="83">
        <v>-1</v>
      </c>
      <c r="T84" s="82" t="e">
        <f>R84*S84</f>
        <v>#VALUE!</v>
      </c>
      <c r="U84" s="88">
        <v>-1</v>
      </c>
      <c r="V84" s="82" t="e">
        <f>R84*U84</f>
        <v>#VALUE!</v>
      </c>
      <c r="W84" s="84" t="str">
        <f>CONCATENATE("a'(",Q83,")=")</f>
        <v>a'(6.5)=</v>
      </c>
      <c r="X84" s="84" t="e">
        <f>2*X82/12*T85</f>
        <v>#VALUE!</v>
      </c>
      <c r="Y84" s="84" t="e">
        <f>CONCATENATE("A(",Q82,")=")</f>
        <v>#VALUE!</v>
      </c>
      <c r="Z84" s="84" t="e">
        <f>VLOOKUP(Q82,STN_TABLE,3,FALSE)</f>
        <v>#VALUE!</v>
      </c>
      <c r="AA84" t="str">
        <f>CONCATENATE("A(",Q83,")=")</f>
        <v>A(6.5)=</v>
      </c>
      <c r="AB84" t="e">
        <f>X84+Z84</f>
        <v>#VALUE!</v>
      </c>
      <c r="AC84" s="99">
        <f>AC83+1</f>
        <v>12</v>
      </c>
      <c r="AD84" s="100">
        <f>VLOOKUP(AC84,STN_TABLE_2,2,FALSE)</f>
        <v>6.5</v>
      </c>
      <c r="AE84" s="82">
        <f>VLOOKUP(AD84,STN_TABLE,2,FALSE)</f>
        <v>11</v>
      </c>
      <c r="AF84" s="82">
        <v>2</v>
      </c>
      <c r="AG84" s="83">
        <f>AE84*AF84</f>
        <v>22</v>
      </c>
      <c r="AH84" s="84" t="str">
        <f>CONCATENATE("a'(",AD84,")=")</f>
        <v>a'(6.5)=</v>
      </c>
      <c r="AI84" s="84">
        <f>2*AI82/2*AE85</f>
        <v>22</v>
      </c>
      <c r="AJ84" s="84" t="str">
        <f>CONCATENATE("A(",AD83,")=")</f>
        <v>A(6)=</v>
      </c>
      <c r="AK84" s="84">
        <f>VLOOKUP(AD83,STN_TABLE,3,FALSE)</f>
        <v>262.57333333333332</v>
      </c>
      <c r="AL84" t="str">
        <f>CONCATENATE("A(",AD84,")=")</f>
        <v>A(6.5)=</v>
      </c>
      <c r="AM84">
        <f>AI84+AK84</f>
        <v>284.57333333333332</v>
      </c>
      <c r="AO84" s="68" t="str">
        <f>AA84</f>
        <v>A(6.5)=</v>
      </c>
      <c r="AP84" s="68" t="e">
        <f>VLOOKUP(AO84,Rise_Results,2,FALSE)</f>
        <v>#N/A</v>
      </c>
      <c r="AQ84" s="76" t="e">
        <f>N84</f>
        <v>#N/A</v>
      </c>
      <c r="AR84" s="76" t="e">
        <f>IF(OR(AB84&lt;=0,AB85&lt;=0),1/0,AB84)</f>
        <v>#VALUE!</v>
      </c>
      <c r="AS84" s="76">
        <f>AM84</f>
        <v>284.57333333333332</v>
      </c>
      <c r="AT84">
        <f>IFERROR(AP84,IFERROR(AQ84,IFERROR(AR84,AS84)))</f>
        <v>284.57333333333332</v>
      </c>
      <c r="AU84" s="81"/>
    </row>
    <row r="85" spans="1:47" x14ac:dyDescent="0.25">
      <c r="A85" s="84">
        <f>A84+1</f>
        <v>12</v>
      </c>
      <c r="B85" s="84">
        <f t="shared" si="27"/>
        <v>6.5</v>
      </c>
      <c r="F85" s="82" t="e">
        <f>SUM(F82:F84)</f>
        <v>#N/A</v>
      </c>
      <c r="H85" s="82" t="e">
        <f>SUM(H82:H84)</f>
        <v>#N/A</v>
      </c>
      <c r="I85" s="84" t="str">
        <f>CONCATENATE("m'(",C84,")=")</f>
        <v>m'(6.5)=</v>
      </c>
      <c r="J85" s="84" t="e">
        <f>2*(J82*(WLS))/3*H85</f>
        <v>#N/A</v>
      </c>
      <c r="K85" s="84" t="str">
        <f>CONCATENATE("M(",C82,")=")</f>
        <v>M(#NA)=</v>
      </c>
      <c r="L85" s="84" t="e">
        <f>VLOOKUP(C82,STN_TABLE,4,FALSE)</f>
        <v>#N/A</v>
      </c>
      <c r="M85" t="str">
        <f>CONCATENATE("M(",C84,")=")</f>
        <v>M(6.5)=</v>
      </c>
      <c r="N85" t="e">
        <f>J85+L85</f>
        <v>#N/A</v>
      </c>
      <c r="O85" s="99">
        <f>O84+1</f>
        <v>14</v>
      </c>
      <c r="P85" s="99" t="str">
        <f t="shared" si="23"/>
        <v xml:space="preserve">  </v>
      </c>
      <c r="T85" s="89" t="e">
        <f>SUM(T82:T84)</f>
        <v>#VALUE!</v>
      </c>
      <c r="V85" s="82" t="e">
        <f>SUM(V82:V84)</f>
        <v>#VALUE!</v>
      </c>
      <c r="W85" s="84" t="str">
        <f>CONCATENATE("m'(",Q83,")=")</f>
        <v>m'(6.5)=</v>
      </c>
      <c r="X85" s="84" t="e">
        <f>(2*(X82^2)/24*V85)+(X84*Q82*WLS)</f>
        <v>#VALUE!</v>
      </c>
      <c r="Y85" s="84" t="e">
        <f>CONCATENATE("M(",Q82,")=")</f>
        <v>#VALUE!</v>
      </c>
      <c r="Z85" s="84" t="e">
        <f>VLOOKUP(Q82,STN_TABLE,4,FALSE)</f>
        <v>#VALUE!</v>
      </c>
      <c r="AA85" t="str">
        <f>CONCATENATE("M(",Q83,")=")</f>
        <v>M(6.5)=</v>
      </c>
      <c r="AB85" t="e">
        <f>X85+Z85</f>
        <v>#VALUE!</v>
      </c>
      <c r="AE85" s="89">
        <f>SUM(AE83:AE84)</f>
        <v>22</v>
      </c>
      <c r="AG85" s="89">
        <f>SUM(AG83:AG84)</f>
        <v>33</v>
      </c>
      <c r="AH85" s="84" t="str">
        <f>CONCATENATE("m'(",AD84,")=")</f>
        <v>m'(6.5)=</v>
      </c>
      <c r="AI85" s="84">
        <f>(2*(AI82^2)/6*AG85)+(AI84*AD83*WLS)</f>
        <v>275</v>
      </c>
      <c r="AJ85" s="84" t="str">
        <f>CONCATENATE("M(",AD83,")=")</f>
        <v>M(6)=</v>
      </c>
      <c r="AK85" s="84">
        <f>VLOOKUP(AD83,STN_TABLE,4,FALSE)</f>
        <v>1583.3266666666666</v>
      </c>
      <c r="AL85" t="str">
        <f>CONCATENATE("M(",AD84,")=")</f>
        <v>M(6.5)=</v>
      </c>
      <c r="AM85">
        <f>AI85+AK85</f>
        <v>1858.3266666666666</v>
      </c>
      <c r="AO85" s="82" t="str">
        <f>AA85</f>
        <v>M(6.5)=</v>
      </c>
      <c r="AP85" s="82" t="e">
        <f>VLOOKUP(AO85,Rise_Results,2,FALSE)</f>
        <v>#N/A</v>
      </c>
      <c r="AQ85" s="82" t="e">
        <f>N85</f>
        <v>#N/A</v>
      </c>
      <c r="AR85" s="82" t="e">
        <f>IF(OR(AB84&lt;=0,AB85&lt;=0),1/0,AB85)</f>
        <v>#VALUE!</v>
      </c>
      <c r="AS85" s="82">
        <f>AM85</f>
        <v>1858.3266666666666</v>
      </c>
      <c r="AT85">
        <f>IFERROR(AP85,IFERROR(AQ85,IFERROR(AR85,AS85)))</f>
        <v>1858.3266666666666</v>
      </c>
      <c r="AU85" s="81"/>
    </row>
    <row r="86" spans="1:47" x14ac:dyDescent="0.25">
      <c r="A86" s="101">
        <f>A81+1</f>
        <v>9</v>
      </c>
      <c r="B86" s="101">
        <f t="shared" si="27"/>
        <v>4.8499999999999996</v>
      </c>
      <c r="O86" s="101">
        <f>O81+1</f>
        <v>11</v>
      </c>
      <c r="P86" s="101">
        <f t="shared" si="23"/>
        <v>6</v>
      </c>
      <c r="AU86" s="81"/>
    </row>
    <row r="87" spans="1:47" x14ac:dyDescent="0.25">
      <c r="A87" s="84">
        <f>A86+1</f>
        <v>10</v>
      </c>
      <c r="B87" s="84">
        <f t="shared" si="27"/>
        <v>5</v>
      </c>
      <c r="C87" s="79" t="e">
        <f t="shared" ref="C87" si="35">IF(C88=B89,IF(C89-C88=C88-B88,B88,IF(C89-C88=C88-B87,B87,"#NA")),IF(C88=B88,IF(C89-C88=C88-B87,B87,IF(C89-C88=C88-B86,B86,"#NA")),"#NA"))</f>
        <v>#VALUE!</v>
      </c>
      <c r="D87" s="68" t="e">
        <f>VLOOKUP(C87,STN_TABLE,2,FALSE)</f>
        <v>#VALUE!</v>
      </c>
      <c r="E87" s="102">
        <v>1</v>
      </c>
      <c r="F87" s="68" t="e">
        <f>D87*E87</f>
        <v>#VALUE!</v>
      </c>
      <c r="G87" s="69" t="e">
        <f>C87</f>
        <v>#VALUE!</v>
      </c>
      <c r="H87" s="69" t="e">
        <f>F87*G87</f>
        <v>#VALUE!</v>
      </c>
      <c r="I87" s="6" t="s">
        <v>93</v>
      </c>
      <c r="J87" s="70" t="e">
        <f>IF(OR(D87=0,D88=0,D89=0),"#NA",IF(AND(C89-C88=C88-C87,C88&lt;&gt;C89,C87&lt;&gt;C88,C87&lt;&gt;C89,D89&lt;&gt;0,OR(D87&lt;&gt;0,D88&lt;&gt;0)),WLS*(C89-C88),"#NA"))</f>
        <v>#VALUE!</v>
      </c>
      <c r="O87" s="99">
        <f>O86+1</f>
        <v>12</v>
      </c>
      <c r="P87" s="99">
        <f t="shared" si="23"/>
        <v>6.5</v>
      </c>
      <c r="Q87" s="68" t="e">
        <f>IF(OR(P89-P88=P88-P87,P90-P88=P88-P87),P87,IF(OR(P89-P88=P88-P86,P90-P88=P88-P86),P86,"-"))</f>
        <v>#VALUE!</v>
      </c>
      <c r="R87" s="69" t="e">
        <f>VLOOKUP(Q87,STN_TABLE,2,FALSE)</f>
        <v>#VALUE!</v>
      </c>
      <c r="S87" s="69">
        <v>5</v>
      </c>
      <c r="T87" s="68" t="e">
        <f>R87*S87</f>
        <v>#VALUE!</v>
      </c>
      <c r="U87" s="79">
        <v>3</v>
      </c>
      <c r="V87" s="68" t="e">
        <f>R87*U87</f>
        <v>#VALUE!</v>
      </c>
      <c r="W87" s="6" t="s">
        <v>93</v>
      </c>
      <c r="X87" s="70" t="e">
        <f>IF(AND(Q89-Q88=Q88-Q87,NOT(AND(Q87=0,Q88=0)),NOT(AND(Q88=0,Q89=0))),WLS*(Q89-Q88),"#NA")</f>
        <v>#VALUE!</v>
      </c>
      <c r="AD87" s="93"/>
      <c r="AH87" s="6" t="s">
        <v>93</v>
      </c>
      <c r="AI87" s="70" t="e">
        <f>WLS*(AD89-AD88)</f>
        <v>#VALUE!</v>
      </c>
      <c r="AU87" s="81"/>
    </row>
    <row r="88" spans="1:47" x14ac:dyDescent="0.25">
      <c r="A88" s="84">
        <f>A87+1</f>
        <v>11</v>
      </c>
      <c r="B88" s="84">
        <f t="shared" si="27"/>
        <v>6</v>
      </c>
      <c r="C88" s="80" t="e">
        <f t="shared" ref="C88" si="36">IF(OR(B90-B89=B89-B88,B90-B89=B89-B87,B90-B89=B89-B86),B89,IF(OR(B90-B88=B88-B87,B90-B88=B88-B86),B88,IF(B90-B87=B87-B86,B87,"#NA")))</f>
        <v>#VALUE!</v>
      </c>
      <c r="D88" s="76" t="e">
        <f>VLOOKUP(C88,STN_TABLE,2,FALSE)</f>
        <v>#VALUE!</v>
      </c>
      <c r="E88" s="81">
        <v>4</v>
      </c>
      <c r="F88" s="76" t="e">
        <f>D88*E88</f>
        <v>#VALUE!</v>
      </c>
      <c r="G88" s="77" t="e">
        <f>C88</f>
        <v>#VALUE!</v>
      </c>
      <c r="H88" s="77" t="e">
        <f>F88*G88</f>
        <v>#VALUE!</v>
      </c>
      <c r="I88" s="495" t="s">
        <v>97</v>
      </c>
      <c r="J88" s="496"/>
      <c r="K88" s="78" t="s">
        <v>98</v>
      </c>
      <c r="L88" s="78"/>
      <c r="M88" s="7" t="s">
        <v>99</v>
      </c>
      <c r="N88" s="7"/>
      <c r="O88" s="99">
        <f>O87+1</f>
        <v>13</v>
      </c>
      <c r="P88" s="99" t="str">
        <f t="shared" si="23"/>
        <v xml:space="preserve">  </v>
      </c>
      <c r="Q88" s="76" t="str">
        <f>P88</f>
        <v xml:space="preserve">  </v>
      </c>
      <c r="R88" s="77" t="str">
        <f>VLOOKUP(Q88,STN_TABLE,2,FALSE)</f>
        <v xml:space="preserve">  </v>
      </c>
      <c r="S88" s="77">
        <v>8</v>
      </c>
      <c r="T88" s="76" t="e">
        <f>R88*S88</f>
        <v>#VALUE!</v>
      </c>
      <c r="U88" s="80">
        <v>10</v>
      </c>
      <c r="V88" s="76" t="e">
        <f>R88*U88</f>
        <v>#VALUE!</v>
      </c>
      <c r="W88" s="496" t="s">
        <v>97</v>
      </c>
      <c r="X88" s="496"/>
      <c r="Y88" s="496" t="s">
        <v>98</v>
      </c>
      <c r="Z88" s="496"/>
      <c r="AA88" s="494" t="s">
        <v>99</v>
      </c>
      <c r="AB88" s="494"/>
      <c r="AC88" s="99">
        <f>AC83+1</f>
        <v>12</v>
      </c>
      <c r="AD88" s="95">
        <f>VLOOKUP(AC88,STN_TABLE_2,2,FALSE)</f>
        <v>6.5</v>
      </c>
      <c r="AE88" s="68">
        <f>VLOOKUP(AD88,STN_TABLE,2,FALSE)</f>
        <v>11</v>
      </c>
      <c r="AF88" s="68">
        <v>1</v>
      </c>
      <c r="AG88" s="69">
        <f>AE88*AF88</f>
        <v>11</v>
      </c>
      <c r="AH88" s="496" t="s">
        <v>97</v>
      </c>
      <c r="AI88" s="496"/>
      <c r="AJ88" s="496" t="s">
        <v>98</v>
      </c>
      <c r="AK88" s="496"/>
      <c r="AL88" s="494" t="s">
        <v>99</v>
      </c>
      <c r="AM88" s="494"/>
      <c r="AP88" s="86" t="s">
        <v>112</v>
      </c>
      <c r="AQ88" s="89" t="s">
        <v>113</v>
      </c>
      <c r="AR88" s="89" t="s">
        <v>114</v>
      </c>
      <c r="AS88" s="89" t="s">
        <v>115</v>
      </c>
      <c r="AU88" s="81"/>
    </row>
    <row r="89" spans="1:47" x14ac:dyDescent="0.25">
      <c r="A89" s="84">
        <f>A88+1</f>
        <v>12</v>
      </c>
      <c r="B89" s="84">
        <f t="shared" si="27"/>
        <v>6.5</v>
      </c>
      <c r="C89" s="88" t="str">
        <f t="shared" ref="C89" si="37">B90</f>
        <v xml:space="preserve">  </v>
      </c>
      <c r="D89" s="82" t="str">
        <f>VLOOKUP(C89,STN_TABLE,2,FALSE)</f>
        <v xml:space="preserve">  </v>
      </c>
      <c r="E89" s="92">
        <v>1</v>
      </c>
      <c r="F89" s="82" t="e">
        <f>D89*E89</f>
        <v>#VALUE!</v>
      </c>
      <c r="G89" s="83" t="str">
        <f>C89</f>
        <v xml:space="preserve">  </v>
      </c>
      <c r="H89" s="83" t="e">
        <f>F89*G89</f>
        <v>#VALUE!</v>
      </c>
      <c r="I89" s="84" t="str">
        <f>CONCATENATE("a'(",C89,")=")</f>
        <v>a'(  )=</v>
      </c>
      <c r="J89" s="84" t="e">
        <f>2*J87/3*F90</f>
        <v>#VALUE!</v>
      </c>
      <c r="K89" s="84" t="e">
        <f>CONCATENATE("A(",C87,")=")</f>
        <v>#VALUE!</v>
      </c>
      <c r="L89" s="84" t="e">
        <f>VLOOKUP(C87,STN_TABLE,3,FALSE)</f>
        <v>#VALUE!</v>
      </c>
      <c r="M89" t="str">
        <f>CONCATENATE("A(",C89,")=")</f>
        <v>A(  )=</v>
      </c>
      <c r="N89" t="e">
        <f>J89+L89</f>
        <v>#VALUE!</v>
      </c>
      <c r="O89" s="99">
        <f>O88+1</f>
        <v>14</v>
      </c>
      <c r="P89" s="99" t="str">
        <f t="shared" si="23"/>
        <v xml:space="preserve">  </v>
      </c>
      <c r="Q89" s="82" t="e">
        <f>IF(P89-P88=P88-P87,P89,IF(P90-P88=P88-P87,P90,IF(P89-P88=P88-P86,P89,IF(P90-P88=P88-P86,P90,"-"))))</f>
        <v>#VALUE!</v>
      </c>
      <c r="R89" s="83" t="e">
        <f>VLOOKUP(Q89,STN_TABLE,2,FALSE)</f>
        <v>#VALUE!</v>
      </c>
      <c r="S89" s="83">
        <v>-1</v>
      </c>
      <c r="T89" s="82" t="e">
        <f>R89*S89</f>
        <v>#VALUE!</v>
      </c>
      <c r="U89" s="88">
        <v>-1</v>
      </c>
      <c r="V89" s="82" t="e">
        <f>R89*U89</f>
        <v>#VALUE!</v>
      </c>
      <c r="W89" s="84" t="str">
        <f>CONCATENATE("a'(",Q88,")=")</f>
        <v>a'(  )=</v>
      </c>
      <c r="X89" s="84" t="e">
        <f>2*X87/12*T90</f>
        <v>#VALUE!</v>
      </c>
      <c r="Y89" s="84" t="e">
        <f>CONCATENATE("A(",Q87,")=")</f>
        <v>#VALUE!</v>
      </c>
      <c r="Z89" s="84" t="e">
        <f>VLOOKUP(Q87,STN_TABLE,3,FALSE)</f>
        <v>#VALUE!</v>
      </c>
      <c r="AA89" t="str">
        <f>CONCATENATE("A(",Q88,")=")</f>
        <v>A(  )=</v>
      </c>
      <c r="AB89" t="e">
        <f>X89+Z89</f>
        <v>#VALUE!</v>
      </c>
      <c r="AC89" s="99">
        <f>AC88+1</f>
        <v>13</v>
      </c>
      <c r="AD89" s="100" t="str">
        <f>VLOOKUP(AC89,STN_TABLE_2,2,FALSE)</f>
        <v xml:space="preserve">  </v>
      </c>
      <c r="AE89" s="82" t="str">
        <f>VLOOKUP(AD89,STN_TABLE,2,FALSE)</f>
        <v xml:space="preserve">  </v>
      </c>
      <c r="AF89" s="82">
        <v>2</v>
      </c>
      <c r="AG89" s="83" t="e">
        <f>AE89*AF89</f>
        <v>#VALUE!</v>
      </c>
      <c r="AH89" s="84" t="str">
        <f>CONCATENATE("a'(",AD89,")=")</f>
        <v>a'(  )=</v>
      </c>
      <c r="AI89" s="84" t="e">
        <f>2*AI87/2*AE90</f>
        <v>#VALUE!</v>
      </c>
      <c r="AJ89" s="84" t="str">
        <f>CONCATENATE("A(",AD88,")=")</f>
        <v>A(6.5)=</v>
      </c>
      <c r="AK89" s="84">
        <f>VLOOKUP(AD88,STN_TABLE,3,FALSE)</f>
        <v>284.57333333333332</v>
      </c>
      <c r="AL89" t="str">
        <f>CONCATENATE("A(",AD89,")=")</f>
        <v>A(  )=</v>
      </c>
      <c r="AM89" t="e">
        <f>AI89+AK89</f>
        <v>#VALUE!</v>
      </c>
      <c r="AO89" s="68" t="str">
        <f>AA89</f>
        <v>A(  )=</v>
      </c>
      <c r="AP89" s="68" t="e">
        <f>VLOOKUP(AO89,Rise_Results,2,FALSE)</f>
        <v>#N/A</v>
      </c>
      <c r="AQ89" s="76" t="e">
        <f>N89</f>
        <v>#VALUE!</v>
      </c>
      <c r="AR89" s="76" t="e">
        <f>IF(OR(AB89&lt;=0,AB90&lt;=0),1/0,AB89)</f>
        <v>#VALUE!</v>
      </c>
      <c r="AS89" s="76" t="e">
        <f>AM89</f>
        <v>#VALUE!</v>
      </c>
      <c r="AT89" t="e">
        <f>IFERROR(AP89,IFERROR(AQ89,IFERROR(AR89,AS89)))</f>
        <v>#VALUE!</v>
      </c>
      <c r="AU89" s="81"/>
    </row>
    <row r="90" spans="1:47" x14ac:dyDescent="0.25">
      <c r="A90" s="84">
        <f>A89+1</f>
        <v>13</v>
      </c>
      <c r="B90" s="84" t="str">
        <f t="shared" si="27"/>
        <v xml:space="preserve">  </v>
      </c>
      <c r="F90" s="82" t="e">
        <f>SUM(F87:F89)</f>
        <v>#VALUE!</v>
      </c>
      <c r="H90" s="82" t="e">
        <f>SUM(H87:H89)</f>
        <v>#VALUE!</v>
      </c>
      <c r="I90" s="84" t="str">
        <f>CONCATENATE("m'(",C89,")=")</f>
        <v>m'(  )=</v>
      </c>
      <c r="J90" s="84" t="e">
        <f>2*(J87*(WLS))/3*H90</f>
        <v>#VALUE!</v>
      </c>
      <c r="K90" s="84" t="e">
        <f>CONCATENATE("M(",C87,")=")</f>
        <v>#VALUE!</v>
      </c>
      <c r="L90" s="84" t="e">
        <f>VLOOKUP(C87,STN_TABLE,4,FALSE)</f>
        <v>#VALUE!</v>
      </c>
      <c r="M90" t="str">
        <f>CONCATENATE("M(",C89,")=")</f>
        <v>M(  )=</v>
      </c>
      <c r="N90" t="e">
        <f>J90+L90</f>
        <v>#VALUE!</v>
      </c>
      <c r="O90" s="99">
        <f>O89+1</f>
        <v>15</v>
      </c>
      <c r="P90" s="99" t="str">
        <f t="shared" si="23"/>
        <v xml:space="preserve">  </v>
      </c>
      <c r="T90" s="89" t="e">
        <f>SUM(T87:T89)</f>
        <v>#VALUE!</v>
      </c>
      <c r="V90" s="82" t="e">
        <f>SUM(V87:V89)</f>
        <v>#VALUE!</v>
      </c>
      <c r="W90" s="84" t="str">
        <f>CONCATENATE("m'(",Q88,")=")</f>
        <v>m'(  )=</v>
      </c>
      <c r="X90" s="84" t="e">
        <f>(2*(X87^2)/24*V90)+(X89*Q87*WLS)</f>
        <v>#VALUE!</v>
      </c>
      <c r="Y90" s="84" t="e">
        <f>CONCATENATE("M(",Q87,")=")</f>
        <v>#VALUE!</v>
      </c>
      <c r="Z90" s="84" t="e">
        <f>VLOOKUP(Q87,STN_TABLE,4,FALSE)</f>
        <v>#VALUE!</v>
      </c>
      <c r="AA90" t="str">
        <f>CONCATENATE("M(",Q88,")=")</f>
        <v>M(  )=</v>
      </c>
      <c r="AB90" t="e">
        <f>X90+Z90</f>
        <v>#VALUE!</v>
      </c>
      <c r="AE90" s="89">
        <f>SUM(AE88:AE89)</f>
        <v>11</v>
      </c>
      <c r="AG90" s="89" t="e">
        <f>SUM(AG88:AG89)</f>
        <v>#VALUE!</v>
      </c>
      <c r="AH90" s="84" t="str">
        <f>CONCATENATE("m'(",AD89,")=")</f>
        <v>m'(  )=</v>
      </c>
      <c r="AI90" s="84" t="e">
        <f>(2*(AI87^2)/6*AG90)+(AI89*AD88*WLS)</f>
        <v>#VALUE!</v>
      </c>
      <c r="AJ90" s="84" t="str">
        <f>CONCATENATE("M(",AD88,")=")</f>
        <v>M(6.5)=</v>
      </c>
      <c r="AK90" s="84">
        <f>VLOOKUP(AD88,STN_TABLE,4,FALSE)</f>
        <v>1858.3266666666666</v>
      </c>
      <c r="AL90" t="str">
        <f>CONCATENATE("M(",AD89,")=")</f>
        <v>M(  )=</v>
      </c>
      <c r="AM90" t="e">
        <f>AI90+AK90</f>
        <v>#VALUE!</v>
      </c>
      <c r="AO90" s="82" t="str">
        <f>AA90</f>
        <v>M(  )=</v>
      </c>
      <c r="AP90" s="82" t="e">
        <f>VLOOKUP(AO90,Rise_Results,2,FALSE)</f>
        <v>#N/A</v>
      </c>
      <c r="AQ90" s="82" t="e">
        <f>N90</f>
        <v>#VALUE!</v>
      </c>
      <c r="AR90" s="82" t="e">
        <f>IF(OR(AB89&lt;=0,AB90&lt;=0),1/0,AB90)</f>
        <v>#VALUE!</v>
      </c>
      <c r="AS90" s="82" t="e">
        <f>AM90</f>
        <v>#VALUE!</v>
      </c>
      <c r="AT90" t="e">
        <f>IFERROR(AP90,IFERROR(AQ90,IFERROR(AR90,AS90)))</f>
        <v>#VALUE!</v>
      </c>
      <c r="AU90" s="81"/>
    </row>
    <row r="91" spans="1:47" x14ac:dyDescent="0.25">
      <c r="A91" s="101">
        <f>A86+1</f>
        <v>10</v>
      </c>
      <c r="B91" s="101">
        <f t="shared" si="27"/>
        <v>5</v>
      </c>
      <c r="O91" s="101">
        <f>O86+1</f>
        <v>12</v>
      </c>
      <c r="P91" s="101">
        <f t="shared" si="23"/>
        <v>6.5</v>
      </c>
      <c r="AU91" s="81"/>
    </row>
    <row r="92" spans="1:47" x14ac:dyDescent="0.25">
      <c r="A92" s="84">
        <f>A91+1</f>
        <v>11</v>
      </c>
      <c r="B92" s="84">
        <f t="shared" si="27"/>
        <v>6</v>
      </c>
      <c r="C92" s="79" t="e">
        <f t="shared" ref="C92" si="38">IF(C93=B94,IF(C94-C93=C93-B93,B93,IF(C94-C93=C93-B92,B92,"#NA")),IF(C93=B93,IF(C94-C93=C93-B92,B92,IF(C94-C93=C93-B91,B91,"#NA")),"#NA"))</f>
        <v>#VALUE!</v>
      </c>
      <c r="D92" s="68" t="e">
        <f>VLOOKUP(C92,STN_TABLE,2,FALSE)</f>
        <v>#VALUE!</v>
      </c>
      <c r="E92" s="102">
        <v>1</v>
      </c>
      <c r="F92" s="68" t="e">
        <f>D92*E92</f>
        <v>#VALUE!</v>
      </c>
      <c r="G92" s="69" t="e">
        <f>C92</f>
        <v>#VALUE!</v>
      </c>
      <c r="H92" s="69" t="e">
        <f>F92*G92</f>
        <v>#VALUE!</v>
      </c>
      <c r="I92" s="6" t="s">
        <v>93</v>
      </c>
      <c r="J92" s="70" t="e">
        <f>IF(OR(D92=0,D93=0,D94=0),"#NA",IF(AND(C94-C93=C93-C92,C93&lt;&gt;C94,C92&lt;&gt;C93,C92&lt;&gt;C94,D94&lt;&gt;0,OR(D92&lt;&gt;0,D93&lt;&gt;0)),WLS*(C94-C93),"#NA"))</f>
        <v>#VALUE!</v>
      </c>
      <c r="O92" s="99">
        <f>O91+1</f>
        <v>13</v>
      </c>
      <c r="P92" s="99" t="str">
        <f t="shared" si="23"/>
        <v xml:space="preserve">  </v>
      </c>
      <c r="Q92" s="68" t="e">
        <f>IF(OR(P94-P93=P93-P92,P95-P93=P93-P92),P92,IF(OR(P94-P93=P93-P91,P95-P93=P93-P91),P91,"-"))</f>
        <v>#VALUE!</v>
      </c>
      <c r="R92" s="69" t="e">
        <f>VLOOKUP(Q92,STN_TABLE,2,FALSE)</f>
        <v>#VALUE!</v>
      </c>
      <c r="S92" s="69">
        <v>5</v>
      </c>
      <c r="T92" s="68" t="e">
        <f>R92*S92</f>
        <v>#VALUE!</v>
      </c>
      <c r="U92" s="79">
        <v>3</v>
      </c>
      <c r="V92" s="68" t="e">
        <f>R92*U92</f>
        <v>#VALUE!</v>
      </c>
      <c r="W92" s="6" t="s">
        <v>93</v>
      </c>
      <c r="X92" s="70" t="e">
        <f>IF(AND(Q94-Q93=Q93-Q92,NOT(AND(Q92=0,Q93=0)),NOT(AND(Q93=0,Q94=0))),WLS*(Q94-Q93),"#NA")</f>
        <v>#VALUE!</v>
      </c>
      <c r="AD92" s="93"/>
      <c r="AH92" s="6" t="s">
        <v>93</v>
      </c>
      <c r="AI92" s="70" t="e">
        <f>WLS*(AD94-AD93)</f>
        <v>#VALUE!</v>
      </c>
      <c r="AU92" s="81"/>
    </row>
    <row r="93" spans="1:47" x14ac:dyDescent="0.25">
      <c r="A93" s="84">
        <f>A92+1</f>
        <v>12</v>
      </c>
      <c r="B93" s="84">
        <f t="shared" si="27"/>
        <v>6.5</v>
      </c>
      <c r="C93" s="80" t="e">
        <f t="shared" ref="C93" si="39">IF(OR(B95-B94=B94-B93,B95-B94=B94-B92,B95-B94=B94-B91),B94,IF(OR(B95-B93=B93-B92,B95-B93=B93-B91),B93,IF(B95-B92=B92-B91,B92,"#NA")))</f>
        <v>#VALUE!</v>
      </c>
      <c r="D93" s="76" t="e">
        <f>VLOOKUP(C93,STN_TABLE,2,FALSE)</f>
        <v>#VALUE!</v>
      </c>
      <c r="E93" s="81">
        <v>4</v>
      </c>
      <c r="F93" s="76" t="e">
        <f>D93*E93</f>
        <v>#VALUE!</v>
      </c>
      <c r="G93" s="77" t="e">
        <f>C93</f>
        <v>#VALUE!</v>
      </c>
      <c r="H93" s="77" t="e">
        <f>F93*G93</f>
        <v>#VALUE!</v>
      </c>
      <c r="I93" s="495" t="s">
        <v>97</v>
      </c>
      <c r="J93" s="496"/>
      <c r="K93" s="78" t="s">
        <v>98</v>
      </c>
      <c r="L93" s="78"/>
      <c r="M93" s="7" t="s">
        <v>99</v>
      </c>
      <c r="N93" s="7"/>
      <c r="O93" s="99">
        <f>O92+1</f>
        <v>14</v>
      </c>
      <c r="P93" s="99" t="str">
        <f t="shared" si="23"/>
        <v xml:space="preserve">  </v>
      </c>
      <c r="Q93" s="76" t="str">
        <f>P93</f>
        <v xml:space="preserve">  </v>
      </c>
      <c r="R93" s="77" t="str">
        <f>VLOOKUP(Q93,STN_TABLE,2,FALSE)</f>
        <v xml:space="preserve">  </v>
      </c>
      <c r="S93" s="77">
        <v>8</v>
      </c>
      <c r="T93" s="76" t="e">
        <f>R93*S93</f>
        <v>#VALUE!</v>
      </c>
      <c r="U93" s="80">
        <v>10</v>
      </c>
      <c r="V93" s="76" t="e">
        <f>R93*U93</f>
        <v>#VALUE!</v>
      </c>
      <c r="W93" s="496" t="s">
        <v>97</v>
      </c>
      <c r="X93" s="496"/>
      <c r="Y93" s="496" t="s">
        <v>98</v>
      </c>
      <c r="Z93" s="496"/>
      <c r="AA93" s="494" t="s">
        <v>99</v>
      </c>
      <c r="AB93" s="494"/>
      <c r="AC93" s="99">
        <f>AC88+1</f>
        <v>13</v>
      </c>
      <c r="AD93" s="95" t="str">
        <f>VLOOKUP(AC93,STN_TABLE_2,2,FALSE)</f>
        <v xml:space="preserve">  </v>
      </c>
      <c r="AE93" s="68" t="str">
        <f>VLOOKUP(AD93,STN_TABLE,2,FALSE)</f>
        <v xml:space="preserve">  </v>
      </c>
      <c r="AF93" s="68">
        <v>1</v>
      </c>
      <c r="AG93" s="69" t="e">
        <f>AE93*AF93</f>
        <v>#VALUE!</v>
      </c>
      <c r="AH93" s="496" t="s">
        <v>97</v>
      </c>
      <c r="AI93" s="496"/>
      <c r="AJ93" s="496" t="s">
        <v>98</v>
      </c>
      <c r="AK93" s="496"/>
      <c r="AL93" s="494" t="s">
        <v>99</v>
      </c>
      <c r="AM93" s="494"/>
      <c r="AP93" s="86" t="s">
        <v>112</v>
      </c>
      <c r="AQ93" s="89" t="s">
        <v>113</v>
      </c>
      <c r="AR93" s="89" t="s">
        <v>114</v>
      </c>
      <c r="AS93" s="89" t="s">
        <v>115</v>
      </c>
      <c r="AU93" s="81"/>
    </row>
    <row r="94" spans="1:47" x14ac:dyDescent="0.25">
      <c r="A94" s="84">
        <f>A93+1</f>
        <v>13</v>
      </c>
      <c r="B94" s="84" t="str">
        <f t="shared" si="27"/>
        <v xml:space="preserve">  </v>
      </c>
      <c r="C94" s="88" t="str">
        <f t="shared" ref="C94" si="40">B95</f>
        <v xml:space="preserve">  </v>
      </c>
      <c r="D94" s="82" t="str">
        <f>VLOOKUP(C94,STN_TABLE,2,FALSE)</f>
        <v xml:space="preserve">  </v>
      </c>
      <c r="E94" s="92">
        <v>1</v>
      </c>
      <c r="F94" s="82" t="e">
        <f>D94*E94</f>
        <v>#VALUE!</v>
      </c>
      <c r="G94" s="83" t="str">
        <f>C94</f>
        <v xml:space="preserve">  </v>
      </c>
      <c r="H94" s="83" t="e">
        <f>F94*G94</f>
        <v>#VALUE!</v>
      </c>
      <c r="I94" s="84" t="str">
        <f>CONCATENATE("a'(",C94,")=")</f>
        <v>a'(  )=</v>
      </c>
      <c r="J94" s="84" t="e">
        <f>2*J92/3*F95</f>
        <v>#VALUE!</v>
      </c>
      <c r="K94" s="84" t="e">
        <f>CONCATENATE("A(",C92,")=")</f>
        <v>#VALUE!</v>
      </c>
      <c r="L94" s="84" t="e">
        <f>VLOOKUP(C92,STN_TABLE,3,FALSE)</f>
        <v>#VALUE!</v>
      </c>
      <c r="M94" t="str">
        <f>CONCATENATE("A(",C94,")=")</f>
        <v>A(  )=</v>
      </c>
      <c r="N94" t="e">
        <f>J94+L94</f>
        <v>#VALUE!</v>
      </c>
      <c r="O94" s="99">
        <f>O93+1</f>
        <v>15</v>
      </c>
      <c r="P94" s="99" t="str">
        <f t="shared" si="23"/>
        <v xml:space="preserve">  </v>
      </c>
      <c r="Q94" s="82" t="e">
        <f>IF(P94-P93=P93-P92,P94,IF(P95-P93=P93-P92,P95,IF(P94-P93=P93-P91,P94,IF(P95-P93=P93-P91,P95,"-"))))</f>
        <v>#VALUE!</v>
      </c>
      <c r="R94" s="83" t="e">
        <f>VLOOKUP(Q94,STN_TABLE,2,FALSE)</f>
        <v>#VALUE!</v>
      </c>
      <c r="S94" s="83">
        <v>-1</v>
      </c>
      <c r="T94" s="82" t="e">
        <f>R94*S94</f>
        <v>#VALUE!</v>
      </c>
      <c r="U94" s="88">
        <v>-1</v>
      </c>
      <c r="V94" s="82" t="e">
        <f>R94*U94</f>
        <v>#VALUE!</v>
      </c>
      <c r="W94" s="84" t="str">
        <f>CONCATENATE("a'(",Q93,")=")</f>
        <v>a'(  )=</v>
      </c>
      <c r="X94" s="84" t="e">
        <f>2*X92/12*T95</f>
        <v>#VALUE!</v>
      </c>
      <c r="Y94" s="84" t="e">
        <f>CONCATENATE("A(",Q92,")=")</f>
        <v>#VALUE!</v>
      </c>
      <c r="Z94" s="84" t="e">
        <f>VLOOKUP(Q92,STN_TABLE,3,FALSE)</f>
        <v>#VALUE!</v>
      </c>
      <c r="AA94" t="str">
        <f>CONCATENATE("A(",Q93,")=")</f>
        <v>A(  )=</v>
      </c>
      <c r="AB94" t="e">
        <f>X94+Z94</f>
        <v>#VALUE!</v>
      </c>
      <c r="AC94" s="99">
        <f>AC93+1</f>
        <v>14</v>
      </c>
      <c r="AD94" s="100" t="str">
        <f>VLOOKUP(AC94,STN_TABLE_2,2,FALSE)</f>
        <v xml:space="preserve">  </v>
      </c>
      <c r="AE94" s="82" t="str">
        <f>VLOOKUP(AD94,STN_TABLE,2,FALSE)</f>
        <v xml:space="preserve">  </v>
      </c>
      <c r="AF94" s="82">
        <v>2</v>
      </c>
      <c r="AG94" s="83" t="e">
        <f>AE94*AF94</f>
        <v>#VALUE!</v>
      </c>
      <c r="AH94" s="84" t="str">
        <f>CONCATENATE("a'(",AD94,")=")</f>
        <v>a'(  )=</v>
      </c>
      <c r="AI94" s="84" t="e">
        <f>2*AI92/2*AE95</f>
        <v>#VALUE!</v>
      </c>
      <c r="AJ94" s="84" t="str">
        <f>CONCATENATE("A(",AD93,")=")</f>
        <v>A(  )=</v>
      </c>
      <c r="AK94" s="84" t="str">
        <f>VLOOKUP(AD93,STN_TABLE,3,FALSE)</f>
        <v xml:space="preserve"> </v>
      </c>
      <c r="AL94" t="str">
        <f>CONCATENATE("A(",AD94,")=")</f>
        <v>A(  )=</v>
      </c>
      <c r="AM94" t="e">
        <f>AI94+AK94</f>
        <v>#VALUE!</v>
      </c>
      <c r="AO94" s="68" t="str">
        <f>AA94</f>
        <v>A(  )=</v>
      </c>
      <c r="AP94" s="68" t="e">
        <f>VLOOKUP(AO94,Rise_Results,2,FALSE)</f>
        <v>#N/A</v>
      </c>
      <c r="AQ94" s="76" t="e">
        <f>N94</f>
        <v>#VALUE!</v>
      </c>
      <c r="AR94" s="76" t="e">
        <f>IF(OR(AB94&lt;=0,AB95&lt;=0),1/0,AB94)</f>
        <v>#VALUE!</v>
      </c>
      <c r="AS94" s="76" t="e">
        <f>AM94</f>
        <v>#VALUE!</v>
      </c>
      <c r="AT94" t="e">
        <f>IFERROR(AP94,IFERROR(AQ94,IFERROR(AR94,AS94)))</f>
        <v>#VALUE!</v>
      </c>
      <c r="AU94" s="81"/>
    </row>
    <row r="95" spans="1:47" x14ac:dyDescent="0.25">
      <c r="A95" s="84">
        <f>A94+1</f>
        <v>14</v>
      </c>
      <c r="B95" s="84" t="str">
        <f t="shared" si="27"/>
        <v xml:space="preserve">  </v>
      </c>
      <c r="F95" s="82" t="e">
        <f>SUM(F92:F94)</f>
        <v>#VALUE!</v>
      </c>
      <c r="H95" s="82" t="e">
        <f>SUM(H92:H94)</f>
        <v>#VALUE!</v>
      </c>
      <c r="I95" s="84" t="str">
        <f>CONCATENATE("m'(",C94,")=")</f>
        <v>m'(  )=</v>
      </c>
      <c r="J95" s="84" t="e">
        <f>2*(J92*(WLS))/3*H95</f>
        <v>#VALUE!</v>
      </c>
      <c r="K95" s="84" t="e">
        <f>CONCATENATE("M(",C92,")=")</f>
        <v>#VALUE!</v>
      </c>
      <c r="L95" s="84" t="e">
        <f>VLOOKUP(C92,STN_TABLE,4,FALSE)</f>
        <v>#VALUE!</v>
      </c>
      <c r="M95" t="str">
        <f>CONCATENATE("M(",C94,")=")</f>
        <v>M(  )=</v>
      </c>
      <c r="N95" t="e">
        <f>J95+L95</f>
        <v>#VALUE!</v>
      </c>
      <c r="O95" s="99">
        <f>O94+1</f>
        <v>16</v>
      </c>
      <c r="P95" s="99" t="str">
        <f t="shared" si="23"/>
        <v xml:space="preserve">  </v>
      </c>
      <c r="T95" s="89" t="e">
        <f>SUM(T92:T94)</f>
        <v>#VALUE!</v>
      </c>
      <c r="V95" s="82" t="e">
        <f>SUM(V92:V94)</f>
        <v>#VALUE!</v>
      </c>
      <c r="W95" s="84" t="str">
        <f>CONCATENATE("m'(",Q93,")=")</f>
        <v>m'(  )=</v>
      </c>
      <c r="X95" s="84" t="e">
        <f>(2*(X92^2)/24*V95)+(X94*Q92*WLS)</f>
        <v>#VALUE!</v>
      </c>
      <c r="Y95" s="84" t="e">
        <f>CONCATENATE("M(",Q92,")=")</f>
        <v>#VALUE!</v>
      </c>
      <c r="Z95" s="84" t="e">
        <f>VLOOKUP(Q92,STN_TABLE,4,FALSE)</f>
        <v>#VALUE!</v>
      </c>
      <c r="AA95" t="str">
        <f>CONCATENATE("M(",Q93,")=")</f>
        <v>M(  )=</v>
      </c>
      <c r="AB95" t="e">
        <f>X95+Z95</f>
        <v>#VALUE!</v>
      </c>
      <c r="AE95" s="89">
        <f>SUM(AE93:AE94)</f>
        <v>0</v>
      </c>
      <c r="AG95" s="89" t="e">
        <f>SUM(AG93:AG94)</f>
        <v>#VALUE!</v>
      </c>
      <c r="AH95" s="84" t="str">
        <f>CONCATENATE("m'(",AD94,")=")</f>
        <v>m'(  )=</v>
      </c>
      <c r="AI95" s="84" t="e">
        <f>(2*(AI92^2)/6*AG95)+(AI94*AD93*WLS)</f>
        <v>#VALUE!</v>
      </c>
      <c r="AJ95" s="84" t="str">
        <f>CONCATENATE("M(",AD93,")=")</f>
        <v>M(  )=</v>
      </c>
      <c r="AK95" s="84" t="str">
        <f>VLOOKUP(AD93,STN_TABLE,4,FALSE)</f>
        <v xml:space="preserve"> </v>
      </c>
      <c r="AL95" t="str">
        <f>CONCATENATE("M(",AD94,")=")</f>
        <v>M(  )=</v>
      </c>
      <c r="AM95" t="e">
        <f>AI95+AK95</f>
        <v>#VALUE!</v>
      </c>
      <c r="AO95" s="82" t="str">
        <f>AA95</f>
        <v>M(  )=</v>
      </c>
      <c r="AP95" s="82" t="e">
        <f>VLOOKUP(AO95,Rise_Results,2,FALSE)</f>
        <v>#N/A</v>
      </c>
      <c r="AQ95" s="82" t="e">
        <f>N95</f>
        <v>#VALUE!</v>
      </c>
      <c r="AR95" s="82" t="e">
        <f>IF(OR(AB94&lt;=0,AB95&lt;=0),1/0,AB95)</f>
        <v>#VALUE!</v>
      </c>
      <c r="AS95" s="82" t="e">
        <f>AM95</f>
        <v>#VALUE!</v>
      </c>
      <c r="AT95" t="e">
        <f>IFERROR(AP95,IFERROR(AQ95,IFERROR(AR95,AS95)))</f>
        <v>#VALUE!</v>
      </c>
      <c r="AU95" s="81"/>
    </row>
    <row r="96" spans="1:47" x14ac:dyDescent="0.25">
      <c r="A96" s="101">
        <f>A91+1</f>
        <v>11</v>
      </c>
      <c r="B96" s="101">
        <f t="shared" si="27"/>
        <v>6</v>
      </c>
      <c r="O96" s="101">
        <f>O91+1</f>
        <v>13</v>
      </c>
      <c r="P96" s="101" t="str">
        <f t="shared" si="23"/>
        <v xml:space="preserve">  </v>
      </c>
      <c r="AU96" s="81"/>
    </row>
    <row r="97" spans="1:47" x14ac:dyDescent="0.25">
      <c r="A97" s="84">
        <f>A96+1</f>
        <v>12</v>
      </c>
      <c r="B97" s="84">
        <f t="shared" si="27"/>
        <v>6.5</v>
      </c>
      <c r="C97" s="79" t="e">
        <f t="shared" ref="C97" si="41">IF(C98=B99,IF(C99-C98=C98-B98,B98,IF(C99-C98=C98-B97,B97,"#NA")),IF(C98=B98,IF(C99-C98=C98-B97,B97,IF(C99-C98=C98-B96,B96,"#NA")),"#NA"))</f>
        <v>#VALUE!</v>
      </c>
      <c r="D97" s="68" t="e">
        <f>VLOOKUP(C97,STN_TABLE,2,FALSE)</f>
        <v>#VALUE!</v>
      </c>
      <c r="E97" s="102">
        <v>1</v>
      </c>
      <c r="F97" s="68" t="e">
        <f>D97*E97</f>
        <v>#VALUE!</v>
      </c>
      <c r="G97" s="69" t="e">
        <f>C97</f>
        <v>#VALUE!</v>
      </c>
      <c r="H97" s="69" t="e">
        <f>F97*G97</f>
        <v>#VALUE!</v>
      </c>
      <c r="I97" s="6" t="s">
        <v>93</v>
      </c>
      <c r="J97" s="70" t="e">
        <f>IF(OR(D97=0,D98=0,D99=0),"#NA",IF(AND(C99-C98=C98-C97,C98&lt;&gt;C99,C97&lt;&gt;C98,C97&lt;&gt;C99,D99&lt;&gt;0,OR(D97&lt;&gt;0,D98&lt;&gt;0)),WLS*(C99-C98),"#NA"))</f>
        <v>#VALUE!</v>
      </c>
      <c r="O97" s="99">
        <f>O96+1</f>
        <v>14</v>
      </c>
      <c r="P97" s="99" t="str">
        <f t="shared" si="23"/>
        <v xml:space="preserve">  </v>
      </c>
      <c r="Q97" s="68" t="e">
        <f>IF(OR(P99-P98=P98-P97,P100-P98=P98-P97),P97,IF(OR(P99-P98=P98-P96,P100-P98=P98-P96),P96,"-"))</f>
        <v>#VALUE!</v>
      </c>
      <c r="R97" s="69" t="e">
        <f>VLOOKUP(Q97,STN_TABLE,2,FALSE)</f>
        <v>#VALUE!</v>
      </c>
      <c r="S97" s="69">
        <v>5</v>
      </c>
      <c r="T97" s="68" t="e">
        <f>R97*S97</f>
        <v>#VALUE!</v>
      </c>
      <c r="U97" s="79">
        <v>3</v>
      </c>
      <c r="V97" s="68" t="e">
        <f>R97*U97</f>
        <v>#VALUE!</v>
      </c>
      <c r="W97" s="6" t="s">
        <v>93</v>
      </c>
      <c r="X97" s="70" t="e">
        <f>IF(AND(Q99-Q98=Q98-Q97,NOT(AND(Q97=0,Q98=0)),NOT(AND(Q98=0,Q99=0))),WLS*(Q99-Q98),"#NA")</f>
        <v>#VALUE!</v>
      </c>
      <c r="AD97" s="93"/>
      <c r="AH97" s="6" t="s">
        <v>93</v>
      </c>
      <c r="AI97" s="70" t="e">
        <f>WLS*(AD99-AD98)</f>
        <v>#VALUE!</v>
      </c>
      <c r="AU97" s="81"/>
    </row>
    <row r="98" spans="1:47" x14ac:dyDescent="0.25">
      <c r="A98" s="84">
        <f>A97+1</f>
        <v>13</v>
      </c>
      <c r="B98" s="84" t="str">
        <f t="shared" si="27"/>
        <v xml:space="preserve">  </v>
      </c>
      <c r="C98" s="80" t="e">
        <f t="shared" ref="C98" si="42">IF(OR(B100-B99=B99-B98,B100-B99=B99-B97,B100-B99=B99-B96),B99,IF(OR(B100-B98=B98-B97,B100-B98=B98-B96),B98,IF(B100-B97=B97-B96,B97,"#NA")))</f>
        <v>#VALUE!</v>
      </c>
      <c r="D98" s="76" t="e">
        <f>VLOOKUP(C98,STN_TABLE,2,FALSE)</f>
        <v>#VALUE!</v>
      </c>
      <c r="E98" s="81">
        <v>4</v>
      </c>
      <c r="F98" s="76" t="e">
        <f>D98*E98</f>
        <v>#VALUE!</v>
      </c>
      <c r="G98" s="77" t="e">
        <f>C98</f>
        <v>#VALUE!</v>
      </c>
      <c r="H98" s="77" t="e">
        <f>F98*G98</f>
        <v>#VALUE!</v>
      </c>
      <c r="I98" s="495" t="s">
        <v>97</v>
      </c>
      <c r="J98" s="496"/>
      <c r="K98" s="78" t="s">
        <v>98</v>
      </c>
      <c r="L98" s="78"/>
      <c r="M98" s="7" t="s">
        <v>99</v>
      </c>
      <c r="N98" s="7"/>
      <c r="O98" s="99">
        <f>O97+1</f>
        <v>15</v>
      </c>
      <c r="P98" s="99" t="str">
        <f t="shared" si="23"/>
        <v xml:space="preserve">  </v>
      </c>
      <c r="Q98" s="76" t="str">
        <f>P98</f>
        <v xml:space="preserve">  </v>
      </c>
      <c r="R98" s="77" t="str">
        <f>VLOOKUP(Q98,STN_TABLE,2,FALSE)</f>
        <v xml:space="preserve">  </v>
      </c>
      <c r="S98" s="77">
        <v>8</v>
      </c>
      <c r="T98" s="76" t="e">
        <f>R98*S98</f>
        <v>#VALUE!</v>
      </c>
      <c r="U98" s="80">
        <v>10</v>
      </c>
      <c r="V98" s="76" t="e">
        <f>R98*U98</f>
        <v>#VALUE!</v>
      </c>
      <c r="W98" s="496" t="s">
        <v>97</v>
      </c>
      <c r="X98" s="496"/>
      <c r="Y98" s="496" t="s">
        <v>98</v>
      </c>
      <c r="Z98" s="496"/>
      <c r="AA98" s="494" t="s">
        <v>99</v>
      </c>
      <c r="AB98" s="494"/>
      <c r="AC98" s="99">
        <f>AC93+1</f>
        <v>14</v>
      </c>
      <c r="AD98" s="95" t="str">
        <f>VLOOKUP(AC98,STN_TABLE_2,2,FALSE)</f>
        <v xml:space="preserve">  </v>
      </c>
      <c r="AE98" s="68" t="str">
        <f>VLOOKUP(AD98,STN_TABLE,2,FALSE)</f>
        <v xml:space="preserve">  </v>
      </c>
      <c r="AF98" s="68">
        <v>1</v>
      </c>
      <c r="AG98" s="69" t="e">
        <f>AE98*AF98</f>
        <v>#VALUE!</v>
      </c>
      <c r="AH98" s="496" t="s">
        <v>97</v>
      </c>
      <c r="AI98" s="496"/>
      <c r="AJ98" s="496" t="s">
        <v>98</v>
      </c>
      <c r="AK98" s="496"/>
      <c r="AL98" s="494" t="s">
        <v>99</v>
      </c>
      <c r="AM98" s="494"/>
      <c r="AP98" s="86" t="s">
        <v>112</v>
      </c>
      <c r="AQ98" s="89" t="s">
        <v>113</v>
      </c>
      <c r="AR98" s="89" t="s">
        <v>114</v>
      </c>
      <c r="AS98" s="89" t="s">
        <v>115</v>
      </c>
      <c r="AU98" s="81"/>
    </row>
    <row r="99" spans="1:47" x14ac:dyDescent="0.25">
      <c r="A99" s="84">
        <f>A98+1</f>
        <v>14</v>
      </c>
      <c r="B99" s="84" t="str">
        <f t="shared" si="27"/>
        <v xml:space="preserve">  </v>
      </c>
      <c r="C99" s="88" t="str">
        <f t="shared" ref="C99" si="43">B100</f>
        <v xml:space="preserve">  </v>
      </c>
      <c r="D99" s="82" t="str">
        <f>VLOOKUP(C99,STN_TABLE,2,FALSE)</f>
        <v xml:space="preserve">  </v>
      </c>
      <c r="E99" s="92">
        <v>1</v>
      </c>
      <c r="F99" s="82" t="e">
        <f>D99*E99</f>
        <v>#VALUE!</v>
      </c>
      <c r="G99" s="83" t="str">
        <f>C99</f>
        <v xml:space="preserve">  </v>
      </c>
      <c r="H99" s="83" t="e">
        <f>F99*G99</f>
        <v>#VALUE!</v>
      </c>
      <c r="I99" s="84" t="str">
        <f>CONCATENATE("a'(",C99,")=")</f>
        <v>a'(  )=</v>
      </c>
      <c r="J99" s="84" t="e">
        <f>2*J97/3*F100</f>
        <v>#VALUE!</v>
      </c>
      <c r="K99" s="84" t="e">
        <f>CONCATENATE("A(",C97,")=")</f>
        <v>#VALUE!</v>
      </c>
      <c r="L99" s="84" t="e">
        <f>VLOOKUP(C97,STN_TABLE,3,FALSE)</f>
        <v>#VALUE!</v>
      </c>
      <c r="M99" t="str">
        <f>CONCATENATE("A(",C99,")=")</f>
        <v>A(  )=</v>
      </c>
      <c r="N99" t="e">
        <f>J99+L99</f>
        <v>#VALUE!</v>
      </c>
      <c r="O99" s="99">
        <f>O98+1</f>
        <v>16</v>
      </c>
      <c r="P99" s="99" t="str">
        <f t="shared" si="23"/>
        <v xml:space="preserve">  </v>
      </c>
      <c r="Q99" s="82" t="e">
        <f>IF(P99-P98=P98-P97,P99,IF(P100-P98=P98-P97,P100,IF(P99-P98=P98-P96,P99,IF(P100-P98=P98-P96,P100,"-"))))</f>
        <v>#VALUE!</v>
      </c>
      <c r="R99" s="83" t="e">
        <f>VLOOKUP(Q99,STN_TABLE,2,FALSE)</f>
        <v>#VALUE!</v>
      </c>
      <c r="S99" s="83">
        <v>-1</v>
      </c>
      <c r="T99" s="82" t="e">
        <f>R99*S99</f>
        <v>#VALUE!</v>
      </c>
      <c r="U99" s="88">
        <v>-1</v>
      </c>
      <c r="V99" s="82" t="e">
        <f>R99*U99</f>
        <v>#VALUE!</v>
      </c>
      <c r="W99" s="84" t="str">
        <f>CONCATENATE("a'(",Q98,")=")</f>
        <v>a'(  )=</v>
      </c>
      <c r="X99" s="84" t="e">
        <f>2*X97/12*T100</f>
        <v>#VALUE!</v>
      </c>
      <c r="Y99" s="84" t="e">
        <f>CONCATENATE("A(",Q97,")=")</f>
        <v>#VALUE!</v>
      </c>
      <c r="Z99" s="84" t="e">
        <f>VLOOKUP(Q97,STN_TABLE,3,FALSE)</f>
        <v>#VALUE!</v>
      </c>
      <c r="AA99" t="str">
        <f>CONCATENATE("A(",Q98,")=")</f>
        <v>A(  )=</v>
      </c>
      <c r="AB99" t="e">
        <f>X99+Z99</f>
        <v>#VALUE!</v>
      </c>
      <c r="AC99" s="99">
        <f>AC98+1</f>
        <v>15</v>
      </c>
      <c r="AD99" s="100" t="str">
        <f>VLOOKUP(AC99,STN_TABLE_2,2,FALSE)</f>
        <v xml:space="preserve">  </v>
      </c>
      <c r="AE99" s="82" t="str">
        <f>VLOOKUP(AD99,STN_TABLE,2,FALSE)</f>
        <v xml:space="preserve">  </v>
      </c>
      <c r="AF99" s="82">
        <v>2</v>
      </c>
      <c r="AG99" s="83" t="e">
        <f>AE99*AF99</f>
        <v>#VALUE!</v>
      </c>
      <c r="AH99" s="84" t="str">
        <f>CONCATENATE("a'(",AD99,")=")</f>
        <v>a'(  )=</v>
      </c>
      <c r="AI99" s="84" t="e">
        <f>2*AI97/2*AE100</f>
        <v>#VALUE!</v>
      </c>
      <c r="AJ99" s="84" t="str">
        <f>CONCATENATE("A(",AD98,")=")</f>
        <v>A(  )=</v>
      </c>
      <c r="AK99" s="84" t="str">
        <f>VLOOKUP(AD98,STN_TABLE,3,FALSE)</f>
        <v xml:space="preserve"> </v>
      </c>
      <c r="AL99" t="str">
        <f>CONCATENATE("A(",AD99,")=")</f>
        <v>A(  )=</v>
      </c>
      <c r="AM99" t="e">
        <f>AI99+AK99</f>
        <v>#VALUE!</v>
      </c>
      <c r="AO99" s="68" t="str">
        <f>AA99</f>
        <v>A(  )=</v>
      </c>
      <c r="AP99" s="68" t="e">
        <f>VLOOKUP(AO99,Rise_Results,2,FALSE)</f>
        <v>#N/A</v>
      </c>
      <c r="AQ99" s="76" t="e">
        <f>N99</f>
        <v>#VALUE!</v>
      </c>
      <c r="AR99" s="76" t="e">
        <f>IF(OR(AB99&lt;=0,AB100&lt;=0),1/0,AB99)</f>
        <v>#VALUE!</v>
      </c>
      <c r="AS99" s="76" t="e">
        <f>AM99</f>
        <v>#VALUE!</v>
      </c>
      <c r="AT99" t="e">
        <f>IFERROR(AP99,IFERROR(AQ99,IFERROR(AR99,AS99)))</f>
        <v>#VALUE!</v>
      </c>
      <c r="AU99" s="81"/>
    </row>
    <row r="100" spans="1:47" x14ac:dyDescent="0.25">
      <c r="A100" s="84">
        <f>A99+1</f>
        <v>15</v>
      </c>
      <c r="B100" s="84" t="str">
        <f t="shared" si="27"/>
        <v xml:space="preserve">  </v>
      </c>
      <c r="F100" s="82" t="e">
        <f>SUM(F97:F99)</f>
        <v>#VALUE!</v>
      </c>
      <c r="H100" s="82" t="e">
        <f>SUM(H97:H99)</f>
        <v>#VALUE!</v>
      </c>
      <c r="I100" s="84" t="str">
        <f>CONCATENATE("m'(",C99,")=")</f>
        <v>m'(  )=</v>
      </c>
      <c r="J100" s="84" t="e">
        <f>2*(J97*(WLS))/3*H100</f>
        <v>#VALUE!</v>
      </c>
      <c r="K100" s="84" t="e">
        <f>CONCATENATE("M(",C97,")=")</f>
        <v>#VALUE!</v>
      </c>
      <c r="L100" s="84" t="e">
        <f>VLOOKUP(C97,STN_TABLE,4,FALSE)</f>
        <v>#VALUE!</v>
      </c>
      <c r="M100" t="str">
        <f>CONCATENATE("M(",C99,")=")</f>
        <v>M(  )=</v>
      </c>
      <c r="N100" t="e">
        <f>J100+L100</f>
        <v>#VALUE!</v>
      </c>
      <c r="O100" s="99">
        <f>O99+1</f>
        <v>17</v>
      </c>
      <c r="P100" s="99" t="str">
        <f t="shared" ref="P100:P131" si="44">VLOOKUP(O100,STN_TABLE_2,2,FALSE)</f>
        <v xml:space="preserve">  </v>
      </c>
      <c r="T100" s="89" t="e">
        <f>SUM(T97:T99)</f>
        <v>#VALUE!</v>
      </c>
      <c r="V100" s="82" t="e">
        <f>SUM(V97:V99)</f>
        <v>#VALUE!</v>
      </c>
      <c r="W100" s="84" t="str">
        <f>CONCATENATE("m'(",Q98,")=")</f>
        <v>m'(  )=</v>
      </c>
      <c r="X100" s="84" t="e">
        <f>(2*(X97^2)/24*V100)+(X99*Q97*WLS)</f>
        <v>#VALUE!</v>
      </c>
      <c r="Y100" s="84" t="e">
        <f>CONCATENATE("M(",Q97,")=")</f>
        <v>#VALUE!</v>
      </c>
      <c r="Z100" s="84" t="e">
        <f>VLOOKUP(Q97,STN_TABLE,4,FALSE)</f>
        <v>#VALUE!</v>
      </c>
      <c r="AA100" t="str">
        <f>CONCATENATE("M(",Q98,")=")</f>
        <v>M(  )=</v>
      </c>
      <c r="AB100" t="e">
        <f>X100+Z100</f>
        <v>#VALUE!</v>
      </c>
      <c r="AE100" s="89">
        <f>SUM(AE98:AE99)</f>
        <v>0</v>
      </c>
      <c r="AG100" s="89" t="e">
        <f>SUM(AG98:AG99)</f>
        <v>#VALUE!</v>
      </c>
      <c r="AH100" s="84" t="str">
        <f>CONCATENATE("m'(",AD99,")=")</f>
        <v>m'(  )=</v>
      </c>
      <c r="AI100" s="84" t="e">
        <f>(2*(AI97^2)/6*AG100)+(AI99*AD98*WLS)</f>
        <v>#VALUE!</v>
      </c>
      <c r="AJ100" s="84" t="str">
        <f>CONCATENATE("M(",AD98,")=")</f>
        <v>M(  )=</v>
      </c>
      <c r="AK100" s="84" t="str">
        <f>VLOOKUP(AD98,STN_TABLE,4,FALSE)</f>
        <v xml:space="preserve"> </v>
      </c>
      <c r="AL100" t="str">
        <f>CONCATENATE("M(",AD99,")=")</f>
        <v>M(  )=</v>
      </c>
      <c r="AM100" t="e">
        <f>AI100+AK100</f>
        <v>#VALUE!</v>
      </c>
      <c r="AO100" s="82" t="str">
        <f>AA100</f>
        <v>M(  )=</v>
      </c>
      <c r="AP100" s="82" t="e">
        <f>VLOOKUP(AO100,Rise_Results,2,FALSE)</f>
        <v>#N/A</v>
      </c>
      <c r="AQ100" s="82" t="e">
        <f>N100</f>
        <v>#VALUE!</v>
      </c>
      <c r="AR100" s="82" t="e">
        <f>IF(OR(AB99&lt;=0,AB100&lt;=0),1/0,AB100)</f>
        <v>#VALUE!</v>
      </c>
      <c r="AS100" s="82" t="e">
        <f>AM100</f>
        <v>#VALUE!</v>
      </c>
      <c r="AT100" t="e">
        <f>IFERROR(AP100,IFERROR(AQ100,IFERROR(AR100,AS100)))</f>
        <v>#VALUE!</v>
      </c>
      <c r="AU100" s="81"/>
    </row>
    <row r="101" spans="1:47" x14ac:dyDescent="0.25">
      <c r="A101" s="101">
        <f>A96+1</f>
        <v>12</v>
      </c>
      <c r="B101" s="101">
        <f t="shared" si="27"/>
        <v>6.5</v>
      </c>
      <c r="O101" s="101">
        <f>O96+1</f>
        <v>14</v>
      </c>
      <c r="P101" s="101" t="str">
        <f t="shared" si="44"/>
        <v xml:space="preserve">  </v>
      </c>
      <c r="AU101" s="81"/>
    </row>
    <row r="102" spans="1:47" x14ac:dyDescent="0.25">
      <c r="A102" s="84">
        <f>A101+1</f>
        <v>13</v>
      </c>
      <c r="B102" s="84" t="str">
        <f t="shared" si="27"/>
        <v xml:space="preserve">  </v>
      </c>
      <c r="C102" s="79" t="e">
        <f t="shared" ref="C102" si="45">IF(C103=B104,IF(C104-C103=C103-B103,B103,IF(C104-C103=C103-B102,B102,"#NA")),IF(C103=B103,IF(C104-C103=C103-B102,B102,IF(C104-C103=C103-B101,B101,"#NA")),"#NA"))</f>
        <v>#VALUE!</v>
      </c>
      <c r="D102" s="68" t="e">
        <f>VLOOKUP(C102,STN_TABLE,2,FALSE)</f>
        <v>#VALUE!</v>
      </c>
      <c r="E102" s="102">
        <v>1</v>
      </c>
      <c r="F102" s="68" t="e">
        <f>D102*E102</f>
        <v>#VALUE!</v>
      </c>
      <c r="G102" s="69" t="e">
        <f>C102</f>
        <v>#VALUE!</v>
      </c>
      <c r="H102" s="69" t="e">
        <f>F102*G102</f>
        <v>#VALUE!</v>
      </c>
      <c r="I102" s="6" t="s">
        <v>93</v>
      </c>
      <c r="J102" s="70" t="e">
        <f>IF(OR(D102=0,D103=0,D104=0),"#NA",IF(AND(C104-C103=C103-C102,C103&lt;&gt;C104,C102&lt;&gt;C103,C102&lt;&gt;C104,D104&lt;&gt;0,OR(D102&lt;&gt;0,D103&lt;&gt;0)),WLS*(C104-C103),"#NA"))</f>
        <v>#VALUE!</v>
      </c>
      <c r="O102" s="99">
        <f>O101+1</f>
        <v>15</v>
      </c>
      <c r="P102" s="99" t="str">
        <f t="shared" si="44"/>
        <v xml:space="preserve">  </v>
      </c>
      <c r="Q102" s="68" t="e">
        <f>IF(OR(P104-P103=P103-P102,P105-P103=P103-P102),P102,IF(OR(P104-P103=P103-P101,P105-P103=P103-P101),P101,"-"))</f>
        <v>#VALUE!</v>
      </c>
      <c r="R102" s="69" t="e">
        <f>VLOOKUP(Q102,STN_TABLE,2,FALSE)</f>
        <v>#VALUE!</v>
      </c>
      <c r="S102" s="69">
        <v>5</v>
      </c>
      <c r="T102" s="68" t="e">
        <f>R102*S102</f>
        <v>#VALUE!</v>
      </c>
      <c r="U102" s="79">
        <v>3</v>
      </c>
      <c r="V102" s="68" t="e">
        <f>R102*U102</f>
        <v>#VALUE!</v>
      </c>
      <c r="W102" s="6" t="s">
        <v>93</v>
      </c>
      <c r="X102" s="70" t="e">
        <f>IF(AND(Q104-Q103=Q103-Q102,NOT(AND(Q102=0,Q103=0)),NOT(AND(Q103=0,Q104=0))),WLS*(Q104-Q103),"#NA")</f>
        <v>#VALUE!</v>
      </c>
      <c r="AD102" s="93"/>
      <c r="AH102" s="6" t="s">
        <v>93</v>
      </c>
      <c r="AI102" s="70" t="e">
        <f>WLS*(AD104-AD103)</f>
        <v>#VALUE!</v>
      </c>
      <c r="AU102" s="81"/>
    </row>
    <row r="103" spans="1:47" x14ac:dyDescent="0.25">
      <c r="A103" s="84">
        <f>A102+1</f>
        <v>14</v>
      </c>
      <c r="B103" s="84" t="str">
        <f t="shared" si="27"/>
        <v xml:space="preserve">  </v>
      </c>
      <c r="C103" s="80" t="e">
        <f t="shared" ref="C103" si="46">IF(OR(B105-B104=B104-B103,B105-B104=B104-B102,B105-B104=B104-B101),B104,IF(OR(B105-B103=B103-B102,B105-B103=B103-B101),B103,IF(B105-B102=B102-B101,B102,"#NA")))</f>
        <v>#VALUE!</v>
      </c>
      <c r="D103" s="76" t="e">
        <f>VLOOKUP(C103,STN_TABLE,2,FALSE)</f>
        <v>#VALUE!</v>
      </c>
      <c r="E103" s="81">
        <v>4</v>
      </c>
      <c r="F103" s="76" t="e">
        <f>D103*E103</f>
        <v>#VALUE!</v>
      </c>
      <c r="G103" s="77" t="e">
        <f>C103</f>
        <v>#VALUE!</v>
      </c>
      <c r="H103" s="77" t="e">
        <f>F103*G103</f>
        <v>#VALUE!</v>
      </c>
      <c r="I103" s="495" t="s">
        <v>97</v>
      </c>
      <c r="J103" s="496"/>
      <c r="K103" s="78" t="s">
        <v>98</v>
      </c>
      <c r="L103" s="78"/>
      <c r="M103" s="7" t="s">
        <v>99</v>
      </c>
      <c r="N103" s="7"/>
      <c r="O103" s="99">
        <f>O102+1</f>
        <v>16</v>
      </c>
      <c r="P103" s="99" t="str">
        <f t="shared" si="44"/>
        <v xml:space="preserve">  </v>
      </c>
      <c r="Q103" s="76" t="str">
        <f>P103</f>
        <v xml:space="preserve">  </v>
      </c>
      <c r="R103" s="77" t="str">
        <f>VLOOKUP(Q103,STN_TABLE,2,FALSE)</f>
        <v xml:space="preserve">  </v>
      </c>
      <c r="S103" s="77">
        <v>8</v>
      </c>
      <c r="T103" s="76" t="e">
        <f>R103*S103</f>
        <v>#VALUE!</v>
      </c>
      <c r="U103" s="80">
        <v>10</v>
      </c>
      <c r="V103" s="76" t="e">
        <f>R103*U103</f>
        <v>#VALUE!</v>
      </c>
      <c r="W103" s="496" t="s">
        <v>97</v>
      </c>
      <c r="X103" s="496"/>
      <c r="Y103" s="496" t="s">
        <v>98</v>
      </c>
      <c r="Z103" s="496"/>
      <c r="AA103" s="494" t="s">
        <v>99</v>
      </c>
      <c r="AB103" s="494"/>
      <c r="AC103" s="99">
        <f>AC98+1</f>
        <v>15</v>
      </c>
      <c r="AD103" s="95" t="str">
        <f>VLOOKUP(AC103,STN_TABLE_2,2,FALSE)</f>
        <v xml:space="preserve">  </v>
      </c>
      <c r="AE103" s="68" t="str">
        <f>VLOOKUP(AD103,STN_TABLE,2,FALSE)</f>
        <v xml:space="preserve">  </v>
      </c>
      <c r="AF103" s="68">
        <v>1</v>
      </c>
      <c r="AG103" s="69" t="e">
        <f>AE103*AF103</f>
        <v>#VALUE!</v>
      </c>
      <c r="AH103" s="496" t="s">
        <v>97</v>
      </c>
      <c r="AI103" s="496"/>
      <c r="AJ103" s="496" t="s">
        <v>98</v>
      </c>
      <c r="AK103" s="496"/>
      <c r="AL103" s="494" t="s">
        <v>99</v>
      </c>
      <c r="AM103" s="494"/>
      <c r="AP103" s="86" t="s">
        <v>112</v>
      </c>
      <c r="AQ103" s="89" t="s">
        <v>113</v>
      </c>
      <c r="AR103" s="89" t="s">
        <v>114</v>
      </c>
      <c r="AS103" s="89" t="s">
        <v>115</v>
      </c>
      <c r="AU103" s="81"/>
    </row>
    <row r="104" spans="1:47" x14ac:dyDescent="0.25">
      <c r="A104" s="84">
        <f>A103+1</f>
        <v>15</v>
      </c>
      <c r="B104" s="84" t="str">
        <f t="shared" si="27"/>
        <v xml:space="preserve">  </v>
      </c>
      <c r="C104" s="88" t="str">
        <f t="shared" ref="C104" si="47">B105</f>
        <v xml:space="preserve">  </v>
      </c>
      <c r="D104" s="82" t="str">
        <f>VLOOKUP(C104,STN_TABLE,2,FALSE)</f>
        <v xml:space="preserve">  </v>
      </c>
      <c r="E104" s="92">
        <v>1</v>
      </c>
      <c r="F104" s="82" t="e">
        <f>D104*E104</f>
        <v>#VALUE!</v>
      </c>
      <c r="G104" s="83" t="str">
        <f>C104</f>
        <v xml:space="preserve">  </v>
      </c>
      <c r="H104" s="83" t="e">
        <f>F104*G104</f>
        <v>#VALUE!</v>
      </c>
      <c r="I104" s="84" t="str">
        <f>CONCATENATE("a'(",C104,")=")</f>
        <v>a'(  )=</v>
      </c>
      <c r="J104" s="84" t="e">
        <f>2*J102/3*F105</f>
        <v>#VALUE!</v>
      </c>
      <c r="K104" s="84" t="e">
        <f>CONCATENATE("A(",C102,")=")</f>
        <v>#VALUE!</v>
      </c>
      <c r="L104" s="84" t="e">
        <f>VLOOKUP(C102,STN_TABLE,3,FALSE)</f>
        <v>#VALUE!</v>
      </c>
      <c r="M104" t="str">
        <f>CONCATENATE("A(",C104,")=")</f>
        <v>A(  )=</v>
      </c>
      <c r="N104" t="e">
        <f>J104+L104</f>
        <v>#VALUE!</v>
      </c>
      <c r="O104" s="99">
        <f>O103+1</f>
        <v>17</v>
      </c>
      <c r="P104" s="99" t="str">
        <f t="shared" si="44"/>
        <v xml:space="preserve">  </v>
      </c>
      <c r="Q104" s="82" t="e">
        <f>IF(P104-P103=P103-P102,P104,IF(P105-P103=P103-P102,P105,IF(P104-P103=P103-P101,P104,IF(P105-P103=P103-P101,P105,"-"))))</f>
        <v>#VALUE!</v>
      </c>
      <c r="R104" s="83" t="e">
        <f>VLOOKUP(Q104,STN_TABLE,2,FALSE)</f>
        <v>#VALUE!</v>
      </c>
      <c r="S104" s="83">
        <v>-1</v>
      </c>
      <c r="T104" s="82" t="e">
        <f>R104*S104</f>
        <v>#VALUE!</v>
      </c>
      <c r="U104" s="88">
        <v>-1</v>
      </c>
      <c r="V104" s="82" t="e">
        <f>R104*U104</f>
        <v>#VALUE!</v>
      </c>
      <c r="W104" s="84" t="str">
        <f>CONCATENATE("a'(",Q103,")=")</f>
        <v>a'(  )=</v>
      </c>
      <c r="X104" s="84" t="e">
        <f>2*X102/12*T105</f>
        <v>#VALUE!</v>
      </c>
      <c r="Y104" s="84" t="e">
        <f>CONCATENATE("A(",Q102,")=")</f>
        <v>#VALUE!</v>
      </c>
      <c r="Z104" s="84" t="e">
        <f>VLOOKUP(Q102,STN_TABLE,3,FALSE)</f>
        <v>#VALUE!</v>
      </c>
      <c r="AA104" t="str">
        <f>CONCATENATE("A(",Q103,")=")</f>
        <v>A(  )=</v>
      </c>
      <c r="AB104" t="e">
        <f>X104+Z104</f>
        <v>#VALUE!</v>
      </c>
      <c r="AC104" s="99">
        <f>AC103+1</f>
        <v>16</v>
      </c>
      <c r="AD104" s="100" t="str">
        <f>VLOOKUP(AC104,STN_TABLE_2,2,FALSE)</f>
        <v xml:space="preserve">  </v>
      </c>
      <c r="AE104" s="82" t="str">
        <f>VLOOKUP(AD104,STN_TABLE,2,FALSE)</f>
        <v xml:space="preserve">  </v>
      </c>
      <c r="AF104" s="82">
        <v>2</v>
      </c>
      <c r="AG104" s="83" t="e">
        <f>AE104*AF104</f>
        <v>#VALUE!</v>
      </c>
      <c r="AH104" s="84" t="str">
        <f>CONCATENATE("a'(",AD104,")=")</f>
        <v>a'(  )=</v>
      </c>
      <c r="AI104" s="84" t="e">
        <f>2*AI102/2*AE105</f>
        <v>#VALUE!</v>
      </c>
      <c r="AJ104" s="84" t="str">
        <f>CONCATENATE("A(",AD103,")=")</f>
        <v>A(  )=</v>
      </c>
      <c r="AK104" s="84" t="str">
        <f>VLOOKUP(AD103,STN_TABLE,3,FALSE)</f>
        <v xml:space="preserve"> </v>
      </c>
      <c r="AL104" t="str">
        <f>CONCATENATE("A(",AD104,")=")</f>
        <v>A(  )=</v>
      </c>
      <c r="AM104" t="e">
        <f>AI104+AK104</f>
        <v>#VALUE!</v>
      </c>
      <c r="AO104" s="68" t="str">
        <f>AA104</f>
        <v>A(  )=</v>
      </c>
      <c r="AP104" s="68" t="e">
        <f>VLOOKUP(AO104,Rise_Results,2,FALSE)</f>
        <v>#N/A</v>
      </c>
      <c r="AQ104" s="76" t="e">
        <f>N104</f>
        <v>#VALUE!</v>
      </c>
      <c r="AR104" s="76" t="e">
        <f>IF(OR(AB104&lt;=0,AB105&lt;=0),1/0,AB104)</f>
        <v>#VALUE!</v>
      </c>
      <c r="AS104" s="76" t="e">
        <f>AM104</f>
        <v>#VALUE!</v>
      </c>
      <c r="AT104" t="e">
        <f>IFERROR(AP104,IFERROR(AQ104,IFERROR(AR104,AS104)))</f>
        <v>#VALUE!</v>
      </c>
      <c r="AU104" s="81"/>
    </row>
    <row r="105" spans="1:47" x14ac:dyDescent="0.25">
      <c r="A105" s="84">
        <f>A104+1</f>
        <v>16</v>
      </c>
      <c r="B105" s="84" t="str">
        <f t="shared" si="27"/>
        <v xml:space="preserve">  </v>
      </c>
      <c r="F105" s="82" t="e">
        <f>SUM(F102:F104)</f>
        <v>#VALUE!</v>
      </c>
      <c r="H105" s="82" t="e">
        <f>SUM(H102:H104)</f>
        <v>#VALUE!</v>
      </c>
      <c r="I105" s="84" t="str">
        <f>CONCATENATE("m'(",C104,")=")</f>
        <v>m'(  )=</v>
      </c>
      <c r="J105" s="84" t="e">
        <f>2*(J102*(WLS))/3*H105</f>
        <v>#VALUE!</v>
      </c>
      <c r="K105" s="84" t="e">
        <f>CONCATENATE("M(",C102,")=")</f>
        <v>#VALUE!</v>
      </c>
      <c r="L105" s="84" t="e">
        <f>VLOOKUP(C102,STN_TABLE,4,FALSE)</f>
        <v>#VALUE!</v>
      </c>
      <c r="M105" t="str">
        <f>CONCATENATE("M(",C104,")=")</f>
        <v>M(  )=</v>
      </c>
      <c r="N105" t="e">
        <f>J105+L105</f>
        <v>#VALUE!</v>
      </c>
      <c r="O105" s="99">
        <f>O104+1</f>
        <v>18</v>
      </c>
      <c r="P105" s="99" t="str">
        <f t="shared" si="44"/>
        <v xml:space="preserve">  </v>
      </c>
      <c r="T105" s="89" t="e">
        <f>SUM(T102:T104)</f>
        <v>#VALUE!</v>
      </c>
      <c r="V105" s="82" t="e">
        <f>SUM(V102:V104)</f>
        <v>#VALUE!</v>
      </c>
      <c r="W105" s="84" t="str">
        <f>CONCATENATE("m'(",Q103,")=")</f>
        <v>m'(  )=</v>
      </c>
      <c r="X105" s="84" t="e">
        <f>(2*(X102^2)/24*V105)+(X104*Q102*WLS)</f>
        <v>#VALUE!</v>
      </c>
      <c r="Y105" s="84" t="e">
        <f>CONCATENATE("M(",Q102,")=")</f>
        <v>#VALUE!</v>
      </c>
      <c r="Z105" s="84" t="e">
        <f>VLOOKUP(Q102,STN_TABLE,4,FALSE)</f>
        <v>#VALUE!</v>
      </c>
      <c r="AA105" t="str">
        <f>CONCATENATE("M(",Q103,")=")</f>
        <v>M(  )=</v>
      </c>
      <c r="AB105" t="e">
        <f>X105+Z105</f>
        <v>#VALUE!</v>
      </c>
      <c r="AE105" s="89">
        <f>SUM(AE103:AE104)</f>
        <v>0</v>
      </c>
      <c r="AG105" s="89" t="e">
        <f>SUM(AG103:AG104)</f>
        <v>#VALUE!</v>
      </c>
      <c r="AH105" s="84" t="str">
        <f>CONCATENATE("m'(",AD104,")=")</f>
        <v>m'(  )=</v>
      </c>
      <c r="AI105" s="84" t="e">
        <f>(2*(AI102^2)/6*AG105)+(AI104*AD103*WLS)</f>
        <v>#VALUE!</v>
      </c>
      <c r="AJ105" s="84" t="str">
        <f>CONCATENATE("M(",AD103,")=")</f>
        <v>M(  )=</v>
      </c>
      <c r="AK105" s="84" t="str">
        <f>VLOOKUP(AD103,STN_TABLE,4,FALSE)</f>
        <v xml:space="preserve"> </v>
      </c>
      <c r="AL105" t="str">
        <f>CONCATENATE("M(",AD104,")=")</f>
        <v>M(  )=</v>
      </c>
      <c r="AM105" t="e">
        <f>AI105+AK105</f>
        <v>#VALUE!</v>
      </c>
      <c r="AO105" s="82" t="str">
        <f>AA105</f>
        <v>M(  )=</v>
      </c>
      <c r="AP105" s="82" t="e">
        <f>VLOOKUP(AO105,Rise_Results,2,FALSE)</f>
        <v>#N/A</v>
      </c>
      <c r="AQ105" s="82" t="e">
        <f>N105</f>
        <v>#VALUE!</v>
      </c>
      <c r="AR105" s="82" t="e">
        <f>IF(OR(AB104&lt;=0,AB105&lt;=0),1/0,AB105)</f>
        <v>#VALUE!</v>
      </c>
      <c r="AS105" s="82" t="e">
        <f>AM105</f>
        <v>#VALUE!</v>
      </c>
      <c r="AT105" t="e">
        <f>IFERROR(AP105,IFERROR(AQ105,IFERROR(AR105,AS105)))</f>
        <v>#VALUE!</v>
      </c>
      <c r="AU105" s="81"/>
    </row>
    <row r="106" spans="1:47" x14ac:dyDescent="0.25">
      <c r="A106" s="101">
        <f>A101+1</f>
        <v>13</v>
      </c>
      <c r="B106" s="101" t="str">
        <f t="shared" ref="B106:B137" si="48">VLOOKUP(A106,STN_TABLE_2,2,FALSE)</f>
        <v xml:space="preserve">  </v>
      </c>
      <c r="O106" s="101">
        <f>O101+1</f>
        <v>15</v>
      </c>
      <c r="P106" s="101" t="str">
        <f t="shared" si="44"/>
        <v xml:space="preserve">  </v>
      </c>
      <c r="AU106" s="81"/>
    </row>
    <row r="107" spans="1:47" x14ac:dyDescent="0.25">
      <c r="A107" s="84">
        <f>A106+1</f>
        <v>14</v>
      </c>
      <c r="B107" s="84" t="str">
        <f t="shared" si="48"/>
        <v xml:space="preserve">  </v>
      </c>
      <c r="C107" s="79" t="e">
        <f t="shared" ref="C107" si="49">IF(C108=B109,IF(C109-C108=C108-B108,B108,IF(C109-C108=C108-B107,B107,"#NA")),IF(C108=B108,IF(C109-C108=C108-B107,B107,IF(C109-C108=C108-B106,B106,"#NA")),"#NA"))</f>
        <v>#VALUE!</v>
      </c>
      <c r="D107" s="68" t="e">
        <f>VLOOKUP(C107,STN_TABLE,2,FALSE)</f>
        <v>#VALUE!</v>
      </c>
      <c r="E107" s="102">
        <v>1</v>
      </c>
      <c r="F107" s="68" t="e">
        <f>D107*E107</f>
        <v>#VALUE!</v>
      </c>
      <c r="G107" s="69" t="e">
        <f>C107</f>
        <v>#VALUE!</v>
      </c>
      <c r="H107" s="69" t="e">
        <f>F107*G107</f>
        <v>#VALUE!</v>
      </c>
      <c r="I107" s="6" t="s">
        <v>93</v>
      </c>
      <c r="J107" s="70" t="e">
        <f>IF(OR(D107=0,D108=0,D109=0),"#NA",IF(AND(C109-C108=C108-C107,C108&lt;&gt;C109,C107&lt;&gt;C108,C107&lt;&gt;C109,D109&lt;&gt;0,OR(D107&lt;&gt;0,D108&lt;&gt;0)),WLS*(C109-C108),"#NA"))</f>
        <v>#VALUE!</v>
      </c>
      <c r="O107" s="99">
        <f>O106+1</f>
        <v>16</v>
      </c>
      <c r="P107" s="99" t="str">
        <f t="shared" si="44"/>
        <v xml:space="preserve">  </v>
      </c>
      <c r="Q107" s="68" t="e">
        <f>IF(OR(P109-P108=P108-P107,P110-P108=P108-P107),P107,IF(OR(P109-P108=P108-P106,P110-P108=P108-P106),P106,"-"))</f>
        <v>#VALUE!</v>
      </c>
      <c r="R107" s="69" t="e">
        <f>VLOOKUP(Q107,STN_TABLE,2,FALSE)</f>
        <v>#VALUE!</v>
      </c>
      <c r="S107" s="69">
        <v>5</v>
      </c>
      <c r="T107" s="68" t="e">
        <f>R107*S107</f>
        <v>#VALUE!</v>
      </c>
      <c r="U107" s="79">
        <v>3</v>
      </c>
      <c r="V107" s="68" t="e">
        <f>R107*U107</f>
        <v>#VALUE!</v>
      </c>
      <c r="W107" s="6" t="s">
        <v>93</v>
      </c>
      <c r="X107" s="70" t="e">
        <f>IF(AND(Q109-Q108=Q108-Q107,NOT(AND(Q107=0,Q108=0)),NOT(AND(Q108=0,Q109=0))),WLS*(Q109-Q108),"#NA")</f>
        <v>#VALUE!</v>
      </c>
      <c r="AD107" s="93"/>
      <c r="AH107" s="6" t="s">
        <v>93</v>
      </c>
      <c r="AI107" s="70" t="e">
        <f>WLS*(AD109-AD108)</f>
        <v>#VALUE!</v>
      </c>
      <c r="AU107" s="81"/>
    </row>
    <row r="108" spans="1:47" x14ac:dyDescent="0.25">
      <c r="A108" s="84">
        <f>A107+1</f>
        <v>15</v>
      </c>
      <c r="B108" s="84" t="str">
        <f t="shared" si="48"/>
        <v xml:space="preserve">  </v>
      </c>
      <c r="C108" s="80" t="e">
        <f t="shared" ref="C108" si="50">IF(OR(B110-B109=B109-B108,B110-B109=B109-B107,B110-B109=B109-B106),B109,IF(OR(B110-B108=B108-B107,B110-B108=B108-B106),B108,IF(B110-B107=B107-B106,B107,"#NA")))</f>
        <v>#VALUE!</v>
      </c>
      <c r="D108" s="76" t="e">
        <f>VLOOKUP(C108,STN_TABLE,2,FALSE)</f>
        <v>#VALUE!</v>
      </c>
      <c r="E108" s="81">
        <v>4</v>
      </c>
      <c r="F108" s="76" t="e">
        <f>D108*E108</f>
        <v>#VALUE!</v>
      </c>
      <c r="G108" s="77" t="e">
        <f>C108</f>
        <v>#VALUE!</v>
      </c>
      <c r="H108" s="77" t="e">
        <f>F108*G108</f>
        <v>#VALUE!</v>
      </c>
      <c r="I108" s="495" t="s">
        <v>97</v>
      </c>
      <c r="J108" s="496"/>
      <c r="K108" s="78" t="s">
        <v>98</v>
      </c>
      <c r="L108" s="78"/>
      <c r="M108" s="7" t="s">
        <v>99</v>
      </c>
      <c r="N108" s="7"/>
      <c r="O108" s="99">
        <f>O107+1</f>
        <v>17</v>
      </c>
      <c r="P108" s="99" t="str">
        <f t="shared" si="44"/>
        <v xml:space="preserve">  </v>
      </c>
      <c r="Q108" s="76" t="str">
        <f>P108</f>
        <v xml:space="preserve">  </v>
      </c>
      <c r="R108" s="77" t="str">
        <f>VLOOKUP(Q108,STN_TABLE,2,FALSE)</f>
        <v xml:space="preserve">  </v>
      </c>
      <c r="S108" s="77">
        <v>8</v>
      </c>
      <c r="T108" s="76" t="e">
        <f>R108*S108</f>
        <v>#VALUE!</v>
      </c>
      <c r="U108" s="80">
        <v>10</v>
      </c>
      <c r="V108" s="76" t="e">
        <f>R108*U108</f>
        <v>#VALUE!</v>
      </c>
      <c r="W108" s="496" t="s">
        <v>97</v>
      </c>
      <c r="X108" s="496"/>
      <c r="Y108" s="496" t="s">
        <v>98</v>
      </c>
      <c r="Z108" s="496"/>
      <c r="AA108" s="494" t="s">
        <v>99</v>
      </c>
      <c r="AB108" s="494"/>
      <c r="AC108" s="99">
        <f>AC103+1</f>
        <v>16</v>
      </c>
      <c r="AD108" s="95" t="str">
        <f>VLOOKUP(AC108,STN_TABLE_2,2,FALSE)</f>
        <v xml:space="preserve">  </v>
      </c>
      <c r="AE108" s="68" t="str">
        <f>VLOOKUP(AD108,STN_TABLE,2,FALSE)</f>
        <v xml:space="preserve">  </v>
      </c>
      <c r="AF108" s="68">
        <v>1</v>
      </c>
      <c r="AG108" s="69" t="e">
        <f>AE108*AF108</f>
        <v>#VALUE!</v>
      </c>
      <c r="AH108" s="496" t="s">
        <v>97</v>
      </c>
      <c r="AI108" s="496"/>
      <c r="AJ108" s="496" t="s">
        <v>98</v>
      </c>
      <c r="AK108" s="496"/>
      <c r="AL108" s="494" t="s">
        <v>99</v>
      </c>
      <c r="AM108" s="494"/>
      <c r="AP108" s="86" t="s">
        <v>112</v>
      </c>
      <c r="AQ108" s="89" t="s">
        <v>113</v>
      </c>
      <c r="AR108" s="89" t="s">
        <v>114</v>
      </c>
      <c r="AS108" s="89" t="s">
        <v>115</v>
      </c>
      <c r="AU108" s="81"/>
    </row>
    <row r="109" spans="1:47" x14ac:dyDescent="0.25">
      <c r="A109" s="84">
        <f>A108+1</f>
        <v>16</v>
      </c>
      <c r="B109" s="84" t="str">
        <f t="shared" si="48"/>
        <v xml:space="preserve">  </v>
      </c>
      <c r="C109" s="88" t="str">
        <f t="shared" ref="C109" si="51">B110</f>
        <v xml:space="preserve">  </v>
      </c>
      <c r="D109" s="82" t="str">
        <f>VLOOKUP(C109,STN_TABLE,2,FALSE)</f>
        <v xml:space="preserve">  </v>
      </c>
      <c r="E109" s="92">
        <v>1</v>
      </c>
      <c r="F109" s="82" t="e">
        <f>D109*E109</f>
        <v>#VALUE!</v>
      </c>
      <c r="G109" s="83" t="str">
        <f>C109</f>
        <v xml:space="preserve">  </v>
      </c>
      <c r="H109" s="83" t="e">
        <f>F109*G109</f>
        <v>#VALUE!</v>
      </c>
      <c r="I109" s="84" t="str">
        <f>CONCATENATE("a'(",C109,")=")</f>
        <v>a'(  )=</v>
      </c>
      <c r="J109" s="84" t="e">
        <f>2*J107/3*F110</f>
        <v>#VALUE!</v>
      </c>
      <c r="K109" s="84" t="e">
        <f>CONCATENATE("A(",C107,")=")</f>
        <v>#VALUE!</v>
      </c>
      <c r="L109" s="84" t="e">
        <f>VLOOKUP(C107,STN_TABLE,3,FALSE)</f>
        <v>#VALUE!</v>
      </c>
      <c r="M109" t="str">
        <f>CONCATENATE("A(",C109,")=")</f>
        <v>A(  )=</v>
      </c>
      <c r="N109" t="e">
        <f>J109+L109</f>
        <v>#VALUE!</v>
      </c>
      <c r="O109" s="99">
        <f>O108+1</f>
        <v>18</v>
      </c>
      <c r="P109" s="99" t="str">
        <f t="shared" si="44"/>
        <v xml:space="preserve">  </v>
      </c>
      <c r="Q109" s="82" t="e">
        <f>IF(P109-P108=P108-P107,P109,IF(P110-P108=P108-P107,P110,IF(P109-P108=P108-P106,P109,IF(P110-P108=P108-P106,P110,"-"))))</f>
        <v>#VALUE!</v>
      </c>
      <c r="R109" s="83" t="e">
        <f>VLOOKUP(Q109,STN_TABLE,2,FALSE)</f>
        <v>#VALUE!</v>
      </c>
      <c r="S109" s="83">
        <v>-1</v>
      </c>
      <c r="T109" s="82" t="e">
        <f>R109*S109</f>
        <v>#VALUE!</v>
      </c>
      <c r="U109" s="88">
        <v>-1</v>
      </c>
      <c r="V109" s="82" t="e">
        <f>R109*U109</f>
        <v>#VALUE!</v>
      </c>
      <c r="W109" s="84" t="str">
        <f>CONCATENATE("a'(",Q108,")=")</f>
        <v>a'(  )=</v>
      </c>
      <c r="X109" s="84" t="e">
        <f>2*X107/12*T110</f>
        <v>#VALUE!</v>
      </c>
      <c r="Y109" s="84" t="e">
        <f>CONCATENATE("A(",Q107,")=")</f>
        <v>#VALUE!</v>
      </c>
      <c r="Z109" s="84" t="e">
        <f>VLOOKUP(Q107,STN_TABLE,3,FALSE)</f>
        <v>#VALUE!</v>
      </c>
      <c r="AA109" t="str">
        <f>CONCATENATE("A(",Q108,")=")</f>
        <v>A(  )=</v>
      </c>
      <c r="AB109" t="e">
        <f>X109+Z109</f>
        <v>#VALUE!</v>
      </c>
      <c r="AC109" s="99">
        <f>AC108+1</f>
        <v>17</v>
      </c>
      <c r="AD109" s="100" t="str">
        <f>VLOOKUP(AC109,STN_TABLE_2,2,FALSE)</f>
        <v xml:space="preserve">  </v>
      </c>
      <c r="AE109" s="82" t="str">
        <f>VLOOKUP(AD109,STN_TABLE,2,FALSE)</f>
        <v xml:space="preserve">  </v>
      </c>
      <c r="AF109" s="82">
        <v>2</v>
      </c>
      <c r="AG109" s="83" t="e">
        <f>AE109*AF109</f>
        <v>#VALUE!</v>
      </c>
      <c r="AH109" s="84" t="str">
        <f>CONCATENATE("a'(",AD109,")=")</f>
        <v>a'(  )=</v>
      </c>
      <c r="AI109" s="84" t="e">
        <f>2*AI107/2*AE110</f>
        <v>#VALUE!</v>
      </c>
      <c r="AJ109" s="84" t="str">
        <f>CONCATENATE("A(",AD108,")=")</f>
        <v>A(  )=</v>
      </c>
      <c r="AK109" s="84" t="str">
        <f>VLOOKUP(AD108,STN_TABLE,3,FALSE)</f>
        <v xml:space="preserve"> </v>
      </c>
      <c r="AL109" t="str">
        <f>CONCATENATE("A(",AD109,")=")</f>
        <v>A(  )=</v>
      </c>
      <c r="AM109" t="e">
        <f>AI109+AK109</f>
        <v>#VALUE!</v>
      </c>
      <c r="AO109" s="68" t="str">
        <f>AA109</f>
        <v>A(  )=</v>
      </c>
      <c r="AP109" s="68" t="e">
        <f>VLOOKUP(AO109,Rise_Results,2,FALSE)</f>
        <v>#N/A</v>
      </c>
      <c r="AQ109" s="76" t="e">
        <f>N109</f>
        <v>#VALUE!</v>
      </c>
      <c r="AR109" s="76" t="e">
        <f>IF(OR(AB109&lt;=0,AB110&lt;=0),1/0,AB109)</f>
        <v>#VALUE!</v>
      </c>
      <c r="AS109" s="76" t="e">
        <f>AM109</f>
        <v>#VALUE!</v>
      </c>
      <c r="AT109" t="e">
        <f>IFERROR(AP109,IFERROR(AQ109,IFERROR(AR109,AS109)))</f>
        <v>#VALUE!</v>
      </c>
      <c r="AU109" s="81"/>
    </row>
    <row r="110" spans="1:47" x14ac:dyDescent="0.25">
      <c r="A110" s="84">
        <f>A109+1</f>
        <v>17</v>
      </c>
      <c r="B110" s="84" t="str">
        <f t="shared" si="48"/>
        <v xml:space="preserve">  </v>
      </c>
      <c r="F110" s="82" t="e">
        <f>SUM(F107:F109)</f>
        <v>#VALUE!</v>
      </c>
      <c r="H110" s="82" t="e">
        <f>SUM(H107:H109)</f>
        <v>#VALUE!</v>
      </c>
      <c r="I110" s="84" t="str">
        <f>CONCATENATE("m'(",C109,")=")</f>
        <v>m'(  )=</v>
      </c>
      <c r="J110" s="84" t="e">
        <f>2*(J107*(WLS))/3*H110</f>
        <v>#VALUE!</v>
      </c>
      <c r="K110" s="84" t="e">
        <f>CONCATENATE("M(",C107,")=")</f>
        <v>#VALUE!</v>
      </c>
      <c r="L110" s="84" t="e">
        <f>VLOOKUP(C107,STN_TABLE,4,FALSE)</f>
        <v>#VALUE!</v>
      </c>
      <c r="M110" t="str">
        <f>CONCATENATE("M(",C109,")=")</f>
        <v>M(  )=</v>
      </c>
      <c r="N110" t="e">
        <f>J110+L110</f>
        <v>#VALUE!</v>
      </c>
      <c r="O110" s="99">
        <f>O109+1</f>
        <v>19</v>
      </c>
      <c r="P110" s="99" t="str">
        <f t="shared" si="44"/>
        <v xml:space="preserve">  </v>
      </c>
      <c r="T110" s="89" t="e">
        <f>SUM(T107:T109)</f>
        <v>#VALUE!</v>
      </c>
      <c r="V110" s="82" t="e">
        <f>SUM(V107:V109)</f>
        <v>#VALUE!</v>
      </c>
      <c r="W110" s="84" t="str">
        <f>CONCATENATE("m'(",Q108,")=")</f>
        <v>m'(  )=</v>
      </c>
      <c r="X110" s="84" t="e">
        <f>(2*(X107^2)/24*V110)+(X109*Q107*WLS)</f>
        <v>#VALUE!</v>
      </c>
      <c r="Y110" s="84" t="e">
        <f>CONCATENATE("M(",Q107,")=")</f>
        <v>#VALUE!</v>
      </c>
      <c r="Z110" s="84" t="e">
        <f>VLOOKUP(Q107,STN_TABLE,4,FALSE)</f>
        <v>#VALUE!</v>
      </c>
      <c r="AA110" t="str">
        <f>CONCATENATE("M(",Q108,")=")</f>
        <v>M(  )=</v>
      </c>
      <c r="AB110" t="e">
        <f>X110+Z110</f>
        <v>#VALUE!</v>
      </c>
      <c r="AE110" s="89">
        <f>SUM(AE108:AE109)</f>
        <v>0</v>
      </c>
      <c r="AG110" s="89" t="e">
        <f>SUM(AG108:AG109)</f>
        <v>#VALUE!</v>
      </c>
      <c r="AH110" s="84" t="str">
        <f>CONCATENATE("m'(",AD109,")=")</f>
        <v>m'(  )=</v>
      </c>
      <c r="AI110" s="84" t="e">
        <f>(2*(AI107^2)/6*AG110)+(AI109*AD108*WLS)</f>
        <v>#VALUE!</v>
      </c>
      <c r="AJ110" s="84" t="str">
        <f>CONCATENATE("M(",AD108,")=")</f>
        <v>M(  )=</v>
      </c>
      <c r="AK110" s="84" t="str">
        <f>VLOOKUP(AD108,STN_TABLE,4,FALSE)</f>
        <v xml:space="preserve"> </v>
      </c>
      <c r="AL110" t="str">
        <f>CONCATENATE("M(",AD109,")=")</f>
        <v>M(  )=</v>
      </c>
      <c r="AM110" t="e">
        <f>AI110+AK110</f>
        <v>#VALUE!</v>
      </c>
      <c r="AO110" s="82" t="str">
        <f>AA110</f>
        <v>M(  )=</v>
      </c>
      <c r="AP110" s="82" t="e">
        <f>VLOOKUP(AO110,Rise_Results,2,FALSE)</f>
        <v>#N/A</v>
      </c>
      <c r="AQ110" s="82" t="e">
        <f>N110</f>
        <v>#VALUE!</v>
      </c>
      <c r="AR110" s="82" t="e">
        <f>IF(OR(AB109&lt;=0,AB110&lt;=0),1/0,AB110)</f>
        <v>#VALUE!</v>
      </c>
      <c r="AS110" s="82" t="e">
        <f>AM110</f>
        <v>#VALUE!</v>
      </c>
      <c r="AT110" t="e">
        <f>IFERROR(AP110,IFERROR(AQ110,IFERROR(AR110,AS110)))</f>
        <v>#VALUE!</v>
      </c>
      <c r="AU110" s="81"/>
    </row>
    <row r="111" spans="1:47" x14ac:dyDescent="0.25">
      <c r="A111" s="101">
        <f>A106+1</f>
        <v>14</v>
      </c>
      <c r="B111" s="101" t="str">
        <f t="shared" si="48"/>
        <v xml:space="preserve">  </v>
      </c>
      <c r="O111" s="101">
        <f>O106+1</f>
        <v>16</v>
      </c>
      <c r="P111" s="101" t="str">
        <f t="shared" si="44"/>
        <v xml:space="preserve">  </v>
      </c>
      <c r="AU111" s="81"/>
    </row>
    <row r="112" spans="1:47" x14ac:dyDescent="0.25">
      <c r="A112" s="84">
        <f>A111+1</f>
        <v>15</v>
      </c>
      <c r="B112" s="84" t="str">
        <f t="shared" si="48"/>
        <v xml:space="preserve">  </v>
      </c>
      <c r="C112" s="79" t="e">
        <f t="shared" ref="C112" si="52">IF(C113=B114,IF(C114-C113=C113-B113,B113,IF(C114-C113=C113-B112,B112,"#NA")),IF(C113=B113,IF(C114-C113=C113-B112,B112,IF(C114-C113=C113-B111,B111,"#NA")),"#NA"))</f>
        <v>#VALUE!</v>
      </c>
      <c r="D112" s="68" t="e">
        <f>VLOOKUP(C112,STN_TABLE,2,FALSE)</f>
        <v>#VALUE!</v>
      </c>
      <c r="E112" s="102">
        <v>1</v>
      </c>
      <c r="F112" s="68" t="e">
        <f>D112*E112</f>
        <v>#VALUE!</v>
      </c>
      <c r="G112" s="69" t="e">
        <f>C112</f>
        <v>#VALUE!</v>
      </c>
      <c r="H112" s="69" t="e">
        <f>F112*G112</f>
        <v>#VALUE!</v>
      </c>
      <c r="I112" s="6" t="s">
        <v>93</v>
      </c>
      <c r="J112" s="70" t="e">
        <f>IF(OR(D112=0,D113=0,D114=0),"#NA",IF(AND(C114-C113=C113-C112,C113&lt;&gt;C114,C112&lt;&gt;C113,C112&lt;&gt;C114,D114&lt;&gt;0,OR(D112&lt;&gt;0,D113&lt;&gt;0)),WLS*(C114-C113),"#NA"))</f>
        <v>#VALUE!</v>
      </c>
      <c r="O112" s="99">
        <f>O111+1</f>
        <v>17</v>
      </c>
      <c r="P112" s="99" t="str">
        <f t="shared" si="44"/>
        <v xml:space="preserve">  </v>
      </c>
      <c r="Q112" s="68" t="e">
        <f>IF(OR(P114-P113=P113-P112,P115-P113=P113-P112),P112,IF(OR(P114-P113=P113-P111,P115-P113=P113-P111),P111,"-"))</f>
        <v>#VALUE!</v>
      </c>
      <c r="R112" s="69" t="e">
        <f>VLOOKUP(Q112,STN_TABLE,2,FALSE)</f>
        <v>#VALUE!</v>
      </c>
      <c r="S112" s="69">
        <v>5</v>
      </c>
      <c r="T112" s="68" t="e">
        <f>R112*S112</f>
        <v>#VALUE!</v>
      </c>
      <c r="U112" s="79">
        <v>3</v>
      </c>
      <c r="V112" s="68" t="e">
        <f>R112*U112</f>
        <v>#VALUE!</v>
      </c>
      <c r="W112" s="6" t="s">
        <v>93</v>
      </c>
      <c r="X112" s="70" t="e">
        <f>IF(AND(Q114-Q113=Q113-Q112,NOT(AND(Q112=0,Q113=0)),NOT(AND(Q113=0,Q114=0))),WLS*(Q114-Q113),"#NA")</f>
        <v>#VALUE!</v>
      </c>
      <c r="AD112" s="93"/>
      <c r="AH112" s="6" t="s">
        <v>93</v>
      </c>
      <c r="AI112" s="70" t="e">
        <f>WLS*(AD114-AD113)</f>
        <v>#VALUE!</v>
      </c>
      <c r="AU112" s="81"/>
    </row>
    <row r="113" spans="1:47" x14ac:dyDescent="0.25">
      <c r="A113" s="84">
        <f>A112+1</f>
        <v>16</v>
      </c>
      <c r="B113" s="84" t="str">
        <f t="shared" si="48"/>
        <v xml:space="preserve">  </v>
      </c>
      <c r="C113" s="80" t="e">
        <f t="shared" ref="C113" si="53">IF(OR(B115-B114=B114-B113,B115-B114=B114-B112,B115-B114=B114-B111),B114,IF(OR(B115-B113=B113-B112,B115-B113=B113-B111),B113,IF(B115-B112=B112-B111,B112,"#NA")))</f>
        <v>#VALUE!</v>
      </c>
      <c r="D113" s="76" t="e">
        <f>VLOOKUP(C113,STN_TABLE,2,FALSE)</f>
        <v>#VALUE!</v>
      </c>
      <c r="E113" s="81">
        <v>4</v>
      </c>
      <c r="F113" s="76" t="e">
        <f>D113*E113</f>
        <v>#VALUE!</v>
      </c>
      <c r="G113" s="77" t="e">
        <f>C113</f>
        <v>#VALUE!</v>
      </c>
      <c r="H113" s="77" t="e">
        <f>F113*G113</f>
        <v>#VALUE!</v>
      </c>
      <c r="I113" s="495" t="s">
        <v>97</v>
      </c>
      <c r="J113" s="496"/>
      <c r="K113" s="78" t="s">
        <v>98</v>
      </c>
      <c r="L113" s="78"/>
      <c r="M113" s="7" t="s">
        <v>99</v>
      </c>
      <c r="N113" s="7"/>
      <c r="O113" s="99">
        <f>O112+1</f>
        <v>18</v>
      </c>
      <c r="P113" s="99" t="str">
        <f t="shared" si="44"/>
        <v xml:space="preserve">  </v>
      </c>
      <c r="Q113" s="76" t="str">
        <f>P113</f>
        <v xml:space="preserve">  </v>
      </c>
      <c r="R113" s="77" t="str">
        <f>VLOOKUP(Q113,STN_TABLE,2,FALSE)</f>
        <v xml:space="preserve">  </v>
      </c>
      <c r="S113" s="77">
        <v>8</v>
      </c>
      <c r="T113" s="76" t="e">
        <f>R113*S113</f>
        <v>#VALUE!</v>
      </c>
      <c r="U113" s="80">
        <v>10</v>
      </c>
      <c r="V113" s="76" t="e">
        <f>R113*U113</f>
        <v>#VALUE!</v>
      </c>
      <c r="W113" s="496" t="s">
        <v>97</v>
      </c>
      <c r="X113" s="496"/>
      <c r="Y113" s="496" t="s">
        <v>98</v>
      </c>
      <c r="Z113" s="496"/>
      <c r="AA113" s="494" t="s">
        <v>99</v>
      </c>
      <c r="AB113" s="494"/>
      <c r="AC113" s="99">
        <f>AC108+1</f>
        <v>17</v>
      </c>
      <c r="AD113" s="95" t="str">
        <f>VLOOKUP(AC113,STN_TABLE_2,2,FALSE)</f>
        <v xml:space="preserve">  </v>
      </c>
      <c r="AE113" s="68" t="str">
        <f>VLOOKUP(AD113,STN_TABLE,2,FALSE)</f>
        <v xml:space="preserve">  </v>
      </c>
      <c r="AF113" s="68">
        <v>1</v>
      </c>
      <c r="AG113" s="69" t="e">
        <f>AE113*AF113</f>
        <v>#VALUE!</v>
      </c>
      <c r="AH113" s="496" t="s">
        <v>97</v>
      </c>
      <c r="AI113" s="496"/>
      <c r="AJ113" s="496" t="s">
        <v>98</v>
      </c>
      <c r="AK113" s="496"/>
      <c r="AL113" s="494" t="s">
        <v>99</v>
      </c>
      <c r="AM113" s="494"/>
      <c r="AP113" s="86" t="s">
        <v>112</v>
      </c>
      <c r="AQ113" s="89" t="s">
        <v>113</v>
      </c>
      <c r="AR113" s="89" t="s">
        <v>114</v>
      </c>
      <c r="AS113" s="89" t="s">
        <v>115</v>
      </c>
      <c r="AU113" s="81"/>
    </row>
    <row r="114" spans="1:47" x14ac:dyDescent="0.25">
      <c r="A114" s="84">
        <f>A113+1</f>
        <v>17</v>
      </c>
      <c r="B114" s="84" t="str">
        <f t="shared" si="48"/>
        <v xml:space="preserve">  </v>
      </c>
      <c r="C114" s="88" t="str">
        <f t="shared" ref="C114" si="54">B115</f>
        <v xml:space="preserve">  </v>
      </c>
      <c r="D114" s="82" t="str">
        <f>VLOOKUP(C114,STN_TABLE,2,FALSE)</f>
        <v xml:space="preserve">  </v>
      </c>
      <c r="E114" s="92">
        <v>1</v>
      </c>
      <c r="F114" s="82" t="e">
        <f>D114*E114</f>
        <v>#VALUE!</v>
      </c>
      <c r="G114" s="83" t="str">
        <f>C114</f>
        <v xml:space="preserve">  </v>
      </c>
      <c r="H114" s="83" t="e">
        <f>F114*G114</f>
        <v>#VALUE!</v>
      </c>
      <c r="I114" s="84" t="str">
        <f>CONCATENATE("a'(",C114,")=")</f>
        <v>a'(  )=</v>
      </c>
      <c r="J114" s="84" t="e">
        <f>2*J112/3*F115</f>
        <v>#VALUE!</v>
      </c>
      <c r="K114" s="84" t="e">
        <f>CONCATENATE("A(",C112,")=")</f>
        <v>#VALUE!</v>
      </c>
      <c r="L114" s="84" t="e">
        <f>VLOOKUP(C112,STN_TABLE,3,FALSE)</f>
        <v>#VALUE!</v>
      </c>
      <c r="M114" t="str">
        <f>CONCATENATE("A(",C114,")=")</f>
        <v>A(  )=</v>
      </c>
      <c r="N114" t="e">
        <f>J114+L114</f>
        <v>#VALUE!</v>
      </c>
      <c r="O114" s="99">
        <f>O113+1</f>
        <v>19</v>
      </c>
      <c r="P114" s="99" t="str">
        <f t="shared" si="44"/>
        <v xml:space="preserve">  </v>
      </c>
      <c r="Q114" s="82" t="e">
        <f>IF(P114-P113=P113-P112,P114,IF(P115-P113=P113-P112,P115,IF(P114-P113=P113-P111,P114,IF(P115-P113=P113-P111,P115,"-"))))</f>
        <v>#VALUE!</v>
      </c>
      <c r="R114" s="83" t="e">
        <f>VLOOKUP(Q114,STN_TABLE,2,FALSE)</f>
        <v>#VALUE!</v>
      </c>
      <c r="S114" s="83">
        <v>-1</v>
      </c>
      <c r="T114" s="82" t="e">
        <f>R114*S114</f>
        <v>#VALUE!</v>
      </c>
      <c r="U114" s="88">
        <v>-1</v>
      </c>
      <c r="V114" s="82" t="e">
        <f>R114*U114</f>
        <v>#VALUE!</v>
      </c>
      <c r="W114" s="84" t="str">
        <f>CONCATENATE("a'(",Q113,")=")</f>
        <v>a'(  )=</v>
      </c>
      <c r="X114" s="84" t="e">
        <f>2*X112/12*T115</f>
        <v>#VALUE!</v>
      </c>
      <c r="Y114" s="84" t="e">
        <f>CONCATENATE("A(",Q112,")=")</f>
        <v>#VALUE!</v>
      </c>
      <c r="Z114" s="84" t="e">
        <f>VLOOKUP(Q112,STN_TABLE,3,FALSE)</f>
        <v>#VALUE!</v>
      </c>
      <c r="AA114" t="str">
        <f>CONCATENATE("A(",Q113,")=")</f>
        <v>A(  )=</v>
      </c>
      <c r="AB114" t="e">
        <f>X114+Z114</f>
        <v>#VALUE!</v>
      </c>
      <c r="AC114" s="99">
        <f>AC113+1</f>
        <v>18</v>
      </c>
      <c r="AD114" s="100" t="str">
        <f>VLOOKUP(AC114,STN_TABLE_2,2,FALSE)</f>
        <v xml:space="preserve">  </v>
      </c>
      <c r="AE114" s="82" t="str">
        <f>VLOOKUP(AD114,STN_TABLE,2,FALSE)</f>
        <v xml:space="preserve">  </v>
      </c>
      <c r="AF114" s="82">
        <v>2</v>
      </c>
      <c r="AG114" s="83" t="e">
        <f>AE114*AF114</f>
        <v>#VALUE!</v>
      </c>
      <c r="AH114" s="84" t="str">
        <f>CONCATENATE("a'(",AD114,")=")</f>
        <v>a'(  )=</v>
      </c>
      <c r="AI114" s="84" t="e">
        <f>2*AI112/2*AE115</f>
        <v>#VALUE!</v>
      </c>
      <c r="AJ114" s="84" t="str">
        <f>CONCATENATE("A(",AD113,")=")</f>
        <v>A(  )=</v>
      </c>
      <c r="AK114" s="84" t="str">
        <f>VLOOKUP(AD113,STN_TABLE,3,FALSE)</f>
        <v xml:space="preserve"> </v>
      </c>
      <c r="AL114" t="str">
        <f>CONCATENATE("A(",AD114,")=")</f>
        <v>A(  )=</v>
      </c>
      <c r="AM114" t="e">
        <f>AI114+AK114</f>
        <v>#VALUE!</v>
      </c>
      <c r="AO114" s="68" t="str">
        <f>AA114</f>
        <v>A(  )=</v>
      </c>
      <c r="AP114" s="68" t="e">
        <f>VLOOKUP(AO114,Rise_Results,2,FALSE)</f>
        <v>#N/A</v>
      </c>
      <c r="AQ114" s="76" t="e">
        <f>N114</f>
        <v>#VALUE!</v>
      </c>
      <c r="AR114" s="76" t="e">
        <f>IF(OR(AB114&lt;=0,AB115&lt;=0),1/0,AB114)</f>
        <v>#VALUE!</v>
      </c>
      <c r="AS114" s="76" t="e">
        <f>AM114</f>
        <v>#VALUE!</v>
      </c>
      <c r="AT114" t="e">
        <f>IFERROR(AP114,IFERROR(AQ114,IFERROR(AR114,AS114)))</f>
        <v>#VALUE!</v>
      </c>
      <c r="AU114" s="81"/>
    </row>
    <row r="115" spans="1:47" x14ac:dyDescent="0.25">
      <c r="A115" s="84">
        <f>A114+1</f>
        <v>18</v>
      </c>
      <c r="B115" s="84" t="str">
        <f t="shared" si="48"/>
        <v xml:space="preserve">  </v>
      </c>
      <c r="F115" s="82" t="e">
        <f>SUM(F112:F114)</f>
        <v>#VALUE!</v>
      </c>
      <c r="H115" s="82" t="e">
        <f>SUM(H112:H114)</f>
        <v>#VALUE!</v>
      </c>
      <c r="I115" s="84" t="str">
        <f>CONCATENATE("m'(",C114,")=")</f>
        <v>m'(  )=</v>
      </c>
      <c r="J115" s="84" t="e">
        <f>2*(J112*(WLS))/3*H115</f>
        <v>#VALUE!</v>
      </c>
      <c r="K115" s="84" t="e">
        <f>CONCATENATE("M(",C112,")=")</f>
        <v>#VALUE!</v>
      </c>
      <c r="L115" s="84" t="e">
        <f>VLOOKUP(C112,STN_TABLE,4,FALSE)</f>
        <v>#VALUE!</v>
      </c>
      <c r="M115" t="str">
        <f>CONCATENATE("M(",C114,")=")</f>
        <v>M(  )=</v>
      </c>
      <c r="N115" t="e">
        <f>J115+L115</f>
        <v>#VALUE!</v>
      </c>
      <c r="O115" s="99">
        <f>O114+1</f>
        <v>20</v>
      </c>
      <c r="P115" s="99" t="str">
        <f t="shared" si="44"/>
        <v xml:space="preserve">  </v>
      </c>
      <c r="T115" s="89" t="e">
        <f>SUM(T112:T114)</f>
        <v>#VALUE!</v>
      </c>
      <c r="V115" s="82" t="e">
        <f>SUM(V112:V114)</f>
        <v>#VALUE!</v>
      </c>
      <c r="W115" s="84" t="str">
        <f>CONCATENATE("m'(",Q113,")=")</f>
        <v>m'(  )=</v>
      </c>
      <c r="X115" s="84" t="e">
        <f>(2*(X112^2)/24*V115)+(X114*Q112*WLS)</f>
        <v>#VALUE!</v>
      </c>
      <c r="Y115" s="84" t="e">
        <f>CONCATENATE("M(",Q112,")=")</f>
        <v>#VALUE!</v>
      </c>
      <c r="Z115" s="84" t="e">
        <f>VLOOKUP(Q112,STN_TABLE,4,FALSE)</f>
        <v>#VALUE!</v>
      </c>
      <c r="AA115" t="str">
        <f>CONCATENATE("M(",Q113,")=")</f>
        <v>M(  )=</v>
      </c>
      <c r="AB115" t="e">
        <f>X115+Z115</f>
        <v>#VALUE!</v>
      </c>
      <c r="AE115" s="89">
        <f>SUM(AE113:AE114)</f>
        <v>0</v>
      </c>
      <c r="AG115" s="89" t="e">
        <f>SUM(AG113:AG114)</f>
        <v>#VALUE!</v>
      </c>
      <c r="AH115" s="84" t="str">
        <f>CONCATENATE("m'(",AD114,")=")</f>
        <v>m'(  )=</v>
      </c>
      <c r="AI115" s="84" t="e">
        <f>(2*(AI112^2)/6*AG115)+(AI114*AD113*WLS)</f>
        <v>#VALUE!</v>
      </c>
      <c r="AJ115" s="84" t="str">
        <f>CONCATENATE("M(",AD113,")=")</f>
        <v>M(  )=</v>
      </c>
      <c r="AK115" s="84" t="str">
        <f>VLOOKUP(AD113,STN_TABLE,4,FALSE)</f>
        <v xml:space="preserve"> </v>
      </c>
      <c r="AL115" t="str">
        <f>CONCATENATE("M(",AD114,")=")</f>
        <v>M(  )=</v>
      </c>
      <c r="AM115" t="e">
        <f>AI115+AK115</f>
        <v>#VALUE!</v>
      </c>
      <c r="AO115" s="82" t="str">
        <f>AA115</f>
        <v>M(  )=</v>
      </c>
      <c r="AP115" s="82" t="e">
        <f>VLOOKUP(AO115,Rise_Results,2,FALSE)</f>
        <v>#N/A</v>
      </c>
      <c r="AQ115" s="82" t="e">
        <f>N115</f>
        <v>#VALUE!</v>
      </c>
      <c r="AR115" s="82" t="e">
        <f>IF(OR(AB114&lt;=0,AB115&lt;=0),1/0,AB115)</f>
        <v>#VALUE!</v>
      </c>
      <c r="AS115" s="82" t="e">
        <f>AM115</f>
        <v>#VALUE!</v>
      </c>
      <c r="AT115" t="e">
        <f>IFERROR(AP115,IFERROR(AQ115,IFERROR(AR115,AS115)))</f>
        <v>#VALUE!</v>
      </c>
      <c r="AU115" s="81"/>
    </row>
    <row r="116" spans="1:47" x14ac:dyDescent="0.25">
      <c r="A116" s="101">
        <f>A111+1</f>
        <v>15</v>
      </c>
      <c r="B116" s="101" t="str">
        <f t="shared" si="48"/>
        <v xml:space="preserve">  </v>
      </c>
      <c r="O116" s="101">
        <f>O111+1</f>
        <v>17</v>
      </c>
      <c r="P116" s="101" t="str">
        <f t="shared" si="44"/>
        <v xml:space="preserve">  </v>
      </c>
      <c r="AU116" s="81"/>
    </row>
    <row r="117" spans="1:47" x14ac:dyDescent="0.25">
      <c r="A117" s="84">
        <f>A116+1</f>
        <v>16</v>
      </c>
      <c r="B117" s="84" t="str">
        <f t="shared" si="48"/>
        <v xml:space="preserve">  </v>
      </c>
      <c r="C117" s="79" t="e">
        <f t="shared" ref="C117" si="55">IF(C118=B119,IF(C119-C118=C118-B118,B118,IF(C119-C118=C118-B117,B117,"#NA")),IF(C118=B118,IF(C119-C118=C118-B117,B117,IF(C119-C118=C118-B116,B116,"#NA")),"#NA"))</f>
        <v>#VALUE!</v>
      </c>
      <c r="D117" s="68" t="e">
        <f>VLOOKUP(C117,STN_TABLE,2,FALSE)</f>
        <v>#VALUE!</v>
      </c>
      <c r="E117" s="102">
        <v>1</v>
      </c>
      <c r="F117" s="68" t="e">
        <f>D117*E117</f>
        <v>#VALUE!</v>
      </c>
      <c r="G117" s="69" t="e">
        <f>C117</f>
        <v>#VALUE!</v>
      </c>
      <c r="H117" s="69" t="e">
        <f>F117*G117</f>
        <v>#VALUE!</v>
      </c>
      <c r="I117" s="6" t="s">
        <v>93</v>
      </c>
      <c r="J117" s="70" t="e">
        <f>IF(OR(D117=0,D118=0,D119=0),"#NA",IF(AND(C119-C118=C118-C117,C118&lt;&gt;C119,C117&lt;&gt;C118,C117&lt;&gt;C119,D119&lt;&gt;0,OR(D117&lt;&gt;0,D118&lt;&gt;0)),WLS*(C119-C118),"#NA"))</f>
        <v>#VALUE!</v>
      </c>
      <c r="O117" s="99">
        <f>O116+1</f>
        <v>18</v>
      </c>
      <c r="P117" s="99" t="str">
        <f t="shared" si="44"/>
        <v xml:space="preserve">  </v>
      </c>
      <c r="Q117" s="68" t="e">
        <f>IF(OR(P119-P118=P118-P117,P120-P118=P118-P117),P117,IF(OR(P119-P118=P118-P116,P120-P118=P118-P116),P116,"-"))</f>
        <v>#VALUE!</v>
      </c>
      <c r="R117" s="69" t="e">
        <f>VLOOKUP(Q117,STN_TABLE,2,FALSE)</f>
        <v>#VALUE!</v>
      </c>
      <c r="S117" s="69">
        <v>5</v>
      </c>
      <c r="T117" s="68" t="e">
        <f>R117*S117</f>
        <v>#VALUE!</v>
      </c>
      <c r="U117" s="79">
        <v>3</v>
      </c>
      <c r="V117" s="68" t="e">
        <f>R117*U117</f>
        <v>#VALUE!</v>
      </c>
      <c r="W117" s="6" t="s">
        <v>93</v>
      </c>
      <c r="X117" s="70" t="e">
        <f>IF(AND(Q119-Q118=Q118-Q117,NOT(AND(Q117=0,Q118=0)),NOT(AND(Q118=0,Q119=0))),WLS*(Q119-Q118),"#NA")</f>
        <v>#VALUE!</v>
      </c>
      <c r="AD117" s="93"/>
      <c r="AH117" s="6" t="s">
        <v>93</v>
      </c>
      <c r="AI117" s="70" t="e">
        <f>WLS*(AD119-AD118)</f>
        <v>#VALUE!</v>
      </c>
      <c r="AU117" s="81"/>
    </row>
    <row r="118" spans="1:47" x14ac:dyDescent="0.25">
      <c r="A118" s="84">
        <f>A117+1</f>
        <v>17</v>
      </c>
      <c r="B118" s="84" t="str">
        <f t="shared" si="48"/>
        <v xml:space="preserve">  </v>
      </c>
      <c r="C118" s="80" t="e">
        <f t="shared" ref="C118" si="56">IF(OR(B120-B119=B119-B118,B120-B119=B119-B117,B120-B119=B119-B116),B119,IF(OR(B120-B118=B118-B117,B120-B118=B118-B116),B118,IF(B120-B117=B117-B116,B117,"#NA")))</f>
        <v>#VALUE!</v>
      </c>
      <c r="D118" s="76" t="e">
        <f>VLOOKUP(C118,STN_TABLE,2,FALSE)</f>
        <v>#VALUE!</v>
      </c>
      <c r="E118" s="81">
        <v>4</v>
      </c>
      <c r="F118" s="76" t="e">
        <f>D118*E118</f>
        <v>#VALUE!</v>
      </c>
      <c r="G118" s="77" t="e">
        <f>C118</f>
        <v>#VALUE!</v>
      </c>
      <c r="H118" s="77" t="e">
        <f>F118*G118</f>
        <v>#VALUE!</v>
      </c>
      <c r="I118" s="495" t="s">
        <v>97</v>
      </c>
      <c r="J118" s="496"/>
      <c r="K118" s="78" t="s">
        <v>98</v>
      </c>
      <c r="L118" s="78"/>
      <c r="M118" s="7" t="s">
        <v>99</v>
      </c>
      <c r="N118" s="7"/>
      <c r="O118" s="99">
        <f>O117+1</f>
        <v>19</v>
      </c>
      <c r="P118" s="99" t="str">
        <f t="shared" si="44"/>
        <v xml:space="preserve">  </v>
      </c>
      <c r="Q118" s="76" t="str">
        <f>P118</f>
        <v xml:space="preserve">  </v>
      </c>
      <c r="R118" s="77" t="str">
        <f>VLOOKUP(Q118,STN_TABLE,2,FALSE)</f>
        <v xml:space="preserve">  </v>
      </c>
      <c r="S118" s="77">
        <v>8</v>
      </c>
      <c r="T118" s="76" t="e">
        <f>R118*S118</f>
        <v>#VALUE!</v>
      </c>
      <c r="U118" s="80">
        <v>10</v>
      </c>
      <c r="V118" s="76" t="e">
        <f>R118*U118</f>
        <v>#VALUE!</v>
      </c>
      <c r="W118" s="496" t="s">
        <v>97</v>
      </c>
      <c r="X118" s="496"/>
      <c r="Y118" s="496" t="s">
        <v>98</v>
      </c>
      <c r="Z118" s="496"/>
      <c r="AA118" s="494" t="s">
        <v>99</v>
      </c>
      <c r="AB118" s="494"/>
      <c r="AC118" s="99">
        <f>AC113+1</f>
        <v>18</v>
      </c>
      <c r="AD118" s="95" t="str">
        <f>VLOOKUP(AC118,STN_TABLE_2,2,FALSE)</f>
        <v xml:space="preserve">  </v>
      </c>
      <c r="AE118" s="68" t="str">
        <f>VLOOKUP(AD118,STN_TABLE,2,FALSE)</f>
        <v xml:space="preserve">  </v>
      </c>
      <c r="AF118" s="68">
        <v>1</v>
      </c>
      <c r="AG118" s="69" t="e">
        <f>AE118*AF118</f>
        <v>#VALUE!</v>
      </c>
      <c r="AH118" s="496" t="s">
        <v>97</v>
      </c>
      <c r="AI118" s="496"/>
      <c r="AJ118" s="496" t="s">
        <v>98</v>
      </c>
      <c r="AK118" s="496"/>
      <c r="AL118" s="494" t="s">
        <v>99</v>
      </c>
      <c r="AM118" s="494"/>
      <c r="AP118" s="86" t="s">
        <v>112</v>
      </c>
      <c r="AQ118" s="89" t="s">
        <v>113</v>
      </c>
      <c r="AR118" s="89" t="s">
        <v>114</v>
      </c>
      <c r="AS118" s="89" t="s">
        <v>115</v>
      </c>
      <c r="AU118" s="81"/>
    </row>
    <row r="119" spans="1:47" x14ac:dyDescent="0.25">
      <c r="A119" s="84">
        <f>A118+1</f>
        <v>18</v>
      </c>
      <c r="B119" s="84" t="str">
        <f t="shared" si="48"/>
        <v xml:space="preserve">  </v>
      </c>
      <c r="C119" s="88" t="str">
        <f t="shared" ref="C119" si="57">B120</f>
        <v xml:space="preserve">  </v>
      </c>
      <c r="D119" s="82" t="str">
        <f>VLOOKUP(C119,STN_TABLE,2,FALSE)</f>
        <v xml:space="preserve">  </v>
      </c>
      <c r="E119" s="92">
        <v>1</v>
      </c>
      <c r="F119" s="82" t="e">
        <f>D119*E119</f>
        <v>#VALUE!</v>
      </c>
      <c r="G119" s="83" t="str">
        <f>C119</f>
        <v xml:space="preserve">  </v>
      </c>
      <c r="H119" s="83" t="e">
        <f>F119*G119</f>
        <v>#VALUE!</v>
      </c>
      <c r="I119" s="84" t="str">
        <f>CONCATENATE("a'(",C119,")=")</f>
        <v>a'(  )=</v>
      </c>
      <c r="J119" s="84" t="e">
        <f>2*J117/3*F120</f>
        <v>#VALUE!</v>
      </c>
      <c r="K119" s="84" t="e">
        <f>CONCATENATE("A(",C117,")=")</f>
        <v>#VALUE!</v>
      </c>
      <c r="L119" s="84" t="e">
        <f>VLOOKUP(C117,STN_TABLE,3,FALSE)</f>
        <v>#VALUE!</v>
      </c>
      <c r="M119" t="str">
        <f>CONCATENATE("A(",C119,")=")</f>
        <v>A(  )=</v>
      </c>
      <c r="N119" t="e">
        <f>J119+L119</f>
        <v>#VALUE!</v>
      </c>
      <c r="O119" s="99">
        <f>O118+1</f>
        <v>20</v>
      </c>
      <c r="P119" s="99" t="str">
        <f t="shared" si="44"/>
        <v xml:space="preserve">  </v>
      </c>
      <c r="Q119" s="82" t="e">
        <f>IF(P119-P118=P118-P117,P119,IF(P120-P118=P118-P117,P120,IF(P119-P118=P118-P116,P119,IF(P120-P118=P118-P116,P120,"-"))))</f>
        <v>#VALUE!</v>
      </c>
      <c r="R119" s="83" t="e">
        <f>VLOOKUP(Q119,STN_TABLE,2,FALSE)</f>
        <v>#VALUE!</v>
      </c>
      <c r="S119" s="83">
        <v>-1</v>
      </c>
      <c r="T119" s="82" t="e">
        <f>R119*S119</f>
        <v>#VALUE!</v>
      </c>
      <c r="U119" s="88">
        <v>-1</v>
      </c>
      <c r="V119" s="82" t="e">
        <f>R119*U119</f>
        <v>#VALUE!</v>
      </c>
      <c r="W119" s="84" t="str">
        <f>CONCATENATE("a'(",Q118,")=")</f>
        <v>a'(  )=</v>
      </c>
      <c r="X119" s="84" t="e">
        <f>2*X117/12*T120</f>
        <v>#VALUE!</v>
      </c>
      <c r="Y119" s="84" t="e">
        <f>CONCATENATE("A(",Q117,")=")</f>
        <v>#VALUE!</v>
      </c>
      <c r="Z119" s="84" t="e">
        <f>VLOOKUP(Q117,STN_TABLE,3,FALSE)</f>
        <v>#VALUE!</v>
      </c>
      <c r="AA119" t="str">
        <f>CONCATENATE("A(",Q118,")=")</f>
        <v>A(  )=</v>
      </c>
      <c r="AB119" t="e">
        <f>X119+Z119</f>
        <v>#VALUE!</v>
      </c>
      <c r="AC119" s="99">
        <f>AC118+1</f>
        <v>19</v>
      </c>
      <c r="AD119" s="100" t="str">
        <f>VLOOKUP(AC119,STN_TABLE_2,2,FALSE)</f>
        <v xml:space="preserve">  </v>
      </c>
      <c r="AE119" s="82" t="str">
        <f>VLOOKUP(AD119,STN_TABLE,2,FALSE)</f>
        <v xml:space="preserve">  </v>
      </c>
      <c r="AF119" s="82">
        <v>2</v>
      </c>
      <c r="AG119" s="83" t="e">
        <f>AE119*AF119</f>
        <v>#VALUE!</v>
      </c>
      <c r="AH119" s="84" t="str">
        <f>CONCATENATE("a'(",AD119,")=")</f>
        <v>a'(  )=</v>
      </c>
      <c r="AI119" s="84" t="e">
        <f>2*AI117/2*AE120</f>
        <v>#VALUE!</v>
      </c>
      <c r="AJ119" s="84" t="str">
        <f>CONCATENATE("A(",AD118,")=")</f>
        <v>A(  )=</v>
      </c>
      <c r="AK119" s="84" t="str">
        <f>VLOOKUP(AD118,STN_TABLE,3,FALSE)</f>
        <v xml:space="preserve"> </v>
      </c>
      <c r="AL119" t="str">
        <f>CONCATENATE("A(",AD119,")=")</f>
        <v>A(  )=</v>
      </c>
      <c r="AM119" t="e">
        <f>AI119+AK119</f>
        <v>#VALUE!</v>
      </c>
      <c r="AO119" s="68" t="str">
        <f>AA119</f>
        <v>A(  )=</v>
      </c>
      <c r="AP119" s="68" t="e">
        <f>VLOOKUP(AO119,Rise_Results,2,FALSE)</f>
        <v>#N/A</v>
      </c>
      <c r="AQ119" s="76" t="e">
        <f>N119</f>
        <v>#VALUE!</v>
      </c>
      <c r="AR119" s="76" t="e">
        <f>IF(OR(AB119&lt;=0,AB120&lt;=0),1/0,AB119)</f>
        <v>#VALUE!</v>
      </c>
      <c r="AS119" s="76" t="e">
        <f>AM119</f>
        <v>#VALUE!</v>
      </c>
      <c r="AT119" t="e">
        <f>IFERROR(AP119,IFERROR(AQ119,IFERROR(AR119,AS119)))</f>
        <v>#VALUE!</v>
      </c>
      <c r="AU119" s="81"/>
    </row>
    <row r="120" spans="1:47" x14ac:dyDescent="0.25">
      <c r="A120" s="84">
        <f>A119+1</f>
        <v>19</v>
      </c>
      <c r="B120" s="84" t="str">
        <f t="shared" si="48"/>
        <v xml:space="preserve">  </v>
      </c>
      <c r="F120" s="82" t="e">
        <f>SUM(F117:F119)</f>
        <v>#VALUE!</v>
      </c>
      <c r="H120" s="82" t="e">
        <f>SUM(H117:H119)</f>
        <v>#VALUE!</v>
      </c>
      <c r="I120" s="84" t="str">
        <f>CONCATENATE("m'(",C119,")=")</f>
        <v>m'(  )=</v>
      </c>
      <c r="J120" s="84" t="e">
        <f>2*(J117*(WLS))/3*H120</f>
        <v>#VALUE!</v>
      </c>
      <c r="K120" s="84" t="e">
        <f>CONCATENATE("M(",C117,")=")</f>
        <v>#VALUE!</v>
      </c>
      <c r="L120" s="84" t="e">
        <f>VLOOKUP(C117,STN_TABLE,4,FALSE)</f>
        <v>#VALUE!</v>
      </c>
      <c r="M120" t="str">
        <f>CONCATENATE("M(",C119,")=")</f>
        <v>M(  )=</v>
      </c>
      <c r="N120" t="e">
        <f>J120+L120</f>
        <v>#VALUE!</v>
      </c>
      <c r="O120" s="99">
        <f>O119+1</f>
        <v>21</v>
      </c>
      <c r="P120" s="99" t="str">
        <f t="shared" si="44"/>
        <v xml:space="preserve">  </v>
      </c>
      <c r="T120" s="89" t="e">
        <f>SUM(T117:T119)</f>
        <v>#VALUE!</v>
      </c>
      <c r="V120" s="82" t="e">
        <f>SUM(V117:V119)</f>
        <v>#VALUE!</v>
      </c>
      <c r="W120" s="84" t="str">
        <f>CONCATENATE("m'(",Q118,")=")</f>
        <v>m'(  )=</v>
      </c>
      <c r="X120" s="84" t="e">
        <f>(2*(X117^2)/24*V120)+(X119*Q117*WLS)</f>
        <v>#VALUE!</v>
      </c>
      <c r="Y120" s="84" t="e">
        <f>CONCATENATE("M(",Q117,")=")</f>
        <v>#VALUE!</v>
      </c>
      <c r="Z120" s="84" t="e">
        <f>VLOOKUP(Q117,STN_TABLE,4,FALSE)</f>
        <v>#VALUE!</v>
      </c>
      <c r="AA120" t="str">
        <f>CONCATENATE("M(",Q118,")=")</f>
        <v>M(  )=</v>
      </c>
      <c r="AB120" t="e">
        <f>X120+Z120</f>
        <v>#VALUE!</v>
      </c>
      <c r="AE120" s="89">
        <f>SUM(AE118:AE119)</f>
        <v>0</v>
      </c>
      <c r="AG120" s="89" t="e">
        <f>SUM(AG118:AG119)</f>
        <v>#VALUE!</v>
      </c>
      <c r="AH120" s="84" t="str">
        <f>CONCATENATE("m'(",AD119,")=")</f>
        <v>m'(  )=</v>
      </c>
      <c r="AI120" s="84" t="e">
        <f>(2*(AI117^2)/6*AG120)+(AI119*AD118*WLS)</f>
        <v>#VALUE!</v>
      </c>
      <c r="AJ120" s="84" t="str">
        <f>CONCATENATE("M(",AD118,")=")</f>
        <v>M(  )=</v>
      </c>
      <c r="AK120" s="84" t="str">
        <f>VLOOKUP(AD118,STN_TABLE,4,FALSE)</f>
        <v xml:space="preserve"> </v>
      </c>
      <c r="AL120" t="str">
        <f>CONCATENATE("M(",AD119,")=")</f>
        <v>M(  )=</v>
      </c>
      <c r="AM120" t="e">
        <f>AI120+AK120</f>
        <v>#VALUE!</v>
      </c>
      <c r="AO120" s="82" t="str">
        <f>AA120</f>
        <v>M(  )=</v>
      </c>
      <c r="AP120" s="82" t="e">
        <f>VLOOKUP(AO120,Rise_Results,2,FALSE)</f>
        <v>#N/A</v>
      </c>
      <c r="AQ120" s="82" t="e">
        <f>N120</f>
        <v>#VALUE!</v>
      </c>
      <c r="AR120" s="82" t="e">
        <f>IF(OR(AB119&lt;=0,AB120&lt;=0),1/0,AB120)</f>
        <v>#VALUE!</v>
      </c>
      <c r="AS120" s="82" t="e">
        <f>AM120</f>
        <v>#VALUE!</v>
      </c>
      <c r="AT120" t="e">
        <f>IFERROR(AP120,IFERROR(AQ120,IFERROR(AR120,AS120)))</f>
        <v>#VALUE!</v>
      </c>
      <c r="AU120" s="81"/>
    </row>
    <row r="121" spans="1:47" x14ac:dyDescent="0.25">
      <c r="A121" s="101">
        <f>A116+1</f>
        <v>16</v>
      </c>
      <c r="B121" s="101" t="str">
        <f t="shared" si="48"/>
        <v xml:space="preserve">  </v>
      </c>
      <c r="O121" s="101">
        <f>O116+1</f>
        <v>18</v>
      </c>
      <c r="P121" s="101" t="str">
        <f t="shared" si="44"/>
        <v xml:space="preserve">  </v>
      </c>
      <c r="AU121" s="81"/>
    </row>
    <row r="122" spans="1:47" x14ac:dyDescent="0.25">
      <c r="A122" s="84">
        <f>A121+1</f>
        <v>17</v>
      </c>
      <c r="B122" s="84" t="str">
        <f t="shared" si="48"/>
        <v xml:space="preserve">  </v>
      </c>
      <c r="C122" s="79" t="e">
        <f t="shared" ref="C122" si="58">IF(C123=B124,IF(C124-C123=C123-B123,B123,IF(C124-C123=C123-B122,B122,"#NA")),IF(C123=B123,IF(C124-C123=C123-B122,B122,IF(C124-C123=C123-B121,B121,"#NA")),"#NA"))</f>
        <v>#VALUE!</v>
      </c>
      <c r="D122" s="68" t="e">
        <f>VLOOKUP(C122,STN_TABLE,2,FALSE)</f>
        <v>#VALUE!</v>
      </c>
      <c r="E122" s="102">
        <v>1</v>
      </c>
      <c r="F122" s="68" t="e">
        <f>D122*E122</f>
        <v>#VALUE!</v>
      </c>
      <c r="G122" s="69" t="e">
        <f>C122</f>
        <v>#VALUE!</v>
      </c>
      <c r="H122" s="69" t="e">
        <f>F122*G122</f>
        <v>#VALUE!</v>
      </c>
      <c r="I122" s="6" t="s">
        <v>93</v>
      </c>
      <c r="J122" s="70" t="e">
        <f>IF(OR(D122=0,D123=0,D124=0),"#NA",IF(AND(C124-C123=C123-C122,C123&lt;&gt;C124,C122&lt;&gt;C123,C122&lt;&gt;C124,D124&lt;&gt;0,OR(D122&lt;&gt;0,D123&lt;&gt;0)),WLS*(C124-C123),"#NA"))</f>
        <v>#VALUE!</v>
      </c>
      <c r="O122" s="99">
        <f>O121+1</f>
        <v>19</v>
      </c>
      <c r="P122" s="99" t="str">
        <f t="shared" si="44"/>
        <v xml:space="preserve">  </v>
      </c>
      <c r="Q122" s="68" t="e">
        <f>IF(OR(P124-P123=P123-P122,P125-P123=P123-P122),P122,IF(OR(P124-P123=P123-P121,P125-P123=P123-P121),P121,"-"))</f>
        <v>#VALUE!</v>
      </c>
      <c r="R122" s="69" t="e">
        <f>VLOOKUP(Q122,STN_TABLE,2,FALSE)</f>
        <v>#VALUE!</v>
      </c>
      <c r="S122" s="69">
        <v>5</v>
      </c>
      <c r="T122" s="68" t="e">
        <f>R122*S122</f>
        <v>#VALUE!</v>
      </c>
      <c r="U122" s="79">
        <v>3</v>
      </c>
      <c r="V122" s="68" t="e">
        <f>R122*U122</f>
        <v>#VALUE!</v>
      </c>
      <c r="W122" s="6" t="s">
        <v>93</v>
      </c>
      <c r="X122" s="70" t="e">
        <f>IF(AND(Q124-Q123=Q123-Q122,NOT(AND(Q122=0,Q123=0)),NOT(AND(Q123=0,Q124=0))),WLS*(Q124-Q123),"#NA")</f>
        <v>#VALUE!</v>
      </c>
      <c r="AD122" s="93"/>
      <c r="AH122" s="6" t="s">
        <v>93</v>
      </c>
      <c r="AI122" s="70" t="e">
        <f>WLS*(AD124-AD123)</f>
        <v>#VALUE!</v>
      </c>
      <c r="AU122" s="81"/>
    </row>
    <row r="123" spans="1:47" x14ac:dyDescent="0.25">
      <c r="A123" s="84">
        <f>A122+1</f>
        <v>18</v>
      </c>
      <c r="B123" s="84" t="str">
        <f t="shared" si="48"/>
        <v xml:space="preserve">  </v>
      </c>
      <c r="C123" s="80" t="e">
        <f t="shared" ref="C123" si="59">IF(OR(B125-B124=B124-B123,B125-B124=B124-B122,B125-B124=B124-B121),B124,IF(OR(B125-B123=B123-B122,B125-B123=B123-B121),B123,IF(B125-B122=B122-B121,B122,"#NA")))</f>
        <v>#VALUE!</v>
      </c>
      <c r="D123" s="76" t="e">
        <f>VLOOKUP(C123,STN_TABLE,2,FALSE)</f>
        <v>#VALUE!</v>
      </c>
      <c r="E123" s="81">
        <v>4</v>
      </c>
      <c r="F123" s="76" t="e">
        <f>D123*E123</f>
        <v>#VALUE!</v>
      </c>
      <c r="G123" s="77" t="e">
        <f>C123</f>
        <v>#VALUE!</v>
      </c>
      <c r="H123" s="77" t="e">
        <f>F123*G123</f>
        <v>#VALUE!</v>
      </c>
      <c r="I123" s="495" t="s">
        <v>97</v>
      </c>
      <c r="J123" s="496"/>
      <c r="K123" s="78" t="s">
        <v>98</v>
      </c>
      <c r="L123" s="78"/>
      <c r="M123" s="7" t="s">
        <v>99</v>
      </c>
      <c r="N123" s="7"/>
      <c r="O123" s="99">
        <f>O122+1</f>
        <v>20</v>
      </c>
      <c r="P123" s="99" t="str">
        <f t="shared" si="44"/>
        <v xml:space="preserve">  </v>
      </c>
      <c r="Q123" s="76" t="str">
        <f>P123</f>
        <v xml:space="preserve">  </v>
      </c>
      <c r="R123" s="77" t="str">
        <f>VLOOKUP(Q123,STN_TABLE,2,FALSE)</f>
        <v xml:space="preserve">  </v>
      </c>
      <c r="S123" s="77">
        <v>8</v>
      </c>
      <c r="T123" s="76" t="e">
        <f>R123*S123</f>
        <v>#VALUE!</v>
      </c>
      <c r="U123" s="80">
        <v>10</v>
      </c>
      <c r="V123" s="76" t="e">
        <f>R123*U123</f>
        <v>#VALUE!</v>
      </c>
      <c r="W123" s="496" t="s">
        <v>97</v>
      </c>
      <c r="X123" s="496"/>
      <c r="Y123" s="496" t="s">
        <v>98</v>
      </c>
      <c r="Z123" s="496"/>
      <c r="AA123" s="494" t="s">
        <v>99</v>
      </c>
      <c r="AB123" s="494"/>
      <c r="AC123" s="99">
        <f>AC118+1</f>
        <v>19</v>
      </c>
      <c r="AD123" s="95" t="str">
        <f>VLOOKUP(AC123,STN_TABLE_2,2,FALSE)</f>
        <v xml:space="preserve">  </v>
      </c>
      <c r="AE123" s="68" t="str">
        <f>VLOOKUP(AD123,STN_TABLE,2,FALSE)</f>
        <v xml:space="preserve">  </v>
      </c>
      <c r="AF123" s="68">
        <v>1</v>
      </c>
      <c r="AG123" s="69" t="e">
        <f>AE123*AF123</f>
        <v>#VALUE!</v>
      </c>
      <c r="AH123" s="496" t="s">
        <v>97</v>
      </c>
      <c r="AI123" s="496"/>
      <c r="AJ123" s="496" t="s">
        <v>98</v>
      </c>
      <c r="AK123" s="496"/>
      <c r="AL123" s="494" t="s">
        <v>99</v>
      </c>
      <c r="AM123" s="494"/>
      <c r="AP123" s="86" t="s">
        <v>112</v>
      </c>
      <c r="AQ123" s="89" t="s">
        <v>113</v>
      </c>
      <c r="AR123" s="89" t="s">
        <v>114</v>
      </c>
      <c r="AS123" s="89" t="s">
        <v>115</v>
      </c>
      <c r="AU123" s="81"/>
    </row>
    <row r="124" spans="1:47" x14ac:dyDescent="0.25">
      <c r="A124" s="84">
        <f>A123+1</f>
        <v>19</v>
      </c>
      <c r="B124" s="84" t="str">
        <f t="shared" si="48"/>
        <v xml:space="preserve">  </v>
      </c>
      <c r="C124" s="88" t="str">
        <f t="shared" ref="C124" si="60">B125</f>
        <v xml:space="preserve">  </v>
      </c>
      <c r="D124" s="82" t="str">
        <f>VLOOKUP(C124,STN_TABLE,2,FALSE)</f>
        <v xml:space="preserve">  </v>
      </c>
      <c r="E124" s="92">
        <v>1</v>
      </c>
      <c r="F124" s="82" t="e">
        <f>D124*E124</f>
        <v>#VALUE!</v>
      </c>
      <c r="G124" s="83" t="str">
        <f>C124</f>
        <v xml:space="preserve">  </v>
      </c>
      <c r="H124" s="83" t="e">
        <f>F124*G124</f>
        <v>#VALUE!</v>
      </c>
      <c r="I124" s="84" t="str">
        <f>CONCATENATE("a'(",C124,")=")</f>
        <v>a'(  )=</v>
      </c>
      <c r="J124" s="84" t="e">
        <f>2*J122/3*F125</f>
        <v>#VALUE!</v>
      </c>
      <c r="K124" s="84" t="e">
        <f>CONCATENATE("A(",C122,")=")</f>
        <v>#VALUE!</v>
      </c>
      <c r="L124" s="84" t="e">
        <f>VLOOKUP(C122,STN_TABLE,3,FALSE)</f>
        <v>#VALUE!</v>
      </c>
      <c r="M124" t="str">
        <f>CONCATENATE("A(",C124,")=")</f>
        <v>A(  )=</v>
      </c>
      <c r="N124" t="e">
        <f>J124+L124</f>
        <v>#VALUE!</v>
      </c>
      <c r="O124" s="99">
        <f>O123+1</f>
        <v>21</v>
      </c>
      <c r="P124" s="99" t="str">
        <f t="shared" si="44"/>
        <v xml:space="preserve">  </v>
      </c>
      <c r="Q124" s="82" t="e">
        <f>IF(P124-P123=P123-P122,P124,IF(P125-P123=P123-P122,P125,IF(P124-P123=P123-P121,P124,IF(P125-P123=P123-P121,P125,"-"))))</f>
        <v>#VALUE!</v>
      </c>
      <c r="R124" s="83" t="e">
        <f>VLOOKUP(Q124,STN_TABLE,2,FALSE)</f>
        <v>#VALUE!</v>
      </c>
      <c r="S124" s="83">
        <v>-1</v>
      </c>
      <c r="T124" s="82" t="e">
        <f>R124*S124</f>
        <v>#VALUE!</v>
      </c>
      <c r="U124" s="88">
        <v>-1</v>
      </c>
      <c r="V124" s="82" t="e">
        <f>R124*U124</f>
        <v>#VALUE!</v>
      </c>
      <c r="W124" s="84" t="str">
        <f>CONCATENATE("a'(",Q123,")=")</f>
        <v>a'(  )=</v>
      </c>
      <c r="X124" s="84" t="e">
        <f>2*X122/12*T125</f>
        <v>#VALUE!</v>
      </c>
      <c r="Y124" s="84" t="e">
        <f>CONCATENATE("A(",Q122,")=")</f>
        <v>#VALUE!</v>
      </c>
      <c r="Z124" s="84" t="e">
        <f>VLOOKUP(Q122,STN_TABLE,3,FALSE)</f>
        <v>#VALUE!</v>
      </c>
      <c r="AA124" t="str">
        <f>CONCATENATE("A(",Q123,")=")</f>
        <v>A(  )=</v>
      </c>
      <c r="AB124" t="e">
        <f>X124+Z124</f>
        <v>#VALUE!</v>
      </c>
      <c r="AC124" s="99">
        <f>AC123+1</f>
        <v>20</v>
      </c>
      <c r="AD124" s="100" t="str">
        <f>VLOOKUP(AC124,STN_TABLE_2,2,FALSE)</f>
        <v xml:space="preserve">  </v>
      </c>
      <c r="AE124" s="82" t="str">
        <f>VLOOKUP(AD124,STN_TABLE,2,FALSE)</f>
        <v xml:space="preserve">  </v>
      </c>
      <c r="AF124" s="82">
        <v>2</v>
      </c>
      <c r="AG124" s="83" t="e">
        <f>AE124*AF124</f>
        <v>#VALUE!</v>
      </c>
      <c r="AH124" s="84" t="str">
        <f>CONCATENATE("a'(",AD124,")=")</f>
        <v>a'(  )=</v>
      </c>
      <c r="AI124" s="84" t="e">
        <f>2*AI122/2*AE125</f>
        <v>#VALUE!</v>
      </c>
      <c r="AJ124" s="84" t="str">
        <f>CONCATENATE("A(",AD123,")=")</f>
        <v>A(  )=</v>
      </c>
      <c r="AK124" s="84" t="str">
        <f>VLOOKUP(AD123,STN_TABLE,3,FALSE)</f>
        <v xml:space="preserve"> </v>
      </c>
      <c r="AL124" t="str">
        <f>CONCATENATE("A(",AD124,")=")</f>
        <v>A(  )=</v>
      </c>
      <c r="AM124" t="e">
        <f>AI124+AK124</f>
        <v>#VALUE!</v>
      </c>
      <c r="AO124" s="68" t="str">
        <f>AA124</f>
        <v>A(  )=</v>
      </c>
      <c r="AP124" s="68" t="e">
        <f>VLOOKUP(AO124,Rise_Results,2,FALSE)</f>
        <v>#N/A</v>
      </c>
      <c r="AQ124" s="76" t="e">
        <f>N124</f>
        <v>#VALUE!</v>
      </c>
      <c r="AR124" s="76" t="e">
        <f>IF(OR(AB124&lt;=0,AB125&lt;=0),1/0,AB124)</f>
        <v>#VALUE!</v>
      </c>
      <c r="AS124" s="76" t="e">
        <f>AM124</f>
        <v>#VALUE!</v>
      </c>
      <c r="AT124" t="e">
        <f>IFERROR(AP124,IFERROR(AQ124,IFERROR(AR124,AS124)))</f>
        <v>#VALUE!</v>
      </c>
      <c r="AU124" s="81"/>
    </row>
    <row r="125" spans="1:47" x14ac:dyDescent="0.25">
      <c r="A125" s="84">
        <f>A124+1</f>
        <v>20</v>
      </c>
      <c r="B125" s="84" t="str">
        <f t="shared" si="48"/>
        <v xml:space="preserve">  </v>
      </c>
      <c r="F125" s="82" t="e">
        <f>SUM(F122:F124)</f>
        <v>#VALUE!</v>
      </c>
      <c r="H125" s="82" t="e">
        <f>SUM(H122:H124)</f>
        <v>#VALUE!</v>
      </c>
      <c r="I125" s="84" t="str">
        <f>CONCATENATE("m'(",C124,")=")</f>
        <v>m'(  )=</v>
      </c>
      <c r="J125" s="84" t="e">
        <f>2*(J122*(WLS))/3*H125</f>
        <v>#VALUE!</v>
      </c>
      <c r="K125" s="84" t="e">
        <f>CONCATENATE("M(",C122,")=")</f>
        <v>#VALUE!</v>
      </c>
      <c r="L125" s="84" t="e">
        <f>VLOOKUP(C122,STN_TABLE,4,FALSE)</f>
        <v>#VALUE!</v>
      </c>
      <c r="M125" t="str">
        <f>CONCATENATE("M(",C124,")=")</f>
        <v>M(  )=</v>
      </c>
      <c r="N125" t="e">
        <f>J125+L125</f>
        <v>#VALUE!</v>
      </c>
      <c r="O125" s="99">
        <f>O124+1</f>
        <v>22</v>
      </c>
      <c r="P125" s="99" t="str">
        <f t="shared" si="44"/>
        <v xml:space="preserve">  </v>
      </c>
      <c r="T125" s="89" t="e">
        <f>SUM(T122:T124)</f>
        <v>#VALUE!</v>
      </c>
      <c r="V125" s="82" t="e">
        <f>SUM(V122:V124)</f>
        <v>#VALUE!</v>
      </c>
      <c r="W125" s="84" t="str">
        <f>CONCATENATE("m'(",Q123,")=")</f>
        <v>m'(  )=</v>
      </c>
      <c r="X125" s="84" t="e">
        <f>(2*(X122^2)/24*V125)+(X124*Q122*WLS)</f>
        <v>#VALUE!</v>
      </c>
      <c r="Y125" s="84" t="e">
        <f>CONCATENATE("M(",Q122,")=")</f>
        <v>#VALUE!</v>
      </c>
      <c r="Z125" s="84" t="e">
        <f>VLOOKUP(Q122,STN_TABLE,4,FALSE)</f>
        <v>#VALUE!</v>
      </c>
      <c r="AA125" t="str">
        <f>CONCATENATE("M(",Q123,")=")</f>
        <v>M(  )=</v>
      </c>
      <c r="AB125" t="e">
        <f>X125+Z125</f>
        <v>#VALUE!</v>
      </c>
      <c r="AE125" s="89">
        <f>SUM(AE123:AE124)</f>
        <v>0</v>
      </c>
      <c r="AG125" s="89" t="e">
        <f>SUM(AG123:AG124)</f>
        <v>#VALUE!</v>
      </c>
      <c r="AH125" s="84" t="str">
        <f>CONCATENATE("m'(",AD124,")=")</f>
        <v>m'(  )=</v>
      </c>
      <c r="AI125" s="84" t="e">
        <f>(2*(AI122^2)/6*AG125)+(AI124*AD123*WLS)</f>
        <v>#VALUE!</v>
      </c>
      <c r="AJ125" s="84" t="str">
        <f>CONCATENATE("M(",AD123,")=")</f>
        <v>M(  )=</v>
      </c>
      <c r="AK125" s="84" t="str">
        <f>VLOOKUP(AD123,STN_TABLE,4,FALSE)</f>
        <v xml:space="preserve"> </v>
      </c>
      <c r="AL125" t="str">
        <f>CONCATENATE("M(",AD124,")=")</f>
        <v>M(  )=</v>
      </c>
      <c r="AM125" t="e">
        <f>AI125+AK125</f>
        <v>#VALUE!</v>
      </c>
      <c r="AO125" s="82" t="str">
        <f>AA125</f>
        <v>M(  )=</v>
      </c>
      <c r="AP125" s="82" t="e">
        <f>VLOOKUP(AO125,Rise_Results,2,FALSE)</f>
        <v>#N/A</v>
      </c>
      <c r="AQ125" s="82" t="e">
        <f>N125</f>
        <v>#VALUE!</v>
      </c>
      <c r="AR125" s="82" t="e">
        <f>IF(OR(AB124&lt;=0,AB125&lt;=0),1/0,AB125)</f>
        <v>#VALUE!</v>
      </c>
      <c r="AS125" s="82" t="e">
        <f>AM125</f>
        <v>#VALUE!</v>
      </c>
      <c r="AT125" t="e">
        <f>IFERROR(AP125,IFERROR(AQ125,IFERROR(AR125,AS125)))</f>
        <v>#VALUE!</v>
      </c>
      <c r="AU125" s="81"/>
    </row>
    <row r="126" spans="1:47" x14ac:dyDescent="0.25">
      <c r="A126" s="101">
        <f>A121+1</f>
        <v>17</v>
      </c>
      <c r="B126" s="101" t="str">
        <f t="shared" si="48"/>
        <v xml:space="preserve">  </v>
      </c>
      <c r="O126" s="101">
        <f>O121+1</f>
        <v>19</v>
      </c>
      <c r="P126" s="101" t="str">
        <f t="shared" si="44"/>
        <v xml:space="preserve">  </v>
      </c>
      <c r="AU126" s="81"/>
    </row>
    <row r="127" spans="1:47" x14ac:dyDescent="0.25">
      <c r="A127" s="84">
        <f>A126+1</f>
        <v>18</v>
      </c>
      <c r="B127" s="84" t="str">
        <f t="shared" si="48"/>
        <v xml:space="preserve">  </v>
      </c>
      <c r="C127" s="79" t="e">
        <f t="shared" ref="C127" si="61">IF(C128=B129,IF(C129-C128=C128-B128,B128,IF(C129-C128=C128-B127,B127,"#NA")),IF(C128=B128,IF(C129-C128=C128-B127,B127,IF(C129-C128=C128-B126,B126,"#NA")),"#NA"))</f>
        <v>#VALUE!</v>
      </c>
      <c r="D127" s="68" t="e">
        <f>VLOOKUP(C127,STN_TABLE,2,FALSE)</f>
        <v>#VALUE!</v>
      </c>
      <c r="E127" s="102">
        <v>1</v>
      </c>
      <c r="F127" s="68" t="e">
        <f>D127*E127</f>
        <v>#VALUE!</v>
      </c>
      <c r="G127" s="69" t="e">
        <f>C127</f>
        <v>#VALUE!</v>
      </c>
      <c r="H127" s="69" t="e">
        <f>F127*G127</f>
        <v>#VALUE!</v>
      </c>
      <c r="I127" s="6" t="s">
        <v>93</v>
      </c>
      <c r="J127" s="70" t="e">
        <f>IF(OR(D127=0,D128=0,D129=0),"#NA",IF(AND(C129-C128=C128-C127,C128&lt;&gt;C129,C127&lt;&gt;C128,C127&lt;&gt;C129,D129&lt;&gt;0,OR(D127&lt;&gt;0,D128&lt;&gt;0)),WLS*(C129-C128),"#NA"))</f>
        <v>#VALUE!</v>
      </c>
      <c r="O127" s="99">
        <f>O126+1</f>
        <v>20</v>
      </c>
      <c r="P127" s="99" t="str">
        <f t="shared" si="44"/>
        <v xml:space="preserve">  </v>
      </c>
      <c r="Q127" s="68" t="e">
        <f>IF(OR(P129-P128=P128-P127,P130-P128=P128-P127),P127,IF(OR(P129-P128=P128-P126,P130-P128=P128-P126),P126,"-"))</f>
        <v>#VALUE!</v>
      </c>
      <c r="R127" s="69" t="e">
        <f>VLOOKUP(Q127,STN_TABLE,2,FALSE)</f>
        <v>#VALUE!</v>
      </c>
      <c r="S127" s="69">
        <v>5</v>
      </c>
      <c r="T127" s="68" t="e">
        <f>R127*S127</f>
        <v>#VALUE!</v>
      </c>
      <c r="U127" s="79">
        <v>3</v>
      </c>
      <c r="V127" s="68" t="e">
        <f>R127*U127</f>
        <v>#VALUE!</v>
      </c>
      <c r="W127" s="6" t="s">
        <v>93</v>
      </c>
      <c r="X127" s="70" t="e">
        <f>IF(AND(Q129-Q128=Q128-Q127,NOT(AND(Q127=0,Q128=0)),NOT(AND(Q128=0,Q129=0))),WLS*(Q129-Q128),"#NA")</f>
        <v>#VALUE!</v>
      </c>
      <c r="AD127" s="93"/>
      <c r="AH127" s="6" t="s">
        <v>93</v>
      </c>
      <c r="AI127" s="70" t="e">
        <f>WLS*(AD129-AD128)</f>
        <v>#VALUE!</v>
      </c>
      <c r="AU127" s="81"/>
    </row>
    <row r="128" spans="1:47" x14ac:dyDescent="0.25">
      <c r="A128" s="84">
        <f>A127+1</f>
        <v>19</v>
      </c>
      <c r="B128" s="84" t="str">
        <f t="shared" si="48"/>
        <v xml:space="preserve">  </v>
      </c>
      <c r="C128" s="80" t="e">
        <f t="shared" ref="C128" si="62">IF(OR(B130-B129=B129-B128,B130-B129=B129-B127,B130-B129=B129-B126),B129,IF(OR(B130-B128=B128-B127,B130-B128=B128-B126),B128,IF(B130-B127=B127-B126,B127,"#NA")))</f>
        <v>#VALUE!</v>
      </c>
      <c r="D128" s="76" t="e">
        <f>VLOOKUP(C128,STN_TABLE,2,FALSE)</f>
        <v>#VALUE!</v>
      </c>
      <c r="E128" s="81">
        <v>4</v>
      </c>
      <c r="F128" s="76" t="e">
        <f>D128*E128</f>
        <v>#VALUE!</v>
      </c>
      <c r="G128" s="77" t="e">
        <f>C128</f>
        <v>#VALUE!</v>
      </c>
      <c r="H128" s="77" t="e">
        <f>F128*G128</f>
        <v>#VALUE!</v>
      </c>
      <c r="I128" s="495" t="s">
        <v>97</v>
      </c>
      <c r="J128" s="496"/>
      <c r="K128" s="78" t="s">
        <v>98</v>
      </c>
      <c r="L128" s="78"/>
      <c r="M128" s="7" t="s">
        <v>99</v>
      </c>
      <c r="N128" s="7"/>
      <c r="O128" s="99">
        <f>O127+1</f>
        <v>21</v>
      </c>
      <c r="P128" s="99" t="str">
        <f t="shared" si="44"/>
        <v xml:space="preserve">  </v>
      </c>
      <c r="Q128" s="76" t="str">
        <f>P128</f>
        <v xml:space="preserve">  </v>
      </c>
      <c r="R128" s="77" t="str">
        <f>VLOOKUP(Q128,STN_TABLE,2,FALSE)</f>
        <v xml:space="preserve">  </v>
      </c>
      <c r="S128" s="77">
        <v>8</v>
      </c>
      <c r="T128" s="76" t="e">
        <f>R128*S128</f>
        <v>#VALUE!</v>
      </c>
      <c r="U128" s="80">
        <v>10</v>
      </c>
      <c r="V128" s="76" t="e">
        <f>R128*U128</f>
        <v>#VALUE!</v>
      </c>
      <c r="W128" s="496" t="s">
        <v>97</v>
      </c>
      <c r="X128" s="496"/>
      <c r="Y128" s="496" t="s">
        <v>98</v>
      </c>
      <c r="Z128" s="496"/>
      <c r="AA128" s="494" t="s">
        <v>99</v>
      </c>
      <c r="AB128" s="494"/>
      <c r="AC128" s="99">
        <f>AC123+1</f>
        <v>20</v>
      </c>
      <c r="AD128" s="95" t="str">
        <f>VLOOKUP(AC128,STN_TABLE_2,2,FALSE)</f>
        <v xml:space="preserve">  </v>
      </c>
      <c r="AE128" s="68" t="str">
        <f>VLOOKUP(AD128,STN_TABLE,2,FALSE)</f>
        <v xml:space="preserve">  </v>
      </c>
      <c r="AF128" s="68">
        <v>1</v>
      </c>
      <c r="AG128" s="69" t="e">
        <f>AE128*AF128</f>
        <v>#VALUE!</v>
      </c>
      <c r="AH128" s="496" t="s">
        <v>97</v>
      </c>
      <c r="AI128" s="496"/>
      <c r="AJ128" s="496" t="s">
        <v>98</v>
      </c>
      <c r="AK128" s="496"/>
      <c r="AL128" s="494" t="s">
        <v>99</v>
      </c>
      <c r="AM128" s="494"/>
      <c r="AP128" s="86" t="s">
        <v>112</v>
      </c>
      <c r="AQ128" s="89" t="s">
        <v>113</v>
      </c>
      <c r="AR128" s="89" t="s">
        <v>114</v>
      </c>
      <c r="AS128" s="89" t="s">
        <v>115</v>
      </c>
      <c r="AU128" s="81"/>
    </row>
    <row r="129" spans="1:47" x14ac:dyDescent="0.25">
      <c r="A129" s="84">
        <f>A128+1</f>
        <v>20</v>
      </c>
      <c r="B129" s="84" t="str">
        <f t="shared" si="48"/>
        <v xml:space="preserve">  </v>
      </c>
      <c r="C129" s="88" t="str">
        <f t="shared" ref="C129" si="63">B130</f>
        <v xml:space="preserve">  </v>
      </c>
      <c r="D129" s="82" t="str">
        <f>VLOOKUP(C129,STN_TABLE,2,FALSE)</f>
        <v xml:space="preserve">  </v>
      </c>
      <c r="E129" s="92">
        <v>1</v>
      </c>
      <c r="F129" s="82" t="e">
        <f>D129*E129</f>
        <v>#VALUE!</v>
      </c>
      <c r="G129" s="83" t="str">
        <f>C129</f>
        <v xml:space="preserve">  </v>
      </c>
      <c r="H129" s="83" t="e">
        <f>F129*G129</f>
        <v>#VALUE!</v>
      </c>
      <c r="I129" s="84" t="str">
        <f>CONCATENATE("a'(",C129,")=")</f>
        <v>a'(  )=</v>
      </c>
      <c r="J129" s="84" t="e">
        <f>2*J127/3*F130</f>
        <v>#VALUE!</v>
      </c>
      <c r="K129" s="84" t="e">
        <f>CONCATENATE("A(",C127,")=")</f>
        <v>#VALUE!</v>
      </c>
      <c r="L129" s="84" t="e">
        <f>VLOOKUP(C127,STN_TABLE,3,FALSE)</f>
        <v>#VALUE!</v>
      </c>
      <c r="M129" t="str">
        <f>CONCATENATE("A(",C129,")=")</f>
        <v>A(  )=</v>
      </c>
      <c r="N129" t="e">
        <f>J129+L129</f>
        <v>#VALUE!</v>
      </c>
      <c r="O129" s="99">
        <f>O128+1</f>
        <v>22</v>
      </c>
      <c r="P129" s="99" t="str">
        <f t="shared" si="44"/>
        <v xml:space="preserve">  </v>
      </c>
      <c r="Q129" s="82" t="e">
        <f>IF(P129-P128=P128-P127,P129,IF(P130-P128=P128-P127,P130,IF(P129-P128=P128-P126,P129,IF(P130-P128=P128-P126,P130,"-"))))</f>
        <v>#VALUE!</v>
      </c>
      <c r="R129" s="83" t="e">
        <f>VLOOKUP(Q129,STN_TABLE,2,FALSE)</f>
        <v>#VALUE!</v>
      </c>
      <c r="S129" s="83">
        <v>-1</v>
      </c>
      <c r="T129" s="82" t="e">
        <f>R129*S129</f>
        <v>#VALUE!</v>
      </c>
      <c r="U129" s="88">
        <v>-1</v>
      </c>
      <c r="V129" s="82" t="e">
        <f>R129*U129</f>
        <v>#VALUE!</v>
      </c>
      <c r="W129" s="84" t="str">
        <f>CONCATENATE("a'(",Q128,")=")</f>
        <v>a'(  )=</v>
      </c>
      <c r="X129" s="84" t="e">
        <f>2*X127/12*T130</f>
        <v>#VALUE!</v>
      </c>
      <c r="Y129" s="84" t="e">
        <f>CONCATENATE("A(",Q127,")=")</f>
        <v>#VALUE!</v>
      </c>
      <c r="Z129" s="84" t="e">
        <f>VLOOKUP(Q127,STN_TABLE,3,FALSE)</f>
        <v>#VALUE!</v>
      </c>
      <c r="AA129" t="str">
        <f>CONCATENATE("A(",Q128,")=")</f>
        <v>A(  )=</v>
      </c>
      <c r="AB129" t="e">
        <f>X129+Z129</f>
        <v>#VALUE!</v>
      </c>
      <c r="AC129" s="99">
        <f>AC128+1</f>
        <v>21</v>
      </c>
      <c r="AD129" s="100" t="str">
        <f>VLOOKUP(AC129,STN_TABLE_2,2,FALSE)</f>
        <v xml:space="preserve">  </v>
      </c>
      <c r="AE129" s="82" t="str">
        <f>VLOOKUP(AD129,STN_TABLE,2,FALSE)</f>
        <v xml:space="preserve">  </v>
      </c>
      <c r="AF129" s="82">
        <v>2</v>
      </c>
      <c r="AG129" s="83" t="e">
        <f>AE129*AF129</f>
        <v>#VALUE!</v>
      </c>
      <c r="AH129" s="84" t="str">
        <f>CONCATENATE("a'(",AD129,")=")</f>
        <v>a'(  )=</v>
      </c>
      <c r="AI129" s="84" t="e">
        <f>2*AI127/2*AE130</f>
        <v>#VALUE!</v>
      </c>
      <c r="AJ129" s="84" t="str">
        <f>CONCATENATE("A(",AD128,")=")</f>
        <v>A(  )=</v>
      </c>
      <c r="AK129" s="84" t="str">
        <f>VLOOKUP(AD128,STN_TABLE,3,FALSE)</f>
        <v xml:space="preserve"> </v>
      </c>
      <c r="AL129" t="str">
        <f>CONCATENATE("A(",AD129,")=")</f>
        <v>A(  )=</v>
      </c>
      <c r="AM129" t="e">
        <f>AI129+AK129</f>
        <v>#VALUE!</v>
      </c>
      <c r="AO129" s="68" t="str">
        <f>AA129</f>
        <v>A(  )=</v>
      </c>
      <c r="AP129" s="68" t="e">
        <f>VLOOKUP(AO129,Rise_Results,2,FALSE)</f>
        <v>#N/A</v>
      </c>
      <c r="AQ129" s="76" t="e">
        <f>N129</f>
        <v>#VALUE!</v>
      </c>
      <c r="AR129" s="76" t="e">
        <f>IF(OR(AB129&lt;=0,AB130&lt;=0),1/0,AB129)</f>
        <v>#VALUE!</v>
      </c>
      <c r="AS129" s="76" t="e">
        <f>AM129</f>
        <v>#VALUE!</v>
      </c>
      <c r="AT129" t="e">
        <f>IFERROR(AP129,IFERROR(AQ129,IFERROR(AR129,AS129)))</f>
        <v>#VALUE!</v>
      </c>
      <c r="AU129" s="81"/>
    </row>
    <row r="130" spans="1:47" x14ac:dyDescent="0.25">
      <c r="A130" s="84">
        <f>A129+1</f>
        <v>21</v>
      </c>
      <c r="B130" s="84" t="str">
        <f t="shared" si="48"/>
        <v xml:space="preserve">  </v>
      </c>
      <c r="F130" s="82" t="e">
        <f>SUM(F127:F129)</f>
        <v>#VALUE!</v>
      </c>
      <c r="H130" s="82" t="e">
        <f>SUM(H127:H129)</f>
        <v>#VALUE!</v>
      </c>
      <c r="I130" s="84" t="str">
        <f>CONCATENATE("m'(",C129,")=")</f>
        <v>m'(  )=</v>
      </c>
      <c r="J130" s="84" t="e">
        <f>2*(J127*(WLS))/3*H130</f>
        <v>#VALUE!</v>
      </c>
      <c r="K130" s="84" t="e">
        <f>CONCATENATE("M(",C127,")=")</f>
        <v>#VALUE!</v>
      </c>
      <c r="L130" s="84" t="e">
        <f>VLOOKUP(C127,STN_TABLE,4,FALSE)</f>
        <v>#VALUE!</v>
      </c>
      <c r="M130" t="str">
        <f>CONCATENATE("M(",C129,")=")</f>
        <v>M(  )=</v>
      </c>
      <c r="N130" t="e">
        <f>J130+L130</f>
        <v>#VALUE!</v>
      </c>
      <c r="O130" s="99">
        <f>O129+1</f>
        <v>23</v>
      </c>
      <c r="P130" s="99" t="str">
        <f t="shared" si="44"/>
        <v xml:space="preserve">  </v>
      </c>
      <c r="T130" s="89" t="e">
        <f>SUM(T127:T129)</f>
        <v>#VALUE!</v>
      </c>
      <c r="V130" s="82" t="e">
        <f>SUM(V127:V129)</f>
        <v>#VALUE!</v>
      </c>
      <c r="W130" s="84" t="str">
        <f>CONCATENATE("m'(",Q128,")=")</f>
        <v>m'(  )=</v>
      </c>
      <c r="X130" s="84" t="e">
        <f>(2*(X127^2)/24*V130)+(X129*Q127*WLS)</f>
        <v>#VALUE!</v>
      </c>
      <c r="Y130" s="84" t="e">
        <f>CONCATENATE("M(",Q127,")=")</f>
        <v>#VALUE!</v>
      </c>
      <c r="Z130" s="84" t="e">
        <f>VLOOKUP(Q127,STN_TABLE,4,FALSE)</f>
        <v>#VALUE!</v>
      </c>
      <c r="AA130" t="str">
        <f>CONCATENATE("M(",Q128,")=")</f>
        <v>M(  )=</v>
      </c>
      <c r="AB130" t="e">
        <f>X130+Z130</f>
        <v>#VALUE!</v>
      </c>
      <c r="AE130" s="89">
        <f>SUM(AE128:AE129)</f>
        <v>0</v>
      </c>
      <c r="AG130" s="89" t="e">
        <f>SUM(AG128:AG129)</f>
        <v>#VALUE!</v>
      </c>
      <c r="AH130" s="84" t="str">
        <f>CONCATENATE("m'(",AD129,")=")</f>
        <v>m'(  )=</v>
      </c>
      <c r="AI130" s="84" t="e">
        <f>(2*(AI127^2)/6*AG130)+(AI129*AD128*WLS)</f>
        <v>#VALUE!</v>
      </c>
      <c r="AJ130" s="84" t="str">
        <f>CONCATENATE("M(",AD128,")=")</f>
        <v>M(  )=</v>
      </c>
      <c r="AK130" s="84" t="str">
        <f>VLOOKUP(AD128,STN_TABLE,4,FALSE)</f>
        <v xml:space="preserve"> </v>
      </c>
      <c r="AL130" t="str">
        <f>CONCATENATE("M(",AD129,")=")</f>
        <v>M(  )=</v>
      </c>
      <c r="AM130" t="e">
        <f>AI130+AK130</f>
        <v>#VALUE!</v>
      </c>
      <c r="AO130" s="82" t="str">
        <f>AA130</f>
        <v>M(  )=</v>
      </c>
      <c r="AP130" s="82" t="e">
        <f>VLOOKUP(AO130,Rise_Results,2,FALSE)</f>
        <v>#N/A</v>
      </c>
      <c r="AQ130" s="82" t="e">
        <f>N130</f>
        <v>#VALUE!</v>
      </c>
      <c r="AR130" s="82" t="e">
        <f>IF(OR(AB129&lt;=0,AB130&lt;=0),1/0,AB130)</f>
        <v>#VALUE!</v>
      </c>
      <c r="AS130" s="82" t="e">
        <f>AM130</f>
        <v>#VALUE!</v>
      </c>
      <c r="AT130" t="e">
        <f>IFERROR(AP130,IFERROR(AQ130,IFERROR(AR130,AS130)))</f>
        <v>#VALUE!</v>
      </c>
      <c r="AU130" s="81"/>
    </row>
    <row r="131" spans="1:47" x14ac:dyDescent="0.25">
      <c r="A131" s="101">
        <f>A126+1</f>
        <v>18</v>
      </c>
      <c r="B131" s="101" t="str">
        <f t="shared" si="48"/>
        <v xml:space="preserve">  </v>
      </c>
      <c r="O131" s="101">
        <f>O126+1</f>
        <v>20</v>
      </c>
      <c r="P131" s="101" t="str">
        <f t="shared" si="44"/>
        <v xml:space="preserve">  </v>
      </c>
      <c r="AU131" s="81"/>
    </row>
    <row r="132" spans="1:47" x14ac:dyDescent="0.25">
      <c r="A132" s="84">
        <f>A131+1</f>
        <v>19</v>
      </c>
      <c r="B132" s="84" t="str">
        <f t="shared" si="48"/>
        <v xml:space="preserve">  </v>
      </c>
      <c r="C132" s="79" t="e">
        <f t="shared" ref="C132" si="64">IF(C133=B134,IF(C134-C133=C133-B133,B133,IF(C134-C133=C133-B132,B132,"#NA")),IF(C133=B133,IF(C134-C133=C133-B132,B132,IF(C134-C133=C133-B131,B131,"#NA")),"#NA"))</f>
        <v>#VALUE!</v>
      </c>
      <c r="D132" s="68" t="e">
        <f>VLOOKUP(C132,STN_TABLE,2,FALSE)</f>
        <v>#VALUE!</v>
      </c>
      <c r="E132" s="102">
        <v>1</v>
      </c>
      <c r="F132" s="68" t="e">
        <f>D132*E132</f>
        <v>#VALUE!</v>
      </c>
      <c r="G132" s="69" t="e">
        <f>C132</f>
        <v>#VALUE!</v>
      </c>
      <c r="H132" s="69" t="e">
        <f>F132*G132</f>
        <v>#VALUE!</v>
      </c>
      <c r="I132" s="6" t="s">
        <v>93</v>
      </c>
      <c r="J132" s="70" t="e">
        <f>IF(OR(D132=0,D133=0,D134=0),"#NA",IF(AND(C134-C133=C133-C132,C133&lt;&gt;C134,C132&lt;&gt;C133,C132&lt;&gt;C134,D134&lt;&gt;0,OR(D132&lt;&gt;0,D133&lt;&gt;0)),WLS*(C134-C133),"#NA"))</f>
        <v>#VALUE!</v>
      </c>
      <c r="O132" s="99">
        <f>O131+1</f>
        <v>21</v>
      </c>
      <c r="P132" s="99" t="str">
        <f t="shared" ref="P132:P150" si="65">VLOOKUP(O132,STN_TABLE_2,2,FALSE)</f>
        <v xml:space="preserve">  </v>
      </c>
      <c r="Q132" s="68" t="e">
        <f>IF(OR(P134-P133=P133-P132,P135-P133=P133-P132),P132,IF(OR(P134-P133=P133-P131,P135-P133=P133-P131),P131,"-"))</f>
        <v>#VALUE!</v>
      </c>
      <c r="R132" s="69" t="e">
        <f>VLOOKUP(Q132,STN_TABLE,2,FALSE)</f>
        <v>#VALUE!</v>
      </c>
      <c r="S132" s="69">
        <v>5</v>
      </c>
      <c r="T132" s="68" t="e">
        <f>R132*S132</f>
        <v>#VALUE!</v>
      </c>
      <c r="U132" s="79">
        <v>3</v>
      </c>
      <c r="V132" s="68" t="e">
        <f>R132*U132</f>
        <v>#VALUE!</v>
      </c>
      <c r="W132" s="6" t="s">
        <v>93</v>
      </c>
      <c r="X132" s="70" t="e">
        <f>IF(AND(Q134-Q133=Q133-Q132,NOT(AND(Q132=0,Q133=0)),NOT(AND(Q133=0,Q134=0))),WLS*(Q134-Q133),"#NA")</f>
        <v>#VALUE!</v>
      </c>
      <c r="AD132" s="93"/>
      <c r="AH132" s="6" t="s">
        <v>93</v>
      </c>
      <c r="AI132" s="70" t="e">
        <f>WLS*(AD134-AD133)</f>
        <v>#VALUE!</v>
      </c>
      <c r="AU132" s="81"/>
    </row>
    <row r="133" spans="1:47" x14ac:dyDescent="0.25">
      <c r="A133" s="84">
        <f>A132+1</f>
        <v>20</v>
      </c>
      <c r="B133" s="84" t="str">
        <f t="shared" si="48"/>
        <v xml:space="preserve">  </v>
      </c>
      <c r="C133" s="80" t="e">
        <f t="shared" ref="C133" si="66">IF(OR(B135-B134=B134-B133,B135-B134=B134-B132,B135-B134=B134-B131),B134,IF(OR(B135-B133=B133-B132,B135-B133=B133-B131),B133,IF(B135-B132=B132-B131,B132,"#NA")))</f>
        <v>#VALUE!</v>
      </c>
      <c r="D133" s="76" t="e">
        <f>VLOOKUP(C133,STN_TABLE,2,FALSE)</f>
        <v>#VALUE!</v>
      </c>
      <c r="E133" s="81">
        <v>4</v>
      </c>
      <c r="F133" s="76" t="e">
        <f>D133*E133</f>
        <v>#VALUE!</v>
      </c>
      <c r="G133" s="77" t="e">
        <f>C133</f>
        <v>#VALUE!</v>
      </c>
      <c r="H133" s="77" t="e">
        <f>F133*G133</f>
        <v>#VALUE!</v>
      </c>
      <c r="I133" s="495" t="s">
        <v>97</v>
      </c>
      <c r="J133" s="496"/>
      <c r="K133" s="78" t="s">
        <v>98</v>
      </c>
      <c r="L133" s="78"/>
      <c r="M133" s="7" t="s">
        <v>99</v>
      </c>
      <c r="N133" s="7"/>
      <c r="O133" s="99">
        <f>O132+1</f>
        <v>22</v>
      </c>
      <c r="P133" s="99" t="str">
        <f t="shared" si="65"/>
        <v xml:space="preserve">  </v>
      </c>
      <c r="Q133" s="76" t="str">
        <f>P133</f>
        <v xml:space="preserve">  </v>
      </c>
      <c r="R133" s="77" t="str">
        <f>VLOOKUP(Q133,STN_TABLE,2,FALSE)</f>
        <v xml:space="preserve">  </v>
      </c>
      <c r="S133" s="77">
        <v>8</v>
      </c>
      <c r="T133" s="76" t="e">
        <f>R133*S133</f>
        <v>#VALUE!</v>
      </c>
      <c r="U133" s="80">
        <v>10</v>
      </c>
      <c r="V133" s="76" t="e">
        <f>R133*U133</f>
        <v>#VALUE!</v>
      </c>
      <c r="W133" s="496" t="s">
        <v>97</v>
      </c>
      <c r="X133" s="496"/>
      <c r="Y133" s="496" t="s">
        <v>98</v>
      </c>
      <c r="Z133" s="496"/>
      <c r="AA133" s="494" t="s">
        <v>99</v>
      </c>
      <c r="AB133" s="494"/>
      <c r="AC133" s="99">
        <f>AC128+1</f>
        <v>21</v>
      </c>
      <c r="AD133" s="95" t="str">
        <f>VLOOKUP(AC133,STN_TABLE_2,2,FALSE)</f>
        <v xml:space="preserve">  </v>
      </c>
      <c r="AE133" s="68" t="str">
        <f>VLOOKUP(AD133,STN_TABLE,2,FALSE)</f>
        <v xml:space="preserve">  </v>
      </c>
      <c r="AF133" s="68">
        <v>1</v>
      </c>
      <c r="AG133" s="69" t="e">
        <f>AE133*AF133</f>
        <v>#VALUE!</v>
      </c>
      <c r="AH133" s="496" t="s">
        <v>97</v>
      </c>
      <c r="AI133" s="496"/>
      <c r="AJ133" s="496" t="s">
        <v>98</v>
      </c>
      <c r="AK133" s="496"/>
      <c r="AL133" s="494" t="s">
        <v>99</v>
      </c>
      <c r="AM133" s="494"/>
      <c r="AP133" s="86" t="s">
        <v>112</v>
      </c>
      <c r="AQ133" s="89" t="s">
        <v>113</v>
      </c>
      <c r="AR133" s="89" t="s">
        <v>114</v>
      </c>
      <c r="AS133" s="89" t="s">
        <v>115</v>
      </c>
      <c r="AU133" s="81"/>
    </row>
    <row r="134" spans="1:47" x14ac:dyDescent="0.25">
      <c r="A134" s="84">
        <f>A133+1</f>
        <v>21</v>
      </c>
      <c r="B134" s="84" t="str">
        <f t="shared" si="48"/>
        <v xml:space="preserve">  </v>
      </c>
      <c r="C134" s="88" t="str">
        <f t="shared" ref="C134" si="67">B135</f>
        <v xml:space="preserve">  </v>
      </c>
      <c r="D134" s="82" t="str">
        <f>VLOOKUP(C134,STN_TABLE,2,FALSE)</f>
        <v xml:space="preserve">  </v>
      </c>
      <c r="E134" s="92">
        <v>1</v>
      </c>
      <c r="F134" s="82" t="e">
        <f>D134*E134</f>
        <v>#VALUE!</v>
      </c>
      <c r="G134" s="83" t="str">
        <f>C134</f>
        <v xml:space="preserve">  </v>
      </c>
      <c r="H134" s="83" t="e">
        <f>F134*G134</f>
        <v>#VALUE!</v>
      </c>
      <c r="I134" s="84" t="str">
        <f>CONCATENATE("a'(",C134,")=")</f>
        <v>a'(  )=</v>
      </c>
      <c r="J134" s="84" t="e">
        <f>2*J132/3*F135</f>
        <v>#VALUE!</v>
      </c>
      <c r="K134" s="84" t="e">
        <f>CONCATENATE("A(",C132,")=")</f>
        <v>#VALUE!</v>
      </c>
      <c r="L134" s="84" t="e">
        <f>VLOOKUP(C132,STN_TABLE,3,FALSE)</f>
        <v>#VALUE!</v>
      </c>
      <c r="M134" t="str">
        <f>CONCATENATE("A(",C134,")=")</f>
        <v>A(  )=</v>
      </c>
      <c r="N134" t="e">
        <f>J134+L134</f>
        <v>#VALUE!</v>
      </c>
      <c r="O134" s="99">
        <f>O133+1</f>
        <v>23</v>
      </c>
      <c r="P134" s="99" t="str">
        <f t="shared" si="65"/>
        <v xml:space="preserve">  </v>
      </c>
      <c r="Q134" s="82" t="e">
        <f>IF(P134-P133=P133-P132,P134,IF(P135-P133=P133-P132,P135,IF(P134-P133=P133-P131,P134,IF(P135-P133=P133-P131,P135,"-"))))</f>
        <v>#VALUE!</v>
      </c>
      <c r="R134" s="83" t="e">
        <f>VLOOKUP(Q134,STN_TABLE,2,FALSE)</f>
        <v>#VALUE!</v>
      </c>
      <c r="S134" s="83">
        <v>-1</v>
      </c>
      <c r="T134" s="82" t="e">
        <f>R134*S134</f>
        <v>#VALUE!</v>
      </c>
      <c r="U134" s="88">
        <v>-1</v>
      </c>
      <c r="V134" s="82" t="e">
        <f>R134*U134</f>
        <v>#VALUE!</v>
      </c>
      <c r="W134" s="84" t="str">
        <f>CONCATENATE("a'(",Q133,")=")</f>
        <v>a'(  )=</v>
      </c>
      <c r="X134" s="84" t="e">
        <f>2*X132/12*T135</f>
        <v>#VALUE!</v>
      </c>
      <c r="Y134" s="84" t="e">
        <f>CONCATENATE("A(",Q132,")=")</f>
        <v>#VALUE!</v>
      </c>
      <c r="Z134" s="84" t="e">
        <f>VLOOKUP(Q132,STN_TABLE,3,FALSE)</f>
        <v>#VALUE!</v>
      </c>
      <c r="AA134" t="str">
        <f>CONCATENATE("A(",Q133,")=")</f>
        <v>A(  )=</v>
      </c>
      <c r="AB134" t="e">
        <f>X134+Z134</f>
        <v>#VALUE!</v>
      </c>
      <c r="AC134" s="99">
        <f>AC133+1</f>
        <v>22</v>
      </c>
      <c r="AD134" s="100" t="str">
        <f>VLOOKUP(AC134,STN_TABLE_2,2,FALSE)</f>
        <v xml:space="preserve">  </v>
      </c>
      <c r="AE134" s="82" t="str">
        <f>VLOOKUP(AD134,STN_TABLE,2,FALSE)</f>
        <v xml:space="preserve">  </v>
      </c>
      <c r="AF134" s="82">
        <v>2</v>
      </c>
      <c r="AG134" s="83" t="e">
        <f>AE134*AF134</f>
        <v>#VALUE!</v>
      </c>
      <c r="AH134" s="84" t="str">
        <f>CONCATENATE("a'(",AD134,")=")</f>
        <v>a'(  )=</v>
      </c>
      <c r="AI134" s="84" t="e">
        <f>2*AI132/2*AE135</f>
        <v>#VALUE!</v>
      </c>
      <c r="AJ134" s="84" t="str">
        <f>CONCATENATE("A(",AD133,")=")</f>
        <v>A(  )=</v>
      </c>
      <c r="AK134" s="84" t="str">
        <f>VLOOKUP(AD133,STN_TABLE,3,FALSE)</f>
        <v xml:space="preserve"> </v>
      </c>
      <c r="AL134" t="str">
        <f>CONCATENATE("A(",AD134,")=")</f>
        <v>A(  )=</v>
      </c>
      <c r="AM134" t="e">
        <f>AI134+AK134</f>
        <v>#VALUE!</v>
      </c>
      <c r="AO134" s="68" t="str">
        <f>AA134</f>
        <v>A(  )=</v>
      </c>
      <c r="AP134" s="68" t="e">
        <f>VLOOKUP(AO134,Rise_Results,2,FALSE)</f>
        <v>#N/A</v>
      </c>
      <c r="AQ134" s="76" t="e">
        <f>N134</f>
        <v>#VALUE!</v>
      </c>
      <c r="AR134" s="76" t="e">
        <f>IF(OR(AB134&lt;=0,AB135&lt;=0),1/0,AB134)</f>
        <v>#VALUE!</v>
      </c>
      <c r="AS134" s="76" t="e">
        <f>AM134</f>
        <v>#VALUE!</v>
      </c>
      <c r="AT134" t="e">
        <f>IFERROR(AP134,IFERROR(AQ134,IFERROR(AR134,AS134)))</f>
        <v>#VALUE!</v>
      </c>
      <c r="AU134" s="81"/>
    </row>
    <row r="135" spans="1:47" x14ac:dyDescent="0.25">
      <c r="A135" s="84">
        <f>A134+1</f>
        <v>22</v>
      </c>
      <c r="B135" s="84" t="str">
        <f t="shared" si="48"/>
        <v xml:space="preserve">  </v>
      </c>
      <c r="F135" s="82" t="e">
        <f>SUM(F132:F134)</f>
        <v>#VALUE!</v>
      </c>
      <c r="H135" s="82" t="e">
        <f>SUM(H132:H134)</f>
        <v>#VALUE!</v>
      </c>
      <c r="I135" s="84" t="str">
        <f>CONCATENATE("m'(",C134,")=")</f>
        <v>m'(  )=</v>
      </c>
      <c r="J135" s="84" t="e">
        <f>2*(J132*(WLS))/3*H135</f>
        <v>#VALUE!</v>
      </c>
      <c r="K135" s="84" t="e">
        <f>CONCATENATE("M(",C132,")=")</f>
        <v>#VALUE!</v>
      </c>
      <c r="L135" s="84" t="e">
        <f>VLOOKUP(C132,STN_TABLE,4,FALSE)</f>
        <v>#VALUE!</v>
      </c>
      <c r="M135" t="str">
        <f>CONCATENATE("M(",C134,")=")</f>
        <v>M(  )=</v>
      </c>
      <c r="N135" t="e">
        <f>J135+L135</f>
        <v>#VALUE!</v>
      </c>
      <c r="O135" s="99">
        <f>O134+1</f>
        <v>24</v>
      </c>
      <c r="P135" s="99" t="str">
        <f t="shared" si="65"/>
        <v xml:space="preserve">  </v>
      </c>
      <c r="T135" s="89" t="e">
        <f>SUM(T132:T134)</f>
        <v>#VALUE!</v>
      </c>
      <c r="V135" s="82" t="e">
        <f>SUM(V132:V134)</f>
        <v>#VALUE!</v>
      </c>
      <c r="W135" s="84" t="str">
        <f>CONCATENATE("m'(",Q133,")=")</f>
        <v>m'(  )=</v>
      </c>
      <c r="X135" s="84" t="e">
        <f>(2*(X132^2)/24*V135)+(X134*Q132*WLS)</f>
        <v>#VALUE!</v>
      </c>
      <c r="Y135" s="84" t="e">
        <f>CONCATENATE("M(",Q132,")=")</f>
        <v>#VALUE!</v>
      </c>
      <c r="Z135" s="84" t="e">
        <f>VLOOKUP(Q132,STN_TABLE,4,FALSE)</f>
        <v>#VALUE!</v>
      </c>
      <c r="AA135" t="str">
        <f>CONCATENATE("M(",Q133,")=")</f>
        <v>M(  )=</v>
      </c>
      <c r="AB135" t="e">
        <f>X135+Z135</f>
        <v>#VALUE!</v>
      </c>
      <c r="AE135" s="89">
        <f>SUM(AE133:AE134)</f>
        <v>0</v>
      </c>
      <c r="AG135" s="89" t="e">
        <f>SUM(AG133:AG134)</f>
        <v>#VALUE!</v>
      </c>
      <c r="AH135" s="84" t="str">
        <f>CONCATENATE("m'(",AD134,")=")</f>
        <v>m'(  )=</v>
      </c>
      <c r="AI135" s="84" t="e">
        <f>(2*(AI132^2)/6*AG135)+(AI134*AD133*WLS)</f>
        <v>#VALUE!</v>
      </c>
      <c r="AJ135" s="84" t="str">
        <f>CONCATENATE("M(",AD133,")=")</f>
        <v>M(  )=</v>
      </c>
      <c r="AK135" s="84" t="str">
        <f>VLOOKUP(AD133,STN_TABLE,4,FALSE)</f>
        <v xml:space="preserve"> </v>
      </c>
      <c r="AL135" t="str">
        <f>CONCATENATE("M(",AD134,")=")</f>
        <v>M(  )=</v>
      </c>
      <c r="AM135" t="e">
        <f>AI135+AK135</f>
        <v>#VALUE!</v>
      </c>
      <c r="AO135" s="82" t="str">
        <f>AA135</f>
        <v>M(  )=</v>
      </c>
      <c r="AP135" s="82" t="e">
        <f>VLOOKUP(AO135,Rise_Results,2,FALSE)</f>
        <v>#N/A</v>
      </c>
      <c r="AQ135" s="82" t="e">
        <f>N135</f>
        <v>#VALUE!</v>
      </c>
      <c r="AR135" s="82" t="e">
        <f>IF(OR(AB134&lt;=0,AB135&lt;=0),1/0,AB135)</f>
        <v>#VALUE!</v>
      </c>
      <c r="AS135" s="82" t="e">
        <f>AM135</f>
        <v>#VALUE!</v>
      </c>
      <c r="AT135" t="e">
        <f>IFERROR(AP135,IFERROR(AQ135,IFERROR(AR135,AS135)))</f>
        <v>#VALUE!</v>
      </c>
      <c r="AU135" s="81"/>
    </row>
    <row r="136" spans="1:47" x14ac:dyDescent="0.25">
      <c r="A136" s="101">
        <f>A131+1</f>
        <v>19</v>
      </c>
      <c r="B136" s="101" t="str">
        <f t="shared" si="48"/>
        <v xml:space="preserve">  </v>
      </c>
      <c r="O136" s="101">
        <f>O131+1</f>
        <v>21</v>
      </c>
      <c r="P136" s="101" t="str">
        <f t="shared" si="65"/>
        <v xml:space="preserve">  </v>
      </c>
      <c r="AU136" s="81"/>
    </row>
    <row r="137" spans="1:47" x14ac:dyDescent="0.25">
      <c r="A137" s="84">
        <f>A136+1</f>
        <v>20</v>
      </c>
      <c r="B137" s="84" t="str">
        <f t="shared" si="48"/>
        <v xml:space="preserve">  </v>
      </c>
      <c r="C137" s="79" t="e">
        <f t="shared" ref="C137" si="68">IF(C138=B139,IF(C139-C138=C138-B138,B138,IF(C139-C138=C138-B137,B137,"#NA")),IF(C138=B138,IF(C139-C138=C138-B137,B137,IF(C139-C138=C138-B136,B136,"#NA")),"#NA"))</f>
        <v>#VALUE!</v>
      </c>
      <c r="D137" s="68" t="e">
        <f>VLOOKUP(C137,STN_TABLE,2,FALSE)</f>
        <v>#VALUE!</v>
      </c>
      <c r="E137" s="102">
        <v>1</v>
      </c>
      <c r="F137" s="68" t="e">
        <f>D137*E137</f>
        <v>#VALUE!</v>
      </c>
      <c r="G137" s="69" t="e">
        <f>C137</f>
        <v>#VALUE!</v>
      </c>
      <c r="H137" s="69" t="e">
        <f>F137*G137</f>
        <v>#VALUE!</v>
      </c>
      <c r="I137" s="6" t="s">
        <v>93</v>
      </c>
      <c r="J137" s="70" t="e">
        <f>IF(OR(D137=0,D138=0,D139=0),"#NA",IF(AND(C139-C138=C138-C137,C138&lt;&gt;C139,C137&lt;&gt;C138,C137&lt;&gt;C139,D139&lt;&gt;0,OR(D137&lt;&gt;0,D138&lt;&gt;0)),WLS*(C139-C138),"#NA"))</f>
        <v>#VALUE!</v>
      </c>
      <c r="O137" s="99">
        <f>O136+1</f>
        <v>22</v>
      </c>
      <c r="P137" s="99" t="str">
        <f t="shared" si="65"/>
        <v xml:space="preserve">  </v>
      </c>
      <c r="Q137" s="68" t="e">
        <f>IF(OR(P139-P138=P138-P137,P140-P138=P138-P137),P137,IF(OR(P139-P138=P138-P136,P140-P138=P138-P136),P136,"-"))</f>
        <v>#VALUE!</v>
      </c>
      <c r="R137" s="69" t="e">
        <f>VLOOKUP(Q137,STN_TABLE,2,FALSE)</f>
        <v>#VALUE!</v>
      </c>
      <c r="S137" s="69">
        <v>5</v>
      </c>
      <c r="T137" s="68" t="e">
        <f>R137*S137</f>
        <v>#VALUE!</v>
      </c>
      <c r="U137" s="79">
        <v>3</v>
      </c>
      <c r="V137" s="68" t="e">
        <f>R137*U137</f>
        <v>#VALUE!</v>
      </c>
      <c r="W137" s="6" t="s">
        <v>93</v>
      </c>
      <c r="X137" s="70" t="e">
        <f>IF(AND(Q139-Q138=Q138-Q137,NOT(AND(Q137=0,Q138=0)),NOT(AND(Q138=0,Q139=0))),WLS*(Q139-Q138),"#NA")</f>
        <v>#VALUE!</v>
      </c>
      <c r="AD137" s="93"/>
      <c r="AH137" s="6" t="s">
        <v>93</v>
      </c>
      <c r="AI137" s="70" t="e">
        <f>WLS*(AD139-AD138)</f>
        <v>#VALUE!</v>
      </c>
      <c r="AU137" s="81"/>
    </row>
    <row r="138" spans="1:47" x14ac:dyDescent="0.25">
      <c r="A138" s="84">
        <f>A137+1</f>
        <v>21</v>
      </c>
      <c r="B138" s="84" t="str">
        <f t="shared" ref="B138:B150" si="69">VLOOKUP(A138,STN_TABLE_2,2,FALSE)</f>
        <v xml:space="preserve">  </v>
      </c>
      <c r="C138" s="80" t="e">
        <f t="shared" ref="C138" si="70">IF(OR(B140-B139=B139-B138,B140-B139=B139-B137,B140-B139=B139-B136),B139,IF(OR(B140-B138=B138-B137,B140-B138=B138-B136),B138,IF(B140-B137=B137-B136,B137,"#NA")))</f>
        <v>#VALUE!</v>
      </c>
      <c r="D138" s="76" t="e">
        <f>VLOOKUP(C138,STN_TABLE,2,FALSE)</f>
        <v>#VALUE!</v>
      </c>
      <c r="E138" s="81">
        <v>4</v>
      </c>
      <c r="F138" s="76" t="e">
        <f>D138*E138</f>
        <v>#VALUE!</v>
      </c>
      <c r="G138" s="77" t="e">
        <f>C138</f>
        <v>#VALUE!</v>
      </c>
      <c r="H138" s="77" t="e">
        <f>F138*G138</f>
        <v>#VALUE!</v>
      </c>
      <c r="I138" s="495" t="s">
        <v>97</v>
      </c>
      <c r="J138" s="496"/>
      <c r="K138" s="78" t="s">
        <v>98</v>
      </c>
      <c r="L138" s="78"/>
      <c r="M138" s="7" t="s">
        <v>99</v>
      </c>
      <c r="N138" s="7"/>
      <c r="O138" s="99">
        <f>O137+1</f>
        <v>23</v>
      </c>
      <c r="P138" s="99" t="str">
        <f t="shared" si="65"/>
        <v xml:space="preserve">  </v>
      </c>
      <c r="Q138" s="76" t="str">
        <f>P138</f>
        <v xml:space="preserve">  </v>
      </c>
      <c r="R138" s="77" t="str">
        <f>VLOOKUP(Q138,STN_TABLE,2,FALSE)</f>
        <v xml:space="preserve">  </v>
      </c>
      <c r="S138" s="77">
        <v>8</v>
      </c>
      <c r="T138" s="76" t="e">
        <f>R138*S138</f>
        <v>#VALUE!</v>
      </c>
      <c r="U138" s="80">
        <v>10</v>
      </c>
      <c r="V138" s="76" t="e">
        <f>R138*U138</f>
        <v>#VALUE!</v>
      </c>
      <c r="W138" s="496" t="s">
        <v>97</v>
      </c>
      <c r="X138" s="496"/>
      <c r="Y138" s="496" t="s">
        <v>98</v>
      </c>
      <c r="Z138" s="496"/>
      <c r="AA138" s="494" t="s">
        <v>99</v>
      </c>
      <c r="AB138" s="494"/>
      <c r="AC138" s="99">
        <f>AC133+1</f>
        <v>22</v>
      </c>
      <c r="AD138" s="95" t="str">
        <f>VLOOKUP(AC138,STN_TABLE_2,2,FALSE)</f>
        <v xml:space="preserve">  </v>
      </c>
      <c r="AE138" s="68" t="str">
        <f>VLOOKUP(AD138,STN_TABLE,2,FALSE)</f>
        <v xml:space="preserve">  </v>
      </c>
      <c r="AF138" s="68">
        <v>1</v>
      </c>
      <c r="AG138" s="69" t="e">
        <f>AE138*AF138</f>
        <v>#VALUE!</v>
      </c>
      <c r="AH138" s="496" t="s">
        <v>97</v>
      </c>
      <c r="AI138" s="496"/>
      <c r="AJ138" s="496" t="s">
        <v>98</v>
      </c>
      <c r="AK138" s="496"/>
      <c r="AL138" s="494" t="s">
        <v>99</v>
      </c>
      <c r="AM138" s="494"/>
      <c r="AP138" s="86" t="s">
        <v>112</v>
      </c>
      <c r="AQ138" s="89" t="s">
        <v>113</v>
      </c>
      <c r="AR138" s="89" t="s">
        <v>114</v>
      </c>
      <c r="AS138" s="89" t="s">
        <v>115</v>
      </c>
      <c r="AU138" s="81"/>
    </row>
    <row r="139" spans="1:47" x14ac:dyDescent="0.25">
      <c r="A139" s="84">
        <f>A138+1</f>
        <v>22</v>
      </c>
      <c r="B139" s="84" t="str">
        <f t="shared" si="69"/>
        <v xml:space="preserve">  </v>
      </c>
      <c r="C139" s="88" t="str">
        <f t="shared" ref="C139" si="71">B140</f>
        <v xml:space="preserve">  </v>
      </c>
      <c r="D139" s="82" t="str">
        <f>VLOOKUP(C139,STN_TABLE,2,FALSE)</f>
        <v xml:space="preserve">  </v>
      </c>
      <c r="E139" s="92">
        <v>1</v>
      </c>
      <c r="F139" s="82" t="e">
        <f>D139*E139</f>
        <v>#VALUE!</v>
      </c>
      <c r="G139" s="83" t="str">
        <f>C139</f>
        <v xml:space="preserve">  </v>
      </c>
      <c r="H139" s="83" t="e">
        <f>F139*G139</f>
        <v>#VALUE!</v>
      </c>
      <c r="I139" s="84" t="str">
        <f>CONCATENATE("a'(",C139,")=")</f>
        <v>a'(  )=</v>
      </c>
      <c r="J139" s="84" t="e">
        <f>2*J137/3*F140</f>
        <v>#VALUE!</v>
      </c>
      <c r="K139" s="84" t="e">
        <f>CONCATENATE("A(",C137,")=")</f>
        <v>#VALUE!</v>
      </c>
      <c r="L139" s="84" t="e">
        <f>VLOOKUP(C137,STN_TABLE,3,FALSE)</f>
        <v>#VALUE!</v>
      </c>
      <c r="M139" t="str">
        <f>CONCATENATE("A(",C139,")=")</f>
        <v>A(  )=</v>
      </c>
      <c r="N139" t="e">
        <f>J139+L139</f>
        <v>#VALUE!</v>
      </c>
      <c r="O139" s="99">
        <f>O138+1</f>
        <v>24</v>
      </c>
      <c r="P139" s="99" t="str">
        <f t="shared" si="65"/>
        <v xml:space="preserve">  </v>
      </c>
      <c r="Q139" s="82" t="e">
        <f>IF(P139-P138=P138-P137,P139,IF(P140-P138=P138-P137,P140,IF(P139-P138=P138-P136,P139,IF(P140-P138=P138-P136,P140,"-"))))</f>
        <v>#VALUE!</v>
      </c>
      <c r="R139" s="83" t="e">
        <f>VLOOKUP(Q139,STN_TABLE,2,FALSE)</f>
        <v>#VALUE!</v>
      </c>
      <c r="S139" s="83">
        <v>-1</v>
      </c>
      <c r="T139" s="82" t="e">
        <f>R139*S139</f>
        <v>#VALUE!</v>
      </c>
      <c r="U139" s="88">
        <v>-1</v>
      </c>
      <c r="V139" s="82" t="e">
        <f>R139*U139</f>
        <v>#VALUE!</v>
      </c>
      <c r="W139" s="84" t="str">
        <f>CONCATENATE("a'(",Q138,")=")</f>
        <v>a'(  )=</v>
      </c>
      <c r="X139" s="84" t="e">
        <f>2*X137/12*T140</f>
        <v>#VALUE!</v>
      </c>
      <c r="Y139" s="84" t="e">
        <f>CONCATENATE("A(",Q137,")=")</f>
        <v>#VALUE!</v>
      </c>
      <c r="Z139" s="84" t="e">
        <f>VLOOKUP(Q137,STN_TABLE,3,FALSE)</f>
        <v>#VALUE!</v>
      </c>
      <c r="AA139" t="str">
        <f>CONCATENATE("A(",Q138,")=")</f>
        <v>A(  )=</v>
      </c>
      <c r="AB139" t="e">
        <f>X139+Z139</f>
        <v>#VALUE!</v>
      </c>
      <c r="AC139" s="99">
        <f>AC138+1</f>
        <v>23</v>
      </c>
      <c r="AD139" s="100" t="str">
        <f>VLOOKUP(AC139,STN_TABLE_2,2,FALSE)</f>
        <v xml:space="preserve">  </v>
      </c>
      <c r="AE139" s="82" t="str">
        <f>VLOOKUP(AD139,STN_TABLE,2,FALSE)</f>
        <v xml:space="preserve">  </v>
      </c>
      <c r="AF139" s="82">
        <v>2</v>
      </c>
      <c r="AG139" s="83" t="e">
        <f>AE139*AF139</f>
        <v>#VALUE!</v>
      </c>
      <c r="AH139" s="84" t="str">
        <f>CONCATENATE("a'(",AD139,")=")</f>
        <v>a'(  )=</v>
      </c>
      <c r="AI139" s="84" t="e">
        <f>2*AI137/2*AE140</f>
        <v>#VALUE!</v>
      </c>
      <c r="AJ139" s="84" t="str">
        <f>CONCATENATE("A(",AD138,")=")</f>
        <v>A(  )=</v>
      </c>
      <c r="AK139" s="84" t="str">
        <f>VLOOKUP(AD138,STN_TABLE,3,FALSE)</f>
        <v xml:space="preserve"> </v>
      </c>
      <c r="AL139" t="str">
        <f>CONCATENATE("A(",AD139,")=")</f>
        <v>A(  )=</v>
      </c>
      <c r="AM139" t="e">
        <f>AI139+AK139</f>
        <v>#VALUE!</v>
      </c>
      <c r="AO139" s="68" t="str">
        <f>AA139</f>
        <v>A(  )=</v>
      </c>
      <c r="AP139" s="68" t="e">
        <f>VLOOKUP(AO139,Rise_Results,2,FALSE)</f>
        <v>#N/A</v>
      </c>
      <c r="AQ139" s="76" t="e">
        <f>N139</f>
        <v>#VALUE!</v>
      </c>
      <c r="AR139" s="76" t="e">
        <f>IF(OR(AB139&lt;=0,AB140&lt;=0),1/0,AB139)</f>
        <v>#VALUE!</v>
      </c>
      <c r="AS139" s="76" t="e">
        <f>AM139</f>
        <v>#VALUE!</v>
      </c>
      <c r="AT139" t="e">
        <f>IFERROR(AP139,IFERROR(AQ139,IFERROR(AR139,AS139)))</f>
        <v>#VALUE!</v>
      </c>
      <c r="AU139" s="81"/>
    </row>
    <row r="140" spans="1:47" x14ac:dyDescent="0.25">
      <c r="A140" s="84">
        <f>A139+1</f>
        <v>23</v>
      </c>
      <c r="B140" s="84" t="str">
        <f t="shared" si="69"/>
        <v xml:space="preserve">  </v>
      </c>
      <c r="F140" s="82" t="e">
        <f>SUM(F137:F139)</f>
        <v>#VALUE!</v>
      </c>
      <c r="H140" s="82" t="e">
        <f>SUM(H137:H139)</f>
        <v>#VALUE!</v>
      </c>
      <c r="I140" s="84" t="str">
        <f>CONCATENATE("m'(",C139,")=")</f>
        <v>m'(  )=</v>
      </c>
      <c r="J140" s="84" t="e">
        <f>2*(J137*(WLS))/3*H140</f>
        <v>#VALUE!</v>
      </c>
      <c r="K140" s="84" t="e">
        <f>CONCATENATE("M(",C137,")=")</f>
        <v>#VALUE!</v>
      </c>
      <c r="L140" s="84" t="e">
        <f>VLOOKUP(C137,STN_TABLE,4,FALSE)</f>
        <v>#VALUE!</v>
      </c>
      <c r="M140" t="str">
        <f>CONCATENATE("M(",C139,")=")</f>
        <v>M(  )=</v>
      </c>
      <c r="N140" t="e">
        <f>J140+L140</f>
        <v>#VALUE!</v>
      </c>
      <c r="O140" s="99">
        <f>O139+1</f>
        <v>25</v>
      </c>
      <c r="P140" s="99" t="str">
        <f t="shared" si="65"/>
        <v xml:space="preserve">  </v>
      </c>
      <c r="T140" s="89" t="e">
        <f>SUM(T137:T139)</f>
        <v>#VALUE!</v>
      </c>
      <c r="V140" s="82" t="e">
        <f>SUM(V137:V139)</f>
        <v>#VALUE!</v>
      </c>
      <c r="W140" s="84" t="str">
        <f>CONCATENATE("m'(",Q138,")=")</f>
        <v>m'(  )=</v>
      </c>
      <c r="X140" s="84" t="e">
        <f>(2*(X137^2)/24*V140)+(X139*Q137*WLS)</f>
        <v>#VALUE!</v>
      </c>
      <c r="Y140" s="84" t="e">
        <f>CONCATENATE("M(",Q137,")=")</f>
        <v>#VALUE!</v>
      </c>
      <c r="Z140" s="84" t="e">
        <f>VLOOKUP(Q137,STN_TABLE,4,FALSE)</f>
        <v>#VALUE!</v>
      </c>
      <c r="AA140" t="str">
        <f>CONCATENATE("M(",Q138,")=")</f>
        <v>M(  )=</v>
      </c>
      <c r="AB140" t="e">
        <f>X140+Z140</f>
        <v>#VALUE!</v>
      </c>
      <c r="AE140" s="89">
        <f>SUM(AE138:AE139)</f>
        <v>0</v>
      </c>
      <c r="AG140" s="89" t="e">
        <f>SUM(AG138:AG139)</f>
        <v>#VALUE!</v>
      </c>
      <c r="AH140" s="84" t="str">
        <f>CONCATENATE("m'(",AD139,")=")</f>
        <v>m'(  )=</v>
      </c>
      <c r="AI140" s="84" t="e">
        <f>(2*(AI137^2)/6*AG140)+(AI139*AD138*WLS)</f>
        <v>#VALUE!</v>
      </c>
      <c r="AJ140" s="84" t="str">
        <f>CONCATENATE("M(",AD138,")=")</f>
        <v>M(  )=</v>
      </c>
      <c r="AK140" s="84" t="str">
        <f>VLOOKUP(AD138,STN_TABLE,4,FALSE)</f>
        <v xml:space="preserve"> </v>
      </c>
      <c r="AL140" t="str">
        <f>CONCATENATE("M(",AD139,")=")</f>
        <v>M(  )=</v>
      </c>
      <c r="AM140" t="e">
        <f>AI140+AK140</f>
        <v>#VALUE!</v>
      </c>
      <c r="AO140" s="82" t="str">
        <f>AA140</f>
        <v>M(  )=</v>
      </c>
      <c r="AP140" s="82" t="e">
        <f>VLOOKUP(AO140,Rise_Results,2,FALSE)</f>
        <v>#N/A</v>
      </c>
      <c r="AQ140" s="82" t="e">
        <f>N140</f>
        <v>#VALUE!</v>
      </c>
      <c r="AR140" s="82" t="e">
        <f>IF(OR(AB139&lt;=0,AB140&lt;=0),1/0,AB140)</f>
        <v>#VALUE!</v>
      </c>
      <c r="AS140" s="82" t="e">
        <f>AM140</f>
        <v>#VALUE!</v>
      </c>
      <c r="AT140" t="e">
        <f>IFERROR(AP140,IFERROR(AQ140,IFERROR(AR140,AS140)))</f>
        <v>#VALUE!</v>
      </c>
      <c r="AU140" s="81"/>
    </row>
    <row r="141" spans="1:47" x14ac:dyDescent="0.25">
      <c r="A141" s="101">
        <f>A136+1</f>
        <v>20</v>
      </c>
      <c r="B141" s="101" t="str">
        <f t="shared" si="69"/>
        <v xml:space="preserve">  </v>
      </c>
      <c r="O141" s="101">
        <f>O136+1</f>
        <v>22</v>
      </c>
      <c r="P141" s="101" t="str">
        <f t="shared" si="65"/>
        <v xml:space="preserve">  </v>
      </c>
      <c r="AU141" s="81"/>
    </row>
    <row r="142" spans="1:47" x14ac:dyDescent="0.25">
      <c r="A142" s="84">
        <f>A141+1</f>
        <v>21</v>
      </c>
      <c r="B142" s="84" t="str">
        <f t="shared" si="69"/>
        <v xml:space="preserve">  </v>
      </c>
      <c r="C142" s="79" t="e">
        <f t="shared" ref="C142" si="72">IF(C143=B144,IF(C144-C143=C143-B143,B143,IF(C144-C143=C143-B142,B142,"#NA")),IF(C143=B143,IF(C144-C143=C143-B142,B142,IF(C144-C143=C143-B141,B141,"#NA")),"#NA"))</f>
        <v>#VALUE!</v>
      </c>
      <c r="D142" s="68" t="e">
        <f>VLOOKUP(C142,STN_TABLE,2,FALSE)</f>
        <v>#VALUE!</v>
      </c>
      <c r="E142" s="102">
        <v>1</v>
      </c>
      <c r="F142" s="68" t="e">
        <f>D142*E142</f>
        <v>#VALUE!</v>
      </c>
      <c r="G142" s="69" t="e">
        <f>C142</f>
        <v>#VALUE!</v>
      </c>
      <c r="H142" s="69" t="e">
        <f>F142*G142</f>
        <v>#VALUE!</v>
      </c>
      <c r="I142" s="6" t="s">
        <v>93</v>
      </c>
      <c r="J142" s="70" t="e">
        <f>IF(OR(D142=0,D143=0,D144=0),"#NA",IF(AND(C144-C143=C143-C142,C143&lt;&gt;C144,C142&lt;&gt;C143,C142&lt;&gt;C144,D144&lt;&gt;0,OR(D142&lt;&gt;0,D143&lt;&gt;0)),WLS*(C144-C143),"#NA"))</f>
        <v>#VALUE!</v>
      </c>
      <c r="O142" s="99">
        <f>O141+1</f>
        <v>23</v>
      </c>
      <c r="P142" s="99" t="str">
        <f t="shared" si="65"/>
        <v xml:space="preserve">  </v>
      </c>
      <c r="Q142" s="68" t="e">
        <f>IF(OR(P144-P143=P143-P142,P145-P143=P143-P142),P142,IF(OR(P144-P143=P143-P141,P145-P143=P143-P141),P141,"-"))</f>
        <v>#VALUE!</v>
      </c>
      <c r="R142" s="69" t="e">
        <f>VLOOKUP(Q142,STN_TABLE,2,FALSE)</f>
        <v>#VALUE!</v>
      </c>
      <c r="S142" s="69">
        <v>5</v>
      </c>
      <c r="T142" s="68" t="e">
        <f>R142*S142</f>
        <v>#VALUE!</v>
      </c>
      <c r="U142" s="79">
        <v>3</v>
      </c>
      <c r="V142" s="68" t="e">
        <f>R142*U142</f>
        <v>#VALUE!</v>
      </c>
      <c r="W142" s="6" t="s">
        <v>93</v>
      </c>
      <c r="X142" s="70" t="e">
        <f>IF(AND(Q144-Q143=Q143-Q142,NOT(AND(Q142=0,Q143=0)),NOT(AND(Q143=0,Q144=0))),WLS*(Q144-Q143),"#NA")</f>
        <v>#VALUE!</v>
      </c>
      <c r="AD142" s="93"/>
      <c r="AH142" s="6" t="s">
        <v>93</v>
      </c>
      <c r="AI142" s="70" t="e">
        <f>WLS*(AD144-AD143)</f>
        <v>#VALUE!</v>
      </c>
      <c r="AU142" s="81"/>
    </row>
    <row r="143" spans="1:47" x14ac:dyDescent="0.25">
      <c r="A143" s="84">
        <f>A142+1</f>
        <v>22</v>
      </c>
      <c r="B143" s="84" t="str">
        <f t="shared" si="69"/>
        <v xml:space="preserve">  </v>
      </c>
      <c r="C143" s="80" t="e">
        <f t="shared" ref="C143" si="73">IF(OR(B145-B144=B144-B143,B145-B144=B144-B142,B145-B144=B144-B141),B144,IF(OR(B145-B143=B143-B142,B145-B143=B143-B141),B143,IF(B145-B142=B142-B141,B142,"#NA")))</f>
        <v>#VALUE!</v>
      </c>
      <c r="D143" s="76" t="e">
        <f>VLOOKUP(C143,STN_TABLE,2,FALSE)</f>
        <v>#VALUE!</v>
      </c>
      <c r="E143" s="81">
        <v>4</v>
      </c>
      <c r="F143" s="76" t="e">
        <f>D143*E143</f>
        <v>#VALUE!</v>
      </c>
      <c r="G143" s="77" t="e">
        <f>C143</f>
        <v>#VALUE!</v>
      </c>
      <c r="H143" s="77" t="e">
        <f>F143*G143</f>
        <v>#VALUE!</v>
      </c>
      <c r="I143" s="495" t="s">
        <v>97</v>
      </c>
      <c r="J143" s="496"/>
      <c r="K143" s="78" t="s">
        <v>98</v>
      </c>
      <c r="L143" s="78"/>
      <c r="M143" s="7" t="s">
        <v>99</v>
      </c>
      <c r="N143" s="7"/>
      <c r="O143" s="99">
        <f>O142+1</f>
        <v>24</v>
      </c>
      <c r="P143" s="99" t="str">
        <f t="shared" si="65"/>
        <v xml:space="preserve">  </v>
      </c>
      <c r="Q143" s="76" t="str">
        <f>P143</f>
        <v xml:space="preserve">  </v>
      </c>
      <c r="R143" s="77" t="str">
        <f>VLOOKUP(Q143,STN_TABLE,2,FALSE)</f>
        <v xml:space="preserve">  </v>
      </c>
      <c r="S143" s="77">
        <v>8</v>
      </c>
      <c r="T143" s="76" t="e">
        <f>R143*S143</f>
        <v>#VALUE!</v>
      </c>
      <c r="U143" s="80">
        <v>10</v>
      </c>
      <c r="V143" s="76" t="e">
        <f>R143*U143</f>
        <v>#VALUE!</v>
      </c>
      <c r="W143" s="496" t="s">
        <v>97</v>
      </c>
      <c r="X143" s="496"/>
      <c r="Y143" s="496" t="s">
        <v>98</v>
      </c>
      <c r="Z143" s="496"/>
      <c r="AA143" s="494" t="s">
        <v>99</v>
      </c>
      <c r="AB143" s="494"/>
      <c r="AC143" s="99">
        <f>AC138+1</f>
        <v>23</v>
      </c>
      <c r="AD143" s="95" t="str">
        <f>VLOOKUP(AC143,STN_TABLE_2,2,FALSE)</f>
        <v xml:space="preserve">  </v>
      </c>
      <c r="AE143" s="68" t="str">
        <f>VLOOKUP(AD143,STN_TABLE,2,FALSE)</f>
        <v xml:space="preserve">  </v>
      </c>
      <c r="AF143" s="68">
        <v>1</v>
      </c>
      <c r="AG143" s="69" t="e">
        <f>AE143*AF143</f>
        <v>#VALUE!</v>
      </c>
      <c r="AH143" s="496" t="s">
        <v>97</v>
      </c>
      <c r="AI143" s="496"/>
      <c r="AJ143" s="496" t="s">
        <v>98</v>
      </c>
      <c r="AK143" s="496"/>
      <c r="AL143" s="494" t="s">
        <v>99</v>
      </c>
      <c r="AM143" s="494"/>
      <c r="AP143" s="86" t="s">
        <v>112</v>
      </c>
      <c r="AQ143" s="89" t="s">
        <v>113</v>
      </c>
      <c r="AR143" s="89" t="s">
        <v>114</v>
      </c>
      <c r="AS143" s="89" t="s">
        <v>115</v>
      </c>
      <c r="AU143" s="81"/>
    </row>
    <row r="144" spans="1:47" x14ac:dyDescent="0.25">
      <c r="A144" s="84">
        <f>A143+1</f>
        <v>23</v>
      </c>
      <c r="B144" s="84" t="str">
        <f t="shared" si="69"/>
        <v xml:space="preserve">  </v>
      </c>
      <c r="C144" s="88" t="str">
        <f t="shared" ref="C144" si="74">B145</f>
        <v xml:space="preserve">  </v>
      </c>
      <c r="D144" s="82" t="str">
        <f>VLOOKUP(C144,STN_TABLE,2,FALSE)</f>
        <v xml:space="preserve">  </v>
      </c>
      <c r="E144" s="92">
        <v>1</v>
      </c>
      <c r="F144" s="82" t="e">
        <f>D144*E144</f>
        <v>#VALUE!</v>
      </c>
      <c r="G144" s="83" t="str">
        <f>C144</f>
        <v xml:space="preserve">  </v>
      </c>
      <c r="H144" s="83" t="e">
        <f>F144*G144</f>
        <v>#VALUE!</v>
      </c>
      <c r="I144" s="84" t="str">
        <f>CONCATENATE("a'(",C144,")=")</f>
        <v>a'(  )=</v>
      </c>
      <c r="J144" s="84" t="e">
        <f>2*J142/3*F145</f>
        <v>#VALUE!</v>
      </c>
      <c r="K144" s="84" t="e">
        <f>CONCATENATE("A(",C142,")=")</f>
        <v>#VALUE!</v>
      </c>
      <c r="L144" s="84" t="e">
        <f>VLOOKUP(C142,STN_TABLE,3,FALSE)</f>
        <v>#VALUE!</v>
      </c>
      <c r="M144" t="str">
        <f>CONCATENATE("A(",C144,")=")</f>
        <v>A(  )=</v>
      </c>
      <c r="N144" t="e">
        <f>J144+L144</f>
        <v>#VALUE!</v>
      </c>
      <c r="O144" s="99">
        <f>O143+1</f>
        <v>25</v>
      </c>
      <c r="P144" s="99" t="str">
        <f t="shared" si="65"/>
        <v xml:space="preserve">  </v>
      </c>
      <c r="Q144" s="82" t="e">
        <f>IF(P144-P143=P143-P142,P144,IF(P145-P143=P143-P142,P145,IF(P144-P143=P143-P141,P144,IF(P145-P143=P143-P141,P145,"-"))))</f>
        <v>#VALUE!</v>
      </c>
      <c r="R144" s="83" t="e">
        <f>VLOOKUP(Q144,STN_TABLE,2,FALSE)</f>
        <v>#VALUE!</v>
      </c>
      <c r="S144" s="83">
        <v>-1</v>
      </c>
      <c r="T144" s="82" t="e">
        <f>R144*S144</f>
        <v>#VALUE!</v>
      </c>
      <c r="U144" s="88">
        <v>-1</v>
      </c>
      <c r="V144" s="82" t="e">
        <f>R144*U144</f>
        <v>#VALUE!</v>
      </c>
      <c r="W144" s="84" t="str">
        <f>CONCATENATE("a'(",Q143,")=")</f>
        <v>a'(  )=</v>
      </c>
      <c r="X144" s="84" t="e">
        <f>2*X142/12*T145</f>
        <v>#VALUE!</v>
      </c>
      <c r="Y144" s="84" t="e">
        <f>CONCATENATE("A(",Q142,")=")</f>
        <v>#VALUE!</v>
      </c>
      <c r="Z144" s="84" t="e">
        <f>VLOOKUP(Q142,STN_TABLE,3,FALSE)</f>
        <v>#VALUE!</v>
      </c>
      <c r="AA144" t="str">
        <f>CONCATENATE("A(",Q143,")=")</f>
        <v>A(  )=</v>
      </c>
      <c r="AB144" t="e">
        <f>X144+Z144</f>
        <v>#VALUE!</v>
      </c>
      <c r="AC144" s="99">
        <f>AC143+1</f>
        <v>24</v>
      </c>
      <c r="AD144" s="100" t="str">
        <f>VLOOKUP(AC144,STN_TABLE_2,2,FALSE)</f>
        <v xml:space="preserve">  </v>
      </c>
      <c r="AE144" s="82" t="str">
        <f>VLOOKUP(AD144,STN_TABLE,2,FALSE)</f>
        <v xml:space="preserve">  </v>
      </c>
      <c r="AF144" s="82">
        <v>2</v>
      </c>
      <c r="AG144" s="83" t="e">
        <f>AE144*AF144</f>
        <v>#VALUE!</v>
      </c>
      <c r="AH144" s="84" t="str">
        <f>CONCATENATE("a'(",AD144,")=")</f>
        <v>a'(  )=</v>
      </c>
      <c r="AI144" s="84" t="e">
        <f>2*AI142/2*AE145</f>
        <v>#VALUE!</v>
      </c>
      <c r="AJ144" s="84" t="str">
        <f>CONCATENATE("A(",AD143,")=")</f>
        <v>A(  )=</v>
      </c>
      <c r="AK144" s="84" t="str">
        <f>VLOOKUP(AD143,STN_TABLE,3,FALSE)</f>
        <v xml:space="preserve"> </v>
      </c>
      <c r="AL144" t="str">
        <f>CONCATENATE("A(",AD144,")=")</f>
        <v>A(  )=</v>
      </c>
      <c r="AM144" t="e">
        <f>AI144+AK144</f>
        <v>#VALUE!</v>
      </c>
      <c r="AO144" s="68" t="str">
        <f>AA144</f>
        <v>A(  )=</v>
      </c>
      <c r="AP144" s="68" t="e">
        <f>VLOOKUP(AO144,Rise_Results,2,FALSE)</f>
        <v>#N/A</v>
      </c>
      <c r="AQ144" s="76" t="e">
        <f>N144</f>
        <v>#VALUE!</v>
      </c>
      <c r="AR144" s="76" t="e">
        <f>IF(OR(AB144&lt;=0,AB145&lt;=0),1/0,AB144)</f>
        <v>#VALUE!</v>
      </c>
      <c r="AS144" s="76" t="e">
        <f>AM144</f>
        <v>#VALUE!</v>
      </c>
      <c r="AT144" t="e">
        <f>IFERROR(AP144,IFERROR(AQ144,IFERROR(AR144,AS144)))</f>
        <v>#VALUE!</v>
      </c>
      <c r="AU144" s="81"/>
    </row>
    <row r="145" spans="1:47" x14ac:dyDescent="0.25">
      <c r="A145" s="84">
        <f>A144+1</f>
        <v>24</v>
      </c>
      <c r="B145" s="84" t="str">
        <f t="shared" si="69"/>
        <v xml:space="preserve">  </v>
      </c>
      <c r="F145" s="82" t="e">
        <f>SUM(F142:F144)</f>
        <v>#VALUE!</v>
      </c>
      <c r="H145" s="82" t="e">
        <f>SUM(H142:H144)</f>
        <v>#VALUE!</v>
      </c>
      <c r="I145" s="84" t="str">
        <f>CONCATENATE("m'(",C144,")=")</f>
        <v>m'(  )=</v>
      </c>
      <c r="J145" s="84" t="e">
        <f>2*(J142*(WLS))/3*H145</f>
        <v>#VALUE!</v>
      </c>
      <c r="K145" s="84" t="e">
        <f>CONCATENATE("M(",C142,")=")</f>
        <v>#VALUE!</v>
      </c>
      <c r="L145" s="84" t="e">
        <f>VLOOKUP(C142,STN_TABLE,4,FALSE)</f>
        <v>#VALUE!</v>
      </c>
      <c r="M145" t="str">
        <f>CONCATENATE("M(",C144,")=")</f>
        <v>M(  )=</v>
      </c>
      <c r="N145" t="e">
        <f>J145+L145</f>
        <v>#VALUE!</v>
      </c>
      <c r="O145" s="99">
        <f>O144+1</f>
        <v>26</v>
      </c>
      <c r="P145" s="99" t="e">
        <f t="shared" si="65"/>
        <v>#N/A</v>
      </c>
      <c r="T145" s="89" t="e">
        <f>SUM(T142:T144)</f>
        <v>#VALUE!</v>
      </c>
      <c r="V145" s="82" t="e">
        <f>SUM(V142:V144)</f>
        <v>#VALUE!</v>
      </c>
      <c r="W145" s="84" t="str">
        <f>CONCATENATE("m'(",Q143,")=")</f>
        <v>m'(  )=</v>
      </c>
      <c r="X145" s="84" t="e">
        <f>(2*(X142^2)/24*V145)+(X144*Q142*WLS)</f>
        <v>#VALUE!</v>
      </c>
      <c r="Y145" s="84" t="e">
        <f>CONCATENATE("M(",Q142,")=")</f>
        <v>#VALUE!</v>
      </c>
      <c r="Z145" s="84" t="e">
        <f>VLOOKUP(Q142,STN_TABLE,4,FALSE)</f>
        <v>#VALUE!</v>
      </c>
      <c r="AA145" t="str">
        <f>CONCATENATE("M(",Q143,")=")</f>
        <v>M(  )=</v>
      </c>
      <c r="AB145" t="e">
        <f>X145+Z145</f>
        <v>#VALUE!</v>
      </c>
      <c r="AE145" s="89">
        <f>SUM(AE143:AE144)</f>
        <v>0</v>
      </c>
      <c r="AG145" s="89" t="e">
        <f>SUM(AG143:AG144)</f>
        <v>#VALUE!</v>
      </c>
      <c r="AH145" s="84" t="str">
        <f>CONCATENATE("m'(",AD144,")=")</f>
        <v>m'(  )=</v>
      </c>
      <c r="AI145" s="84" t="e">
        <f>(2*(AI142^2)/6*AG145)+(AI144*AD143*WLS)</f>
        <v>#VALUE!</v>
      </c>
      <c r="AJ145" s="84" t="str">
        <f>CONCATENATE("M(",AD143,")=")</f>
        <v>M(  )=</v>
      </c>
      <c r="AK145" s="84" t="str">
        <f>VLOOKUP(AD143,STN_TABLE,4,FALSE)</f>
        <v xml:space="preserve"> </v>
      </c>
      <c r="AL145" t="str">
        <f>CONCATENATE("M(",AD144,")=")</f>
        <v>M(  )=</v>
      </c>
      <c r="AM145" t="e">
        <f>AI145+AK145</f>
        <v>#VALUE!</v>
      </c>
      <c r="AO145" s="82" t="str">
        <f>AA145</f>
        <v>M(  )=</v>
      </c>
      <c r="AP145" s="82" t="e">
        <f>VLOOKUP(AO145,Rise_Results,2,FALSE)</f>
        <v>#N/A</v>
      </c>
      <c r="AQ145" s="82" t="e">
        <f>N145</f>
        <v>#VALUE!</v>
      </c>
      <c r="AR145" s="82" t="e">
        <f>IF(OR(AB144&lt;=0,AB145&lt;=0),1/0,AB145)</f>
        <v>#VALUE!</v>
      </c>
      <c r="AS145" s="82" t="e">
        <f>AM145</f>
        <v>#VALUE!</v>
      </c>
      <c r="AT145" t="e">
        <f>IFERROR(AP145,IFERROR(AQ145,IFERROR(AR145,AS145)))</f>
        <v>#VALUE!</v>
      </c>
      <c r="AU145" s="81"/>
    </row>
    <row r="146" spans="1:47" x14ac:dyDescent="0.25">
      <c r="A146" s="101">
        <f>A141+1</f>
        <v>21</v>
      </c>
      <c r="B146" s="101" t="str">
        <f t="shared" si="69"/>
        <v xml:space="preserve">  </v>
      </c>
      <c r="O146" s="101">
        <f>O141+1</f>
        <v>23</v>
      </c>
      <c r="P146" s="101" t="str">
        <f t="shared" si="65"/>
        <v xml:space="preserve">  </v>
      </c>
      <c r="AU146" s="81"/>
    </row>
    <row r="147" spans="1:47" x14ac:dyDescent="0.25">
      <c r="A147" s="84">
        <f>A146+1</f>
        <v>22</v>
      </c>
      <c r="B147" s="84" t="str">
        <f t="shared" si="69"/>
        <v xml:space="preserve">  </v>
      </c>
      <c r="C147" s="79" t="e">
        <f t="shared" ref="C147" si="75">IF(C148=B149,IF(C149-C148=C148-B148,B148,IF(C149-C148=C148-B147,B147,"#NA")),IF(C148=B148,IF(C149-C148=C148-B147,B147,IF(C149-C148=C148-B146,B146,"#NA")),"#NA"))</f>
        <v>#VALUE!</v>
      </c>
      <c r="D147" s="68" t="e">
        <f>VLOOKUP(C147,STN_TABLE,2,FALSE)</f>
        <v>#VALUE!</v>
      </c>
      <c r="E147" s="102">
        <v>1</v>
      </c>
      <c r="F147" s="68" t="e">
        <f>D147*E147</f>
        <v>#VALUE!</v>
      </c>
      <c r="G147" s="69" t="e">
        <f>C147</f>
        <v>#VALUE!</v>
      </c>
      <c r="H147" s="69" t="e">
        <f>F147*G147</f>
        <v>#VALUE!</v>
      </c>
      <c r="I147" s="6" t="s">
        <v>93</v>
      </c>
      <c r="J147" s="70" t="e">
        <f>IF(OR(D147=0,D148=0,D149=0),"#NA",IF(AND(C149-C148=C148-C147,C148&lt;&gt;C149,C147&lt;&gt;C148,C147&lt;&gt;C149,D149&lt;&gt;0,OR(D147&lt;&gt;0,D148&lt;&gt;0)),WLS*(C149-C148),"#NA"))</f>
        <v>#VALUE!</v>
      </c>
      <c r="O147" s="99">
        <f>O146+1</f>
        <v>24</v>
      </c>
      <c r="P147" s="99" t="str">
        <f t="shared" si="65"/>
        <v xml:space="preserve">  </v>
      </c>
      <c r="Q147" s="68" t="e">
        <f>IF(OR(P149-P148=P148-P147,P150-P148=P148-P147),P147,IF(OR(P149-P148=P148-P146,P150-P148=P148-P146),P146,"-"))</f>
        <v>#N/A</v>
      </c>
      <c r="R147" s="69" t="e">
        <f>VLOOKUP(Q147,STN_TABLE,2,FALSE)</f>
        <v>#N/A</v>
      </c>
      <c r="S147" s="69">
        <v>5</v>
      </c>
      <c r="T147" s="68" t="e">
        <f>R147*S147</f>
        <v>#N/A</v>
      </c>
      <c r="U147" s="79">
        <v>3</v>
      </c>
      <c r="V147" s="68" t="e">
        <f>R147*U147</f>
        <v>#N/A</v>
      </c>
      <c r="W147" s="6" t="s">
        <v>93</v>
      </c>
      <c r="X147" s="70" t="e">
        <f>IF(AND(Q149-Q148=Q148-Q147,NOT(AND(Q147=0,Q148=0)),NOT(AND(Q148=0,Q149=0))),WLS*(Q149-Q148),"#NA")</f>
        <v>#N/A</v>
      </c>
      <c r="AD147" s="93"/>
      <c r="AH147" s="6" t="s">
        <v>93</v>
      </c>
      <c r="AI147" s="70" t="e">
        <f>WLS*(AD149-AD148)</f>
        <v>#VALUE!</v>
      </c>
      <c r="AU147" s="81"/>
    </row>
    <row r="148" spans="1:47" x14ac:dyDescent="0.25">
      <c r="A148" s="84">
        <f>A147+1</f>
        <v>23</v>
      </c>
      <c r="B148" s="84" t="str">
        <f t="shared" si="69"/>
        <v xml:space="preserve">  </v>
      </c>
      <c r="C148" s="80" t="e">
        <f t="shared" ref="C148" si="76">IF(OR(B150-B149=B149-B148,B150-B149=B149-B147,B150-B149=B149-B146),B149,IF(OR(B150-B148=B148-B147,B150-B148=B148-B146),B148,IF(B150-B147=B147-B146,B147,"#NA")))</f>
        <v>#VALUE!</v>
      </c>
      <c r="D148" s="76" t="e">
        <f>VLOOKUP(C148,STN_TABLE,2,FALSE)</f>
        <v>#VALUE!</v>
      </c>
      <c r="E148" s="81">
        <v>4</v>
      </c>
      <c r="F148" s="76" t="e">
        <f>D148*E148</f>
        <v>#VALUE!</v>
      </c>
      <c r="G148" s="77" t="e">
        <f>C148</f>
        <v>#VALUE!</v>
      </c>
      <c r="H148" s="77" t="e">
        <f>F148*G148</f>
        <v>#VALUE!</v>
      </c>
      <c r="I148" s="495" t="s">
        <v>97</v>
      </c>
      <c r="J148" s="496"/>
      <c r="K148" s="78" t="s">
        <v>98</v>
      </c>
      <c r="L148" s="78"/>
      <c r="M148" s="7" t="s">
        <v>99</v>
      </c>
      <c r="N148" s="7"/>
      <c r="O148" s="99">
        <f>O147+1</f>
        <v>25</v>
      </c>
      <c r="P148" s="99" t="str">
        <f t="shared" si="65"/>
        <v xml:space="preserve">  </v>
      </c>
      <c r="Q148" s="76" t="str">
        <f>P148</f>
        <v xml:space="preserve">  </v>
      </c>
      <c r="R148" s="77" t="str">
        <f>VLOOKUP(Q148,STN_TABLE,2,FALSE)</f>
        <v xml:space="preserve">  </v>
      </c>
      <c r="S148" s="77">
        <v>8</v>
      </c>
      <c r="T148" s="76" t="e">
        <f>R148*S148</f>
        <v>#VALUE!</v>
      </c>
      <c r="U148" s="80">
        <v>10</v>
      </c>
      <c r="V148" s="76" t="e">
        <f>R148*U148</f>
        <v>#VALUE!</v>
      </c>
      <c r="W148" s="496" t="s">
        <v>97</v>
      </c>
      <c r="X148" s="496"/>
      <c r="Y148" s="496" t="s">
        <v>98</v>
      </c>
      <c r="Z148" s="496"/>
      <c r="AA148" s="494" t="s">
        <v>99</v>
      </c>
      <c r="AB148" s="494"/>
      <c r="AC148" s="99">
        <f>AC143+1</f>
        <v>24</v>
      </c>
      <c r="AD148" s="95" t="str">
        <f>VLOOKUP(AC148,STN_TABLE_2,2,FALSE)</f>
        <v xml:space="preserve">  </v>
      </c>
      <c r="AE148" s="68" t="str">
        <f>VLOOKUP(AD148,STN_TABLE,2,FALSE)</f>
        <v xml:space="preserve">  </v>
      </c>
      <c r="AF148" s="68">
        <v>1</v>
      </c>
      <c r="AG148" s="69" t="e">
        <f>AE148*AF148</f>
        <v>#VALUE!</v>
      </c>
      <c r="AH148" s="496" t="s">
        <v>97</v>
      </c>
      <c r="AI148" s="496"/>
      <c r="AJ148" s="496" t="s">
        <v>98</v>
      </c>
      <c r="AK148" s="496"/>
      <c r="AL148" s="494" t="s">
        <v>99</v>
      </c>
      <c r="AM148" s="494"/>
      <c r="AP148" s="86" t="s">
        <v>112</v>
      </c>
      <c r="AQ148" s="89" t="s">
        <v>113</v>
      </c>
      <c r="AR148" s="89" t="s">
        <v>114</v>
      </c>
      <c r="AS148" s="89" t="s">
        <v>115</v>
      </c>
      <c r="AU148" s="81"/>
    </row>
    <row r="149" spans="1:47" x14ac:dyDescent="0.25">
      <c r="A149" s="84">
        <f>A148+1</f>
        <v>24</v>
      </c>
      <c r="B149" s="84" t="str">
        <f t="shared" si="69"/>
        <v xml:space="preserve">  </v>
      </c>
      <c r="C149" s="88" t="str">
        <f t="shared" ref="C149" si="77">B150</f>
        <v xml:space="preserve">  </v>
      </c>
      <c r="D149" s="82" t="str">
        <f>VLOOKUP(C149,STN_TABLE,2,FALSE)</f>
        <v xml:space="preserve">  </v>
      </c>
      <c r="E149" s="92">
        <v>1</v>
      </c>
      <c r="F149" s="82" t="e">
        <f>D149*E149</f>
        <v>#VALUE!</v>
      </c>
      <c r="G149" s="83" t="str">
        <f>C149</f>
        <v xml:space="preserve">  </v>
      </c>
      <c r="H149" s="83" t="e">
        <f>F149*G149</f>
        <v>#VALUE!</v>
      </c>
      <c r="I149" s="84" t="str">
        <f>CONCATENATE("a'(",C149,")=")</f>
        <v>a'(  )=</v>
      </c>
      <c r="J149" s="84" t="e">
        <f>2*J147/3*F150</f>
        <v>#VALUE!</v>
      </c>
      <c r="K149" s="84" t="e">
        <f>CONCATENATE("A(",C147,")=")</f>
        <v>#VALUE!</v>
      </c>
      <c r="L149" s="84" t="e">
        <f>VLOOKUP(C147,STN_TABLE,3,FALSE)</f>
        <v>#VALUE!</v>
      </c>
      <c r="M149" t="str">
        <f>CONCATENATE("A(",C149,")=")</f>
        <v>A(  )=</v>
      </c>
      <c r="N149" t="e">
        <f>J149+L149</f>
        <v>#VALUE!</v>
      </c>
      <c r="O149" s="99">
        <f>O148+1</f>
        <v>26</v>
      </c>
      <c r="P149" s="99" t="e">
        <f t="shared" si="65"/>
        <v>#N/A</v>
      </c>
      <c r="Q149" s="82" t="e">
        <f>IF(P149-P148=P148-P147,P149,IF(P150-P148=P148-P147,P150,IF(P149-P148=P148-P146,P149,IF(P150-P148=P148-P146,P150,"-"))))</f>
        <v>#N/A</v>
      </c>
      <c r="R149" s="83" t="e">
        <f>VLOOKUP(Q149,STN_TABLE,2,FALSE)</f>
        <v>#N/A</v>
      </c>
      <c r="S149" s="83">
        <v>-1</v>
      </c>
      <c r="T149" s="82" t="e">
        <f>R149*S149</f>
        <v>#N/A</v>
      </c>
      <c r="U149" s="88">
        <v>-1</v>
      </c>
      <c r="V149" s="82" t="e">
        <f>R149*U149</f>
        <v>#N/A</v>
      </c>
      <c r="W149" s="84" t="str">
        <f>CONCATENATE("a'(",Q148,")=")</f>
        <v>a'(  )=</v>
      </c>
      <c r="X149" s="84" t="e">
        <f>2*X147/12*T150</f>
        <v>#N/A</v>
      </c>
      <c r="Y149" s="84" t="e">
        <f>CONCATENATE("A(",Q147,")=")</f>
        <v>#N/A</v>
      </c>
      <c r="Z149" s="84" t="e">
        <f>VLOOKUP(Q147,STN_TABLE,3,FALSE)</f>
        <v>#N/A</v>
      </c>
      <c r="AA149" t="str">
        <f>CONCATENATE("A(",Q148,")=")</f>
        <v>A(  )=</v>
      </c>
      <c r="AB149" t="e">
        <f>X149+Z149</f>
        <v>#N/A</v>
      </c>
      <c r="AC149" s="99">
        <f>AC148+1</f>
        <v>25</v>
      </c>
      <c r="AD149" s="100" t="str">
        <f>VLOOKUP(AC149,STN_TABLE_2,2,FALSE)</f>
        <v xml:space="preserve">  </v>
      </c>
      <c r="AE149" s="82" t="str">
        <f>VLOOKUP(AD149,STN_TABLE,2,FALSE)</f>
        <v xml:space="preserve">  </v>
      </c>
      <c r="AF149" s="82">
        <v>2</v>
      </c>
      <c r="AG149" s="83" t="e">
        <f>AE149*AF149</f>
        <v>#VALUE!</v>
      </c>
      <c r="AH149" s="84" t="str">
        <f>CONCATENATE("a'(",AD149,")=")</f>
        <v>a'(  )=</v>
      </c>
      <c r="AI149" s="84" t="e">
        <f>2*AI147/2*AE150</f>
        <v>#VALUE!</v>
      </c>
      <c r="AJ149" s="84" t="str">
        <f>CONCATENATE("A(",AD148,")=")</f>
        <v>A(  )=</v>
      </c>
      <c r="AK149" s="84" t="str">
        <f>VLOOKUP(AD148,STN_TABLE,3,FALSE)</f>
        <v xml:space="preserve"> </v>
      </c>
      <c r="AL149" t="str">
        <f>CONCATENATE("A(",AD149,")=")</f>
        <v>A(  )=</v>
      </c>
      <c r="AM149" t="e">
        <f>AI149+AK149</f>
        <v>#VALUE!</v>
      </c>
      <c r="AO149" s="68" t="str">
        <f>AA149</f>
        <v>A(  )=</v>
      </c>
      <c r="AP149" s="68" t="e">
        <f>VLOOKUP(AO149,Rise_Results,2,FALSE)</f>
        <v>#N/A</v>
      </c>
      <c r="AQ149" s="76" t="e">
        <f>N149</f>
        <v>#VALUE!</v>
      </c>
      <c r="AR149" s="76" t="e">
        <f>IF(OR(AB149&lt;=0,AB150&lt;=0),1/0,AB149)</f>
        <v>#N/A</v>
      </c>
      <c r="AS149" s="76" t="e">
        <f>AM149</f>
        <v>#VALUE!</v>
      </c>
      <c r="AT149" t="e">
        <f>IFERROR(AP149,IFERROR(AQ149,IFERROR(AR149,AS149)))</f>
        <v>#VALUE!</v>
      </c>
      <c r="AU149" s="81"/>
    </row>
    <row r="150" spans="1:47" x14ac:dyDescent="0.25">
      <c r="A150" s="84">
        <f>A149+1</f>
        <v>25</v>
      </c>
      <c r="B150" s="84" t="str">
        <f t="shared" si="69"/>
        <v xml:space="preserve">  </v>
      </c>
      <c r="F150" s="82" t="e">
        <f>SUM(F147:F149)</f>
        <v>#VALUE!</v>
      </c>
      <c r="H150" s="82" t="e">
        <f>SUM(H147:H149)</f>
        <v>#VALUE!</v>
      </c>
      <c r="I150" s="84" t="str">
        <f>CONCATENATE("m'(",C149,")=")</f>
        <v>m'(  )=</v>
      </c>
      <c r="J150" s="84" t="e">
        <f>2*(J147*(WLS))/3*H150</f>
        <v>#VALUE!</v>
      </c>
      <c r="K150" s="84" t="e">
        <f>CONCATENATE("M(",C147,")=")</f>
        <v>#VALUE!</v>
      </c>
      <c r="L150" s="84" t="e">
        <f>VLOOKUP(C147,STN_TABLE,4,FALSE)</f>
        <v>#VALUE!</v>
      </c>
      <c r="M150" t="str">
        <f>CONCATENATE("M(",C149,")=")</f>
        <v>M(  )=</v>
      </c>
      <c r="N150" t="e">
        <f>J150+L150</f>
        <v>#VALUE!</v>
      </c>
      <c r="O150" s="99">
        <f>O149+1</f>
        <v>27</v>
      </c>
      <c r="P150" s="99" t="e">
        <f t="shared" si="65"/>
        <v>#N/A</v>
      </c>
      <c r="T150" s="89" t="e">
        <f>SUM(T147:T149)</f>
        <v>#N/A</v>
      </c>
      <c r="V150" s="82" t="e">
        <f>SUM(V147:V149)</f>
        <v>#N/A</v>
      </c>
      <c r="W150" s="84" t="str">
        <f>CONCATENATE("m'(",Q148,")=")</f>
        <v>m'(  )=</v>
      </c>
      <c r="X150" s="84" t="e">
        <f>(2*(X147^2)/24*V150)+(X149*Q147*WLS)</f>
        <v>#N/A</v>
      </c>
      <c r="Y150" s="84" t="e">
        <f>CONCATENATE("M(",Q147,")=")</f>
        <v>#N/A</v>
      </c>
      <c r="Z150" s="84" t="e">
        <f>VLOOKUP(Q147,STN_TABLE,4,FALSE)</f>
        <v>#N/A</v>
      </c>
      <c r="AA150" t="str">
        <f>CONCATENATE("M(",Q148,")=")</f>
        <v>M(  )=</v>
      </c>
      <c r="AB150" t="e">
        <f>X150+Z150</f>
        <v>#N/A</v>
      </c>
      <c r="AE150" s="89">
        <f>SUM(AE148:AE149)</f>
        <v>0</v>
      </c>
      <c r="AG150" s="89" t="e">
        <f>SUM(AG148:AG149)</f>
        <v>#VALUE!</v>
      </c>
      <c r="AH150" s="84" t="str">
        <f>CONCATENATE("m'(",AD149,")=")</f>
        <v>m'(  )=</v>
      </c>
      <c r="AI150" s="84" t="e">
        <f>(2*(AI147^2)/6*AG150)+(AI149*AD148*WLS)</f>
        <v>#VALUE!</v>
      </c>
      <c r="AJ150" s="84" t="str">
        <f>CONCATENATE("M(",AD148,")=")</f>
        <v>M(  )=</v>
      </c>
      <c r="AK150" s="84" t="str">
        <f>VLOOKUP(AD148,STN_TABLE,4,FALSE)</f>
        <v xml:space="preserve"> </v>
      </c>
      <c r="AL150" t="str">
        <f>CONCATENATE("M(",AD149,")=")</f>
        <v>M(  )=</v>
      </c>
      <c r="AM150" t="e">
        <f>AI150+AK150</f>
        <v>#VALUE!</v>
      </c>
      <c r="AO150" s="82" t="str">
        <f>AA150</f>
        <v>M(  )=</v>
      </c>
      <c r="AP150" s="82" t="e">
        <f>VLOOKUP(AO150,Rise_Results,2,FALSE)</f>
        <v>#N/A</v>
      </c>
      <c r="AQ150" s="82" t="e">
        <f>N150</f>
        <v>#VALUE!</v>
      </c>
      <c r="AR150" s="82" t="e">
        <f>IF(OR(AB149&lt;=0,AB150&lt;=0),1/0,AB150)</f>
        <v>#N/A</v>
      </c>
      <c r="AS150" s="82" t="e">
        <f>AM150</f>
        <v>#VALUE!</v>
      </c>
      <c r="AT150" t="e">
        <f>IFERROR(AP150,IFERROR(AQ150,IFERROR(AR150,AS150)))</f>
        <v>#VALUE!</v>
      </c>
      <c r="AU150" s="81"/>
    </row>
    <row r="151" spans="1:47" x14ac:dyDescent="0.25">
      <c r="A151" s="101"/>
      <c r="B151" s="101"/>
      <c r="AU151" s="81"/>
    </row>
    <row r="152" spans="1:47" x14ac:dyDescent="0.25">
      <c r="A152" s="84"/>
      <c r="B152" s="84"/>
      <c r="E152" s="81"/>
      <c r="F152" s="81"/>
      <c r="G152" s="81"/>
      <c r="H152" s="81"/>
      <c r="I152" s="103"/>
      <c r="J152" s="70"/>
      <c r="AU152" s="81"/>
    </row>
    <row r="153" spans="1:47" x14ac:dyDescent="0.25">
      <c r="A153" s="84"/>
      <c r="B153" s="84"/>
      <c r="E153" s="81"/>
      <c r="F153" s="81"/>
      <c r="G153" s="81"/>
      <c r="H153" s="81"/>
      <c r="I153" s="104"/>
      <c r="J153" s="78"/>
      <c r="K153" s="78"/>
      <c r="L153" s="78"/>
      <c r="M153" s="7"/>
      <c r="N153" s="7"/>
      <c r="AO153" s="81"/>
      <c r="AP153" s="81"/>
      <c r="AQ153" s="81"/>
      <c r="AR153" s="81"/>
      <c r="AS153" s="81"/>
      <c r="AT153" s="81"/>
      <c r="AU153" s="81"/>
    </row>
    <row r="154" spans="1:47" x14ac:dyDescent="0.25">
      <c r="A154" s="84"/>
      <c r="B154" s="84"/>
      <c r="E154" s="81"/>
      <c r="F154" s="81"/>
      <c r="G154" s="81"/>
      <c r="H154" s="81"/>
      <c r="I154" s="105"/>
      <c r="J154" s="84"/>
      <c r="K154" s="84"/>
      <c r="L154" s="84"/>
      <c r="AO154" s="81"/>
      <c r="AP154" s="81"/>
      <c r="AQ154" s="81"/>
      <c r="AR154" s="81"/>
      <c r="AS154" s="81"/>
      <c r="AT154" s="81"/>
      <c r="AU154" s="81"/>
    </row>
    <row r="155" spans="1:47" x14ac:dyDescent="0.25">
      <c r="A155" s="84"/>
      <c r="B155" s="84"/>
      <c r="E155" s="81"/>
      <c r="F155" s="81"/>
      <c r="G155" s="81"/>
      <c r="H155" s="81"/>
      <c r="I155" s="105"/>
      <c r="J155" s="84"/>
      <c r="K155" s="84"/>
      <c r="L155" s="84"/>
      <c r="AO155" s="81"/>
      <c r="AP155" s="81"/>
      <c r="AQ155" s="81"/>
      <c r="AR155" s="81"/>
      <c r="AS155" s="81"/>
      <c r="AT155" s="81"/>
      <c r="AU155" s="81"/>
    </row>
    <row r="156" spans="1:47" x14ac:dyDescent="0.25">
      <c r="A156" s="101"/>
      <c r="B156" s="101"/>
      <c r="E156" s="81"/>
      <c r="F156" s="81"/>
      <c r="G156" s="81"/>
      <c r="H156" s="81"/>
      <c r="I156" s="81"/>
      <c r="AO156" s="81"/>
      <c r="AP156" s="81"/>
      <c r="AQ156" s="81"/>
      <c r="AR156" s="81"/>
      <c r="AS156" s="81"/>
      <c r="AT156" s="81"/>
      <c r="AU156" s="81"/>
    </row>
    <row r="157" spans="1:47" x14ac:dyDescent="0.25">
      <c r="A157" s="84"/>
      <c r="B157" s="84"/>
      <c r="E157" s="81"/>
      <c r="F157" s="81"/>
      <c r="G157" s="81"/>
      <c r="H157" s="81"/>
      <c r="I157" s="103"/>
      <c r="J157" s="70"/>
      <c r="AO157" s="81"/>
      <c r="AP157" s="81"/>
      <c r="AQ157" s="81"/>
      <c r="AR157" s="81"/>
      <c r="AS157" s="81"/>
      <c r="AT157" s="81"/>
      <c r="AU157" s="81"/>
    </row>
    <row r="158" spans="1:47" x14ac:dyDescent="0.25">
      <c r="A158" s="84"/>
      <c r="B158" s="84"/>
      <c r="E158" s="81"/>
      <c r="F158" s="81"/>
      <c r="G158" s="81"/>
      <c r="H158" s="81"/>
      <c r="I158" s="104"/>
      <c r="J158" s="78"/>
      <c r="K158" s="78"/>
      <c r="L158" s="78"/>
      <c r="M158" s="7"/>
      <c r="N158" s="7"/>
      <c r="AO158" s="81"/>
      <c r="AP158" s="81"/>
      <c r="AQ158" s="81"/>
      <c r="AR158" s="81"/>
      <c r="AS158" s="81"/>
      <c r="AT158" s="81"/>
      <c r="AU158" s="81"/>
    </row>
    <row r="159" spans="1:47" x14ac:dyDescent="0.25">
      <c r="A159" s="84"/>
      <c r="B159" s="84"/>
      <c r="E159" s="81"/>
      <c r="F159" s="81"/>
      <c r="G159" s="81"/>
      <c r="H159" s="81"/>
      <c r="I159" s="105"/>
      <c r="J159" s="84"/>
      <c r="K159" s="84"/>
      <c r="L159" s="84"/>
      <c r="AO159" s="81"/>
      <c r="AP159" s="81"/>
      <c r="AQ159" s="81"/>
      <c r="AR159" s="81"/>
      <c r="AS159" s="81"/>
      <c r="AT159" s="81"/>
      <c r="AU159" s="81"/>
    </row>
    <row r="160" spans="1:47" x14ac:dyDescent="0.25">
      <c r="A160" s="84"/>
      <c r="B160" s="84"/>
      <c r="E160" s="81"/>
      <c r="F160" s="81"/>
      <c r="G160" s="81"/>
      <c r="H160" s="81"/>
      <c r="I160" s="105"/>
      <c r="J160" s="84"/>
      <c r="K160" s="84"/>
      <c r="L160" s="84"/>
      <c r="AO160" s="81"/>
      <c r="AP160" s="81"/>
      <c r="AQ160" s="81"/>
      <c r="AR160" s="81"/>
      <c r="AS160" s="81"/>
      <c r="AT160" s="81"/>
      <c r="AU160" s="81"/>
    </row>
    <row r="161" spans="1:47" x14ac:dyDescent="0.25">
      <c r="A161" s="101"/>
      <c r="B161" s="101"/>
      <c r="E161" s="81"/>
      <c r="F161" s="81"/>
      <c r="G161" s="81"/>
      <c r="H161" s="81"/>
      <c r="I161" s="81"/>
      <c r="AO161" s="81"/>
      <c r="AP161" s="81"/>
      <c r="AQ161" s="81"/>
      <c r="AR161" s="81"/>
      <c r="AS161" s="81"/>
      <c r="AT161" s="81"/>
      <c r="AU161" s="81"/>
    </row>
    <row r="162" spans="1:47" x14ac:dyDescent="0.25">
      <c r="A162" s="84"/>
      <c r="B162" s="84"/>
      <c r="E162" s="81"/>
      <c r="F162" s="81"/>
      <c r="G162" s="81"/>
      <c r="H162" s="81"/>
      <c r="I162" s="103"/>
      <c r="J162" s="70"/>
      <c r="AO162" s="81"/>
      <c r="AP162" s="81"/>
      <c r="AQ162" s="81"/>
      <c r="AR162" s="81"/>
      <c r="AS162" s="81"/>
      <c r="AT162" s="81"/>
      <c r="AU162" s="81"/>
    </row>
    <row r="163" spans="1:47" x14ac:dyDescent="0.25">
      <c r="A163" s="84"/>
      <c r="B163" s="84"/>
      <c r="E163" s="81"/>
      <c r="F163" s="81"/>
      <c r="G163" s="81"/>
      <c r="H163" s="81"/>
      <c r="I163" s="104"/>
      <c r="J163" s="78"/>
      <c r="K163" s="78"/>
      <c r="L163" s="78"/>
      <c r="M163" s="7"/>
      <c r="N163" s="7"/>
      <c r="AO163" s="81"/>
      <c r="AP163" s="81"/>
      <c r="AQ163" s="81"/>
      <c r="AR163" s="81"/>
      <c r="AS163" s="81"/>
      <c r="AT163" s="81"/>
      <c r="AU163" s="81"/>
    </row>
    <row r="164" spans="1:47" x14ac:dyDescent="0.25">
      <c r="A164" s="84"/>
      <c r="B164" s="84"/>
      <c r="E164" s="81"/>
      <c r="F164" s="81"/>
      <c r="G164" s="81"/>
      <c r="H164" s="81"/>
      <c r="I164" s="105"/>
      <c r="J164" s="84"/>
      <c r="K164" s="84"/>
      <c r="L164" s="84"/>
    </row>
    <row r="165" spans="1:47" x14ac:dyDescent="0.25">
      <c r="A165" s="84"/>
      <c r="B165" s="84"/>
      <c r="E165" s="81"/>
      <c r="F165" s="81"/>
      <c r="G165" s="81"/>
      <c r="H165" s="81"/>
      <c r="I165" s="105"/>
      <c r="J165" s="84"/>
      <c r="K165" s="84"/>
      <c r="L165" s="84"/>
    </row>
    <row r="166" spans="1:47" x14ac:dyDescent="0.25">
      <c r="A166" s="101"/>
      <c r="B166" s="101"/>
      <c r="E166" s="81"/>
      <c r="F166" s="81"/>
      <c r="G166" s="81"/>
      <c r="H166" s="81"/>
      <c r="I166" s="81"/>
    </row>
    <row r="167" spans="1:47" x14ac:dyDescent="0.25">
      <c r="A167" s="84"/>
      <c r="B167" s="84"/>
      <c r="E167" s="81"/>
      <c r="F167" s="81"/>
      <c r="G167" s="81"/>
      <c r="H167" s="81"/>
      <c r="I167" s="103"/>
      <c r="J167" s="70"/>
    </row>
    <row r="168" spans="1:47" x14ac:dyDescent="0.25">
      <c r="A168" s="84"/>
      <c r="B168" s="84"/>
      <c r="E168" s="81"/>
      <c r="F168" s="81"/>
      <c r="G168" s="81"/>
      <c r="H168" s="81"/>
      <c r="I168" s="104"/>
      <c r="J168" s="78"/>
      <c r="K168" s="78"/>
      <c r="L168" s="78"/>
      <c r="M168" s="7"/>
      <c r="N168" s="7"/>
    </row>
    <row r="169" spans="1:47" x14ac:dyDescent="0.25">
      <c r="A169" s="84"/>
      <c r="B169" s="84"/>
      <c r="E169" s="81"/>
      <c r="F169" s="81"/>
      <c r="G169" s="81"/>
      <c r="H169" s="81"/>
      <c r="I169" s="105"/>
      <c r="J169" s="84"/>
      <c r="K169" s="84"/>
      <c r="L169" s="84"/>
    </row>
    <row r="170" spans="1:47" x14ac:dyDescent="0.25">
      <c r="A170" s="84"/>
      <c r="B170" s="84"/>
      <c r="E170" s="81"/>
      <c r="F170" s="81"/>
      <c r="G170" s="81"/>
      <c r="H170" s="81"/>
      <c r="I170" s="105"/>
      <c r="J170" s="84"/>
      <c r="K170" s="84"/>
      <c r="L170" s="84"/>
    </row>
    <row r="171" spans="1:47" x14ac:dyDescent="0.25">
      <c r="E171" s="81"/>
      <c r="F171" s="81"/>
      <c r="G171" s="81"/>
      <c r="H171" s="81"/>
      <c r="I171" s="81"/>
    </row>
  </sheetData>
  <sheetProtection selectLockedCells="1" selectUnlockedCells="1"/>
  <mergeCells count="167">
    <mergeCell ref="A1:B1"/>
    <mergeCell ref="E1:F1"/>
    <mergeCell ref="L1:M1"/>
    <mergeCell ref="W33:X33"/>
    <mergeCell ref="Y33:Z33"/>
    <mergeCell ref="AA33:AB33"/>
    <mergeCell ref="AH33:AI33"/>
    <mergeCell ref="AJ33:AK33"/>
    <mergeCell ref="AL33:AM33"/>
    <mergeCell ref="I38:J38"/>
    <mergeCell ref="W38:X38"/>
    <mergeCell ref="Y38:Z38"/>
    <mergeCell ref="AA38:AB38"/>
    <mergeCell ref="AH38:AI38"/>
    <mergeCell ref="AJ38:AK38"/>
    <mergeCell ref="AL38:AM38"/>
    <mergeCell ref="AL43:AM43"/>
    <mergeCell ref="I48:J48"/>
    <mergeCell ref="W48:X48"/>
    <mergeCell ref="Y48:Z48"/>
    <mergeCell ref="AA48:AB48"/>
    <mergeCell ref="AH48:AI48"/>
    <mergeCell ref="AJ48:AK48"/>
    <mergeCell ref="AL48:AM48"/>
    <mergeCell ref="I43:J43"/>
    <mergeCell ref="W43:X43"/>
    <mergeCell ref="Y43:Z43"/>
    <mergeCell ref="AA43:AB43"/>
    <mergeCell ref="AH43:AI43"/>
    <mergeCell ref="AJ43:AK43"/>
    <mergeCell ref="AL53:AM53"/>
    <mergeCell ref="I58:J58"/>
    <mergeCell ref="AH58:AI58"/>
    <mergeCell ref="AJ58:AK58"/>
    <mergeCell ref="AL58:AM58"/>
    <mergeCell ref="I63:J63"/>
    <mergeCell ref="W63:X63"/>
    <mergeCell ref="Y63:Z63"/>
    <mergeCell ref="AA63:AB63"/>
    <mergeCell ref="AH63:AI63"/>
    <mergeCell ref="I53:J53"/>
    <mergeCell ref="W53:X53"/>
    <mergeCell ref="Y53:Z53"/>
    <mergeCell ref="AA53:AB53"/>
    <mergeCell ref="AH53:AI53"/>
    <mergeCell ref="AJ53:AK53"/>
    <mergeCell ref="AJ63:AK63"/>
    <mergeCell ref="AL63:AM63"/>
    <mergeCell ref="I68:J68"/>
    <mergeCell ref="W68:X68"/>
    <mergeCell ref="Y68:Z68"/>
    <mergeCell ref="AA68:AB68"/>
    <mergeCell ref="AH68:AI68"/>
    <mergeCell ref="AJ68:AK68"/>
    <mergeCell ref="AL68:AM68"/>
    <mergeCell ref="AL73:AM73"/>
    <mergeCell ref="I78:J78"/>
    <mergeCell ref="W78:X78"/>
    <mergeCell ref="Y78:Z78"/>
    <mergeCell ref="AA78:AB78"/>
    <mergeCell ref="AH78:AI78"/>
    <mergeCell ref="AJ78:AK78"/>
    <mergeCell ref="AL78:AM78"/>
    <mergeCell ref="I73:J73"/>
    <mergeCell ref="W73:X73"/>
    <mergeCell ref="Y73:Z73"/>
    <mergeCell ref="AA73:AB73"/>
    <mergeCell ref="AH73:AI73"/>
    <mergeCell ref="AJ73:AK73"/>
    <mergeCell ref="AL83:AM83"/>
    <mergeCell ref="I88:J88"/>
    <mergeCell ref="W88:X88"/>
    <mergeCell ref="Y88:Z88"/>
    <mergeCell ref="AA88:AB88"/>
    <mergeCell ref="AH88:AI88"/>
    <mergeCell ref="AJ88:AK88"/>
    <mergeCell ref="AL88:AM88"/>
    <mergeCell ref="I83:J83"/>
    <mergeCell ref="W83:X83"/>
    <mergeCell ref="Y83:Z83"/>
    <mergeCell ref="AA83:AB83"/>
    <mergeCell ref="AH83:AI83"/>
    <mergeCell ref="AJ83:AK83"/>
    <mergeCell ref="AL93:AM93"/>
    <mergeCell ref="I98:J98"/>
    <mergeCell ref="W98:X98"/>
    <mergeCell ref="Y98:Z98"/>
    <mergeCell ref="AA98:AB98"/>
    <mergeCell ref="AH98:AI98"/>
    <mergeCell ref="AJ98:AK98"/>
    <mergeCell ref="AL98:AM98"/>
    <mergeCell ref="I93:J93"/>
    <mergeCell ref="W93:X93"/>
    <mergeCell ref="Y93:Z93"/>
    <mergeCell ref="AA93:AB93"/>
    <mergeCell ref="AH93:AI93"/>
    <mergeCell ref="AJ93:AK93"/>
    <mergeCell ref="AL103:AM103"/>
    <mergeCell ref="I108:J108"/>
    <mergeCell ref="W108:X108"/>
    <mergeCell ref="Y108:Z108"/>
    <mergeCell ref="AA108:AB108"/>
    <mergeCell ref="AH108:AI108"/>
    <mergeCell ref="AJ108:AK108"/>
    <mergeCell ref="AL108:AM108"/>
    <mergeCell ref="I103:J103"/>
    <mergeCell ref="W103:X103"/>
    <mergeCell ref="Y103:Z103"/>
    <mergeCell ref="AA103:AB103"/>
    <mergeCell ref="AH103:AI103"/>
    <mergeCell ref="AJ103:AK103"/>
    <mergeCell ref="AL113:AM113"/>
    <mergeCell ref="I118:J118"/>
    <mergeCell ref="W118:X118"/>
    <mergeCell ref="Y118:Z118"/>
    <mergeCell ref="AA118:AB118"/>
    <mergeCell ref="AH118:AI118"/>
    <mergeCell ref="AJ118:AK118"/>
    <mergeCell ref="AL118:AM118"/>
    <mergeCell ref="I113:J113"/>
    <mergeCell ref="W113:X113"/>
    <mergeCell ref="Y113:Z113"/>
    <mergeCell ref="AA113:AB113"/>
    <mergeCell ref="AH113:AI113"/>
    <mergeCell ref="AJ113:AK113"/>
    <mergeCell ref="AL123:AM123"/>
    <mergeCell ref="I128:J128"/>
    <mergeCell ref="W128:X128"/>
    <mergeCell ref="Y128:Z128"/>
    <mergeCell ref="AA128:AB128"/>
    <mergeCell ref="AH128:AI128"/>
    <mergeCell ref="AJ128:AK128"/>
    <mergeCell ref="AL128:AM128"/>
    <mergeCell ref="I123:J123"/>
    <mergeCell ref="W123:X123"/>
    <mergeCell ref="Y123:Z123"/>
    <mergeCell ref="AA123:AB123"/>
    <mergeCell ref="AH123:AI123"/>
    <mergeCell ref="AJ123:AK123"/>
    <mergeCell ref="AL133:AM133"/>
    <mergeCell ref="I138:J138"/>
    <mergeCell ref="W138:X138"/>
    <mergeCell ref="Y138:Z138"/>
    <mergeCell ref="AA138:AB138"/>
    <mergeCell ref="AH138:AI138"/>
    <mergeCell ref="AJ138:AK138"/>
    <mergeCell ref="AL138:AM138"/>
    <mergeCell ref="I133:J133"/>
    <mergeCell ref="W133:X133"/>
    <mergeCell ref="Y133:Z133"/>
    <mergeCell ref="AA133:AB133"/>
    <mergeCell ref="AH133:AI133"/>
    <mergeCell ref="AJ133:AK133"/>
    <mergeCell ref="AL143:AM143"/>
    <mergeCell ref="I148:J148"/>
    <mergeCell ref="W148:X148"/>
    <mergeCell ref="Y148:Z148"/>
    <mergeCell ref="AA148:AB148"/>
    <mergeCell ref="AH148:AI148"/>
    <mergeCell ref="AJ148:AK148"/>
    <mergeCell ref="AL148:AM148"/>
    <mergeCell ref="I143:J143"/>
    <mergeCell ref="W143:X143"/>
    <mergeCell ref="Y143:Z143"/>
    <mergeCell ref="AA143:AB143"/>
    <mergeCell ref="AH143:AI143"/>
    <mergeCell ref="AJ143:AK143"/>
  </mergeCells>
  <pageMargins left="0.7" right="0.7" top="0.75" bottom="0.75" header="0.3" footer="0.3"/>
  <pageSetup paperSize="9"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U171"/>
  <sheetViews>
    <sheetView topLeftCell="N1" workbookViewId="0">
      <pane ySplit="1" topLeftCell="A8" activePane="bottomLeft" state="frozen"/>
      <selection activeCell="AG8" sqref="AG8:AG10"/>
      <selection pane="bottomLeft" activeCell="AG8" sqref="AG8:AG10"/>
    </sheetView>
  </sheetViews>
  <sheetFormatPr defaultRowHeight="15" x14ac:dyDescent="0.25"/>
  <sheetData>
    <row r="1" spans="1:46" x14ac:dyDescent="0.25">
      <c r="A1" s="494" t="s">
        <v>90</v>
      </c>
      <c r="B1" s="494"/>
      <c r="C1">
        <f>HLOOKUP(Stn_WL,OFFSET_A,Count_STN+1,FALSE)</f>
        <v>8</v>
      </c>
      <c r="E1" s="494" t="s">
        <v>91</v>
      </c>
      <c r="F1" s="494"/>
      <c r="G1" t="str">
        <f>VLOOKUP(Station_No,RISE_CALC,2,FALSE)</f>
        <v>-</v>
      </c>
      <c r="L1" s="494" t="s">
        <v>92</v>
      </c>
      <c r="M1" s="494"/>
      <c r="N1">
        <v>11</v>
      </c>
    </row>
    <row r="2" spans="1:46" x14ac:dyDescent="0.25">
      <c r="Q2" s="66" t="str">
        <f t="shared" ref="Q2:R6" si="0">G4</f>
        <v>Rise</v>
      </c>
      <c r="R2" s="67" t="e">
        <f t="shared" si="0"/>
        <v>#VALUE!</v>
      </c>
      <c r="S2" s="68" t="e">
        <f>IF(OR(R5-R4=R4-R3,R6-R4=R4-R3),R3,IF(OR(R5-R4=R4-R2,R6-R4=R4-R2),R2,"-"))</f>
        <v>#VALUE!</v>
      </c>
      <c r="T2" s="69" t="e">
        <f>IFERROR(VLOOKUP(S2,STN_TABLE,2,FALSE),IF(R2=RisePerWLS,0,"-"))</f>
        <v>#VALUE!</v>
      </c>
      <c r="U2" s="69">
        <v>5</v>
      </c>
      <c r="V2" s="69" t="e">
        <f>T2*U2</f>
        <v>#VALUE!</v>
      </c>
      <c r="W2" s="69">
        <v>3</v>
      </c>
      <c r="X2" s="69" t="e">
        <f>T2*W2</f>
        <v>#VALUE!</v>
      </c>
      <c r="Y2" s="6" t="s">
        <v>93</v>
      </c>
      <c r="Z2" s="70" t="e">
        <f>IF(AND(S4-S3=S3-S2,NOT(AND(S2=0,S3=0)),NOT(AND(S3=0,S4=0))),WLS*(S4-S3),"#NA")</f>
        <v>#VALUE!</v>
      </c>
      <c r="AE2" s="71" t="s">
        <v>94</v>
      </c>
    </row>
    <row r="3" spans="1:46" x14ac:dyDescent="0.25">
      <c r="B3" s="72" t="s">
        <v>0</v>
      </c>
      <c r="C3" s="73" t="s">
        <v>95</v>
      </c>
      <c r="D3" s="73" t="s">
        <v>18</v>
      </c>
      <c r="E3" s="74" t="s">
        <v>20</v>
      </c>
      <c r="H3" s="75" t="s">
        <v>96</v>
      </c>
      <c r="K3" t="str">
        <f>IF(Rise=0,"(Not considered)","(Considered)")</f>
        <v>(Considered)</v>
      </c>
      <c r="Q3" s="66" t="str">
        <f t="shared" si="0"/>
        <v>1st_UWL</v>
      </c>
      <c r="R3" s="67" t="str">
        <f t="shared" si="0"/>
        <v>#NA</v>
      </c>
      <c r="S3" s="76" t="str">
        <f>R4</f>
        <v>#NA</v>
      </c>
      <c r="T3" s="77" t="e">
        <f>VLOOKUP(S3,STN_TABLE,2,FALSE)</f>
        <v>#N/A</v>
      </c>
      <c r="U3" s="77">
        <v>8</v>
      </c>
      <c r="V3" s="77" t="e">
        <f>T3*U3</f>
        <v>#N/A</v>
      </c>
      <c r="W3" s="77">
        <v>10</v>
      </c>
      <c r="X3" s="77" t="e">
        <f>T3*W3</f>
        <v>#N/A</v>
      </c>
      <c r="Y3" s="78" t="s">
        <v>97</v>
      </c>
      <c r="Z3" s="78"/>
      <c r="AA3" s="78" t="s">
        <v>98</v>
      </c>
      <c r="AB3" s="78"/>
      <c r="AC3" s="7" t="s">
        <v>99</v>
      </c>
      <c r="AD3" s="7"/>
      <c r="AE3" s="66" t="str">
        <f t="shared" ref="AE3:AF7" si="1">G4</f>
        <v>Rise</v>
      </c>
      <c r="AF3" s="67" t="e">
        <f t="shared" si="1"/>
        <v>#VALUE!</v>
      </c>
      <c r="AG3" s="79" t="e">
        <f>IF(AF7-AF6=AF6-AF5,AF5,IF(OR(AF7-AF6=AF6-AF4,AF7-AF5=AF5-AF4),AF4,IF(OR(AF7-AF6=AF6-AF3,AF7-AF5=AF5-AF3,AF7-AF4=AF4-AF3),AF3,"#NA")))</f>
        <v>#VALUE!</v>
      </c>
      <c r="AH3" s="69" t="e">
        <f>IFERROR(VLOOKUP(AG3,STN_TABLE,2,FALSE),IF(AF3=RisePerWLS,0,"-"))</f>
        <v>#VALUE!</v>
      </c>
      <c r="AI3" s="69">
        <v>1</v>
      </c>
      <c r="AJ3" s="69" t="e">
        <f>AH3*AI3</f>
        <v>#VALUE!</v>
      </c>
      <c r="AK3" s="69" t="e">
        <f>AG3</f>
        <v>#VALUE!</v>
      </c>
      <c r="AL3" s="69" t="e">
        <f>AJ3*AK3</f>
        <v>#VALUE!</v>
      </c>
      <c r="AM3" s="6" t="s">
        <v>93</v>
      </c>
      <c r="AN3" s="70" t="e">
        <f>IF(AND(AH3=0,AH4=0,AH5=0),WLS*(AG5-AG4),IF(AND(AG5-AG4=AG4-AG3,AG4&lt;&gt;AG5,AG3&lt;&gt;AG4,AG3&lt;&gt;AG5,AH5&lt;&gt;0,OR(AH3&lt;&gt;0,AH4&lt;&gt;0)),WLS*(AG5-AG4),"#NA"))</f>
        <v>#VALUE!</v>
      </c>
    </row>
    <row r="4" spans="1:46" x14ac:dyDescent="0.25">
      <c r="A4">
        <v>1</v>
      </c>
      <c r="B4" s="80">
        <f t="shared" ref="B4:B28" si="2">VLOOKUP(Stn_WL,OFFSET_A,A4+1,FALSE)</f>
        <v>0</v>
      </c>
      <c r="C4" s="81">
        <f t="shared" ref="C4:C28" si="3">VLOOKUP(Station_No,OFFSET_A,A4+1,FALSE)</f>
        <v>9.5</v>
      </c>
      <c r="D4" s="81">
        <v>0</v>
      </c>
      <c r="E4" s="77">
        <v>0</v>
      </c>
      <c r="G4" t="s">
        <v>100</v>
      </c>
      <c r="H4" t="e">
        <f>Rise/WLS</f>
        <v>#VALUE!</v>
      </c>
      <c r="K4" t="str">
        <f>CONCATENATE("A(",H5,")=")</f>
        <v>A(#NA)=</v>
      </c>
      <c r="L4" t="e">
        <f>IFERROR(N18,N22)</f>
        <v>#VALUE!</v>
      </c>
      <c r="Q4" s="66" t="str">
        <f t="shared" si="0"/>
        <v>2nd_UWL</v>
      </c>
      <c r="R4" s="67" t="str">
        <f t="shared" si="0"/>
        <v>#NA</v>
      </c>
      <c r="S4" s="82" t="e">
        <f>IF((S2-S3)=S3-R5,R5,IF(S2-S3=S3-R6,R6,"-"))</f>
        <v>#VALUE!</v>
      </c>
      <c r="T4" s="83" t="e">
        <f>VLOOKUP(S4,STN_TABLE,2,FALSE)</f>
        <v>#VALUE!</v>
      </c>
      <c r="U4" s="83">
        <v>-1</v>
      </c>
      <c r="V4" s="83" t="e">
        <f>T4*U4</f>
        <v>#VALUE!</v>
      </c>
      <c r="W4" s="83">
        <v>-1</v>
      </c>
      <c r="X4" s="83" t="e">
        <f>T4*W4</f>
        <v>#VALUE!</v>
      </c>
      <c r="Y4" s="84" t="str">
        <f>CONCATENATE("a'(",S3,")=")</f>
        <v>a'(#NA)=</v>
      </c>
      <c r="Z4" s="85" t="e">
        <f>2*Z2/12*V5</f>
        <v>#VALUE!</v>
      </c>
      <c r="AA4" s="84" t="e">
        <f>CONCATENATE("A(",S2,")=")</f>
        <v>#VALUE!</v>
      </c>
      <c r="AB4" s="84" t="e">
        <f>IF(S2=RisePerWLS,0,VLOOKUP(S2,STN_TABLE,3,FALSE))</f>
        <v>#VALUE!</v>
      </c>
      <c r="AC4" t="str">
        <f>CONCATENATE("A(",S3,")=")</f>
        <v>A(#NA)=</v>
      </c>
      <c r="AD4" t="e">
        <f>Z4+AB4</f>
        <v>#VALUE!</v>
      </c>
      <c r="AE4" s="66" t="str">
        <f t="shared" si="1"/>
        <v>1st_UWL</v>
      </c>
      <c r="AF4" s="67" t="str">
        <f t="shared" si="1"/>
        <v>#NA</v>
      </c>
      <c r="AG4" s="80" t="e">
        <f>IF(OR(AF7-AF6=AF6-AF5,AF7-AF6=AF6-AF4,AF7-AF6=AF6-AF3),AF6,IF(OR(AF7-AF5=AF5-AF4,AF7-AF5=AF5-AF3),AF5,IF(AF7-AF4=AF4-AF3,AF4,"#NA")))</f>
        <v>#VALUE!</v>
      </c>
      <c r="AH4" s="77" t="e">
        <f>VLOOKUP(AG4,STN_TABLE,2,FALSE)</f>
        <v>#VALUE!</v>
      </c>
      <c r="AI4" s="77">
        <v>4</v>
      </c>
      <c r="AJ4" s="77" t="e">
        <f>AH4*AI4</f>
        <v>#VALUE!</v>
      </c>
      <c r="AK4" s="77" t="e">
        <f>AG4</f>
        <v>#VALUE!</v>
      </c>
      <c r="AL4" s="77" t="e">
        <f>AJ4*AK4</f>
        <v>#VALUE!</v>
      </c>
      <c r="AM4" s="78" t="s">
        <v>97</v>
      </c>
      <c r="AN4" s="78"/>
      <c r="AO4" s="78" t="s">
        <v>98</v>
      </c>
      <c r="AP4" s="78"/>
      <c r="AQ4" s="7" t="s">
        <v>99</v>
      </c>
      <c r="AR4" s="7"/>
      <c r="AS4" s="7"/>
      <c r="AT4" s="7"/>
    </row>
    <row r="5" spans="1:46" x14ac:dyDescent="0.25">
      <c r="A5">
        <v>2</v>
      </c>
      <c r="B5" s="80">
        <f t="shared" si="2"/>
        <v>0.25</v>
      </c>
      <c r="C5" s="81">
        <f t="shared" si="3"/>
        <v>10.33</v>
      </c>
      <c r="D5" s="81">
        <f t="shared" ref="D5:D28" si="4">IFERROR(VLOOKUP(CONCATENATE("A(",B5,")="),RESULT_TABLE,6,FALSE)," ")</f>
        <v>9.9558333333333309</v>
      </c>
      <c r="E5" s="77">
        <f t="shared" ref="E5:E28" si="5">IFERROR(VLOOKUP(CONCATENATE("M(",B5,")="),RESULT_TABLE,6,FALSE)," ")</f>
        <v>2.5235416666666666</v>
      </c>
      <c r="G5" t="s">
        <v>101</v>
      </c>
      <c r="H5" t="str">
        <f>VLOOKUP(Station_No,RISE_CALC,4,FALSE)</f>
        <v>#NA</v>
      </c>
      <c r="K5" t="str">
        <f>CONCATENATE("M(",H5,")=")</f>
        <v>M(#NA)=</v>
      </c>
      <c r="L5" t="e">
        <f>IFERROR(N19,N23)</f>
        <v>#VALUE!</v>
      </c>
      <c r="Q5" s="66" t="str">
        <f t="shared" si="0"/>
        <v>3rd_UWL</v>
      </c>
      <c r="R5" s="67" t="str">
        <f t="shared" si="0"/>
        <v>#NA</v>
      </c>
      <c r="V5" s="86" t="e">
        <f>SUM(V2:V4)</f>
        <v>#VALUE!</v>
      </c>
      <c r="X5" s="87" t="e">
        <f>SUM(X2:X4)</f>
        <v>#VALUE!</v>
      </c>
      <c r="Y5" s="84" t="str">
        <f>CONCATENATE("m'(",S3,")=")</f>
        <v>m'(#NA)=</v>
      </c>
      <c r="Z5" s="85" t="e">
        <f>(2*(Z2^2)/24*X5)+(Z4*S2*WLS)</f>
        <v>#VALUE!</v>
      </c>
      <c r="AA5" s="84" t="e">
        <f>CONCATENATE("M(",S2,")=")</f>
        <v>#VALUE!</v>
      </c>
      <c r="AB5" s="84" t="e">
        <f>IF(S2=RisePerWLS,0,VLOOKUP(S2,STN_TABLE,4,FALSE))</f>
        <v>#VALUE!</v>
      </c>
      <c r="AC5" t="str">
        <f>CONCATENATE("M(",S3,")=")</f>
        <v>M(#NA)=</v>
      </c>
      <c r="AD5" t="e">
        <f>Z5+AB5</f>
        <v>#VALUE!</v>
      </c>
      <c r="AE5" s="66" t="str">
        <f t="shared" si="1"/>
        <v>2nd_UWL</v>
      </c>
      <c r="AF5" s="67" t="str">
        <f t="shared" si="1"/>
        <v>#NA</v>
      </c>
      <c r="AG5" s="88" t="str">
        <f>AF7</f>
        <v>#NA</v>
      </c>
      <c r="AH5" s="83" t="e">
        <f>VLOOKUP(AG5,STN_TABLE,2,FALSE)</f>
        <v>#N/A</v>
      </c>
      <c r="AI5" s="83">
        <v>1</v>
      </c>
      <c r="AJ5" s="83" t="e">
        <f>AH5*AI5</f>
        <v>#N/A</v>
      </c>
      <c r="AK5" s="83" t="str">
        <f>AG5</f>
        <v>#NA</v>
      </c>
      <c r="AL5" s="83" t="e">
        <f>AJ5*AK5</f>
        <v>#N/A</v>
      </c>
      <c r="AM5" s="84" t="str">
        <f>CONCATENATE("a'(",AG5,")=")</f>
        <v>a'(#NA)=</v>
      </c>
      <c r="AN5" s="84" t="e">
        <f>2*AN3/3*AJ6</f>
        <v>#VALUE!</v>
      </c>
      <c r="AO5" s="84" t="e">
        <f>CONCATENATE("A(",AG3,")=")</f>
        <v>#VALUE!</v>
      </c>
      <c r="AP5" s="84" t="e">
        <f>IF(AG3=RisePerWLS,0,VLOOKUP(AG3,STN_TABLE,3,FALSE))</f>
        <v>#VALUE!</v>
      </c>
      <c r="AQ5" t="str">
        <f>CONCATENATE("A(",AG5,")=")</f>
        <v>A(#NA)=</v>
      </c>
      <c r="AR5" t="e">
        <f>AN5+AP5</f>
        <v>#VALUE!</v>
      </c>
    </row>
    <row r="6" spans="1:46" x14ac:dyDescent="0.25">
      <c r="A6">
        <v>3</v>
      </c>
      <c r="B6" s="80">
        <f t="shared" si="2"/>
        <v>0.5</v>
      </c>
      <c r="C6" s="81">
        <f t="shared" si="3"/>
        <v>10.67</v>
      </c>
      <c r="D6" s="81">
        <f t="shared" si="4"/>
        <v>20.496666666666666</v>
      </c>
      <c r="E6" s="77">
        <f t="shared" si="5"/>
        <v>10.443333333333332</v>
      </c>
      <c r="G6" t="s">
        <v>102</v>
      </c>
      <c r="H6" t="str">
        <f>VLOOKUP(Station_No,RISE_CALC,5,FALSE)</f>
        <v>#NA</v>
      </c>
      <c r="K6" t="str">
        <f>CONCATENATE("A(",H6,")=")</f>
        <v>A(#NA)=</v>
      </c>
      <c r="L6" t="e">
        <f>IFERROR(P27,IFERROR(X6,AD9))</f>
        <v>#VALUE!</v>
      </c>
      <c r="Q6" s="66" t="str">
        <f t="shared" si="0"/>
        <v>4th_UWL</v>
      </c>
      <c r="R6" s="67" t="str">
        <f t="shared" si="0"/>
        <v>#NA</v>
      </c>
      <c r="U6" t="s">
        <v>103</v>
      </c>
      <c r="W6" t="str">
        <f>CONCATENATE("A(",S3,")=")</f>
        <v>A(#NA)=</v>
      </c>
      <c r="X6" t="e">
        <f>IF(OR(AD4&lt;=0,AD5&lt;=0),AD9,AD4)</f>
        <v>#VALUE!</v>
      </c>
      <c r="AE6" s="66" t="str">
        <f t="shared" si="1"/>
        <v>3rd_UWL</v>
      </c>
      <c r="AF6" s="67" t="str">
        <f t="shared" si="1"/>
        <v>#NA</v>
      </c>
      <c r="AJ6" s="89" t="e">
        <f>SUM(AJ3:AJ5)</f>
        <v>#VALUE!</v>
      </c>
      <c r="AL6" s="89" t="e">
        <f>SUM(AL3:AL5)</f>
        <v>#VALUE!</v>
      </c>
      <c r="AM6" s="84" t="str">
        <f>CONCATENATE("m'(",AG5,")=")</f>
        <v>m'(#NA)=</v>
      </c>
      <c r="AN6" s="84" t="e">
        <f>2*(AN3*WLS)/3*AL6</f>
        <v>#VALUE!</v>
      </c>
      <c r="AO6" s="84" t="e">
        <f>CONCATENATE("M(",AG3,")=")</f>
        <v>#VALUE!</v>
      </c>
      <c r="AP6" s="84" t="e">
        <f>IF(AG3=RisePerWLS,0,VLOOKUP(AG3,STN_TABLE,4,FALSE))</f>
        <v>#VALUE!</v>
      </c>
      <c r="AQ6" t="str">
        <f>CONCATENATE("M(",AG5,")=")</f>
        <v>M(#NA)=</v>
      </c>
      <c r="AR6" t="e">
        <f>AN6+AP6</f>
        <v>#VALUE!</v>
      </c>
    </row>
    <row r="7" spans="1:46" x14ac:dyDescent="0.25">
      <c r="A7">
        <v>4</v>
      </c>
      <c r="B7" s="80">
        <f t="shared" si="2"/>
        <v>0.75</v>
      </c>
      <c r="C7" s="81">
        <f t="shared" si="3"/>
        <v>10.9</v>
      </c>
      <c r="D7" s="81">
        <f t="shared" si="4"/>
        <v>31.259166666666662</v>
      </c>
      <c r="E7" s="77">
        <f t="shared" si="5"/>
        <v>23.921874999999996</v>
      </c>
      <c r="G7" t="s">
        <v>104</v>
      </c>
      <c r="H7" t="str">
        <f>VLOOKUP(Station_No,RISE_CALC,6,FALSE)</f>
        <v>#NA</v>
      </c>
      <c r="K7" t="str">
        <f>CONCATENATE("M(",H6,")=")</f>
        <v>M(#NA)=</v>
      </c>
      <c r="L7" t="e">
        <f>IFERROR(P28,IFERROR(X7,AD10))</f>
        <v>#VALUE!</v>
      </c>
      <c r="Q7" s="66"/>
      <c r="R7" s="67"/>
      <c r="W7" t="str">
        <f>CONCATENATE("M(",S3,")=")</f>
        <v>M(#NA)=</v>
      </c>
      <c r="X7" t="e">
        <f>IF(OR(AD4&lt;=0,AD5&lt;=0),AD10,AD5)</f>
        <v>#VALUE!</v>
      </c>
      <c r="Y7" s="6" t="s">
        <v>93</v>
      </c>
      <c r="Z7" s="70" t="e">
        <f>WLS*(U9-U8)</f>
        <v>#VALUE!</v>
      </c>
      <c r="AE7" s="66" t="str">
        <f t="shared" si="1"/>
        <v>4th_UWL</v>
      </c>
      <c r="AF7" s="67" t="str">
        <f t="shared" si="1"/>
        <v>#NA</v>
      </c>
      <c r="AH7" s="81"/>
    </row>
    <row r="8" spans="1:46" x14ac:dyDescent="0.25">
      <c r="A8">
        <v>5</v>
      </c>
      <c r="B8" s="80">
        <f t="shared" si="2"/>
        <v>1</v>
      </c>
      <c r="C8" s="81">
        <f t="shared" si="3"/>
        <v>11</v>
      </c>
      <c r="D8" s="81">
        <f t="shared" si="4"/>
        <v>42.25333333333333</v>
      </c>
      <c r="E8" s="77">
        <f t="shared" si="5"/>
        <v>43.133333333333326</v>
      </c>
      <c r="G8" t="s">
        <v>105</v>
      </c>
      <c r="H8" t="str">
        <f>VLOOKUP(Station_No,RISE_CALC,7,FALSE)</f>
        <v>#NA</v>
      </c>
      <c r="K8" t="str">
        <f>CONCATENATE("A(",H7,")=")</f>
        <v>A(#NA)=</v>
      </c>
      <c r="L8" t="e">
        <f>IFERROR(AD15,IFERROR(X24,AD27))</f>
        <v>#VALUE!</v>
      </c>
      <c r="Q8" s="80"/>
      <c r="R8" s="81"/>
      <c r="U8" s="79" t="str">
        <f>R3</f>
        <v>#NA</v>
      </c>
      <c r="V8" s="68" t="e">
        <f>VLOOKUP(U8,STN_TABLE,2,FALSE)</f>
        <v>#N/A</v>
      </c>
      <c r="W8" s="68">
        <v>1</v>
      </c>
      <c r="X8" s="69" t="e">
        <f>V8*W8</f>
        <v>#N/A</v>
      </c>
      <c r="Y8" s="78" t="s">
        <v>97</v>
      </c>
      <c r="Z8" s="78"/>
      <c r="AA8" s="78" t="s">
        <v>98</v>
      </c>
      <c r="AB8" s="78"/>
      <c r="AC8" s="7" t="s">
        <v>99</v>
      </c>
      <c r="AD8" s="7"/>
      <c r="AE8" s="66"/>
      <c r="AF8" s="67"/>
      <c r="AG8" s="68" t="e">
        <f>IF(OR(AF12-AF11=AF11-AF10,AF13-AF11=AF11-AF10),AF10,IF(OR(AF12-AF11=AF11-AF9,AF13-AF11=AF11-AF9),AF9,"-"))</f>
        <v>#VALUE!</v>
      </c>
      <c r="AH8" s="69" t="e">
        <f>IFERROR(VLOOKUP(AG8,STN_TABLE,2,FALSE),IF(AF8=RisePerWLS,0,"-"))</f>
        <v>#VALUE!</v>
      </c>
      <c r="AI8" s="69">
        <v>5</v>
      </c>
      <c r="AJ8" s="69" t="e">
        <f>AH8*AI8</f>
        <v>#VALUE!</v>
      </c>
      <c r="AK8" s="69">
        <v>3</v>
      </c>
      <c r="AL8" s="69" t="e">
        <f>AH8*AK8</f>
        <v>#VALUE!</v>
      </c>
      <c r="AM8" s="6" t="s">
        <v>93</v>
      </c>
      <c r="AN8" s="70" t="e">
        <f>IF(AND(AG10-AG9=AG9-AG8,NOT(AND(AG8=0,AG9=0)),NOT(AND(AG9=0,AG10=0))),WLS*(AG10-AG9),"#NA")</f>
        <v>#VALUE!</v>
      </c>
    </row>
    <row r="9" spans="1:46" x14ac:dyDescent="0.25">
      <c r="A9">
        <v>6</v>
      </c>
      <c r="B9" s="80">
        <f t="shared" si="2"/>
        <v>2</v>
      </c>
      <c r="C9" s="81">
        <f t="shared" si="3"/>
        <v>11</v>
      </c>
      <c r="D9" s="81">
        <f t="shared" si="4"/>
        <v>86.25333333333333</v>
      </c>
      <c r="E9" s="77">
        <f t="shared" si="5"/>
        <v>175.13333333333333</v>
      </c>
      <c r="G9" t="s">
        <v>106</v>
      </c>
      <c r="H9" t="str">
        <f>VLOOKUP(Station_No,RISE_CALC,8,FALSE)</f>
        <v>#NA</v>
      </c>
      <c r="K9" t="str">
        <f>CONCATENATE("M(",H7,")=")</f>
        <v>M(#NA)=</v>
      </c>
      <c r="L9" t="e">
        <f>IFERROR(AD16,IFERROR(X25,AD28))</f>
        <v>#VALUE!</v>
      </c>
      <c r="Q9" s="80"/>
      <c r="R9" s="81"/>
      <c r="U9" s="88" t="str">
        <f>R4</f>
        <v>#NA</v>
      </c>
      <c r="V9" s="82" t="e">
        <f>VLOOKUP(U9,STN_TABLE,2,FALSE)</f>
        <v>#N/A</v>
      </c>
      <c r="W9" s="82">
        <v>2</v>
      </c>
      <c r="X9" s="83" t="e">
        <f>V9*W9</f>
        <v>#N/A</v>
      </c>
      <c r="Y9" s="84" t="str">
        <f>CONCATENATE("a'(",U9,")=")</f>
        <v>a'(#NA)=</v>
      </c>
      <c r="Z9" s="84" t="e">
        <f>2*Z7/2*V10</f>
        <v>#VALUE!</v>
      </c>
      <c r="AA9" s="84" t="str">
        <f>CONCATENATE("A(",U8,")=")</f>
        <v>A(#NA)=</v>
      </c>
      <c r="AB9" s="84" t="e">
        <f>IF(U8=RisePerWLS,0,VLOOKUP(U8,STN_TABLE,3,FALSE))</f>
        <v>#VALUE!</v>
      </c>
      <c r="AC9" t="str">
        <f>CONCATENATE("A(",U9,")=")</f>
        <v>A(#NA)=</v>
      </c>
      <c r="AD9" t="e">
        <f>Z9+AB9</f>
        <v>#VALUE!</v>
      </c>
      <c r="AE9" s="66" t="str">
        <f t="shared" ref="AE9:AF13" si="6">G6</f>
        <v>2nd_UWL</v>
      </c>
      <c r="AF9" s="67" t="str">
        <f t="shared" si="6"/>
        <v>#NA</v>
      </c>
      <c r="AG9" s="76" t="str">
        <f>AF11</f>
        <v>#NA</v>
      </c>
      <c r="AH9" s="77" t="e">
        <f>VLOOKUP(AG9,STN_TABLE,2,FALSE)</f>
        <v>#N/A</v>
      </c>
      <c r="AI9" s="77">
        <v>8</v>
      </c>
      <c r="AJ9" s="77" t="e">
        <f>AH9*AI9</f>
        <v>#N/A</v>
      </c>
      <c r="AK9" s="77">
        <v>10</v>
      </c>
      <c r="AL9" s="77" t="e">
        <f>AH9*AK9</f>
        <v>#N/A</v>
      </c>
      <c r="AM9" s="78" t="s">
        <v>97</v>
      </c>
      <c r="AN9" s="78"/>
      <c r="AO9" s="78" t="s">
        <v>98</v>
      </c>
      <c r="AP9" s="78"/>
      <c r="AQ9" s="7" t="s">
        <v>99</v>
      </c>
      <c r="AR9" s="7"/>
      <c r="AS9" s="7"/>
      <c r="AT9" s="7"/>
    </row>
    <row r="10" spans="1:46" x14ac:dyDescent="0.25">
      <c r="A10">
        <v>7</v>
      </c>
      <c r="B10" s="80">
        <f t="shared" si="2"/>
        <v>3</v>
      </c>
      <c r="C10" s="81">
        <f t="shared" si="3"/>
        <v>11</v>
      </c>
      <c r="D10" s="81">
        <f t="shared" si="4"/>
        <v>130.25333333333333</v>
      </c>
      <c r="E10" s="77">
        <f t="shared" si="5"/>
        <v>395.13333333333333</v>
      </c>
      <c r="G10" t="s">
        <v>107</v>
      </c>
      <c r="H10" t="str">
        <f>VLOOKUP(Station_No,RISE_CALC,9,FALSE)</f>
        <v>#NA</v>
      </c>
      <c r="K10" t="str">
        <f>CONCATENATE("A(",H8,")=")</f>
        <v>A(#NA)=</v>
      </c>
      <c r="L10" t="e">
        <f>IFERROR(AR5,IFERROR(AL12,AR15))</f>
        <v>#VALUE!</v>
      </c>
      <c r="Q10" s="80"/>
      <c r="R10" s="81"/>
      <c r="V10" s="89" t="e">
        <f>SUM(V8:V9)</f>
        <v>#N/A</v>
      </c>
      <c r="X10" s="89" t="e">
        <f>SUM(X8:X9)</f>
        <v>#N/A</v>
      </c>
      <c r="Y10" s="84" t="str">
        <f>CONCATENATE("m'(",U9,")=")</f>
        <v>m'(#NA)=</v>
      </c>
      <c r="Z10" s="84" t="e">
        <f>(2*(Z7^2)/6*X10)+(Z9*U8*WLS)</f>
        <v>#VALUE!</v>
      </c>
      <c r="AA10" s="84" t="str">
        <f>CONCATENATE("M(",U8,")=")</f>
        <v>M(#NA)=</v>
      </c>
      <c r="AB10" s="84" t="e">
        <f>IF(U8=RisePerWLS,0,VLOOKUP(U8,STN_TABLE,4,FALSE))</f>
        <v>#VALUE!</v>
      </c>
      <c r="AC10" t="str">
        <f>CONCATENATE("M(",U9,")=")</f>
        <v>M(#NA)=</v>
      </c>
      <c r="AD10" t="e">
        <f>Z10+AB10</f>
        <v>#VALUE!</v>
      </c>
      <c r="AE10" s="66" t="str">
        <f t="shared" si="6"/>
        <v>3rd_UWL</v>
      </c>
      <c r="AF10" s="67" t="str">
        <f t="shared" si="6"/>
        <v>#NA</v>
      </c>
      <c r="AG10" s="82" t="e">
        <f>IF(AG8-AG9=AG9-AF12,AF12,IF(AG8-AG9=AG9-AF13,AF13,"-"))</f>
        <v>#VALUE!</v>
      </c>
      <c r="AH10" s="83" t="e">
        <f>VLOOKUP(AG10,STN_TABLE,2,FALSE)</f>
        <v>#VALUE!</v>
      </c>
      <c r="AI10" s="83">
        <v>-1</v>
      </c>
      <c r="AJ10" s="83" t="e">
        <f>AH10*AI10</f>
        <v>#VALUE!</v>
      </c>
      <c r="AK10" s="83">
        <v>-1</v>
      </c>
      <c r="AL10" s="83" t="e">
        <f>AH10*AK10</f>
        <v>#VALUE!</v>
      </c>
      <c r="AM10" s="84" t="str">
        <f>CONCATENATE("a'(",AG9,")=")</f>
        <v>a'(#NA)=</v>
      </c>
      <c r="AN10" s="84" t="e">
        <f>2*AN8/12*AJ11</f>
        <v>#VALUE!</v>
      </c>
      <c r="AO10" s="84" t="e">
        <f>CONCATENATE("A(",AG8,")=")</f>
        <v>#VALUE!</v>
      </c>
      <c r="AP10" s="84" t="e">
        <f>VLOOKUP(AG8,STN_TABLE,3,FALSE)</f>
        <v>#VALUE!</v>
      </c>
      <c r="AQ10" t="str">
        <f>CONCATENATE("A(",AG9,")=")</f>
        <v>A(#NA)=</v>
      </c>
      <c r="AR10" t="e">
        <f>AN10+AP10</f>
        <v>#VALUE!</v>
      </c>
    </row>
    <row r="11" spans="1:46" x14ac:dyDescent="0.25">
      <c r="A11">
        <v>8</v>
      </c>
      <c r="B11" s="80">
        <f t="shared" si="2"/>
        <v>4</v>
      </c>
      <c r="C11" s="81">
        <f t="shared" si="3"/>
        <v>11</v>
      </c>
      <c r="D11" s="81">
        <f t="shared" si="4"/>
        <v>174.25333333333333</v>
      </c>
      <c r="E11" s="77">
        <f t="shared" si="5"/>
        <v>703.13333333333333</v>
      </c>
      <c r="G11" t="s">
        <v>108</v>
      </c>
      <c r="H11" t="str">
        <f>VLOOKUP(Station_No,RISE_CALC,10,FALSE)</f>
        <v>#NA</v>
      </c>
      <c r="K11" t="str">
        <f>CONCATENATE("M(",H8,")=")</f>
        <v>M(#NA)=</v>
      </c>
      <c r="L11" t="e">
        <f>IFERROR(AR6,IFERROR(AL13,AR16))</f>
        <v>#VALUE!</v>
      </c>
      <c r="Q11" s="80"/>
      <c r="R11" s="81"/>
      <c r="AE11" s="66" t="str">
        <f t="shared" si="6"/>
        <v>4th_UWL</v>
      </c>
      <c r="AF11" s="67" t="str">
        <f t="shared" si="6"/>
        <v>#NA</v>
      </c>
      <c r="AJ11" s="89" t="e">
        <f>SUM(AJ8:AJ10)</f>
        <v>#VALUE!</v>
      </c>
      <c r="AL11" s="89" t="e">
        <f>SUM(AL8:AL10)</f>
        <v>#VALUE!</v>
      </c>
      <c r="AM11" s="84" t="str">
        <f>CONCATENATE("m'(",AG9,")=")</f>
        <v>m'(#NA)=</v>
      </c>
      <c r="AN11" s="84" t="e">
        <f>(2*(AN8^2)/24*AL11)+(AN10*AG8*WLS)</f>
        <v>#VALUE!</v>
      </c>
      <c r="AO11" s="84" t="e">
        <f>CONCATENATE("M(",AG8,")=")</f>
        <v>#VALUE!</v>
      </c>
      <c r="AP11" s="84" t="e">
        <f>VLOOKUP(AG8,STN_TABLE,4,FALSE)</f>
        <v>#VALUE!</v>
      </c>
      <c r="AQ11" t="str">
        <f>CONCATENATE("M(",AG9,")=")</f>
        <v>M(#NA)=</v>
      </c>
      <c r="AR11" t="e">
        <f>AN11+AP11</f>
        <v>#VALUE!</v>
      </c>
    </row>
    <row r="12" spans="1:46" x14ac:dyDescent="0.25">
      <c r="A12">
        <v>9</v>
      </c>
      <c r="B12" s="80">
        <f t="shared" si="2"/>
        <v>4.8499999999999996</v>
      </c>
      <c r="C12" s="81">
        <f t="shared" si="3"/>
        <v>11</v>
      </c>
      <c r="D12" s="81">
        <f t="shared" si="4"/>
        <v>211.65333333333331</v>
      </c>
      <c r="E12" s="77">
        <f t="shared" si="5"/>
        <v>1034.1233333333332</v>
      </c>
      <c r="Q12" s="90" t="s">
        <v>109</v>
      </c>
      <c r="R12" s="81"/>
      <c r="AE12" s="66" t="str">
        <f t="shared" si="6"/>
        <v>5th_UWL</v>
      </c>
      <c r="AF12" s="67" t="str">
        <f t="shared" si="6"/>
        <v>#NA</v>
      </c>
      <c r="AI12" t="s">
        <v>103</v>
      </c>
      <c r="AK12" t="str">
        <f>CONCATENATE("A(",AG9,")=")</f>
        <v>A(#NA)=</v>
      </c>
      <c r="AL12" t="e">
        <f>IF(OR(AR10&lt;=0,AR11&lt;=0),AR15,AR10)</f>
        <v>#VALUE!</v>
      </c>
    </row>
    <row r="13" spans="1:46" x14ac:dyDescent="0.25">
      <c r="A13">
        <v>10</v>
      </c>
      <c r="B13" s="80">
        <f t="shared" si="2"/>
        <v>5</v>
      </c>
      <c r="C13" s="81">
        <f t="shared" si="3"/>
        <v>11</v>
      </c>
      <c r="D13" s="81">
        <f t="shared" si="4"/>
        <v>218.25333333333333</v>
      </c>
      <c r="E13" s="77">
        <f t="shared" si="5"/>
        <v>1099.1333333333332</v>
      </c>
      <c r="G13" s="71" t="s">
        <v>110</v>
      </c>
      <c r="Q13" s="66" t="str">
        <f t="shared" ref="Q13:R16" si="7">G4</f>
        <v>Rise</v>
      </c>
      <c r="R13" s="67" t="e">
        <f t="shared" si="7"/>
        <v>#VALUE!</v>
      </c>
      <c r="S13" s="68" t="e">
        <f>IF(R16-R15=R15-R14,R14,IF(R16-R14=R14-R13,R13,"-"))</f>
        <v>#VALUE!</v>
      </c>
      <c r="T13" s="69" t="e">
        <f>IFERROR(VLOOKUP(S13,STN_TABLE,2,FALSE),IF(R13=RisePerWLS,0,"-"))</f>
        <v>#VALUE!</v>
      </c>
      <c r="U13" s="69">
        <v>1</v>
      </c>
      <c r="V13" s="69" t="e">
        <f>T13*U13</f>
        <v>#VALUE!</v>
      </c>
      <c r="W13" s="69" t="e">
        <f>S13</f>
        <v>#VALUE!</v>
      </c>
      <c r="X13" s="69" t="e">
        <f>V13*W13</f>
        <v>#VALUE!</v>
      </c>
      <c r="Y13" s="6" t="s">
        <v>93</v>
      </c>
      <c r="Z13" s="70" t="e">
        <f>IF(AND(T13=0,T14=0,T15=0),WLS*(S15-S14),IF(AND(S15-S14=S14-S13,S14&lt;&gt;S15,S13&lt;&gt;S14,S13&lt;&gt;S15,T15&lt;&gt;0,OR(T13&lt;&gt;0,T14&lt;&gt;0)),WLS*(S15-S14),"#NA"))</f>
        <v>#VALUE!</v>
      </c>
      <c r="AE13" s="66" t="str">
        <f t="shared" si="6"/>
        <v>6th_UWL</v>
      </c>
      <c r="AF13" s="67" t="str">
        <f t="shared" si="6"/>
        <v>#NA</v>
      </c>
      <c r="AK13" t="str">
        <f>CONCATENATE("M(",AG9,")=")</f>
        <v>M(#NA)=</v>
      </c>
      <c r="AL13" t="e">
        <f>IF(OR(AR10&lt;=0,AR11&lt;=0),AR16,AR11)</f>
        <v>#VALUE!</v>
      </c>
      <c r="AM13" s="6" t="s">
        <v>93</v>
      </c>
      <c r="AN13" s="70" t="e">
        <f>WLS*(AI15-AI14)</f>
        <v>#VALUE!</v>
      </c>
    </row>
    <row r="14" spans="1:46" x14ac:dyDescent="0.25">
      <c r="A14">
        <v>11</v>
      </c>
      <c r="B14" s="80">
        <f t="shared" si="2"/>
        <v>6</v>
      </c>
      <c r="C14" s="81">
        <f t="shared" si="3"/>
        <v>11</v>
      </c>
      <c r="D14" s="81">
        <f t="shared" si="4"/>
        <v>262.25333333333333</v>
      </c>
      <c r="E14" s="77">
        <f t="shared" si="5"/>
        <v>1583.1333333333332</v>
      </c>
      <c r="G14" s="91" t="str">
        <f>G4</f>
        <v>Rise</v>
      </c>
      <c r="H14" s="91" t="e">
        <f>RisePerWLS</f>
        <v>#VALUE!</v>
      </c>
      <c r="I14" s="68" t="e">
        <f>H14</f>
        <v>#VALUE!</v>
      </c>
      <c r="J14" s="69">
        <v>0</v>
      </c>
      <c r="K14" s="69">
        <v>5</v>
      </c>
      <c r="L14" s="69">
        <f>J14*K14</f>
        <v>0</v>
      </c>
      <c r="M14" s="69">
        <v>3</v>
      </c>
      <c r="N14" s="69">
        <f>J14*M14</f>
        <v>0</v>
      </c>
      <c r="O14" t="s">
        <v>93</v>
      </c>
      <c r="P14" t="e">
        <f>IF(AND(NOT(AND(J14=0,J15=0)),I14&lt;&gt;I15,I15&lt;&gt;I16,I16-I15=I15-I14),(I16-I15)*WLS,"#NA")</f>
        <v>#N/A</v>
      </c>
      <c r="Q14" s="66" t="str">
        <f t="shared" si="7"/>
        <v>1st_UWL</v>
      </c>
      <c r="R14" s="67" t="str">
        <f t="shared" si="7"/>
        <v>#NA</v>
      </c>
      <c r="S14" s="76" t="e">
        <f>IF(R16-R15=R15-R14,R15,IF(R16-R14=R14-R13,R14,"-"))</f>
        <v>#VALUE!</v>
      </c>
      <c r="T14" s="77" t="e">
        <f>VLOOKUP(S14,STN_TABLE,2,FALSE)</f>
        <v>#VALUE!</v>
      </c>
      <c r="U14" s="77">
        <v>4</v>
      </c>
      <c r="V14" s="77" t="e">
        <f>T14*U14</f>
        <v>#VALUE!</v>
      </c>
      <c r="W14" s="77" t="e">
        <f>S14</f>
        <v>#VALUE!</v>
      </c>
      <c r="X14" s="77" t="e">
        <f>V14*W14</f>
        <v>#VALUE!</v>
      </c>
      <c r="Y14" s="78" t="s">
        <v>97</v>
      </c>
      <c r="Z14" s="78"/>
      <c r="AA14" s="78" t="s">
        <v>98</v>
      </c>
      <c r="AB14" s="78"/>
      <c r="AC14" s="7" t="s">
        <v>99</v>
      </c>
      <c r="AD14" s="7"/>
      <c r="AE14" s="66"/>
      <c r="AF14" s="67"/>
      <c r="AI14" s="79" t="str">
        <f>AF10</f>
        <v>#NA</v>
      </c>
      <c r="AJ14" s="68" t="e">
        <f>VLOOKUP(AI14,STN_TABLE,2,FALSE)</f>
        <v>#N/A</v>
      </c>
      <c r="AK14" s="68">
        <v>1</v>
      </c>
      <c r="AL14" s="69" t="e">
        <f>AJ14*AK14</f>
        <v>#N/A</v>
      </c>
      <c r="AM14" s="78" t="s">
        <v>97</v>
      </c>
      <c r="AN14" s="78"/>
      <c r="AO14" s="78" t="s">
        <v>98</v>
      </c>
      <c r="AP14" s="78"/>
      <c r="AQ14" s="7" t="s">
        <v>99</v>
      </c>
      <c r="AR14" s="7"/>
      <c r="AS14" s="7"/>
      <c r="AT14" s="7"/>
    </row>
    <row r="15" spans="1:46" x14ac:dyDescent="0.25">
      <c r="A15">
        <v>12</v>
      </c>
      <c r="B15" s="80">
        <f t="shared" si="2"/>
        <v>6.5</v>
      </c>
      <c r="C15" s="81">
        <f t="shared" si="3"/>
        <v>11</v>
      </c>
      <c r="D15" s="81">
        <f t="shared" si="4"/>
        <v>284.25333333333333</v>
      </c>
      <c r="E15" s="77">
        <f t="shared" si="5"/>
        <v>1858.1333333333332</v>
      </c>
      <c r="G15" s="91" t="str">
        <f>G5</f>
        <v>1st_UWL</v>
      </c>
      <c r="H15" s="91" t="str">
        <f>H5</f>
        <v>#NA</v>
      </c>
      <c r="I15" s="76" t="str">
        <f>H15</f>
        <v>#NA</v>
      </c>
      <c r="J15" s="77" t="e">
        <f>VLOOKUP(I15,STN_TABLE,2,FALSE)</f>
        <v>#N/A</v>
      </c>
      <c r="K15" s="77">
        <v>8</v>
      </c>
      <c r="L15" s="77" t="e">
        <f>J15*K15</f>
        <v>#N/A</v>
      </c>
      <c r="M15" s="77">
        <v>10</v>
      </c>
      <c r="N15" s="77" t="e">
        <f>J15*M15</f>
        <v>#N/A</v>
      </c>
      <c r="O15" t="str">
        <f>CONCATENATE("A(",I15,")=")</f>
        <v>A(#NA)=</v>
      </c>
      <c r="P15" t="e">
        <f>2*P14/12*L17</f>
        <v>#N/A</v>
      </c>
      <c r="Q15" s="66" t="str">
        <f t="shared" si="7"/>
        <v>2nd_UWL</v>
      </c>
      <c r="R15" s="67" t="str">
        <f t="shared" si="7"/>
        <v>#NA</v>
      </c>
      <c r="S15" s="82" t="str">
        <f>R16</f>
        <v>#NA</v>
      </c>
      <c r="T15" s="83" t="e">
        <f>VLOOKUP(S15,STN_TABLE,2,FALSE)</f>
        <v>#N/A</v>
      </c>
      <c r="U15" s="83">
        <v>1</v>
      </c>
      <c r="V15" s="83" t="e">
        <f>T15*U15</f>
        <v>#N/A</v>
      </c>
      <c r="W15" s="83" t="str">
        <f>S15</f>
        <v>#NA</v>
      </c>
      <c r="X15" s="83" t="e">
        <f>V15*W15</f>
        <v>#N/A</v>
      </c>
      <c r="Y15" s="84" t="str">
        <f>CONCATENATE("a'(",S15,")=")</f>
        <v>a'(#NA)=</v>
      </c>
      <c r="Z15" s="84" t="e">
        <f>2*Z13/3*V16</f>
        <v>#VALUE!</v>
      </c>
      <c r="AA15" s="84" t="e">
        <f>CONCATENATE("A(",S13,")=")</f>
        <v>#VALUE!</v>
      </c>
      <c r="AB15" s="84" t="e">
        <f>IF(S13=RisePerWLS,0,VLOOKUP(S13,STN_TABLE,3,FALSE))</f>
        <v>#VALUE!</v>
      </c>
      <c r="AC15" t="str">
        <f>CONCATENATE("A(",S15,")=")</f>
        <v>A(#NA)=</v>
      </c>
      <c r="AD15" t="e">
        <f>Z15+AB15</f>
        <v>#VALUE!</v>
      </c>
      <c r="AE15" s="80"/>
      <c r="AI15" s="88" t="str">
        <f>AF11</f>
        <v>#NA</v>
      </c>
      <c r="AJ15" s="82" t="e">
        <f>VLOOKUP(AI15,STN_TABLE,2,FALSE)</f>
        <v>#N/A</v>
      </c>
      <c r="AK15" s="82">
        <v>2</v>
      </c>
      <c r="AL15" s="83" t="e">
        <f>AJ15*AK15</f>
        <v>#N/A</v>
      </c>
      <c r="AM15" s="84" t="str">
        <f>CONCATENATE("a'(",AI15,")=")</f>
        <v>a'(#NA)=</v>
      </c>
      <c r="AN15" s="84" t="e">
        <f>2*AN13/2*AJ16</f>
        <v>#VALUE!</v>
      </c>
      <c r="AO15" s="84" t="str">
        <f>CONCATENATE("A(",AI14,")=")</f>
        <v>A(#NA)=</v>
      </c>
      <c r="AP15" s="84" t="e">
        <f>IF(AI14=RisePerWLS,0,VLOOKUP(AI14,STN_TABLE,3,FALSE))</f>
        <v>#VALUE!</v>
      </c>
      <c r="AQ15" t="str">
        <f>CONCATENATE("A(",AI15,")=")</f>
        <v>A(#NA)=</v>
      </c>
      <c r="AR15" t="e">
        <f>AN15+AP15</f>
        <v>#VALUE!</v>
      </c>
    </row>
    <row r="16" spans="1:46" x14ac:dyDescent="0.25">
      <c r="A16">
        <v>13</v>
      </c>
      <c r="B16" s="80" t="str">
        <f t="shared" si="2"/>
        <v xml:space="preserve">  </v>
      </c>
      <c r="C16" s="81" t="str">
        <f t="shared" si="3"/>
        <v xml:space="preserve">  </v>
      </c>
      <c r="D16" s="81" t="str">
        <f t="shared" si="4"/>
        <v xml:space="preserve"> </v>
      </c>
      <c r="E16" s="77" t="str">
        <f t="shared" si="5"/>
        <v xml:space="preserve"> </v>
      </c>
      <c r="G16" s="91" t="str">
        <f>G6</f>
        <v>2nd_UWL</v>
      </c>
      <c r="H16" s="91" t="str">
        <f>H6</f>
        <v>#NA</v>
      </c>
      <c r="I16" s="82" t="e">
        <f>IF(H16-H15=H15-H14,H16,"#NA")</f>
        <v>#VALUE!</v>
      </c>
      <c r="J16" s="83" t="e">
        <f>VLOOKUP(I16,STN_TABLE,2,FALSE)</f>
        <v>#VALUE!</v>
      </c>
      <c r="K16" s="83">
        <v>-1</v>
      </c>
      <c r="L16" s="83" t="e">
        <f>J16*K16</f>
        <v>#VALUE!</v>
      </c>
      <c r="M16" s="83">
        <v>-1</v>
      </c>
      <c r="N16" s="83" t="e">
        <f>J16*M16</f>
        <v>#VALUE!</v>
      </c>
      <c r="O16" t="str">
        <f>CONCATENATE("M(",I15,")=")</f>
        <v>M(#NA)=</v>
      </c>
      <c r="P16" t="e">
        <f>(2*(P14^2)/24*N17)+P15*I14*WLS</f>
        <v>#N/A</v>
      </c>
      <c r="Q16" s="66" t="str">
        <f t="shared" si="7"/>
        <v>3rd_UWL</v>
      </c>
      <c r="R16" s="67" t="str">
        <f t="shared" si="7"/>
        <v>#NA</v>
      </c>
      <c r="V16" s="89" t="e">
        <f>SUM(V13:V15)</f>
        <v>#VALUE!</v>
      </c>
      <c r="X16" s="89" t="e">
        <f>SUM(X13:X15)</f>
        <v>#VALUE!</v>
      </c>
      <c r="Y16" s="84" t="str">
        <f>CONCATENATE("m'(",S15,")=")</f>
        <v>m'(#NA)=</v>
      </c>
      <c r="Z16" s="84" t="e">
        <f>2*(Z13*WLS)/3*X16</f>
        <v>#VALUE!</v>
      </c>
      <c r="AA16" s="84" t="e">
        <f>CONCATENATE("M(",S13,")=")</f>
        <v>#VALUE!</v>
      </c>
      <c r="AB16" s="84" t="e">
        <f>IF(S13=RisePerWLS,0,VLOOKUP(S13,STN_TABLE,4,FALSE))</f>
        <v>#VALUE!</v>
      </c>
      <c r="AC16" t="str">
        <f>CONCATENATE("M(",S15,")=")</f>
        <v>M(#NA)=</v>
      </c>
      <c r="AD16" t="e">
        <f>Z16+AB16</f>
        <v>#VALUE!</v>
      </c>
      <c r="AE16" s="80"/>
      <c r="AJ16" s="89" t="e">
        <f>SUM(AJ14:AJ15)</f>
        <v>#N/A</v>
      </c>
      <c r="AL16" s="89" t="e">
        <f>SUM(AL14:AL15)</f>
        <v>#N/A</v>
      </c>
      <c r="AM16" s="84" t="str">
        <f>CONCATENATE("m'(",AI15,")=")</f>
        <v>m'(#NA)=</v>
      </c>
      <c r="AN16" s="84" t="e">
        <f>(2*(AN13^2)/6*AL16)+(AN15*AI14*WLS)</f>
        <v>#VALUE!</v>
      </c>
      <c r="AO16" s="84" t="str">
        <f>CONCATENATE("M(",AI14,")=")</f>
        <v>M(#NA)=</v>
      </c>
      <c r="AP16" s="84" t="e">
        <f>IF(AI14=RisePerWLS,0,VLOOKUP(AI14,STN_TABLE,4,FALSE))</f>
        <v>#VALUE!</v>
      </c>
      <c r="AQ16" t="str">
        <f>CONCATENATE("M(",AI15,")=")</f>
        <v>M(#NA)=</v>
      </c>
      <c r="AR16" t="e">
        <f>AN16+AP16</f>
        <v>#VALUE!</v>
      </c>
    </row>
    <row r="17" spans="1:35" x14ac:dyDescent="0.25">
      <c r="A17">
        <v>14</v>
      </c>
      <c r="B17" s="80" t="str">
        <f t="shared" si="2"/>
        <v xml:space="preserve">  </v>
      </c>
      <c r="C17" s="81" t="str">
        <f t="shared" si="3"/>
        <v xml:space="preserve">  </v>
      </c>
      <c r="D17" s="81" t="str">
        <f t="shared" si="4"/>
        <v xml:space="preserve"> </v>
      </c>
      <c r="E17" s="77" t="str">
        <f t="shared" si="5"/>
        <v xml:space="preserve"> </v>
      </c>
      <c r="G17" s="91"/>
      <c r="H17" s="91"/>
      <c r="L17" s="89" t="e">
        <f>SUM(L14:L16)</f>
        <v>#N/A</v>
      </c>
      <c r="N17" s="89" t="e">
        <f>SUM(N14:N16)</f>
        <v>#N/A</v>
      </c>
      <c r="Q17" s="66"/>
      <c r="R17" s="67"/>
      <c r="AE17" s="90"/>
    </row>
    <row r="18" spans="1:35" x14ac:dyDescent="0.25">
      <c r="A18">
        <v>15</v>
      </c>
      <c r="B18" s="80" t="str">
        <f t="shared" si="2"/>
        <v xml:space="preserve">  </v>
      </c>
      <c r="C18" s="81" t="str">
        <f t="shared" si="3"/>
        <v xml:space="preserve">  </v>
      </c>
      <c r="D18" s="81" t="str">
        <f t="shared" si="4"/>
        <v xml:space="preserve"> </v>
      </c>
      <c r="E18" s="77" t="str">
        <f t="shared" si="5"/>
        <v xml:space="preserve"> </v>
      </c>
      <c r="G18" s="91"/>
      <c r="H18" s="91"/>
      <c r="K18" t="s">
        <v>103</v>
      </c>
      <c r="M18" t="str">
        <f>CONCATENATE("A(",I15,")=")</f>
        <v>A(#NA)=</v>
      </c>
      <c r="N18" t="e">
        <f>IF(OR(P15&lt;=0,P16&lt;=0),N22,P15)</f>
        <v>#N/A</v>
      </c>
      <c r="Q18" s="66"/>
      <c r="R18" s="67"/>
      <c r="AE18" s="80"/>
    </row>
    <row r="19" spans="1:35" x14ac:dyDescent="0.25">
      <c r="A19">
        <v>16</v>
      </c>
      <c r="B19" s="80" t="str">
        <f t="shared" si="2"/>
        <v xml:space="preserve">  </v>
      </c>
      <c r="C19" s="81" t="str">
        <f t="shared" si="3"/>
        <v xml:space="preserve">  </v>
      </c>
      <c r="D19" s="81" t="str">
        <f t="shared" si="4"/>
        <v xml:space="preserve"> </v>
      </c>
      <c r="E19" s="77" t="str">
        <f t="shared" si="5"/>
        <v xml:space="preserve"> </v>
      </c>
      <c r="G19" s="91"/>
      <c r="H19" s="91"/>
      <c r="M19" t="str">
        <f>CONCATENATE("M(",I15,")=")</f>
        <v>M(#NA)=</v>
      </c>
      <c r="N19" t="e">
        <f>IF(OR(P15&lt;=0,P16&lt;=0),N23,P16)</f>
        <v>#N/A</v>
      </c>
      <c r="Q19" s="66"/>
      <c r="R19" s="67"/>
      <c r="AE19" s="80"/>
    </row>
    <row r="20" spans="1:35" x14ac:dyDescent="0.25">
      <c r="A20">
        <v>17</v>
      </c>
      <c r="B20" s="80" t="str">
        <f t="shared" si="2"/>
        <v xml:space="preserve">  </v>
      </c>
      <c r="C20" s="81" t="str">
        <f t="shared" si="3"/>
        <v xml:space="preserve">  </v>
      </c>
      <c r="D20" s="81" t="str">
        <f t="shared" si="4"/>
        <v xml:space="preserve"> </v>
      </c>
      <c r="E20" s="77" t="str">
        <f t="shared" si="5"/>
        <v xml:space="preserve"> </v>
      </c>
      <c r="G20" s="91"/>
      <c r="H20" s="91"/>
      <c r="Q20" s="66"/>
      <c r="R20" s="67"/>
      <c r="S20" s="68" t="e">
        <f>IF(OR(R24-R23=R23-R22,R25-R23=R23-R22),R22,IF(OR(R24-R23=R23-R21,R25-R23=R23-R21),R21,"-"))</f>
        <v>#VALUE!</v>
      </c>
      <c r="T20" s="69" t="e">
        <f>IFERROR(VLOOKUP(S20,STN_TABLE,2,FALSE),IF(R20=RisePerWLS,0,"-"))</f>
        <v>#VALUE!</v>
      </c>
      <c r="U20" s="69">
        <v>5</v>
      </c>
      <c r="V20" s="69" t="e">
        <f>T20*U20</f>
        <v>#VALUE!</v>
      </c>
      <c r="W20" s="69">
        <v>3</v>
      </c>
      <c r="X20" s="69" t="e">
        <f>T20*W20</f>
        <v>#VALUE!</v>
      </c>
      <c r="Y20" s="6" t="s">
        <v>93</v>
      </c>
      <c r="Z20" s="70" t="e">
        <f>IF(AND(S22-S21=S21-S20,NOT(AND(S20=0,S21=0)),NOT(AND(S21=0,S22=0))),WLS*(S22-S21),"#NA")</f>
        <v>#VALUE!</v>
      </c>
      <c r="AE20" s="80"/>
    </row>
    <row r="21" spans="1:35" x14ac:dyDescent="0.25">
      <c r="A21">
        <v>18</v>
      </c>
      <c r="B21" s="80" t="str">
        <f t="shared" si="2"/>
        <v xml:space="preserve">  </v>
      </c>
      <c r="C21" s="81" t="str">
        <f t="shared" si="3"/>
        <v xml:space="preserve">  </v>
      </c>
      <c r="D21" s="81" t="str">
        <f t="shared" si="4"/>
        <v xml:space="preserve"> </v>
      </c>
      <c r="E21" s="77" t="str">
        <f t="shared" si="5"/>
        <v xml:space="preserve"> </v>
      </c>
      <c r="G21" s="91"/>
      <c r="H21" s="91" t="str">
        <f>G14</f>
        <v>Rise</v>
      </c>
      <c r="I21" s="79" t="e">
        <f>H14</f>
        <v>#VALUE!</v>
      </c>
      <c r="J21" s="68">
        <v>0</v>
      </c>
      <c r="K21" s="68">
        <v>1</v>
      </c>
      <c r="L21" s="69">
        <f>J21*K21</f>
        <v>0</v>
      </c>
      <c r="M21" t="s">
        <v>93</v>
      </c>
      <c r="N21" t="e">
        <f>(I22-I21)*WLS</f>
        <v>#VALUE!</v>
      </c>
      <c r="Q21" s="66" t="str">
        <f t="shared" ref="Q21:R25" si="8">G5</f>
        <v>1st_UWL</v>
      </c>
      <c r="R21" s="67" t="str">
        <f t="shared" si="8"/>
        <v>#NA</v>
      </c>
      <c r="S21" s="76" t="str">
        <f>R23</f>
        <v>#NA</v>
      </c>
      <c r="T21" s="77" t="e">
        <f>VLOOKUP(S21,STN_TABLE,2,FALSE)</f>
        <v>#N/A</v>
      </c>
      <c r="U21" s="77">
        <v>8</v>
      </c>
      <c r="V21" s="77" t="e">
        <f>T21*U21</f>
        <v>#N/A</v>
      </c>
      <c r="W21" s="77">
        <v>10</v>
      </c>
      <c r="X21" s="77" t="e">
        <f>T21*W21</f>
        <v>#N/A</v>
      </c>
      <c r="Y21" s="78" t="s">
        <v>97</v>
      </c>
      <c r="Z21" s="78"/>
      <c r="AA21" s="78" t="s">
        <v>98</v>
      </c>
      <c r="AB21" s="78"/>
      <c r="AC21" s="7" t="s">
        <v>99</v>
      </c>
      <c r="AD21" s="7"/>
      <c r="AE21" s="80"/>
    </row>
    <row r="22" spans="1:35" x14ac:dyDescent="0.25">
      <c r="A22">
        <v>19</v>
      </c>
      <c r="B22" s="80" t="str">
        <f t="shared" si="2"/>
        <v xml:space="preserve">  </v>
      </c>
      <c r="C22" s="81" t="str">
        <f t="shared" si="3"/>
        <v xml:space="preserve">  </v>
      </c>
      <c r="D22" s="81" t="str">
        <f t="shared" si="4"/>
        <v xml:space="preserve"> </v>
      </c>
      <c r="E22" s="77" t="str">
        <f t="shared" si="5"/>
        <v xml:space="preserve"> </v>
      </c>
      <c r="G22" s="91"/>
      <c r="H22" s="91" t="str">
        <f>G15</f>
        <v>1st_UWL</v>
      </c>
      <c r="I22" s="88" t="str">
        <f>H15</f>
        <v>#NA</v>
      </c>
      <c r="J22" s="82" t="e">
        <f>VLOOKUP(I22,STN_TABLE,2,FALSE)</f>
        <v>#N/A</v>
      </c>
      <c r="K22" s="82">
        <v>2</v>
      </c>
      <c r="L22" s="83" t="e">
        <f>J22*K22</f>
        <v>#N/A</v>
      </c>
      <c r="M22" t="str">
        <f>CONCATENATE("A(",I22,")=")</f>
        <v>A(#NA)=</v>
      </c>
      <c r="N22" t="e">
        <f>2*N21/2*J23</f>
        <v>#VALUE!</v>
      </c>
      <c r="Q22" s="66" t="str">
        <f t="shared" si="8"/>
        <v>2nd_UWL</v>
      </c>
      <c r="R22" s="67" t="str">
        <f t="shared" si="8"/>
        <v>#NA</v>
      </c>
      <c r="S22" s="82" t="e">
        <f>IF(S20-S21=S21-R24,R24,IF(S20-S21=S21-R25,R25,"-"))</f>
        <v>#VALUE!</v>
      </c>
      <c r="T22" s="83" t="e">
        <f>VLOOKUP(S22,STN_TABLE,2,FALSE)</f>
        <v>#VALUE!</v>
      </c>
      <c r="U22" s="83">
        <v>-1</v>
      </c>
      <c r="V22" s="83" t="e">
        <f>T22*U22</f>
        <v>#VALUE!</v>
      </c>
      <c r="W22" s="83">
        <v>-1</v>
      </c>
      <c r="X22" s="83" t="e">
        <f>T22*W22</f>
        <v>#VALUE!</v>
      </c>
      <c r="Y22" s="84" t="str">
        <f>CONCATENATE("a'(",S21,")=")</f>
        <v>a'(#NA)=</v>
      </c>
      <c r="Z22" s="84" t="e">
        <f>2*Z20/12*V23</f>
        <v>#VALUE!</v>
      </c>
      <c r="AA22" s="84" t="e">
        <f>CONCATENATE("A(",S20,")=")</f>
        <v>#VALUE!</v>
      </c>
      <c r="AB22" s="84" t="e">
        <f>IF(S20=RisePerWLS,0,VLOOKUP(S20,STN_TABLE,3,FALSE))</f>
        <v>#VALUE!</v>
      </c>
      <c r="AC22" t="str">
        <f>CONCATENATE("A(",S21,")=")</f>
        <v>A(#NA)=</v>
      </c>
      <c r="AD22" t="e">
        <f>Z22+AB22</f>
        <v>#VALUE!</v>
      </c>
      <c r="AE22" s="80"/>
    </row>
    <row r="23" spans="1:35" x14ac:dyDescent="0.25">
      <c r="A23">
        <v>20</v>
      </c>
      <c r="B23" s="80" t="str">
        <f t="shared" si="2"/>
        <v xml:space="preserve">  </v>
      </c>
      <c r="C23" s="81" t="str">
        <f t="shared" si="3"/>
        <v xml:space="preserve">  </v>
      </c>
      <c r="D23" s="81" t="str">
        <f t="shared" si="4"/>
        <v xml:space="preserve"> </v>
      </c>
      <c r="E23" s="77" t="str">
        <f t="shared" si="5"/>
        <v xml:space="preserve"> </v>
      </c>
      <c r="J23" s="89" t="e">
        <f>SUM(J21:J22)</f>
        <v>#N/A</v>
      </c>
      <c r="L23" s="89" t="e">
        <f>SUM(L21:L22)</f>
        <v>#N/A</v>
      </c>
      <c r="M23" t="str">
        <f>CONCATENATE("M(",I22,")=")</f>
        <v>M(#NA)=</v>
      </c>
      <c r="N23" t="e">
        <f>(2*(N21^2)/6*L23)+N22*I21*WLS</f>
        <v>#VALUE!</v>
      </c>
      <c r="Q23" s="66" t="str">
        <f t="shared" si="8"/>
        <v>3rd_UWL</v>
      </c>
      <c r="R23" s="67" t="str">
        <f t="shared" si="8"/>
        <v>#NA</v>
      </c>
      <c r="V23" s="89" t="e">
        <f>SUM(V20:V22)</f>
        <v>#VALUE!</v>
      </c>
      <c r="X23" s="89" t="e">
        <f>SUM(X20:X22)</f>
        <v>#VALUE!</v>
      </c>
      <c r="Y23" s="84" t="str">
        <f>CONCATENATE("m'(",S21,")=")</f>
        <v>m'(#NA)=</v>
      </c>
      <c r="Z23" s="84" t="e">
        <f>(2*(Z20^2)/24*X23)+(Z22*S20*WLS)</f>
        <v>#VALUE!</v>
      </c>
      <c r="AA23" s="84" t="e">
        <f>CONCATENATE("M(",S20,")=")</f>
        <v>#VALUE!</v>
      </c>
      <c r="AB23" s="84" t="e">
        <f>IF(S20=RisePerWLS,0,VLOOKUP(S20,STN_TABLE,4,FALSE))</f>
        <v>#VALUE!</v>
      </c>
      <c r="AC23" t="str">
        <f>CONCATENATE("M(",S21,")=")</f>
        <v>M(#NA)=</v>
      </c>
      <c r="AD23" t="e">
        <f>Z23+AB23</f>
        <v>#VALUE!</v>
      </c>
      <c r="AE23" s="80"/>
    </row>
    <row r="24" spans="1:35" x14ac:dyDescent="0.25">
      <c r="A24">
        <v>21</v>
      </c>
      <c r="B24" s="80" t="str">
        <f t="shared" si="2"/>
        <v xml:space="preserve">  </v>
      </c>
      <c r="C24" s="81" t="str">
        <f t="shared" si="3"/>
        <v xml:space="preserve">  </v>
      </c>
      <c r="D24" s="81" t="str">
        <f t="shared" si="4"/>
        <v xml:space="preserve"> </v>
      </c>
      <c r="E24" s="77" t="str">
        <f t="shared" si="5"/>
        <v xml:space="preserve"> </v>
      </c>
      <c r="Q24" s="66" t="str">
        <f t="shared" si="8"/>
        <v>4th_UWL</v>
      </c>
      <c r="R24" s="67" t="str">
        <f t="shared" si="8"/>
        <v>#NA</v>
      </c>
      <c r="U24" t="s">
        <v>103</v>
      </c>
      <c r="W24" t="str">
        <f>CONCATENATE("A(",S21,")=")</f>
        <v>A(#NA)=</v>
      </c>
      <c r="X24" t="e">
        <f>IF(OR(AD22&lt;=0,AD23&lt;=0),AD27,AD22)</f>
        <v>#VALUE!</v>
      </c>
      <c r="AE24" s="80"/>
    </row>
    <row r="25" spans="1:35" x14ac:dyDescent="0.25">
      <c r="A25">
        <v>22</v>
      </c>
      <c r="B25" s="80" t="str">
        <f t="shared" si="2"/>
        <v xml:space="preserve">  </v>
      </c>
      <c r="C25" s="81" t="str">
        <f t="shared" si="3"/>
        <v xml:space="preserve">  </v>
      </c>
      <c r="D25" s="81" t="str">
        <f t="shared" si="4"/>
        <v xml:space="preserve"> </v>
      </c>
      <c r="E25" s="77" t="str">
        <f t="shared" si="5"/>
        <v xml:space="preserve"> </v>
      </c>
      <c r="G25" s="71" t="s">
        <v>111</v>
      </c>
      <c r="Q25" s="66" t="str">
        <f t="shared" si="8"/>
        <v>5th_UWL</v>
      </c>
      <c r="R25" s="67" t="str">
        <f t="shared" si="8"/>
        <v>#NA</v>
      </c>
      <c r="W25" t="str">
        <f>CONCATENATE("M(",S21,")=")</f>
        <v>M(#NA)=</v>
      </c>
      <c r="X25" t="e">
        <f>IF(OR(AD22&lt;=0,AD23&lt;=0),AD28,AD23)</f>
        <v>#VALUE!</v>
      </c>
      <c r="Y25" s="6" t="s">
        <v>93</v>
      </c>
      <c r="Z25" s="70" t="e">
        <f>WLS*(U27-U26)</f>
        <v>#VALUE!</v>
      </c>
      <c r="AE25" s="80"/>
    </row>
    <row r="26" spans="1:35" x14ac:dyDescent="0.25">
      <c r="A26">
        <v>23</v>
      </c>
      <c r="B26" s="80" t="str">
        <f t="shared" si="2"/>
        <v xml:space="preserve">  </v>
      </c>
      <c r="C26" s="81" t="str">
        <f t="shared" si="3"/>
        <v xml:space="preserve">  </v>
      </c>
      <c r="D26" s="81" t="str">
        <f t="shared" si="4"/>
        <v xml:space="preserve"> </v>
      </c>
      <c r="E26" s="77" t="str">
        <f t="shared" si="5"/>
        <v xml:space="preserve"> </v>
      </c>
      <c r="G26" s="91" t="str">
        <f t="shared" ref="G26:H28" si="9">G4</f>
        <v>Rise</v>
      </c>
      <c r="H26" s="91" t="e">
        <f t="shared" si="9"/>
        <v>#VALUE!</v>
      </c>
      <c r="I26" s="68" t="e">
        <f>H26</f>
        <v>#VALUE!</v>
      </c>
      <c r="J26" s="69">
        <v>0</v>
      </c>
      <c r="K26" s="69">
        <v>1</v>
      </c>
      <c r="L26" s="69">
        <f>J26*K26</f>
        <v>0</v>
      </c>
      <c r="M26" s="69" t="e">
        <f>I26</f>
        <v>#VALUE!</v>
      </c>
      <c r="N26" s="69" t="e">
        <f>L26*M26</f>
        <v>#VALUE!</v>
      </c>
      <c r="O26" t="s">
        <v>93</v>
      </c>
      <c r="P26" t="e">
        <f>IF(OR(J26=0,J27=0,J28=0),"#NA",IF(I28-I27=I27-I26,WLS*(I27-I26),"#NA"))</f>
        <v>#VALUE!</v>
      </c>
      <c r="Q26" s="66"/>
      <c r="R26" s="67"/>
      <c r="U26" s="79" t="str">
        <f>R22</f>
        <v>#NA</v>
      </c>
      <c r="V26" s="68" t="e">
        <f>VLOOKUP(U26,STN_TABLE,2,FALSE)</f>
        <v>#N/A</v>
      </c>
      <c r="W26" s="68">
        <v>1</v>
      </c>
      <c r="X26" s="69" t="e">
        <f>V26*W26</f>
        <v>#N/A</v>
      </c>
      <c r="Y26" s="78" t="s">
        <v>97</v>
      </c>
      <c r="Z26" s="78"/>
      <c r="AA26" s="78" t="s">
        <v>98</v>
      </c>
      <c r="AB26" s="78"/>
      <c r="AC26" s="7" t="s">
        <v>99</v>
      </c>
      <c r="AD26" s="7"/>
      <c r="AE26" s="80"/>
    </row>
    <row r="27" spans="1:35" x14ac:dyDescent="0.25">
      <c r="A27">
        <v>24</v>
      </c>
      <c r="B27" s="80" t="str">
        <f t="shared" si="2"/>
        <v xml:space="preserve">  </v>
      </c>
      <c r="C27" s="81" t="str">
        <f t="shared" si="3"/>
        <v xml:space="preserve">  </v>
      </c>
      <c r="D27" s="81" t="str">
        <f t="shared" si="4"/>
        <v xml:space="preserve"> </v>
      </c>
      <c r="E27" s="77" t="str">
        <f t="shared" si="5"/>
        <v xml:space="preserve"> </v>
      </c>
      <c r="G27" s="91" t="str">
        <f t="shared" si="9"/>
        <v>1st_UWL</v>
      </c>
      <c r="H27" s="91" t="str">
        <f t="shared" si="9"/>
        <v>#NA</v>
      </c>
      <c r="I27" s="76" t="e">
        <f>IF(H28-H27=H27-H26,H28,"#NA")</f>
        <v>#VALUE!</v>
      </c>
      <c r="J27" s="77" t="e">
        <f>VLOOKUP(I27,STN_TABLE,2,FALSE)</f>
        <v>#VALUE!</v>
      </c>
      <c r="K27" s="77">
        <v>4</v>
      </c>
      <c r="L27" s="77" t="e">
        <f>J27*K27</f>
        <v>#VALUE!</v>
      </c>
      <c r="M27" s="77" t="e">
        <f>I27</f>
        <v>#VALUE!</v>
      </c>
      <c r="N27" s="77" t="e">
        <f>L27*M27</f>
        <v>#VALUE!</v>
      </c>
      <c r="O27" t="e">
        <f>CONCATENATE("A(",I28,")=")</f>
        <v>#VALUE!</v>
      </c>
      <c r="P27" t="e">
        <f>2*P26/3*L29</f>
        <v>#VALUE!</v>
      </c>
      <c r="Q27" s="80"/>
      <c r="R27" s="81"/>
      <c r="U27" s="88" t="str">
        <f>R23</f>
        <v>#NA</v>
      </c>
      <c r="V27" s="82" t="e">
        <f>VLOOKUP(U27,STN_TABLE,2,FALSE)</f>
        <v>#N/A</v>
      </c>
      <c r="W27" s="82">
        <v>2</v>
      </c>
      <c r="X27" s="83" t="e">
        <f>V27*W27</f>
        <v>#N/A</v>
      </c>
      <c r="Y27" s="84" t="str">
        <f>CONCATENATE("a'(",U27,")=")</f>
        <v>a'(#NA)=</v>
      </c>
      <c r="Z27" s="84" t="e">
        <f>2*Z25/2*V28</f>
        <v>#VALUE!</v>
      </c>
      <c r="AA27" s="84" t="str">
        <f>CONCATENATE("A(",U26,")=")</f>
        <v>A(#NA)=</v>
      </c>
      <c r="AB27" s="84" t="e">
        <f>IF(U26=RisePerWLS,0,VLOOKUP(U26,STN_TABLE,3,FALSE))</f>
        <v>#VALUE!</v>
      </c>
      <c r="AC27" t="str">
        <f>CONCATENATE("A(",U27,")=")</f>
        <v>A(#NA)=</v>
      </c>
      <c r="AD27" t="e">
        <f>Z27+AB27</f>
        <v>#VALUE!</v>
      </c>
      <c r="AE27" s="80"/>
    </row>
    <row r="28" spans="1:35" x14ac:dyDescent="0.25">
      <c r="A28">
        <v>25</v>
      </c>
      <c r="B28" s="88" t="str">
        <f t="shared" si="2"/>
        <v xml:space="preserve">  </v>
      </c>
      <c r="C28" s="92" t="str">
        <f t="shared" si="3"/>
        <v xml:space="preserve">  </v>
      </c>
      <c r="D28" s="81" t="str">
        <f t="shared" si="4"/>
        <v xml:space="preserve"> </v>
      </c>
      <c r="E28" s="77" t="str">
        <f t="shared" si="5"/>
        <v xml:space="preserve"> </v>
      </c>
      <c r="G28" s="91" t="str">
        <f t="shared" si="9"/>
        <v>2nd_UWL</v>
      </c>
      <c r="H28" s="91" t="str">
        <f t="shared" si="9"/>
        <v>#NA</v>
      </c>
      <c r="I28" s="82" t="e">
        <f>IF(H28-H27=H27-H26,H28,"#NA")</f>
        <v>#VALUE!</v>
      </c>
      <c r="J28" s="83" t="e">
        <f>VLOOKUP(I28,STN_TABLE,2,FALSE)</f>
        <v>#VALUE!</v>
      </c>
      <c r="K28" s="83">
        <v>1</v>
      </c>
      <c r="L28" s="83" t="e">
        <f>J28*K28</f>
        <v>#VALUE!</v>
      </c>
      <c r="M28" s="83" t="e">
        <f>I28</f>
        <v>#VALUE!</v>
      </c>
      <c r="N28" s="83" t="e">
        <f>L28*M28</f>
        <v>#VALUE!</v>
      </c>
      <c r="O28" t="e">
        <f>CONCATENATE("M(",I28,")=")</f>
        <v>#VALUE!</v>
      </c>
      <c r="P28" t="e">
        <f>2*(P26*WLS)/3*N29</f>
        <v>#VALUE!</v>
      </c>
      <c r="Q28" s="80"/>
      <c r="R28" s="81"/>
      <c r="V28" s="89" t="e">
        <f>SUM(V26:V27)</f>
        <v>#N/A</v>
      </c>
      <c r="X28" s="89" t="e">
        <f>SUM(X26:X27)</f>
        <v>#N/A</v>
      </c>
      <c r="Y28" s="84" t="str">
        <f>CONCATENATE("m'(",U27,")=")</f>
        <v>m'(#NA)=</v>
      </c>
      <c r="Z28" s="84" t="e">
        <f>(2*(Z25^2)/6*X28)+(Z27*U26*WLS)</f>
        <v>#VALUE!</v>
      </c>
      <c r="AA28" s="84" t="str">
        <f>CONCATENATE("M(",U26,")=")</f>
        <v>M(#NA)=</v>
      </c>
      <c r="AB28" s="84" t="e">
        <f>IF(U26=RisePerWLS,0,VLOOKUP(U26,STN_TABLE,4,FALSE))</f>
        <v>#VALUE!</v>
      </c>
      <c r="AC28" t="str">
        <f>CONCATENATE("M(",U27,")=")</f>
        <v>M(#NA)=</v>
      </c>
      <c r="AD28" t="e">
        <f>Z28+AB28</f>
        <v>#VALUE!</v>
      </c>
      <c r="AE28" s="80"/>
    </row>
    <row r="29" spans="1:35" x14ac:dyDescent="0.25">
      <c r="G29" s="91"/>
      <c r="H29" s="91"/>
      <c r="L29" s="89" t="e">
        <f>SUM(L26:L28)</f>
        <v>#VALUE!</v>
      </c>
      <c r="N29" s="89" t="e">
        <f>SUM(N26:N28)</f>
        <v>#VALUE!</v>
      </c>
      <c r="Q29" s="80"/>
      <c r="R29" s="81"/>
      <c r="AE29" s="80"/>
    </row>
    <row r="30" spans="1:35" x14ac:dyDescent="0.25">
      <c r="G30" s="91"/>
      <c r="H30" s="91"/>
    </row>
    <row r="31" spans="1:35" x14ac:dyDescent="0.25">
      <c r="G31" s="91"/>
      <c r="H31" s="91"/>
    </row>
    <row r="32" spans="1:35" x14ac:dyDescent="0.25">
      <c r="G32" s="91"/>
      <c r="H32" s="91"/>
      <c r="Q32" s="68">
        <f>B4</f>
        <v>0</v>
      </c>
      <c r="R32" s="69">
        <f>VLOOKUP(Q32,STN_TABLE,2,FALSE)</f>
        <v>9.5</v>
      </c>
      <c r="S32" s="69">
        <v>5</v>
      </c>
      <c r="T32" s="68">
        <f>R32*S32</f>
        <v>47.5</v>
      </c>
      <c r="U32" s="79">
        <v>3</v>
      </c>
      <c r="V32" s="68">
        <f>R32*U32</f>
        <v>28.5</v>
      </c>
      <c r="W32" t="s">
        <v>93</v>
      </c>
      <c r="X32" s="70">
        <f>IF(AND(Q34-Q33=Q33-Q32,NOT(AND(Q32=0,Q33=0)),NOT(AND(Q33=0,Q34=0))),WLS*(Q34-Q33),"#NA")</f>
        <v>0.5</v>
      </c>
      <c r="AD32" s="93"/>
      <c r="AH32" s="6" t="s">
        <v>93</v>
      </c>
      <c r="AI32" s="70">
        <f>WLS*(AD34-AD33)</f>
        <v>0.5</v>
      </c>
    </row>
    <row r="33" spans="1:47" x14ac:dyDescent="0.25">
      <c r="Q33" s="76">
        <f>B5</f>
        <v>0.25</v>
      </c>
      <c r="R33" s="77">
        <f>VLOOKUP(Q33,STN_TABLE,2,FALSE)</f>
        <v>10.33</v>
      </c>
      <c r="S33" s="77">
        <v>8</v>
      </c>
      <c r="T33" s="76">
        <f>R33*S33</f>
        <v>82.64</v>
      </c>
      <c r="U33" s="80">
        <v>10</v>
      </c>
      <c r="V33" s="76">
        <f>R33*U33</f>
        <v>103.3</v>
      </c>
      <c r="W33" s="495" t="s">
        <v>97</v>
      </c>
      <c r="X33" s="496"/>
      <c r="Y33" s="496" t="s">
        <v>98</v>
      </c>
      <c r="Z33" s="496"/>
      <c r="AA33" s="494" t="s">
        <v>99</v>
      </c>
      <c r="AB33" s="494"/>
      <c r="AC33" s="94">
        <v>1</v>
      </c>
      <c r="AD33" s="95">
        <f>VLOOKUP(AC33,STN_TABLE_2,2,FALSE)</f>
        <v>0</v>
      </c>
      <c r="AE33" s="68">
        <f>VLOOKUP(AD33,STN_TABLE,2,FALSE)</f>
        <v>9.5</v>
      </c>
      <c r="AF33" s="68">
        <v>1</v>
      </c>
      <c r="AG33" s="69">
        <f>AE33*AF33</f>
        <v>9.5</v>
      </c>
      <c r="AH33" s="496" t="s">
        <v>97</v>
      </c>
      <c r="AI33" s="496"/>
      <c r="AJ33" s="496" t="s">
        <v>98</v>
      </c>
      <c r="AK33" s="496"/>
      <c r="AL33" s="494" t="s">
        <v>99</v>
      </c>
      <c r="AM33" s="494"/>
      <c r="AP33" s="96" t="s">
        <v>112</v>
      </c>
      <c r="AQ33" s="89" t="s">
        <v>113</v>
      </c>
      <c r="AR33" s="89" t="s">
        <v>114</v>
      </c>
      <c r="AS33" s="89" t="s">
        <v>115</v>
      </c>
      <c r="AT33" s="97" t="s">
        <v>116</v>
      </c>
      <c r="AU33" s="98"/>
    </row>
    <row r="34" spans="1:47" x14ac:dyDescent="0.25">
      <c r="Q34" s="82">
        <f>B6</f>
        <v>0.5</v>
      </c>
      <c r="R34" s="83">
        <f>VLOOKUP(Q34,STN_TABLE,2,FALSE)</f>
        <v>10.67</v>
      </c>
      <c r="S34" s="83">
        <v>-1</v>
      </c>
      <c r="T34" s="82">
        <f>R34*S34</f>
        <v>-10.67</v>
      </c>
      <c r="U34" s="88">
        <v>-1</v>
      </c>
      <c r="V34" s="82">
        <f>R34*U34</f>
        <v>-10.67</v>
      </c>
      <c r="W34" s="84" t="str">
        <f>CONCATENATE("a'(",Q33,")=")</f>
        <v>a'(0.25)=</v>
      </c>
      <c r="X34" s="84">
        <f>2*X32/12*T35</f>
        <v>9.9558333333333309</v>
      </c>
      <c r="Y34" s="84" t="str">
        <f>CONCATENATE("A(",Q32,")=")</f>
        <v>A(0)=</v>
      </c>
      <c r="Z34" s="84">
        <f>VLOOKUP(Q32,STN_TABLE,3,FALSE)</f>
        <v>0</v>
      </c>
      <c r="AA34" t="str">
        <f>CONCATENATE("A(",Q33,")=")</f>
        <v>A(0.25)=</v>
      </c>
      <c r="AB34">
        <f>X34+Z34</f>
        <v>9.9558333333333309</v>
      </c>
      <c r="AC34" s="99">
        <f>AC33+1</f>
        <v>2</v>
      </c>
      <c r="AD34" s="100">
        <f>VLOOKUP(AC34,STN_TABLE_2,2,FALSE)</f>
        <v>0.25</v>
      </c>
      <c r="AE34" s="82">
        <f>VLOOKUP(AD34,STN_TABLE,2,FALSE)</f>
        <v>10.33</v>
      </c>
      <c r="AF34" s="82">
        <v>2</v>
      </c>
      <c r="AG34" s="83">
        <f>AE34*AF34</f>
        <v>20.66</v>
      </c>
      <c r="AH34" s="84" t="str">
        <f>CONCATENATE("a'(",AD34,")=")</f>
        <v>a'(0.25)=</v>
      </c>
      <c r="AI34" s="84">
        <f>2*AI32/2*AE35</f>
        <v>9.9149999999999991</v>
      </c>
      <c r="AJ34" s="84" t="str">
        <f>CONCATENATE("A(",AD33,")=")</f>
        <v>A(0)=</v>
      </c>
      <c r="AK34" s="84">
        <f>VLOOKUP(AD33,STN_TABLE,3,FALSE)</f>
        <v>0</v>
      </c>
      <c r="AL34" t="str">
        <f>CONCATENATE("A(",AD34,")=")</f>
        <v>A(0.25)=</v>
      </c>
      <c r="AM34">
        <f>AI34+AK34</f>
        <v>9.9149999999999991</v>
      </c>
      <c r="AO34" s="68" t="str">
        <f>AA34</f>
        <v>A(0.25)=</v>
      </c>
      <c r="AP34" s="79" t="e">
        <f>VLOOKUP(AO34,Rise_Results,2,FALSE)</f>
        <v>#N/A</v>
      </c>
      <c r="AQ34" s="76" t="s">
        <v>117</v>
      </c>
      <c r="AR34" s="76">
        <f>IF(OR(AB34&lt;=0,AB35&lt;=0),1/0,AB34)</f>
        <v>9.9558333333333309</v>
      </c>
      <c r="AS34" s="76">
        <f>AM34</f>
        <v>9.9149999999999991</v>
      </c>
      <c r="AT34" s="80">
        <f>IFERROR(AP34,IFERROR(AR34,AS34))</f>
        <v>9.9558333333333309</v>
      </c>
    </row>
    <row r="35" spans="1:47" x14ac:dyDescent="0.25">
      <c r="A35" s="101"/>
      <c r="T35" s="89">
        <f>SUM(T32:T34)</f>
        <v>119.46999999999998</v>
      </c>
      <c r="V35" s="82">
        <f>SUM(V32:V34)</f>
        <v>121.13000000000001</v>
      </c>
      <c r="W35" s="84" t="str">
        <f>CONCATENATE("m'(",Q33,")=")</f>
        <v>m'(0.25)=</v>
      </c>
      <c r="X35" s="84">
        <f>(2*(X32^2)/24*V35)</f>
        <v>2.5235416666666666</v>
      </c>
      <c r="Y35" s="84" t="str">
        <f>CONCATENATE("M(",Q32,")=")</f>
        <v>M(0)=</v>
      </c>
      <c r="Z35" s="84">
        <f>VLOOKUP(Q32,STN_TABLE,4,FALSE)</f>
        <v>0</v>
      </c>
      <c r="AA35" t="str">
        <f>CONCATENATE("M(",Q33,")=")</f>
        <v>M(0.25)=</v>
      </c>
      <c r="AB35">
        <f>X35+Z35</f>
        <v>2.5235416666666666</v>
      </c>
      <c r="AE35" s="89">
        <f>SUM(AE33:AE34)</f>
        <v>19.829999999999998</v>
      </c>
      <c r="AG35" s="89">
        <f>SUM(AG33:AG34)</f>
        <v>30.16</v>
      </c>
      <c r="AH35" s="84" t="str">
        <f>CONCATENATE("m'(",AD34,")=")</f>
        <v>m'(0.25)=</v>
      </c>
      <c r="AI35" s="84">
        <f>(2*(AI32^2)/6*AG35)+(AI34*AD33*WLS)</f>
        <v>2.5133333333333332</v>
      </c>
      <c r="AJ35" s="84" t="str">
        <f>CONCATENATE("M(",AD33,")=")</f>
        <v>M(0)=</v>
      </c>
      <c r="AK35" s="84">
        <f>VLOOKUP(AD33,STN_TABLE,4,FALSE)</f>
        <v>0</v>
      </c>
      <c r="AL35" t="str">
        <f>CONCATENATE("M(",AD34,")=")</f>
        <v>M(0.25)=</v>
      </c>
      <c r="AM35">
        <f>AI35+AK35</f>
        <v>2.5133333333333332</v>
      </c>
      <c r="AO35" s="82" t="str">
        <f>AA35</f>
        <v>M(0.25)=</v>
      </c>
      <c r="AP35" s="88" t="e">
        <f>VLOOKUP(AO35,Rise_Results,2,FALSE)</f>
        <v>#N/A</v>
      </c>
      <c r="AQ35" s="82" t="s">
        <v>117</v>
      </c>
      <c r="AR35" s="82">
        <f>IF(OR(AB34&lt;=0,AB35&lt;=0),1/0,AB35)</f>
        <v>2.5235416666666666</v>
      </c>
      <c r="AS35" s="82">
        <f>AM35</f>
        <v>2.5133333333333332</v>
      </c>
      <c r="AT35" s="80">
        <f>IFERROR(AP35,IFERROR(AR35,AS35))</f>
        <v>2.5235416666666666</v>
      </c>
    </row>
    <row r="36" spans="1:47" x14ac:dyDescent="0.25">
      <c r="O36" s="94">
        <v>1</v>
      </c>
      <c r="P36" s="101">
        <f t="shared" ref="P36:P67" si="10">VLOOKUP(O36,STN_TABLE_2,2,FALSE)</f>
        <v>0</v>
      </c>
      <c r="AU36" s="81"/>
    </row>
    <row r="37" spans="1:47" x14ac:dyDescent="0.25">
      <c r="A37" s="94">
        <v>1</v>
      </c>
      <c r="B37" s="94">
        <f>VLOOKUP(A37,STN_TABLE_2,2,FALSE)</f>
        <v>0</v>
      </c>
      <c r="C37" s="79">
        <f>B37</f>
        <v>0</v>
      </c>
      <c r="D37" s="68">
        <f>VLOOKUP(C37,STN_TABLE,2,FALSE)</f>
        <v>9.5</v>
      </c>
      <c r="E37" s="102">
        <v>1</v>
      </c>
      <c r="F37" s="68">
        <f>D37*E37</f>
        <v>9.5</v>
      </c>
      <c r="G37" s="69">
        <f>C37</f>
        <v>0</v>
      </c>
      <c r="H37" s="69">
        <f>F37*G37</f>
        <v>0</v>
      </c>
      <c r="I37" s="6" t="s">
        <v>93</v>
      </c>
      <c r="J37" s="70">
        <f>IF(OR(D37=0,D38=0,D39=0),"#NA",IF(AND(C39-C38=C38-C37,C38&lt;&gt;C39,C37&lt;&gt;C38,C37&lt;&gt;C39,D39&lt;&gt;0,OR(D37&lt;&gt;0,D38&lt;&gt;0)),WLS*(C39-C38),"#NA"))</f>
        <v>0.5</v>
      </c>
      <c r="O37" s="99">
        <f>O36+1</f>
        <v>2</v>
      </c>
      <c r="P37" s="99">
        <f t="shared" si="10"/>
        <v>0.25</v>
      </c>
      <c r="Q37" s="68">
        <f>IF(OR(P39-P38=P38-P37,P40-P38=P38-P37),P37,IF(OR(P39-P38=P38-P36,P40-P38=P38-P36),P36,"-"))</f>
        <v>0.25</v>
      </c>
      <c r="R37" s="69">
        <f>VLOOKUP(Q37,STN_TABLE,2,FALSE)</f>
        <v>10.33</v>
      </c>
      <c r="S37" s="69">
        <v>5</v>
      </c>
      <c r="T37" s="68">
        <f>R37*S37</f>
        <v>51.65</v>
      </c>
      <c r="U37" s="79">
        <v>3</v>
      </c>
      <c r="V37" s="68">
        <f>R37*U37</f>
        <v>30.990000000000002</v>
      </c>
      <c r="W37" s="6" t="s">
        <v>93</v>
      </c>
      <c r="X37" s="70">
        <f>IF(AND(Q39-Q38=Q38-Q37,NOT(AND(Q37=0,Q38=0)),NOT(AND(Q38=0,Q39=0))),WLS*(Q39-Q38),"#NA")</f>
        <v>0.5</v>
      </c>
      <c r="AD37" s="93"/>
      <c r="AH37" s="6" t="s">
        <v>93</v>
      </c>
      <c r="AI37" s="70">
        <f>WLS*(AD39-AD38)</f>
        <v>0.5</v>
      </c>
      <c r="AU37" s="81"/>
    </row>
    <row r="38" spans="1:47" x14ac:dyDescent="0.25">
      <c r="A38" s="94">
        <f>A37+1</f>
        <v>2</v>
      </c>
      <c r="B38" s="94">
        <f>VLOOKUP(A38,STN_TABLE_2,2,FALSE)</f>
        <v>0.25</v>
      </c>
      <c r="C38" s="80">
        <f>B38</f>
        <v>0.25</v>
      </c>
      <c r="D38" s="76">
        <f>VLOOKUP(C38,STN_TABLE,2,FALSE)</f>
        <v>10.33</v>
      </c>
      <c r="E38" s="81">
        <v>4</v>
      </c>
      <c r="F38" s="76">
        <f>D38*E38</f>
        <v>41.32</v>
      </c>
      <c r="G38" s="77">
        <f>C38</f>
        <v>0.25</v>
      </c>
      <c r="H38" s="77">
        <f>F38*G38</f>
        <v>10.33</v>
      </c>
      <c r="I38" s="496" t="s">
        <v>97</v>
      </c>
      <c r="J38" s="496"/>
      <c r="K38" s="78" t="s">
        <v>98</v>
      </c>
      <c r="L38" s="78"/>
      <c r="M38" s="7" t="s">
        <v>99</v>
      </c>
      <c r="N38" s="7"/>
      <c r="O38" s="99">
        <f>O37+1</f>
        <v>3</v>
      </c>
      <c r="P38" s="99">
        <f t="shared" si="10"/>
        <v>0.5</v>
      </c>
      <c r="Q38" s="76">
        <f>P38</f>
        <v>0.5</v>
      </c>
      <c r="R38" s="77">
        <f>VLOOKUP(Q38,STN_TABLE,2,FALSE)</f>
        <v>10.67</v>
      </c>
      <c r="S38" s="77">
        <v>8</v>
      </c>
      <c r="T38" s="76">
        <f>R38*S38</f>
        <v>85.36</v>
      </c>
      <c r="U38" s="80">
        <v>10</v>
      </c>
      <c r="V38" s="76">
        <f>R38*U38</f>
        <v>106.7</v>
      </c>
      <c r="W38" s="496" t="s">
        <v>97</v>
      </c>
      <c r="X38" s="496"/>
      <c r="Y38" s="496" t="s">
        <v>98</v>
      </c>
      <c r="Z38" s="496"/>
      <c r="AA38" s="494" t="s">
        <v>99</v>
      </c>
      <c r="AB38" s="494"/>
      <c r="AC38" s="99">
        <f>AC33+1</f>
        <v>2</v>
      </c>
      <c r="AD38" s="95">
        <f>VLOOKUP(AC38,STN_TABLE_2,2,FALSE)</f>
        <v>0.25</v>
      </c>
      <c r="AE38" s="68">
        <f>VLOOKUP(AD38,STN_TABLE,2,FALSE)</f>
        <v>10.33</v>
      </c>
      <c r="AF38" s="68">
        <v>1</v>
      </c>
      <c r="AG38" s="69">
        <f>AE38*AF38</f>
        <v>10.33</v>
      </c>
      <c r="AH38" s="496" t="s">
        <v>97</v>
      </c>
      <c r="AI38" s="496"/>
      <c r="AJ38" s="496" t="s">
        <v>98</v>
      </c>
      <c r="AK38" s="496"/>
      <c r="AL38" s="494" t="s">
        <v>99</v>
      </c>
      <c r="AM38" s="494"/>
      <c r="AP38" s="86" t="s">
        <v>112</v>
      </c>
      <c r="AQ38" s="89" t="s">
        <v>113</v>
      </c>
      <c r="AR38" s="89" t="s">
        <v>114</v>
      </c>
      <c r="AS38" s="89" t="s">
        <v>115</v>
      </c>
    </row>
    <row r="39" spans="1:47" x14ac:dyDescent="0.25">
      <c r="A39" s="94">
        <f>A38+1</f>
        <v>3</v>
      </c>
      <c r="B39" s="94">
        <f>VLOOKUP(A39,STN_TABLE_2,2,FALSE)</f>
        <v>0.5</v>
      </c>
      <c r="C39" s="88">
        <f>B39</f>
        <v>0.5</v>
      </c>
      <c r="D39" s="82">
        <f>VLOOKUP(C39,STN_TABLE,2,FALSE)</f>
        <v>10.67</v>
      </c>
      <c r="E39" s="92">
        <v>1</v>
      </c>
      <c r="F39" s="82">
        <f>D39*E39</f>
        <v>10.67</v>
      </c>
      <c r="G39" s="83">
        <f>C39</f>
        <v>0.5</v>
      </c>
      <c r="H39" s="83">
        <f>F39*G39</f>
        <v>5.335</v>
      </c>
      <c r="I39" s="84" t="str">
        <f>CONCATENATE("a'(",C39,")=")</f>
        <v>a'(0.5)=</v>
      </c>
      <c r="J39" s="84">
        <f>2*J37/3*F40</f>
        <v>20.496666666666666</v>
      </c>
      <c r="K39" s="84" t="str">
        <f>CONCATENATE("A(",C37,")=")</f>
        <v>A(0)=</v>
      </c>
      <c r="L39" s="84">
        <f>VLOOKUP(C37,STN_TABLE,3,FALSE)</f>
        <v>0</v>
      </c>
      <c r="M39" t="str">
        <f>CONCATENATE("A(",C39,")=")</f>
        <v>A(0.5)=</v>
      </c>
      <c r="N39">
        <f>J39+L39</f>
        <v>20.496666666666666</v>
      </c>
      <c r="O39" s="99">
        <f>O38+1</f>
        <v>4</v>
      </c>
      <c r="P39" s="99">
        <f t="shared" si="10"/>
        <v>0.75</v>
      </c>
      <c r="Q39" s="82">
        <f>IF(P39-P38=P38-P37,P39,IF(P40-P38=P38-P37,P40,IF(P39-P38=P38-P36,P39,IF(P40-P38=P38-P36,P40,"-"))))</f>
        <v>0.75</v>
      </c>
      <c r="R39" s="83">
        <f>VLOOKUP(Q39,STN_TABLE,2,FALSE)</f>
        <v>10.9</v>
      </c>
      <c r="S39" s="83">
        <v>-1</v>
      </c>
      <c r="T39" s="82">
        <f>R39*S39</f>
        <v>-10.9</v>
      </c>
      <c r="U39" s="88">
        <v>-1</v>
      </c>
      <c r="V39" s="82">
        <f>R39*U39</f>
        <v>-10.9</v>
      </c>
      <c r="W39" s="84" t="str">
        <f>CONCATENATE("a'(",Q38,")=")</f>
        <v>a'(0.5)=</v>
      </c>
      <c r="X39" s="84">
        <f>2*X37/12*T40</f>
        <v>10.509166666666665</v>
      </c>
      <c r="Y39" s="84" t="str">
        <f>CONCATENATE("A(",Q37,")=")</f>
        <v>A(0.25)=</v>
      </c>
      <c r="Z39" s="84">
        <f>VLOOKUP(Q37,STN_TABLE,3,FALSE)</f>
        <v>9.9558333333333309</v>
      </c>
      <c r="AA39" t="str">
        <f>CONCATENATE("A(",Q38,")=")</f>
        <v>A(0.5)=</v>
      </c>
      <c r="AB39">
        <f>X39+Z39</f>
        <v>20.464999999999996</v>
      </c>
      <c r="AC39" s="99">
        <f>AC38+1</f>
        <v>3</v>
      </c>
      <c r="AD39" s="100">
        <f>VLOOKUP(AC39,STN_TABLE_2,2,FALSE)</f>
        <v>0.5</v>
      </c>
      <c r="AE39" s="82">
        <f>VLOOKUP(AD39,STN_TABLE,2,FALSE)</f>
        <v>10.67</v>
      </c>
      <c r="AF39" s="82">
        <v>2</v>
      </c>
      <c r="AG39" s="83">
        <f>AE39*AF39</f>
        <v>21.34</v>
      </c>
      <c r="AH39" s="84" t="str">
        <f>CONCATENATE("a'(",AD39,")=")</f>
        <v>a'(0.5)=</v>
      </c>
      <c r="AI39" s="84">
        <f>2*AI37/2*AE40</f>
        <v>10.5</v>
      </c>
      <c r="AJ39" s="84" t="str">
        <f>CONCATENATE("A(",AD38,")=")</f>
        <v>A(0.25)=</v>
      </c>
      <c r="AK39" s="84">
        <f>VLOOKUP(AD38,STN_TABLE,3,FALSE)</f>
        <v>9.9558333333333309</v>
      </c>
      <c r="AL39" t="str">
        <f>CONCATENATE("A(",AD39,")=")</f>
        <v>A(0.5)=</v>
      </c>
      <c r="AM39">
        <f>AI39+AK39</f>
        <v>20.455833333333331</v>
      </c>
      <c r="AO39" s="68" t="str">
        <f>AA39</f>
        <v>A(0.5)=</v>
      </c>
      <c r="AP39" s="68" t="e">
        <f>VLOOKUP(AO39,Rise_Results,2,FALSE)</f>
        <v>#N/A</v>
      </c>
      <c r="AQ39" s="76">
        <f>N39</f>
        <v>20.496666666666666</v>
      </c>
      <c r="AR39" s="76">
        <f>IF(OR(AB39&lt;=0,AB40&lt;=0),1/0,AB39)</f>
        <v>20.464999999999996</v>
      </c>
      <c r="AS39" s="76">
        <f>AM39</f>
        <v>20.455833333333331</v>
      </c>
      <c r="AT39">
        <f>IFERROR(AP39,IFERROR(AQ39,IFERROR(AR39,AS39)))</f>
        <v>20.496666666666666</v>
      </c>
    </row>
    <row r="40" spans="1:47" x14ac:dyDescent="0.25">
      <c r="A40">
        <v>4</v>
      </c>
      <c r="F40" s="82">
        <f>SUM(F37:F39)</f>
        <v>61.49</v>
      </c>
      <c r="H40" s="82">
        <f>SUM(H37:H39)</f>
        <v>15.664999999999999</v>
      </c>
      <c r="I40" s="84" t="str">
        <f>CONCATENATE("m'(",C39,")=")</f>
        <v>m'(0.5)=</v>
      </c>
      <c r="J40" s="84">
        <f>2*(J37*(WLS))/3*H40</f>
        <v>10.443333333333332</v>
      </c>
      <c r="K40" s="84" t="str">
        <f>CONCATENATE("M(",C37,")=")</f>
        <v>M(0)=</v>
      </c>
      <c r="L40" s="84">
        <f>VLOOKUP(C37,STN_TABLE,4,FALSE)</f>
        <v>0</v>
      </c>
      <c r="M40" t="str">
        <f>CONCATENATE("M(",C39,")=")</f>
        <v>M(0.5)=</v>
      </c>
      <c r="N40">
        <f>J40+L40</f>
        <v>10.443333333333332</v>
      </c>
      <c r="O40" s="99">
        <f>O39+1</f>
        <v>5</v>
      </c>
      <c r="P40" s="99">
        <f t="shared" si="10"/>
        <v>1</v>
      </c>
      <c r="T40" s="89">
        <f>SUM(T37:T39)</f>
        <v>126.10999999999999</v>
      </c>
      <c r="V40" s="82">
        <f>SUM(V37:V39)</f>
        <v>126.78999999999999</v>
      </c>
      <c r="W40" s="84" t="str">
        <f>CONCATENATE("m'(",Q38,")=")</f>
        <v>m'(0.5)=</v>
      </c>
      <c r="X40" s="84">
        <f>(2*(X37^2)/24*V40)+(X39*Q37*WLS)</f>
        <v>7.8960416666666653</v>
      </c>
      <c r="Y40" s="84" t="str">
        <f>CONCATENATE("M(",Q37,")=")</f>
        <v>M(0.25)=</v>
      </c>
      <c r="Z40" s="84">
        <f>VLOOKUP(Q37,STN_TABLE,4,FALSE)</f>
        <v>2.5235416666666666</v>
      </c>
      <c r="AA40" t="str">
        <f>CONCATENATE("M(",Q38,")=")</f>
        <v>M(0.5)=</v>
      </c>
      <c r="AB40">
        <f>X40+Z40</f>
        <v>10.419583333333332</v>
      </c>
      <c r="AE40" s="89">
        <f>SUM(AE38:AE39)</f>
        <v>21</v>
      </c>
      <c r="AG40" s="89">
        <f>SUM(AG38:AG39)</f>
        <v>31.67</v>
      </c>
      <c r="AH40" s="84" t="str">
        <f>CONCATENATE("m'(",AD39,")=")</f>
        <v>m'(0.5)=</v>
      </c>
      <c r="AI40" s="84">
        <f>(2*(AI37^2)/6*AG40)+(AI39*AD38*WLS)</f>
        <v>7.8891666666666662</v>
      </c>
      <c r="AJ40" s="84" t="str">
        <f>CONCATENATE("M(",AD38,")=")</f>
        <v>M(0.25)=</v>
      </c>
      <c r="AK40" s="84">
        <f>VLOOKUP(AD38,STN_TABLE,4,FALSE)</f>
        <v>2.5235416666666666</v>
      </c>
      <c r="AL40" t="str">
        <f>CONCATENATE("M(",AD39,")=")</f>
        <v>M(0.5)=</v>
      </c>
      <c r="AM40">
        <f>AI40+AK40</f>
        <v>10.412708333333333</v>
      </c>
      <c r="AO40" s="82" t="str">
        <f>AA40</f>
        <v>M(0.5)=</v>
      </c>
      <c r="AP40" s="82" t="e">
        <f>VLOOKUP(AO40,Rise_Results,2,FALSE)</f>
        <v>#N/A</v>
      </c>
      <c r="AQ40" s="82">
        <f>N40</f>
        <v>10.443333333333332</v>
      </c>
      <c r="AR40" s="82">
        <f>IF(OR(AB39&lt;=0,AB40&lt;=0),1/0,AB40)</f>
        <v>10.419583333333332</v>
      </c>
      <c r="AS40" s="82">
        <f>AM40</f>
        <v>10.412708333333333</v>
      </c>
      <c r="AT40">
        <f>IFERROR(AP40,IFERROR(AQ40,IFERROR(AR40,AS40)))</f>
        <v>10.443333333333332</v>
      </c>
    </row>
    <row r="41" spans="1:47" x14ac:dyDescent="0.25">
      <c r="A41" s="94">
        <v>0</v>
      </c>
      <c r="O41" s="101">
        <f>O36+1</f>
        <v>2</v>
      </c>
      <c r="P41" s="101">
        <f t="shared" si="10"/>
        <v>0.25</v>
      </c>
    </row>
    <row r="42" spans="1:47" x14ac:dyDescent="0.25">
      <c r="A42" s="94">
        <f>A41+1</f>
        <v>1</v>
      </c>
      <c r="B42" s="94">
        <f t="shared" ref="B42:B73" si="11">VLOOKUP(A42,STN_TABLE_2,2,FALSE)</f>
        <v>0</v>
      </c>
      <c r="C42" s="79">
        <f>IF(C43=B43,B42,IF(C43=B44,IF(C44-C43=C43-B43,B43,IF(C44-C43=C43-B42,B42,"NA"))))</f>
        <v>0.25</v>
      </c>
      <c r="D42" s="68">
        <f>VLOOKUP(C42,STN_TABLE,2,FALSE)</f>
        <v>10.33</v>
      </c>
      <c r="E42" s="102">
        <v>1</v>
      </c>
      <c r="F42" s="68">
        <f>D42*E42</f>
        <v>10.33</v>
      </c>
      <c r="G42" s="69">
        <f>C42</f>
        <v>0.25</v>
      </c>
      <c r="H42" s="69">
        <f>F42*G42</f>
        <v>2.5825</v>
      </c>
      <c r="I42" s="6" t="s">
        <v>93</v>
      </c>
      <c r="J42" s="70">
        <f>IF(OR(D42=0,D43=0,D44=0),"#NA",IF(AND(C44-C43=C43-C42,C43&lt;&gt;C44,C42&lt;&gt;C43,C42&lt;&gt;C44,D44&lt;&gt;0,OR(D42&lt;&gt;0,D43&lt;&gt;0)),WLS*(C44-C43),"#NA"))</f>
        <v>0.5</v>
      </c>
      <c r="O42" s="99">
        <f>O41+1</f>
        <v>3</v>
      </c>
      <c r="P42" s="99">
        <f t="shared" si="10"/>
        <v>0.5</v>
      </c>
      <c r="Q42" s="68">
        <f>IF(OR(P44-P43=P43-P42,P45-P43=P43-P42),P42,IF(OR(P44-P43=P43-P41,P45-P43=P43-P41),P41,"-"))</f>
        <v>0.5</v>
      </c>
      <c r="R42" s="69">
        <f>VLOOKUP(Q42,STN_TABLE,2,FALSE)</f>
        <v>10.67</v>
      </c>
      <c r="S42" s="69">
        <v>5</v>
      </c>
      <c r="T42" s="68">
        <f>R42*S42</f>
        <v>53.35</v>
      </c>
      <c r="U42" s="79">
        <v>3</v>
      </c>
      <c r="V42" s="68">
        <f>R42*U42</f>
        <v>32.01</v>
      </c>
      <c r="W42" s="6" t="s">
        <v>93</v>
      </c>
      <c r="X42" s="70">
        <f>IF(AND(Q44-Q43=Q43-Q42,NOT(AND(Q42=0,Q43=0)),NOT(AND(Q43=0,Q44=0))),WLS*(Q44-Q43),"#NA")</f>
        <v>0.5</v>
      </c>
      <c r="AD42" s="93"/>
      <c r="AH42" s="6" t="s">
        <v>93</v>
      </c>
      <c r="AI42" s="70">
        <f>WLS*(AD44-AD43)</f>
        <v>0.5</v>
      </c>
      <c r="AU42" s="81"/>
    </row>
    <row r="43" spans="1:47" x14ac:dyDescent="0.25">
      <c r="A43" s="94">
        <f>A42+1</f>
        <v>2</v>
      </c>
      <c r="B43" s="94">
        <f t="shared" si="11"/>
        <v>0.25</v>
      </c>
      <c r="C43" s="80">
        <f>IF(OR(B45-B44=B44-B43,B45-B44=B44-B42,),B44,IF(B45-B43=B43-B42,B43,"#NA"))</f>
        <v>0.5</v>
      </c>
      <c r="D43" s="76">
        <f>VLOOKUP(C43,STN_TABLE,2,FALSE)</f>
        <v>10.67</v>
      </c>
      <c r="E43" s="81">
        <v>4</v>
      </c>
      <c r="F43" s="76">
        <f>D43*E43</f>
        <v>42.68</v>
      </c>
      <c r="G43" s="77">
        <f>C43</f>
        <v>0.5</v>
      </c>
      <c r="H43" s="77">
        <f>F43*G43</f>
        <v>21.34</v>
      </c>
      <c r="I43" s="496" t="s">
        <v>97</v>
      </c>
      <c r="J43" s="496"/>
      <c r="K43" s="78" t="s">
        <v>98</v>
      </c>
      <c r="L43" s="78"/>
      <c r="M43" s="7" t="s">
        <v>99</v>
      </c>
      <c r="N43" s="7"/>
      <c r="O43" s="99">
        <f>O42+1</f>
        <v>4</v>
      </c>
      <c r="P43" s="99">
        <f t="shared" si="10"/>
        <v>0.75</v>
      </c>
      <c r="Q43" s="76">
        <f>P43</f>
        <v>0.75</v>
      </c>
      <c r="R43" s="77">
        <f>VLOOKUP(Q43,STN_TABLE,2,FALSE)</f>
        <v>10.9</v>
      </c>
      <c r="S43" s="77">
        <v>8</v>
      </c>
      <c r="T43" s="76">
        <f>R43*S43</f>
        <v>87.2</v>
      </c>
      <c r="U43" s="80">
        <v>10</v>
      </c>
      <c r="V43" s="76">
        <f>R43*U43</f>
        <v>109</v>
      </c>
      <c r="W43" s="496" t="s">
        <v>97</v>
      </c>
      <c r="X43" s="496"/>
      <c r="Y43" s="496" t="s">
        <v>98</v>
      </c>
      <c r="Z43" s="496"/>
      <c r="AA43" s="494" t="s">
        <v>99</v>
      </c>
      <c r="AB43" s="494"/>
      <c r="AC43" s="99">
        <f>AC38+1</f>
        <v>3</v>
      </c>
      <c r="AD43" s="95">
        <f>VLOOKUP(AC43,STN_TABLE_2,2,FALSE)</f>
        <v>0.5</v>
      </c>
      <c r="AE43" s="68">
        <f>VLOOKUP(AD43,STN_TABLE,2,FALSE)</f>
        <v>10.67</v>
      </c>
      <c r="AF43" s="68">
        <v>1</v>
      </c>
      <c r="AG43" s="69">
        <f>AE43*AF43</f>
        <v>10.67</v>
      </c>
      <c r="AH43" s="496" t="s">
        <v>97</v>
      </c>
      <c r="AI43" s="496"/>
      <c r="AJ43" s="496" t="s">
        <v>98</v>
      </c>
      <c r="AK43" s="496"/>
      <c r="AL43" s="494" t="s">
        <v>99</v>
      </c>
      <c r="AM43" s="494"/>
      <c r="AP43" s="86" t="s">
        <v>112</v>
      </c>
      <c r="AQ43" s="89" t="s">
        <v>113</v>
      </c>
      <c r="AR43" s="89" t="s">
        <v>114</v>
      </c>
      <c r="AS43" s="89" t="s">
        <v>115</v>
      </c>
      <c r="AU43" s="81"/>
    </row>
    <row r="44" spans="1:47" x14ac:dyDescent="0.25">
      <c r="A44" s="94">
        <f>A43+1</f>
        <v>3</v>
      </c>
      <c r="B44" s="94">
        <f t="shared" si="11"/>
        <v>0.5</v>
      </c>
      <c r="C44" s="88">
        <f>B45</f>
        <v>0.75</v>
      </c>
      <c r="D44" s="82">
        <f>VLOOKUP(C44,STN_TABLE,2,FALSE)</f>
        <v>10.9</v>
      </c>
      <c r="E44" s="92">
        <v>1</v>
      </c>
      <c r="F44" s="82">
        <f>D44*E44</f>
        <v>10.9</v>
      </c>
      <c r="G44" s="83">
        <f>C44</f>
        <v>0.75</v>
      </c>
      <c r="H44" s="83">
        <f>F44*G44</f>
        <v>8.1750000000000007</v>
      </c>
      <c r="I44" s="84" t="str">
        <f>CONCATENATE("a'(",C44,")=")</f>
        <v>a'(0.75)=</v>
      </c>
      <c r="J44" s="84">
        <f>2*J42/3*F45</f>
        <v>21.303333333333331</v>
      </c>
      <c r="K44" s="84" t="str">
        <f>CONCATENATE("A(",C42,")=")</f>
        <v>A(0.25)=</v>
      </c>
      <c r="L44" s="84">
        <f>VLOOKUP(C42,STN_TABLE,3,FALSE)</f>
        <v>9.9558333333333309</v>
      </c>
      <c r="M44" t="str">
        <f>CONCATENATE("A(",C44,")=")</f>
        <v>A(0.75)=</v>
      </c>
      <c r="N44">
        <f>J44+L44</f>
        <v>31.259166666666662</v>
      </c>
      <c r="O44" s="99">
        <f>O43+1</f>
        <v>5</v>
      </c>
      <c r="P44" s="99">
        <f t="shared" si="10"/>
        <v>1</v>
      </c>
      <c r="Q44" s="82">
        <f>IF(P44-P43=P43-P42,P44,IF(P45-P43=P43-P42,P45,IF(P44-P43=P43-P41,P44,IF(P45-P43=P43-P41,P45,"-"))))</f>
        <v>1</v>
      </c>
      <c r="R44" s="83">
        <f>VLOOKUP(Q44,STN_TABLE,2,FALSE)</f>
        <v>11</v>
      </c>
      <c r="S44" s="83">
        <v>-1</v>
      </c>
      <c r="T44" s="82">
        <f>R44*S44</f>
        <v>-11</v>
      </c>
      <c r="U44" s="88">
        <v>-1</v>
      </c>
      <c r="V44" s="82">
        <f>R44*U44</f>
        <v>-11</v>
      </c>
      <c r="W44" s="84" t="str">
        <f>CONCATENATE("a'(",Q43,")=")</f>
        <v>a'(0.75)=</v>
      </c>
      <c r="X44" s="84">
        <f>2*X42/12*T45</f>
        <v>10.795833333333334</v>
      </c>
      <c r="Y44" s="84" t="str">
        <f>CONCATENATE("A(",Q42,")=")</f>
        <v>A(0.5)=</v>
      </c>
      <c r="Z44" s="84">
        <f>VLOOKUP(Q42,STN_TABLE,3,FALSE)</f>
        <v>20.496666666666666</v>
      </c>
      <c r="AA44" t="str">
        <f>CONCATENATE("A(",Q43,")=")</f>
        <v>A(0.75)=</v>
      </c>
      <c r="AB44">
        <f>X44+Z44</f>
        <v>31.2925</v>
      </c>
      <c r="AC44" s="99">
        <f>AC43+1</f>
        <v>4</v>
      </c>
      <c r="AD44" s="100">
        <f>VLOOKUP(AC44,STN_TABLE_2,2,FALSE)</f>
        <v>0.75</v>
      </c>
      <c r="AE44" s="82">
        <f>VLOOKUP(AD44,STN_TABLE,2,FALSE)</f>
        <v>10.9</v>
      </c>
      <c r="AF44" s="82">
        <v>2</v>
      </c>
      <c r="AG44" s="83">
        <f>AE44*AF44</f>
        <v>21.8</v>
      </c>
      <c r="AH44" s="84" t="str">
        <f>CONCATENATE("a'(",AD44,")=")</f>
        <v>a'(0.75)=</v>
      </c>
      <c r="AI44" s="84">
        <f>2*AI42/2*AE45</f>
        <v>10.785</v>
      </c>
      <c r="AJ44" s="84" t="str">
        <f>CONCATENATE("A(",AD43,")=")</f>
        <v>A(0.5)=</v>
      </c>
      <c r="AK44" s="84">
        <f>VLOOKUP(AD43,STN_TABLE,3,FALSE)</f>
        <v>20.496666666666666</v>
      </c>
      <c r="AL44" t="str">
        <f>CONCATENATE("A(",AD44,")=")</f>
        <v>A(0.75)=</v>
      </c>
      <c r="AM44">
        <f>AI44+AK44</f>
        <v>31.281666666666666</v>
      </c>
      <c r="AO44" s="68" t="str">
        <f>AA44</f>
        <v>A(0.75)=</v>
      </c>
      <c r="AP44" s="68" t="e">
        <f>VLOOKUP(AO44,Rise_Results,2,FALSE)</f>
        <v>#N/A</v>
      </c>
      <c r="AQ44" s="76">
        <f>N44</f>
        <v>31.259166666666662</v>
      </c>
      <c r="AR44" s="76">
        <f>IF(OR(AB44&lt;=0,AB45&lt;=0),1/0,AB44)</f>
        <v>31.2925</v>
      </c>
      <c r="AS44" s="76">
        <f>AM44</f>
        <v>31.281666666666666</v>
      </c>
      <c r="AT44">
        <f>IFERROR(AP44,IFERROR(AQ44,IFERROR(AR44,AS44)))</f>
        <v>31.259166666666662</v>
      </c>
      <c r="AU44" s="81"/>
    </row>
    <row r="45" spans="1:47" x14ac:dyDescent="0.25">
      <c r="A45" s="94">
        <f>A44+1</f>
        <v>4</v>
      </c>
      <c r="B45" s="94">
        <f t="shared" si="11"/>
        <v>0.75</v>
      </c>
      <c r="F45" s="82">
        <f>SUM(F42:F44)</f>
        <v>63.91</v>
      </c>
      <c r="H45" s="82">
        <f>SUM(H42:H44)</f>
        <v>32.097499999999997</v>
      </c>
      <c r="I45" s="84" t="str">
        <f>CONCATENATE("m'(",C44,")=")</f>
        <v>m'(0.75)=</v>
      </c>
      <c r="J45" s="84">
        <f>2*(J42*(WLS))/3*H45</f>
        <v>21.39833333333333</v>
      </c>
      <c r="K45" s="84" t="str">
        <f>CONCATENATE("M(",C42,")=")</f>
        <v>M(0.25)=</v>
      </c>
      <c r="L45" s="84">
        <f>VLOOKUP(C42,STN_TABLE,4,FALSE)</f>
        <v>2.5235416666666666</v>
      </c>
      <c r="M45" t="str">
        <f>CONCATENATE("M(",C44,")=")</f>
        <v>M(0.75)=</v>
      </c>
      <c r="N45">
        <f>J45+L45</f>
        <v>23.921874999999996</v>
      </c>
      <c r="O45" s="99">
        <f>O44+1</f>
        <v>6</v>
      </c>
      <c r="P45" s="99">
        <f t="shared" si="10"/>
        <v>2</v>
      </c>
      <c r="T45" s="89">
        <f>SUM(T42:T44)</f>
        <v>129.55000000000001</v>
      </c>
      <c r="V45" s="82">
        <f>SUM(V42:V44)</f>
        <v>130.01</v>
      </c>
      <c r="W45" s="84" t="str">
        <f>CONCATENATE("m'(",Q43,")=")</f>
        <v>m'(0.75)=</v>
      </c>
      <c r="X45" s="84">
        <f>(2*(X42^2)/24*V45)+(X44*Q42*WLS)</f>
        <v>13.504375</v>
      </c>
      <c r="Y45" s="84" t="str">
        <f>CONCATENATE("M(",Q42,")=")</f>
        <v>M(0.5)=</v>
      </c>
      <c r="Z45" s="84">
        <f>VLOOKUP(Q42,STN_TABLE,4,FALSE)</f>
        <v>10.443333333333332</v>
      </c>
      <c r="AA45" t="str">
        <f>CONCATENATE("M(",Q43,")=")</f>
        <v>M(0.75)=</v>
      </c>
      <c r="AB45">
        <f>X45+Z45</f>
        <v>23.947708333333331</v>
      </c>
      <c r="AE45" s="89">
        <f>SUM(AE43:AE44)</f>
        <v>21.57</v>
      </c>
      <c r="AG45" s="89">
        <f>SUM(AG43:AG44)</f>
        <v>32.47</v>
      </c>
      <c r="AH45" s="84" t="str">
        <f>CONCATENATE("m'(",AD44,")=")</f>
        <v>m'(0.75)=</v>
      </c>
      <c r="AI45" s="84">
        <f>(2*(AI42^2)/6*AG45)+(AI44*AD43*WLS)</f>
        <v>13.490833333333333</v>
      </c>
      <c r="AJ45" s="84" t="str">
        <f>CONCATENATE("M(",AD43,")=")</f>
        <v>M(0.5)=</v>
      </c>
      <c r="AK45" s="84">
        <f>VLOOKUP(AD43,STN_TABLE,4,FALSE)</f>
        <v>10.443333333333332</v>
      </c>
      <c r="AL45" t="str">
        <f>CONCATENATE("M(",AD44,")=")</f>
        <v>M(0.75)=</v>
      </c>
      <c r="AM45">
        <f>AI45+AK45</f>
        <v>23.934166666666663</v>
      </c>
      <c r="AO45" s="82" t="str">
        <f>AA45</f>
        <v>M(0.75)=</v>
      </c>
      <c r="AP45" s="82" t="e">
        <f>VLOOKUP(AO45,Rise_Results,2,FALSE)</f>
        <v>#N/A</v>
      </c>
      <c r="AQ45" s="82">
        <f>N45</f>
        <v>23.921874999999996</v>
      </c>
      <c r="AR45" s="82">
        <f>IF(OR(AB44&lt;=0,AB45&lt;=0),1/0,AB45)</f>
        <v>23.947708333333331</v>
      </c>
      <c r="AS45" s="82">
        <f>AM45</f>
        <v>23.934166666666663</v>
      </c>
      <c r="AT45">
        <f>IFERROR(AP45,IFERROR(AQ45,IFERROR(AR45,AS45)))</f>
        <v>23.921874999999996</v>
      </c>
      <c r="AU45" s="81"/>
    </row>
    <row r="46" spans="1:47" x14ac:dyDescent="0.25">
      <c r="A46" s="101">
        <f>A41+1</f>
        <v>1</v>
      </c>
      <c r="B46" s="101">
        <f t="shared" si="11"/>
        <v>0</v>
      </c>
      <c r="O46" s="101">
        <f>O41+1</f>
        <v>3</v>
      </c>
      <c r="P46" s="101">
        <f t="shared" si="10"/>
        <v>0.5</v>
      </c>
      <c r="AU46" s="81"/>
    </row>
    <row r="47" spans="1:47" x14ac:dyDescent="0.25">
      <c r="A47" s="84">
        <f>A46+1</f>
        <v>2</v>
      </c>
      <c r="B47" s="84">
        <f t="shared" si="11"/>
        <v>0.25</v>
      </c>
      <c r="C47" s="79">
        <f>IF(C48=B49,IF(C49-C48=C48-B48,B48,IF(C49-C48=C48-B47,B47,"#NA")),IF(C48=B48,IF(C49-C48=C48-B47,B47,IF(C49-C48=C48-B46,B46,"#NA")),"#NA"))</f>
        <v>0.5</v>
      </c>
      <c r="D47" s="68">
        <f>VLOOKUP(C47,STN_TABLE,2,FALSE)</f>
        <v>10.67</v>
      </c>
      <c r="E47" s="102">
        <v>1</v>
      </c>
      <c r="F47" s="68">
        <f>D47*E47</f>
        <v>10.67</v>
      </c>
      <c r="G47" s="69">
        <f>C47</f>
        <v>0.5</v>
      </c>
      <c r="H47" s="69">
        <f>F47*G47</f>
        <v>5.335</v>
      </c>
      <c r="I47" s="6" t="s">
        <v>93</v>
      </c>
      <c r="J47" s="70">
        <f>IF(OR(D47=0,D48=0,D49=0),"#NA",IF(AND(C49-C48=C48-C47,C48&lt;&gt;C49,C47&lt;&gt;C48,C47&lt;&gt;C49,D49&lt;&gt;0,OR(D47&lt;&gt;0,D48&lt;&gt;0)),WLS*(C49-C48),"#NA"))</f>
        <v>0.5</v>
      </c>
      <c r="O47" s="99">
        <f>O46+1</f>
        <v>4</v>
      </c>
      <c r="P47" s="99">
        <f t="shared" si="10"/>
        <v>0.75</v>
      </c>
      <c r="Q47" s="68" t="str">
        <f>IF(OR(P49-P48=P48-P47,P50-P48=P48-P47),P47,IF(OR(P49-P48=P48-P46,P50-P48=P48-P46),P46,"-"))</f>
        <v>-</v>
      </c>
      <c r="R47" s="69" t="e">
        <f>VLOOKUP(Q47,STN_TABLE,2,FALSE)</f>
        <v>#N/A</v>
      </c>
      <c r="S47" s="69">
        <v>5</v>
      </c>
      <c r="T47" s="68" t="e">
        <f>R47*S47</f>
        <v>#N/A</v>
      </c>
      <c r="U47" s="79">
        <v>3</v>
      </c>
      <c r="V47" s="68" t="e">
        <f>R47*U47</f>
        <v>#N/A</v>
      </c>
      <c r="W47" s="6" t="s">
        <v>93</v>
      </c>
      <c r="X47" s="70" t="e">
        <f>IF(AND(Q49-Q48=Q48-Q47,NOT(AND(Q47=0,Q48=0)),NOT(AND(Q48=0,Q49=0))),WLS*(Q49-Q48),"#NA")</f>
        <v>#VALUE!</v>
      </c>
      <c r="AD47" s="93"/>
      <c r="AH47" s="6" t="s">
        <v>93</v>
      </c>
      <c r="AI47" s="70">
        <f>WLS*(AD49-AD48)</f>
        <v>0.5</v>
      </c>
      <c r="AU47" s="81"/>
    </row>
    <row r="48" spans="1:47" x14ac:dyDescent="0.25">
      <c r="A48" s="84">
        <f>A47+1</f>
        <v>3</v>
      </c>
      <c r="B48" s="84">
        <f t="shared" si="11"/>
        <v>0.5</v>
      </c>
      <c r="C48" s="80">
        <f>IF(OR(B50-B49=B49-B48,B50-B49=B49-B47,B50-B49=B49-B46),B49,IF(OR(B50-B48=B48-B47,B50-B48=B48-B46),B48,IF(B50-B47=B47-B46,B47,"#NA")))</f>
        <v>0.75</v>
      </c>
      <c r="D48" s="76">
        <f>VLOOKUP(C48,STN_TABLE,2,FALSE)</f>
        <v>10.9</v>
      </c>
      <c r="E48" s="81">
        <v>4</v>
      </c>
      <c r="F48" s="76">
        <f>D48*E48</f>
        <v>43.6</v>
      </c>
      <c r="G48" s="77">
        <f>C48</f>
        <v>0.75</v>
      </c>
      <c r="H48" s="77">
        <f>F48*G48</f>
        <v>32.700000000000003</v>
      </c>
      <c r="I48" s="496" t="s">
        <v>97</v>
      </c>
      <c r="J48" s="496"/>
      <c r="K48" s="78" t="s">
        <v>98</v>
      </c>
      <c r="L48" s="78"/>
      <c r="M48" s="7" t="s">
        <v>99</v>
      </c>
      <c r="N48" s="7"/>
      <c r="O48" s="99">
        <f>O47+1</f>
        <v>5</v>
      </c>
      <c r="P48" s="99">
        <f t="shared" si="10"/>
        <v>1</v>
      </c>
      <c r="Q48" s="76">
        <f>P48</f>
        <v>1</v>
      </c>
      <c r="R48" s="77">
        <f>VLOOKUP(Q48,STN_TABLE,2,FALSE)</f>
        <v>11</v>
      </c>
      <c r="S48" s="77">
        <v>8</v>
      </c>
      <c r="T48" s="76">
        <f>R48*S48</f>
        <v>88</v>
      </c>
      <c r="U48" s="80">
        <v>10</v>
      </c>
      <c r="V48" s="76">
        <f>R48*U48</f>
        <v>110</v>
      </c>
      <c r="W48" s="496" t="s">
        <v>97</v>
      </c>
      <c r="X48" s="496"/>
      <c r="Y48" s="496" t="s">
        <v>98</v>
      </c>
      <c r="Z48" s="496"/>
      <c r="AA48" s="494" t="s">
        <v>99</v>
      </c>
      <c r="AB48" s="494"/>
      <c r="AC48" s="99">
        <f>AC43+1</f>
        <v>4</v>
      </c>
      <c r="AD48" s="95">
        <f>VLOOKUP(AC48,STN_TABLE_2,2,FALSE)</f>
        <v>0.75</v>
      </c>
      <c r="AE48" s="68">
        <f>VLOOKUP(AD48,STN_TABLE,2,FALSE)</f>
        <v>10.9</v>
      </c>
      <c r="AF48" s="68">
        <v>1</v>
      </c>
      <c r="AG48" s="69">
        <f>AE48*AF48</f>
        <v>10.9</v>
      </c>
      <c r="AH48" s="496" t="s">
        <v>97</v>
      </c>
      <c r="AI48" s="496"/>
      <c r="AJ48" s="496" t="s">
        <v>98</v>
      </c>
      <c r="AK48" s="496"/>
      <c r="AL48" s="494" t="s">
        <v>99</v>
      </c>
      <c r="AM48" s="494"/>
      <c r="AP48" s="86" t="s">
        <v>112</v>
      </c>
      <c r="AQ48" s="89" t="s">
        <v>113</v>
      </c>
      <c r="AR48" s="89" t="s">
        <v>114</v>
      </c>
      <c r="AS48" s="89" t="s">
        <v>115</v>
      </c>
      <c r="AU48" s="81"/>
    </row>
    <row r="49" spans="1:47" x14ac:dyDescent="0.25">
      <c r="A49" s="84">
        <f>A48+1</f>
        <v>4</v>
      </c>
      <c r="B49" s="84">
        <f t="shared" si="11"/>
        <v>0.75</v>
      </c>
      <c r="C49" s="88">
        <f>B50</f>
        <v>1</v>
      </c>
      <c r="D49" s="82">
        <f>VLOOKUP(C49,STN_TABLE,2,FALSE)</f>
        <v>11</v>
      </c>
      <c r="E49" s="92">
        <v>1</v>
      </c>
      <c r="F49" s="82">
        <f>D49*E49</f>
        <v>11</v>
      </c>
      <c r="G49" s="83">
        <f>C49</f>
        <v>1</v>
      </c>
      <c r="H49" s="83">
        <f>F49*G49</f>
        <v>11</v>
      </c>
      <c r="I49" s="84" t="str">
        <f>CONCATENATE("a'(",C49,")=")</f>
        <v>a'(1)=</v>
      </c>
      <c r="J49" s="84">
        <f>2*J47/3*F50</f>
        <v>21.756666666666668</v>
      </c>
      <c r="K49" s="84" t="str">
        <f>CONCATENATE("A(",C47,")=")</f>
        <v>A(0.5)=</v>
      </c>
      <c r="L49" s="84">
        <f>VLOOKUP(C47,STN_TABLE,3,FALSE)</f>
        <v>20.496666666666666</v>
      </c>
      <c r="M49" t="str">
        <f>CONCATENATE("A(",C49,")=")</f>
        <v>A(1)=</v>
      </c>
      <c r="N49">
        <f>J49+L49</f>
        <v>42.25333333333333</v>
      </c>
      <c r="O49" s="99">
        <f>O48+1</f>
        <v>6</v>
      </c>
      <c r="P49" s="99">
        <f t="shared" si="10"/>
        <v>2</v>
      </c>
      <c r="Q49" s="82" t="str">
        <f>IF(P49-P48=P48-P47,P49,IF(P50-P48=P48-P47,P50,IF(P49-P48=P48-P46,P49,IF(P50-P48=P48-P46,P50,"-"))))</f>
        <v>-</v>
      </c>
      <c r="R49" s="83" t="e">
        <f>VLOOKUP(Q49,STN_TABLE,2,FALSE)</f>
        <v>#N/A</v>
      </c>
      <c r="S49" s="83">
        <v>-1</v>
      </c>
      <c r="T49" s="82" t="e">
        <f>R49*S49</f>
        <v>#N/A</v>
      </c>
      <c r="U49" s="88">
        <v>-1</v>
      </c>
      <c r="V49" s="82" t="e">
        <f>R49*U49</f>
        <v>#N/A</v>
      </c>
      <c r="W49" s="84" t="str">
        <f>CONCATENATE("a'(",Q48,")=")</f>
        <v>a'(1)=</v>
      </c>
      <c r="X49" s="84" t="e">
        <f>2*X47/12*T50</f>
        <v>#VALUE!</v>
      </c>
      <c r="Y49" s="84" t="str">
        <f>CONCATENATE("A(",Q47,")=")</f>
        <v>A(-)=</v>
      </c>
      <c r="Z49" s="84" t="e">
        <f>VLOOKUP(Q47,STN_TABLE,3,FALSE)</f>
        <v>#N/A</v>
      </c>
      <c r="AA49" t="str">
        <f>CONCATENATE("A(",Q48,")=")</f>
        <v>A(1)=</v>
      </c>
      <c r="AB49" t="e">
        <f>X49+Z49</f>
        <v>#VALUE!</v>
      </c>
      <c r="AC49" s="99">
        <f>AC48+1</f>
        <v>5</v>
      </c>
      <c r="AD49" s="100">
        <f>VLOOKUP(AC49,STN_TABLE_2,2,FALSE)</f>
        <v>1</v>
      </c>
      <c r="AE49" s="82">
        <f>VLOOKUP(AD49,STN_TABLE,2,FALSE)</f>
        <v>11</v>
      </c>
      <c r="AF49" s="82">
        <v>2</v>
      </c>
      <c r="AG49" s="83">
        <f>AE49*AF49</f>
        <v>22</v>
      </c>
      <c r="AH49" s="84" t="str">
        <f>CONCATENATE("a'(",AD49,")=")</f>
        <v>a'(1)=</v>
      </c>
      <c r="AI49" s="84">
        <f>2*AI47/2*AE50</f>
        <v>10.95</v>
      </c>
      <c r="AJ49" s="84" t="str">
        <f>CONCATENATE("A(",AD48,")=")</f>
        <v>A(0.75)=</v>
      </c>
      <c r="AK49" s="84">
        <f>VLOOKUP(AD48,STN_TABLE,3,FALSE)</f>
        <v>31.259166666666662</v>
      </c>
      <c r="AL49" t="str">
        <f>CONCATENATE("A(",AD49,")=")</f>
        <v>A(1)=</v>
      </c>
      <c r="AM49">
        <f>AI49+AK49</f>
        <v>42.209166666666661</v>
      </c>
      <c r="AO49" s="68" t="str">
        <f>AA49</f>
        <v>A(1)=</v>
      </c>
      <c r="AP49" s="68" t="e">
        <f>VLOOKUP(AO49,Rise_Results,2,FALSE)</f>
        <v>#N/A</v>
      </c>
      <c r="AQ49" s="76">
        <f>N49</f>
        <v>42.25333333333333</v>
      </c>
      <c r="AR49" s="76" t="e">
        <f>IF(OR(AB49&lt;=0,AB50&lt;=0),1/0,AB49)</f>
        <v>#VALUE!</v>
      </c>
      <c r="AS49" s="76">
        <f>AM49</f>
        <v>42.209166666666661</v>
      </c>
      <c r="AT49">
        <f>IFERROR(AP49,IFERROR(AQ49,IFERROR(AR49,AS49)))</f>
        <v>42.25333333333333</v>
      </c>
      <c r="AU49" s="81"/>
    </row>
    <row r="50" spans="1:47" x14ac:dyDescent="0.25">
      <c r="A50" s="84">
        <f>A49+1</f>
        <v>5</v>
      </c>
      <c r="B50" s="84">
        <f t="shared" si="11"/>
        <v>1</v>
      </c>
      <c r="F50" s="82">
        <f>SUM(F47:F49)</f>
        <v>65.27000000000001</v>
      </c>
      <c r="H50" s="82">
        <f>SUM(H47:H49)</f>
        <v>49.035000000000004</v>
      </c>
      <c r="I50" s="84" t="str">
        <f>CONCATENATE("m'(",C49,")=")</f>
        <v>m'(1)=</v>
      </c>
      <c r="J50" s="84">
        <f>2*(J47*(WLS))/3*H50</f>
        <v>32.69</v>
      </c>
      <c r="K50" s="84" t="str">
        <f>CONCATENATE("M(",C47,")=")</f>
        <v>M(0.5)=</v>
      </c>
      <c r="L50" s="84">
        <f>VLOOKUP(C47,STN_TABLE,4,FALSE)</f>
        <v>10.443333333333332</v>
      </c>
      <c r="M50" t="str">
        <f>CONCATENATE("M(",C49,")=")</f>
        <v>M(1)=</v>
      </c>
      <c r="N50">
        <f>J50+L50</f>
        <v>43.133333333333326</v>
      </c>
      <c r="O50" s="99">
        <f>O49+1</f>
        <v>7</v>
      </c>
      <c r="P50" s="99">
        <f t="shared" si="10"/>
        <v>3</v>
      </c>
      <c r="T50" s="89" t="e">
        <f>SUM(T47:T49)</f>
        <v>#N/A</v>
      </c>
      <c r="V50" s="82" t="e">
        <f>SUM(V47:V49)</f>
        <v>#N/A</v>
      </c>
      <c r="W50" s="84" t="str">
        <f>CONCATENATE("m'(",Q48,")=")</f>
        <v>m'(1)=</v>
      </c>
      <c r="X50" s="84" t="e">
        <f>(2*(X47^2)/24*V50)+(X49*Q47*WLS)</f>
        <v>#VALUE!</v>
      </c>
      <c r="Y50" s="84" t="str">
        <f>CONCATENATE("M(",Q47,")=")</f>
        <v>M(-)=</v>
      </c>
      <c r="Z50" s="84" t="e">
        <f>VLOOKUP(Q47,STN_TABLE,4,FALSE)</f>
        <v>#N/A</v>
      </c>
      <c r="AA50" t="str">
        <f>CONCATENATE("M(",Q48,")=")</f>
        <v>M(1)=</v>
      </c>
      <c r="AB50" t="e">
        <f>X50+Z50</f>
        <v>#VALUE!</v>
      </c>
      <c r="AE50" s="89">
        <f>SUM(AE48:AE49)</f>
        <v>21.9</v>
      </c>
      <c r="AG50" s="89">
        <f>SUM(AG48:AG49)</f>
        <v>32.9</v>
      </c>
      <c r="AH50" s="84" t="str">
        <f>CONCATENATE("m'(",AD49,")=")</f>
        <v>m'(1)=</v>
      </c>
      <c r="AI50" s="84">
        <f>(2*(AI47^2)/6*AG50)+(AI49*AD48*WLS)</f>
        <v>19.166666666666664</v>
      </c>
      <c r="AJ50" s="84" t="str">
        <f>CONCATENATE("M(",AD48,")=")</f>
        <v>M(0.75)=</v>
      </c>
      <c r="AK50" s="84">
        <f>VLOOKUP(AD48,STN_TABLE,4,FALSE)</f>
        <v>23.921874999999996</v>
      </c>
      <c r="AL50" t="str">
        <f>CONCATENATE("M(",AD49,")=")</f>
        <v>M(1)=</v>
      </c>
      <c r="AM50">
        <f>AI50+AK50</f>
        <v>43.088541666666657</v>
      </c>
      <c r="AO50" s="82" t="str">
        <f>AA50</f>
        <v>M(1)=</v>
      </c>
      <c r="AP50" s="82" t="e">
        <f>VLOOKUP(AO50,Rise_Results,2,FALSE)</f>
        <v>#N/A</v>
      </c>
      <c r="AQ50" s="82">
        <f>N50</f>
        <v>43.133333333333326</v>
      </c>
      <c r="AR50" s="82" t="e">
        <f>IF(OR(AB49&lt;=0,AB50&lt;=0),1/0,AB50)</f>
        <v>#VALUE!</v>
      </c>
      <c r="AS50" s="82">
        <f>AM50</f>
        <v>43.088541666666657</v>
      </c>
      <c r="AT50">
        <f>IFERROR(AP50,IFERROR(AQ50,IFERROR(AR50,AS50)))</f>
        <v>43.133333333333326</v>
      </c>
      <c r="AU50" s="81"/>
    </row>
    <row r="51" spans="1:47" x14ac:dyDescent="0.25">
      <c r="A51" s="101">
        <f>A46+1</f>
        <v>2</v>
      </c>
      <c r="B51" s="101">
        <f t="shared" si="11"/>
        <v>0.25</v>
      </c>
      <c r="O51" s="101">
        <f>O46+1</f>
        <v>4</v>
      </c>
      <c r="P51" s="101">
        <f t="shared" si="10"/>
        <v>0.75</v>
      </c>
      <c r="AU51" s="81"/>
    </row>
    <row r="52" spans="1:47" x14ac:dyDescent="0.25">
      <c r="A52" s="84">
        <f>A51+1</f>
        <v>3</v>
      </c>
      <c r="B52" s="84">
        <f t="shared" si="11"/>
        <v>0.5</v>
      </c>
      <c r="C52" s="79" t="str">
        <f t="shared" ref="C52" si="12">IF(C53=B54,IF(C54-C53=C53-B53,B53,IF(C54-C53=C53-B52,B52,"#NA")),IF(C53=B53,IF(C54-C53=C53-B52,B52,IF(C54-C53=C53-B51,B51,"#NA")),"#NA"))</f>
        <v>#NA</v>
      </c>
      <c r="D52" s="68" t="e">
        <f>VLOOKUP(C52,STN_TABLE,2,FALSE)</f>
        <v>#N/A</v>
      </c>
      <c r="E52" s="102">
        <v>1</v>
      </c>
      <c r="F52" s="68" t="e">
        <f>D52*E52</f>
        <v>#N/A</v>
      </c>
      <c r="G52" s="69" t="str">
        <f>C52</f>
        <v>#NA</v>
      </c>
      <c r="H52" s="69" t="e">
        <f>F52*G52</f>
        <v>#N/A</v>
      </c>
      <c r="I52" s="6" t="s">
        <v>93</v>
      </c>
      <c r="J52" s="70" t="e">
        <f>IF(OR(D52=0,D53=0,D54=0),"#NA",IF(AND(C54-C53=C53-C52,C53&lt;&gt;C54,C52&lt;&gt;C53,C52&lt;&gt;C54,D54&lt;&gt;0,OR(D52&lt;&gt;0,D53&lt;&gt;0)),WLS*(C54-C53),"#NA"))</f>
        <v>#N/A</v>
      </c>
      <c r="O52" s="99">
        <f>O51+1</f>
        <v>5</v>
      </c>
      <c r="P52" s="99">
        <f t="shared" si="10"/>
        <v>1</v>
      </c>
      <c r="Q52" s="68">
        <f>IF(OR(P54-P53=P53-P52,P55-P53=P53-P52),P52,IF(OR(P54-P53=P53-P51,P55-P53=P53-P51),P51,"-"))</f>
        <v>1</v>
      </c>
      <c r="R52" s="69">
        <f>VLOOKUP(Q52,STN_TABLE,2,FALSE)</f>
        <v>11</v>
      </c>
      <c r="S52" s="69">
        <v>5</v>
      </c>
      <c r="T52" s="68">
        <f>R52*S52</f>
        <v>55</v>
      </c>
      <c r="U52" s="79">
        <v>3</v>
      </c>
      <c r="V52" s="68">
        <f>R52*U52</f>
        <v>33</v>
      </c>
      <c r="W52" s="6" t="s">
        <v>93</v>
      </c>
      <c r="X52" s="70">
        <f>IF(AND(Q54-Q53=Q53-Q52,NOT(AND(Q52=0,Q53=0)),NOT(AND(Q53=0,Q54=0))),WLS*(Q54-Q53),"#NA")</f>
        <v>2</v>
      </c>
      <c r="AD52" s="93"/>
      <c r="AH52" s="6" t="s">
        <v>93</v>
      </c>
      <c r="AI52" s="70">
        <f>WLS*(AD54-AD53)</f>
        <v>2</v>
      </c>
      <c r="AU52" s="81"/>
    </row>
    <row r="53" spans="1:47" x14ac:dyDescent="0.25">
      <c r="A53" s="84">
        <f>A52+1</f>
        <v>4</v>
      </c>
      <c r="B53" s="84">
        <f t="shared" si="11"/>
        <v>0.75</v>
      </c>
      <c r="C53" s="80" t="str">
        <f t="shared" ref="C53" si="13">IF(OR(B55-B54=B54-B53,B55-B54=B54-B52,B55-B54=B54-B51),B54,IF(OR(B55-B53=B53-B52,B55-B53=B53-B51),B53,IF(B55-B52=B52-B51,B52,"#NA")))</f>
        <v>#NA</v>
      </c>
      <c r="D53" s="76" t="e">
        <f>VLOOKUP(C53,STN_TABLE,2,FALSE)</f>
        <v>#N/A</v>
      </c>
      <c r="E53" s="81">
        <v>4</v>
      </c>
      <c r="F53" s="76" t="e">
        <f>D53*E53</f>
        <v>#N/A</v>
      </c>
      <c r="G53" s="77" t="str">
        <f>C53</f>
        <v>#NA</v>
      </c>
      <c r="H53" s="77" t="e">
        <f>F53*G53</f>
        <v>#N/A</v>
      </c>
      <c r="I53" s="495" t="s">
        <v>97</v>
      </c>
      <c r="J53" s="496"/>
      <c r="K53" s="78" t="s">
        <v>98</v>
      </c>
      <c r="L53" s="78"/>
      <c r="M53" s="7" t="s">
        <v>99</v>
      </c>
      <c r="N53" s="7"/>
      <c r="O53" s="99">
        <f>O52+1</f>
        <v>6</v>
      </c>
      <c r="P53" s="99">
        <f t="shared" si="10"/>
        <v>2</v>
      </c>
      <c r="Q53" s="76">
        <f>P53</f>
        <v>2</v>
      </c>
      <c r="R53" s="77">
        <f>VLOOKUP(Q53,STN_TABLE,2,FALSE)</f>
        <v>11</v>
      </c>
      <c r="S53" s="77">
        <v>8</v>
      </c>
      <c r="T53" s="76">
        <f>R53*S53</f>
        <v>88</v>
      </c>
      <c r="U53" s="80">
        <v>10</v>
      </c>
      <c r="V53" s="76">
        <f>R53*U53</f>
        <v>110</v>
      </c>
      <c r="W53" s="496" t="s">
        <v>97</v>
      </c>
      <c r="X53" s="496"/>
      <c r="Y53" s="496" t="s">
        <v>98</v>
      </c>
      <c r="Z53" s="496"/>
      <c r="AA53" s="494" t="s">
        <v>99</v>
      </c>
      <c r="AB53" s="494"/>
      <c r="AC53" s="99">
        <f>AC48+1</f>
        <v>5</v>
      </c>
      <c r="AD53" s="95">
        <f>VLOOKUP(AC53,STN_TABLE_2,2,FALSE)</f>
        <v>1</v>
      </c>
      <c r="AE53" s="68">
        <f>VLOOKUP(AD53,STN_TABLE,2,FALSE)</f>
        <v>11</v>
      </c>
      <c r="AF53" s="68">
        <v>1</v>
      </c>
      <c r="AG53" s="69">
        <f>AE53*AF53</f>
        <v>11</v>
      </c>
      <c r="AH53" s="496" t="s">
        <v>97</v>
      </c>
      <c r="AI53" s="496"/>
      <c r="AJ53" s="496" t="s">
        <v>98</v>
      </c>
      <c r="AK53" s="496"/>
      <c r="AL53" s="494" t="s">
        <v>99</v>
      </c>
      <c r="AM53" s="494"/>
      <c r="AP53" s="86" t="s">
        <v>112</v>
      </c>
      <c r="AQ53" s="89" t="s">
        <v>113</v>
      </c>
      <c r="AR53" s="89" t="s">
        <v>114</v>
      </c>
      <c r="AS53" s="89" t="s">
        <v>115</v>
      </c>
      <c r="AU53" s="81"/>
    </row>
    <row r="54" spans="1:47" x14ac:dyDescent="0.25">
      <c r="A54" s="84">
        <f>A53+1</f>
        <v>5</v>
      </c>
      <c r="B54" s="84">
        <f t="shared" si="11"/>
        <v>1</v>
      </c>
      <c r="C54" s="88">
        <f t="shared" ref="C54" si="14">B55</f>
        <v>2</v>
      </c>
      <c r="D54" s="82">
        <f>VLOOKUP(C54,STN_TABLE,2,FALSE)</f>
        <v>11</v>
      </c>
      <c r="E54" s="92">
        <v>1</v>
      </c>
      <c r="F54" s="82">
        <f>D54*E54</f>
        <v>11</v>
      </c>
      <c r="G54" s="83">
        <f>C54</f>
        <v>2</v>
      </c>
      <c r="H54" s="83">
        <f>F54*G54</f>
        <v>22</v>
      </c>
      <c r="I54" s="84" t="str">
        <f>CONCATENATE("a'(",C54,")=")</f>
        <v>a'(2)=</v>
      </c>
      <c r="J54" s="84" t="e">
        <f>2*J52/3*F55</f>
        <v>#N/A</v>
      </c>
      <c r="K54" s="84" t="str">
        <f>CONCATENATE("A(",C52,")=")</f>
        <v>A(#NA)=</v>
      </c>
      <c r="L54" s="84" t="e">
        <f>VLOOKUP(C52,STN_TABLE,3,FALSE)</f>
        <v>#N/A</v>
      </c>
      <c r="M54" t="str">
        <f>CONCATENATE("A(",C54,")=")</f>
        <v>A(2)=</v>
      </c>
      <c r="N54" t="e">
        <f>J54+L54</f>
        <v>#N/A</v>
      </c>
      <c r="O54" s="99">
        <f>O53+1</f>
        <v>7</v>
      </c>
      <c r="P54" s="99">
        <f t="shared" si="10"/>
        <v>3</v>
      </c>
      <c r="Q54" s="82">
        <f>IF(P54-P53=P53-P52,P54,IF(P55-P53=P53-P52,P55,IF(P54-P53=P53-P51,P54,IF(P55-P53=P53-P51,P55,"-"))))</f>
        <v>3</v>
      </c>
      <c r="R54" s="83">
        <f>VLOOKUP(Q54,STN_TABLE,2,FALSE)</f>
        <v>11</v>
      </c>
      <c r="S54" s="83">
        <v>-1</v>
      </c>
      <c r="T54" s="82">
        <f>R54*S54</f>
        <v>-11</v>
      </c>
      <c r="U54" s="88">
        <v>-1</v>
      </c>
      <c r="V54" s="82">
        <f>R54*U54</f>
        <v>-11</v>
      </c>
      <c r="W54" s="84" t="str">
        <f>CONCATENATE("a'(",Q53,")=")</f>
        <v>a'(2)=</v>
      </c>
      <c r="X54" s="84">
        <f>2*X52/12*T55</f>
        <v>44</v>
      </c>
      <c r="Y54" s="84" t="str">
        <f>CONCATENATE("A(",Q52,")=")</f>
        <v>A(1)=</v>
      </c>
      <c r="Z54" s="84">
        <f>VLOOKUP(Q52,STN_TABLE,3,FALSE)</f>
        <v>42.25333333333333</v>
      </c>
      <c r="AA54" t="str">
        <f>CONCATENATE("A(",Q53,")=")</f>
        <v>A(2)=</v>
      </c>
      <c r="AB54">
        <f>X54+Z54</f>
        <v>86.25333333333333</v>
      </c>
      <c r="AC54" s="99">
        <f>AC53+1</f>
        <v>6</v>
      </c>
      <c r="AD54" s="100">
        <f>VLOOKUP(AC54,STN_TABLE_2,2,FALSE)</f>
        <v>2</v>
      </c>
      <c r="AE54" s="82">
        <f>VLOOKUP(AD54,STN_TABLE,2,FALSE)</f>
        <v>11</v>
      </c>
      <c r="AF54" s="82">
        <v>2</v>
      </c>
      <c r="AG54" s="83">
        <f>AE54*AF54</f>
        <v>22</v>
      </c>
      <c r="AH54" s="84" t="str">
        <f>CONCATENATE("a'(",AD54,")=")</f>
        <v>a'(2)=</v>
      </c>
      <c r="AI54" s="84">
        <f>2*AI52/2*AE55</f>
        <v>44</v>
      </c>
      <c r="AJ54" s="84" t="str">
        <f>CONCATENATE("A(",AD53,")=")</f>
        <v>A(1)=</v>
      </c>
      <c r="AK54" s="84">
        <f>VLOOKUP(AD53,STN_TABLE,3,FALSE)</f>
        <v>42.25333333333333</v>
      </c>
      <c r="AL54" t="str">
        <f>CONCATENATE("A(",AD54,")=")</f>
        <v>A(2)=</v>
      </c>
      <c r="AM54">
        <f>AI54+AK54</f>
        <v>86.25333333333333</v>
      </c>
      <c r="AO54" s="68" t="str">
        <f>AA54</f>
        <v>A(2)=</v>
      </c>
      <c r="AP54" s="68" t="e">
        <f>VLOOKUP(AO54,Rise_Results,2,FALSE)</f>
        <v>#N/A</v>
      </c>
      <c r="AQ54" s="76" t="e">
        <f>N54</f>
        <v>#N/A</v>
      </c>
      <c r="AR54" s="76">
        <f>IF(OR(AB54&lt;=0,AB55&lt;=0),1/0,AB54)</f>
        <v>86.25333333333333</v>
      </c>
      <c r="AS54" s="76">
        <f>AM54</f>
        <v>86.25333333333333</v>
      </c>
      <c r="AT54">
        <f>IFERROR(AP54,IFERROR(AQ54,IFERROR(AR54,AS54)))</f>
        <v>86.25333333333333</v>
      </c>
      <c r="AU54" s="81"/>
    </row>
    <row r="55" spans="1:47" x14ac:dyDescent="0.25">
      <c r="A55" s="84">
        <f>A54+1</f>
        <v>6</v>
      </c>
      <c r="B55" s="84">
        <f t="shared" si="11"/>
        <v>2</v>
      </c>
      <c r="F55" s="82" t="e">
        <f>SUM(F52:F54)</f>
        <v>#N/A</v>
      </c>
      <c r="H55" s="82" t="e">
        <f>SUM(H52:H54)</f>
        <v>#N/A</v>
      </c>
      <c r="I55" s="84" t="str">
        <f>CONCATENATE("m'(",C54,")=")</f>
        <v>m'(2)=</v>
      </c>
      <c r="J55" s="84" t="e">
        <f>2*(J52*(WLS))/3*H55</f>
        <v>#N/A</v>
      </c>
      <c r="K55" s="84" t="str">
        <f>CONCATENATE("M(",C52,")=")</f>
        <v>M(#NA)=</v>
      </c>
      <c r="L55" s="84" t="e">
        <f>VLOOKUP(C52,STN_TABLE,4,FALSE)</f>
        <v>#N/A</v>
      </c>
      <c r="M55" t="str">
        <f>CONCATENATE("M(",C54,")=")</f>
        <v>M(2)=</v>
      </c>
      <c r="N55" t="e">
        <f>J55+L55</f>
        <v>#N/A</v>
      </c>
      <c r="O55" s="99">
        <f>O54+1</f>
        <v>8</v>
      </c>
      <c r="P55" s="99">
        <f t="shared" si="10"/>
        <v>4</v>
      </c>
      <c r="T55" s="89">
        <f>SUM(T52:T54)</f>
        <v>132</v>
      </c>
      <c r="V55" s="82">
        <f>SUM(V52:V54)</f>
        <v>132</v>
      </c>
      <c r="W55" s="84" t="str">
        <f>CONCATENATE("m'(",Q53,")=")</f>
        <v>m'(2)=</v>
      </c>
      <c r="X55" s="84">
        <f>(2*(X52^2)/24*V55)+(X54*Q52*WLS)</f>
        <v>132</v>
      </c>
      <c r="Y55" s="84" t="str">
        <f>CONCATENATE("M(",Q52,")=")</f>
        <v>M(1)=</v>
      </c>
      <c r="Z55" s="84">
        <f>VLOOKUP(Q52,STN_TABLE,4,FALSE)</f>
        <v>43.133333333333326</v>
      </c>
      <c r="AA55" t="str">
        <f>CONCATENATE("M(",Q53,")=")</f>
        <v>M(2)=</v>
      </c>
      <c r="AB55">
        <f>X55+Z55</f>
        <v>175.13333333333333</v>
      </c>
      <c r="AE55" s="89">
        <f>SUM(AE53:AE54)</f>
        <v>22</v>
      </c>
      <c r="AG55" s="89">
        <f>SUM(AG53:AG54)</f>
        <v>33</v>
      </c>
      <c r="AH55" s="84" t="str">
        <f>CONCATENATE("m'(",AD54,")=")</f>
        <v>m'(2)=</v>
      </c>
      <c r="AI55" s="84">
        <f>(2*(AI52^2)/6*AG55)+(AI54*AD53*WLS)</f>
        <v>132</v>
      </c>
      <c r="AJ55" s="84" t="str">
        <f>CONCATENATE("M(",AD53,")=")</f>
        <v>M(1)=</v>
      </c>
      <c r="AK55" s="84">
        <f>VLOOKUP(AD53,STN_TABLE,4,FALSE)</f>
        <v>43.133333333333326</v>
      </c>
      <c r="AL55" t="str">
        <f>CONCATENATE("M(",AD54,")=")</f>
        <v>M(2)=</v>
      </c>
      <c r="AM55">
        <f>AI55+AK55</f>
        <v>175.13333333333333</v>
      </c>
      <c r="AO55" s="82" t="str">
        <f>AA55</f>
        <v>M(2)=</v>
      </c>
      <c r="AP55" s="82" t="e">
        <f>VLOOKUP(AO55,Rise_Results,2,FALSE)</f>
        <v>#N/A</v>
      </c>
      <c r="AQ55" s="82" t="e">
        <f>N55</f>
        <v>#N/A</v>
      </c>
      <c r="AR55" s="82">
        <f>IF(OR(AB54&lt;=0,AB55&lt;=0),1/0,AB55)</f>
        <v>175.13333333333333</v>
      </c>
      <c r="AS55" s="82">
        <f>AM55</f>
        <v>175.13333333333333</v>
      </c>
      <c r="AT55">
        <f>IFERROR(AP55,IFERROR(AQ55,IFERROR(AR55,AS55)))</f>
        <v>175.13333333333333</v>
      </c>
      <c r="AU55" s="81"/>
    </row>
    <row r="56" spans="1:47" x14ac:dyDescent="0.25">
      <c r="A56" s="101">
        <f>A51+1</f>
        <v>3</v>
      </c>
      <c r="B56" s="101">
        <f t="shared" si="11"/>
        <v>0.5</v>
      </c>
      <c r="O56" s="101">
        <f>O51+1</f>
        <v>5</v>
      </c>
      <c r="P56" s="101">
        <f t="shared" si="10"/>
        <v>1</v>
      </c>
      <c r="AU56" s="81"/>
    </row>
    <row r="57" spans="1:47" x14ac:dyDescent="0.25">
      <c r="A57" s="84">
        <f>A56+1</f>
        <v>4</v>
      </c>
      <c r="B57" s="84">
        <f t="shared" si="11"/>
        <v>0.75</v>
      </c>
      <c r="C57" s="79">
        <f t="shared" ref="C57" si="15">IF(C58=B59,IF(C59-C58=C58-B58,B58,IF(C59-C58=C58-B57,B57,"#NA")),IF(C58=B58,IF(C59-C58=C58-B57,B57,IF(C59-C58=C58-B56,B56,"#NA")),"#NA"))</f>
        <v>1</v>
      </c>
      <c r="D57" s="68">
        <f>VLOOKUP(C57,STN_TABLE,2,FALSE)</f>
        <v>11</v>
      </c>
      <c r="E57" s="102">
        <v>1</v>
      </c>
      <c r="F57" s="68">
        <f>D57*E57</f>
        <v>11</v>
      </c>
      <c r="G57" s="69">
        <f>C57</f>
        <v>1</v>
      </c>
      <c r="H57" s="69">
        <f>F57*G57</f>
        <v>11</v>
      </c>
      <c r="I57" s="6" t="s">
        <v>93</v>
      </c>
      <c r="J57" s="70">
        <f>IF(OR(D57=0,D58=0,D59=0),"#NA",IF(AND(C59-C58=C58-C57,C58&lt;&gt;C59,C57&lt;&gt;C58,C57&lt;&gt;C59,D59&lt;&gt;0,OR(D57&lt;&gt;0,D58&lt;&gt;0)),WLS*(C59-C58),"#NA"))</f>
        <v>2</v>
      </c>
      <c r="O57" s="99">
        <f>O56+1</f>
        <v>6</v>
      </c>
      <c r="P57" s="99">
        <f t="shared" si="10"/>
        <v>2</v>
      </c>
      <c r="Q57" s="68">
        <f>IF(OR(P59-P58=P58-P57,P60-P58=P58-P57),P57,IF(OR(P59-P58=P58-P56,P60-P58=P58-P56),P56,"-"))</f>
        <v>2</v>
      </c>
      <c r="R57" s="69">
        <f>VLOOKUP(Q57,STN_TABLE,2,FALSE)</f>
        <v>11</v>
      </c>
      <c r="S57" s="69">
        <v>5</v>
      </c>
      <c r="T57" s="68">
        <f>R57*S57</f>
        <v>55</v>
      </c>
      <c r="U57" s="79">
        <v>3</v>
      </c>
      <c r="V57" s="68">
        <f>R57*U57</f>
        <v>33</v>
      </c>
      <c r="W57" s="6" t="s">
        <v>93</v>
      </c>
      <c r="X57" s="70">
        <f>IF(AND(Q59-Q58=Q58-Q57,NOT(AND(Q57=0,Q58=0)),NOT(AND(Q58=0,Q59=0))),WLS*(Q59-Q58),"#NA")</f>
        <v>2</v>
      </c>
      <c r="AD57" s="93"/>
      <c r="AH57" s="6" t="s">
        <v>93</v>
      </c>
      <c r="AI57" s="70">
        <f>WLS*(AD59-AD58)</f>
        <v>2</v>
      </c>
      <c r="AU57" s="81"/>
    </row>
    <row r="58" spans="1:47" x14ac:dyDescent="0.25">
      <c r="A58" s="84">
        <f>A57+1</f>
        <v>5</v>
      </c>
      <c r="B58" s="84">
        <f t="shared" si="11"/>
        <v>1</v>
      </c>
      <c r="C58" s="80">
        <f t="shared" ref="C58" si="16">IF(OR(B60-B59=B59-B58,B60-B59=B59-B57,B60-B59=B59-B56),B59,IF(OR(B60-B58=B58-B57,B60-B58=B58-B56),B58,IF(B60-B57=B57-B56,B57,"#NA")))</f>
        <v>2</v>
      </c>
      <c r="D58" s="76">
        <f>VLOOKUP(C58,STN_TABLE,2,FALSE)</f>
        <v>11</v>
      </c>
      <c r="E58" s="81">
        <v>4</v>
      </c>
      <c r="F58" s="76">
        <f>D58*E58</f>
        <v>44</v>
      </c>
      <c r="G58" s="77">
        <f>C58</f>
        <v>2</v>
      </c>
      <c r="H58" s="77">
        <f>F58*G58</f>
        <v>88</v>
      </c>
      <c r="I58" s="495" t="s">
        <v>97</v>
      </c>
      <c r="J58" s="496"/>
      <c r="K58" s="78" t="s">
        <v>98</v>
      </c>
      <c r="L58" s="78"/>
      <c r="M58" s="7" t="s">
        <v>99</v>
      </c>
      <c r="N58" s="7"/>
      <c r="O58" s="99">
        <f>O57+1</f>
        <v>7</v>
      </c>
      <c r="P58" s="99">
        <f t="shared" si="10"/>
        <v>3</v>
      </c>
      <c r="Q58" s="76">
        <f>P58</f>
        <v>3</v>
      </c>
      <c r="R58" s="77">
        <f>VLOOKUP(Q58,STN_TABLE,2,FALSE)</f>
        <v>11</v>
      </c>
      <c r="S58" s="77">
        <v>8</v>
      </c>
      <c r="T58" s="76">
        <f>R58*S58</f>
        <v>88</v>
      </c>
      <c r="U58" s="80">
        <v>10</v>
      </c>
      <c r="V58" s="76">
        <f>R58*U58</f>
        <v>110</v>
      </c>
      <c r="W58" s="78" t="s">
        <v>97</v>
      </c>
      <c r="X58" s="78"/>
      <c r="Y58" s="78" t="s">
        <v>98</v>
      </c>
      <c r="Z58" s="78"/>
      <c r="AA58" s="7" t="s">
        <v>99</v>
      </c>
      <c r="AB58" s="7"/>
      <c r="AC58" s="99">
        <f>AC53+1</f>
        <v>6</v>
      </c>
      <c r="AD58" s="95">
        <f>VLOOKUP(AC58,STN_TABLE_2,2,FALSE)</f>
        <v>2</v>
      </c>
      <c r="AE58" s="68">
        <f>VLOOKUP(AD58,STN_TABLE,2,FALSE)</f>
        <v>11</v>
      </c>
      <c r="AF58" s="68">
        <v>1</v>
      </c>
      <c r="AG58" s="69">
        <f>AE58*AF58</f>
        <v>11</v>
      </c>
      <c r="AH58" s="496" t="s">
        <v>97</v>
      </c>
      <c r="AI58" s="496"/>
      <c r="AJ58" s="496" t="s">
        <v>98</v>
      </c>
      <c r="AK58" s="496"/>
      <c r="AL58" s="494" t="s">
        <v>99</v>
      </c>
      <c r="AM58" s="494"/>
      <c r="AP58" s="86" t="s">
        <v>112</v>
      </c>
      <c r="AQ58" s="89" t="s">
        <v>113</v>
      </c>
      <c r="AR58" s="89" t="s">
        <v>114</v>
      </c>
      <c r="AS58" s="89" t="s">
        <v>115</v>
      </c>
      <c r="AU58" s="81"/>
    </row>
    <row r="59" spans="1:47" x14ac:dyDescent="0.25">
      <c r="A59" s="84">
        <f>A58+1</f>
        <v>6</v>
      </c>
      <c r="B59" s="84">
        <f t="shared" si="11"/>
        <v>2</v>
      </c>
      <c r="C59" s="88">
        <f t="shared" ref="C59" si="17">B60</f>
        <v>3</v>
      </c>
      <c r="D59" s="82">
        <f>VLOOKUP(C59,STN_TABLE,2,FALSE)</f>
        <v>11</v>
      </c>
      <c r="E59" s="92">
        <v>1</v>
      </c>
      <c r="F59" s="82">
        <f>D59*E59</f>
        <v>11</v>
      </c>
      <c r="G59" s="83">
        <f>C59</f>
        <v>3</v>
      </c>
      <c r="H59" s="83">
        <f>F59*G59</f>
        <v>33</v>
      </c>
      <c r="I59" s="84" t="str">
        <f>CONCATENATE("a'(",C59,")=")</f>
        <v>a'(3)=</v>
      </c>
      <c r="J59" s="84">
        <f>2*J57/3*F60</f>
        <v>88</v>
      </c>
      <c r="K59" s="84" t="str">
        <f>CONCATENATE("A(",C57,")=")</f>
        <v>A(1)=</v>
      </c>
      <c r="L59" s="84">
        <f>VLOOKUP(C57,STN_TABLE,3,FALSE)</f>
        <v>42.25333333333333</v>
      </c>
      <c r="M59" t="str">
        <f>CONCATENATE("A(",C59,")=")</f>
        <v>A(3)=</v>
      </c>
      <c r="N59">
        <f>J59+L59</f>
        <v>130.25333333333333</v>
      </c>
      <c r="O59" s="99">
        <f>O58+1</f>
        <v>8</v>
      </c>
      <c r="P59" s="99">
        <f t="shared" si="10"/>
        <v>4</v>
      </c>
      <c r="Q59" s="82">
        <f>IF(P59-P58=P58-P57,P59,IF(P60-P58=P58-P57,P60,IF(P59-P58=P58-P56,P59,IF(P60-P58=P58-P56,P60,"-"))))</f>
        <v>4</v>
      </c>
      <c r="R59" s="83">
        <f>VLOOKUP(Q59,STN_TABLE,2,FALSE)</f>
        <v>11</v>
      </c>
      <c r="S59" s="83">
        <v>-1</v>
      </c>
      <c r="T59" s="82">
        <f>R59*S59</f>
        <v>-11</v>
      </c>
      <c r="U59" s="88">
        <v>-1</v>
      </c>
      <c r="V59" s="82">
        <f>R59*U59</f>
        <v>-11</v>
      </c>
      <c r="W59" s="84" t="str">
        <f>CONCATENATE("a'(",Q58,")=")</f>
        <v>a'(3)=</v>
      </c>
      <c r="X59" s="84">
        <f>2*X57/12*T60</f>
        <v>44</v>
      </c>
      <c r="Y59" s="84" t="str">
        <f>CONCATENATE("A(",Q57,")=")</f>
        <v>A(2)=</v>
      </c>
      <c r="Z59" s="84">
        <f>VLOOKUP(Q57,STN_TABLE,3,FALSE)</f>
        <v>86.25333333333333</v>
      </c>
      <c r="AA59" t="str">
        <f>CONCATENATE("A(",Q58,")=")</f>
        <v>A(3)=</v>
      </c>
      <c r="AB59">
        <f>X59+Z59</f>
        <v>130.25333333333333</v>
      </c>
      <c r="AC59" s="99">
        <f>AC58+1</f>
        <v>7</v>
      </c>
      <c r="AD59" s="100">
        <f>VLOOKUP(AC59,STN_TABLE_2,2,FALSE)</f>
        <v>3</v>
      </c>
      <c r="AE59" s="82">
        <f>VLOOKUP(AD59,STN_TABLE,2,FALSE)</f>
        <v>11</v>
      </c>
      <c r="AF59" s="82">
        <v>2</v>
      </c>
      <c r="AG59" s="83">
        <f>AE59*AF59</f>
        <v>22</v>
      </c>
      <c r="AH59" s="84" t="str">
        <f>CONCATENATE("a'(",AD59,")=")</f>
        <v>a'(3)=</v>
      </c>
      <c r="AI59" s="84">
        <f>2*AI57/2*AE60</f>
        <v>44</v>
      </c>
      <c r="AJ59" s="84" t="str">
        <f>CONCATENATE("A(",AD58,")=")</f>
        <v>A(2)=</v>
      </c>
      <c r="AK59" s="84">
        <f>VLOOKUP(AD58,STN_TABLE,3,FALSE)</f>
        <v>86.25333333333333</v>
      </c>
      <c r="AL59" t="str">
        <f>CONCATENATE("A(",AD59,")=")</f>
        <v>A(3)=</v>
      </c>
      <c r="AM59">
        <f>AI59+AK59</f>
        <v>130.25333333333333</v>
      </c>
      <c r="AO59" s="68" t="str">
        <f>AA59</f>
        <v>A(3)=</v>
      </c>
      <c r="AP59" s="68" t="e">
        <f>VLOOKUP(AO59,Rise_Results,2,FALSE)</f>
        <v>#N/A</v>
      </c>
      <c r="AQ59" s="76">
        <f>N59</f>
        <v>130.25333333333333</v>
      </c>
      <c r="AR59" s="76">
        <f>IF(OR(AB59&lt;=0,AB60&lt;=0),1/0,AB59)</f>
        <v>130.25333333333333</v>
      </c>
      <c r="AS59" s="76">
        <f>AM59</f>
        <v>130.25333333333333</v>
      </c>
      <c r="AT59">
        <f>IFERROR(AP59,IFERROR(AQ59,IFERROR(AR59,AS59)))</f>
        <v>130.25333333333333</v>
      </c>
      <c r="AU59" s="81"/>
    </row>
    <row r="60" spans="1:47" x14ac:dyDescent="0.25">
      <c r="A60" s="84">
        <f>A59+1</f>
        <v>7</v>
      </c>
      <c r="B60" s="84">
        <f t="shared" si="11"/>
        <v>3</v>
      </c>
      <c r="F60" s="82">
        <f>SUM(F57:F59)</f>
        <v>66</v>
      </c>
      <c r="H60" s="82">
        <f>SUM(H57:H59)</f>
        <v>132</v>
      </c>
      <c r="I60" s="84" t="str">
        <f>CONCATENATE("m'(",C59,")=")</f>
        <v>m'(3)=</v>
      </c>
      <c r="J60" s="84">
        <f>2*(J57*(WLS))/3*H60</f>
        <v>352</v>
      </c>
      <c r="K60" s="84" t="str">
        <f>CONCATENATE("M(",C57,")=")</f>
        <v>M(1)=</v>
      </c>
      <c r="L60" s="84">
        <f>VLOOKUP(C57,STN_TABLE,4,FALSE)</f>
        <v>43.133333333333326</v>
      </c>
      <c r="M60" t="str">
        <f>CONCATENATE("M(",C59,")=")</f>
        <v>M(3)=</v>
      </c>
      <c r="N60">
        <f>J60+L60</f>
        <v>395.13333333333333</v>
      </c>
      <c r="O60" s="99">
        <f>O59+1</f>
        <v>9</v>
      </c>
      <c r="P60" s="99">
        <f t="shared" si="10"/>
        <v>4.8499999999999996</v>
      </c>
      <c r="T60" s="89">
        <f>SUM(T57:T59)</f>
        <v>132</v>
      </c>
      <c r="V60" s="82">
        <f>SUM(V57:V59)</f>
        <v>132</v>
      </c>
      <c r="W60" s="84" t="str">
        <f>CONCATENATE("m'(",Q58,")=")</f>
        <v>m'(3)=</v>
      </c>
      <c r="X60" s="84">
        <f>(2*(X57^2)/24*V60)+(X59*Q57*WLS)</f>
        <v>220</v>
      </c>
      <c r="Y60" s="84" t="str">
        <f>CONCATENATE("M(",Q57,")=")</f>
        <v>M(2)=</v>
      </c>
      <c r="Z60" s="84">
        <f>VLOOKUP(Q57,STN_TABLE,4,FALSE)</f>
        <v>175.13333333333333</v>
      </c>
      <c r="AA60" t="str">
        <f>CONCATENATE("M(",Q58,")=")</f>
        <v>M(3)=</v>
      </c>
      <c r="AB60">
        <f>X60+Z60</f>
        <v>395.13333333333333</v>
      </c>
      <c r="AE60" s="89">
        <f>SUM(AE58:AE59)</f>
        <v>22</v>
      </c>
      <c r="AG60" s="89">
        <f>SUM(AG58:AG59)</f>
        <v>33</v>
      </c>
      <c r="AH60" s="84" t="str">
        <f>CONCATENATE("m'(",AD59,")=")</f>
        <v>m'(3)=</v>
      </c>
      <c r="AI60" s="84">
        <f>(2*(AI57^2)/6*AG60)+(AI59*AD58*WLS)</f>
        <v>220</v>
      </c>
      <c r="AJ60" s="84" t="str">
        <f>CONCATENATE("M(",AD58,")=")</f>
        <v>M(2)=</v>
      </c>
      <c r="AK60" s="84">
        <f>VLOOKUP(AD57,STN_TABLE,4,FALSE)</f>
        <v>0</v>
      </c>
      <c r="AL60" t="str">
        <f>CONCATENATE("M(",AD59,")=")</f>
        <v>M(3)=</v>
      </c>
      <c r="AM60">
        <f>AI60+AK60</f>
        <v>220</v>
      </c>
      <c r="AO60" s="82" t="str">
        <f>AA60</f>
        <v>M(3)=</v>
      </c>
      <c r="AP60" s="82" t="e">
        <f>VLOOKUP(AO60,Rise_Results,2,FALSE)</f>
        <v>#N/A</v>
      </c>
      <c r="AQ60" s="82">
        <f>N60</f>
        <v>395.13333333333333</v>
      </c>
      <c r="AR60" s="82">
        <f>IF(OR(AB59&lt;=0,AB60&lt;=0),1/0,AB60)</f>
        <v>395.13333333333333</v>
      </c>
      <c r="AS60" s="82">
        <f>AM60</f>
        <v>220</v>
      </c>
      <c r="AT60">
        <f>IFERROR(AP60,IFERROR(AQ60,IFERROR(AR60,AS60)))</f>
        <v>395.13333333333333</v>
      </c>
      <c r="AU60" s="81"/>
    </row>
    <row r="61" spans="1:47" x14ac:dyDescent="0.25">
      <c r="A61" s="101">
        <f>A56+1</f>
        <v>4</v>
      </c>
      <c r="B61" s="101">
        <f t="shared" si="11"/>
        <v>0.75</v>
      </c>
      <c r="O61" s="101">
        <f>O56+1</f>
        <v>6</v>
      </c>
      <c r="P61" s="101">
        <f t="shared" si="10"/>
        <v>2</v>
      </c>
      <c r="AU61" s="81"/>
    </row>
    <row r="62" spans="1:47" x14ac:dyDescent="0.25">
      <c r="A62" s="84">
        <f>A61+1</f>
        <v>5</v>
      </c>
      <c r="B62" s="84">
        <f t="shared" si="11"/>
        <v>1</v>
      </c>
      <c r="C62" s="79">
        <f t="shared" ref="C62" si="18">IF(C63=B64,IF(C64-C63=C63-B63,B63,IF(C64-C63=C63-B62,B62,"#NA")),IF(C63=B63,IF(C64-C63=C63-B62,B62,IF(C64-C63=C63-B61,B61,"#NA")),"#NA"))</f>
        <v>2</v>
      </c>
      <c r="D62" s="68">
        <f>VLOOKUP(C62,STN_TABLE,2,FALSE)</f>
        <v>11</v>
      </c>
      <c r="E62" s="102">
        <v>1</v>
      </c>
      <c r="F62" s="68">
        <f>D62*E62</f>
        <v>11</v>
      </c>
      <c r="G62" s="69">
        <f>C62</f>
        <v>2</v>
      </c>
      <c r="H62" s="69">
        <f>F62*G62</f>
        <v>22</v>
      </c>
      <c r="I62" s="6" t="s">
        <v>93</v>
      </c>
      <c r="J62" s="70">
        <f>IF(OR(D62=0,D63=0,D64=0),"#NA",IF(AND(C64-C63=C63-C62,C63&lt;&gt;C64,C62&lt;&gt;C63,C62&lt;&gt;C64,D64&lt;&gt;0,OR(D62&lt;&gt;0,D63&lt;&gt;0)),WLS*(C64-C63),"#NA"))</f>
        <v>2</v>
      </c>
      <c r="O62" s="99">
        <f>O61+1</f>
        <v>7</v>
      </c>
      <c r="P62" s="99">
        <f t="shared" si="10"/>
        <v>3</v>
      </c>
      <c r="Q62" s="68">
        <f>IF(OR(P64-P63=P63-P62,P65-P63=P63-P62),P62,IF(OR(P64-P63=P63-P61,P65-P63=P63-P61),P61,"-"))</f>
        <v>3</v>
      </c>
      <c r="R62" s="69">
        <f>VLOOKUP(Q62,STN_TABLE,2,FALSE)</f>
        <v>11</v>
      </c>
      <c r="S62" s="69">
        <v>5</v>
      </c>
      <c r="T62" s="68">
        <f>R62*S62</f>
        <v>55</v>
      </c>
      <c r="U62" s="79">
        <v>3</v>
      </c>
      <c r="V62" s="68">
        <f>R62*U62</f>
        <v>33</v>
      </c>
      <c r="W62" s="6" t="s">
        <v>93</v>
      </c>
      <c r="X62" s="70">
        <f>IF(AND(Q64-Q63=Q63-Q62,NOT(AND(Q62=0,Q63=0)),NOT(AND(Q63=0,Q64=0))),WLS*(Q64-Q63),"#NA")</f>
        <v>2</v>
      </c>
      <c r="AD62" s="93"/>
      <c r="AH62" s="6" t="s">
        <v>93</v>
      </c>
      <c r="AI62" s="70">
        <f>WLS*(AD64-AD63)</f>
        <v>2</v>
      </c>
      <c r="AU62" s="81"/>
    </row>
    <row r="63" spans="1:47" x14ac:dyDescent="0.25">
      <c r="A63" s="84">
        <f>A62+1</f>
        <v>6</v>
      </c>
      <c r="B63" s="84">
        <f t="shared" si="11"/>
        <v>2</v>
      </c>
      <c r="C63" s="80">
        <f t="shared" ref="C63" si="19">IF(OR(B65-B64=B64-B63,B65-B64=B64-B62,B65-B64=B64-B61),B64,IF(OR(B65-B63=B63-B62,B65-B63=B63-B61),B63,IF(B65-B62=B62-B61,B62,"#NA")))</f>
        <v>3</v>
      </c>
      <c r="D63" s="76">
        <f>VLOOKUP(C63,STN_TABLE,2,FALSE)</f>
        <v>11</v>
      </c>
      <c r="E63" s="81">
        <v>4</v>
      </c>
      <c r="F63" s="76">
        <f>D63*E63</f>
        <v>44</v>
      </c>
      <c r="G63" s="77">
        <f>C63</f>
        <v>3</v>
      </c>
      <c r="H63" s="77">
        <f>F63*G63</f>
        <v>132</v>
      </c>
      <c r="I63" s="495" t="s">
        <v>97</v>
      </c>
      <c r="J63" s="496"/>
      <c r="K63" s="78" t="s">
        <v>98</v>
      </c>
      <c r="L63" s="78"/>
      <c r="M63" s="7" t="s">
        <v>99</v>
      </c>
      <c r="N63" s="7"/>
      <c r="O63" s="99">
        <f>O62+1</f>
        <v>8</v>
      </c>
      <c r="P63" s="99">
        <f t="shared" si="10"/>
        <v>4</v>
      </c>
      <c r="Q63" s="76">
        <f>P63</f>
        <v>4</v>
      </c>
      <c r="R63" s="77">
        <f>VLOOKUP(Q63,STN_TABLE,2,FALSE)</f>
        <v>11</v>
      </c>
      <c r="S63" s="77">
        <v>8</v>
      </c>
      <c r="T63" s="76">
        <f>R63*S63</f>
        <v>88</v>
      </c>
      <c r="U63" s="80">
        <v>10</v>
      </c>
      <c r="V63" s="76">
        <f>R63*U63</f>
        <v>110</v>
      </c>
      <c r="W63" s="496" t="s">
        <v>97</v>
      </c>
      <c r="X63" s="496"/>
      <c r="Y63" s="496" t="s">
        <v>98</v>
      </c>
      <c r="Z63" s="496"/>
      <c r="AA63" s="494" t="s">
        <v>99</v>
      </c>
      <c r="AB63" s="494"/>
      <c r="AC63" s="99">
        <f>AC58+1</f>
        <v>7</v>
      </c>
      <c r="AD63" s="95">
        <f>VLOOKUP(AC63,STN_TABLE_2,2,FALSE)</f>
        <v>3</v>
      </c>
      <c r="AE63" s="68">
        <f>VLOOKUP(AD63,STN_TABLE,2,FALSE)</f>
        <v>11</v>
      </c>
      <c r="AF63" s="68">
        <v>1</v>
      </c>
      <c r="AG63" s="69">
        <f>AE63*AF63</f>
        <v>11</v>
      </c>
      <c r="AH63" s="496" t="s">
        <v>97</v>
      </c>
      <c r="AI63" s="496"/>
      <c r="AJ63" s="496" t="s">
        <v>98</v>
      </c>
      <c r="AK63" s="496"/>
      <c r="AL63" s="494" t="s">
        <v>99</v>
      </c>
      <c r="AM63" s="494"/>
      <c r="AP63" s="86" t="s">
        <v>112</v>
      </c>
      <c r="AQ63" s="89" t="s">
        <v>113</v>
      </c>
      <c r="AR63" s="89" t="s">
        <v>114</v>
      </c>
      <c r="AS63" s="89" t="s">
        <v>115</v>
      </c>
      <c r="AU63" s="81"/>
    </row>
    <row r="64" spans="1:47" x14ac:dyDescent="0.25">
      <c r="A64" s="84">
        <f>A63+1</f>
        <v>7</v>
      </c>
      <c r="B64" s="84">
        <f t="shared" si="11"/>
        <v>3</v>
      </c>
      <c r="C64" s="88">
        <f t="shared" ref="C64" si="20">B65</f>
        <v>4</v>
      </c>
      <c r="D64" s="82">
        <f>VLOOKUP(C64,STN_TABLE,2,FALSE)</f>
        <v>11</v>
      </c>
      <c r="E64" s="92">
        <v>1</v>
      </c>
      <c r="F64" s="82">
        <f>D64*E64</f>
        <v>11</v>
      </c>
      <c r="G64" s="83">
        <f>C64</f>
        <v>4</v>
      </c>
      <c r="H64" s="83">
        <f>F64*G64</f>
        <v>44</v>
      </c>
      <c r="I64" s="84" t="str">
        <f>CONCATENATE("a'(",C64,")=")</f>
        <v>a'(4)=</v>
      </c>
      <c r="J64" s="84">
        <f>2*J62/3*F65</f>
        <v>88</v>
      </c>
      <c r="K64" s="84" t="str">
        <f>CONCATENATE("A(",C62,")=")</f>
        <v>A(2)=</v>
      </c>
      <c r="L64" s="84">
        <f>VLOOKUP(C62,STN_TABLE,3,FALSE)</f>
        <v>86.25333333333333</v>
      </c>
      <c r="M64" t="str">
        <f>CONCATENATE("A(",C64,")=")</f>
        <v>A(4)=</v>
      </c>
      <c r="N64">
        <f>J64+L64</f>
        <v>174.25333333333333</v>
      </c>
      <c r="O64" s="99">
        <f>O63+1</f>
        <v>9</v>
      </c>
      <c r="P64" s="99">
        <f t="shared" si="10"/>
        <v>4.8499999999999996</v>
      </c>
      <c r="Q64" s="82">
        <f>IF(P64-P63=P63-P62,P64,IF(P65-P63=P63-P62,P65,IF(P64-P63=P63-P61,P64,IF(P65-P63=P63-P61,P65,"-"))))</f>
        <v>5</v>
      </c>
      <c r="R64" s="83">
        <f>VLOOKUP(Q64,STN_TABLE,2,FALSE)</f>
        <v>11</v>
      </c>
      <c r="S64" s="83">
        <v>-1</v>
      </c>
      <c r="T64" s="82">
        <f>R64*S64</f>
        <v>-11</v>
      </c>
      <c r="U64" s="88">
        <v>-1</v>
      </c>
      <c r="V64" s="82">
        <f>R64*U64</f>
        <v>-11</v>
      </c>
      <c r="W64" s="84" t="str">
        <f>CONCATENATE("a'(",Q63,")=")</f>
        <v>a'(4)=</v>
      </c>
      <c r="X64" s="84">
        <f>2*X62/12*T65</f>
        <v>44</v>
      </c>
      <c r="Y64" s="84" t="str">
        <f>CONCATENATE("A(",Q62,")=")</f>
        <v>A(3)=</v>
      </c>
      <c r="Z64" s="84">
        <f>VLOOKUP(Q62,STN_TABLE,3,FALSE)</f>
        <v>130.25333333333333</v>
      </c>
      <c r="AA64" t="str">
        <f>CONCATENATE("A(",Q63,")=")</f>
        <v>A(4)=</v>
      </c>
      <c r="AB64">
        <f>X64+Z64</f>
        <v>174.25333333333333</v>
      </c>
      <c r="AC64" s="99">
        <f>AC63+1</f>
        <v>8</v>
      </c>
      <c r="AD64" s="100">
        <f>VLOOKUP(AC64,STN_TABLE_2,2,FALSE)</f>
        <v>4</v>
      </c>
      <c r="AE64" s="82">
        <f>VLOOKUP(AD64,STN_TABLE,2,FALSE)</f>
        <v>11</v>
      </c>
      <c r="AF64" s="82">
        <v>2</v>
      </c>
      <c r="AG64" s="83">
        <f>AE64*AF64</f>
        <v>22</v>
      </c>
      <c r="AH64" s="84" t="str">
        <f>CONCATENATE("a'(",AD64,")=")</f>
        <v>a'(4)=</v>
      </c>
      <c r="AI64" s="84">
        <f>2*AI62/2*AE65</f>
        <v>44</v>
      </c>
      <c r="AJ64" s="84" t="str">
        <f>CONCATENATE("A(",AD63,")=")</f>
        <v>A(3)=</v>
      </c>
      <c r="AK64" s="84">
        <f>VLOOKUP(AD63,STN_TABLE,3,FALSE)</f>
        <v>130.25333333333333</v>
      </c>
      <c r="AL64" t="str">
        <f>CONCATENATE("A(",AD64,")=")</f>
        <v>A(4)=</v>
      </c>
      <c r="AM64">
        <f>AI64+AK64</f>
        <v>174.25333333333333</v>
      </c>
      <c r="AO64" s="68" t="str">
        <f>AA64</f>
        <v>A(4)=</v>
      </c>
      <c r="AP64" s="68" t="e">
        <f>VLOOKUP(AO64,Rise_Results,2,FALSE)</f>
        <v>#N/A</v>
      </c>
      <c r="AQ64" s="76">
        <f>N64</f>
        <v>174.25333333333333</v>
      </c>
      <c r="AR64" s="76">
        <f>IF(OR(AB64&lt;=0,AB65&lt;=0),1/0,AB64)</f>
        <v>174.25333333333333</v>
      </c>
      <c r="AS64" s="76">
        <f>AM64</f>
        <v>174.25333333333333</v>
      </c>
      <c r="AT64">
        <f>IFERROR(AP64,IFERROR(AQ64,IFERROR(AR64,AS64)))</f>
        <v>174.25333333333333</v>
      </c>
      <c r="AU64" s="81"/>
    </row>
    <row r="65" spans="1:47" x14ac:dyDescent="0.25">
      <c r="A65" s="84">
        <f>A64+1</f>
        <v>8</v>
      </c>
      <c r="B65" s="84">
        <f t="shared" si="11"/>
        <v>4</v>
      </c>
      <c r="F65" s="82">
        <f>SUM(F62:F64)</f>
        <v>66</v>
      </c>
      <c r="H65" s="82">
        <f>SUM(H62:H64)</f>
        <v>198</v>
      </c>
      <c r="I65" s="84" t="str">
        <f>CONCATENATE("m'(",C64,")=")</f>
        <v>m'(4)=</v>
      </c>
      <c r="J65" s="84">
        <f>2*(J62*(WLS))/3*H65</f>
        <v>528</v>
      </c>
      <c r="K65" s="84" t="str">
        <f>CONCATENATE("M(",C62,")=")</f>
        <v>M(2)=</v>
      </c>
      <c r="L65" s="84">
        <f>VLOOKUP(C62,STN_TABLE,4,FALSE)</f>
        <v>175.13333333333333</v>
      </c>
      <c r="M65" t="str">
        <f>CONCATENATE("M(",C64,")=")</f>
        <v>M(4)=</v>
      </c>
      <c r="N65">
        <f>J65+L65</f>
        <v>703.13333333333333</v>
      </c>
      <c r="O65" s="99">
        <f>O64+1</f>
        <v>10</v>
      </c>
      <c r="P65" s="99">
        <f t="shared" si="10"/>
        <v>5</v>
      </c>
      <c r="T65" s="89">
        <f>SUM(T62:T64)</f>
        <v>132</v>
      </c>
      <c r="V65" s="82">
        <f>SUM(V62:V64)</f>
        <v>132</v>
      </c>
      <c r="W65" s="84" t="str">
        <f>CONCATENATE("m'(",Q63,")=")</f>
        <v>m'(4)=</v>
      </c>
      <c r="X65" s="84">
        <f>(2*(X62^2)/24*V65)+(X64*Q62*WLS)</f>
        <v>308</v>
      </c>
      <c r="Y65" s="84" t="str">
        <f>CONCATENATE("M(",Q62,")=")</f>
        <v>M(3)=</v>
      </c>
      <c r="Z65" s="84">
        <f>VLOOKUP(Q62,STN_TABLE,4,FALSE)</f>
        <v>395.13333333333333</v>
      </c>
      <c r="AA65" t="str">
        <f>CONCATENATE("M(",Q63,")=")</f>
        <v>M(4)=</v>
      </c>
      <c r="AB65">
        <f>X65+Z65</f>
        <v>703.13333333333333</v>
      </c>
      <c r="AE65" s="89">
        <f>SUM(AE63:AE64)</f>
        <v>22</v>
      </c>
      <c r="AG65" s="89">
        <f>SUM(AG63:AG64)</f>
        <v>33</v>
      </c>
      <c r="AH65" s="84" t="str">
        <f>CONCATENATE("m'(",AD64,")=")</f>
        <v>m'(4)=</v>
      </c>
      <c r="AI65" s="84">
        <f>(2*(AI62^2)/6*AG65)+(AI64*AD63*WLS)</f>
        <v>308</v>
      </c>
      <c r="AJ65" s="84" t="str">
        <f>CONCATENATE("M(",AD63,")=")</f>
        <v>M(3)=</v>
      </c>
      <c r="AK65" s="84">
        <f>VLOOKUP(AD63,STN_TABLE,4,FALSE)</f>
        <v>395.13333333333333</v>
      </c>
      <c r="AL65" t="str">
        <f>CONCATENATE("M(",AD64,")=")</f>
        <v>M(4)=</v>
      </c>
      <c r="AM65">
        <f>AI65+AK65</f>
        <v>703.13333333333333</v>
      </c>
      <c r="AO65" s="82" t="str">
        <f>AA65</f>
        <v>M(4)=</v>
      </c>
      <c r="AP65" s="82" t="e">
        <f>VLOOKUP(AO65,Rise_Results,2,FALSE)</f>
        <v>#N/A</v>
      </c>
      <c r="AQ65" s="82">
        <f>N65</f>
        <v>703.13333333333333</v>
      </c>
      <c r="AR65" s="82">
        <f>IF(OR(AB64&lt;=0,AB65&lt;=0),1/0,AB65)</f>
        <v>703.13333333333333</v>
      </c>
      <c r="AS65" s="82">
        <f>AM65</f>
        <v>703.13333333333333</v>
      </c>
      <c r="AT65">
        <f>IFERROR(AP65,IFERROR(AQ65,IFERROR(AR65,AS65)))</f>
        <v>703.13333333333333</v>
      </c>
      <c r="AU65" s="81"/>
    </row>
    <row r="66" spans="1:47" x14ac:dyDescent="0.25">
      <c r="A66" s="101">
        <f>A61+1</f>
        <v>5</v>
      </c>
      <c r="B66" s="101">
        <f t="shared" si="11"/>
        <v>1</v>
      </c>
      <c r="O66" s="101">
        <f>O61+1</f>
        <v>7</v>
      </c>
      <c r="P66" s="101">
        <f t="shared" si="10"/>
        <v>3</v>
      </c>
      <c r="AU66" s="81"/>
    </row>
    <row r="67" spans="1:47" x14ac:dyDescent="0.25">
      <c r="A67" s="84">
        <f>A66+1</f>
        <v>6</v>
      </c>
      <c r="B67" s="84">
        <f t="shared" si="11"/>
        <v>2</v>
      </c>
      <c r="C67" s="79" t="str">
        <f t="shared" ref="C67" si="21">IF(C68=B69,IF(C69-C68=C68-B68,B68,IF(C69-C68=C68-B67,B67,"#NA")),IF(C68=B68,IF(C69-C68=C68-B67,B67,IF(C69-C68=C68-B66,B66,"#NA")),"#NA"))</f>
        <v>#NA</v>
      </c>
      <c r="D67" s="68" t="e">
        <f>VLOOKUP(C67,STN_TABLE,2,FALSE)</f>
        <v>#N/A</v>
      </c>
      <c r="E67" s="102">
        <v>1</v>
      </c>
      <c r="F67" s="68" t="e">
        <f>D67*E67</f>
        <v>#N/A</v>
      </c>
      <c r="G67" s="69" t="str">
        <f>C67</f>
        <v>#NA</v>
      </c>
      <c r="H67" s="69" t="e">
        <f>F67*G67</f>
        <v>#N/A</v>
      </c>
      <c r="I67" s="6" t="s">
        <v>93</v>
      </c>
      <c r="J67" s="70" t="e">
        <f>IF(OR(D67=0,D68=0,D69=0),"#NA",IF(AND(C69-C68=C68-C67,C68&lt;&gt;C69,C67&lt;&gt;C68,C67&lt;&gt;C69,D69&lt;&gt;0,OR(D67&lt;&gt;0,D68&lt;&gt;0)),WLS*(C69-C68),"#NA"))</f>
        <v>#N/A</v>
      </c>
      <c r="O67" s="99">
        <f>O66+1</f>
        <v>8</v>
      </c>
      <c r="P67" s="99">
        <f t="shared" si="10"/>
        <v>4</v>
      </c>
      <c r="Q67" s="68" t="str">
        <f>IF(OR(P69-P68=P68-P67,P70-P68=P68-P67),P67,IF(OR(P69-P68=P68-P66,P70-P68=P68-P66),P66,"-"))</f>
        <v>-</v>
      </c>
      <c r="R67" s="69" t="e">
        <f>VLOOKUP(Q67,STN_TABLE,2,FALSE)</f>
        <v>#N/A</v>
      </c>
      <c r="S67" s="69">
        <v>5</v>
      </c>
      <c r="T67" s="68" t="e">
        <f>R67*S67</f>
        <v>#N/A</v>
      </c>
      <c r="U67" s="79">
        <v>3</v>
      </c>
      <c r="V67" s="68" t="e">
        <f>R67*U67</f>
        <v>#N/A</v>
      </c>
      <c r="W67" s="6" t="s">
        <v>93</v>
      </c>
      <c r="X67" s="70" t="e">
        <f>IF(AND(Q69-Q68=Q68-Q67,NOT(AND(Q67=0,Q68=0)),NOT(AND(Q68=0,Q69=0))),WLS*(Q69-Q68),"#NA")</f>
        <v>#VALUE!</v>
      </c>
      <c r="AD67" s="93"/>
      <c r="AH67" s="6" t="s">
        <v>93</v>
      </c>
      <c r="AI67" s="70">
        <f>WLS*(AD69-AD68)</f>
        <v>1.6999999999999993</v>
      </c>
      <c r="AU67" s="81"/>
    </row>
    <row r="68" spans="1:47" x14ac:dyDescent="0.25">
      <c r="A68" s="84">
        <f>A67+1</f>
        <v>7</v>
      </c>
      <c r="B68" s="84">
        <f t="shared" si="11"/>
        <v>3</v>
      </c>
      <c r="C68" s="80" t="str">
        <f t="shared" ref="C68" si="22">IF(OR(B70-B69=B69-B68,B70-B69=B69-B67,B70-B69=B69-B66),B69,IF(OR(B70-B68=B68-B67,B70-B68=B68-B66),B68,IF(B70-B67=B67-B66,B67,"#NA")))</f>
        <v>#NA</v>
      </c>
      <c r="D68" s="76" t="e">
        <f>VLOOKUP(C68,STN_TABLE,2,FALSE)</f>
        <v>#N/A</v>
      </c>
      <c r="E68" s="81">
        <v>4</v>
      </c>
      <c r="F68" s="76" t="e">
        <f>D68*E68</f>
        <v>#N/A</v>
      </c>
      <c r="G68" s="77" t="str">
        <f>C68</f>
        <v>#NA</v>
      </c>
      <c r="H68" s="77" t="e">
        <f>F68*G68</f>
        <v>#N/A</v>
      </c>
      <c r="I68" s="495" t="s">
        <v>97</v>
      </c>
      <c r="J68" s="496"/>
      <c r="K68" s="78" t="s">
        <v>98</v>
      </c>
      <c r="L68" s="78"/>
      <c r="M68" s="7" t="s">
        <v>99</v>
      </c>
      <c r="N68" s="7"/>
      <c r="O68" s="99">
        <f>O67+1</f>
        <v>9</v>
      </c>
      <c r="P68" s="99">
        <f t="shared" ref="P68:P99" si="23">VLOOKUP(O68,STN_TABLE_2,2,FALSE)</f>
        <v>4.8499999999999996</v>
      </c>
      <c r="Q68" s="76">
        <f>P68</f>
        <v>4.8499999999999996</v>
      </c>
      <c r="R68" s="77">
        <f>VLOOKUP(Q68,STN_TABLE,2,FALSE)</f>
        <v>11</v>
      </c>
      <c r="S68" s="77">
        <v>8</v>
      </c>
      <c r="T68" s="76">
        <f>R68*S68</f>
        <v>88</v>
      </c>
      <c r="U68" s="80">
        <v>10</v>
      </c>
      <c r="V68" s="76">
        <f>R68*U68</f>
        <v>110</v>
      </c>
      <c r="W68" s="496" t="s">
        <v>97</v>
      </c>
      <c r="X68" s="496"/>
      <c r="Y68" s="496" t="s">
        <v>98</v>
      </c>
      <c r="Z68" s="496"/>
      <c r="AA68" s="494" t="s">
        <v>99</v>
      </c>
      <c r="AB68" s="494"/>
      <c r="AC68" s="99">
        <f>AC63+1</f>
        <v>8</v>
      </c>
      <c r="AD68" s="95">
        <f>VLOOKUP(AC68,STN_TABLE_2,2,FALSE)</f>
        <v>4</v>
      </c>
      <c r="AE68" s="68">
        <f>VLOOKUP(AD68,STN_TABLE,2,FALSE)</f>
        <v>11</v>
      </c>
      <c r="AF68" s="68">
        <v>1</v>
      </c>
      <c r="AG68" s="69">
        <f>AE68*AF68</f>
        <v>11</v>
      </c>
      <c r="AH68" s="496" t="s">
        <v>97</v>
      </c>
      <c r="AI68" s="496"/>
      <c r="AJ68" s="496" t="s">
        <v>98</v>
      </c>
      <c r="AK68" s="496"/>
      <c r="AL68" s="494" t="s">
        <v>99</v>
      </c>
      <c r="AM68" s="494"/>
      <c r="AP68" s="86" t="s">
        <v>112</v>
      </c>
      <c r="AQ68" s="89" t="s">
        <v>113</v>
      </c>
      <c r="AR68" s="89" t="s">
        <v>114</v>
      </c>
      <c r="AS68" s="89" t="s">
        <v>115</v>
      </c>
      <c r="AU68" s="81"/>
    </row>
    <row r="69" spans="1:47" x14ac:dyDescent="0.25">
      <c r="A69" s="84">
        <f>A68+1</f>
        <v>8</v>
      </c>
      <c r="B69" s="84">
        <f t="shared" si="11"/>
        <v>4</v>
      </c>
      <c r="C69" s="88">
        <f t="shared" ref="C69" si="24">B70</f>
        <v>4.8499999999999996</v>
      </c>
      <c r="D69" s="82">
        <f>VLOOKUP(C69,STN_TABLE,2,FALSE)</f>
        <v>11</v>
      </c>
      <c r="E69" s="92">
        <v>1</v>
      </c>
      <c r="F69" s="82">
        <f>D69*E69</f>
        <v>11</v>
      </c>
      <c r="G69" s="83">
        <f>C69</f>
        <v>4.8499999999999996</v>
      </c>
      <c r="H69" s="83">
        <f>F69*G69</f>
        <v>53.349999999999994</v>
      </c>
      <c r="I69" s="84" t="str">
        <f>CONCATENATE("a'(",C69,")=")</f>
        <v>a'(4.85)=</v>
      </c>
      <c r="J69" s="84" t="e">
        <f>2*J67/3*F70</f>
        <v>#N/A</v>
      </c>
      <c r="K69" s="84" t="str">
        <f>CONCATENATE("A(",C67,")=")</f>
        <v>A(#NA)=</v>
      </c>
      <c r="L69" s="84" t="e">
        <f>VLOOKUP(C67,STN_TABLE,3,FALSE)</f>
        <v>#N/A</v>
      </c>
      <c r="M69" t="str">
        <f>CONCATENATE("A(",C69,")=")</f>
        <v>A(4.85)=</v>
      </c>
      <c r="N69" t="e">
        <f>J69+L69</f>
        <v>#N/A</v>
      </c>
      <c r="O69" s="99">
        <f>O68+1</f>
        <v>10</v>
      </c>
      <c r="P69" s="99">
        <f t="shared" si="23"/>
        <v>5</v>
      </c>
      <c r="Q69" s="82" t="str">
        <f>IF(P69-P68=P68-P67,P69,IF(P70-P68=P68-P67,P70,IF(P69-P68=P68-P66,P69,IF(P70-P68=P68-P66,P70,"-"))))</f>
        <v>-</v>
      </c>
      <c r="R69" s="83" t="e">
        <f>VLOOKUP(Q69,STN_TABLE,2,FALSE)</f>
        <v>#N/A</v>
      </c>
      <c r="S69" s="83">
        <v>-1</v>
      </c>
      <c r="T69" s="82" t="e">
        <f>R69*S69</f>
        <v>#N/A</v>
      </c>
      <c r="U69" s="88">
        <v>-1</v>
      </c>
      <c r="V69" s="82" t="e">
        <f>R69*U69</f>
        <v>#N/A</v>
      </c>
      <c r="W69" s="84" t="str">
        <f>CONCATENATE("a'(",Q68,")=")</f>
        <v>a'(4.85)=</v>
      </c>
      <c r="X69" s="84" t="e">
        <f>2*X67/12*T70</f>
        <v>#VALUE!</v>
      </c>
      <c r="Y69" s="84" t="str">
        <f>CONCATENATE("A(",Q67,")=")</f>
        <v>A(-)=</v>
      </c>
      <c r="Z69" s="84" t="e">
        <f>VLOOKUP(Q67,STN_TABLE,3,FALSE)</f>
        <v>#N/A</v>
      </c>
      <c r="AA69" t="str">
        <f>CONCATENATE("A(",Q68,")=")</f>
        <v>A(4.85)=</v>
      </c>
      <c r="AB69" t="e">
        <f>X69+Z69</f>
        <v>#VALUE!</v>
      </c>
      <c r="AC69" s="99">
        <f>AC68+1</f>
        <v>9</v>
      </c>
      <c r="AD69" s="100">
        <f>VLOOKUP(AC69,STN_TABLE_2,2,FALSE)</f>
        <v>4.8499999999999996</v>
      </c>
      <c r="AE69" s="82">
        <f>VLOOKUP(AD69,STN_TABLE,2,FALSE)</f>
        <v>11</v>
      </c>
      <c r="AF69" s="82">
        <v>2</v>
      </c>
      <c r="AG69" s="83">
        <f>AE69*AF69</f>
        <v>22</v>
      </c>
      <c r="AH69" s="84" t="str">
        <f>CONCATENATE("a'(",AD69,")=")</f>
        <v>a'(4.85)=</v>
      </c>
      <c r="AI69" s="84">
        <f>2*AI67/2*AE70</f>
        <v>37.399999999999984</v>
      </c>
      <c r="AJ69" s="84" t="str">
        <f>CONCATENATE("A(",AD68,")=")</f>
        <v>A(4)=</v>
      </c>
      <c r="AK69" s="84">
        <f>VLOOKUP(AD68,STN_TABLE,3,FALSE)</f>
        <v>174.25333333333333</v>
      </c>
      <c r="AL69" t="str">
        <f>CONCATENATE("A(",AD69,")=")</f>
        <v>A(4.85)=</v>
      </c>
      <c r="AM69">
        <f>AI69+AK69</f>
        <v>211.65333333333331</v>
      </c>
      <c r="AO69" s="68" t="str">
        <f>AA69</f>
        <v>A(4.85)=</v>
      </c>
      <c r="AP69" s="68" t="e">
        <f>VLOOKUP(AO69,Rise_Results,2,FALSE)</f>
        <v>#N/A</v>
      </c>
      <c r="AQ69" s="76" t="e">
        <f>N69</f>
        <v>#N/A</v>
      </c>
      <c r="AR69" s="76" t="e">
        <f>IF(OR(AB69&lt;=0,AB70&lt;=0),1/0,AB69)</f>
        <v>#VALUE!</v>
      </c>
      <c r="AS69" s="76">
        <f>AM69</f>
        <v>211.65333333333331</v>
      </c>
      <c r="AT69">
        <f>IFERROR(AP69,IFERROR(AQ69,IFERROR(AR69,AS69)))</f>
        <v>211.65333333333331</v>
      </c>
      <c r="AU69" s="81"/>
    </row>
    <row r="70" spans="1:47" x14ac:dyDescent="0.25">
      <c r="A70" s="84">
        <f>A69+1</f>
        <v>9</v>
      </c>
      <c r="B70" s="84">
        <f t="shared" si="11"/>
        <v>4.8499999999999996</v>
      </c>
      <c r="F70" s="82" t="e">
        <f>SUM(F67:F69)</f>
        <v>#N/A</v>
      </c>
      <c r="H70" s="82" t="e">
        <f>SUM(H67:H69)</f>
        <v>#N/A</v>
      </c>
      <c r="I70" s="84" t="str">
        <f>CONCATENATE("m'(",C69,")=")</f>
        <v>m'(4.85)=</v>
      </c>
      <c r="J70" s="84" t="e">
        <f>2*(J67*(WLS))/3*H70</f>
        <v>#N/A</v>
      </c>
      <c r="K70" s="84" t="str">
        <f>CONCATENATE("M(",C67,")=")</f>
        <v>M(#NA)=</v>
      </c>
      <c r="L70" s="84" t="e">
        <f>VLOOKUP(C67,STN_TABLE,4,FALSE)</f>
        <v>#N/A</v>
      </c>
      <c r="M70" t="str">
        <f>CONCATENATE("M(",C69,")=")</f>
        <v>M(4.85)=</v>
      </c>
      <c r="N70" t="e">
        <f>J70+L70</f>
        <v>#N/A</v>
      </c>
      <c r="O70" s="99">
        <f>O69+1</f>
        <v>11</v>
      </c>
      <c r="P70" s="99">
        <f t="shared" si="23"/>
        <v>6</v>
      </c>
      <c r="T70" s="89" t="e">
        <f>SUM(T67:T69)</f>
        <v>#N/A</v>
      </c>
      <c r="V70" s="82" t="e">
        <f>SUM(V67:V69)</f>
        <v>#N/A</v>
      </c>
      <c r="W70" s="84" t="str">
        <f>CONCATENATE("m'(",Q68,")=")</f>
        <v>m'(4.85)=</v>
      </c>
      <c r="X70" s="84" t="e">
        <f>(2*(X67^2)/24*V70)+(X69*Q67*WLS)</f>
        <v>#VALUE!</v>
      </c>
      <c r="Y70" s="84" t="str">
        <f>CONCATENATE("M(",Q67,")=")</f>
        <v>M(-)=</v>
      </c>
      <c r="Z70" s="84" t="e">
        <f>VLOOKUP(Q67,STN_TABLE,4,FALSE)</f>
        <v>#N/A</v>
      </c>
      <c r="AA70" t="str">
        <f>CONCATENATE("M(",Q68,")=")</f>
        <v>M(4.85)=</v>
      </c>
      <c r="AB70" t="e">
        <f>X70+Z70</f>
        <v>#VALUE!</v>
      </c>
      <c r="AE70" s="89">
        <f>SUM(AE68:AE69)</f>
        <v>22</v>
      </c>
      <c r="AG70" s="89">
        <f>SUM(AG68:AG69)</f>
        <v>33</v>
      </c>
      <c r="AH70" s="84" t="str">
        <f>CONCATENATE("m'(",AD69,")=")</f>
        <v>m'(4.85)=</v>
      </c>
      <c r="AI70" s="84">
        <f>(2*(AI67^2)/6*AG70)+(AI69*AD68*WLS)</f>
        <v>330.98999999999984</v>
      </c>
      <c r="AJ70" s="84" t="str">
        <f>CONCATENATE("M(",AD68,")=")</f>
        <v>M(4)=</v>
      </c>
      <c r="AK70" s="84">
        <f>VLOOKUP(AD68,STN_TABLE,4,FALSE)</f>
        <v>703.13333333333333</v>
      </c>
      <c r="AL70" t="str">
        <f>CONCATENATE("M(",AD69,")=")</f>
        <v>M(4.85)=</v>
      </c>
      <c r="AM70">
        <f>AI70+AK70</f>
        <v>1034.1233333333332</v>
      </c>
      <c r="AO70" s="82" t="str">
        <f>AA70</f>
        <v>M(4.85)=</v>
      </c>
      <c r="AP70" s="82" t="e">
        <f>VLOOKUP(AO70,Rise_Results,2,FALSE)</f>
        <v>#N/A</v>
      </c>
      <c r="AQ70" s="82" t="e">
        <f>N70</f>
        <v>#N/A</v>
      </c>
      <c r="AR70" s="82" t="e">
        <f>IF(OR(AB69&lt;=0,AB70&lt;=0),1/0,AB70)</f>
        <v>#VALUE!</v>
      </c>
      <c r="AS70" s="82">
        <f>AM70</f>
        <v>1034.1233333333332</v>
      </c>
      <c r="AT70">
        <f>IFERROR(AP70,IFERROR(AQ70,IFERROR(AR70,AS70)))</f>
        <v>1034.1233333333332</v>
      </c>
      <c r="AU70" s="81"/>
    </row>
    <row r="71" spans="1:47" x14ac:dyDescent="0.25">
      <c r="A71" s="101">
        <f>A66+1</f>
        <v>6</v>
      </c>
      <c r="B71" s="101">
        <f t="shared" si="11"/>
        <v>2</v>
      </c>
      <c r="O71" s="101">
        <f>O66+1</f>
        <v>8</v>
      </c>
      <c r="P71" s="101">
        <f t="shared" si="23"/>
        <v>4</v>
      </c>
      <c r="AU71" s="81"/>
    </row>
    <row r="72" spans="1:47" x14ac:dyDescent="0.25">
      <c r="A72" s="84">
        <f>A71+1</f>
        <v>7</v>
      </c>
      <c r="B72" s="84">
        <f t="shared" si="11"/>
        <v>3</v>
      </c>
      <c r="C72" s="79">
        <f t="shared" ref="C72" si="25">IF(C73=B74,IF(C74-C73=C73-B73,B73,IF(C74-C73=C73-B72,B72,"#NA")),IF(C73=B73,IF(C74-C73=C73-B72,B72,IF(C74-C73=C73-B71,B71,"#NA")),"#NA"))</f>
        <v>3</v>
      </c>
      <c r="D72" s="68">
        <f>VLOOKUP(C72,STN_TABLE,2,FALSE)</f>
        <v>11</v>
      </c>
      <c r="E72" s="102">
        <v>1</v>
      </c>
      <c r="F72" s="68">
        <f>D72*E72</f>
        <v>11</v>
      </c>
      <c r="G72" s="69">
        <f>C72</f>
        <v>3</v>
      </c>
      <c r="H72" s="69">
        <f>F72*G72</f>
        <v>33</v>
      </c>
      <c r="I72" s="6" t="s">
        <v>93</v>
      </c>
      <c r="J72" s="70">
        <f>IF(OR(D72=0,D73=0,D74=0),"#NA",IF(AND(C74-C73=C73-C72,C73&lt;&gt;C74,C72&lt;&gt;C73,C72&lt;&gt;C74,D74&lt;&gt;0,OR(D72&lt;&gt;0,D73&lt;&gt;0)),WLS*(C74-C73),"#NA"))</f>
        <v>2</v>
      </c>
      <c r="O72" s="99">
        <f>O71+1</f>
        <v>9</v>
      </c>
      <c r="P72" s="99">
        <f t="shared" si="23"/>
        <v>4.8499999999999996</v>
      </c>
      <c r="Q72" s="68">
        <f>IF(OR(P74-P73=P73-P72,P75-P73=P73-P72),P72,IF(OR(P74-P73=P73-P71,P75-P73=P73-P71),P71,"-"))</f>
        <v>4</v>
      </c>
      <c r="R72" s="69">
        <f>VLOOKUP(Q72,STN_TABLE,2,FALSE)</f>
        <v>11</v>
      </c>
      <c r="S72" s="69">
        <v>5</v>
      </c>
      <c r="T72" s="68">
        <f>R72*S72</f>
        <v>55</v>
      </c>
      <c r="U72" s="79">
        <v>3</v>
      </c>
      <c r="V72" s="68">
        <f>R72*U72</f>
        <v>33</v>
      </c>
      <c r="W72" s="6" t="s">
        <v>93</v>
      </c>
      <c r="X72" s="70">
        <f>IF(AND(Q74-Q73=Q73-Q72,NOT(AND(Q72=0,Q73=0)),NOT(AND(Q73=0,Q74=0))),WLS*(Q74-Q73),"#NA")</f>
        <v>2</v>
      </c>
      <c r="AD72" s="93"/>
      <c r="AH72" s="6" t="s">
        <v>93</v>
      </c>
      <c r="AI72" s="70">
        <f>WLS*(AD74-AD73)</f>
        <v>0.30000000000000071</v>
      </c>
      <c r="AU72" s="81"/>
    </row>
    <row r="73" spans="1:47" x14ac:dyDescent="0.25">
      <c r="A73" s="84">
        <f>A72+1</f>
        <v>8</v>
      </c>
      <c r="B73" s="84">
        <f t="shared" si="11"/>
        <v>4</v>
      </c>
      <c r="C73" s="80">
        <f t="shared" ref="C73" si="26">IF(OR(B75-B74=B74-B73,B75-B74=B74-B72,B75-B74=B74-B71),B74,IF(OR(B75-B73=B73-B72,B75-B73=B73-B71),B73,IF(B75-B72=B72-B71,B72,"#NA")))</f>
        <v>4</v>
      </c>
      <c r="D73" s="76">
        <f>VLOOKUP(C73,STN_TABLE,2,FALSE)</f>
        <v>11</v>
      </c>
      <c r="E73" s="81">
        <v>4</v>
      </c>
      <c r="F73" s="76">
        <f>D73*E73</f>
        <v>44</v>
      </c>
      <c r="G73" s="77">
        <f>C73</f>
        <v>4</v>
      </c>
      <c r="H73" s="77">
        <f>F73*G73</f>
        <v>176</v>
      </c>
      <c r="I73" s="495" t="s">
        <v>97</v>
      </c>
      <c r="J73" s="496"/>
      <c r="K73" s="78" t="s">
        <v>98</v>
      </c>
      <c r="L73" s="78"/>
      <c r="M73" s="7" t="s">
        <v>99</v>
      </c>
      <c r="N73" s="7"/>
      <c r="O73" s="99">
        <f>O72+1</f>
        <v>10</v>
      </c>
      <c r="P73" s="99">
        <f t="shared" si="23"/>
        <v>5</v>
      </c>
      <c r="Q73" s="76">
        <f>P73</f>
        <v>5</v>
      </c>
      <c r="R73" s="77">
        <f>VLOOKUP(Q73,STN_TABLE,2,FALSE)</f>
        <v>11</v>
      </c>
      <c r="S73" s="77">
        <v>8</v>
      </c>
      <c r="T73" s="76">
        <f>R73*S73</f>
        <v>88</v>
      </c>
      <c r="U73" s="80">
        <v>10</v>
      </c>
      <c r="V73" s="76">
        <f>R73*U73</f>
        <v>110</v>
      </c>
      <c r="W73" s="496" t="s">
        <v>97</v>
      </c>
      <c r="X73" s="496"/>
      <c r="Y73" s="496" t="s">
        <v>98</v>
      </c>
      <c r="Z73" s="496"/>
      <c r="AA73" s="494" t="s">
        <v>99</v>
      </c>
      <c r="AB73" s="494"/>
      <c r="AC73" s="99">
        <f>AC68+1</f>
        <v>9</v>
      </c>
      <c r="AD73" s="95">
        <f>VLOOKUP(AC73,STN_TABLE_2,2,FALSE)</f>
        <v>4.8499999999999996</v>
      </c>
      <c r="AE73" s="68">
        <f>VLOOKUP(AD73,STN_TABLE,2,FALSE)</f>
        <v>11</v>
      </c>
      <c r="AF73" s="68">
        <v>1</v>
      </c>
      <c r="AG73" s="69">
        <f>AE73*AF73</f>
        <v>11</v>
      </c>
      <c r="AH73" s="496" t="s">
        <v>97</v>
      </c>
      <c r="AI73" s="496"/>
      <c r="AJ73" s="496" t="s">
        <v>98</v>
      </c>
      <c r="AK73" s="496"/>
      <c r="AL73" s="494" t="s">
        <v>99</v>
      </c>
      <c r="AM73" s="494"/>
      <c r="AP73" s="86" t="s">
        <v>112</v>
      </c>
      <c r="AQ73" s="89" t="s">
        <v>113</v>
      </c>
      <c r="AR73" s="89" t="s">
        <v>114</v>
      </c>
      <c r="AS73" s="89" t="s">
        <v>115</v>
      </c>
      <c r="AU73" s="81"/>
    </row>
    <row r="74" spans="1:47" x14ac:dyDescent="0.25">
      <c r="A74" s="84">
        <f>A73+1</f>
        <v>9</v>
      </c>
      <c r="B74" s="84">
        <f t="shared" ref="B74:B105" si="27">VLOOKUP(A74,STN_TABLE_2,2,FALSE)</f>
        <v>4.8499999999999996</v>
      </c>
      <c r="C74" s="88">
        <f t="shared" ref="C74" si="28">B75</f>
        <v>5</v>
      </c>
      <c r="D74" s="82">
        <f>VLOOKUP(C74,STN_TABLE,2,FALSE)</f>
        <v>11</v>
      </c>
      <c r="E74" s="92">
        <v>1</v>
      </c>
      <c r="F74" s="82">
        <f>D74*E74</f>
        <v>11</v>
      </c>
      <c r="G74" s="83">
        <f>C74</f>
        <v>5</v>
      </c>
      <c r="H74" s="83">
        <f>F74*G74</f>
        <v>55</v>
      </c>
      <c r="I74" s="84" t="str">
        <f>CONCATENATE("a'(",C74,")=")</f>
        <v>a'(5)=</v>
      </c>
      <c r="J74" s="84">
        <f>2*J72/3*F75</f>
        <v>88</v>
      </c>
      <c r="K74" s="84" t="str">
        <f>CONCATENATE("A(",C72,")=")</f>
        <v>A(3)=</v>
      </c>
      <c r="L74" s="84">
        <f>VLOOKUP(C72,STN_TABLE,3,FALSE)</f>
        <v>130.25333333333333</v>
      </c>
      <c r="M74" t="str">
        <f>CONCATENATE("A(",C74,")=")</f>
        <v>A(5)=</v>
      </c>
      <c r="N74">
        <f>J74+L74</f>
        <v>218.25333333333333</v>
      </c>
      <c r="O74" s="99">
        <f>O73+1</f>
        <v>11</v>
      </c>
      <c r="P74" s="99">
        <f t="shared" si="23"/>
        <v>6</v>
      </c>
      <c r="Q74" s="82">
        <f>IF(P74-P73=P73-P72,P74,IF(P75-P73=P73-P72,P75,IF(P74-P73=P73-P71,P74,IF(P75-P73=P73-P71,P75,"-"))))</f>
        <v>6</v>
      </c>
      <c r="R74" s="83">
        <f>VLOOKUP(Q74,STN_TABLE,2,FALSE)</f>
        <v>11</v>
      </c>
      <c r="S74" s="83">
        <v>-1</v>
      </c>
      <c r="T74" s="82">
        <f>R74*S74</f>
        <v>-11</v>
      </c>
      <c r="U74" s="88">
        <v>-1</v>
      </c>
      <c r="V74" s="82">
        <f>R74*U74</f>
        <v>-11</v>
      </c>
      <c r="W74" s="84" t="str">
        <f>CONCATENATE("a'(",Q73,")=")</f>
        <v>a'(5)=</v>
      </c>
      <c r="X74" s="84">
        <f>2*X72/12*T75</f>
        <v>44</v>
      </c>
      <c r="Y74" s="84" t="str">
        <f>CONCATENATE("A(",Q72,")=")</f>
        <v>A(4)=</v>
      </c>
      <c r="Z74" s="84">
        <f>VLOOKUP(Q72,STN_TABLE,3,FALSE)</f>
        <v>174.25333333333333</v>
      </c>
      <c r="AA74" t="str">
        <f>CONCATENATE("A(",Q73,")=")</f>
        <v>A(5)=</v>
      </c>
      <c r="AB74">
        <f>X74+Z74</f>
        <v>218.25333333333333</v>
      </c>
      <c r="AC74" s="99">
        <f>AC73+1</f>
        <v>10</v>
      </c>
      <c r="AD74" s="100">
        <f>VLOOKUP(AC74,STN_TABLE_2,2,FALSE)</f>
        <v>5</v>
      </c>
      <c r="AE74" s="82">
        <f>VLOOKUP(AD74,STN_TABLE,2,FALSE)</f>
        <v>11</v>
      </c>
      <c r="AF74" s="82">
        <v>2</v>
      </c>
      <c r="AG74" s="83">
        <f>AE74*AF74</f>
        <v>22</v>
      </c>
      <c r="AH74" s="84" t="str">
        <f>CONCATENATE("a'(",AD74,")=")</f>
        <v>a'(5)=</v>
      </c>
      <c r="AI74" s="84">
        <f>2*AI72/2*AE75</f>
        <v>6.6000000000000156</v>
      </c>
      <c r="AJ74" s="84" t="str">
        <f>CONCATENATE("A(",AD73,")=")</f>
        <v>A(4.85)=</v>
      </c>
      <c r="AK74" s="84">
        <f>VLOOKUP(AD73,STN_TABLE,3,FALSE)</f>
        <v>211.65333333333331</v>
      </c>
      <c r="AL74" t="str">
        <f>CONCATENATE("A(",AD74,")=")</f>
        <v>A(5)=</v>
      </c>
      <c r="AM74">
        <f>AI74+AK74</f>
        <v>218.25333333333333</v>
      </c>
      <c r="AO74" s="68" t="str">
        <f>AA74</f>
        <v>A(5)=</v>
      </c>
      <c r="AP74" s="68" t="e">
        <f>VLOOKUP(AO74,Rise_Results,2,FALSE)</f>
        <v>#N/A</v>
      </c>
      <c r="AQ74" s="76">
        <f>N74</f>
        <v>218.25333333333333</v>
      </c>
      <c r="AR74" s="76">
        <f>IF(OR(AB74&lt;=0,AB75&lt;=0),1/0,AB74)</f>
        <v>218.25333333333333</v>
      </c>
      <c r="AS74" s="76">
        <f>AM74</f>
        <v>218.25333333333333</v>
      </c>
      <c r="AT74">
        <f>IFERROR(AP74,IFERROR(AQ74,IFERROR(AR74,AS74)))</f>
        <v>218.25333333333333</v>
      </c>
      <c r="AU74" s="81"/>
    </row>
    <row r="75" spans="1:47" x14ac:dyDescent="0.25">
      <c r="A75" s="84">
        <f>A74+1</f>
        <v>10</v>
      </c>
      <c r="B75" s="84">
        <f t="shared" si="27"/>
        <v>5</v>
      </c>
      <c r="F75" s="82">
        <f>SUM(F72:F74)</f>
        <v>66</v>
      </c>
      <c r="H75" s="82">
        <f>SUM(H72:H74)</f>
        <v>264</v>
      </c>
      <c r="I75" s="84" t="str">
        <f>CONCATENATE("m'(",C74,")=")</f>
        <v>m'(5)=</v>
      </c>
      <c r="J75" s="84">
        <f>2*(J72*(WLS))/3*H75</f>
        <v>704</v>
      </c>
      <c r="K75" s="84" t="str">
        <f>CONCATENATE("M(",C72,")=")</f>
        <v>M(3)=</v>
      </c>
      <c r="L75" s="84">
        <f>VLOOKUP(C72,STN_TABLE,4,FALSE)</f>
        <v>395.13333333333333</v>
      </c>
      <c r="M75" t="str">
        <f>CONCATENATE("M(",C74,")=")</f>
        <v>M(5)=</v>
      </c>
      <c r="N75">
        <f>J75+L75</f>
        <v>1099.1333333333332</v>
      </c>
      <c r="O75" s="99">
        <f>O74+1</f>
        <v>12</v>
      </c>
      <c r="P75" s="99">
        <f t="shared" si="23"/>
        <v>6.5</v>
      </c>
      <c r="T75" s="89">
        <f>SUM(T72:T74)</f>
        <v>132</v>
      </c>
      <c r="V75" s="82">
        <f>SUM(V72:V74)</f>
        <v>132</v>
      </c>
      <c r="W75" s="84" t="str">
        <f>CONCATENATE("m'(",Q73,")=")</f>
        <v>m'(5)=</v>
      </c>
      <c r="X75" s="84">
        <f>(2*(X72^2)/24*V75)+(X74*Q72*WLS)</f>
        <v>396</v>
      </c>
      <c r="Y75" s="84" t="str">
        <f>CONCATENATE("M(",Q72,")=")</f>
        <v>M(4)=</v>
      </c>
      <c r="Z75" s="84">
        <f>VLOOKUP(Q72,STN_TABLE,4,FALSE)</f>
        <v>703.13333333333333</v>
      </c>
      <c r="AA75" t="str">
        <f>CONCATENATE("M(",Q73,")=")</f>
        <v>M(5)=</v>
      </c>
      <c r="AB75">
        <f>X75+Z75</f>
        <v>1099.1333333333332</v>
      </c>
      <c r="AE75" s="89">
        <f>SUM(AE73:AE74)</f>
        <v>22</v>
      </c>
      <c r="AG75" s="89">
        <f>SUM(AG73:AG74)</f>
        <v>33</v>
      </c>
      <c r="AH75" s="84" t="str">
        <f>CONCATENATE("m'(",AD74,")=")</f>
        <v>m'(5)=</v>
      </c>
      <c r="AI75" s="84">
        <f>(2*(AI72^2)/6*AG75)+(AI74*AD73*WLS)</f>
        <v>65.010000000000161</v>
      </c>
      <c r="AJ75" s="84" t="str">
        <f>CONCATENATE("M(",AD73,")=")</f>
        <v>M(4.85)=</v>
      </c>
      <c r="AK75" s="84">
        <f>VLOOKUP(AD73,STN_TABLE,4,FALSE)</f>
        <v>1034.1233333333332</v>
      </c>
      <c r="AL75" t="str">
        <f>CONCATENATE("M(",AD74,")=")</f>
        <v>M(5)=</v>
      </c>
      <c r="AM75">
        <f>AI75+AK75</f>
        <v>1099.1333333333334</v>
      </c>
      <c r="AO75" s="82" t="str">
        <f>AA75</f>
        <v>M(5)=</v>
      </c>
      <c r="AP75" s="82" t="e">
        <f>VLOOKUP(AO75,Rise_Results,2,FALSE)</f>
        <v>#N/A</v>
      </c>
      <c r="AQ75" s="82">
        <f>N75</f>
        <v>1099.1333333333332</v>
      </c>
      <c r="AR75" s="82">
        <f>IF(OR(AB74&lt;=0,AB75&lt;=0),1/0,AB75)</f>
        <v>1099.1333333333332</v>
      </c>
      <c r="AS75" s="82">
        <f>AM75</f>
        <v>1099.1333333333334</v>
      </c>
      <c r="AT75">
        <f>IFERROR(AP75,IFERROR(AQ75,IFERROR(AR75,AS75)))</f>
        <v>1099.1333333333332</v>
      </c>
      <c r="AU75" s="81"/>
    </row>
    <row r="76" spans="1:47" x14ac:dyDescent="0.25">
      <c r="A76" s="101">
        <f>A71+1</f>
        <v>7</v>
      </c>
      <c r="B76" s="101">
        <f t="shared" si="27"/>
        <v>3</v>
      </c>
      <c r="O76" s="101">
        <f>O71+1</f>
        <v>9</v>
      </c>
      <c r="P76" s="101">
        <f t="shared" si="23"/>
        <v>4.8499999999999996</v>
      </c>
      <c r="AU76" s="81"/>
    </row>
    <row r="77" spans="1:47" x14ac:dyDescent="0.25">
      <c r="A77" s="84">
        <f>A76+1</f>
        <v>8</v>
      </c>
      <c r="B77" s="84">
        <f t="shared" si="27"/>
        <v>4</v>
      </c>
      <c r="C77" s="79">
        <f t="shared" ref="C77" si="29">IF(C78=B79,IF(C79-C78=C78-B78,B78,IF(C79-C78=C78-B77,B77,"#NA")),IF(C78=B78,IF(C79-C78=C78-B77,B77,IF(C79-C78=C78-B76,B76,"#NA")),"#NA"))</f>
        <v>4</v>
      </c>
      <c r="D77" s="68">
        <f>VLOOKUP(C77,STN_TABLE,2,FALSE)</f>
        <v>11</v>
      </c>
      <c r="E77" s="102">
        <v>1</v>
      </c>
      <c r="F77" s="68">
        <f>D77*E77</f>
        <v>11</v>
      </c>
      <c r="G77" s="69">
        <f>C77</f>
        <v>4</v>
      </c>
      <c r="H77" s="69">
        <f>F77*G77</f>
        <v>44</v>
      </c>
      <c r="I77" s="6" t="s">
        <v>93</v>
      </c>
      <c r="J77" s="70">
        <f>IF(OR(D77=0,D78=0,D79=0),"#NA",IF(AND(C79-C78=C78-C77,C78&lt;&gt;C79,C77&lt;&gt;C78,C77&lt;&gt;C79,D79&lt;&gt;0,OR(D77&lt;&gt;0,D78&lt;&gt;0)),WLS*(C79-C78),"#NA"))</f>
        <v>2</v>
      </c>
      <c r="O77" s="99">
        <f>O76+1</f>
        <v>10</v>
      </c>
      <c r="P77" s="99">
        <f t="shared" si="23"/>
        <v>5</v>
      </c>
      <c r="Q77" s="68" t="e">
        <f>IF(OR(P79-P78=P78-P77,P80-P78=P78-P77),P77,IF(OR(P79-P78=P78-P76,P80-P78=P78-P76),P76,"-"))</f>
        <v>#VALUE!</v>
      </c>
      <c r="R77" s="69" t="e">
        <f>VLOOKUP(Q77,STN_TABLE,2,FALSE)</f>
        <v>#VALUE!</v>
      </c>
      <c r="S77" s="69">
        <v>5</v>
      </c>
      <c r="T77" s="68" t="e">
        <f>R77*S77</f>
        <v>#VALUE!</v>
      </c>
      <c r="U77" s="79">
        <v>3</v>
      </c>
      <c r="V77" s="68" t="e">
        <f>R77*U77</f>
        <v>#VALUE!</v>
      </c>
      <c r="W77" s="6" t="s">
        <v>93</v>
      </c>
      <c r="X77" s="70" t="e">
        <f>IF(AND(Q79-Q78=Q78-Q77,NOT(AND(Q77=0,Q78=0)),NOT(AND(Q78=0,Q79=0))),WLS*(Q79-Q78),"#NA")</f>
        <v>#VALUE!</v>
      </c>
      <c r="AD77" s="93"/>
      <c r="AH77" s="6" t="s">
        <v>93</v>
      </c>
      <c r="AI77" s="70">
        <f>WLS*(AD79-AD78)</f>
        <v>2</v>
      </c>
      <c r="AU77" s="81"/>
    </row>
    <row r="78" spans="1:47" x14ac:dyDescent="0.25">
      <c r="A78" s="84">
        <f>A77+1</f>
        <v>9</v>
      </c>
      <c r="B78" s="84">
        <f t="shared" si="27"/>
        <v>4.8499999999999996</v>
      </c>
      <c r="C78" s="80">
        <f t="shared" ref="C78" si="30">IF(OR(B80-B79=B79-B78,B80-B79=B79-B77,B80-B79=B79-B76),B79,IF(OR(B80-B78=B78-B77,B80-B78=B78-B76),B78,IF(B80-B77=B77-B76,B77,"#NA")))</f>
        <v>5</v>
      </c>
      <c r="D78" s="76">
        <f>VLOOKUP(C78,STN_TABLE,2,FALSE)</f>
        <v>11</v>
      </c>
      <c r="E78" s="81">
        <v>4</v>
      </c>
      <c r="F78" s="76">
        <f>D78*E78</f>
        <v>44</v>
      </c>
      <c r="G78" s="77">
        <f>C78</f>
        <v>5</v>
      </c>
      <c r="H78" s="77">
        <f>F78*G78</f>
        <v>220</v>
      </c>
      <c r="I78" s="495" t="s">
        <v>97</v>
      </c>
      <c r="J78" s="496"/>
      <c r="K78" s="78" t="s">
        <v>98</v>
      </c>
      <c r="L78" s="78"/>
      <c r="M78" s="7" t="s">
        <v>99</v>
      </c>
      <c r="N78" s="7"/>
      <c r="O78" s="99">
        <f>O77+1</f>
        <v>11</v>
      </c>
      <c r="P78" s="99">
        <f t="shared" si="23"/>
        <v>6</v>
      </c>
      <c r="Q78" s="76">
        <f>P78</f>
        <v>6</v>
      </c>
      <c r="R78" s="77">
        <f>VLOOKUP(Q78,STN_TABLE,2,FALSE)</f>
        <v>11</v>
      </c>
      <c r="S78" s="77">
        <v>8</v>
      </c>
      <c r="T78" s="76">
        <f>R78*S78</f>
        <v>88</v>
      </c>
      <c r="U78" s="80">
        <v>10</v>
      </c>
      <c r="V78" s="76">
        <f>R78*U78</f>
        <v>110</v>
      </c>
      <c r="W78" s="496" t="s">
        <v>97</v>
      </c>
      <c r="X78" s="496"/>
      <c r="Y78" s="496" t="s">
        <v>98</v>
      </c>
      <c r="Z78" s="496"/>
      <c r="AA78" s="494" t="s">
        <v>99</v>
      </c>
      <c r="AB78" s="494"/>
      <c r="AC78" s="99">
        <f>AC73+1</f>
        <v>10</v>
      </c>
      <c r="AD78" s="95">
        <f>VLOOKUP(AC78,STN_TABLE_2,2,FALSE)</f>
        <v>5</v>
      </c>
      <c r="AE78" s="68">
        <f>VLOOKUP(AD78,STN_TABLE,2,FALSE)</f>
        <v>11</v>
      </c>
      <c r="AF78" s="68">
        <v>1</v>
      </c>
      <c r="AG78" s="69">
        <f>AE78*AF78</f>
        <v>11</v>
      </c>
      <c r="AH78" s="496" t="s">
        <v>97</v>
      </c>
      <c r="AI78" s="496"/>
      <c r="AJ78" s="496" t="s">
        <v>98</v>
      </c>
      <c r="AK78" s="496"/>
      <c r="AL78" s="494" t="s">
        <v>99</v>
      </c>
      <c r="AM78" s="494"/>
      <c r="AP78" s="86" t="s">
        <v>112</v>
      </c>
      <c r="AQ78" s="89" t="s">
        <v>113</v>
      </c>
      <c r="AR78" s="89" t="s">
        <v>114</v>
      </c>
      <c r="AS78" s="89" t="s">
        <v>115</v>
      </c>
      <c r="AU78" s="81"/>
    </row>
    <row r="79" spans="1:47" x14ac:dyDescent="0.25">
      <c r="A79" s="84">
        <f>A78+1</f>
        <v>10</v>
      </c>
      <c r="B79" s="84">
        <f t="shared" si="27"/>
        <v>5</v>
      </c>
      <c r="C79" s="88">
        <f t="shared" ref="C79" si="31">B80</f>
        <v>6</v>
      </c>
      <c r="D79" s="82">
        <f>VLOOKUP(C79,STN_TABLE,2,FALSE)</f>
        <v>11</v>
      </c>
      <c r="E79" s="92">
        <v>1</v>
      </c>
      <c r="F79" s="82">
        <f>D79*E79</f>
        <v>11</v>
      </c>
      <c r="G79" s="83">
        <f>C79</f>
        <v>6</v>
      </c>
      <c r="H79" s="83">
        <f>F79*G79</f>
        <v>66</v>
      </c>
      <c r="I79" s="84" t="str">
        <f>CONCATENATE("a'(",C79,")=")</f>
        <v>a'(6)=</v>
      </c>
      <c r="J79" s="84">
        <f>2*J77/3*F80</f>
        <v>88</v>
      </c>
      <c r="K79" s="84" t="str">
        <f>CONCATENATE("A(",C77,")=")</f>
        <v>A(4)=</v>
      </c>
      <c r="L79" s="84">
        <f>VLOOKUP(C77,STN_TABLE,3,FALSE)</f>
        <v>174.25333333333333</v>
      </c>
      <c r="M79" t="str">
        <f>CONCATENATE("A(",C79,")=")</f>
        <v>A(6)=</v>
      </c>
      <c r="N79">
        <f>J79+L79</f>
        <v>262.25333333333333</v>
      </c>
      <c r="O79" s="99">
        <f>O78+1</f>
        <v>12</v>
      </c>
      <c r="P79" s="99">
        <f t="shared" si="23"/>
        <v>6.5</v>
      </c>
      <c r="Q79" s="82" t="e">
        <f>IF(P79-P78=P78-P77,P79,IF(P80-P78=P78-P77,P80,IF(P79-P78=P78-P76,P79,IF(P80-P78=P78-P76,P80,"-"))))</f>
        <v>#VALUE!</v>
      </c>
      <c r="R79" s="83" t="e">
        <f>VLOOKUP(Q79,STN_TABLE,2,FALSE)</f>
        <v>#VALUE!</v>
      </c>
      <c r="S79" s="83">
        <v>-1</v>
      </c>
      <c r="T79" s="82" t="e">
        <f>R79*S79</f>
        <v>#VALUE!</v>
      </c>
      <c r="U79" s="88">
        <v>-1</v>
      </c>
      <c r="V79" s="82" t="e">
        <f>R79*U79</f>
        <v>#VALUE!</v>
      </c>
      <c r="W79" s="84" t="str">
        <f>CONCATENATE("a'(",Q78,")=")</f>
        <v>a'(6)=</v>
      </c>
      <c r="X79" s="84" t="e">
        <f>2*X77/12*T80</f>
        <v>#VALUE!</v>
      </c>
      <c r="Y79" s="84" t="e">
        <f>CONCATENATE("A(",Q77,")=")</f>
        <v>#VALUE!</v>
      </c>
      <c r="Z79" s="84" t="e">
        <f>VLOOKUP(Q77,STN_TABLE,3,FALSE)</f>
        <v>#VALUE!</v>
      </c>
      <c r="AA79" t="str">
        <f>CONCATENATE("A(",Q78,")=")</f>
        <v>A(6)=</v>
      </c>
      <c r="AB79" t="e">
        <f>X79+Z79</f>
        <v>#VALUE!</v>
      </c>
      <c r="AC79" s="99">
        <f>AC78+1</f>
        <v>11</v>
      </c>
      <c r="AD79" s="100">
        <f>VLOOKUP(AC79,STN_TABLE_2,2,FALSE)</f>
        <v>6</v>
      </c>
      <c r="AE79" s="82">
        <f>VLOOKUP(AD79,STN_TABLE,2,FALSE)</f>
        <v>11</v>
      </c>
      <c r="AF79" s="82">
        <v>2</v>
      </c>
      <c r="AG79" s="83">
        <f>AE79*AF79</f>
        <v>22</v>
      </c>
      <c r="AH79" s="84" t="str">
        <f>CONCATENATE("a'(",AD79,")=")</f>
        <v>a'(6)=</v>
      </c>
      <c r="AI79" s="84">
        <f>2*AI77/2*AE80</f>
        <v>44</v>
      </c>
      <c r="AJ79" s="84" t="str">
        <f>CONCATENATE("A(",AD78,")=")</f>
        <v>A(5)=</v>
      </c>
      <c r="AK79" s="84">
        <f>VLOOKUP(AD78,STN_TABLE,3,FALSE)</f>
        <v>218.25333333333333</v>
      </c>
      <c r="AL79" t="str">
        <f>CONCATENATE("A(",AD79,")=")</f>
        <v>A(6)=</v>
      </c>
      <c r="AM79">
        <f>AI79+AK79</f>
        <v>262.25333333333333</v>
      </c>
      <c r="AO79" s="68" t="str">
        <f>AA79</f>
        <v>A(6)=</v>
      </c>
      <c r="AP79" s="68" t="e">
        <f>VLOOKUP(AO79,Rise_Results,2,FALSE)</f>
        <v>#N/A</v>
      </c>
      <c r="AQ79" s="76">
        <f>N79</f>
        <v>262.25333333333333</v>
      </c>
      <c r="AR79" s="76" t="e">
        <f>IF(OR(AB79&lt;=0,AB80&lt;=0),1/0,AB79)</f>
        <v>#VALUE!</v>
      </c>
      <c r="AS79" s="76">
        <f>AM79</f>
        <v>262.25333333333333</v>
      </c>
      <c r="AT79">
        <f>IFERROR(AP79,IFERROR(AQ79,IFERROR(AR79,AS79)))</f>
        <v>262.25333333333333</v>
      </c>
      <c r="AU79" s="81"/>
    </row>
    <row r="80" spans="1:47" x14ac:dyDescent="0.25">
      <c r="A80" s="84">
        <f>A79+1</f>
        <v>11</v>
      </c>
      <c r="B80" s="84">
        <f t="shared" si="27"/>
        <v>6</v>
      </c>
      <c r="F80" s="82">
        <f>SUM(F77:F79)</f>
        <v>66</v>
      </c>
      <c r="H80" s="82">
        <f>SUM(H77:H79)</f>
        <v>330</v>
      </c>
      <c r="I80" s="84" t="str">
        <f>CONCATENATE("m'(",C79,")=")</f>
        <v>m'(6)=</v>
      </c>
      <c r="J80" s="84">
        <f>2*(J77*(WLS))/3*H80</f>
        <v>880</v>
      </c>
      <c r="K80" s="84" t="str">
        <f>CONCATENATE("M(",C77,")=")</f>
        <v>M(4)=</v>
      </c>
      <c r="L80" s="84">
        <f>VLOOKUP(C77,STN_TABLE,4,FALSE)</f>
        <v>703.13333333333333</v>
      </c>
      <c r="M80" t="str">
        <f>CONCATENATE("M(",C79,")=")</f>
        <v>M(6)=</v>
      </c>
      <c r="N80">
        <f>J80+L80</f>
        <v>1583.1333333333332</v>
      </c>
      <c r="O80" s="99">
        <f>O79+1</f>
        <v>13</v>
      </c>
      <c r="P80" s="99" t="str">
        <f t="shared" si="23"/>
        <v xml:space="preserve">  </v>
      </c>
      <c r="T80" s="89" t="e">
        <f>SUM(T77:T79)</f>
        <v>#VALUE!</v>
      </c>
      <c r="V80" s="82" t="e">
        <f>SUM(V77:V79)</f>
        <v>#VALUE!</v>
      </c>
      <c r="W80" s="84" t="str">
        <f>CONCATENATE("m'(",Q78,")=")</f>
        <v>m'(6)=</v>
      </c>
      <c r="X80" s="84" t="e">
        <f>(2*(X77^2)/24*V80)+(X79*Q77*WLS)</f>
        <v>#VALUE!</v>
      </c>
      <c r="Y80" s="84" t="e">
        <f>CONCATENATE("M(",Q77,")=")</f>
        <v>#VALUE!</v>
      </c>
      <c r="Z80" s="84" t="e">
        <f>VLOOKUP(Q77,STN_TABLE,4,FALSE)</f>
        <v>#VALUE!</v>
      </c>
      <c r="AA80" t="str">
        <f>CONCATENATE("M(",Q78,")=")</f>
        <v>M(6)=</v>
      </c>
      <c r="AB80" t="e">
        <f>X80+Z80</f>
        <v>#VALUE!</v>
      </c>
      <c r="AE80" s="89">
        <f>SUM(AE78:AE79)</f>
        <v>22</v>
      </c>
      <c r="AG80" s="89">
        <f>SUM(AG78:AG79)</f>
        <v>33</v>
      </c>
      <c r="AH80" s="84" t="str">
        <f>CONCATENATE("m'(",AD79,")=")</f>
        <v>m'(6)=</v>
      </c>
      <c r="AI80" s="84">
        <f>(2*(AI77^2)/6*AG80)+(AI79*AD78*WLS)</f>
        <v>484</v>
      </c>
      <c r="AJ80" s="84" t="str">
        <f>CONCATENATE("M(",AD78,")=")</f>
        <v>M(5)=</v>
      </c>
      <c r="AK80" s="84">
        <f>VLOOKUP(AD78,STN_TABLE,4,FALSE)</f>
        <v>1099.1333333333332</v>
      </c>
      <c r="AL80" t="str">
        <f>CONCATENATE("M(",AD79,")=")</f>
        <v>M(6)=</v>
      </c>
      <c r="AM80">
        <f>AI80+AK80</f>
        <v>1583.1333333333332</v>
      </c>
      <c r="AO80" s="82" t="str">
        <f>AA80</f>
        <v>M(6)=</v>
      </c>
      <c r="AP80" s="82" t="e">
        <f>VLOOKUP(AO80,Rise_Results,2,FALSE)</f>
        <v>#N/A</v>
      </c>
      <c r="AQ80" s="82">
        <f>N80</f>
        <v>1583.1333333333332</v>
      </c>
      <c r="AR80" s="82" t="e">
        <f>IF(OR(AB79&lt;=0,AB80&lt;=0),1/0,AB80)</f>
        <v>#VALUE!</v>
      </c>
      <c r="AS80" s="82">
        <f>AM80</f>
        <v>1583.1333333333332</v>
      </c>
      <c r="AT80">
        <f>IFERROR(AP80,IFERROR(AQ80,IFERROR(AR80,AS80)))</f>
        <v>1583.1333333333332</v>
      </c>
      <c r="AU80" s="81"/>
    </row>
    <row r="81" spans="1:47" x14ac:dyDescent="0.25">
      <c r="A81" s="101">
        <f>A76+1</f>
        <v>8</v>
      </c>
      <c r="B81" s="101">
        <f t="shared" si="27"/>
        <v>4</v>
      </c>
      <c r="O81" s="101">
        <f>O76+1</f>
        <v>10</v>
      </c>
      <c r="P81" s="101">
        <f t="shared" si="23"/>
        <v>5</v>
      </c>
      <c r="AU81" s="81"/>
    </row>
    <row r="82" spans="1:47" x14ac:dyDescent="0.25">
      <c r="A82" s="84">
        <f>A81+1</f>
        <v>9</v>
      </c>
      <c r="B82" s="84">
        <f t="shared" si="27"/>
        <v>4.8499999999999996</v>
      </c>
      <c r="C82" s="79" t="str">
        <f t="shared" ref="C82" si="32">IF(C83=B84,IF(C84-C83=C83-B83,B83,IF(C84-C83=C83-B82,B82,"#NA")),IF(C83=B83,IF(C84-C83=C83-B82,B82,IF(C84-C83=C83-B81,B81,"#NA")),"#NA"))</f>
        <v>#NA</v>
      </c>
      <c r="D82" s="68" t="e">
        <f>VLOOKUP(C82,STN_TABLE,2,FALSE)</f>
        <v>#N/A</v>
      </c>
      <c r="E82" s="102">
        <v>1</v>
      </c>
      <c r="F82" s="68" t="e">
        <f>D82*E82</f>
        <v>#N/A</v>
      </c>
      <c r="G82" s="69" t="str">
        <f>C82</f>
        <v>#NA</v>
      </c>
      <c r="H82" s="69" t="e">
        <f>F82*G82</f>
        <v>#N/A</v>
      </c>
      <c r="I82" s="6" t="s">
        <v>93</v>
      </c>
      <c r="J82" s="70" t="e">
        <f>IF(OR(D82=0,D83=0,D84=0),"#NA",IF(AND(C84-C83=C83-C82,C83&lt;&gt;C84,C82&lt;&gt;C83,C82&lt;&gt;C84,D84&lt;&gt;0,OR(D82&lt;&gt;0,D83&lt;&gt;0)),WLS*(C84-C83),"#NA"))</f>
        <v>#N/A</v>
      </c>
      <c r="O82" s="99">
        <f>O81+1</f>
        <v>11</v>
      </c>
      <c r="P82" s="99">
        <f t="shared" si="23"/>
        <v>6</v>
      </c>
      <c r="Q82" s="68" t="e">
        <f>IF(OR(P84-P83=P83-P82,P85-P83=P83-P82),P82,IF(OR(P84-P83=P83-P81,P85-P83=P83-P81),P81,"-"))</f>
        <v>#VALUE!</v>
      </c>
      <c r="R82" s="69" t="e">
        <f>VLOOKUP(Q82,STN_TABLE,2,FALSE)</f>
        <v>#VALUE!</v>
      </c>
      <c r="S82" s="69">
        <v>5</v>
      </c>
      <c r="T82" s="68" t="e">
        <f>R82*S82</f>
        <v>#VALUE!</v>
      </c>
      <c r="U82" s="79">
        <v>3</v>
      </c>
      <c r="V82" s="68" t="e">
        <f>R82*U82</f>
        <v>#VALUE!</v>
      </c>
      <c r="W82" s="6" t="s">
        <v>93</v>
      </c>
      <c r="X82" s="70" t="e">
        <f>IF(AND(Q84-Q83=Q83-Q82,NOT(AND(Q82=0,Q83=0)),NOT(AND(Q83=0,Q84=0))),WLS*(Q84-Q83),"#NA")</f>
        <v>#VALUE!</v>
      </c>
      <c r="AD82" s="93"/>
      <c r="AH82" s="6" t="s">
        <v>93</v>
      </c>
      <c r="AI82" s="70">
        <f>WLS*(AD84-AD83)</f>
        <v>1</v>
      </c>
      <c r="AU82" s="81"/>
    </row>
    <row r="83" spans="1:47" x14ac:dyDescent="0.25">
      <c r="A83" s="84">
        <f>A82+1</f>
        <v>10</v>
      </c>
      <c r="B83" s="84">
        <f t="shared" si="27"/>
        <v>5</v>
      </c>
      <c r="C83" s="80" t="str">
        <f t="shared" ref="C83" si="33">IF(OR(B85-B84=B84-B83,B85-B84=B84-B82,B85-B84=B84-B81),B84,IF(OR(B85-B83=B83-B82,B85-B83=B83-B81),B83,IF(B85-B82=B82-B81,B82,"#NA")))</f>
        <v>#NA</v>
      </c>
      <c r="D83" s="76" t="e">
        <f>VLOOKUP(C83,STN_TABLE,2,FALSE)</f>
        <v>#N/A</v>
      </c>
      <c r="E83" s="81">
        <v>4</v>
      </c>
      <c r="F83" s="76" t="e">
        <f>D83*E83</f>
        <v>#N/A</v>
      </c>
      <c r="G83" s="77" t="str">
        <f>C83</f>
        <v>#NA</v>
      </c>
      <c r="H83" s="77" t="e">
        <f>F83*G83</f>
        <v>#N/A</v>
      </c>
      <c r="I83" s="495" t="s">
        <v>97</v>
      </c>
      <c r="J83" s="496"/>
      <c r="K83" s="78" t="s">
        <v>98</v>
      </c>
      <c r="L83" s="78"/>
      <c r="M83" s="7" t="s">
        <v>99</v>
      </c>
      <c r="N83" s="7"/>
      <c r="O83" s="99">
        <f>O82+1</f>
        <v>12</v>
      </c>
      <c r="P83" s="99">
        <f t="shared" si="23"/>
        <v>6.5</v>
      </c>
      <c r="Q83" s="76">
        <f>P83</f>
        <v>6.5</v>
      </c>
      <c r="R83" s="77">
        <f>VLOOKUP(Q83,STN_TABLE,2,FALSE)</f>
        <v>11</v>
      </c>
      <c r="S83" s="77">
        <v>8</v>
      </c>
      <c r="T83" s="76">
        <f>R83*S83</f>
        <v>88</v>
      </c>
      <c r="U83" s="80">
        <v>10</v>
      </c>
      <c r="V83" s="76">
        <f>R83*U83</f>
        <v>110</v>
      </c>
      <c r="W83" s="496" t="s">
        <v>97</v>
      </c>
      <c r="X83" s="496"/>
      <c r="Y83" s="496" t="s">
        <v>98</v>
      </c>
      <c r="Z83" s="496"/>
      <c r="AA83" s="494" t="s">
        <v>99</v>
      </c>
      <c r="AB83" s="494"/>
      <c r="AC83" s="99">
        <f>AC78+1</f>
        <v>11</v>
      </c>
      <c r="AD83" s="95">
        <f>VLOOKUP(AC83,STN_TABLE_2,2,FALSE)</f>
        <v>6</v>
      </c>
      <c r="AE83" s="68">
        <f>VLOOKUP(AD83,STN_TABLE,2,FALSE)</f>
        <v>11</v>
      </c>
      <c r="AF83" s="68">
        <v>1</v>
      </c>
      <c r="AG83" s="69">
        <f>AE83*AF83</f>
        <v>11</v>
      </c>
      <c r="AH83" s="496" t="s">
        <v>97</v>
      </c>
      <c r="AI83" s="496"/>
      <c r="AJ83" s="496" t="s">
        <v>98</v>
      </c>
      <c r="AK83" s="496"/>
      <c r="AL83" s="494" t="s">
        <v>99</v>
      </c>
      <c r="AM83" s="494"/>
      <c r="AP83" s="86" t="s">
        <v>112</v>
      </c>
      <c r="AQ83" s="89" t="s">
        <v>113</v>
      </c>
      <c r="AR83" s="89" t="s">
        <v>114</v>
      </c>
      <c r="AS83" s="89" t="s">
        <v>115</v>
      </c>
      <c r="AU83" s="81"/>
    </row>
    <row r="84" spans="1:47" x14ac:dyDescent="0.25">
      <c r="A84" s="84">
        <f>A83+1</f>
        <v>11</v>
      </c>
      <c r="B84" s="84">
        <f t="shared" si="27"/>
        <v>6</v>
      </c>
      <c r="C84" s="88">
        <f t="shared" ref="C84" si="34">B85</f>
        <v>6.5</v>
      </c>
      <c r="D84" s="82">
        <f>VLOOKUP(C84,STN_TABLE,2,FALSE)</f>
        <v>11</v>
      </c>
      <c r="E84" s="92">
        <v>1</v>
      </c>
      <c r="F84" s="82">
        <f>D84*E84</f>
        <v>11</v>
      </c>
      <c r="G84" s="83">
        <f>C84</f>
        <v>6.5</v>
      </c>
      <c r="H84" s="83">
        <f>F84*G84</f>
        <v>71.5</v>
      </c>
      <c r="I84" s="84" t="str">
        <f>CONCATENATE("a'(",C84,")=")</f>
        <v>a'(6.5)=</v>
      </c>
      <c r="J84" s="84" t="e">
        <f>2*J82/3*F85</f>
        <v>#N/A</v>
      </c>
      <c r="K84" s="84" t="str">
        <f>CONCATENATE("A(",C82,")=")</f>
        <v>A(#NA)=</v>
      </c>
      <c r="L84" s="84" t="e">
        <f>VLOOKUP(C82,STN_TABLE,3,FALSE)</f>
        <v>#N/A</v>
      </c>
      <c r="M84" t="str">
        <f>CONCATENATE("A(",C84,")=")</f>
        <v>A(6.5)=</v>
      </c>
      <c r="N84" t="e">
        <f>J84+L84</f>
        <v>#N/A</v>
      </c>
      <c r="O84" s="99">
        <f>O83+1</f>
        <v>13</v>
      </c>
      <c r="P84" s="99" t="str">
        <f t="shared" si="23"/>
        <v xml:space="preserve">  </v>
      </c>
      <c r="Q84" s="82" t="e">
        <f>IF(P84-P83=P83-P82,P84,IF(P85-P83=P83-P82,P85,IF(P84-P83=P83-P81,P84,IF(P85-P83=P83-P81,P85,"-"))))</f>
        <v>#VALUE!</v>
      </c>
      <c r="R84" s="83" t="e">
        <f>VLOOKUP(Q84,STN_TABLE,2,FALSE)</f>
        <v>#VALUE!</v>
      </c>
      <c r="S84" s="83">
        <v>-1</v>
      </c>
      <c r="T84" s="82" t="e">
        <f>R84*S84</f>
        <v>#VALUE!</v>
      </c>
      <c r="U84" s="88">
        <v>-1</v>
      </c>
      <c r="V84" s="82" t="e">
        <f>R84*U84</f>
        <v>#VALUE!</v>
      </c>
      <c r="W84" s="84" t="str">
        <f>CONCATENATE("a'(",Q83,")=")</f>
        <v>a'(6.5)=</v>
      </c>
      <c r="X84" s="84" t="e">
        <f>2*X82/12*T85</f>
        <v>#VALUE!</v>
      </c>
      <c r="Y84" s="84" t="e">
        <f>CONCATENATE("A(",Q82,")=")</f>
        <v>#VALUE!</v>
      </c>
      <c r="Z84" s="84" t="e">
        <f>VLOOKUP(Q82,STN_TABLE,3,FALSE)</f>
        <v>#VALUE!</v>
      </c>
      <c r="AA84" t="str">
        <f>CONCATENATE("A(",Q83,")=")</f>
        <v>A(6.5)=</v>
      </c>
      <c r="AB84" t="e">
        <f>X84+Z84</f>
        <v>#VALUE!</v>
      </c>
      <c r="AC84" s="99">
        <f>AC83+1</f>
        <v>12</v>
      </c>
      <c r="AD84" s="100">
        <f>VLOOKUP(AC84,STN_TABLE_2,2,FALSE)</f>
        <v>6.5</v>
      </c>
      <c r="AE84" s="82">
        <f>VLOOKUP(AD84,STN_TABLE,2,FALSE)</f>
        <v>11</v>
      </c>
      <c r="AF84" s="82">
        <v>2</v>
      </c>
      <c r="AG84" s="83">
        <f>AE84*AF84</f>
        <v>22</v>
      </c>
      <c r="AH84" s="84" t="str">
        <f>CONCATENATE("a'(",AD84,")=")</f>
        <v>a'(6.5)=</v>
      </c>
      <c r="AI84" s="84">
        <f>2*AI82/2*AE85</f>
        <v>22</v>
      </c>
      <c r="AJ84" s="84" t="str">
        <f>CONCATENATE("A(",AD83,")=")</f>
        <v>A(6)=</v>
      </c>
      <c r="AK84" s="84">
        <f>VLOOKUP(AD83,STN_TABLE,3,FALSE)</f>
        <v>262.25333333333333</v>
      </c>
      <c r="AL84" t="str">
        <f>CONCATENATE("A(",AD84,")=")</f>
        <v>A(6.5)=</v>
      </c>
      <c r="AM84">
        <f>AI84+AK84</f>
        <v>284.25333333333333</v>
      </c>
      <c r="AO84" s="68" t="str">
        <f>AA84</f>
        <v>A(6.5)=</v>
      </c>
      <c r="AP84" s="68" t="e">
        <f>VLOOKUP(AO84,Rise_Results,2,FALSE)</f>
        <v>#N/A</v>
      </c>
      <c r="AQ84" s="76" t="e">
        <f>N84</f>
        <v>#N/A</v>
      </c>
      <c r="AR84" s="76" t="e">
        <f>IF(OR(AB84&lt;=0,AB85&lt;=0),1/0,AB84)</f>
        <v>#VALUE!</v>
      </c>
      <c r="AS84" s="76">
        <f>AM84</f>
        <v>284.25333333333333</v>
      </c>
      <c r="AT84">
        <f>IFERROR(AP84,IFERROR(AQ84,IFERROR(AR84,AS84)))</f>
        <v>284.25333333333333</v>
      </c>
      <c r="AU84" s="81"/>
    </row>
    <row r="85" spans="1:47" x14ac:dyDescent="0.25">
      <c r="A85" s="84">
        <f>A84+1</f>
        <v>12</v>
      </c>
      <c r="B85" s="84">
        <f t="shared" si="27"/>
        <v>6.5</v>
      </c>
      <c r="F85" s="82" t="e">
        <f>SUM(F82:F84)</f>
        <v>#N/A</v>
      </c>
      <c r="H85" s="82" t="e">
        <f>SUM(H82:H84)</f>
        <v>#N/A</v>
      </c>
      <c r="I85" s="84" t="str">
        <f>CONCATENATE("m'(",C84,")=")</f>
        <v>m'(6.5)=</v>
      </c>
      <c r="J85" s="84" t="e">
        <f>2*(J82*(WLS))/3*H85</f>
        <v>#N/A</v>
      </c>
      <c r="K85" s="84" t="str">
        <f>CONCATENATE("M(",C82,")=")</f>
        <v>M(#NA)=</v>
      </c>
      <c r="L85" s="84" t="e">
        <f>VLOOKUP(C82,STN_TABLE,4,FALSE)</f>
        <v>#N/A</v>
      </c>
      <c r="M85" t="str">
        <f>CONCATENATE("M(",C84,")=")</f>
        <v>M(6.5)=</v>
      </c>
      <c r="N85" t="e">
        <f>J85+L85</f>
        <v>#N/A</v>
      </c>
      <c r="O85" s="99">
        <f>O84+1</f>
        <v>14</v>
      </c>
      <c r="P85" s="99" t="str">
        <f t="shared" si="23"/>
        <v xml:space="preserve">  </v>
      </c>
      <c r="T85" s="89" t="e">
        <f>SUM(T82:T84)</f>
        <v>#VALUE!</v>
      </c>
      <c r="V85" s="82" t="e">
        <f>SUM(V82:V84)</f>
        <v>#VALUE!</v>
      </c>
      <c r="W85" s="84" t="str">
        <f>CONCATENATE("m'(",Q83,")=")</f>
        <v>m'(6.5)=</v>
      </c>
      <c r="X85" s="84" t="e">
        <f>(2*(X82^2)/24*V85)+(X84*Q82*WLS)</f>
        <v>#VALUE!</v>
      </c>
      <c r="Y85" s="84" t="e">
        <f>CONCATENATE("M(",Q82,")=")</f>
        <v>#VALUE!</v>
      </c>
      <c r="Z85" s="84" t="e">
        <f>VLOOKUP(Q82,STN_TABLE,4,FALSE)</f>
        <v>#VALUE!</v>
      </c>
      <c r="AA85" t="str">
        <f>CONCATENATE("M(",Q83,")=")</f>
        <v>M(6.5)=</v>
      </c>
      <c r="AB85" t="e">
        <f>X85+Z85</f>
        <v>#VALUE!</v>
      </c>
      <c r="AE85" s="89">
        <f>SUM(AE83:AE84)</f>
        <v>22</v>
      </c>
      <c r="AG85" s="89">
        <f>SUM(AG83:AG84)</f>
        <v>33</v>
      </c>
      <c r="AH85" s="84" t="str">
        <f>CONCATENATE("m'(",AD84,")=")</f>
        <v>m'(6.5)=</v>
      </c>
      <c r="AI85" s="84">
        <f>(2*(AI82^2)/6*AG85)+(AI84*AD83*WLS)</f>
        <v>275</v>
      </c>
      <c r="AJ85" s="84" t="str">
        <f>CONCATENATE("M(",AD83,")=")</f>
        <v>M(6)=</v>
      </c>
      <c r="AK85" s="84">
        <f>VLOOKUP(AD83,STN_TABLE,4,FALSE)</f>
        <v>1583.1333333333332</v>
      </c>
      <c r="AL85" t="str">
        <f>CONCATENATE("M(",AD84,")=")</f>
        <v>M(6.5)=</v>
      </c>
      <c r="AM85">
        <f>AI85+AK85</f>
        <v>1858.1333333333332</v>
      </c>
      <c r="AO85" s="82" t="str">
        <f>AA85</f>
        <v>M(6.5)=</v>
      </c>
      <c r="AP85" s="82" t="e">
        <f>VLOOKUP(AO85,Rise_Results,2,FALSE)</f>
        <v>#N/A</v>
      </c>
      <c r="AQ85" s="82" t="e">
        <f>N85</f>
        <v>#N/A</v>
      </c>
      <c r="AR85" s="82" t="e">
        <f>IF(OR(AB84&lt;=0,AB85&lt;=0),1/0,AB85)</f>
        <v>#VALUE!</v>
      </c>
      <c r="AS85" s="82">
        <f>AM85</f>
        <v>1858.1333333333332</v>
      </c>
      <c r="AT85">
        <f>IFERROR(AP85,IFERROR(AQ85,IFERROR(AR85,AS85)))</f>
        <v>1858.1333333333332</v>
      </c>
      <c r="AU85" s="81"/>
    </row>
    <row r="86" spans="1:47" x14ac:dyDescent="0.25">
      <c r="A86" s="101">
        <f>A81+1</f>
        <v>9</v>
      </c>
      <c r="B86" s="101">
        <f t="shared" si="27"/>
        <v>4.8499999999999996</v>
      </c>
      <c r="O86" s="101">
        <f>O81+1</f>
        <v>11</v>
      </c>
      <c r="P86" s="101">
        <f t="shared" si="23"/>
        <v>6</v>
      </c>
      <c r="AU86" s="81"/>
    </row>
    <row r="87" spans="1:47" x14ac:dyDescent="0.25">
      <c r="A87" s="84">
        <f>A86+1</f>
        <v>10</v>
      </c>
      <c r="B87" s="84">
        <f t="shared" si="27"/>
        <v>5</v>
      </c>
      <c r="C87" s="79" t="e">
        <f t="shared" ref="C87" si="35">IF(C88=B89,IF(C89-C88=C88-B88,B88,IF(C89-C88=C88-B87,B87,"#NA")),IF(C88=B88,IF(C89-C88=C88-B87,B87,IF(C89-C88=C88-B86,B86,"#NA")),"#NA"))</f>
        <v>#VALUE!</v>
      </c>
      <c r="D87" s="68" t="e">
        <f>VLOOKUP(C87,STN_TABLE,2,FALSE)</f>
        <v>#VALUE!</v>
      </c>
      <c r="E87" s="102">
        <v>1</v>
      </c>
      <c r="F87" s="68" t="e">
        <f>D87*E87</f>
        <v>#VALUE!</v>
      </c>
      <c r="G87" s="69" t="e">
        <f>C87</f>
        <v>#VALUE!</v>
      </c>
      <c r="H87" s="69" t="e">
        <f>F87*G87</f>
        <v>#VALUE!</v>
      </c>
      <c r="I87" s="6" t="s">
        <v>93</v>
      </c>
      <c r="J87" s="70" t="e">
        <f>IF(OR(D87=0,D88=0,D89=0),"#NA",IF(AND(C89-C88=C88-C87,C88&lt;&gt;C89,C87&lt;&gt;C88,C87&lt;&gt;C89,D89&lt;&gt;0,OR(D87&lt;&gt;0,D88&lt;&gt;0)),WLS*(C89-C88),"#NA"))</f>
        <v>#VALUE!</v>
      </c>
      <c r="O87" s="99">
        <f>O86+1</f>
        <v>12</v>
      </c>
      <c r="P87" s="99">
        <f t="shared" si="23"/>
        <v>6.5</v>
      </c>
      <c r="Q87" s="68" t="e">
        <f>IF(OR(P89-P88=P88-P87,P90-P88=P88-P87),P87,IF(OR(P89-P88=P88-P86,P90-P88=P88-P86),P86,"-"))</f>
        <v>#VALUE!</v>
      </c>
      <c r="R87" s="69" t="e">
        <f>VLOOKUP(Q87,STN_TABLE,2,FALSE)</f>
        <v>#VALUE!</v>
      </c>
      <c r="S87" s="69">
        <v>5</v>
      </c>
      <c r="T87" s="68" t="e">
        <f>R87*S87</f>
        <v>#VALUE!</v>
      </c>
      <c r="U87" s="79">
        <v>3</v>
      </c>
      <c r="V87" s="68" t="e">
        <f>R87*U87</f>
        <v>#VALUE!</v>
      </c>
      <c r="W87" s="6" t="s">
        <v>93</v>
      </c>
      <c r="X87" s="70" t="e">
        <f>IF(AND(Q89-Q88=Q88-Q87,NOT(AND(Q87=0,Q88=0)),NOT(AND(Q88=0,Q89=0))),WLS*(Q89-Q88),"#NA")</f>
        <v>#VALUE!</v>
      </c>
      <c r="AD87" s="93"/>
      <c r="AH87" s="6" t="s">
        <v>93</v>
      </c>
      <c r="AI87" s="70" t="e">
        <f>WLS*(AD89-AD88)</f>
        <v>#VALUE!</v>
      </c>
      <c r="AU87" s="81"/>
    </row>
    <row r="88" spans="1:47" x14ac:dyDescent="0.25">
      <c r="A88" s="84">
        <f>A87+1</f>
        <v>11</v>
      </c>
      <c r="B88" s="84">
        <f t="shared" si="27"/>
        <v>6</v>
      </c>
      <c r="C88" s="80" t="e">
        <f t="shared" ref="C88" si="36">IF(OR(B90-B89=B89-B88,B90-B89=B89-B87,B90-B89=B89-B86),B89,IF(OR(B90-B88=B88-B87,B90-B88=B88-B86),B88,IF(B90-B87=B87-B86,B87,"#NA")))</f>
        <v>#VALUE!</v>
      </c>
      <c r="D88" s="76" t="e">
        <f>VLOOKUP(C88,STN_TABLE,2,FALSE)</f>
        <v>#VALUE!</v>
      </c>
      <c r="E88" s="81">
        <v>4</v>
      </c>
      <c r="F88" s="76" t="e">
        <f>D88*E88</f>
        <v>#VALUE!</v>
      </c>
      <c r="G88" s="77" t="e">
        <f>C88</f>
        <v>#VALUE!</v>
      </c>
      <c r="H88" s="77" t="e">
        <f>F88*G88</f>
        <v>#VALUE!</v>
      </c>
      <c r="I88" s="495" t="s">
        <v>97</v>
      </c>
      <c r="J88" s="496"/>
      <c r="K88" s="78" t="s">
        <v>98</v>
      </c>
      <c r="L88" s="78"/>
      <c r="M88" s="7" t="s">
        <v>99</v>
      </c>
      <c r="N88" s="7"/>
      <c r="O88" s="99">
        <f>O87+1</f>
        <v>13</v>
      </c>
      <c r="P88" s="99" t="str">
        <f t="shared" si="23"/>
        <v xml:space="preserve">  </v>
      </c>
      <c r="Q88" s="76" t="str">
        <f>P88</f>
        <v xml:space="preserve">  </v>
      </c>
      <c r="R88" s="77" t="str">
        <f>VLOOKUP(Q88,STN_TABLE,2,FALSE)</f>
        <v xml:space="preserve">  </v>
      </c>
      <c r="S88" s="77">
        <v>8</v>
      </c>
      <c r="T88" s="76" t="e">
        <f>R88*S88</f>
        <v>#VALUE!</v>
      </c>
      <c r="U88" s="80">
        <v>10</v>
      </c>
      <c r="V88" s="76" t="e">
        <f>R88*U88</f>
        <v>#VALUE!</v>
      </c>
      <c r="W88" s="496" t="s">
        <v>97</v>
      </c>
      <c r="X88" s="496"/>
      <c r="Y88" s="496" t="s">
        <v>98</v>
      </c>
      <c r="Z88" s="496"/>
      <c r="AA88" s="494" t="s">
        <v>99</v>
      </c>
      <c r="AB88" s="494"/>
      <c r="AC88" s="99">
        <f>AC83+1</f>
        <v>12</v>
      </c>
      <c r="AD88" s="95">
        <f>VLOOKUP(AC88,STN_TABLE_2,2,FALSE)</f>
        <v>6.5</v>
      </c>
      <c r="AE88" s="68">
        <f>VLOOKUP(AD88,STN_TABLE,2,FALSE)</f>
        <v>11</v>
      </c>
      <c r="AF88" s="68">
        <v>1</v>
      </c>
      <c r="AG88" s="69">
        <f>AE88*AF88</f>
        <v>11</v>
      </c>
      <c r="AH88" s="496" t="s">
        <v>97</v>
      </c>
      <c r="AI88" s="496"/>
      <c r="AJ88" s="496" t="s">
        <v>98</v>
      </c>
      <c r="AK88" s="496"/>
      <c r="AL88" s="494" t="s">
        <v>99</v>
      </c>
      <c r="AM88" s="494"/>
      <c r="AP88" s="86" t="s">
        <v>112</v>
      </c>
      <c r="AQ88" s="89" t="s">
        <v>113</v>
      </c>
      <c r="AR88" s="89" t="s">
        <v>114</v>
      </c>
      <c r="AS88" s="89" t="s">
        <v>115</v>
      </c>
      <c r="AU88" s="81"/>
    </row>
    <row r="89" spans="1:47" x14ac:dyDescent="0.25">
      <c r="A89" s="84">
        <f>A88+1</f>
        <v>12</v>
      </c>
      <c r="B89" s="84">
        <f t="shared" si="27"/>
        <v>6.5</v>
      </c>
      <c r="C89" s="88" t="str">
        <f t="shared" ref="C89" si="37">B90</f>
        <v xml:space="preserve">  </v>
      </c>
      <c r="D89" s="82" t="str">
        <f>VLOOKUP(C89,STN_TABLE,2,FALSE)</f>
        <v xml:space="preserve">  </v>
      </c>
      <c r="E89" s="92">
        <v>1</v>
      </c>
      <c r="F89" s="82" t="e">
        <f>D89*E89</f>
        <v>#VALUE!</v>
      </c>
      <c r="G89" s="83" t="str">
        <f>C89</f>
        <v xml:space="preserve">  </v>
      </c>
      <c r="H89" s="83" t="e">
        <f>F89*G89</f>
        <v>#VALUE!</v>
      </c>
      <c r="I89" s="84" t="str">
        <f>CONCATENATE("a'(",C89,")=")</f>
        <v>a'(  )=</v>
      </c>
      <c r="J89" s="84" t="e">
        <f>2*J87/3*F90</f>
        <v>#VALUE!</v>
      </c>
      <c r="K89" s="84" t="e">
        <f>CONCATENATE("A(",C87,")=")</f>
        <v>#VALUE!</v>
      </c>
      <c r="L89" s="84" t="e">
        <f>VLOOKUP(C87,STN_TABLE,3,FALSE)</f>
        <v>#VALUE!</v>
      </c>
      <c r="M89" t="str">
        <f>CONCATENATE("A(",C89,")=")</f>
        <v>A(  )=</v>
      </c>
      <c r="N89" t="e">
        <f>J89+L89</f>
        <v>#VALUE!</v>
      </c>
      <c r="O89" s="99">
        <f>O88+1</f>
        <v>14</v>
      </c>
      <c r="P89" s="99" t="str">
        <f t="shared" si="23"/>
        <v xml:space="preserve">  </v>
      </c>
      <c r="Q89" s="82" t="e">
        <f>IF(P89-P88=P88-P87,P89,IF(P90-P88=P88-P87,P90,IF(P89-P88=P88-P86,P89,IF(P90-P88=P88-P86,P90,"-"))))</f>
        <v>#VALUE!</v>
      </c>
      <c r="R89" s="83" t="e">
        <f>VLOOKUP(Q89,STN_TABLE,2,FALSE)</f>
        <v>#VALUE!</v>
      </c>
      <c r="S89" s="83">
        <v>-1</v>
      </c>
      <c r="T89" s="82" t="e">
        <f>R89*S89</f>
        <v>#VALUE!</v>
      </c>
      <c r="U89" s="88">
        <v>-1</v>
      </c>
      <c r="V89" s="82" t="e">
        <f>R89*U89</f>
        <v>#VALUE!</v>
      </c>
      <c r="W89" s="84" t="str">
        <f>CONCATENATE("a'(",Q88,")=")</f>
        <v>a'(  )=</v>
      </c>
      <c r="X89" s="84" t="e">
        <f>2*X87/12*T90</f>
        <v>#VALUE!</v>
      </c>
      <c r="Y89" s="84" t="e">
        <f>CONCATENATE("A(",Q87,")=")</f>
        <v>#VALUE!</v>
      </c>
      <c r="Z89" s="84" t="e">
        <f>VLOOKUP(Q87,STN_TABLE,3,FALSE)</f>
        <v>#VALUE!</v>
      </c>
      <c r="AA89" t="str">
        <f>CONCATENATE("A(",Q88,")=")</f>
        <v>A(  )=</v>
      </c>
      <c r="AB89" t="e">
        <f>X89+Z89</f>
        <v>#VALUE!</v>
      </c>
      <c r="AC89" s="99">
        <f>AC88+1</f>
        <v>13</v>
      </c>
      <c r="AD89" s="100" t="str">
        <f>VLOOKUP(AC89,STN_TABLE_2,2,FALSE)</f>
        <v xml:space="preserve">  </v>
      </c>
      <c r="AE89" s="82" t="str">
        <f>VLOOKUP(AD89,STN_TABLE,2,FALSE)</f>
        <v xml:space="preserve">  </v>
      </c>
      <c r="AF89" s="82">
        <v>2</v>
      </c>
      <c r="AG89" s="83" t="e">
        <f>AE89*AF89</f>
        <v>#VALUE!</v>
      </c>
      <c r="AH89" s="84" t="str">
        <f>CONCATENATE("a'(",AD89,")=")</f>
        <v>a'(  )=</v>
      </c>
      <c r="AI89" s="84" t="e">
        <f>2*AI87/2*AE90</f>
        <v>#VALUE!</v>
      </c>
      <c r="AJ89" s="84" t="str">
        <f>CONCATENATE("A(",AD88,")=")</f>
        <v>A(6.5)=</v>
      </c>
      <c r="AK89" s="84">
        <f>VLOOKUP(AD88,STN_TABLE,3,FALSE)</f>
        <v>284.25333333333333</v>
      </c>
      <c r="AL89" t="str">
        <f>CONCATENATE("A(",AD89,")=")</f>
        <v>A(  )=</v>
      </c>
      <c r="AM89" t="e">
        <f>AI89+AK89</f>
        <v>#VALUE!</v>
      </c>
      <c r="AO89" s="68" t="str">
        <f>AA89</f>
        <v>A(  )=</v>
      </c>
      <c r="AP89" s="68" t="e">
        <f>VLOOKUP(AO89,Rise_Results,2,FALSE)</f>
        <v>#N/A</v>
      </c>
      <c r="AQ89" s="76" t="e">
        <f>N89</f>
        <v>#VALUE!</v>
      </c>
      <c r="AR89" s="76" t="e">
        <f>IF(OR(AB89&lt;=0,AB90&lt;=0),1/0,AB89)</f>
        <v>#VALUE!</v>
      </c>
      <c r="AS89" s="76" t="e">
        <f>AM89</f>
        <v>#VALUE!</v>
      </c>
      <c r="AT89" t="e">
        <f>IFERROR(AP89,IFERROR(AQ89,IFERROR(AR89,AS89)))</f>
        <v>#VALUE!</v>
      </c>
      <c r="AU89" s="81"/>
    </row>
    <row r="90" spans="1:47" x14ac:dyDescent="0.25">
      <c r="A90" s="84">
        <f>A89+1</f>
        <v>13</v>
      </c>
      <c r="B90" s="84" t="str">
        <f t="shared" si="27"/>
        <v xml:space="preserve">  </v>
      </c>
      <c r="F90" s="82" t="e">
        <f>SUM(F87:F89)</f>
        <v>#VALUE!</v>
      </c>
      <c r="H90" s="82" t="e">
        <f>SUM(H87:H89)</f>
        <v>#VALUE!</v>
      </c>
      <c r="I90" s="84" t="str">
        <f>CONCATENATE("m'(",C89,")=")</f>
        <v>m'(  )=</v>
      </c>
      <c r="J90" s="84" t="e">
        <f>2*(J87*(WLS))/3*H90</f>
        <v>#VALUE!</v>
      </c>
      <c r="K90" s="84" t="e">
        <f>CONCATENATE("M(",C87,")=")</f>
        <v>#VALUE!</v>
      </c>
      <c r="L90" s="84" t="e">
        <f>VLOOKUP(C87,STN_TABLE,4,FALSE)</f>
        <v>#VALUE!</v>
      </c>
      <c r="M90" t="str">
        <f>CONCATENATE("M(",C89,")=")</f>
        <v>M(  )=</v>
      </c>
      <c r="N90" t="e">
        <f>J90+L90</f>
        <v>#VALUE!</v>
      </c>
      <c r="O90" s="99">
        <f>O89+1</f>
        <v>15</v>
      </c>
      <c r="P90" s="99" t="str">
        <f t="shared" si="23"/>
        <v xml:space="preserve">  </v>
      </c>
      <c r="T90" s="89" t="e">
        <f>SUM(T87:T89)</f>
        <v>#VALUE!</v>
      </c>
      <c r="V90" s="82" t="e">
        <f>SUM(V87:V89)</f>
        <v>#VALUE!</v>
      </c>
      <c r="W90" s="84" t="str">
        <f>CONCATENATE("m'(",Q88,")=")</f>
        <v>m'(  )=</v>
      </c>
      <c r="X90" s="84" t="e">
        <f>(2*(X87^2)/24*V90)+(X89*Q87*WLS)</f>
        <v>#VALUE!</v>
      </c>
      <c r="Y90" s="84" t="e">
        <f>CONCATENATE("M(",Q87,")=")</f>
        <v>#VALUE!</v>
      </c>
      <c r="Z90" s="84" t="e">
        <f>VLOOKUP(Q87,STN_TABLE,4,FALSE)</f>
        <v>#VALUE!</v>
      </c>
      <c r="AA90" t="str">
        <f>CONCATENATE("M(",Q88,")=")</f>
        <v>M(  )=</v>
      </c>
      <c r="AB90" t="e">
        <f>X90+Z90</f>
        <v>#VALUE!</v>
      </c>
      <c r="AE90" s="89">
        <f>SUM(AE88:AE89)</f>
        <v>11</v>
      </c>
      <c r="AG90" s="89" t="e">
        <f>SUM(AG88:AG89)</f>
        <v>#VALUE!</v>
      </c>
      <c r="AH90" s="84" t="str">
        <f>CONCATENATE("m'(",AD89,")=")</f>
        <v>m'(  )=</v>
      </c>
      <c r="AI90" s="84" t="e">
        <f>(2*(AI87^2)/6*AG90)+(AI89*AD88*WLS)</f>
        <v>#VALUE!</v>
      </c>
      <c r="AJ90" s="84" t="str">
        <f>CONCATENATE("M(",AD88,")=")</f>
        <v>M(6.5)=</v>
      </c>
      <c r="AK90" s="84">
        <f>VLOOKUP(AD88,STN_TABLE,4,FALSE)</f>
        <v>1858.1333333333332</v>
      </c>
      <c r="AL90" t="str">
        <f>CONCATENATE("M(",AD89,")=")</f>
        <v>M(  )=</v>
      </c>
      <c r="AM90" t="e">
        <f>AI90+AK90</f>
        <v>#VALUE!</v>
      </c>
      <c r="AO90" s="82" t="str">
        <f>AA90</f>
        <v>M(  )=</v>
      </c>
      <c r="AP90" s="82" t="e">
        <f>VLOOKUP(AO90,Rise_Results,2,FALSE)</f>
        <v>#N/A</v>
      </c>
      <c r="AQ90" s="82" t="e">
        <f>N90</f>
        <v>#VALUE!</v>
      </c>
      <c r="AR90" s="82" t="e">
        <f>IF(OR(AB89&lt;=0,AB90&lt;=0),1/0,AB90)</f>
        <v>#VALUE!</v>
      </c>
      <c r="AS90" s="82" t="e">
        <f>AM90</f>
        <v>#VALUE!</v>
      </c>
      <c r="AT90" t="e">
        <f>IFERROR(AP90,IFERROR(AQ90,IFERROR(AR90,AS90)))</f>
        <v>#VALUE!</v>
      </c>
      <c r="AU90" s="81"/>
    </row>
    <row r="91" spans="1:47" x14ac:dyDescent="0.25">
      <c r="A91" s="101">
        <f>A86+1</f>
        <v>10</v>
      </c>
      <c r="B91" s="101">
        <f t="shared" si="27"/>
        <v>5</v>
      </c>
      <c r="O91" s="101">
        <f>O86+1</f>
        <v>12</v>
      </c>
      <c r="P91" s="101">
        <f t="shared" si="23"/>
        <v>6.5</v>
      </c>
      <c r="AU91" s="81"/>
    </row>
    <row r="92" spans="1:47" x14ac:dyDescent="0.25">
      <c r="A92" s="84">
        <f>A91+1</f>
        <v>11</v>
      </c>
      <c r="B92" s="84">
        <f t="shared" si="27"/>
        <v>6</v>
      </c>
      <c r="C92" s="79" t="e">
        <f t="shared" ref="C92" si="38">IF(C93=B94,IF(C94-C93=C93-B93,B93,IF(C94-C93=C93-B92,B92,"#NA")),IF(C93=B93,IF(C94-C93=C93-B92,B92,IF(C94-C93=C93-B91,B91,"#NA")),"#NA"))</f>
        <v>#VALUE!</v>
      </c>
      <c r="D92" s="68" t="e">
        <f>VLOOKUP(C92,STN_TABLE,2,FALSE)</f>
        <v>#VALUE!</v>
      </c>
      <c r="E92" s="102">
        <v>1</v>
      </c>
      <c r="F92" s="68" t="e">
        <f>D92*E92</f>
        <v>#VALUE!</v>
      </c>
      <c r="G92" s="69" t="e">
        <f>C92</f>
        <v>#VALUE!</v>
      </c>
      <c r="H92" s="69" t="e">
        <f>F92*G92</f>
        <v>#VALUE!</v>
      </c>
      <c r="I92" s="6" t="s">
        <v>93</v>
      </c>
      <c r="J92" s="70" t="e">
        <f>IF(OR(D92=0,D93=0,D94=0),"#NA",IF(AND(C94-C93=C93-C92,C93&lt;&gt;C94,C92&lt;&gt;C93,C92&lt;&gt;C94,D94&lt;&gt;0,OR(D92&lt;&gt;0,D93&lt;&gt;0)),WLS*(C94-C93),"#NA"))</f>
        <v>#VALUE!</v>
      </c>
      <c r="O92" s="99">
        <f>O91+1</f>
        <v>13</v>
      </c>
      <c r="P92" s="99" t="str">
        <f t="shared" si="23"/>
        <v xml:space="preserve">  </v>
      </c>
      <c r="Q92" s="68" t="e">
        <f>IF(OR(P94-P93=P93-P92,P95-P93=P93-P92),P92,IF(OR(P94-P93=P93-P91,P95-P93=P93-P91),P91,"-"))</f>
        <v>#VALUE!</v>
      </c>
      <c r="R92" s="69" t="e">
        <f>VLOOKUP(Q92,STN_TABLE,2,FALSE)</f>
        <v>#VALUE!</v>
      </c>
      <c r="S92" s="69">
        <v>5</v>
      </c>
      <c r="T92" s="68" t="e">
        <f>R92*S92</f>
        <v>#VALUE!</v>
      </c>
      <c r="U92" s="79">
        <v>3</v>
      </c>
      <c r="V92" s="68" t="e">
        <f>R92*U92</f>
        <v>#VALUE!</v>
      </c>
      <c r="W92" s="6" t="s">
        <v>93</v>
      </c>
      <c r="X92" s="70" t="e">
        <f>IF(AND(Q94-Q93=Q93-Q92,NOT(AND(Q92=0,Q93=0)),NOT(AND(Q93=0,Q94=0))),WLS*(Q94-Q93),"#NA")</f>
        <v>#VALUE!</v>
      </c>
      <c r="AD92" s="93"/>
      <c r="AH92" s="6" t="s">
        <v>93</v>
      </c>
      <c r="AI92" s="70" t="e">
        <f>WLS*(AD94-AD93)</f>
        <v>#VALUE!</v>
      </c>
      <c r="AU92" s="81"/>
    </row>
    <row r="93" spans="1:47" x14ac:dyDescent="0.25">
      <c r="A93" s="84">
        <f>A92+1</f>
        <v>12</v>
      </c>
      <c r="B93" s="84">
        <f t="shared" si="27"/>
        <v>6.5</v>
      </c>
      <c r="C93" s="80" t="e">
        <f t="shared" ref="C93" si="39">IF(OR(B95-B94=B94-B93,B95-B94=B94-B92,B95-B94=B94-B91),B94,IF(OR(B95-B93=B93-B92,B95-B93=B93-B91),B93,IF(B95-B92=B92-B91,B92,"#NA")))</f>
        <v>#VALUE!</v>
      </c>
      <c r="D93" s="76" t="e">
        <f>VLOOKUP(C93,STN_TABLE,2,FALSE)</f>
        <v>#VALUE!</v>
      </c>
      <c r="E93" s="81">
        <v>4</v>
      </c>
      <c r="F93" s="76" t="e">
        <f>D93*E93</f>
        <v>#VALUE!</v>
      </c>
      <c r="G93" s="77" t="e">
        <f>C93</f>
        <v>#VALUE!</v>
      </c>
      <c r="H93" s="77" t="e">
        <f>F93*G93</f>
        <v>#VALUE!</v>
      </c>
      <c r="I93" s="495" t="s">
        <v>97</v>
      </c>
      <c r="J93" s="496"/>
      <c r="K93" s="78" t="s">
        <v>98</v>
      </c>
      <c r="L93" s="78"/>
      <c r="M93" s="7" t="s">
        <v>99</v>
      </c>
      <c r="N93" s="7"/>
      <c r="O93" s="99">
        <f>O92+1</f>
        <v>14</v>
      </c>
      <c r="P93" s="99" t="str">
        <f t="shared" si="23"/>
        <v xml:space="preserve">  </v>
      </c>
      <c r="Q93" s="76" t="str">
        <f>P93</f>
        <v xml:space="preserve">  </v>
      </c>
      <c r="R93" s="77" t="str">
        <f>VLOOKUP(Q93,STN_TABLE,2,FALSE)</f>
        <v xml:space="preserve">  </v>
      </c>
      <c r="S93" s="77">
        <v>8</v>
      </c>
      <c r="T93" s="76" t="e">
        <f>R93*S93</f>
        <v>#VALUE!</v>
      </c>
      <c r="U93" s="80">
        <v>10</v>
      </c>
      <c r="V93" s="76" t="e">
        <f>R93*U93</f>
        <v>#VALUE!</v>
      </c>
      <c r="W93" s="496" t="s">
        <v>97</v>
      </c>
      <c r="X93" s="496"/>
      <c r="Y93" s="496" t="s">
        <v>98</v>
      </c>
      <c r="Z93" s="496"/>
      <c r="AA93" s="494" t="s">
        <v>99</v>
      </c>
      <c r="AB93" s="494"/>
      <c r="AC93" s="99">
        <f>AC88+1</f>
        <v>13</v>
      </c>
      <c r="AD93" s="95" t="str">
        <f>VLOOKUP(AC93,STN_TABLE_2,2,FALSE)</f>
        <v xml:space="preserve">  </v>
      </c>
      <c r="AE93" s="68" t="str">
        <f>VLOOKUP(AD93,STN_TABLE,2,FALSE)</f>
        <v xml:space="preserve">  </v>
      </c>
      <c r="AF93" s="68">
        <v>1</v>
      </c>
      <c r="AG93" s="69" t="e">
        <f>AE93*AF93</f>
        <v>#VALUE!</v>
      </c>
      <c r="AH93" s="496" t="s">
        <v>97</v>
      </c>
      <c r="AI93" s="496"/>
      <c r="AJ93" s="496" t="s">
        <v>98</v>
      </c>
      <c r="AK93" s="496"/>
      <c r="AL93" s="494" t="s">
        <v>99</v>
      </c>
      <c r="AM93" s="494"/>
      <c r="AP93" s="86" t="s">
        <v>112</v>
      </c>
      <c r="AQ93" s="89" t="s">
        <v>113</v>
      </c>
      <c r="AR93" s="89" t="s">
        <v>114</v>
      </c>
      <c r="AS93" s="89" t="s">
        <v>115</v>
      </c>
      <c r="AU93" s="81"/>
    </row>
    <row r="94" spans="1:47" x14ac:dyDescent="0.25">
      <c r="A94" s="84">
        <f>A93+1</f>
        <v>13</v>
      </c>
      <c r="B94" s="84" t="str">
        <f t="shared" si="27"/>
        <v xml:space="preserve">  </v>
      </c>
      <c r="C94" s="88" t="str">
        <f t="shared" ref="C94" si="40">B95</f>
        <v xml:space="preserve">  </v>
      </c>
      <c r="D94" s="82" t="str">
        <f>VLOOKUP(C94,STN_TABLE,2,FALSE)</f>
        <v xml:space="preserve">  </v>
      </c>
      <c r="E94" s="92">
        <v>1</v>
      </c>
      <c r="F94" s="82" t="e">
        <f>D94*E94</f>
        <v>#VALUE!</v>
      </c>
      <c r="G94" s="83" t="str">
        <f>C94</f>
        <v xml:space="preserve">  </v>
      </c>
      <c r="H94" s="83" t="e">
        <f>F94*G94</f>
        <v>#VALUE!</v>
      </c>
      <c r="I94" s="84" t="str">
        <f>CONCATENATE("a'(",C94,")=")</f>
        <v>a'(  )=</v>
      </c>
      <c r="J94" s="84" t="e">
        <f>2*J92/3*F95</f>
        <v>#VALUE!</v>
      </c>
      <c r="K94" s="84" t="e">
        <f>CONCATENATE("A(",C92,")=")</f>
        <v>#VALUE!</v>
      </c>
      <c r="L94" s="84" t="e">
        <f>VLOOKUP(C92,STN_TABLE,3,FALSE)</f>
        <v>#VALUE!</v>
      </c>
      <c r="M94" t="str">
        <f>CONCATENATE("A(",C94,")=")</f>
        <v>A(  )=</v>
      </c>
      <c r="N94" t="e">
        <f>J94+L94</f>
        <v>#VALUE!</v>
      </c>
      <c r="O94" s="99">
        <f>O93+1</f>
        <v>15</v>
      </c>
      <c r="P94" s="99" t="str">
        <f t="shared" si="23"/>
        <v xml:space="preserve">  </v>
      </c>
      <c r="Q94" s="82" t="e">
        <f>IF(P94-P93=P93-P92,P94,IF(P95-P93=P93-P92,P95,IF(P94-P93=P93-P91,P94,IF(P95-P93=P93-P91,P95,"-"))))</f>
        <v>#VALUE!</v>
      </c>
      <c r="R94" s="83" t="e">
        <f>VLOOKUP(Q94,STN_TABLE,2,FALSE)</f>
        <v>#VALUE!</v>
      </c>
      <c r="S94" s="83">
        <v>-1</v>
      </c>
      <c r="T94" s="82" t="e">
        <f>R94*S94</f>
        <v>#VALUE!</v>
      </c>
      <c r="U94" s="88">
        <v>-1</v>
      </c>
      <c r="V94" s="82" t="e">
        <f>R94*U94</f>
        <v>#VALUE!</v>
      </c>
      <c r="W94" s="84" t="str">
        <f>CONCATENATE("a'(",Q93,")=")</f>
        <v>a'(  )=</v>
      </c>
      <c r="X94" s="84" t="e">
        <f>2*X92/12*T95</f>
        <v>#VALUE!</v>
      </c>
      <c r="Y94" s="84" t="e">
        <f>CONCATENATE("A(",Q92,")=")</f>
        <v>#VALUE!</v>
      </c>
      <c r="Z94" s="84" t="e">
        <f>VLOOKUP(Q92,STN_TABLE,3,FALSE)</f>
        <v>#VALUE!</v>
      </c>
      <c r="AA94" t="str">
        <f>CONCATENATE("A(",Q93,")=")</f>
        <v>A(  )=</v>
      </c>
      <c r="AB94" t="e">
        <f>X94+Z94</f>
        <v>#VALUE!</v>
      </c>
      <c r="AC94" s="99">
        <f>AC93+1</f>
        <v>14</v>
      </c>
      <c r="AD94" s="100" t="str">
        <f>VLOOKUP(AC94,STN_TABLE_2,2,FALSE)</f>
        <v xml:space="preserve">  </v>
      </c>
      <c r="AE94" s="82" t="str">
        <f>VLOOKUP(AD94,STN_TABLE,2,FALSE)</f>
        <v xml:space="preserve">  </v>
      </c>
      <c r="AF94" s="82">
        <v>2</v>
      </c>
      <c r="AG94" s="83" t="e">
        <f>AE94*AF94</f>
        <v>#VALUE!</v>
      </c>
      <c r="AH94" s="84" t="str">
        <f>CONCATENATE("a'(",AD94,")=")</f>
        <v>a'(  )=</v>
      </c>
      <c r="AI94" s="84" t="e">
        <f>2*AI92/2*AE95</f>
        <v>#VALUE!</v>
      </c>
      <c r="AJ94" s="84" t="str">
        <f>CONCATENATE("A(",AD93,")=")</f>
        <v>A(  )=</v>
      </c>
      <c r="AK94" s="84" t="str">
        <f>VLOOKUP(AD93,STN_TABLE,3,FALSE)</f>
        <v xml:space="preserve"> </v>
      </c>
      <c r="AL94" t="str">
        <f>CONCATENATE("A(",AD94,")=")</f>
        <v>A(  )=</v>
      </c>
      <c r="AM94" t="e">
        <f>AI94+AK94</f>
        <v>#VALUE!</v>
      </c>
      <c r="AO94" s="68" t="str">
        <f>AA94</f>
        <v>A(  )=</v>
      </c>
      <c r="AP94" s="68" t="e">
        <f>VLOOKUP(AO94,Rise_Results,2,FALSE)</f>
        <v>#N/A</v>
      </c>
      <c r="AQ94" s="76" t="e">
        <f>N94</f>
        <v>#VALUE!</v>
      </c>
      <c r="AR94" s="76" t="e">
        <f>IF(OR(AB94&lt;=0,AB95&lt;=0),1/0,AB94)</f>
        <v>#VALUE!</v>
      </c>
      <c r="AS94" s="76" t="e">
        <f>AM94</f>
        <v>#VALUE!</v>
      </c>
      <c r="AT94" t="e">
        <f>IFERROR(AP94,IFERROR(AQ94,IFERROR(AR94,AS94)))</f>
        <v>#VALUE!</v>
      </c>
      <c r="AU94" s="81"/>
    </row>
    <row r="95" spans="1:47" x14ac:dyDescent="0.25">
      <c r="A95" s="84">
        <f>A94+1</f>
        <v>14</v>
      </c>
      <c r="B95" s="84" t="str">
        <f t="shared" si="27"/>
        <v xml:space="preserve">  </v>
      </c>
      <c r="F95" s="82" t="e">
        <f>SUM(F92:F94)</f>
        <v>#VALUE!</v>
      </c>
      <c r="H95" s="82" t="e">
        <f>SUM(H92:H94)</f>
        <v>#VALUE!</v>
      </c>
      <c r="I95" s="84" t="str">
        <f>CONCATENATE("m'(",C94,")=")</f>
        <v>m'(  )=</v>
      </c>
      <c r="J95" s="84" t="e">
        <f>2*(J92*(WLS))/3*H95</f>
        <v>#VALUE!</v>
      </c>
      <c r="K95" s="84" t="e">
        <f>CONCATENATE("M(",C92,")=")</f>
        <v>#VALUE!</v>
      </c>
      <c r="L95" s="84" t="e">
        <f>VLOOKUP(C92,STN_TABLE,4,FALSE)</f>
        <v>#VALUE!</v>
      </c>
      <c r="M95" t="str">
        <f>CONCATENATE("M(",C94,")=")</f>
        <v>M(  )=</v>
      </c>
      <c r="N95" t="e">
        <f>J95+L95</f>
        <v>#VALUE!</v>
      </c>
      <c r="O95" s="99">
        <f>O94+1</f>
        <v>16</v>
      </c>
      <c r="P95" s="99" t="str">
        <f t="shared" si="23"/>
        <v xml:space="preserve">  </v>
      </c>
      <c r="T95" s="89" t="e">
        <f>SUM(T92:T94)</f>
        <v>#VALUE!</v>
      </c>
      <c r="V95" s="82" t="e">
        <f>SUM(V92:V94)</f>
        <v>#VALUE!</v>
      </c>
      <c r="W95" s="84" t="str">
        <f>CONCATENATE("m'(",Q93,")=")</f>
        <v>m'(  )=</v>
      </c>
      <c r="X95" s="84" t="e">
        <f>(2*(X92^2)/24*V95)+(X94*Q92*WLS)</f>
        <v>#VALUE!</v>
      </c>
      <c r="Y95" s="84" t="e">
        <f>CONCATENATE("M(",Q92,")=")</f>
        <v>#VALUE!</v>
      </c>
      <c r="Z95" s="84" t="e">
        <f>VLOOKUP(Q92,STN_TABLE,4,FALSE)</f>
        <v>#VALUE!</v>
      </c>
      <c r="AA95" t="str">
        <f>CONCATENATE("M(",Q93,")=")</f>
        <v>M(  )=</v>
      </c>
      <c r="AB95" t="e">
        <f>X95+Z95</f>
        <v>#VALUE!</v>
      </c>
      <c r="AE95" s="89">
        <f>SUM(AE93:AE94)</f>
        <v>0</v>
      </c>
      <c r="AG95" s="89" t="e">
        <f>SUM(AG93:AG94)</f>
        <v>#VALUE!</v>
      </c>
      <c r="AH95" s="84" t="str">
        <f>CONCATENATE("m'(",AD94,")=")</f>
        <v>m'(  )=</v>
      </c>
      <c r="AI95" s="84" t="e">
        <f>(2*(AI92^2)/6*AG95)+(AI94*AD93*WLS)</f>
        <v>#VALUE!</v>
      </c>
      <c r="AJ95" s="84" t="str">
        <f>CONCATENATE("M(",AD93,")=")</f>
        <v>M(  )=</v>
      </c>
      <c r="AK95" s="84" t="str">
        <f>VLOOKUP(AD93,STN_TABLE,4,FALSE)</f>
        <v xml:space="preserve"> </v>
      </c>
      <c r="AL95" t="str">
        <f>CONCATENATE("M(",AD94,")=")</f>
        <v>M(  )=</v>
      </c>
      <c r="AM95" t="e">
        <f>AI95+AK95</f>
        <v>#VALUE!</v>
      </c>
      <c r="AO95" s="82" t="str">
        <f>AA95</f>
        <v>M(  )=</v>
      </c>
      <c r="AP95" s="82" t="e">
        <f>VLOOKUP(AO95,Rise_Results,2,FALSE)</f>
        <v>#N/A</v>
      </c>
      <c r="AQ95" s="82" t="e">
        <f>N95</f>
        <v>#VALUE!</v>
      </c>
      <c r="AR95" s="82" t="e">
        <f>IF(OR(AB94&lt;=0,AB95&lt;=0),1/0,AB95)</f>
        <v>#VALUE!</v>
      </c>
      <c r="AS95" s="82" t="e">
        <f>AM95</f>
        <v>#VALUE!</v>
      </c>
      <c r="AT95" t="e">
        <f>IFERROR(AP95,IFERROR(AQ95,IFERROR(AR95,AS95)))</f>
        <v>#VALUE!</v>
      </c>
      <c r="AU95" s="81"/>
    </row>
    <row r="96" spans="1:47" x14ac:dyDescent="0.25">
      <c r="A96" s="101">
        <f>A91+1</f>
        <v>11</v>
      </c>
      <c r="B96" s="101">
        <f t="shared" si="27"/>
        <v>6</v>
      </c>
      <c r="O96" s="101">
        <f>O91+1</f>
        <v>13</v>
      </c>
      <c r="P96" s="101" t="str">
        <f t="shared" si="23"/>
        <v xml:space="preserve">  </v>
      </c>
      <c r="AU96" s="81"/>
    </row>
    <row r="97" spans="1:47" x14ac:dyDescent="0.25">
      <c r="A97" s="84">
        <f>A96+1</f>
        <v>12</v>
      </c>
      <c r="B97" s="84">
        <f t="shared" si="27"/>
        <v>6.5</v>
      </c>
      <c r="C97" s="79" t="e">
        <f t="shared" ref="C97" si="41">IF(C98=B99,IF(C99-C98=C98-B98,B98,IF(C99-C98=C98-B97,B97,"#NA")),IF(C98=B98,IF(C99-C98=C98-B97,B97,IF(C99-C98=C98-B96,B96,"#NA")),"#NA"))</f>
        <v>#VALUE!</v>
      </c>
      <c r="D97" s="68" t="e">
        <f>VLOOKUP(C97,STN_TABLE,2,FALSE)</f>
        <v>#VALUE!</v>
      </c>
      <c r="E97" s="102">
        <v>1</v>
      </c>
      <c r="F97" s="68" t="e">
        <f>D97*E97</f>
        <v>#VALUE!</v>
      </c>
      <c r="G97" s="69" t="e">
        <f>C97</f>
        <v>#VALUE!</v>
      </c>
      <c r="H97" s="69" t="e">
        <f>F97*G97</f>
        <v>#VALUE!</v>
      </c>
      <c r="I97" s="6" t="s">
        <v>93</v>
      </c>
      <c r="J97" s="70" t="e">
        <f>IF(OR(D97=0,D98=0,D99=0),"#NA",IF(AND(C99-C98=C98-C97,C98&lt;&gt;C99,C97&lt;&gt;C98,C97&lt;&gt;C99,D99&lt;&gt;0,OR(D97&lt;&gt;0,D98&lt;&gt;0)),WLS*(C99-C98),"#NA"))</f>
        <v>#VALUE!</v>
      </c>
      <c r="O97" s="99">
        <f>O96+1</f>
        <v>14</v>
      </c>
      <c r="P97" s="99" t="str">
        <f t="shared" si="23"/>
        <v xml:space="preserve">  </v>
      </c>
      <c r="Q97" s="68" t="e">
        <f>IF(OR(P99-P98=P98-P97,P100-P98=P98-P97),P97,IF(OR(P99-P98=P98-P96,P100-P98=P98-P96),P96,"-"))</f>
        <v>#VALUE!</v>
      </c>
      <c r="R97" s="69" t="e">
        <f>VLOOKUP(Q97,STN_TABLE,2,FALSE)</f>
        <v>#VALUE!</v>
      </c>
      <c r="S97" s="69">
        <v>5</v>
      </c>
      <c r="T97" s="68" t="e">
        <f>R97*S97</f>
        <v>#VALUE!</v>
      </c>
      <c r="U97" s="79">
        <v>3</v>
      </c>
      <c r="V97" s="68" t="e">
        <f>R97*U97</f>
        <v>#VALUE!</v>
      </c>
      <c r="W97" s="6" t="s">
        <v>93</v>
      </c>
      <c r="X97" s="70" t="e">
        <f>IF(AND(Q99-Q98=Q98-Q97,NOT(AND(Q97=0,Q98=0)),NOT(AND(Q98=0,Q99=0))),WLS*(Q99-Q98),"#NA")</f>
        <v>#VALUE!</v>
      </c>
      <c r="AD97" s="93"/>
      <c r="AH97" s="6" t="s">
        <v>93</v>
      </c>
      <c r="AI97" s="70" t="e">
        <f>WLS*(AD99-AD98)</f>
        <v>#VALUE!</v>
      </c>
      <c r="AU97" s="81"/>
    </row>
    <row r="98" spans="1:47" x14ac:dyDescent="0.25">
      <c r="A98" s="84">
        <f>A97+1</f>
        <v>13</v>
      </c>
      <c r="B98" s="84" t="str">
        <f t="shared" si="27"/>
        <v xml:space="preserve">  </v>
      </c>
      <c r="C98" s="80" t="e">
        <f t="shared" ref="C98" si="42">IF(OR(B100-B99=B99-B98,B100-B99=B99-B97,B100-B99=B99-B96),B99,IF(OR(B100-B98=B98-B97,B100-B98=B98-B96),B98,IF(B100-B97=B97-B96,B97,"#NA")))</f>
        <v>#VALUE!</v>
      </c>
      <c r="D98" s="76" t="e">
        <f>VLOOKUP(C98,STN_TABLE,2,FALSE)</f>
        <v>#VALUE!</v>
      </c>
      <c r="E98" s="81">
        <v>4</v>
      </c>
      <c r="F98" s="76" t="e">
        <f>D98*E98</f>
        <v>#VALUE!</v>
      </c>
      <c r="G98" s="77" t="e">
        <f>C98</f>
        <v>#VALUE!</v>
      </c>
      <c r="H98" s="77" t="e">
        <f>F98*G98</f>
        <v>#VALUE!</v>
      </c>
      <c r="I98" s="495" t="s">
        <v>97</v>
      </c>
      <c r="J98" s="496"/>
      <c r="K98" s="78" t="s">
        <v>98</v>
      </c>
      <c r="L98" s="78"/>
      <c r="M98" s="7" t="s">
        <v>99</v>
      </c>
      <c r="N98" s="7"/>
      <c r="O98" s="99">
        <f>O97+1</f>
        <v>15</v>
      </c>
      <c r="P98" s="99" t="str">
        <f t="shared" si="23"/>
        <v xml:space="preserve">  </v>
      </c>
      <c r="Q98" s="76" t="str">
        <f>P98</f>
        <v xml:space="preserve">  </v>
      </c>
      <c r="R98" s="77" t="str">
        <f>VLOOKUP(Q98,STN_TABLE,2,FALSE)</f>
        <v xml:space="preserve">  </v>
      </c>
      <c r="S98" s="77">
        <v>8</v>
      </c>
      <c r="T98" s="76" t="e">
        <f>R98*S98</f>
        <v>#VALUE!</v>
      </c>
      <c r="U98" s="80">
        <v>10</v>
      </c>
      <c r="V98" s="76" t="e">
        <f>R98*U98</f>
        <v>#VALUE!</v>
      </c>
      <c r="W98" s="496" t="s">
        <v>97</v>
      </c>
      <c r="X98" s="496"/>
      <c r="Y98" s="496" t="s">
        <v>98</v>
      </c>
      <c r="Z98" s="496"/>
      <c r="AA98" s="494" t="s">
        <v>99</v>
      </c>
      <c r="AB98" s="494"/>
      <c r="AC98" s="99">
        <f>AC93+1</f>
        <v>14</v>
      </c>
      <c r="AD98" s="95" t="str">
        <f>VLOOKUP(AC98,STN_TABLE_2,2,FALSE)</f>
        <v xml:space="preserve">  </v>
      </c>
      <c r="AE98" s="68" t="str">
        <f>VLOOKUP(AD98,STN_TABLE,2,FALSE)</f>
        <v xml:space="preserve">  </v>
      </c>
      <c r="AF98" s="68">
        <v>1</v>
      </c>
      <c r="AG98" s="69" t="e">
        <f>AE98*AF98</f>
        <v>#VALUE!</v>
      </c>
      <c r="AH98" s="496" t="s">
        <v>97</v>
      </c>
      <c r="AI98" s="496"/>
      <c r="AJ98" s="496" t="s">
        <v>98</v>
      </c>
      <c r="AK98" s="496"/>
      <c r="AL98" s="494" t="s">
        <v>99</v>
      </c>
      <c r="AM98" s="494"/>
      <c r="AP98" s="86" t="s">
        <v>112</v>
      </c>
      <c r="AQ98" s="89" t="s">
        <v>113</v>
      </c>
      <c r="AR98" s="89" t="s">
        <v>114</v>
      </c>
      <c r="AS98" s="89" t="s">
        <v>115</v>
      </c>
      <c r="AU98" s="81"/>
    </row>
    <row r="99" spans="1:47" x14ac:dyDescent="0.25">
      <c r="A99" s="84">
        <f>A98+1</f>
        <v>14</v>
      </c>
      <c r="B99" s="84" t="str">
        <f t="shared" si="27"/>
        <v xml:space="preserve">  </v>
      </c>
      <c r="C99" s="88" t="str">
        <f t="shared" ref="C99" si="43">B100</f>
        <v xml:space="preserve">  </v>
      </c>
      <c r="D99" s="82" t="str">
        <f>VLOOKUP(C99,STN_TABLE,2,FALSE)</f>
        <v xml:space="preserve">  </v>
      </c>
      <c r="E99" s="92">
        <v>1</v>
      </c>
      <c r="F99" s="82" t="e">
        <f>D99*E99</f>
        <v>#VALUE!</v>
      </c>
      <c r="G99" s="83" t="str">
        <f>C99</f>
        <v xml:space="preserve">  </v>
      </c>
      <c r="H99" s="83" t="e">
        <f>F99*G99</f>
        <v>#VALUE!</v>
      </c>
      <c r="I99" s="84" t="str">
        <f>CONCATENATE("a'(",C99,")=")</f>
        <v>a'(  )=</v>
      </c>
      <c r="J99" s="84" t="e">
        <f>2*J97/3*F100</f>
        <v>#VALUE!</v>
      </c>
      <c r="K99" s="84" t="e">
        <f>CONCATENATE("A(",C97,")=")</f>
        <v>#VALUE!</v>
      </c>
      <c r="L99" s="84" t="e">
        <f>VLOOKUP(C97,STN_TABLE,3,FALSE)</f>
        <v>#VALUE!</v>
      </c>
      <c r="M99" t="str">
        <f>CONCATENATE("A(",C99,")=")</f>
        <v>A(  )=</v>
      </c>
      <c r="N99" t="e">
        <f>J99+L99</f>
        <v>#VALUE!</v>
      </c>
      <c r="O99" s="99">
        <f>O98+1</f>
        <v>16</v>
      </c>
      <c r="P99" s="99" t="str">
        <f t="shared" si="23"/>
        <v xml:space="preserve">  </v>
      </c>
      <c r="Q99" s="82" t="e">
        <f>IF(P99-P98=P98-P97,P99,IF(P100-P98=P98-P97,P100,IF(P99-P98=P98-P96,P99,IF(P100-P98=P98-P96,P100,"-"))))</f>
        <v>#VALUE!</v>
      </c>
      <c r="R99" s="83" t="e">
        <f>VLOOKUP(Q99,STN_TABLE,2,FALSE)</f>
        <v>#VALUE!</v>
      </c>
      <c r="S99" s="83">
        <v>-1</v>
      </c>
      <c r="T99" s="82" t="e">
        <f>R99*S99</f>
        <v>#VALUE!</v>
      </c>
      <c r="U99" s="88">
        <v>-1</v>
      </c>
      <c r="V99" s="82" t="e">
        <f>R99*U99</f>
        <v>#VALUE!</v>
      </c>
      <c r="W99" s="84" t="str">
        <f>CONCATENATE("a'(",Q98,")=")</f>
        <v>a'(  )=</v>
      </c>
      <c r="X99" s="84" t="e">
        <f>2*X97/12*T100</f>
        <v>#VALUE!</v>
      </c>
      <c r="Y99" s="84" t="e">
        <f>CONCATENATE("A(",Q97,")=")</f>
        <v>#VALUE!</v>
      </c>
      <c r="Z99" s="84" t="e">
        <f>VLOOKUP(Q97,STN_TABLE,3,FALSE)</f>
        <v>#VALUE!</v>
      </c>
      <c r="AA99" t="str">
        <f>CONCATENATE("A(",Q98,")=")</f>
        <v>A(  )=</v>
      </c>
      <c r="AB99" t="e">
        <f>X99+Z99</f>
        <v>#VALUE!</v>
      </c>
      <c r="AC99" s="99">
        <f>AC98+1</f>
        <v>15</v>
      </c>
      <c r="AD99" s="100" t="str">
        <f>VLOOKUP(AC99,STN_TABLE_2,2,FALSE)</f>
        <v xml:space="preserve">  </v>
      </c>
      <c r="AE99" s="82" t="str">
        <f>VLOOKUP(AD99,STN_TABLE,2,FALSE)</f>
        <v xml:space="preserve">  </v>
      </c>
      <c r="AF99" s="82">
        <v>2</v>
      </c>
      <c r="AG99" s="83" t="e">
        <f>AE99*AF99</f>
        <v>#VALUE!</v>
      </c>
      <c r="AH99" s="84" t="str">
        <f>CONCATENATE("a'(",AD99,")=")</f>
        <v>a'(  )=</v>
      </c>
      <c r="AI99" s="84" t="e">
        <f>2*AI97/2*AE100</f>
        <v>#VALUE!</v>
      </c>
      <c r="AJ99" s="84" t="str">
        <f>CONCATENATE("A(",AD98,")=")</f>
        <v>A(  )=</v>
      </c>
      <c r="AK99" s="84" t="str">
        <f>VLOOKUP(AD98,STN_TABLE,3,FALSE)</f>
        <v xml:space="preserve"> </v>
      </c>
      <c r="AL99" t="str">
        <f>CONCATENATE("A(",AD99,")=")</f>
        <v>A(  )=</v>
      </c>
      <c r="AM99" t="e">
        <f>AI99+AK99</f>
        <v>#VALUE!</v>
      </c>
      <c r="AO99" s="68" t="str">
        <f>AA99</f>
        <v>A(  )=</v>
      </c>
      <c r="AP99" s="68" t="e">
        <f>VLOOKUP(AO99,Rise_Results,2,FALSE)</f>
        <v>#N/A</v>
      </c>
      <c r="AQ99" s="76" t="e">
        <f>N99</f>
        <v>#VALUE!</v>
      </c>
      <c r="AR99" s="76" t="e">
        <f>IF(OR(AB99&lt;=0,AB100&lt;=0),1/0,AB99)</f>
        <v>#VALUE!</v>
      </c>
      <c r="AS99" s="76" t="e">
        <f>AM99</f>
        <v>#VALUE!</v>
      </c>
      <c r="AT99" t="e">
        <f>IFERROR(AP99,IFERROR(AQ99,IFERROR(AR99,AS99)))</f>
        <v>#VALUE!</v>
      </c>
      <c r="AU99" s="81"/>
    </row>
    <row r="100" spans="1:47" x14ac:dyDescent="0.25">
      <c r="A100" s="84">
        <f>A99+1</f>
        <v>15</v>
      </c>
      <c r="B100" s="84" t="str">
        <f t="shared" si="27"/>
        <v xml:space="preserve">  </v>
      </c>
      <c r="F100" s="82" t="e">
        <f>SUM(F97:F99)</f>
        <v>#VALUE!</v>
      </c>
      <c r="H100" s="82" t="e">
        <f>SUM(H97:H99)</f>
        <v>#VALUE!</v>
      </c>
      <c r="I100" s="84" t="str">
        <f>CONCATENATE("m'(",C99,")=")</f>
        <v>m'(  )=</v>
      </c>
      <c r="J100" s="84" t="e">
        <f>2*(J97*(WLS))/3*H100</f>
        <v>#VALUE!</v>
      </c>
      <c r="K100" s="84" t="e">
        <f>CONCATENATE("M(",C97,")=")</f>
        <v>#VALUE!</v>
      </c>
      <c r="L100" s="84" t="e">
        <f>VLOOKUP(C97,STN_TABLE,4,FALSE)</f>
        <v>#VALUE!</v>
      </c>
      <c r="M100" t="str">
        <f>CONCATENATE("M(",C99,")=")</f>
        <v>M(  )=</v>
      </c>
      <c r="N100" t="e">
        <f>J100+L100</f>
        <v>#VALUE!</v>
      </c>
      <c r="O100" s="99">
        <f>O99+1</f>
        <v>17</v>
      </c>
      <c r="P100" s="99" t="str">
        <f t="shared" ref="P100:P131" si="44">VLOOKUP(O100,STN_TABLE_2,2,FALSE)</f>
        <v xml:space="preserve">  </v>
      </c>
      <c r="T100" s="89" t="e">
        <f>SUM(T97:T99)</f>
        <v>#VALUE!</v>
      </c>
      <c r="V100" s="82" t="e">
        <f>SUM(V97:V99)</f>
        <v>#VALUE!</v>
      </c>
      <c r="W100" s="84" t="str">
        <f>CONCATENATE("m'(",Q98,")=")</f>
        <v>m'(  )=</v>
      </c>
      <c r="X100" s="84" t="e">
        <f>(2*(X97^2)/24*V100)+(X99*Q97*WLS)</f>
        <v>#VALUE!</v>
      </c>
      <c r="Y100" s="84" t="e">
        <f>CONCATENATE("M(",Q97,")=")</f>
        <v>#VALUE!</v>
      </c>
      <c r="Z100" s="84" t="e">
        <f>VLOOKUP(Q97,STN_TABLE,4,FALSE)</f>
        <v>#VALUE!</v>
      </c>
      <c r="AA100" t="str">
        <f>CONCATENATE("M(",Q98,")=")</f>
        <v>M(  )=</v>
      </c>
      <c r="AB100" t="e">
        <f>X100+Z100</f>
        <v>#VALUE!</v>
      </c>
      <c r="AE100" s="89">
        <f>SUM(AE98:AE99)</f>
        <v>0</v>
      </c>
      <c r="AG100" s="89" t="e">
        <f>SUM(AG98:AG99)</f>
        <v>#VALUE!</v>
      </c>
      <c r="AH100" s="84" t="str">
        <f>CONCATENATE("m'(",AD99,")=")</f>
        <v>m'(  )=</v>
      </c>
      <c r="AI100" s="84" t="e">
        <f>(2*(AI97^2)/6*AG100)+(AI99*AD98*WLS)</f>
        <v>#VALUE!</v>
      </c>
      <c r="AJ100" s="84" t="str">
        <f>CONCATENATE("M(",AD98,")=")</f>
        <v>M(  )=</v>
      </c>
      <c r="AK100" s="84" t="str">
        <f>VLOOKUP(AD98,STN_TABLE,4,FALSE)</f>
        <v xml:space="preserve"> </v>
      </c>
      <c r="AL100" t="str">
        <f>CONCATENATE("M(",AD99,")=")</f>
        <v>M(  )=</v>
      </c>
      <c r="AM100" t="e">
        <f>AI100+AK100</f>
        <v>#VALUE!</v>
      </c>
      <c r="AO100" s="82" t="str">
        <f>AA100</f>
        <v>M(  )=</v>
      </c>
      <c r="AP100" s="82" t="e">
        <f>VLOOKUP(AO100,Rise_Results,2,FALSE)</f>
        <v>#N/A</v>
      </c>
      <c r="AQ100" s="82" t="e">
        <f>N100</f>
        <v>#VALUE!</v>
      </c>
      <c r="AR100" s="82" t="e">
        <f>IF(OR(AB99&lt;=0,AB100&lt;=0),1/0,AB100)</f>
        <v>#VALUE!</v>
      </c>
      <c r="AS100" s="82" t="e">
        <f>AM100</f>
        <v>#VALUE!</v>
      </c>
      <c r="AT100" t="e">
        <f>IFERROR(AP100,IFERROR(AQ100,IFERROR(AR100,AS100)))</f>
        <v>#VALUE!</v>
      </c>
      <c r="AU100" s="81"/>
    </row>
    <row r="101" spans="1:47" x14ac:dyDescent="0.25">
      <c r="A101" s="101">
        <f>A96+1</f>
        <v>12</v>
      </c>
      <c r="B101" s="101">
        <f t="shared" si="27"/>
        <v>6.5</v>
      </c>
      <c r="O101" s="101">
        <f>O96+1</f>
        <v>14</v>
      </c>
      <c r="P101" s="101" t="str">
        <f t="shared" si="44"/>
        <v xml:space="preserve">  </v>
      </c>
      <c r="AU101" s="81"/>
    </row>
    <row r="102" spans="1:47" x14ac:dyDescent="0.25">
      <c r="A102" s="84">
        <f>A101+1</f>
        <v>13</v>
      </c>
      <c r="B102" s="84" t="str">
        <f t="shared" si="27"/>
        <v xml:space="preserve">  </v>
      </c>
      <c r="C102" s="79" t="e">
        <f t="shared" ref="C102" si="45">IF(C103=B104,IF(C104-C103=C103-B103,B103,IF(C104-C103=C103-B102,B102,"#NA")),IF(C103=B103,IF(C104-C103=C103-B102,B102,IF(C104-C103=C103-B101,B101,"#NA")),"#NA"))</f>
        <v>#VALUE!</v>
      </c>
      <c r="D102" s="68" t="e">
        <f>VLOOKUP(C102,STN_TABLE,2,FALSE)</f>
        <v>#VALUE!</v>
      </c>
      <c r="E102" s="102">
        <v>1</v>
      </c>
      <c r="F102" s="68" t="e">
        <f>D102*E102</f>
        <v>#VALUE!</v>
      </c>
      <c r="G102" s="69" t="e">
        <f>C102</f>
        <v>#VALUE!</v>
      </c>
      <c r="H102" s="69" t="e">
        <f>F102*G102</f>
        <v>#VALUE!</v>
      </c>
      <c r="I102" s="6" t="s">
        <v>93</v>
      </c>
      <c r="J102" s="70" t="e">
        <f>IF(OR(D102=0,D103=0,D104=0),"#NA",IF(AND(C104-C103=C103-C102,C103&lt;&gt;C104,C102&lt;&gt;C103,C102&lt;&gt;C104,D104&lt;&gt;0,OR(D102&lt;&gt;0,D103&lt;&gt;0)),WLS*(C104-C103),"#NA"))</f>
        <v>#VALUE!</v>
      </c>
      <c r="O102" s="99">
        <f>O101+1</f>
        <v>15</v>
      </c>
      <c r="P102" s="99" t="str">
        <f t="shared" si="44"/>
        <v xml:space="preserve">  </v>
      </c>
      <c r="Q102" s="68" t="e">
        <f>IF(OR(P104-P103=P103-P102,P105-P103=P103-P102),P102,IF(OR(P104-P103=P103-P101,P105-P103=P103-P101),P101,"-"))</f>
        <v>#VALUE!</v>
      </c>
      <c r="R102" s="69" t="e">
        <f>VLOOKUP(Q102,STN_TABLE,2,FALSE)</f>
        <v>#VALUE!</v>
      </c>
      <c r="S102" s="69">
        <v>5</v>
      </c>
      <c r="T102" s="68" t="e">
        <f>R102*S102</f>
        <v>#VALUE!</v>
      </c>
      <c r="U102" s="79">
        <v>3</v>
      </c>
      <c r="V102" s="68" t="e">
        <f>R102*U102</f>
        <v>#VALUE!</v>
      </c>
      <c r="W102" s="6" t="s">
        <v>93</v>
      </c>
      <c r="X102" s="70" t="e">
        <f>IF(AND(Q104-Q103=Q103-Q102,NOT(AND(Q102=0,Q103=0)),NOT(AND(Q103=0,Q104=0))),WLS*(Q104-Q103),"#NA")</f>
        <v>#VALUE!</v>
      </c>
      <c r="AD102" s="93"/>
      <c r="AH102" s="6" t="s">
        <v>93</v>
      </c>
      <c r="AI102" s="70" t="e">
        <f>WLS*(AD104-AD103)</f>
        <v>#VALUE!</v>
      </c>
      <c r="AU102" s="81"/>
    </row>
    <row r="103" spans="1:47" x14ac:dyDescent="0.25">
      <c r="A103" s="84">
        <f>A102+1</f>
        <v>14</v>
      </c>
      <c r="B103" s="84" t="str">
        <f t="shared" si="27"/>
        <v xml:space="preserve">  </v>
      </c>
      <c r="C103" s="80" t="e">
        <f t="shared" ref="C103" si="46">IF(OR(B105-B104=B104-B103,B105-B104=B104-B102,B105-B104=B104-B101),B104,IF(OR(B105-B103=B103-B102,B105-B103=B103-B101),B103,IF(B105-B102=B102-B101,B102,"#NA")))</f>
        <v>#VALUE!</v>
      </c>
      <c r="D103" s="76" t="e">
        <f>VLOOKUP(C103,STN_TABLE,2,FALSE)</f>
        <v>#VALUE!</v>
      </c>
      <c r="E103" s="81">
        <v>4</v>
      </c>
      <c r="F103" s="76" t="e">
        <f>D103*E103</f>
        <v>#VALUE!</v>
      </c>
      <c r="G103" s="77" t="e">
        <f>C103</f>
        <v>#VALUE!</v>
      </c>
      <c r="H103" s="77" t="e">
        <f>F103*G103</f>
        <v>#VALUE!</v>
      </c>
      <c r="I103" s="495" t="s">
        <v>97</v>
      </c>
      <c r="J103" s="496"/>
      <c r="K103" s="78" t="s">
        <v>98</v>
      </c>
      <c r="L103" s="78"/>
      <c r="M103" s="7" t="s">
        <v>99</v>
      </c>
      <c r="N103" s="7"/>
      <c r="O103" s="99">
        <f>O102+1</f>
        <v>16</v>
      </c>
      <c r="P103" s="99" t="str">
        <f t="shared" si="44"/>
        <v xml:space="preserve">  </v>
      </c>
      <c r="Q103" s="76" t="str">
        <f>P103</f>
        <v xml:space="preserve">  </v>
      </c>
      <c r="R103" s="77" t="str">
        <f>VLOOKUP(Q103,STN_TABLE,2,FALSE)</f>
        <v xml:space="preserve">  </v>
      </c>
      <c r="S103" s="77">
        <v>8</v>
      </c>
      <c r="T103" s="76" t="e">
        <f>R103*S103</f>
        <v>#VALUE!</v>
      </c>
      <c r="U103" s="80">
        <v>10</v>
      </c>
      <c r="V103" s="76" t="e">
        <f>R103*U103</f>
        <v>#VALUE!</v>
      </c>
      <c r="W103" s="496" t="s">
        <v>97</v>
      </c>
      <c r="X103" s="496"/>
      <c r="Y103" s="496" t="s">
        <v>98</v>
      </c>
      <c r="Z103" s="496"/>
      <c r="AA103" s="494" t="s">
        <v>99</v>
      </c>
      <c r="AB103" s="494"/>
      <c r="AC103" s="99">
        <f>AC98+1</f>
        <v>15</v>
      </c>
      <c r="AD103" s="95" t="str">
        <f>VLOOKUP(AC103,STN_TABLE_2,2,FALSE)</f>
        <v xml:space="preserve">  </v>
      </c>
      <c r="AE103" s="68" t="str">
        <f>VLOOKUP(AD103,STN_TABLE,2,FALSE)</f>
        <v xml:space="preserve">  </v>
      </c>
      <c r="AF103" s="68">
        <v>1</v>
      </c>
      <c r="AG103" s="69" t="e">
        <f>AE103*AF103</f>
        <v>#VALUE!</v>
      </c>
      <c r="AH103" s="496" t="s">
        <v>97</v>
      </c>
      <c r="AI103" s="496"/>
      <c r="AJ103" s="496" t="s">
        <v>98</v>
      </c>
      <c r="AK103" s="496"/>
      <c r="AL103" s="494" t="s">
        <v>99</v>
      </c>
      <c r="AM103" s="494"/>
      <c r="AP103" s="86" t="s">
        <v>112</v>
      </c>
      <c r="AQ103" s="89" t="s">
        <v>113</v>
      </c>
      <c r="AR103" s="89" t="s">
        <v>114</v>
      </c>
      <c r="AS103" s="89" t="s">
        <v>115</v>
      </c>
      <c r="AU103" s="81"/>
    </row>
    <row r="104" spans="1:47" x14ac:dyDescent="0.25">
      <c r="A104" s="84">
        <f>A103+1</f>
        <v>15</v>
      </c>
      <c r="B104" s="84" t="str">
        <f t="shared" si="27"/>
        <v xml:space="preserve">  </v>
      </c>
      <c r="C104" s="88" t="str">
        <f t="shared" ref="C104" si="47">B105</f>
        <v xml:space="preserve">  </v>
      </c>
      <c r="D104" s="82" t="str">
        <f>VLOOKUP(C104,STN_TABLE,2,FALSE)</f>
        <v xml:space="preserve">  </v>
      </c>
      <c r="E104" s="92">
        <v>1</v>
      </c>
      <c r="F104" s="82" t="e">
        <f>D104*E104</f>
        <v>#VALUE!</v>
      </c>
      <c r="G104" s="83" t="str">
        <f>C104</f>
        <v xml:space="preserve">  </v>
      </c>
      <c r="H104" s="83" t="e">
        <f>F104*G104</f>
        <v>#VALUE!</v>
      </c>
      <c r="I104" s="84" t="str">
        <f>CONCATENATE("a'(",C104,")=")</f>
        <v>a'(  )=</v>
      </c>
      <c r="J104" s="84" t="e">
        <f>2*J102/3*F105</f>
        <v>#VALUE!</v>
      </c>
      <c r="K104" s="84" t="e">
        <f>CONCATENATE("A(",C102,")=")</f>
        <v>#VALUE!</v>
      </c>
      <c r="L104" s="84" t="e">
        <f>VLOOKUP(C102,STN_TABLE,3,FALSE)</f>
        <v>#VALUE!</v>
      </c>
      <c r="M104" t="str">
        <f>CONCATENATE("A(",C104,")=")</f>
        <v>A(  )=</v>
      </c>
      <c r="N104" t="e">
        <f>J104+L104</f>
        <v>#VALUE!</v>
      </c>
      <c r="O104" s="99">
        <f>O103+1</f>
        <v>17</v>
      </c>
      <c r="P104" s="99" t="str">
        <f t="shared" si="44"/>
        <v xml:space="preserve">  </v>
      </c>
      <c r="Q104" s="82" t="e">
        <f>IF(P104-P103=P103-P102,P104,IF(P105-P103=P103-P102,P105,IF(P104-P103=P103-P101,P104,IF(P105-P103=P103-P101,P105,"-"))))</f>
        <v>#VALUE!</v>
      </c>
      <c r="R104" s="83" t="e">
        <f>VLOOKUP(Q104,STN_TABLE,2,FALSE)</f>
        <v>#VALUE!</v>
      </c>
      <c r="S104" s="83">
        <v>-1</v>
      </c>
      <c r="T104" s="82" t="e">
        <f>R104*S104</f>
        <v>#VALUE!</v>
      </c>
      <c r="U104" s="88">
        <v>-1</v>
      </c>
      <c r="V104" s="82" t="e">
        <f>R104*U104</f>
        <v>#VALUE!</v>
      </c>
      <c r="W104" s="84" t="str">
        <f>CONCATENATE("a'(",Q103,")=")</f>
        <v>a'(  )=</v>
      </c>
      <c r="X104" s="84" t="e">
        <f>2*X102/12*T105</f>
        <v>#VALUE!</v>
      </c>
      <c r="Y104" s="84" t="e">
        <f>CONCATENATE("A(",Q102,")=")</f>
        <v>#VALUE!</v>
      </c>
      <c r="Z104" s="84" t="e">
        <f>VLOOKUP(Q102,STN_TABLE,3,FALSE)</f>
        <v>#VALUE!</v>
      </c>
      <c r="AA104" t="str">
        <f>CONCATENATE("A(",Q103,")=")</f>
        <v>A(  )=</v>
      </c>
      <c r="AB104" t="e">
        <f>X104+Z104</f>
        <v>#VALUE!</v>
      </c>
      <c r="AC104" s="99">
        <f>AC103+1</f>
        <v>16</v>
      </c>
      <c r="AD104" s="100" t="str">
        <f>VLOOKUP(AC104,STN_TABLE_2,2,FALSE)</f>
        <v xml:space="preserve">  </v>
      </c>
      <c r="AE104" s="82" t="str">
        <f>VLOOKUP(AD104,STN_TABLE,2,FALSE)</f>
        <v xml:space="preserve">  </v>
      </c>
      <c r="AF104" s="82">
        <v>2</v>
      </c>
      <c r="AG104" s="83" t="e">
        <f>AE104*AF104</f>
        <v>#VALUE!</v>
      </c>
      <c r="AH104" s="84" t="str">
        <f>CONCATENATE("a'(",AD104,")=")</f>
        <v>a'(  )=</v>
      </c>
      <c r="AI104" s="84" t="e">
        <f>2*AI102/2*AE105</f>
        <v>#VALUE!</v>
      </c>
      <c r="AJ104" s="84" t="str">
        <f>CONCATENATE("A(",AD103,")=")</f>
        <v>A(  )=</v>
      </c>
      <c r="AK104" s="84" t="str">
        <f>VLOOKUP(AD103,STN_TABLE,3,FALSE)</f>
        <v xml:space="preserve"> </v>
      </c>
      <c r="AL104" t="str">
        <f>CONCATENATE("A(",AD104,")=")</f>
        <v>A(  )=</v>
      </c>
      <c r="AM104" t="e">
        <f>AI104+AK104</f>
        <v>#VALUE!</v>
      </c>
      <c r="AO104" s="68" t="str">
        <f>AA104</f>
        <v>A(  )=</v>
      </c>
      <c r="AP104" s="68" t="e">
        <f>VLOOKUP(AO104,Rise_Results,2,FALSE)</f>
        <v>#N/A</v>
      </c>
      <c r="AQ104" s="76" t="e">
        <f>N104</f>
        <v>#VALUE!</v>
      </c>
      <c r="AR104" s="76" t="e">
        <f>IF(OR(AB104&lt;=0,AB105&lt;=0),1/0,AB104)</f>
        <v>#VALUE!</v>
      </c>
      <c r="AS104" s="76" t="e">
        <f>AM104</f>
        <v>#VALUE!</v>
      </c>
      <c r="AT104" t="e">
        <f>IFERROR(AP104,IFERROR(AQ104,IFERROR(AR104,AS104)))</f>
        <v>#VALUE!</v>
      </c>
      <c r="AU104" s="81"/>
    </row>
    <row r="105" spans="1:47" x14ac:dyDescent="0.25">
      <c r="A105" s="84">
        <f>A104+1</f>
        <v>16</v>
      </c>
      <c r="B105" s="84" t="str">
        <f t="shared" si="27"/>
        <v xml:space="preserve">  </v>
      </c>
      <c r="F105" s="82" t="e">
        <f>SUM(F102:F104)</f>
        <v>#VALUE!</v>
      </c>
      <c r="H105" s="82" t="e">
        <f>SUM(H102:H104)</f>
        <v>#VALUE!</v>
      </c>
      <c r="I105" s="84" t="str">
        <f>CONCATENATE("m'(",C104,")=")</f>
        <v>m'(  )=</v>
      </c>
      <c r="J105" s="84" t="e">
        <f>2*(J102*(WLS))/3*H105</f>
        <v>#VALUE!</v>
      </c>
      <c r="K105" s="84" t="e">
        <f>CONCATENATE("M(",C102,")=")</f>
        <v>#VALUE!</v>
      </c>
      <c r="L105" s="84" t="e">
        <f>VLOOKUP(C102,STN_TABLE,4,FALSE)</f>
        <v>#VALUE!</v>
      </c>
      <c r="M105" t="str">
        <f>CONCATENATE("M(",C104,")=")</f>
        <v>M(  )=</v>
      </c>
      <c r="N105" t="e">
        <f>J105+L105</f>
        <v>#VALUE!</v>
      </c>
      <c r="O105" s="99">
        <f>O104+1</f>
        <v>18</v>
      </c>
      <c r="P105" s="99" t="str">
        <f t="shared" si="44"/>
        <v xml:space="preserve">  </v>
      </c>
      <c r="T105" s="89" t="e">
        <f>SUM(T102:T104)</f>
        <v>#VALUE!</v>
      </c>
      <c r="V105" s="82" t="e">
        <f>SUM(V102:V104)</f>
        <v>#VALUE!</v>
      </c>
      <c r="W105" s="84" t="str">
        <f>CONCATENATE("m'(",Q103,")=")</f>
        <v>m'(  )=</v>
      </c>
      <c r="X105" s="84" t="e">
        <f>(2*(X102^2)/24*V105)+(X104*Q102*WLS)</f>
        <v>#VALUE!</v>
      </c>
      <c r="Y105" s="84" t="e">
        <f>CONCATENATE("M(",Q102,")=")</f>
        <v>#VALUE!</v>
      </c>
      <c r="Z105" s="84" t="e">
        <f>VLOOKUP(Q102,STN_TABLE,4,FALSE)</f>
        <v>#VALUE!</v>
      </c>
      <c r="AA105" t="str">
        <f>CONCATENATE("M(",Q103,")=")</f>
        <v>M(  )=</v>
      </c>
      <c r="AB105" t="e">
        <f>X105+Z105</f>
        <v>#VALUE!</v>
      </c>
      <c r="AE105" s="89">
        <f>SUM(AE103:AE104)</f>
        <v>0</v>
      </c>
      <c r="AG105" s="89" t="e">
        <f>SUM(AG103:AG104)</f>
        <v>#VALUE!</v>
      </c>
      <c r="AH105" s="84" t="str">
        <f>CONCATENATE("m'(",AD104,")=")</f>
        <v>m'(  )=</v>
      </c>
      <c r="AI105" s="84" t="e">
        <f>(2*(AI102^2)/6*AG105)+(AI104*AD103*WLS)</f>
        <v>#VALUE!</v>
      </c>
      <c r="AJ105" s="84" t="str">
        <f>CONCATENATE("M(",AD103,")=")</f>
        <v>M(  )=</v>
      </c>
      <c r="AK105" s="84" t="str">
        <f>VLOOKUP(AD103,STN_TABLE,4,FALSE)</f>
        <v xml:space="preserve"> </v>
      </c>
      <c r="AL105" t="str">
        <f>CONCATENATE("M(",AD104,")=")</f>
        <v>M(  )=</v>
      </c>
      <c r="AM105" t="e">
        <f>AI105+AK105</f>
        <v>#VALUE!</v>
      </c>
      <c r="AO105" s="82" t="str">
        <f>AA105</f>
        <v>M(  )=</v>
      </c>
      <c r="AP105" s="82" t="e">
        <f>VLOOKUP(AO105,Rise_Results,2,FALSE)</f>
        <v>#N/A</v>
      </c>
      <c r="AQ105" s="82" t="e">
        <f>N105</f>
        <v>#VALUE!</v>
      </c>
      <c r="AR105" s="82" t="e">
        <f>IF(OR(AB104&lt;=0,AB105&lt;=0),1/0,AB105)</f>
        <v>#VALUE!</v>
      </c>
      <c r="AS105" s="82" t="e">
        <f>AM105</f>
        <v>#VALUE!</v>
      </c>
      <c r="AT105" t="e">
        <f>IFERROR(AP105,IFERROR(AQ105,IFERROR(AR105,AS105)))</f>
        <v>#VALUE!</v>
      </c>
      <c r="AU105" s="81"/>
    </row>
    <row r="106" spans="1:47" x14ac:dyDescent="0.25">
      <c r="A106" s="101">
        <f>A101+1</f>
        <v>13</v>
      </c>
      <c r="B106" s="101" t="str">
        <f t="shared" ref="B106:B137" si="48">VLOOKUP(A106,STN_TABLE_2,2,FALSE)</f>
        <v xml:space="preserve">  </v>
      </c>
      <c r="O106" s="101">
        <f>O101+1</f>
        <v>15</v>
      </c>
      <c r="P106" s="101" t="str">
        <f t="shared" si="44"/>
        <v xml:space="preserve">  </v>
      </c>
      <c r="AU106" s="81"/>
    </row>
    <row r="107" spans="1:47" x14ac:dyDescent="0.25">
      <c r="A107" s="84">
        <f>A106+1</f>
        <v>14</v>
      </c>
      <c r="B107" s="84" t="str">
        <f t="shared" si="48"/>
        <v xml:space="preserve">  </v>
      </c>
      <c r="C107" s="79" t="e">
        <f t="shared" ref="C107" si="49">IF(C108=B109,IF(C109-C108=C108-B108,B108,IF(C109-C108=C108-B107,B107,"#NA")),IF(C108=B108,IF(C109-C108=C108-B107,B107,IF(C109-C108=C108-B106,B106,"#NA")),"#NA"))</f>
        <v>#VALUE!</v>
      </c>
      <c r="D107" s="68" t="e">
        <f>VLOOKUP(C107,STN_TABLE,2,FALSE)</f>
        <v>#VALUE!</v>
      </c>
      <c r="E107" s="102">
        <v>1</v>
      </c>
      <c r="F107" s="68" t="e">
        <f>D107*E107</f>
        <v>#VALUE!</v>
      </c>
      <c r="G107" s="69" t="e">
        <f>C107</f>
        <v>#VALUE!</v>
      </c>
      <c r="H107" s="69" t="e">
        <f>F107*G107</f>
        <v>#VALUE!</v>
      </c>
      <c r="I107" s="6" t="s">
        <v>93</v>
      </c>
      <c r="J107" s="70" t="e">
        <f>IF(OR(D107=0,D108=0,D109=0),"#NA",IF(AND(C109-C108=C108-C107,C108&lt;&gt;C109,C107&lt;&gt;C108,C107&lt;&gt;C109,D109&lt;&gt;0,OR(D107&lt;&gt;0,D108&lt;&gt;0)),WLS*(C109-C108),"#NA"))</f>
        <v>#VALUE!</v>
      </c>
      <c r="O107" s="99">
        <f>O106+1</f>
        <v>16</v>
      </c>
      <c r="P107" s="99" t="str">
        <f t="shared" si="44"/>
        <v xml:space="preserve">  </v>
      </c>
      <c r="Q107" s="68" t="e">
        <f>IF(OR(P109-P108=P108-P107,P110-P108=P108-P107),P107,IF(OR(P109-P108=P108-P106,P110-P108=P108-P106),P106,"-"))</f>
        <v>#VALUE!</v>
      </c>
      <c r="R107" s="69" t="e">
        <f>VLOOKUP(Q107,STN_TABLE,2,FALSE)</f>
        <v>#VALUE!</v>
      </c>
      <c r="S107" s="69">
        <v>5</v>
      </c>
      <c r="T107" s="68" t="e">
        <f>R107*S107</f>
        <v>#VALUE!</v>
      </c>
      <c r="U107" s="79">
        <v>3</v>
      </c>
      <c r="V107" s="68" t="e">
        <f>R107*U107</f>
        <v>#VALUE!</v>
      </c>
      <c r="W107" s="6" t="s">
        <v>93</v>
      </c>
      <c r="X107" s="70" t="e">
        <f>IF(AND(Q109-Q108=Q108-Q107,NOT(AND(Q107=0,Q108=0)),NOT(AND(Q108=0,Q109=0))),WLS*(Q109-Q108),"#NA")</f>
        <v>#VALUE!</v>
      </c>
      <c r="AD107" s="93"/>
      <c r="AH107" s="6" t="s">
        <v>93</v>
      </c>
      <c r="AI107" s="70" t="e">
        <f>WLS*(AD109-AD108)</f>
        <v>#VALUE!</v>
      </c>
      <c r="AU107" s="81"/>
    </row>
    <row r="108" spans="1:47" x14ac:dyDescent="0.25">
      <c r="A108" s="84">
        <f>A107+1</f>
        <v>15</v>
      </c>
      <c r="B108" s="84" t="str">
        <f t="shared" si="48"/>
        <v xml:space="preserve">  </v>
      </c>
      <c r="C108" s="80" t="e">
        <f t="shared" ref="C108" si="50">IF(OR(B110-B109=B109-B108,B110-B109=B109-B107,B110-B109=B109-B106),B109,IF(OR(B110-B108=B108-B107,B110-B108=B108-B106),B108,IF(B110-B107=B107-B106,B107,"#NA")))</f>
        <v>#VALUE!</v>
      </c>
      <c r="D108" s="76" t="e">
        <f>VLOOKUP(C108,STN_TABLE,2,FALSE)</f>
        <v>#VALUE!</v>
      </c>
      <c r="E108" s="81">
        <v>4</v>
      </c>
      <c r="F108" s="76" t="e">
        <f>D108*E108</f>
        <v>#VALUE!</v>
      </c>
      <c r="G108" s="77" t="e">
        <f>C108</f>
        <v>#VALUE!</v>
      </c>
      <c r="H108" s="77" t="e">
        <f>F108*G108</f>
        <v>#VALUE!</v>
      </c>
      <c r="I108" s="495" t="s">
        <v>97</v>
      </c>
      <c r="J108" s="496"/>
      <c r="K108" s="78" t="s">
        <v>98</v>
      </c>
      <c r="L108" s="78"/>
      <c r="M108" s="7" t="s">
        <v>99</v>
      </c>
      <c r="N108" s="7"/>
      <c r="O108" s="99">
        <f>O107+1</f>
        <v>17</v>
      </c>
      <c r="P108" s="99" t="str">
        <f t="shared" si="44"/>
        <v xml:space="preserve">  </v>
      </c>
      <c r="Q108" s="76" t="str">
        <f>P108</f>
        <v xml:space="preserve">  </v>
      </c>
      <c r="R108" s="77" t="str">
        <f>VLOOKUP(Q108,STN_TABLE,2,FALSE)</f>
        <v xml:space="preserve">  </v>
      </c>
      <c r="S108" s="77">
        <v>8</v>
      </c>
      <c r="T108" s="76" t="e">
        <f>R108*S108</f>
        <v>#VALUE!</v>
      </c>
      <c r="U108" s="80">
        <v>10</v>
      </c>
      <c r="V108" s="76" t="e">
        <f>R108*U108</f>
        <v>#VALUE!</v>
      </c>
      <c r="W108" s="496" t="s">
        <v>97</v>
      </c>
      <c r="X108" s="496"/>
      <c r="Y108" s="496" t="s">
        <v>98</v>
      </c>
      <c r="Z108" s="496"/>
      <c r="AA108" s="494" t="s">
        <v>99</v>
      </c>
      <c r="AB108" s="494"/>
      <c r="AC108" s="99">
        <f>AC103+1</f>
        <v>16</v>
      </c>
      <c r="AD108" s="95" t="str">
        <f>VLOOKUP(AC108,STN_TABLE_2,2,FALSE)</f>
        <v xml:space="preserve">  </v>
      </c>
      <c r="AE108" s="68" t="str">
        <f>VLOOKUP(AD108,STN_TABLE,2,FALSE)</f>
        <v xml:space="preserve">  </v>
      </c>
      <c r="AF108" s="68">
        <v>1</v>
      </c>
      <c r="AG108" s="69" t="e">
        <f>AE108*AF108</f>
        <v>#VALUE!</v>
      </c>
      <c r="AH108" s="496" t="s">
        <v>97</v>
      </c>
      <c r="AI108" s="496"/>
      <c r="AJ108" s="496" t="s">
        <v>98</v>
      </c>
      <c r="AK108" s="496"/>
      <c r="AL108" s="494" t="s">
        <v>99</v>
      </c>
      <c r="AM108" s="494"/>
      <c r="AP108" s="86" t="s">
        <v>112</v>
      </c>
      <c r="AQ108" s="89" t="s">
        <v>113</v>
      </c>
      <c r="AR108" s="89" t="s">
        <v>114</v>
      </c>
      <c r="AS108" s="89" t="s">
        <v>115</v>
      </c>
      <c r="AU108" s="81"/>
    </row>
    <row r="109" spans="1:47" x14ac:dyDescent="0.25">
      <c r="A109" s="84">
        <f>A108+1</f>
        <v>16</v>
      </c>
      <c r="B109" s="84" t="str">
        <f t="shared" si="48"/>
        <v xml:space="preserve">  </v>
      </c>
      <c r="C109" s="88" t="str">
        <f t="shared" ref="C109" si="51">B110</f>
        <v xml:space="preserve">  </v>
      </c>
      <c r="D109" s="82" t="str">
        <f>VLOOKUP(C109,STN_TABLE,2,FALSE)</f>
        <v xml:space="preserve">  </v>
      </c>
      <c r="E109" s="92">
        <v>1</v>
      </c>
      <c r="F109" s="82" t="e">
        <f>D109*E109</f>
        <v>#VALUE!</v>
      </c>
      <c r="G109" s="83" t="str">
        <f>C109</f>
        <v xml:space="preserve">  </v>
      </c>
      <c r="H109" s="83" t="e">
        <f>F109*G109</f>
        <v>#VALUE!</v>
      </c>
      <c r="I109" s="84" t="str">
        <f>CONCATENATE("a'(",C109,")=")</f>
        <v>a'(  )=</v>
      </c>
      <c r="J109" s="84" t="e">
        <f>2*J107/3*F110</f>
        <v>#VALUE!</v>
      </c>
      <c r="K109" s="84" t="e">
        <f>CONCATENATE("A(",C107,")=")</f>
        <v>#VALUE!</v>
      </c>
      <c r="L109" s="84" t="e">
        <f>VLOOKUP(C107,STN_TABLE,3,FALSE)</f>
        <v>#VALUE!</v>
      </c>
      <c r="M109" t="str">
        <f>CONCATENATE("A(",C109,")=")</f>
        <v>A(  )=</v>
      </c>
      <c r="N109" t="e">
        <f>J109+L109</f>
        <v>#VALUE!</v>
      </c>
      <c r="O109" s="99">
        <f>O108+1</f>
        <v>18</v>
      </c>
      <c r="P109" s="99" t="str">
        <f t="shared" si="44"/>
        <v xml:space="preserve">  </v>
      </c>
      <c r="Q109" s="82" t="e">
        <f>IF(P109-P108=P108-P107,P109,IF(P110-P108=P108-P107,P110,IF(P109-P108=P108-P106,P109,IF(P110-P108=P108-P106,P110,"-"))))</f>
        <v>#VALUE!</v>
      </c>
      <c r="R109" s="83" t="e">
        <f>VLOOKUP(Q109,STN_TABLE,2,FALSE)</f>
        <v>#VALUE!</v>
      </c>
      <c r="S109" s="83">
        <v>-1</v>
      </c>
      <c r="T109" s="82" t="e">
        <f>R109*S109</f>
        <v>#VALUE!</v>
      </c>
      <c r="U109" s="88">
        <v>-1</v>
      </c>
      <c r="V109" s="82" t="e">
        <f>R109*U109</f>
        <v>#VALUE!</v>
      </c>
      <c r="W109" s="84" t="str">
        <f>CONCATENATE("a'(",Q108,")=")</f>
        <v>a'(  )=</v>
      </c>
      <c r="X109" s="84" t="e">
        <f>2*X107/12*T110</f>
        <v>#VALUE!</v>
      </c>
      <c r="Y109" s="84" t="e">
        <f>CONCATENATE("A(",Q107,")=")</f>
        <v>#VALUE!</v>
      </c>
      <c r="Z109" s="84" t="e">
        <f>VLOOKUP(Q107,STN_TABLE,3,FALSE)</f>
        <v>#VALUE!</v>
      </c>
      <c r="AA109" t="str">
        <f>CONCATENATE("A(",Q108,")=")</f>
        <v>A(  )=</v>
      </c>
      <c r="AB109" t="e">
        <f>X109+Z109</f>
        <v>#VALUE!</v>
      </c>
      <c r="AC109" s="99">
        <f>AC108+1</f>
        <v>17</v>
      </c>
      <c r="AD109" s="100" t="str">
        <f>VLOOKUP(AC109,STN_TABLE_2,2,FALSE)</f>
        <v xml:space="preserve">  </v>
      </c>
      <c r="AE109" s="82" t="str">
        <f>VLOOKUP(AD109,STN_TABLE,2,FALSE)</f>
        <v xml:space="preserve">  </v>
      </c>
      <c r="AF109" s="82">
        <v>2</v>
      </c>
      <c r="AG109" s="83" t="e">
        <f>AE109*AF109</f>
        <v>#VALUE!</v>
      </c>
      <c r="AH109" s="84" t="str">
        <f>CONCATENATE("a'(",AD109,")=")</f>
        <v>a'(  )=</v>
      </c>
      <c r="AI109" s="84" t="e">
        <f>2*AI107/2*AE110</f>
        <v>#VALUE!</v>
      </c>
      <c r="AJ109" s="84" t="str">
        <f>CONCATENATE("A(",AD108,")=")</f>
        <v>A(  )=</v>
      </c>
      <c r="AK109" s="84" t="str">
        <f>VLOOKUP(AD108,STN_TABLE,3,FALSE)</f>
        <v xml:space="preserve"> </v>
      </c>
      <c r="AL109" t="str">
        <f>CONCATENATE("A(",AD109,")=")</f>
        <v>A(  )=</v>
      </c>
      <c r="AM109" t="e">
        <f>AI109+AK109</f>
        <v>#VALUE!</v>
      </c>
      <c r="AO109" s="68" t="str">
        <f>AA109</f>
        <v>A(  )=</v>
      </c>
      <c r="AP109" s="68" t="e">
        <f>VLOOKUP(AO109,Rise_Results,2,FALSE)</f>
        <v>#N/A</v>
      </c>
      <c r="AQ109" s="76" t="e">
        <f>N109</f>
        <v>#VALUE!</v>
      </c>
      <c r="AR109" s="76" t="e">
        <f>IF(OR(AB109&lt;=0,AB110&lt;=0),1/0,AB109)</f>
        <v>#VALUE!</v>
      </c>
      <c r="AS109" s="76" t="e">
        <f>AM109</f>
        <v>#VALUE!</v>
      </c>
      <c r="AT109" t="e">
        <f>IFERROR(AP109,IFERROR(AQ109,IFERROR(AR109,AS109)))</f>
        <v>#VALUE!</v>
      </c>
      <c r="AU109" s="81"/>
    </row>
    <row r="110" spans="1:47" x14ac:dyDescent="0.25">
      <c r="A110" s="84">
        <f>A109+1</f>
        <v>17</v>
      </c>
      <c r="B110" s="84" t="str">
        <f t="shared" si="48"/>
        <v xml:space="preserve">  </v>
      </c>
      <c r="F110" s="82" t="e">
        <f>SUM(F107:F109)</f>
        <v>#VALUE!</v>
      </c>
      <c r="H110" s="82" t="e">
        <f>SUM(H107:H109)</f>
        <v>#VALUE!</v>
      </c>
      <c r="I110" s="84" t="str">
        <f>CONCATENATE("m'(",C109,")=")</f>
        <v>m'(  )=</v>
      </c>
      <c r="J110" s="84" t="e">
        <f>2*(J107*(WLS))/3*H110</f>
        <v>#VALUE!</v>
      </c>
      <c r="K110" s="84" t="e">
        <f>CONCATENATE("M(",C107,")=")</f>
        <v>#VALUE!</v>
      </c>
      <c r="L110" s="84" t="e">
        <f>VLOOKUP(C107,STN_TABLE,4,FALSE)</f>
        <v>#VALUE!</v>
      </c>
      <c r="M110" t="str">
        <f>CONCATENATE("M(",C109,")=")</f>
        <v>M(  )=</v>
      </c>
      <c r="N110" t="e">
        <f>J110+L110</f>
        <v>#VALUE!</v>
      </c>
      <c r="O110" s="99">
        <f>O109+1</f>
        <v>19</v>
      </c>
      <c r="P110" s="99" t="str">
        <f t="shared" si="44"/>
        <v xml:space="preserve">  </v>
      </c>
      <c r="T110" s="89" t="e">
        <f>SUM(T107:T109)</f>
        <v>#VALUE!</v>
      </c>
      <c r="V110" s="82" t="e">
        <f>SUM(V107:V109)</f>
        <v>#VALUE!</v>
      </c>
      <c r="W110" s="84" t="str">
        <f>CONCATENATE("m'(",Q108,")=")</f>
        <v>m'(  )=</v>
      </c>
      <c r="X110" s="84" t="e">
        <f>(2*(X107^2)/24*V110)+(X109*Q107*WLS)</f>
        <v>#VALUE!</v>
      </c>
      <c r="Y110" s="84" t="e">
        <f>CONCATENATE("M(",Q107,")=")</f>
        <v>#VALUE!</v>
      </c>
      <c r="Z110" s="84" t="e">
        <f>VLOOKUP(Q107,STN_TABLE,4,FALSE)</f>
        <v>#VALUE!</v>
      </c>
      <c r="AA110" t="str">
        <f>CONCATENATE("M(",Q108,")=")</f>
        <v>M(  )=</v>
      </c>
      <c r="AB110" t="e">
        <f>X110+Z110</f>
        <v>#VALUE!</v>
      </c>
      <c r="AE110" s="89">
        <f>SUM(AE108:AE109)</f>
        <v>0</v>
      </c>
      <c r="AG110" s="89" t="e">
        <f>SUM(AG108:AG109)</f>
        <v>#VALUE!</v>
      </c>
      <c r="AH110" s="84" t="str">
        <f>CONCATENATE("m'(",AD109,")=")</f>
        <v>m'(  )=</v>
      </c>
      <c r="AI110" s="84" t="e">
        <f>(2*(AI107^2)/6*AG110)+(AI109*AD108*WLS)</f>
        <v>#VALUE!</v>
      </c>
      <c r="AJ110" s="84" t="str">
        <f>CONCATENATE("M(",AD108,")=")</f>
        <v>M(  )=</v>
      </c>
      <c r="AK110" s="84" t="str">
        <f>VLOOKUP(AD108,STN_TABLE,4,FALSE)</f>
        <v xml:space="preserve"> </v>
      </c>
      <c r="AL110" t="str">
        <f>CONCATENATE("M(",AD109,")=")</f>
        <v>M(  )=</v>
      </c>
      <c r="AM110" t="e">
        <f>AI110+AK110</f>
        <v>#VALUE!</v>
      </c>
      <c r="AO110" s="82" t="str">
        <f>AA110</f>
        <v>M(  )=</v>
      </c>
      <c r="AP110" s="82" t="e">
        <f>VLOOKUP(AO110,Rise_Results,2,FALSE)</f>
        <v>#N/A</v>
      </c>
      <c r="AQ110" s="82" t="e">
        <f>N110</f>
        <v>#VALUE!</v>
      </c>
      <c r="AR110" s="82" t="e">
        <f>IF(OR(AB109&lt;=0,AB110&lt;=0),1/0,AB110)</f>
        <v>#VALUE!</v>
      </c>
      <c r="AS110" s="82" t="e">
        <f>AM110</f>
        <v>#VALUE!</v>
      </c>
      <c r="AT110" t="e">
        <f>IFERROR(AP110,IFERROR(AQ110,IFERROR(AR110,AS110)))</f>
        <v>#VALUE!</v>
      </c>
      <c r="AU110" s="81"/>
    </row>
    <row r="111" spans="1:47" x14ac:dyDescent="0.25">
      <c r="A111" s="101">
        <f>A106+1</f>
        <v>14</v>
      </c>
      <c r="B111" s="101" t="str">
        <f t="shared" si="48"/>
        <v xml:space="preserve">  </v>
      </c>
      <c r="O111" s="101">
        <f>O106+1</f>
        <v>16</v>
      </c>
      <c r="P111" s="101" t="str">
        <f t="shared" si="44"/>
        <v xml:space="preserve">  </v>
      </c>
      <c r="AU111" s="81"/>
    </row>
    <row r="112" spans="1:47" x14ac:dyDescent="0.25">
      <c r="A112" s="84">
        <f>A111+1</f>
        <v>15</v>
      </c>
      <c r="B112" s="84" t="str">
        <f t="shared" si="48"/>
        <v xml:space="preserve">  </v>
      </c>
      <c r="C112" s="79" t="e">
        <f t="shared" ref="C112" si="52">IF(C113=B114,IF(C114-C113=C113-B113,B113,IF(C114-C113=C113-B112,B112,"#NA")),IF(C113=B113,IF(C114-C113=C113-B112,B112,IF(C114-C113=C113-B111,B111,"#NA")),"#NA"))</f>
        <v>#VALUE!</v>
      </c>
      <c r="D112" s="68" t="e">
        <f>VLOOKUP(C112,STN_TABLE,2,FALSE)</f>
        <v>#VALUE!</v>
      </c>
      <c r="E112" s="102">
        <v>1</v>
      </c>
      <c r="F112" s="68" t="e">
        <f>D112*E112</f>
        <v>#VALUE!</v>
      </c>
      <c r="G112" s="69" t="e">
        <f>C112</f>
        <v>#VALUE!</v>
      </c>
      <c r="H112" s="69" t="e">
        <f>F112*G112</f>
        <v>#VALUE!</v>
      </c>
      <c r="I112" s="6" t="s">
        <v>93</v>
      </c>
      <c r="J112" s="70" t="e">
        <f>IF(OR(D112=0,D113=0,D114=0),"#NA",IF(AND(C114-C113=C113-C112,C113&lt;&gt;C114,C112&lt;&gt;C113,C112&lt;&gt;C114,D114&lt;&gt;0,OR(D112&lt;&gt;0,D113&lt;&gt;0)),WLS*(C114-C113),"#NA"))</f>
        <v>#VALUE!</v>
      </c>
      <c r="O112" s="99">
        <f>O111+1</f>
        <v>17</v>
      </c>
      <c r="P112" s="99" t="str">
        <f t="shared" si="44"/>
        <v xml:space="preserve">  </v>
      </c>
      <c r="Q112" s="68" t="e">
        <f>IF(OR(P114-P113=P113-P112,P115-P113=P113-P112),P112,IF(OR(P114-P113=P113-P111,P115-P113=P113-P111),P111,"-"))</f>
        <v>#VALUE!</v>
      </c>
      <c r="R112" s="69" t="e">
        <f>VLOOKUP(Q112,STN_TABLE,2,FALSE)</f>
        <v>#VALUE!</v>
      </c>
      <c r="S112" s="69">
        <v>5</v>
      </c>
      <c r="T112" s="68" t="e">
        <f>R112*S112</f>
        <v>#VALUE!</v>
      </c>
      <c r="U112" s="79">
        <v>3</v>
      </c>
      <c r="V112" s="68" t="e">
        <f>R112*U112</f>
        <v>#VALUE!</v>
      </c>
      <c r="W112" s="6" t="s">
        <v>93</v>
      </c>
      <c r="X112" s="70" t="e">
        <f>IF(AND(Q114-Q113=Q113-Q112,NOT(AND(Q112=0,Q113=0)),NOT(AND(Q113=0,Q114=0))),WLS*(Q114-Q113),"#NA")</f>
        <v>#VALUE!</v>
      </c>
      <c r="AD112" s="93"/>
      <c r="AH112" s="6" t="s">
        <v>93</v>
      </c>
      <c r="AI112" s="70" t="e">
        <f>WLS*(AD114-AD113)</f>
        <v>#VALUE!</v>
      </c>
      <c r="AU112" s="81"/>
    </row>
    <row r="113" spans="1:47" x14ac:dyDescent="0.25">
      <c r="A113" s="84">
        <f>A112+1</f>
        <v>16</v>
      </c>
      <c r="B113" s="84" t="str">
        <f t="shared" si="48"/>
        <v xml:space="preserve">  </v>
      </c>
      <c r="C113" s="80" t="e">
        <f t="shared" ref="C113" si="53">IF(OR(B115-B114=B114-B113,B115-B114=B114-B112,B115-B114=B114-B111),B114,IF(OR(B115-B113=B113-B112,B115-B113=B113-B111),B113,IF(B115-B112=B112-B111,B112,"#NA")))</f>
        <v>#VALUE!</v>
      </c>
      <c r="D113" s="76" t="e">
        <f>VLOOKUP(C113,STN_TABLE,2,FALSE)</f>
        <v>#VALUE!</v>
      </c>
      <c r="E113" s="81">
        <v>4</v>
      </c>
      <c r="F113" s="76" t="e">
        <f>D113*E113</f>
        <v>#VALUE!</v>
      </c>
      <c r="G113" s="77" t="e">
        <f>C113</f>
        <v>#VALUE!</v>
      </c>
      <c r="H113" s="77" t="e">
        <f>F113*G113</f>
        <v>#VALUE!</v>
      </c>
      <c r="I113" s="495" t="s">
        <v>97</v>
      </c>
      <c r="J113" s="496"/>
      <c r="K113" s="78" t="s">
        <v>98</v>
      </c>
      <c r="L113" s="78"/>
      <c r="M113" s="7" t="s">
        <v>99</v>
      </c>
      <c r="N113" s="7"/>
      <c r="O113" s="99">
        <f>O112+1</f>
        <v>18</v>
      </c>
      <c r="P113" s="99" t="str">
        <f t="shared" si="44"/>
        <v xml:space="preserve">  </v>
      </c>
      <c r="Q113" s="76" t="str">
        <f>P113</f>
        <v xml:space="preserve">  </v>
      </c>
      <c r="R113" s="77" t="str">
        <f>VLOOKUP(Q113,STN_TABLE,2,FALSE)</f>
        <v xml:space="preserve">  </v>
      </c>
      <c r="S113" s="77">
        <v>8</v>
      </c>
      <c r="T113" s="76" t="e">
        <f>R113*S113</f>
        <v>#VALUE!</v>
      </c>
      <c r="U113" s="80">
        <v>10</v>
      </c>
      <c r="V113" s="76" t="e">
        <f>R113*U113</f>
        <v>#VALUE!</v>
      </c>
      <c r="W113" s="496" t="s">
        <v>97</v>
      </c>
      <c r="X113" s="496"/>
      <c r="Y113" s="496" t="s">
        <v>98</v>
      </c>
      <c r="Z113" s="496"/>
      <c r="AA113" s="494" t="s">
        <v>99</v>
      </c>
      <c r="AB113" s="494"/>
      <c r="AC113" s="99">
        <f>AC108+1</f>
        <v>17</v>
      </c>
      <c r="AD113" s="95" t="str">
        <f>VLOOKUP(AC113,STN_TABLE_2,2,FALSE)</f>
        <v xml:space="preserve">  </v>
      </c>
      <c r="AE113" s="68" t="str">
        <f>VLOOKUP(AD113,STN_TABLE,2,FALSE)</f>
        <v xml:space="preserve">  </v>
      </c>
      <c r="AF113" s="68">
        <v>1</v>
      </c>
      <c r="AG113" s="69" t="e">
        <f>AE113*AF113</f>
        <v>#VALUE!</v>
      </c>
      <c r="AH113" s="496" t="s">
        <v>97</v>
      </c>
      <c r="AI113" s="496"/>
      <c r="AJ113" s="496" t="s">
        <v>98</v>
      </c>
      <c r="AK113" s="496"/>
      <c r="AL113" s="494" t="s">
        <v>99</v>
      </c>
      <c r="AM113" s="494"/>
      <c r="AP113" s="86" t="s">
        <v>112</v>
      </c>
      <c r="AQ113" s="89" t="s">
        <v>113</v>
      </c>
      <c r="AR113" s="89" t="s">
        <v>114</v>
      </c>
      <c r="AS113" s="89" t="s">
        <v>115</v>
      </c>
      <c r="AU113" s="81"/>
    </row>
    <row r="114" spans="1:47" x14ac:dyDescent="0.25">
      <c r="A114" s="84">
        <f>A113+1</f>
        <v>17</v>
      </c>
      <c r="B114" s="84" t="str">
        <f t="shared" si="48"/>
        <v xml:space="preserve">  </v>
      </c>
      <c r="C114" s="88" t="str">
        <f t="shared" ref="C114" si="54">B115</f>
        <v xml:space="preserve">  </v>
      </c>
      <c r="D114" s="82" t="str">
        <f>VLOOKUP(C114,STN_TABLE,2,FALSE)</f>
        <v xml:space="preserve">  </v>
      </c>
      <c r="E114" s="92">
        <v>1</v>
      </c>
      <c r="F114" s="82" t="e">
        <f>D114*E114</f>
        <v>#VALUE!</v>
      </c>
      <c r="G114" s="83" t="str">
        <f>C114</f>
        <v xml:space="preserve">  </v>
      </c>
      <c r="H114" s="83" t="e">
        <f>F114*G114</f>
        <v>#VALUE!</v>
      </c>
      <c r="I114" s="84" t="str">
        <f>CONCATENATE("a'(",C114,")=")</f>
        <v>a'(  )=</v>
      </c>
      <c r="J114" s="84" t="e">
        <f>2*J112/3*F115</f>
        <v>#VALUE!</v>
      </c>
      <c r="K114" s="84" t="e">
        <f>CONCATENATE("A(",C112,")=")</f>
        <v>#VALUE!</v>
      </c>
      <c r="L114" s="84" t="e">
        <f>VLOOKUP(C112,STN_TABLE,3,FALSE)</f>
        <v>#VALUE!</v>
      </c>
      <c r="M114" t="str">
        <f>CONCATENATE("A(",C114,")=")</f>
        <v>A(  )=</v>
      </c>
      <c r="N114" t="e">
        <f>J114+L114</f>
        <v>#VALUE!</v>
      </c>
      <c r="O114" s="99">
        <f>O113+1</f>
        <v>19</v>
      </c>
      <c r="P114" s="99" t="str">
        <f t="shared" si="44"/>
        <v xml:space="preserve">  </v>
      </c>
      <c r="Q114" s="82" t="e">
        <f>IF(P114-P113=P113-P112,P114,IF(P115-P113=P113-P112,P115,IF(P114-P113=P113-P111,P114,IF(P115-P113=P113-P111,P115,"-"))))</f>
        <v>#VALUE!</v>
      </c>
      <c r="R114" s="83" t="e">
        <f>VLOOKUP(Q114,STN_TABLE,2,FALSE)</f>
        <v>#VALUE!</v>
      </c>
      <c r="S114" s="83">
        <v>-1</v>
      </c>
      <c r="T114" s="82" t="e">
        <f>R114*S114</f>
        <v>#VALUE!</v>
      </c>
      <c r="U114" s="88">
        <v>-1</v>
      </c>
      <c r="V114" s="82" t="e">
        <f>R114*U114</f>
        <v>#VALUE!</v>
      </c>
      <c r="W114" s="84" t="str">
        <f>CONCATENATE("a'(",Q113,")=")</f>
        <v>a'(  )=</v>
      </c>
      <c r="X114" s="84" t="e">
        <f>2*X112/12*T115</f>
        <v>#VALUE!</v>
      </c>
      <c r="Y114" s="84" t="e">
        <f>CONCATENATE("A(",Q112,")=")</f>
        <v>#VALUE!</v>
      </c>
      <c r="Z114" s="84" t="e">
        <f>VLOOKUP(Q112,STN_TABLE,3,FALSE)</f>
        <v>#VALUE!</v>
      </c>
      <c r="AA114" t="str">
        <f>CONCATENATE("A(",Q113,")=")</f>
        <v>A(  )=</v>
      </c>
      <c r="AB114" t="e">
        <f>X114+Z114</f>
        <v>#VALUE!</v>
      </c>
      <c r="AC114" s="99">
        <f>AC113+1</f>
        <v>18</v>
      </c>
      <c r="AD114" s="100" t="str">
        <f>VLOOKUP(AC114,STN_TABLE_2,2,FALSE)</f>
        <v xml:space="preserve">  </v>
      </c>
      <c r="AE114" s="82" t="str">
        <f>VLOOKUP(AD114,STN_TABLE,2,FALSE)</f>
        <v xml:space="preserve">  </v>
      </c>
      <c r="AF114" s="82">
        <v>2</v>
      </c>
      <c r="AG114" s="83" t="e">
        <f>AE114*AF114</f>
        <v>#VALUE!</v>
      </c>
      <c r="AH114" s="84" t="str">
        <f>CONCATENATE("a'(",AD114,")=")</f>
        <v>a'(  )=</v>
      </c>
      <c r="AI114" s="84" t="e">
        <f>2*AI112/2*AE115</f>
        <v>#VALUE!</v>
      </c>
      <c r="AJ114" s="84" t="str">
        <f>CONCATENATE("A(",AD113,")=")</f>
        <v>A(  )=</v>
      </c>
      <c r="AK114" s="84" t="str">
        <f>VLOOKUP(AD113,STN_TABLE,3,FALSE)</f>
        <v xml:space="preserve"> </v>
      </c>
      <c r="AL114" t="str">
        <f>CONCATENATE("A(",AD114,")=")</f>
        <v>A(  )=</v>
      </c>
      <c r="AM114" t="e">
        <f>AI114+AK114</f>
        <v>#VALUE!</v>
      </c>
      <c r="AO114" s="68" t="str">
        <f>AA114</f>
        <v>A(  )=</v>
      </c>
      <c r="AP114" s="68" t="e">
        <f>VLOOKUP(AO114,Rise_Results,2,FALSE)</f>
        <v>#N/A</v>
      </c>
      <c r="AQ114" s="76" t="e">
        <f>N114</f>
        <v>#VALUE!</v>
      </c>
      <c r="AR114" s="76" t="e">
        <f>IF(OR(AB114&lt;=0,AB115&lt;=0),1/0,AB114)</f>
        <v>#VALUE!</v>
      </c>
      <c r="AS114" s="76" t="e">
        <f>AM114</f>
        <v>#VALUE!</v>
      </c>
      <c r="AT114" t="e">
        <f>IFERROR(AP114,IFERROR(AQ114,IFERROR(AR114,AS114)))</f>
        <v>#VALUE!</v>
      </c>
      <c r="AU114" s="81"/>
    </row>
    <row r="115" spans="1:47" x14ac:dyDescent="0.25">
      <c r="A115" s="84">
        <f>A114+1</f>
        <v>18</v>
      </c>
      <c r="B115" s="84" t="str">
        <f t="shared" si="48"/>
        <v xml:space="preserve">  </v>
      </c>
      <c r="F115" s="82" t="e">
        <f>SUM(F112:F114)</f>
        <v>#VALUE!</v>
      </c>
      <c r="H115" s="82" t="e">
        <f>SUM(H112:H114)</f>
        <v>#VALUE!</v>
      </c>
      <c r="I115" s="84" t="str">
        <f>CONCATENATE("m'(",C114,")=")</f>
        <v>m'(  )=</v>
      </c>
      <c r="J115" s="84" t="e">
        <f>2*(J112*(WLS))/3*H115</f>
        <v>#VALUE!</v>
      </c>
      <c r="K115" s="84" t="e">
        <f>CONCATENATE("M(",C112,")=")</f>
        <v>#VALUE!</v>
      </c>
      <c r="L115" s="84" t="e">
        <f>VLOOKUP(C112,STN_TABLE,4,FALSE)</f>
        <v>#VALUE!</v>
      </c>
      <c r="M115" t="str">
        <f>CONCATENATE("M(",C114,")=")</f>
        <v>M(  )=</v>
      </c>
      <c r="N115" t="e">
        <f>J115+L115</f>
        <v>#VALUE!</v>
      </c>
      <c r="O115" s="99">
        <f>O114+1</f>
        <v>20</v>
      </c>
      <c r="P115" s="99" t="str">
        <f t="shared" si="44"/>
        <v xml:space="preserve">  </v>
      </c>
      <c r="T115" s="89" t="e">
        <f>SUM(T112:T114)</f>
        <v>#VALUE!</v>
      </c>
      <c r="V115" s="82" t="e">
        <f>SUM(V112:V114)</f>
        <v>#VALUE!</v>
      </c>
      <c r="W115" s="84" t="str">
        <f>CONCATENATE("m'(",Q113,")=")</f>
        <v>m'(  )=</v>
      </c>
      <c r="X115" s="84" t="e">
        <f>(2*(X112^2)/24*V115)+(X114*Q112*WLS)</f>
        <v>#VALUE!</v>
      </c>
      <c r="Y115" s="84" t="e">
        <f>CONCATENATE("M(",Q112,")=")</f>
        <v>#VALUE!</v>
      </c>
      <c r="Z115" s="84" t="e">
        <f>VLOOKUP(Q112,STN_TABLE,4,FALSE)</f>
        <v>#VALUE!</v>
      </c>
      <c r="AA115" t="str">
        <f>CONCATENATE("M(",Q113,")=")</f>
        <v>M(  )=</v>
      </c>
      <c r="AB115" t="e">
        <f>X115+Z115</f>
        <v>#VALUE!</v>
      </c>
      <c r="AE115" s="89">
        <f>SUM(AE113:AE114)</f>
        <v>0</v>
      </c>
      <c r="AG115" s="89" t="e">
        <f>SUM(AG113:AG114)</f>
        <v>#VALUE!</v>
      </c>
      <c r="AH115" s="84" t="str">
        <f>CONCATENATE("m'(",AD114,")=")</f>
        <v>m'(  )=</v>
      </c>
      <c r="AI115" s="84" t="e">
        <f>(2*(AI112^2)/6*AG115)+(AI114*AD113*WLS)</f>
        <v>#VALUE!</v>
      </c>
      <c r="AJ115" s="84" t="str">
        <f>CONCATENATE("M(",AD113,")=")</f>
        <v>M(  )=</v>
      </c>
      <c r="AK115" s="84" t="str">
        <f>VLOOKUP(AD113,STN_TABLE,4,FALSE)</f>
        <v xml:space="preserve"> </v>
      </c>
      <c r="AL115" t="str">
        <f>CONCATENATE("M(",AD114,")=")</f>
        <v>M(  )=</v>
      </c>
      <c r="AM115" t="e">
        <f>AI115+AK115</f>
        <v>#VALUE!</v>
      </c>
      <c r="AO115" s="82" t="str">
        <f>AA115</f>
        <v>M(  )=</v>
      </c>
      <c r="AP115" s="82" t="e">
        <f>VLOOKUP(AO115,Rise_Results,2,FALSE)</f>
        <v>#N/A</v>
      </c>
      <c r="AQ115" s="82" t="e">
        <f>N115</f>
        <v>#VALUE!</v>
      </c>
      <c r="AR115" s="82" t="e">
        <f>IF(OR(AB114&lt;=0,AB115&lt;=0),1/0,AB115)</f>
        <v>#VALUE!</v>
      </c>
      <c r="AS115" s="82" t="e">
        <f>AM115</f>
        <v>#VALUE!</v>
      </c>
      <c r="AT115" t="e">
        <f>IFERROR(AP115,IFERROR(AQ115,IFERROR(AR115,AS115)))</f>
        <v>#VALUE!</v>
      </c>
      <c r="AU115" s="81"/>
    </row>
    <row r="116" spans="1:47" x14ac:dyDescent="0.25">
      <c r="A116" s="101">
        <f>A111+1</f>
        <v>15</v>
      </c>
      <c r="B116" s="101" t="str">
        <f t="shared" si="48"/>
        <v xml:space="preserve">  </v>
      </c>
      <c r="O116" s="101">
        <f>O111+1</f>
        <v>17</v>
      </c>
      <c r="P116" s="101" t="str">
        <f t="shared" si="44"/>
        <v xml:space="preserve">  </v>
      </c>
      <c r="AU116" s="81"/>
    </row>
    <row r="117" spans="1:47" x14ac:dyDescent="0.25">
      <c r="A117" s="84">
        <f>A116+1</f>
        <v>16</v>
      </c>
      <c r="B117" s="84" t="str">
        <f t="shared" si="48"/>
        <v xml:space="preserve">  </v>
      </c>
      <c r="C117" s="79" t="e">
        <f t="shared" ref="C117" si="55">IF(C118=B119,IF(C119-C118=C118-B118,B118,IF(C119-C118=C118-B117,B117,"#NA")),IF(C118=B118,IF(C119-C118=C118-B117,B117,IF(C119-C118=C118-B116,B116,"#NA")),"#NA"))</f>
        <v>#VALUE!</v>
      </c>
      <c r="D117" s="68" t="e">
        <f>VLOOKUP(C117,STN_TABLE,2,FALSE)</f>
        <v>#VALUE!</v>
      </c>
      <c r="E117" s="102">
        <v>1</v>
      </c>
      <c r="F117" s="68" t="e">
        <f>D117*E117</f>
        <v>#VALUE!</v>
      </c>
      <c r="G117" s="69" t="e">
        <f>C117</f>
        <v>#VALUE!</v>
      </c>
      <c r="H117" s="69" t="e">
        <f>F117*G117</f>
        <v>#VALUE!</v>
      </c>
      <c r="I117" s="6" t="s">
        <v>93</v>
      </c>
      <c r="J117" s="70" t="e">
        <f>IF(OR(D117=0,D118=0,D119=0),"#NA",IF(AND(C119-C118=C118-C117,C118&lt;&gt;C119,C117&lt;&gt;C118,C117&lt;&gt;C119,D119&lt;&gt;0,OR(D117&lt;&gt;0,D118&lt;&gt;0)),WLS*(C119-C118),"#NA"))</f>
        <v>#VALUE!</v>
      </c>
      <c r="O117" s="99">
        <f>O116+1</f>
        <v>18</v>
      </c>
      <c r="P117" s="99" t="str">
        <f t="shared" si="44"/>
        <v xml:space="preserve">  </v>
      </c>
      <c r="Q117" s="68" t="e">
        <f>IF(OR(P119-P118=P118-P117,P120-P118=P118-P117),P117,IF(OR(P119-P118=P118-P116,P120-P118=P118-P116),P116,"-"))</f>
        <v>#VALUE!</v>
      </c>
      <c r="R117" s="69" t="e">
        <f>VLOOKUP(Q117,STN_TABLE,2,FALSE)</f>
        <v>#VALUE!</v>
      </c>
      <c r="S117" s="69">
        <v>5</v>
      </c>
      <c r="T117" s="68" t="e">
        <f>R117*S117</f>
        <v>#VALUE!</v>
      </c>
      <c r="U117" s="79">
        <v>3</v>
      </c>
      <c r="V117" s="68" t="e">
        <f>R117*U117</f>
        <v>#VALUE!</v>
      </c>
      <c r="W117" s="6" t="s">
        <v>93</v>
      </c>
      <c r="X117" s="70" t="e">
        <f>IF(AND(Q119-Q118=Q118-Q117,NOT(AND(Q117=0,Q118=0)),NOT(AND(Q118=0,Q119=0))),WLS*(Q119-Q118),"#NA")</f>
        <v>#VALUE!</v>
      </c>
      <c r="AD117" s="93"/>
      <c r="AH117" s="6" t="s">
        <v>93</v>
      </c>
      <c r="AI117" s="70" t="e">
        <f>WLS*(AD119-AD118)</f>
        <v>#VALUE!</v>
      </c>
      <c r="AU117" s="81"/>
    </row>
    <row r="118" spans="1:47" x14ac:dyDescent="0.25">
      <c r="A118" s="84">
        <f>A117+1</f>
        <v>17</v>
      </c>
      <c r="B118" s="84" t="str">
        <f t="shared" si="48"/>
        <v xml:space="preserve">  </v>
      </c>
      <c r="C118" s="80" t="e">
        <f t="shared" ref="C118" si="56">IF(OR(B120-B119=B119-B118,B120-B119=B119-B117,B120-B119=B119-B116),B119,IF(OR(B120-B118=B118-B117,B120-B118=B118-B116),B118,IF(B120-B117=B117-B116,B117,"#NA")))</f>
        <v>#VALUE!</v>
      </c>
      <c r="D118" s="76" t="e">
        <f>VLOOKUP(C118,STN_TABLE,2,FALSE)</f>
        <v>#VALUE!</v>
      </c>
      <c r="E118" s="81">
        <v>4</v>
      </c>
      <c r="F118" s="76" t="e">
        <f>D118*E118</f>
        <v>#VALUE!</v>
      </c>
      <c r="G118" s="77" t="e">
        <f>C118</f>
        <v>#VALUE!</v>
      </c>
      <c r="H118" s="77" t="e">
        <f>F118*G118</f>
        <v>#VALUE!</v>
      </c>
      <c r="I118" s="495" t="s">
        <v>97</v>
      </c>
      <c r="J118" s="496"/>
      <c r="K118" s="78" t="s">
        <v>98</v>
      </c>
      <c r="L118" s="78"/>
      <c r="M118" s="7" t="s">
        <v>99</v>
      </c>
      <c r="N118" s="7"/>
      <c r="O118" s="99">
        <f>O117+1</f>
        <v>19</v>
      </c>
      <c r="P118" s="99" t="str">
        <f t="shared" si="44"/>
        <v xml:space="preserve">  </v>
      </c>
      <c r="Q118" s="76" t="str">
        <f>P118</f>
        <v xml:space="preserve">  </v>
      </c>
      <c r="R118" s="77" t="str">
        <f>VLOOKUP(Q118,STN_TABLE,2,FALSE)</f>
        <v xml:space="preserve">  </v>
      </c>
      <c r="S118" s="77">
        <v>8</v>
      </c>
      <c r="T118" s="76" t="e">
        <f>R118*S118</f>
        <v>#VALUE!</v>
      </c>
      <c r="U118" s="80">
        <v>10</v>
      </c>
      <c r="V118" s="76" t="e">
        <f>R118*U118</f>
        <v>#VALUE!</v>
      </c>
      <c r="W118" s="496" t="s">
        <v>97</v>
      </c>
      <c r="X118" s="496"/>
      <c r="Y118" s="496" t="s">
        <v>98</v>
      </c>
      <c r="Z118" s="496"/>
      <c r="AA118" s="494" t="s">
        <v>99</v>
      </c>
      <c r="AB118" s="494"/>
      <c r="AC118" s="99">
        <f>AC113+1</f>
        <v>18</v>
      </c>
      <c r="AD118" s="95" t="str">
        <f>VLOOKUP(AC118,STN_TABLE_2,2,FALSE)</f>
        <v xml:space="preserve">  </v>
      </c>
      <c r="AE118" s="68" t="str">
        <f>VLOOKUP(AD118,STN_TABLE,2,FALSE)</f>
        <v xml:space="preserve">  </v>
      </c>
      <c r="AF118" s="68">
        <v>1</v>
      </c>
      <c r="AG118" s="69" t="e">
        <f>AE118*AF118</f>
        <v>#VALUE!</v>
      </c>
      <c r="AH118" s="496" t="s">
        <v>97</v>
      </c>
      <c r="AI118" s="496"/>
      <c r="AJ118" s="496" t="s">
        <v>98</v>
      </c>
      <c r="AK118" s="496"/>
      <c r="AL118" s="494" t="s">
        <v>99</v>
      </c>
      <c r="AM118" s="494"/>
      <c r="AP118" s="86" t="s">
        <v>112</v>
      </c>
      <c r="AQ118" s="89" t="s">
        <v>113</v>
      </c>
      <c r="AR118" s="89" t="s">
        <v>114</v>
      </c>
      <c r="AS118" s="89" t="s">
        <v>115</v>
      </c>
      <c r="AU118" s="81"/>
    </row>
    <row r="119" spans="1:47" x14ac:dyDescent="0.25">
      <c r="A119" s="84">
        <f>A118+1</f>
        <v>18</v>
      </c>
      <c r="B119" s="84" t="str">
        <f t="shared" si="48"/>
        <v xml:space="preserve">  </v>
      </c>
      <c r="C119" s="88" t="str">
        <f t="shared" ref="C119" si="57">B120</f>
        <v xml:space="preserve">  </v>
      </c>
      <c r="D119" s="82" t="str">
        <f>VLOOKUP(C119,STN_TABLE,2,FALSE)</f>
        <v xml:space="preserve">  </v>
      </c>
      <c r="E119" s="92">
        <v>1</v>
      </c>
      <c r="F119" s="82" t="e">
        <f>D119*E119</f>
        <v>#VALUE!</v>
      </c>
      <c r="G119" s="83" t="str">
        <f>C119</f>
        <v xml:space="preserve">  </v>
      </c>
      <c r="H119" s="83" t="e">
        <f>F119*G119</f>
        <v>#VALUE!</v>
      </c>
      <c r="I119" s="84" t="str">
        <f>CONCATENATE("a'(",C119,")=")</f>
        <v>a'(  )=</v>
      </c>
      <c r="J119" s="84" t="e">
        <f>2*J117/3*F120</f>
        <v>#VALUE!</v>
      </c>
      <c r="K119" s="84" t="e">
        <f>CONCATENATE("A(",C117,")=")</f>
        <v>#VALUE!</v>
      </c>
      <c r="L119" s="84" t="e">
        <f>VLOOKUP(C117,STN_TABLE,3,FALSE)</f>
        <v>#VALUE!</v>
      </c>
      <c r="M119" t="str">
        <f>CONCATENATE("A(",C119,")=")</f>
        <v>A(  )=</v>
      </c>
      <c r="N119" t="e">
        <f>J119+L119</f>
        <v>#VALUE!</v>
      </c>
      <c r="O119" s="99">
        <f>O118+1</f>
        <v>20</v>
      </c>
      <c r="P119" s="99" t="str">
        <f t="shared" si="44"/>
        <v xml:space="preserve">  </v>
      </c>
      <c r="Q119" s="82" t="e">
        <f>IF(P119-P118=P118-P117,P119,IF(P120-P118=P118-P117,P120,IF(P119-P118=P118-P116,P119,IF(P120-P118=P118-P116,P120,"-"))))</f>
        <v>#VALUE!</v>
      </c>
      <c r="R119" s="83" t="e">
        <f>VLOOKUP(Q119,STN_TABLE,2,FALSE)</f>
        <v>#VALUE!</v>
      </c>
      <c r="S119" s="83">
        <v>-1</v>
      </c>
      <c r="T119" s="82" t="e">
        <f>R119*S119</f>
        <v>#VALUE!</v>
      </c>
      <c r="U119" s="88">
        <v>-1</v>
      </c>
      <c r="V119" s="82" t="e">
        <f>R119*U119</f>
        <v>#VALUE!</v>
      </c>
      <c r="W119" s="84" t="str">
        <f>CONCATENATE("a'(",Q118,")=")</f>
        <v>a'(  )=</v>
      </c>
      <c r="X119" s="84" t="e">
        <f>2*X117/12*T120</f>
        <v>#VALUE!</v>
      </c>
      <c r="Y119" s="84" t="e">
        <f>CONCATENATE("A(",Q117,")=")</f>
        <v>#VALUE!</v>
      </c>
      <c r="Z119" s="84" t="e">
        <f>VLOOKUP(Q117,STN_TABLE,3,FALSE)</f>
        <v>#VALUE!</v>
      </c>
      <c r="AA119" t="str">
        <f>CONCATENATE("A(",Q118,")=")</f>
        <v>A(  )=</v>
      </c>
      <c r="AB119" t="e">
        <f>X119+Z119</f>
        <v>#VALUE!</v>
      </c>
      <c r="AC119" s="99">
        <f>AC118+1</f>
        <v>19</v>
      </c>
      <c r="AD119" s="100" t="str">
        <f>VLOOKUP(AC119,STN_TABLE_2,2,FALSE)</f>
        <v xml:space="preserve">  </v>
      </c>
      <c r="AE119" s="82" t="str">
        <f>VLOOKUP(AD119,STN_TABLE,2,FALSE)</f>
        <v xml:space="preserve">  </v>
      </c>
      <c r="AF119" s="82">
        <v>2</v>
      </c>
      <c r="AG119" s="83" t="e">
        <f>AE119*AF119</f>
        <v>#VALUE!</v>
      </c>
      <c r="AH119" s="84" t="str">
        <f>CONCATENATE("a'(",AD119,")=")</f>
        <v>a'(  )=</v>
      </c>
      <c r="AI119" s="84" t="e">
        <f>2*AI117/2*AE120</f>
        <v>#VALUE!</v>
      </c>
      <c r="AJ119" s="84" t="str">
        <f>CONCATENATE("A(",AD118,")=")</f>
        <v>A(  )=</v>
      </c>
      <c r="AK119" s="84" t="str">
        <f>VLOOKUP(AD118,STN_TABLE,3,FALSE)</f>
        <v xml:space="preserve"> </v>
      </c>
      <c r="AL119" t="str">
        <f>CONCATENATE("A(",AD119,")=")</f>
        <v>A(  )=</v>
      </c>
      <c r="AM119" t="e">
        <f>AI119+AK119</f>
        <v>#VALUE!</v>
      </c>
      <c r="AO119" s="68" t="str">
        <f>AA119</f>
        <v>A(  )=</v>
      </c>
      <c r="AP119" s="68" t="e">
        <f>VLOOKUP(AO119,Rise_Results,2,FALSE)</f>
        <v>#N/A</v>
      </c>
      <c r="AQ119" s="76" t="e">
        <f>N119</f>
        <v>#VALUE!</v>
      </c>
      <c r="AR119" s="76" t="e">
        <f>IF(OR(AB119&lt;=0,AB120&lt;=0),1/0,AB119)</f>
        <v>#VALUE!</v>
      </c>
      <c r="AS119" s="76" t="e">
        <f>AM119</f>
        <v>#VALUE!</v>
      </c>
      <c r="AT119" t="e">
        <f>IFERROR(AP119,IFERROR(AQ119,IFERROR(AR119,AS119)))</f>
        <v>#VALUE!</v>
      </c>
      <c r="AU119" s="81"/>
    </row>
    <row r="120" spans="1:47" x14ac:dyDescent="0.25">
      <c r="A120" s="84">
        <f>A119+1</f>
        <v>19</v>
      </c>
      <c r="B120" s="84" t="str">
        <f t="shared" si="48"/>
        <v xml:space="preserve">  </v>
      </c>
      <c r="F120" s="82" t="e">
        <f>SUM(F117:F119)</f>
        <v>#VALUE!</v>
      </c>
      <c r="H120" s="82" t="e">
        <f>SUM(H117:H119)</f>
        <v>#VALUE!</v>
      </c>
      <c r="I120" s="84" t="str">
        <f>CONCATENATE("m'(",C119,")=")</f>
        <v>m'(  )=</v>
      </c>
      <c r="J120" s="84" t="e">
        <f>2*(J117*(WLS))/3*H120</f>
        <v>#VALUE!</v>
      </c>
      <c r="K120" s="84" t="e">
        <f>CONCATENATE("M(",C117,")=")</f>
        <v>#VALUE!</v>
      </c>
      <c r="L120" s="84" t="e">
        <f>VLOOKUP(C117,STN_TABLE,4,FALSE)</f>
        <v>#VALUE!</v>
      </c>
      <c r="M120" t="str">
        <f>CONCATENATE("M(",C119,")=")</f>
        <v>M(  )=</v>
      </c>
      <c r="N120" t="e">
        <f>J120+L120</f>
        <v>#VALUE!</v>
      </c>
      <c r="O120" s="99">
        <f>O119+1</f>
        <v>21</v>
      </c>
      <c r="P120" s="99" t="str">
        <f t="shared" si="44"/>
        <v xml:space="preserve">  </v>
      </c>
      <c r="T120" s="89" t="e">
        <f>SUM(T117:T119)</f>
        <v>#VALUE!</v>
      </c>
      <c r="V120" s="82" t="e">
        <f>SUM(V117:V119)</f>
        <v>#VALUE!</v>
      </c>
      <c r="W120" s="84" t="str">
        <f>CONCATENATE("m'(",Q118,")=")</f>
        <v>m'(  )=</v>
      </c>
      <c r="X120" s="84" t="e">
        <f>(2*(X117^2)/24*V120)+(X119*Q117*WLS)</f>
        <v>#VALUE!</v>
      </c>
      <c r="Y120" s="84" t="e">
        <f>CONCATENATE("M(",Q117,")=")</f>
        <v>#VALUE!</v>
      </c>
      <c r="Z120" s="84" t="e">
        <f>VLOOKUP(Q117,STN_TABLE,4,FALSE)</f>
        <v>#VALUE!</v>
      </c>
      <c r="AA120" t="str">
        <f>CONCATENATE("M(",Q118,")=")</f>
        <v>M(  )=</v>
      </c>
      <c r="AB120" t="e">
        <f>X120+Z120</f>
        <v>#VALUE!</v>
      </c>
      <c r="AE120" s="89">
        <f>SUM(AE118:AE119)</f>
        <v>0</v>
      </c>
      <c r="AG120" s="89" t="e">
        <f>SUM(AG118:AG119)</f>
        <v>#VALUE!</v>
      </c>
      <c r="AH120" s="84" t="str">
        <f>CONCATENATE("m'(",AD119,")=")</f>
        <v>m'(  )=</v>
      </c>
      <c r="AI120" s="84" t="e">
        <f>(2*(AI117^2)/6*AG120)+(AI119*AD118*WLS)</f>
        <v>#VALUE!</v>
      </c>
      <c r="AJ120" s="84" t="str">
        <f>CONCATENATE("M(",AD118,")=")</f>
        <v>M(  )=</v>
      </c>
      <c r="AK120" s="84" t="str">
        <f>VLOOKUP(AD118,STN_TABLE,4,FALSE)</f>
        <v xml:space="preserve"> </v>
      </c>
      <c r="AL120" t="str">
        <f>CONCATENATE("M(",AD119,")=")</f>
        <v>M(  )=</v>
      </c>
      <c r="AM120" t="e">
        <f>AI120+AK120</f>
        <v>#VALUE!</v>
      </c>
      <c r="AO120" s="82" t="str">
        <f>AA120</f>
        <v>M(  )=</v>
      </c>
      <c r="AP120" s="82" t="e">
        <f>VLOOKUP(AO120,Rise_Results,2,FALSE)</f>
        <v>#N/A</v>
      </c>
      <c r="AQ120" s="82" t="e">
        <f>N120</f>
        <v>#VALUE!</v>
      </c>
      <c r="AR120" s="82" t="e">
        <f>IF(OR(AB119&lt;=0,AB120&lt;=0),1/0,AB120)</f>
        <v>#VALUE!</v>
      </c>
      <c r="AS120" s="82" t="e">
        <f>AM120</f>
        <v>#VALUE!</v>
      </c>
      <c r="AT120" t="e">
        <f>IFERROR(AP120,IFERROR(AQ120,IFERROR(AR120,AS120)))</f>
        <v>#VALUE!</v>
      </c>
      <c r="AU120" s="81"/>
    </row>
    <row r="121" spans="1:47" x14ac:dyDescent="0.25">
      <c r="A121" s="101">
        <f>A116+1</f>
        <v>16</v>
      </c>
      <c r="B121" s="101" t="str">
        <f t="shared" si="48"/>
        <v xml:space="preserve">  </v>
      </c>
      <c r="O121" s="101">
        <f>O116+1</f>
        <v>18</v>
      </c>
      <c r="P121" s="101" t="str">
        <f t="shared" si="44"/>
        <v xml:space="preserve">  </v>
      </c>
      <c r="AU121" s="81"/>
    </row>
    <row r="122" spans="1:47" x14ac:dyDescent="0.25">
      <c r="A122" s="84">
        <f>A121+1</f>
        <v>17</v>
      </c>
      <c r="B122" s="84" t="str">
        <f t="shared" si="48"/>
        <v xml:space="preserve">  </v>
      </c>
      <c r="C122" s="79" t="e">
        <f t="shared" ref="C122" si="58">IF(C123=B124,IF(C124-C123=C123-B123,B123,IF(C124-C123=C123-B122,B122,"#NA")),IF(C123=B123,IF(C124-C123=C123-B122,B122,IF(C124-C123=C123-B121,B121,"#NA")),"#NA"))</f>
        <v>#VALUE!</v>
      </c>
      <c r="D122" s="68" t="e">
        <f>VLOOKUP(C122,STN_TABLE,2,FALSE)</f>
        <v>#VALUE!</v>
      </c>
      <c r="E122" s="102">
        <v>1</v>
      </c>
      <c r="F122" s="68" t="e">
        <f>D122*E122</f>
        <v>#VALUE!</v>
      </c>
      <c r="G122" s="69" t="e">
        <f>C122</f>
        <v>#VALUE!</v>
      </c>
      <c r="H122" s="69" t="e">
        <f>F122*G122</f>
        <v>#VALUE!</v>
      </c>
      <c r="I122" s="6" t="s">
        <v>93</v>
      </c>
      <c r="J122" s="70" t="e">
        <f>IF(OR(D122=0,D123=0,D124=0),"#NA",IF(AND(C124-C123=C123-C122,C123&lt;&gt;C124,C122&lt;&gt;C123,C122&lt;&gt;C124,D124&lt;&gt;0,OR(D122&lt;&gt;0,D123&lt;&gt;0)),WLS*(C124-C123),"#NA"))</f>
        <v>#VALUE!</v>
      </c>
      <c r="O122" s="99">
        <f>O121+1</f>
        <v>19</v>
      </c>
      <c r="P122" s="99" t="str">
        <f t="shared" si="44"/>
        <v xml:space="preserve">  </v>
      </c>
      <c r="Q122" s="68" t="e">
        <f>IF(OR(P124-P123=P123-P122,P125-P123=P123-P122),P122,IF(OR(P124-P123=P123-P121,P125-P123=P123-P121),P121,"-"))</f>
        <v>#VALUE!</v>
      </c>
      <c r="R122" s="69" t="e">
        <f>VLOOKUP(Q122,STN_TABLE,2,FALSE)</f>
        <v>#VALUE!</v>
      </c>
      <c r="S122" s="69">
        <v>5</v>
      </c>
      <c r="T122" s="68" t="e">
        <f>R122*S122</f>
        <v>#VALUE!</v>
      </c>
      <c r="U122" s="79">
        <v>3</v>
      </c>
      <c r="V122" s="68" t="e">
        <f>R122*U122</f>
        <v>#VALUE!</v>
      </c>
      <c r="W122" s="6" t="s">
        <v>93</v>
      </c>
      <c r="X122" s="70" t="e">
        <f>IF(AND(Q124-Q123=Q123-Q122,NOT(AND(Q122=0,Q123=0)),NOT(AND(Q123=0,Q124=0))),WLS*(Q124-Q123),"#NA")</f>
        <v>#VALUE!</v>
      </c>
      <c r="AD122" s="93"/>
      <c r="AH122" s="6" t="s">
        <v>93</v>
      </c>
      <c r="AI122" s="70" t="e">
        <f>WLS*(AD124-AD123)</f>
        <v>#VALUE!</v>
      </c>
      <c r="AU122" s="81"/>
    </row>
    <row r="123" spans="1:47" x14ac:dyDescent="0.25">
      <c r="A123" s="84">
        <f>A122+1</f>
        <v>18</v>
      </c>
      <c r="B123" s="84" t="str">
        <f t="shared" si="48"/>
        <v xml:space="preserve">  </v>
      </c>
      <c r="C123" s="80" t="e">
        <f t="shared" ref="C123" si="59">IF(OR(B125-B124=B124-B123,B125-B124=B124-B122,B125-B124=B124-B121),B124,IF(OR(B125-B123=B123-B122,B125-B123=B123-B121),B123,IF(B125-B122=B122-B121,B122,"#NA")))</f>
        <v>#VALUE!</v>
      </c>
      <c r="D123" s="76" t="e">
        <f>VLOOKUP(C123,STN_TABLE,2,FALSE)</f>
        <v>#VALUE!</v>
      </c>
      <c r="E123" s="81">
        <v>4</v>
      </c>
      <c r="F123" s="76" t="e">
        <f>D123*E123</f>
        <v>#VALUE!</v>
      </c>
      <c r="G123" s="77" t="e">
        <f>C123</f>
        <v>#VALUE!</v>
      </c>
      <c r="H123" s="77" t="e">
        <f>F123*G123</f>
        <v>#VALUE!</v>
      </c>
      <c r="I123" s="495" t="s">
        <v>97</v>
      </c>
      <c r="J123" s="496"/>
      <c r="K123" s="78" t="s">
        <v>98</v>
      </c>
      <c r="L123" s="78"/>
      <c r="M123" s="7" t="s">
        <v>99</v>
      </c>
      <c r="N123" s="7"/>
      <c r="O123" s="99">
        <f>O122+1</f>
        <v>20</v>
      </c>
      <c r="P123" s="99" t="str">
        <f t="shared" si="44"/>
        <v xml:space="preserve">  </v>
      </c>
      <c r="Q123" s="76" t="str">
        <f>P123</f>
        <v xml:space="preserve">  </v>
      </c>
      <c r="R123" s="77" t="str">
        <f>VLOOKUP(Q123,STN_TABLE,2,FALSE)</f>
        <v xml:space="preserve">  </v>
      </c>
      <c r="S123" s="77">
        <v>8</v>
      </c>
      <c r="T123" s="76" t="e">
        <f>R123*S123</f>
        <v>#VALUE!</v>
      </c>
      <c r="U123" s="80">
        <v>10</v>
      </c>
      <c r="V123" s="76" t="e">
        <f>R123*U123</f>
        <v>#VALUE!</v>
      </c>
      <c r="W123" s="496" t="s">
        <v>97</v>
      </c>
      <c r="X123" s="496"/>
      <c r="Y123" s="496" t="s">
        <v>98</v>
      </c>
      <c r="Z123" s="496"/>
      <c r="AA123" s="494" t="s">
        <v>99</v>
      </c>
      <c r="AB123" s="494"/>
      <c r="AC123" s="99">
        <f>AC118+1</f>
        <v>19</v>
      </c>
      <c r="AD123" s="95" t="str">
        <f>VLOOKUP(AC123,STN_TABLE_2,2,FALSE)</f>
        <v xml:space="preserve">  </v>
      </c>
      <c r="AE123" s="68" t="str">
        <f>VLOOKUP(AD123,STN_TABLE,2,FALSE)</f>
        <v xml:space="preserve">  </v>
      </c>
      <c r="AF123" s="68">
        <v>1</v>
      </c>
      <c r="AG123" s="69" t="e">
        <f>AE123*AF123</f>
        <v>#VALUE!</v>
      </c>
      <c r="AH123" s="496" t="s">
        <v>97</v>
      </c>
      <c r="AI123" s="496"/>
      <c r="AJ123" s="496" t="s">
        <v>98</v>
      </c>
      <c r="AK123" s="496"/>
      <c r="AL123" s="494" t="s">
        <v>99</v>
      </c>
      <c r="AM123" s="494"/>
      <c r="AP123" s="86" t="s">
        <v>112</v>
      </c>
      <c r="AQ123" s="89" t="s">
        <v>113</v>
      </c>
      <c r="AR123" s="89" t="s">
        <v>114</v>
      </c>
      <c r="AS123" s="89" t="s">
        <v>115</v>
      </c>
      <c r="AU123" s="81"/>
    </row>
    <row r="124" spans="1:47" x14ac:dyDescent="0.25">
      <c r="A124" s="84">
        <f>A123+1</f>
        <v>19</v>
      </c>
      <c r="B124" s="84" t="str">
        <f t="shared" si="48"/>
        <v xml:space="preserve">  </v>
      </c>
      <c r="C124" s="88" t="str">
        <f t="shared" ref="C124" si="60">B125</f>
        <v xml:space="preserve">  </v>
      </c>
      <c r="D124" s="82" t="str">
        <f>VLOOKUP(C124,STN_TABLE,2,FALSE)</f>
        <v xml:space="preserve">  </v>
      </c>
      <c r="E124" s="92">
        <v>1</v>
      </c>
      <c r="F124" s="82" t="e">
        <f>D124*E124</f>
        <v>#VALUE!</v>
      </c>
      <c r="G124" s="83" t="str">
        <f>C124</f>
        <v xml:space="preserve">  </v>
      </c>
      <c r="H124" s="83" t="e">
        <f>F124*G124</f>
        <v>#VALUE!</v>
      </c>
      <c r="I124" s="84" t="str">
        <f>CONCATENATE("a'(",C124,")=")</f>
        <v>a'(  )=</v>
      </c>
      <c r="J124" s="84" t="e">
        <f>2*J122/3*F125</f>
        <v>#VALUE!</v>
      </c>
      <c r="K124" s="84" t="e">
        <f>CONCATENATE("A(",C122,")=")</f>
        <v>#VALUE!</v>
      </c>
      <c r="L124" s="84" t="e">
        <f>VLOOKUP(C122,STN_TABLE,3,FALSE)</f>
        <v>#VALUE!</v>
      </c>
      <c r="M124" t="str">
        <f>CONCATENATE("A(",C124,")=")</f>
        <v>A(  )=</v>
      </c>
      <c r="N124" t="e">
        <f>J124+L124</f>
        <v>#VALUE!</v>
      </c>
      <c r="O124" s="99">
        <f>O123+1</f>
        <v>21</v>
      </c>
      <c r="P124" s="99" t="str">
        <f t="shared" si="44"/>
        <v xml:space="preserve">  </v>
      </c>
      <c r="Q124" s="82" t="e">
        <f>IF(P124-P123=P123-P122,P124,IF(P125-P123=P123-P122,P125,IF(P124-P123=P123-P121,P124,IF(P125-P123=P123-P121,P125,"-"))))</f>
        <v>#VALUE!</v>
      </c>
      <c r="R124" s="83" t="e">
        <f>VLOOKUP(Q124,STN_TABLE,2,FALSE)</f>
        <v>#VALUE!</v>
      </c>
      <c r="S124" s="83">
        <v>-1</v>
      </c>
      <c r="T124" s="82" t="e">
        <f>R124*S124</f>
        <v>#VALUE!</v>
      </c>
      <c r="U124" s="88">
        <v>-1</v>
      </c>
      <c r="V124" s="82" t="e">
        <f>R124*U124</f>
        <v>#VALUE!</v>
      </c>
      <c r="W124" s="84" t="str">
        <f>CONCATENATE("a'(",Q123,")=")</f>
        <v>a'(  )=</v>
      </c>
      <c r="X124" s="84" t="e">
        <f>2*X122/12*T125</f>
        <v>#VALUE!</v>
      </c>
      <c r="Y124" s="84" t="e">
        <f>CONCATENATE("A(",Q122,")=")</f>
        <v>#VALUE!</v>
      </c>
      <c r="Z124" s="84" t="e">
        <f>VLOOKUP(Q122,STN_TABLE,3,FALSE)</f>
        <v>#VALUE!</v>
      </c>
      <c r="AA124" t="str">
        <f>CONCATENATE("A(",Q123,")=")</f>
        <v>A(  )=</v>
      </c>
      <c r="AB124" t="e">
        <f>X124+Z124</f>
        <v>#VALUE!</v>
      </c>
      <c r="AC124" s="99">
        <f>AC123+1</f>
        <v>20</v>
      </c>
      <c r="AD124" s="100" t="str">
        <f>VLOOKUP(AC124,STN_TABLE_2,2,FALSE)</f>
        <v xml:space="preserve">  </v>
      </c>
      <c r="AE124" s="82" t="str">
        <f>VLOOKUP(AD124,STN_TABLE,2,FALSE)</f>
        <v xml:space="preserve">  </v>
      </c>
      <c r="AF124" s="82">
        <v>2</v>
      </c>
      <c r="AG124" s="83" t="e">
        <f>AE124*AF124</f>
        <v>#VALUE!</v>
      </c>
      <c r="AH124" s="84" t="str">
        <f>CONCATENATE("a'(",AD124,")=")</f>
        <v>a'(  )=</v>
      </c>
      <c r="AI124" s="84" t="e">
        <f>2*AI122/2*AE125</f>
        <v>#VALUE!</v>
      </c>
      <c r="AJ124" s="84" t="str">
        <f>CONCATENATE("A(",AD123,")=")</f>
        <v>A(  )=</v>
      </c>
      <c r="AK124" s="84" t="str">
        <f>VLOOKUP(AD123,STN_TABLE,3,FALSE)</f>
        <v xml:space="preserve"> </v>
      </c>
      <c r="AL124" t="str">
        <f>CONCATENATE("A(",AD124,")=")</f>
        <v>A(  )=</v>
      </c>
      <c r="AM124" t="e">
        <f>AI124+AK124</f>
        <v>#VALUE!</v>
      </c>
      <c r="AO124" s="68" t="str">
        <f>AA124</f>
        <v>A(  )=</v>
      </c>
      <c r="AP124" s="68" t="e">
        <f>VLOOKUP(AO124,Rise_Results,2,FALSE)</f>
        <v>#N/A</v>
      </c>
      <c r="AQ124" s="76" t="e">
        <f>N124</f>
        <v>#VALUE!</v>
      </c>
      <c r="AR124" s="76" t="e">
        <f>IF(OR(AB124&lt;=0,AB125&lt;=0),1/0,AB124)</f>
        <v>#VALUE!</v>
      </c>
      <c r="AS124" s="76" t="e">
        <f>AM124</f>
        <v>#VALUE!</v>
      </c>
      <c r="AT124" t="e">
        <f>IFERROR(AP124,IFERROR(AQ124,IFERROR(AR124,AS124)))</f>
        <v>#VALUE!</v>
      </c>
      <c r="AU124" s="81"/>
    </row>
    <row r="125" spans="1:47" x14ac:dyDescent="0.25">
      <c r="A125" s="84">
        <f>A124+1</f>
        <v>20</v>
      </c>
      <c r="B125" s="84" t="str">
        <f t="shared" si="48"/>
        <v xml:space="preserve">  </v>
      </c>
      <c r="F125" s="82" t="e">
        <f>SUM(F122:F124)</f>
        <v>#VALUE!</v>
      </c>
      <c r="H125" s="82" t="e">
        <f>SUM(H122:H124)</f>
        <v>#VALUE!</v>
      </c>
      <c r="I125" s="84" t="str">
        <f>CONCATENATE("m'(",C124,")=")</f>
        <v>m'(  )=</v>
      </c>
      <c r="J125" s="84" t="e">
        <f>2*(J122*(WLS))/3*H125</f>
        <v>#VALUE!</v>
      </c>
      <c r="K125" s="84" t="e">
        <f>CONCATENATE("M(",C122,")=")</f>
        <v>#VALUE!</v>
      </c>
      <c r="L125" s="84" t="e">
        <f>VLOOKUP(C122,STN_TABLE,4,FALSE)</f>
        <v>#VALUE!</v>
      </c>
      <c r="M125" t="str">
        <f>CONCATENATE("M(",C124,")=")</f>
        <v>M(  )=</v>
      </c>
      <c r="N125" t="e">
        <f>J125+L125</f>
        <v>#VALUE!</v>
      </c>
      <c r="O125" s="99">
        <f>O124+1</f>
        <v>22</v>
      </c>
      <c r="P125" s="99" t="str">
        <f t="shared" si="44"/>
        <v xml:space="preserve">  </v>
      </c>
      <c r="T125" s="89" t="e">
        <f>SUM(T122:T124)</f>
        <v>#VALUE!</v>
      </c>
      <c r="V125" s="82" t="e">
        <f>SUM(V122:V124)</f>
        <v>#VALUE!</v>
      </c>
      <c r="W125" s="84" t="str">
        <f>CONCATENATE("m'(",Q123,")=")</f>
        <v>m'(  )=</v>
      </c>
      <c r="X125" s="84" t="e">
        <f>(2*(X122^2)/24*V125)+(X124*Q122*WLS)</f>
        <v>#VALUE!</v>
      </c>
      <c r="Y125" s="84" t="e">
        <f>CONCATENATE("M(",Q122,")=")</f>
        <v>#VALUE!</v>
      </c>
      <c r="Z125" s="84" t="e">
        <f>VLOOKUP(Q122,STN_TABLE,4,FALSE)</f>
        <v>#VALUE!</v>
      </c>
      <c r="AA125" t="str">
        <f>CONCATENATE("M(",Q123,")=")</f>
        <v>M(  )=</v>
      </c>
      <c r="AB125" t="e">
        <f>X125+Z125</f>
        <v>#VALUE!</v>
      </c>
      <c r="AE125" s="89">
        <f>SUM(AE123:AE124)</f>
        <v>0</v>
      </c>
      <c r="AG125" s="89" t="e">
        <f>SUM(AG123:AG124)</f>
        <v>#VALUE!</v>
      </c>
      <c r="AH125" s="84" t="str">
        <f>CONCATENATE("m'(",AD124,")=")</f>
        <v>m'(  )=</v>
      </c>
      <c r="AI125" s="84" t="e">
        <f>(2*(AI122^2)/6*AG125)+(AI124*AD123*WLS)</f>
        <v>#VALUE!</v>
      </c>
      <c r="AJ125" s="84" t="str">
        <f>CONCATENATE("M(",AD123,")=")</f>
        <v>M(  )=</v>
      </c>
      <c r="AK125" s="84" t="str">
        <f>VLOOKUP(AD123,STN_TABLE,4,FALSE)</f>
        <v xml:space="preserve"> </v>
      </c>
      <c r="AL125" t="str">
        <f>CONCATENATE("M(",AD124,")=")</f>
        <v>M(  )=</v>
      </c>
      <c r="AM125" t="e">
        <f>AI125+AK125</f>
        <v>#VALUE!</v>
      </c>
      <c r="AO125" s="82" t="str">
        <f>AA125</f>
        <v>M(  )=</v>
      </c>
      <c r="AP125" s="82" t="e">
        <f>VLOOKUP(AO125,Rise_Results,2,FALSE)</f>
        <v>#N/A</v>
      </c>
      <c r="AQ125" s="82" t="e">
        <f>N125</f>
        <v>#VALUE!</v>
      </c>
      <c r="AR125" s="82" t="e">
        <f>IF(OR(AB124&lt;=0,AB125&lt;=0),1/0,AB125)</f>
        <v>#VALUE!</v>
      </c>
      <c r="AS125" s="82" t="e">
        <f>AM125</f>
        <v>#VALUE!</v>
      </c>
      <c r="AT125" t="e">
        <f>IFERROR(AP125,IFERROR(AQ125,IFERROR(AR125,AS125)))</f>
        <v>#VALUE!</v>
      </c>
      <c r="AU125" s="81"/>
    </row>
    <row r="126" spans="1:47" x14ac:dyDescent="0.25">
      <c r="A126" s="101">
        <f>A121+1</f>
        <v>17</v>
      </c>
      <c r="B126" s="101" t="str">
        <f t="shared" si="48"/>
        <v xml:space="preserve">  </v>
      </c>
      <c r="O126" s="101">
        <f>O121+1</f>
        <v>19</v>
      </c>
      <c r="P126" s="101" t="str">
        <f t="shared" si="44"/>
        <v xml:space="preserve">  </v>
      </c>
      <c r="AU126" s="81"/>
    </row>
    <row r="127" spans="1:47" x14ac:dyDescent="0.25">
      <c r="A127" s="84">
        <f>A126+1</f>
        <v>18</v>
      </c>
      <c r="B127" s="84" t="str">
        <f t="shared" si="48"/>
        <v xml:space="preserve">  </v>
      </c>
      <c r="C127" s="79" t="e">
        <f t="shared" ref="C127" si="61">IF(C128=B129,IF(C129-C128=C128-B128,B128,IF(C129-C128=C128-B127,B127,"#NA")),IF(C128=B128,IF(C129-C128=C128-B127,B127,IF(C129-C128=C128-B126,B126,"#NA")),"#NA"))</f>
        <v>#VALUE!</v>
      </c>
      <c r="D127" s="68" t="e">
        <f>VLOOKUP(C127,STN_TABLE,2,FALSE)</f>
        <v>#VALUE!</v>
      </c>
      <c r="E127" s="102">
        <v>1</v>
      </c>
      <c r="F127" s="68" t="e">
        <f>D127*E127</f>
        <v>#VALUE!</v>
      </c>
      <c r="G127" s="69" t="e">
        <f>C127</f>
        <v>#VALUE!</v>
      </c>
      <c r="H127" s="69" t="e">
        <f>F127*G127</f>
        <v>#VALUE!</v>
      </c>
      <c r="I127" s="6" t="s">
        <v>93</v>
      </c>
      <c r="J127" s="70" t="e">
        <f>IF(OR(D127=0,D128=0,D129=0),"#NA",IF(AND(C129-C128=C128-C127,C128&lt;&gt;C129,C127&lt;&gt;C128,C127&lt;&gt;C129,D129&lt;&gt;0,OR(D127&lt;&gt;0,D128&lt;&gt;0)),WLS*(C129-C128),"#NA"))</f>
        <v>#VALUE!</v>
      </c>
      <c r="O127" s="99">
        <f>O126+1</f>
        <v>20</v>
      </c>
      <c r="P127" s="99" t="str">
        <f t="shared" si="44"/>
        <v xml:space="preserve">  </v>
      </c>
      <c r="Q127" s="68" t="e">
        <f>IF(OR(P129-P128=P128-P127,P130-P128=P128-P127),P127,IF(OR(P129-P128=P128-P126,P130-P128=P128-P126),P126,"-"))</f>
        <v>#VALUE!</v>
      </c>
      <c r="R127" s="69" t="e">
        <f>VLOOKUP(Q127,STN_TABLE,2,FALSE)</f>
        <v>#VALUE!</v>
      </c>
      <c r="S127" s="69">
        <v>5</v>
      </c>
      <c r="T127" s="68" t="e">
        <f>R127*S127</f>
        <v>#VALUE!</v>
      </c>
      <c r="U127" s="79">
        <v>3</v>
      </c>
      <c r="V127" s="68" t="e">
        <f>R127*U127</f>
        <v>#VALUE!</v>
      </c>
      <c r="W127" s="6" t="s">
        <v>93</v>
      </c>
      <c r="X127" s="70" t="e">
        <f>IF(AND(Q129-Q128=Q128-Q127,NOT(AND(Q127=0,Q128=0)),NOT(AND(Q128=0,Q129=0))),WLS*(Q129-Q128),"#NA")</f>
        <v>#VALUE!</v>
      </c>
      <c r="AD127" s="93"/>
      <c r="AH127" s="6" t="s">
        <v>93</v>
      </c>
      <c r="AI127" s="70" t="e">
        <f>WLS*(AD129-AD128)</f>
        <v>#VALUE!</v>
      </c>
      <c r="AU127" s="81"/>
    </row>
    <row r="128" spans="1:47" x14ac:dyDescent="0.25">
      <c r="A128" s="84">
        <f>A127+1</f>
        <v>19</v>
      </c>
      <c r="B128" s="84" t="str">
        <f t="shared" si="48"/>
        <v xml:space="preserve">  </v>
      </c>
      <c r="C128" s="80" t="e">
        <f t="shared" ref="C128" si="62">IF(OR(B130-B129=B129-B128,B130-B129=B129-B127,B130-B129=B129-B126),B129,IF(OR(B130-B128=B128-B127,B130-B128=B128-B126),B128,IF(B130-B127=B127-B126,B127,"#NA")))</f>
        <v>#VALUE!</v>
      </c>
      <c r="D128" s="76" t="e">
        <f>VLOOKUP(C128,STN_TABLE,2,FALSE)</f>
        <v>#VALUE!</v>
      </c>
      <c r="E128" s="81">
        <v>4</v>
      </c>
      <c r="F128" s="76" t="e">
        <f>D128*E128</f>
        <v>#VALUE!</v>
      </c>
      <c r="G128" s="77" t="e">
        <f>C128</f>
        <v>#VALUE!</v>
      </c>
      <c r="H128" s="77" t="e">
        <f>F128*G128</f>
        <v>#VALUE!</v>
      </c>
      <c r="I128" s="495" t="s">
        <v>97</v>
      </c>
      <c r="J128" s="496"/>
      <c r="K128" s="78" t="s">
        <v>98</v>
      </c>
      <c r="L128" s="78"/>
      <c r="M128" s="7" t="s">
        <v>99</v>
      </c>
      <c r="N128" s="7"/>
      <c r="O128" s="99">
        <f>O127+1</f>
        <v>21</v>
      </c>
      <c r="P128" s="99" t="str">
        <f t="shared" si="44"/>
        <v xml:space="preserve">  </v>
      </c>
      <c r="Q128" s="76" t="str">
        <f>P128</f>
        <v xml:space="preserve">  </v>
      </c>
      <c r="R128" s="77" t="str">
        <f>VLOOKUP(Q128,STN_TABLE,2,FALSE)</f>
        <v xml:space="preserve">  </v>
      </c>
      <c r="S128" s="77">
        <v>8</v>
      </c>
      <c r="T128" s="76" t="e">
        <f>R128*S128</f>
        <v>#VALUE!</v>
      </c>
      <c r="U128" s="80">
        <v>10</v>
      </c>
      <c r="V128" s="76" t="e">
        <f>R128*U128</f>
        <v>#VALUE!</v>
      </c>
      <c r="W128" s="496" t="s">
        <v>97</v>
      </c>
      <c r="X128" s="496"/>
      <c r="Y128" s="496" t="s">
        <v>98</v>
      </c>
      <c r="Z128" s="496"/>
      <c r="AA128" s="494" t="s">
        <v>99</v>
      </c>
      <c r="AB128" s="494"/>
      <c r="AC128" s="99">
        <f>AC123+1</f>
        <v>20</v>
      </c>
      <c r="AD128" s="95" t="str">
        <f>VLOOKUP(AC128,STN_TABLE_2,2,FALSE)</f>
        <v xml:space="preserve">  </v>
      </c>
      <c r="AE128" s="68" t="str">
        <f>VLOOKUP(AD128,STN_TABLE,2,FALSE)</f>
        <v xml:space="preserve">  </v>
      </c>
      <c r="AF128" s="68">
        <v>1</v>
      </c>
      <c r="AG128" s="69" t="e">
        <f>AE128*AF128</f>
        <v>#VALUE!</v>
      </c>
      <c r="AH128" s="496" t="s">
        <v>97</v>
      </c>
      <c r="AI128" s="496"/>
      <c r="AJ128" s="496" t="s">
        <v>98</v>
      </c>
      <c r="AK128" s="496"/>
      <c r="AL128" s="494" t="s">
        <v>99</v>
      </c>
      <c r="AM128" s="494"/>
      <c r="AP128" s="86" t="s">
        <v>112</v>
      </c>
      <c r="AQ128" s="89" t="s">
        <v>113</v>
      </c>
      <c r="AR128" s="89" t="s">
        <v>114</v>
      </c>
      <c r="AS128" s="89" t="s">
        <v>115</v>
      </c>
      <c r="AU128" s="81"/>
    </row>
    <row r="129" spans="1:47" x14ac:dyDescent="0.25">
      <c r="A129" s="84">
        <f>A128+1</f>
        <v>20</v>
      </c>
      <c r="B129" s="84" t="str">
        <f t="shared" si="48"/>
        <v xml:space="preserve">  </v>
      </c>
      <c r="C129" s="88" t="str">
        <f t="shared" ref="C129" si="63">B130</f>
        <v xml:space="preserve">  </v>
      </c>
      <c r="D129" s="82" t="str">
        <f>VLOOKUP(C129,STN_TABLE,2,FALSE)</f>
        <v xml:space="preserve">  </v>
      </c>
      <c r="E129" s="92">
        <v>1</v>
      </c>
      <c r="F129" s="82" t="e">
        <f>D129*E129</f>
        <v>#VALUE!</v>
      </c>
      <c r="G129" s="83" t="str">
        <f>C129</f>
        <v xml:space="preserve">  </v>
      </c>
      <c r="H129" s="83" t="e">
        <f>F129*G129</f>
        <v>#VALUE!</v>
      </c>
      <c r="I129" s="84" t="str">
        <f>CONCATENATE("a'(",C129,")=")</f>
        <v>a'(  )=</v>
      </c>
      <c r="J129" s="84" t="e">
        <f>2*J127/3*F130</f>
        <v>#VALUE!</v>
      </c>
      <c r="K129" s="84" t="e">
        <f>CONCATENATE("A(",C127,")=")</f>
        <v>#VALUE!</v>
      </c>
      <c r="L129" s="84" t="e">
        <f>VLOOKUP(C127,STN_TABLE,3,FALSE)</f>
        <v>#VALUE!</v>
      </c>
      <c r="M129" t="str">
        <f>CONCATENATE("A(",C129,")=")</f>
        <v>A(  )=</v>
      </c>
      <c r="N129" t="e">
        <f>J129+L129</f>
        <v>#VALUE!</v>
      </c>
      <c r="O129" s="99">
        <f>O128+1</f>
        <v>22</v>
      </c>
      <c r="P129" s="99" t="str">
        <f t="shared" si="44"/>
        <v xml:space="preserve">  </v>
      </c>
      <c r="Q129" s="82" t="e">
        <f>IF(P129-P128=P128-P127,P129,IF(P130-P128=P128-P127,P130,IF(P129-P128=P128-P126,P129,IF(P130-P128=P128-P126,P130,"-"))))</f>
        <v>#VALUE!</v>
      </c>
      <c r="R129" s="83" t="e">
        <f>VLOOKUP(Q129,STN_TABLE,2,FALSE)</f>
        <v>#VALUE!</v>
      </c>
      <c r="S129" s="83">
        <v>-1</v>
      </c>
      <c r="T129" s="82" t="e">
        <f>R129*S129</f>
        <v>#VALUE!</v>
      </c>
      <c r="U129" s="88">
        <v>-1</v>
      </c>
      <c r="V129" s="82" t="e">
        <f>R129*U129</f>
        <v>#VALUE!</v>
      </c>
      <c r="W129" s="84" t="str">
        <f>CONCATENATE("a'(",Q128,")=")</f>
        <v>a'(  )=</v>
      </c>
      <c r="X129" s="84" t="e">
        <f>2*X127/12*T130</f>
        <v>#VALUE!</v>
      </c>
      <c r="Y129" s="84" t="e">
        <f>CONCATENATE("A(",Q127,")=")</f>
        <v>#VALUE!</v>
      </c>
      <c r="Z129" s="84" t="e">
        <f>VLOOKUP(Q127,STN_TABLE,3,FALSE)</f>
        <v>#VALUE!</v>
      </c>
      <c r="AA129" t="str">
        <f>CONCATENATE("A(",Q128,")=")</f>
        <v>A(  )=</v>
      </c>
      <c r="AB129" t="e">
        <f>X129+Z129</f>
        <v>#VALUE!</v>
      </c>
      <c r="AC129" s="99">
        <f>AC128+1</f>
        <v>21</v>
      </c>
      <c r="AD129" s="100" t="str">
        <f>VLOOKUP(AC129,STN_TABLE_2,2,FALSE)</f>
        <v xml:space="preserve">  </v>
      </c>
      <c r="AE129" s="82" t="str">
        <f>VLOOKUP(AD129,STN_TABLE,2,FALSE)</f>
        <v xml:space="preserve">  </v>
      </c>
      <c r="AF129" s="82">
        <v>2</v>
      </c>
      <c r="AG129" s="83" t="e">
        <f>AE129*AF129</f>
        <v>#VALUE!</v>
      </c>
      <c r="AH129" s="84" t="str">
        <f>CONCATENATE("a'(",AD129,")=")</f>
        <v>a'(  )=</v>
      </c>
      <c r="AI129" s="84" t="e">
        <f>2*AI127/2*AE130</f>
        <v>#VALUE!</v>
      </c>
      <c r="AJ129" s="84" t="str">
        <f>CONCATENATE("A(",AD128,")=")</f>
        <v>A(  )=</v>
      </c>
      <c r="AK129" s="84" t="str">
        <f>VLOOKUP(AD128,STN_TABLE,3,FALSE)</f>
        <v xml:space="preserve"> </v>
      </c>
      <c r="AL129" t="str">
        <f>CONCATENATE("A(",AD129,")=")</f>
        <v>A(  )=</v>
      </c>
      <c r="AM129" t="e">
        <f>AI129+AK129</f>
        <v>#VALUE!</v>
      </c>
      <c r="AO129" s="68" t="str">
        <f>AA129</f>
        <v>A(  )=</v>
      </c>
      <c r="AP129" s="68" t="e">
        <f>VLOOKUP(AO129,Rise_Results,2,FALSE)</f>
        <v>#N/A</v>
      </c>
      <c r="AQ129" s="76" t="e">
        <f>N129</f>
        <v>#VALUE!</v>
      </c>
      <c r="AR129" s="76" t="e">
        <f>IF(OR(AB129&lt;=0,AB130&lt;=0),1/0,AB129)</f>
        <v>#VALUE!</v>
      </c>
      <c r="AS129" s="76" t="e">
        <f>AM129</f>
        <v>#VALUE!</v>
      </c>
      <c r="AT129" t="e">
        <f>IFERROR(AP129,IFERROR(AQ129,IFERROR(AR129,AS129)))</f>
        <v>#VALUE!</v>
      </c>
      <c r="AU129" s="81"/>
    </row>
    <row r="130" spans="1:47" x14ac:dyDescent="0.25">
      <c r="A130" s="84">
        <f>A129+1</f>
        <v>21</v>
      </c>
      <c r="B130" s="84" t="str">
        <f t="shared" si="48"/>
        <v xml:space="preserve">  </v>
      </c>
      <c r="F130" s="82" t="e">
        <f>SUM(F127:F129)</f>
        <v>#VALUE!</v>
      </c>
      <c r="H130" s="82" t="e">
        <f>SUM(H127:H129)</f>
        <v>#VALUE!</v>
      </c>
      <c r="I130" s="84" t="str">
        <f>CONCATENATE("m'(",C129,")=")</f>
        <v>m'(  )=</v>
      </c>
      <c r="J130" s="84" t="e">
        <f>2*(J127*(WLS))/3*H130</f>
        <v>#VALUE!</v>
      </c>
      <c r="K130" s="84" t="e">
        <f>CONCATENATE("M(",C127,")=")</f>
        <v>#VALUE!</v>
      </c>
      <c r="L130" s="84" t="e">
        <f>VLOOKUP(C127,STN_TABLE,4,FALSE)</f>
        <v>#VALUE!</v>
      </c>
      <c r="M130" t="str">
        <f>CONCATENATE("M(",C129,")=")</f>
        <v>M(  )=</v>
      </c>
      <c r="N130" t="e">
        <f>J130+L130</f>
        <v>#VALUE!</v>
      </c>
      <c r="O130" s="99">
        <f>O129+1</f>
        <v>23</v>
      </c>
      <c r="P130" s="99" t="str">
        <f t="shared" si="44"/>
        <v xml:space="preserve">  </v>
      </c>
      <c r="T130" s="89" t="e">
        <f>SUM(T127:T129)</f>
        <v>#VALUE!</v>
      </c>
      <c r="V130" s="82" t="e">
        <f>SUM(V127:V129)</f>
        <v>#VALUE!</v>
      </c>
      <c r="W130" s="84" t="str">
        <f>CONCATENATE("m'(",Q128,")=")</f>
        <v>m'(  )=</v>
      </c>
      <c r="X130" s="84" t="e">
        <f>(2*(X127^2)/24*V130)+(X129*Q127*WLS)</f>
        <v>#VALUE!</v>
      </c>
      <c r="Y130" s="84" t="e">
        <f>CONCATENATE("M(",Q127,")=")</f>
        <v>#VALUE!</v>
      </c>
      <c r="Z130" s="84" t="e">
        <f>VLOOKUP(Q127,STN_TABLE,4,FALSE)</f>
        <v>#VALUE!</v>
      </c>
      <c r="AA130" t="str">
        <f>CONCATENATE("M(",Q128,")=")</f>
        <v>M(  )=</v>
      </c>
      <c r="AB130" t="e">
        <f>X130+Z130</f>
        <v>#VALUE!</v>
      </c>
      <c r="AE130" s="89">
        <f>SUM(AE128:AE129)</f>
        <v>0</v>
      </c>
      <c r="AG130" s="89" t="e">
        <f>SUM(AG128:AG129)</f>
        <v>#VALUE!</v>
      </c>
      <c r="AH130" s="84" t="str">
        <f>CONCATENATE("m'(",AD129,")=")</f>
        <v>m'(  )=</v>
      </c>
      <c r="AI130" s="84" t="e">
        <f>(2*(AI127^2)/6*AG130)+(AI129*AD128*WLS)</f>
        <v>#VALUE!</v>
      </c>
      <c r="AJ130" s="84" t="str">
        <f>CONCATENATE("M(",AD128,")=")</f>
        <v>M(  )=</v>
      </c>
      <c r="AK130" s="84" t="str">
        <f>VLOOKUP(AD128,STN_TABLE,4,FALSE)</f>
        <v xml:space="preserve"> </v>
      </c>
      <c r="AL130" t="str">
        <f>CONCATENATE("M(",AD129,")=")</f>
        <v>M(  )=</v>
      </c>
      <c r="AM130" t="e">
        <f>AI130+AK130</f>
        <v>#VALUE!</v>
      </c>
      <c r="AO130" s="82" t="str">
        <f>AA130</f>
        <v>M(  )=</v>
      </c>
      <c r="AP130" s="82" t="e">
        <f>VLOOKUP(AO130,Rise_Results,2,FALSE)</f>
        <v>#N/A</v>
      </c>
      <c r="AQ130" s="82" t="e">
        <f>N130</f>
        <v>#VALUE!</v>
      </c>
      <c r="AR130" s="82" t="e">
        <f>IF(OR(AB129&lt;=0,AB130&lt;=0),1/0,AB130)</f>
        <v>#VALUE!</v>
      </c>
      <c r="AS130" s="82" t="e">
        <f>AM130</f>
        <v>#VALUE!</v>
      </c>
      <c r="AT130" t="e">
        <f>IFERROR(AP130,IFERROR(AQ130,IFERROR(AR130,AS130)))</f>
        <v>#VALUE!</v>
      </c>
      <c r="AU130" s="81"/>
    </row>
    <row r="131" spans="1:47" x14ac:dyDescent="0.25">
      <c r="A131" s="101">
        <f>A126+1</f>
        <v>18</v>
      </c>
      <c r="B131" s="101" t="str">
        <f t="shared" si="48"/>
        <v xml:space="preserve">  </v>
      </c>
      <c r="O131" s="101">
        <f>O126+1</f>
        <v>20</v>
      </c>
      <c r="P131" s="101" t="str">
        <f t="shared" si="44"/>
        <v xml:space="preserve">  </v>
      </c>
      <c r="AU131" s="81"/>
    </row>
    <row r="132" spans="1:47" x14ac:dyDescent="0.25">
      <c r="A132" s="84">
        <f>A131+1</f>
        <v>19</v>
      </c>
      <c r="B132" s="84" t="str">
        <f t="shared" si="48"/>
        <v xml:space="preserve">  </v>
      </c>
      <c r="C132" s="79" t="e">
        <f t="shared" ref="C132" si="64">IF(C133=B134,IF(C134-C133=C133-B133,B133,IF(C134-C133=C133-B132,B132,"#NA")),IF(C133=B133,IF(C134-C133=C133-B132,B132,IF(C134-C133=C133-B131,B131,"#NA")),"#NA"))</f>
        <v>#VALUE!</v>
      </c>
      <c r="D132" s="68" t="e">
        <f>VLOOKUP(C132,STN_TABLE,2,FALSE)</f>
        <v>#VALUE!</v>
      </c>
      <c r="E132" s="102">
        <v>1</v>
      </c>
      <c r="F132" s="68" t="e">
        <f>D132*E132</f>
        <v>#VALUE!</v>
      </c>
      <c r="G132" s="69" t="e">
        <f>C132</f>
        <v>#VALUE!</v>
      </c>
      <c r="H132" s="69" t="e">
        <f>F132*G132</f>
        <v>#VALUE!</v>
      </c>
      <c r="I132" s="6" t="s">
        <v>93</v>
      </c>
      <c r="J132" s="70" t="e">
        <f>IF(OR(D132=0,D133=0,D134=0),"#NA",IF(AND(C134-C133=C133-C132,C133&lt;&gt;C134,C132&lt;&gt;C133,C132&lt;&gt;C134,D134&lt;&gt;0,OR(D132&lt;&gt;0,D133&lt;&gt;0)),WLS*(C134-C133),"#NA"))</f>
        <v>#VALUE!</v>
      </c>
      <c r="O132" s="99">
        <f>O131+1</f>
        <v>21</v>
      </c>
      <c r="P132" s="99" t="str">
        <f t="shared" ref="P132:P150" si="65">VLOOKUP(O132,STN_TABLE_2,2,FALSE)</f>
        <v xml:space="preserve">  </v>
      </c>
      <c r="Q132" s="68" t="e">
        <f>IF(OR(P134-P133=P133-P132,P135-P133=P133-P132),P132,IF(OR(P134-P133=P133-P131,P135-P133=P133-P131),P131,"-"))</f>
        <v>#VALUE!</v>
      </c>
      <c r="R132" s="69" t="e">
        <f>VLOOKUP(Q132,STN_TABLE,2,FALSE)</f>
        <v>#VALUE!</v>
      </c>
      <c r="S132" s="69">
        <v>5</v>
      </c>
      <c r="T132" s="68" t="e">
        <f>R132*S132</f>
        <v>#VALUE!</v>
      </c>
      <c r="U132" s="79">
        <v>3</v>
      </c>
      <c r="V132" s="68" t="e">
        <f>R132*U132</f>
        <v>#VALUE!</v>
      </c>
      <c r="W132" s="6" t="s">
        <v>93</v>
      </c>
      <c r="X132" s="70" t="e">
        <f>IF(AND(Q134-Q133=Q133-Q132,NOT(AND(Q132=0,Q133=0)),NOT(AND(Q133=0,Q134=0))),WLS*(Q134-Q133),"#NA")</f>
        <v>#VALUE!</v>
      </c>
      <c r="AD132" s="93"/>
      <c r="AH132" s="6" t="s">
        <v>93</v>
      </c>
      <c r="AI132" s="70" t="e">
        <f>WLS*(AD134-AD133)</f>
        <v>#VALUE!</v>
      </c>
      <c r="AU132" s="81"/>
    </row>
    <row r="133" spans="1:47" x14ac:dyDescent="0.25">
      <c r="A133" s="84">
        <f>A132+1</f>
        <v>20</v>
      </c>
      <c r="B133" s="84" t="str">
        <f t="shared" si="48"/>
        <v xml:space="preserve">  </v>
      </c>
      <c r="C133" s="80" t="e">
        <f t="shared" ref="C133" si="66">IF(OR(B135-B134=B134-B133,B135-B134=B134-B132,B135-B134=B134-B131),B134,IF(OR(B135-B133=B133-B132,B135-B133=B133-B131),B133,IF(B135-B132=B132-B131,B132,"#NA")))</f>
        <v>#VALUE!</v>
      </c>
      <c r="D133" s="76" t="e">
        <f>VLOOKUP(C133,STN_TABLE,2,FALSE)</f>
        <v>#VALUE!</v>
      </c>
      <c r="E133" s="81">
        <v>4</v>
      </c>
      <c r="F133" s="76" t="e">
        <f>D133*E133</f>
        <v>#VALUE!</v>
      </c>
      <c r="G133" s="77" t="e">
        <f>C133</f>
        <v>#VALUE!</v>
      </c>
      <c r="H133" s="77" t="e">
        <f>F133*G133</f>
        <v>#VALUE!</v>
      </c>
      <c r="I133" s="495" t="s">
        <v>97</v>
      </c>
      <c r="J133" s="496"/>
      <c r="K133" s="78" t="s">
        <v>98</v>
      </c>
      <c r="L133" s="78"/>
      <c r="M133" s="7" t="s">
        <v>99</v>
      </c>
      <c r="N133" s="7"/>
      <c r="O133" s="99">
        <f>O132+1</f>
        <v>22</v>
      </c>
      <c r="P133" s="99" t="str">
        <f t="shared" si="65"/>
        <v xml:space="preserve">  </v>
      </c>
      <c r="Q133" s="76" t="str">
        <f>P133</f>
        <v xml:space="preserve">  </v>
      </c>
      <c r="R133" s="77" t="str">
        <f>VLOOKUP(Q133,STN_TABLE,2,FALSE)</f>
        <v xml:space="preserve">  </v>
      </c>
      <c r="S133" s="77">
        <v>8</v>
      </c>
      <c r="T133" s="76" t="e">
        <f>R133*S133</f>
        <v>#VALUE!</v>
      </c>
      <c r="U133" s="80">
        <v>10</v>
      </c>
      <c r="V133" s="76" t="e">
        <f>R133*U133</f>
        <v>#VALUE!</v>
      </c>
      <c r="W133" s="496" t="s">
        <v>97</v>
      </c>
      <c r="X133" s="496"/>
      <c r="Y133" s="496" t="s">
        <v>98</v>
      </c>
      <c r="Z133" s="496"/>
      <c r="AA133" s="494" t="s">
        <v>99</v>
      </c>
      <c r="AB133" s="494"/>
      <c r="AC133" s="99">
        <f>AC128+1</f>
        <v>21</v>
      </c>
      <c r="AD133" s="95" t="str">
        <f>VLOOKUP(AC133,STN_TABLE_2,2,FALSE)</f>
        <v xml:space="preserve">  </v>
      </c>
      <c r="AE133" s="68" t="str">
        <f>VLOOKUP(AD133,STN_TABLE,2,FALSE)</f>
        <v xml:space="preserve">  </v>
      </c>
      <c r="AF133" s="68">
        <v>1</v>
      </c>
      <c r="AG133" s="69" t="e">
        <f>AE133*AF133</f>
        <v>#VALUE!</v>
      </c>
      <c r="AH133" s="496" t="s">
        <v>97</v>
      </c>
      <c r="AI133" s="496"/>
      <c r="AJ133" s="496" t="s">
        <v>98</v>
      </c>
      <c r="AK133" s="496"/>
      <c r="AL133" s="494" t="s">
        <v>99</v>
      </c>
      <c r="AM133" s="494"/>
      <c r="AP133" s="86" t="s">
        <v>112</v>
      </c>
      <c r="AQ133" s="89" t="s">
        <v>113</v>
      </c>
      <c r="AR133" s="89" t="s">
        <v>114</v>
      </c>
      <c r="AS133" s="89" t="s">
        <v>115</v>
      </c>
      <c r="AU133" s="81"/>
    </row>
    <row r="134" spans="1:47" x14ac:dyDescent="0.25">
      <c r="A134" s="84">
        <f>A133+1</f>
        <v>21</v>
      </c>
      <c r="B134" s="84" t="str">
        <f t="shared" si="48"/>
        <v xml:space="preserve">  </v>
      </c>
      <c r="C134" s="88" t="str">
        <f t="shared" ref="C134" si="67">B135</f>
        <v xml:space="preserve">  </v>
      </c>
      <c r="D134" s="82" t="str">
        <f>VLOOKUP(C134,STN_TABLE,2,FALSE)</f>
        <v xml:space="preserve">  </v>
      </c>
      <c r="E134" s="92">
        <v>1</v>
      </c>
      <c r="F134" s="82" t="e">
        <f>D134*E134</f>
        <v>#VALUE!</v>
      </c>
      <c r="G134" s="83" t="str">
        <f>C134</f>
        <v xml:space="preserve">  </v>
      </c>
      <c r="H134" s="83" t="e">
        <f>F134*G134</f>
        <v>#VALUE!</v>
      </c>
      <c r="I134" s="84" t="str">
        <f>CONCATENATE("a'(",C134,")=")</f>
        <v>a'(  )=</v>
      </c>
      <c r="J134" s="84" t="e">
        <f>2*J132/3*F135</f>
        <v>#VALUE!</v>
      </c>
      <c r="K134" s="84" t="e">
        <f>CONCATENATE("A(",C132,")=")</f>
        <v>#VALUE!</v>
      </c>
      <c r="L134" s="84" t="e">
        <f>VLOOKUP(C132,STN_TABLE,3,FALSE)</f>
        <v>#VALUE!</v>
      </c>
      <c r="M134" t="str">
        <f>CONCATENATE("A(",C134,")=")</f>
        <v>A(  )=</v>
      </c>
      <c r="N134" t="e">
        <f>J134+L134</f>
        <v>#VALUE!</v>
      </c>
      <c r="O134" s="99">
        <f>O133+1</f>
        <v>23</v>
      </c>
      <c r="P134" s="99" t="str">
        <f t="shared" si="65"/>
        <v xml:space="preserve">  </v>
      </c>
      <c r="Q134" s="82" t="e">
        <f>IF(P134-P133=P133-P132,P134,IF(P135-P133=P133-P132,P135,IF(P134-P133=P133-P131,P134,IF(P135-P133=P133-P131,P135,"-"))))</f>
        <v>#VALUE!</v>
      </c>
      <c r="R134" s="83" t="e">
        <f>VLOOKUP(Q134,STN_TABLE,2,FALSE)</f>
        <v>#VALUE!</v>
      </c>
      <c r="S134" s="83">
        <v>-1</v>
      </c>
      <c r="T134" s="82" t="e">
        <f>R134*S134</f>
        <v>#VALUE!</v>
      </c>
      <c r="U134" s="88">
        <v>-1</v>
      </c>
      <c r="V134" s="82" t="e">
        <f>R134*U134</f>
        <v>#VALUE!</v>
      </c>
      <c r="W134" s="84" t="str">
        <f>CONCATENATE("a'(",Q133,")=")</f>
        <v>a'(  )=</v>
      </c>
      <c r="X134" s="84" t="e">
        <f>2*X132/12*T135</f>
        <v>#VALUE!</v>
      </c>
      <c r="Y134" s="84" t="e">
        <f>CONCATENATE("A(",Q132,")=")</f>
        <v>#VALUE!</v>
      </c>
      <c r="Z134" s="84" t="e">
        <f>VLOOKUP(Q132,STN_TABLE,3,FALSE)</f>
        <v>#VALUE!</v>
      </c>
      <c r="AA134" t="str">
        <f>CONCATENATE("A(",Q133,")=")</f>
        <v>A(  )=</v>
      </c>
      <c r="AB134" t="e">
        <f>X134+Z134</f>
        <v>#VALUE!</v>
      </c>
      <c r="AC134" s="99">
        <f>AC133+1</f>
        <v>22</v>
      </c>
      <c r="AD134" s="100" t="str">
        <f>VLOOKUP(AC134,STN_TABLE_2,2,FALSE)</f>
        <v xml:space="preserve">  </v>
      </c>
      <c r="AE134" s="82" t="str">
        <f>VLOOKUP(AD134,STN_TABLE,2,FALSE)</f>
        <v xml:space="preserve">  </v>
      </c>
      <c r="AF134" s="82">
        <v>2</v>
      </c>
      <c r="AG134" s="83" t="e">
        <f>AE134*AF134</f>
        <v>#VALUE!</v>
      </c>
      <c r="AH134" s="84" t="str">
        <f>CONCATENATE("a'(",AD134,")=")</f>
        <v>a'(  )=</v>
      </c>
      <c r="AI134" s="84" t="e">
        <f>2*AI132/2*AE135</f>
        <v>#VALUE!</v>
      </c>
      <c r="AJ134" s="84" t="str">
        <f>CONCATENATE("A(",AD133,")=")</f>
        <v>A(  )=</v>
      </c>
      <c r="AK134" s="84" t="str">
        <f>VLOOKUP(AD133,STN_TABLE,3,FALSE)</f>
        <v xml:space="preserve"> </v>
      </c>
      <c r="AL134" t="str">
        <f>CONCATENATE("A(",AD134,")=")</f>
        <v>A(  )=</v>
      </c>
      <c r="AM134" t="e">
        <f>AI134+AK134</f>
        <v>#VALUE!</v>
      </c>
      <c r="AO134" s="68" t="str">
        <f>AA134</f>
        <v>A(  )=</v>
      </c>
      <c r="AP134" s="68" t="e">
        <f>VLOOKUP(AO134,Rise_Results,2,FALSE)</f>
        <v>#N/A</v>
      </c>
      <c r="AQ134" s="76" t="e">
        <f>N134</f>
        <v>#VALUE!</v>
      </c>
      <c r="AR134" s="76" t="e">
        <f>IF(OR(AB134&lt;=0,AB135&lt;=0),1/0,AB134)</f>
        <v>#VALUE!</v>
      </c>
      <c r="AS134" s="76" t="e">
        <f>AM134</f>
        <v>#VALUE!</v>
      </c>
      <c r="AT134" t="e">
        <f>IFERROR(AP134,IFERROR(AQ134,IFERROR(AR134,AS134)))</f>
        <v>#VALUE!</v>
      </c>
      <c r="AU134" s="81"/>
    </row>
    <row r="135" spans="1:47" x14ac:dyDescent="0.25">
      <c r="A135" s="84">
        <f>A134+1</f>
        <v>22</v>
      </c>
      <c r="B135" s="84" t="str">
        <f t="shared" si="48"/>
        <v xml:space="preserve">  </v>
      </c>
      <c r="F135" s="82" t="e">
        <f>SUM(F132:F134)</f>
        <v>#VALUE!</v>
      </c>
      <c r="H135" s="82" t="e">
        <f>SUM(H132:H134)</f>
        <v>#VALUE!</v>
      </c>
      <c r="I135" s="84" t="str">
        <f>CONCATENATE("m'(",C134,")=")</f>
        <v>m'(  )=</v>
      </c>
      <c r="J135" s="84" t="e">
        <f>2*(J132*(WLS))/3*H135</f>
        <v>#VALUE!</v>
      </c>
      <c r="K135" s="84" t="e">
        <f>CONCATENATE("M(",C132,")=")</f>
        <v>#VALUE!</v>
      </c>
      <c r="L135" s="84" t="e">
        <f>VLOOKUP(C132,STN_TABLE,4,FALSE)</f>
        <v>#VALUE!</v>
      </c>
      <c r="M135" t="str">
        <f>CONCATENATE("M(",C134,")=")</f>
        <v>M(  )=</v>
      </c>
      <c r="N135" t="e">
        <f>J135+L135</f>
        <v>#VALUE!</v>
      </c>
      <c r="O135" s="99">
        <f>O134+1</f>
        <v>24</v>
      </c>
      <c r="P135" s="99" t="str">
        <f t="shared" si="65"/>
        <v xml:space="preserve">  </v>
      </c>
      <c r="T135" s="89" t="e">
        <f>SUM(T132:T134)</f>
        <v>#VALUE!</v>
      </c>
      <c r="V135" s="82" t="e">
        <f>SUM(V132:V134)</f>
        <v>#VALUE!</v>
      </c>
      <c r="W135" s="84" t="str">
        <f>CONCATENATE("m'(",Q133,")=")</f>
        <v>m'(  )=</v>
      </c>
      <c r="X135" s="84" t="e">
        <f>(2*(X132^2)/24*V135)+(X134*Q132*WLS)</f>
        <v>#VALUE!</v>
      </c>
      <c r="Y135" s="84" t="e">
        <f>CONCATENATE("M(",Q132,")=")</f>
        <v>#VALUE!</v>
      </c>
      <c r="Z135" s="84" t="e">
        <f>VLOOKUP(Q132,STN_TABLE,4,FALSE)</f>
        <v>#VALUE!</v>
      </c>
      <c r="AA135" t="str">
        <f>CONCATENATE("M(",Q133,")=")</f>
        <v>M(  )=</v>
      </c>
      <c r="AB135" t="e">
        <f>X135+Z135</f>
        <v>#VALUE!</v>
      </c>
      <c r="AE135" s="89">
        <f>SUM(AE133:AE134)</f>
        <v>0</v>
      </c>
      <c r="AG135" s="89" t="e">
        <f>SUM(AG133:AG134)</f>
        <v>#VALUE!</v>
      </c>
      <c r="AH135" s="84" t="str">
        <f>CONCATENATE("m'(",AD134,")=")</f>
        <v>m'(  )=</v>
      </c>
      <c r="AI135" s="84" t="e">
        <f>(2*(AI132^2)/6*AG135)+(AI134*AD133*WLS)</f>
        <v>#VALUE!</v>
      </c>
      <c r="AJ135" s="84" t="str">
        <f>CONCATENATE("M(",AD133,")=")</f>
        <v>M(  )=</v>
      </c>
      <c r="AK135" s="84" t="str">
        <f>VLOOKUP(AD133,STN_TABLE,4,FALSE)</f>
        <v xml:space="preserve"> </v>
      </c>
      <c r="AL135" t="str">
        <f>CONCATENATE("M(",AD134,")=")</f>
        <v>M(  )=</v>
      </c>
      <c r="AM135" t="e">
        <f>AI135+AK135</f>
        <v>#VALUE!</v>
      </c>
      <c r="AO135" s="82" t="str">
        <f>AA135</f>
        <v>M(  )=</v>
      </c>
      <c r="AP135" s="82" t="e">
        <f>VLOOKUP(AO135,Rise_Results,2,FALSE)</f>
        <v>#N/A</v>
      </c>
      <c r="AQ135" s="82" t="e">
        <f>N135</f>
        <v>#VALUE!</v>
      </c>
      <c r="AR135" s="82" t="e">
        <f>IF(OR(AB134&lt;=0,AB135&lt;=0),1/0,AB135)</f>
        <v>#VALUE!</v>
      </c>
      <c r="AS135" s="82" t="e">
        <f>AM135</f>
        <v>#VALUE!</v>
      </c>
      <c r="AT135" t="e">
        <f>IFERROR(AP135,IFERROR(AQ135,IFERROR(AR135,AS135)))</f>
        <v>#VALUE!</v>
      </c>
      <c r="AU135" s="81"/>
    </row>
    <row r="136" spans="1:47" x14ac:dyDescent="0.25">
      <c r="A136" s="101">
        <f>A131+1</f>
        <v>19</v>
      </c>
      <c r="B136" s="101" t="str">
        <f t="shared" si="48"/>
        <v xml:space="preserve">  </v>
      </c>
      <c r="O136" s="101">
        <f>O131+1</f>
        <v>21</v>
      </c>
      <c r="P136" s="101" t="str">
        <f t="shared" si="65"/>
        <v xml:space="preserve">  </v>
      </c>
      <c r="AU136" s="81"/>
    </row>
    <row r="137" spans="1:47" x14ac:dyDescent="0.25">
      <c r="A137" s="84">
        <f>A136+1</f>
        <v>20</v>
      </c>
      <c r="B137" s="84" t="str">
        <f t="shared" si="48"/>
        <v xml:space="preserve">  </v>
      </c>
      <c r="C137" s="79" t="e">
        <f t="shared" ref="C137" si="68">IF(C138=B139,IF(C139-C138=C138-B138,B138,IF(C139-C138=C138-B137,B137,"#NA")),IF(C138=B138,IF(C139-C138=C138-B137,B137,IF(C139-C138=C138-B136,B136,"#NA")),"#NA"))</f>
        <v>#VALUE!</v>
      </c>
      <c r="D137" s="68" t="e">
        <f>VLOOKUP(C137,STN_TABLE,2,FALSE)</f>
        <v>#VALUE!</v>
      </c>
      <c r="E137" s="102">
        <v>1</v>
      </c>
      <c r="F137" s="68" t="e">
        <f>D137*E137</f>
        <v>#VALUE!</v>
      </c>
      <c r="G137" s="69" t="e">
        <f>C137</f>
        <v>#VALUE!</v>
      </c>
      <c r="H137" s="69" t="e">
        <f>F137*G137</f>
        <v>#VALUE!</v>
      </c>
      <c r="I137" s="6" t="s">
        <v>93</v>
      </c>
      <c r="J137" s="70" t="e">
        <f>IF(OR(D137=0,D138=0,D139=0),"#NA",IF(AND(C139-C138=C138-C137,C138&lt;&gt;C139,C137&lt;&gt;C138,C137&lt;&gt;C139,D139&lt;&gt;0,OR(D137&lt;&gt;0,D138&lt;&gt;0)),WLS*(C139-C138),"#NA"))</f>
        <v>#VALUE!</v>
      </c>
      <c r="O137" s="99">
        <f>O136+1</f>
        <v>22</v>
      </c>
      <c r="P137" s="99" t="str">
        <f t="shared" si="65"/>
        <v xml:space="preserve">  </v>
      </c>
      <c r="Q137" s="68" t="e">
        <f>IF(OR(P139-P138=P138-P137,P140-P138=P138-P137),P137,IF(OR(P139-P138=P138-P136,P140-P138=P138-P136),P136,"-"))</f>
        <v>#VALUE!</v>
      </c>
      <c r="R137" s="69" t="e">
        <f>VLOOKUP(Q137,STN_TABLE,2,FALSE)</f>
        <v>#VALUE!</v>
      </c>
      <c r="S137" s="69">
        <v>5</v>
      </c>
      <c r="T137" s="68" t="e">
        <f>R137*S137</f>
        <v>#VALUE!</v>
      </c>
      <c r="U137" s="79">
        <v>3</v>
      </c>
      <c r="V137" s="68" t="e">
        <f>R137*U137</f>
        <v>#VALUE!</v>
      </c>
      <c r="W137" s="6" t="s">
        <v>93</v>
      </c>
      <c r="X137" s="70" t="e">
        <f>IF(AND(Q139-Q138=Q138-Q137,NOT(AND(Q137=0,Q138=0)),NOT(AND(Q138=0,Q139=0))),WLS*(Q139-Q138),"#NA")</f>
        <v>#VALUE!</v>
      </c>
      <c r="AD137" s="93"/>
      <c r="AH137" s="6" t="s">
        <v>93</v>
      </c>
      <c r="AI137" s="70" t="e">
        <f>WLS*(AD139-AD138)</f>
        <v>#VALUE!</v>
      </c>
      <c r="AU137" s="81"/>
    </row>
    <row r="138" spans="1:47" x14ac:dyDescent="0.25">
      <c r="A138" s="84">
        <f>A137+1</f>
        <v>21</v>
      </c>
      <c r="B138" s="84" t="str">
        <f t="shared" ref="B138:B150" si="69">VLOOKUP(A138,STN_TABLE_2,2,FALSE)</f>
        <v xml:space="preserve">  </v>
      </c>
      <c r="C138" s="80" t="e">
        <f t="shared" ref="C138" si="70">IF(OR(B140-B139=B139-B138,B140-B139=B139-B137,B140-B139=B139-B136),B139,IF(OR(B140-B138=B138-B137,B140-B138=B138-B136),B138,IF(B140-B137=B137-B136,B137,"#NA")))</f>
        <v>#VALUE!</v>
      </c>
      <c r="D138" s="76" t="e">
        <f>VLOOKUP(C138,STN_TABLE,2,FALSE)</f>
        <v>#VALUE!</v>
      </c>
      <c r="E138" s="81">
        <v>4</v>
      </c>
      <c r="F138" s="76" t="e">
        <f>D138*E138</f>
        <v>#VALUE!</v>
      </c>
      <c r="G138" s="77" t="e">
        <f>C138</f>
        <v>#VALUE!</v>
      </c>
      <c r="H138" s="77" t="e">
        <f>F138*G138</f>
        <v>#VALUE!</v>
      </c>
      <c r="I138" s="495" t="s">
        <v>97</v>
      </c>
      <c r="J138" s="496"/>
      <c r="K138" s="78" t="s">
        <v>98</v>
      </c>
      <c r="L138" s="78"/>
      <c r="M138" s="7" t="s">
        <v>99</v>
      </c>
      <c r="N138" s="7"/>
      <c r="O138" s="99">
        <f>O137+1</f>
        <v>23</v>
      </c>
      <c r="P138" s="99" t="str">
        <f t="shared" si="65"/>
        <v xml:space="preserve">  </v>
      </c>
      <c r="Q138" s="76" t="str">
        <f>P138</f>
        <v xml:space="preserve">  </v>
      </c>
      <c r="R138" s="77" t="str">
        <f>VLOOKUP(Q138,STN_TABLE,2,FALSE)</f>
        <v xml:space="preserve">  </v>
      </c>
      <c r="S138" s="77">
        <v>8</v>
      </c>
      <c r="T138" s="76" t="e">
        <f>R138*S138</f>
        <v>#VALUE!</v>
      </c>
      <c r="U138" s="80">
        <v>10</v>
      </c>
      <c r="V138" s="76" t="e">
        <f>R138*U138</f>
        <v>#VALUE!</v>
      </c>
      <c r="W138" s="496" t="s">
        <v>97</v>
      </c>
      <c r="X138" s="496"/>
      <c r="Y138" s="496" t="s">
        <v>98</v>
      </c>
      <c r="Z138" s="496"/>
      <c r="AA138" s="494" t="s">
        <v>99</v>
      </c>
      <c r="AB138" s="494"/>
      <c r="AC138" s="99">
        <f>AC133+1</f>
        <v>22</v>
      </c>
      <c r="AD138" s="95" t="str">
        <f>VLOOKUP(AC138,STN_TABLE_2,2,FALSE)</f>
        <v xml:space="preserve">  </v>
      </c>
      <c r="AE138" s="68" t="str">
        <f>VLOOKUP(AD138,STN_TABLE,2,FALSE)</f>
        <v xml:space="preserve">  </v>
      </c>
      <c r="AF138" s="68">
        <v>1</v>
      </c>
      <c r="AG138" s="69" t="e">
        <f>AE138*AF138</f>
        <v>#VALUE!</v>
      </c>
      <c r="AH138" s="496" t="s">
        <v>97</v>
      </c>
      <c r="AI138" s="496"/>
      <c r="AJ138" s="496" t="s">
        <v>98</v>
      </c>
      <c r="AK138" s="496"/>
      <c r="AL138" s="494" t="s">
        <v>99</v>
      </c>
      <c r="AM138" s="494"/>
      <c r="AP138" s="86" t="s">
        <v>112</v>
      </c>
      <c r="AQ138" s="89" t="s">
        <v>113</v>
      </c>
      <c r="AR138" s="89" t="s">
        <v>114</v>
      </c>
      <c r="AS138" s="89" t="s">
        <v>115</v>
      </c>
      <c r="AU138" s="81"/>
    </row>
    <row r="139" spans="1:47" x14ac:dyDescent="0.25">
      <c r="A139" s="84">
        <f>A138+1</f>
        <v>22</v>
      </c>
      <c r="B139" s="84" t="str">
        <f t="shared" si="69"/>
        <v xml:space="preserve">  </v>
      </c>
      <c r="C139" s="88" t="str">
        <f t="shared" ref="C139" si="71">B140</f>
        <v xml:space="preserve">  </v>
      </c>
      <c r="D139" s="82" t="str">
        <f>VLOOKUP(C139,STN_TABLE,2,FALSE)</f>
        <v xml:space="preserve">  </v>
      </c>
      <c r="E139" s="92">
        <v>1</v>
      </c>
      <c r="F139" s="82" t="e">
        <f>D139*E139</f>
        <v>#VALUE!</v>
      </c>
      <c r="G139" s="83" t="str">
        <f>C139</f>
        <v xml:space="preserve">  </v>
      </c>
      <c r="H139" s="83" t="e">
        <f>F139*G139</f>
        <v>#VALUE!</v>
      </c>
      <c r="I139" s="84" t="str">
        <f>CONCATENATE("a'(",C139,")=")</f>
        <v>a'(  )=</v>
      </c>
      <c r="J139" s="84" t="e">
        <f>2*J137/3*F140</f>
        <v>#VALUE!</v>
      </c>
      <c r="K139" s="84" t="e">
        <f>CONCATENATE("A(",C137,")=")</f>
        <v>#VALUE!</v>
      </c>
      <c r="L139" s="84" t="e">
        <f>VLOOKUP(C137,STN_TABLE,3,FALSE)</f>
        <v>#VALUE!</v>
      </c>
      <c r="M139" t="str">
        <f>CONCATENATE("A(",C139,")=")</f>
        <v>A(  )=</v>
      </c>
      <c r="N139" t="e">
        <f>J139+L139</f>
        <v>#VALUE!</v>
      </c>
      <c r="O139" s="99">
        <f>O138+1</f>
        <v>24</v>
      </c>
      <c r="P139" s="99" t="str">
        <f t="shared" si="65"/>
        <v xml:space="preserve">  </v>
      </c>
      <c r="Q139" s="82" t="e">
        <f>IF(P139-P138=P138-P137,P139,IF(P140-P138=P138-P137,P140,IF(P139-P138=P138-P136,P139,IF(P140-P138=P138-P136,P140,"-"))))</f>
        <v>#VALUE!</v>
      </c>
      <c r="R139" s="83" t="e">
        <f>VLOOKUP(Q139,STN_TABLE,2,FALSE)</f>
        <v>#VALUE!</v>
      </c>
      <c r="S139" s="83">
        <v>-1</v>
      </c>
      <c r="T139" s="82" t="e">
        <f>R139*S139</f>
        <v>#VALUE!</v>
      </c>
      <c r="U139" s="88">
        <v>-1</v>
      </c>
      <c r="V139" s="82" t="e">
        <f>R139*U139</f>
        <v>#VALUE!</v>
      </c>
      <c r="W139" s="84" t="str">
        <f>CONCATENATE("a'(",Q138,")=")</f>
        <v>a'(  )=</v>
      </c>
      <c r="X139" s="84" t="e">
        <f>2*X137/12*T140</f>
        <v>#VALUE!</v>
      </c>
      <c r="Y139" s="84" t="e">
        <f>CONCATENATE("A(",Q137,")=")</f>
        <v>#VALUE!</v>
      </c>
      <c r="Z139" s="84" t="e">
        <f>VLOOKUP(Q137,STN_TABLE,3,FALSE)</f>
        <v>#VALUE!</v>
      </c>
      <c r="AA139" t="str">
        <f>CONCATENATE("A(",Q138,")=")</f>
        <v>A(  )=</v>
      </c>
      <c r="AB139" t="e">
        <f>X139+Z139</f>
        <v>#VALUE!</v>
      </c>
      <c r="AC139" s="99">
        <f>AC138+1</f>
        <v>23</v>
      </c>
      <c r="AD139" s="100" t="str">
        <f>VLOOKUP(AC139,STN_TABLE_2,2,FALSE)</f>
        <v xml:space="preserve">  </v>
      </c>
      <c r="AE139" s="82" t="str">
        <f>VLOOKUP(AD139,STN_TABLE,2,FALSE)</f>
        <v xml:space="preserve">  </v>
      </c>
      <c r="AF139" s="82">
        <v>2</v>
      </c>
      <c r="AG139" s="83" t="e">
        <f>AE139*AF139</f>
        <v>#VALUE!</v>
      </c>
      <c r="AH139" s="84" t="str">
        <f>CONCATENATE("a'(",AD139,")=")</f>
        <v>a'(  )=</v>
      </c>
      <c r="AI139" s="84" t="e">
        <f>2*AI137/2*AE140</f>
        <v>#VALUE!</v>
      </c>
      <c r="AJ139" s="84" t="str">
        <f>CONCATENATE("A(",AD138,")=")</f>
        <v>A(  )=</v>
      </c>
      <c r="AK139" s="84" t="str">
        <f>VLOOKUP(AD138,STN_TABLE,3,FALSE)</f>
        <v xml:space="preserve"> </v>
      </c>
      <c r="AL139" t="str">
        <f>CONCATENATE("A(",AD139,")=")</f>
        <v>A(  )=</v>
      </c>
      <c r="AM139" t="e">
        <f>AI139+AK139</f>
        <v>#VALUE!</v>
      </c>
      <c r="AO139" s="68" t="str">
        <f>AA139</f>
        <v>A(  )=</v>
      </c>
      <c r="AP139" s="68" t="e">
        <f>VLOOKUP(AO139,Rise_Results,2,FALSE)</f>
        <v>#N/A</v>
      </c>
      <c r="AQ139" s="76" t="e">
        <f>N139</f>
        <v>#VALUE!</v>
      </c>
      <c r="AR139" s="76" t="e">
        <f>IF(OR(AB139&lt;=0,AB140&lt;=0),1/0,AB139)</f>
        <v>#VALUE!</v>
      </c>
      <c r="AS139" s="76" t="e">
        <f>AM139</f>
        <v>#VALUE!</v>
      </c>
      <c r="AT139" t="e">
        <f>IFERROR(AP139,IFERROR(AQ139,IFERROR(AR139,AS139)))</f>
        <v>#VALUE!</v>
      </c>
      <c r="AU139" s="81"/>
    </row>
    <row r="140" spans="1:47" x14ac:dyDescent="0.25">
      <c r="A140" s="84">
        <f>A139+1</f>
        <v>23</v>
      </c>
      <c r="B140" s="84" t="str">
        <f t="shared" si="69"/>
        <v xml:space="preserve">  </v>
      </c>
      <c r="F140" s="82" t="e">
        <f>SUM(F137:F139)</f>
        <v>#VALUE!</v>
      </c>
      <c r="H140" s="82" t="e">
        <f>SUM(H137:H139)</f>
        <v>#VALUE!</v>
      </c>
      <c r="I140" s="84" t="str">
        <f>CONCATENATE("m'(",C139,")=")</f>
        <v>m'(  )=</v>
      </c>
      <c r="J140" s="84" t="e">
        <f>2*(J137*(WLS))/3*H140</f>
        <v>#VALUE!</v>
      </c>
      <c r="K140" s="84" t="e">
        <f>CONCATENATE("M(",C137,")=")</f>
        <v>#VALUE!</v>
      </c>
      <c r="L140" s="84" t="e">
        <f>VLOOKUP(C137,STN_TABLE,4,FALSE)</f>
        <v>#VALUE!</v>
      </c>
      <c r="M140" t="str">
        <f>CONCATENATE("M(",C139,")=")</f>
        <v>M(  )=</v>
      </c>
      <c r="N140" t="e">
        <f>J140+L140</f>
        <v>#VALUE!</v>
      </c>
      <c r="O140" s="99">
        <f>O139+1</f>
        <v>25</v>
      </c>
      <c r="P140" s="99" t="str">
        <f t="shared" si="65"/>
        <v xml:space="preserve">  </v>
      </c>
      <c r="T140" s="89" t="e">
        <f>SUM(T137:T139)</f>
        <v>#VALUE!</v>
      </c>
      <c r="V140" s="82" t="e">
        <f>SUM(V137:V139)</f>
        <v>#VALUE!</v>
      </c>
      <c r="W140" s="84" t="str">
        <f>CONCATENATE("m'(",Q138,")=")</f>
        <v>m'(  )=</v>
      </c>
      <c r="X140" s="84" t="e">
        <f>(2*(X137^2)/24*V140)+(X139*Q137*WLS)</f>
        <v>#VALUE!</v>
      </c>
      <c r="Y140" s="84" t="e">
        <f>CONCATENATE("M(",Q137,")=")</f>
        <v>#VALUE!</v>
      </c>
      <c r="Z140" s="84" t="e">
        <f>VLOOKUP(Q137,STN_TABLE,4,FALSE)</f>
        <v>#VALUE!</v>
      </c>
      <c r="AA140" t="str">
        <f>CONCATENATE("M(",Q138,")=")</f>
        <v>M(  )=</v>
      </c>
      <c r="AB140" t="e">
        <f>X140+Z140</f>
        <v>#VALUE!</v>
      </c>
      <c r="AE140" s="89">
        <f>SUM(AE138:AE139)</f>
        <v>0</v>
      </c>
      <c r="AG140" s="89" t="e">
        <f>SUM(AG138:AG139)</f>
        <v>#VALUE!</v>
      </c>
      <c r="AH140" s="84" t="str">
        <f>CONCATENATE("m'(",AD139,")=")</f>
        <v>m'(  )=</v>
      </c>
      <c r="AI140" s="84" t="e">
        <f>(2*(AI137^2)/6*AG140)+(AI139*AD138*WLS)</f>
        <v>#VALUE!</v>
      </c>
      <c r="AJ140" s="84" t="str">
        <f>CONCATENATE("M(",AD138,")=")</f>
        <v>M(  )=</v>
      </c>
      <c r="AK140" s="84" t="str">
        <f>VLOOKUP(AD138,STN_TABLE,4,FALSE)</f>
        <v xml:space="preserve"> </v>
      </c>
      <c r="AL140" t="str">
        <f>CONCATENATE("M(",AD139,")=")</f>
        <v>M(  )=</v>
      </c>
      <c r="AM140" t="e">
        <f>AI140+AK140</f>
        <v>#VALUE!</v>
      </c>
      <c r="AO140" s="82" t="str">
        <f>AA140</f>
        <v>M(  )=</v>
      </c>
      <c r="AP140" s="82" t="e">
        <f>VLOOKUP(AO140,Rise_Results,2,FALSE)</f>
        <v>#N/A</v>
      </c>
      <c r="AQ140" s="82" t="e">
        <f>N140</f>
        <v>#VALUE!</v>
      </c>
      <c r="AR140" s="82" t="e">
        <f>IF(OR(AB139&lt;=0,AB140&lt;=0),1/0,AB140)</f>
        <v>#VALUE!</v>
      </c>
      <c r="AS140" s="82" t="e">
        <f>AM140</f>
        <v>#VALUE!</v>
      </c>
      <c r="AT140" t="e">
        <f>IFERROR(AP140,IFERROR(AQ140,IFERROR(AR140,AS140)))</f>
        <v>#VALUE!</v>
      </c>
      <c r="AU140" s="81"/>
    </row>
    <row r="141" spans="1:47" x14ac:dyDescent="0.25">
      <c r="A141" s="101">
        <f>A136+1</f>
        <v>20</v>
      </c>
      <c r="B141" s="101" t="str">
        <f t="shared" si="69"/>
        <v xml:space="preserve">  </v>
      </c>
      <c r="O141" s="101">
        <f>O136+1</f>
        <v>22</v>
      </c>
      <c r="P141" s="101" t="str">
        <f t="shared" si="65"/>
        <v xml:space="preserve">  </v>
      </c>
      <c r="AU141" s="81"/>
    </row>
    <row r="142" spans="1:47" x14ac:dyDescent="0.25">
      <c r="A142" s="84">
        <f>A141+1</f>
        <v>21</v>
      </c>
      <c r="B142" s="84" t="str">
        <f t="shared" si="69"/>
        <v xml:space="preserve">  </v>
      </c>
      <c r="C142" s="79" t="e">
        <f t="shared" ref="C142" si="72">IF(C143=B144,IF(C144-C143=C143-B143,B143,IF(C144-C143=C143-B142,B142,"#NA")),IF(C143=B143,IF(C144-C143=C143-B142,B142,IF(C144-C143=C143-B141,B141,"#NA")),"#NA"))</f>
        <v>#VALUE!</v>
      </c>
      <c r="D142" s="68" t="e">
        <f>VLOOKUP(C142,STN_TABLE,2,FALSE)</f>
        <v>#VALUE!</v>
      </c>
      <c r="E142" s="102">
        <v>1</v>
      </c>
      <c r="F142" s="68" t="e">
        <f>D142*E142</f>
        <v>#VALUE!</v>
      </c>
      <c r="G142" s="69" t="e">
        <f>C142</f>
        <v>#VALUE!</v>
      </c>
      <c r="H142" s="69" t="e">
        <f>F142*G142</f>
        <v>#VALUE!</v>
      </c>
      <c r="I142" s="6" t="s">
        <v>93</v>
      </c>
      <c r="J142" s="70" t="e">
        <f>IF(OR(D142=0,D143=0,D144=0),"#NA",IF(AND(C144-C143=C143-C142,C143&lt;&gt;C144,C142&lt;&gt;C143,C142&lt;&gt;C144,D144&lt;&gt;0,OR(D142&lt;&gt;0,D143&lt;&gt;0)),WLS*(C144-C143),"#NA"))</f>
        <v>#VALUE!</v>
      </c>
      <c r="O142" s="99">
        <f>O141+1</f>
        <v>23</v>
      </c>
      <c r="P142" s="99" t="str">
        <f t="shared" si="65"/>
        <v xml:space="preserve">  </v>
      </c>
      <c r="Q142" s="68" t="e">
        <f>IF(OR(P144-P143=P143-P142,P145-P143=P143-P142),P142,IF(OR(P144-P143=P143-P141,P145-P143=P143-P141),P141,"-"))</f>
        <v>#VALUE!</v>
      </c>
      <c r="R142" s="69" t="e">
        <f>VLOOKUP(Q142,STN_TABLE,2,FALSE)</f>
        <v>#VALUE!</v>
      </c>
      <c r="S142" s="69">
        <v>5</v>
      </c>
      <c r="T142" s="68" t="e">
        <f>R142*S142</f>
        <v>#VALUE!</v>
      </c>
      <c r="U142" s="79">
        <v>3</v>
      </c>
      <c r="V142" s="68" t="e">
        <f>R142*U142</f>
        <v>#VALUE!</v>
      </c>
      <c r="W142" s="6" t="s">
        <v>93</v>
      </c>
      <c r="X142" s="70" t="e">
        <f>IF(AND(Q144-Q143=Q143-Q142,NOT(AND(Q142=0,Q143=0)),NOT(AND(Q143=0,Q144=0))),WLS*(Q144-Q143),"#NA")</f>
        <v>#VALUE!</v>
      </c>
      <c r="AD142" s="93"/>
      <c r="AH142" s="6" t="s">
        <v>93</v>
      </c>
      <c r="AI142" s="70" t="e">
        <f>WLS*(AD144-AD143)</f>
        <v>#VALUE!</v>
      </c>
      <c r="AU142" s="81"/>
    </row>
    <row r="143" spans="1:47" x14ac:dyDescent="0.25">
      <c r="A143" s="84">
        <f>A142+1</f>
        <v>22</v>
      </c>
      <c r="B143" s="84" t="str">
        <f t="shared" si="69"/>
        <v xml:space="preserve">  </v>
      </c>
      <c r="C143" s="80" t="e">
        <f t="shared" ref="C143" si="73">IF(OR(B145-B144=B144-B143,B145-B144=B144-B142,B145-B144=B144-B141),B144,IF(OR(B145-B143=B143-B142,B145-B143=B143-B141),B143,IF(B145-B142=B142-B141,B142,"#NA")))</f>
        <v>#VALUE!</v>
      </c>
      <c r="D143" s="76" t="e">
        <f>VLOOKUP(C143,STN_TABLE,2,FALSE)</f>
        <v>#VALUE!</v>
      </c>
      <c r="E143" s="81">
        <v>4</v>
      </c>
      <c r="F143" s="76" t="e">
        <f>D143*E143</f>
        <v>#VALUE!</v>
      </c>
      <c r="G143" s="77" t="e">
        <f>C143</f>
        <v>#VALUE!</v>
      </c>
      <c r="H143" s="77" t="e">
        <f>F143*G143</f>
        <v>#VALUE!</v>
      </c>
      <c r="I143" s="495" t="s">
        <v>97</v>
      </c>
      <c r="J143" s="496"/>
      <c r="K143" s="78" t="s">
        <v>98</v>
      </c>
      <c r="L143" s="78"/>
      <c r="M143" s="7" t="s">
        <v>99</v>
      </c>
      <c r="N143" s="7"/>
      <c r="O143" s="99">
        <f>O142+1</f>
        <v>24</v>
      </c>
      <c r="P143" s="99" t="str">
        <f t="shared" si="65"/>
        <v xml:space="preserve">  </v>
      </c>
      <c r="Q143" s="76" t="str">
        <f>P143</f>
        <v xml:space="preserve">  </v>
      </c>
      <c r="R143" s="77" t="str">
        <f>VLOOKUP(Q143,STN_TABLE,2,FALSE)</f>
        <v xml:space="preserve">  </v>
      </c>
      <c r="S143" s="77">
        <v>8</v>
      </c>
      <c r="T143" s="76" t="e">
        <f>R143*S143</f>
        <v>#VALUE!</v>
      </c>
      <c r="U143" s="80">
        <v>10</v>
      </c>
      <c r="V143" s="76" t="e">
        <f>R143*U143</f>
        <v>#VALUE!</v>
      </c>
      <c r="W143" s="496" t="s">
        <v>97</v>
      </c>
      <c r="X143" s="496"/>
      <c r="Y143" s="496" t="s">
        <v>98</v>
      </c>
      <c r="Z143" s="496"/>
      <c r="AA143" s="494" t="s">
        <v>99</v>
      </c>
      <c r="AB143" s="494"/>
      <c r="AC143" s="99">
        <f>AC138+1</f>
        <v>23</v>
      </c>
      <c r="AD143" s="95" t="str">
        <f>VLOOKUP(AC143,STN_TABLE_2,2,FALSE)</f>
        <v xml:space="preserve">  </v>
      </c>
      <c r="AE143" s="68" t="str">
        <f>VLOOKUP(AD143,STN_TABLE,2,FALSE)</f>
        <v xml:space="preserve">  </v>
      </c>
      <c r="AF143" s="68">
        <v>1</v>
      </c>
      <c r="AG143" s="69" t="e">
        <f>AE143*AF143</f>
        <v>#VALUE!</v>
      </c>
      <c r="AH143" s="496" t="s">
        <v>97</v>
      </c>
      <c r="AI143" s="496"/>
      <c r="AJ143" s="496" t="s">
        <v>98</v>
      </c>
      <c r="AK143" s="496"/>
      <c r="AL143" s="494" t="s">
        <v>99</v>
      </c>
      <c r="AM143" s="494"/>
      <c r="AP143" s="86" t="s">
        <v>112</v>
      </c>
      <c r="AQ143" s="89" t="s">
        <v>113</v>
      </c>
      <c r="AR143" s="89" t="s">
        <v>114</v>
      </c>
      <c r="AS143" s="89" t="s">
        <v>115</v>
      </c>
      <c r="AU143" s="81"/>
    </row>
    <row r="144" spans="1:47" x14ac:dyDescent="0.25">
      <c r="A144" s="84">
        <f>A143+1</f>
        <v>23</v>
      </c>
      <c r="B144" s="84" t="str">
        <f t="shared" si="69"/>
        <v xml:space="preserve">  </v>
      </c>
      <c r="C144" s="88" t="str">
        <f t="shared" ref="C144" si="74">B145</f>
        <v xml:space="preserve">  </v>
      </c>
      <c r="D144" s="82" t="str">
        <f>VLOOKUP(C144,STN_TABLE,2,FALSE)</f>
        <v xml:space="preserve">  </v>
      </c>
      <c r="E144" s="92">
        <v>1</v>
      </c>
      <c r="F144" s="82" t="e">
        <f>D144*E144</f>
        <v>#VALUE!</v>
      </c>
      <c r="G144" s="83" t="str">
        <f>C144</f>
        <v xml:space="preserve">  </v>
      </c>
      <c r="H144" s="83" t="e">
        <f>F144*G144</f>
        <v>#VALUE!</v>
      </c>
      <c r="I144" s="84" t="str">
        <f>CONCATENATE("a'(",C144,")=")</f>
        <v>a'(  )=</v>
      </c>
      <c r="J144" s="84" t="e">
        <f>2*J142/3*F145</f>
        <v>#VALUE!</v>
      </c>
      <c r="K144" s="84" t="e">
        <f>CONCATENATE("A(",C142,")=")</f>
        <v>#VALUE!</v>
      </c>
      <c r="L144" s="84" t="e">
        <f>VLOOKUP(C142,STN_TABLE,3,FALSE)</f>
        <v>#VALUE!</v>
      </c>
      <c r="M144" t="str">
        <f>CONCATENATE("A(",C144,")=")</f>
        <v>A(  )=</v>
      </c>
      <c r="N144" t="e">
        <f>J144+L144</f>
        <v>#VALUE!</v>
      </c>
      <c r="O144" s="99">
        <f>O143+1</f>
        <v>25</v>
      </c>
      <c r="P144" s="99" t="str">
        <f t="shared" si="65"/>
        <v xml:space="preserve">  </v>
      </c>
      <c r="Q144" s="82" t="e">
        <f>IF(P144-P143=P143-P142,P144,IF(P145-P143=P143-P142,P145,IF(P144-P143=P143-P141,P144,IF(P145-P143=P143-P141,P145,"-"))))</f>
        <v>#VALUE!</v>
      </c>
      <c r="R144" s="83" t="e">
        <f>VLOOKUP(Q144,STN_TABLE,2,FALSE)</f>
        <v>#VALUE!</v>
      </c>
      <c r="S144" s="83">
        <v>-1</v>
      </c>
      <c r="T144" s="82" t="e">
        <f>R144*S144</f>
        <v>#VALUE!</v>
      </c>
      <c r="U144" s="88">
        <v>-1</v>
      </c>
      <c r="V144" s="82" t="e">
        <f>R144*U144</f>
        <v>#VALUE!</v>
      </c>
      <c r="W144" s="84" t="str">
        <f>CONCATENATE("a'(",Q143,")=")</f>
        <v>a'(  )=</v>
      </c>
      <c r="X144" s="84" t="e">
        <f>2*X142/12*T145</f>
        <v>#VALUE!</v>
      </c>
      <c r="Y144" s="84" t="e">
        <f>CONCATENATE("A(",Q142,")=")</f>
        <v>#VALUE!</v>
      </c>
      <c r="Z144" s="84" t="e">
        <f>VLOOKUP(Q142,STN_TABLE,3,FALSE)</f>
        <v>#VALUE!</v>
      </c>
      <c r="AA144" t="str">
        <f>CONCATENATE("A(",Q143,")=")</f>
        <v>A(  )=</v>
      </c>
      <c r="AB144" t="e">
        <f>X144+Z144</f>
        <v>#VALUE!</v>
      </c>
      <c r="AC144" s="99">
        <f>AC143+1</f>
        <v>24</v>
      </c>
      <c r="AD144" s="100" t="str">
        <f>VLOOKUP(AC144,STN_TABLE_2,2,FALSE)</f>
        <v xml:space="preserve">  </v>
      </c>
      <c r="AE144" s="82" t="str">
        <f>VLOOKUP(AD144,STN_TABLE,2,FALSE)</f>
        <v xml:space="preserve">  </v>
      </c>
      <c r="AF144" s="82">
        <v>2</v>
      </c>
      <c r="AG144" s="83" t="e">
        <f>AE144*AF144</f>
        <v>#VALUE!</v>
      </c>
      <c r="AH144" s="84" t="str">
        <f>CONCATENATE("a'(",AD144,")=")</f>
        <v>a'(  )=</v>
      </c>
      <c r="AI144" s="84" t="e">
        <f>2*AI142/2*AE145</f>
        <v>#VALUE!</v>
      </c>
      <c r="AJ144" s="84" t="str">
        <f>CONCATENATE("A(",AD143,")=")</f>
        <v>A(  )=</v>
      </c>
      <c r="AK144" s="84" t="str">
        <f>VLOOKUP(AD143,STN_TABLE,3,FALSE)</f>
        <v xml:space="preserve"> </v>
      </c>
      <c r="AL144" t="str">
        <f>CONCATENATE("A(",AD144,")=")</f>
        <v>A(  )=</v>
      </c>
      <c r="AM144" t="e">
        <f>AI144+AK144</f>
        <v>#VALUE!</v>
      </c>
      <c r="AO144" s="68" t="str">
        <f>AA144</f>
        <v>A(  )=</v>
      </c>
      <c r="AP144" s="68" t="e">
        <f>VLOOKUP(AO144,Rise_Results,2,FALSE)</f>
        <v>#N/A</v>
      </c>
      <c r="AQ144" s="76" t="e">
        <f>N144</f>
        <v>#VALUE!</v>
      </c>
      <c r="AR144" s="76" t="e">
        <f>IF(OR(AB144&lt;=0,AB145&lt;=0),1/0,AB144)</f>
        <v>#VALUE!</v>
      </c>
      <c r="AS144" s="76" t="e">
        <f>AM144</f>
        <v>#VALUE!</v>
      </c>
      <c r="AT144" t="e">
        <f>IFERROR(AP144,IFERROR(AQ144,IFERROR(AR144,AS144)))</f>
        <v>#VALUE!</v>
      </c>
      <c r="AU144" s="81"/>
    </row>
    <row r="145" spans="1:47" x14ac:dyDescent="0.25">
      <c r="A145" s="84">
        <f>A144+1</f>
        <v>24</v>
      </c>
      <c r="B145" s="84" t="str">
        <f t="shared" si="69"/>
        <v xml:space="preserve">  </v>
      </c>
      <c r="F145" s="82" t="e">
        <f>SUM(F142:F144)</f>
        <v>#VALUE!</v>
      </c>
      <c r="H145" s="82" t="e">
        <f>SUM(H142:H144)</f>
        <v>#VALUE!</v>
      </c>
      <c r="I145" s="84" t="str">
        <f>CONCATENATE("m'(",C144,")=")</f>
        <v>m'(  )=</v>
      </c>
      <c r="J145" s="84" t="e">
        <f>2*(J142*(WLS))/3*H145</f>
        <v>#VALUE!</v>
      </c>
      <c r="K145" s="84" t="e">
        <f>CONCATENATE("M(",C142,")=")</f>
        <v>#VALUE!</v>
      </c>
      <c r="L145" s="84" t="e">
        <f>VLOOKUP(C142,STN_TABLE,4,FALSE)</f>
        <v>#VALUE!</v>
      </c>
      <c r="M145" t="str">
        <f>CONCATENATE("M(",C144,")=")</f>
        <v>M(  )=</v>
      </c>
      <c r="N145" t="e">
        <f>J145+L145</f>
        <v>#VALUE!</v>
      </c>
      <c r="O145" s="99">
        <f>O144+1</f>
        <v>26</v>
      </c>
      <c r="P145" s="99" t="e">
        <f t="shared" si="65"/>
        <v>#N/A</v>
      </c>
      <c r="T145" s="89" t="e">
        <f>SUM(T142:T144)</f>
        <v>#VALUE!</v>
      </c>
      <c r="V145" s="82" t="e">
        <f>SUM(V142:V144)</f>
        <v>#VALUE!</v>
      </c>
      <c r="W145" s="84" t="str">
        <f>CONCATENATE("m'(",Q143,")=")</f>
        <v>m'(  )=</v>
      </c>
      <c r="X145" s="84" t="e">
        <f>(2*(X142^2)/24*V145)+(X144*Q142*WLS)</f>
        <v>#VALUE!</v>
      </c>
      <c r="Y145" s="84" t="e">
        <f>CONCATENATE("M(",Q142,")=")</f>
        <v>#VALUE!</v>
      </c>
      <c r="Z145" s="84" t="e">
        <f>VLOOKUP(Q142,STN_TABLE,4,FALSE)</f>
        <v>#VALUE!</v>
      </c>
      <c r="AA145" t="str">
        <f>CONCATENATE("M(",Q143,")=")</f>
        <v>M(  )=</v>
      </c>
      <c r="AB145" t="e">
        <f>X145+Z145</f>
        <v>#VALUE!</v>
      </c>
      <c r="AE145" s="89">
        <f>SUM(AE143:AE144)</f>
        <v>0</v>
      </c>
      <c r="AG145" s="89" t="e">
        <f>SUM(AG143:AG144)</f>
        <v>#VALUE!</v>
      </c>
      <c r="AH145" s="84" t="str">
        <f>CONCATENATE("m'(",AD144,")=")</f>
        <v>m'(  )=</v>
      </c>
      <c r="AI145" s="84" t="e">
        <f>(2*(AI142^2)/6*AG145)+(AI144*AD143*WLS)</f>
        <v>#VALUE!</v>
      </c>
      <c r="AJ145" s="84" t="str">
        <f>CONCATENATE("M(",AD143,")=")</f>
        <v>M(  )=</v>
      </c>
      <c r="AK145" s="84" t="str">
        <f>VLOOKUP(AD143,STN_TABLE,4,FALSE)</f>
        <v xml:space="preserve"> </v>
      </c>
      <c r="AL145" t="str">
        <f>CONCATENATE("M(",AD144,")=")</f>
        <v>M(  )=</v>
      </c>
      <c r="AM145" t="e">
        <f>AI145+AK145</f>
        <v>#VALUE!</v>
      </c>
      <c r="AO145" s="82" t="str">
        <f>AA145</f>
        <v>M(  )=</v>
      </c>
      <c r="AP145" s="82" t="e">
        <f>VLOOKUP(AO145,Rise_Results,2,FALSE)</f>
        <v>#N/A</v>
      </c>
      <c r="AQ145" s="82" t="e">
        <f>N145</f>
        <v>#VALUE!</v>
      </c>
      <c r="AR145" s="82" t="e">
        <f>IF(OR(AB144&lt;=0,AB145&lt;=0),1/0,AB145)</f>
        <v>#VALUE!</v>
      </c>
      <c r="AS145" s="82" t="e">
        <f>AM145</f>
        <v>#VALUE!</v>
      </c>
      <c r="AT145" t="e">
        <f>IFERROR(AP145,IFERROR(AQ145,IFERROR(AR145,AS145)))</f>
        <v>#VALUE!</v>
      </c>
      <c r="AU145" s="81"/>
    </row>
    <row r="146" spans="1:47" x14ac:dyDescent="0.25">
      <c r="A146" s="101">
        <f>A141+1</f>
        <v>21</v>
      </c>
      <c r="B146" s="101" t="str">
        <f t="shared" si="69"/>
        <v xml:space="preserve">  </v>
      </c>
      <c r="O146" s="101">
        <f>O141+1</f>
        <v>23</v>
      </c>
      <c r="P146" s="101" t="str">
        <f t="shared" si="65"/>
        <v xml:space="preserve">  </v>
      </c>
      <c r="AU146" s="81"/>
    </row>
    <row r="147" spans="1:47" x14ac:dyDescent="0.25">
      <c r="A147" s="84">
        <f>A146+1</f>
        <v>22</v>
      </c>
      <c r="B147" s="84" t="str">
        <f t="shared" si="69"/>
        <v xml:space="preserve">  </v>
      </c>
      <c r="C147" s="79" t="e">
        <f t="shared" ref="C147" si="75">IF(C148=B149,IF(C149-C148=C148-B148,B148,IF(C149-C148=C148-B147,B147,"#NA")),IF(C148=B148,IF(C149-C148=C148-B147,B147,IF(C149-C148=C148-B146,B146,"#NA")),"#NA"))</f>
        <v>#VALUE!</v>
      </c>
      <c r="D147" s="68" t="e">
        <f>VLOOKUP(C147,STN_TABLE,2,FALSE)</f>
        <v>#VALUE!</v>
      </c>
      <c r="E147" s="102">
        <v>1</v>
      </c>
      <c r="F147" s="68" t="e">
        <f>D147*E147</f>
        <v>#VALUE!</v>
      </c>
      <c r="G147" s="69" t="e">
        <f>C147</f>
        <v>#VALUE!</v>
      </c>
      <c r="H147" s="69" t="e">
        <f>F147*G147</f>
        <v>#VALUE!</v>
      </c>
      <c r="I147" s="6" t="s">
        <v>93</v>
      </c>
      <c r="J147" s="70" t="e">
        <f>IF(OR(D147=0,D148=0,D149=0),"#NA",IF(AND(C149-C148=C148-C147,C148&lt;&gt;C149,C147&lt;&gt;C148,C147&lt;&gt;C149,D149&lt;&gt;0,OR(D147&lt;&gt;0,D148&lt;&gt;0)),WLS*(C149-C148),"#NA"))</f>
        <v>#VALUE!</v>
      </c>
      <c r="O147" s="99">
        <f>O146+1</f>
        <v>24</v>
      </c>
      <c r="P147" s="99" t="str">
        <f t="shared" si="65"/>
        <v xml:space="preserve">  </v>
      </c>
      <c r="Q147" s="68" t="e">
        <f>IF(OR(P149-P148=P148-P147,P150-P148=P148-P147),P147,IF(OR(P149-P148=P148-P146,P150-P148=P148-P146),P146,"-"))</f>
        <v>#N/A</v>
      </c>
      <c r="R147" s="69" t="e">
        <f>VLOOKUP(Q147,STN_TABLE,2,FALSE)</f>
        <v>#N/A</v>
      </c>
      <c r="S147" s="69">
        <v>5</v>
      </c>
      <c r="T147" s="68" t="e">
        <f>R147*S147</f>
        <v>#N/A</v>
      </c>
      <c r="U147" s="79">
        <v>3</v>
      </c>
      <c r="V147" s="68" t="e">
        <f>R147*U147</f>
        <v>#N/A</v>
      </c>
      <c r="W147" s="6" t="s">
        <v>93</v>
      </c>
      <c r="X147" s="70" t="e">
        <f>IF(AND(Q149-Q148=Q148-Q147,NOT(AND(Q147=0,Q148=0)),NOT(AND(Q148=0,Q149=0))),WLS*(Q149-Q148),"#NA")</f>
        <v>#N/A</v>
      </c>
      <c r="AD147" s="93"/>
      <c r="AH147" s="6" t="s">
        <v>93</v>
      </c>
      <c r="AI147" s="70" t="e">
        <f>WLS*(AD149-AD148)</f>
        <v>#VALUE!</v>
      </c>
      <c r="AU147" s="81"/>
    </row>
    <row r="148" spans="1:47" x14ac:dyDescent="0.25">
      <c r="A148" s="84">
        <f>A147+1</f>
        <v>23</v>
      </c>
      <c r="B148" s="84" t="str">
        <f t="shared" si="69"/>
        <v xml:space="preserve">  </v>
      </c>
      <c r="C148" s="80" t="e">
        <f t="shared" ref="C148" si="76">IF(OR(B150-B149=B149-B148,B150-B149=B149-B147,B150-B149=B149-B146),B149,IF(OR(B150-B148=B148-B147,B150-B148=B148-B146),B148,IF(B150-B147=B147-B146,B147,"#NA")))</f>
        <v>#VALUE!</v>
      </c>
      <c r="D148" s="76" t="e">
        <f>VLOOKUP(C148,STN_TABLE,2,FALSE)</f>
        <v>#VALUE!</v>
      </c>
      <c r="E148" s="81">
        <v>4</v>
      </c>
      <c r="F148" s="76" t="e">
        <f>D148*E148</f>
        <v>#VALUE!</v>
      </c>
      <c r="G148" s="77" t="e">
        <f>C148</f>
        <v>#VALUE!</v>
      </c>
      <c r="H148" s="77" t="e">
        <f>F148*G148</f>
        <v>#VALUE!</v>
      </c>
      <c r="I148" s="495" t="s">
        <v>97</v>
      </c>
      <c r="J148" s="496"/>
      <c r="K148" s="78" t="s">
        <v>98</v>
      </c>
      <c r="L148" s="78"/>
      <c r="M148" s="7" t="s">
        <v>99</v>
      </c>
      <c r="N148" s="7"/>
      <c r="O148" s="99">
        <f>O147+1</f>
        <v>25</v>
      </c>
      <c r="P148" s="99" t="str">
        <f t="shared" si="65"/>
        <v xml:space="preserve">  </v>
      </c>
      <c r="Q148" s="76" t="str">
        <f>P148</f>
        <v xml:space="preserve">  </v>
      </c>
      <c r="R148" s="77" t="str">
        <f>VLOOKUP(Q148,STN_TABLE,2,FALSE)</f>
        <v xml:space="preserve">  </v>
      </c>
      <c r="S148" s="77">
        <v>8</v>
      </c>
      <c r="T148" s="76" t="e">
        <f>R148*S148</f>
        <v>#VALUE!</v>
      </c>
      <c r="U148" s="80">
        <v>10</v>
      </c>
      <c r="V148" s="76" t="e">
        <f>R148*U148</f>
        <v>#VALUE!</v>
      </c>
      <c r="W148" s="496" t="s">
        <v>97</v>
      </c>
      <c r="X148" s="496"/>
      <c r="Y148" s="496" t="s">
        <v>98</v>
      </c>
      <c r="Z148" s="496"/>
      <c r="AA148" s="494" t="s">
        <v>99</v>
      </c>
      <c r="AB148" s="494"/>
      <c r="AC148" s="99">
        <f>AC143+1</f>
        <v>24</v>
      </c>
      <c r="AD148" s="95" t="str">
        <f>VLOOKUP(AC148,STN_TABLE_2,2,FALSE)</f>
        <v xml:space="preserve">  </v>
      </c>
      <c r="AE148" s="68" t="str">
        <f>VLOOKUP(AD148,STN_TABLE,2,FALSE)</f>
        <v xml:space="preserve">  </v>
      </c>
      <c r="AF148" s="68">
        <v>1</v>
      </c>
      <c r="AG148" s="69" t="e">
        <f>AE148*AF148</f>
        <v>#VALUE!</v>
      </c>
      <c r="AH148" s="496" t="s">
        <v>97</v>
      </c>
      <c r="AI148" s="496"/>
      <c r="AJ148" s="496" t="s">
        <v>98</v>
      </c>
      <c r="AK148" s="496"/>
      <c r="AL148" s="494" t="s">
        <v>99</v>
      </c>
      <c r="AM148" s="494"/>
      <c r="AP148" s="86" t="s">
        <v>112</v>
      </c>
      <c r="AQ148" s="89" t="s">
        <v>113</v>
      </c>
      <c r="AR148" s="89" t="s">
        <v>114</v>
      </c>
      <c r="AS148" s="89" t="s">
        <v>115</v>
      </c>
      <c r="AU148" s="81"/>
    </row>
    <row r="149" spans="1:47" x14ac:dyDescent="0.25">
      <c r="A149" s="84">
        <f>A148+1</f>
        <v>24</v>
      </c>
      <c r="B149" s="84" t="str">
        <f t="shared" si="69"/>
        <v xml:space="preserve">  </v>
      </c>
      <c r="C149" s="88" t="str">
        <f t="shared" ref="C149" si="77">B150</f>
        <v xml:space="preserve">  </v>
      </c>
      <c r="D149" s="82" t="str">
        <f>VLOOKUP(C149,STN_TABLE,2,FALSE)</f>
        <v xml:space="preserve">  </v>
      </c>
      <c r="E149" s="92">
        <v>1</v>
      </c>
      <c r="F149" s="82" t="e">
        <f>D149*E149</f>
        <v>#VALUE!</v>
      </c>
      <c r="G149" s="83" t="str">
        <f>C149</f>
        <v xml:space="preserve">  </v>
      </c>
      <c r="H149" s="83" t="e">
        <f>F149*G149</f>
        <v>#VALUE!</v>
      </c>
      <c r="I149" s="84" t="str">
        <f>CONCATENATE("a'(",C149,")=")</f>
        <v>a'(  )=</v>
      </c>
      <c r="J149" s="84" t="e">
        <f>2*J147/3*F150</f>
        <v>#VALUE!</v>
      </c>
      <c r="K149" s="84" t="e">
        <f>CONCATENATE("A(",C147,")=")</f>
        <v>#VALUE!</v>
      </c>
      <c r="L149" s="84" t="e">
        <f>VLOOKUP(C147,STN_TABLE,3,FALSE)</f>
        <v>#VALUE!</v>
      </c>
      <c r="M149" t="str">
        <f>CONCATENATE("A(",C149,")=")</f>
        <v>A(  )=</v>
      </c>
      <c r="N149" t="e">
        <f>J149+L149</f>
        <v>#VALUE!</v>
      </c>
      <c r="O149" s="99">
        <f>O148+1</f>
        <v>26</v>
      </c>
      <c r="P149" s="99" t="e">
        <f t="shared" si="65"/>
        <v>#N/A</v>
      </c>
      <c r="Q149" s="82" t="e">
        <f>IF(P149-P148=P148-P147,P149,IF(P150-P148=P148-P147,P150,IF(P149-P148=P148-P146,P149,IF(P150-P148=P148-P146,P150,"-"))))</f>
        <v>#N/A</v>
      </c>
      <c r="R149" s="83" t="e">
        <f>VLOOKUP(Q149,STN_TABLE,2,FALSE)</f>
        <v>#N/A</v>
      </c>
      <c r="S149" s="83">
        <v>-1</v>
      </c>
      <c r="T149" s="82" t="e">
        <f>R149*S149</f>
        <v>#N/A</v>
      </c>
      <c r="U149" s="88">
        <v>-1</v>
      </c>
      <c r="V149" s="82" t="e">
        <f>R149*U149</f>
        <v>#N/A</v>
      </c>
      <c r="W149" s="84" t="str">
        <f>CONCATENATE("a'(",Q148,")=")</f>
        <v>a'(  )=</v>
      </c>
      <c r="X149" s="84" t="e">
        <f>2*X147/12*T150</f>
        <v>#N/A</v>
      </c>
      <c r="Y149" s="84" t="e">
        <f>CONCATENATE("A(",Q147,")=")</f>
        <v>#N/A</v>
      </c>
      <c r="Z149" s="84" t="e">
        <f>VLOOKUP(Q147,STN_TABLE,3,FALSE)</f>
        <v>#N/A</v>
      </c>
      <c r="AA149" t="str">
        <f>CONCATENATE("A(",Q148,")=")</f>
        <v>A(  )=</v>
      </c>
      <c r="AB149" t="e">
        <f>X149+Z149</f>
        <v>#N/A</v>
      </c>
      <c r="AC149" s="99">
        <f>AC148+1</f>
        <v>25</v>
      </c>
      <c r="AD149" s="100" t="str">
        <f>VLOOKUP(AC149,STN_TABLE_2,2,FALSE)</f>
        <v xml:space="preserve">  </v>
      </c>
      <c r="AE149" s="82" t="str">
        <f>VLOOKUP(AD149,STN_TABLE,2,FALSE)</f>
        <v xml:space="preserve">  </v>
      </c>
      <c r="AF149" s="82">
        <v>2</v>
      </c>
      <c r="AG149" s="83" t="e">
        <f>AE149*AF149</f>
        <v>#VALUE!</v>
      </c>
      <c r="AH149" s="84" t="str">
        <f>CONCATENATE("a'(",AD149,")=")</f>
        <v>a'(  )=</v>
      </c>
      <c r="AI149" s="84" t="e">
        <f>2*AI147/2*AE150</f>
        <v>#VALUE!</v>
      </c>
      <c r="AJ149" s="84" t="str">
        <f>CONCATENATE("A(",AD148,")=")</f>
        <v>A(  )=</v>
      </c>
      <c r="AK149" s="84" t="str">
        <f>VLOOKUP(AD148,STN_TABLE,3,FALSE)</f>
        <v xml:space="preserve"> </v>
      </c>
      <c r="AL149" t="str">
        <f>CONCATENATE("A(",AD149,")=")</f>
        <v>A(  )=</v>
      </c>
      <c r="AM149" t="e">
        <f>AI149+AK149</f>
        <v>#VALUE!</v>
      </c>
      <c r="AO149" s="68" t="str">
        <f>AA149</f>
        <v>A(  )=</v>
      </c>
      <c r="AP149" s="68" t="e">
        <f>VLOOKUP(AO149,Rise_Results,2,FALSE)</f>
        <v>#N/A</v>
      </c>
      <c r="AQ149" s="76" t="e">
        <f>N149</f>
        <v>#VALUE!</v>
      </c>
      <c r="AR149" s="76" t="e">
        <f>IF(OR(AB149&lt;=0,AB150&lt;=0),1/0,AB149)</f>
        <v>#N/A</v>
      </c>
      <c r="AS149" s="76" t="e">
        <f>AM149</f>
        <v>#VALUE!</v>
      </c>
      <c r="AT149" t="e">
        <f>IFERROR(AP149,IFERROR(AQ149,IFERROR(AR149,AS149)))</f>
        <v>#VALUE!</v>
      </c>
      <c r="AU149" s="81"/>
    </row>
    <row r="150" spans="1:47" x14ac:dyDescent="0.25">
      <c r="A150" s="84">
        <f>A149+1</f>
        <v>25</v>
      </c>
      <c r="B150" s="84" t="str">
        <f t="shared" si="69"/>
        <v xml:space="preserve">  </v>
      </c>
      <c r="F150" s="82" t="e">
        <f>SUM(F147:F149)</f>
        <v>#VALUE!</v>
      </c>
      <c r="H150" s="82" t="e">
        <f>SUM(H147:H149)</f>
        <v>#VALUE!</v>
      </c>
      <c r="I150" s="84" t="str">
        <f>CONCATENATE("m'(",C149,")=")</f>
        <v>m'(  )=</v>
      </c>
      <c r="J150" s="84" t="e">
        <f>2*(J147*(WLS))/3*H150</f>
        <v>#VALUE!</v>
      </c>
      <c r="K150" s="84" t="e">
        <f>CONCATENATE("M(",C147,")=")</f>
        <v>#VALUE!</v>
      </c>
      <c r="L150" s="84" t="e">
        <f>VLOOKUP(C147,STN_TABLE,4,FALSE)</f>
        <v>#VALUE!</v>
      </c>
      <c r="M150" t="str">
        <f>CONCATENATE("M(",C149,")=")</f>
        <v>M(  )=</v>
      </c>
      <c r="N150" t="e">
        <f>J150+L150</f>
        <v>#VALUE!</v>
      </c>
      <c r="O150" s="99">
        <f>O149+1</f>
        <v>27</v>
      </c>
      <c r="P150" s="99" t="e">
        <f t="shared" si="65"/>
        <v>#N/A</v>
      </c>
      <c r="T150" s="89" t="e">
        <f>SUM(T147:T149)</f>
        <v>#N/A</v>
      </c>
      <c r="V150" s="82" t="e">
        <f>SUM(V147:V149)</f>
        <v>#N/A</v>
      </c>
      <c r="W150" s="84" t="str">
        <f>CONCATENATE("m'(",Q148,")=")</f>
        <v>m'(  )=</v>
      </c>
      <c r="X150" s="84" t="e">
        <f>(2*(X147^2)/24*V150)+(X149*Q147*WLS)</f>
        <v>#N/A</v>
      </c>
      <c r="Y150" s="84" t="e">
        <f>CONCATENATE("M(",Q147,")=")</f>
        <v>#N/A</v>
      </c>
      <c r="Z150" s="84" t="e">
        <f>VLOOKUP(Q147,STN_TABLE,4,FALSE)</f>
        <v>#N/A</v>
      </c>
      <c r="AA150" t="str">
        <f>CONCATENATE("M(",Q148,")=")</f>
        <v>M(  )=</v>
      </c>
      <c r="AB150" t="e">
        <f>X150+Z150</f>
        <v>#N/A</v>
      </c>
      <c r="AE150" s="89">
        <f>SUM(AE148:AE149)</f>
        <v>0</v>
      </c>
      <c r="AG150" s="89" t="e">
        <f>SUM(AG148:AG149)</f>
        <v>#VALUE!</v>
      </c>
      <c r="AH150" s="84" t="str">
        <f>CONCATENATE("m'(",AD149,")=")</f>
        <v>m'(  )=</v>
      </c>
      <c r="AI150" s="84" t="e">
        <f>(2*(AI147^2)/6*AG150)+(AI149*AD148*WLS)</f>
        <v>#VALUE!</v>
      </c>
      <c r="AJ150" s="84" t="str">
        <f>CONCATENATE("M(",AD148,")=")</f>
        <v>M(  )=</v>
      </c>
      <c r="AK150" s="84" t="str">
        <f>VLOOKUP(AD148,STN_TABLE,4,FALSE)</f>
        <v xml:space="preserve"> </v>
      </c>
      <c r="AL150" t="str">
        <f>CONCATENATE("M(",AD149,")=")</f>
        <v>M(  )=</v>
      </c>
      <c r="AM150" t="e">
        <f>AI150+AK150</f>
        <v>#VALUE!</v>
      </c>
      <c r="AO150" s="82" t="str">
        <f>AA150</f>
        <v>M(  )=</v>
      </c>
      <c r="AP150" s="82" t="e">
        <f>VLOOKUP(AO150,Rise_Results,2,FALSE)</f>
        <v>#N/A</v>
      </c>
      <c r="AQ150" s="82" t="e">
        <f>N150</f>
        <v>#VALUE!</v>
      </c>
      <c r="AR150" s="82" t="e">
        <f>IF(OR(AB149&lt;=0,AB150&lt;=0),1/0,AB150)</f>
        <v>#N/A</v>
      </c>
      <c r="AS150" s="82" t="e">
        <f>AM150</f>
        <v>#VALUE!</v>
      </c>
      <c r="AT150" t="e">
        <f>IFERROR(AP150,IFERROR(AQ150,IFERROR(AR150,AS150)))</f>
        <v>#VALUE!</v>
      </c>
      <c r="AU150" s="81"/>
    </row>
    <row r="151" spans="1:47" x14ac:dyDescent="0.25">
      <c r="A151" s="101"/>
      <c r="B151" s="101"/>
      <c r="AU151" s="81"/>
    </row>
    <row r="152" spans="1:47" x14ac:dyDescent="0.25">
      <c r="A152" s="84"/>
      <c r="B152" s="84"/>
      <c r="E152" s="81"/>
      <c r="F152" s="81"/>
      <c r="G152" s="81"/>
      <c r="H152" s="81"/>
      <c r="I152" s="103"/>
      <c r="J152" s="70"/>
      <c r="AU152" s="81"/>
    </row>
    <row r="153" spans="1:47" x14ac:dyDescent="0.25">
      <c r="A153" s="84"/>
      <c r="B153" s="84"/>
      <c r="E153" s="81"/>
      <c r="F153" s="81"/>
      <c r="G153" s="81"/>
      <c r="H153" s="81"/>
      <c r="I153" s="104"/>
      <c r="J153" s="78"/>
      <c r="K153" s="78"/>
      <c r="L153" s="78"/>
      <c r="M153" s="7"/>
      <c r="N153" s="7"/>
      <c r="AO153" s="81"/>
      <c r="AP153" s="81"/>
      <c r="AQ153" s="81"/>
      <c r="AR153" s="81"/>
      <c r="AS153" s="81"/>
      <c r="AT153" s="81"/>
      <c r="AU153" s="81"/>
    </row>
    <row r="154" spans="1:47" x14ac:dyDescent="0.25">
      <c r="A154" s="84"/>
      <c r="B154" s="84"/>
      <c r="E154" s="81"/>
      <c r="F154" s="81"/>
      <c r="G154" s="81"/>
      <c r="H154" s="81"/>
      <c r="I154" s="105"/>
      <c r="J154" s="84"/>
      <c r="K154" s="84"/>
      <c r="L154" s="84"/>
      <c r="AO154" s="81"/>
      <c r="AP154" s="81"/>
      <c r="AQ154" s="81"/>
      <c r="AR154" s="81"/>
      <c r="AS154" s="81"/>
      <c r="AT154" s="81"/>
      <c r="AU154" s="81"/>
    </row>
    <row r="155" spans="1:47" x14ac:dyDescent="0.25">
      <c r="A155" s="84"/>
      <c r="B155" s="84"/>
      <c r="E155" s="81"/>
      <c r="F155" s="81"/>
      <c r="G155" s="81"/>
      <c r="H155" s="81"/>
      <c r="I155" s="105"/>
      <c r="J155" s="84"/>
      <c r="K155" s="84"/>
      <c r="L155" s="84"/>
      <c r="AO155" s="81"/>
      <c r="AP155" s="81"/>
      <c r="AQ155" s="81"/>
      <c r="AR155" s="81"/>
      <c r="AS155" s="81"/>
      <c r="AT155" s="81"/>
      <c r="AU155" s="81"/>
    </row>
    <row r="156" spans="1:47" x14ac:dyDescent="0.25">
      <c r="A156" s="101"/>
      <c r="B156" s="101"/>
      <c r="E156" s="81"/>
      <c r="F156" s="81"/>
      <c r="G156" s="81"/>
      <c r="H156" s="81"/>
      <c r="I156" s="81"/>
      <c r="AO156" s="81"/>
      <c r="AP156" s="81"/>
      <c r="AQ156" s="81"/>
      <c r="AR156" s="81"/>
      <c r="AS156" s="81"/>
      <c r="AT156" s="81"/>
      <c r="AU156" s="81"/>
    </row>
    <row r="157" spans="1:47" x14ac:dyDescent="0.25">
      <c r="A157" s="84"/>
      <c r="B157" s="84"/>
      <c r="E157" s="81"/>
      <c r="F157" s="81"/>
      <c r="G157" s="81"/>
      <c r="H157" s="81"/>
      <c r="I157" s="103"/>
      <c r="J157" s="70"/>
      <c r="AO157" s="81"/>
      <c r="AP157" s="81"/>
      <c r="AQ157" s="81"/>
      <c r="AR157" s="81"/>
      <c r="AS157" s="81"/>
      <c r="AT157" s="81"/>
      <c r="AU157" s="81"/>
    </row>
    <row r="158" spans="1:47" x14ac:dyDescent="0.25">
      <c r="A158" s="84"/>
      <c r="B158" s="84"/>
      <c r="E158" s="81"/>
      <c r="F158" s="81"/>
      <c r="G158" s="81"/>
      <c r="H158" s="81"/>
      <c r="I158" s="104"/>
      <c r="J158" s="78"/>
      <c r="K158" s="78"/>
      <c r="L158" s="78"/>
      <c r="M158" s="7"/>
      <c r="N158" s="7"/>
      <c r="AO158" s="81"/>
      <c r="AP158" s="81"/>
      <c r="AQ158" s="81"/>
      <c r="AR158" s="81"/>
      <c r="AS158" s="81"/>
      <c r="AT158" s="81"/>
      <c r="AU158" s="81"/>
    </row>
    <row r="159" spans="1:47" x14ac:dyDescent="0.25">
      <c r="A159" s="84"/>
      <c r="B159" s="84"/>
      <c r="E159" s="81"/>
      <c r="F159" s="81"/>
      <c r="G159" s="81"/>
      <c r="H159" s="81"/>
      <c r="I159" s="105"/>
      <c r="J159" s="84"/>
      <c r="K159" s="84"/>
      <c r="L159" s="84"/>
      <c r="AO159" s="81"/>
      <c r="AP159" s="81"/>
      <c r="AQ159" s="81"/>
      <c r="AR159" s="81"/>
      <c r="AS159" s="81"/>
      <c r="AT159" s="81"/>
      <c r="AU159" s="81"/>
    </row>
    <row r="160" spans="1:47" x14ac:dyDescent="0.25">
      <c r="A160" s="84"/>
      <c r="B160" s="84"/>
      <c r="E160" s="81"/>
      <c r="F160" s="81"/>
      <c r="G160" s="81"/>
      <c r="H160" s="81"/>
      <c r="I160" s="105"/>
      <c r="J160" s="84"/>
      <c r="K160" s="84"/>
      <c r="L160" s="84"/>
      <c r="AO160" s="81"/>
      <c r="AP160" s="81"/>
      <c r="AQ160" s="81"/>
      <c r="AR160" s="81"/>
      <c r="AS160" s="81"/>
      <c r="AT160" s="81"/>
      <c r="AU160" s="81"/>
    </row>
    <row r="161" spans="1:47" x14ac:dyDescent="0.25">
      <c r="A161" s="101"/>
      <c r="B161" s="101"/>
      <c r="E161" s="81"/>
      <c r="F161" s="81"/>
      <c r="G161" s="81"/>
      <c r="H161" s="81"/>
      <c r="I161" s="81"/>
      <c r="AO161" s="81"/>
      <c r="AP161" s="81"/>
      <c r="AQ161" s="81"/>
      <c r="AR161" s="81"/>
      <c r="AS161" s="81"/>
      <c r="AT161" s="81"/>
      <c r="AU161" s="81"/>
    </row>
    <row r="162" spans="1:47" x14ac:dyDescent="0.25">
      <c r="A162" s="84"/>
      <c r="B162" s="84"/>
      <c r="E162" s="81"/>
      <c r="F162" s="81"/>
      <c r="G162" s="81"/>
      <c r="H162" s="81"/>
      <c r="I162" s="103"/>
      <c r="J162" s="70"/>
      <c r="AO162" s="81"/>
      <c r="AP162" s="81"/>
      <c r="AQ162" s="81"/>
      <c r="AR162" s="81"/>
      <c r="AS162" s="81"/>
      <c r="AT162" s="81"/>
      <c r="AU162" s="81"/>
    </row>
    <row r="163" spans="1:47" x14ac:dyDescent="0.25">
      <c r="A163" s="84"/>
      <c r="B163" s="84"/>
      <c r="E163" s="81"/>
      <c r="F163" s="81"/>
      <c r="G163" s="81"/>
      <c r="H163" s="81"/>
      <c r="I163" s="104"/>
      <c r="J163" s="78"/>
      <c r="K163" s="78"/>
      <c r="L163" s="78"/>
      <c r="M163" s="7"/>
      <c r="N163" s="7"/>
      <c r="AO163" s="81"/>
      <c r="AP163" s="81"/>
      <c r="AQ163" s="81"/>
      <c r="AR163" s="81"/>
      <c r="AS163" s="81"/>
      <c r="AT163" s="81"/>
      <c r="AU163" s="81"/>
    </row>
    <row r="164" spans="1:47" x14ac:dyDescent="0.25">
      <c r="A164" s="84"/>
      <c r="B164" s="84"/>
      <c r="E164" s="81"/>
      <c r="F164" s="81"/>
      <c r="G164" s="81"/>
      <c r="H164" s="81"/>
      <c r="I164" s="105"/>
      <c r="J164" s="84"/>
      <c r="K164" s="84"/>
      <c r="L164" s="84"/>
    </row>
    <row r="165" spans="1:47" x14ac:dyDescent="0.25">
      <c r="A165" s="84"/>
      <c r="B165" s="84"/>
      <c r="E165" s="81"/>
      <c r="F165" s="81"/>
      <c r="G165" s="81"/>
      <c r="H165" s="81"/>
      <c r="I165" s="105"/>
      <c r="J165" s="84"/>
      <c r="K165" s="84"/>
      <c r="L165" s="84"/>
    </row>
    <row r="166" spans="1:47" x14ac:dyDescent="0.25">
      <c r="A166" s="101"/>
      <c r="B166" s="101"/>
      <c r="E166" s="81"/>
      <c r="F166" s="81"/>
      <c r="G166" s="81"/>
      <c r="H166" s="81"/>
      <c r="I166" s="81"/>
    </row>
    <row r="167" spans="1:47" x14ac:dyDescent="0.25">
      <c r="A167" s="84"/>
      <c r="B167" s="84"/>
      <c r="E167" s="81"/>
      <c r="F167" s="81"/>
      <c r="G167" s="81"/>
      <c r="H167" s="81"/>
      <c r="I167" s="103"/>
      <c r="J167" s="70"/>
    </row>
    <row r="168" spans="1:47" x14ac:dyDescent="0.25">
      <c r="A168" s="84"/>
      <c r="B168" s="84"/>
      <c r="E168" s="81"/>
      <c r="F168" s="81"/>
      <c r="G168" s="81"/>
      <c r="H168" s="81"/>
      <c r="I168" s="104"/>
      <c r="J168" s="78"/>
      <c r="K168" s="78"/>
      <c r="L168" s="78"/>
      <c r="M168" s="7"/>
      <c r="N168" s="7"/>
    </row>
    <row r="169" spans="1:47" x14ac:dyDescent="0.25">
      <c r="A169" s="84"/>
      <c r="B169" s="84"/>
      <c r="E169" s="81"/>
      <c r="F169" s="81"/>
      <c r="G169" s="81"/>
      <c r="H169" s="81"/>
      <c r="I169" s="105"/>
      <c r="J169" s="84"/>
      <c r="K169" s="84"/>
      <c r="L169" s="84"/>
    </row>
    <row r="170" spans="1:47" x14ac:dyDescent="0.25">
      <c r="A170" s="84"/>
      <c r="B170" s="84"/>
      <c r="E170" s="81"/>
      <c r="F170" s="81"/>
      <c r="G170" s="81"/>
      <c r="H170" s="81"/>
      <c r="I170" s="105"/>
      <c r="J170" s="84"/>
      <c r="K170" s="84"/>
      <c r="L170" s="84"/>
    </row>
    <row r="171" spans="1:47" x14ac:dyDescent="0.25">
      <c r="E171" s="81"/>
      <c r="F171" s="81"/>
      <c r="G171" s="81"/>
      <c r="H171" s="81"/>
      <c r="I171" s="81"/>
    </row>
  </sheetData>
  <sheetProtection selectLockedCells="1" selectUnlockedCells="1"/>
  <mergeCells count="167">
    <mergeCell ref="A1:B1"/>
    <mergeCell ref="E1:F1"/>
    <mergeCell ref="L1:M1"/>
    <mergeCell ref="W33:X33"/>
    <mergeCell ref="Y33:Z33"/>
    <mergeCell ref="AA33:AB33"/>
    <mergeCell ref="AH33:AI33"/>
    <mergeCell ref="AJ33:AK33"/>
    <mergeCell ref="AL33:AM33"/>
    <mergeCell ref="I38:J38"/>
    <mergeCell ref="W38:X38"/>
    <mergeCell ref="Y38:Z38"/>
    <mergeCell ref="AA38:AB38"/>
    <mergeCell ref="AH38:AI38"/>
    <mergeCell ref="AJ38:AK38"/>
    <mergeCell ref="AL38:AM38"/>
    <mergeCell ref="AL43:AM43"/>
    <mergeCell ref="I48:J48"/>
    <mergeCell ref="W48:X48"/>
    <mergeCell ref="Y48:Z48"/>
    <mergeCell ref="AA48:AB48"/>
    <mergeCell ref="AH48:AI48"/>
    <mergeCell ref="AJ48:AK48"/>
    <mergeCell ref="AL48:AM48"/>
    <mergeCell ref="I43:J43"/>
    <mergeCell ref="W43:X43"/>
    <mergeCell ref="Y43:Z43"/>
    <mergeCell ref="AA43:AB43"/>
    <mergeCell ref="AH43:AI43"/>
    <mergeCell ref="AJ43:AK43"/>
    <mergeCell ref="AL53:AM53"/>
    <mergeCell ref="I58:J58"/>
    <mergeCell ref="AH58:AI58"/>
    <mergeCell ref="AJ58:AK58"/>
    <mergeCell ref="AL58:AM58"/>
    <mergeCell ref="I63:J63"/>
    <mergeCell ref="W63:X63"/>
    <mergeCell ref="Y63:Z63"/>
    <mergeCell ref="AA63:AB63"/>
    <mergeCell ref="AH63:AI63"/>
    <mergeCell ref="I53:J53"/>
    <mergeCell ref="W53:X53"/>
    <mergeCell ref="Y53:Z53"/>
    <mergeCell ref="AA53:AB53"/>
    <mergeCell ref="AH53:AI53"/>
    <mergeCell ref="AJ53:AK53"/>
    <mergeCell ref="AJ63:AK63"/>
    <mergeCell ref="AL63:AM63"/>
    <mergeCell ref="I68:J68"/>
    <mergeCell ref="W68:X68"/>
    <mergeCell ref="Y68:Z68"/>
    <mergeCell ref="AA68:AB68"/>
    <mergeCell ref="AH68:AI68"/>
    <mergeCell ref="AJ68:AK68"/>
    <mergeCell ref="AL68:AM68"/>
    <mergeCell ref="AL73:AM73"/>
    <mergeCell ref="I78:J78"/>
    <mergeCell ref="W78:X78"/>
    <mergeCell ref="Y78:Z78"/>
    <mergeCell ref="AA78:AB78"/>
    <mergeCell ref="AH78:AI78"/>
    <mergeCell ref="AJ78:AK78"/>
    <mergeCell ref="AL78:AM78"/>
    <mergeCell ref="I73:J73"/>
    <mergeCell ref="W73:X73"/>
    <mergeCell ref="Y73:Z73"/>
    <mergeCell ref="AA73:AB73"/>
    <mergeCell ref="AH73:AI73"/>
    <mergeCell ref="AJ73:AK73"/>
    <mergeCell ref="AL83:AM83"/>
    <mergeCell ref="I88:J88"/>
    <mergeCell ref="W88:X88"/>
    <mergeCell ref="Y88:Z88"/>
    <mergeCell ref="AA88:AB88"/>
    <mergeCell ref="AH88:AI88"/>
    <mergeCell ref="AJ88:AK88"/>
    <mergeCell ref="AL88:AM88"/>
    <mergeCell ref="I83:J83"/>
    <mergeCell ref="W83:X83"/>
    <mergeCell ref="Y83:Z83"/>
    <mergeCell ref="AA83:AB83"/>
    <mergeCell ref="AH83:AI83"/>
    <mergeCell ref="AJ83:AK83"/>
    <mergeCell ref="AL93:AM93"/>
    <mergeCell ref="I98:J98"/>
    <mergeCell ref="W98:X98"/>
    <mergeCell ref="Y98:Z98"/>
    <mergeCell ref="AA98:AB98"/>
    <mergeCell ref="AH98:AI98"/>
    <mergeCell ref="AJ98:AK98"/>
    <mergeCell ref="AL98:AM98"/>
    <mergeCell ref="I93:J93"/>
    <mergeCell ref="W93:X93"/>
    <mergeCell ref="Y93:Z93"/>
    <mergeCell ref="AA93:AB93"/>
    <mergeCell ref="AH93:AI93"/>
    <mergeCell ref="AJ93:AK93"/>
    <mergeCell ref="AL103:AM103"/>
    <mergeCell ref="I108:J108"/>
    <mergeCell ref="W108:X108"/>
    <mergeCell ref="Y108:Z108"/>
    <mergeCell ref="AA108:AB108"/>
    <mergeCell ref="AH108:AI108"/>
    <mergeCell ref="AJ108:AK108"/>
    <mergeCell ref="AL108:AM108"/>
    <mergeCell ref="I103:J103"/>
    <mergeCell ref="W103:X103"/>
    <mergeCell ref="Y103:Z103"/>
    <mergeCell ref="AA103:AB103"/>
    <mergeCell ref="AH103:AI103"/>
    <mergeCell ref="AJ103:AK103"/>
    <mergeCell ref="AL113:AM113"/>
    <mergeCell ref="I118:J118"/>
    <mergeCell ref="W118:X118"/>
    <mergeCell ref="Y118:Z118"/>
    <mergeCell ref="AA118:AB118"/>
    <mergeCell ref="AH118:AI118"/>
    <mergeCell ref="AJ118:AK118"/>
    <mergeCell ref="AL118:AM118"/>
    <mergeCell ref="I113:J113"/>
    <mergeCell ref="W113:X113"/>
    <mergeCell ref="Y113:Z113"/>
    <mergeCell ref="AA113:AB113"/>
    <mergeCell ref="AH113:AI113"/>
    <mergeCell ref="AJ113:AK113"/>
    <mergeCell ref="AL123:AM123"/>
    <mergeCell ref="I128:J128"/>
    <mergeCell ref="W128:X128"/>
    <mergeCell ref="Y128:Z128"/>
    <mergeCell ref="AA128:AB128"/>
    <mergeCell ref="AH128:AI128"/>
    <mergeCell ref="AJ128:AK128"/>
    <mergeCell ref="AL128:AM128"/>
    <mergeCell ref="I123:J123"/>
    <mergeCell ref="W123:X123"/>
    <mergeCell ref="Y123:Z123"/>
    <mergeCell ref="AA123:AB123"/>
    <mergeCell ref="AH123:AI123"/>
    <mergeCell ref="AJ123:AK123"/>
    <mergeCell ref="AL133:AM133"/>
    <mergeCell ref="I138:J138"/>
    <mergeCell ref="W138:X138"/>
    <mergeCell ref="Y138:Z138"/>
    <mergeCell ref="AA138:AB138"/>
    <mergeCell ref="AH138:AI138"/>
    <mergeCell ref="AJ138:AK138"/>
    <mergeCell ref="AL138:AM138"/>
    <mergeCell ref="I133:J133"/>
    <mergeCell ref="W133:X133"/>
    <mergeCell ref="Y133:Z133"/>
    <mergeCell ref="AA133:AB133"/>
    <mergeCell ref="AH133:AI133"/>
    <mergeCell ref="AJ133:AK133"/>
    <mergeCell ref="AL143:AM143"/>
    <mergeCell ref="I148:J148"/>
    <mergeCell ref="W148:X148"/>
    <mergeCell ref="Y148:Z148"/>
    <mergeCell ref="AA148:AB148"/>
    <mergeCell ref="AH148:AI148"/>
    <mergeCell ref="AJ148:AK148"/>
    <mergeCell ref="AL148:AM148"/>
    <mergeCell ref="I143:J143"/>
    <mergeCell ref="W143:X143"/>
    <mergeCell ref="Y143:Z143"/>
    <mergeCell ref="AA143:AB143"/>
    <mergeCell ref="AH143:AI143"/>
    <mergeCell ref="AJ143:AK143"/>
  </mergeCells>
  <pageMargins left="0.7" right="0.7" top="0.75" bottom="0.75" header="0.3" footer="0.3"/>
  <pageSetup paperSize="9"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AU171"/>
  <sheetViews>
    <sheetView topLeftCell="N1" workbookViewId="0">
      <pane ySplit="1" topLeftCell="A8" activePane="bottomLeft" state="frozen"/>
      <selection activeCell="AG8" sqref="AG8:AG10"/>
      <selection pane="bottomLeft" activeCell="AG8" sqref="AG8:AG10"/>
    </sheetView>
  </sheetViews>
  <sheetFormatPr defaultRowHeight="15" x14ac:dyDescent="0.25"/>
  <sheetData>
    <row r="1" spans="1:46" x14ac:dyDescent="0.25">
      <c r="A1" s="494" t="s">
        <v>90</v>
      </c>
      <c r="B1" s="494"/>
      <c r="C1">
        <f>HLOOKUP(Stn_WL,OFFSET_A,Count_STN+1,FALSE)</f>
        <v>7</v>
      </c>
      <c r="E1" s="494" t="s">
        <v>91</v>
      </c>
      <c r="F1" s="494"/>
      <c r="G1" t="str">
        <f>VLOOKUP(Station_No,RISE_CALC,2,FALSE)</f>
        <v>-</v>
      </c>
      <c r="L1" s="494" t="s">
        <v>92</v>
      </c>
      <c r="M1" s="494"/>
      <c r="N1">
        <v>10</v>
      </c>
    </row>
    <row r="2" spans="1:46" x14ac:dyDescent="0.25">
      <c r="Q2" s="66" t="str">
        <f t="shared" ref="Q2:R6" si="0">G4</f>
        <v>Rise</v>
      </c>
      <c r="R2" s="67" t="e">
        <f t="shared" si="0"/>
        <v>#VALUE!</v>
      </c>
      <c r="S2" s="68" t="e">
        <f>IF(OR(R5-R4=R4-R3,R6-R4=R4-R3),R3,IF(OR(R5-R4=R4-R2,R6-R4=R4-R2),R2,"-"))</f>
        <v>#VALUE!</v>
      </c>
      <c r="T2" s="69" t="e">
        <f>IFERROR(VLOOKUP(S2,STN_TABLE,2,FALSE),IF(R2=RisePerWLS,0,"-"))</f>
        <v>#VALUE!</v>
      </c>
      <c r="U2" s="69">
        <v>5</v>
      </c>
      <c r="V2" s="69" t="e">
        <f>T2*U2</f>
        <v>#VALUE!</v>
      </c>
      <c r="W2" s="69">
        <v>3</v>
      </c>
      <c r="X2" s="69" t="e">
        <f>T2*W2</f>
        <v>#VALUE!</v>
      </c>
      <c r="Y2" s="6" t="s">
        <v>93</v>
      </c>
      <c r="Z2" s="70" t="e">
        <f>IF(AND(S4-S3=S3-S2,NOT(AND(S2=0,S3=0)),NOT(AND(S3=0,S4=0))),WLS*(S4-S3),"#NA")</f>
        <v>#VALUE!</v>
      </c>
      <c r="AE2" s="71" t="s">
        <v>94</v>
      </c>
    </row>
    <row r="3" spans="1:46" x14ac:dyDescent="0.25">
      <c r="B3" s="72" t="s">
        <v>0</v>
      </c>
      <c r="C3" s="73" t="s">
        <v>95</v>
      </c>
      <c r="D3" s="73" t="s">
        <v>18</v>
      </c>
      <c r="E3" s="74" t="s">
        <v>20</v>
      </c>
      <c r="H3" s="75" t="s">
        <v>96</v>
      </c>
      <c r="K3" t="str">
        <f>IF(Rise=0,"(Not considered)","(Considered)")</f>
        <v>(Considered)</v>
      </c>
      <c r="Q3" s="66" t="str">
        <f t="shared" si="0"/>
        <v>1st_UWL</v>
      </c>
      <c r="R3" s="67" t="str">
        <f t="shared" si="0"/>
        <v>#NA</v>
      </c>
      <c r="S3" s="76" t="str">
        <f>R4</f>
        <v>#NA</v>
      </c>
      <c r="T3" s="77" t="e">
        <f>VLOOKUP(S3,STN_TABLE,2,FALSE)</f>
        <v>#N/A</v>
      </c>
      <c r="U3" s="77">
        <v>8</v>
      </c>
      <c r="V3" s="77" t="e">
        <f>T3*U3</f>
        <v>#N/A</v>
      </c>
      <c r="W3" s="77">
        <v>10</v>
      </c>
      <c r="X3" s="77" t="e">
        <f>T3*W3</f>
        <v>#N/A</v>
      </c>
      <c r="Y3" s="78" t="s">
        <v>97</v>
      </c>
      <c r="Z3" s="78"/>
      <c r="AA3" s="78" t="s">
        <v>98</v>
      </c>
      <c r="AB3" s="78"/>
      <c r="AC3" s="7" t="s">
        <v>99</v>
      </c>
      <c r="AD3" s="7"/>
      <c r="AE3" s="66" t="str">
        <f t="shared" ref="AE3:AF7" si="1">G4</f>
        <v>Rise</v>
      </c>
      <c r="AF3" s="67" t="e">
        <f t="shared" si="1"/>
        <v>#VALUE!</v>
      </c>
      <c r="AG3" s="79" t="e">
        <f>IF(AF7-AF6=AF6-AF5,AF5,IF(OR(AF7-AF6=AF6-AF4,AF7-AF5=AF5-AF4),AF4,IF(OR(AF7-AF6=AF6-AF3,AF7-AF5=AF5-AF3,AF7-AF4=AF4-AF3),AF3,"#NA")))</f>
        <v>#VALUE!</v>
      </c>
      <c r="AH3" s="69" t="e">
        <f>IFERROR(VLOOKUP(AG3,STN_TABLE,2,FALSE),IF(AF3=RisePerWLS,0,"-"))</f>
        <v>#VALUE!</v>
      </c>
      <c r="AI3" s="69">
        <v>1</v>
      </c>
      <c r="AJ3" s="69" t="e">
        <f>AH3*AI3</f>
        <v>#VALUE!</v>
      </c>
      <c r="AK3" s="69" t="e">
        <f>AG3</f>
        <v>#VALUE!</v>
      </c>
      <c r="AL3" s="69" t="e">
        <f>AJ3*AK3</f>
        <v>#VALUE!</v>
      </c>
      <c r="AM3" s="6" t="s">
        <v>93</v>
      </c>
      <c r="AN3" s="70" t="e">
        <f>IF(AND(AH3=0,AH4=0,AH5=0),WLS*(AG5-AG4),IF(AND(AG5-AG4=AG4-AG3,AG4&lt;&gt;AG5,AG3&lt;&gt;AG4,AG3&lt;&gt;AG5,AH5&lt;&gt;0,OR(AH3&lt;&gt;0,AH4&lt;&gt;0)),WLS*(AG5-AG4),"#NA"))</f>
        <v>#VALUE!</v>
      </c>
    </row>
    <row r="4" spans="1:46" x14ac:dyDescent="0.25">
      <c r="A4">
        <v>1</v>
      </c>
      <c r="B4" s="80">
        <f t="shared" ref="B4:B28" si="2">VLOOKUP(Stn_WL,OFFSET_A,A4+1,FALSE)</f>
        <v>0</v>
      </c>
      <c r="C4" s="81">
        <f t="shared" ref="C4:C28" si="3">VLOOKUP(Station_No,OFFSET_A,A4+1,FALSE)</f>
        <v>9</v>
      </c>
      <c r="D4" s="81">
        <v>0</v>
      </c>
      <c r="E4" s="77">
        <v>0</v>
      </c>
      <c r="G4" t="s">
        <v>100</v>
      </c>
      <c r="H4" t="e">
        <f>Rise/WLS</f>
        <v>#VALUE!</v>
      </c>
      <c r="K4" t="str">
        <f>CONCATENATE("A(",H5,")=")</f>
        <v>A(#NA)=</v>
      </c>
      <c r="L4" t="e">
        <f>IFERROR(N18,N22)</f>
        <v>#VALUE!</v>
      </c>
      <c r="Q4" s="66" t="str">
        <f t="shared" si="0"/>
        <v>2nd_UWL</v>
      </c>
      <c r="R4" s="67" t="str">
        <f t="shared" si="0"/>
        <v>#NA</v>
      </c>
      <c r="S4" s="82" t="e">
        <f>IF((S2-S3)=S3-R5,R5,IF(S2-S3=S3-R6,R6,"-"))</f>
        <v>#VALUE!</v>
      </c>
      <c r="T4" s="83" t="e">
        <f>VLOOKUP(S4,STN_TABLE,2,FALSE)</f>
        <v>#VALUE!</v>
      </c>
      <c r="U4" s="83">
        <v>-1</v>
      </c>
      <c r="V4" s="83" t="e">
        <f>T4*U4</f>
        <v>#VALUE!</v>
      </c>
      <c r="W4" s="83">
        <v>-1</v>
      </c>
      <c r="X4" s="83" t="e">
        <f>T4*W4</f>
        <v>#VALUE!</v>
      </c>
      <c r="Y4" s="84" t="str">
        <f>CONCATENATE("a'(",S3,")=")</f>
        <v>a'(#NA)=</v>
      </c>
      <c r="Z4" s="85" t="e">
        <f>2*Z2/12*V5</f>
        <v>#VALUE!</v>
      </c>
      <c r="AA4" s="84" t="e">
        <f>CONCATENATE("A(",S2,")=")</f>
        <v>#VALUE!</v>
      </c>
      <c r="AB4" s="84" t="e">
        <f>IF(S2=RisePerWLS,0,VLOOKUP(S2,STN_TABLE,3,FALSE))</f>
        <v>#VALUE!</v>
      </c>
      <c r="AC4" t="str">
        <f>CONCATENATE("A(",S3,")=")</f>
        <v>A(#NA)=</v>
      </c>
      <c r="AD4" t="e">
        <f>Z4+AB4</f>
        <v>#VALUE!</v>
      </c>
      <c r="AE4" s="66" t="str">
        <f t="shared" si="1"/>
        <v>1st_UWL</v>
      </c>
      <c r="AF4" s="67" t="str">
        <f t="shared" si="1"/>
        <v>#NA</v>
      </c>
      <c r="AG4" s="80" t="e">
        <f>IF(OR(AF7-AF6=AF6-AF5,AF7-AF6=AF6-AF4,AF7-AF6=AF6-AF3),AF6,IF(OR(AF7-AF5=AF5-AF4,AF7-AF5=AF5-AF3),AF5,IF(AF7-AF4=AF4-AF3,AF4,"#NA")))</f>
        <v>#VALUE!</v>
      </c>
      <c r="AH4" s="77" t="e">
        <f>VLOOKUP(AG4,STN_TABLE,2,FALSE)</f>
        <v>#VALUE!</v>
      </c>
      <c r="AI4" s="77">
        <v>4</v>
      </c>
      <c r="AJ4" s="77" t="e">
        <f>AH4*AI4</f>
        <v>#VALUE!</v>
      </c>
      <c r="AK4" s="77" t="e">
        <f>AG4</f>
        <v>#VALUE!</v>
      </c>
      <c r="AL4" s="77" t="e">
        <f>AJ4*AK4</f>
        <v>#VALUE!</v>
      </c>
      <c r="AM4" s="78" t="s">
        <v>97</v>
      </c>
      <c r="AN4" s="78"/>
      <c r="AO4" s="78" t="s">
        <v>98</v>
      </c>
      <c r="AP4" s="78"/>
      <c r="AQ4" s="7" t="s">
        <v>99</v>
      </c>
      <c r="AR4" s="7"/>
      <c r="AS4" s="7"/>
      <c r="AT4" s="7"/>
    </row>
    <row r="5" spans="1:46" x14ac:dyDescent="0.25">
      <c r="A5">
        <v>2</v>
      </c>
      <c r="B5" s="80">
        <f t="shared" si="2"/>
        <v>0.25</v>
      </c>
      <c r="C5" s="81">
        <f t="shared" si="3"/>
        <v>9.83</v>
      </c>
      <c r="D5" s="81">
        <f t="shared" ref="D5:D28" si="4">IFERROR(VLOOKUP(CONCATENATE("A(",B5,")="),RESULT_TABLE,6,FALSE)," ")</f>
        <v>9.4450000000000003</v>
      </c>
      <c r="E5" s="77">
        <f t="shared" ref="E5:E28" si="5">IFERROR(VLOOKUP(CONCATENATE("M(",B5,")="),RESULT_TABLE,6,FALSE)," ")</f>
        <v>2.395833333333333</v>
      </c>
      <c r="G5" t="s">
        <v>101</v>
      </c>
      <c r="H5" t="str">
        <f>VLOOKUP(Station_No,RISE_CALC,4,FALSE)</f>
        <v>#NA</v>
      </c>
      <c r="K5" t="str">
        <f>CONCATENATE("M(",H5,")=")</f>
        <v>M(#NA)=</v>
      </c>
      <c r="L5" t="e">
        <f>IFERROR(N19,N23)</f>
        <v>#VALUE!</v>
      </c>
      <c r="Q5" s="66" t="str">
        <f t="shared" si="0"/>
        <v>3rd_UWL</v>
      </c>
      <c r="R5" s="67" t="str">
        <f t="shared" si="0"/>
        <v>#NA</v>
      </c>
      <c r="V5" s="86" t="e">
        <f>SUM(V2:V4)</f>
        <v>#VALUE!</v>
      </c>
      <c r="X5" s="87" t="e">
        <f>SUM(X2:X4)</f>
        <v>#VALUE!</v>
      </c>
      <c r="Y5" s="84" t="str">
        <f>CONCATENATE("m'(",S3,")=")</f>
        <v>m'(#NA)=</v>
      </c>
      <c r="Z5" s="85" t="e">
        <f>(2*(Z2^2)/24*X5)+(Z4*S2*WLS)</f>
        <v>#VALUE!</v>
      </c>
      <c r="AA5" s="84" t="e">
        <f>CONCATENATE("M(",S2,")=")</f>
        <v>#VALUE!</v>
      </c>
      <c r="AB5" s="84" t="e">
        <f>IF(S2=RisePerWLS,0,VLOOKUP(S2,STN_TABLE,4,FALSE))</f>
        <v>#VALUE!</v>
      </c>
      <c r="AC5" t="str">
        <f>CONCATENATE("M(",S3,")=")</f>
        <v>M(#NA)=</v>
      </c>
      <c r="AD5" t="e">
        <f>Z5+AB5</f>
        <v>#VALUE!</v>
      </c>
      <c r="AE5" s="66" t="str">
        <f t="shared" si="1"/>
        <v>2nd_UWL</v>
      </c>
      <c r="AF5" s="67" t="str">
        <f t="shared" si="1"/>
        <v>#NA</v>
      </c>
      <c r="AG5" s="88" t="str">
        <f>AF7</f>
        <v>#NA</v>
      </c>
      <c r="AH5" s="83" t="e">
        <f>VLOOKUP(AG5,STN_TABLE,2,FALSE)</f>
        <v>#N/A</v>
      </c>
      <c r="AI5" s="83">
        <v>1</v>
      </c>
      <c r="AJ5" s="83" t="e">
        <f>AH5*AI5</f>
        <v>#N/A</v>
      </c>
      <c r="AK5" s="83" t="str">
        <f>AG5</f>
        <v>#NA</v>
      </c>
      <c r="AL5" s="83" t="e">
        <f>AJ5*AK5</f>
        <v>#N/A</v>
      </c>
      <c r="AM5" s="84" t="str">
        <f>CONCATENATE("a'(",AG5,")=")</f>
        <v>a'(#NA)=</v>
      </c>
      <c r="AN5" s="84" t="e">
        <f>2*AN3/3*AJ6</f>
        <v>#VALUE!</v>
      </c>
      <c r="AO5" s="84" t="e">
        <f>CONCATENATE("A(",AG3,")=")</f>
        <v>#VALUE!</v>
      </c>
      <c r="AP5" s="84" t="e">
        <f>IF(AG3=RisePerWLS,0,VLOOKUP(AG3,STN_TABLE,3,FALSE))</f>
        <v>#VALUE!</v>
      </c>
      <c r="AQ5" t="str">
        <f>CONCATENATE("A(",AG5,")=")</f>
        <v>A(#NA)=</v>
      </c>
      <c r="AR5" t="e">
        <f>AN5+AP5</f>
        <v>#VALUE!</v>
      </c>
    </row>
    <row r="6" spans="1:46" x14ac:dyDescent="0.25">
      <c r="A6">
        <v>3</v>
      </c>
      <c r="B6" s="80">
        <f t="shared" si="2"/>
        <v>0.5</v>
      </c>
      <c r="C6" s="81">
        <f t="shared" si="3"/>
        <v>10.3</v>
      </c>
      <c r="D6" s="81">
        <f t="shared" si="4"/>
        <v>19.54</v>
      </c>
      <c r="E6" s="77">
        <f t="shared" si="5"/>
        <v>9.9866666666666664</v>
      </c>
      <c r="G6" t="s">
        <v>102</v>
      </c>
      <c r="H6" t="str">
        <f>VLOOKUP(Station_No,RISE_CALC,5,FALSE)</f>
        <v>#NA</v>
      </c>
      <c r="K6" t="str">
        <f>CONCATENATE("A(",H6,")=")</f>
        <v>A(#NA)=</v>
      </c>
      <c r="L6" t="e">
        <f>IFERROR(P27,IFERROR(X6,AD9))</f>
        <v>#VALUE!</v>
      </c>
      <c r="Q6" s="66" t="str">
        <f t="shared" si="0"/>
        <v>4th_UWL</v>
      </c>
      <c r="R6" s="67" t="str">
        <f t="shared" si="0"/>
        <v>#NA</v>
      </c>
      <c r="U6" t="s">
        <v>103</v>
      </c>
      <c r="W6" t="str">
        <f>CONCATENATE("A(",S3,")=")</f>
        <v>A(#NA)=</v>
      </c>
      <c r="X6" t="e">
        <f>IF(OR(AD4&lt;=0,AD5&lt;=0),AD9,AD4)</f>
        <v>#VALUE!</v>
      </c>
      <c r="AE6" s="66" t="str">
        <f t="shared" si="1"/>
        <v>3rd_UWL</v>
      </c>
      <c r="AF6" s="67" t="str">
        <f t="shared" si="1"/>
        <v>#NA</v>
      </c>
      <c r="AJ6" s="89" t="e">
        <f>SUM(AJ3:AJ5)</f>
        <v>#VALUE!</v>
      </c>
      <c r="AL6" s="89" t="e">
        <f>SUM(AL3:AL5)</f>
        <v>#VALUE!</v>
      </c>
      <c r="AM6" s="84" t="str">
        <f>CONCATENATE("m'(",AG5,")=")</f>
        <v>m'(#NA)=</v>
      </c>
      <c r="AN6" s="84" t="e">
        <f>2*(AN3*WLS)/3*AL6</f>
        <v>#VALUE!</v>
      </c>
      <c r="AO6" s="84" t="e">
        <f>CONCATENATE("M(",AG3,")=")</f>
        <v>#VALUE!</v>
      </c>
      <c r="AP6" s="84" t="e">
        <f>IF(AG3=RisePerWLS,0,VLOOKUP(AG3,STN_TABLE,4,FALSE))</f>
        <v>#VALUE!</v>
      </c>
      <c r="AQ6" t="str">
        <f>CONCATENATE("M(",AG5,")=")</f>
        <v>M(#NA)=</v>
      </c>
      <c r="AR6" t="e">
        <f>AN6+AP6</f>
        <v>#VALUE!</v>
      </c>
    </row>
    <row r="7" spans="1:46" x14ac:dyDescent="0.25">
      <c r="A7">
        <v>4</v>
      </c>
      <c r="B7" s="80">
        <f t="shared" si="2"/>
        <v>0.75</v>
      </c>
      <c r="C7" s="81">
        <f t="shared" si="3"/>
        <v>10.6</v>
      </c>
      <c r="D7" s="81">
        <f t="shared" si="4"/>
        <v>29.988333333333333</v>
      </c>
      <c r="E7" s="77">
        <f t="shared" si="5"/>
        <v>23.067499999999999</v>
      </c>
      <c r="G7" t="s">
        <v>104</v>
      </c>
      <c r="H7" t="str">
        <f>VLOOKUP(Station_No,RISE_CALC,6,FALSE)</f>
        <v>#NA</v>
      </c>
      <c r="K7" t="str">
        <f>CONCATENATE("M(",H6,")=")</f>
        <v>M(#NA)=</v>
      </c>
      <c r="L7" t="e">
        <f>IFERROR(P28,IFERROR(X7,AD10))</f>
        <v>#VALUE!</v>
      </c>
      <c r="Q7" s="66"/>
      <c r="R7" s="67"/>
      <c r="W7" t="str">
        <f>CONCATENATE("M(",S3,")=")</f>
        <v>M(#NA)=</v>
      </c>
      <c r="X7" t="e">
        <f>IF(OR(AD4&lt;=0,AD5&lt;=0),AD10,AD5)</f>
        <v>#VALUE!</v>
      </c>
      <c r="Y7" s="6" t="s">
        <v>93</v>
      </c>
      <c r="Z7" s="70" t="e">
        <f>WLS*(U9-U8)</f>
        <v>#VALUE!</v>
      </c>
      <c r="AE7" s="66" t="str">
        <f t="shared" si="1"/>
        <v>4th_UWL</v>
      </c>
      <c r="AF7" s="67" t="str">
        <f t="shared" si="1"/>
        <v>#NA</v>
      </c>
      <c r="AH7" s="81"/>
    </row>
    <row r="8" spans="1:46" x14ac:dyDescent="0.25">
      <c r="A8">
        <v>5</v>
      </c>
      <c r="B8" s="80">
        <f t="shared" si="2"/>
        <v>1</v>
      </c>
      <c r="C8" s="81">
        <f t="shared" si="3"/>
        <v>10.8</v>
      </c>
      <c r="D8" s="81">
        <f t="shared" si="4"/>
        <v>40.706666666666663</v>
      </c>
      <c r="E8" s="77">
        <f t="shared" si="5"/>
        <v>41.82</v>
      </c>
      <c r="G8" t="s">
        <v>105</v>
      </c>
      <c r="H8" t="str">
        <f>VLOOKUP(Station_No,RISE_CALC,7,FALSE)</f>
        <v>#NA</v>
      </c>
      <c r="K8" t="str">
        <f>CONCATENATE("A(",H7,")=")</f>
        <v>A(#NA)=</v>
      </c>
      <c r="L8" t="e">
        <f>IFERROR(AD15,IFERROR(X24,AD27))</f>
        <v>#VALUE!</v>
      </c>
      <c r="Q8" s="80"/>
      <c r="R8" s="81"/>
      <c r="U8" s="79" t="str">
        <f>R3</f>
        <v>#NA</v>
      </c>
      <c r="V8" s="68" t="e">
        <f>VLOOKUP(U8,STN_TABLE,2,FALSE)</f>
        <v>#N/A</v>
      </c>
      <c r="W8" s="68">
        <v>1</v>
      </c>
      <c r="X8" s="69" t="e">
        <f>V8*W8</f>
        <v>#N/A</v>
      </c>
      <c r="Y8" s="78" t="s">
        <v>97</v>
      </c>
      <c r="Z8" s="78"/>
      <c r="AA8" s="78" t="s">
        <v>98</v>
      </c>
      <c r="AB8" s="78"/>
      <c r="AC8" s="7" t="s">
        <v>99</v>
      </c>
      <c r="AD8" s="7"/>
      <c r="AE8" s="66"/>
      <c r="AF8" s="67"/>
      <c r="AG8" s="68" t="e">
        <f>IF(OR(AF12-AF11=AF11-AF10,AF13-AF11=AF11-AF10),AF10,IF(OR(AF12-AF11=AF11-AF9,AF13-AF11=AF11-AF9),AF9,"-"))</f>
        <v>#VALUE!</v>
      </c>
      <c r="AH8" s="69" t="e">
        <f>IFERROR(VLOOKUP(AG8,STN_TABLE,2,FALSE),IF(AF8=RisePerWLS,0,"-"))</f>
        <v>#VALUE!</v>
      </c>
      <c r="AI8" s="69">
        <v>5</v>
      </c>
      <c r="AJ8" s="69" t="e">
        <f>AH8*AI8</f>
        <v>#VALUE!</v>
      </c>
      <c r="AK8" s="69">
        <v>3</v>
      </c>
      <c r="AL8" s="69" t="e">
        <f>AH8*AK8</f>
        <v>#VALUE!</v>
      </c>
      <c r="AM8" s="6" t="s">
        <v>93</v>
      </c>
      <c r="AN8" s="70" t="e">
        <f>IF(AND(AG10-AG9=AG9-AG8,NOT(AND(AG8=0,AG9=0)),NOT(AND(AG9=0,AG10=0))),WLS*(AG10-AG9),"#NA")</f>
        <v>#VALUE!</v>
      </c>
    </row>
    <row r="9" spans="1:46" x14ac:dyDescent="0.25">
      <c r="A9">
        <v>6</v>
      </c>
      <c r="B9" s="80">
        <f t="shared" si="2"/>
        <v>2</v>
      </c>
      <c r="C9" s="81">
        <f t="shared" si="3"/>
        <v>11</v>
      </c>
      <c r="D9" s="81">
        <f t="shared" si="4"/>
        <v>84.373333333333335</v>
      </c>
      <c r="E9" s="77">
        <f t="shared" si="5"/>
        <v>172.95333333333332</v>
      </c>
      <c r="G9" t="s">
        <v>106</v>
      </c>
      <c r="H9" t="str">
        <f>VLOOKUP(Station_No,RISE_CALC,8,FALSE)</f>
        <v>#NA</v>
      </c>
      <c r="K9" t="str">
        <f>CONCATENATE("M(",H7,")=")</f>
        <v>M(#NA)=</v>
      </c>
      <c r="L9" t="e">
        <f>IFERROR(AD16,IFERROR(X25,AD28))</f>
        <v>#VALUE!</v>
      </c>
      <c r="Q9" s="80"/>
      <c r="R9" s="81"/>
      <c r="U9" s="88" t="str">
        <f>R4</f>
        <v>#NA</v>
      </c>
      <c r="V9" s="82" t="e">
        <f>VLOOKUP(U9,STN_TABLE,2,FALSE)</f>
        <v>#N/A</v>
      </c>
      <c r="W9" s="82">
        <v>2</v>
      </c>
      <c r="X9" s="83" t="e">
        <f>V9*W9</f>
        <v>#N/A</v>
      </c>
      <c r="Y9" s="84" t="str">
        <f>CONCATENATE("a'(",U9,")=")</f>
        <v>a'(#NA)=</v>
      </c>
      <c r="Z9" s="84" t="e">
        <f>2*Z7/2*V10</f>
        <v>#VALUE!</v>
      </c>
      <c r="AA9" s="84" t="str">
        <f>CONCATENATE("A(",U8,")=")</f>
        <v>A(#NA)=</v>
      </c>
      <c r="AB9" s="84" t="e">
        <f>IF(U8=RisePerWLS,0,VLOOKUP(U8,STN_TABLE,3,FALSE))</f>
        <v>#VALUE!</v>
      </c>
      <c r="AC9" t="str">
        <f>CONCATENATE("A(",U9,")=")</f>
        <v>A(#NA)=</v>
      </c>
      <c r="AD9" t="e">
        <f>Z9+AB9</f>
        <v>#VALUE!</v>
      </c>
      <c r="AE9" s="66" t="str">
        <f t="shared" ref="AE9:AF13" si="6">G6</f>
        <v>2nd_UWL</v>
      </c>
      <c r="AF9" s="67" t="str">
        <f t="shared" si="6"/>
        <v>#NA</v>
      </c>
      <c r="AG9" s="76" t="str">
        <f>AF11</f>
        <v>#NA</v>
      </c>
      <c r="AH9" s="77" t="e">
        <f>VLOOKUP(AG9,STN_TABLE,2,FALSE)</f>
        <v>#N/A</v>
      </c>
      <c r="AI9" s="77">
        <v>8</v>
      </c>
      <c r="AJ9" s="77" t="e">
        <f>AH9*AI9</f>
        <v>#N/A</v>
      </c>
      <c r="AK9" s="77">
        <v>10</v>
      </c>
      <c r="AL9" s="77" t="e">
        <f>AH9*AK9</f>
        <v>#N/A</v>
      </c>
      <c r="AM9" s="78" t="s">
        <v>97</v>
      </c>
      <c r="AN9" s="78"/>
      <c r="AO9" s="78" t="s">
        <v>98</v>
      </c>
      <c r="AP9" s="78"/>
      <c r="AQ9" s="7" t="s">
        <v>99</v>
      </c>
      <c r="AR9" s="7"/>
      <c r="AS9" s="7"/>
      <c r="AT9" s="7"/>
    </row>
    <row r="10" spans="1:46" x14ac:dyDescent="0.25">
      <c r="A10">
        <v>7</v>
      </c>
      <c r="B10" s="80">
        <f t="shared" si="2"/>
        <v>3</v>
      </c>
      <c r="C10" s="81">
        <f t="shared" si="3"/>
        <v>11</v>
      </c>
      <c r="D10" s="81">
        <f t="shared" si="4"/>
        <v>128.44</v>
      </c>
      <c r="E10" s="77">
        <f t="shared" si="5"/>
        <v>393.28666666666669</v>
      </c>
      <c r="G10" t="s">
        <v>107</v>
      </c>
      <c r="H10" t="str">
        <f>VLOOKUP(Station_No,RISE_CALC,9,FALSE)</f>
        <v>#NA</v>
      </c>
      <c r="K10" t="str">
        <f>CONCATENATE("A(",H8,")=")</f>
        <v>A(#NA)=</v>
      </c>
      <c r="L10" t="e">
        <f>IFERROR(AR5,IFERROR(AL12,AR15))</f>
        <v>#VALUE!</v>
      </c>
      <c r="Q10" s="80"/>
      <c r="R10" s="81"/>
      <c r="V10" s="89" t="e">
        <f>SUM(V8:V9)</f>
        <v>#N/A</v>
      </c>
      <c r="X10" s="89" t="e">
        <f>SUM(X8:X9)</f>
        <v>#N/A</v>
      </c>
      <c r="Y10" s="84" t="str">
        <f>CONCATENATE("m'(",U9,")=")</f>
        <v>m'(#NA)=</v>
      </c>
      <c r="Z10" s="84" t="e">
        <f>(2*(Z7^2)/6*X10)+(Z9*U8*WLS)</f>
        <v>#VALUE!</v>
      </c>
      <c r="AA10" s="84" t="str">
        <f>CONCATENATE("M(",U8,")=")</f>
        <v>M(#NA)=</v>
      </c>
      <c r="AB10" s="84" t="e">
        <f>IF(U8=RisePerWLS,0,VLOOKUP(U8,STN_TABLE,4,FALSE))</f>
        <v>#VALUE!</v>
      </c>
      <c r="AC10" t="str">
        <f>CONCATENATE("M(",U9,")=")</f>
        <v>M(#NA)=</v>
      </c>
      <c r="AD10" t="e">
        <f>Z10+AB10</f>
        <v>#VALUE!</v>
      </c>
      <c r="AE10" s="66" t="str">
        <f t="shared" si="6"/>
        <v>3rd_UWL</v>
      </c>
      <c r="AF10" s="67" t="str">
        <f t="shared" si="6"/>
        <v>#NA</v>
      </c>
      <c r="AG10" s="82" t="e">
        <f>IF(AG8-AG9=AG9-AF12,AF12,IF(AG8-AG9=AG9-AF13,AF13,"-"))</f>
        <v>#VALUE!</v>
      </c>
      <c r="AH10" s="83" t="e">
        <f>VLOOKUP(AG10,STN_TABLE,2,FALSE)</f>
        <v>#VALUE!</v>
      </c>
      <c r="AI10" s="83">
        <v>-1</v>
      </c>
      <c r="AJ10" s="83" t="e">
        <f>AH10*AI10</f>
        <v>#VALUE!</v>
      </c>
      <c r="AK10" s="83">
        <v>-1</v>
      </c>
      <c r="AL10" s="83" t="e">
        <f>AH10*AK10</f>
        <v>#VALUE!</v>
      </c>
      <c r="AM10" s="84" t="str">
        <f>CONCATENATE("a'(",AG9,")=")</f>
        <v>a'(#NA)=</v>
      </c>
      <c r="AN10" s="84" t="e">
        <f>2*AN8/12*AJ11</f>
        <v>#VALUE!</v>
      </c>
      <c r="AO10" s="84" t="e">
        <f>CONCATENATE("A(",AG8,")=")</f>
        <v>#VALUE!</v>
      </c>
      <c r="AP10" s="84" t="e">
        <f>VLOOKUP(AG8,STN_TABLE,3,FALSE)</f>
        <v>#VALUE!</v>
      </c>
      <c r="AQ10" t="str">
        <f>CONCATENATE("A(",AG9,")=")</f>
        <v>A(#NA)=</v>
      </c>
      <c r="AR10" t="e">
        <f>AN10+AP10</f>
        <v>#VALUE!</v>
      </c>
    </row>
    <row r="11" spans="1:46" x14ac:dyDescent="0.25">
      <c r="A11">
        <v>8</v>
      </c>
      <c r="B11" s="80">
        <f t="shared" si="2"/>
        <v>4</v>
      </c>
      <c r="C11" s="81">
        <f t="shared" si="3"/>
        <v>11</v>
      </c>
      <c r="D11" s="81">
        <f t="shared" si="4"/>
        <v>172.37333333333333</v>
      </c>
      <c r="E11" s="77">
        <f t="shared" si="5"/>
        <v>700.95333333333338</v>
      </c>
      <c r="G11" t="s">
        <v>108</v>
      </c>
      <c r="H11" t="str">
        <f>VLOOKUP(Station_No,RISE_CALC,10,FALSE)</f>
        <v>#NA</v>
      </c>
      <c r="K11" t="str">
        <f>CONCATENATE("M(",H8,")=")</f>
        <v>M(#NA)=</v>
      </c>
      <c r="L11" t="e">
        <f>IFERROR(AR6,IFERROR(AL13,AR16))</f>
        <v>#VALUE!</v>
      </c>
      <c r="Q11" s="80"/>
      <c r="R11" s="81"/>
      <c r="AE11" s="66" t="str">
        <f t="shared" si="6"/>
        <v>4th_UWL</v>
      </c>
      <c r="AF11" s="67" t="str">
        <f t="shared" si="6"/>
        <v>#NA</v>
      </c>
      <c r="AJ11" s="89" t="e">
        <f>SUM(AJ8:AJ10)</f>
        <v>#VALUE!</v>
      </c>
      <c r="AL11" s="89" t="e">
        <f>SUM(AL8:AL10)</f>
        <v>#VALUE!</v>
      </c>
      <c r="AM11" s="84" t="str">
        <f>CONCATENATE("m'(",AG9,")=")</f>
        <v>m'(#NA)=</v>
      </c>
      <c r="AN11" s="84" t="e">
        <f>(2*(AN8^2)/24*AL11)+(AN10*AG8*WLS)</f>
        <v>#VALUE!</v>
      </c>
      <c r="AO11" s="84" t="e">
        <f>CONCATENATE("M(",AG8,")=")</f>
        <v>#VALUE!</v>
      </c>
      <c r="AP11" s="84" t="e">
        <f>VLOOKUP(AG8,STN_TABLE,4,FALSE)</f>
        <v>#VALUE!</v>
      </c>
      <c r="AQ11" t="str">
        <f>CONCATENATE("M(",AG9,")=")</f>
        <v>M(#NA)=</v>
      </c>
      <c r="AR11" t="e">
        <f>AN11+AP11</f>
        <v>#VALUE!</v>
      </c>
    </row>
    <row r="12" spans="1:46" x14ac:dyDescent="0.25">
      <c r="A12">
        <v>9</v>
      </c>
      <c r="B12" s="80">
        <f t="shared" si="2"/>
        <v>4.8499999999999996</v>
      </c>
      <c r="C12" s="81">
        <f t="shared" si="3"/>
        <v>11</v>
      </c>
      <c r="D12" s="81">
        <f t="shared" si="4"/>
        <v>209.77333333333331</v>
      </c>
      <c r="E12" s="77">
        <f t="shared" si="5"/>
        <v>1031.9433333333332</v>
      </c>
      <c r="Q12" s="90" t="s">
        <v>109</v>
      </c>
      <c r="R12" s="81"/>
      <c r="AE12" s="66" t="str">
        <f t="shared" si="6"/>
        <v>5th_UWL</v>
      </c>
      <c r="AF12" s="67" t="str">
        <f t="shared" si="6"/>
        <v>#NA</v>
      </c>
      <c r="AI12" t="s">
        <v>103</v>
      </c>
      <c r="AK12" t="str">
        <f>CONCATENATE("A(",AG9,")=")</f>
        <v>A(#NA)=</v>
      </c>
      <c r="AL12" t="e">
        <f>IF(OR(AR10&lt;=0,AR11&lt;=0),AR15,AR10)</f>
        <v>#VALUE!</v>
      </c>
    </row>
    <row r="13" spans="1:46" x14ac:dyDescent="0.25">
      <c r="A13">
        <v>10</v>
      </c>
      <c r="B13" s="80">
        <f t="shared" si="2"/>
        <v>5</v>
      </c>
      <c r="C13" s="81">
        <f t="shared" si="3"/>
        <v>11</v>
      </c>
      <c r="D13" s="81">
        <f t="shared" si="4"/>
        <v>216.44</v>
      </c>
      <c r="E13" s="77">
        <f t="shared" si="5"/>
        <v>1097.2866666666666</v>
      </c>
      <c r="G13" s="71" t="s">
        <v>110</v>
      </c>
      <c r="Q13" s="66" t="str">
        <f t="shared" ref="Q13:R16" si="7">G4</f>
        <v>Rise</v>
      </c>
      <c r="R13" s="67" t="e">
        <f t="shared" si="7"/>
        <v>#VALUE!</v>
      </c>
      <c r="S13" s="68" t="e">
        <f>IF(R16-R15=R15-R14,R14,IF(R16-R14=R14-R13,R13,"-"))</f>
        <v>#VALUE!</v>
      </c>
      <c r="T13" s="69" t="e">
        <f>IFERROR(VLOOKUP(S13,STN_TABLE,2,FALSE),IF(R13=RisePerWLS,0,"-"))</f>
        <v>#VALUE!</v>
      </c>
      <c r="U13" s="69">
        <v>1</v>
      </c>
      <c r="V13" s="69" t="e">
        <f>T13*U13</f>
        <v>#VALUE!</v>
      </c>
      <c r="W13" s="69" t="e">
        <f>S13</f>
        <v>#VALUE!</v>
      </c>
      <c r="X13" s="69" t="e">
        <f>V13*W13</f>
        <v>#VALUE!</v>
      </c>
      <c r="Y13" s="6" t="s">
        <v>93</v>
      </c>
      <c r="Z13" s="70" t="e">
        <f>IF(AND(T13=0,T14=0,T15=0),WLS*(S15-S14),IF(AND(S15-S14=S14-S13,S14&lt;&gt;S15,S13&lt;&gt;S14,S13&lt;&gt;S15,T15&lt;&gt;0,OR(T13&lt;&gt;0,T14&lt;&gt;0)),WLS*(S15-S14),"#NA"))</f>
        <v>#VALUE!</v>
      </c>
      <c r="AE13" s="66" t="str">
        <f t="shared" si="6"/>
        <v>6th_UWL</v>
      </c>
      <c r="AF13" s="67" t="str">
        <f t="shared" si="6"/>
        <v>#NA</v>
      </c>
      <c r="AK13" t="str">
        <f>CONCATENATE("M(",AG9,")=")</f>
        <v>M(#NA)=</v>
      </c>
      <c r="AL13" t="e">
        <f>IF(OR(AR10&lt;=0,AR11&lt;=0),AR16,AR11)</f>
        <v>#VALUE!</v>
      </c>
      <c r="AM13" s="6" t="s">
        <v>93</v>
      </c>
      <c r="AN13" s="70" t="e">
        <f>WLS*(AI15-AI14)</f>
        <v>#VALUE!</v>
      </c>
    </row>
    <row r="14" spans="1:46" x14ac:dyDescent="0.25">
      <c r="A14">
        <v>11</v>
      </c>
      <c r="B14" s="80">
        <f t="shared" si="2"/>
        <v>6</v>
      </c>
      <c r="C14" s="81">
        <f t="shared" si="3"/>
        <v>11</v>
      </c>
      <c r="D14" s="81">
        <f t="shared" si="4"/>
        <v>260.37333333333333</v>
      </c>
      <c r="E14" s="77">
        <f t="shared" si="5"/>
        <v>1580.9533333333334</v>
      </c>
      <c r="G14" s="91" t="str">
        <f>G4</f>
        <v>Rise</v>
      </c>
      <c r="H14" s="91" t="e">
        <f>RisePerWLS</f>
        <v>#VALUE!</v>
      </c>
      <c r="I14" s="68" t="e">
        <f>H14</f>
        <v>#VALUE!</v>
      </c>
      <c r="J14" s="69">
        <v>0</v>
      </c>
      <c r="K14" s="69">
        <v>5</v>
      </c>
      <c r="L14" s="69">
        <f>J14*K14</f>
        <v>0</v>
      </c>
      <c r="M14" s="69">
        <v>3</v>
      </c>
      <c r="N14" s="69">
        <f>J14*M14</f>
        <v>0</v>
      </c>
      <c r="O14" t="s">
        <v>93</v>
      </c>
      <c r="P14" t="e">
        <f>IF(AND(NOT(AND(J14=0,J15=0)),I14&lt;&gt;I15,I15&lt;&gt;I16,I16-I15=I15-I14),(I16-I15)*WLS,"#NA")</f>
        <v>#N/A</v>
      </c>
      <c r="Q14" s="66" t="str">
        <f t="shared" si="7"/>
        <v>1st_UWL</v>
      </c>
      <c r="R14" s="67" t="str">
        <f t="shared" si="7"/>
        <v>#NA</v>
      </c>
      <c r="S14" s="76" t="e">
        <f>IF(R16-R15=R15-R14,R15,IF(R16-R14=R14-R13,R14,"-"))</f>
        <v>#VALUE!</v>
      </c>
      <c r="T14" s="77" t="e">
        <f>VLOOKUP(S14,STN_TABLE,2,FALSE)</f>
        <v>#VALUE!</v>
      </c>
      <c r="U14" s="77">
        <v>4</v>
      </c>
      <c r="V14" s="77" t="e">
        <f>T14*U14</f>
        <v>#VALUE!</v>
      </c>
      <c r="W14" s="77" t="e">
        <f>S14</f>
        <v>#VALUE!</v>
      </c>
      <c r="X14" s="77" t="e">
        <f>V14*W14</f>
        <v>#VALUE!</v>
      </c>
      <c r="Y14" s="78" t="s">
        <v>97</v>
      </c>
      <c r="Z14" s="78"/>
      <c r="AA14" s="78" t="s">
        <v>98</v>
      </c>
      <c r="AB14" s="78"/>
      <c r="AC14" s="7" t="s">
        <v>99</v>
      </c>
      <c r="AD14" s="7"/>
      <c r="AE14" s="66"/>
      <c r="AF14" s="67"/>
      <c r="AI14" s="79" t="str">
        <f>AF10</f>
        <v>#NA</v>
      </c>
      <c r="AJ14" s="68" t="e">
        <f>VLOOKUP(AI14,STN_TABLE,2,FALSE)</f>
        <v>#N/A</v>
      </c>
      <c r="AK14" s="68">
        <v>1</v>
      </c>
      <c r="AL14" s="69" t="e">
        <f>AJ14*AK14</f>
        <v>#N/A</v>
      </c>
      <c r="AM14" s="78" t="s">
        <v>97</v>
      </c>
      <c r="AN14" s="78"/>
      <c r="AO14" s="78" t="s">
        <v>98</v>
      </c>
      <c r="AP14" s="78"/>
      <c r="AQ14" s="7" t="s">
        <v>99</v>
      </c>
      <c r="AR14" s="7"/>
      <c r="AS14" s="7"/>
      <c r="AT14" s="7"/>
    </row>
    <row r="15" spans="1:46" x14ac:dyDescent="0.25">
      <c r="A15">
        <v>12</v>
      </c>
      <c r="B15" s="80">
        <f t="shared" si="2"/>
        <v>6.5</v>
      </c>
      <c r="C15" s="81">
        <f t="shared" si="3"/>
        <v>11</v>
      </c>
      <c r="D15" s="81">
        <f t="shared" si="4"/>
        <v>282.37333333333333</v>
      </c>
      <c r="E15" s="77">
        <f t="shared" si="5"/>
        <v>1855.9533333333334</v>
      </c>
      <c r="G15" s="91" t="str">
        <f>G5</f>
        <v>1st_UWL</v>
      </c>
      <c r="H15" s="91" t="str">
        <f>H5</f>
        <v>#NA</v>
      </c>
      <c r="I15" s="76" t="str">
        <f>H15</f>
        <v>#NA</v>
      </c>
      <c r="J15" s="77" t="e">
        <f>VLOOKUP(I15,STN_TABLE,2,FALSE)</f>
        <v>#N/A</v>
      </c>
      <c r="K15" s="77">
        <v>8</v>
      </c>
      <c r="L15" s="77" t="e">
        <f>J15*K15</f>
        <v>#N/A</v>
      </c>
      <c r="M15" s="77">
        <v>10</v>
      </c>
      <c r="N15" s="77" t="e">
        <f>J15*M15</f>
        <v>#N/A</v>
      </c>
      <c r="O15" t="str">
        <f>CONCATENATE("A(",I15,")=")</f>
        <v>A(#NA)=</v>
      </c>
      <c r="P15" t="e">
        <f>2*P14/12*L17</f>
        <v>#N/A</v>
      </c>
      <c r="Q15" s="66" t="str">
        <f t="shared" si="7"/>
        <v>2nd_UWL</v>
      </c>
      <c r="R15" s="67" t="str">
        <f t="shared" si="7"/>
        <v>#NA</v>
      </c>
      <c r="S15" s="82" t="str">
        <f>R16</f>
        <v>#NA</v>
      </c>
      <c r="T15" s="83" t="e">
        <f>VLOOKUP(S15,STN_TABLE,2,FALSE)</f>
        <v>#N/A</v>
      </c>
      <c r="U15" s="83">
        <v>1</v>
      </c>
      <c r="V15" s="83" t="e">
        <f>T15*U15</f>
        <v>#N/A</v>
      </c>
      <c r="W15" s="83" t="str">
        <f>S15</f>
        <v>#NA</v>
      </c>
      <c r="X15" s="83" t="e">
        <f>V15*W15</f>
        <v>#N/A</v>
      </c>
      <c r="Y15" s="84" t="str">
        <f>CONCATENATE("a'(",S15,")=")</f>
        <v>a'(#NA)=</v>
      </c>
      <c r="Z15" s="84" t="e">
        <f>2*Z13/3*V16</f>
        <v>#VALUE!</v>
      </c>
      <c r="AA15" s="84" t="e">
        <f>CONCATENATE("A(",S13,")=")</f>
        <v>#VALUE!</v>
      </c>
      <c r="AB15" s="84" t="e">
        <f>IF(S13=RisePerWLS,0,VLOOKUP(S13,STN_TABLE,3,FALSE))</f>
        <v>#VALUE!</v>
      </c>
      <c r="AC15" t="str">
        <f>CONCATENATE("A(",S15,")=")</f>
        <v>A(#NA)=</v>
      </c>
      <c r="AD15" t="e">
        <f>Z15+AB15</f>
        <v>#VALUE!</v>
      </c>
      <c r="AE15" s="80"/>
      <c r="AI15" s="88" t="str">
        <f>AF11</f>
        <v>#NA</v>
      </c>
      <c r="AJ15" s="82" t="e">
        <f>VLOOKUP(AI15,STN_TABLE,2,FALSE)</f>
        <v>#N/A</v>
      </c>
      <c r="AK15" s="82">
        <v>2</v>
      </c>
      <c r="AL15" s="83" t="e">
        <f>AJ15*AK15</f>
        <v>#N/A</v>
      </c>
      <c r="AM15" s="84" t="str">
        <f>CONCATENATE("a'(",AI15,")=")</f>
        <v>a'(#NA)=</v>
      </c>
      <c r="AN15" s="84" t="e">
        <f>2*AN13/2*AJ16</f>
        <v>#VALUE!</v>
      </c>
      <c r="AO15" s="84" t="str">
        <f>CONCATENATE("A(",AI14,")=")</f>
        <v>A(#NA)=</v>
      </c>
      <c r="AP15" s="84" t="e">
        <f>IF(AI14=RisePerWLS,0,VLOOKUP(AI14,STN_TABLE,3,FALSE))</f>
        <v>#VALUE!</v>
      </c>
      <c r="AQ15" t="str">
        <f>CONCATENATE("A(",AI15,")=")</f>
        <v>A(#NA)=</v>
      </c>
      <c r="AR15" t="e">
        <f>AN15+AP15</f>
        <v>#VALUE!</v>
      </c>
    </row>
    <row r="16" spans="1:46" x14ac:dyDescent="0.25">
      <c r="A16">
        <v>13</v>
      </c>
      <c r="B16" s="80" t="str">
        <f t="shared" si="2"/>
        <v xml:space="preserve">  </v>
      </c>
      <c r="C16" s="81" t="str">
        <f t="shared" si="3"/>
        <v xml:space="preserve">  </v>
      </c>
      <c r="D16" s="81" t="str">
        <f t="shared" si="4"/>
        <v xml:space="preserve"> </v>
      </c>
      <c r="E16" s="77" t="str">
        <f t="shared" si="5"/>
        <v xml:space="preserve"> </v>
      </c>
      <c r="G16" s="91" t="str">
        <f>G6</f>
        <v>2nd_UWL</v>
      </c>
      <c r="H16" s="91" t="str">
        <f>H6</f>
        <v>#NA</v>
      </c>
      <c r="I16" s="82" t="e">
        <f>IF(H16-H15=H15-H14,H16,"#NA")</f>
        <v>#VALUE!</v>
      </c>
      <c r="J16" s="83" t="e">
        <f>VLOOKUP(I16,STN_TABLE,2,FALSE)</f>
        <v>#VALUE!</v>
      </c>
      <c r="K16" s="83">
        <v>-1</v>
      </c>
      <c r="L16" s="83" t="e">
        <f>J16*K16</f>
        <v>#VALUE!</v>
      </c>
      <c r="M16" s="83">
        <v>-1</v>
      </c>
      <c r="N16" s="83" t="e">
        <f>J16*M16</f>
        <v>#VALUE!</v>
      </c>
      <c r="O16" t="str">
        <f>CONCATENATE("M(",I15,")=")</f>
        <v>M(#NA)=</v>
      </c>
      <c r="P16" t="e">
        <f>(2*(P14^2)/24*N17)+P15*I14*WLS</f>
        <v>#N/A</v>
      </c>
      <c r="Q16" s="66" t="str">
        <f t="shared" si="7"/>
        <v>3rd_UWL</v>
      </c>
      <c r="R16" s="67" t="str">
        <f t="shared" si="7"/>
        <v>#NA</v>
      </c>
      <c r="V16" s="89" t="e">
        <f>SUM(V13:V15)</f>
        <v>#VALUE!</v>
      </c>
      <c r="X16" s="89" t="e">
        <f>SUM(X13:X15)</f>
        <v>#VALUE!</v>
      </c>
      <c r="Y16" s="84" t="str">
        <f>CONCATENATE("m'(",S15,")=")</f>
        <v>m'(#NA)=</v>
      </c>
      <c r="Z16" s="84" t="e">
        <f>2*(Z13*WLS)/3*X16</f>
        <v>#VALUE!</v>
      </c>
      <c r="AA16" s="84" t="e">
        <f>CONCATENATE("M(",S13,")=")</f>
        <v>#VALUE!</v>
      </c>
      <c r="AB16" s="84" t="e">
        <f>IF(S13=RisePerWLS,0,VLOOKUP(S13,STN_TABLE,4,FALSE))</f>
        <v>#VALUE!</v>
      </c>
      <c r="AC16" t="str">
        <f>CONCATENATE("M(",S15,")=")</f>
        <v>M(#NA)=</v>
      </c>
      <c r="AD16" t="e">
        <f>Z16+AB16</f>
        <v>#VALUE!</v>
      </c>
      <c r="AE16" s="80"/>
      <c r="AJ16" s="89" t="e">
        <f>SUM(AJ14:AJ15)</f>
        <v>#N/A</v>
      </c>
      <c r="AL16" s="89" t="e">
        <f>SUM(AL14:AL15)</f>
        <v>#N/A</v>
      </c>
      <c r="AM16" s="84" t="str">
        <f>CONCATENATE("m'(",AI15,")=")</f>
        <v>m'(#NA)=</v>
      </c>
      <c r="AN16" s="84" t="e">
        <f>(2*(AN13^2)/6*AL16)+(AN15*AI14*WLS)</f>
        <v>#VALUE!</v>
      </c>
      <c r="AO16" s="84" t="str">
        <f>CONCATENATE("M(",AI14,")=")</f>
        <v>M(#NA)=</v>
      </c>
      <c r="AP16" s="84" t="e">
        <f>IF(AI14=RisePerWLS,0,VLOOKUP(AI14,STN_TABLE,4,FALSE))</f>
        <v>#VALUE!</v>
      </c>
      <c r="AQ16" t="str">
        <f>CONCATENATE("M(",AI15,")=")</f>
        <v>M(#NA)=</v>
      </c>
      <c r="AR16" t="e">
        <f>AN16+AP16</f>
        <v>#VALUE!</v>
      </c>
    </row>
    <row r="17" spans="1:35" x14ac:dyDescent="0.25">
      <c r="A17">
        <v>14</v>
      </c>
      <c r="B17" s="80" t="str">
        <f t="shared" si="2"/>
        <v xml:space="preserve">  </v>
      </c>
      <c r="C17" s="81" t="str">
        <f t="shared" si="3"/>
        <v xml:space="preserve">  </v>
      </c>
      <c r="D17" s="81" t="str">
        <f t="shared" si="4"/>
        <v xml:space="preserve"> </v>
      </c>
      <c r="E17" s="77" t="str">
        <f t="shared" si="5"/>
        <v xml:space="preserve"> </v>
      </c>
      <c r="G17" s="91"/>
      <c r="H17" s="91"/>
      <c r="L17" s="89" t="e">
        <f>SUM(L14:L16)</f>
        <v>#N/A</v>
      </c>
      <c r="N17" s="89" t="e">
        <f>SUM(N14:N16)</f>
        <v>#N/A</v>
      </c>
      <c r="Q17" s="66"/>
      <c r="R17" s="67"/>
      <c r="AE17" s="90"/>
    </row>
    <row r="18" spans="1:35" x14ac:dyDescent="0.25">
      <c r="A18">
        <v>15</v>
      </c>
      <c r="B18" s="80" t="str">
        <f t="shared" si="2"/>
        <v xml:space="preserve">  </v>
      </c>
      <c r="C18" s="81" t="str">
        <f t="shared" si="3"/>
        <v xml:space="preserve">  </v>
      </c>
      <c r="D18" s="81" t="str">
        <f t="shared" si="4"/>
        <v xml:space="preserve"> </v>
      </c>
      <c r="E18" s="77" t="str">
        <f t="shared" si="5"/>
        <v xml:space="preserve"> </v>
      </c>
      <c r="G18" s="91"/>
      <c r="H18" s="91"/>
      <c r="K18" t="s">
        <v>103</v>
      </c>
      <c r="M18" t="str">
        <f>CONCATENATE("A(",I15,")=")</f>
        <v>A(#NA)=</v>
      </c>
      <c r="N18" t="e">
        <f>IF(OR(P15&lt;=0,P16&lt;=0),N22,P15)</f>
        <v>#N/A</v>
      </c>
      <c r="Q18" s="66"/>
      <c r="R18" s="67"/>
      <c r="AE18" s="80"/>
    </row>
    <row r="19" spans="1:35" x14ac:dyDescent="0.25">
      <c r="A19">
        <v>16</v>
      </c>
      <c r="B19" s="80" t="str">
        <f t="shared" si="2"/>
        <v xml:space="preserve">  </v>
      </c>
      <c r="C19" s="81" t="str">
        <f t="shared" si="3"/>
        <v xml:space="preserve">  </v>
      </c>
      <c r="D19" s="81" t="str">
        <f t="shared" si="4"/>
        <v xml:space="preserve"> </v>
      </c>
      <c r="E19" s="77" t="str">
        <f t="shared" si="5"/>
        <v xml:space="preserve"> </v>
      </c>
      <c r="G19" s="91"/>
      <c r="H19" s="91"/>
      <c r="M19" t="str">
        <f>CONCATENATE("M(",I15,")=")</f>
        <v>M(#NA)=</v>
      </c>
      <c r="N19" t="e">
        <f>IF(OR(P15&lt;=0,P16&lt;=0),N23,P16)</f>
        <v>#N/A</v>
      </c>
      <c r="Q19" s="66"/>
      <c r="R19" s="67"/>
      <c r="AE19" s="80"/>
    </row>
    <row r="20" spans="1:35" x14ac:dyDescent="0.25">
      <c r="A20">
        <v>17</v>
      </c>
      <c r="B20" s="80" t="str">
        <f t="shared" si="2"/>
        <v xml:space="preserve">  </v>
      </c>
      <c r="C20" s="81" t="str">
        <f t="shared" si="3"/>
        <v xml:space="preserve">  </v>
      </c>
      <c r="D20" s="81" t="str">
        <f t="shared" si="4"/>
        <v xml:space="preserve"> </v>
      </c>
      <c r="E20" s="77" t="str">
        <f t="shared" si="5"/>
        <v xml:space="preserve"> </v>
      </c>
      <c r="G20" s="91"/>
      <c r="H20" s="91"/>
      <c r="Q20" s="66"/>
      <c r="R20" s="67"/>
      <c r="S20" s="68" t="e">
        <f>IF(OR(R24-R23=R23-R22,R25-R23=R23-R22),R22,IF(OR(R24-R23=R23-R21,R25-R23=R23-R21),R21,"-"))</f>
        <v>#VALUE!</v>
      </c>
      <c r="T20" s="69" t="e">
        <f>IFERROR(VLOOKUP(S20,STN_TABLE,2,FALSE),IF(R20=RisePerWLS,0,"-"))</f>
        <v>#VALUE!</v>
      </c>
      <c r="U20" s="69">
        <v>5</v>
      </c>
      <c r="V20" s="69" t="e">
        <f>T20*U20</f>
        <v>#VALUE!</v>
      </c>
      <c r="W20" s="69">
        <v>3</v>
      </c>
      <c r="X20" s="69" t="e">
        <f>T20*W20</f>
        <v>#VALUE!</v>
      </c>
      <c r="Y20" s="6" t="s">
        <v>93</v>
      </c>
      <c r="Z20" s="70" t="e">
        <f>IF(AND(S22-S21=S21-S20,NOT(AND(S20=0,S21=0)),NOT(AND(S21=0,S22=0))),WLS*(S22-S21),"#NA")</f>
        <v>#VALUE!</v>
      </c>
      <c r="AE20" s="80"/>
    </row>
    <row r="21" spans="1:35" x14ac:dyDescent="0.25">
      <c r="A21">
        <v>18</v>
      </c>
      <c r="B21" s="80" t="str">
        <f t="shared" si="2"/>
        <v xml:space="preserve">  </v>
      </c>
      <c r="C21" s="81" t="str">
        <f t="shared" si="3"/>
        <v xml:space="preserve">  </v>
      </c>
      <c r="D21" s="81" t="str">
        <f t="shared" si="4"/>
        <v xml:space="preserve"> </v>
      </c>
      <c r="E21" s="77" t="str">
        <f t="shared" si="5"/>
        <v xml:space="preserve"> </v>
      </c>
      <c r="G21" s="91"/>
      <c r="H21" s="91" t="str">
        <f>G14</f>
        <v>Rise</v>
      </c>
      <c r="I21" s="79" t="e">
        <f>H14</f>
        <v>#VALUE!</v>
      </c>
      <c r="J21" s="68">
        <v>0</v>
      </c>
      <c r="K21" s="68">
        <v>1</v>
      </c>
      <c r="L21" s="69">
        <f>J21*K21</f>
        <v>0</v>
      </c>
      <c r="M21" t="s">
        <v>93</v>
      </c>
      <c r="N21" t="e">
        <f>(I22-I21)*WLS</f>
        <v>#VALUE!</v>
      </c>
      <c r="Q21" s="66" t="str">
        <f t="shared" ref="Q21:R25" si="8">G5</f>
        <v>1st_UWL</v>
      </c>
      <c r="R21" s="67" t="str">
        <f t="shared" si="8"/>
        <v>#NA</v>
      </c>
      <c r="S21" s="76" t="str">
        <f>R23</f>
        <v>#NA</v>
      </c>
      <c r="T21" s="77" t="e">
        <f>VLOOKUP(S21,STN_TABLE,2,FALSE)</f>
        <v>#N/A</v>
      </c>
      <c r="U21" s="77">
        <v>8</v>
      </c>
      <c r="V21" s="77" t="e">
        <f>T21*U21</f>
        <v>#N/A</v>
      </c>
      <c r="W21" s="77">
        <v>10</v>
      </c>
      <c r="X21" s="77" t="e">
        <f>T21*W21</f>
        <v>#N/A</v>
      </c>
      <c r="Y21" s="78" t="s">
        <v>97</v>
      </c>
      <c r="Z21" s="78"/>
      <c r="AA21" s="78" t="s">
        <v>98</v>
      </c>
      <c r="AB21" s="78"/>
      <c r="AC21" s="7" t="s">
        <v>99</v>
      </c>
      <c r="AD21" s="7"/>
      <c r="AE21" s="80"/>
    </row>
    <row r="22" spans="1:35" x14ac:dyDescent="0.25">
      <c r="A22">
        <v>19</v>
      </c>
      <c r="B22" s="80" t="str">
        <f t="shared" si="2"/>
        <v xml:space="preserve">  </v>
      </c>
      <c r="C22" s="81" t="str">
        <f t="shared" si="3"/>
        <v xml:space="preserve">  </v>
      </c>
      <c r="D22" s="81" t="str">
        <f t="shared" si="4"/>
        <v xml:space="preserve"> </v>
      </c>
      <c r="E22" s="77" t="str">
        <f t="shared" si="5"/>
        <v xml:space="preserve"> </v>
      </c>
      <c r="G22" s="91"/>
      <c r="H22" s="91" t="str">
        <f>G15</f>
        <v>1st_UWL</v>
      </c>
      <c r="I22" s="88" t="str">
        <f>H15</f>
        <v>#NA</v>
      </c>
      <c r="J22" s="82" t="e">
        <f>VLOOKUP(I22,STN_TABLE,2,FALSE)</f>
        <v>#N/A</v>
      </c>
      <c r="K22" s="82">
        <v>2</v>
      </c>
      <c r="L22" s="83" t="e">
        <f>J22*K22</f>
        <v>#N/A</v>
      </c>
      <c r="M22" t="str">
        <f>CONCATENATE("A(",I22,")=")</f>
        <v>A(#NA)=</v>
      </c>
      <c r="N22" t="e">
        <f>2*N21/2*J23</f>
        <v>#VALUE!</v>
      </c>
      <c r="Q22" s="66" t="str">
        <f t="shared" si="8"/>
        <v>2nd_UWL</v>
      </c>
      <c r="R22" s="67" t="str">
        <f t="shared" si="8"/>
        <v>#NA</v>
      </c>
      <c r="S22" s="82" t="e">
        <f>IF(S20-S21=S21-R24,R24,IF(S20-S21=S21-R25,R25,"-"))</f>
        <v>#VALUE!</v>
      </c>
      <c r="T22" s="83" t="e">
        <f>VLOOKUP(S22,STN_TABLE,2,FALSE)</f>
        <v>#VALUE!</v>
      </c>
      <c r="U22" s="83">
        <v>-1</v>
      </c>
      <c r="V22" s="83" t="e">
        <f>T22*U22</f>
        <v>#VALUE!</v>
      </c>
      <c r="W22" s="83">
        <v>-1</v>
      </c>
      <c r="X22" s="83" t="e">
        <f>T22*W22</f>
        <v>#VALUE!</v>
      </c>
      <c r="Y22" s="84" t="str">
        <f>CONCATENATE("a'(",S21,")=")</f>
        <v>a'(#NA)=</v>
      </c>
      <c r="Z22" s="84" t="e">
        <f>2*Z20/12*V23</f>
        <v>#VALUE!</v>
      </c>
      <c r="AA22" s="84" t="e">
        <f>CONCATENATE("A(",S20,")=")</f>
        <v>#VALUE!</v>
      </c>
      <c r="AB22" s="84" t="e">
        <f>IF(S20=RisePerWLS,0,VLOOKUP(S20,STN_TABLE,3,FALSE))</f>
        <v>#VALUE!</v>
      </c>
      <c r="AC22" t="str">
        <f>CONCATENATE("A(",S21,")=")</f>
        <v>A(#NA)=</v>
      </c>
      <c r="AD22" t="e">
        <f>Z22+AB22</f>
        <v>#VALUE!</v>
      </c>
      <c r="AE22" s="80"/>
    </row>
    <row r="23" spans="1:35" x14ac:dyDescent="0.25">
      <c r="A23">
        <v>20</v>
      </c>
      <c r="B23" s="80" t="str">
        <f t="shared" si="2"/>
        <v xml:space="preserve">  </v>
      </c>
      <c r="C23" s="81" t="str">
        <f t="shared" si="3"/>
        <v xml:space="preserve">  </v>
      </c>
      <c r="D23" s="81" t="str">
        <f t="shared" si="4"/>
        <v xml:space="preserve"> </v>
      </c>
      <c r="E23" s="77" t="str">
        <f t="shared" si="5"/>
        <v xml:space="preserve"> </v>
      </c>
      <c r="J23" s="89" t="e">
        <f>SUM(J21:J22)</f>
        <v>#N/A</v>
      </c>
      <c r="L23" s="89" t="e">
        <f>SUM(L21:L22)</f>
        <v>#N/A</v>
      </c>
      <c r="M23" t="str">
        <f>CONCATENATE("M(",I22,")=")</f>
        <v>M(#NA)=</v>
      </c>
      <c r="N23" t="e">
        <f>(2*(N21^2)/6*L23)+N22*I21*WLS</f>
        <v>#VALUE!</v>
      </c>
      <c r="Q23" s="66" t="str">
        <f t="shared" si="8"/>
        <v>3rd_UWL</v>
      </c>
      <c r="R23" s="67" t="str">
        <f t="shared" si="8"/>
        <v>#NA</v>
      </c>
      <c r="V23" s="89" t="e">
        <f>SUM(V20:V22)</f>
        <v>#VALUE!</v>
      </c>
      <c r="X23" s="89" t="e">
        <f>SUM(X20:X22)</f>
        <v>#VALUE!</v>
      </c>
      <c r="Y23" s="84" t="str">
        <f>CONCATENATE("m'(",S21,")=")</f>
        <v>m'(#NA)=</v>
      </c>
      <c r="Z23" s="84" t="e">
        <f>(2*(Z20^2)/24*X23)+(Z22*S20*WLS)</f>
        <v>#VALUE!</v>
      </c>
      <c r="AA23" s="84" t="e">
        <f>CONCATENATE("M(",S20,")=")</f>
        <v>#VALUE!</v>
      </c>
      <c r="AB23" s="84" t="e">
        <f>IF(S20=RisePerWLS,0,VLOOKUP(S20,STN_TABLE,4,FALSE))</f>
        <v>#VALUE!</v>
      </c>
      <c r="AC23" t="str">
        <f>CONCATENATE("M(",S21,")=")</f>
        <v>M(#NA)=</v>
      </c>
      <c r="AD23" t="e">
        <f>Z23+AB23</f>
        <v>#VALUE!</v>
      </c>
      <c r="AE23" s="80"/>
    </row>
    <row r="24" spans="1:35" x14ac:dyDescent="0.25">
      <c r="A24">
        <v>21</v>
      </c>
      <c r="B24" s="80" t="str">
        <f t="shared" si="2"/>
        <v xml:space="preserve">  </v>
      </c>
      <c r="C24" s="81" t="str">
        <f t="shared" si="3"/>
        <v xml:space="preserve">  </v>
      </c>
      <c r="D24" s="81" t="str">
        <f t="shared" si="4"/>
        <v xml:space="preserve"> </v>
      </c>
      <c r="E24" s="77" t="str">
        <f t="shared" si="5"/>
        <v xml:space="preserve"> </v>
      </c>
      <c r="Q24" s="66" t="str">
        <f t="shared" si="8"/>
        <v>4th_UWL</v>
      </c>
      <c r="R24" s="67" t="str">
        <f t="shared" si="8"/>
        <v>#NA</v>
      </c>
      <c r="U24" t="s">
        <v>103</v>
      </c>
      <c r="W24" t="str">
        <f>CONCATENATE("A(",S21,")=")</f>
        <v>A(#NA)=</v>
      </c>
      <c r="X24" t="e">
        <f>IF(OR(AD22&lt;=0,AD23&lt;=0),AD27,AD22)</f>
        <v>#VALUE!</v>
      </c>
      <c r="AE24" s="80"/>
    </row>
    <row r="25" spans="1:35" x14ac:dyDescent="0.25">
      <c r="A25">
        <v>22</v>
      </c>
      <c r="B25" s="80" t="str">
        <f t="shared" si="2"/>
        <v xml:space="preserve">  </v>
      </c>
      <c r="C25" s="81" t="str">
        <f t="shared" si="3"/>
        <v xml:space="preserve">  </v>
      </c>
      <c r="D25" s="81" t="str">
        <f t="shared" si="4"/>
        <v xml:space="preserve"> </v>
      </c>
      <c r="E25" s="77" t="str">
        <f t="shared" si="5"/>
        <v xml:space="preserve"> </v>
      </c>
      <c r="G25" s="71" t="s">
        <v>111</v>
      </c>
      <c r="Q25" s="66" t="str">
        <f t="shared" si="8"/>
        <v>5th_UWL</v>
      </c>
      <c r="R25" s="67" t="str">
        <f t="shared" si="8"/>
        <v>#NA</v>
      </c>
      <c r="W25" t="str">
        <f>CONCATENATE("M(",S21,")=")</f>
        <v>M(#NA)=</v>
      </c>
      <c r="X25" t="e">
        <f>IF(OR(AD22&lt;=0,AD23&lt;=0),AD28,AD23)</f>
        <v>#VALUE!</v>
      </c>
      <c r="Y25" s="6" t="s">
        <v>93</v>
      </c>
      <c r="Z25" s="70" t="e">
        <f>WLS*(U27-U26)</f>
        <v>#VALUE!</v>
      </c>
      <c r="AE25" s="80"/>
    </row>
    <row r="26" spans="1:35" x14ac:dyDescent="0.25">
      <c r="A26">
        <v>23</v>
      </c>
      <c r="B26" s="80" t="str">
        <f t="shared" si="2"/>
        <v xml:space="preserve">  </v>
      </c>
      <c r="C26" s="81" t="str">
        <f t="shared" si="3"/>
        <v xml:space="preserve">  </v>
      </c>
      <c r="D26" s="81" t="str">
        <f t="shared" si="4"/>
        <v xml:space="preserve"> </v>
      </c>
      <c r="E26" s="77" t="str">
        <f t="shared" si="5"/>
        <v xml:space="preserve"> </v>
      </c>
      <c r="G26" s="91" t="str">
        <f t="shared" ref="G26:H28" si="9">G4</f>
        <v>Rise</v>
      </c>
      <c r="H26" s="91" t="e">
        <f t="shared" si="9"/>
        <v>#VALUE!</v>
      </c>
      <c r="I26" s="68" t="e">
        <f>H26</f>
        <v>#VALUE!</v>
      </c>
      <c r="J26" s="69">
        <v>0</v>
      </c>
      <c r="K26" s="69">
        <v>1</v>
      </c>
      <c r="L26" s="69">
        <f>J26*K26</f>
        <v>0</v>
      </c>
      <c r="M26" s="69" t="e">
        <f>I26</f>
        <v>#VALUE!</v>
      </c>
      <c r="N26" s="69" t="e">
        <f>L26*M26</f>
        <v>#VALUE!</v>
      </c>
      <c r="O26" t="s">
        <v>93</v>
      </c>
      <c r="P26" t="e">
        <f>IF(OR(J26=0,J27=0,J28=0),"#NA",IF(I28-I27=I27-I26,WLS*(I27-I26),"#NA"))</f>
        <v>#VALUE!</v>
      </c>
      <c r="Q26" s="66"/>
      <c r="R26" s="67"/>
      <c r="U26" s="79" t="str">
        <f>R22</f>
        <v>#NA</v>
      </c>
      <c r="V26" s="68" t="e">
        <f>VLOOKUP(U26,STN_TABLE,2,FALSE)</f>
        <v>#N/A</v>
      </c>
      <c r="W26" s="68">
        <v>1</v>
      </c>
      <c r="X26" s="69" t="e">
        <f>V26*W26</f>
        <v>#N/A</v>
      </c>
      <c r="Y26" s="78" t="s">
        <v>97</v>
      </c>
      <c r="Z26" s="78"/>
      <c r="AA26" s="78" t="s">
        <v>98</v>
      </c>
      <c r="AB26" s="78"/>
      <c r="AC26" s="7" t="s">
        <v>99</v>
      </c>
      <c r="AD26" s="7"/>
      <c r="AE26" s="80"/>
    </row>
    <row r="27" spans="1:35" x14ac:dyDescent="0.25">
      <c r="A27">
        <v>24</v>
      </c>
      <c r="B27" s="80" t="str">
        <f t="shared" si="2"/>
        <v xml:space="preserve">  </v>
      </c>
      <c r="C27" s="81" t="str">
        <f t="shared" si="3"/>
        <v xml:space="preserve">  </v>
      </c>
      <c r="D27" s="81" t="str">
        <f t="shared" si="4"/>
        <v xml:space="preserve"> </v>
      </c>
      <c r="E27" s="77" t="str">
        <f t="shared" si="5"/>
        <v xml:space="preserve"> </v>
      </c>
      <c r="G27" s="91" t="str">
        <f t="shared" si="9"/>
        <v>1st_UWL</v>
      </c>
      <c r="H27" s="91" t="str">
        <f t="shared" si="9"/>
        <v>#NA</v>
      </c>
      <c r="I27" s="76" t="e">
        <f>IF(H28-H27=H27-H26,H28,"#NA")</f>
        <v>#VALUE!</v>
      </c>
      <c r="J27" s="77" t="e">
        <f>VLOOKUP(I27,STN_TABLE,2,FALSE)</f>
        <v>#VALUE!</v>
      </c>
      <c r="K27" s="77">
        <v>4</v>
      </c>
      <c r="L27" s="77" t="e">
        <f>J27*K27</f>
        <v>#VALUE!</v>
      </c>
      <c r="M27" s="77" t="e">
        <f>I27</f>
        <v>#VALUE!</v>
      </c>
      <c r="N27" s="77" t="e">
        <f>L27*M27</f>
        <v>#VALUE!</v>
      </c>
      <c r="O27" t="e">
        <f>CONCATENATE("A(",I28,")=")</f>
        <v>#VALUE!</v>
      </c>
      <c r="P27" t="e">
        <f>2*P26/3*L29</f>
        <v>#VALUE!</v>
      </c>
      <c r="Q27" s="80"/>
      <c r="R27" s="81"/>
      <c r="U27" s="88" t="str">
        <f>R23</f>
        <v>#NA</v>
      </c>
      <c r="V27" s="82" t="e">
        <f>VLOOKUP(U27,STN_TABLE,2,FALSE)</f>
        <v>#N/A</v>
      </c>
      <c r="W27" s="82">
        <v>2</v>
      </c>
      <c r="X27" s="83" t="e">
        <f>V27*W27</f>
        <v>#N/A</v>
      </c>
      <c r="Y27" s="84" t="str">
        <f>CONCATENATE("a'(",U27,")=")</f>
        <v>a'(#NA)=</v>
      </c>
      <c r="Z27" s="84" t="e">
        <f>2*Z25/2*V28</f>
        <v>#VALUE!</v>
      </c>
      <c r="AA27" s="84" t="str">
        <f>CONCATENATE("A(",U26,")=")</f>
        <v>A(#NA)=</v>
      </c>
      <c r="AB27" s="84" t="e">
        <f>IF(U26=RisePerWLS,0,VLOOKUP(U26,STN_TABLE,3,FALSE))</f>
        <v>#VALUE!</v>
      </c>
      <c r="AC27" t="str">
        <f>CONCATENATE("A(",U27,")=")</f>
        <v>A(#NA)=</v>
      </c>
      <c r="AD27" t="e">
        <f>Z27+AB27</f>
        <v>#VALUE!</v>
      </c>
      <c r="AE27" s="80"/>
    </row>
    <row r="28" spans="1:35" x14ac:dyDescent="0.25">
      <c r="A28">
        <v>25</v>
      </c>
      <c r="B28" s="88" t="str">
        <f t="shared" si="2"/>
        <v xml:space="preserve">  </v>
      </c>
      <c r="C28" s="92" t="str">
        <f t="shared" si="3"/>
        <v xml:space="preserve">  </v>
      </c>
      <c r="D28" s="81" t="str">
        <f t="shared" si="4"/>
        <v xml:space="preserve"> </v>
      </c>
      <c r="E28" s="77" t="str">
        <f t="shared" si="5"/>
        <v xml:space="preserve"> </v>
      </c>
      <c r="G28" s="91" t="str">
        <f t="shared" si="9"/>
        <v>2nd_UWL</v>
      </c>
      <c r="H28" s="91" t="str">
        <f t="shared" si="9"/>
        <v>#NA</v>
      </c>
      <c r="I28" s="82" t="e">
        <f>IF(H28-H27=H27-H26,H28,"#NA")</f>
        <v>#VALUE!</v>
      </c>
      <c r="J28" s="83" t="e">
        <f>VLOOKUP(I28,STN_TABLE,2,FALSE)</f>
        <v>#VALUE!</v>
      </c>
      <c r="K28" s="83">
        <v>1</v>
      </c>
      <c r="L28" s="83" t="e">
        <f>J28*K28</f>
        <v>#VALUE!</v>
      </c>
      <c r="M28" s="83" t="e">
        <f>I28</f>
        <v>#VALUE!</v>
      </c>
      <c r="N28" s="83" t="e">
        <f>L28*M28</f>
        <v>#VALUE!</v>
      </c>
      <c r="O28" t="e">
        <f>CONCATENATE("M(",I28,")=")</f>
        <v>#VALUE!</v>
      </c>
      <c r="P28" t="e">
        <f>2*(P26*WLS)/3*N29</f>
        <v>#VALUE!</v>
      </c>
      <c r="Q28" s="80"/>
      <c r="R28" s="81"/>
      <c r="V28" s="89" t="e">
        <f>SUM(V26:V27)</f>
        <v>#N/A</v>
      </c>
      <c r="X28" s="89" t="e">
        <f>SUM(X26:X27)</f>
        <v>#N/A</v>
      </c>
      <c r="Y28" s="84" t="str">
        <f>CONCATENATE("m'(",U27,")=")</f>
        <v>m'(#NA)=</v>
      </c>
      <c r="Z28" s="84" t="e">
        <f>(2*(Z25^2)/6*X28)+(Z27*U26*WLS)</f>
        <v>#VALUE!</v>
      </c>
      <c r="AA28" s="84" t="str">
        <f>CONCATENATE("M(",U26,")=")</f>
        <v>M(#NA)=</v>
      </c>
      <c r="AB28" s="84" t="e">
        <f>IF(U26=RisePerWLS,0,VLOOKUP(U26,STN_TABLE,4,FALSE))</f>
        <v>#VALUE!</v>
      </c>
      <c r="AC28" t="str">
        <f>CONCATENATE("M(",U27,")=")</f>
        <v>M(#NA)=</v>
      </c>
      <c r="AD28" t="e">
        <f>Z28+AB28</f>
        <v>#VALUE!</v>
      </c>
      <c r="AE28" s="80"/>
    </row>
    <row r="29" spans="1:35" x14ac:dyDescent="0.25">
      <c r="G29" s="91"/>
      <c r="H29" s="91"/>
      <c r="L29" s="89" t="e">
        <f>SUM(L26:L28)</f>
        <v>#VALUE!</v>
      </c>
      <c r="N29" s="89" t="e">
        <f>SUM(N26:N28)</f>
        <v>#VALUE!</v>
      </c>
      <c r="Q29" s="80"/>
      <c r="R29" s="81"/>
      <c r="AE29" s="80"/>
    </row>
    <row r="30" spans="1:35" x14ac:dyDescent="0.25">
      <c r="G30" s="91"/>
      <c r="H30" s="91"/>
    </row>
    <row r="31" spans="1:35" x14ac:dyDescent="0.25">
      <c r="G31" s="91"/>
      <c r="H31" s="91"/>
    </row>
    <row r="32" spans="1:35" x14ac:dyDescent="0.25">
      <c r="G32" s="91"/>
      <c r="H32" s="91"/>
      <c r="Q32" s="68">
        <f>B4</f>
        <v>0</v>
      </c>
      <c r="R32" s="69">
        <f>VLOOKUP(Q32,STN_TABLE,2,FALSE)</f>
        <v>9</v>
      </c>
      <c r="S32" s="69">
        <v>5</v>
      </c>
      <c r="T32" s="68">
        <f>R32*S32</f>
        <v>45</v>
      </c>
      <c r="U32" s="79">
        <v>3</v>
      </c>
      <c r="V32" s="68">
        <f>R32*U32</f>
        <v>27</v>
      </c>
      <c r="W32" t="s">
        <v>93</v>
      </c>
      <c r="X32" s="70">
        <f>IF(AND(Q34-Q33=Q33-Q32,NOT(AND(Q32=0,Q33=0)),NOT(AND(Q33=0,Q34=0))),WLS*(Q34-Q33),"#NA")</f>
        <v>0.5</v>
      </c>
      <c r="AD32" s="93"/>
      <c r="AH32" s="6" t="s">
        <v>93</v>
      </c>
      <c r="AI32" s="70">
        <f>WLS*(AD34-AD33)</f>
        <v>0.5</v>
      </c>
    </row>
    <row r="33" spans="1:47" x14ac:dyDescent="0.25">
      <c r="Q33" s="76">
        <f>B5</f>
        <v>0.25</v>
      </c>
      <c r="R33" s="77">
        <f>VLOOKUP(Q33,STN_TABLE,2,FALSE)</f>
        <v>9.83</v>
      </c>
      <c r="S33" s="77">
        <v>8</v>
      </c>
      <c r="T33" s="76">
        <f>R33*S33</f>
        <v>78.64</v>
      </c>
      <c r="U33" s="80">
        <v>10</v>
      </c>
      <c r="V33" s="76">
        <f>R33*U33</f>
        <v>98.3</v>
      </c>
      <c r="W33" s="495" t="s">
        <v>97</v>
      </c>
      <c r="X33" s="496"/>
      <c r="Y33" s="496" t="s">
        <v>98</v>
      </c>
      <c r="Z33" s="496"/>
      <c r="AA33" s="494" t="s">
        <v>99</v>
      </c>
      <c r="AB33" s="494"/>
      <c r="AC33" s="94">
        <v>1</v>
      </c>
      <c r="AD33" s="95">
        <f>VLOOKUP(AC33,STN_TABLE_2,2,FALSE)</f>
        <v>0</v>
      </c>
      <c r="AE33" s="68">
        <f>VLOOKUP(AD33,STN_TABLE,2,FALSE)</f>
        <v>9</v>
      </c>
      <c r="AF33" s="68">
        <v>1</v>
      </c>
      <c r="AG33" s="69">
        <f>AE33*AF33</f>
        <v>9</v>
      </c>
      <c r="AH33" s="496" t="s">
        <v>97</v>
      </c>
      <c r="AI33" s="496"/>
      <c r="AJ33" s="496" t="s">
        <v>98</v>
      </c>
      <c r="AK33" s="496"/>
      <c r="AL33" s="494" t="s">
        <v>99</v>
      </c>
      <c r="AM33" s="494"/>
      <c r="AP33" s="96" t="s">
        <v>112</v>
      </c>
      <c r="AQ33" s="89" t="s">
        <v>113</v>
      </c>
      <c r="AR33" s="89" t="s">
        <v>114</v>
      </c>
      <c r="AS33" s="89" t="s">
        <v>115</v>
      </c>
      <c r="AT33" s="97" t="s">
        <v>116</v>
      </c>
      <c r="AU33" s="98"/>
    </row>
    <row r="34" spans="1:47" x14ac:dyDescent="0.25">
      <c r="Q34" s="82">
        <f>B6</f>
        <v>0.5</v>
      </c>
      <c r="R34" s="83">
        <f>VLOOKUP(Q34,STN_TABLE,2,FALSE)</f>
        <v>10.3</v>
      </c>
      <c r="S34" s="83">
        <v>-1</v>
      </c>
      <c r="T34" s="82">
        <f>R34*S34</f>
        <v>-10.3</v>
      </c>
      <c r="U34" s="88">
        <v>-1</v>
      </c>
      <c r="V34" s="82">
        <f>R34*U34</f>
        <v>-10.3</v>
      </c>
      <c r="W34" s="84" t="str">
        <f>CONCATENATE("a'(",Q33,")=")</f>
        <v>a'(0.25)=</v>
      </c>
      <c r="X34" s="84">
        <f>2*X32/12*T35</f>
        <v>9.4450000000000003</v>
      </c>
      <c r="Y34" s="84" t="str">
        <f>CONCATENATE("A(",Q32,")=")</f>
        <v>A(0)=</v>
      </c>
      <c r="Z34" s="84">
        <f>VLOOKUP(Q32,STN_TABLE,3,FALSE)</f>
        <v>0</v>
      </c>
      <c r="AA34" t="str">
        <f>CONCATENATE("A(",Q33,")=")</f>
        <v>A(0.25)=</v>
      </c>
      <c r="AB34">
        <f>X34+Z34</f>
        <v>9.4450000000000003</v>
      </c>
      <c r="AC34" s="99">
        <f>AC33+1</f>
        <v>2</v>
      </c>
      <c r="AD34" s="100">
        <f>VLOOKUP(AC34,STN_TABLE_2,2,FALSE)</f>
        <v>0.25</v>
      </c>
      <c r="AE34" s="82">
        <f>VLOOKUP(AD34,STN_TABLE,2,FALSE)</f>
        <v>9.83</v>
      </c>
      <c r="AF34" s="82">
        <v>2</v>
      </c>
      <c r="AG34" s="83">
        <f>AE34*AF34</f>
        <v>19.66</v>
      </c>
      <c r="AH34" s="84" t="str">
        <f>CONCATENATE("a'(",AD34,")=")</f>
        <v>a'(0.25)=</v>
      </c>
      <c r="AI34" s="84">
        <f>2*AI32/2*AE35</f>
        <v>9.4149999999999991</v>
      </c>
      <c r="AJ34" s="84" t="str">
        <f>CONCATENATE("A(",AD33,")=")</f>
        <v>A(0)=</v>
      </c>
      <c r="AK34" s="84">
        <f>VLOOKUP(AD33,STN_TABLE,3,FALSE)</f>
        <v>0</v>
      </c>
      <c r="AL34" t="str">
        <f>CONCATENATE("A(",AD34,")=")</f>
        <v>A(0.25)=</v>
      </c>
      <c r="AM34">
        <f>AI34+AK34</f>
        <v>9.4149999999999991</v>
      </c>
      <c r="AO34" s="68" t="str">
        <f>AA34</f>
        <v>A(0.25)=</v>
      </c>
      <c r="AP34" s="79" t="e">
        <f>VLOOKUP(AO34,Rise_Results,2,FALSE)</f>
        <v>#N/A</v>
      </c>
      <c r="AQ34" s="76" t="s">
        <v>117</v>
      </c>
      <c r="AR34" s="76">
        <f>IF(OR(AB34&lt;=0,AB35&lt;=0),1/0,AB34)</f>
        <v>9.4450000000000003</v>
      </c>
      <c r="AS34" s="76">
        <f>AM34</f>
        <v>9.4149999999999991</v>
      </c>
      <c r="AT34" s="80">
        <f>IFERROR(AP34,IFERROR(AR34,AS34))</f>
        <v>9.4450000000000003</v>
      </c>
    </row>
    <row r="35" spans="1:47" x14ac:dyDescent="0.25">
      <c r="A35" s="101"/>
      <c r="T35" s="89">
        <f>SUM(T32:T34)</f>
        <v>113.34</v>
      </c>
      <c r="V35" s="82">
        <f>SUM(V32:V34)</f>
        <v>115</v>
      </c>
      <c r="W35" s="84" t="str">
        <f>CONCATENATE("m'(",Q33,")=")</f>
        <v>m'(0.25)=</v>
      </c>
      <c r="X35" s="84">
        <f>(2*(X32^2)/24*V35)</f>
        <v>2.395833333333333</v>
      </c>
      <c r="Y35" s="84" t="str">
        <f>CONCATENATE("M(",Q32,")=")</f>
        <v>M(0)=</v>
      </c>
      <c r="Z35" s="84">
        <f>VLOOKUP(Q32,STN_TABLE,4,FALSE)</f>
        <v>0</v>
      </c>
      <c r="AA35" t="str">
        <f>CONCATENATE("M(",Q33,")=")</f>
        <v>M(0.25)=</v>
      </c>
      <c r="AB35">
        <f>X35+Z35</f>
        <v>2.395833333333333</v>
      </c>
      <c r="AE35" s="89">
        <f>SUM(AE33:AE34)</f>
        <v>18.829999999999998</v>
      </c>
      <c r="AG35" s="89">
        <f>SUM(AG33:AG34)</f>
        <v>28.66</v>
      </c>
      <c r="AH35" s="84" t="str">
        <f>CONCATENATE("m'(",AD34,")=")</f>
        <v>m'(0.25)=</v>
      </c>
      <c r="AI35" s="84">
        <f>(2*(AI32^2)/6*AG35)+(AI34*AD33*WLS)</f>
        <v>2.3883333333333332</v>
      </c>
      <c r="AJ35" s="84" t="str">
        <f>CONCATENATE("M(",AD33,")=")</f>
        <v>M(0)=</v>
      </c>
      <c r="AK35" s="84">
        <f>VLOOKUP(AD33,STN_TABLE,4,FALSE)</f>
        <v>0</v>
      </c>
      <c r="AL35" t="str">
        <f>CONCATENATE("M(",AD34,")=")</f>
        <v>M(0.25)=</v>
      </c>
      <c r="AM35">
        <f>AI35+AK35</f>
        <v>2.3883333333333332</v>
      </c>
      <c r="AO35" s="82" t="str">
        <f>AA35</f>
        <v>M(0.25)=</v>
      </c>
      <c r="AP35" s="88" t="e">
        <f>VLOOKUP(AO35,Rise_Results,2,FALSE)</f>
        <v>#N/A</v>
      </c>
      <c r="AQ35" s="82" t="s">
        <v>117</v>
      </c>
      <c r="AR35" s="82">
        <f>IF(OR(AB34&lt;=0,AB35&lt;=0),1/0,AB35)</f>
        <v>2.395833333333333</v>
      </c>
      <c r="AS35" s="82">
        <f>AM35</f>
        <v>2.3883333333333332</v>
      </c>
      <c r="AT35" s="80">
        <f>IFERROR(AP35,IFERROR(AR35,AS35))</f>
        <v>2.395833333333333</v>
      </c>
    </row>
    <row r="36" spans="1:47" x14ac:dyDescent="0.25">
      <c r="O36" s="94">
        <v>1</v>
      </c>
      <c r="P36" s="101">
        <f t="shared" ref="P36:P67" si="10">VLOOKUP(O36,STN_TABLE_2,2,FALSE)</f>
        <v>0</v>
      </c>
      <c r="AU36" s="81"/>
    </row>
    <row r="37" spans="1:47" x14ac:dyDescent="0.25">
      <c r="A37" s="94">
        <v>1</v>
      </c>
      <c r="B37" s="94">
        <f>VLOOKUP(A37,STN_TABLE_2,2,FALSE)</f>
        <v>0</v>
      </c>
      <c r="C37" s="79">
        <f>B37</f>
        <v>0</v>
      </c>
      <c r="D37" s="68">
        <f>VLOOKUP(C37,STN_TABLE,2,FALSE)</f>
        <v>9</v>
      </c>
      <c r="E37" s="102">
        <v>1</v>
      </c>
      <c r="F37" s="68">
        <f>D37*E37</f>
        <v>9</v>
      </c>
      <c r="G37" s="69">
        <f>C37</f>
        <v>0</v>
      </c>
      <c r="H37" s="69">
        <f>F37*G37</f>
        <v>0</v>
      </c>
      <c r="I37" s="6" t="s">
        <v>93</v>
      </c>
      <c r="J37" s="70">
        <f>IF(OR(D37=0,D38=0,D39=0),"#NA",IF(AND(C39-C38=C38-C37,C38&lt;&gt;C39,C37&lt;&gt;C38,C37&lt;&gt;C39,D39&lt;&gt;0,OR(D37&lt;&gt;0,D38&lt;&gt;0)),WLS*(C39-C38),"#NA"))</f>
        <v>0.5</v>
      </c>
      <c r="O37" s="99">
        <f>O36+1</f>
        <v>2</v>
      </c>
      <c r="P37" s="99">
        <f t="shared" si="10"/>
        <v>0.25</v>
      </c>
      <c r="Q37" s="68">
        <f>IF(OR(P39-P38=P38-P37,P40-P38=P38-P37),P37,IF(OR(P39-P38=P38-P36,P40-P38=P38-P36),P36,"-"))</f>
        <v>0.25</v>
      </c>
      <c r="R37" s="69">
        <f>VLOOKUP(Q37,STN_TABLE,2,FALSE)</f>
        <v>9.83</v>
      </c>
      <c r="S37" s="69">
        <v>5</v>
      </c>
      <c r="T37" s="68">
        <f>R37*S37</f>
        <v>49.15</v>
      </c>
      <c r="U37" s="79">
        <v>3</v>
      </c>
      <c r="V37" s="68">
        <f>R37*U37</f>
        <v>29.490000000000002</v>
      </c>
      <c r="W37" s="6" t="s">
        <v>93</v>
      </c>
      <c r="X37" s="70">
        <f>IF(AND(Q39-Q38=Q38-Q37,NOT(AND(Q37=0,Q38=0)),NOT(AND(Q38=0,Q39=0))),WLS*(Q39-Q38),"#NA")</f>
        <v>0.5</v>
      </c>
      <c r="AD37" s="93"/>
      <c r="AH37" s="6" t="s">
        <v>93</v>
      </c>
      <c r="AI37" s="70">
        <f>WLS*(AD39-AD38)</f>
        <v>0.5</v>
      </c>
      <c r="AU37" s="81"/>
    </row>
    <row r="38" spans="1:47" x14ac:dyDescent="0.25">
      <c r="A38" s="94">
        <f>A37+1</f>
        <v>2</v>
      </c>
      <c r="B38" s="94">
        <f>VLOOKUP(A38,STN_TABLE_2,2,FALSE)</f>
        <v>0.25</v>
      </c>
      <c r="C38" s="80">
        <f>B38</f>
        <v>0.25</v>
      </c>
      <c r="D38" s="76">
        <f>VLOOKUP(C38,STN_TABLE,2,FALSE)</f>
        <v>9.83</v>
      </c>
      <c r="E38" s="81">
        <v>4</v>
      </c>
      <c r="F38" s="76">
        <f>D38*E38</f>
        <v>39.32</v>
      </c>
      <c r="G38" s="77">
        <f>C38</f>
        <v>0.25</v>
      </c>
      <c r="H38" s="77">
        <f>F38*G38</f>
        <v>9.83</v>
      </c>
      <c r="I38" s="496" t="s">
        <v>97</v>
      </c>
      <c r="J38" s="496"/>
      <c r="K38" s="78" t="s">
        <v>98</v>
      </c>
      <c r="L38" s="78"/>
      <c r="M38" s="7" t="s">
        <v>99</v>
      </c>
      <c r="N38" s="7"/>
      <c r="O38" s="99">
        <f>O37+1</f>
        <v>3</v>
      </c>
      <c r="P38" s="99">
        <f t="shared" si="10"/>
        <v>0.5</v>
      </c>
      <c r="Q38" s="76">
        <f>P38</f>
        <v>0.5</v>
      </c>
      <c r="R38" s="77">
        <f>VLOOKUP(Q38,STN_TABLE,2,FALSE)</f>
        <v>10.3</v>
      </c>
      <c r="S38" s="77">
        <v>8</v>
      </c>
      <c r="T38" s="76">
        <f>R38*S38</f>
        <v>82.4</v>
      </c>
      <c r="U38" s="80">
        <v>10</v>
      </c>
      <c r="V38" s="76">
        <f>R38*U38</f>
        <v>103</v>
      </c>
      <c r="W38" s="496" t="s">
        <v>97</v>
      </c>
      <c r="X38" s="496"/>
      <c r="Y38" s="496" t="s">
        <v>98</v>
      </c>
      <c r="Z38" s="496"/>
      <c r="AA38" s="494" t="s">
        <v>99</v>
      </c>
      <c r="AB38" s="494"/>
      <c r="AC38" s="99">
        <f>AC33+1</f>
        <v>2</v>
      </c>
      <c r="AD38" s="95">
        <f>VLOOKUP(AC38,STN_TABLE_2,2,FALSE)</f>
        <v>0.25</v>
      </c>
      <c r="AE38" s="68">
        <f>VLOOKUP(AD38,STN_TABLE,2,FALSE)</f>
        <v>9.83</v>
      </c>
      <c r="AF38" s="68">
        <v>1</v>
      </c>
      <c r="AG38" s="69">
        <f>AE38*AF38</f>
        <v>9.83</v>
      </c>
      <c r="AH38" s="496" t="s">
        <v>97</v>
      </c>
      <c r="AI38" s="496"/>
      <c r="AJ38" s="496" t="s">
        <v>98</v>
      </c>
      <c r="AK38" s="496"/>
      <c r="AL38" s="494" t="s">
        <v>99</v>
      </c>
      <c r="AM38" s="494"/>
      <c r="AP38" s="86" t="s">
        <v>112</v>
      </c>
      <c r="AQ38" s="89" t="s">
        <v>113</v>
      </c>
      <c r="AR38" s="89" t="s">
        <v>114</v>
      </c>
      <c r="AS38" s="89" t="s">
        <v>115</v>
      </c>
    </row>
    <row r="39" spans="1:47" x14ac:dyDescent="0.25">
      <c r="A39" s="94">
        <f>A38+1</f>
        <v>3</v>
      </c>
      <c r="B39" s="94">
        <f>VLOOKUP(A39,STN_TABLE_2,2,FALSE)</f>
        <v>0.5</v>
      </c>
      <c r="C39" s="88">
        <f>B39</f>
        <v>0.5</v>
      </c>
      <c r="D39" s="82">
        <f>VLOOKUP(C39,STN_TABLE,2,FALSE)</f>
        <v>10.3</v>
      </c>
      <c r="E39" s="92">
        <v>1</v>
      </c>
      <c r="F39" s="82">
        <f>D39*E39</f>
        <v>10.3</v>
      </c>
      <c r="G39" s="83">
        <f>C39</f>
        <v>0.5</v>
      </c>
      <c r="H39" s="83">
        <f>F39*G39</f>
        <v>5.15</v>
      </c>
      <c r="I39" s="84" t="str">
        <f>CONCATENATE("a'(",C39,")=")</f>
        <v>a'(0.5)=</v>
      </c>
      <c r="J39" s="84">
        <f>2*J37/3*F40</f>
        <v>19.54</v>
      </c>
      <c r="K39" s="84" t="str">
        <f>CONCATENATE("A(",C37,")=")</f>
        <v>A(0)=</v>
      </c>
      <c r="L39" s="84">
        <f>VLOOKUP(C37,STN_TABLE,3,FALSE)</f>
        <v>0</v>
      </c>
      <c r="M39" t="str">
        <f>CONCATENATE("A(",C39,")=")</f>
        <v>A(0.5)=</v>
      </c>
      <c r="N39">
        <f>J39+L39</f>
        <v>19.54</v>
      </c>
      <c r="O39" s="99">
        <f>O38+1</f>
        <v>4</v>
      </c>
      <c r="P39" s="99">
        <f t="shared" si="10"/>
        <v>0.75</v>
      </c>
      <c r="Q39" s="82">
        <f>IF(P39-P38=P38-P37,P39,IF(P40-P38=P38-P37,P40,IF(P39-P38=P38-P36,P39,IF(P40-P38=P38-P36,P40,"-"))))</f>
        <v>0.75</v>
      </c>
      <c r="R39" s="83">
        <f>VLOOKUP(Q39,STN_TABLE,2,FALSE)</f>
        <v>10.6</v>
      </c>
      <c r="S39" s="83">
        <v>-1</v>
      </c>
      <c r="T39" s="82">
        <f>R39*S39</f>
        <v>-10.6</v>
      </c>
      <c r="U39" s="88">
        <v>-1</v>
      </c>
      <c r="V39" s="82">
        <f>R39*U39</f>
        <v>-10.6</v>
      </c>
      <c r="W39" s="84" t="str">
        <f>CONCATENATE("a'(",Q38,")=")</f>
        <v>a'(0.5)=</v>
      </c>
      <c r="X39" s="84">
        <f>2*X37/12*T40</f>
        <v>10.079166666666667</v>
      </c>
      <c r="Y39" s="84" t="str">
        <f>CONCATENATE("A(",Q37,")=")</f>
        <v>A(0.25)=</v>
      </c>
      <c r="Z39" s="84">
        <f>VLOOKUP(Q37,STN_TABLE,3,FALSE)</f>
        <v>9.4450000000000003</v>
      </c>
      <c r="AA39" t="str">
        <f>CONCATENATE("A(",Q38,")=")</f>
        <v>A(0.5)=</v>
      </c>
      <c r="AB39">
        <f>X39+Z39</f>
        <v>19.524166666666666</v>
      </c>
      <c r="AC39" s="99">
        <f>AC38+1</f>
        <v>3</v>
      </c>
      <c r="AD39" s="100">
        <f>VLOOKUP(AC39,STN_TABLE_2,2,FALSE)</f>
        <v>0.5</v>
      </c>
      <c r="AE39" s="82">
        <f>VLOOKUP(AD39,STN_TABLE,2,FALSE)</f>
        <v>10.3</v>
      </c>
      <c r="AF39" s="82">
        <v>2</v>
      </c>
      <c r="AG39" s="83">
        <f>AE39*AF39</f>
        <v>20.6</v>
      </c>
      <c r="AH39" s="84" t="str">
        <f>CONCATENATE("a'(",AD39,")=")</f>
        <v>a'(0.5)=</v>
      </c>
      <c r="AI39" s="84">
        <f>2*AI37/2*AE40</f>
        <v>10.065000000000001</v>
      </c>
      <c r="AJ39" s="84" t="str">
        <f>CONCATENATE("A(",AD38,")=")</f>
        <v>A(0.25)=</v>
      </c>
      <c r="AK39" s="84">
        <f>VLOOKUP(AD38,STN_TABLE,3,FALSE)</f>
        <v>9.4450000000000003</v>
      </c>
      <c r="AL39" t="str">
        <f>CONCATENATE("A(",AD39,")=")</f>
        <v>A(0.5)=</v>
      </c>
      <c r="AM39">
        <f>AI39+AK39</f>
        <v>19.510000000000002</v>
      </c>
      <c r="AO39" s="68" t="str">
        <f>AA39</f>
        <v>A(0.5)=</v>
      </c>
      <c r="AP39" s="68" t="e">
        <f>VLOOKUP(AO39,Rise_Results,2,FALSE)</f>
        <v>#N/A</v>
      </c>
      <c r="AQ39" s="76">
        <f>N39</f>
        <v>19.54</v>
      </c>
      <c r="AR39" s="76">
        <f>IF(OR(AB39&lt;=0,AB40&lt;=0),1/0,AB39)</f>
        <v>19.524166666666666</v>
      </c>
      <c r="AS39" s="76">
        <f>AM39</f>
        <v>19.510000000000002</v>
      </c>
      <c r="AT39">
        <f>IFERROR(AP39,IFERROR(AQ39,IFERROR(AR39,AS39)))</f>
        <v>19.54</v>
      </c>
    </row>
    <row r="40" spans="1:47" x14ac:dyDescent="0.25">
      <c r="A40">
        <v>4</v>
      </c>
      <c r="F40" s="82">
        <f>SUM(F37:F39)</f>
        <v>58.620000000000005</v>
      </c>
      <c r="H40" s="82">
        <f>SUM(H37:H39)</f>
        <v>14.98</v>
      </c>
      <c r="I40" s="84" t="str">
        <f>CONCATENATE("m'(",C39,")=")</f>
        <v>m'(0.5)=</v>
      </c>
      <c r="J40" s="84">
        <f>2*(J37*(WLS))/3*H40</f>
        <v>9.9866666666666664</v>
      </c>
      <c r="K40" s="84" t="str">
        <f>CONCATENATE("M(",C37,")=")</f>
        <v>M(0)=</v>
      </c>
      <c r="L40" s="84">
        <f>VLOOKUP(C37,STN_TABLE,4,FALSE)</f>
        <v>0</v>
      </c>
      <c r="M40" t="str">
        <f>CONCATENATE("M(",C39,")=")</f>
        <v>M(0.5)=</v>
      </c>
      <c r="N40">
        <f>J40+L40</f>
        <v>9.9866666666666664</v>
      </c>
      <c r="O40" s="99">
        <f>O39+1</f>
        <v>5</v>
      </c>
      <c r="P40" s="99">
        <f t="shared" si="10"/>
        <v>1</v>
      </c>
      <c r="T40" s="89">
        <f>SUM(T37:T39)</f>
        <v>120.95000000000002</v>
      </c>
      <c r="V40" s="82">
        <f>SUM(V37:V39)</f>
        <v>121.89000000000001</v>
      </c>
      <c r="W40" s="84" t="str">
        <f>CONCATENATE("m'(",Q38,")=")</f>
        <v>m'(0.5)=</v>
      </c>
      <c r="X40" s="84">
        <f>(2*(X37^2)/24*V40)+(X39*Q37*WLS)</f>
        <v>7.5789583333333344</v>
      </c>
      <c r="Y40" s="84" t="str">
        <f>CONCATENATE("M(",Q37,")=")</f>
        <v>M(0.25)=</v>
      </c>
      <c r="Z40" s="84">
        <f>VLOOKUP(Q37,STN_TABLE,4,FALSE)</f>
        <v>2.395833333333333</v>
      </c>
      <c r="AA40" t="str">
        <f>CONCATENATE("M(",Q38,")=")</f>
        <v>M(0.5)=</v>
      </c>
      <c r="AB40">
        <f>X40+Z40</f>
        <v>9.9747916666666683</v>
      </c>
      <c r="AE40" s="89">
        <f>SUM(AE38:AE39)</f>
        <v>20.130000000000003</v>
      </c>
      <c r="AG40" s="89">
        <f>SUM(AG38:AG39)</f>
        <v>30.43</v>
      </c>
      <c r="AH40" s="84" t="str">
        <f>CONCATENATE("m'(",AD39,")=")</f>
        <v>m'(0.5)=</v>
      </c>
      <c r="AI40" s="84">
        <f>(2*(AI37^2)/6*AG40)+(AI39*AD38*WLS)</f>
        <v>7.5683333333333334</v>
      </c>
      <c r="AJ40" s="84" t="str">
        <f>CONCATENATE("M(",AD38,")=")</f>
        <v>M(0.25)=</v>
      </c>
      <c r="AK40" s="84">
        <f>VLOOKUP(AD38,STN_TABLE,4,FALSE)</f>
        <v>2.395833333333333</v>
      </c>
      <c r="AL40" t="str">
        <f>CONCATENATE("M(",AD39,")=")</f>
        <v>M(0.5)=</v>
      </c>
      <c r="AM40">
        <f>AI40+AK40</f>
        <v>9.9641666666666673</v>
      </c>
      <c r="AO40" s="82" t="str">
        <f>AA40</f>
        <v>M(0.5)=</v>
      </c>
      <c r="AP40" s="82" t="e">
        <f>VLOOKUP(AO40,Rise_Results,2,FALSE)</f>
        <v>#N/A</v>
      </c>
      <c r="AQ40" s="82">
        <f>N40</f>
        <v>9.9866666666666664</v>
      </c>
      <c r="AR40" s="82">
        <f>IF(OR(AB39&lt;=0,AB40&lt;=0),1/0,AB40)</f>
        <v>9.9747916666666683</v>
      </c>
      <c r="AS40" s="82">
        <f>AM40</f>
        <v>9.9641666666666673</v>
      </c>
      <c r="AT40">
        <f>IFERROR(AP40,IFERROR(AQ40,IFERROR(AR40,AS40)))</f>
        <v>9.9866666666666664</v>
      </c>
    </row>
    <row r="41" spans="1:47" x14ac:dyDescent="0.25">
      <c r="A41" s="94">
        <v>0</v>
      </c>
      <c r="O41" s="101">
        <f>O36+1</f>
        <v>2</v>
      </c>
      <c r="P41" s="101">
        <f t="shared" si="10"/>
        <v>0.25</v>
      </c>
    </row>
    <row r="42" spans="1:47" x14ac:dyDescent="0.25">
      <c r="A42" s="94">
        <f>A41+1</f>
        <v>1</v>
      </c>
      <c r="B42" s="94">
        <f t="shared" ref="B42:B73" si="11">VLOOKUP(A42,STN_TABLE_2,2,FALSE)</f>
        <v>0</v>
      </c>
      <c r="C42" s="79">
        <f>IF(C43=B43,B42,IF(C43=B44,IF(C44-C43=C43-B43,B43,IF(C44-C43=C43-B42,B42,"NA"))))</f>
        <v>0.25</v>
      </c>
      <c r="D42" s="68">
        <f>VLOOKUP(C42,STN_TABLE,2,FALSE)</f>
        <v>9.83</v>
      </c>
      <c r="E42" s="102">
        <v>1</v>
      </c>
      <c r="F42" s="68">
        <f>D42*E42</f>
        <v>9.83</v>
      </c>
      <c r="G42" s="69">
        <f>C42</f>
        <v>0.25</v>
      </c>
      <c r="H42" s="69">
        <f>F42*G42</f>
        <v>2.4575</v>
      </c>
      <c r="I42" s="6" t="s">
        <v>93</v>
      </c>
      <c r="J42" s="70">
        <f>IF(OR(D42=0,D43=0,D44=0),"#NA",IF(AND(C44-C43=C43-C42,C43&lt;&gt;C44,C42&lt;&gt;C43,C42&lt;&gt;C44,D44&lt;&gt;0,OR(D42&lt;&gt;0,D43&lt;&gt;0)),WLS*(C44-C43),"#NA"))</f>
        <v>0.5</v>
      </c>
      <c r="O42" s="99">
        <f>O41+1</f>
        <v>3</v>
      </c>
      <c r="P42" s="99">
        <f t="shared" si="10"/>
        <v>0.5</v>
      </c>
      <c r="Q42" s="68">
        <f>IF(OR(P44-P43=P43-P42,P45-P43=P43-P42),P42,IF(OR(P44-P43=P43-P41,P45-P43=P43-P41),P41,"-"))</f>
        <v>0.5</v>
      </c>
      <c r="R42" s="69">
        <f>VLOOKUP(Q42,STN_TABLE,2,FALSE)</f>
        <v>10.3</v>
      </c>
      <c r="S42" s="69">
        <v>5</v>
      </c>
      <c r="T42" s="68">
        <f>R42*S42</f>
        <v>51.5</v>
      </c>
      <c r="U42" s="79">
        <v>3</v>
      </c>
      <c r="V42" s="68">
        <f>R42*U42</f>
        <v>30.900000000000002</v>
      </c>
      <c r="W42" s="6" t="s">
        <v>93</v>
      </c>
      <c r="X42" s="70">
        <f>IF(AND(Q44-Q43=Q43-Q42,NOT(AND(Q42=0,Q43=0)),NOT(AND(Q43=0,Q44=0))),WLS*(Q44-Q43),"#NA")</f>
        <v>0.5</v>
      </c>
      <c r="AD42" s="93"/>
      <c r="AH42" s="6" t="s">
        <v>93</v>
      </c>
      <c r="AI42" s="70">
        <f>WLS*(AD44-AD43)</f>
        <v>0.5</v>
      </c>
      <c r="AU42" s="81"/>
    </row>
    <row r="43" spans="1:47" x14ac:dyDescent="0.25">
      <c r="A43" s="94">
        <f>A42+1</f>
        <v>2</v>
      </c>
      <c r="B43" s="94">
        <f t="shared" si="11"/>
        <v>0.25</v>
      </c>
      <c r="C43" s="80">
        <f>IF(OR(B45-B44=B44-B43,B45-B44=B44-B42,),B44,IF(B45-B43=B43-B42,B43,"#NA"))</f>
        <v>0.5</v>
      </c>
      <c r="D43" s="76">
        <f>VLOOKUP(C43,STN_TABLE,2,FALSE)</f>
        <v>10.3</v>
      </c>
      <c r="E43" s="81">
        <v>4</v>
      </c>
      <c r="F43" s="76">
        <f>D43*E43</f>
        <v>41.2</v>
      </c>
      <c r="G43" s="77">
        <f>C43</f>
        <v>0.5</v>
      </c>
      <c r="H43" s="77">
        <f>F43*G43</f>
        <v>20.6</v>
      </c>
      <c r="I43" s="496" t="s">
        <v>97</v>
      </c>
      <c r="J43" s="496"/>
      <c r="K43" s="78" t="s">
        <v>98</v>
      </c>
      <c r="L43" s="78"/>
      <c r="M43" s="7" t="s">
        <v>99</v>
      </c>
      <c r="N43" s="7"/>
      <c r="O43" s="99">
        <f>O42+1</f>
        <v>4</v>
      </c>
      <c r="P43" s="99">
        <f t="shared" si="10"/>
        <v>0.75</v>
      </c>
      <c r="Q43" s="76">
        <f>P43</f>
        <v>0.75</v>
      </c>
      <c r="R43" s="77">
        <f>VLOOKUP(Q43,STN_TABLE,2,FALSE)</f>
        <v>10.6</v>
      </c>
      <c r="S43" s="77">
        <v>8</v>
      </c>
      <c r="T43" s="76">
        <f>R43*S43</f>
        <v>84.8</v>
      </c>
      <c r="U43" s="80">
        <v>10</v>
      </c>
      <c r="V43" s="76">
        <f>R43*U43</f>
        <v>106</v>
      </c>
      <c r="W43" s="496" t="s">
        <v>97</v>
      </c>
      <c r="X43" s="496"/>
      <c r="Y43" s="496" t="s">
        <v>98</v>
      </c>
      <c r="Z43" s="496"/>
      <c r="AA43" s="494" t="s">
        <v>99</v>
      </c>
      <c r="AB43" s="494"/>
      <c r="AC43" s="99">
        <f>AC38+1</f>
        <v>3</v>
      </c>
      <c r="AD43" s="95">
        <f>VLOOKUP(AC43,STN_TABLE_2,2,FALSE)</f>
        <v>0.5</v>
      </c>
      <c r="AE43" s="68">
        <f>VLOOKUP(AD43,STN_TABLE,2,FALSE)</f>
        <v>10.3</v>
      </c>
      <c r="AF43" s="68">
        <v>1</v>
      </c>
      <c r="AG43" s="69">
        <f>AE43*AF43</f>
        <v>10.3</v>
      </c>
      <c r="AH43" s="496" t="s">
        <v>97</v>
      </c>
      <c r="AI43" s="496"/>
      <c r="AJ43" s="496" t="s">
        <v>98</v>
      </c>
      <c r="AK43" s="496"/>
      <c r="AL43" s="494" t="s">
        <v>99</v>
      </c>
      <c r="AM43" s="494"/>
      <c r="AP43" s="86" t="s">
        <v>112</v>
      </c>
      <c r="AQ43" s="89" t="s">
        <v>113</v>
      </c>
      <c r="AR43" s="89" t="s">
        <v>114</v>
      </c>
      <c r="AS43" s="89" t="s">
        <v>115</v>
      </c>
      <c r="AU43" s="81"/>
    </row>
    <row r="44" spans="1:47" x14ac:dyDescent="0.25">
      <c r="A44" s="94">
        <f>A43+1</f>
        <v>3</v>
      </c>
      <c r="B44" s="94">
        <f t="shared" si="11"/>
        <v>0.5</v>
      </c>
      <c r="C44" s="88">
        <f>B45</f>
        <v>0.75</v>
      </c>
      <c r="D44" s="82">
        <f>VLOOKUP(C44,STN_TABLE,2,FALSE)</f>
        <v>10.6</v>
      </c>
      <c r="E44" s="92">
        <v>1</v>
      </c>
      <c r="F44" s="82">
        <f>D44*E44</f>
        <v>10.6</v>
      </c>
      <c r="G44" s="83">
        <f>C44</f>
        <v>0.75</v>
      </c>
      <c r="H44" s="83">
        <f>F44*G44</f>
        <v>7.9499999999999993</v>
      </c>
      <c r="I44" s="84" t="str">
        <f>CONCATENATE("a'(",C44,")=")</f>
        <v>a'(0.75)=</v>
      </c>
      <c r="J44" s="84">
        <f>2*J42/3*F45</f>
        <v>20.543333333333333</v>
      </c>
      <c r="K44" s="84" t="str">
        <f>CONCATENATE("A(",C42,")=")</f>
        <v>A(0.25)=</v>
      </c>
      <c r="L44" s="84">
        <f>VLOOKUP(C42,STN_TABLE,3,FALSE)</f>
        <v>9.4450000000000003</v>
      </c>
      <c r="M44" t="str">
        <f>CONCATENATE("A(",C44,")=")</f>
        <v>A(0.75)=</v>
      </c>
      <c r="N44">
        <f>J44+L44</f>
        <v>29.988333333333333</v>
      </c>
      <c r="O44" s="99">
        <f>O43+1</f>
        <v>5</v>
      </c>
      <c r="P44" s="99">
        <f t="shared" si="10"/>
        <v>1</v>
      </c>
      <c r="Q44" s="82">
        <f>IF(P44-P43=P43-P42,P44,IF(P45-P43=P43-P42,P45,IF(P44-P43=P43-P41,P44,IF(P45-P43=P43-P41,P45,"-"))))</f>
        <v>1</v>
      </c>
      <c r="R44" s="83">
        <f>VLOOKUP(Q44,STN_TABLE,2,FALSE)</f>
        <v>10.8</v>
      </c>
      <c r="S44" s="83">
        <v>-1</v>
      </c>
      <c r="T44" s="82">
        <f>R44*S44</f>
        <v>-10.8</v>
      </c>
      <c r="U44" s="88">
        <v>-1</v>
      </c>
      <c r="V44" s="82">
        <f>R44*U44</f>
        <v>-10.8</v>
      </c>
      <c r="W44" s="84" t="str">
        <f>CONCATENATE("a'(",Q43,")=")</f>
        <v>a'(0.75)=</v>
      </c>
      <c r="X44" s="84">
        <f>2*X42/12*T45</f>
        <v>10.458333333333334</v>
      </c>
      <c r="Y44" s="84" t="str">
        <f>CONCATENATE("A(",Q42,")=")</f>
        <v>A(0.5)=</v>
      </c>
      <c r="Z44" s="84">
        <f>VLOOKUP(Q42,STN_TABLE,3,FALSE)</f>
        <v>19.54</v>
      </c>
      <c r="AA44" t="str">
        <f>CONCATENATE("A(",Q43,")=")</f>
        <v>A(0.75)=</v>
      </c>
      <c r="AB44">
        <f>X44+Z44</f>
        <v>29.998333333333335</v>
      </c>
      <c r="AC44" s="99">
        <f>AC43+1</f>
        <v>4</v>
      </c>
      <c r="AD44" s="100">
        <f>VLOOKUP(AC44,STN_TABLE_2,2,FALSE)</f>
        <v>0.75</v>
      </c>
      <c r="AE44" s="82">
        <f>VLOOKUP(AD44,STN_TABLE,2,FALSE)</f>
        <v>10.6</v>
      </c>
      <c r="AF44" s="82">
        <v>2</v>
      </c>
      <c r="AG44" s="83">
        <f>AE44*AF44</f>
        <v>21.2</v>
      </c>
      <c r="AH44" s="84" t="str">
        <f>CONCATENATE("a'(",AD44,")=")</f>
        <v>a'(0.75)=</v>
      </c>
      <c r="AI44" s="84">
        <f>2*AI42/2*AE45</f>
        <v>10.45</v>
      </c>
      <c r="AJ44" s="84" t="str">
        <f>CONCATENATE("A(",AD43,")=")</f>
        <v>A(0.5)=</v>
      </c>
      <c r="AK44" s="84">
        <f>VLOOKUP(AD43,STN_TABLE,3,FALSE)</f>
        <v>19.54</v>
      </c>
      <c r="AL44" t="str">
        <f>CONCATENATE("A(",AD44,")=")</f>
        <v>A(0.75)=</v>
      </c>
      <c r="AM44">
        <f>AI44+AK44</f>
        <v>29.99</v>
      </c>
      <c r="AO44" s="68" t="str">
        <f>AA44</f>
        <v>A(0.75)=</v>
      </c>
      <c r="AP44" s="68" t="e">
        <f>VLOOKUP(AO44,Rise_Results,2,FALSE)</f>
        <v>#N/A</v>
      </c>
      <c r="AQ44" s="76">
        <f>N44</f>
        <v>29.988333333333333</v>
      </c>
      <c r="AR44" s="76">
        <f>IF(OR(AB44&lt;=0,AB45&lt;=0),1/0,AB44)</f>
        <v>29.998333333333335</v>
      </c>
      <c r="AS44" s="76">
        <f>AM44</f>
        <v>29.99</v>
      </c>
      <c r="AT44">
        <f>IFERROR(AP44,IFERROR(AQ44,IFERROR(AR44,AS44)))</f>
        <v>29.988333333333333</v>
      </c>
      <c r="AU44" s="81"/>
    </row>
    <row r="45" spans="1:47" x14ac:dyDescent="0.25">
      <c r="A45" s="94">
        <f>A44+1</f>
        <v>4</v>
      </c>
      <c r="B45" s="94">
        <f t="shared" si="11"/>
        <v>0.75</v>
      </c>
      <c r="F45" s="82">
        <f>SUM(F42:F44)</f>
        <v>61.63</v>
      </c>
      <c r="H45" s="82">
        <f>SUM(H42:H44)</f>
        <v>31.0075</v>
      </c>
      <c r="I45" s="84" t="str">
        <f>CONCATENATE("m'(",C44,")=")</f>
        <v>m'(0.75)=</v>
      </c>
      <c r="J45" s="84">
        <f>2*(J42*(WLS))/3*H45</f>
        <v>20.671666666666667</v>
      </c>
      <c r="K45" s="84" t="str">
        <f>CONCATENATE("M(",C42,")=")</f>
        <v>M(0.25)=</v>
      </c>
      <c r="L45" s="84">
        <f>VLOOKUP(C42,STN_TABLE,4,FALSE)</f>
        <v>2.395833333333333</v>
      </c>
      <c r="M45" t="str">
        <f>CONCATENATE("M(",C44,")=")</f>
        <v>M(0.75)=</v>
      </c>
      <c r="N45">
        <f>J45+L45</f>
        <v>23.067499999999999</v>
      </c>
      <c r="O45" s="99">
        <f>O44+1</f>
        <v>6</v>
      </c>
      <c r="P45" s="99">
        <f t="shared" si="10"/>
        <v>2</v>
      </c>
      <c r="T45" s="89">
        <f>SUM(T42:T44)</f>
        <v>125.50000000000001</v>
      </c>
      <c r="V45" s="82">
        <f>SUM(V42:V44)</f>
        <v>126.10000000000001</v>
      </c>
      <c r="W45" s="84" t="str">
        <f>CONCATENATE("m'(",Q43,")=")</f>
        <v>m'(0.75)=</v>
      </c>
      <c r="X45" s="84">
        <f>(2*(X42^2)/24*V45)+(X44*Q42*WLS)</f>
        <v>13.085416666666667</v>
      </c>
      <c r="Y45" s="84" t="str">
        <f>CONCATENATE("M(",Q42,")=")</f>
        <v>M(0.5)=</v>
      </c>
      <c r="Z45" s="84">
        <f>VLOOKUP(Q42,STN_TABLE,4,FALSE)</f>
        <v>9.9866666666666664</v>
      </c>
      <c r="AA45" t="str">
        <f>CONCATENATE("M(",Q43,")=")</f>
        <v>M(0.75)=</v>
      </c>
      <c r="AB45">
        <f>X45+Z45</f>
        <v>23.072083333333332</v>
      </c>
      <c r="AE45" s="89">
        <f>SUM(AE43:AE44)</f>
        <v>20.9</v>
      </c>
      <c r="AG45" s="89">
        <f>SUM(AG43:AG44)</f>
        <v>31.5</v>
      </c>
      <c r="AH45" s="84" t="str">
        <f>CONCATENATE("m'(",AD44,")=")</f>
        <v>m'(0.75)=</v>
      </c>
      <c r="AI45" s="84">
        <f>(2*(AI42^2)/6*AG45)+(AI44*AD43*WLS)</f>
        <v>13.074999999999999</v>
      </c>
      <c r="AJ45" s="84" t="str">
        <f>CONCATENATE("M(",AD43,")=")</f>
        <v>M(0.5)=</v>
      </c>
      <c r="AK45" s="84">
        <f>VLOOKUP(AD43,STN_TABLE,4,FALSE)</f>
        <v>9.9866666666666664</v>
      </c>
      <c r="AL45" t="str">
        <f>CONCATENATE("M(",AD44,")=")</f>
        <v>M(0.75)=</v>
      </c>
      <c r="AM45">
        <f>AI45+AK45</f>
        <v>23.061666666666667</v>
      </c>
      <c r="AO45" s="82" t="str">
        <f>AA45</f>
        <v>M(0.75)=</v>
      </c>
      <c r="AP45" s="82" t="e">
        <f>VLOOKUP(AO45,Rise_Results,2,FALSE)</f>
        <v>#N/A</v>
      </c>
      <c r="AQ45" s="82">
        <f>N45</f>
        <v>23.067499999999999</v>
      </c>
      <c r="AR45" s="82">
        <f>IF(OR(AB44&lt;=0,AB45&lt;=0),1/0,AB45)</f>
        <v>23.072083333333332</v>
      </c>
      <c r="AS45" s="82">
        <f>AM45</f>
        <v>23.061666666666667</v>
      </c>
      <c r="AT45">
        <f>IFERROR(AP45,IFERROR(AQ45,IFERROR(AR45,AS45)))</f>
        <v>23.067499999999999</v>
      </c>
      <c r="AU45" s="81"/>
    </row>
    <row r="46" spans="1:47" x14ac:dyDescent="0.25">
      <c r="A46" s="101">
        <f>A41+1</f>
        <v>1</v>
      </c>
      <c r="B46" s="101">
        <f t="shared" si="11"/>
        <v>0</v>
      </c>
      <c r="O46" s="101">
        <f>O41+1</f>
        <v>3</v>
      </c>
      <c r="P46" s="101">
        <f t="shared" si="10"/>
        <v>0.5</v>
      </c>
      <c r="AU46" s="81"/>
    </row>
    <row r="47" spans="1:47" x14ac:dyDescent="0.25">
      <c r="A47" s="84">
        <f>A46+1</f>
        <v>2</v>
      </c>
      <c r="B47" s="84">
        <f t="shared" si="11"/>
        <v>0.25</v>
      </c>
      <c r="C47" s="79">
        <f>IF(C48=B49,IF(C49-C48=C48-B48,B48,IF(C49-C48=C48-B47,B47,"#NA")),IF(C48=B48,IF(C49-C48=C48-B47,B47,IF(C49-C48=C48-B46,B46,"#NA")),"#NA"))</f>
        <v>0.5</v>
      </c>
      <c r="D47" s="68">
        <f>VLOOKUP(C47,STN_TABLE,2,FALSE)</f>
        <v>10.3</v>
      </c>
      <c r="E47" s="102">
        <v>1</v>
      </c>
      <c r="F47" s="68">
        <f>D47*E47</f>
        <v>10.3</v>
      </c>
      <c r="G47" s="69">
        <f>C47</f>
        <v>0.5</v>
      </c>
      <c r="H47" s="69">
        <f>F47*G47</f>
        <v>5.15</v>
      </c>
      <c r="I47" s="6" t="s">
        <v>93</v>
      </c>
      <c r="J47" s="70">
        <f>IF(OR(D47=0,D48=0,D49=0),"#NA",IF(AND(C49-C48=C48-C47,C48&lt;&gt;C49,C47&lt;&gt;C48,C47&lt;&gt;C49,D49&lt;&gt;0,OR(D47&lt;&gt;0,D48&lt;&gt;0)),WLS*(C49-C48),"#NA"))</f>
        <v>0.5</v>
      </c>
      <c r="O47" s="99">
        <f>O46+1</f>
        <v>4</v>
      </c>
      <c r="P47" s="99">
        <f t="shared" si="10"/>
        <v>0.75</v>
      </c>
      <c r="Q47" s="68" t="str">
        <f>IF(OR(P49-P48=P48-P47,P50-P48=P48-P47),P47,IF(OR(P49-P48=P48-P46,P50-P48=P48-P46),P46,"-"))</f>
        <v>-</v>
      </c>
      <c r="R47" s="69" t="e">
        <f>VLOOKUP(Q47,STN_TABLE,2,FALSE)</f>
        <v>#N/A</v>
      </c>
      <c r="S47" s="69">
        <v>5</v>
      </c>
      <c r="T47" s="68" t="e">
        <f>R47*S47</f>
        <v>#N/A</v>
      </c>
      <c r="U47" s="79">
        <v>3</v>
      </c>
      <c r="V47" s="68" t="e">
        <f>R47*U47</f>
        <v>#N/A</v>
      </c>
      <c r="W47" s="6" t="s">
        <v>93</v>
      </c>
      <c r="X47" s="70" t="e">
        <f>IF(AND(Q49-Q48=Q48-Q47,NOT(AND(Q47=0,Q48=0)),NOT(AND(Q48=0,Q49=0))),WLS*(Q49-Q48),"#NA")</f>
        <v>#VALUE!</v>
      </c>
      <c r="AD47" s="93"/>
      <c r="AH47" s="6" t="s">
        <v>93</v>
      </c>
      <c r="AI47" s="70">
        <f>WLS*(AD49-AD48)</f>
        <v>0.5</v>
      </c>
      <c r="AU47" s="81"/>
    </row>
    <row r="48" spans="1:47" x14ac:dyDescent="0.25">
      <c r="A48" s="84">
        <f>A47+1</f>
        <v>3</v>
      </c>
      <c r="B48" s="84">
        <f t="shared" si="11"/>
        <v>0.5</v>
      </c>
      <c r="C48" s="80">
        <f>IF(OR(B50-B49=B49-B48,B50-B49=B49-B47,B50-B49=B49-B46),B49,IF(OR(B50-B48=B48-B47,B50-B48=B48-B46),B48,IF(B50-B47=B47-B46,B47,"#NA")))</f>
        <v>0.75</v>
      </c>
      <c r="D48" s="76">
        <f>VLOOKUP(C48,STN_TABLE,2,FALSE)</f>
        <v>10.6</v>
      </c>
      <c r="E48" s="81">
        <v>4</v>
      </c>
      <c r="F48" s="76">
        <f>D48*E48</f>
        <v>42.4</v>
      </c>
      <c r="G48" s="77">
        <f>C48</f>
        <v>0.75</v>
      </c>
      <c r="H48" s="77">
        <f>F48*G48</f>
        <v>31.799999999999997</v>
      </c>
      <c r="I48" s="496" t="s">
        <v>97</v>
      </c>
      <c r="J48" s="496"/>
      <c r="K48" s="78" t="s">
        <v>98</v>
      </c>
      <c r="L48" s="78"/>
      <c r="M48" s="7" t="s">
        <v>99</v>
      </c>
      <c r="N48" s="7"/>
      <c r="O48" s="99">
        <f>O47+1</f>
        <v>5</v>
      </c>
      <c r="P48" s="99">
        <f t="shared" si="10"/>
        <v>1</v>
      </c>
      <c r="Q48" s="76">
        <f>P48</f>
        <v>1</v>
      </c>
      <c r="R48" s="77">
        <f>VLOOKUP(Q48,STN_TABLE,2,FALSE)</f>
        <v>10.8</v>
      </c>
      <c r="S48" s="77">
        <v>8</v>
      </c>
      <c r="T48" s="76">
        <f>R48*S48</f>
        <v>86.4</v>
      </c>
      <c r="U48" s="80">
        <v>10</v>
      </c>
      <c r="V48" s="76">
        <f>R48*U48</f>
        <v>108</v>
      </c>
      <c r="W48" s="496" t="s">
        <v>97</v>
      </c>
      <c r="X48" s="496"/>
      <c r="Y48" s="496" t="s">
        <v>98</v>
      </c>
      <c r="Z48" s="496"/>
      <c r="AA48" s="494" t="s">
        <v>99</v>
      </c>
      <c r="AB48" s="494"/>
      <c r="AC48" s="99">
        <f>AC43+1</f>
        <v>4</v>
      </c>
      <c r="AD48" s="95">
        <f>VLOOKUP(AC48,STN_TABLE_2,2,FALSE)</f>
        <v>0.75</v>
      </c>
      <c r="AE48" s="68">
        <f>VLOOKUP(AD48,STN_TABLE,2,FALSE)</f>
        <v>10.6</v>
      </c>
      <c r="AF48" s="68">
        <v>1</v>
      </c>
      <c r="AG48" s="69">
        <f>AE48*AF48</f>
        <v>10.6</v>
      </c>
      <c r="AH48" s="496" t="s">
        <v>97</v>
      </c>
      <c r="AI48" s="496"/>
      <c r="AJ48" s="496" t="s">
        <v>98</v>
      </c>
      <c r="AK48" s="496"/>
      <c r="AL48" s="494" t="s">
        <v>99</v>
      </c>
      <c r="AM48" s="494"/>
      <c r="AP48" s="86" t="s">
        <v>112</v>
      </c>
      <c r="AQ48" s="89" t="s">
        <v>113</v>
      </c>
      <c r="AR48" s="89" t="s">
        <v>114</v>
      </c>
      <c r="AS48" s="89" t="s">
        <v>115</v>
      </c>
      <c r="AU48" s="81"/>
    </row>
    <row r="49" spans="1:47" x14ac:dyDescent="0.25">
      <c r="A49" s="84">
        <f>A48+1</f>
        <v>4</v>
      </c>
      <c r="B49" s="84">
        <f t="shared" si="11"/>
        <v>0.75</v>
      </c>
      <c r="C49" s="88">
        <f>B50</f>
        <v>1</v>
      </c>
      <c r="D49" s="82">
        <f>VLOOKUP(C49,STN_TABLE,2,FALSE)</f>
        <v>10.8</v>
      </c>
      <c r="E49" s="92">
        <v>1</v>
      </c>
      <c r="F49" s="82">
        <f>D49*E49</f>
        <v>10.8</v>
      </c>
      <c r="G49" s="83">
        <f>C49</f>
        <v>1</v>
      </c>
      <c r="H49" s="83">
        <f>F49*G49</f>
        <v>10.8</v>
      </c>
      <c r="I49" s="84" t="str">
        <f>CONCATENATE("a'(",C49,")=")</f>
        <v>a'(1)=</v>
      </c>
      <c r="J49" s="84">
        <f>2*J47/3*F50</f>
        <v>21.166666666666664</v>
      </c>
      <c r="K49" s="84" t="str">
        <f>CONCATENATE("A(",C47,")=")</f>
        <v>A(0.5)=</v>
      </c>
      <c r="L49" s="84">
        <f>VLOOKUP(C47,STN_TABLE,3,FALSE)</f>
        <v>19.54</v>
      </c>
      <c r="M49" t="str">
        <f>CONCATENATE("A(",C49,")=")</f>
        <v>A(1)=</v>
      </c>
      <c r="N49">
        <f>J49+L49</f>
        <v>40.706666666666663</v>
      </c>
      <c r="O49" s="99">
        <f>O48+1</f>
        <v>6</v>
      </c>
      <c r="P49" s="99">
        <f t="shared" si="10"/>
        <v>2</v>
      </c>
      <c r="Q49" s="82" t="str">
        <f>IF(P49-P48=P48-P47,P49,IF(P50-P48=P48-P47,P50,IF(P49-P48=P48-P46,P49,IF(P50-P48=P48-P46,P50,"-"))))</f>
        <v>-</v>
      </c>
      <c r="R49" s="83" t="e">
        <f>VLOOKUP(Q49,STN_TABLE,2,FALSE)</f>
        <v>#N/A</v>
      </c>
      <c r="S49" s="83">
        <v>-1</v>
      </c>
      <c r="T49" s="82" t="e">
        <f>R49*S49</f>
        <v>#N/A</v>
      </c>
      <c r="U49" s="88">
        <v>-1</v>
      </c>
      <c r="V49" s="82" t="e">
        <f>R49*U49</f>
        <v>#N/A</v>
      </c>
      <c r="W49" s="84" t="str">
        <f>CONCATENATE("a'(",Q48,")=")</f>
        <v>a'(1)=</v>
      </c>
      <c r="X49" s="84" t="e">
        <f>2*X47/12*T50</f>
        <v>#VALUE!</v>
      </c>
      <c r="Y49" s="84" t="str">
        <f>CONCATENATE("A(",Q47,")=")</f>
        <v>A(-)=</v>
      </c>
      <c r="Z49" s="84" t="e">
        <f>VLOOKUP(Q47,STN_TABLE,3,FALSE)</f>
        <v>#N/A</v>
      </c>
      <c r="AA49" t="str">
        <f>CONCATENATE("A(",Q48,")=")</f>
        <v>A(1)=</v>
      </c>
      <c r="AB49" t="e">
        <f>X49+Z49</f>
        <v>#VALUE!</v>
      </c>
      <c r="AC49" s="99">
        <f>AC48+1</f>
        <v>5</v>
      </c>
      <c r="AD49" s="100">
        <f>VLOOKUP(AC49,STN_TABLE_2,2,FALSE)</f>
        <v>1</v>
      </c>
      <c r="AE49" s="82">
        <f>VLOOKUP(AD49,STN_TABLE,2,FALSE)</f>
        <v>10.8</v>
      </c>
      <c r="AF49" s="82">
        <v>2</v>
      </c>
      <c r="AG49" s="83">
        <f>AE49*AF49</f>
        <v>21.6</v>
      </c>
      <c r="AH49" s="84" t="str">
        <f>CONCATENATE("a'(",AD49,")=")</f>
        <v>a'(1)=</v>
      </c>
      <c r="AI49" s="84">
        <f>2*AI47/2*AE50</f>
        <v>10.7</v>
      </c>
      <c r="AJ49" s="84" t="str">
        <f>CONCATENATE("A(",AD48,")=")</f>
        <v>A(0.75)=</v>
      </c>
      <c r="AK49" s="84">
        <f>VLOOKUP(AD48,STN_TABLE,3,FALSE)</f>
        <v>29.988333333333333</v>
      </c>
      <c r="AL49" t="str">
        <f>CONCATENATE("A(",AD49,")=")</f>
        <v>A(1)=</v>
      </c>
      <c r="AM49">
        <f>AI49+AK49</f>
        <v>40.688333333333333</v>
      </c>
      <c r="AO49" s="68" t="str">
        <f>AA49</f>
        <v>A(1)=</v>
      </c>
      <c r="AP49" s="68" t="e">
        <f>VLOOKUP(AO49,Rise_Results,2,FALSE)</f>
        <v>#N/A</v>
      </c>
      <c r="AQ49" s="76">
        <f>N49</f>
        <v>40.706666666666663</v>
      </c>
      <c r="AR49" s="76" t="e">
        <f>IF(OR(AB49&lt;=0,AB50&lt;=0),1/0,AB49)</f>
        <v>#VALUE!</v>
      </c>
      <c r="AS49" s="76">
        <f>AM49</f>
        <v>40.688333333333333</v>
      </c>
      <c r="AT49">
        <f>IFERROR(AP49,IFERROR(AQ49,IFERROR(AR49,AS49)))</f>
        <v>40.706666666666663</v>
      </c>
      <c r="AU49" s="81"/>
    </row>
    <row r="50" spans="1:47" x14ac:dyDescent="0.25">
      <c r="A50" s="84">
        <f>A49+1</f>
        <v>5</v>
      </c>
      <c r="B50" s="84">
        <f t="shared" si="11"/>
        <v>1</v>
      </c>
      <c r="F50" s="82">
        <f>SUM(F47:F49)</f>
        <v>63.5</v>
      </c>
      <c r="H50" s="82">
        <f>SUM(H47:H49)</f>
        <v>47.75</v>
      </c>
      <c r="I50" s="84" t="str">
        <f>CONCATENATE("m'(",C49,")=")</f>
        <v>m'(1)=</v>
      </c>
      <c r="J50" s="84">
        <f>2*(J47*(WLS))/3*H50</f>
        <v>31.833333333333332</v>
      </c>
      <c r="K50" s="84" t="str">
        <f>CONCATENATE("M(",C47,")=")</f>
        <v>M(0.5)=</v>
      </c>
      <c r="L50" s="84">
        <f>VLOOKUP(C47,STN_TABLE,4,FALSE)</f>
        <v>9.9866666666666664</v>
      </c>
      <c r="M50" t="str">
        <f>CONCATENATE("M(",C49,")=")</f>
        <v>M(1)=</v>
      </c>
      <c r="N50">
        <f>J50+L50</f>
        <v>41.82</v>
      </c>
      <c r="O50" s="99">
        <f>O49+1</f>
        <v>7</v>
      </c>
      <c r="P50" s="99">
        <f t="shared" si="10"/>
        <v>3</v>
      </c>
      <c r="T50" s="89" t="e">
        <f>SUM(T47:T49)</f>
        <v>#N/A</v>
      </c>
      <c r="V50" s="82" t="e">
        <f>SUM(V47:V49)</f>
        <v>#N/A</v>
      </c>
      <c r="W50" s="84" t="str">
        <f>CONCATENATE("m'(",Q48,")=")</f>
        <v>m'(1)=</v>
      </c>
      <c r="X50" s="84" t="e">
        <f>(2*(X47^2)/24*V50)+(X49*Q47*WLS)</f>
        <v>#VALUE!</v>
      </c>
      <c r="Y50" s="84" t="str">
        <f>CONCATENATE("M(",Q47,")=")</f>
        <v>M(-)=</v>
      </c>
      <c r="Z50" s="84" t="e">
        <f>VLOOKUP(Q47,STN_TABLE,4,FALSE)</f>
        <v>#N/A</v>
      </c>
      <c r="AA50" t="str">
        <f>CONCATENATE("M(",Q48,")=")</f>
        <v>M(1)=</v>
      </c>
      <c r="AB50" t="e">
        <f>X50+Z50</f>
        <v>#VALUE!</v>
      </c>
      <c r="AE50" s="89">
        <f>SUM(AE48:AE49)</f>
        <v>21.4</v>
      </c>
      <c r="AG50" s="89">
        <f>SUM(AG48:AG49)</f>
        <v>32.200000000000003</v>
      </c>
      <c r="AH50" s="84" t="str">
        <f>CONCATENATE("m'(",AD49,")=")</f>
        <v>m'(1)=</v>
      </c>
      <c r="AI50" s="84">
        <f>(2*(AI47^2)/6*AG50)+(AI49*AD48*WLS)</f>
        <v>18.733333333333331</v>
      </c>
      <c r="AJ50" s="84" t="str">
        <f>CONCATENATE("M(",AD48,")=")</f>
        <v>M(0.75)=</v>
      </c>
      <c r="AK50" s="84">
        <f>VLOOKUP(AD48,STN_TABLE,4,FALSE)</f>
        <v>23.067499999999999</v>
      </c>
      <c r="AL50" t="str">
        <f>CONCATENATE("M(",AD49,")=")</f>
        <v>M(1)=</v>
      </c>
      <c r="AM50">
        <f>AI50+AK50</f>
        <v>41.80083333333333</v>
      </c>
      <c r="AO50" s="82" t="str">
        <f>AA50</f>
        <v>M(1)=</v>
      </c>
      <c r="AP50" s="82" t="e">
        <f>VLOOKUP(AO50,Rise_Results,2,FALSE)</f>
        <v>#N/A</v>
      </c>
      <c r="AQ50" s="82">
        <f>N50</f>
        <v>41.82</v>
      </c>
      <c r="AR50" s="82" t="e">
        <f>IF(OR(AB49&lt;=0,AB50&lt;=0),1/0,AB50)</f>
        <v>#VALUE!</v>
      </c>
      <c r="AS50" s="82">
        <f>AM50</f>
        <v>41.80083333333333</v>
      </c>
      <c r="AT50">
        <f>IFERROR(AP50,IFERROR(AQ50,IFERROR(AR50,AS50)))</f>
        <v>41.82</v>
      </c>
      <c r="AU50" s="81"/>
    </row>
    <row r="51" spans="1:47" x14ac:dyDescent="0.25">
      <c r="A51" s="101">
        <f>A46+1</f>
        <v>2</v>
      </c>
      <c r="B51" s="101">
        <f t="shared" si="11"/>
        <v>0.25</v>
      </c>
      <c r="O51" s="101">
        <f>O46+1</f>
        <v>4</v>
      </c>
      <c r="P51" s="101">
        <f t="shared" si="10"/>
        <v>0.75</v>
      </c>
      <c r="AU51" s="81"/>
    </row>
    <row r="52" spans="1:47" x14ac:dyDescent="0.25">
      <c r="A52" s="84">
        <f>A51+1</f>
        <v>3</v>
      </c>
      <c r="B52" s="84">
        <f t="shared" si="11"/>
        <v>0.5</v>
      </c>
      <c r="C52" s="79" t="str">
        <f t="shared" ref="C52" si="12">IF(C53=B54,IF(C54-C53=C53-B53,B53,IF(C54-C53=C53-B52,B52,"#NA")),IF(C53=B53,IF(C54-C53=C53-B52,B52,IF(C54-C53=C53-B51,B51,"#NA")),"#NA"))</f>
        <v>#NA</v>
      </c>
      <c r="D52" s="68" t="e">
        <f>VLOOKUP(C52,STN_TABLE,2,FALSE)</f>
        <v>#N/A</v>
      </c>
      <c r="E52" s="102">
        <v>1</v>
      </c>
      <c r="F52" s="68" t="e">
        <f>D52*E52</f>
        <v>#N/A</v>
      </c>
      <c r="G52" s="69" t="str">
        <f>C52</f>
        <v>#NA</v>
      </c>
      <c r="H52" s="69" t="e">
        <f>F52*G52</f>
        <v>#N/A</v>
      </c>
      <c r="I52" s="6" t="s">
        <v>93</v>
      </c>
      <c r="J52" s="70" t="e">
        <f>IF(OR(D52=0,D53=0,D54=0),"#NA",IF(AND(C54-C53=C53-C52,C53&lt;&gt;C54,C52&lt;&gt;C53,C52&lt;&gt;C54,D54&lt;&gt;0,OR(D52&lt;&gt;0,D53&lt;&gt;0)),WLS*(C54-C53),"#NA"))</f>
        <v>#N/A</v>
      </c>
      <c r="O52" s="99">
        <f>O51+1</f>
        <v>5</v>
      </c>
      <c r="P52" s="99">
        <f t="shared" si="10"/>
        <v>1</v>
      </c>
      <c r="Q52" s="68">
        <f>IF(OR(P54-P53=P53-P52,P55-P53=P53-P52),P52,IF(OR(P54-P53=P53-P51,P55-P53=P53-P51),P51,"-"))</f>
        <v>1</v>
      </c>
      <c r="R52" s="69">
        <f>VLOOKUP(Q52,STN_TABLE,2,FALSE)</f>
        <v>10.8</v>
      </c>
      <c r="S52" s="69">
        <v>5</v>
      </c>
      <c r="T52" s="68">
        <f>R52*S52</f>
        <v>54</v>
      </c>
      <c r="U52" s="79">
        <v>3</v>
      </c>
      <c r="V52" s="68">
        <f>R52*U52</f>
        <v>32.400000000000006</v>
      </c>
      <c r="W52" s="6" t="s">
        <v>93</v>
      </c>
      <c r="X52" s="70">
        <f>IF(AND(Q54-Q53=Q53-Q52,NOT(AND(Q52=0,Q53=0)),NOT(AND(Q53=0,Q54=0))),WLS*(Q54-Q53),"#NA")</f>
        <v>2</v>
      </c>
      <c r="AD52" s="93"/>
      <c r="AH52" s="6" t="s">
        <v>93</v>
      </c>
      <c r="AI52" s="70">
        <f>WLS*(AD54-AD53)</f>
        <v>2</v>
      </c>
      <c r="AU52" s="81"/>
    </row>
    <row r="53" spans="1:47" x14ac:dyDescent="0.25">
      <c r="A53" s="84">
        <f>A52+1</f>
        <v>4</v>
      </c>
      <c r="B53" s="84">
        <f t="shared" si="11"/>
        <v>0.75</v>
      </c>
      <c r="C53" s="80" t="str">
        <f t="shared" ref="C53" si="13">IF(OR(B55-B54=B54-B53,B55-B54=B54-B52,B55-B54=B54-B51),B54,IF(OR(B55-B53=B53-B52,B55-B53=B53-B51),B53,IF(B55-B52=B52-B51,B52,"#NA")))</f>
        <v>#NA</v>
      </c>
      <c r="D53" s="76" t="e">
        <f>VLOOKUP(C53,STN_TABLE,2,FALSE)</f>
        <v>#N/A</v>
      </c>
      <c r="E53" s="81">
        <v>4</v>
      </c>
      <c r="F53" s="76" t="e">
        <f>D53*E53</f>
        <v>#N/A</v>
      </c>
      <c r="G53" s="77" t="str">
        <f>C53</f>
        <v>#NA</v>
      </c>
      <c r="H53" s="77" t="e">
        <f>F53*G53</f>
        <v>#N/A</v>
      </c>
      <c r="I53" s="495" t="s">
        <v>97</v>
      </c>
      <c r="J53" s="496"/>
      <c r="K53" s="78" t="s">
        <v>98</v>
      </c>
      <c r="L53" s="78"/>
      <c r="M53" s="7" t="s">
        <v>99</v>
      </c>
      <c r="N53" s="7"/>
      <c r="O53" s="99">
        <f>O52+1</f>
        <v>6</v>
      </c>
      <c r="P53" s="99">
        <f t="shared" si="10"/>
        <v>2</v>
      </c>
      <c r="Q53" s="76">
        <f>P53</f>
        <v>2</v>
      </c>
      <c r="R53" s="77">
        <f>VLOOKUP(Q53,STN_TABLE,2,FALSE)</f>
        <v>11</v>
      </c>
      <c r="S53" s="77">
        <v>8</v>
      </c>
      <c r="T53" s="76">
        <f>R53*S53</f>
        <v>88</v>
      </c>
      <c r="U53" s="80">
        <v>10</v>
      </c>
      <c r="V53" s="76">
        <f>R53*U53</f>
        <v>110</v>
      </c>
      <c r="W53" s="496" t="s">
        <v>97</v>
      </c>
      <c r="X53" s="496"/>
      <c r="Y53" s="496" t="s">
        <v>98</v>
      </c>
      <c r="Z53" s="496"/>
      <c r="AA53" s="494" t="s">
        <v>99</v>
      </c>
      <c r="AB53" s="494"/>
      <c r="AC53" s="99">
        <f>AC48+1</f>
        <v>5</v>
      </c>
      <c r="AD53" s="95">
        <f>VLOOKUP(AC53,STN_TABLE_2,2,FALSE)</f>
        <v>1</v>
      </c>
      <c r="AE53" s="68">
        <f>VLOOKUP(AD53,STN_TABLE,2,FALSE)</f>
        <v>10.8</v>
      </c>
      <c r="AF53" s="68">
        <v>1</v>
      </c>
      <c r="AG53" s="69">
        <f>AE53*AF53</f>
        <v>10.8</v>
      </c>
      <c r="AH53" s="496" t="s">
        <v>97</v>
      </c>
      <c r="AI53" s="496"/>
      <c r="AJ53" s="496" t="s">
        <v>98</v>
      </c>
      <c r="AK53" s="496"/>
      <c r="AL53" s="494" t="s">
        <v>99</v>
      </c>
      <c r="AM53" s="494"/>
      <c r="AP53" s="86" t="s">
        <v>112</v>
      </c>
      <c r="AQ53" s="89" t="s">
        <v>113</v>
      </c>
      <c r="AR53" s="89" t="s">
        <v>114</v>
      </c>
      <c r="AS53" s="89" t="s">
        <v>115</v>
      </c>
      <c r="AU53" s="81"/>
    </row>
    <row r="54" spans="1:47" x14ac:dyDescent="0.25">
      <c r="A54" s="84">
        <f>A53+1</f>
        <v>5</v>
      </c>
      <c r="B54" s="84">
        <f t="shared" si="11"/>
        <v>1</v>
      </c>
      <c r="C54" s="88">
        <f t="shared" ref="C54" si="14">B55</f>
        <v>2</v>
      </c>
      <c r="D54" s="82">
        <f>VLOOKUP(C54,STN_TABLE,2,FALSE)</f>
        <v>11</v>
      </c>
      <c r="E54" s="92">
        <v>1</v>
      </c>
      <c r="F54" s="82">
        <f>D54*E54</f>
        <v>11</v>
      </c>
      <c r="G54" s="83">
        <f>C54</f>
        <v>2</v>
      </c>
      <c r="H54" s="83">
        <f>F54*G54</f>
        <v>22</v>
      </c>
      <c r="I54" s="84" t="str">
        <f>CONCATENATE("a'(",C54,")=")</f>
        <v>a'(2)=</v>
      </c>
      <c r="J54" s="84" t="e">
        <f>2*J52/3*F55</f>
        <v>#N/A</v>
      </c>
      <c r="K54" s="84" t="str">
        <f>CONCATENATE("A(",C52,")=")</f>
        <v>A(#NA)=</v>
      </c>
      <c r="L54" s="84" t="e">
        <f>VLOOKUP(C52,STN_TABLE,3,FALSE)</f>
        <v>#N/A</v>
      </c>
      <c r="M54" t="str">
        <f>CONCATENATE("A(",C54,")=")</f>
        <v>A(2)=</v>
      </c>
      <c r="N54" t="e">
        <f>J54+L54</f>
        <v>#N/A</v>
      </c>
      <c r="O54" s="99">
        <f>O53+1</f>
        <v>7</v>
      </c>
      <c r="P54" s="99">
        <f t="shared" si="10"/>
        <v>3</v>
      </c>
      <c r="Q54" s="82">
        <f>IF(P54-P53=P53-P52,P54,IF(P55-P53=P53-P52,P55,IF(P54-P53=P53-P51,P54,IF(P55-P53=P53-P51,P55,"-"))))</f>
        <v>3</v>
      </c>
      <c r="R54" s="83">
        <f>VLOOKUP(Q54,STN_TABLE,2,FALSE)</f>
        <v>11</v>
      </c>
      <c r="S54" s="83">
        <v>-1</v>
      </c>
      <c r="T54" s="82">
        <f>R54*S54</f>
        <v>-11</v>
      </c>
      <c r="U54" s="88">
        <v>-1</v>
      </c>
      <c r="V54" s="82">
        <f>R54*U54</f>
        <v>-11</v>
      </c>
      <c r="W54" s="84" t="str">
        <f>CONCATENATE("a'(",Q53,")=")</f>
        <v>a'(2)=</v>
      </c>
      <c r="X54" s="84">
        <f>2*X52/12*T55</f>
        <v>43.666666666666664</v>
      </c>
      <c r="Y54" s="84" t="str">
        <f>CONCATENATE("A(",Q52,")=")</f>
        <v>A(1)=</v>
      </c>
      <c r="Z54" s="84">
        <f>VLOOKUP(Q52,STN_TABLE,3,FALSE)</f>
        <v>40.706666666666663</v>
      </c>
      <c r="AA54" t="str">
        <f>CONCATENATE("A(",Q53,")=")</f>
        <v>A(2)=</v>
      </c>
      <c r="AB54">
        <f>X54+Z54</f>
        <v>84.373333333333335</v>
      </c>
      <c r="AC54" s="99">
        <f>AC53+1</f>
        <v>6</v>
      </c>
      <c r="AD54" s="100">
        <f>VLOOKUP(AC54,STN_TABLE_2,2,FALSE)</f>
        <v>2</v>
      </c>
      <c r="AE54" s="82">
        <f>VLOOKUP(AD54,STN_TABLE,2,FALSE)</f>
        <v>11</v>
      </c>
      <c r="AF54" s="82">
        <v>2</v>
      </c>
      <c r="AG54" s="83">
        <f>AE54*AF54</f>
        <v>22</v>
      </c>
      <c r="AH54" s="84" t="str">
        <f>CONCATENATE("a'(",AD54,")=")</f>
        <v>a'(2)=</v>
      </c>
      <c r="AI54" s="84">
        <f>2*AI52/2*AE55</f>
        <v>43.6</v>
      </c>
      <c r="AJ54" s="84" t="str">
        <f>CONCATENATE("A(",AD53,")=")</f>
        <v>A(1)=</v>
      </c>
      <c r="AK54" s="84">
        <f>VLOOKUP(AD53,STN_TABLE,3,FALSE)</f>
        <v>40.706666666666663</v>
      </c>
      <c r="AL54" t="str">
        <f>CONCATENATE("A(",AD54,")=")</f>
        <v>A(2)=</v>
      </c>
      <c r="AM54">
        <f>AI54+AK54</f>
        <v>84.306666666666672</v>
      </c>
      <c r="AO54" s="68" t="str">
        <f>AA54</f>
        <v>A(2)=</v>
      </c>
      <c r="AP54" s="68" t="e">
        <f>VLOOKUP(AO54,Rise_Results,2,FALSE)</f>
        <v>#N/A</v>
      </c>
      <c r="AQ54" s="76" t="e">
        <f>N54</f>
        <v>#N/A</v>
      </c>
      <c r="AR54" s="76">
        <f>IF(OR(AB54&lt;=0,AB55&lt;=0),1/0,AB54)</f>
        <v>84.373333333333335</v>
      </c>
      <c r="AS54" s="76">
        <f>AM54</f>
        <v>84.306666666666672</v>
      </c>
      <c r="AT54">
        <f>IFERROR(AP54,IFERROR(AQ54,IFERROR(AR54,AS54)))</f>
        <v>84.373333333333335</v>
      </c>
      <c r="AU54" s="81"/>
    </row>
    <row r="55" spans="1:47" x14ac:dyDescent="0.25">
      <c r="A55" s="84">
        <f>A54+1</f>
        <v>6</v>
      </c>
      <c r="B55" s="84">
        <f t="shared" si="11"/>
        <v>2</v>
      </c>
      <c r="F55" s="82" t="e">
        <f>SUM(F52:F54)</f>
        <v>#N/A</v>
      </c>
      <c r="H55" s="82" t="e">
        <f>SUM(H52:H54)</f>
        <v>#N/A</v>
      </c>
      <c r="I55" s="84" t="str">
        <f>CONCATENATE("m'(",C54,")=")</f>
        <v>m'(2)=</v>
      </c>
      <c r="J55" s="84" t="e">
        <f>2*(J52*(WLS))/3*H55</f>
        <v>#N/A</v>
      </c>
      <c r="K55" s="84" t="str">
        <f>CONCATENATE("M(",C52,")=")</f>
        <v>M(#NA)=</v>
      </c>
      <c r="L55" s="84" t="e">
        <f>VLOOKUP(C52,STN_TABLE,4,FALSE)</f>
        <v>#N/A</v>
      </c>
      <c r="M55" t="str">
        <f>CONCATENATE("M(",C54,")=")</f>
        <v>M(2)=</v>
      </c>
      <c r="N55" t="e">
        <f>J55+L55</f>
        <v>#N/A</v>
      </c>
      <c r="O55" s="99">
        <f>O54+1</f>
        <v>8</v>
      </c>
      <c r="P55" s="99">
        <f t="shared" si="10"/>
        <v>4</v>
      </c>
      <c r="T55" s="89">
        <f>SUM(T52:T54)</f>
        <v>131</v>
      </c>
      <c r="V55" s="82">
        <f>SUM(V52:V54)</f>
        <v>131.4</v>
      </c>
      <c r="W55" s="84" t="str">
        <f>CONCATENATE("m'(",Q53,")=")</f>
        <v>m'(2)=</v>
      </c>
      <c r="X55" s="84">
        <f>(2*(X52^2)/24*V55)+(X54*Q52*WLS)</f>
        <v>131.13333333333333</v>
      </c>
      <c r="Y55" s="84" t="str">
        <f>CONCATENATE("M(",Q52,")=")</f>
        <v>M(1)=</v>
      </c>
      <c r="Z55" s="84">
        <f>VLOOKUP(Q52,STN_TABLE,4,FALSE)</f>
        <v>41.82</v>
      </c>
      <c r="AA55" t="str">
        <f>CONCATENATE("M(",Q53,")=")</f>
        <v>M(2)=</v>
      </c>
      <c r="AB55">
        <f>X55+Z55</f>
        <v>172.95333333333332</v>
      </c>
      <c r="AE55" s="89">
        <f>SUM(AE53:AE54)</f>
        <v>21.8</v>
      </c>
      <c r="AG55" s="89">
        <f>SUM(AG53:AG54)</f>
        <v>32.799999999999997</v>
      </c>
      <c r="AH55" s="84" t="str">
        <f>CONCATENATE("m'(",AD54,")=")</f>
        <v>m'(2)=</v>
      </c>
      <c r="AI55" s="84">
        <f>(2*(AI52^2)/6*AG55)+(AI54*AD53*WLS)</f>
        <v>130.93333333333334</v>
      </c>
      <c r="AJ55" s="84" t="str">
        <f>CONCATENATE("M(",AD53,")=")</f>
        <v>M(1)=</v>
      </c>
      <c r="AK55" s="84">
        <f>VLOOKUP(AD53,STN_TABLE,4,FALSE)</f>
        <v>41.82</v>
      </c>
      <c r="AL55" t="str">
        <f>CONCATENATE("M(",AD54,")=")</f>
        <v>M(2)=</v>
      </c>
      <c r="AM55">
        <f>AI55+AK55</f>
        <v>172.75333333333333</v>
      </c>
      <c r="AO55" s="82" t="str">
        <f>AA55</f>
        <v>M(2)=</v>
      </c>
      <c r="AP55" s="82" t="e">
        <f>VLOOKUP(AO55,Rise_Results,2,FALSE)</f>
        <v>#N/A</v>
      </c>
      <c r="AQ55" s="82" t="e">
        <f>N55</f>
        <v>#N/A</v>
      </c>
      <c r="AR55" s="82">
        <f>IF(OR(AB54&lt;=0,AB55&lt;=0),1/0,AB55)</f>
        <v>172.95333333333332</v>
      </c>
      <c r="AS55" s="82">
        <f>AM55</f>
        <v>172.75333333333333</v>
      </c>
      <c r="AT55">
        <f>IFERROR(AP55,IFERROR(AQ55,IFERROR(AR55,AS55)))</f>
        <v>172.95333333333332</v>
      </c>
      <c r="AU55" s="81"/>
    </row>
    <row r="56" spans="1:47" x14ac:dyDescent="0.25">
      <c r="A56" s="101">
        <f>A51+1</f>
        <v>3</v>
      </c>
      <c r="B56" s="101">
        <f t="shared" si="11"/>
        <v>0.5</v>
      </c>
      <c r="O56" s="101">
        <f>O51+1</f>
        <v>5</v>
      </c>
      <c r="P56" s="101">
        <f t="shared" si="10"/>
        <v>1</v>
      </c>
      <c r="AU56" s="81"/>
    </row>
    <row r="57" spans="1:47" x14ac:dyDescent="0.25">
      <c r="A57" s="84">
        <f>A56+1</f>
        <v>4</v>
      </c>
      <c r="B57" s="84">
        <f t="shared" si="11"/>
        <v>0.75</v>
      </c>
      <c r="C57" s="79">
        <f t="shared" ref="C57" si="15">IF(C58=B59,IF(C59-C58=C58-B58,B58,IF(C59-C58=C58-B57,B57,"#NA")),IF(C58=B58,IF(C59-C58=C58-B57,B57,IF(C59-C58=C58-B56,B56,"#NA")),"#NA"))</f>
        <v>1</v>
      </c>
      <c r="D57" s="68">
        <f>VLOOKUP(C57,STN_TABLE,2,FALSE)</f>
        <v>10.8</v>
      </c>
      <c r="E57" s="102">
        <v>1</v>
      </c>
      <c r="F57" s="68">
        <f>D57*E57</f>
        <v>10.8</v>
      </c>
      <c r="G57" s="69">
        <f>C57</f>
        <v>1</v>
      </c>
      <c r="H57" s="69">
        <f>F57*G57</f>
        <v>10.8</v>
      </c>
      <c r="I57" s="6" t="s">
        <v>93</v>
      </c>
      <c r="J57" s="70">
        <f>IF(OR(D57=0,D58=0,D59=0),"#NA",IF(AND(C59-C58=C58-C57,C58&lt;&gt;C59,C57&lt;&gt;C58,C57&lt;&gt;C59,D59&lt;&gt;0,OR(D57&lt;&gt;0,D58&lt;&gt;0)),WLS*(C59-C58),"#NA"))</f>
        <v>2</v>
      </c>
      <c r="O57" s="99">
        <f>O56+1</f>
        <v>6</v>
      </c>
      <c r="P57" s="99">
        <f t="shared" si="10"/>
        <v>2</v>
      </c>
      <c r="Q57" s="68">
        <f>IF(OR(P59-P58=P58-P57,P60-P58=P58-P57),P57,IF(OR(P59-P58=P58-P56,P60-P58=P58-P56),P56,"-"))</f>
        <v>2</v>
      </c>
      <c r="R57" s="69">
        <f>VLOOKUP(Q57,STN_TABLE,2,FALSE)</f>
        <v>11</v>
      </c>
      <c r="S57" s="69">
        <v>5</v>
      </c>
      <c r="T57" s="68">
        <f>R57*S57</f>
        <v>55</v>
      </c>
      <c r="U57" s="79">
        <v>3</v>
      </c>
      <c r="V57" s="68">
        <f>R57*U57</f>
        <v>33</v>
      </c>
      <c r="W57" s="6" t="s">
        <v>93</v>
      </c>
      <c r="X57" s="70">
        <f>IF(AND(Q59-Q58=Q58-Q57,NOT(AND(Q57=0,Q58=0)),NOT(AND(Q58=0,Q59=0))),WLS*(Q59-Q58),"#NA")</f>
        <v>2</v>
      </c>
      <c r="AD57" s="93"/>
      <c r="AH57" s="6" t="s">
        <v>93</v>
      </c>
      <c r="AI57" s="70">
        <f>WLS*(AD59-AD58)</f>
        <v>2</v>
      </c>
      <c r="AU57" s="81"/>
    </row>
    <row r="58" spans="1:47" x14ac:dyDescent="0.25">
      <c r="A58" s="84">
        <f>A57+1</f>
        <v>5</v>
      </c>
      <c r="B58" s="84">
        <f t="shared" si="11"/>
        <v>1</v>
      </c>
      <c r="C58" s="80">
        <f t="shared" ref="C58" si="16">IF(OR(B60-B59=B59-B58,B60-B59=B59-B57,B60-B59=B59-B56),B59,IF(OR(B60-B58=B58-B57,B60-B58=B58-B56),B58,IF(B60-B57=B57-B56,B57,"#NA")))</f>
        <v>2</v>
      </c>
      <c r="D58" s="76">
        <f>VLOOKUP(C58,STN_TABLE,2,FALSE)</f>
        <v>11</v>
      </c>
      <c r="E58" s="81">
        <v>4</v>
      </c>
      <c r="F58" s="76">
        <f>D58*E58</f>
        <v>44</v>
      </c>
      <c r="G58" s="77">
        <f>C58</f>
        <v>2</v>
      </c>
      <c r="H58" s="77">
        <f>F58*G58</f>
        <v>88</v>
      </c>
      <c r="I58" s="495" t="s">
        <v>97</v>
      </c>
      <c r="J58" s="496"/>
      <c r="K58" s="78" t="s">
        <v>98</v>
      </c>
      <c r="L58" s="78"/>
      <c r="M58" s="7" t="s">
        <v>99</v>
      </c>
      <c r="N58" s="7"/>
      <c r="O58" s="99">
        <f>O57+1</f>
        <v>7</v>
      </c>
      <c r="P58" s="99">
        <f t="shared" si="10"/>
        <v>3</v>
      </c>
      <c r="Q58" s="76">
        <f>P58</f>
        <v>3</v>
      </c>
      <c r="R58" s="77">
        <f>VLOOKUP(Q58,STN_TABLE,2,FALSE)</f>
        <v>11</v>
      </c>
      <c r="S58" s="77">
        <v>8</v>
      </c>
      <c r="T58" s="76">
        <f>R58*S58</f>
        <v>88</v>
      </c>
      <c r="U58" s="80">
        <v>10</v>
      </c>
      <c r="V58" s="76">
        <f>R58*U58</f>
        <v>110</v>
      </c>
      <c r="W58" s="78" t="s">
        <v>97</v>
      </c>
      <c r="X58" s="78"/>
      <c r="Y58" s="78" t="s">
        <v>98</v>
      </c>
      <c r="Z58" s="78"/>
      <c r="AA58" s="7" t="s">
        <v>99</v>
      </c>
      <c r="AB58" s="7"/>
      <c r="AC58" s="99">
        <f>AC53+1</f>
        <v>6</v>
      </c>
      <c r="AD58" s="95">
        <f>VLOOKUP(AC58,STN_TABLE_2,2,FALSE)</f>
        <v>2</v>
      </c>
      <c r="AE58" s="68">
        <f>VLOOKUP(AD58,STN_TABLE,2,FALSE)</f>
        <v>11</v>
      </c>
      <c r="AF58" s="68">
        <v>1</v>
      </c>
      <c r="AG58" s="69">
        <f>AE58*AF58</f>
        <v>11</v>
      </c>
      <c r="AH58" s="496" t="s">
        <v>97</v>
      </c>
      <c r="AI58" s="496"/>
      <c r="AJ58" s="496" t="s">
        <v>98</v>
      </c>
      <c r="AK58" s="496"/>
      <c r="AL58" s="494" t="s">
        <v>99</v>
      </c>
      <c r="AM58" s="494"/>
      <c r="AP58" s="86" t="s">
        <v>112</v>
      </c>
      <c r="AQ58" s="89" t="s">
        <v>113</v>
      </c>
      <c r="AR58" s="89" t="s">
        <v>114</v>
      </c>
      <c r="AS58" s="89" t="s">
        <v>115</v>
      </c>
      <c r="AU58" s="81"/>
    </row>
    <row r="59" spans="1:47" x14ac:dyDescent="0.25">
      <c r="A59" s="84">
        <f>A58+1</f>
        <v>6</v>
      </c>
      <c r="B59" s="84">
        <f t="shared" si="11"/>
        <v>2</v>
      </c>
      <c r="C59" s="88">
        <f t="shared" ref="C59" si="17">B60</f>
        <v>3</v>
      </c>
      <c r="D59" s="82">
        <f>VLOOKUP(C59,STN_TABLE,2,FALSE)</f>
        <v>11</v>
      </c>
      <c r="E59" s="92">
        <v>1</v>
      </c>
      <c r="F59" s="82">
        <f>D59*E59</f>
        <v>11</v>
      </c>
      <c r="G59" s="83">
        <f>C59</f>
        <v>3</v>
      </c>
      <c r="H59" s="83">
        <f>F59*G59</f>
        <v>33</v>
      </c>
      <c r="I59" s="84" t="str">
        <f>CONCATENATE("a'(",C59,")=")</f>
        <v>a'(3)=</v>
      </c>
      <c r="J59" s="84">
        <f>2*J57/3*F60</f>
        <v>87.73333333333332</v>
      </c>
      <c r="K59" s="84" t="str">
        <f>CONCATENATE("A(",C57,")=")</f>
        <v>A(1)=</v>
      </c>
      <c r="L59" s="84">
        <f>VLOOKUP(C57,STN_TABLE,3,FALSE)</f>
        <v>40.706666666666663</v>
      </c>
      <c r="M59" t="str">
        <f>CONCATENATE("A(",C59,")=")</f>
        <v>A(3)=</v>
      </c>
      <c r="N59">
        <f>J59+L59</f>
        <v>128.44</v>
      </c>
      <c r="O59" s="99">
        <f>O58+1</f>
        <v>8</v>
      </c>
      <c r="P59" s="99">
        <f t="shared" si="10"/>
        <v>4</v>
      </c>
      <c r="Q59" s="82">
        <f>IF(P59-P58=P58-P57,P59,IF(P60-P58=P58-P57,P60,IF(P59-P58=P58-P56,P59,IF(P60-P58=P58-P56,P60,"-"))))</f>
        <v>4</v>
      </c>
      <c r="R59" s="83">
        <f>VLOOKUP(Q59,STN_TABLE,2,FALSE)</f>
        <v>11</v>
      </c>
      <c r="S59" s="83">
        <v>-1</v>
      </c>
      <c r="T59" s="82">
        <f>R59*S59</f>
        <v>-11</v>
      </c>
      <c r="U59" s="88">
        <v>-1</v>
      </c>
      <c r="V59" s="82">
        <f>R59*U59</f>
        <v>-11</v>
      </c>
      <c r="W59" s="84" t="str">
        <f>CONCATENATE("a'(",Q58,")=")</f>
        <v>a'(3)=</v>
      </c>
      <c r="X59" s="84">
        <f>2*X57/12*T60</f>
        <v>44</v>
      </c>
      <c r="Y59" s="84" t="str">
        <f>CONCATENATE("A(",Q57,")=")</f>
        <v>A(2)=</v>
      </c>
      <c r="Z59" s="84">
        <f>VLOOKUP(Q57,STN_TABLE,3,FALSE)</f>
        <v>84.373333333333335</v>
      </c>
      <c r="AA59" t="str">
        <f>CONCATENATE("A(",Q58,")=")</f>
        <v>A(3)=</v>
      </c>
      <c r="AB59">
        <f>X59+Z59</f>
        <v>128.37333333333333</v>
      </c>
      <c r="AC59" s="99">
        <f>AC58+1</f>
        <v>7</v>
      </c>
      <c r="AD59" s="100">
        <f>VLOOKUP(AC59,STN_TABLE_2,2,FALSE)</f>
        <v>3</v>
      </c>
      <c r="AE59" s="82">
        <f>VLOOKUP(AD59,STN_TABLE,2,FALSE)</f>
        <v>11</v>
      </c>
      <c r="AF59" s="82">
        <v>2</v>
      </c>
      <c r="AG59" s="83">
        <f>AE59*AF59</f>
        <v>22</v>
      </c>
      <c r="AH59" s="84" t="str">
        <f>CONCATENATE("a'(",AD59,")=")</f>
        <v>a'(3)=</v>
      </c>
      <c r="AI59" s="84">
        <f>2*AI57/2*AE60</f>
        <v>44</v>
      </c>
      <c r="AJ59" s="84" t="str">
        <f>CONCATENATE("A(",AD58,")=")</f>
        <v>A(2)=</v>
      </c>
      <c r="AK59" s="84">
        <f>VLOOKUP(AD58,STN_TABLE,3,FALSE)</f>
        <v>84.373333333333335</v>
      </c>
      <c r="AL59" t="str">
        <f>CONCATENATE("A(",AD59,")=")</f>
        <v>A(3)=</v>
      </c>
      <c r="AM59">
        <f>AI59+AK59</f>
        <v>128.37333333333333</v>
      </c>
      <c r="AO59" s="68" t="str">
        <f>AA59</f>
        <v>A(3)=</v>
      </c>
      <c r="AP59" s="68" t="e">
        <f>VLOOKUP(AO59,Rise_Results,2,FALSE)</f>
        <v>#N/A</v>
      </c>
      <c r="AQ59" s="76">
        <f>N59</f>
        <v>128.44</v>
      </c>
      <c r="AR59" s="76">
        <f>IF(OR(AB59&lt;=0,AB60&lt;=0),1/0,AB59)</f>
        <v>128.37333333333333</v>
      </c>
      <c r="AS59" s="76">
        <f>AM59</f>
        <v>128.37333333333333</v>
      </c>
      <c r="AT59">
        <f>IFERROR(AP59,IFERROR(AQ59,IFERROR(AR59,AS59)))</f>
        <v>128.44</v>
      </c>
      <c r="AU59" s="81"/>
    </row>
    <row r="60" spans="1:47" x14ac:dyDescent="0.25">
      <c r="A60" s="84">
        <f>A59+1</f>
        <v>7</v>
      </c>
      <c r="B60" s="84">
        <f t="shared" si="11"/>
        <v>3</v>
      </c>
      <c r="F60" s="82">
        <f>SUM(F57:F59)</f>
        <v>65.8</v>
      </c>
      <c r="H60" s="82">
        <f>SUM(H57:H59)</f>
        <v>131.80000000000001</v>
      </c>
      <c r="I60" s="84" t="str">
        <f>CONCATENATE("m'(",C59,")=")</f>
        <v>m'(3)=</v>
      </c>
      <c r="J60" s="84">
        <f>2*(J57*(WLS))/3*H60</f>
        <v>351.4666666666667</v>
      </c>
      <c r="K60" s="84" t="str">
        <f>CONCATENATE("M(",C57,")=")</f>
        <v>M(1)=</v>
      </c>
      <c r="L60" s="84">
        <f>VLOOKUP(C57,STN_TABLE,4,FALSE)</f>
        <v>41.82</v>
      </c>
      <c r="M60" t="str">
        <f>CONCATENATE("M(",C59,")=")</f>
        <v>M(3)=</v>
      </c>
      <c r="N60">
        <f>J60+L60</f>
        <v>393.28666666666669</v>
      </c>
      <c r="O60" s="99">
        <f>O59+1</f>
        <v>9</v>
      </c>
      <c r="P60" s="99">
        <f t="shared" si="10"/>
        <v>4.8499999999999996</v>
      </c>
      <c r="T60" s="89">
        <f>SUM(T57:T59)</f>
        <v>132</v>
      </c>
      <c r="V60" s="82">
        <f>SUM(V57:V59)</f>
        <v>132</v>
      </c>
      <c r="W60" s="84" t="str">
        <f>CONCATENATE("m'(",Q58,")=")</f>
        <v>m'(3)=</v>
      </c>
      <c r="X60" s="84">
        <f>(2*(X57^2)/24*V60)+(X59*Q57*WLS)</f>
        <v>220</v>
      </c>
      <c r="Y60" s="84" t="str">
        <f>CONCATENATE("M(",Q57,")=")</f>
        <v>M(2)=</v>
      </c>
      <c r="Z60" s="84">
        <f>VLOOKUP(Q57,STN_TABLE,4,FALSE)</f>
        <v>172.95333333333332</v>
      </c>
      <c r="AA60" t="str">
        <f>CONCATENATE("M(",Q58,")=")</f>
        <v>M(3)=</v>
      </c>
      <c r="AB60">
        <f>X60+Z60</f>
        <v>392.95333333333332</v>
      </c>
      <c r="AE60" s="89">
        <f>SUM(AE58:AE59)</f>
        <v>22</v>
      </c>
      <c r="AG60" s="89">
        <f>SUM(AG58:AG59)</f>
        <v>33</v>
      </c>
      <c r="AH60" s="84" t="str">
        <f>CONCATENATE("m'(",AD59,")=")</f>
        <v>m'(3)=</v>
      </c>
      <c r="AI60" s="84">
        <f>(2*(AI57^2)/6*AG60)+(AI59*AD58*WLS)</f>
        <v>220</v>
      </c>
      <c r="AJ60" s="84" t="str">
        <f>CONCATENATE("M(",AD58,")=")</f>
        <v>M(2)=</v>
      </c>
      <c r="AK60" s="84">
        <f>VLOOKUP(AD57,STN_TABLE,4,FALSE)</f>
        <v>0</v>
      </c>
      <c r="AL60" t="str">
        <f>CONCATENATE("M(",AD59,")=")</f>
        <v>M(3)=</v>
      </c>
      <c r="AM60">
        <f>AI60+AK60</f>
        <v>220</v>
      </c>
      <c r="AO60" s="82" t="str">
        <f>AA60</f>
        <v>M(3)=</v>
      </c>
      <c r="AP60" s="82" t="e">
        <f>VLOOKUP(AO60,Rise_Results,2,FALSE)</f>
        <v>#N/A</v>
      </c>
      <c r="AQ60" s="82">
        <f>N60</f>
        <v>393.28666666666669</v>
      </c>
      <c r="AR60" s="82">
        <f>IF(OR(AB59&lt;=0,AB60&lt;=0),1/0,AB60)</f>
        <v>392.95333333333332</v>
      </c>
      <c r="AS60" s="82">
        <f>AM60</f>
        <v>220</v>
      </c>
      <c r="AT60">
        <f>IFERROR(AP60,IFERROR(AQ60,IFERROR(AR60,AS60)))</f>
        <v>393.28666666666669</v>
      </c>
      <c r="AU60" s="81"/>
    </row>
    <row r="61" spans="1:47" x14ac:dyDescent="0.25">
      <c r="A61" s="101">
        <f>A56+1</f>
        <v>4</v>
      </c>
      <c r="B61" s="101">
        <f t="shared" si="11"/>
        <v>0.75</v>
      </c>
      <c r="O61" s="101">
        <f>O56+1</f>
        <v>6</v>
      </c>
      <c r="P61" s="101">
        <f t="shared" si="10"/>
        <v>2</v>
      </c>
      <c r="AU61" s="81"/>
    </row>
    <row r="62" spans="1:47" x14ac:dyDescent="0.25">
      <c r="A62" s="84">
        <f>A61+1</f>
        <v>5</v>
      </c>
      <c r="B62" s="84">
        <f t="shared" si="11"/>
        <v>1</v>
      </c>
      <c r="C62" s="79">
        <f t="shared" ref="C62" si="18">IF(C63=B64,IF(C64-C63=C63-B63,B63,IF(C64-C63=C63-B62,B62,"#NA")),IF(C63=B63,IF(C64-C63=C63-B62,B62,IF(C64-C63=C63-B61,B61,"#NA")),"#NA"))</f>
        <v>2</v>
      </c>
      <c r="D62" s="68">
        <f>VLOOKUP(C62,STN_TABLE,2,FALSE)</f>
        <v>11</v>
      </c>
      <c r="E62" s="102">
        <v>1</v>
      </c>
      <c r="F62" s="68">
        <f>D62*E62</f>
        <v>11</v>
      </c>
      <c r="G62" s="69">
        <f>C62</f>
        <v>2</v>
      </c>
      <c r="H62" s="69">
        <f>F62*G62</f>
        <v>22</v>
      </c>
      <c r="I62" s="6" t="s">
        <v>93</v>
      </c>
      <c r="J62" s="70">
        <f>IF(OR(D62=0,D63=0,D64=0),"#NA",IF(AND(C64-C63=C63-C62,C63&lt;&gt;C64,C62&lt;&gt;C63,C62&lt;&gt;C64,D64&lt;&gt;0,OR(D62&lt;&gt;0,D63&lt;&gt;0)),WLS*(C64-C63),"#NA"))</f>
        <v>2</v>
      </c>
      <c r="O62" s="99">
        <f>O61+1</f>
        <v>7</v>
      </c>
      <c r="P62" s="99">
        <f t="shared" si="10"/>
        <v>3</v>
      </c>
      <c r="Q62" s="68">
        <f>IF(OR(P64-P63=P63-P62,P65-P63=P63-P62),P62,IF(OR(P64-P63=P63-P61,P65-P63=P63-P61),P61,"-"))</f>
        <v>3</v>
      </c>
      <c r="R62" s="69">
        <f>VLOOKUP(Q62,STN_TABLE,2,FALSE)</f>
        <v>11</v>
      </c>
      <c r="S62" s="69">
        <v>5</v>
      </c>
      <c r="T62" s="68">
        <f>R62*S62</f>
        <v>55</v>
      </c>
      <c r="U62" s="79">
        <v>3</v>
      </c>
      <c r="V62" s="68">
        <f>R62*U62</f>
        <v>33</v>
      </c>
      <c r="W62" s="6" t="s">
        <v>93</v>
      </c>
      <c r="X62" s="70">
        <f>IF(AND(Q64-Q63=Q63-Q62,NOT(AND(Q62=0,Q63=0)),NOT(AND(Q63=0,Q64=0))),WLS*(Q64-Q63),"#NA")</f>
        <v>2</v>
      </c>
      <c r="AD62" s="93"/>
      <c r="AH62" s="6" t="s">
        <v>93</v>
      </c>
      <c r="AI62" s="70">
        <f>WLS*(AD64-AD63)</f>
        <v>2</v>
      </c>
      <c r="AU62" s="81"/>
    </row>
    <row r="63" spans="1:47" x14ac:dyDescent="0.25">
      <c r="A63" s="84">
        <f>A62+1</f>
        <v>6</v>
      </c>
      <c r="B63" s="84">
        <f t="shared" si="11"/>
        <v>2</v>
      </c>
      <c r="C63" s="80">
        <f t="shared" ref="C63" si="19">IF(OR(B65-B64=B64-B63,B65-B64=B64-B62,B65-B64=B64-B61),B64,IF(OR(B65-B63=B63-B62,B65-B63=B63-B61),B63,IF(B65-B62=B62-B61,B62,"#NA")))</f>
        <v>3</v>
      </c>
      <c r="D63" s="76">
        <f>VLOOKUP(C63,STN_TABLE,2,FALSE)</f>
        <v>11</v>
      </c>
      <c r="E63" s="81">
        <v>4</v>
      </c>
      <c r="F63" s="76">
        <f>D63*E63</f>
        <v>44</v>
      </c>
      <c r="G63" s="77">
        <f>C63</f>
        <v>3</v>
      </c>
      <c r="H63" s="77">
        <f>F63*G63</f>
        <v>132</v>
      </c>
      <c r="I63" s="495" t="s">
        <v>97</v>
      </c>
      <c r="J63" s="496"/>
      <c r="K63" s="78" t="s">
        <v>98</v>
      </c>
      <c r="L63" s="78"/>
      <c r="M63" s="7" t="s">
        <v>99</v>
      </c>
      <c r="N63" s="7"/>
      <c r="O63" s="99">
        <f>O62+1</f>
        <v>8</v>
      </c>
      <c r="P63" s="99">
        <f t="shared" si="10"/>
        <v>4</v>
      </c>
      <c r="Q63" s="76">
        <f>P63</f>
        <v>4</v>
      </c>
      <c r="R63" s="77">
        <f>VLOOKUP(Q63,STN_TABLE,2,FALSE)</f>
        <v>11</v>
      </c>
      <c r="S63" s="77">
        <v>8</v>
      </c>
      <c r="T63" s="76">
        <f>R63*S63</f>
        <v>88</v>
      </c>
      <c r="U63" s="80">
        <v>10</v>
      </c>
      <c r="V63" s="76">
        <f>R63*U63</f>
        <v>110</v>
      </c>
      <c r="W63" s="496" t="s">
        <v>97</v>
      </c>
      <c r="X63" s="496"/>
      <c r="Y63" s="496" t="s">
        <v>98</v>
      </c>
      <c r="Z63" s="496"/>
      <c r="AA63" s="494" t="s">
        <v>99</v>
      </c>
      <c r="AB63" s="494"/>
      <c r="AC63" s="99">
        <f>AC58+1</f>
        <v>7</v>
      </c>
      <c r="AD63" s="95">
        <f>VLOOKUP(AC63,STN_TABLE_2,2,FALSE)</f>
        <v>3</v>
      </c>
      <c r="AE63" s="68">
        <f>VLOOKUP(AD63,STN_TABLE,2,FALSE)</f>
        <v>11</v>
      </c>
      <c r="AF63" s="68">
        <v>1</v>
      </c>
      <c r="AG63" s="69">
        <f>AE63*AF63</f>
        <v>11</v>
      </c>
      <c r="AH63" s="496" t="s">
        <v>97</v>
      </c>
      <c r="AI63" s="496"/>
      <c r="AJ63" s="496" t="s">
        <v>98</v>
      </c>
      <c r="AK63" s="496"/>
      <c r="AL63" s="494" t="s">
        <v>99</v>
      </c>
      <c r="AM63" s="494"/>
      <c r="AP63" s="86" t="s">
        <v>112</v>
      </c>
      <c r="AQ63" s="89" t="s">
        <v>113</v>
      </c>
      <c r="AR63" s="89" t="s">
        <v>114</v>
      </c>
      <c r="AS63" s="89" t="s">
        <v>115</v>
      </c>
      <c r="AU63" s="81"/>
    </row>
    <row r="64" spans="1:47" x14ac:dyDescent="0.25">
      <c r="A64" s="84">
        <f>A63+1</f>
        <v>7</v>
      </c>
      <c r="B64" s="84">
        <f t="shared" si="11"/>
        <v>3</v>
      </c>
      <c r="C64" s="88">
        <f t="shared" ref="C64" si="20">B65</f>
        <v>4</v>
      </c>
      <c r="D64" s="82">
        <f>VLOOKUP(C64,STN_TABLE,2,FALSE)</f>
        <v>11</v>
      </c>
      <c r="E64" s="92">
        <v>1</v>
      </c>
      <c r="F64" s="82">
        <f>D64*E64</f>
        <v>11</v>
      </c>
      <c r="G64" s="83">
        <f>C64</f>
        <v>4</v>
      </c>
      <c r="H64" s="83">
        <f>F64*G64</f>
        <v>44</v>
      </c>
      <c r="I64" s="84" t="str">
        <f>CONCATENATE("a'(",C64,")=")</f>
        <v>a'(4)=</v>
      </c>
      <c r="J64" s="84">
        <f>2*J62/3*F65</f>
        <v>88</v>
      </c>
      <c r="K64" s="84" t="str">
        <f>CONCATENATE("A(",C62,")=")</f>
        <v>A(2)=</v>
      </c>
      <c r="L64" s="84">
        <f>VLOOKUP(C62,STN_TABLE,3,FALSE)</f>
        <v>84.373333333333335</v>
      </c>
      <c r="M64" t="str">
        <f>CONCATENATE("A(",C64,")=")</f>
        <v>A(4)=</v>
      </c>
      <c r="N64">
        <f>J64+L64</f>
        <v>172.37333333333333</v>
      </c>
      <c r="O64" s="99">
        <f>O63+1</f>
        <v>9</v>
      </c>
      <c r="P64" s="99">
        <f t="shared" si="10"/>
        <v>4.8499999999999996</v>
      </c>
      <c r="Q64" s="82">
        <f>IF(P64-P63=P63-P62,P64,IF(P65-P63=P63-P62,P65,IF(P64-P63=P63-P61,P64,IF(P65-P63=P63-P61,P65,"-"))))</f>
        <v>5</v>
      </c>
      <c r="R64" s="83">
        <f>VLOOKUP(Q64,STN_TABLE,2,FALSE)</f>
        <v>11</v>
      </c>
      <c r="S64" s="83">
        <v>-1</v>
      </c>
      <c r="T64" s="82">
        <f>R64*S64</f>
        <v>-11</v>
      </c>
      <c r="U64" s="88">
        <v>-1</v>
      </c>
      <c r="V64" s="82">
        <f>R64*U64</f>
        <v>-11</v>
      </c>
      <c r="W64" s="84" t="str">
        <f>CONCATENATE("a'(",Q63,")=")</f>
        <v>a'(4)=</v>
      </c>
      <c r="X64" s="84">
        <f>2*X62/12*T65</f>
        <v>44</v>
      </c>
      <c r="Y64" s="84" t="str">
        <f>CONCATENATE("A(",Q62,")=")</f>
        <v>A(3)=</v>
      </c>
      <c r="Z64" s="84">
        <f>VLOOKUP(Q62,STN_TABLE,3,FALSE)</f>
        <v>128.44</v>
      </c>
      <c r="AA64" t="str">
        <f>CONCATENATE("A(",Q63,")=")</f>
        <v>A(4)=</v>
      </c>
      <c r="AB64">
        <f>X64+Z64</f>
        <v>172.44</v>
      </c>
      <c r="AC64" s="99">
        <f>AC63+1</f>
        <v>8</v>
      </c>
      <c r="AD64" s="100">
        <f>VLOOKUP(AC64,STN_TABLE_2,2,FALSE)</f>
        <v>4</v>
      </c>
      <c r="AE64" s="82">
        <f>VLOOKUP(AD64,STN_TABLE,2,FALSE)</f>
        <v>11</v>
      </c>
      <c r="AF64" s="82">
        <v>2</v>
      </c>
      <c r="AG64" s="83">
        <f>AE64*AF64</f>
        <v>22</v>
      </c>
      <c r="AH64" s="84" t="str">
        <f>CONCATENATE("a'(",AD64,")=")</f>
        <v>a'(4)=</v>
      </c>
      <c r="AI64" s="84">
        <f>2*AI62/2*AE65</f>
        <v>44</v>
      </c>
      <c r="AJ64" s="84" t="str">
        <f>CONCATENATE("A(",AD63,")=")</f>
        <v>A(3)=</v>
      </c>
      <c r="AK64" s="84">
        <f>VLOOKUP(AD63,STN_TABLE,3,FALSE)</f>
        <v>128.44</v>
      </c>
      <c r="AL64" t="str">
        <f>CONCATENATE("A(",AD64,")=")</f>
        <v>A(4)=</v>
      </c>
      <c r="AM64">
        <f>AI64+AK64</f>
        <v>172.44</v>
      </c>
      <c r="AO64" s="68" t="str">
        <f>AA64</f>
        <v>A(4)=</v>
      </c>
      <c r="AP64" s="68" t="e">
        <f>VLOOKUP(AO64,Rise_Results,2,FALSE)</f>
        <v>#N/A</v>
      </c>
      <c r="AQ64" s="76">
        <f>N64</f>
        <v>172.37333333333333</v>
      </c>
      <c r="AR64" s="76">
        <f>IF(OR(AB64&lt;=0,AB65&lt;=0),1/0,AB64)</f>
        <v>172.44</v>
      </c>
      <c r="AS64" s="76">
        <f>AM64</f>
        <v>172.44</v>
      </c>
      <c r="AT64">
        <f>IFERROR(AP64,IFERROR(AQ64,IFERROR(AR64,AS64)))</f>
        <v>172.37333333333333</v>
      </c>
      <c r="AU64" s="81"/>
    </row>
    <row r="65" spans="1:47" x14ac:dyDescent="0.25">
      <c r="A65" s="84">
        <f>A64+1</f>
        <v>8</v>
      </c>
      <c r="B65" s="84">
        <f t="shared" si="11"/>
        <v>4</v>
      </c>
      <c r="F65" s="82">
        <f>SUM(F62:F64)</f>
        <v>66</v>
      </c>
      <c r="H65" s="82">
        <f>SUM(H62:H64)</f>
        <v>198</v>
      </c>
      <c r="I65" s="84" t="str">
        <f>CONCATENATE("m'(",C64,")=")</f>
        <v>m'(4)=</v>
      </c>
      <c r="J65" s="84">
        <f>2*(J62*(WLS))/3*H65</f>
        <v>528</v>
      </c>
      <c r="K65" s="84" t="str">
        <f>CONCATENATE("M(",C62,")=")</f>
        <v>M(2)=</v>
      </c>
      <c r="L65" s="84">
        <f>VLOOKUP(C62,STN_TABLE,4,FALSE)</f>
        <v>172.95333333333332</v>
      </c>
      <c r="M65" t="str">
        <f>CONCATENATE("M(",C64,")=")</f>
        <v>M(4)=</v>
      </c>
      <c r="N65">
        <f>J65+L65</f>
        <v>700.95333333333338</v>
      </c>
      <c r="O65" s="99">
        <f>O64+1</f>
        <v>10</v>
      </c>
      <c r="P65" s="99">
        <f t="shared" si="10"/>
        <v>5</v>
      </c>
      <c r="T65" s="89">
        <f>SUM(T62:T64)</f>
        <v>132</v>
      </c>
      <c r="V65" s="82">
        <f>SUM(V62:V64)</f>
        <v>132</v>
      </c>
      <c r="W65" s="84" t="str">
        <f>CONCATENATE("m'(",Q63,")=")</f>
        <v>m'(4)=</v>
      </c>
      <c r="X65" s="84">
        <f>(2*(X62^2)/24*V65)+(X64*Q62*WLS)</f>
        <v>308</v>
      </c>
      <c r="Y65" s="84" t="str">
        <f>CONCATENATE("M(",Q62,")=")</f>
        <v>M(3)=</v>
      </c>
      <c r="Z65" s="84">
        <f>VLOOKUP(Q62,STN_TABLE,4,FALSE)</f>
        <v>393.28666666666669</v>
      </c>
      <c r="AA65" t="str">
        <f>CONCATENATE("M(",Q63,")=")</f>
        <v>M(4)=</v>
      </c>
      <c r="AB65">
        <f>X65+Z65</f>
        <v>701.28666666666663</v>
      </c>
      <c r="AE65" s="89">
        <f>SUM(AE63:AE64)</f>
        <v>22</v>
      </c>
      <c r="AG65" s="89">
        <f>SUM(AG63:AG64)</f>
        <v>33</v>
      </c>
      <c r="AH65" s="84" t="str">
        <f>CONCATENATE("m'(",AD64,")=")</f>
        <v>m'(4)=</v>
      </c>
      <c r="AI65" s="84">
        <f>(2*(AI62^2)/6*AG65)+(AI64*AD63*WLS)</f>
        <v>308</v>
      </c>
      <c r="AJ65" s="84" t="str">
        <f>CONCATENATE("M(",AD63,")=")</f>
        <v>M(3)=</v>
      </c>
      <c r="AK65" s="84">
        <f>VLOOKUP(AD63,STN_TABLE,4,FALSE)</f>
        <v>393.28666666666669</v>
      </c>
      <c r="AL65" t="str">
        <f>CONCATENATE("M(",AD64,")=")</f>
        <v>M(4)=</v>
      </c>
      <c r="AM65">
        <f>AI65+AK65</f>
        <v>701.28666666666663</v>
      </c>
      <c r="AO65" s="82" t="str">
        <f>AA65</f>
        <v>M(4)=</v>
      </c>
      <c r="AP65" s="82" t="e">
        <f>VLOOKUP(AO65,Rise_Results,2,FALSE)</f>
        <v>#N/A</v>
      </c>
      <c r="AQ65" s="82">
        <f>N65</f>
        <v>700.95333333333338</v>
      </c>
      <c r="AR65" s="82">
        <f>IF(OR(AB64&lt;=0,AB65&lt;=0),1/0,AB65)</f>
        <v>701.28666666666663</v>
      </c>
      <c r="AS65" s="82">
        <f>AM65</f>
        <v>701.28666666666663</v>
      </c>
      <c r="AT65">
        <f>IFERROR(AP65,IFERROR(AQ65,IFERROR(AR65,AS65)))</f>
        <v>700.95333333333338</v>
      </c>
      <c r="AU65" s="81"/>
    </row>
    <row r="66" spans="1:47" x14ac:dyDescent="0.25">
      <c r="A66" s="101">
        <f>A61+1</f>
        <v>5</v>
      </c>
      <c r="B66" s="101">
        <f t="shared" si="11"/>
        <v>1</v>
      </c>
      <c r="O66" s="101">
        <f>O61+1</f>
        <v>7</v>
      </c>
      <c r="P66" s="101">
        <f t="shared" si="10"/>
        <v>3</v>
      </c>
      <c r="AU66" s="81"/>
    </row>
    <row r="67" spans="1:47" x14ac:dyDescent="0.25">
      <c r="A67" s="84">
        <f>A66+1</f>
        <v>6</v>
      </c>
      <c r="B67" s="84">
        <f t="shared" si="11"/>
        <v>2</v>
      </c>
      <c r="C67" s="79" t="str">
        <f t="shared" ref="C67" si="21">IF(C68=B69,IF(C69-C68=C68-B68,B68,IF(C69-C68=C68-B67,B67,"#NA")),IF(C68=B68,IF(C69-C68=C68-B67,B67,IF(C69-C68=C68-B66,B66,"#NA")),"#NA"))</f>
        <v>#NA</v>
      </c>
      <c r="D67" s="68" t="e">
        <f>VLOOKUP(C67,STN_TABLE,2,FALSE)</f>
        <v>#N/A</v>
      </c>
      <c r="E67" s="102">
        <v>1</v>
      </c>
      <c r="F67" s="68" t="e">
        <f>D67*E67</f>
        <v>#N/A</v>
      </c>
      <c r="G67" s="69" t="str">
        <f>C67</f>
        <v>#NA</v>
      </c>
      <c r="H67" s="69" t="e">
        <f>F67*G67</f>
        <v>#N/A</v>
      </c>
      <c r="I67" s="6" t="s">
        <v>93</v>
      </c>
      <c r="J67" s="70" t="e">
        <f>IF(OR(D67=0,D68=0,D69=0),"#NA",IF(AND(C69-C68=C68-C67,C68&lt;&gt;C69,C67&lt;&gt;C68,C67&lt;&gt;C69,D69&lt;&gt;0,OR(D67&lt;&gt;0,D68&lt;&gt;0)),WLS*(C69-C68),"#NA"))</f>
        <v>#N/A</v>
      </c>
      <c r="O67" s="99">
        <f>O66+1</f>
        <v>8</v>
      </c>
      <c r="P67" s="99">
        <f t="shared" si="10"/>
        <v>4</v>
      </c>
      <c r="Q67" s="68" t="str">
        <f>IF(OR(P69-P68=P68-P67,P70-P68=P68-P67),P67,IF(OR(P69-P68=P68-P66,P70-P68=P68-P66),P66,"-"))</f>
        <v>-</v>
      </c>
      <c r="R67" s="69" t="e">
        <f>VLOOKUP(Q67,STN_TABLE,2,FALSE)</f>
        <v>#N/A</v>
      </c>
      <c r="S67" s="69">
        <v>5</v>
      </c>
      <c r="T67" s="68" t="e">
        <f>R67*S67</f>
        <v>#N/A</v>
      </c>
      <c r="U67" s="79">
        <v>3</v>
      </c>
      <c r="V67" s="68" t="e">
        <f>R67*U67</f>
        <v>#N/A</v>
      </c>
      <c r="W67" s="6" t="s">
        <v>93</v>
      </c>
      <c r="X67" s="70" t="e">
        <f>IF(AND(Q69-Q68=Q68-Q67,NOT(AND(Q67=0,Q68=0)),NOT(AND(Q68=0,Q69=0))),WLS*(Q69-Q68),"#NA")</f>
        <v>#VALUE!</v>
      </c>
      <c r="AD67" s="93"/>
      <c r="AH67" s="6" t="s">
        <v>93</v>
      </c>
      <c r="AI67" s="70">
        <f>WLS*(AD69-AD68)</f>
        <v>1.6999999999999993</v>
      </c>
      <c r="AU67" s="81"/>
    </row>
    <row r="68" spans="1:47" x14ac:dyDescent="0.25">
      <c r="A68" s="84">
        <f>A67+1</f>
        <v>7</v>
      </c>
      <c r="B68" s="84">
        <f t="shared" si="11"/>
        <v>3</v>
      </c>
      <c r="C68" s="80" t="str">
        <f t="shared" ref="C68" si="22">IF(OR(B70-B69=B69-B68,B70-B69=B69-B67,B70-B69=B69-B66),B69,IF(OR(B70-B68=B68-B67,B70-B68=B68-B66),B68,IF(B70-B67=B67-B66,B67,"#NA")))</f>
        <v>#NA</v>
      </c>
      <c r="D68" s="76" t="e">
        <f>VLOOKUP(C68,STN_TABLE,2,FALSE)</f>
        <v>#N/A</v>
      </c>
      <c r="E68" s="81">
        <v>4</v>
      </c>
      <c r="F68" s="76" t="e">
        <f>D68*E68</f>
        <v>#N/A</v>
      </c>
      <c r="G68" s="77" t="str">
        <f>C68</f>
        <v>#NA</v>
      </c>
      <c r="H68" s="77" t="e">
        <f>F68*G68</f>
        <v>#N/A</v>
      </c>
      <c r="I68" s="495" t="s">
        <v>97</v>
      </c>
      <c r="J68" s="496"/>
      <c r="K68" s="78" t="s">
        <v>98</v>
      </c>
      <c r="L68" s="78"/>
      <c r="M68" s="7" t="s">
        <v>99</v>
      </c>
      <c r="N68" s="7"/>
      <c r="O68" s="99">
        <f>O67+1</f>
        <v>9</v>
      </c>
      <c r="P68" s="99">
        <f t="shared" ref="P68:P99" si="23">VLOOKUP(O68,STN_TABLE_2,2,FALSE)</f>
        <v>4.8499999999999996</v>
      </c>
      <c r="Q68" s="76">
        <f>P68</f>
        <v>4.8499999999999996</v>
      </c>
      <c r="R68" s="77">
        <f>VLOOKUP(Q68,STN_TABLE,2,FALSE)</f>
        <v>11</v>
      </c>
      <c r="S68" s="77">
        <v>8</v>
      </c>
      <c r="T68" s="76">
        <f>R68*S68</f>
        <v>88</v>
      </c>
      <c r="U68" s="80">
        <v>10</v>
      </c>
      <c r="V68" s="76">
        <f>R68*U68</f>
        <v>110</v>
      </c>
      <c r="W68" s="496" t="s">
        <v>97</v>
      </c>
      <c r="X68" s="496"/>
      <c r="Y68" s="496" t="s">
        <v>98</v>
      </c>
      <c r="Z68" s="496"/>
      <c r="AA68" s="494" t="s">
        <v>99</v>
      </c>
      <c r="AB68" s="494"/>
      <c r="AC68" s="99">
        <f>AC63+1</f>
        <v>8</v>
      </c>
      <c r="AD68" s="95">
        <f>VLOOKUP(AC68,STN_TABLE_2,2,FALSE)</f>
        <v>4</v>
      </c>
      <c r="AE68" s="68">
        <f>VLOOKUP(AD68,STN_TABLE,2,FALSE)</f>
        <v>11</v>
      </c>
      <c r="AF68" s="68">
        <v>1</v>
      </c>
      <c r="AG68" s="69">
        <f>AE68*AF68</f>
        <v>11</v>
      </c>
      <c r="AH68" s="496" t="s">
        <v>97</v>
      </c>
      <c r="AI68" s="496"/>
      <c r="AJ68" s="496" t="s">
        <v>98</v>
      </c>
      <c r="AK68" s="496"/>
      <c r="AL68" s="494" t="s">
        <v>99</v>
      </c>
      <c r="AM68" s="494"/>
      <c r="AP68" s="86" t="s">
        <v>112</v>
      </c>
      <c r="AQ68" s="89" t="s">
        <v>113</v>
      </c>
      <c r="AR68" s="89" t="s">
        <v>114</v>
      </c>
      <c r="AS68" s="89" t="s">
        <v>115</v>
      </c>
      <c r="AU68" s="81"/>
    </row>
    <row r="69" spans="1:47" x14ac:dyDescent="0.25">
      <c r="A69" s="84">
        <f>A68+1</f>
        <v>8</v>
      </c>
      <c r="B69" s="84">
        <f t="shared" si="11"/>
        <v>4</v>
      </c>
      <c r="C69" s="88">
        <f t="shared" ref="C69" si="24">B70</f>
        <v>4.8499999999999996</v>
      </c>
      <c r="D69" s="82">
        <f>VLOOKUP(C69,STN_TABLE,2,FALSE)</f>
        <v>11</v>
      </c>
      <c r="E69" s="92">
        <v>1</v>
      </c>
      <c r="F69" s="82">
        <f>D69*E69</f>
        <v>11</v>
      </c>
      <c r="G69" s="83">
        <f>C69</f>
        <v>4.8499999999999996</v>
      </c>
      <c r="H69" s="83">
        <f>F69*G69</f>
        <v>53.349999999999994</v>
      </c>
      <c r="I69" s="84" t="str">
        <f>CONCATENATE("a'(",C69,")=")</f>
        <v>a'(4.85)=</v>
      </c>
      <c r="J69" s="84" t="e">
        <f>2*J67/3*F70</f>
        <v>#N/A</v>
      </c>
      <c r="K69" s="84" t="str">
        <f>CONCATENATE("A(",C67,")=")</f>
        <v>A(#NA)=</v>
      </c>
      <c r="L69" s="84" t="e">
        <f>VLOOKUP(C67,STN_TABLE,3,FALSE)</f>
        <v>#N/A</v>
      </c>
      <c r="M69" t="str">
        <f>CONCATENATE("A(",C69,")=")</f>
        <v>A(4.85)=</v>
      </c>
      <c r="N69" t="e">
        <f>J69+L69</f>
        <v>#N/A</v>
      </c>
      <c r="O69" s="99">
        <f>O68+1</f>
        <v>10</v>
      </c>
      <c r="P69" s="99">
        <f t="shared" si="23"/>
        <v>5</v>
      </c>
      <c r="Q69" s="82" t="str">
        <f>IF(P69-P68=P68-P67,P69,IF(P70-P68=P68-P67,P70,IF(P69-P68=P68-P66,P69,IF(P70-P68=P68-P66,P70,"-"))))</f>
        <v>-</v>
      </c>
      <c r="R69" s="83" t="e">
        <f>VLOOKUP(Q69,STN_TABLE,2,FALSE)</f>
        <v>#N/A</v>
      </c>
      <c r="S69" s="83">
        <v>-1</v>
      </c>
      <c r="T69" s="82" t="e">
        <f>R69*S69</f>
        <v>#N/A</v>
      </c>
      <c r="U69" s="88">
        <v>-1</v>
      </c>
      <c r="V69" s="82" t="e">
        <f>R69*U69</f>
        <v>#N/A</v>
      </c>
      <c r="W69" s="84" t="str">
        <f>CONCATENATE("a'(",Q68,")=")</f>
        <v>a'(4.85)=</v>
      </c>
      <c r="X69" s="84" t="e">
        <f>2*X67/12*T70</f>
        <v>#VALUE!</v>
      </c>
      <c r="Y69" s="84" t="str">
        <f>CONCATENATE("A(",Q67,")=")</f>
        <v>A(-)=</v>
      </c>
      <c r="Z69" s="84" t="e">
        <f>VLOOKUP(Q67,STN_TABLE,3,FALSE)</f>
        <v>#N/A</v>
      </c>
      <c r="AA69" t="str">
        <f>CONCATENATE("A(",Q68,")=")</f>
        <v>A(4.85)=</v>
      </c>
      <c r="AB69" t="e">
        <f>X69+Z69</f>
        <v>#VALUE!</v>
      </c>
      <c r="AC69" s="99">
        <f>AC68+1</f>
        <v>9</v>
      </c>
      <c r="AD69" s="100">
        <f>VLOOKUP(AC69,STN_TABLE_2,2,FALSE)</f>
        <v>4.8499999999999996</v>
      </c>
      <c r="AE69" s="82">
        <f>VLOOKUP(AD69,STN_TABLE,2,FALSE)</f>
        <v>11</v>
      </c>
      <c r="AF69" s="82">
        <v>2</v>
      </c>
      <c r="AG69" s="83">
        <f>AE69*AF69</f>
        <v>22</v>
      </c>
      <c r="AH69" s="84" t="str">
        <f>CONCATENATE("a'(",AD69,")=")</f>
        <v>a'(4.85)=</v>
      </c>
      <c r="AI69" s="84">
        <f>2*AI67/2*AE70</f>
        <v>37.399999999999984</v>
      </c>
      <c r="AJ69" s="84" t="str">
        <f>CONCATENATE("A(",AD68,")=")</f>
        <v>A(4)=</v>
      </c>
      <c r="AK69" s="84">
        <f>VLOOKUP(AD68,STN_TABLE,3,FALSE)</f>
        <v>172.37333333333333</v>
      </c>
      <c r="AL69" t="str">
        <f>CONCATENATE("A(",AD69,")=")</f>
        <v>A(4.85)=</v>
      </c>
      <c r="AM69">
        <f>AI69+AK69</f>
        <v>209.77333333333331</v>
      </c>
      <c r="AO69" s="68" t="str">
        <f>AA69</f>
        <v>A(4.85)=</v>
      </c>
      <c r="AP69" s="68" t="e">
        <f>VLOOKUP(AO69,Rise_Results,2,FALSE)</f>
        <v>#N/A</v>
      </c>
      <c r="AQ69" s="76" t="e">
        <f>N69</f>
        <v>#N/A</v>
      </c>
      <c r="AR69" s="76" t="e">
        <f>IF(OR(AB69&lt;=0,AB70&lt;=0),1/0,AB69)</f>
        <v>#VALUE!</v>
      </c>
      <c r="AS69" s="76">
        <f>AM69</f>
        <v>209.77333333333331</v>
      </c>
      <c r="AT69">
        <f>IFERROR(AP69,IFERROR(AQ69,IFERROR(AR69,AS69)))</f>
        <v>209.77333333333331</v>
      </c>
      <c r="AU69" s="81"/>
    </row>
    <row r="70" spans="1:47" x14ac:dyDescent="0.25">
      <c r="A70" s="84">
        <f>A69+1</f>
        <v>9</v>
      </c>
      <c r="B70" s="84">
        <f t="shared" si="11"/>
        <v>4.8499999999999996</v>
      </c>
      <c r="F70" s="82" t="e">
        <f>SUM(F67:F69)</f>
        <v>#N/A</v>
      </c>
      <c r="H70" s="82" t="e">
        <f>SUM(H67:H69)</f>
        <v>#N/A</v>
      </c>
      <c r="I70" s="84" t="str">
        <f>CONCATENATE("m'(",C69,")=")</f>
        <v>m'(4.85)=</v>
      </c>
      <c r="J70" s="84" t="e">
        <f>2*(J67*(WLS))/3*H70</f>
        <v>#N/A</v>
      </c>
      <c r="K70" s="84" t="str">
        <f>CONCATENATE("M(",C67,")=")</f>
        <v>M(#NA)=</v>
      </c>
      <c r="L70" s="84" t="e">
        <f>VLOOKUP(C67,STN_TABLE,4,FALSE)</f>
        <v>#N/A</v>
      </c>
      <c r="M70" t="str">
        <f>CONCATENATE("M(",C69,")=")</f>
        <v>M(4.85)=</v>
      </c>
      <c r="N70" t="e">
        <f>J70+L70</f>
        <v>#N/A</v>
      </c>
      <c r="O70" s="99">
        <f>O69+1</f>
        <v>11</v>
      </c>
      <c r="P70" s="99">
        <f t="shared" si="23"/>
        <v>6</v>
      </c>
      <c r="T70" s="89" t="e">
        <f>SUM(T67:T69)</f>
        <v>#N/A</v>
      </c>
      <c r="V70" s="82" t="e">
        <f>SUM(V67:V69)</f>
        <v>#N/A</v>
      </c>
      <c r="W70" s="84" t="str">
        <f>CONCATENATE("m'(",Q68,")=")</f>
        <v>m'(4.85)=</v>
      </c>
      <c r="X70" s="84" t="e">
        <f>(2*(X67^2)/24*V70)+(X69*Q67*WLS)</f>
        <v>#VALUE!</v>
      </c>
      <c r="Y70" s="84" t="str">
        <f>CONCATENATE("M(",Q67,")=")</f>
        <v>M(-)=</v>
      </c>
      <c r="Z70" s="84" t="e">
        <f>VLOOKUP(Q67,STN_TABLE,4,FALSE)</f>
        <v>#N/A</v>
      </c>
      <c r="AA70" t="str">
        <f>CONCATENATE("M(",Q68,")=")</f>
        <v>M(4.85)=</v>
      </c>
      <c r="AB70" t="e">
        <f>X70+Z70</f>
        <v>#VALUE!</v>
      </c>
      <c r="AE70" s="89">
        <f>SUM(AE68:AE69)</f>
        <v>22</v>
      </c>
      <c r="AG70" s="89">
        <f>SUM(AG68:AG69)</f>
        <v>33</v>
      </c>
      <c r="AH70" s="84" t="str">
        <f>CONCATENATE("m'(",AD69,")=")</f>
        <v>m'(4.85)=</v>
      </c>
      <c r="AI70" s="84">
        <f>(2*(AI67^2)/6*AG70)+(AI69*AD68*WLS)</f>
        <v>330.98999999999984</v>
      </c>
      <c r="AJ70" s="84" t="str">
        <f>CONCATENATE("M(",AD68,")=")</f>
        <v>M(4)=</v>
      </c>
      <c r="AK70" s="84">
        <f>VLOOKUP(AD68,STN_TABLE,4,FALSE)</f>
        <v>700.95333333333338</v>
      </c>
      <c r="AL70" t="str">
        <f>CONCATENATE("M(",AD69,")=")</f>
        <v>M(4.85)=</v>
      </c>
      <c r="AM70">
        <f>AI70+AK70</f>
        <v>1031.9433333333332</v>
      </c>
      <c r="AO70" s="82" t="str">
        <f>AA70</f>
        <v>M(4.85)=</v>
      </c>
      <c r="AP70" s="82" t="e">
        <f>VLOOKUP(AO70,Rise_Results,2,FALSE)</f>
        <v>#N/A</v>
      </c>
      <c r="AQ70" s="82" t="e">
        <f>N70</f>
        <v>#N/A</v>
      </c>
      <c r="AR70" s="82" t="e">
        <f>IF(OR(AB69&lt;=0,AB70&lt;=0),1/0,AB70)</f>
        <v>#VALUE!</v>
      </c>
      <c r="AS70" s="82">
        <f>AM70</f>
        <v>1031.9433333333332</v>
      </c>
      <c r="AT70">
        <f>IFERROR(AP70,IFERROR(AQ70,IFERROR(AR70,AS70)))</f>
        <v>1031.9433333333332</v>
      </c>
      <c r="AU70" s="81"/>
    </row>
    <row r="71" spans="1:47" x14ac:dyDescent="0.25">
      <c r="A71" s="101">
        <f>A66+1</f>
        <v>6</v>
      </c>
      <c r="B71" s="101">
        <f t="shared" si="11"/>
        <v>2</v>
      </c>
      <c r="O71" s="101">
        <f>O66+1</f>
        <v>8</v>
      </c>
      <c r="P71" s="101">
        <f t="shared" si="23"/>
        <v>4</v>
      </c>
      <c r="AU71" s="81"/>
    </row>
    <row r="72" spans="1:47" x14ac:dyDescent="0.25">
      <c r="A72" s="84">
        <f>A71+1</f>
        <v>7</v>
      </c>
      <c r="B72" s="84">
        <f t="shared" si="11"/>
        <v>3</v>
      </c>
      <c r="C72" s="79">
        <f t="shared" ref="C72" si="25">IF(C73=B74,IF(C74-C73=C73-B73,B73,IF(C74-C73=C73-B72,B72,"#NA")),IF(C73=B73,IF(C74-C73=C73-B72,B72,IF(C74-C73=C73-B71,B71,"#NA")),"#NA"))</f>
        <v>3</v>
      </c>
      <c r="D72" s="68">
        <f>VLOOKUP(C72,STN_TABLE,2,FALSE)</f>
        <v>11</v>
      </c>
      <c r="E72" s="102">
        <v>1</v>
      </c>
      <c r="F72" s="68">
        <f>D72*E72</f>
        <v>11</v>
      </c>
      <c r="G72" s="69">
        <f>C72</f>
        <v>3</v>
      </c>
      <c r="H72" s="69">
        <f>F72*G72</f>
        <v>33</v>
      </c>
      <c r="I72" s="6" t="s">
        <v>93</v>
      </c>
      <c r="J72" s="70">
        <f>IF(OR(D72=0,D73=0,D74=0),"#NA",IF(AND(C74-C73=C73-C72,C73&lt;&gt;C74,C72&lt;&gt;C73,C72&lt;&gt;C74,D74&lt;&gt;0,OR(D72&lt;&gt;0,D73&lt;&gt;0)),WLS*(C74-C73),"#NA"))</f>
        <v>2</v>
      </c>
      <c r="O72" s="99">
        <f>O71+1</f>
        <v>9</v>
      </c>
      <c r="P72" s="99">
        <f t="shared" si="23"/>
        <v>4.8499999999999996</v>
      </c>
      <c r="Q72" s="68">
        <f>IF(OR(P74-P73=P73-P72,P75-P73=P73-P72),P72,IF(OR(P74-P73=P73-P71,P75-P73=P73-P71),P71,"-"))</f>
        <v>4</v>
      </c>
      <c r="R72" s="69">
        <f>VLOOKUP(Q72,STN_TABLE,2,FALSE)</f>
        <v>11</v>
      </c>
      <c r="S72" s="69">
        <v>5</v>
      </c>
      <c r="T72" s="68">
        <f>R72*S72</f>
        <v>55</v>
      </c>
      <c r="U72" s="79">
        <v>3</v>
      </c>
      <c r="V72" s="68">
        <f>R72*U72</f>
        <v>33</v>
      </c>
      <c r="W72" s="6" t="s">
        <v>93</v>
      </c>
      <c r="X72" s="70">
        <f>IF(AND(Q74-Q73=Q73-Q72,NOT(AND(Q72=0,Q73=0)),NOT(AND(Q73=0,Q74=0))),WLS*(Q74-Q73),"#NA")</f>
        <v>2</v>
      </c>
      <c r="AD72" s="93"/>
      <c r="AH72" s="6" t="s">
        <v>93</v>
      </c>
      <c r="AI72" s="70">
        <f>WLS*(AD74-AD73)</f>
        <v>0.30000000000000071</v>
      </c>
      <c r="AU72" s="81"/>
    </row>
    <row r="73" spans="1:47" x14ac:dyDescent="0.25">
      <c r="A73" s="84">
        <f>A72+1</f>
        <v>8</v>
      </c>
      <c r="B73" s="84">
        <f t="shared" si="11"/>
        <v>4</v>
      </c>
      <c r="C73" s="80">
        <f t="shared" ref="C73" si="26">IF(OR(B75-B74=B74-B73,B75-B74=B74-B72,B75-B74=B74-B71),B74,IF(OR(B75-B73=B73-B72,B75-B73=B73-B71),B73,IF(B75-B72=B72-B71,B72,"#NA")))</f>
        <v>4</v>
      </c>
      <c r="D73" s="76">
        <f>VLOOKUP(C73,STN_TABLE,2,FALSE)</f>
        <v>11</v>
      </c>
      <c r="E73" s="81">
        <v>4</v>
      </c>
      <c r="F73" s="76">
        <f>D73*E73</f>
        <v>44</v>
      </c>
      <c r="G73" s="77">
        <f>C73</f>
        <v>4</v>
      </c>
      <c r="H73" s="77">
        <f>F73*G73</f>
        <v>176</v>
      </c>
      <c r="I73" s="495" t="s">
        <v>97</v>
      </c>
      <c r="J73" s="496"/>
      <c r="K73" s="78" t="s">
        <v>98</v>
      </c>
      <c r="L73" s="78"/>
      <c r="M73" s="7" t="s">
        <v>99</v>
      </c>
      <c r="N73" s="7"/>
      <c r="O73" s="99">
        <f>O72+1</f>
        <v>10</v>
      </c>
      <c r="P73" s="99">
        <f t="shared" si="23"/>
        <v>5</v>
      </c>
      <c r="Q73" s="76">
        <f>P73</f>
        <v>5</v>
      </c>
      <c r="R73" s="77">
        <f>VLOOKUP(Q73,STN_TABLE,2,FALSE)</f>
        <v>11</v>
      </c>
      <c r="S73" s="77">
        <v>8</v>
      </c>
      <c r="T73" s="76">
        <f>R73*S73</f>
        <v>88</v>
      </c>
      <c r="U73" s="80">
        <v>10</v>
      </c>
      <c r="V73" s="76">
        <f>R73*U73</f>
        <v>110</v>
      </c>
      <c r="W73" s="496" t="s">
        <v>97</v>
      </c>
      <c r="X73" s="496"/>
      <c r="Y73" s="496" t="s">
        <v>98</v>
      </c>
      <c r="Z73" s="496"/>
      <c r="AA73" s="494" t="s">
        <v>99</v>
      </c>
      <c r="AB73" s="494"/>
      <c r="AC73" s="99">
        <f>AC68+1</f>
        <v>9</v>
      </c>
      <c r="AD73" s="95">
        <f>VLOOKUP(AC73,STN_TABLE_2,2,FALSE)</f>
        <v>4.8499999999999996</v>
      </c>
      <c r="AE73" s="68">
        <f>VLOOKUP(AD73,STN_TABLE,2,FALSE)</f>
        <v>11</v>
      </c>
      <c r="AF73" s="68">
        <v>1</v>
      </c>
      <c r="AG73" s="69">
        <f>AE73*AF73</f>
        <v>11</v>
      </c>
      <c r="AH73" s="496" t="s">
        <v>97</v>
      </c>
      <c r="AI73" s="496"/>
      <c r="AJ73" s="496" t="s">
        <v>98</v>
      </c>
      <c r="AK73" s="496"/>
      <c r="AL73" s="494" t="s">
        <v>99</v>
      </c>
      <c r="AM73" s="494"/>
      <c r="AP73" s="86" t="s">
        <v>112</v>
      </c>
      <c r="AQ73" s="89" t="s">
        <v>113</v>
      </c>
      <c r="AR73" s="89" t="s">
        <v>114</v>
      </c>
      <c r="AS73" s="89" t="s">
        <v>115</v>
      </c>
      <c r="AU73" s="81"/>
    </row>
    <row r="74" spans="1:47" x14ac:dyDescent="0.25">
      <c r="A74" s="84">
        <f>A73+1</f>
        <v>9</v>
      </c>
      <c r="B74" s="84">
        <f t="shared" ref="B74:B105" si="27">VLOOKUP(A74,STN_TABLE_2,2,FALSE)</f>
        <v>4.8499999999999996</v>
      </c>
      <c r="C74" s="88">
        <f t="shared" ref="C74" si="28">B75</f>
        <v>5</v>
      </c>
      <c r="D74" s="82">
        <f>VLOOKUP(C74,STN_TABLE,2,FALSE)</f>
        <v>11</v>
      </c>
      <c r="E74" s="92">
        <v>1</v>
      </c>
      <c r="F74" s="82">
        <f>D74*E74</f>
        <v>11</v>
      </c>
      <c r="G74" s="83">
        <f>C74</f>
        <v>5</v>
      </c>
      <c r="H74" s="83">
        <f>F74*G74</f>
        <v>55</v>
      </c>
      <c r="I74" s="84" t="str">
        <f>CONCATENATE("a'(",C74,")=")</f>
        <v>a'(5)=</v>
      </c>
      <c r="J74" s="84">
        <f>2*J72/3*F75</f>
        <v>88</v>
      </c>
      <c r="K74" s="84" t="str">
        <f>CONCATENATE("A(",C72,")=")</f>
        <v>A(3)=</v>
      </c>
      <c r="L74" s="84">
        <f>VLOOKUP(C72,STN_TABLE,3,FALSE)</f>
        <v>128.44</v>
      </c>
      <c r="M74" t="str">
        <f>CONCATENATE("A(",C74,")=")</f>
        <v>A(5)=</v>
      </c>
      <c r="N74">
        <f>J74+L74</f>
        <v>216.44</v>
      </c>
      <c r="O74" s="99">
        <f>O73+1</f>
        <v>11</v>
      </c>
      <c r="P74" s="99">
        <f t="shared" si="23"/>
        <v>6</v>
      </c>
      <c r="Q74" s="82">
        <f>IF(P74-P73=P73-P72,P74,IF(P75-P73=P73-P72,P75,IF(P74-P73=P73-P71,P74,IF(P75-P73=P73-P71,P75,"-"))))</f>
        <v>6</v>
      </c>
      <c r="R74" s="83">
        <f>VLOOKUP(Q74,STN_TABLE,2,FALSE)</f>
        <v>11</v>
      </c>
      <c r="S74" s="83">
        <v>-1</v>
      </c>
      <c r="T74" s="82">
        <f>R74*S74</f>
        <v>-11</v>
      </c>
      <c r="U74" s="88">
        <v>-1</v>
      </c>
      <c r="V74" s="82">
        <f>R74*U74</f>
        <v>-11</v>
      </c>
      <c r="W74" s="84" t="str">
        <f>CONCATENATE("a'(",Q73,")=")</f>
        <v>a'(5)=</v>
      </c>
      <c r="X74" s="84">
        <f>2*X72/12*T75</f>
        <v>44</v>
      </c>
      <c r="Y74" s="84" t="str">
        <f>CONCATENATE("A(",Q72,")=")</f>
        <v>A(4)=</v>
      </c>
      <c r="Z74" s="84">
        <f>VLOOKUP(Q72,STN_TABLE,3,FALSE)</f>
        <v>172.37333333333333</v>
      </c>
      <c r="AA74" t="str">
        <f>CONCATENATE("A(",Q73,")=")</f>
        <v>A(5)=</v>
      </c>
      <c r="AB74">
        <f>X74+Z74</f>
        <v>216.37333333333333</v>
      </c>
      <c r="AC74" s="99">
        <f>AC73+1</f>
        <v>10</v>
      </c>
      <c r="AD74" s="100">
        <f>VLOOKUP(AC74,STN_TABLE_2,2,FALSE)</f>
        <v>5</v>
      </c>
      <c r="AE74" s="82">
        <f>VLOOKUP(AD74,STN_TABLE,2,FALSE)</f>
        <v>11</v>
      </c>
      <c r="AF74" s="82">
        <v>2</v>
      </c>
      <c r="AG74" s="83">
        <f>AE74*AF74</f>
        <v>22</v>
      </c>
      <c r="AH74" s="84" t="str">
        <f>CONCATENATE("a'(",AD74,")=")</f>
        <v>a'(5)=</v>
      </c>
      <c r="AI74" s="84">
        <f>2*AI72/2*AE75</f>
        <v>6.6000000000000156</v>
      </c>
      <c r="AJ74" s="84" t="str">
        <f>CONCATENATE("A(",AD73,")=")</f>
        <v>A(4.85)=</v>
      </c>
      <c r="AK74" s="84">
        <f>VLOOKUP(AD73,STN_TABLE,3,FALSE)</f>
        <v>209.77333333333331</v>
      </c>
      <c r="AL74" t="str">
        <f>CONCATENATE("A(",AD74,")=")</f>
        <v>A(5)=</v>
      </c>
      <c r="AM74">
        <f>AI74+AK74</f>
        <v>216.37333333333333</v>
      </c>
      <c r="AO74" s="68" t="str">
        <f>AA74</f>
        <v>A(5)=</v>
      </c>
      <c r="AP74" s="68" t="e">
        <f>VLOOKUP(AO74,Rise_Results,2,FALSE)</f>
        <v>#N/A</v>
      </c>
      <c r="AQ74" s="76">
        <f>N74</f>
        <v>216.44</v>
      </c>
      <c r="AR74" s="76">
        <f>IF(OR(AB74&lt;=0,AB75&lt;=0),1/0,AB74)</f>
        <v>216.37333333333333</v>
      </c>
      <c r="AS74" s="76">
        <f>AM74</f>
        <v>216.37333333333333</v>
      </c>
      <c r="AT74">
        <f>IFERROR(AP74,IFERROR(AQ74,IFERROR(AR74,AS74)))</f>
        <v>216.44</v>
      </c>
      <c r="AU74" s="81"/>
    </row>
    <row r="75" spans="1:47" x14ac:dyDescent="0.25">
      <c r="A75" s="84">
        <f>A74+1</f>
        <v>10</v>
      </c>
      <c r="B75" s="84">
        <f t="shared" si="27"/>
        <v>5</v>
      </c>
      <c r="F75" s="82">
        <f>SUM(F72:F74)</f>
        <v>66</v>
      </c>
      <c r="H75" s="82">
        <f>SUM(H72:H74)</f>
        <v>264</v>
      </c>
      <c r="I75" s="84" t="str">
        <f>CONCATENATE("m'(",C74,")=")</f>
        <v>m'(5)=</v>
      </c>
      <c r="J75" s="84">
        <f>2*(J72*(WLS))/3*H75</f>
        <v>704</v>
      </c>
      <c r="K75" s="84" t="str">
        <f>CONCATENATE("M(",C72,")=")</f>
        <v>M(3)=</v>
      </c>
      <c r="L75" s="84">
        <f>VLOOKUP(C72,STN_TABLE,4,FALSE)</f>
        <v>393.28666666666669</v>
      </c>
      <c r="M75" t="str">
        <f>CONCATENATE("M(",C74,")=")</f>
        <v>M(5)=</v>
      </c>
      <c r="N75">
        <f>J75+L75</f>
        <v>1097.2866666666666</v>
      </c>
      <c r="O75" s="99">
        <f>O74+1</f>
        <v>12</v>
      </c>
      <c r="P75" s="99">
        <f t="shared" si="23"/>
        <v>6.5</v>
      </c>
      <c r="T75" s="89">
        <f>SUM(T72:T74)</f>
        <v>132</v>
      </c>
      <c r="V75" s="82">
        <f>SUM(V72:V74)</f>
        <v>132</v>
      </c>
      <c r="W75" s="84" t="str">
        <f>CONCATENATE("m'(",Q73,")=")</f>
        <v>m'(5)=</v>
      </c>
      <c r="X75" s="84">
        <f>(2*(X72^2)/24*V75)+(X74*Q72*WLS)</f>
        <v>396</v>
      </c>
      <c r="Y75" s="84" t="str">
        <f>CONCATENATE("M(",Q72,")=")</f>
        <v>M(4)=</v>
      </c>
      <c r="Z75" s="84">
        <f>VLOOKUP(Q72,STN_TABLE,4,FALSE)</f>
        <v>700.95333333333338</v>
      </c>
      <c r="AA75" t="str">
        <f>CONCATENATE("M(",Q73,")=")</f>
        <v>M(5)=</v>
      </c>
      <c r="AB75">
        <f>X75+Z75</f>
        <v>1096.9533333333334</v>
      </c>
      <c r="AE75" s="89">
        <f>SUM(AE73:AE74)</f>
        <v>22</v>
      </c>
      <c r="AG75" s="89">
        <f>SUM(AG73:AG74)</f>
        <v>33</v>
      </c>
      <c r="AH75" s="84" t="str">
        <f>CONCATENATE("m'(",AD74,")=")</f>
        <v>m'(5)=</v>
      </c>
      <c r="AI75" s="84">
        <f>(2*(AI72^2)/6*AG75)+(AI74*AD73*WLS)</f>
        <v>65.010000000000161</v>
      </c>
      <c r="AJ75" s="84" t="str">
        <f>CONCATENATE("M(",AD73,")=")</f>
        <v>M(4.85)=</v>
      </c>
      <c r="AK75" s="84">
        <f>VLOOKUP(AD73,STN_TABLE,4,FALSE)</f>
        <v>1031.9433333333332</v>
      </c>
      <c r="AL75" t="str">
        <f>CONCATENATE("M(",AD74,")=")</f>
        <v>M(5)=</v>
      </c>
      <c r="AM75">
        <f>AI75+AK75</f>
        <v>1096.9533333333334</v>
      </c>
      <c r="AO75" s="82" t="str">
        <f>AA75</f>
        <v>M(5)=</v>
      </c>
      <c r="AP75" s="82" t="e">
        <f>VLOOKUP(AO75,Rise_Results,2,FALSE)</f>
        <v>#N/A</v>
      </c>
      <c r="AQ75" s="82">
        <f>N75</f>
        <v>1097.2866666666666</v>
      </c>
      <c r="AR75" s="82">
        <f>IF(OR(AB74&lt;=0,AB75&lt;=0),1/0,AB75)</f>
        <v>1096.9533333333334</v>
      </c>
      <c r="AS75" s="82">
        <f>AM75</f>
        <v>1096.9533333333334</v>
      </c>
      <c r="AT75">
        <f>IFERROR(AP75,IFERROR(AQ75,IFERROR(AR75,AS75)))</f>
        <v>1097.2866666666666</v>
      </c>
      <c r="AU75" s="81"/>
    </row>
    <row r="76" spans="1:47" x14ac:dyDescent="0.25">
      <c r="A76" s="101">
        <f>A71+1</f>
        <v>7</v>
      </c>
      <c r="B76" s="101">
        <f t="shared" si="27"/>
        <v>3</v>
      </c>
      <c r="O76" s="101">
        <f>O71+1</f>
        <v>9</v>
      </c>
      <c r="P76" s="101">
        <f t="shared" si="23"/>
        <v>4.8499999999999996</v>
      </c>
      <c r="AU76" s="81"/>
    </row>
    <row r="77" spans="1:47" x14ac:dyDescent="0.25">
      <c r="A77" s="84">
        <f>A76+1</f>
        <v>8</v>
      </c>
      <c r="B77" s="84">
        <f t="shared" si="27"/>
        <v>4</v>
      </c>
      <c r="C77" s="79">
        <f t="shared" ref="C77" si="29">IF(C78=B79,IF(C79-C78=C78-B78,B78,IF(C79-C78=C78-B77,B77,"#NA")),IF(C78=B78,IF(C79-C78=C78-B77,B77,IF(C79-C78=C78-B76,B76,"#NA")),"#NA"))</f>
        <v>4</v>
      </c>
      <c r="D77" s="68">
        <f>VLOOKUP(C77,STN_TABLE,2,FALSE)</f>
        <v>11</v>
      </c>
      <c r="E77" s="102">
        <v>1</v>
      </c>
      <c r="F77" s="68">
        <f>D77*E77</f>
        <v>11</v>
      </c>
      <c r="G77" s="69">
        <f>C77</f>
        <v>4</v>
      </c>
      <c r="H77" s="69">
        <f>F77*G77</f>
        <v>44</v>
      </c>
      <c r="I77" s="6" t="s">
        <v>93</v>
      </c>
      <c r="J77" s="70">
        <f>IF(OR(D77=0,D78=0,D79=0),"#NA",IF(AND(C79-C78=C78-C77,C78&lt;&gt;C79,C77&lt;&gt;C78,C77&lt;&gt;C79,D79&lt;&gt;0,OR(D77&lt;&gt;0,D78&lt;&gt;0)),WLS*(C79-C78),"#NA"))</f>
        <v>2</v>
      </c>
      <c r="O77" s="99">
        <f>O76+1</f>
        <v>10</v>
      </c>
      <c r="P77" s="99">
        <f t="shared" si="23"/>
        <v>5</v>
      </c>
      <c r="Q77" s="68" t="e">
        <f>IF(OR(P79-P78=P78-P77,P80-P78=P78-P77),P77,IF(OR(P79-P78=P78-P76,P80-P78=P78-P76),P76,"-"))</f>
        <v>#VALUE!</v>
      </c>
      <c r="R77" s="69" t="e">
        <f>VLOOKUP(Q77,STN_TABLE,2,FALSE)</f>
        <v>#VALUE!</v>
      </c>
      <c r="S77" s="69">
        <v>5</v>
      </c>
      <c r="T77" s="68" t="e">
        <f>R77*S77</f>
        <v>#VALUE!</v>
      </c>
      <c r="U77" s="79">
        <v>3</v>
      </c>
      <c r="V77" s="68" t="e">
        <f>R77*U77</f>
        <v>#VALUE!</v>
      </c>
      <c r="W77" s="6" t="s">
        <v>93</v>
      </c>
      <c r="X77" s="70" t="e">
        <f>IF(AND(Q79-Q78=Q78-Q77,NOT(AND(Q77=0,Q78=0)),NOT(AND(Q78=0,Q79=0))),WLS*(Q79-Q78),"#NA")</f>
        <v>#VALUE!</v>
      </c>
      <c r="AD77" s="93"/>
      <c r="AH77" s="6" t="s">
        <v>93</v>
      </c>
      <c r="AI77" s="70">
        <f>WLS*(AD79-AD78)</f>
        <v>2</v>
      </c>
      <c r="AU77" s="81"/>
    </row>
    <row r="78" spans="1:47" x14ac:dyDescent="0.25">
      <c r="A78" s="84">
        <f>A77+1</f>
        <v>9</v>
      </c>
      <c r="B78" s="84">
        <f t="shared" si="27"/>
        <v>4.8499999999999996</v>
      </c>
      <c r="C78" s="80">
        <f t="shared" ref="C78" si="30">IF(OR(B80-B79=B79-B78,B80-B79=B79-B77,B80-B79=B79-B76),B79,IF(OR(B80-B78=B78-B77,B80-B78=B78-B76),B78,IF(B80-B77=B77-B76,B77,"#NA")))</f>
        <v>5</v>
      </c>
      <c r="D78" s="76">
        <f>VLOOKUP(C78,STN_TABLE,2,FALSE)</f>
        <v>11</v>
      </c>
      <c r="E78" s="81">
        <v>4</v>
      </c>
      <c r="F78" s="76">
        <f>D78*E78</f>
        <v>44</v>
      </c>
      <c r="G78" s="77">
        <f>C78</f>
        <v>5</v>
      </c>
      <c r="H78" s="77">
        <f>F78*G78</f>
        <v>220</v>
      </c>
      <c r="I78" s="495" t="s">
        <v>97</v>
      </c>
      <c r="J78" s="496"/>
      <c r="K78" s="78" t="s">
        <v>98</v>
      </c>
      <c r="L78" s="78"/>
      <c r="M78" s="7" t="s">
        <v>99</v>
      </c>
      <c r="N78" s="7"/>
      <c r="O78" s="99">
        <f>O77+1</f>
        <v>11</v>
      </c>
      <c r="P78" s="99">
        <f t="shared" si="23"/>
        <v>6</v>
      </c>
      <c r="Q78" s="76">
        <f>P78</f>
        <v>6</v>
      </c>
      <c r="R78" s="77">
        <f>VLOOKUP(Q78,STN_TABLE,2,FALSE)</f>
        <v>11</v>
      </c>
      <c r="S78" s="77">
        <v>8</v>
      </c>
      <c r="T78" s="76">
        <f>R78*S78</f>
        <v>88</v>
      </c>
      <c r="U78" s="80">
        <v>10</v>
      </c>
      <c r="V78" s="76">
        <f>R78*U78</f>
        <v>110</v>
      </c>
      <c r="W78" s="496" t="s">
        <v>97</v>
      </c>
      <c r="X78" s="496"/>
      <c r="Y78" s="496" t="s">
        <v>98</v>
      </c>
      <c r="Z78" s="496"/>
      <c r="AA78" s="494" t="s">
        <v>99</v>
      </c>
      <c r="AB78" s="494"/>
      <c r="AC78" s="99">
        <f>AC73+1</f>
        <v>10</v>
      </c>
      <c r="AD78" s="95">
        <f>VLOOKUP(AC78,STN_TABLE_2,2,FALSE)</f>
        <v>5</v>
      </c>
      <c r="AE78" s="68">
        <f>VLOOKUP(AD78,STN_TABLE,2,FALSE)</f>
        <v>11</v>
      </c>
      <c r="AF78" s="68">
        <v>1</v>
      </c>
      <c r="AG78" s="69">
        <f>AE78*AF78</f>
        <v>11</v>
      </c>
      <c r="AH78" s="496" t="s">
        <v>97</v>
      </c>
      <c r="AI78" s="496"/>
      <c r="AJ78" s="496" t="s">
        <v>98</v>
      </c>
      <c r="AK78" s="496"/>
      <c r="AL78" s="494" t="s">
        <v>99</v>
      </c>
      <c r="AM78" s="494"/>
      <c r="AP78" s="86" t="s">
        <v>112</v>
      </c>
      <c r="AQ78" s="89" t="s">
        <v>113</v>
      </c>
      <c r="AR78" s="89" t="s">
        <v>114</v>
      </c>
      <c r="AS78" s="89" t="s">
        <v>115</v>
      </c>
      <c r="AU78" s="81"/>
    </row>
    <row r="79" spans="1:47" x14ac:dyDescent="0.25">
      <c r="A79" s="84">
        <f>A78+1</f>
        <v>10</v>
      </c>
      <c r="B79" s="84">
        <f t="shared" si="27"/>
        <v>5</v>
      </c>
      <c r="C79" s="88">
        <f t="shared" ref="C79" si="31">B80</f>
        <v>6</v>
      </c>
      <c r="D79" s="82">
        <f>VLOOKUP(C79,STN_TABLE,2,FALSE)</f>
        <v>11</v>
      </c>
      <c r="E79" s="92">
        <v>1</v>
      </c>
      <c r="F79" s="82">
        <f>D79*E79</f>
        <v>11</v>
      </c>
      <c r="G79" s="83">
        <f>C79</f>
        <v>6</v>
      </c>
      <c r="H79" s="83">
        <f>F79*G79</f>
        <v>66</v>
      </c>
      <c r="I79" s="84" t="str">
        <f>CONCATENATE("a'(",C79,")=")</f>
        <v>a'(6)=</v>
      </c>
      <c r="J79" s="84">
        <f>2*J77/3*F80</f>
        <v>88</v>
      </c>
      <c r="K79" s="84" t="str">
        <f>CONCATENATE("A(",C77,")=")</f>
        <v>A(4)=</v>
      </c>
      <c r="L79" s="84">
        <f>VLOOKUP(C77,STN_TABLE,3,FALSE)</f>
        <v>172.37333333333333</v>
      </c>
      <c r="M79" t="str">
        <f>CONCATENATE("A(",C79,")=")</f>
        <v>A(6)=</v>
      </c>
      <c r="N79">
        <f>J79+L79</f>
        <v>260.37333333333333</v>
      </c>
      <c r="O79" s="99">
        <f>O78+1</f>
        <v>12</v>
      </c>
      <c r="P79" s="99">
        <f t="shared" si="23"/>
        <v>6.5</v>
      </c>
      <c r="Q79" s="82" t="e">
        <f>IF(P79-P78=P78-P77,P79,IF(P80-P78=P78-P77,P80,IF(P79-P78=P78-P76,P79,IF(P80-P78=P78-P76,P80,"-"))))</f>
        <v>#VALUE!</v>
      </c>
      <c r="R79" s="83" t="e">
        <f>VLOOKUP(Q79,STN_TABLE,2,FALSE)</f>
        <v>#VALUE!</v>
      </c>
      <c r="S79" s="83">
        <v>-1</v>
      </c>
      <c r="T79" s="82" t="e">
        <f>R79*S79</f>
        <v>#VALUE!</v>
      </c>
      <c r="U79" s="88">
        <v>-1</v>
      </c>
      <c r="V79" s="82" t="e">
        <f>R79*U79</f>
        <v>#VALUE!</v>
      </c>
      <c r="W79" s="84" t="str">
        <f>CONCATENATE("a'(",Q78,")=")</f>
        <v>a'(6)=</v>
      </c>
      <c r="X79" s="84" t="e">
        <f>2*X77/12*T80</f>
        <v>#VALUE!</v>
      </c>
      <c r="Y79" s="84" t="e">
        <f>CONCATENATE("A(",Q77,")=")</f>
        <v>#VALUE!</v>
      </c>
      <c r="Z79" s="84" t="e">
        <f>VLOOKUP(Q77,STN_TABLE,3,FALSE)</f>
        <v>#VALUE!</v>
      </c>
      <c r="AA79" t="str">
        <f>CONCATENATE("A(",Q78,")=")</f>
        <v>A(6)=</v>
      </c>
      <c r="AB79" t="e">
        <f>X79+Z79</f>
        <v>#VALUE!</v>
      </c>
      <c r="AC79" s="99">
        <f>AC78+1</f>
        <v>11</v>
      </c>
      <c r="AD79" s="100">
        <f>VLOOKUP(AC79,STN_TABLE_2,2,FALSE)</f>
        <v>6</v>
      </c>
      <c r="AE79" s="82">
        <f>VLOOKUP(AD79,STN_TABLE,2,FALSE)</f>
        <v>11</v>
      </c>
      <c r="AF79" s="82">
        <v>2</v>
      </c>
      <c r="AG79" s="83">
        <f>AE79*AF79</f>
        <v>22</v>
      </c>
      <c r="AH79" s="84" t="str">
        <f>CONCATENATE("a'(",AD79,")=")</f>
        <v>a'(6)=</v>
      </c>
      <c r="AI79" s="84">
        <f>2*AI77/2*AE80</f>
        <v>44</v>
      </c>
      <c r="AJ79" s="84" t="str">
        <f>CONCATENATE("A(",AD78,")=")</f>
        <v>A(5)=</v>
      </c>
      <c r="AK79" s="84">
        <f>VLOOKUP(AD78,STN_TABLE,3,FALSE)</f>
        <v>216.44</v>
      </c>
      <c r="AL79" t="str">
        <f>CONCATENATE("A(",AD79,")=")</f>
        <v>A(6)=</v>
      </c>
      <c r="AM79">
        <f>AI79+AK79</f>
        <v>260.44</v>
      </c>
      <c r="AO79" s="68" t="str">
        <f>AA79</f>
        <v>A(6)=</v>
      </c>
      <c r="AP79" s="68" t="e">
        <f>VLOOKUP(AO79,Rise_Results,2,FALSE)</f>
        <v>#N/A</v>
      </c>
      <c r="AQ79" s="76">
        <f>N79</f>
        <v>260.37333333333333</v>
      </c>
      <c r="AR79" s="76" t="e">
        <f>IF(OR(AB79&lt;=0,AB80&lt;=0),1/0,AB79)</f>
        <v>#VALUE!</v>
      </c>
      <c r="AS79" s="76">
        <f>AM79</f>
        <v>260.44</v>
      </c>
      <c r="AT79">
        <f>IFERROR(AP79,IFERROR(AQ79,IFERROR(AR79,AS79)))</f>
        <v>260.37333333333333</v>
      </c>
      <c r="AU79" s="81"/>
    </row>
    <row r="80" spans="1:47" x14ac:dyDescent="0.25">
      <c r="A80" s="84">
        <f>A79+1</f>
        <v>11</v>
      </c>
      <c r="B80" s="84">
        <f t="shared" si="27"/>
        <v>6</v>
      </c>
      <c r="F80" s="82">
        <f>SUM(F77:F79)</f>
        <v>66</v>
      </c>
      <c r="H80" s="82">
        <f>SUM(H77:H79)</f>
        <v>330</v>
      </c>
      <c r="I80" s="84" t="str">
        <f>CONCATENATE("m'(",C79,")=")</f>
        <v>m'(6)=</v>
      </c>
      <c r="J80" s="84">
        <f>2*(J77*(WLS))/3*H80</f>
        <v>880</v>
      </c>
      <c r="K80" s="84" t="str">
        <f>CONCATENATE("M(",C77,")=")</f>
        <v>M(4)=</v>
      </c>
      <c r="L80" s="84">
        <f>VLOOKUP(C77,STN_TABLE,4,FALSE)</f>
        <v>700.95333333333338</v>
      </c>
      <c r="M80" t="str">
        <f>CONCATENATE("M(",C79,")=")</f>
        <v>M(6)=</v>
      </c>
      <c r="N80">
        <f>J80+L80</f>
        <v>1580.9533333333334</v>
      </c>
      <c r="O80" s="99">
        <f>O79+1</f>
        <v>13</v>
      </c>
      <c r="P80" s="99" t="str">
        <f t="shared" si="23"/>
        <v xml:space="preserve">  </v>
      </c>
      <c r="T80" s="89" t="e">
        <f>SUM(T77:T79)</f>
        <v>#VALUE!</v>
      </c>
      <c r="V80" s="82" t="e">
        <f>SUM(V77:V79)</f>
        <v>#VALUE!</v>
      </c>
      <c r="W80" s="84" t="str">
        <f>CONCATENATE("m'(",Q78,")=")</f>
        <v>m'(6)=</v>
      </c>
      <c r="X80" s="84" t="e">
        <f>(2*(X77^2)/24*V80)+(X79*Q77*WLS)</f>
        <v>#VALUE!</v>
      </c>
      <c r="Y80" s="84" t="e">
        <f>CONCATENATE("M(",Q77,")=")</f>
        <v>#VALUE!</v>
      </c>
      <c r="Z80" s="84" t="e">
        <f>VLOOKUP(Q77,STN_TABLE,4,FALSE)</f>
        <v>#VALUE!</v>
      </c>
      <c r="AA80" t="str">
        <f>CONCATENATE("M(",Q78,")=")</f>
        <v>M(6)=</v>
      </c>
      <c r="AB80" t="e">
        <f>X80+Z80</f>
        <v>#VALUE!</v>
      </c>
      <c r="AE80" s="89">
        <f>SUM(AE78:AE79)</f>
        <v>22</v>
      </c>
      <c r="AG80" s="89">
        <f>SUM(AG78:AG79)</f>
        <v>33</v>
      </c>
      <c r="AH80" s="84" t="str">
        <f>CONCATENATE("m'(",AD79,")=")</f>
        <v>m'(6)=</v>
      </c>
      <c r="AI80" s="84">
        <f>(2*(AI77^2)/6*AG80)+(AI79*AD78*WLS)</f>
        <v>484</v>
      </c>
      <c r="AJ80" s="84" t="str">
        <f>CONCATENATE("M(",AD78,")=")</f>
        <v>M(5)=</v>
      </c>
      <c r="AK80" s="84">
        <f>VLOOKUP(AD78,STN_TABLE,4,FALSE)</f>
        <v>1097.2866666666666</v>
      </c>
      <c r="AL80" t="str">
        <f>CONCATENATE("M(",AD79,")=")</f>
        <v>M(6)=</v>
      </c>
      <c r="AM80">
        <f>AI80+AK80</f>
        <v>1581.2866666666666</v>
      </c>
      <c r="AO80" s="82" t="str">
        <f>AA80</f>
        <v>M(6)=</v>
      </c>
      <c r="AP80" s="82" t="e">
        <f>VLOOKUP(AO80,Rise_Results,2,FALSE)</f>
        <v>#N/A</v>
      </c>
      <c r="AQ80" s="82">
        <f>N80</f>
        <v>1580.9533333333334</v>
      </c>
      <c r="AR80" s="82" t="e">
        <f>IF(OR(AB79&lt;=0,AB80&lt;=0),1/0,AB80)</f>
        <v>#VALUE!</v>
      </c>
      <c r="AS80" s="82">
        <f>AM80</f>
        <v>1581.2866666666666</v>
      </c>
      <c r="AT80">
        <f>IFERROR(AP80,IFERROR(AQ80,IFERROR(AR80,AS80)))</f>
        <v>1580.9533333333334</v>
      </c>
      <c r="AU80" s="81"/>
    </row>
    <row r="81" spans="1:47" x14ac:dyDescent="0.25">
      <c r="A81" s="101">
        <f>A76+1</f>
        <v>8</v>
      </c>
      <c r="B81" s="101">
        <f t="shared" si="27"/>
        <v>4</v>
      </c>
      <c r="O81" s="101">
        <f>O76+1</f>
        <v>10</v>
      </c>
      <c r="P81" s="101">
        <f t="shared" si="23"/>
        <v>5</v>
      </c>
      <c r="AU81" s="81"/>
    </row>
    <row r="82" spans="1:47" x14ac:dyDescent="0.25">
      <c r="A82" s="84">
        <f>A81+1</f>
        <v>9</v>
      </c>
      <c r="B82" s="84">
        <f t="shared" si="27"/>
        <v>4.8499999999999996</v>
      </c>
      <c r="C82" s="79" t="str">
        <f t="shared" ref="C82" si="32">IF(C83=B84,IF(C84-C83=C83-B83,B83,IF(C84-C83=C83-B82,B82,"#NA")),IF(C83=B83,IF(C84-C83=C83-B82,B82,IF(C84-C83=C83-B81,B81,"#NA")),"#NA"))</f>
        <v>#NA</v>
      </c>
      <c r="D82" s="68" t="e">
        <f>VLOOKUP(C82,STN_TABLE,2,FALSE)</f>
        <v>#N/A</v>
      </c>
      <c r="E82" s="102">
        <v>1</v>
      </c>
      <c r="F82" s="68" t="e">
        <f>D82*E82</f>
        <v>#N/A</v>
      </c>
      <c r="G82" s="69" t="str">
        <f>C82</f>
        <v>#NA</v>
      </c>
      <c r="H82" s="69" t="e">
        <f>F82*G82</f>
        <v>#N/A</v>
      </c>
      <c r="I82" s="6" t="s">
        <v>93</v>
      </c>
      <c r="J82" s="70" t="e">
        <f>IF(OR(D82=0,D83=0,D84=0),"#NA",IF(AND(C84-C83=C83-C82,C83&lt;&gt;C84,C82&lt;&gt;C83,C82&lt;&gt;C84,D84&lt;&gt;0,OR(D82&lt;&gt;0,D83&lt;&gt;0)),WLS*(C84-C83),"#NA"))</f>
        <v>#N/A</v>
      </c>
      <c r="O82" s="99">
        <f>O81+1</f>
        <v>11</v>
      </c>
      <c r="P82" s="99">
        <f t="shared" si="23"/>
        <v>6</v>
      </c>
      <c r="Q82" s="68" t="e">
        <f>IF(OR(P84-P83=P83-P82,P85-P83=P83-P82),P82,IF(OR(P84-P83=P83-P81,P85-P83=P83-P81),P81,"-"))</f>
        <v>#VALUE!</v>
      </c>
      <c r="R82" s="69" t="e">
        <f>VLOOKUP(Q82,STN_TABLE,2,FALSE)</f>
        <v>#VALUE!</v>
      </c>
      <c r="S82" s="69">
        <v>5</v>
      </c>
      <c r="T82" s="68" t="e">
        <f>R82*S82</f>
        <v>#VALUE!</v>
      </c>
      <c r="U82" s="79">
        <v>3</v>
      </c>
      <c r="V82" s="68" t="e">
        <f>R82*U82</f>
        <v>#VALUE!</v>
      </c>
      <c r="W82" s="6" t="s">
        <v>93</v>
      </c>
      <c r="X82" s="70" t="e">
        <f>IF(AND(Q84-Q83=Q83-Q82,NOT(AND(Q82=0,Q83=0)),NOT(AND(Q83=0,Q84=0))),WLS*(Q84-Q83),"#NA")</f>
        <v>#VALUE!</v>
      </c>
      <c r="AD82" s="93"/>
      <c r="AH82" s="6" t="s">
        <v>93</v>
      </c>
      <c r="AI82" s="70">
        <f>WLS*(AD84-AD83)</f>
        <v>1</v>
      </c>
      <c r="AU82" s="81"/>
    </row>
    <row r="83" spans="1:47" x14ac:dyDescent="0.25">
      <c r="A83" s="84">
        <f>A82+1</f>
        <v>10</v>
      </c>
      <c r="B83" s="84">
        <f t="shared" si="27"/>
        <v>5</v>
      </c>
      <c r="C83" s="80" t="str">
        <f t="shared" ref="C83" si="33">IF(OR(B85-B84=B84-B83,B85-B84=B84-B82,B85-B84=B84-B81),B84,IF(OR(B85-B83=B83-B82,B85-B83=B83-B81),B83,IF(B85-B82=B82-B81,B82,"#NA")))</f>
        <v>#NA</v>
      </c>
      <c r="D83" s="76" t="e">
        <f>VLOOKUP(C83,STN_TABLE,2,FALSE)</f>
        <v>#N/A</v>
      </c>
      <c r="E83" s="81">
        <v>4</v>
      </c>
      <c r="F83" s="76" t="e">
        <f>D83*E83</f>
        <v>#N/A</v>
      </c>
      <c r="G83" s="77" t="str">
        <f>C83</f>
        <v>#NA</v>
      </c>
      <c r="H83" s="77" t="e">
        <f>F83*G83</f>
        <v>#N/A</v>
      </c>
      <c r="I83" s="495" t="s">
        <v>97</v>
      </c>
      <c r="J83" s="496"/>
      <c r="K83" s="78" t="s">
        <v>98</v>
      </c>
      <c r="L83" s="78"/>
      <c r="M83" s="7" t="s">
        <v>99</v>
      </c>
      <c r="N83" s="7"/>
      <c r="O83" s="99">
        <f>O82+1</f>
        <v>12</v>
      </c>
      <c r="P83" s="99">
        <f t="shared" si="23"/>
        <v>6.5</v>
      </c>
      <c r="Q83" s="76">
        <f>P83</f>
        <v>6.5</v>
      </c>
      <c r="R83" s="77">
        <f>VLOOKUP(Q83,STN_TABLE,2,FALSE)</f>
        <v>11</v>
      </c>
      <c r="S83" s="77">
        <v>8</v>
      </c>
      <c r="T83" s="76">
        <f>R83*S83</f>
        <v>88</v>
      </c>
      <c r="U83" s="80">
        <v>10</v>
      </c>
      <c r="V83" s="76">
        <f>R83*U83</f>
        <v>110</v>
      </c>
      <c r="W83" s="496" t="s">
        <v>97</v>
      </c>
      <c r="X83" s="496"/>
      <c r="Y83" s="496" t="s">
        <v>98</v>
      </c>
      <c r="Z83" s="496"/>
      <c r="AA83" s="494" t="s">
        <v>99</v>
      </c>
      <c r="AB83" s="494"/>
      <c r="AC83" s="99">
        <f>AC78+1</f>
        <v>11</v>
      </c>
      <c r="AD83" s="95">
        <f>VLOOKUP(AC83,STN_TABLE_2,2,FALSE)</f>
        <v>6</v>
      </c>
      <c r="AE83" s="68">
        <f>VLOOKUP(AD83,STN_TABLE,2,FALSE)</f>
        <v>11</v>
      </c>
      <c r="AF83" s="68">
        <v>1</v>
      </c>
      <c r="AG83" s="69">
        <f>AE83*AF83</f>
        <v>11</v>
      </c>
      <c r="AH83" s="496" t="s">
        <v>97</v>
      </c>
      <c r="AI83" s="496"/>
      <c r="AJ83" s="496" t="s">
        <v>98</v>
      </c>
      <c r="AK83" s="496"/>
      <c r="AL83" s="494" t="s">
        <v>99</v>
      </c>
      <c r="AM83" s="494"/>
      <c r="AP83" s="86" t="s">
        <v>112</v>
      </c>
      <c r="AQ83" s="89" t="s">
        <v>113</v>
      </c>
      <c r="AR83" s="89" t="s">
        <v>114</v>
      </c>
      <c r="AS83" s="89" t="s">
        <v>115</v>
      </c>
      <c r="AU83" s="81"/>
    </row>
    <row r="84" spans="1:47" x14ac:dyDescent="0.25">
      <c r="A84" s="84">
        <f>A83+1</f>
        <v>11</v>
      </c>
      <c r="B84" s="84">
        <f t="shared" si="27"/>
        <v>6</v>
      </c>
      <c r="C84" s="88">
        <f t="shared" ref="C84" si="34">B85</f>
        <v>6.5</v>
      </c>
      <c r="D84" s="82">
        <f>VLOOKUP(C84,STN_TABLE,2,FALSE)</f>
        <v>11</v>
      </c>
      <c r="E84" s="92">
        <v>1</v>
      </c>
      <c r="F84" s="82">
        <f>D84*E84</f>
        <v>11</v>
      </c>
      <c r="G84" s="83">
        <f>C84</f>
        <v>6.5</v>
      </c>
      <c r="H84" s="83">
        <f>F84*G84</f>
        <v>71.5</v>
      </c>
      <c r="I84" s="84" t="str">
        <f>CONCATENATE("a'(",C84,")=")</f>
        <v>a'(6.5)=</v>
      </c>
      <c r="J84" s="84" t="e">
        <f>2*J82/3*F85</f>
        <v>#N/A</v>
      </c>
      <c r="K84" s="84" t="str">
        <f>CONCATENATE("A(",C82,")=")</f>
        <v>A(#NA)=</v>
      </c>
      <c r="L84" s="84" t="e">
        <f>VLOOKUP(C82,STN_TABLE,3,FALSE)</f>
        <v>#N/A</v>
      </c>
      <c r="M84" t="str">
        <f>CONCATENATE("A(",C84,")=")</f>
        <v>A(6.5)=</v>
      </c>
      <c r="N84" t="e">
        <f>J84+L84</f>
        <v>#N/A</v>
      </c>
      <c r="O84" s="99">
        <f>O83+1</f>
        <v>13</v>
      </c>
      <c r="P84" s="99" t="str">
        <f t="shared" si="23"/>
        <v xml:space="preserve">  </v>
      </c>
      <c r="Q84" s="82" t="e">
        <f>IF(P84-P83=P83-P82,P84,IF(P85-P83=P83-P82,P85,IF(P84-P83=P83-P81,P84,IF(P85-P83=P83-P81,P85,"-"))))</f>
        <v>#VALUE!</v>
      </c>
      <c r="R84" s="83" t="e">
        <f>VLOOKUP(Q84,STN_TABLE,2,FALSE)</f>
        <v>#VALUE!</v>
      </c>
      <c r="S84" s="83">
        <v>-1</v>
      </c>
      <c r="T84" s="82" t="e">
        <f>R84*S84</f>
        <v>#VALUE!</v>
      </c>
      <c r="U84" s="88">
        <v>-1</v>
      </c>
      <c r="V84" s="82" t="e">
        <f>R84*U84</f>
        <v>#VALUE!</v>
      </c>
      <c r="W84" s="84" t="str">
        <f>CONCATENATE("a'(",Q83,")=")</f>
        <v>a'(6.5)=</v>
      </c>
      <c r="X84" s="84" t="e">
        <f>2*X82/12*T85</f>
        <v>#VALUE!</v>
      </c>
      <c r="Y84" s="84" t="e">
        <f>CONCATENATE("A(",Q82,")=")</f>
        <v>#VALUE!</v>
      </c>
      <c r="Z84" s="84" t="e">
        <f>VLOOKUP(Q82,STN_TABLE,3,FALSE)</f>
        <v>#VALUE!</v>
      </c>
      <c r="AA84" t="str">
        <f>CONCATENATE("A(",Q83,")=")</f>
        <v>A(6.5)=</v>
      </c>
      <c r="AB84" t="e">
        <f>X84+Z84</f>
        <v>#VALUE!</v>
      </c>
      <c r="AC84" s="99">
        <f>AC83+1</f>
        <v>12</v>
      </c>
      <c r="AD84" s="100">
        <f>VLOOKUP(AC84,STN_TABLE_2,2,FALSE)</f>
        <v>6.5</v>
      </c>
      <c r="AE84" s="82">
        <f>VLOOKUP(AD84,STN_TABLE,2,FALSE)</f>
        <v>11</v>
      </c>
      <c r="AF84" s="82">
        <v>2</v>
      </c>
      <c r="AG84" s="83">
        <f>AE84*AF84</f>
        <v>22</v>
      </c>
      <c r="AH84" s="84" t="str">
        <f>CONCATENATE("a'(",AD84,")=")</f>
        <v>a'(6.5)=</v>
      </c>
      <c r="AI84" s="84">
        <f>2*AI82/2*AE85</f>
        <v>22</v>
      </c>
      <c r="AJ84" s="84" t="str">
        <f>CONCATENATE("A(",AD83,")=")</f>
        <v>A(6)=</v>
      </c>
      <c r="AK84" s="84">
        <f>VLOOKUP(AD83,STN_TABLE,3,FALSE)</f>
        <v>260.37333333333333</v>
      </c>
      <c r="AL84" t="str">
        <f>CONCATENATE("A(",AD84,")=")</f>
        <v>A(6.5)=</v>
      </c>
      <c r="AM84">
        <f>AI84+AK84</f>
        <v>282.37333333333333</v>
      </c>
      <c r="AO84" s="68" t="str">
        <f>AA84</f>
        <v>A(6.5)=</v>
      </c>
      <c r="AP84" s="68" t="e">
        <f>VLOOKUP(AO84,Rise_Results,2,FALSE)</f>
        <v>#N/A</v>
      </c>
      <c r="AQ84" s="76" t="e">
        <f>N84</f>
        <v>#N/A</v>
      </c>
      <c r="AR84" s="76" t="e">
        <f>IF(OR(AB84&lt;=0,AB85&lt;=0),1/0,AB84)</f>
        <v>#VALUE!</v>
      </c>
      <c r="AS84" s="76">
        <f>AM84</f>
        <v>282.37333333333333</v>
      </c>
      <c r="AT84">
        <f>IFERROR(AP84,IFERROR(AQ84,IFERROR(AR84,AS84)))</f>
        <v>282.37333333333333</v>
      </c>
      <c r="AU84" s="81"/>
    </row>
    <row r="85" spans="1:47" x14ac:dyDescent="0.25">
      <c r="A85" s="84">
        <f>A84+1</f>
        <v>12</v>
      </c>
      <c r="B85" s="84">
        <f t="shared" si="27"/>
        <v>6.5</v>
      </c>
      <c r="F85" s="82" t="e">
        <f>SUM(F82:F84)</f>
        <v>#N/A</v>
      </c>
      <c r="H85" s="82" t="e">
        <f>SUM(H82:H84)</f>
        <v>#N/A</v>
      </c>
      <c r="I85" s="84" t="str">
        <f>CONCATENATE("m'(",C84,")=")</f>
        <v>m'(6.5)=</v>
      </c>
      <c r="J85" s="84" t="e">
        <f>2*(J82*(WLS))/3*H85</f>
        <v>#N/A</v>
      </c>
      <c r="K85" s="84" t="str">
        <f>CONCATENATE("M(",C82,")=")</f>
        <v>M(#NA)=</v>
      </c>
      <c r="L85" s="84" t="e">
        <f>VLOOKUP(C82,STN_TABLE,4,FALSE)</f>
        <v>#N/A</v>
      </c>
      <c r="M85" t="str">
        <f>CONCATENATE("M(",C84,")=")</f>
        <v>M(6.5)=</v>
      </c>
      <c r="N85" t="e">
        <f>J85+L85</f>
        <v>#N/A</v>
      </c>
      <c r="O85" s="99">
        <f>O84+1</f>
        <v>14</v>
      </c>
      <c r="P85" s="99" t="str">
        <f t="shared" si="23"/>
        <v xml:space="preserve">  </v>
      </c>
      <c r="T85" s="89" t="e">
        <f>SUM(T82:T84)</f>
        <v>#VALUE!</v>
      </c>
      <c r="V85" s="82" t="e">
        <f>SUM(V82:V84)</f>
        <v>#VALUE!</v>
      </c>
      <c r="W85" s="84" t="str">
        <f>CONCATENATE("m'(",Q83,")=")</f>
        <v>m'(6.5)=</v>
      </c>
      <c r="X85" s="84" t="e">
        <f>(2*(X82^2)/24*V85)+(X84*Q82*WLS)</f>
        <v>#VALUE!</v>
      </c>
      <c r="Y85" s="84" t="e">
        <f>CONCATENATE("M(",Q82,")=")</f>
        <v>#VALUE!</v>
      </c>
      <c r="Z85" s="84" t="e">
        <f>VLOOKUP(Q82,STN_TABLE,4,FALSE)</f>
        <v>#VALUE!</v>
      </c>
      <c r="AA85" t="str">
        <f>CONCATENATE("M(",Q83,")=")</f>
        <v>M(6.5)=</v>
      </c>
      <c r="AB85" t="e">
        <f>X85+Z85</f>
        <v>#VALUE!</v>
      </c>
      <c r="AE85" s="89">
        <f>SUM(AE83:AE84)</f>
        <v>22</v>
      </c>
      <c r="AG85" s="89">
        <f>SUM(AG83:AG84)</f>
        <v>33</v>
      </c>
      <c r="AH85" s="84" t="str">
        <f>CONCATENATE("m'(",AD84,")=")</f>
        <v>m'(6.5)=</v>
      </c>
      <c r="AI85" s="84">
        <f>(2*(AI82^2)/6*AG85)+(AI84*AD83*WLS)</f>
        <v>275</v>
      </c>
      <c r="AJ85" s="84" t="str">
        <f>CONCATENATE("M(",AD83,")=")</f>
        <v>M(6)=</v>
      </c>
      <c r="AK85" s="84">
        <f>VLOOKUP(AD83,STN_TABLE,4,FALSE)</f>
        <v>1580.9533333333334</v>
      </c>
      <c r="AL85" t="str">
        <f>CONCATENATE("M(",AD84,")=")</f>
        <v>M(6.5)=</v>
      </c>
      <c r="AM85">
        <f>AI85+AK85</f>
        <v>1855.9533333333334</v>
      </c>
      <c r="AO85" s="82" t="str">
        <f>AA85</f>
        <v>M(6.5)=</v>
      </c>
      <c r="AP85" s="82" t="e">
        <f>VLOOKUP(AO85,Rise_Results,2,FALSE)</f>
        <v>#N/A</v>
      </c>
      <c r="AQ85" s="82" t="e">
        <f>N85</f>
        <v>#N/A</v>
      </c>
      <c r="AR85" s="82" t="e">
        <f>IF(OR(AB84&lt;=0,AB85&lt;=0),1/0,AB85)</f>
        <v>#VALUE!</v>
      </c>
      <c r="AS85" s="82">
        <f>AM85</f>
        <v>1855.9533333333334</v>
      </c>
      <c r="AT85">
        <f>IFERROR(AP85,IFERROR(AQ85,IFERROR(AR85,AS85)))</f>
        <v>1855.9533333333334</v>
      </c>
      <c r="AU85" s="81"/>
    </row>
    <row r="86" spans="1:47" x14ac:dyDescent="0.25">
      <c r="A86" s="101">
        <f>A81+1</f>
        <v>9</v>
      </c>
      <c r="B86" s="101">
        <f t="shared" si="27"/>
        <v>4.8499999999999996</v>
      </c>
      <c r="O86" s="101">
        <f>O81+1</f>
        <v>11</v>
      </c>
      <c r="P86" s="101">
        <f t="shared" si="23"/>
        <v>6</v>
      </c>
      <c r="AU86" s="81"/>
    </row>
    <row r="87" spans="1:47" x14ac:dyDescent="0.25">
      <c r="A87" s="84">
        <f>A86+1</f>
        <v>10</v>
      </c>
      <c r="B87" s="84">
        <f t="shared" si="27"/>
        <v>5</v>
      </c>
      <c r="C87" s="79" t="e">
        <f t="shared" ref="C87" si="35">IF(C88=B89,IF(C89-C88=C88-B88,B88,IF(C89-C88=C88-B87,B87,"#NA")),IF(C88=B88,IF(C89-C88=C88-B87,B87,IF(C89-C88=C88-B86,B86,"#NA")),"#NA"))</f>
        <v>#VALUE!</v>
      </c>
      <c r="D87" s="68" t="e">
        <f>VLOOKUP(C87,STN_TABLE,2,FALSE)</f>
        <v>#VALUE!</v>
      </c>
      <c r="E87" s="102">
        <v>1</v>
      </c>
      <c r="F87" s="68" t="e">
        <f>D87*E87</f>
        <v>#VALUE!</v>
      </c>
      <c r="G87" s="69" t="e">
        <f>C87</f>
        <v>#VALUE!</v>
      </c>
      <c r="H87" s="69" t="e">
        <f>F87*G87</f>
        <v>#VALUE!</v>
      </c>
      <c r="I87" s="6" t="s">
        <v>93</v>
      </c>
      <c r="J87" s="70" t="e">
        <f>IF(OR(D87=0,D88=0,D89=0),"#NA",IF(AND(C89-C88=C88-C87,C88&lt;&gt;C89,C87&lt;&gt;C88,C87&lt;&gt;C89,D89&lt;&gt;0,OR(D87&lt;&gt;0,D88&lt;&gt;0)),WLS*(C89-C88),"#NA"))</f>
        <v>#VALUE!</v>
      </c>
      <c r="O87" s="99">
        <f>O86+1</f>
        <v>12</v>
      </c>
      <c r="P87" s="99">
        <f t="shared" si="23"/>
        <v>6.5</v>
      </c>
      <c r="Q87" s="68" t="e">
        <f>IF(OR(P89-P88=P88-P87,P90-P88=P88-P87),P87,IF(OR(P89-P88=P88-P86,P90-P88=P88-P86),P86,"-"))</f>
        <v>#VALUE!</v>
      </c>
      <c r="R87" s="69" t="e">
        <f>VLOOKUP(Q87,STN_TABLE,2,FALSE)</f>
        <v>#VALUE!</v>
      </c>
      <c r="S87" s="69">
        <v>5</v>
      </c>
      <c r="T87" s="68" t="e">
        <f>R87*S87</f>
        <v>#VALUE!</v>
      </c>
      <c r="U87" s="79">
        <v>3</v>
      </c>
      <c r="V87" s="68" t="e">
        <f>R87*U87</f>
        <v>#VALUE!</v>
      </c>
      <c r="W87" s="6" t="s">
        <v>93</v>
      </c>
      <c r="X87" s="70" t="e">
        <f>IF(AND(Q89-Q88=Q88-Q87,NOT(AND(Q87=0,Q88=0)),NOT(AND(Q88=0,Q89=0))),WLS*(Q89-Q88),"#NA")</f>
        <v>#VALUE!</v>
      </c>
      <c r="AD87" s="93"/>
      <c r="AH87" s="6" t="s">
        <v>93</v>
      </c>
      <c r="AI87" s="70" t="e">
        <f>WLS*(AD89-AD88)</f>
        <v>#VALUE!</v>
      </c>
      <c r="AU87" s="81"/>
    </row>
    <row r="88" spans="1:47" x14ac:dyDescent="0.25">
      <c r="A88" s="84">
        <f>A87+1</f>
        <v>11</v>
      </c>
      <c r="B88" s="84">
        <f t="shared" si="27"/>
        <v>6</v>
      </c>
      <c r="C88" s="80" t="e">
        <f t="shared" ref="C88" si="36">IF(OR(B90-B89=B89-B88,B90-B89=B89-B87,B90-B89=B89-B86),B89,IF(OR(B90-B88=B88-B87,B90-B88=B88-B86),B88,IF(B90-B87=B87-B86,B87,"#NA")))</f>
        <v>#VALUE!</v>
      </c>
      <c r="D88" s="76" t="e">
        <f>VLOOKUP(C88,STN_TABLE,2,FALSE)</f>
        <v>#VALUE!</v>
      </c>
      <c r="E88" s="81">
        <v>4</v>
      </c>
      <c r="F88" s="76" t="e">
        <f>D88*E88</f>
        <v>#VALUE!</v>
      </c>
      <c r="G88" s="77" t="e">
        <f>C88</f>
        <v>#VALUE!</v>
      </c>
      <c r="H88" s="77" t="e">
        <f>F88*G88</f>
        <v>#VALUE!</v>
      </c>
      <c r="I88" s="495" t="s">
        <v>97</v>
      </c>
      <c r="J88" s="496"/>
      <c r="K88" s="78" t="s">
        <v>98</v>
      </c>
      <c r="L88" s="78"/>
      <c r="M88" s="7" t="s">
        <v>99</v>
      </c>
      <c r="N88" s="7"/>
      <c r="O88" s="99">
        <f>O87+1</f>
        <v>13</v>
      </c>
      <c r="P88" s="99" t="str">
        <f t="shared" si="23"/>
        <v xml:space="preserve">  </v>
      </c>
      <c r="Q88" s="76" t="str">
        <f>P88</f>
        <v xml:space="preserve">  </v>
      </c>
      <c r="R88" s="77" t="str">
        <f>VLOOKUP(Q88,STN_TABLE,2,FALSE)</f>
        <v xml:space="preserve">  </v>
      </c>
      <c r="S88" s="77">
        <v>8</v>
      </c>
      <c r="T88" s="76" t="e">
        <f>R88*S88</f>
        <v>#VALUE!</v>
      </c>
      <c r="U88" s="80">
        <v>10</v>
      </c>
      <c r="V88" s="76" t="e">
        <f>R88*U88</f>
        <v>#VALUE!</v>
      </c>
      <c r="W88" s="496" t="s">
        <v>97</v>
      </c>
      <c r="X88" s="496"/>
      <c r="Y88" s="496" t="s">
        <v>98</v>
      </c>
      <c r="Z88" s="496"/>
      <c r="AA88" s="494" t="s">
        <v>99</v>
      </c>
      <c r="AB88" s="494"/>
      <c r="AC88" s="99">
        <f>AC83+1</f>
        <v>12</v>
      </c>
      <c r="AD88" s="95">
        <f>VLOOKUP(AC88,STN_TABLE_2,2,FALSE)</f>
        <v>6.5</v>
      </c>
      <c r="AE88" s="68">
        <f>VLOOKUP(AD88,STN_TABLE,2,FALSE)</f>
        <v>11</v>
      </c>
      <c r="AF88" s="68">
        <v>1</v>
      </c>
      <c r="AG88" s="69">
        <f>AE88*AF88</f>
        <v>11</v>
      </c>
      <c r="AH88" s="496" t="s">
        <v>97</v>
      </c>
      <c r="AI88" s="496"/>
      <c r="AJ88" s="496" t="s">
        <v>98</v>
      </c>
      <c r="AK88" s="496"/>
      <c r="AL88" s="494" t="s">
        <v>99</v>
      </c>
      <c r="AM88" s="494"/>
      <c r="AP88" s="86" t="s">
        <v>112</v>
      </c>
      <c r="AQ88" s="89" t="s">
        <v>113</v>
      </c>
      <c r="AR88" s="89" t="s">
        <v>114</v>
      </c>
      <c r="AS88" s="89" t="s">
        <v>115</v>
      </c>
      <c r="AU88" s="81"/>
    </row>
    <row r="89" spans="1:47" x14ac:dyDescent="0.25">
      <c r="A89" s="84">
        <f>A88+1</f>
        <v>12</v>
      </c>
      <c r="B89" s="84">
        <f t="shared" si="27"/>
        <v>6.5</v>
      </c>
      <c r="C89" s="88" t="str">
        <f t="shared" ref="C89" si="37">B90</f>
        <v xml:space="preserve">  </v>
      </c>
      <c r="D89" s="82" t="str">
        <f>VLOOKUP(C89,STN_TABLE,2,FALSE)</f>
        <v xml:space="preserve">  </v>
      </c>
      <c r="E89" s="92">
        <v>1</v>
      </c>
      <c r="F89" s="82" t="e">
        <f>D89*E89</f>
        <v>#VALUE!</v>
      </c>
      <c r="G89" s="83" t="str">
        <f>C89</f>
        <v xml:space="preserve">  </v>
      </c>
      <c r="H89" s="83" t="e">
        <f>F89*G89</f>
        <v>#VALUE!</v>
      </c>
      <c r="I89" s="84" t="str">
        <f>CONCATENATE("a'(",C89,")=")</f>
        <v>a'(  )=</v>
      </c>
      <c r="J89" s="84" t="e">
        <f>2*J87/3*F90</f>
        <v>#VALUE!</v>
      </c>
      <c r="K89" s="84" t="e">
        <f>CONCATENATE("A(",C87,")=")</f>
        <v>#VALUE!</v>
      </c>
      <c r="L89" s="84" t="e">
        <f>VLOOKUP(C87,STN_TABLE,3,FALSE)</f>
        <v>#VALUE!</v>
      </c>
      <c r="M89" t="str">
        <f>CONCATENATE("A(",C89,")=")</f>
        <v>A(  )=</v>
      </c>
      <c r="N89" t="e">
        <f>J89+L89</f>
        <v>#VALUE!</v>
      </c>
      <c r="O89" s="99">
        <f>O88+1</f>
        <v>14</v>
      </c>
      <c r="P89" s="99" t="str">
        <f t="shared" si="23"/>
        <v xml:space="preserve">  </v>
      </c>
      <c r="Q89" s="82" t="e">
        <f>IF(P89-P88=P88-P87,P89,IF(P90-P88=P88-P87,P90,IF(P89-P88=P88-P86,P89,IF(P90-P88=P88-P86,P90,"-"))))</f>
        <v>#VALUE!</v>
      </c>
      <c r="R89" s="83" t="e">
        <f>VLOOKUP(Q89,STN_TABLE,2,FALSE)</f>
        <v>#VALUE!</v>
      </c>
      <c r="S89" s="83">
        <v>-1</v>
      </c>
      <c r="T89" s="82" t="e">
        <f>R89*S89</f>
        <v>#VALUE!</v>
      </c>
      <c r="U89" s="88">
        <v>-1</v>
      </c>
      <c r="V89" s="82" t="e">
        <f>R89*U89</f>
        <v>#VALUE!</v>
      </c>
      <c r="W89" s="84" t="str">
        <f>CONCATENATE("a'(",Q88,")=")</f>
        <v>a'(  )=</v>
      </c>
      <c r="X89" s="84" t="e">
        <f>2*X87/12*T90</f>
        <v>#VALUE!</v>
      </c>
      <c r="Y89" s="84" t="e">
        <f>CONCATENATE("A(",Q87,")=")</f>
        <v>#VALUE!</v>
      </c>
      <c r="Z89" s="84" t="e">
        <f>VLOOKUP(Q87,STN_TABLE,3,FALSE)</f>
        <v>#VALUE!</v>
      </c>
      <c r="AA89" t="str">
        <f>CONCATENATE("A(",Q88,")=")</f>
        <v>A(  )=</v>
      </c>
      <c r="AB89" t="e">
        <f>X89+Z89</f>
        <v>#VALUE!</v>
      </c>
      <c r="AC89" s="99">
        <f>AC88+1</f>
        <v>13</v>
      </c>
      <c r="AD89" s="100" t="str">
        <f>VLOOKUP(AC89,STN_TABLE_2,2,FALSE)</f>
        <v xml:space="preserve">  </v>
      </c>
      <c r="AE89" s="82" t="str">
        <f>VLOOKUP(AD89,STN_TABLE,2,FALSE)</f>
        <v xml:space="preserve">  </v>
      </c>
      <c r="AF89" s="82">
        <v>2</v>
      </c>
      <c r="AG89" s="83" t="e">
        <f>AE89*AF89</f>
        <v>#VALUE!</v>
      </c>
      <c r="AH89" s="84" t="str">
        <f>CONCATENATE("a'(",AD89,")=")</f>
        <v>a'(  )=</v>
      </c>
      <c r="AI89" s="84" t="e">
        <f>2*AI87/2*AE90</f>
        <v>#VALUE!</v>
      </c>
      <c r="AJ89" s="84" t="str">
        <f>CONCATENATE("A(",AD88,")=")</f>
        <v>A(6.5)=</v>
      </c>
      <c r="AK89" s="84">
        <f>VLOOKUP(AD88,STN_TABLE,3,FALSE)</f>
        <v>282.37333333333333</v>
      </c>
      <c r="AL89" t="str">
        <f>CONCATENATE("A(",AD89,")=")</f>
        <v>A(  )=</v>
      </c>
      <c r="AM89" t="e">
        <f>AI89+AK89</f>
        <v>#VALUE!</v>
      </c>
      <c r="AO89" s="68" t="str">
        <f>AA89</f>
        <v>A(  )=</v>
      </c>
      <c r="AP89" s="68" t="e">
        <f>VLOOKUP(AO89,Rise_Results,2,FALSE)</f>
        <v>#N/A</v>
      </c>
      <c r="AQ89" s="76" t="e">
        <f>N89</f>
        <v>#VALUE!</v>
      </c>
      <c r="AR89" s="76" t="e">
        <f>IF(OR(AB89&lt;=0,AB90&lt;=0),1/0,AB89)</f>
        <v>#VALUE!</v>
      </c>
      <c r="AS89" s="76" t="e">
        <f>AM89</f>
        <v>#VALUE!</v>
      </c>
      <c r="AT89" t="e">
        <f>IFERROR(AP89,IFERROR(AQ89,IFERROR(AR89,AS89)))</f>
        <v>#VALUE!</v>
      </c>
      <c r="AU89" s="81"/>
    </row>
    <row r="90" spans="1:47" x14ac:dyDescent="0.25">
      <c r="A90" s="84">
        <f>A89+1</f>
        <v>13</v>
      </c>
      <c r="B90" s="84" t="str">
        <f t="shared" si="27"/>
        <v xml:space="preserve">  </v>
      </c>
      <c r="F90" s="82" t="e">
        <f>SUM(F87:F89)</f>
        <v>#VALUE!</v>
      </c>
      <c r="H90" s="82" t="e">
        <f>SUM(H87:H89)</f>
        <v>#VALUE!</v>
      </c>
      <c r="I90" s="84" t="str">
        <f>CONCATENATE("m'(",C89,")=")</f>
        <v>m'(  )=</v>
      </c>
      <c r="J90" s="84" t="e">
        <f>2*(J87*(WLS))/3*H90</f>
        <v>#VALUE!</v>
      </c>
      <c r="K90" s="84" t="e">
        <f>CONCATENATE("M(",C87,")=")</f>
        <v>#VALUE!</v>
      </c>
      <c r="L90" s="84" t="e">
        <f>VLOOKUP(C87,STN_TABLE,4,FALSE)</f>
        <v>#VALUE!</v>
      </c>
      <c r="M90" t="str">
        <f>CONCATENATE("M(",C89,")=")</f>
        <v>M(  )=</v>
      </c>
      <c r="N90" t="e">
        <f>J90+L90</f>
        <v>#VALUE!</v>
      </c>
      <c r="O90" s="99">
        <f>O89+1</f>
        <v>15</v>
      </c>
      <c r="P90" s="99" t="str">
        <f t="shared" si="23"/>
        <v xml:space="preserve">  </v>
      </c>
      <c r="T90" s="89" t="e">
        <f>SUM(T87:T89)</f>
        <v>#VALUE!</v>
      </c>
      <c r="V90" s="82" t="e">
        <f>SUM(V87:V89)</f>
        <v>#VALUE!</v>
      </c>
      <c r="W90" s="84" t="str">
        <f>CONCATENATE("m'(",Q88,")=")</f>
        <v>m'(  )=</v>
      </c>
      <c r="X90" s="84" t="e">
        <f>(2*(X87^2)/24*V90)+(X89*Q87*WLS)</f>
        <v>#VALUE!</v>
      </c>
      <c r="Y90" s="84" t="e">
        <f>CONCATENATE("M(",Q87,")=")</f>
        <v>#VALUE!</v>
      </c>
      <c r="Z90" s="84" t="e">
        <f>VLOOKUP(Q87,STN_TABLE,4,FALSE)</f>
        <v>#VALUE!</v>
      </c>
      <c r="AA90" t="str">
        <f>CONCATENATE("M(",Q88,")=")</f>
        <v>M(  )=</v>
      </c>
      <c r="AB90" t="e">
        <f>X90+Z90</f>
        <v>#VALUE!</v>
      </c>
      <c r="AE90" s="89">
        <f>SUM(AE88:AE89)</f>
        <v>11</v>
      </c>
      <c r="AG90" s="89" t="e">
        <f>SUM(AG88:AG89)</f>
        <v>#VALUE!</v>
      </c>
      <c r="AH90" s="84" t="str">
        <f>CONCATENATE("m'(",AD89,")=")</f>
        <v>m'(  )=</v>
      </c>
      <c r="AI90" s="84" t="e">
        <f>(2*(AI87^2)/6*AG90)+(AI89*AD88*WLS)</f>
        <v>#VALUE!</v>
      </c>
      <c r="AJ90" s="84" t="str">
        <f>CONCATENATE("M(",AD88,")=")</f>
        <v>M(6.5)=</v>
      </c>
      <c r="AK90" s="84">
        <f>VLOOKUP(AD88,STN_TABLE,4,FALSE)</f>
        <v>1855.9533333333334</v>
      </c>
      <c r="AL90" t="str">
        <f>CONCATENATE("M(",AD89,")=")</f>
        <v>M(  )=</v>
      </c>
      <c r="AM90" t="e">
        <f>AI90+AK90</f>
        <v>#VALUE!</v>
      </c>
      <c r="AO90" s="82" t="str">
        <f>AA90</f>
        <v>M(  )=</v>
      </c>
      <c r="AP90" s="82" t="e">
        <f>VLOOKUP(AO90,Rise_Results,2,FALSE)</f>
        <v>#N/A</v>
      </c>
      <c r="AQ90" s="82" t="e">
        <f>N90</f>
        <v>#VALUE!</v>
      </c>
      <c r="AR90" s="82" t="e">
        <f>IF(OR(AB89&lt;=0,AB90&lt;=0),1/0,AB90)</f>
        <v>#VALUE!</v>
      </c>
      <c r="AS90" s="82" t="e">
        <f>AM90</f>
        <v>#VALUE!</v>
      </c>
      <c r="AT90" t="e">
        <f>IFERROR(AP90,IFERROR(AQ90,IFERROR(AR90,AS90)))</f>
        <v>#VALUE!</v>
      </c>
      <c r="AU90" s="81"/>
    </row>
    <row r="91" spans="1:47" x14ac:dyDescent="0.25">
      <c r="A91" s="101">
        <f>A86+1</f>
        <v>10</v>
      </c>
      <c r="B91" s="101">
        <f t="shared" si="27"/>
        <v>5</v>
      </c>
      <c r="O91" s="101">
        <f>O86+1</f>
        <v>12</v>
      </c>
      <c r="P91" s="101">
        <f t="shared" si="23"/>
        <v>6.5</v>
      </c>
      <c r="AU91" s="81"/>
    </row>
    <row r="92" spans="1:47" x14ac:dyDescent="0.25">
      <c r="A92" s="84">
        <f>A91+1</f>
        <v>11</v>
      </c>
      <c r="B92" s="84">
        <f t="shared" si="27"/>
        <v>6</v>
      </c>
      <c r="C92" s="79" t="e">
        <f t="shared" ref="C92" si="38">IF(C93=B94,IF(C94-C93=C93-B93,B93,IF(C94-C93=C93-B92,B92,"#NA")),IF(C93=B93,IF(C94-C93=C93-B92,B92,IF(C94-C93=C93-B91,B91,"#NA")),"#NA"))</f>
        <v>#VALUE!</v>
      </c>
      <c r="D92" s="68" t="e">
        <f>VLOOKUP(C92,STN_TABLE,2,FALSE)</f>
        <v>#VALUE!</v>
      </c>
      <c r="E92" s="102">
        <v>1</v>
      </c>
      <c r="F92" s="68" t="e">
        <f>D92*E92</f>
        <v>#VALUE!</v>
      </c>
      <c r="G92" s="69" t="e">
        <f>C92</f>
        <v>#VALUE!</v>
      </c>
      <c r="H92" s="69" t="e">
        <f>F92*G92</f>
        <v>#VALUE!</v>
      </c>
      <c r="I92" s="6" t="s">
        <v>93</v>
      </c>
      <c r="J92" s="70" t="e">
        <f>IF(OR(D92=0,D93=0,D94=0),"#NA",IF(AND(C94-C93=C93-C92,C93&lt;&gt;C94,C92&lt;&gt;C93,C92&lt;&gt;C94,D94&lt;&gt;0,OR(D92&lt;&gt;0,D93&lt;&gt;0)),WLS*(C94-C93),"#NA"))</f>
        <v>#VALUE!</v>
      </c>
      <c r="O92" s="99">
        <f>O91+1</f>
        <v>13</v>
      </c>
      <c r="P92" s="99" t="str">
        <f t="shared" si="23"/>
        <v xml:space="preserve">  </v>
      </c>
      <c r="Q92" s="68" t="e">
        <f>IF(OR(P94-P93=P93-P92,P95-P93=P93-P92),P92,IF(OR(P94-P93=P93-P91,P95-P93=P93-P91),P91,"-"))</f>
        <v>#VALUE!</v>
      </c>
      <c r="R92" s="69" t="e">
        <f>VLOOKUP(Q92,STN_TABLE,2,FALSE)</f>
        <v>#VALUE!</v>
      </c>
      <c r="S92" s="69">
        <v>5</v>
      </c>
      <c r="T92" s="68" t="e">
        <f>R92*S92</f>
        <v>#VALUE!</v>
      </c>
      <c r="U92" s="79">
        <v>3</v>
      </c>
      <c r="V92" s="68" t="e">
        <f>R92*U92</f>
        <v>#VALUE!</v>
      </c>
      <c r="W92" s="6" t="s">
        <v>93</v>
      </c>
      <c r="X92" s="70" t="e">
        <f>IF(AND(Q94-Q93=Q93-Q92,NOT(AND(Q92=0,Q93=0)),NOT(AND(Q93=0,Q94=0))),WLS*(Q94-Q93),"#NA")</f>
        <v>#VALUE!</v>
      </c>
      <c r="AD92" s="93"/>
      <c r="AH92" s="6" t="s">
        <v>93</v>
      </c>
      <c r="AI92" s="70" t="e">
        <f>WLS*(AD94-AD93)</f>
        <v>#VALUE!</v>
      </c>
      <c r="AU92" s="81"/>
    </row>
    <row r="93" spans="1:47" x14ac:dyDescent="0.25">
      <c r="A93" s="84">
        <f>A92+1</f>
        <v>12</v>
      </c>
      <c r="B93" s="84">
        <f t="shared" si="27"/>
        <v>6.5</v>
      </c>
      <c r="C93" s="80" t="e">
        <f t="shared" ref="C93" si="39">IF(OR(B95-B94=B94-B93,B95-B94=B94-B92,B95-B94=B94-B91),B94,IF(OR(B95-B93=B93-B92,B95-B93=B93-B91),B93,IF(B95-B92=B92-B91,B92,"#NA")))</f>
        <v>#VALUE!</v>
      </c>
      <c r="D93" s="76" t="e">
        <f>VLOOKUP(C93,STN_TABLE,2,FALSE)</f>
        <v>#VALUE!</v>
      </c>
      <c r="E93" s="81">
        <v>4</v>
      </c>
      <c r="F93" s="76" t="e">
        <f>D93*E93</f>
        <v>#VALUE!</v>
      </c>
      <c r="G93" s="77" t="e">
        <f>C93</f>
        <v>#VALUE!</v>
      </c>
      <c r="H93" s="77" t="e">
        <f>F93*G93</f>
        <v>#VALUE!</v>
      </c>
      <c r="I93" s="495" t="s">
        <v>97</v>
      </c>
      <c r="J93" s="496"/>
      <c r="K93" s="78" t="s">
        <v>98</v>
      </c>
      <c r="L93" s="78"/>
      <c r="M93" s="7" t="s">
        <v>99</v>
      </c>
      <c r="N93" s="7"/>
      <c r="O93" s="99">
        <f>O92+1</f>
        <v>14</v>
      </c>
      <c r="P93" s="99" t="str">
        <f t="shared" si="23"/>
        <v xml:space="preserve">  </v>
      </c>
      <c r="Q93" s="76" t="str">
        <f>P93</f>
        <v xml:space="preserve">  </v>
      </c>
      <c r="R93" s="77" t="str">
        <f>VLOOKUP(Q93,STN_TABLE,2,FALSE)</f>
        <v xml:space="preserve">  </v>
      </c>
      <c r="S93" s="77">
        <v>8</v>
      </c>
      <c r="T93" s="76" t="e">
        <f>R93*S93</f>
        <v>#VALUE!</v>
      </c>
      <c r="U93" s="80">
        <v>10</v>
      </c>
      <c r="V93" s="76" t="e">
        <f>R93*U93</f>
        <v>#VALUE!</v>
      </c>
      <c r="W93" s="496" t="s">
        <v>97</v>
      </c>
      <c r="X93" s="496"/>
      <c r="Y93" s="496" t="s">
        <v>98</v>
      </c>
      <c r="Z93" s="496"/>
      <c r="AA93" s="494" t="s">
        <v>99</v>
      </c>
      <c r="AB93" s="494"/>
      <c r="AC93" s="99">
        <f>AC88+1</f>
        <v>13</v>
      </c>
      <c r="AD93" s="95" t="str">
        <f>VLOOKUP(AC93,STN_TABLE_2,2,FALSE)</f>
        <v xml:space="preserve">  </v>
      </c>
      <c r="AE93" s="68" t="str">
        <f>VLOOKUP(AD93,STN_TABLE,2,FALSE)</f>
        <v xml:space="preserve">  </v>
      </c>
      <c r="AF93" s="68">
        <v>1</v>
      </c>
      <c r="AG93" s="69" t="e">
        <f>AE93*AF93</f>
        <v>#VALUE!</v>
      </c>
      <c r="AH93" s="496" t="s">
        <v>97</v>
      </c>
      <c r="AI93" s="496"/>
      <c r="AJ93" s="496" t="s">
        <v>98</v>
      </c>
      <c r="AK93" s="496"/>
      <c r="AL93" s="494" t="s">
        <v>99</v>
      </c>
      <c r="AM93" s="494"/>
      <c r="AP93" s="86" t="s">
        <v>112</v>
      </c>
      <c r="AQ93" s="89" t="s">
        <v>113</v>
      </c>
      <c r="AR93" s="89" t="s">
        <v>114</v>
      </c>
      <c r="AS93" s="89" t="s">
        <v>115</v>
      </c>
      <c r="AU93" s="81"/>
    </row>
    <row r="94" spans="1:47" x14ac:dyDescent="0.25">
      <c r="A94" s="84">
        <f>A93+1</f>
        <v>13</v>
      </c>
      <c r="B94" s="84" t="str">
        <f t="shared" si="27"/>
        <v xml:space="preserve">  </v>
      </c>
      <c r="C94" s="88" t="str">
        <f t="shared" ref="C94" si="40">B95</f>
        <v xml:space="preserve">  </v>
      </c>
      <c r="D94" s="82" t="str">
        <f>VLOOKUP(C94,STN_TABLE,2,FALSE)</f>
        <v xml:space="preserve">  </v>
      </c>
      <c r="E94" s="92">
        <v>1</v>
      </c>
      <c r="F94" s="82" t="e">
        <f>D94*E94</f>
        <v>#VALUE!</v>
      </c>
      <c r="G94" s="83" t="str">
        <f>C94</f>
        <v xml:space="preserve">  </v>
      </c>
      <c r="H94" s="83" t="e">
        <f>F94*G94</f>
        <v>#VALUE!</v>
      </c>
      <c r="I94" s="84" t="str">
        <f>CONCATENATE("a'(",C94,")=")</f>
        <v>a'(  )=</v>
      </c>
      <c r="J94" s="84" t="e">
        <f>2*J92/3*F95</f>
        <v>#VALUE!</v>
      </c>
      <c r="K94" s="84" t="e">
        <f>CONCATENATE("A(",C92,")=")</f>
        <v>#VALUE!</v>
      </c>
      <c r="L94" s="84" t="e">
        <f>VLOOKUP(C92,STN_TABLE,3,FALSE)</f>
        <v>#VALUE!</v>
      </c>
      <c r="M94" t="str">
        <f>CONCATENATE("A(",C94,")=")</f>
        <v>A(  )=</v>
      </c>
      <c r="N94" t="e">
        <f>J94+L94</f>
        <v>#VALUE!</v>
      </c>
      <c r="O94" s="99">
        <f>O93+1</f>
        <v>15</v>
      </c>
      <c r="P94" s="99" t="str">
        <f t="shared" si="23"/>
        <v xml:space="preserve">  </v>
      </c>
      <c r="Q94" s="82" t="e">
        <f>IF(P94-P93=P93-P92,P94,IF(P95-P93=P93-P92,P95,IF(P94-P93=P93-P91,P94,IF(P95-P93=P93-P91,P95,"-"))))</f>
        <v>#VALUE!</v>
      </c>
      <c r="R94" s="83" t="e">
        <f>VLOOKUP(Q94,STN_TABLE,2,FALSE)</f>
        <v>#VALUE!</v>
      </c>
      <c r="S94" s="83">
        <v>-1</v>
      </c>
      <c r="T94" s="82" t="e">
        <f>R94*S94</f>
        <v>#VALUE!</v>
      </c>
      <c r="U94" s="88">
        <v>-1</v>
      </c>
      <c r="V94" s="82" t="e">
        <f>R94*U94</f>
        <v>#VALUE!</v>
      </c>
      <c r="W94" s="84" t="str">
        <f>CONCATENATE("a'(",Q93,")=")</f>
        <v>a'(  )=</v>
      </c>
      <c r="X94" s="84" t="e">
        <f>2*X92/12*T95</f>
        <v>#VALUE!</v>
      </c>
      <c r="Y94" s="84" t="e">
        <f>CONCATENATE("A(",Q92,")=")</f>
        <v>#VALUE!</v>
      </c>
      <c r="Z94" s="84" t="e">
        <f>VLOOKUP(Q92,STN_TABLE,3,FALSE)</f>
        <v>#VALUE!</v>
      </c>
      <c r="AA94" t="str">
        <f>CONCATENATE("A(",Q93,")=")</f>
        <v>A(  )=</v>
      </c>
      <c r="AB94" t="e">
        <f>X94+Z94</f>
        <v>#VALUE!</v>
      </c>
      <c r="AC94" s="99">
        <f>AC93+1</f>
        <v>14</v>
      </c>
      <c r="AD94" s="100" t="str">
        <f>VLOOKUP(AC94,STN_TABLE_2,2,FALSE)</f>
        <v xml:space="preserve">  </v>
      </c>
      <c r="AE94" s="82" t="str">
        <f>VLOOKUP(AD94,STN_TABLE,2,FALSE)</f>
        <v xml:space="preserve">  </v>
      </c>
      <c r="AF94" s="82">
        <v>2</v>
      </c>
      <c r="AG94" s="83" t="e">
        <f>AE94*AF94</f>
        <v>#VALUE!</v>
      </c>
      <c r="AH94" s="84" t="str">
        <f>CONCATENATE("a'(",AD94,")=")</f>
        <v>a'(  )=</v>
      </c>
      <c r="AI94" s="84" t="e">
        <f>2*AI92/2*AE95</f>
        <v>#VALUE!</v>
      </c>
      <c r="AJ94" s="84" t="str">
        <f>CONCATENATE("A(",AD93,")=")</f>
        <v>A(  )=</v>
      </c>
      <c r="AK94" s="84" t="str">
        <f>VLOOKUP(AD93,STN_TABLE,3,FALSE)</f>
        <v xml:space="preserve"> </v>
      </c>
      <c r="AL94" t="str">
        <f>CONCATENATE("A(",AD94,")=")</f>
        <v>A(  )=</v>
      </c>
      <c r="AM94" t="e">
        <f>AI94+AK94</f>
        <v>#VALUE!</v>
      </c>
      <c r="AO94" s="68" t="str">
        <f>AA94</f>
        <v>A(  )=</v>
      </c>
      <c r="AP94" s="68" t="e">
        <f>VLOOKUP(AO94,Rise_Results,2,FALSE)</f>
        <v>#N/A</v>
      </c>
      <c r="AQ94" s="76" t="e">
        <f>N94</f>
        <v>#VALUE!</v>
      </c>
      <c r="AR94" s="76" t="e">
        <f>IF(OR(AB94&lt;=0,AB95&lt;=0),1/0,AB94)</f>
        <v>#VALUE!</v>
      </c>
      <c r="AS94" s="76" t="e">
        <f>AM94</f>
        <v>#VALUE!</v>
      </c>
      <c r="AT94" t="e">
        <f>IFERROR(AP94,IFERROR(AQ94,IFERROR(AR94,AS94)))</f>
        <v>#VALUE!</v>
      </c>
      <c r="AU94" s="81"/>
    </row>
    <row r="95" spans="1:47" x14ac:dyDescent="0.25">
      <c r="A95" s="84">
        <f>A94+1</f>
        <v>14</v>
      </c>
      <c r="B95" s="84" t="str">
        <f t="shared" si="27"/>
        <v xml:space="preserve">  </v>
      </c>
      <c r="F95" s="82" t="e">
        <f>SUM(F92:F94)</f>
        <v>#VALUE!</v>
      </c>
      <c r="H95" s="82" t="e">
        <f>SUM(H92:H94)</f>
        <v>#VALUE!</v>
      </c>
      <c r="I95" s="84" t="str">
        <f>CONCATENATE("m'(",C94,")=")</f>
        <v>m'(  )=</v>
      </c>
      <c r="J95" s="84" t="e">
        <f>2*(J92*(WLS))/3*H95</f>
        <v>#VALUE!</v>
      </c>
      <c r="K95" s="84" t="e">
        <f>CONCATENATE("M(",C92,")=")</f>
        <v>#VALUE!</v>
      </c>
      <c r="L95" s="84" t="e">
        <f>VLOOKUP(C92,STN_TABLE,4,FALSE)</f>
        <v>#VALUE!</v>
      </c>
      <c r="M95" t="str">
        <f>CONCATENATE("M(",C94,")=")</f>
        <v>M(  )=</v>
      </c>
      <c r="N95" t="e">
        <f>J95+L95</f>
        <v>#VALUE!</v>
      </c>
      <c r="O95" s="99">
        <f>O94+1</f>
        <v>16</v>
      </c>
      <c r="P95" s="99" t="str">
        <f t="shared" si="23"/>
        <v xml:space="preserve">  </v>
      </c>
      <c r="T95" s="89" t="e">
        <f>SUM(T92:T94)</f>
        <v>#VALUE!</v>
      </c>
      <c r="V95" s="82" t="e">
        <f>SUM(V92:V94)</f>
        <v>#VALUE!</v>
      </c>
      <c r="W95" s="84" t="str">
        <f>CONCATENATE("m'(",Q93,")=")</f>
        <v>m'(  )=</v>
      </c>
      <c r="X95" s="84" t="e">
        <f>(2*(X92^2)/24*V95)+(X94*Q92*WLS)</f>
        <v>#VALUE!</v>
      </c>
      <c r="Y95" s="84" t="e">
        <f>CONCATENATE("M(",Q92,")=")</f>
        <v>#VALUE!</v>
      </c>
      <c r="Z95" s="84" t="e">
        <f>VLOOKUP(Q92,STN_TABLE,4,FALSE)</f>
        <v>#VALUE!</v>
      </c>
      <c r="AA95" t="str">
        <f>CONCATENATE("M(",Q93,")=")</f>
        <v>M(  )=</v>
      </c>
      <c r="AB95" t="e">
        <f>X95+Z95</f>
        <v>#VALUE!</v>
      </c>
      <c r="AE95" s="89">
        <f>SUM(AE93:AE94)</f>
        <v>0</v>
      </c>
      <c r="AG95" s="89" t="e">
        <f>SUM(AG93:AG94)</f>
        <v>#VALUE!</v>
      </c>
      <c r="AH95" s="84" t="str">
        <f>CONCATENATE("m'(",AD94,")=")</f>
        <v>m'(  )=</v>
      </c>
      <c r="AI95" s="84" t="e">
        <f>(2*(AI92^2)/6*AG95)+(AI94*AD93*WLS)</f>
        <v>#VALUE!</v>
      </c>
      <c r="AJ95" s="84" t="str">
        <f>CONCATENATE("M(",AD93,")=")</f>
        <v>M(  )=</v>
      </c>
      <c r="AK95" s="84" t="str">
        <f>VLOOKUP(AD93,STN_TABLE,4,FALSE)</f>
        <v xml:space="preserve"> </v>
      </c>
      <c r="AL95" t="str">
        <f>CONCATENATE("M(",AD94,")=")</f>
        <v>M(  )=</v>
      </c>
      <c r="AM95" t="e">
        <f>AI95+AK95</f>
        <v>#VALUE!</v>
      </c>
      <c r="AO95" s="82" t="str">
        <f>AA95</f>
        <v>M(  )=</v>
      </c>
      <c r="AP95" s="82" t="e">
        <f>VLOOKUP(AO95,Rise_Results,2,FALSE)</f>
        <v>#N/A</v>
      </c>
      <c r="AQ95" s="82" t="e">
        <f>N95</f>
        <v>#VALUE!</v>
      </c>
      <c r="AR95" s="82" t="e">
        <f>IF(OR(AB94&lt;=0,AB95&lt;=0),1/0,AB95)</f>
        <v>#VALUE!</v>
      </c>
      <c r="AS95" s="82" t="e">
        <f>AM95</f>
        <v>#VALUE!</v>
      </c>
      <c r="AT95" t="e">
        <f>IFERROR(AP95,IFERROR(AQ95,IFERROR(AR95,AS95)))</f>
        <v>#VALUE!</v>
      </c>
      <c r="AU95" s="81"/>
    </row>
    <row r="96" spans="1:47" x14ac:dyDescent="0.25">
      <c r="A96" s="101">
        <f>A91+1</f>
        <v>11</v>
      </c>
      <c r="B96" s="101">
        <f t="shared" si="27"/>
        <v>6</v>
      </c>
      <c r="O96" s="101">
        <f>O91+1</f>
        <v>13</v>
      </c>
      <c r="P96" s="101" t="str">
        <f t="shared" si="23"/>
        <v xml:space="preserve">  </v>
      </c>
      <c r="AU96" s="81"/>
    </row>
    <row r="97" spans="1:47" x14ac:dyDescent="0.25">
      <c r="A97" s="84">
        <f>A96+1</f>
        <v>12</v>
      </c>
      <c r="B97" s="84">
        <f t="shared" si="27"/>
        <v>6.5</v>
      </c>
      <c r="C97" s="79" t="e">
        <f t="shared" ref="C97" si="41">IF(C98=B99,IF(C99-C98=C98-B98,B98,IF(C99-C98=C98-B97,B97,"#NA")),IF(C98=B98,IF(C99-C98=C98-B97,B97,IF(C99-C98=C98-B96,B96,"#NA")),"#NA"))</f>
        <v>#VALUE!</v>
      </c>
      <c r="D97" s="68" t="e">
        <f>VLOOKUP(C97,STN_TABLE,2,FALSE)</f>
        <v>#VALUE!</v>
      </c>
      <c r="E97" s="102">
        <v>1</v>
      </c>
      <c r="F97" s="68" t="e">
        <f>D97*E97</f>
        <v>#VALUE!</v>
      </c>
      <c r="G97" s="69" t="e">
        <f>C97</f>
        <v>#VALUE!</v>
      </c>
      <c r="H97" s="69" t="e">
        <f>F97*G97</f>
        <v>#VALUE!</v>
      </c>
      <c r="I97" s="6" t="s">
        <v>93</v>
      </c>
      <c r="J97" s="70" t="e">
        <f>IF(OR(D97=0,D98=0,D99=0),"#NA",IF(AND(C99-C98=C98-C97,C98&lt;&gt;C99,C97&lt;&gt;C98,C97&lt;&gt;C99,D99&lt;&gt;0,OR(D97&lt;&gt;0,D98&lt;&gt;0)),WLS*(C99-C98),"#NA"))</f>
        <v>#VALUE!</v>
      </c>
      <c r="O97" s="99">
        <f>O96+1</f>
        <v>14</v>
      </c>
      <c r="P97" s="99" t="str">
        <f t="shared" si="23"/>
        <v xml:space="preserve">  </v>
      </c>
      <c r="Q97" s="68" t="e">
        <f>IF(OR(P99-P98=P98-P97,P100-P98=P98-P97),P97,IF(OR(P99-P98=P98-P96,P100-P98=P98-P96),P96,"-"))</f>
        <v>#VALUE!</v>
      </c>
      <c r="R97" s="69" t="e">
        <f>VLOOKUP(Q97,STN_TABLE,2,FALSE)</f>
        <v>#VALUE!</v>
      </c>
      <c r="S97" s="69">
        <v>5</v>
      </c>
      <c r="T97" s="68" t="e">
        <f>R97*S97</f>
        <v>#VALUE!</v>
      </c>
      <c r="U97" s="79">
        <v>3</v>
      </c>
      <c r="V97" s="68" t="e">
        <f>R97*U97</f>
        <v>#VALUE!</v>
      </c>
      <c r="W97" s="6" t="s">
        <v>93</v>
      </c>
      <c r="X97" s="70" t="e">
        <f>IF(AND(Q99-Q98=Q98-Q97,NOT(AND(Q97=0,Q98=0)),NOT(AND(Q98=0,Q99=0))),WLS*(Q99-Q98),"#NA")</f>
        <v>#VALUE!</v>
      </c>
      <c r="AD97" s="93"/>
      <c r="AH97" s="6" t="s">
        <v>93</v>
      </c>
      <c r="AI97" s="70" t="e">
        <f>WLS*(AD99-AD98)</f>
        <v>#VALUE!</v>
      </c>
      <c r="AU97" s="81"/>
    </row>
    <row r="98" spans="1:47" x14ac:dyDescent="0.25">
      <c r="A98" s="84">
        <f>A97+1</f>
        <v>13</v>
      </c>
      <c r="B98" s="84" t="str">
        <f t="shared" si="27"/>
        <v xml:space="preserve">  </v>
      </c>
      <c r="C98" s="80" t="e">
        <f t="shared" ref="C98" si="42">IF(OR(B100-B99=B99-B98,B100-B99=B99-B97,B100-B99=B99-B96),B99,IF(OR(B100-B98=B98-B97,B100-B98=B98-B96),B98,IF(B100-B97=B97-B96,B97,"#NA")))</f>
        <v>#VALUE!</v>
      </c>
      <c r="D98" s="76" t="e">
        <f>VLOOKUP(C98,STN_TABLE,2,FALSE)</f>
        <v>#VALUE!</v>
      </c>
      <c r="E98" s="81">
        <v>4</v>
      </c>
      <c r="F98" s="76" t="e">
        <f>D98*E98</f>
        <v>#VALUE!</v>
      </c>
      <c r="G98" s="77" t="e">
        <f>C98</f>
        <v>#VALUE!</v>
      </c>
      <c r="H98" s="77" t="e">
        <f>F98*G98</f>
        <v>#VALUE!</v>
      </c>
      <c r="I98" s="495" t="s">
        <v>97</v>
      </c>
      <c r="J98" s="496"/>
      <c r="K98" s="78" t="s">
        <v>98</v>
      </c>
      <c r="L98" s="78"/>
      <c r="M98" s="7" t="s">
        <v>99</v>
      </c>
      <c r="N98" s="7"/>
      <c r="O98" s="99">
        <f>O97+1</f>
        <v>15</v>
      </c>
      <c r="P98" s="99" t="str">
        <f t="shared" si="23"/>
        <v xml:space="preserve">  </v>
      </c>
      <c r="Q98" s="76" t="str">
        <f>P98</f>
        <v xml:space="preserve">  </v>
      </c>
      <c r="R98" s="77" t="str">
        <f>VLOOKUP(Q98,STN_TABLE,2,FALSE)</f>
        <v xml:space="preserve">  </v>
      </c>
      <c r="S98" s="77">
        <v>8</v>
      </c>
      <c r="T98" s="76" t="e">
        <f>R98*S98</f>
        <v>#VALUE!</v>
      </c>
      <c r="U98" s="80">
        <v>10</v>
      </c>
      <c r="V98" s="76" t="e">
        <f>R98*U98</f>
        <v>#VALUE!</v>
      </c>
      <c r="W98" s="496" t="s">
        <v>97</v>
      </c>
      <c r="X98" s="496"/>
      <c r="Y98" s="496" t="s">
        <v>98</v>
      </c>
      <c r="Z98" s="496"/>
      <c r="AA98" s="494" t="s">
        <v>99</v>
      </c>
      <c r="AB98" s="494"/>
      <c r="AC98" s="99">
        <f>AC93+1</f>
        <v>14</v>
      </c>
      <c r="AD98" s="95" t="str">
        <f>VLOOKUP(AC98,STN_TABLE_2,2,FALSE)</f>
        <v xml:space="preserve">  </v>
      </c>
      <c r="AE98" s="68" t="str">
        <f>VLOOKUP(AD98,STN_TABLE,2,FALSE)</f>
        <v xml:space="preserve">  </v>
      </c>
      <c r="AF98" s="68">
        <v>1</v>
      </c>
      <c r="AG98" s="69" t="e">
        <f>AE98*AF98</f>
        <v>#VALUE!</v>
      </c>
      <c r="AH98" s="496" t="s">
        <v>97</v>
      </c>
      <c r="AI98" s="496"/>
      <c r="AJ98" s="496" t="s">
        <v>98</v>
      </c>
      <c r="AK98" s="496"/>
      <c r="AL98" s="494" t="s">
        <v>99</v>
      </c>
      <c r="AM98" s="494"/>
      <c r="AP98" s="86" t="s">
        <v>112</v>
      </c>
      <c r="AQ98" s="89" t="s">
        <v>113</v>
      </c>
      <c r="AR98" s="89" t="s">
        <v>114</v>
      </c>
      <c r="AS98" s="89" t="s">
        <v>115</v>
      </c>
      <c r="AU98" s="81"/>
    </row>
    <row r="99" spans="1:47" x14ac:dyDescent="0.25">
      <c r="A99" s="84">
        <f>A98+1</f>
        <v>14</v>
      </c>
      <c r="B99" s="84" t="str">
        <f t="shared" si="27"/>
        <v xml:space="preserve">  </v>
      </c>
      <c r="C99" s="88" t="str">
        <f t="shared" ref="C99" si="43">B100</f>
        <v xml:space="preserve">  </v>
      </c>
      <c r="D99" s="82" t="str">
        <f>VLOOKUP(C99,STN_TABLE,2,FALSE)</f>
        <v xml:space="preserve">  </v>
      </c>
      <c r="E99" s="92">
        <v>1</v>
      </c>
      <c r="F99" s="82" t="e">
        <f>D99*E99</f>
        <v>#VALUE!</v>
      </c>
      <c r="G99" s="83" t="str">
        <f>C99</f>
        <v xml:space="preserve">  </v>
      </c>
      <c r="H99" s="83" t="e">
        <f>F99*G99</f>
        <v>#VALUE!</v>
      </c>
      <c r="I99" s="84" t="str">
        <f>CONCATENATE("a'(",C99,")=")</f>
        <v>a'(  )=</v>
      </c>
      <c r="J99" s="84" t="e">
        <f>2*J97/3*F100</f>
        <v>#VALUE!</v>
      </c>
      <c r="K99" s="84" t="e">
        <f>CONCATENATE("A(",C97,")=")</f>
        <v>#VALUE!</v>
      </c>
      <c r="L99" s="84" t="e">
        <f>VLOOKUP(C97,STN_TABLE,3,FALSE)</f>
        <v>#VALUE!</v>
      </c>
      <c r="M99" t="str">
        <f>CONCATENATE("A(",C99,")=")</f>
        <v>A(  )=</v>
      </c>
      <c r="N99" t="e">
        <f>J99+L99</f>
        <v>#VALUE!</v>
      </c>
      <c r="O99" s="99">
        <f>O98+1</f>
        <v>16</v>
      </c>
      <c r="P99" s="99" t="str">
        <f t="shared" si="23"/>
        <v xml:space="preserve">  </v>
      </c>
      <c r="Q99" s="82" t="e">
        <f>IF(P99-P98=P98-P97,P99,IF(P100-P98=P98-P97,P100,IF(P99-P98=P98-P96,P99,IF(P100-P98=P98-P96,P100,"-"))))</f>
        <v>#VALUE!</v>
      </c>
      <c r="R99" s="83" t="e">
        <f>VLOOKUP(Q99,STN_TABLE,2,FALSE)</f>
        <v>#VALUE!</v>
      </c>
      <c r="S99" s="83">
        <v>-1</v>
      </c>
      <c r="T99" s="82" t="e">
        <f>R99*S99</f>
        <v>#VALUE!</v>
      </c>
      <c r="U99" s="88">
        <v>-1</v>
      </c>
      <c r="V99" s="82" t="e">
        <f>R99*U99</f>
        <v>#VALUE!</v>
      </c>
      <c r="W99" s="84" t="str">
        <f>CONCATENATE("a'(",Q98,")=")</f>
        <v>a'(  )=</v>
      </c>
      <c r="X99" s="84" t="e">
        <f>2*X97/12*T100</f>
        <v>#VALUE!</v>
      </c>
      <c r="Y99" s="84" t="e">
        <f>CONCATENATE("A(",Q97,")=")</f>
        <v>#VALUE!</v>
      </c>
      <c r="Z99" s="84" t="e">
        <f>VLOOKUP(Q97,STN_TABLE,3,FALSE)</f>
        <v>#VALUE!</v>
      </c>
      <c r="AA99" t="str">
        <f>CONCATENATE("A(",Q98,")=")</f>
        <v>A(  )=</v>
      </c>
      <c r="AB99" t="e">
        <f>X99+Z99</f>
        <v>#VALUE!</v>
      </c>
      <c r="AC99" s="99">
        <f>AC98+1</f>
        <v>15</v>
      </c>
      <c r="AD99" s="100" t="str">
        <f>VLOOKUP(AC99,STN_TABLE_2,2,FALSE)</f>
        <v xml:space="preserve">  </v>
      </c>
      <c r="AE99" s="82" t="str">
        <f>VLOOKUP(AD99,STN_TABLE,2,FALSE)</f>
        <v xml:space="preserve">  </v>
      </c>
      <c r="AF99" s="82">
        <v>2</v>
      </c>
      <c r="AG99" s="83" t="e">
        <f>AE99*AF99</f>
        <v>#VALUE!</v>
      </c>
      <c r="AH99" s="84" t="str">
        <f>CONCATENATE("a'(",AD99,")=")</f>
        <v>a'(  )=</v>
      </c>
      <c r="AI99" s="84" t="e">
        <f>2*AI97/2*AE100</f>
        <v>#VALUE!</v>
      </c>
      <c r="AJ99" s="84" t="str">
        <f>CONCATENATE("A(",AD98,")=")</f>
        <v>A(  )=</v>
      </c>
      <c r="AK99" s="84" t="str">
        <f>VLOOKUP(AD98,STN_TABLE,3,FALSE)</f>
        <v xml:space="preserve"> </v>
      </c>
      <c r="AL99" t="str">
        <f>CONCATENATE("A(",AD99,")=")</f>
        <v>A(  )=</v>
      </c>
      <c r="AM99" t="e">
        <f>AI99+AK99</f>
        <v>#VALUE!</v>
      </c>
      <c r="AO99" s="68" t="str">
        <f>AA99</f>
        <v>A(  )=</v>
      </c>
      <c r="AP99" s="68" t="e">
        <f>VLOOKUP(AO99,Rise_Results,2,FALSE)</f>
        <v>#N/A</v>
      </c>
      <c r="AQ99" s="76" t="e">
        <f>N99</f>
        <v>#VALUE!</v>
      </c>
      <c r="AR99" s="76" t="e">
        <f>IF(OR(AB99&lt;=0,AB100&lt;=0),1/0,AB99)</f>
        <v>#VALUE!</v>
      </c>
      <c r="AS99" s="76" t="e">
        <f>AM99</f>
        <v>#VALUE!</v>
      </c>
      <c r="AT99" t="e">
        <f>IFERROR(AP99,IFERROR(AQ99,IFERROR(AR99,AS99)))</f>
        <v>#VALUE!</v>
      </c>
      <c r="AU99" s="81"/>
    </row>
    <row r="100" spans="1:47" x14ac:dyDescent="0.25">
      <c r="A100" s="84">
        <f>A99+1</f>
        <v>15</v>
      </c>
      <c r="B100" s="84" t="str">
        <f t="shared" si="27"/>
        <v xml:space="preserve">  </v>
      </c>
      <c r="F100" s="82" t="e">
        <f>SUM(F97:F99)</f>
        <v>#VALUE!</v>
      </c>
      <c r="H100" s="82" t="e">
        <f>SUM(H97:H99)</f>
        <v>#VALUE!</v>
      </c>
      <c r="I100" s="84" t="str">
        <f>CONCATENATE("m'(",C99,")=")</f>
        <v>m'(  )=</v>
      </c>
      <c r="J100" s="84" t="e">
        <f>2*(J97*(WLS))/3*H100</f>
        <v>#VALUE!</v>
      </c>
      <c r="K100" s="84" t="e">
        <f>CONCATENATE("M(",C97,")=")</f>
        <v>#VALUE!</v>
      </c>
      <c r="L100" s="84" t="e">
        <f>VLOOKUP(C97,STN_TABLE,4,FALSE)</f>
        <v>#VALUE!</v>
      </c>
      <c r="M100" t="str">
        <f>CONCATENATE("M(",C99,")=")</f>
        <v>M(  )=</v>
      </c>
      <c r="N100" t="e">
        <f>J100+L100</f>
        <v>#VALUE!</v>
      </c>
      <c r="O100" s="99">
        <f>O99+1</f>
        <v>17</v>
      </c>
      <c r="P100" s="99" t="str">
        <f t="shared" ref="P100:P131" si="44">VLOOKUP(O100,STN_TABLE_2,2,FALSE)</f>
        <v xml:space="preserve">  </v>
      </c>
      <c r="T100" s="89" t="e">
        <f>SUM(T97:T99)</f>
        <v>#VALUE!</v>
      </c>
      <c r="V100" s="82" t="e">
        <f>SUM(V97:V99)</f>
        <v>#VALUE!</v>
      </c>
      <c r="W100" s="84" t="str">
        <f>CONCATENATE("m'(",Q98,")=")</f>
        <v>m'(  )=</v>
      </c>
      <c r="X100" s="84" t="e">
        <f>(2*(X97^2)/24*V100)+(X99*Q97*WLS)</f>
        <v>#VALUE!</v>
      </c>
      <c r="Y100" s="84" t="e">
        <f>CONCATENATE("M(",Q97,")=")</f>
        <v>#VALUE!</v>
      </c>
      <c r="Z100" s="84" t="e">
        <f>VLOOKUP(Q97,STN_TABLE,4,FALSE)</f>
        <v>#VALUE!</v>
      </c>
      <c r="AA100" t="str">
        <f>CONCATENATE("M(",Q98,")=")</f>
        <v>M(  )=</v>
      </c>
      <c r="AB100" t="e">
        <f>X100+Z100</f>
        <v>#VALUE!</v>
      </c>
      <c r="AE100" s="89">
        <f>SUM(AE98:AE99)</f>
        <v>0</v>
      </c>
      <c r="AG100" s="89" t="e">
        <f>SUM(AG98:AG99)</f>
        <v>#VALUE!</v>
      </c>
      <c r="AH100" s="84" t="str">
        <f>CONCATENATE("m'(",AD99,")=")</f>
        <v>m'(  )=</v>
      </c>
      <c r="AI100" s="84" t="e">
        <f>(2*(AI97^2)/6*AG100)+(AI99*AD98*WLS)</f>
        <v>#VALUE!</v>
      </c>
      <c r="AJ100" s="84" t="str">
        <f>CONCATENATE("M(",AD98,")=")</f>
        <v>M(  )=</v>
      </c>
      <c r="AK100" s="84" t="str">
        <f>VLOOKUP(AD98,STN_TABLE,4,FALSE)</f>
        <v xml:space="preserve"> </v>
      </c>
      <c r="AL100" t="str">
        <f>CONCATENATE("M(",AD99,")=")</f>
        <v>M(  )=</v>
      </c>
      <c r="AM100" t="e">
        <f>AI100+AK100</f>
        <v>#VALUE!</v>
      </c>
      <c r="AO100" s="82" t="str">
        <f>AA100</f>
        <v>M(  )=</v>
      </c>
      <c r="AP100" s="82" t="e">
        <f>VLOOKUP(AO100,Rise_Results,2,FALSE)</f>
        <v>#N/A</v>
      </c>
      <c r="AQ100" s="82" t="e">
        <f>N100</f>
        <v>#VALUE!</v>
      </c>
      <c r="AR100" s="82" t="e">
        <f>IF(OR(AB99&lt;=0,AB100&lt;=0),1/0,AB100)</f>
        <v>#VALUE!</v>
      </c>
      <c r="AS100" s="82" t="e">
        <f>AM100</f>
        <v>#VALUE!</v>
      </c>
      <c r="AT100" t="e">
        <f>IFERROR(AP100,IFERROR(AQ100,IFERROR(AR100,AS100)))</f>
        <v>#VALUE!</v>
      </c>
      <c r="AU100" s="81"/>
    </row>
    <row r="101" spans="1:47" x14ac:dyDescent="0.25">
      <c r="A101" s="101">
        <f>A96+1</f>
        <v>12</v>
      </c>
      <c r="B101" s="101">
        <f t="shared" si="27"/>
        <v>6.5</v>
      </c>
      <c r="O101" s="101">
        <f>O96+1</f>
        <v>14</v>
      </c>
      <c r="P101" s="101" t="str">
        <f t="shared" si="44"/>
        <v xml:space="preserve">  </v>
      </c>
      <c r="AU101" s="81"/>
    </row>
    <row r="102" spans="1:47" x14ac:dyDescent="0.25">
      <c r="A102" s="84">
        <f>A101+1</f>
        <v>13</v>
      </c>
      <c r="B102" s="84" t="str">
        <f t="shared" si="27"/>
        <v xml:space="preserve">  </v>
      </c>
      <c r="C102" s="79" t="e">
        <f t="shared" ref="C102" si="45">IF(C103=B104,IF(C104-C103=C103-B103,B103,IF(C104-C103=C103-B102,B102,"#NA")),IF(C103=B103,IF(C104-C103=C103-B102,B102,IF(C104-C103=C103-B101,B101,"#NA")),"#NA"))</f>
        <v>#VALUE!</v>
      </c>
      <c r="D102" s="68" t="e">
        <f>VLOOKUP(C102,STN_TABLE,2,FALSE)</f>
        <v>#VALUE!</v>
      </c>
      <c r="E102" s="102">
        <v>1</v>
      </c>
      <c r="F102" s="68" t="e">
        <f>D102*E102</f>
        <v>#VALUE!</v>
      </c>
      <c r="G102" s="69" t="e">
        <f>C102</f>
        <v>#VALUE!</v>
      </c>
      <c r="H102" s="69" t="e">
        <f>F102*G102</f>
        <v>#VALUE!</v>
      </c>
      <c r="I102" s="6" t="s">
        <v>93</v>
      </c>
      <c r="J102" s="70" t="e">
        <f>IF(OR(D102=0,D103=0,D104=0),"#NA",IF(AND(C104-C103=C103-C102,C103&lt;&gt;C104,C102&lt;&gt;C103,C102&lt;&gt;C104,D104&lt;&gt;0,OR(D102&lt;&gt;0,D103&lt;&gt;0)),WLS*(C104-C103),"#NA"))</f>
        <v>#VALUE!</v>
      </c>
      <c r="O102" s="99">
        <f>O101+1</f>
        <v>15</v>
      </c>
      <c r="P102" s="99" t="str">
        <f t="shared" si="44"/>
        <v xml:space="preserve">  </v>
      </c>
      <c r="Q102" s="68" t="e">
        <f>IF(OR(P104-P103=P103-P102,P105-P103=P103-P102),P102,IF(OR(P104-P103=P103-P101,P105-P103=P103-P101),P101,"-"))</f>
        <v>#VALUE!</v>
      </c>
      <c r="R102" s="69" t="e">
        <f>VLOOKUP(Q102,STN_TABLE,2,FALSE)</f>
        <v>#VALUE!</v>
      </c>
      <c r="S102" s="69">
        <v>5</v>
      </c>
      <c r="T102" s="68" t="e">
        <f>R102*S102</f>
        <v>#VALUE!</v>
      </c>
      <c r="U102" s="79">
        <v>3</v>
      </c>
      <c r="V102" s="68" t="e">
        <f>R102*U102</f>
        <v>#VALUE!</v>
      </c>
      <c r="W102" s="6" t="s">
        <v>93</v>
      </c>
      <c r="X102" s="70" t="e">
        <f>IF(AND(Q104-Q103=Q103-Q102,NOT(AND(Q102=0,Q103=0)),NOT(AND(Q103=0,Q104=0))),WLS*(Q104-Q103),"#NA")</f>
        <v>#VALUE!</v>
      </c>
      <c r="AD102" s="93"/>
      <c r="AH102" s="6" t="s">
        <v>93</v>
      </c>
      <c r="AI102" s="70" t="e">
        <f>WLS*(AD104-AD103)</f>
        <v>#VALUE!</v>
      </c>
      <c r="AU102" s="81"/>
    </row>
    <row r="103" spans="1:47" x14ac:dyDescent="0.25">
      <c r="A103" s="84">
        <f>A102+1</f>
        <v>14</v>
      </c>
      <c r="B103" s="84" t="str">
        <f t="shared" si="27"/>
        <v xml:space="preserve">  </v>
      </c>
      <c r="C103" s="80" t="e">
        <f t="shared" ref="C103" si="46">IF(OR(B105-B104=B104-B103,B105-B104=B104-B102,B105-B104=B104-B101),B104,IF(OR(B105-B103=B103-B102,B105-B103=B103-B101),B103,IF(B105-B102=B102-B101,B102,"#NA")))</f>
        <v>#VALUE!</v>
      </c>
      <c r="D103" s="76" t="e">
        <f>VLOOKUP(C103,STN_TABLE,2,FALSE)</f>
        <v>#VALUE!</v>
      </c>
      <c r="E103" s="81">
        <v>4</v>
      </c>
      <c r="F103" s="76" t="e">
        <f>D103*E103</f>
        <v>#VALUE!</v>
      </c>
      <c r="G103" s="77" t="e">
        <f>C103</f>
        <v>#VALUE!</v>
      </c>
      <c r="H103" s="77" t="e">
        <f>F103*G103</f>
        <v>#VALUE!</v>
      </c>
      <c r="I103" s="495" t="s">
        <v>97</v>
      </c>
      <c r="J103" s="496"/>
      <c r="K103" s="78" t="s">
        <v>98</v>
      </c>
      <c r="L103" s="78"/>
      <c r="M103" s="7" t="s">
        <v>99</v>
      </c>
      <c r="N103" s="7"/>
      <c r="O103" s="99">
        <f>O102+1</f>
        <v>16</v>
      </c>
      <c r="P103" s="99" t="str">
        <f t="shared" si="44"/>
        <v xml:space="preserve">  </v>
      </c>
      <c r="Q103" s="76" t="str">
        <f>P103</f>
        <v xml:space="preserve">  </v>
      </c>
      <c r="R103" s="77" t="str">
        <f>VLOOKUP(Q103,STN_TABLE,2,FALSE)</f>
        <v xml:space="preserve">  </v>
      </c>
      <c r="S103" s="77">
        <v>8</v>
      </c>
      <c r="T103" s="76" t="e">
        <f>R103*S103</f>
        <v>#VALUE!</v>
      </c>
      <c r="U103" s="80">
        <v>10</v>
      </c>
      <c r="V103" s="76" t="e">
        <f>R103*U103</f>
        <v>#VALUE!</v>
      </c>
      <c r="W103" s="496" t="s">
        <v>97</v>
      </c>
      <c r="X103" s="496"/>
      <c r="Y103" s="496" t="s">
        <v>98</v>
      </c>
      <c r="Z103" s="496"/>
      <c r="AA103" s="494" t="s">
        <v>99</v>
      </c>
      <c r="AB103" s="494"/>
      <c r="AC103" s="99">
        <f>AC98+1</f>
        <v>15</v>
      </c>
      <c r="AD103" s="95" t="str">
        <f>VLOOKUP(AC103,STN_TABLE_2,2,FALSE)</f>
        <v xml:space="preserve">  </v>
      </c>
      <c r="AE103" s="68" t="str">
        <f>VLOOKUP(AD103,STN_TABLE,2,FALSE)</f>
        <v xml:space="preserve">  </v>
      </c>
      <c r="AF103" s="68">
        <v>1</v>
      </c>
      <c r="AG103" s="69" t="e">
        <f>AE103*AF103</f>
        <v>#VALUE!</v>
      </c>
      <c r="AH103" s="496" t="s">
        <v>97</v>
      </c>
      <c r="AI103" s="496"/>
      <c r="AJ103" s="496" t="s">
        <v>98</v>
      </c>
      <c r="AK103" s="496"/>
      <c r="AL103" s="494" t="s">
        <v>99</v>
      </c>
      <c r="AM103" s="494"/>
      <c r="AP103" s="86" t="s">
        <v>112</v>
      </c>
      <c r="AQ103" s="89" t="s">
        <v>113</v>
      </c>
      <c r="AR103" s="89" t="s">
        <v>114</v>
      </c>
      <c r="AS103" s="89" t="s">
        <v>115</v>
      </c>
      <c r="AU103" s="81"/>
    </row>
    <row r="104" spans="1:47" x14ac:dyDescent="0.25">
      <c r="A104" s="84">
        <f>A103+1</f>
        <v>15</v>
      </c>
      <c r="B104" s="84" t="str">
        <f t="shared" si="27"/>
        <v xml:space="preserve">  </v>
      </c>
      <c r="C104" s="88" t="str">
        <f t="shared" ref="C104" si="47">B105</f>
        <v xml:space="preserve">  </v>
      </c>
      <c r="D104" s="82" t="str">
        <f>VLOOKUP(C104,STN_TABLE,2,FALSE)</f>
        <v xml:space="preserve">  </v>
      </c>
      <c r="E104" s="92">
        <v>1</v>
      </c>
      <c r="F104" s="82" t="e">
        <f>D104*E104</f>
        <v>#VALUE!</v>
      </c>
      <c r="G104" s="83" t="str">
        <f>C104</f>
        <v xml:space="preserve">  </v>
      </c>
      <c r="H104" s="83" t="e">
        <f>F104*G104</f>
        <v>#VALUE!</v>
      </c>
      <c r="I104" s="84" t="str">
        <f>CONCATENATE("a'(",C104,")=")</f>
        <v>a'(  )=</v>
      </c>
      <c r="J104" s="84" t="e">
        <f>2*J102/3*F105</f>
        <v>#VALUE!</v>
      </c>
      <c r="K104" s="84" t="e">
        <f>CONCATENATE("A(",C102,")=")</f>
        <v>#VALUE!</v>
      </c>
      <c r="L104" s="84" t="e">
        <f>VLOOKUP(C102,STN_TABLE,3,FALSE)</f>
        <v>#VALUE!</v>
      </c>
      <c r="M104" t="str">
        <f>CONCATENATE("A(",C104,")=")</f>
        <v>A(  )=</v>
      </c>
      <c r="N104" t="e">
        <f>J104+L104</f>
        <v>#VALUE!</v>
      </c>
      <c r="O104" s="99">
        <f>O103+1</f>
        <v>17</v>
      </c>
      <c r="P104" s="99" t="str">
        <f t="shared" si="44"/>
        <v xml:space="preserve">  </v>
      </c>
      <c r="Q104" s="82" t="e">
        <f>IF(P104-P103=P103-P102,P104,IF(P105-P103=P103-P102,P105,IF(P104-P103=P103-P101,P104,IF(P105-P103=P103-P101,P105,"-"))))</f>
        <v>#VALUE!</v>
      </c>
      <c r="R104" s="83" t="e">
        <f>VLOOKUP(Q104,STN_TABLE,2,FALSE)</f>
        <v>#VALUE!</v>
      </c>
      <c r="S104" s="83">
        <v>-1</v>
      </c>
      <c r="T104" s="82" t="e">
        <f>R104*S104</f>
        <v>#VALUE!</v>
      </c>
      <c r="U104" s="88">
        <v>-1</v>
      </c>
      <c r="V104" s="82" t="e">
        <f>R104*U104</f>
        <v>#VALUE!</v>
      </c>
      <c r="W104" s="84" t="str">
        <f>CONCATENATE("a'(",Q103,")=")</f>
        <v>a'(  )=</v>
      </c>
      <c r="X104" s="84" t="e">
        <f>2*X102/12*T105</f>
        <v>#VALUE!</v>
      </c>
      <c r="Y104" s="84" t="e">
        <f>CONCATENATE("A(",Q102,")=")</f>
        <v>#VALUE!</v>
      </c>
      <c r="Z104" s="84" t="e">
        <f>VLOOKUP(Q102,STN_TABLE,3,FALSE)</f>
        <v>#VALUE!</v>
      </c>
      <c r="AA104" t="str">
        <f>CONCATENATE("A(",Q103,")=")</f>
        <v>A(  )=</v>
      </c>
      <c r="AB104" t="e">
        <f>X104+Z104</f>
        <v>#VALUE!</v>
      </c>
      <c r="AC104" s="99">
        <f>AC103+1</f>
        <v>16</v>
      </c>
      <c r="AD104" s="100" t="str">
        <f>VLOOKUP(AC104,STN_TABLE_2,2,FALSE)</f>
        <v xml:space="preserve">  </v>
      </c>
      <c r="AE104" s="82" t="str">
        <f>VLOOKUP(AD104,STN_TABLE,2,FALSE)</f>
        <v xml:space="preserve">  </v>
      </c>
      <c r="AF104" s="82">
        <v>2</v>
      </c>
      <c r="AG104" s="83" t="e">
        <f>AE104*AF104</f>
        <v>#VALUE!</v>
      </c>
      <c r="AH104" s="84" t="str">
        <f>CONCATENATE("a'(",AD104,")=")</f>
        <v>a'(  )=</v>
      </c>
      <c r="AI104" s="84" t="e">
        <f>2*AI102/2*AE105</f>
        <v>#VALUE!</v>
      </c>
      <c r="AJ104" s="84" t="str">
        <f>CONCATENATE("A(",AD103,")=")</f>
        <v>A(  )=</v>
      </c>
      <c r="AK104" s="84" t="str">
        <f>VLOOKUP(AD103,STN_TABLE,3,FALSE)</f>
        <v xml:space="preserve"> </v>
      </c>
      <c r="AL104" t="str">
        <f>CONCATENATE("A(",AD104,")=")</f>
        <v>A(  )=</v>
      </c>
      <c r="AM104" t="e">
        <f>AI104+AK104</f>
        <v>#VALUE!</v>
      </c>
      <c r="AO104" s="68" t="str">
        <f>AA104</f>
        <v>A(  )=</v>
      </c>
      <c r="AP104" s="68" t="e">
        <f>VLOOKUP(AO104,Rise_Results,2,FALSE)</f>
        <v>#N/A</v>
      </c>
      <c r="AQ104" s="76" t="e">
        <f>N104</f>
        <v>#VALUE!</v>
      </c>
      <c r="AR104" s="76" t="e">
        <f>IF(OR(AB104&lt;=0,AB105&lt;=0),1/0,AB104)</f>
        <v>#VALUE!</v>
      </c>
      <c r="AS104" s="76" t="e">
        <f>AM104</f>
        <v>#VALUE!</v>
      </c>
      <c r="AT104" t="e">
        <f>IFERROR(AP104,IFERROR(AQ104,IFERROR(AR104,AS104)))</f>
        <v>#VALUE!</v>
      </c>
      <c r="AU104" s="81"/>
    </row>
    <row r="105" spans="1:47" x14ac:dyDescent="0.25">
      <c r="A105" s="84">
        <f>A104+1</f>
        <v>16</v>
      </c>
      <c r="B105" s="84" t="str">
        <f t="shared" si="27"/>
        <v xml:space="preserve">  </v>
      </c>
      <c r="F105" s="82" t="e">
        <f>SUM(F102:F104)</f>
        <v>#VALUE!</v>
      </c>
      <c r="H105" s="82" t="e">
        <f>SUM(H102:H104)</f>
        <v>#VALUE!</v>
      </c>
      <c r="I105" s="84" t="str">
        <f>CONCATENATE("m'(",C104,")=")</f>
        <v>m'(  )=</v>
      </c>
      <c r="J105" s="84" t="e">
        <f>2*(J102*(WLS))/3*H105</f>
        <v>#VALUE!</v>
      </c>
      <c r="K105" s="84" t="e">
        <f>CONCATENATE("M(",C102,")=")</f>
        <v>#VALUE!</v>
      </c>
      <c r="L105" s="84" t="e">
        <f>VLOOKUP(C102,STN_TABLE,4,FALSE)</f>
        <v>#VALUE!</v>
      </c>
      <c r="M105" t="str">
        <f>CONCATENATE("M(",C104,")=")</f>
        <v>M(  )=</v>
      </c>
      <c r="N105" t="e">
        <f>J105+L105</f>
        <v>#VALUE!</v>
      </c>
      <c r="O105" s="99">
        <f>O104+1</f>
        <v>18</v>
      </c>
      <c r="P105" s="99" t="str">
        <f t="shared" si="44"/>
        <v xml:space="preserve">  </v>
      </c>
      <c r="T105" s="89" t="e">
        <f>SUM(T102:T104)</f>
        <v>#VALUE!</v>
      </c>
      <c r="V105" s="82" t="e">
        <f>SUM(V102:V104)</f>
        <v>#VALUE!</v>
      </c>
      <c r="W105" s="84" t="str">
        <f>CONCATENATE("m'(",Q103,")=")</f>
        <v>m'(  )=</v>
      </c>
      <c r="X105" s="84" t="e">
        <f>(2*(X102^2)/24*V105)+(X104*Q102*WLS)</f>
        <v>#VALUE!</v>
      </c>
      <c r="Y105" s="84" t="e">
        <f>CONCATENATE("M(",Q102,")=")</f>
        <v>#VALUE!</v>
      </c>
      <c r="Z105" s="84" t="e">
        <f>VLOOKUP(Q102,STN_TABLE,4,FALSE)</f>
        <v>#VALUE!</v>
      </c>
      <c r="AA105" t="str">
        <f>CONCATENATE("M(",Q103,")=")</f>
        <v>M(  )=</v>
      </c>
      <c r="AB105" t="e">
        <f>X105+Z105</f>
        <v>#VALUE!</v>
      </c>
      <c r="AE105" s="89">
        <f>SUM(AE103:AE104)</f>
        <v>0</v>
      </c>
      <c r="AG105" s="89" t="e">
        <f>SUM(AG103:AG104)</f>
        <v>#VALUE!</v>
      </c>
      <c r="AH105" s="84" t="str">
        <f>CONCATENATE("m'(",AD104,")=")</f>
        <v>m'(  )=</v>
      </c>
      <c r="AI105" s="84" t="e">
        <f>(2*(AI102^2)/6*AG105)+(AI104*AD103*WLS)</f>
        <v>#VALUE!</v>
      </c>
      <c r="AJ105" s="84" t="str">
        <f>CONCATENATE("M(",AD103,")=")</f>
        <v>M(  )=</v>
      </c>
      <c r="AK105" s="84" t="str">
        <f>VLOOKUP(AD103,STN_TABLE,4,FALSE)</f>
        <v xml:space="preserve"> </v>
      </c>
      <c r="AL105" t="str">
        <f>CONCATENATE("M(",AD104,")=")</f>
        <v>M(  )=</v>
      </c>
      <c r="AM105" t="e">
        <f>AI105+AK105</f>
        <v>#VALUE!</v>
      </c>
      <c r="AO105" s="82" t="str">
        <f>AA105</f>
        <v>M(  )=</v>
      </c>
      <c r="AP105" s="82" t="e">
        <f>VLOOKUP(AO105,Rise_Results,2,FALSE)</f>
        <v>#N/A</v>
      </c>
      <c r="AQ105" s="82" t="e">
        <f>N105</f>
        <v>#VALUE!</v>
      </c>
      <c r="AR105" s="82" t="e">
        <f>IF(OR(AB104&lt;=0,AB105&lt;=0),1/0,AB105)</f>
        <v>#VALUE!</v>
      </c>
      <c r="AS105" s="82" t="e">
        <f>AM105</f>
        <v>#VALUE!</v>
      </c>
      <c r="AT105" t="e">
        <f>IFERROR(AP105,IFERROR(AQ105,IFERROR(AR105,AS105)))</f>
        <v>#VALUE!</v>
      </c>
      <c r="AU105" s="81"/>
    </row>
    <row r="106" spans="1:47" x14ac:dyDescent="0.25">
      <c r="A106" s="101">
        <f>A101+1</f>
        <v>13</v>
      </c>
      <c r="B106" s="101" t="str">
        <f t="shared" ref="B106:B137" si="48">VLOOKUP(A106,STN_TABLE_2,2,FALSE)</f>
        <v xml:space="preserve">  </v>
      </c>
      <c r="O106" s="101">
        <f>O101+1</f>
        <v>15</v>
      </c>
      <c r="P106" s="101" t="str">
        <f t="shared" si="44"/>
        <v xml:space="preserve">  </v>
      </c>
      <c r="AU106" s="81"/>
    </row>
    <row r="107" spans="1:47" x14ac:dyDescent="0.25">
      <c r="A107" s="84">
        <f>A106+1</f>
        <v>14</v>
      </c>
      <c r="B107" s="84" t="str">
        <f t="shared" si="48"/>
        <v xml:space="preserve">  </v>
      </c>
      <c r="C107" s="79" t="e">
        <f t="shared" ref="C107" si="49">IF(C108=B109,IF(C109-C108=C108-B108,B108,IF(C109-C108=C108-B107,B107,"#NA")),IF(C108=B108,IF(C109-C108=C108-B107,B107,IF(C109-C108=C108-B106,B106,"#NA")),"#NA"))</f>
        <v>#VALUE!</v>
      </c>
      <c r="D107" s="68" t="e">
        <f>VLOOKUP(C107,STN_TABLE,2,FALSE)</f>
        <v>#VALUE!</v>
      </c>
      <c r="E107" s="102">
        <v>1</v>
      </c>
      <c r="F107" s="68" t="e">
        <f>D107*E107</f>
        <v>#VALUE!</v>
      </c>
      <c r="G107" s="69" t="e">
        <f>C107</f>
        <v>#VALUE!</v>
      </c>
      <c r="H107" s="69" t="e">
        <f>F107*G107</f>
        <v>#VALUE!</v>
      </c>
      <c r="I107" s="6" t="s">
        <v>93</v>
      </c>
      <c r="J107" s="70" t="e">
        <f>IF(OR(D107=0,D108=0,D109=0),"#NA",IF(AND(C109-C108=C108-C107,C108&lt;&gt;C109,C107&lt;&gt;C108,C107&lt;&gt;C109,D109&lt;&gt;0,OR(D107&lt;&gt;0,D108&lt;&gt;0)),WLS*(C109-C108),"#NA"))</f>
        <v>#VALUE!</v>
      </c>
      <c r="O107" s="99">
        <f>O106+1</f>
        <v>16</v>
      </c>
      <c r="P107" s="99" t="str">
        <f t="shared" si="44"/>
        <v xml:space="preserve">  </v>
      </c>
      <c r="Q107" s="68" t="e">
        <f>IF(OR(P109-P108=P108-P107,P110-P108=P108-P107),P107,IF(OR(P109-P108=P108-P106,P110-P108=P108-P106),P106,"-"))</f>
        <v>#VALUE!</v>
      </c>
      <c r="R107" s="69" t="e">
        <f>VLOOKUP(Q107,STN_TABLE,2,FALSE)</f>
        <v>#VALUE!</v>
      </c>
      <c r="S107" s="69">
        <v>5</v>
      </c>
      <c r="T107" s="68" t="e">
        <f>R107*S107</f>
        <v>#VALUE!</v>
      </c>
      <c r="U107" s="79">
        <v>3</v>
      </c>
      <c r="V107" s="68" t="e">
        <f>R107*U107</f>
        <v>#VALUE!</v>
      </c>
      <c r="W107" s="6" t="s">
        <v>93</v>
      </c>
      <c r="X107" s="70" t="e">
        <f>IF(AND(Q109-Q108=Q108-Q107,NOT(AND(Q107=0,Q108=0)),NOT(AND(Q108=0,Q109=0))),WLS*(Q109-Q108),"#NA")</f>
        <v>#VALUE!</v>
      </c>
      <c r="AD107" s="93"/>
      <c r="AH107" s="6" t="s">
        <v>93</v>
      </c>
      <c r="AI107" s="70" t="e">
        <f>WLS*(AD109-AD108)</f>
        <v>#VALUE!</v>
      </c>
      <c r="AU107" s="81"/>
    </row>
    <row r="108" spans="1:47" x14ac:dyDescent="0.25">
      <c r="A108" s="84">
        <f>A107+1</f>
        <v>15</v>
      </c>
      <c r="B108" s="84" t="str">
        <f t="shared" si="48"/>
        <v xml:space="preserve">  </v>
      </c>
      <c r="C108" s="80" t="e">
        <f t="shared" ref="C108" si="50">IF(OR(B110-B109=B109-B108,B110-B109=B109-B107,B110-B109=B109-B106),B109,IF(OR(B110-B108=B108-B107,B110-B108=B108-B106),B108,IF(B110-B107=B107-B106,B107,"#NA")))</f>
        <v>#VALUE!</v>
      </c>
      <c r="D108" s="76" t="e">
        <f>VLOOKUP(C108,STN_TABLE,2,FALSE)</f>
        <v>#VALUE!</v>
      </c>
      <c r="E108" s="81">
        <v>4</v>
      </c>
      <c r="F108" s="76" t="e">
        <f>D108*E108</f>
        <v>#VALUE!</v>
      </c>
      <c r="G108" s="77" t="e">
        <f>C108</f>
        <v>#VALUE!</v>
      </c>
      <c r="H108" s="77" t="e">
        <f>F108*G108</f>
        <v>#VALUE!</v>
      </c>
      <c r="I108" s="495" t="s">
        <v>97</v>
      </c>
      <c r="J108" s="496"/>
      <c r="K108" s="78" t="s">
        <v>98</v>
      </c>
      <c r="L108" s="78"/>
      <c r="M108" s="7" t="s">
        <v>99</v>
      </c>
      <c r="N108" s="7"/>
      <c r="O108" s="99">
        <f>O107+1</f>
        <v>17</v>
      </c>
      <c r="P108" s="99" t="str">
        <f t="shared" si="44"/>
        <v xml:space="preserve">  </v>
      </c>
      <c r="Q108" s="76" t="str">
        <f>P108</f>
        <v xml:space="preserve">  </v>
      </c>
      <c r="R108" s="77" t="str">
        <f>VLOOKUP(Q108,STN_TABLE,2,FALSE)</f>
        <v xml:space="preserve">  </v>
      </c>
      <c r="S108" s="77">
        <v>8</v>
      </c>
      <c r="T108" s="76" t="e">
        <f>R108*S108</f>
        <v>#VALUE!</v>
      </c>
      <c r="U108" s="80">
        <v>10</v>
      </c>
      <c r="V108" s="76" t="e">
        <f>R108*U108</f>
        <v>#VALUE!</v>
      </c>
      <c r="W108" s="496" t="s">
        <v>97</v>
      </c>
      <c r="X108" s="496"/>
      <c r="Y108" s="496" t="s">
        <v>98</v>
      </c>
      <c r="Z108" s="496"/>
      <c r="AA108" s="494" t="s">
        <v>99</v>
      </c>
      <c r="AB108" s="494"/>
      <c r="AC108" s="99">
        <f>AC103+1</f>
        <v>16</v>
      </c>
      <c r="AD108" s="95" t="str">
        <f>VLOOKUP(AC108,STN_TABLE_2,2,FALSE)</f>
        <v xml:space="preserve">  </v>
      </c>
      <c r="AE108" s="68" t="str">
        <f>VLOOKUP(AD108,STN_TABLE,2,FALSE)</f>
        <v xml:space="preserve">  </v>
      </c>
      <c r="AF108" s="68">
        <v>1</v>
      </c>
      <c r="AG108" s="69" t="e">
        <f>AE108*AF108</f>
        <v>#VALUE!</v>
      </c>
      <c r="AH108" s="496" t="s">
        <v>97</v>
      </c>
      <c r="AI108" s="496"/>
      <c r="AJ108" s="496" t="s">
        <v>98</v>
      </c>
      <c r="AK108" s="496"/>
      <c r="AL108" s="494" t="s">
        <v>99</v>
      </c>
      <c r="AM108" s="494"/>
      <c r="AP108" s="86" t="s">
        <v>112</v>
      </c>
      <c r="AQ108" s="89" t="s">
        <v>113</v>
      </c>
      <c r="AR108" s="89" t="s">
        <v>114</v>
      </c>
      <c r="AS108" s="89" t="s">
        <v>115</v>
      </c>
      <c r="AU108" s="81"/>
    </row>
    <row r="109" spans="1:47" x14ac:dyDescent="0.25">
      <c r="A109" s="84">
        <f>A108+1</f>
        <v>16</v>
      </c>
      <c r="B109" s="84" t="str">
        <f t="shared" si="48"/>
        <v xml:space="preserve">  </v>
      </c>
      <c r="C109" s="88" t="str">
        <f t="shared" ref="C109" si="51">B110</f>
        <v xml:space="preserve">  </v>
      </c>
      <c r="D109" s="82" t="str">
        <f>VLOOKUP(C109,STN_TABLE,2,FALSE)</f>
        <v xml:space="preserve">  </v>
      </c>
      <c r="E109" s="92">
        <v>1</v>
      </c>
      <c r="F109" s="82" t="e">
        <f>D109*E109</f>
        <v>#VALUE!</v>
      </c>
      <c r="G109" s="83" t="str">
        <f>C109</f>
        <v xml:space="preserve">  </v>
      </c>
      <c r="H109" s="83" t="e">
        <f>F109*G109</f>
        <v>#VALUE!</v>
      </c>
      <c r="I109" s="84" t="str">
        <f>CONCATENATE("a'(",C109,")=")</f>
        <v>a'(  )=</v>
      </c>
      <c r="J109" s="84" t="e">
        <f>2*J107/3*F110</f>
        <v>#VALUE!</v>
      </c>
      <c r="K109" s="84" t="e">
        <f>CONCATENATE("A(",C107,")=")</f>
        <v>#VALUE!</v>
      </c>
      <c r="L109" s="84" t="e">
        <f>VLOOKUP(C107,STN_TABLE,3,FALSE)</f>
        <v>#VALUE!</v>
      </c>
      <c r="M109" t="str">
        <f>CONCATENATE("A(",C109,")=")</f>
        <v>A(  )=</v>
      </c>
      <c r="N109" t="e">
        <f>J109+L109</f>
        <v>#VALUE!</v>
      </c>
      <c r="O109" s="99">
        <f>O108+1</f>
        <v>18</v>
      </c>
      <c r="P109" s="99" t="str">
        <f t="shared" si="44"/>
        <v xml:space="preserve">  </v>
      </c>
      <c r="Q109" s="82" t="e">
        <f>IF(P109-P108=P108-P107,P109,IF(P110-P108=P108-P107,P110,IF(P109-P108=P108-P106,P109,IF(P110-P108=P108-P106,P110,"-"))))</f>
        <v>#VALUE!</v>
      </c>
      <c r="R109" s="83" t="e">
        <f>VLOOKUP(Q109,STN_TABLE,2,FALSE)</f>
        <v>#VALUE!</v>
      </c>
      <c r="S109" s="83">
        <v>-1</v>
      </c>
      <c r="T109" s="82" t="e">
        <f>R109*S109</f>
        <v>#VALUE!</v>
      </c>
      <c r="U109" s="88">
        <v>-1</v>
      </c>
      <c r="V109" s="82" t="e">
        <f>R109*U109</f>
        <v>#VALUE!</v>
      </c>
      <c r="W109" s="84" t="str">
        <f>CONCATENATE("a'(",Q108,")=")</f>
        <v>a'(  )=</v>
      </c>
      <c r="X109" s="84" t="e">
        <f>2*X107/12*T110</f>
        <v>#VALUE!</v>
      </c>
      <c r="Y109" s="84" t="e">
        <f>CONCATENATE("A(",Q107,")=")</f>
        <v>#VALUE!</v>
      </c>
      <c r="Z109" s="84" t="e">
        <f>VLOOKUP(Q107,STN_TABLE,3,FALSE)</f>
        <v>#VALUE!</v>
      </c>
      <c r="AA109" t="str">
        <f>CONCATENATE("A(",Q108,")=")</f>
        <v>A(  )=</v>
      </c>
      <c r="AB109" t="e">
        <f>X109+Z109</f>
        <v>#VALUE!</v>
      </c>
      <c r="AC109" s="99">
        <f>AC108+1</f>
        <v>17</v>
      </c>
      <c r="AD109" s="100" t="str">
        <f>VLOOKUP(AC109,STN_TABLE_2,2,FALSE)</f>
        <v xml:space="preserve">  </v>
      </c>
      <c r="AE109" s="82" t="str">
        <f>VLOOKUP(AD109,STN_TABLE,2,FALSE)</f>
        <v xml:space="preserve">  </v>
      </c>
      <c r="AF109" s="82">
        <v>2</v>
      </c>
      <c r="AG109" s="83" t="e">
        <f>AE109*AF109</f>
        <v>#VALUE!</v>
      </c>
      <c r="AH109" s="84" t="str">
        <f>CONCATENATE("a'(",AD109,")=")</f>
        <v>a'(  )=</v>
      </c>
      <c r="AI109" s="84" t="e">
        <f>2*AI107/2*AE110</f>
        <v>#VALUE!</v>
      </c>
      <c r="AJ109" s="84" t="str">
        <f>CONCATENATE("A(",AD108,")=")</f>
        <v>A(  )=</v>
      </c>
      <c r="AK109" s="84" t="str">
        <f>VLOOKUP(AD108,STN_TABLE,3,FALSE)</f>
        <v xml:space="preserve"> </v>
      </c>
      <c r="AL109" t="str">
        <f>CONCATENATE("A(",AD109,")=")</f>
        <v>A(  )=</v>
      </c>
      <c r="AM109" t="e">
        <f>AI109+AK109</f>
        <v>#VALUE!</v>
      </c>
      <c r="AO109" s="68" t="str">
        <f>AA109</f>
        <v>A(  )=</v>
      </c>
      <c r="AP109" s="68" t="e">
        <f>VLOOKUP(AO109,Rise_Results,2,FALSE)</f>
        <v>#N/A</v>
      </c>
      <c r="AQ109" s="76" t="e">
        <f>N109</f>
        <v>#VALUE!</v>
      </c>
      <c r="AR109" s="76" t="e">
        <f>IF(OR(AB109&lt;=0,AB110&lt;=0),1/0,AB109)</f>
        <v>#VALUE!</v>
      </c>
      <c r="AS109" s="76" t="e">
        <f>AM109</f>
        <v>#VALUE!</v>
      </c>
      <c r="AT109" t="e">
        <f>IFERROR(AP109,IFERROR(AQ109,IFERROR(AR109,AS109)))</f>
        <v>#VALUE!</v>
      </c>
      <c r="AU109" s="81"/>
    </row>
    <row r="110" spans="1:47" x14ac:dyDescent="0.25">
      <c r="A110" s="84">
        <f>A109+1</f>
        <v>17</v>
      </c>
      <c r="B110" s="84" t="str">
        <f t="shared" si="48"/>
        <v xml:space="preserve">  </v>
      </c>
      <c r="F110" s="82" t="e">
        <f>SUM(F107:F109)</f>
        <v>#VALUE!</v>
      </c>
      <c r="H110" s="82" t="e">
        <f>SUM(H107:H109)</f>
        <v>#VALUE!</v>
      </c>
      <c r="I110" s="84" t="str">
        <f>CONCATENATE("m'(",C109,")=")</f>
        <v>m'(  )=</v>
      </c>
      <c r="J110" s="84" t="e">
        <f>2*(J107*(WLS))/3*H110</f>
        <v>#VALUE!</v>
      </c>
      <c r="K110" s="84" t="e">
        <f>CONCATENATE("M(",C107,")=")</f>
        <v>#VALUE!</v>
      </c>
      <c r="L110" s="84" t="e">
        <f>VLOOKUP(C107,STN_TABLE,4,FALSE)</f>
        <v>#VALUE!</v>
      </c>
      <c r="M110" t="str">
        <f>CONCATENATE("M(",C109,")=")</f>
        <v>M(  )=</v>
      </c>
      <c r="N110" t="e">
        <f>J110+L110</f>
        <v>#VALUE!</v>
      </c>
      <c r="O110" s="99">
        <f>O109+1</f>
        <v>19</v>
      </c>
      <c r="P110" s="99" t="str">
        <f t="shared" si="44"/>
        <v xml:space="preserve">  </v>
      </c>
      <c r="T110" s="89" t="e">
        <f>SUM(T107:T109)</f>
        <v>#VALUE!</v>
      </c>
      <c r="V110" s="82" t="e">
        <f>SUM(V107:V109)</f>
        <v>#VALUE!</v>
      </c>
      <c r="W110" s="84" t="str">
        <f>CONCATENATE("m'(",Q108,")=")</f>
        <v>m'(  )=</v>
      </c>
      <c r="X110" s="84" t="e">
        <f>(2*(X107^2)/24*V110)+(X109*Q107*WLS)</f>
        <v>#VALUE!</v>
      </c>
      <c r="Y110" s="84" t="e">
        <f>CONCATENATE("M(",Q107,")=")</f>
        <v>#VALUE!</v>
      </c>
      <c r="Z110" s="84" t="e">
        <f>VLOOKUP(Q107,STN_TABLE,4,FALSE)</f>
        <v>#VALUE!</v>
      </c>
      <c r="AA110" t="str">
        <f>CONCATENATE("M(",Q108,")=")</f>
        <v>M(  )=</v>
      </c>
      <c r="AB110" t="e">
        <f>X110+Z110</f>
        <v>#VALUE!</v>
      </c>
      <c r="AE110" s="89">
        <f>SUM(AE108:AE109)</f>
        <v>0</v>
      </c>
      <c r="AG110" s="89" t="e">
        <f>SUM(AG108:AG109)</f>
        <v>#VALUE!</v>
      </c>
      <c r="AH110" s="84" t="str">
        <f>CONCATENATE("m'(",AD109,")=")</f>
        <v>m'(  )=</v>
      </c>
      <c r="AI110" s="84" t="e">
        <f>(2*(AI107^2)/6*AG110)+(AI109*AD108*WLS)</f>
        <v>#VALUE!</v>
      </c>
      <c r="AJ110" s="84" t="str">
        <f>CONCATENATE("M(",AD108,")=")</f>
        <v>M(  )=</v>
      </c>
      <c r="AK110" s="84" t="str">
        <f>VLOOKUP(AD108,STN_TABLE,4,FALSE)</f>
        <v xml:space="preserve"> </v>
      </c>
      <c r="AL110" t="str">
        <f>CONCATENATE("M(",AD109,")=")</f>
        <v>M(  )=</v>
      </c>
      <c r="AM110" t="e">
        <f>AI110+AK110</f>
        <v>#VALUE!</v>
      </c>
      <c r="AO110" s="82" t="str">
        <f>AA110</f>
        <v>M(  )=</v>
      </c>
      <c r="AP110" s="82" t="e">
        <f>VLOOKUP(AO110,Rise_Results,2,FALSE)</f>
        <v>#N/A</v>
      </c>
      <c r="AQ110" s="82" t="e">
        <f>N110</f>
        <v>#VALUE!</v>
      </c>
      <c r="AR110" s="82" t="e">
        <f>IF(OR(AB109&lt;=0,AB110&lt;=0),1/0,AB110)</f>
        <v>#VALUE!</v>
      </c>
      <c r="AS110" s="82" t="e">
        <f>AM110</f>
        <v>#VALUE!</v>
      </c>
      <c r="AT110" t="e">
        <f>IFERROR(AP110,IFERROR(AQ110,IFERROR(AR110,AS110)))</f>
        <v>#VALUE!</v>
      </c>
      <c r="AU110" s="81"/>
    </row>
    <row r="111" spans="1:47" x14ac:dyDescent="0.25">
      <c r="A111" s="101">
        <f>A106+1</f>
        <v>14</v>
      </c>
      <c r="B111" s="101" t="str">
        <f t="shared" si="48"/>
        <v xml:space="preserve">  </v>
      </c>
      <c r="O111" s="101">
        <f>O106+1</f>
        <v>16</v>
      </c>
      <c r="P111" s="101" t="str">
        <f t="shared" si="44"/>
        <v xml:space="preserve">  </v>
      </c>
      <c r="AU111" s="81"/>
    </row>
    <row r="112" spans="1:47" x14ac:dyDescent="0.25">
      <c r="A112" s="84">
        <f>A111+1</f>
        <v>15</v>
      </c>
      <c r="B112" s="84" t="str">
        <f t="shared" si="48"/>
        <v xml:space="preserve">  </v>
      </c>
      <c r="C112" s="79" t="e">
        <f t="shared" ref="C112" si="52">IF(C113=B114,IF(C114-C113=C113-B113,B113,IF(C114-C113=C113-B112,B112,"#NA")),IF(C113=B113,IF(C114-C113=C113-B112,B112,IF(C114-C113=C113-B111,B111,"#NA")),"#NA"))</f>
        <v>#VALUE!</v>
      </c>
      <c r="D112" s="68" t="e">
        <f>VLOOKUP(C112,STN_TABLE,2,FALSE)</f>
        <v>#VALUE!</v>
      </c>
      <c r="E112" s="102">
        <v>1</v>
      </c>
      <c r="F112" s="68" t="e">
        <f>D112*E112</f>
        <v>#VALUE!</v>
      </c>
      <c r="G112" s="69" t="e">
        <f>C112</f>
        <v>#VALUE!</v>
      </c>
      <c r="H112" s="69" t="e">
        <f>F112*G112</f>
        <v>#VALUE!</v>
      </c>
      <c r="I112" s="6" t="s">
        <v>93</v>
      </c>
      <c r="J112" s="70" t="e">
        <f>IF(OR(D112=0,D113=0,D114=0),"#NA",IF(AND(C114-C113=C113-C112,C113&lt;&gt;C114,C112&lt;&gt;C113,C112&lt;&gt;C114,D114&lt;&gt;0,OR(D112&lt;&gt;0,D113&lt;&gt;0)),WLS*(C114-C113),"#NA"))</f>
        <v>#VALUE!</v>
      </c>
      <c r="O112" s="99">
        <f>O111+1</f>
        <v>17</v>
      </c>
      <c r="P112" s="99" t="str">
        <f t="shared" si="44"/>
        <v xml:space="preserve">  </v>
      </c>
      <c r="Q112" s="68" t="e">
        <f>IF(OR(P114-P113=P113-P112,P115-P113=P113-P112),P112,IF(OR(P114-P113=P113-P111,P115-P113=P113-P111),P111,"-"))</f>
        <v>#VALUE!</v>
      </c>
      <c r="R112" s="69" t="e">
        <f>VLOOKUP(Q112,STN_TABLE,2,FALSE)</f>
        <v>#VALUE!</v>
      </c>
      <c r="S112" s="69">
        <v>5</v>
      </c>
      <c r="T112" s="68" t="e">
        <f>R112*S112</f>
        <v>#VALUE!</v>
      </c>
      <c r="U112" s="79">
        <v>3</v>
      </c>
      <c r="V112" s="68" t="e">
        <f>R112*U112</f>
        <v>#VALUE!</v>
      </c>
      <c r="W112" s="6" t="s">
        <v>93</v>
      </c>
      <c r="X112" s="70" t="e">
        <f>IF(AND(Q114-Q113=Q113-Q112,NOT(AND(Q112=0,Q113=0)),NOT(AND(Q113=0,Q114=0))),WLS*(Q114-Q113),"#NA")</f>
        <v>#VALUE!</v>
      </c>
      <c r="AD112" s="93"/>
      <c r="AH112" s="6" t="s">
        <v>93</v>
      </c>
      <c r="AI112" s="70" t="e">
        <f>WLS*(AD114-AD113)</f>
        <v>#VALUE!</v>
      </c>
      <c r="AU112" s="81"/>
    </row>
    <row r="113" spans="1:47" x14ac:dyDescent="0.25">
      <c r="A113" s="84">
        <f>A112+1</f>
        <v>16</v>
      </c>
      <c r="B113" s="84" t="str">
        <f t="shared" si="48"/>
        <v xml:space="preserve">  </v>
      </c>
      <c r="C113" s="80" t="e">
        <f t="shared" ref="C113" si="53">IF(OR(B115-B114=B114-B113,B115-B114=B114-B112,B115-B114=B114-B111),B114,IF(OR(B115-B113=B113-B112,B115-B113=B113-B111),B113,IF(B115-B112=B112-B111,B112,"#NA")))</f>
        <v>#VALUE!</v>
      </c>
      <c r="D113" s="76" t="e">
        <f>VLOOKUP(C113,STN_TABLE,2,FALSE)</f>
        <v>#VALUE!</v>
      </c>
      <c r="E113" s="81">
        <v>4</v>
      </c>
      <c r="F113" s="76" t="e">
        <f>D113*E113</f>
        <v>#VALUE!</v>
      </c>
      <c r="G113" s="77" t="e">
        <f>C113</f>
        <v>#VALUE!</v>
      </c>
      <c r="H113" s="77" t="e">
        <f>F113*G113</f>
        <v>#VALUE!</v>
      </c>
      <c r="I113" s="495" t="s">
        <v>97</v>
      </c>
      <c r="J113" s="496"/>
      <c r="K113" s="78" t="s">
        <v>98</v>
      </c>
      <c r="L113" s="78"/>
      <c r="M113" s="7" t="s">
        <v>99</v>
      </c>
      <c r="N113" s="7"/>
      <c r="O113" s="99">
        <f>O112+1</f>
        <v>18</v>
      </c>
      <c r="P113" s="99" t="str">
        <f t="shared" si="44"/>
        <v xml:space="preserve">  </v>
      </c>
      <c r="Q113" s="76" t="str">
        <f>P113</f>
        <v xml:space="preserve">  </v>
      </c>
      <c r="R113" s="77" t="str">
        <f>VLOOKUP(Q113,STN_TABLE,2,FALSE)</f>
        <v xml:space="preserve">  </v>
      </c>
      <c r="S113" s="77">
        <v>8</v>
      </c>
      <c r="T113" s="76" t="e">
        <f>R113*S113</f>
        <v>#VALUE!</v>
      </c>
      <c r="U113" s="80">
        <v>10</v>
      </c>
      <c r="V113" s="76" t="e">
        <f>R113*U113</f>
        <v>#VALUE!</v>
      </c>
      <c r="W113" s="496" t="s">
        <v>97</v>
      </c>
      <c r="X113" s="496"/>
      <c r="Y113" s="496" t="s">
        <v>98</v>
      </c>
      <c r="Z113" s="496"/>
      <c r="AA113" s="494" t="s">
        <v>99</v>
      </c>
      <c r="AB113" s="494"/>
      <c r="AC113" s="99">
        <f>AC108+1</f>
        <v>17</v>
      </c>
      <c r="AD113" s="95" t="str">
        <f>VLOOKUP(AC113,STN_TABLE_2,2,FALSE)</f>
        <v xml:space="preserve">  </v>
      </c>
      <c r="AE113" s="68" t="str">
        <f>VLOOKUP(AD113,STN_TABLE,2,FALSE)</f>
        <v xml:space="preserve">  </v>
      </c>
      <c r="AF113" s="68">
        <v>1</v>
      </c>
      <c r="AG113" s="69" t="e">
        <f>AE113*AF113</f>
        <v>#VALUE!</v>
      </c>
      <c r="AH113" s="496" t="s">
        <v>97</v>
      </c>
      <c r="AI113" s="496"/>
      <c r="AJ113" s="496" t="s">
        <v>98</v>
      </c>
      <c r="AK113" s="496"/>
      <c r="AL113" s="494" t="s">
        <v>99</v>
      </c>
      <c r="AM113" s="494"/>
      <c r="AP113" s="86" t="s">
        <v>112</v>
      </c>
      <c r="AQ113" s="89" t="s">
        <v>113</v>
      </c>
      <c r="AR113" s="89" t="s">
        <v>114</v>
      </c>
      <c r="AS113" s="89" t="s">
        <v>115</v>
      </c>
      <c r="AU113" s="81"/>
    </row>
    <row r="114" spans="1:47" x14ac:dyDescent="0.25">
      <c r="A114" s="84">
        <f>A113+1</f>
        <v>17</v>
      </c>
      <c r="B114" s="84" t="str">
        <f t="shared" si="48"/>
        <v xml:space="preserve">  </v>
      </c>
      <c r="C114" s="88" t="str">
        <f t="shared" ref="C114" si="54">B115</f>
        <v xml:space="preserve">  </v>
      </c>
      <c r="D114" s="82" t="str">
        <f>VLOOKUP(C114,STN_TABLE,2,FALSE)</f>
        <v xml:space="preserve">  </v>
      </c>
      <c r="E114" s="92">
        <v>1</v>
      </c>
      <c r="F114" s="82" t="e">
        <f>D114*E114</f>
        <v>#VALUE!</v>
      </c>
      <c r="G114" s="83" t="str">
        <f>C114</f>
        <v xml:space="preserve">  </v>
      </c>
      <c r="H114" s="83" t="e">
        <f>F114*G114</f>
        <v>#VALUE!</v>
      </c>
      <c r="I114" s="84" t="str">
        <f>CONCATENATE("a'(",C114,")=")</f>
        <v>a'(  )=</v>
      </c>
      <c r="J114" s="84" t="e">
        <f>2*J112/3*F115</f>
        <v>#VALUE!</v>
      </c>
      <c r="K114" s="84" t="e">
        <f>CONCATENATE("A(",C112,")=")</f>
        <v>#VALUE!</v>
      </c>
      <c r="L114" s="84" t="e">
        <f>VLOOKUP(C112,STN_TABLE,3,FALSE)</f>
        <v>#VALUE!</v>
      </c>
      <c r="M114" t="str">
        <f>CONCATENATE("A(",C114,")=")</f>
        <v>A(  )=</v>
      </c>
      <c r="N114" t="e">
        <f>J114+L114</f>
        <v>#VALUE!</v>
      </c>
      <c r="O114" s="99">
        <f>O113+1</f>
        <v>19</v>
      </c>
      <c r="P114" s="99" t="str">
        <f t="shared" si="44"/>
        <v xml:space="preserve">  </v>
      </c>
      <c r="Q114" s="82" t="e">
        <f>IF(P114-P113=P113-P112,P114,IF(P115-P113=P113-P112,P115,IF(P114-P113=P113-P111,P114,IF(P115-P113=P113-P111,P115,"-"))))</f>
        <v>#VALUE!</v>
      </c>
      <c r="R114" s="83" t="e">
        <f>VLOOKUP(Q114,STN_TABLE,2,FALSE)</f>
        <v>#VALUE!</v>
      </c>
      <c r="S114" s="83">
        <v>-1</v>
      </c>
      <c r="T114" s="82" t="e">
        <f>R114*S114</f>
        <v>#VALUE!</v>
      </c>
      <c r="U114" s="88">
        <v>-1</v>
      </c>
      <c r="V114" s="82" t="e">
        <f>R114*U114</f>
        <v>#VALUE!</v>
      </c>
      <c r="W114" s="84" t="str">
        <f>CONCATENATE("a'(",Q113,")=")</f>
        <v>a'(  )=</v>
      </c>
      <c r="X114" s="84" t="e">
        <f>2*X112/12*T115</f>
        <v>#VALUE!</v>
      </c>
      <c r="Y114" s="84" t="e">
        <f>CONCATENATE("A(",Q112,")=")</f>
        <v>#VALUE!</v>
      </c>
      <c r="Z114" s="84" t="e">
        <f>VLOOKUP(Q112,STN_TABLE,3,FALSE)</f>
        <v>#VALUE!</v>
      </c>
      <c r="AA114" t="str">
        <f>CONCATENATE("A(",Q113,")=")</f>
        <v>A(  )=</v>
      </c>
      <c r="AB114" t="e">
        <f>X114+Z114</f>
        <v>#VALUE!</v>
      </c>
      <c r="AC114" s="99">
        <f>AC113+1</f>
        <v>18</v>
      </c>
      <c r="AD114" s="100" t="str">
        <f>VLOOKUP(AC114,STN_TABLE_2,2,FALSE)</f>
        <v xml:space="preserve">  </v>
      </c>
      <c r="AE114" s="82" t="str">
        <f>VLOOKUP(AD114,STN_TABLE,2,FALSE)</f>
        <v xml:space="preserve">  </v>
      </c>
      <c r="AF114" s="82">
        <v>2</v>
      </c>
      <c r="AG114" s="83" t="e">
        <f>AE114*AF114</f>
        <v>#VALUE!</v>
      </c>
      <c r="AH114" s="84" t="str">
        <f>CONCATENATE("a'(",AD114,")=")</f>
        <v>a'(  )=</v>
      </c>
      <c r="AI114" s="84" t="e">
        <f>2*AI112/2*AE115</f>
        <v>#VALUE!</v>
      </c>
      <c r="AJ114" s="84" t="str">
        <f>CONCATENATE("A(",AD113,")=")</f>
        <v>A(  )=</v>
      </c>
      <c r="AK114" s="84" t="str">
        <f>VLOOKUP(AD113,STN_TABLE,3,FALSE)</f>
        <v xml:space="preserve"> </v>
      </c>
      <c r="AL114" t="str">
        <f>CONCATENATE("A(",AD114,")=")</f>
        <v>A(  )=</v>
      </c>
      <c r="AM114" t="e">
        <f>AI114+AK114</f>
        <v>#VALUE!</v>
      </c>
      <c r="AO114" s="68" t="str">
        <f>AA114</f>
        <v>A(  )=</v>
      </c>
      <c r="AP114" s="68" t="e">
        <f>VLOOKUP(AO114,Rise_Results,2,FALSE)</f>
        <v>#N/A</v>
      </c>
      <c r="AQ114" s="76" t="e">
        <f>N114</f>
        <v>#VALUE!</v>
      </c>
      <c r="AR114" s="76" t="e">
        <f>IF(OR(AB114&lt;=0,AB115&lt;=0),1/0,AB114)</f>
        <v>#VALUE!</v>
      </c>
      <c r="AS114" s="76" t="e">
        <f>AM114</f>
        <v>#VALUE!</v>
      </c>
      <c r="AT114" t="e">
        <f>IFERROR(AP114,IFERROR(AQ114,IFERROR(AR114,AS114)))</f>
        <v>#VALUE!</v>
      </c>
      <c r="AU114" s="81"/>
    </row>
    <row r="115" spans="1:47" x14ac:dyDescent="0.25">
      <c r="A115" s="84">
        <f>A114+1</f>
        <v>18</v>
      </c>
      <c r="B115" s="84" t="str">
        <f t="shared" si="48"/>
        <v xml:space="preserve">  </v>
      </c>
      <c r="F115" s="82" t="e">
        <f>SUM(F112:F114)</f>
        <v>#VALUE!</v>
      </c>
      <c r="H115" s="82" t="e">
        <f>SUM(H112:H114)</f>
        <v>#VALUE!</v>
      </c>
      <c r="I115" s="84" t="str">
        <f>CONCATENATE("m'(",C114,")=")</f>
        <v>m'(  )=</v>
      </c>
      <c r="J115" s="84" t="e">
        <f>2*(J112*(WLS))/3*H115</f>
        <v>#VALUE!</v>
      </c>
      <c r="K115" s="84" t="e">
        <f>CONCATENATE("M(",C112,")=")</f>
        <v>#VALUE!</v>
      </c>
      <c r="L115" s="84" t="e">
        <f>VLOOKUP(C112,STN_TABLE,4,FALSE)</f>
        <v>#VALUE!</v>
      </c>
      <c r="M115" t="str">
        <f>CONCATENATE("M(",C114,")=")</f>
        <v>M(  )=</v>
      </c>
      <c r="N115" t="e">
        <f>J115+L115</f>
        <v>#VALUE!</v>
      </c>
      <c r="O115" s="99">
        <f>O114+1</f>
        <v>20</v>
      </c>
      <c r="P115" s="99" t="str">
        <f t="shared" si="44"/>
        <v xml:space="preserve">  </v>
      </c>
      <c r="T115" s="89" t="e">
        <f>SUM(T112:T114)</f>
        <v>#VALUE!</v>
      </c>
      <c r="V115" s="82" t="e">
        <f>SUM(V112:V114)</f>
        <v>#VALUE!</v>
      </c>
      <c r="W115" s="84" t="str">
        <f>CONCATENATE("m'(",Q113,")=")</f>
        <v>m'(  )=</v>
      </c>
      <c r="X115" s="84" t="e">
        <f>(2*(X112^2)/24*V115)+(X114*Q112*WLS)</f>
        <v>#VALUE!</v>
      </c>
      <c r="Y115" s="84" t="e">
        <f>CONCATENATE("M(",Q112,")=")</f>
        <v>#VALUE!</v>
      </c>
      <c r="Z115" s="84" t="e">
        <f>VLOOKUP(Q112,STN_TABLE,4,FALSE)</f>
        <v>#VALUE!</v>
      </c>
      <c r="AA115" t="str">
        <f>CONCATENATE("M(",Q113,")=")</f>
        <v>M(  )=</v>
      </c>
      <c r="AB115" t="e">
        <f>X115+Z115</f>
        <v>#VALUE!</v>
      </c>
      <c r="AE115" s="89">
        <f>SUM(AE113:AE114)</f>
        <v>0</v>
      </c>
      <c r="AG115" s="89" t="e">
        <f>SUM(AG113:AG114)</f>
        <v>#VALUE!</v>
      </c>
      <c r="AH115" s="84" t="str">
        <f>CONCATENATE("m'(",AD114,")=")</f>
        <v>m'(  )=</v>
      </c>
      <c r="AI115" s="84" t="e">
        <f>(2*(AI112^2)/6*AG115)+(AI114*AD113*WLS)</f>
        <v>#VALUE!</v>
      </c>
      <c r="AJ115" s="84" t="str">
        <f>CONCATENATE("M(",AD113,")=")</f>
        <v>M(  )=</v>
      </c>
      <c r="AK115" s="84" t="str">
        <f>VLOOKUP(AD113,STN_TABLE,4,FALSE)</f>
        <v xml:space="preserve"> </v>
      </c>
      <c r="AL115" t="str">
        <f>CONCATENATE("M(",AD114,")=")</f>
        <v>M(  )=</v>
      </c>
      <c r="AM115" t="e">
        <f>AI115+AK115</f>
        <v>#VALUE!</v>
      </c>
      <c r="AO115" s="82" t="str">
        <f>AA115</f>
        <v>M(  )=</v>
      </c>
      <c r="AP115" s="82" t="e">
        <f>VLOOKUP(AO115,Rise_Results,2,FALSE)</f>
        <v>#N/A</v>
      </c>
      <c r="AQ115" s="82" t="e">
        <f>N115</f>
        <v>#VALUE!</v>
      </c>
      <c r="AR115" s="82" t="e">
        <f>IF(OR(AB114&lt;=0,AB115&lt;=0),1/0,AB115)</f>
        <v>#VALUE!</v>
      </c>
      <c r="AS115" s="82" t="e">
        <f>AM115</f>
        <v>#VALUE!</v>
      </c>
      <c r="AT115" t="e">
        <f>IFERROR(AP115,IFERROR(AQ115,IFERROR(AR115,AS115)))</f>
        <v>#VALUE!</v>
      </c>
      <c r="AU115" s="81"/>
    </row>
    <row r="116" spans="1:47" x14ac:dyDescent="0.25">
      <c r="A116" s="101">
        <f>A111+1</f>
        <v>15</v>
      </c>
      <c r="B116" s="101" t="str">
        <f t="shared" si="48"/>
        <v xml:space="preserve">  </v>
      </c>
      <c r="O116" s="101">
        <f>O111+1</f>
        <v>17</v>
      </c>
      <c r="P116" s="101" t="str">
        <f t="shared" si="44"/>
        <v xml:space="preserve">  </v>
      </c>
      <c r="AU116" s="81"/>
    </row>
    <row r="117" spans="1:47" x14ac:dyDescent="0.25">
      <c r="A117" s="84">
        <f>A116+1</f>
        <v>16</v>
      </c>
      <c r="B117" s="84" t="str">
        <f t="shared" si="48"/>
        <v xml:space="preserve">  </v>
      </c>
      <c r="C117" s="79" t="e">
        <f t="shared" ref="C117" si="55">IF(C118=B119,IF(C119-C118=C118-B118,B118,IF(C119-C118=C118-B117,B117,"#NA")),IF(C118=B118,IF(C119-C118=C118-B117,B117,IF(C119-C118=C118-B116,B116,"#NA")),"#NA"))</f>
        <v>#VALUE!</v>
      </c>
      <c r="D117" s="68" t="e">
        <f>VLOOKUP(C117,STN_TABLE,2,FALSE)</f>
        <v>#VALUE!</v>
      </c>
      <c r="E117" s="102">
        <v>1</v>
      </c>
      <c r="F117" s="68" t="e">
        <f>D117*E117</f>
        <v>#VALUE!</v>
      </c>
      <c r="G117" s="69" t="e">
        <f>C117</f>
        <v>#VALUE!</v>
      </c>
      <c r="H117" s="69" t="e">
        <f>F117*G117</f>
        <v>#VALUE!</v>
      </c>
      <c r="I117" s="6" t="s">
        <v>93</v>
      </c>
      <c r="J117" s="70" t="e">
        <f>IF(OR(D117=0,D118=0,D119=0),"#NA",IF(AND(C119-C118=C118-C117,C118&lt;&gt;C119,C117&lt;&gt;C118,C117&lt;&gt;C119,D119&lt;&gt;0,OR(D117&lt;&gt;0,D118&lt;&gt;0)),WLS*(C119-C118),"#NA"))</f>
        <v>#VALUE!</v>
      </c>
      <c r="O117" s="99">
        <f>O116+1</f>
        <v>18</v>
      </c>
      <c r="P117" s="99" t="str">
        <f t="shared" si="44"/>
        <v xml:space="preserve">  </v>
      </c>
      <c r="Q117" s="68" t="e">
        <f>IF(OR(P119-P118=P118-P117,P120-P118=P118-P117),P117,IF(OR(P119-P118=P118-P116,P120-P118=P118-P116),P116,"-"))</f>
        <v>#VALUE!</v>
      </c>
      <c r="R117" s="69" t="e">
        <f>VLOOKUP(Q117,STN_TABLE,2,FALSE)</f>
        <v>#VALUE!</v>
      </c>
      <c r="S117" s="69">
        <v>5</v>
      </c>
      <c r="T117" s="68" t="e">
        <f>R117*S117</f>
        <v>#VALUE!</v>
      </c>
      <c r="U117" s="79">
        <v>3</v>
      </c>
      <c r="V117" s="68" t="e">
        <f>R117*U117</f>
        <v>#VALUE!</v>
      </c>
      <c r="W117" s="6" t="s">
        <v>93</v>
      </c>
      <c r="X117" s="70" t="e">
        <f>IF(AND(Q119-Q118=Q118-Q117,NOT(AND(Q117=0,Q118=0)),NOT(AND(Q118=0,Q119=0))),WLS*(Q119-Q118),"#NA")</f>
        <v>#VALUE!</v>
      </c>
      <c r="AD117" s="93"/>
      <c r="AH117" s="6" t="s">
        <v>93</v>
      </c>
      <c r="AI117" s="70" t="e">
        <f>WLS*(AD119-AD118)</f>
        <v>#VALUE!</v>
      </c>
      <c r="AU117" s="81"/>
    </row>
    <row r="118" spans="1:47" x14ac:dyDescent="0.25">
      <c r="A118" s="84">
        <f>A117+1</f>
        <v>17</v>
      </c>
      <c r="B118" s="84" t="str">
        <f t="shared" si="48"/>
        <v xml:space="preserve">  </v>
      </c>
      <c r="C118" s="80" t="e">
        <f t="shared" ref="C118" si="56">IF(OR(B120-B119=B119-B118,B120-B119=B119-B117,B120-B119=B119-B116),B119,IF(OR(B120-B118=B118-B117,B120-B118=B118-B116),B118,IF(B120-B117=B117-B116,B117,"#NA")))</f>
        <v>#VALUE!</v>
      </c>
      <c r="D118" s="76" t="e">
        <f>VLOOKUP(C118,STN_TABLE,2,FALSE)</f>
        <v>#VALUE!</v>
      </c>
      <c r="E118" s="81">
        <v>4</v>
      </c>
      <c r="F118" s="76" t="e">
        <f>D118*E118</f>
        <v>#VALUE!</v>
      </c>
      <c r="G118" s="77" t="e">
        <f>C118</f>
        <v>#VALUE!</v>
      </c>
      <c r="H118" s="77" t="e">
        <f>F118*G118</f>
        <v>#VALUE!</v>
      </c>
      <c r="I118" s="495" t="s">
        <v>97</v>
      </c>
      <c r="J118" s="496"/>
      <c r="K118" s="78" t="s">
        <v>98</v>
      </c>
      <c r="L118" s="78"/>
      <c r="M118" s="7" t="s">
        <v>99</v>
      </c>
      <c r="N118" s="7"/>
      <c r="O118" s="99">
        <f>O117+1</f>
        <v>19</v>
      </c>
      <c r="P118" s="99" t="str">
        <f t="shared" si="44"/>
        <v xml:space="preserve">  </v>
      </c>
      <c r="Q118" s="76" t="str">
        <f>P118</f>
        <v xml:space="preserve">  </v>
      </c>
      <c r="R118" s="77" t="str">
        <f>VLOOKUP(Q118,STN_TABLE,2,FALSE)</f>
        <v xml:space="preserve">  </v>
      </c>
      <c r="S118" s="77">
        <v>8</v>
      </c>
      <c r="T118" s="76" t="e">
        <f>R118*S118</f>
        <v>#VALUE!</v>
      </c>
      <c r="U118" s="80">
        <v>10</v>
      </c>
      <c r="V118" s="76" t="e">
        <f>R118*U118</f>
        <v>#VALUE!</v>
      </c>
      <c r="W118" s="496" t="s">
        <v>97</v>
      </c>
      <c r="X118" s="496"/>
      <c r="Y118" s="496" t="s">
        <v>98</v>
      </c>
      <c r="Z118" s="496"/>
      <c r="AA118" s="494" t="s">
        <v>99</v>
      </c>
      <c r="AB118" s="494"/>
      <c r="AC118" s="99">
        <f>AC113+1</f>
        <v>18</v>
      </c>
      <c r="AD118" s="95" t="str">
        <f>VLOOKUP(AC118,STN_TABLE_2,2,FALSE)</f>
        <v xml:space="preserve">  </v>
      </c>
      <c r="AE118" s="68" t="str">
        <f>VLOOKUP(AD118,STN_TABLE,2,FALSE)</f>
        <v xml:space="preserve">  </v>
      </c>
      <c r="AF118" s="68">
        <v>1</v>
      </c>
      <c r="AG118" s="69" t="e">
        <f>AE118*AF118</f>
        <v>#VALUE!</v>
      </c>
      <c r="AH118" s="496" t="s">
        <v>97</v>
      </c>
      <c r="AI118" s="496"/>
      <c r="AJ118" s="496" t="s">
        <v>98</v>
      </c>
      <c r="AK118" s="496"/>
      <c r="AL118" s="494" t="s">
        <v>99</v>
      </c>
      <c r="AM118" s="494"/>
      <c r="AP118" s="86" t="s">
        <v>112</v>
      </c>
      <c r="AQ118" s="89" t="s">
        <v>113</v>
      </c>
      <c r="AR118" s="89" t="s">
        <v>114</v>
      </c>
      <c r="AS118" s="89" t="s">
        <v>115</v>
      </c>
      <c r="AU118" s="81"/>
    </row>
    <row r="119" spans="1:47" x14ac:dyDescent="0.25">
      <c r="A119" s="84">
        <f>A118+1</f>
        <v>18</v>
      </c>
      <c r="B119" s="84" t="str">
        <f t="shared" si="48"/>
        <v xml:space="preserve">  </v>
      </c>
      <c r="C119" s="88" t="str">
        <f t="shared" ref="C119" si="57">B120</f>
        <v xml:space="preserve">  </v>
      </c>
      <c r="D119" s="82" t="str">
        <f>VLOOKUP(C119,STN_TABLE,2,FALSE)</f>
        <v xml:space="preserve">  </v>
      </c>
      <c r="E119" s="92">
        <v>1</v>
      </c>
      <c r="F119" s="82" t="e">
        <f>D119*E119</f>
        <v>#VALUE!</v>
      </c>
      <c r="G119" s="83" t="str">
        <f>C119</f>
        <v xml:space="preserve">  </v>
      </c>
      <c r="H119" s="83" t="e">
        <f>F119*G119</f>
        <v>#VALUE!</v>
      </c>
      <c r="I119" s="84" t="str">
        <f>CONCATENATE("a'(",C119,")=")</f>
        <v>a'(  )=</v>
      </c>
      <c r="J119" s="84" t="e">
        <f>2*J117/3*F120</f>
        <v>#VALUE!</v>
      </c>
      <c r="K119" s="84" t="e">
        <f>CONCATENATE("A(",C117,")=")</f>
        <v>#VALUE!</v>
      </c>
      <c r="L119" s="84" t="e">
        <f>VLOOKUP(C117,STN_TABLE,3,FALSE)</f>
        <v>#VALUE!</v>
      </c>
      <c r="M119" t="str">
        <f>CONCATENATE("A(",C119,")=")</f>
        <v>A(  )=</v>
      </c>
      <c r="N119" t="e">
        <f>J119+L119</f>
        <v>#VALUE!</v>
      </c>
      <c r="O119" s="99">
        <f>O118+1</f>
        <v>20</v>
      </c>
      <c r="P119" s="99" t="str">
        <f t="shared" si="44"/>
        <v xml:space="preserve">  </v>
      </c>
      <c r="Q119" s="82" t="e">
        <f>IF(P119-P118=P118-P117,P119,IF(P120-P118=P118-P117,P120,IF(P119-P118=P118-P116,P119,IF(P120-P118=P118-P116,P120,"-"))))</f>
        <v>#VALUE!</v>
      </c>
      <c r="R119" s="83" t="e">
        <f>VLOOKUP(Q119,STN_TABLE,2,FALSE)</f>
        <v>#VALUE!</v>
      </c>
      <c r="S119" s="83">
        <v>-1</v>
      </c>
      <c r="T119" s="82" t="e">
        <f>R119*S119</f>
        <v>#VALUE!</v>
      </c>
      <c r="U119" s="88">
        <v>-1</v>
      </c>
      <c r="V119" s="82" t="e">
        <f>R119*U119</f>
        <v>#VALUE!</v>
      </c>
      <c r="W119" s="84" t="str">
        <f>CONCATENATE("a'(",Q118,")=")</f>
        <v>a'(  )=</v>
      </c>
      <c r="X119" s="84" t="e">
        <f>2*X117/12*T120</f>
        <v>#VALUE!</v>
      </c>
      <c r="Y119" s="84" t="e">
        <f>CONCATENATE("A(",Q117,")=")</f>
        <v>#VALUE!</v>
      </c>
      <c r="Z119" s="84" t="e">
        <f>VLOOKUP(Q117,STN_TABLE,3,FALSE)</f>
        <v>#VALUE!</v>
      </c>
      <c r="AA119" t="str">
        <f>CONCATENATE("A(",Q118,")=")</f>
        <v>A(  )=</v>
      </c>
      <c r="AB119" t="e">
        <f>X119+Z119</f>
        <v>#VALUE!</v>
      </c>
      <c r="AC119" s="99">
        <f>AC118+1</f>
        <v>19</v>
      </c>
      <c r="AD119" s="100" t="str">
        <f>VLOOKUP(AC119,STN_TABLE_2,2,FALSE)</f>
        <v xml:space="preserve">  </v>
      </c>
      <c r="AE119" s="82" t="str">
        <f>VLOOKUP(AD119,STN_TABLE,2,FALSE)</f>
        <v xml:space="preserve">  </v>
      </c>
      <c r="AF119" s="82">
        <v>2</v>
      </c>
      <c r="AG119" s="83" t="e">
        <f>AE119*AF119</f>
        <v>#VALUE!</v>
      </c>
      <c r="AH119" s="84" t="str">
        <f>CONCATENATE("a'(",AD119,")=")</f>
        <v>a'(  )=</v>
      </c>
      <c r="AI119" s="84" t="e">
        <f>2*AI117/2*AE120</f>
        <v>#VALUE!</v>
      </c>
      <c r="AJ119" s="84" t="str">
        <f>CONCATENATE("A(",AD118,")=")</f>
        <v>A(  )=</v>
      </c>
      <c r="AK119" s="84" t="str">
        <f>VLOOKUP(AD118,STN_TABLE,3,FALSE)</f>
        <v xml:space="preserve"> </v>
      </c>
      <c r="AL119" t="str">
        <f>CONCATENATE("A(",AD119,")=")</f>
        <v>A(  )=</v>
      </c>
      <c r="AM119" t="e">
        <f>AI119+AK119</f>
        <v>#VALUE!</v>
      </c>
      <c r="AO119" s="68" t="str">
        <f>AA119</f>
        <v>A(  )=</v>
      </c>
      <c r="AP119" s="68" t="e">
        <f>VLOOKUP(AO119,Rise_Results,2,FALSE)</f>
        <v>#N/A</v>
      </c>
      <c r="AQ119" s="76" t="e">
        <f>N119</f>
        <v>#VALUE!</v>
      </c>
      <c r="AR119" s="76" t="e">
        <f>IF(OR(AB119&lt;=0,AB120&lt;=0),1/0,AB119)</f>
        <v>#VALUE!</v>
      </c>
      <c r="AS119" s="76" t="e">
        <f>AM119</f>
        <v>#VALUE!</v>
      </c>
      <c r="AT119" t="e">
        <f>IFERROR(AP119,IFERROR(AQ119,IFERROR(AR119,AS119)))</f>
        <v>#VALUE!</v>
      </c>
      <c r="AU119" s="81"/>
    </row>
    <row r="120" spans="1:47" x14ac:dyDescent="0.25">
      <c r="A120" s="84">
        <f>A119+1</f>
        <v>19</v>
      </c>
      <c r="B120" s="84" t="str">
        <f t="shared" si="48"/>
        <v xml:space="preserve">  </v>
      </c>
      <c r="F120" s="82" t="e">
        <f>SUM(F117:F119)</f>
        <v>#VALUE!</v>
      </c>
      <c r="H120" s="82" t="e">
        <f>SUM(H117:H119)</f>
        <v>#VALUE!</v>
      </c>
      <c r="I120" s="84" t="str">
        <f>CONCATENATE("m'(",C119,")=")</f>
        <v>m'(  )=</v>
      </c>
      <c r="J120" s="84" t="e">
        <f>2*(J117*(WLS))/3*H120</f>
        <v>#VALUE!</v>
      </c>
      <c r="K120" s="84" t="e">
        <f>CONCATENATE("M(",C117,")=")</f>
        <v>#VALUE!</v>
      </c>
      <c r="L120" s="84" t="e">
        <f>VLOOKUP(C117,STN_TABLE,4,FALSE)</f>
        <v>#VALUE!</v>
      </c>
      <c r="M120" t="str">
        <f>CONCATENATE("M(",C119,")=")</f>
        <v>M(  )=</v>
      </c>
      <c r="N120" t="e">
        <f>J120+L120</f>
        <v>#VALUE!</v>
      </c>
      <c r="O120" s="99">
        <f>O119+1</f>
        <v>21</v>
      </c>
      <c r="P120" s="99" t="str">
        <f t="shared" si="44"/>
        <v xml:space="preserve">  </v>
      </c>
      <c r="T120" s="89" t="e">
        <f>SUM(T117:T119)</f>
        <v>#VALUE!</v>
      </c>
      <c r="V120" s="82" t="e">
        <f>SUM(V117:V119)</f>
        <v>#VALUE!</v>
      </c>
      <c r="W120" s="84" t="str">
        <f>CONCATENATE("m'(",Q118,")=")</f>
        <v>m'(  )=</v>
      </c>
      <c r="X120" s="84" t="e">
        <f>(2*(X117^2)/24*V120)+(X119*Q117*WLS)</f>
        <v>#VALUE!</v>
      </c>
      <c r="Y120" s="84" t="e">
        <f>CONCATENATE("M(",Q117,")=")</f>
        <v>#VALUE!</v>
      </c>
      <c r="Z120" s="84" t="e">
        <f>VLOOKUP(Q117,STN_TABLE,4,FALSE)</f>
        <v>#VALUE!</v>
      </c>
      <c r="AA120" t="str">
        <f>CONCATENATE("M(",Q118,")=")</f>
        <v>M(  )=</v>
      </c>
      <c r="AB120" t="e">
        <f>X120+Z120</f>
        <v>#VALUE!</v>
      </c>
      <c r="AE120" s="89">
        <f>SUM(AE118:AE119)</f>
        <v>0</v>
      </c>
      <c r="AG120" s="89" t="e">
        <f>SUM(AG118:AG119)</f>
        <v>#VALUE!</v>
      </c>
      <c r="AH120" s="84" t="str">
        <f>CONCATENATE("m'(",AD119,")=")</f>
        <v>m'(  )=</v>
      </c>
      <c r="AI120" s="84" t="e">
        <f>(2*(AI117^2)/6*AG120)+(AI119*AD118*WLS)</f>
        <v>#VALUE!</v>
      </c>
      <c r="AJ120" s="84" t="str">
        <f>CONCATENATE("M(",AD118,")=")</f>
        <v>M(  )=</v>
      </c>
      <c r="AK120" s="84" t="str">
        <f>VLOOKUP(AD118,STN_TABLE,4,FALSE)</f>
        <v xml:space="preserve"> </v>
      </c>
      <c r="AL120" t="str">
        <f>CONCATENATE("M(",AD119,")=")</f>
        <v>M(  )=</v>
      </c>
      <c r="AM120" t="e">
        <f>AI120+AK120</f>
        <v>#VALUE!</v>
      </c>
      <c r="AO120" s="82" t="str">
        <f>AA120</f>
        <v>M(  )=</v>
      </c>
      <c r="AP120" s="82" t="e">
        <f>VLOOKUP(AO120,Rise_Results,2,FALSE)</f>
        <v>#N/A</v>
      </c>
      <c r="AQ120" s="82" t="e">
        <f>N120</f>
        <v>#VALUE!</v>
      </c>
      <c r="AR120" s="82" t="e">
        <f>IF(OR(AB119&lt;=0,AB120&lt;=0),1/0,AB120)</f>
        <v>#VALUE!</v>
      </c>
      <c r="AS120" s="82" t="e">
        <f>AM120</f>
        <v>#VALUE!</v>
      </c>
      <c r="AT120" t="e">
        <f>IFERROR(AP120,IFERROR(AQ120,IFERROR(AR120,AS120)))</f>
        <v>#VALUE!</v>
      </c>
      <c r="AU120" s="81"/>
    </row>
    <row r="121" spans="1:47" x14ac:dyDescent="0.25">
      <c r="A121" s="101">
        <f>A116+1</f>
        <v>16</v>
      </c>
      <c r="B121" s="101" t="str">
        <f t="shared" si="48"/>
        <v xml:space="preserve">  </v>
      </c>
      <c r="O121" s="101">
        <f>O116+1</f>
        <v>18</v>
      </c>
      <c r="P121" s="101" t="str">
        <f t="shared" si="44"/>
        <v xml:space="preserve">  </v>
      </c>
      <c r="AU121" s="81"/>
    </row>
    <row r="122" spans="1:47" x14ac:dyDescent="0.25">
      <c r="A122" s="84">
        <f>A121+1</f>
        <v>17</v>
      </c>
      <c r="B122" s="84" t="str">
        <f t="shared" si="48"/>
        <v xml:space="preserve">  </v>
      </c>
      <c r="C122" s="79" t="e">
        <f t="shared" ref="C122" si="58">IF(C123=B124,IF(C124-C123=C123-B123,B123,IF(C124-C123=C123-B122,B122,"#NA")),IF(C123=B123,IF(C124-C123=C123-B122,B122,IF(C124-C123=C123-B121,B121,"#NA")),"#NA"))</f>
        <v>#VALUE!</v>
      </c>
      <c r="D122" s="68" t="e">
        <f>VLOOKUP(C122,STN_TABLE,2,FALSE)</f>
        <v>#VALUE!</v>
      </c>
      <c r="E122" s="102">
        <v>1</v>
      </c>
      <c r="F122" s="68" t="e">
        <f>D122*E122</f>
        <v>#VALUE!</v>
      </c>
      <c r="G122" s="69" t="e">
        <f>C122</f>
        <v>#VALUE!</v>
      </c>
      <c r="H122" s="69" t="e">
        <f>F122*G122</f>
        <v>#VALUE!</v>
      </c>
      <c r="I122" s="6" t="s">
        <v>93</v>
      </c>
      <c r="J122" s="70" t="e">
        <f>IF(OR(D122=0,D123=0,D124=0),"#NA",IF(AND(C124-C123=C123-C122,C123&lt;&gt;C124,C122&lt;&gt;C123,C122&lt;&gt;C124,D124&lt;&gt;0,OR(D122&lt;&gt;0,D123&lt;&gt;0)),WLS*(C124-C123),"#NA"))</f>
        <v>#VALUE!</v>
      </c>
      <c r="O122" s="99">
        <f>O121+1</f>
        <v>19</v>
      </c>
      <c r="P122" s="99" t="str">
        <f t="shared" si="44"/>
        <v xml:space="preserve">  </v>
      </c>
      <c r="Q122" s="68" t="e">
        <f>IF(OR(P124-P123=P123-P122,P125-P123=P123-P122),P122,IF(OR(P124-P123=P123-P121,P125-P123=P123-P121),P121,"-"))</f>
        <v>#VALUE!</v>
      </c>
      <c r="R122" s="69" t="e">
        <f>VLOOKUP(Q122,STN_TABLE,2,FALSE)</f>
        <v>#VALUE!</v>
      </c>
      <c r="S122" s="69">
        <v>5</v>
      </c>
      <c r="T122" s="68" t="e">
        <f>R122*S122</f>
        <v>#VALUE!</v>
      </c>
      <c r="U122" s="79">
        <v>3</v>
      </c>
      <c r="V122" s="68" t="e">
        <f>R122*U122</f>
        <v>#VALUE!</v>
      </c>
      <c r="W122" s="6" t="s">
        <v>93</v>
      </c>
      <c r="X122" s="70" t="e">
        <f>IF(AND(Q124-Q123=Q123-Q122,NOT(AND(Q122=0,Q123=0)),NOT(AND(Q123=0,Q124=0))),WLS*(Q124-Q123),"#NA")</f>
        <v>#VALUE!</v>
      </c>
      <c r="AD122" s="93"/>
      <c r="AH122" s="6" t="s">
        <v>93</v>
      </c>
      <c r="AI122" s="70" t="e">
        <f>WLS*(AD124-AD123)</f>
        <v>#VALUE!</v>
      </c>
      <c r="AU122" s="81"/>
    </row>
    <row r="123" spans="1:47" x14ac:dyDescent="0.25">
      <c r="A123" s="84">
        <f>A122+1</f>
        <v>18</v>
      </c>
      <c r="B123" s="84" t="str">
        <f t="shared" si="48"/>
        <v xml:space="preserve">  </v>
      </c>
      <c r="C123" s="80" t="e">
        <f t="shared" ref="C123" si="59">IF(OR(B125-B124=B124-B123,B125-B124=B124-B122,B125-B124=B124-B121),B124,IF(OR(B125-B123=B123-B122,B125-B123=B123-B121),B123,IF(B125-B122=B122-B121,B122,"#NA")))</f>
        <v>#VALUE!</v>
      </c>
      <c r="D123" s="76" t="e">
        <f>VLOOKUP(C123,STN_TABLE,2,FALSE)</f>
        <v>#VALUE!</v>
      </c>
      <c r="E123" s="81">
        <v>4</v>
      </c>
      <c r="F123" s="76" t="e">
        <f>D123*E123</f>
        <v>#VALUE!</v>
      </c>
      <c r="G123" s="77" t="e">
        <f>C123</f>
        <v>#VALUE!</v>
      </c>
      <c r="H123" s="77" t="e">
        <f>F123*G123</f>
        <v>#VALUE!</v>
      </c>
      <c r="I123" s="495" t="s">
        <v>97</v>
      </c>
      <c r="J123" s="496"/>
      <c r="K123" s="78" t="s">
        <v>98</v>
      </c>
      <c r="L123" s="78"/>
      <c r="M123" s="7" t="s">
        <v>99</v>
      </c>
      <c r="N123" s="7"/>
      <c r="O123" s="99">
        <f>O122+1</f>
        <v>20</v>
      </c>
      <c r="P123" s="99" t="str">
        <f t="shared" si="44"/>
        <v xml:space="preserve">  </v>
      </c>
      <c r="Q123" s="76" t="str">
        <f>P123</f>
        <v xml:space="preserve">  </v>
      </c>
      <c r="R123" s="77" t="str">
        <f>VLOOKUP(Q123,STN_TABLE,2,FALSE)</f>
        <v xml:space="preserve">  </v>
      </c>
      <c r="S123" s="77">
        <v>8</v>
      </c>
      <c r="T123" s="76" t="e">
        <f>R123*S123</f>
        <v>#VALUE!</v>
      </c>
      <c r="U123" s="80">
        <v>10</v>
      </c>
      <c r="V123" s="76" t="e">
        <f>R123*U123</f>
        <v>#VALUE!</v>
      </c>
      <c r="W123" s="496" t="s">
        <v>97</v>
      </c>
      <c r="X123" s="496"/>
      <c r="Y123" s="496" t="s">
        <v>98</v>
      </c>
      <c r="Z123" s="496"/>
      <c r="AA123" s="494" t="s">
        <v>99</v>
      </c>
      <c r="AB123" s="494"/>
      <c r="AC123" s="99">
        <f>AC118+1</f>
        <v>19</v>
      </c>
      <c r="AD123" s="95" t="str">
        <f>VLOOKUP(AC123,STN_TABLE_2,2,FALSE)</f>
        <v xml:space="preserve">  </v>
      </c>
      <c r="AE123" s="68" t="str">
        <f>VLOOKUP(AD123,STN_TABLE,2,FALSE)</f>
        <v xml:space="preserve">  </v>
      </c>
      <c r="AF123" s="68">
        <v>1</v>
      </c>
      <c r="AG123" s="69" t="e">
        <f>AE123*AF123</f>
        <v>#VALUE!</v>
      </c>
      <c r="AH123" s="496" t="s">
        <v>97</v>
      </c>
      <c r="AI123" s="496"/>
      <c r="AJ123" s="496" t="s">
        <v>98</v>
      </c>
      <c r="AK123" s="496"/>
      <c r="AL123" s="494" t="s">
        <v>99</v>
      </c>
      <c r="AM123" s="494"/>
      <c r="AP123" s="86" t="s">
        <v>112</v>
      </c>
      <c r="AQ123" s="89" t="s">
        <v>113</v>
      </c>
      <c r="AR123" s="89" t="s">
        <v>114</v>
      </c>
      <c r="AS123" s="89" t="s">
        <v>115</v>
      </c>
      <c r="AU123" s="81"/>
    </row>
    <row r="124" spans="1:47" x14ac:dyDescent="0.25">
      <c r="A124" s="84">
        <f>A123+1</f>
        <v>19</v>
      </c>
      <c r="B124" s="84" t="str">
        <f t="shared" si="48"/>
        <v xml:space="preserve">  </v>
      </c>
      <c r="C124" s="88" t="str">
        <f t="shared" ref="C124" si="60">B125</f>
        <v xml:space="preserve">  </v>
      </c>
      <c r="D124" s="82" t="str">
        <f>VLOOKUP(C124,STN_TABLE,2,FALSE)</f>
        <v xml:space="preserve">  </v>
      </c>
      <c r="E124" s="92">
        <v>1</v>
      </c>
      <c r="F124" s="82" t="e">
        <f>D124*E124</f>
        <v>#VALUE!</v>
      </c>
      <c r="G124" s="83" t="str">
        <f>C124</f>
        <v xml:space="preserve">  </v>
      </c>
      <c r="H124" s="83" t="e">
        <f>F124*G124</f>
        <v>#VALUE!</v>
      </c>
      <c r="I124" s="84" t="str">
        <f>CONCATENATE("a'(",C124,")=")</f>
        <v>a'(  )=</v>
      </c>
      <c r="J124" s="84" t="e">
        <f>2*J122/3*F125</f>
        <v>#VALUE!</v>
      </c>
      <c r="K124" s="84" t="e">
        <f>CONCATENATE("A(",C122,")=")</f>
        <v>#VALUE!</v>
      </c>
      <c r="L124" s="84" t="e">
        <f>VLOOKUP(C122,STN_TABLE,3,FALSE)</f>
        <v>#VALUE!</v>
      </c>
      <c r="M124" t="str">
        <f>CONCATENATE("A(",C124,")=")</f>
        <v>A(  )=</v>
      </c>
      <c r="N124" t="e">
        <f>J124+L124</f>
        <v>#VALUE!</v>
      </c>
      <c r="O124" s="99">
        <f>O123+1</f>
        <v>21</v>
      </c>
      <c r="P124" s="99" t="str">
        <f t="shared" si="44"/>
        <v xml:space="preserve">  </v>
      </c>
      <c r="Q124" s="82" t="e">
        <f>IF(P124-P123=P123-P122,P124,IF(P125-P123=P123-P122,P125,IF(P124-P123=P123-P121,P124,IF(P125-P123=P123-P121,P125,"-"))))</f>
        <v>#VALUE!</v>
      </c>
      <c r="R124" s="83" t="e">
        <f>VLOOKUP(Q124,STN_TABLE,2,FALSE)</f>
        <v>#VALUE!</v>
      </c>
      <c r="S124" s="83">
        <v>-1</v>
      </c>
      <c r="T124" s="82" t="e">
        <f>R124*S124</f>
        <v>#VALUE!</v>
      </c>
      <c r="U124" s="88">
        <v>-1</v>
      </c>
      <c r="V124" s="82" t="e">
        <f>R124*U124</f>
        <v>#VALUE!</v>
      </c>
      <c r="W124" s="84" t="str">
        <f>CONCATENATE("a'(",Q123,")=")</f>
        <v>a'(  )=</v>
      </c>
      <c r="X124" s="84" t="e">
        <f>2*X122/12*T125</f>
        <v>#VALUE!</v>
      </c>
      <c r="Y124" s="84" t="e">
        <f>CONCATENATE("A(",Q122,")=")</f>
        <v>#VALUE!</v>
      </c>
      <c r="Z124" s="84" t="e">
        <f>VLOOKUP(Q122,STN_TABLE,3,FALSE)</f>
        <v>#VALUE!</v>
      </c>
      <c r="AA124" t="str">
        <f>CONCATENATE("A(",Q123,")=")</f>
        <v>A(  )=</v>
      </c>
      <c r="AB124" t="e">
        <f>X124+Z124</f>
        <v>#VALUE!</v>
      </c>
      <c r="AC124" s="99">
        <f>AC123+1</f>
        <v>20</v>
      </c>
      <c r="AD124" s="100" t="str">
        <f>VLOOKUP(AC124,STN_TABLE_2,2,FALSE)</f>
        <v xml:space="preserve">  </v>
      </c>
      <c r="AE124" s="82" t="str">
        <f>VLOOKUP(AD124,STN_TABLE,2,FALSE)</f>
        <v xml:space="preserve">  </v>
      </c>
      <c r="AF124" s="82">
        <v>2</v>
      </c>
      <c r="AG124" s="83" t="e">
        <f>AE124*AF124</f>
        <v>#VALUE!</v>
      </c>
      <c r="AH124" s="84" t="str">
        <f>CONCATENATE("a'(",AD124,")=")</f>
        <v>a'(  )=</v>
      </c>
      <c r="AI124" s="84" t="e">
        <f>2*AI122/2*AE125</f>
        <v>#VALUE!</v>
      </c>
      <c r="AJ124" s="84" t="str">
        <f>CONCATENATE("A(",AD123,")=")</f>
        <v>A(  )=</v>
      </c>
      <c r="AK124" s="84" t="str">
        <f>VLOOKUP(AD123,STN_TABLE,3,FALSE)</f>
        <v xml:space="preserve"> </v>
      </c>
      <c r="AL124" t="str">
        <f>CONCATENATE("A(",AD124,")=")</f>
        <v>A(  )=</v>
      </c>
      <c r="AM124" t="e">
        <f>AI124+AK124</f>
        <v>#VALUE!</v>
      </c>
      <c r="AO124" s="68" t="str">
        <f>AA124</f>
        <v>A(  )=</v>
      </c>
      <c r="AP124" s="68" t="e">
        <f>VLOOKUP(AO124,Rise_Results,2,FALSE)</f>
        <v>#N/A</v>
      </c>
      <c r="AQ124" s="76" t="e">
        <f>N124</f>
        <v>#VALUE!</v>
      </c>
      <c r="AR124" s="76" t="e">
        <f>IF(OR(AB124&lt;=0,AB125&lt;=0),1/0,AB124)</f>
        <v>#VALUE!</v>
      </c>
      <c r="AS124" s="76" t="e">
        <f>AM124</f>
        <v>#VALUE!</v>
      </c>
      <c r="AT124" t="e">
        <f>IFERROR(AP124,IFERROR(AQ124,IFERROR(AR124,AS124)))</f>
        <v>#VALUE!</v>
      </c>
      <c r="AU124" s="81"/>
    </row>
    <row r="125" spans="1:47" x14ac:dyDescent="0.25">
      <c r="A125" s="84">
        <f>A124+1</f>
        <v>20</v>
      </c>
      <c r="B125" s="84" t="str">
        <f t="shared" si="48"/>
        <v xml:space="preserve">  </v>
      </c>
      <c r="F125" s="82" t="e">
        <f>SUM(F122:F124)</f>
        <v>#VALUE!</v>
      </c>
      <c r="H125" s="82" t="e">
        <f>SUM(H122:H124)</f>
        <v>#VALUE!</v>
      </c>
      <c r="I125" s="84" t="str">
        <f>CONCATENATE("m'(",C124,")=")</f>
        <v>m'(  )=</v>
      </c>
      <c r="J125" s="84" t="e">
        <f>2*(J122*(WLS))/3*H125</f>
        <v>#VALUE!</v>
      </c>
      <c r="K125" s="84" t="e">
        <f>CONCATENATE("M(",C122,")=")</f>
        <v>#VALUE!</v>
      </c>
      <c r="L125" s="84" t="e">
        <f>VLOOKUP(C122,STN_TABLE,4,FALSE)</f>
        <v>#VALUE!</v>
      </c>
      <c r="M125" t="str">
        <f>CONCATENATE("M(",C124,")=")</f>
        <v>M(  )=</v>
      </c>
      <c r="N125" t="e">
        <f>J125+L125</f>
        <v>#VALUE!</v>
      </c>
      <c r="O125" s="99">
        <f>O124+1</f>
        <v>22</v>
      </c>
      <c r="P125" s="99" t="str">
        <f t="shared" si="44"/>
        <v xml:space="preserve">  </v>
      </c>
      <c r="T125" s="89" t="e">
        <f>SUM(T122:T124)</f>
        <v>#VALUE!</v>
      </c>
      <c r="V125" s="82" t="e">
        <f>SUM(V122:V124)</f>
        <v>#VALUE!</v>
      </c>
      <c r="W125" s="84" t="str">
        <f>CONCATENATE("m'(",Q123,")=")</f>
        <v>m'(  )=</v>
      </c>
      <c r="X125" s="84" t="e">
        <f>(2*(X122^2)/24*V125)+(X124*Q122*WLS)</f>
        <v>#VALUE!</v>
      </c>
      <c r="Y125" s="84" t="e">
        <f>CONCATENATE("M(",Q122,")=")</f>
        <v>#VALUE!</v>
      </c>
      <c r="Z125" s="84" t="e">
        <f>VLOOKUP(Q122,STN_TABLE,4,FALSE)</f>
        <v>#VALUE!</v>
      </c>
      <c r="AA125" t="str">
        <f>CONCATENATE("M(",Q123,")=")</f>
        <v>M(  )=</v>
      </c>
      <c r="AB125" t="e">
        <f>X125+Z125</f>
        <v>#VALUE!</v>
      </c>
      <c r="AE125" s="89">
        <f>SUM(AE123:AE124)</f>
        <v>0</v>
      </c>
      <c r="AG125" s="89" t="e">
        <f>SUM(AG123:AG124)</f>
        <v>#VALUE!</v>
      </c>
      <c r="AH125" s="84" t="str">
        <f>CONCATENATE("m'(",AD124,")=")</f>
        <v>m'(  )=</v>
      </c>
      <c r="AI125" s="84" t="e">
        <f>(2*(AI122^2)/6*AG125)+(AI124*AD123*WLS)</f>
        <v>#VALUE!</v>
      </c>
      <c r="AJ125" s="84" t="str">
        <f>CONCATENATE("M(",AD123,")=")</f>
        <v>M(  )=</v>
      </c>
      <c r="AK125" s="84" t="str">
        <f>VLOOKUP(AD123,STN_TABLE,4,FALSE)</f>
        <v xml:space="preserve"> </v>
      </c>
      <c r="AL125" t="str">
        <f>CONCATENATE("M(",AD124,")=")</f>
        <v>M(  )=</v>
      </c>
      <c r="AM125" t="e">
        <f>AI125+AK125</f>
        <v>#VALUE!</v>
      </c>
      <c r="AO125" s="82" t="str">
        <f>AA125</f>
        <v>M(  )=</v>
      </c>
      <c r="AP125" s="82" t="e">
        <f>VLOOKUP(AO125,Rise_Results,2,FALSE)</f>
        <v>#N/A</v>
      </c>
      <c r="AQ125" s="82" t="e">
        <f>N125</f>
        <v>#VALUE!</v>
      </c>
      <c r="AR125" s="82" t="e">
        <f>IF(OR(AB124&lt;=0,AB125&lt;=0),1/0,AB125)</f>
        <v>#VALUE!</v>
      </c>
      <c r="AS125" s="82" t="e">
        <f>AM125</f>
        <v>#VALUE!</v>
      </c>
      <c r="AT125" t="e">
        <f>IFERROR(AP125,IFERROR(AQ125,IFERROR(AR125,AS125)))</f>
        <v>#VALUE!</v>
      </c>
      <c r="AU125" s="81"/>
    </row>
    <row r="126" spans="1:47" x14ac:dyDescent="0.25">
      <c r="A126" s="101">
        <f>A121+1</f>
        <v>17</v>
      </c>
      <c r="B126" s="101" t="str">
        <f t="shared" si="48"/>
        <v xml:space="preserve">  </v>
      </c>
      <c r="O126" s="101">
        <f>O121+1</f>
        <v>19</v>
      </c>
      <c r="P126" s="101" t="str">
        <f t="shared" si="44"/>
        <v xml:space="preserve">  </v>
      </c>
      <c r="AU126" s="81"/>
    </row>
    <row r="127" spans="1:47" x14ac:dyDescent="0.25">
      <c r="A127" s="84">
        <f>A126+1</f>
        <v>18</v>
      </c>
      <c r="B127" s="84" t="str">
        <f t="shared" si="48"/>
        <v xml:space="preserve">  </v>
      </c>
      <c r="C127" s="79" t="e">
        <f t="shared" ref="C127" si="61">IF(C128=B129,IF(C129-C128=C128-B128,B128,IF(C129-C128=C128-B127,B127,"#NA")),IF(C128=B128,IF(C129-C128=C128-B127,B127,IF(C129-C128=C128-B126,B126,"#NA")),"#NA"))</f>
        <v>#VALUE!</v>
      </c>
      <c r="D127" s="68" t="e">
        <f>VLOOKUP(C127,STN_TABLE,2,FALSE)</f>
        <v>#VALUE!</v>
      </c>
      <c r="E127" s="102">
        <v>1</v>
      </c>
      <c r="F127" s="68" t="e">
        <f>D127*E127</f>
        <v>#VALUE!</v>
      </c>
      <c r="G127" s="69" t="e">
        <f>C127</f>
        <v>#VALUE!</v>
      </c>
      <c r="H127" s="69" t="e">
        <f>F127*G127</f>
        <v>#VALUE!</v>
      </c>
      <c r="I127" s="6" t="s">
        <v>93</v>
      </c>
      <c r="J127" s="70" t="e">
        <f>IF(OR(D127=0,D128=0,D129=0),"#NA",IF(AND(C129-C128=C128-C127,C128&lt;&gt;C129,C127&lt;&gt;C128,C127&lt;&gt;C129,D129&lt;&gt;0,OR(D127&lt;&gt;0,D128&lt;&gt;0)),WLS*(C129-C128),"#NA"))</f>
        <v>#VALUE!</v>
      </c>
      <c r="O127" s="99">
        <f>O126+1</f>
        <v>20</v>
      </c>
      <c r="P127" s="99" t="str">
        <f t="shared" si="44"/>
        <v xml:space="preserve">  </v>
      </c>
      <c r="Q127" s="68" t="e">
        <f>IF(OR(P129-P128=P128-P127,P130-P128=P128-P127),P127,IF(OR(P129-P128=P128-P126,P130-P128=P128-P126),P126,"-"))</f>
        <v>#VALUE!</v>
      </c>
      <c r="R127" s="69" t="e">
        <f>VLOOKUP(Q127,STN_TABLE,2,FALSE)</f>
        <v>#VALUE!</v>
      </c>
      <c r="S127" s="69">
        <v>5</v>
      </c>
      <c r="T127" s="68" t="e">
        <f>R127*S127</f>
        <v>#VALUE!</v>
      </c>
      <c r="U127" s="79">
        <v>3</v>
      </c>
      <c r="V127" s="68" t="e">
        <f>R127*U127</f>
        <v>#VALUE!</v>
      </c>
      <c r="W127" s="6" t="s">
        <v>93</v>
      </c>
      <c r="X127" s="70" t="e">
        <f>IF(AND(Q129-Q128=Q128-Q127,NOT(AND(Q127=0,Q128=0)),NOT(AND(Q128=0,Q129=0))),WLS*(Q129-Q128),"#NA")</f>
        <v>#VALUE!</v>
      </c>
      <c r="AD127" s="93"/>
      <c r="AH127" s="6" t="s">
        <v>93</v>
      </c>
      <c r="AI127" s="70" t="e">
        <f>WLS*(AD129-AD128)</f>
        <v>#VALUE!</v>
      </c>
      <c r="AU127" s="81"/>
    </row>
    <row r="128" spans="1:47" x14ac:dyDescent="0.25">
      <c r="A128" s="84">
        <f>A127+1</f>
        <v>19</v>
      </c>
      <c r="B128" s="84" t="str">
        <f t="shared" si="48"/>
        <v xml:space="preserve">  </v>
      </c>
      <c r="C128" s="80" t="e">
        <f t="shared" ref="C128" si="62">IF(OR(B130-B129=B129-B128,B130-B129=B129-B127,B130-B129=B129-B126),B129,IF(OR(B130-B128=B128-B127,B130-B128=B128-B126),B128,IF(B130-B127=B127-B126,B127,"#NA")))</f>
        <v>#VALUE!</v>
      </c>
      <c r="D128" s="76" t="e">
        <f>VLOOKUP(C128,STN_TABLE,2,FALSE)</f>
        <v>#VALUE!</v>
      </c>
      <c r="E128" s="81">
        <v>4</v>
      </c>
      <c r="F128" s="76" t="e">
        <f>D128*E128</f>
        <v>#VALUE!</v>
      </c>
      <c r="G128" s="77" t="e">
        <f>C128</f>
        <v>#VALUE!</v>
      </c>
      <c r="H128" s="77" t="e">
        <f>F128*G128</f>
        <v>#VALUE!</v>
      </c>
      <c r="I128" s="495" t="s">
        <v>97</v>
      </c>
      <c r="J128" s="496"/>
      <c r="K128" s="78" t="s">
        <v>98</v>
      </c>
      <c r="L128" s="78"/>
      <c r="M128" s="7" t="s">
        <v>99</v>
      </c>
      <c r="N128" s="7"/>
      <c r="O128" s="99">
        <f>O127+1</f>
        <v>21</v>
      </c>
      <c r="P128" s="99" t="str">
        <f t="shared" si="44"/>
        <v xml:space="preserve">  </v>
      </c>
      <c r="Q128" s="76" t="str">
        <f>P128</f>
        <v xml:space="preserve">  </v>
      </c>
      <c r="R128" s="77" t="str">
        <f>VLOOKUP(Q128,STN_TABLE,2,FALSE)</f>
        <v xml:space="preserve">  </v>
      </c>
      <c r="S128" s="77">
        <v>8</v>
      </c>
      <c r="T128" s="76" t="e">
        <f>R128*S128</f>
        <v>#VALUE!</v>
      </c>
      <c r="U128" s="80">
        <v>10</v>
      </c>
      <c r="V128" s="76" t="e">
        <f>R128*U128</f>
        <v>#VALUE!</v>
      </c>
      <c r="W128" s="496" t="s">
        <v>97</v>
      </c>
      <c r="X128" s="496"/>
      <c r="Y128" s="496" t="s">
        <v>98</v>
      </c>
      <c r="Z128" s="496"/>
      <c r="AA128" s="494" t="s">
        <v>99</v>
      </c>
      <c r="AB128" s="494"/>
      <c r="AC128" s="99">
        <f>AC123+1</f>
        <v>20</v>
      </c>
      <c r="AD128" s="95" t="str">
        <f>VLOOKUP(AC128,STN_TABLE_2,2,FALSE)</f>
        <v xml:space="preserve">  </v>
      </c>
      <c r="AE128" s="68" t="str">
        <f>VLOOKUP(AD128,STN_TABLE,2,FALSE)</f>
        <v xml:space="preserve">  </v>
      </c>
      <c r="AF128" s="68">
        <v>1</v>
      </c>
      <c r="AG128" s="69" t="e">
        <f>AE128*AF128</f>
        <v>#VALUE!</v>
      </c>
      <c r="AH128" s="496" t="s">
        <v>97</v>
      </c>
      <c r="AI128" s="496"/>
      <c r="AJ128" s="496" t="s">
        <v>98</v>
      </c>
      <c r="AK128" s="496"/>
      <c r="AL128" s="494" t="s">
        <v>99</v>
      </c>
      <c r="AM128" s="494"/>
      <c r="AP128" s="86" t="s">
        <v>112</v>
      </c>
      <c r="AQ128" s="89" t="s">
        <v>113</v>
      </c>
      <c r="AR128" s="89" t="s">
        <v>114</v>
      </c>
      <c r="AS128" s="89" t="s">
        <v>115</v>
      </c>
      <c r="AU128" s="81"/>
    </row>
    <row r="129" spans="1:47" x14ac:dyDescent="0.25">
      <c r="A129" s="84">
        <f>A128+1</f>
        <v>20</v>
      </c>
      <c r="B129" s="84" t="str">
        <f t="shared" si="48"/>
        <v xml:space="preserve">  </v>
      </c>
      <c r="C129" s="88" t="str">
        <f t="shared" ref="C129" si="63">B130</f>
        <v xml:space="preserve">  </v>
      </c>
      <c r="D129" s="82" t="str">
        <f>VLOOKUP(C129,STN_TABLE,2,FALSE)</f>
        <v xml:space="preserve">  </v>
      </c>
      <c r="E129" s="92">
        <v>1</v>
      </c>
      <c r="F129" s="82" t="e">
        <f>D129*E129</f>
        <v>#VALUE!</v>
      </c>
      <c r="G129" s="83" t="str">
        <f>C129</f>
        <v xml:space="preserve">  </v>
      </c>
      <c r="H129" s="83" t="e">
        <f>F129*G129</f>
        <v>#VALUE!</v>
      </c>
      <c r="I129" s="84" t="str">
        <f>CONCATENATE("a'(",C129,")=")</f>
        <v>a'(  )=</v>
      </c>
      <c r="J129" s="84" t="e">
        <f>2*J127/3*F130</f>
        <v>#VALUE!</v>
      </c>
      <c r="K129" s="84" t="e">
        <f>CONCATENATE("A(",C127,")=")</f>
        <v>#VALUE!</v>
      </c>
      <c r="L129" s="84" t="e">
        <f>VLOOKUP(C127,STN_TABLE,3,FALSE)</f>
        <v>#VALUE!</v>
      </c>
      <c r="M129" t="str">
        <f>CONCATENATE("A(",C129,")=")</f>
        <v>A(  )=</v>
      </c>
      <c r="N129" t="e">
        <f>J129+L129</f>
        <v>#VALUE!</v>
      </c>
      <c r="O129" s="99">
        <f>O128+1</f>
        <v>22</v>
      </c>
      <c r="P129" s="99" t="str">
        <f t="shared" si="44"/>
        <v xml:space="preserve">  </v>
      </c>
      <c r="Q129" s="82" t="e">
        <f>IF(P129-P128=P128-P127,P129,IF(P130-P128=P128-P127,P130,IF(P129-P128=P128-P126,P129,IF(P130-P128=P128-P126,P130,"-"))))</f>
        <v>#VALUE!</v>
      </c>
      <c r="R129" s="83" t="e">
        <f>VLOOKUP(Q129,STN_TABLE,2,FALSE)</f>
        <v>#VALUE!</v>
      </c>
      <c r="S129" s="83">
        <v>-1</v>
      </c>
      <c r="T129" s="82" t="e">
        <f>R129*S129</f>
        <v>#VALUE!</v>
      </c>
      <c r="U129" s="88">
        <v>-1</v>
      </c>
      <c r="V129" s="82" t="e">
        <f>R129*U129</f>
        <v>#VALUE!</v>
      </c>
      <c r="W129" s="84" t="str">
        <f>CONCATENATE("a'(",Q128,")=")</f>
        <v>a'(  )=</v>
      </c>
      <c r="X129" s="84" t="e">
        <f>2*X127/12*T130</f>
        <v>#VALUE!</v>
      </c>
      <c r="Y129" s="84" t="e">
        <f>CONCATENATE("A(",Q127,")=")</f>
        <v>#VALUE!</v>
      </c>
      <c r="Z129" s="84" t="e">
        <f>VLOOKUP(Q127,STN_TABLE,3,FALSE)</f>
        <v>#VALUE!</v>
      </c>
      <c r="AA129" t="str">
        <f>CONCATENATE("A(",Q128,")=")</f>
        <v>A(  )=</v>
      </c>
      <c r="AB129" t="e">
        <f>X129+Z129</f>
        <v>#VALUE!</v>
      </c>
      <c r="AC129" s="99">
        <f>AC128+1</f>
        <v>21</v>
      </c>
      <c r="AD129" s="100" t="str">
        <f>VLOOKUP(AC129,STN_TABLE_2,2,FALSE)</f>
        <v xml:space="preserve">  </v>
      </c>
      <c r="AE129" s="82" t="str">
        <f>VLOOKUP(AD129,STN_TABLE,2,FALSE)</f>
        <v xml:space="preserve">  </v>
      </c>
      <c r="AF129" s="82">
        <v>2</v>
      </c>
      <c r="AG129" s="83" t="e">
        <f>AE129*AF129</f>
        <v>#VALUE!</v>
      </c>
      <c r="AH129" s="84" t="str">
        <f>CONCATENATE("a'(",AD129,")=")</f>
        <v>a'(  )=</v>
      </c>
      <c r="AI129" s="84" t="e">
        <f>2*AI127/2*AE130</f>
        <v>#VALUE!</v>
      </c>
      <c r="AJ129" s="84" t="str">
        <f>CONCATENATE("A(",AD128,")=")</f>
        <v>A(  )=</v>
      </c>
      <c r="AK129" s="84" t="str">
        <f>VLOOKUP(AD128,STN_TABLE,3,FALSE)</f>
        <v xml:space="preserve"> </v>
      </c>
      <c r="AL129" t="str">
        <f>CONCATENATE("A(",AD129,")=")</f>
        <v>A(  )=</v>
      </c>
      <c r="AM129" t="e">
        <f>AI129+AK129</f>
        <v>#VALUE!</v>
      </c>
      <c r="AO129" s="68" t="str">
        <f>AA129</f>
        <v>A(  )=</v>
      </c>
      <c r="AP129" s="68" t="e">
        <f>VLOOKUP(AO129,Rise_Results,2,FALSE)</f>
        <v>#N/A</v>
      </c>
      <c r="AQ129" s="76" t="e">
        <f>N129</f>
        <v>#VALUE!</v>
      </c>
      <c r="AR129" s="76" t="e">
        <f>IF(OR(AB129&lt;=0,AB130&lt;=0),1/0,AB129)</f>
        <v>#VALUE!</v>
      </c>
      <c r="AS129" s="76" t="e">
        <f>AM129</f>
        <v>#VALUE!</v>
      </c>
      <c r="AT129" t="e">
        <f>IFERROR(AP129,IFERROR(AQ129,IFERROR(AR129,AS129)))</f>
        <v>#VALUE!</v>
      </c>
      <c r="AU129" s="81"/>
    </row>
    <row r="130" spans="1:47" x14ac:dyDescent="0.25">
      <c r="A130" s="84">
        <f>A129+1</f>
        <v>21</v>
      </c>
      <c r="B130" s="84" t="str">
        <f t="shared" si="48"/>
        <v xml:space="preserve">  </v>
      </c>
      <c r="F130" s="82" t="e">
        <f>SUM(F127:F129)</f>
        <v>#VALUE!</v>
      </c>
      <c r="H130" s="82" t="e">
        <f>SUM(H127:H129)</f>
        <v>#VALUE!</v>
      </c>
      <c r="I130" s="84" t="str">
        <f>CONCATENATE("m'(",C129,")=")</f>
        <v>m'(  )=</v>
      </c>
      <c r="J130" s="84" t="e">
        <f>2*(J127*(WLS))/3*H130</f>
        <v>#VALUE!</v>
      </c>
      <c r="K130" s="84" t="e">
        <f>CONCATENATE("M(",C127,")=")</f>
        <v>#VALUE!</v>
      </c>
      <c r="L130" s="84" t="e">
        <f>VLOOKUP(C127,STN_TABLE,4,FALSE)</f>
        <v>#VALUE!</v>
      </c>
      <c r="M130" t="str">
        <f>CONCATENATE("M(",C129,")=")</f>
        <v>M(  )=</v>
      </c>
      <c r="N130" t="e">
        <f>J130+L130</f>
        <v>#VALUE!</v>
      </c>
      <c r="O130" s="99">
        <f>O129+1</f>
        <v>23</v>
      </c>
      <c r="P130" s="99" t="str">
        <f t="shared" si="44"/>
        <v xml:space="preserve">  </v>
      </c>
      <c r="T130" s="89" t="e">
        <f>SUM(T127:T129)</f>
        <v>#VALUE!</v>
      </c>
      <c r="V130" s="82" t="e">
        <f>SUM(V127:V129)</f>
        <v>#VALUE!</v>
      </c>
      <c r="W130" s="84" t="str">
        <f>CONCATENATE("m'(",Q128,")=")</f>
        <v>m'(  )=</v>
      </c>
      <c r="X130" s="84" t="e">
        <f>(2*(X127^2)/24*V130)+(X129*Q127*WLS)</f>
        <v>#VALUE!</v>
      </c>
      <c r="Y130" s="84" t="e">
        <f>CONCATENATE("M(",Q127,")=")</f>
        <v>#VALUE!</v>
      </c>
      <c r="Z130" s="84" t="e">
        <f>VLOOKUP(Q127,STN_TABLE,4,FALSE)</f>
        <v>#VALUE!</v>
      </c>
      <c r="AA130" t="str">
        <f>CONCATENATE("M(",Q128,")=")</f>
        <v>M(  )=</v>
      </c>
      <c r="AB130" t="e">
        <f>X130+Z130</f>
        <v>#VALUE!</v>
      </c>
      <c r="AE130" s="89">
        <f>SUM(AE128:AE129)</f>
        <v>0</v>
      </c>
      <c r="AG130" s="89" t="e">
        <f>SUM(AG128:AG129)</f>
        <v>#VALUE!</v>
      </c>
      <c r="AH130" s="84" t="str">
        <f>CONCATENATE("m'(",AD129,")=")</f>
        <v>m'(  )=</v>
      </c>
      <c r="AI130" s="84" t="e">
        <f>(2*(AI127^2)/6*AG130)+(AI129*AD128*WLS)</f>
        <v>#VALUE!</v>
      </c>
      <c r="AJ130" s="84" t="str">
        <f>CONCATENATE("M(",AD128,")=")</f>
        <v>M(  )=</v>
      </c>
      <c r="AK130" s="84" t="str">
        <f>VLOOKUP(AD128,STN_TABLE,4,FALSE)</f>
        <v xml:space="preserve"> </v>
      </c>
      <c r="AL130" t="str">
        <f>CONCATENATE("M(",AD129,")=")</f>
        <v>M(  )=</v>
      </c>
      <c r="AM130" t="e">
        <f>AI130+AK130</f>
        <v>#VALUE!</v>
      </c>
      <c r="AO130" s="82" t="str">
        <f>AA130</f>
        <v>M(  )=</v>
      </c>
      <c r="AP130" s="82" t="e">
        <f>VLOOKUP(AO130,Rise_Results,2,FALSE)</f>
        <v>#N/A</v>
      </c>
      <c r="AQ130" s="82" t="e">
        <f>N130</f>
        <v>#VALUE!</v>
      </c>
      <c r="AR130" s="82" t="e">
        <f>IF(OR(AB129&lt;=0,AB130&lt;=0),1/0,AB130)</f>
        <v>#VALUE!</v>
      </c>
      <c r="AS130" s="82" t="e">
        <f>AM130</f>
        <v>#VALUE!</v>
      </c>
      <c r="AT130" t="e">
        <f>IFERROR(AP130,IFERROR(AQ130,IFERROR(AR130,AS130)))</f>
        <v>#VALUE!</v>
      </c>
      <c r="AU130" s="81"/>
    </row>
    <row r="131" spans="1:47" x14ac:dyDescent="0.25">
      <c r="A131" s="101">
        <f>A126+1</f>
        <v>18</v>
      </c>
      <c r="B131" s="101" t="str">
        <f t="shared" si="48"/>
        <v xml:space="preserve">  </v>
      </c>
      <c r="O131" s="101">
        <f>O126+1</f>
        <v>20</v>
      </c>
      <c r="P131" s="101" t="str">
        <f t="shared" si="44"/>
        <v xml:space="preserve">  </v>
      </c>
      <c r="AU131" s="81"/>
    </row>
    <row r="132" spans="1:47" x14ac:dyDescent="0.25">
      <c r="A132" s="84">
        <f>A131+1</f>
        <v>19</v>
      </c>
      <c r="B132" s="84" t="str">
        <f t="shared" si="48"/>
        <v xml:space="preserve">  </v>
      </c>
      <c r="C132" s="79" t="e">
        <f t="shared" ref="C132" si="64">IF(C133=B134,IF(C134-C133=C133-B133,B133,IF(C134-C133=C133-B132,B132,"#NA")),IF(C133=B133,IF(C134-C133=C133-B132,B132,IF(C134-C133=C133-B131,B131,"#NA")),"#NA"))</f>
        <v>#VALUE!</v>
      </c>
      <c r="D132" s="68" t="e">
        <f>VLOOKUP(C132,STN_TABLE,2,FALSE)</f>
        <v>#VALUE!</v>
      </c>
      <c r="E132" s="102">
        <v>1</v>
      </c>
      <c r="F132" s="68" t="e">
        <f>D132*E132</f>
        <v>#VALUE!</v>
      </c>
      <c r="G132" s="69" t="e">
        <f>C132</f>
        <v>#VALUE!</v>
      </c>
      <c r="H132" s="69" t="e">
        <f>F132*G132</f>
        <v>#VALUE!</v>
      </c>
      <c r="I132" s="6" t="s">
        <v>93</v>
      </c>
      <c r="J132" s="70" t="e">
        <f>IF(OR(D132=0,D133=0,D134=0),"#NA",IF(AND(C134-C133=C133-C132,C133&lt;&gt;C134,C132&lt;&gt;C133,C132&lt;&gt;C134,D134&lt;&gt;0,OR(D132&lt;&gt;0,D133&lt;&gt;0)),WLS*(C134-C133),"#NA"))</f>
        <v>#VALUE!</v>
      </c>
      <c r="O132" s="99">
        <f>O131+1</f>
        <v>21</v>
      </c>
      <c r="P132" s="99" t="str">
        <f t="shared" ref="P132:P150" si="65">VLOOKUP(O132,STN_TABLE_2,2,FALSE)</f>
        <v xml:space="preserve">  </v>
      </c>
      <c r="Q132" s="68" t="e">
        <f>IF(OR(P134-P133=P133-P132,P135-P133=P133-P132),P132,IF(OR(P134-P133=P133-P131,P135-P133=P133-P131),P131,"-"))</f>
        <v>#VALUE!</v>
      </c>
      <c r="R132" s="69" t="e">
        <f>VLOOKUP(Q132,STN_TABLE,2,FALSE)</f>
        <v>#VALUE!</v>
      </c>
      <c r="S132" s="69">
        <v>5</v>
      </c>
      <c r="T132" s="68" t="e">
        <f>R132*S132</f>
        <v>#VALUE!</v>
      </c>
      <c r="U132" s="79">
        <v>3</v>
      </c>
      <c r="V132" s="68" t="e">
        <f>R132*U132</f>
        <v>#VALUE!</v>
      </c>
      <c r="W132" s="6" t="s">
        <v>93</v>
      </c>
      <c r="X132" s="70" t="e">
        <f>IF(AND(Q134-Q133=Q133-Q132,NOT(AND(Q132=0,Q133=0)),NOT(AND(Q133=0,Q134=0))),WLS*(Q134-Q133),"#NA")</f>
        <v>#VALUE!</v>
      </c>
      <c r="AD132" s="93"/>
      <c r="AH132" s="6" t="s">
        <v>93</v>
      </c>
      <c r="AI132" s="70" t="e">
        <f>WLS*(AD134-AD133)</f>
        <v>#VALUE!</v>
      </c>
      <c r="AU132" s="81"/>
    </row>
    <row r="133" spans="1:47" x14ac:dyDescent="0.25">
      <c r="A133" s="84">
        <f>A132+1</f>
        <v>20</v>
      </c>
      <c r="B133" s="84" t="str">
        <f t="shared" si="48"/>
        <v xml:space="preserve">  </v>
      </c>
      <c r="C133" s="80" t="e">
        <f t="shared" ref="C133" si="66">IF(OR(B135-B134=B134-B133,B135-B134=B134-B132,B135-B134=B134-B131),B134,IF(OR(B135-B133=B133-B132,B135-B133=B133-B131),B133,IF(B135-B132=B132-B131,B132,"#NA")))</f>
        <v>#VALUE!</v>
      </c>
      <c r="D133" s="76" t="e">
        <f>VLOOKUP(C133,STN_TABLE,2,FALSE)</f>
        <v>#VALUE!</v>
      </c>
      <c r="E133" s="81">
        <v>4</v>
      </c>
      <c r="F133" s="76" t="e">
        <f>D133*E133</f>
        <v>#VALUE!</v>
      </c>
      <c r="G133" s="77" t="e">
        <f>C133</f>
        <v>#VALUE!</v>
      </c>
      <c r="H133" s="77" t="e">
        <f>F133*G133</f>
        <v>#VALUE!</v>
      </c>
      <c r="I133" s="495" t="s">
        <v>97</v>
      </c>
      <c r="J133" s="496"/>
      <c r="K133" s="78" t="s">
        <v>98</v>
      </c>
      <c r="L133" s="78"/>
      <c r="M133" s="7" t="s">
        <v>99</v>
      </c>
      <c r="N133" s="7"/>
      <c r="O133" s="99">
        <f>O132+1</f>
        <v>22</v>
      </c>
      <c r="P133" s="99" t="str">
        <f t="shared" si="65"/>
        <v xml:space="preserve">  </v>
      </c>
      <c r="Q133" s="76" t="str">
        <f>P133</f>
        <v xml:space="preserve">  </v>
      </c>
      <c r="R133" s="77" t="str">
        <f>VLOOKUP(Q133,STN_TABLE,2,FALSE)</f>
        <v xml:space="preserve">  </v>
      </c>
      <c r="S133" s="77">
        <v>8</v>
      </c>
      <c r="T133" s="76" t="e">
        <f>R133*S133</f>
        <v>#VALUE!</v>
      </c>
      <c r="U133" s="80">
        <v>10</v>
      </c>
      <c r="V133" s="76" t="e">
        <f>R133*U133</f>
        <v>#VALUE!</v>
      </c>
      <c r="W133" s="496" t="s">
        <v>97</v>
      </c>
      <c r="X133" s="496"/>
      <c r="Y133" s="496" t="s">
        <v>98</v>
      </c>
      <c r="Z133" s="496"/>
      <c r="AA133" s="494" t="s">
        <v>99</v>
      </c>
      <c r="AB133" s="494"/>
      <c r="AC133" s="99">
        <f>AC128+1</f>
        <v>21</v>
      </c>
      <c r="AD133" s="95" t="str">
        <f>VLOOKUP(AC133,STN_TABLE_2,2,FALSE)</f>
        <v xml:space="preserve">  </v>
      </c>
      <c r="AE133" s="68" t="str">
        <f>VLOOKUP(AD133,STN_TABLE,2,FALSE)</f>
        <v xml:space="preserve">  </v>
      </c>
      <c r="AF133" s="68">
        <v>1</v>
      </c>
      <c r="AG133" s="69" t="e">
        <f>AE133*AF133</f>
        <v>#VALUE!</v>
      </c>
      <c r="AH133" s="496" t="s">
        <v>97</v>
      </c>
      <c r="AI133" s="496"/>
      <c r="AJ133" s="496" t="s">
        <v>98</v>
      </c>
      <c r="AK133" s="496"/>
      <c r="AL133" s="494" t="s">
        <v>99</v>
      </c>
      <c r="AM133" s="494"/>
      <c r="AP133" s="86" t="s">
        <v>112</v>
      </c>
      <c r="AQ133" s="89" t="s">
        <v>113</v>
      </c>
      <c r="AR133" s="89" t="s">
        <v>114</v>
      </c>
      <c r="AS133" s="89" t="s">
        <v>115</v>
      </c>
      <c r="AU133" s="81"/>
    </row>
    <row r="134" spans="1:47" x14ac:dyDescent="0.25">
      <c r="A134" s="84">
        <f>A133+1</f>
        <v>21</v>
      </c>
      <c r="B134" s="84" t="str">
        <f t="shared" si="48"/>
        <v xml:space="preserve">  </v>
      </c>
      <c r="C134" s="88" t="str">
        <f t="shared" ref="C134" si="67">B135</f>
        <v xml:space="preserve">  </v>
      </c>
      <c r="D134" s="82" t="str">
        <f>VLOOKUP(C134,STN_TABLE,2,FALSE)</f>
        <v xml:space="preserve">  </v>
      </c>
      <c r="E134" s="92">
        <v>1</v>
      </c>
      <c r="F134" s="82" t="e">
        <f>D134*E134</f>
        <v>#VALUE!</v>
      </c>
      <c r="G134" s="83" t="str">
        <f>C134</f>
        <v xml:space="preserve">  </v>
      </c>
      <c r="H134" s="83" t="e">
        <f>F134*G134</f>
        <v>#VALUE!</v>
      </c>
      <c r="I134" s="84" t="str">
        <f>CONCATENATE("a'(",C134,")=")</f>
        <v>a'(  )=</v>
      </c>
      <c r="J134" s="84" t="e">
        <f>2*J132/3*F135</f>
        <v>#VALUE!</v>
      </c>
      <c r="K134" s="84" t="e">
        <f>CONCATENATE("A(",C132,")=")</f>
        <v>#VALUE!</v>
      </c>
      <c r="L134" s="84" t="e">
        <f>VLOOKUP(C132,STN_TABLE,3,FALSE)</f>
        <v>#VALUE!</v>
      </c>
      <c r="M134" t="str">
        <f>CONCATENATE("A(",C134,")=")</f>
        <v>A(  )=</v>
      </c>
      <c r="N134" t="e">
        <f>J134+L134</f>
        <v>#VALUE!</v>
      </c>
      <c r="O134" s="99">
        <f>O133+1</f>
        <v>23</v>
      </c>
      <c r="P134" s="99" t="str">
        <f t="shared" si="65"/>
        <v xml:space="preserve">  </v>
      </c>
      <c r="Q134" s="82" t="e">
        <f>IF(P134-P133=P133-P132,P134,IF(P135-P133=P133-P132,P135,IF(P134-P133=P133-P131,P134,IF(P135-P133=P133-P131,P135,"-"))))</f>
        <v>#VALUE!</v>
      </c>
      <c r="R134" s="83" t="e">
        <f>VLOOKUP(Q134,STN_TABLE,2,FALSE)</f>
        <v>#VALUE!</v>
      </c>
      <c r="S134" s="83">
        <v>-1</v>
      </c>
      <c r="T134" s="82" t="e">
        <f>R134*S134</f>
        <v>#VALUE!</v>
      </c>
      <c r="U134" s="88">
        <v>-1</v>
      </c>
      <c r="V134" s="82" t="e">
        <f>R134*U134</f>
        <v>#VALUE!</v>
      </c>
      <c r="W134" s="84" t="str">
        <f>CONCATENATE("a'(",Q133,")=")</f>
        <v>a'(  )=</v>
      </c>
      <c r="X134" s="84" t="e">
        <f>2*X132/12*T135</f>
        <v>#VALUE!</v>
      </c>
      <c r="Y134" s="84" t="e">
        <f>CONCATENATE("A(",Q132,")=")</f>
        <v>#VALUE!</v>
      </c>
      <c r="Z134" s="84" t="e">
        <f>VLOOKUP(Q132,STN_TABLE,3,FALSE)</f>
        <v>#VALUE!</v>
      </c>
      <c r="AA134" t="str">
        <f>CONCATENATE("A(",Q133,")=")</f>
        <v>A(  )=</v>
      </c>
      <c r="AB134" t="e">
        <f>X134+Z134</f>
        <v>#VALUE!</v>
      </c>
      <c r="AC134" s="99">
        <f>AC133+1</f>
        <v>22</v>
      </c>
      <c r="AD134" s="100" t="str">
        <f>VLOOKUP(AC134,STN_TABLE_2,2,FALSE)</f>
        <v xml:space="preserve">  </v>
      </c>
      <c r="AE134" s="82" t="str">
        <f>VLOOKUP(AD134,STN_TABLE,2,FALSE)</f>
        <v xml:space="preserve">  </v>
      </c>
      <c r="AF134" s="82">
        <v>2</v>
      </c>
      <c r="AG134" s="83" t="e">
        <f>AE134*AF134</f>
        <v>#VALUE!</v>
      </c>
      <c r="AH134" s="84" t="str">
        <f>CONCATENATE("a'(",AD134,")=")</f>
        <v>a'(  )=</v>
      </c>
      <c r="AI134" s="84" t="e">
        <f>2*AI132/2*AE135</f>
        <v>#VALUE!</v>
      </c>
      <c r="AJ134" s="84" t="str">
        <f>CONCATENATE("A(",AD133,")=")</f>
        <v>A(  )=</v>
      </c>
      <c r="AK134" s="84" t="str">
        <f>VLOOKUP(AD133,STN_TABLE,3,FALSE)</f>
        <v xml:space="preserve"> </v>
      </c>
      <c r="AL134" t="str">
        <f>CONCATENATE("A(",AD134,")=")</f>
        <v>A(  )=</v>
      </c>
      <c r="AM134" t="e">
        <f>AI134+AK134</f>
        <v>#VALUE!</v>
      </c>
      <c r="AO134" s="68" t="str">
        <f>AA134</f>
        <v>A(  )=</v>
      </c>
      <c r="AP134" s="68" t="e">
        <f>VLOOKUP(AO134,Rise_Results,2,FALSE)</f>
        <v>#N/A</v>
      </c>
      <c r="AQ134" s="76" t="e">
        <f>N134</f>
        <v>#VALUE!</v>
      </c>
      <c r="AR134" s="76" t="e">
        <f>IF(OR(AB134&lt;=0,AB135&lt;=0),1/0,AB134)</f>
        <v>#VALUE!</v>
      </c>
      <c r="AS134" s="76" t="e">
        <f>AM134</f>
        <v>#VALUE!</v>
      </c>
      <c r="AT134" t="e">
        <f>IFERROR(AP134,IFERROR(AQ134,IFERROR(AR134,AS134)))</f>
        <v>#VALUE!</v>
      </c>
      <c r="AU134" s="81"/>
    </row>
    <row r="135" spans="1:47" x14ac:dyDescent="0.25">
      <c r="A135" s="84">
        <f>A134+1</f>
        <v>22</v>
      </c>
      <c r="B135" s="84" t="str">
        <f t="shared" si="48"/>
        <v xml:space="preserve">  </v>
      </c>
      <c r="F135" s="82" t="e">
        <f>SUM(F132:F134)</f>
        <v>#VALUE!</v>
      </c>
      <c r="H135" s="82" t="e">
        <f>SUM(H132:H134)</f>
        <v>#VALUE!</v>
      </c>
      <c r="I135" s="84" t="str">
        <f>CONCATENATE("m'(",C134,")=")</f>
        <v>m'(  )=</v>
      </c>
      <c r="J135" s="84" t="e">
        <f>2*(J132*(WLS))/3*H135</f>
        <v>#VALUE!</v>
      </c>
      <c r="K135" s="84" t="e">
        <f>CONCATENATE("M(",C132,")=")</f>
        <v>#VALUE!</v>
      </c>
      <c r="L135" s="84" t="e">
        <f>VLOOKUP(C132,STN_TABLE,4,FALSE)</f>
        <v>#VALUE!</v>
      </c>
      <c r="M135" t="str">
        <f>CONCATENATE("M(",C134,")=")</f>
        <v>M(  )=</v>
      </c>
      <c r="N135" t="e">
        <f>J135+L135</f>
        <v>#VALUE!</v>
      </c>
      <c r="O135" s="99">
        <f>O134+1</f>
        <v>24</v>
      </c>
      <c r="P135" s="99" t="str">
        <f t="shared" si="65"/>
        <v xml:space="preserve">  </v>
      </c>
      <c r="T135" s="89" t="e">
        <f>SUM(T132:T134)</f>
        <v>#VALUE!</v>
      </c>
      <c r="V135" s="82" t="e">
        <f>SUM(V132:V134)</f>
        <v>#VALUE!</v>
      </c>
      <c r="W135" s="84" t="str">
        <f>CONCATENATE("m'(",Q133,")=")</f>
        <v>m'(  )=</v>
      </c>
      <c r="X135" s="84" t="e">
        <f>(2*(X132^2)/24*V135)+(X134*Q132*WLS)</f>
        <v>#VALUE!</v>
      </c>
      <c r="Y135" s="84" t="e">
        <f>CONCATENATE("M(",Q132,")=")</f>
        <v>#VALUE!</v>
      </c>
      <c r="Z135" s="84" t="e">
        <f>VLOOKUP(Q132,STN_TABLE,4,FALSE)</f>
        <v>#VALUE!</v>
      </c>
      <c r="AA135" t="str">
        <f>CONCATENATE("M(",Q133,")=")</f>
        <v>M(  )=</v>
      </c>
      <c r="AB135" t="e">
        <f>X135+Z135</f>
        <v>#VALUE!</v>
      </c>
      <c r="AE135" s="89">
        <f>SUM(AE133:AE134)</f>
        <v>0</v>
      </c>
      <c r="AG135" s="89" t="e">
        <f>SUM(AG133:AG134)</f>
        <v>#VALUE!</v>
      </c>
      <c r="AH135" s="84" t="str">
        <f>CONCATENATE("m'(",AD134,")=")</f>
        <v>m'(  )=</v>
      </c>
      <c r="AI135" s="84" t="e">
        <f>(2*(AI132^2)/6*AG135)+(AI134*AD133*WLS)</f>
        <v>#VALUE!</v>
      </c>
      <c r="AJ135" s="84" t="str">
        <f>CONCATENATE("M(",AD133,")=")</f>
        <v>M(  )=</v>
      </c>
      <c r="AK135" s="84" t="str">
        <f>VLOOKUP(AD133,STN_TABLE,4,FALSE)</f>
        <v xml:space="preserve"> </v>
      </c>
      <c r="AL135" t="str">
        <f>CONCATENATE("M(",AD134,")=")</f>
        <v>M(  )=</v>
      </c>
      <c r="AM135" t="e">
        <f>AI135+AK135</f>
        <v>#VALUE!</v>
      </c>
      <c r="AO135" s="82" t="str">
        <f>AA135</f>
        <v>M(  )=</v>
      </c>
      <c r="AP135" s="82" t="e">
        <f>VLOOKUP(AO135,Rise_Results,2,FALSE)</f>
        <v>#N/A</v>
      </c>
      <c r="AQ135" s="82" t="e">
        <f>N135</f>
        <v>#VALUE!</v>
      </c>
      <c r="AR135" s="82" t="e">
        <f>IF(OR(AB134&lt;=0,AB135&lt;=0),1/0,AB135)</f>
        <v>#VALUE!</v>
      </c>
      <c r="AS135" s="82" t="e">
        <f>AM135</f>
        <v>#VALUE!</v>
      </c>
      <c r="AT135" t="e">
        <f>IFERROR(AP135,IFERROR(AQ135,IFERROR(AR135,AS135)))</f>
        <v>#VALUE!</v>
      </c>
      <c r="AU135" s="81"/>
    </row>
    <row r="136" spans="1:47" x14ac:dyDescent="0.25">
      <c r="A136" s="101">
        <f>A131+1</f>
        <v>19</v>
      </c>
      <c r="B136" s="101" t="str">
        <f t="shared" si="48"/>
        <v xml:space="preserve">  </v>
      </c>
      <c r="O136" s="101">
        <f>O131+1</f>
        <v>21</v>
      </c>
      <c r="P136" s="101" t="str">
        <f t="shared" si="65"/>
        <v xml:space="preserve">  </v>
      </c>
      <c r="AU136" s="81"/>
    </row>
    <row r="137" spans="1:47" x14ac:dyDescent="0.25">
      <c r="A137" s="84">
        <f>A136+1</f>
        <v>20</v>
      </c>
      <c r="B137" s="84" t="str">
        <f t="shared" si="48"/>
        <v xml:space="preserve">  </v>
      </c>
      <c r="C137" s="79" t="e">
        <f t="shared" ref="C137" si="68">IF(C138=B139,IF(C139-C138=C138-B138,B138,IF(C139-C138=C138-B137,B137,"#NA")),IF(C138=B138,IF(C139-C138=C138-B137,B137,IF(C139-C138=C138-B136,B136,"#NA")),"#NA"))</f>
        <v>#VALUE!</v>
      </c>
      <c r="D137" s="68" t="e">
        <f>VLOOKUP(C137,STN_TABLE,2,FALSE)</f>
        <v>#VALUE!</v>
      </c>
      <c r="E137" s="102">
        <v>1</v>
      </c>
      <c r="F137" s="68" t="e">
        <f>D137*E137</f>
        <v>#VALUE!</v>
      </c>
      <c r="G137" s="69" t="e">
        <f>C137</f>
        <v>#VALUE!</v>
      </c>
      <c r="H137" s="69" t="e">
        <f>F137*G137</f>
        <v>#VALUE!</v>
      </c>
      <c r="I137" s="6" t="s">
        <v>93</v>
      </c>
      <c r="J137" s="70" t="e">
        <f>IF(OR(D137=0,D138=0,D139=0),"#NA",IF(AND(C139-C138=C138-C137,C138&lt;&gt;C139,C137&lt;&gt;C138,C137&lt;&gt;C139,D139&lt;&gt;0,OR(D137&lt;&gt;0,D138&lt;&gt;0)),WLS*(C139-C138),"#NA"))</f>
        <v>#VALUE!</v>
      </c>
      <c r="O137" s="99">
        <f>O136+1</f>
        <v>22</v>
      </c>
      <c r="P137" s="99" t="str">
        <f t="shared" si="65"/>
        <v xml:space="preserve">  </v>
      </c>
      <c r="Q137" s="68" t="e">
        <f>IF(OR(P139-P138=P138-P137,P140-P138=P138-P137),P137,IF(OR(P139-P138=P138-P136,P140-P138=P138-P136),P136,"-"))</f>
        <v>#VALUE!</v>
      </c>
      <c r="R137" s="69" t="e">
        <f>VLOOKUP(Q137,STN_TABLE,2,FALSE)</f>
        <v>#VALUE!</v>
      </c>
      <c r="S137" s="69">
        <v>5</v>
      </c>
      <c r="T137" s="68" t="e">
        <f>R137*S137</f>
        <v>#VALUE!</v>
      </c>
      <c r="U137" s="79">
        <v>3</v>
      </c>
      <c r="V137" s="68" t="e">
        <f>R137*U137</f>
        <v>#VALUE!</v>
      </c>
      <c r="W137" s="6" t="s">
        <v>93</v>
      </c>
      <c r="X137" s="70" t="e">
        <f>IF(AND(Q139-Q138=Q138-Q137,NOT(AND(Q137=0,Q138=0)),NOT(AND(Q138=0,Q139=0))),WLS*(Q139-Q138),"#NA")</f>
        <v>#VALUE!</v>
      </c>
      <c r="AD137" s="93"/>
      <c r="AH137" s="6" t="s">
        <v>93</v>
      </c>
      <c r="AI137" s="70" t="e">
        <f>WLS*(AD139-AD138)</f>
        <v>#VALUE!</v>
      </c>
      <c r="AU137" s="81"/>
    </row>
    <row r="138" spans="1:47" x14ac:dyDescent="0.25">
      <c r="A138" s="84">
        <f>A137+1</f>
        <v>21</v>
      </c>
      <c r="B138" s="84" t="str">
        <f t="shared" ref="B138:B150" si="69">VLOOKUP(A138,STN_TABLE_2,2,FALSE)</f>
        <v xml:space="preserve">  </v>
      </c>
      <c r="C138" s="80" t="e">
        <f t="shared" ref="C138" si="70">IF(OR(B140-B139=B139-B138,B140-B139=B139-B137,B140-B139=B139-B136),B139,IF(OR(B140-B138=B138-B137,B140-B138=B138-B136),B138,IF(B140-B137=B137-B136,B137,"#NA")))</f>
        <v>#VALUE!</v>
      </c>
      <c r="D138" s="76" t="e">
        <f>VLOOKUP(C138,STN_TABLE,2,FALSE)</f>
        <v>#VALUE!</v>
      </c>
      <c r="E138" s="81">
        <v>4</v>
      </c>
      <c r="F138" s="76" t="e">
        <f>D138*E138</f>
        <v>#VALUE!</v>
      </c>
      <c r="G138" s="77" t="e">
        <f>C138</f>
        <v>#VALUE!</v>
      </c>
      <c r="H138" s="77" t="e">
        <f>F138*G138</f>
        <v>#VALUE!</v>
      </c>
      <c r="I138" s="495" t="s">
        <v>97</v>
      </c>
      <c r="J138" s="496"/>
      <c r="K138" s="78" t="s">
        <v>98</v>
      </c>
      <c r="L138" s="78"/>
      <c r="M138" s="7" t="s">
        <v>99</v>
      </c>
      <c r="N138" s="7"/>
      <c r="O138" s="99">
        <f>O137+1</f>
        <v>23</v>
      </c>
      <c r="P138" s="99" t="str">
        <f t="shared" si="65"/>
        <v xml:space="preserve">  </v>
      </c>
      <c r="Q138" s="76" t="str">
        <f>P138</f>
        <v xml:space="preserve">  </v>
      </c>
      <c r="R138" s="77" t="str">
        <f>VLOOKUP(Q138,STN_TABLE,2,FALSE)</f>
        <v xml:space="preserve">  </v>
      </c>
      <c r="S138" s="77">
        <v>8</v>
      </c>
      <c r="T138" s="76" t="e">
        <f>R138*S138</f>
        <v>#VALUE!</v>
      </c>
      <c r="U138" s="80">
        <v>10</v>
      </c>
      <c r="V138" s="76" t="e">
        <f>R138*U138</f>
        <v>#VALUE!</v>
      </c>
      <c r="W138" s="496" t="s">
        <v>97</v>
      </c>
      <c r="X138" s="496"/>
      <c r="Y138" s="496" t="s">
        <v>98</v>
      </c>
      <c r="Z138" s="496"/>
      <c r="AA138" s="494" t="s">
        <v>99</v>
      </c>
      <c r="AB138" s="494"/>
      <c r="AC138" s="99">
        <f>AC133+1</f>
        <v>22</v>
      </c>
      <c r="AD138" s="95" t="str">
        <f>VLOOKUP(AC138,STN_TABLE_2,2,FALSE)</f>
        <v xml:space="preserve">  </v>
      </c>
      <c r="AE138" s="68" t="str">
        <f>VLOOKUP(AD138,STN_TABLE,2,FALSE)</f>
        <v xml:space="preserve">  </v>
      </c>
      <c r="AF138" s="68">
        <v>1</v>
      </c>
      <c r="AG138" s="69" t="e">
        <f>AE138*AF138</f>
        <v>#VALUE!</v>
      </c>
      <c r="AH138" s="496" t="s">
        <v>97</v>
      </c>
      <c r="AI138" s="496"/>
      <c r="AJ138" s="496" t="s">
        <v>98</v>
      </c>
      <c r="AK138" s="496"/>
      <c r="AL138" s="494" t="s">
        <v>99</v>
      </c>
      <c r="AM138" s="494"/>
      <c r="AP138" s="86" t="s">
        <v>112</v>
      </c>
      <c r="AQ138" s="89" t="s">
        <v>113</v>
      </c>
      <c r="AR138" s="89" t="s">
        <v>114</v>
      </c>
      <c r="AS138" s="89" t="s">
        <v>115</v>
      </c>
      <c r="AU138" s="81"/>
    </row>
    <row r="139" spans="1:47" x14ac:dyDescent="0.25">
      <c r="A139" s="84">
        <f>A138+1</f>
        <v>22</v>
      </c>
      <c r="B139" s="84" t="str">
        <f t="shared" si="69"/>
        <v xml:space="preserve">  </v>
      </c>
      <c r="C139" s="88" t="str">
        <f t="shared" ref="C139" si="71">B140</f>
        <v xml:space="preserve">  </v>
      </c>
      <c r="D139" s="82" t="str">
        <f>VLOOKUP(C139,STN_TABLE,2,FALSE)</f>
        <v xml:space="preserve">  </v>
      </c>
      <c r="E139" s="92">
        <v>1</v>
      </c>
      <c r="F139" s="82" t="e">
        <f>D139*E139</f>
        <v>#VALUE!</v>
      </c>
      <c r="G139" s="83" t="str">
        <f>C139</f>
        <v xml:space="preserve">  </v>
      </c>
      <c r="H139" s="83" t="e">
        <f>F139*G139</f>
        <v>#VALUE!</v>
      </c>
      <c r="I139" s="84" t="str">
        <f>CONCATENATE("a'(",C139,")=")</f>
        <v>a'(  )=</v>
      </c>
      <c r="J139" s="84" t="e">
        <f>2*J137/3*F140</f>
        <v>#VALUE!</v>
      </c>
      <c r="K139" s="84" t="e">
        <f>CONCATENATE("A(",C137,")=")</f>
        <v>#VALUE!</v>
      </c>
      <c r="L139" s="84" t="e">
        <f>VLOOKUP(C137,STN_TABLE,3,FALSE)</f>
        <v>#VALUE!</v>
      </c>
      <c r="M139" t="str">
        <f>CONCATENATE("A(",C139,")=")</f>
        <v>A(  )=</v>
      </c>
      <c r="N139" t="e">
        <f>J139+L139</f>
        <v>#VALUE!</v>
      </c>
      <c r="O139" s="99">
        <f>O138+1</f>
        <v>24</v>
      </c>
      <c r="P139" s="99" t="str">
        <f t="shared" si="65"/>
        <v xml:space="preserve">  </v>
      </c>
      <c r="Q139" s="82" t="e">
        <f>IF(P139-P138=P138-P137,P139,IF(P140-P138=P138-P137,P140,IF(P139-P138=P138-P136,P139,IF(P140-P138=P138-P136,P140,"-"))))</f>
        <v>#VALUE!</v>
      </c>
      <c r="R139" s="83" t="e">
        <f>VLOOKUP(Q139,STN_TABLE,2,FALSE)</f>
        <v>#VALUE!</v>
      </c>
      <c r="S139" s="83">
        <v>-1</v>
      </c>
      <c r="T139" s="82" t="e">
        <f>R139*S139</f>
        <v>#VALUE!</v>
      </c>
      <c r="U139" s="88">
        <v>-1</v>
      </c>
      <c r="V139" s="82" t="e">
        <f>R139*U139</f>
        <v>#VALUE!</v>
      </c>
      <c r="W139" s="84" t="str">
        <f>CONCATENATE("a'(",Q138,")=")</f>
        <v>a'(  )=</v>
      </c>
      <c r="X139" s="84" t="e">
        <f>2*X137/12*T140</f>
        <v>#VALUE!</v>
      </c>
      <c r="Y139" s="84" t="e">
        <f>CONCATENATE("A(",Q137,")=")</f>
        <v>#VALUE!</v>
      </c>
      <c r="Z139" s="84" t="e">
        <f>VLOOKUP(Q137,STN_TABLE,3,FALSE)</f>
        <v>#VALUE!</v>
      </c>
      <c r="AA139" t="str">
        <f>CONCATENATE("A(",Q138,")=")</f>
        <v>A(  )=</v>
      </c>
      <c r="AB139" t="e">
        <f>X139+Z139</f>
        <v>#VALUE!</v>
      </c>
      <c r="AC139" s="99">
        <f>AC138+1</f>
        <v>23</v>
      </c>
      <c r="AD139" s="100" t="str">
        <f>VLOOKUP(AC139,STN_TABLE_2,2,FALSE)</f>
        <v xml:space="preserve">  </v>
      </c>
      <c r="AE139" s="82" t="str">
        <f>VLOOKUP(AD139,STN_TABLE,2,FALSE)</f>
        <v xml:space="preserve">  </v>
      </c>
      <c r="AF139" s="82">
        <v>2</v>
      </c>
      <c r="AG139" s="83" t="e">
        <f>AE139*AF139</f>
        <v>#VALUE!</v>
      </c>
      <c r="AH139" s="84" t="str">
        <f>CONCATENATE("a'(",AD139,")=")</f>
        <v>a'(  )=</v>
      </c>
      <c r="AI139" s="84" t="e">
        <f>2*AI137/2*AE140</f>
        <v>#VALUE!</v>
      </c>
      <c r="AJ139" s="84" t="str">
        <f>CONCATENATE("A(",AD138,")=")</f>
        <v>A(  )=</v>
      </c>
      <c r="AK139" s="84" t="str">
        <f>VLOOKUP(AD138,STN_TABLE,3,FALSE)</f>
        <v xml:space="preserve"> </v>
      </c>
      <c r="AL139" t="str">
        <f>CONCATENATE("A(",AD139,")=")</f>
        <v>A(  )=</v>
      </c>
      <c r="AM139" t="e">
        <f>AI139+AK139</f>
        <v>#VALUE!</v>
      </c>
      <c r="AO139" s="68" t="str">
        <f>AA139</f>
        <v>A(  )=</v>
      </c>
      <c r="AP139" s="68" t="e">
        <f>VLOOKUP(AO139,Rise_Results,2,FALSE)</f>
        <v>#N/A</v>
      </c>
      <c r="AQ139" s="76" t="e">
        <f>N139</f>
        <v>#VALUE!</v>
      </c>
      <c r="AR139" s="76" t="e">
        <f>IF(OR(AB139&lt;=0,AB140&lt;=0),1/0,AB139)</f>
        <v>#VALUE!</v>
      </c>
      <c r="AS139" s="76" t="e">
        <f>AM139</f>
        <v>#VALUE!</v>
      </c>
      <c r="AT139" t="e">
        <f>IFERROR(AP139,IFERROR(AQ139,IFERROR(AR139,AS139)))</f>
        <v>#VALUE!</v>
      </c>
      <c r="AU139" s="81"/>
    </row>
    <row r="140" spans="1:47" x14ac:dyDescent="0.25">
      <c r="A140" s="84">
        <f>A139+1</f>
        <v>23</v>
      </c>
      <c r="B140" s="84" t="str">
        <f t="shared" si="69"/>
        <v xml:space="preserve">  </v>
      </c>
      <c r="F140" s="82" t="e">
        <f>SUM(F137:F139)</f>
        <v>#VALUE!</v>
      </c>
      <c r="H140" s="82" t="e">
        <f>SUM(H137:H139)</f>
        <v>#VALUE!</v>
      </c>
      <c r="I140" s="84" t="str">
        <f>CONCATENATE("m'(",C139,")=")</f>
        <v>m'(  )=</v>
      </c>
      <c r="J140" s="84" t="e">
        <f>2*(J137*(WLS))/3*H140</f>
        <v>#VALUE!</v>
      </c>
      <c r="K140" s="84" t="e">
        <f>CONCATENATE("M(",C137,")=")</f>
        <v>#VALUE!</v>
      </c>
      <c r="L140" s="84" t="e">
        <f>VLOOKUP(C137,STN_TABLE,4,FALSE)</f>
        <v>#VALUE!</v>
      </c>
      <c r="M140" t="str">
        <f>CONCATENATE("M(",C139,")=")</f>
        <v>M(  )=</v>
      </c>
      <c r="N140" t="e">
        <f>J140+L140</f>
        <v>#VALUE!</v>
      </c>
      <c r="O140" s="99">
        <f>O139+1</f>
        <v>25</v>
      </c>
      <c r="P140" s="99" t="str">
        <f t="shared" si="65"/>
        <v xml:space="preserve">  </v>
      </c>
      <c r="T140" s="89" t="e">
        <f>SUM(T137:T139)</f>
        <v>#VALUE!</v>
      </c>
      <c r="V140" s="82" t="e">
        <f>SUM(V137:V139)</f>
        <v>#VALUE!</v>
      </c>
      <c r="W140" s="84" t="str">
        <f>CONCATENATE("m'(",Q138,")=")</f>
        <v>m'(  )=</v>
      </c>
      <c r="X140" s="84" t="e">
        <f>(2*(X137^2)/24*V140)+(X139*Q137*WLS)</f>
        <v>#VALUE!</v>
      </c>
      <c r="Y140" s="84" t="e">
        <f>CONCATENATE("M(",Q137,")=")</f>
        <v>#VALUE!</v>
      </c>
      <c r="Z140" s="84" t="e">
        <f>VLOOKUP(Q137,STN_TABLE,4,FALSE)</f>
        <v>#VALUE!</v>
      </c>
      <c r="AA140" t="str">
        <f>CONCATENATE("M(",Q138,")=")</f>
        <v>M(  )=</v>
      </c>
      <c r="AB140" t="e">
        <f>X140+Z140</f>
        <v>#VALUE!</v>
      </c>
      <c r="AE140" s="89">
        <f>SUM(AE138:AE139)</f>
        <v>0</v>
      </c>
      <c r="AG140" s="89" t="e">
        <f>SUM(AG138:AG139)</f>
        <v>#VALUE!</v>
      </c>
      <c r="AH140" s="84" t="str">
        <f>CONCATENATE("m'(",AD139,")=")</f>
        <v>m'(  )=</v>
      </c>
      <c r="AI140" s="84" t="e">
        <f>(2*(AI137^2)/6*AG140)+(AI139*AD138*WLS)</f>
        <v>#VALUE!</v>
      </c>
      <c r="AJ140" s="84" t="str">
        <f>CONCATENATE("M(",AD138,")=")</f>
        <v>M(  )=</v>
      </c>
      <c r="AK140" s="84" t="str">
        <f>VLOOKUP(AD138,STN_TABLE,4,FALSE)</f>
        <v xml:space="preserve"> </v>
      </c>
      <c r="AL140" t="str">
        <f>CONCATENATE("M(",AD139,")=")</f>
        <v>M(  )=</v>
      </c>
      <c r="AM140" t="e">
        <f>AI140+AK140</f>
        <v>#VALUE!</v>
      </c>
      <c r="AO140" s="82" t="str">
        <f>AA140</f>
        <v>M(  )=</v>
      </c>
      <c r="AP140" s="82" t="e">
        <f>VLOOKUP(AO140,Rise_Results,2,FALSE)</f>
        <v>#N/A</v>
      </c>
      <c r="AQ140" s="82" t="e">
        <f>N140</f>
        <v>#VALUE!</v>
      </c>
      <c r="AR140" s="82" t="e">
        <f>IF(OR(AB139&lt;=0,AB140&lt;=0),1/0,AB140)</f>
        <v>#VALUE!</v>
      </c>
      <c r="AS140" s="82" t="e">
        <f>AM140</f>
        <v>#VALUE!</v>
      </c>
      <c r="AT140" t="e">
        <f>IFERROR(AP140,IFERROR(AQ140,IFERROR(AR140,AS140)))</f>
        <v>#VALUE!</v>
      </c>
      <c r="AU140" s="81"/>
    </row>
    <row r="141" spans="1:47" x14ac:dyDescent="0.25">
      <c r="A141" s="101">
        <f>A136+1</f>
        <v>20</v>
      </c>
      <c r="B141" s="101" t="str">
        <f t="shared" si="69"/>
        <v xml:space="preserve">  </v>
      </c>
      <c r="O141" s="101">
        <f>O136+1</f>
        <v>22</v>
      </c>
      <c r="P141" s="101" t="str">
        <f t="shared" si="65"/>
        <v xml:space="preserve">  </v>
      </c>
      <c r="AU141" s="81"/>
    </row>
    <row r="142" spans="1:47" x14ac:dyDescent="0.25">
      <c r="A142" s="84">
        <f>A141+1</f>
        <v>21</v>
      </c>
      <c r="B142" s="84" t="str">
        <f t="shared" si="69"/>
        <v xml:space="preserve">  </v>
      </c>
      <c r="C142" s="79" t="e">
        <f t="shared" ref="C142" si="72">IF(C143=B144,IF(C144-C143=C143-B143,B143,IF(C144-C143=C143-B142,B142,"#NA")),IF(C143=B143,IF(C144-C143=C143-B142,B142,IF(C144-C143=C143-B141,B141,"#NA")),"#NA"))</f>
        <v>#VALUE!</v>
      </c>
      <c r="D142" s="68" t="e">
        <f>VLOOKUP(C142,STN_TABLE,2,FALSE)</f>
        <v>#VALUE!</v>
      </c>
      <c r="E142" s="102">
        <v>1</v>
      </c>
      <c r="F142" s="68" t="e">
        <f>D142*E142</f>
        <v>#VALUE!</v>
      </c>
      <c r="G142" s="69" t="e">
        <f>C142</f>
        <v>#VALUE!</v>
      </c>
      <c r="H142" s="69" t="e">
        <f>F142*G142</f>
        <v>#VALUE!</v>
      </c>
      <c r="I142" s="6" t="s">
        <v>93</v>
      </c>
      <c r="J142" s="70" t="e">
        <f>IF(OR(D142=0,D143=0,D144=0),"#NA",IF(AND(C144-C143=C143-C142,C143&lt;&gt;C144,C142&lt;&gt;C143,C142&lt;&gt;C144,D144&lt;&gt;0,OR(D142&lt;&gt;0,D143&lt;&gt;0)),WLS*(C144-C143),"#NA"))</f>
        <v>#VALUE!</v>
      </c>
      <c r="O142" s="99">
        <f>O141+1</f>
        <v>23</v>
      </c>
      <c r="P142" s="99" t="str">
        <f t="shared" si="65"/>
        <v xml:space="preserve">  </v>
      </c>
      <c r="Q142" s="68" t="e">
        <f>IF(OR(P144-P143=P143-P142,P145-P143=P143-P142),P142,IF(OR(P144-P143=P143-P141,P145-P143=P143-P141),P141,"-"))</f>
        <v>#VALUE!</v>
      </c>
      <c r="R142" s="69" t="e">
        <f>VLOOKUP(Q142,STN_TABLE,2,FALSE)</f>
        <v>#VALUE!</v>
      </c>
      <c r="S142" s="69">
        <v>5</v>
      </c>
      <c r="T142" s="68" t="e">
        <f>R142*S142</f>
        <v>#VALUE!</v>
      </c>
      <c r="U142" s="79">
        <v>3</v>
      </c>
      <c r="V142" s="68" t="e">
        <f>R142*U142</f>
        <v>#VALUE!</v>
      </c>
      <c r="W142" s="6" t="s">
        <v>93</v>
      </c>
      <c r="X142" s="70" t="e">
        <f>IF(AND(Q144-Q143=Q143-Q142,NOT(AND(Q142=0,Q143=0)),NOT(AND(Q143=0,Q144=0))),WLS*(Q144-Q143),"#NA")</f>
        <v>#VALUE!</v>
      </c>
      <c r="AD142" s="93"/>
      <c r="AH142" s="6" t="s">
        <v>93</v>
      </c>
      <c r="AI142" s="70" t="e">
        <f>WLS*(AD144-AD143)</f>
        <v>#VALUE!</v>
      </c>
      <c r="AU142" s="81"/>
    </row>
    <row r="143" spans="1:47" x14ac:dyDescent="0.25">
      <c r="A143" s="84">
        <f>A142+1</f>
        <v>22</v>
      </c>
      <c r="B143" s="84" t="str">
        <f t="shared" si="69"/>
        <v xml:space="preserve">  </v>
      </c>
      <c r="C143" s="80" t="e">
        <f t="shared" ref="C143" si="73">IF(OR(B145-B144=B144-B143,B145-B144=B144-B142,B145-B144=B144-B141),B144,IF(OR(B145-B143=B143-B142,B145-B143=B143-B141),B143,IF(B145-B142=B142-B141,B142,"#NA")))</f>
        <v>#VALUE!</v>
      </c>
      <c r="D143" s="76" t="e">
        <f>VLOOKUP(C143,STN_TABLE,2,FALSE)</f>
        <v>#VALUE!</v>
      </c>
      <c r="E143" s="81">
        <v>4</v>
      </c>
      <c r="F143" s="76" t="e">
        <f>D143*E143</f>
        <v>#VALUE!</v>
      </c>
      <c r="G143" s="77" t="e">
        <f>C143</f>
        <v>#VALUE!</v>
      </c>
      <c r="H143" s="77" t="e">
        <f>F143*G143</f>
        <v>#VALUE!</v>
      </c>
      <c r="I143" s="495" t="s">
        <v>97</v>
      </c>
      <c r="J143" s="496"/>
      <c r="K143" s="78" t="s">
        <v>98</v>
      </c>
      <c r="L143" s="78"/>
      <c r="M143" s="7" t="s">
        <v>99</v>
      </c>
      <c r="N143" s="7"/>
      <c r="O143" s="99">
        <f>O142+1</f>
        <v>24</v>
      </c>
      <c r="P143" s="99" t="str">
        <f t="shared" si="65"/>
        <v xml:space="preserve">  </v>
      </c>
      <c r="Q143" s="76" t="str">
        <f>P143</f>
        <v xml:space="preserve">  </v>
      </c>
      <c r="R143" s="77" t="str">
        <f>VLOOKUP(Q143,STN_TABLE,2,FALSE)</f>
        <v xml:space="preserve">  </v>
      </c>
      <c r="S143" s="77">
        <v>8</v>
      </c>
      <c r="T143" s="76" t="e">
        <f>R143*S143</f>
        <v>#VALUE!</v>
      </c>
      <c r="U143" s="80">
        <v>10</v>
      </c>
      <c r="V143" s="76" t="e">
        <f>R143*U143</f>
        <v>#VALUE!</v>
      </c>
      <c r="W143" s="496" t="s">
        <v>97</v>
      </c>
      <c r="X143" s="496"/>
      <c r="Y143" s="496" t="s">
        <v>98</v>
      </c>
      <c r="Z143" s="496"/>
      <c r="AA143" s="494" t="s">
        <v>99</v>
      </c>
      <c r="AB143" s="494"/>
      <c r="AC143" s="99">
        <f>AC138+1</f>
        <v>23</v>
      </c>
      <c r="AD143" s="95" t="str">
        <f>VLOOKUP(AC143,STN_TABLE_2,2,FALSE)</f>
        <v xml:space="preserve">  </v>
      </c>
      <c r="AE143" s="68" t="str">
        <f>VLOOKUP(AD143,STN_TABLE,2,FALSE)</f>
        <v xml:space="preserve">  </v>
      </c>
      <c r="AF143" s="68">
        <v>1</v>
      </c>
      <c r="AG143" s="69" t="e">
        <f>AE143*AF143</f>
        <v>#VALUE!</v>
      </c>
      <c r="AH143" s="496" t="s">
        <v>97</v>
      </c>
      <c r="AI143" s="496"/>
      <c r="AJ143" s="496" t="s">
        <v>98</v>
      </c>
      <c r="AK143" s="496"/>
      <c r="AL143" s="494" t="s">
        <v>99</v>
      </c>
      <c r="AM143" s="494"/>
      <c r="AP143" s="86" t="s">
        <v>112</v>
      </c>
      <c r="AQ143" s="89" t="s">
        <v>113</v>
      </c>
      <c r="AR143" s="89" t="s">
        <v>114</v>
      </c>
      <c r="AS143" s="89" t="s">
        <v>115</v>
      </c>
      <c r="AU143" s="81"/>
    </row>
    <row r="144" spans="1:47" x14ac:dyDescent="0.25">
      <c r="A144" s="84">
        <f>A143+1</f>
        <v>23</v>
      </c>
      <c r="B144" s="84" t="str">
        <f t="shared" si="69"/>
        <v xml:space="preserve">  </v>
      </c>
      <c r="C144" s="88" t="str">
        <f t="shared" ref="C144" si="74">B145</f>
        <v xml:space="preserve">  </v>
      </c>
      <c r="D144" s="82" t="str">
        <f>VLOOKUP(C144,STN_TABLE,2,FALSE)</f>
        <v xml:space="preserve">  </v>
      </c>
      <c r="E144" s="92">
        <v>1</v>
      </c>
      <c r="F144" s="82" t="e">
        <f>D144*E144</f>
        <v>#VALUE!</v>
      </c>
      <c r="G144" s="83" t="str">
        <f>C144</f>
        <v xml:space="preserve">  </v>
      </c>
      <c r="H144" s="83" t="e">
        <f>F144*G144</f>
        <v>#VALUE!</v>
      </c>
      <c r="I144" s="84" t="str">
        <f>CONCATENATE("a'(",C144,")=")</f>
        <v>a'(  )=</v>
      </c>
      <c r="J144" s="84" t="e">
        <f>2*J142/3*F145</f>
        <v>#VALUE!</v>
      </c>
      <c r="K144" s="84" t="e">
        <f>CONCATENATE("A(",C142,")=")</f>
        <v>#VALUE!</v>
      </c>
      <c r="L144" s="84" t="e">
        <f>VLOOKUP(C142,STN_TABLE,3,FALSE)</f>
        <v>#VALUE!</v>
      </c>
      <c r="M144" t="str">
        <f>CONCATENATE("A(",C144,")=")</f>
        <v>A(  )=</v>
      </c>
      <c r="N144" t="e">
        <f>J144+L144</f>
        <v>#VALUE!</v>
      </c>
      <c r="O144" s="99">
        <f>O143+1</f>
        <v>25</v>
      </c>
      <c r="P144" s="99" t="str">
        <f t="shared" si="65"/>
        <v xml:space="preserve">  </v>
      </c>
      <c r="Q144" s="82" t="e">
        <f>IF(P144-P143=P143-P142,P144,IF(P145-P143=P143-P142,P145,IF(P144-P143=P143-P141,P144,IF(P145-P143=P143-P141,P145,"-"))))</f>
        <v>#VALUE!</v>
      </c>
      <c r="R144" s="83" t="e">
        <f>VLOOKUP(Q144,STN_TABLE,2,FALSE)</f>
        <v>#VALUE!</v>
      </c>
      <c r="S144" s="83">
        <v>-1</v>
      </c>
      <c r="T144" s="82" t="e">
        <f>R144*S144</f>
        <v>#VALUE!</v>
      </c>
      <c r="U144" s="88">
        <v>-1</v>
      </c>
      <c r="V144" s="82" t="e">
        <f>R144*U144</f>
        <v>#VALUE!</v>
      </c>
      <c r="W144" s="84" t="str">
        <f>CONCATENATE("a'(",Q143,")=")</f>
        <v>a'(  )=</v>
      </c>
      <c r="X144" s="84" t="e">
        <f>2*X142/12*T145</f>
        <v>#VALUE!</v>
      </c>
      <c r="Y144" s="84" t="e">
        <f>CONCATENATE("A(",Q142,")=")</f>
        <v>#VALUE!</v>
      </c>
      <c r="Z144" s="84" t="e">
        <f>VLOOKUP(Q142,STN_TABLE,3,FALSE)</f>
        <v>#VALUE!</v>
      </c>
      <c r="AA144" t="str">
        <f>CONCATENATE("A(",Q143,")=")</f>
        <v>A(  )=</v>
      </c>
      <c r="AB144" t="e">
        <f>X144+Z144</f>
        <v>#VALUE!</v>
      </c>
      <c r="AC144" s="99">
        <f>AC143+1</f>
        <v>24</v>
      </c>
      <c r="AD144" s="100" t="str">
        <f>VLOOKUP(AC144,STN_TABLE_2,2,FALSE)</f>
        <v xml:space="preserve">  </v>
      </c>
      <c r="AE144" s="82" t="str">
        <f>VLOOKUP(AD144,STN_TABLE,2,FALSE)</f>
        <v xml:space="preserve">  </v>
      </c>
      <c r="AF144" s="82">
        <v>2</v>
      </c>
      <c r="AG144" s="83" t="e">
        <f>AE144*AF144</f>
        <v>#VALUE!</v>
      </c>
      <c r="AH144" s="84" t="str">
        <f>CONCATENATE("a'(",AD144,")=")</f>
        <v>a'(  )=</v>
      </c>
      <c r="AI144" s="84" t="e">
        <f>2*AI142/2*AE145</f>
        <v>#VALUE!</v>
      </c>
      <c r="AJ144" s="84" t="str">
        <f>CONCATENATE("A(",AD143,")=")</f>
        <v>A(  )=</v>
      </c>
      <c r="AK144" s="84" t="str">
        <f>VLOOKUP(AD143,STN_TABLE,3,FALSE)</f>
        <v xml:space="preserve"> </v>
      </c>
      <c r="AL144" t="str">
        <f>CONCATENATE("A(",AD144,")=")</f>
        <v>A(  )=</v>
      </c>
      <c r="AM144" t="e">
        <f>AI144+AK144</f>
        <v>#VALUE!</v>
      </c>
      <c r="AO144" s="68" t="str">
        <f>AA144</f>
        <v>A(  )=</v>
      </c>
      <c r="AP144" s="68" t="e">
        <f>VLOOKUP(AO144,Rise_Results,2,FALSE)</f>
        <v>#N/A</v>
      </c>
      <c r="AQ144" s="76" t="e">
        <f>N144</f>
        <v>#VALUE!</v>
      </c>
      <c r="AR144" s="76" t="e">
        <f>IF(OR(AB144&lt;=0,AB145&lt;=0),1/0,AB144)</f>
        <v>#VALUE!</v>
      </c>
      <c r="AS144" s="76" t="e">
        <f>AM144</f>
        <v>#VALUE!</v>
      </c>
      <c r="AT144" t="e">
        <f>IFERROR(AP144,IFERROR(AQ144,IFERROR(AR144,AS144)))</f>
        <v>#VALUE!</v>
      </c>
      <c r="AU144" s="81"/>
    </row>
    <row r="145" spans="1:47" x14ac:dyDescent="0.25">
      <c r="A145" s="84">
        <f>A144+1</f>
        <v>24</v>
      </c>
      <c r="B145" s="84" t="str">
        <f t="shared" si="69"/>
        <v xml:space="preserve">  </v>
      </c>
      <c r="F145" s="82" t="e">
        <f>SUM(F142:F144)</f>
        <v>#VALUE!</v>
      </c>
      <c r="H145" s="82" t="e">
        <f>SUM(H142:H144)</f>
        <v>#VALUE!</v>
      </c>
      <c r="I145" s="84" t="str">
        <f>CONCATENATE("m'(",C144,")=")</f>
        <v>m'(  )=</v>
      </c>
      <c r="J145" s="84" t="e">
        <f>2*(J142*(WLS))/3*H145</f>
        <v>#VALUE!</v>
      </c>
      <c r="K145" s="84" t="e">
        <f>CONCATENATE("M(",C142,")=")</f>
        <v>#VALUE!</v>
      </c>
      <c r="L145" s="84" t="e">
        <f>VLOOKUP(C142,STN_TABLE,4,FALSE)</f>
        <v>#VALUE!</v>
      </c>
      <c r="M145" t="str">
        <f>CONCATENATE("M(",C144,")=")</f>
        <v>M(  )=</v>
      </c>
      <c r="N145" t="e">
        <f>J145+L145</f>
        <v>#VALUE!</v>
      </c>
      <c r="O145" s="99">
        <f>O144+1</f>
        <v>26</v>
      </c>
      <c r="P145" s="99" t="e">
        <f t="shared" si="65"/>
        <v>#N/A</v>
      </c>
      <c r="T145" s="89" t="e">
        <f>SUM(T142:T144)</f>
        <v>#VALUE!</v>
      </c>
      <c r="V145" s="82" t="e">
        <f>SUM(V142:V144)</f>
        <v>#VALUE!</v>
      </c>
      <c r="W145" s="84" t="str">
        <f>CONCATENATE("m'(",Q143,")=")</f>
        <v>m'(  )=</v>
      </c>
      <c r="X145" s="84" t="e">
        <f>(2*(X142^2)/24*V145)+(X144*Q142*WLS)</f>
        <v>#VALUE!</v>
      </c>
      <c r="Y145" s="84" t="e">
        <f>CONCATENATE("M(",Q142,")=")</f>
        <v>#VALUE!</v>
      </c>
      <c r="Z145" s="84" t="e">
        <f>VLOOKUP(Q142,STN_TABLE,4,FALSE)</f>
        <v>#VALUE!</v>
      </c>
      <c r="AA145" t="str">
        <f>CONCATENATE("M(",Q143,")=")</f>
        <v>M(  )=</v>
      </c>
      <c r="AB145" t="e">
        <f>X145+Z145</f>
        <v>#VALUE!</v>
      </c>
      <c r="AE145" s="89">
        <f>SUM(AE143:AE144)</f>
        <v>0</v>
      </c>
      <c r="AG145" s="89" t="e">
        <f>SUM(AG143:AG144)</f>
        <v>#VALUE!</v>
      </c>
      <c r="AH145" s="84" t="str">
        <f>CONCATENATE("m'(",AD144,")=")</f>
        <v>m'(  )=</v>
      </c>
      <c r="AI145" s="84" t="e">
        <f>(2*(AI142^2)/6*AG145)+(AI144*AD143*WLS)</f>
        <v>#VALUE!</v>
      </c>
      <c r="AJ145" s="84" t="str">
        <f>CONCATENATE("M(",AD143,")=")</f>
        <v>M(  )=</v>
      </c>
      <c r="AK145" s="84" t="str">
        <f>VLOOKUP(AD143,STN_TABLE,4,FALSE)</f>
        <v xml:space="preserve"> </v>
      </c>
      <c r="AL145" t="str">
        <f>CONCATENATE("M(",AD144,")=")</f>
        <v>M(  )=</v>
      </c>
      <c r="AM145" t="e">
        <f>AI145+AK145</f>
        <v>#VALUE!</v>
      </c>
      <c r="AO145" s="82" t="str">
        <f>AA145</f>
        <v>M(  )=</v>
      </c>
      <c r="AP145" s="82" t="e">
        <f>VLOOKUP(AO145,Rise_Results,2,FALSE)</f>
        <v>#N/A</v>
      </c>
      <c r="AQ145" s="82" t="e">
        <f>N145</f>
        <v>#VALUE!</v>
      </c>
      <c r="AR145" s="82" t="e">
        <f>IF(OR(AB144&lt;=0,AB145&lt;=0),1/0,AB145)</f>
        <v>#VALUE!</v>
      </c>
      <c r="AS145" s="82" t="e">
        <f>AM145</f>
        <v>#VALUE!</v>
      </c>
      <c r="AT145" t="e">
        <f>IFERROR(AP145,IFERROR(AQ145,IFERROR(AR145,AS145)))</f>
        <v>#VALUE!</v>
      </c>
      <c r="AU145" s="81"/>
    </row>
    <row r="146" spans="1:47" x14ac:dyDescent="0.25">
      <c r="A146" s="101">
        <f>A141+1</f>
        <v>21</v>
      </c>
      <c r="B146" s="101" t="str">
        <f t="shared" si="69"/>
        <v xml:space="preserve">  </v>
      </c>
      <c r="O146" s="101">
        <f>O141+1</f>
        <v>23</v>
      </c>
      <c r="P146" s="101" t="str">
        <f t="shared" si="65"/>
        <v xml:space="preserve">  </v>
      </c>
      <c r="AU146" s="81"/>
    </row>
    <row r="147" spans="1:47" x14ac:dyDescent="0.25">
      <c r="A147" s="84">
        <f>A146+1</f>
        <v>22</v>
      </c>
      <c r="B147" s="84" t="str">
        <f t="shared" si="69"/>
        <v xml:space="preserve">  </v>
      </c>
      <c r="C147" s="79" t="e">
        <f t="shared" ref="C147" si="75">IF(C148=B149,IF(C149-C148=C148-B148,B148,IF(C149-C148=C148-B147,B147,"#NA")),IF(C148=B148,IF(C149-C148=C148-B147,B147,IF(C149-C148=C148-B146,B146,"#NA")),"#NA"))</f>
        <v>#VALUE!</v>
      </c>
      <c r="D147" s="68" t="e">
        <f>VLOOKUP(C147,STN_TABLE,2,FALSE)</f>
        <v>#VALUE!</v>
      </c>
      <c r="E147" s="102">
        <v>1</v>
      </c>
      <c r="F147" s="68" t="e">
        <f>D147*E147</f>
        <v>#VALUE!</v>
      </c>
      <c r="G147" s="69" t="e">
        <f>C147</f>
        <v>#VALUE!</v>
      </c>
      <c r="H147" s="69" t="e">
        <f>F147*G147</f>
        <v>#VALUE!</v>
      </c>
      <c r="I147" s="6" t="s">
        <v>93</v>
      </c>
      <c r="J147" s="70" t="e">
        <f>IF(OR(D147=0,D148=0,D149=0),"#NA",IF(AND(C149-C148=C148-C147,C148&lt;&gt;C149,C147&lt;&gt;C148,C147&lt;&gt;C149,D149&lt;&gt;0,OR(D147&lt;&gt;0,D148&lt;&gt;0)),WLS*(C149-C148),"#NA"))</f>
        <v>#VALUE!</v>
      </c>
      <c r="O147" s="99">
        <f>O146+1</f>
        <v>24</v>
      </c>
      <c r="P147" s="99" t="str">
        <f t="shared" si="65"/>
        <v xml:space="preserve">  </v>
      </c>
      <c r="Q147" s="68" t="e">
        <f>IF(OR(P149-P148=P148-P147,P150-P148=P148-P147),P147,IF(OR(P149-P148=P148-P146,P150-P148=P148-P146),P146,"-"))</f>
        <v>#N/A</v>
      </c>
      <c r="R147" s="69" t="e">
        <f>VLOOKUP(Q147,STN_TABLE,2,FALSE)</f>
        <v>#N/A</v>
      </c>
      <c r="S147" s="69">
        <v>5</v>
      </c>
      <c r="T147" s="68" t="e">
        <f>R147*S147</f>
        <v>#N/A</v>
      </c>
      <c r="U147" s="79">
        <v>3</v>
      </c>
      <c r="V147" s="68" t="e">
        <f>R147*U147</f>
        <v>#N/A</v>
      </c>
      <c r="W147" s="6" t="s">
        <v>93</v>
      </c>
      <c r="X147" s="70" t="e">
        <f>IF(AND(Q149-Q148=Q148-Q147,NOT(AND(Q147=0,Q148=0)),NOT(AND(Q148=0,Q149=0))),WLS*(Q149-Q148),"#NA")</f>
        <v>#N/A</v>
      </c>
      <c r="AD147" s="93"/>
      <c r="AH147" s="6" t="s">
        <v>93</v>
      </c>
      <c r="AI147" s="70" t="e">
        <f>WLS*(AD149-AD148)</f>
        <v>#VALUE!</v>
      </c>
      <c r="AU147" s="81"/>
    </row>
    <row r="148" spans="1:47" x14ac:dyDescent="0.25">
      <c r="A148" s="84">
        <f>A147+1</f>
        <v>23</v>
      </c>
      <c r="B148" s="84" t="str">
        <f t="shared" si="69"/>
        <v xml:space="preserve">  </v>
      </c>
      <c r="C148" s="80" t="e">
        <f t="shared" ref="C148" si="76">IF(OR(B150-B149=B149-B148,B150-B149=B149-B147,B150-B149=B149-B146),B149,IF(OR(B150-B148=B148-B147,B150-B148=B148-B146),B148,IF(B150-B147=B147-B146,B147,"#NA")))</f>
        <v>#VALUE!</v>
      </c>
      <c r="D148" s="76" t="e">
        <f>VLOOKUP(C148,STN_TABLE,2,FALSE)</f>
        <v>#VALUE!</v>
      </c>
      <c r="E148" s="81">
        <v>4</v>
      </c>
      <c r="F148" s="76" t="e">
        <f>D148*E148</f>
        <v>#VALUE!</v>
      </c>
      <c r="G148" s="77" t="e">
        <f>C148</f>
        <v>#VALUE!</v>
      </c>
      <c r="H148" s="77" t="e">
        <f>F148*G148</f>
        <v>#VALUE!</v>
      </c>
      <c r="I148" s="495" t="s">
        <v>97</v>
      </c>
      <c r="J148" s="496"/>
      <c r="K148" s="78" t="s">
        <v>98</v>
      </c>
      <c r="L148" s="78"/>
      <c r="M148" s="7" t="s">
        <v>99</v>
      </c>
      <c r="N148" s="7"/>
      <c r="O148" s="99">
        <f>O147+1</f>
        <v>25</v>
      </c>
      <c r="P148" s="99" t="str">
        <f t="shared" si="65"/>
        <v xml:space="preserve">  </v>
      </c>
      <c r="Q148" s="76" t="str">
        <f>P148</f>
        <v xml:space="preserve">  </v>
      </c>
      <c r="R148" s="77" t="str">
        <f>VLOOKUP(Q148,STN_TABLE,2,FALSE)</f>
        <v xml:space="preserve">  </v>
      </c>
      <c r="S148" s="77">
        <v>8</v>
      </c>
      <c r="T148" s="76" t="e">
        <f>R148*S148</f>
        <v>#VALUE!</v>
      </c>
      <c r="U148" s="80">
        <v>10</v>
      </c>
      <c r="V148" s="76" t="e">
        <f>R148*U148</f>
        <v>#VALUE!</v>
      </c>
      <c r="W148" s="496" t="s">
        <v>97</v>
      </c>
      <c r="X148" s="496"/>
      <c r="Y148" s="496" t="s">
        <v>98</v>
      </c>
      <c r="Z148" s="496"/>
      <c r="AA148" s="494" t="s">
        <v>99</v>
      </c>
      <c r="AB148" s="494"/>
      <c r="AC148" s="99">
        <f>AC143+1</f>
        <v>24</v>
      </c>
      <c r="AD148" s="95" t="str">
        <f>VLOOKUP(AC148,STN_TABLE_2,2,FALSE)</f>
        <v xml:space="preserve">  </v>
      </c>
      <c r="AE148" s="68" t="str">
        <f>VLOOKUP(AD148,STN_TABLE,2,FALSE)</f>
        <v xml:space="preserve">  </v>
      </c>
      <c r="AF148" s="68">
        <v>1</v>
      </c>
      <c r="AG148" s="69" t="e">
        <f>AE148*AF148</f>
        <v>#VALUE!</v>
      </c>
      <c r="AH148" s="496" t="s">
        <v>97</v>
      </c>
      <c r="AI148" s="496"/>
      <c r="AJ148" s="496" t="s">
        <v>98</v>
      </c>
      <c r="AK148" s="496"/>
      <c r="AL148" s="494" t="s">
        <v>99</v>
      </c>
      <c r="AM148" s="494"/>
      <c r="AP148" s="86" t="s">
        <v>112</v>
      </c>
      <c r="AQ148" s="89" t="s">
        <v>113</v>
      </c>
      <c r="AR148" s="89" t="s">
        <v>114</v>
      </c>
      <c r="AS148" s="89" t="s">
        <v>115</v>
      </c>
      <c r="AU148" s="81"/>
    </row>
    <row r="149" spans="1:47" x14ac:dyDescent="0.25">
      <c r="A149" s="84">
        <f>A148+1</f>
        <v>24</v>
      </c>
      <c r="B149" s="84" t="str">
        <f t="shared" si="69"/>
        <v xml:space="preserve">  </v>
      </c>
      <c r="C149" s="88" t="str">
        <f t="shared" ref="C149" si="77">B150</f>
        <v xml:space="preserve">  </v>
      </c>
      <c r="D149" s="82" t="str">
        <f>VLOOKUP(C149,STN_TABLE,2,FALSE)</f>
        <v xml:space="preserve">  </v>
      </c>
      <c r="E149" s="92">
        <v>1</v>
      </c>
      <c r="F149" s="82" t="e">
        <f>D149*E149</f>
        <v>#VALUE!</v>
      </c>
      <c r="G149" s="83" t="str">
        <f>C149</f>
        <v xml:space="preserve">  </v>
      </c>
      <c r="H149" s="83" t="e">
        <f>F149*G149</f>
        <v>#VALUE!</v>
      </c>
      <c r="I149" s="84" t="str">
        <f>CONCATENATE("a'(",C149,")=")</f>
        <v>a'(  )=</v>
      </c>
      <c r="J149" s="84" t="e">
        <f>2*J147/3*F150</f>
        <v>#VALUE!</v>
      </c>
      <c r="K149" s="84" t="e">
        <f>CONCATENATE("A(",C147,")=")</f>
        <v>#VALUE!</v>
      </c>
      <c r="L149" s="84" t="e">
        <f>VLOOKUP(C147,STN_TABLE,3,FALSE)</f>
        <v>#VALUE!</v>
      </c>
      <c r="M149" t="str">
        <f>CONCATENATE("A(",C149,")=")</f>
        <v>A(  )=</v>
      </c>
      <c r="N149" t="e">
        <f>J149+L149</f>
        <v>#VALUE!</v>
      </c>
      <c r="O149" s="99">
        <f>O148+1</f>
        <v>26</v>
      </c>
      <c r="P149" s="99" t="e">
        <f t="shared" si="65"/>
        <v>#N/A</v>
      </c>
      <c r="Q149" s="82" t="e">
        <f>IF(P149-P148=P148-P147,P149,IF(P150-P148=P148-P147,P150,IF(P149-P148=P148-P146,P149,IF(P150-P148=P148-P146,P150,"-"))))</f>
        <v>#N/A</v>
      </c>
      <c r="R149" s="83" t="e">
        <f>VLOOKUP(Q149,STN_TABLE,2,FALSE)</f>
        <v>#N/A</v>
      </c>
      <c r="S149" s="83">
        <v>-1</v>
      </c>
      <c r="T149" s="82" t="e">
        <f>R149*S149</f>
        <v>#N/A</v>
      </c>
      <c r="U149" s="88">
        <v>-1</v>
      </c>
      <c r="V149" s="82" t="e">
        <f>R149*U149</f>
        <v>#N/A</v>
      </c>
      <c r="W149" s="84" t="str">
        <f>CONCATENATE("a'(",Q148,")=")</f>
        <v>a'(  )=</v>
      </c>
      <c r="X149" s="84" t="e">
        <f>2*X147/12*T150</f>
        <v>#N/A</v>
      </c>
      <c r="Y149" s="84" t="e">
        <f>CONCATENATE("A(",Q147,")=")</f>
        <v>#N/A</v>
      </c>
      <c r="Z149" s="84" t="e">
        <f>VLOOKUP(Q147,STN_TABLE,3,FALSE)</f>
        <v>#N/A</v>
      </c>
      <c r="AA149" t="str">
        <f>CONCATENATE("A(",Q148,")=")</f>
        <v>A(  )=</v>
      </c>
      <c r="AB149" t="e">
        <f>X149+Z149</f>
        <v>#N/A</v>
      </c>
      <c r="AC149" s="99">
        <f>AC148+1</f>
        <v>25</v>
      </c>
      <c r="AD149" s="100" t="str">
        <f>VLOOKUP(AC149,STN_TABLE_2,2,FALSE)</f>
        <v xml:space="preserve">  </v>
      </c>
      <c r="AE149" s="82" t="str">
        <f>VLOOKUP(AD149,STN_TABLE,2,FALSE)</f>
        <v xml:space="preserve">  </v>
      </c>
      <c r="AF149" s="82">
        <v>2</v>
      </c>
      <c r="AG149" s="83" t="e">
        <f>AE149*AF149</f>
        <v>#VALUE!</v>
      </c>
      <c r="AH149" s="84" t="str">
        <f>CONCATENATE("a'(",AD149,")=")</f>
        <v>a'(  )=</v>
      </c>
      <c r="AI149" s="84" t="e">
        <f>2*AI147/2*AE150</f>
        <v>#VALUE!</v>
      </c>
      <c r="AJ149" s="84" t="str">
        <f>CONCATENATE("A(",AD148,")=")</f>
        <v>A(  )=</v>
      </c>
      <c r="AK149" s="84" t="str">
        <f>VLOOKUP(AD148,STN_TABLE,3,FALSE)</f>
        <v xml:space="preserve"> </v>
      </c>
      <c r="AL149" t="str">
        <f>CONCATENATE("A(",AD149,")=")</f>
        <v>A(  )=</v>
      </c>
      <c r="AM149" t="e">
        <f>AI149+AK149</f>
        <v>#VALUE!</v>
      </c>
      <c r="AO149" s="68" t="str">
        <f>AA149</f>
        <v>A(  )=</v>
      </c>
      <c r="AP149" s="68" t="e">
        <f>VLOOKUP(AO149,Rise_Results,2,FALSE)</f>
        <v>#N/A</v>
      </c>
      <c r="AQ149" s="76" t="e">
        <f>N149</f>
        <v>#VALUE!</v>
      </c>
      <c r="AR149" s="76" t="e">
        <f>IF(OR(AB149&lt;=0,AB150&lt;=0),1/0,AB149)</f>
        <v>#N/A</v>
      </c>
      <c r="AS149" s="76" t="e">
        <f>AM149</f>
        <v>#VALUE!</v>
      </c>
      <c r="AT149" t="e">
        <f>IFERROR(AP149,IFERROR(AQ149,IFERROR(AR149,AS149)))</f>
        <v>#VALUE!</v>
      </c>
      <c r="AU149" s="81"/>
    </row>
    <row r="150" spans="1:47" x14ac:dyDescent="0.25">
      <c r="A150" s="84">
        <f>A149+1</f>
        <v>25</v>
      </c>
      <c r="B150" s="84" t="str">
        <f t="shared" si="69"/>
        <v xml:space="preserve">  </v>
      </c>
      <c r="F150" s="82" t="e">
        <f>SUM(F147:F149)</f>
        <v>#VALUE!</v>
      </c>
      <c r="H150" s="82" t="e">
        <f>SUM(H147:H149)</f>
        <v>#VALUE!</v>
      </c>
      <c r="I150" s="84" t="str">
        <f>CONCATENATE("m'(",C149,")=")</f>
        <v>m'(  )=</v>
      </c>
      <c r="J150" s="84" t="e">
        <f>2*(J147*(WLS))/3*H150</f>
        <v>#VALUE!</v>
      </c>
      <c r="K150" s="84" t="e">
        <f>CONCATENATE("M(",C147,")=")</f>
        <v>#VALUE!</v>
      </c>
      <c r="L150" s="84" t="e">
        <f>VLOOKUP(C147,STN_TABLE,4,FALSE)</f>
        <v>#VALUE!</v>
      </c>
      <c r="M150" t="str">
        <f>CONCATENATE("M(",C149,")=")</f>
        <v>M(  )=</v>
      </c>
      <c r="N150" t="e">
        <f>J150+L150</f>
        <v>#VALUE!</v>
      </c>
      <c r="O150" s="99">
        <f>O149+1</f>
        <v>27</v>
      </c>
      <c r="P150" s="99" t="e">
        <f t="shared" si="65"/>
        <v>#N/A</v>
      </c>
      <c r="T150" s="89" t="e">
        <f>SUM(T147:T149)</f>
        <v>#N/A</v>
      </c>
      <c r="V150" s="82" t="e">
        <f>SUM(V147:V149)</f>
        <v>#N/A</v>
      </c>
      <c r="W150" s="84" t="str">
        <f>CONCATENATE("m'(",Q148,")=")</f>
        <v>m'(  )=</v>
      </c>
      <c r="X150" s="84" t="e">
        <f>(2*(X147^2)/24*V150)+(X149*Q147*WLS)</f>
        <v>#N/A</v>
      </c>
      <c r="Y150" s="84" t="e">
        <f>CONCATENATE("M(",Q147,")=")</f>
        <v>#N/A</v>
      </c>
      <c r="Z150" s="84" t="e">
        <f>VLOOKUP(Q147,STN_TABLE,4,FALSE)</f>
        <v>#N/A</v>
      </c>
      <c r="AA150" t="str">
        <f>CONCATENATE("M(",Q148,")=")</f>
        <v>M(  )=</v>
      </c>
      <c r="AB150" t="e">
        <f>X150+Z150</f>
        <v>#N/A</v>
      </c>
      <c r="AE150" s="89">
        <f>SUM(AE148:AE149)</f>
        <v>0</v>
      </c>
      <c r="AG150" s="89" t="e">
        <f>SUM(AG148:AG149)</f>
        <v>#VALUE!</v>
      </c>
      <c r="AH150" s="84" t="str">
        <f>CONCATENATE("m'(",AD149,")=")</f>
        <v>m'(  )=</v>
      </c>
      <c r="AI150" s="84" t="e">
        <f>(2*(AI147^2)/6*AG150)+(AI149*AD148*WLS)</f>
        <v>#VALUE!</v>
      </c>
      <c r="AJ150" s="84" t="str">
        <f>CONCATENATE("M(",AD148,")=")</f>
        <v>M(  )=</v>
      </c>
      <c r="AK150" s="84" t="str">
        <f>VLOOKUP(AD148,STN_TABLE,4,FALSE)</f>
        <v xml:space="preserve"> </v>
      </c>
      <c r="AL150" t="str">
        <f>CONCATENATE("M(",AD149,")=")</f>
        <v>M(  )=</v>
      </c>
      <c r="AM150" t="e">
        <f>AI150+AK150</f>
        <v>#VALUE!</v>
      </c>
      <c r="AO150" s="82" t="str">
        <f>AA150</f>
        <v>M(  )=</v>
      </c>
      <c r="AP150" s="82" t="e">
        <f>VLOOKUP(AO150,Rise_Results,2,FALSE)</f>
        <v>#N/A</v>
      </c>
      <c r="AQ150" s="82" t="e">
        <f>N150</f>
        <v>#VALUE!</v>
      </c>
      <c r="AR150" s="82" t="e">
        <f>IF(OR(AB149&lt;=0,AB150&lt;=0),1/0,AB150)</f>
        <v>#N/A</v>
      </c>
      <c r="AS150" s="82" t="e">
        <f>AM150</f>
        <v>#VALUE!</v>
      </c>
      <c r="AT150" t="e">
        <f>IFERROR(AP150,IFERROR(AQ150,IFERROR(AR150,AS150)))</f>
        <v>#VALUE!</v>
      </c>
      <c r="AU150" s="81"/>
    </row>
    <row r="151" spans="1:47" x14ac:dyDescent="0.25">
      <c r="A151" s="101"/>
      <c r="B151" s="101"/>
      <c r="AU151" s="81"/>
    </row>
    <row r="152" spans="1:47" x14ac:dyDescent="0.25">
      <c r="A152" s="84"/>
      <c r="B152" s="84"/>
      <c r="E152" s="81"/>
      <c r="F152" s="81"/>
      <c r="G152" s="81"/>
      <c r="H152" s="81"/>
      <c r="I152" s="103"/>
      <c r="J152" s="70"/>
      <c r="AU152" s="81"/>
    </row>
    <row r="153" spans="1:47" x14ac:dyDescent="0.25">
      <c r="A153" s="84"/>
      <c r="B153" s="84"/>
      <c r="E153" s="81"/>
      <c r="F153" s="81"/>
      <c r="G153" s="81"/>
      <c r="H153" s="81"/>
      <c r="I153" s="104"/>
      <c r="J153" s="78"/>
      <c r="K153" s="78"/>
      <c r="L153" s="78"/>
      <c r="M153" s="7"/>
      <c r="N153" s="7"/>
      <c r="AO153" s="81"/>
      <c r="AP153" s="81"/>
      <c r="AQ153" s="81"/>
      <c r="AR153" s="81"/>
      <c r="AS153" s="81"/>
      <c r="AT153" s="81"/>
      <c r="AU153" s="81"/>
    </row>
    <row r="154" spans="1:47" x14ac:dyDescent="0.25">
      <c r="A154" s="84"/>
      <c r="B154" s="84"/>
      <c r="E154" s="81"/>
      <c r="F154" s="81"/>
      <c r="G154" s="81"/>
      <c r="H154" s="81"/>
      <c r="I154" s="105"/>
      <c r="J154" s="84"/>
      <c r="K154" s="84"/>
      <c r="L154" s="84"/>
      <c r="AO154" s="81"/>
      <c r="AP154" s="81"/>
      <c r="AQ154" s="81"/>
      <c r="AR154" s="81"/>
      <c r="AS154" s="81"/>
      <c r="AT154" s="81"/>
      <c r="AU154" s="81"/>
    </row>
    <row r="155" spans="1:47" x14ac:dyDescent="0.25">
      <c r="A155" s="84"/>
      <c r="B155" s="84"/>
      <c r="E155" s="81"/>
      <c r="F155" s="81"/>
      <c r="G155" s="81"/>
      <c r="H155" s="81"/>
      <c r="I155" s="105"/>
      <c r="J155" s="84"/>
      <c r="K155" s="84"/>
      <c r="L155" s="84"/>
      <c r="AO155" s="81"/>
      <c r="AP155" s="81"/>
      <c r="AQ155" s="81"/>
      <c r="AR155" s="81"/>
      <c r="AS155" s="81"/>
      <c r="AT155" s="81"/>
      <c r="AU155" s="81"/>
    </row>
    <row r="156" spans="1:47" x14ac:dyDescent="0.25">
      <c r="A156" s="101"/>
      <c r="B156" s="101"/>
      <c r="E156" s="81"/>
      <c r="F156" s="81"/>
      <c r="G156" s="81"/>
      <c r="H156" s="81"/>
      <c r="I156" s="81"/>
      <c r="AO156" s="81"/>
      <c r="AP156" s="81"/>
      <c r="AQ156" s="81"/>
      <c r="AR156" s="81"/>
      <c r="AS156" s="81"/>
      <c r="AT156" s="81"/>
      <c r="AU156" s="81"/>
    </row>
    <row r="157" spans="1:47" x14ac:dyDescent="0.25">
      <c r="A157" s="84"/>
      <c r="B157" s="84"/>
      <c r="E157" s="81"/>
      <c r="F157" s="81"/>
      <c r="G157" s="81"/>
      <c r="H157" s="81"/>
      <c r="I157" s="103"/>
      <c r="J157" s="70"/>
      <c r="AO157" s="81"/>
      <c r="AP157" s="81"/>
      <c r="AQ157" s="81"/>
      <c r="AR157" s="81"/>
      <c r="AS157" s="81"/>
      <c r="AT157" s="81"/>
      <c r="AU157" s="81"/>
    </row>
    <row r="158" spans="1:47" x14ac:dyDescent="0.25">
      <c r="A158" s="84"/>
      <c r="B158" s="84"/>
      <c r="E158" s="81"/>
      <c r="F158" s="81"/>
      <c r="G158" s="81"/>
      <c r="H158" s="81"/>
      <c r="I158" s="104"/>
      <c r="J158" s="78"/>
      <c r="K158" s="78"/>
      <c r="L158" s="78"/>
      <c r="M158" s="7"/>
      <c r="N158" s="7"/>
      <c r="AO158" s="81"/>
      <c r="AP158" s="81"/>
      <c r="AQ158" s="81"/>
      <c r="AR158" s="81"/>
      <c r="AS158" s="81"/>
      <c r="AT158" s="81"/>
      <c r="AU158" s="81"/>
    </row>
    <row r="159" spans="1:47" x14ac:dyDescent="0.25">
      <c r="A159" s="84"/>
      <c r="B159" s="84"/>
      <c r="E159" s="81"/>
      <c r="F159" s="81"/>
      <c r="G159" s="81"/>
      <c r="H159" s="81"/>
      <c r="I159" s="105"/>
      <c r="J159" s="84"/>
      <c r="K159" s="84"/>
      <c r="L159" s="84"/>
      <c r="AO159" s="81"/>
      <c r="AP159" s="81"/>
      <c r="AQ159" s="81"/>
      <c r="AR159" s="81"/>
      <c r="AS159" s="81"/>
      <c r="AT159" s="81"/>
      <c r="AU159" s="81"/>
    </row>
    <row r="160" spans="1:47" x14ac:dyDescent="0.25">
      <c r="A160" s="84"/>
      <c r="B160" s="84"/>
      <c r="E160" s="81"/>
      <c r="F160" s="81"/>
      <c r="G160" s="81"/>
      <c r="H160" s="81"/>
      <c r="I160" s="105"/>
      <c r="J160" s="84"/>
      <c r="K160" s="84"/>
      <c r="L160" s="84"/>
      <c r="AO160" s="81"/>
      <c r="AP160" s="81"/>
      <c r="AQ160" s="81"/>
      <c r="AR160" s="81"/>
      <c r="AS160" s="81"/>
      <c r="AT160" s="81"/>
      <c r="AU160" s="81"/>
    </row>
    <row r="161" spans="1:47" x14ac:dyDescent="0.25">
      <c r="A161" s="101"/>
      <c r="B161" s="101"/>
      <c r="E161" s="81"/>
      <c r="F161" s="81"/>
      <c r="G161" s="81"/>
      <c r="H161" s="81"/>
      <c r="I161" s="81"/>
      <c r="AO161" s="81"/>
      <c r="AP161" s="81"/>
      <c r="AQ161" s="81"/>
      <c r="AR161" s="81"/>
      <c r="AS161" s="81"/>
      <c r="AT161" s="81"/>
      <c r="AU161" s="81"/>
    </row>
    <row r="162" spans="1:47" x14ac:dyDescent="0.25">
      <c r="A162" s="84"/>
      <c r="B162" s="84"/>
      <c r="E162" s="81"/>
      <c r="F162" s="81"/>
      <c r="G162" s="81"/>
      <c r="H162" s="81"/>
      <c r="I162" s="103"/>
      <c r="J162" s="70"/>
      <c r="AO162" s="81"/>
      <c r="AP162" s="81"/>
      <c r="AQ162" s="81"/>
      <c r="AR162" s="81"/>
      <c r="AS162" s="81"/>
      <c r="AT162" s="81"/>
      <c r="AU162" s="81"/>
    </row>
    <row r="163" spans="1:47" x14ac:dyDescent="0.25">
      <c r="A163" s="84"/>
      <c r="B163" s="84"/>
      <c r="E163" s="81"/>
      <c r="F163" s="81"/>
      <c r="G163" s="81"/>
      <c r="H163" s="81"/>
      <c r="I163" s="104"/>
      <c r="J163" s="78"/>
      <c r="K163" s="78"/>
      <c r="L163" s="78"/>
      <c r="M163" s="7"/>
      <c r="N163" s="7"/>
      <c r="AO163" s="81"/>
      <c r="AP163" s="81"/>
      <c r="AQ163" s="81"/>
      <c r="AR163" s="81"/>
      <c r="AS163" s="81"/>
      <c r="AT163" s="81"/>
      <c r="AU163" s="81"/>
    </row>
    <row r="164" spans="1:47" x14ac:dyDescent="0.25">
      <c r="A164" s="84"/>
      <c r="B164" s="84"/>
      <c r="E164" s="81"/>
      <c r="F164" s="81"/>
      <c r="G164" s="81"/>
      <c r="H164" s="81"/>
      <c r="I164" s="105"/>
      <c r="J164" s="84"/>
      <c r="K164" s="84"/>
      <c r="L164" s="84"/>
    </row>
    <row r="165" spans="1:47" x14ac:dyDescent="0.25">
      <c r="A165" s="84"/>
      <c r="B165" s="84"/>
      <c r="E165" s="81"/>
      <c r="F165" s="81"/>
      <c r="G165" s="81"/>
      <c r="H165" s="81"/>
      <c r="I165" s="105"/>
      <c r="J165" s="84"/>
      <c r="K165" s="84"/>
      <c r="L165" s="84"/>
    </row>
    <row r="166" spans="1:47" x14ac:dyDescent="0.25">
      <c r="A166" s="101"/>
      <c r="B166" s="101"/>
      <c r="E166" s="81"/>
      <c r="F166" s="81"/>
      <c r="G166" s="81"/>
      <c r="H166" s="81"/>
      <c r="I166" s="81"/>
    </row>
    <row r="167" spans="1:47" x14ac:dyDescent="0.25">
      <c r="A167" s="84"/>
      <c r="B167" s="84"/>
      <c r="E167" s="81"/>
      <c r="F167" s="81"/>
      <c r="G167" s="81"/>
      <c r="H167" s="81"/>
      <c r="I167" s="103"/>
      <c r="J167" s="70"/>
    </row>
    <row r="168" spans="1:47" x14ac:dyDescent="0.25">
      <c r="A168" s="84"/>
      <c r="B168" s="84"/>
      <c r="E168" s="81"/>
      <c r="F168" s="81"/>
      <c r="G168" s="81"/>
      <c r="H168" s="81"/>
      <c r="I168" s="104"/>
      <c r="J168" s="78"/>
      <c r="K168" s="78"/>
      <c r="L168" s="78"/>
      <c r="M168" s="7"/>
      <c r="N168" s="7"/>
    </row>
    <row r="169" spans="1:47" x14ac:dyDescent="0.25">
      <c r="A169" s="84"/>
      <c r="B169" s="84"/>
      <c r="E169" s="81"/>
      <c r="F169" s="81"/>
      <c r="G169" s="81"/>
      <c r="H169" s="81"/>
      <c r="I169" s="105"/>
      <c r="J169" s="84"/>
      <c r="K169" s="84"/>
      <c r="L169" s="84"/>
    </row>
    <row r="170" spans="1:47" x14ac:dyDescent="0.25">
      <c r="A170" s="84"/>
      <c r="B170" s="84"/>
      <c r="E170" s="81"/>
      <c r="F170" s="81"/>
      <c r="G170" s="81"/>
      <c r="H170" s="81"/>
      <c r="I170" s="105"/>
      <c r="J170" s="84"/>
      <c r="K170" s="84"/>
      <c r="L170" s="84"/>
    </row>
    <row r="171" spans="1:47" x14ac:dyDescent="0.25">
      <c r="E171" s="81"/>
      <c r="F171" s="81"/>
      <c r="G171" s="81"/>
      <c r="H171" s="81"/>
      <c r="I171" s="81"/>
    </row>
  </sheetData>
  <sheetProtection selectLockedCells="1" selectUnlockedCells="1"/>
  <mergeCells count="167">
    <mergeCell ref="A1:B1"/>
    <mergeCell ref="E1:F1"/>
    <mergeCell ref="L1:M1"/>
    <mergeCell ref="W33:X33"/>
    <mergeCell ref="Y33:Z33"/>
    <mergeCell ref="AA33:AB33"/>
    <mergeCell ref="AH33:AI33"/>
    <mergeCell ref="AJ33:AK33"/>
    <mergeCell ref="AL33:AM33"/>
    <mergeCell ref="I38:J38"/>
    <mergeCell ref="W38:X38"/>
    <mergeCell ref="Y38:Z38"/>
    <mergeCell ref="AA38:AB38"/>
    <mergeCell ref="AH38:AI38"/>
    <mergeCell ref="AJ38:AK38"/>
    <mergeCell ref="AL38:AM38"/>
    <mergeCell ref="AL43:AM43"/>
    <mergeCell ref="I48:J48"/>
    <mergeCell ref="W48:X48"/>
    <mergeCell ref="Y48:Z48"/>
    <mergeCell ref="AA48:AB48"/>
    <mergeCell ref="AH48:AI48"/>
    <mergeCell ref="AJ48:AK48"/>
    <mergeCell ref="AL48:AM48"/>
    <mergeCell ref="I43:J43"/>
    <mergeCell ref="W43:X43"/>
    <mergeCell ref="Y43:Z43"/>
    <mergeCell ref="AA43:AB43"/>
    <mergeCell ref="AH43:AI43"/>
    <mergeCell ref="AJ43:AK43"/>
    <mergeCell ref="AL53:AM53"/>
    <mergeCell ref="I58:J58"/>
    <mergeCell ref="AH58:AI58"/>
    <mergeCell ref="AJ58:AK58"/>
    <mergeCell ref="AL58:AM58"/>
    <mergeCell ref="I63:J63"/>
    <mergeCell ref="W63:X63"/>
    <mergeCell ref="Y63:Z63"/>
    <mergeCell ref="AA63:AB63"/>
    <mergeCell ref="AH63:AI63"/>
    <mergeCell ref="I53:J53"/>
    <mergeCell ref="W53:X53"/>
    <mergeCell ref="Y53:Z53"/>
    <mergeCell ref="AA53:AB53"/>
    <mergeCell ref="AH53:AI53"/>
    <mergeCell ref="AJ53:AK53"/>
    <mergeCell ref="AJ63:AK63"/>
    <mergeCell ref="AL63:AM63"/>
    <mergeCell ref="I68:J68"/>
    <mergeCell ref="W68:X68"/>
    <mergeCell ref="Y68:Z68"/>
    <mergeCell ref="AA68:AB68"/>
    <mergeCell ref="AH68:AI68"/>
    <mergeCell ref="AJ68:AK68"/>
    <mergeCell ref="AL68:AM68"/>
    <mergeCell ref="AL73:AM73"/>
    <mergeCell ref="I78:J78"/>
    <mergeCell ref="W78:X78"/>
    <mergeCell ref="Y78:Z78"/>
    <mergeCell ref="AA78:AB78"/>
    <mergeCell ref="AH78:AI78"/>
    <mergeCell ref="AJ78:AK78"/>
    <mergeCell ref="AL78:AM78"/>
    <mergeCell ref="I73:J73"/>
    <mergeCell ref="W73:X73"/>
    <mergeCell ref="Y73:Z73"/>
    <mergeCell ref="AA73:AB73"/>
    <mergeCell ref="AH73:AI73"/>
    <mergeCell ref="AJ73:AK73"/>
    <mergeCell ref="AL83:AM83"/>
    <mergeCell ref="I88:J88"/>
    <mergeCell ref="W88:X88"/>
    <mergeCell ref="Y88:Z88"/>
    <mergeCell ref="AA88:AB88"/>
    <mergeCell ref="AH88:AI88"/>
    <mergeCell ref="AJ88:AK88"/>
    <mergeCell ref="AL88:AM88"/>
    <mergeCell ref="I83:J83"/>
    <mergeCell ref="W83:X83"/>
    <mergeCell ref="Y83:Z83"/>
    <mergeCell ref="AA83:AB83"/>
    <mergeCell ref="AH83:AI83"/>
    <mergeCell ref="AJ83:AK83"/>
    <mergeCell ref="AL93:AM93"/>
    <mergeCell ref="I98:J98"/>
    <mergeCell ref="W98:X98"/>
    <mergeCell ref="Y98:Z98"/>
    <mergeCell ref="AA98:AB98"/>
    <mergeCell ref="AH98:AI98"/>
    <mergeCell ref="AJ98:AK98"/>
    <mergeCell ref="AL98:AM98"/>
    <mergeCell ref="I93:J93"/>
    <mergeCell ref="W93:X93"/>
    <mergeCell ref="Y93:Z93"/>
    <mergeCell ref="AA93:AB93"/>
    <mergeCell ref="AH93:AI93"/>
    <mergeCell ref="AJ93:AK93"/>
    <mergeCell ref="AL103:AM103"/>
    <mergeCell ref="I108:J108"/>
    <mergeCell ref="W108:X108"/>
    <mergeCell ref="Y108:Z108"/>
    <mergeCell ref="AA108:AB108"/>
    <mergeCell ref="AH108:AI108"/>
    <mergeCell ref="AJ108:AK108"/>
    <mergeCell ref="AL108:AM108"/>
    <mergeCell ref="I103:J103"/>
    <mergeCell ref="W103:X103"/>
    <mergeCell ref="Y103:Z103"/>
    <mergeCell ref="AA103:AB103"/>
    <mergeCell ref="AH103:AI103"/>
    <mergeCell ref="AJ103:AK103"/>
    <mergeCell ref="AL113:AM113"/>
    <mergeCell ref="I118:J118"/>
    <mergeCell ref="W118:X118"/>
    <mergeCell ref="Y118:Z118"/>
    <mergeCell ref="AA118:AB118"/>
    <mergeCell ref="AH118:AI118"/>
    <mergeCell ref="AJ118:AK118"/>
    <mergeCell ref="AL118:AM118"/>
    <mergeCell ref="I113:J113"/>
    <mergeCell ref="W113:X113"/>
    <mergeCell ref="Y113:Z113"/>
    <mergeCell ref="AA113:AB113"/>
    <mergeCell ref="AH113:AI113"/>
    <mergeCell ref="AJ113:AK113"/>
    <mergeCell ref="AL123:AM123"/>
    <mergeCell ref="I128:J128"/>
    <mergeCell ref="W128:X128"/>
    <mergeCell ref="Y128:Z128"/>
    <mergeCell ref="AA128:AB128"/>
    <mergeCell ref="AH128:AI128"/>
    <mergeCell ref="AJ128:AK128"/>
    <mergeCell ref="AL128:AM128"/>
    <mergeCell ref="I123:J123"/>
    <mergeCell ref="W123:X123"/>
    <mergeCell ref="Y123:Z123"/>
    <mergeCell ref="AA123:AB123"/>
    <mergeCell ref="AH123:AI123"/>
    <mergeCell ref="AJ123:AK123"/>
    <mergeCell ref="AL133:AM133"/>
    <mergeCell ref="I138:J138"/>
    <mergeCell ref="W138:X138"/>
    <mergeCell ref="Y138:Z138"/>
    <mergeCell ref="AA138:AB138"/>
    <mergeCell ref="AH138:AI138"/>
    <mergeCell ref="AJ138:AK138"/>
    <mergeCell ref="AL138:AM138"/>
    <mergeCell ref="I133:J133"/>
    <mergeCell ref="W133:X133"/>
    <mergeCell ref="Y133:Z133"/>
    <mergeCell ref="AA133:AB133"/>
    <mergeCell ref="AH133:AI133"/>
    <mergeCell ref="AJ133:AK133"/>
    <mergeCell ref="AL143:AM143"/>
    <mergeCell ref="I148:J148"/>
    <mergeCell ref="W148:X148"/>
    <mergeCell ref="Y148:Z148"/>
    <mergeCell ref="AA148:AB148"/>
    <mergeCell ref="AH148:AI148"/>
    <mergeCell ref="AJ148:AK148"/>
    <mergeCell ref="AL148:AM148"/>
    <mergeCell ref="I143:J143"/>
    <mergeCell ref="W143:X143"/>
    <mergeCell ref="Y143:Z143"/>
    <mergeCell ref="AA143:AB143"/>
    <mergeCell ref="AH143:AI143"/>
    <mergeCell ref="AJ143:AK143"/>
  </mergeCells>
  <pageMargins left="0.7" right="0.7" top="0.75" bottom="0.75" header="0.3" footer="0.3"/>
  <pageSetup paperSize="9"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U171"/>
  <sheetViews>
    <sheetView topLeftCell="N1" workbookViewId="0">
      <pane ySplit="1" topLeftCell="A8" activePane="bottomLeft" state="frozen"/>
      <selection activeCell="AG8" sqref="AG8:AG10"/>
      <selection pane="bottomLeft" activeCell="AG8" sqref="AG8:AG10"/>
    </sheetView>
  </sheetViews>
  <sheetFormatPr defaultRowHeight="15" x14ac:dyDescent="0.25"/>
  <sheetData>
    <row r="1" spans="1:46" x14ac:dyDescent="0.25">
      <c r="A1" s="494" t="s">
        <v>90</v>
      </c>
      <c r="B1" s="494"/>
      <c r="C1">
        <f>HLOOKUP(Stn_WL,OFFSET_A,Count_STN+1,FALSE)</f>
        <v>6</v>
      </c>
      <c r="E1" s="494" t="s">
        <v>91</v>
      </c>
      <c r="F1" s="494"/>
      <c r="G1" t="str">
        <f>VLOOKUP(Station_No,RISE_CALC,2,FALSE)</f>
        <v>-</v>
      </c>
      <c r="L1" s="494" t="s">
        <v>92</v>
      </c>
      <c r="M1" s="494"/>
      <c r="N1">
        <v>9</v>
      </c>
    </row>
    <row r="2" spans="1:46" x14ac:dyDescent="0.25">
      <c r="Q2" s="66" t="str">
        <f t="shared" ref="Q2:R6" si="0">G4</f>
        <v>Rise</v>
      </c>
      <c r="R2" s="67" t="e">
        <f t="shared" si="0"/>
        <v>#VALUE!</v>
      </c>
      <c r="S2" s="68" t="e">
        <f>IF(OR(R5-R4=R4-R3,R6-R4=R4-R3),R3,IF(OR(R5-R4=R4-R2,R6-R4=R4-R2),R2,"-"))</f>
        <v>#VALUE!</v>
      </c>
      <c r="T2" s="69" t="e">
        <f>IFERROR(VLOOKUP(S2,STN_TABLE,2,FALSE),IF(R2=RisePerWLS,0,"-"))</f>
        <v>#VALUE!</v>
      </c>
      <c r="U2" s="69">
        <v>5</v>
      </c>
      <c r="V2" s="69" t="e">
        <f>T2*U2</f>
        <v>#VALUE!</v>
      </c>
      <c r="W2" s="69">
        <v>3</v>
      </c>
      <c r="X2" s="69" t="e">
        <f>T2*W2</f>
        <v>#VALUE!</v>
      </c>
      <c r="Y2" s="6" t="s">
        <v>93</v>
      </c>
      <c r="Z2" s="70" t="e">
        <f>IF(AND(S4-S3=S3-S2,NOT(AND(S2=0,S3=0)),NOT(AND(S3=0,S4=0))),WLS*(S4-S3),"#NA")</f>
        <v>#VALUE!</v>
      </c>
      <c r="AE2" s="71" t="s">
        <v>94</v>
      </c>
    </row>
    <row r="3" spans="1:46" x14ac:dyDescent="0.25">
      <c r="B3" s="72" t="s">
        <v>0</v>
      </c>
      <c r="C3" s="73" t="s">
        <v>95</v>
      </c>
      <c r="D3" s="73" t="s">
        <v>18</v>
      </c>
      <c r="E3" s="74" t="s">
        <v>20</v>
      </c>
      <c r="H3" s="75" t="s">
        <v>96</v>
      </c>
      <c r="K3" t="str">
        <f>IF(Rise=0,"(Not considered)","(Considered)")</f>
        <v>(Considered)</v>
      </c>
      <c r="Q3" s="66" t="str">
        <f t="shared" si="0"/>
        <v>1st_UWL</v>
      </c>
      <c r="R3" s="67" t="str">
        <f t="shared" si="0"/>
        <v>#NA</v>
      </c>
      <c r="S3" s="76" t="str">
        <f>R4</f>
        <v>#NA</v>
      </c>
      <c r="T3" s="77" t="e">
        <f>VLOOKUP(S3,STN_TABLE,2,FALSE)</f>
        <v>#N/A</v>
      </c>
      <c r="U3" s="77">
        <v>8</v>
      </c>
      <c r="V3" s="77" t="e">
        <f>T3*U3</f>
        <v>#N/A</v>
      </c>
      <c r="W3" s="77">
        <v>10</v>
      </c>
      <c r="X3" s="77" t="e">
        <f>T3*W3</f>
        <v>#N/A</v>
      </c>
      <c r="Y3" s="78" t="s">
        <v>97</v>
      </c>
      <c r="Z3" s="78"/>
      <c r="AA3" s="78" t="s">
        <v>98</v>
      </c>
      <c r="AB3" s="78"/>
      <c r="AC3" s="7" t="s">
        <v>99</v>
      </c>
      <c r="AD3" s="7"/>
      <c r="AE3" s="66" t="str">
        <f t="shared" ref="AE3:AF7" si="1">G4</f>
        <v>Rise</v>
      </c>
      <c r="AF3" s="67" t="e">
        <f t="shared" si="1"/>
        <v>#VALUE!</v>
      </c>
      <c r="AG3" s="79" t="e">
        <f>IF(AF7-AF6=AF6-AF5,AF5,IF(OR(AF7-AF6=AF6-AF4,AF7-AF5=AF5-AF4),AF4,IF(OR(AF7-AF6=AF6-AF3,AF7-AF5=AF5-AF3,AF7-AF4=AF4-AF3),AF3,"#NA")))</f>
        <v>#VALUE!</v>
      </c>
      <c r="AH3" s="69" t="e">
        <f>IFERROR(VLOOKUP(AG3,STN_TABLE,2,FALSE),IF(AF3=RisePerWLS,0,"-"))</f>
        <v>#VALUE!</v>
      </c>
      <c r="AI3" s="69">
        <v>1</v>
      </c>
      <c r="AJ3" s="69" t="e">
        <f>AH3*AI3</f>
        <v>#VALUE!</v>
      </c>
      <c r="AK3" s="69" t="e">
        <f>AG3</f>
        <v>#VALUE!</v>
      </c>
      <c r="AL3" s="69" t="e">
        <f>AJ3*AK3</f>
        <v>#VALUE!</v>
      </c>
      <c r="AM3" s="6" t="s">
        <v>93</v>
      </c>
      <c r="AN3" s="70" t="e">
        <f>IF(AND(AH3=0,AH4=0,AH5=0),WLS*(AG5-AG4),IF(AND(AG5-AG4=AG4-AG3,AG4&lt;&gt;AG5,AG3&lt;&gt;AG4,AG3&lt;&gt;AG5,AH5&lt;&gt;0,OR(AH3&lt;&gt;0,AH4&lt;&gt;0)),WLS*(AG5-AG4),"#NA"))</f>
        <v>#VALUE!</v>
      </c>
    </row>
    <row r="4" spans="1:46" x14ac:dyDescent="0.25">
      <c r="A4">
        <v>1</v>
      </c>
      <c r="B4" s="80">
        <f t="shared" ref="B4:B28" si="2">VLOOKUP(Stn_WL,OFFSET_A,A4+1,FALSE)</f>
        <v>0</v>
      </c>
      <c r="C4" s="81">
        <f t="shared" ref="C4:C28" si="3">VLOOKUP(Station_No,OFFSET_A,A4+1,FALSE)</f>
        <v>7.9</v>
      </c>
      <c r="D4" s="81">
        <v>0</v>
      </c>
      <c r="E4" s="77">
        <v>0</v>
      </c>
      <c r="G4" t="s">
        <v>100</v>
      </c>
      <c r="H4" t="e">
        <f>Rise/WLS</f>
        <v>#VALUE!</v>
      </c>
      <c r="K4" t="str">
        <f>CONCATENATE("A(",H5,")=")</f>
        <v>A(#NA)=</v>
      </c>
      <c r="L4" t="e">
        <f>IFERROR(N18,N22)</f>
        <v>#VALUE!</v>
      </c>
      <c r="Q4" s="66" t="str">
        <f t="shared" si="0"/>
        <v>2nd_UWL</v>
      </c>
      <c r="R4" s="67" t="str">
        <f t="shared" si="0"/>
        <v>#NA</v>
      </c>
      <c r="S4" s="82" t="e">
        <f>IF((S2-S3)=S3-R5,R5,IF(S2-S3=S3-R6,R6,"-"))</f>
        <v>#VALUE!</v>
      </c>
      <c r="T4" s="83" t="e">
        <f>VLOOKUP(S4,STN_TABLE,2,FALSE)</f>
        <v>#VALUE!</v>
      </c>
      <c r="U4" s="83">
        <v>-1</v>
      </c>
      <c r="V4" s="83" t="e">
        <f>T4*U4</f>
        <v>#VALUE!</v>
      </c>
      <c r="W4" s="83">
        <v>-1</v>
      </c>
      <c r="X4" s="83" t="e">
        <f>T4*W4</f>
        <v>#VALUE!</v>
      </c>
      <c r="Y4" s="84" t="str">
        <f>CONCATENATE("a'(",S3,")=")</f>
        <v>a'(#NA)=</v>
      </c>
      <c r="Z4" s="85" t="e">
        <f>2*Z2/12*V5</f>
        <v>#VALUE!</v>
      </c>
      <c r="AA4" s="84" t="e">
        <f>CONCATENATE("A(",S2,")=")</f>
        <v>#VALUE!</v>
      </c>
      <c r="AB4" s="84" t="e">
        <f>IF(S2=RisePerWLS,0,VLOOKUP(S2,STN_TABLE,3,FALSE))</f>
        <v>#VALUE!</v>
      </c>
      <c r="AC4" t="str">
        <f>CONCATENATE("A(",S3,")=")</f>
        <v>A(#NA)=</v>
      </c>
      <c r="AD4" t="e">
        <f>Z4+AB4</f>
        <v>#VALUE!</v>
      </c>
      <c r="AE4" s="66" t="str">
        <f t="shared" si="1"/>
        <v>1st_UWL</v>
      </c>
      <c r="AF4" s="67" t="str">
        <f t="shared" si="1"/>
        <v>#NA</v>
      </c>
      <c r="AG4" s="80" t="e">
        <f>IF(OR(AF7-AF6=AF6-AF5,AF7-AF6=AF6-AF4,AF7-AF6=AF6-AF3),AF6,IF(OR(AF7-AF5=AF5-AF4,AF7-AF5=AF5-AF3),AF5,IF(AF7-AF4=AF4-AF3,AF4,"#NA")))</f>
        <v>#VALUE!</v>
      </c>
      <c r="AH4" s="77" t="e">
        <f>VLOOKUP(AG4,STN_TABLE,2,FALSE)</f>
        <v>#VALUE!</v>
      </c>
      <c r="AI4" s="77">
        <v>4</v>
      </c>
      <c r="AJ4" s="77" t="e">
        <f>AH4*AI4</f>
        <v>#VALUE!</v>
      </c>
      <c r="AK4" s="77" t="e">
        <f>AG4</f>
        <v>#VALUE!</v>
      </c>
      <c r="AL4" s="77" t="e">
        <f>AJ4*AK4</f>
        <v>#VALUE!</v>
      </c>
      <c r="AM4" s="78" t="s">
        <v>97</v>
      </c>
      <c r="AN4" s="78"/>
      <c r="AO4" s="78" t="s">
        <v>98</v>
      </c>
      <c r="AP4" s="78"/>
      <c r="AQ4" s="7" t="s">
        <v>99</v>
      </c>
      <c r="AR4" s="7"/>
      <c r="AS4" s="7"/>
      <c r="AT4" s="7"/>
    </row>
    <row r="5" spans="1:46" x14ac:dyDescent="0.25">
      <c r="A5">
        <v>2</v>
      </c>
      <c r="B5" s="80">
        <f t="shared" si="2"/>
        <v>0.25</v>
      </c>
      <c r="C5" s="81">
        <f t="shared" si="3"/>
        <v>8.9</v>
      </c>
      <c r="D5" s="81">
        <f t="shared" ref="D5:D28" si="4">IFERROR(VLOOKUP(CONCATENATE("A(",B5,")="),RESULT_TABLE,6,FALSE)," ")</f>
        <v>8.4333333333333336</v>
      </c>
      <c r="E5" s="77">
        <f t="shared" ref="E5:E28" si="5">IFERROR(VLOOKUP(CONCATENATE("M(",B5,")="),RESULT_TABLE,6,FALSE)," ")</f>
        <v>2.15</v>
      </c>
      <c r="G5" t="s">
        <v>101</v>
      </c>
      <c r="H5" t="str">
        <f>VLOOKUP(Station_No,RISE_CALC,4,FALSE)</f>
        <v>#NA</v>
      </c>
      <c r="K5" t="str">
        <f>CONCATENATE("M(",H5,")=")</f>
        <v>M(#NA)=</v>
      </c>
      <c r="L5" t="e">
        <f>IFERROR(N19,N23)</f>
        <v>#VALUE!</v>
      </c>
      <c r="Q5" s="66" t="str">
        <f t="shared" si="0"/>
        <v>3rd_UWL</v>
      </c>
      <c r="R5" s="67" t="str">
        <f t="shared" si="0"/>
        <v>#NA</v>
      </c>
      <c r="V5" s="86" t="e">
        <f>SUM(V2:V4)</f>
        <v>#VALUE!</v>
      </c>
      <c r="X5" s="87" t="e">
        <f>SUM(X2:X4)</f>
        <v>#VALUE!</v>
      </c>
      <c r="Y5" s="84" t="str">
        <f>CONCATENATE("m'(",S3,")=")</f>
        <v>m'(#NA)=</v>
      </c>
      <c r="Z5" s="85" t="e">
        <f>(2*(Z2^2)/24*X5)+(Z4*S2*WLS)</f>
        <v>#VALUE!</v>
      </c>
      <c r="AA5" s="84" t="e">
        <f>CONCATENATE("M(",S2,")=")</f>
        <v>#VALUE!</v>
      </c>
      <c r="AB5" s="84" t="e">
        <f>IF(S2=RisePerWLS,0,VLOOKUP(S2,STN_TABLE,4,FALSE))</f>
        <v>#VALUE!</v>
      </c>
      <c r="AC5" t="str">
        <f>CONCATENATE("M(",S3,")=")</f>
        <v>M(#NA)=</v>
      </c>
      <c r="AD5" t="e">
        <f>Z5+AB5</f>
        <v>#VALUE!</v>
      </c>
      <c r="AE5" s="66" t="str">
        <f t="shared" si="1"/>
        <v>2nd_UWL</v>
      </c>
      <c r="AF5" s="67" t="str">
        <f t="shared" si="1"/>
        <v>#NA</v>
      </c>
      <c r="AG5" s="88" t="str">
        <f>AF7</f>
        <v>#NA</v>
      </c>
      <c r="AH5" s="83" t="e">
        <f>VLOOKUP(AG5,STN_TABLE,2,FALSE)</f>
        <v>#N/A</v>
      </c>
      <c r="AI5" s="83">
        <v>1</v>
      </c>
      <c r="AJ5" s="83" t="e">
        <f>AH5*AI5</f>
        <v>#N/A</v>
      </c>
      <c r="AK5" s="83" t="str">
        <f>AG5</f>
        <v>#NA</v>
      </c>
      <c r="AL5" s="83" t="e">
        <f>AJ5*AK5</f>
        <v>#N/A</v>
      </c>
      <c r="AM5" s="84" t="str">
        <f>CONCATENATE("a'(",AG5,")=")</f>
        <v>a'(#NA)=</v>
      </c>
      <c r="AN5" s="84" t="e">
        <f>2*AN3/3*AJ6</f>
        <v>#VALUE!</v>
      </c>
      <c r="AO5" s="84" t="e">
        <f>CONCATENATE("A(",AG3,")=")</f>
        <v>#VALUE!</v>
      </c>
      <c r="AP5" s="84" t="e">
        <f>IF(AG3=RisePerWLS,0,VLOOKUP(AG3,STN_TABLE,3,FALSE))</f>
        <v>#VALUE!</v>
      </c>
      <c r="AQ5" t="str">
        <f>CONCATENATE("A(",AG5,")=")</f>
        <v>A(#NA)=</v>
      </c>
      <c r="AR5" t="e">
        <f>AN5+AP5</f>
        <v>#VALUE!</v>
      </c>
    </row>
    <row r="6" spans="1:46" x14ac:dyDescent="0.25">
      <c r="A6">
        <v>3</v>
      </c>
      <c r="B6" s="80">
        <f t="shared" si="2"/>
        <v>0.5</v>
      </c>
      <c r="C6" s="81">
        <f t="shared" si="3"/>
        <v>9.5</v>
      </c>
      <c r="D6" s="81">
        <f t="shared" si="4"/>
        <v>17.666666666666664</v>
      </c>
      <c r="E6" s="77">
        <f t="shared" si="5"/>
        <v>9.1</v>
      </c>
      <c r="G6" t="s">
        <v>102</v>
      </c>
      <c r="H6" t="str">
        <f>VLOOKUP(Station_No,RISE_CALC,5,FALSE)</f>
        <v>#NA</v>
      </c>
      <c r="K6" t="str">
        <f>CONCATENATE("A(",H6,")=")</f>
        <v>A(#NA)=</v>
      </c>
      <c r="L6" t="e">
        <f>IFERROR(P27,IFERROR(X6,AD9))</f>
        <v>#VALUE!</v>
      </c>
      <c r="Q6" s="66" t="str">
        <f t="shared" si="0"/>
        <v>4th_UWL</v>
      </c>
      <c r="R6" s="67" t="str">
        <f t="shared" si="0"/>
        <v>#NA</v>
      </c>
      <c r="U6" t="s">
        <v>103</v>
      </c>
      <c r="W6" t="str">
        <f>CONCATENATE("A(",S3,")=")</f>
        <v>A(#NA)=</v>
      </c>
      <c r="X6" t="e">
        <f>IF(OR(AD4&lt;=0,AD5&lt;=0),AD9,AD4)</f>
        <v>#VALUE!</v>
      </c>
      <c r="AE6" s="66" t="str">
        <f t="shared" si="1"/>
        <v>3rd_UWL</v>
      </c>
      <c r="AF6" s="67" t="str">
        <f t="shared" si="1"/>
        <v>#NA</v>
      </c>
      <c r="AJ6" s="89" t="e">
        <f>SUM(AJ3:AJ5)</f>
        <v>#VALUE!</v>
      </c>
      <c r="AL6" s="89" t="e">
        <f>SUM(AL3:AL5)</f>
        <v>#VALUE!</v>
      </c>
      <c r="AM6" s="84" t="str">
        <f>CONCATENATE("m'(",AG5,")=")</f>
        <v>m'(#NA)=</v>
      </c>
      <c r="AN6" s="84" t="e">
        <f>2*(AN3*WLS)/3*AL6</f>
        <v>#VALUE!</v>
      </c>
      <c r="AO6" s="84" t="e">
        <f>CONCATENATE("M(",AG3,")=")</f>
        <v>#VALUE!</v>
      </c>
      <c r="AP6" s="84" t="e">
        <f>IF(AG3=RisePerWLS,0,VLOOKUP(AG3,STN_TABLE,4,FALSE))</f>
        <v>#VALUE!</v>
      </c>
      <c r="AQ6" t="str">
        <f>CONCATENATE("M(",AG5,")=")</f>
        <v>M(#NA)=</v>
      </c>
      <c r="AR6" t="e">
        <f>AN6+AP6</f>
        <v>#VALUE!</v>
      </c>
    </row>
    <row r="7" spans="1:46" x14ac:dyDescent="0.25">
      <c r="A7">
        <v>4</v>
      </c>
      <c r="B7" s="80">
        <f t="shared" si="2"/>
        <v>0.75</v>
      </c>
      <c r="C7" s="81">
        <f t="shared" si="3"/>
        <v>9.94</v>
      </c>
      <c r="D7" s="81">
        <f t="shared" si="4"/>
        <v>27.38</v>
      </c>
      <c r="E7" s="77">
        <f t="shared" si="5"/>
        <v>21.269999999999996</v>
      </c>
      <c r="G7" t="s">
        <v>104</v>
      </c>
      <c r="H7" t="str">
        <f>VLOOKUP(Station_No,RISE_CALC,6,FALSE)</f>
        <v>#NA</v>
      </c>
      <c r="K7" t="str">
        <f>CONCATENATE("M(",H6,")=")</f>
        <v>M(#NA)=</v>
      </c>
      <c r="L7" t="e">
        <f>IFERROR(P28,IFERROR(X7,AD10))</f>
        <v>#VALUE!</v>
      </c>
      <c r="Q7" s="66"/>
      <c r="R7" s="67"/>
      <c r="W7" t="str">
        <f>CONCATENATE("M(",S3,")=")</f>
        <v>M(#NA)=</v>
      </c>
      <c r="X7" t="e">
        <f>IF(OR(AD4&lt;=0,AD5&lt;=0),AD10,AD5)</f>
        <v>#VALUE!</v>
      </c>
      <c r="Y7" s="6" t="s">
        <v>93</v>
      </c>
      <c r="Z7" s="70" t="e">
        <f>WLS*(U9-U8)</f>
        <v>#VALUE!</v>
      </c>
      <c r="AE7" s="66" t="str">
        <f t="shared" si="1"/>
        <v>4th_UWL</v>
      </c>
      <c r="AF7" s="67" t="str">
        <f t="shared" si="1"/>
        <v>#NA</v>
      </c>
      <c r="AH7" s="81"/>
    </row>
    <row r="8" spans="1:46" x14ac:dyDescent="0.25">
      <c r="A8">
        <v>5</v>
      </c>
      <c r="B8" s="80">
        <f t="shared" si="2"/>
        <v>1</v>
      </c>
      <c r="C8" s="81">
        <f t="shared" si="3"/>
        <v>10.199999999999999</v>
      </c>
      <c r="D8" s="81">
        <f t="shared" si="4"/>
        <v>37.486666666666665</v>
      </c>
      <c r="E8" s="77">
        <f t="shared" si="5"/>
        <v>38.946666666666665</v>
      </c>
      <c r="G8" t="s">
        <v>105</v>
      </c>
      <c r="H8" t="str">
        <f>VLOOKUP(Station_No,RISE_CALC,7,FALSE)</f>
        <v>#NA</v>
      </c>
      <c r="K8" t="str">
        <f>CONCATENATE("A(",H7,")=")</f>
        <v>A(#NA)=</v>
      </c>
      <c r="L8" t="e">
        <f>IFERROR(AD15,IFERROR(X24,AD27))</f>
        <v>#VALUE!</v>
      </c>
      <c r="Q8" s="80"/>
      <c r="R8" s="81"/>
      <c r="U8" s="79" t="str">
        <f>R3</f>
        <v>#NA</v>
      </c>
      <c r="V8" s="68" t="e">
        <f>VLOOKUP(U8,STN_TABLE,2,FALSE)</f>
        <v>#N/A</v>
      </c>
      <c r="W8" s="68">
        <v>1</v>
      </c>
      <c r="X8" s="69" t="e">
        <f>V8*W8</f>
        <v>#N/A</v>
      </c>
      <c r="Y8" s="78" t="s">
        <v>97</v>
      </c>
      <c r="Z8" s="78"/>
      <c r="AA8" s="78" t="s">
        <v>98</v>
      </c>
      <c r="AB8" s="78"/>
      <c r="AC8" s="7" t="s">
        <v>99</v>
      </c>
      <c r="AD8" s="7"/>
      <c r="AE8" s="66"/>
      <c r="AF8" s="67"/>
      <c r="AG8" s="68" t="e">
        <f>IF(OR(AF12-AF11=AF11-AF10,AF13-AF11=AF11-AF10),AF10,IF(OR(AF12-AF11=AF11-AF9,AF13-AF11=AF11-AF9),AF9,"-"))</f>
        <v>#VALUE!</v>
      </c>
      <c r="AH8" s="69" t="e">
        <f>IFERROR(VLOOKUP(AG8,STN_TABLE,2,FALSE),IF(AF8=RisePerWLS,0,"-"))</f>
        <v>#VALUE!</v>
      </c>
      <c r="AI8" s="69">
        <v>5</v>
      </c>
      <c r="AJ8" s="69" t="e">
        <f>AH8*AI8</f>
        <v>#VALUE!</v>
      </c>
      <c r="AK8" s="69">
        <v>3</v>
      </c>
      <c r="AL8" s="69" t="e">
        <f>AH8*AK8</f>
        <v>#VALUE!</v>
      </c>
      <c r="AM8" s="6" t="s">
        <v>93</v>
      </c>
      <c r="AN8" s="70" t="e">
        <f>IF(AND(AG10-AG9=AG9-AG8,NOT(AND(AG8=0,AG9=0)),NOT(AND(AG9=0,AG10=0))),WLS*(AG10-AG9),"#NA")</f>
        <v>#VALUE!</v>
      </c>
    </row>
    <row r="9" spans="1:46" x14ac:dyDescent="0.25">
      <c r="A9">
        <v>6</v>
      </c>
      <c r="B9" s="80">
        <f t="shared" si="2"/>
        <v>2</v>
      </c>
      <c r="C9" s="81">
        <f t="shared" si="3"/>
        <v>10.8</v>
      </c>
      <c r="D9" s="81">
        <f t="shared" si="4"/>
        <v>79.653333333333336</v>
      </c>
      <c r="E9" s="77">
        <f t="shared" si="5"/>
        <v>165.84666666666666</v>
      </c>
      <c r="G9" t="s">
        <v>106</v>
      </c>
      <c r="H9" t="str">
        <f>VLOOKUP(Station_No,RISE_CALC,8,FALSE)</f>
        <v>#NA</v>
      </c>
      <c r="K9" t="str">
        <f>CONCATENATE("M(",H7,")=")</f>
        <v>M(#NA)=</v>
      </c>
      <c r="L9" t="e">
        <f>IFERROR(AD16,IFERROR(X25,AD28))</f>
        <v>#VALUE!</v>
      </c>
      <c r="Q9" s="80"/>
      <c r="R9" s="81"/>
      <c r="U9" s="88" t="str">
        <f>R4</f>
        <v>#NA</v>
      </c>
      <c r="V9" s="82" t="e">
        <f>VLOOKUP(U9,STN_TABLE,2,FALSE)</f>
        <v>#N/A</v>
      </c>
      <c r="W9" s="82">
        <v>2</v>
      </c>
      <c r="X9" s="83" t="e">
        <f>V9*W9</f>
        <v>#N/A</v>
      </c>
      <c r="Y9" s="84" t="str">
        <f>CONCATENATE("a'(",U9,")=")</f>
        <v>a'(#NA)=</v>
      </c>
      <c r="Z9" s="84" t="e">
        <f>2*Z7/2*V10</f>
        <v>#VALUE!</v>
      </c>
      <c r="AA9" s="84" t="str">
        <f>CONCATENATE("A(",U8,")=")</f>
        <v>A(#NA)=</v>
      </c>
      <c r="AB9" s="84" t="e">
        <f>IF(U8=RisePerWLS,0,VLOOKUP(U8,STN_TABLE,3,FALSE))</f>
        <v>#VALUE!</v>
      </c>
      <c r="AC9" t="str">
        <f>CONCATENATE("A(",U9,")=")</f>
        <v>A(#NA)=</v>
      </c>
      <c r="AD9" t="e">
        <f>Z9+AB9</f>
        <v>#VALUE!</v>
      </c>
      <c r="AE9" s="66" t="str">
        <f t="shared" ref="AE9:AF13" si="6">G6</f>
        <v>2nd_UWL</v>
      </c>
      <c r="AF9" s="67" t="str">
        <f t="shared" si="6"/>
        <v>#NA</v>
      </c>
      <c r="AG9" s="76" t="str">
        <f>AF11</f>
        <v>#NA</v>
      </c>
      <c r="AH9" s="77" t="e">
        <f>VLOOKUP(AG9,STN_TABLE,2,FALSE)</f>
        <v>#N/A</v>
      </c>
      <c r="AI9" s="77">
        <v>8</v>
      </c>
      <c r="AJ9" s="77" t="e">
        <f>AH9*AI9</f>
        <v>#N/A</v>
      </c>
      <c r="AK9" s="77">
        <v>10</v>
      </c>
      <c r="AL9" s="77" t="e">
        <f>AH9*AK9</f>
        <v>#N/A</v>
      </c>
      <c r="AM9" s="78" t="s">
        <v>97</v>
      </c>
      <c r="AN9" s="78"/>
      <c r="AO9" s="78" t="s">
        <v>98</v>
      </c>
      <c r="AP9" s="78"/>
      <c r="AQ9" s="7" t="s">
        <v>99</v>
      </c>
      <c r="AR9" s="7"/>
      <c r="AS9" s="7"/>
      <c r="AT9" s="7"/>
    </row>
    <row r="10" spans="1:46" x14ac:dyDescent="0.25">
      <c r="A10">
        <v>7</v>
      </c>
      <c r="B10" s="80">
        <f t="shared" si="2"/>
        <v>3</v>
      </c>
      <c r="C10" s="81">
        <f t="shared" si="3"/>
        <v>10.9</v>
      </c>
      <c r="D10" s="81">
        <f t="shared" si="4"/>
        <v>123.22000000000001</v>
      </c>
      <c r="E10" s="77">
        <f t="shared" si="5"/>
        <v>383.74666666666667</v>
      </c>
      <c r="G10" t="s">
        <v>107</v>
      </c>
      <c r="H10" t="str">
        <f>VLOOKUP(Station_No,RISE_CALC,9,FALSE)</f>
        <v>#NA</v>
      </c>
      <c r="K10" t="str">
        <f>CONCATENATE("A(",H8,")=")</f>
        <v>A(#NA)=</v>
      </c>
      <c r="L10" t="e">
        <f>IFERROR(AR5,IFERROR(AL12,AR15))</f>
        <v>#VALUE!</v>
      </c>
      <c r="Q10" s="80"/>
      <c r="R10" s="81"/>
      <c r="V10" s="89" t="e">
        <f>SUM(V8:V9)</f>
        <v>#N/A</v>
      </c>
      <c r="X10" s="89" t="e">
        <f>SUM(X8:X9)</f>
        <v>#N/A</v>
      </c>
      <c r="Y10" s="84" t="str">
        <f>CONCATENATE("m'(",U9,")=")</f>
        <v>m'(#NA)=</v>
      </c>
      <c r="Z10" s="84" t="e">
        <f>(2*(Z7^2)/6*X10)+(Z9*U8*WLS)</f>
        <v>#VALUE!</v>
      </c>
      <c r="AA10" s="84" t="str">
        <f>CONCATENATE("M(",U8,")=")</f>
        <v>M(#NA)=</v>
      </c>
      <c r="AB10" s="84" t="e">
        <f>IF(U8=RisePerWLS,0,VLOOKUP(U8,STN_TABLE,4,FALSE))</f>
        <v>#VALUE!</v>
      </c>
      <c r="AC10" t="str">
        <f>CONCATENATE("M(",U9,")=")</f>
        <v>M(#NA)=</v>
      </c>
      <c r="AD10" t="e">
        <f>Z10+AB10</f>
        <v>#VALUE!</v>
      </c>
      <c r="AE10" s="66" t="str">
        <f t="shared" si="6"/>
        <v>3rd_UWL</v>
      </c>
      <c r="AF10" s="67" t="str">
        <f t="shared" si="6"/>
        <v>#NA</v>
      </c>
      <c r="AG10" s="82" t="e">
        <f>IF(AG8-AG9=AG9-AF12,AF12,IF(AG8-AG9=AG9-AF13,AF13,"-"))</f>
        <v>#VALUE!</v>
      </c>
      <c r="AH10" s="83" t="e">
        <f>VLOOKUP(AG10,STN_TABLE,2,FALSE)</f>
        <v>#VALUE!</v>
      </c>
      <c r="AI10" s="83">
        <v>-1</v>
      </c>
      <c r="AJ10" s="83" t="e">
        <f>AH10*AI10</f>
        <v>#VALUE!</v>
      </c>
      <c r="AK10" s="83">
        <v>-1</v>
      </c>
      <c r="AL10" s="83" t="e">
        <f>AH10*AK10</f>
        <v>#VALUE!</v>
      </c>
      <c r="AM10" s="84" t="str">
        <f>CONCATENATE("a'(",AG9,")=")</f>
        <v>a'(#NA)=</v>
      </c>
      <c r="AN10" s="84" t="e">
        <f>2*AN8/12*AJ11</f>
        <v>#VALUE!</v>
      </c>
      <c r="AO10" s="84" t="e">
        <f>CONCATENATE("A(",AG8,")=")</f>
        <v>#VALUE!</v>
      </c>
      <c r="AP10" s="84" t="e">
        <f>VLOOKUP(AG8,STN_TABLE,3,FALSE)</f>
        <v>#VALUE!</v>
      </c>
      <c r="AQ10" t="str">
        <f>CONCATENATE("A(",AG9,")=")</f>
        <v>A(#NA)=</v>
      </c>
      <c r="AR10" t="e">
        <f>AN10+AP10</f>
        <v>#VALUE!</v>
      </c>
    </row>
    <row r="11" spans="1:46" x14ac:dyDescent="0.25">
      <c r="A11">
        <v>8</v>
      </c>
      <c r="B11" s="80">
        <f t="shared" si="2"/>
        <v>4</v>
      </c>
      <c r="C11" s="81">
        <f t="shared" si="3"/>
        <v>11</v>
      </c>
      <c r="D11" s="81">
        <f t="shared" si="4"/>
        <v>166.85333333333335</v>
      </c>
      <c r="E11" s="77">
        <f t="shared" si="5"/>
        <v>689.58</v>
      </c>
      <c r="G11" t="s">
        <v>108</v>
      </c>
      <c r="H11" t="str">
        <f>VLOOKUP(Station_No,RISE_CALC,10,FALSE)</f>
        <v>#NA</v>
      </c>
      <c r="K11" t="str">
        <f>CONCATENATE("M(",H8,")=")</f>
        <v>M(#NA)=</v>
      </c>
      <c r="L11" t="e">
        <f>IFERROR(AR6,IFERROR(AL13,AR16))</f>
        <v>#VALUE!</v>
      </c>
      <c r="Q11" s="80"/>
      <c r="R11" s="81"/>
      <c r="AE11" s="66" t="str">
        <f t="shared" si="6"/>
        <v>4th_UWL</v>
      </c>
      <c r="AF11" s="67" t="str">
        <f t="shared" si="6"/>
        <v>#NA</v>
      </c>
      <c r="AJ11" s="89" t="e">
        <f>SUM(AJ8:AJ10)</f>
        <v>#VALUE!</v>
      </c>
      <c r="AL11" s="89" t="e">
        <f>SUM(AL8:AL10)</f>
        <v>#VALUE!</v>
      </c>
      <c r="AM11" s="84" t="str">
        <f>CONCATENATE("m'(",AG9,")=")</f>
        <v>m'(#NA)=</v>
      </c>
      <c r="AN11" s="84" t="e">
        <f>(2*(AN8^2)/24*AL11)+(AN10*AG8*WLS)</f>
        <v>#VALUE!</v>
      </c>
      <c r="AO11" s="84" t="e">
        <f>CONCATENATE("M(",AG8,")=")</f>
        <v>#VALUE!</v>
      </c>
      <c r="AP11" s="84" t="e">
        <f>VLOOKUP(AG8,STN_TABLE,4,FALSE)</f>
        <v>#VALUE!</v>
      </c>
      <c r="AQ11" t="str">
        <f>CONCATENATE("M(",AG9,")=")</f>
        <v>M(#NA)=</v>
      </c>
      <c r="AR11" t="e">
        <f>AN11+AP11</f>
        <v>#VALUE!</v>
      </c>
    </row>
    <row r="12" spans="1:46" x14ac:dyDescent="0.25">
      <c r="A12">
        <v>9</v>
      </c>
      <c r="B12" s="80">
        <f t="shared" si="2"/>
        <v>4.8499999999999996</v>
      </c>
      <c r="C12" s="81">
        <f t="shared" si="3"/>
        <v>11</v>
      </c>
      <c r="D12" s="81">
        <f t="shared" si="4"/>
        <v>204.25333333333333</v>
      </c>
      <c r="E12" s="77">
        <f t="shared" si="5"/>
        <v>1020.5699999999999</v>
      </c>
      <c r="Q12" s="90" t="s">
        <v>109</v>
      </c>
      <c r="R12" s="81"/>
      <c r="AE12" s="66" t="str">
        <f t="shared" si="6"/>
        <v>5th_UWL</v>
      </c>
      <c r="AF12" s="67" t="str">
        <f t="shared" si="6"/>
        <v>#NA</v>
      </c>
      <c r="AI12" t="s">
        <v>103</v>
      </c>
      <c r="AK12" t="str">
        <f>CONCATENATE("A(",AG9,")=")</f>
        <v>A(#NA)=</v>
      </c>
      <c r="AL12" t="e">
        <f>IF(OR(AR10&lt;=0,AR11&lt;=0),AR15,AR10)</f>
        <v>#VALUE!</v>
      </c>
    </row>
    <row r="13" spans="1:46" x14ac:dyDescent="0.25">
      <c r="A13">
        <v>10</v>
      </c>
      <c r="B13" s="80">
        <f t="shared" si="2"/>
        <v>5</v>
      </c>
      <c r="C13" s="81">
        <f t="shared" si="3"/>
        <v>11</v>
      </c>
      <c r="D13" s="81">
        <f t="shared" si="4"/>
        <v>211.0866666666667</v>
      </c>
      <c r="E13" s="77">
        <f t="shared" si="5"/>
        <v>1086.9466666666667</v>
      </c>
      <c r="G13" s="71" t="s">
        <v>110</v>
      </c>
      <c r="Q13" s="66" t="str">
        <f t="shared" ref="Q13:R16" si="7">G4</f>
        <v>Rise</v>
      </c>
      <c r="R13" s="67" t="e">
        <f t="shared" si="7"/>
        <v>#VALUE!</v>
      </c>
      <c r="S13" s="68" t="e">
        <f>IF(R16-R15=R15-R14,R14,IF(R16-R14=R14-R13,R13,"-"))</f>
        <v>#VALUE!</v>
      </c>
      <c r="T13" s="69" t="e">
        <f>IFERROR(VLOOKUP(S13,STN_TABLE,2,FALSE),IF(R13=RisePerWLS,0,"-"))</f>
        <v>#VALUE!</v>
      </c>
      <c r="U13" s="69">
        <v>1</v>
      </c>
      <c r="V13" s="69" t="e">
        <f>T13*U13</f>
        <v>#VALUE!</v>
      </c>
      <c r="W13" s="69" t="e">
        <f>S13</f>
        <v>#VALUE!</v>
      </c>
      <c r="X13" s="69" t="e">
        <f>V13*W13</f>
        <v>#VALUE!</v>
      </c>
      <c r="Y13" s="6" t="s">
        <v>93</v>
      </c>
      <c r="Z13" s="70" t="e">
        <f>IF(AND(T13=0,T14=0,T15=0),WLS*(S15-S14),IF(AND(S15-S14=S14-S13,S14&lt;&gt;S15,S13&lt;&gt;S14,S13&lt;&gt;S15,T15&lt;&gt;0,OR(T13&lt;&gt;0,T14&lt;&gt;0)),WLS*(S15-S14),"#NA"))</f>
        <v>#VALUE!</v>
      </c>
      <c r="AE13" s="66" t="str">
        <f t="shared" si="6"/>
        <v>6th_UWL</v>
      </c>
      <c r="AF13" s="67" t="str">
        <f t="shared" si="6"/>
        <v>#NA</v>
      </c>
      <c r="AK13" t="str">
        <f>CONCATENATE("M(",AG9,")=")</f>
        <v>M(#NA)=</v>
      </c>
      <c r="AL13" t="e">
        <f>IF(OR(AR10&lt;=0,AR11&lt;=0),AR16,AR11)</f>
        <v>#VALUE!</v>
      </c>
      <c r="AM13" s="6" t="s">
        <v>93</v>
      </c>
      <c r="AN13" s="70" t="e">
        <f>WLS*(AI15-AI14)</f>
        <v>#VALUE!</v>
      </c>
    </row>
    <row r="14" spans="1:46" x14ac:dyDescent="0.25">
      <c r="A14">
        <v>11</v>
      </c>
      <c r="B14" s="80">
        <f t="shared" si="2"/>
        <v>6</v>
      </c>
      <c r="C14" s="81">
        <f t="shared" si="3"/>
        <v>11</v>
      </c>
      <c r="D14" s="81">
        <f t="shared" si="4"/>
        <v>254.85333333333335</v>
      </c>
      <c r="E14" s="77">
        <f t="shared" si="5"/>
        <v>1569.58</v>
      </c>
      <c r="G14" s="91" t="str">
        <f>G4</f>
        <v>Rise</v>
      </c>
      <c r="H14" s="91" t="e">
        <f>RisePerWLS</f>
        <v>#VALUE!</v>
      </c>
      <c r="I14" s="68" t="e">
        <f>H14</f>
        <v>#VALUE!</v>
      </c>
      <c r="J14" s="69">
        <v>0</v>
      </c>
      <c r="K14" s="69">
        <v>5</v>
      </c>
      <c r="L14" s="69">
        <f>J14*K14</f>
        <v>0</v>
      </c>
      <c r="M14" s="69">
        <v>3</v>
      </c>
      <c r="N14" s="69">
        <f>J14*M14</f>
        <v>0</v>
      </c>
      <c r="O14" t="s">
        <v>93</v>
      </c>
      <c r="P14" t="e">
        <f>IF(AND(NOT(AND(J14=0,J15=0)),I14&lt;&gt;I15,I15&lt;&gt;I16,I16-I15=I15-I14),(I16-I15)*WLS,"#NA")</f>
        <v>#N/A</v>
      </c>
      <c r="Q14" s="66" t="str">
        <f t="shared" si="7"/>
        <v>1st_UWL</v>
      </c>
      <c r="R14" s="67" t="str">
        <f t="shared" si="7"/>
        <v>#NA</v>
      </c>
      <c r="S14" s="76" t="e">
        <f>IF(R16-R15=R15-R14,R15,IF(R16-R14=R14-R13,R14,"-"))</f>
        <v>#VALUE!</v>
      </c>
      <c r="T14" s="77" t="e">
        <f>VLOOKUP(S14,STN_TABLE,2,FALSE)</f>
        <v>#VALUE!</v>
      </c>
      <c r="U14" s="77">
        <v>4</v>
      </c>
      <c r="V14" s="77" t="e">
        <f>T14*U14</f>
        <v>#VALUE!</v>
      </c>
      <c r="W14" s="77" t="e">
        <f>S14</f>
        <v>#VALUE!</v>
      </c>
      <c r="X14" s="77" t="e">
        <f>V14*W14</f>
        <v>#VALUE!</v>
      </c>
      <c r="Y14" s="78" t="s">
        <v>97</v>
      </c>
      <c r="Z14" s="78"/>
      <c r="AA14" s="78" t="s">
        <v>98</v>
      </c>
      <c r="AB14" s="78"/>
      <c r="AC14" s="7" t="s">
        <v>99</v>
      </c>
      <c r="AD14" s="7"/>
      <c r="AE14" s="66"/>
      <c r="AF14" s="67"/>
      <c r="AI14" s="79" t="str">
        <f>AF10</f>
        <v>#NA</v>
      </c>
      <c r="AJ14" s="68" t="e">
        <f>VLOOKUP(AI14,STN_TABLE,2,FALSE)</f>
        <v>#N/A</v>
      </c>
      <c r="AK14" s="68">
        <v>1</v>
      </c>
      <c r="AL14" s="69" t="e">
        <f>AJ14*AK14</f>
        <v>#N/A</v>
      </c>
      <c r="AM14" s="78" t="s">
        <v>97</v>
      </c>
      <c r="AN14" s="78"/>
      <c r="AO14" s="78" t="s">
        <v>98</v>
      </c>
      <c r="AP14" s="78"/>
      <c r="AQ14" s="7" t="s">
        <v>99</v>
      </c>
      <c r="AR14" s="7"/>
      <c r="AS14" s="7"/>
      <c r="AT14" s="7"/>
    </row>
    <row r="15" spans="1:46" x14ac:dyDescent="0.25">
      <c r="A15">
        <v>12</v>
      </c>
      <c r="B15" s="80">
        <f t="shared" si="2"/>
        <v>6.5</v>
      </c>
      <c r="C15" s="81">
        <f t="shared" si="3"/>
        <v>11</v>
      </c>
      <c r="D15" s="81">
        <f t="shared" si="4"/>
        <v>276.85333333333335</v>
      </c>
      <c r="E15" s="77">
        <f t="shared" si="5"/>
        <v>1844.58</v>
      </c>
      <c r="G15" s="91" t="str">
        <f>G5</f>
        <v>1st_UWL</v>
      </c>
      <c r="H15" s="91" t="str">
        <f>H5</f>
        <v>#NA</v>
      </c>
      <c r="I15" s="76" t="str">
        <f>H15</f>
        <v>#NA</v>
      </c>
      <c r="J15" s="77" t="e">
        <f>VLOOKUP(I15,STN_TABLE,2,FALSE)</f>
        <v>#N/A</v>
      </c>
      <c r="K15" s="77">
        <v>8</v>
      </c>
      <c r="L15" s="77" t="e">
        <f>J15*K15</f>
        <v>#N/A</v>
      </c>
      <c r="M15" s="77">
        <v>10</v>
      </c>
      <c r="N15" s="77" t="e">
        <f>J15*M15</f>
        <v>#N/A</v>
      </c>
      <c r="O15" t="str">
        <f>CONCATENATE("A(",I15,")=")</f>
        <v>A(#NA)=</v>
      </c>
      <c r="P15" t="e">
        <f>2*P14/12*L17</f>
        <v>#N/A</v>
      </c>
      <c r="Q15" s="66" t="str">
        <f t="shared" si="7"/>
        <v>2nd_UWL</v>
      </c>
      <c r="R15" s="67" t="str">
        <f t="shared" si="7"/>
        <v>#NA</v>
      </c>
      <c r="S15" s="82" t="str">
        <f>R16</f>
        <v>#NA</v>
      </c>
      <c r="T15" s="83" t="e">
        <f>VLOOKUP(S15,STN_TABLE,2,FALSE)</f>
        <v>#N/A</v>
      </c>
      <c r="U15" s="83">
        <v>1</v>
      </c>
      <c r="V15" s="83" t="e">
        <f>T15*U15</f>
        <v>#N/A</v>
      </c>
      <c r="W15" s="83" t="str">
        <f>S15</f>
        <v>#NA</v>
      </c>
      <c r="X15" s="83" t="e">
        <f>V15*W15</f>
        <v>#N/A</v>
      </c>
      <c r="Y15" s="84" t="str">
        <f>CONCATENATE("a'(",S15,")=")</f>
        <v>a'(#NA)=</v>
      </c>
      <c r="Z15" s="84" t="e">
        <f>2*Z13/3*V16</f>
        <v>#VALUE!</v>
      </c>
      <c r="AA15" s="84" t="e">
        <f>CONCATENATE("A(",S13,")=")</f>
        <v>#VALUE!</v>
      </c>
      <c r="AB15" s="84" t="e">
        <f>IF(S13=RisePerWLS,0,VLOOKUP(S13,STN_TABLE,3,FALSE))</f>
        <v>#VALUE!</v>
      </c>
      <c r="AC15" t="str">
        <f>CONCATENATE("A(",S15,")=")</f>
        <v>A(#NA)=</v>
      </c>
      <c r="AD15" t="e">
        <f>Z15+AB15</f>
        <v>#VALUE!</v>
      </c>
      <c r="AE15" s="80"/>
      <c r="AI15" s="88" t="str">
        <f>AF11</f>
        <v>#NA</v>
      </c>
      <c r="AJ15" s="82" t="e">
        <f>VLOOKUP(AI15,STN_TABLE,2,FALSE)</f>
        <v>#N/A</v>
      </c>
      <c r="AK15" s="82">
        <v>2</v>
      </c>
      <c r="AL15" s="83" t="e">
        <f>AJ15*AK15</f>
        <v>#N/A</v>
      </c>
      <c r="AM15" s="84" t="str">
        <f>CONCATENATE("a'(",AI15,")=")</f>
        <v>a'(#NA)=</v>
      </c>
      <c r="AN15" s="84" t="e">
        <f>2*AN13/2*AJ16</f>
        <v>#VALUE!</v>
      </c>
      <c r="AO15" s="84" t="str">
        <f>CONCATENATE("A(",AI14,")=")</f>
        <v>A(#NA)=</v>
      </c>
      <c r="AP15" s="84" t="e">
        <f>IF(AI14=RisePerWLS,0,VLOOKUP(AI14,STN_TABLE,3,FALSE))</f>
        <v>#VALUE!</v>
      </c>
      <c r="AQ15" t="str">
        <f>CONCATENATE("A(",AI15,")=")</f>
        <v>A(#NA)=</v>
      </c>
      <c r="AR15" t="e">
        <f>AN15+AP15</f>
        <v>#VALUE!</v>
      </c>
    </row>
    <row r="16" spans="1:46" x14ac:dyDescent="0.25">
      <c r="A16">
        <v>13</v>
      </c>
      <c r="B16" s="80" t="str">
        <f t="shared" si="2"/>
        <v xml:space="preserve">  </v>
      </c>
      <c r="C16" s="81" t="str">
        <f t="shared" si="3"/>
        <v xml:space="preserve">  </v>
      </c>
      <c r="D16" s="81" t="str">
        <f t="shared" si="4"/>
        <v xml:space="preserve"> </v>
      </c>
      <c r="E16" s="77" t="str">
        <f t="shared" si="5"/>
        <v xml:space="preserve"> </v>
      </c>
      <c r="G16" s="91" t="str">
        <f>G6</f>
        <v>2nd_UWL</v>
      </c>
      <c r="H16" s="91" t="str">
        <f>H6</f>
        <v>#NA</v>
      </c>
      <c r="I16" s="82" t="e">
        <f>IF(H16-H15=H15-H14,H16,"#NA")</f>
        <v>#VALUE!</v>
      </c>
      <c r="J16" s="83" t="e">
        <f>VLOOKUP(I16,STN_TABLE,2,FALSE)</f>
        <v>#VALUE!</v>
      </c>
      <c r="K16" s="83">
        <v>-1</v>
      </c>
      <c r="L16" s="83" t="e">
        <f>J16*K16</f>
        <v>#VALUE!</v>
      </c>
      <c r="M16" s="83">
        <v>-1</v>
      </c>
      <c r="N16" s="83" t="e">
        <f>J16*M16</f>
        <v>#VALUE!</v>
      </c>
      <c r="O16" t="str">
        <f>CONCATENATE("M(",I15,")=")</f>
        <v>M(#NA)=</v>
      </c>
      <c r="P16" t="e">
        <f>(2*(P14^2)/24*N17)+P15*I14*WLS</f>
        <v>#N/A</v>
      </c>
      <c r="Q16" s="66" t="str">
        <f t="shared" si="7"/>
        <v>3rd_UWL</v>
      </c>
      <c r="R16" s="67" t="str">
        <f t="shared" si="7"/>
        <v>#NA</v>
      </c>
      <c r="V16" s="89" t="e">
        <f>SUM(V13:V15)</f>
        <v>#VALUE!</v>
      </c>
      <c r="X16" s="89" t="e">
        <f>SUM(X13:X15)</f>
        <v>#VALUE!</v>
      </c>
      <c r="Y16" s="84" t="str">
        <f>CONCATENATE("m'(",S15,")=")</f>
        <v>m'(#NA)=</v>
      </c>
      <c r="Z16" s="84" t="e">
        <f>2*(Z13*WLS)/3*X16</f>
        <v>#VALUE!</v>
      </c>
      <c r="AA16" s="84" t="e">
        <f>CONCATENATE("M(",S13,")=")</f>
        <v>#VALUE!</v>
      </c>
      <c r="AB16" s="84" t="e">
        <f>IF(S13=RisePerWLS,0,VLOOKUP(S13,STN_TABLE,4,FALSE))</f>
        <v>#VALUE!</v>
      </c>
      <c r="AC16" t="str">
        <f>CONCATENATE("M(",S15,")=")</f>
        <v>M(#NA)=</v>
      </c>
      <c r="AD16" t="e">
        <f>Z16+AB16</f>
        <v>#VALUE!</v>
      </c>
      <c r="AE16" s="80"/>
      <c r="AJ16" s="89" t="e">
        <f>SUM(AJ14:AJ15)</f>
        <v>#N/A</v>
      </c>
      <c r="AL16" s="89" t="e">
        <f>SUM(AL14:AL15)</f>
        <v>#N/A</v>
      </c>
      <c r="AM16" s="84" t="str">
        <f>CONCATENATE("m'(",AI15,")=")</f>
        <v>m'(#NA)=</v>
      </c>
      <c r="AN16" s="84" t="e">
        <f>(2*(AN13^2)/6*AL16)+(AN15*AI14*WLS)</f>
        <v>#VALUE!</v>
      </c>
      <c r="AO16" s="84" t="str">
        <f>CONCATENATE("M(",AI14,")=")</f>
        <v>M(#NA)=</v>
      </c>
      <c r="AP16" s="84" t="e">
        <f>IF(AI14=RisePerWLS,0,VLOOKUP(AI14,STN_TABLE,4,FALSE))</f>
        <v>#VALUE!</v>
      </c>
      <c r="AQ16" t="str">
        <f>CONCATENATE("M(",AI15,")=")</f>
        <v>M(#NA)=</v>
      </c>
      <c r="AR16" t="e">
        <f>AN16+AP16</f>
        <v>#VALUE!</v>
      </c>
    </row>
    <row r="17" spans="1:35" x14ac:dyDescent="0.25">
      <c r="A17">
        <v>14</v>
      </c>
      <c r="B17" s="80" t="str">
        <f t="shared" si="2"/>
        <v xml:space="preserve">  </v>
      </c>
      <c r="C17" s="81" t="str">
        <f t="shared" si="3"/>
        <v xml:space="preserve">  </v>
      </c>
      <c r="D17" s="81" t="str">
        <f t="shared" si="4"/>
        <v xml:space="preserve"> </v>
      </c>
      <c r="E17" s="77" t="str">
        <f t="shared" si="5"/>
        <v xml:space="preserve"> </v>
      </c>
      <c r="G17" s="91"/>
      <c r="H17" s="91"/>
      <c r="L17" s="89" t="e">
        <f>SUM(L14:L16)</f>
        <v>#N/A</v>
      </c>
      <c r="N17" s="89" t="e">
        <f>SUM(N14:N16)</f>
        <v>#N/A</v>
      </c>
      <c r="Q17" s="66"/>
      <c r="R17" s="67"/>
      <c r="AE17" s="90"/>
    </row>
    <row r="18" spans="1:35" x14ac:dyDescent="0.25">
      <c r="A18">
        <v>15</v>
      </c>
      <c r="B18" s="80" t="str">
        <f t="shared" si="2"/>
        <v xml:space="preserve">  </v>
      </c>
      <c r="C18" s="81" t="str">
        <f t="shared" si="3"/>
        <v xml:space="preserve">  </v>
      </c>
      <c r="D18" s="81" t="str">
        <f t="shared" si="4"/>
        <v xml:space="preserve"> </v>
      </c>
      <c r="E18" s="77" t="str">
        <f t="shared" si="5"/>
        <v xml:space="preserve"> </v>
      </c>
      <c r="G18" s="91"/>
      <c r="H18" s="91"/>
      <c r="K18" t="s">
        <v>103</v>
      </c>
      <c r="M18" t="str">
        <f>CONCATENATE("A(",I15,")=")</f>
        <v>A(#NA)=</v>
      </c>
      <c r="N18" t="e">
        <f>IF(OR(P15&lt;=0,P16&lt;=0),N22,P15)</f>
        <v>#N/A</v>
      </c>
      <c r="Q18" s="66"/>
      <c r="R18" s="67"/>
      <c r="AE18" s="80"/>
    </row>
    <row r="19" spans="1:35" x14ac:dyDescent="0.25">
      <c r="A19">
        <v>16</v>
      </c>
      <c r="B19" s="80" t="str">
        <f t="shared" si="2"/>
        <v xml:space="preserve">  </v>
      </c>
      <c r="C19" s="81" t="str">
        <f t="shared" si="3"/>
        <v xml:space="preserve">  </v>
      </c>
      <c r="D19" s="81" t="str">
        <f t="shared" si="4"/>
        <v xml:space="preserve"> </v>
      </c>
      <c r="E19" s="77" t="str">
        <f t="shared" si="5"/>
        <v xml:space="preserve"> </v>
      </c>
      <c r="G19" s="91"/>
      <c r="H19" s="91"/>
      <c r="M19" t="str">
        <f>CONCATENATE("M(",I15,")=")</f>
        <v>M(#NA)=</v>
      </c>
      <c r="N19" t="e">
        <f>IF(OR(P15&lt;=0,P16&lt;=0),N23,P16)</f>
        <v>#N/A</v>
      </c>
      <c r="Q19" s="66"/>
      <c r="R19" s="67"/>
      <c r="AE19" s="80"/>
    </row>
    <row r="20" spans="1:35" x14ac:dyDescent="0.25">
      <c r="A20">
        <v>17</v>
      </c>
      <c r="B20" s="80" t="str">
        <f t="shared" si="2"/>
        <v xml:space="preserve">  </v>
      </c>
      <c r="C20" s="81" t="str">
        <f t="shared" si="3"/>
        <v xml:space="preserve">  </v>
      </c>
      <c r="D20" s="81" t="str">
        <f t="shared" si="4"/>
        <v xml:space="preserve"> </v>
      </c>
      <c r="E20" s="77" t="str">
        <f t="shared" si="5"/>
        <v xml:space="preserve"> </v>
      </c>
      <c r="G20" s="91"/>
      <c r="H20" s="91"/>
      <c r="Q20" s="66"/>
      <c r="R20" s="67"/>
      <c r="S20" s="68" t="e">
        <f>IF(OR(R24-R23=R23-R22,R25-R23=R23-R22),R22,IF(OR(R24-R23=R23-R21,R25-R23=R23-R21),R21,"-"))</f>
        <v>#VALUE!</v>
      </c>
      <c r="T20" s="69" t="e">
        <f>IFERROR(VLOOKUP(S20,STN_TABLE,2,FALSE),IF(R20=RisePerWLS,0,"-"))</f>
        <v>#VALUE!</v>
      </c>
      <c r="U20" s="69">
        <v>5</v>
      </c>
      <c r="V20" s="69" t="e">
        <f>T20*U20</f>
        <v>#VALUE!</v>
      </c>
      <c r="W20" s="69">
        <v>3</v>
      </c>
      <c r="X20" s="69" t="e">
        <f>T20*W20</f>
        <v>#VALUE!</v>
      </c>
      <c r="Y20" s="6" t="s">
        <v>93</v>
      </c>
      <c r="Z20" s="70" t="e">
        <f>IF(AND(S22-S21=S21-S20,NOT(AND(S20=0,S21=0)),NOT(AND(S21=0,S22=0))),WLS*(S22-S21),"#NA")</f>
        <v>#VALUE!</v>
      </c>
      <c r="AE20" s="80"/>
    </row>
    <row r="21" spans="1:35" x14ac:dyDescent="0.25">
      <c r="A21">
        <v>18</v>
      </c>
      <c r="B21" s="80" t="str">
        <f t="shared" si="2"/>
        <v xml:space="preserve">  </v>
      </c>
      <c r="C21" s="81" t="str">
        <f t="shared" si="3"/>
        <v xml:space="preserve">  </v>
      </c>
      <c r="D21" s="81" t="str">
        <f t="shared" si="4"/>
        <v xml:space="preserve"> </v>
      </c>
      <c r="E21" s="77" t="str">
        <f t="shared" si="5"/>
        <v xml:space="preserve"> </v>
      </c>
      <c r="G21" s="91"/>
      <c r="H21" s="91" t="str">
        <f>G14</f>
        <v>Rise</v>
      </c>
      <c r="I21" s="79" t="e">
        <f>H14</f>
        <v>#VALUE!</v>
      </c>
      <c r="J21" s="68">
        <v>0</v>
      </c>
      <c r="K21" s="68">
        <v>1</v>
      </c>
      <c r="L21" s="69">
        <f>J21*K21</f>
        <v>0</v>
      </c>
      <c r="M21" t="s">
        <v>93</v>
      </c>
      <c r="N21" t="e">
        <f>(I22-I21)*WLS</f>
        <v>#VALUE!</v>
      </c>
      <c r="Q21" s="66" t="str">
        <f t="shared" ref="Q21:R25" si="8">G5</f>
        <v>1st_UWL</v>
      </c>
      <c r="R21" s="67" t="str">
        <f t="shared" si="8"/>
        <v>#NA</v>
      </c>
      <c r="S21" s="76" t="str">
        <f>R23</f>
        <v>#NA</v>
      </c>
      <c r="T21" s="77" t="e">
        <f>VLOOKUP(S21,STN_TABLE,2,FALSE)</f>
        <v>#N/A</v>
      </c>
      <c r="U21" s="77">
        <v>8</v>
      </c>
      <c r="V21" s="77" t="e">
        <f>T21*U21</f>
        <v>#N/A</v>
      </c>
      <c r="W21" s="77">
        <v>10</v>
      </c>
      <c r="X21" s="77" t="e">
        <f>T21*W21</f>
        <v>#N/A</v>
      </c>
      <c r="Y21" s="78" t="s">
        <v>97</v>
      </c>
      <c r="Z21" s="78"/>
      <c r="AA21" s="78" t="s">
        <v>98</v>
      </c>
      <c r="AB21" s="78"/>
      <c r="AC21" s="7" t="s">
        <v>99</v>
      </c>
      <c r="AD21" s="7"/>
      <c r="AE21" s="80"/>
    </row>
    <row r="22" spans="1:35" x14ac:dyDescent="0.25">
      <c r="A22">
        <v>19</v>
      </c>
      <c r="B22" s="80" t="str">
        <f t="shared" si="2"/>
        <v xml:space="preserve">  </v>
      </c>
      <c r="C22" s="81" t="str">
        <f t="shared" si="3"/>
        <v xml:space="preserve">  </v>
      </c>
      <c r="D22" s="81" t="str">
        <f t="shared" si="4"/>
        <v xml:space="preserve"> </v>
      </c>
      <c r="E22" s="77" t="str">
        <f t="shared" si="5"/>
        <v xml:space="preserve"> </v>
      </c>
      <c r="G22" s="91"/>
      <c r="H22" s="91" t="str">
        <f>G15</f>
        <v>1st_UWL</v>
      </c>
      <c r="I22" s="88" t="str">
        <f>H15</f>
        <v>#NA</v>
      </c>
      <c r="J22" s="82" t="e">
        <f>VLOOKUP(I22,STN_TABLE,2,FALSE)</f>
        <v>#N/A</v>
      </c>
      <c r="K22" s="82">
        <v>2</v>
      </c>
      <c r="L22" s="83" t="e">
        <f>J22*K22</f>
        <v>#N/A</v>
      </c>
      <c r="M22" t="str">
        <f>CONCATENATE("A(",I22,")=")</f>
        <v>A(#NA)=</v>
      </c>
      <c r="N22" t="e">
        <f>2*N21/2*J23</f>
        <v>#VALUE!</v>
      </c>
      <c r="Q22" s="66" t="str">
        <f t="shared" si="8"/>
        <v>2nd_UWL</v>
      </c>
      <c r="R22" s="67" t="str">
        <f t="shared" si="8"/>
        <v>#NA</v>
      </c>
      <c r="S22" s="82" t="e">
        <f>IF(S20-S21=S21-R24,R24,IF(S20-S21=S21-R25,R25,"-"))</f>
        <v>#VALUE!</v>
      </c>
      <c r="T22" s="83" t="e">
        <f>VLOOKUP(S22,STN_TABLE,2,FALSE)</f>
        <v>#VALUE!</v>
      </c>
      <c r="U22" s="83">
        <v>-1</v>
      </c>
      <c r="V22" s="83" t="e">
        <f>T22*U22</f>
        <v>#VALUE!</v>
      </c>
      <c r="W22" s="83">
        <v>-1</v>
      </c>
      <c r="X22" s="83" t="e">
        <f>T22*W22</f>
        <v>#VALUE!</v>
      </c>
      <c r="Y22" s="84" t="str">
        <f>CONCATENATE("a'(",S21,")=")</f>
        <v>a'(#NA)=</v>
      </c>
      <c r="Z22" s="84" t="e">
        <f>2*Z20/12*V23</f>
        <v>#VALUE!</v>
      </c>
      <c r="AA22" s="84" t="e">
        <f>CONCATENATE("A(",S20,")=")</f>
        <v>#VALUE!</v>
      </c>
      <c r="AB22" s="84" t="e">
        <f>IF(S20=RisePerWLS,0,VLOOKUP(S20,STN_TABLE,3,FALSE))</f>
        <v>#VALUE!</v>
      </c>
      <c r="AC22" t="str">
        <f>CONCATENATE("A(",S21,")=")</f>
        <v>A(#NA)=</v>
      </c>
      <c r="AD22" t="e">
        <f>Z22+AB22</f>
        <v>#VALUE!</v>
      </c>
      <c r="AE22" s="80"/>
    </row>
    <row r="23" spans="1:35" x14ac:dyDescent="0.25">
      <c r="A23">
        <v>20</v>
      </c>
      <c r="B23" s="80" t="str">
        <f t="shared" si="2"/>
        <v xml:space="preserve">  </v>
      </c>
      <c r="C23" s="81" t="str">
        <f t="shared" si="3"/>
        <v xml:space="preserve">  </v>
      </c>
      <c r="D23" s="81" t="str">
        <f t="shared" si="4"/>
        <v xml:space="preserve"> </v>
      </c>
      <c r="E23" s="77" t="str">
        <f t="shared" si="5"/>
        <v xml:space="preserve"> </v>
      </c>
      <c r="J23" s="89" t="e">
        <f>SUM(J21:J22)</f>
        <v>#N/A</v>
      </c>
      <c r="L23" s="89" t="e">
        <f>SUM(L21:L22)</f>
        <v>#N/A</v>
      </c>
      <c r="M23" t="str">
        <f>CONCATENATE("M(",I22,")=")</f>
        <v>M(#NA)=</v>
      </c>
      <c r="N23" t="e">
        <f>(2*(N21^2)/6*L23)+N22*I21*WLS</f>
        <v>#VALUE!</v>
      </c>
      <c r="Q23" s="66" t="str">
        <f t="shared" si="8"/>
        <v>3rd_UWL</v>
      </c>
      <c r="R23" s="67" t="str">
        <f t="shared" si="8"/>
        <v>#NA</v>
      </c>
      <c r="V23" s="89" t="e">
        <f>SUM(V20:V22)</f>
        <v>#VALUE!</v>
      </c>
      <c r="X23" s="89" t="e">
        <f>SUM(X20:X22)</f>
        <v>#VALUE!</v>
      </c>
      <c r="Y23" s="84" t="str">
        <f>CONCATENATE("m'(",S21,")=")</f>
        <v>m'(#NA)=</v>
      </c>
      <c r="Z23" s="84" t="e">
        <f>(2*(Z20^2)/24*X23)+(Z22*S20*WLS)</f>
        <v>#VALUE!</v>
      </c>
      <c r="AA23" s="84" t="e">
        <f>CONCATENATE("M(",S20,")=")</f>
        <v>#VALUE!</v>
      </c>
      <c r="AB23" s="84" t="e">
        <f>IF(S20=RisePerWLS,0,VLOOKUP(S20,STN_TABLE,4,FALSE))</f>
        <v>#VALUE!</v>
      </c>
      <c r="AC23" t="str">
        <f>CONCATENATE("M(",S21,")=")</f>
        <v>M(#NA)=</v>
      </c>
      <c r="AD23" t="e">
        <f>Z23+AB23</f>
        <v>#VALUE!</v>
      </c>
      <c r="AE23" s="80"/>
    </row>
    <row r="24" spans="1:35" x14ac:dyDescent="0.25">
      <c r="A24">
        <v>21</v>
      </c>
      <c r="B24" s="80" t="str">
        <f t="shared" si="2"/>
        <v xml:space="preserve">  </v>
      </c>
      <c r="C24" s="81" t="str">
        <f t="shared" si="3"/>
        <v xml:space="preserve">  </v>
      </c>
      <c r="D24" s="81" t="str">
        <f t="shared" si="4"/>
        <v xml:space="preserve"> </v>
      </c>
      <c r="E24" s="77" t="str">
        <f t="shared" si="5"/>
        <v xml:space="preserve"> </v>
      </c>
      <c r="Q24" s="66" t="str">
        <f t="shared" si="8"/>
        <v>4th_UWL</v>
      </c>
      <c r="R24" s="67" t="str">
        <f t="shared" si="8"/>
        <v>#NA</v>
      </c>
      <c r="U24" t="s">
        <v>103</v>
      </c>
      <c r="W24" t="str">
        <f>CONCATENATE("A(",S21,")=")</f>
        <v>A(#NA)=</v>
      </c>
      <c r="X24" t="e">
        <f>IF(OR(AD22&lt;=0,AD23&lt;=0),AD27,AD22)</f>
        <v>#VALUE!</v>
      </c>
      <c r="AE24" s="80"/>
    </row>
    <row r="25" spans="1:35" x14ac:dyDescent="0.25">
      <c r="A25">
        <v>22</v>
      </c>
      <c r="B25" s="80" t="str">
        <f t="shared" si="2"/>
        <v xml:space="preserve">  </v>
      </c>
      <c r="C25" s="81" t="str">
        <f t="shared" si="3"/>
        <v xml:space="preserve">  </v>
      </c>
      <c r="D25" s="81" t="str">
        <f t="shared" si="4"/>
        <v xml:space="preserve"> </v>
      </c>
      <c r="E25" s="77" t="str">
        <f t="shared" si="5"/>
        <v xml:space="preserve"> </v>
      </c>
      <c r="G25" s="71" t="s">
        <v>111</v>
      </c>
      <c r="Q25" s="66" t="str">
        <f t="shared" si="8"/>
        <v>5th_UWL</v>
      </c>
      <c r="R25" s="67" t="str">
        <f t="shared" si="8"/>
        <v>#NA</v>
      </c>
      <c r="W25" t="str">
        <f>CONCATENATE("M(",S21,")=")</f>
        <v>M(#NA)=</v>
      </c>
      <c r="X25" t="e">
        <f>IF(OR(AD22&lt;=0,AD23&lt;=0),AD28,AD23)</f>
        <v>#VALUE!</v>
      </c>
      <c r="Y25" s="6" t="s">
        <v>93</v>
      </c>
      <c r="Z25" s="70" t="e">
        <f>WLS*(U27-U26)</f>
        <v>#VALUE!</v>
      </c>
      <c r="AE25" s="80"/>
    </row>
    <row r="26" spans="1:35" x14ac:dyDescent="0.25">
      <c r="A26">
        <v>23</v>
      </c>
      <c r="B26" s="80" t="str">
        <f t="shared" si="2"/>
        <v xml:space="preserve">  </v>
      </c>
      <c r="C26" s="81" t="str">
        <f t="shared" si="3"/>
        <v xml:space="preserve">  </v>
      </c>
      <c r="D26" s="81" t="str">
        <f t="shared" si="4"/>
        <v xml:space="preserve"> </v>
      </c>
      <c r="E26" s="77" t="str">
        <f t="shared" si="5"/>
        <v xml:space="preserve"> </v>
      </c>
      <c r="G26" s="91" t="str">
        <f t="shared" ref="G26:H28" si="9">G4</f>
        <v>Rise</v>
      </c>
      <c r="H26" s="91" t="e">
        <f t="shared" si="9"/>
        <v>#VALUE!</v>
      </c>
      <c r="I26" s="68" t="e">
        <f>H26</f>
        <v>#VALUE!</v>
      </c>
      <c r="J26" s="69">
        <v>0</v>
      </c>
      <c r="K26" s="69">
        <v>1</v>
      </c>
      <c r="L26" s="69">
        <f>J26*K26</f>
        <v>0</v>
      </c>
      <c r="M26" s="69" t="e">
        <f>I26</f>
        <v>#VALUE!</v>
      </c>
      <c r="N26" s="69" t="e">
        <f>L26*M26</f>
        <v>#VALUE!</v>
      </c>
      <c r="O26" t="s">
        <v>93</v>
      </c>
      <c r="P26" t="e">
        <f>IF(OR(J26=0,J27=0,J28=0),"#NA",IF(I28-I27=I27-I26,WLS*(I27-I26),"#NA"))</f>
        <v>#VALUE!</v>
      </c>
      <c r="Q26" s="66"/>
      <c r="R26" s="67"/>
      <c r="U26" s="79" t="str">
        <f>R22</f>
        <v>#NA</v>
      </c>
      <c r="V26" s="68" t="e">
        <f>VLOOKUP(U26,STN_TABLE,2,FALSE)</f>
        <v>#N/A</v>
      </c>
      <c r="W26" s="68">
        <v>1</v>
      </c>
      <c r="X26" s="69" t="e">
        <f>V26*W26</f>
        <v>#N/A</v>
      </c>
      <c r="Y26" s="78" t="s">
        <v>97</v>
      </c>
      <c r="Z26" s="78"/>
      <c r="AA26" s="78" t="s">
        <v>98</v>
      </c>
      <c r="AB26" s="78"/>
      <c r="AC26" s="7" t="s">
        <v>99</v>
      </c>
      <c r="AD26" s="7"/>
      <c r="AE26" s="80"/>
    </row>
    <row r="27" spans="1:35" x14ac:dyDescent="0.25">
      <c r="A27">
        <v>24</v>
      </c>
      <c r="B27" s="80" t="str">
        <f t="shared" si="2"/>
        <v xml:space="preserve">  </v>
      </c>
      <c r="C27" s="81" t="str">
        <f t="shared" si="3"/>
        <v xml:space="preserve">  </v>
      </c>
      <c r="D27" s="81" t="str">
        <f t="shared" si="4"/>
        <v xml:space="preserve"> </v>
      </c>
      <c r="E27" s="77" t="str">
        <f t="shared" si="5"/>
        <v xml:space="preserve"> </v>
      </c>
      <c r="G27" s="91" t="str">
        <f t="shared" si="9"/>
        <v>1st_UWL</v>
      </c>
      <c r="H27" s="91" t="str">
        <f t="shared" si="9"/>
        <v>#NA</v>
      </c>
      <c r="I27" s="76" t="e">
        <f>IF(H28-H27=H27-H26,H28,"#NA")</f>
        <v>#VALUE!</v>
      </c>
      <c r="J27" s="77" t="e">
        <f>VLOOKUP(I27,STN_TABLE,2,FALSE)</f>
        <v>#VALUE!</v>
      </c>
      <c r="K27" s="77">
        <v>4</v>
      </c>
      <c r="L27" s="77" t="e">
        <f>J27*K27</f>
        <v>#VALUE!</v>
      </c>
      <c r="M27" s="77" t="e">
        <f>I27</f>
        <v>#VALUE!</v>
      </c>
      <c r="N27" s="77" t="e">
        <f>L27*M27</f>
        <v>#VALUE!</v>
      </c>
      <c r="O27" t="e">
        <f>CONCATENATE("A(",I28,")=")</f>
        <v>#VALUE!</v>
      </c>
      <c r="P27" t="e">
        <f>2*P26/3*L29</f>
        <v>#VALUE!</v>
      </c>
      <c r="Q27" s="80"/>
      <c r="R27" s="81"/>
      <c r="U27" s="88" t="str">
        <f>R23</f>
        <v>#NA</v>
      </c>
      <c r="V27" s="82" t="e">
        <f>VLOOKUP(U27,STN_TABLE,2,FALSE)</f>
        <v>#N/A</v>
      </c>
      <c r="W27" s="82">
        <v>2</v>
      </c>
      <c r="X27" s="83" t="e">
        <f>V27*W27</f>
        <v>#N/A</v>
      </c>
      <c r="Y27" s="84" t="str">
        <f>CONCATENATE("a'(",U27,")=")</f>
        <v>a'(#NA)=</v>
      </c>
      <c r="Z27" s="84" t="e">
        <f>2*Z25/2*V28</f>
        <v>#VALUE!</v>
      </c>
      <c r="AA27" s="84" t="str">
        <f>CONCATENATE("A(",U26,")=")</f>
        <v>A(#NA)=</v>
      </c>
      <c r="AB27" s="84" t="e">
        <f>IF(U26=RisePerWLS,0,VLOOKUP(U26,STN_TABLE,3,FALSE))</f>
        <v>#VALUE!</v>
      </c>
      <c r="AC27" t="str">
        <f>CONCATENATE("A(",U27,")=")</f>
        <v>A(#NA)=</v>
      </c>
      <c r="AD27" t="e">
        <f>Z27+AB27</f>
        <v>#VALUE!</v>
      </c>
      <c r="AE27" s="80"/>
    </row>
    <row r="28" spans="1:35" x14ac:dyDescent="0.25">
      <c r="A28">
        <v>25</v>
      </c>
      <c r="B28" s="88" t="str">
        <f t="shared" si="2"/>
        <v xml:space="preserve">  </v>
      </c>
      <c r="C28" s="92" t="str">
        <f t="shared" si="3"/>
        <v xml:space="preserve">  </v>
      </c>
      <c r="D28" s="81" t="str">
        <f t="shared" si="4"/>
        <v xml:space="preserve"> </v>
      </c>
      <c r="E28" s="77" t="str">
        <f t="shared" si="5"/>
        <v xml:space="preserve"> </v>
      </c>
      <c r="G28" s="91" t="str">
        <f t="shared" si="9"/>
        <v>2nd_UWL</v>
      </c>
      <c r="H28" s="91" t="str">
        <f t="shared" si="9"/>
        <v>#NA</v>
      </c>
      <c r="I28" s="82" t="e">
        <f>IF(H28-H27=H27-H26,H28,"#NA")</f>
        <v>#VALUE!</v>
      </c>
      <c r="J28" s="83" t="e">
        <f>VLOOKUP(I28,STN_TABLE,2,FALSE)</f>
        <v>#VALUE!</v>
      </c>
      <c r="K28" s="83">
        <v>1</v>
      </c>
      <c r="L28" s="83" t="e">
        <f>J28*K28</f>
        <v>#VALUE!</v>
      </c>
      <c r="M28" s="83" t="e">
        <f>I28</f>
        <v>#VALUE!</v>
      </c>
      <c r="N28" s="83" t="e">
        <f>L28*M28</f>
        <v>#VALUE!</v>
      </c>
      <c r="O28" t="e">
        <f>CONCATENATE("M(",I28,")=")</f>
        <v>#VALUE!</v>
      </c>
      <c r="P28" t="e">
        <f>2*(P26*WLS)/3*N29</f>
        <v>#VALUE!</v>
      </c>
      <c r="Q28" s="80"/>
      <c r="R28" s="81"/>
      <c r="V28" s="89" t="e">
        <f>SUM(V26:V27)</f>
        <v>#N/A</v>
      </c>
      <c r="X28" s="89" t="e">
        <f>SUM(X26:X27)</f>
        <v>#N/A</v>
      </c>
      <c r="Y28" s="84" t="str">
        <f>CONCATENATE("m'(",U27,")=")</f>
        <v>m'(#NA)=</v>
      </c>
      <c r="Z28" s="84" t="e">
        <f>(2*(Z25^2)/6*X28)+(Z27*U26*WLS)</f>
        <v>#VALUE!</v>
      </c>
      <c r="AA28" s="84" t="str">
        <f>CONCATENATE("M(",U26,")=")</f>
        <v>M(#NA)=</v>
      </c>
      <c r="AB28" s="84" t="e">
        <f>IF(U26=RisePerWLS,0,VLOOKUP(U26,STN_TABLE,4,FALSE))</f>
        <v>#VALUE!</v>
      </c>
      <c r="AC28" t="str">
        <f>CONCATENATE("M(",U27,")=")</f>
        <v>M(#NA)=</v>
      </c>
      <c r="AD28" t="e">
        <f>Z28+AB28</f>
        <v>#VALUE!</v>
      </c>
      <c r="AE28" s="80"/>
    </row>
    <row r="29" spans="1:35" x14ac:dyDescent="0.25">
      <c r="G29" s="91"/>
      <c r="H29" s="91"/>
      <c r="L29" s="89" t="e">
        <f>SUM(L26:L28)</f>
        <v>#VALUE!</v>
      </c>
      <c r="N29" s="89" t="e">
        <f>SUM(N26:N28)</f>
        <v>#VALUE!</v>
      </c>
      <c r="Q29" s="80"/>
      <c r="R29" s="81"/>
      <c r="AE29" s="80"/>
    </row>
    <row r="30" spans="1:35" x14ac:dyDescent="0.25">
      <c r="G30" s="91"/>
      <c r="H30" s="91"/>
    </row>
    <row r="31" spans="1:35" x14ac:dyDescent="0.25">
      <c r="G31" s="91"/>
      <c r="H31" s="91"/>
    </row>
    <row r="32" spans="1:35" x14ac:dyDescent="0.25">
      <c r="G32" s="91"/>
      <c r="H32" s="91"/>
      <c r="Q32" s="68">
        <f>B4</f>
        <v>0</v>
      </c>
      <c r="R32" s="69">
        <f>VLOOKUP(Q32,STN_TABLE,2,FALSE)</f>
        <v>7.9</v>
      </c>
      <c r="S32" s="69">
        <v>5</v>
      </c>
      <c r="T32" s="68">
        <f>R32*S32</f>
        <v>39.5</v>
      </c>
      <c r="U32" s="79">
        <v>3</v>
      </c>
      <c r="V32" s="68">
        <f>R32*U32</f>
        <v>23.700000000000003</v>
      </c>
      <c r="W32" t="s">
        <v>93</v>
      </c>
      <c r="X32" s="70">
        <f>IF(AND(Q34-Q33=Q33-Q32,NOT(AND(Q32=0,Q33=0)),NOT(AND(Q33=0,Q34=0))),WLS*(Q34-Q33),"#NA")</f>
        <v>0.5</v>
      </c>
      <c r="AD32" s="93"/>
      <c r="AH32" s="6" t="s">
        <v>93</v>
      </c>
      <c r="AI32" s="70">
        <f>WLS*(AD34-AD33)</f>
        <v>0.5</v>
      </c>
    </row>
    <row r="33" spans="1:47" x14ac:dyDescent="0.25">
      <c r="Q33" s="76">
        <f>B5</f>
        <v>0.25</v>
      </c>
      <c r="R33" s="77">
        <f>VLOOKUP(Q33,STN_TABLE,2,FALSE)</f>
        <v>8.9</v>
      </c>
      <c r="S33" s="77">
        <v>8</v>
      </c>
      <c r="T33" s="76">
        <f>R33*S33</f>
        <v>71.2</v>
      </c>
      <c r="U33" s="80">
        <v>10</v>
      </c>
      <c r="V33" s="76">
        <f>R33*U33</f>
        <v>89</v>
      </c>
      <c r="W33" s="495" t="s">
        <v>97</v>
      </c>
      <c r="X33" s="496"/>
      <c r="Y33" s="496" t="s">
        <v>98</v>
      </c>
      <c r="Z33" s="496"/>
      <c r="AA33" s="494" t="s">
        <v>99</v>
      </c>
      <c r="AB33" s="494"/>
      <c r="AC33" s="94">
        <v>1</v>
      </c>
      <c r="AD33" s="95">
        <f>VLOOKUP(AC33,STN_TABLE_2,2,FALSE)</f>
        <v>0</v>
      </c>
      <c r="AE33" s="68">
        <f>VLOOKUP(AD33,STN_TABLE,2,FALSE)</f>
        <v>7.9</v>
      </c>
      <c r="AF33" s="68">
        <v>1</v>
      </c>
      <c r="AG33" s="69">
        <f>AE33*AF33</f>
        <v>7.9</v>
      </c>
      <c r="AH33" s="496" t="s">
        <v>97</v>
      </c>
      <c r="AI33" s="496"/>
      <c r="AJ33" s="496" t="s">
        <v>98</v>
      </c>
      <c r="AK33" s="496"/>
      <c r="AL33" s="494" t="s">
        <v>99</v>
      </c>
      <c r="AM33" s="494"/>
      <c r="AP33" s="96" t="s">
        <v>112</v>
      </c>
      <c r="AQ33" s="89" t="s">
        <v>113</v>
      </c>
      <c r="AR33" s="89" t="s">
        <v>114</v>
      </c>
      <c r="AS33" s="89" t="s">
        <v>115</v>
      </c>
      <c r="AT33" s="97" t="s">
        <v>116</v>
      </c>
      <c r="AU33" s="98"/>
    </row>
    <row r="34" spans="1:47" x14ac:dyDescent="0.25">
      <c r="Q34" s="82">
        <f>B6</f>
        <v>0.5</v>
      </c>
      <c r="R34" s="83">
        <f>VLOOKUP(Q34,STN_TABLE,2,FALSE)</f>
        <v>9.5</v>
      </c>
      <c r="S34" s="83">
        <v>-1</v>
      </c>
      <c r="T34" s="82">
        <f>R34*S34</f>
        <v>-9.5</v>
      </c>
      <c r="U34" s="88">
        <v>-1</v>
      </c>
      <c r="V34" s="82">
        <f>R34*U34</f>
        <v>-9.5</v>
      </c>
      <c r="W34" s="84" t="str">
        <f>CONCATENATE("a'(",Q33,")=")</f>
        <v>a'(0.25)=</v>
      </c>
      <c r="X34" s="84">
        <f>2*X32/12*T35</f>
        <v>8.4333333333333336</v>
      </c>
      <c r="Y34" s="84" t="str">
        <f>CONCATENATE("A(",Q32,")=")</f>
        <v>A(0)=</v>
      </c>
      <c r="Z34" s="84">
        <f>VLOOKUP(Q32,STN_TABLE,3,FALSE)</f>
        <v>0</v>
      </c>
      <c r="AA34" t="str">
        <f>CONCATENATE("A(",Q33,")=")</f>
        <v>A(0.25)=</v>
      </c>
      <c r="AB34">
        <f>X34+Z34</f>
        <v>8.4333333333333336</v>
      </c>
      <c r="AC34" s="99">
        <f>AC33+1</f>
        <v>2</v>
      </c>
      <c r="AD34" s="100">
        <f>VLOOKUP(AC34,STN_TABLE_2,2,FALSE)</f>
        <v>0.25</v>
      </c>
      <c r="AE34" s="82">
        <f>VLOOKUP(AD34,STN_TABLE,2,FALSE)</f>
        <v>8.9</v>
      </c>
      <c r="AF34" s="82">
        <v>2</v>
      </c>
      <c r="AG34" s="83">
        <f>AE34*AF34</f>
        <v>17.8</v>
      </c>
      <c r="AH34" s="84" t="str">
        <f>CONCATENATE("a'(",AD34,")=")</f>
        <v>a'(0.25)=</v>
      </c>
      <c r="AI34" s="84">
        <f>2*AI32/2*AE35</f>
        <v>8.4</v>
      </c>
      <c r="AJ34" s="84" t="str">
        <f>CONCATENATE("A(",AD33,")=")</f>
        <v>A(0)=</v>
      </c>
      <c r="AK34" s="84">
        <f>VLOOKUP(AD33,STN_TABLE,3,FALSE)</f>
        <v>0</v>
      </c>
      <c r="AL34" t="str">
        <f>CONCATENATE("A(",AD34,")=")</f>
        <v>A(0.25)=</v>
      </c>
      <c r="AM34">
        <f>AI34+AK34</f>
        <v>8.4</v>
      </c>
      <c r="AO34" s="68" t="str">
        <f>AA34</f>
        <v>A(0.25)=</v>
      </c>
      <c r="AP34" s="79" t="e">
        <f>VLOOKUP(AO34,Rise_Results,2,FALSE)</f>
        <v>#N/A</v>
      </c>
      <c r="AQ34" s="76" t="s">
        <v>117</v>
      </c>
      <c r="AR34" s="76">
        <f>IF(OR(AB34&lt;=0,AB35&lt;=0),1/0,AB34)</f>
        <v>8.4333333333333336</v>
      </c>
      <c r="AS34" s="76">
        <f>AM34</f>
        <v>8.4</v>
      </c>
      <c r="AT34" s="80">
        <f>IFERROR(AP34,IFERROR(AR34,AS34))</f>
        <v>8.4333333333333336</v>
      </c>
    </row>
    <row r="35" spans="1:47" x14ac:dyDescent="0.25">
      <c r="A35" s="101"/>
      <c r="T35" s="89">
        <f>SUM(T32:T34)</f>
        <v>101.2</v>
      </c>
      <c r="V35" s="82">
        <f>SUM(V32:V34)</f>
        <v>103.2</v>
      </c>
      <c r="W35" s="84" t="str">
        <f>CONCATENATE("m'(",Q33,")=")</f>
        <v>m'(0.25)=</v>
      </c>
      <c r="X35" s="84">
        <f>(2*(X32^2)/24*V35)</f>
        <v>2.15</v>
      </c>
      <c r="Y35" s="84" t="str">
        <f>CONCATENATE("M(",Q32,")=")</f>
        <v>M(0)=</v>
      </c>
      <c r="Z35" s="84">
        <f>VLOOKUP(Q32,STN_TABLE,4,FALSE)</f>
        <v>0</v>
      </c>
      <c r="AA35" t="str">
        <f>CONCATENATE("M(",Q33,")=")</f>
        <v>M(0.25)=</v>
      </c>
      <c r="AB35">
        <f>X35+Z35</f>
        <v>2.15</v>
      </c>
      <c r="AE35" s="89">
        <f>SUM(AE33:AE34)</f>
        <v>16.8</v>
      </c>
      <c r="AG35" s="89">
        <f>SUM(AG33:AG34)</f>
        <v>25.700000000000003</v>
      </c>
      <c r="AH35" s="84" t="str">
        <f>CONCATENATE("m'(",AD34,")=")</f>
        <v>m'(0.25)=</v>
      </c>
      <c r="AI35" s="84">
        <f>(2*(AI32^2)/6*AG35)+(AI34*AD33*WLS)</f>
        <v>2.1416666666666666</v>
      </c>
      <c r="AJ35" s="84" t="str">
        <f>CONCATENATE("M(",AD33,")=")</f>
        <v>M(0)=</v>
      </c>
      <c r="AK35" s="84">
        <f>VLOOKUP(AD33,STN_TABLE,4,FALSE)</f>
        <v>0</v>
      </c>
      <c r="AL35" t="str">
        <f>CONCATENATE("M(",AD34,")=")</f>
        <v>M(0.25)=</v>
      </c>
      <c r="AM35">
        <f>AI35+AK35</f>
        <v>2.1416666666666666</v>
      </c>
      <c r="AO35" s="82" t="str">
        <f>AA35</f>
        <v>M(0.25)=</v>
      </c>
      <c r="AP35" s="88" t="e">
        <f>VLOOKUP(AO35,Rise_Results,2,FALSE)</f>
        <v>#N/A</v>
      </c>
      <c r="AQ35" s="82" t="s">
        <v>117</v>
      </c>
      <c r="AR35" s="82">
        <f>IF(OR(AB34&lt;=0,AB35&lt;=0),1/0,AB35)</f>
        <v>2.15</v>
      </c>
      <c r="AS35" s="82">
        <f>AM35</f>
        <v>2.1416666666666666</v>
      </c>
      <c r="AT35" s="80">
        <f>IFERROR(AP35,IFERROR(AR35,AS35))</f>
        <v>2.15</v>
      </c>
    </row>
    <row r="36" spans="1:47" x14ac:dyDescent="0.25">
      <c r="O36" s="94">
        <v>1</v>
      </c>
      <c r="P36" s="101">
        <f t="shared" ref="P36:P67" si="10">VLOOKUP(O36,STN_TABLE_2,2,FALSE)</f>
        <v>0</v>
      </c>
      <c r="AU36" s="81"/>
    </row>
    <row r="37" spans="1:47" x14ac:dyDescent="0.25">
      <c r="A37" s="94">
        <v>1</v>
      </c>
      <c r="B37" s="94">
        <f>VLOOKUP(A37,STN_TABLE_2,2,FALSE)</f>
        <v>0</v>
      </c>
      <c r="C37" s="79">
        <f>B37</f>
        <v>0</v>
      </c>
      <c r="D37" s="68">
        <f>VLOOKUP(C37,STN_TABLE,2,FALSE)</f>
        <v>7.9</v>
      </c>
      <c r="E37" s="102">
        <v>1</v>
      </c>
      <c r="F37" s="68">
        <f>D37*E37</f>
        <v>7.9</v>
      </c>
      <c r="G37" s="69">
        <f>C37</f>
        <v>0</v>
      </c>
      <c r="H37" s="69">
        <f>F37*G37</f>
        <v>0</v>
      </c>
      <c r="I37" s="6" t="s">
        <v>93</v>
      </c>
      <c r="J37" s="70">
        <f>IF(OR(D37=0,D38=0,D39=0),"#NA",IF(AND(C39-C38=C38-C37,C38&lt;&gt;C39,C37&lt;&gt;C38,C37&lt;&gt;C39,D39&lt;&gt;0,OR(D37&lt;&gt;0,D38&lt;&gt;0)),WLS*(C39-C38),"#NA"))</f>
        <v>0.5</v>
      </c>
      <c r="O37" s="99">
        <f>O36+1</f>
        <v>2</v>
      </c>
      <c r="P37" s="99">
        <f t="shared" si="10"/>
        <v>0.25</v>
      </c>
      <c r="Q37" s="68">
        <f>IF(OR(P39-P38=P38-P37,P40-P38=P38-P37),P37,IF(OR(P39-P38=P38-P36,P40-P38=P38-P36),P36,"-"))</f>
        <v>0.25</v>
      </c>
      <c r="R37" s="69">
        <f>VLOOKUP(Q37,STN_TABLE,2,FALSE)</f>
        <v>8.9</v>
      </c>
      <c r="S37" s="69">
        <v>5</v>
      </c>
      <c r="T37" s="68">
        <f>R37*S37</f>
        <v>44.5</v>
      </c>
      <c r="U37" s="79">
        <v>3</v>
      </c>
      <c r="V37" s="68">
        <f>R37*U37</f>
        <v>26.700000000000003</v>
      </c>
      <c r="W37" s="6" t="s">
        <v>93</v>
      </c>
      <c r="X37" s="70">
        <f>IF(AND(Q39-Q38=Q38-Q37,NOT(AND(Q37=0,Q38=0)),NOT(AND(Q38=0,Q39=0))),WLS*(Q39-Q38),"#NA")</f>
        <v>0.5</v>
      </c>
      <c r="AD37" s="93"/>
      <c r="AH37" s="6" t="s">
        <v>93</v>
      </c>
      <c r="AI37" s="70">
        <f>WLS*(AD39-AD38)</f>
        <v>0.5</v>
      </c>
      <c r="AU37" s="81"/>
    </row>
    <row r="38" spans="1:47" x14ac:dyDescent="0.25">
      <c r="A38" s="94">
        <f>A37+1</f>
        <v>2</v>
      </c>
      <c r="B38" s="94">
        <f>VLOOKUP(A38,STN_TABLE_2,2,FALSE)</f>
        <v>0.25</v>
      </c>
      <c r="C38" s="80">
        <f>B38</f>
        <v>0.25</v>
      </c>
      <c r="D38" s="76">
        <f>VLOOKUP(C38,STN_TABLE,2,FALSE)</f>
        <v>8.9</v>
      </c>
      <c r="E38" s="81">
        <v>4</v>
      </c>
      <c r="F38" s="76">
        <f>D38*E38</f>
        <v>35.6</v>
      </c>
      <c r="G38" s="77">
        <f>C38</f>
        <v>0.25</v>
      </c>
      <c r="H38" s="77">
        <f>F38*G38</f>
        <v>8.9</v>
      </c>
      <c r="I38" s="496" t="s">
        <v>97</v>
      </c>
      <c r="J38" s="496"/>
      <c r="K38" s="78" t="s">
        <v>98</v>
      </c>
      <c r="L38" s="78"/>
      <c r="M38" s="7" t="s">
        <v>99</v>
      </c>
      <c r="N38" s="7"/>
      <c r="O38" s="99">
        <f>O37+1</f>
        <v>3</v>
      </c>
      <c r="P38" s="99">
        <f t="shared" si="10"/>
        <v>0.5</v>
      </c>
      <c r="Q38" s="76">
        <f>P38</f>
        <v>0.5</v>
      </c>
      <c r="R38" s="77">
        <f>VLOOKUP(Q38,STN_TABLE,2,FALSE)</f>
        <v>9.5</v>
      </c>
      <c r="S38" s="77">
        <v>8</v>
      </c>
      <c r="T38" s="76">
        <f>R38*S38</f>
        <v>76</v>
      </c>
      <c r="U38" s="80">
        <v>10</v>
      </c>
      <c r="V38" s="76">
        <f>R38*U38</f>
        <v>95</v>
      </c>
      <c r="W38" s="496" t="s">
        <v>97</v>
      </c>
      <c r="X38" s="496"/>
      <c r="Y38" s="496" t="s">
        <v>98</v>
      </c>
      <c r="Z38" s="496"/>
      <c r="AA38" s="494" t="s">
        <v>99</v>
      </c>
      <c r="AB38" s="494"/>
      <c r="AC38" s="99">
        <f>AC33+1</f>
        <v>2</v>
      </c>
      <c r="AD38" s="95">
        <f>VLOOKUP(AC38,STN_TABLE_2,2,FALSE)</f>
        <v>0.25</v>
      </c>
      <c r="AE38" s="68">
        <f>VLOOKUP(AD38,STN_TABLE,2,FALSE)</f>
        <v>8.9</v>
      </c>
      <c r="AF38" s="68">
        <v>1</v>
      </c>
      <c r="AG38" s="69">
        <f>AE38*AF38</f>
        <v>8.9</v>
      </c>
      <c r="AH38" s="496" t="s">
        <v>97</v>
      </c>
      <c r="AI38" s="496"/>
      <c r="AJ38" s="496" t="s">
        <v>98</v>
      </c>
      <c r="AK38" s="496"/>
      <c r="AL38" s="494" t="s">
        <v>99</v>
      </c>
      <c r="AM38" s="494"/>
      <c r="AP38" s="86" t="s">
        <v>112</v>
      </c>
      <c r="AQ38" s="89" t="s">
        <v>113</v>
      </c>
      <c r="AR38" s="89" t="s">
        <v>114</v>
      </c>
      <c r="AS38" s="89" t="s">
        <v>115</v>
      </c>
    </row>
    <row r="39" spans="1:47" x14ac:dyDescent="0.25">
      <c r="A39" s="94">
        <f>A38+1</f>
        <v>3</v>
      </c>
      <c r="B39" s="94">
        <f>VLOOKUP(A39,STN_TABLE_2,2,FALSE)</f>
        <v>0.5</v>
      </c>
      <c r="C39" s="88">
        <f>B39</f>
        <v>0.5</v>
      </c>
      <c r="D39" s="82">
        <f>VLOOKUP(C39,STN_TABLE,2,FALSE)</f>
        <v>9.5</v>
      </c>
      <c r="E39" s="92">
        <v>1</v>
      </c>
      <c r="F39" s="82">
        <f>D39*E39</f>
        <v>9.5</v>
      </c>
      <c r="G39" s="83">
        <f>C39</f>
        <v>0.5</v>
      </c>
      <c r="H39" s="83">
        <f>F39*G39</f>
        <v>4.75</v>
      </c>
      <c r="I39" s="84" t="str">
        <f>CONCATENATE("a'(",C39,")=")</f>
        <v>a'(0.5)=</v>
      </c>
      <c r="J39" s="84">
        <f>2*J37/3*F40</f>
        <v>17.666666666666664</v>
      </c>
      <c r="K39" s="84" t="str">
        <f>CONCATENATE("A(",C37,")=")</f>
        <v>A(0)=</v>
      </c>
      <c r="L39" s="84">
        <f>VLOOKUP(C37,STN_TABLE,3,FALSE)</f>
        <v>0</v>
      </c>
      <c r="M39" t="str">
        <f>CONCATENATE("A(",C39,")=")</f>
        <v>A(0.5)=</v>
      </c>
      <c r="N39">
        <f>J39+L39</f>
        <v>17.666666666666664</v>
      </c>
      <c r="O39" s="99">
        <f>O38+1</f>
        <v>4</v>
      </c>
      <c r="P39" s="99">
        <f t="shared" si="10"/>
        <v>0.75</v>
      </c>
      <c r="Q39" s="82">
        <f>IF(P39-P38=P38-P37,P39,IF(P40-P38=P38-P37,P40,IF(P39-P38=P38-P36,P39,IF(P40-P38=P38-P36,P40,"-"))))</f>
        <v>0.75</v>
      </c>
      <c r="R39" s="83">
        <f>VLOOKUP(Q39,STN_TABLE,2,FALSE)</f>
        <v>9.94</v>
      </c>
      <c r="S39" s="83">
        <v>-1</v>
      </c>
      <c r="T39" s="82">
        <f>R39*S39</f>
        <v>-9.94</v>
      </c>
      <c r="U39" s="88">
        <v>-1</v>
      </c>
      <c r="V39" s="82">
        <f>R39*U39</f>
        <v>-9.94</v>
      </c>
      <c r="W39" s="84" t="str">
        <f>CONCATENATE("a'(",Q38,")=")</f>
        <v>a'(0.5)=</v>
      </c>
      <c r="X39" s="84">
        <f>2*X37/12*T40</f>
        <v>9.2133333333333329</v>
      </c>
      <c r="Y39" s="84" t="str">
        <f>CONCATENATE("A(",Q37,")=")</f>
        <v>A(0.25)=</v>
      </c>
      <c r="Z39" s="84">
        <f>VLOOKUP(Q37,STN_TABLE,3,FALSE)</f>
        <v>8.4333333333333336</v>
      </c>
      <c r="AA39" t="str">
        <f>CONCATENATE("A(",Q38,")=")</f>
        <v>A(0.5)=</v>
      </c>
      <c r="AB39">
        <f>X39+Z39</f>
        <v>17.646666666666668</v>
      </c>
      <c r="AC39" s="99">
        <f>AC38+1</f>
        <v>3</v>
      </c>
      <c r="AD39" s="100">
        <f>VLOOKUP(AC39,STN_TABLE_2,2,FALSE)</f>
        <v>0.5</v>
      </c>
      <c r="AE39" s="82">
        <f>VLOOKUP(AD39,STN_TABLE,2,FALSE)</f>
        <v>9.5</v>
      </c>
      <c r="AF39" s="82">
        <v>2</v>
      </c>
      <c r="AG39" s="83">
        <f>AE39*AF39</f>
        <v>19</v>
      </c>
      <c r="AH39" s="84" t="str">
        <f>CONCATENATE("a'(",AD39,")=")</f>
        <v>a'(0.5)=</v>
      </c>
      <c r="AI39" s="84">
        <f>2*AI37/2*AE40</f>
        <v>9.1999999999999993</v>
      </c>
      <c r="AJ39" s="84" t="str">
        <f>CONCATENATE("A(",AD38,")=")</f>
        <v>A(0.25)=</v>
      </c>
      <c r="AK39" s="84">
        <f>VLOOKUP(AD38,STN_TABLE,3,FALSE)</f>
        <v>8.4333333333333336</v>
      </c>
      <c r="AL39" t="str">
        <f>CONCATENATE("A(",AD39,")=")</f>
        <v>A(0.5)=</v>
      </c>
      <c r="AM39">
        <f>AI39+AK39</f>
        <v>17.633333333333333</v>
      </c>
      <c r="AO39" s="68" t="str">
        <f>AA39</f>
        <v>A(0.5)=</v>
      </c>
      <c r="AP39" s="68" t="e">
        <f>VLOOKUP(AO39,Rise_Results,2,FALSE)</f>
        <v>#N/A</v>
      </c>
      <c r="AQ39" s="76">
        <f>N39</f>
        <v>17.666666666666664</v>
      </c>
      <c r="AR39" s="76">
        <f>IF(OR(AB39&lt;=0,AB40&lt;=0),1/0,AB39)</f>
        <v>17.646666666666668</v>
      </c>
      <c r="AS39" s="76">
        <f>AM39</f>
        <v>17.633333333333333</v>
      </c>
      <c r="AT39">
        <f>IFERROR(AP39,IFERROR(AQ39,IFERROR(AR39,AS39)))</f>
        <v>17.666666666666664</v>
      </c>
    </row>
    <row r="40" spans="1:47" x14ac:dyDescent="0.25">
      <c r="A40">
        <v>4</v>
      </c>
      <c r="F40" s="82">
        <f>SUM(F37:F39)</f>
        <v>53</v>
      </c>
      <c r="H40" s="82">
        <f>SUM(H37:H39)</f>
        <v>13.65</v>
      </c>
      <c r="I40" s="84" t="str">
        <f>CONCATENATE("m'(",C39,")=")</f>
        <v>m'(0.5)=</v>
      </c>
      <c r="J40" s="84">
        <f>2*(J37*(WLS))/3*H40</f>
        <v>9.1</v>
      </c>
      <c r="K40" s="84" t="str">
        <f>CONCATENATE("M(",C37,")=")</f>
        <v>M(0)=</v>
      </c>
      <c r="L40" s="84">
        <f>VLOOKUP(C37,STN_TABLE,4,FALSE)</f>
        <v>0</v>
      </c>
      <c r="M40" t="str">
        <f>CONCATENATE("M(",C39,")=")</f>
        <v>M(0.5)=</v>
      </c>
      <c r="N40">
        <f>J40+L40</f>
        <v>9.1</v>
      </c>
      <c r="O40" s="99">
        <f>O39+1</f>
        <v>5</v>
      </c>
      <c r="P40" s="99">
        <f t="shared" si="10"/>
        <v>1</v>
      </c>
      <c r="T40" s="89">
        <f>SUM(T37:T39)</f>
        <v>110.56</v>
      </c>
      <c r="V40" s="82">
        <f>SUM(V37:V39)</f>
        <v>111.76</v>
      </c>
      <c r="W40" s="84" t="str">
        <f>CONCATENATE("m'(",Q38,")=")</f>
        <v>m'(0.5)=</v>
      </c>
      <c r="X40" s="84">
        <f>(2*(X37^2)/24*V40)+(X39*Q37*WLS)</f>
        <v>6.9349999999999996</v>
      </c>
      <c r="Y40" s="84" t="str">
        <f>CONCATENATE("M(",Q37,")=")</f>
        <v>M(0.25)=</v>
      </c>
      <c r="Z40" s="84">
        <f>VLOOKUP(Q37,STN_TABLE,4,FALSE)</f>
        <v>2.15</v>
      </c>
      <c r="AA40" t="str">
        <f>CONCATENATE("M(",Q38,")=")</f>
        <v>M(0.5)=</v>
      </c>
      <c r="AB40">
        <f>X40+Z40</f>
        <v>9.0849999999999991</v>
      </c>
      <c r="AE40" s="89">
        <f>SUM(AE38:AE39)</f>
        <v>18.399999999999999</v>
      </c>
      <c r="AG40" s="89">
        <f>SUM(AG38:AG39)</f>
        <v>27.9</v>
      </c>
      <c r="AH40" s="84" t="str">
        <f>CONCATENATE("m'(",AD39,")=")</f>
        <v>m'(0.5)=</v>
      </c>
      <c r="AI40" s="84">
        <f>(2*(AI37^2)/6*AG40)+(AI39*AD38*WLS)</f>
        <v>6.9249999999999989</v>
      </c>
      <c r="AJ40" s="84" t="str">
        <f>CONCATENATE("M(",AD38,")=")</f>
        <v>M(0.25)=</v>
      </c>
      <c r="AK40" s="84">
        <f>VLOOKUP(AD38,STN_TABLE,4,FALSE)</f>
        <v>2.15</v>
      </c>
      <c r="AL40" t="str">
        <f>CONCATENATE("M(",AD39,")=")</f>
        <v>M(0.5)=</v>
      </c>
      <c r="AM40">
        <f>AI40+AK40</f>
        <v>9.0749999999999993</v>
      </c>
      <c r="AO40" s="82" t="str">
        <f>AA40</f>
        <v>M(0.5)=</v>
      </c>
      <c r="AP40" s="82" t="e">
        <f>VLOOKUP(AO40,Rise_Results,2,FALSE)</f>
        <v>#N/A</v>
      </c>
      <c r="AQ40" s="82">
        <f>N40</f>
        <v>9.1</v>
      </c>
      <c r="AR40" s="82">
        <f>IF(OR(AB39&lt;=0,AB40&lt;=0),1/0,AB40)</f>
        <v>9.0849999999999991</v>
      </c>
      <c r="AS40" s="82">
        <f>AM40</f>
        <v>9.0749999999999993</v>
      </c>
      <c r="AT40">
        <f>IFERROR(AP40,IFERROR(AQ40,IFERROR(AR40,AS40)))</f>
        <v>9.1</v>
      </c>
    </row>
    <row r="41" spans="1:47" x14ac:dyDescent="0.25">
      <c r="A41" s="94">
        <v>0</v>
      </c>
      <c r="O41" s="101">
        <f>O36+1</f>
        <v>2</v>
      </c>
      <c r="P41" s="101">
        <f t="shared" si="10"/>
        <v>0.25</v>
      </c>
    </row>
    <row r="42" spans="1:47" x14ac:dyDescent="0.25">
      <c r="A42" s="94">
        <f>A41+1</f>
        <v>1</v>
      </c>
      <c r="B42" s="94">
        <f t="shared" ref="B42:B73" si="11">VLOOKUP(A42,STN_TABLE_2,2,FALSE)</f>
        <v>0</v>
      </c>
      <c r="C42" s="79">
        <f>IF(C43=B43,B42,IF(C43=B44,IF(C44-C43=C43-B43,B43,IF(C44-C43=C43-B42,B42,"NA"))))</f>
        <v>0.25</v>
      </c>
      <c r="D42" s="68">
        <f>VLOOKUP(C42,STN_TABLE,2,FALSE)</f>
        <v>8.9</v>
      </c>
      <c r="E42" s="102">
        <v>1</v>
      </c>
      <c r="F42" s="68">
        <f>D42*E42</f>
        <v>8.9</v>
      </c>
      <c r="G42" s="69">
        <f>C42</f>
        <v>0.25</v>
      </c>
      <c r="H42" s="69">
        <f>F42*G42</f>
        <v>2.2250000000000001</v>
      </c>
      <c r="I42" s="6" t="s">
        <v>93</v>
      </c>
      <c r="J42" s="70">
        <f>IF(OR(D42=0,D43=0,D44=0),"#NA",IF(AND(C44-C43=C43-C42,C43&lt;&gt;C44,C42&lt;&gt;C43,C42&lt;&gt;C44,D44&lt;&gt;0,OR(D42&lt;&gt;0,D43&lt;&gt;0)),WLS*(C44-C43),"#NA"))</f>
        <v>0.5</v>
      </c>
      <c r="O42" s="99">
        <f>O41+1</f>
        <v>3</v>
      </c>
      <c r="P42" s="99">
        <f t="shared" si="10"/>
        <v>0.5</v>
      </c>
      <c r="Q42" s="68">
        <f>IF(OR(P44-P43=P43-P42,P45-P43=P43-P42),P42,IF(OR(P44-P43=P43-P41,P45-P43=P43-P41),P41,"-"))</f>
        <v>0.5</v>
      </c>
      <c r="R42" s="69">
        <f>VLOOKUP(Q42,STN_TABLE,2,FALSE)</f>
        <v>9.5</v>
      </c>
      <c r="S42" s="69">
        <v>5</v>
      </c>
      <c r="T42" s="68">
        <f>R42*S42</f>
        <v>47.5</v>
      </c>
      <c r="U42" s="79">
        <v>3</v>
      </c>
      <c r="V42" s="68">
        <f>R42*U42</f>
        <v>28.5</v>
      </c>
      <c r="W42" s="6" t="s">
        <v>93</v>
      </c>
      <c r="X42" s="70">
        <f>IF(AND(Q44-Q43=Q43-Q42,NOT(AND(Q42=0,Q43=0)),NOT(AND(Q43=0,Q44=0))),WLS*(Q44-Q43),"#NA")</f>
        <v>0.5</v>
      </c>
      <c r="AD42" s="93"/>
      <c r="AH42" s="6" t="s">
        <v>93</v>
      </c>
      <c r="AI42" s="70">
        <f>WLS*(AD44-AD43)</f>
        <v>0.5</v>
      </c>
      <c r="AU42" s="81"/>
    </row>
    <row r="43" spans="1:47" x14ac:dyDescent="0.25">
      <c r="A43" s="94">
        <f>A42+1</f>
        <v>2</v>
      </c>
      <c r="B43" s="94">
        <f t="shared" si="11"/>
        <v>0.25</v>
      </c>
      <c r="C43" s="80">
        <f>IF(OR(B45-B44=B44-B43,B45-B44=B44-B42,),B44,IF(B45-B43=B43-B42,B43,"#NA"))</f>
        <v>0.5</v>
      </c>
      <c r="D43" s="76">
        <f>VLOOKUP(C43,STN_TABLE,2,FALSE)</f>
        <v>9.5</v>
      </c>
      <c r="E43" s="81">
        <v>4</v>
      </c>
      <c r="F43" s="76">
        <f>D43*E43</f>
        <v>38</v>
      </c>
      <c r="G43" s="77">
        <f>C43</f>
        <v>0.5</v>
      </c>
      <c r="H43" s="77">
        <f>F43*G43</f>
        <v>19</v>
      </c>
      <c r="I43" s="496" t="s">
        <v>97</v>
      </c>
      <c r="J43" s="496"/>
      <c r="K43" s="78" t="s">
        <v>98</v>
      </c>
      <c r="L43" s="78"/>
      <c r="M43" s="7" t="s">
        <v>99</v>
      </c>
      <c r="N43" s="7"/>
      <c r="O43" s="99">
        <f>O42+1</f>
        <v>4</v>
      </c>
      <c r="P43" s="99">
        <f t="shared" si="10"/>
        <v>0.75</v>
      </c>
      <c r="Q43" s="76">
        <f>P43</f>
        <v>0.75</v>
      </c>
      <c r="R43" s="77">
        <f>VLOOKUP(Q43,STN_TABLE,2,FALSE)</f>
        <v>9.94</v>
      </c>
      <c r="S43" s="77">
        <v>8</v>
      </c>
      <c r="T43" s="76">
        <f>R43*S43</f>
        <v>79.52</v>
      </c>
      <c r="U43" s="80">
        <v>10</v>
      </c>
      <c r="V43" s="76">
        <f>R43*U43</f>
        <v>99.399999999999991</v>
      </c>
      <c r="W43" s="496" t="s">
        <v>97</v>
      </c>
      <c r="X43" s="496"/>
      <c r="Y43" s="496" t="s">
        <v>98</v>
      </c>
      <c r="Z43" s="496"/>
      <c r="AA43" s="494" t="s">
        <v>99</v>
      </c>
      <c r="AB43" s="494"/>
      <c r="AC43" s="99">
        <f>AC38+1</f>
        <v>3</v>
      </c>
      <c r="AD43" s="95">
        <f>VLOOKUP(AC43,STN_TABLE_2,2,FALSE)</f>
        <v>0.5</v>
      </c>
      <c r="AE43" s="68">
        <f>VLOOKUP(AD43,STN_TABLE,2,FALSE)</f>
        <v>9.5</v>
      </c>
      <c r="AF43" s="68">
        <v>1</v>
      </c>
      <c r="AG43" s="69">
        <f>AE43*AF43</f>
        <v>9.5</v>
      </c>
      <c r="AH43" s="496" t="s">
        <v>97</v>
      </c>
      <c r="AI43" s="496"/>
      <c r="AJ43" s="496" t="s">
        <v>98</v>
      </c>
      <c r="AK43" s="496"/>
      <c r="AL43" s="494" t="s">
        <v>99</v>
      </c>
      <c r="AM43" s="494"/>
      <c r="AP43" s="86" t="s">
        <v>112</v>
      </c>
      <c r="AQ43" s="89" t="s">
        <v>113</v>
      </c>
      <c r="AR43" s="89" t="s">
        <v>114</v>
      </c>
      <c r="AS43" s="89" t="s">
        <v>115</v>
      </c>
      <c r="AU43" s="81"/>
    </row>
    <row r="44" spans="1:47" x14ac:dyDescent="0.25">
      <c r="A44" s="94">
        <f>A43+1</f>
        <v>3</v>
      </c>
      <c r="B44" s="94">
        <f t="shared" si="11"/>
        <v>0.5</v>
      </c>
      <c r="C44" s="88">
        <f>B45</f>
        <v>0.75</v>
      </c>
      <c r="D44" s="82">
        <f>VLOOKUP(C44,STN_TABLE,2,FALSE)</f>
        <v>9.94</v>
      </c>
      <c r="E44" s="92">
        <v>1</v>
      </c>
      <c r="F44" s="82">
        <f>D44*E44</f>
        <v>9.94</v>
      </c>
      <c r="G44" s="83">
        <f>C44</f>
        <v>0.75</v>
      </c>
      <c r="H44" s="83">
        <f>F44*G44</f>
        <v>7.4550000000000001</v>
      </c>
      <c r="I44" s="84" t="str">
        <f>CONCATENATE("a'(",C44,")=")</f>
        <v>a'(0.75)=</v>
      </c>
      <c r="J44" s="84">
        <f>2*J42/3*F45</f>
        <v>18.946666666666665</v>
      </c>
      <c r="K44" s="84" t="str">
        <f>CONCATENATE("A(",C42,")=")</f>
        <v>A(0.25)=</v>
      </c>
      <c r="L44" s="84">
        <f>VLOOKUP(C42,STN_TABLE,3,FALSE)</f>
        <v>8.4333333333333336</v>
      </c>
      <c r="M44" t="str">
        <f>CONCATENATE("A(",C44,")=")</f>
        <v>A(0.75)=</v>
      </c>
      <c r="N44">
        <f>J44+L44</f>
        <v>27.38</v>
      </c>
      <c r="O44" s="99">
        <f>O43+1</f>
        <v>5</v>
      </c>
      <c r="P44" s="99">
        <f t="shared" si="10"/>
        <v>1</v>
      </c>
      <c r="Q44" s="82">
        <f>IF(P44-P43=P43-P42,P44,IF(P45-P43=P43-P42,P45,IF(P44-P43=P43-P41,P44,IF(P45-P43=P43-P41,P45,"-"))))</f>
        <v>1</v>
      </c>
      <c r="R44" s="83">
        <f>VLOOKUP(Q44,STN_TABLE,2,FALSE)</f>
        <v>10.199999999999999</v>
      </c>
      <c r="S44" s="83">
        <v>-1</v>
      </c>
      <c r="T44" s="82">
        <f>R44*S44</f>
        <v>-10.199999999999999</v>
      </c>
      <c r="U44" s="88">
        <v>-1</v>
      </c>
      <c r="V44" s="82">
        <f>R44*U44</f>
        <v>-10.199999999999999</v>
      </c>
      <c r="W44" s="84" t="str">
        <f>CONCATENATE("a'(",Q43,")=")</f>
        <v>a'(0.75)=</v>
      </c>
      <c r="X44" s="84">
        <f>2*X42/12*T45</f>
        <v>9.7349999999999994</v>
      </c>
      <c r="Y44" s="84" t="str">
        <f>CONCATENATE("A(",Q42,")=")</f>
        <v>A(0.5)=</v>
      </c>
      <c r="Z44" s="84">
        <f>VLOOKUP(Q42,STN_TABLE,3,FALSE)</f>
        <v>17.666666666666664</v>
      </c>
      <c r="AA44" t="str">
        <f>CONCATENATE("A(",Q43,")=")</f>
        <v>A(0.75)=</v>
      </c>
      <c r="AB44">
        <f>X44+Z44</f>
        <v>27.401666666666664</v>
      </c>
      <c r="AC44" s="99">
        <f>AC43+1</f>
        <v>4</v>
      </c>
      <c r="AD44" s="100">
        <f>VLOOKUP(AC44,STN_TABLE_2,2,FALSE)</f>
        <v>0.75</v>
      </c>
      <c r="AE44" s="82">
        <f>VLOOKUP(AD44,STN_TABLE,2,FALSE)</f>
        <v>9.94</v>
      </c>
      <c r="AF44" s="82">
        <v>2</v>
      </c>
      <c r="AG44" s="83">
        <f>AE44*AF44</f>
        <v>19.88</v>
      </c>
      <c r="AH44" s="84" t="str">
        <f>CONCATENATE("a'(",AD44,")=")</f>
        <v>a'(0.75)=</v>
      </c>
      <c r="AI44" s="84">
        <f>2*AI42/2*AE45</f>
        <v>9.7199999999999989</v>
      </c>
      <c r="AJ44" s="84" t="str">
        <f>CONCATENATE("A(",AD43,")=")</f>
        <v>A(0.5)=</v>
      </c>
      <c r="AK44" s="84">
        <f>VLOOKUP(AD43,STN_TABLE,3,FALSE)</f>
        <v>17.666666666666664</v>
      </c>
      <c r="AL44" t="str">
        <f>CONCATENATE("A(",AD44,")=")</f>
        <v>A(0.75)=</v>
      </c>
      <c r="AM44">
        <f>AI44+AK44</f>
        <v>27.386666666666663</v>
      </c>
      <c r="AO44" s="68" t="str">
        <f>AA44</f>
        <v>A(0.75)=</v>
      </c>
      <c r="AP44" s="68" t="e">
        <f>VLOOKUP(AO44,Rise_Results,2,FALSE)</f>
        <v>#N/A</v>
      </c>
      <c r="AQ44" s="76">
        <f>N44</f>
        <v>27.38</v>
      </c>
      <c r="AR44" s="76">
        <f>IF(OR(AB44&lt;=0,AB45&lt;=0),1/0,AB44)</f>
        <v>27.401666666666664</v>
      </c>
      <c r="AS44" s="76">
        <f>AM44</f>
        <v>27.386666666666663</v>
      </c>
      <c r="AT44">
        <f>IFERROR(AP44,IFERROR(AQ44,IFERROR(AR44,AS44)))</f>
        <v>27.38</v>
      </c>
      <c r="AU44" s="81"/>
    </row>
    <row r="45" spans="1:47" x14ac:dyDescent="0.25">
      <c r="A45" s="94">
        <f>A44+1</f>
        <v>4</v>
      </c>
      <c r="B45" s="94">
        <f t="shared" si="11"/>
        <v>0.75</v>
      </c>
      <c r="F45" s="82">
        <f>SUM(F42:F44)</f>
        <v>56.839999999999996</v>
      </c>
      <c r="H45" s="82">
        <f>SUM(H42:H44)</f>
        <v>28.68</v>
      </c>
      <c r="I45" s="84" t="str">
        <f>CONCATENATE("m'(",C44,")=")</f>
        <v>m'(0.75)=</v>
      </c>
      <c r="J45" s="84">
        <f>2*(J42*(WLS))/3*H45</f>
        <v>19.119999999999997</v>
      </c>
      <c r="K45" s="84" t="str">
        <f>CONCATENATE("M(",C42,")=")</f>
        <v>M(0.25)=</v>
      </c>
      <c r="L45" s="84">
        <f>VLOOKUP(C42,STN_TABLE,4,FALSE)</f>
        <v>2.15</v>
      </c>
      <c r="M45" t="str">
        <f>CONCATENATE("M(",C44,")=")</f>
        <v>M(0.75)=</v>
      </c>
      <c r="N45">
        <f>J45+L45</f>
        <v>21.269999999999996</v>
      </c>
      <c r="O45" s="99">
        <f>O44+1</f>
        <v>6</v>
      </c>
      <c r="P45" s="99">
        <f t="shared" si="10"/>
        <v>2</v>
      </c>
      <c r="T45" s="89">
        <f>SUM(T42:T44)</f>
        <v>116.82</v>
      </c>
      <c r="V45" s="82">
        <f>SUM(V42:V44)</f>
        <v>117.69999999999999</v>
      </c>
      <c r="W45" s="84" t="str">
        <f>CONCATENATE("m'(",Q43,")=")</f>
        <v>m'(0.75)=</v>
      </c>
      <c r="X45" s="84">
        <f>(2*(X42^2)/24*V45)+(X44*Q42*WLS)</f>
        <v>12.187083333333332</v>
      </c>
      <c r="Y45" s="84" t="str">
        <f>CONCATENATE("M(",Q42,")=")</f>
        <v>M(0.5)=</v>
      </c>
      <c r="Z45" s="84">
        <f>VLOOKUP(Q42,STN_TABLE,4,FALSE)</f>
        <v>9.1</v>
      </c>
      <c r="AA45" t="str">
        <f>CONCATENATE("M(",Q43,")=")</f>
        <v>M(0.75)=</v>
      </c>
      <c r="AB45">
        <f>X45+Z45</f>
        <v>21.287083333333332</v>
      </c>
      <c r="AE45" s="89">
        <f>SUM(AE43:AE44)</f>
        <v>19.439999999999998</v>
      </c>
      <c r="AG45" s="89">
        <f>SUM(AG43:AG44)</f>
        <v>29.38</v>
      </c>
      <c r="AH45" s="84" t="str">
        <f>CONCATENATE("m'(",AD44,")=")</f>
        <v>m'(0.75)=</v>
      </c>
      <c r="AI45" s="84">
        <f>(2*(AI42^2)/6*AG45)+(AI44*AD43*WLS)</f>
        <v>12.168333333333333</v>
      </c>
      <c r="AJ45" s="84" t="str">
        <f>CONCATENATE("M(",AD43,")=")</f>
        <v>M(0.5)=</v>
      </c>
      <c r="AK45" s="84">
        <f>VLOOKUP(AD43,STN_TABLE,4,FALSE)</f>
        <v>9.1</v>
      </c>
      <c r="AL45" t="str">
        <f>CONCATENATE("M(",AD44,")=")</f>
        <v>M(0.75)=</v>
      </c>
      <c r="AM45">
        <f>AI45+AK45</f>
        <v>21.268333333333331</v>
      </c>
      <c r="AO45" s="82" t="str">
        <f>AA45</f>
        <v>M(0.75)=</v>
      </c>
      <c r="AP45" s="82" t="e">
        <f>VLOOKUP(AO45,Rise_Results,2,FALSE)</f>
        <v>#N/A</v>
      </c>
      <c r="AQ45" s="82">
        <f>N45</f>
        <v>21.269999999999996</v>
      </c>
      <c r="AR45" s="82">
        <f>IF(OR(AB44&lt;=0,AB45&lt;=0),1/0,AB45)</f>
        <v>21.287083333333332</v>
      </c>
      <c r="AS45" s="82">
        <f>AM45</f>
        <v>21.268333333333331</v>
      </c>
      <c r="AT45">
        <f>IFERROR(AP45,IFERROR(AQ45,IFERROR(AR45,AS45)))</f>
        <v>21.269999999999996</v>
      </c>
      <c r="AU45" s="81"/>
    </row>
    <row r="46" spans="1:47" x14ac:dyDescent="0.25">
      <c r="A46" s="101">
        <f>A41+1</f>
        <v>1</v>
      </c>
      <c r="B46" s="101">
        <f t="shared" si="11"/>
        <v>0</v>
      </c>
      <c r="O46" s="101">
        <f>O41+1</f>
        <v>3</v>
      </c>
      <c r="P46" s="101">
        <f t="shared" si="10"/>
        <v>0.5</v>
      </c>
      <c r="AU46" s="81"/>
    </row>
    <row r="47" spans="1:47" x14ac:dyDescent="0.25">
      <c r="A47" s="84">
        <f>A46+1</f>
        <v>2</v>
      </c>
      <c r="B47" s="84">
        <f t="shared" si="11"/>
        <v>0.25</v>
      </c>
      <c r="C47" s="79">
        <f>IF(C48=B49,IF(C49-C48=C48-B48,B48,IF(C49-C48=C48-B47,B47,"#NA")),IF(C48=B48,IF(C49-C48=C48-B47,B47,IF(C49-C48=C48-B46,B46,"#NA")),"#NA"))</f>
        <v>0.5</v>
      </c>
      <c r="D47" s="68">
        <f>VLOOKUP(C47,STN_TABLE,2,FALSE)</f>
        <v>9.5</v>
      </c>
      <c r="E47" s="102">
        <v>1</v>
      </c>
      <c r="F47" s="68">
        <f>D47*E47</f>
        <v>9.5</v>
      </c>
      <c r="G47" s="69">
        <f>C47</f>
        <v>0.5</v>
      </c>
      <c r="H47" s="69">
        <f>F47*G47</f>
        <v>4.75</v>
      </c>
      <c r="I47" s="6" t="s">
        <v>93</v>
      </c>
      <c r="J47" s="70">
        <f>IF(OR(D47=0,D48=0,D49=0),"#NA",IF(AND(C49-C48=C48-C47,C48&lt;&gt;C49,C47&lt;&gt;C48,C47&lt;&gt;C49,D49&lt;&gt;0,OR(D47&lt;&gt;0,D48&lt;&gt;0)),WLS*(C49-C48),"#NA"))</f>
        <v>0.5</v>
      </c>
      <c r="O47" s="99">
        <f>O46+1</f>
        <v>4</v>
      </c>
      <c r="P47" s="99">
        <f t="shared" si="10"/>
        <v>0.75</v>
      </c>
      <c r="Q47" s="68" t="str">
        <f>IF(OR(P49-P48=P48-P47,P50-P48=P48-P47),P47,IF(OR(P49-P48=P48-P46,P50-P48=P48-P46),P46,"-"))</f>
        <v>-</v>
      </c>
      <c r="R47" s="69" t="e">
        <f>VLOOKUP(Q47,STN_TABLE,2,FALSE)</f>
        <v>#N/A</v>
      </c>
      <c r="S47" s="69">
        <v>5</v>
      </c>
      <c r="T47" s="68" t="e">
        <f>R47*S47</f>
        <v>#N/A</v>
      </c>
      <c r="U47" s="79">
        <v>3</v>
      </c>
      <c r="V47" s="68" t="e">
        <f>R47*U47</f>
        <v>#N/A</v>
      </c>
      <c r="W47" s="6" t="s">
        <v>93</v>
      </c>
      <c r="X47" s="70" t="e">
        <f>IF(AND(Q49-Q48=Q48-Q47,NOT(AND(Q47=0,Q48=0)),NOT(AND(Q48=0,Q49=0))),WLS*(Q49-Q48),"#NA")</f>
        <v>#VALUE!</v>
      </c>
      <c r="AD47" s="93"/>
      <c r="AH47" s="6" t="s">
        <v>93</v>
      </c>
      <c r="AI47" s="70">
        <f>WLS*(AD49-AD48)</f>
        <v>0.5</v>
      </c>
      <c r="AU47" s="81"/>
    </row>
    <row r="48" spans="1:47" x14ac:dyDescent="0.25">
      <c r="A48" s="84">
        <f>A47+1</f>
        <v>3</v>
      </c>
      <c r="B48" s="84">
        <f t="shared" si="11"/>
        <v>0.5</v>
      </c>
      <c r="C48" s="80">
        <f>IF(OR(B50-B49=B49-B48,B50-B49=B49-B47,B50-B49=B49-B46),B49,IF(OR(B50-B48=B48-B47,B50-B48=B48-B46),B48,IF(B50-B47=B47-B46,B47,"#NA")))</f>
        <v>0.75</v>
      </c>
      <c r="D48" s="76">
        <f>VLOOKUP(C48,STN_TABLE,2,FALSE)</f>
        <v>9.94</v>
      </c>
      <c r="E48" s="81">
        <v>4</v>
      </c>
      <c r="F48" s="76">
        <f>D48*E48</f>
        <v>39.76</v>
      </c>
      <c r="G48" s="77">
        <f>C48</f>
        <v>0.75</v>
      </c>
      <c r="H48" s="77">
        <f>F48*G48</f>
        <v>29.82</v>
      </c>
      <c r="I48" s="496" t="s">
        <v>97</v>
      </c>
      <c r="J48" s="496"/>
      <c r="K48" s="78" t="s">
        <v>98</v>
      </c>
      <c r="L48" s="78"/>
      <c r="M48" s="7" t="s">
        <v>99</v>
      </c>
      <c r="N48" s="7"/>
      <c r="O48" s="99">
        <f>O47+1</f>
        <v>5</v>
      </c>
      <c r="P48" s="99">
        <f t="shared" si="10"/>
        <v>1</v>
      </c>
      <c r="Q48" s="76">
        <f>P48</f>
        <v>1</v>
      </c>
      <c r="R48" s="77">
        <f>VLOOKUP(Q48,STN_TABLE,2,FALSE)</f>
        <v>10.199999999999999</v>
      </c>
      <c r="S48" s="77">
        <v>8</v>
      </c>
      <c r="T48" s="76">
        <f>R48*S48</f>
        <v>81.599999999999994</v>
      </c>
      <c r="U48" s="80">
        <v>10</v>
      </c>
      <c r="V48" s="76">
        <f>R48*U48</f>
        <v>102</v>
      </c>
      <c r="W48" s="496" t="s">
        <v>97</v>
      </c>
      <c r="X48" s="496"/>
      <c r="Y48" s="496" t="s">
        <v>98</v>
      </c>
      <c r="Z48" s="496"/>
      <c r="AA48" s="494" t="s">
        <v>99</v>
      </c>
      <c r="AB48" s="494"/>
      <c r="AC48" s="99">
        <f>AC43+1</f>
        <v>4</v>
      </c>
      <c r="AD48" s="95">
        <f>VLOOKUP(AC48,STN_TABLE_2,2,FALSE)</f>
        <v>0.75</v>
      </c>
      <c r="AE48" s="68">
        <f>VLOOKUP(AD48,STN_TABLE,2,FALSE)</f>
        <v>9.94</v>
      </c>
      <c r="AF48" s="68">
        <v>1</v>
      </c>
      <c r="AG48" s="69">
        <f>AE48*AF48</f>
        <v>9.94</v>
      </c>
      <c r="AH48" s="496" t="s">
        <v>97</v>
      </c>
      <c r="AI48" s="496"/>
      <c r="AJ48" s="496" t="s">
        <v>98</v>
      </c>
      <c r="AK48" s="496"/>
      <c r="AL48" s="494" t="s">
        <v>99</v>
      </c>
      <c r="AM48" s="494"/>
      <c r="AP48" s="86" t="s">
        <v>112</v>
      </c>
      <c r="AQ48" s="89" t="s">
        <v>113</v>
      </c>
      <c r="AR48" s="89" t="s">
        <v>114</v>
      </c>
      <c r="AS48" s="89" t="s">
        <v>115</v>
      </c>
      <c r="AU48" s="81"/>
    </row>
    <row r="49" spans="1:47" x14ac:dyDescent="0.25">
      <c r="A49" s="84">
        <f>A48+1</f>
        <v>4</v>
      </c>
      <c r="B49" s="84">
        <f t="shared" si="11"/>
        <v>0.75</v>
      </c>
      <c r="C49" s="88">
        <f>B50</f>
        <v>1</v>
      </c>
      <c r="D49" s="82">
        <f>VLOOKUP(C49,STN_TABLE,2,FALSE)</f>
        <v>10.199999999999999</v>
      </c>
      <c r="E49" s="92">
        <v>1</v>
      </c>
      <c r="F49" s="82">
        <f>D49*E49</f>
        <v>10.199999999999999</v>
      </c>
      <c r="G49" s="83">
        <f>C49</f>
        <v>1</v>
      </c>
      <c r="H49" s="83">
        <f>F49*G49</f>
        <v>10.199999999999999</v>
      </c>
      <c r="I49" s="84" t="str">
        <f>CONCATENATE("a'(",C49,")=")</f>
        <v>a'(1)=</v>
      </c>
      <c r="J49" s="84">
        <f>2*J47/3*F50</f>
        <v>19.819999999999997</v>
      </c>
      <c r="K49" s="84" t="str">
        <f>CONCATENATE("A(",C47,")=")</f>
        <v>A(0.5)=</v>
      </c>
      <c r="L49" s="84">
        <f>VLOOKUP(C47,STN_TABLE,3,FALSE)</f>
        <v>17.666666666666664</v>
      </c>
      <c r="M49" t="str">
        <f>CONCATENATE("A(",C49,")=")</f>
        <v>A(1)=</v>
      </c>
      <c r="N49">
        <f>J49+L49</f>
        <v>37.486666666666665</v>
      </c>
      <c r="O49" s="99">
        <f>O48+1</f>
        <v>6</v>
      </c>
      <c r="P49" s="99">
        <f t="shared" si="10"/>
        <v>2</v>
      </c>
      <c r="Q49" s="82" t="str">
        <f>IF(P49-P48=P48-P47,P49,IF(P50-P48=P48-P47,P50,IF(P49-P48=P48-P46,P49,IF(P50-P48=P48-P46,P50,"-"))))</f>
        <v>-</v>
      </c>
      <c r="R49" s="83" t="e">
        <f>VLOOKUP(Q49,STN_TABLE,2,FALSE)</f>
        <v>#N/A</v>
      </c>
      <c r="S49" s="83">
        <v>-1</v>
      </c>
      <c r="T49" s="82" t="e">
        <f>R49*S49</f>
        <v>#N/A</v>
      </c>
      <c r="U49" s="88">
        <v>-1</v>
      </c>
      <c r="V49" s="82" t="e">
        <f>R49*U49</f>
        <v>#N/A</v>
      </c>
      <c r="W49" s="84" t="str">
        <f>CONCATENATE("a'(",Q48,")=")</f>
        <v>a'(1)=</v>
      </c>
      <c r="X49" s="84" t="e">
        <f>2*X47/12*T50</f>
        <v>#VALUE!</v>
      </c>
      <c r="Y49" s="84" t="str">
        <f>CONCATENATE("A(",Q47,")=")</f>
        <v>A(-)=</v>
      </c>
      <c r="Z49" s="84" t="e">
        <f>VLOOKUP(Q47,STN_TABLE,3,FALSE)</f>
        <v>#N/A</v>
      </c>
      <c r="AA49" t="str">
        <f>CONCATENATE("A(",Q48,")=")</f>
        <v>A(1)=</v>
      </c>
      <c r="AB49" t="e">
        <f>X49+Z49</f>
        <v>#VALUE!</v>
      </c>
      <c r="AC49" s="99">
        <f>AC48+1</f>
        <v>5</v>
      </c>
      <c r="AD49" s="100">
        <f>VLOOKUP(AC49,STN_TABLE_2,2,FALSE)</f>
        <v>1</v>
      </c>
      <c r="AE49" s="82">
        <f>VLOOKUP(AD49,STN_TABLE,2,FALSE)</f>
        <v>10.199999999999999</v>
      </c>
      <c r="AF49" s="82">
        <v>2</v>
      </c>
      <c r="AG49" s="83">
        <f>AE49*AF49</f>
        <v>20.399999999999999</v>
      </c>
      <c r="AH49" s="84" t="str">
        <f>CONCATENATE("a'(",AD49,")=")</f>
        <v>a'(1)=</v>
      </c>
      <c r="AI49" s="84">
        <f>2*AI47/2*AE50</f>
        <v>10.07</v>
      </c>
      <c r="AJ49" s="84" t="str">
        <f>CONCATENATE("A(",AD48,")=")</f>
        <v>A(0.75)=</v>
      </c>
      <c r="AK49" s="84">
        <f>VLOOKUP(AD48,STN_TABLE,3,FALSE)</f>
        <v>27.38</v>
      </c>
      <c r="AL49" t="str">
        <f>CONCATENATE("A(",AD49,")=")</f>
        <v>A(1)=</v>
      </c>
      <c r="AM49">
        <f>AI49+AK49</f>
        <v>37.450000000000003</v>
      </c>
      <c r="AO49" s="68" t="str">
        <f>AA49</f>
        <v>A(1)=</v>
      </c>
      <c r="AP49" s="68" t="e">
        <f>VLOOKUP(AO49,Rise_Results,2,FALSE)</f>
        <v>#N/A</v>
      </c>
      <c r="AQ49" s="76">
        <f>N49</f>
        <v>37.486666666666665</v>
      </c>
      <c r="AR49" s="76" t="e">
        <f>IF(OR(AB49&lt;=0,AB50&lt;=0),1/0,AB49)</f>
        <v>#VALUE!</v>
      </c>
      <c r="AS49" s="76">
        <f>AM49</f>
        <v>37.450000000000003</v>
      </c>
      <c r="AT49">
        <f>IFERROR(AP49,IFERROR(AQ49,IFERROR(AR49,AS49)))</f>
        <v>37.486666666666665</v>
      </c>
      <c r="AU49" s="81"/>
    </row>
    <row r="50" spans="1:47" x14ac:dyDescent="0.25">
      <c r="A50" s="84">
        <f>A49+1</f>
        <v>5</v>
      </c>
      <c r="B50" s="84">
        <f t="shared" si="11"/>
        <v>1</v>
      </c>
      <c r="F50" s="82">
        <f>SUM(F47:F49)</f>
        <v>59.459999999999994</v>
      </c>
      <c r="H50" s="82">
        <f>SUM(H47:H49)</f>
        <v>44.769999999999996</v>
      </c>
      <c r="I50" s="84" t="str">
        <f>CONCATENATE("m'(",C49,")=")</f>
        <v>m'(1)=</v>
      </c>
      <c r="J50" s="84">
        <f>2*(J47*(WLS))/3*H50</f>
        <v>29.846666666666664</v>
      </c>
      <c r="K50" s="84" t="str">
        <f>CONCATENATE("M(",C47,")=")</f>
        <v>M(0.5)=</v>
      </c>
      <c r="L50" s="84">
        <f>VLOOKUP(C47,STN_TABLE,4,FALSE)</f>
        <v>9.1</v>
      </c>
      <c r="M50" t="str">
        <f>CONCATENATE("M(",C49,")=")</f>
        <v>M(1)=</v>
      </c>
      <c r="N50">
        <f>J50+L50</f>
        <v>38.946666666666665</v>
      </c>
      <c r="O50" s="99">
        <f>O49+1</f>
        <v>7</v>
      </c>
      <c r="P50" s="99">
        <f t="shared" si="10"/>
        <v>3</v>
      </c>
      <c r="T50" s="89" t="e">
        <f>SUM(T47:T49)</f>
        <v>#N/A</v>
      </c>
      <c r="V50" s="82" t="e">
        <f>SUM(V47:V49)</f>
        <v>#N/A</v>
      </c>
      <c r="W50" s="84" t="str">
        <f>CONCATENATE("m'(",Q48,")=")</f>
        <v>m'(1)=</v>
      </c>
      <c r="X50" s="84" t="e">
        <f>(2*(X47^2)/24*V50)+(X49*Q47*WLS)</f>
        <v>#VALUE!</v>
      </c>
      <c r="Y50" s="84" t="str">
        <f>CONCATENATE("M(",Q47,")=")</f>
        <v>M(-)=</v>
      </c>
      <c r="Z50" s="84" t="e">
        <f>VLOOKUP(Q47,STN_TABLE,4,FALSE)</f>
        <v>#N/A</v>
      </c>
      <c r="AA50" t="str">
        <f>CONCATENATE("M(",Q48,")=")</f>
        <v>M(1)=</v>
      </c>
      <c r="AB50" t="e">
        <f>X50+Z50</f>
        <v>#VALUE!</v>
      </c>
      <c r="AE50" s="89">
        <f>SUM(AE48:AE49)</f>
        <v>20.14</v>
      </c>
      <c r="AG50" s="89">
        <f>SUM(AG48:AG49)</f>
        <v>30.339999999999996</v>
      </c>
      <c r="AH50" s="84" t="str">
        <f>CONCATENATE("m'(",AD49,")=")</f>
        <v>m'(1)=</v>
      </c>
      <c r="AI50" s="84">
        <f>(2*(AI47^2)/6*AG50)+(AI49*AD48*WLS)</f>
        <v>17.633333333333333</v>
      </c>
      <c r="AJ50" s="84" t="str">
        <f>CONCATENATE("M(",AD48,")=")</f>
        <v>M(0.75)=</v>
      </c>
      <c r="AK50" s="84">
        <f>VLOOKUP(AD48,STN_TABLE,4,FALSE)</f>
        <v>21.269999999999996</v>
      </c>
      <c r="AL50" t="str">
        <f>CONCATENATE("M(",AD49,")=")</f>
        <v>M(1)=</v>
      </c>
      <c r="AM50">
        <f>AI50+AK50</f>
        <v>38.903333333333329</v>
      </c>
      <c r="AO50" s="82" t="str">
        <f>AA50</f>
        <v>M(1)=</v>
      </c>
      <c r="AP50" s="82" t="e">
        <f>VLOOKUP(AO50,Rise_Results,2,FALSE)</f>
        <v>#N/A</v>
      </c>
      <c r="AQ50" s="82">
        <f>N50</f>
        <v>38.946666666666665</v>
      </c>
      <c r="AR50" s="82" t="e">
        <f>IF(OR(AB49&lt;=0,AB50&lt;=0),1/0,AB50)</f>
        <v>#VALUE!</v>
      </c>
      <c r="AS50" s="82">
        <f>AM50</f>
        <v>38.903333333333329</v>
      </c>
      <c r="AT50">
        <f>IFERROR(AP50,IFERROR(AQ50,IFERROR(AR50,AS50)))</f>
        <v>38.946666666666665</v>
      </c>
      <c r="AU50" s="81"/>
    </row>
    <row r="51" spans="1:47" x14ac:dyDescent="0.25">
      <c r="A51" s="101">
        <f>A46+1</f>
        <v>2</v>
      </c>
      <c r="B51" s="101">
        <f t="shared" si="11"/>
        <v>0.25</v>
      </c>
      <c r="O51" s="101">
        <f>O46+1</f>
        <v>4</v>
      </c>
      <c r="P51" s="101">
        <f t="shared" si="10"/>
        <v>0.75</v>
      </c>
      <c r="AU51" s="81"/>
    </row>
    <row r="52" spans="1:47" x14ac:dyDescent="0.25">
      <c r="A52" s="84">
        <f>A51+1</f>
        <v>3</v>
      </c>
      <c r="B52" s="84">
        <f t="shared" si="11"/>
        <v>0.5</v>
      </c>
      <c r="C52" s="79" t="str">
        <f t="shared" ref="C52" si="12">IF(C53=B54,IF(C54-C53=C53-B53,B53,IF(C54-C53=C53-B52,B52,"#NA")),IF(C53=B53,IF(C54-C53=C53-B52,B52,IF(C54-C53=C53-B51,B51,"#NA")),"#NA"))</f>
        <v>#NA</v>
      </c>
      <c r="D52" s="68" t="e">
        <f>VLOOKUP(C52,STN_TABLE,2,FALSE)</f>
        <v>#N/A</v>
      </c>
      <c r="E52" s="102">
        <v>1</v>
      </c>
      <c r="F52" s="68" t="e">
        <f>D52*E52</f>
        <v>#N/A</v>
      </c>
      <c r="G52" s="69" t="str">
        <f>C52</f>
        <v>#NA</v>
      </c>
      <c r="H52" s="69" t="e">
        <f>F52*G52</f>
        <v>#N/A</v>
      </c>
      <c r="I52" s="6" t="s">
        <v>93</v>
      </c>
      <c r="J52" s="70" t="e">
        <f>IF(OR(D52=0,D53=0,D54=0),"#NA",IF(AND(C54-C53=C53-C52,C53&lt;&gt;C54,C52&lt;&gt;C53,C52&lt;&gt;C54,D54&lt;&gt;0,OR(D52&lt;&gt;0,D53&lt;&gt;0)),WLS*(C54-C53),"#NA"))</f>
        <v>#N/A</v>
      </c>
      <c r="O52" s="99">
        <f>O51+1</f>
        <v>5</v>
      </c>
      <c r="P52" s="99">
        <f t="shared" si="10"/>
        <v>1</v>
      </c>
      <c r="Q52" s="68">
        <f>IF(OR(P54-P53=P53-P52,P55-P53=P53-P52),P52,IF(OR(P54-P53=P53-P51,P55-P53=P53-P51),P51,"-"))</f>
        <v>1</v>
      </c>
      <c r="R52" s="69">
        <f>VLOOKUP(Q52,STN_TABLE,2,FALSE)</f>
        <v>10.199999999999999</v>
      </c>
      <c r="S52" s="69">
        <v>5</v>
      </c>
      <c r="T52" s="68">
        <f>R52*S52</f>
        <v>51</v>
      </c>
      <c r="U52" s="79">
        <v>3</v>
      </c>
      <c r="V52" s="68">
        <f>R52*U52</f>
        <v>30.599999999999998</v>
      </c>
      <c r="W52" s="6" t="s">
        <v>93</v>
      </c>
      <c r="X52" s="70">
        <f>IF(AND(Q54-Q53=Q53-Q52,NOT(AND(Q52=0,Q53=0)),NOT(AND(Q53=0,Q54=0))),WLS*(Q54-Q53),"#NA")</f>
        <v>2</v>
      </c>
      <c r="AD52" s="93"/>
      <c r="AH52" s="6" t="s">
        <v>93</v>
      </c>
      <c r="AI52" s="70">
        <f>WLS*(AD54-AD53)</f>
        <v>2</v>
      </c>
      <c r="AU52" s="81"/>
    </row>
    <row r="53" spans="1:47" x14ac:dyDescent="0.25">
      <c r="A53" s="84">
        <f>A52+1</f>
        <v>4</v>
      </c>
      <c r="B53" s="84">
        <f t="shared" si="11"/>
        <v>0.75</v>
      </c>
      <c r="C53" s="80" t="str">
        <f t="shared" ref="C53" si="13">IF(OR(B55-B54=B54-B53,B55-B54=B54-B52,B55-B54=B54-B51),B54,IF(OR(B55-B53=B53-B52,B55-B53=B53-B51),B53,IF(B55-B52=B52-B51,B52,"#NA")))</f>
        <v>#NA</v>
      </c>
      <c r="D53" s="76" t="e">
        <f>VLOOKUP(C53,STN_TABLE,2,FALSE)</f>
        <v>#N/A</v>
      </c>
      <c r="E53" s="81">
        <v>4</v>
      </c>
      <c r="F53" s="76" t="e">
        <f>D53*E53</f>
        <v>#N/A</v>
      </c>
      <c r="G53" s="77" t="str">
        <f>C53</f>
        <v>#NA</v>
      </c>
      <c r="H53" s="77" t="e">
        <f>F53*G53</f>
        <v>#N/A</v>
      </c>
      <c r="I53" s="495" t="s">
        <v>97</v>
      </c>
      <c r="J53" s="496"/>
      <c r="K53" s="78" t="s">
        <v>98</v>
      </c>
      <c r="L53" s="78"/>
      <c r="M53" s="7" t="s">
        <v>99</v>
      </c>
      <c r="N53" s="7"/>
      <c r="O53" s="99">
        <f>O52+1</f>
        <v>6</v>
      </c>
      <c r="P53" s="99">
        <f t="shared" si="10"/>
        <v>2</v>
      </c>
      <c r="Q53" s="76">
        <f>P53</f>
        <v>2</v>
      </c>
      <c r="R53" s="77">
        <f>VLOOKUP(Q53,STN_TABLE,2,FALSE)</f>
        <v>10.8</v>
      </c>
      <c r="S53" s="77">
        <v>8</v>
      </c>
      <c r="T53" s="76">
        <f>R53*S53</f>
        <v>86.4</v>
      </c>
      <c r="U53" s="80">
        <v>10</v>
      </c>
      <c r="V53" s="76">
        <f>R53*U53</f>
        <v>108</v>
      </c>
      <c r="W53" s="496" t="s">
        <v>97</v>
      </c>
      <c r="X53" s="496"/>
      <c r="Y53" s="496" t="s">
        <v>98</v>
      </c>
      <c r="Z53" s="496"/>
      <c r="AA53" s="494" t="s">
        <v>99</v>
      </c>
      <c r="AB53" s="494"/>
      <c r="AC53" s="99">
        <f>AC48+1</f>
        <v>5</v>
      </c>
      <c r="AD53" s="95">
        <f>VLOOKUP(AC53,STN_TABLE_2,2,FALSE)</f>
        <v>1</v>
      </c>
      <c r="AE53" s="68">
        <f>VLOOKUP(AD53,STN_TABLE,2,FALSE)</f>
        <v>10.199999999999999</v>
      </c>
      <c r="AF53" s="68">
        <v>1</v>
      </c>
      <c r="AG53" s="69">
        <f>AE53*AF53</f>
        <v>10.199999999999999</v>
      </c>
      <c r="AH53" s="496" t="s">
        <v>97</v>
      </c>
      <c r="AI53" s="496"/>
      <c r="AJ53" s="496" t="s">
        <v>98</v>
      </c>
      <c r="AK53" s="496"/>
      <c r="AL53" s="494" t="s">
        <v>99</v>
      </c>
      <c r="AM53" s="494"/>
      <c r="AP53" s="86" t="s">
        <v>112</v>
      </c>
      <c r="AQ53" s="89" t="s">
        <v>113</v>
      </c>
      <c r="AR53" s="89" t="s">
        <v>114</v>
      </c>
      <c r="AS53" s="89" t="s">
        <v>115</v>
      </c>
      <c r="AU53" s="81"/>
    </row>
    <row r="54" spans="1:47" x14ac:dyDescent="0.25">
      <c r="A54" s="84">
        <f>A53+1</f>
        <v>5</v>
      </c>
      <c r="B54" s="84">
        <f t="shared" si="11"/>
        <v>1</v>
      </c>
      <c r="C54" s="88">
        <f t="shared" ref="C54" si="14">B55</f>
        <v>2</v>
      </c>
      <c r="D54" s="82">
        <f>VLOOKUP(C54,STN_TABLE,2,FALSE)</f>
        <v>10.8</v>
      </c>
      <c r="E54" s="92">
        <v>1</v>
      </c>
      <c r="F54" s="82">
        <f>D54*E54</f>
        <v>10.8</v>
      </c>
      <c r="G54" s="83">
        <f>C54</f>
        <v>2</v>
      </c>
      <c r="H54" s="83">
        <f>F54*G54</f>
        <v>21.6</v>
      </c>
      <c r="I54" s="84" t="str">
        <f>CONCATENATE("a'(",C54,")=")</f>
        <v>a'(2)=</v>
      </c>
      <c r="J54" s="84" t="e">
        <f>2*J52/3*F55</f>
        <v>#N/A</v>
      </c>
      <c r="K54" s="84" t="str">
        <f>CONCATENATE("A(",C52,")=")</f>
        <v>A(#NA)=</v>
      </c>
      <c r="L54" s="84" t="e">
        <f>VLOOKUP(C52,STN_TABLE,3,FALSE)</f>
        <v>#N/A</v>
      </c>
      <c r="M54" t="str">
        <f>CONCATENATE("A(",C54,")=")</f>
        <v>A(2)=</v>
      </c>
      <c r="N54" t="e">
        <f>J54+L54</f>
        <v>#N/A</v>
      </c>
      <c r="O54" s="99">
        <f>O53+1</f>
        <v>7</v>
      </c>
      <c r="P54" s="99">
        <f t="shared" si="10"/>
        <v>3</v>
      </c>
      <c r="Q54" s="82">
        <f>IF(P54-P53=P53-P52,P54,IF(P55-P53=P53-P52,P55,IF(P54-P53=P53-P51,P54,IF(P55-P53=P53-P51,P55,"-"))))</f>
        <v>3</v>
      </c>
      <c r="R54" s="83">
        <f>VLOOKUP(Q54,STN_TABLE,2,FALSE)</f>
        <v>10.9</v>
      </c>
      <c r="S54" s="83">
        <v>-1</v>
      </c>
      <c r="T54" s="82">
        <f>R54*S54</f>
        <v>-10.9</v>
      </c>
      <c r="U54" s="88">
        <v>-1</v>
      </c>
      <c r="V54" s="82">
        <f>R54*U54</f>
        <v>-10.9</v>
      </c>
      <c r="W54" s="84" t="str">
        <f>CONCATENATE("a'(",Q53,")=")</f>
        <v>a'(2)=</v>
      </c>
      <c r="X54" s="84">
        <f>2*X52/12*T55</f>
        <v>42.166666666666664</v>
      </c>
      <c r="Y54" s="84" t="str">
        <f>CONCATENATE("A(",Q52,")=")</f>
        <v>A(1)=</v>
      </c>
      <c r="Z54" s="84">
        <f>VLOOKUP(Q52,STN_TABLE,3,FALSE)</f>
        <v>37.486666666666665</v>
      </c>
      <c r="AA54" t="str">
        <f>CONCATENATE("A(",Q53,")=")</f>
        <v>A(2)=</v>
      </c>
      <c r="AB54">
        <f>X54+Z54</f>
        <v>79.653333333333336</v>
      </c>
      <c r="AC54" s="99">
        <f>AC53+1</f>
        <v>6</v>
      </c>
      <c r="AD54" s="100">
        <f>VLOOKUP(AC54,STN_TABLE_2,2,FALSE)</f>
        <v>2</v>
      </c>
      <c r="AE54" s="82">
        <f>VLOOKUP(AD54,STN_TABLE,2,FALSE)</f>
        <v>10.8</v>
      </c>
      <c r="AF54" s="82">
        <v>2</v>
      </c>
      <c r="AG54" s="83">
        <f>AE54*AF54</f>
        <v>21.6</v>
      </c>
      <c r="AH54" s="84" t="str">
        <f>CONCATENATE("a'(",AD54,")=")</f>
        <v>a'(2)=</v>
      </c>
      <c r="AI54" s="84">
        <f>2*AI52/2*AE55</f>
        <v>42</v>
      </c>
      <c r="AJ54" s="84" t="str">
        <f>CONCATENATE("A(",AD53,")=")</f>
        <v>A(1)=</v>
      </c>
      <c r="AK54" s="84">
        <f>VLOOKUP(AD53,STN_TABLE,3,FALSE)</f>
        <v>37.486666666666665</v>
      </c>
      <c r="AL54" t="str">
        <f>CONCATENATE("A(",AD54,")=")</f>
        <v>A(2)=</v>
      </c>
      <c r="AM54">
        <f>AI54+AK54</f>
        <v>79.486666666666665</v>
      </c>
      <c r="AO54" s="68" t="str">
        <f>AA54</f>
        <v>A(2)=</v>
      </c>
      <c r="AP54" s="68" t="e">
        <f>VLOOKUP(AO54,Rise_Results,2,FALSE)</f>
        <v>#N/A</v>
      </c>
      <c r="AQ54" s="76" t="e">
        <f>N54</f>
        <v>#N/A</v>
      </c>
      <c r="AR54" s="76">
        <f>IF(OR(AB54&lt;=0,AB55&lt;=0),1/0,AB54)</f>
        <v>79.653333333333336</v>
      </c>
      <c r="AS54" s="76">
        <f>AM54</f>
        <v>79.486666666666665</v>
      </c>
      <c r="AT54">
        <f>IFERROR(AP54,IFERROR(AQ54,IFERROR(AR54,AS54)))</f>
        <v>79.653333333333336</v>
      </c>
      <c r="AU54" s="81"/>
    </row>
    <row r="55" spans="1:47" x14ac:dyDescent="0.25">
      <c r="A55" s="84">
        <f>A54+1</f>
        <v>6</v>
      </c>
      <c r="B55" s="84">
        <f t="shared" si="11"/>
        <v>2</v>
      </c>
      <c r="F55" s="82" t="e">
        <f>SUM(F52:F54)</f>
        <v>#N/A</v>
      </c>
      <c r="H55" s="82" t="e">
        <f>SUM(H52:H54)</f>
        <v>#N/A</v>
      </c>
      <c r="I55" s="84" t="str">
        <f>CONCATENATE("m'(",C54,")=")</f>
        <v>m'(2)=</v>
      </c>
      <c r="J55" s="84" t="e">
        <f>2*(J52*(WLS))/3*H55</f>
        <v>#N/A</v>
      </c>
      <c r="K55" s="84" t="str">
        <f>CONCATENATE("M(",C52,")=")</f>
        <v>M(#NA)=</v>
      </c>
      <c r="L55" s="84" t="e">
        <f>VLOOKUP(C52,STN_TABLE,4,FALSE)</f>
        <v>#N/A</v>
      </c>
      <c r="M55" t="str">
        <f>CONCATENATE("M(",C54,")=")</f>
        <v>M(2)=</v>
      </c>
      <c r="N55" t="e">
        <f>J55+L55</f>
        <v>#N/A</v>
      </c>
      <c r="O55" s="99">
        <f>O54+1</f>
        <v>8</v>
      </c>
      <c r="P55" s="99">
        <f t="shared" si="10"/>
        <v>4</v>
      </c>
      <c r="T55" s="89">
        <f>SUM(T52:T54)</f>
        <v>126.5</v>
      </c>
      <c r="V55" s="82">
        <f>SUM(V52:V54)</f>
        <v>127.69999999999999</v>
      </c>
      <c r="W55" s="84" t="str">
        <f>CONCATENATE("m'(",Q53,")=")</f>
        <v>m'(2)=</v>
      </c>
      <c r="X55" s="84">
        <f>(2*(X52^2)/24*V55)+(X54*Q52*WLS)</f>
        <v>126.89999999999999</v>
      </c>
      <c r="Y55" s="84" t="str">
        <f>CONCATENATE("M(",Q52,")=")</f>
        <v>M(1)=</v>
      </c>
      <c r="Z55" s="84">
        <f>VLOOKUP(Q52,STN_TABLE,4,FALSE)</f>
        <v>38.946666666666665</v>
      </c>
      <c r="AA55" t="str">
        <f>CONCATENATE("M(",Q53,")=")</f>
        <v>M(2)=</v>
      </c>
      <c r="AB55">
        <f>X55+Z55</f>
        <v>165.84666666666666</v>
      </c>
      <c r="AE55" s="89">
        <f>SUM(AE53:AE54)</f>
        <v>21</v>
      </c>
      <c r="AG55" s="89">
        <f>SUM(AG53:AG54)</f>
        <v>31.8</v>
      </c>
      <c r="AH55" s="84" t="str">
        <f>CONCATENATE("m'(",AD54,")=")</f>
        <v>m'(2)=</v>
      </c>
      <c r="AI55" s="84">
        <f>(2*(AI52^2)/6*AG55)+(AI54*AD53*WLS)</f>
        <v>126.4</v>
      </c>
      <c r="AJ55" s="84" t="str">
        <f>CONCATENATE("M(",AD53,")=")</f>
        <v>M(1)=</v>
      </c>
      <c r="AK55" s="84">
        <f>VLOOKUP(AD53,STN_TABLE,4,FALSE)</f>
        <v>38.946666666666665</v>
      </c>
      <c r="AL55" t="str">
        <f>CONCATENATE("M(",AD54,")=")</f>
        <v>M(2)=</v>
      </c>
      <c r="AM55">
        <f>AI55+AK55</f>
        <v>165.34666666666666</v>
      </c>
      <c r="AO55" s="82" t="str">
        <f>AA55</f>
        <v>M(2)=</v>
      </c>
      <c r="AP55" s="82" t="e">
        <f>VLOOKUP(AO55,Rise_Results,2,FALSE)</f>
        <v>#N/A</v>
      </c>
      <c r="AQ55" s="82" t="e">
        <f>N55</f>
        <v>#N/A</v>
      </c>
      <c r="AR55" s="82">
        <f>IF(OR(AB54&lt;=0,AB55&lt;=0),1/0,AB55)</f>
        <v>165.84666666666666</v>
      </c>
      <c r="AS55" s="82">
        <f>AM55</f>
        <v>165.34666666666666</v>
      </c>
      <c r="AT55">
        <f>IFERROR(AP55,IFERROR(AQ55,IFERROR(AR55,AS55)))</f>
        <v>165.84666666666666</v>
      </c>
      <c r="AU55" s="81"/>
    </row>
    <row r="56" spans="1:47" x14ac:dyDescent="0.25">
      <c r="A56" s="101">
        <f>A51+1</f>
        <v>3</v>
      </c>
      <c r="B56" s="101">
        <f t="shared" si="11"/>
        <v>0.5</v>
      </c>
      <c r="O56" s="101">
        <f>O51+1</f>
        <v>5</v>
      </c>
      <c r="P56" s="101">
        <f t="shared" si="10"/>
        <v>1</v>
      </c>
      <c r="AU56" s="81"/>
    </row>
    <row r="57" spans="1:47" x14ac:dyDescent="0.25">
      <c r="A57" s="84">
        <f>A56+1</f>
        <v>4</v>
      </c>
      <c r="B57" s="84">
        <f t="shared" si="11"/>
        <v>0.75</v>
      </c>
      <c r="C57" s="79">
        <f t="shared" ref="C57" si="15">IF(C58=B59,IF(C59-C58=C58-B58,B58,IF(C59-C58=C58-B57,B57,"#NA")),IF(C58=B58,IF(C59-C58=C58-B57,B57,IF(C59-C58=C58-B56,B56,"#NA")),"#NA"))</f>
        <v>1</v>
      </c>
      <c r="D57" s="68">
        <f>VLOOKUP(C57,STN_TABLE,2,FALSE)</f>
        <v>10.199999999999999</v>
      </c>
      <c r="E57" s="102">
        <v>1</v>
      </c>
      <c r="F57" s="68">
        <f>D57*E57</f>
        <v>10.199999999999999</v>
      </c>
      <c r="G57" s="69">
        <f>C57</f>
        <v>1</v>
      </c>
      <c r="H57" s="69">
        <f>F57*G57</f>
        <v>10.199999999999999</v>
      </c>
      <c r="I57" s="6" t="s">
        <v>93</v>
      </c>
      <c r="J57" s="70">
        <f>IF(OR(D57=0,D58=0,D59=0),"#NA",IF(AND(C59-C58=C58-C57,C58&lt;&gt;C59,C57&lt;&gt;C58,C57&lt;&gt;C59,D59&lt;&gt;0,OR(D57&lt;&gt;0,D58&lt;&gt;0)),WLS*(C59-C58),"#NA"))</f>
        <v>2</v>
      </c>
      <c r="O57" s="99">
        <f>O56+1</f>
        <v>6</v>
      </c>
      <c r="P57" s="99">
        <f t="shared" si="10"/>
        <v>2</v>
      </c>
      <c r="Q57" s="68">
        <f>IF(OR(P59-P58=P58-P57,P60-P58=P58-P57),P57,IF(OR(P59-P58=P58-P56,P60-P58=P58-P56),P56,"-"))</f>
        <v>2</v>
      </c>
      <c r="R57" s="69">
        <f>VLOOKUP(Q57,STN_TABLE,2,FALSE)</f>
        <v>10.8</v>
      </c>
      <c r="S57" s="69">
        <v>5</v>
      </c>
      <c r="T57" s="68">
        <f>R57*S57</f>
        <v>54</v>
      </c>
      <c r="U57" s="79">
        <v>3</v>
      </c>
      <c r="V57" s="68">
        <f>R57*U57</f>
        <v>32.400000000000006</v>
      </c>
      <c r="W57" s="6" t="s">
        <v>93</v>
      </c>
      <c r="X57" s="70">
        <f>IF(AND(Q59-Q58=Q58-Q57,NOT(AND(Q57=0,Q58=0)),NOT(AND(Q58=0,Q59=0))),WLS*(Q59-Q58),"#NA")</f>
        <v>2</v>
      </c>
      <c r="AD57" s="93"/>
      <c r="AH57" s="6" t="s">
        <v>93</v>
      </c>
      <c r="AI57" s="70">
        <f>WLS*(AD59-AD58)</f>
        <v>2</v>
      </c>
      <c r="AU57" s="81"/>
    </row>
    <row r="58" spans="1:47" x14ac:dyDescent="0.25">
      <c r="A58" s="84">
        <f>A57+1</f>
        <v>5</v>
      </c>
      <c r="B58" s="84">
        <f t="shared" si="11"/>
        <v>1</v>
      </c>
      <c r="C58" s="80">
        <f t="shared" ref="C58" si="16">IF(OR(B60-B59=B59-B58,B60-B59=B59-B57,B60-B59=B59-B56),B59,IF(OR(B60-B58=B58-B57,B60-B58=B58-B56),B58,IF(B60-B57=B57-B56,B57,"#NA")))</f>
        <v>2</v>
      </c>
      <c r="D58" s="76">
        <f>VLOOKUP(C58,STN_TABLE,2,FALSE)</f>
        <v>10.8</v>
      </c>
      <c r="E58" s="81">
        <v>4</v>
      </c>
      <c r="F58" s="76">
        <f>D58*E58</f>
        <v>43.2</v>
      </c>
      <c r="G58" s="77">
        <f>C58</f>
        <v>2</v>
      </c>
      <c r="H58" s="77">
        <f>F58*G58</f>
        <v>86.4</v>
      </c>
      <c r="I58" s="495" t="s">
        <v>97</v>
      </c>
      <c r="J58" s="496"/>
      <c r="K58" s="78" t="s">
        <v>98</v>
      </c>
      <c r="L58" s="78"/>
      <c r="M58" s="7" t="s">
        <v>99</v>
      </c>
      <c r="N58" s="7"/>
      <c r="O58" s="99">
        <f>O57+1</f>
        <v>7</v>
      </c>
      <c r="P58" s="99">
        <f t="shared" si="10"/>
        <v>3</v>
      </c>
      <c r="Q58" s="76">
        <f>P58</f>
        <v>3</v>
      </c>
      <c r="R58" s="77">
        <f>VLOOKUP(Q58,STN_TABLE,2,FALSE)</f>
        <v>10.9</v>
      </c>
      <c r="S58" s="77">
        <v>8</v>
      </c>
      <c r="T58" s="76">
        <f>R58*S58</f>
        <v>87.2</v>
      </c>
      <c r="U58" s="80">
        <v>10</v>
      </c>
      <c r="V58" s="76">
        <f>R58*U58</f>
        <v>109</v>
      </c>
      <c r="W58" s="78" t="s">
        <v>97</v>
      </c>
      <c r="X58" s="78"/>
      <c r="Y58" s="78" t="s">
        <v>98</v>
      </c>
      <c r="Z58" s="78"/>
      <c r="AA58" s="7" t="s">
        <v>99</v>
      </c>
      <c r="AB58" s="7"/>
      <c r="AC58" s="99">
        <f>AC53+1</f>
        <v>6</v>
      </c>
      <c r="AD58" s="95">
        <f>VLOOKUP(AC58,STN_TABLE_2,2,FALSE)</f>
        <v>2</v>
      </c>
      <c r="AE58" s="68">
        <f>VLOOKUP(AD58,STN_TABLE,2,FALSE)</f>
        <v>10.8</v>
      </c>
      <c r="AF58" s="68">
        <v>1</v>
      </c>
      <c r="AG58" s="69">
        <f>AE58*AF58</f>
        <v>10.8</v>
      </c>
      <c r="AH58" s="496" t="s">
        <v>97</v>
      </c>
      <c r="AI58" s="496"/>
      <c r="AJ58" s="496" t="s">
        <v>98</v>
      </c>
      <c r="AK58" s="496"/>
      <c r="AL58" s="494" t="s">
        <v>99</v>
      </c>
      <c r="AM58" s="494"/>
      <c r="AP58" s="86" t="s">
        <v>112</v>
      </c>
      <c r="AQ58" s="89" t="s">
        <v>113</v>
      </c>
      <c r="AR58" s="89" t="s">
        <v>114</v>
      </c>
      <c r="AS58" s="89" t="s">
        <v>115</v>
      </c>
      <c r="AU58" s="81"/>
    </row>
    <row r="59" spans="1:47" x14ac:dyDescent="0.25">
      <c r="A59" s="84">
        <f>A58+1</f>
        <v>6</v>
      </c>
      <c r="B59" s="84">
        <f t="shared" si="11"/>
        <v>2</v>
      </c>
      <c r="C59" s="88">
        <f t="shared" ref="C59" si="17">B60</f>
        <v>3</v>
      </c>
      <c r="D59" s="82">
        <f>VLOOKUP(C59,STN_TABLE,2,FALSE)</f>
        <v>10.9</v>
      </c>
      <c r="E59" s="92">
        <v>1</v>
      </c>
      <c r="F59" s="82">
        <f>D59*E59</f>
        <v>10.9</v>
      </c>
      <c r="G59" s="83">
        <f>C59</f>
        <v>3</v>
      </c>
      <c r="H59" s="83">
        <f>F59*G59</f>
        <v>32.700000000000003</v>
      </c>
      <c r="I59" s="84" t="str">
        <f>CONCATENATE("a'(",C59,")=")</f>
        <v>a'(3)=</v>
      </c>
      <c r="J59" s="84">
        <f>2*J57/3*F60</f>
        <v>85.733333333333348</v>
      </c>
      <c r="K59" s="84" t="str">
        <f>CONCATENATE("A(",C57,")=")</f>
        <v>A(1)=</v>
      </c>
      <c r="L59" s="84">
        <f>VLOOKUP(C57,STN_TABLE,3,FALSE)</f>
        <v>37.486666666666665</v>
      </c>
      <c r="M59" t="str">
        <f>CONCATENATE("A(",C59,")=")</f>
        <v>A(3)=</v>
      </c>
      <c r="N59">
        <f>J59+L59</f>
        <v>123.22000000000001</v>
      </c>
      <c r="O59" s="99">
        <f>O58+1</f>
        <v>8</v>
      </c>
      <c r="P59" s="99">
        <f t="shared" si="10"/>
        <v>4</v>
      </c>
      <c r="Q59" s="82">
        <f>IF(P59-P58=P58-P57,P59,IF(P60-P58=P58-P57,P60,IF(P59-P58=P58-P56,P59,IF(P60-P58=P58-P56,P60,"-"))))</f>
        <v>4</v>
      </c>
      <c r="R59" s="83">
        <f>VLOOKUP(Q59,STN_TABLE,2,FALSE)</f>
        <v>11</v>
      </c>
      <c r="S59" s="83">
        <v>-1</v>
      </c>
      <c r="T59" s="82">
        <f>R59*S59</f>
        <v>-11</v>
      </c>
      <c r="U59" s="88">
        <v>-1</v>
      </c>
      <c r="V59" s="82">
        <f>R59*U59</f>
        <v>-11</v>
      </c>
      <c r="W59" s="84" t="str">
        <f>CONCATENATE("a'(",Q58,")=")</f>
        <v>a'(3)=</v>
      </c>
      <c r="X59" s="84">
        <f>2*X57/12*T60</f>
        <v>43.399999999999991</v>
      </c>
      <c r="Y59" s="84" t="str">
        <f>CONCATENATE("A(",Q57,")=")</f>
        <v>A(2)=</v>
      </c>
      <c r="Z59" s="84">
        <f>VLOOKUP(Q57,STN_TABLE,3,FALSE)</f>
        <v>79.653333333333336</v>
      </c>
      <c r="AA59" t="str">
        <f>CONCATENATE("A(",Q58,")=")</f>
        <v>A(3)=</v>
      </c>
      <c r="AB59">
        <f>X59+Z59</f>
        <v>123.05333333333333</v>
      </c>
      <c r="AC59" s="99">
        <f>AC58+1</f>
        <v>7</v>
      </c>
      <c r="AD59" s="100">
        <f>VLOOKUP(AC59,STN_TABLE_2,2,FALSE)</f>
        <v>3</v>
      </c>
      <c r="AE59" s="82">
        <f>VLOOKUP(AD59,STN_TABLE,2,FALSE)</f>
        <v>10.9</v>
      </c>
      <c r="AF59" s="82">
        <v>2</v>
      </c>
      <c r="AG59" s="83">
        <f>AE59*AF59</f>
        <v>21.8</v>
      </c>
      <c r="AH59" s="84" t="str">
        <f>CONCATENATE("a'(",AD59,")=")</f>
        <v>a'(3)=</v>
      </c>
      <c r="AI59" s="84">
        <f>2*AI57/2*AE60</f>
        <v>43.400000000000006</v>
      </c>
      <c r="AJ59" s="84" t="str">
        <f>CONCATENATE("A(",AD58,")=")</f>
        <v>A(2)=</v>
      </c>
      <c r="AK59" s="84">
        <f>VLOOKUP(AD58,STN_TABLE,3,FALSE)</f>
        <v>79.653333333333336</v>
      </c>
      <c r="AL59" t="str">
        <f>CONCATENATE("A(",AD59,")=")</f>
        <v>A(3)=</v>
      </c>
      <c r="AM59">
        <f>AI59+AK59</f>
        <v>123.05333333333334</v>
      </c>
      <c r="AO59" s="68" t="str">
        <f>AA59</f>
        <v>A(3)=</v>
      </c>
      <c r="AP59" s="68" t="e">
        <f>VLOOKUP(AO59,Rise_Results,2,FALSE)</f>
        <v>#N/A</v>
      </c>
      <c r="AQ59" s="76">
        <f>N59</f>
        <v>123.22000000000001</v>
      </c>
      <c r="AR59" s="76">
        <f>IF(OR(AB59&lt;=0,AB60&lt;=0),1/0,AB59)</f>
        <v>123.05333333333333</v>
      </c>
      <c r="AS59" s="76">
        <f>AM59</f>
        <v>123.05333333333334</v>
      </c>
      <c r="AT59">
        <f>IFERROR(AP59,IFERROR(AQ59,IFERROR(AR59,AS59)))</f>
        <v>123.22000000000001</v>
      </c>
      <c r="AU59" s="81"/>
    </row>
    <row r="60" spans="1:47" x14ac:dyDescent="0.25">
      <c r="A60" s="84">
        <f>A59+1</f>
        <v>7</v>
      </c>
      <c r="B60" s="84">
        <f t="shared" si="11"/>
        <v>3</v>
      </c>
      <c r="F60" s="82">
        <f>SUM(F57:F59)</f>
        <v>64.300000000000011</v>
      </c>
      <c r="H60" s="82">
        <f>SUM(H57:H59)</f>
        <v>129.30000000000001</v>
      </c>
      <c r="I60" s="84" t="str">
        <f>CONCATENATE("m'(",C59,")=")</f>
        <v>m'(3)=</v>
      </c>
      <c r="J60" s="84">
        <f>2*(J57*(WLS))/3*H60</f>
        <v>344.8</v>
      </c>
      <c r="K60" s="84" t="str">
        <f>CONCATENATE("M(",C57,")=")</f>
        <v>M(1)=</v>
      </c>
      <c r="L60" s="84">
        <f>VLOOKUP(C57,STN_TABLE,4,FALSE)</f>
        <v>38.946666666666665</v>
      </c>
      <c r="M60" t="str">
        <f>CONCATENATE("M(",C59,")=")</f>
        <v>M(3)=</v>
      </c>
      <c r="N60">
        <f>J60+L60</f>
        <v>383.74666666666667</v>
      </c>
      <c r="O60" s="99">
        <f>O59+1</f>
        <v>9</v>
      </c>
      <c r="P60" s="99">
        <f t="shared" si="10"/>
        <v>4.8499999999999996</v>
      </c>
      <c r="T60" s="89">
        <f>SUM(T57:T59)</f>
        <v>130.19999999999999</v>
      </c>
      <c r="V60" s="82">
        <f>SUM(V57:V59)</f>
        <v>130.4</v>
      </c>
      <c r="W60" s="84" t="str">
        <f>CONCATENATE("m'(",Q58,")=")</f>
        <v>m'(3)=</v>
      </c>
      <c r="X60" s="84">
        <f>(2*(X57^2)/24*V60)+(X59*Q57*WLS)</f>
        <v>217.06666666666663</v>
      </c>
      <c r="Y60" s="84" t="str">
        <f>CONCATENATE("M(",Q57,")=")</f>
        <v>M(2)=</v>
      </c>
      <c r="Z60" s="84">
        <f>VLOOKUP(Q57,STN_TABLE,4,FALSE)</f>
        <v>165.84666666666666</v>
      </c>
      <c r="AA60" t="str">
        <f>CONCATENATE("M(",Q58,")=")</f>
        <v>M(3)=</v>
      </c>
      <c r="AB60">
        <f>X60+Z60</f>
        <v>382.9133333333333</v>
      </c>
      <c r="AE60" s="89">
        <f>SUM(AE58:AE59)</f>
        <v>21.700000000000003</v>
      </c>
      <c r="AG60" s="89">
        <f>SUM(AG58:AG59)</f>
        <v>32.6</v>
      </c>
      <c r="AH60" s="84" t="str">
        <f>CONCATENATE("m'(",AD59,")=")</f>
        <v>m'(3)=</v>
      </c>
      <c r="AI60" s="84">
        <f>(2*(AI57^2)/6*AG60)+(AI59*AD58*WLS)</f>
        <v>217.06666666666669</v>
      </c>
      <c r="AJ60" s="84" t="str">
        <f>CONCATENATE("M(",AD58,")=")</f>
        <v>M(2)=</v>
      </c>
      <c r="AK60" s="84">
        <f>VLOOKUP(AD57,STN_TABLE,4,FALSE)</f>
        <v>0</v>
      </c>
      <c r="AL60" t="str">
        <f>CONCATENATE("M(",AD59,")=")</f>
        <v>M(3)=</v>
      </c>
      <c r="AM60">
        <f>AI60+AK60</f>
        <v>217.06666666666669</v>
      </c>
      <c r="AO60" s="82" t="str">
        <f>AA60</f>
        <v>M(3)=</v>
      </c>
      <c r="AP60" s="82" t="e">
        <f>VLOOKUP(AO60,Rise_Results,2,FALSE)</f>
        <v>#N/A</v>
      </c>
      <c r="AQ60" s="82">
        <f>N60</f>
        <v>383.74666666666667</v>
      </c>
      <c r="AR60" s="82">
        <f>IF(OR(AB59&lt;=0,AB60&lt;=0),1/0,AB60)</f>
        <v>382.9133333333333</v>
      </c>
      <c r="AS60" s="82">
        <f>AM60</f>
        <v>217.06666666666669</v>
      </c>
      <c r="AT60">
        <f>IFERROR(AP60,IFERROR(AQ60,IFERROR(AR60,AS60)))</f>
        <v>383.74666666666667</v>
      </c>
      <c r="AU60" s="81"/>
    </row>
    <row r="61" spans="1:47" x14ac:dyDescent="0.25">
      <c r="A61" s="101">
        <f>A56+1</f>
        <v>4</v>
      </c>
      <c r="B61" s="101">
        <f t="shared" si="11"/>
        <v>0.75</v>
      </c>
      <c r="O61" s="101">
        <f>O56+1</f>
        <v>6</v>
      </c>
      <c r="P61" s="101">
        <f t="shared" si="10"/>
        <v>2</v>
      </c>
      <c r="AU61" s="81"/>
    </row>
    <row r="62" spans="1:47" x14ac:dyDescent="0.25">
      <c r="A62" s="84">
        <f>A61+1</f>
        <v>5</v>
      </c>
      <c r="B62" s="84">
        <f t="shared" si="11"/>
        <v>1</v>
      </c>
      <c r="C62" s="79">
        <f t="shared" ref="C62" si="18">IF(C63=B64,IF(C64-C63=C63-B63,B63,IF(C64-C63=C63-B62,B62,"#NA")),IF(C63=B63,IF(C64-C63=C63-B62,B62,IF(C64-C63=C63-B61,B61,"#NA")),"#NA"))</f>
        <v>2</v>
      </c>
      <c r="D62" s="68">
        <f>VLOOKUP(C62,STN_TABLE,2,FALSE)</f>
        <v>10.8</v>
      </c>
      <c r="E62" s="102">
        <v>1</v>
      </c>
      <c r="F62" s="68">
        <f>D62*E62</f>
        <v>10.8</v>
      </c>
      <c r="G62" s="69">
        <f>C62</f>
        <v>2</v>
      </c>
      <c r="H62" s="69">
        <f>F62*G62</f>
        <v>21.6</v>
      </c>
      <c r="I62" s="6" t="s">
        <v>93</v>
      </c>
      <c r="J62" s="70">
        <f>IF(OR(D62=0,D63=0,D64=0),"#NA",IF(AND(C64-C63=C63-C62,C63&lt;&gt;C64,C62&lt;&gt;C63,C62&lt;&gt;C64,D64&lt;&gt;0,OR(D62&lt;&gt;0,D63&lt;&gt;0)),WLS*(C64-C63),"#NA"))</f>
        <v>2</v>
      </c>
      <c r="O62" s="99">
        <f>O61+1</f>
        <v>7</v>
      </c>
      <c r="P62" s="99">
        <f t="shared" si="10"/>
        <v>3</v>
      </c>
      <c r="Q62" s="68">
        <f>IF(OR(P64-P63=P63-P62,P65-P63=P63-P62),P62,IF(OR(P64-P63=P63-P61,P65-P63=P63-P61),P61,"-"))</f>
        <v>3</v>
      </c>
      <c r="R62" s="69">
        <f>VLOOKUP(Q62,STN_TABLE,2,FALSE)</f>
        <v>10.9</v>
      </c>
      <c r="S62" s="69">
        <v>5</v>
      </c>
      <c r="T62" s="68">
        <f>R62*S62</f>
        <v>54.5</v>
      </c>
      <c r="U62" s="79">
        <v>3</v>
      </c>
      <c r="V62" s="68">
        <f>R62*U62</f>
        <v>32.700000000000003</v>
      </c>
      <c r="W62" s="6" t="s">
        <v>93</v>
      </c>
      <c r="X62" s="70">
        <f>IF(AND(Q64-Q63=Q63-Q62,NOT(AND(Q62=0,Q63=0)),NOT(AND(Q63=0,Q64=0))),WLS*(Q64-Q63),"#NA")</f>
        <v>2</v>
      </c>
      <c r="AD62" s="93"/>
      <c r="AH62" s="6" t="s">
        <v>93</v>
      </c>
      <c r="AI62" s="70">
        <f>WLS*(AD64-AD63)</f>
        <v>2</v>
      </c>
      <c r="AU62" s="81"/>
    </row>
    <row r="63" spans="1:47" x14ac:dyDescent="0.25">
      <c r="A63" s="84">
        <f>A62+1</f>
        <v>6</v>
      </c>
      <c r="B63" s="84">
        <f t="shared" si="11"/>
        <v>2</v>
      </c>
      <c r="C63" s="80">
        <f t="shared" ref="C63" si="19">IF(OR(B65-B64=B64-B63,B65-B64=B64-B62,B65-B64=B64-B61),B64,IF(OR(B65-B63=B63-B62,B65-B63=B63-B61),B63,IF(B65-B62=B62-B61,B62,"#NA")))</f>
        <v>3</v>
      </c>
      <c r="D63" s="76">
        <f>VLOOKUP(C63,STN_TABLE,2,FALSE)</f>
        <v>10.9</v>
      </c>
      <c r="E63" s="81">
        <v>4</v>
      </c>
      <c r="F63" s="76">
        <f>D63*E63</f>
        <v>43.6</v>
      </c>
      <c r="G63" s="77">
        <f>C63</f>
        <v>3</v>
      </c>
      <c r="H63" s="77">
        <f>F63*G63</f>
        <v>130.80000000000001</v>
      </c>
      <c r="I63" s="495" t="s">
        <v>97</v>
      </c>
      <c r="J63" s="496"/>
      <c r="K63" s="78" t="s">
        <v>98</v>
      </c>
      <c r="L63" s="78"/>
      <c r="M63" s="7" t="s">
        <v>99</v>
      </c>
      <c r="N63" s="7"/>
      <c r="O63" s="99">
        <f>O62+1</f>
        <v>8</v>
      </c>
      <c r="P63" s="99">
        <f t="shared" si="10"/>
        <v>4</v>
      </c>
      <c r="Q63" s="76">
        <f>P63</f>
        <v>4</v>
      </c>
      <c r="R63" s="77">
        <f>VLOOKUP(Q63,STN_TABLE,2,FALSE)</f>
        <v>11</v>
      </c>
      <c r="S63" s="77">
        <v>8</v>
      </c>
      <c r="T63" s="76">
        <f>R63*S63</f>
        <v>88</v>
      </c>
      <c r="U63" s="80">
        <v>10</v>
      </c>
      <c r="V63" s="76">
        <f>R63*U63</f>
        <v>110</v>
      </c>
      <c r="W63" s="496" t="s">
        <v>97</v>
      </c>
      <c r="X63" s="496"/>
      <c r="Y63" s="496" t="s">
        <v>98</v>
      </c>
      <c r="Z63" s="496"/>
      <c r="AA63" s="494" t="s">
        <v>99</v>
      </c>
      <c r="AB63" s="494"/>
      <c r="AC63" s="99">
        <f>AC58+1</f>
        <v>7</v>
      </c>
      <c r="AD63" s="95">
        <f>VLOOKUP(AC63,STN_TABLE_2,2,FALSE)</f>
        <v>3</v>
      </c>
      <c r="AE63" s="68">
        <f>VLOOKUP(AD63,STN_TABLE,2,FALSE)</f>
        <v>10.9</v>
      </c>
      <c r="AF63" s="68">
        <v>1</v>
      </c>
      <c r="AG63" s="69">
        <f>AE63*AF63</f>
        <v>10.9</v>
      </c>
      <c r="AH63" s="496" t="s">
        <v>97</v>
      </c>
      <c r="AI63" s="496"/>
      <c r="AJ63" s="496" t="s">
        <v>98</v>
      </c>
      <c r="AK63" s="496"/>
      <c r="AL63" s="494" t="s">
        <v>99</v>
      </c>
      <c r="AM63" s="494"/>
      <c r="AP63" s="86" t="s">
        <v>112</v>
      </c>
      <c r="AQ63" s="89" t="s">
        <v>113</v>
      </c>
      <c r="AR63" s="89" t="s">
        <v>114</v>
      </c>
      <c r="AS63" s="89" t="s">
        <v>115</v>
      </c>
      <c r="AU63" s="81"/>
    </row>
    <row r="64" spans="1:47" x14ac:dyDescent="0.25">
      <c r="A64" s="84">
        <f>A63+1</f>
        <v>7</v>
      </c>
      <c r="B64" s="84">
        <f t="shared" si="11"/>
        <v>3</v>
      </c>
      <c r="C64" s="88">
        <f t="shared" ref="C64" si="20">B65</f>
        <v>4</v>
      </c>
      <c r="D64" s="82">
        <f>VLOOKUP(C64,STN_TABLE,2,FALSE)</f>
        <v>11</v>
      </c>
      <c r="E64" s="92">
        <v>1</v>
      </c>
      <c r="F64" s="82">
        <f>D64*E64</f>
        <v>11</v>
      </c>
      <c r="G64" s="83">
        <f>C64</f>
        <v>4</v>
      </c>
      <c r="H64" s="83">
        <f>F64*G64</f>
        <v>44</v>
      </c>
      <c r="I64" s="84" t="str">
        <f>CONCATENATE("a'(",C64,")=")</f>
        <v>a'(4)=</v>
      </c>
      <c r="J64" s="84">
        <f>2*J62/3*F65</f>
        <v>87.2</v>
      </c>
      <c r="K64" s="84" t="str">
        <f>CONCATENATE("A(",C62,")=")</f>
        <v>A(2)=</v>
      </c>
      <c r="L64" s="84">
        <f>VLOOKUP(C62,STN_TABLE,3,FALSE)</f>
        <v>79.653333333333336</v>
      </c>
      <c r="M64" t="str">
        <f>CONCATENATE("A(",C64,")=")</f>
        <v>A(4)=</v>
      </c>
      <c r="N64">
        <f>J64+L64</f>
        <v>166.85333333333335</v>
      </c>
      <c r="O64" s="99">
        <f>O63+1</f>
        <v>9</v>
      </c>
      <c r="P64" s="99">
        <f t="shared" si="10"/>
        <v>4.8499999999999996</v>
      </c>
      <c r="Q64" s="82">
        <f>IF(P64-P63=P63-P62,P64,IF(P65-P63=P63-P62,P65,IF(P64-P63=P63-P61,P64,IF(P65-P63=P63-P61,P65,"-"))))</f>
        <v>5</v>
      </c>
      <c r="R64" s="83">
        <f>VLOOKUP(Q64,STN_TABLE,2,FALSE)</f>
        <v>11</v>
      </c>
      <c r="S64" s="83">
        <v>-1</v>
      </c>
      <c r="T64" s="82">
        <f>R64*S64</f>
        <v>-11</v>
      </c>
      <c r="U64" s="88">
        <v>-1</v>
      </c>
      <c r="V64" s="82">
        <f>R64*U64</f>
        <v>-11</v>
      </c>
      <c r="W64" s="84" t="str">
        <f>CONCATENATE("a'(",Q63,")=")</f>
        <v>a'(4)=</v>
      </c>
      <c r="X64" s="84">
        <f>2*X62/12*T65</f>
        <v>43.833333333333329</v>
      </c>
      <c r="Y64" s="84" t="str">
        <f>CONCATENATE("A(",Q62,")=")</f>
        <v>A(3)=</v>
      </c>
      <c r="Z64" s="84">
        <f>VLOOKUP(Q62,STN_TABLE,3,FALSE)</f>
        <v>123.22000000000001</v>
      </c>
      <c r="AA64" t="str">
        <f>CONCATENATE("A(",Q63,")=")</f>
        <v>A(4)=</v>
      </c>
      <c r="AB64">
        <f>X64+Z64</f>
        <v>167.05333333333334</v>
      </c>
      <c r="AC64" s="99">
        <f>AC63+1</f>
        <v>8</v>
      </c>
      <c r="AD64" s="100">
        <f>VLOOKUP(AC64,STN_TABLE_2,2,FALSE)</f>
        <v>4</v>
      </c>
      <c r="AE64" s="82">
        <f>VLOOKUP(AD64,STN_TABLE,2,FALSE)</f>
        <v>11</v>
      </c>
      <c r="AF64" s="82">
        <v>2</v>
      </c>
      <c r="AG64" s="83">
        <f>AE64*AF64</f>
        <v>22</v>
      </c>
      <c r="AH64" s="84" t="str">
        <f>CONCATENATE("a'(",AD64,")=")</f>
        <v>a'(4)=</v>
      </c>
      <c r="AI64" s="84">
        <f>2*AI62/2*AE65</f>
        <v>43.8</v>
      </c>
      <c r="AJ64" s="84" t="str">
        <f>CONCATENATE("A(",AD63,")=")</f>
        <v>A(3)=</v>
      </c>
      <c r="AK64" s="84">
        <f>VLOOKUP(AD63,STN_TABLE,3,FALSE)</f>
        <v>123.22000000000001</v>
      </c>
      <c r="AL64" t="str">
        <f>CONCATENATE("A(",AD64,")=")</f>
        <v>A(4)=</v>
      </c>
      <c r="AM64">
        <f>AI64+AK64</f>
        <v>167.02</v>
      </c>
      <c r="AO64" s="68" t="str">
        <f>AA64</f>
        <v>A(4)=</v>
      </c>
      <c r="AP64" s="68" t="e">
        <f>VLOOKUP(AO64,Rise_Results,2,FALSE)</f>
        <v>#N/A</v>
      </c>
      <c r="AQ64" s="76">
        <f>N64</f>
        <v>166.85333333333335</v>
      </c>
      <c r="AR64" s="76">
        <f>IF(OR(AB64&lt;=0,AB65&lt;=0),1/0,AB64)</f>
        <v>167.05333333333334</v>
      </c>
      <c r="AS64" s="76">
        <f>AM64</f>
        <v>167.02</v>
      </c>
      <c r="AT64">
        <f>IFERROR(AP64,IFERROR(AQ64,IFERROR(AR64,AS64)))</f>
        <v>166.85333333333335</v>
      </c>
      <c r="AU64" s="81"/>
    </row>
    <row r="65" spans="1:47" x14ac:dyDescent="0.25">
      <c r="A65" s="84">
        <f>A64+1</f>
        <v>8</v>
      </c>
      <c r="B65" s="84">
        <f t="shared" si="11"/>
        <v>4</v>
      </c>
      <c r="F65" s="82">
        <f>SUM(F62:F64)</f>
        <v>65.400000000000006</v>
      </c>
      <c r="H65" s="82">
        <f>SUM(H62:H64)</f>
        <v>196.4</v>
      </c>
      <c r="I65" s="84" t="str">
        <f>CONCATENATE("m'(",C64,")=")</f>
        <v>m'(4)=</v>
      </c>
      <c r="J65" s="84">
        <f>2*(J62*(WLS))/3*H65</f>
        <v>523.73333333333335</v>
      </c>
      <c r="K65" s="84" t="str">
        <f>CONCATENATE("M(",C62,")=")</f>
        <v>M(2)=</v>
      </c>
      <c r="L65" s="84">
        <f>VLOOKUP(C62,STN_TABLE,4,FALSE)</f>
        <v>165.84666666666666</v>
      </c>
      <c r="M65" t="str">
        <f>CONCATENATE("M(",C64,")=")</f>
        <v>M(4)=</v>
      </c>
      <c r="N65">
        <f>J65+L65</f>
        <v>689.58</v>
      </c>
      <c r="O65" s="99">
        <f>O64+1</f>
        <v>10</v>
      </c>
      <c r="P65" s="99">
        <f t="shared" si="10"/>
        <v>5</v>
      </c>
      <c r="T65" s="89">
        <f>SUM(T62:T64)</f>
        <v>131.5</v>
      </c>
      <c r="V65" s="82">
        <f>SUM(V62:V64)</f>
        <v>131.69999999999999</v>
      </c>
      <c r="W65" s="84" t="str">
        <f>CONCATENATE("m'(",Q63,")=")</f>
        <v>m'(4)=</v>
      </c>
      <c r="X65" s="84">
        <f>(2*(X62^2)/24*V65)+(X64*Q62*WLS)</f>
        <v>306.89999999999998</v>
      </c>
      <c r="Y65" s="84" t="str">
        <f>CONCATENATE("M(",Q62,")=")</f>
        <v>M(3)=</v>
      </c>
      <c r="Z65" s="84">
        <f>VLOOKUP(Q62,STN_TABLE,4,FALSE)</f>
        <v>383.74666666666667</v>
      </c>
      <c r="AA65" t="str">
        <f>CONCATENATE("M(",Q63,")=")</f>
        <v>M(4)=</v>
      </c>
      <c r="AB65">
        <f>X65+Z65</f>
        <v>690.64666666666665</v>
      </c>
      <c r="AE65" s="89">
        <f>SUM(AE63:AE64)</f>
        <v>21.9</v>
      </c>
      <c r="AG65" s="89">
        <f>SUM(AG63:AG64)</f>
        <v>32.9</v>
      </c>
      <c r="AH65" s="84" t="str">
        <f>CONCATENATE("m'(",AD64,")=")</f>
        <v>m'(4)=</v>
      </c>
      <c r="AI65" s="84">
        <f>(2*(AI62^2)/6*AG65)+(AI64*AD63*WLS)</f>
        <v>306.66666666666663</v>
      </c>
      <c r="AJ65" s="84" t="str">
        <f>CONCATENATE("M(",AD63,")=")</f>
        <v>M(3)=</v>
      </c>
      <c r="AK65" s="84">
        <f>VLOOKUP(AD63,STN_TABLE,4,FALSE)</f>
        <v>383.74666666666667</v>
      </c>
      <c r="AL65" t="str">
        <f>CONCATENATE("M(",AD64,")=")</f>
        <v>M(4)=</v>
      </c>
      <c r="AM65">
        <f>AI65+AK65</f>
        <v>690.4133333333333</v>
      </c>
      <c r="AO65" s="82" t="str">
        <f>AA65</f>
        <v>M(4)=</v>
      </c>
      <c r="AP65" s="82" t="e">
        <f>VLOOKUP(AO65,Rise_Results,2,FALSE)</f>
        <v>#N/A</v>
      </c>
      <c r="AQ65" s="82">
        <f>N65</f>
        <v>689.58</v>
      </c>
      <c r="AR65" s="82">
        <f>IF(OR(AB64&lt;=0,AB65&lt;=0),1/0,AB65)</f>
        <v>690.64666666666665</v>
      </c>
      <c r="AS65" s="82">
        <f>AM65</f>
        <v>690.4133333333333</v>
      </c>
      <c r="AT65">
        <f>IFERROR(AP65,IFERROR(AQ65,IFERROR(AR65,AS65)))</f>
        <v>689.58</v>
      </c>
      <c r="AU65" s="81"/>
    </row>
    <row r="66" spans="1:47" x14ac:dyDescent="0.25">
      <c r="A66" s="101">
        <f>A61+1</f>
        <v>5</v>
      </c>
      <c r="B66" s="101">
        <f t="shared" si="11"/>
        <v>1</v>
      </c>
      <c r="O66" s="101">
        <f>O61+1</f>
        <v>7</v>
      </c>
      <c r="P66" s="101">
        <f t="shared" si="10"/>
        <v>3</v>
      </c>
      <c r="AU66" s="81"/>
    </row>
    <row r="67" spans="1:47" x14ac:dyDescent="0.25">
      <c r="A67" s="84">
        <f>A66+1</f>
        <v>6</v>
      </c>
      <c r="B67" s="84">
        <f t="shared" si="11"/>
        <v>2</v>
      </c>
      <c r="C67" s="79" t="str">
        <f t="shared" ref="C67" si="21">IF(C68=B69,IF(C69-C68=C68-B68,B68,IF(C69-C68=C68-B67,B67,"#NA")),IF(C68=B68,IF(C69-C68=C68-B67,B67,IF(C69-C68=C68-B66,B66,"#NA")),"#NA"))</f>
        <v>#NA</v>
      </c>
      <c r="D67" s="68" t="e">
        <f>VLOOKUP(C67,STN_TABLE,2,FALSE)</f>
        <v>#N/A</v>
      </c>
      <c r="E67" s="102">
        <v>1</v>
      </c>
      <c r="F67" s="68" t="e">
        <f>D67*E67</f>
        <v>#N/A</v>
      </c>
      <c r="G67" s="69" t="str">
        <f>C67</f>
        <v>#NA</v>
      </c>
      <c r="H67" s="69" t="e">
        <f>F67*G67</f>
        <v>#N/A</v>
      </c>
      <c r="I67" s="6" t="s">
        <v>93</v>
      </c>
      <c r="J67" s="70" t="e">
        <f>IF(OR(D67=0,D68=0,D69=0),"#NA",IF(AND(C69-C68=C68-C67,C68&lt;&gt;C69,C67&lt;&gt;C68,C67&lt;&gt;C69,D69&lt;&gt;0,OR(D67&lt;&gt;0,D68&lt;&gt;0)),WLS*(C69-C68),"#NA"))</f>
        <v>#N/A</v>
      </c>
      <c r="O67" s="99">
        <f>O66+1</f>
        <v>8</v>
      </c>
      <c r="P67" s="99">
        <f t="shared" si="10"/>
        <v>4</v>
      </c>
      <c r="Q67" s="68" t="str">
        <f>IF(OR(P69-P68=P68-P67,P70-P68=P68-P67),P67,IF(OR(P69-P68=P68-P66,P70-P68=P68-P66),P66,"-"))</f>
        <v>-</v>
      </c>
      <c r="R67" s="69" t="e">
        <f>VLOOKUP(Q67,STN_TABLE,2,FALSE)</f>
        <v>#N/A</v>
      </c>
      <c r="S67" s="69">
        <v>5</v>
      </c>
      <c r="T67" s="68" t="e">
        <f>R67*S67</f>
        <v>#N/A</v>
      </c>
      <c r="U67" s="79">
        <v>3</v>
      </c>
      <c r="V67" s="68" t="e">
        <f>R67*U67</f>
        <v>#N/A</v>
      </c>
      <c r="W67" s="6" t="s">
        <v>93</v>
      </c>
      <c r="X67" s="70" t="e">
        <f>IF(AND(Q69-Q68=Q68-Q67,NOT(AND(Q67=0,Q68=0)),NOT(AND(Q68=0,Q69=0))),WLS*(Q69-Q68),"#NA")</f>
        <v>#VALUE!</v>
      </c>
      <c r="AD67" s="93"/>
      <c r="AH67" s="6" t="s">
        <v>93</v>
      </c>
      <c r="AI67" s="70">
        <f>WLS*(AD69-AD68)</f>
        <v>1.6999999999999993</v>
      </c>
      <c r="AU67" s="81"/>
    </row>
    <row r="68" spans="1:47" x14ac:dyDescent="0.25">
      <c r="A68" s="84">
        <f>A67+1</f>
        <v>7</v>
      </c>
      <c r="B68" s="84">
        <f t="shared" si="11"/>
        <v>3</v>
      </c>
      <c r="C68" s="80" t="str">
        <f t="shared" ref="C68" si="22">IF(OR(B70-B69=B69-B68,B70-B69=B69-B67,B70-B69=B69-B66),B69,IF(OR(B70-B68=B68-B67,B70-B68=B68-B66),B68,IF(B70-B67=B67-B66,B67,"#NA")))</f>
        <v>#NA</v>
      </c>
      <c r="D68" s="76" t="e">
        <f>VLOOKUP(C68,STN_TABLE,2,FALSE)</f>
        <v>#N/A</v>
      </c>
      <c r="E68" s="81">
        <v>4</v>
      </c>
      <c r="F68" s="76" t="e">
        <f>D68*E68</f>
        <v>#N/A</v>
      </c>
      <c r="G68" s="77" t="str">
        <f>C68</f>
        <v>#NA</v>
      </c>
      <c r="H68" s="77" t="e">
        <f>F68*G68</f>
        <v>#N/A</v>
      </c>
      <c r="I68" s="495" t="s">
        <v>97</v>
      </c>
      <c r="J68" s="496"/>
      <c r="K68" s="78" t="s">
        <v>98</v>
      </c>
      <c r="L68" s="78"/>
      <c r="M68" s="7" t="s">
        <v>99</v>
      </c>
      <c r="N68" s="7"/>
      <c r="O68" s="99">
        <f>O67+1</f>
        <v>9</v>
      </c>
      <c r="P68" s="99">
        <f t="shared" ref="P68:P99" si="23">VLOOKUP(O68,STN_TABLE_2,2,FALSE)</f>
        <v>4.8499999999999996</v>
      </c>
      <c r="Q68" s="76">
        <f>P68</f>
        <v>4.8499999999999996</v>
      </c>
      <c r="R68" s="77">
        <f>VLOOKUP(Q68,STN_TABLE,2,FALSE)</f>
        <v>11</v>
      </c>
      <c r="S68" s="77">
        <v>8</v>
      </c>
      <c r="T68" s="76">
        <f>R68*S68</f>
        <v>88</v>
      </c>
      <c r="U68" s="80">
        <v>10</v>
      </c>
      <c r="V68" s="76">
        <f>R68*U68</f>
        <v>110</v>
      </c>
      <c r="W68" s="496" t="s">
        <v>97</v>
      </c>
      <c r="X68" s="496"/>
      <c r="Y68" s="496" t="s">
        <v>98</v>
      </c>
      <c r="Z68" s="496"/>
      <c r="AA68" s="494" t="s">
        <v>99</v>
      </c>
      <c r="AB68" s="494"/>
      <c r="AC68" s="99">
        <f>AC63+1</f>
        <v>8</v>
      </c>
      <c r="AD68" s="95">
        <f>VLOOKUP(AC68,STN_TABLE_2,2,FALSE)</f>
        <v>4</v>
      </c>
      <c r="AE68" s="68">
        <f>VLOOKUP(AD68,STN_TABLE,2,FALSE)</f>
        <v>11</v>
      </c>
      <c r="AF68" s="68">
        <v>1</v>
      </c>
      <c r="AG68" s="69">
        <f>AE68*AF68</f>
        <v>11</v>
      </c>
      <c r="AH68" s="496" t="s">
        <v>97</v>
      </c>
      <c r="AI68" s="496"/>
      <c r="AJ68" s="496" t="s">
        <v>98</v>
      </c>
      <c r="AK68" s="496"/>
      <c r="AL68" s="494" t="s">
        <v>99</v>
      </c>
      <c r="AM68" s="494"/>
      <c r="AP68" s="86" t="s">
        <v>112</v>
      </c>
      <c r="AQ68" s="89" t="s">
        <v>113</v>
      </c>
      <c r="AR68" s="89" t="s">
        <v>114</v>
      </c>
      <c r="AS68" s="89" t="s">
        <v>115</v>
      </c>
      <c r="AU68" s="81"/>
    </row>
    <row r="69" spans="1:47" x14ac:dyDescent="0.25">
      <c r="A69" s="84">
        <f>A68+1</f>
        <v>8</v>
      </c>
      <c r="B69" s="84">
        <f t="shared" si="11"/>
        <v>4</v>
      </c>
      <c r="C69" s="88">
        <f t="shared" ref="C69" si="24">B70</f>
        <v>4.8499999999999996</v>
      </c>
      <c r="D69" s="82">
        <f>VLOOKUP(C69,STN_TABLE,2,FALSE)</f>
        <v>11</v>
      </c>
      <c r="E69" s="92">
        <v>1</v>
      </c>
      <c r="F69" s="82">
        <f>D69*E69</f>
        <v>11</v>
      </c>
      <c r="G69" s="83">
        <f>C69</f>
        <v>4.8499999999999996</v>
      </c>
      <c r="H69" s="83">
        <f>F69*G69</f>
        <v>53.349999999999994</v>
      </c>
      <c r="I69" s="84" t="str">
        <f>CONCATENATE("a'(",C69,")=")</f>
        <v>a'(4.85)=</v>
      </c>
      <c r="J69" s="84" t="e">
        <f>2*J67/3*F70</f>
        <v>#N/A</v>
      </c>
      <c r="K69" s="84" t="str">
        <f>CONCATENATE("A(",C67,")=")</f>
        <v>A(#NA)=</v>
      </c>
      <c r="L69" s="84" t="e">
        <f>VLOOKUP(C67,STN_TABLE,3,FALSE)</f>
        <v>#N/A</v>
      </c>
      <c r="M69" t="str">
        <f>CONCATENATE("A(",C69,")=")</f>
        <v>A(4.85)=</v>
      </c>
      <c r="N69" t="e">
        <f>J69+L69</f>
        <v>#N/A</v>
      </c>
      <c r="O69" s="99">
        <f>O68+1</f>
        <v>10</v>
      </c>
      <c r="P69" s="99">
        <f t="shared" si="23"/>
        <v>5</v>
      </c>
      <c r="Q69" s="82" t="str">
        <f>IF(P69-P68=P68-P67,P69,IF(P70-P68=P68-P67,P70,IF(P69-P68=P68-P66,P69,IF(P70-P68=P68-P66,P70,"-"))))</f>
        <v>-</v>
      </c>
      <c r="R69" s="83" t="e">
        <f>VLOOKUP(Q69,STN_TABLE,2,FALSE)</f>
        <v>#N/A</v>
      </c>
      <c r="S69" s="83">
        <v>-1</v>
      </c>
      <c r="T69" s="82" t="e">
        <f>R69*S69</f>
        <v>#N/A</v>
      </c>
      <c r="U69" s="88">
        <v>-1</v>
      </c>
      <c r="V69" s="82" t="e">
        <f>R69*U69</f>
        <v>#N/A</v>
      </c>
      <c r="W69" s="84" t="str">
        <f>CONCATENATE("a'(",Q68,")=")</f>
        <v>a'(4.85)=</v>
      </c>
      <c r="X69" s="84" t="e">
        <f>2*X67/12*T70</f>
        <v>#VALUE!</v>
      </c>
      <c r="Y69" s="84" t="str">
        <f>CONCATENATE("A(",Q67,")=")</f>
        <v>A(-)=</v>
      </c>
      <c r="Z69" s="84" t="e">
        <f>VLOOKUP(Q67,STN_TABLE,3,FALSE)</f>
        <v>#N/A</v>
      </c>
      <c r="AA69" t="str">
        <f>CONCATENATE("A(",Q68,")=")</f>
        <v>A(4.85)=</v>
      </c>
      <c r="AB69" t="e">
        <f>X69+Z69</f>
        <v>#VALUE!</v>
      </c>
      <c r="AC69" s="99">
        <f>AC68+1</f>
        <v>9</v>
      </c>
      <c r="AD69" s="100">
        <f>VLOOKUP(AC69,STN_TABLE_2,2,FALSE)</f>
        <v>4.8499999999999996</v>
      </c>
      <c r="AE69" s="82">
        <f>VLOOKUP(AD69,STN_TABLE,2,FALSE)</f>
        <v>11</v>
      </c>
      <c r="AF69" s="82">
        <v>2</v>
      </c>
      <c r="AG69" s="83">
        <f>AE69*AF69</f>
        <v>22</v>
      </c>
      <c r="AH69" s="84" t="str">
        <f>CONCATENATE("a'(",AD69,")=")</f>
        <v>a'(4.85)=</v>
      </c>
      <c r="AI69" s="84">
        <f>2*AI67/2*AE70</f>
        <v>37.399999999999984</v>
      </c>
      <c r="AJ69" s="84" t="str">
        <f>CONCATENATE("A(",AD68,")=")</f>
        <v>A(4)=</v>
      </c>
      <c r="AK69" s="84">
        <f>VLOOKUP(AD68,STN_TABLE,3,FALSE)</f>
        <v>166.85333333333335</v>
      </c>
      <c r="AL69" t="str">
        <f>CONCATENATE("A(",AD69,")=")</f>
        <v>A(4.85)=</v>
      </c>
      <c r="AM69">
        <f>AI69+AK69</f>
        <v>204.25333333333333</v>
      </c>
      <c r="AO69" s="68" t="str">
        <f>AA69</f>
        <v>A(4.85)=</v>
      </c>
      <c r="AP69" s="68" t="e">
        <f>VLOOKUP(AO69,Rise_Results,2,FALSE)</f>
        <v>#N/A</v>
      </c>
      <c r="AQ69" s="76" t="e">
        <f>N69</f>
        <v>#N/A</v>
      </c>
      <c r="AR69" s="76" t="e">
        <f>IF(OR(AB69&lt;=0,AB70&lt;=0),1/0,AB69)</f>
        <v>#VALUE!</v>
      </c>
      <c r="AS69" s="76">
        <f>AM69</f>
        <v>204.25333333333333</v>
      </c>
      <c r="AT69">
        <f>IFERROR(AP69,IFERROR(AQ69,IFERROR(AR69,AS69)))</f>
        <v>204.25333333333333</v>
      </c>
      <c r="AU69" s="81"/>
    </row>
    <row r="70" spans="1:47" x14ac:dyDescent="0.25">
      <c r="A70" s="84">
        <f>A69+1</f>
        <v>9</v>
      </c>
      <c r="B70" s="84">
        <f t="shared" si="11"/>
        <v>4.8499999999999996</v>
      </c>
      <c r="F70" s="82" t="e">
        <f>SUM(F67:F69)</f>
        <v>#N/A</v>
      </c>
      <c r="H70" s="82" t="e">
        <f>SUM(H67:H69)</f>
        <v>#N/A</v>
      </c>
      <c r="I70" s="84" t="str">
        <f>CONCATENATE("m'(",C69,")=")</f>
        <v>m'(4.85)=</v>
      </c>
      <c r="J70" s="84" t="e">
        <f>2*(J67*(WLS))/3*H70</f>
        <v>#N/A</v>
      </c>
      <c r="K70" s="84" t="str">
        <f>CONCATENATE("M(",C67,")=")</f>
        <v>M(#NA)=</v>
      </c>
      <c r="L70" s="84" t="e">
        <f>VLOOKUP(C67,STN_TABLE,4,FALSE)</f>
        <v>#N/A</v>
      </c>
      <c r="M70" t="str">
        <f>CONCATENATE("M(",C69,")=")</f>
        <v>M(4.85)=</v>
      </c>
      <c r="N70" t="e">
        <f>J70+L70</f>
        <v>#N/A</v>
      </c>
      <c r="O70" s="99">
        <f>O69+1</f>
        <v>11</v>
      </c>
      <c r="P70" s="99">
        <f t="shared" si="23"/>
        <v>6</v>
      </c>
      <c r="T70" s="89" t="e">
        <f>SUM(T67:T69)</f>
        <v>#N/A</v>
      </c>
      <c r="V70" s="82" t="e">
        <f>SUM(V67:V69)</f>
        <v>#N/A</v>
      </c>
      <c r="W70" s="84" t="str">
        <f>CONCATENATE("m'(",Q68,")=")</f>
        <v>m'(4.85)=</v>
      </c>
      <c r="X70" s="84" t="e">
        <f>(2*(X67^2)/24*V70)+(X69*Q67*WLS)</f>
        <v>#VALUE!</v>
      </c>
      <c r="Y70" s="84" t="str">
        <f>CONCATENATE("M(",Q67,")=")</f>
        <v>M(-)=</v>
      </c>
      <c r="Z70" s="84" t="e">
        <f>VLOOKUP(Q67,STN_TABLE,4,FALSE)</f>
        <v>#N/A</v>
      </c>
      <c r="AA70" t="str">
        <f>CONCATENATE("M(",Q68,")=")</f>
        <v>M(4.85)=</v>
      </c>
      <c r="AB70" t="e">
        <f>X70+Z70</f>
        <v>#VALUE!</v>
      </c>
      <c r="AE70" s="89">
        <f>SUM(AE68:AE69)</f>
        <v>22</v>
      </c>
      <c r="AG70" s="89">
        <f>SUM(AG68:AG69)</f>
        <v>33</v>
      </c>
      <c r="AH70" s="84" t="str">
        <f>CONCATENATE("m'(",AD69,")=")</f>
        <v>m'(4.85)=</v>
      </c>
      <c r="AI70" s="84">
        <f>(2*(AI67^2)/6*AG70)+(AI69*AD68*WLS)</f>
        <v>330.98999999999984</v>
      </c>
      <c r="AJ70" s="84" t="str">
        <f>CONCATENATE("M(",AD68,")=")</f>
        <v>M(4)=</v>
      </c>
      <c r="AK70" s="84">
        <f>VLOOKUP(AD68,STN_TABLE,4,FALSE)</f>
        <v>689.58</v>
      </c>
      <c r="AL70" t="str">
        <f>CONCATENATE("M(",AD69,")=")</f>
        <v>M(4.85)=</v>
      </c>
      <c r="AM70">
        <f>AI70+AK70</f>
        <v>1020.5699999999999</v>
      </c>
      <c r="AO70" s="82" t="str">
        <f>AA70</f>
        <v>M(4.85)=</v>
      </c>
      <c r="AP70" s="82" t="e">
        <f>VLOOKUP(AO70,Rise_Results,2,FALSE)</f>
        <v>#N/A</v>
      </c>
      <c r="AQ70" s="82" t="e">
        <f>N70</f>
        <v>#N/A</v>
      </c>
      <c r="AR70" s="82" t="e">
        <f>IF(OR(AB69&lt;=0,AB70&lt;=0),1/0,AB70)</f>
        <v>#VALUE!</v>
      </c>
      <c r="AS70" s="82">
        <f>AM70</f>
        <v>1020.5699999999999</v>
      </c>
      <c r="AT70">
        <f>IFERROR(AP70,IFERROR(AQ70,IFERROR(AR70,AS70)))</f>
        <v>1020.5699999999999</v>
      </c>
      <c r="AU70" s="81"/>
    </row>
    <row r="71" spans="1:47" x14ac:dyDescent="0.25">
      <c r="A71" s="101">
        <f>A66+1</f>
        <v>6</v>
      </c>
      <c r="B71" s="101">
        <f t="shared" si="11"/>
        <v>2</v>
      </c>
      <c r="O71" s="101">
        <f>O66+1</f>
        <v>8</v>
      </c>
      <c r="P71" s="101">
        <f t="shared" si="23"/>
        <v>4</v>
      </c>
      <c r="AU71" s="81"/>
    </row>
    <row r="72" spans="1:47" x14ac:dyDescent="0.25">
      <c r="A72" s="84">
        <f>A71+1</f>
        <v>7</v>
      </c>
      <c r="B72" s="84">
        <f t="shared" si="11"/>
        <v>3</v>
      </c>
      <c r="C72" s="79">
        <f t="shared" ref="C72" si="25">IF(C73=B74,IF(C74-C73=C73-B73,B73,IF(C74-C73=C73-B72,B72,"#NA")),IF(C73=B73,IF(C74-C73=C73-B72,B72,IF(C74-C73=C73-B71,B71,"#NA")),"#NA"))</f>
        <v>3</v>
      </c>
      <c r="D72" s="68">
        <f>VLOOKUP(C72,STN_TABLE,2,FALSE)</f>
        <v>10.9</v>
      </c>
      <c r="E72" s="102">
        <v>1</v>
      </c>
      <c r="F72" s="68">
        <f>D72*E72</f>
        <v>10.9</v>
      </c>
      <c r="G72" s="69">
        <f>C72</f>
        <v>3</v>
      </c>
      <c r="H72" s="69">
        <f>F72*G72</f>
        <v>32.700000000000003</v>
      </c>
      <c r="I72" s="6" t="s">
        <v>93</v>
      </c>
      <c r="J72" s="70">
        <f>IF(OR(D72=0,D73=0,D74=0),"#NA",IF(AND(C74-C73=C73-C72,C73&lt;&gt;C74,C72&lt;&gt;C73,C72&lt;&gt;C74,D74&lt;&gt;0,OR(D72&lt;&gt;0,D73&lt;&gt;0)),WLS*(C74-C73),"#NA"))</f>
        <v>2</v>
      </c>
      <c r="O72" s="99">
        <f>O71+1</f>
        <v>9</v>
      </c>
      <c r="P72" s="99">
        <f t="shared" si="23"/>
        <v>4.8499999999999996</v>
      </c>
      <c r="Q72" s="68">
        <f>IF(OR(P74-P73=P73-P72,P75-P73=P73-P72),P72,IF(OR(P74-P73=P73-P71,P75-P73=P73-P71),P71,"-"))</f>
        <v>4</v>
      </c>
      <c r="R72" s="69">
        <f>VLOOKUP(Q72,STN_TABLE,2,FALSE)</f>
        <v>11</v>
      </c>
      <c r="S72" s="69">
        <v>5</v>
      </c>
      <c r="T72" s="68">
        <f>R72*S72</f>
        <v>55</v>
      </c>
      <c r="U72" s="79">
        <v>3</v>
      </c>
      <c r="V72" s="68">
        <f>R72*U72</f>
        <v>33</v>
      </c>
      <c r="W72" s="6" t="s">
        <v>93</v>
      </c>
      <c r="X72" s="70">
        <f>IF(AND(Q74-Q73=Q73-Q72,NOT(AND(Q72=0,Q73=0)),NOT(AND(Q73=0,Q74=0))),WLS*(Q74-Q73),"#NA")</f>
        <v>2</v>
      </c>
      <c r="AD72" s="93"/>
      <c r="AH72" s="6" t="s">
        <v>93</v>
      </c>
      <c r="AI72" s="70">
        <f>WLS*(AD74-AD73)</f>
        <v>0.30000000000000071</v>
      </c>
      <c r="AU72" s="81"/>
    </row>
    <row r="73" spans="1:47" x14ac:dyDescent="0.25">
      <c r="A73" s="84">
        <f>A72+1</f>
        <v>8</v>
      </c>
      <c r="B73" s="84">
        <f t="shared" si="11"/>
        <v>4</v>
      </c>
      <c r="C73" s="80">
        <f t="shared" ref="C73" si="26">IF(OR(B75-B74=B74-B73,B75-B74=B74-B72,B75-B74=B74-B71),B74,IF(OR(B75-B73=B73-B72,B75-B73=B73-B71),B73,IF(B75-B72=B72-B71,B72,"#NA")))</f>
        <v>4</v>
      </c>
      <c r="D73" s="76">
        <f>VLOOKUP(C73,STN_TABLE,2,FALSE)</f>
        <v>11</v>
      </c>
      <c r="E73" s="81">
        <v>4</v>
      </c>
      <c r="F73" s="76">
        <f>D73*E73</f>
        <v>44</v>
      </c>
      <c r="G73" s="77">
        <f>C73</f>
        <v>4</v>
      </c>
      <c r="H73" s="77">
        <f>F73*G73</f>
        <v>176</v>
      </c>
      <c r="I73" s="495" t="s">
        <v>97</v>
      </c>
      <c r="J73" s="496"/>
      <c r="K73" s="78" t="s">
        <v>98</v>
      </c>
      <c r="L73" s="78"/>
      <c r="M73" s="7" t="s">
        <v>99</v>
      </c>
      <c r="N73" s="7"/>
      <c r="O73" s="99">
        <f>O72+1</f>
        <v>10</v>
      </c>
      <c r="P73" s="99">
        <f t="shared" si="23"/>
        <v>5</v>
      </c>
      <c r="Q73" s="76">
        <f>P73</f>
        <v>5</v>
      </c>
      <c r="R73" s="77">
        <f>VLOOKUP(Q73,STN_TABLE,2,FALSE)</f>
        <v>11</v>
      </c>
      <c r="S73" s="77">
        <v>8</v>
      </c>
      <c r="T73" s="76">
        <f>R73*S73</f>
        <v>88</v>
      </c>
      <c r="U73" s="80">
        <v>10</v>
      </c>
      <c r="V73" s="76">
        <f>R73*U73</f>
        <v>110</v>
      </c>
      <c r="W73" s="496" t="s">
        <v>97</v>
      </c>
      <c r="X73" s="496"/>
      <c r="Y73" s="496" t="s">
        <v>98</v>
      </c>
      <c r="Z73" s="496"/>
      <c r="AA73" s="494" t="s">
        <v>99</v>
      </c>
      <c r="AB73" s="494"/>
      <c r="AC73" s="99">
        <f>AC68+1</f>
        <v>9</v>
      </c>
      <c r="AD73" s="95">
        <f>VLOOKUP(AC73,STN_TABLE_2,2,FALSE)</f>
        <v>4.8499999999999996</v>
      </c>
      <c r="AE73" s="68">
        <f>VLOOKUP(AD73,STN_TABLE,2,FALSE)</f>
        <v>11</v>
      </c>
      <c r="AF73" s="68">
        <v>1</v>
      </c>
      <c r="AG73" s="69">
        <f>AE73*AF73</f>
        <v>11</v>
      </c>
      <c r="AH73" s="496" t="s">
        <v>97</v>
      </c>
      <c r="AI73" s="496"/>
      <c r="AJ73" s="496" t="s">
        <v>98</v>
      </c>
      <c r="AK73" s="496"/>
      <c r="AL73" s="494" t="s">
        <v>99</v>
      </c>
      <c r="AM73" s="494"/>
      <c r="AP73" s="86" t="s">
        <v>112</v>
      </c>
      <c r="AQ73" s="89" t="s">
        <v>113</v>
      </c>
      <c r="AR73" s="89" t="s">
        <v>114</v>
      </c>
      <c r="AS73" s="89" t="s">
        <v>115</v>
      </c>
      <c r="AU73" s="81"/>
    </row>
    <row r="74" spans="1:47" x14ac:dyDescent="0.25">
      <c r="A74" s="84">
        <f>A73+1</f>
        <v>9</v>
      </c>
      <c r="B74" s="84">
        <f t="shared" ref="B74:B105" si="27">VLOOKUP(A74,STN_TABLE_2,2,FALSE)</f>
        <v>4.8499999999999996</v>
      </c>
      <c r="C74" s="88">
        <f t="shared" ref="C74" si="28">B75</f>
        <v>5</v>
      </c>
      <c r="D74" s="82">
        <f>VLOOKUP(C74,STN_TABLE,2,FALSE)</f>
        <v>11</v>
      </c>
      <c r="E74" s="92">
        <v>1</v>
      </c>
      <c r="F74" s="82">
        <f>D74*E74</f>
        <v>11</v>
      </c>
      <c r="G74" s="83">
        <f>C74</f>
        <v>5</v>
      </c>
      <c r="H74" s="83">
        <f>F74*G74</f>
        <v>55</v>
      </c>
      <c r="I74" s="84" t="str">
        <f>CONCATENATE("a'(",C74,")=")</f>
        <v>a'(5)=</v>
      </c>
      <c r="J74" s="84">
        <f>2*J72/3*F75</f>
        <v>87.866666666666674</v>
      </c>
      <c r="K74" s="84" t="str">
        <f>CONCATENATE("A(",C72,")=")</f>
        <v>A(3)=</v>
      </c>
      <c r="L74" s="84">
        <f>VLOOKUP(C72,STN_TABLE,3,FALSE)</f>
        <v>123.22000000000001</v>
      </c>
      <c r="M74" t="str">
        <f>CONCATENATE("A(",C74,")=")</f>
        <v>A(5)=</v>
      </c>
      <c r="N74">
        <f>J74+L74</f>
        <v>211.0866666666667</v>
      </c>
      <c r="O74" s="99">
        <f>O73+1</f>
        <v>11</v>
      </c>
      <c r="P74" s="99">
        <f t="shared" si="23"/>
        <v>6</v>
      </c>
      <c r="Q74" s="82">
        <f>IF(P74-P73=P73-P72,P74,IF(P75-P73=P73-P72,P75,IF(P74-P73=P73-P71,P74,IF(P75-P73=P73-P71,P75,"-"))))</f>
        <v>6</v>
      </c>
      <c r="R74" s="83">
        <f>VLOOKUP(Q74,STN_TABLE,2,FALSE)</f>
        <v>11</v>
      </c>
      <c r="S74" s="83">
        <v>-1</v>
      </c>
      <c r="T74" s="82">
        <f>R74*S74</f>
        <v>-11</v>
      </c>
      <c r="U74" s="88">
        <v>-1</v>
      </c>
      <c r="V74" s="82">
        <f>R74*U74</f>
        <v>-11</v>
      </c>
      <c r="W74" s="84" t="str">
        <f>CONCATENATE("a'(",Q73,")=")</f>
        <v>a'(5)=</v>
      </c>
      <c r="X74" s="84">
        <f>2*X72/12*T75</f>
        <v>44</v>
      </c>
      <c r="Y74" s="84" t="str">
        <f>CONCATENATE("A(",Q72,")=")</f>
        <v>A(4)=</v>
      </c>
      <c r="Z74" s="84">
        <f>VLOOKUP(Q72,STN_TABLE,3,FALSE)</f>
        <v>166.85333333333335</v>
      </c>
      <c r="AA74" t="str">
        <f>CONCATENATE("A(",Q73,")=")</f>
        <v>A(5)=</v>
      </c>
      <c r="AB74">
        <f>X74+Z74</f>
        <v>210.85333333333335</v>
      </c>
      <c r="AC74" s="99">
        <f>AC73+1</f>
        <v>10</v>
      </c>
      <c r="AD74" s="100">
        <f>VLOOKUP(AC74,STN_TABLE_2,2,FALSE)</f>
        <v>5</v>
      </c>
      <c r="AE74" s="82">
        <f>VLOOKUP(AD74,STN_TABLE,2,FALSE)</f>
        <v>11</v>
      </c>
      <c r="AF74" s="82">
        <v>2</v>
      </c>
      <c r="AG74" s="83">
        <f>AE74*AF74</f>
        <v>22</v>
      </c>
      <c r="AH74" s="84" t="str">
        <f>CONCATENATE("a'(",AD74,")=")</f>
        <v>a'(5)=</v>
      </c>
      <c r="AI74" s="84">
        <f>2*AI72/2*AE75</f>
        <v>6.6000000000000156</v>
      </c>
      <c r="AJ74" s="84" t="str">
        <f>CONCATENATE("A(",AD73,")=")</f>
        <v>A(4.85)=</v>
      </c>
      <c r="AK74" s="84">
        <f>VLOOKUP(AD73,STN_TABLE,3,FALSE)</f>
        <v>204.25333333333333</v>
      </c>
      <c r="AL74" t="str">
        <f>CONCATENATE("A(",AD74,")=")</f>
        <v>A(5)=</v>
      </c>
      <c r="AM74">
        <f>AI74+AK74</f>
        <v>210.85333333333335</v>
      </c>
      <c r="AO74" s="68" t="str">
        <f>AA74</f>
        <v>A(5)=</v>
      </c>
      <c r="AP74" s="68" t="e">
        <f>VLOOKUP(AO74,Rise_Results,2,FALSE)</f>
        <v>#N/A</v>
      </c>
      <c r="AQ74" s="76">
        <f>N74</f>
        <v>211.0866666666667</v>
      </c>
      <c r="AR74" s="76">
        <f>IF(OR(AB74&lt;=0,AB75&lt;=0),1/0,AB74)</f>
        <v>210.85333333333335</v>
      </c>
      <c r="AS74" s="76">
        <f>AM74</f>
        <v>210.85333333333335</v>
      </c>
      <c r="AT74">
        <f>IFERROR(AP74,IFERROR(AQ74,IFERROR(AR74,AS74)))</f>
        <v>211.0866666666667</v>
      </c>
      <c r="AU74" s="81"/>
    </row>
    <row r="75" spans="1:47" x14ac:dyDescent="0.25">
      <c r="A75" s="84">
        <f>A74+1</f>
        <v>10</v>
      </c>
      <c r="B75" s="84">
        <f t="shared" si="27"/>
        <v>5</v>
      </c>
      <c r="F75" s="82">
        <f>SUM(F72:F74)</f>
        <v>65.900000000000006</v>
      </c>
      <c r="H75" s="82">
        <f>SUM(H72:H74)</f>
        <v>263.7</v>
      </c>
      <c r="I75" s="84" t="str">
        <f>CONCATENATE("m'(",C74,")=")</f>
        <v>m'(5)=</v>
      </c>
      <c r="J75" s="84">
        <f>2*(J72*(WLS))/3*H75</f>
        <v>703.19999999999993</v>
      </c>
      <c r="K75" s="84" t="str">
        <f>CONCATENATE("M(",C72,")=")</f>
        <v>M(3)=</v>
      </c>
      <c r="L75" s="84">
        <f>VLOOKUP(C72,STN_TABLE,4,FALSE)</f>
        <v>383.74666666666667</v>
      </c>
      <c r="M75" t="str">
        <f>CONCATENATE("M(",C74,")=")</f>
        <v>M(5)=</v>
      </c>
      <c r="N75">
        <f>J75+L75</f>
        <v>1086.9466666666667</v>
      </c>
      <c r="O75" s="99">
        <f>O74+1</f>
        <v>12</v>
      </c>
      <c r="P75" s="99">
        <f t="shared" si="23"/>
        <v>6.5</v>
      </c>
      <c r="T75" s="89">
        <f>SUM(T72:T74)</f>
        <v>132</v>
      </c>
      <c r="V75" s="82">
        <f>SUM(V72:V74)</f>
        <v>132</v>
      </c>
      <c r="W75" s="84" t="str">
        <f>CONCATENATE("m'(",Q73,")=")</f>
        <v>m'(5)=</v>
      </c>
      <c r="X75" s="84">
        <f>(2*(X72^2)/24*V75)+(X74*Q72*WLS)</f>
        <v>396</v>
      </c>
      <c r="Y75" s="84" t="str">
        <f>CONCATENATE("M(",Q72,")=")</f>
        <v>M(4)=</v>
      </c>
      <c r="Z75" s="84">
        <f>VLOOKUP(Q72,STN_TABLE,4,FALSE)</f>
        <v>689.58</v>
      </c>
      <c r="AA75" t="str">
        <f>CONCATENATE("M(",Q73,")=")</f>
        <v>M(5)=</v>
      </c>
      <c r="AB75">
        <f>X75+Z75</f>
        <v>1085.58</v>
      </c>
      <c r="AE75" s="89">
        <f>SUM(AE73:AE74)</f>
        <v>22</v>
      </c>
      <c r="AG75" s="89">
        <f>SUM(AG73:AG74)</f>
        <v>33</v>
      </c>
      <c r="AH75" s="84" t="str">
        <f>CONCATENATE("m'(",AD74,")=")</f>
        <v>m'(5)=</v>
      </c>
      <c r="AI75" s="84">
        <f>(2*(AI72^2)/6*AG75)+(AI74*AD73*WLS)</f>
        <v>65.010000000000161</v>
      </c>
      <c r="AJ75" s="84" t="str">
        <f>CONCATENATE("M(",AD73,")=")</f>
        <v>M(4.85)=</v>
      </c>
      <c r="AK75" s="84">
        <f>VLOOKUP(AD73,STN_TABLE,4,FALSE)</f>
        <v>1020.5699999999999</v>
      </c>
      <c r="AL75" t="str">
        <f>CONCATENATE("M(",AD74,")=")</f>
        <v>M(5)=</v>
      </c>
      <c r="AM75">
        <f>AI75+AK75</f>
        <v>1085.5800000000002</v>
      </c>
      <c r="AO75" s="82" t="str">
        <f>AA75</f>
        <v>M(5)=</v>
      </c>
      <c r="AP75" s="82" t="e">
        <f>VLOOKUP(AO75,Rise_Results,2,FALSE)</f>
        <v>#N/A</v>
      </c>
      <c r="AQ75" s="82">
        <f>N75</f>
        <v>1086.9466666666667</v>
      </c>
      <c r="AR75" s="82">
        <f>IF(OR(AB74&lt;=0,AB75&lt;=0),1/0,AB75)</f>
        <v>1085.58</v>
      </c>
      <c r="AS75" s="82">
        <f>AM75</f>
        <v>1085.5800000000002</v>
      </c>
      <c r="AT75">
        <f>IFERROR(AP75,IFERROR(AQ75,IFERROR(AR75,AS75)))</f>
        <v>1086.9466666666667</v>
      </c>
      <c r="AU75" s="81"/>
    </row>
    <row r="76" spans="1:47" x14ac:dyDescent="0.25">
      <c r="A76" s="101">
        <f>A71+1</f>
        <v>7</v>
      </c>
      <c r="B76" s="101">
        <f t="shared" si="27"/>
        <v>3</v>
      </c>
      <c r="O76" s="101">
        <f>O71+1</f>
        <v>9</v>
      </c>
      <c r="P76" s="101">
        <f t="shared" si="23"/>
        <v>4.8499999999999996</v>
      </c>
      <c r="AU76" s="81"/>
    </row>
    <row r="77" spans="1:47" x14ac:dyDescent="0.25">
      <c r="A77" s="84">
        <f>A76+1</f>
        <v>8</v>
      </c>
      <c r="B77" s="84">
        <f t="shared" si="27"/>
        <v>4</v>
      </c>
      <c r="C77" s="79">
        <f t="shared" ref="C77" si="29">IF(C78=B79,IF(C79-C78=C78-B78,B78,IF(C79-C78=C78-B77,B77,"#NA")),IF(C78=B78,IF(C79-C78=C78-B77,B77,IF(C79-C78=C78-B76,B76,"#NA")),"#NA"))</f>
        <v>4</v>
      </c>
      <c r="D77" s="68">
        <f>VLOOKUP(C77,STN_TABLE,2,FALSE)</f>
        <v>11</v>
      </c>
      <c r="E77" s="102">
        <v>1</v>
      </c>
      <c r="F77" s="68">
        <f>D77*E77</f>
        <v>11</v>
      </c>
      <c r="G77" s="69">
        <f>C77</f>
        <v>4</v>
      </c>
      <c r="H77" s="69">
        <f>F77*G77</f>
        <v>44</v>
      </c>
      <c r="I77" s="6" t="s">
        <v>93</v>
      </c>
      <c r="J77" s="70">
        <f>IF(OR(D77=0,D78=0,D79=0),"#NA",IF(AND(C79-C78=C78-C77,C78&lt;&gt;C79,C77&lt;&gt;C78,C77&lt;&gt;C79,D79&lt;&gt;0,OR(D77&lt;&gt;0,D78&lt;&gt;0)),WLS*(C79-C78),"#NA"))</f>
        <v>2</v>
      </c>
      <c r="O77" s="99">
        <f>O76+1</f>
        <v>10</v>
      </c>
      <c r="P77" s="99">
        <f t="shared" si="23"/>
        <v>5</v>
      </c>
      <c r="Q77" s="68" t="e">
        <f>IF(OR(P79-P78=P78-P77,P80-P78=P78-P77),P77,IF(OR(P79-P78=P78-P76,P80-P78=P78-P76),P76,"-"))</f>
        <v>#VALUE!</v>
      </c>
      <c r="R77" s="69" t="e">
        <f>VLOOKUP(Q77,STN_TABLE,2,FALSE)</f>
        <v>#VALUE!</v>
      </c>
      <c r="S77" s="69">
        <v>5</v>
      </c>
      <c r="T77" s="68" t="e">
        <f>R77*S77</f>
        <v>#VALUE!</v>
      </c>
      <c r="U77" s="79">
        <v>3</v>
      </c>
      <c r="V77" s="68" t="e">
        <f>R77*U77</f>
        <v>#VALUE!</v>
      </c>
      <c r="W77" s="6" t="s">
        <v>93</v>
      </c>
      <c r="X77" s="70" t="e">
        <f>IF(AND(Q79-Q78=Q78-Q77,NOT(AND(Q77=0,Q78=0)),NOT(AND(Q78=0,Q79=0))),WLS*(Q79-Q78),"#NA")</f>
        <v>#VALUE!</v>
      </c>
      <c r="AD77" s="93"/>
      <c r="AH77" s="6" t="s">
        <v>93</v>
      </c>
      <c r="AI77" s="70">
        <f>WLS*(AD79-AD78)</f>
        <v>2</v>
      </c>
      <c r="AU77" s="81"/>
    </row>
    <row r="78" spans="1:47" x14ac:dyDescent="0.25">
      <c r="A78" s="84">
        <f>A77+1</f>
        <v>9</v>
      </c>
      <c r="B78" s="84">
        <f t="shared" si="27"/>
        <v>4.8499999999999996</v>
      </c>
      <c r="C78" s="80">
        <f t="shared" ref="C78" si="30">IF(OR(B80-B79=B79-B78,B80-B79=B79-B77,B80-B79=B79-B76),B79,IF(OR(B80-B78=B78-B77,B80-B78=B78-B76),B78,IF(B80-B77=B77-B76,B77,"#NA")))</f>
        <v>5</v>
      </c>
      <c r="D78" s="76">
        <f>VLOOKUP(C78,STN_TABLE,2,FALSE)</f>
        <v>11</v>
      </c>
      <c r="E78" s="81">
        <v>4</v>
      </c>
      <c r="F78" s="76">
        <f>D78*E78</f>
        <v>44</v>
      </c>
      <c r="G78" s="77">
        <f>C78</f>
        <v>5</v>
      </c>
      <c r="H78" s="77">
        <f>F78*G78</f>
        <v>220</v>
      </c>
      <c r="I78" s="495" t="s">
        <v>97</v>
      </c>
      <c r="J78" s="496"/>
      <c r="K78" s="78" t="s">
        <v>98</v>
      </c>
      <c r="L78" s="78"/>
      <c r="M78" s="7" t="s">
        <v>99</v>
      </c>
      <c r="N78" s="7"/>
      <c r="O78" s="99">
        <f>O77+1</f>
        <v>11</v>
      </c>
      <c r="P78" s="99">
        <f t="shared" si="23"/>
        <v>6</v>
      </c>
      <c r="Q78" s="76">
        <f>P78</f>
        <v>6</v>
      </c>
      <c r="R78" s="77">
        <f>VLOOKUP(Q78,STN_TABLE,2,FALSE)</f>
        <v>11</v>
      </c>
      <c r="S78" s="77">
        <v>8</v>
      </c>
      <c r="T78" s="76">
        <f>R78*S78</f>
        <v>88</v>
      </c>
      <c r="U78" s="80">
        <v>10</v>
      </c>
      <c r="V78" s="76">
        <f>R78*U78</f>
        <v>110</v>
      </c>
      <c r="W78" s="496" t="s">
        <v>97</v>
      </c>
      <c r="X78" s="496"/>
      <c r="Y78" s="496" t="s">
        <v>98</v>
      </c>
      <c r="Z78" s="496"/>
      <c r="AA78" s="494" t="s">
        <v>99</v>
      </c>
      <c r="AB78" s="494"/>
      <c r="AC78" s="99">
        <f>AC73+1</f>
        <v>10</v>
      </c>
      <c r="AD78" s="95">
        <f>VLOOKUP(AC78,STN_TABLE_2,2,FALSE)</f>
        <v>5</v>
      </c>
      <c r="AE78" s="68">
        <f>VLOOKUP(AD78,STN_TABLE,2,FALSE)</f>
        <v>11</v>
      </c>
      <c r="AF78" s="68">
        <v>1</v>
      </c>
      <c r="AG78" s="69">
        <f>AE78*AF78</f>
        <v>11</v>
      </c>
      <c r="AH78" s="496" t="s">
        <v>97</v>
      </c>
      <c r="AI78" s="496"/>
      <c r="AJ78" s="496" t="s">
        <v>98</v>
      </c>
      <c r="AK78" s="496"/>
      <c r="AL78" s="494" t="s">
        <v>99</v>
      </c>
      <c r="AM78" s="494"/>
      <c r="AP78" s="86" t="s">
        <v>112</v>
      </c>
      <c r="AQ78" s="89" t="s">
        <v>113</v>
      </c>
      <c r="AR78" s="89" t="s">
        <v>114</v>
      </c>
      <c r="AS78" s="89" t="s">
        <v>115</v>
      </c>
      <c r="AU78" s="81"/>
    </row>
    <row r="79" spans="1:47" x14ac:dyDescent="0.25">
      <c r="A79" s="84">
        <f>A78+1</f>
        <v>10</v>
      </c>
      <c r="B79" s="84">
        <f t="shared" si="27"/>
        <v>5</v>
      </c>
      <c r="C79" s="88">
        <f t="shared" ref="C79" si="31">B80</f>
        <v>6</v>
      </c>
      <c r="D79" s="82">
        <f>VLOOKUP(C79,STN_TABLE,2,FALSE)</f>
        <v>11</v>
      </c>
      <c r="E79" s="92">
        <v>1</v>
      </c>
      <c r="F79" s="82">
        <f>D79*E79</f>
        <v>11</v>
      </c>
      <c r="G79" s="83">
        <f>C79</f>
        <v>6</v>
      </c>
      <c r="H79" s="83">
        <f>F79*G79</f>
        <v>66</v>
      </c>
      <c r="I79" s="84" t="str">
        <f>CONCATENATE("a'(",C79,")=")</f>
        <v>a'(6)=</v>
      </c>
      <c r="J79" s="84">
        <f>2*J77/3*F80</f>
        <v>88</v>
      </c>
      <c r="K79" s="84" t="str">
        <f>CONCATENATE("A(",C77,")=")</f>
        <v>A(4)=</v>
      </c>
      <c r="L79" s="84">
        <f>VLOOKUP(C77,STN_TABLE,3,FALSE)</f>
        <v>166.85333333333335</v>
      </c>
      <c r="M79" t="str">
        <f>CONCATENATE("A(",C79,")=")</f>
        <v>A(6)=</v>
      </c>
      <c r="N79">
        <f>J79+L79</f>
        <v>254.85333333333335</v>
      </c>
      <c r="O79" s="99">
        <f>O78+1</f>
        <v>12</v>
      </c>
      <c r="P79" s="99">
        <f t="shared" si="23"/>
        <v>6.5</v>
      </c>
      <c r="Q79" s="82" t="e">
        <f>IF(P79-P78=P78-P77,P79,IF(P80-P78=P78-P77,P80,IF(P79-P78=P78-P76,P79,IF(P80-P78=P78-P76,P80,"-"))))</f>
        <v>#VALUE!</v>
      </c>
      <c r="R79" s="83" t="e">
        <f>VLOOKUP(Q79,STN_TABLE,2,FALSE)</f>
        <v>#VALUE!</v>
      </c>
      <c r="S79" s="83">
        <v>-1</v>
      </c>
      <c r="T79" s="82" t="e">
        <f>R79*S79</f>
        <v>#VALUE!</v>
      </c>
      <c r="U79" s="88">
        <v>-1</v>
      </c>
      <c r="V79" s="82" t="e">
        <f>R79*U79</f>
        <v>#VALUE!</v>
      </c>
      <c r="W79" s="84" t="str">
        <f>CONCATENATE("a'(",Q78,")=")</f>
        <v>a'(6)=</v>
      </c>
      <c r="X79" s="84" t="e">
        <f>2*X77/12*T80</f>
        <v>#VALUE!</v>
      </c>
      <c r="Y79" s="84" t="e">
        <f>CONCATENATE("A(",Q77,")=")</f>
        <v>#VALUE!</v>
      </c>
      <c r="Z79" s="84" t="e">
        <f>VLOOKUP(Q77,STN_TABLE,3,FALSE)</f>
        <v>#VALUE!</v>
      </c>
      <c r="AA79" t="str">
        <f>CONCATENATE("A(",Q78,")=")</f>
        <v>A(6)=</v>
      </c>
      <c r="AB79" t="e">
        <f>X79+Z79</f>
        <v>#VALUE!</v>
      </c>
      <c r="AC79" s="99">
        <f>AC78+1</f>
        <v>11</v>
      </c>
      <c r="AD79" s="100">
        <f>VLOOKUP(AC79,STN_TABLE_2,2,FALSE)</f>
        <v>6</v>
      </c>
      <c r="AE79" s="82">
        <f>VLOOKUP(AD79,STN_TABLE,2,FALSE)</f>
        <v>11</v>
      </c>
      <c r="AF79" s="82">
        <v>2</v>
      </c>
      <c r="AG79" s="83">
        <f>AE79*AF79</f>
        <v>22</v>
      </c>
      <c r="AH79" s="84" t="str">
        <f>CONCATENATE("a'(",AD79,")=")</f>
        <v>a'(6)=</v>
      </c>
      <c r="AI79" s="84">
        <f>2*AI77/2*AE80</f>
        <v>44</v>
      </c>
      <c r="AJ79" s="84" t="str">
        <f>CONCATENATE("A(",AD78,")=")</f>
        <v>A(5)=</v>
      </c>
      <c r="AK79" s="84">
        <f>VLOOKUP(AD78,STN_TABLE,3,FALSE)</f>
        <v>211.0866666666667</v>
      </c>
      <c r="AL79" t="str">
        <f>CONCATENATE("A(",AD79,")=")</f>
        <v>A(6)=</v>
      </c>
      <c r="AM79">
        <f>AI79+AK79</f>
        <v>255.0866666666667</v>
      </c>
      <c r="AO79" s="68" t="str">
        <f>AA79</f>
        <v>A(6)=</v>
      </c>
      <c r="AP79" s="68" t="e">
        <f>VLOOKUP(AO79,Rise_Results,2,FALSE)</f>
        <v>#N/A</v>
      </c>
      <c r="AQ79" s="76">
        <f>N79</f>
        <v>254.85333333333335</v>
      </c>
      <c r="AR79" s="76" t="e">
        <f>IF(OR(AB79&lt;=0,AB80&lt;=0),1/0,AB79)</f>
        <v>#VALUE!</v>
      </c>
      <c r="AS79" s="76">
        <f>AM79</f>
        <v>255.0866666666667</v>
      </c>
      <c r="AT79">
        <f>IFERROR(AP79,IFERROR(AQ79,IFERROR(AR79,AS79)))</f>
        <v>254.85333333333335</v>
      </c>
      <c r="AU79" s="81"/>
    </row>
    <row r="80" spans="1:47" x14ac:dyDescent="0.25">
      <c r="A80" s="84">
        <f>A79+1</f>
        <v>11</v>
      </c>
      <c r="B80" s="84">
        <f t="shared" si="27"/>
        <v>6</v>
      </c>
      <c r="F80" s="82">
        <f>SUM(F77:F79)</f>
        <v>66</v>
      </c>
      <c r="H80" s="82">
        <f>SUM(H77:H79)</f>
        <v>330</v>
      </c>
      <c r="I80" s="84" t="str">
        <f>CONCATENATE("m'(",C79,")=")</f>
        <v>m'(6)=</v>
      </c>
      <c r="J80" s="84">
        <f>2*(J77*(WLS))/3*H80</f>
        <v>880</v>
      </c>
      <c r="K80" s="84" t="str">
        <f>CONCATENATE("M(",C77,")=")</f>
        <v>M(4)=</v>
      </c>
      <c r="L80" s="84">
        <f>VLOOKUP(C77,STN_TABLE,4,FALSE)</f>
        <v>689.58</v>
      </c>
      <c r="M80" t="str">
        <f>CONCATENATE("M(",C79,")=")</f>
        <v>M(6)=</v>
      </c>
      <c r="N80">
        <f>J80+L80</f>
        <v>1569.58</v>
      </c>
      <c r="O80" s="99">
        <f>O79+1</f>
        <v>13</v>
      </c>
      <c r="P80" s="99" t="str">
        <f t="shared" si="23"/>
        <v xml:space="preserve">  </v>
      </c>
      <c r="T80" s="89" t="e">
        <f>SUM(T77:T79)</f>
        <v>#VALUE!</v>
      </c>
      <c r="V80" s="82" t="e">
        <f>SUM(V77:V79)</f>
        <v>#VALUE!</v>
      </c>
      <c r="W80" s="84" t="str">
        <f>CONCATENATE("m'(",Q78,")=")</f>
        <v>m'(6)=</v>
      </c>
      <c r="X80" s="84" t="e">
        <f>(2*(X77^2)/24*V80)+(X79*Q77*WLS)</f>
        <v>#VALUE!</v>
      </c>
      <c r="Y80" s="84" t="e">
        <f>CONCATENATE("M(",Q77,")=")</f>
        <v>#VALUE!</v>
      </c>
      <c r="Z80" s="84" t="e">
        <f>VLOOKUP(Q77,STN_TABLE,4,FALSE)</f>
        <v>#VALUE!</v>
      </c>
      <c r="AA80" t="str">
        <f>CONCATENATE("M(",Q78,")=")</f>
        <v>M(6)=</v>
      </c>
      <c r="AB80" t="e">
        <f>X80+Z80</f>
        <v>#VALUE!</v>
      </c>
      <c r="AE80" s="89">
        <f>SUM(AE78:AE79)</f>
        <v>22</v>
      </c>
      <c r="AG80" s="89">
        <f>SUM(AG78:AG79)</f>
        <v>33</v>
      </c>
      <c r="AH80" s="84" t="str">
        <f>CONCATENATE("m'(",AD79,")=")</f>
        <v>m'(6)=</v>
      </c>
      <c r="AI80" s="84">
        <f>(2*(AI77^2)/6*AG80)+(AI79*AD78*WLS)</f>
        <v>484</v>
      </c>
      <c r="AJ80" s="84" t="str">
        <f>CONCATENATE("M(",AD78,")=")</f>
        <v>M(5)=</v>
      </c>
      <c r="AK80" s="84">
        <f>VLOOKUP(AD78,STN_TABLE,4,FALSE)</f>
        <v>1086.9466666666667</v>
      </c>
      <c r="AL80" t="str">
        <f>CONCATENATE("M(",AD79,")=")</f>
        <v>M(6)=</v>
      </c>
      <c r="AM80">
        <f>AI80+AK80</f>
        <v>1570.9466666666667</v>
      </c>
      <c r="AO80" s="82" t="str">
        <f>AA80</f>
        <v>M(6)=</v>
      </c>
      <c r="AP80" s="82" t="e">
        <f>VLOOKUP(AO80,Rise_Results,2,FALSE)</f>
        <v>#N/A</v>
      </c>
      <c r="AQ80" s="82">
        <f>N80</f>
        <v>1569.58</v>
      </c>
      <c r="AR80" s="82" t="e">
        <f>IF(OR(AB79&lt;=0,AB80&lt;=0),1/0,AB80)</f>
        <v>#VALUE!</v>
      </c>
      <c r="AS80" s="82">
        <f>AM80</f>
        <v>1570.9466666666667</v>
      </c>
      <c r="AT80">
        <f>IFERROR(AP80,IFERROR(AQ80,IFERROR(AR80,AS80)))</f>
        <v>1569.58</v>
      </c>
      <c r="AU80" s="81"/>
    </row>
    <row r="81" spans="1:47" x14ac:dyDescent="0.25">
      <c r="A81" s="101">
        <f>A76+1</f>
        <v>8</v>
      </c>
      <c r="B81" s="101">
        <f t="shared" si="27"/>
        <v>4</v>
      </c>
      <c r="O81" s="101">
        <f>O76+1</f>
        <v>10</v>
      </c>
      <c r="P81" s="101">
        <f t="shared" si="23"/>
        <v>5</v>
      </c>
      <c r="AU81" s="81"/>
    </row>
    <row r="82" spans="1:47" x14ac:dyDescent="0.25">
      <c r="A82" s="84">
        <f>A81+1</f>
        <v>9</v>
      </c>
      <c r="B82" s="84">
        <f t="shared" si="27"/>
        <v>4.8499999999999996</v>
      </c>
      <c r="C82" s="79" t="str">
        <f t="shared" ref="C82" si="32">IF(C83=B84,IF(C84-C83=C83-B83,B83,IF(C84-C83=C83-B82,B82,"#NA")),IF(C83=B83,IF(C84-C83=C83-B82,B82,IF(C84-C83=C83-B81,B81,"#NA")),"#NA"))</f>
        <v>#NA</v>
      </c>
      <c r="D82" s="68" t="e">
        <f>VLOOKUP(C82,STN_TABLE,2,FALSE)</f>
        <v>#N/A</v>
      </c>
      <c r="E82" s="102">
        <v>1</v>
      </c>
      <c r="F82" s="68" t="e">
        <f>D82*E82</f>
        <v>#N/A</v>
      </c>
      <c r="G82" s="69" t="str">
        <f>C82</f>
        <v>#NA</v>
      </c>
      <c r="H82" s="69" t="e">
        <f>F82*G82</f>
        <v>#N/A</v>
      </c>
      <c r="I82" s="6" t="s">
        <v>93</v>
      </c>
      <c r="J82" s="70" t="e">
        <f>IF(OR(D82=0,D83=0,D84=0),"#NA",IF(AND(C84-C83=C83-C82,C83&lt;&gt;C84,C82&lt;&gt;C83,C82&lt;&gt;C84,D84&lt;&gt;0,OR(D82&lt;&gt;0,D83&lt;&gt;0)),WLS*(C84-C83),"#NA"))</f>
        <v>#N/A</v>
      </c>
      <c r="O82" s="99">
        <f>O81+1</f>
        <v>11</v>
      </c>
      <c r="P82" s="99">
        <f t="shared" si="23"/>
        <v>6</v>
      </c>
      <c r="Q82" s="68" t="e">
        <f>IF(OR(P84-P83=P83-P82,P85-P83=P83-P82),P82,IF(OR(P84-P83=P83-P81,P85-P83=P83-P81),P81,"-"))</f>
        <v>#VALUE!</v>
      </c>
      <c r="R82" s="69" t="e">
        <f>VLOOKUP(Q82,STN_TABLE,2,FALSE)</f>
        <v>#VALUE!</v>
      </c>
      <c r="S82" s="69">
        <v>5</v>
      </c>
      <c r="T82" s="68" t="e">
        <f>R82*S82</f>
        <v>#VALUE!</v>
      </c>
      <c r="U82" s="79">
        <v>3</v>
      </c>
      <c r="V82" s="68" t="e">
        <f>R82*U82</f>
        <v>#VALUE!</v>
      </c>
      <c r="W82" s="6" t="s">
        <v>93</v>
      </c>
      <c r="X82" s="70" t="e">
        <f>IF(AND(Q84-Q83=Q83-Q82,NOT(AND(Q82=0,Q83=0)),NOT(AND(Q83=0,Q84=0))),WLS*(Q84-Q83),"#NA")</f>
        <v>#VALUE!</v>
      </c>
      <c r="AD82" s="93"/>
      <c r="AH82" s="6" t="s">
        <v>93</v>
      </c>
      <c r="AI82" s="70">
        <f>WLS*(AD84-AD83)</f>
        <v>1</v>
      </c>
      <c r="AU82" s="81"/>
    </row>
    <row r="83" spans="1:47" x14ac:dyDescent="0.25">
      <c r="A83" s="84">
        <f>A82+1</f>
        <v>10</v>
      </c>
      <c r="B83" s="84">
        <f t="shared" si="27"/>
        <v>5</v>
      </c>
      <c r="C83" s="80" t="str">
        <f t="shared" ref="C83" si="33">IF(OR(B85-B84=B84-B83,B85-B84=B84-B82,B85-B84=B84-B81),B84,IF(OR(B85-B83=B83-B82,B85-B83=B83-B81),B83,IF(B85-B82=B82-B81,B82,"#NA")))</f>
        <v>#NA</v>
      </c>
      <c r="D83" s="76" t="e">
        <f>VLOOKUP(C83,STN_TABLE,2,FALSE)</f>
        <v>#N/A</v>
      </c>
      <c r="E83" s="81">
        <v>4</v>
      </c>
      <c r="F83" s="76" t="e">
        <f>D83*E83</f>
        <v>#N/A</v>
      </c>
      <c r="G83" s="77" t="str">
        <f>C83</f>
        <v>#NA</v>
      </c>
      <c r="H83" s="77" t="e">
        <f>F83*G83</f>
        <v>#N/A</v>
      </c>
      <c r="I83" s="495" t="s">
        <v>97</v>
      </c>
      <c r="J83" s="496"/>
      <c r="K83" s="78" t="s">
        <v>98</v>
      </c>
      <c r="L83" s="78"/>
      <c r="M83" s="7" t="s">
        <v>99</v>
      </c>
      <c r="N83" s="7"/>
      <c r="O83" s="99">
        <f>O82+1</f>
        <v>12</v>
      </c>
      <c r="P83" s="99">
        <f t="shared" si="23"/>
        <v>6.5</v>
      </c>
      <c r="Q83" s="76">
        <f>P83</f>
        <v>6.5</v>
      </c>
      <c r="R83" s="77">
        <f>VLOOKUP(Q83,STN_TABLE,2,FALSE)</f>
        <v>11</v>
      </c>
      <c r="S83" s="77">
        <v>8</v>
      </c>
      <c r="T83" s="76">
        <f>R83*S83</f>
        <v>88</v>
      </c>
      <c r="U83" s="80">
        <v>10</v>
      </c>
      <c r="V83" s="76">
        <f>R83*U83</f>
        <v>110</v>
      </c>
      <c r="W83" s="496" t="s">
        <v>97</v>
      </c>
      <c r="X83" s="496"/>
      <c r="Y83" s="496" t="s">
        <v>98</v>
      </c>
      <c r="Z83" s="496"/>
      <c r="AA83" s="494" t="s">
        <v>99</v>
      </c>
      <c r="AB83" s="494"/>
      <c r="AC83" s="99">
        <f>AC78+1</f>
        <v>11</v>
      </c>
      <c r="AD83" s="95">
        <f>VLOOKUP(AC83,STN_TABLE_2,2,FALSE)</f>
        <v>6</v>
      </c>
      <c r="AE83" s="68">
        <f>VLOOKUP(AD83,STN_TABLE,2,FALSE)</f>
        <v>11</v>
      </c>
      <c r="AF83" s="68">
        <v>1</v>
      </c>
      <c r="AG83" s="69">
        <f>AE83*AF83</f>
        <v>11</v>
      </c>
      <c r="AH83" s="496" t="s">
        <v>97</v>
      </c>
      <c r="AI83" s="496"/>
      <c r="AJ83" s="496" t="s">
        <v>98</v>
      </c>
      <c r="AK83" s="496"/>
      <c r="AL83" s="494" t="s">
        <v>99</v>
      </c>
      <c r="AM83" s="494"/>
      <c r="AP83" s="86" t="s">
        <v>112</v>
      </c>
      <c r="AQ83" s="89" t="s">
        <v>113</v>
      </c>
      <c r="AR83" s="89" t="s">
        <v>114</v>
      </c>
      <c r="AS83" s="89" t="s">
        <v>115</v>
      </c>
      <c r="AU83" s="81"/>
    </row>
    <row r="84" spans="1:47" x14ac:dyDescent="0.25">
      <c r="A84" s="84">
        <f>A83+1</f>
        <v>11</v>
      </c>
      <c r="B84" s="84">
        <f t="shared" si="27"/>
        <v>6</v>
      </c>
      <c r="C84" s="88">
        <f t="shared" ref="C84" si="34">B85</f>
        <v>6.5</v>
      </c>
      <c r="D84" s="82">
        <f>VLOOKUP(C84,STN_TABLE,2,FALSE)</f>
        <v>11</v>
      </c>
      <c r="E84" s="92">
        <v>1</v>
      </c>
      <c r="F84" s="82">
        <f>D84*E84</f>
        <v>11</v>
      </c>
      <c r="G84" s="83">
        <f>C84</f>
        <v>6.5</v>
      </c>
      <c r="H84" s="83">
        <f>F84*G84</f>
        <v>71.5</v>
      </c>
      <c r="I84" s="84" t="str">
        <f>CONCATENATE("a'(",C84,")=")</f>
        <v>a'(6.5)=</v>
      </c>
      <c r="J84" s="84" t="e">
        <f>2*J82/3*F85</f>
        <v>#N/A</v>
      </c>
      <c r="K84" s="84" t="str">
        <f>CONCATENATE("A(",C82,")=")</f>
        <v>A(#NA)=</v>
      </c>
      <c r="L84" s="84" t="e">
        <f>VLOOKUP(C82,STN_TABLE,3,FALSE)</f>
        <v>#N/A</v>
      </c>
      <c r="M84" t="str">
        <f>CONCATENATE("A(",C84,")=")</f>
        <v>A(6.5)=</v>
      </c>
      <c r="N84" t="e">
        <f>J84+L84</f>
        <v>#N/A</v>
      </c>
      <c r="O84" s="99">
        <f>O83+1</f>
        <v>13</v>
      </c>
      <c r="P84" s="99" t="str">
        <f t="shared" si="23"/>
        <v xml:space="preserve">  </v>
      </c>
      <c r="Q84" s="82" t="e">
        <f>IF(P84-P83=P83-P82,P84,IF(P85-P83=P83-P82,P85,IF(P84-P83=P83-P81,P84,IF(P85-P83=P83-P81,P85,"-"))))</f>
        <v>#VALUE!</v>
      </c>
      <c r="R84" s="83" t="e">
        <f>VLOOKUP(Q84,STN_TABLE,2,FALSE)</f>
        <v>#VALUE!</v>
      </c>
      <c r="S84" s="83">
        <v>-1</v>
      </c>
      <c r="T84" s="82" t="e">
        <f>R84*S84</f>
        <v>#VALUE!</v>
      </c>
      <c r="U84" s="88">
        <v>-1</v>
      </c>
      <c r="V84" s="82" t="e">
        <f>R84*U84</f>
        <v>#VALUE!</v>
      </c>
      <c r="W84" s="84" t="str">
        <f>CONCATENATE("a'(",Q83,")=")</f>
        <v>a'(6.5)=</v>
      </c>
      <c r="X84" s="84" t="e">
        <f>2*X82/12*T85</f>
        <v>#VALUE!</v>
      </c>
      <c r="Y84" s="84" t="e">
        <f>CONCATENATE("A(",Q82,")=")</f>
        <v>#VALUE!</v>
      </c>
      <c r="Z84" s="84" t="e">
        <f>VLOOKUP(Q82,STN_TABLE,3,FALSE)</f>
        <v>#VALUE!</v>
      </c>
      <c r="AA84" t="str">
        <f>CONCATENATE("A(",Q83,")=")</f>
        <v>A(6.5)=</v>
      </c>
      <c r="AB84" t="e">
        <f>X84+Z84</f>
        <v>#VALUE!</v>
      </c>
      <c r="AC84" s="99">
        <f>AC83+1</f>
        <v>12</v>
      </c>
      <c r="AD84" s="100">
        <f>VLOOKUP(AC84,STN_TABLE_2,2,FALSE)</f>
        <v>6.5</v>
      </c>
      <c r="AE84" s="82">
        <f>VLOOKUP(AD84,STN_TABLE,2,FALSE)</f>
        <v>11</v>
      </c>
      <c r="AF84" s="82">
        <v>2</v>
      </c>
      <c r="AG84" s="83">
        <f>AE84*AF84</f>
        <v>22</v>
      </c>
      <c r="AH84" s="84" t="str">
        <f>CONCATENATE("a'(",AD84,")=")</f>
        <v>a'(6.5)=</v>
      </c>
      <c r="AI84" s="84">
        <f>2*AI82/2*AE85</f>
        <v>22</v>
      </c>
      <c r="AJ84" s="84" t="str">
        <f>CONCATENATE("A(",AD83,")=")</f>
        <v>A(6)=</v>
      </c>
      <c r="AK84" s="84">
        <f>VLOOKUP(AD83,STN_TABLE,3,FALSE)</f>
        <v>254.85333333333335</v>
      </c>
      <c r="AL84" t="str">
        <f>CONCATENATE("A(",AD84,")=")</f>
        <v>A(6.5)=</v>
      </c>
      <c r="AM84">
        <f>AI84+AK84</f>
        <v>276.85333333333335</v>
      </c>
      <c r="AO84" s="68" t="str">
        <f>AA84</f>
        <v>A(6.5)=</v>
      </c>
      <c r="AP84" s="68" t="e">
        <f>VLOOKUP(AO84,Rise_Results,2,FALSE)</f>
        <v>#N/A</v>
      </c>
      <c r="AQ84" s="76" t="e">
        <f>N84</f>
        <v>#N/A</v>
      </c>
      <c r="AR84" s="76" t="e">
        <f>IF(OR(AB84&lt;=0,AB85&lt;=0),1/0,AB84)</f>
        <v>#VALUE!</v>
      </c>
      <c r="AS84" s="76">
        <f>AM84</f>
        <v>276.85333333333335</v>
      </c>
      <c r="AT84">
        <f>IFERROR(AP84,IFERROR(AQ84,IFERROR(AR84,AS84)))</f>
        <v>276.85333333333335</v>
      </c>
      <c r="AU84" s="81"/>
    </row>
    <row r="85" spans="1:47" x14ac:dyDescent="0.25">
      <c r="A85" s="84">
        <f>A84+1</f>
        <v>12</v>
      </c>
      <c r="B85" s="84">
        <f t="shared" si="27"/>
        <v>6.5</v>
      </c>
      <c r="F85" s="82" t="e">
        <f>SUM(F82:F84)</f>
        <v>#N/A</v>
      </c>
      <c r="H85" s="82" t="e">
        <f>SUM(H82:H84)</f>
        <v>#N/A</v>
      </c>
      <c r="I85" s="84" t="str">
        <f>CONCATENATE("m'(",C84,")=")</f>
        <v>m'(6.5)=</v>
      </c>
      <c r="J85" s="84" t="e">
        <f>2*(J82*(WLS))/3*H85</f>
        <v>#N/A</v>
      </c>
      <c r="K85" s="84" t="str">
        <f>CONCATENATE("M(",C82,")=")</f>
        <v>M(#NA)=</v>
      </c>
      <c r="L85" s="84" t="e">
        <f>VLOOKUP(C82,STN_TABLE,4,FALSE)</f>
        <v>#N/A</v>
      </c>
      <c r="M85" t="str">
        <f>CONCATENATE("M(",C84,")=")</f>
        <v>M(6.5)=</v>
      </c>
      <c r="N85" t="e">
        <f>J85+L85</f>
        <v>#N/A</v>
      </c>
      <c r="O85" s="99">
        <f>O84+1</f>
        <v>14</v>
      </c>
      <c r="P85" s="99" t="str">
        <f t="shared" si="23"/>
        <v xml:space="preserve">  </v>
      </c>
      <c r="T85" s="89" t="e">
        <f>SUM(T82:T84)</f>
        <v>#VALUE!</v>
      </c>
      <c r="V85" s="82" t="e">
        <f>SUM(V82:V84)</f>
        <v>#VALUE!</v>
      </c>
      <c r="W85" s="84" t="str">
        <f>CONCATENATE("m'(",Q83,")=")</f>
        <v>m'(6.5)=</v>
      </c>
      <c r="X85" s="84" t="e">
        <f>(2*(X82^2)/24*V85)+(X84*Q82*WLS)</f>
        <v>#VALUE!</v>
      </c>
      <c r="Y85" s="84" t="e">
        <f>CONCATENATE("M(",Q82,")=")</f>
        <v>#VALUE!</v>
      </c>
      <c r="Z85" s="84" t="e">
        <f>VLOOKUP(Q82,STN_TABLE,4,FALSE)</f>
        <v>#VALUE!</v>
      </c>
      <c r="AA85" t="str">
        <f>CONCATENATE("M(",Q83,")=")</f>
        <v>M(6.5)=</v>
      </c>
      <c r="AB85" t="e">
        <f>X85+Z85</f>
        <v>#VALUE!</v>
      </c>
      <c r="AE85" s="89">
        <f>SUM(AE83:AE84)</f>
        <v>22</v>
      </c>
      <c r="AG85" s="89">
        <f>SUM(AG83:AG84)</f>
        <v>33</v>
      </c>
      <c r="AH85" s="84" t="str">
        <f>CONCATENATE("m'(",AD84,")=")</f>
        <v>m'(6.5)=</v>
      </c>
      <c r="AI85" s="84">
        <f>(2*(AI82^2)/6*AG85)+(AI84*AD83*WLS)</f>
        <v>275</v>
      </c>
      <c r="AJ85" s="84" t="str">
        <f>CONCATENATE("M(",AD83,")=")</f>
        <v>M(6)=</v>
      </c>
      <c r="AK85" s="84">
        <f>VLOOKUP(AD83,STN_TABLE,4,FALSE)</f>
        <v>1569.58</v>
      </c>
      <c r="AL85" t="str">
        <f>CONCATENATE("M(",AD84,")=")</f>
        <v>M(6.5)=</v>
      </c>
      <c r="AM85">
        <f>AI85+AK85</f>
        <v>1844.58</v>
      </c>
      <c r="AO85" s="82" t="str">
        <f>AA85</f>
        <v>M(6.5)=</v>
      </c>
      <c r="AP85" s="82" t="e">
        <f>VLOOKUP(AO85,Rise_Results,2,FALSE)</f>
        <v>#N/A</v>
      </c>
      <c r="AQ85" s="82" t="e">
        <f>N85</f>
        <v>#N/A</v>
      </c>
      <c r="AR85" s="82" t="e">
        <f>IF(OR(AB84&lt;=0,AB85&lt;=0),1/0,AB85)</f>
        <v>#VALUE!</v>
      </c>
      <c r="AS85" s="82">
        <f>AM85</f>
        <v>1844.58</v>
      </c>
      <c r="AT85">
        <f>IFERROR(AP85,IFERROR(AQ85,IFERROR(AR85,AS85)))</f>
        <v>1844.58</v>
      </c>
      <c r="AU85" s="81"/>
    </row>
    <row r="86" spans="1:47" x14ac:dyDescent="0.25">
      <c r="A86" s="101">
        <f>A81+1</f>
        <v>9</v>
      </c>
      <c r="B86" s="101">
        <f t="shared" si="27"/>
        <v>4.8499999999999996</v>
      </c>
      <c r="O86" s="101">
        <f>O81+1</f>
        <v>11</v>
      </c>
      <c r="P86" s="101">
        <f t="shared" si="23"/>
        <v>6</v>
      </c>
      <c r="AU86" s="81"/>
    </row>
    <row r="87" spans="1:47" x14ac:dyDescent="0.25">
      <c r="A87" s="84">
        <f>A86+1</f>
        <v>10</v>
      </c>
      <c r="B87" s="84">
        <f t="shared" si="27"/>
        <v>5</v>
      </c>
      <c r="C87" s="79" t="e">
        <f t="shared" ref="C87" si="35">IF(C88=B89,IF(C89-C88=C88-B88,B88,IF(C89-C88=C88-B87,B87,"#NA")),IF(C88=B88,IF(C89-C88=C88-B87,B87,IF(C89-C88=C88-B86,B86,"#NA")),"#NA"))</f>
        <v>#VALUE!</v>
      </c>
      <c r="D87" s="68" t="e">
        <f>VLOOKUP(C87,STN_TABLE,2,FALSE)</f>
        <v>#VALUE!</v>
      </c>
      <c r="E87" s="102">
        <v>1</v>
      </c>
      <c r="F87" s="68" t="e">
        <f>D87*E87</f>
        <v>#VALUE!</v>
      </c>
      <c r="G87" s="69" t="e">
        <f>C87</f>
        <v>#VALUE!</v>
      </c>
      <c r="H87" s="69" t="e">
        <f>F87*G87</f>
        <v>#VALUE!</v>
      </c>
      <c r="I87" s="6" t="s">
        <v>93</v>
      </c>
      <c r="J87" s="70" t="e">
        <f>IF(OR(D87=0,D88=0,D89=0),"#NA",IF(AND(C89-C88=C88-C87,C88&lt;&gt;C89,C87&lt;&gt;C88,C87&lt;&gt;C89,D89&lt;&gt;0,OR(D87&lt;&gt;0,D88&lt;&gt;0)),WLS*(C89-C88),"#NA"))</f>
        <v>#VALUE!</v>
      </c>
      <c r="O87" s="99">
        <f>O86+1</f>
        <v>12</v>
      </c>
      <c r="P87" s="99">
        <f t="shared" si="23"/>
        <v>6.5</v>
      </c>
      <c r="Q87" s="68" t="e">
        <f>IF(OR(P89-P88=P88-P87,P90-P88=P88-P87),P87,IF(OR(P89-P88=P88-P86,P90-P88=P88-P86),P86,"-"))</f>
        <v>#VALUE!</v>
      </c>
      <c r="R87" s="69" t="e">
        <f>VLOOKUP(Q87,STN_TABLE,2,FALSE)</f>
        <v>#VALUE!</v>
      </c>
      <c r="S87" s="69">
        <v>5</v>
      </c>
      <c r="T87" s="68" t="e">
        <f>R87*S87</f>
        <v>#VALUE!</v>
      </c>
      <c r="U87" s="79">
        <v>3</v>
      </c>
      <c r="V87" s="68" t="e">
        <f>R87*U87</f>
        <v>#VALUE!</v>
      </c>
      <c r="W87" s="6" t="s">
        <v>93</v>
      </c>
      <c r="X87" s="70" t="e">
        <f>IF(AND(Q89-Q88=Q88-Q87,NOT(AND(Q87=0,Q88=0)),NOT(AND(Q88=0,Q89=0))),WLS*(Q89-Q88),"#NA")</f>
        <v>#VALUE!</v>
      </c>
      <c r="AD87" s="93"/>
      <c r="AH87" s="6" t="s">
        <v>93</v>
      </c>
      <c r="AI87" s="70" t="e">
        <f>WLS*(AD89-AD88)</f>
        <v>#VALUE!</v>
      </c>
      <c r="AU87" s="81"/>
    </row>
    <row r="88" spans="1:47" x14ac:dyDescent="0.25">
      <c r="A88" s="84">
        <f>A87+1</f>
        <v>11</v>
      </c>
      <c r="B88" s="84">
        <f t="shared" si="27"/>
        <v>6</v>
      </c>
      <c r="C88" s="80" t="e">
        <f t="shared" ref="C88" si="36">IF(OR(B90-B89=B89-B88,B90-B89=B89-B87,B90-B89=B89-B86),B89,IF(OR(B90-B88=B88-B87,B90-B88=B88-B86),B88,IF(B90-B87=B87-B86,B87,"#NA")))</f>
        <v>#VALUE!</v>
      </c>
      <c r="D88" s="76" t="e">
        <f>VLOOKUP(C88,STN_TABLE,2,FALSE)</f>
        <v>#VALUE!</v>
      </c>
      <c r="E88" s="81">
        <v>4</v>
      </c>
      <c r="F88" s="76" t="e">
        <f>D88*E88</f>
        <v>#VALUE!</v>
      </c>
      <c r="G88" s="77" t="e">
        <f>C88</f>
        <v>#VALUE!</v>
      </c>
      <c r="H88" s="77" t="e">
        <f>F88*G88</f>
        <v>#VALUE!</v>
      </c>
      <c r="I88" s="495" t="s">
        <v>97</v>
      </c>
      <c r="J88" s="496"/>
      <c r="K88" s="78" t="s">
        <v>98</v>
      </c>
      <c r="L88" s="78"/>
      <c r="M88" s="7" t="s">
        <v>99</v>
      </c>
      <c r="N88" s="7"/>
      <c r="O88" s="99">
        <f>O87+1</f>
        <v>13</v>
      </c>
      <c r="P88" s="99" t="str">
        <f t="shared" si="23"/>
        <v xml:space="preserve">  </v>
      </c>
      <c r="Q88" s="76" t="str">
        <f>P88</f>
        <v xml:space="preserve">  </v>
      </c>
      <c r="R88" s="77" t="str">
        <f>VLOOKUP(Q88,STN_TABLE,2,FALSE)</f>
        <v xml:space="preserve">  </v>
      </c>
      <c r="S88" s="77">
        <v>8</v>
      </c>
      <c r="T88" s="76" t="e">
        <f>R88*S88</f>
        <v>#VALUE!</v>
      </c>
      <c r="U88" s="80">
        <v>10</v>
      </c>
      <c r="V88" s="76" t="e">
        <f>R88*U88</f>
        <v>#VALUE!</v>
      </c>
      <c r="W88" s="496" t="s">
        <v>97</v>
      </c>
      <c r="X88" s="496"/>
      <c r="Y88" s="496" t="s">
        <v>98</v>
      </c>
      <c r="Z88" s="496"/>
      <c r="AA88" s="494" t="s">
        <v>99</v>
      </c>
      <c r="AB88" s="494"/>
      <c r="AC88" s="99">
        <f>AC83+1</f>
        <v>12</v>
      </c>
      <c r="AD88" s="95">
        <f>VLOOKUP(AC88,STN_TABLE_2,2,FALSE)</f>
        <v>6.5</v>
      </c>
      <c r="AE88" s="68">
        <f>VLOOKUP(AD88,STN_TABLE,2,FALSE)</f>
        <v>11</v>
      </c>
      <c r="AF88" s="68">
        <v>1</v>
      </c>
      <c r="AG88" s="69">
        <f>AE88*AF88</f>
        <v>11</v>
      </c>
      <c r="AH88" s="496" t="s">
        <v>97</v>
      </c>
      <c r="AI88" s="496"/>
      <c r="AJ88" s="496" t="s">
        <v>98</v>
      </c>
      <c r="AK88" s="496"/>
      <c r="AL88" s="494" t="s">
        <v>99</v>
      </c>
      <c r="AM88" s="494"/>
      <c r="AP88" s="86" t="s">
        <v>112</v>
      </c>
      <c r="AQ88" s="89" t="s">
        <v>113</v>
      </c>
      <c r="AR88" s="89" t="s">
        <v>114</v>
      </c>
      <c r="AS88" s="89" t="s">
        <v>115</v>
      </c>
      <c r="AU88" s="81"/>
    </row>
    <row r="89" spans="1:47" x14ac:dyDescent="0.25">
      <c r="A89" s="84">
        <f>A88+1</f>
        <v>12</v>
      </c>
      <c r="B89" s="84">
        <f t="shared" si="27"/>
        <v>6.5</v>
      </c>
      <c r="C89" s="88" t="str">
        <f t="shared" ref="C89" si="37">B90</f>
        <v xml:space="preserve">  </v>
      </c>
      <c r="D89" s="82" t="str">
        <f>VLOOKUP(C89,STN_TABLE,2,FALSE)</f>
        <v xml:space="preserve">  </v>
      </c>
      <c r="E89" s="92">
        <v>1</v>
      </c>
      <c r="F89" s="82" t="e">
        <f>D89*E89</f>
        <v>#VALUE!</v>
      </c>
      <c r="G89" s="83" t="str">
        <f>C89</f>
        <v xml:space="preserve">  </v>
      </c>
      <c r="H89" s="83" t="e">
        <f>F89*G89</f>
        <v>#VALUE!</v>
      </c>
      <c r="I89" s="84" t="str">
        <f>CONCATENATE("a'(",C89,")=")</f>
        <v>a'(  )=</v>
      </c>
      <c r="J89" s="84" t="e">
        <f>2*J87/3*F90</f>
        <v>#VALUE!</v>
      </c>
      <c r="K89" s="84" t="e">
        <f>CONCATENATE("A(",C87,")=")</f>
        <v>#VALUE!</v>
      </c>
      <c r="L89" s="84" t="e">
        <f>VLOOKUP(C87,STN_TABLE,3,FALSE)</f>
        <v>#VALUE!</v>
      </c>
      <c r="M89" t="str">
        <f>CONCATENATE("A(",C89,")=")</f>
        <v>A(  )=</v>
      </c>
      <c r="N89" t="e">
        <f>J89+L89</f>
        <v>#VALUE!</v>
      </c>
      <c r="O89" s="99">
        <f>O88+1</f>
        <v>14</v>
      </c>
      <c r="P89" s="99" t="str">
        <f t="shared" si="23"/>
        <v xml:space="preserve">  </v>
      </c>
      <c r="Q89" s="82" t="e">
        <f>IF(P89-P88=P88-P87,P89,IF(P90-P88=P88-P87,P90,IF(P89-P88=P88-P86,P89,IF(P90-P88=P88-P86,P90,"-"))))</f>
        <v>#VALUE!</v>
      </c>
      <c r="R89" s="83" t="e">
        <f>VLOOKUP(Q89,STN_TABLE,2,FALSE)</f>
        <v>#VALUE!</v>
      </c>
      <c r="S89" s="83">
        <v>-1</v>
      </c>
      <c r="T89" s="82" t="e">
        <f>R89*S89</f>
        <v>#VALUE!</v>
      </c>
      <c r="U89" s="88">
        <v>-1</v>
      </c>
      <c r="V89" s="82" t="e">
        <f>R89*U89</f>
        <v>#VALUE!</v>
      </c>
      <c r="W89" s="84" t="str">
        <f>CONCATENATE("a'(",Q88,")=")</f>
        <v>a'(  )=</v>
      </c>
      <c r="X89" s="84" t="e">
        <f>2*X87/12*T90</f>
        <v>#VALUE!</v>
      </c>
      <c r="Y89" s="84" t="e">
        <f>CONCATENATE("A(",Q87,")=")</f>
        <v>#VALUE!</v>
      </c>
      <c r="Z89" s="84" t="e">
        <f>VLOOKUP(Q87,STN_TABLE,3,FALSE)</f>
        <v>#VALUE!</v>
      </c>
      <c r="AA89" t="str">
        <f>CONCATENATE("A(",Q88,")=")</f>
        <v>A(  )=</v>
      </c>
      <c r="AB89" t="e">
        <f>X89+Z89</f>
        <v>#VALUE!</v>
      </c>
      <c r="AC89" s="99">
        <f>AC88+1</f>
        <v>13</v>
      </c>
      <c r="AD89" s="100" t="str">
        <f>VLOOKUP(AC89,STN_TABLE_2,2,FALSE)</f>
        <v xml:space="preserve">  </v>
      </c>
      <c r="AE89" s="82" t="str">
        <f>VLOOKUP(AD89,STN_TABLE,2,FALSE)</f>
        <v xml:space="preserve">  </v>
      </c>
      <c r="AF89" s="82">
        <v>2</v>
      </c>
      <c r="AG89" s="83" t="e">
        <f>AE89*AF89</f>
        <v>#VALUE!</v>
      </c>
      <c r="AH89" s="84" t="str">
        <f>CONCATENATE("a'(",AD89,")=")</f>
        <v>a'(  )=</v>
      </c>
      <c r="AI89" s="84" t="e">
        <f>2*AI87/2*AE90</f>
        <v>#VALUE!</v>
      </c>
      <c r="AJ89" s="84" t="str">
        <f>CONCATENATE("A(",AD88,")=")</f>
        <v>A(6.5)=</v>
      </c>
      <c r="AK89" s="84">
        <f>VLOOKUP(AD88,STN_TABLE,3,FALSE)</f>
        <v>276.85333333333335</v>
      </c>
      <c r="AL89" t="str">
        <f>CONCATENATE("A(",AD89,")=")</f>
        <v>A(  )=</v>
      </c>
      <c r="AM89" t="e">
        <f>AI89+AK89</f>
        <v>#VALUE!</v>
      </c>
      <c r="AO89" s="68" t="str">
        <f>AA89</f>
        <v>A(  )=</v>
      </c>
      <c r="AP89" s="68" t="e">
        <f>VLOOKUP(AO89,Rise_Results,2,FALSE)</f>
        <v>#N/A</v>
      </c>
      <c r="AQ89" s="76" t="e">
        <f>N89</f>
        <v>#VALUE!</v>
      </c>
      <c r="AR89" s="76" t="e">
        <f>IF(OR(AB89&lt;=0,AB90&lt;=0),1/0,AB89)</f>
        <v>#VALUE!</v>
      </c>
      <c r="AS89" s="76" t="e">
        <f>AM89</f>
        <v>#VALUE!</v>
      </c>
      <c r="AT89" t="e">
        <f>IFERROR(AP89,IFERROR(AQ89,IFERROR(AR89,AS89)))</f>
        <v>#VALUE!</v>
      </c>
      <c r="AU89" s="81"/>
    </row>
    <row r="90" spans="1:47" x14ac:dyDescent="0.25">
      <c r="A90" s="84">
        <f>A89+1</f>
        <v>13</v>
      </c>
      <c r="B90" s="84" t="str">
        <f t="shared" si="27"/>
        <v xml:space="preserve">  </v>
      </c>
      <c r="F90" s="82" t="e">
        <f>SUM(F87:F89)</f>
        <v>#VALUE!</v>
      </c>
      <c r="H90" s="82" t="e">
        <f>SUM(H87:H89)</f>
        <v>#VALUE!</v>
      </c>
      <c r="I90" s="84" t="str">
        <f>CONCATENATE("m'(",C89,")=")</f>
        <v>m'(  )=</v>
      </c>
      <c r="J90" s="84" t="e">
        <f>2*(J87*(WLS))/3*H90</f>
        <v>#VALUE!</v>
      </c>
      <c r="K90" s="84" t="e">
        <f>CONCATENATE("M(",C87,")=")</f>
        <v>#VALUE!</v>
      </c>
      <c r="L90" s="84" t="e">
        <f>VLOOKUP(C87,STN_TABLE,4,FALSE)</f>
        <v>#VALUE!</v>
      </c>
      <c r="M90" t="str">
        <f>CONCATENATE("M(",C89,")=")</f>
        <v>M(  )=</v>
      </c>
      <c r="N90" t="e">
        <f>J90+L90</f>
        <v>#VALUE!</v>
      </c>
      <c r="O90" s="99">
        <f>O89+1</f>
        <v>15</v>
      </c>
      <c r="P90" s="99" t="str">
        <f t="shared" si="23"/>
        <v xml:space="preserve">  </v>
      </c>
      <c r="T90" s="89" t="e">
        <f>SUM(T87:T89)</f>
        <v>#VALUE!</v>
      </c>
      <c r="V90" s="82" t="e">
        <f>SUM(V87:V89)</f>
        <v>#VALUE!</v>
      </c>
      <c r="W90" s="84" t="str">
        <f>CONCATENATE("m'(",Q88,")=")</f>
        <v>m'(  )=</v>
      </c>
      <c r="X90" s="84" t="e">
        <f>(2*(X87^2)/24*V90)+(X89*Q87*WLS)</f>
        <v>#VALUE!</v>
      </c>
      <c r="Y90" s="84" t="e">
        <f>CONCATENATE("M(",Q87,")=")</f>
        <v>#VALUE!</v>
      </c>
      <c r="Z90" s="84" t="e">
        <f>VLOOKUP(Q87,STN_TABLE,4,FALSE)</f>
        <v>#VALUE!</v>
      </c>
      <c r="AA90" t="str">
        <f>CONCATENATE("M(",Q88,")=")</f>
        <v>M(  )=</v>
      </c>
      <c r="AB90" t="e">
        <f>X90+Z90</f>
        <v>#VALUE!</v>
      </c>
      <c r="AE90" s="89">
        <f>SUM(AE88:AE89)</f>
        <v>11</v>
      </c>
      <c r="AG90" s="89" t="e">
        <f>SUM(AG88:AG89)</f>
        <v>#VALUE!</v>
      </c>
      <c r="AH90" s="84" t="str">
        <f>CONCATENATE("m'(",AD89,")=")</f>
        <v>m'(  )=</v>
      </c>
      <c r="AI90" s="84" t="e">
        <f>(2*(AI87^2)/6*AG90)+(AI89*AD88*WLS)</f>
        <v>#VALUE!</v>
      </c>
      <c r="AJ90" s="84" t="str">
        <f>CONCATENATE("M(",AD88,")=")</f>
        <v>M(6.5)=</v>
      </c>
      <c r="AK90" s="84">
        <f>VLOOKUP(AD88,STN_TABLE,4,FALSE)</f>
        <v>1844.58</v>
      </c>
      <c r="AL90" t="str">
        <f>CONCATENATE("M(",AD89,")=")</f>
        <v>M(  )=</v>
      </c>
      <c r="AM90" t="e">
        <f>AI90+AK90</f>
        <v>#VALUE!</v>
      </c>
      <c r="AO90" s="82" t="str">
        <f>AA90</f>
        <v>M(  )=</v>
      </c>
      <c r="AP90" s="82" t="e">
        <f>VLOOKUP(AO90,Rise_Results,2,FALSE)</f>
        <v>#N/A</v>
      </c>
      <c r="AQ90" s="82" t="e">
        <f>N90</f>
        <v>#VALUE!</v>
      </c>
      <c r="AR90" s="82" t="e">
        <f>IF(OR(AB89&lt;=0,AB90&lt;=0),1/0,AB90)</f>
        <v>#VALUE!</v>
      </c>
      <c r="AS90" s="82" t="e">
        <f>AM90</f>
        <v>#VALUE!</v>
      </c>
      <c r="AT90" t="e">
        <f>IFERROR(AP90,IFERROR(AQ90,IFERROR(AR90,AS90)))</f>
        <v>#VALUE!</v>
      </c>
      <c r="AU90" s="81"/>
    </row>
    <row r="91" spans="1:47" x14ac:dyDescent="0.25">
      <c r="A91" s="101">
        <f>A86+1</f>
        <v>10</v>
      </c>
      <c r="B91" s="101">
        <f t="shared" si="27"/>
        <v>5</v>
      </c>
      <c r="O91" s="101">
        <f>O86+1</f>
        <v>12</v>
      </c>
      <c r="P91" s="101">
        <f t="shared" si="23"/>
        <v>6.5</v>
      </c>
      <c r="AU91" s="81"/>
    </row>
    <row r="92" spans="1:47" x14ac:dyDescent="0.25">
      <c r="A92" s="84">
        <f>A91+1</f>
        <v>11</v>
      </c>
      <c r="B92" s="84">
        <f t="shared" si="27"/>
        <v>6</v>
      </c>
      <c r="C92" s="79" t="e">
        <f t="shared" ref="C92" si="38">IF(C93=B94,IF(C94-C93=C93-B93,B93,IF(C94-C93=C93-B92,B92,"#NA")),IF(C93=B93,IF(C94-C93=C93-B92,B92,IF(C94-C93=C93-B91,B91,"#NA")),"#NA"))</f>
        <v>#VALUE!</v>
      </c>
      <c r="D92" s="68" t="e">
        <f>VLOOKUP(C92,STN_TABLE,2,FALSE)</f>
        <v>#VALUE!</v>
      </c>
      <c r="E92" s="102">
        <v>1</v>
      </c>
      <c r="F92" s="68" t="e">
        <f>D92*E92</f>
        <v>#VALUE!</v>
      </c>
      <c r="G92" s="69" t="e">
        <f>C92</f>
        <v>#VALUE!</v>
      </c>
      <c r="H92" s="69" t="e">
        <f>F92*G92</f>
        <v>#VALUE!</v>
      </c>
      <c r="I92" s="6" t="s">
        <v>93</v>
      </c>
      <c r="J92" s="70" t="e">
        <f>IF(OR(D92=0,D93=0,D94=0),"#NA",IF(AND(C94-C93=C93-C92,C93&lt;&gt;C94,C92&lt;&gt;C93,C92&lt;&gt;C94,D94&lt;&gt;0,OR(D92&lt;&gt;0,D93&lt;&gt;0)),WLS*(C94-C93),"#NA"))</f>
        <v>#VALUE!</v>
      </c>
      <c r="O92" s="99">
        <f>O91+1</f>
        <v>13</v>
      </c>
      <c r="P92" s="99" t="str">
        <f t="shared" si="23"/>
        <v xml:space="preserve">  </v>
      </c>
      <c r="Q92" s="68" t="e">
        <f>IF(OR(P94-P93=P93-P92,P95-P93=P93-P92),P92,IF(OR(P94-P93=P93-P91,P95-P93=P93-P91),P91,"-"))</f>
        <v>#VALUE!</v>
      </c>
      <c r="R92" s="69" t="e">
        <f>VLOOKUP(Q92,STN_TABLE,2,FALSE)</f>
        <v>#VALUE!</v>
      </c>
      <c r="S92" s="69">
        <v>5</v>
      </c>
      <c r="T92" s="68" t="e">
        <f>R92*S92</f>
        <v>#VALUE!</v>
      </c>
      <c r="U92" s="79">
        <v>3</v>
      </c>
      <c r="V92" s="68" t="e">
        <f>R92*U92</f>
        <v>#VALUE!</v>
      </c>
      <c r="W92" s="6" t="s">
        <v>93</v>
      </c>
      <c r="X92" s="70" t="e">
        <f>IF(AND(Q94-Q93=Q93-Q92,NOT(AND(Q92=0,Q93=0)),NOT(AND(Q93=0,Q94=0))),WLS*(Q94-Q93),"#NA")</f>
        <v>#VALUE!</v>
      </c>
      <c r="AD92" s="93"/>
      <c r="AH92" s="6" t="s">
        <v>93</v>
      </c>
      <c r="AI92" s="70" t="e">
        <f>WLS*(AD94-AD93)</f>
        <v>#VALUE!</v>
      </c>
      <c r="AU92" s="81"/>
    </row>
    <row r="93" spans="1:47" x14ac:dyDescent="0.25">
      <c r="A93" s="84">
        <f>A92+1</f>
        <v>12</v>
      </c>
      <c r="B93" s="84">
        <f t="shared" si="27"/>
        <v>6.5</v>
      </c>
      <c r="C93" s="80" t="e">
        <f t="shared" ref="C93" si="39">IF(OR(B95-B94=B94-B93,B95-B94=B94-B92,B95-B94=B94-B91),B94,IF(OR(B95-B93=B93-B92,B95-B93=B93-B91),B93,IF(B95-B92=B92-B91,B92,"#NA")))</f>
        <v>#VALUE!</v>
      </c>
      <c r="D93" s="76" t="e">
        <f>VLOOKUP(C93,STN_TABLE,2,FALSE)</f>
        <v>#VALUE!</v>
      </c>
      <c r="E93" s="81">
        <v>4</v>
      </c>
      <c r="F93" s="76" t="e">
        <f>D93*E93</f>
        <v>#VALUE!</v>
      </c>
      <c r="G93" s="77" t="e">
        <f>C93</f>
        <v>#VALUE!</v>
      </c>
      <c r="H93" s="77" t="e">
        <f>F93*G93</f>
        <v>#VALUE!</v>
      </c>
      <c r="I93" s="495" t="s">
        <v>97</v>
      </c>
      <c r="J93" s="496"/>
      <c r="K93" s="78" t="s">
        <v>98</v>
      </c>
      <c r="L93" s="78"/>
      <c r="M93" s="7" t="s">
        <v>99</v>
      </c>
      <c r="N93" s="7"/>
      <c r="O93" s="99">
        <f>O92+1</f>
        <v>14</v>
      </c>
      <c r="P93" s="99" t="str">
        <f t="shared" si="23"/>
        <v xml:space="preserve">  </v>
      </c>
      <c r="Q93" s="76" t="str">
        <f>P93</f>
        <v xml:space="preserve">  </v>
      </c>
      <c r="R93" s="77" t="str">
        <f>VLOOKUP(Q93,STN_TABLE,2,FALSE)</f>
        <v xml:space="preserve">  </v>
      </c>
      <c r="S93" s="77">
        <v>8</v>
      </c>
      <c r="T93" s="76" t="e">
        <f>R93*S93</f>
        <v>#VALUE!</v>
      </c>
      <c r="U93" s="80">
        <v>10</v>
      </c>
      <c r="V93" s="76" t="e">
        <f>R93*U93</f>
        <v>#VALUE!</v>
      </c>
      <c r="W93" s="496" t="s">
        <v>97</v>
      </c>
      <c r="X93" s="496"/>
      <c r="Y93" s="496" t="s">
        <v>98</v>
      </c>
      <c r="Z93" s="496"/>
      <c r="AA93" s="494" t="s">
        <v>99</v>
      </c>
      <c r="AB93" s="494"/>
      <c r="AC93" s="99">
        <f>AC88+1</f>
        <v>13</v>
      </c>
      <c r="AD93" s="95" t="str">
        <f>VLOOKUP(AC93,STN_TABLE_2,2,FALSE)</f>
        <v xml:space="preserve">  </v>
      </c>
      <c r="AE93" s="68" t="str">
        <f>VLOOKUP(AD93,STN_TABLE,2,FALSE)</f>
        <v xml:space="preserve">  </v>
      </c>
      <c r="AF93" s="68">
        <v>1</v>
      </c>
      <c r="AG93" s="69" t="e">
        <f>AE93*AF93</f>
        <v>#VALUE!</v>
      </c>
      <c r="AH93" s="496" t="s">
        <v>97</v>
      </c>
      <c r="AI93" s="496"/>
      <c r="AJ93" s="496" t="s">
        <v>98</v>
      </c>
      <c r="AK93" s="496"/>
      <c r="AL93" s="494" t="s">
        <v>99</v>
      </c>
      <c r="AM93" s="494"/>
      <c r="AP93" s="86" t="s">
        <v>112</v>
      </c>
      <c r="AQ93" s="89" t="s">
        <v>113</v>
      </c>
      <c r="AR93" s="89" t="s">
        <v>114</v>
      </c>
      <c r="AS93" s="89" t="s">
        <v>115</v>
      </c>
      <c r="AU93" s="81"/>
    </row>
    <row r="94" spans="1:47" x14ac:dyDescent="0.25">
      <c r="A94" s="84">
        <f>A93+1</f>
        <v>13</v>
      </c>
      <c r="B94" s="84" t="str">
        <f t="shared" si="27"/>
        <v xml:space="preserve">  </v>
      </c>
      <c r="C94" s="88" t="str">
        <f t="shared" ref="C94" si="40">B95</f>
        <v xml:space="preserve">  </v>
      </c>
      <c r="D94" s="82" t="str">
        <f>VLOOKUP(C94,STN_TABLE,2,FALSE)</f>
        <v xml:space="preserve">  </v>
      </c>
      <c r="E94" s="92">
        <v>1</v>
      </c>
      <c r="F94" s="82" t="e">
        <f>D94*E94</f>
        <v>#VALUE!</v>
      </c>
      <c r="G94" s="83" t="str">
        <f>C94</f>
        <v xml:space="preserve">  </v>
      </c>
      <c r="H94" s="83" t="e">
        <f>F94*G94</f>
        <v>#VALUE!</v>
      </c>
      <c r="I94" s="84" t="str">
        <f>CONCATENATE("a'(",C94,")=")</f>
        <v>a'(  )=</v>
      </c>
      <c r="J94" s="84" t="e">
        <f>2*J92/3*F95</f>
        <v>#VALUE!</v>
      </c>
      <c r="K94" s="84" t="e">
        <f>CONCATENATE("A(",C92,")=")</f>
        <v>#VALUE!</v>
      </c>
      <c r="L94" s="84" t="e">
        <f>VLOOKUP(C92,STN_TABLE,3,FALSE)</f>
        <v>#VALUE!</v>
      </c>
      <c r="M94" t="str">
        <f>CONCATENATE("A(",C94,")=")</f>
        <v>A(  )=</v>
      </c>
      <c r="N94" t="e">
        <f>J94+L94</f>
        <v>#VALUE!</v>
      </c>
      <c r="O94" s="99">
        <f>O93+1</f>
        <v>15</v>
      </c>
      <c r="P94" s="99" t="str">
        <f t="shared" si="23"/>
        <v xml:space="preserve">  </v>
      </c>
      <c r="Q94" s="82" t="e">
        <f>IF(P94-P93=P93-P92,P94,IF(P95-P93=P93-P92,P95,IF(P94-P93=P93-P91,P94,IF(P95-P93=P93-P91,P95,"-"))))</f>
        <v>#VALUE!</v>
      </c>
      <c r="R94" s="83" t="e">
        <f>VLOOKUP(Q94,STN_TABLE,2,FALSE)</f>
        <v>#VALUE!</v>
      </c>
      <c r="S94" s="83">
        <v>-1</v>
      </c>
      <c r="T94" s="82" t="e">
        <f>R94*S94</f>
        <v>#VALUE!</v>
      </c>
      <c r="U94" s="88">
        <v>-1</v>
      </c>
      <c r="V94" s="82" t="e">
        <f>R94*U94</f>
        <v>#VALUE!</v>
      </c>
      <c r="W94" s="84" t="str">
        <f>CONCATENATE("a'(",Q93,")=")</f>
        <v>a'(  )=</v>
      </c>
      <c r="X94" s="84" t="e">
        <f>2*X92/12*T95</f>
        <v>#VALUE!</v>
      </c>
      <c r="Y94" s="84" t="e">
        <f>CONCATENATE("A(",Q92,")=")</f>
        <v>#VALUE!</v>
      </c>
      <c r="Z94" s="84" t="e">
        <f>VLOOKUP(Q92,STN_TABLE,3,FALSE)</f>
        <v>#VALUE!</v>
      </c>
      <c r="AA94" t="str">
        <f>CONCATENATE("A(",Q93,")=")</f>
        <v>A(  )=</v>
      </c>
      <c r="AB94" t="e">
        <f>X94+Z94</f>
        <v>#VALUE!</v>
      </c>
      <c r="AC94" s="99">
        <f>AC93+1</f>
        <v>14</v>
      </c>
      <c r="AD94" s="100" t="str">
        <f>VLOOKUP(AC94,STN_TABLE_2,2,FALSE)</f>
        <v xml:space="preserve">  </v>
      </c>
      <c r="AE94" s="82" t="str">
        <f>VLOOKUP(AD94,STN_TABLE,2,FALSE)</f>
        <v xml:space="preserve">  </v>
      </c>
      <c r="AF94" s="82">
        <v>2</v>
      </c>
      <c r="AG94" s="83" t="e">
        <f>AE94*AF94</f>
        <v>#VALUE!</v>
      </c>
      <c r="AH94" s="84" t="str">
        <f>CONCATENATE("a'(",AD94,")=")</f>
        <v>a'(  )=</v>
      </c>
      <c r="AI94" s="84" t="e">
        <f>2*AI92/2*AE95</f>
        <v>#VALUE!</v>
      </c>
      <c r="AJ94" s="84" t="str">
        <f>CONCATENATE("A(",AD93,")=")</f>
        <v>A(  )=</v>
      </c>
      <c r="AK94" s="84" t="str">
        <f>VLOOKUP(AD93,STN_TABLE,3,FALSE)</f>
        <v xml:space="preserve"> </v>
      </c>
      <c r="AL94" t="str">
        <f>CONCATENATE("A(",AD94,")=")</f>
        <v>A(  )=</v>
      </c>
      <c r="AM94" t="e">
        <f>AI94+AK94</f>
        <v>#VALUE!</v>
      </c>
      <c r="AO94" s="68" t="str">
        <f>AA94</f>
        <v>A(  )=</v>
      </c>
      <c r="AP94" s="68" t="e">
        <f>VLOOKUP(AO94,Rise_Results,2,FALSE)</f>
        <v>#N/A</v>
      </c>
      <c r="AQ94" s="76" t="e">
        <f>N94</f>
        <v>#VALUE!</v>
      </c>
      <c r="AR94" s="76" t="e">
        <f>IF(OR(AB94&lt;=0,AB95&lt;=0),1/0,AB94)</f>
        <v>#VALUE!</v>
      </c>
      <c r="AS94" s="76" t="e">
        <f>AM94</f>
        <v>#VALUE!</v>
      </c>
      <c r="AT94" t="e">
        <f>IFERROR(AP94,IFERROR(AQ94,IFERROR(AR94,AS94)))</f>
        <v>#VALUE!</v>
      </c>
      <c r="AU94" s="81"/>
    </row>
    <row r="95" spans="1:47" x14ac:dyDescent="0.25">
      <c r="A95" s="84">
        <f>A94+1</f>
        <v>14</v>
      </c>
      <c r="B95" s="84" t="str">
        <f t="shared" si="27"/>
        <v xml:space="preserve">  </v>
      </c>
      <c r="F95" s="82" t="e">
        <f>SUM(F92:F94)</f>
        <v>#VALUE!</v>
      </c>
      <c r="H95" s="82" t="e">
        <f>SUM(H92:H94)</f>
        <v>#VALUE!</v>
      </c>
      <c r="I95" s="84" t="str">
        <f>CONCATENATE("m'(",C94,")=")</f>
        <v>m'(  )=</v>
      </c>
      <c r="J95" s="84" t="e">
        <f>2*(J92*(WLS))/3*H95</f>
        <v>#VALUE!</v>
      </c>
      <c r="K95" s="84" t="e">
        <f>CONCATENATE("M(",C92,")=")</f>
        <v>#VALUE!</v>
      </c>
      <c r="L95" s="84" t="e">
        <f>VLOOKUP(C92,STN_TABLE,4,FALSE)</f>
        <v>#VALUE!</v>
      </c>
      <c r="M95" t="str">
        <f>CONCATENATE("M(",C94,")=")</f>
        <v>M(  )=</v>
      </c>
      <c r="N95" t="e">
        <f>J95+L95</f>
        <v>#VALUE!</v>
      </c>
      <c r="O95" s="99">
        <f>O94+1</f>
        <v>16</v>
      </c>
      <c r="P95" s="99" t="str">
        <f t="shared" si="23"/>
        <v xml:space="preserve">  </v>
      </c>
      <c r="T95" s="89" t="e">
        <f>SUM(T92:T94)</f>
        <v>#VALUE!</v>
      </c>
      <c r="V95" s="82" t="e">
        <f>SUM(V92:V94)</f>
        <v>#VALUE!</v>
      </c>
      <c r="W95" s="84" t="str">
        <f>CONCATENATE("m'(",Q93,")=")</f>
        <v>m'(  )=</v>
      </c>
      <c r="X95" s="84" t="e">
        <f>(2*(X92^2)/24*V95)+(X94*Q92*WLS)</f>
        <v>#VALUE!</v>
      </c>
      <c r="Y95" s="84" t="e">
        <f>CONCATENATE("M(",Q92,")=")</f>
        <v>#VALUE!</v>
      </c>
      <c r="Z95" s="84" t="e">
        <f>VLOOKUP(Q92,STN_TABLE,4,FALSE)</f>
        <v>#VALUE!</v>
      </c>
      <c r="AA95" t="str">
        <f>CONCATENATE("M(",Q93,")=")</f>
        <v>M(  )=</v>
      </c>
      <c r="AB95" t="e">
        <f>X95+Z95</f>
        <v>#VALUE!</v>
      </c>
      <c r="AE95" s="89">
        <f>SUM(AE93:AE94)</f>
        <v>0</v>
      </c>
      <c r="AG95" s="89" t="e">
        <f>SUM(AG93:AG94)</f>
        <v>#VALUE!</v>
      </c>
      <c r="AH95" s="84" t="str">
        <f>CONCATENATE("m'(",AD94,")=")</f>
        <v>m'(  )=</v>
      </c>
      <c r="AI95" s="84" t="e">
        <f>(2*(AI92^2)/6*AG95)+(AI94*AD93*WLS)</f>
        <v>#VALUE!</v>
      </c>
      <c r="AJ95" s="84" t="str">
        <f>CONCATENATE("M(",AD93,")=")</f>
        <v>M(  )=</v>
      </c>
      <c r="AK95" s="84" t="str">
        <f>VLOOKUP(AD93,STN_TABLE,4,FALSE)</f>
        <v xml:space="preserve"> </v>
      </c>
      <c r="AL95" t="str">
        <f>CONCATENATE("M(",AD94,")=")</f>
        <v>M(  )=</v>
      </c>
      <c r="AM95" t="e">
        <f>AI95+AK95</f>
        <v>#VALUE!</v>
      </c>
      <c r="AO95" s="82" t="str">
        <f>AA95</f>
        <v>M(  )=</v>
      </c>
      <c r="AP95" s="82" t="e">
        <f>VLOOKUP(AO95,Rise_Results,2,FALSE)</f>
        <v>#N/A</v>
      </c>
      <c r="AQ95" s="82" t="e">
        <f>N95</f>
        <v>#VALUE!</v>
      </c>
      <c r="AR95" s="82" t="e">
        <f>IF(OR(AB94&lt;=0,AB95&lt;=0),1/0,AB95)</f>
        <v>#VALUE!</v>
      </c>
      <c r="AS95" s="82" t="e">
        <f>AM95</f>
        <v>#VALUE!</v>
      </c>
      <c r="AT95" t="e">
        <f>IFERROR(AP95,IFERROR(AQ95,IFERROR(AR95,AS95)))</f>
        <v>#VALUE!</v>
      </c>
      <c r="AU95" s="81"/>
    </row>
    <row r="96" spans="1:47" x14ac:dyDescent="0.25">
      <c r="A96" s="101">
        <f>A91+1</f>
        <v>11</v>
      </c>
      <c r="B96" s="101">
        <f t="shared" si="27"/>
        <v>6</v>
      </c>
      <c r="O96" s="101">
        <f>O91+1</f>
        <v>13</v>
      </c>
      <c r="P96" s="101" t="str">
        <f t="shared" si="23"/>
        <v xml:space="preserve">  </v>
      </c>
      <c r="AU96" s="81"/>
    </row>
    <row r="97" spans="1:47" x14ac:dyDescent="0.25">
      <c r="A97" s="84">
        <f>A96+1</f>
        <v>12</v>
      </c>
      <c r="B97" s="84">
        <f t="shared" si="27"/>
        <v>6.5</v>
      </c>
      <c r="C97" s="79" t="e">
        <f t="shared" ref="C97" si="41">IF(C98=B99,IF(C99-C98=C98-B98,B98,IF(C99-C98=C98-B97,B97,"#NA")),IF(C98=B98,IF(C99-C98=C98-B97,B97,IF(C99-C98=C98-B96,B96,"#NA")),"#NA"))</f>
        <v>#VALUE!</v>
      </c>
      <c r="D97" s="68" t="e">
        <f>VLOOKUP(C97,STN_TABLE,2,FALSE)</f>
        <v>#VALUE!</v>
      </c>
      <c r="E97" s="102">
        <v>1</v>
      </c>
      <c r="F97" s="68" t="e">
        <f>D97*E97</f>
        <v>#VALUE!</v>
      </c>
      <c r="G97" s="69" t="e">
        <f>C97</f>
        <v>#VALUE!</v>
      </c>
      <c r="H97" s="69" t="e">
        <f>F97*G97</f>
        <v>#VALUE!</v>
      </c>
      <c r="I97" s="6" t="s">
        <v>93</v>
      </c>
      <c r="J97" s="70" t="e">
        <f>IF(OR(D97=0,D98=0,D99=0),"#NA",IF(AND(C99-C98=C98-C97,C98&lt;&gt;C99,C97&lt;&gt;C98,C97&lt;&gt;C99,D99&lt;&gt;0,OR(D97&lt;&gt;0,D98&lt;&gt;0)),WLS*(C99-C98),"#NA"))</f>
        <v>#VALUE!</v>
      </c>
      <c r="O97" s="99">
        <f>O96+1</f>
        <v>14</v>
      </c>
      <c r="P97" s="99" t="str">
        <f t="shared" si="23"/>
        <v xml:space="preserve">  </v>
      </c>
      <c r="Q97" s="68" t="e">
        <f>IF(OR(P99-P98=P98-P97,P100-P98=P98-P97),P97,IF(OR(P99-P98=P98-P96,P100-P98=P98-P96),P96,"-"))</f>
        <v>#VALUE!</v>
      </c>
      <c r="R97" s="69" t="e">
        <f>VLOOKUP(Q97,STN_TABLE,2,FALSE)</f>
        <v>#VALUE!</v>
      </c>
      <c r="S97" s="69">
        <v>5</v>
      </c>
      <c r="T97" s="68" t="e">
        <f>R97*S97</f>
        <v>#VALUE!</v>
      </c>
      <c r="U97" s="79">
        <v>3</v>
      </c>
      <c r="V97" s="68" t="e">
        <f>R97*U97</f>
        <v>#VALUE!</v>
      </c>
      <c r="W97" s="6" t="s">
        <v>93</v>
      </c>
      <c r="X97" s="70" t="e">
        <f>IF(AND(Q99-Q98=Q98-Q97,NOT(AND(Q97=0,Q98=0)),NOT(AND(Q98=0,Q99=0))),WLS*(Q99-Q98),"#NA")</f>
        <v>#VALUE!</v>
      </c>
      <c r="AD97" s="93"/>
      <c r="AH97" s="6" t="s">
        <v>93</v>
      </c>
      <c r="AI97" s="70" t="e">
        <f>WLS*(AD99-AD98)</f>
        <v>#VALUE!</v>
      </c>
      <c r="AU97" s="81"/>
    </row>
    <row r="98" spans="1:47" x14ac:dyDescent="0.25">
      <c r="A98" s="84">
        <f>A97+1</f>
        <v>13</v>
      </c>
      <c r="B98" s="84" t="str">
        <f t="shared" si="27"/>
        <v xml:space="preserve">  </v>
      </c>
      <c r="C98" s="80" t="e">
        <f t="shared" ref="C98" si="42">IF(OR(B100-B99=B99-B98,B100-B99=B99-B97,B100-B99=B99-B96),B99,IF(OR(B100-B98=B98-B97,B100-B98=B98-B96),B98,IF(B100-B97=B97-B96,B97,"#NA")))</f>
        <v>#VALUE!</v>
      </c>
      <c r="D98" s="76" t="e">
        <f>VLOOKUP(C98,STN_TABLE,2,FALSE)</f>
        <v>#VALUE!</v>
      </c>
      <c r="E98" s="81">
        <v>4</v>
      </c>
      <c r="F98" s="76" t="e">
        <f>D98*E98</f>
        <v>#VALUE!</v>
      </c>
      <c r="G98" s="77" t="e">
        <f>C98</f>
        <v>#VALUE!</v>
      </c>
      <c r="H98" s="77" t="e">
        <f>F98*G98</f>
        <v>#VALUE!</v>
      </c>
      <c r="I98" s="495" t="s">
        <v>97</v>
      </c>
      <c r="J98" s="496"/>
      <c r="K98" s="78" t="s">
        <v>98</v>
      </c>
      <c r="L98" s="78"/>
      <c r="M98" s="7" t="s">
        <v>99</v>
      </c>
      <c r="N98" s="7"/>
      <c r="O98" s="99">
        <f>O97+1</f>
        <v>15</v>
      </c>
      <c r="P98" s="99" t="str">
        <f t="shared" si="23"/>
        <v xml:space="preserve">  </v>
      </c>
      <c r="Q98" s="76" t="str">
        <f>P98</f>
        <v xml:space="preserve">  </v>
      </c>
      <c r="R98" s="77" t="str">
        <f>VLOOKUP(Q98,STN_TABLE,2,FALSE)</f>
        <v xml:space="preserve">  </v>
      </c>
      <c r="S98" s="77">
        <v>8</v>
      </c>
      <c r="T98" s="76" t="e">
        <f>R98*S98</f>
        <v>#VALUE!</v>
      </c>
      <c r="U98" s="80">
        <v>10</v>
      </c>
      <c r="V98" s="76" t="e">
        <f>R98*U98</f>
        <v>#VALUE!</v>
      </c>
      <c r="W98" s="496" t="s">
        <v>97</v>
      </c>
      <c r="X98" s="496"/>
      <c r="Y98" s="496" t="s">
        <v>98</v>
      </c>
      <c r="Z98" s="496"/>
      <c r="AA98" s="494" t="s">
        <v>99</v>
      </c>
      <c r="AB98" s="494"/>
      <c r="AC98" s="99">
        <f>AC93+1</f>
        <v>14</v>
      </c>
      <c r="AD98" s="95" t="str">
        <f>VLOOKUP(AC98,STN_TABLE_2,2,FALSE)</f>
        <v xml:space="preserve">  </v>
      </c>
      <c r="AE98" s="68" t="str">
        <f>VLOOKUP(AD98,STN_TABLE,2,FALSE)</f>
        <v xml:space="preserve">  </v>
      </c>
      <c r="AF98" s="68">
        <v>1</v>
      </c>
      <c r="AG98" s="69" t="e">
        <f>AE98*AF98</f>
        <v>#VALUE!</v>
      </c>
      <c r="AH98" s="496" t="s">
        <v>97</v>
      </c>
      <c r="AI98" s="496"/>
      <c r="AJ98" s="496" t="s">
        <v>98</v>
      </c>
      <c r="AK98" s="496"/>
      <c r="AL98" s="494" t="s">
        <v>99</v>
      </c>
      <c r="AM98" s="494"/>
      <c r="AP98" s="86" t="s">
        <v>112</v>
      </c>
      <c r="AQ98" s="89" t="s">
        <v>113</v>
      </c>
      <c r="AR98" s="89" t="s">
        <v>114</v>
      </c>
      <c r="AS98" s="89" t="s">
        <v>115</v>
      </c>
      <c r="AU98" s="81"/>
    </row>
    <row r="99" spans="1:47" x14ac:dyDescent="0.25">
      <c r="A99" s="84">
        <f>A98+1</f>
        <v>14</v>
      </c>
      <c r="B99" s="84" t="str">
        <f t="shared" si="27"/>
        <v xml:space="preserve">  </v>
      </c>
      <c r="C99" s="88" t="str">
        <f t="shared" ref="C99" si="43">B100</f>
        <v xml:space="preserve">  </v>
      </c>
      <c r="D99" s="82" t="str">
        <f>VLOOKUP(C99,STN_TABLE,2,FALSE)</f>
        <v xml:space="preserve">  </v>
      </c>
      <c r="E99" s="92">
        <v>1</v>
      </c>
      <c r="F99" s="82" t="e">
        <f>D99*E99</f>
        <v>#VALUE!</v>
      </c>
      <c r="G99" s="83" t="str">
        <f>C99</f>
        <v xml:space="preserve">  </v>
      </c>
      <c r="H99" s="83" t="e">
        <f>F99*G99</f>
        <v>#VALUE!</v>
      </c>
      <c r="I99" s="84" t="str">
        <f>CONCATENATE("a'(",C99,")=")</f>
        <v>a'(  )=</v>
      </c>
      <c r="J99" s="84" t="e">
        <f>2*J97/3*F100</f>
        <v>#VALUE!</v>
      </c>
      <c r="K99" s="84" t="e">
        <f>CONCATENATE("A(",C97,")=")</f>
        <v>#VALUE!</v>
      </c>
      <c r="L99" s="84" t="e">
        <f>VLOOKUP(C97,STN_TABLE,3,FALSE)</f>
        <v>#VALUE!</v>
      </c>
      <c r="M99" t="str">
        <f>CONCATENATE("A(",C99,")=")</f>
        <v>A(  )=</v>
      </c>
      <c r="N99" t="e">
        <f>J99+L99</f>
        <v>#VALUE!</v>
      </c>
      <c r="O99" s="99">
        <f>O98+1</f>
        <v>16</v>
      </c>
      <c r="P99" s="99" t="str">
        <f t="shared" si="23"/>
        <v xml:space="preserve">  </v>
      </c>
      <c r="Q99" s="82" t="e">
        <f>IF(P99-P98=P98-P97,P99,IF(P100-P98=P98-P97,P100,IF(P99-P98=P98-P96,P99,IF(P100-P98=P98-P96,P100,"-"))))</f>
        <v>#VALUE!</v>
      </c>
      <c r="R99" s="83" t="e">
        <f>VLOOKUP(Q99,STN_TABLE,2,FALSE)</f>
        <v>#VALUE!</v>
      </c>
      <c r="S99" s="83">
        <v>-1</v>
      </c>
      <c r="T99" s="82" t="e">
        <f>R99*S99</f>
        <v>#VALUE!</v>
      </c>
      <c r="U99" s="88">
        <v>-1</v>
      </c>
      <c r="V99" s="82" t="e">
        <f>R99*U99</f>
        <v>#VALUE!</v>
      </c>
      <c r="W99" s="84" t="str">
        <f>CONCATENATE("a'(",Q98,")=")</f>
        <v>a'(  )=</v>
      </c>
      <c r="X99" s="84" t="e">
        <f>2*X97/12*T100</f>
        <v>#VALUE!</v>
      </c>
      <c r="Y99" s="84" t="e">
        <f>CONCATENATE("A(",Q97,")=")</f>
        <v>#VALUE!</v>
      </c>
      <c r="Z99" s="84" t="e">
        <f>VLOOKUP(Q97,STN_TABLE,3,FALSE)</f>
        <v>#VALUE!</v>
      </c>
      <c r="AA99" t="str">
        <f>CONCATENATE("A(",Q98,")=")</f>
        <v>A(  )=</v>
      </c>
      <c r="AB99" t="e">
        <f>X99+Z99</f>
        <v>#VALUE!</v>
      </c>
      <c r="AC99" s="99">
        <f>AC98+1</f>
        <v>15</v>
      </c>
      <c r="AD99" s="100" t="str">
        <f>VLOOKUP(AC99,STN_TABLE_2,2,FALSE)</f>
        <v xml:space="preserve">  </v>
      </c>
      <c r="AE99" s="82" t="str">
        <f>VLOOKUP(AD99,STN_TABLE,2,FALSE)</f>
        <v xml:space="preserve">  </v>
      </c>
      <c r="AF99" s="82">
        <v>2</v>
      </c>
      <c r="AG99" s="83" t="e">
        <f>AE99*AF99</f>
        <v>#VALUE!</v>
      </c>
      <c r="AH99" s="84" t="str">
        <f>CONCATENATE("a'(",AD99,")=")</f>
        <v>a'(  )=</v>
      </c>
      <c r="AI99" s="84" t="e">
        <f>2*AI97/2*AE100</f>
        <v>#VALUE!</v>
      </c>
      <c r="AJ99" s="84" t="str">
        <f>CONCATENATE("A(",AD98,")=")</f>
        <v>A(  )=</v>
      </c>
      <c r="AK99" s="84" t="str">
        <f>VLOOKUP(AD98,STN_TABLE,3,FALSE)</f>
        <v xml:space="preserve"> </v>
      </c>
      <c r="AL99" t="str">
        <f>CONCATENATE("A(",AD99,")=")</f>
        <v>A(  )=</v>
      </c>
      <c r="AM99" t="e">
        <f>AI99+AK99</f>
        <v>#VALUE!</v>
      </c>
      <c r="AO99" s="68" t="str">
        <f>AA99</f>
        <v>A(  )=</v>
      </c>
      <c r="AP99" s="68" t="e">
        <f>VLOOKUP(AO99,Rise_Results,2,FALSE)</f>
        <v>#N/A</v>
      </c>
      <c r="AQ99" s="76" t="e">
        <f>N99</f>
        <v>#VALUE!</v>
      </c>
      <c r="AR99" s="76" t="e">
        <f>IF(OR(AB99&lt;=0,AB100&lt;=0),1/0,AB99)</f>
        <v>#VALUE!</v>
      </c>
      <c r="AS99" s="76" t="e">
        <f>AM99</f>
        <v>#VALUE!</v>
      </c>
      <c r="AT99" t="e">
        <f>IFERROR(AP99,IFERROR(AQ99,IFERROR(AR99,AS99)))</f>
        <v>#VALUE!</v>
      </c>
      <c r="AU99" s="81"/>
    </row>
    <row r="100" spans="1:47" x14ac:dyDescent="0.25">
      <c r="A100" s="84">
        <f>A99+1</f>
        <v>15</v>
      </c>
      <c r="B100" s="84" t="str">
        <f t="shared" si="27"/>
        <v xml:space="preserve">  </v>
      </c>
      <c r="F100" s="82" t="e">
        <f>SUM(F97:F99)</f>
        <v>#VALUE!</v>
      </c>
      <c r="H100" s="82" t="e">
        <f>SUM(H97:H99)</f>
        <v>#VALUE!</v>
      </c>
      <c r="I100" s="84" t="str">
        <f>CONCATENATE("m'(",C99,")=")</f>
        <v>m'(  )=</v>
      </c>
      <c r="J100" s="84" t="e">
        <f>2*(J97*(WLS))/3*H100</f>
        <v>#VALUE!</v>
      </c>
      <c r="K100" s="84" t="e">
        <f>CONCATENATE("M(",C97,")=")</f>
        <v>#VALUE!</v>
      </c>
      <c r="L100" s="84" t="e">
        <f>VLOOKUP(C97,STN_TABLE,4,FALSE)</f>
        <v>#VALUE!</v>
      </c>
      <c r="M100" t="str">
        <f>CONCATENATE("M(",C99,")=")</f>
        <v>M(  )=</v>
      </c>
      <c r="N100" t="e">
        <f>J100+L100</f>
        <v>#VALUE!</v>
      </c>
      <c r="O100" s="99">
        <f>O99+1</f>
        <v>17</v>
      </c>
      <c r="P100" s="99" t="str">
        <f t="shared" ref="P100:P131" si="44">VLOOKUP(O100,STN_TABLE_2,2,FALSE)</f>
        <v xml:space="preserve">  </v>
      </c>
      <c r="T100" s="89" t="e">
        <f>SUM(T97:T99)</f>
        <v>#VALUE!</v>
      </c>
      <c r="V100" s="82" t="e">
        <f>SUM(V97:V99)</f>
        <v>#VALUE!</v>
      </c>
      <c r="W100" s="84" t="str">
        <f>CONCATENATE("m'(",Q98,")=")</f>
        <v>m'(  )=</v>
      </c>
      <c r="X100" s="84" t="e">
        <f>(2*(X97^2)/24*V100)+(X99*Q97*WLS)</f>
        <v>#VALUE!</v>
      </c>
      <c r="Y100" s="84" t="e">
        <f>CONCATENATE("M(",Q97,")=")</f>
        <v>#VALUE!</v>
      </c>
      <c r="Z100" s="84" t="e">
        <f>VLOOKUP(Q97,STN_TABLE,4,FALSE)</f>
        <v>#VALUE!</v>
      </c>
      <c r="AA100" t="str">
        <f>CONCATENATE("M(",Q98,")=")</f>
        <v>M(  )=</v>
      </c>
      <c r="AB100" t="e">
        <f>X100+Z100</f>
        <v>#VALUE!</v>
      </c>
      <c r="AE100" s="89">
        <f>SUM(AE98:AE99)</f>
        <v>0</v>
      </c>
      <c r="AG100" s="89" t="e">
        <f>SUM(AG98:AG99)</f>
        <v>#VALUE!</v>
      </c>
      <c r="AH100" s="84" t="str">
        <f>CONCATENATE("m'(",AD99,")=")</f>
        <v>m'(  )=</v>
      </c>
      <c r="AI100" s="84" t="e">
        <f>(2*(AI97^2)/6*AG100)+(AI99*AD98*WLS)</f>
        <v>#VALUE!</v>
      </c>
      <c r="AJ100" s="84" t="str">
        <f>CONCATENATE("M(",AD98,")=")</f>
        <v>M(  )=</v>
      </c>
      <c r="AK100" s="84" t="str">
        <f>VLOOKUP(AD98,STN_TABLE,4,FALSE)</f>
        <v xml:space="preserve"> </v>
      </c>
      <c r="AL100" t="str">
        <f>CONCATENATE("M(",AD99,")=")</f>
        <v>M(  )=</v>
      </c>
      <c r="AM100" t="e">
        <f>AI100+AK100</f>
        <v>#VALUE!</v>
      </c>
      <c r="AO100" s="82" t="str">
        <f>AA100</f>
        <v>M(  )=</v>
      </c>
      <c r="AP100" s="82" t="e">
        <f>VLOOKUP(AO100,Rise_Results,2,FALSE)</f>
        <v>#N/A</v>
      </c>
      <c r="AQ100" s="82" t="e">
        <f>N100</f>
        <v>#VALUE!</v>
      </c>
      <c r="AR100" s="82" t="e">
        <f>IF(OR(AB99&lt;=0,AB100&lt;=0),1/0,AB100)</f>
        <v>#VALUE!</v>
      </c>
      <c r="AS100" s="82" t="e">
        <f>AM100</f>
        <v>#VALUE!</v>
      </c>
      <c r="AT100" t="e">
        <f>IFERROR(AP100,IFERROR(AQ100,IFERROR(AR100,AS100)))</f>
        <v>#VALUE!</v>
      </c>
      <c r="AU100" s="81"/>
    </row>
    <row r="101" spans="1:47" x14ac:dyDescent="0.25">
      <c r="A101" s="101">
        <f>A96+1</f>
        <v>12</v>
      </c>
      <c r="B101" s="101">
        <f t="shared" si="27"/>
        <v>6.5</v>
      </c>
      <c r="O101" s="101">
        <f>O96+1</f>
        <v>14</v>
      </c>
      <c r="P101" s="101" t="str">
        <f t="shared" si="44"/>
        <v xml:space="preserve">  </v>
      </c>
      <c r="AU101" s="81"/>
    </row>
    <row r="102" spans="1:47" x14ac:dyDescent="0.25">
      <c r="A102" s="84">
        <f>A101+1</f>
        <v>13</v>
      </c>
      <c r="B102" s="84" t="str">
        <f t="shared" si="27"/>
        <v xml:space="preserve">  </v>
      </c>
      <c r="C102" s="79" t="e">
        <f t="shared" ref="C102" si="45">IF(C103=B104,IF(C104-C103=C103-B103,B103,IF(C104-C103=C103-B102,B102,"#NA")),IF(C103=B103,IF(C104-C103=C103-B102,B102,IF(C104-C103=C103-B101,B101,"#NA")),"#NA"))</f>
        <v>#VALUE!</v>
      </c>
      <c r="D102" s="68" t="e">
        <f>VLOOKUP(C102,STN_TABLE,2,FALSE)</f>
        <v>#VALUE!</v>
      </c>
      <c r="E102" s="102">
        <v>1</v>
      </c>
      <c r="F102" s="68" t="e">
        <f>D102*E102</f>
        <v>#VALUE!</v>
      </c>
      <c r="G102" s="69" t="e">
        <f>C102</f>
        <v>#VALUE!</v>
      </c>
      <c r="H102" s="69" t="e">
        <f>F102*G102</f>
        <v>#VALUE!</v>
      </c>
      <c r="I102" s="6" t="s">
        <v>93</v>
      </c>
      <c r="J102" s="70" t="e">
        <f>IF(OR(D102=0,D103=0,D104=0),"#NA",IF(AND(C104-C103=C103-C102,C103&lt;&gt;C104,C102&lt;&gt;C103,C102&lt;&gt;C104,D104&lt;&gt;0,OR(D102&lt;&gt;0,D103&lt;&gt;0)),WLS*(C104-C103),"#NA"))</f>
        <v>#VALUE!</v>
      </c>
      <c r="O102" s="99">
        <f>O101+1</f>
        <v>15</v>
      </c>
      <c r="P102" s="99" t="str">
        <f t="shared" si="44"/>
        <v xml:space="preserve">  </v>
      </c>
      <c r="Q102" s="68" t="e">
        <f>IF(OR(P104-P103=P103-P102,P105-P103=P103-P102),P102,IF(OR(P104-P103=P103-P101,P105-P103=P103-P101),P101,"-"))</f>
        <v>#VALUE!</v>
      </c>
      <c r="R102" s="69" t="e">
        <f>VLOOKUP(Q102,STN_TABLE,2,FALSE)</f>
        <v>#VALUE!</v>
      </c>
      <c r="S102" s="69">
        <v>5</v>
      </c>
      <c r="T102" s="68" t="e">
        <f>R102*S102</f>
        <v>#VALUE!</v>
      </c>
      <c r="U102" s="79">
        <v>3</v>
      </c>
      <c r="V102" s="68" t="e">
        <f>R102*U102</f>
        <v>#VALUE!</v>
      </c>
      <c r="W102" s="6" t="s">
        <v>93</v>
      </c>
      <c r="X102" s="70" t="e">
        <f>IF(AND(Q104-Q103=Q103-Q102,NOT(AND(Q102=0,Q103=0)),NOT(AND(Q103=0,Q104=0))),WLS*(Q104-Q103),"#NA")</f>
        <v>#VALUE!</v>
      </c>
      <c r="AD102" s="93"/>
      <c r="AH102" s="6" t="s">
        <v>93</v>
      </c>
      <c r="AI102" s="70" t="e">
        <f>WLS*(AD104-AD103)</f>
        <v>#VALUE!</v>
      </c>
      <c r="AU102" s="81"/>
    </row>
    <row r="103" spans="1:47" x14ac:dyDescent="0.25">
      <c r="A103" s="84">
        <f>A102+1</f>
        <v>14</v>
      </c>
      <c r="B103" s="84" t="str">
        <f t="shared" si="27"/>
        <v xml:space="preserve">  </v>
      </c>
      <c r="C103" s="80" t="e">
        <f t="shared" ref="C103" si="46">IF(OR(B105-B104=B104-B103,B105-B104=B104-B102,B105-B104=B104-B101),B104,IF(OR(B105-B103=B103-B102,B105-B103=B103-B101),B103,IF(B105-B102=B102-B101,B102,"#NA")))</f>
        <v>#VALUE!</v>
      </c>
      <c r="D103" s="76" t="e">
        <f>VLOOKUP(C103,STN_TABLE,2,FALSE)</f>
        <v>#VALUE!</v>
      </c>
      <c r="E103" s="81">
        <v>4</v>
      </c>
      <c r="F103" s="76" t="e">
        <f>D103*E103</f>
        <v>#VALUE!</v>
      </c>
      <c r="G103" s="77" t="e">
        <f>C103</f>
        <v>#VALUE!</v>
      </c>
      <c r="H103" s="77" t="e">
        <f>F103*G103</f>
        <v>#VALUE!</v>
      </c>
      <c r="I103" s="495" t="s">
        <v>97</v>
      </c>
      <c r="J103" s="496"/>
      <c r="K103" s="78" t="s">
        <v>98</v>
      </c>
      <c r="L103" s="78"/>
      <c r="M103" s="7" t="s">
        <v>99</v>
      </c>
      <c r="N103" s="7"/>
      <c r="O103" s="99">
        <f>O102+1</f>
        <v>16</v>
      </c>
      <c r="P103" s="99" t="str">
        <f t="shared" si="44"/>
        <v xml:space="preserve">  </v>
      </c>
      <c r="Q103" s="76" t="str">
        <f>P103</f>
        <v xml:space="preserve">  </v>
      </c>
      <c r="R103" s="77" t="str">
        <f>VLOOKUP(Q103,STN_TABLE,2,FALSE)</f>
        <v xml:space="preserve">  </v>
      </c>
      <c r="S103" s="77">
        <v>8</v>
      </c>
      <c r="T103" s="76" t="e">
        <f>R103*S103</f>
        <v>#VALUE!</v>
      </c>
      <c r="U103" s="80">
        <v>10</v>
      </c>
      <c r="V103" s="76" t="e">
        <f>R103*U103</f>
        <v>#VALUE!</v>
      </c>
      <c r="W103" s="496" t="s">
        <v>97</v>
      </c>
      <c r="X103" s="496"/>
      <c r="Y103" s="496" t="s">
        <v>98</v>
      </c>
      <c r="Z103" s="496"/>
      <c r="AA103" s="494" t="s">
        <v>99</v>
      </c>
      <c r="AB103" s="494"/>
      <c r="AC103" s="99">
        <f>AC98+1</f>
        <v>15</v>
      </c>
      <c r="AD103" s="95" t="str">
        <f>VLOOKUP(AC103,STN_TABLE_2,2,FALSE)</f>
        <v xml:space="preserve">  </v>
      </c>
      <c r="AE103" s="68" t="str">
        <f>VLOOKUP(AD103,STN_TABLE,2,FALSE)</f>
        <v xml:space="preserve">  </v>
      </c>
      <c r="AF103" s="68">
        <v>1</v>
      </c>
      <c r="AG103" s="69" t="e">
        <f>AE103*AF103</f>
        <v>#VALUE!</v>
      </c>
      <c r="AH103" s="496" t="s">
        <v>97</v>
      </c>
      <c r="AI103" s="496"/>
      <c r="AJ103" s="496" t="s">
        <v>98</v>
      </c>
      <c r="AK103" s="496"/>
      <c r="AL103" s="494" t="s">
        <v>99</v>
      </c>
      <c r="AM103" s="494"/>
      <c r="AP103" s="86" t="s">
        <v>112</v>
      </c>
      <c r="AQ103" s="89" t="s">
        <v>113</v>
      </c>
      <c r="AR103" s="89" t="s">
        <v>114</v>
      </c>
      <c r="AS103" s="89" t="s">
        <v>115</v>
      </c>
      <c r="AU103" s="81"/>
    </row>
    <row r="104" spans="1:47" x14ac:dyDescent="0.25">
      <c r="A104" s="84">
        <f>A103+1</f>
        <v>15</v>
      </c>
      <c r="B104" s="84" t="str">
        <f t="shared" si="27"/>
        <v xml:space="preserve">  </v>
      </c>
      <c r="C104" s="88" t="str">
        <f t="shared" ref="C104" si="47">B105</f>
        <v xml:space="preserve">  </v>
      </c>
      <c r="D104" s="82" t="str">
        <f>VLOOKUP(C104,STN_TABLE,2,FALSE)</f>
        <v xml:space="preserve">  </v>
      </c>
      <c r="E104" s="92">
        <v>1</v>
      </c>
      <c r="F104" s="82" t="e">
        <f>D104*E104</f>
        <v>#VALUE!</v>
      </c>
      <c r="G104" s="83" t="str">
        <f>C104</f>
        <v xml:space="preserve">  </v>
      </c>
      <c r="H104" s="83" t="e">
        <f>F104*G104</f>
        <v>#VALUE!</v>
      </c>
      <c r="I104" s="84" t="str">
        <f>CONCATENATE("a'(",C104,")=")</f>
        <v>a'(  )=</v>
      </c>
      <c r="J104" s="84" t="e">
        <f>2*J102/3*F105</f>
        <v>#VALUE!</v>
      </c>
      <c r="K104" s="84" t="e">
        <f>CONCATENATE("A(",C102,")=")</f>
        <v>#VALUE!</v>
      </c>
      <c r="L104" s="84" t="e">
        <f>VLOOKUP(C102,STN_TABLE,3,FALSE)</f>
        <v>#VALUE!</v>
      </c>
      <c r="M104" t="str">
        <f>CONCATENATE("A(",C104,")=")</f>
        <v>A(  )=</v>
      </c>
      <c r="N104" t="e">
        <f>J104+L104</f>
        <v>#VALUE!</v>
      </c>
      <c r="O104" s="99">
        <f>O103+1</f>
        <v>17</v>
      </c>
      <c r="P104" s="99" t="str">
        <f t="shared" si="44"/>
        <v xml:space="preserve">  </v>
      </c>
      <c r="Q104" s="82" t="e">
        <f>IF(P104-P103=P103-P102,P104,IF(P105-P103=P103-P102,P105,IF(P104-P103=P103-P101,P104,IF(P105-P103=P103-P101,P105,"-"))))</f>
        <v>#VALUE!</v>
      </c>
      <c r="R104" s="83" t="e">
        <f>VLOOKUP(Q104,STN_TABLE,2,FALSE)</f>
        <v>#VALUE!</v>
      </c>
      <c r="S104" s="83">
        <v>-1</v>
      </c>
      <c r="T104" s="82" t="e">
        <f>R104*S104</f>
        <v>#VALUE!</v>
      </c>
      <c r="U104" s="88">
        <v>-1</v>
      </c>
      <c r="V104" s="82" t="e">
        <f>R104*U104</f>
        <v>#VALUE!</v>
      </c>
      <c r="W104" s="84" t="str">
        <f>CONCATENATE("a'(",Q103,")=")</f>
        <v>a'(  )=</v>
      </c>
      <c r="X104" s="84" t="e">
        <f>2*X102/12*T105</f>
        <v>#VALUE!</v>
      </c>
      <c r="Y104" s="84" t="e">
        <f>CONCATENATE("A(",Q102,")=")</f>
        <v>#VALUE!</v>
      </c>
      <c r="Z104" s="84" t="e">
        <f>VLOOKUP(Q102,STN_TABLE,3,FALSE)</f>
        <v>#VALUE!</v>
      </c>
      <c r="AA104" t="str">
        <f>CONCATENATE("A(",Q103,")=")</f>
        <v>A(  )=</v>
      </c>
      <c r="AB104" t="e">
        <f>X104+Z104</f>
        <v>#VALUE!</v>
      </c>
      <c r="AC104" s="99">
        <f>AC103+1</f>
        <v>16</v>
      </c>
      <c r="AD104" s="100" t="str">
        <f>VLOOKUP(AC104,STN_TABLE_2,2,FALSE)</f>
        <v xml:space="preserve">  </v>
      </c>
      <c r="AE104" s="82" t="str">
        <f>VLOOKUP(AD104,STN_TABLE,2,FALSE)</f>
        <v xml:space="preserve">  </v>
      </c>
      <c r="AF104" s="82">
        <v>2</v>
      </c>
      <c r="AG104" s="83" t="e">
        <f>AE104*AF104</f>
        <v>#VALUE!</v>
      </c>
      <c r="AH104" s="84" t="str">
        <f>CONCATENATE("a'(",AD104,")=")</f>
        <v>a'(  )=</v>
      </c>
      <c r="AI104" s="84" t="e">
        <f>2*AI102/2*AE105</f>
        <v>#VALUE!</v>
      </c>
      <c r="AJ104" s="84" t="str">
        <f>CONCATENATE("A(",AD103,")=")</f>
        <v>A(  )=</v>
      </c>
      <c r="AK104" s="84" t="str">
        <f>VLOOKUP(AD103,STN_TABLE,3,FALSE)</f>
        <v xml:space="preserve"> </v>
      </c>
      <c r="AL104" t="str">
        <f>CONCATENATE("A(",AD104,")=")</f>
        <v>A(  )=</v>
      </c>
      <c r="AM104" t="e">
        <f>AI104+AK104</f>
        <v>#VALUE!</v>
      </c>
      <c r="AO104" s="68" t="str">
        <f>AA104</f>
        <v>A(  )=</v>
      </c>
      <c r="AP104" s="68" t="e">
        <f>VLOOKUP(AO104,Rise_Results,2,FALSE)</f>
        <v>#N/A</v>
      </c>
      <c r="AQ104" s="76" t="e">
        <f>N104</f>
        <v>#VALUE!</v>
      </c>
      <c r="AR104" s="76" t="e">
        <f>IF(OR(AB104&lt;=0,AB105&lt;=0),1/0,AB104)</f>
        <v>#VALUE!</v>
      </c>
      <c r="AS104" s="76" t="e">
        <f>AM104</f>
        <v>#VALUE!</v>
      </c>
      <c r="AT104" t="e">
        <f>IFERROR(AP104,IFERROR(AQ104,IFERROR(AR104,AS104)))</f>
        <v>#VALUE!</v>
      </c>
      <c r="AU104" s="81"/>
    </row>
    <row r="105" spans="1:47" x14ac:dyDescent="0.25">
      <c r="A105" s="84">
        <f>A104+1</f>
        <v>16</v>
      </c>
      <c r="B105" s="84" t="str">
        <f t="shared" si="27"/>
        <v xml:space="preserve">  </v>
      </c>
      <c r="F105" s="82" t="e">
        <f>SUM(F102:F104)</f>
        <v>#VALUE!</v>
      </c>
      <c r="H105" s="82" t="e">
        <f>SUM(H102:H104)</f>
        <v>#VALUE!</v>
      </c>
      <c r="I105" s="84" t="str">
        <f>CONCATENATE("m'(",C104,")=")</f>
        <v>m'(  )=</v>
      </c>
      <c r="J105" s="84" t="e">
        <f>2*(J102*(WLS))/3*H105</f>
        <v>#VALUE!</v>
      </c>
      <c r="K105" s="84" t="e">
        <f>CONCATENATE("M(",C102,")=")</f>
        <v>#VALUE!</v>
      </c>
      <c r="L105" s="84" t="e">
        <f>VLOOKUP(C102,STN_TABLE,4,FALSE)</f>
        <v>#VALUE!</v>
      </c>
      <c r="M105" t="str">
        <f>CONCATENATE("M(",C104,")=")</f>
        <v>M(  )=</v>
      </c>
      <c r="N105" t="e">
        <f>J105+L105</f>
        <v>#VALUE!</v>
      </c>
      <c r="O105" s="99">
        <f>O104+1</f>
        <v>18</v>
      </c>
      <c r="P105" s="99" t="str">
        <f t="shared" si="44"/>
        <v xml:space="preserve">  </v>
      </c>
      <c r="T105" s="89" t="e">
        <f>SUM(T102:T104)</f>
        <v>#VALUE!</v>
      </c>
      <c r="V105" s="82" t="e">
        <f>SUM(V102:V104)</f>
        <v>#VALUE!</v>
      </c>
      <c r="W105" s="84" t="str">
        <f>CONCATENATE("m'(",Q103,")=")</f>
        <v>m'(  )=</v>
      </c>
      <c r="X105" s="84" t="e">
        <f>(2*(X102^2)/24*V105)+(X104*Q102*WLS)</f>
        <v>#VALUE!</v>
      </c>
      <c r="Y105" s="84" t="e">
        <f>CONCATENATE("M(",Q102,")=")</f>
        <v>#VALUE!</v>
      </c>
      <c r="Z105" s="84" t="e">
        <f>VLOOKUP(Q102,STN_TABLE,4,FALSE)</f>
        <v>#VALUE!</v>
      </c>
      <c r="AA105" t="str">
        <f>CONCATENATE("M(",Q103,")=")</f>
        <v>M(  )=</v>
      </c>
      <c r="AB105" t="e">
        <f>X105+Z105</f>
        <v>#VALUE!</v>
      </c>
      <c r="AE105" s="89">
        <f>SUM(AE103:AE104)</f>
        <v>0</v>
      </c>
      <c r="AG105" s="89" t="e">
        <f>SUM(AG103:AG104)</f>
        <v>#VALUE!</v>
      </c>
      <c r="AH105" s="84" t="str">
        <f>CONCATENATE("m'(",AD104,")=")</f>
        <v>m'(  )=</v>
      </c>
      <c r="AI105" s="84" t="e">
        <f>(2*(AI102^2)/6*AG105)+(AI104*AD103*WLS)</f>
        <v>#VALUE!</v>
      </c>
      <c r="AJ105" s="84" t="str">
        <f>CONCATENATE("M(",AD103,")=")</f>
        <v>M(  )=</v>
      </c>
      <c r="AK105" s="84" t="str">
        <f>VLOOKUP(AD103,STN_TABLE,4,FALSE)</f>
        <v xml:space="preserve"> </v>
      </c>
      <c r="AL105" t="str">
        <f>CONCATENATE("M(",AD104,")=")</f>
        <v>M(  )=</v>
      </c>
      <c r="AM105" t="e">
        <f>AI105+AK105</f>
        <v>#VALUE!</v>
      </c>
      <c r="AO105" s="82" t="str">
        <f>AA105</f>
        <v>M(  )=</v>
      </c>
      <c r="AP105" s="82" t="e">
        <f>VLOOKUP(AO105,Rise_Results,2,FALSE)</f>
        <v>#N/A</v>
      </c>
      <c r="AQ105" s="82" t="e">
        <f>N105</f>
        <v>#VALUE!</v>
      </c>
      <c r="AR105" s="82" t="e">
        <f>IF(OR(AB104&lt;=0,AB105&lt;=0),1/0,AB105)</f>
        <v>#VALUE!</v>
      </c>
      <c r="AS105" s="82" t="e">
        <f>AM105</f>
        <v>#VALUE!</v>
      </c>
      <c r="AT105" t="e">
        <f>IFERROR(AP105,IFERROR(AQ105,IFERROR(AR105,AS105)))</f>
        <v>#VALUE!</v>
      </c>
      <c r="AU105" s="81"/>
    </row>
    <row r="106" spans="1:47" x14ac:dyDescent="0.25">
      <c r="A106" s="101">
        <f>A101+1</f>
        <v>13</v>
      </c>
      <c r="B106" s="101" t="str">
        <f t="shared" ref="B106:B137" si="48">VLOOKUP(A106,STN_TABLE_2,2,FALSE)</f>
        <v xml:space="preserve">  </v>
      </c>
      <c r="O106" s="101">
        <f>O101+1</f>
        <v>15</v>
      </c>
      <c r="P106" s="101" t="str">
        <f t="shared" si="44"/>
        <v xml:space="preserve">  </v>
      </c>
      <c r="AU106" s="81"/>
    </row>
    <row r="107" spans="1:47" x14ac:dyDescent="0.25">
      <c r="A107" s="84">
        <f>A106+1</f>
        <v>14</v>
      </c>
      <c r="B107" s="84" t="str">
        <f t="shared" si="48"/>
        <v xml:space="preserve">  </v>
      </c>
      <c r="C107" s="79" t="e">
        <f t="shared" ref="C107" si="49">IF(C108=B109,IF(C109-C108=C108-B108,B108,IF(C109-C108=C108-B107,B107,"#NA")),IF(C108=B108,IF(C109-C108=C108-B107,B107,IF(C109-C108=C108-B106,B106,"#NA")),"#NA"))</f>
        <v>#VALUE!</v>
      </c>
      <c r="D107" s="68" t="e">
        <f>VLOOKUP(C107,STN_TABLE,2,FALSE)</f>
        <v>#VALUE!</v>
      </c>
      <c r="E107" s="102">
        <v>1</v>
      </c>
      <c r="F107" s="68" t="e">
        <f>D107*E107</f>
        <v>#VALUE!</v>
      </c>
      <c r="G107" s="69" t="e">
        <f>C107</f>
        <v>#VALUE!</v>
      </c>
      <c r="H107" s="69" t="e">
        <f>F107*G107</f>
        <v>#VALUE!</v>
      </c>
      <c r="I107" s="6" t="s">
        <v>93</v>
      </c>
      <c r="J107" s="70" t="e">
        <f>IF(OR(D107=0,D108=0,D109=0),"#NA",IF(AND(C109-C108=C108-C107,C108&lt;&gt;C109,C107&lt;&gt;C108,C107&lt;&gt;C109,D109&lt;&gt;0,OR(D107&lt;&gt;0,D108&lt;&gt;0)),WLS*(C109-C108),"#NA"))</f>
        <v>#VALUE!</v>
      </c>
      <c r="O107" s="99">
        <f>O106+1</f>
        <v>16</v>
      </c>
      <c r="P107" s="99" t="str">
        <f t="shared" si="44"/>
        <v xml:space="preserve">  </v>
      </c>
      <c r="Q107" s="68" t="e">
        <f>IF(OR(P109-P108=P108-P107,P110-P108=P108-P107),P107,IF(OR(P109-P108=P108-P106,P110-P108=P108-P106),P106,"-"))</f>
        <v>#VALUE!</v>
      </c>
      <c r="R107" s="69" t="e">
        <f>VLOOKUP(Q107,STN_TABLE,2,FALSE)</f>
        <v>#VALUE!</v>
      </c>
      <c r="S107" s="69">
        <v>5</v>
      </c>
      <c r="T107" s="68" t="e">
        <f>R107*S107</f>
        <v>#VALUE!</v>
      </c>
      <c r="U107" s="79">
        <v>3</v>
      </c>
      <c r="V107" s="68" t="e">
        <f>R107*U107</f>
        <v>#VALUE!</v>
      </c>
      <c r="W107" s="6" t="s">
        <v>93</v>
      </c>
      <c r="X107" s="70" t="e">
        <f>IF(AND(Q109-Q108=Q108-Q107,NOT(AND(Q107=0,Q108=0)),NOT(AND(Q108=0,Q109=0))),WLS*(Q109-Q108),"#NA")</f>
        <v>#VALUE!</v>
      </c>
      <c r="AD107" s="93"/>
      <c r="AH107" s="6" t="s">
        <v>93</v>
      </c>
      <c r="AI107" s="70" t="e">
        <f>WLS*(AD109-AD108)</f>
        <v>#VALUE!</v>
      </c>
      <c r="AU107" s="81"/>
    </row>
    <row r="108" spans="1:47" x14ac:dyDescent="0.25">
      <c r="A108" s="84">
        <f>A107+1</f>
        <v>15</v>
      </c>
      <c r="B108" s="84" t="str">
        <f t="shared" si="48"/>
        <v xml:space="preserve">  </v>
      </c>
      <c r="C108" s="80" t="e">
        <f t="shared" ref="C108" si="50">IF(OR(B110-B109=B109-B108,B110-B109=B109-B107,B110-B109=B109-B106),B109,IF(OR(B110-B108=B108-B107,B110-B108=B108-B106),B108,IF(B110-B107=B107-B106,B107,"#NA")))</f>
        <v>#VALUE!</v>
      </c>
      <c r="D108" s="76" t="e">
        <f>VLOOKUP(C108,STN_TABLE,2,FALSE)</f>
        <v>#VALUE!</v>
      </c>
      <c r="E108" s="81">
        <v>4</v>
      </c>
      <c r="F108" s="76" t="e">
        <f>D108*E108</f>
        <v>#VALUE!</v>
      </c>
      <c r="G108" s="77" t="e">
        <f>C108</f>
        <v>#VALUE!</v>
      </c>
      <c r="H108" s="77" t="e">
        <f>F108*G108</f>
        <v>#VALUE!</v>
      </c>
      <c r="I108" s="495" t="s">
        <v>97</v>
      </c>
      <c r="J108" s="496"/>
      <c r="K108" s="78" t="s">
        <v>98</v>
      </c>
      <c r="L108" s="78"/>
      <c r="M108" s="7" t="s">
        <v>99</v>
      </c>
      <c r="N108" s="7"/>
      <c r="O108" s="99">
        <f>O107+1</f>
        <v>17</v>
      </c>
      <c r="P108" s="99" t="str">
        <f t="shared" si="44"/>
        <v xml:space="preserve">  </v>
      </c>
      <c r="Q108" s="76" t="str">
        <f>P108</f>
        <v xml:space="preserve">  </v>
      </c>
      <c r="R108" s="77" t="str">
        <f>VLOOKUP(Q108,STN_TABLE,2,FALSE)</f>
        <v xml:space="preserve">  </v>
      </c>
      <c r="S108" s="77">
        <v>8</v>
      </c>
      <c r="T108" s="76" t="e">
        <f>R108*S108</f>
        <v>#VALUE!</v>
      </c>
      <c r="U108" s="80">
        <v>10</v>
      </c>
      <c r="V108" s="76" t="e">
        <f>R108*U108</f>
        <v>#VALUE!</v>
      </c>
      <c r="W108" s="496" t="s">
        <v>97</v>
      </c>
      <c r="X108" s="496"/>
      <c r="Y108" s="496" t="s">
        <v>98</v>
      </c>
      <c r="Z108" s="496"/>
      <c r="AA108" s="494" t="s">
        <v>99</v>
      </c>
      <c r="AB108" s="494"/>
      <c r="AC108" s="99">
        <f>AC103+1</f>
        <v>16</v>
      </c>
      <c r="AD108" s="95" t="str">
        <f>VLOOKUP(AC108,STN_TABLE_2,2,FALSE)</f>
        <v xml:space="preserve">  </v>
      </c>
      <c r="AE108" s="68" t="str">
        <f>VLOOKUP(AD108,STN_TABLE,2,FALSE)</f>
        <v xml:space="preserve">  </v>
      </c>
      <c r="AF108" s="68">
        <v>1</v>
      </c>
      <c r="AG108" s="69" t="e">
        <f>AE108*AF108</f>
        <v>#VALUE!</v>
      </c>
      <c r="AH108" s="496" t="s">
        <v>97</v>
      </c>
      <c r="AI108" s="496"/>
      <c r="AJ108" s="496" t="s">
        <v>98</v>
      </c>
      <c r="AK108" s="496"/>
      <c r="AL108" s="494" t="s">
        <v>99</v>
      </c>
      <c r="AM108" s="494"/>
      <c r="AP108" s="86" t="s">
        <v>112</v>
      </c>
      <c r="AQ108" s="89" t="s">
        <v>113</v>
      </c>
      <c r="AR108" s="89" t="s">
        <v>114</v>
      </c>
      <c r="AS108" s="89" t="s">
        <v>115</v>
      </c>
      <c r="AU108" s="81"/>
    </row>
    <row r="109" spans="1:47" x14ac:dyDescent="0.25">
      <c r="A109" s="84">
        <f>A108+1</f>
        <v>16</v>
      </c>
      <c r="B109" s="84" t="str">
        <f t="shared" si="48"/>
        <v xml:space="preserve">  </v>
      </c>
      <c r="C109" s="88" t="str">
        <f t="shared" ref="C109" si="51">B110</f>
        <v xml:space="preserve">  </v>
      </c>
      <c r="D109" s="82" t="str">
        <f>VLOOKUP(C109,STN_TABLE,2,FALSE)</f>
        <v xml:space="preserve">  </v>
      </c>
      <c r="E109" s="92">
        <v>1</v>
      </c>
      <c r="F109" s="82" t="e">
        <f>D109*E109</f>
        <v>#VALUE!</v>
      </c>
      <c r="G109" s="83" t="str">
        <f>C109</f>
        <v xml:space="preserve">  </v>
      </c>
      <c r="H109" s="83" t="e">
        <f>F109*G109</f>
        <v>#VALUE!</v>
      </c>
      <c r="I109" s="84" t="str">
        <f>CONCATENATE("a'(",C109,")=")</f>
        <v>a'(  )=</v>
      </c>
      <c r="J109" s="84" t="e">
        <f>2*J107/3*F110</f>
        <v>#VALUE!</v>
      </c>
      <c r="K109" s="84" t="e">
        <f>CONCATENATE("A(",C107,")=")</f>
        <v>#VALUE!</v>
      </c>
      <c r="L109" s="84" t="e">
        <f>VLOOKUP(C107,STN_TABLE,3,FALSE)</f>
        <v>#VALUE!</v>
      </c>
      <c r="M109" t="str">
        <f>CONCATENATE("A(",C109,")=")</f>
        <v>A(  )=</v>
      </c>
      <c r="N109" t="e">
        <f>J109+L109</f>
        <v>#VALUE!</v>
      </c>
      <c r="O109" s="99">
        <f>O108+1</f>
        <v>18</v>
      </c>
      <c r="P109" s="99" t="str">
        <f t="shared" si="44"/>
        <v xml:space="preserve">  </v>
      </c>
      <c r="Q109" s="82" t="e">
        <f>IF(P109-P108=P108-P107,P109,IF(P110-P108=P108-P107,P110,IF(P109-P108=P108-P106,P109,IF(P110-P108=P108-P106,P110,"-"))))</f>
        <v>#VALUE!</v>
      </c>
      <c r="R109" s="83" t="e">
        <f>VLOOKUP(Q109,STN_TABLE,2,FALSE)</f>
        <v>#VALUE!</v>
      </c>
      <c r="S109" s="83">
        <v>-1</v>
      </c>
      <c r="T109" s="82" t="e">
        <f>R109*S109</f>
        <v>#VALUE!</v>
      </c>
      <c r="U109" s="88">
        <v>-1</v>
      </c>
      <c r="V109" s="82" t="e">
        <f>R109*U109</f>
        <v>#VALUE!</v>
      </c>
      <c r="W109" s="84" t="str">
        <f>CONCATENATE("a'(",Q108,")=")</f>
        <v>a'(  )=</v>
      </c>
      <c r="X109" s="84" t="e">
        <f>2*X107/12*T110</f>
        <v>#VALUE!</v>
      </c>
      <c r="Y109" s="84" t="e">
        <f>CONCATENATE("A(",Q107,")=")</f>
        <v>#VALUE!</v>
      </c>
      <c r="Z109" s="84" t="e">
        <f>VLOOKUP(Q107,STN_TABLE,3,FALSE)</f>
        <v>#VALUE!</v>
      </c>
      <c r="AA109" t="str">
        <f>CONCATENATE("A(",Q108,")=")</f>
        <v>A(  )=</v>
      </c>
      <c r="AB109" t="e">
        <f>X109+Z109</f>
        <v>#VALUE!</v>
      </c>
      <c r="AC109" s="99">
        <f>AC108+1</f>
        <v>17</v>
      </c>
      <c r="AD109" s="100" t="str">
        <f>VLOOKUP(AC109,STN_TABLE_2,2,FALSE)</f>
        <v xml:space="preserve">  </v>
      </c>
      <c r="AE109" s="82" t="str">
        <f>VLOOKUP(AD109,STN_TABLE,2,FALSE)</f>
        <v xml:space="preserve">  </v>
      </c>
      <c r="AF109" s="82">
        <v>2</v>
      </c>
      <c r="AG109" s="83" t="e">
        <f>AE109*AF109</f>
        <v>#VALUE!</v>
      </c>
      <c r="AH109" s="84" t="str">
        <f>CONCATENATE("a'(",AD109,")=")</f>
        <v>a'(  )=</v>
      </c>
      <c r="AI109" s="84" t="e">
        <f>2*AI107/2*AE110</f>
        <v>#VALUE!</v>
      </c>
      <c r="AJ109" s="84" t="str">
        <f>CONCATENATE("A(",AD108,")=")</f>
        <v>A(  )=</v>
      </c>
      <c r="AK109" s="84" t="str">
        <f>VLOOKUP(AD108,STN_TABLE,3,FALSE)</f>
        <v xml:space="preserve"> </v>
      </c>
      <c r="AL109" t="str">
        <f>CONCATENATE("A(",AD109,")=")</f>
        <v>A(  )=</v>
      </c>
      <c r="AM109" t="e">
        <f>AI109+AK109</f>
        <v>#VALUE!</v>
      </c>
      <c r="AO109" s="68" t="str">
        <f>AA109</f>
        <v>A(  )=</v>
      </c>
      <c r="AP109" s="68" t="e">
        <f>VLOOKUP(AO109,Rise_Results,2,FALSE)</f>
        <v>#N/A</v>
      </c>
      <c r="AQ109" s="76" t="e">
        <f>N109</f>
        <v>#VALUE!</v>
      </c>
      <c r="AR109" s="76" t="e">
        <f>IF(OR(AB109&lt;=0,AB110&lt;=0),1/0,AB109)</f>
        <v>#VALUE!</v>
      </c>
      <c r="AS109" s="76" t="e">
        <f>AM109</f>
        <v>#VALUE!</v>
      </c>
      <c r="AT109" t="e">
        <f>IFERROR(AP109,IFERROR(AQ109,IFERROR(AR109,AS109)))</f>
        <v>#VALUE!</v>
      </c>
      <c r="AU109" s="81"/>
    </row>
    <row r="110" spans="1:47" x14ac:dyDescent="0.25">
      <c r="A110" s="84">
        <f>A109+1</f>
        <v>17</v>
      </c>
      <c r="B110" s="84" t="str">
        <f t="shared" si="48"/>
        <v xml:space="preserve">  </v>
      </c>
      <c r="F110" s="82" t="e">
        <f>SUM(F107:F109)</f>
        <v>#VALUE!</v>
      </c>
      <c r="H110" s="82" t="e">
        <f>SUM(H107:H109)</f>
        <v>#VALUE!</v>
      </c>
      <c r="I110" s="84" t="str">
        <f>CONCATENATE("m'(",C109,")=")</f>
        <v>m'(  )=</v>
      </c>
      <c r="J110" s="84" t="e">
        <f>2*(J107*(WLS))/3*H110</f>
        <v>#VALUE!</v>
      </c>
      <c r="K110" s="84" t="e">
        <f>CONCATENATE("M(",C107,")=")</f>
        <v>#VALUE!</v>
      </c>
      <c r="L110" s="84" t="e">
        <f>VLOOKUP(C107,STN_TABLE,4,FALSE)</f>
        <v>#VALUE!</v>
      </c>
      <c r="M110" t="str">
        <f>CONCATENATE("M(",C109,")=")</f>
        <v>M(  )=</v>
      </c>
      <c r="N110" t="e">
        <f>J110+L110</f>
        <v>#VALUE!</v>
      </c>
      <c r="O110" s="99">
        <f>O109+1</f>
        <v>19</v>
      </c>
      <c r="P110" s="99" t="str">
        <f t="shared" si="44"/>
        <v xml:space="preserve">  </v>
      </c>
      <c r="T110" s="89" t="e">
        <f>SUM(T107:T109)</f>
        <v>#VALUE!</v>
      </c>
      <c r="V110" s="82" t="e">
        <f>SUM(V107:V109)</f>
        <v>#VALUE!</v>
      </c>
      <c r="W110" s="84" t="str">
        <f>CONCATENATE("m'(",Q108,")=")</f>
        <v>m'(  )=</v>
      </c>
      <c r="X110" s="84" t="e">
        <f>(2*(X107^2)/24*V110)+(X109*Q107*WLS)</f>
        <v>#VALUE!</v>
      </c>
      <c r="Y110" s="84" t="e">
        <f>CONCATENATE("M(",Q107,")=")</f>
        <v>#VALUE!</v>
      </c>
      <c r="Z110" s="84" t="e">
        <f>VLOOKUP(Q107,STN_TABLE,4,FALSE)</f>
        <v>#VALUE!</v>
      </c>
      <c r="AA110" t="str">
        <f>CONCATENATE("M(",Q108,")=")</f>
        <v>M(  )=</v>
      </c>
      <c r="AB110" t="e">
        <f>X110+Z110</f>
        <v>#VALUE!</v>
      </c>
      <c r="AE110" s="89">
        <f>SUM(AE108:AE109)</f>
        <v>0</v>
      </c>
      <c r="AG110" s="89" t="e">
        <f>SUM(AG108:AG109)</f>
        <v>#VALUE!</v>
      </c>
      <c r="AH110" s="84" t="str">
        <f>CONCATENATE("m'(",AD109,")=")</f>
        <v>m'(  )=</v>
      </c>
      <c r="AI110" s="84" t="e">
        <f>(2*(AI107^2)/6*AG110)+(AI109*AD108*WLS)</f>
        <v>#VALUE!</v>
      </c>
      <c r="AJ110" s="84" t="str">
        <f>CONCATENATE("M(",AD108,")=")</f>
        <v>M(  )=</v>
      </c>
      <c r="AK110" s="84" t="str">
        <f>VLOOKUP(AD108,STN_TABLE,4,FALSE)</f>
        <v xml:space="preserve"> </v>
      </c>
      <c r="AL110" t="str">
        <f>CONCATENATE("M(",AD109,")=")</f>
        <v>M(  )=</v>
      </c>
      <c r="AM110" t="e">
        <f>AI110+AK110</f>
        <v>#VALUE!</v>
      </c>
      <c r="AO110" s="82" t="str">
        <f>AA110</f>
        <v>M(  )=</v>
      </c>
      <c r="AP110" s="82" t="e">
        <f>VLOOKUP(AO110,Rise_Results,2,FALSE)</f>
        <v>#N/A</v>
      </c>
      <c r="AQ110" s="82" t="e">
        <f>N110</f>
        <v>#VALUE!</v>
      </c>
      <c r="AR110" s="82" t="e">
        <f>IF(OR(AB109&lt;=0,AB110&lt;=0),1/0,AB110)</f>
        <v>#VALUE!</v>
      </c>
      <c r="AS110" s="82" t="e">
        <f>AM110</f>
        <v>#VALUE!</v>
      </c>
      <c r="AT110" t="e">
        <f>IFERROR(AP110,IFERROR(AQ110,IFERROR(AR110,AS110)))</f>
        <v>#VALUE!</v>
      </c>
      <c r="AU110" s="81"/>
    </row>
    <row r="111" spans="1:47" x14ac:dyDescent="0.25">
      <c r="A111" s="101">
        <f>A106+1</f>
        <v>14</v>
      </c>
      <c r="B111" s="101" t="str">
        <f t="shared" si="48"/>
        <v xml:space="preserve">  </v>
      </c>
      <c r="O111" s="101">
        <f>O106+1</f>
        <v>16</v>
      </c>
      <c r="P111" s="101" t="str">
        <f t="shared" si="44"/>
        <v xml:space="preserve">  </v>
      </c>
      <c r="AU111" s="81"/>
    </row>
    <row r="112" spans="1:47" x14ac:dyDescent="0.25">
      <c r="A112" s="84">
        <f>A111+1</f>
        <v>15</v>
      </c>
      <c r="B112" s="84" t="str">
        <f t="shared" si="48"/>
        <v xml:space="preserve">  </v>
      </c>
      <c r="C112" s="79" t="e">
        <f t="shared" ref="C112" si="52">IF(C113=B114,IF(C114-C113=C113-B113,B113,IF(C114-C113=C113-B112,B112,"#NA")),IF(C113=B113,IF(C114-C113=C113-B112,B112,IF(C114-C113=C113-B111,B111,"#NA")),"#NA"))</f>
        <v>#VALUE!</v>
      </c>
      <c r="D112" s="68" t="e">
        <f>VLOOKUP(C112,STN_TABLE,2,FALSE)</f>
        <v>#VALUE!</v>
      </c>
      <c r="E112" s="102">
        <v>1</v>
      </c>
      <c r="F112" s="68" t="e">
        <f>D112*E112</f>
        <v>#VALUE!</v>
      </c>
      <c r="G112" s="69" t="e">
        <f>C112</f>
        <v>#VALUE!</v>
      </c>
      <c r="H112" s="69" t="e">
        <f>F112*G112</f>
        <v>#VALUE!</v>
      </c>
      <c r="I112" s="6" t="s">
        <v>93</v>
      </c>
      <c r="J112" s="70" t="e">
        <f>IF(OR(D112=0,D113=0,D114=0),"#NA",IF(AND(C114-C113=C113-C112,C113&lt;&gt;C114,C112&lt;&gt;C113,C112&lt;&gt;C114,D114&lt;&gt;0,OR(D112&lt;&gt;0,D113&lt;&gt;0)),WLS*(C114-C113),"#NA"))</f>
        <v>#VALUE!</v>
      </c>
      <c r="O112" s="99">
        <f>O111+1</f>
        <v>17</v>
      </c>
      <c r="P112" s="99" t="str">
        <f t="shared" si="44"/>
        <v xml:space="preserve">  </v>
      </c>
      <c r="Q112" s="68" t="e">
        <f>IF(OR(P114-P113=P113-P112,P115-P113=P113-P112),P112,IF(OR(P114-P113=P113-P111,P115-P113=P113-P111),P111,"-"))</f>
        <v>#VALUE!</v>
      </c>
      <c r="R112" s="69" t="e">
        <f>VLOOKUP(Q112,STN_TABLE,2,FALSE)</f>
        <v>#VALUE!</v>
      </c>
      <c r="S112" s="69">
        <v>5</v>
      </c>
      <c r="T112" s="68" t="e">
        <f>R112*S112</f>
        <v>#VALUE!</v>
      </c>
      <c r="U112" s="79">
        <v>3</v>
      </c>
      <c r="V112" s="68" t="e">
        <f>R112*U112</f>
        <v>#VALUE!</v>
      </c>
      <c r="W112" s="6" t="s">
        <v>93</v>
      </c>
      <c r="X112" s="70" t="e">
        <f>IF(AND(Q114-Q113=Q113-Q112,NOT(AND(Q112=0,Q113=0)),NOT(AND(Q113=0,Q114=0))),WLS*(Q114-Q113),"#NA")</f>
        <v>#VALUE!</v>
      </c>
      <c r="AD112" s="93"/>
      <c r="AH112" s="6" t="s">
        <v>93</v>
      </c>
      <c r="AI112" s="70" t="e">
        <f>WLS*(AD114-AD113)</f>
        <v>#VALUE!</v>
      </c>
      <c r="AU112" s="81"/>
    </row>
    <row r="113" spans="1:47" x14ac:dyDescent="0.25">
      <c r="A113" s="84">
        <f>A112+1</f>
        <v>16</v>
      </c>
      <c r="B113" s="84" t="str">
        <f t="shared" si="48"/>
        <v xml:space="preserve">  </v>
      </c>
      <c r="C113" s="80" t="e">
        <f t="shared" ref="C113" si="53">IF(OR(B115-B114=B114-B113,B115-B114=B114-B112,B115-B114=B114-B111),B114,IF(OR(B115-B113=B113-B112,B115-B113=B113-B111),B113,IF(B115-B112=B112-B111,B112,"#NA")))</f>
        <v>#VALUE!</v>
      </c>
      <c r="D113" s="76" t="e">
        <f>VLOOKUP(C113,STN_TABLE,2,FALSE)</f>
        <v>#VALUE!</v>
      </c>
      <c r="E113" s="81">
        <v>4</v>
      </c>
      <c r="F113" s="76" t="e">
        <f>D113*E113</f>
        <v>#VALUE!</v>
      </c>
      <c r="G113" s="77" t="e">
        <f>C113</f>
        <v>#VALUE!</v>
      </c>
      <c r="H113" s="77" t="e">
        <f>F113*G113</f>
        <v>#VALUE!</v>
      </c>
      <c r="I113" s="495" t="s">
        <v>97</v>
      </c>
      <c r="J113" s="496"/>
      <c r="K113" s="78" t="s">
        <v>98</v>
      </c>
      <c r="L113" s="78"/>
      <c r="M113" s="7" t="s">
        <v>99</v>
      </c>
      <c r="N113" s="7"/>
      <c r="O113" s="99">
        <f>O112+1</f>
        <v>18</v>
      </c>
      <c r="P113" s="99" t="str">
        <f t="shared" si="44"/>
        <v xml:space="preserve">  </v>
      </c>
      <c r="Q113" s="76" t="str">
        <f>P113</f>
        <v xml:space="preserve">  </v>
      </c>
      <c r="R113" s="77" t="str">
        <f>VLOOKUP(Q113,STN_TABLE,2,FALSE)</f>
        <v xml:space="preserve">  </v>
      </c>
      <c r="S113" s="77">
        <v>8</v>
      </c>
      <c r="T113" s="76" t="e">
        <f>R113*S113</f>
        <v>#VALUE!</v>
      </c>
      <c r="U113" s="80">
        <v>10</v>
      </c>
      <c r="V113" s="76" t="e">
        <f>R113*U113</f>
        <v>#VALUE!</v>
      </c>
      <c r="W113" s="496" t="s">
        <v>97</v>
      </c>
      <c r="X113" s="496"/>
      <c r="Y113" s="496" t="s">
        <v>98</v>
      </c>
      <c r="Z113" s="496"/>
      <c r="AA113" s="494" t="s">
        <v>99</v>
      </c>
      <c r="AB113" s="494"/>
      <c r="AC113" s="99">
        <f>AC108+1</f>
        <v>17</v>
      </c>
      <c r="AD113" s="95" t="str">
        <f>VLOOKUP(AC113,STN_TABLE_2,2,FALSE)</f>
        <v xml:space="preserve">  </v>
      </c>
      <c r="AE113" s="68" t="str">
        <f>VLOOKUP(AD113,STN_TABLE,2,FALSE)</f>
        <v xml:space="preserve">  </v>
      </c>
      <c r="AF113" s="68">
        <v>1</v>
      </c>
      <c r="AG113" s="69" t="e">
        <f>AE113*AF113</f>
        <v>#VALUE!</v>
      </c>
      <c r="AH113" s="496" t="s">
        <v>97</v>
      </c>
      <c r="AI113" s="496"/>
      <c r="AJ113" s="496" t="s">
        <v>98</v>
      </c>
      <c r="AK113" s="496"/>
      <c r="AL113" s="494" t="s">
        <v>99</v>
      </c>
      <c r="AM113" s="494"/>
      <c r="AP113" s="86" t="s">
        <v>112</v>
      </c>
      <c r="AQ113" s="89" t="s">
        <v>113</v>
      </c>
      <c r="AR113" s="89" t="s">
        <v>114</v>
      </c>
      <c r="AS113" s="89" t="s">
        <v>115</v>
      </c>
      <c r="AU113" s="81"/>
    </row>
    <row r="114" spans="1:47" x14ac:dyDescent="0.25">
      <c r="A114" s="84">
        <f>A113+1</f>
        <v>17</v>
      </c>
      <c r="B114" s="84" t="str">
        <f t="shared" si="48"/>
        <v xml:space="preserve">  </v>
      </c>
      <c r="C114" s="88" t="str">
        <f t="shared" ref="C114" si="54">B115</f>
        <v xml:space="preserve">  </v>
      </c>
      <c r="D114" s="82" t="str">
        <f>VLOOKUP(C114,STN_TABLE,2,FALSE)</f>
        <v xml:space="preserve">  </v>
      </c>
      <c r="E114" s="92">
        <v>1</v>
      </c>
      <c r="F114" s="82" t="e">
        <f>D114*E114</f>
        <v>#VALUE!</v>
      </c>
      <c r="G114" s="83" t="str">
        <f>C114</f>
        <v xml:space="preserve">  </v>
      </c>
      <c r="H114" s="83" t="e">
        <f>F114*G114</f>
        <v>#VALUE!</v>
      </c>
      <c r="I114" s="84" t="str">
        <f>CONCATENATE("a'(",C114,")=")</f>
        <v>a'(  )=</v>
      </c>
      <c r="J114" s="84" t="e">
        <f>2*J112/3*F115</f>
        <v>#VALUE!</v>
      </c>
      <c r="K114" s="84" t="e">
        <f>CONCATENATE("A(",C112,")=")</f>
        <v>#VALUE!</v>
      </c>
      <c r="L114" s="84" t="e">
        <f>VLOOKUP(C112,STN_TABLE,3,FALSE)</f>
        <v>#VALUE!</v>
      </c>
      <c r="M114" t="str">
        <f>CONCATENATE("A(",C114,")=")</f>
        <v>A(  )=</v>
      </c>
      <c r="N114" t="e">
        <f>J114+L114</f>
        <v>#VALUE!</v>
      </c>
      <c r="O114" s="99">
        <f>O113+1</f>
        <v>19</v>
      </c>
      <c r="P114" s="99" t="str">
        <f t="shared" si="44"/>
        <v xml:space="preserve">  </v>
      </c>
      <c r="Q114" s="82" t="e">
        <f>IF(P114-P113=P113-P112,P114,IF(P115-P113=P113-P112,P115,IF(P114-P113=P113-P111,P114,IF(P115-P113=P113-P111,P115,"-"))))</f>
        <v>#VALUE!</v>
      </c>
      <c r="R114" s="83" t="e">
        <f>VLOOKUP(Q114,STN_TABLE,2,FALSE)</f>
        <v>#VALUE!</v>
      </c>
      <c r="S114" s="83">
        <v>-1</v>
      </c>
      <c r="T114" s="82" t="e">
        <f>R114*S114</f>
        <v>#VALUE!</v>
      </c>
      <c r="U114" s="88">
        <v>-1</v>
      </c>
      <c r="V114" s="82" t="e">
        <f>R114*U114</f>
        <v>#VALUE!</v>
      </c>
      <c r="W114" s="84" t="str">
        <f>CONCATENATE("a'(",Q113,")=")</f>
        <v>a'(  )=</v>
      </c>
      <c r="X114" s="84" t="e">
        <f>2*X112/12*T115</f>
        <v>#VALUE!</v>
      </c>
      <c r="Y114" s="84" t="e">
        <f>CONCATENATE("A(",Q112,")=")</f>
        <v>#VALUE!</v>
      </c>
      <c r="Z114" s="84" t="e">
        <f>VLOOKUP(Q112,STN_TABLE,3,FALSE)</f>
        <v>#VALUE!</v>
      </c>
      <c r="AA114" t="str">
        <f>CONCATENATE("A(",Q113,")=")</f>
        <v>A(  )=</v>
      </c>
      <c r="AB114" t="e">
        <f>X114+Z114</f>
        <v>#VALUE!</v>
      </c>
      <c r="AC114" s="99">
        <f>AC113+1</f>
        <v>18</v>
      </c>
      <c r="AD114" s="100" t="str">
        <f>VLOOKUP(AC114,STN_TABLE_2,2,FALSE)</f>
        <v xml:space="preserve">  </v>
      </c>
      <c r="AE114" s="82" t="str">
        <f>VLOOKUP(AD114,STN_TABLE,2,FALSE)</f>
        <v xml:space="preserve">  </v>
      </c>
      <c r="AF114" s="82">
        <v>2</v>
      </c>
      <c r="AG114" s="83" t="e">
        <f>AE114*AF114</f>
        <v>#VALUE!</v>
      </c>
      <c r="AH114" s="84" t="str">
        <f>CONCATENATE("a'(",AD114,")=")</f>
        <v>a'(  )=</v>
      </c>
      <c r="AI114" s="84" t="e">
        <f>2*AI112/2*AE115</f>
        <v>#VALUE!</v>
      </c>
      <c r="AJ114" s="84" t="str">
        <f>CONCATENATE("A(",AD113,")=")</f>
        <v>A(  )=</v>
      </c>
      <c r="AK114" s="84" t="str">
        <f>VLOOKUP(AD113,STN_TABLE,3,FALSE)</f>
        <v xml:space="preserve"> </v>
      </c>
      <c r="AL114" t="str">
        <f>CONCATENATE("A(",AD114,")=")</f>
        <v>A(  )=</v>
      </c>
      <c r="AM114" t="e">
        <f>AI114+AK114</f>
        <v>#VALUE!</v>
      </c>
      <c r="AO114" s="68" t="str">
        <f>AA114</f>
        <v>A(  )=</v>
      </c>
      <c r="AP114" s="68" t="e">
        <f>VLOOKUP(AO114,Rise_Results,2,FALSE)</f>
        <v>#N/A</v>
      </c>
      <c r="AQ114" s="76" t="e">
        <f>N114</f>
        <v>#VALUE!</v>
      </c>
      <c r="AR114" s="76" t="e">
        <f>IF(OR(AB114&lt;=0,AB115&lt;=0),1/0,AB114)</f>
        <v>#VALUE!</v>
      </c>
      <c r="AS114" s="76" t="e">
        <f>AM114</f>
        <v>#VALUE!</v>
      </c>
      <c r="AT114" t="e">
        <f>IFERROR(AP114,IFERROR(AQ114,IFERROR(AR114,AS114)))</f>
        <v>#VALUE!</v>
      </c>
      <c r="AU114" s="81"/>
    </row>
    <row r="115" spans="1:47" x14ac:dyDescent="0.25">
      <c r="A115" s="84">
        <f>A114+1</f>
        <v>18</v>
      </c>
      <c r="B115" s="84" t="str">
        <f t="shared" si="48"/>
        <v xml:space="preserve">  </v>
      </c>
      <c r="F115" s="82" t="e">
        <f>SUM(F112:F114)</f>
        <v>#VALUE!</v>
      </c>
      <c r="H115" s="82" t="e">
        <f>SUM(H112:H114)</f>
        <v>#VALUE!</v>
      </c>
      <c r="I115" s="84" t="str">
        <f>CONCATENATE("m'(",C114,")=")</f>
        <v>m'(  )=</v>
      </c>
      <c r="J115" s="84" t="e">
        <f>2*(J112*(WLS))/3*H115</f>
        <v>#VALUE!</v>
      </c>
      <c r="K115" s="84" t="e">
        <f>CONCATENATE("M(",C112,")=")</f>
        <v>#VALUE!</v>
      </c>
      <c r="L115" s="84" t="e">
        <f>VLOOKUP(C112,STN_TABLE,4,FALSE)</f>
        <v>#VALUE!</v>
      </c>
      <c r="M115" t="str">
        <f>CONCATENATE("M(",C114,")=")</f>
        <v>M(  )=</v>
      </c>
      <c r="N115" t="e">
        <f>J115+L115</f>
        <v>#VALUE!</v>
      </c>
      <c r="O115" s="99">
        <f>O114+1</f>
        <v>20</v>
      </c>
      <c r="P115" s="99" t="str">
        <f t="shared" si="44"/>
        <v xml:space="preserve">  </v>
      </c>
      <c r="T115" s="89" t="e">
        <f>SUM(T112:T114)</f>
        <v>#VALUE!</v>
      </c>
      <c r="V115" s="82" t="e">
        <f>SUM(V112:V114)</f>
        <v>#VALUE!</v>
      </c>
      <c r="W115" s="84" t="str">
        <f>CONCATENATE("m'(",Q113,")=")</f>
        <v>m'(  )=</v>
      </c>
      <c r="X115" s="84" t="e">
        <f>(2*(X112^2)/24*V115)+(X114*Q112*WLS)</f>
        <v>#VALUE!</v>
      </c>
      <c r="Y115" s="84" t="e">
        <f>CONCATENATE("M(",Q112,")=")</f>
        <v>#VALUE!</v>
      </c>
      <c r="Z115" s="84" t="e">
        <f>VLOOKUP(Q112,STN_TABLE,4,FALSE)</f>
        <v>#VALUE!</v>
      </c>
      <c r="AA115" t="str">
        <f>CONCATENATE("M(",Q113,")=")</f>
        <v>M(  )=</v>
      </c>
      <c r="AB115" t="e">
        <f>X115+Z115</f>
        <v>#VALUE!</v>
      </c>
      <c r="AE115" s="89">
        <f>SUM(AE113:AE114)</f>
        <v>0</v>
      </c>
      <c r="AG115" s="89" t="e">
        <f>SUM(AG113:AG114)</f>
        <v>#VALUE!</v>
      </c>
      <c r="AH115" s="84" t="str">
        <f>CONCATENATE("m'(",AD114,")=")</f>
        <v>m'(  )=</v>
      </c>
      <c r="AI115" s="84" t="e">
        <f>(2*(AI112^2)/6*AG115)+(AI114*AD113*WLS)</f>
        <v>#VALUE!</v>
      </c>
      <c r="AJ115" s="84" t="str">
        <f>CONCATENATE("M(",AD113,")=")</f>
        <v>M(  )=</v>
      </c>
      <c r="AK115" s="84" t="str">
        <f>VLOOKUP(AD113,STN_TABLE,4,FALSE)</f>
        <v xml:space="preserve"> </v>
      </c>
      <c r="AL115" t="str">
        <f>CONCATENATE("M(",AD114,")=")</f>
        <v>M(  )=</v>
      </c>
      <c r="AM115" t="e">
        <f>AI115+AK115</f>
        <v>#VALUE!</v>
      </c>
      <c r="AO115" s="82" t="str">
        <f>AA115</f>
        <v>M(  )=</v>
      </c>
      <c r="AP115" s="82" t="e">
        <f>VLOOKUP(AO115,Rise_Results,2,FALSE)</f>
        <v>#N/A</v>
      </c>
      <c r="AQ115" s="82" t="e">
        <f>N115</f>
        <v>#VALUE!</v>
      </c>
      <c r="AR115" s="82" t="e">
        <f>IF(OR(AB114&lt;=0,AB115&lt;=0),1/0,AB115)</f>
        <v>#VALUE!</v>
      </c>
      <c r="AS115" s="82" t="e">
        <f>AM115</f>
        <v>#VALUE!</v>
      </c>
      <c r="AT115" t="e">
        <f>IFERROR(AP115,IFERROR(AQ115,IFERROR(AR115,AS115)))</f>
        <v>#VALUE!</v>
      </c>
      <c r="AU115" s="81"/>
    </row>
    <row r="116" spans="1:47" x14ac:dyDescent="0.25">
      <c r="A116" s="101">
        <f>A111+1</f>
        <v>15</v>
      </c>
      <c r="B116" s="101" t="str">
        <f t="shared" si="48"/>
        <v xml:space="preserve">  </v>
      </c>
      <c r="O116" s="101">
        <f>O111+1</f>
        <v>17</v>
      </c>
      <c r="P116" s="101" t="str">
        <f t="shared" si="44"/>
        <v xml:space="preserve">  </v>
      </c>
      <c r="AU116" s="81"/>
    </row>
    <row r="117" spans="1:47" x14ac:dyDescent="0.25">
      <c r="A117" s="84">
        <f>A116+1</f>
        <v>16</v>
      </c>
      <c r="B117" s="84" t="str">
        <f t="shared" si="48"/>
        <v xml:space="preserve">  </v>
      </c>
      <c r="C117" s="79" t="e">
        <f t="shared" ref="C117" si="55">IF(C118=B119,IF(C119-C118=C118-B118,B118,IF(C119-C118=C118-B117,B117,"#NA")),IF(C118=B118,IF(C119-C118=C118-B117,B117,IF(C119-C118=C118-B116,B116,"#NA")),"#NA"))</f>
        <v>#VALUE!</v>
      </c>
      <c r="D117" s="68" t="e">
        <f>VLOOKUP(C117,STN_TABLE,2,FALSE)</f>
        <v>#VALUE!</v>
      </c>
      <c r="E117" s="102">
        <v>1</v>
      </c>
      <c r="F117" s="68" t="e">
        <f>D117*E117</f>
        <v>#VALUE!</v>
      </c>
      <c r="G117" s="69" t="e">
        <f>C117</f>
        <v>#VALUE!</v>
      </c>
      <c r="H117" s="69" t="e">
        <f>F117*G117</f>
        <v>#VALUE!</v>
      </c>
      <c r="I117" s="6" t="s">
        <v>93</v>
      </c>
      <c r="J117" s="70" t="e">
        <f>IF(OR(D117=0,D118=0,D119=0),"#NA",IF(AND(C119-C118=C118-C117,C118&lt;&gt;C119,C117&lt;&gt;C118,C117&lt;&gt;C119,D119&lt;&gt;0,OR(D117&lt;&gt;0,D118&lt;&gt;0)),WLS*(C119-C118),"#NA"))</f>
        <v>#VALUE!</v>
      </c>
      <c r="O117" s="99">
        <f>O116+1</f>
        <v>18</v>
      </c>
      <c r="P117" s="99" t="str">
        <f t="shared" si="44"/>
        <v xml:space="preserve">  </v>
      </c>
      <c r="Q117" s="68" t="e">
        <f>IF(OR(P119-P118=P118-P117,P120-P118=P118-P117),P117,IF(OR(P119-P118=P118-P116,P120-P118=P118-P116),P116,"-"))</f>
        <v>#VALUE!</v>
      </c>
      <c r="R117" s="69" t="e">
        <f>VLOOKUP(Q117,STN_TABLE,2,FALSE)</f>
        <v>#VALUE!</v>
      </c>
      <c r="S117" s="69">
        <v>5</v>
      </c>
      <c r="T117" s="68" t="e">
        <f>R117*S117</f>
        <v>#VALUE!</v>
      </c>
      <c r="U117" s="79">
        <v>3</v>
      </c>
      <c r="V117" s="68" t="e">
        <f>R117*U117</f>
        <v>#VALUE!</v>
      </c>
      <c r="W117" s="6" t="s">
        <v>93</v>
      </c>
      <c r="X117" s="70" t="e">
        <f>IF(AND(Q119-Q118=Q118-Q117,NOT(AND(Q117=0,Q118=0)),NOT(AND(Q118=0,Q119=0))),WLS*(Q119-Q118),"#NA")</f>
        <v>#VALUE!</v>
      </c>
      <c r="AD117" s="93"/>
      <c r="AH117" s="6" t="s">
        <v>93</v>
      </c>
      <c r="AI117" s="70" t="e">
        <f>WLS*(AD119-AD118)</f>
        <v>#VALUE!</v>
      </c>
      <c r="AU117" s="81"/>
    </row>
    <row r="118" spans="1:47" x14ac:dyDescent="0.25">
      <c r="A118" s="84">
        <f>A117+1</f>
        <v>17</v>
      </c>
      <c r="B118" s="84" t="str">
        <f t="shared" si="48"/>
        <v xml:space="preserve">  </v>
      </c>
      <c r="C118" s="80" t="e">
        <f t="shared" ref="C118" si="56">IF(OR(B120-B119=B119-B118,B120-B119=B119-B117,B120-B119=B119-B116),B119,IF(OR(B120-B118=B118-B117,B120-B118=B118-B116),B118,IF(B120-B117=B117-B116,B117,"#NA")))</f>
        <v>#VALUE!</v>
      </c>
      <c r="D118" s="76" t="e">
        <f>VLOOKUP(C118,STN_TABLE,2,FALSE)</f>
        <v>#VALUE!</v>
      </c>
      <c r="E118" s="81">
        <v>4</v>
      </c>
      <c r="F118" s="76" t="e">
        <f>D118*E118</f>
        <v>#VALUE!</v>
      </c>
      <c r="G118" s="77" t="e">
        <f>C118</f>
        <v>#VALUE!</v>
      </c>
      <c r="H118" s="77" t="e">
        <f>F118*G118</f>
        <v>#VALUE!</v>
      </c>
      <c r="I118" s="495" t="s">
        <v>97</v>
      </c>
      <c r="J118" s="496"/>
      <c r="K118" s="78" t="s">
        <v>98</v>
      </c>
      <c r="L118" s="78"/>
      <c r="M118" s="7" t="s">
        <v>99</v>
      </c>
      <c r="N118" s="7"/>
      <c r="O118" s="99">
        <f>O117+1</f>
        <v>19</v>
      </c>
      <c r="P118" s="99" t="str">
        <f t="shared" si="44"/>
        <v xml:space="preserve">  </v>
      </c>
      <c r="Q118" s="76" t="str">
        <f>P118</f>
        <v xml:space="preserve">  </v>
      </c>
      <c r="R118" s="77" t="str">
        <f>VLOOKUP(Q118,STN_TABLE,2,FALSE)</f>
        <v xml:space="preserve">  </v>
      </c>
      <c r="S118" s="77">
        <v>8</v>
      </c>
      <c r="T118" s="76" t="e">
        <f>R118*S118</f>
        <v>#VALUE!</v>
      </c>
      <c r="U118" s="80">
        <v>10</v>
      </c>
      <c r="V118" s="76" t="e">
        <f>R118*U118</f>
        <v>#VALUE!</v>
      </c>
      <c r="W118" s="496" t="s">
        <v>97</v>
      </c>
      <c r="X118" s="496"/>
      <c r="Y118" s="496" t="s">
        <v>98</v>
      </c>
      <c r="Z118" s="496"/>
      <c r="AA118" s="494" t="s">
        <v>99</v>
      </c>
      <c r="AB118" s="494"/>
      <c r="AC118" s="99">
        <f>AC113+1</f>
        <v>18</v>
      </c>
      <c r="AD118" s="95" t="str">
        <f>VLOOKUP(AC118,STN_TABLE_2,2,FALSE)</f>
        <v xml:space="preserve">  </v>
      </c>
      <c r="AE118" s="68" t="str">
        <f>VLOOKUP(AD118,STN_TABLE,2,FALSE)</f>
        <v xml:space="preserve">  </v>
      </c>
      <c r="AF118" s="68">
        <v>1</v>
      </c>
      <c r="AG118" s="69" t="e">
        <f>AE118*AF118</f>
        <v>#VALUE!</v>
      </c>
      <c r="AH118" s="496" t="s">
        <v>97</v>
      </c>
      <c r="AI118" s="496"/>
      <c r="AJ118" s="496" t="s">
        <v>98</v>
      </c>
      <c r="AK118" s="496"/>
      <c r="AL118" s="494" t="s">
        <v>99</v>
      </c>
      <c r="AM118" s="494"/>
      <c r="AP118" s="86" t="s">
        <v>112</v>
      </c>
      <c r="AQ118" s="89" t="s">
        <v>113</v>
      </c>
      <c r="AR118" s="89" t="s">
        <v>114</v>
      </c>
      <c r="AS118" s="89" t="s">
        <v>115</v>
      </c>
      <c r="AU118" s="81"/>
    </row>
    <row r="119" spans="1:47" x14ac:dyDescent="0.25">
      <c r="A119" s="84">
        <f>A118+1</f>
        <v>18</v>
      </c>
      <c r="B119" s="84" t="str">
        <f t="shared" si="48"/>
        <v xml:space="preserve">  </v>
      </c>
      <c r="C119" s="88" t="str">
        <f t="shared" ref="C119" si="57">B120</f>
        <v xml:space="preserve">  </v>
      </c>
      <c r="D119" s="82" t="str">
        <f>VLOOKUP(C119,STN_TABLE,2,FALSE)</f>
        <v xml:space="preserve">  </v>
      </c>
      <c r="E119" s="92">
        <v>1</v>
      </c>
      <c r="F119" s="82" t="e">
        <f>D119*E119</f>
        <v>#VALUE!</v>
      </c>
      <c r="G119" s="83" t="str">
        <f>C119</f>
        <v xml:space="preserve">  </v>
      </c>
      <c r="H119" s="83" t="e">
        <f>F119*G119</f>
        <v>#VALUE!</v>
      </c>
      <c r="I119" s="84" t="str">
        <f>CONCATENATE("a'(",C119,")=")</f>
        <v>a'(  )=</v>
      </c>
      <c r="J119" s="84" t="e">
        <f>2*J117/3*F120</f>
        <v>#VALUE!</v>
      </c>
      <c r="K119" s="84" t="e">
        <f>CONCATENATE("A(",C117,")=")</f>
        <v>#VALUE!</v>
      </c>
      <c r="L119" s="84" t="e">
        <f>VLOOKUP(C117,STN_TABLE,3,FALSE)</f>
        <v>#VALUE!</v>
      </c>
      <c r="M119" t="str">
        <f>CONCATENATE("A(",C119,")=")</f>
        <v>A(  )=</v>
      </c>
      <c r="N119" t="e">
        <f>J119+L119</f>
        <v>#VALUE!</v>
      </c>
      <c r="O119" s="99">
        <f>O118+1</f>
        <v>20</v>
      </c>
      <c r="P119" s="99" t="str">
        <f t="shared" si="44"/>
        <v xml:space="preserve">  </v>
      </c>
      <c r="Q119" s="82" t="e">
        <f>IF(P119-P118=P118-P117,P119,IF(P120-P118=P118-P117,P120,IF(P119-P118=P118-P116,P119,IF(P120-P118=P118-P116,P120,"-"))))</f>
        <v>#VALUE!</v>
      </c>
      <c r="R119" s="83" t="e">
        <f>VLOOKUP(Q119,STN_TABLE,2,FALSE)</f>
        <v>#VALUE!</v>
      </c>
      <c r="S119" s="83">
        <v>-1</v>
      </c>
      <c r="T119" s="82" t="e">
        <f>R119*S119</f>
        <v>#VALUE!</v>
      </c>
      <c r="U119" s="88">
        <v>-1</v>
      </c>
      <c r="V119" s="82" t="e">
        <f>R119*U119</f>
        <v>#VALUE!</v>
      </c>
      <c r="W119" s="84" t="str">
        <f>CONCATENATE("a'(",Q118,")=")</f>
        <v>a'(  )=</v>
      </c>
      <c r="X119" s="84" t="e">
        <f>2*X117/12*T120</f>
        <v>#VALUE!</v>
      </c>
      <c r="Y119" s="84" t="e">
        <f>CONCATENATE("A(",Q117,")=")</f>
        <v>#VALUE!</v>
      </c>
      <c r="Z119" s="84" t="e">
        <f>VLOOKUP(Q117,STN_TABLE,3,FALSE)</f>
        <v>#VALUE!</v>
      </c>
      <c r="AA119" t="str">
        <f>CONCATENATE("A(",Q118,")=")</f>
        <v>A(  )=</v>
      </c>
      <c r="AB119" t="e">
        <f>X119+Z119</f>
        <v>#VALUE!</v>
      </c>
      <c r="AC119" s="99">
        <f>AC118+1</f>
        <v>19</v>
      </c>
      <c r="AD119" s="100" t="str">
        <f>VLOOKUP(AC119,STN_TABLE_2,2,FALSE)</f>
        <v xml:space="preserve">  </v>
      </c>
      <c r="AE119" s="82" t="str">
        <f>VLOOKUP(AD119,STN_TABLE,2,FALSE)</f>
        <v xml:space="preserve">  </v>
      </c>
      <c r="AF119" s="82">
        <v>2</v>
      </c>
      <c r="AG119" s="83" t="e">
        <f>AE119*AF119</f>
        <v>#VALUE!</v>
      </c>
      <c r="AH119" s="84" t="str">
        <f>CONCATENATE("a'(",AD119,")=")</f>
        <v>a'(  )=</v>
      </c>
      <c r="AI119" s="84" t="e">
        <f>2*AI117/2*AE120</f>
        <v>#VALUE!</v>
      </c>
      <c r="AJ119" s="84" t="str">
        <f>CONCATENATE("A(",AD118,")=")</f>
        <v>A(  )=</v>
      </c>
      <c r="AK119" s="84" t="str">
        <f>VLOOKUP(AD118,STN_TABLE,3,FALSE)</f>
        <v xml:space="preserve"> </v>
      </c>
      <c r="AL119" t="str">
        <f>CONCATENATE("A(",AD119,")=")</f>
        <v>A(  )=</v>
      </c>
      <c r="AM119" t="e">
        <f>AI119+AK119</f>
        <v>#VALUE!</v>
      </c>
      <c r="AO119" s="68" t="str">
        <f>AA119</f>
        <v>A(  )=</v>
      </c>
      <c r="AP119" s="68" t="e">
        <f>VLOOKUP(AO119,Rise_Results,2,FALSE)</f>
        <v>#N/A</v>
      </c>
      <c r="AQ119" s="76" t="e">
        <f>N119</f>
        <v>#VALUE!</v>
      </c>
      <c r="AR119" s="76" t="e">
        <f>IF(OR(AB119&lt;=0,AB120&lt;=0),1/0,AB119)</f>
        <v>#VALUE!</v>
      </c>
      <c r="AS119" s="76" t="e">
        <f>AM119</f>
        <v>#VALUE!</v>
      </c>
      <c r="AT119" t="e">
        <f>IFERROR(AP119,IFERROR(AQ119,IFERROR(AR119,AS119)))</f>
        <v>#VALUE!</v>
      </c>
      <c r="AU119" s="81"/>
    </row>
    <row r="120" spans="1:47" x14ac:dyDescent="0.25">
      <c r="A120" s="84">
        <f>A119+1</f>
        <v>19</v>
      </c>
      <c r="B120" s="84" t="str">
        <f t="shared" si="48"/>
        <v xml:space="preserve">  </v>
      </c>
      <c r="F120" s="82" t="e">
        <f>SUM(F117:F119)</f>
        <v>#VALUE!</v>
      </c>
      <c r="H120" s="82" t="e">
        <f>SUM(H117:H119)</f>
        <v>#VALUE!</v>
      </c>
      <c r="I120" s="84" t="str">
        <f>CONCATENATE("m'(",C119,")=")</f>
        <v>m'(  )=</v>
      </c>
      <c r="J120" s="84" t="e">
        <f>2*(J117*(WLS))/3*H120</f>
        <v>#VALUE!</v>
      </c>
      <c r="K120" s="84" t="e">
        <f>CONCATENATE("M(",C117,")=")</f>
        <v>#VALUE!</v>
      </c>
      <c r="L120" s="84" t="e">
        <f>VLOOKUP(C117,STN_TABLE,4,FALSE)</f>
        <v>#VALUE!</v>
      </c>
      <c r="M120" t="str">
        <f>CONCATENATE("M(",C119,")=")</f>
        <v>M(  )=</v>
      </c>
      <c r="N120" t="e">
        <f>J120+L120</f>
        <v>#VALUE!</v>
      </c>
      <c r="O120" s="99">
        <f>O119+1</f>
        <v>21</v>
      </c>
      <c r="P120" s="99" t="str">
        <f t="shared" si="44"/>
        <v xml:space="preserve">  </v>
      </c>
      <c r="T120" s="89" t="e">
        <f>SUM(T117:T119)</f>
        <v>#VALUE!</v>
      </c>
      <c r="V120" s="82" t="e">
        <f>SUM(V117:V119)</f>
        <v>#VALUE!</v>
      </c>
      <c r="W120" s="84" t="str">
        <f>CONCATENATE("m'(",Q118,")=")</f>
        <v>m'(  )=</v>
      </c>
      <c r="X120" s="84" t="e">
        <f>(2*(X117^2)/24*V120)+(X119*Q117*WLS)</f>
        <v>#VALUE!</v>
      </c>
      <c r="Y120" s="84" t="e">
        <f>CONCATENATE("M(",Q117,")=")</f>
        <v>#VALUE!</v>
      </c>
      <c r="Z120" s="84" t="e">
        <f>VLOOKUP(Q117,STN_TABLE,4,FALSE)</f>
        <v>#VALUE!</v>
      </c>
      <c r="AA120" t="str">
        <f>CONCATENATE("M(",Q118,")=")</f>
        <v>M(  )=</v>
      </c>
      <c r="AB120" t="e">
        <f>X120+Z120</f>
        <v>#VALUE!</v>
      </c>
      <c r="AE120" s="89">
        <f>SUM(AE118:AE119)</f>
        <v>0</v>
      </c>
      <c r="AG120" s="89" t="e">
        <f>SUM(AG118:AG119)</f>
        <v>#VALUE!</v>
      </c>
      <c r="AH120" s="84" t="str">
        <f>CONCATENATE("m'(",AD119,")=")</f>
        <v>m'(  )=</v>
      </c>
      <c r="AI120" s="84" t="e">
        <f>(2*(AI117^2)/6*AG120)+(AI119*AD118*WLS)</f>
        <v>#VALUE!</v>
      </c>
      <c r="AJ120" s="84" t="str">
        <f>CONCATENATE("M(",AD118,")=")</f>
        <v>M(  )=</v>
      </c>
      <c r="AK120" s="84" t="str">
        <f>VLOOKUP(AD118,STN_TABLE,4,FALSE)</f>
        <v xml:space="preserve"> </v>
      </c>
      <c r="AL120" t="str">
        <f>CONCATENATE("M(",AD119,")=")</f>
        <v>M(  )=</v>
      </c>
      <c r="AM120" t="e">
        <f>AI120+AK120</f>
        <v>#VALUE!</v>
      </c>
      <c r="AO120" s="82" t="str">
        <f>AA120</f>
        <v>M(  )=</v>
      </c>
      <c r="AP120" s="82" t="e">
        <f>VLOOKUP(AO120,Rise_Results,2,FALSE)</f>
        <v>#N/A</v>
      </c>
      <c r="AQ120" s="82" t="e">
        <f>N120</f>
        <v>#VALUE!</v>
      </c>
      <c r="AR120" s="82" t="e">
        <f>IF(OR(AB119&lt;=0,AB120&lt;=0),1/0,AB120)</f>
        <v>#VALUE!</v>
      </c>
      <c r="AS120" s="82" t="e">
        <f>AM120</f>
        <v>#VALUE!</v>
      </c>
      <c r="AT120" t="e">
        <f>IFERROR(AP120,IFERROR(AQ120,IFERROR(AR120,AS120)))</f>
        <v>#VALUE!</v>
      </c>
      <c r="AU120" s="81"/>
    </row>
    <row r="121" spans="1:47" x14ac:dyDescent="0.25">
      <c r="A121" s="101">
        <f>A116+1</f>
        <v>16</v>
      </c>
      <c r="B121" s="101" t="str">
        <f t="shared" si="48"/>
        <v xml:space="preserve">  </v>
      </c>
      <c r="O121" s="101">
        <f>O116+1</f>
        <v>18</v>
      </c>
      <c r="P121" s="101" t="str">
        <f t="shared" si="44"/>
        <v xml:space="preserve">  </v>
      </c>
      <c r="AU121" s="81"/>
    </row>
    <row r="122" spans="1:47" x14ac:dyDescent="0.25">
      <c r="A122" s="84">
        <f>A121+1</f>
        <v>17</v>
      </c>
      <c r="B122" s="84" t="str">
        <f t="shared" si="48"/>
        <v xml:space="preserve">  </v>
      </c>
      <c r="C122" s="79" t="e">
        <f t="shared" ref="C122" si="58">IF(C123=B124,IF(C124-C123=C123-B123,B123,IF(C124-C123=C123-B122,B122,"#NA")),IF(C123=B123,IF(C124-C123=C123-B122,B122,IF(C124-C123=C123-B121,B121,"#NA")),"#NA"))</f>
        <v>#VALUE!</v>
      </c>
      <c r="D122" s="68" t="e">
        <f>VLOOKUP(C122,STN_TABLE,2,FALSE)</f>
        <v>#VALUE!</v>
      </c>
      <c r="E122" s="102">
        <v>1</v>
      </c>
      <c r="F122" s="68" t="e">
        <f>D122*E122</f>
        <v>#VALUE!</v>
      </c>
      <c r="G122" s="69" t="e">
        <f>C122</f>
        <v>#VALUE!</v>
      </c>
      <c r="H122" s="69" t="e">
        <f>F122*G122</f>
        <v>#VALUE!</v>
      </c>
      <c r="I122" s="6" t="s">
        <v>93</v>
      </c>
      <c r="J122" s="70" t="e">
        <f>IF(OR(D122=0,D123=0,D124=0),"#NA",IF(AND(C124-C123=C123-C122,C123&lt;&gt;C124,C122&lt;&gt;C123,C122&lt;&gt;C124,D124&lt;&gt;0,OR(D122&lt;&gt;0,D123&lt;&gt;0)),WLS*(C124-C123),"#NA"))</f>
        <v>#VALUE!</v>
      </c>
      <c r="O122" s="99">
        <f>O121+1</f>
        <v>19</v>
      </c>
      <c r="P122" s="99" t="str">
        <f t="shared" si="44"/>
        <v xml:space="preserve">  </v>
      </c>
      <c r="Q122" s="68" t="e">
        <f>IF(OR(P124-P123=P123-P122,P125-P123=P123-P122),P122,IF(OR(P124-P123=P123-P121,P125-P123=P123-P121),P121,"-"))</f>
        <v>#VALUE!</v>
      </c>
      <c r="R122" s="69" t="e">
        <f>VLOOKUP(Q122,STN_TABLE,2,FALSE)</f>
        <v>#VALUE!</v>
      </c>
      <c r="S122" s="69">
        <v>5</v>
      </c>
      <c r="T122" s="68" t="e">
        <f>R122*S122</f>
        <v>#VALUE!</v>
      </c>
      <c r="U122" s="79">
        <v>3</v>
      </c>
      <c r="V122" s="68" t="e">
        <f>R122*U122</f>
        <v>#VALUE!</v>
      </c>
      <c r="W122" s="6" t="s">
        <v>93</v>
      </c>
      <c r="X122" s="70" t="e">
        <f>IF(AND(Q124-Q123=Q123-Q122,NOT(AND(Q122=0,Q123=0)),NOT(AND(Q123=0,Q124=0))),WLS*(Q124-Q123),"#NA")</f>
        <v>#VALUE!</v>
      </c>
      <c r="AD122" s="93"/>
      <c r="AH122" s="6" t="s">
        <v>93</v>
      </c>
      <c r="AI122" s="70" t="e">
        <f>WLS*(AD124-AD123)</f>
        <v>#VALUE!</v>
      </c>
      <c r="AU122" s="81"/>
    </row>
    <row r="123" spans="1:47" x14ac:dyDescent="0.25">
      <c r="A123" s="84">
        <f>A122+1</f>
        <v>18</v>
      </c>
      <c r="B123" s="84" t="str">
        <f t="shared" si="48"/>
        <v xml:space="preserve">  </v>
      </c>
      <c r="C123" s="80" t="e">
        <f t="shared" ref="C123" si="59">IF(OR(B125-B124=B124-B123,B125-B124=B124-B122,B125-B124=B124-B121),B124,IF(OR(B125-B123=B123-B122,B125-B123=B123-B121),B123,IF(B125-B122=B122-B121,B122,"#NA")))</f>
        <v>#VALUE!</v>
      </c>
      <c r="D123" s="76" t="e">
        <f>VLOOKUP(C123,STN_TABLE,2,FALSE)</f>
        <v>#VALUE!</v>
      </c>
      <c r="E123" s="81">
        <v>4</v>
      </c>
      <c r="F123" s="76" t="e">
        <f>D123*E123</f>
        <v>#VALUE!</v>
      </c>
      <c r="G123" s="77" t="e">
        <f>C123</f>
        <v>#VALUE!</v>
      </c>
      <c r="H123" s="77" t="e">
        <f>F123*G123</f>
        <v>#VALUE!</v>
      </c>
      <c r="I123" s="495" t="s">
        <v>97</v>
      </c>
      <c r="J123" s="496"/>
      <c r="K123" s="78" t="s">
        <v>98</v>
      </c>
      <c r="L123" s="78"/>
      <c r="M123" s="7" t="s">
        <v>99</v>
      </c>
      <c r="N123" s="7"/>
      <c r="O123" s="99">
        <f>O122+1</f>
        <v>20</v>
      </c>
      <c r="P123" s="99" t="str">
        <f t="shared" si="44"/>
        <v xml:space="preserve">  </v>
      </c>
      <c r="Q123" s="76" t="str">
        <f>P123</f>
        <v xml:space="preserve">  </v>
      </c>
      <c r="R123" s="77" t="str">
        <f>VLOOKUP(Q123,STN_TABLE,2,FALSE)</f>
        <v xml:space="preserve">  </v>
      </c>
      <c r="S123" s="77">
        <v>8</v>
      </c>
      <c r="T123" s="76" t="e">
        <f>R123*S123</f>
        <v>#VALUE!</v>
      </c>
      <c r="U123" s="80">
        <v>10</v>
      </c>
      <c r="V123" s="76" t="e">
        <f>R123*U123</f>
        <v>#VALUE!</v>
      </c>
      <c r="W123" s="496" t="s">
        <v>97</v>
      </c>
      <c r="X123" s="496"/>
      <c r="Y123" s="496" t="s">
        <v>98</v>
      </c>
      <c r="Z123" s="496"/>
      <c r="AA123" s="494" t="s">
        <v>99</v>
      </c>
      <c r="AB123" s="494"/>
      <c r="AC123" s="99">
        <f>AC118+1</f>
        <v>19</v>
      </c>
      <c r="AD123" s="95" t="str">
        <f>VLOOKUP(AC123,STN_TABLE_2,2,FALSE)</f>
        <v xml:space="preserve">  </v>
      </c>
      <c r="AE123" s="68" t="str">
        <f>VLOOKUP(AD123,STN_TABLE,2,FALSE)</f>
        <v xml:space="preserve">  </v>
      </c>
      <c r="AF123" s="68">
        <v>1</v>
      </c>
      <c r="AG123" s="69" t="e">
        <f>AE123*AF123</f>
        <v>#VALUE!</v>
      </c>
      <c r="AH123" s="496" t="s">
        <v>97</v>
      </c>
      <c r="AI123" s="496"/>
      <c r="AJ123" s="496" t="s">
        <v>98</v>
      </c>
      <c r="AK123" s="496"/>
      <c r="AL123" s="494" t="s">
        <v>99</v>
      </c>
      <c r="AM123" s="494"/>
      <c r="AP123" s="86" t="s">
        <v>112</v>
      </c>
      <c r="AQ123" s="89" t="s">
        <v>113</v>
      </c>
      <c r="AR123" s="89" t="s">
        <v>114</v>
      </c>
      <c r="AS123" s="89" t="s">
        <v>115</v>
      </c>
      <c r="AU123" s="81"/>
    </row>
    <row r="124" spans="1:47" x14ac:dyDescent="0.25">
      <c r="A124" s="84">
        <f>A123+1</f>
        <v>19</v>
      </c>
      <c r="B124" s="84" t="str">
        <f t="shared" si="48"/>
        <v xml:space="preserve">  </v>
      </c>
      <c r="C124" s="88" t="str">
        <f t="shared" ref="C124" si="60">B125</f>
        <v xml:space="preserve">  </v>
      </c>
      <c r="D124" s="82" t="str">
        <f>VLOOKUP(C124,STN_TABLE,2,FALSE)</f>
        <v xml:space="preserve">  </v>
      </c>
      <c r="E124" s="92">
        <v>1</v>
      </c>
      <c r="F124" s="82" t="e">
        <f>D124*E124</f>
        <v>#VALUE!</v>
      </c>
      <c r="G124" s="83" t="str">
        <f>C124</f>
        <v xml:space="preserve">  </v>
      </c>
      <c r="H124" s="83" t="e">
        <f>F124*G124</f>
        <v>#VALUE!</v>
      </c>
      <c r="I124" s="84" t="str">
        <f>CONCATENATE("a'(",C124,")=")</f>
        <v>a'(  )=</v>
      </c>
      <c r="J124" s="84" t="e">
        <f>2*J122/3*F125</f>
        <v>#VALUE!</v>
      </c>
      <c r="K124" s="84" t="e">
        <f>CONCATENATE("A(",C122,")=")</f>
        <v>#VALUE!</v>
      </c>
      <c r="L124" s="84" t="e">
        <f>VLOOKUP(C122,STN_TABLE,3,FALSE)</f>
        <v>#VALUE!</v>
      </c>
      <c r="M124" t="str">
        <f>CONCATENATE("A(",C124,")=")</f>
        <v>A(  )=</v>
      </c>
      <c r="N124" t="e">
        <f>J124+L124</f>
        <v>#VALUE!</v>
      </c>
      <c r="O124" s="99">
        <f>O123+1</f>
        <v>21</v>
      </c>
      <c r="P124" s="99" t="str">
        <f t="shared" si="44"/>
        <v xml:space="preserve">  </v>
      </c>
      <c r="Q124" s="82" t="e">
        <f>IF(P124-P123=P123-P122,P124,IF(P125-P123=P123-P122,P125,IF(P124-P123=P123-P121,P124,IF(P125-P123=P123-P121,P125,"-"))))</f>
        <v>#VALUE!</v>
      </c>
      <c r="R124" s="83" t="e">
        <f>VLOOKUP(Q124,STN_TABLE,2,FALSE)</f>
        <v>#VALUE!</v>
      </c>
      <c r="S124" s="83">
        <v>-1</v>
      </c>
      <c r="T124" s="82" t="e">
        <f>R124*S124</f>
        <v>#VALUE!</v>
      </c>
      <c r="U124" s="88">
        <v>-1</v>
      </c>
      <c r="V124" s="82" t="e">
        <f>R124*U124</f>
        <v>#VALUE!</v>
      </c>
      <c r="W124" s="84" t="str">
        <f>CONCATENATE("a'(",Q123,")=")</f>
        <v>a'(  )=</v>
      </c>
      <c r="X124" s="84" t="e">
        <f>2*X122/12*T125</f>
        <v>#VALUE!</v>
      </c>
      <c r="Y124" s="84" t="e">
        <f>CONCATENATE("A(",Q122,")=")</f>
        <v>#VALUE!</v>
      </c>
      <c r="Z124" s="84" t="e">
        <f>VLOOKUP(Q122,STN_TABLE,3,FALSE)</f>
        <v>#VALUE!</v>
      </c>
      <c r="AA124" t="str">
        <f>CONCATENATE("A(",Q123,")=")</f>
        <v>A(  )=</v>
      </c>
      <c r="AB124" t="e">
        <f>X124+Z124</f>
        <v>#VALUE!</v>
      </c>
      <c r="AC124" s="99">
        <f>AC123+1</f>
        <v>20</v>
      </c>
      <c r="AD124" s="100" t="str">
        <f>VLOOKUP(AC124,STN_TABLE_2,2,FALSE)</f>
        <v xml:space="preserve">  </v>
      </c>
      <c r="AE124" s="82" t="str">
        <f>VLOOKUP(AD124,STN_TABLE,2,FALSE)</f>
        <v xml:space="preserve">  </v>
      </c>
      <c r="AF124" s="82">
        <v>2</v>
      </c>
      <c r="AG124" s="83" t="e">
        <f>AE124*AF124</f>
        <v>#VALUE!</v>
      </c>
      <c r="AH124" s="84" t="str">
        <f>CONCATENATE("a'(",AD124,")=")</f>
        <v>a'(  )=</v>
      </c>
      <c r="AI124" s="84" t="e">
        <f>2*AI122/2*AE125</f>
        <v>#VALUE!</v>
      </c>
      <c r="AJ124" s="84" t="str">
        <f>CONCATENATE("A(",AD123,")=")</f>
        <v>A(  )=</v>
      </c>
      <c r="AK124" s="84" t="str">
        <f>VLOOKUP(AD123,STN_TABLE,3,FALSE)</f>
        <v xml:space="preserve"> </v>
      </c>
      <c r="AL124" t="str">
        <f>CONCATENATE("A(",AD124,")=")</f>
        <v>A(  )=</v>
      </c>
      <c r="AM124" t="e">
        <f>AI124+AK124</f>
        <v>#VALUE!</v>
      </c>
      <c r="AO124" s="68" t="str">
        <f>AA124</f>
        <v>A(  )=</v>
      </c>
      <c r="AP124" s="68" t="e">
        <f>VLOOKUP(AO124,Rise_Results,2,FALSE)</f>
        <v>#N/A</v>
      </c>
      <c r="AQ124" s="76" t="e">
        <f>N124</f>
        <v>#VALUE!</v>
      </c>
      <c r="AR124" s="76" t="e">
        <f>IF(OR(AB124&lt;=0,AB125&lt;=0),1/0,AB124)</f>
        <v>#VALUE!</v>
      </c>
      <c r="AS124" s="76" t="e">
        <f>AM124</f>
        <v>#VALUE!</v>
      </c>
      <c r="AT124" t="e">
        <f>IFERROR(AP124,IFERROR(AQ124,IFERROR(AR124,AS124)))</f>
        <v>#VALUE!</v>
      </c>
      <c r="AU124" s="81"/>
    </row>
    <row r="125" spans="1:47" x14ac:dyDescent="0.25">
      <c r="A125" s="84">
        <f>A124+1</f>
        <v>20</v>
      </c>
      <c r="B125" s="84" t="str">
        <f t="shared" si="48"/>
        <v xml:space="preserve">  </v>
      </c>
      <c r="F125" s="82" t="e">
        <f>SUM(F122:F124)</f>
        <v>#VALUE!</v>
      </c>
      <c r="H125" s="82" t="e">
        <f>SUM(H122:H124)</f>
        <v>#VALUE!</v>
      </c>
      <c r="I125" s="84" t="str">
        <f>CONCATENATE("m'(",C124,")=")</f>
        <v>m'(  )=</v>
      </c>
      <c r="J125" s="84" t="e">
        <f>2*(J122*(WLS))/3*H125</f>
        <v>#VALUE!</v>
      </c>
      <c r="K125" s="84" t="e">
        <f>CONCATENATE("M(",C122,")=")</f>
        <v>#VALUE!</v>
      </c>
      <c r="L125" s="84" t="e">
        <f>VLOOKUP(C122,STN_TABLE,4,FALSE)</f>
        <v>#VALUE!</v>
      </c>
      <c r="M125" t="str">
        <f>CONCATENATE("M(",C124,")=")</f>
        <v>M(  )=</v>
      </c>
      <c r="N125" t="e">
        <f>J125+L125</f>
        <v>#VALUE!</v>
      </c>
      <c r="O125" s="99">
        <f>O124+1</f>
        <v>22</v>
      </c>
      <c r="P125" s="99" t="str">
        <f t="shared" si="44"/>
        <v xml:space="preserve">  </v>
      </c>
      <c r="T125" s="89" t="e">
        <f>SUM(T122:T124)</f>
        <v>#VALUE!</v>
      </c>
      <c r="V125" s="82" t="e">
        <f>SUM(V122:V124)</f>
        <v>#VALUE!</v>
      </c>
      <c r="W125" s="84" t="str">
        <f>CONCATENATE("m'(",Q123,")=")</f>
        <v>m'(  )=</v>
      </c>
      <c r="X125" s="84" t="e">
        <f>(2*(X122^2)/24*V125)+(X124*Q122*WLS)</f>
        <v>#VALUE!</v>
      </c>
      <c r="Y125" s="84" t="e">
        <f>CONCATENATE("M(",Q122,")=")</f>
        <v>#VALUE!</v>
      </c>
      <c r="Z125" s="84" t="e">
        <f>VLOOKUP(Q122,STN_TABLE,4,FALSE)</f>
        <v>#VALUE!</v>
      </c>
      <c r="AA125" t="str">
        <f>CONCATENATE("M(",Q123,")=")</f>
        <v>M(  )=</v>
      </c>
      <c r="AB125" t="e">
        <f>X125+Z125</f>
        <v>#VALUE!</v>
      </c>
      <c r="AE125" s="89">
        <f>SUM(AE123:AE124)</f>
        <v>0</v>
      </c>
      <c r="AG125" s="89" t="e">
        <f>SUM(AG123:AG124)</f>
        <v>#VALUE!</v>
      </c>
      <c r="AH125" s="84" t="str">
        <f>CONCATENATE("m'(",AD124,")=")</f>
        <v>m'(  )=</v>
      </c>
      <c r="AI125" s="84" t="e">
        <f>(2*(AI122^2)/6*AG125)+(AI124*AD123*WLS)</f>
        <v>#VALUE!</v>
      </c>
      <c r="AJ125" s="84" t="str">
        <f>CONCATENATE("M(",AD123,")=")</f>
        <v>M(  )=</v>
      </c>
      <c r="AK125" s="84" t="str">
        <f>VLOOKUP(AD123,STN_TABLE,4,FALSE)</f>
        <v xml:space="preserve"> </v>
      </c>
      <c r="AL125" t="str">
        <f>CONCATENATE("M(",AD124,")=")</f>
        <v>M(  )=</v>
      </c>
      <c r="AM125" t="e">
        <f>AI125+AK125</f>
        <v>#VALUE!</v>
      </c>
      <c r="AO125" s="82" t="str">
        <f>AA125</f>
        <v>M(  )=</v>
      </c>
      <c r="AP125" s="82" t="e">
        <f>VLOOKUP(AO125,Rise_Results,2,FALSE)</f>
        <v>#N/A</v>
      </c>
      <c r="AQ125" s="82" t="e">
        <f>N125</f>
        <v>#VALUE!</v>
      </c>
      <c r="AR125" s="82" t="e">
        <f>IF(OR(AB124&lt;=0,AB125&lt;=0),1/0,AB125)</f>
        <v>#VALUE!</v>
      </c>
      <c r="AS125" s="82" t="e">
        <f>AM125</f>
        <v>#VALUE!</v>
      </c>
      <c r="AT125" t="e">
        <f>IFERROR(AP125,IFERROR(AQ125,IFERROR(AR125,AS125)))</f>
        <v>#VALUE!</v>
      </c>
      <c r="AU125" s="81"/>
    </row>
    <row r="126" spans="1:47" x14ac:dyDescent="0.25">
      <c r="A126" s="101">
        <f>A121+1</f>
        <v>17</v>
      </c>
      <c r="B126" s="101" t="str">
        <f t="shared" si="48"/>
        <v xml:space="preserve">  </v>
      </c>
      <c r="O126" s="101">
        <f>O121+1</f>
        <v>19</v>
      </c>
      <c r="P126" s="101" t="str">
        <f t="shared" si="44"/>
        <v xml:space="preserve">  </v>
      </c>
      <c r="AU126" s="81"/>
    </row>
    <row r="127" spans="1:47" x14ac:dyDescent="0.25">
      <c r="A127" s="84">
        <f>A126+1</f>
        <v>18</v>
      </c>
      <c r="B127" s="84" t="str">
        <f t="shared" si="48"/>
        <v xml:space="preserve">  </v>
      </c>
      <c r="C127" s="79" t="e">
        <f t="shared" ref="C127" si="61">IF(C128=B129,IF(C129-C128=C128-B128,B128,IF(C129-C128=C128-B127,B127,"#NA")),IF(C128=B128,IF(C129-C128=C128-B127,B127,IF(C129-C128=C128-B126,B126,"#NA")),"#NA"))</f>
        <v>#VALUE!</v>
      </c>
      <c r="D127" s="68" t="e">
        <f>VLOOKUP(C127,STN_TABLE,2,FALSE)</f>
        <v>#VALUE!</v>
      </c>
      <c r="E127" s="102">
        <v>1</v>
      </c>
      <c r="F127" s="68" t="e">
        <f>D127*E127</f>
        <v>#VALUE!</v>
      </c>
      <c r="G127" s="69" t="e">
        <f>C127</f>
        <v>#VALUE!</v>
      </c>
      <c r="H127" s="69" t="e">
        <f>F127*G127</f>
        <v>#VALUE!</v>
      </c>
      <c r="I127" s="6" t="s">
        <v>93</v>
      </c>
      <c r="J127" s="70" t="e">
        <f>IF(OR(D127=0,D128=0,D129=0),"#NA",IF(AND(C129-C128=C128-C127,C128&lt;&gt;C129,C127&lt;&gt;C128,C127&lt;&gt;C129,D129&lt;&gt;0,OR(D127&lt;&gt;0,D128&lt;&gt;0)),WLS*(C129-C128),"#NA"))</f>
        <v>#VALUE!</v>
      </c>
      <c r="O127" s="99">
        <f>O126+1</f>
        <v>20</v>
      </c>
      <c r="P127" s="99" t="str">
        <f t="shared" si="44"/>
        <v xml:space="preserve">  </v>
      </c>
      <c r="Q127" s="68" t="e">
        <f>IF(OR(P129-P128=P128-P127,P130-P128=P128-P127),P127,IF(OR(P129-P128=P128-P126,P130-P128=P128-P126),P126,"-"))</f>
        <v>#VALUE!</v>
      </c>
      <c r="R127" s="69" t="e">
        <f>VLOOKUP(Q127,STN_TABLE,2,FALSE)</f>
        <v>#VALUE!</v>
      </c>
      <c r="S127" s="69">
        <v>5</v>
      </c>
      <c r="T127" s="68" t="e">
        <f>R127*S127</f>
        <v>#VALUE!</v>
      </c>
      <c r="U127" s="79">
        <v>3</v>
      </c>
      <c r="V127" s="68" t="e">
        <f>R127*U127</f>
        <v>#VALUE!</v>
      </c>
      <c r="W127" s="6" t="s">
        <v>93</v>
      </c>
      <c r="X127" s="70" t="e">
        <f>IF(AND(Q129-Q128=Q128-Q127,NOT(AND(Q127=0,Q128=0)),NOT(AND(Q128=0,Q129=0))),WLS*(Q129-Q128),"#NA")</f>
        <v>#VALUE!</v>
      </c>
      <c r="AD127" s="93"/>
      <c r="AH127" s="6" t="s">
        <v>93</v>
      </c>
      <c r="AI127" s="70" t="e">
        <f>WLS*(AD129-AD128)</f>
        <v>#VALUE!</v>
      </c>
      <c r="AU127" s="81"/>
    </row>
    <row r="128" spans="1:47" x14ac:dyDescent="0.25">
      <c r="A128" s="84">
        <f>A127+1</f>
        <v>19</v>
      </c>
      <c r="B128" s="84" t="str">
        <f t="shared" si="48"/>
        <v xml:space="preserve">  </v>
      </c>
      <c r="C128" s="80" t="e">
        <f t="shared" ref="C128" si="62">IF(OR(B130-B129=B129-B128,B130-B129=B129-B127,B130-B129=B129-B126),B129,IF(OR(B130-B128=B128-B127,B130-B128=B128-B126),B128,IF(B130-B127=B127-B126,B127,"#NA")))</f>
        <v>#VALUE!</v>
      </c>
      <c r="D128" s="76" t="e">
        <f>VLOOKUP(C128,STN_TABLE,2,FALSE)</f>
        <v>#VALUE!</v>
      </c>
      <c r="E128" s="81">
        <v>4</v>
      </c>
      <c r="F128" s="76" t="e">
        <f>D128*E128</f>
        <v>#VALUE!</v>
      </c>
      <c r="G128" s="77" t="e">
        <f>C128</f>
        <v>#VALUE!</v>
      </c>
      <c r="H128" s="77" t="e">
        <f>F128*G128</f>
        <v>#VALUE!</v>
      </c>
      <c r="I128" s="495" t="s">
        <v>97</v>
      </c>
      <c r="J128" s="496"/>
      <c r="K128" s="78" t="s">
        <v>98</v>
      </c>
      <c r="L128" s="78"/>
      <c r="M128" s="7" t="s">
        <v>99</v>
      </c>
      <c r="N128" s="7"/>
      <c r="O128" s="99">
        <f>O127+1</f>
        <v>21</v>
      </c>
      <c r="P128" s="99" t="str">
        <f t="shared" si="44"/>
        <v xml:space="preserve">  </v>
      </c>
      <c r="Q128" s="76" t="str">
        <f>P128</f>
        <v xml:space="preserve">  </v>
      </c>
      <c r="R128" s="77" t="str">
        <f>VLOOKUP(Q128,STN_TABLE,2,FALSE)</f>
        <v xml:space="preserve">  </v>
      </c>
      <c r="S128" s="77">
        <v>8</v>
      </c>
      <c r="T128" s="76" t="e">
        <f>R128*S128</f>
        <v>#VALUE!</v>
      </c>
      <c r="U128" s="80">
        <v>10</v>
      </c>
      <c r="V128" s="76" t="e">
        <f>R128*U128</f>
        <v>#VALUE!</v>
      </c>
      <c r="W128" s="496" t="s">
        <v>97</v>
      </c>
      <c r="X128" s="496"/>
      <c r="Y128" s="496" t="s">
        <v>98</v>
      </c>
      <c r="Z128" s="496"/>
      <c r="AA128" s="494" t="s">
        <v>99</v>
      </c>
      <c r="AB128" s="494"/>
      <c r="AC128" s="99">
        <f>AC123+1</f>
        <v>20</v>
      </c>
      <c r="AD128" s="95" t="str">
        <f>VLOOKUP(AC128,STN_TABLE_2,2,FALSE)</f>
        <v xml:space="preserve">  </v>
      </c>
      <c r="AE128" s="68" t="str">
        <f>VLOOKUP(AD128,STN_TABLE,2,FALSE)</f>
        <v xml:space="preserve">  </v>
      </c>
      <c r="AF128" s="68">
        <v>1</v>
      </c>
      <c r="AG128" s="69" t="e">
        <f>AE128*AF128</f>
        <v>#VALUE!</v>
      </c>
      <c r="AH128" s="496" t="s">
        <v>97</v>
      </c>
      <c r="AI128" s="496"/>
      <c r="AJ128" s="496" t="s">
        <v>98</v>
      </c>
      <c r="AK128" s="496"/>
      <c r="AL128" s="494" t="s">
        <v>99</v>
      </c>
      <c r="AM128" s="494"/>
      <c r="AP128" s="86" t="s">
        <v>112</v>
      </c>
      <c r="AQ128" s="89" t="s">
        <v>113</v>
      </c>
      <c r="AR128" s="89" t="s">
        <v>114</v>
      </c>
      <c r="AS128" s="89" t="s">
        <v>115</v>
      </c>
      <c r="AU128" s="81"/>
    </row>
    <row r="129" spans="1:47" x14ac:dyDescent="0.25">
      <c r="A129" s="84">
        <f>A128+1</f>
        <v>20</v>
      </c>
      <c r="B129" s="84" t="str">
        <f t="shared" si="48"/>
        <v xml:space="preserve">  </v>
      </c>
      <c r="C129" s="88" t="str">
        <f t="shared" ref="C129" si="63">B130</f>
        <v xml:space="preserve">  </v>
      </c>
      <c r="D129" s="82" t="str">
        <f>VLOOKUP(C129,STN_TABLE,2,FALSE)</f>
        <v xml:space="preserve">  </v>
      </c>
      <c r="E129" s="92">
        <v>1</v>
      </c>
      <c r="F129" s="82" t="e">
        <f>D129*E129</f>
        <v>#VALUE!</v>
      </c>
      <c r="G129" s="83" t="str">
        <f>C129</f>
        <v xml:space="preserve">  </v>
      </c>
      <c r="H129" s="83" t="e">
        <f>F129*G129</f>
        <v>#VALUE!</v>
      </c>
      <c r="I129" s="84" t="str">
        <f>CONCATENATE("a'(",C129,")=")</f>
        <v>a'(  )=</v>
      </c>
      <c r="J129" s="84" t="e">
        <f>2*J127/3*F130</f>
        <v>#VALUE!</v>
      </c>
      <c r="K129" s="84" t="e">
        <f>CONCATENATE("A(",C127,")=")</f>
        <v>#VALUE!</v>
      </c>
      <c r="L129" s="84" t="e">
        <f>VLOOKUP(C127,STN_TABLE,3,FALSE)</f>
        <v>#VALUE!</v>
      </c>
      <c r="M129" t="str">
        <f>CONCATENATE("A(",C129,")=")</f>
        <v>A(  )=</v>
      </c>
      <c r="N129" t="e">
        <f>J129+L129</f>
        <v>#VALUE!</v>
      </c>
      <c r="O129" s="99">
        <f>O128+1</f>
        <v>22</v>
      </c>
      <c r="P129" s="99" t="str">
        <f t="shared" si="44"/>
        <v xml:space="preserve">  </v>
      </c>
      <c r="Q129" s="82" t="e">
        <f>IF(P129-P128=P128-P127,P129,IF(P130-P128=P128-P127,P130,IF(P129-P128=P128-P126,P129,IF(P130-P128=P128-P126,P130,"-"))))</f>
        <v>#VALUE!</v>
      </c>
      <c r="R129" s="83" t="e">
        <f>VLOOKUP(Q129,STN_TABLE,2,FALSE)</f>
        <v>#VALUE!</v>
      </c>
      <c r="S129" s="83">
        <v>-1</v>
      </c>
      <c r="T129" s="82" t="e">
        <f>R129*S129</f>
        <v>#VALUE!</v>
      </c>
      <c r="U129" s="88">
        <v>-1</v>
      </c>
      <c r="V129" s="82" t="e">
        <f>R129*U129</f>
        <v>#VALUE!</v>
      </c>
      <c r="W129" s="84" t="str">
        <f>CONCATENATE("a'(",Q128,")=")</f>
        <v>a'(  )=</v>
      </c>
      <c r="X129" s="84" t="e">
        <f>2*X127/12*T130</f>
        <v>#VALUE!</v>
      </c>
      <c r="Y129" s="84" t="e">
        <f>CONCATENATE("A(",Q127,")=")</f>
        <v>#VALUE!</v>
      </c>
      <c r="Z129" s="84" t="e">
        <f>VLOOKUP(Q127,STN_TABLE,3,FALSE)</f>
        <v>#VALUE!</v>
      </c>
      <c r="AA129" t="str">
        <f>CONCATENATE("A(",Q128,")=")</f>
        <v>A(  )=</v>
      </c>
      <c r="AB129" t="e">
        <f>X129+Z129</f>
        <v>#VALUE!</v>
      </c>
      <c r="AC129" s="99">
        <f>AC128+1</f>
        <v>21</v>
      </c>
      <c r="AD129" s="100" t="str">
        <f>VLOOKUP(AC129,STN_TABLE_2,2,FALSE)</f>
        <v xml:space="preserve">  </v>
      </c>
      <c r="AE129" s="82" t="str">
        <f>VLOOKUP(AD129,STN_TABLE,2,FALSE)</f>
        <v xml:space="preserve">  </v>
      </c>
      <c r="AF129" s="82">
        <v>2</v>
      </c>
      <c r="AG129" s="83" t="e">
        <f>AE129*AF129</f>
        <v>#VALUE!</v>
      </c>
      <c r="AH129" s="84" t="str">
        <f>CONCATENATE("a'(",AD129,")=")</f>
        <v>a'(  )=</v>
      </c>
      <c r="AI129" s="84" t="e">
        <f>2*AI127/2*AE130</f>
        <v>#VALUE!</v>
      </c>
      <c r="AJ129" s="84" t="str">
        <f>CONCATENATE("A(",AD128,")=")</f>
        <v>A(  )=</v>
      </c>
      <c r="AK129" s="84" t="str">
        <f>VLOOKUP(AD128,STN_TABLE,3,FALSE)</f>
        <v xml:space="preserve"> </v>
      </c>
      <c r="AL129" t="str">
        <f>CONCATENATE("A(",AD129,")=")</f>
        <v>A(  )=</v>
      </c>
      <c r="AM129" t="e">
        <f>AI129+AK129</f>
        <v>#VALUE!</v>
      </c>
      <c r="AO129" s="68" t="str">
        <f>AA129</f>
        <v>A(  )=</v>
      </c>
      <c r="AP129" s="68" t="e">
        <f>VLOOKUP(AO129,Rise_Results,2,FALSE)</f>
        <v>#N/A</v>
      </c>
      <c r="AQ129" s="76" t="e">
        <f>N129</f>
        <v>#VALUE!</v>
      </c>
      <c r="AR129" s="76" t="e">
        <f>IF(OR(AB129&lt;=0,AB130&lt;=0),1/0,AB129)</f>
        <v>#VALUE!</v>
      </c>
      <c r="AS129" s="76" t="e">
        <f>AM129</f>
        <v>#VALUE!</v>
      </c>
      <c r="AT129" t="e">
        <f>IFERROR(AP129,IFERROR(AQ129,IFERROR(AR129,AS129)))</f>
        <v>#VALUE!</v>
      </c>
      <c r="AU129" s="81"/>
    </row>
    <row r="130" spans="1:47" x14ac:dyDescent="0.25">
      <c r="A130" s="84">
        <f>A129+1</f>
        <v>21</v>
      </c>
      <c r="B130" s="84" t="str">
        <f t="shared" si="48"/>
        <v xml:space="preserve">  </v>
      </c>
      <c r="F130" s="82" t="e">
        <f>SUM(F127:F129)</f>
        <v>#VALUE!</v>
      </c>
      <c r="H130" s="82" t="e">
        <f>SUM(H127:H129)</f>
        <v>#VALUE!</v>
      </c>
      <c r="I130" s="84" t="str">
        <f>CONCATENATE("m'(",C129,")=")</f>
        <v>m'(  )=</v>
      </c>
      <c r="J130" s="84" t="e">
        <f>2*(J127*(WLS))/3*H130</f>
        <v>#VALUE!</v>
      </c>
      <c r="K130" s="84" t="e">
        <f>CONCATENATE("M(",C127,")=")</f>
        <v>#VALUE!</v>
      </c>
      <c r="L130" s="84" t="e">
        <f>VLOOKUP(C127,STN_TABLE,4,FALSE)</f>
        <v>#VALUE!</v>
      </c>
      <c r="M130" t="str">
        <f>CONCATENATE("M(",C129,")=")</f>
        <v>M(  )=</v>
      </c>
      <c r="N130" t="e">
        <f>J130+L130</f>
        <v>#VALUE!</v>
      </c>
      <c r="O130" s="99">
        <f>O129+1</f>
        <v>23</v>
      </c>
      <c r="P130" s="99" t="str">
        <f t="shared" si="44"/>
        <v xml:space="preserve">  </v>
      </c>
      <c r="T130" s="89" t="e">
        <f>SUM(T127:T129)</f>
        <v>#VALUE!</v>
      </c>
      <c r="V130" s="82" t="e">
        <f>SUM(V127:V129)</f>
        <v>#VALUE!</v>
      </c>
      <c r="W130" s="84" t="str">
        <f>CONCATENATE("m'(",Q128,")=")</f>
        <v>m'(  )=</v>
      </c>
      <c r="X130" s="84" t="e">
        <f>(2*(X127^2)/24*V130)+(X129*Q127*WLS)</f>
        <v>#VALUE!</v>
      </c>
      <c r="Y130" s="84" t="e">
        <f>CONCATENATE("M(",Q127,")=")</f>
        <v>#VALUE!</v>
      </c>
      <c r="Z130" s="84" t="e">
        <f>VLOOKUP(Q127,STN_TABLE,4,FALSE)</f>
        <v>#VALUE!</v>
      </c>
      <c r="AA130" t="str">
        <f>CONCATENATE("M(",Q128,")=")</f>
        <v>M(  )=</v>
      </c>
      <c r="AB130" t="e">
        <f>X130+Z130</f>
        <v>#VALUE!</v>
      </c>
      <c r="AE130" s="89">
        <f>SUM(AE128:AE129)</f>
        <v>0</v>
      </c>
      <c r="AG130" s="89" t="e">
        <f>SUM(AG128:AG129)</f>
        <v>#VALUE!</v>
      </c>
      <c r="AH130" s="84" t="str">
        <f>CONCATENATE("m'(",AD129,")=")</f>
        <v>m'(  )=</v>
      </c>
      <c r="AI130" s="84" t="e">
        <f>(2*(AI127^2)/6*AG130)+(AI129*AD128*WLS)</f>
        <v>#VALUE!</v>
      </c>
      <c r="AJ130" s="84" t="str">
        <f>CONCATENATE("M(",AD128,")=")</f>
        <v>M(  )=</v>
      </c>
      <c r="AK130" s="84" t="str">
        <f>VLOOKUP(AD128,STN_TABLE,4,FALSE)</f>
        <v xml:space="preserve"> </v>
      </c>
      <c r="AL130" t="str">
        <f>CONCATENATE("M(",AD129,")=")</f>
        <v>M(  )=</v>
      </c>
      <c r="AM130" t="e">
        <f>AI130+AK130</f>
        <v>#VALUE!</v>
      </c>
      <c r="AO130" s="82" t="str">
        <f>AA130</f>
        <v>M(  )=</v>
      </c>
      <c r="AP130" s="82" t="e">
        <f>VLOOKUP(AO130,Rise_Results,2,FALSE)</f>
        <v>#N/A</v>
      </c>
      <c r="AQ130" s="82" t="e">
        <f>N130</f>
        <v>#VALUE!</v>
      </c>
      <c r="AR130" s="82" t="e">
        <f>IF(OR(AB129&lt;=0,AB130&lt;=0),1/0,AB130)</f>
        <v>#VALUE!</v>
      </c>
      <c r="AS130" s="82" t="e">
        <f>AM130</f>
        <v>#VALUE!</v>
      </c>
      <c r="AT130" t="e">
        <f>IFERROR(AP130,IFERROR(AQ130,IFERROR(AR130,AS130)))</f>
        <v>#VALUE!</v>
      </c>
      <c r="AU130" s="81"/>
    </row>
    <row r="131" spans="1:47" x14ac:dyDescent="0.25">
      <c r="A131" s="101">
        <f>A126+1</f>
        <v>18</v>
      </c>
      <c r="B131" s="101" t="str">
        <f t="shared" si="48"/>
        <v xml:space="preserve">  </v>
      </c>
      <c r="O131" s="101">
        <f>O126+1</f>
        <v>20</v>
      </c>
      <c r="P131" s="101" t="str">
        <f t="shared" si="44"/>
        <v xml:space="preserve">  </v>
      </c>
      <c r="AU131" s="81"/>
    </row>
    <row r="132" spans="1:47" x14ac:dyDescent="0.25">
      <c r="A132" s="84">
        <f>A131+1</f>
        <v>19</v>
      </c>
      <c r="B132" s="84" t="str">
        <f t="shared" si="48"/>
        <v xml:space="preserve">  </v>
      </c>
      <c r="C132" s="79" t="e">
        <f t="shared" ref="C132" si="64">IF(C133=B134,IF(C134-C133=C133-B133,B133,IF(C134-C133=C133-B132,B132,"#NA")),IF(C133=B133,IF(C134-C133=C133-B132,B132,IF(C134-C133=C133-B131,B131,"#NA")),"#NA"))</f>
        <v>#VALUE!</v>
      </c>
      <c r="D132" s="68" t="e">
        <f>VLOOKUP(C132,STN_TABLE,2,FALSE)</f>
        <v>#VALUE!</v>
      </c>
      <c r="E132" s="102">
        <v>1</v>
      </c>
      <c r="F132" s="68" t="e">
        <f>D132*E132</f>
        <v>#VALUE!</v>
      </c>
      <c r="G132" s="69" t="e">
        <f>C132</f>
        <v>#VALUE!</v>
      </c>
      <c r="H132" s="69" t="e">
        <f>F132*G132</f>
        <v>#VALUE!</v>
      </c>
      <c r="I132" s="6" t="s">
        <v>93</v>
      </c>
      <c r="J132" s="70" t="e">
        <f>IF(OR(D132=0,D133=0,D134=0),"#NA",IF(AND(C134-C133=C133-C132,C133&lt;&gt;C134,C132&lt;&gt;C133,C132&lt;&gt;C134,D134&lt;&gt;0,OR(D132&lt;&gt;0,D133&lt;&gt;0)),WLS*(C134-C133),"#NA"))</f>
        <v>#VALUE!</v>
      </c>
      <c r="O132" s="99">
        <f>O131+1</f>
        <v>21</v>
      </c>
      <c r="P132" s="99" t="str">
        <f t="shared" ref="P132:P150" si="65">VLOOKUP(O132,STN_TABLE_2,2,FALSE)</f>
        <v xml:space="preserve">  </v>
      </c>
      <c r="Q132" s="68" t="e">
        <f>IF(OR(P134-P133=P133-P132,P135-P133=P133-P132),P132,IF(OR(P134-P133=P133-P131,P135-P133=P133-P131),P131,"-"))</f>
        <v>#VALUE!</v>
      </c>
      <c r="R132" s="69" t="e">
        <f>VLOOKUP(Q132,STN_TABLE,2,FALSE)</f>
        <v>#VALUE!</v>
      </c>
      <c r="S132" s="69">
        <v>5</v>
      </c>
      <c r="T132" s="68" t="e">
        <f>R132*S132</f>
        <v>#VALUE!</v>
      </c>
      <c r="U132" s="79">
        <v>3</v>
      </c>
      <c r="V132" s="68" t="e">
        <f>R132*U132</f>
        <v>#VALUE!</v>
      </c>
      <c r="W132" s="6" t="s">
        <v>93</v>
      </c>
      <c r="X132" s="70" t="e">
        <f>IF(AND(Q134-Q133=Q133-Q132,NOT(AND(Q132=0,Q133=0)),NOT(AND(Q133=0,Q134=0))),WLS*(Q134-Q133),"#NA")</f>
        <v>#VALUE!</v>
      </c>
      <c r="AD132" s="93"/>
      <c r="AH132" s="6" t="s">
        <v>93</v>
      </c>
      <c r="AI132" s="70" t="e">
        <f>WLS*(AD134-AD133)</f>
        <v>#VALUE!</v>
      </c>
      <c r="AU132" s="81"/>
    </row>
    <row r="133" spans="1:47" x14ac:dyDescent="0.25">
      <c r="A133" s="84">
        <f>A132+1</f>
        <v>20</v>
      </c>
      <c r="B133" s="84" t="str">
        <f t="shared" si="48"/>
        <v xml:space="preserve">  </v>
      </c>
      <c r="C133" s="80" t="e">
        <f t="shared" ref="C133" si="66">IF(OR(B135-B134=B134-B133,B135-B134=B134-B132,B135-B134=B134-B131),B134,IF(OR(B135-B133=B133-B132,B135-B133=B133-B131),B133,IF(B135-B132=B132-B131,B132,"#NA")))</f>
        <v>#VALUE!</v>
      </c>
      <c r="D133" s="76" t="e">
        <f>VLOOKUP(C133,STN_TABLE,2,FALSE)</f>
        <v>#VALUE!</v>
      </c>
      <c r="E133" s="81">
        <v>4</v>
      </c>
      <c r="F133" s="76" t="e">
        <f>D133*E133</f>
        <v>#VALUE!</v>
      </c>
      <c r="G133" s="77" t="e">
        <f>C133</f>
        <v>#VALUE!</v>
      </c>
      <c r="H133" s="77" t="e">
        <f>F133*G133</f>
        <v>#VALUE!</v>
      </c>
      <c r="I133" s="495" t="s">
        <v>97</v>
      </c>
      <c r="J133" s="496"/>
      <c r="K133" s="78" t="s">
        <v>98</v>
      </c>
      <c r="L133" s="78"/>
      <c r="M133" s="7" t="s">
        <v>99</v>
      </c>
      <c r="N133" s="7"/>
      <c r="O133" s="99">
        <f>O132+1</f>
        <v>22</v>
      </c>
      <c r="P133" s="99" t="str">
        <f t="shared" si="65"/>
        <v xml:space="preserve">  </v>
      </c>
      <c r="Q133" s="76" t="str">
        <f>P133</f>
        <v xml:space="preserve">  </v>
      </c>
      <c r="R133" s="77" t="str">
        <f>VLOOKUP(Q133,STN_TABLE,2,FALSE)</f>
        <v xml:space="preserve">  </v>
      </c>
      <c r="S133" s="77">
        <v>8</v>
      </c>
      <c r="T133" s="76" t="e">
        <f>R133*S133</f>
        <v>#VALUE!</v>
      </c>
      <c r="U133" s="80">
        <v>10</v>
      </c>
      <c r="V133" s="76" t="e">
        <f>R133*U133</f>
        <v>#VALUE!</v>
      </c>
      <c r="W133" s="496" t="s">
        <v>97</v>
      </c>
      <c r="X133" s="496"/>
      <c r="Y133" s="496" t="s">
        <v>98</v>
      </c>
      <c r="Z133" s="496"/>
      <c r="AA133" s="494" t="s">
        <v>99</v>
      </c>
      <c r="AB133" s="494"/>
      <c r="AC133" s="99">
        <f>AC128+1</f>
        <v>21</v>
      </c>
      <c r="AD133" s="95" t="str">
        <f>VLOOKUP(AC133,STN_TABLE_2,2,FALSE)</f>
        <v xml:space="preserve">  </v>
      </c>
      <c r="AE133" s="68" t="str">
        <f>VLOOKUP(AD133,STN_TABLE,2,FALSE)</f>
        <v xml:space="preserve">  </v>
      </c>
      <c r="AF133" s="68">
        <v>1</v>
      </c>
      <c r="AG133" s="69" t="e">
        <f>AE133*AF133</f>
        <v>#VALUE!</v>
      </c>
      <c r="AH133" s="496" t="s">
        <v>97</v>
      </c>
      <c r="AI133" s="496"/>
      <c r="AJ133" s="496" t="s">
        <v>98</v>
      </c>
      <c r="AK133" s="496"/>
      <c r="AL133" s="494" t="s">
        <v>99</v>
      </c>
      <c r="AM133" s="494"/>
      <c r="AP133" s="86" t="s">
        <v>112</v>
      </c>
      <c r="AQ133" s="89" t="s">
        <v>113</v>
      </c>
      <c r="AR133" s="89" t="s">
        <v>114</v>
      </c>
      <c r="AS133" s="89" t="s">
        <v>115</v>
      </c>
      <c r="AU133" s="81"/>
    </row>
    <row r="134" spans="1:47" x14ac:dyDescent="0.25">
      <c r="A134" s="84">
        <f>A133+1</f>
        <v>21</v>
      </c>
      <c r="B134" s="84" t="str">
        <f t="shared" si="48"/>
        <v xml:space="preserve">  </v>
      </c>
      <c r="C134" s="88" t="str">
        <f t="shared" ref="C134" si="67">B135</f>
        <v xml:space="preserve">  </v>
      </c>
      <c r="D134" s="82" t="str">
        <f>VLOOKUP(C134,STN_TABLE,2,FALSE)</f>
        <v xml:space="preserve">  </v>
      </c>
      <c r="E134" s="92">
        <v>1</v>
      </c>
      <c r="F134" s="82" t="e">
        <f>D134*E134</f>
        <v>#VALUE!</v>
      </c>
      <c r="G134" s="83" t="str">
        <f>C134</f>
        <v xml:space="preserve">  </v>
      </c>
      <c r="H134" s="83" t="e">
        <f>F134*G134</f>
        <v>#VALUE!</v>
      </c>
      <c r="I134" s="84" t="str">
        <f>CONCATENATE("a'(",C134,")=")</f>
        <v>a'(  )=</v>
      </c>
      <c r="J134" s="84" t="e">
        <f>2*J132/3*F135</f>
        <v>#VALUE!</v>
      </c>
      <c r="K134" s="84" t="e">
        <f>CONCATENATE("A(",C132,")=")</f>
        <v>#VALUE!</v>
      </c>
      <c r="L134" s="84" t="e">
        <f>VLOOKUP(C132,STN_TABLE,3,FALSE)</f>
        <v>#VALUE!</v>
      </c>
      <c r="M134" t="str">
        <f>CONCATENATE("A(",C134,")=")</f>
        <v>A(  )=</v>
      </c>
      <c r="N134" t="e">
        <f>J134+L134</f>
        <v>#VALUE!</v>
      </c>
      <c r="O134" s="99">
        <f>O133+1</f>
        <v>23</v>
      </c>
      <c r="P134" s="99" t="str">
        <f t="shared" si="65"/>
        <v xml:space="preserve">  </v>
      </c>
      <c r="Q134" s="82" t="e">
        <f>IF(P134-P133=P133-P132,P134,IF(P135-P133=P133-P132,P135,IF(P134-P133=P133-P131,P134,IF(P135-P133=P133-P131,P135,"-"))))</f>
        <v>#VALUE!</v>
      </c>
      <c r="R134" s="83" t="e">
        <f>VLOOKUP(Q134,STN_TABLE,2,FALSE)</f>
        <v>#VALUE!</v>
      </c>
      <c r="S134" s="83">
        <v>-1</v>
      </c>
      <c r="T134" s="82" t="e">
        <f>R134*S134</f>
        <v>#VALUE!</v>
      </c>
      <c r="U134" s="88">
        <v>-1</v>
      </c>
      <c r="V134" s="82" t="e">
        <f>R134*U134</f>
        <v>#VALUE!</v>
      </c>
      <c r="W134" s="84" t="str">
        <f>CONCATENATE("a'(",Q133,")=")</f>
        <v>a'(  )=</v>
      </c>
      <c r="X134" s="84" t="e">
        <f>2*X132/12*T135</f>
        <v>#VALUE!</v>
      </c>
      <c r="Y134" s="84" t="e">
        <f>CONCATENATE("A(",Q132,")=")</f>
        <v>#VALUE!</v>
      </c>
      <c r="Z134" s="84" t="e">
        <f>VLOOKUP(Q132,STN_TABLE,3,FALSE)</f>
        <v>#VALUE!</v>
      </c>
      <c r="AA134" t="str">
        <f>CONCATENATE("A(",Q133,")=")</f>
        <v>A(  )=</v>
      </c>
      <c r="AB134" t="e">
        <f>X134+Z134</f>
        <v>#VALUE!</v>
      </c>
      <c r="AC134" s="99">
        <f>AC133+1</f>
        <v>22</v>
      </c>
      <c r="AD134" s="100" t="str">
        <f>VLOOKUP(AC134,STN_TABLE_2,2,FALSE)</f>
        <v xml:space="preserve">  </v>
      </c>
      <c r="AE134" s="82" t="str">
        <f>VLOOKUP(AD134,STN_TABLE,2,FALSE)</f>
        <v xml:space="preserve">  </v>
      </c>
      <c r="AF134" s="82">
        <v>2</v>
      </c>
      <c r="AG134" s="83" t="e">
        <f>AE134*AF134</f>
        <v>#VALUE!</v>
      </c>
      <c r="AH134" s="84" t="str">
        <f>CONCATENATE("a'(",AD134,")=")</f>
        <v>a'(  )=</v>
      </c>
      <c r="AI134" s="84" t="e">
        <f>2*AI132/2*AE135</f>
        <v>#VALUE!</v>
      </c>
      <c r="AJ134" s="84" t="str">
        <f>CONCATENATE("A(",AD133,")=")</f>
        <v>A(  )=</v>
      </c>
      <c r="AK134" s="84" t="str">
        <f>VLOOKUP(AD133,STN_TABLE,3,FALSE)</f>
        <v xml:space="preserve"> </v>
      </c>
      <c r="AL134" t="str">
        <f>CONCATENATE("A(",AD134,")=")</f>
        <v>A(  )=</v>
      </c>
      <c r="AM134" t="e">
        <f>AI134+AK134</f>
        <v>#VALUE!</v>
      </c>
      <c r="AO134" s="68" t="str">
        <f>AA134</f>
        <v>A(  )=</v>
      </c>
      <c r="AP134" s="68" t="e">
        <f>VLOOKUP(AO134,Rise_Results,2,FALSE)</f>
        <v>#N/A</v>
      </c>
      <c r="AQ134" s="76" t="e">
        <f>N134</f>
        <v>#VALUE!</v>
      </c>
      <c r="AR134" s="76" t="e">
        <f>IF(OR(AB134&lt;=0,AB135&lt;=0),1/0,AB134)</f>
        <v>#VALUE!</v>
      </c>
      <c r="AS134" s="76" t="e">
        <f>AM134</f>
        <v>#VALUE!</v>
      </c>
      <c r="AT134" t="e">
        <f>IFERROR(AP134,IFERROR(AQ134,IFERROR(AR134,AS134)))</f>
        <v>#VALUE!</v>
      </c>
      <c r="AU134" s="81"/>
    </row>
    <row r="135" spans="1:47" x14ac:dyDescent="0.25">
      <c r="A135" s="84">
        <f>A134+1</f>
        <v>22</v>
      </c>
      <c r="B135" s="84" t="str">
        <f t="shared" si="48"/>
        <v xml:space="preserve">  </v>
      </c>
      <c r="F135" s="82" t="e">
        <f>SUM(F132:F134)</f>
        <v>#VALUE!</v>
      </c>
      <c r="H135" s="82" t="e">
        <f>SUM(H132:H134)</f>
        <v>#VALUE!</v>
      </c>
      <c r="I135" s="84" t="str">
        <f>CONCATENATE("m'(",C134,")=")</f>
        <v>m'(  )=</v>
      </c>
      <c r="J135" s="84" t="e">
        <f>2*(J132*(WLS))/3*H135</f>
        <v>#VALUE!</v>
      </c>
      <c r="K135" s="84" t="e">
        <f>CONCATENATE("M(",C132,")=")</f>
        <v>#VALUE!</v>
      </c>
      <c r="L135" s="84" t="e">
        <f>VLOOKUP(C132,STN_TABLE,4,FALSE)</f>
        <v>#VALUE!</v>
      </c>
      <c r="M135" t="str">
        <f>CONCATENATE("M(",C134,")=")</f>
        <v>M(  )=</v>
      </c>
      <c r="N135" t="e">
        <f>J135+L135</f>
        <v>#VALUE!</v>
      </c>
      <c r="O135" s="99">
        <f>O134+1</f>
        <v>24</v>
      </c>
      <c r="P135" s="99" t="str">
        <f t="shared" si="65"/>
        <v xml:space="preserve">  </v>
      </c>
      <c r="T135" s="89" t="e">
        <f>SUM(T132:T134)</f>
        <v>#VALUE!</v>
      </c>
      <c r="V135" s="82" t="e">
        <f>SUM(V132:V134)</f>
        <v>#VALUE!</v>
      </c>
      <c r="W135" s="84" t="str">
        <f>CONCATENATE("m'(",Q133,")=")</f>
        <v>m'(  )=</v>
      </c>
      <c r="X135" s="84" t="e">
        <f>(2*(X132^2)/24*V135)+(X134*Q132*WLS)</f>
        <v>#VALUE!</v>
      </c>
      <c r="Y135" s="84" t="e">
        <f>CONCATENATE("M(",Q132,")=")</f>
        <v>#VALUE!</v>
      </c>
      <c r="Z135" s="84" t="e">
        <f>VLOOKUP(Q132,STN_TABLE,4,FALSE)</f>
        <v>#VALUE!</v>
      </c>
      <c r="AA135" t="str">
        <f>CONCATENATE("M(",Q133,")=")</f>
        <v>M(  )=</v>
      </c>
      <c r="AB135" t="e">
        <f>X135+Z135</f>
        <v>#VALUE!</v>
      </c>
      <c r="AE135" s="89">
        <f>SUM(AE133:AE134)</f>
        <v>0</v>
      </c>
      <c r="AG135" s="89" t="e">
        <f>SUM(AG133:AG134)</f>
        <v>#VALUE!</v>
      </c>
      <c r="AH135" s="84" t="str">
        <f>CONCATENATE("m'(",AD134,")=")</f>
        <v>m'(  )=</v>
      </c>
      <c r="AI135" s="84" t="e">
        <f>(2*(AI132^2)/6*AG135)+(AI134*AD133*WLS)</f>
        <v>#VALUE!</v>
      </c>
      <c r="AJ135" s="84" t="str">
        <f>CONCATENATE("M(",AD133,")=")</f>
        <v>M(  )=</v>
      </c>
      <c r="AK135" s="84" t="str">
        <f>VLOOKUP(AD133,STN_TABLE,4,FALSE)</f>
        <v xml:space="preserve"> </v>
      </c>
      <c r="AL135" t="str">
        <f>CONCATENATE("M(",AD134,")=")</f>
        <v>M(  )=</v>
      </c>
      <c r="AM135" t="e">
        <f>AI135+AK135</f>
        <v>#VALUE!</v>
      </c>
      <c r="AO135" s="82" t="str">
        <f>AA135</f>
        <v>M(  )=</v>
      </c>
      <c r="AP135" s="82" t="e">
        <f>VLOOKUP(AO135,Rise_Results,2,FALSE)</f>
        <v>#N/A</v>
      </c>
      <c r="AQ135" s="82" t="e">
        <f>N135</f>
        <v>#VALUE!</v>
      </c>
      <c r="AR135" s="82" t="e">
        <f>IF(OR(AB134&lt;=0,AB135&lt;=0),1/0,AB135)</f>
        <v>#VALUE!</v>
      </c>
      <c r="AS135" s="82" t="e">
        <f>AM135</f>
        <v>#VALUE!</v>
      </c>
      <c r="AT135" t="e">
        <f>IFERROR(AP135,IFERROR(AQ135,IFERROR(AR135,AS135)))</f>
        <v>#VALUE!</v>
      </c>
      <c r="AU135" s="81"/>
    </row>
    <row r="136" spans="1:47" x14ac:dyDescent="0.25">
      <c r="A136" s="101">
        <f>A131+1</f>
        <v>19</v>
      </c>
      <c r="B136" s="101" t="str">
        <f t="shared" si="48"/>
        <v xml:space="preserve">  </v>
      </c>
      <c r="O136" s="101">
        <f>O131+1</f>
        <v>21</v>
      </c>
      <c r="P136" s="101" t="str">
        <f t="shared" si="65"/>
        <v xml:space="preserve">  </v>
      </c>
      <c r="AU136" s="81"/>
    </row>
    <row r="137" spans="1:47" x14ac:dyDescent="0.25">
      <c r="A137" s="84">
        <f>A136+1</f>
        <v>20</v>
      </c>
      <c r="B137" s="84" t="str">
        <f t="shared" si="48"/>
        <v xml:space="preserve">  </v>
      </c>
      <c r="C137" s="79" t="e">
        <f t="shared" ref="C137" si="68">IF(C138=B139,IF(C139-C138=C138-B138,B138,IF(C139-C138=C138-B137,B137,"#NA")),IF(C138=B138,IF(C139-C138=C138-B137,B137,IF(C139-C138=C138-B136,B136,"#NA")),"#NA"))</f>
        <v>#VALUE!</v>
      </c>
      <c r="D137" s="68" t="e">
        <f>VLOOKUP(C137,STN_TABLE,2,FALSE)</f>
        <v>#VALUE!</v>
      </c>
      <c r="E137" s="102">
        <v>1</v>
      </c>
      <c r="F137" s="68" t="e">
        <f>D137*E137</f>
        <v>#VALUE!</v>
      </c>
      <c r="G137" s="69" t="e">
        <f>C137</f>
        <v>#VALUE!</v>
      </c>
      <c r="H137" s="69" t="e">
        <f>F137*G137</f>
        <v>#VALUE!</v>
      </c>
      <c r="I137" s="6" t="s">
        <v>93</v>
      </c>
      <c r="J137" s="70" t="e">
        <f>IF(OR(D137=0,D138=0,D139=0),"#NA",IF(AND(C139-C138=C138-C137,C138&lt;&gt;C139,C137&lt;&gt;C138,C137&lt;&gt;C139,D139&lt;&gt;0,OR(D137&lt;&gt;0,D138&lt;&gt;0)),WLS*(C139-C138),"#NA"))</f>
        <v>#VALUE!</v>
      </c>
      <c r="O137" s="99">
        <f>O136+1</f>
        <v>22</v>
      </c>
      <c r="P137" s="99" t="str">
        <f t="shared" si="65"/>
        <v xml:space="preserve">  </v>
      </c>
      <c r="Q137" s="68" t="e">
        <f>IF(OR(P139-P138=P138-P137,P140-P138=P138-P137),P137,IF(OR(P139-P138=P138-P136,P140-P138=P138-P136),P136,"-"))</f>
        <v>#VALUE!</v>
      </c>
      <c r="R137" s="69" t="e">
        <f>VLOOKUP(Q137,STN_TABLE,2,FALSE)</f>
        <v>#VALUE!</v>
      </c>
      <c r="S137" s="69">
        <v>5</v>
      </c>
      <c r="T137" s="68" t="e">
        <f>R137*S137</f>
        <v>#VALUE!</v>
      </c>
      <c r="U137" s="79">
        <v>3</v>
      </c>
      <c r="V137" s="68" t="e">
        <f>R137*U137</f>
        <v>#VALUE!</v>
      </c>
      <c r="W137" s="6" t="s">
        <v>93</v>
      </c>
      <c r="X137" s="70" t="e">
        <f>IF(AND(Q139-Q138=Q138-Q137,NOT(AND(Q137=0,Q138=0)),NOT(AND(Q138=0,Q139=0))),WLS*(Q139-Q138),"#NA")</f>
        <v>#VALUE!</v>
      </c>
      <c r="AD137" s="93"/>
      <c r="AH137" s="6" t="s">
        <v>93</v>
      </c>
      <c r="AI137" s="70" t="e">
        <f>WLS*(AD139-AD138)</f>
        <v>#VALUE!</v>
      </c>
      <c r="AU137" s="81"/>
    </row>
    <row r="138" spans="1:47" x14ac:dyDescent="0.25">
      <c r="A138" s="84">
        <f>A137+1</f>
        <v>21</v>
      </c>
      <c r="B138" s="84" t="str">
        <f t="shared" ref="B138:B150" si="69">VLOOKUP(A138,STN_TABLE_2,2,FALSE)</f>
        <v xml:space="preserve">  </v>
      </c>
      <c r="C138" s="80" t="e">
        <f t="shared" ref="C138" si="70">IF(OR(B140-B139=B139-B138,B140-B139=B139-B137,B140-B139=B139-B136),B139,IF(OR(B140-B138=B138-B137,B140-B138=B138-B136),B138,IF(B140-B137=B137-B136,B137,"#NA")))</f>
        <v>#VALUE!</v>
      </c>
      <c r="D138" s="76" t="e">
        <f>VLOOKUP(C138,STN_TABLE,2,FALSE)</f>
        <v>#VALUE!</v>
      </c>
      <c r="E138" s="81">
        <v>4</v>
      </c>
      <c r="F138" s="76" t="e">
        <f>D138*E138</f>
        <v>#VALUE!</v>
      </c>
      <c r="G138" s="77" t="e">
        <f>C138</f>
        <v>#VALUE!</v>
      </c>
      <c r="H138" s="77" t="e">
        <f>F138*G138</f>
        <v>#VALUE!</v>
      </c>
      <c r="I138" s="495" t="s">
        <v>97</v>
      </c>
      <c r="J138" s="496"/>
      <c r="K138" s="78" t="s">
        <v>98</v>
      </c>
      <c r="L138" s="78"/>
      <c r="M138" s="7" t="s">
        <v>99</v>
      </c>
      <c r="N138" s="7"/>
      <c r="O138" s="99">
        <f>O137+1</f>
        <v>23</v>
      </c>
      <c r="P138" s="99" t="str">
        <f t="shared" si="65"/>
        <v xml:space="preserve">  </v>
      </c>
      <c r="Q138" s="76" t="str">
        <f>P138</f>
        <v xml:space="preserve">  </v>
      </c>
      <c r="R138" s="77" t="str">
        <f>VLOOKUP(Q138,STN_TABLE,2,FALSE)</f>
        <v xml:space="preserve">  </v>
      </c>
      <c r="S138" s="77">
        <v>8</v>
      </c>
      <c r="T138" s="76" t="e">
        <f>R138*S138</f>
        <v>#VALUE!</v>
      </c>
      <c r="U138" s="80">
        <v>10</v>
      </c>
      <c r="V138" s="76" t="e">
        <f>R138*U138</f>
        <v>#VALUE!</v>
      </c>
      <c r="W138" s="496" t="s">
        <v>97</v>
      </c>
      <c r="X138" s="496"/>
      <c r="Y138" s="496" t="s">
        <v>98</v>
      </c>
      <c r="Z138" s="496"/>
      <c r="AA138" s="494" t="s">
        <v>99</v>
      </c>
      <c r="AB138" s="494"/>
      <c r="AC138" s="99">
        <f>AC133+1</f>
        <v>22</v>
      </c>
      <c r="AD138" s="95" t="str">
        <f>VLOOKUP(AC138,STN_TABLE_2,2,FALSE)</f>
        <v xml:space="preserve">  </v>
      </c>
      <c r="AE138" s="68" t="str">
        <f>VLOOKUP(AD138,STN_TABLE,2,FALSE)</f>
        <v xml:space="preserve">  </v>
      </c>
      <c r="AF138" s="68">
        <v>1</v>
      </c>
      <c r="AG138" s="69" t="e">
        <f>AE138*AF138</f>
        <v>#VALUE!</v>
      </c>
      <c r="AH138" s="496" t="s">
        <v>97</v>
      </c>
      <c r="AI138" s="496"/>
      <c r="AJ138" s="496" t="s">
        <v>98</v>
      </c>
      <c r="AK138" s="496"/>
      <c r="AL138" s="494" t="s">
        <v>99</v>
      </c>
      <c r="AM138" s="494"/>
      <c r="AP138" s="86" t="s">
        <v>112</v>
      </c>
      <c r="AQ138" s="89" t="s">
        <v>113</v>
      </c>
      <c r="AR138" s="89" t="s">
        <v>114</v>
      </c>
      <c r="AS138" s="89" t="s">
        <v>115</v>
      </c>
      <c r="AU138" s="81"/>
    </row>
    <row r="139" spans="1:47" x14ac:dyDescent="0.25">
      <c r="A139" s="84">
        <f>A138+1</f>
        <v>22</v>
      </c>
      <c r="B139" s="84" t="str">
        <f t="shared" si="69"/>
        <v xml:space="preserve">  </v>
      </c>
      <c r="C139" s="88" t="str">
        <f t="shared" ref="C139" si="71">B140</f>
        <v xml:space="preserve">  </v>
      </c>
      <c r="D139" s="82" t="str">
        <f>VLOOKUP(C139,STN_TABLE,2,FALSE)</f>
        <v xml:space="preserve">  </v>
      </c>
      <c r="E139" s="92">
        <v>1</v>
      </c>
      <c r="F139" s="82" t="e">
        <f>D139*E139</f>
        <v>#VALUE!</v>
      </c>
      <c r="G139" s="83" t="str">
        <f>C139</f>
        <v xml:space="preserve">  </v>
      </c>
      <c r="H139" s="83" t="e">
        <f>F139*G139</f>
        <v>#VALUE!</v>
      </c>
      <c r="I139" s="84" t="str">
        <f>CONCATENATE("a'(",C139,")=")</f>
        <v>a'(  )=</v>
      </c>
      <c r="J139" s="84" t="e">
        <f>2*J137/3*F140</f>
        <v>#VALUE!</v>
      </c>
      <c r="K139" s="84" t="e">
        <f>CONCATENATE("A(",C137,")=")</f>
        <v>#VALUE!</v>
      </c>
      <c r="L139" s="84" t="e">
        <f>VLOOKUP(C137,STN_TABLE,3,FALSE)</f>
        <v>#VALUE!</v>
      </c>
      <c r="M139" t="str">
        <f>CONCATENATE("A(",C139,")=")</f>
        <v>A(  )=</v>
      </c>
      <c r="N139" t="e">
        <f>J139+L139</f>
        <v>#VALUE!</v>
      </c>
      <c r="O139" s="99">
        <f>O138+1</f>
        <v>24</v>
      </c>
      <c r="P139" s="99" t="str">
        <f t="shared" si="65"/>
        <v xml:space="preserve">  </v>
      </c>
      <c r="Q139" s="82" t="e">
        <f>IF(P139-P138=P138-P137,P139,IF(P140-P138=P138-P137,P140,IF(P139-P138=P138-P136,P139,IF(P140-P138=P138-P136,P140,"-"))))</f>
        <v>#VALUE!</v>
      </c>
      <c r="R139" s="83" t="e">
        <f>VLOOKUP(Q139,STN_TABLE,2,FALSE)</f>
        <v>#VALUE!</v>
      </c>
      <c r="S139" s="83">
        <v>-1</v>
      </c>
      <c r="T139" s="82" t="e">
        <f>R139*S139</f>
        <v>#VALUE!</v>
      </c>
      <c r="U139" s="88">
        <v>-1</v>
      </c>
      <c r="V139" s="82" t="e">
        <f>R139*U139</f>
        <v>#VALUE!</v>
      </c>
      <c r="W139" s="84" t="str">
        <f>CONCATENATE("a'(",Q138,")=")</f>
        <v>a'(  )=</v>
      </c>
      <c r="X139" s="84" t="e">
        <f>2*X137/12*T140</f>
        <v>#VALUE!</v>
      </c>
      <c r="Y139" s="84" t="e">
        <f>CONCATENATE("A(",Q137,")=")</f>
        <v>#VALUE!</v>
      </c>
      <c r="Z139" s="84" t="e">
        <f>VLOOKUP(Q137,STN_TABLE,3,FALSE)</f>
        <v>#VALUE!</v>
      </c>
      <c r="AA139" t="str">
        <f>CONCATENATE("A(",Q138,")=")</f>
        <v>A(  )=</v>
      </c>
      <c r="AB139" t="e">
        <f>X139+Z139</f>
        <v>#VALUE!</v>
      </c>
      <c r="AC139" s="99">
        <f>AC138+1</f>
        <v>23</v>
      </c>
      <c r="AD139" s="100" t="str">
        <f>VLOOKUP(AC139,STN_TABLE_2,2,FALSE)</f>
        <v xml:space="preserve">  </v>
      </c>
      <c r="AE139" s="82" t="str">
        <f>VLOOKUP(AD139,STN_TABLE,2,FALSE)</f>
        <v xml:space="preserve">  </v>
      </c>
      <c r="AF139" s="82">
        <v>2</v>
      </c>
      <c r="AG139" s="83" t="e">
        <f>AE139*AF139</f>
        <v>#VALUE!</v>
      </c>
      <c r="AH139" s="84" t="str">
        <f>CONCATENATE("a'(",AD139,")=")</f>
        <v>a'(  )=</v>
      </c>
      <c r="AI139" s="84" t="e">
        <f>2*AI137/2*AE140</f>
        <v>#VALUE!</v>
      </c>
      <c r="AJ139" s="84" t="str">
        <f>CONCATENATE("A(",AD138,")=")</f>
        <v>A(  )=</v>
      </c>
      <c r="AK139" s="84" t="str">
        <f>VLOOKUP(AD138,STN_TABLE,3,FALSE)</f>
        <v xml:space="preserve"> </v>
      </c>
      <c r="AL139" t="str">
        <f>CONCATENATE("A(",AD139,")=")</f>
        <v>A(  )=</v>
      </c>
      <c r="AM139" t="e">
        <f>AI139+AK139</f>
        <v>#VALUE!</v>
      </c>
      <c r="AO139" s="68" t="str">
        <f>AA139</f>
        <v>A(  )=</v>
      </c>
      <c r="AP139" s="68" t="e">
        <f>VLOOKUP(AO139,Rise_Results,2,FALSE)</f>
        <v>#N/A</v>
      </c>
      <c r="AQ139" s="76" t="e">
        <f>N139</f>
        <v>#VALUE!</v>
      </c>
      <c r="AR139" s="76" t="e">
        <f>IF(OR(AB139&lt;=0,AB140&lt;=0),1/0,AB139)</f>
        <v>#VALUE!</v>
      </c>
      <c r="AS139" s="76" t="e">
        <f>AM139</f>
        <v>#VALUE!</v>
      </c>
      <c r="AT139" t="e">
        <f>IFERROR(AP139,IFERROR(AQ139,IFERROR(AR139,AS139)))</f>
        <v>#VALUE!</v>
      </c>
      <c r="AU139" s="81"/>
    </row>
    <row r="140" spans="1:47" x14ac:dyDescent="0.25">
      <c r="A140" s="84">
        <f>A139+1</f>
        <v>23</v>
      </c>
      <c r="B140" s="84" t="str">
        <f t="shared" si="69"/>
        <v xml:space="preserve">  </v>
      </c>
      <c r="F140" s="82" t="e">
        <f>SUM(F137:F139)</f>
        <v>#VALUE!</v>
      </c>
      <c r="H140" s="82" t="e">
        <f>SUM(H137:H139)</f>
        <v>#VALUE!</v>
      </c>
      <c r="I140" s="84" t="str">
        <f>CONCATENATE("m'(",C139,")=")</f>
        <v>m'(  )=</v>
      </c>
      <c r="J140" s="84" t="e">
        <f>2*(J137*(WLS))/3*H140</f>
        <v>#VALUE!</v>
      </c>
      <c r="K140" s="84" t="e">
        <f>CONCATENATE("M(",C137,")=")</f>
        <v>#VALUE!</v>
      </c>
      <c r="L140" s="84" t="e">
        <f>VLOOKUP(C137,STN_TABLE,4,FALSE)</f>
        <v>#VALUE!</v>
      </c>
      <c r="M140" t="str">
        <f>CONCATENATE("M(",C139,")=")</f>
        <v>M(  )=</v>
      </c>
      <c r="N140" t="e">
        <f>J140+L140</f>
        <v>#VALUE!</v>
      </c>
      <c r="O140" s="99">
        <f>O139+1</f>
        <v>25</v>
      </c>
      <c r="P140" s="99" t="str">
        <f t="shared" si="65"/>
        <v xml:space="preserve">  </v>
      </c>
      <c r="T140" s="89" t="e">
        <f>SUM(T137:T139)</f>
        <v>#VALUE!</v>
      </c>
      <c r="V140" s="82" t="e">
        <f>SUM(V137:V139)</f>
        <v>#VALUE!</v>
      </c>
      <c r="W140" s="84" t="str">
        <f>CONCATENATE("m'(",Q138,")=")</f>
        <v>m'(  )=</v>
      </c>
      <c r="X140" s="84" t="e">
        <f>(2*(X137^2)/24*V140)+(X139*Q137*WLS)</f>
        <v>#VALUE!</v>
      </c>
      <c r="Y140" s="84" t="e">
        <f>CONCATENATE("M(",Q137,")=")</f>
        <v>#VALUE!</v>
      </c>
      <c r="Z140" s="84" t="e">
        <f>VLOOKUP(Q137,STN_TABLE,4,FALSE)</f>
        <v>#VALUE!</v>
      </c>
      <c r="AA140" t="str">
        <f>CONCATENATE("M(",Q138,")=")</f>
        <v>M(  )=</v>
      </c>
      <c r="AB140" t="e">
        <f>X140+Z140</f>
        <v>#VALUE!</v>
      </c>
      <c r="AE140" s="89">
        <f>SUM(AE138:AE139)</f>
        <v>0</v>
      </c>
      <c r="AG140" s="89" t="e">
        <f>SUM(AG138:AG139)</f>
        <v>#VALUE!</v>
      </c>
      <c r="AH140" s="84" t="str">
        <f>CONCATENATE("m'(",AD139,")=")</f>
        <v>m'(  )=</v>
      </c>
      <c r="AI140" s="84" t="e">
        <f>(2*(AI137^2)/6*AG140)+(AI139*AD138*WLS)</f>
        <v>#VALUE!</v>
      </c>
      <c r="AJ140" s="84" t="str">
        <f>CONCATENATE("M(",AD138,")=")</f>
        <v>M(  )=</v>
      </c>
      <c r="AK140" s="84" t="str">
        <f>VLOOKUP(AD138,STN_TABLE,4,FALSE)</f>
        <v xml:space="preserve"> </v>
      </c>
      <c r="AL140" t="str">
        <f>CONCATENATE("M(",AD139,")=")</f>
        <v>M(  )=</v>
      </c>
      <c r="AM140" t="e">
        <f>AI140+AK140</f>
        <v>#VALUE!</v>
      </c>
      <c r="AO140" s="82" t="str">
        <f>AA140</f>
        <v>M(  )=</v>
      </c>
      <c r="AP140" s="82" t="e">
        <f>VLOOKUP(AO140,Rise_Results,2,FALSE)</f>
        <v>#N/A</v>
      </c>
      <c r="AQ140" s="82" t="e">
        <f>N140</f>
        <v>#VALUE!</v>
      </c>
      <c r="AR140" s="82" t="e">
        <f>IF(OR(AB139&lt;=0,AB140&lt;=0),1/0,AB140)</f>
        <v>#VALUE!</v>
      </c>
      <c r="AS140" s="82" t="e">
        <f>AM140</f>
        <v>#VALUE!</v>
      </c>
      <c r="AT140" t="e">
        <f>IFERROR(AP140,IFERROR(AQ140,IFERROR(AR140,AS140)))</f>
        <v>#VALUE!</v>
      </c>
      <c r="AU140" s="81"/>
    </row>
    <row r="141" spans="1:47" x14ac:dyDescent="0.25">
      <c r="A141" s="101">
        <f>A136+1</f>
        <v>20</v>
      </c>
      <c r="B141" s="101" t="str">
        <f t="shared" si="69"/>
        <v xml:space="preserve">  </v>
      </c>
      <c r="O141" s="101">
        <f>O136+1</f>
        <v>22</v>
      </c>
      <c r="P141" s="101" t="str">
        <f t="shared" si="65"/>
        <v xml:space="preserve">  </v>
      </c>
      <c r="AU141" s="81"/>
    </row>
    <row r="142" spans="1:47" x14ac:dyDescent="0.25">
      <c r="A142" s="84">
        <f>A141+1</f>
        <v>21</v>
      </c>
      <c r="B142" s="84" t="str">
        <f t="shared" si="69"/>
        <v xml:space="preserve">  </v>
      </c>
      <c r="C142" s="79" t="e">
        <f t="shared" ref="C142" si="72">IF(C143=B144,IF(C144-C143=C143-B143,B143,IF(C144-C143=C143-B142,B142,"#NA")),IF(C143=B143,IF(C144-C143=C143-B142,B142,IF(C144-C143=C143-B141,B141,"#NA")),"#NA"))</f>
        <v>#VALUE!</v>
      </c>
      <c r="D142" s="68" t="e">
        <f>VLOOKUP(C142,STN_TABLE,2,FALSE)</f>
        <v>#VALUE!</v>
      </c>
      <c r="E142" s="102">
        <v>1</v>
      </c>
      <c r="F142" s="68" t="e">
        <f>D142*E142</f>
        <v>#VALUE!</v>
      </c>
      <c r="G142" s="69" t="e">
        <f>C142</f>
        <v>#VALUE!</v>
      </c>
      <c r="H142" s="69" t="e">
        <f>F142*G142</f>
        <v>#VALUE!</v>
      </c>
      <c r="I142" s="6" t="s">
        <v>93</v>
      </c>
      <c r="J142" s="70" t="e">
        <f>IF(OR(D142=0,D143=0,D144=0),"#NA",IF(AND(C144-C143=C143-C142,C143&lt;&gt;C144,C142&lt;&gt;C143,C142&lt;&gt;C144,D144&lt;&gt;0,OR(D142&lt;&gt;0,D143&lt;&gt;0)),WLS*(C144-C143),"#NA"))</f>
        <v>#VALUE!</v>
      </c>
      <c r="O142" s="99">
        <f>O141+1</f>
        <v>23</v>
      </c>
      <c r="P142" s="99" t="str">
        <f t="shared" si="65"/>
        <v xml:space="preserve">  </v>
      </c>
      <c r="Q142" s="68" t="e">
        <f>IF(OR(P144-P143=P143-P142,P145-P143=P143-P142),P142,IF(OR(P144-P143=P143-P141,P145-P143=P143-P141),P141,"-"))</f>
        <v>#VALUE!</v>
      </c>
      <c r="R142" s="69" t="e">
        <f>VLOOKUP(Q142,STN_TABLE,2,FALSE)</f>
        <v>#VALUE!</v>
      </c>
      <c r="S142" s="69">
        <v>5</v>
      </c>
      <c r="T142" s="68" t="e">
        <f>R142*S142</f>
        <v>#VALUE!</v>
      </c>
      <c r="U142" s="79">
        <v>3</v>
      </c>
      <c r="V142" s="68" t="e">
        <f>R142*U142</f>
        <v>#VALUE!</v>
      </c>
      <c r="W142" s="6" t="s">
        <v>93</v>
      </c>
      <c r="X142" s="70" t="e">
        <f>IF(AND(Q144-Q143=Q143-Q142,NOT(AND(Q142=0,Q143=0)),NOT(AND(Q143=0,Q144=0))),WLS*(Q144-Q143),"#NA")</f>
        <v>#VALUE!</v>
      </c>
      <c r="AD142" s="93"/>
      <c r="AH142" s="6" t="s">
        <v>93</v>
      </c>
      <c r="AI142" s="70" t="e">
        <f>WLS*(AD144-AD143)</f>
        <v>#VALUE!</v>
      </c>
      <c r="AU142" s="81"/>
    </row>
    <row r="143" spans="1:47" x14ac:dyDescent="0.25">
      <c r="A143" s="84">
        <f>A142+1</f>
        <v>22</v>
      </c>
      <c r="B143" s="84" t="str">
        <f t="shared" si="69"/>
        <v xml:space="preserve">  </v>
      </c>
      <c r="C143" s="80" t="e">
        <f t="shared" ref="C143" si="73">IF(OR(B145-B144=B144-B143,B145-B144=B144-B142,B145-B144=B144-B141),B144,IF(OR(B145-B143=B143-B142,B145-B143=B143-B141),B143,IF(B145-B142=B142-B141,B142,"#NA")))</f>
        <v>#VALUE!</v>
      </c>
      <c r="D143" s="76" t="e">
        <f>VLOOKUP(C143,STN_TABLE,2,FALSE)</f>
        <v>#VALUE!</v>
      </c>
      <c r="E143" s="81">
        <v>4</v>
      </c>
      <c r="F143" s="76" t="e">
        <f>D143*E143</f>
        <v>#VALUE!</v>
      </c>
      <c r="G143" s="77" t="e">
        <f>C143</f>
        <v>#VALUE!</v>
      </c>
      <c r="H143" s="77" t="e">
        <f>F143*G143</f>
        <v>#VALUE!</v>
      </c>
      <c r="I143" s="495" t="s">
        <v>97</v>
      </c>
      <c r="J143" s="496"/>
      <c r="K143" s="78" t="s">
        <v>98</v>
      </c>
      <c r="L143" s="78"/>
      <c r="M143" s="7" t="s">
        <v>99</v>
      </c>
      <c r="N143" s="7"/>
      <c r="O143" s="99">
        <f>O142+1</f>
        <v>24</v>
      </c>
      <c r="P143" s="99" t="str">
        <f t="shared" si="65"/>
        <v xml:space="preserve">  </v>
      </c>
      <c r="Q143" s="76" t="str">
        <f>P143</f>
        <v xml:space="preserve">  </v>
      </c>
      <c r="R143" s="77" t="str">
        <f>VLOOKUP(Q143,STN_TABLE,2,FALSE)</f>
        <v xml:space="preserve">  </v>
      </c>
      <c r="S143" s="77">
        <v>8</v>
      </c>
      <c r="T143" s="76" t="e">
        <f>R143*S143</f>
        <v>#VALUE!</v>
      </c>
      <c r="U143" s="80">
        <v>10</v>
      </c>
      <c r="V143" s="76" t="e">
        <f>R143*U143</f>
        <v>#VALUE!</v>
      </c>
      <c r="W143" s="496" t="s">
        <v>97</v>
      </c>
      <c r="X143" s="496"/>
      <c r="Y143" s="496" t="s">
        <v>98</v>
      </c>
      <c r="Z143" s="496"/>
      <c r="AA143" s="494" t="s">
        <v>99</v>
      </c>
      <c r="AB143" s="494"/>
      <c r="AC143" s="99">
        <f>AC138+1</f>
        <v>23</v>
      </c>
      <c r="AD143" s="95" t="str">
        <f>VLOOKUP(AC143,STN_TABLE_2,2,FALSE)</f>
        <v xml:space="preserve">  </v>
      </c>
      <c r="AE143" s="68" t="str">
        <f>VLOOKUP(AD143,STN_TABLE,2,FALSE)</f>
        <v xml:space="preserve">  </v>
      </c>
      <c r="AF143" s="68">
        <v>1</v>
      </c>
      <c r="AG143" s="69" t="e">
        <f>AE143*AF143</f>
        <v>#VALUE!</v>
      </c>
      <c r="AH143" s="496" t="s">
        <v>97</v>
      </c>
      <c r="AI143" s="496"/>
      <c r="AJ143" s="496" t="s">
        <v>98</v>
      </c>
      <c r="AK143" s="496"/>
      <c r="AL143" s="494" t="s">
        <v>99</v>
      </c>
      <c r="AM143" s="494"/>
      <c r="AP143" s="86" t="s">
        <v>112</v>
      </c>
      <c r="AQ143" s="89" t="s">
        <v>113</v>
      </c>
      <c r="AR143" s="89" t="s">
        <v>114</v>
      </c>
      <c r="AS143" s="89" t="s">
        <v>115</v>
      </c>
      <c r="AU143" s="81"/>
    </row>
    <row r="144" spans="1:47" x14ac:dyDescent="0.25">
      <c r="A144" s="84">
        <f>A143+1</f>
        <v>23</v>
      </c>
      <c r="B144" s="84" t="str">
        <f t="shared" si="69"/>
        <v xml:space="preserve">  </v>
      </c>
      <c r="C144" s="88" t="str">
        <f t="shared" ref="C144" si="74">B145</f>
        <v xml:space="preserve">  </v>
      </c>
      <c r="D144" s="82" t="str">
        <f>VLOOKUP(C144,STN_TABLE,2,FALSE)</f>
        <v xml:space="preserve">  </v>
      </c>
      <c r="E144" s="92">
        <v>1</v>
      </c>
      <c r="F144" s="82" t="e">
        <f>D144*E144</f>
        <v>#VALUE!</v>
      </c>
      <c r="G144" s="83" t="str">
        <f>C144</f>
        <v xml:space="preserve">  </v>
      </c>
      <c r="H144" s="83" t="e">
        <f>F144*G144</f>
        <v>#VALUE!</v>
      </c>
      <c r="I144" s="84" t="str">
        <f>CONCATENATE("a'(",C144,")=")</f>
        <v>a'(  )=</v>
      </c>
      <c r="J144" s="84" t="e">
        <f>2*J142/3*F145</f>
        <v>#VALUE!</v>
      </c>
      <c r="K144" s="84" t="e">
        <f>CONCATENATE("A(",C142,")=")</f>
        <v>#VALUE!</v>
      </c>
      <c r="L144" s="84" t="e">
        <f>VLOOKUP(C142,STN_TABLE,3,FALSE)</f>
        <v>#VALUE!</v>
      </c>
      <c r="M144" t="str">
        <f>CONCATENATE("A(",C144,")=")</f>
        <v>A(  )=</v>
      </c>
      <c r="N144" t="e">
        <f>J144+L144</f>
        <v>#VALUE!</v>
      </c>
      <c r="O144" s="99">
        <f>O143+1</f>
        <v>25</v>
      </c>
      <c r="P144" s="99" t="str">
        <f t="shared" si="65"/>
        <v xml:space="preserve">  </v>
      </c>
      <c r="Q144" s="82" t="e">
        <f>IF(P144-P143=P143-P142,P144,IF(P145-P143=P143-P142,P145,IF(P144-P143=P143-P141,P144,IF(P145-P143=P143-P141,P145,"-"))))</f>
        <v>#VALUE!</v>
      </c>
      <c r="R144" s="83" t="e">
        <f>VLOOKUP(Q144,STN_TABLE,2,FALSE)</f>
        <v>#VALUE!</v>
      </c>
      <c r="S144" s="83">
        <v>-1</v>
      </c>
      <c r="T144" s="82" t="e">
        <f>R144*S144</f>
        <v>#VALUE!</v>
      </c>
      <c r="U144" s="88">
        <v>-1</v>
      </c>
      <c r="V144" s="82" t="e">
        <f>R144*U144</f>
        <v>#VALUE!</v>
      </c>
      <c r="W144" s="84" t="str">
        <f>CONCATENATE("a'(",Q143,")=")</f>
        <v>a'(  )=</v>
      </c>
      <c r="X144" s="84" t="e">
        <f>2*X142/12*T145</f>
        <v>#VALUE!</v>
      </c>
      <c r="Y144" s="84" t="e">
        <f>CONCATENATE("A(",Q142,")=")</f>
        <v>#VALUE!</v>
      </c>
      <c r="Z144" s="84" t="e">
        <f>VLOOKUP(Q142,STN_TABLE,3,FALSE)</f>
        <v>#VALUE!</v>
      </c>
      <c r="AA144" t="str">
        <f>CONCATENATE("A(",Q143,")=")</f>
        <v>A(  )=</v>
      </c>
      <c r="AB144" t="e">
        <f>X144+Z144</f>
        <v>#VALUE!</v>
      </c>
      <c r="AC144" s="99">
        <f>AC143+1</f>
        <v>24</v>
      </c>
      <c r="AD144" s="100" t="str">
        <f>VLOOKUP(AC144,STN_TABLE_2,2,FALSE)</f>
        <v xml:space="preserve">  </v>
      </c>
      <c r="AE144" s="82" t="str">
        <f>VLOOKUP(AD144,STN_TABLE,2,FALSE)</f>
        <v xml:space="preserve">  </v>
      </c>
      <c r="AF144" s="82">
        <v>2</v>
      </c>
      <c r="AG144" s="83" t="e">
        <f>AE144*AF144</f>
        <v>#VALUE!</v>
      </c>
      <c r="AH144" s="84" t="str">
        <f>CONCATENATE("a'(",AD144,")=")</f>
        <v>a'(  )=</v>
      </c>
      <c r="AI144" s="84" t="e">
        <f>2*AI142/2*AE145</f>
        <v>#VALUE!</v>
      </c>
      <c r="AJ144" s="84" t="str">
        <f>CONCATENATE("A(",AD143,")=")</f>
        <v>A(  )=</v>
      </c>
      <c r="AK144" s="84" t="str">
        <f>VLOOKUP(AD143,STN_TABLE,3,FALSE)</f>
        <v xml:space="preserve"> </v>
      </c>
      <c r="AL144" t="str">
        <f>CONCATENATE("A(",AD144,")=")</f>
        <v>A(  )=</v>
      </c>
      <c r="AM144" t="e">
        <f>AI144+AK144</f>
        <v>#VALUE!</v>
      </c>
      <c r="AO144" s="68" t="str">
        <f>AA144</f>
        <v>A(  )=</v>
      </c>
      <c r="AP144" s="68" t="e">
        <f>VLOOKUP(AO144,Rise_Results,2,FALSE)</f>
        <v>#N/A</v>
      </c>
      <c r="AQ144" s="76" t="e">
        <f>N144</f>
        <v>#VALUE!</v>
      </c>
      <c r="AR144" s="76" t="e">
        <f>IF(OR(AB144&lt;=0,AB145&lt;=0),1/0,AB144)</f>
        <v>#VALUE!</v>
      </c>
      <c r="AS144" s="76" t="e">
        <f>AM144</f>
        <v>#VALUE!</v>
      </c>
      <c r="AT144" t="e">
        <f>IFERROR(AP144,IFERROR(AQ144,IFERROR(AR144,AS144)))</f>
        <v>#VALUE!</v>
      </c>
      <c r="AU144" s="81"/>
    </row>
    <row r="145" spans="1:47" x14ac:dyDescent="0.25">
      <c r="A145" s="84">
        <f>A144+1</f>
        <v>24</v>
      </c>
      <c r="B145" s="84" t="str">
        <f t="shared" si="69"/>
        <v xml:space="preserve">  </v>
      </c>
      <c r="F145" s="82" t="e">
        <f>SUM(F142:F144)</f>
        <v>#VALUE!</v>
      </c>
      <c r="H145" s="82" t="e">
        <f>SUM(H142:H144)</f>
        <v>#VALUE!</v>
      </c>
      <c r="I145" s="84" t="str">
        <f>CONCATENATE("m'(",C144,")=")</f>
        <v>m'(  )=</v>
      </c>
      <c r="J145" s="84" t="e">
        <f>2*(J142*(WLS))/3*H145</f>
        <v>#VALUE!</v>
      </c>
      <c r="K145" s="84" t="e">
        <f>CONCATENATE("M(",C142,")=")</f>
        <v>#VALUE!</v>
      </c>
      <c r="L145" s="84" t="e">
        <f>VLOOKUP(C142,STN_TABLE,4,FALSE)</f>
        <v>#VALUE!</v>
      </c>
      <c r="M145" t="str">
        <f>CONCATENATE("M(",C144,")=")</f>
        <v>M(  )=</v>
      </c>
      <c r="N145" t="e">
        <f>J145+L145</f>
        <v>#VALUE!</v>
      </c>
      <c r="O145" s="99">
        <f>O144+1</f>
        <v>26</v>
      </c>
      <c r="P145" s="99" t="e">
        <f t="shared" si="65"/>
        <v>#N/A</v>
      </c>
      <c r="T145" s="89" t="e">
        <f>SUM(T142:T144)</f>
        <v>#VALUE!</v>
      </c>
      <c r="V145" s="82" t="e">
        <f>SUM(V142:V144)</f>
        <v>#VALUE!</v>
      </c>
      <c r="W145" s="84" t="str">
        <f>CONCATENATE("m'(",Q143,")=")</f>
        <v>m'(  )=</v>
      </c>
      <c r="X145" s="84" t="e">
        <f>(2*(X142^2)/24*V145)+(X144*Q142*WLS)</f>
        <v>#VALUE!</v>
      </c>
      <c r="Y145" s="84" t="e">
        <f>CONCATENATE("M(",Q142,")=")</f>
        <v>#VALUE!</v>
      </c>
      <c r="Z145" s="84" t="e">
        <f>VLOOKUP(Q142,STN_TABLE,4,FALSE)</f>
        <v>#VALUE!</v>
      </c>
      <c r="AA145" t="str">
        <f>CONCATENATE("M(",Q143,")=")</f>
        <v>M(  )=</v>
      </c>
      <c r="AB145" t="e">
        <f>X145+Z145</f>
        <v>#VALUE!</v>
      </c>
      <c r="AE145" s="89">
        <f>SUM(AE143:AE144)</f>
        <v>0</v>
      </c>
      <c r="AG145" s="89" t="e">
        <f>SUM(AG143:AG144)</f>
        <v>#VALUE!</v>
      </c>
      <c r="AH145" s="84" t="str">
        <f>CONCATENATE("m'(",AD144,")=")</f>
        <v>m'(  )=</v>
      </c>
      <c r="AI145" s="84" t="e">
        <f>(2*(AI142^2)/6*AG145)+(AI144*AD143*WLS)</f>
        <v>#VALUE!</v>
      </c>
      <c r="AJ145" s="84" t="str">
        <f>CONCATENATE("M(",AD143,")=")</f>
        <v>M(  )=</v>
      </c>
      <c r="AK145" s="84" t="str">
        <f>VLOOKUP(AD143,STN_TABLE,4,FALSE)</f>
        <v xml:space="preserve"> </v>
      </c>
      <c r="AL145" t="str">
        <f>CONCATENATE("M(",AD144,")=")</f>
        <v>M(  )=</v>
      </c>
      <c r="AM145" t="e">
        <f>AI145+AK145</f>
        <v>#VALUE!</v>
      </c>
      <c r="AO145" s="82" t="str">
        <f>AA145</f>
        <v>M(  )=</v>
      </c>
      <c r="AP145" s="82" t="e">
        <f>VLOOKUP(AO145,Rise_Results,2,FALSE)</f>
        <v>#N/A</v>
      </c>
      <c r="AQ145" s="82" t="e">
        <f>N145</f>
        <v>#VALUE!</v>
      </c>
      <c r="AR145" s="82" t="e">
        <f>IF(OR(AB144&lt;=0,AB145&lt;=0),1/0,AB145)</f>
        <v>#VALUE!</v>
      </c>
      <c r="AS145" s="82" t="e">
        <f>AM145</f>
        <v>#VALUE!</v>
      </c>
      <c r="AT145" t="e">
        <f>IFERROR(AP145,IFERROR(AQ145,IFERROR(AR145,AS145)))</f>
        <v>#VALUE!</v>
      </c>
      <c r="AU145" s="81"/>
    </row>
    <row r="146" spans="1:47" x14ac:dyDescent="0.25">
      <c r="A146" s="101">
        <f>A141+1</f>
        <v>21</v>
      </c>
      <c r="B146" s="101" t="str">
        <f t="shared" si="69"/>
        <v xml:space="preserve">  </v>
      </c>
      <c r="O146" s="101">
        <f>O141+1</f>
        <v>23</v>
      </c>
      <c r="P146" s="101" t="str">
        <f t="shared" si="65"/>
        <v xml:space="preserve">  </v>
      </c>
      <c r="AU146" s="81"/>
    </row>
    <row r="147" spans="1:47" x14ac:dyDescent="0.25">
      <c r="A147" s="84">
        <f>A146+1</f>
        <v>22</v>
      </c>
      <c r="B147" s="84" t="str">
        <f t="shared" si="69"/>
        <v xml:space="preserve">  </v>
      </c>
      <c r="C147" s="79" t="e">
        <f t="shared" ref="C147" si="75">IF(C148=B149,IF(C149-C148=C148-B148,B148,IF(C149-C148=C148-B147,B147,"#NA")),IF(C148=B148,IF(C149-C148=C148-B147,B147,IF(C149-C148=C148-B146,B146,"#NA")),"#NA"))</f>
        <v>#VALUE!</v>
      </c>
      <c r="D147" s="68" t="e">
        <f>VLOOKUP(C147,STN_TABLE,2,FALSE)</f>
        <v>#VALUE!</v>
      </c>
      <c r="E147" s="102">
        <v>1</v>
      </c>
      <c r="F147" s="68" t="e">
        <f>D147*E147</f>
        <v>#VALUE!</v>
      </c>
      <c r="G147" s="69" t="e">
        <f>C147</f>
        <v>#VALUE!</v>
      </c>
      <c r="H147" s="69" t="e">
        <f>F147*G147</f>
        <v>#VALUE!</v>
      </c>
      <c r="I147" s="6" t="s">
        <v>93</v>
      </c>
      <c r="J147" s="70" t="e">
        <f>IF(OR(D147=0,D148=0,D149=0),"#NA",IF(AND(C149-C148=C148-C147,C148&lt;&gt;C149,C147&lt;&gt;C148,C147&lt;&gt;C149,D149&lt;&gt;0,OR(D147&lt;&gt;0,D148&lt;&gt;0)),WLS*(C149-C148),"#NA"))</f>
        <v>#VALUE!</v>
      </c>
      <c r="O147" s="99">
        <f>O146+1</f>
        <v>24</v>
      </c>
      <c r="P147" s="99" t="str">
        <f t="shared" si="65"/>
        <v xml:space="preserve">  </v>
      </c>
      <c r="Q147" s="68" t="e">
        <f>IF(OR(P149-P148=P148-P147,P150-P148=P148-P147),P147,IF(OR(P149-P148=P148-P146,P150-P148=P148-P146),P146,"-"))</f>
        <v>#N/A</v>
      </c>
      <c r="R147" s="69" t="e">
        <f>VLOOKUP(Q147,STN_TABLE,2,FALSE)</f>
        <v>#N/A</v>
      </c>
      <c r="S147" s="69">
        <v>5</v>
      </c>
      <c r="T147" s="68" t="e">
        <f>R147*S147</f>
        <v>#N/A</v>
      </c>
      <c r="U147" s="79">
        <v>3</v>
      </c>
      <c r="V147" s="68" t="e">
        <f>R147*U147</f>
        <v>#N/A</v>
      </c>
      <c r="W147" s="6" t="s">
        <v>93</v>
      </c>
      <c r="X147" s="70" t="e">
        <f>IF(AND(Q149-Q148=Q148-Q147,NOT(AND(Q147=0,Q148=0)),NOT(AND(Q148=0,Q149=0))),WLS*(Q149-Q148),"#NA")</f>
        <v>#N/A</v>
      </c>
      <c r="AD147" s="93"/>
      <c r="AH147" s="6" t="s">
        <v>93</v>
      </c>
      <c r="AI147" s="70" t="e">
        <f>WLS*(AD149-AD148)</f>
        <v>#VALUE!</v>
      </c>
      <c r="AU147" s="81"/>
    </row>
    <row r="148" spans="1:47" x14ac:dyDescent="0.25">
      <c r="A148" s="84">
        <f>A147+1</f>
        <v>23</v>
      </c>
      <c r="B148" s="84" t="str">
        <f t="shared" si="69"/>
        <v xml:space="preserve">  </v>
      </c>
      <c r="C148" s="80" t="e">
        <f t="shared" ref="C148" si="76">IF(OR(B150-B149=B149-B148,B150-B149=B149-B147,B150-B149=B149-B146),B149,IF(OR(B150-B148=B148-B147,B150-B148=B148-B146),B148,IF(B150-B147=B147-B146,B147,"#NA")))</f>
        <v>#VALUE!</v>
      </c>
      <c r="D148" s="76" t="e">
        <f>VLOOKUP(C148,STN_TABLE,2,FALSE)</f>
        <v>#VALUE!</v>
      </c>
      <c r="E148" s="81">
        <v>4</v>
      </c>
      <c r="F148" s="76" t="e">
        <f>D148*E148</f>
        <v>#VALUE!</v>
      </c>
      <c r="G148" s="77" t="e">
        <f>C148</f>
        <v>#VALUE!</v>
      </c>
      <c r="H148" s="77" t="e">
        <f>F148*G148</f>
        <v>#VALUE!</v>
      </c>
      <c r="I148" s="495" t="s">
        <v>97</v>
      </c>
      <c r="J148" s="496"/>
      <c r="K148" s="78" t="s">
        <v>98</v>
      </c>
      <c r="L148" s="78"/>
      <c r="M148" s="7" t="s">
        <v>99</v>
      </c>
      <c r="N148" s="7"/>
      <c r="O148" s="99">
        <f>O147+1</f>
        <v>25</v>
      </c>
      <c r="P148" s="99" t="str">
        <f t="shared" si="65"/>
        <v xml:space="preserve">  </v>
      </c>
      <c r="Q148" s="76" t="str">
        <f>P148</f>
        <v xml:space="preserve">  </v>
      </c>
      <c r="R148" s="77" t="str">
        <f>VLOOKUP(Q148,STN_TABLE,2,FALSE)</f>
        <v xml:space="preserve">  </v>
      </c>
      <c r="S148" s="77">
        <v>8</v>
      </c>
      <c r="T148" s="76" t="e">
        <f>R148*S148</f>
        <v>#VALUE!</v>
      </c>
      <c r="U148" s="80">
        <v>10</v>
      </c>
      <c r="V148" s="76" t="e">
        <f>R148*U148</f>
        <v>#VALUE!</v>
      </c>
      <c r="W148" s="496" t="s">
        <v>97</v>
      </c>
      <c r="X148" s="496"/>
      <c r="Y148" s="496" t="s">
        <v>98</v>
      </c>
      <c r="Z148" s="496"/>
      <c r="AA148" s="494" t="s">
        <v>99</v>
      </c>
      <c r="AB148" s="494"/>
      <c r="AC148" s="99">
        <f>AC143+1</f>
        <v>24</v>
      </c>
      <c r="AD148" s="95" t="str">
        <f>VLOOKUP(AC148,STN_TABLE_2,2,FALSE)</f>
        <v xml:space="preserve">  </v>
      </c>
      <c r="AE148" s="68" t="str">
        <f>VLOOKUP(AD148,STN_TABLE,2,FALSE)</f>
        <v xml:space="preserve">  </v>
      </c>
      <c r="AF148" s="68">
        <v>1</v>
      </c>
      <c r="AG148" s="69" t="e">
        <f>AE148*AF148</f>
        <v>#VALUE!</v>
      </c>
      <c r="AH148" s="496" t="s">
        <v>97</v>
      </c>
      <c r="AI148" s="496"/>
      <c r="AJ148" s="496" t="s">
        <v>98</v>
      </c>
      <c r="AK148" s="496"/>
      <c r="AL148" s="494" t="s">
        <v>99</v>
      </c>
      <c r="AM148" s="494"/>
      <c r="AP148" s="86" t="s">
        <v>112</v>
      </c>
      <c r="AQ148" s="89" t="s">
        <v>113</v>
      </c>
      <c r="AR148" s="89" t="s">
        <v>114</v>
      </c>
      <c r="AS148" s="89" t="s">
        <v>115</v>
      </c>
      <c r="AU148" s="81"/>
    </row>
    <row r="149" spans="1:47" x14ac:dyDescent="0.25">
      <c r="A149" s="84">
        <f>A148+1</f>
        <v>24</v>
      </c>
      <c r="B149" s="84" t="str">
        <f t="shared" si="69"/>
        <v xml:space="preserve">  </v>
      </c>
      <c r="C149" s="88" t="str">
        <f t="shared" ref="C149" si="77">B150</f>
        <v xml:space="preserve">  </v>
      </c>
      <c r="D149" s="82" t="str">
        <f>VLOOKUP(C149,STN_TABLE,2,FALSE)</f>
        <v xml:space="preserve">  </v>
      </c>
      <c r="E149" s="92">
        <v>1</v>
      </c>
      <c r="F149" s="82" t="e">
        <f>D149*E149</f>
        <v>#VALUE!</v>
      </c>
      <c r="G149" s="83" t="str">
        <f>C149</f>
        <v xml:space="preserve">  </v>
      </c>
      <c r="H149" s="83" t="e">
        <f>F149*G149</f>
        <v>#VALUE!</v>
      </c>
      <c r="I149" s="84" t="str">
        <f>CONCATENATE("a'(",C149,")=")</f>
        <v>a'(  )=</v>
      </c>
      <c r="J149" s="84" t="e">
        <f>2*J147/3*F150</f>
        <v>#VALUE!</v>
      </c>
      <c r="K149" s="84" t="e">
        <f>CONCATENATE("A(",C147,")=")</f>
        <v>#VALUE!</v>
      </c>
      <c r="L149" s="84" t="e">
        <f>VLOOKUP(C147,STN_TABLE,3,FALSE)</f>
        <v>#VALUE!</v>
      </c>
      <c r="M149" t="str">
        <f>CONCATENATE("A(",C149,")=")</f>
        <v>A(  )=</v>
      </c>
      <c r="N149" t="e">
        <f>J149+L149</f>
        <v>#VALUE!</v>
      </c>
      <c r="O149" s="99">
        <f>O148+1</f>
        <v>26</v>
      </c>
      <c r="P149" s="99" t="e">
        <f t="shared" si="65"/>
        <v>#N/A</v>
      </c>
      <c r="Q149" s="82" t="e">
        <f>IF(P149-P148=P148-P147,P149,IF(P150-P148=P148-P147,P150,IF(P149-P148=P148-P146,P149,IF(P150-P148=P148-P146,P150,"-"))))</f>
        <v>#N/A</v>
      </c>
      <c r="R149" s="83" t="e">
        <f>VLOOKUP(Q149,STN_TABLE,2,FALSE)</f>
        <v>#N/A</v>
      </c>
      <c r="S149" s="83">
        <v>-1</v>
      </c>
      <c r="T149" s="82" t="e">
        <f>R149*S149</f>
        <v>#N/A</v>
      </c>
      <c r="U149" s="88">
        <v>-1</v>
      </c>
      <c r="V149" s="82" t="e">
        <f>R149*U149</f>
        <v>#N/A</v>
      </c>
      <c r="W149" s="84" t="str">
        <f>CONCATENATE("a'(",Q148,")=")</f>
        <v>a'(  )=</v>
      </c>
      <c r="X149" s="84" t="e">
        <f>2*X147/12*T150</f>
        <v>#N/A</v>
      </c>
      <c r="Y149" s="84" t="e">
        <f>CONCATENATE("A(",Q147,")=")</f>
        <v>#N/A</v>
      </c>
      <c r="Z149" s="84" t="e">
        <f>VLOOKUP(Q147,STN_TABLE,3,FALSE)</f>
        <v>#N/A</v>
      </c>
      <c r="AA149" t="str">
        <f>CONCATENATE("A(",Q148,")=")</f>
        <v>A(  )=</v>
      </c>
      <c r="AB149" t="e">
        <f>X149+Z149</f>
        <v>#N/A</v>
      </c>
      <c r="AC149" s="99">
        <f>AC148+1</f>
        <v>25</v>
      </c>
      <c r="AD149" s="100" t="str">
        <f>VLOOKUP(AC149,STN_TABLE_2,2,FALSE)</f>
        <v xml:space="preserve">  </v>
      </c>
      <c r="AE149" s="82" t="str">
        <f>VLOOKUP(AD149,STN_TABLE,2,FALSE)</f>
        <v xml:space="preserve">  </v>
      </c>
      <c r="AF149" s="82">
        <v>2</v>
      </c>
      <c r="AG149" s="83" t="e">
        <f>AE149*AF149</f>
        <v>#VALUE!</v>
      </c>
      <c r="AH149" s="84" t="str">
        <f>CONCATENATE("a'(",AD149,")=")</f>
        <v>a'(  )=</v>
      </c>
      <c r="AI149" s="84" t="e">
        <f>2*AI147/2*AE150</f>
        <v>#VALUE!</v>
      </c>
      <c r="AJ149" s="84" t="str">
        <f>CONCATENATE("A(",AD148,")=")</f>
        <v>A(  )=</v>
      </c>
      <c r="AK149" s="84" t="str">
        <f>VLOOKUP(AD148,STN_TABLE,3,FALSE)</f>
        <v xml:space="preserve"> </v>
      </c>
      <c r="AL149" t="str">
        <f>CONCATENATE("A(",AD149,")=")</f>
        <v>A(  )=</v>
      </c>
      <c r="AM149" t="e">
        <f>AI149+AK149</f>
        <v>#VALUE!</v>
      </c>
      <c r="AO149" s="68" t="str">
        <f>AA149</f>
        <v>A(  )=</v>
      </c>
      <c r="AP149" s="68" t="e">
        <f>VLOOKUP(AO149,Rise_Results,2,FALSE)</f>
        <v>#N/A</v>
      </c>
      <c r="AQ149" s="76" t="e">
        <f>N149</f>
        <v>#VALUE!</v>
      </c>
      <c r="AR149" s="76" t="e">
        <f>IF(OR(AB149&lt;=0,AB150&lt;=0),1/0,AB149)</f>
        <v>#N/A</v>
      </c>
      <c r="AS149" s="76" t="e">
        <f>AM149</f>
        <v>#VALUE!</v>
      </c>
      <c r="AT149" t="e">
        <f>IFERROR(AP149,IFERROR(AQ149,IFERROR(AR149,AS149)))</f>
        <v>#VALUE!</v>
      </c>
      <c r="AU149" s="81"/>
    </row>
    <row r="150" spans="1:47" x14ac:dyDescent="0.25">
      <c r="A150" s="84">
        <f>A149+1</f>
        <v>25</v>
      </c>
      <c r="B150" s="84" t="str">
        <f t="shared" si="69"/>
        <v xml:space="preserve">  </v>
      </c>
      <c r="F150" s="82" t="e">
        <f>SUM(F147:F149)</f>
        <v>#VALUE!</v>
      </c>
      <c r="H150" s="82" t="e">
        <f>SUM(H147:H149)</f>
        <v>#VALUE!</v>
      </c>
      <c r="I150" s="84" t="str">
        <f>CONCATENATE("m'(",C149,")=")</f>
        <v>m'(  )=</v>
      </c>
      <c r="J150" s="84" t="e">
        <f>2*(J147*(WLS))/3*H150</f>
        <v>#VALUE!</v>
      </c>
      <c r="K150" s="84" t="e">
        <f>CONCATENATE("M(",C147,")=")</f>
        <v>#VALUE!</v>
      </c>
      <c r="L150" s="84" t="e">
        <f>VLOOKUP(C147,STN_TABLE,4,FALSE)</f>
        <v>#VALUE!</v>
      </c>
      <c r="M150" t="str">
        <f>CONCATENATE("M(",C149,")=")</f>
        <v>M(  )=</v>
      </c>
      <c r="N150" t="e">
        <f>J150+L150</f>
        <v>#VALUE!</v>
      </c>
      <c r="O150" s="99">
        <f>O149+1</f>
        <v>27</v>
      </c>
      <c r="P150" s="99" t="e">
        <f t="shared" si="65"/>
        <v>#N/A</v>
      </c>
      <c r="T150" s="89" t="e">
        <f>SUM(T147:T149)</f>
        <v>#N/A</v>
      </c>
      <c r="V150" s="82" t="e">
        <f>SUM(V147:V149)</f>
        <v>#N/A</v>
      </c>
      <c r="W150" s="84" t="str">
        <f>CONCATENATE("m'(",Q148,")=")</f>
        <v>m'(  )=</v>
      </c>
      <c r="X150" s="84" t="e">
        <f>(2*(X147^2)/24*V150)+(X149*Q147*WLS)</f>
        <v>#N/A</v>
      </c>
      <c r="Y150" s="84" t="e">
        <f>CONCATENATE("M(",Q147,")=")</f>
        <v>#N/A</v>
      </c>
      <c r="Z150" s="84" t="e">
        <f>VLOOKUP(Q147,STN_TABLE,4,FALSE)</f>
        <v>#N/A</v>
      </c>
      <c r="AA150" t="str">
        <f>CONCATENATE("M(",Q148,")=")</f>
        <v>M(  )=</v>
      </c>
      <c r="AB150" t="e">
        <f>X150+Z150</f>
        <v>#N/A</v>
      </c>
      <c r="AE150" s="89">
        <f>SUM(AE148:AE149)</f>
        <v>0</v>
      </c>
      <c r="AG150" s="89" t="e">
        <f>SUM(AG148:AG149)</f>
        <v>#VALUE!</v>
      </c>
      <c r="AH150" s="84" t="str">
        <f>CONCATENATE("m'(",AD149,")=")</f>
        <v>m'(  )=</v>
      </c>
      <c r="AI150" s="84" t="e">
        <f>(2*(AI147^2)/6*AG150)+(AI149*AD148*WLS)</f>
        <v>#VALUE!</v>
      </c>
      <c r="AJ150" s="84" t="str">
        <f>CONCATENATE("M(",AD148,")=")</f>
        <v>M(  )=</v>
      </c>
      <c r="AK150" s="84" t="str">
        <f>VLOOKUP(AD148,STN_TABLE,4,FALSE)</f>
        <v xml:space="preserve"> </v>
      </c>
      <c r="AL150" t="str">
        <f>CONCATENATE("M(",AD149,")=")</f>
        <v>M(  )=</v>
      </c>
      <c r="AM150" t="e">
        <f>AI150+AK150</f>
        <v>#VALUE!</v>
      </c>
      <c r="AO150" s="82" t="str">
        <f>AA150</f>
        <v>M(  )=</v>
      </c>
      <c r="AP150" s="82" t="e">
        <f>VLOOKUP(AO150,Rise_Results,2,FALSE)</f>
        <v>#N/A</v>
      </c>
      <c r="AQ150" s="82" t="e">
        <f>N150</f>
        <v>#VALUE!</v>
      </c>
      <c r="AR150" s="82" t="e">
        <f>IF(OR(AB149&lt;=0,AB150&lt;=0),1/0,AB150)</f>
        <v>#N/A</v>
      </c>
      <c r="AS150" s="82" t="e">
        <f>AM150</f>
        <v>#VALUE!</v>
      </c>
      <c r="AT150" t="e">
        <f>IFERROR(AP150,IFERROR(AQ150,IFERROR(AR150,AS150)))</f>
        <v>#VALUE!</v>
      </c>
      <c r="AU150" s="81"/>
    </row>
    <row r="151" spans="1:47" x14ac:dyDescent="0.25">
      <c r="A151" s="101"/>
      <c r="B151" s="101"/>
      <c r="AU151" s="81"/>
    </row>
    <row r="152" spans="1:47" x14ac:dyDescent="0.25">
      <c r="A152" s="84"/>
      <c r="B152" s="84"/>
      <c r="E152" s="81"/>
      <c r="F152" s="81"/>
      <c r="G152" s="81"/>
      <c r="H152" s="81"/>
      <c r="I152" s="103"/>
      <c r="J152" s="70"/>
      <c r="AU152" s="81"/>
    </row>
    <row r="153" spans="1:47" x14ac:dyDescent="0.25">
      <c r="A153" s="84"/>
      <c r="B153" s="84"/>
      <c r="E153" s="81"/>
      <c r="F153" s="81"/>
      <c r="G153" s="81"/>
      <c r="H153" s="81"/>
      <c r="I153" s="104"/>
      <c r="J153" s="78"/>
      <c r="K153" s="78"/>
      <c r="L153" s="78"/>
      <c r="M153" s="7"/>
      <c r="N153" s="7"/>
      <c r="AO153" s="81"/>
      <c r="AP153" s="81"/>
      <c r="AQ153" s="81"/>
      <c r="AR153" s="81"/>
      <c r="AS153" s="81"/>
      <c r="AT153" s="81"/>
      <c r="AU153" s="81"/>
    </row>
    <row r="154" spans="1:47" x14ac:dyDescent="0.25">
      <c r="A154" s="84"/>
      <c r="B154" s="84"/>
      <c r="E154" s="81"/>
      <c r="F154" s="81"/>
      <c r="G154" s="81"/>
      <c r="H154" s="81"/>
      <c r="I154" s="105"/>
      <c r="J154" s="84"/>
      <c r="K154" s="84"/>
      <c r="L154" s="84"/>
      <c r="AO154" s="81"/>
      <c r="AP154" s="81"/>
      <c r="AQ154" s="81"/>
      <c r="AR154" s="81"/>
      <c r="AS154" s="81"/>
      <c r="AT154" s="81"/>
      <c r="AU154" s="81"/>
    </row>
    <row r="155" spans="1:47" x14ac:dyDescent="0.25">
      <c r="A155" s="84"/>
      <c r="B155" s="84"/>
      <c r="E155" s="81"/>
      <c r="F155" s="81"/>
      <c r="G155" s="81"/>
      <c r="H155" s="81"/>
      <c r="I155" s="105"/>
      <c r="J155" s="84"/>
      <c r="K155" s="84"/>
      <c r="L155" s="84"/>
      <c r="AO155" s="81"/>
      <c r="AP155" s="81"/>
      <c r="AQ155" s="81"/>
      <c r="AR155" s="81"/>
      <c r="AS155" s="81"/>
      <c r="AT155" s="81"/>
      <c r="AU155" s="81"/>
    </row>
    <row r="156" spans="1:47" x14ac:dyDescent="0.25">
      <c r="A156" s="101"/>
      <c r="B156" s="101"/>
      <c r="E156" s="81"/>
      <c r="F156" s="81"/>
      <c r="G156" s="81"/>
      <c r="H156" s="81"/>
      <c r="I156" s="81"/>
      <c r="AO156" s="81"/>
      <c r="AP156" s="81"/>
      <c r="AQ156" s="81"/>
      <c r="AR156" s="81"/>
      <c r="AS156" s="81"/>
      <c r="AT156" s="81"/>
      <c r="AU156" s="81"/>
    </row>
    <row r="157" spans="1:47" x14ac:dyDescent="0.25">
      <c r="A157" s="84"/>
      <c r="B157" s="84"/>
      <c r="E157" s="81"/>
      <c r="F157" s="81"/>
      <c r="G157" s="81"/>
      <c r="H157" s="81"/>
      <c r="I157" s="103"/>
      <c r="J157" s="70"/>
      <c r="AO157" s="81"/>
      <c r="AP157" s="81"/>
      <c r="AQ157" s="81"/>
      <c r="AR157" s="81"/>
      <c r="AS157" s="81"/>
      <c r="AT157" s="81"/>
      <c r="AU157" s="81"/>
    </row>
    <row r="158" spans="1:47" x14ac:dyDescent="0.25">
      <c r="A158" s="84"/>
      <c r="B158" s="84"/>
      <c r="E158" s="81"/>
      <c r="F158" s="81"/>
      <c r="G158" s="81"/>
      <c r="H158" s="81"/>
      <c r="I158" s="104"/>
      <c r="J158" s="78"/>
      <c r="K158" s="78"/>
      <c r="L158" s="78"/>
      <c r="M158" s="7"/>
      <c r="N158" s="7"/>
      <c r="AO158" s="81"/>
      <c r="AP158" s="81"/>
      <c r="AQ158" s="81"/>
      <c r="AR158" s="81"/>
      <c r="AS158" s="81"/>
      <c r="AT158" s="81"/>
      <c r="AU158" s="81"/>
    </row>
    <row r="159" spans="1:47" x14ac:dyDescent="0.25">
      <c r="A159" s="84"/>
      <c r="B159" s="84"/>
      <c r="E159" s="81"/>
      <c r="F159" s="81"/>
      <c r="G159" s="81"/>
      <c r="H159" s="81"/>
      <c r="I159" s="105"/>
      <c r="J159" s="84"/>
      <c r="K159" s="84"/>
      <c r="L159" s="84"/>
      <c r="AO159" s="81"/>
      <c r="AP159" s="81"/>
      <c r="AQ159" s="81"/>
      <c r="AR159" s="81"/>
      <c r="AS159" s="81"/>
      <c r="AT159" s="81"/>
      <c r="AU159" s="81"/>
    </row>
    <row r="160" spans="1:47" x14ac:dyDescent="0.25">
      <c r="A160" s="84"/>
      <c r="B160" s="84"/>
      <c r="E160" s="81"/>
      <c r="F160" s="81"/>
      <c r="G160" s="81"/>
      <c r="H160" s="81"/>
      <c r="I160" s="105"/>
      <c r="J160" s="84"/>
      <c r="K160" s="84"/>
      <c r="L160" s="84"/>
      <c r="AO160" s="81"/>
      <c r="AP160" s="81"/>
      <c r="AQ160" s="81"/>
      <c r="AR160" s="81"/>
      <c r="AS160" s="81"/>
      <c r="AT160" s="81"/>
      <c r="AU160" s="81"/>
    </row>
    <row r="161" spans="1:47" x14ac:dyDescent="0.25">
      <c r="A161" s="101"/>
      <c r="B161" s="101"/>
      <c r="E161" s="81"/>
      <c r="F161" s="81"/>
      <c r="G161" s="81"/>
      <c r="H161" s="81"/>
      <c r="I161" s="81"/>
      <c r="AO161" s="81"/>
      <c r="AP161" s="81"/>
      <c r="AQ161" s="81"/>
      <c r="AR161" s="81"/>
      <c r="AS161" s="81"/>
      <c r="AT161" s="81"/>
      <c r="AU161" s="81"/>
    </row>
    <row r="162" spans="1:47" x14ac:dyDescent="0.25">
      <c r="A162" s="84"/>
      <c r="B162" s="84"/>
      <c r="E162" s="81"/>
      <c r="F162" s="81"/>
      <c r="G162" s="81"/>
      <c r="H162" s="81"/>
      <c r="I162" s="103"/>
      <c r="J162" s="70"/>
      <c r="AO162" s="81"/>
      <c r="AP162" s="81"/>
      <c r="AQ162" s="81"/>
      <c r="AR162" s="81"/>
      <c r="AS162" s="81"/>
      <c r="AT162" s="81"/>
      <c r="AU162" s="81"/>
    </row>
    <row r="163" spans="1:47" x14ac:dyDescent="0.25">
      <c r="A163" s="84"/>
      <c r="B163" s="84"/>
      <c r="E163" s="81"/>
      <c r="F163" s="81"/>
      <c r="G163" s="81"/>
      <c r="H163" s="81"/>
      <c r="I163" s="104"/>
      <c r="J163" s="78"/>
      <c r="K163" s="78"/>
      <c r="L163" s="78"/>
      <c r="M163" s="7"/>
      <c r="N163" s="7"/>
      <c r="AO163" s="81"/>
      <c r="AP163" s="81"/>
      <c r="AQ163" s="81"/>
      <c r="AR163" s="81"/>
      <c r="AS163" s="81"/>
      <c r="AT163" s="81"/>
      <c r="AU163" s="81"/>
    </row>
    <row r="164" spans="1:47" x14ac:dyDescent="0.25">
      <c r="A164" s="84"/>
      <c r="B164" s="84"/>
      <c r="E164" s="81"/>
      <c r="F164" s="81"/>
      <c r="G164" s="81"/>
      <c r="H164" s="81"/>
      <c r="I164" s="105"/>
      <c r="J164" s="84"/>
      <c r="K164" s="84"/>
      <c r="L164" s="84"/>
    </row>
    <row r="165" spans="1:47" x14ac:dyDescent="0.25">
      <c r="A165" s="84"/>
      <c r="B165" s="84"/>
      <c r="E165" s="81"/>
      <c r="F165" s="81"/>
      <c r="G165" s="81"/>
      <c r="H165" s="81"/>
      <c r="I165" s="105"/>
      <c r="J165" s="84"/>
      <c r="K165" s="84"/>
      <c r="L165" s="84"/>
    </row>
    <row r="166" spans="1:47" x14ac:dyDescent="0.25">
      <c r="A166" s="101"/>
      <c r="B166" s="101"/>
      <c r="E166" s="81"/>
      <c r="F166" s="81"/>
      <c r="G166" s="81"/>
      <c r="H166" s="81"/>
      <c r="I166" s="81"/>
    </row>
    <row r="167" spans="1:47" x14ac:dyDescent="0.25">
      <c r="A167" s="84"/>
      <c r="B167" s="84"/>
      <c r="E167" s="81"/>
      <c r="F167" s="81"/>
      <c r="G167" s="81"/>
      <c r="H167" s="81"/>
      <c r="I167" s="103"/>
      <c r="J167" s="70"/>
    </row>
    <row r="168" spans="1:47" x14ac:dyDescent="0.25">
      <c r="A168" s="84"/>
      <c r="B168" s="84"/>
      <c r="E168" s="81"/>
      <c r="F168" s="81"/>
      <c r="G168" s="81"/>
      <c r="H168" s="81"/>
      <c r="I168" s="104"/>
      <c r="J168" s="78"/>
      <c r="K168" s="78"/>
      <c r="L168" s="78"/>
      <c r="M168" s="7"/>
      <c r="N168" s="7"/>
    </row>
    <row r="169" spans="1:47" x14ac:dyDescent="0.25">
      <c r="A169" s="84"/>
      <c r="B169" s="84"/>
      <c r="E169" s="81"/>
      <c r="F169" s="81"/>
      <c r="G169" s="81"/>
      <c r="H169" s="81"/>
      <c r="I169" s="105"/>
      <c r="J169" s="84"/>
      <c r="K169" s="84"/>
      <c r="L169" s="84"/>
    </row>
    <row r="170" spans="1:47" x14ac:dyDescent="0.25">
      <c r="A170" s="84"/>
      <c r="B170" s="84"/>
      <c r="E170" s="81"/>
      <c r="F170" s="81"/>
      <c r="G170" s="81"/>
      <c r="H170" s="81"/>
      <c r="I170" s="105"/>
      <c r="J170" s="84"/>
      <c r="K170" s="84"/>
      <c r="L170" s="84"/>
    </row>
    <row r="171" spans="1:47" x14ac:dyDescent="0.25">
      <c r="E171" s="81"/>
      <c r="F171" s="81"/>
      <c r="G171" s="81"/>
      <c r="H171" s="81"/>
      <c r="I171" s="81"/>
    </row>
  </sheetData>
  <sheetProtection selectLockedCells="1" selectUnlockedCells="1"/>
  <mergeCells count="167">
    <mergeCell ref="A1:B1"/>
    <mergeCell ref="E1:F1"/>
    <mergeCell ref="L1:M1"/>
    <mergeCell ref="W33:X33"/>
    <mergeCell ref="Y33:Z33"/>
    <mergeCell ref="AA33:AB33"/>
    <mergeCell ref="AH33:AI33"/>
    <mergeCell ref="AJ33:AK33"/>
    <mergeCell ref="AL33:AM33"/>
    <mergeCell ref="I38:J38"/>
    <mergeCell ref="W38:X38"/>
    <mergeCell ref="Y38:Z38"/>
    <mergeCell ref="AA38:AB38"/>
    <mergeCell ref="AH38:AI38"/>
    <mergeCell ref="AJ38:AK38"/>
    <mergeCell ref="AL38:AM38"/>
    <mergeCell ref="AL43:AM43"/>
    <mergeCell ref="I48:J48"/>
    <mergeCell ref="W48:X48"/>
    <mergeCell ref="Y48:Z48"/>
    <mergeCell ref="AA48:AB48"/>
    <mergeCell ref="AH48:AI48"/>
    <mergeCell ref="AJ48:AK48"/>
    <mergeCell ref="AL48:AM48"/>
    <mergeCell ref="I43:J43"/>
    <mergeCell ref="W43:X43"/>
    <mergeCell ref="Y43:Z43"/>
    <mergeCell ref="AA43:AB43"/>
    <mergeCell ref="AH43:AI43"/>
    <mergeCell ref="AJ43:AK43"/>
    <mergeCell ref="AL53:AM53"/>
    <mergeCell ref="I58:J58"/>
    <mergeCell ref="AH58:AI58"/>
    <mergeCell ref="AJ58:AK58"/>
    <mergeCell ref="AL58:AM58"/>
    <mergeCell ref="I63:J63"/>
    <mergeCell ref="W63:X63"/>
    <mergeCell ref="Y63:Z63"/>
    <mergeCell ref="AA63:AB63"/>
    <mergeCell ref="AH63:AI63"/>
    <mergeCell ref="I53:J53"/>
    <mergeCell ref="W53:X53"/>
    <mergeCell ref="Y53:Z53"/>
    <mergeCell ref="AA53:AB53"/>
    <mergeCell ref="AH53:AI53"/>
    <mergeCell ref="AJ53:AK53"/>
    <mergeCell ref="AJ63:AK63"/>
    <mergeCell ref="AL63:AM63"/>
    <mergeCell ref="I68:J68"/>
    <mergeCell ref="W68:X68"/>
    <mergeCell ref="Y68:Z68"/>
    <mergeCell ref="AA68:AB68"/>
    <mergeCell ref="AH68:AI68"/>
    <mergeCell ref="AJ68:AK68"/>
    <mergeCell ref="AL68:AM68"/>
    <mergeCell ref="AL73:AM73"/>
    <mergeCell ref="I78:J78"/>
    <mergeCell ref="W78:X78"/>
    <mergeCell ref="Y78:Z78"/>
    <mergeCell ref="AA78:AB78"/>
    <mergeCell ref="AH78:AI78"/>
    <mergeCell ref="AJ78:AK78"/>
    <mergeCell ref="AL78:AM78"/>
    <mergeCell ref="I73:J73"/>
    <mergeCell ref="W73:X73"/>
    <mergeCell ref="Y73:Z73"/>
    <mergeCell ref="AA73:AB73"/>
    <mergeCell ref="AH73:AI73"/>
    <mergeCell ref="AJ73:AK73"/>
    <mergeCell ref="AL83:AM83"/>
    <mergeCell ref="I88:J88"/>
    <mergeCell ref="W88:X88"/>
    <mergeCell ref="Y88:Z88"/>
    <mergeCell ref="AA88:AB88"/>
    <mergeCell ref="AH88:AI88"/>
    <mergeCell ref="AJ88:AK88"/>
    <mergeCell ref="AL88:AM88"/>
    <mergeCell ref="I83:J83"/>
    <mergeCell ref="W83:X83"/>
    <mergeCell ref="Y83:Z83"/>
    <mergeCell ref="AA83:AB83"/>
    <mergeCell ref="AH83:AI83"/>
    <mergeCell ref="AJ83:AK83"/>
    <mergeCell ref="AL93:AM93"/>
    <mergeCell ref="I98:J98"/>
    <mergeCell ref="W98:X98"/>
    <mergeCell ref="Y98:Z98"/>
    <mergeCell ref="AA98:AB98"/>
    <mergeCell ref="AH98:AI98"/>
    <mergeCell ref="AJ98:AK98"/>
    <mergeCell ref="AL98:AM98"/>
    <mergeCell ref="I93:J93"/>
    <mergeCell ref="W93:X93"/>
    <mergeCell ref="Y93:Z93"/>
    <mergeCell ref="AA93:AB93"/>
    <mergeCell ref="AH93:AI93"/>
    <mergeCell ref="AJ93:AK93"/>
    <mergeCell ref="AL103:AM103"/>
    <mergeCell ref="I108:J108"/>
    <mergeCell ref="W108:X108"/>
    <mergeCell ref="Y108:Z108"/>
    <mergeCell ref="AA108:AB108"/>
    <mergeCell ref="AH108:AI108"/>
    <mergeCell ref="AJ108:AK108"/>
    <mergeCell ref="AL108:AM108"/>
    <mergeCell ref="I103:J103"/>
    <mergeCell ref="W103:X103"/>
    <mergeCell ref="Y103:Z103"/>
    <mergeCell ref="AA103:AB103"/>
    <mergeCell ref="AH103:AI103"/>
    <mergeCell ref="AJ103:AK103"/>
    <mergeCell ref="AL113:AM113"/>
    <mergeCell ref="I118:J118"/>
    <mergeCell ref="W118:X118"/>
    <mergeCell ref="Y118:Z118"/>
    <mergeCell ref="AA118:AB118"/>
    <mergeCell ref="AH118:AI118"/>
    <mergeCell ref="AJ118:AK118"/>
    <mergeCell ref="AL118:AM118"/>
    <mergeCell ref="I113:J113"/>
    <mergeCell ref="W113:X113"/>
    <mergeCell ref="Y113:Z113"/>
    <mergeCell ref="AA113:AB113"/>
    <mergeCell ref="AH113:AI113"/>
    <mergeCell ref="AJ113:AK113"/>
    <mergeCell ref="AL123:AM123"/>
    <mergeCell ref="I128:J128"/>
    <mergeCell ref="W128:X128"/>
    <mergeCell ref="Y128:Z128"/>
    <mergeCell ref="AA128:AB128"/>
    <mergeCell ref="AH128:AI128"/>
    <mergeCell ref="AJ128:AK128"/>
    <mergeCell ref="AL128:AM128"/>
    <mergeCell ref="I123:J123"/>
    <mergeCell ref="W123:X123"/>
    <mergeCell ref="Y123:Z123"/>
    <mergeCell ref="AA123:AB123"/>
    <mergeCell ref="AH123:AI123"/>
    <mergeCell ref="AJ123:AK123"/>
    <mergeCell ref="AL133:AM133"/>
    <mergeCell ref="I138:J138"/>
    <mergeCell ref="W138:X138"/>
    <mergeCell ref="Y138:Z138"/>
    <mergeCell ref="AA138:AB138"/>
    <mergeCell ref="AH138:AI138"/>
    <mergeCell ref="AJ138:AK138"/>
    <mergeCell ref="AL138:AM138"/>
    <mergeCell ref="I133:J133"/>
    <mergeCell ref="W133:X133"/>
    <mergeCell ref="Y133:Z133"/>
    <mergeCell ref="AA133:AB133"/>
    <mergeCell ref="AH133:AI133"/>
    <mergeCell ref="AJ133:AK133"/>
    <mergeCell ref="AL143:AM143"/>
    <mergeCell ref="I148:J148"/>
    <mergeCell ref="W148:X148"/>
    <mergeCell ref="Y148:Z148"/>
    <mergeCell ref="AA148:AB148"/>
    <mergeCell ref="AH148:AI148"/>
    <mergeCell ref="AJ148:AK148"/>
    <mergeCell ref="AL148:AM148"/>
    <mergeCell ref="I143:J143"/>
    <mergeCell ref="W143:X143"/>
    <mergeCell ref="Y143:Z143"/>
    <mergeCell ref="AA143:AB143"/>
    <mergeCell ref="AH143:AI143"/>
    <mergeCell ref="AJ143:AK143"/>
  </mergeCells>
  <pageMargins left="0.7" right="0.7" top="0.75" bottom="0.75" header="0.3" footer="0.3"/>
  <pageSetup paperSize="9"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AU171"/>
  <sheetViews>
    <sheetView topLeftCell="N1" workbookViewId="0">
      <pane ySplit="1" topLeftCell="A8" activePane="bottomLeft" state="frozen"/>
      <selection activeCell="AG8" sqref="AG8:AG10"/>
      <selection pane="bottomLeft" activeCell="AG8" sqref="AG8:AG10"/>
    </sheetView>
  </sheetViews>
  <sheetFormatPr defaultRowHeight="15" x14ac:dyDescent="0.25"/>
  <sheetData>
    <row r="1" spans="1:46" x14ac:dyDescent="0.25">
      <c r="A1" s="494" t="s">
        <v>90</v>
      </c>
      <c r="B1" s="494"/>
      <c r="C1">
        <f>HLOOKUP(Stn_WL,OFFSET_A,Count_STN+1,FALSE)</f>
        <v>5</v>
      </c>
      <c r="E1" s="494" t="s">
        <v>91</v>
      </c>
      <c r="F1" s="494"/>
      <c r="G1" t="str">
        <f>VLOOKUP(Station_No,RISE_CALC,2,FALSE)</f>
        <v>-</v>
      </c>
      <c r="L1" s="494" t="s">
        <v>92</v>
      </c>
      <c r="M1" s="494"/>
      <c r="N1">
        <v>8</v>
      </c>
    </row>
    <row r="2" spans="1:46" x14ac:dyDescent="0.25">
      <c r="Q2" s="66" t="str">
        <f t="shared" ref="Q2:R6" si="0">G4</f>
        <v>Rise</v>
      </c>
      <c r="R2" s="67" t="e">
        <f t="shared" si="0"/>
        <v>#VALUE!</v>
      </c>
      <c r="S2" s="68" t="e">
        <f>IF(OR(R5-R4=R4-R3,R6-R4=R4-R3),R3,IF(OR(R5-R4=R4-R2,R6-R4=R4-R2),R2,"-"))</f>
        <v>#VALUE!</v>
      </c>
      <c r="T2" s="69" t="e">
        <f>IFERROR(VLOOKUP(S2,STN_TABLE,2,FALSE),IF(R2=RisePerWLS,0,"-"))</f>
        <v>#VALUE!</v>
      </c>
      <c r="U2" s="69">
        <v>5</v>
      </c>
      <c r="V2" s="69" t="e">
        <f>T2*U2</f>
        <v>#VALUE!</v>
      </c>
      <c r="W2" s="69">
        <v>3</v>
      </c>
      <c r="X2" s="69" t="e">
        <f>T2*W2</f>
        <v>#VALUE!</v>
      </c>
      <c r="Y2" s="6" t="s">
        <v>93</v>
      </c>
      <c r="Z2" s="70" t="e">
        <f>IF(AND(S4-S3=S3-S2,NOT(AND(S2=0,S3=0)),NOT(AND(S3=0,S4=0))),WLS*(S4-S3),"#NA")</f>
        <v>#VALUE!</v>
      </c>
      <c r="AE2" s="71" t="s">
        <v>94</v>
      </c>
    </row>
    <row r="3" spans="1:46" x14ac:dyDescent="0.25">
      <c r="B3" s="72" t="s">
        <v>0</v>
      </c>
      <c r="C3" s="73" t="s">
        <v>95</v>
      </c>
      <c r="D3" s="73" t="s">
        <v>18</v>
      </c>
      <c r="E3" s="74" t="s">
        <v>20</v>
      </c>
      <c r="H3" s="75" t="s">
        <v>96</v>
      </c>
      <c r="K3" t="str">
        <f>IF(Rise=0,"(Not considered)","(Considered)")</f>
        <v>(Considered)</v>
      </c>
      <c r="Q3" s="66" t="str">
        <f t="shared" si="0"/>
        <v>1st_UWL</v>
      </c>
      <c r="R3" s="67" t="str">
        <f t="shared" si="0"/>
        <v>#NA</v>
      </c>
      <c r="S3" s="76" t="str">
        <f>R4</f>
        <v>#NA</v>
      </c>
      <c r="T3" s="77" t="e">
        <f>VLOOKUP(S3,STN_TABLE,2,FALSE)</f>
        <v>#N/A</v>
      </c>
      <c r="U3" s="77">
        <v>8</v>
      </c>
      <c r="V3" s="77" t="e">
        <f>T3*U3</f>
        <v>#N/A</v>
      </c>
      <c r="W3" s="77">
        <v>10</v>
      </c>
      <c r="X3" s="77" t="e">
        <f>T3*W3</f>
        <v>#N/A</v>
      </c>
      <c r="Y3" s="78" t="s">
        <v>97</v>
      </c>
      <c r="Z3" s="78"/>
      <c r="AA3" s="78" t="s">
        <v>98</v>
      </c>
      <c r="AB3" s="78"/>
      <c r="AC3" s="7" t="s">
        <v>99</v>
      </c>
      <c r="AD3" s="7"/>
      <c r="AE3" s="66" t="str">
        <f t="shared" ref="AE3:AF7" si="1">G4</f>
        <v>Rise</v>
      </c>
      <c r="AF3" s="67" t="e">
        <f t="shared" si="1"/>
        <v>#VALUE!</v>
      </c>
      <c r="AG3" s="79" t="e">
        <f>IF(AF7-AF6=AF6-AF5,AF5,IF(OR(AF7-AF6=AF6-AF4,AF7-AF5=AF5-AF4),AF4,IF(OR(AF7-AF6=AF6-AF3,AF7-AF5=AF5-AF3,AF7-AF4=AF4-AF3),AF3,"#NA")))</f>
        <v>#VALUE!</v>
      </c>
      <c r="AH3" s="69" t="e">
        <f>IFERROR(VLOOKUP(AG3,STN_TABLE,2,FALSE),IF(AF3=RisePerWLS,0,"-"))</f>
        <v>#VALUE!</v>
      </c>
      <c r="AI3" s="69">
        <v>1</v>
      </c>
      <c r="AJ3" s="69" t="e">
        <f>AH3*AI3</f>
        <v>#VALUE!</v>
      </c>
      <c r="AK3" s="69" t="e">
        <f>AG3</f>
        <v>#VALUE!</v>
      </c>
      <c r="AL3" s="69" t="e">
        <f>AJ3*AK3</f>
        <v>#VALUE!</v>
      </c>
      <c r="AM3" s="6" t="s">
        <v>93</v>
      </c>
      <c r="AN3" s="70" t="e">
        <f>IF(AND(AH3=0,AH4=0,AH5=0),WLS*(AG5-AG4),IF(AND(AG5-AG4=AG4-AG3,AG4&lt;&gt;AG5,AG3&lt;&gt;AG4,AG3&lt;&gt;AG5,AH5&lt;&gt;0,OR(AH3&lt;&gt;0,AH4&lt;&gt;0)),WLS*(AG5-AG4),"#NA"))</f>
        <v>#VALUE!</v>
      </c>
    </row>
    <row r="4" spans="1:46" x14ac:dyDescent="0.25">
      <c r="A4">
        <v>1</v>
      </c>
      <c r="B4" s="80">
        <f t="shared" ref="B4:B28" si="2">VLOOKUP(Stn_WL,OFFSET_A,A4+1,FALSE)</f>
        <v>0</v>
      </c>
      <c r="C4" s="81">
        <f t="shared" ref="C4:C28" si="3">VLOOKUP(Station_No,OFFSET_A,A4+1,FALSE)</f>
        <v>5.9</v>
      </c>
      <c r="D4" s="81">
        <v>0</v>
      </c>
      <c r="E4" s="77">
        <v>0</v>
      </c>
      <c r="G4" t="s">
        <v>100</v>
      </c>
      <c r="H4" t="e">
        <f>Rise/WLS</f>
        <v>#VALUE!</v>
      </c>
      <c r="K4" t="str">
        <f>CONCATENATE("A(",H5,")=")</f>
        <v>A(#NA)=</v>
      </c>
      <c r="L4" t="e">
        <f>IFERROR(N18,N22)</f>
        <v>#VALUE!</v>
      </c>
      <c r="Q4" s="66" t="str">
        <f t="shared" si="0"/>
        <v>2nd_UWL</v>
      </c>
      <c r="R4" s="67" t="str">
        <f t="shared" si="0"/>
        <v>#NA</v>
      </c>
      <c r="S4" s="82" t="e">
        <f>IF((S2-S3)=S3-R5,R5,IF(S2-S3=S3-R6,R6,"-"))</f>
        <v>#VALUE!</v>
      </c>
      <c r="T4" s="83" t="e">
        <f>VLOOKUP(S4,STN_TABLE,2,FALSE)</f>
        <v>#VALUE!</v>
      </c>
      <c r="U4" s="83">
        <v>-1</v>
      </c>
      <c r="V4" s="83" t="e">
        <f>T4*U4</f>
        <v>#VALUE!</v>
      </c>
      <c r="W4" s="83">
        <v>-1</v>
      </c>
      <c r="X4" s="83" t="e">
        <f>T4*W4</f>
        <v>#VALUE!</v>
      </c>
      <c r="Y4" s="84" t="str">
        <f>CONCATENATE("a'(",S3,")=")</f>
        <v>a'(#NA)=</v>
      </c>
      <c r="Z4" s="85" t="e">
        <f>2*Z2/12*V5</f>
        <v>#VALUE!</v>
      </c>
      <c r="AA4" s="84" t="e">
        <f>CONCATENATE("A(",S2,")=")</f>
        <v>#VALUE!</v>
      </c>
      <c r="AB4" s="84" t="e">
        <f>IF(S2=RisePerWLS,0,VLOOKUP(S2,STN_TABLE,3,FALSE))</f>
        <v>#VALUE!</v>
      </c>
      <c r="AC4" t="str">
        <f>CONCATENATE("A(",S3,")=")</f>
        <v>A(#NA)=</v>
      </c>
      <c r="AD4" t="e">
        <f>Z4+AB4</f>
        <v>#VALUE!</v>
      </c>
      <c r="AE4" s="66" t="str">
        <f t="shared" si="1"/>
        <v>1st_UWL</v>
      </c>
      <c r="AF4" s="67" t="str">
        <f t="shared" si="1"/>
        <v>#NA</v>
      </c>
      <c r="AG4" s="80" t="e">
        <f>IF(OR(AF7-AF6=AF6-AF5,AF7-AF6=AF6-AF4,AF7-AF6=AF6-AF3),AF6,IF(OR(AF7-AF5=AF5-AF4,AF7-AF5=AF5-AF3),AF5,IF(AF7-AF4=AF4-AF3,AF4,"#NA")))</f>
        <v>#VALUE!</v>
      </c>
      <c r="AH4" s="77" t="e">
        <f>VLOOKUP(AG4,STN_TABLE,2,FALSE)</f>
        <v>#VALUE!</v>
      </c>
      <c r="AI4" s="77">
        <v>4</v>
      </c>
      <c r="AJ4" s="77" t="e">
        <f>AH4*AI4</f>
        <v>#VALUE!</v>
      </c>
      <c r="AK4" s="77" t="e">
        <f>AG4</f>
        <v>#VALUE!</v>
      </c>
      <c r="AL4" s="77" t="e">
        <f>AJ4*AK4</f>
        <v>#VALUE!</v>
      </c>
      <c r="AM4" s="78" t="s">
        <v>97</v>
      </c>
      <c r="AN4" s="78"/>
      <c r="AO4" s="78" t="s">
        <v>98</v>
      </c>
      <c r="AP4" s="78"/>
      <c r="AQ4" s="7" t="s">
        <v>99</v>
      </c>
      <c r="AR4" s="7"/>
      <c r="AS4" s="7"/>
      <c r="AT4" s="7"/>
    </row>
    <row r="5" spans="1:46" x14ac:dyDescent="0.25">
      <c r="A5">
        <v>2</v>
      </c>
      <c r="B5" s="80">
        <f t="shared" si="2"/>
        <v>0.25</v>
      </c>
      <c r="C5" s="81">
        <f t="shared" si="3"/>
        <v>7.26</v>
      </c>
      <c r="D5" s="81">
        <f t="shared" ref="D5:D28" si="4">IFERROR(VLOOKUP(CONCATENATE("A(",B5,")="),RESULT_TABLE,6,FALSE)," ")</f>
        <v>6.6216666666666661</v>
      </c>
      <c r="E5" s="77">
        <f t="shared" ref="E5:E28" si="5">IFERROR(VLOOKUP(CONCATENATE("M(",B5,")="),RESULT_TABLE,6,FALSE)," ")</f>
        <v>1.7120833333333332</v>
      </c>
      <c r="G5" t="s">
        <v>101</v>
      </c>
      <c r="H5" t="str">
        <f>VLOOKUP(Station_No,RISE_CALC,4,FALSE)</f>
        <v>#NA</v>
      </c>
      <c r="K5" t="str">
        <f>CONCATENATE("M(",H5,")=")</f>
        <v>M(#NA)=</v>
      </c>
      <c r="L5" t="e">
        <f>IFERROR(N19,N23)</f>
        <v>#VALUE!</v>
      </c>
      <c r="Q5" s="66" t="str">
        <f t="shared" si="0"/>
        <v>3rd_UWL</v>
      </c>
      <c r="R5" s="67" t="str">
        <f t="shared" si="0"/>
        <v>#NA</v>
      </c>
      <c r="V5" s="86" t="e">
        <f>SUM(V2:V4)</f>
        <v>#VALUE!</v>
      </c>
      <c r="X5" s="87" t="e">
        <f>SUM(X2:X4)</f>
        <v>#VALUE!</v>
      </c>
      <c r="Y5" s="84" t="str">
        <f>CONCATENATE("m'(",S3,")=")</f>
        <v>m'(#NA)=</v>
      </c>
      <c r="Z5" s="85" t="e">
        <f>(2*(Z2^2)/24*X5)+(Z4*S2*WLS)</f>
        <v>#VALUE!</v>
      </c>
      <c r="AA5" s="84" t="e">
        <f>CONCATENATE("M(",S2,")=")</f>
        <v>#VALUE!</v>
      </c>
      <c r="AB5" s="84" t="e">
        <f>IF(S2=RisePerWLS,0,VLOOKUP(S2,STN_TABLE,4,FALSE))</f>
        <v>#VALUE!</v>
      </c>
      <c r="AC5" t="str">
        <f>CONCATENATE("M(",S3,")=")</f>
        <v>M(#NA)=</v>
      </c>
      <c r="AD5" t="e">
        <f>Z5+AB5</f>
        <v>#VALUE!</v>
      </c>
      <c r="AE5" s="66" t="str">
        <f t="shared" si="1"/>
        <v>2nd_UWL</v>
      </c>
      <c r="AF5" s="67" t="str">
        <f t="shared" si="1"/>
        <v>#NA</v>
      </c>
      <c r="AG5" s="88" t="str">
        <f>AF7</f>
        <v>#NA</v>
      </c>
      <c r="AH5" s="83" t="e">
        <f>VLOOKUP(AG5,STN_TABLE,2,FALSE)</f>
        <v>#N/A</v>
      </c>
      <c r="AI5" s="83">
        <v>1</v>
      </c>
      <c r="AJ5" s="83" t="e">
        <f>AH5*AI5</f>
        <v>#N/A</v>
      </c>
      <c r="AK5" s="83" t="str">
        <f>AG5</f>
        <v>#NA</v>
      </c>
      <c r="AL5" s="83" t="e">
        <f>AJ5*AK5</f>
        <v>#N/A</v>
      </c>
      <c r="AM5" s="84" t="str">
        <f>CONCATENATE("a'(",AG5,")=")</f>
        <v>a'(#NA)=</v>
      </c>
      <c r="AN5" s="84" t="e">
        <f>2*AN3/3*AJ6</f>
        <v>#VALUE!</v>
      </c>
      <c r="AO5" s="84" t="e">
        <f>CONCATENATE("A(",AG3,")=")</f>
        <v>#VALUE!</v>
      </c>
      <c r="AP5" s="84" t="e">
        <f>IF(AG3=RisePerWLS,0,VLOOKUP(AG3,STN_TABLE,3,FALSE))</f>
        <v>#VALUE!</v>
      </c>
      <c r="AQ5" t="str">
        <f>CONCATENATE("A(",AG5,")=")</f>
        <v>A(#NA)=</v>
      </c>
      <c r="AR5" t="e">
        <f>AN5+AP5</f>
        <v>#VALUE!</v>
      </c>
    </row>
    <row r="6" spans="1:46" x14ac:dyDescent="0.25">
      <c r="A6">
        <v>3</v>
      </c>
      <c r="B6" s="80">
        <f t="shared" si="2"/>
        <v>0.5</v>
      </c>
      <c r="C6" s="81">
        <f t="shared" si="3"/>
        <v>8.1199999999999992</v>
      </c>
      <c r="D6" s="81">
        <f t="shared" si="4"/>
        <v>14.353333333333332</v>
      </c>
      <c r="E6" s="77">
        <f t="shared" si="5"/>
        <v>7.5466666666666669</v>
      </c>
      <c r="G6" t="s">
        <v>102</v>
      </c>
      <c r="H6" t="str">
        <f>VLOOKUP(Station_No,RISE_CALC,5,FALSE)</f>
        <v>#NA</v>
      </c>
      <c r="K6" t="str">
        <f>CONCATENATE("A(",H6,")=")</f>
        <v>A(#NA)=</v>
      </c>
      <c r="L6" t="e">
        <f>IFERROR(P27,IFERROR(X6,AD9))</f>
        <v>#VALUE!</v>
      </c>
      <c r="Q6" s="66" t="str">
        <f t="shared" si="0"/>
        <v>4th_UWL</v>
      </c>
      <c r="R6" s="67" t="str">
        <f t="shared" si="0"/>
        <v>#NA</v>
      </c>
      <c r="U6" t="s">
        <v>103</v>
      </c>
      <c r="W6" t="str">
        <f>CONCATENATE("A(",S3,")=")</f>
        <v>A(#NA)=</v>
      </c>
      <c r="X6" t="e">
        <f>IF(OR(AD4&lt;=0,AD5&lt;=0),AD9,AD4)</f>
        <v>#VALUE!</v>
      </c>
      <c r="AE6" s="66" t="str">
        <f t="shared" si="1"/>
        <v>3rd_UWL</v>
      </c>
      <c r="AF6" s="67" t="str">
        <f t="shared" si="1"/>
        <v>#NA</v>
      </c>
      <c r="AJ6" s="89" t="e">
        <f>SUM(AJ3:AJ5)</f>
        <v>#VALUE!</v>
      </c>
      <c r="AL6" s="89" t="e">
        <f>SUM(AL3:AL5)</f>
        <v>#VALUE!</v>
      </c>
      <c r="AM6" s="84" t="str">
        <f>CONCATENATE("m'(",AG5,")=")</f>
        <v>m'(#NA)=</v>
      </c>
      <c r="AN6" s="84" t="e">
        <f>2*(AN3*WLS)/3*AL6</f>
        <v>#VALUE!</v>
      </c>
      <c r="AO6" s="84" t="e">
        <f>CONCATENATE("M(",AG3,")=")</f>
        <v>#VALUE!</v>
      </c>
      <c r="AP6" s="84" t="e">
        <f>IF(AG3=RisePerWLS,0,VLOOKUP(AG3,STN_TABLE,4,FALSE))</f>
        <v>#VALUE!</v>
      </c>
      <c r="AQ6" t="str">
        <f>CONCATENATE("M(",AG5,")=")</f>
        <v>M(#NA)=</v>
      </c>
      <c r="AR6" t="e">
        <f>AN6+AP6</f>
        <v>#VALUE!</v>
      </c>
    </row>
    <row r="7" spans="1:46" x14ac:dyDescent="0.25">
      <c r="A7">
        <v>4</v>
      </c>
      <c r="B7" s="80">
        <f t="shared" si="2"/>
        <v>0.75</v>
      </c>
      <c r="C7" s="81">
        <f t="shared" si="3"/>
        <v>8.6999999999999993</v>
      </c>
      <c r="D7" s="81">
        <f t="shared" si="4"/>
        <v>22.768333333333331</v>
      </c>
      <c r="E7" s="77">
        <f t="shared" si="5"/>
        <v>18.098749999999995</v>
      </c>
      <c r="G7" t="s">
        <v>104</v>
      </c>
      <c r="H7" t="str">
        <f>VLOOKUP(Station_No,RISE_CALC,6,FALSE)</f>
        <v>#NA</v>
      </c>
      <c r="K7" t="str">
        <f>CONCATENATE("M(",H6,")=")</f>
        <v>M(#NA)=</v>
      </c>
      <c r="L7" t="e">
        <f>IFERROR(P28,IFERROR(X7,AD10))</f>
        <v>#VALUE!</v>
      </c>
      <c r="Q7" s="66"/>
      <c r="R7" s="67"/>
      <c r="W7" t="str">
        <f>CONCATENATE("M(",S3,")=")</f>
        <v>M(#NA)=</v>
      </c>
      <c r="X7" t="e">
        <f>IF(OR(AD4&lt;=0,AD5&lt;=0),AD10,AD5)</f>
        <v>#VALUE!</v>
      </c>
      <c r="Y7" s="6" t="s">
        <v>93</v>
      </c>
      <c r="Z7" s="70" t="e">
        <f>WLS*(U9-U8)</f>
        <v>#VALUE!</v>
      </c>
      <c r="AE7" s="66" t="str">
        <f t="shared" si="1"/>
        <v>4th_UWL</v>
      </c>
      <c r="AF7" s="67" t="str">
        <f t="shared" si="1"/>
        <v>#NA</v>
      </c>
      <c r="AH7" s="81"/>
    </row>
    <row r="8" spans="1:46" x14ac:dyDescent="0.25">
      <c r="A8">
        <v>5</v>
      </c>
      <c r="B8" s="80">
        <f t="shared" si="2"/>
        <v>1</v>
      </c>
      <c r="C8" s="81">
        <f t="shared" si="3"/>
        <v>9.07</v>
      </c>
      <c r="D8" s="81">
        <f t="shared" si="4"/>
        <v>31.68333333333333</v>
      </c>
      <c r="E8" s="77">
        <f t="shared" si="5"/>
        <v>33.699999999999996</v>
      </c>
      <c r="G8" t="s">
        <v>105</v>
      </c>
      <c r="H8" t="str">
        <f>VLOOKUP(Station_No,RISE_CALC,7,FALSE)</f>
        <v>#NA</v>
      </c>
      <c r="K8" t="str">
        <f>CONCATENATE("A(",H7,")=")</f>
        <v>A(#NA)=</v>
      </c>
      <c r="L8" t="e">
        <f>IFERROR(AD15,IFERROR(X24,AD27))</f>
        <v>#VALUE!</v>
      </c>
      <c r="Q8" s="80"/>
      <c r="R8" s="81"/>
      <c r="U8" s="79" t="str">
        <f>R3</f>
        <v>#NA</v>
      </c>
      <c r="V8" s="68" t="e">
        <f>VLOOKUP(U8,STN_TABLE,2,FALSE)</f>
        <v>#N/A</v>
      </c>
      <c r="W8" s="68">
        <v>1</v>
      </c>
      <c r="X8" s="69" t="e">
        <f>V8*W8</f>
        <v>#N/A</v>
      </c>
      <c r="Y8" s="78" t="s">
        <v>97</v>
      </c>
      <c r="Z8" s="78"/>
      <c r="AA8" s="78" t="s">
        <v>98</v>
      </c>
      <c r="AB8" s="78"/>
      <c r="AC8" s="7" t="s">
        <v>99</v>
      </c>
      <c r="AD8" s="7"/>
      <c r="AE8" s="66"/>
      <c r="AF8" s="67"/>
      <c r="AG8" s="68" t="e">
        <f>IF(OR(AF12-AF11=AF11-AF10,AF13-AF11=AF11-AF10),AF10,IF(OR(AF12-AF11=AF11-AF9,AF13-AF11=AF11-AF9),AF9,"-"))</f>
        <v>#VALUE!</v>
      </c>
      <c r="AH8" s="69" t="e">
        <f>IFERROR(VLOOKUP(AG8,STN_TABLE,2,FALSE),IF(AF8=RisePerWLS,0,"-"))</f>
        <v>#VALUE!</v>
      </c>
      <c r="AI8" s="69">
        <v>5</v>
      </c>
      <c r="AJ8" s="69" t="e">
        <f>AH8*AI8</f>
        <v>#VALUE!</v>
      </c>
      <c r="AK8" s="69">
        <v>3</v>
      </c>
      <c r="AL8" s="69" t="e">
        <f>AH8*AK8</f>
        <v>#VALUE!</v>
      </c>
      <c r="AM8" s="6" t="s">
        <v>93</v>
      </c>
      <c r="AN8" s="70" t="e">
        <f>IF(AND(AG10-AG9=AG9-AG8,NOT(AND(AG8=0,AG9=0)),NOT(AND(AG9=0,AG10=0))),WLS*(AG10-AG9),"#NA")</f>
        <v>#VALUE!</v>
      </c>
    </row>
    <row r="9" spans="1:46" x14ac:dyDescent="0.25">
      <c r="A9">
        <v>6</v>
      </c>
      <c r="B9" s="80">
        <f t="shared" si="2"/>
        <v>2</v>
      </c>
      <c r="C9" s="81">
        <f t="shared" si="3"/>
        <v>9.9499999999999993</v>
      </c>
      <c r="D9" s="81">
        <f t="shared" si="4"/>
        <v>69.899999999999991</v>
      </c>
      <c r="E9" s="77">
        <f t="shared" si="5"/>
        <v>148.93666666666664</v>
      </c>
      <c r="G9" t="s">
        <v>106</v>
      </c>
      <c r="H9" t="str">
        <f>VLOOKUP(Station_No,RISE_CALC,8,FALSE)</f>
        <v>#NA</v>
      </c>
      <c r="K9" t="str">
        <f>CONCATENATE("M(",H7,")=")</f>
        <v>M(#NA)=</v>
      </c>
      <c r="L9" t="e">
        <f>IFERROR(AD16,IFERROR(X25,AD28))</f>
        <v>#VALUE!</v>
      </c>
      <c r="Q9" s="80"/>
      <c r="R9" s="81"/>
      <c r="U9" s="88" t="str">
        <f>R4</f>
        <v>#NA</v>
      </c>
      <c r="V9" s="82" t="e">
        <f>VLOOKUP(U9,STN_TABLE,2,FALSE)</f>
        <v>#N/A</v>
      </c>
      <c r="W9" s="82">
        <v>2</v>
      </c>
      <c r="X9" s="83" t="e">
        <f>V9*W9</f>
        <v>#N/A</v>
      </c>
      <c r="Y9" s="84" t="str">
        <f>CONCATENATE("a'(",U9,")=")</f>
        <v>a'(#NA)=</v>
      </c>
      <c r="Z9" s="84" t="e">
        <f>2*Z7/2*V10</f>
        <v>#VALUE!</v>
      </c>
      <c r="AA9" s="84" t="str">
        <f>CONCATENATE("A(",U8,")=")</f>
        <v>A(#NA)=</v>
      </c>
      <c r="AB9" s="84" t="e">
        <f>IF(U8=RisePerWLS,0,VLOOKUP(U8,STN_TABLE,3,FALSE))</f>
        <v>#VALUE!</v>
      </c>
      <c r="AC9" t="str">
        <f>CONCATENATE("A(",U9,")=")</f>
        <v>A(#NA)=</v>
      </c>
      <c r="AD9" t="e">
        <f>Z9+AB9</f>
        <v>#VALUE!</v>
      </c>
      <c r="AE9" s="66" t="str">
        <f t="shared" ref="AE9:AF13" si="6">G6</f>
        <v>2nd_UWL</v>
      </c>
      <c r="AF9" s="67" t="str">
        <f t="shared" si="6"/>
        <v>#NA</v>
      </c>
      <c r="AG9" s="76" t="str">
        <f>AF11</f>
        <v>#NA</v>
      </c>
      <c r="AH9" s="77" t="e">
        <f>VLOOKUP(AG9,STN_TABLE,2,FALSE)</f>
        <v>#N/A</v>
      </c>
      <c r="AI9" s="77">
        <v>8</v>
      </c>
      <c r="AJ9" s="77" t="e">
        <f>AH9*AI9</f>
        <v>#N/A</v>
      </c>
      <c r="AK9" s="77">
        <v>10</v>
      </c>
      <c r="AL9" s="77" t="e">
        <f>AH9*AK9</f>
        <v>#N/A</v>
      </c>
      <c r="AM9" s="78" t="s">
        <v>97</v>
      </c>
      <c r="AN9" s="78"/>
      <c r="AO9" s="78" t="s">
        <v>98</v>
      </c>
      <c r="AP9" s="78"/>
      <c r="AQ9" s="7" t="s">
        <v>99</v>
      </c>
      <c r="AR9" s="7"/>
      <c r="AS9" s="7"/>
      <c r="AT9" s="7"/>
    </row>
    <row r="10" spans="1:46" x14ac:dyDescent="0.25">
      <c r="A10">
        <v>7</v>
      </c>
      <c r="B10" s="80">
        <f t="shared" si="2"/>
        <v>3</v>
      </c>
      <c r="C10" s="81">
        <f t="shared" si="3"/>
        <v>10.3</v>
      </c>
      <c r="D10" s="81">
        <f t="shared" si="4"/>
        <v>110.57666666666665</v>
      </c>
      <c r="E10" s="77">
        <f t="shared" si="5"/>
        <v>352.55333333333328</v>
      </c>
      <c r="G10" t="s">
        <v>107</v>
      </c>
      <c r="H10" t="str">
        <f>VLOOKUP(Station_No,RISE_CALC,9,FALSE)</f>
        <v>#NA</v>
      </c>
      <c r="K10" t="str">
        <f>CONCATENATE("A(",H8,")=")</f>
        <v>A(#NA)=</v>
      </c>
      <c r="L10" t="e">
        <f>IFERROR(AR5,IFERROR(AL12,AR15))</f>
        <v>#VALUE!</v>
      </c>
      <c r="Q10" s="80"/>
      <c r="R10" s="81"/>
      <c r="V10" s="89" t="e">
        <f>SUM(V8:V9)</f>
        <v>#N/A</v>
      </c>
      <c r="X10" s="89" t="e">
        <f>SUM(X8:X9)</f>
        <v>#N/A</v>
      </c>
      <c r="Y10" s="84" t="str">
        <f>CONCATENATE("m'(",U9,")=")</f>
        <v>m'(#NA)=</v>
      </c>
      <c r="Z10" s="84" t="e">
        <f>(2*(Z7^2)/6*X10)+(Z9*U8*WLS)</f>
        <v>#VALUE!</v>
      </c>
      <c r="AA10" s="84" t="str">
        <f>CONCATENATE("M(",U8,")=")</f>
        <v>M(#NA)=</v>
      </c>
      <c r="AB10" s="84" t="e">
        <f>IF(U8=RisePerWLS,0,VLOOKUP(U8,STN_TABLE,4,FALSE))</f>
        <v>#VALUE!</v>
      </c>
      <c r="AC10" t="str">
        <f>CONCATENATE("M(",U9,")=")</f>
        <v>M(#NA)=</v>
      </c>
      <c r="AD10" t="e">
        <f>Z10+AB10</f>
        <v>#VALUE!</v>
      </c>
      <c r="AE10" s="66" t="str">
        <f t="shared" si="6"/>
        <v>3rd_UWL</v>
      </c>
      <c r="AF10" s="67" t="str">
        <f t="shared" si="6"/>
        <v>#NA</v>
      </c>
      <c r="AG10" s="82" t="e">
        <f>IF(AG8-AG9=AG9-AF12,AF12,IF(AG8-AG9=AG9-AF13,AF13,"-"))</f>
        <v>#VALUE!</v>
      </c>
      <c r="AH10" s="83" t="e">
        <f>VLOOKUP(AG10,STN_TABLE,2,FALSE)</f>
        <v>#VALUE!</v>
      </c>
      <c r="AI10" s="83">
        <v>-1</v>
      </c>
      <c r="AJ10" s="83" t="e">
        <f>AH10*AI10</f>
        <v>#VALUE!</v>
      </c>
      <c r="AK10" s="83">
        <v>-1</v>
      </c>
      <c r="AL10" s="83" t="e">
        <f>AH10*AK10</f>
        <v>#VALUE!</v>
      </c>
      <c r="AM10" s="84" t="str">
        <f>CONCATENATE("a'(",AG9,")=")</f>
        <v>a'(#NA)=</v>
      </c>
      <c r="AN10" s="84" t="e">
        <f>2*AN8/12*AJ11</f>
        <v>#VALUE!</v>
      </c>
      <c r="AO10" s="84" t="e">
        <f>CONCATENATE("A(",AG8,")=")</f>
        <v>#VALUE!</v>
      </c>
      <c r="AP10" s="84" t="e">
        <f>VLOOKUP(AG8,STN_TABLE,3,FALSE)</f>
        <v>#VALUE!</v>
      </c>
      <c r="AQ10" t="str">
        <f>CONCATENATE("A(",AG9,")=")</f>
        <v>A(#NA)=</v>
      </c>
      <c r="AR10" t="e">
        <f>AN10+AP10</f>
        <v>#VALUE!</v>
      </c>
    </row>
    <row r="11" spans="1:46" x14ac:dyDescent="0.25">
      <c r="A11">
        <v>8</v>
      </c>
      <c r="B11" s="80">
        <f t="shared" si="2"/>
        <v>4</v>
      </c>
      <c r="C11" s="81">
        <f t="shared" si="3"/>
        <v>10.58</v>
      </c>
      <c r="D11" s="81">
        <f t="shared" si="4"/>
        <v>152.20666666666665</v>
      </c>
      <c r="E11" s="77">
        <f t="shared" si="5"/>
        <v>644.45666666666659</v>
      </c>
      <c r="G11" t="s">
        <v>108</v>
      </c>
      <c r="H11" t="str">
        <f>VLOOKUP(Station_No,RISE_CALC,10,FALSE)</f>
        <v>#NA</v>
      </c>
      <c r="K11" t="str">
        <f>CONCATENATE("M(",H8,")=")</f>
        <v>M(#NA)=</v>
      </c>
      <c r="L11" t="e">
        <f>IFERROR(AR6,IFERROR(AL13,AR16))</f>
        <v>#VALUE!</v>
      </c>
      <c r="Q11" s="80"/>
      <c r="R11" s="81"/>
      <c r="AE11" s="66" t="str">
        <f t="shared" si="6"/>
        <v>4th_UWL</v>
      </c>
      <c r="AF11" s="67" t="str">
        <f t="shared" si="6"/>
        <v>#NA</v>
      </c>
      <c r="AJ11" s="89" t="e">
        <f>SUM(AJ8:AJ10)</f>
        <v>#VALUE!</v>
      </c>
      <c r="AL11" s="89" t="e">
        <f>SUM(AL8:AL10)</f>
        <v>#VALUE!</v>
      </c>
      <c r="AM11" s="84" t="str">
        <f>CONCATENATE("m'(",AG9,")=")</f>
        <v>m'(#NA)=</v>
      </c>
      <c r="AN11" s="84" t="e">
        <f>(2*(AN8^2)/24*AL11)+(AN10*AG8*WLS)</f>
        <v>#VALUE!</v>
      </c>
      <c r="AO11" s="84" t="e">
        <f>CONCATENATE("M(",AG8,")=")</f>
        <v>#VALUE!</v>
      </c>
      <c r="AP11" s="84" t="e">
        <f>VLOOKUP(AG8,STN_TABLE,4,FALSE)</f>
        <v>#VALUE!</v>
      </c>
      <c r="AQ11" t="str">
        <f>CONCATENATE("M(",AG9,")=")</f>
        <v>M(#NA)=</v>
      </c>
      <c r="AR11" t="e">
        <f>AN11+AP11</f>
        <v>#VALUE!</v>
      </c>
    </row>
    <row r="12" spans="1:46" x14ac:dyDescent="0.25">
      <c r="A12">
        <v>9</v>
      </c>
      <c r="B12" s="80">
        <f t="shared" si="2"/>
        <v>4.8499999999999996</v>
      </c>
      <c r="C12" s="81">
        <f t="shared" si="3"/>
        <v>10.72</v>
      </c>
      <c r="D12" s="81">
        <f t="shared" si="4"/>
        <v>188.41666666666663</v>
      </c>
      <c r="E12" s="77">
        <f t="shared" si="5"/>
        <v>964.98259999999982</v>
      </c>
      <c r="Q12" s="90" t="s">
        <v>109</v>
      </c>
      <c r="R12" s="81"/>
      <c r="AE12" s="66" t="str">
        <f t="shared" si="6"/>
        <v>5th_UWL</v>
      </c>
      <c r="AF12" s="67" t="str">
        <f t="shared" si="6"/>
        <v>#NA</v>
      </c>
      <c r="AI12" t="s">
        <v>103</v>
      </c>
      <c r="AK12" t="str">
        <f>CONCATENATE("A(",AG9,")=")</f>
        <v>A(#NA)=</v>
      </c>
      <c r="AL12" t="e">
        <f>IF(OR(AR10&lt;=0,AR11&lt;=0),AR15,AR10)</f>
        <v>#VALUE!</v>
      </c>
    </row>
    <row r="13" spans="1:46" x14ac:dyDescent="0.25">
      <c r="A13">
        <v>10</v>
      </c>
      <c r="B13" s="80">
        <f t="shared" si="2"/>
        <v>5</v>
      </c>
      <c r="C13" s="81">
        <f t="shared" si="3"/>
        <v>10.74</v>
      </c>
      <c r="D13" s="81">
        <f t="shared" si="4"/>
        <v>195.05666666666667</v>
      </c>
      <c r="E13" s="77">
        <f t="shared" si="5"/>
        <v>1029.5666666666666</v>
      </c>
      <c r="G13" s="71" t="s">
        <v>110</v>
      </c>
      <c r="Q13" s="66" t="str">
        <f t="shared" ref="Q13:R16" si="7">G4</f>
        <v>Rise</v>
      </c>
      <c r="R13" s="67" t="e">
        <f t="shared" si="7"/>
        <v>#VALUE!</v>
      </c>
      <c r="S13" s="68" t="e">
        <f>IF(R16-R15=R15-R14,R14,IF(R16-R14=R14-R13,R13,"-"))</f>
        <v>#VALUE!</v>
      </c>
      <c r="T13" s="69" t="e">
        <f>IFERROR(VLOOKUP(S13,STN_TABLE,2,FALSE),IF(R13=RisePerWLS,0,"-"))</f>
        <v>#VALUE!</v>
      </c>
      <c r="U13" s="69">
        <v>1</v>
      </c>
      <c r="V13" s="69" t="e">
        <f>T13*U13</f>
        <v>#VALUE!</v>
      </c>
      <c r="W13" s="69" t="e">
        <f>S13</f>
        <v>#VALUE!</v>
      </c>
      <c r="X13" s="69" t="e">
        <f>V13*W13</f>
        <v>#VALUE!</v>
      </c>
      <c r="Y13" s="6" t="s">
        <v>93</v>
      </c>
      <c r="Z13" s="70" t="e">
        <f>IF(AND(T13=0,T14=0,T15=0),WLS*(S15-S14),IF(AND(S15-S14=S14-S13,S14&lt;&gt;S15,S13&lt;&gt;S14,S13&lt;&gt;S15,T15&lt;&gt;0,OR(T13&lt;&gt;0,T14&lt;&gt;0)),WLS*(S15-S14),"#NA"))</f>
        <v>#VALUE!</v>
      </c>
      <c r="AE13" s="66" t="str">
        <f t="shared" si="6"/>
        <v>6th_UWL</v>
      </c>
      <c r="AF13" s="67" t="str">
        <f t="shared" si="6"/>
        <v>#NA</v>
      </c>
      <c r="AK13" t="str">
        <f>CONCATENATE("M(",AG9,")=")</f>
        <v>M(#NA)=</v>
      </c>
      <c r="AL13" t="e">
        <f>IF(OR(AR10&lt;=0,AR11&lt;=0),AR16,AR11)</f>
        <v>#VALUE!</v>
      </c>
      <c r="AM13" s="6" t="s">
        <v>93</v>
      </c>
      <c r="AN13" s="70" t="e">
        <f>WLS*(AI15-AI14)</f>
        <v>#VALUE!</v>
      </c>
    </row>
    <row r="14" spans="1:46" x14ac:dyDescent="0.25">
      <c r="A14">
        <v>11</v>
      </c>
      <c r="B14" s="80">
        <f t="shared" si="2"/>
        <v>6</v>
      </c>
      <c r="C14" s="81">
        <f t="shared" si="3"/>
        <v>10.9</v>
      </c>
      <c r="D14" s="81">
        <f t="shared" si="4"/>
        <v>238.12666666666664</v>
      </c>
      <c r="E14" s="77">
        <f t="shared" si="5"/>
        <v>1504.5099999999998</v>
      </c>
      <c r="G14" s="91" t="str">
        <f>G4</f>
        <v>Rise</v>
      </c>
      <c r="H14" s="91" t="e">
        <f>RisePerWLS</f>
        <v>#VALUE!</v>
      </c>
      <c r="I14" s="68" t="e">
        <f>H14</f>
        <v>#VALUE!</v>
      </c>
      <c r="J14" s="69">
        <v>0</v>
      </c>
      <c r="K14" s="69">
        <v>5</v>
      </c>
      <c r="L14" s="69">
        <f>J14*K14</f>
        <v>0</v>
      </c>
      <c r="M14" s="69">
        <v>3</v>
      </c>
      <c r="N14" s="69">
        <f>J14*M14</f>
        <v>0</v>
      </c>
      <c r="O14" t="s">
        <v>93</v>
      </c>
      <c r="P14" t="e">
        <f>IF(AND(NOT(AND(J14=0,J15=0)),I14&lt;&gt;I15,I15&lt;&gt;I16,I16-I15=I15-I14),(I16-I15)*WLS,"#NA")</f>
        <v>#N/A</v>
      </c>
      <c r="Q14" s="66" t="str">
        <f t="shared" si="7"/>
        <v>1st_UWL</v>
      </c>
      <c r="R14" s="67" t="str">
        <f t="shared" si="7"/>
        <v>#NA</v>
      </c>
      <c r="S14" s="76" t="e">
        <f>IF(R16-R15=R15-R14,R15,IF(R16-R14=R14-R13,R14,"-"))</f>
        <v>#VALUE!</v>
      </c>
      <c r="T14" s="77" t="e">
        <f>VLOOKUP(S14,STN_TABLE,2,FALSE)</f>
        <v>#VALUE!</v>
      </c>
      <c r="U14" s="77">
        <v>4</v>
      </c>
      <c r="V14" s="77" t="e">
        <f>T14*U14</f>
        <v>#VALUE!</v>
      </c>
      <c r="W14" s="77" t="e">
        <f>S14</f>
        <v>#VALUE!</v>
      </c>
      <c r="X14" s="77" t="e">
        <f>V14*W14</f>
        <v>#VALUE!</v>
      </c>
      <c r="Y14" s="78" t="s">
        <v>97</v>
      </c>
      <c r="Z14" s="78"/>
      <c r="AA14" s="78" t="s">
        <v>98</v>
      </c>
      <c r="AB14" s="78"/>
      <c r="AC14" s="7" t="s">
        <v>99</v>
      </c>
      <c r="AD14" s="7"/>
      <c r="AE14" s="66"/>
      <c r="AF14" s="67"/>
      <c r="AI14" s="79" t="str">
        <f>AF10</f>
        <v>#NA</v>
      </c>
      <c r="AJ14" s="68" t="e">
        <f>VLOOKUP(AI14,STN_TABLE,2,FALSE)</f>
        <v>#N/A</v>
      </c>
      <c r="AK14" s="68">
        <v>1</v>
      </c>
      <c r="AL14" s="69" t="e">
        <f>AJ14*AK14</f>
        <v>#N/A</v>
      </c>
      <c r="AM14" s="78" t="s">
        <v>97</v>
      </c>
      <c r="AN14" s="78"/>
      <c r="AO14" s="78" t="s">
        <v>98</v>
      </c>
      <c r="AP14" s="78"/>
      <c r="AQ14" s="7" t="s">
        <v>99</v>
      </c>
      <c r="AR14" s="7"/>
      <c r="AS14" s="7"/>
      <c r="AT14" s="7"/>
    </row>
    <row r="15" spans="1:46" x14ac:dyDescent="0.25">
      <c r="A15">
        <v>12</v>
      </c>
      <c r="B15" s="80">
        <f t="shared" si="2"/>
        <v>6.5</v>
      </c>
      <c r="C15" s="81">
        <f t="shared" si="3"/>
        <v>11</v>
      </c>
      <c r="D15" s="81">
        <f t="shared" si="4"/>
        <v>260.02666666666664</v>
      </c>
      <c r="E15" s="77">
        <f t="shared" si="5"/>
        <v>1778.2766666666664</v>
      </c>
      <c r="G15" s="91" t="str">
        <f>G5</f>
        <v>1st_UWL</v>
      </c>
      <c r="H15" s="91" t="str">
        <f>H5</f>
        <v>#NA</v>
      </c>
      <c r="I15" s="76" t="str">
        <f>H15</f>
        <v>#NA</v>
      </c>
      <c r="J15" s="77" t="e">
        <f>VLOOKUP(I15,STN_TABLE,2,FALSE)</f>
        <v>#N/A</v>
      </c>
      <c r="K15" s="77">
        <v>8</v>
      </c>
      <c r="L15" s="77" t="e">
        <f>J15*K15</f>
        <v>#N/A</v>
      </c>
      <c r="M15" s="77">
        <v>10</v>
      </c>
      <c r="N15" s="77" t="e">
        <f>J15*M15</f>
        <v>#N/A</v>
      </c>
      <c r="O15" t="str">
        <f>CONCATENATE("A(",I15,")=")</f>
        <v>A(#NA)=</v>
      </c>
      <c r="P15" t="e">
        <f>2*P14/12*L17</f>
        <v>#N/A</v>
      </c>
      <c r="Q15" s="66" t="str">
        <f t="shared" si="7"/>
        <v>2nd_UWL</v>
      </c>
      <c r="R15" s="67" t="str">
        <f t="shared" si="7"/>
        <v>#NA</v>
      </c>
      <c r="S15" s="82" t="str">
        <f>R16</f>
        <v>#NA</v>
      </c>
      <c r="T15" s="83" t="e">
        <f>VLOOKUP(S15,STN_TABLE,2,FALSE)</f>
        <v>#N/A</v>
      </c>
      <c r="U15" s="83">
        <v>1</v>
      </c>
      <c r="V15" s="83" t="e">
        <f>T15*U15</f>
        <v>#N/A</v>
      </c>
      <c r="W15" s="83" t="str">
        <f>S15</f>
        <v>#NA</v>
      </c>
      <c r="X15" s="83" t="e">
        <f>V15*W15</f>
        <v>#N/A</v>
      </c>
      <c r="Y15" s="84" t="str">
        <f>CONCATENATE("a'(",S15,")=")</f>
        <v>a'(#NA)=</v>
      </c>
      <c r="Z15" s="84" t="e">
        <f>2*Z13/3*V16</f>
        <v>#VALUE!</v>
      </c>
      <c r="AA15" s="84" t="e">
        <f>CONCATENATE("A(",S13,")=")</f>
        <v>#VALUE!</v>
      </c>
      <c r="AB15" s="84" t="e">
        <f>IF(S13=RisePerWLS,0,VLOOKUP(S13,STN_TABLE,3,FALSE))</f>
        <v>#VALUE!</v>
      </c>
      <c r="AC15" t="str">
        <f>CONCATENATE("A(",S15,")=")</f>
        <v>A(#NA)=</v>
      </c>
      <c r="AD15" t="e">
        <f>Z15+AB15</f>
        <v>#VALUE!</v>
      </c>
      <c r="AE15" s="80"/>
      <c r="AI15" s="88" t="str">
        <f>AF11</f>
        <v>#NA</v>
      </c>
      <c r="AJ15" s="82" t="e">
        <f>VLOOKUP(AI15,STN_TABLE,2,FALSE)</f>
        <v>#N/A</v>
      </c>
      <c r="AK15" s="82">
        <v>2</v>
      </c>
      <c r="AL15" s="83" t="e">
        <f>AJ15*AK15</f>
        <v>#N/A</v>
      </c>
      <c r="AM15" s="84" t="str">
        <f>CONCATENATE("a'(",AI15,")=")</f>
        <v>a'(#NA)=</v>
      </c>
      <c r="AN15" s="84" t="e">
        <f>2*AN13/2*AJ16</f>
        <v>#VALUE!</v>
      </c>
      <c r="AO15" s="84" t="str">
        <f>CONCATENATE("A(",AI14,")=")</f>
        <v>A(#NA)=</v>
      </c>
      <c r="AP15" s="84" t="e">
        <f>IF(AI14=RisePerWLS,0,VLOOKUP(AI14,STN_TABLE,3,FALSE))</f>
        <v>#VALUE!</v>
      </c>
      <c r="AQ15" t="str">
        <f>CONCATENATE("A(",AI15,")=")</f>
        <v>A(#NA)=</v>
      </c>
      <c r="AR15" t="e">
        <f>AN15+AP15</f>
        <v>#VALUE!</v>
      </c>
    </row>
    <row r="16" spans="1:46" x14ac:dyDescent="0.25">
      <c r="A16">
        <v>13</v>
      </c>
      <c r="B16" s="80" t="str">
        <f t="shared" si="2"/>
        <v xml:space="preserve">  </v>
      </c>
      <c r="C16" s="81" t="str">
        <f t="shared" si="3"/>
        <v xml:space="preserve">  </v>
      </c>
      <c r="D16" s="81" t="str">
        <f t="shared" si="4"/>
        <v xml:space="preserve"> </v>
      </c>
      <c r="E16" s="77" t="str">
        <f t="shared" si="5"/>
        <v xml:space="preserve"> </v>
      </c>
      <c r="G16" s="91" t="str">
        <f>G6</f>
        <v>2nd_UWL</v>
      </c>
      <c r="H16" s="91" t="str">
        <f>H6</f>
        <v>#NA</v>
      </c>
      <c r="I16" s="82" t="e">
        <f>IF(H16-H15=H15-H14,H16,"#NA")</f>
        <v>#VALUE!</v>
      </c>
      <c r="J16" s="83" t="e">
        <f>VLOOKUP(I16,STN_TABLE,2,FALSE)</f>
        <v>#VALUE!</v>
      </c>
      <c r="K16" s="83">
        <v>-1</v>
      </c>
      <c r="L16" s="83" t="e">
        <f>J16*K16</f>
        <v>#VALUE!</v>
      </c>
      <c r="M16" s="83">
        <v>-1</v>
      </c>
      <c r="N16" s="83" t="e">
        <f>J16*M16</f>
        <v>#VALUE!</v>
      </c>
      <c r="O16" t="str">
        <f>CONCATENATE("M(",I15,")=")</f>
        <v>M(#NA)=</v>
      </c>
      <c r="P16" t="e">
        <f>(2*(P14^2)/24*N17)+P15*I14*WLS</f>
        <v>#N/A</v>
      </c>
      <c r="Q16" s="66" t="str">
        <f t="shared" si="7"/>
        <v>3rd_UWL</v>
      </c>
      <c r="R16" s="67" t="str">
        <f t="shared" si="7"/>
        <v>#NA</v>
      </c>
      <c r="V16" s="89" t="e">
        <f>SUM(V13:V15)</f>
        <v>#VALUE!</v>
      </c>
      <c r="X16" s="89" t="e">
        <f>SUM(X13:X15)</f>
        <v>#VALUE!</v>
      </c>
      <c r="Y16" s="84" t="str">
        <f>CONCATENATE("m'(",S15,")=")</f>
        <v>m'(#NA)=</v>
      </c>
      <c r="Z16" s="84" t="e">
        <f>2*(Z13*WLS)/3*X16</f>
        <v>#VALUE!</v>
      </c>
      <c r="AA16" s="84" t="e">
        <f>CONCATENATE("M(",S13,")=")</f>
        <v>#VALUE!</v>
      </c>
      <c r="AB16" s="84" t="e">
        <f>IF(S13=RisePerWLS,0,VLOOKUP(S13,STN_TABLE,4,FALSE))</f>
        <v>#VALUE!</v>
      </c>
      <c r="AC16" t="str">
        <f>CONCATENATE("M(",S15,")=")</f>
        <v>M(#NA)=</v>
      </c>
      <c r="AD16" t="e">
        <f>Z16+AB16</f>
        <v>#VALUE!</v>
      </c>
      <c r="AE16" s="80"/>
      <c r="AJ16" s="89" t="e">
        <f>SUM(AJ14:AJ15)</f>
        <v>#N/A</v>
      </c>
      <c r="AL16" s="89" t="e">
        <f>SUM(AL14:AL15)</f>
        <v>#N/A</v>
      </c>
      <c r="AM16" s="84" t="str">
        <f>CONCATENATE("m'(",AI15,")=")</f>
        <v>m'(#NA)=</v>
      </c>
      <c r="AN16" s="84" t="e">
        <f>(2*(AN13^2)/6*AL16)+(AN15*AI14*WLS)</f>
        <v>#VALUE!</v>
      </c>
      <c r="AO16" s="84" t="str">
        <f>CONCATENATE("M(",AI14,")=")</f>
        <v>M(#NA)=</v>
      </c>
      <c r="AP16" s="84" t="e">
        <f>IF(AI14=RisePerWLS,0,VLOOKUP(AI14,STN_TABLE,4,FALSE))</f>
        <v>#VALUE!</v>
      </c>
      <c r="AQ16" t="str">
        <f>CONCATENATE("M(",AI15,")=")</f>
        <v>M(#NA)=</v>
      </c>
      <c r="AR16" t="e">
        <f>AN16+AP16</f>
        <v>#VALUE!</v>
      </c>
    </row>
    <row r="17" spans="1:35" x14ac:dyDescent="0.25">
      <c r="A17">
        <v>14</v>
      </c>
      <c r="B17" s="80" t="str">
        <f t="shared" si="2"/>
        <v xml:space="preserve">  </v>
      </c>
      <c r="C17" s="81" t="str">
        <f t="shared" si="3"/>
        <v xml:space="preserve">  </v>
      </c>
      <c r="D17" s="81" t="str">
        <f t="shared" si="4"/>
        <v xml:space="preserve"> </v>
      </c>
      <c r="E17" s="77" t="str">
        <f t="shared" si="5"/>
        <v xml:space="preserve"> </v>
      </c>
      <c r="G17" s="91"/>
      <c r="H17" s="91"/>
      <c r="L17" s="89" t="e">
        <f>SUM(L14:L16)</f>
        <v>#N/A</v>
      </c>
      <c r="N17" s="89" t="e">
        <f>SUM(N14:N16)</f>
        <v>#N/A</v>
      </c>
      <c r="Q17" s="66"/>
      <c r="R17" s="67"/>
      <c r="AE17" s="90"/>
    </row>
    <row r="18" spans="1:35" x14ac:dyDescent="0.25">
      <c r="A18">
        <v>15</v>
      </c>
      <c r="B18" s="80" t="str">
        <f t="shared" si="2"/>
        <v xml:space="preserve">  </v>
      </c>
      <c r="C18" s="81" t="str">
        <f t="shared" si="3"/>
        <v xml:space="preserve">  </v>
      </c>
      <c r="D18" s="81" t="str">
        <f t="shared" si="4"/>
        <v xml:space="preserve"> </v>
      </c>
      <c r="E18" s="77" t="str">
        <f t="shared" si="5"/>
        <v xml:space="preserve"> </v>
      </c>
      <c r="G18" s="91"/>
      <c r="H18" s="91"/>
      <c r="K18" t="s">
        <v>103</v>
      </c>
      <c r="M18" t="str">
        <f>CONCATENATE("A(",I15,")=")</f>
        <v>A(#NA)=</v>
      </c>
      <c r="N18" t="e">
        <f>IF(OR(P15&lt;=0,P16&lt;=0),N22,P15)</f>
        <v>#N/A</v>
      </c>
      <c r="Q18" s="66"/>
      <c r="R18" s="67"/>
      <c r="AE18" s="80"/>
    </row>
    <row r="19" spans="1:35" x14ac:dyDescent="0.25">
      <c r="A19">
        <v>16</v>
      </c>
      <c r="B19" s="80" t="str">
        <f t="shared" si="2"/>
        <v xml:space="preserve">  </v>
      </c>
      <c r="C19" s="81" t="str">
        <f t="shared" si="3"/>
        <v xml:space="preserve">  </v>
      </c>
      <c r="D19" s="81" t="str">
        <f t="shared" si="4"/>
        <v xml:space="preserve"> </v>
      </c>
      <c r="E19" s="77" t="str">
        <f t="shared" si="5"/>
        <v xml:space="preserve"> </v>
      </c>
      <c r="G19" s="91"/>
      <c r="H19" s="91"/>
      <c r="M19" t="str">
        <f>CONCATENATE("M(",I15,")=")</f>
        <v>M(#NA)=</v>
      </c>
      <c r="N19" t="e">
        <f>IF(OR(P15&lt;=0,P16&lt;=0),N23,P16)</f>
        <v>#N/A</v>
      </c>
      <c r="Q19" s="66"/>
      <c r="R19" s="67"/>
      <c r="AE19" s="80"/>
    </row>
    <row r="20" spans="1:35" x14ac:dyDescent="0.25">
      <c r="A20">
        <v>17</v>
      </c>
      <c r="B20" s="80" t="str">
        <f t="shared" si="2"/>
        <v xml:space="preserve">  </v>
      </c>
      <c r="C20" s="81" t="str">
        <f t="shared" si="3"/>
        <v xml:space="preserve">  </v>
      </c>
      <c r="D20" s="81" t="str">
        <f t="shared" si="4"/>
        <v xml:space="preserve"> </v>
      </c>
      <c r="E20" s="77" t="str">
        <f t="shared" si="5"/>
        <v xml:space="preserve"> </v>
      </c>
      <c r="G20" s="91"/>
      <c r="H20" s="91"/>
      <c r="Q20" s="66"/>
      <c r="R20" s="67"/>
      <c r="S20" s="68" t="e">
        <f>IF(OR(R24-R23=R23-R22,R25-R23=R23-R22),R22,IF(OR(R24-R23=R23-R21,R25-R23=R23-R21),R21,"-"))</f>
        <v>#VALUE!</v>
      </c>
      <c r="T20" s="69" t="e">
        <f>IFERROR(VLOOKUP(S20,STN_TABLE,2,FALSE),IF(R20=RisePerWLS,0,"-"))</f>
        <v>#VALUE!</v>
      </c>
      <c r="U20" s="69">
        <v>5</v>
      </c>
      <c r="V20" s="69" t="e">
        <f>T20*U20</f>
        <v>#VALUE!</v>
      </c>
      <c r="W20" s="69">
        <v>3</v>
      </c>
      <c r="X20" s="69" t="e">
        <f>T20*W20</f>
        <v>#VALUE!</v>
      </c>
      <c r="Y20" s="6" t="s">
        <v>93</v>
      </c>
      <c r="Z20" s="70" t="e">
        <f>IF(AND(S22-S21=S21-S20,NOT(AND(S20=0,S21=0)),NOT(AND(S21=0,S22=0))),WLS*(S22-S21),"#NA")</f>
        <v>#VALUE!</v>
      </c>
      <c r="AE20" s="80"/>
    </row>
    <row r="21" spans="1:35" x14ac:dyDescent="0.25">
      <c r="A21">
        <v>18</v>
      </c>
      <c r="B21" s="80" t="str">
        <f t="shared" si="2"/>
        <v xml:space="preserve">  </v>
      </c>
      <c r="C21" s="81" t="str">
        <f t="shared" si="3"/>
        <v xml:space="preserve">  </v>
      </c>
      <c r="D21" s="81" t="str">
        <f t="shared" si="4"/>
        <v xml:space="preserve"> </v>
      </c>
      <c r="E21" s="77" t="str">
        <f t="shared" si="5"/>
        <v xml:space="preserve"> </v>
      </c>
      <c r="G21" s="91"/>
      <c r="H21" s="91" t="str">
        <f>G14</f>
        <v>Rise</v>
      </c>
      <c r="I21" s="79" t="e">
        <f>H14</f>
        <v>#VALUE!</v>
      </c>
      <c r="J21" s="68">
        <v>0</v>
      </c>
      <c r="K21" s="68">
        <v>1</v>
      </c>
      <c r="L21" s="69">
        <f>J21*K21</f>
        <v>0</v>
      </c>
      <c r="M21" t="s">
        <v>93</v>
      </c>
      <c r="N21" t="e">
        <f>(I22-I21)*WLS</f>
        <v>#VALUE!</v>
      </c>
      <c r="Q21" s="66" t="str">
        <f t="shared" ref="Q21:R25" si="8">G5</f>
        <v>1st_UWL</v>
      </c>
      <c r="R21" s="67" t="str">
        <f t="shared" si="8"/>
        <v>#NA</v>
      </c>
      <c r="S21" s="76" t="str">
        <f>R23</f>
        <v>#NA</v>
      </c>
      <c r="T21" s="77" t="e">
        <f>VLOOKUP(S21,STN_TABLE,2,FALSE)</f>
        <v>#N/A</v>
      </c>
      <c r="U21" s="77">
        <v>8</v>
      </c>
      <c r="V21" s="77" t="e">
        <f>T21*U21</f>
        <v>#N/A</v>
      </c>
      <c r="W21" s="77">
        <v>10</v>
      </c>
      <c r="X21" s="77" t="e">
        <f>T21*W21</f>
        <v>#N/A</v>
      </c>
      <c r="Y21" s="78" t="s">
        <v>97</v>
      </c>
      <c r="Z21" s="78"/>
      <c r="AA21" s="78" t="s">
        <v>98</v>
      </c>
      <c r="AB21" s="78"/>
      <c r="AC21" s="7" t="s">
        <v>99</v>
      </c>
      <c r="AD21" s="7"/>
      <c r="AE21" s="80"/>
    </row>
    <row r="22" spans="1:35" x14ac:dyDescent="0.25">
      <c r="A22">
        <v>19</v>
      </c>
      <c r="B22" s="80" t="str">
        <f t="shared" si="2"/>
        <v xml:space="preserve">  </v>
      </c>
      <c r="C22" s="81" t="str">
        <f t="shared" si="3"/>
        <v xml:space="preserve">  </v>
      </c>
      <c r="D22" s="81" t="str">
        <f t="shared" si="4"/>
        <v xml:space="preserve"> </v>
      </c>
      <c r="E22" s="77" t="str">
        <f t="shared" si="5"/>
        <v xml:space="preserve"> </v>
      </c>
      <c r="G22" s="91"/>
      <c r="H22" s="91" t="str">
        <f>G15</f>
        <v>1st_UWL</v>
      </c>
      <c r="I22" s="88" t="str">
        <f>H15</f>
        <v>#NA</v>
      </c>
      <c r="J22" s="82" t="e">
        <f>VLOOKUP(I22,STN_TABLE,2,FALSE)</f>
        <v>#N/A</v>
      </c>
      <c r="K22" s="82">
        <v>2</v>
      </c>
      <c r="L22" s="83" t="e">
        <f>J22*K22</f>
        <v>#N/A</v>
      </c>
      <c r="M22" t="str">
        <f>CONCATENATE("A(",I22,")=")</f>
        <v>A(#NA)=</v>
      </c>
      <c r="N22" t="e">
        <f>2*N21/2*J23</f>
        <v>#VALUE!</v>
      </c>
      <c r="Q22" s="66" t="str">
        <f t="shared" si="8"/>
        <v>2nd_UWL</v>
      </c>
      <c r="R22" s="67" t="str">
        <f t="shared" si="8"/>
        <v>#NA</v>
      </c>
      <c r="S22" s="82" t="e">
        <f>IF(S20-S21=S21-R24,R24,IF(S20-S21=S21-R25,R25,"-"))</f>
        <v>#VALUE!</v>
      </c>
      <c r="T22" s="83" t="e">
        <f>VLOOKUP(S22,STN_TABLE,2,FALSE)</f>
        <v>#VALUE!</v>
      </c>
      <c r="U22" s="83">
        <v>-1</v>
      </c>
      <c r="V22" s="83" t="e">
        <f>T22*U22</f>
        <v>#VALUE!</v>
      </c>
      <c r="W22" s="83">
        <v>-1</v>
      </c>
      <c r="X22" s="83" t="e">
        <f>T22*W22</f>
        <v>#VALUE!</v>
      </c>
      <c r="Y22" s="84" t="str">
        <f>CONCATENATE("a'(",S21,")=")</f>
        <v>a'(#NA)=</v>
      </c>
      <c r="Z22" s="84" t="e">
        <f>2*Z20/12*V23</f>
        <v>#VALUE!</v>
      </c>
      <c r="AA22" s="84" t="e">
        <f>CONCATENATE("A(",S20,")=")</f>
        <v>#VALUE!</v>
      </c>
      <c r="AB22" s="84" t="e">
        <f>IF(S20=RisePerWLS,0,VLOOKUP(S20,STN_TABLE,3,FALSE))</f>
        <v>#VALUE!</v>
      </c>
      <c r="AC22" t="str">
        <f>CONCATENATE("A(",S21,")=")</f>
        <v>A(#NA)=</v>
      </c>
      <c r="AD22" t="e">
        <f>Z22+AB22</f>
        <v>#VALUE!</v>
      </c>
      <c r="AE22" s="80"/>
    </row>
    <row r="23" spans="1:35" x14ac:dyDescent="0.25">
      <c r="A23">
        <v>20</v>
      </c>
      <c r="B23" s="80" t="str">
        <f t="shared" si="2"/>
        <v xml:space="preserve">  </v>
      </c>
      <c r="C23" s="81" t="str">
        <f t="shared" si="3"/>
        <v xml:space="preserve">  </v>
      </c>
      <c r="D23" s="81" t="str">
        <f t="shared" si="4"/>
        <v xml:space="preserve"> </v>
      </c>
      <c r="E23" s="77" t="str">
        <f t="shared" si="5"/>
        <v xml:space="preserve"> </v>
      </c>
      <c r="J23" s="89" t="e">
        <f>SUM(J21:J22)</f>
        <v>#N/A</v>
      </c>
      <c r="L23" s="89" t="e">
        <f>SUM(L21:L22)</f>
        <v>#N/A</v>
      </c>
      <c r="M23" t="str">
        <f>CONCATENATE("M(",I22,")=")</f>
        <v>M(#NA)=</v>
      </c>
      <c r="N23" t="e">
        <f>(2*(N21^2)/6*L23)+N22*I21*WLS</f>
        <v>#VALUE!</v>
      </c>
      <c r="Q23" s="66" t="str">
        <f t="shared" si="8"/>
        <v>3rd_UWL</v>
      </c>
      <c r="R23" s="67" t="str">
        <f t="shared" si="8"/>
        <v>#NA</v>
      </c>
      <c r="V23" s="89" t="e">
        <f>SUM(V20:V22)</f>
        <v>#VALUE!</v>
      </c>
      <c r="X23" s="89" t="e">
        <f>SUM(X20:X22)</f>
        <v>#VALUE!</v>
      </c>
      <c r="Y23" s="84" t="str">
        <f>CONCATENATE("m'(",S21,")=")</f>
        <v>m'(#NA)=</v>
      </c>
      <c r="Z23" s="84" t="e">
        <f>(2*(Z20^2)/24*X23)+(Z22*S20*WLS)</f>
        <v>#VALUE!</v>
      </c>
      <c r="AA23" s="84" t="e">
        <f>CONCATENATE("M(",S20,")=")</f>
        <v>#VALUE!</v>
      </c>
      <c r="AB23" s="84" t="e">
        <f>IF(S20=RisePerWLS,0,VLOOKUP(S20,STN_TABLE,4,FALSE))</f>
        <v>#VALUE!</v>
      </c>
      <c r="AC23" t="str">
        <f>CONCATENATE("M(",S21,")=")</f>
        <v>M(#NA)=</v>
      </c>
      <c r="AD23" t="e">
        <f>Z23+AB23</f>
        <v>#VALUE!</v>
      </c>
      <c r="AE23" s="80"/>
    </row>
    <row r="24" spans="1:35" x14ac:dyDescent="0.25">
      <c r="A24">
        <v>21</v>
      </c>
      <c r="B24" s="80" t="str">
        <f t="shared" si="2"/>
        <v xml:space="preserve">  </v>
      </c>
      <c r="C24" s="81" t="str">
        <f t="shared" si="3"/>
        <v xml:space="preserve">  </v>
      </c>
      <c r="D24" s="81" t="str">
        <f t="shared" si="4"/>
        <v xml:space="preserve"> </v>
      </c>
      <c r="E24" s="77" t="str">
        <f t="shared" si="5"/>
        <v xml:space="preserve"> </v>
      </c>
      <c r="Q24" s="66" t="str">
        <f t="shared" si="8"/>
        <v>4th_UWL</v>
      </c>
      <c r="R24" s="67" t="str">
        <f t="shared" si="8"/>
        <v>#NA</v>
      </c>
      <c r="U24" t="s">
        <v>103</v>
      </c>
      <c r="W24" t="str">
        <f>CONCATENATE("A(",S21,")=")</f>
        <v>A(#NA)=</v>
      </c>
      <c r="X24" t="e">
        <f>IF(OR(AD22&lt;=0,AD23&lt;=0),AD27,AD22)</f>
        <v>#VALUE!</v>
      </c>
      <c r="AE24" s="80"/>
    </row>
    <row r="25" spans="1:35" x14ac:dyDescent="0.25">
      <c r="A25">
        <v>22</v>
      </c>
      <c r="B25" s="80" t="str">
        <f t="shared" si="2"/>
        <v xml:space="preserve">  </v>
      </c>
      <c r="C25" s="81" t="str">
        <f t="shared" si="3"/>
        <v xml:space="preserve">  </v>
      </c>
      <c r="D25" s="81" t="str">
        <f t="shared" si="4"/>
        <v xml:space="preserve"> </v>
      </c>
      <c r="E25" s="77" t="str">
        <f t="shared" si="5"/>
        <v xml:space="preserve"> </v>
      </c>
      <c r="G25" s="71" t="s">
        <v>111</v>
      </c>
      <c r="Q25" s="66" t="str">
        <f t="shared" si="8"/>
        <v>5th_UWL</v>
      </c>
      <c r="R25" s="67" t="str">
        <f t="shared" si="8"/>
        <v>#NA</v>
      </c>
      <c r="W25" t="str">
        <f>CONCATENATE("M(",S21,")=")</f>
        <v>M(#NA)=</v>
      </c>
      <c r="X25" t="e">
        <f>IF(OR(AD22&lt;=0,AD23&lt;=0),AD28,AD23)</f>
        <v>#VALUE!</v>
      </c>
      <c r="Y25" s="6" t="s">
        <v>93</v>
      </c>
      <c r="Z25" s="70" t="e">
        <f>WLS*(U27-U26)</f>
        <v>#VALUE!</v>
      </c>
      <c r="AE25" s="80"/>
    </row>
    <row r="26" spans="1:35" x14ac:dyDescent="0.25">
      <c r="A26">
        <v>23</v>
      </c>
      <c r="B26" s="80" t="str">
        <f t="shared" si="2"/>
        <v xml:space="preserve">  </v>
      </c>
      <c r="C26" s="81" t="str">
        <f t="shared" si="3"/>
        <v xml:space="preserve">  </v>
      </c>
      <c r="D26" s="81" t="str">
        <f t="shared" si="4"/>
        <v xml:space="preserve"> </v>
      </c>
      <c r="E26" s="77" t="str">
        <f t="shared" si="5"/>
        <v xml:space="preserve"> </v>
      </c>
      <c r="G26" s="91" t="str">
        <f t="shared" ref="G26:H28" si="9">G4</f>
        <v>Rise</v>
      </c>
      <c r="H26" s="91" t="e">
        <f t="shared" si="9"/>
        <v>#VALUE!</v>
      </c>
      <c r="I26" s="68" t="e">
        <f>H26</f>
        <v>#VALUE!</v>
      </c>
      <c r="J26" s="69">
        <v>0</v>
      </c>
      <c r="K26" s="69">
        <v>1</v>
      </c>
      <c r="L26" s="69">
        <f>J26*K26</f>
        <v>0</v>
      </c>
      <c r="M26" s="69" t="e">
        <f>I26</f>
        <v>#VALUE!</v>
      </c>
      <c r="N26" s="69" t="e">
        <f>L26*M26</f>
        <v>#VALUE!</v>
      </c>
      <c r="O26" t="s">
        <v>93</v>
      </c>
      <c r="P26" t="e">
        <f>IF(OR(J26=0,J27=0,J28=0),"#NA",IF(I28-I27=I27-I26,WLS*(I27-I26),"#NA"))</f>
        <v>#VALUE!</v>
      </c>
      <c r="Q26" s="66"/>
      <c r="R26" s="67"/>
      <c r="U26" s="79" t="str">
        <f>R22</f>
        <v>#NA</v>
      </c>
      <c r="V26" s="68" t="e">
        <f>VLOOKUP(U26,STN_TABLE,2,FALSE)</f>
        <v>#N/A</v>
      </c>
      <c r="W26" s="68">
        <v>1</v>
      </c>
      <c r="X26" s="69" t="e">
        <f>V26*W26</f>
        <v>#N/A</v>
      </c>
      <c r="Y26" s="78" t="s">
        <v>97</v>
      </c>
      <c r="Z26" s="78"/>
      <c r="AA26" s="78" t="s">
        <v>98</v>
      </c>
      <c r="AB26" s="78"/>
      <c r="AC26" s="7" t="s">
        <v>99</v>
      </c>
      <c r="AD26" s="7"/>
      <c r="AE26" s="80"/>
    </row>
    <row r="27" spans="1:35" x14ac:dyDescent="0.25">
      <c r="A27">
        <v>24</v>
      </c>
      <c r="B27" s="80" t="str">
        <f t="shared" si="2"/>
        <v xml:space="preserve">  </v>
      </c>
      <c r="C27" s="81" t="str">
        <f t="shared" si="3"/>
        <v xml:space="preserve">  </v>
      </c>
      <c r="D27" s="81" t="str">
        <f t="shared" si="4"/>
        <v xml:space="preserve"> </v>
      </c>
      <c r="E27" s="77" t="str">
        <f t="shared" si="5"/>
        <v xml:space="preserve"> </v>
      </c>
      <c r="G27" s="91" t="str">
        <f t="shared" si="9"/>
        <v>1st_UWL</v>
      </c>
      <c r="H27" s="91" t="str">
        <f t="shared" si="9"/>
        <v>#NA</v>
      </c>
      <c r="I27" s="76" t="e">
        <f>IF(H28-H27=H27-H26,H28,"#NA")</f>
        <v>#VALUE!</v>
      </c>
      <c r="J27" s="77" t="e">
        <f>VLOOKUP(I27,STN_TABLE,2,FALSE)</f>
        <v>#VALUE!</v>
      </c>
      <c r="K27" s="77">
        <v>4</v>
      </c>
      <c r="L27" s="77" t="e">
        <f>J27*K27</f>
        <v>#VALUE!</v>
      </c>
      <c r="M27" s="77" t="e">
        <f>I27</f>
        <v>#VALUE!</v>
      </c>
      <c r="N27" s="77" t="e">
        <f>L27*M27</f>
        <v>#VALUE!</v>
      </c>
      <c r="O27" t="e">
        <f>CONCATENATE("A(",I28,")=")</f>
        <v>#VALUE!</v>
      </c>
      <c r="P27" t="e">
        <f>2*P26/3*L29</f>
        <v>#VALUE!</v>
      </c>
      <c r="Q27" s="80"/>
      <c r="R27" s="81"/>
      <c r="U27" s="88" t="str">
        <f>R23</f>
        <v>#NA</v>
      </c>
      <c r="V27" s="82" t="e">
        <f>VLOOKUP(U27,STN_TABLE,2,FALSE)</f>
        <v>#N/A</v>
      </c>
      <c r="W27" s="82">
        <v>2</v>
      </c>
      <c r="X27" s="83" t="e">
        <f>V27*W27</f>
        <v>#N/A</v>
      </c>
      <c r="Y27" s="84" t="str">
        <f>CONCATENATE("a'(",U27,")=")</f>
        <v>a'(#NA)=</v>
      </c>
      <c r="Z27" s="84" t="e">
        <f>2*Z25/2*V28</f>
        <v>#VALUE!</v>
      </c>
      <c r="AA27" s="84" t="str">
        <f>CONCATENATE("A(",U26,")=")</f>
        <v>A(#NA)=</v>
      </c>
      <c r="AB27" s="84" t="e">
        <f>IF(U26=RisePerWLS,0,VLOOKUP(U26,STN_TABLE,3,FALSE))</f>
        <v>#VALUE!</v>
      </c>
      <c r="AC27" t="str">
        <f>CONCATENATE("A(",U27,")=")</f>
        <v>A(#NA)=</v>
      </c>
      <c r="AD27" t="e">
        <f>Z27+AB27</f>
        <v>#VALUE!</v>
      </c>
      <c r="AE27" s="80"/>
    </row>
    <row r="28" spans="1:35" x14ac:dyDescent="0.25">
      <c r="A28">
        <v>25</v>
      </c>
      <c r="B28" s="88" t="str">
        <f t="shared" si="2"/>
        <v xml:space="preserve">  </v>
      </c>
      <c r="C28" s="92" t="str">
        <f t="shared" si="3"/>
        <v xml:space="preserve">  </v>
      </c>
      <c r="D28" s="81" t="str">
        <f t="shared" si="4"/>
        <v xml:space="preserve"> </v>
      </c>
      <c r="E28" s="77" t="str">
        <f t="shared" si="5"/>
        <v xml:space="preserve"> </v>
      </c>
      <c r="G28" s="91" t="str">
        <f t="shared" si="9"/>
        <v>2nd_UWL</v>
      </c>
      <c r="H28" s="91" t="str">
        <f t="shared" si="9"/>
        <v>#NA</v>
      </c>
      <c r="I28" s="82" t="e">
        <f>IF(H28-H27=H27-H26,H28,"#NA")</f>
        <v>#VALUE!</v>
      </c>
      <c r="J28" s="83" t="e">
        <f>VLOOKUP(I28,STN_TABLE,2,FALSE)</f>
        <v>#VALUE!</v>
      </c>
      <c r="K28" s="83">
        <v>1</v>
      </c>
      <c r="L28" s="83" t="e">
        <f>J28*K28</f>
        <v>#VALUE!</v>
      </c>
      <c r="M28" s="83" t="e">
        <f>I28</f>
        <v>#VALUE!</v>
      </c>
      <c r="N28" s="83" t="e">
        <f>L28*M28</f>
        <v>#VALUE!</v>
      </c>
      <c r="O28" t="e">
        <f>CONCATENATE("M(",I28,")=")</f>
        <v>#VALUE!</v>
      </c>
      <c r="P28" t="e">
        <f>2*(P26*WLS)/3*N29</f>
        <v>#VALUE!</v>
      </c>
      <c r="Q28" s="80"/>
      <c r="R28" s="81"/>
      <c r="V28" s="89" t="e">
        <f>SUM(V26:V27)</f>
        <v>#N/A</v>
      </c>
      <c r="X28" s="89" t="e">
        <f>SUM(X26:X27)</f>
        <v>#N/A</v>
      </c>
      <c r="Y28" s="84" t="str">
        <f>CONCATENATE("m'(",U27,")=")</f>
        <v>m'(#NA)=</v>
      </c>
      <c r="Z28" s="84" t="e">
        <f>(2*(Z25^2)/6*X28)+(Z27*U26*WLS)</f>
        <v>#VALUE!</v>
      </c>
      <c r="AA28" s="84" t="str">
        <f>CONCATENATE("M(",U26,")=")</f>
        <v>M(#NA)=</v>
      </c>
      <c r="AB28" s="84" t="e">
        <f>IF(U26=RisePerWLS,0,VLOOKUP(U26,STN_TABLE,4,FALSE))</f>
        <v>#VALUE!</v>
      </c>
      <c r="AC28" t="str">
        <f>CONCATENATE("M(",U27,")=")</f>
        <v>M(#NA)=</v>
      </c>
      <c r="AD28" t="e">
        <f>Z28+AB28</f>
        <v>#VALUE!</v>
      </c>
      <c r="AE28" s="80"/>
    </row>
    <row r="29" spans="1:35" x14ac:dyDescent="0.25">
      <c r="G29" s="91"/>
      <c r="H29" s="91"/>
      <c r="L29" s="89" t="e">
        <f>SUM(L26:L28)</f>
        <v>#VALUE!</v>
      </c>
      <c r="N29" s="89" t="e">
        <f>SUM(N26:N28)</f>
        <v>#VALUE!</v>
      </c>
      <c r="Q29" s="80"/>
      <c r="R29" s="81"/>
      <c r="AE29" s="80"/>
    </row>
    <row r="30" spans="1:35" x14ac:dyDescent="0.25">
      <c r="G30" s="91"/>
      <c r="H30" s="91"/>
    </row>
    <row r="31" spans="1:35" x14ac:dyDescent="0.25">
      <c r="G31" s="91"/>
      <c r="H31" s="91"/>
    </row>
    <row r="32" spans="1:35" x14ac:dyDescent="0.25">
      <c r="G32" s="91"/>
      <c r="H32" s="91"/>
      <c r="Q32" s="68">
        <f>B4</f>
        <v>0</v>
      </c>
      <c r="R32" s="69">
        <f>VLOOKUP(Q32,STN_TABLE,2,FALSE)</f>
        <v>5.9</v>
      </c>
      <c r="S32" s="69">
        <v>5</v>
      </c>
      <c r="T32" s="68">
        <f>R32*S32</f>
        <v>29.5</v>
      </c>
      <c r="U32" s="79">
        <v>3</v>
      </c>
      <c r="V32" s="68">
        <f>R32*U32</f>
        <v>17.700000000000003</v>
      </c>
      <c r="W32" t="s">
        <v>93</v>
      </c>
      <c r="X32" s="70">
        <f>IF(AND(Q34-Q33=Q33-Q32,NOT(AND(Q32=0,Q33=0)),NOT(AND(Q33=0,Q34=0))),WLS*(Q34-Q33),"#NA")</f>
        <v>0.5</v>
      </c>
      <c r="AD32" s="93"/>
      <c r="AH32" s="6" t="s">
        <v>93</v>
      </c>
      <c r="AI32" s="70">
        <f>WLS*(AD34-AD33)</f>
        <v>0.5</v>
      </c>
    </row>
    <row r="33" spans="1:47" x14ac:dyDescent="0.25">
      <c r="Q33" s="76">
        <f>B5</f>
        <v>0.25</v>
      </c>
      <c r="R33" s="77">
        <f>VLOOKUP(Q33,STN_TABLE,2,FALSE)</f>
        <v>7.26</v>
      </c>
      <c r="S33" s="77">
        <v>8</v>
      </c>
      <c r="T33" s="76">
        <f>R33*S33</f>
        <v>58.08</v>
      </c>
      <c r="U33" s="80">
        <v>10</v>
      </c>
      <c r="V33" s="76">
        <f>R33*U33</f>
        <v>72.599999999999994</v>
      </c>
      <c r="W33" s="495" t="s">
        <v>97</v>
      </c>
      <c r="X33" s="496"/>
      <c r="Y33" s="496" t="s">
        <v>98</v>
      </c>
      <c r="Z33" s="496"/>
      <c r="AA33" s="494" t="s">
        <v>99</v>
      </c>
      <c r="AB33" s="494"/>
      <c r="AC33" s="94">
        <v>1</v>
      </c>
      <c r="AD33" s="95">
        <f>VLOOKUP(AC33,STN_TABLE_2,2,FALSE)</f>
        <v>0</v>
      </c>
      <c r="AE33" s="68">
        <f>VLOOKUP(AD33,STN_TABLE,2,FALSE)</f>
        <v>5.9</v>
      </c>
      <c r="AF33" s="68">
        <v>1</v>
      </c>
      <c r="AG33" s="69">
        <f>AE33*AF33</f>
        <v>5.9</v>
      </c>
      <c r="AH33" s="496" t="s">
        <v>97</v>
      </c>
      <c r="AI33" s="496"/>
      <c r="AJ33" s="496" t="s">
        <v>98</v>
      </c>
      <c r="AK33" s="496"/>
      <c r="AL33" s="494" t="s">
        <v>99</v>
      </c>
      <c r="AM33" s="494"/>
      <c r="AP33" s="96" t="s">
        <v>112</v>
      </c>
      <c r="AQ33" s="89" t="s">
        <v>113</v>
      </c>
      <c r="AR33" s="89" t="s">
        <v>114</v>
      </c>
      <c r="AS33" s="89" t="s">
        <v>115</v>
      </c>
      <c r="AT33" s="97" t="s">
        <v>116</v>
      </c>
      <c r="AU33" s="98"/>
    </row>
    <row r="34" spans="1:47" x14ac:dyDescent="0.25">
      <c r="Q34" s="82">
        <f>B6</f>
        <v>0.5</v>
      </c>
      <c r="R34" s="83">
        <f>VLOOKUP(Q34,STN_TABLE,2,FALSE)</f>
        <v>8.1199999999999992</v>
      </c>
      <c r="S34" s="83">
        <v>-1</v>
      </c>
      <c r="T34" s="82">
        <f>R34*S34</f>
        <v>-8.1199999999999992</v>
      </c>
      <c r="U34" s="88">
        <v>-1</v>
      </c>
      <c r="V34" s="82">
        <f>R34*U34</f>
        <v>-8.1199999999999992</v>
      </c>
      <c r="W34" s="84" t="str">
        <f>CONCATENATE("a'(",Q33,")=")</f>
        <v>a'(0.25)=</v>
      </c>
      <c r="X34" s="84">
        <f>2*X32/12*T35</f>
        <v>6.6216666666666661</v>
      </c>
      <c r="Y34" s="84" t="str">
        <f>CONCATENATE("A(",Q32,")=")</f>
        <v>A(0)=</v>
      </c>
      <c r="Z34" s="84">
        <f>VLOOKUP(Q32,STN_TABLE,3,FALSE)</f>
        <v>0</v>
      </c>
      <c r="AA34" t="str">
        <f>CONCATENATE("A(",Q33,")=")</f>
        <v>A(0.25)=</v>
      </c>
      <c r="AB34">
        <f>X34+Z34</f>
        <v>6.6216666666666661</v>
      </c>
      <c r="AC34" s="99">
        <f>AC33+1</f>
        <v>2</v>
      </c>
      <c r="AD34" s="100">
        <f>VLOOKUP(AC34,STN_TABLE_2,2,FALSE)</f>
        <v>0.25</v>
      </c>
      <c r="AE34" s="82">
        <f>VLOOKUP(AD34,STN_TABLE,2,FALSE)</f>
        <v>7.26</v>
      </c>
      <c r="AF34" s="82">
        <v>2</v>
      </c>
      <c r="AG34" s="83">
        <f>AE34*AF34</f>
        <v>14.52</v>
      </c>
      <c r="AH34" s="84" t="str">
        <f>CONCATENATE("a'(",AD34,")=")</f>
        <v>a'(0.25)=</v>
      </c>
      <c r="AI34" s="84">
        <f>2*AI32/2*AE35</f>
        <v>6.58</v>
      </c>
      <c r="AJ34" s="84" t="str">
        <f>CONCATENATE("A(",AD33,")=")</f>
        <v>A(0)=</v>
      </c>
      <c r="AK34" s="84">
        <f>VLOOKUP(AD33,STN_TABLE,3,FALSE)</f>
        <v>0</v>
      </c>
      <c r="AL34" t="str">
        <f>CONCATENATE("A(",AD34,")=")</f>
        <v>A(0.25)=</v>
      </c>
      <c r="AM34">
        <f>AI34+AK34</f>
        <v>6.58</v>
      </c>
      <c r="AO34" s="68" t="str">
        <f>AA34</f>
        <v>A(0.25)=</v>
      </c>
      <c r="AP34" s="79" t="e">
        <f>VLOOKUP(AO34,Rise_Results,2,FALSE)</f>
        <v>#N/A</v>
      </c>
      <c r="AQ34" s="76" t="s">
        <v>117</v>
      </c>
      <c r="AR34" s="76">
        <f>IF(OR(AB34&lt;=0,AB35&lt;=0),1/0,AB34)</f>
        <v>6.6216666666666661</v>
      </c>
      <c r="AS34" s="76">
        <f>AM34</f>
        <v>6.58</v>
      </c>
      <c r="AT34" s="80">
        <f>IFERROR(AP34,IFERROR(AR34,AS34))</f>
        <v>6.6216666666666661</v>
      </c>
    </row>
    <row r="35" spans="1:47" x14ac:dyDescent="0.25">
      <c r="A35" s="101"/>
      <c r="T35" s="89">
        <f>SUM(T32:T34)</f>
        <v>79.459999999999994</v>
      </c>
      <c r="V35" s="82">
        <f>SUM(V32:V34)</f>
        <v>82.179999999999993</v>
      </c>
      <c r="W35" s="84" t="str">
        <f>CONCATENATE("m'(",Q33,")=")</f>
        <v>m'(0.25)=</v>
      </c>
      <c r="X35" s="84">
        <f>(2*(X32^2)/24*V35)</f>
        <v>1.7120833333333332</v>
      </c>
      <c r="Y35" s="84" t="str">
        <f>CONCATENATE("M(",Q32,")=")</f>
        <v>M(0)=</v>
      </c>
      <c r="Z35" s="84">
        <f>VLOOKUP(Q32,STN_TABLE,4,FALSE)</f>
        <v>0</v>
      </c>
      <c r="AA35" t="str">
        <f>CONCATENATE("M(",Q33,")=")</f>
        <v>M(0.25)=</v>
      </c>
      <c r="AB35">
        <f>X35+Z35</f>
        <v>1.7120833333333332</v>
      </c>
      <c r="AE35" s="89">
        <f>SUM(AE33:AE34)</f>
        <v>13.16</v>
      </c>
      <c r="AG35" s="89">
        <f>SUM(AG33:AG34)</f>
        <v>20.420000000000002</v>
      </c>
      <c r="AH35" s="84" t="str">
        <f>CONCATENATE("m'(",AD34,")=")</f>
        <v>m'(0.25)=</v>
      </c>
      <c r="AI35" s="84">
        <f>(2*(AI32^2)/6*AG35)+(AI34*AD33*WLS)</f>
        <v>1.7016666666666667</v>
      </c>
      <c r="AJ35" s="84" t="str">
        <f>CONCATENATE("M(",AD33,")=")</f>
        <v>M(0)=</v>
      </c>
      <c r="AK35" s="84">
        <f>VLOOKUP(AD33,STN_TABLE,4,FALSE)</f>
        <v>0</v>
      </c>
      <c r="AL35" t="str">
        <f>CONCATENATE("M(",AD34,")=")</f>
        <v>M(0.25)=</v>
      </c>
      <c r="AM35">
        <f>AI35+AK35</f>
        <v>1.7016666666666667</v>
      </c>
      <c r="AO35" s="82" t="str">
        <f>AA35</f>
        <v>M(0.25)=</v>
      </c>
      <c r="AP35" s="88" t="e">
        <f>VLOOKUP(AO35,Rise_Results,2,FALSE)</f>
        <v>#N/A</v>
      </c>
      <c r="AQ35" s="82" t="s">
        <v>117</v>
      </c>
      <c r="AR35" s="82">
        <f>IF(OR(AB34&lt;=0,AB35&lt;=0),1/0,AB35)</f>
        <v>1.7120833333333332</v>
      </c>
      <c r="AS35" s="82">
        <f>AM35</f>
        <v>1.7016666666666667</v>
      </c>
      <c r="AT35" s="80">
        <f>IFERROR(AP35,IFERROR(AR35,AS35))</f>
        <v>1.7120833333333332</v>
      </c>
    </row>
    <row r="36" spans="1:47" x14ac:dyDescent="0.25">
      <c r="O36" s="94">
        <v>1</v>
      </c>
      <c r="P36" s="101">
        <f t="shared" ref="P36:P67" si="10">VLOOKUP(O36,STN_TABLE_2,2,FALSE)</f>
        <v>0</v>
      </c>
      <c r="AU36" s="81"/>
    </row>
    <row r="37" spans="1:47" x14ac:dyDescent="0.25">
      <c r="A37" s="94">
        <v>1</v>
      </c>
      <c r="B37" s="94">
        <f>VLOOKUP(A37,STN_TABLE_2,2,FALSE)</f>
        <v>0</v>
      </c>
      <c r="C37" s="79">
        <f>B37</f>
        <v>0</v>
      </c>
      <c r="D37" s="68">
        <f>VLOOKUP(C37,STN_TABLE,2,FALSE)</f>
        <v>5.9</v>
      </c>
      <c r="E37" s="102">
        <v>1</v>
      </c>
      <c r="F37" s="68">
        <f>D37*E37</f>
        <v>5.9</v>
      </c>
      <c r="G37" s="69">
        <f>C37</f>
        <v>0</v>
      </c>
      <c r="H37" s="69">
        <f>F37*G37</f>
        <v>0</v>
      </c>
      <c r="I37" s="6" t="s">
        <v>93</v>
      </c>
      <c r="J37" s="70">
        <f>IF(OR(D37=0,D38=0,D39=0),"#NA",IF(AND(C39-C38=C38-C37,C38&lt;&gt;C39,C37&lt;&gt;C38,C37&lt;&gt;C39,D39&lt;&gt;0,OR(D37&lt;&gt;0,D38&lt;&gt;0)),WLS*(C39-C38),"#NA"))</f>
        <v>0.5</v>
      </c>
      <c r="O37" s="99">
        <f>O36+1</f>
        <v>2</v>
      </c>
      <c r="P37" s="99">
        <f t="shared" si="10"/>
        <v>0.25</v>
      </c>
      <c r="Q37" s="68">
        <f>IF(OR(P39-P38=P38-P37,P40-P38=P38-P37),P37,IF(OR(P39-P38=P38-P36,P40-P38=P38-P36),P36,"-"))</f>
        <v>0.25</v>
      </c>
      <c r="R37" s="69">
        <f>VLOOKUP(Q37,STN_TABLE,2,FALSE)</f>
        <v>7.26</v>
      </c>
      <c r="S37" s="69">
        <v>5</v>
      </c>
      <c r="T37" s="68">
        <f>R37*S37</f>
        <v>36.299999999999997</v>
      </c>
      <c r="U37" s="79">
        <v>3</v>
      </c>
      <c r="V37" s="68">
        <f>R37*U37</f>
        <v>21.78</v>
      </c>
      <c r="W37" s="6" t="s">
        <v>93</v>
      </c>
      <c r="X37" s="70">
        <f>IF(AND(Q39-Q38=Q38-Q37,NOT(AND(Q37=0,Q38=0)),NOT(AND(Q38=0,Q39=0))),WLS*(Q39-Q38),"#NA")</f>
        <v>0.5</v>
      </c>
      <c r="AD37" s="93"/>
      <c r="AH37" s="6" t="s">
        <v>93</v>
      </c>
      <c r="AI37" s="70">
        <f>WLS*(AD39-AD38)</f>
        <v>0.5</v>
      </c>
      <c r="AU37" s="81"/>
    </row>
    <row r="38" spans="1:47" x14ac:dyDescent="0.25">
      <c r="A38" s="94">
        <f>A37+1</f>
        <v>2</v>
      </c>
      <c r="B38" s="94">
        <f>VLOOKUP(A38,STN_TABLE_2,2,FALSE)</f>
        <v>0.25</v>
      </c>
      <c r="C38" s="80">
        <f>B38</f>
        <v>0.25</v>
      </c>
      <c r="D38" s="76">
        <f>VLOOKUP(C38,STN_TABLE,2,FALSE)</f>
        <v>7.26</v>
      </c>
      <c r="E38" s="81">
        <v>4</v>
      </c>
      <c r="F38" s="76">
        <f>D38*E38</f>
        <v>29.04</v>
      </c>
      <c r="G38" s="77">
        <f>C38</f>
        <v>0.25</v>
      </c>
      <c r="H38" s="77">
        <f>F38*G38</f>
        <v>7.26</v>
      </c>
      <c r="I38" s="496" t="s">
        <v>97</v>
      </c>
      <c r="J38" s="496"/>
      <c r="K38" s="78" t="s">
        <v>98</v>
      </c>
      <c r="L38" s="78"/>
      <c r="M38" s="7" t="s">
        <v>99</v>
      </c>
      <c r="N38" s="7"/>
      <c r="O38" s="99">
        <f>O37+1</f>
        <v>3</v>
      </c>
      <c r="P38" s="99">
        <f t="shared" si="10"/>
        <v>0.5</v>
      </c>
      <c r="Q38" s="76">
        <f>P38</f>
        <v>0.5</v>
      </c>
      <c r="R38" s="77">
        <f>VLOOKUP(Q38,STN_TABLE,2,FALSE)</f>
        <v>8.1199999999999992</v>
      </c>
      <c r="S38" s="77">
        <v>8</v>
      </c>
      <c r="T38" s="76">
        <f>R38*S38</f>
        <v>64.959999999999994</v>
      </c>
      <c r="U38" s="80">
        <v>10</v>
      </c>
      <c r="V38" s="76">
        <f>R38*U38</f>
        <v>81.199999999999989</v>
      </c>
      <c r="W38" s="496" t="s">
        <v>97</v>
      </c>
      <c r="X38" s="496"/>
      <c r="Y38" s="496" t="s">
        <v>98</v>
      </c>
      <c r="Z38" s="496"/>
      <c r="AA38" s="494" t="s">
        <v>99</v>
      </c>
      <c r="AB38" s="494"/>
      <c r="AC38" s="99">
        <f>AC33+1</f>
        <v>2</v>
      </c>
      <c r="AD38" s="95">
        <f>VLOOKUP(AC38,STN_TABLE_2,2,FALSE)</f>
        <v>0.25</v>
      </c>
      <c r="AE38" s="68">
        <f>VLOOKUP(AD38,STN_TABLE,2,FALSE)</f>
        <v>7.26</v>
      </c>
      <c r="AF38" s="68">
        <v>1</v>
      </c>
      <c r="AG38" s="69">
        <f>AE38*AF38</f>
        <v>7.26</v>
      </c>
      <c r="AH38" s="496" t="s">
        <v>97</v>
      </c>
      <c r="AI38" s="496"/>
      <c r="AJ38" s="496" t="s">
        <v>98</v>
      </c>
      <c r="AK38" s="496"/>
      <c r="AL38" s="494" t="s">
        <v>99</v>
      </c>
      <c r="AM38" s="494"/>
      <c r="AP38" s="86" t="s">
        <v>112</v>
      </c>
      <c r="AQ38" s="89" t="s">
        <v>113</v>
      </c>
      <c r="AR38" s="89" t="s">
        <v>114</v>
      </c>
      <c r="AS38" s="89" t="s">
        <v>115</v>
      </c>
    </row>
    <row r="39" spans="1:47" x14ac:dyDescent="0.25">
      <c r="A39" s="94">
        <f>A38+1</f>
        <v>3</v>
      </c>
      <c r="B39" s="94">
        <f>VLOOKUP(A39,STN_TABLE_2,2,FALSE)</f>
        <v>0.5</v>
      </c>
      <c r="C39" s="88">
        <f>B39</f>
        <v>0.5</v>
      </c>
      <c r="D39" s="82">
        <f>VLOOKUP(C39,STN_TABLE,2,FALSE)</f>
        <v>8.1199999999999992</v>
      </c>
      <c r="E39" s="92">
        <v>1</v>
      </c>
      <c r="F39" s="82">
        <f>D39*E39</f>
        <v>8.1199999999999992</v>
      </c>
      <c r="G39" s="83">
        <f>C39</f>
        <v>0.5</v>
      </c>
      <c r="H39" s="83">
        <f>F39*G39</f>
        <v>4.0599999999999996</v>
      </c>
      <c r="I39" s="84" t="str">
        <f>CONCATENATE("a'(",C39,")=")</f>
        <v>a'(0.5)=</v>
      </c>
      <c r="J39" s="84">
        <f>2*J37/3*F40</f>
        <v>14.353333333333332</v>
      </c>
      <c r="K39" s="84" t="str">
        <f>CONCATENATE("A(",C37,")=")</f>
        <v>A(0)=</v>
      </c>
      <c r="L39" s="84">
        <f>VLOOKUP(C37,STN_TABLE,3,FALSE)</f>
        <v>0</v>
      </c>
      <c r="M39" t="str">
        <f>CONCATENATE("A(",C39,")=")</f>
        <v>A(0.5)=</v>
      </c>
      <c r="N39">
        <f>J39+L39</f>
        <v>14.353333333333332</v>
      </c>
      <c r="O39" s="99">
        <f>O38+1</f>
        <v>4</v>
      </c>
      <c r="P39" s="99">
        <f t="shared" si="10"/>
        <v>0.75</v>
      </c>
      <c r="Q39" s="82">
        <f>IF(P39-P38=P38-P37,P39,IF(P40-P38=P38-P37,P40,IF(P39-P38=P38-P36,P39,IF(P40-P38=P38-P36,P40,"-"))))</f>
        <v>0.75</v>
      </c>
      <c r="R39" s="83">
        <f>VLOOKUP(Q39,STN_TABLE,2,FALSE)</f>
        <v>8.6999999999999993</v>
      </c>
      <c r="S39" s="83">
        <v>-1</v>
      </c>
      <c r="T39" s="82">
        <f>R39*S39</f>
        <v>-8.6999999999999993</v>
      </c>
      <c r="U39" s="88">
        <v>-1</v>
      </c>
      <c r="V39" s="82">
        <f>R39*U39</f>
        <v>-8.6999999999999993</v>
      </c>
      <c r="W39" s="84" t="str">
        <f>CONCATENATE("a'(",Q38,")=")</f>
        <v>a'(0.5)=</v>
      </c>
      <c r="X39" s="84">
        <f>2*X37/12*T40</f>
        <v>7.713333333333332</v>
      </c>
      <c r="Y39" s="84" t="str">
        <f>CONCATENATE("A(",Q37,")=")</f>
        <v>A(0.25)=</v>
      </c>
      <c r="Z39" s="84">
        <f>VLOOKUP(Q37,STN_TABLE,3,FALSE)</f>
        <v>6.6216666666666661</v>
      </c>
      <c r="AA39" t="str">
        <f>CONCATENATE("A(",Q38,")=")</f>
        <v>A(0.5)=</v>
      </c>
      <c r="AB39">
        <f>X39+Z39</f>
        <v>14.334999999999997</v>
      </c>
      <c r="AC39" s="99">
        <f>AC38+1</f>
        <v>3</v>
      </c>
      <c r="AD39" s="100">
        <f>VLOOKUP(AC39,STN_TABLE_2,2,FALSE)</f>
        <v>0.5</v>
      </c>
      <c r="AE39" s="82">
        <f>VLOOKUP(AD39,STN_TABLE,2,FALSE)</f>
        <v>8.1199999999999992</v>
      </c>
      <c r="AF39" s="82">
        <v>2</v>
      </c>
      <c r="AG39" s="83">
        <f>AE39*AF39</f>
        <v>16.239999999999998</v>
      </c>
      <c r="AH39" s="84" t="str">
        <f>CONCATENATE("a'(",AD39,")=")</f>
        <v>a'(0.5)=</v>
      </c>
      <c r="AI39" s="84">
        <f>2*AI37/2*AE40</f>
        <v>7.6899999999999995</v>
      </c>
      <c r="AJ39" s="84" t="str">
        <f>CONCATENATE("A(",AD38,")=")</f>
        <v>A(0.25)=</v>
      </c>
      <c r="AK39" s="84">
        <f>VLOOKUP(AD38,STN_TABLE,3,FALSE)</f>
        <v>6.6216666666666661</v>
      </c>
      <c r="AL39" t="str">
        <f>CONCATENATE("A(",AD39,")=")</f>
        <v>A(0.5)=</v>
      </c>
      <c r="AM39">
        <f>AI39+AK39</f>
        <v>14.311666666666666</v>
      </c>
      <c r="AO39" s="68" t="str">
        <f>AA39</f>
        <v>A(0.5)=</v>
      </c>
      <c r="AP39" s="68" t="e">
        <f>VLOOKUP(AO39,Rise_Results,2,FALSE)</f>
        <v>#N/A</v>
      </c>
      <c r="AQ39" s="76">
        <f>N39</f>
        <v>14.353333333333332</v>
      </c>
      <c r="AR39" s="76">
        <f>IF(OR(AB39&lt;=0,AB40&lt;=0),1/0,AB39)</f>
        <v>14.334999999999997</v>
      </c>
      <c r="AS39" s="76">
        <f>AM39</f>
        <v>14.311666666666666</v>
      </c>
      <c r="AT39">
        <f>IFERROR(AP39,IFERROR(AQ39,IFERROR(AR39,AS39)))</f>
        <v>14.353333333333332</v>
      </c>
    </row>
    <row r="40" spans="1:47" x14ac:dyDescent="0.25">
      <c r="A40">
        <v>4</v>
      </c>
      <c r="F40" s="82">
        <f>SUM(F37:F39)</f>
        <v>43.059999999999995</v>
      </c>
      <c r="H40" s="82">
        <f>SUM(H37:H39)</f>
        <v>11.32</v>
      </c>
      <c r="I40" s="84" t="str">
        <f>CONCATENATE("m'(",C39,")=")</f>
        <v>m'(0.5)=</v>
      </c>
      <c r="J40" s="84">
        <f>2*(J37*(WLS))/3*H40</f>
        <v>7.5466666666666669</v>
      </c>
      <c r="K40" s="84" t="str">
        <f>CONCATENATE("M(",C37,")=")</f>
        <v>M(0)=</v>
      </c>
      <c r="L40" s="84">
        <f>VLOOKUP(C37,STN_TABLE,4,FALSE)</f>
        <v>0</v>
      </c>
      <c r="M40" t="str">
        <f>CONCATENATE("M(",C39,")=")</f>
        <v>M(0.5)=</v>
      </c>
      <c r="N40">
        <f>J40+L40</f>
        <v>7.5466666666666669</v>
      </c>
      <c r="O40" s="99">
        <f>O39+1</f>
        <v>5</v>
      </c>
      <c r="P40" s="99">
        <f t="shared" si="10"/>
        <v>1</v>
      </c>
      <c r="T40" s="89">
        <f>SUM(T37:T39)</f>
        <v>92.559999999999988</v>
      </c>
      <c r="V40" s="82">
        <f>SUM(V37:V39)</f>
        <v>94.279999999999987</v>
      </c>
      <c r="W40" s="84" t="str">
        <f>CONCATENATE("m'(",Q38,")=")</f>
        <v>m'(0.5)=</v>
      </c>
      <c r="X40" s="84">
        <f>(2*(X37^2)/24*V40)+(X39*Q37*WLS)</f>
        <v>5.8208333333333329</v>
      </c>
      <c r="Y40" s="84" t="str">
        <f>CONCATENATE("M(",Q37,")=")</f>
        <v>M(0.25)=</v>
      </c>
      <c r="Z40" s="84">
        <f>VLOOKUP(Q37,STN_TABLE,4,FALSE)</f>
        <v>1.7120833333333332</v>
      </c>
      <c r="AA40" t="str">
        <f>CONCATENATE("M(",Q38,")=")</f>
        <v>M(0.5)=</v>
      </c>
      <c r="AB40">
        <f>X40+Z40</f>
        <v>7.532916666666666</v>
      </c>
      <c r="AE40" s="89">
        <f>SUM(AE38:AE39)</f>
        <v>15.379999999999999</v>
      </c>
      <c r="AG40" s="89">
        <f>SUM(AG38:AG39)</f>
        <v>23.5</v>
      </c>
      <c r="AH40" s="84" t="str">
        <f>CONCATENATE("m'(",AD39,")=")</f>
        <v>m'(0.5)=</v>
      </c>
      <c r="AI40" s="84">
        <f>(2*(AI37^2)/6*AG40)+(AI39*AD38*WLS)</f>
        <v>5.8033333333333328</v>
      </c>
      <c r="AJ40" s="84" t="str">
        <f>CONCATENATE("M(",AD38,")=")</f>
        <v>M(0.25)=</v>
      </c>
      <c r="AK40" s="84">
        <f>VLOOKUP(AD38,STN_TABLE,4,FALSE)</f>
        <v>1.7120833333333332</v>
      </c>
      <c r="AL40" t="str">
        <f>CONCATENATE("M(",AD39,")=")</f>
        <v>M(0.5)=</v>
      </c>
      <c r="AM40">
        <f>AI40+AK40</f>
        <v>7.515416666666666</v>
      </c>
      <c r="AO40" s="82" t="str">
        <f>AA40</f>
        <v>M(0.5)=</v>
      </c>
      <c r="AP40" s="82" t="e">
        <f>VLOOKUP(AO40,Rise_Results,2,FALSE)</f>
        <v>#N/A</v>
      </c>
      <c r="AQ40" s="82">
        <f>N40</f>
        <v>7.5466666666666669</v>
      </c>
      <c r="AR40" s="82">
        <f>IF(OR(AB39&lt;=0,AB40&lt;=0),1/0,AB40)</f>
        <v>7.532916666666666</v>
      </c>
      <c r="AS40" s="82">
        <f>AM40</f>
        <v>7.515416666666666</v>
      </c>
      <c r="AT40">
        <f>IFERROR(AP40,IFERROR(AQ40,IFERROR(AR40,AS40)))</f>
        <v>7.5466666666666669</v>
      </c>
    </row>
    <row r="41" spans="1:47" x14ac:dyDescent="0.25">
      <c r="A41" s="94">
        <v>0</v>
      </c>
      <c r="O41" s="101">
        <f>O36+1</f>
        <v>2</v>
      </c>
      <c r="P41" s="101">
        <f t="shared" si="10"/>
        <v>0.25</v>
      </c>
    </row>
    <row r="42" spans="1:47" x14ac:dyDescent="0.25">
      <c r="A42" s="94">
        <f>A41+1</f>
        <v>1</v>
      </c>
      <c r="B42" s="94">
        <f t="shared" ref="B42:B73" si="11">VLOOKUP(A42,STN_TABLE_2,2,FALSE)</f>
        <v>0</v>
      </c>
      <c r="C42" s="79">
        <f>IF(C43=B43,B42,IF(C43=B44,IF(C44-C43=C43-B43,B43,IF(C44-C43=C43-B42,B42,"NA"))))</f>
        <v>0.25</v>
      </c>
      <c r="D42" s="68">
        <f>VLOOKUP(C42,STN_TABLE,2,FALSE)</f>
        <v>7.26</v>
      </c>
      <c r="E42" s="102">
        <v>1</v>
      </c>
      <c r="F42" s="68">
        <f>D42*E42</f>
        <v>7.26</v>
      </c>
      <c r="G42" s="69">
        <f>C42</f>
        <v>0.25</v>
      </c>
      <c r="H42" s="69">
        <f>F42*G42</f>
        <v>1.8149999999999999</v>
      </c>
      <c r="I42" s="6" t="s">
        <v>93</v>
      </c>
      <c r="J42" s="70">
        <f>IF(OR(D42=0,D43=0,D44=0),"#NA",IF(AND(C44-C43=C43-C42,C43&lt;&gt;C44,C42&lt;&gt;C43,C42&lt;&gt;C44,D44&lt;&gt;0,OR(D42&lt;&gt;0,D43&lt;&gt;0)),WLS*(C44-C43),"#NA"))</f>
        <v>0.5</v>
      </c>
      <c r="O42" s="99">
        <f>O41+1</f>
        <v>3</v>
      </c>
      <c r="P42" s="99">
        <f t="shared" si="10"/>
        <v>0.5</v>
      </c>
      <c r="Q42" s="68">
        <f>IF(OR(P44-P43=P43-P42,P45-P43=P43-P42),P42,IF(OR(P44-P43=P43-P41,P45-P43=P43-P41),P41,"-"))</f>
        <v>0.5</v>
      </c>
      <c r="R42" s="69">
        <f>VLOOKUP(Q42,STN_TABLE,2,FALSE)</f>
        <v>8.1199999999999992</v>
      </c>
      <c r="S42" s="69">
        <v>5</v>
      </c>
      <c r="T42" s="68">
        <f>R42*S42</f>
        <v>40.599999999999994</v>
      </c>
      <c r="U42" s="79">
        <v>3</v>
      </c>
      <c r="V42" s="68">
        <f>R42*U42</f>
        <v>24.36</v>
      </c>
      <c r="W42" s="6" t="s">
        <v>93</v>
      </c>
      <c r="X42" s="70">
        <f>IF(AND(Q44-Q43=Q43-Q42,NOT(AND(Q42=0,Q43=0)),NOT(AND(Q43=0,Q44=0))),WLS*(Q44-Q43),"#NA")</f>
        <v>0.5</v>
      </c>
      <c r="AD42" s="93"/>
      <c r="AH42" s="6" t="s">
        <v>93</v>
      </c>
      <c r="AI42" s="70">
        <f>WLS*(AD44-AD43)</f>
        <v>0.5</v>
      </c>
      <c r="AU42" s="81"/>
    </row>
    <row r="43" spans="1:47" x14ac:dyDescent="0.25">
      <c r="A43" s="94">
        <f>A42+1</f>
        <v>2</v>
      </c>
      <c r="B43" s="94">
        <f t="shared" si="11"/>
        <v>0.25</v>
      </c>
      <c r="C43" s="80">
        <f>IF(OR(B45-B44=B44-B43,B45-B44=B44-B42,),B44,IF(B45-B43=B43-B42,B43,"#NA"))</f>
        <v>0.5</v>
      </c>
      <c r="D43" s="76">
        <f>VLOOKUP(C43,STN_TABLE,2,FALSE)</f>
        <v>8.1199999999999992</v>
      </c>
      <c r="E43" s="81">
        <v>4</v>
      </c>
      <c r="F43" s="76">
        <f>D43*E43</f>
        <v>32.479999999999997</v>
      </c>
      <c r="G43" s="77">
        <f>C43</f>
        <v>0.5</v>
      </c>
      <c r="H43" s="77">
        <f>F43*G43</f>
        <v>16.239999999999998</v>
      </c>
      <c r="I43" s="496" t="s">
        <v>97</v>
      </c>
      <c r="J43" s="496"/>
      <c r="K43" s="78" t="s">
        <v>98</v>
      </c>
      <c r="L43" s="78"/>
      <c r="M43" s="7" t="s">
        <v>99</v>
      </c>
      <c r="N43" s="7"/>
      <c r="O43" s="99">
        <f>O42+1</f>
        <v>4</v>
      </c>
      <c r="P43" s="99">
        <f t="shared" si="10"/>
        <v>0.75</v>
      </c>
      <c r="Q43" s="76">
        <f>P43</f>
        <v>0.75</v>
      </c>
      <c r="R43" s="77">
        <f>VLOOKUP(Q43,STN_TABLE,2,FALSE)</f>
        <v>8.6999999999999993</v>
      </c>
      <c r="S43" s="77">
        <v>8</v>
      </c>
      <c r="T43" s="76">
        <f>R43*S43</f>
        <v>69.599999999999994</v>
      </c>
      <c r="U43" s="80">
        <v>10</v>
      </c>
      <c r="V43" s="76">
        <f>R43*U43</f>
        <v>87</v>
      </c>
      <c r="W43" s="496" t="s">
        <v>97</v>
      </c>
      <c r="X43" s="496"/>
      <c r="Y43" s="496" t="s">
        <v>98</v>
      </c>
      <c r="Z43" s="496"/>
      <c r="AA43" s="494" t="s">
        <v>99</v>
      </c>
      <c r="AB43" s="494"/>
      <c r="AC43" s="99">
        <f>AC38+1</f>
        <v>3</v>
      </c>
      <c r="AD43" s="95">
        <f>VLOOKUP(AC43,STN_TABLE_2,2,FALSE)</f>
        <v>0.5</v>
      </c>
      <c r="AE43" s="68">
        <f>VLOOKUP(AD43,STN_TABLE,2,FALSE)</f>
        <v>8.1199999999999992</v>
      </c>
      <c r="AF43" s="68">
        <v>1</v>
      </c>
      <c r="AG43" s="69">
        <f>AE43*AF43</f>
        <v>8.1199999999999992</v>
      </c>
      <c r="AH43" s="496" t="s">
        <v>97</v>
      </c>
      <c r="AI43" s="496"/>
      <c r="AJ43" s="496" t="s">
        <v>98</v>
      </c>
      <c r="AK43" s="496"/>
      <c r="AL43" s="494" t="s">
        <v>99</v>
      </c>
      <c r="AM43" s="494"/>
      <c r="AP43" s="86" t="s">
        <v>112</v>
      </c>
      <c r="AQ43" s="89" t="s">
        <v>113</v>
      </c>
      <c r="AR43" s="89" t="s">
        <v>114</v>
      </c>
      <c r="AS43" s="89" t="s">
        <v>115</v>
      </c>
      <c r="AU43" s="81"/>
    </row>
    <row r="44" spans="1:47" x14ac:dyDescent="0.25">
      <c r="A44" s="94">
        <f>A43+1</f>
        <v>3</v>
      </c>
      <c r="B44" s="94">
        <f t="shared" si="11"/>
        <v>0.5</v>
      </c>
      <c r="C44" s="88">
        <f>B45</f>
        <v>0.75</v>
      </c>
      <c r="D44" s="82">
        <f>VLOOKUP(C44,STN_TABLE,2,FALSE)</f>
        <v>8.6999999999999993</v>
      </c>
      <c r="E44" s="92">
        <v>1</v>
      </c>
      <c r="F44" s="82">
        <f>D44*E44</f>
        <v>8.6999999999999993</v>
      </c>
      <c r="G44" s="83">
        <f>C44</f>
        <v>0.75</v>
      </c>
      <c r="H44" s="83">
        <f>F44*G44</f>
        <v>6.5249999999999995</v>
      </c>
      <c r="I44" s="84" t="str">
        <f>CONCATENATE("a'(",C44,")=")</f>
        <v>a'(0.75)=</v>
      </c>
      <c r="J44" s="84">
        <f>2*J42/3*F45</f>
        <v>16.146666666666665</v>
      </c>
      <c r="K44" s="84" t="str">
        <f>CONCATENATE("A(",C42,")=")</f>
        <v>A(0.25)=</v>
      </c>
      <c r="L44" s="84">
        <f>VLOOKUP(C42,STN_TABLE,3,FALSE)</f>
        <v>6.6216666666666661</v>
      </c>
      <c r="M44" t="str">
        <f>CONCATENATE("A(",C44,")=")</f>
        <v>A(0.75)=</v>
      </c>
      <c r="N44">
        <f>J44+L44</f>
        <v>22.768333333333331</v>
      </c>
      <c r="O44" s="99">
        <f>O43+1</f>
        <v>5</v>
      </c>
      <c r="P44" s="99">
        <f t="shared" si="10"/>
        <v>1</v>
      </c>
      <c r="Q44" s="82">
        <f>IF(P44-P43=P43-P42,P44,IF(P45-P43=P43-P42,P45,IF(P44-P43=P43-P41,P44,IF(P45-P43=P43-P41,P45,"-"))))</f>
        <v>1</v>
      </c>
      <c r="R44" s="83">
        <f>VLOOKUP(Q44,STN_TABLE,2,FALSE)</f>
        <v>9.07</v>
      </c>
      <c r="S44" s="83">
        <v>-1</v>
      </c>
      <c r="T44" s="82">
        <f>R44*S44</f>
        <v>-9.07</v>
      </c>
      <c r="U44" s="88">
        <v>-1</v>
      </c>
      <c r="V44" s="82">
        <f>R44*U44</f>
        <v>-9.07</v>
      </c>
      <c r="W44" s="84" t="str">
        <f>CONCATENATE("a'(",Q43,")=")</f>
        <v>a'(0.75)=</v>
      </c>
      <c r="X44" s="84">
        <f>2*X42/12*T45</f>
        <v>8.4274999999999984</v>
      </c>
      <c r="Y44" s="84" t="str">
        <f>CONCATENATE("A(",Q42,")=")</f>
        <v>A(0.5)=</v>
      </c>
      <c r="Z44" s="84">
        <f>VLOOKUP(Q42,STN_TABLE,3,FALSE)</f>
        <v>14.353333333333332</v>
      </c>
      <c r="AA44" t="str">
        <f>CONCATENATE("A(",Q43,")=")</f>
        <v>A(0.75)=</v>
      </c>
      <c r="AB44">
        <f>X44+Z44</f>
        <v>22.78083333333333</v>
      </c>
      <c r="AC44" s="99">
        <f>AC43+1</f>
        <v>4</v>
      </c>
      <c r="AD44" s="100">
        <f>VLOOKUP(AC44,STN_TABLE_2,2,FALSE)</f>
        <v>0.75</v>
      </c>
      <c r="AE44" s="82">
        <f>VLOOKUP(AD44,STN_TABLE,2,FALSE)</f>
        <v>8.6999999999999993</v>
      </c>
      <c r="AF44" s="82">
        <v>2</v>
      </c>
      <c r="AG44" s="83">
        <f>AE44*AF44</f>
        <v>17.399999999999999</v>
      </c>
      <c r="AH44" s="84" t="str">
        <f>CONCATENATE("a'(",AD44,")=")</f>
        <v>a'(0.75)=</v>
      </c>
      <c r="AI44" s="84">
        <f>2*AI42/2*AE45</f>
        <v>8.41</v>
      </c>
      <c r="AJ44" s="84" t="str">
        <f>CONCATENATE("A(",AD43,")=")</f>
        <v>A(0.5)=</v>
      </c>
      <c r="AK44" s="84">
        <f>VLOOKUP(AD43,STN_TABLE,3,FALSE)</f>
        <v>14.353333333333332</v>
      </c>
      <c r="AL44" t="str">
        <f>CONCATENATE("A(",AD44,")=")</f>
        <v>A(0.75)=</v>
      </c>
      <c r="AM44">
        <f>AI44+AK44</f>
        <v>22.763333333333332</v>
      </c>
      <c r="AO44" s="68" t="str">
        <f>AA44</f>
        <v>A(0.75)=</v>
      </c>
      <c r="AP44" s="68" t="e">
        <f>VLOOKUP(AO44,Rise_Results,2,FALSE)</f>
        <v>#N/A</v>
      </c>
      <c r="AQ44" s="76">
        <f>N44</f>
        <v>22.768333333333331</v>
      </c>
      <c r="AR44" s="76">
        <f>IF(OR(AB44&lt;=0,AB45&lt;=0),1/0,AB44)</f>
        <v>22.78083333333333</v>
      </c>
      <c r="AS44" s="76">
        <f>AM44</f>
        <v>22.763333333333332</v>
      </c>
      <c r="AT44">
        <f>IFERROR(AP44,IFERROR(AQ44,IFERROR(AR44,AS44)))</f>
        <v>22.768333333333331</v>
      </c>
      <c r="AU44" s="81"/>
    </row>
    <row r="45" spans="1:47" x14ac:dyDescent="0.25">
      <c r="A45" s="94">
        <f>A44+1</f>
        <v>4</v>
      </c>
      <c r="B45" s="94">
        <f t="shared" si="11"/>
        <v>0.75</v>
      </c>
      <c r="F45" s="82">
        <f>SUM(F42:F44)</f>
        <v>48.44</v>
      </c>
      <c r="H45" s="82">
        <f>SUM(H42:H44)</f>
        <v>24.58</v>
      </c>
      <c r="I45" s="84" t="str">
        <f>CONCATENATE("m'(",C44,")=")</f>
        <v>m'(0.75)=</v>
      </c>
      <c r="J45" s="84">
        <f>2*(J42*(WLS))/3*H45</f>
        <v>16.386666666666663</v>
      </c>
      <c r="K45" s="84" t="str">
        <f>CONCATENATE("M(",C42,")=")</f>
        <v>M(0.25)=</v>
      </c>
      <c r="L45" s="84">
        <f>VLOOKUP(C42,STN_TABLE,4,FALSE)</f>
        <v>1.7120833333333332</v>
      </c>
      <c r="M45" t="str">
        <f>CONCATENATE("M(",C44,")=")</f>
        <v>M(0.75)=</v>
      </c>
      <c r="N45">
        <f>J45+L45</f>
        <v>18.098749999999995</v>
      </c>
      <c r="O45" s="99">
        <f>O44+1</f>
        <v>6</v>
      </c>
      <c r="P45" s="99">
        <f t="shared" si="10"/>
        <v>2</v>
      </c>
      <c r="T45" s="89">
        <f>SUM(T42:T44)</f>
        <v>101.13</v>
      </c>
      <c r="V45" s="82">
        <f>SUM(V42:V44)</f>
        <v>102.28999999999999</v>
      </c>
      <c r="W45" s="84" t="str">
        <f>CONCATENATE("m'(",Q43,")=")</f>
        <v>m'(0.75)=</v>
      </c>
      <c r="X45" s="84">
        <f>(2*(X42^2)/24*V45)+(X44*Q42*WLS)</f>
        <v>10.558541666666665</v>
      </c>
      <c r="Y45" s="84" t="str">
        <f>CONCATENATE("M(",Q42,")=")</f>
        <v>M(0.5)=</v>
      </c>
      <c r="Z45" s="84">
        <f>VLOOKUP(Q42,STN_TABLE,4,FALSE)</f>
        <v>7.5466666666666669</v>
      </c>
      <c r="AA45" t="str">
        <f>CONCATENATE("M(",Q43,")=")</f>
        <v>M(0.75)=</v>
      </c>
      <c r="AB45">
        <f>X45+Z45</f>
        <v>18.10520833333333</v>
      </c>
      <c r="AE45" s="89">
        <f>SUM(AE43:AE44)</f>
        <v>16.82</v>
      </c>
      <c r="AG45" s="89">
        <f>SUM(AG43:AG44)</f>
        <v>25.519999999999996</v>
      </c>
      <c r="AH45" s="84" t="str">
        <f>CONCATENATE("m'(",AD44,")=")</f>
        <v>m'(0.75)=</v>
      </c>
      <c r="AI45" s="84">
        <f>(2*(AI42^2)/6*AG45)+(AI44*AD43*WLS)</f>
        <v>10.536666666666665</v>
      </c>
      <c r="AJ45" s="84" t="str">
        <f>CONCATENATE("M(",AD43,")=")</f>
        <v>M(0.5)=</v>
      </c>
      <c r="AK45" s="84">
        <f>VLOOKUP(AD43,STN_TABLE,4,FALSE)</f>
        <v>7.5466666666666669</v>
      </c>
      <c r="AL45" t="str">
        <f>CONCATENATE("M(",AD44,")=")</f>
        <v>M(0.75)=</v>
      </c>
      <c r="AM45">
        <f>AI45+AK45</f>
        <v>18.083333333333332</v>
      </c>
      <c r="AO45" s="82" t="str">
        <f>AA45</f>
        <v>M(0.75)=</v>
      </c>
      <c r="AP45" s="82" t="e">
        <f>VLOOKUP(AO45,Rise_Results,2,FALSE)</f>
        <v>#N/A</v>
      </c>
      <c r="AQ45" s="82">
        <f>N45</f>
        <v>18.098749999999995</v>
      </c>
      <c r="AR45" s="82">
        <f>IF(OR(AB44&lt;=0,AB45&lt;=0),1/0,AB45)</f>
        <v>18.10520833333333</v>
      </c>
      <c r="AS45" s="82">
        <f>AM45</f>
        <v>18.083333333333332</v>
      </c>
      <c r="AT45">
        <f>IFERROR(AP45,IFERROR(AQ45,IFERROR(AR45,AS45)))</f>
        <v>18.098749999999995</v>
      </c>
      <c r="AU45" s="81"/>
    </row>
    <row r="46" spans="1:47" x14ac:dyDescent="0.25">
      <c r="A46" s="101">
        <f>A41+1</f>
        <v>1</v>
      </c>
      <c r="B46" s="101">
        <f t="shared" si="11"/>
        <v>0</v>
      </c>
      <c r="O46" s="101">
        <f>O41+1</f>
        <v>3</v>
      </c>
      <c r="P46" s="101">
        <f t="shared" si="10"/>
        <v>0.5</v>
      </c>
      <c r="AU46" s="81"/>
    </row>
    <row r="47" spans="1:47" x14ac:dyDescent="0.25">
      <c r="A47" s="84">
        <f>A46+1</f>
        <v>2</v>
      </c>
      <c r="B47" s="84">
        <f t="shared" si="11"/>
        <v>0.25</v>
      </c>
      <c r="C47" s="79">
        <f>IF(C48=B49,IF(C49-C48=C48-B48,B48,IF(C49-C48=C48-B47,B47,"#NA")),IF(C48=B48,IF(C49-C48=C48-B47,B47,IF(C49-C48=C48-B46,B46,"#NA")),"#NA"))</f>
        <v>0.5</v>
      </c>
      <c r="D47" s="68">
        <f>VLOOKUP(C47,STN_TABLE,2,FALSE)</f>
        <v>8.1199999999999992</v>
      </c>
      <c r="E47" s="102">
        <v>1</v>
      </c>
      <c r="F47" s="68">
        <f>D47*E47</f>
        <v>8.1199999999999992</v>
      </c>
      <c r="G47" s="69">
        <f>C47</f>
        <v>0.5</v>
      </c>
      <c r="H47" s="69">
        <f>F47*G47</f>
        <v>4.0599999999999996</v>
      </c>
      <c r="I47" s="6" t="s">
        <v>93</v>
      </c>
      <c r="J47" s="70">
        <f>IF(OR(D47=0,D48=0,D49=0),"#NA",IF(AND(C49-C48=C48-C47,C48&lt;&gt;C49,C47&lt;&gt;C48,C47&lt;&gt;C49,D49&lt;&gt;0,OR(D47&lt;&gt;0,D48&lt;&gt;0)),WLS*(C49-C48),"#NA"))</f>
        <v>0.5</v>
      </c>
      <c r="O47" s="99">
        <f>O46+1</f>
        <v>4</v>
      </c>
      <c r="P47" s="99">
        <f t="shared" si="10"/>
        <v>0.75</v>
      </c>
      <c r="Q47" s="68" t="str">
        <f>IF(OR(P49-P48=P48-P47,P50-P48=P48-P47),P47,IF(OR(P49-P48=P48-P46,P50-P48=P48-P46),P46,"-"))</f>
        <v>-</v>
      </c>
      <c r="R47" s="69" t="e">
        <f>VLOOKUP(Q47,STN_TABLE,2,FALSE)</f>
        <v>#N/A</v>
      </c>
      <c r="S47" s="69">
        <v>5</v>
      </c>
      <c r="T47" s="68" t="e">
        <f>R47*S47</f>
        <v>#N/A</v>
      </c>
      <c r="U47" s="79">
        <v>3</v>
      </c>
      <c r="V47" s="68" t="e">
        <f>R47*U47</f>
        <v>#N/A</v>
      </c>
      <c r="W47" s="6" t="s">
        <v>93</v>
      </c>
      <c r="X47" s="70" t="e">
        <f>IF(AND(Q49-Q48=Q48-Q47,NOT(AND(Q47=0,Q48=0)),NOT(AND(Q48=0,Q49=0))),WLS*(Q49-Q48),"#NA")</f>
        <v>#VALUE!</v>
      </c>
      <c r="AD47" s="93"/>
      <c r="AH47" s="6" t="s">
        <v>93</v>
      </c>
      <c r="AI47" s="70">
        <f>WLS*(AD49-AD48)</f>
        <v>0.5</v>
      </c>
      <c r="AU47" s="81"/>
    </row>
    <row r="48" spans="1:47" x14ac:dyDescent="0.25">
      <c r="A48" s="84">
        <f>A47+1</f>
        <v>3</v>
      </c>
      <c r="B48" s="84">
        <f t="shared" si="11"/>
        <v>0.5</v>
      </c>
      <c r="C48" s="80">
        <f>IF(OR(B50-B49=B49-B48,B50-B49=B49-B47,B50-B49=B49-B46),B49,IF(OR(B50-B48=B48-B47,B50-B48=B48-B46),B48,IF(B50-B47=B47-B46,B47,"#NA")))</f>
        <v>0.75</v>
      </c>
      <c r="D48" s="76">
        <f>VLOOKUP(C48,STN_TABLE,2,FALSE)</f>
        <v>8.6999999999999993</v>
      </c>
      <c r="E48" s="81">
        <v>4</v>
      </c>
      <c r="F48" s="76">
        <f>D48*E48</f>
        <v>34.799999999999997</v>
      </c>
      <c r="G48" s="77">
        <f>C48</f>
        <v>0.75</v>
      </c>
      <c r="H48" s="77">
        <f>F48*G48</f>
        <v>26.099999999999998</v>
      </c>
      <c r="I48" s="496" t="s">
        <v>97</v>
      </c>
      <c r="J48" s="496"/>
      <c r="K48" s="78" t="s">
        <v>98</v>
      </c>
      <c r="L48" s="78"/>
      <c r="M48" s="7" t="s">
        <v>99</v>
      </c>
      <c r="N48" s="7"/>
      <c r="O48" s="99">
        <f>O47+1</f>
        <v>5</v>
      </c>
      <c r="P48" s="99">
        <f t="shared" si="10"/>
        <v>1</v>
      </c>
      <c r="Q48" s="76">
        <f>P48</f>
        <v>1</v>
      </c>
      <c r="R48" s="77">
        <f>VLOOKUP(Q48,STN_TABLE,2,FALSE)</f>
        <v>9.07</v>
      </c>
      <c r="S48" s="77">
        <v>8</v>
      </c>
      <c r="T48" s="76">
        <f>R48*S48</f>
        <v>72.56</v>
      </c>
      <c r="U48" s="80">
        <v>10</v>
      </c>
      <c r="V48" s="76">
        <f>R48*U48</f>
        <v>90.7</v>
      </c>
      <c r="W48" s="496" t="s">
        <v>97</v>
      </c>
      <c r="X48" s="496"/>
      <c r="Y48" s="496" t="s">
        <v>98</v>
      </c>
      <c r="Z48" s="496"/>
      <c r="AA48" s="494" t="s">
        <v>99</v>
      </c>
      <c r="AB48" s="494"/>
      <c r="AC48" s="99">
        <f>AC43+1</f>
        <v>4</v>
      </c>
      <c r="AD48" s="95">
        <f>VLOOKUP(AC48,STN_TABLE_2,2,FALSE)</f>
        <v>0.75</v>
      </c>
      <c r="AE48" s="68">
        <f>VLOOKUP(AD48,STN_TABLE,2,FALSE)</f>
        <v>8.6999999999999993</v>
      </c>
      <c r="AF48" s="68">
        <v>1</v>
      </c>
      <c r="AG48" s="69">
        <f>AE48*AF48</f>
        <v>8.6999999999999993</v>
      </c>
      <c r="AH48" s="496" t="s">
        <v>97</v>
      </c>
      <c r="AI48" s="496"/>
      <c r="AJ48" s="496" t="s">
        <v>98</v>
      </c>
      <c r="AK48" s="496"/>
      <c r="AL48" s="494" t="s">
        <v>99</v>
      </c>
      <c r="AM48" s="494"/>
      <c r="AP48" s="86" t="s">
        <v>112</v>
      </c>
      <c r="AQ48" s="89" t="s">
        <v>113</v>
      </c>
      <c r="AR48" s="89" t="s">
        <v>114</v>
      </c>
      <c r="AS48" s="89" t="s">
        <v>115</v>
      </c>
      <c r="AU48" s="81"/>
    </row>
    <row r="49" spans="1:47" x14ac:dyDescent="0.25">
      <c r="A49" s="84">
        <f>A48+1</f>
        <v>4</v>
      </c>
      <c r="B49" s="84">
        <f t="shared" si="11"/>
        <v>0.75</v>
      </c>
      <c r="C49" s="88">
        <f>B50</f>
        <v>1</v>
      </c>
      <c r="D49" s="82">
        <f>VLOOKUP(C49,STN_TABLE,2,FALSE)</f>
        <v>9.07</v>
      </c>
      <c r="E49" s="92">
        <v>1</v>
      </c>
      <c r="F49" s="82">
        <f>D49*E49</f>
        <v>9.07</v>
      </c>
      <c r="G49" s="83">
        <f>C49</f>
        <v>1</v>
      </c>
      <c r="H49" s="83">
        <f>F49*G49</f>
        <v>9.07</v>
      </c>
      <c r="I49" s="84" t="str">
        <f>CONCATENATE("a'(",C49,")=")</f>
        <v>a'(1)=</v>
      </c>
      <c r="J49" s="84">
        <f>2*J47/3*F50</f>
        <v>17.329999999999998</v>
      </c>
      <c r="K49" s="84" t="str">
        <f>CONCATENATE("A(",C47,")=")</f>
        <v>A(0.5)=</v>
      </c>
      <c r="L49" s="84">
        <f>VLOOKUP(C47,STN_TABLE,3,FALSE)</f>
        <v>14.353333333333332</v>
      </c>
      <c r="M49" t="str">
        <f>CONCATENATE("A(",C49,")=")</f>
        <v>A(1)=</v>
      </c>
      <c r="N49">
        <f>J49+L49</f>
        <v>31.68333333333333</v>
      </c>
      <c r="O49" s="99">
        <f>O48+1</f>
        <v>6</v>
      </c>
      <c r="P49" s="99">
        <f t="shared" si="10"/>
        <v>2</v>
      </c>
      <c r="Q49" s="82" t="str">
        <f>IF(P49-P48=P48-P47,P49,IF(P50-P48=P48-P47,P50,IF(P49-P48=P48-P46,P49,IF(P50-P48=P48-P46,P50,"-"))))</f>
        <v>-</v>
      </c>
      <c r="R49" s="83" t="e">
        <f>VLOOKUP(Q49,STN_TABLE,2,FALSE)</f>
        <v>#N/A</v>
      </c>
      <c r="S49" s="83">
        <v>-1</v>
      </c>
      <c r="T49" s="82" t="e">
        <f>R49*S49</f>
        <v>#N/A</v>
      </c>
      <c r="U49" s="88">
        <v>-1</v>
      </c>
      <c r="V49" s="82" t="e">
        <f>R49*U49</f>
        <v>#N/A</v>
      </c>
      <c r="W49" s="84" t="str">
        <f>CONCATENATE("a'(",Q48,")=")</f>
        <v>a'(1)=</v>
      </c>
      <c r="X49" s="84" t="e">
        <f>2*X47/12*T50</f>
        <v>#VALUE!</v>
      </c>
      <c r="Y49" s="84" t="str">
        <f>CONCATENATE("A(",Q47,")=")</f>
        <v>A(-)=</v>
      </c>
      <c r="Z49" s="84" t="e">
        <f>VLOOKUP(Q47,STN_TABLE,3,FALSE)</f>
        <v>#N/A</v>
      </c>
      <c r="AA49" t="str">
        <f>CONCATENATE("A(",Q48,")=")</f>
        <v>A(1)=</v>
      </c>
      <c r="AB49" t="e">
        <f>X49+Z49</f>
        <v>#VALUE!</v>
      </c>
      <c r="AC49" s="99">
        <f>AC48+1</f>
        <v>5</v>
      </c>
      <c r="AD49" s="100">
        <f>VLOOKUP(AC49,STN_TABLE_2,2,FALSE)</f>
        <v>1</v>
      </c>
      <c r="AE49" s="82">
        <f>VLOOKUP(AD49,STN_TABLE,2,FALSE)</f>
        <v>9.07</v>
      </c>
      <c r="AF49" s="82">
        <v>2</v>
      </c>
      <c r="AG49" s="83">
        <f>AE49*AF49</f>
        <v>18.14</v>
      </c>
      <c r="AH49" s="84" t="str">
        <f>CONCATENATE("a'(",AD49,")=")</f>
        <v>a'(1)=</v>
      </c>
      <c r="AI49" s="84">
        <f>2*AI47/2*AE50</f>
        <v>8.8849999999999998</v>
      </c>
      <c r="AJ49" s="84" t="str">
        <f>CONCATENATE("A(",AD48,")=")</f>
        <v>A(0.75)=</v>
      </c>
      <c r="AK49" s="84">
        <f>VLOOKUP(AD48,STN_TABLE,3,FALSE)</f>
        <v>22.768333333333331</v>
      </c>
      <c r="AL49" t="str">
        <f>CONCATENATE("A(",AD49,")=")</f>
        <v>A(1)=</v>
      </c>
      <c r="AM49">
        <f>AI49+AK49</f>
        <v>31.653333333333329</v>
      </c>
      <c r="AO49" s="68" t="str">
        <f>AA49</f>
        <v>A(1)=</v>
      </c>
      <c r="AP49" s="68" t="e">
        <f>VLOOKUP(AO49,Rise_Results,2,FALSE)</f>
        <v>#N/A</v>
      </c>
      <c r="AQ49" s="76">
        <f>N49</f>
        <v>31.68333333333333</v>
      </c>
      <c r="AR49" s="76" t="e">
        <f>IF(OR(AB49&lt;=0,AB50&lt;=0),1/0,AB49)</f>
        <v>#VALUE!</v>
      </c>
      <c r="AS49" s="76">
        <f>AM49</f>
        <v>31.653333333333329</v>
      </c>
      <c r="AT49">
        <f>IFERROR(AP49,IFERROR(AQ49,IFERROR(AR49,AS49)))</f>
        <v>31.68333333333333</v>
      </c>
      <c r="AU49" s="81"/>
    </row>
    <row r="50" spans="1:47" x14ac:dyDescent="0.25">
      <c r="A50" s="84">
        <f>A49+1</f>
        <v>5</v>
      </c>
      <c r="B50" s="84">
        <f t="shared" si="11"/>
        <v>1</v>
      </c>
      <c r="F50" s="82">
        <f>SUM(F47:F49)</f>
        <v>51.989999999999995</v>
      </c>
      <c r="H50" s="82">
        <f>SUM(H47:H49)</f>
        <v>39.229999999999997</v>
      </c>
      <c r="I50" s="84" t="str">
        <f>CONCATENATE("m'(",C49,")=")</f>
        <v>m'(1)=</v>
      </c>
      <c r="J50" s="84">
        <f>2*(J47*(WLS))/3*H50</f>
        <v>26.153333333333329</v>
      </c>
      <c r="K50" s="84" t="str">
        <f>CONCATENATE("M(",C47,")=")</f>
        <v>M(0.5)=</v>
      </c>
      <c r="L50" s="84">
        <f>VLOOKUP(C47,STN_TABLE,4,FALSE)</f>
        <v>7.5466666666666669</v>
      </c>
      <c r="M50" t="str">
        <f>CONCATENATE("M(",C49,")=")</f>
        <v>M(1)=</v>
      </c>
      <c r="N50">
        <f>J50+L50</f>
        <v>33.699999999999996</v>
      </c>
      <c r="O50" s="99">
        <f>O49+1</f>
        <v>7</v>
      </c>
      <c r="P50" s="99">
        <f t="shared" si="10"/>
        <v>3</v>
      </c>
      <c r="T50" s="89" t="e">
        <f>SUM(T47:T49)</f>
        <v>#N/A</v>
      </c>
      <c r="V50" s="82" t="e">
        <f>SUM(V47:V49)</f>
        <v>#N/A</v>
      </c>
      <c r="W50" s="84" t="str">
        <f>CONCATENATE("m'(",Q48,")=")</f>
        <v>m'(1)=</v>
      </c>
      <c r="X50" s="84" t="e">
        <f>(2*(X47^2)/24*V50)+(X49*Q47*WLS)</f>
        <v>#VALUE!</v>
      </c>
      <c r="Y50" s="84" t="str">
        <f>CONCATENATE("M(",Q47,")=")</f>
        <v>M(-)=</v>
      </c>
      <c r="Z50" s="84" t="e">
        <f>VLOOKUP(Q47,STN_TABLE,4,FALSE)</f>
        <v>#N/A</v>
      </c>
      <c r="AA50" t="str">
        <f>CONCATENATE("M(",Q48,")=")</f>
        <v>M(1)=</v>
      </c>
      <c r="AB50" t="e">
        <f>X50+Z50</f>
        <v>#VALUE!</v>
      </c>
      <c r="AE50" s="89">
        <f>SUM(AE48:AE49)</f>
        <v>17.77</v>
      </c>
      <c r="AG50" s="89">
        <f>SUM(AG48:AG49)</f>
        <v>26.84</v>
      </c>
      <c r="AH50" s="84" t="str">
        <f>CONCATENATE("m'(",AD49,")=")</f>
        <v>m'(1)=</v>
      </c>
      <c r="AI50" s="84">
        <f>(2*(AI47^2)/6*AG50)+(AI49*AD48*WLS)</f>
        <v>15.564166666666667</v>
      </c>
      <c r="AJ50" s="84" t="str">
        <f>CONCATENATE("M(",AD48,")=")</f>
        <v>M(0.75)=</v>
      </c>
      <c r="AK50" s="84">
        <f>VLOOKUP(AD48,STN_TABLE,4,FALSE)</f>
        <v>18.098749999999995</v>
      </c>
      <c r="AL50" t="str">
        <f>CONCATENATE("M(",AD49,")=")</f>
        <v>M(1)=</v>
      </c>
      <c r="AM50">
        <f>AI50+AK50</f>
        <v>33.662916666666661</v>
      </c>
      <c r="AO50" s="82" t="str">
        <f>AA50</f>
        <v>M(1)=</v>
      </c>
      <c r="AP50" s="82" t="e">
        <f>VLOOKUP(AO50,Rise_Results,2,FALSE)</f>
        <v>#N/A</v>
      </c>
      <c r="AQ50" s="82">
        <f>N50</f>
        <v>33.699999999999996</v>
      </c>
      <c r="AR50" s="82" t="e">
        <f>IF(OR(AB49&lt;=0,AB50&lt;=0),1/0,AB50)</f>
        <v>#VALUE!</v>
      </c>
      <c r="AS50" s="82">
        <f>AM50</f>
        <v>33.662916666666661</v>
      </c>
      <c r="AT50">
        <f>IFERROR(AP50,IFERROR(AQ50,IFERROR(AR50,AS50)))</f>
        <v>33.699999999999996</v>
      </c>
      <c r="AU50" s="81"/>
    </row>
    <row r="51" spans="1:47" x14ac:dyDescent="0.25">
      <c r="A51" s="101">
        <f>A46+1</f>
        <v>2</v>
      </c>
      <c r="B51" s="101">
        <f t="shared" si="11"/>
        <v>0.25</v>
      </c>
      <c r="O51" s="101">
        <f>O46+1</f>
        <v>4</v>
      </c>
      <c r="P51" s="101">
        <f t="shared" si="10"/>
        <v>0.75</v>
      </c>
      <c r="AU51" s="81"/>
    </row>
    <row r="52" spans="1:47" x14ac:dyDescent="0.25">
      <c r="A52" s="84">
        <f>A51+1</f>
        <v>3</v>
      </c>
      <c r="B52" s="84">
        <f t="shared" si="11"/>
        <v>0.5</v>
      </c>
      <c r="C52" s="79" t="str">
        <f t="shared" ref="C52" si="12">IF(C53=B54,IF(C54-C53=C53-B53,B53,IF(C54-C53=C53-B52,B52,"#NA")),IF(C53=B53,IF(C54-C53=C53-B52,B52,IF(C54-C53=C53-B51,B51,"#NA")),"#NA"))</f>
        <v>#NA</v>
      </c>
      <c r="D52" s="68" t="e">
        <f>VLOOKUP(C52,STN_TABLE,2,FALSE)</f>
        <v>#N/A</v>
      </c>
      <c r="E52" s="102">
        <v>1</v>
      </c>
      <c r="F52" s="68" t="e">
        <f>D52*E52</f>
        <v>#N/A</v>
      </c>
      <c r="G52" s="69" t="str">
        <f>C52</f>
        <v>#NA</v>
      </c>
      <c r="H52" s="69" t="e">
        <f>F52*G52</f>
        <v>#N/A</v>
      </c>
      <c r="I52" s="6" t="s">
        <v>93</v>
      </c>
      <c r="J52" s="70" t="e">
        <f>IF(OR(D52=0,D53=0,D54=0),"#NA",IF(AND(C54-C53=C53-C52,C53&lt;&gt;C54,C52&lt;&gt;C53,C52&lt;&gt;C54,D54&lt;&gt;0,OR(D52&lt;&gt;0,D53&lt;&gt;0)),WLS*(C54-C53),"#NA"))</f>
        <v>#N/A</v>
      </c>
      <c r="O52" s="99">
        <f>O51+1</f>
        <v>5</v>
      </c>
      <c r="P52" s="99">
        <f t="shared" si="10"/>
        <v>1</v>
      </c>
      <c r="Q52" s="68">
        <f>IF(OR(P54-P53=P53-P52,P55-P53=P53-P52),P52,IF(OR(P54-P53=P53-P51,P55-P53=P53-P51),P51,"-"))</f>
        <v>1</v>
      </c>
      <c r="R52" s="69">
        <f>VLOOKUP(Q52,STN_TABLE,2,FALSE)</f>
        <v>9.07</v>
      </c>
      <c r="S52" s="69">
        <v>5</v>
      </c>
      <c r="T52" s="68">
        <f>R52*S52</f>
        <v>45.35</v>
      </c>
      <c r="U52" s="79">
        <v>3</v>
      </c>
      <c r="V52" s="68">
        <f>R52*U52</f>
        <v>27.21</v>
      </c>
      <c r="W52" s="6" t="s">
        <v>93</v>
      </c>
      <c r="X52" s="70">
        <f>IF(AND(Q54-Q53=Q53-Q52,NOT(AND(Q52=0,Q53=0)),NOT(AND(Q53=0,Q54=0))),WLS*(Q54-Q53),"#NA")</f>
        <v>2</v>
      </c>
      <c r="AD52" s="93"/>
      <c r="AH52" s="6" t="s">
        <v>93</v>
      </c>
      <c r="AI52" s="70">
        <f>WLS*(AD54-AD53)</f>
        <v>2</v>
      </c>
      <c r="AU52" s="81"/>
    </row>
    <row r="53" spans="1:47" x14ac:dyDescent="0.25">
      <c r="A53" s="84">
        <f>A52+1</f>
        <v>4</v>
      </c>
      <c r="B53" s="84">
        <f t="shared" si="11"/>
        <v>0.75</v>
      </c>
      <c r="C53" s="80" t="str">
        <f t="shared" ref="C53" si="13">IF(OR(B55-B54=B54-B53,B55-B54=B54-B52,B55-B54=B54-B51),B54,IF(OR(B55-B53=B53-B52,B55-B53=B53-B51),B53,IF(B55-B52=B52-B51,B52,"#NA")))</f>
        <v>#NA</v>
      </c>
      <c r="D53" s="76" t="e">
        <f>VLOOKUP(C53,STN_TABLE,2,FALSE)</f>
        <v>#N/A</v>
      </c>
      <c r="E53" s="81">
        <v>4</v>
      </c>
      <c r="F53" s="76" t="e">
        <f>D53*E53</f>
        <v>#N/A</v>
      </c>
      <c r="G53" s="77" t="str">
        <f>C53</f>
        <v>#NA</v>
      </c>
      <c r="H53" s="77" t="e">
        <f>F53*G53</f>
        <v>#N/A</v>
      </c>
      <c r="I53" s="495" t="s">
        <v>97</v>
      </c>
      <c r="J53" s="496"/>
      <c r="K53" s="78" t="s">
        <v>98</v>
      </c>
      <c r="L53" s="78"/>
      <c r="M53" s="7" t="s">
        <v>99</v>
      </c>
      <c r="N53" s="7"/>
      <c r="O53" s="99">
        <f>O52+1</f>
        <v>6</v>
      </c>
      <c r="P53" s="99">
        <f t="shared" si="10"/>
        <v>2</v>
      </c>
      <c r="Q53" s="76">
        <f>P53</f>
        <v>2</v>
      </c>
      <c r="R53" s="77">
        <f>VLOOKUP(Q53,STN_TABLE,2,FALSE)</f>
        <v>9.9499999999999993</v>
      </c>
      <c r="S53" s="77">
        <v>8</v>
      </c>
      <c r="T53" s="76">
        <f>R53*S53</f>
        <v>79.599999999999994</v>
      </c>
      <c r="U53" s="80">
        <v>10</v>
      </c>
      <c r="V53" s="76">
        <f>R53*U53</f>
        <v>99.5</v>
      </c>
      <c r="W53" s="496" t="s">
        <v>97</v>
      </c>
      <c r="X53" s="496"/>
      <c r="Y53" s="496" t="s">
        <v>98</v>
      </c>
      <c r="Z53" s="496"/>
      <c r="AA53" s="494" t="s">
        <v>99</v>
      </c>
      <c r="AB53" s="494"/>
      <c r="AC53" s="99">
        <f>AC48+1</f>
        <v>5</v>
      </c>
      <c r="AD53" s="95">
        <f>VLOOKUP(AC53,STN_TABLE_2,2,FALSE)</f>
        <v>1</v>
      </c>
      <c r="AE53" s="68">
        <f>VLOOKUP(AD53,STN_TABLE,2,FALSE)</f>
        <v>9.07</v>
      </c>
      <c r="AF53" s="68">
        <v>1</v>
      </c>
      <c r="AG53" s="69">
        <f>AE53*AF53</f>
        <v>9.07</v>
      </c>
      <c r="AH53" s="496" t="s">
        <v>97</v>
      </c>
      <c r="AI53" s="496"/>
      <c r="AJ53" s="496" t="s">
        <v>98</v>
      </c>
      <c r="AK53" s="496"/>
      <c r="AL53" s="494" t="s">
        <v>99</v>
      </c>
      <c r="AM53" s="494"/>
      <c r="AP53" s="86" t="s">
        <v>112</v>
      </c>
      <c r="AQ53" s="89" t="s">
        <v>113</v>
      </c>
      <c r="AR53" s="89" t="s">
        <v>114</v>
      </c>
      <c r="AS53" s="89" t="s">
        <v>115</v>
      </c>
      <c r="AU53" s="81"/>
    </row>
    <row r="54" spans="1:47" x14ac:dyDescent="0.25">
      <c r="A54" s="84">
        <f>A53+1</f>
        <v>5</v>
      </c>
      <c r="B54" s="84">
        <f t="shared" si="11"/>
        <v>1</v>
      </c>
      <c r="C54" s="88">
        <f t="shared" ref="C54" si="14">B55</f>
        <v>2</v>
      </c>
      <c r="D54" s="82">
        <f>VLOOKUP(C54,STN_TABLE,2,FALSE)</f>
        <v>9.9499999999999993</v>
      </c>
      <c r="E54" s="92">
        <v>1</v>
      </c>
      <c r="F54" s="82">
        <f>D54*E54</f>
        <v>9.9499999999999993</v>
      </c>
      <c r="G54" s="83">
        <f>C54</f>
        <v>2</v>
      </c>
      <c r="H54" s="83">
        <f>F54*G54</f>
        <v>19.899999999999999</v>
      </c>
      <c r="I54" s="84" t="str">
        <f>CONCATENATE("a'(",C54,")=")</f>
        <v>a'(2)=</v>
      </c>
      <c r="J54" s="84" t="e">
        <f>2*J52/3*F55</f>
        <v>#N/A</v>
      </c>
      <c r="K54" s="84" t="str">
        <f>CONCATENATE("A(",C52,")=")</f>
        <v>A(#NA)=</v>
      </c>
      <c r="L54" s="84" t="e">
        <f>VLOOKUP(C52,STN_TABLE,3,FALSE)</f>
        <v>#N/A</v>
      </c>
      <c r="M54" t="str">
        <f>CONCATENATE("A(",C54,")=")</f>
        <v>A(2)=</v>
      </c>
      <c r="N54" t="e">
        <f>J54+L54</f>
        <v>#N/A</v>
      </c>
      <c r="O54" s="99">
        <f>O53+1</f>
        <v>7</v>
      </c>
      <c r="P54" s="99">
        <f t="shared" si="10"/>
        <v>3</v>
      </c>
      <c r="Q54" s="82">
        <f>IF(P54-P53=P53-P52,P54,IF(P55-P53=P53-P52,P55,IF(P54-P53=P53-P51,P54,IF(P55-P53=P53-P51,P55,"-"))))</f>
        <v>3</v>
      </c>
      <c r="R54" s="83">
        <f>VLOOKUP(Q54,STN_TABLE,2,FALSE)</f>
        <v>10.3</v>
      </c>
      <c r="S54" s="83">
        <v>-1</v>
      </c>
      <c r="T54" s="82">
        <f>R54*S54</f>
        <v>-10.3</v>
      </c>
      <c r="U54" s="88">
        <v>-1</v>
      </c>
      <c r="V54" s="82">
        <f>R54*U54</f>
        <v>-10.3</v>
      </c>
      <c r="W54" s="84" t="str">
        <f>CONCATENATE("a'(",Q53,")=")</f>
        <v>a'(2)=</v>
      </c>
      <c r="X54" s="84">
        <f>2*X52/12*T55</f>
        <v>38.216666666666661</v>
      </c>
      <c r="Y54" s="84" t="str">
        <f>CONCATENATE("A(",Q52,")=")</f>
        <v>A(1)=</v>
      </c>
      <c r="Z54" s="84">
        <f>VLOOKUP(Q52,STN_TABLE,3,FALSE)</f>
        <v>31.68333333333333</v>
      </c>
      <c r="AA54" t="str">
        <f>CONCATENATE("A(",Q53,")=")</f>
        <v>A(2)=</v>
      </c>
      <c r="AB54">
        <f>X54+Z54</f>
        <v>69.899999999999991</v>
      </c>
      <c r="AC54" s="99">
        <f>AC53+1</f>
        <v>6</v>
      </c>
      <c r="AD54" s="100">
        <f>VLOOKUP(AC54,STN_TABLE_2,2,FALSE)</f>
        <v>2</v>
      </c>
      <c r="AE54" s="82">
        <f>VLOOKUP(AD54,STN_TABLE,2,FALSE)</f>
        <v>9.9499999999999993</v>
      </c>
      <c r="AF54" s="82">
        <v>2</v>
      </c>
      <c r="AG54" s="83">
        <f>AE54*AF54</f>
        <v>19.899999999999999</v>
      </c>
      <c r="AH54" s="84" t="str">
        <f>CONCATENATE("a'(",AD54,")=")</f>
        <v>a'(2)=</v>
      </c>
      <c r="AI54" s="84">
        <f>2*AI52/2*AE55</f>
        <v>38.04</v>
      </c>
      <c r="AJ54" s="84" t="str">
        <f>CONCATENATE("A(",AD53,")=")</f>
        <v>A(1)=</v>
      </c>
      <c r="AK54" s="84">
        <f>VLOOKUP(AD53,STN_TABLE,3,FALSE)</f>
        <v>31.68333333333333</v>
      </c>
      <c r="AL54" t="str">
        <f>CONCATENATE("A(",AD54,")=")</f>
        <v>A(2)=</v>
      </c>
      <c r="AM54">
        <f>AI54+AK54</f>
        <v>69.723333333333329</v>
      </c>
      <c r="AO54" s="68" t="str">
        <f>AA54</f>
        <v>A(2)=</v>
      </c>
      <c r="AP54" s="68" t="e">
        <f>VLOOKUP(AO54,Rise_Results,2,FALSE)</f>
        <v>#N/A</v>
      </c>
      <c r="AQ54" s="76" t="e">
        <f>N54</f>
        <v>#N/A</v>
      </c>
      <c r="AR54" s="76">
        <f>IF(OR(AB54&lt;=0,AB55&lt;=0),1/0,AB54)</f>
        <v>69.899999999999991</v>
      </c>
      <c r="AS54" s="76">
        <f>AM54</f>
        <v>69.723333333333329</v>
      </c>
      <c r="AT54">
        <f>IFERROR(AP54,IFERROR(AQ54,IFERROR(AR54,AS54)))</f>
        <v>69.899999999999991</v>
      </c>
      <c r="AU54" s="81"/>
    </row>
    <row r="55" spans="1:47" x14ac:dyDescent="0.25">
      <c r="A55" s="84">
        <f>A54+1</f>
        <v>6</v>
      </c>
      <c r="B55" s="84">
        <f t="shared" si="11"/>
        <v>2</v>
      </c>
      <c r="F55" s="82" t="e">
        <f>SUM(F52:F54)</f>
        <v>#N/A</v>
      </c>
      <c r="H55" s="82" t="e">
        <f>SUM(H52:H54)</f>
        <v>#N/A</v>
      </c>
      <c r="I55" s="84" t="str">
        <f>CONCATENATE("m'(",C54,")=")</f>
        <v>m'(2)=</v>
      </c>
      <c r="J55" s="84" t="e">
        <f>2*(J52*(WLS))/3*H55</f>
        <v>#N/A</v>
      </c>
      <c r="K55" s="84" t="str">
        <f>CONCATENATE("M(",C52,")=")</f>
        <v>M(#NA)=</v>
      </c>
      <c r="L55" s="84" t="e">
        <f>VLOOKUP(C52,STN_TABLE,4,FALSE)</f>
        <v>#N/A</v>
      </c>
      <c r="M55" t="str">
        <f>CONCATENATE("M(",C54,")=")</f>
        <v>M(2)=</v>
      </c>
      <c r="N55" t="e">
        <f>J55+L55</f>
        <v>#N/A</v>
      </c>
      <c r="O55" s="99">
        <f>O54+1</f>
        <v>8</v>
      </c>
      <c r="P55" s="99">
        <f t="shared" si="10"/>
        <v>4</v>
      </c>
      <c r="T55" s="89">
        <f>SUM(T52:T54)</f>
        <v>114.64999999999999</v>
      </c>
      <c r="V55" s="82">
        <f>SUM(V52:V54)</f>
        <v>116.41000000000001</v>
      </c>
      <c r="W55" s="84" t="str">
        <f>CONCATENATE("m'(",Q53,")=")</f>
        <v>m'(2)=</v>
      </c>
      <c r="X55" s="84">
        <f>(2*(X52^2)/24*V55)+(X54*Q52*WLS)</f>
        <v>115.23666666666665</v>
      </c>
      <c r="Y55" s="84" t="str">
        <f>CONCATENATE("M(",Q52,")=")</f>
        <v>M(1)=</v>
      </c>
      <c r="Z55" s="84">
        <f>VLOOKUP(Q52,STN_TABLE,4,FALSE)</f>
        <v>33.699999999999996</v>
      </c>
      <c r="AA55" t="str">
        <f>CONCATENATE("M(",Q53,")=")</f>
        <v>M(2)=</v>
      </c>
      <c r="AB55">
        <f>X55+Z55</f>
        <v>148.93666666666664</v>
      </c>
      <c r="AE55" s="89">
        <f>SUM(AE53:AE54)</f>
        <v>19.02</v>
      </c>
      <c r="AG55" s="89">
        <f>SUM(AG53:AG54)</f>
        <v>28.97</v>
      </c>
      <c r="AH55" s="84" t="str">
        <f>CONCATENATE("m'(",AD54,")=")</f>
        <v>m'(2)=</v>
      </c>
      <c r="AI55" s="84">
        <f>(2*(AI52^2)/6*AG55)+(AI54*AD53*WLS)</f>
        <v>114.70666666666666</v>
      </c>
      <c r="AJ55" s="84" t="str">
        <f>CONCATENATE("M(",AD53,")=")</f>
        <v>M(1)=</v>
      </c>
      <c r="AK55" s="84">
        <f>VLOOKUP(AD53,STN_TABLE,4,FALSE)</f>
        <v>33.699999999999996</v>
      </c>
      <c r="AL55" t="str">
        <f>CONCATENATE("M(",AD54,")=")</f>
        <v>M(2)=</v>
      </c>
      <c r="AM55">
        <f>AI55+AK55</f>
        <v>148.40666666666667</v>
      </c>
      <c r="AO55" s="82" t="str">
        <f>AA55</f>
        <v>M(2)=</v>
      </c>
      <c r="AP55" s="82" t="e">
        <f>VLOOKUP(AO55,Rise_Results,2,FALSE)</f>
        <v>#N/A</v>
      </c>
      <c r="AQ55" s="82" t="e">
        <f>N55</f>
        <v>#N/A</v>
      </c>
      <c r="AR55" s="82">
        <f>IF(OR(AB54&lt;=0,AB55&lt;=0),1/0,AB55)</f>
        <v>148.93666666666664</v>
      </c>
      <c r="AS55" s="82">
        <f>AM55</f>
        <v>148.40666666666667</v>
      </c>
      <c r="AT55">
        <f>IFERROR(AP55,IFERROR(AQ55,IFERROR(AR55,AS55)))</f>
        <v>148.93666666666664</v>
      </c>
      <c r="AU55" s="81"/>
    </row>
    <row r="56" spans="1:47" x14ac:dyDescent="0.25">
      <c r="A56" s="101">
        <f>A51+1</f>
        <v>3</v>
      </c>
      <c r="B56" s="101">
        <f t="shared" si="11"/>
        <v>0.5</v>
      </c>
      <c r="O56" s="101">
        <f>O51+1</f>
        <v>5</v>
      </c>
      <c r="P56" s="101">
        <f t="shared" si="10"/>
        <v>1</v>
      </c>
      <c r="AU56" s="81"/>
    </row>
    <row r="57" spans="1:47" x14ac:dyDescent="0.25">
      <c r="A57" s="84">
        <f>A56+1</f>
        <v>4</v>
      </c>
      <c r="B57" s="84">
        <f t="shared" si="11"/>
        <v>0.75</v>
      </c>
      <c r="C57" s="79">
        <f t="shared" ref="C57" si="15">IF(C58=B59,IF(C59-C58=C58-B58,B58,IF(C59-C58=C58-B57,B57,"#NA")),IF(C58=B58,IF(C59-C58=C58-B57,B57,IF(C59-C58=C58-B56,B56,"#NA")),"#NA"))</f>
        <v>1</v>
      </c>
      <c r="D57" s="68">
        <f>VLOOKUP(C57,STN_TABLE,2,FALSE)</f>
        <v>9.07</v>
      </c>
      <c r="E57" s="102">
        <v>1</v>
      </c>
      <c r="F57" s="68">
        <f>D57*E57</f>
        <v>9.07</v>
      </c>
      <c r="G57" s="69">
        <f>C57</f>
        <v>1</v>
      </c>
      <c r="H57" s="69">
        <f>F57*G57</f>
        <v>9.07</v>
      </c>
      <c r="I57" s="6" t="s">
        <v>93</v>
      </c>
      <c r="J57" s="70">
        <f>IF(OR(D57=0,D58=0,D59=0),"#NA",IF(AND(C59-C58=C58-C57,C58&lt;&gt;C59,C57&lt;&gt;C58,C57&lt;&gt;C59,D59&lt;&gt;0,OR(D57&lt;&gt;0,D58&lt;&gt;0)),WLS*(C59-C58),"#NA"))</f>
        <v>2</v>
      </c>
      <c r="O57" s="99">
        <f>O56+1</f>
        <v>6</v>
      </c>
      <c r="P57" s="99">
        <f t="shared" si="10"/>
        <v>2</v>
      </c>
      <c r="Q57" s="68">
        <f>IF(OR(P59-P58=P58-P57,P60-P58=P58-P57),P57,IF(OR(P59-P58=P58-P56,P60-P58=P58-P56),P56,"-"))</f>
        <v>2</v>
      </c>
      <c r="R57" s="69">
        <f>VLOOKUP(Q57,STN_TABLE,2,FALSE)</f>
        <v>9.9499999999999993</v>
      </c>
      <c r="S57" s="69">
        <v>5</v>
      </c>
      <c r="T57" s="68">
        <f>R57*S57</f>
        <v>49.75</v>
      </c>
      <c r="U57" s="79">
        <v>3</v>
      </c>
      <c r="V57" s="68">
        <f>R57*U57</f>
        <v>29.849999999999998</v>
      </c>
      <c r="W57" s="6" t="s">
        <v>93</v>
      </c>
      <c r="X57" s="70">
        <f>IF(AND(Q59-Q58=Q58-Q57,NOT(AND(Q57=0,Q58=0)),NOT(AND(Q58=0,Q59=0))),WLS*(Q59-Q58),"#NA")</f>
        <v>2</v>
      </c>
      <c r="AD57" s="93"/>
      <c r="AH57" s="6" t="s">
        <v>93</v>
      </c>
      <c r="AI57" s="70">
        <f>WLS*(AD59-AD58)</f>
        <v>2</v>
      </c>
      <c r="AU57" s="81"/>
    </row>
    <row r="58" spans="1:47" x14ac:dyDescent="0.25">
      <c r="A58" s="84">
        <f>A57+1</f>
        <v>5</v>
      </c>
      <c r="B58" s="84">
        <f t="shared" si="11"/>
        <v>1</v>
      </c>
      <c r="C58" s="80">
        <f t="shared" ref="C58" si="16">IF(OR(B60-B59=B59-B58,B60-B59=B59-B57,B60-B59=B59-B56),B59,IF(OR(B60-B58=B58-B57,B60-B58=B58-B56),B58,IF(B60-B57=B57-B56,B57,"#NA")))</f>
        <v>2</v>
      </c>
      <c r="D58" s="76">
        <f>VLOOKUP(C58,STN_TABLE,2,FALSE)</f>
        <v>9.9499999999999993</v>
      </c>
      <c r="E58" s="81">
        <v>4</v>
      </c>
      <c r="F58" s="76">
        <f>D58*E58</f>
        <v>39.799999999999997</v>
      </c>
      <c r="G58" s="77">
        <f>C58</f>
        <v>2</v>
      </c>
      <c r="H58" s="77">
        <f>F58*G58</f>
        <v>79.599999999999994</v>
      </c>
      <c r="I58" s="495" t="s">
        <v>97</v>
      </c>
      <c r="J58" s="496"/>
      <c r="K58" s="78" t="s">
        <v>98</v>
      </c>
      <c r="L58" s="78"/>
      <c r="M58" s="7" t="s">
        <v>99</v>
      </c>
      <c r="N58" s="7"/>
      <c r="O58" s="99">
        <f>O57+1</f>
        <v>7</v>
      </c>
      <c r="P58" s="99">
        <f t="shared" si="10"/>
        <v>3</v>
      </c>
      <c r="Q58" s="76">
        <f>P58</f>
        <v>3</v>
      </c>
      <c r="R58" s="77">
        <f>VLOOKUP(Q58,STN_TABLE,2,FALSE)</f>
        <v>10.3</v>
      </c>
      <c r="S58" s="77">
        <v>8</v>
      </c>
      <c r="T58" s="76">
        <f>R58*S58</f>
        <v>82.4</v>
      </c>
      <c r="U58" s="80">
        <v>10</v>
      </c>
      <c r="V58" s="76">
        <f>R58*U58</f>
        <v>103</v>
      </c>
      <c r="W58" s="78" t="s">
        <v>97</v>
      </c>
      <c r="X58" s="78"/>
      <c r="Y58" s="78" t="s">
        <v>98</v>
      </c>
      <c r="Z58" s="78"/>
      <c r="AA58" s="7" t="s">
        <v>99</v>
      </c>
      <c r="AB58" s="7"/>
      <c r="AC58" s="99">
        <f>AC53+1</f>
        <v>6</v>
      </c>
      <c r="AD58" s="95">
        <f>VLOOKUP(AC58,STN_TABLE_2,2,FALSE)</f>
        <v>2</v>
      </c>
      <c r="AE58" s="68">
        <f>VLOOKUP(AD58,STN_TABLE,2,FALSE)</f>
        <v>9.9499999999999993</v>
      </c>
      <c r="AF58" s="68">
        <v>1</v>
      </c>
      <c r="AG58" s="69">
        <f>AE58*AF58</f>
        <v>9.9499999999999993</v>
      </c>
      <c r="AH58" s="496" t="s">
        <v>97</v>
      </c>
      <c r="AI58" s="496"/>
      <c r="AJ58" s="496" t="s">
        <v>98</v>
      </c>
      <c r="AK58" s="496"/>
      <c r="AL58" s="494" t="s">
        <v>99</v>
      </c>
      <c r="AM58" s="494"/>
      <c r="AP58" s="86" t="s">
        <v>112</v>
      </c>
      <c r="AQ58" s="89" t="s">
        <v>113</v>
      </c>
      <c r="AR58" s="89" t="s">
        <v>114</v>
      </c>
      <c r="AS58" s="89" t="s">
        <v>115</v>
      </c>
      <c r="AU58" s="81"/>
    </row>
    <row r="59" spans="1:47" x14ac:dyDescent="0.25">
      <c r="A59" s="84">
        <f>A58+1</f>
        <v>6</v>
      </c>
      <c r="B59" s="84">
        <f t="shared" si="11"/>
        <v>2</v>
      </c>
      <c r="C59" s="88">
        <f t="shared" ref="C59" si="17">B60</f>
        <v>3</v>
      </c>
      <c r="D59" s="82">
        <f>VLOOKUP(C59,STN_TABLE,2,FALSE)</f>
        <v>10.3</v>
      </c>
      <c r="E59" s="92">
        <v>1</v>
      </c>
      <c r="F59" s="82">
        <f>D59*E59</f>
        <v>10.3</v>
      </c>
      <c r="G59" s="83">
        <f>C59</f>
        <v>3</v>
      </c>
      <c r="H59" s="83">
        <f>F59*G59</f>
        <v>30.900000000000002</v>
      </c>
      <c r="I59" s="84" t="str">
        <f>CONCATENATE("a'(",C59,")=")</f>
        <v>a'(3)=</v>
      </c>
      <c r="J59" s="84">
        <f>2*J57/3*F60</f>
        <v>78.893333333333331</v>
      </c>
      <c r="K59" s="84" t="str">
        <f>CONCATENATE("A(",C57,")=")</f>
        <v>A(1)=</v>
      </c>
      <c r="L59" s="84">
        <f>VLOOKUP(C57,STN_TABLE,3,FALSE)</f>
        <v>31.68333333333333</v>
      </c>
      <c r="M59" t="str">
        <f>CONCATENATE("A(",C59,")=")</f>
        <v>A(3)=</v>
      </c>
      <c r="N59">
        <f>J59+L59</f>
        <v>110.57666666666665</v>
      </c>
      <c r="O59" s="99">
        <f>O58+1</f>
        <v>8</v>
      </c>
      <c r="P59" s="99">
        <f t="shared" si="10"/>
        <v>4</v>
      </c>
      <c r="Q59" s="82">
        <f>IF(P59-P58=P58-P57,P59,IF(P60-P58=P58-P57,P60,IF(P59-P58=P58-P56,P59,IF(P60-P58=P58-P56,P60,"-"))))</f>
        <v>4</v>
      </c>
      <c r="R59" s="83">
        <f>VLOOKUP(Q59,STN_TABLE,2,FALSE)</f>
        <v>10.58</v>
      </c>
      <c r="S59" s="83">
        <v>-1</v>
      </c>
      <c r="T59" s="82">
        <f>R59*S59</f>
        <v>-10.58</v>
      </c>
      <c r="U59" s="88">
        <v>-1</v>
      </c>
      <c r="V59" s="82">
        <f>R59*U59</f>
        <v>-10.58</v>
      </c>
      <c r="W59" s="84" t="str">
        <f>CONCATENATE("a'(",Q58,")=")</f>
        <v>a'(3)=</v>
      </c>
      <c r="X59" s="84">
        <f>2*X57/12*T60</f>
        <v>40.523333333333333</v>
      </c>
      <c r="Y59" s="84" t="str">
        <f>CONCATENATE("A(",Q57,")=")</f>
        <v>A(2)=</v>
      </c>
      <c r="Z59" s="84">
        <f>VLOOKUP(Q57,STN_TABLE,3,FALSE)</f>
        <v>69.899999999999991</v>
      </c>
      <c r="AA59" t="str">
        <f>CONCATENATE("A(",Q58,")=")</f>
        <v>A(3)=</v>
      </c>
      <c r="AB59">
        <f>X59+Z59</f>
        <v>110.42333333333332</v>
      </c>
      <c r="AC59" s="99">
        <f>AC58+1</f>
        <v>7</v>
      </c>
      <c r="AD59" s="100">
        <f>VLOOKUP(AC59,STN_TABLE_2,2,FALSE)</f>
        <v>3</v>
      </c>
      <c r="AE59" s="82">
        <f>VLOOKUP(AD59,STN_TABLE,2,FALSE)</f>
        <v>10.3</v>
      </c>
      <c r="AF59" s="82">
        <v>2</v>
      </c>
      <c r="AG59" s="83">
        <f>AE59*AF59</f>
        <v>20.6</v>
      </c>
      <c r="AH59" s="84" t="str">
        <f>CONCATENATE("a'(",AD59,")=")</f>
        <v>a'(3)=</v>
      </c>
      <c r="AI59" s="84">
        <f>2*AI57/2*AE60</f>
        <v>40.5</v>
      </c>
      <c r="AJ59" s="84" t="str">
        <f>CONCATENATE("A(",AD58,")=")</f>
        <v>A(2)=</v>
      </c>
      <c r="AK59" s="84">
        <f>VLOOKUP(AD58,STN_TABLE,3,FALSE)</f>
        <v>69.899999999999991</v>
      </c>
      <c r="AL59" t="str">
        <f>CONCATENATE("A(",AD59,")=")</f>
        <v>A(3)=</v>
      </c>
      <c r="AM59">
        <f>AI59+AK59</f>
        <v>110.39999999999999</v>
      </c>
      <c r="AO59" s="68" t="str">
        <f>AA59</f>
        <v>A(3)=</v>
      </c>
      <c r="AP59" s="68" t="e">
        <f>VLOOKUP(AO59,Rise_Results,2,FALSE)</f>
        <v>#N/A</v>
      </c>
      <c r="AQ59" s="76">
        <f>N59</f>
        <v>110.57666666666665</v>
      </c>
      <c r="AR59" s="76">
        <f>IF(OR(AB59&lt;=0,AB60&lt;=0),1/0,AB59)</f>
        <v>110.42333333333332</v>
      </c>
      <c r="AS59" s="76">
        <f>AM59</f>
        <v>110.39999999999999</v>
      </c>
      <c r="AT59">
        <f>IFERROR(AP59,IFERROR(AQ59,IFERROR(AR59,AS59)))</f>
        <v>110.57666666666665</v>
      </c>
      <c r="AU59" s="81"/>
    </row>
    <row r="60" spans="1:47" x14ac:dyDescent="0.25">
      <c r="A60" s="84">
        <f>A59+1</f>
        <v>7</v>
      </c>
      <c r="B60" s="84">
        <f t="shared" si="11"/>
        <v>3</v>
      </c>
      <c r="F60" s="82">
        <f>SUM(F57:F59)</f>
        <v>59.17</v>
      </c>
      <c r="H60" s="82">
        <f>SUM(H57:H59)</f>
        <v>119.57</v>
      </c>
      <c r="I60" s="84" t="str">
        <f>CONCATENATE("m'(",C59,")=")</f>
        <v>m'(3)=</v>
      </c>
      <c r="J60" s="84">
        <f>2*(J57*(WLS))/3*H60</f>
        <v>318.8533333333333</v>
      </c>
      <c r="K60" s="84" t="str">
        <f>CONCATENATE("M(",C57,")=")</f>
        <v>M(1)=</v>
      </c>
      <c r="L60" s="84">
        <f>VLOOKUP(C57,STN_TABLE,4,FALSE)</f>
        <v>33.699999999999996</v>
      </c>
      <c r="M60" t="str">
        <f>CONCATENATE("M(",C59,")=")</f>
        <v>M(3)=</v>
      </c>
      <c r="N60">
        <f>J60+L60</f>
        <v>352.55333333333328</v>
      </c>
      <c r="O60" s="99">
        <f>O59+1</f>
        <v>9</v>
      </c>
      <c r="P60" s="99">
        <f t="shared" si="10"/>
        <v>4.8499999999999996</v>
      </c>
      <c r="T60" s="89">
        <f>SUM(T57:T59)</f>
        <v>121.57000000000001</v>
      </c>
      <c r="V60" s="82">
        <f>SUM(V57:V59)</f>
        <v>122.27</v>
      </c>
      <c r="W60" s="84" t="str">
        <f>CONCATENATE("m'(",Q58,")=")</f>
        <v>m'(3)=</v>
      </c>
      <c r="X60" s="84">
        <f>(2*(X57^2)/24*V60)+(X59*Q57*WLS)</f>
        <v>202.85</v>
      </c>
      <c r="Y60" s="84" t="str">
        <f>CONCATENATE("M(",Q57,")=")</f>
        <v>M(2)=</v>
      </c>
      <c r="Z60" s="84">
        <f>VLOOKUP(Q57,STN_TABLE,4,FALSE)</f>
        <v>148.93666666666664</v>
      </c>
      <c r="AA60" t="str">
        <f>CONCATENATE("M(",Q58,")=")</f>
        <v>M(3)=</v>
      </c>
      <c r="AB60">
        <f>X60+Z60</f>
        <v>351.78666666666663</v>
      </c>
      <c r="AE60" s="89">
        <f>SUM(AE58:AE59)</f>
        <v>20.25</v>
      </c>
      <c r="AG60" s="89">
        <f>SUM(AG58:AG59)</f>
        <v>30.55</v>
      </c>
      <c r="AH60" s="84" t="str">
        <f>CONCATENATE("m'(",AD59,")=")</f>
        <v>m'(3)=</v>
      </c>
      <c r="AI60" s="84">
        <f>(2*(AI57^2)/6*AG60)+(AI59*AD58*WLS)</f>
        <v>202.73333333333335</v>
      </c>
      <c r="AJ60" s="84" t="str">
        <f>CONCATENATE("M(",AD58,")=")</f>
        <v>M(2)=</v>
      </c>
      <c r="AK60" s="84">
        <f>VLOOKUP(AD57,STN_TABLE,4,FALSE)</f>
        <v>0</v>
      </c>
      <c r="AL60" t="str">
        <f>CONCATENATE("M(",AD59,")=")</f>
        <v>M(3)=</v>
      </c>
      <c r="AM60">
        <f>AI60+AK60</f>
        <v>202.73333333333335</v>
      </c>
      <c r="AO60" s="82" t="str">
        <f>AA60</f>
        <v>M(3)=</v>
      </c>
      <c r="AP60" s="82" t="e">
        <f>VLOOKUP(AO60,Rise_Results,2,FALSE)</f>
        <v>#N/A</v>
      </c>
      <c r="AQ60" s="82">
        <f>N60</f>
        <v>352.55333333333328</v>
      </c>
      <c r="AR60" s="82">
        <f>IF(OR(AB59&lt;=0,AB60&lt;=0),1/0,AB60)</f>
        <v>351.78666666666663</v>
      </c>
      <c r="AS60" s="82">
        <f>AM60</f>
        <v>202.73333333333335</v>
      </c>
      <c r="AT60">
        <f>IFERROR(AP60,IFERROR(AQ60,IFERROR(AR60,AS60)))</f>
        <v>352.55333333333328</v>
      </c>
      <c r="AU60" s="81"/>
    </row>
    <row r="61" spans="1:47" x14ac:dyDescent="0.25">
      <c r="A61" s="101">
        <f>A56+1</f>
        <v>4</v>
      </c>
      <c r="B61" s="101">
        <f t="shared" si="11"/>
        <v>0.75</v>
      </c>
      <c r="O61" s="101">
        <f>O56+1</f>
        <v>6</v>
      </c>
      <c r="P61" s="101">
        <f t="shared" si="10"/>
        <v>2</v>
      </c>
      <c r="AU61" s="81"/>
    </row>
    <row r="62" spans="1:47" x14ac:dyDescent="0.25">
      <c r="A62" s="84">
        <f>A61+1</f>
        <v>5</v>
      </c>
      <c r="B62" s="84">
        <f t="shared" si="11"/>
        <v>1</v>
      </c>
      <c r="C62" s="79">
        <f t="shared" ref="C62" si="18">IF(C63=B64,IF(C64-C63=C63-B63,B63,IF(C64-C63=C63-B62,B62,"#NA")),IF(C63=B63,IF(C64-C63=C63-B62,B62,IF(C64-C63=C63-B61,B61,"#NA")),"#NA"))</f>
        <v>2</v>
      </c>
      <c r="D62" s="68">
        <f>VLOOKUP(C62,STN_TABLE,2,FALSE)</f>
        <v>9.9499999999999993</v>
      </c>
      <c r="E62" s="102">
        <v>1</v>
      </c>
      <c r="F62" s="68">
        <f>D62*E62</f>
        <v>9.9499999999999993</v>
      </c>
      <c r="G62" s="69">
        <f>C62</f>
        <v>2</v>
      </c>
      <c r="H62" s="69">
        <f>F62*G62</f>
        <v>19.899999999999999</v>
      </c>
      <c r="I62" s="6" t="s">
        <v>93</v>
      </c>
      <c r="J62" s="70">
        <f>IF(OR(D62=0,D63=0,D64=0),"#NA",IF(AND(C64-C63=C63-C62,C63&lt;&gt;C64,C62&lt;&gt;C63,C62&lt;&gt;C64,D64&lt;&gt;0,OR(D62&lt;&gt;0,D63&lt;&gt;0)),WLS*(C64-C63),"#NA"))</f>
        <v>2</v>
      </c>
      <c r="O62" s="99">
        <f>O61+1</f>
        <v>7</v>
      </c>
      <c r="P62" s="99">
        <f t="shared" si="10"/>
        <v>3</v>
      </c>
      <c r="Q62" s="68">
        <f>IF(OR(P64-P63=P63-P62,P65-P63=P63-P62),P62,IF(OR(P64-P63=P63-P61,P65-P63=P63-P61),P61,"-"))</f>
        <v>3</v>
      </c>
      <c r="R62" s="69">
        <f>VLOOKUP(Q62,STN_TABLE,2,FALSE)</f>
        <v>10.3</v>
      </c>
      <c r="S62" s="69">
        <v>5</v>
      </c>
      <c r="T62" s="68">
        <f>R62*S62</f>
        <v>51.5</v>
      </c>
      <c r="U62" s="79">
        <v>3</v>
      </c>
      <c r="V62" s="68">
        <f>R62*U62</f>
        <v>30.900000000000002</v>
      </c>
      <c r="W62" s="6" t="s">
        <v>93</v>
      </c>
      <c r="X62" s="70">
        <f>IF(AND(Q64-Q63=Q63-Q62,NOT(AND(Q62=0,Q63=0)),NOT(AND(Q63=0,Q64=0))),WLS*(Q64-Q63),"#NA")</f>
        <v>2</v>
      </c>
      <c r="AD62" s="93"/>
      <c r="AH62" s="6" t="s">
        <v>93</v>
      </c>
      <c r="AI62" s="70">
        <f>WLS*(AD64-AD63)</f>
        <v>2</v>
      </c>
      <c r="AU62" s="81"/>
    </row>
    <row r="63" spans="1:47" x14ac:dyDescent="0.25">
      <c r="A63" s="84">
        <f>A62+1</f>
        <v>6</v>
      </c>
      <c r="B63" s="84">
        <f t="shared" si="11"/>
        <v>2</v>
      </c>
      <c r="C63" s="80">
        <f t="shared" ref="C63" si="19">IF(OR(B65-B64=B64-B63,B65-B64=B64-B62,B65-B64=B64-B61),B64,IF(OR(B65-B63=B63-B62,B65-B63=B63-B61),B63,IF(B65-B62=B62-B61,B62,"#NA")))</f>
        <v>3</v>
      </c>
      <c r="D63" s="76">
        <f>VLOOKUP(C63,STN_TABLE,2,FALSE)</f>
        <v>10.3</v>
      </c>
      <c r="E63" s="81">
        <v>4</v>
      </c>
      <c r="F63" s="76">
        <f>D63*E63</f>
        <v>41.2</v>
      </c>
      <c r="G63" s="77">
        <f>C63</f>
        <v>3</v>
      </c>
      <c r="H63" s="77">
        <f>F63*G63</f>
        <v>123.60000000000001</v>
      </c>
      <c r="I63" s="495" t="s">
        <v>97</v>
      </c>
      <c r="J63" s="496"/>
      <c r="K63" s="78" t="s">
        <v>98</v>
      </c>
      <c r="L63" s="78"/>
      <c r="M63" s="7" t="s">
        <v>99</v>
      </c>
      <c r="N63" s="7"/>
      <c r="O63" s="99">
        <f>O62+1</f>
        <v>8</v>
      </c>
      <c r="P63" s="99">
        <f t="shared" si="10"/>
        <v>4</v>
      </c>
      <c r="Q63" s="76">
        <f>P63</f>
        <v>4</v>
      </c>
      <c r="R63" s="77">
        <f>VLOOKUP(Q63,STN_TABLE,2,FALSE)</f>
        <v>10.58</v>
      </c>
      <c r="S63" s="77">
        <v>8</v>
      </c>
      <c r="T63" s="76">
        <f>R63*S63</f>
        <v>84.64</v>
      </c>
      <c r="U63" s="80">
        <v>10</v>
      </c>
      <c r="V63" s="76">
        <f>R63*U63</f>
        <v>105.8</v>
      </c>
      <c r="W63" s="496" t="s">
        <v>97</v>
      </c>
      <c r="X63" s="496"/>
      <c r="Y63" s="496" t="s">
        <v>98</v>
      </c>
      <c r="Z63" s="496"/>
      <c r="AA63" s="494" t="s">
        <v>99</v>
      </c>
      <c r="AB63" s="494"/>
      <c r="AC63" s="99">
        <f>AC58+1</f>
        <v>7</v>
      </c>
      <c r="AD63" s="95">
        <f>VLOOKUP(AC63,STN_TABLE_2,2,FALSE)</f>
        <v>3</v>
      </c>
      <c r="AE63" s="68">
        <f>VLOOKUP(AD63,STN_TABLE,2,FALSE)</f>
        <v>10.3</v>
      </c>
      <c r="AF63" s="68">
        <v>1</v>
      </c>
      <c r="AG63" s="69">
        <f>AE63*AF63</f>
        <v>10.3</v>
      </c>
      <c r="AH63" s="496" t="s">
        <v>97</v>
      </c>
      <c r="AI63" s="496"/>
      <c r="AJ63" s="496" t="s">
        <v>98</v>
      </c>
      <c r="AK63" s="496"/>
      <c r="AL63" s="494" t="s">
        <v>99</v>
      </c>
      <c r="AM63" s="494"/>
      <c r="AP63" s="86" t="s">
        <v>112</v>
      </c>
      <c r="AQ63" s="89" t="s">
        <v>113</v>
      </c>
      <c r="AR63" s="89" t="s">
        <v>114</v>
      </c>
      <c r="AS63" s="89" t="s">
        <v>115</v>
      </c>
      <c r="AU63" s="81"/>
    </row>
    <row r="64" spans="1:47" x14ac:dyDescent="0.25">
      <c r="A64" s="84">
        <f>A63+1</f>
        <v>7</v>
      </c>
      <c r="B64" s="84">
        <f t="shared" si="11"/>
        <v>3</v>
      </c>
      <c r="C64" s="88">
        <f t="shared" ref="C64" si="20">B65</f>
        <v>4</v>
      </c>
      <c r="D64" s="82">
        <f>VLOOKUP(C64,STN_TABLE,2,FALSE)</f>
        <v>10.58</v>
      </c>
      <c r="E64" s="92">
        <v>1</v>
      </c>
      <c r="F64" s="82">
        <f>D64*E64</f>
        <v>10.58</v>
      </c>
      <c r="G64" s="83">
        <f>C64</f>
        <v>4</v>
      </c>
      <c r="H64" s="83">
        <f>F64*G64</f>
        <v>42.32</v>
      </c>
      <c r="I64" s="84" t="str">
        <f>CONCATENATE("a'(",C64,")=")</f>
        <v>a'(4)=</v>
      </c>
      <c r="J64" s="84">
        <f>2*J62/3*F65</f>
        <v>82.306666666666672</v>
      </c>
      <c r="K64" s="84" t="str">
        <f>CONCATENATE("A(",C62,")=")</f>
        <v>A(2)=</v>
      </c>
      <c r="L64" s="84">
        <f>VLOOKUP(C62,STN_TABLE,3,FALSE)</f>
        <v>69.899999999999991</v>
      </c>
      <c r="M64" t="str">
        <f>CONCATENATE("A(",C64,")=")</f>
        <v>A(4)=</v>
      </c>
      <c r="N64">
        <f>J64+L64</f>
        <v>152.20666666666665</v>
      </c>
      <c r="O64" s="99">
        <f>O63+1</f>
        <v>9</v>
      </c>
      <c r="P64" s="99">
        <f t="shared" si="10"/>
        <v>4.8499999999999996</v>
      </c>
      <c r="Q64" s="82">
        <f>IF(P64-P63=P63-P62,P64,IF(P65-P63=P63-P62,P65,IF(P64-P63=P63-P61,P64,IF(P65-P63=P63-P61,P65,"-"))))</f>
        <v>5</v>
      </c>
      <c r="R64" s="83">
        <f>VLOOKUP(Q64,STN_TABLE,2,FALSE)</f>
        <v>10.74</v>
      </c>
      <c r="S64" s="83">
        <v>-1</v>
      </c>
      <c r="T64" s="82">
        <f>R64*S64</f>
        <v>-10.74</v>
      </c>
      <c r="U64" s="88">
        <v>-1</v>
      </c>
      <c r="V64" s="82">
        <f>R64*U64</f>
        <v>-10.74</v>
      </c>
      <c r="W64" s="84" t="str">
        <f>CONCATENATE("a'(",Q63,")=")</f>
        <v>a'(4)=</v>
      </c>
      <c r="X64" s="84">
        <f>2*X62/12*T65</f>
        <v>41.8</v>
      </c>
      <c r="Y64" s="84" t="str">
        <f>CONCATENATE("A(",Q62,")=")</f>
        <v>A(3)=</v>
      </c>
      <c r="Z64" s="84">
        <f>VLOOKUP(Q62,STN_TABLE,3,FALSE)</f>
        <v>110.57666666666665</v>
      </c>
      <c r="AA64" t="str">
        <f>CONCATENATE("A(",Q63,")=")</f>
        <v>A(4)=</v>
      </c>
      <c r="AB64">
        <f>X64+Z64</f>
        <v>152.37666666666667</v>
      </c>
      <c r="AC64" s="99">
        <f>AC63+1</f>
        <v>8</v>
      </c>
      <c r="AD64" s="100">
        <f>VLOOKUP(AC64,STN_TABLE_2,2,FALSE)</f>
        <v>4</v>
      </c>
      <c r="AE64" s="82">
        <f>VLOOKUP(AD64,STN_TABLE,2,FALSE)</f>
        <v>10.58</v>
      </c>
      <c r="AF64" s="82">
        <v>2</v>
      </c>
      <c r="AG64" s="83">
        <f>AE64*AF64</f>
        <v>21.16</v>
      </c>
      <c r="AH64" s="84" t="str">
        <f>CONCATENATE("a'(",AD64,")=")</f>
        <v>a'(4)=</v>
      </c>
      <c r="AI64" s="84">
        <f>2*AI62/2*AE65</f>
        <v>41.760000000000005</v>
      </c>
      <c r="AJ64" s="84" t="str">
        <f>CONCATENATE("A(",AD63,")=")</f>
        <v>A(3)=</v>
      </c>
      <c r="AK64" s="84">
        <f>VLOOKUP(AD63,STN_TABLE,3,FALSE)</f>
        <v>110.57666666666665</v>
      </c>
      <c r="AL64" t="str">
        <f>CONCATENATE("A(",AD64,")=")</f>
        <v>A(4)=</v>
      </c>
      <c r="AM64">
        <f>AI64+AK64</f>
        <v>152.33666666666664</v>
      </c>
      <c r="AO64" s="68" t="str">
        <f>AA64</f>
        <v>A(4)=</v>
      </c>
      <c r="AP64" s="68" t="e">
        <f>VLOOKUP(AO64,Rise_Results,2,FALSE)</f>
        <v>#N/A</v>
      </c>
      <c r="AQ64" s="76">
        <f>N64</f>
        <v>152.20666666666665</v>
      </c>
      <c r="AR64" s="76">
        <f>IF(OR(AB64&lt;=0,AB65&lt;=0),1/0,AB64)</f>
        <v>152.37666666666667</v>
      </c>
      <c r="AS64" s="76">
        <f>AM64</f>
        <v>152.33666666666664</v>
      </c>
      <c r="AT64">
        <f>IFERROR(AP64,IFERROR(AQ64,IFERROR(AR64,AS64)))</f>
        <v>152.20666666666665</v>
      </c>
      <c r="AU64" s="81"/>
    </row>
    <row r="65" spans="1:47" x14ac:dyDescent="0.25">
      <c r="A65" s="84">
        <f>A64+1</f>
        <v>8</v>
      </c>
      <c r="B65" s="84">
        <f t="shared" si="11"/>
        <v>4</v>
      </c>
      <c r="F65" s="82">
        <f>SUM(F62:F64)</f>
        <v>61.730000000000004</v>
      </c>
      <c r="H65" s="82">
        <f>SUM(H62:H64)</f>
        <v>185.82</v>
      </c>
      <c r="I65" s="84" t="str">
        <f>CONCATENATE("m'(",C64,")=")</f>
        <v>m'(4)=</v>
      </c>
      <c r="J65" s="84">
        <f>2*(J62*(WLS))/3*H65</f>
        <v>495.52</v>
      </c>
      <c r="K65" s="84" t="str">
        <f>CONCATENATE("M(",C62,")=")</f>
        <v>M(2)=</v>
      </c>
      <c r="L65" s="84">
        <f>VLOOKUP(C62,STN_TABLE,4,FALSE)</f>
        <v>148.93666666666664</v>
      </c>
      <c r="M65" t="str">
        <f>CONCATENATE("M(",C64,")=")</f>
        <v>M(4)=</v>
      </c>
      <c r="N65">
        <f>J65+L65</f>
        <v>644.45666666666659</v>
      </c>
      <c r="O65" s="99">
        <f>O64+1</f>
        <v>10</v>
      </c>
      <c r="P65" s="99">
        <f t="shared" si="10"/>
        <v>5</v>
      </c>
      <c r="T65" s="89">
        <f>SUM(T62:T64)</f>
        <v>125.39999999999999</v>
      </c>
      <c r="V65" s="82">
        <f>SUM(V62:V64)</f>
        <v>125.96</v>
      </c>
      <c r="W65" s="84" t="str">
        <f>CONCATENATE("m'(",Q63,")=")</f>
        <v>m'(4)=</v>
      </c>
      <c r="X65" s="84">
        <f>(2*(X62^2)/24*V65)+(X64*Q62*WLS)</f>
        <v>292.78666666666663</v>
      </c>
      <c r="Y65" s="84" t="str">
        <f>CONCATENATE("M(",Q62,")=")</f>
        <v>M(3)=</v>
      </c>
      <c r="Z65" s="84">
        <f>VLOOKUP(Q62,STN_TABLE,4,FALSE)</f>
        <v>352.55333333333328</v>
      </c>
      <c r="AA65" t="str">
        <f>CONCATENATE("M(",Q63,")=")</f>
        <v>M(4)=</v>
      </c>
      <c r="AB65">
        <f>X65+Z65</f>
        <v>645.33999999999992</v>
      </c>
      <c r="AE65" s="89">
        <f>SUM(AE63:AE64)</f>
        <v>20.880000000000003</v>
      </c>
      <c r="AG65" s="89">
        <f>SUM(AG63:AG64)</f>
        <v>31.46</v>
      </c>
      <c r="AH65" s="84" t="str">
        <f>CONCATENATE("m'(",AD64,")=")</f>
        <v>m'(4)=</v>
      </c>
      <c r="AI65" s="84">
        <f>(2*(AI62^2)/6*AG65)+(AI64*AD63*WLS)</f>
        <v>292.50666666666672</v>
      </c>
      <c r="AJ65" s="84" t="str">
        <f>CONCATENATE("M(",AD63,")=")</f>
        <v>M(3)=</v>
      </c>
      <c r="AK65" s="84">
        <f>VLOOKUP(AD63,STN_TABLE,4,FALSE)</f>
        <v>352.55333333333328</v>
      </c>
      <c r="AL65" t="str">
        <f>CONCATENATE("M(",AD64,")=")</f>
        <v>M(4)=</v>
      </c>
      <c r="AM65">
        <f>AI65+AK65</f>
        <v>645.05999999999995</v>
      </c>
      <c r="AO65" s="82" t="str">
        <f>AA65</f>
        <v>M(4)=</v>
      </c>
      <c r="AP65" s="82" t="e">
        <f>VLOOKUP(AO65,Rise_Results,2,FALSE)</f>
        <v>#N/A</v>
      </c>
      <c r="AQ65" s="82">
        <f>N65</f>
        <v>644.45666666666659</v>
      </c>
      <c r="AR65" s="82">
        <f>IF(OR(AB64&lt;=0,AB65&lt;=0),1/0,AB65)</f>
        <v>645.33999999999992</v>
      </c>
      <c r="AS65" s="82">
        <f>AM65</f>
        <v>645.05999999999995</v>
      </c>
      <c r="AT65">
        <f>IFERROR(AP65,IFERROR(AQ65,IFERROR(AR65,AS65)))</f>
        <v>644.45666666666659</v>
      </c>
      <c r="AU65" s="81"/>
    </row>
    <row r="66" spans="1:47" x14ac:dyDescent="0.25">
      <c r="A66" s="101">
        <f>A61+1</f>
        <v>5</v>
      </c>
      <c r="B66" s="101">
        <f t="shared" si="11"/>
        <v>1</v>
      </c>
      <c r="O66" s="101">
        <f>O61+1</f>
        <v>7</v>
      </c>
      <c r="P66" s="101">
        <f t="shared" si="10"/>
        <v>3</v>
      </c>
      <c r="AU66" s="81"/>
    </row>
    <row r="67" spans="1:47" x14ac:dyDescent="0.25">
      <c r="A67" s="84">
        <f>A66+1</f>
        <v>6</v>
      </c>
      <c r="B67" s="84">
        <f t="shared" si="11"/>
        <v>2</v>
      </c>
      <c r="C67" s="79" t="str">
        <f t="shared" ref="C67" si="21">IF(C68=B69,IF(C69-C68=C68-B68,B68,IF(C69-C68=C68-B67,B67,"#NA")),IF(C68=B68,IF(C69-C68=C68-B67,B67,IF(C69-C68=C68-B66,B66,"#NA")),"#NA"))</f>
        <v>#NA</v>
      </c>
      <c r="D67" s="68" t="e">
        <f>VLOOKUP(C67,STN_TABLE,2,FALSE)</f>
        <v>#N/A</v>
      </c>
      <c r="E67" s="102">
        <v>1</v>
      </c>
      <c r="F67" s="68" t="e">
        <f>D67*E67</f>
        <v>#N/A</v>
      </c>
      <c r="G67" s="69" t="str">
        <f>C67</f>
        <v>#NA</v>
      </c>
      <c r="H67" s="69" t="e">
        <f>F67*G67</f>
        <v>#N/A</v>
      </c>
      <c r="I67" s="6" t="s">
        <v>93</v>
      </c>
      <c r="J67" s="70" t="e">
        <f>IF(OR(D67=0,D68=0,D69=0),"#NA",IF(AND(C69-C68=C68-C67,C68&lt;&gt;C69,C67&lt;&gt;C68,C67&lt;&gt;C69,D69&lt;&gt;0,OR(D67&lt;&gt;0,D68&lt;&gt;0)),WLS*(C69-C68),"#NA"))</f>
        <v>#N/A</v>
      </c>
      <c r="O67" s="99">
        <f>O66+1</f>
        <v>8</v>
      </c>
      <c r="P67" s="99">
        <f t="shared" si="10"/>
        <v>4</v>
      </c>
      <c r="Q67" s="68" t="str">
        <f>IF(OR(P69-P68=P68-P67,P70-P68=P68-P67),P67,IF(OR(P69-P68=P68-P66,P70-P68=P68-P66),P66,"-"))</f>
        <v>-</v>
      </c>
      <c r="R67" s="69" t="e">
        <f>VLOOKUP(Q67,STN_TABLE,2,FALSE)</f>
        <v>#N/A</v>
      </c>
      <c r="S67" s="69">
        <v>5</v>
      </c>
      <c r="T67" s="68" t="e">
        <f>R67*S67</f>
        <v>#N/A</v>
      </c>
      <c r="U67" s="79">
        <v>3</v>
      </c>
      <c r="V67" s="68" t="e">
        <f>R67*U67</f>
        <v>#N/A</v>
      </c>
      <c r="W67" s="6" t="s">
        <v>93</v>
      </c>
      <c r="X67" s="70" t="e">
        <f>IF(AND(Q69-Q68=Q68-Q67,NOT(AND(Q67=0,Q68=0)),NOT(AND(Q68=0,Q69=0))),WLS*(Q69-Q68),"#NA")</f>
        <v>#VALUE!</v>
      </c>
      <c r="AD67" s="93"/>
      <c r="AH67" s="6" t="s">
        <v>93</v>
      </c>
      <c r="AI67" s="70">
        <f>WLS*(AD69-AD68)</f>
        <v>1.6999999999999993</v>
      </c>
      <c r="AU67" s="81"/>
    </row>
    <row r="68" spans="1:47" x14ac:dyDescent="0.25">
      <c r="A68" s="84">
        <f>A67+1</f>
        <v>7</v>
      </c>
      <c r="B68" s="84">
        <f t="shared" si="11"/>
        <v>3</v>
      </c>
      <c r="C68" s="80" t="str">
        <f t="shared" ref="C68" si="22">IF(OR(B70-B69=B69-B68,B70-B69=B69-B67,B70-B69=B69-B66),B69,IF(OR(B70-B68=B68-B67,B70-B68=B68-B66),B68,IF(B70-B67=B67-B66,B67,"#NA")))</f>
        <v>#NA</v>
      </c>
      <c r="D68" s="76" t="e">
        <f>VLOOKUP(C68,STN_TABLE,2,FALSE)</f>
        <v>#N/A</v>
      </c>
      <c r="E68" s="81">
        <v>4</v>
      </c>
      <c r="F68" s="76" t="e">
        <f>D68*E68</f>
        <v>#N/A</v>
      </c>
      <c r="G68" s="77" t="str">
        <f>C68</f>
        <v>#NA</v>
      </c>
      <c r="H68" s="77" t="e">
        <f>F68*G68</f>
        <v>#N/A</v>
      </c>
      <c r="I68" s="495" t="s">
        <v>97</v>
      </c>
      <c r="J68" s="496"/>
      <c r="K68" s="78" t="s">
        <v>98</v>
      </c>
      <c r="L68" s="78"/>
      <c r="M68" s="7" t="s">
        <v>99</v>
      </c>
      <c r="N68" s="7"/>
      <c r="O68" s="99">
        <f>O67+1</f>
        <v>9</v>
      </c>
      <c r="P68" s="99">
        <f t="shared" ref="P68:P99" si="23">VLOOKUP(O68,STN_TABLE_2,2,FALSE)</f>
        <v>4.8499999999999996</v>
      </c>
      <c r="Q68" s="76">
        <f>P68</f>
        <v>4.8499999999999996</v>
      </c>
      <c r="R68" s="77">
        <f>VLOOKUP(Q68,STN_TABLE,2,FALSE)</f>
        <v>10.72</v>
      </c>
      <c r="S68" s="77">
        <v>8</v>
      </c>
      <c r="T68" s="76">
        <f>R68*S68</f>
        <v>85.76</v>
      </c>
      <c r="U68" s="80">
        <v>10</v>
      </c>
      <c r="V68" s="76">
        <f>R68*U68</f>
        <v>107.2</v>
      </c>
      <c r="W68" s="496" t="s">
        <v>97</v>
      </c>
      <c r="X68" s="496"/>
      <c r="Y68" s="496" t="s">
        <v>98</v>
      </c>
      <c r="Z68" s="496"/>
      <c r="AA68" s="494" t="s">
        <v>99</v>
      </c>
      <c r="AB68" s="494"/>
      <c r="AC68" s="99">
        <f>AC63+1</f>
        <v>8</v>
      </c>
      <c r="AD68" s="95">
        <f>VLOOKUP(AC68,STN_TABLE_2,2,FALSE)</f>
        <v>4</v>
      </c>
      <c r="AE68" s="68">
        <f>VLOOKUP(AD68,STN_TABLE,2,FALSE)</f>
        <v>10.58</v>
      </c>
      <c r="AF68" s="68">
        <v>1</v>
      </c>
      <c r="AG68" s="69">
        <f>AE68*AF68</f>
        <v>10.58</v>
      </c>
      <c r="AH68" s="496" t="s">
        <v>97</v>
      </c>
      <c r="AI68" s="496"/>
      <c r="AJ68" s="496" t="s">
        <v>98</v>
      </c>
      <c r="AK68" s="496"/>
      <c r="AL68" s="494" t="s">
        <v>99</v>
      </c>
      <c r="AM68" s="494"/>
      <c r="AP68" s="86" t="s">
        <v>112</v>
      </c>
      <c r="AQ68" s="89" t="s">
        <v>113</v>
      </c>
      <c r="AR68" s="89" t="s">
        <v>114</v>
      </c>
      <c r="AS68" s="89" t="s">
        <v>115</v>
      </c>
      <c r="AU68" s="81"/>
    </row>
    <row r="69" spans="1:47" x14ac:dyDescent="0.25">
      <c r="A69" s="84">
        <f>A68+1</f>
        <v>8</v>
      </c>
      <c r="B69" s="84">
        <f t="shared" si="11"/>
        <v>4</v>
      </c>
      <c r="C69" s="88">
        <f t="shared" ref="C69" si="24">B70</f>
        <v>4.8499999999999996</v>
      </c>
      <c r="D69" s="82">
        <f>VLOOKUP(C69,STN_TABLE,2,FALSE)</f>
        <v>10.72</v>
      </c>
      <c r="E69" s="92">
        <v>1</v>
      </c>
      <c r="F69" s="82">
        <f>D69*E69</f>
        <v>10.72</v>
      </c>
      <c r="G69" s="83">
        <f>C69</f>
        <v>4.8499999999999996</v>
      </c>
      <c r="H69" s="83">
        <f>F69*G69</f>
        <v>51.991999999999997</v>
      </c>
      <c r="I69" s="84" t="str">
        <f>CONCATENATE("a'(",C69,")=")</f>
        <v>a'(4.85)=</v>
      </c>
      <c r="J69" s="84" t="e">
        <f>2*J67/3*F70</f>
        <v>#N/A</v>
      </c>
      <c r="K69" s="84" t="str">
        <f>CONCATENATE("A(",C67,")=")</f>
        <v>A(#NA)=</v>
      </c>
      <c r="L69" s="84" t="e">
        <f>VLOOKUP(C67,STN_TABLE,3,FALSE)</f>
        <v>#N/A</v>
      </c>
      <c r="M69" t="str">
        <f>CONCATENATE("A(",C69,")=")</f>
        <v>A(4.85)=</v>
      </c>
      <c r="N69" t="e">
        <f>J69+L69</f>
        <v>#N/A</v>
      </c>
      <c r="O69" s="99">
        <f>O68+1</f>
        <v>10</v>
      </c>
      <c r="P69" s="99">
        <f t="shared" si="23"/>
        <v>5</v>
      </c>
      <c r="Q69" s="82" t="str">
        <f>IF(P69-P68=P68-P67,P69,IF(P70-P68=P68-P67,P70,IF(P69-P68=P68-P66,P69,IF(P70-P68=P68-P66,P70,"-"))))</f>
        <v>-</v>
      </c>
      <c r="R69" s="83" t="e">
        <f>VLOOKUP(Q69,STN_TABLE,2,FALSE)</f>
        <v>#N/A</v>
      </c>
      <c r="S69" s="83">
        <v>-1</v>
      </c>
      <c r="T69" s="82" t="e">
        <f>R69*S69</f>
        <v>#N/A</v>
      </c>
      <c r="U69" s="88">
        <v>-1</v>
      </c>
      <c r="V69" s="82" t="e">
        <f>R69*U69</f>
        <v>#N/A</v>
      </c>
      <c r="W69" s="84" t="str">
        <f>CONCATENATE("a'(",Q68,")=")</f>
        <v>a'(4.85)=</v>
      </c>
      <c r="X69" s="84" t="e">
        <f>2*X67/12*T70</f>
        <v>#VALUE!</v>
      </c>
      <c r="Y69" s="84" t="str">
        <f>CONCATENATE("A(",Q67,")=")</f>
        <v>A(-)=</v>
      </c>
      <c r="Z69" s="84" t="e">
        <f>VLOOKUP(Q67,STN_TABLE,3,FALSE)</f>
        <v>#N/A</v>
      </c>
      <c r="AA69" t="str">
        <f>CONCATENATE("A(",Q68,")=")</f>
        <v>A(4.85)=</v>
      </c>
      <c r="AB69" t="e">
        <f>X69+Z69</f>
        <v>#VALUE!</v>
      </c>
      <c r="AC69" s="99">
        <f>AC68+1</f>
        <v>9</v>
      </c>
      <c r="AD69" s="100">
        <f>VLOOKUP(AC69,STN_TABLE_2,2,FALSE)</f>
        <v>4.8499999999999996</v>
      </c>
      <c r="AE69" s="82">
        <f>VLOOKUP(AD69,STN_TABLE,2,FALSE)</f>
        <v>10.72</v>
      </c>
      <c r="AF69" s="82">
        <v>2</v>
      </c>
      <c r="AG69" s="83">
        <f>AE69*AF69</f>
        <v>21.44</v>
      </c>
      <c r="AH69" s="84" t="str">
        <f>CONCATENATE("a'(",AD69,")=")</f>
        <v>a'(4.85)=</v>
      </c>
      <c r="AI69" s="84">
        <f>2*AI67/2*AE70</f>
        <v>36.209999999999987</v>
      </c>
      <c r="AJ69" s="84" t="str">
        <f>CONCATENATE("A(",AD68,")=")</f>
        <v>A(4)=</v>
      </c>
      <c r="AK69" s="84">
        <f>VLOOKUP(AD68,STN_TABLE,3,FALSE)</f>
        <v>152.20666666666665</v>
      </c>
      <c r="AL69" t="str">
        <f>CONCATENATE("A(",AD69,")=")</f>
        <v>A(4.85)=</v>
      </c>
      <c r="AM69">
        <f>AI69+AK69</f>
        <v>188.41666666666663</v>
      </c>
      <c r="AO69" s="68" t="str">
        <f>AA69</f>
        <v>A(4.85)=</v>
      </c>
      <c r="AP69" s="68" t="e">
        <f>VLOOKUP(AO69,Rise_Results,2,FALSE)</f>
        <v>#N/A</v>
      </c>
      <c r="AQ69" s="76" t="e">
        <f>N69</f>
        <v>#N/A</v>
      </c>
      <c r="AR69" s="76" t="e">
        <f>IF(OR(AB69&lt;=0,AB70&lt;=0),1/0,AB69)</f>
        <v>#VALUE!</v>
      </c>
      <c r="AS69" s="76">
        <f>AM69</f>
        <v>188.41666666666663</v>
      </c>
      <c r="AT69">
        <f>IFERROR(AP69,IFERROR(AQ69,IFERROR(AR69,AS69)))</f>
        <v>188.41666666666663</v>
      </c>
      <c r="AU69" s="81"/>
    </row>
    <row r="70" spans="1:47" x14ac:dyDescent="0.25">
      <c r="A70" s="84">
        <f>A69+1</f>
        <v>9</v>
      </c>
      <c r="B70" s="84">
        <f t="shared" si="11"/>
        <v>4.8499999999999996</v>
      </c>
      <c r="F70" s="82" t="e">
        <f>SUM(F67:F69)</f>
        <v>#N/A</v>
      </c>
      <c r="H70" s="82" t="e">
        <f>SUM(H67:H69)</f>
        <v>#N/A</v>
      </c>
      <c r="I70" s="84" t="str">
        <f>CONCATENATE("m'(",C69,")=")</f>
        <v>m'(4.85)=</v>
      </c>
      <c r="J70" s="84" t="e">
        <f>2*(J67*(WLS))/3*H70</f>
        <v>#N/A</v>
      </c>
      <c r="K70" s="84" t="str">
        <f>CONCATENATE("M(",C67,")=")</f>
        <v>M(#NA)=</v>
      </c>
      <c r="L70" s="84" t="e">
        <f>VLOOKUP(C67,STN_TABLE,4,FALSE)</f>
        <v>#N/A</v>
      </c>
      <c r="M70" t="str">
        <f>CONCATENATE("M(",C69,")=")</f>
        <v>M(4.85)=</v>
      </c>
      <c r="N70" t="e">
        <f>J70+L70</f>
        <v>#N/A</v>
      </c>
      <c r="O70" s="99">
        <f>O69+1</f>
        <v>11</v>
      </c>
      <c r="P70" s="99">
        <f t="shared" si="23"/>
        <v>6</v>
      </c>
      <c r="T70" s="89" t="e">
        <f>SUM(T67:T69)</f>
        <v>#N/A</v>
      </c>
      <c r="V70" s="82" t="e">
        <f>SUM(V67:V69)</f>
        <v>#N/A</v>
      </c>
      <c r="W70" s="84" t="str">
        <f>CONCATENATE("m'(",Q68,")=")</f>
        <v>m'(4.85)=</v>
      </c>
      <c r="X70" s="84" t="e">
        <f>(2*(X67^2)/24*V70)+(X69*Q67*WLS)</f>
        <v>#VALUE!</v>
      </c>
      <c r="Y70" s="84" t="str">
        <f>CONCATENATE("M(",Q67,")=")</f>
        <v>M(-)=</v>
      </c>
      <c r="Z70" s="84" t="e">
        <f>VLOOKUP(Q67,STN_TABLE,4,FALSE)</f>
        <v>#N/A</v>
      </c>
      <c r="AA70" t="str">
        <f>CONCATENATE("M(",Q68,")=")</f>
        <v>M(4.85)=</v>
      </c>
      <c r="AB70" t="e">
        <f>X70+Z70</f>
        <v>#VALUE!</v>
      </c>
      <c r="AE70" s="89">
        <f>SUM(AE68:AE69)</f>
        <v>21.3</v>
      </c>
      <c r="AG70" s="89">
        <f>SUM(AG68:AG69)</f>
        <v>32.020000000000003</v>
      </c>
      <c r="AH70" s="84" t="str">
        <f>CONCATENATE("m'(",AD69,")=")</f>
        <v>m'(4.85)=</v>
      </c>
      <c r="AI70" s="84">
        <f>(2*(AI67^2)/6*AG70)+(AI69*AD68*WLS)</f>
        <v>320.52593333333323</v>
      </c>
      <c r="AJ70" s="84" t="str">
        <f>CONCATENATE("M(",AD68,")=")</f>
        <v>M(4)=</v>
      </c>
      <c r="AK70" s="84">
        <f>VLOOKUP(AD68,STN_TABLE,4,FALSE)</f>
        <v>644.45666666666659</v>
      </c>
      <c r="AL70" t="str">
        <f>CONCATENATE("M(",AD69,")=")</f>
        <v>M(4.85)=</v>
      </c>
      <c r="AM70">
        <f>AI70+AK70</f>
        <v>964.98259999999982</v>
      </c>
      <c r="AO70" s="82" t="str">
        <f>AA70</f>
        <v>M(4.85)=</v>
      </c>
      <c r="AP70" s="82" t="e">
        <f>VLOOKUP(AO70,Rise_Results,2,FALSE)</f>
        <v>#N/A</v>
      </c>
      <c r="AQ70" s="82" t="e">
        <f>N70</f>
        <v>#N/A</v>
      </c>
      <c r="AR70" s="82" t="e">
        <f>IF(OR(AB69&lt;=0,AB70&lt;=0),1/0,AB70)</f>
        <v>#VALUE!</v>
      </c>
      <c r="AS70" s="82">
        <f>AM70</f>
        <v>964.98259999999982</v>
      </c>
      <c r="AT70">
        <f>IFERROR(AP70,IFERROR(AQ70,IFERROR(AR70,AS70)))</f>
        <v>964.98259999999982</v>
      </c>
      <c r="AU70" s="81"/>
    </row>
    <row r="71" spans="1:47" x14ac:dyDescent="0.25">
      <c r="A71" s="101">
        <f>A66+1</f>
        <v>6</v>
      </c>
      <c r="B71" s="101">
        <f t="shared" si="11"/>
        <v>2</v>
      </c>
      <c r="O71" s="101">
        <f>O66+1</f>
        <v>8</v>
      </c>
      <c r="P71" s="101">
        <f t="shared" si="23"/>
        <v>4</v>
      </c>
      <c r="AU71" s="81"/>
    </row>
    <row r="72" spans="1:47" x14ac:dyDescent="0.25">
      <c r="A72" s="84">
        <f>A71+1</f>
        <v>7</v>
      </c>
      <c r="B72" s="84">
        <f t="shared" si="11"/>
        <v>3</v>
      </c>
      <c r="C72" s="79">
        <f t="shared" ref="C72" si="25">IF(C73=B74,IF(C74-C73=C73-B73,B73,IF(C74-C73=C73-B72,B72,"#NA")),IF(C73=B73,IF(C74-C73=C73-B72,B72,IF(C74-C73=C73-B71,B71,"#NA")),"#NA"))</f>
        <v>3</v>
      </c>
      <c r="D72" s="68">
        <f>VLOOKUP(C72,STN_TABLE,2,FALSE)</f>
        <v>10.3</v>
      </c>
      <c r="E72" s="102">
        <v>1</v>
      </c>
      <c r="F72" s="68">
        <f>D72*E72</f>
        <v>10.3</v>
      </c>
      <c r="G72" s="69">
        <f>C72</f>
        <v>3</v>
      </c>
      <c r="H72" s="69">
        <f>F72*G72</f>
        <v>30.900000000000002</v>
      </c>
      <c r="I72" s="6" t="s">
        <v>93</v>
      </c>
      <c r="J72" s="70">
        <f>IF(OR(D72=0,D73=0,D74=0),"#NA",IF(AND(C74-C73=C73-C72,C73&lt;&gt;C74,C72&lt;&gt;C73,C72&lt;&gt;C74,D74&lt;&gt;0,OR(D72&lt;&gt;0,D73&lt;&gt;0)),WLS*(C74-C73),"#NA"))</f>
        <v>2</v>
      </c>
      <c r="O72" s="99">
        <f>O71+1</f>
        <v>9</v>
      </c>
      <c r="P72" s="99">
        <f t="shared" si="23"/>
        <v>4.8499999999999996</v>
      </c>
      <c r="Q72" s="68">
        <f>IF(OR(P74-P73=P73-P72,P75-P73=P73-P72),P72,IF(OR(P74-P73=P73-P71,P75-P73=P73-P71),P71,"-"))</f>
        <v>4</v>
      </c>
      <c r="R72" s="69">
        <f>VLOOKUP(Q72,STN_TABLE,2,FALSE)</f>
        <v>10.58</v>
      </c>
      <c r="S72" s="69">
        <v>5</v>
      </c>
      <c r="T72" s="68">
        <f>R72*S72</f>
        <v>52.9</v>
      </c>
      <c r="U72" s="79">
        <v>3</v>
      </c>
      <c r="V72" s="68">
        <f>R72*U72</f>
        <v>31.740000000000002</v>
      </c>
      <c r="W72" s="6" t="s">
        <v>93</v>
      </c>
      <c r="X72" s="70">
        <f>IF(AND(Q74-Q73=Q73-Q72,NOT(AND(Q72=0,Q73=0)),NOT(AND(Q73=0,Q74=0))),WLS*(Q74-Q73),"#NA")</f>
        <v>2</v>
      </c>
      <c r="AD72" s="93"/>
      <c r="AH72" s="6" t="s">
        <v>93</v>
      </c>
      <c r="AI72" s="70">
        <f>WLS*(AD74-AD73)</f>
        <v>0.30000000000000071</v>
      </c>
      <c r="AU72" s="81"/>
    </row>
    <row r="73" spans="1:47" x14ac:dyDescent="0.25">
      <c r="A73" s="84">
        <f>A72+1</f>
        <v>8</v>
      </c>
      <c r="B73" s="84">
        <f t="shared" si="11"/>
        <v>4</v>
      </c>
      <c r="C73" s="80">
        <f t="shared" ref="C73" si="26">IF(OR(B75-B74=B74-B73,B75-B74=B74-B72,B75-B74=B74-B71),B74,IF(OR(B75-B73=B73-B72,B75-B73=B73-B71),B73,IF(B75-B72=B72-B71,B72,"#NA")))</f>
        <v>4</v>
      </c>
      <c r="D73" s="76">
        <f>VLOOKUP(C73,STN_TABLE,2,FALSE)</f>
        <v>10.58</v>
      </c>
      <c r="E73" s="81">
        <v>4</v>
      </c>
      <c r="F73" s="76">
        <f>D73*E73</f>
        <v>42.32</v>
      </c>
      <c r="G73" s="77">
        <f>C73</f>
        <v>4</v>
      </c>
      <c r="H73" s="77">
        <f>F73*G73</f>
        <v>169.28</v>
      </c>
      <c r="I73" s="495" t="s">
        <v>97</v>
      </c>
      <c r="J73" s="496"/>
      <c r="K73" s="78" t="s">
        <v>98</v>
      </c>
      <c r="L73" s="78"/>
      <c r="M73" s="7" t="s">
        <v>99</v>
      </c>
      <c r="N73" s="7"/>
      <c r="O73" s="99">
        <f>O72+1</f>
        <v>10</v>
      </c>
      <c r="P73" s="99">
        <f t="shared" si="23"/>
        <v>5</v>
      </c>
      <c r="Q73" s="76">
        <f>P73</f>
        <v>5</v>
      </c>
      <c r="R73" s="77">
        <f>VLOOKUP(Q73,STN_TABLE,2,FALSE)</f>
        <v>10.74</v>
      </c>
      <c r="S73" s="77">
        <v>8</v>
      </c>
      <c r="T73" s="76">
        <f>R73*S73</f>
        <v>85.92</v>
      </c>
      <c r="U73" s="80">
        <v>10</v>
      </c>
      <c r="V73" s="76">
        <f>R73*U73</f>
        <v>107.4</v>
      </c>
      <c r="W73" s="496" t="s">
        <v>97</v>
      </c>
      <c r="X73" s="496"/>
      <c r="Y73" s="496" t="s">
        <v>98</v>
      </c>
      <c r="Z73" s="496"/>
      <c r="AA73" s="494" t="s">
        <v>99</v>
      </c>
      <c r="AB73" s="494"/>
      <c r="AC73" s="99">
        <f>AC68+1</f>
        <v>9</v>
      </c>
      <c r="AD73" s="95">
        <f>VLOOKUP(AC73,STN_TABLE_2,2,FALSE)</f>
        <v>4.8499999999999996</v>
      </c>
      <c r="AE73" s="68">
        <f>VLOOKUP(AD73,STN_TABLE,2,FALSE)</f>
        <v>10.72</v>
      </c>
      <c r="AF73" s="68">
        <v>1</v>
      </c>
      <c r="AG73" s="69">
        <f>AE73*AF73</f>
        <v>10.72</v>
      </c>
      <c r="AH73" s="496" t="s">
        <v>97</v>
      </c>
      <c r="AI73" s="496"/>
      <c r="AJ73" s="496" t="s">
        <v>98</v>
      </c>
      <c r="AK73" s="496"/>
      <c r="AL73" s="494" t="s">
        <v>99</v>
      </c>
      <c r="AM73" s="494"/>
      <c r="AP73" s="86" t="s">
        <v>112</v>
      </c>
      <c r="AQ73" s="89" t="s">
        <v>113</v>
      </c>
      <c r="AR73" s="89" t="s">
        <v>114</v>
      </c>
      <c r="AS73" s="89" t="s">
        <v>115</v>
      </c>
      <c r="AU73" s="81"/>
    </row>
    <row r="74" spans="1:47" x14ac:dyDescent="0.25">
      <c r="A74" s="84">
        <f>A73+1</f>
        <v>9</v>
      </c>
      <c r="B74" s="84">
        <f t="shared" ref="B74:B105" si="27">VLOOKUP(A74,STN_TABLE_2,2,FALSE)</f>
        <v>4.8499999999999996</v>
      </c>
      <c r="C74" s="88">
        <f t="shared" ref="C74" si="28">B75</f>
        <v>5</v>
      </c>
      <c r="D74" s="82">
        <f>VLOOKUP(C74,STN_TABLE,2,FALSE)</f>
        <v>10.74</v>
      </c>
      <c r="E74" s="92">
        <v>1</v>
      </c>
      <c r="F74" s="82">
        <f>D74*E74</f>
        <v>10.74</v>
      </c>
      <c r="G74" s="83">
        <f>C74</f>
        <v>5</v>
      </c>
      <c r="H74" s="83">
        <f>F74*G74</f>
        <v>53.7</v>
      </c>
      <c r="I74" s="84" t="str">
        <f>CONCATENATE("a'(",C74,")=")</f>
        <v>a'(5)=</v>
      </c>
      <c r="J74" s="84">
        <f>2*J72/3*F75</f>
        <v>84.48</v>
      </c>
      <c r="K74" s="84" t="str">
        <f>CONCATENATE("A(",C72,")=")</f>
        <v>A(3)=</v>
      </c>
      <c r="L74" s="84">
        <f>VLOOKUP(C72,STN_TABLE,3,FALSE)</f>
        <v>110.57666666666665</v>
      </c>
      <c r="M74" t="str">
        <f>CONCATENATE("A(",C74,")=")</f>
        <v>A(5)=</v>
      </c>
      <c r="N74">
        <f>J74+L74</f>
        <v>195.05666666666667</v>
      </c>
      <c r="O74" s="99">
        <f>O73+1</f>
        <v>11</v>
      </c>
      <c r="P74" s="99">
        <f t="shared" si="23"/>
        <v>6</v>
      </c>
      <c r="Q74" s="82">
        <f>IF(P74-P73=P73-P72,P74,IF(P75-P73=P73-P72,P75,IF(P74-P73=P73-P71,P74,IF(P75-P73=P73-P71,P75,"-"))))</f>
        <v>6</v>
      </c>
      <c r="R74" s="83">
        <f>VLOOKUP(Q74,STN_TABLE,2,FALSE)</f>
        <v>10.9</v>
      </c>
      <c r="S74" s="83">
        <v>-1</v>
      </c>
      <c r="T74" s="82">
        <f>R74*S74</f>
        <v>-10.9</v>
      </c>
      <c r="U74" s="88">
        <v>-1</v>
      </c>
      <c r="V74" s="82">
        <f>R74*U74</f>
        <v>-10.9</v>
      </c>
      <c r="W74" s="84" t="str">
        <f>CONCATENATE("a'(",Q73,")=")</f>
        <v>a'(5)=</v>
      </c>
      <c r="X74" s="84">
        <f>2*X72/12*T75</f>
        <v>42.639999999999993</v>
      </c>
      <c r="Y74" s="84" t="str">
        <f>CONCATENATE("A(",Q72,")=")</f>
        <v>A(4)=</v>
      </c>
      <c r="Z74" s="84">
        <f>VLOOKUP(Q72,STN_TABLE,3,FALSE)</f>
        <v>152.20666666666665</v>
      </c>
      <c r="AA74" t="str">
        <f>CONCATENATE("A(",Q73,")=")</f>
        <v>A(5)=</v>
      </c>
      <c r="AB74">
        <f>X74+Z74</f>
        <v>194.84666666666664</v>
      </c>
      <c r="AC74" s="99">
        <f>AC73+1</f>
        <v>10</v>
      </c>
      <c r="AD74" s="100">
        <f>VLOOKUP(AC74,STN_TABLE_2,2,FALSE)</f>
        <v>5</v>
      </c>
      <c r="AE74" s="82">
        <f>VLOOKUP(AD74,STN_TABLE,2,FALSE)</f>
        <v>10.74</v>
      </c>
      <c r="AF74" s="82">
        <v>2</v>
      </c>
      <c r="AG74" s="83">
        <f>AE74*AF74</f>
        <v>21.48</v>
      </c>
      <c r="AH74" s="84" t="str">
        <f>CONCATENATE("a'(",AD74,")=")</f>
        <v>a'(5)=</v>
      </c>
      <c r="AI74" s="84">
        <f>2*AI72/2*AE75</f>
        <v>6.4380000000000157</v>
      </c>
      <c r="AJ74" s="84" t="str">
        <f>CONCATENATE("A(",AD73,")=")</f>
        <v>A(4.85)=</v>
      </c>
      <c r="AK74" s="84">
        <f>VLOOKUP(AD73,STN_TABLE,3,FALSE)</f>
        <v>188.41666666666663</v>
      </c>
      <c r="AL74" t="str">
        <f>CONCATENATE("A(",AD74,")=")</f>
        <v>A(5)=</v>
      </c>
      <c r="AM74">
        <f>AI74+AK74</f>
        <v>194.85466666666665</v>
      </c>
      <c r="AO74" s="68" t="str">
        <f>AA74</f>
        <v>A(5)=</v>
      </c>
      <c r="AP74" s="68" t="e">
        <f>VLOOKUP(AO74,Rise_Results,2,FALSE)</f>
        <v>#N/A</v>
      </c>
      <c r="AQ74" s="76">
        <f>N74</f>
        <v>195.05666666666667</v>
      </c>
      <c r="AR74" s="76">
        <f>IF(OR(AB74&lt;=0,AB75&lt;=0),1/0,AB74)</f>
        <v>194.84666666666664</v>
      </c>
      <c r="AS74" s="76">
        <f>AM74</f>
        <v>194.85466666666665</v>
      </c>
      <c r="AT74">
        <f>IFERROR(AP74,IFERROR(AQ74,IFERROR(AR74,AS74)))</f>
        <v>195.05666666666667</v>
      </c>
      <c r="AU74" s="81"/>
    </row>
    <row r="75" spans="1:47" x14ac:dyDescent="0.25">
      <c r="A75" s="84">
        <f>A74+1</f>
        <v>10</v>
      </c>
      <c r="B75" s="84">
        <f t="shared" si="27"/>
        <v>5</v>
      </c>
      <c r="F75" s="82">
        <f>SUM(F72:F74)</f>
        <v>63.360000000000007</v>
      </c>
      <c r="H75" s="82">
        <f>SUM(H72:H74)</f>
        <v>253.88</v>
      </c>
      <c r="I75" s="84" t="str">
        <f>CONCATENATE("m'(",C74,")=")</f>
        <v>m'(5)=</v>
      </c>
      <c r="J75" s="84">
        <f>2*(J72*(WLS))/3*H75</f>
        <v>677.01333333333332</v>
      </c>
      <c r="K75" s="84" t="str">
        <f>CONCATENATE("M(",C72,")=")</f>
        <v>M(3)=</v>
      </c>
      <c r="L75" s="84">
        <f>VLOOKUP(C72,STN_TABLE,4,FALSE)</f>
        <v>352.55333333333328</v>
      </c>
      <c r="M75" t="str">
        <f>CONCATENATE("M(",C74,")=")</f>
        <v>M(5)=</v>
      </c>
      <c r="N75">
        <f>J75+L75</f>
        <v>1029.5666666666666</v>
      </c>
      <c r="O75" s="99">
        <f>O74+1</f>
        <v>12</v>
      </c>
      <c r="P75" s="99">
        <f t="shared" si="23"/>
        <v>6.5</v>
      </c>
      <c r="T75" s="89">
        <f>SUM(T72:T74)</f>
        <v>127.91999999999999</v>
      </c>
      <c r="V75" s="82">
        <f>SUM(V72:V74)</f>
        <v>128.24</v>
      </c>
      <c r="W75" s="84" t="str">
        <f>CONCATENATE("m'(",Q73,")=")</f>
        <v>m'(5)=</v>
      </c>
      <c r="X75" s="84">
        <f>(2*(X72^2)/24*V75)+(X74*Q72*WLS)</f>
        <v>383.86666666666662</v>
      </c>
      <c r="Y75" s="84" t="str">
        <f>CONCATENATE("M(",Q72,")=")</f>
        <v>M(4)=</v>
      </c>
      <c r="Z75" s="84">
        <f>VLOOKUP(Q72,STN_TABLE,4,FALSE)</f>
        <v>644.45666666666659</v>
      </c>
      <c r="AA75" t="str">
        <f>CONCATENATE("M(",Q73,")=")</f>
        <v>M(5)=</v>
      </c>
      <c r="AB75">
        <f>X75+Z75</f>
        <v>1028.3233333333333</v>
      </c>
      <c r="AE75" s="89">
        <f>SUM(AE73:AE74)</f>
        <v>21.46</v>
      </c>
      <c r="AG75" s="89">
        <f>SUM(AG73:AG74)</f>
        <v>32.200000000000003</v>
      </c>
      <c r="AH75" s="84" t="str">
        <f>CONCATENATE("m'(",AD74,")=")</f>
        <v>m'(5)=</v>
      </c>
      <c r="AI75" s="84">
        <f>(2*(AI72^2)/6*AG75)+(AI74*AD73*WLS)</f>
        <v>63.414600000000149</v>
      </c>
      <c r="AJ75" s="84" t="str">
        <f>CONCATENATE("M(",AD73,")=")</f>
        <v>M(4.85)=</v>
      </c>
      <c r="AK75" s="84">
        <f>VLOOKUP(AD73,STN_TABLE,4,FALSE)</f>
        <v>964.98259999999982</v>
      </c>
      <c r="AL75" t="str">
        <f>CONCATENATE("M(",AD74,")=")</f>
        <v>M(5)=</v>
      </c>
      <c r="AM75">
        <f>AI75+AK75</f>
        <v>1028.3971999999999</v>
      </c>
      <c r="AO75" s="82" t="str">
        <f>AA75</f>
        <v>M(5)=</v>
      </c>
      <c r="AP75" s="82" t="e">
        <f>VLOOKUP(AO75,Rise_Results,2,FALSE)</f>
        <v>#N/A</v>
      </c>
      <c r="AQ75" s="82">
        <f>N75</f>
        <v>1029.5666666666666</v>
      </c>
      <c r="AR75" s="82">
        <f>IF(OR(AB74&lt;=0,AB75&lt;=0),1/0,AB75)</f>
        <v>1028.3233333333333</v>
      </c>
      <c r="AS75" s="82">
        <f>AM75</f>
        <v>1028.3971999999999</v>
      </c>
      <c r="AT75">
        <f>IFERROR(AP75,IFERROR(AQ75,IFERROR(AR75,AS75)))</f>
        <v>1029.5666666666666</v>
      </c>
      <c r="AU75" s="81"/>
    </row>
    <row r="76" spans="1:47" x14ac:dyDescent="0.25">
      <c r="A76" s="101">
        <f>A71+1</f>
        <v>7</v>
      </c>
      <c r="B76" s="101">
        <f t="shared" si="27"/>
        <v>3</v>
      </c>
      <c r="O76" s="101">
        <f>O71+1</f>
        <v>9</v>
      </c>
      <c r="P76" s="101">
        <f t="shared" si="23"/>
        <v>4.8499999999999996</v>
      </c>
      <c r="AU76" s="81"/>
    </row>
    <row r="77" spans="1:47" x14ac:dyDescent="0.25">
      <c r="A77" s="84">
        <f>A76+1</f>
        <v>8</v>
      </c>
      <c r="B77" s="84">
        <f t="shared" si="27"/>
        <v>4</v>
      </c>
      <c r="C77" s="79">
        <f t="shared" ref="C77" si="29">IF(C78=B79,IF(C79-C78=C78-B78,B78,IF(C79-C78=C78-B77,B77,"#NA")),IF(C78=B78,IF(C79-C78=C78-B77,B77,IF(C79-C78=C78-B76,B76,"#NA")),"#NA"))</f>
        <v>4</v>
      </c>
      <c r="D77" s="68">
        <f>VLOOKUP(C77,STN_TABLE,2,FALSE)</f>
        <v>10.58</v>
      </c>
      <c r="E77" s="102">
        <v>1</v>
      </c>
      <c r="F77" s="68">
        <f>D77*E77</f>
        <v>10.58</v>
      </c>
      <c r="G77" s="69">
        <f>C77</f>
        <v>4</v>
      </c>
      <c r="H77" s="69">
        <f>F77*G77</f>
        <v>42.32</v>
      </c>
      <c r="I77" s="6" t="s">
        <v>93</v>
      </c>
      <c r="J77" s="70">
        <f>IF(OR(D77=0,D78=0,D79=0),"#NA",IF(AND(C79-C78=C78-C77,C78&lt;&gt;C79,C77&lt;&gt;C78,C77&lt;&gt;C79,D79&lt;&gt;0,OR(D77&lt;&gt;0,D78&lt;&gt;0)),WLS*(C79-C78),"#NA"))</f>
        <v>2</v>
      </c>
      <c r="O77" s="99">
        <f>O76+1</f>
        <v>10</v>
      </c>
      <c r="P77" s="99">
        <f t="shared" si="23"/>
        <v>5</v>
      </c>
      <c r="Q77" s="68" t="e">
        <f>IF(OR(P79-P78=P78-P77,P80-P78=P78-P77),P77,IF(OR(P79-P78=P78-P76,P80-P78=P78-P76),P76,"-"))</f>
        <v>#VALUE!</v>
      </c>
      <c r="R77" s="69" t="e">
        <f>VLOOKUP(Q77,STN_TABLE,2,FALSE)</f>
        <v>#VALUE!</v>
      </c>
      <c r="S77" s="69">
        <v>5</v>
      </c>
      <c r="T77" s="68" t="e">
        <f>R77*S77</f>
        <v>#VALUE!</v>
      </c>
      <c r="U77" s="79">
        <v>3</v>
      </c>
      <c r="V77" s="68" t="e">
        <f>R77*U77</f>
        <v>#VALUE!</v>
      </c>
      <c r="W77" s="6" t="s">
        <v>93</v>
      </c>
      <c r="X77" s="70" t="e">
        <f>IF(AND(Q79-Q78=Q78-Q77,NOT(AND(Q77=0,Q78=0)),NOT(AND(Q78=0,Q79=0))),WLS*(Q79-Q78),"#NA")</f>
        <v>#VALUE!</v>
      </c>
      <c r="AD77" s="93"/>
      <c r="AH77" s="6" t="s">
        <v>93</v>
      </c>
      <c r="AI77" s="70">
        <f>WLS*(AD79-AD78)</f>
        <v>2</v>
      </c>
      <c r="AU77" s="81"/>
    </row>
    <row r="78" spans="1:47" x14ac:dyDescent="0.25">
      <c r="A78" s="84">
        <f>A77+1</f>
        <v>9</v>
      </c>
      <c r="B78" s="84">
        <f t="shared" si="27"/>
        <v>4.8499999999999996</v>
      </c>
      <c r="C78" s="80">
        <f t="shared" ref="C78" si="30">IF(OR(B80-B79=B79-B78,B80-B79=B79-B77,B80-B79=B79-B76),B79,IF(OR(B80-B78=B78-B77,B80-B78=B78-B76),B78,IF(B80-B77=B77-B76,B77,"#NA")))</f>
        <v>5</v>
      </c>
      <c r="D78" s="76">
        <f>VLOOKUP(C78,STN_TABLE,2,FALSE)</f>
        <v>10.74</v>
      </c>
      <c r="E78" s="81">
        <v>4</v>
      </c>
      <c r="F78" s="76">
        <f>D78*E78</f>
        <v>42.96</v>
      </c>
      <c r="G78" s="77">
        <f>C78</f>
        <v>5</v>
      </c>
      <c r="H78" s="77">
        <f>F78*G78</f>
        <v>214.8</v>
      </c>
      <c r="I78" s="495" t="s">
        <v>97</v>
      </c>
      <c r="J78" s="496"/>
      <c r="K78" s="78" t="s">
        <v>98</v>
      </c>
      <c r="L78" s="78"/>
      <c r="M78" s="7" t="s">
        <v>99</v>
      </c>
      <c r="N78" s="7"/>
      <c r="O78" s="99">
        <f>O77+1</f>
        <v>11</v>
      </c>
      <c r="P78" s="99">
        <f t="shared" si="23"/>
        <v>6</v>
      </c>
      <c r="Q78" s="76">
        <f>P78</f>
        <v>6</v>
      </c>
      <c r="R78" s="77">
        <f>VLOOKUP(Q78,STN_TABLE,2,FALSE)</f>
        <v>10.9</v>
      </c>
      <c r="S78" s="77">
        <v>8</v>
      </c>
      <c r="T78" s="76">
        <f>R78*S78</f>
        <v>87.2</v>
      </c>
      <c r="U78" s="80">
        <v>10</v>
      </c>
      <c r="V78" s="76">
        <f>R78*U78</f>
        <v>109</v>
      </c>
      <c r="W78" s="496" t="s">
        <v>97</v>
      </c>
      <c r="X78" s="496"/>
      <c r="Y78" s="496" t="s">
        <v>98</v>
      </c>
      <c r="Z78" s="496"/>
      <c r="AA78" s="494" t="s">
        <v>99</v>
      </c>
      <c r="AB78" s="494"/>
      <c r="AC78" s="99">
        <f>AC73+1</f>
        <v>10</v>
      </c>
      <c r="AD78" s="95">
        <f>VLOOKUP(AC78,STN_TABLE_2,2,FALSE)</f>
        <v>5</v>
      </c>
      <c r="AE78" s="68">
        <f>VLOOKUP(AD78,STN_TABLE,2,FALSE)</f>
        <v>10.74</v>
      </c>
      <c r="AF78" s="68">
        <v>1</v>
      </c>
      <c r="AG78" s="69">
        <f>AE78*AF78</f>
        <v>10.74</v>
      </c>
      <c r="AH78" s="496" t="s">
        <v>97</v>
      </c>
      <c r="AI78" s="496"/>
      <c r="AJ78" s="496" t="s">
        <v>98</v>
      </c>
      <c r="AK78" s="496"/>
      <c r="AL78" s="494" t="s">
        <v>99</v>
      </c>
      <c r="AM78" s="494"/>
      <c r="AP78" s="86" t="s">
        <v>112</v>
      </c>
      <c r="AQ78" s="89" t="s">
        <v>113</v>
      </c>
      <c r="AR78" s="89" t="s">
        <v>114</v>
      </c>
      <c r="AS78" s="89" t="s">
        <v>115</v>
      </c>
      <c r="AU78" s="81"/>
    </row>
    <row r="79" spans="1:47" x14ac:dyDescent="0.25">
      <c r="A79" s="84">
        <f>A78+1</f>
        <v>10</v>
      </c>
      <c r="B79" s="84">
        <f t="shared" si="27"/>
        <v>5</v>
      </c>
      <c r="C79" s="88">
        <f t="shared" ref="C79" si="31">B80</f>
        <v>6</v>
      </c>
      <c r="D79" s="82">
        <f>VLOOKUP(C79,STN_TABLE,2,FALSE)</f>
        <v>10.9</v>
      </c>
      <c r="E79" s="92">
        <v>1</v>
      </c>
      <c r="F79" s="82">
        <f>D79*E79</f>
        <v>10.9</v>
      </c>
      <c r="G79" s="83">
        <f>C79</f>
        <v>6</v>
      </c>
      <c r="H79" s="83">
        <f>F79*G79</f>
        <v>65.400000000000006</v>
      </c>
      <c r="I79" s="84" t="str">
        <f>CONCATENATE("a'(",C79,")=")</f>
        <v>a'(6)=</v>
      </c>
      <c r="J79" s="84">
        <f>2*J77/3*F80</f>
        <v>85.919999999999987</v>
      </c>
      <c r="K79" s="84" t="str">
        <f>CONCATENATE("A(",C77,")=")</f>
        <v>A(4)=</v>
      </c>
      <c r="L79" s="84">
        <f>VLOOKUP(C77,STN_TABLE,3,FALSE)</f>
        <v>152.20666666666665</v>
      </c>
      <c r="M79" t="str">
        <f>CONCATENATE("A(",C79,")=")</f>
        <v>A(6)=</v>
      </c>
      <c r="N79">
        <f>J79+L79</f>
        <v>238.12666666666664</v>
      </c>
      <c r="O79" s="99">
        <f>O78+1</f>
        <v>12</v>
      </c>
      <c r="P79" s="99">
        <f t="shared" si="23"/>
        <v>6.5</v>
      </c>
      <c r="Q79" s="82" t="e">
        <f>IF(P79-P78=P78-P77,P79,IF(P80-P78=P78-P77,P80,IF(P79-P78=P78-P76,P79,IF(P80-P78=P78-P76,P80,"-"))))</f>
        <v>#VALUE!</v>
      </c>
      <c r="R79" s="83" t="e">
        <f>VLOOKUP(Q79,STN_TABLE,2,FALSE)</f>
        <v>#VALUE!</v>
      </c>
      <c r="S79" s="83">
        <v>-1</v>
      </c>
      <c r="T79" s="82" t="e">
        <f>R79*S79</f>
        <v>#VALUE!</v>
      </c>
      <c r="U79" s="88">
        <v>-1</v>
      </c>
      <c r="V79" s="82" t="e">
        <f>R79*U79</f>
        <v>#VALUE!</v>
      </c>
      <c r="W79" s="84" t="str">
        <f>CONCATENATE("a'(",Q78,")=")</f>
        <v>a'(6)=</v>
      </c>
      <c r="X79" s="84" t="e">
        <f>2*X77/12*T80</f>
        <v>#VALUE!</v>
      </c>
      <c r="Y79" s="84" t="e">
        <f>CONCATENATE("A(",Q77,")=")</f>
        <v>#VALUE!</v>
      </c>
      <c r="Z79" s="84" t="e">
        <f>VLOOKUP(Q77,STN_TABLE,3,FALSE)</f>
        <v>#VALUE!</v>
      </c>
      <c r="AA79" t="str">
        <f>CONCATENATE("A(",Q78,")=")</f>
        <v>A(6)=</v>
      </c>
      <c r="AB79" t="e">
        <f>X79+Z79</f>
        <v>#VALUE!</v>
      </c>
      <c r="AC79" s="99">
        <f>AC78+1</f>
        <v>11</v>
      </c>
      <c r="AD79" s="100">
        <f>VLOOKUP(AC79,STN_TABLE_2,2,FALSE)</f>
        <v>6</v>
      </c>
      <c r="AE79" s="82">
        <f>VLOOKUP(AD79,STN_TABLE,2,FALSE)</f>
        <v>10.9</v>
      </c>
      <c r="AF79" s="82">
        <v>2</v>
      </c>
      <c r="AG79" s="83">
        <f>AE79*AF79</f>
        <v>21.8</v>
      </c>
      <c r="AH79" s="84" t="str">
        <f>CONCATENATE("a'(",AD79,")=")</f>
        <v>a'(6)=</v>
      </c>
      <c r="AI79" s="84">
        <f>2*AI77/2*AE80</f>
        <v>43.28</v>
      </c>
      <c r="AJ79" s="84" t="str">
        <f>CONCATENATE("A(",AD78,")=")</f>
        <v>A(5)=</v>
      </c>
      <c r="AK79" s="84">
        <f>VLOOKUP(AD78,STN_TABLE,3,FALSE)</f>
        <v>195.05666666666667</v>
      </c>
      <c r="AL79" t="str">
        <f>CONCATENATE("A(",AD79,")=")</f>
        <v>A(6)=</v>
      </c>
      <c r="AM79">
        <f>AI79+AK79</f>
        <v>238.33666666666667</v>
      </c>
      <c r="AO79" s="68" t="str">
        <f>AA79</f>
        <v>A(6)=</v>
      </c>
      <c r="AP79" s="68" t="e">
        <f>VLOOKUP(AO79,Rise_Results,2,FALSE)</f>
        <v>#N/A</v>
      </c>
      <c r="AQ79" s="76">
        <f>N79</f>
        <v>238.12666666666664</v>
      </c>
      <c r="AR79" s="76" t="e">
        <f>IF(OR(AB79&lt;=0,AB80&lt;=0),1/0,AB79)</f>
        <v>#VALUE!</v>
      </c>
      <c r="AS79" s="76">
        <f>AM79</f>
        <v>238.33666666666667</v>
      </c>
      <c r="AT79">
        <f>IFERROR(AP79,IFERROR(AQ79,IFERROR(AR79,AS79)))</f>
        <v>238.12666666666664</v>
      </c>
      <c r="AU79" s="81"/>
    </row>
    <row r="80" spans="1:47" x14ac:dyDescent="0.25">
      <c r="A80" s="84">
        <f>A79+1</f>
        <v>11</v>
      </c>
      <c r="B80" s="84">
        <f t="shared" si="27"/>
        <v>6</v>
      </c>
      <c r="F80" s="82">
        <f>SUM(F77:F79)</f>
        <v>64.44</v>
      </c>
      <c r="H80" s="82">
        <f>SUM(H77:H79)</f>
        <v>322.52</v>
      </c>
      <c r="I80" s="84" t="str">
        <f>CONCATENATE("m'(",C79,")=")</f>
        <v>m'(6)=</v>
      </c>
      <c r="J80" s="84">
        <f>2*(J77*(WLS))/3*H80</f>
        <v>860.05333333333328</v>
      </c>
      <c r="K80" s="84" t="str">
        <f>CONCATENATE("M(",C77,")=")</f>
        <v>M(4)=</v>
      </c>
      <c r="L80" s="84">
        <f>VLOOKUP(C77,STN_TABLE,4,FALSE)</f>
        <v>644.45666666666659</v>
      </c>
      <c r="M80" t="str">
        <f>CONCATENATE("M(",C79,")=")</f>
        <v>M(6)=</v>
      </c>
      <c r="N80">
        <f>J80+L80</f>
        <v>1504.5099999999998</v>
      </c>
      <c r="O80" s="99">
        <f>O79+1</f>
        <v>13</v>
      </c>
      <c r="P80" s="99" t="str">
        <f t="shared" si="23"/>
        <v xml:space="preserve">  </v>
      </c>
      <c r="T80" s="89" t="e">
        <f>SUM(T77:T79)</f>
        <v>#VALUE!</v>
      </c>
      <c r="V80" s="82" t="e">
        <f>SUM(V77:V79)</f>
        <v>#VALUE!</v>
      </c>
      <c r="W80" s="84" t="str">
        <f>CONCATENATE("m'(",Q78,")=")</f>
        <v>m'(6)=</v>
      </c>
      <c r="X80" s="84" t="e">
        <f>(2*(X77^2)/24*V80)+(X79*Q77*WLS)</f>
        <v>#VALUE!</v>
      </c>
      <c r="Y80" s="84" t="e">
        <f>CONCATENATE("M(",Q77,")=")</f>
        <v>#VALUE!</v>
      </c>
      <c r="Z80" s="84" t="e">
        <f>VLOOKUP(Q77,STN_TABLE,4,FALSE)</f>
        <v>#VALUE!</v>
      </c>
      <c r="AA80" t="str">
        <f>CONCATENATE("M(",Q78,")=")</f>
        <v>M(6)=</v>
      </c>
      <c r="AB80" t="e">
        <f>X80+Z80</f>
        <v>#VALUE!</v>
      </c>
      <c r="AE80" s="89">
        <f>SUM(AE78:AE79)</f>
        <v>21.64</v>
      </c>
      <c r="AG80" s="89">
        <f>SUM(AG78:AG79)</f>
        <v>32.54</v>
      </c>
      <c r="AH80" s="84" t="str">
        <f>CONCATENATE("m'(",AD79,")=")</f>
        <v>m'(6)=</v>
      </c>
      <c r="AI80" s="84">
        <f>(2*(AI77^2)/6*AG80)+(AI79*AD78*WLS)</f>
        <v>476.18666666666667</v>
      </c>
      <c r="AJ80" s="84" t="str">
        <f>CONCATENATE("M(",AD78,")=")</f>
        <v>M(5)=</v>
      </c>
      <c r="AK80" s="84">
        <f>VLOOKUP(AD78,STN_TABLE,4,FALSE)</f>
        <v>1029.5666666666666</v>
      </c>
      <c r="AL80" t="str">
        <f>CONCATENATE("M(",AD79,")=")</f>
        <v>M(6)=</v>
      </c>
      <c r="AM80">
        <f>AI80+AK80</f>
        <v>1505.7533333333333</v>
      </c>
      <c r="AO80" s="82" t="str">
        <f>AA80</f>
        <v>M(6)=</v>
      </c>
      <c r="AP80" s="82" t="e">
        <f>VLOOKUP(AO80,Rise_Results,2,FALSE)</f>
        <v>#N/A</v>
      </c>
      <c r="AQ80" s="82">
        <f>N80</f>
        <v>1504.5099999999998</v>
      </c>
      <c r="AR80" s="82" t="e">
        <f>IF(OR(AB79&lt;=0,AB80&lt;=0),1/0,AB80)</f>
        <v>#VALUE!</v>
      </c>
      <c r="AS80" s="82">
        <f>AM80</f>
        <v>1505.7533333333333</v>
      </c>
      <c r="AT80">
        <f>IFERROR(AP80,IFERROR(AQ80,IFERROR(AR80,AS80)))</f>
        <v>1504.5099999999998</v>
      </c>
      <c r="AU80" s="81"/>
    </row>
    <row r="81" spans="1:47" x14ac:dyDescent="0.25">
      <c r="A81" s="101">
        <f>A76+1</f>
        <v>8</v>
      </c>
      <c r="B81" s="101">
        <f t="shared" si="27"/>
        <v>4</v>
      </c>
      <c r="O81" s="101">
        <f>O76+1</f>
        <v>10</v>
      </c>
      <c r="P81" s="101">
        <f t="shared" si="23"/>
        <v>5</v>
      </c>
      <c r="AU81" s="81"/>
    </row>
    <row r="82" spans="1:47" x14ac:dyDescent="0.25">
      <c r="A82" s="84">
        <f>A81+1</f>
        <v>9</v>
      </c>
      <c r="B82" s="84">
        <f t="shared" si="27"/>
        <v>4.8499999999999996</v>
      </c>
      <c r="C82" s="79" t="str">
        <f t="shared" ref="C82" si="32">IF(C83=B84,IF(C84-C83=C83-B83,B83,IF(C84-C83=C83-B82,B82,"#NA")),IF(C83=B83,IF(C84-C83=C83-B82,B82,IF(C84-C83=C83-B81,B81,"#NA")),"#NA"))</f>
        <v>#NA</v>
      </c>
      <c r="D82" s="68" t="e">
        <f>VLOOKUP(C82,STN_TABLE,2,FALSE)</f>
        <v>#N/A</v>
      </c>
      <c r="E82" s="102">
        <v>1</v>
      </c>
      <c r="F82" s="68" t="e">
        <f>D82*E82</f>
        <v>#N/A</v>
      </c>
      <c r="G82" s="69" t="str">
        <f>C82</f>
        <v>#NA</v>
      </c>
      <c r="H82" s="69" t="e">
        <f>F82*G82</f>
        <v>#N/A</v>
      </c>
      <c r="I82" s="6" t="s">
        <v>93</v>
      </c>
      <c r="J82" s="70" t="e">
        <f>IF(OR(D82=0,D83=0,D84=0),"#NA",IF(AND(C84-C83=C83-C82,C83&lt;&gt;C84,C82&lt;&gt;C83,C82&lt;&gt;C84,D84&lt;&gt;0,OR(D82&lt;&gt;0,D83&lt;&gt;0)),WLS*(C84-C83),"#NA"))</f>
        <v>#N/A</v>
      </c>
      <c r="O82" s="99">
        <f>O81+1</f>
        <v>11</v>
      </c>
      <c r="P82" s="99">
        <f t="shared" si="23"/>
        <v>6</v>
      </c>
      <c r="Q82" s="68" t="e">
        <f>IF(OR(P84-P83=P83-P82,P85-P83=P83-P82),P82,IF(OR(P84-P83=P83-P81,P85-P83=P83-P81),P81,"-"))</f>
        <v>#VALUE!</v>
      </c>
      <c r="R82" s="69" t="e">
        <f>VLOOKUP(Q82,STN_TABLE,2,FALSE)</f>
        <v>#VALUE!</v>
      </c>
      <c r="S82" s="69">
        <v>5</v>
      </c>
      <c r="T82" s="68" t="e">
        <f>R82*S82</f>
        <v>#VALUE!</v>
      </c>
      <c r="U82" s="79">
        <v>3</v>
      </c>
      <c r="V82" s="68" t="e">
        <f>R82*U82</f>
        <v>#VALUE!</v>
      </c>
      <c r="W82" s="6" t="s">
        <v>93</v>
      </c>
      <c r="X82" s="70" t="e">
        <f>IF(AND(Q84-Q83=Q83-Q82,NOT(AND(Q82=0,Q83=0)),NOT(AND(Q83=0,Q84=0))),WLS*(Q84-Q83),"#NA")</f>
        <v>#VALUE!</v>
      </c>
      <c r="AD82" s="93"/>
      <c r="AH82" s="6" t="s">
        <v>93</v>
      </c>
      <c r="AI82" s="70">
        <f>WLS*(AD84-AD83)</f>
        <v>1</v>
      </c>
      <c r="AU82" s="81"/>
    </row>
    <row r="83" spans="1:47" x14ac:dyDescent="0.25">
      <c r="A83" s="84">
        <f>A82+1</f>
        <v>10</v>
      </c>
      <c r="B83" s="84">
        <f t="shared" si="27"/>
        <v>5</v>
      </c>
      <c r="C83" s="80" t="str">
        <f t="shared" ref="C83" si="33">IF(OR(B85-B84=B84-B83,B85-B84=B84-B82,B85-B84=B84-B81),B84,IF(OR(B85-B83=B83-B82,B85-B83=B83-B81),B83,IF(B85-B82=B82-B81,B82,"#NA")))</f>
        <v>#NA</v>
      </c>
      <c r="D83" s="76" t="e">
        <f>VLOOKUP(C83,STN_TABLE,2,FALSE)</f>
        <v>#N/A</v>
      </c>
      <c r="E83" s="81">
        <v>4</v>
      </c>
      <c r="F83" s="76" t="e">
        <f>D83*E83</f>
        <v>#N/A</v>
      </c>
      <c r="G83" s="77" t="str">
        <f>C83</f>
        <v>#NA</v>
      </c>
      <c r="H83" s="77" t="e">
        <f>F83*G83</f>
        <v>#N/A</v>
      </c>
      <c r="I83" s="495" t="s">
        <v>97</v>
      </c>
      <c r="J83" s="496"/>
      <c r="K83" s="78" t="s">
        <v>98</v>
      </c>
      <c r="L83" s="78"/>
      <c r="M83" s="7" t="s">
        <v>99</v>
      </c>
      <c r="N83" s="7"/>
      <c r="O83" s="99">
        <f>O82+1</f>
        <v>12</v>
      </c>
      <c r="P83" s="99">
        <f t="shared" si="23"/>
        <v>6.5</v>
      </c>
      <c r="Q83" s="76">
        <f>P83</f>
        <v>6.5</v>
      </c>
      <c r="R83" s="77">
        <f>VLOOKUP(Q83,STN_TABLE,2,FALSE)</f>
        <v>11</v>
      </c>
      <c r="S83" s="77">
        <v>8</v>
      </c>
      <c r="T83" s="76">
        <f>R83*S83</f>
        <v>88</v>
      </c>
      <c r="U83" s="80">
        <v>10</v>
      </c>
      <c r="V83" s="76">
        <f>R83*U83</f>
        <v>110</v>
      </c>
      <c r="W83" s="496" t="s">
        <v>97</v>
      </c>
      <c r="X83" s="496"/>
      <c r="Y83" s="496" t="s">
        <v>98</v>
      </c>
      <c r="Z83" s="496"/>
      <c r="AA83" s="494" t="s">
        <v>99</v>
      </c>
      <c r="AB83" s="494"/>
      <c r="AC83" s="99">
        <f>AC78+1</f>
        <v>11</v>
      </c>
      <c r="AD83" s="95">
        <f>VLOOKUP(AC83,STN_TABLE_2,2,FALSE)</f>
        <v>6</v>
      </c>
      <c r="AE83" s="68">
        <f>VLOOKUP(AD83,STN_TABLE,2,FALSE)</f>
        <v>10.9</v>
      </c>
      <c r="AF83" s="68">
        <v>1</v>
      </c>
      <c r="AG83" s="69">
        <f>AE83*AF83</f>
        <v>10.9</v>
      </c>
      <c r="AH83" s="496" t="s">
        <v>97</v>
      </c>
      <c r="AI83" s="496"/>
      <c r="AJ83" s="496" t="s">
        <v>98</v>
      </c>
      <c r="AK83" s="496"/>
      <c r="AL83" s="494" t="s">
        <v>99</v>
      </c>
      <c r="AM83" s="494"/>
      <c r="AP83" s="86" t="s">
        <v>112</v>
      </c>
      <c r="AQ83" s="89" t="s">
        <v>113</v>
      </c>
      <c r="AR83" s="89" t="s">
        <v>114</v>
      </c>
      <c r="AS83" s="89" t="s">
        <v>115</v>
      </c>
      <c r="AU83" s="81"/>
    </row>
    <row r="84" spans="1:47" x14ac:dyDescent="0.25">
      <c r="A84" s="84">
        <f>A83+1</f>
        <v>11</v>
      </c>
      <c r="B84" s="84">
        <f t="shared" si="27"/>
        <v>6</v>
      </c>
      <c r="C84" s="88">
        <f t="shared" ref="C84" si="34">B85</f>
        <v>6.5</v>
      </c>
      <c r="D84" s="82">
        <f>VLOOKUP(C84,STN_TABLE,2,FALSE)</f>
        <v>11</v>
      </c>
      <c r="E84" s="92">
        <v>1</v>
      </c>
      <c r="F84" s="82">
        <f>D84*E84</f>
        <v>11</v>
      </c>
      <c r="G84" s="83">
        <f>C84</f>
        <v>6.5</v>
      </c>
      <c r="H84" s="83">
        <f>F84*G84</f>
        <v>71.5</v>
      </c>
      <c r="I84" s="84" t="str">
        <f>CONCATENATE("a'(",C84,")=")</f>
        <v>a'(6.5)=</v>
      </c>
      <c r="J84" s="84" t="e">
        <f>2*J82/3*F85</f>
        <v>#N/A</v>
      </c>
      <c r="K84" s="84" t="str">
        <f>CONCATENATE("A(",C82,")=")</f>
        <v>A(#NA)=</v>
      </c>
      <c r="L84" s="84" t="e">
        <f>VLOOKUP(C82,STN_TABLE,3,FALSE)</f>
        <v>#N/A</v>
      </c>
      <c r="M84" t="str">
        <f>CONCATENATE("A(",C84,")=")</f>
        <v>A(6.5)=</v>
      </c>
      <c r="N84" t="e">
        <f>J84+L84</f>
        <v>#N/A</v>
      </c>
      <c r="O84" s="99">
        <f>O83+1</f>
        <v>13</v>
      </c>
      <c r="P84" s="99" t="str">
        <f t="shared" si="23"/>
        <v xml:space="preserve">  </v>
      </c>
      <c r="Q84" s="82" t="e">
        <f>IF(P84-P83=P83-P82,P84,IF(P85-P83=P83-P82,P85,IF(P84-P83=P83-P81,P84,IF(P85-P83=P83-P81,P85,"-"))))</f>
        <v>#VALUE!</v>
      </c>
      <c r="R84" s="83" t="e">
        <f>VLOOKUP(Q84,STN_TABLE,2,FALSE)</f>
        <v>#VALUE!</v>
      </c>
      <c r="S84" s="83">
        <v>-1</v>
      </c>
      <c r="T84" s="82" t="e">
        <f>R84*S84</f>
        <v>#VALUE!</v>
      </c>
      <c r="U84" s="88">
        <v>-1</v>
      </c>
      <c r="V84" s="82" t="e">
        <f>R84*U84</f>
        <v>#VALUE!</v>
      </c>
      <c r="W84" s="84" t="str">
        <f>CONCATENATE("a'(",Q83,")=")</f>
        <v>a'(6.5)=</v>
      </c>
      <c r="X84" s="84" t="e">
        <f>2*X82/12*T85</f>
        <v>#VALUE!</v>
      </c>
      <c r="Y84" s="84" t="e">
        <f>CONCATENATE("A(",Q82,")=")</f>
        <v>#VALUE!</v>
      </c>
      <c r="Z84" s="84" t="e">
        <f>VLOOKUP(Q82,STN_TABLE,3,FALSE)</f>
        <v>#VALUE!</v>
      </c>
      <c r="AA84" t="str">
        <f>CONCATENATE("A(",Q83,")=")</f>
        <v>A(6.5)=</v>
      </c>
      <c r="AB84" t="e">
        <f>X84+Z84</f>
        <v>#VALUE!</v>
      </c>
      <c r="AC84" s="99">
        <f>AC83+1</f>
        <v>12</v>
      </c>
      <c r="AD84" s="100">
        <f>VLOOKUP(AC84,STN_TABLE_2,2,FALSE)</f>
        <v>6.5</v>
      </c>
      <c r="AE84" s="82">
        <f>VLOOKUP(AD84,STN_TABLE,2,FALSE)</f>
        <v>11</v>
      </c>
      <c r="AF84" s="82">
        <v>2</v>
      </c>
      <c r="AG84" s="83">
        <f>AE84*AF84</f>
        <v>22</v>
      </c>
      <c r="AH84" s="84" t="str">
        <f>CONCATENATE("a'(",AD84,")=")</f>
        <v>a'(6.5)=</v>
      </c>
      <c r="AI84" s="84">
        <f>2*AI82/2*AE85</f>
        <v>21.9</v>
      </c>
      <c r="AJ84" s="84" t="str">
        <f>CONCATENATE("A(",AD83,")=")</f>
        <v>A(6)=</v>
      </c>
      <c r="AK84" s="84">
        <f>VLOOKUP(AD83,STN_TABLE,3,FALSE)</f>
        <v>238.12666666666664</v>
      </c>
      <c r="AL84" t="str">
        <f>CONCATENATE("A(",AD84,")=")</f>
        <v>A(6.5)=</v>
      </c>
      <c r="AM84">
        <f>AI84+AK84</f>
        <v>260.02666666666664</v>
      </c>
      <c r="AO84" s="68" t="str">
        <f>AA84</f>
        <v>A(6.5)=</v>
      </c>
      <c r="AP84" s="68" t="e">
        <f>VLOOKUP(AO84,Rise_Results,2,FALSE)</f>
        <v>#N/A</v>
      </c>
      <c r="AQ84" s="76" t="e">
        <f>N84</f>
        <v>#N/A</v>
      </c>
      <c r="AR84" s="76" t="e">
        <f>IF(OR(AB84&lt;=0,AB85&lt;=0),1/0,AB84)</f>
        <v>#VALUE!</v>
      </c>
      <c r="AS84" s="76">
        <f>AM84</f>
        <v>260.02666666666664</v>
      </c>
      <c r="AT84">
        <f>IFERROR(AP84,IFERROR(AQ84,IFERROR(AR84,AS84)))</f>
        <v>260.02666666666664</v>
      </c>
      <c r="AU84" s="81"/>
    </row>
    <row r="85" spans="1:47" x14ac:dyDescent="0.25">
      <c r="A85" s="84">
        <f>A84+1</f>
        <v>12</v>
      </c>
      <c r="B85" s="84">
        <f t="shared" si="27"/>
        <v>6.5</v>
      </c>
      <c r="F85" s="82" t="e">
        <f>SUM(F82:F84)</f>
        <v>#N/A</v>
      </c>
      <c r="H85" s="82" t="e">
        <f>SUM(H82:H84)</f>
        <v>#N/A</v>
      </c>
      <c r="I85" s="84" t="str">
        <f>CONCATENATE("m'(",C84,")=")</f>
        <v>m'(6.5)=</v>
      </c>
      <c r="J85" s="84" t="e">
        <f>2*(J82*(WLS))/3*H85</f>
        <v>#N/A</v>
      </c>
      <c r="K85" s="84" t="str">
        <f>CONCATENATE("M(",C82,")=")</f>
        <v>M(#NA)=</v>
      </c>
      <c r="L85" s="84" t="e">
        <f>VLOOKUP(C82,STN_TABLE,4,FALSE)</f>
        <v>#N/A</v>
      </c>
      <c r="M85" t="str">
        <f>CONCATENATE("M(",C84,")=")</f>
        <v>M(6.5)=</v>
      </c>
      <c r="N85" t="e">
        <f>J85+L85</f>
        <v>#N/A</v>
      </c>
      <c r="O85" s="99">
        <f>O84+1</f>
        <v>14</v>
      </c>
      <c r="P85" s="99" t="str">
        <f t="shared" si="23"/>
        <v xml:space="preserve">  </v>
      </c>
      <c r="T85" s="89" t="e">
        <f>SUM(T82:T84)</f>
        <v>#VALUE!</v>
      </c>
      <c r="V85" s="82" t="e">
        <f>SUM(V82:V84)</f>
        <v>#VALUE!</v>
      </c>
      <c r="W85" s="84" t="str">
        <f>CONCATENATE("m'(",Q83,")=")</f>
        <v>m'(6.5)=</v>
      </c>
      <c r="X85" s="84" t="e">
        <f>(2*(X82^2)/24*V85)+(X84*Q82*WLS)</f>
        <v>#VALUE!</v>
      </c>
      <c r="Y85" s="84" t="e">
        <f>CONCATENATE("M(",Q82,")=")</f>
        <v>#VALUE!</v>
      </c>
      <c r="Z85" s="84" t="e">
        <f>VLOOKUP(Q82,STN_TABLE,4,FALSE)</f>
        <v>#VALUE!</v>
      </c>
      <c r="AA85" t="str">
        <f>CONCATENATE("M(",Q83,")=")</f>
        <v>M(6.5)=</v>
      </c>
      <c r="AB85" t="e">
        <f>X85+Z85</f>
        <v>#VALUE!</v>
      </c>
      <c r="AE85" s="89">
        <f>SUM(AE83:AE84)</f>
        <v>21.9</v>
      </c>
      <c r="AG85" s="89">
        <f>SUM(AG83:AG84)</f>
        <v>32.9</v>
      </c>
      <c r="AH85" s="84" t="str">
        <f>CONCATENATE("m'(",AD84,")=")</f>
        <v>m'(6.5)=</v>
      </c>
      <c r="AI85" s="84">
        <f>(2*(AI82^2)/6*AG85)+(AI84*AD83*WLS)</f>
        <v>273.76666666666659</v>
      </c>
      <c r="AJ85" s="84" t="str">
        <f>CONCATENATE("M(",AD83,")=")</f>
        <v>M(6)=</v>
      </c>
      <c r="AK85" s="84">
        <f>VLOOKUP(AD83,STN_TABLE,4,FALSE)</f>
        <v>1504.5099999999998</v>
      </c>
      <c r="AL85" t="str">
        <f>CONCATENATE("M(",AD84,")=")</f>
        <v>M(6.5)=</v>
      </c>
      <c r="AM85">
        <f>AI85+AK85</f>
        <v>1778.2766666666664</v>
      </c>
      <c r="AO85" s="82" t="str">
        <f>AA85</f>
        <v>M(6.5)=</v>
      </c>
      <c r="AP85" s="82" t="e">
        <f>VLOOKUP(AO85,Rise_Results,2,FALSE)</f>
        <v>#N/A</v>
      </c>
      <c r="AQ85" s="82" t="e">
        <f>N85</f>
        <v>#N/A</v>
      </c>
      <c r="AR85" s="82" t="e">
        <f>IF(OR(AB84&lt;=0,AB85&lt;=0),1/0,AB85)</f>
        <v>#VALUE!</v>
      </c>
      <c r="AS85" s="82">
        <f>AM85</f>
        <v>1778.2766666666664</v>
      </c>
      <c r="AT85">
        <f>IFERROR(AP85,IFERROR(AQ85,IFERROR(AR85,AS85)))</f>
        <v>1778.2766666666664</v>
      </c>
      <c r="AU85" s="81"/>
    </row>
    <row r="86" spans="1:47" x14ac:dyDescent="0.25">
      <c r="A86" s="101">
        <f>A81+1</f>
        <v>9</v>
      </c>
      <c r="B86" s="101">
        <f t="shared" si="27"/>
        <v>4.8499999999999996</v>
      </c>
      <c r="O86" s="101">
        <f>O81+1</f>
        <v>11</v>
      </c>
      <c r="P86" s="101">
        <f t="shared" si="23"/>
        <v>6</v>
      </c>
      <c r="AU86" s="81"/>
    </row>
    <row r="87" spans="1:47" x14ac:dyDescent="0.25">
      <c r="A87" s="84">
        <f>A86+1</f>
        <v>10</v>
      </c>
      <c r="B87" s="84">
        <f t="shared" si="27"/>
        <v>5</v>
      </c>
      <c r="C87" s="79" t="e">
        <f t="shared" ref="C87" si="35">IF(C88=B89,IF(C89-C88=C88-B88,B88,IF(C89-C88=C88-B87,B87,"#NA")),IF(C88=B88,IF(C89-C88=C88-B87,B87,IF(C89-C88=C88-B86,B86,"#NA")),"#NA"))</f>
        <v>#VALUE!</v>
      </c>
      <c r="D87" s="68" t="e">
        <f>VLOOKUP(C87,STN_TABLE,2,FALSE)</f>
        <v>#VALUE!</v>
      </c>
      <c r="E87" s="102">
        <v>1</v>
      </c>
      <c r="F87" s="68" t="e">
        <f>D87*E87</f>
        <v>#VALUE!</v>
      </c>
      <c r="G87" s="69" t="e">
        <f>C87</f>
        <v>#VALUE!</v>
      </c>
      <c r="H87" s="69" t="e">
        <f>F87*G87</f>
        <v>#VALUE!</v>
      </c>
      <c r="I87" s="6" t="s">
        <v>93</v>
      </c>
      <c r="J87" s="70" t="e">
        <f>IF(OR(D87=0,D88=0,D89=0),"#NA",IF(AND(C89-C88=C88-C87,C88&lt;&gt;C89,C87&lt;&gt;C88,C87&lt;&gt;C89,D89&lt;&gt;0,OR(D87&lt;&gt;0,D88&lt;&gt;0)),WLS*(C89-C88),"#NA"))</f>
        <v>#VALUE!</v>
      </c>
      <c r="O87" s="99">
        <f>O86+1</f>
        <v>12</v>
      </c>
      <c r="P87" s="99">
        <f t="shared" si="23"/>
        <v>6.5</v>
      </c>
      <c r="Q87" s="68" t="e">
        <f>IF(OR(P89-P88=P88-P87,P90-P88=P88-P87),P87,IF(OR(P89-P88=P88-P86,P90-P88=P88-P86),P86,"-"))</f>
        <v>#VALUE!</v>
      </c>
      <c r="R87" s="69" t="e">
        <f>VLOOKUP(Q87,STN_TABLE,2,FALSE)</f>
        <v>#VALUE!</v>
      </c>
      <c r="S87" s="69">
        <v>5</v>
      </c>
      <c r="T87" s="68" t="e">
        <f>R87*S87</f>
        <v>#VALUE!</v>
      </c>
      <c r="U87" s="79">
        <v>3</v>
      </c>
      <c r="V87" s="68" t="e">
        <f>R87*U87</f>
        <v>#VALUE!</v>
      </c>
      <c r="W87" s="6" t="s">
        <v>93</v>
      </c>
      <c r="X87" s="70" t="e">
        <f>IF(AND(Q89-Q88=Q88-Q87,NOT(AND(Q87=0,Q88=0)),NOT(AND(Q88=0,Q89=0))),WLS*(Q89-Q88),"#NA")</f>
        <v>#VALUE!</v>
      </c>
      <c r="AD87" s="93"/>
      <c r="AH87" s="6" t="s">
        <v>93</v>
      </c>
      <c r="AI87" s="70" t="e">
        <f>WLS*(AD89-AD88)</f>
        <v>#VALUE!</v>
      </c>
      <c r="AU87" s="81"/>
    </row>
    <row r="88" spans="1:47" x14ac:dyDescent="0.25">
      <c r="A88" s="84">
        <f>A87+1</f>
        <v>11</v>
      </c>
      <c r="B88" s="84">
        <f t="shared" si="27"/>
        <v>6</v>
      </c>
      <c r="C88" s="80" t="e">
        <f t="shared" ref="C88" si="36">IF(OR(B90-B89=B89-B88,B90-B89=B89-B87,B90-B89=B89-B86),B89,IF(OR(B90-B88=B88-B87,B90-B88=B88-B86),B88,IF(B90-B87=B87-B86,B87,"#NA")))</f>
        <v>#VALUE!</v>
      </c>
      <c r="D88" s="76" t="e">
        <f>VLOOKUP(C88,STN_TABLE,2,FALSE)</f>
        <v>#VALUE!</v>
      </c>
      <c r="E88" s="81">
        <v>4</v>
      </c>
      <c r="F88" s="76" t="e">
        <f>D88*E88</f>
        <v>#VALUE!</v>
      </c>
      <c r="G88" s="77" t="e">
        <f>C88</f>
        <v>#VALUE!</v>
      </c>
      <c r="H88" s="77" t="e">
        <f>F88*G88</f>
        <v>#VALUE!</v>
      </c>
      <c r="I88" s="495" t="s">
        <v>97</v>
      </c>
      <c r="J88" s="496"/>
      <c r="K88" s="78" t="s">
        <v>98</v>
      </c>
      <c r="L88" s="78"/>
      <c r="M88" s="7" t="s">
        <v>99</v>
      </c>
      <c r="N88" s="7"/>
      <c r="O88" s="99">
        <f>O87+1</f>
        <v>13</v>
      </c>
      <c r="P88" s="99" t="str">
        <f t="shared" si="23"/>
        <v xml:space="preserve">  </v>
      </c>
      <c r="Q88" s="76" t="str">
        <f>P88</f>
        <v xml:space="preserve">  </v>
      </c>
      <c r="R88" s="77" t="str">
        <f>VLOOKUP(Q88,STN_TABLE,2,FALSE)</f>
        <v xml:space="preserve">  </v>
      </c>
      <c r="S88" s="77">
        <v>8</v>
      </c>
      <c r="T88" s="76" t="e">
        <f>R88*S88</f>
        <v>#VALUE!</v>
      </c>
      <c r="U88" s="80">
        <v>10</v>
      </c>
      <c r="V88" s="76" t="e">
        <f>R88*U88</f>
        <v>#VALUE!</v>
      </c>
      <c r="W88" s="496" t="s">
        <v>97</v>
      </c>
      <c r="X88" s="496"/>
      <c r="Y88" s="496" t="s">
        <v>98</v>
      </c>
      <c r="Z88" s="496"/>
      <c r="AA88" s="494" t="s">
        <v>99</v>
      </c>
      <c r="AB88" s="494"/>
      <c r="AC88" s="99">
        <f>AC83+1</f>
        <v>12</v>
      </c>
      <c r="AD88" s="95">
        <f>VLOOKUP(AC88,STN_TABLE_2,2,FALSE)</f>
        <v>6.5</v>
      </c>
      <c r="AE88" s="68">
        <f>VLOOKUP(AD88,STN_TABLE,2,FALSE)</f>
        <v>11</v>
      </c>
      <c r="AF88" s="68">
        <v>1</v>
      </c>
      <c r="AG88" s="69">
        <f>AE88*AF88</f>
        <v>11</v>
      </c>
      <c r="AH88" s="496" t="s">
        <v>97</v>
      </c>
      <c r="AI88" s="496"/>
      <c r="AJ88" s="496" t="s">
        <v>98</v>
      </c>
      <c r="AK88" s="496"/>
      <c r="AL88" s="494" t="s">
        <v>99</v>
      </c>
      <c r="AM88" s="494"/>
      <c r="AP88" s="86" t="s">
        <v>112</v>
      </c>
      <c r="AQ88" s="89" t="s">
        <v>113</v>
      </c>
      <c r="AR88" s="89" t="s">
        <v>114</v>
      </c>
      <c r="AS88" s="89" t="s">
        <v>115</v>
      </c>
      <c r="AU88" s="81"/>
    </row>
    <row r="89" spans="1:47" x14ac:dyDescent="0.25">
      <c r="A89" s="84">
        <f>A88+1</f>
        <v>12</v>
      </c>
      <c r="B89" s="84">
        <f t="shared" si="27"/>
        <v>6.5</v>
      </c>
      <c r="C89" s="88" t="str">
        <f t="shared" ref="C89" si="37">B90</f>
        <v xml:space="preserve">  </v>
      </c>
      <c r="D89" s="82" t="str">
        <f>VLOOKUP(C89,STN_TABLE,2,FALSE)</f>
        <v xml:space="preserve">  </v>
      </c>
      <c r="E89" s="92">
        <v>1</v>
      </c>
      <c r="F89" s="82" t="e">
        <f>D89*E89</f>
        <v>#VALUE!</v>
      </c>
      <c r="G89" s="83" t="str">
        <f>C89</f>
        <v xml:space="preserve">  </v>
      </c>
      <c r="H89" s="83" t="e">
        <f>F89*G89</f>
        <v>#VALUE!</v>
      </c>
      <c r="I89" s="84" t="str">
        <f>CONCATENATE("a'(",C89,")=")</f>
        <v>a'(  )=</v>
      </c>
      <c r="J89" s="84" t="e">
        <f>2*J87/3*F90</f>
        <v>#VALUE!</v>
      </c>
      <c r="K89" s="84" t="e">
        <f>CONCATENATE("A(",C87,")=")</f>
        <v>#VALUE!</v>
      </c>
      <c r="L89" s="84" t="e">
        <f>VLOOKUP(C87,STN_TABLE,3,FALSE)</f>
        <v>#VALUE!</v>
      </c>
      <c r="M89" t="str">
        <f>CONCATENATE("A(",C89,")=")</f>
        <v>A(  )=</v>
      </c>
      <c r="N89" t="e">
        <f>J89+L89</f>
        <v>#VALUE!</v>
      </c>
      <c r="O89" s="99">
        <f>O88+1</f>
        <v>14</v>
      </c>
      <c r="P89" s="99" t="str">
        <f t="shared" si="23"/>
        <v xml:space="preserve">  </v>
      </c>
      <c r="Q89" s="82" t="e">
        <f>IF(P89-P88=P88-P87,P89,IF(P90-P88=P88-P87,P90,IF(P89-P88=P88-P86,P89,IF(P90-P88=P88-P86,P90,"-"))))</f>
        <v>#VALUE!</v>
      </c>
      <c r="R89" s="83" t="e">
        <f>VLOOKUP(Q89,STN_TABLE,2,FALSE)</f>
        <v>#VALUE!</v>
      </c>
      <c r="S89" s="83">
        <v>-1</v>
      </c>
      <c r="T89" s="82" t="e">
        <f>R89*S89</f>
        <v>#VALUE!</v>
      </c>
      <c r="U89" s="88">
        <v>-1</v>
      </c>
      <c r="V89" s="82" t="e">
        <f>R89*U89</f>
        <v>#VALUE!</v>
      </c>
      <c r="W89" s="84" t="str">
        <f>CONCATENATE("a'(",Q88,")=")</f>
        <v>a'(  )=</v>
      </c>
      <c r="X89" s="84" t="e">
        <f>2*X87/12*T90</f>
        <v>#VALUE!</v>
      </c>
      <c r="Y89" s="84" t="e">
        <f>CONCATENATE("A(",Q87,")=")</f>
        <v>#VALUE!</v>
      </c>
      <c r="Z89" s="84" t="e">
        <f>VLOOKUP(Q87,STN_TABLE,3,FALSE)</f>
        <v>#VALUE!</v>
      </c>
      <c r="AA89" t="str">
        <f>CONCATENATE("A(",Q88,")=")</f>
        <v>A(  )=</v>
      </c>
      <c r="AB89" t="e">
        <f>X89+Z89</f>
        <v>#VALUE!</v>
      </c>
      <c r="AC89" s="99">
        <f>AC88+1</f>
        <v>13</v>
      </c>
      <c r="AD89" s="100" t="str">
        <f>VLOOKUP(AC89,STN_TABLE_2,2,FALSE)</f>
        <v xml:space="preserve">  </v>
      </c>
      <c r="AE89" s="82" t="str">
        <f>VLOOKUP(AD89,STN_TABLE,2,FALSE)</f>
        <v xml:space="preserve">  </v>
      </c>
      <c r="AF89" s="82">
        <v>2</v>
      </c>
      <c r="AG89" s="83" t="e">
        <f>AE89*AF89</f>
        <v>#VALUE!</v>
      </c>
      <c r="AH89" s="84" t="str">
        <f>CONCATENATE("a'(",AD89,")=")</f>
        <v>a'(  )=</v>
      </c>
      <c r="AI89" s="84" t="e">
        <f>2*AI87/2*AE90</f>
        <v>#VALUE!</v>
      </c>
      <c r="AJ89" s="84" t="str">
        <f>CONCATENATE("A(",AD88,")=")</f>
        <v>A(6.5)=</v>
      </c>
      <c r="AK89" s="84">
        <f>VLOOKUP(AD88,STN_TABLE,3,FALSE)</f>
        <v>260.02666666666664</v>
      </c>
      <c r="AL89" t="str">
        <f>CONCATENATE("A(",AD89,")=")</f>
        <v>A(  )=</v>
      </c>
      <c r="AM89" t="e">
        <f>AI89+AK89</f>
        <v>#VALUE!</v>
      </c>
      <c r="AO89" s="68" t="str">
        <f>AA89</f>
        <v>A(  )=</v>
      </c>
      <c r="AP89" s="68" t="e">
        <f>VLOOKUP(AO89,Rise_Results,2,FALSE)</f>
        <v>#N/A</v>
      </c>
      <c r="AQ89" s="76" t="e">
        <f>N89</f>
        <v>#VALUE!</v>
      </c>
      <c r="AR89" s="76" t="e">
        <f>IF(OR(AB89&lt;=0,AB90&lt;=0),1/0,AB89)</f>
        <v>#VALUE!</v>
      </c>
      <c r="AS89" s="76" t="e">
        <f>AM89</f>
        <v>#VALUE!</v>
      </c>
      <c r="AT89" t="e">
        <f>IFERROR(AP89,IFERROR(AQ89,IFERROR(AR89,AS89)))</f>
        <v>#VALUE!</v>
      </c>
      <c r="AU89" s="81"/>
    </row>
    <row r="90" spans="1:47" x14ac:dyDescent="0.25">
      <c r="A90" s="84">
        <f>A89+1</f>
        <v>13</v>
      </c>
      <c r="B90" s="84" t="str">
        <f t="shared" si="27"/>
        <v xml:space="preserve">  </v>
      </c>
      <c r="F90" s="82" t="e">
        <f>SUM(F87:F89)</f>
        <v>#VALUE!</v>
      </c>
      <c r="H90" s="82" t="e">
        <f>SUM(H87:H89)</f>
        <v>#VALUE!</v>
      </c>
      <c r="I90" s="84" t="str">
        <f>CONCATENATE("m'(",C89,")=")</f>
        <v>m'(  )=</v>
      </c>
      <c r="J90" s="84" t="e">
        <f>2*(J87*(WLS))/3*H90</f>
        <v>#VALUE!</v>
      </c>
      <c r="K90" s="84" t="e">
        <f>CONCATENATE("M(",C87,")=")</f>
        <v>#VALUE!</v>
      </c>
      <c r="L90" s="84" t="e">
        <f>VLOOKUP(C87,STN_TABLE,4,FALSE)</f>
        <v>#VALUE!</v>
      </c>
      <c r="M90" t="str">
        <f>CONCATENATE("M(",C89,")=")</f>
        <v>M(  )=</v>
      </c>
      <c r="N90" t="e">
        <f>J90+L90</f>
        <v>#VALUE!</v>
      </c>
      <c r="O90" s="99">
        <f>O89+1</f>
        <v>15</v>
      </c>
      <c r="P90" s="99" t="str">
        <f t="shared" si="23"/>
        <v xml:space="preserve">  </v>
      </c>
      <c r="T90" s="89" t="e">
        <f>SUM(T87:T89)</f>
        <v>#VALUE!</v>
      </c>
      <c r="V90" s="82" t="e">
        <f>SUM(V87:V89)</f>
        <v>#VALUE!</v>
      </c>
      <c r="W90" s="84" t="str">
        <f>CONCATENATE("m'(",Q88,")=")</f>
        <v>m'(  )=</v>
      </c>
      <c r="X90" s="84" t="e">
        <f>(2*(X87^2)/24*V90)+(X89*Q87*WLS)</f>
        <v>#VALUE!</v>
      </c>
      <c r="Y90" s="84" t="e">
        <f>CONCATENATE("M(",Q87,")=")</f>
        <v>#VALUE!</v>
      </c>
      <c r="Z90" s="84" t="e">
        <f>VLOOKUP(Q87,STN_TABLE,4,FALSE)</f>
        <v>#VALUE!</v>
      </c>
      <c r="AA90" t="str">
        <f>CONCATENATE("M(",Q88,")=")</f>
        <v>M(  )=</v>
      </c>
      <c r="AB90" t="e">
        <f>X90+Z90</f>
        <v>#VALUE!</v>
      </c>
      <c r="AE90" s="89">
        <f>SUM(AE88:AE89)</f>
        <v>11</v>
      </c>
      <c r="AG90" s="89" t="e">
        <f>SUM(AG88:AG89)</f>
        <v>#VALUE!</v>
      </c>
      <c r="AH90" s="84" t="str">
        <f>CONCATENATE("m'(",AD89,")=")</f>
        <v>m'(  )=</v>
      </c>
      <c r="AI90" s="84" t="e">
        <f>(2*(AI87^2)/6*AG90)+(AI89*AD88*WLS)</f>
        <v>#VALUE!</v>
      </c>
      <c r="AJ90" s="84" t="str">
        <f>CONCATENATE("M(",AD88,")=")</f>
        <v>M(6.5)=</v>
      </c>
      <c r="AK90" s="84">
        <f>VLOOKUP(AD88,STN_TABLE,4,FALSE)</f>
        <v>1778.2766666666664</v>
      </c>
      <c r="AL90" t="str">
        <f>CONCATENATE("M(",AD89,")=")</f>
        <v>M(  )=</v>
      </c>
      <c r="AM90" t="e">
        <f>AI90+AK90</f>
        <v>#VALUE!</v>
      </c>
      <c r="AO90" s="82" t="str">
        <f>AA90</f>
        <v>M(  )=</v>
      </c>
      <c r="AP90" s="82" t="e">
        <f>VLOOKUP(AO90,Rise_Results,2,FALSE)</f>
        <v>#N/A</v>
      </c>
      <c r="AQ90" s="82" t="e">
        <f>N90</f>
        <v>#VALUE!</v>
      </c>
      <c r="AR90" s="82" t="e">
        <f>IF(OR(AB89&lt;=0,AB90&lt;=0),1/0,AB90)</f>
        <v>#VALUE!</v>
      </c>
      <c r="AS90" s="82" t="e">
        <f>AM90</f>
        <v>#VALUE!</v>
      </c>
      <c r="AT90" t="e">
        <f>IFERROR(AP90,IFERROR(AQ90,IFERROR(AR90,AS90)))</f>
        <v>#VALUE!</v>
      </c>
      <c r="AU90" s="81"/>
    </row>
    <row r="91" spans="1:47" x14ac:dyDescent="0.25">
      <c r="A91" s="101">
        <f>A86+1</f>
        <v>10</v>
      </c>
      <c r="B91" s="101">
        <f t="shared" si="27"/>
        <v>5</v>
      </c>
      <c r="O91" s="101">
        <f>O86+1</f>
        <v>12</v>
      </c>
      <c r="P91" s="101">
        <f t="shared" si="23"/>
        <v>6.5</v>
      </c>
      <c r="AU91" s="81"/>
    </row>
    <row r="92" spans="1:47" x14ac:dyDescent="0.25">
      <c r="A92" s="84">
        <f>A91+1</f>
        <v>11</v>
      </c>
      <c r="B92" s="84">
        <f t="shared" si="27"/>
        <v>6</v>
      </c>
      <c r="C92" s="79" t="e">
        <f t="shared" ref="C92" si="38">IF(C93=B94,IF(C94-C93=C93-B93,B93,IF(C94-C93=C93-B92,B92,"#NA")),IF(C93=B93,IF(C94-C93=C93-B92,B92,IF(C94-C93=C93-B91,B91,"#NA")),"#NA"))</f>
        <v>#VALUE!</v>
      </c>
      <c r="D92" s="68" t="e">
        <f>VLOOKUP(C92,STN_TABLE,2,FALSE)</f>
        <v>#VALUE!</v>
      </c>
      <c r="E92" s="102">
        <v>1</v>
      </c>
      <c r="F92" s="68" t="e">
        <f>D92*E92</f>
        <v>#VALUE!</v>
      </c>
      <c r="G92" s="69" t="e">
        <f>C92</f>
        <v>#VALUE!</v>
      </c>
      <c r="H92" s="69" t="e">
        <f>F92*G92</f>
        <v>#VALUE!</v>
      </c>
      <c r="I92" s="6" t="s">
        <v>93</v>
      </c>
      <c r="J92" s="70" t="e">
        <f>IF(OR(D92=0,D93=0,D94=0),"#NA",IF(AND(C94-C93=C93-C92,C93&lt;&gt;C94,C92&lt;&gt;C93,C92&lt;&gt;C94,D94&lt;&gt;0,OR(D92&lt;&gt;0,D93&lt;&gt;0)),WLS*(C94-C93),"#NA"))</f>
        <v>#VALUE!</v>
      </c>
      <c r="O92" s="99">
        <f>O91+1</f>
        <v>13</v>
      </c>
      <c r="P92" s="99" t="str">
        <f t="shared" si="23"/>
        <v xml:space="preserve">  </v>
      </c>
      <c r="Q92" s="68" t="e">
        <f>IF(OR(P94-P93=P93-P92,P95-P93=P93-P92),P92,IF(OR(P94-P93=P93-P91,P95-P93=P93-P91),P91,"-"))</f>
        <v>#VALUE!</v>
      </c>
      <c r="R92" s="69" t="e">
        <f>VLOOKUP(Q92,STN_TABLE,2,FALSE)</f>
        <v>#VALUE!</v>
      </c>
      <c r="S92" s="69">
        <v>5</v>
      </c>
      <c r="T92" s="68" t="e">
        <f>R92*S92</f>
        <v>#VALUE!</v>
      </c>
      <c r="U92" s="79">
        <v>3</v>
      </c>
      <c r="V92" s="68" t="e">
        <f>R92*U92</f>
        <v>#VALUE!</v>
      </c>
      <c r="W92" s="6" t="s">
        <v>93</v>
      </c>
      <c r="X92" s="70" t="e">
        <f>IF(AND(Q94-Q93=Q93-Q92,NOT(AND(Q92=0,Q93=0)),NOT(AND(Q93=0,Q94=0))),WLS*(Q94-Q93),"#NA")</f>
        <v>#VALUE!</v>
      </c>
      <c r="AD92" s="93"/>
      <c r="AH92" s="6" t="s">
        <v>93</v>
      </c>
      <c r="AI92" s="70" t="e">
        <f>WLS*(AD94-AD93)</f>
        <v>#VALUE!</v>
      </c>
      <c r="AU92" s="81"/>
    </row>
    <row r="93" spans="1:47" x14ac:dyDescent="0.25">
      <c r="A93" s="84">
        <f>A92+1</f>
        <v>12</v>
      </c>
      <c r="B93" s="84">
        <f t="shared" si="27"/>
        <v>6.5</v>
      </c>
      <c r="C93" s="80" t="e">
        <f t="shared" ref="C93" si="39">IF(OR(B95-B94=B94-B93,B95-B94=B94-B92,B95-B94=B94-B91),B94,IF(OR(B95-B93=B93-B92,B95-B93=B93-B91),B93,IF(B95-B92=B92-B91,B92,"#NA")))</f>
        <v>#VALUE!</v>
      </c>
      <c r="D93" s="76" t="e">
        <f>VLOOKUP(C93,STN_TABLE,2,FALSE)</f>
        <v>#VALUE!</v>
      </c>
      <c r="E93" s="81">
        <v>4</v>
      </c>
      <c r="F93" s="76" t="e">
        <f>D93*E93</f>
        <v>#VALUE!</v>
      </c>
      <c r="G93" s="77" t="e">
        <f>C93</f>
        <v>#VALUE!</v>
      </c>
      <c r="H93" s="77" t="e">
        <f>F93*G93</f>
        <v>#VALUE!</v>
      </c>
      <c r="I93" s="495" t="s">
        <v>97</v>
      </c>
      <c r="J93" s="496"/>
      <c r="K93" s="78" t="s">
        <v>98</v>
      </c>
      <c r="L93" s="78"/>
      <c r="M93" s="7" t="s">
        <v>99</v>
      </c>
      <c r="N93" s="7"/>
      <c r="O93" s="99">
        <f>O92+1</f>
        <v>14</v>
      </c>
      <c r="P93" s="99" t="str">
        <f t="shared" si="23"/>
        <v xml:space="preserve">  </v>
      </c>
      <c r="Q93" s="76" t="str">
        <f>P93</f>
        <v xml:space="preserve">  </v>
      </c>
      <c r="R93" s="77" t="str">
        <f>VLOOKUP(Q93,STN_TABLE,2,FALSE)</f>
        <v xml:space="preserve">  </v>
      </c>
      <c r="S93" s="77">
        <v>8</v>
      </c>
      <c r="T93" s="76" t="e">
        <f>R93*S93</f>
        <v>#VALUE!</v>
      </c>
      <c r="U93" s="80">
        <v>10</v>
      </c>
      <c r="V93" s="76" t="e">
        <f>R93*U93</f>
        <v>#VALUE!</v>
      </c>
      <c r="W93" s="496" t="s">
        <v>97</v>
      </c>
      <c r="X93" s="496"/>
      <c r="Y93" s="496" t="s">
        <v>98</v>
      </c>
      <c r="Z93" s="496"/>
      <c r="AA93" s="494" t="s">
        <v>99</v>
      </c>
      <c r="AB93" s="494"/>
      <c r="AC93" s="99">
        <f>AC88+1</f>
        <v>13</v>
      </c>
      <c r="AD93" s="95" t="str">
        <f>VLOOKUP(AC93,STN_TABLE_2,2,FALSE)</f>
        <v xml:space="preserve">  </v>
      </c>
      <c r="AE93" s="68" t="str">
        <f>VLOOKUP(AD93,STN_TABLE,2,FALSE)</f>
        <v xml:space="preserve">  </v>
      </c>
      <c r="AF93" s="68">
        <v>1</v>
      </c>
      <c r="AG93" s="69" t="e">
        <f>AE93*AF93</f>
        <v>#VALUE!</v>
      </c>
      <c r="AH93" s="496" t="s">
        <v>97</v>
      </c>
      <c r="AI93" s="496"/>
      <c r="AJ93" s="496" t="s">
        <v>98</v>
      </c>
      <c r="AK93" s="496"/>
      <c r="AL93" s="494" t="s">
        <v>99</v>
      </c>
      <c r="AM93" s="494"/>
      <c r="AP93" s="86" t="s">
        <v>112</v>
      </c>
      <c r="AQ93" s="89" t="s">
        <v>113</v>
      </c>
      <c r="AR93" s="89" t="s">
        <v>114</v>
      </c>
      <c r="AS93" s="89" t="s">
        <v>115</v>
      </c>
      <c r="AU93" s="81"/>
    </row>
    <row r="94" spans="1:47" x14ac:dyDescent="0.25">
      <c r="A94" s="84">
        <f>A93+1</f>
        <v>13</v>
      </c>
      <c r="B94" s="84" t="str">
        <f t="shared" si="27"/>
        <v xml:space="preserve">  </v>
      </c>
      <c r="C94" s="88" t="str">
        <f t="shared" ref="C94" si="40">B95</f>
        <v xml:space="preserve">  </v>
      </c>
      <c r="D94" s="82" t="str">
        <f>VLOOKUP(C94,STN_TABLE,2,FALSE)</f>
        <v xml:space="preserve">  </v>
      </c>
      <c r="E94" s="92">
        <v>1</v>
      </c>
      <c r="F94" s="82" t="e">
        <f>D94*E94</f>
        <v>#VALUE!</v>
      </c>
      <c r="G94" s="83" t="str">
        <f>C94</f>
        <v xml:space="preserve">  </v>
      </c>
      <c r="H94" s="83" t="e">
        <f>F94*G94</f>
        <v>#VALUE!</v>
      </c>
      <c r="I94" s="84" t="str">
        <f>CONCATENATE("a'(",C94,")=")</f>
        <v>a'(  )=</v>
      </c>
      <c r="J94" s="84" t="e">
        <f>2*J92/3*F95</f>
        <v>#VALUE!</v>
      </c>
      <c r="K94" s="84" t="e">
        <f>CONCATENATE("A(",C92,")=")</f>
        <v>#VALUE!</v>
      </c>
      <c r="L94" s="84" t="e">
        <f>VLOOKUP(C92,STN_TABLE,3,FALSE)</f>
        <v>#VALUE!</v>
      </c>
      <c r="M94" t="str">
        <f>CONCATENATE("A(",C94,")=")</f>
        <v>A(  )=</v>
      </c>
      <c r="N94" t="e">
        <f>J94+L94</f>
        <v>#VALUE!</v>
      </c>
      <c r="O94" s="99">
        <f>O93+1</f>
        <v>15</v>
      </c>
      <c r="P94" s="99" t="str">
        <f t="shared" si="23"/>
        <v xml:space="preserve">  </v>
      </c>
      <c r="Q94" s="82" t="e">
        <f>IF(P94-P93=P93-P92,P94,IF(P95-P93=P93-P92,P95,IF(P94-P93=P93-P91,P94,IF(P95-P93=P93-P91,P95,"-"))))</f>
        <v>#VALUE!</v>
      </c>
      <c r="R94" s="83" t="e">
        <f>VLOOKUP(Q94,STN_TABLE,2,FALSE)</f>
        <v>#VALUE!</v>
      </c>
      <c r="S94" s="83">
        <v>-1</v>
      </c>
      <c r="T94" s="82" t="e">
        <f>R94*S94</f>
        <v>#VALUE!</v>
      </c>
      <c r="U94" s="88">
        <v>-1</v>
      </c>
      <c r="V94" s="82" t="e">
        <f>R94*U94</f>
        <v>#VALUE!</v>
      </c>
      <c r="W94" s="84" t="str">
        <f>CONCATENATE("a'(",Q93,")=")</f>
        <v>a'(  )=</v>
      </c>
      <c r="X94" s="84" t="e">
        <f>2*X92/12*T95</f>
        <v>#VALUE!</v>
      </c>
      <c r="Y94" s="84" t="e">
        <f>CONCATENATE("A(",Q92,")=")</f>
        <v>#VALUE!</v>
      </c>
      <c r="Z94" s="84" t="e">
        <f>VLOOKUP(Q92,STN_TABLE,3,FALSE)</f>
        <v>#VALUE!</v>
      </c>
      <c r="AA94" t="str">
        <f>CONCATENATE("A(",Q93,")=")</f>
        <v>A(  )=</v>
      </c>
      <c r="AB94" t="e">
        <f>X94+Z94</f>
        <v>#VALUE!</v>
      </c>
      <c r="AC94" s="99">
        <f>AC93+1</f>
        <v>14</v>
      </c>
      <c r="AD94" s="100" t="str">
        <f>VLOOKUP(AC94,STN_TABLE_2,2,FALSE)</f>
        <v xml:space="preserve">  </v>
      </c>
      <c r="AE94" s="82" t="str">
        <f>VLOOKUP(AD94,STN_TABLE,2,FALSE)</f>
        <v xml:space="preserve">  </v>
      </c>
      <c r="AF94" s="82">
        <v>2</v>
      </c>
      <c r="AG94" s="83" t="e">
        <f>AE94*AF94</f>
        <v>#VALUE!</v>
      </c>
      <c r="AH94" s="84" t="str">
        <f>CONCATENATE("a'(",AD94,")=")</f>
        <v>a'(  )=</v>
      </c>
      <c r="AI94" s="84" t="e">
        <f>2*AI92/2*AE95</f>
        <v>#VALUE!</v>
      </c>
      <c r="AJ94" s="84" t="str">
        <f>CONCATENATE("A(",AD93,")=")</f>
        <v>A(  )=</v>
      </c>
      <c r="AK94" s="84" t="str">
        <f>VLOOKUP(AD93,STN_TABLE,3,FALSE)</f>
        <v xml:space="preserve"> </v>
      </c>
      <c r="AL94" t="str">
        <f>CONCATENATE("A(",AD94,")=")</f>
        <v>A(  )=</v>
      </c>
      <c r="AM94" t="e">
        <f>AI94+AK94</f>
        <v>#VALUE!</v>
      </c>
      <c r="AO94" s="68" t="str">
        <f>AA94</f>
        <v>A(  )=</v>
      </c>
      <c r="AP94" s="68" t="e">
        <f>VLOOKUP(AO94,Rise_Results,2,FALSE)</f>
        <v>#N/A</v>
      </c>
      <c r="AQ94" s="76" t="e">
        <f>N94</f>
        <v>#VALUE!</v>
      </c>
      <c r="AR94" s="76" t="e">
        <f>IF(OR(AB94&lt;=0,AB95&lt;=0),1/0,AB94)</f>
        <v>#VALUE!</v>
      </c>
      <c r="AS94" s="76" t="e">
        <f>AM94</f>
        <v>#VALUE!</v>
      </c>
      <c r="AT94" t="e">
        <f>IFERROR(AP94,IFERROR(AQ94,IFERROR(AR94,AS94)))</f>
        <v>#VALUE!</v>
      </c>
      <c r="AU94" s="81"/>
    </row>
    <row r="95" spans="1:47" x14ac:dyDescent="0.25">
      <c r="A95" s="84">
        <f>A94+1</f>
        <v>14</v>
      </c>
      <c r="B95" s="84" t="str">
        <f t="shared" si="27"/>
        <v xml:space="preserve">  </v>
      </c>
      <c r="F95" s="82" t="e">
        <f>SUM(F92:F94)</f>
        <v>#VALUE!</v>
      </c>
      <c r="H95" s="82" t="e">
        <f>SUM(H92:H94)</f>
        <v>#VALUE!</v>
      </c>
      <c r="I95" s="84" t="str">
        <f>CONCATENATE("m'(",C94,")=")</f>
        <v>m'(  )=</v>
      </c>
      <c r="J95" s="84" t="e">
        <f>2*(J92*(WLS))/3*H95</f>
        <v>#VALUE!</v>
      </c>
      <c r="K95" s="84" t="e">
        <f>CONCATENATE("M(",C92,")=")</f>
        <v>#VALUE!</v>
      </c>
      <c r="L95" s="84" t="e">
        <f>VLOOKUP(C92,STN_TABLE,4,FALSE)</f>
        <v>#VALUE!</v>
      </c>
      <c r="M95" t="str">
        <f>CONCATENATE("M(",C94,")=")</f>
        <v>M(  )=</v>
      </c>
      <c r="N95" t="e">
        <f>J95+L95</f>
        <v>#VALUE!</v>
      </c>
      <c r="O95" s="99">
        <f>O94+1</f>
        <v>16</v>
      </c>
      <c r="P95" s="99" t="str">
        <f t="shared" si="23"/>
        <v xml:space="preserve">  </v>
      </c>
      <c r="T95" s="89" t="e">
        <f>SUM(T92:T94)</f>
        <v>#VALUE!</v>
      </c>
      <c r="V95" s="82" t="e">
        <f>SUM(V92:V94)</f>
        <v>#VALUE!</v>
      </c>
      <c r="W95" s="84" t="str">
        <f>CONCATENATE("m'(",Q93,")=")</f>
        <v>m'(  )=</v>
      </c>
      <c r="X95" s="84" t="e">
        <f>(2*(X92^2)/24*V95)+(X94*Q92*WLS)</f>
        <v>#VALUE!</v>
      </c>
      <c r="Y95" s="84" t="e">
        <f>CONCATENATE("M(",Q92,")=")</f>
        <v>#VALUE!</v>
      </c>
      <c r="Z95" s="84" t="e">
        <f>VLOOKUP(Q92,STN_TABLE,4,FALSE)</f>
        <v>#VALUE!</v>
      </c>
      <c r="AA95" t="str">
        <f>CONCATENATE("M(",Q93,")=")</f>
        <v>M(  )=</v>
      </c>
      <c r="AB95" t="e">
        <f>X95+Z95</f>
        <v>#VALUE!</v>
      </c>
      <c r="AE95" s="89">
        <f>SUM(AE93:AE94)</f>
        <v>0</v>
      </c>
      <c r="AG95" s="89" t="e">
        <f>SUM(AG93:AG94)</f>
        <v>#VALUE!</v>
      </c>
      <c r="AH95" s="84" t="str">
        <f>CONCATENATE("m'(",AD94,")=")</f>
        <v>m'(  )=</v>
      </c>
      <c r="AI95" s="84" t="e">
        <f>(2*(AI92^2)/6*AG95)+(AI94*AD93*WLS)</f>
        <v>#VALUE!</v>
      </c>
      <c r="AJ95" s="84" t="str">
        <f>CONCATENATE("M(",AD93,")=")</f>
        <v>M(  )=</v>
      </c>
      <c r="AK95" s="84" t="str">
        <f>VLOOKUP(AD93,STN_TABLE,4,FALSE)</f>
        <v xml:space="preserve"> </v>
      </c>
      <c r="AL95" t="str">
        <f>CONCATENATE("M(",AD94,")=")</f>
        <v>M(  )=</v>
      </c>
      <c r="AM95" t="e">
        <f>AI95+AK95</f>
        <v>#VALUE!</v>
      </c>
      <c r="AO95" s="82" t="str">
        <f>AA95</f>
        <v>M(  )=</v>
      </c>
      <c r="AP95" s="82" t="e">
        <f>VLOOKUP(AO95,Rise_Results,2,FALSE)</f>
        <v>#N/A</v>
      </c>
      <c r="AQ95" s="82" t="e">
        <f>N95</f>
        <v>#VALUE!</v>
      </c>
      <c r="AR95" s="82" t="e">
        <f>IF(OR(AB94&lt;=0,AB95&lt;=0),1/0,AB95)</f>
        <v>#VALUE!</v>
      </c>
      <c r="AS95" s="82" t="e">
        <f>AM95</f>
        <v>#VALUE!</v>
      </c>
      <c r="AT95" t="e">
        <f>IFERROR(AP95,IFERROR(AQ95,IFERROR(AR95,AS95)))</f>
        <v>#VALUE!</v>
      </c>
      <c r="AU95" s="81"/>
    </row>
    <row r="96" spans="1:47" x14ac:dyDescent="0.25">
      <c r="A96" s="101">
        <f>A91+1</f>
        <v>11</v>
      </c>
      <c r="B96" s="101">
        <f t="shared" si="27"/>
        <v>6</v>
      </c>
      <c r="O96" s="101">
        <f>O91+1</f>
        <v>13</v>
      </c>
      <c r="P96" s="101" t="str">
        <f t="shared" si="23"/>
        <v xml:space="preserve">  </v>
      </c>
      <c r="AU96" s="81"/>
    </row>
    <row r="97" spans="1:47" x14ac:dyDescent="0.25">
      <c r="A97" s="84">
        <f>A96+1</f>
        <v>12</v>
      </c>
      <c r="B97" s="84">
        <f t="shared" si="27"/>
        <v>6.5</v>
      </c>
      <c r="C97" s="79" t="e">
        <f t="shared" ref="C97" si="41">IF(C98=B99,IF(C99-C98=C98-B98,B98,IF(C99-C98=C98-B97,B97,"#NA")),IF(C98=B98,IF(C99-C98=C98-B97,B97,IF(C99-C98=C98-B96,B96,"#NA")),"#NA"))</f>
        <v>#VALUE!</v>
      </c>
      <c r="D97" s="68" t="e">
        <f>VLOOKUP(C97,STN_TABLE,2,FALSE)</f>
        <v>#VALUE!</v>
      </c>
      <c r="E97" s="102">
        <v>1</v>
      </c>
      <c r="F97" s="68" t="e">
        <f>D97*E97</f>
        <v>#VALUE!</v>
      </c>
      <c r="G97" s="69" t="e">
        <f>C97</f>
        <v>#VALUE!</v>
      </c>
      <c r="H97" s="69" t="e">
        <f>F97*G97</f>
        <v>#VALUE!</v>
      </c>
      <c r="I97" s="6" t="s">
        <v>93</v>
      </c>
      <c r="J97" s="70" t="e">
        <f>IF(OR(D97=0,D98=0,D99=0),"#NA",IF(AND(C99-C98=C98-C97,C98&lt;&gt;C99,C97&lt;&gt;C98,C97&lt;&gt;C99,D99&lt;&gt;0,OR(D97&lt;&gt;0,D98&lt;&gt;0)),WLS*(C99-C98),"#NA"))</f>
        <v>#VALUE!</v>
      </c>
      <c r="O97" s="99">
        <f>O96+1</f>
        <v>14</v>
      </c>
      <c r="P97" s="99" t="str">
        <f t="shared" si="23"/>
        <v xml:space="preserve">  </v>
      </c>
      <c r="Q97" s="68" t="e">
        <f>IF(OR(P99-P98=P98-P97,P100-P98=P98-P97),P97,IF(OR(P99-P98=P98-P96,P100-P98=P98-P96),P96,"-"))</f>
        <v>#VALUE!</v>
      </c>
      <c r="R97" s="69" t="e">
        <f>VLOOKUP(Q97,STN_TABLE,2,FALSE)</f>
        <v>#VALUE!</v>
      </c>
      <c r="S97" s="69">
        <v>5</v>
      </c>
      <c r="T97" s="68" t="e">
        <f>R97*S97</f>
        <v>#VALUE!</v>
      </c>
      <c r="U97" s="79">
        <v>3</v>
      </c>
      <c r="V97" s="68" t="e">
        <f>R97*U97</f>
        <v>#VALUE!</v>
      </c>
      <c r="W97" s="6" t="s">
        <v>93</v>
      </c>
      <c r="X97" s="70" t="e">
        <f>IF(AND(Q99-Q98=Q98-Q97,NOT(AND(Q97=0,Q98=0)),NOT(AND(Q98=0,Q99=0))),WLS*(Q99-Q98),"#NA")</f>
        <v>#VALUE!</v>
      </c>
      <c r="AD97" s="93"/>
      <c r="AH97" s="6" t="s">
        <v>93</v>
      </c>
      <c r="AI97" s="70" t="e">
        <f>WLS*(AD99-AD98)</f>
        <v>#VALUE!</v>
      </c>
      <c r="AU97" s="81"/>
    </row>
    <row r="98" spans="1:47" x14ac:dyDescent="0.25">
      <c r="A98" s="84">
        <f>A97+1</f>
        <v>13</v>
      </c>
      <c r="B98" s="84" t="str">
        <f t="shared" si="27"/>
        <v xml:space="preserve">  </v>
      </c>
      <c r="C98" s="80" t="e">
        <f t="shared" ref="C98" si="42">IF(OR(B100-B99=B99-B98,B100-B99=B99-B97,B100-B99=B99-B96),B99,IF(OR(B100-B98=B98-B97,B100-B98=B98-B96),B98,IF(B100-B97=B97-B96,B97,"#NA")))</f>
        <v>#VALUE!</v>
      </c>
      <c r="D98" s="76" t="e">
        <f>VLOOKUP(C98,STN_TABLE,2,FALSE)</f>
        <v>#VALUE!</v>
      </c>
      <c r="E98" s="81">
        <v>4</v>
      </c>
      <c r="F98" s="76" t="e">
        <f>D98*E98</f>
        <v>#VALUE!</v>
      </c>
      <c r="G98" s="77" t="e">
        <f>C98</f>
        <v>#VALUE!</v>
      </c>
      <c r="H98" s="77" t="e">
        <f>F98*G98</f>
        <v>#VALUE!</v>
      </c>
      <c r="I98" s="495" t="s">
        <v>97</v>
      </c>
      <c r="J98" s="496"/>
      <c r="K98" s="78" t="s">
        <v>98</v>
      </c>
      <c r="L98" s="78"/>
      <c r="M98" s="7" t="s">
        <v>99</v>
      </c>
      <c r="N98" s="7"/>
      <c r="O98" s="99">
        <f>O97+1</f>
        <v>15</v>
      </c>
      <c r="P98" s="99" t="str">
        <f t="shared" si="23"/>
        <v xml:space="preserve">  </v>
      </c>
      <c r="Q98" s="76" t="str">
        <f>P98</f>
        <v xml:space="preserve">  </v>
      </c>
      <c r="R98" s="77" t="str">
        <f>VLOOKUP(Q98,STN_TABLE,2,FALSE)</f>
        <v xml:space="preserve">  </v>
      </c>
      <c r="S98" s="77">
        <v>8</v>
      </c>
      <c r="T98" s="76" t="e">
        <f>R98*S98</f>
        <v>#VALUE!</v>
      </c>
      <c r="U98" s="80">
        <v>10</v>
      </c>
      <c r="V98" s="76" t="e">
        <f>R98*U98</f>
        <v>#VALUE!</v>
      </c>
      <c r="W98" s="496" t="s">
        <v>97</v>
      </c>
      <c r="X98" s="496"/>
      <c r="Y98" s="496" t="s">
        <v>98</v>
      </c>
      <c r="Z98" s="496"/>
      <c r="AA98" s="494" t="s">
        <v>99</v>
      </c>
      <c r="AB98" s="494"/>
      <c r="AC98" s="99">
        <f>AC93+1</f>
        <v>14</v>
      </c>
      <c r="AD98" s="95" t="str">
        <f>VLOOKUP(AC98,STN_TABLE_2,2,FALSE)</f>
        <v xml:space="preserve">  </v>
      </c>
      <c r="AE98" s="68" t="str">
        <f>VLOOKUP(AD98,STN_TABLE,2,FALSE)</f>
        <v xml:space="preserve">  </v>
      </c>
      <c r="AF98" s="68">
        <v>1</v>
      </c>
      <c r="AG98" s="69" t="e">
        <f>AE98*AF98</f>
        <v>#VALUE!</v>
      </c>
      <c r="AH98" s="496" t="s">
        <v>97</v>
      </c>
      <c r="AI98" s="496"/>
      <c r="AJ98" s="496" t="s">
        <v>98</v>
      </c>
      <c r="AK98" s="496"/>
      <c r="AL98" s="494" t="s">
        <v>99</v>
      </c>
      <c r="AM98" s="494"/>
      <c r="AP98" s="86" t="s">
        <v>112</v>
      </c>
      <c r="AQ98" s="89" t="s">
        <v>113</v>
      </c>
      <c r="AR98" s="89" t="s">
        <v>114</v>
      </c>
      <c r="AS98" s="89" t="s">
        <v>115</v>
      </c>
      <c r="AU98" s="81"/>
    </row>
    <row r="99" spans="1:47" x14ac:dyDescent="0.25">
      <c r="A99" s="84">
        <f>A98+1</f>
        <v>14</v>
      </c>
      <c r="B99" s="84" t="str">
        <f t="shared" si="27"/>
        <v xml:space="preserve">  </v>
      </c>
      <c r="C99" s="88" t="str">
        <f t="shared" ref="C99" si="43">B100</f>
        <v xml:space="preserve">  </v>
      </c>
      <c r="D99" s="82" t="str">
        <f>VLOOKUP(C99,STN_TABLE,2,FALSE)</f>
        <v xml:space="preserve">  </v>
      </c>
      <c r="E99" s="92">
        <v>1</v>
      </c>
      <c r="F99" s="82" t="e">
        <f>D99*E99</f>
        <v>#VALUE!</v>
      </c>
      <c r="G99" s="83" t="str">
        <f>C99</f>
        <v xml:space="preserve">  </v>
      </c>
      <c r="H99" s="83" t="e">
        <f>F99*G99</f>
        <v>#VALUE!</v>
      </c>
      <c r="I99" s="84" t="str">
        <f>CONCATENATE("a'(",C99,")=")</f>
        <v>a'(  )=</v>
      </c>
      <c r="J99" s="84" t="e">
        <f>2*J97/3*F100</f>
        <v>#VALUE!</v>
      </c>
      <c r="K99" s="84" t="e">
        <f>CONCATENATE("A(",C97,")=")</f>
        <v>#VALUE!</v>
      </c>
      <c r="L99" s="84" t="e">
        <f>VLOOKUP(C97,STN_TABLE,3,FALSE)</f>
        <v>#VALUE!</v>
      </c>
      <c r="M99" t="str">
        <f>CONCATENATE("A(",C99,")=")</f>
        <v>A(  )=</v>
      </c>
      <c r="N99" t="e">
        <f>J99+L99</f>
        <v>#VALUE!</v>
      </c>
      <c r="O99" s="99">
        <f>O98+1</f>
        <v>16</v>
      </c>
      <c r="P99" s="99" t="str">
        <f t="shared" si="23"/>
        <v xml:space="preserve">  </v>
      </c>
      <c r="Q99" s="82" t="e">
        <f>IF(P99-P98=P98-P97,P99,IF(P100-P98=P98-P97,P100,IF(P99-P98=P98-P96,P99,IF(P100-P98=P98-P96,P100,"-"))))</f>
        <v>#VALUE!</v>
      </c>
      <c r="R99" s="83" t="e">
        <f>VLOOKUP(Q99,STN_TABLE,2,FALSE)</f>
        <v>#VALUE!</v>
      </c>
      <c r="S99" s="83">
        <v>-1</v>
      </c>
      <c r="T99" s="82" t="e">
        <f>R99*S99</f>
        <v>#VALUE!</v>
      </c>
      <c r="U99" s="88">
        <v>-1</v>
      </c>
      <c r="V99" s="82" t="e">
        <f>R99*U99</f>
        <v>#VALUE!</v>
      </c>
      <c r="W99" s="84" t="str">
        <f>CONCATENATE("a'(",Q98,")=")</f>
        <v>a'(  )=</v>
      </c>
      <c r="X99" s="84" t="e">
        <f>2*X97/12*T100</f>
        <v>#VALUE!</v>
      </c>
      <c r="Y99" s="84" t="e">
        <f>CONCATENATE("A(",Q97,")=")</f>
        <v>#VALUE!</v>
      </c>
      <c r="Z99" s="84" t="e">
        <f>VLOOKUP(Q97,STN_TABLE,3,FALSE)</f>
        <v>#VALUE!</v>
      </c>
      <c r="AA99" t="str">
        <f>CONCATENATE("A(",Q98,")=")</f>
        <v>A(  )=</v>
      </c>
      <c r="AB99" t="e">
        <f>X99+Z99</f>
        <v>#VALUE!</v>
      </c>
      <c r="AC99" s="99">
        <f>AC98+1</f>
        <v>15</v>
      </c>
      <c r="AD99" s="100" t="str">
        <f>VLOOKUP(AC99,STN_TABLE_2,2,FALSE)</f>
        <v xml:space="preserve">  </v>
      </c>
      <c r="AE99" s="82" t="str">
        <f>VLOOKUP(AD99,STN_TABLE,2,FALSE)</f>
        <v xml:space="preserve">  </v>
      </c>
      <c r="AF99" s="82">
        <v>2</v>
      </c>
      <c r="AG99" s="83" t="e">
        <f>AE99*AF99</f>
        <v>#VALUE!</v>
      </c>
      <c r="AH99" s="84" t="str">
        <f>CONCATENATE("a'(",AD99,")=")</f>
        <v>a'(  )=</v>
      </c>
      <c r="AI99" s="84" t="e">
        <f>2*AI97/2*AE100</f>
        <v>#VALUE!</v>
      </c>
      <c r="AJ99" s="84" t="str">
        <f>CONCATENATE("A(",AD98,")=")</f>
        <v>A(  )=</v>
      </c>
      <c r="AK99" s="84" t="str">
        <f>VLOOKUP(AD98,STN_TABLE,3,FALSE)</f>
        <v xml:space="preserve"> </v>
      </c>
      <c r="AL99" t="str">
        <f>CONCATENATE("A(",AD99,")=")</f>
        <v>A(  )=</v>
      </c>
      <c r="AM99" t="e">
        <f>AI99+AK99</f>
        <v>#VALUE!</v>
      </c>
      <c r="AO99" s="68" t="str">
        <f>AA99</f>
        <v>A(  )=</v>
      </c>
      <c r="AP99" s="68" t="e">
        <f>VLOOKUP(AO99,Rise_Results,2,FALSE)</f>
        <v>#N/A</v>
      </c>
      <c r="AQ99" s="76" t="e">
        <f>N99</f>
        <v>#VALUE!</v>
      </c>
      <c r="AR99" s="76" t="e">
        <f>IF(OR(AB99&lt;=0,AB100&lt;=0),1/0,AB99)</f>
        <v>#VALUE!</v>
      </c>
      <c r="AS99" s="76" t="e">
        <f>AM99</f>
        <v>#VALUE!</v>
      </c>
      <c r="AT99" t="e">
        <f>IFERROR(AP99,IFERROR(AQ99,IFERROR(AR99,AS99)))</f>
        <v>#VALUE!</v>
      </c>
      <c r="AU99" s="81"/>
    </row>
    <row r="100" spans="1:47" x14ac:dyDescent="0.25">
      <c r="A100" s="84">
        <f>A99+1</f>
        <v>15</v>
      </c>
      <c r="B100" s="84" t="str">
        <f t="shared" si="27"/>
        <v xml:space="preserve">  </v>
      </c>
      <c r="F100" s="82" t="e">
        <f>SUM(F97:F99)</f>
        <v>#VALUE!</v>
      </c>
      <c r="H100" s="82" t="e">
        <f>SUM(H97:H99)</f>
        <v>#VALUE!</v>
      </c>
      <c r="I100" s="84" t="str">
        <f>CONCATENATE("m'(",C99,")=")</f>
        <v>m'(  )=</v>
      </c>
      <c r="J100" s="84" t="e">
        <f>2*(J97*(WLS))/3*H100</f>
        <v>#VALUE!</v>
      </c>
      <c r="K100" s="84" t="e">
        <f>CONCATENATE("M(",C97,")=")</f>
        <v>#VALUE!</v>
      </c>
      <c r="L100" s="84" t="e">
        <f>VLOOKUP(C97,STN_TABLE,4,FALSE)</f>
        <v>#VALUE!</v>
      </c>
      <c r="M100" t="str">
        <f>CONCATENATE("M(",C99,")=")</f>
        <v>M(  )=</v>
      </c>
      <c r="N100" t="e">
        <f>J100+L100</f>
        <v>#VALUE!</v>
      </c>
      <c r="O100" s="99">
        <f>O99+1</f>
        <v>17</v>
      </c>
      <c r="P100" s="99" t="str">
        <f t="shared" ref="P100:P131" si="44">VLOOKUP(O100,STN_TABLE_2,2,FALSE)</f>
        <v xml:space="preserve">  </v>
      </c>
      <c r="T100" s="89" t="e">
        <f>SUM(T97:T99)</f>
        <v>#VALUE!</v>
      </c>
      <c r="V100" s="82" t="e">
        <f>SUM(V97:V99)</f>
        <v>#VALUE!</v>
      </c>
      <c r="W100" s="84" t="str">
        <f>CONCATENATE("m'(",Q98,")=")</f>
        <v>m'(  )=</v>
      </c>
      <c r="X100" s="84" t="e">
        <f>(2*(X97^2)/24*V100)+(X99*Q97*WLS)</f>
        <v>#VALUE!</v>
      </c>
      <c r="Y100" s="84" t="e">
        <f>CONCATENATE("M(",Q97,")=")</f>
        <v>#VALUE!</v>
      </c>
      <c r="Z100" s="84" t="e">
        <f>VLOOKUP(Q97,STN_TABLE,4,FALSE)</f>
        <v>#VALUE!</v>
      </c>
      <c r="AA100" t="str">
        <f>CONCATENATE("M(",Q98,")=")</f>
        <v>M(  )=</v>
      </c>
      <c r="AB100" t="e">
        <f>X100+Z100</f>
        <v>#VALUE!</v>
      </c>
      <c r="AE100" s="89">
        <f>SUM(AE98:AE99)</f>
        <v>0</v>
      </c>
      <c r="AG100" s="89" t="e">
        <f>SUM(AG98:AG99)</f>
        <v>#VALUE!</v>
      </c>
      <c r="AH100" s="84" t="str">
        <f>CONCATENATE("m'(",AD99,")=")</f>
        <v>m'(  )=</v>
      </c>
      <c r="AI100" s="84" t="e">
        <f>(2*(AI97^2)/6*AG100)+(AI99*AD98*WLS)</f>
        <v>#VALUE!</v>
      </c>
      <c r="AJ100" s="84" t="str">
        <f>CONCATENATE("M(",AD98,")=")</f>
        <v>M(  )=</v>
      </c>
      <c r="AK100" s="84" t="str">
        <f>VLOOKUP(AD98,STN_TABLE,4,FALSE)</f>
        <v xml:space="preserve"> </v>
      </c>
      <c r="AL100" t="str">
        <f>CONCATENATE("M(",AD99,")=")</f>
        <v>M(  )=</v>
      </c>
      <c r="AM100" t="e">
        <f>AI100+AK100</f>
        <v>#VALUE!</v>
      </c>
      <c r="AO100" s="82" t="str">
        <f>AA100</f>
        <v>M(  )=</v>
      </c>
      <c r="AP100" s="82" t="e">
        <f>VLOOKUP(AO100,Rise_Results,2,FALSE)</f>
        <v>#N/A</v>
      </c>
      <c r="AQ100" s="82" t="e">
        <f>N100</f>
        <v>#VALUE!</v>
      </c>
      <c r="AR100" s="82" t="e">
        <f>IF(OR(AB99&lt;=0,AB100&lt;=0),1/0,AB100)</f>
        <v>#VALUE!</v>
      </c>
      <c r="AS100" s="82" t="e">
        <f>AM100</f>
        <v>#VALUE!</v>
      </c>
      <c r="AT100" t="e">
        <f>IFERROR(AP100,IFERROR(AQ100,IFERROR(AR100,AS100)))</f>
        <v>#VALUE!</v>
      </c>
      <c r="AU100" s="81"/>
    </row>
    <row r="101" spans="1:47" x14ac:dyDescent="0.25">
      <c r="A101" s="101">
        <f>A96+1</f>
        <v>12</v>
      </c>
      <c r="B101" s="101">
        <f t="shared" si="27"/>
        <v>6.5</v>
      </c>
      <c r="O101" s="101">
        <f>O96+1</f>
        <v>14</v>
      </c>
      <c r="P101" s="101" t="str">
        <f t="shared" si="44"/>
        <v xml:space="preserve">  </v>
      </c>
      <c r="AU101" s="81"/>
    </row>
    <row r="102" spans="1:47" x14ac:dyDescent="0.25">
      <c r="A102" s="84">
        <f>A101+1</f>
        <v>13</v>
      </c>
      <c r="B102" s="84" t="str">
        <f t="shared" si="27"/>
        <v xml:space="preserve">  </v>
      </c>
      <c r="C102" s="79" t="e">
        <f t="shared" ref="C102" si="45">IF(C103=B104,IF(C104-C103=C103-B103,B103,IF(C104-C103=C103-B102,B102,"#NA")),IF(C103=B103,IF(C104-C103=C103-B102,B102,IF(C104-C103=C103-B101,B101,"#NA")),"#NA"))</f>
        <v>#VALUE!</v>
      </c>
      <c r="D102" s="68" t="e">
        <f>VLOOKUP(C102,STN_TABLE,2,FALSE)</f>
        <v>#VALUE!</v>
      </c>
      <c r="E102" s="102">
        <v>1</v>
      </c>
      <c r="F102" s="68" t="e">
        <f>D102*E102</f>
        <v>#VALUE!</v>
      </c>
      <c r="G102" s="69" t="e">
        <f>C102</f>
        <v>#VALUE!</v>
      </c>
      <c r="H102" s="69" t="e">
        <f>F102*G102</f>
        <v>#VALUE!</v>
      </c>
      <c r="I102" s="6" t="s">
        <v>93</v>
      </c>
      <c r="J102" s="70" t="e">
        <f>IF(OR(D102=0,D103=0,D104=0),"#NA",IF(AND(C104-C103=C103-C102,C103&lt;&gt;C104,C102&lt;&gt;C103,C102&lt;&gt;C104,D104&lt;&gt;0,OR(D102&lt;&gt;0,D103&lt;&gt;0)),WLS*(C104-C103),"#NA"))</f>
        <v>#VALUE!</v>
      </c>
      <c r="O102" s="99">
        <f>O101+1</f>
        <v>15</v>
      </c>
      <c r="P102" s="99" t="str">
        <f t="shared" si="44"/>
        <v xml:space="preserve">  </v>
      </c>
      <c r="Q102" s="68" t="e">
        <f>IF(OR(P104-P103=P103-P102,P105-P103=P103-P102),P102,IF(OR(P104-P103=P103-P101,P105-P103=P103-P101),P101,"-"))</f>
        <v>#VALUE!</v>
      </c>
      <c r="R102" s="69" t="e">
        <f>VLOOKUP(Q102,STN_TABLE,2,FALSE)</f>
        <v>#VALUE!</v>
      </c>
      <c r="S102" s="69">
        <v>5</v>
      </c>
      <c r="T102" s="68" t="e">
        <f>R102*S102</f>
        <v>#VALUE!</v>
      </c>
      <c r="U102" s="79">
        <v>3</v>
      </c>
      <c r="V102" s="68" t="e">
        <f>R102*U102</f>
        <v>#VALUE!</v>
      </c>
      <c r="W102" s="6" t="s">
        <v>93</v>
      </c>
      <c r="X102" s="70" t="e">
        <f>IF(AND(Q104-Q103=Q103-Q102,NOT(AND(Q102=0,Q103=0)),NOT(AND(Q103=0,Q104=0))),WLS*(Q104-Q103),"#NA")</f>
        <v>#VALUE!</v>
      </c>
      <c r="AD102" s="93"/>
      <c r="AH102" s="6" t="s">
        <v>93</v>
      </c>
      <c r="AI102" s="70" t="e">
        <f>WLS*(AD104-AD103)</f>
        <v>#VALUE!</v>
      </c>
      <c r="AU102" s="81"/>
    </row>
    <row r="103" spans="1:47" x14ac:dyDescent="0.25">
      <c r="A103" s="84">
        <f>A102+1</f>
        <v>14</v>
      </c>
      <c r="B103" s="84" t="str">
        <f t="shared" si="27"/>
        <v xml:space="preserve">  </v>
      </c>
      <c r="C103" s="80" t="e">
        <f t="shared" ref="C103" si="46">IF(OR(B105-B104=B104-B103,B105-B104=B104-B102,B105-B104=B104-B101),B104,IF(OR(B105-B103=B103-B102,B105-B103=B103-B101),B103,IF(B105-B102=B102-B101,B102,"#NA")))</f>
        <v>#VALUE!</v>
      </c>
      <c r="D103" s="76" t="e">
        <f>VLOOKUP(C103,STN_TABLE,2,FALSE)</f>
        <v>#VALUE!</v>
      </c>
      <c r="E103" s="81">
        <v>4</v>
      </c>
      <c r="F103" s="76" t="e">
        <f>D103*E103</f>
        <v>#VALUE!</v>
      </c>
      <c r="G103" s="77" t="e">
        <f>C103</f>
        <v>#VALUE!</v>
      </c>
      <c r="H103" s="77" t="e">
        <f>F103*G103</f>
        <v>#VALUE!</v>
      </c>
      <c r="I103" s="495" t="s">
        <v>97</v>
      </c>
      <c r="J103" s="496"/>
      <c r="K103" s="78" t="s">
        <v>98</v>
      </c>
      <c r="L103" s="78"/>
      <c r="M103" s="7" t="s">
        <v>99</v>
      </c>
      <c r="N103" s="7"/>
      <c r="O103" s="99">
        <f>O102+1</f>
        <v>16</v>
      </c>
      <c r="P103" s="99" t="str">
        <f t="shared" si="44"/>
        <v xml:space="preserve">  </v>
      </c>
      <c r="Q103" s="76" t="str">
        <f>P103</f>
        <v xml:space="preserve">  </v>
      </c>
      <c r="R103" s="77" t="str">
        <f>VLOOKUP(Q103,STN_TABLE,2,FALSE)</f>
        <v xml:space="preserve">  </v>
      </c>
      <c r="S103" s="77">
        <v>8</v>
      </c>
      <c r="T103" s="76" t="e">
        <f>R103*S103</f>
        <v>#VALUE!</v>
      </c>
      <c r="U103" s="80">
        <v>10</v>
      </c>
      <c r="V103" s="76" t="e">
        <f>R103*U103</f>
        <v>#VALUE!</v>
      </c>
      <c r="W103" s="496" t="s">
        <v>97</v>
      </c>
      <c r="X103" s="496"/>
      <c r="Y103" s="496" t="s">
        <v>98</v>
      </c>
      <c r="Z103" s="496"/>
      <c r="AA103" s="494" t="s">
        <v>99</v>
      </c>
      <c r="AB103" s="494"/>
      <c r="AC103" s="99">
        <f>AC98+1</f>
        <v>15</v>
      </c>
      <c r="AD103" s="95" t="str">
        <f>VLOOKUP(AC103,STN_TABLE_2,2,FALSE)</f>
        <v xml:space="preserve">  </v>
      </c>
      <c r="AE103" s="68" t="str">
        <f>VLOOKUP(AD103,STN_TABLE,2,FALSE)</f>
        <v xml:space="preserve">  </v>
      </c>
      <c r="AF103" s="68">
        <v>1</v>
      </c>
      <c r="AG103" s="69" t="e">
        <f>AE103*AF103</f>
        <v>#VALUE!</v>
      </c>
      <c r="AH103" s="496" t="s">
        <v>97</v>
      </c>
      <c r="AI103" s="496"/>
      <c r="AJ103" s="496" t="s">
        <v>98</v>
      </c>
      <c r="AK103" s="496"/>
      <c r="AL103" s="494" t="s">
        <v>99</v>
      </c>
      <c r="AM103" s="494"/>
      <c r="AP103" s="86" t="s">
        <v>112</v>
      </c>
      <c r="AQ103" s="89" t="s">
        <v>113</v>
      </c>
      <c r="AR103" s="89" t="s">
        <v>114</v>
      </c>
      <c r="AS103" s="89" t="s">
        <v>115</v>
      </c>
      <c r="AU103" s="81"/>
    </row>
    <row r="104" spans="1:47" x14ac:dyDescent="0.25">
      <c r="A104" s="84">
        <f>A103+1</f>
        <v>15</v>
      </c>
      <c r="B104" s="84" t="str">
        <f t="shared" si="27"/>
        <v xml:space="preserve">  </v>
      </c>
      <c r="C104" s="88" t="str">
        <f t="shared" ref="C104" si="47">B105</f>
        <v xml:space="preserve">  </v>
      </c>
      <c r="D104" s="82" t="str">
        <f>VLOOKUP(C104,STN_TABLE,2,FALSE)</f>
        <v xml:space="preserve">  </v>
      </c>
      <c r="E104" s="92">
        <v>1</v>
      </c>
      <c r="F104" s="82" t="e">
        <f>D104*E104</f>
        <v>#VALUE!</v>
      </c>
      <c r="G104" s="83" t="str">
        <f>C104</f>
        <v xml:space="preserve">  </v>
      </c>
      <c r="H104" s="83" t="e">
        <f>F104*G104</f>
        <v>#VALUE!</v>
      </c>
      <c r="I104" s="84" t="str">
        <f>CONCATENATE("a'(",C104,")=")</f>
        <v>a'(  )=</v>
      </c>
      <c r="J104" s="84" t="e">
        <f>2*J102/3*F105</f>
        <v>#VALUE!</v>
      </c>
      <c r="K104" s="84" t="e">
        <f>CONCATENATE("A(",C102,")=")</f>
        <v>#VALUE!</v>
      </c>
      <c r="L104" s="84" t="e">
        <f>VLOOKUP(C102,STN_TABLE,3,FALSE)</f>
        <v>#VALUE!</v>
      </c>
      <c r="M104" t="str">
        <f>CONCATENATE("A(",C104,")=")</f>
        <v>A(  )=</v>
      </c>
      <c r="N104" t="e">
        <f>J104+L104</f>
        <v>#VALUE!</v>
      </c>
      <c r="O104" s="99">
        <f>O103+1</f>
        <v>17</v>
      </c>
      <c r="P104" s="99" t="str">
        <f t="shared" si="44"/>
        <v xml:space="preserve">  </v>
      </c>
      <c r="Q104" s="82" t="e">
        <f>IF(P104-P103=P103-P102,P104,IF(P105-P103=P103-P102,P105,IF(P104-P103=P103-P101,P104,IF(P105-P103=P103-P101,P105,"-"))))</f>
        <v>#VALUE!</v>
      </c>
      <c r="R104" s="83" t="e">
        <f>VLOOKUP(Q104,STN_TABLE,2,FALSE)</f>
        <v>#VALUE!</v>
      </c>
      <c r="S104" s="83">
        <v>-1</v>
      </c>
      <c r="T104" s="82" t="e">
        <f>R104*S104</f>
        <v>#VALUE!</v>
      </c>
      <c r="U104" s="88">
        <v>-1</v>
      </c>
      <c r="V104" s="82" t="e">
        <f>R104*U104</f>
        <v>#VALUE!</v>
      </c>
      <c r="W104" s="84" t="str">
        <f>CONCATENATE("a'(",Q103,")=")</f>
        <v>a'(  )=</v>
      </c>
      <c r="X104" s="84" t="e">
        <f>2*X102/12*T105</f>
        <v>#VALUE!</v>
      </c>
      <c r="Y104" s="84" t="e">
        <f>CONCATENATE("A(",Q102,")=")</f>
        <v>#VALUE!</v>
      </c>
      <c r="Z104" s="84" t="e">
        <f>VLOOKUP(Q102,STN_TABLE,3,FALSE)</f>
        <v>#VALUE!</v>
      </c>
      <c r="AA104" t="str">
        <f>CONCATENATE("A(",Q103,")=")</f>
        <v>A(  )=</v>
      </c>
      <c r="AB104" t="e">
        <f>X104+Z104</f>
        <v>#VALUE!</v>
      </c>
      <c r="AC104" s="99">
        <f>AC103+1</f>
        <v>16</v>
      </c>
      <c r="AD104" s="100" t="str">
        <f>VLOOKUP(AC104,STN_TABLE_2,2,FALSE)</f>
        <v xml:space="preserve">  </v>
      </c>
      <c r="AE104" s="82" t="str">
        <f>VLOOKUP(AD104,STN_TABLE,2,FALSE)</f>
        <v xml:space="preserve">  </v>
      </c>
      <c r="AF104" s="82">
        <v>2</v>
      </c>
      <c r="AG104" s="83" t="e">
        <f>AE104*AF104</f>
        <v>#VALUE!</v>
      </c>
      <c r="AH104" s="84" t="str">
        <f>CONCATENATE("a'(",AD104,")=")</f>
        <v>a'(  )=</v>
      </c>
      <c r="AI104" s="84" t="e">
        <f>2*AI102/2*AE105</f>
        <v>#VALUE!</v>
      </c>
      <c r="AJ104" s="84" t="str">
        <f>CONCATENATE("A(",AD103,")=")</f>
        <v>A(  )=</v>
      </c>
      <c r="AK104" s="84" t="str">
        <f>VLOOKUP(AD103,STN_TABLE,3,FALSE)</f>
        <v xml:space="preserve"> </v>
      </c>
      <c r="AL104" t="str">
        <f>CONCATENATE("A(",AD104,")=")</f>
        <v>A(  )=</v>
      </c>
      <c r="AM104" t="e">
        <f>AI104+AK104</f>
        <v>#VALUE!</v>
      </c>
      <c r="AO104" s="68" t="str">
        <f>AA104</f>
        <v>A(  )=</v>
      </c>
      <c r="AP104" s="68" t="e">
        <f>VLOOKUP(AO104,Rise_Results,2,FALSE)</f>
        <v>#N/A</v>
      </c>
      <c r="AQ104" s="76" t="e">
        <f>N104</f>
        <v>#VALUE!</v>
      </c>
      <c r="AR104" s="76" t="e">
        <f>IF(OR(AB104&lt;=0,AB105&lt;=0),1/0,AB104)</f>
        <v>#VALUE!</v>
      </c>
      <c r="AS104" s="76" t="e">
        <f>AM104</f>
        <v>#VALUE!</v>
      </c>
      <c r="AT104" t="e">
        <f>IFERROR(AP104,IFERROR(AQ104,IFERROR(AR104,AS104)))</f>
        <v>#VALUE!</v>
      </c>
      <c r="AU104" s="81"/>
    </row>
    <row r="105" spans="1:47" x14ac:dyDescent="0.25">
      <c r="A105" s="84">
        <f>A104+1</f>
        <v>16</v>
      </c>
      <c r="B105" s="84" t="str">
        <f t="shared" si="27"/>
        <v xml:space="preserve">  </v>
      </c>
      <c r="F105" s="82" t="e">
        <f>SUM(F102:F104)</f>
        <v>#VALUE!</v>
      </c>
      <c r="H105" s="82" t="e">
        <f>SUM(H102:H104)</f>
        <v>#VALUE!</v>
      </c>
      <c r="I105" s="84" t="str">
        <f>CONCATENATE("m'(",C104,")=")</f>
        <v>m'(  )=</v>
      </c>
      <c r="J105" s="84" t="e">
        <f>2*(J102*(WLS))/3*H105</f>
        <v>#VALUE!</v>
      </c>
      <c r="K105" s="84" t="e">
        <f>CONCATENATE("M(",C102,")=")</f>
        <v>#VALUE!</v>
      </c>
      <c r="L105" s="84" t="e">
        <f>VLOOKUP(C102,STN_TABLE,4,FALSE)</f>
        <v>#VALUE!</v>
      </c>
      <c r="M105" t="str">
        <f>CONCATENATE("M(",C104,")=")</f>
        <v>M(  )=</v>
      </c>
      <c r="N105" t="e">
        <f>J105+L105</f>
        <v>#VALUE!</v>
      </c>
      <c r="O105" s="99">
        <f>O104+1</f>
        <v>18</v>
      </c>
      <c r="P105" s="99" t="str">
        <f t="shared" si="44"/>
        <v xml:space="preserve">  </v>
      </c>
      <c r="T105" s="89" t="e">
        <f>SUM(T102:T104)</f>
        <v>#VALUE!</v>
      </c>
      <c r="V105" s="82" t="e">
        <f>SUM(V102:V104)</f>
        <v>#VALUE!</v>
      </c>
      <c r="W105" s="84" t="str">
        <f>CONCATENATE("m'(",Q103,")=")</f>
        <v>m'(  )=</v>
      </c>
      <c r="X105" s="84" t="e">
        <f>(2*(X102^2)/24*V105)+(X104*Q102*WLS)</f>
        <v>#VALUE!</v>
      </c>
      <c r="Y105" s="84" t="e">
        <f>CONCATENATE("M(",Q102,")=")</f>
        <v>#VALUE!</v>
      </c>
      <c r="Z105" s="84" t="e">
        <f>VLOOKUP(Q102,STN_TABLE,4,FALSE)</f>
        <v>#VALUE!</v>
      </c>
      <c r="AA105" t="str">
        <f>CONCATENATE("M(",Q103,")=")</f>
        <v>M(  )=</v>
      </c>
      <c r="AB105" t="e">
        <f>X105+Z105</f>
        <v>#VALUE!</v>
      </c>
      <c r="AE105" s="89">
        <f>SUM(AE103:AE104)</f>
        <v>0</v>
      </c>
      <c r="AG105" s="89" t="e">
        <f>SUM(AG103:AG104)</f>
        <v>#VALUE!</v>
      </c>
      <c r="AH105" s="84" t="str">
        <f>CONCATENATE("m'(",AD104,")=")</f>
        <v>m'(  )=</v>
      </c>
      <c r="AI105" s="84" t="e">
        <f>(2*(AI102^2)/6*AG105)+(AI104*AD103*WLS)</f>
        <v>#VALUE!</v>
      </c>
      <c r="AJ105" s="84" t="str">
        <f>CONCATENATE("M(",AD103,")=")</f>
        <v>M(  )=</v>
      </c>
      <c r="AK105" s="84" t="str">
        <f>VLOOKUP(AD103,STN_TABLE,4,FALSE)</f>
        <v xml:space="preserve"> </v>
      </c>
      <c r="AL105" t="str">
        <f>CONCATENATE("M(",AD104,")=")</f>
        <v>M(  )=</v>
      </c>
      <c r="AM105" t="e">
        <f>AI105+AK105</f>
        <v>#VALUE!</v>
      </c>
      <c r="AO105" s="82" t="str">
        <f>AA105</f>
        <v>M(  )=</v>
      </c>
      <c r="AP105" s="82" t="e">
        <f>VLOOKUP(AO105,Rise_Results,2,FALSE)</f>
        <v>#N/A</v>
      </c>
      <c r="AQ105" s="82" t="e">
        <f>N105</f>
        <v>#VALUE!</v>
      </c>
      <c r="AR105" s="82" t="e">
        <f>IF(OR(AB104&lt;=0,AB105&lt;=0),1/0,AB105)</f>
        <v>#VALUE!</v>
      </c>
      <c r="AS105" s="82" t="e">
        <f>AM105</f>
        <v>#VALUE!</v>
      </c>
      <c r="AT105" t="e">
        <f>IFERROR(AP105,IFERROR(AQ105,IFERROR(AR105,AS105)))</f>
        <v>#VALUE!</v>
      </c>
      <c r="AU105" s="81"/>
    </row>
    <row r="106" spans="1:47" x14ac:dyDescent="0.25">
      <c r="A106" s="101">
        <f>A101+1</f>
        <v>13</v>
      </c>
      <c r="B106" s="101" t="str">
        <f t="shared" ref="B106:B137" si="48">VLOOKUP(A106,STN_TABLE_2,2,FALSE)</f>
        <v xml:space="preserve">  </v>
      </c>
      <c r="O106" s="101">
        <f>O101+1</f>
        <v>15</v>
      </c>
      <c r="P106" s="101" t="str">
        <f t="shared" si="44"/>
        <v xml:space="preserve">  </v>
      </c>
      <c r="AU106" s="81"/>
    </row>
    <row r="107" spans="1:47" x14ac:dyDescent="0.25">
      <c r="A107" s="84">
        <f>A106+1</f>
        <v>14</v>
      </c>
      <c r="B107" s="84" t="str">
        <f t="shared" si="48"/>
        <v xml:space="preserve">  </v>
      </c>
      <c r="C107" s="79" t="e">
        <f t="shared" ref="C107" si="49">IF(C108=B109,IF(C109-C108=C108-B108,B108,IF(C109-C108=C108-B107,B107,"#NA")),IF(C108=B108,IF(C109-C108=C108-B107,B107,IF(C109-C108=C108-B106,B106,"#NA")),"#NA"))</f>
        <v>#VALUE!</v>
      </c>
      <c r="D107" s="68" t="e">
        <f>VLOOKUP(C107,STN_TABLE,2,FALSE)</f>
        <v>#VALUE!</v>
      </c>
      <c r="E107" s="102">
        <v>1</v>
      </c>
      <c r="F107" s="68" t="e">
        <f>D107*E107</f>
        <v>#VALUE!</v>
      </c>
      <c r="G107" s="69" t="e">
        <f>C107</f>
        <v>#VALUE!</v>
      </c>
      <c r="H107" s="69" t="e">
        <f>F107*G107</f>
        <v>#VALUE!</v>
      </c>
      <c r="I107" s="6" t="s">
        <v>93</v>
      </c>
      <c r="J107" s="70" t="e">
        <f>IF(OR(D107=0,D108=0,D109=0),"#NA",IF(AND(C109-C108=C108-C107,C108&lt;&gt;C109,C107&lt;&gt;C108,C107&lt;&gt;C109,D109&lt;&gt;0,OR(D107&lt;&gt;0,D108&lt;&gt;0)),WLS*(C109-C108),"#NA"))</f>
        <v>#VALUE!</v>
      </c>
      <c r="O107" s="99">
        <f>O106+1</f>
        <v>16</v>
      </c>
      <c r="P107" s="99" t="str">
        <f t="shared" si="44"/>
        <v xml:space="preserve">  </v>
      </c>
      <c r="Q107" s="68" t="e">
        <f>IF(OR(P109-P108=P108-P107,P110-P108=P108-P107),P107,IF(OR(P109-P108=P108-P106,P110-P108=P108-P106),P106,"-"))</f>
        <v>#VALUE!</v>
      </c>
      <c r="R107" s="69" t="e">
        <f>VLOOKUP(Q107,STN_TABLE,2,FALSE)</f>
        <v>#VALUE!</v>
      </c>
      <c r="S107" s="69">
        <v>5</v>
      </c>
      <c r="T107" s="68" t="e">
        <f>R107*S107</f>
        <v>#VALUE!</v>
      </c>
      <c r="U107" s="79">
        <v>3</v>
      </c>
      <c r="V107" s="68" t="e">
        <f>R107*U107</f>
        <v>#VALUE!</v>
      </c>
      <c r="W107" s="6" t="s">
        <v>93</v>
      </c>
      <c r="X107" s="70" t="e">
        <f>IF(AND(Q109-Q108=Q108-Q107,NOT(AND(Q107=0,Q108=0)),NOT(AND(Q108=0,Q109=0))),WLS*(Q109-Q108),"#NA")</f>
        <v>#VALUE!</v>
      </c>
      <c r="AD107" s="93"/>
      <c r="AH107" s="6" t="s">
        <v>93</v>
      </c>
      <c r="AI107" s="70" t="e">
        <f>WLS*(AD109-AD108)</f>
        <v>#VALUE!</v>
      </c>
      <c r="AU107" s="81"/>
    </row>
    <row r="108" spans="1:47" x14ac:dyDescent="0.25">
      <c r="A108" s="84">
        <f>A107+1</f>
        <v>15</v>
      </c>
      <c r="B108" s="84" t="str">
        <f t="shared" si="48"/>
        <v xml:space="preserve">  </v>
      </c>
      <c r="C108" s="80" t="e">
        <f t="shared" ref="C108" si="50">IF(OR(B110-B109=B109-B108,B110-B109=B109-B107,B110-B109=B109-B106),B109,IF(OR(B110-B108=B108-B107,B110-B108=B108-B106),B108,IF(B110-B107=B107-B106,B107,"#NA")))</f>
        <v>#VALUE!</v>
      </c>
      <c r="D108" s="76" t="e">
        <f>VLOOKUP(C108,STN_TABLE,2,FALSE)</f>
        <v>#VALUE!</v>
      </c>
      <c r="E108" s="81">
        <v>4</v>
      </c>
      <c r="F108" s="76" t="e">
        <f>D108*E108</f>
        <v>#VALUE!</v>
      </c>
      <c r="G108" s="77" t="e">
        <f>C108</f>
        <v>#VALUE!</v>
      </c>
      <c r="H108" s="77" t="e">
        <f>F108*G108</f>
        <v>#VALUE!</v>
      </c>
      <c r="I108" s="495" t="s">
        <v>97</v>
      </c>
      <c r="J108" s="496"/>
      <c r="K108" s="78" t="s">
        <v>98</v>
      </c>
      <c r="L108" s="78"/>
      <c r="M108" s="7" t="s">
        <v>99</v>
      </c>
      <c r="N108" s="7"/>
      <c r="O108" s="99">
        <f>O107+1</f>
        <v>17</v>
      </c>
      <c r="P108" s="99" t="str">
        <f t="shared" si="44"/>
        <v xml:space="preserve">  </v>
      </c>
      <c r="Q108" s="76" t="str">
        <f>P108</f>
        <v xml:space="preserve">  </v>
      </c>
      <c r="R108" s="77" t="str">
        <f>VLOOKUP(Q108,STN_TABLE,2,FALSE)</f>
        <v xml:space="preserve">  </v>
      </c>
      <c r="S108" s="77">
        <v>8</v>
      </c>
      <c r="T108" s="76" t="e">
        <f>R108*S108</f>
        <v>#VALUE!</v>
      </c>
      <c r="U108" s="80">
        <v>10</v>
      </c>
      <c r="V108" s="76" t="e">
        <f>R108*U108</f>
        <v>#VALUE!</v>
      </c>
      <c r="W108" s="496" t="s">
        <v>97</v>
      </c>
      <c r="X108" s="496"/>
      <c r="Y108" s="496" t="s">
        <v>98</v>
      </c>
      <c r="Z108" s="496"/>
      <c r="AA108" s="494" t="s">
        <v>99</v>
      </c>
      <c r="AB108" s="494"/>
      <c r="AC108" s="99">
        <f>AC103+1</f>
        <v>16</v>
      </c>
      <c r="AD108" s="95" t="str">
        <f>VLOOKUP(AC108,STN_TABLE_2,2,FALSE)</f>
        <v xml:space="preserve">  </v>
      </c>
      <c r="AE108" s="68" t="str">
        <f>VLOOKUP(AD108,STN_TABLE,2,FALSE)</f>
        <v xml:space="preserve">  </v>
      </c>
      <c r="AF108" s="68">
        <v>1</v>
      </c>
      <c r="AG108" s="69" t="e">
        <f>AE108*AF108</f>
        <v>#VALUE!</v>
      </c>
      <c r="AH108" s="496" t="s">
        <v>97</v>
      </c>
      <c r="AI108" s="496"/>
      <c r="AJ108" s="496" t="s">
        <v>98</v>
      </c>
      <c r="AK108" s="496"/>
      <c r="AL108" s="494" t="s">
        <v>99</v>
      </c>
      <c r="AM108" s="494"/>
      <c r="AP108" s="86" t="s">
        <v>112</v>
      </c>
      <c r="AQ108" s="89" t="s">
        <v>113</v>
      </c>
      <c r="AR108" s="89" t="s">
        <v>114</v>
      </c>
      <c r="AS108" s="89" t="s">
        <v>115</v>
      </c>
      <c r="AU108" s="81"/>
    </row>
    <row r="109" spans="1:47" x14ac:dyDescent="0.25">
      <c r="A109" s="84">
        <f>A108+1</f>
        <v>16</v>
      </c>
      <c r="B109" s="84" t="str">
        <f t="shared" si="48"/>
        <v xml:space="preserve">  </v>
      </c>
      <c r="C109" s="88" t="str">
        <f t="shared" ref="C109" si="51">B110</f>
        <v xml:space="preserve">  </v>
      </c>
      <c r="D109" s="82" t="str">
        <f>VLOOKUP(C109,STN_TABLE,2,FALSE)</f>
        <v xml:space="preserve">  </v>
      </c>
      <c r="E109" s="92">
        <v>1</v>
      </c>
      <c r="F109" s="82" t="e">
        <f>D109*E109</f>
        <v>#VALUE!</v>
      </c>
      <c r="G109" s="83" t="str">
        <f>C109</f>
        <v xml:space="preserve">  </v>
      </c>
      <c r="H109" s="83" t="e">
        <f>F109*G109</f>
        <v>#VALUE!</v>
      </c>
      <c r="I109" s="84" t="str">
        <f>CONCATENATE("a'(",C109,")=")</f>
        <v>a'(  )=</v>
      </c>
      <c r="J109" s="84" t="e">
        <f>2*J107/3*F110</f>
        <v>#VALUE!</v>
      </c>
      <c r="K109" s="84" t="e">
        <f>CONCATENATE("A(",C107,")=")</f>
        <v>#VALUE!</v>
      </c>
      <c r="L109" s="84" t="e">
        <f>VLOOKUP(C107,STN_TABLE,3,FALSE)</f>
        <v>#VALUE!</v>
      </c>
      <c r="M109" t="str">
        <f>CONCATENATE("A(",C109,")=")</f>
        <v>A(  )=</v>
      </c>
      <c r="N109" t="e">
        <f>J109+L109</f>
        <v>#VALUE!</v>
      </c>
      <c r="O109" s="99">
        <f>O108+1</f>
        <v>18</v>
      </c>
      <c r="P109" s="99" t="str">
        <f t="shared" si="44"/>
        <v xml:space="preserve">  </v>
      </c>
      <c r="Q109" s="82" t="e">
        <f>IF(P109-P108=P108-P107,P109,IF(P110-P108=P108-P107,P110,IF(P109-P108=P108-P106,P109,IF(P110-P108=P108-P106,P110,"-"))))</f>
        <v>#VALUE!</v>
      </c>
      <c r="R109" s="83" t="e">
        <f>VLOOKUP(Q109,STN_TABLE,2,FALSE)</f>
        <v>#VALUE!</v>
      </c>
      <c r="S109" s="83">
        <v>-1</v>
      </c>
      <c r="T109" s="82" t="e">
        <f>R109*S109</f>
        <v>#VALUE!</v>
      </c>
      <c r="U109" s="88">
        <v>-1</v>
      </c>
      <c r="V109" s="82" t="e">
        <f>R109*U109</f>
        <v>#VALUE!</v>
      </c>
      <c r="W109" s="84" t="str">
        <f>CONCATENATE("a'(",Q108,")=")</f>
        <v>a'(  )=</v>
      </c>
      <c r="X109" s="84" t="e">
        <f>2*X107/12*T110</f>
        <v>#VALUE!</v>
      </c>
      <c r="Y109" s="84" t="e">
        <f>CONCATENATE("A(",Q107,")=")</f>
        <v>#VALUE!</v>
      </c>
      <c r="Z109" s="84" t="e">
        <f>VLOOKUP(Q107,STN_TABLE,3,FALSE)</f>
        <v>#VALUE!</v>
      </c>
      <c r="AA109" t="str">
        <f>CONCATENATE("A(",Q108,")=")</f>
        <v>A(  )=</v>
      </c>
      <c r="AB109" t="e">
        <f>X109+Z109</f>
        <v>#VALUE!</v>
      </c>
      <c r="AC109" s="99">
        <f>AC108+1</f>
        <v>17</v>
      </c>
      <c r="AD109" s="100" t="str">
        <f>VLOOKUP(AC109,STN_TABLE_2,2,FALSE)</f>
        <v xml:space="preserve">  </v>
      </c>
      <c r="AE109" s="82" t="str">
        <f>VLOOKUP(AD109,STN_TABLE,2,FALSE)</f>
        <v xml:space="preserve">  </v>
      </c>
      <c r="AF109" s="82">
        <v>2</v>
      </c>
      <c r="AG109" s="83" t="e">
        <f>AE109*AF109</f>
        <v>#VALUE!</v>
      </c>
      <c r="AH109" s="84" t="str">
        <f>CONCATENATE("a'(",AD109,")=")</f>
        <v>a'(  )=</v>
      </c>
      <c r="AI109" s="84" t="e">
        <f>2*AI107/2*AE110</f>
        <v>#VALUE!</v>
      </c>
      <c r="AJ109" s="84" t="str">
        <f>CONCATENATE("A(",AD108,")=")</f>
        <v>A(  )=</v>
      </c>
      <c r="AK109" s="84" t="str">
        <f>VLOOKUP(AD108,STN_TABLE,3,FALSE)</f>
        <v xml:space="preserve"> </v>
      </c>
      <c r="AL109" t="str">
        <f>CONCATENATE("A(",AD109,")=")</f>
        <v>A(  )=</v>
      </c>
      <c r="AM109" t="e">
        <f>AI109+AK109</f>
        <v>#VALUE!</v>
      </c>
      <c r="AO109" s="68" t="str">
        <f>AA109</f>
        <v>A(  )=</v>
      </c>
      <c r="AP109" s="68" t="e">
        <f>VLOOKUP(AO109,Rise_Results,2,FALSE)</f>
        <v>#N/A</v>
      </c>
      <c r="AQ109" s="76" t="e">
        <f>N109</f>
        <v>#VALUE!</v>
      </c>
      <c r="AR109" s="76" t="e">
        <f>IF(OR(AB109&lt;=0,AB110&lt;=0),1/0,AB109)</f>
        <v>#VALUE!</v>
      </c>
      <c r="AS109" s="76" t="e">
        <f>AM109</f>
        <v>#VALUE!</v>
      </c>
      <c r="AT109" t="e">
        <f>IFERROR(AP109,IFERROR(AQ109,IFERROR(AR109,AS109)))</f>
        <v>#VALUE!</v>
      </c>
      <c r="AU109" s="81"/>
    </row>
    <row r="110" spans="1:47" x14ac:dyDescent="0.25">
      <c r="A110" s="84">
        <f>A109+1</f>
        <v>17</v>
      </c>
      <c r="B110" s="84" t="str">
        <f t="shared" si="48"/>
        <v xml:space="preserve">  </v>
      </c>
      <c r="F110" s="82" t="e">
        <f>SUM(F107:F109)</f>
        <v>#VALUE!</v>
      </c>
      <c r="H110" s="82" t="e">
        <f>SUM(H107:H109)</f>
        <v>#VALUE!</v>
      </c>
      <c r="I110" s="84" t="str">
        <f>CONCATENATE("m'(",C109,")=")</f>
        <v>m'(  )=</v>
      </c>
      <c r="J110" s="84" t="e">
        <f>2*(J107*(WLS))/3*H110</f>
        <v>#VALUE!</v>
      </c>
      <c r="K110" s="84" t="e">
        <f>CONCATENATE("M(",C107,")=")</f>
        <v>#VALUE!</v>
      </c>
      <c r="L110" s="84" t="e">
        <f>VLOOKUP(C107,STN_TABLE,4,FALSE)</f>
        <v>#VALUE!</v>
      </c>
      <c r="M110" t="str">
        <f>CONCATENATE("M(",C109,")=")</f>
        <v>M(  )=</v>
      </c>
      <c r="N110" t="e">
        <f>J110+L110</f>
        <v>#VALUE!</v>
      </c>
      <c r="O110" s="99">
        <f>O109+1</f>
        <v>19</v>
      </c>
      <c r="P110" s="99" t="str">
        <f t="shared" si="44"/>
        <v xml:space="preserve">  </v>
      </c>
      <c r="T110" s="89" t="e">
        <f>SUM(T107:T109)</f>
        <v>#VALUE!</v>
      </c>
      <c r="V110" s="82" t="e">
        <f>SUM(V107:V109)</f>
        <v>#VALUE!</v>
      </c>
      <c r="W110" s="84" t="str">
        <f>CONCATENATE("m'(",Q108,")=")</f>
        <v>m'(  )=</v>
      </c>
      <c r="X110" s="84" t="e">
        <f>(2*(X107^2)/24*V110)+(X109*Q107*WLS)</f>
        <v>#VALUE!</v>
      </c>
      <c r="Y110" s="84" t="e">
        <f>CONCATENATE("M(",Q107,")=")</f>
        <v>#VALUE!</v>
      </c>
      <c r="Z110" s="84" t="e">
        <f>VLOOKUP(Q107,STN_TABLE,4,FALSE)</f>
        <v>#VALUE!</v>
      </c>
      <c r="AA110" t="str">
        <f>CONCATENATE("M(",Q108,")=")</f>
        <v>M(  )=</v>
      </c>
      <c r="AB110" t="e">
        <f>X110+Z110</f>
        <v>#VALUE!</v>
      </c>
      <c r="AE110" s="89">
        <f>SUM(AE108:AE109)</f>
        <v>0</v>
      </c>
      <c r="AG110" s="89" t="e">
        <f>SUM(AG108:AG109)</f>
        <v>#VALUE!</v>
      </c>
      <c r="AH110" s="84" t="str">
        <f>CONCATENATE("m'(",AD109,")=")</f>
        <v>m'(  )=</v>
      </c>
      <c r="AI110" s="84" t="e">
        <f>(2*(AI107^2)/6*AG110)+(AI109*AD108*WLS)</f>
        <v>#VALUE!</v>
      </c>
      <c r="AJ110" s="84" t="str">
        <f>CONCATENATE("M(",AD108,")=")</f>
        <v>M(  )=</v>
      </c>
      <c r="AK110" s="84" t="str">
        <f>VLOOKUP(AD108,STN_TABLE,4,FALSE)</f>
        <v xml:space="preserve"> </v>
      </c>
      <c r="AL110" t="str">
        <f>CONCATENATE("M(",AD109,")=")</f>
        <v>M(  )=</v>
      </c>
      <c r="AM110" t="e">
        <f>AI110+AK110</f>
        <v>#VALUE!</v>
      </c>
      <c r="AO110" s="82" t="str">
        <f>AA110</f>
        <v>M(  )=</v>
      </c>
      <c r="AP110" s="82" t="e">
        <f>VLOOKUP(AO110,Rise_Results,2,FALSE)</f>
        <v>#N/A</v>
      </c>
      <c r="AQ110" s="82" t="e">
        <f>N110</f>
        <v>#VALUE!</v>
      </c>
      <c r="AR110" s="82" t="e">
        <f>IF(OR(AB109&lt;=0,AB110&lt;=0),1/0,AB110)</f>
        <v>#VALUE!</v>
      </c>
      <c r="AS110" s="82" t="e">
        <f>AM110</f>
        <v>#VALUE!</v>
      </c>
      <c r="AT110" t="e">
        <f>IFERROR(AP110,IFERROR(AQ110,IFERROR(AR110,AS110)))</f>
        <v>#VALUE!</v>
      </c>
      <c r="AU110" s="81"/>
    </row>
    <row r="111" spans="1:47" x14ac:dyDescent="0.25">
      <c r="A111" s="101">
        <f>A106+1</f>
        <v>14</v>
      </c>
      <c r="B111" s="101" t="str">
        <f t="shared" si="48"/>
        <v xml:space="preserve">  </v>
      </c>
      <c r="O111" s="101">
        <f>O106+1</f>
        <v>16</v>
      </c>
      <c r="P111" s="101" t="str">
        <f t="shared" si="44"/>
        <v xml:space="preserve">  </v>
      </c>
      <c r="AU111" s="81"/>
    </row>
    <row r="112" spans="1:47" x14ac:dyDescent="0.25">
      <c r="A112" s="84">
        <f>A111+1</f>
        <v>15</v>
      </c>
      <c r="B112" s="84" t="str">
        <f t="shared" si="48"/>
        <v xml:space="preserve">  </v>
      </c>
      <c r="C112" s="79" t="e">
        <f t="shared" ref="C112" si="52">IF(C113=B114,IF(C114-C113=C113-B113,B113,IF(C114-C113=C113-B112,B112,"#NA")),IF(C113=B113,IF(C114-C113=C113-B112,B112,IF(C114-C113=C113-B111,B111,"#NA")),"#NA"))</f>
        <v>#VALUE!</v>
      </c>
      <c r="D112" s="68" t="e">
        <f>VLOOKUP(C112,STN_TABLE,2,FALSE)</f>
        <v>#VALUE!</v>
      </c>
      <c r="E112" s="102">
        <v>1</v>
      </c>
      <c r="F112" s="68" t="e">
        <f>D112*E112</f>
        <v>#VALUE!</v>
      </c>
      <c r="G112" s="69" t="e">
        <f>C112</f>
        <v>#VALUE!</v>
      </c>
      <c r="H112" s="69" t="e">
        <f>F112*G112</f>
        <v>#VALUE!</v>
      </c>
      <c r="I112" s="6" t="s">
        <v>93</v>
      </c>
      <c r="J112" s="70" t="e">
        <f>IF(OR(D112=0,D113=0,D114=0),"#NA",IF(AND(C114-C113=C113-C112,C113&lt;&gt;C114,C112&lt;&gt;C113,C112&lt;&gt;C114,D114&lt;&gt;0,OR(D112&lt;&gt;0,D113&lt;&gt;0)),WLS*(C114-C113),"#NA"))</f>
        <v>#VALUE!</v>
      </c>
      <c r="O112" s="99">
        <f>O111+1</f>
        <v>17</v>
      </c>
      <c r="P112" s="99" t="str">
        <f t="shared" si="44"/>
        <v xml:space="preserve">  </v>
      </c>
      <c r="Q112" s="68" t="e">
        <f>IF(OR(P114-P113=P113-P112,P115-P113=P113-P112),P112,IF(OR(P114-P113=P113-P111,P115-P113=P113-P111),P111,"-"))</f>
        <v>#VALUE!</v>
      </c>
      <c r="R112" s="69" t="e">
        <f>VLOOKUP(Q112,STN_TABLE,2,FALSE)</f>
        <v>#VALUE!</v>
      </c>
      <c r="S112" s="69">
        <v>5</v>
      </c>
      <c r="T112" s="68" t="e">
        <f>R112*S112</f>
        <v>#VALUE!</v>
      </c>
      <c r="U112" s="79">
        <v>3</v>
      </c>
      <c r="V112" s="68" t="e">
        <f>R112*U112</f>
        <v>#VALUE!</v>
      </c>
      <c r="W112" s="6" t="s">
        <v>93</v>
      </c>
      <c r="X112" s="70" t="e">
        <f>IF(AND(Q114-Q113=Q113-Q112,NOT(AND(Q112=0,Q113=0)),NOT(AND(Q113=0,Q114=0))),WLS*(Q114-Q113),"#NA")</f>
        <v>#VALUE!</v>
      </c>
      <c r="AD112" s="93"/>
      <c r="AH112" s="6" t="s">
        <v>93</v>
      </c>
      <c r="AI112" s="70" t="e">
        <f>WLS*(AD114-AD113)</f>
        <v>#VALUE!</v>
      </c>
      <c r="AU112" s="81"/>
    </row>
    <row r="113" spans="1:47" x14ac:dyDescent="0.25">
      <c r="A113" s="84">
        <f>A112+1</f>
        <v>16</v>
      </c>
      <c r="B113" s="84" t="str">
        <f t="shared" si="48"/>
        <v xml:space="preserve">  </v>
      </c>
      <c r="C113" s="80" t="e">
        <f t="shared" ref="C113" si="53">IF(OR(B115-B114=B114-B113,B115-B114=B114-B112,B115-B114=B114-B111),B114,IF(OR(B115-B113=B113-B112,B115-B113=B113-B111),B113,IF(B115-B112=B112-B111,B112,"#NA")))</f>
        <v>#VALUE!</v>
      </c>
      <c r="D113" s="76" t="e">
        <f>VLOOKUP(C113,STN_TABLE,2,FALSE)</f>
        <v>#VALUE!</v>
      </c>
      <c r="E113" s="81">
        <v>4</v>
      </c>
      <c r="F113" s="76" t="e">
        <f>D113*E113</f>
        <v>#VALUE!</v>
      </c>
      <c r="G113" s="77" t="e">
        <f>C113</f>
        <v>#VALUE!</v>
      </c>
      <c r="H113" s="77" t="e">
        <f>F113*G113</f>
        <v>#VALUE!</v>
      </c>
      <c r="I113" s="495" t="s">
        <v>97</v>
      </c>
      <c r="J113" s="496"/>
      <c r="K113" s="78" t="s">
        <v>98</v>
      </c>
      <c r="L113" s="78"/>
      <c r="M113" s="7" t="s">
        <v>99</v>
      </c>
      <c r="N113" s="7"/>
      <c r="O113" s="99">
        <f>O112+1</f>
        <v>18</v>
      </c>
      <c r="P113" s="99" t="str">
        <f t="shared" si="44"/>
        <v xml:space="preserve">  </v>
      </c>
      <c r="Q113" s="76" t="str">
        <f>P113</f>
        <v xml:space="preserve">  </v>
      </c>
      <c r="R113" s="77" t="str">
        <f>VLOOKUP(Q113,STN_TABLE,2,FALSE)</f>
        <v xml:space="preserve">  </v>
      </c>
      <c r="S113" s="77">
        <v>8</v>
      </c>
      <c r="T113" s="76" t="e">
        <f>R113*S113</f>
        <v>#VALUE!</v>
      </c>
      <c r="U113" s="80">
        <v>10</v>
      </c>
      <c r="V113" s="76" t="e">
        <f>R113*U113</f>
        <v>#VALUE!</v>
      </c>
      <c r="W113" s="496" t="s">
        <v>97</v>
      </c>
      <c r="X113" s="496"/>
      <c r="Y113" s="496" t="s">
        <v>98</v>
      </c>
      <c r="Z113" s="496"/>
      <c r="AA113" s="494" t="s">
        <v>99</v>
      </c>
      <c r="AB113" s="494"/>
      <c r="AC113" s="99">
        <f>AC108+1</f>
        <v>17</v>
      </c>
      <c r="AD113" s="95" t="str">
        <f>VLOOKUP(AC113,STN_TABLE_2,2,FALSE)</f>
        <v xml:space="preserve">  </v>
      </c>
      <c r="AE113" s="68" t="str">
        <f>VLOOKUP(AD113,STN_TABLE,2,FALSE)</f>
        <v xml:space="preserve">  </v>
      </c>
      <c r="AF113" s="68">
        <v>1</v>
      </c>
      <c r="AG113" s="69" t="e">
        <f>AE113*AF113</f>
        <v>#VALUE!</v>
      </c>
      <c r="AH113" s="496" t="s">
        <v>97</v>
      </c>
      <c r="AI113" s="496"/>
      <c r="AJ113" s="496" t="s">
        <v>98</v>
      </c>
      <c r="AK113" s="496"/>
      <c r="AL113" s="494" t="s">
        <v>99</v>
      </c>
      <c r="AM113" s="494"/>
      <c r="AP113" s="86" t="s">
        <v>112</v>
      </c>
      <c r="AQ113" s="89" t="s">
        <v>113</v>
      </c>
      <c r="AR113" s="89" t="s">
        <v>114</v>
      </c>
      <c r="AS113" s="89" t="s">
        <v>115</v>
      </c>
      <c r="AU113" s="81"/>
    </row>
    <row r="114" spans="1:47" x14ac:dyDescent="0.25">
      <c r="A114" s="84">
        <f>A113+1</f>
        <v>17</v>
      </c>
      <c r="B114" s="84" t="str">
        <f t="shared" si="48"/>
        <v xml:space="preserve">  </v>
      </c>
      <c r="C114" s="88" t="str">
        <f t="shared" ref="C114" si="54">B115</f>
        <v xml:space="preserve">  </v>
      </c>
      <c r="D114" s="82" t="str">
        <f>VLOOKUP(C114,STN_TABLE,2,FALSE)</f>
        <v xml:space="preserve">  </v>
      </c>
      <c r="E114" s="92">
        <v>1</v>
      </c>
      <c r="F114" s="82" t="e">
        <f>D114*E114</f>
        <v>#VALUE!</v>
      </c>
      <c r="G114" s="83" t="str">
        <f>C114</f>
        <v xml:space="preserve">  </v>
      </c>
      <c r="H114" s="83" t="e">
        <f>F114*G114</f>
        <v>#VALUE!</v>
      </c>
      <c r="I114" s="84" t="str">
        <f>CONCATENATE("a'(",C114,")=")</f>
        <v>a'(  )=</v>
      </c>
      <c r="J114" s="84" t="e">
        <f>2*J112/3*F115</f>
        <v>#VALUE!</v>
      </c>
      <c r="K114" s="84" t="e">
        <f>CONCATENATE("A(",C112,")=")</f>
        <v>#VALUE!</v>
      </c>
      <c r="L114" s="84" t="e">
        <f>VLOOKUP(C112,STN_TABLE,3,FALSE)</f>
        <v>#VALUE!</v>
      </c>
      <c r="M114" t="str">
        <f>CONCATENATE("A(",C114,")=")</f>
        <v>A(  )=</v>
      </c>
      <c r="N114" t="e">
        <f>J114+L114</f>
        <v>#VALUE!</v>
      </c>
      <c r="O114" s="99">
        <f>O113+1</f>
        <v>19</v>
      </c>
      <c r="P114" s="99" t="str">
        <f t="shared" si="44"/>
        <v xml:space="preserve">  </v>
      </c>
      <c r="Q114" s="82" t="e">
        <f>IF(P114-P113=P113-P112,P114,IF(P115-P113=P113-P112,P115,IF(P114-P113=P113-P111,P114,IF(P115-P113=P113-P111,P115,"-"))))</f>
        <v>#VALUE!</v>
      </c>
      <c r="R114" s="83" t="e">
        <f>VLOOKUP(Q114,STN_TABLE,2,FALSE)</f>
        <v>#VALUE!</v>
      </c>
      <c r="S114" s="83">
        <v>-1</v>
      </c>
      <c r="T114" s="82" t="e">
        <f>R114*S114</f>
        <v>#VALUE!</v>
      </c>
      <c r="U114" s="88">
        <v>-1</v>
      </c>
      <c r="V114" s="82" t="e">
        <f>R114*U114</f>
        <v>#VALUE!</v>
      </c>
      <c r="W114" s="84" t="str">
        <f>CONCATENATE("a'(",Q113,")=")</f>
        <v>a'(  )=</v>
      </c>
      <c r="X114" s="84" t="e">
        <f>2*X112/12*T115</f>
        <v>#VALUE!</v>
      </c>
      <c r="Y114" s="84" t="e">
        <f>CONCATENATE("A(",Q112,")=")</f>
        <v>#VALUE!</v>
      </c>
      <c r="Z114" s="84" t="e">
        <f>VLOOKUP(Q112,STN_TABLE,3,FALSE)</f>
        <v>#VALUE!</v>
      </c>
      <c r="AA114" t="str">
        <f>CONCATENATE("A(",Q113,")=")</f>
        <v>A(  )=</v>
      </c>
      <c r="AB114" t="e">
        <f>X114+Z114</f>
        <v>#VALUE!</v>
      </c>
      <c r="AC114" s="99">
        <f>AC113+1</f>
        <v>18</v>
      </c>
      <c r="AD114" s="100" t="str">
        <f>VLOOKUP(AC114,STN_TABLE_2,2,FALSE)</f>
        <v xml:space="preserve">  </v>
      </c>
      <c r="AE114" s="82" t="str">
        <f>VLOOKUP(AD114,STN_TABLE,2,FALSE)</f>
        <v xml:space="preserve">  </v>
      </c>
      <c r="AF114" s="82">
        <v>2</v>
      </c>
      <c r="AG114" s="83" t="e">
        <f>AE114*AF114</f>
        <v>#VALUE!</v>
      </c>
      <c r="AH114" s="84" t="str">
        <f>CONCATENATE("a'(",AD114,")=")</f>
        <v>a'(  )=</v>
      </c>
      <c r="AI114" s="84" t="e">
        <f>2*AI112/2*AE115</f>
        <v>#VALUE!</v>
      </c>
      <c r="AJ114" s="84" t="str">
        <f>CONCATENATE("A(",AD113,")=")</f>
        <v>A(  )=</v>
      </c>
      <c r="AK114" s="84" t="str">
        <f>VLOOKUP(AD113,STN_TABLE,3,FALSE)</f>
        <v xml:space="preserve"> </v>
      </c>
      <c r="AL114" t="str">
        <f>CONCATENATE("A(",AD114,")=")</f>
        <v>A(  )=</v>
      </c>
      <c r="AM114" t="e">
        <f>AI114+AK114</f>
        <v>#VALUE!</v>
      </c>
      <c r="AO114" s="68" t="str">
        <f>AA114</f>
        <v>A(  )=</v>
      </c>
      <c r="AP114" s="68" t="e">
        <f>VLOOKUP(AO114,Rise_Results,2,FALSE)</f>
        <v>#N/A</v>
      </c>
      <c r="AQ114" s="76" t="e">
        <f>N114</f>
        <v>#VALUE!</v>
      </c>
      <c r="AR114" s="76" t="e">
        <f>IF(OR(AB114&lt;=0,AB115&lt;=0),1/0,AB114)</f>
        <v>#VALUE!</v>
      </c>
      <c r="AS114" s="76" t="e">
        <f>AM114</f>
        <v>#VALUE!</v>
      </c>
      <c r="AT114" t="e">
        <f>IFERROR(AP114,IFERROR(AQ114,IFERROR(AR114,AS114)))</f>
        <v>#VALUE!</v>
      </c>
      <c r="AU114" s="81"/>
    </row>
    <row r="115" spans="1:47" x14ac:dyDescent="0.25">
      <c r="A115" s="84">
        <f>A114+1</f>
        <v>18</v>
      </c>
      <c r="B115" s="84" t="str">
        <f t="shared" si="48"/>
        <v xml:space="preserve">  </v>
      </c>
      <c r="F115" s="82" t="e">
        <f>SUM(F112:F114)</f>
        <v>#VALUE!</v>
      </c>
      <c r="H115" s="82" t="e">
        <f>SUM(H112:H114)</f>
        <v>#VALUE!</v>
      </c>
      <c r="I115" s="84" t="str">
        <f>CONCATENATE("m'(",C114,")=")</f>
        <v>m'(  )=</v>
      </c>
      <c r="J115" s="84" t="e">
        <f>2*(J112*(WLS))/3*H115</f>
        <v>#VALUE!</v>
      </c>
      <c r="K115" s="84" t="e">
        <f>CONCATENATE("M(",C112,")=")</f>
        <v>#VALUE!</v>
      </c>
      <c r="L115" s="84" t="e">
        <f>VLOOKUP(C112,STN_TABLE,4,FALSE)</f>
        <v>#VALUE!</v>
      </c>
      <c r="M115" t="str">
        <f>CONCATENATE("M(",C114,")=")</f>
        <v>M(  )=</v>
      </c>
      <c r="N115" t="e">
        <f>J115+L115</f>
        <v>#VALUE!</v>
      </c>
      <c r="O115" s="99">
        <f>O114+1</f>
        <v>20</v>
      </c>
      <c r="P115" s="99" t="str">
        <f t="shared" si="44"/>
        <v xml:space="preserve">  </v>
      </c>
      <c r="T115" s="89" t="e">
        <f>SUM(T112:T114)</f>
        <v>#VALUE!</v>
      </c>
      <c r="V115" s="82" t="e">
        <f>SUM(V112:V114)</f>
        <v>#VALUE!</v>
      </c>
      <c r="W115" s="84" t="str">
        <f>CONCATENATE("m'(",Q113,")=")</f>
        <v>m'(  )=</v>
      </c>
      <c r="X115" s="84" t="e">
        <f>(2*(X112^2)/24*V115)+(X114*Q112*WLS)</f>
        <v>#VALUE!</v>
      </c>
      <c r="Y115" s="84" t="e">
        <f>CONCATENATE("M(",Q112,")=")</f>
        <v>#VALUE!</v>
      </c>
      <c r="Z115" s="84" t="e">
        <f>VLOOKUP(Q112,STN_TABLE,4,FALSE)</f>
        <v>#VALUE!</v>
      </c>
      <c r="AA115" t="str">
        <f>CONCATENATE("M(",Q113,")=")</f>
        <v>M(  )=</v>
      </c>
      <c r="AB115" t="e">
        <f>X115+Z115</f>
        <v>#VALUE!</v>
      </c>
      <c r="AE115" s="89">
        <f>SUM(AE113:AE114)</f>
        <v>0</v>
      </c>
      <c r="AG115" s="89" t="e">
        <f>SUM(AG113:AG114)</f>
        <v>#VALUE!</v>
      </c>
      <c r="AH115" s="84" t="str">
        <f>CONCATENATE("m'(",AD114,")=")</f>
        <v>m'(  )=</v>
      </c>
      <c r="AI115" s="84" t="e">
        <f>(2*(AI112^2)/6*AG115)+(AI114*AD113*WLS)</f>
        <v>#VALUE!</v>
      </c>
      <c r="AJ115" s="84" t="str">
        <f>CONCATENATE("M(",AD113,")=")</f>
        <v>M(  )=</v>
      </c>
      <c r="AK115" s="84" t="str">
        <f>VLOOKUP(AD113,STN_TABLE,4,FALSE)</f>
        <v xml:space="preserve"> </v>
      </c>
      <c r="AL115" t="str">
        <f>CONCATENATE("M(",AD114,")=")</f>
        <v>M(  )=</v>
      </c>
      <c r="AM115" t="e">
        <f>AI115+AK115</f>
        <v>#VALUE!</v>
      </c>
      <c r="AO115" s="82" t="str">
        <f>AA115</f>
        <v>M(  )=</v>
      </c>
      <c r="AP115" s="82" t="e">
        <f>VLOOKUP(AO115,Rise_Results,2,FALSE)</f>
        <v>#N/A</v>
      </c>
      <c r="AQ115" s="82" t="e">
        <f>N115</f>
        <v>#VALUE!</v>
      </c>
      <c r="AR115" s="82" t="e">
        <f>IF(OR(AB114&lt;=0,AB115&lt;=0),1/0,AB115)</f>
        <v>#VALUE!</v>
      </c>
      <c r="AS115" s="82" t="e">
        <f>AM115</f>
        <v>#VALUE!</v>
      </c>
      <c r="AT115" t="e">
        <f>IFERROR(AP115,IFERROR(AQ115,IFERROR(AR115,AS115)))</f>
        <v>#VALUE!</v>
      </c>
      <c r="AU115" s="81"/>
    </row>
    <row r="116" spans="1:47" x14ac:dyDescent="0.25">
      <c r="A116" s="101">
        <f>A111+1</f>
        <v>15</v>
      </c>
      <c r="B116" s="101" t="str">
        <f t="shared" si="48"/>
        <v xml:space="preserve">  </v>
      </c>
      <c r="O116" s="101">
        <f>O111+1</f>
        <v>17</v>
      </c>
      <c r="P116" s="101" t="str">
        <f t="shared" si="44"/>
        <v xml:space="preserve">  </v>
      </c>
      <c r="AU116" s="81"/>
    </row>
    <row r="117" spans="1:47" x14ac:dyDescent="0.25">
      <c r="A117" s="84">
        <f>A116+1</f>
        <v>16</v>
      </c>
      <c r="B117" s="84" t="str">
        <f t="shared" si="48"/>
        <v xml:space="preserve">  </v>
      </c>
      <c r="C117" s="79" t="e">
        <f t="shared" ref="C117" si="55">IF(C118=B119,IF(C119-C118=C118-B118,B118,IF(C119-C118=C118-B117,B117,"#NA")),IF(C118=B118,IF(C119-C118=C118-B117,B117,IF(C119-C118=C118-B116,B116,"#NA")),"#NA"))</f>
        <v>#VALUE!</v>
      </c>
      <c r="D117" s="68" t="e">
        <f>VLOOKUP(C117,STN_TABLE,2,FALSE)</f>
        <v>#VALUE!</v>
      </c>
      <c r="E117" s="102">
        <v>1</v>
      </c>
      <c r="F117" s="68" t="e">
        <f>D117*E117</f>
        <v>#VALUE!</v>
      </c>
      <c r="G117" s="69" t="e">
        <f>C117</f>
        <v>#VALUE!</v>
      </c>
      <c r="H117" s="69" t="e">
        <f>F117*G117</f>
        <v>#VALUE!</v>
      </c>
      <c r="I117" s="6" t="s">
        <v>93</v>
      </c>
      <c r="J117" s="70" t="e">
        <f>IF(OR(D117=0,D118=0,D119=0),"#NA",IF(AND(C119-C118=C118-C117,C118&lt;&gt;C119,C117&lt;&gt;C118,C117&lt;&gt;C119,D119&lt;&gt;0,OR(D117&lt;&gt;0,D118&lt;&gt;0)),WLS*(C119-C118),"#NA"))</f>
        <v>#VALUE!</v>
      </c>
      <c r="O117" s="99">
        <f>O116+1</f>
        <v>18</v>
      </c>
      <c r="P117" s="99" t="str">
        <f t="shared" si="44"/>
        <v xml:space="preserve">  </v>
      </c>
      <c r="Q117" s="68" t="e">
        <f>IF(OR(P119-P118=P118-P117,P120-P118=P118-P117),P117,IF(OR(P119-P118=P118-P116,P120-P118=P118-P116),P116,"-"))</f>
        <v>#VALUE!</v>
      </c>
      <c r="R117" s="69" t="e">
        <f>VLOOKUP(Q117,STN_TABLE,2,FALSE)</f>
        <v>#VALUE!</v>
      </c>
      <c r="S117" s="69">
        <v>5</v>
      </c>
      <c r="T117" s="68" t="e">
        <f>R117*S117</f>
        <v>#VALUE!</v>
      </c>
      <c r="U117" s="79">
        <v>3</v>
      </c>
      <c r="V117" s="68" t="e">
        <f>R117*U117</f>
        <v>#VALUE!</v>
      </c>
      <c r="W117" s="6" t="s">
        <v>93</v>
      </c>
      <c r="X117" s="70" t="e">
        <f>IF(AND(Q119-Q118=Q118-Q117,NOT(AND(Q117=0,Q118=0)),NOT(AND(Q118=0,Q119=0))),WLS*(Q119-Q118),"#NA")</f>
        <v>#VALUE!</v>
      </c>
      <c r="AD117" s="93"/>
      <c r="AH117" s="6" t="s">
        <v>93</v>
      </c>
      <c r="AI117" s="70" t="e">
        <f>WLS*(AD119-AD118)</f>
        <v>#VALUE!</v>
      </c>
      <c r="AU117" s="81"/>
    </row>
    <row r="118" spans="1:47" x14ac:dyDescent="0.25">
      <c r="A118" s="84">
        <f>A117+1</f>
        <v>17</v>
      </c>
      <c r="B118" s="84" t="str">
        <f t="shared" si="48"/>
        <v xml:space="preserve">  </v>
      </c>
      <c r="C118" s="80" t="e">
        <f t="shared" ref="C118" si="56">IF(OR(B120-B119=B119-B118,B120-B119=B119-B117,B120-B119=B119-B116),B119,IF(OR(B120-B118=B118-B117,B120-B118=B118-B116),B118,IF(B120-B117=B117-B116,B117,"#NA")))</f>
        <v>#VALUE!</v>
      </c>
      <c r="D118" s="76" t="e">
        <f>VLOOKUP(C118,STN_TABLE,2,FALSE)</f>
        <v>#VALUE!</v>
      </c>
      <c r="E118" s="81">
        <v>4</v>
      </c>
      <c r="F118" s="76" t="e">
        <f>D118*E118</f>
        <v>#VALUE!</v>
      </c>
      <c r="G118" s="77" t="e">
        <f>C118</f>
        <v>#VALUE!</v>
      </c>
      <c r="H118" s="77" t="e">
        <f>F118*G118</f>
        <v>#VALUE!</v>
      </c>
      <c r="I118" s="495" t="s">
        <v>97</v>
      </c>
      <c r="J118" s="496"/>
      <c r="K118" s="78" t="s">
        <v>98</v>
      </c>
      <c r="L118" s="78"/>
      <c r="M118" s="7" t="s">
        <v>99</v>
      </c>
      <c r="N118" s="7"/>
      <c r="O118" s="99">
        <f>O117+1</f>
        <v>19</v>
      </c>
      <c r="P118" s="99" t="str">
        <f t="shared" si="44"/>
        <v xml:space="preserve">  </v>
      </c>
      <c r="Q118" s="76" t="str">
        <f>P118</f>
        <v xml:space="preserve">  </v>
      </c>
      <c r="R118" s="77" t="str">
        <f>VLOOKUP(Q118,STN_TABLE,2,FALSE)</f>
        <v xml:space="preserve">  </v>
      </c>
      <c r="S118" s="77">
        <v>8</v>
      </c>
      <c r="T118" s="76" t="e">
        <f>R118*S118</f>
        <v>#VALUE!</v>
      </c>
      <c r="U118" s="80">
        <v>10</v>
      </c>
      <c r="V118" s="76" t="e">
        <f>R118*U118</f>
        <v>#VALUE!</v>
      </c>
      <c r="W118" s="496" t="s">
        <v>97</v>
      </c>
      <c r="X118" s="496"/>
      <c r="Y118" s="496" t="s">
        <v>98</v>
      </c>
      <c r="Z118" s="496"/>
      <c r="AA118" s="494" t="s">
        <v>99</v>
      </c>
      <c r="AB118" s="494"/>
      <c r="AC118" s="99">
        <f>AC113+1</f>
        <v>18</v>
      </c>
      <c r="AD118" s="95" t="str">
        <f>VLOOKUP(AC118,STN_TABLE_2,2,FALSE)</f>
        <v xml:space="preserve">  </v>
      </c>
      <c r="AE118" s="68" t="str">
        <f>VLOOKUP(AD118,STN_TABLE,2,FALSE)</f>
        <v xml:space="preserve">  </v>
      </c>
      <c r="AF118" s="68">
        <v>1</v>
      </c>
      <c r="AG118" s="69" t="e">
        <f>AE118*AF118</f>
        <v>#VALUE!</v>
      </c>
      <c r="AH118" s="496" t="s">
        <v>97</v>
      </c>
      <c r="AI118" s="496"/>
      <c r="AJ118" s="496" t="s">
        <v>98</v>
      </c>
      <c r="AK118" s="496"/>
      <c r="AL118" s="494" t="s">
        <v>99</v>
      </c>
      <c r="AM118" s="494"/>
      <c r="AP118" s="86" t="s">
        <v>112</v>
      </c>
      <c r="AQ118" s="89" t="s">
        <v>113</v>
      </c>
      <c r="AR118" s="89" t="s">
        <v>114</v>
      </c>
      <c r="AS118" s="89" t="s">
        <v>115</v>
      </c>
      <c r="AU118" s="81"/>
    </row>
    <row r="119" spans="1:47" x14ac:dyDescent="0.25">
      <c r="A119" s="84">
        <f>A118+1</f>
        <v>18</v>
      </c>
      <c r="B119" s="84" t="str">
        <f t="shared" si="48"/>
        <v xml:space="preserve">  </v>
      </c>
      <c r="C119" s="88" t="str">
        <f t="shared" ref="C119" si="57">B120</f>
        <v xml:space="preserve">  </v>
      </c>
      <c r="D119" s="82" t="str">
        <f>VLOOKUP(C119,STN_TABLE,2,FALSE)</f>
        <v xml:space="preserve">  </v>
      </c>
      <c r="E119" s="92">
        <v>1</v>
      </c>
      <c r="F119" s="82" t="e">
        <f>D119*E119</f>
        <v>#VALUE!</v>
      </c>
      <c r="G119" s="83" t="str">
        <f>C119</f>
        <v xml:space="preserve">  </v>
      </c>
      <c r="H119" s="83" t="e">
        <f>F119*G119</f>
        <v>#VALUE!</v>
      </c>
      <c r="I119" s="84" t="str">
        <f>CONCATENATE("a'(",C119,")=")</f>
        <v>a'(  )=</v>
      </c>
      <c r="J119" s="84" t="e">
        <f>2*J117/3*F120</f>
        <v>#VALUE!</v>
      </c>
      <c r="K119" s="84" t="e">
        <f>CONCATENATE("A(",C117,")=")</f>
        <v>#VALUE!</v>
      </c>
      <c r="L119" s="84" t="e">
        <f>VLOOKUP(C117,STN_TABLE,3,FALSE)</f>
        <v>#VALUE!</v>
      </c>
      <c r="M119" t="str">
        <f>CONCATENATE("A(",C119,")=")</f>
        <v>A(  )=</v>
      </c>
      <c r="N119" t="e">
        <f>J119+L119</f>
        <v>#VALUE!</v>
      </c>
      <c r="O119" s="99">
        <f>O118+1</f>
        <v>20</v>
      </c>
      <c r="P119" s="99" t="str">
        <f t="shared" si="44"/>
        <v xml:space="preserve">  </v>
      </c>
      <c r="Q119" s="82" t="e">
        <f>IF(P119-P118=P118-P117,P119,IF(P120-P118=P118-P117,P120,IF(P119-P118=P118-P116,P119,IF(P120-P118=P118-P116,P120,"-"))))</f>
        <v>#VALUE!</v>
      </c>
      <c r="R119" s="83" t="e">
        <f>VLOOKUP(Q119,STN_TABLE,2,FALSE)</f>
        <v>#VALUE!</v>
      </c>
      <c r="S119" s="83">
        <v>-1</v>
      </c>
      <c r="T119" s="82" t="e">
        <f>R119*S119</f>
        <v>#VALUE!</v>
      </c>
      <c r="U119" s="88">
        <v>-1</v>
      </c>
      <c r="V119" s="82" t="e">
        <f>R119*U119</f>
        <v>#VALUE!</v>
      </c>
      <c r="W119" s="84" t="str">
        <f>CONCATENATE("a'(",Q118,")=")</f>
        <v>a'(  )=</v>
      </c>
      <c r="X119" s="84" t="e">
        <f>2*X117/12*T120</f>
        <v>#VALUE!</v>
      </c>
      <c r="Y119" s="84" t="e">
        <f>CONCATENATE("A(",Q117,")=")</f>
        <v>#VALUE!</v>
      </c>
      <c r="Z119" s="84" t="e">
        <f>VLOOKUP(Q117,STN_TABLE,3,FALSE)</f>
        <v>#VALUE!</v>
      </c>
      <c r="AA119" t="str">
        <f>CONCATENATE("A(",Q118,")=")</f>
        <v>A(  )=</v>
      </c>
      <c r="AB119" t="e">
        <f>X119+Z119</f>
        <v>#VALUE!</v>
      </c>
      <c r="AC119" s="99">
        <f>AC118+1</f>
        <v>19</v>
      </c>
      <c r="AD119" s="100" t="str">
        <f>VLOOKUP(AC119,STN_TABLE_2,2,FALSE)</f>
        <v xml:space="preserve">  </v>
      </c>
      <c r="AE119" s="82" t="str">
        <f>VLOOKUP(AD119,STN_TABLE,2,FALSE)</f>
        <v xml:space="preserve">  </v>
      </c>
      <c r="AF119" s="82">
        <v>2</v>
      </c>
      <c r="AG119" s="83" t="e">
        <f>AE119*AF119</f>
        <v>#VALUE!</v>
      </c>
      <c r="AH119" s="84" t="str">
        <f>CONCATENATE("a'(",AD119,")=")</f>
        <v>a'(  )=</v>
      </c>
      <c r="AI119" s="84" t="e">
        <f>2*AI117/2*AE120</f>
        <v>#VALUE!</v>
      </c>
      <c r="AJ119" s="84" t="str">
        <f>CONCATENATE("A(",AD118,")=")</f>
        <v>A(  )=</v>
      </c>
      <c r="AK119" s="84" t="str">
        <f>VLOOKUP(AD118,STN_TABLE,3,FALSE)</f>
        <v xml:space="preserve"> </v>
      </c>
      <c r="AL119" t="str">
        <f>CONCATENATE("A(",AD119,")=")</f>
        <v>A(  )=</v>
      </c>
      <c r="AM119" t="e">
        <f>AI119+AK119</f>
        <v>#VALUE!</v>
      </c>
      <c r="AO119" s="68" t="str">
        <f>AA119</f>
        <v>A(  )=</v>
      </c>
      <c r="AP119" s="68" t="e">
        <f>VLOOKUP(AO119,Rise_Results,2,FALSE)</f>
        <v>#N/A</v>
      </c>
      <c r="AQ119" s="76" t="e">
        <f>N119</f>
        <v>#VALUE!</v>
      </c>
      <c r="AR119" s="76" t="e">
        <f>IF(OR(AB119&lt;=0,AB120&lt;=0),1/0,AB119)</f>
        <v>#VALUE!</v>
      </c>
      <c r="AS119" s="76" t="e">
        <f>AM119</f>
        <v>#VALUE!</v>
      </c>
      <c r="AT119" t="e">
        <f>IFERROR(AP119,IFERROR(AQ119,IFERROR(AR119,AS119)))</f>
        <v>#VALUE!</v>
      </c>
      <c r="AU119" s="81"/>
    </row>
    <row r="120" spans="1:47" x14ac:dyDescent="0.25">
      <c r="A120" s="84">
        <f>A119+1</f>
        <v>19</v>
      </c>
      <c r="B120" s="84" t="str">
        <f t="shared" si="48"/>
        <v xml:space="preserve">  </v>
      </c>
      <c r="F120" s="82" t="e">
        <f>SUM(F117:F119)</f>
        <v>#VALUE!</v>
      </c>
      <c r="H120" s="82" t="e">
        <f>SUM(H117:H119)</f>
        <v>#VALUE!</v>
      </c>
      <c r="I120" s="84" t="str">
        <f>CONCATENATE("m'(",C119,")=")</f>
        <v>m'(  )=</v>
      </c>
      <c r="J120" s="84" t="e">
        <f>2*(J117*(WLS))/3*H120</f>
        <v>#VALUE!</v>
      </c>
      <c r="K120" s="84" t="e">
        <f>CONCATENATE("M(",C117,")=")</f>
        <v>#VALUE!</v>
      </c>
      <c r="L120" s="84" t="e">
        <f>VLOOKUP(C117,STN_TABLE,4,FALSE)</f>
        <v>#VALUE!</v>
      </c>
      <c r="M120" t="str">
        <f>CONCATENATE("M(",C119,")=")</f>
        <v>M(  )=</v>
      </c>
      <c r="N120" t="e">
        <f>J120+L120</f>
        <v>#VALUE!</v>
      </c>
      <c r="O120" s="99">
        <f>O119+1</f>
        <v>21</v>
      </c>
      <c r="P120" s="99" t="str">
        <f t="shared" si="44"/>
        <v xml:space="preserve">  </v>
      </c>
      <c r="T120" s="89" t="e">
        <f>SUM(T117:T119)</f>
        <v>#VALUE!</v>
      </c>
      <c r="V120" s="82" t="e">
        <f>SUM(V117:V119)</f>
        <v>#VALUE!</v>
      </c>
      <c r="W120" s="84" t="str">
        <f>CONCATENATE("m'(",Q118,")=")</f>
        <v>m'(  )=</v>
      </c>
      <c r="X120" s="84" t="e">
        <f>(2*(X117^2)/24*V120)+(X119*Q117*WLS)</f>
        <v>#VALUE!</v>
      </c>
      <c r="Y120" s="84" t="e">
        <f>CONCATENATE("M(",Q117,")=")</f>
        <v>#VALUE!</v>
      </c>
      <c r="Z120" s="84" t="e">
        <f>VLOOKUP(Q117,STN_TABLE,4,FALSE)</f>
        <v>#VALUE!</v>
      </c>
      <c r="AA120" t="str">
        <f>CONCATENATE("M(",Q118,")=")</f>
        <v>M(  )=</v>
      </c>
      <c r="AB120" t="e">
        <f>X120+Z120</f>
        <v>#VALUE!</v>
      </c>
      <c r="AE120" s="89">
        <f>SUM(AE118:AE119)</f>
        <v>0</v>
      </c>
      <c r="AG120" s="89" t="e">
        <f>SUM(AG118:AG119)</f>
        <v>#VALUE!</v>
      </c>
      <c r="AH120" s="84" t="str">
        <f>CONCATENATE("m'(",AD119,")=")</f>
        <v>m'(  )=</v>
      </c>
      <c r="AI120" s="84" t="e">
        <f>(2*(AI117^2)/6*AG120)+(AI119*AD118*WLS)</f>
        <v>#VALUE!</v>
      </c>
      <c r="AJ120" s="84" t="str">
        <f>CONCATENATE("M(",AD118,")=")</f>
        <v>M(  )=</v>
      </c>
      <c r="AK120" s="84" t="str">
        <f>VLOOKUP(AD118,STN_TABLE,4,FALSE)</f>
        <v xml:space="preserve"> </v>
      </c>
      <c r="AL120" t="str">
        <f>CONCATENATE("M(",AD119,")=")</f>
        <v>M(  )=</v>
      </c>
      <c r="AM120" t="e">
        <f>AI120+AK120</f>
        <v>#VALUE!</v>
      </c>
      <c r="AO120" s="82" t="str">
        <f>AA120</f>
        <v>M(  )=</v>
      </c>
      <c r="AP120" s="82" t="e">
        <f>VLOOKUP(AO120,Rise_Results,2,FALSE)</f>
        <v>#N/A</v>
      </c>
      <c r="AQ120" s="82" t="e">
        <f>N120</f>
        <v>#VALUE!</v>
      </c>
      <c r="AR120" s="82" t="e">
        <f>IF(OR(AB119&lt;=0,AB120&lt;=0),1/0,AB120)</f>
        <v>#VALUE!</v>
      </c>
      <c r="AS120" s="82" t="e">
        <f>AM120</f>
        <v>#VALUE!</v>
      </c>
      <c r="AT120" t="e">
        <f>IFERROR(AP120,IFERROR(AQ120,IFERROR(AR120,AS120)))</f>
        <v>#VALUE!</v>
      </c>
      <c r="AU120" s="81"/>
    </row>
    <row r="121" spans="1:47" x14ac:dyDescent="0.25">
      <c r="A121" s="101">
        <f>A116+1</f>
        <v>16</v>
      </c>
      <c r="B121" s="101" t="str">
        <f t="shared" si="48"/>
        <v xml:space="preserve">  </v>
      </c>
      <c r="O121" s="101">
        <f>O116+1</f>
        <v>18</v>
      </c>
      <c r="P121" s="101" t="str">
        <f t="shared" si="44"/>
        <v xml:space="preserve">  </v>
      </c>
      <c r="AU121" s="81"/>
    </row>
    <row r="122" spans="1:47" x14ac:dyDescent="0.25">
      <c r="A122" s="84">
        <f>A121+1</f>
        <v>17</v>
      </c>
      <c r="B122" s="84" t="str">
        <f t="shared" si="48"/>
        <v xml:space="preserve">  </v>
      </c>
      <c r="C122" s="79" t="e">
        <f t="shared" ref="C122" si="58">IF(C123=B124,IF(C124-C123=C123-B123,B123,IF(C124-C123=C123-B122,B122,"#NA")),IF(C123=B123,IF(C124-C123=C123-B122,B122,IF(C124-C123=C123-B121,B121,"#NA")),"#NA"))</f>
        <v>#VALUE!</v>
      </c>
      <c r="D122" s="68" t="e">
        <f>VLOOKUP(C122,STN_TABLE,2,FALSE)</f>
        <v>#VALUE!</v>
      </c>
      <c r="E122" s="102">
        <v>1</v>
      </c>
      <c r="F122" s="68" t="e">
        <f>D122*E122</f>
        <v>#VALUE!</v>
      </c>
      <c r="G122" s="69" t="e">
        <f>C122</f>
        <v>#VALUE!</v>
      </c>
      <c r="H122" s="69" t="e">
        <f>F122*G122</f>
        <v>#VALUE!</v>
      </c>
      <c r="I122" s="6" t="s">
        <v>93</v>
      </c>
      <c r="J122" s="70" t="e">
        <f>IF(OR(D122=0,D123=0,D124=0),"#NA",IF(AND(C124-C123=C123-C122,C123&lt;&gt;C124,C122&lt;&gt;C123,C122&lt;&gt;C124,D124&lt;&gt;0,OR(D122&lt;&gt;0,D123&lt;&gt;0)),WLS*(C124-C123),"#NA"))</f>
        <v>#VALUE!</v>
      </c>
      <c r="O122" s="99">
        <f>O121+1</f>
        <v>19</v>
      </c>
      <c r="P122" s="99" t="str">
        <f t="shared" si="44"/>
        <v xml:space="preserve">  </v>
      </c>
      <c r="Q122" s="68" t="e">
        <f>IF(OR(P124-P123=P123-P122,P125-P123=P123-P122),P122,IF(OR(P124-P123=P123-P121,P125-P123=P123-P121),P121,"-"))</f>
        <v>#VALUE!</v>
      </c>
      <c r="R122" s="69" t="e">
        <f>VLOOKUP(Q122,STN_TABLE,2,FALSE)</f>
        <v>#VALUE!</v>
      </c>
      <c r="S122" s="69">
        <v>5</v>
      </c>
      <c r="T122" s="68" t="e">
        <f>R122*S122</f>
        <v>#VALUE!</v>
      </c>
      <c r="U122" s="79">
        <v>3</v>
      </c>
      <c r="V122" s="68" t="e">
        <f>R122*U122</f>
        <v>#VALUE!</v>
      </c>
      <c r="W122" s="6" t="s">
        <v>93</v>
      </c>
      <c r="X122" s="70" t="e">
        <f>IF(AND(Q124-Q123=Q123-Q122,NOT(AND(Q122=0,Q123=0)),NOT(AND(Q123=0,Q124=0))),WLS*(Q124-Q123),"#NA")</f>
        <v>#VALUE!</v>
      </c>
      <c r="AD122" s="93"/>
      <c r="AH122" s="6" t="s">
        <v>93</v>
      </c>
      <c r="AI122" s="70" t="e">
        <f>WLS*(AD124-AD123)</f>
        <v>#VALUE!</v>
      </c>
      <c r="AU122" s="81"/>
    </row>
    <row r="123" spans="1:47" x14ac:dyDescent="0.25">
      <c r="A123" s="84">
        <f>A122+1</f>
        <v>18</v>
      </c>
      <c r="B123" s="84" t="str">
        <f t="shared" si="48"/>
        <v xml:space="preserve">  </v>
      </c>
      <c r="C123" s="80" t="e">
        <f t="shared" ref="C123" si="59">IF(OR(B125-B124=B124-B123,B125-B124=B124-B122,B125-B124=B124-B121),B124,IF(OR(B125-B123=B123-B122,B125-B123=B123-B121),B123,IF(B125-B122=B122-B121,B122,"#NA")))</f>
        <v>#VALUE!</v>
      </c>
      <c r="D123" s="76" t="e">
        <f>VLOOKUP(C123,STN_TABLE,2,FALSE)</f>
        <v>#VALUE!</v>
      </c>
      <c r="E123" s="81">
        <v>4</v>
      </c>
      <c r="F123" s="76" t="e">
        <f>D123*E123</f>
        <v>#VALUE!</v>
      </c>
      <c r="G123" s="77" t="e">
        <f>C123</f>
        <v>#VALUE!</v>
      </c>
      <c r="H123" s="77" t="e">
        <f>F123*G123</f>
        <v>#VALUE!</v>
      </c>
      <c r="I123" s="495" t="s">
        <v>97</v>
      </c>
      <c r="J123" s="496"/>
      <c r="K123" s="78" t="s">
        <v>98</v>
      </c>
      <c r="L123" s="78"/>
      <c r="M123" s="7" t="s">
        <v>99</v>
      </c>
      <c r="N123" s="7"/>
      <c r="O123" s="99">
        <f>O122+1</f>
        <v>20</v>
      </c>
      <c r="P123" s="99" t="str">
        <f t="shared" si="44"/>
        <v xml:space="preserve">  </v>
      </c>
      <c r="Q123" s="76" t="str">
        <f>P123</f>
        <v xml:space="preserve">  </v>
      </c>
      <c r="R123" s="77" t="str">
        <f>VLOOKUP(Q123,STN_TABLE,2,FALSE)</f>
        <v xml:space="preserve">  </v>
      </c>
      <c r="S123" s="77">
        <v>8</v>
      </c>
      <c r="T123" s="76" t="e">
        <f>R123*S123</f>
        <v>#VALUE!</v>
      </c>
      <c r="U123" s="80">
        <v>10</v>
      </c>
      <c r="V123" s="76" t="e">
        <f>R123*U123</f>
        <v>#VALUE!</v>
      </c>
      <c r="W123" s="496" t="s">
        <v>97</v>
      </c>
      <c r="X123" s="496"/>
      <c r="Y123" s="496" t="s">
        <v>98</v>
      </c>
      <c r="Z123" s="496"/>
      <c r="AA123" s="494" t="s">
        <v>99</v>
      </c>
      <c r="AB123" s="494"/>
      <c r="AC123" s="99">
        <f>AC118+1</f>
        <v>19</v>
      </c>
      <c r="AD123" s="95" t="str">
        <f>VLOOKUP(AC123,STN_TABLE_2,2,FALSE)</f>
        <v xml:space="preserve">  </v>
      </c>
      <c r="AE123" s="68" t="str">
        <f>VLOOKUP(AD123,STN_TABLE,2,FALSE)</f>
        <v xml:space="preserve">  </v>
      </c>
      <c r="AF123" s="68">
        <v>1</v>
      </c>
      <c r="AG123" s="69" t="e">
        <f>AE123*AF123</f>
        <v>#VALUE!</v>
      </c>
      <c r="AH123" s="496" t="s">
        <v>97</v>
      </c>
      <c r="AI123" s="496"/>
      <c r="AJ123" s="496" t="s">
        <v>98</v>
      </c>
      <c r="AK123" s="496"/>
      <c r="AL123" s="494" t="s">
        <v>99</v>
      </c>
      <c r="AM123" s="494"/>
      <c r="AP123" s="86" t="s">
        <v>112</v>
      </c>
      <c r="AQ123" s="89" t="s">
        <v>113</v>
      </c>
      <c r="AR123" s="89" t="s">
        <v>114</v>
      </c>
      <c r="AS123" s="89" t="s">
        <v>115</v>
      </c>
      <c r="AU123" s="81"/>
    </row>
    <row r="124" spans="1:47" x14ac:dyDescent="0.25">
      <c r="A124" s="84">
        <f>A123+1</f>
        <v>19</v>
      </c>
      <c r="B124" s="84" t="str">
        <f t="shared" si="48"/>
        <v xml:space="preserve">  </v>
      </c>
      <c r="C124" s="88" t="str">
        <f t="shared" ref="C124" si="60">B125</f>
        <v xml:space="preserve">  </v>
      </c>
      <c r="D124" s="82" t="str">
        <f>VLOOKUP(C124,STN_TABLE,2,FALSE)</f>
        <v xml:space="preserve">  </v>
      </c>
      <c r="E124" s="92">
        <v>1</v>
      </c>
      <c r="F124" s="82" t="e">
        <f>D124*E124</f>
        <v>#VALUE!</v>
      </c>
      <c r="G124" s="83" t="str">
        <f>C124</f>
        <v xml:space="preserve">  </v>
      </c>
      <c r="H124" s="83" t="e">
        <f>F124*G124</f>
        <v>#VALUE!</v>
      </c>
      <c r="I124" s="84" t="str">
        <f>CONCATENATE("a'(",C124,")=")</f>
        <v>a'(  )=</v>
      </c>
      <c r="J124" s="84" t="e">
        <f>2*J122/3*F125</f>
        <v>#VALUE!</v>
      </c>
      <c r="K124" s="84" t="e">
        <f>CONCATENATE("A(",C122,")=")</f>
        <v>#VALUE!</v>
      </c>
      <c r="L124" s="84" t="e">
        <f>VLOOKUP(C122,STN_TABLE,3,FALSE)</f>
        <v>#VALUE!</v>
      </c>
      <c r="M124" t="str">
        <f>CONCATENATE("A(",C124,")=")</f>
        <v>A(  )=</v>
      </c>
      <c r="N124" t="e">
        <f>J124+L124</f>
        <v>#VALUE!</v>
      </c>
      <c r="O124" s="99">
        <f>O123+1</f>
        <v>21</v>
      </c>
      <c r="P124" s="99" t="str">
        <f t="shared" si="44"/>
        <v xml:space="preserve">  </v>
      </c>
      <c r="Q124" s="82" t="e">
        <f>IF(P124-P123=P123-P122,P124,IF(P125-P123=P123-P122,P125,IF(P124-P123=P123-P121,P124,IF(P125-P123=P123-P121,P125,"-"))))</f>
        <v>#VALUE!</v>
      </c>
      <c r="R124" s="83" t="e">
        <f>VLOOKUP(Q124,STN_TABLE,2,FALSE)</f>
        <v>#VALUE!</v>
      </c>
      <c r="S124" s="83">
        <v>-1</v>
      </c>
      <c r="T124" s="82" t="e">
        <f>R124*S124</f>
        <v>#VALUE!</v>
      </c>
      <c r="U124" s="88">
        <v>-1</v>
      </c>
      <c r="V124" s="82" t="e">
        <f>R124*U124</f>
        <v>#VALUE!</v>
      </c>
      <c r="W124" s="84" t="str">
        <f>CONCATENATE("a'(",Q123,")=")</f>
        <v>a'(  )=</v>
      </c>
      <c r="X124" s="84" t="e">
        <f>2*X122/12*T125</f>
        <v>#VALUE!</v>
      </c>
      <c r="Y124" s="84" t="e">
        <f>CONCATENATE("A(",Q122,")=")</f>
        <v>#VALUE!</v>
      </c>
      <c r="Z124" s="84" t="e">
        <f>VLOOKUP(Q122,STN_TABLE,3,FALSE)</f>
        <v>#VALUE!</v>
      </c>
      <c r="AA124" t="str">
        <f>CONCATENATE("A(",Q123,")=")</f>
        <v>A(  )=</v>
      </c>
      <c r="AB124" t="e">
        <f>X124+Z124</f>
        <v>#VALUE!</v>
      </c>
      <c r="AC124" s="99">
        <f>AC123+1</f>
        <v>20</v>
      </c>
      <c r="AD124" s="100" t="str">
        <f>VLOOKUP(AC124,STN_TABLE_2,2,FALSE)</f>
        <v xml:space="preserve">  </v>
      </c>
      <c r="AE124" s="82" t="str">
        <f>VLOOKUP(AD124,STN_TABLE,2,FALSE)</f>
        <v xml:space="preserve">  </v>
      </c>
      <c r="AF124" s="82">
        <v>2</v>
      </c>
      <c r="AG124" s="83" t="e">
        <f>AE124*AF124</f>
        <v>#VALUE!</v>
      </c>
      <c r="AH124" s="84" t="str">
        <f>CONCATENATE("a'(",AD124,")=")</f>
        <v>a'(  )=</v>
      </c>
      <c r="AI124" s="84" t="e">
        <f>2*AI122/2*AE125</f>
        <v>#VALUE!</v>
      </c>
      <c r="AJ124" s="84" t="str">
        <f>CONCATENATE("A(",AD123,")=")</f>
        <v>A(  )=</v>
      </c>
      <c r="AK124" s="84" t="str">
        <f>VLOOKUP(AD123,STN_TABLE,3,FALSE)</f>
        <v xml:space="preserve"> </v>
      </c>
      <c r="AL124" t="str">
        <f>CONCATENATE("A(",AD124,")=")</f>
        <v>A(  )=</v>
      </c>
      <c r="AM124" t="e">
        <f>AI124+AK124</f>
        <v>#VALUE!</v>
      </c>
      <c r="AO124" s="68" t="str">
        <f>AA124</f>
        <v>A(  )=</v>
      </c>
      <c r="AP124" s="68" t="e">
        <f>VLOOKUP(AO124,Rise_Results,2,FALSE)</f>
        <v>#N/A</v>
      </c>
      <c r="AQ124" s="76" t="e">
        <f>N124</f>
        <v>#VALUE!</v>
      </c>
      <c r="AR124" s="76" t="e">
        <f>IF(OR(AB124&lt;=0,AB125&lt;=0),1/0,AB124)</f>
        <v>#VALUE!</v>
      </c>
      <c r="AS124" s="76" t="e">
        <f>AM124</f>
        <v>#VALUE!</v>
      </c>
      <c r="AT124" t="e">
        <f>IFERROR(AP124,IFERROR(AQ124,IFERROR(AR124,AS124)))</f>
        <v>#VALUE!</v>
      </c>
      <c r="AU124" s="81"/>
    </row>
    <row r="125" spans="1:47" x14ac:dyDescent="0.25">
      <c r="A125" s="84">
        <f>A124+1</f>
        <v>20</v>
      </c>
      <c r="B125" s="84" t="str">
        <f t="shared" si="48"/>
        <v xml:space="preserve">  </v>
      </c>
      <c r="F125" s="82" t="e">
        <f>SUM(F122:F124)</f>
        <v>#VALUE!</v>
      </c>
      <c r="H125" s="82" t="e">
        <f>SUM(H122:H124)</f>
        <v>#VALUE!</v>
      </c>
      <c r="I125" s="84" t="str">
        <f>CONCATENATE("m'(",C124,")=")</f>
        <v>m'(  )=</v>
      </c>
      <c r="J125" s="84" t="e">
        <f>2*(J122*(WLS))/3*H125</f>
        <v>#VALUE!</v>
      </c>
      <c r="K125" s="84" t="e">
        <f>CONCATENATE("M(",C122,")=")</f>
        <v>#VALUE!</v>
      </c>
      <c r="L125" s="84" t="e">
        <f>VLOOKUP(C122,STN_TABLE,4,FALSE)</f>
        <v>#VALUE!</v>
      </c>
      <c r="M125" t="str">
        <f>CONCATENATE("M(",C124,")=")</f>
        <v>M(  )=</v>
      </c>
      <c r="N125" t="e">
        <f>J125+L125</f>
        <v>#VALUE!</v>
      </c>
      <c r="O125" s="99">
        <f>O124+1</f>
        <v>22</v>
      </c>
      <c r="P125" s="99" t="str">
        <f t="shared" si="44"/>
        <v xml:space="preserve">  </v>
      </c>
      <c r="T125" s="89" t="e">
        <f>SUM(T122:T124)</f>
        <v>#VALUE!</v>
      </c>
      <c r="V125" s="82" t="e">
        <f>SUM(V122:V124)</f>
        <v>#VALUE!</v>
      </c>
      <c r="W125" s="84" t="str">
        <f>CONCATENATE("m'(",Q123,")=")</f>
        <v>m'(  )=</v>
      </c>
      <c r="X125" s="84" t="e">
        <f>(2*(X122^2)/24*V125)+(X124*Q122*WLS)</f>
        <v>#VALUE!</v>
      </c>
      <c r="Y125" s="84" t="e">
        <f>CONCATENATE("M(",Q122,")=")</f>
        <v>#VALUE!</v>
      </c>
      <c r="Z125" s="84" t="e">
        <f>VLOOKUP(Q122,STN_TABLE,4,FALSE)</f>
        <v>#VALUE!</v>
      </c>
      <c r="AA125" t="str">
        <f>CONCATENATE("M(",Q123,")=")</f>
        <v>M(  )=</v>
      </c>
      <c r="AB125" t="e">
        <f>X125+Z125</f>
        <v>#VALUE!</v>
      </c>
      <c r="AE125" s="89">
        <f>SUM(AE123:AE124)</f>
        <v>0</v>
      </c>
      <c r="AG125" s="89" t="e">
        <f>SUM(AG123:AG124)</f>
        <v>#VALUE!</v>
      </c>
      <c r="AH125" s="84" t="str">
        <f>CONCATENATE("m'(",AD124,")=")</f>
        <v>m'(  )=</v>
      </c>
      <c r="AI125" s="84" t="e">
        <f>(2*(AI122^2)/6*AG125)+(AI124*AD123*WLS)</f>
        <v>#VALUE!</v>
      </c>
      <c r="AJ125" s="84" t="str">
        <f>CONCATENATE("M(",AD123,")=")</f>
        <v>M(  )=</v>
      </c>
      <c r="AK125" s="84" t="str">
        <f>VLOOKUP(AD123,STN_TABLE,4,FALSE)</f>
        <v xml:space="preserve"> </v>
      </c>
      <c r="AL125" t="str">
        <f>CONCATENATE("M(",AD124,")=")</f>
        <v>M(  )=</v>
      </c>
      <c r="AM125" t="e">
        <f>AI125+AK125</f>
        <v>#VALUE!</v>
      </c>
      <c r="AO125" s="82" t="str">
        <f>AA125</f>
        <v>M(  )=</v>
      </c>
      <c r="AP125" s="82" t="e">
        <f>VLOOKUP(AO125,Rise_Results,2,FALSE)</f>
        <v>#N/A</v>
      </c>
      <c r="AQ125" s="82" t="e">
        <f>N125</f>
        <v>#VALUE!</v>
      </c>
      <c r="AR125" s="82" t="e">
        <f>IF(OR(AB124&lt;=0,AB125&lt;=0),1/0,AB125)</f>
        <v>#VALUE!</v>
      </c>
      <c r="AS125" s="82" t="e">
        <f>AM125</f>
        <v>#VALUE!</v>
      </c>
      <c r="AT125" t="e">
        <f>IFERROR(AP125,IFERROR(AQ125,IFERROR(AR125,AS125)))</f>
        <v>#VALUE!</v>
      </c>
      <c r="AU125" s="81"/>
    </row>
    <row r="126" spans="1:47" x14ac:dyDescent="0.25">
      <c r="A126" s="101">
        <f>A121+1</f>
        <v>17</v>
      </c>
      <c r="B126" s="101" t="str">
        <f t="shared" si="48"/>
        <v xml:space="preserve">  </v>
      </c>
      <c r="O126" s="101">
        <f>O121+1</f>
        <v>19</v>
      </c>
      <c r="P126" s="101" t="str">
        <f t="shared" si="44"/>
        <v xml:space="preserve">  </v>
      </c>
      <c r="AU126" s="81"/>
    </row>
    <row r="127" spans="1:47" x14ac:dyDescent="0.25">
      <c r="A127" s="84">
        <f>A126+1</f>
        <v>18</v>
      </c>
      <c r="B127" s="84" t="str">
        <f t="shared" si="48"/>
        <v xml:space="preserve">  </v>
      </c>
      <c r="C127" s="79" t="e">
        <f t="shared" ref="C127" si="61">IF(C128=B129,IF(C129-C128=C128-B128,B128,IF(C129-C128=C128-B127,B127,"#NA")),IF(C128=B128,IF(C129-C128=C128-B127,B127,IF(C129-C128=C128-B126,B126,"#NA")),"#NA"))</f>
        <v>#VALUE!</v>
      </c>
      <c r="D127" s="68" t="e">
        <f>VLOOKUP(C127,STN_TABLE,2,FALSE)</f>
        <v>#VALUE!</v>
      </c>
      <c r="E127" s="102">
        <v>1</v>
      </c>
      <c r="F127" s="68" t="e">
        <f>D127*E127</f>
        <v>#VALUE!</v>
      </c>
      <c r="G127" s="69" t="e">
        <f>C127</f>
        <v>#VALUE!</v>
      </c>
      <c r="H127" s="69" t="e">
        <f>F127*G127</f>
        <v>#VALUE!</v>
      </c>
      <c r="I127" s="6" t="s">
        <v>93</v>
      </c>
      <c r="J127" s="70" t="e">
        <f>IF(OR(D127=0,D128=0,D129=0),"#NA",IF(AND(C129-C128=C128-C127,C128&lt;&gt;C129,C127&lt;&gt;C128,C127&lt;&gt;C129,D129&lt;&gt;0,OR(D127&lt;&gt;0,D128&lt;&gt;0)),WLS*(C129-C128),"#NA"))</f>
        <v>#VALUE!</v>
      </c>
      <c r="O127" s="99">
        <f>O126+1</f>
        <v>20</v>
      </c>
      <c r="P127" s="99" t="str">
        <f t="shared" si="44"/>
        <v xml:space="preserve">  </v>
      </c>
      <c r="Q127" s="68" t="e">
        <f>IF(OR(P129-P128=P128-P127,P130-P128=P128-P127),P127,IF(OR(P129-P128=P128-P126,P130-P128=P128-P126),P126,"-"))</f>
        <v>#VALUE!</v>
      </c>
      <c r="R127" s="69" t="e">
        <f>VLOOKUP(Q127,STN_TABLE,2,FALSE)</f>
        <v>#VALUE!</v>
      </c>
      <c r="S127" s="69">
        <v>5</v>
      </c>
      <c r="T127" s="68" t="e">
        <f>R127*S127</f>
        <v>#VALUE!</v>
      </c>
      <c r="U127" s="79">
        <v>3</v>
      </c>
      <c r="V127" s="68" t="e">
        <f>R127*U127</f>
        <v>#VALUE!</v>
      </c>
      <c r="W127" s="6" t="s">
        <v>93</v>
      </c>
      <c r="X127" s="70" t="e">
        <f>IF(AND(Q129-Q128=Q128-Q127,NOT(AND(Q127=0,Q128=0)),NOT(AND(Q128=0,Q129=0))),WLS*(Q129-Q128),"#NA")</f>
        <v>#VALUE!</v>
      </c>
      <c r="AD127" s="93"/>
      <c r="AH127" s="6" t="s">
        <v>93</v>
      </c>
      <c r="AI127" s="70" t="e">
        <f>WLS*(AD129-AD128)</f>
        <v>#VALUE!</v>
      </c>
      <c r="AU127" s="81"/>
    </row>
    <row r="128" spans="1:47" x14ac:dyDescent="0.25">
      <c r="A128" s="84">
        <f>A127+1</f>
        <v>19</v>
      </c>
      <c r="B128" s="84" t="str">
        <f t="shared" si="48"/>
        <v xml:space="preserve">  </v>
      </c>
      <c r="C128" s="80" t="e">
        <f t="shared" ref="C128" si="62">IF(OR(B130-B129=B129-B128,B130-B129=B129-B127,B130-B129=B129-B126),B129,IF(OR(B130-B128=B128-B127,B130-B128=B128-B126),B128,IF(B130-B127=B127-B126,B127,"#NA")))</f>
        <v>#VALUE!</v>
      </c>
      <c r="D128" s="76" t="e">
        <f>VLOOKUP(C128,STN_TABLE,2,FALSE)</f>
        <v>#VALUE!</v>
      </c>
      <c r="E128" s="81">
        <v>4</v>
      </c>
      <c r="F128" s="76" t="e">
        <f>D128*E128</f>
        <v>#VALUE!</v>
      </c>
      <c r="G128" s="77" t="e">
        <f>C128</f>
        <v>#VALUE!</v>
      </c>
      <c r="H128" s="77" t="e">
        <f>F128*G128</f>
        <v>#VALUE!</v>
      </c>
      <c r="I128" s="495" t="s">
        <v>97</v>
      </c>
      <c r="J128" s="496"/>
      <c r="K128" s="78" t="s">
        <v>98</v>
      </c>
      <c r="L128" s="78"/>
      <c r="M128" s="7" t="s">
        <v>99</v>
      </c>
      <c r="N128" s="7"/>
      <c r="O128" s="99">
        <f>O127+1</f>
        <v>21</v>
      </c>
      <c r="P128" s="99" t="str">
        <f t="shared" si="44"/>
        <v xml:space="preserve">  </v>
      </c>
      <c r="Q128" s="76" t="str">
        <f>P128</f>
        <v xml:space="preserve">  </v>
      </c>
      <c r="R128" s="77" t="str">
        <f>VLOOKUP(Q128,STN_TABLE,2,FALSE)</f>
        <v xml:space="preserve">  </v>
      </c>
      <c r="S128" s="77">
        <v>8</v>
      </c>
      <c r="T128" s="76" t="e">
        <f>R128*S128</f>
        <v>#VALUE!</v>
      </c>
      <c r="U128" s="80">
        <v>10</v>
      </c>
      <c r="V128" s="76" t="e">
        <f>R128*U128</f>
        <v>#VALUE!</v>
      </c>
      <c r="W128" s="496" t="s">
        <v>97</v>
      </c>
      <c r="X128" s="496"/>
      <c r="Y128" s="496" t="s">
        <v>98</v>
      </c>
      <c r="Z128" s="496"/>
      <c r="AA128" s="494" t="s">
        <v>99</v>
      </c>
      <c r="AB128" s="494"/>
      <c r="AC128" s="99">
        <f>AC123+1</f>
        <v>20</v>
      </c>
      <c r="AD128" s="95" t="str">
        <f>VLOOKUP(AC128,STN_TABLE_2,2,FALSE)</f>
        <v xml:space="preserve">  </v>
      </c>
      <c r="AE128" s="68" t="str">
        <f>VLOOKUP(AD128,STN_TABLE,2,FALSE)</f>
        <v xml:space="preserve">  </v>
      </c>
      <c r="AF128" s="68">
        <v>1</v>
      </c>
      <c r="AG128" s="69" t="e">
        <f>AE128*AF128</f>
        <v>#VALUE!</v>
      </c>
      <c r="AH128" s="496" t="s">
        <v>97</v>
      </c>
      <c r="AI128" s="496"/>
      <c r="AJ128" s="496" t="s">
        <v>98</v>
      </c>
      <c r="AK128" s="496"/>
      <c r="AL128" s="494" t="s">
        <v>99</v>
      </c>
      <c r="AM128" s="494"/>
      <c r="AP128" s="86" t="s">
        <v>112</v>
      </c>
      <c r="AQ128" s="89" t="s">
        <v>113</v>
      </c>
      <c r="AR128" s="89" t="s">
        <v>114</v>
      </c>
      <c r="AS128" s="89" t="s">
        <v>115</v>
      </c>
      <c r="AU128" s="81"/>
    </row>
    <row r="129" spans="1:47" x14ac:dyDescent="0.25">
      <c r="A129" s="84">
        <f>A128+1</f>
        <v>20</v>
      </c>
      <c r="B129" s="84" t="str">
        <f t="shared" si="48"/>
        <v xml:space="preserve">  </v>
      </c>
      <c r="C129" s="88" t="str">
        <f t="shared" ref="C129" si="63">B130</f>
        <v xml:space="preserve">  </v>
      </c>
      <c r="D129" s="82" t="str">
        <f>VLOOKUP(C129,STN_TABLE,2,FALSE)</f>
        <v xml:space="preserve">  </v>
      </c>
      <c r="E129" s="92">
        <v>1</v>
      </c>
      <c r="F129" s="82" t="e">
        <f>D129*E129</f>
        <v>#VALUE!</v>
      </c>
      <c r="G129" s="83" t="str">
        <f>C129</f>
        <v xml:space="preserve">  </v>
      </c>
      <c r="H129" s="83" t="e">
        <f>F129*G129</f>
        <v>#VALUE!</v>
      </c>
      <c r="I129" s="84" t="str">
        <f>CONCATENATE("a'(",C129,")=")</f>
        <v>a'(  )=</v>
      </c>
      <c r="J129" s="84" t="e">
        <f>2*J127/3*F130</f>
        <v>#VALUE!</v>
      </c>
      <c r="K129" s="84" t="e">
        <f>CONCATENATE("A(",C127,")=")</f>
        <v>#VALUE!</v>
      </c>
      <c r="L129" s="84" t="e">
        <f>VLOOKUP(C127,STN_TABLE,3,FALSE)</f>
        <v>#VALUE!</v>
      </c>
      <c r="M129" t="str">
        <f>CONCATENATE("A(",C129,")=")</f>
        <v>A(  )=</v>
      </c>
      <c r="N129" t="e">
        <f>J129+L129</f>
        <v>#VALUE!</v>
      </c>
      <c r="O129" s="99">
        <f>O128+1</f>
        <v>22</v>
      </c>
      <c r="P129" s="99" t="str">
        <f t="shared" si="44"/>
        <v xml:space="preserve">  </v>
      </c>
      <c r="Q129" s="82" t="e">
        <f>IF(P129-P128=P128-P127,P129,IF(P130-P128=P128-P127,P130,IF(P129-P128=P128-P126,P129,IF(P130-P128=P128-P126,P130,"-"))))</f>
        <v>#VALUE!</v>
      </c>
      <c r="R129" s="83" t="e">
        <f>VLOOKUP(Q129,STN_TABLE,2,FALSE)</f>
        <v>#VALUE!</v>
      </c>
      <c r="S129" s="83">
        <v>-1</v>
      </c>
      <c r="T129" s="82" t="e">
        <f>R129*S129</f>
        <v>#VALUE!</v>
      </c>
      <c r="U129" s="88">
        <v>-1</v>
      </c>
      <c r="V129" s="82" t="e">
        <f>R129*U129</f>
        <v>#VALUE!</v>
      </c>
      <c r="W129" s="84" t="str">
        <f>CONCATENATE("a'(",Q128,")=")</f>
        <v>a'(  )=</v>
      </c>
      <c r="X129" s="84" t="e">
        <f>2*X127/12*T130</f>
        <v>#VALUE!</v>
      </c>
      <c r="Y129" s="84" t="e">
        <f>CONCATENATE("A(",Q127,")=")</f>
        <v>#VALUE!</v>
      </c>
      <c r="Z129" s="84" t="e">
        <f>VLOOKUP(Q127,STN_TABLE,3,FALSE)</f>
        <v>#VALUE!</v>
      </c>
      <c r="AA129" t="str">
        <f>CONCATENATE("A(",Q128,")=")</f>
        <v>A(  )=</v>
      </c>
      <c r="AB129" t="e">
        <f>X129+Z129</f>
        <v>#VALUE!</v>
      </c>
      <c r="AC129" s="99">
        <f>AC128+1</f>
        <v>21</v>
      </c>
      <c r="AD129" s="100" t="str">
        <f>VLOOKUP(AC129,STN_TABLE_2,2,FALSE)</f>
        <v xml:space="preserve">  </v>
      </c>
      <c r="AE129" s="82" t="str">
        <f>VLOOKUP(AD129,STN_TABLE,2,FALSE)</f>
        <v xml:space="preserve">  </v>
      </c>
      <c r="AF129" s="82">
        <v>2</v>
      </c>
      <c r="AG129" s="83" t="e">
        <f>AE129*AF129</f>
        <v>#VALUE!</v>
      </c>
      <c r="AH129" s="84" t="str">
        <f>CONCATENATE("a'(",AD129,")=")</f>
        <v>a'(  )=</v>
      </c>
      <c r="AI129" s="84" t="e">
        <f>2*AI127/2*AE130</f>
        <v>#VALUE!</v>
      </c>
      <c r="AJ129" s="84" t="str">
        <f>CONCATENATE("A(",AD128,")=")</f>
        <v>A(  )=</v>
      </c>
      <c r="AK129" s="84" t="str">
        <f>VLOOKUP(AD128,STN_TABLE,3,FALSE)</f>
        <v xml:space="preserve"> </v>
      </c>
      <c r="AL129" t="str">
        <f>CONCATENATE("A(",AD129,")=")</f>
        <v>A(  )=</v>
      </c>
      <c r="AM129" t="e">
        <f>AI129+AK129</f>
        <v>#VALUE!</v>
      </c>
      <c r="AO129" s="68" t="str">
        <f>AA129</f>
        <v>A(  )=</v>
      </c>
      <c r="AP129" s="68" t="e">
        <f>VLOOKUP(AO129,Rise_Results,2,FALSE)</f>
        <v>#N/A</v>
      </c>
      <c r="AQ129" s="76" t="e">
        <f>N129</f>
        <v>#VALUE!</v>
      </c>
      <c r="AR129" s="76" t="e">
        <f>IF(OR(AB129&lt;=0,AB130&lt;=0),1/0,AB129)</f>
        <v>#VALUE!</v>
      </c>
      <c r="AS129" s="76" t="e">
        <f>AM129</f>
        <v>#VALUE!</v>
      </c>
      <c r="AT129" t="e">
        <f>IFERROR(AP129,IFERROR(AQ129,IFERROR(AR129,AS129)))</f>
        <v>#VALUE!</v>
      </c>
      <c r="AU129" s="81"/>
    </row>
    <row r="130" spans="1:47" x14ac:dyDescent="0.25">
      <c r="A130" s="84">
        <f>A129+1</f>
        <v>21</v>
      </c>
      <c r="B130" s="84" t="str">
        <f t="shared" si="48"/>
        <v xml:space="preserve">  </v>
      </c>
      <c r="F130" s="82" t="e">
        <f>SUM(F127:F129)</f>
        <v>#VALUE!</v>
      </c>
      <c r="H130" s="82" t="e">
        <f>SUM(H127:H129)</f>
        <v>#VALUE!</v>
      </c>
      <c r="I130" s="84" t="str">
        <f>CONCATENATE("m'(",C129,")=")</f>
        <v>m'(  )=</v>
      </c>
      <c r="J130" s="84" t="e">
        <f>2*(J127*(WLS))/3*H130</f>
        <v>#VALUE!</v>
      </c>
      <c r="K130" s="84" t="e">
        <f>CONCATENATE("M(",C127,")=")</f>
        <v>#VALUE!</v>
      </c>
      <c r="L130" s="84" t="e">
        <f>VLOOKUP(C127,STN_TABLE,4,FALSE)</f>
        <v>#VALUE!</v>
      </c>
      <c r="M130" t="str">
        <f>CONCATENATE("M(",C129,")=")</f>
        <v>M(  )=</v>
      </c>
      <c r="N130" t="e">
        <f>J130+L130</f>
        <v>#VALUE!</v>
      </c>
      <c r="O130" s="99">
        <f>O129+1</f>
        <v>23</v>
      </c>
      <c r="P130" s="99" t="str">
        <f t="shared" si="44"/>
        <v xml:space="preserve">  </v>
      </c>
      <c r="T130" s="89" t="e">
        <f>SUM(T127:T129)</f>
        <v>#VALUE!</v>
      </c>
      <c r="V130" s="82" t="e">
        <f>SUM(V127:V129)</f>
        <v>#VALUE!</v>
      </c>
      <c r="W130" s="84" t="str">
        <f>CONCATENATE("m'(",Q128,")=")</f>
        <v>m'(  )=</v>
      </c>
      <c r="X130" s="84" t="e">
        <f>(2*(X127^2)/24*V130)+(X129*Q127*WLS)</f>
        <v>#VALUE!</v>
      </c>
      <c r="Y130" s="84" t="e">
        <f>CONCATENATE("M(",Q127,")=")</f>
        <v>#VALUE!</v>
      </c>
      <c r="Z130" s="84" t="e">
        <f>VLOOKUP(Q127,STN_TABLE,4,FALSE)</f>
        <v>#VALUE!</v>
      </c>
      <c r="AA130" t="str">
        <f>CONCATENATE("M(",Q128,")=")</f>
        <v>M(  )=</v>
      </c>
      <c r="AB130" t="e">
        <f>X130+Z130</f>
        <v>#VALUE!</v>
      </c>
      <c r="AE130" s="89">
        <f>SUM(AE128:AE129)</f>
        <v>0</v>
      </c>
      <c r="AG130" s="89" t="e">
        <f>SUM(AG128:AG129)</f>
        <v>#VALUE!</v>
      </c>
      <c r="AH130" s="84" t="str">
        <f>CONCATENATE("m'(",AD129,")=")</f>
        <v>m'(  )=</v>
      </c>
      <c r="AI130" s="84" t="e">
        <f>(2*(AI127^2)/6*AG130)+(AI129*AD128*WLS)</f>
        <v>#VALUE!</v>
      </c>
      <c r="AJ130" s="84" t="str">
        <f>CONCATENATE("M(",AD128,")=")</f>
        <v>M(  )=</v>
      </c>
      <c r="AK130" s="84" t="str">
        <f>VLOOKUP(AD128,STN_TABLE,4,FALSE)</f>
        <v xml:space="preserve"> </v>
      </c>
      <c r="AL130" t="str">
        <f>CONCATENATE("M(",AD129,")=")</f>
        <v>M(  )=</v>
      </c>
      <c r="AM130" t="e">
        <f>AI130+AK130</f>
        <v>#VALUE!</v>
      </c>
      <c r="AO130" s="82" t="str">
        <f>AA130</f>
        <v>M(  )=</v>
      </c>
      <c r="AP130" s="82" t="e">
        <f>VLOOKUP(AO130,Rise_Results,2,FALSE)</f>
        <v>#N/A</v>
      </c>
      <c r="AQ130" s="82" t="e">
        <f>N130</f>
        <v>#VALUE!</v>
      </c>
      <c r="AR130" s="82" t="e">
        <f>IF(OR(AB129&lt;=0,AB130&lt;=0),1/0,AB130)</f>
        <v>#VALUE!</v>
      </c>
      <c r="AS130" s="82" t="e">
        <f>AM130</f>
        <v>#VALUE!</v>
      </c>
      <c r="AT130" t="e">
        <f>IFERROR(AP130,IFERROR(AQ130,IFERROR(AR130,AS130)))</f>
        <v>#VALUE!</v>
      </c>
      <c r="AU130" s="81"/>
    </row>
    <row r="131" spans="1:47" x14ac:dyDescent="0.25">
      <c r="A131" s="101">
        <f>A126+1</f>
        <v>18</v>
      </c>
      <c r="B131" s="101" t="str">
        <f t="shared" si="48"/>
        <v xml:space="preserve">  </v>
      </c>
      <c r="O131" s="101">
        <f>O126+1</f>
        <v>20</v>
      </c>
      <c r="P131" s="101" t="str">
        <f t="shared" si="44"/>
        <v xml:space="preserve">  </v>
      </c>
      <c r="AU131" s="81"/>
    </row>
    <row r="132" spans="1:47" x14ac:dyDescent="0.25">
      <c r="A132" s="84">
        <f>A131+1</f>
        <v>19</v>
      </c>
      <c r="B132" s="84" t="str">
        <f t="shared" si="48"/>
        <v xml:space="preserve">  </v>
      </c>
      <c r="C132" s="79" t="e">
        <f t="shared" ref="C132" si="64">IF(C133=B134,IF(C134-C133=C133-B133,B133,IF(C134-C133=C133-B132,B132,"#NA")),IF(C133=B133,IF(C134-C133=C133-B132,B132,IF(C134-C133=C133-B131,B131,"#NA")),"#NA"))</f>
        <v>#VALUE!</v>
      </c>
      <c r="D132" s="68" t="e">
        <f>VLOOKUP(C132,STN_TABLE,2,FALSE)</f>
        <v>#VALUE!</v>
      </c>
      <c r="E132" s="102">
        <v>1</v>
      </c>
      <c r="F132" s="68" t="e">
        <f>D132*E132</f>
        <v>#VALUE!</v>
      </c>
      <c r="G132" s="69" t="e">
        <f>C132</f>
        <v>#VALUE!</v>
      </c>
      <c r="H132" s="69" t="e">
        <f>F132*G132</f>
        <v>#VALUE!</v>
      </c>
      <c r="I132" s="6" t="s">
        <v>93</v>
      </c>
      <c r="J132" s="70" t="e">
        <f>IF(OR(D132=0,D133=0,D134=0),"#NA",IF(AND(C134-C133=C133-C132,C133&lt;&gt;C134,C132&lt;&gt;C133,C132&lt;&gt;C134,D134&lt;&gt;0,OR(D132&lt;&gt;0,D133&lt;&gt;0)),WLS*(C134-C133),"#NA"))</f>
        <v>#VALUE!</v>
      </c>
      <c r="O132" s="99">
        <f>O131+1</f>
        <v>21</v>
      </c>
      <c r="P132" s="99" t="str">
        <f t="shared" ref="P132:P150" si="65">VLOOKUP(O132,STN_TABLE_2,2,FALSE)</f>
        <v xml:space="preserve">  </v>
      </c>
      <c r="Q132" s="68" t="e">
        <f>IF(OR(P134-P133=P133-P132,P135-P133=P133-P132),P132,IF(OR(P134-P133=P133-P131,P135-P133=P133-P131),P131,"-"))</f>
        <v>#VALUE!</v>
      </c>
      <c r="R132" s="69" t="e">
        <f>VLOOKUP(Q132,STN_TABLE,2,FALSE)</f>
        <v>#VALUE!</v>
      </c>
      <c r="S132" s="69">
        <v>5</v>
      </c>
      <c r="T132" s="68" t="e">
        <f>R132*S132</f>
        <v>#VALUE!</v>
      </c>
      <c r="U132" s="79">
        <v>3</v>
      </c>
      <c r="V132" s="68" t="e">
        <f>R132*U132</f>
        <v>#VALUE!</v>
      </c>
      <c r="W132" s="6" t="s">
        <v>93</v>
      </c>
      <c r="X132" s="70" t="e">
        <f>IF(AND(Q134-Q133=Q133-Q132,NOT(AND(Q132=0,Q133=0)),NOT(AND(Q133=0,Q134=0))),WLS*(Q134-Q133),"#NA")</f>
        <v>#VALUE!</v>
      </c>
      <c r="AD132" s="93"/>
      <c r="AH132" s="6" t="s">
        <v>93</v>
      </c>
      <c r="AI132" s="70" t="e">
        <f>WLS*(AD134-AD133)</f>
        <v>#VALUE!</v>
      </c>
      <c r="AU132" s="81"/>
    </row>
    <row r="133" spans="1:47" x14ac:dyDescent="0.25">
      <c r="A133" s="84">
        <f>A132+1</f>
        <v>20</v>
      </c>
      <c r="B133" s="84" t="str">
        <f t="shared" si="48"/>
        <v xml:space="preserve">  </v>
      </c>
      <c r="C133" s="80" t="e">
        <f t="shared" ref="C133" si="66">IF(OR(B135-B134=B134-B133,B135-B134=B134-B132,B135-B134=B134-B131),B134,IF(OR(B135-B133=B133-B132,B135-B133=B133-B131),B133,IF(B135-B132=B132-B131,B132,"#NA")))</f>
        <v>#VALUE!</v>
      </c>
      <c r="D133" s="76" t="e">
        <f>VLOOKUP(C133,STN_TABLE,2,FALSE)</f>
        <v>#VALUE!</v>
      </c>
      <c r="E133" s="81">
        <v>4</v>
      </c>
      <c r="F133" s="76" t="e">
        <f>D133*E133</f>
        <v>#VALUE!</v>
      </c>
      <c r="G133" s="77" t="e">
        <f>C133</f>
        <v>#VALUE!</v>
      </c>
      <c r="H133" s="77" t="e">
        <f>F133*G133</f>
        <v>#VALUE!</v>
      </c>
      <c r="I133" s="495" t="s">
        <v>97</v>
      </c>
      <c r="J133" s="496"/>
      <c r="K133" s="78" t="s">
        <v>98</v>
      </c>
      <c r="L133" s="78"/>
      <c r="M133" s="7" t="s">
        <v>99</v>
      </c>
      <c r="N133" s="7"/>
      <c r="O133" s="99">
        <f>O132+1</f>
        <v>22</v>
      </c>
      <c r="P133" s="99" t="str">
        <f t="shared" si="65"/>
        <v xml:space="preserve">  </v>
      </c>
      <c r="Q133" s="76" t="str">
        <f>P133</f>
        <v xml:space="preserve">  </v>
      </c>
      <c r="R133" s="77" t="str">
        <f>VLOOKUP(Q133,STN_TABLE,2,FALSE)</f>
        <v xml:space="preserve">  </v>
      </c>
      <c r="S133" s="77">
        <v>8</v>
      </c>
      <c r="T133" s="76" t="e">
        <f>R133*S133</f>
        <v>#VALUE!</v>
      </c>
      <c r="U133" s="80">
        <v>10</v>
      </c>
      <c r="V133" s="76" t="e">
        <f>R133*U133</f>
        <v>#VALUE!</v>
      </c>
      <c r="W133" s="496" t="s">
        <v>97</v>
      </c>
      <c r="X133" s="496"/>
      <c r="Y133" s="496" t="s">
        <v>98</v>
      </c>
      <c r="Z133" s="496"/>
      <c r="AA133" s="494" t="s">
        <v>99</v>
      </c>
      <c r="AB133" s="494"/>
      <c r="AC133" s="99">
        <f>AC128+1</f>
        <v>21</v>
      </c>
      <c r="AD133" s="95" t="str">
        <f>VLOOKUP(AC133,STN_TABLE_2,2,FALSE)</f>
        <v xml:space="preserve">  </v>
      </c>
      <c r="AE133" s="68" t="str">
        <f>VLOOKUP(AD133,STN_TABLE,2,FALSE)</f>
        <v xml:space="preserve">  </v>
      </c>
      <c r="AF133" s="68">
        <v>1</v>
      </c>
      <c r="AG133" s="69" t="e">
        <f>AE133*AF133</f>
        <v>#VALUE!</v>
      </c>
      <c r="AH133" s="496" t="s">
        <v>97</v>
      </c>
      <c r="AI133" s="496"/>
      <c r="AJ133" s="496" t="s">
        <v>98</v>
      </c>
      <c r="AK133" s="496"/>
      <c r="AL133" s="494" t="s">
        <v>99</v>
      </c>
      <c r="AM133" s="494"/>
      <c r="AP133" s="86" t="s">
        <v>112</v>
      </c>
      <c r="AQ133" s="89" t="s">
        <v>113</v>
      </c>
      <c r="AR133" s="89" t="s">
        <v>114</v>
      </c>
      <c r="AS133" s="89" t="s">
        <v>115</v>
      </c>
      <c r="AU133" s="81"/>
    </row>
    <row r="134" spans="1:47" x14ac:dyDescent="0.25">
      <c r="A134" s="84">
        <f>A133+1</f>
        <v>21</v>
      </c>
      <c r="B134" s="84" t="str">
        <f t="shared" si="48"/>
        <v xml:space="preserve">  </v>
      </c>
      <c r="C134" s="88" t="str">
        <f t="shared" ref="C134" si="67">B135</f>
        <v xml:space="preserve">  </v>
      </c>
      <c r="D134" s="82" t="str">
        <f>VLOOKUP(C134,STN_TABLE,2,FALSE)</f>
        <v xml:space="preserve">  </v>
      </c>
      <c r="E134" s="92">
        <v>1</v>
      </c>
      <c r="F134" s="82" t="e">
        <f>D134*E134</f>
        <v>#VALUE!</v>
      </c>
      <c r="G134" s="83" t="str">
        <f>C134</f>
        <v xml:space="preserve">  </v>
      </c>
      <c r="H134" s="83" t="e">
        <f>F134*G134</f>
        <v>#VALUE!</v>
      </c>
      <c r="I134" s="84" t="str">
        <f>CONCATENATE("a'(",C134,")=")</f>
        <v>a'(  )=</v>
      </c>
      <c r="J134" s="84" t="e">
        <f>2*J132/3*F135</f>
        <v>#VALUE!</v>
      </c>
      <c r="K134" s="84" t="e">
        <f>CONCATENATE("A(",C132,")=")</f>
        <v>#VALUE!</v>
      </c>
      <c r="L134" s="84" t="e">
        <f>VLOOKUP(C132,STN_TABLE,3,FALSE)</f>
        <v>#VALUE!</v>
      </c>
      <c r="M134" t="str">
        <f>CONCATENATE("A(",C134,")=")</f>
        <v>A(  )=</v>
      </c>
      <c r="N134" t="e">
        <f>J134+L134</f>
        <v>#VALUE!</v>
      </c>
      <c r="O134" s="99">
        <f>O133+1</f>
        <v>23</v>
      </c>
      <c r="P134" s="99" t="str">
        <f t="shared" si="65"/>
        <v xml:space="preserve">  </v>
      </c>
      <c r="Q134" s="82" t="e">
        <f>IF(P134-P133=P133-P132,P134,IF(P135-P133=P133-P132,P135,IF(P134-P133=P133-P131,P134,IF(P135-P133=P133-P131,P135,"-"))))</f>
        <v>#VALUE!</v>
      </c>
      <c r="R134" s="83" t="e">
        <f>VLOOKUP(Q134,STN_TABLE,2,FALSE)</f>
        <v>#VALUE!</v>
      </c>
      <c r="S134" s="83">
        <v>-1</v>
      </c>
      <c r="T134" s="82" t="e">
        <f>R134*S134</f>
        <v>#VALUE!</v>
      </c>
      <c r="U134" s="88">
        <v>-1</v>
      </c>
      <c r="V134" s="82" t="e">
        <f>R134*U134</f>
        <v>#VALUE!</v>
      </c>
      <c r="W134" s="84" t="str">
        <f>CONCATENATE("a'(",Q133,")=")</f>
        <v>a'(  )=</v>
      </c>
      <c r="X134" s="84" t="e">
        <f>2*X132/12*T135</f>
        <v>#VALUE!</v>
      </c>
      <c r="Y134" s="84" t="e">
        <f>CONCATENATE("A(",Q132,")=")</f>
        <v>#VALUE!</v>
      </c>
      <c r="Z134" s="84" t="e">
        <f>VLOOKUP(Q132,STN_TABLE,3,FALSE)</f>
        <v>#VALUE!</v>
      </c>
      <c r="AA134" t="str">
        <f>CONCATENATE("A(",Q133,")=")</f>
        <v>A(  )=</v>
      </c>
      <c r="AB134" t="e">
        <f>X134+Z134</f>
        <v>#VALUE!</v>
      </c>
      <c r="AC134" s="99">
        <f>AC133+1</f>
        <v>22</v>
      </c>
      <c r="AD134" s="100" t="str">
        <f>VLOOKUP(AC134,STN_TABLE_2,2,FALSE)</f>
        <v xml:space="preserve">  </v>
      </c>
      <c r="AE134" s="82" t="str">
        <f>VLOOKUP(AD134,STN_TABLE,2,FALSE)</f>
        <v xml:space="preserve">  </v>
      </c>
      <c r="AF134" s="82">
        <v>2</v>
      </c>
      <c r="AG134" s="83" t="e">
        <f>AE134*AF134</f>
        <v>#VALUE!</v>
      </c>
      <c r="AH134" s="84" t="str">
        <f>CONCATENATE("a'(",AD134,")=")</f>
        <v>a'(  )=</v>
      </c>
      <c r="AI134" s="84" t="e">
        <f>2*AI132/2*AE135</f>
        <v>#VALUE!</v>
      </c>
      <c r="AJ134" s="84" t="str">
        <f>CONCATENATE("A(",AD133,")=")</f>
        <v>A(  )=</v>
      </c>
      <c r="AK134" s="84" t="str">
        <f>VLOOKUP(AD133,STN_TABLE,3,FALSE)</f>
        <v xml:space="preserve"> </v>
      </c>
      <c r="AL134" t="str">
        <f>CONCATENATE("A(",AD134,")=")</f>
        <v>A(  )=</v>
      </c>
      <c r="AM134" t="e">
        <f>AI134+AK134</f>
        <v>#VALUE!</v>
      </c>
      <c r="AO134" s="68" t="str">
        <f>AA134</f>
        <v>A(  )=</v>
      </c>
      <c r="AP134" s="68" t="e">
        <f>VLOOKUP(AO134,Rise_Results,2,FALSE)</f>
        <v>#N/A</v>
      </c>
      <c r="AQ134" s="76" t="e">
        <f>N134</f>
        <v>#VALUE!</v>
      </c>
      <c r="AR134" s="76" t="e">
        <f>IF(OR(AB134&lt;=0,AB135&lt;=0),1/0,AB134)</f>
        <v>#VALUE!</v>
      </c>
      <c r="AS134" s="76" t="e">
        <f>AM134</f>
        <v>#VALUE!</v>
      </c>
      <c r="AT134" t="e">
        <f>IFERROR(AP134,IFERROR(AQ134,IFERROR(AR134,AS134)))</f>
        <v>#VALUE!</v>
      </c>
      <c r="AU134" s="81"/>
    </row>
    <row r="135" spans="1:47" x14ac:dyDescent="0.25">
      <c r="A135" s="84">
        <f>A134+1</f>
        <v>22</v>
      </c>
      <c r="B135" s="84" t="str">
        <f t="shared" si="48"/>
        <v xml:space="preserve">  </v>
      </c>
      <c r="F135" s="82" t="e">
        <f>SUM(F132:F134)</f>
        <v>#VALUE!</v>
      </c>
      <c r="H135" s="82" t="e">
        <f>SUM(H132:H134)</f>
        <v>#VALUE!</v>
      </c>
      <c r="I135" s="84" t="str">
        <f>CONCATENATE("m'(",C134,")=")</f>
        <v>m'(  )=</v>
      </c>
      <c r="J135" s="84" t="e">
        <f>2*(J132*(WLS))/3*H135</f>
        <v>#VALUE!</v>
      </c>
      <c r="K135" s="84" t="e">
        <f>CONCATENATE("M(",C132,")=")</f>
        <v>#VALUE!</v>
      </c>
      <c r="L135" s="84" t="e">
        <f>VLOOKUP(C132,STN_TABLE,4,FALSE)</f>
        <v>#VALUE!</v>
      </c>
      <c r="M135" t="str">
        <f>CONCATENATE("M(",C134,")=")</f>
        <v>M(  )=</v>
      </c>
      <c r="N135" t="e">
        <f>J135+L135</f>
        <v>#VALUE!</v>
      </c>
      <c r="O135" s="99">
        <f>O134+1</f>
        <v>24</v>
      </c>
      <c r="P135" s="99" t="str">
        <f t="shared" si="65"/>
        <v xml:space="preserve">  </v>
      </c>
      <c r="T135" s="89" t="e">
        <f>SUM(T132:T134)</f>
        <v>#VALUE!</v>
      </c>
      <c r="V135" s="82" t="e">
        <f>SUM(V132:V134)</f>
        <v>#VALUE!</v>
      </c>
      <c r="W135" s="84" t="str">
        <f>CONCATENATE("m'(",Q133,")=")</f>
        <v>m'(  )=</v>
      </c>
      <c r="X135" s="84" t="e">
        <f>(2*(X132^2)/24*V135)+(X134*Q132*WLS)</f>
        <v>#VALUE!</v>
      </c>
      <c r="Y135" s="84" t="e">
        <f>CONCATENATE("M(",Q132,")=")</f>
        <v>#VALUE!</v>
      </c>
      <c r="Z135" s="84" t="e">
        <f>VLOOKUP(Q132,STN_TABLE,4,FALSE)</f>
        <v>#VALUE!</v>
      </c>
      <c r="AA135" t="str">
        <f>CONCATENATE("M(",Q133,")=")</f>
        <v>M(  )=</v>
      </c>
      <c r="AB135" t="e">
        <f>X135+Z135</f>
        <v>#VALUE!</v>
      </c>
      <c r="AE135" s="89">
        <f>SUM(AE133:AE134)</f>
        <v>0</v>
      </c>
      <c r="AG135" s="89" t="e">
        <f>SUM(AG133:AG134)</f>
        <v>#VALUE!</v>
      </c>
      <c r="AH135" s="84" t="str">
        <f>CONCATENATE("m'(",AD134,")=")</f>
        <v>m'(  )=</v>
      </c>
      <c r="AI135" s="84" t="e">
        <f>(2*(AI132^2)/6*AG135)+(AI134*AD133*WLS)</f>
        <v>#VALUE!</v>
      </c>
      <c r="AJ135" s="84" t="str">
        <f>CONCATENATE("M(",AD133,")=")</f>
        <v>M(  )=</v>
      </c>
      <c r="AK135" s="84" t="str">
        <f>VLOOKUP(AD133,STN_TABLE,4,FALSE)</f>
        <v xml:space="preserve"> </v>
      </c>
      <c r="AL135" t="str">
        <f>CONCATENATE("M(",AD134,")=")</f>
        <v>M(  )=</v>
      </c>
      <c r="AM135" t="e">
        <f>AI135+AK135</f>
        <v>#VALUE!</v>
      </c>
      <c r="AO135" s="82" t="str">
        <f>AA135</f>
        <v>M(  )=</v>
      </c>
      <c r="AP135" s="82" t="e">
        <f>VLOOKUP(AO135,Rise_Results,2,FALSE)</f>
        <v>#N/A</v>
      </c>
      <c r="AQ135" s="82" t="e">
        <f>N135</f>
        <v>#VALUE!</v>
      </c>
      <c r="AR135" s="82" t="e">
        <f>IF(OR(AB134&lt;=0,AB135&lt;=0),1/0,AB135)</f>
        <v>#VALUE!</v>
      </c>
      <c r="AS135" s="82" t="e">
        <f>AM135</f>
        <v>#VALUE!</v>
      </c>
      <c r="AT135" t="e">
        <f>IFERROR(AP135,IFERROR(AQ135,IFERROR(AR135,AS135)))</f>
        <v>#VALUE!</v>
      </c>
      <c r="AU135" s="81"/>
    </row>
    <row r="136" spans="1:47" x14ac:dyDescent="0.25">
      <c r="A136" s="101">
        <f>A131+1</f>
        <v>19</v>
      </c>
      <c r="B136" s="101" t="str">
        <f t="shared" si="48"/>
        <v xml:space="preserve">  </v>
      </c>
      <c r="O136" s="101">
        <f>O131+1</f>
        <v>21</v>
      </c>
      <c r="P136" s="101" t="str">
        <f t="shared" si="65"/>
        <v xml:space="preserve">  </v>
      </c>
      <c r="AU136" s="81"/>
    </row>
    <row r="137" spans="1:47" x14ac:dyDescent="0.25">
      <c r="A137" s="84">
        <f>A136+1</f>
        <v>20</v>
      </c>
      <c r="B137" s="84" t="str">
        <f t="shared" si="48"/>
        <v xml:space="preserve">  </v>
      </c>
      <c r="C137" s="79" t="e">
        <f t="shared" ref="C137" si="68">IF(C138=B139,IF(C139-C138=C138-B138,B138,IF(C139-C138=C138-B137,B137,"#NA")),IF(C138=B138,IF(C139-C138=C138-B137,B137,IF(C139-C138=C138-B136,B136,"#NA")),"#NA"))</f>
        <v>#VALUE!</v>
      </c>
      <c r="D137" s="68" t="e">
        <f>VLOOKUP(C137,STN_TABLE,2,FALSE)</f>
        <v>#VALUE!</v>
      </c>
      <c r="E137" s="102">
        <v>1</v>
      </c>
      <c r="F137" s="68" t="e">
        <f>D137*E137</f>
        <v>#VALUE!</v>
      </c>
      <c r="G137" s="69" t="e">
        <f>C137</f>
        <v>#VALUE!</v>
      </c>
      <c r="H137" s="69" t="e">
        <f>F137*G137</f>
        <v>#VALUE!</v>
      </c>
      <c r="I137" s="6" t="s">
        <v>93</v>
      </c>
      <c r="J137" s="70" t="e">
        <f>IF(OR(D137=0,D138=0,D139=0),"#NA",IF(AND(C139-C138=C138-C137,C138&lt;&gt;C139,C137&lt;&gt;C138,C137&lt;&gt;C139,D139&lt;&gt;0,OR(D137&lt;&gt;0,D138&lt;&gt;0)),WLS*(C139-C138),"#NA"))</f>
        <v>#VALUE!</v>
      </c>
      <c r="O137" s="99">
        <f>O136+1</f>
        <v>22</v>
      </c>
      <c r="P137" s="99" t="str">
        <f t="shared" si="65"/>
        <v xml:space="preserve">  </v>
      </c>
      <c r="Q137" s="68" t="e">
        <f>IF(OR(P139-P138=P138-P137,P140-P138=P138-P137),P137,IF(OR(P139-P138=P138-P136,P140-P138=P138-P136),P136,"-"))</f>
        <v>#VALUE!</v>
      </c>
      <c r="R137" s="69" t="e">
        <f>VLOOKUP(Q137,STN_TABLE,2,FALSE)</f>
        <v>#VALUE!</v>
      </c>
      <c r="S137" s="69">
        <v>5</v>
      </c>
      <c r="T137" s="68" t="e">
        <f>R137*S137</f>
        <v>#VALUE!</v>
      </c>
      <c r="U137" s="79">
        <v>3</v>
      </c>
      <c r="V137" s="68" t="e">
        <f>R137*U137</f>
        <v>#VALUE!</v>
      </c>
      <c r="W137" s="6" t="s">
        <v>93</v>
      </c>
      <c r="X137" s="70" t="e">
        <f>IF(AND(Q139-Q138=Q138-Q137,NOT(AND(Q137=0,Q138=0)),NOT(AND(Q138=0,Q139=0))),WLS*(Q139-Q138),"#NA")</f>
        <v>#VALUE!</v>
      </c>
      <c r="AD137" s="93"/>
      <c r="AH137" s="6" t="s">
        <v>93</v>
      </c>
      <c r="AI137" s="70" t="e">
        <f>WLS*(AD139-AD138)</f>
        <v>#VALUE!</v>
      </c>
      <c r="AU137" s="81"/>
    </row>
    <row r="138" spans="1:47" x14ac:dyDescent="0.25">
      <c r="A138" s="84">
        <f>A137+1</f>
        <v>21</v>
      </c>
      <c r="B138" s="84" t="str">
        <f t="shared" ref="B138:B150" si="69">VLOOKUP(A138,STN_TABLE_2,2,FALSE)</f>
        <v xml:space="preserve">  </v>
      </c>
      <c r="C138" s="80" t="e">
        <f t="shared" ref="C138" si="70">IF(OR(B140-B139=B139-B138,B140-B139=B139-B137,B140-B139=B139-B136),B139,IF(OR(B140-B138=B138-B137,B140-B138=B138-B136),B138,IF(B140-B137=B137-B136,B137,"#NA")))</f>
        <v>#VALUE!</v>
      </c>
      <c r="D138" s="76" t="e">
        <f>VLOOKUP(C138,STN_TABLE,2,FALSE)</f>
        <v>#VALUE!</v>
      </c>
      <c r="E138" s="81">
        <v>4</v>
      </c>
      <c r="F138" s="76" t="e">
        <f>D138*E138</f>
        <v>#VALUE!</v>
      </c>
      <c r="G138" s="77" t="e">
        <f>C138</f>
        <v>#VALUE!</v>
      </c>
      <c r="H138" s="77" t="e">
        <f>F138*G138</f>
        <v>#VALUE!</v>
      </c>
      <c r="I138" s="495" t="s">
        <v>97</v>
      </c>
      <c r="J138" s="496"/>
      <c r="K138" s="78" t="s">
        <v>98</v>
      </c>
      <c r="L138" s="78"/>
      <c r="M138" s="7" t="s">
        <v>99</v>
      </c>
      <c r="N138" s="7"/>
      <c r="O138" s="99">
        <f>O137+1</f>
        <v>23</v>
      </c>
      <c r="P138" s="99" t="str">
        <f t="shared" si="65"/>
        <v xml:space="preserve">  </v>
      </c>
      <c r="Q138" s="76" t="str">
        <f>P138</f>
        <v xml:space="preserve">  </v>
      </c>
      <c r="R138" s="77" t="str">
        <f>VLOOKUP(Q138,STN_TABLE,2,FALSE)</f>
        <v xml:space="preserve">  </v>
      </c>
      <c r="S138" s="77">
        <v>8</v>
      </c>
      <c r="T138" s="76" t="e">
        <f>R138*S138</f>
        <v>#VALUE!</v>
      </c>
      <c r="U138" s="80">
        <v>10</v>
      </c>
      <c r="V138" s="76" t="e">
        <f>R138*U138</f>
        <v>#VALUE!</v>
      </c>
      <c r="W138" s="496" t="s">
        <v>97</v>
      </c>
      <c r="X138" s="496"/>
      <c r="Y138" s="496" t="s">
        <v>98</v>
      </c>
      <c r="Z138" s="496"/>
      <c r="AA138" s="494" t="s">
        <v>99</v>
      </c>
      <c r="AB138" s="494"/>
      <c r="AC138" s="99">
        <f>AC133+1</f>
        <v>22</v>
      </c>
      <c r="AD138" s="95" t="str">
        <f>VLOOKUP(AC138,STN_TABLE_2,2,FALSE)</f>
        <v xml:space="preserve">  </v>
      </c>
      <c r="AE138" s="68" t="str">
        <f>VLOOKUP(AD138,STN_TABLE,2,FALSE)</f>
        <v xml:space="preserve">  </v>
      </c>
      <c r="AF138" s="68">
        <v>1</v>
      </c>
      <c r="AG138" s="69" t="e">
        <f>AE138*AF138</f>
        <v>#VALUE!</v>
      </c>
      <c r="AH138" s="496" t="s">
        <v>97</v>
      </c>
      <c r="AI138" s="496"/>
      <c r="AJ138" s="496" t="s">
        <v>98</v>
      </c>
      <c r="AK138" s="496"/>
      <c r="AL138" s="494" t="s">
        <v>99</v>
      </c>
      <c r="AM138" s="494"/>
      <c r="AP138" s="86" t="s">
        <v>112</v>
      </c>
      <c r="AQ138" s="89" t="s">
        <v>113</v>
      </c>
      <c r="AR138" s="89" t="s">
        <v>114</v>
      </c>
      <c r="AS138" s="89" t="s">
        <v>115</v>
      </c>
      <c r="AU138" s="81"/>
    </row>
    <row r="139" spans="1:47" x14ac:dyDescent="0.25">
      <c r="A139" s="84">
        <f>A138+1</f>
        <v>22</v>
      </c>
      <c r="B139" s="84" t="str">
        <f t="shared" si="69"/>
        <v xml:space="preserve">  </v>
      </c>
      <c r="C139" s="88" t="str">
        <f t="shared" ref="C139" si="71">B140</f>
        <v xml:space="preserve">  </v>
      </c>
      <c r="D139" s="82" t="str">
        <f>VLOOKUP(C139,STN_TABLE,2,FALSE)</f>
        <v xml:space="preserve">  </v>
      </c>
      <c r="E139" s="92">
        <v>1</v>
      </c>
      <c r="F139" s="82" t="e">
        <f>D139*E139</f>
        <v>#VALUE!</v>
      </c>
      <c r="G139" s="83" t="str">
        <f>C139</f>
        <v xml:space="preserve">  </v>
      </c>
      <c r="H139" s="83" t="e">
        <f>F139*G139</f>
        <v>#VALUE!</v>
      </c>
      <c r="I139" s="84" t="str">
        <f>CONCATENATE("a'(",C139,")=")</f>
        <v>a'(  )=</v>
      </c>
      <c r="J139" s="84" t="e">
        <f>2*J137/3*F140</f>
        <v>#VALUE!</v>
      </c>
      <c r="K139" s="84" t="e">
        <f>CONCATENATE("A(",C137,")=")</f>
        <v>#VALUE!</v>
      </c>
      <c r="L139" s="84" t="e">
        <f>VLOOKUP(C137,STN_TABLE,3,FALSE)</f>
        <v>#VALUE!</v>
      </c>
      <c r="M139" t="str">
        <f>CONCATENATE("A(",C139,")=")</f>
        <v>A(  )=</v>
      </c>
      <c r="N139" t="e">
        <f>J139+L139</f>
        <v>#VALUE!</v>
      </c>
      <c r="O139" s="99">
        <f>O138+1</f>
        <v>24</v>
      </c>
      <c r="P139" s="99" t="str">
        <f t="shared" si="65"/>
        <v xml:space="preserve">  </v>
      </c>
      <c r="Q139" s="82" t="e">
        <f>IF(P139-P138=P138-P137,P139,IF(P140-P138=P138-P137,P140,IF(P139-P138=P138-P136,P139,IF(P140-P138=P138-P136,P140,"-"))))</f>
        <v>#VALUE!</v>
      </c>
      <c r="R139" s="83" t="e">
        <f>VLOOKUP(Q139,STN_TABLE,2,FALSE)</f>
        <v>#VALUE!</v>
      </c>
      <c r="S139" s="83">
        <v>-1</v>
      </c>
      <c r="T139" s="82" t="e">
        <f>R139*S139</f>
        <v>#VALUE!</v>
      </c>
      <c r="U139" s="88">
        <v>-1</v>
      </c>
      <c r="V139" s="82" t="e">
        <f>R139*U139</f>
        <v>#VALUE!</v>
      </c>
      <c r="W139" s="84" t="str">
        <f>CONCATENATE("a'(",Q138,")=")</f>
        <v>a'(  )=</v>
      </c>
      <c r="X139" s="84" t="e">
        <f>2*X137/12*T140</f>
        <v>#VALUE!</v>
      </c>
      <c r="Y139" s="84" t="e">
        <f>CONCATENATE("A(",Q137,")=")</f>
        <v>#VALUE!</v>
      </c>
      <c r="Z139" s="84" t="e">
        <f>VLOOKUP(Q137,STN_TABLE,3,FALSE)</f>
        <v>#VALUE!</v>
      </c>
      <c r="AA139" t="str">
        <f>CONCATENATE("A(",Q138,")=")</f>
        <v>A(  )=</v>
      </c>
      <c r="AB139" t="e">
        <f>X139+Z139</f>
        <v>#VALUE!</v>
      </c>
      <c r="AC139" s="99">
        <f>AC138+1</f>
        <v>23</v>
      </c>
      <c r="AD139" s="100" t="str">
        <f>VLOOKUP(AC139,STN_TABLE_2,2,FALSE)</f>
        <v xml:space="preserve">  </v>
      </c>
      <c r="AE139" s="82" t="str">
        <f>VLOOKUP(AD139,STN_TABLE,2,FALSE)</f>
        <v xml:space="preserve">  </v>
      </c>
      <c r="AF139" s="82">
        <v>2</v>
      </c>
      <c r="AG139" s="83" t="e">
        <f>AE139*AF139</f>
        <v>#VALUE!</v>
      </c>
      <c r="AH139" s="84" t="str">
        <f>CONCATENATE("a'(",AD139,")=")</f>
        <v>a'(  )=</v>
      </c>
      <c r="AI139" s="84" t="e">
        <f>2*AI137/2*AE140</f>
        <v>#VALUE!</v>
      </c>
      <c r="AJ139" s="84" t="str">
        <f>CONCATENATE("A(",AD138,")=")</f>
        <v>A(  )=</v>
      </c>
      <c r="AK139" s="84" t="str">
        <f>VLOOKUP(AD138,STN_TABLE,3,FALSE)</f>
        <v xml:space="preserve"> </v>
      </c>
      <c r="AL139" t="str">
        <f>CONCATENATE("A(",AD139,")=")</f>
        <v>A(  )=</v>
      </c>
      <c r="AM139" t="e">
        <f>AI139+AK139</f>
        <v>#VALUE!</v>
      </c>
      <c r="AO139" s="68" t="str">
        <f>AA139</f>
        <v>A(  )=</v>
      </c>
      <c r="AP139" s="68" t="e">
        <f>VLOOKUP(AO139,Rise_Results,2,FALSE)</f>
        <v>#N/A</v>
      </c>
      <c r="AQ139" s="76" t="e">
        <f>N139</f>
        <v>#VALUE!</v>
      </c>
      <c r="AR139" s="76" t="e">
        <f>IF(OR(AB139&lt;=0,AB140&lt;=0),1/0,AB139)</f>
        <v>#VALUE!</v>
      </c>
      <c r="AS139" s="76" t="e">
        <f>AM139</f>
        <v>#VALUE!</v>
      </c>
      <c r="AT139" t="e">
        <f>IFERROR(AP139,IFERROR(AQ139,IFERROR(AR139,AS139)))</f>
        <v>#VALUE!</v>
      </c>
      <c r="AU139" s="81"/>
    </row>
    <row r="140" spans="1:47" x14ac:dyDescent="0.25">
      <c r="A140" s="84">
        <f>A139+1</f>
        <v>23</v>
      </c>
      <c r="B140" s="84" t="str">
        <f t="shared" si="69"/>
        <v xml:space="preserve">  </v>
      </c>
      <c r="F140" s="82" t="e">
        <f>SUM(F137:F139)</f>
        <v>#VALUE!</v>
      </c>
      <c r="H140" s="82" t="e">
        <f>SUM(H137:H139)</f>
        <v>#VALUE!</v>
      </c>
      <c r="I140" s="84" t="str">
        <f>CONCATENATE("m'(",C139,")=")</f>
        <v>m'(  )=</v>
      </c>
      <c r="J140" s="84" t="e">
        <f>2*(J137*(WLS))/3*H140</f>
        <v>#VALUE!</v>
      </c>
      <c r="K140" s="84" t="e">
        <f>CONCATENATE("M(",C137,")=")</f>
        <v>#VALUE!</v>
      </c>
      <c r="L140" s="84" t="e">
        <f>VLOOKUP(C137,STN_TABLE,4,FALSE)</f>
        <v>#VALUE!</v>
      </c>
      <c r="M140" t="str">
        <f>CONCATENATE("M(",C139,")=")</f>
        <v>M(  )=</v>
      </c>
      <c r="N140" t="e">
        <f>J140+L140</f>
        <v>#VALUE!</v>
      </c>
      <c r="O140" s="99">
        <f>O139+1</f>
        <v>25</v>
      </c>
      <c r="P140" s="99" t="str">
        <f t="shared" si="65"/>
        <v xml:space="preserve">  </v>
      </c>
      <c r="T140" s="89" t="e">
        <f>SUM(T137:T139)</f>
        <v>#VALUE!</v>
      </c>
      <c r="V140" s="82" t="e">
        <f>SUM(V137:V139)</f>
        <v>#VALUE!</v>
      </c>
      <c r="W140" s="84" t="str">
        <f>CONCATENATE("m'(",Q138,")=")</f>
        <v>m'(  )=</v>
      </c>
      <c r="X140" s="84" t="e">
        <f>(2*(X137^2)/24*V140)+(X139*Q137*WLS)</f>
        <v>#VALUE!</v>
      </c>
      <c r="Y140" s="84" t="e">
        <f>CONCATENATE("M(",Q137,")=")</f>
        <v>#VALUE!</v>
      </c>
      <c r="Z140" s="84" t="e">
        <f>VLOOKUP(Q137,STN_TABLE,4,FALSE)</f>
        <v>#VALUE!</v>
      </c>
      <c r="AA140" t="str">
        <f>CONCATENATE("M(",Q138,")=")</f>
        <v>M(  )=</v>
      </c>
      <c r="AB140" t="e">
        <f>X140+Z140</f>
        <v>#VALUE!</v>
      </c>
      <c r="AE140" s="89">
        <f>SUM(AE138:AE139)</f>
        <v>0</v>
      </c>
      <c r="AG140" s="89" t="e">
        <f>SUM(AG138:AG139)</f>
        <v>#VALUE!</v>
      </c>
      <c r="AH140" s="84" t="str">
        <f>CONCATENATE("m'(",AD139,")=")</f>
        <v>m'(  )=</v>
      </c>
      <c r="AI140" s="84" t="e">
        <f>(2*(AI137^2)/6*AG140)+(AI139*AD138*WLS)</f>
        <v>#VALUE!</v>
      </c>
      <c r="AJ140" s="84" t="str">
        <f>CONCATENATE("M(",AD138,")=")</f>
        <v>M(  )=</v>
      </c>
      <c r="AK140" s="84" t="str">
        <f>VLOOKUP(AD138,STN_TABLE,4,FALSE)</f>
        <v xml:space="preserve"> </v>
      </c>
      <c r="AL140" t="str">
        <f>CONCATENATE("M(",AD139,")=")</f>
        <v>M(  )=</v>
      </c>
      <c r="AM140" t="e">
        <f>AI140+AK140</f>
        <v>#VALUE!</v>
      </c>
      <c r="AO140" s="82" t="str">
        <f>AA140</f>
        <v>M(  )=</v>
      </c>
      <c r="AP140" s="82" t="e">
        <f>VLOOKUP(AO140,Rise_Results,2,FALSE)</f>
        <v>#N/A</v>
      </c>
      <c r="AQ140" s="82" t="e">
        <f>N140</f>
        <v>#VALUE!</v>
      </c>
      <c r="AR140" s="82" t="e">
        <f>IF(OR(AB139&lt;=0,AB140&lt;=0),1/0,AB140)</f>
        <v>#VALUE!</v>
      </c>
      <c r="AS140" s="82" t="e">
        <f>AM140</f>
        <v>#VALUE!</v>
      </c>
      <c r="AT140" t="e">
        <f>IFERROR(AP140,IFERROR(AQ140,IFERROR(AR140,AS140)))</f>
        <v>#VALUE!</v>
      </c>
      <c r="AU140" s="81"/>
    </row>
    <row r="141" spans="1:47" x14ac:dyDescent="0.25">
      <c r="A141" s="101">
        <f>A136+1</f>
        <v>20</v>
      </c>
      <c r="B141" s="101" t="str">
        <f t="shared" si="69"/>
        <v xml:space="preserve">  </v>
      </c>
      <c r="O141" s="101">
        <f>O136+1</f>
        <v>22</v>
      </c>
      <c r="P141" s="101" t="str">
        <f t="shared" si="65"/>
        <v xml:space="preserve">  </v>
      </c>
      <c r="AU141" s="81"/>
    </row>
    <row r="142" spans="1:47" x14ac:dyDescent="0.25">
      <c r="A142" s="84">
        <f>A141+1</f>
        <v>21</v>
      </c>
      <c r="B142" s="84" t="str">
        <f t="shared" si="69"/>
        <v xml:space="preserve">  </v>
      </c>
      <c r="C142" s="79" t="e">
        <f t="shared" ref="C142" si="72">IF(C143=B144,IF(C144-C143=C143-B143,B143,IF(C144-C143=C143-B142,B142,"#NA")),IF(C143=B143,IF(C144-C143=C143-B142,B142,IF(C144-C143=C143-B141,B141,"#NA")),"#NA"))</f>
        <v>#VALUE!</v>
      </c>
      <c r="D142" s="68" t="e">
        <f>VLOOKUP(C142,STN_TABLE,2,FALSE)</f>
        <v>#VALUE!</v>
      </c>
      <c r="E142" s="102">
        <v>1</v>
      </c>
      <c r="F142" s="68" t="e">
        <f>D142*E142</f>
        <v>#VALUE!</v>
      </c>
      <c r="G142" s="69" t="e">
        <f>C142</f>
        <v>#VALUE!</v>
      </c>
      <c r="H142" s="69" t="e">
        <f>F142*G142</f>
        <v>#VALUE!</v>
      </c>
      <c r="I142" s="6" t="s">
        <v>93</v>
      </c>
      <c r="J142" s="70" t="e">
        <f>IF(OR(D142=0,D143=0,D144=0),"#NA",IF(AND(C144-C143=C143-C142,C143&lt;&gt;C144,C142&lt;&gt;C143,C142&lt;&gt;C144,D144&lt;&gt;0,OR(D142&lt;&gt;0,D143&lt;&gt;0)),WLS*(C144-C143),"#NA"))</f>
        <v>#VALUE!</v>
      </c>
      <c r="O142" s="99">
        <f>O141+1</f>
        <v>23</v>
      </c>
      <c r="P142" s="99" t="str">
        <f t="shared" si="65"/>
        <v xml:space="preserve">  </v>
      </c>
      <c r="Q142" s="68" t="e">
        <f>IF(OR(P144-P143=P143-P142,P145-P143=P143-P142),P142,IF(OR(P144-P143=P143-P141,P145-P143=P143-P141),P141,"-"))</f>
        <v>#VALUE!</v>
      </c>
      <c r="R142" s="69" t="e">
        <f>VLOOKUP(Q142,STN_TABLE,2,FALSE)</f>
        <v>#VALUE!</v>
      </c>
      <c r="S142" s="69">
        <v>5</v>
      </c>
      <c r="T142" s="68" t="e">
        <f>R142*S142</f>
        <v>#VALUE!</v>
      </c>
      <c r="U142" s="79">
        <v>3</v>
      </c>
      <c r="V142" s="68" t="e">
        <f>R142*U142</f>
        <v>#VALUE!</v>
      </c>
      <c r="W142" s="6" t="s">
        <v>93</v>
      </c>
      <c r="X142" s="70" t="e">
        <f>IF(AND(Q144-Q143=Q143-Q142,NOT(AND(Q142=0,Q143=0)),NOT(AND(Q143=0,Q144=0))),WLS*(Q144-Q143),"#NA")</f>
        <v>#VALUE!</v>
      </c>
      <c r="AD142" s="93"/>
      <c r="AH142" s="6" t="s">
        <v>93</v>
      </c>
      <c r="AI142" s="70" t="e">
        <f>WLS*(AD144-AD143)</f>
        <v>#VALUE!</v>
      </c>
      <c r="AU142" s="81"/>
    </row>
    <row r="143" spans="1:47" x14ac:dyDescent="0.25">
      <c r="A143" s="84">
        <f>A142+1</f>
        <v>22</v>
      </c>
      <c r="B143" s="84" t="str">
        <f t="shared" si="69"/>
        <v xml:space="preserve">  </v>
      </c>
      <c r="C143" s="80" t="e">
        <f t="shared" ref="C143" si="73">IF(OR(B145-B144=B144-B143,B145-B144=B144-B142,B145-B144=B144-B141),B144,IF(OR(B145-B143=B143-B142,B145-B143=B143-B141),B143,IF(B145-B142=B142-B141,B142,"#NA")))</f>
        <v>#VALUE!</v>
      </c>
      <c r="D143" s="76" t="e">
        <f>VLOOKUP(C143,STN_TABLE,2,FALSE)</f>
        <v>#VALUE!</v>
      </c>
      <c r="E143" s="81">
        <v>4</v>
      </c>
      <c r="F143" s="76" t="e">
        <f>D143*E143</f>
        <v>#VALUE!</v>
      </c>
      <c r="G143" s="77" t="e">
        <f>C143</f>
        <v>#VALUE!</v>
      </c>
      <c r="H143" s="77" t="e">
        <f>F143*G143</f>
        <v>#VALUE!</v>
      </c>
      <c r="I143" s="495" t="s">
        <v>97</v>
      </c>
      <c r="J143" s="496"/>
      <c r="K143" s="78" t="s">
        <v>98</v>
      </c>
      <c r="L143" s="78"/>
      <c r="M143" s="7" t="s">
        <v>99</v>
      </c>
      <c r="N143" s="7"/>
      <c r="O143" s="99">
        <f>O142+1</f>
        <v>24</v>
      </c>
      <c r="P143" s="99" t="str">
        <f t="shared" si="65"/>
        <v xml:space="preserve">  </v>
      </c>
      <c r="Q143" s="76" t="str">
        <f>P143</f>
        <v xml:space="preserve">  </v>
      </c>
      <c r="R143" s="77" t="str">
        <f>VLOOKUP(Q143,STN_TABLE,2,FALSE)</f>
        <v xml:space="preserve">  </v>
      </c>
      <c r="S143" s="77">
        <v>8</v>
      </c>
      <c r="T143" s="76" t="e">
        <f>R143*S143</f>
        <v>#VALUE!</v>
      </c>
      <c r="U143" s="80">
        <v>10</v>
      </c>
      <c r="V143" s="76" t="e">
        <f>R143*U143</f>
        <v>#VALUE!</v>
      </c>
      <c r="W143" s="496" t="s">
        <v>97</v>
      </c>
      <c r="X143" s="496"/>
      <c r="Y143" s="496" t="s">
        <v>98</v>
      </c>
      <c r="Z143" s="496"/>
      <c r="AA143" s="494" t="s">
        <v>99</v>
      </c>
      <c r="AB143" s="494"/>
      <c r="AC143" s="99">
        <f>AC138+1</f>
        <v>23</v>
      </c>
      <c r="AD143" s="95" t="str">
        <f>VLOOKUP(AC143,STN_TABLE_2,2,FALSE)</f>
        <v xml:space="preserve">  </v>
      </c>
      <c r="AE143" s="68" t="str">
        <f>VLOOKUP(AD143,STN_TABLE,2,FALSE)</f>
        <v xml:space="preserve">  </v>
      </c>
      <c r="AF143" s="68">
        <v>1</v>
      </c>
      <c r="AG143" s="69" t="e">
        <f>AE143*AF143</f>
        <v>#VALUE!</v>
      </c>
      <c r="AH143" s="496" t="s">
        <v>97</v>
      </c>
      <c r="AI143" s="496"/>
      <c r="AJ143" s="496" t="s">
        <v>98</v>
      </c>
      <c r="AK143" s="496"/>
      <c r="AL143" s="494" t="s">
        <v>99</v>
      </c>
      <c r="AM143" s="494"/>
      <c r="AP143" s="86" t="s">
        <v>112</v>
      </c>
      <c r="AQ143" s="89" t="s">
        <v>113</v>
      </c>
      <c r="AR143" s="89" t="s">
        <v>114</v>
      </c>
      <c r="AS143" s="89" t="s">
        <v>115</v>
      </c>
      <c r="AU143" s="81"/>
    </row>
    <row r="144" spans="1:47" x14ac:dyDescent="0.25">
      <c r="A144" s="84">
        <f>A143+1</f>
        <v>23</v>
      </c>
      <c r="B144" s="84" t="str">
        <f t="shared" si="69"/>
        <v xml:space="preserve">  </v>
      </c>
      <c r="C144" s="88" t="str">
        <f t="shared" ref="C144" si="74">B145</f>
        <v xml:space="preserve">  </v>
      </c>
      <c r="D144" s="82" t="str">
        <f>VLOOKUP(C144,STN_TABLE,2,FALSE)</f>
        <v xml:space="preserve">  </v>
      </c>
      <c r="E144" s="92">
        <v>1</v>
      </c>
      <c r="F144" s="82" t="e">
        <f>D144*E144</f>
        <v>#VALUE!</v>
      </c>
      <c r="G144" s="83" t="str">
        <f>C144</f>
        <v xml:space="preserve">  </v>
      </c>
      <c r="H144" s="83" t="e">
        <f>F144*G144</f>
        <v>#VALUE!</v>
      </c>
      <c r="I144" s="84" t="str">
        <f>CONCATENATE("a'(",C144,")=")</f>
        <v>a'(  )=</v>
      </c>
      <c r="J144" s="84" t="e">
        <f>2*J142/3*F145</f>
        <v>#VALUE!</v>
      </c>
      <c r="K144" s="84" t="e">
        <f>CONCATENATE("A(",C142,")=")</f>
        <v>#VALUE!</v>
      </c>
      <c r="L144" s="84" t="e">
        <f>VLOOKUP(C142,STN_TABLE,3,FALSE)</f>
        <v>#VALUE!</v>
      </c>
      <c r="M144" t="str">
        <f>CONCATENATE("A(",C144,")=")</f>
        <v>A(  )=</v>
      </c>
      <c r="N144" t="e">
        <f>J144+L144</f>
        <v>#VALUE!</v>
      </c>
      <c r="O144" s="99">
        <f>O143+1</f>
        <v>25</v>
      </c>
      <c r="P144" s="99" t="str">
        <f t="shared" si="65"/>
        <v xml:space="preserve">  </v>
      </c>
      <c r="Q144" s="82" t="e">
        <f>IF(P144-P143=P143-P142,P144,IF(P145-P143=P143-P142,P145,IF(P144-P143=P143-P141,P144,IF(P145-P143=P143-P141,P145,"-"))))</f>
        <v>#VALUE!</v>
      </c>
      <c r="R144" s="83" t="e">
        <f>VLOOKUP(Q144,STN_TABLE,2,FALSE)</f>
        <v>#VALUE!</v>
      </c>
      <c r="S144" s="83">
        <v>-1</v>
      </c>
      <c r="T144" s="82" t="e">
        <f>R144*S144</f>
        <v>#VALUE!</v>
      </c>
      <c r="U144" s="88">
        <v>-1</v>
      </c>
      <c r="V144" s="82" t="e">
        <f>R144*U144</f>
        <v>#VALUE!</v>
      </c>
      <c r="W144" s="84" t="str">
        <f>CONCATENATE("a'(",Q143,")=")</f>
        <v>a'(  )=</v>
      </c>
      <c r="X144" s="84" t="e">
        <f>2*X142/12*T145</f>
        <v>#VALUE!</v>
      </c>
      <c r="Y144" s="84" t="e">
        <f>CONCATENATE("A(",Q142,")=")</f>
        <v>#VALUE!</v>
      </c>
      <c r="Z144" s="84" t="e">
        <f>VLOOKUP(Q142,STN_TABLE,3,FALSE)</f>
        <v>#VALUE!</v>
      </c>
      <c r="AA144" t="str">
        <f>CONCATENATE("A(",Q143,")=")</f>
        <v>A(  )=</v>
      </c>
      <c r="AB144" t="e">
        <f>X144+Z144</f>
        <v>#VALUE!</v>
      </c>
      <c r="AC144" s="99">
        <f>AC143+1</f>
        <v>24</v>
      </c>
      <c r="AD144" s="100" t="str">
        <f>VLOOKUP(AC144,STN_TABLE_2,2,FALSE)</f>
        <v xml:space="preserve">  </v>
      </c>
      <c r="AE144" s="82" t="str">
        <f>VLOOKUP(AD144,STN_TABLE,2,FALSE)</f>
        <v xml:space="preserve">  </v>
      </c>
      <c r="AF144" s="82">
        <v>2</v>
      </c>
      <c r="AG144" s="83" t="e">
        <f>AE144*AF144</f>
        <v>#VALUE!</v>
      </c>
      <c r="AH144" s="84" t="str">
        <f>CONCATENATE("a'(",AD144,")=")</f>
        <v>a'(  )=</v>
      </c>
      <c r="AI144" s="84" t="e">
        <f>2*AI142/2*AE145</f>
        <v>#VALUE!</v>
      </c>
      <c r="AJ144" s="84" t="str">
        <f>CONCATENATE("A(",AD143,")=")</f>
        <v>A(  )=</v>
      </c>
      <c r="AK144" s="84" t="str">
        <f>VLOOKUP(AD143,STN_TABLE,3,FALSE)</f>
        <v xml:space="preserve"> </v>
      </c>
      <c r="AL144" t="str">
        <f>CONCATENATE("A(",AD144,")=")</f>
        <v>A(  )=</v>
      </c>
      <c r="AM144" t="e">
        <f>AI144+AK144</f>
        <v>#VALUE!</v>
      </c>
      <c r="AO144" s="68" t="str">
        <f>AA144</f>
        <v>A(  )=</v>
      </c>
      <c r="AP144" s="68" t="e">
        <f>VLOOKUP(AO144,Rise_Results,2,FALSE)</f>
        <v>#N/A</v>
      </c>
      <c r="AQ144" s="76" t="e">
        <f>N144</f>
        <v>#VALUE!</v>
      </c>
      <c r="AR144" s="76" t="e">
        <f>IF(OR(AB144&lt;=0,AB145&lt;=0),1/0,AB144)</f>
        <v>#VALUE!</v>
      </c>
      <c r="AS144" s="76" t="e">
        <f>AM144</f>
        <v>#VALUE!</v>
      </c>
      <c r="AT144" t="e">
        <f>IFERROR(AP144,IFERROR(AQ144,IFERROR(AR144,AS144)))</f>
        <v>#VALUE!</v>
      </c>
      <c r="AU144" s="81"/>
    </row>
    <row r="145" spans="1:47" x14ac:dyDescent="0.25">
      <c r="A145" s="84">
        <f>A144+1</f>
        <v>24</v>
      </c>
      <c r="B145" s="84" t="str">
        <f t="shared" si="69"/>
        <v xml:space="preserve">  </v>
      </c>
      <c r="F145" s="82" t="e">
        <f>SUM(F142:F144)</f>
        <v>#VALUE!</v>
      </c>
      <c r="H145" s="82" t="e">
        <f>SUM(H142:H144)</f>
        <v>#VALUE!</v>
      </c>
      <c r="I145" s="84" t="str">
        <f>CONCATENATE("m'(",C144,")=")</f>
        <v>m'(  )=</v>
      </c>
      <c r="J145" s="84" t="e">
        <f>2*(J142*(WLS))/3*H145</f>
        <v>#VALUE!</v>
      </c>
      <c r="K145" s="84" t="e">
        <f>CONCATENATE("M(",C142,")=")</f>
        <v>#VALUE!</v>
      </c>
      <c r="L145" s="84" t="e">
        <f>VLOOKUP(C142,STN_TABLE,4,FALSE)</f>
        <v>#VALUE!</v>
      </c>
      <c r="M145" t="str">
        <f>CONCATENATE("M(",C144,")=")</f>
        <v>M(  )=</v>
      </c>
      <c r="N145" t="e">
        <f>J145+L145</f>
        <v>#VALUE!</v>
      </c>
      <c r="O145" s="99">
        <f>O144+1</f>
        <v>26</v>
      </c>
      <c r="P145" s="99" t="e">
        <f t="shared" si="65"/>
        <v>#N/A</v>
      </c>
      <c r="T145" s="89" t="e">
        <f>SUM(T142:T144)</f>
        <v>#VALUE!</v>
      </c>
      <c r="V145" s="82" t="e">
        <f>SUM(V142:V144)</f>
        <v>#VALUE!</v>
      </c>
      <c r="W145" s="84" t="str">
        <f>CONCATENATE("m'(",Q143,")=")</f>
        <v>m'(  )=</v>
      </c>
      <c r="X145" s="84" t="e">
        <f>(2*(X142^2)/24*V145)+(X144*Q142*WLS)</f>
        <v>#VALUE!</v>
      </c>
      <c r="Y145" s="84" t="e">
        <f>CONCATENATE("M(",Q142,")=")</f>
        <v>#VALUE!</v>
      </c>
      <c r="Z145" s="84" t="e">
        <f>VLOOKUP(Q142,STN_TABLE,4,FALSE)</f>
        <v>#VALUE!</v>
      </c>
      <c r="AA145" t="str">
        <f>CONCATENATE("M(",Q143,")=")</f>
        <v>M(  )=</v>
      </c>
      <c r="AB145" t="e">
        <f>X145+Z145</f>
        <v>#VALUE!</v>
      </c>
      <c r="AE145" s="89">
        <f>SUM(AE143:AE144)</f>
        <v>0</v>
      </c>
      <c r="AG145" s="89" t="e">
        <f>SUM(AG143:AG144)</f>
        <v>#VALUE!</v>
      </c>
      <c r="AH145" s="84" t="str">
        <f>CONCATENATE("m'(",AD144,")=")</f>
        <v>m'(  )=</v>
      </c>
      <c r="AI145" s="84" t="e">
        <f>(2*(AI142^2)/6*AG145)+(AI144*AD143*WLS)</f>
        <v>#VALUE!</v>
      </c>
      <c r="AJ145" s="84" t="str">
        <f>CONCATENATE("M(",AD143,")=")</f>
        <v>M(  )=</v>
      </c>
      <c r="AK145" s="84" t="str">
        <f>VLOOKUP(AD143,STN_TABLE,4,FALSE)</f>
        <v xml:space="preserve"> </v>
      </c>
      <c r="AL145" t="str">
        <f>CONCATENATE("M(",AD144,")=")</f>
        <v>M(  )=</v>
      </c>
      <c r="AM145" t="e">
        <f>AI145+AK145</f>
        <v>#VALUE!</v>
      </c>
      <c r="AO145" s="82" t="str">
        <f>AA145</f>
        <v>M(  )=</v>
      </c>
      <c r="AP145" s="82" t="e">
        <f>VLOOKUP(AO145,Rise_Results,2,FALSE)</f>
        <v>#N/A</v>
      </c>
      <c r="AQ145" s="82" t="e">
        <f>N145</f>
        <v>#VALUE!</v>
      </c>
      <c r="AR145" s="82" t="e">
        <f>IF(OR(AB144&lt;=0,AB145&lt;=0),1/0,AB145)</f>
        <v>#VALUE!</v>
      </c>
      <c r="AS145" s="82" t="e">
        <f>AM145</f>
        <v>#VALUE!</v>
      </c>
      <c r="AT145" t="e">
        <f>IFERROR(AP145,IFERROR(AQ145,IFERROR(AR145,AS145)))</f>
        <v>#VALUE!</v>
      </c>
      <c r="AU145" s="81"/>
    </row>
    <row r="146" spans="1:47" x14ac:dyDescent="0.25">
      <c r="A146" s="101">
        <f>A141+1</f>
        <v>21</v>
      </c>
      <c r="B146" s="101" t="str">
        <f t="shared" si="69"/>
        <v xml:space="preserve">  </v>
      </c>
      <c r="O146" s="101">
        <f>O141+1</f>
        <v>23</v>
      </c>
      <c r="P146" s="101" t="str">
        <f t="shared" si="65"/>
        <v xml:space="preserve">  </v>
      </c>
      <c r="AU146" s="81"/>
    </row>
    <row r="147" spans="1:47" x14ac:dyDescent="0.25">
      <c r="A147" s="84">
        <f>A146+1</f>
        <v>22</v>
      </c>
      <c r="B147" s="84" t="str">
        <f t="shared" si="69"/>
        <v xml:space="preserve">  </v>
      </c>
      <c r="C147" s="79" t="e">
        <f t="shared" ref="C147" si="75">IF(C148=B149,IF(C149-C148=C148-B148,B148,IF(C149-C148=C148-B147,B147,"#NA")),IF(C148=B148,IF(C149-C148=C148-B147,B147,IF(C149-C148=C148-B146,B146,"#NA")),"#NA"))</f>
        <v>#VALUE!</v>
      </c>
      <c r="D147" s="68" t="e">
        <f>VLOOKUP(C147,STN_TABLE,2,FALSE)</f>
        <v>#VALUE!</v>
      </c>
      <c r="E147" s="102">
        <v>1</v>
      </c>
      <c r="F147" s="68" t="e">
        <f>D147*E147</f>
        <v>#VALUE!</v>
      </c>
      <c r="G147" s="69" t="e">
        <f>C147</f>
        <v>#VALUE!</v>
      </c>
      <c r="H147" s="69" t="e">
        <f>F147*G147</f>
        <v>#VALUE!</v>
      </c>
      <c r="I147" s="6" t="s">
        <v>93</v>
      </c>
      <c r="J147" s="70" t="e">
        <f>IF(OR(D147=0,D148=0,D149=0),"#NA",IF(AND(C149-C148=C148-C147,C148&lt;&gt;C149,C147&lt;&gt;C148,C147&lt;&gt;C149,D149&lt;&gt;0,OR(D147&lt;&gt;0,D148&lt;&gt;0)),WLS*(C149-C148),"#NA"))</f>
        <v>#VALUE!</v>
      </c>
      <c r="O147" s="99">
        <f>O146+1</f>
        <v>24</v>
      </c>
      <c r="P147" s="99" t="str">
        <f t="shared" si="65"/>
        <v xml:space="preserve">  </v>
      </c>
      <c r="Q147" s="68" t="e">
        <f>IF(OR(P149-P148=P148-P147,P150-P148=P148-P147),P147,IF(OR(P149-P148=P148-P146,P150-P148=P148-P146),P146,"-"))</f>
        <v>#N/A</v>
      </c>
      <c r="R147" s="69" t="e">
        <f>VLOOKUP(Q147,STN_TABLE,2,FALSE)</f>
        <v>#N/A</v>
      </c>
      <c r="S147" s="69">
        <v>5</v>
      </c>
      <c r="T147" s="68" t="e">
        <f>R147*S147</f>
        <v>#N/A</v>
      </c>
      <c r="U147" s="79">
        <v>3</v>
      </c>
      <c r="V147" s="68" t="e">
        <f>R147*U147</f>
        <v>#N/A</v>
      </c>
      <c r="W147" s="6" t="s">
        <v>93</v>
      </c>
      <c r="X147" s="70" t="e">
        <f>IF(AND(Q149-Q148=Q148-Q147,NOT(AND(Q147=0,Q148=0)),NOT(AND(Q148=0,Q149=0))),WLS*(Q149-Q148),"#NA")</f>
        <v>#N/A</v>
      </c>
      <c r="AD147" s="93"/>
      <c r="AH147" s="6" t="s">
        <v>93</v>
      </c>
      <c r="AI147" s="70" t="e">
        <f>WLS*(AD149-AD148)</f>
        <v>#VALUE!</v>
      </c>
      <c r="AU147" s="81"/>
    </row>
    <row r="148" spans="1:47" x14ac:dyDescent="0.25">
      <c r="A148" s="84">
        <f>A147+1</f>
        <v>23</v>
      </c>
      <c r="B148" s="84" t="str">
        <f t="shared" si="69"/>
        <v xml:space="preserve">  </v>
      </c>
      <c r="C148" s="80" t="e">
        <f t="shared" ref="C148" si="76">IF(OR(B150-B149=B149-B148,B150-B149=B149-B147,B150-B149=B149-B146),B149,IF(OR(B150-B148=B148-B147,B150-B148=B148-B146),B148,IF(B150-B147=B147-B146,B147,"#NA")))</f>
        <v>#VALUE!</v>
      </c>
      <c r="D148" s="76" t="e">
        <f>VLOOKUP(C148,STN_TABLE,2,FALSE)</f>
        <v>#VALUE!</v>
      </c>
      <c r="E148" s="81">
        <v>4</v>
      </c>
      <c r="F148" s="76" t="e">
        <f>D148*E148</f>
        <v>#VALUE!</v>
      </c>
      <c r="G148" s="77" t="e">
        <f>C148</f>
        <v>#VALUE!</v>
      </c>
      <c r="H148" s="77" t="e">
        <f>F148*G148</f>
        <v>#VALUE!</v>
      </c>
      <c r="I148" s="495" t="s">
        <v>97</v>
      </c>
      <c r="J148" s="496"/>
      <c r="K148" s="78" t="s">
        <v>98</v>
      </c>
      <c r="L148" s="78"/>
      <c r="M148" s="7" t="s">
        <v>99</v>
      </c>
      <c r="N148" s="7"/>
      <c r="O148" s="99">
        <f>O147+1</f>
        <v>25</v>
      </c>
      <c r="P148" s="99" t="str">
        <f t="shared" si="65"/>
        <v xml:space="preserve">  </v>
      </c>
      <c r="Q148" s="76" t="str">
        <f>P148</f>
        <v xml:space="preserve">  </v>
      </c>
      <c r="R148" s="77" t="str">
        <f>VLOOKUP(Q148,STN_TABLE,2,FALSE)</f>
        <v xml:space="preserve">  </v>
      </c>
      <c r="S148" s="77">
        <v>8</v>
      </c>
      <c r="T148" s="76" t="e">
        <f>R148*S148</f>
        <v>#VALUE!</v>
      </c>
      <c r="U148" s="80">
        <v>10</v>
      </c>
      <c r="V148" s="76" t="e">
        <f>R148*U148</f>
        <v>#VALUE!</v>
      </c>
      <c r="W148" s="496" t="s">
        <v>97</v>
      </c>
      <c r="X148" s="496"/>
      <c r="Y148" s="496" t="s">
        <v>98</v>
      </c>
      <c r="Z148" s="496"/>
      <c r="AA148" s="494" t="s">
        <v>99</v>
      </c>
      <c r="AB148" s="494"/>
      <c r="AC148" s="99">
        <f>AC143+1</f>
        <v>24</v>
      </c>
      <c r="AD148" s="95" t="str">
        <f>VLOOKUP(AC148,STN_TABLE_2,2,FALSE)</f>
        <v xml:space="preserve">  </v>
      </c>
      <c r="AE148" s="68" t="str">
        <f>VLOOKUP(AD148,STN_TABLE,2,FALSE)</f>
        <v xml:space="preserve">  </v>
      </c>
      <c r="AF148" s="68">
        <v>1</v>
      </c>
      <c r="AG148" s="69" t="e">
        <f>AE148*AF148</f>
        <v>#VALUE!</v>
      </c>
      <c r="AH148" s="496" t="s">
        <v>97</v>
      </c>
      <c r="AI148" s="496"/>
      <c r="AJ148" s="496" t="s">
        <v>98</v>
      </c>
      <c r="AK148" s="496"/>
      <c r="AL148" s="494" t="s">
        <v>99</v>
      </c>
      <c r="AM148" s="494"/>
      <c r="AP148" s="86" t="s">
        <v>112</v>
      </c>
      <c r="AQ148" s="89" t="s">
        <v>113</v>
      </c>
      <c r="AR148" s="89" t="s">
        <v>114</v>
      </c>
      <c r="AS148" s="89" t="s">
        <v>115</v>
      </c>
      <c r="AU148" s="81"/>
    </row>
    <row r="149" spans="1:47" x14ac:dyDescent="0.25">
      <c r="A149" s="84">
        <f>A148+1</f>
        <v>24</v>
      </c>
      <c r="B149" s="84" t="str">
        <f t="shared" si="69"/>
        <v xml:space="preserve">  </v>
      </c>
      <c r="C149" s="88" t="str">
        <f t="shared" ref="C149" si="77">B150</f>
        <v xml:space="preserve">  </v>
      </c>
      <c r="D149" s="82" t="str">
        <f>VLOOKUP(C149,STN_TABLE,2,FALSE)</f>
        <v xml:space="preserve">  </v>
      </c>
      <c r="E149" s="92">
        <v>1</v>
      </c>
      <c r="F149" s="82" t="e">
        <f>D149*E149</f>
        <v>#VALUE!</v>
      </c>
      <c r="G149" s="83" t="str">
        <f>C149</f>
        <v xml:space="preserve">  </v>
      </c>
      <c r="H149" s="83" t="e">
        <f>F149*G149</f>
        <v>#VALUE!</v>
      </c>
      <c r="I149" s="84" t="str">
        <f>CONCATENATE("a'(",C149,")=")</f>
        <v>a'(  )=</v>
      </c>
      <c r="J149" s="84" t="e">
        <f>2*J147/3*F150</f>
        <v>#VALUE!</v>
      </c>
      <c r="K149" s="84" t="e">
        <f>CONCATENATE("A(",C147,")=")</f>
        <v>#VALUE!</v>
      </c>
      <c r="L149" s="84" t="e">
        <f>VLOOKUP(C147,STN_TABLE,3,FALSE)</f>
        <v>#VALUE!</v>
      </c>
      <c r="M149" t="str">
        <f>CONCATENATE("A(",C149,")=")</f>
        <v>A(  )=</v>
      </c>
      <c r="N149" t="e">
        <f>J149+L149</f>
        <v>#VALUE!</v>
      </c>
      <c r="O149" s="99">
        <f>O148+1</f>
        <v>26</v>
      </c>
      <c r="P149" s="99" t="e">
        <f t="shared" si="65"/>
        <v>#N/A</v>
      </c>
      <c r="Q149" s="82" t="e">
        <f>IF(P149-P148=P148-P147,P149,IF(P150-P148=P148-P147,P150,IF(P149-P148=P148-P146,P149,IF(P150-P148=P148-P146,P150,"-"))))</f>
        <v>#N/A</v>
      </c>
      <c r="R149" s="83" t="e">
        <f>VLOOKUP(Q149,STN_TABLE,2,FALSE)</f>
        <v>#N/A</v>
      </c>
      <c r="S149" s="83">
        <v>-1</v>
      </c>
      <c r="T149" s="82" t="e">
        <f>R149*S149</f>
        <v>#N/A</v>
      </c>
      <c r="U149" s="88">
        <v>-1</v>
      </c>
      <c r="V149" s="82" t="e">
        <f>R149*U149</f>
        <v>#N/A</v>
      </c>
      <c r="W149" s="84" t="str">
        <f>CONCATENATE("a'(",Q148,")=")</f>
        <v>a'(  )=</v>
      </c>
      <c r="X149" s="84" t="e">
        <f>2*X147/12*T150</f>
        <v>#N/A</v>
      </c>
      <c r="Y149" s="84" t="e">
        <f>CONCATENATE("A(",Q147,")=")</f>
        <v>#N/A</v>
      </c>
      <c r="Z149" s="84" t="e">
        <f>VLOOKUP(Q147,STN_TABLE,3,FALSE)</f>
        <v>#N/A</v>
      </c>
      <c r="AA149" t="str">
        <f>CONCATENATE("A(",Q148,")=")</f>
        <v>A(  )=</v>
      </c>
      <c r="AB149" t="e">
        <f>X149+Z149</f>
        <v>#N/A</v>
      </c>
      <c r="AC149" s="99">
        <f>AC148+1</f>
        <v>25</v>
      </c>
      <c r="AD149" s="100" t="str">
        <f>VLOOKUP(AC149,STN_TABLE_2,2,FALSE)</f>
        <v xml:space="preserve">  </v>
      </c>
      <c r="AE149" s="82" t="str">
        <f>VLOOKUP(AD149,STN_TABLE,2,FALSE)</f>
        <v xml:space="preserve">  </v>
      </c>
      <c r="AF149" s="82">
        <v>2</v>
      </c>
      <c r="AG149" s="83" t="e">
        <f>AE149*AF149</f>
        <v>#VALUE!</v>
      </c>
      <c r="AH149" s="84" t="str">
        <f>CONCATENATE("a'(",AD149,")=")</f>
        <v>a'(  )=</v>
      </c>
      <c r="AI149" s="84" t="e">
        <f>2*AI147/2*AE150</f>
        <v>#VALUE!</v>
      </c>
      <c r="AJ149" s="84" t="str">
        <f>CONCATENATE("A(",AD148,")=")</f>
        <v>A(  )=</v>
      </c>
      <c r="AK149" s="84" t="str">
        <f>VLOOKUP(AD148,STN_TABLE,3,FALSE)</f>
        <v xml:space="preserve"> </v>
      </c>
      <c r="AL149" t="str">
        <f>CONCATENATE("A(",AD149,")=")</f>
        <v>A(  )=</v>
      </c>
      <c r="AM149" t="e">
        <f>AI149+AK149</f>
        <v>#VALUE!</v>
      </c>
      <c r="AO149" s="68" t="str">
        <f>AA149</f>
        <v>A(  )=</v>
      </c>
      <c r="AP149" s="68" t="e">
        <f>VLOOKUP(AO149,Rise_Results,2,FALSE)</f>
        <v>#N/A</v>
      </c>
      <c r="AQ149" s="76" t="e">
        <f>N149</f>
        <v>#VALUE!</v>
      </c>
      <c r="AR149" s="76" t="e">
        <f>IF(OR(AB149&lt;=0,AB150&lt;=0),1/0,AB149)</f>
        <v>#N/A</v>
      </c>
      <c r="AS149" s="76" t="e">
        <f>AM149</f>
        <v>#VALUE!</v>
      </c>
      <c r="AT149" t="e">
        <f>IFERROR(AP149,IFERROR(AQ149,IFERROR(AR149,AS149)))</f>
        <v>#VALUE!</v>
      </c>
      <c r="AU149" s="81"/>
    </row>
    <row r="150" spans="1:47" x14ac:dyDescent="0.25">
      <c r="A150" s="84">
        <f>A149+1</f>
        <v>25</v>
      </c>
      <c r="B150" s="84" t="str">
        <f t="shared" si="69"/>
        <v xml:space="preserve">  </v>
      </c>
      <c r="F150" s="82" t="e">
        <f>SUM(F147:F149)</f>
        <v>#VALUE!</v>
      </c>
      <c r="H150" s="82" t="e">
        <f>SUM(H147:H149)</f>
        <v>#VALUE!</v>
      </c>
      <c r="I150" s="84" t="str">
        <f>CONCATENATE("m'(",C149,")=")</f>
        <v>m'(  )=</v>
      </c>
      <c r="J150" s="84" t="e">
        <f>2*(J147*(WLS))/3*H150</f>
        <v>#VALUE!</v>
      </c>
      <c r="K150" s="84" t="e">
        <f>CONCATENATE("M(",C147,")=")</f>
        <v>#VALUE!</v>
      </c>
      <c r="L150" s="84" t="e">
        <f>VLOOKUP(C147,STN_TABLE,4,FALSE)</f>
        <v>#VALUE!</v>
      </c>
      <c r="M150" t="str">
        <f>CONCATENATE("M(",C149,")=")</f>
        <v>M(  )=</v>
      </c>
      <c r="N150" t="e">
        <f>J150+L150</f>
        <v>#VALUE!</v>
      </c>
      <c r="O150" s="99">
        <f>O149+1</f>
        <v>27</v>
      </c>
      <c r="P150" s="99" t="e">
        <f t="shared" si="65"/>
        <v>#N/A</v>
      </c>
      <c r="T150" s="89" t="e">
        <f>SUM(T147:T149)</f>
        <v>#N/A</v>
      </c>
      <c r="V150" s="82" t="e">
        <f>SUM(V147:V149)</f>
        <v>#N/A</v>
      </c>
      <c r="W150" s="84" t="str">
        <f>CONCATENATE("m'(",Q148,")=")</f>
        <v>m'(  )=</v>
      </c>
      <c r="X150" s="84" t="e">
        <f>(2*(X147^2)/24*V150)+(X149*Q147*WLS)</f>
        <v>#N/A</v>
      </c>
      <c r="Y150" s="84" t="e">
        <f>CONCATENATE("M(",Q147,")=")</f>
        <v>#N/A</v>
      </c>
      <c r="Z150" s="84" t="e">
        <f>VLOOKUP(Q147,STN_TABLE,4,FALSE)</f>
        <v>#N/A</v>
      </c>
      <c r="AA150" t="str">
        <f>CONCATENATE("M(",Q148,")=")</f>
        <v>M(  )=</v>
      </c>
      <c r="AB150" t="e">
        <f>X150+Z150</f>
        <v>#N/A</v>
      </c>
      <c r="AE150" s="89">
        <f>SUM(AE148:AE149)</f>
        <v>0</v>
      </c>
      <c r="AG150" s="89" t="e">
        <f>SUM(AG148:AG149)</f>
        <v>#VALUE!</v>
      </c>
      <c r="AH150" s="84" t="str">
        <f>CONCATENATE("m'(",AD149,")=")</f>
        <v>m'(  )=</v>
      </c>
      <c r="AI150" s="84" t="e">
        <f>(2*(AI147^2)/6*AG150)+(AI149*AD148*WLS)</f>
        <v>#VALUE!</v>
      </c>
      <c r="AJ150" s="84" t="str">
        <f>CONCATENATE("M(",AD148,")=")</f>
        <v>M(  )=</v>
      </c>
      <c r="AK150" s="84" t="str">
        <f>VLOOKUP(AD148,STN_TABLE,4,FALSE)</f>
        <v xml:space="preserve"> </v>
      </c>
      <c r="AL150" t="str">
        <f>CONCATENATE("M(",AD149,")=")</f>
        <v>M(  )=</v>
      </c>
      <c r="AM150" t="e">
        <f>AI150+AK150</f>
        <v>#VALUE!</v>
      </c>
      <c r="AO150" s="82" t="str">
        <f>AA150</f>
        <v>M(  )=</v>
      </c>
      <c r="AP150" s="82" t="e">
        <f>VLOOKUP(AO150,Rise_Results,2,FALSE)</f>
        <v>#N/A</v>
      </c>
      <c r="AQ150" s="82" t="e">
        <f>N150</f>
        <v>#VALUE!</v>
      </c>
      <c r="AR150" s="82" t="e">
        <f>IF(OR(AB149&lt;=0,AB150&lt;=0),1/0,AB150)</f>
        <v>#N/A</v>
      </c>
      <c r="AS150" s="82" t="e">
        <f>AM150</f>
        <v>#VALUE!</v>
      </c>
      <c r="AT150" t="e">
        <f>IFERROR(AP150,IFERROR(AQ150,IFERROR(AR150,AS150)))</f>
        <v>#VALUE!</v>
      </c>
      <c r="AU150" s="81"/>
    </row>
    <row r="151" spans="1:47" x14ac:dyDescent="0.25">
      <c r="A151" s="101"/>
      <c r="B151" s="101"/>
      <c r="AU151" s="81"/>
    </row>
    <row r="152" spans="1:47" x14ac:dyDescent="0.25">
      <c r="A152" s="84"/>
      <c r="B152" s="84"/>
      <c r="E152" s="81"/>
      <c r="F152" s="81"/>
      <c r="G152" s="81"/>
      <c r="H152" s="81"/>
      <c r="I152" s="103"/>
      <c r="J152" s="70"/>
      <c r="AU152" s="81"/>
    </row>
    <row r="153" spans="1:47" x14ac:dyDescent="0.25">
      <c r="A153" s="84"/>
      <c r="B153" s="84"/>
      <c r="E153" s="81"/>
      <c r="F153" s="81"/>
      <c r="G153" s="81"/>
      <c r="H153" s="81"/>
      <c r="I153" s="104"/>
      <c r="J153" s="78"/>
      <c r="K153" s="78"/>
      <c r="L153" s="78"/>
      <c r="M153" s="7"/>
      <c r="N153" s="7"/>
      <c r="AO153" s="81"/>
      <c r="AP153" s="81"/>
      <c r="AQ153" s="81"/>
      <c r="AR153" s="81"/>
      <c r="AS153" s="81"/>
      <c r="AT153" s="81"/>
      <c r="AU153" s="81"/>
    </row>
    <row r="154" spans="1:47" x14ac:dyDescent="0.25">
      <c r="A154" s="84"/>
      <c r="B154" s="84"/>
      <c r="E154" s="81"/>
      <c r="F154" s="81"/>
      <c r="G154" s="81"/>
      <c r="H154" s="81"/>
      <c r="I154" s="105"/>
      <c r="J154" s="84"/>
      <c r="K154" s="84"/>
      <c r="L154" s="84"/>
      <c r="AO154" s="81"/>
      <c r="AP154" s="81"/>
      <c r="AQ154" s="81"/>
      <c r="AR154" s="81"/>
      <c r="AS154" s="81"/>
      <c r="AT154" s="81"/>
      <c r="AU154" s="81"/>
    </row>
    <row r="155" spans="1:47" x14ac:dyDescent="0.25">
      <c r="A155" s="84"/>
      <c r="B155" s="84"/>
      <c r="E155" s="81"/>
      <c r="F155" s="81"/>
      <c r="G155" s="81"/>
      <c r="H155" s="81"/>
      <c r="I155" s="105"/>
      <c r="J155" s="84"/>
      <c r="K155" s="84"/>
      <c r="L155" s="84"/>
      <c r="AO155" s="81"/>
      <c r="AP155" s="81"/>
      <c r="AQ155" s="81"/>
      <c r="AR155" s="81"/>
      <c r="AS155" s="81"/>
      <c r="AT155" s="81"/>
      <c r="AU155" s="81"/>
    </row>
    <row r="156" spans="1:47" x14ac:dyDescent="0.25">
      <c r="A156" s="101"/>
      <c r="B156" s="101"/>
      <c r="E156" s="81"/>
      <c r="F156" s="81"/>
      <c r="G156" s="81"/>
      <c r="H156" s="81"/>
      <c r="I156" s="81"/>
      <c r="AO156" s="81"/>
      <c r="AP156" s="81"/>
      <c r="AQ156" s="81"/>
      <c r="AR156" s="81"/>
      <c r="AS156" s="81"/>
      <c r="AT156" s="81"/>
      <c r="AU156" s="81"/>
    </row>
    <row r="157" spans="1:47" x14ac:dyDescent="0.25">
      <c r="A157" s="84"/>
      <c r="B157" s="84"/>
      <c r="E157" s="81"/>
      <c r="F157" s="81"/>
      <c r="G157" s="81"/>
      <c r="H157" s="81"/>
      <c r="I157" s="103"/>
      <c r="J157" s="70"/>
      <c r="AO157" s="81"/>
      <c r="AP157" s="81"/>
      <c r="AQ157" s="81"/>
      <c r="AR157" s="81"/>
      <c r="AS157" s="81"/>
      <c r="AT157" s="81"/>
      <c r="AU157" s="81"/>
    </row>
    <row r="158" spans="1:47" x14ac:dyDescent="0.25">
      <c r="A158" s="84"/>
      <c r="B158" s="84"/>
      <c r="E158" s="81"/>
      <c r="F158" s="81"/>
      <c r="G158" s="81"/>
      <c r="H158" s="81"/>
      <c r="I158" s="104"/>
      <c r="J158" s="78"/>
      <c r="K158" s="78"/>
      <c r="L158" s="78"/>
      <c r="M158" s="7"/>
      <c r="N158" s="7"/>
      <c r="AO158" s="81"/>
      <c r="AP158" s="81"/>
      <c r="AQ158" s="81"/>
      <c r="AR158" s="81"/>
      <c r="AS158" s="81"/>
      <c r="AT158" s="81"/>
      <c r="AU158" s="81"/>
    </row>
    <row r="159" spans="1:47" x14ac:dyDescent="0.25">
      <c r="A159" s="84"/>
      <c r="B159" s="84"/>
      <c r="E159" s="81"/>
      <c r="F159" s="81"/>
      <c r="G159" s="81"/>
      <c r="H159" s="81"/>
      <c r="I159" s="105"/>
      <c r="J159" s="84"/>
      <c r="K159" s="84"/>
      <c r="L159" s="84"/>
      <c r="AO159" s="81"/>
      <c r="AP159" s="81"/>
      <c r="AQ159" s="81"/>
      <c r="AR159" s="81"/>
      <c r="AS159" s="81"/>
      <c r="AT159" s="81"/>
      <c r="AU159" s="81"/>
    </row>
    <row r="160" spans="1:47" x14ac:dyDescent="0.25">
      <c r="A160" s="84"/>
      <c r="B160" s="84"/>
      <c r="E160" s="81"/>
      <c r="F160" s="81"/>
      <c r="G160" s="81"/>
      <c r="H160" s="81"/>
      <c r="I160" s="105"/>
      <c r="J160" s="84"/>
      <c r="K160" s="84"/>
      <c r="L160" s="84"/>
      <c r="AO160" s="81"/>
      <c r="AP160" s="81"/>
      <c r="AQ160" s="81"/>
      <c r="AR160" s="81"/>
      <c r="AS160" s="81"/>
      <c r="AT160" s="81"/>
      <c r="AU160" s="81"/>
    </row>
    <row r="161" spans="1:47" x14ac:dyDescent="0.25">
      <c r="A161" s="101"/>
      <c r="B161" s="101"/>
      <c r="E161" s="81"/>
      <c r="F161" s="81"/>
      <c r="G161" s="81"/>
      <c r="H161" s="81"/>
      <c r="I161" s="81"/>
      <c r="AO161" s="81"/>
      <c r="AP161" s="81"/>
      <c r="AQ161" s="81"/>
      <c r="AR161" s="81"/>
      <c r="AS161" s="81"/>
      <c r="AT161" s="81"/>
      <c r="AU161" s="81"/>
    </row>
    <row r="162" spans="1:47" x14ac:dyDescent="0.25">
      <c r="A162" s="84"/>
      <c r="B162" s="84"/>
      <c r="E162" s="81"/>
      <c r="F162" s="81"/>
      <c r="G162" s="81"/>
      <c r="H162" s="81"/>
      <c r="I162" s="103"/>
      <c r="J162" s="70"/>
      <c r="AO162" s="81"/>
      <c r="AP162" s="81"/>
      <c r="AQ162" s="81"/>
      <c r="AR162" s="81"/>
      <c r="AS162" s="81"/>
      <c r="AT162" s="81"/>
      <c r="AU162" s="81"/>
    </row>
    <row r="163" spans="1:47" x14ac:dyDescent="0.25">
      <c r="A163" s="84"/>
      <c r="B163" s="84"/>
      <c r="E163" s="81"/>
      <c r="F163" s="81"/>
      <c r="G163" s="81"/>
      <c r="H163" s="81"/>
      <c r="I163" s="104"/>
      <c r="J163" s="78"/>
      <c r="K163" s="78"/>
      <c r="L163" s="78"/>
      <c r="M163" s="7"/>
      <c r="N163" s="7"/>
      <c r="AO163" s="81"/>
      <c r="AP163" s="81"/>
      <c r="AQ163" s="81"/>
      <c r="AR163" s="81"/>
      <c r="AS163" s="81"/>
      <c r="AT163" s="81"/>
      <c r="AU163" s="81"/>
    </row>
    <row r="164" spans="1:47" x14ac:dyDescent="0.25">
      <c r="A164" s="84"/>
      <c r="B164" s="84"/>
      <c r="E164" s="81"/>
      <c r="F164" s="81"/>
      <c r="G164" s="81"/>
      <c r="H164" s="81"/>
      <c r="I164" s="105"/>
      <c r="J164" s="84"/>
      <c r="K164" s="84"/>
      <c r="L164" s="84"/>
    </row>
    <row r="165" spans="1:47" x14ac:dyDescent="0.25">
      <c r="A165" s="84"/>
      <c r="B165" s="84"/>
      <c r="E165" s="81"/>
      <c r="F165" s="81"/>
      <c r="G165" s="81"/>
      <c r="H165" s="81"/>
      <c r="I165" s="105"/>
      <c r="J165" s="84"/>
      <c r="K165" s="84"/>
      <c r="L165" s="84"/>
    </row>
    <row r="166" spans="1:47" x14ac:dyDescent="0.25">
      <c r="A166" s="101"/>
      <c r="B166" s="101"/>
      <c r="E166" s="81"/>
      <c r="F166" s="81"/>
      <c r="G166" s="81"/>
      <c r="H166" s="81"/>
      <c r="I166" s="81"/>
    </row>
    <row r="167" spans="1:47" x14ac:dyDescent="0.25">
      <c r="A167" s="84"/>
      <c r="B167" s="84"/>
      <c r="E167" s="81"/>
      <c r="F167" s="81"/>
      <c r="G167" s="81"/>
      <c r="H167" s="81"/>
      <c r="I167" s="103"/>
      <c r="J167" s="70"/>
    </row>
    <row r="168" spans="1:47" x14ac:dyDescent="0.25">
      <c r="A168" s="84"/>
      <c r="B168" s="84"/>
      <c r="E168" s="81"/>
      <c r="F168" s="81"/>
      <c r="G168" s="81"/>
      <c r="H168" s="81"/>
      <c r="I168" s="104"/>
      <c r="J168" s="78"/>
      <c r="K168" s="78"/>
      <c r="L168" s="78"/>
      <c r="M168" s="7"/>
      <c r="N168" s="7"/>
    </row>
    <row r="169" spans="1:47" x14ac:dyDescent="0.25">
      <c r="A169" s="84"/>
      <c r="B169" s="84"/>
      <c r="E169" s="81"/>
      <c r="F169" s="81"/>
      <c r="G169" s="81"/>
      <c r="H169" s="81"/>
      <c r="I169" s="105"/>
      <c r="J169" s="84"/>
      <c r="K169" s="84"/>
      <c r="L169" s="84"/>
    </row>
    <row r="170" spans="1:47" x14ac:dyDescent="0.25">
      <c r="A170" s="84"/>
      <c r="B170" s="84"/>
      <c r="E170" s="81"/>
      <c r="F170" s="81"/>
      <c r="G170" s="81"/>
      <c r="H170" s="81"/>
      <c r="I170" s="105"/>
      <c r="J170" s="84"/>
      <c r="K170" s="84"/>
      <c r="L170" s="84"/>
    </row>
    <row r="171" spans="1:47" x14ac:dyDescent="0.25">
      <c r="E171" s="81"/>
      <c r="F171" s="81"/>
      <c r="G171" s="81"/>
      <c r="H171" s="81"/>
      <c r="I171" s="81"/>
    </row>
  </sheetData>
  <sheetProtection selectLockedCells="1" selectUnlockedCells="1"/>
  <mergeCells count="167">
    <mergeCell ref="A1:B1"/>
    <mergeCell ref="E1:F1"/>
    <mergeCell ref="L1:M1"/>
    <mergeCell ref="W33:X33"/>
    <mergeCell ref="Y33:Z33"/>
    <mergeCell ref="AA33:AB33"/>
    <mergeCell ref="AH33:AI33"/>
    <mergeCell ref="AJ33:AK33"/>
    <mergeCell ref="AL33:AM33"/>
    <mergeCell ref="I38:J38"/>
    <mergeCell ref="W38:X38"/>
    <mergeCell ref="Y38:Z38"/>
    <mergeCell ref="AA38:AB38"/>
    <mergeCell ref="AH38:AI38"/>
    <mergeCell ref="AJ38:AK38"/>
    <mergeCell ref="AL38:AM38"/>
    <mergeCell ref="AL43:AM43"/>
    <mergeCell ref="I48:J48"/>
    <mergeCell ref="W48:X48"/>
    <mergeCell ref="Y48:Z48"/>
    <mergeCell ref="AA48:AB48"/>
    <mergeCell ref="AH48:AI48"/>
    <mergeCell ref="AJ48:AK48"/>
    <mergeCell ref="AL48:AM48"/>
    <mergeCell ref="I43:J43"/>
    <mergeCell ref="W43:X43"/>
    <mergeCell ref="Y43:Z43"/>
    <mergeCell ref="AA43:AB43"/>
    <mergeCell ref="AH43:AI43"/>
    <mergeCell ref="AJ43:AK43"/>
    <mergeCell ref="AL53:AM53"/>
    <mergeCell ref="I58:J58"/>
    <mergeCell ref="AH58:AI58"/>
    <mergeCell ref="AJ58:AK58"/>
    <mergeCell ref="AL58:AM58"/>
    <mergeCell ref="I63:J63"/>
    <mergeCell ref="W63:X63"/>
    <mergeCell ref="Y63:Z63"/>
    <mergeCell ref="AA63:AB63"/>
    <mergeCell ref="AH63:AI63"/>
    <mergeCell ref="I53:J53"/>
    <mergeCell ref="W53:X53"/>
    <mergeCell ref="Y53:Z53"/>
    <mergeCell ref="AA53:AB53"/>
    <mergeCell ref="AH53:AI53"/>
    <mergeCell ref="AJ53:AK53"/>
    <mergeCell ref="AJ63:AK63"/>
    <mergeCell ref="AL63:AM63"/>
    <mergeCell ref="I68:J68"/>
    <mergeCell ref="W68:X68"/>
    <mergeCell ref="Y68:Z68"/>
    <mergeCell ref="AA68:AB68"/>
    <mergeCell ref="AH68:AI68"/>
    <mergeCell ref="AJ68:AK68"/>
    <mergeCell ref="AL68:AM68"/>
    <mergeCell ref="AL73:AM73"/>
    <mergeCell ref="I78:J78"/>
    <mergeCell ref="W78:X78"/>
    <mergeCell ref="Y78:Z78"/>
    <mergeCell ref="AA78:AB78"/>
    <mergeCell ref="AH78:AI78"/>
    <mergeCell ref="AJ78:AK78"/>
    <mergeCell ref="AL78:AM78"/>
    <mergeCell ref="I73:J73"/>
    <mergeCell ref="W73:X73"/>
    <mergeCell ref="Y73:Z73"/>
    <mergeCell ref="AA73:AB73"/>
    <mergeCell ref="AH73:AI73"/>
    <mergeCell ref="AJ73:AK73"/>
    <mergeCell ref="AL83:AM83"/>
    <mergeCell ref="I88:J88"/>
    <mergeCell ref="W88:X88"/>
    <mergeCell ref="Y88:Z88"/>
    <mergeCell ref="AA88:AB88"/>
    <mergeCell ref="AH88:AI88"/>
    <mergeCell ref="AJ88:AK88"/>
    <mergeCell ref="AL88:AM88"/>
    <mergeCell ref="I83:J83"/>
    <mergeCell ref="W83:X83"/>
    <mergeCell ref="Y83:Z83"/>
    <mergeCell ref="AA83:AB83"/>
    <mergeCell ref="AH83:AI83"/>
    <mergeCell ref="AJ83:AK83"/>
    <mergeCell ref="AL93:AM93"/>
    <mergeCell ref="I98:J98"/>
    <mergeCell ref="W98:X98"/>
    <mergeCell ref="Y98:Z98"/>
    <mergeCell ref="AA98:AB98"/>
    <mergeCell ref="AH98:AI98"/>
    <mergeCell ref="AJ98:AK98"/>
    <mergeCell ref="AL98:AM98"/>
    <mergeCell ref="I93:J93"/>
    <mergeCell ref="W93:X93"/>
    <mergeCell ref="Y93:Z93"/>
    <mergeCell ref="AA93:AB93"/>
    <mergeCell ref="AH93:AI93"/>
    <mergeCell ref="AJ93:AK93"/>
    <mergeCell ref="AL103:AM103"/>
    <mergeCell ref="I108:J108"/>
    <mergeCell ref="W108:X108"/>
    <mergeCell ref="Y108:Z108"/>
    <mergeCell ref="AA108:AB108"/>
    <mergeCell ref="AH108:AI108"/>
    <mergeCell ref="AJ108:AK108"/>
    <mergeCell ref="AL108:AM108"/>
    <mergeCell ref="I103:J103"/>
    <mergeCell ref="W103:X103"/>
    <mergeCell ref="Y103:Z103"/>
    <mergeCell ref="AA103:AB103"/>
    <mergeCell ref="AH103:AI103"/>
    <mergeCell ref="AJ103:AK103"/>
    <mergeCell ref="AL113:AM113"/>
    <mergeCell ref="I118:J118"/>
    <mergeCell ref="W118:X118"/>
    <mergeCell ref="Y118:Z118"/>
    <mergeCell ref="AA118:AB118"/>
    <mergeCell ref="AH118:AI118"/>
    <mergeCell ref="AJ118:AK118"/>
    <mergeCell ref="AL118:AM118"/>
    <mergeCell ref="I113:J113"/>
    <mergeCell ref="W113:X113"/>
    <mergeCell ref="Y113:Z113"/>
    <mergeCell ref="AA113:AB113"/>
    <mergeCell ref="AH113:AI113"/>
    <mergeCell ref="AJ113:AK113"/>
    <mergeCell ref="AL123:AM123"/>
    <mergeCell ref="I128:J128"/>
    <mergeCell ref="W128:X128"/>
    <mergeCell ref="Y128:Z128"/>
    <mergeCell ref="AA128:AB128"/>
    <mergeCell ref="AH128:AI128"/>
    <mergeCell ref="AJ128:AK128"/>
    <mergeCell ref="AL128:AM128"/>
    <mergeCell ref="I123:J123"/>
    <mergeCell ref="W123:X123"/>
    <mergeCell ref="Y123:Z123"/>
    <mergeCell ref="AA123:AB123"/>
    <mergeCell ref="AH123:AI123"/>
    <mergeCell ref="AJ123:AK123"/>
    <mergeCell ref="AL133:AM133"/>
    <mergeCell ref="I138:J138"/>
    <mergeCell ref="W138:X138"/>
    <mergeCell ref="Y138:Z138"/>
    <mergeCell ref="AA138:AB138"/>
    <mergeCell ref="AH138:AI138"/>
    <mergeCell ref="AJ138:AK138"/>
    <mergeCell ref="AL138:AM138"/>
    <mergeCell ref="I133:J133"/>
    <mergeCell ref="W133:X133"/>
    <mergeCell ref="Y133:Z133"/>
    <mergeCell ref="AA133:AB133"/>
    <mergeCell ref="AH133:AI133"/>
    <mergeCell ref="AJ133:AK133"/>
    <mergeCell ref="AL143:AM143"/>
    <mergeCell ref="I148:J148"/>
    <mergeCell ref="W148:X148"/>
    <mergeCell ref="Y148:Z148"/>
    <mergeCell ref="AA148:AB148"/>
    <mergeCell ref="AH148:AI148"/>
    <mergeCell ref="AJ148:AK148"/>
    <mergeCell ref="AL148:AM148"/>
    <mergeCell ref="I143:J143"/>
    <mergeCell ref="W143:X143"/>
    <mergeCell ref="Y143:Z143"/>
    <mergeCell ref="AA143:AB143"/>
    <mergeCell ref="AH143:AI143"/>
    <mergeCell ref="AJ143:AK143"/>
  </mergeCells>
  <pageMargins left="0.7" right="0.7" top="0.75" bottom="0.75" header="0.3" footer="0.3"/>
  <pageSetup paperSize="9" orientation="portrait"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AU171"/>
  <sheetViews>
    <sheetView topLeftCell="N1" workbookViewId="0">
      <pane ySplit="1" topLeftCell="A8" activePane="bottomLeft" state="frozen"/>
      <selection activeCell="AG8" sqref="AG8:AG10"/>
      <selection pane="bottomLeft" activeCell="AG8" sqref="AG8:AG10"/>
    </sheetView>
  </sheetViews>
  <sheetFormatPr defaultRowHeight="15" x14ac:dyDescent="0.25"/>
  <sheetData>
    <row r="1" spans="1:46" x14ac:dyDescent="0.25">
      <c r="A1" s="494" t="s">
        <v>90</v>
      </c>
      <c r="B1" s="494"/>
      <c r="C1">
        <f>HLOOKUP(Stn_WL,OFFSET_A,Count_STN+1,FALSE)</f>
        <v>4</v>
      </c>
      <c r="E1" s="494" t="s">
        <v>91</v>
      </c>
      <c r="F1" s="494"/>
      <c r="G1" t="str">
        <f>VLOOKUP(Station_No,RISE_CALC,2,FALSE)</f>
        <v>-</v>
      </c>
      <c r="L1" s="494" t="s">
        <v>92</v>
      </c>
      <c r="M1" s="494"/>
      <c r="N1">
        <v>7</v>
      </c>
    </row>
    <row r="2" spans="1:46" x14ac:dyDescent="0.25">
      <c r="Q2" s="66" t="str">
        <f t="shared" ref="Q2:R6" si="0">G4</f>
        <v>Rise</v>
      </c>
      <c r="R2" s="67" t="e">
        <f t="shared" si="0"/>
        <v>#VALUE!</v>
      </c>
      <c r="S2" s="68" t="e">
        <f>IF(OR(R5-R4=R4-R3,R6-R4=R4-R3),R3,IF(OR(R5-R4=R4-R2,R6-R4=R4-R2),R2,"-"))</f>
        <v>#VALUE!</v>
      </c>
      <c r="T2" s="69" t="e">
        <f>IFERROR(VLOOKUP(S2,STN_TABLE,2,FALSE),IF(R2=RisePerWLS,0,"-"))</f>
        <v>#VALUE!</v>
      </c>
      <c r="U2" s="69">
        <v>5</v>
      </c>
      <c r="V2" s="69" t="e">
        <f>T2*U2</f>
        <v>#VALUE!</v>
      </c>
      <c r="W2" s="69">
        <v>3</v>
      </c>
      <c r="X2" s="69" t="e">
        <f>T2*W2</f>
        <v>#VALUE!</v>
      </c>
      <c r="Y2" s="6" t="s">
        <v>93</v>
      </c>
      <c r="Z2" s="70" t="e">
        <f>IF(AND(S4-S3=S3-S2,NOT(AND(S2=0,S3=0)),NOT(AND(S3=0,S4=0))),WLS*(S4-S3),"#NA")</f>
        <v>#VALUE!</v>
      </c>
      <c r="AE2" s="71" t="s">
        <v>94</v>
      </c>
    </row>
    <row r="3" spans="1:46" x14ac:dyDescent="0.25">
      <c r="B3" s="72" t="s">
        <v>0</v>
      </c>
      <c r="C3" s="73" t="s">
        <v>95</v>
      </c>
      <c r="D3" s="73" t="s">
        <v>18</v>
      </c>
      <c r="E3" s="74" t="s">
        <v>20</v>
      </c>
      <c r="H3" s="75" t="s">
        <v>96</v>
      </c>
      <c r="K3" t="str">
        <f>IF(Rise=0,"(Not considered)","(Considered)")</f>
        <v>(Considered)</v>
      </c>
      <c r="Q3" s="66" t="str">
        <f t="shared" si="0"/>
        <v>1st_UWL</v>
      </c>
      <c r="R3" s="67" t="str">
        <f t="shared" si="0"/>
        <v>#NA</v>
      </c>
      <c r="S3" s="76" t="str">
        <f>R4</f>
        <v>#NA</v>
      </c>
      <c r="T3" s="77" t="e">
        <f>VLOOKUP(S3,STN_TABLE,2,FALSE)</f>
        <v>#N/A</v>
      </c>
      <c r="U3" s="77">
        <v>8</v>
      </c>
      <c r="V3" s="77" t="e">
        <f>T3*U3</f>
        <v>#N/A</v>
      </c>
      <c r="W3" s="77">
        <v>10</v>
      </c>
      <c r="X3" s="77" t="e">
        <f>T3*W3</f>
        <v>#N/A</v>
      </c>
      <c r="Y3" s="78" t="s">
        <v>97</v>
      </c>
      <c r="Z3" s="78"/>
      <c r="AA3" s="78" t="s">
        <v>98</v>
      </c>
      <c r="AB3" s="78"/>
      <c r="AC3" s="7" t="s">
        <v>99</v>
      </c>
      <c r="AD3" s="7"/>
      <c r="AE3" s="66" t="str">
        <f t="shared" ref="AE3:AF7" si="1">G4</f>
        <v>Rise</v>
      </c>
      <c r="AF3" s="67" t="e">
        <f t="shared" si="1"/>
        <v>#VALUE!</v>
      </c>
      <c r="AG3" s="79" t="e">
        <f>IF(AF7-AF6=AF6-AF5,AF5,IF(OR(AF7-AF6=AF6-AF4,AF7-AF5=AF5-AF4),AF4,IF(OR(AF7-AF6=AF6-AF3,AF7-AF5=AF5-AF3,AF7-AF4=AF4-AF3),AF3,"#NA")))</f>
        <v>#VALUE!</v>
      </c>
      <c r="AH3" s="69" t="e">
        <f>IFERROR(VLOOKUP(AG3,STN_TABLE,2,FALSE),IF(AF3=RisePerWLS,0,"-"))</f>
        <v>#VALUE!</v>
      </c>
      <c r="AI3" s="69">
        <v>1</v>
      </c>
      <c r="AJ3" s="69" t="e">
        <f>AH3*AI3</f>
        <v>#VALUE!</v>
      </c>
      <c r="AK3" s="69" t="e">
        <f>AG3</f>
        <v>#VALUE!</v>
      </c>
      <c r="AL3" s="69" t="e">
        <f>AJ3*AK3</f>
        <v>#VALUE!</v>
      </c>
      <c r="AM3" s="6" t="s">
        <v>93</v>
      </c>
      <c r="AN3" s="70" t="e">
        <f>IF(AND(AH3=0,AH4=0,AH5=0),WLS*(AG5-AG4),IF(AND(AG5-AG4=AG4-AG3,AG4&lt;&gt;AG5,AG3&lt;&gt;AG4,AG3&lt;&gt;AG5,AH5&lt;&gt;0,OR(AH3&lt;&gt;0,AH4&lt;&gt;0)),WLS*(AG5-AG4),"#NA"))</f>
        <v>#VALUE!</v>
      </c>
    </row>
    <row r="4" spans="1:46" x14ac:dyDescent="0.25">
      <c r="A4">
        <v>1</v>
      </c>
      <c r="B4" s="80">
        <f t="shared" ref="B4:B28" si="2">VLOOKUP(Stn_WL,OFFSET_A,A4+1,FALSE)</f>
        <v>0</v>
      </c>
      <c r="C4" s="81">
        <f t="shared" ref="C4:C28" si="3">VLOOKUP(Station_No,OFFSET_A,A4+1,FALSE)</f>
        <v>3.8</v>
      </c>
      <c r="D4" s="81">
        <v>0</v>
      </c>
      <c r="E4" s="77">
        <v>0</v>
      </c>
      <c r="G4" t="s">
        <v>100</v>
      </c>
      <c r="H4" t="e">
        <f>Rise/WLS</f>
        <v>#VALUE!</v>
      </c>
      <c r="K4" t="str">
        <f>CONCATENATE("A(",H5,")=")</f>
        <v>A(#NA)=</v>
      </c>
      <c r="L4" t="e">
        <f>IFERROR(N18,N22)</f>
        <v>#VALUE!</v>
      </c>
      <c r="Q4" s="66" t="str">
        <f t="shared" si="0"/>
        <v>2nd_UWL</v>
      </c>
      <c r="R4" s="67" t="str">
        <f t="shared" si="0"/>
        <v>#NA</v>
      </c>
      <c r="S4" s="82" t="e">
        <f>IF((S2-S3)=S3-R5,R5,IF(S2-S3=S3-R6,R6,"-"))</f>
        <v>#VALUE!</v>
      </c>
      <c r="T4" s="83" t="e">
        <f>VLOOKUP(S4,STN_TABLE,2,FALSE)</f>
        <v>#VALUE!</v>
      </c>
      <c r="U4" s="83">
        <v>-1</v>
      </c>
      <c r="V4" s="83" t="e">
        <f>T4*U4</f>
        <v>#VALUE!</v>
      </c>
      <c r="W4" s="83">
        <v>-1</v>
      </c>
      <c r="X4" s="83" t="e">
        <f>T4*W4</f>
        <v>#VALUE!</v>
      </c>
      <c r="Y4" s="84" t="str">
        <f>CONCATENATE("a'(",S3,")=")</f>
        <v>a'(#NA)=</v>
      </c>
      <c r="Z4" s="85" t="e">
        <f>2*Z2/12*V5</f>
        <v>#VALUE!</v>
      </c>
      <c r="AA4" s="84" t="e">
        <f>CONCATENATE("A(",S2,")=")</f>
        <v>#VALUE!</v>
      </c>
      <c r="AB4" s="84" t="e">
        <f>IF(S2=RisePerWLS,0,VLOOKUP(S2,STN_TABLE,3,FALSE))</f>
        <v>#VALUE!</v>
      </c>
      <c r="AC4" t="str">
        <f>CONCATENATE("A(",S3,")=")</f>
        <v>A(#NA)=</v>
      </c>
      <c r="AD4" t="e">
        <f>Z4+AB4</f>
        <v>#VALUE!</v>
      </c>
      <c r="AE4" s="66" t="str">
        <f t="shared" si="1"/>
        <v>1st_UWL</v>
      </c>
      <c r="AF4" s="67" t="str">
        <f t="shared" si="1"/>
        <v>#NA</v>
      </c>
      <c r="AG4" s="80" t="e">
        <f>IF(OR(AF7-AF6=AF6-AF5,AF7-AF6=AF6-AF4,AF7-AF6=AF6-AF3),AF6,IF(OR(AF7-AF5=AF5-AF4,AF7-AF5=AF5-AF3),AF5,IF(AF7-AF4=AF4-AF3,AF4,"#NA")))</f>
        <v>#VALUE!</v>
      </c>
      <c r="AH4" s="77" t="e">
        <f>VLOOKUP(AG4,STN_TABLE,2,FALSE)</f>
        <v>#VALUE!</v>
      </c>
      <c r="AI4" s="77">
        <v>4</v>
      </c>
      <c r="AJ4" s="77" t="e">
        <f>AH4*AI4</f>
        <v>#VALUE!</v>
      </c>
      <c r="AK4" s="77" t="e">
        <f>AG4</f>
        <v>#VALUE!</v>
      </c>
      <c r="AL4" s="77" t="e">
        <f>AJ4*AK4</f>
        <v>#VALUE!</v>
      </c>
      <c r="AM4" s="78" t="s">
        <v>97</v>
      </c>
      <c r="AN4" s="78"/>
      <c r="AO4" s="78" t="s">
        <v>98</v>
      </c>
      <c r="AP4" s="78"/>
      <c r="AQ4" s="7" t="s">
        <v>99</v>
      </c>
      <c r="AR4" s="7"/>
      <c r="AS4" s="7"/>
      <c r="AT4" s="7"/>
    </row>
    <row r="5" spans="1:46" x14ac:dyDescent="0.25">
      <c r="A5">
        <v>2</v>
      </c>
      <c r="B5" s="80">
        <f t="shared" si="2"/>
        <v>0.25</v>
      </c>
      <c r="C5" s="81">
        <f t="shared" si="3"/>
        <v>5.33</v>
      </c>
      <c r="D5" s="81">
        <f t="shared" ref="D5:D28" si="4">IFERROR(VLOOKUP(CONCATENATE("A(",B5,")="),RESULT_TABLE,6,FALSE)," ")</f>
        <v>4.6150000000000002</v>
      </c>
      <c r="E5" s="77">
        <f t="shared" ref="E5:E28" si="5">IFERROR(VLOOKUP(CONCATENATE("M(",B5,")="),RESULT_TABLE,6,FALSE)," ")</f>
        <v>1.2174999999999998</v>
      </c>
      <c r="G5" t="s">
        <v>101</v>
      </c>
      <c r="H5" t="str">
        <f>VLOOKUP(Station_No,RISE_CALC,4,FALSE)</f>
        <v>#NA</v>
      </c>
      <c r="K5" t="str">
        <f>CONCATENATE("M(",H5,")=")</f>
        <v>M(#NA)=</v>
      </c>
      <c r="L5" t="e">
        <f>IFERROR(N19,N23)</f>
        <v>#VALUE!</v>
      </c>
      <c r="Q5" s="66" t="str">
        <f t="shared" si="0"/>
        <v>3rd_UWL</v>
      </c>
      <c r="R5" s="67" t="str">
        <f t="shared" si="0"/>
        <v>#NA</v>
      </c>
      <c r="V5" s="86" t="e">
        <f>SUM(V2:V4)</f>
        <v>#VALUE!</v>
      </c>
      <c r="X5" s="87" t="e">
        <f>SUM(X2:X4)</f>
        <v>#VALUE!</v>
      </c>
      <c r="Y5" s="84" t="str">
        <f>CONCATENATE("m'(",S3,")=")</f>
        <v>m'(#NA)=</v>
      </c>
      <c r="Z5" s="85" t="e">
        <f>(2*(Z2^2)/24*X5)+(Z4*S2*WLS)</f>
        <v>#VALUE!</v>
      </c>
      <c r="AA5" s="84" t="e">
        <f>CONCATENATE("M(",S2,")=")</f>
        <v>#VALUE!</v>
      </c>
      <c r="AB5" s="84" t="e">
        <f>IF(S2=RisePerWLS,0,VLOOKUP(S2,STN_TABLE,4,FALSE))</f>
        <v>#VALUE!</v>
      </c>
      <c r="AC5" t="str">
        <f>CONCATENATE("M(",S3,")=")</f>
        <v>M(#NA)=</v>
      </c>
      <c r="AD5" t="e">
        <f>Z5+AB5</f>
        <v>#VALUE!</v>
      </c>
      <c r="AE5" s="66" t="str">
        <f t="shared" si="1"/>
        <v>2nd_UWL</v>
      </c>
      <c r="AF5" s="67" t="str">
        <f t="shared" si="1"/>
        <v>#NA</v>
      </c>
      <c r="AG5" s="88" t="str">
        <f>AF7</f>
        <v>#NA</v>
      </c>
      <c r="AH5" s="83" t="e">
        <f>VLOOKUP(AG5,STN_TABLE,2,FALSE)</f>
        <v>#N/A</v>
      </c>
      <c r="AI5" s="83">
        <v>1</v>
      </c>
      <c r="AJ5" s="83" t="e">
        <f>AH5*AI5</f>
        <v>#N/A</v>
      </c>
      <c r="AK5" s="83" t="str">
        <f>AG5</f>
        <v>#NA</v>
      </c>
      <c r="AL5" s="83" t="e">
        <f>AJ5*AK5</f>
        <v>#N/A</v>
      </c>
      <c r="AM5" s="84" t="str">
        <f>CONCATENATE("a'(",AG5,")=")</f>
        <v>a'(#NA)=</v>
      </c>
      <c r="AN5" s="84" t="e">
        <f>2*AN3/3*AJ6</f>
        <v>#VALUE!</v>
      </c>
      <c r="AO5" s="84" t="e">
        <f>CONCATENATE("A(",AG3,")=")</f>
        <v>#VALUE!</v>
      </c>
      <c r="AP5" s="84" t="e">
        <f>IF(AG3=RisePerWLS,0,VLOOKUP(AG3,STN_TABLE,3,FALSE))</f>
        <v>#VALUE!</v>
      </c>
      <c r="AQ5" t="str">
        <f>CONCATENATE("A(",AG5,")=")</f>
        <v>A(#NA)=</v>
      </c>
      <c r="AR5" t="e">
        <f>AN5+AP5</f>
        <v>#VALUE!</v>
      </c>
    </row>
    <row r="6" spans="1:46" x14ac:dyDescent="0.25">
      <c r="A6">
        <v>3</v>
      </c>
      <c r="B6" s="80">
        <f t="shared" si="2"/>
        <v>0.5</v>
      </c>
      <c r="C6" s="81">
        <f t="shared" si="3"/>
        <v>6.26</v>
      </c>
      <c r="D6" s="81">
        <f t="shared" si="4"/>
        <v>10.46</v>
      </c>
      <c r="E6" s="77">
        <f t="shared" si="5"/>
        <v>5.6400000000000006</v>
      </c>
      <c r="G6" t="s">
        <v>102</v>
      </c>
      <c r="H6" t="str">
        <f>VLOOKUP(Station_No,RISE_CALC,5,FALSE)</f>
        <v>#NA</v>
      </c>
      <c r="K6" t="str">
        <f>CONCATENATE("A(",H6,")=")</f>
        <v>A(#NA)=</v>
      </c>
      <c r="L6" t="e">
        <f>IFERROR(P27,IFERROR(X6,AD9))</f>
        <v>#VALUE!</v>
      </c>
      <c r="Q6" s="66" t="str">
        <f t="shared" si="0"/>
        <v>4th_UWL</v>
      </c>
      <c r="R6" s="67" t="str">
        <f t="shared" si="0"/>
        <v>#NA</v>
      </c>
      <c r="U6" t="s">
        <v>103</v>
      </c>
      <c r="W6" t="str">
        <f>CONCATENATE("A(",S3,")=")</f>
        <v>A(#NA)=</v>
      </c>
      <c r="X6" t="e">
        <f>IF(OR(AD4&lt;=0,AD5&lt;=0),AD9,AD4)</f>
        <v>#VALUE!</v>
      </c>
      <c r="AE6" s="66" t="str">
        <f t="shared" si="1"/>
        <v>3rd_UWL</v>
      </c>
      <c r="AF6" s="67" t="str">
        <f t="shared" si="1"/>
        <v>#NA</v>
      </c>
      <c r="AJ6" s="89" t="e">
        <f>SUM(AJ3:AJ5)</f>
        <v>#VALUE!</v>
      </c>
      <c r="AL6" s="89" t="e">
        <f>SUM(AL3:AL5)</f>
        <v>#VALUE!</v>
      </c>
      <c r="AM6" s="84" t="str">
        <f>CONCATENATE("m'(",AG5,")=")</f>
        <v>m'(#NA)=</v>
      </c>
      <c r="AN6" s="84" t="e">
        <f>2*(AN3*WLS)/3*AL6</f>
        <v>#VALUE!</v>
      </c>
      <c r="AO6" s="84" t="e">
        <f>CONCATENATE("M(",AG3,")=")</f>
        <v>#VALUE!</v>
      </c>
      <c r="AP6" s="84" t="e">
        <f>IF(AG3=RisePerWLS,0,VLOOKUP(AG3,STN_TABLE,4,FALSE))</f>
        <v>#VALUE!</v>
      </c>
      <c r="AQ6" t="str">
        <f>CONCATENATE("M(",AG5,")=")</f>
        <v>M(#NA)=</v>
      </c>
      <c r="AR6" t="e">
        <f>AN6+AP6</f>
        <v>#VALUE!</v>
      </c>
    </row>
    <row r="7" spans="1:46" x14ac:dyDescent="0.25">
      <c r="A7">
        <v>4</v>
      </c>
      <c r="B7" s="80">
        <f t="shared" si="2"/>
        <v>0.75</v>
      </c>
      <c r="C7" s="81">
        <f t="shared" si="3"/>
        <v>6.83</v>
      </c>
      <c r="D7" s="81">
        <f t="shared" si="4"/>
        <v>17.015000000000001</v>
      </c>
      <c r="E7" s="77">
        <f t="shared" si="5"/>
        <v>13.8675</v>
      </c>
      <c r="G7" t="s">
        <v>104</v>
      </c>
      <c r="H7" t="str">
        <f>VLOOKUP(Station_No,RISE_CALC,6,FALSE)</f>
        <v>#NA</v>
      </c>
      <c r="K7" t="str">
        <f>CONCATENATE("M(",H6,")=")</f>
        <v>M(#NA)=</v>
      </c>
      <c r="L7" t="e">
        <f>IFERROR(P28,IFERROR(X7,AD10))</f>
        <v>#VALUE!</v>
      </c>
      <c r="Q7" s="66"/>
      <c r="R7" s="67"/>
      <c r="W7" t="str">
        <f>CONCATENATE("M(",S3,")=")</f>
        <v>M(#NA)=</v>
      </c>
      <c r="X7" t="e">
        <f>IF(OR(AD4&lt;=0,AD5&lt;=0),AD10,AD5)</f>
        <v>#VALUE!</v>
      </c>
      <c r="Y7" s="6" t="s">
        <v>93</v>
      </c>
      <c r="Z7" s="70" t="e">
        <f>WLS*(U9-U8)</f>
        <v>#VALUE!</v>
      </c>
      <c r="AE7" s="66" t="str">
        <f t="shared" si="1"/>
        <v>4th_UWL</v>
      </c>
      <c r="AF7" s="67" t="str">
        <f t="shared" si="1"/>
        <v>#NA</v>
      </c>
      <c r="AH7" s="81"/>
    </row>
    <row r="8" spans="1:46" x14ac:dyDescent="0.25">
      <c r="A8">
        <v>5</v>
      </c>
      <c r="B8" s="80">
        <f t="shared" si="2"/>
        <v>1</v>
      </c>
      <c r="C8" s="81">
        <f t="shared" si="3"/>
        <v>7.29</v>
      </c>
      <c r="D8" s="81">
        <f t="shared" si="4"/>
        <v>24.083333333333332</v>
      </c>
      <c r="E8" s="77">
        <f t="shared" si="5"/>
        <v>26.246666666666666</v>
      </c>
      <c r="G8" t="s">
        <v>105</v>
      </c>
      <c r="H8" t="str">
        <f>VLOOKUP(Station_No,RISE_CALC,7,FALSE)</f>
        <v>#NA</v>
      </c>
      <c r="K8" t="str">
        <f>CONCATENATE("A(",H7,")=")</f>
        <v>A(#NA)=</v>
      </c>
      <c r="L8" t="e">
        <f>IFERROR(AD15,IFERROR(X24,AD27))</f>
        <v>#VALUE!</v>
      </c>
      <c r="Q8" s="80"/>
      <c r="R8" s="81"/>
      <c r="U8" s="79" t="str">
        <f>R3</f>
        <v>#NA</v>
      </c>
      <c r="V8" s="68" t="e">
        <f>VLOOKUP(U8,STN_TABLE,2,FALSE)</f>
        <v>#N/A</v>
      </c>
      <c r="W8" s="68">
        <v>1</v>
      </c>
      <c r="X8" s="69" t="e">
        <f>V8*W8</f>
        <v>#N/A</v>
      </c>
      <c r="Y8" s="78" t="s">
        <v>97</v>
      </c>
      <c r="Z8" s="78"/>
      <c r="AA8" s="78" t="s">
        <v>98</v>
      </c>
      <c r="AB8" s="78"/>
      <c r="AC8" s="7" t="s">
        <v>99</v>
      </c>
      <c r="AD8" s="7"/>
      <c r="AE8" s="66"/>
      <c r="AF8" s="67"/>
      <c r="AG8" s="68" t="e">
        <f>IF(OR(AF12-AF11=AF11-AF10,AF13-AF11=AF11-AF10),AF10,IF(OR(AF12-AF11=AF11-AF9,AF13-AF11=AF11-AF9),AF9,"-"))</f>
        <v>#VALUE!</v>
      </c>
      <c r="AH8" s="69" t="e">
        <f>IFERROR(VLOOKUP(AG8,STN_TABLE,2,FALSE),IF(AF8=RisePerWLS,0,"-"))</f>
        <v>#VALUE!</v>
      </c>
      <c r="AI8" s="69">
        <v>5</v>
      </c>
      <c r="AJ8" s="69" t="e">
        <f>AH8*AI8</f>
        <v>#VALUE!</v>
      </c>
      <c r="AK8" s="69">
        <v>3</v>
      </c>
      <c r="AL8" s="69" t="e">
        <f>AH8*AK8</f>
        <v>#VALUE!</v>
      </c>
      <c r="AM8" s="6" t="s">
        <v>93</v>
      </c>
      <c r="AN8" s="70" t="e">
        <f>IF(AND(AG10-AG9=AG9-AG8,NOT(AND(AG8=0,AG9=0)),NOT(AND(AG9=0,AG10=0))),WLS*(AG10-AG9),"#NA")</f>
        <v>#VALUE!</v>
      </c>
    </row>
    <row r="9" spans="1:46" x14ac:dyDescent="0.25">
      <c r="A9">
        <v>6</v>
      </c>
      <c r="B9" s="80">
        <f t="shared" si="2"/>
        <v>2</v>
      </c>
      <c r="C9" s="81">
        <f t="shared" si="3"/>
        <v>8.61</v>
      </c>
      <c r="D9" s="81">
        <f t="shared" si="4"/>
        <v>56.043333333333329</v>
      </c>
      <c r="E9" s="77">
        <f t="shared" si="5"/>
        <v>123.00666666666666</v>
      </c>
      <c r="G9" t="s">
        <v>106</v>
      </c>
      <c r="H9" t="str">
        <f>VLOOKUP(Station_No,RISE_CALC,8,FALSE)</f>
        <v>#NA</v>
      </c>
      <c r="K9" t="str">
        <f>CONCATENATE("M(",H7,")=")</f>
        <v>M(#NA)=</v>
      </c>
      <c r="L9" t="e">
        <f>IFERROR(AD16,IFERROR(X25,AD28))</f>
        <v>#VALUE!</v>
      </c>
      <c r="Q9" s="80"/>
      <c r="R9" s="81"/>
      <c r="U9" s="88" t="str">
        <f>R4</f>
        <v>#NA</v>
      </c>
      <c r="V9" s="82" t="e">
        <f>VLOOKUP(U9,STN_TABLE,2,FALSE)</f>
        <v>#N/A</v>
      </c>
      <c r="W9" s="82">
        <v>2</v>
      </c>
      <c r="X9" s="83" t="e">
        <f>V9*W9</f>
        <v>#N/A</v>
      </c>
      <c r="Y9" s="84" t="str">
        <f>CONCATENATE("a'(",U9,")=")</f>
        <v>a'(#NA)=</v>
      </c>
      <c r="Z9" s="84" t="e">
        <f>2*Z7/2*V10</f>
        <v>#VALUE!</v>
      </c>
      <c r="AA9" s="84" t="str">
        <f>CONCATENATE("A(",U8,")=")</f>
        <v>A(#NA)=</v>
      </c>
      <c r="AB9" s="84" t="e">
        <f>IF(U8=RisePerWLS,0,VLOOKUP(U8,STN_TABLE,3,FALSE))</f>
        <v>#VALUE!</v>
      </c>
      <c r="AC9" t="str">
        <f>CONCATENATE("A(",U9,")=")</f>
        <v>A(#NA)=</v>
      </c>
      <c r="AD9" t="e">
        <f>Z9+AB9</f>
        <v>#VALUE!</v>
      </c>
      <c r="AE9" s="66" t="str">
        <f t="shared" ref="AE9:AF13" si="6">G6</f>
        <v>2nd_UWL</v>
      </c>
      <c r="AF9" s="67" t="str">
        <f t="shared" si="6"/>
        <v>#NA</v>
      </c>
      <c r="AG9" s="76" t="str">
        <f>AF11</f>
        <v>#NA</v>
      </c>
      <c r="AH9" s="77" t="e">
        <f>VLOOKUP(AG9,STN_TABLE,2,FALSE)</f>
        <v>#N/A</v>
      </c>
      <c r="AI9" s="77">
        <v>8</v>
      </c>
      <c r="AJ9" s="77" t="e">
        <f>AH9*AI9</f>
        <v>#N/A</v>
      </c>
      <c r="AK9" s="77">
        <v>10</v>
      </c>
      <c r="AL9" s="77" t="e">
        <f>AH9*AK9</f>
        <v>#N/A</v>
      </c>
      <c r="AM9" s="78" t="s">
        <v>97</v>
      </c>
      <c r="AN9" s="78"/>
      <c r="AO9" s="78" t="s">
        <v>98</v>
      </c>
      <c r="AP9" s="78"/>
      <c r="AQ9" s="7" t="s">
        <v>99</v>
      </c>
      <c r="AR9" s="7"/>
      <c r="AS9" s="7"/>
      <c r="AT9" s="7"/>
    </row>
    <row r="10" spans="1:46" x14ac:dyDescent="0.25">
      <c r="A10">
        <v>7</v>
      </c>
      <c r="B10" s="80">
        <f t="shared" si="2"/>
        <v>3</v>
      </c>
      <c r="C10" s="81">
        <f t="shared" si="3"/>
        <v>9.4499999999999993</v>
      </c>
      <c r="D10" s="81">
        <f t="shared" si="4"/>
        <v>92.323333333333309</v>
      </c>
      <c r="E10" s="77">
        <f t="shared" si="5"/>
        <v>304.96666666666664</v>
      </c>
      <c r="G10" t="s">
        <v>107</v>
      </c>
      <c r="H10" t="str">
        <f>VLOOKUP(Station_No,RISE_CALC,9,FALSE)</f>
        <v>#NA</v>
      </c>
      <c r="K10" t="str">
        <f>CONCATENATE("A(",H8,")=")</f>
        <v>A(#NA)=</v>
      </c>
      <c r="L10" t="e">
        <f>IFERROR(AR5,IFERROR(AL12,AR15))</f>
        <v>#VALUE!</v>
      </c>
      <c r="Q10" s="80"/>
      <c r="R10" s="81"/>
      <c r="V10" s="89" t="e">
        <f>SUM(V8:V9)</f>
        <v>#N/A</v>
      </c>
      <c r="X10" s="89" t="e">
        <f>SUM(X8:X9)</f>
        <v>#N/A</v>
      </c>
      <c r="Y10" s="84" t="str">
        <f>CONCATENATE("m'(",U9,")=")</f>
        <v>m'(#NA)=</v>
      </c>
      <c r="Z10" s="84" t="e">
        <f>(2*(Z7^2)/6*X10)+(Z9*U8*WLS)</f>
        <v>#VALUE!</v>
      </c>
      <c r="AA10" s="84" t="str">
        <f>CONCATENATE("M(",U8,")=")</f>
        <v>M(#NA)=</v>
      </c>
      <c r="AB10" s="84" t="e">
        <f>IF(U8=RisePerWLS,0,VLOOKUP(U8,STN_TABLE,4,FALSE))</f>
        <v>#VALUE!</v>
      </c>
      <c r="AC10" t="str">
        <f>CONCATENATE("M(",U9,")=")</f>
        <v>M(#NA)=</v>
      </c>
      <c r="AD10" t="e">
        <f>Z10+AB10</f>
        <v>#VALUE!</v>
      </c>
      <c r="AE10" s="66" t="str">
        <f t="shared" si="6"/>
        <v>3rd_UWL</v>
      </c>
      <c r="AF10" s="67" t="str">
        <f t="shared" si="6"/>
        <v>#NA</v>
      </c>
      <c r="AG10" s="82" t="e">
        <f>IF(AG8-AG9=AG9-AF12,AF12,IF(AG8-AG9=AG9-AF13,AF13,"-"))</f>
        <v>#VALUE!</v>
      </c>
      <c r="AH10" s="83" t="e">
        <f>VLOOKUP(AG10,STN_TABLE,2,FALSE)</f>
        <v>#VALUE!</v>
      </c>
      <c r="AI10" s="83">
        <v>-1</v>
      </c>
      <c r="AJ10" s="83" t="e">
        <f>AH10*AI10</f>
        <v>#VALUE!</v>
      </c>
      <c r="AK10" s="83">
        <v>-1</v>
      </c>
      <c r="AL10" s="83" t="e">
        <f>AH10*AK10</f>
        <v>#VALUE!</v>
      </c>
      <c r="AM10" s="84" t="str">
        <f>CONCATENATE("a'(",AG9,")=")</f>
        <v>a'(#NA)=</v>
      </c>
      <c r="AN10" s="84" t="e">
        <f>2*AN8/12*AJ11</f>
        <v>#VALUE!</v>
      </c>
      <c r="AO10" s="84" t="e">
        <f>CONCATENATE("A(",AG8,")=")</f>
        <v>#VALUE!</v>
      </c>
      <c r="AP10" s="84" t="e">
        <f>VLOOKUP(AG8,STN_TABLE,3,FALSE)</f>
        <v>#VALUE!</v>
      </c>
      <c r="AQ10" t="str">
        <f>CONCATENATE("A(",AG9,")=")</f>
        <v>A(#NA)=</v>
      </c>
      <c r="AR10" t="e">
        <f>AN10+AP10</f>
        <v>#VALUE!</v>
      </c>
    </row>
    <row r="11" spans="1:46" x14ac:dyDescent="0.25">
      <c r="A11">
        <v>8</v>
      </c>
      <c r="B11" s="80">
        <f t="shared" si="2"/>
        <v>4</v>
      </c>
      <c r="C11" s="81">
        <f t="shared" si="3"/>
        <v>10.1</v>
      </c>
      <c r="D11" s="81">
        <f t="shared" si="4"/>
        <v>131.38999999999999</v>
      </c>
      <c r="E11" s="77">
        <f t="shared" si="5"/>
        <v>579.05999999999995</v>
      </c>
      <c r="G11" t="s">
        <v>108</v>
      </c>
      <c r="H11" t="str">
        <f>VLOOKUP(Station_No,RISE_CALC,10,FALSE)</f>
        <v>#NA</v>
      </c>
      <c r="K11" t="str">
        <f>CONCATENATE("M(",H8,")=")</f>
        <v>M(#NA)=</v>
      </c>
      <c r="L11" t="e">
        <f>IFERROR(AR6,IFERROR(AL13,AR16))</f>
        <v>#VALUE!</v>
      </c>
      <c r="Q11" s="80"/>
      <c r="R11" s="81"/>
      <c r="AE11" s="66" t="str">
        <f t="shared" si="6"/>
        <v>4th_UWL</v>
      </c>
      <c r="AF11" s="67" t="str">
        <f t="shared" si="6"/>
        <v>#NA</v>
      </c>
      <c r="AJ11" s="89" t="e">
        <f>SUM(AJ8:AJ10)</f>
        <v>#VALUE!</v>
      </c>
      <c r="AL11" s="89" t="e">
        <f>SUM(AL8:AL10)</f>
        <v>#VALUE!</v>
      </c>
      <c r="AM11" s="84" t="str">
        <f>CONCATENATE("m'(",AG9,")=")</f>
        <v>m'(#NA)=</v>
      </c>
      <c r="AN11" s="84" t="e">
        <f>(2*(AN8^2)/24*AL11)+(AN10*AG8*WLS)</f>
        <v>#VALUE!</v>
      </c>
      <c r="AO11" s="84" t="e">
        <f>CONCATENATE("M(",AG8,")=")</f>
        <v>#VALUE!</v>
      </c>
      <c r="AP11" s="84" t="e">
        <f>VLOOKUP(AG8,STN_TABLE,4,FALSE)</f>
        <v>#VALUE!</v>
      </c>
      <c r="AQ11" t="str">
        <f>CONCATENATE("M(",AG9,")=")</f>
        <v>M(#NA)=</v>
      </c>
      <c r="AR11" t="e">
        <f>AN11+AP11</f>
        <v>#VALUE!</v>
      </c>
    </row>
    <row r="12" spans="1:46" x14ac:dyDescent="0.25">
      <c r="A12">
        <v>9</v>
      </c>
      <c r="B12" s="80">
        <f t="shared" si="2"/>
        <v>4.8499999999999996</v>
      </c>
      <c r="C12" s="81">
        <f t="shared" si="3"/>
        <v>10.45</v>
      </c>
      <c r="D12" s="81">
        <f t="shared" si="4"/>
        <v>166.32499999999996</v>
      </c>
      <c r="E12" s="77">
        <f t="shared" si="5"/>
        <v>888.40333333333308</v>
      </c>
      <c r="Q12" s="90" t="s">
        <v>109</v>
      </c>
      <c r="R12" s="81"/>
      <c r="AE12" s="66" t="str">
        <f t="shared" si="6"/>
        <v>5th_UWL</v>
      </c>
      <c r="AF12" s="67" t="str">
        <f t="shared" si="6"/>
        <v>#NA</v>
      </c>
      <c r="AI12" t="s">
        <v>103</v>
      </c>
      <c r="AK12" t="str">
        <f>CONCATENATE("A(",AG9,")=")</f>
        <v>A(#NA)=</v>
      </c>
      <c r="AL12" t="e">
        <f>IF(OR(AR10&lt;=0,AR11&lt;=0),AR15,AR10)</f>
        <v>#VALUE!</v>
      </c>
    </row>
    <row r="13" spans="1:46" x14ac:dyDescent="0.25">
      <c r="A13">
        <v>10</v>
      </c>
      <c r="B13" s="80">
        <f t="shared" si="2"/>
        <v>5</v>
      </c>
      <c r="C13" s="81">
        <f t="shared" si="3"/>
        <v>10.5</v>
      </c>
      <c r="D13" s="81">
        <f t="shared" si="4"/>
        <v>172.78999999999996</v>
      </c>
      <c r="E13" s="77">
        <f t="shared" si="5"/>
        <v>951.5</v>
      </c>
      <c r="G13" s="71" t="s">
        <v>110</v>
      </c>
      <c r="Q13" s="66" t="str">
        <f t="shared" ref="Q13:R16" si="7">G4</f>
        <v>Rise</v>
      </c>
      <c r="R13" s="67" t="e">
        <f t="shared" si="7"/>
        <v>#VALUE!</v>
      </c>
      <c r="S13" s="68" t="e">
        <f>IF(R16-R15=R15-R14,R14,IF(R16-R14=R14-R13,R13,"-"))</f>
        <v>#VALUE!</v>
      </c>
      <c r="T13" s="69" t="e">
        <f>IFERROR(VLOOKUP(S13,STN_TABLE,2,FALSE),IF(R13=RisePerWLS,0,"-"))</f>
        <v>#VALUE!</v>
      </c>
      <c r="U13" s="69">
        <v>1</v>
      </c>
      <c r="V13" s="69" t="e">
        <f>T13*U13</f>
        <v>#VALUE!</v>
      </c>
      <c r="W13" s="69" t="e">
        <f>S13</f>
        <v>#VALUE!</v>
      </c>
      <c r="X13" s="69" t="e">
        <f>V13*W13</f>
        <v>#VALUE!</v>
      </c>
      <c r="Y13" s="6" t="s">
        <v>93</v>
      </c>
      <c r="Z13" s="70" t="e">
        <f>IF(AND(T13=0,T14=0,T15=0),WLS*(S15-S14),IF(AND(S15-S14=S14-S13,S14&lt;&gt;S15,S13&lt;&gt;S14,S13&lt;&gt;S15,T15&lt;&gt;0,OR(T13&lt;&gt;0,T14&lt;&gt;0)),WLS*(S15-S14),"#NA"))</f>
        <v>#VALUE!</v>
      </c>
      <c r="AE13" s="66" t="str">
        <f t="shared" si="6"/>
        <v>6th_UWL</v>
      </c>
      <c r="AF13" s="67" t="str">
        <f t="shared" si="6"/>
        <v>#NA</v>
      </c>
      <c r="AK13" t="str">
        <f>CONCATENATE("M(",AG9,")=")</f>
        <v>M(#NA)=</v>
      </c>
      <c r="AL13" t="e">
        <f>IF(OR(AR10&lt;=0,AR11&lt;=0),AR16,AR11)</f>
        <v>#VALUE!</v>
      </c>
      <c r="AM13" s="6" t="s">
        <v>93</v>
      </c>
      <c r="AN13" s="70" t="e">
        <f>WLS*(AI15-AI14)</f>
        <v>#VALUE!</v>
      </c>
    </row>
    <row r="14" spans="1:46" x14ac:dyDescent="0.25">
      <c r="A14">
        <v>11</v>
      </c>
      <c r="B14" s="80">
        <f t="shared" si="2"/>
        <v>6</v>
      </c>
      <c r="C14" s="81">
        <f t="shared" si="3"/>
        <v>10.8</v>
      </c>
      <c r="D14" s="81">
        <f t="shared" si="4"/>
        <v>215.25666666666666</v>
      </c>
      <c r="E14" s="77">
        <f t="shared" si="5"/>
        <v>1419.5933333333332</v>
      </c>
      <c r="G14" s="91" t="str">
        <f>G4</f>
        <v>Rise</v>
      </c>
      <c r="H14" s="91" t="e">
        <f>RisePerWLS</f>
        <v>#VALUE!</v>
      </c>
      <c r="I14" s="68" t="e">
        <f>H14</f>
        <v>#VALUE!</v>
      </c>
      <c r="J14" s="69">
        <v>0</v>
      </c>
      <c r="K14" s="69">
        <v>5</v>
      </c>
      <c r="L14" s="69">
        <f>J14*K14</f>
        <v>0</v>
      </c>
      <c r="M14" s="69">
        <v>3</v>
      </c>
      <c r="N14" s="69">
        <f>J14*M14</f>
        <v>0</v>
      </c>
      <c r="O14" t="s">
        <v>93</v>
      </c>
      <c r="P14" t="e">
        <f>IF(AND(NOT(AND(J14=0,J15=0)),I14&lt;&gt;I15,I15&lt;&gt;I16,I16-I15=I15-I14),(I16-I15)*WLS,"#NA")</f>
        <v>#N/A</v>
      </c>
      <c r="Q14" s="66" t="str">
        <f t="shared" si="7"/>
        <v>1st_UWL</v>
      </c>
      <c r="R14" s="67" t="str">
        <f t="shared" si="7"/>
        <v>#NA</v>
      </c>
      <c r="S14" s="76" t="e">
        <f>IF(R16-R15=R15-R14,R15,IF(R16-R14=R14-R13,R14,"-"))</f>
        <v>#VALUE!</v>
      </c>
      <c r="T14" s="77" t="e">
        <f>VLOOKUP(S14,STN_TABLE,2,FALSE)</f>
        <v>#VALUE!</v>
      </c>
      <c r="U14" s="77">
        <v>4</v>
      </c>
      <c r="V14" s="77" t="e">
        <f>T14*U14</f>
        <v>#VALUE!</v>
      </c>
      <c r="W14" s="77" t="e">
        <f>S14</f>
        <v>#VALUE!</v>
      </c>
      <c r="X14" s="77" t="e">
        <f>V14*W14</f>
        <v>#VALUE!</v>
      </c>
      <c r="Y14" s="78" t="s">
        <v>97</v>
      </c>
      <c r="Z14" s="78"/>
      <c r="AA14" s="78" t="s">
        <v>98</v>
      </c>
      <c r="AB14" s="78"/>
      <c r="AC14" s="7" t="s">
        <v>99</v>
      </c>
      <c r="AD14" s="7"/>
      <c r="AE14" s="66"/>
      <c r="AF14" s="67"/>
      <c r="AI14" s="79" t="str">
        <f>AF10</f>
        <v>#NA</v>
      </c>
      <c r="AJ14" s="68" t="e">
        <f>VLOOKUP(AI14,STN_TABLE,2,FALSE)</f>
        <v>#N/A</v>
      </c>
      <c r="AK14" s="68">
        <v>1</v>
      </c>
      <c r="AL14" s="69" t="e">
        <f>AJ14*AK14</f>
        <v>#N/A</v>
      </c>
      <c r="AM14" s="78" t="s">
        <v>97</v>
      </c>
      <c r="AN14" s="78"/>
      <c r="AO14" s="78" t="s">
        <v>98</v>
      </c>
      <c r="AP14" s="78"/>
      <c r="AQ14" s="7" t="s">
        <v>99</v>
      </c>
      <c r="AR14" s="7"/>
      <c r="AS14" s="7"/>
      <c r="AT14" s="7"/>
    </row>
    <row r="15" spans="1:46" x14ac:dyDescent="0.25">
      <c r="A15">
        <v>12</v>
      </c>
      <c r="B15" s="80">
        <f t="shared" si="2"/>
        <v>6.5</v>
      </c>
      <c r="C15" s="81">
        <f t="shared" si="3"/>
        <v>10.87</v>
      </c>
      <c r="D15" s="81">
        <f t="shared" si="4"/>
        <v>236.92666666666668</v>
      </c>
      <c r="E15" s="77">
        <f t="shared" si="5"/>
        <v>1690.48</v>
      </c>
      <c r="G15" s="91" t="str">
        <f>G5</f>
        <v>1st_UWL</v>
      </c>
      <c r="H15" s="91" t="str">
        <f>H5</f>
        <v>#NA</v>
      </c>
      <c r="I15" s="76" t="str">
        <f>H15</f>
        <v>#NA</v>
      </c>
      <c r="J15" s="77" t="e">
        <f>VLOOKUP(I15,STN_TABLE,2,FALSE)</f>
        <v>#N/A</v>
      </c>
      <c r="K15" s="77">
        <v>8</v>
      </c>
      <c r="L15" s="77" t="e">
        <f>J15*K15</f>
        <v>#N/A</v>
      </c>
      <c r="M15" s="77">
        <v>10</v>
      </c>
      <c r="N15" s="77" t="e">
        <f>J15*M15</f>
        <v>#N/A</v>
      </c>
      <c r="O15" t="str">
        <f>CONCATENATE("A(",I15,")=")</f>
        <v>A(#NA)=</v>
      </c>
      <c r="P15" t="e">
        <f>2*P14/12*L17</f>
        <v>#N/A</v>
      </c>
      <c r="Q15" s="66" t="str">
        <f t="shared" si="7"/>
        <v>2nd_UWL</v>
      </c>
      <c r="R15" s="67" t="str">
        <f t="shared" si="7"/>
        <v>#NA</v>
      </c>
      <c r="S15" s="82" t="str">
        <f>R16</f>
        <v>#NA</v>
      </c>
      <c r="T15" s="83" t="e">
        <f>VLOOKUP(S15,STN_TABLE,2,FALSE)</f>
        <v>#N/A</v>
      </c>
      <c r="U15" s="83">
        <v>1</v>
      </c>
      <c r="V15" s="83" t="e">
        <f>T15*U15</f>
        <v>#N/A</v>
      </c>
      <c r="W15" s="83" t="str">
        <f>S15</f>
        <v>#NA</v>
      </c>
      <c r="X15" s="83" t="e">
        <f>V15*W15</f>
        <v>#N/A</v>
      </c>
      <c r="Y15" s="84" t="str">
        <f>CONCATENATE("a'(",S15,")=")</f>
        <v>a'(#NA)=</v>
      </c>
      <c r="Z15" s="84" t="e">
        <f>2*Z13/3*V16</f>
        <v>#VALUE!</v>
      </c>
      <c r="AA15" s="84" t="e">
        <f>CONCATENATE("A(",S13,")=")</f>
        <v>#VALUE!</v>
      </c>
      <c r="AB15" s="84" t="e">
        <f>IF(S13=RisePerWLS,0,VLOOKUP(S13,STN_TABLE,3,FALSE))</f>
        <v>#VALUE!</v>
      </c>
      <c r="AC15" t="str">
        <f>CONCATENATE("A(",S15,")=")</f>
        <v>A(#NA)=</v>
      </c>
      <c r="AD15" t="e">
        <f>Z15+AB15</f>
        <v>#VALUE!</v>
      </c>
      <c r="AE15" s="80"/>
      <c r="AI15" s="88" t="str">
        <f>AF11</f>
        <v>#NA</v>
      </c>
      <c r="AJ15" s="82" t="e">
        <f>VLOOKUP(AI15,STN_TABLE,2,FALSE)</f>
        <v>#N/A</v>
      </c>
      <c r="AK15" s="82">
        <v>2</v>
      </c>
      <c r="AL15" s="83" t="e">
        <f>AJ15*AK15</f>
        <v>#N/A</v>
      </c>
      <c r="AM15" s="84" t="str">
        <f>CONCATENATE("a'(",AI15,")=")</f>
        <v>a'(#NA)=</v>
      </c>
      <c r="AN15" s="84" t="e">
        <f>2*AN13/2*AJ16</f>
        <v>#VALUE!</v>
      </c>
      <c r="AO15" s="84" t="str">
        <f>CONCATENATE("A(",AI14,")=")</f>
        <v>A(#NA)=</v>
      </c>
      <c r="AP15" s="84" t="e">
        <f>IF(AI14=RisePerWLS,0,VLOOKUP(AI14,STN_TABLE,3,FALSE))</f>
        <v>#VALUE!</v>
      </c>
      <c r="AQ15" t="str">
        <f>CONCATENATE("A(",AI15,")=")</f>
        <v>A(#NA)=</v>
      </c>
      <c r="AR15" t="e">
        <f>AN15+AP15</f>
        <v>#VALUE!</v>
      </c>
    </row>
    <row r="16" spans="1:46" x14ac:dyDescent="0.25">
      <c r="A16">
        <v>13</v>
      </c>
      <c r="B16" s="80" t="str">
        <f t="shared" si="2"/>
        <v xml:space="preserve">  </v>
      </c>
      <c r="C16" s="81" t="str">
        <f t="shared" si="3"/>
        <v xml:space="preserve">  </v>
      </c>
      <c r="D16" s="81" t="str">
        <f t="shared" si="4"/>
        <v xml:space="preserve"> </v>
      </c>
      <c r="E16" s="77" t="str">
        <f t="shared" si="5"/>
        <v xml:space="preserve"> </v>
      </c>
      <c r="G16" s="91" t="str">
        <f>G6</f>
        <v>2nd_UWL</v>
      </c>
      <c r="H16" s="91" t="str">
        <f>H6</f>
        <v>#NA</v>
      </c>
      <c r="I16" s="82" t="e">
        <f>IF(H16-H15=H15-H14,H16,"#NA")</f>
        <v>#VALUE!</v>
      </c>
      <c r="J16" s="83" t="e">
        <f>VLOOKUP(I16,STN_TABLE,2,FALSE)</f>
        <v>#VALUE!</v>
      </c>
      <c r="K16" s="83">
        <v>-1</v>
      </c>
      <c r="L16" s="83" t="e">
        <f>J16*K16</f>
        <v>#VALUE!</v>
      </c>
      <c r="M16" s="83">
        <v>-1</v>
      </c>
      <c r="N16" s="83" t="e">
        <f>J16*M16</f>
        <v>#VALUE!</v>
      </c>
      <c r="O16" t="str">
        <f>CONCATENATE("M(",I15,")=")</f>
        <v>M(#NA)=</v>
      </c>
      <c r="P16" t="e">
        <f>(2*(P14^2)/24*N17)+P15*I14*WLS</f>
        <v>#N/A</v>
      </c>
      <c r="Q16" s="66" t="str">
        <f t="shared" si="7"/>
        <v>3rd_UWL</v>
      </c>
      <c r="R16" s="67" t="str">
        <f t="shared" si="7"/>
        <v>#NA</v>
      </c>
      <c r="V16" s="89" t="e">
        <f>SUM(V13:V15)</f>
        <v>#VALUE!</v>
      </c>
      <c r="X16" s="89" t="e">
        <f>SUM(X13:X15)</f>
        <v>#VALUE!</v>
      </c>
      <c r="Y16" s="84" t="str">
        <f>CONCATENATE("m'(",S15,")=")</f>
        <v>m'(#NA)=</v>
      </c>
      <c r="Z16" s="84" t="e">
        <f>2*(Z13*WLS)/3*X16</f>
        <v>#VALUE!</v>
      </c>
      <c r="AA16" s="84" t="e">
        <f>CONCATENATE("M(",S13,")=")</f>
        <v>#VALUE!</v>
      </c>
      <c r="AB16" s="84" t="e">
        <f>IF(S13=RisePerWLS,0,VLOOKUP(S13,STN_TABLE,4,FALSE))</f>
        <v>#VALUE!</v>
      </c>
      <c r="AC16" t="str">
        <f>CONCATENATE("M(",S15,")=")</f>
        <v>M(#NA)=</v>
      </c>
      <c r="AD16" t="e">
        <f>Z16+AB16</f>
        <v>#VALUE!</v>
      </c>
      <c r="AE16" s="80"/>
      <c r="AJ16" s="89" t="e">
        <f>SUM(AJ14:AJ15)</f>
        <v>#N/A</v>
      </c>
      <c r="AL16" s="89" t="e">
        <f>SUM(AL14:AL15)</f>
        <v>#N/A</v>
      </c>
      <c r="AM16" s="84" t="str">
        <f>CONCATENATE("m'(",AI15,")=")</f>
        <v>m'(#NA)=</v>
      </c>
      <c r="AN16" s="84" t="e">
        <f>(2*(AN13^2)/6*AL16)+(AN15*AI14*WLS)</f>
        <v>#VALUE!</v>
      </c>
      <c r="AO16" s="84" t="str">
        <f>CONCATENATE("M(",AI14,")=")</f>
        <v>M(#NA)=</v>
      </c>
      <c r="AP16" s="84" t="e">
        <f>IF(AI14=RisePerWLS,0,VLOOKUP(AI14,STN_TABLE,4,FALSE))</f>
        <v>#VALUE!</v>
      </c>
      <c r="AQ16" t="str">
        <f>CONCATENATE("M(",AI15,")=")</f>
        <v>M(#NA)=</v>
      </c>
      <c r="AR16" t="e">
        <f>AN16+AP16</f>
        <v>#VALUE!</v>
      </c>
    </row>
    <row r="17" spans="1:35" x14ac:dyDescent="0.25">
      <c r="A17">
        <v>14</v>
      </c>
      <c r="B17" s="80" t="str">
        <f t="shared" si="2"/>
        <v xml:space="preserve">  </v>
      </c>
      <c r="C17" s="81" t="str">
        <f t="shared" si="3"/>
        <v xml:space="preserve">  </v>
      </c>
      <c r="D17" s="81" t="str">
        <f t="shared" si="4"/>
        <v xml:space="preserve"> </v>
      </c>
      <c r="E17" s="77" t="str">
        <f t="shared" si="5"/>
        <v xml:space="preserve"> </v>
      </c>
      <c r="G17" s="91"/>
      <c r="H17" s="91"/>
      <c r="L17" s="89" t="e">
        <f>SUM(L14:L16)</f>
        <v>#N/A</v>
      </c>
      <c r="N17" s="89" t="e">
        <f>SUM(N14:N16)</f>
        <v>#N/A</v>
      </c>
      <c r="Q17" s="66"/>
      <c r="R17" s="67"/>
      <c r="AE17" s="90"/>
    </row>
    <row r="18" spans="1:35" x14ac:dyDescent="0.25">
      <c r="A18">
        <v>15</v>
      </c>
      <c r="B18" s="80" t="str">
        <f t="shared" si="2"/>
        <v xml:space="preserve">  </v>
      </c>
      <c r="C18" s="81" t="str">
        <f t="shared" si="3"/>
        <v xml:space="preserve">  </v>
      </c>
      <c r="D18" s="81" t="str">
        <f t="shared" si="4"/>
        <v xml:space="preserve"> </v>
      </c>
      <c r="E18" s="77" t="str">
        <f t="shared" si="5"/>
        <v xml:space="preserve"> </v>
      </c>
      <c r="G18" s="91"/>
      <c r="H18" s="91"/>
      <c r="K18" t="s">
        <v>103</v>
      </c>
      <c r="M18" t="str">
        <f>CONCATENATE("A(",I15,")=")</f>
        <v>A(#NA)=</v>
      </c>
      <c r="N18" t="e">
        <f>IF(OR(P15&lt;=0,P16&lt;=0),N22,P15)</f>
        <v>#N/A</v>
      </c>
      <c r="Q18" s="66"/>
      <c r="R18" s="67"/>
      <c r="AE18" s="80"/>
    </row>
    <row r="19" spans="1:35" x14ac:dyDescent="0.25">
      <c r="A19">
        <v>16</v>
      </c>
      <c r="B19" s="80" t="str">
        <f t="shared" si="2"/>
        <v xml:space="preserve">  </v>
      </c>
      <c r="C19" s="81" t="str">
        <f t="shared" si="3"/>
        <v xml:space="preserve">  </v>
      </c>
      <c r="D19" s="81" t="str">
        <f t="shared" si="4"/>
        <v xml:space="preserve"> </v>
      </c>
      <c r="E19" s="77" t="str">
        <f t="shared" si="5"/>
        <v xml:space="preserve"> </v>
      </c>
      <c r="G19" s="91"/>
      <c r="H19" s="91"/>
      <c r="M19" t="str">
        <f>CONCATENATE("M(",I15,")=")</f>
        <v>M(#NA)=</v>
      </c>
      <c r="N19" t="e">
        <f>IF(OR(P15&lt;=0,P16&lt;=0),N23,P16)</f>
        <v>#N/A</v>
      </c>
      <c r="Q19" s="66"/>
      <c r="R19" s="67"/>
      <c r="AE19" s="80"/>
    </row>
    <row r="20" spans="1:35" x14ac:dyDescent="0.25">
      <c r="A20">
        <v>17</v>
      </c>
      <c r="B20" s="80" t="str">
        <f t="shared" si="2"/>
        <v xml:space="preserve">  </v>
      </c>
      <c r="C20" s="81" t="str">
        <f t="shared" si="3"/>
        <v xml:space="preserve">  </v>
      </c>
      <c r="D20" s="81" t="str">
        <f t="shared" si="4"/>
        <v xml:space="preserve"> </v>
      </c>
      <c r="E20" s="77" t="str">
        <f t="shared" si="5"/>
        <v xml:space="preserve"> </v>
      </c>
      <c r="G20" s="91"/>
      <c r="H20" s="91"/>
      <c r="Q20" s="66"/>
      <c r="R20" s="67"/>
      <c r="S20" s="68" t="e">
        <f>IF(OR(R24-R23=R23-R22,R25-R23=R23-R22),R22,IF(OR(R24-R23=R23-R21,R25-R23=R23-R21),R21,"-"))</f>
        <v>#VALUE!</v>
      </c>
      <c r="T20" s="69" t="e">
        <f>IFERROR(VLOOKUP(S20,STN_TABLE,2,FALSE),IF(R20=RisePerWLS,0,"-"))</f>
        <v>#VALUE!</v>
      </c>
      <c r="U20" s="69">
        <v>5</v>
      </c>
      <c r="V20" s="69" t="e">
        <f>T20*U20</f>
        <v>#VALUE!</v>
      </c>
      <c r="W20" s="69">
        <v>3</v>
      </c>
      <c r="X20" s="69" t="e">
        <f>T20*W20</f>
        <v>#VALUE!</v>
      </c>
      <c r="Y20" s="6" t="s">
        <v>93</v>
      </c>
      <c r="Z20" s="70" t="e">
        <f>IF(AND(S22-S21=S21-S20,NOT(AND(S20=0,S21=0)),NOT(AND(S21=0,S22=0))),WLS*(S22-S21),"#NA")</f>
        <v>#VALUE!</v>
      </c>
      <c r="AE20" s="80"/>
    </row>
    <row r="21" spans="1:35" x14ac:dyDescent="0.25">
      <c r="A21">
        <v>18</v>
      </c>
      <c r="B21" s="80" t="str">
        <f t="shared" si="2"/>
        <v xml:space="preserve">  </v>
      </c>
      <c r="C21" s="81" t="str">
        <f t="shared" si="3"/>
        <v xml:space="preserve">  </v>
      </c>
      <c r="D21" s="81" t="str">
        <f t="shared" si="4"/>
        <v xml:space="preserve"> </v>
      </c>
      <c r="E21" s="77" t="str">
        <f t="shared" si="5"/>
        <v xml:space="preserve"> </v>
      </c>
      <c r="G21" s="91"/>
      <c r="H21" s="91" t="str">
        <f>G14</f>
        <v>Rise</v>
      </c>
      <c r="I21" s="79" t="e">
        <f>H14</f>
        <v>#VALUE!</v>
      </c>
      <c r="J21" s="68">
        <v>0</v>
      </c>
      <c r="K21" s="68">
        <v>1</v>
      </c>
      <c r="L21" s="69">
        <f>J21*K21</f>
        <v>0</v>
      </c>
      <c r="M21" t="s">
        <v>93</v>
      </c>
      <c r="N21" t="e">
        <f>(I22-I21)*WLS</f>
        <v>#VALUE!</v>
      </c>
      <c r="Q21" s="66" t="str">
        <f t="shared" ref="Q21:R25" si="8">G5</f>
        <v>1st_UWL</v>
      </c>
      <c r="R21" s="67" t="str">
        <f t="shared" si="8"/>
        <v>#NA</v>
      </c>
      <c r="S21" s="76" t="str">
        <f>R23</f>
        <v>#NA</v>
      </c>
      <c r="T21" s="77" t="e">
        <f>VLOOKUP(S21,STN_TABLE,2,FALSE)</f>
        <v>#N/A</v>
      </c>
      <c r="U21" s="77">
        <v>8</v>
      </c>
      <c r="V21" s="77" t="e">
        <f>T21*U21</f>
        <v>#N/A</v>
      </c>
      <c r="W21" s="77">
        <v>10</v>
      </c>
      <c r="X21" s="77" t="e">
        <f>T21*W21</f>
        <v>#N/A</v>
      </c>
      <c r="Y21" s="78" t="s">
        <v>97</v>
      </c>
      <c r="Z21" s="78"/>
      <c r="AA21" s="78" t="s">
        <v>98</v>
      </c>
      <c r="AB21" s="78"/>
      <c r="AC21" s="7" t="s">
        <v>99</v>
      </c>
      <c r="AD21" s="7"/>
      <c r="AE21" s="80"/>
    </row>
    <row r="22" spans="1:35" x14ac:dyDescent="0.25">
      <c r="A22">
        <v>19</v>
      </c>
      <c r="B22" s="80" t="str">
        <f t="shared" si="2"/>
        <v xml:space="preserve">  </v>
      </c>
      <c r="C22" s="81" t="str">
        <f t="shared" si="3"/>
        <v xml:space="preserve">  </v>
      </c>
      <c r="D22" s="81" t="str">
        <f t="shared" si="4"/>
        <v xml:space="preserve"> </v>
      </c>
      <c r="E22" s="77" t="str">
        <f t="shared" si="5"/>
        <v xml:space="preserve"> </v>
      </c>
      <c r="G22" s="91"/>
      <c r="H22" s="91" t="str">
        <f>G15</f>
        <v>1st_UWL</v>
      </c>
      <c r="I22" s="88" t="str">
        <f>H15</f>
        <v>#NA</v>
      </c>
      <c r="J22" s="82" t="e">
        <f>VLOOKUP(I22,STN_TABLE,2,FALSE)</f>
        <v>#N/A</v>
      </c>
      <c r="K22" s="82">
        <v>2</v>
      </c>
      <c r="L22" s="83" t="e">
        <f>J22*K22</f>
        <v>#N/A</v>
      </c>
      <c r="M22" t="str">
        <f>CONCATENATE("A(",I22,")=")</f>
        <v>A(#NA)=</v>
      </c>
      <c r="N22" t="e">
        <f>2*N21/2*J23</f>
        <v>#VALUE!</v>
      </c>
      <c r="Q22" s="66" t="str">
        <f t="shared" si="8"/>
        <v>2nd_UWL</v>
      </c>
      <c r="R22" s="67" t="str">
        <f t="shared" si="8"/>
        <v>#NA</v>
      </c>
      <c r="S22" s="82" t="e">
        <f>IF(S20-S21=S21-R24,R24,IF(S20-S21=S21-R25,R25,"-"))</f>
        <v>#VALUE!</v>
      </c>
      <c r="T22" s="83" t="e">
        <f>VLOOKUP(S22,STN_TABLE,2,FALSE)</f>
        <v>#VALUE!</v>
      </c>
      <c r="U22" s="83">
        <v>-1</v>
      </c>
      <c r="V22" s="83" t="e">
        <f>T22*U22</f>
        <v>#VALUE!</v>
      </c>
      <c r="W22" s="83">
        <v>-1</v>
      </c>
      <c r="X22" s="83" t="e">
        <f>T22*W22</f>
        <v>#VALUE!</v>
      </c>
      <c r="Y22" s="84" t="str">
        <f>CONCATENATE("a'(",S21,")=")</f>
        <v>a'(#NA)=</v>
      </c>
      <c r="Z22" s="84" t="e">
        <f>2*Z20/12*V23</f>
        <v>#VALUE!</v>
      </c>
      <c r="AA22" s="84" t="e">
        <f>CONCATENATE("A(",S20,")=")</f>
        <v>#VALUE!</v>
      </c>
      <c r="AB22" s="84" t="e">
        <f>IF(S20=RisePerWLS,0,VLOOKUP(S20,STN_TABLE,3,FALSE))</f>
        <v>#VALUE!</v>
      </c>
      <c r="AC22" t="str">
        <f>CONCATENATE("A(",S21,")=")</f>
        <v>A(#NA)=</v>
      </c>
      <c r="AD22" t="e">
        <f>Z22+AB22</f>
        <v>#VALUE!</v>
      </c>
      <c r="AE22" s="80"/>
    </row>
    <row r="23" spans="1:35" x14ac:dyDescent="0.25">
      <c r="A23">
        <v>20</v>
      </c>
      <c r="B23" s="80" t="str">
        <f t="shared" si="2"/>
        <v xml:space="preserve">  </v>
      </c>
      <c r="C23" s="81" t="str">
        <f t="shared" si="3"/>
        <v xml:space="preserve">  </v>
      </c>
      <c r="D23" s="81" t="str">
        <f t="shared" si="4"/>
        <v xml:space="preserve"> </v>
      </c>
      <c r="E23" s="77" t="str">
        <f t="shared" si="5"/>
        <v xml:space="preserve"> </v>
      </c>
      <c r="J23" s="89" t="e">
        <f>SUM(J21:J22)</f>
        <v>#N/A</v>
      </c>
      <c r="L23" s="89" t="e">
        <f>SUM(L21:L22)</f>
        <v>#N/A</v>
      </c>
      <c r="M23" t="str">
        <f>CONCATENATE("M(",I22,")=")</f>
        <v>M(#NA)=</v>
      </c>
      <c r="N23" t="e">
        <f>(2*(N21^2)/6*L23)+N22*I21*WLS</f>
        <v>#VALUE!</v>
      </c>
      <c r="Q23" s="66" t="str">
        <f t="shared" si="8"/>
        <v>3rd_UWL</v>
      </c>
      <c r="R23" s="67" t="str">
        <f t="shared" si="8"/>
        <v>#NA</v>
      </c>
      <c r="V23" s="89" t="e">
        <f>SUM(V20:V22)</f>
        <v>#VALUE!</v>
      </c>
      <c r="X23" s="89" t="e">
        <f>SUM(X20:X22)</f>
        <v>#VALUE!</v>
      </c>
      <c r="Y23" s="84" t="str">
        <f>CONCATENATE("m'(",S21,")=")</f>
        <v>m'(#NA)=</v>
      </c>
      <c r="Z23" s="84" t="e">
        <f>(2*(Z20^2)/24*X23)+(Z22*S20*WLS)</f>
        <v>#VALUE!</v>
      </c>
      <c r="AA23" s="84" t="e">
        <f>CONCATENATE("M(",S20,")=")</f>
        <v>#VALUE!</v>
      </c>
      <c r="AB23" s="84" t="e">
        <f>IF(S20=RisePerWLS,0,VLOOKUP(S20,STN_TABLE,4,FALSE))</f>
        <v>#VALUE!</v>
      </c>
      <c r="AC23" t="str">
        <f>CONCATENATE("M(",S21,")=")</f>
        <v>M(#NA)=</v>
      </c>
      <c r="AD23" t="e">
        <f>Z23+AB23</f>
        <v>#VALUE!</v>
      </c>
      <c r="AE23" s="80"/>
    </row>
    <row r="24" spans="1:35" x14ac:dyDescent="0.25">
      <c r="A24">
        <v>21</v>
      </c>
      <c r="B24" s="80" t="str">
        <f t="shared" si="2"/>
        <v xml:space="preserve">  </v>
      </c>
      <c r="C24" s="81" t="str">
        <f t="shared" si="3"/>
        <v xml:space="preserve">  </v>
      </c>
      <c r="D24" s="81" t="str">
        <f t="shared" si="4"/>
        <v xml:space="preserve"> </v>
      </c>
      <c r="E24" s="77" t="str">
        <f t="shared" si="5"/>
        <v xml:space="preserve"> </v>
      </c>
      <c r="Q24" s="66" t="str">
        <f t="shared" si="8"/>
        <v>4th_UWL</v>
      </c>
      <c r="R24" s="67" t="str">
        <f t="shared" si="8"/>
        <v>#NA</v>
      </c>
      <c r="U24" t="s">
        <v>103</v>
      </c>
      <c r="W24" t="str">
        <f>CONCATENATE("A(",S21,")=")</f>
        <v>A(#NA)=</v>
      </c>
      <c r="X24" t="e">
        <f>IF(OR(AD22&lt;=0,AD23&lt;=0),AD27,AD22)</f>
        <v>#VALUE!</v>
      </c>
      <c r="AE24" s="80"/>
    </row>
    <row r="25" spans="1:35" x14ac:dyDescent="0.25">
      <c r="A25">
        <v>22</v>
      </c>
      <c r="B25" s="80" t="str">
        <f t="shared" si="2"/>
        <v xml:space="preserve">  </v>
      </c>
      <c r="C25" s="81" t="str">
        <f t="shared" si="3"/>
        <v xml:space="preserve">  </v>
      </c>
      <c r="D25" s="81" t="str">
        <f t="shared" si="4"/>
        <v xml:space="preserve"> </v>
      </c>
      <c r="E25" s="77" t="str">
        <f t="shared" si="5"/>
        <v xml:space="preserve"> </v>
      </c>
      <c r="G25" s="71" t="s">
        <v>111</v>
      </c>
      <c r="Q25" s="66" t="str">
        <f t="shared" si="8"/>
        <v>5th_UWL</v>
      </c>
      <c r="R25" s="67" t="str">
        <f t="shared" si="8"/>
        <v>#NA</v>
      </c>
      <c r="W25" t="str">
        <f>CONCATENATE("M(",S21,")=")</f>
        <v>M(#NA)=</v>
      </c>
      <c r="X25" t="e">
        <f>IF(OR(AD22&lt;=0,AD23&lt;=0),AD28,AD23)</f>
        <v>#VALUE!</v>
      </c>
      <c r="Y25" s="6" t="s">
        <v>93</v>
      </c>
      <c r="Z25" s="70" t="e">
        <f>WLS*(U27-U26)</f>
        <v>#VALUE!</v>
      </c>
      <c r="AE25" s="80"/>
    </row>
    <row r="26" spans="1:35" x14ac:dyDescent="0.25">
      <c r="A26">
        <v>23</v>
      </c>
      <c r="B26" s="80" t="str">
        <f t="shared" si="2"/>
        <v xml:space="preserve">  </v>
      </c>
      <c r="C26" s="81" t="str">
        <f t="shared" si="3"/>
        <v xml:space="preserve">  </v>
      </c>
      <c r="D26" s="81" t="str">
        <f t="shared" si="4"/>
        <v xml:space="preserve"> </v>
      </c>
      <c r="E26" s="77" t="str">
        <f t="shared" si="5"/>
        <v xml:space="preserve"> </v>
      </c>
      <c r="G26" s="91" t="str">
        <f t="shared" ref="G26:H28" si="9">G4</f>
        <v>Rise</v>
      </c>
      <c r="H26" s="91" t="e">
        <f t="shared" si="9"/>
        <v>#VALUE!</v>
      </c>
      <c r="I26" s="68" t="e">
        <f>H26</f>
        <v>#VALUE!</v>
      </c>
      <c r="J26" s="69">
        <v>0</v>
      </c>
      <c r="K26" s="69">
        <v>1</v>
      </c>
      <c r="L26" s="69">
        <f>J26*K26</f>
        <v>0</v>
      </c>
      <c r="M26" s="69" t="e">
        <f>I26</f>
        <v>#VALUE!</v>
      </c>
      <c r="N26" s="69" t="e">
        <f>L26*M26</f>
        <v>#VALUE!</v>
      </c>
      <c r="O26" t="s">
        <v>93</v>
      </c>
      <c r="P26" t="e">
        <f>IF(OR(J26=0,J27=0,J28=0),"#NA",IF(I28-I27=I27-I26,WLS*(I27-I26),"#NA"))</f>
        <v>#VALUE!</v>
      </c>
      <c r="Q26" s="66"/>
      <c r="R26" s="67"/>
      <c r="U26" s="79" t="str">
        <f>R22</f>
        <v>#NA</v>
      </c>
      <c r="V26" s="68" t="e">
        <f>VLOOKUP(U26,STN_TABLE,2,FALSE)</f>
        <v>#N/A</v>
      </c>
      <c r="W26" s="68">
        <v>1</v>
      </c>
      <c r="X26" s="69" t="e">
        <f>V26*W26</f>
        <v>#N/A</v>
      </c>
      <c r="Y26" s="78" t="s">
        <v>97</v>
      </c>
      <c r="Z26" s="78"/>
      <c r="AA26" s="78" t="s">
        <v>98</v>
      </c>
      <c r="AB26" s="78"/>
      <c r="AC26" s="7" t="s">
        <v>99</v>
      </c>
      <c r="AD26" s="7"/>
      <c r="AE26" s="80"/>
    </row>
    <row r="27" spans="1:35" x14ac:dyDescent="0.25">
      <c r="A27">
        <v>24</v>
      </c>
      <c r="B27" s="80" t="str">
        <f t="shared" si="2"/>
        <v xml:space="preserve">  </v>
      </c>
      <c r="C27" s="81" t="str">
        <f t="shared" si="3"/>
        <v xml:space="preserve">  </v>
      </c>
      <c r="D27" s="81" t="str">
        <f t="shared" si="4"/>
        <v xml:space="preserve"> </v>
      </c>
      <c r="E27" s="77" t="str">
        <f t="shared" si="5"/>
        <v xml:space="preserve"> </v>
      </c>
      <c r="G27" s="91" t="str">
        <f t="shared" si="9"/>
        <v>1st_UWL</v>
      </c>
      <c r="H27" s="91" t="str">
        <f t="shared" si="9"/>
        <v>#NA</v>
      </c>
      <c r="I27" s="76" t="e">
        <f>IF(H28-H27=H27-H26,H28,"#NA")</f>
        <v>#VALUE!</v>
      </c>
      <c r="J27" s="77" t="e">
        <f>VLOOKUP(I27,STN_TABLE,2,FALSE)</f>
        <v>#VALUE!</v>
      </c>
      <c r="K27" s="77">
        <v>4</v>
      </c>
      <c r="L27" s="77" t="e">
        <f>J27*K27</f>
        <v>#VALUE!</v>
      </c>
      <c r="M27" s="77" t="e">
        <f>I27</f>
        <v>#VALUE!</v>
      </c>
      <c r="N27" s="77" t="e">
        <f>L27*M27</f>
        <v>#VALUE!</v>
      </c>
      <c r="O27" t="e">
        <f>CONCATENATE("A(",I28,")=")</f>
        <v>#VALUE!</v>
      </c>
      <c r="P27" t="e">
        <f>2*P26/3*L29</f>
        <v>#VALUE!</v>
      </c>
      <c r="Q27" s="80"/>
      <c r="R27" s="81"/>
      <c r="U27" s="88" t="str">
        <f>R23</f>
        <v>#NA</v>
      </c>
      <c r="V27" s="82" t="e">
        <f>VLOOKUP(U27,STN_TABLE,2,FALSE)</f>
        <v>#N/A</v>
      </c>
      <c r="W27" s="82">
        <v>2</v>
      </c>
      <c r="X27" s="83" t="e">
        <f>V27*W27</f>
        <v>#N/A</v>
      </c>
      <c r="Y27" s="84" t="str">
        <f>CONCATENATE("a'(",U27,")=")</f>
        <v>a'(#NA)=</v>
      </c>
      <c r="Z27" s="84" t="e">
        <f>2*Z25/2*V28</f>
        <v>#VALUE!</v>
      </c>
      <c r="AA27" s="84" t="str">
        <f>CONCATENATE("A(",U26,")=")</f>
        <v>A(#NA)=</v>
      </c>
      <c r="AB27" s="84" t="e">
        <f>IF(U26=RisePerWLS,0,VLOOKUP(U26,STN_TABLE,3,FALSE))</f>
        <v>#VALUE!</v>
      </c>
      <c r="AC27" t="str">
        <f>CONCATENATE("A(",U27,")=")</f>
        <v>A(#NA)=</v>
      </c>
      <c r="AD27" t="e">
        <f>Z27+AB27</f>
        <v>#VALUE!</v>
      </c>
      <c r="AE27" s="80"/>
    </row>
    <row r="28" spans="1:35" x14ac:dyDescent="0.25">
      <c r="A28">
        <v>25</v>
      </c>
      <c r="B28" s="88" t="str">
        <f t="shared" si="2"/>
        <v xml:space="preserve">  </v>
      </c>
      <c r="C28" s="92" t="str">
        <f t="shared" si="3"/>
        <v xml:space="preserve">  </v>
      </c>
      <c r="D28" s="81" t="str">
        <f t="shared" si="4"/>
        <v xml:space="preserve"> </v>
      </c>
      <c r="E28" s="77" t="str">
        <f t="shared" si="5"/>
        <v xml:space="preserve"> </v>
      </c>
      <c r="G28" s="91" t="str">
        <f t="shared" si="9"/>
        <v>2nd_UWL</v>
      </c>
      <c r="H28" s="91" t="str">
        <f t="shared" si="9"/>
        <v>#NA</v>
      </c>
      <c r="I28" s="82" t="e">
        <f>IF(H28-H27=H27-H26,H28,"#NA")</f>
        <v>#VALUE!</v>
      </c>
      <c r="J28" s="83" t="e">
        <f>VLOOKUP(I28,STN_TABLE,2,FALSE)</f>
        <v>#VALUE!</v>
      </c>
      <c r="K28" s="83">
        <v>1</v>
      </c>
      <c r="L28" s="83" t="e">
        <f>J28*K28</f>
        <v>#VALUE!</v>
      </c>
      <c r="M28" s="83" t="e">
        <f>I28</f>
        <v>#VALUE!</v>
      </c>
      <c r="N28" s="83" t="e">
        <f>L28*M28</f>
        <v>#VALUE!</v>
      </c>
      <c r="O28" t="e">
        <f>CONCATENATE("M(",I28,")=")</f>
        <v>#VALUE!</v>
      </c>
      <c r="P28" t="e">
        <f>2*(P26*WLS)/3*N29</f>
        <v>#VALUE!</v>
      </c>
      <c r="Q28" s="80"/>
      <c r="R28" s="81"/>
      <c r="V28" s="89" t="e">
        <f>SUM(V26:V27)</f>
        <v>#N/A</v>
      </c>
      <c r="X28" s="89" t="e">
        <f>SUM(X26:X27)</f>
        <v>#N/A</v>
      </c>
      <c r="Y28" s="84" t="str">
        <f>CONCATENATE("m'(",U27,")=")</f>
        <v>m'(#NA)=</v>
      </c>
      <c r="Z28" s="84" t="e">
        <f>(2*(Z25^2)/6*X28)+(Z27*U26*WLS)</f>
        <v>#VALUE!</v>
      </c>
      <c r="AA28" s="84" t="str">
        <f>CONCATENATE("M(",U26,")=")</f>
        <v>M(#NA)=</v>
      </c>
      <c r="AB28" s="84" t="e">
        <f>IF(U26=RisePerWLS,0,VLOOKUP(U26,STN_TABLE,4,FALSE))</f>
        <v>#VALUE!</v>
      </c>
      <c r="AC28" t="str">
        <f>CONCATENATE("M(",U27,")=")</f>
        <v>M(#NA)=</v>
      </c>
      <c r="AD28" t="e">
        <f>Z28+AB28</f>
        <v>#VALUE!</v>
      </c>
      <c r="AE28" s="80"/>
    </row>
    <row r="29" spans="1:35" x14ac:dyDescent="0.25">
      <c r="G29" s="91"/>
      <c r="H29" s="91"/>
      <c r="L29" s="89" t="e">
        <f>SUM(L26:L28)</f>
        <v>#VALUE!</v>
      </c>
      <c r="N29" s="89" t="e">
        <f>SUM(N26:N28)</f>
        <v>#VALUE!</v>
      </c>
      <c r="Q29" s="80"/>
      <c r="R29" s="81"/>
      <c r="AE29" s="80"/>
    </row>
    <row r="30" spans="1:35" x14ac:dyDescent="0.25">
      <c r="G30" s="91"/>
      <c r="H30" s="91"/>
    </row>
    <row r="31" spans="1:35" x14ac:dyDescent="0.25">
      <c r="G31" s="91"/>
      <c r="H31" s="91"/>
    </row>
    <row r="32" spans="1:35" x14ac:dyDescent="0.25">
      <c r="G32" s="91"/>
      <c r="H32" s="91"/>
      <c r="Q32" s="68">
        <f>B4</f>
        <v>0</v>
      </c>
      <c r="R32" s="69">
        <f>VLOOKUP(Q32,STN_TABLE,2,FALSE)</f>
        <v>3.8</v>
      </c>
      <c r="S32" s="69">
        <v>5</v>
      </c>
      <c r="T32" s="68">
        <f>R32*S32</f>
        <v>19</v>
      </c>
      <c r="U32" s="79">
        <v>3</v>
      </c>
      <c r="V32" s="68">
        <f>R32*U32</f>
        <v>11.399999999999999</v>
      </c>
      <c r="W32" t="s">
        <v>93</v>
      </c>
      <c r="X32" s="70">
        <f>IF(AND(Q34-Q33=Q33-Q32,NOT(AND(Q32=0,Q33=0)),NOT(AND(Q33=0,Q34=0))),WLS*(Q34-Q33),"#NA")</f>
        <v>0.5</v>
      </c>
      <c r="AD32" s="93"/>
      <c r="AH32" s="6" t="s">
        <v>93</v>
      </c>
      <c r="AI32" s="70">
        <f>WLS*(AD34-AD33)</f>
        <v>0.5</v>
      </c>
    </row>
    <row r="33" spans="1:47" x14ac:dyDescent="0.25">
      <c r="Q33" s="76">
        <f>B5</f>
        <v>0.25</v>
      </c>
      <c r="R33" s="77">
        <f>VLOOKUP(Q33,STN_TABLE,2,FALSE)</f>
        <v>5.33</v>
      </c>
      <c r="S33" s="77">
        <v>8</v>
      </c>
      <c r="T33" s="76">
        <f>R33*S33</f>
        <v>42.64</v>
      </c>
      <c r="U33" s="80">
        <v>10</v>
      </c>
      <c r="V33" s="76">
        <f>R33*U33</f>
        <v>53.3</v>
      </c>
      <c r="W33" s="495" t="s">
        <v>97</v>
      </c>
      <c r="X33" s="496"/>
      <c r="Y33" s="496" t="s">
        <v>98</v>
      </c>
      <c r="Z33" s="496"/>
      <c r="AA33" s="494" t="s">
        <v>99</v>
      </c>
      <c r="AB33" s="494"/>
      <c r="AC33" s="94">
        <v>1</v>
      </c>
      <c r="AD33" s="95">
        <f>VLOOKUP(AC33,STN_TABLE_2,2,FALSE)</f>
        <v>0</v>
      </c>
      <c r="AE33" s="68">
        <f>VLOOKUP(AD33,STN_TABLE,2,FALSE)</f>
        <v>3.8</v>
      </c>
      <c r="AF33" s="68">
        <v>1</v>
      </c>
      <c r="AG33" s="69">
        <f>AE33*AF33</f>
        <v>3.8</v>
      </c>
      <c r="AH33" s="496" t="s">
        <v>97</v>
      </c>
      <c r="AI33" s="496"/>
      <c r="AJ33" s="496" t="s">
        <v>98</v>
      </c>
      <c r="AK33" s="496"/>
      <c r="AL33" s="494" t="s">
        <v>99</v>
      </c>
      <c r="AM33" s="494"/>
      <c r="AP33" s="96" t="s">
        <v>112</v>
      </c>
      <c r="AQ33" s="89" t="s">
        <v>113</v>
      </c>
      <c r="AR33" s="89" t="s">
        <v>114</v>
      </c>
      <c r="AS33" s="89" t="s">
        <v>115</v>
      </c>
      <c r="AT33" s="97" t="s">
        <v>116</v>
      </c>
      <c r="AU33" s="98"/>
    </row>
    <row r="34" spans="1:47" x14ac:dyDescent="0.25">
      <c r="Q34" s="82">
        <f>B6</f>
        <v>0.5</v>
      </c>
      <c r="R34" s="83">
        <f>VLOOKUP(Q34,STN_TABLE,2,FALSE)</f>
        <v>6.26</v>
      </c>
      <c r="S34" s="83">
        <v>-1</v>
      </c>
      <c r="T34" s="82">
        <f>R34*S34</f>
        <v>-6.26</v>
      </c>
      <c r="U34" s="88">
        <v>-1</v>
      </c>
      <c r="V34" s="82">
        <f>R34*U34</f>
        <v>-6.26</v>
      </c>
      <c r="W34" s="84" t="str">
        <f>CONCATENATE("a'(",Q33,")=")</f>
        <v>a'(0.25)=</v>
      </c>
      <c r="X34" s="84">
        <f>2*X32/12*T35</f>
        <v>4.6150000000000002</v>
      </c>
      <c r="Y34" s="84" t="str">
        <f>CONCATENATE("A(",Q32,")=")</f>
        <v>A(0)=</v>
      </c>
      <c r="Z34" s="84">
        <f>VLOOKUP(Q32,STN_TABLE,3,FALSE)</f>
        <v>0</v>
      </c>
      <c r="AA34" t="str">
        <f>CONCATENATE("A(",Q33,")=")</f>
        <v>A(0.25)=</v>
      </c>
      <c r="AB34">
        <f>X34+Z34</f>
        <v>4.6150000000000002</v>
      </c>
      <c r="AC34" s="99">
        <f>AC33+1</f>
        <v>2</v>
      </c>
      <c r="AD34" s="100">
        <f>VLOOKUP(AC34,STN_TABLE_2,2,FALSE)</f>
        <v>0.25</v>
      </c>
      <c r="AE34" s="82">
        <f>VLOOKUP(AD34,STN_TABLE,2,FALSE)</f>
        <v>5.33</v>
      </c>
      <c r="AF34" s="82">
        <v>2</v>
      </c>
      <c r="AG34" s="83">
        <f>AE34*AF34</f>
        <v>10.66</v>
      </c>
      <c r="AH34" s="84" t="str">
        <f>CONCATENATE("a'(",AD34,")=")</f>
        <v>a'(0.25)=</v>
      </c>
      <c r="AI34" s="84">
        <f>2*AI32/2*AE35</f>
        <v>4.5649999999999995</v>
      </c>
      <c r="AJ34" s="84" t="str">
        <f>CONCATENATE("A(",AD33,")=")</f>
        <v>A(0)=</v>
      </c>
      <c r="AK34" s="84">
        <f>VLOOKUP(AD33,STN_TABLE,3,FALSE)</f>
        <v>0</v>
      </c>
      <c r="AL34" t="str">
        <f>CONCATENATE("A(",AD34,")=")</f>
        <v>A(0.25)=</v>
      </c>
      <c r="AM34">
        <f>AI34+AK34</f>
        <v>4.5649999999999995</v>
      </c>
      <c r="AO34" s="68" t="str">
        <f>AA34</f>
        <v>A(0.25)=</v>
      </c>
      <c r="AP34" s="79" t="e">
        <f>VLOOKUP(AO34,Rise_Results,2,FALSE)</f>
        <v>#N/A</v>
      </c>
      <c r="AQ34" s="76" t="s">
        <v>117</v>
      </c>
      <c r="AR34" s="76">
        <f>IF(OR(AB34&lt;=0,AB35&lt;=0),1/0,AB34)</f>
        <v>4.6150000000000002</v>
      </c>
      <c r="AS34" s="76">
        <f>AM34</f>
        <v>4.5649999999999995</v>
      </c>
      <c r="AT34" s="80">
        <f>IFERROR(AP34,IFERROR(AR34,AS34))</f>
        <v>4.6150000000000002</v>
      </c>
    </row>
    <row r="35" spans="1:47" x14ac:dyDescent="0.25">
      <c r="A35" s="101"/>
      <c r="T35" s="89">
        <f>SUM(T32:T34)</f>
        <v>55.38</v>
      </c>
      <c r="V35" s="82">
        <f>SUM(V32:V34)</f>
        <v>58.439999999999991</v>
      </c>
      <c r="W35" s="84" t="str">
        <f>CONCATENATE("m'(",Q33,")=")</f>
        <v>m'(0.25)=</v>
      </c>
      <c r="X35" s="84">
        <f>(2*(X32^2)/24*V35)</f>
        <v>1.2174999999999998</v>
      </c>
      <c r="Y35" s="84" t="str">
        <f>CONCATENATE("M(",Q32,")=")</f>
        <v>M(0)=</v>
      </c>
      <c r="Z35" s="84">
        <f>VLOOKUP(Q32,STN_TABLE,4,FALSE)</f>
        <v>0</v>
      </c>
      <c r="AA35" t="str">
        <f>CONCATENATE("M(",Q33,")=")</f>
        <v>M(0.25)=</v>
      </c>
      <c r="AB35">
        <f>X35+Z35</f>
        <v>1.2174999999999998</v>
      </c>
      <c r="AE35" s="89">
        <f>SUM(AE33:AE34)</f>
        <v>9.129999999999999</v>
      </c>
      <c r="AG35" s="89">
        <f>SUM(AG33:AG34)</f>
        <v>14.46</v>
      </c>
      <c r="AH35" s="84" t="str">
        <f>CONCATENATE("m'(",AD34,")=")</f>
        <v>m'(0.25)=</v>
      </c>
      <c r="AI35" s="84">
        <f>(2*(AI32^2)/6*AG35)+(AI34*AD33*WLS)</f>
        <v>1.2050000000000001</v>
      </c>
      <c r="AJ35" s="84" t="str">
        <f>CONCATENATE("M(",AD33,")=")</f>
        <v>M(0)=</v>
      </c>
      <c r="AK35" s="84">
        <f>VLOOKUP(AD33,STN_TABLE,4,FALSE)</f>
        <v>0</v>
      </c>
      <c r="AL35" t="str">
        <f>CONCATENATE("M(",AD34,")=")</f>
        <v>M(0.25)=</v>
      </c>
      <c r="AM35">
        <f>AI35+AK35</f>
        <v>1.2050000000000001</v>
      </c>
      <c r="AO35" s="82" t="str">
        <f>AA35</f>
        <v>M(0.25)=</v>
      </c>
      <c r="AP35" s="88" t="e">
        <f>VLOOKUP(AO35,Rise_Results,2,FALSE)</f>
        <v>#N/A</v>
      </c>
      <c r="AQ35" s="82" t="s">
        <v>117</v>
      </c>
      <c r="AR35" s="82">
        <f>IF(OR(AB34&lt;=0,AB35&lt;=0),1/0,AB35)</f>
        <v>1.2174999999999998</v>
      </c>
      <c r="AS35" s="82">
        <f>AM35</f>
        <v>1.2050000000000001</v>
      </c>
      <c r="AT35" s="80">
        <f>IFERROR(AP35,IFERROR(AR35,AS35))</f>
        <v>1.2174999999999998</v>
      </c>
    </row>
    <row r="36" spans="1:47" x14ac:dyDescent="0.25">
      <c r="O36" s="94">
        <v>1</v>
      </c>
      <c r="P36" s="101">
        <f t="shared" ref="P36:P67" si="10">VLOOKUP(O36,STN_TABLE_2,2,FALSE)</f>
        <v>0</v>
      </c>
      <c r="AU36" s="81"/>
    </row>
    <row r="37" spans="1:47" x14ac:dyDescent="0.25">
      <c r="A37" s="94">
        <v>1</v>
      </c>
      <c r="B37" s="94">
        <f>VLOOKUP(A37,STN_TABLE_2,2,FALSE)</f>
        <v>0</v>
      </c>
      <c r="C37" s="79">
        <f>B37</f>
        <v>0</v>
      </c>
      <c r="D37" s="68">
        <f>VLOOKUP(C37,STN_TABLE,2,FALSE)</f>
        <v>3.8</v>
      </c>
      <c r="E37" s="102">
        <v>1</v>
      </c>
      <c r="F37" s="68">
        <f>D37*E37</f>
        <v>3.8</v>
      </c>
      <c r="G37" s="69">
        <f>C37</f>
        <v>0</v>
      </c>
      <c r="H37" s="69">
        <f>F37*G37</f>
        <v>0</v>
      </c>
      <c r="I37" s="6" t="s">
        <v>93</v>
      </c>
      <c r="J37" s="70">
        <f>IF(OR(D37=0,D38=0,D39=0),"#NA",IF(AND(C39-C38=C38-C37,C38&lt;&gt;C39,C37&lt;&gt;C38,C37&lt;&gt;C39,D39&lt;&gt;0,OR(D37&lt;&gt;0,D38&lt;&gt;0)),WLS*(C39-C38),"#NA"))</f>
        <v>0.5</v>
      </c>
      <c r="O37" s="99">
        <f>O36+1</f>
        <v>2</v>
      </c>
      <c r="P37" s="99">
        <f t="shared" si="10"/>
        <v>0.25</v>
      </c>
      <c r="Q37" s="68">
        <f>IF(OR(P39-P38=P38-P37,P40-P38=P38-P37),P37,IF(OR(P39-P38=P38-P36,P40-P38=P38-P36),P36,"-"))</f>
        <v>0.25</v>
      </c>
      <c r="R37" s="69">
        <f>VLOOKUP(Q37,STN_TABLE,2,FALSE)</f>
        <v>5.33</v>
      </c>
      <c r="S37" s="69">
        <v>5</v>
      </c>
      <c r="T37" s="68">
        <f>R37*S37</f>
        <v>26.65</v>
      </c>
      <c r="U37" s="79">
        <v>3</v>
      </c>
      <c r="V37" s="68">
        <f>R37*U37</f>
        <v>15.99</v>
      </c>
      <c r="W37" s="6" t="s">
        <v>93</v>
      </c>
      <c r="X37" s="70">
        <f>IF(AND(Q39-Q38=Q38-Q37,NOT(AND(Q37=0,Q38=0)),NOT(AND(Q38=0,Q39=0))),WLS*(Q39-Q38),"#NA")</f>
        <v>0.5</v>
      </c>
      <c r="AD37" s="93"/>
      <c r="AH37" s="6" t="s">
        <v>93</v>
      </c>
      <c r="AI37" s="70">
        <f>WLS*(AD39-AD38)</f>
        <v>0.5</v>
      </c>
      <c r="AU37" s="81"/>
    </row>
    <row r="38" spans="1:47" x14ac:dyDescent="0.25">
      <c r="A38" s="94">
        <f>A37+1</f>
        <v>2</v>
      </c>
      <c r="B38" s="94">
        <f>VLOOKUP(A38,STN_TABLE_2,2,FALSE)</f>
        <v>0.25</v>
      </c>
      <c r="C38" s="80">
        <f>B38</f>
        <v>0.25</v>
      </c>
      <c r="D38" s="76">
        <f>VLOOKUP(C38,STN_TABLE,2,FALSE)</f>
        <v>5.33</v>
      </c>
      <c r="E38" s="81">
        <v>4</v>
      </c>
      <c r="F38" s="76">
        <f>D38*E38</f>
        <v>21.32</v>
      </c>
      <c r="G38" s="77">
        <f>C38</f>
        <v>0.25</v>
      </c>
      <c r="H38" s="77">
        <f>F38*G38</f>
        <v>5.33</v>
      </c>
      <c r="I38" s="496" t="s">
        <v>97</v>
      </c>
      <c r="J38" s="496"/>
      <c r="K38" s="78" t="s">
        <v>98</v>
      </c>
      <c r="L38" s="78"/>
      <c r="M38" s="7" t="s">
        <v>99</v>
      </c>
      <c r="N38" s="7"/>
      <c r="O38" s="99">
        <f>O37+1</f>
        <v>3</v>
      </c>
      <c r="P38" s="99">
        <f t="shared" si="10"/>
        <v>0.5</v>
      </c>
      <c r="Q38" s="76">
        <f>P38</f>
        <v>0.5</v>
      </c>
      <c r="R38" s="77">
        <f>VLOOKUP(Q38,STN_TABLE,2,FALSE)</f>
        <v>6.26</v>
      </c>
      <c r="S38" s="77">
        <v>8</v>
      </c>
      <c r="T38" s="76">
        <f>R38*S38</f>
        <v>50.08</v>
      </c>
      <c r="U38" s="80">
        <v>10</v>
      </c>
      <c r="V38" s="76">
        <f>R38*U38</f>
        <v>62.599999999999994</v>
      </c>
      <c r="W38" s="496" t="s">
        <v>97</v>
      </c>
      <c r="X38" s="496"/>
      <c r="Y38" s="496" t="s">
        <v>98</v>
      </c>
      <c r="Z38" s="496"/>
      <c r="AA38" s="494" t="s">
        <v>99</v>
      </c>
      <c r="AB38" s="494"/>
      <c r="AC38" s="99">
        <f>AC33+1</f>
        <v>2</v>
      </c>
      <c r="AD38" s="95">
        <f>VLOOKUP(AC38,STN_TABLE_2,2,FALSE)</f>
        <v>0.25</v>
      </c>
      <c r="AE38" s="68">
        <f>VLOOKUP(AD38,STN_TABLE,2,FALSE)</f>
        <v>5.33</v>
      </c>
      <c r="AF38" s="68">
        <v>1</v>
      </c>
      <c r="AG38" s="69">
        <f>AE38*AF38</f>
        <v>5.33</v>
      </c>
      <c r="AH38" s="496" t="s">
        <v>97</v>
      </c>
      <c r="AI38" s="496"/>
      <c r="AJ38" s="496" t="s">
        <v>98</v>
      </c>
      <c r="AK38" s="496"/>
      <c r="AL38" s="494" t="s">
        <v>99</v>
      </c>
      <c r="AM38" s="494"/>
      <c r="AP38" s="86" t="s">
        <v>112</v>
      </c>
      <c r="AQ38" s="89" t="s">
        <v>113</v>
      </c>
      <c r="AR38" s="89" t="s">
        <v>114</v>
      </c>
      <c r="AS38" s="89" t="s">
        <v>115</v>
      </c>
    </row>
    <row r="39" spans="1:47" x14ac:dyDescent="0.25">
      <c r="A39" s="94">
        <f>A38+1</f>
        <v>3</v>
      </c>
      <c r="B39" s="94">
        <f>VLOOKUP(A39,STN_TABLE_2,2,FALSE)</f>
        <v>0.5</v>
      </c>
      <c r="C39" s="88">
        <f>B39</f>
        <v>0.5</v>
      </c>
      <c r="D39" s="82">
        <f>VLOOKUP(C39,STN_TABLE,2,FALSE)</f>
        <v>6.26</v>
      </c>
      <c r="E39" s="92">
        <v>1</v>
      </c>
      <c r="F39" s="82">
        <f>D39*E39</f>
        <v>6.26</v>
      </c>
      <c r="G39" s="83">
        <f>C39</f>
        <v>0.5</v>
      </c>
      <c r="H39" s="83">
        <f>F39*G39</f>
        <v>3.13</v>
      </c>
      <c r="I39" s="84" t="str">
        <f>CONCATENATE("a'(",C39,")=")</f>
        <v>a'(0.5)=</v>
      </c>
      <c r="J39" s="84">
        <f>2*J37/3*F40</f>
        <v>10.46</v>
      </c>
      <c r="K39" s="84" t="str">
        <f>CONCATENATE("A(",C37,")=")</f>
        <v>A(0)=</v>
      </c>
      <c r="L39" s="84">
        <f>VLOOKUP(C37,STN_TABLE,3,FALSE)</f>
        <v>0</v>
      </c>
      <c r="M39" t="str">
        <f>CONCATENATE("A(",C39,")=")</f>
        <v>A(0.5)=</v>
      </c>
      <c r="N39">
        <f>J39+L39</f>
        <v>10.46</v>
      </c>
      <c r="O39" s="99">
        <f>O38+1</f>
        <v>4</v>
      </c>
      <c r="P39" s="99">
        <f t="shared" si="10"/>
        <v>0.75</v>
      </c>
      <c r="Q39" s="82">
        <f>IF(P39-P38=P38-P37,P39,IF(P40-P38=P38-P37,P40,IF(P39-P38=P38-P36,P39,IF(P40-P38=P38-P36,P40,"-"))))</f>
        <v>0.75</v>
      </c>
      <c r="R39" s="83">
        <f>VLOOKUP(Q39,STN_TABLE,2,FALSE)</f>
        <v>6.83</v>
      </c>
      <c r="S39" s="83">
        <v>-1</v>
      </c>
      <c r="T39" s="82">
        <f>R39*S39</f>
        <v>-6.83</v>
      </c>
      <c r="U39" s="88">
        <v>-1</v>
      </c>
      <c r="V39" s="82">
        <f>R39*U39</f>
        <v>-6.83</v>
      </c>
      <c r="W39" s="84" t="str">
        <f>CONCATENATE("a'(",Q38,")=")</f>
        <v>a'(0.5)=</v>
      </c>
      <c r="X39" s="84">
        <f>2*X37/12*T40</f>
        <v>5.8249999999999993</v>
      </c>
      <c r="Y39" s="84" t="str">
        <f>CONCATENATE("A(",Q37,")=")</f>
        <v>A(0.25)=</v>
      </c>
      <c r="Z39" s="84">
        <f>VLOOKUP(Q37,STN_TABLE,3,FALSE)</f>
        <v>4.6150000000000002</v>
      </c>
      <c r="AA39" t="str">
        <f>CONCATENATE("A(",Q38,")=")</f>
        <v>A(0.5)=</v>
      </c>
      <c r="AB39">
        <f>X39+Z39</f>
        <v>10.44</v>
      </c>
      <c r="AC39" s="99">
        <f>AC38+1</f>
        <v>3</v>
      </c>
      <c r="AD39" s="100">
        <f>VLOOKUP(AC39,STN_TABLE_2,2,FALSE)</f>
        <v>0.5</v>
      </c>
      <c r="AE39" s="82">
        <f>VLOOKUP(AD39,STN_TABLE,2,FALSE)</f>
        <v>6.26</v>
      </c>
      <c r="AF39" s="82">
        <v>2</v>
      </c>
      <c r="AG39" s="83">
        <f>AE39*AF39</f>
        <v>12.52</v>
      </c>
      <c r="AH39" s="84" t="str">
        <f>CONCATENATE("a'(",AD39,")=")</f>
        <v>a'(0.5)=</v>
      </c>
      <c r="AI39" s="84">
        <f>2*AI37/2*AE40</f>
        <v>5.7949999999999999</v>
      </c>
      <c r="AJ39" s="84" t="str">
        <f>CONCATENATE("A(",AD38,")=")</f>
        <v>A(0.25)=</v>
      </c>
      <c r="AK39" s="84">
        <f>VLOOKUP(AD38,STN_TABLE,3,FALSE)</f>
        <v>4.6150000000000002</v>
      </c>
      <c r="AL39" t="str">
        <f>CONCATENATE("A(",AD39,")=")</f>
        <v>A(0.5)=</v>
      </c>
      <c r="AM39">
        <f>AI39+AK39</f>
        <v>10.41</v>
      </c>
      <c r="AO39" s="68" t="str">
        <f>AA39</f>
        <v>A(0.5)=</v>
      </c>
      <c r="AP39" s="68" t="e">
        <f>VLOOKUP(AO39,Rise_Results,2,FALSE)</f>
        <v>#N/A</v>
      </c>
      <c r="AQ39" s="76">
        <f>N39</f>
        <v>10.46</v>
      </c>
      <c r="AR39" s="76">
        <f>IF(OR(AB39&lt;=0,AB40&lt;=0),1/0,AB39)</f>
        <v>10.44</v>
      </c>
      <c r="AS39" s="76">
        <f>AM39</f>
        <v>10.41</v>
      </c>
      <c r="AT39">
        <f>IFERROR(AP39,IFERROR(AQ39,IFERROR(AR39,AS39)))</f>
        <v>10.46</v>
      </c>
    </row>
    <row r="40" spans="1:47" x14ac:dyDescent="0.25">
      <c r="A40">
        <v>4</v>
      </c>
      <c r="F40" s="82">
        <f>SUM(F37:F39)</f>
        <v>31.380000000000003</v>
      </c>
      <c r="H40" s="82">
        <f>SUM(H37:H39)</f>
        <v>8.4600000000000009</v>
      </c>
      <c r="I40" s="84" t="str">
        <f>CONCATENATE("m'(",C39,")=")</f>
        <v>m'(0.5)=</v>
      </c>
      <c r="J40" s="84">
        <f>2*(J37*(WLS))/3*H40</f>
        <v>5.6400000000000006</v>
      </c>
      <c r="K40" s="84" t="str">
        <f>CONCATENATE("M(",C37,")=")</f>
        <v>M(0)=</v>
      </c>
      <c r="L40" s="84">
        <f>VLOOKUP(C37,STN_TABLE,4,FALSE)</f>
        <v>0</v>
      </c>
      <c r="M40" t="str">
        <f>CONCATENATE("M(",C39,")=")</f>
        <v>M(0.5)=</v>
      </c>
      <c r="N40">
        <f>J40+L40</f>
        <v>5.6400000000000006</v>
      </c>
      <c r="O40" s="99">
        <f>O39+1</f>
        <v>5</v>
      </c>
      <c r="P40" s="99">
        <f t="shared" si="10"/>
        <v>1</v>
      </c>
      <c r="T40" s="89">
        <f>SUM(T37:T39)</f>
        <v>69.899999999999991</v>
      </c>
      <c r="V40" s="82">
        <f>SUM(V37:V39)</f>
        <v>71.759999999999991</v>
      </c>
      <c r="W40" s="84" t="str">
        <f>CONCATENATE("m'(",Q38,")=")</f>
        <v>m'(0.5)=</v>
      </c>
      <c r="X40" s="84">
        <f>(2*(X37^2)/24*V40)+(X39*Q37*WLS)</f>
        <v>4.4074999999999989</v>
      </c>
      <c r="Y40" s="84" t="str">
        <f>CONCATENATE("M(",Q37,")=")</f>
        <v>M(0.25)=</v>
      </c>
      <c r="Z40" s="84">
        <f>VLOOKUP(Q37,STN_TABLE,4,FALSE)</f>
        <v>1.2174999999999998</v>
      </c>
      <c r="AA40" t="str">
        <f>CONCATENATE("M(",Q38,")=")</f>
        <v>M(0.5)=</v>
      </c>
      <c r="AB40">
        <f>X40+Z40</f>
        <v>5.6249999999999982</v>
      </c>
      <c r="AE40" s="89">
        <f>SUM(AE38:AE39)</f>
        <v>11.59</v>
      </c>
      <c r="AG40" s="89">
        <f>SUM(AG38:AG39)</f>
        <v>17.850000000000001</v>
      </c>
      <c r="AH40" s="84" t="str">
        <f>CONCATENATE("m'(",AD39,")=")</f>
        <v>m'(0.5)=</v>
      </c>
      <c r="AI40" s="84">
        <f>(2*(AI37^2)/6*AG40)+(AI39*AD38*WLS)</f>
        <v>4.3849999999999998</v>
      </c>
      <c r="AJ40" s="84" t="str">
        <f>CONCATENATE("M(",AD38,")=")</f>
        <v>M(0.25)=</v>
      </c>
      <c r="AK40" s="84">
        <f>VLOOKUP(AD38,STN_TABLE,4,FALSE)</f>
        <v>1.2174999999999998</v>
      </c>
      <c r="AL40" t="str">
        <f>CONCATENATE("M(",AD39,")=")</f>
        <v>M(0.5)=</v>
      </c>
      <c r="AM40">
        <f>AI40+AK40</f>
        <v>5.6024999999999991</v>
      </c>
      <c r="AO40" s="82" t="str">
        <f>AA40</f>
        <v>M(0.5)=</v>
      </c>
      <c r="AP40" s="82" t="e">
        <f>VLOOKUP(AO40,Rise_Results,2,FALSE)</f>
        <v>#N/A</v>
      </c>
      <c r="AQ40" s="82">
        <f>N40</f>
        <v>5.6400000000000006</v>
      </c>
      <c r="AR40" s="82">
        <f>IF(OR(AB39&lt;=0,AB40&lt;=0),1/0,AB40)</f>
        <v>5.6249999999999982</v>
      </c>
      <c r="AS40" s="82">
        <f>AM40</f>
        <v>5.6024999999999991</v>
      </c>
      <c r="AT40">
        <f>IFERROR(AP40,IFERROR(AQ40,IFERROR(AR40,AS40)))</f>
        <v>5.6400000000000006</v>
      </c>
    </row>
    <row r="41" spans="1:47" x14ac:dyDescent="0.25">
      <c r="A41" s="94">
        <v>0</v>
      </c>
      <c r="O41" s="101">
        <f>O36+1</f>
        <v>2</v>
      </c>
      <c r="P41" s="101">
        <f t="shared" si="10"/>
        <v>0.25</v>
      </c>
    </row>
    <row r="42" spans="1:47" x14ac:dyDescent="0.25">
      <c r="A42" s="94">
        <f>A41+1</f>
        <v>1</v>
      </c>
      <c r="B42" s="94">
        <f t="shared" ref="B42:B73" si="11">VLOOKUP(A42,STN_TABLE_2,2,FALSE)</f>
        <v>0</v>
      </c>
      <c r="C42" s="79">
        <f>IF(C43=B43,B42,IF(C43=B44,IF(C44-C43=C43-B43,B43,IF(C44-C43=C43-B42,B42,"NA"))))</f>
        <v>0.25</v>
      </c>
      <c r="D42" s="68">
        <f>VLOOKUP(C42,STN_TABLE,2,FALSE)</f>
        <v>5.33</v>
      </c>
      <c r="E42" s="102">
        <v>1</v>
      </c>
      <c r="F42" s="68">
        <f>D42*E42</f>
        <v>5.33</v>
      </c>
      <c r="G42" s="69">
        <f>C42</f>
        <v>0.25</v>
      </c>
      <c r="H42" s="69">
        <f>F42*G42</f>
        <v>1.3325</v>
      </c>
      <c r="I42" s="6" t="s">
        <v>93</v>
      </c>
      <c r="J42" s="70">
        <f>IF(OR(D42=0,D43=0,D44=0),"#NA",IF(AND(C44-C43=C43-C42,C43&lt;&gt;C44,C42&lt;&gt;C43,C42&lt;&gt;C44,D44&lt;&gt;0,OR(D42&lt;&gt;0,D43&lt;&gt;0)),WLS*(C44-C43),"#NA"))</f>
        <v>0.5</v>
      </c>
      <c r="O42" s="99">
        <f>O41+1</f>
        <v>3</v>
      </c>
      <c r="P42" s="99">
        <f t="shared" si="10"/>
        <v>0.5</v>
      </c>
      <c r="Q42" s="68">
        <f>IF(OR(P44-P43=P43-P42,P45-P43=P43-P42),P42,IF(OR(P44-P43=P43-P41,P45-P43=P43-P41),P41,"-"))</f>
        <v>0.5</v>
      </c>
      <c r="R42" s="69">
        <f>VLOOKUP(Q42,STN_TABLE,2,FALSE)</f>
        <v>6.26</v>
      </c>
      <c r="S42" s="69">
        <v>5</v>
      </c>
      <c r="T42" s="68">
        <f>R42*S42</f>
        <v>31.299999999999997</v>
      </c>
      <c r="U42" s="79">
        <v>3</v>
      </c>
      <c r="V42" s="68">
        <f>R42*U42</f>
        <v>18.78</v>
      </c>
      <c r="W42" s="6" t="s">
        <v>93</v>
      </c>
      <c r="X42" s="70">
        <f>IF(AND(Q44-Q43=Q43-Q42,NOT(AND(Q42=0,Q43=0)),NOT(AND(Q43=0,Q44=0))),WLS*(Q44-Q43),"#NA")</f>
        <v>0.5</v>
      </c>
      <c r="AD42" s="93"/>
      <c r="AH42" s="6" t="s">
        <v>93</v>
      </c>
      <c r="AI42" s="70">
        <f>WLS*(AD44-AD43)</f>
        <v>0.5</v>
      </c>
      <c r="AU42" s="81"/>
    </row>
    <row r="43" spans="1:47" x14ac:dyDescent="0.25">
      <c r="A43" s="94">
        <f>A42+1</f>
        <v>2</v>
      </c>
      <c r="B43" s="94">
        <f t="shared" si="11"/>
        <v>0.25</v>
      </c>
      <c r="C43" s="80">
        <f>IF(OR(B45-B44=B44-B43,B45-B44=B44-B42,),B44,IF(B45-B43=B43-B42,B43,"#NA"))</f>
        <v>0.5</v>
      </c>
      <c r="D43" s="76">
        <f>VLOOKUP(C43,STN_TABLE,2,FALSE)</f>
        <v>6.26</v>
      </c>
      <c r="E43" s="81">
        <v>4</v>
      </c>
      <c r="F43" s="76">
        <f>D43*E43</f>
        <v>25.04</v>
      </c>
      <c r="G43" s="77">
        <f>C43</f>
        <v>0.5</v>
      </c>
      <c r="H43" s="77">
        <f>F43*G43</f>
        <v>12.52</v>
      </c>
      <c r="I43" s="496" t="s">
        <v>97</v>
      </c>
      <c r="J43" s="496"/>
      <c r="K43" s="78" t="s">
        <v>98</v>
      </c>
      <c r="L43" s="78"/>
      <c r="M43" s="7" t="s">
        <v>99</v>
      </c>
      <c r="N43" s="7"/>
      <c r="O43" s="99">
        <f>O42+1</f>
        <v>4</v>
      </c>
      <c r="P43" s="99">
        <f t="shared" si="10"/>
        <v>0.75</v>
      </c>
      <c r="Q43" s="76">
        <f>P43</f>
        <v>0.75</v>
      </c>
      <c r="R43" s="77">
        <f>VLOOKUP(Q43,STN_TABLE,2,FALSE)</f>
        <v>6.83</v>
      </c>
      <c r="S43" s="77">
        <v>8</v>
      </c>
      <c r="T43" s="76">
        <f>R43*S43</f>
        <v>54.64</v>
      </c>
      <c r="U43" s="80">
        <v>10</v>
      </c>
      <c r="V43" s="76">
        <f>R43*U43</f>
        <v>68.3</v>
      </c>
      <c r="W43" s="496" t="s">
        <v>97</v>
      </c>
      <c r="X43" s="496"/>
      <c r="Y43" s="496" t="s">
        <v>98</v>
      </c>
      <c r="Z43" s="496"/>
      <c r="AA43" s="494" t="s">
        <v>99</v>
      </c>
      <c r="AB43" s="494"/>
      <c r="AC43" s="99">
        <f>AC38+1</f>
        <v>3</v>
      </c>
      <c r="AD43" s="95">
        <f>VLOOKUP(AC43,STN_TABLE_2,2,FALSE)</f>
        <v>0.5</v>
      </c>
      <c r="AE43" s="68">
        <f>VLOOKUP(AD43,STN_TABLE,2,FALSE)</f>
        <v>6.26</v>
      </c>
      <c r="AF43" s="68">
        <v>1</v>
      </c>
      <c r="AG43" s="69">
        <f>AE43*AF43</f>
        <v>6.26</v>
      </c>
      <c r="AH43" s="496" t="s">
        <v>97</v>
      </c>
      <c r="AI43" s="496"/>
      <c r="AJ43" s="496" t="s">
        <v>98</v>
      </c>
      <c r="AK43" s="496"/>
      <c r="AL43" s="494" t="s">
        <v>99</v>
      </c>
      <c r="AM43" s="494"/>
      <c r="AP43" s="86" t="s">
        <v>112</v>
      </c>
      <c r="AQ43" s="89" t="s">
        <v>113</v>
      </c>
      <c r="AR43" s="89" t="s">
        <v>114</v>
      </c>
      <c r="AS43" s="89" t="s">
        <v>115</v>
      </c>
      <c r="AU43" s="81"/>
    </row>
    <row r="44" spans="1:47" x14ac:dyDescent="0.25">
      <c r="A44" s="94">
        <f>A43+1</f>
        <v>3</v>
      </c>
      <c r="B44" s="94">
        <f t="shared" si="11"/>
        <v>0.5</v>
      </c>
      <c r="C44" s="88">
        <f>B45</f>
        <v>0.75</v>
      </c>
      <c r="D44" s="82">
        <f>VLOOKUP(C44,STN_TABLE,2,FALSE)</f>
        <v>6.83</v>
      </c>
      <c r="E44" s="92">
        <v>1</v>
      </c>
      <c r="F44" s="82">
        <f>D44*E44</f>
        <v>6.83</v>
      </c>
      <c r="G44" s="83">
        <f>C44</f>
        <v>0.75</v>
      </c>
      <c r="H44" s="83">
        <f>F44*G44</f>
        <v>5.1225000000000005</v>
      </c>
      <c r="I44" s="84" t="str">
        <f>CONCATENATE("a'(",C44,")=")</f>
        <v>a'(0.75)=</v>
      </c>
      <c r="J44" s="84">
        <f>2*J42/3*F45</f>
        <v>12.399999999999999</v>
      </c>
      <c r="K44" s="84" t="str">
        <f>CONCATENATE("A(",C42,")=")</f>
        <v>A(0.25)=</v>
      </c>
      <c r="L44" s="84">
        <f>VLOOKUP(C42,STN_TABLE,3,FALSE)</f>
        <v>4.6150000000000002</v>
      </c>
      <c r="M44" t="str">
        <f>CONCATENATE("A(",C44,")=")</f>
        <v>A(0.75)=</v>
      </c>
      <c r="N44">
        <f>J44+L44</f>
        <v>17.015000000000001</v>
      </c>
      <c r="O44" s="99">
        <f>O43+1</f>
        <v>5</v>
      </c>
      <c r="P44" s="99">
        <f t="shared" si="10"/>
        <v>1</v>
      </c>
      <c r="Q44" s="82">
        <f>IF(P44-P43=P43-P42,P44,IF(P45-P43=P43-P42,P45,IF(P44-P43=P43-P41,P44,IF(P45-P43=P43-P41,P45,"-"))))</f>
        <v>1</v>
      </c>
      <c r="R44" s="83">
        <f>VLOOKUP(Q44,STN_TABLE,2,FALSE)</f>
        <v>7.29</v>
      </c>
      <c r="S44" s="83">
        <v>-1</v>
      </c>
      <c r="T44" s="82">
        <f>R44*S44</f>
        <v>-7.29</v>
      </c>
      <c r="U44" s="88">
        <v>-1</v>
      </c>
      <c r="V44" s="82">
        <f>R44*U44</f>
        <v>-7.29</v>
      </c>
      <c r="W44" s="84" t="str">
        <f>CONCATENATE("a'(",Q43,")=")</f>
        <v>a'(0.75)=</v>
      </c>
      <c r="X44" s="84">
        <f>2*X42/12*T45</f>
        <v>6.5541666666666654</v>
      </c>
      <c r="Y44" s="84" t="str">
        <f>CONCATENATE("A(",Q42,")=")</f>
        <v>A(0.5)=</v>
      </c>
      <c r="Z44" s="84">
        <f>VLOOKUP(Q42,STN_TABLE,3,FALSE)</f>
        <v>10.46</v>
      </c>
      <c r="AA44" t="str">
        <f>CONCATENATE("A(",Q43,")=")</f>
        <v>A(0.75)=</v>
      </c>
      <c r="AB44">
        <f>X44+Z44</f>
        <v>17.014166666666668</v>
      </c>
      <c r="AC44" s="99">
        <f>AC43+1</f>
        <v>4</v>
      </c>
      <c r="AD44" s="100">
        <f>VLOOKUP(AC44,STN_TABLE_2,2,FALSE)</f>
        <v>0.75</v>
      </c>
      <c r="AE44" s="82">
        <f>VLOOKUP(AD44,STN_TABLE,2,FALSE)</f>
        <v>6.83</v>
      </c>
      <c r="AF44" s="82">
        <v>2</v>
      </c>
      <c r="AG44" s="83">
        <f>AE44*AF44</f>
        <v>13.66</v>
      </c>
      <c r="AH44" s="84" t="str">
        <f>CONCATENATE("a'(",AD44,")=")</f>
        <v>a'(0.75)=</v>
      </c>
      <c r="AI44" s="84">
        <f>2*AI42/2*AE45</f>
        <v>6.5449999999999999</v>
      </c>
      <c r="AJ44" s="84" t="str">
        <f>CONCATENATE("A(",AD43,")=")</f>
        <v>A(0.5)=</v>
      </c>
      <c r="AK44" s="84">
        <f>VLOOKUP(AD43,STN_TABLE,3,FALSE)</f>
        <v>10.46</v>
      </c>
      <c r="AL44" t="str">
        <f>CONCATENATE("A(",AD44,")=")</f>
        <v>A(0.75)=</v>
      </c>
      <c r="AM44">
        <f>AI44+AK44</f>
        <v>17.005000000000003</v>
      </c>
      <c r="AO44" s="68" t="str">
        <f>AA44</f>
        <v>A(0.75)=</v>
      </c>
      <c r="AP44" s="68" t="e">
        <f>VLOOKUP(AO44,Rise_Results,2,FALSE)</f>
        <v>#N/A</v>
      </c>
      <c r="AQ44" s="76">
        <f>N44</f>
        <v>17.015000000000001</v>
      </c>
      <c r="AR44" s="76">
        <f>IF(OR(AB44&lt;=0,AB45&lt;=0),1/0,AB44)</f>
        <v>17.014166666666668</v>
      </c>
      <c r="AS44" s="76">
        <f>AM44</f>
        <v>17.005000000000003</v>
      </c>
      <c r="AT44">
        <f>IFERROR(AP44,IFERROR(AQ44,IFERROR(AR44,AS44)))</f>
        <v>17.015000000000001</v>
      </c>
      <c r="AU44" s="81"/>
    </row>
    <row r="45" spans="1:47" x14ac:dyDescent="0.25">
      <c r="A45" s="94">
        <f>A44+1</f>
        <v>4</v>
      </c>
      <c r="B45" s="94">
        <f t="shared" si="11"/>
        <v>0.75</v>
      </c>
      <c r="F45" s="82">
        <f>SUM(F42:F44)</f>
        <v>37.199999999999996</v>
      </c>
      <c r="H45" s="82">
        <f>SUM(H42:H44)</f>
        <v>18.975000000000001</v>
      </c>
      <c r="I45" s="84" t="str">
        <f>CONCATENATE("m'(",C44,")=")</f>
        <v>m'(0.75)=</v>
      </c>
      <c r="J45" s="84">
        <f>2*(J42*(WLS))/3*H45</f>
        <v>12.65</v>
      </c>
      <c r="K45" s="84" t="str">
        <f>CONCATENATE("M(",C42,")=")</f>
        <v>M(0.25)=</v>
      </c>
      <c r="L45" s="84">
        <f>VLOOKUP(C42,STN_TABLE,4,FALSE)</f>
        <v>1.2174999999999998</v>
      </c>
      <c r="M45" t="str">
        <f>CONCATENATE("M(",C44,")=")</f>
        <v>M(0.75)=</v>
      </c>
      <c r="N45">
        <f>J45+L45</f>
        <v>13.8675</v>
      </c>
      <c r="O45" s="99">
        <f>O44+1</f>
        <v>6</v>
      </c>
      <c r="P45" s="99">
        <f t="shared" si="10"/>
        <v>2</v>
      </c>
      <c r="T45" s="89">
        <f>SUM(T42:T44)</f>
        <v>78.649999999999991</v>
      </c>
      <c r="V45" s="82">
        <f>SUM(V42:V44)</f>
        <v>79.789999999999992</v>
      </c>
      <c r="W45" s="84" t="str">
        <f>CONCATENATE("m'(",Q43,")=")</f>
        <v>m'(0.75)=</v>
      </c>
      <c r="X45" s="84">
        <f>(2*(X42^2)/24*V45)+(X44*Q42*WLS)</f>
        <v>8.2164583333333319</v>
      </c>
      <c r="Y45" s="84" t="str">
        <f>CONCATENATE("M(",Q42,")=")</f>
        <v>M(0.5)=</v>
      </c>
      <c r="Z45" s="84">
        <f>VLOOKUP(Q42,STN_TABLE,4,FALSE)</f>
        <v>5.6400000000000006</v>
      </c>
      <c r="AA45" t="str">
        <f>CONCATENATE("M(",Q43,")=")</f>
        <v>M(0.75)=</v>
      </c>
      <c r="AB45">
        <f>X45+Z45</f>
        <v>13.856458333333332</v>
      </c>
      <c r="AE45" s="89">
        <f>SUM(AE43:AE44)</f>
        <v>13.09</v>
      </c>
      <c r="AG45" s="89">
        <f>SUM(AG43:AG44)</f>
        <v>19.920000000000002</v>
      </c>
      <c r="AH45" s="84" t="str">
        <f>CONCATENATE("m'(",AD44,")=")</f>
        <v>m'(0.75)=</v>
      </c>
      <c r="AI45" s="84">
        <f>(2*(AI42^2)/6*AG45)+(AI44*AD43*WLS)</f>
        <v>8.2050000000000001</v>
      </c>
      <c r="AJ45" s="84" t="str">
        <f>CONCATENATE("M(",AD43,")=")</f>
        <v>M(0.5)=</v>
      </c>
      <c r="AK45" s="84">
        <f>VLOOKUP(AD43,STN_TABLE,4,FALSE)</f>
        <v>5.6400000000000006</v>
      </c>
      <c r="AL45" t="str">
        <f>CONCATENATE("M(",AD44,")=")</f>
        <v>M(0.75)=</v>
      </c>
      <c r="AM45">
        <f>AI45+AK45</f>
        <v>13.845000000000001</v>
      </c>
      <c r="AO45" s="82" t="str">
        <f>AA45</f>
        <v>M(0.75)=</v>
      </c>
      <c r="AP45" s="82" t="e">
        <f>VLOOKUP(AO45,Rise_Results,2,FALSE)</f>
        <v>#N/A</v>
      </c>
      <c r="AQ45" s="82">
        <f>N45</f>
        <v>13.8675</v>
      </c>
      <c r="AR45" s="82">
        <f>IF(OR(AB44&lt;=0,AB45&lt;=0),1/0,AB45)</f>
        <v>13.856458333333332</v>
      </c>
      <c r="AS45" s="82">
        <f>AM45</f>
        <v>13.845000000000001</v>
      </c>
      <c r="AT45">
        <f>IFERROR(AP45,IFERROR(AQ45,IFERROR(AR45,AS45)))</f>
        <v>13.8675</v>
      </c>
      <c r="AU45" s="81"/>
    </row>
    <row r="46" spans="1:47" x14ac:dyDescent="0.25">
      <c r="A46" s="101">
        <f>A41+1</f>
        <v>1</v>
      </c>
      <c r="B46" s="101">
        <f t="shared" si="11"/>
        <v>0</v>
      </c>
      <c r="O46" s="101">
        <f>O41+1</f>
        <v>3</v>
      </c>
      <c r="P46" s="101">
        <f t="shared" si="10"/>
        <v>0.5</v>
      </c>
      <c r="AU46" s="81"/>
    </row>
    <row r="47" spans="1:47" x14ac:dyDescent="0.25">
      <c r="A47" s="84">
        <f>A46+1</f>
        <v>2</v>
      </c>
      <c r="B47" s="84">
        <f t="shared" si="11"/>
        <v>0.25</v>
      </c>
      <c r="C47" s="79">
        <f>IF(C48=B49,IF(C49-C48=C48-B48,B48,IF(C49-C48=C48-B47,B47,"#NA")),IF(C48=B48,IF(C49-C48=C48-B47,B47,IF(C49-C48=C48-B46,B46,"#NA")),"#NA"))</f>
        <v>0.5</v>
      </c>
      <c r="D47" s="68">
        <f>VLOOKUP(C47,STN_TABLE,2,FALSE)</f>
        <v>6.26</v>
      </c>
      <c r="E47" s="102">
        <v>1</v>
      </c>
      <c r="F47" s="68">
        <f>D47*E47</f>
        <v>6.26</v>
      </c>
      <c r="G47" s="69">
        <f>C47</f>
        <v>0.5</v>
      </c>
      <c r="H47" s="69">
        <f>F47*G47</f>
        <v>3.13</v>
      </c>
      <c r="I47" s="6" t="s">
        <v>93</v>
      </c>
      <c r="J47" s="70">
        <f>IF(OR(D47=0,D48=0,D49=0),"#NA",IF(AND(C49-C48=C48-C47,C48&lt;&gt;C49,C47&lt;&gt;C48,C47&lt;&gt;C49,D49&lt;&gt;0,OR(D47&lt;&gt;0,D48&lt;&gt;0)),WLS*(C49-C48),"#NA"))</f>
        <v>0.5</v>
      </c>
      <c r="O47" s="99">
        <f>O46+1</f>
        <v>4</v>
      </c>
      <c r="P47" s="99">
        <f t="shared" si="10"/>
        <v>0.75</v>
      </c>
      <c r="Q47" s="68" t="str">
        <f>IF(OR(P49-P48=P48-P47,P50-P48=P48-P47),P47,IF(OR(P49-P48=P48-P46,P50-P48=P48-P46),P46,"-"))</f>
        <v>-</v>
      </c>
      <c r="R47" s="69" t="e">
        <f>VLOOKUP(Q47,STN_TABLE,2,FALSE)</f>
        <v>#N/A</v>
      </c>
      <c r="S47" s="69">
        <v>5</v>
      </c>
      <c r="T47" s="68" t="e">
        <f>R47*S47</f>
        <v>#N/A</v>
      </c>
      <c r="U47" s="79">
        <v>3</v>
      </c>
      <c r="V47" s="68" t="e">
        <f>R47*U47</f>
        <v>#N/A</v>
      </c>
      <c r="W47" s="6" t="s">
        <v>93</v>
      </c>
      <c r="X47" s="70" t="e">
        <f>IF(AND(Q49-Q48=Q48-Q47,NOT(AND(Q47=0,Q48=0)),NOT(AND(Q48=0,Q49=0))),WLS*(Q49-Q48),"#NA")</f>
        <v>#VALUE!</v>
      </c>
      <c r="AD47" s="93"/>
      <c r="AH47" s="6" t="s">
        <v>93</v>
      </c>
      <c r="AI47" s="70">
        <f>WLS*(AD49-AD48)</f>
        <v>0.5</v>
      </c>
      <c r="AU47" s="81"/>
    </row>
    <row r="48" spans="1:47" x14ac:dyDescent="0.25">
      <c r="A48" s="84">
        <f>A47+1</f>
        <v>3</v>
      </c>
      <c r="B48" s="84">
        <f t="shared" si="11"/>
        <v>0.5</v>
      </c>
      <c r="C48" s="80">
        <f>IF(OR(B50-B49=B49-B48,B50-B49=B49-B47,B50-B49=B49-B46),B49,IF(OR(B50-B48=B48-B47,B50-B48=B48-B46),B48,IF(B50-B47=B47-B46,B47,"#NA")))</f>
        <v>0.75</v>
      </c>
      <c r="D48" s="76">
        <f>VLOOKUP(C48,STN_TABLE,2,FALSE)</f>
        <v>6.83</v>
      </c>
      <c r="E48" s="81">
        <v>4</v>
      </c>
      <c r="F48" s="76">
        <f>D48*E48</f>
        <v>27.32</v>
      </c>
      <c r="G48" s="77">
        <f>C48</f>
        <v>0.75</v>
      </c>
      <c r="H48" s="77">
        <f>F48*G48</f>
        <v>20.490000000000002</v>
      </c>
      <c r="I48" s="496" t="s">
        <v>97</v>
      </c>
      <c r="J48" s="496"/>
      <c r="K48" s="78" t="s">
        <v>98</v>
      </c>
      <c r="L48" s="78"/>
      <c r="M48" s="7" t="s">
        <v>99</v>
      </c>
      <c r="N48" s="7"/>
      <c r="O48" s="99">
        <f>O47+1</f>
        <v>5</v>
      </c>
      <c r="P48" s="99">
        <f t="shared" si="10"/>
        <v>1</v>
      </c>
      <c r="Q48" s="76">
        <f>P48</f>
        <v>1</v>
      </c>
      <c r="R48" s="77">
        <f>VLOOKUP(Q48,STN_TABLE,2,FALSE)</f>
        <v>7.29</v>
      </c>
      <c r="S48" s="77">
        <v>8</v>
      </c>
      <c r="T48" s="76">
        <f>R48*S48</f>
        <v>58.32</v>
      </c>
      <c r="U48" s="80">
        <v>10</v>
      </c>
      <c r="V48" s="76">
        <f>R48*U48</f>
        <v>72.900000000000006</v>
      </c>
      <c r="W48" s="496" t="s">
        <v>97</v>
      </c>
      <c r="X48" s="496"/>
      <c r="Y48" s="496" t="s">
        <v>98</v>
      </c>
      <c r="Z48" s="496"/>
      <c r="AA48" s="494" t="s">
        <v>99</v>
      </c>
      <c r="AB48" s="494"/>
      <c r="AC48" s="99">
        <f>AC43+1</f>
        <v>4</v>
      </c>
      <c r="AD48" s="95">
        <f>VLOOKUP(AC48,STN_TABLE_2,2,FALSE)</f>
        <v>0.75</v>
      </c>
      <c r="AE48" s="68">
        <f>VLOOKUP(AD48,STN_TABLE,2,FALSE)</f>
        <v>6.83</v>
      </c>
      <c r="AF48" s="68">
        <v>1</v>
      </c>
      <c r="AG48" s="69">
        <f>AE48*AF48</f>
        <v>6.83</v>
      </c>
      <c r="AH48" s="496" t="s">
        <v>97</v>
      </c>
      <c r="AI48" s="496"/>
      <c r="AJ48" s="496" t="s">
        <v>98</v>
      </c>
      <c r="AK48" s="496"/>
      <c r="AL48" s="494" t="s">
        <v>99</v>
      </c>
      <c r="AM48" s="494"/>
      <c r="AP48" s="86" t="s">
        <v>112</v>
      </c>
      <c r="AQ48" s="89" t="s">
        <v>113</v>
      </c>
      <c r="AR48" s="89" t="s">
        <v>114</v>
      </c>
      <c r="AS48" s="89" t="s">
        <v>115</v>
      </c>
      <c r="AU48" s="81"/>
    </row>
    <row r="49" spans="1:47" x14ac:dyDescent="0.25">
      <c r="A49" s="84">
        <f>A48+1</f>
        <v>4</v>
      </c>
      <c r="B49" s="84">
        <f t="shared" si="11"/>
        <v>0.75</v>
      </c>
      <c r="C49" s="88">
        <f>B50</f>
        <v>1</v>
      </c>
      <c r="D49" s="82">
        <f>VLOOKUP(C49,STN_TABLE,2,FALSE)</f>
        <v>7.29</v>
      </c>
      <c r="E49" s="92">
        <v>1</v>
      </c>
      <c r="F49" s="82">
        <f>D49*E49</f>
        <v>7.29</v>
      </c>
      <c r="G49" s="83">
        <f>C49</f>
        <v>1</v>
      </c>
      <c r="H49" s="83">
        <f>F49*G49</f>
        <v>7.29</v>
      </c>
      <c r="I49" s="84" t="str">
        <f>CONCATENATE("a'(",C49,")=")</f>
        <v>a'(1)=</v>
      </c>
      <c r="J49" s="84">
        <f>2*J47/3*F50</f>
        <v>13.623333333333331</v>
      </c>
      <c r="K49" s="84" t="str">
        <f>CONCATENATE("A(",C47,")=")</f>
        <v>A(0.5)=</v>
      </c>
      <c r="L49" s="84">
        <f>VLOOKUP(C47,STN_TABLE,3,FALSE)</f>
        <v>10.46</v>
      </c>
      <c r="M49" t="str">
        <f>CONCATENATE("A(",C49,")=")</f>
        <v>A(1)=</v>
      </c>
      <c r="N49">
        <f>J49+L49</f>
        <v>24.083333333333332</v>
      </c>
      <c r="O49" s="99">
        <f>O48+1</f>
        <v>6</v>
      </c>
      <c r="P49" s="99">
        <f t="shared" si="10"/>
        <v>2</v>
      </c>
      <c r="Q49" s="82" t="str">
        <f>IF(P49-P48=P48-P47,P49,IF(P50-P48=P48-P47,P50,IF(P49-P48=P48-P46,P49,IF(P50-P48=P48-P46,P50,"-"))))</f>
        <v>-</v>
      </c>
      <c r="R49" s="83" t="e">
        <f>VLOOKUP(Q49,STN_TABLE,2,FALSE)</f>
        <v>#N/A</v>
      </c>
      <c r="S49" s="83">
        <v>-1</v>
      </c>
      <c r="T49" s="82" t="e">
        <f>R49*S49</f>
        <v>#N/A</v>
      </c>
      <c r="U49" s="88">
        <v>-1</v>
      </c>
      <c r="V49" s="82" t="e">
        <f>R49*U49</f>
        <v>#N/A</v>
      </c>
      <c r="W49" s="84" t="str">
        <f>CONCATENATE("a'(",Q48,")=")</f>
        <v>a'(1)=</v>
      </c>
      <c r="X49" s="84" t="e">
        <f>2*X47/12*T50</f>
        <v>#VALUE!</v>
      </c>
      <c r="Y49" s="84" t="str">
        <f>CONCATENATE("A(",Q47,")=")</f>
        <v>A(-)=</v>
      </c>
      <c r="Z49" s="84" t="e">
        <f>VLOOKUP(Q47,STN_TABLE,3,FALSE)</f>
        <v>#N/A</v>
      </c>
      <c r="AA49" t="str">
        <f>CONCATENATE("A(",Q48,")=")</f>
        <v>A(1)=</v>
      </c>
      <c r="AB49" t="e">
        <f>X49+Z49</f>
        <v>#VALUE!</v>
      </c>
      <c r="AC49" s="99">
        <f>AC48+1</f>
        <v>5</v>
      </c>
      <c r="AD49" s="100">
        <f>VLOOKUP(AC49,STN_TABLE_2,2,FALSE)</f>
        <v>1</v>
      </c>
      <c r="AE49" s="82">
        <f>VLOOKUP(AD49,STN_TABLE,2,FALSE)</f>
        <v>7.29</v>
      </c>
      <c r="AF49" s="82">
        <v>2</v>
      </c>
      <c r="AG49" s="83">
        <f>AE49*AF49</f>
        <v>14.58</v>
      </c>
      <c r="AH49" s="84" t="str">
        <f>CONCATENATE("a'(",AD49,")=")</f>
        <v>a'(1)=</v>
      </c>
      <c r="AI49" s="84">
        <f>2*AI47/2*AE50</f>
        <v>7.0600000000000005</v>
      </c>
      <c r="AJ49" s="84" t="str">
        <f>CONCATENATE("A(",AD48,")=")</f>
        <v>A(0.75)=</v>
      </c>
      <c r="AK49" s="84">
        <f>VLOOKUP(AD48,STN_TABLE,3,FALSE)</f>
        <v>17.015000000000001</v>
      </c>
      <c r="AL49" t="str">
        <f>CONCATENATE("A(",AD49,")=")</f>
        <v>A(1)=</v>
      </c>
      <c r="AM49">
        <f>AI49+AK49</f>
        <v>24.075000000000003</v>
      </c>
      <c r="AO49" s="68" t="str">
        <f>AA49</f>
        <v>A(1)=</v>
      </c>
      <c r="AP49" s="68" t="e">
        <f>VLOOKUP(AO49,Rise_Results,2,FALSE)</f>
        <v>#N/A</v>
      </c>
      <c r="AQ49" s="76">
        <f>N49</f>
        <v>24.083333333333332</v>
      </c>
      <c r="AR49" s="76" t="e">
        <f>IF(OR(AB49&lt;=0,AB50&lt;=0),1/0,AB49)</f>
        <v>#VALUE!</v>
      </c>
      <c r="AS49" s="76">
        <f>AM49</f>
        <v>24.075000000000003</v>
      </c>
      <c r="AT49">
        <f>IFERROR(AP49,IFERROR(AQ49,IFERROR(AR49,AS49)))</f>
        <v>24.083333333333332</v>
      </c>
      <c r="AU49" s="81"/>
    </row>
    <row r="50" spans="1:47" x14ac:dyDescent="0.25">
      <c r="A50" s="84">
        <f>A49+1</f>
        <v>5</v>
      </c>
      <c r="B50" s="84">
        <f t="shared" si="11"/>
        <v>1</v>
      </c>
      <c r="F50" s="82">
        <f>SUM(F47:F49)</f>
        <v>40.869999999999997</v>
      </c>
      <c r="H50" s="82">
        <f>SUM(H47:H49)</f>
        <v>30.91</v>
      </c>
      <c r="I50" s="84" t="str">
        <f>CONCATENATE("m'(",C49,")=")</f>
        <v>m'(1)=</v>
      </c>
      <c r="J50" s="84">
        <f>2*(J47*(WLS))/3*H50</f>
        <v>20.606666666666666</v>
      </c>
      <c r="K50" s="84" t="str">
        <f>CONCATENATE("M(",C47,")=")</f>
        <v>M(0.5)=</v>
      </c>
      <c r="L50" s="84">
        <f>VLOOKUP(C47,STN_TABLE,4,FALSE)</f>
        <v>5.6400000000000006</v>
      </c>
      <c r="M50" t="str">
        <f>CONCATENATE("M(",C49,")=")</f>
        <v>M(1)=</v>
      </c>
      <c r="N50">
        <f>J50+L50</f>
        <v>26.246666666666666</v>
      </c>
      <c r="O50" s="99">
        <f>O49+1</f>
        <v>7</v>
      </c>
      <c r="P50" s="99">
        <f t="shared" si="10"/>
        <v>3</v>
      </c>
      <c r="T50" s="89" t="e">
        <f>SUM(T47:T49)</f>
        <v>#N/A</v>
      </c>
      <c r="V50" s="82" t="e">
        <f>SUM(V47:V49)</f>
        <v>#N/A</v>
      </c>
      <c r="W50" s="84" t="str">
        <f>CONCATENATE("m'(",Q48,")=")</f>
        <v>m'(1)=</v>
      </c>
      <c r="X50" s="84" t="e">
        <f>(2*(X47^2)/24*V50)+(X49*Q47*WLS)</f>
        <v>#VALUE!</v>
      </c>
      <c r="Y50" s="84" t="str">
        <f>CONCATENATE("M(",Q47,")=")</f>
        <v>M(-)=</v>
      </c>
      <c r="Z50" s="84" t="e">
        <f>VLOOKUP(Q47,STN_TABLE,4,FALSE)</f>
        <v>#N/A</v>
      </c>
      <c r="AA50" t="str">
        <f>CONCATENATE("M(",Q48,")=")</f>
        <v>M(1)=</v>
      </c>
      <c r="AB50" t="e">
        <f>X50+Z50</f>
        <v>#VALUE!</v>
      </c>
      <c r="AE50" s="89">
        <f>SUM(AE48:AE49)</f>
        <v>14.120000000000001</v>
      </c>
      <c r="AG50" s="89">
        <f>SUM(AG48:AG49)</f>
        <v>21.41</v>
      </c>
      <c r="AH50" s="84" t="str">
        <f>CONCATENATE("m'(",AD49,")=")</f>
        <v>m'(1)=</v>
      </c>
      <c r="AI50" s="84">
        <f>(2*(AI47^2)/6*AG50)+(AI49*AD48*WLS)</f>
        <v>12.374166666666667</v>
      </c>
      <c r="AJ50" s="84" t="str">
        <f>CONCATENATE("M(",AD48,")=")</f>
        <v>M(0.75)=</v>
      </c>
      <c r="AK50" s="84">
        <f>VLOOKUP(AD48,STN_TABLE,4,FALSE)</f>
        <v>13.8675</v>
      </c>
      <c r="AL50" t="str">
        <f>CONCATENATE("M(",AD49,")=")</f>
        <v>M(1)=</v>
      </c>
      <c r="AM50">
        <f>AI50+AK50</f>
        <v>26.241666666666667</v>
      </c>
      <c r="AO50" s="82" t="str">
        <f>AA50</f>
        <v>M(1)=</v>
      </c>
      <c r="AP50" s="82" t="e">
        <f>VLOOKUP(AO50,Rise_Results,2,FALSE)</f>
        <v>#N/A</v>
      </c>
      <c r="AQ50" s="82">
        <f>N50</f>
        <v>26.246666666666666</v>
      </c>
      <c r="AR50" s="82" t="e">
        <f>IF(OR(AB49&lt;=0,AB50&lt;=0),1/0,AB50)</f>
        <v>#VALUE!</v>
      </c>
      <c r="AS50" s="82">
        <f>AM50</f>
        <v>26.241666666666667</v>
      </c>
      <c r="AT50">
        <f>IFERROR(AP50,IFERROR(AQ50,IFERROR(AR50,AS50)))</f>
        <v>26.246666666666666</v>
      </c>
      <c r="AU50" s="81"/>
    </row>
    <row r="51" spans="1:47" x14ac:dyDescent="0.25">
      <c r="A51" s="101">
        <f>A46+1</f>
        <v>2</v>
      </c>
      <c r="B51" s="101">
        <f t="shared" si="11"/>
        <v>0.25</v>
      </c>
      <c r="O51" s="101">
        <f>O46+1</f>
        <v>4</v>
      </c>
      <c r="P51" s="101">
        <f t="shared" si="10"/>
        <v>0.75</v>
      </c>
      <c r="AU51" s="81"/>
    </row>
    <row r="52" spans="1:47" x14ac:dyDescent="0.25">
      <c r="A52" s="84">
        <f>A51+1</f>
        <v>3</v>
      </c>
      <c r="B52" s="84">
        <f t="shared" si="11"/>
        <v>0.5</v>
      </c>
      <c r="C52" s="79" t="str">
        <f t="shared" ref="C52" si="12">IF(C53=B54,IF(C54-C53=C53-B53,B53,IF(C54-C53=C53-B52,B52,"#NA")),IF(C53=B53,IF(C54-C53=C53-B52,B52,IF(C54-C53=C53-B51,B51,"#NA")),"#NA"))</f>
        <v>#NA</v>
      </c>
      <c r="D52" s="68" t="e">
        <f>VLOOKUP(C52,STN_TABLE,2,FALSE)</f>
        <v>#N/A</v>
      </c>
      <c r="E52" s="102">
        <v>1</v>
      </c>
      <c r="F52" s="68" t="e">
        <f>D52*E52</f>
        <v>#N/A</v>
      </c>
      <c r="G52" s="69" t="str">
        <f>C52</f>
        <v>#NA</v>
      </c>
      <c r="H52" s="69" t="e">
        <f>F52*G52</f>
        <v>#N/A</v>
      </c>
      <c r="I52" s="6" t="s">
        <v>93</v>
      </c>
      <c r="J52" s="70" t="e">
        <f>IF(OR(D52=0,D53=0,D54=0),"#NA",IF(AND(C54-C53=C53-C52,C53&lt;&gt;C54,C52&lt;&gt;C53,C52&lt;&gt;C54,D54&lt;&gt;0,OR(D52&lt;&gt;0,D53&lt;&gt;0)),WLS*(C54-C53),"#NA"))</f>
        <v>#N/A</v>
      </c>
      <c r="O52" s="99">
        <f>O51+1</f>
        <v>5</v>
      </c>
      <c r="P52" s="99">
        <f t="shared" si="10"/>
        <v>1</v>
      </c>
      <c r="Q52" s="68">
        <f>IF(OR(P54-P53=P53-P52,P55-P53=P53-P52),P52,IF(OR(P54-P53=P53-P51,P55-P53=P53-P51),P51,"-"))</f>
        <v>1</v>
      </c>
      <c r="R52" s="69">
        <f>VLOOKUP(Q52,STN_TABLE,2,FALSE)</f>
        <v>7.29</v>
      </c>
      <c r="S52" s="69">
        <v>5</v>
      </c>
      <c r="T52" s="68">
        <f>R52*S52</f>
        <v>36.450000000000003</v>
      </c>
      <c r="U52" s="79">
        <v>3</v>
      </c>
      <c r="V52" s="68">
        <f>R52*U52</f>
        <v>21.87</v>
      </c>
      <c r="W52" s="6" t="s">
        <v>93</v>
      </c>
      <c r="X52" s="70">
        <f>IF(AND(Q54-Q53=Q53-Q52,NOT(AND(Q52=0,Q53=0)),NOT(AND(Q53=0,Q54=0))),WLS*(Q54-Q53),"#NA")</f>
        <v>2</v>
      </c>
      <c r="AD52" s="93"/>
      <c r="AH52" s="6" t="s">
        <v>93</v>
      </c>
      <c r="AI52" s="70">
        <f>WLS*(AD54-AD53)</f>
        <v>2</v>
      </c>
      <c r="AU52" s="81"/>
    </row>
    <row r="53" spans="1:47" x14ac:dyDescent="0.25">
      <c r="A53" s="84">
        <f>A52+1</f>
        <v>4</v>
      </c>
      <c r="B53" s="84">
        <f t="shared" si="11"/>
        <v>0.75</v>
      </c>
      <c r="C53" s="80" t="str">
        <f t="shared" ref="C53" si="13">IF(OR(B55-B54=B54-B53,B55-B54=B54-B52,B55-B54=B54-B51),B54,IF(OR(B55-B53=B53-B52,B55-B53=B53-B51),B53,IF(B55-B52=B52-B51,B52,"#NA")))</f>
        <v>#NA</v>
      </c>
      <c r="D53" s="76" t="e">
        <f>VLOOKUP(C53,STN_TABLE,2,FALSE)</f>
        <v>#N/A</v>
      </c>
      <c r="E53" s="81">
        <v>4</v>
      </c>
      <c r="F53" s="76" t="e">
        <f>D53*E53</f>
        <v>#N/A</v>
      </c>
      <c r="G53" s="77" t="str">
        <f>C53</f>
        <v>#NA</v>
      </c>
      <c r="H53" s="77" t="e">
        <f>F53*G53</f>
        <v>#N/A</v>
      </c>
      <c r="I53" s="495" t="s">
        <v>97</v>
      </c>
      <c r="J53" s="496"/>
      <c r="K53" s="78" t="s">
        <v>98</v>
      </c>
      <c r="L53" s="78"/>
      <c r="M53" s="7" t="s">
        <v>99</v>
      </c>
      <c r="N53" s="7"/>
      <c r="O53" s="99">
        <f>O52+1</f>
        <v>6</v>
      </c>
      <c r="P53" s="99">
        <f t="shared" si="10"/>
        <v>2</v>
      </c>
      <c r="Q53" s="76">
        <f>P53</f>
        <v>2</v>
      </c>
      <c r="R53" s="77">
        <f>VLOOKUP(Q53,STN_TABLE,2,FALSE)</f>
        <v>8.61</v>
      </c>
      <c r="S53" s="77">
        <v>8</v>
      </c>
      <c r="T53" s="76">
        <f>R53*S53</f>
        <v>68.88</v>
      </c>
      <c r="U53" s="80">
        <v>10</v>
      </c>
      <c r="V53" s="76">
        <f>R53*U53</f>
        <v>86.1</v>
      </c>
      <c r="W53" s="496" t="s">
        <v>97</v>
      </c>
      <c r="X53" s="496"/>
      <c r="Y53" s="496" t="s">
        <v>98</v>
      </c>
      <c r="Z53" s="496"/>
      <c r="AA53" s="494" t="s">
        <v>99</v>
      </c>
      <c r="AB53" s="494"/>
      <c r="AC53" s="99">
        <f>AC48+1</f>
        <v>5</v>
      </c>
      <c r="AD53" s="95">
        <f>VLOOKUP(AC53,STN_TABLE_2,2,FALSE)</f>
        <v>1</v>
      </c>
      <c r="AE53" s="68">
        <f>VLOOKUP(AD53,STN_TABLE,2,FALSE)</f>
        <v>7.29</v>
      </c>
      <c r="AF53" s="68">
        <v>1</v>
      </c>
      <c r="AG53" s="69">
        <f>AE53*AF53</f>
        <v>7.29</v>
      </c>
      <c r="AH53" s="496" t="s">
        <v>97</v>
      </c>
      <c r="AI53" s="496"/>
      <c r="AJ53" s="496" t="s">
        <v>98</v>
      </c>
      <c r="AK53" s="496"/>
      <c r="AL53" s="494" t="s">
        <v>99</v>
      </c>
      <c r="AM53" s="494"/>
      <c r="AP53" s="86" t="s">
        <v>112</v>
      </c>
      <c r="AQ53" s="89" t="s">
        <v>113</v>
      </c>
      <c r="AR53" s="89" t="s">
        <v>114</v>
      </c>
      <c r="AS53" s="89" t="s">
        <v>115</v>
      </c>
      <c r="AU53" s="81"/>
    </row>
    <row r="54" spans="1:47" x14ac:dyDescent="0.25">
      <c r="A54" s="84">
        <f>A53+1</f>
        <v>5</v>
      </c>
      <c r="B54" s="84">
        <f t="shared" si="11"/>
        <v>1</v>
      </c>
      <c r="C54" s="88">
        <f t="shared" ref="C54" si="14">B55</f>
        <v>2</v>
      </c>
      <c r="D54" s="82">
        <f>VLOOKUP(C54,STN_TABLE,2,FALSE)</f>
        <v>8.61</v>
      </c>
      <c r="E54" s="92">
        <v>1</v>
      </c>
      <c r="F54" s="82">
        <f>D54*E54</f>
        <v>8.61</v>
      </c>
      <c r="G54" s="83">
        <f>C54</f>
        <v>2</v>
      </c>
      <c r="H54" s="83">
        <f>F54*G54</f>
        <v>17.22</v>
      </c>
      <c r="I54" s="84" t="str">
        <f>CONCATENATE("a'(",C54,")=")</f>
        <v>a'(2)=</v>
      </c>
      <c r="J54" s="84" t="e">
        <f>2*J52/3*F55</f>
        <v>#N/A</v>
      </c>
      <c r="K54" s="84" t="str">
        <f>CONCATENATE("A(",C52,")=")</f>
        <v>A(#NA)=</v>
      </c>
      <c r="L54" s="84" t="e">
        <f>VLOOKUP(C52,STN_TABLE,3,FALSE)</f>
        <v>#N/A</v>
      </c>
      <c r="M54" t="str">
        <f>CONCATENATE("A(",C54,")=")</f>
        <v>A(2)=</v>
      </c>
      <c r="N54" t="e">
        <f>J54+L54</f>
        <v>#N/A</v>
      </c>
      <c r="O54" s="99">
        <f>O53+1</f>
        <v>7</v>
      </c>
      <c r="P54" s="99">
        <f t="shared" si="10"/>
        <v>3</v>
      </c>
      <c r="Q54" s="82">
        <f>IF(P54-P53=P53-P52,P54,IF(P55-P53=P53-P52,P55,IF(P54-P53=P53-P51,P54,IF(P55-P53=P53-P51,P55,"-"))))</f>
        <v>3</v>
      </c>
      <c r="R54" s="83">
        <f>VLOOKUP(Q54,STN_TABLE,2,FALSE)</f>
        <v>9.4499999999999993</v>
      </c>
      <c r="S54" s="83">
        <v>-1</v>
      </c>
      <c r="T54" s="82">
        <f>R54*S54</f>
        <v>-9.4499999999999993</v>
      </c>
      <c r="U54" s="88">
        <v>-1</v>
      </c>
      <c r="V54" s="82">
        <f>R54*U54</f>
        <v>-9.4499999999999993</v>
      </c>
      <c r="W54" s="84" t="str">
        <f>CONCATENATE("a'(",Q53,")=")</f>
        <v>a'(2)=</v>
      </c>
      <c r="X54" s="84">
        <f>2*X52/12*T55</f>
        <v>31.959999999999997</v>
      </c>
      <c r="Y54" s="84" t="str">
        <f>CONCATENATE("A(",Q52,")=")</f>
        <v>A(1)=</v>
      </c>
      <c r="Z54" s="84">
        <f>VLOOKUP(Q52,STN_TABLE,3,FALSE)</f>
        <v>24.083333333333332</v>
      </c>
      <c r="AA54" t="str">
        <f>CONCATENATE("A(",Q53,")=")</f>
        <v>A(2)=</v>
      </c>
      <c r="AB54">
        <f>X54+Z54</f>
        <v>56.043333333333329</v>
      </c>
      <c r="AC54" s="99">
        <f>AC53+1</f>
        <v>6</v>
      </c>
      <c r="AD54" s="100">
        <f>VLOOKUP(AC54,STN_TABLE_2,2,FALSE)</f>
        <v>2</v>
      </c>
      <c r="AE54" s="82">
        <f>VLOOKUP(AD54,STN_TABLE,2,FALSE)</f>
        <v>8.61</v>
      </c>
      <c r="AF54" s="82">
        <v>2</v>
      </c>
      <c r="AG54" s="83">
        <f>AE54*AF54</f>
        <v>17.22</v>
      </c>
      <c r="AH54" s="84" t="str">
        <f>CONCATENATE("a'(",AD54,")=")</f>
        <v>a'(2)=</v>
      </c>
      <c r="AI54" s="84">
        <f>2*AI52/2*AE55</f>
        <v>31.799999999999997</v>
      </c>
      <c r="AJ54" s="84" t="str">
        <f>CONCATENATE("A(",AD53,")=")</f>
        <v>A(1)=</v>
      </c>
      <c r="AK54" s="84">
        <f>VLOOKUP(AD53,STN_TABLE,3,FALSE)</f>
        <v>24.083333333333332</v>
      </c>
      <c r="AL54" t="str">
        <f>CONCATENATE("A(",AD54,")=")</f>
        <v>A(2)=</v>
      </c>
      <c r="AM54">
        <f>AI54+AK54</f>
        <v>55.883333333333326</v>
      </c>
      <c r="AO54" s="68" t="str">
        <f>AA54</f>
        <v>A(2)=</v>
      </c>
      <c r="AP54" s="68" t="e">
        <f>VLOOKUP(AO54,Rise_Results,2,FALSE)</f>
        <v>#N/A</v>
      </c>
      <c r="AQ54" s="76" t="e">
        <f>N54</f>
        <v>#N/A</v>
      </c>
      <c r="AR54" s="76">
        <f>IF(OR(AB54&lt;=0,AB55&lt;=0),1/0,AB54)</f>
        <v>56.043333333333329</v>
      </c>
      <c r="AS54" s="76">
        <f>AM54</f>
        <v>55.883333333333326</v>
      </c>
      <c r="AT54">
        <f>IFERROR(AP54,IFERROR(AQ54,IFERROR(AR54,AS54)))</f>
        <v>56.043333333333329</v>
      </c>
      <c r="AU54" s="81"/>
    </row>
    <row r="55" spans="1:47" x14ac:dyDescent="0.25">
      <c r="A55" s="84">
        <f>A54+1</f>
        <v>6</v>
      </c>
      <c r="B55" s="84">
        <f t="shared" si="11"/>
        <v>2</v>
      </c>
      <c r="F55" s="82" t="e">
        <f>SUM(F52:F54)</f>
        <v>#N/A</v>
      </c>
      <c r="H55" s="82" t="e">
        <f>SUM(H52:H54)</f>
        <v>#N/A</v>
      </c>
      <c r="I55" s="84" t="str">
        <f>CONCATENATE("m'(",C54,")=")</f>
        <v>m'(2)=</v>
      </c>
      <c r="J55" s="84" t="e">
        <f>2*(J52*(WLS))/3*H55</f>
        <v>#N/A</v>
      </c>
      <c r="K55" s="84" t="str">
        <f>CONCATENATE("M(",C52,")=")</f>
        <v>M(#NA)=</v>
      </c>
      <c r="L55" s="84" t="e">
        <f>VLOOKUP(C52,STN_TABLE,4,FALSE)</f>
        <v>#N/A</v>
      </c>
      <c r="M55" t="str">
        <f>CONCATENATE("M(",C54,")=")</f>
        <v>M(2)=</v>
      </c>
      <c r="N55" t="e">
        <f>J55+L55</f>
        <v>#N/A</v>
      </c>
      <c r="O55" s="99">
        <f>O54+1</f>
        <v>8</v>
      </c>
      <c r="P55" s="99">
        <f t="shared" si="10"/>
        <v>4</v>
      </c>
      <c r="T55" s="89">
        <f>SUM(T52:T54)</f>
        <v>95.88</v>
      </c>
      <c r="V55" s="82">
        <f>SUM(V52:V54)</f>
        <v>98.52</v>
      </c>
      <c r="W55" s="84" t="str">
        <f>CONCATENATE("m'(",Q53,")=")</f>
        <v>m'(2)=</v>
      </c>
      <c r="X55" s="84">
        <f>(2*(X52^2)/24*V55)+(X54*Q52*WLS)</f>
        <v>96.759999999999991</v>
      </c>
      <c r="Y55" s="84" t="str">
        <f>CONCATENATE("M(",Q52,")=")</f>
        <v>M(1)=</v>
      </c>
      <c r="Z55" s="84">
        <f>VLOOKUP(Q52,STN_TABLE,4,FALSE)</f>
        <v>26.246666666666666</v>
      </c>
      <c r="AA55" t="str">
        <f>CONCATENATE("M(",Q53,")=")</f>
        <v>M(2)=</v>
      </c>
      <c r="AB55">
        <f>X55+Z55</f>
        <v>123.00666666666666</v>
      </c>
      <c r="AE55" s="89">
        <f>SUM(AE53:AE54)</f>
        <v>15.899999999999999</v>
      </c>
      <c r="AG55" s="89">
        <f>SUM(AG53:AG54)</f>
        <v>24.509999999999998</v>
      </c>
      <c r="AH55" s="84" t="str">
        <f>CONCATENATE("m'(",AD54,")=")</f>
        <v>m'(2)=</v>
      </c>
      <c r="AI55" s="84">
        <f>(2*(AI52^2)/6*AG55)+(AI54*AD53*WLS)</f>
        <v>96.279999999999987</v>
      </c>
      <c r="AJ55" s="84" t="str">
        <f>CONCATENATE("M(",AD53,")=")</f>
        <v>M(1)=</v>
      </c>
      <c r="AK55" s="84">
        <f>VLOOKUP(AD53,STN_TABLE,4,FALSE)</f>
        <v>26.246666666666666</v>
      </c>
      <c r="AL55" t="str">
        <f>CONCATENATE("M(",AD54,")=")</f>
        <v>M(2)=</v>
      </c>
      <c r="AM55">
        <f>AI55+AK55</f>
        <v>122.52666666666666</v>
      </c>
      <c r="AO55" s="82" t="str">
        <f>AA55</f>
        <v>M(2)=</v>
      </c>
      <c r="AP55" s="82" t="e">
        <f>VLOOKUP(AO55,Rise_Results,2,FALSE)</f>
        <v>#N/A</v>
      </c>
      <c r="AQ55" s="82" t="e">
        <f>N55</f>
        <v>#N/A</v>
      </c>
      <c r="AR55" s="82">
        <f>IF(OR(AB54&lt;=0,AB55&lt;=0),1/0,AB55)</f>
        <v>123.00666666666666</v>
      </c>
      <c r="AS55" s="82">
        <f>AM55</f>
        <v>122.52666666666666</v>
      </c>
      <c r="AT55">
        <f>IFERROR(AP55,IFERROR(AQ55,IFERROR(AR55,AS55)))</f>
        <v>123.00666666666666</v>
      </c>
      <c r="AU55" s="81"/>
    </row>
    <row r="56" spans="1:47" x14ac:dyDescent="0.25">
      <c r="A56" s="101">
        <f>A51+1</f>
        <v>3</v>
      </c>
      <c r="B56" s="101">
        <f t="shared" si="11"/>
        <v>0.5</v>
      </c>
      <c r="O56" s="101">
        <f>O51+1</f>
        <v>5</v>
      </c>
      <c r="P56" s="101">
        <f t="shared" si="10"/>
        <v>1</v>
      </c>
      <c r="AU56" s="81"/>
    </row>
    <row r="57" spans="1:47" x14ac:dyDescent="0.25">
      <c r="A57" s="84">
        <f>A56+1</f>
        <v>4</v>
      </c>
      <c r="B57" s="84">
        <f t="shared" si="11"/>
        <v>0.75</v>
      </c>
      <c r="C57" s="79">
        <f t="shared" ref="C57" si="15">IF(C58=B59,IF(C59-C58=C58-B58,B58,IF(C59-C58=C58-B57,B57,"#NA")),IF(C58=B58,IF(C59-C58=C58-B57,B57,IF(C59-C58=C58-B56,B56,"#NA")),"#NA"))</f>
        <v>1</v>
      </c>
      <c r="D57" s="68">
        <f>VLOOKUP(C57,STN_TABLE,2,FALSE)</f>
        <v>7.29</v>
      </c>
      <c r="E57" s="102">
        <v>1</v>
      </c>
      <c r="F57" s="68">
        <f>D57*E57</f>
        <v>7.29</v>
      </c>
      <c r="G57" s="69">
        <f>C57</f>
        <v>1</v>
      </c>
      <c r="H57" s="69">
        <f>F57*G57</f>
        <v>7.29</v>
      </c>
      <c r="I57" s="6" t="s">
        <v>93</v>
      </c>
      <c r="J57" s="70">
        <f>IF(OR(D57=0,D58=0,D59=0),"#NA",IF(AND(C59-C58=C58-C57,C58&lt;&gt;C59,C57&lt;&gt;C58,C57&lt;&gt;C59,D59&lt;&gt;0,OR(D57&lt;&gt;0,D58&lt;&gt;0)),WLS*(C59-C58),"#NA"))</f>
        <v>2</v>
      </c>
      <c r="O57" s="99">
        <f>O56+1</f>
        <v>6</v>
      </c>
      <c r="P57" s="99">
        <f t="shared" si="10"/>
        <v>2</v>
      </c>
      <c r="Q57" s="68">
        <f>IF(OR(P59-P58=P58-P57,P60-P58=P58-P57),P57,IF(OR(P59-P58=P58-P56,P60-P58=P58-P56),P56,"-"))</f>
        <v>2</v>
      </c>
      <c r="R57" s="69">
        <f>VLOOKUP(Q57,STN_TABLE,2,FALSE)</f>
        <v>8.61</v>
      </c>
      <c r="S57" s="69">
        <v>5</v>
      </c>
      <c r="T57" s="68">
        <f>R57*S57</f>
        <v>43.05</v>
      </c>
      <c r="U57" s="79">
        <v>3</v>
      </c>
      <c r="V57" s="68">
        <f>R57*U57</f>
        <v>25.83</v>
      </c>
      <c r="W57" s="6" t="s">
        <v>93</v>
      </c>
      <c r="X57" s="70">
        <f>IF(AND(Q59-Q58=Q58-Q57,NOT(AND(Q57=0,Q58=0)),NOT(AND(Q58=0,Q59=0))),WLS*(Q59-Q58),"#NA")</f>
        <v>2</v>
      </c>
      <c r="AD57" s="93"/>
      <c r="AH57" s="6" t="s">
        <v>93</v>
      </c>
      <c r="AI57" s="70">
        <f>WLS*(AD59-AD58)</f>
        <v>2</v>
      </c>
      <c r="AU57" s="81"/>
    </row>
    <row r="58" spans="1:47" x14ac:dyDescent="0.25">
      <c r="A58" s="84">
        <f>A57+1</f>
        <v>5</v>
      </c>
      <c r="B58" s="84">
        <f t="shared" si="11"/>
        <v>1</v>
      </c>
      <c r="C58" s="80">
        <f t="shared" ref="C58" si="16">IF(OR(B60-B59=B59-B58,B60-B59=B59-B57,B60-B59=B59-B56),B59,IF(OR(B60-B58=B58-B57,B60-B58=B58-B56),B58,IF(B60-B57=B57-B56,B57,"#NA")))</f>
        <v>2</v>
      </c>
      <c r="D58" s="76">
        <f>VLOOKUP(C58,STN_TABLE,2,FALSE)</f>
        <v>8.61</v>
      </c>
      <c r="E58" s="81">
        <v>4</v>
      </c>
      <c r="F58" s="76">
        <f>D58*E58</f>
        <v>34.44</v>
      </c>
      <c r="G58" s="77">
        <f>C58</f>
        <v>2</v>
      </c>
      <c r="H58" s="77">
        <f>F58*G58</f>
        <v>68.88</v>
      </c>
      <c r="I58" s="495" t="s">
        <v>97</v>
      </c>
      <c r="J58" s="496"/>
      <c r="K58" s="78" t="s">
        <v>98</v>
      </c>
      <c r="L58" s="78"/>
      <c r="M58" s="7" t="s">
        <v>99</v>
      </c>
      <c r="N58" s="7"/>
      <c r="O58" s="99">
        <f>O57+1</f>
        <v>7</v>
      </c>
      <c r="P58" s="99">
        <f t="shared" si="10"/>
        <v>3</v>
      </c>
      <c r="Q58" s="76">
        <f>P58</f>
        <v>3</v>
      </c>
      <c r="R58" s="77">
        <f>VLOOKUP(Q58,STN_TABLE,2,FALSE)</f>
        <v>9.4499999999999993</v>
      </c>
      <c r="S58" s="77">
        <v>8</v>
      </c>
      <c r="T58" s="76">
        <f>R58*S58</f>
        <v>75.599999999999994</v>
      </c>
      <c r="U58" s="80">
        <v>10</v>
      </c>
      <c r="V58" s="76">
        <f>R58*U58</f>
        <v>94.5</v>
      </c>
      <c r="W58" s="78" t="s">
        <v>97</v>
      </c>
      <c r="X58" s="78"/>
      <c r="Y58" s="78" t="s">
        <v>98</v>
      </c>
      <c r="Z58" s="78"/>
      <c r="AA58" s="7" t="s">
        <v>99</v>
      </c>
      <c r="AB58" s="7"/>
      <c r="AC58" s="99">
        <f>AC53+1</f>
        <v>6</v>
      </c>
      <c r="AD58" s="95">
        <f>VLOOKUP(AC58,STN_TABLE_2,2,FALSE)</f>
        <v>2</v>
      </c>
      <c r="AE58" s="68">
        <f>VLOOKUP(AD58,STN_TABLE,2,FALSE)</f>
        <v>8.61</v>
      </c>
      <c r="AF58" s="68">
        <v>1</v>
      </c>
      <c r="AG58" s="69">
        <f>AE58*AF58</f>
        <v>8.61</v>
      </c>
      <c r="AH58" s="496" t="s">
        <v>97</v>
      </c>
      <c r="AI58" s="496"/>
      <c r="AJ58" s="496" t="s">
        <v>98</v>
      </c>
      <c r="AK58" s="496"/>
      <c r="AL58" s="494" t="s">
        <v>99</v>
      </c>
      <c r="AM58" s="494"/>
      <c r="AP58" s="86" t="s">
        <v>112</v>
      </c>
      <c r="AQ58" s="89" t="s">
        <v>113</v>
      </c>
      <c r="AR58" s="89" t="s">
        <v>114</v>
      </c>
      <c r="AS58" s="89" t="s">
        <v>115</v>
      </c>
      <c r="AU58" s="81"/>
    </row>
    <row r="59" spans="1:47" x14ac:dyDescent="0.25">
      <c r="A59" s="84">
        <f>A58+1</f>
        <v>6</v>
      </c>
      <c r="B59" s="84">
        <f t="shared" si="11"/>
        <v>2</v>
      </c>
      <c r="C59" s="88">
        <f t="shared" ref="C59" si="17">B60</f>
        <v>3</v>
      </c>
      <c r="D59" s="82">
        <f>VLOOKUP(C59,STN_TABLE,2,FALSE)</f>
        <v>9.4499999999999993</v>
      </c>
      <c r="E59" s="92">
        <v>1</v>
      </c>
      <c r="F59" s="82">
        <f>D59*E59</f>
        <v>9.4499999999999993</v>
      </c>
      <c r="G59" s="83">
        <f>C59</f>
        <v>3</v>
      </c>
      <c r="H59" s="83">
        <f>F59*G59</f>
        <v>28.349999999999998</v>
      </c>
      <c r="I59" s="84" t="str">
        <f>CONCATENATE("a'(",C59,")=")</f>
        <v>a'(3)=</v>
      </c>
      <c r="J59" s="84">
        <f>2*J57/3*F60</f>
        <v>68.239999999999981</v>
      </c>
      <c r="K59" s="84" t="str">
        <f>CONCATENATE("A(",C57,")=")</f>
        <v>A(1)=</v>
      </c>
      <c r="L59" s="84">
        <f>VLOOKUP(C57,STN_TABLE,3,FALSE)</f>
        <v>24.083333333333332</v>
      </c>
      <c r="M59" t="str">
        <f>CONCATENATE("A(",C59,")=")</f>
        <v>A(3)=</v>
      </c>
      <c r="N59">
        <f>J59+L59</f>
        <v>92.323333333333309</v>
      </c>
      <c r="O59" s="99">
        <f>O58+1</f>
        <v>8</v>
      </c>
      <c r="P59" s="99">
        <f t="shared" si="10"/>
        <v>4</v>
      </c>
      <c r="Q59" s="82">
        <f>IF(P59-P58=P58-P57,P59,IF(P60-P58=P58-P57,P60,IF(P59-P58=P58-P56,P59,IF(P60-P58=P58-P56,P60,"-"))))</f>
        <v>4</v>
      </c>
      <c r="R59" s="83">
        <f>VLOOKUP(Q59,STN_TABLE,2,FALSE)</f>
        <v>10.1</v>
      </c>
      <c r="S59" s="83">
        <v>-1</v>
      </c>
      <c r="T59" s="82">
        <f>R59*S59</f>
        <v>-10.1</v>
      </c>
      <c r="U59" s="88">
        <v>-1</v>
      </c>
      <c r="V59" s="82">
        <f>R59*U59</f>
        <v>-10.1</v>
      </c>
      <c r="W59" s="84" t="str">
        <f>CONCATENATE("a'(",Q58,")=")</f>
        <v>a'(3)=</v>
      </c>
      <c r="X59" s="84">
        <f>2*X57/12*T60</f>
        <v>36.18333333333333</v>
      </c>
      <c r="Y59" s="84" t="str">
        <f>CONCATENATE("A(",Q57,")=")</f>
        <v>A(2)=</v>
      </c>
      <c r="Z59" s="84">
        <f>VLOOKUP(Q57,STN_TABLE,3,FALSE)</f>
        <v>56.043333333333329</v>
      </c>
      <c r="AA59" t="str">
        <f>CONCATENATE("A(",Q58,")=")</f>
        <v>A(3)=</v>
      </c>
      <c r="AB59">
        <f>X59+Z59</f>
        <v>92.226666666666659</v>
      </c>
      <c r="AC59" s="99">
        <f>AC58+1</f>
        <v>7</v>
      </c>
      <c r="AD59" s="100">
        <f>VLOOKUP(AC59,STN_TABLE_2,2,FALSE)</f>
        <v>3</v>
      </c>
      <c r="AE59" s="82">
        <f>VLOOKUP(AD59,STN_TABLE,2,FALSE)</f>
        <v>9.4499999999999993</v>
      </c>
      <c r="AF59" s="82">
        <v>2</v>
      </c>
      <c r="AG59" s="83">
        <f>AE59*AF59</f>
        <v>18.899999999999999</v>
      </c>
      <c r="AH59" s="84" t="str">
        <f>CONCATENATE("a'(",AD59,")=")</f>
        <v>a'(3)=</v>
      </c>
      <c r="AI59" s="84">
        <f>2*AI57/2*AE60</f>
        <v>36.119999999999997</v>
      </c>
      <c r="AJ59" s="84" t="str">
        <f>CONCATENATE("A(",AD58,")=")</f>
        <v>A(2)=</v>
      </c>
      <c r="AK59" s="84">
        <f>VLOOKUP(AD58,STN_TABLE,3,FALSE)</f>
        <v>56.043333333333329</v>
      </c>
      <c r="AL59" t="str">
        <f>CONCATENATE("A(",AD59,")=")</f>
        <v>A(3)=</v>
      </c>
      <c r="AM59">
        <f>AI59+AK59</f>
        <v>92.163333333333327</v>
      </c>
      <c r="AO59" s="68" t="str">
        <f>AA59</f>
        <v>A(3)=</v>
      </c>
      <c r="AP59" s="68" t="e">
        <f>VLOOKUP(AO59,Rise_Results,2,FALSE)</f>
        <v>#N/A</v>
      </c>
      <c r="AQ59" s="76">
        <f>N59</f>
        <v>92.323333333333309</v>
      </c>
      <c r="AR59" s="76">
        <f>IF(OR(AB59&lt;=0,AB60&lt;=0),1/0,AB59)</f>
        <v>92.226666666666659</v>
      </c>
      <c r="AS59" s="76">
        <f>AM59</f>
        <v>92.163333333333327</v>
      </c>
      <c r="AT59">
        <f>IFERROR(AP59,IFERROR(AQ59,IFERROR(AR59,AS59)))</f>
        <v>92.323333333333309</v>
      </c>
      <c r="AU59" s="81"/>
    </row>
    <row r="60" spans="1:47" x14ac:dyDescent="0.25">
      <c r="A60" s="84">
        <f>A59+1</f>
        <v>7</v>
      </c>
      <c r="B60" s="84">
        <f t="shared" si="11"/>
        <v>3</v>
      </c>
      <c r="F60" s="82">
        <f>SUM(F57:F59)</f>
        <v>51.179999999999993</v>
      </c>
      <c r="H60" s="82">
        <f>SUM(H57:H59)</f>
        <v>104.52</v>
      </c>
      <c r="I60" s="84" t="str">
        <f>CONCATENATE("m'(",C59,")=")</f>
        <v>m'(3)=</v>
      </c>
      <c r="J60" s="84">
        <f>2*(J57*(WLS))/3*H60</f>
        <v>278.71999999999997</v>
      </c>
      <c r="K60" s="84" t="str">
        <f>CONCATENATE("M(",C57,")=")</f>
        <v>M(1)=</v>
      </c>
      <c r="L60" s="84">
        <f>VLOOKUP(C57,STN_TABLE,4,FALSE)</f>
        <v>26.246666666666666</v>
      </c>
      <c r="M60" t="str">
        <f>CONCATENATE("M(",C59,")=")</f>
        <v>M(3)=</v>
      </c>
      <c r="N60">
        <f>J60+L60</f>
        <v>304.96666666666664</v>
      </c>
      <c r="O60" s="99">
        <f>O59+1</f>
        <v>9</v>
      </c>
      <c r="P60" s="99">
        <f t="shared" si="10"/>
        <v>4.8499999999999996</v>
      </c>
      <c r="T60" s="89">
        <f>SUM(T57:T59)</f>
        <v>108.55</v>
      </c>
      <c r="V60" s="82">
        <f>SUM(V57:V59)</f>
        <v>110.23</v>
      </c>
      <c r="W60" s="84" t="str">
        <f>CONCATENATE("m'(",Q58,")=")</f>
        <v>m'(3)=</v>
      </c>
      <c r="X60" s="84">
        <f>(2*(X57^2)/24*V60)+(X59*Q57*WLS)</f>
        <v>181.47666666666666</v>
      </c>
      <c r="Y60" s="84" t="str">
        <f>CONCATENATE("M(",Q57,")=")</f>
        <v>M(2)=</v>
      </c>
      <c r="Z60" s="84">
        <f>VLOOKUP(Q57,STN_TABLE,4,FALSE)</f>
        <v>123.00666666666666</v>
      </c>
      <c r="AA60" t="str">
        <f>CONCATENATE("M(",Q58,")=")</f>
        <v>M(3)=</v>
      </c>
      <c r="AB60">
        <f>X60+Z60</f>
        <v>304.48333333333335</v>
      </c>
      <c r="AE60" s="89">
        <f>SUM(AE58:AE59)</f>
        <v>18.059999999999999</v>
      </c>
      <c r="AG60" s="89">
        <f>SUM(AG58:AG59)</f>
        <v>27.509999999999998</v>
      </c>
      <c r="AH60" s="84" t="str">
        <f>CONCATENATE("m'(",AD59,")=")</f>
        <v>m'(3)=</v>
      </c>
      <c r="AI60" s="84">
        <f>(2*(AI57^2)/6*AG60)+(AI59*AD58*WLS)</f>
        <v>181.15999999999997</v>
      </c>
      <c r="AJ60" s="84" t="str">
        <f>CONCATENATE("M(",AD58,")=")</f>
        <v>M(2)=</v>
      </c>
      <c r="AK60" s="84">
        <f>VLOOKUP(AD57,STN_TABLE,4,FALSE)</f>
        <v>0</v>
      </c>
      <c r="AL60" t="str">
        <f>CONCATENATE("M(",AD59,")=")</f>
        <v>M(3)=</v>
      </c>
      <c r="AM60">
        <f>AI60+AK60</f>
        <v>181.15999999999997</v>
      </c>
      <c r="AO60" s="82" t="str">
        <f>AA60</f>
        <v>M(3)=</v>
      </c>
      <c r="AP60" s="82" t="e">
        <f>VLOOKUP(AO60,Rise_Results,2,FALSE)</f>
        <v>#N/A</v>
      </c>
      <c r="AQ60" s="82">
        <f>N60</f>
        <v>304.96666666666664</v>
      </c>
      <c r="AR60" s="82">
        <f>IF(OR(AB59&lt;=0,AB60&lt;=0),1/0,AB60)</f>
        <v>304.48333333333335</v>
      </c>
      <c r="AS60" s="82">
        <f>AM60</f>
        <v>181.15999999999997</v>
      </c>
      <c r="AT60">
        <f>IFERROR(AP60,IFERROR(AQ60,IFERROR(AR60,AS60)))</f>
        <v>304.96666666666664</v>
      </c>
      <c r="AU60" s="81"/>
    </row>
    <row r="61" spans="1:47" x14ac:dyDescent="0.25">
      <c r="A61" s="101">
        <f>A56+1</f>
        <v>4</v>
      </c>
      <c r="B61" s="101">
        <f t="shared" si="11"/>
        <v>0.75</v>
      </c>
      <c r="O61" s="101">
        <f>O56+1</f>
        <v>6</v>
      </c>
      <c r="P61" s="101">
        <f t="shared" si="10"/>
        <v>2</v>
      </c>
      <c r="AU61" s="81"/>
    </row>
    <row r="62" spans="1:47" x14ac:dyDescent="0.25">
      <c r="A62" s="84">
        <f>A61+1</f>
        <v>5</v>
      </c>
      <c r="B62" s="84">
        <f t="shared" si="11"/>
        <v>1</v>
      </c>
      <c r="C62" s="79">
        <f t="shared" ref="C62" si="18">IF(C63=B64,IF(C64-C63=C63-B63,B63,IF(C64-C63=C63-B62,B62,"#NA")),IF(C63=B63,IF(C64-C63=C63-B62,B62,IF(C64-C63=C63-B61,B61,"#NA")),"#NA"))</f>
        <v>2</v>
      </c>
      <c r="D62" s="68">
        <f>VLOOKUP(C62,STN_TABLE,2,FALSE)</f>
        <v>8.61</v>
      </c>
      <c r="E62" s="102">
        <v>1</v>
      </c>
      <c r="F62" s="68">
        <f>D62*E62</f>
        <v>8.61</v>
      </c>
      <c r="G62" s="69">
        <f>C62</f>
        <v>2</v>
      </c>
      <c r="H62" s="69">
        <f>F62*G62</f>
        <v>17.22</v>
      </c>
      <c r="I62" s="6" t="s">
        <v>93</v>
      </c>
      <c r="J62" s="70">
        <f>IF(OR(D62=0,D63=0,D64=0),"#NA",IF(AND(C64-C63=C63-C62,C63&lt;&gt;C64,C62&lt;&gt;C63,C62&lt;&gt;C64,D64&lt;&gt;0,OR(D62&lt;&gt;0,D63&lt;&gt;0)),WLS*(C64-C63),"#NA"))</f>
        <v>2</v>
      </c>
      <c r="O62" s="99">
        <f>O61+1</f>
        <v>7</v>
      </c>
      <c r="P62" s="99">
        <f t="shared" si="10"/>
        <v>3</v>
      </c>
      <c r="Q62" s="68">
        <f>IF(OR(P64-P63=P63-P62,P65-P63=P63-P62),P62,IF(OR(P64-P63=P63-P61,P65-P63=P63-P61),P61,"-"))</f>
        <v>3</v>
      </c>
      <c r="R62" s="69">
        <f>VLOOKUP(Q62,STN_TABLE,2,FALSE)</f>
        <v>9.4499999999999993</v>
      </c>
      <c r="S62" s="69">
        <v>5</v>
      </c>
      <c r="T62" s="68">
        <f>R62*S62</f>
        <v>47.25</v>
      </c>
      <c r="U62" s="79">
        <v>3</v>
      </c>
      <c r="V62" s="68">
        <f>R62*U62</f>
        <v>28.349999999999998</v>
      </c>
      <c r="W62" s="6" t="s">
        <v>93</v>
      </c>
      <c r="X62" s="70">
        <f>IF(AND(Q64-Q63=Q63-Q62,NOT(AND(Q62=0,Q63=0)),NOT(AND(Q63=0,Q64=0))),WLS*(Q64-Q63),"#NA")</f>
        <v>2</v>
      </c>
      <c r="AD62" s="93"/>
      <c r="AH62" s="6" t="s">
        <v>93</v>
      </c>
      <c r="AI62" s="70">
        <f>WLS*(AD64-AD63)</f>
        <v>2</v>
      </c>
      <c r="AU62" s="81"/>
    </row>
    <row r="63" spans="1:47" x14ac:dyDescent="0.25">
      <c r="A63" s="84">
        <f>A62+1</f>
        <v>6</v>
      </c>
      <c r="B63" s="84">
        <f t="shared" si="11"/>
        <v>2</v>
      </c>
      <c r="C63" s="80">
        <f t="shared" ref="C63" si="19">IF(OR(B65-B64=B64-B63,B65-B64=B64-B62,B65-B64=B64-B61),B64,IF(OR(B65-B63=B63-B62,B65-B63=B63-B61),B63,IF(B65-B62=B62-B61,B62,"#NA")))</f>
        <v>3</v>
      </c>
      <c r="D63" s="76">
        <f>VLOOKUP(C63,STN_TABLE,2,FALSE)</f>
        <v>9.4499999999999993</v>
      </c>
      <c r="E63" s="81">
        <v>4</v>
      </c>
      <c r="F63" s="76">
        <f>D63*E63</f>
        <v>37.799999999999997</v>
      </c>
      <c r="G63" s="77">
        <f>C63</f>
        <v>3</v>
      </c>
      <c r="H63" s="77">
        <f>F63*G63</f>
        <v>113.39999999999999</v>
      </c>
      <c r="I63" s="495" t="s">
        <v>97</v>
      </c>
      <c r="J63" s="496"/>
      <c r="K63" s="78" t="s">
        <v>98</v>
      </c>
      <c r="L63" s="78"/>
      <c r="M63" s="7" t="s">
        <v>99</v>
      </c>
      <c r="N63" s="7"/>
      <c r="O63" s="99">
        <f>O62+1</f>
        <v>8</v>
      </c>
      <c r="P63" s="99">
        <f t="shared" si="10"/>
        <v>4</v>
      </c>
      <c r="Q63" s="76">
        <f>P63</f>
        <v>4</v>
      </c>
      <c r="R63" s="77">
        <f>VLOOKUP(Q63,STN_TABLE,2,FALSE)</f>
        <v>10.1</v>
      </c>
      <c r="S63" s="77">
        <v>8</v>
      </c>
      <c r="T63" s="76">
        <f>R63*S63</f>
        <v>80.8</v>
      </c>
      <c r="U63" s="80">
        <v>10</v>
      </c>
      <c r="V63" s="76">
        <f>R63*U63</f>
        <v>101</v>
      </c>
      <c r="W63" s="496" t="s">
        <v>97</v>
      </c>
      <c r="X63" s="496"/>
      <c r="Y63" s="496" t="s">
        <v>98</v>
      </c>
      <c r="Z63" s="496"/>
      <c r="AA63" s="494" t="s">
        <v>99</v>
      </c>
      <c r="AB63" s="494"/>
      <c r="AC63" s="99">
        <f>AC58+1</f>
        <v>7</v>
      </c>
      <c r="AD63" s="95">
        <f>VLOOKUP(AC63,STN_TABLE_2,2,FALSE)</f>
        <v>3</v>
      </c>
      <c r="AE63" s="68">
        <f>VLOOKUP(AD63,STN_TABLE,2,FALSE)</f>
        <v>9.4499999999999993</v>
      </c>
      <c r="AF63" s="68">
        <v>1</v>
      </c>
      <c r="AG63" s="69">
        <f>AE63*AF63</f>
        <v>9.4499999999999993</v>
      </c>
      <c r="AH63" s="496" t="s">
        <v>97</v>
      </c>
      <c r="AI63" s="496"/>
      <c r="AJ63" s="496" t="s">
        <v>98</v>
      </c>
      <c r="AK63" s="496"/>
      <c r="AL63" s="494" t="s">
        <v>99</v>
      </c>
      <c r="AM63" s="494"/>
      <c r="AP63" s="86" t="s">
        <v>112</v>
      </c>
      <c r="AQ63" s="89" t="s">
        <v>113</v>
      </c>
      <c r="AR63" s="89" t="s">
        <v>114</v>
      </c>
      <c r="AS63" s="89" t="s">
        <v>115</v>
      </c>
      <c r="AU63" s="81"/>
    </row>
    <row r="64" spans="1:47" x14ac:dyDescent="0.25">
      <c r="A64" s="84">
        <f>A63+1</f>
        <v>7</v>
      </c>
      <c r="B64" s="84">
        <f t="shared" si="11"/>
        <v>3</v>
      </c>
      <c r="C64" s="88">
        <f t="shared" ref="C64" si="20">B65</f>
        <v>4</v>
      </c>
      <c r="D64" s="82">
        <f>VLOOKUP(C64,STN_TABLE,2,FALSE)</f>
        <v>10.1</v>
      </c>
      <c r="E64" s="92">
        <v>1</v>
      </c>
      <c r="F64" s="82">
        <f>D64*E64</f>
        <v>10.1</v>
      </c>
      <c r="G64" s="83">
        <f>C64</f>
        <v>4</v>
      </c>
      <c r="H64" s="83">
        <f>F64*G64</f>
        <v>40.4</v>
      </c>
      <c r="I64" s="84" t="str">
        <f>CONCATENATE("a'(",C64,")=")</f>
        <v>a'(4)=</v>
      </c>
      <c r="J64" s="84">
        <f>2*J62/3*F65</f>
        <v>75.346666666666664</v>
      </c>
      <c r="K64" s="84" t="str">
        <f>CONCATENATE("A(",C62,")=")</f>
        <v>A(2)=</v>
      </c>
      <c r="L64" s="84">
        <f>VLOOKUP(C62,STN_TABLE,3,FALSE)</f>
        <v>56.043333333333329</v>
      </c>
      <c r="M64" t="str">
        <f>CONCATENATE("A(",C64,")=")</f>
        <v>A(4)=</v>
      </c>
      <c r="N64">
        <f>J64+L64</f>
        <v>131.38999999999999</v>
      </c>
      <c r="O64" s="99">
        <f>O63+1</f>
        <v>9</v>
      </c>
      <c r="P64" s="99">
        <f t="shared" si="10"/>
        <v>4.8499999999999996</v>
      </c>
      <c r="Q64" s="82">
        <f>IF(P64-P63=P63-P62,P64,IF(P65-P63=P63-P62,P65,IF(P64-P63=P63-P61,P64,IF(P65-P63=P63-P61,P65,"-"))))</f>
        <v>5</v>
      </c>
      <c r="R64" s="83">
        <f>VLOOKUP(Q64,STN_TABLE,2,FALSE)</f>
        <v>10.5</v>
      </c>
      <c r="S64" s="83">
        <v>-1</v>
      </c>
      <c r="T64" s="82">
        <f>R64*S64</f>
        <v>-10.5</v>
      </c>
      <c r="U64" s="88">
        <v>-1</v>
      </c>
      <c r="V64" s="82">
        <f>R64*U64</f>
        <v>-10.5</v>
      </c>
      <c r="W64" s="84" t="str">
        <f>CONCATENATE("a'(",Q63,")=")</f>
        <v>a'(4)=</v>
      </c>
      <c r="X64" s="84">
        <f>2*X62/12*T65</f>
        <v>39.183333333333337</v>
      </c>
      <c r="Y64" s="84" t="str">
        <f>CONCATENATE("A(",Q62,")=")</f>
        <v>A(3)=</v>
      </c>
      <c r="Z64" s="84">
        <f>VLOOKUP(Q62,STN_TABLE,3,FALSE)</f>
        <v>92.323333333333309</v>
      </c>
      <c r="AA64" t="str">
        <f>CONCATENATE("A(",Q63,")=")</f>
        <v>A(4)=</v>
      </c>
      <c r="AB64">
        <f>X64+Z64</f>
        <v>131.50666666666666</v>
      </c>
      <c r="AC64" s="99">
        <f>AC63+1</f>
        <v>8</v>
      </c>
      <c r="AD64" s="100">
        <f>VLOOKUP(AC64,STN_TABLE_2,2,FALSE)</f>
        <v>4</v>
      </c>
      <c r="AE64" s="82">
        <f>VLOOKUP(AD64,STN_TABLE,2,FALSE)</f>
        <v>10.1</v>
      </c>
      <c r="AF64" s="82">
        <v>2</v>
      </c>
      <c r="AG64" s="83">
        <f>AE64*AF64</f>
        <v>20.2</v>
      </c>
      <c r="AH64" s="84" t="str">
        <f>CONCATENATE("a'(",AD64,")=")</f>
        <v>a'(4)=</v>
      </c>
      <c r="AI64" s="84">
        <f>2*AI62/2*AE65</f>
        <v>39.099999999999994</v>
      </c>
      <c r="AJ64" s="84" t="str">
        <f>CONCATENATE("A(",AD63,")=")</f>
        <v>A(3)=</v>
      </c>
      <c r="AK64" s="84">
        <f>VLOOKUP(AD63,STN_TABLE,3,FALSE)</f>
        <v>92.323333333333309</v>
      </c>
      <c r="AL64" t="str">
        <f>CONCATENATE("A(",AD64,")=")</f>
        <v>A(4)=</v>
      </c>
      <c r="AM64">
        <f>AI64+AK64</f>
        <v>131.42333333333329</v>
      </c>
      <c r="AO64" s="68" t="str">
        <f>AA64</f>
        <v>A(4)=</v>
      </c>
      <c r="AP64" s="68" t="e">
        <f>VLOOKUP(AO64,Rise_Results,2,FALSE)</f>
        <v>#N/A</v>
      </c>
      <c r="AQ64" s="76">
        <f>N64</f>
        <v>131.38999999999999</v>
      </c>
      <c r="AR64" s="76">
        <f>IF(OR(AB64&lt;=0,AB65&lt;=0),1/0,AB64)</f>
        <v>131.50666666666666</v>
      </c>
      <c r="AS64" s="76">
        <f>AM64</f>
        <v>131.42333333333329</v>
      </c>
      <c r="AT64">
        <f>IFERROR(AP64,IFERROR(AQ64,IFERROR(AR64,AS64)))</f>
        <v>131.38999999999999</v>
      </c>
      <c r="AU64" s="81"/>
    </row>
    <row r="65" spans="1:47" x14ac:dyDescent="0.25">
      <c r="A65" s="84">
        <f>A64+1</f>
        <v>8</v>
      </c>
      <c r="B65" s="84">
        <f t="shared" si="11"/>
        <v>4</v>
      </c>
      <c r="F65" s="82">
        <f>SUM(F62:F64)</f>
        <v>56.51</v>
      </c>
      <c r="H65" s="82">
        <f>SUM(H62:H64)</f>
        <v>171.02</v>
      </c>
      <c r="I65" s="84" t="str">
        <f>CONCATENATE("m'(",C64,")=")</f>
        <v>m'(4)=</v>
      </c>
      <c r="J65" s="84">
        <f>2*(J62*(WLS))/3*H65</f>
        <v>456.05333333333334</v>
      </c>
      <c r="K65" s="84" t="str">
        <f>CONCATENATE("M(",C62,")=")</f>
        <v>M(2)=</v>
      </c>
      <c r="L65" s="84">
        <f>VLOOKUP(C62,STN_TABLE,4,FALSE)</f>
        <v>123.00666666666666</v>
      </c>
      <c r="M65" t="str">
        <f>CONCATENATE("M(",C64,")=")</f>
        <v>M(4)=</v>
      </c>
      <c r="N65">
        <f>J65+L65</f>
        <v>579.05999999999995</v>
      </c>
      <c r="O65" s="99">
        <f>O64+1</f>
        <v>10</v>
      </c>
      <c r="P65" s="99">
        <f t="shared" si="10"/>
        <v>5</v>
      </c>
      <c r="T65" s="89">
        <f>SUM(T62:T64)</f>
        <v>117.55000000000001</v>
      </c>
      <c r="V65" s="82">
        <f>SUM(V62:V64)</f>
        <v>118.85</v>
      </c>
      <c r="W65" s="84" t="str">
        <f>CONCATENATE("m'(",Q63,")=")</f>
        <v>m'(4)=</v>
      </c>
      <c r="X65" s="84">
        <f>(2*(X62^2)/24*V65)+(X64*Q62*WLS)</f>
        <v>274.7166666666667</v>
      </c>
      <c r="Y65" s="84" t="str">
        <f>CONCATENATE("M(",Q62,")=")</f>
        <v>M(3)=</v>
      </c>
      <c r="Z65" s="84">
        <f>VLOOKUP(Q62,STN_TABLE,4,FALSE)</f>
        <v>304.96666666666664</v>
      </c>
      <c r="AA65" t="str">
        <f>CONCATENATE("M(",Q63,")=")</f>
        <v>M(4)=</v>
      </c>
      <c r="AB65">
        <f>X65+Z65</f>
        <v>579.68333333333339</v>
      </c>
      <c r="AE65" s="89">
        <f>SUM(AE63:AE64)</f>
        <v>19.549999999999997</v>
      </c>
      <c r="AG65" s="89">
        <f>SUM(AG63:AG64)</f>
        <v>29.65</v>
      </c>
      <c r="AH65" s="84" t="str">
        <f>CONCATENATE("m'(",AD64,")=")</f>
        <v>m'(4)=</v>
      </c>
      <c r="AI65" s="84">
        <f>(2*(AI62^2)/6*AG65)+(AI64*AD63*WLS)</f>
        <v>274.13333333333333</v>
      </c>
      <c r="AJ65" s="84" t="str">
        <f>CONCATENATE("M(",AD63,")=")</f>
        <v>M(3)=</v>
      </c>
      <c r="AK65" s="84">
        <f>VLOOKUP(AD63,STN_TABLE,4,FALSE)</f>
        <v>304.96666666666664</v>
      </c>
      <c r="AL65" t="str">
        <f>CONCATENATE("M(",AD64,")=")</f>
        <v>M(4)=</v>
      </c>
      <c r="AM65">
        <f>AI65+AK65</f>
        <v>579.09999999999991</v>
      </c>
      <c r="AO65" s="82" t="str">
        <f>AA65</f>
        <v>M(4)=</v>
      </c>
      <c r="AP65" s="82" t="e">
        <f>VLOOKUP(AO65,Rise_Results,2,FALSE)</f>
        <v>#N/A</v>
      </c>
      <c r="AQ65" s="82">
        <f>N65</f>
        <v>579.05999999999995</v>
      </c>
      <c r="AR65" s="82">
        <f>IF(OR(AB64&lt;=0,AB65&lt;=0),1/0,AB65)</f>
        <v>579.68333333333339</v>
      </c>
      <c r="AS65" s="82">
        <f>AM65</f>
        <v>579.09999999999991</v>
      </c>
      <c r="AT65">
        <f>IFERROR(AP65,IFERROR(AQ65,IFERROR(AR65,AS65)))</f>
        <v>579.05999999999995</v>
      </c>
      <c r="AU65" s="81"/>
    </row>
    <row r="66" spans="1:47" x14ac:dyDescent="0.25">
      <c r="A66" s="101">
        <f>A61+1</f>
        <v>5</v>
      </c>
      <c r="B66" s="101">
        <f t="shared" si="11"/>
        <v>1</v>
      </c>
      <c r="O66" s="101">
        <f>O61+1</f>
        <v>7</v>
      </c>
      <c r="P66" s="101">
        <f t="shared" si="10"/>
        <v>3</v>
      </c>
      <c r="AU66" s="81"/>
    </row>
    <row r="67" spans="1:47" x14ac:dyDescent="0.25">
      <c r="A67" s="84">
        <f>A66+1</f>
        <v>6</v>
      </c>
      <c r="B67" s="84">
        <f t="shared" si="11"/>
        <v>2</v>
      </c>
      <c r="C67" s="79" t="str">
        <f t="shared" ref="C67" si="21">IF(C68=B69,IF(C69-C68=C68-B68,B68,IF(C69-C68=C68-B67,B67,"#NA")),IF(C68=B68,IF(C69-C68=C68-B67,B67,IF(C69-C68=C68-B66,B66,"#NA")),"#NA"))</f>
        <v>#NA</v>
      </c>
      <c r="D67" s="68" t="e">
        <f>VLOOKUP(C67,STN_TABLE,2,FALSE)</f>
        <v>#N/A</v>
      </c>
      <c r="E67" s="102">
        <v>1</v>
      </c>
      <c r="F67" s="68" t="e">
        <f>D67*E67</f>
        <v>#N/A</v>
      </c>
      <c r="G67" s="69" t="str">
        <f>C67</f>
        <v>#NA</v>
      </c>
      <c r="H67" s="69" t="e">
        <f>F67*G67</f>
        <v>#N/A</v>
      </c>
      <c r="I67" s="6" t="s">
        <v>93</v>
      </c>
      <c r="J67" s="70" t="e">
        <f>IF(OR(D67=0,D68=0,D69=0),"#NA",IF(AND(C69-C68=C68-C67,C68&lt;&gt;C69,C67&lt;&gt;C68,C67&lt;&gt;C69,D69&lt;&gt;0,OR(D67&lt;&gt;0,D68&lt;&gt;0)),WLS*(C69-C68),"#NA"))</f>
        <v>#N/A</v>
      </c>
      <c r="O67" s="99">
        <f>O66+1</f>
        <v>8</v>
      </c>
      <c r="P67" s="99">
        <f t="shared" si="10"/>
        <v>4</v>
      </c>
      <c r="Q67" s="68" t="str">
        <f>IF(OR(P69-P68=P68-P67,P70-P68=P68-P67),P67,IF(OR(P69-P68=P68-P66,P70-P68=P68-P66),P66,"-"))</f>
        <v>-</v>
      </c>
      <c r="R67" s="69" t="e">
        <f>VLOOKUP(Q67,STN_TABLE,2,FALSE)</f>
        <v>#N/A</v>
      </c>
      <c r="S67" s="69">
        <v>5</v>
      </c>
      <c r="T67" s="68" t="e">
        <f>R67*S67</f>
        <v>#N/A</v>
      </c>
      <c r="U67" s="79">
        <v>3</v>
      </c>
      <c r="V67" s="68" t="e">
        <f>R67*U67</f>
        <v>#N/A</v>
      </c>
      <c r="W67" s="6" t="s">
        <v>93</v>
      </c>
      <c r="X67" s="70" t="e">
        <f>IF(AND(Q69-Q68=Q68-Q67,NOT(AND(Q67=0,Q68=0)),NOT(AND(Q68=0,Q69=0))),WLS*(Q69-Q68),"#NA")</f>
        <v>#VALUE!</v>
      </c>
      <c r="AD67" s="93"/>
      <c r="AH67" s="6" t="s">
        <v>93</v>
      </c>
      <c r="AI67" s="70">
        <f>WLS*(AD69-AD68)</f>
        <v>1.6999999999999993</v>
      </c>
      <c r="AU67" s="81"/>
    </row>
    <row r="68" spans="1:47" x14ac:dyDescent="0.25">
      <c r="A68" s="84">
        <f>A67+1</f>
        <v>7</v>
      </c>
      <c r="B68" s="84">
        <f t="shared" si="11"/>
        <v>3</v>
      </c>
      <c r="C68" s="80" t="str">
        <f t="shared" ref="C68" si="22">IF(OR(B70-B69=B69-B68,B70-B69=B69-B67,B70-B69=B69-B66),B69,IF(OR(B70-B68=B68-B67,B70-B68=B68-B66),B68,IF(B70-B67=B67-B66,B67,"#NA")))</f>
        <v>#NA</v>
      </c>
      <c r="D68" s="76" t="e">
        <f>VLOOKUP(C68,STN_TABLE,2,FALSE)</f>
        <v>#N/A</v>
      </c>
      <c r="E68" s="81">
        <v>4</v>
      </c>
      <c r="F68" s="76" t="e">
        <f>D68*E68</f>
        <v>#N/A</v>
      </c>
      <c r="G68" s="77" t="str">
        <f>C68</f>
        <v>#NA</v>
      </c>
      <c r="H68" s="77" t="e">
        <f>F68*G68</f>
        <v>#N/A</v>
      </c>
      <c r="I68" s="495" t="s">
        <v>97</v>
      </c>
      <c r="J68" s="496"/>
      <c r="K68" s="78" t="s">
        <v>98</v>
      </c>
      <c r="L68" s="78"/>
      <c r="M68" s="7" t="s">
        <v>99</v>
      </c>
      <c r="N68" s="7"/>
      <c r="O68" s="99">
        <f>O67+1</f>
        <v>9</v>
      </c>
      <c r="P68" s="99">
        <f t="shared" ref="P68:P99" si="23">VLOOKUP(O68,STN_TABLE_2,2,FALSE)</f>
        <v>4.8499999999999996</v>
      </c>
      <c r="Q68" s="76">
        <f>P68</f>
        <v>4.8499999999999996</v>
      </c>
      <c r="R68" s="77">
        <f>VLOOKUP(Q68,STN_TABLE,2,FALSE)</f>
        <v>10.45</v>
      </c>
      <c r="S68" s="77">
        <v>8</v>
      </c>
      <c r="T68" s="76">
        <f>R68*S68</f>
        <v>83.6</v>
      </c>
      <c r="U68" s="80">
        <v>10</v>
      </c>
      <c r="V68" s="76">
        <f>R68*U68</f>
        <v>104.5</v>
      </c>
      <c r="W68" s="496" t="s">
        <v>97</v>
      </c>
      <c r="X68" s="496"/>
      <c r="Y68" s="496" t="s">
        <v>98</v>
      </c>
      <c r="Z68" s="496"/>
      <c r="AA68" s="494" t="s">
        <v>99</v>
      </c>
      <c r="AB68" s="494"/>
      <c r="AC68" s="99">
        <f>AC63+1</f>
        <v>8</v>
      </c>
      <c r="AD68" s="95">
        <f>VLOOKUP(AC68,STN_TABLE_2,2,FALSE)</f>
        <v>4</v>
      </c>
      <c r="AE68" s="68">
        <f>VLOOKUP(AD68,STN_TABLE,2,FALSE)</f>
        <v>10.1</v>
      </c>
      <c r="AF68" s="68">
        <v>1</v>
      </c>
      <c r="AG68" s="69">
        <f>AE68*AF68</f>
        <v>10.1</v>
      </c>
      <c r="AH68" s="496" t="s">
        <v>97</v>
      </c>
      <c r="AI68" s="496"/>
      <c r="AJ68" s="496" t="s">
        <v>98</v>
      </c>
      <c r="AK68" s="496"/>
      <c r="AL68" s="494" t="s">
        <v>99</v>
      </c>
      <c r="AM68" s="494"/>
      <c r="AP68" s="86" t="s">
        <v>112</v>
      </c>
      <c r="AQ68" s="89" t="s">
        <v>113</v>
      </c>
      <c r="AR68" s="89" t="s">
        <v>114</v>
      </c>
      <c r="AS68" s="89" t="s">
        <v>115</v>
      </c>
      <c r="AU68" s="81"/>
    </row>
    <row r="69" spans="1:47" x14ac:dyDescent="0.25">
      <c r="A69" s="84">
        <f>A68+1</f>
        <v>8</v>
      </c>
      <c r="B69" s="84">
        <f t="shared" si="11"/>
        <v>4</v>
      </c>
      <c r="C69" s="88">
        <f t="shared" ref="C69" si="24">B70</f>
        <v>4.8499999999999996</v>
      </c>
      <c r="D69" s="82">
        <f>VLOOKUP(C69,STN_TABLE,2,FALSE)</f>
        <v>10.45</v>
      </c>
      <c r="E69" s="92">
        <v>1</v>
      </c>
      <c r="F69" s="82">
        <f>D69*E69</f>
        <v>10.45</v>
      </c>
      <c r="G69" s="83">
        <f>C69</f>
        <v>4.8499999999999996</v>
      </c>
      <c r="H69" s="83">
        <f>F69*G69</f>
        <v>50.68249999999999</v>
      </c>
      <c r="I69" s="84" t="str">
        <f>CONCATENATE("a'(",C69,")=")</f>
        <v>a'(4.85)=</v>
      </c>
      <c r="J69" s="84" t="e">
        <f>2*J67/3*F70</f>
        <v>#N/A</v>
      </c>
      <c r="K69" s="84" t="str">
        <f>CONCATENATE("A(",C67,")=")</f>
        <v>A(#NA)=</v>
      </c>
      <c r="L69" s="84" t="e">
        <f>VLOOKUP(C67,STN_TABLE,3,FALSE)</f>
        <v>#N/A</v>
      </c>
      <c r="M69" t="str">
        <f>CONCATENATE("A(",C69,")=")</f>
        <v>A(4.85)=</v>
      </c>
      <c r="N69" t="e">
        <f>J69+L69</f>
        <v>#N/A</v>
      </c>
      <c r="O69" s="99">
        <f>O68+1</f>
        <v>10</v>
      </c>
      <c r="P69" s="99">
        <f t="shared" si="23"/>
        <v>5</v>
      </c>
      <c r="Q69" s="82" t="str">
        <f>IF(P69-P68=P68-P67,P69,IF(P70-P68=P68-P67,P70,IF(P69-P68=P68-P66,P69,IF(P70-P68=P68-P66,P70,"-"))))</f>
        <v>-</v>
      </c>
      <c r="R69" s="83" t="e">
        <f>VLOOKUP(Q69,STN_TABLE,2,FALSE)</f>
        <v>#N/A</v>
      </c>
      <c r="S69" s="83">
        <v>-1</v>
      </c>
      <c r="T69" s="82" t="e">
        <f>R69*S69</f>
        <v>#N/A</v>
      </c>
      <c r="U69" s="88">
        <v>-1</v>
      </c>
      <c r="V69" s="82" t="e">
        <f>R69*U69</f>
        <v>#N/A</v>
      </c>
      <c r="W69" s="84" t="str">
        <f>CONCATENATE("a'(",Q68,")=")</f>
        <v>a'(4.85)=</v>
      </c>
      <c r="X69" s="84" t="e">
        <f>2*X67/12*T70</f>
        <v>#VALUE!</v>
      </c>
      <c r="Y69" s="84" t="str">
        <f>CONCATENATE("A(",Q67,")=")</f>
        <v>A(-)=</v>
      </c>
      <c r="Z69" s="84" t="e">
        <f>VLOOKUP(Q67,STN_TABLE,3,FALSE)</f>
        <v>#N/A</v>
      </c>
      <c r="AA69" t="str">
        <f>CONCATENATE("A(",Q68,")=")</f>
        <v>A(4.85)=</v>
      </c>
      <c r="AB69" t="e">
        <f>X69+Z69</f>
        <v>#VALUE!</v>
      </c>
      <c r="AC69" s="99">
        <f>AC68+1</f>
        <v>9</v>
      </c>
      <c r="AD69" s="100">
        <f>VLOOKUP(AC69,STN_TABLE_2,2,FALSE)</f>
        <v>4.8499999999999996</v>
      </c>
      <c r="AE69" s="82">
        <f>VLOOKUP(AD69,STN_TABLE,2,FALSE)</f>
        <v>10.45</v>
      </c>
      <c r="AF69" s="82">
        <v>2</v>
      </c>
      <c r="AG69" s="83">
        <f>AE69*AF69</f>
        <v>20.9</v>
      </c>
      <c r="AH69" s="84" t="str">
        <f>CONCATENATE("a'(",AD69,")=")</f>
        <v>a'(4.85)=</v>
      </c>
      <c r="AI69" s="84">
        <f>2*AI67/2*AE70</f>
        <v>34.934999999999981</v>
      </c>
      <c r="AJ69" s="84" t="str">
        <f>CONCATENATE("A(",AD68,")=")</f>
        <v>A(4)=</v>
      </c>
      <c r="AK69" s="84">
        <f>VLOOKUP(AD68,STN_TABLE,3,FALSE)</f>
        <v>131.38999999999999</v>
      </c>
      <c r="AL69" t="str">
        <f>CONCATENATE("A(",AD69,")=")</f>
        <v>A(4.85)=</v>
      </c>
      <c r="AM69">
        <f>AI69+AK69</f>
        <v>166.32499999999996</v>
      </c>
      <c r="AO69" s="68" t="str">
        <f>AA69</f>
        <v>A(4.85)=</v>
      </c>
      <c r="AP69" s="68" t="e">
        <f>VLOOKUP(AO69,Rise_Results,2,FALSE)</f>
        <v>#N/A</v>
      </c>
      <c r="AQ69" s="76" t="e">
        <f>N69</f>
        <v>#N/A</v>
      </c>
      <c r="AR69" s="76" t="e">
        <f>IF(OR(AB69&lt;=0,AB70&lt;=0),1/0,AB69)</f>
        <v>#VALUE!</v>
      </c>
      <c r="AS69" s="76">
        <f>AM69</f>
        <v>166.32499999999996</v>
      </c>
      <c r="AT69">
        <f>IFERROR(AP69,IFERROR(AQ69,IFERROR(AR69,AS69)))</f>
        <v>166.32499999999996</v>
      </c>
      <c r="AU69" s="81"/>
    </row>
    <row r="70" spans="1:47" x14ac:dyDescent="0.25">
      <c r="A70" s="84">
        <f>A69+1</f>
        <v>9</v>
      </c>
      <c r="B70" s="84">
        <f t="shared" si="11"/>
        <v>4.8499999999999996</v>
      </c>
      <c r="F70" s="82" t="e">
        <f>SUM(F67:F69)</f>
        <v>#N/A</v>
      </c>
      <c r="H70" s="82" t="e">
        <f>SUM(H67:H69)</f>
        <v>#N/A</v>
      </c>
      <c r="I70" s="84" t="str">
        <f>CONCATENATE("m'(",C69,")=")</f>
        <v>m'(4.85)=</v>
      </c>
      <c r="J70" s="84" t="e">
        <f>2*(J67*(WLS))/3*H70</f>
        <v>#N/A</v>
      </c>
      <c r="K70" s="84" t="str">
        <f>CONCATENATE("M(",C67,")=")</f>
        <v>M(#NA)=</v>
      </c>
      <c r="L70" s="84" t="e">
        <f>VLOOKUP(C67,STN_TABLE,4,FALSE)</f>
        <v>#N/A</v>
      </c>
      <c r="M70" t="str">
        <f>CONCATENATE("M(",C69,")=")</f>
        <v>M(4.85)=</v>
      </c>
      <c r="N70" t="e">
        <f>J70+L70</f>
        <v>#N/A</v>
      </c>
      <c r="O70" s="99">
        <f>O69+1</f>
        <v>11</v>
      </c>
      <c r="P70" s="99">
        <f t="shared" si="23"/>
        <v>6</v>
      </c>
      <c r="T70" s="89" t="e">
        <f>SUM(T67:T69)</f>
        <v>#N/A</v>
      </c>
      <c r="V70" s="82" t="e">
        <f>SUM(V67:V69)</f>
        <v>#N/A</v>
      </c>
      <c r="W70" s="84" t="str">
        <f>CONCATENATE("m'(",Q68,")=")</f>
        <v>m'(4.85)=</v>
      </c>
      <c r="X70" s="84" t="e">
        <f>(2*(X67^2)/24*V70)+(X69*Q67*WLS)</f>
        <v>#VALUE!</v>
      </c>
      <c r="Y70" s="84" t="str">
        <f>CONCATENATE("M(",Q67,")=")</f>
        <v>M(-)=</v>
      </c>
      <c r="Z70" s="84" t="e">
        <f>VLOOKUP(Q67,STN_TABLE,4,FALSE)</f>
        <v>#N/A</v>
      </c>
      <c r="AA70" t="str">
        <f>CONCATENATE("M(",Q68,")=")</f>
        <v>M(4.85)=</v>
      </c>
      <c r="AB70" t="e">
        <f>X70+Z70</f>
        <v>#VALUE!</v>
      </c>
      <c r="AE70" s="89">
        <f>SUM(AE68:AE69)</f>
        <v>20.549999999999997</v>
      </c>
      <c r="AG70" s="89">
        <f>SUM(AG68:AG69)</f>
        <v>31</v>
      </c>
      <c r="AH70" s="84" t="str">
        <f>CONCATENATE("m'(",AD69,")=")</f>
        <v>m'(4.85)=</v>
      </c>
      <c r="AI70" s="84">
        <f>(2*(AI67^2)/6*AG70)+(AI69*AD68*WLS)</f>
        <v>309.34333333333313</v>
      </c>
      <c r="AJ70" s="84" t="str">
        <f>CONCATENATE("M(",AD68,")=")</f>
        <v>M(4)=</v>
      </c>
      <c r="AK70" s="84">
        <f>VLOOKUP(AD68,STN_TABLE,4,FALSE)</f>
        <v>579.05999999999995</v>
      </c>
      <c r="AL70" t="str">
        <f>CONCATENATE("M(",AD69,")=")</f>
        <v>M(4.85)=</v>
      </c>
      <c r="AM70">
        <f>AI70+AK70</f>
        <v>888.40333333333308</v>
      </c>
      <c r="AO70" s="82" t="str">
        <f>AA70</f>
        <v>M(4.85)=</v>
      </c>
      <c r="AP70" s="82" t="e">
        <f>VLOOKUP(AO70,Rise_Results,2,FALSE)</f>
        <v>#N/A</v>
      </c>
      <c r="AQ70" s="82" t="e">
        <f>N70</f>
        <v>#N/A</v>
      </c>
      <c r="AR70" s="82" t="e">
        <f>IF(OR(AB69&lt;=0,AB70&lt;=0),1/0,AB70)</f>
        <v>#VALUE!</v>
      </c>
      <c r="AS70" s="82">
        <f>AM70</f>
        <v>888.40333333333308</v>
      </c>
      <c r="AT70">
        <f>IFERROR(AP70,IFERROR(AQ70,IFERROR(AR70,AS70)))</f>
        <v>888.40333333333308</v>
      </c>
      <c r="AU70" s="81"/>
    </row>
    <row r="71" spans="1:47" x14ac:dyDescent="0.25">
      <c r="A71" s="101">
        <f>A66+1</f>
        <v>6</v>
      </c>
      <c r="B71" s="101">
        <f t="shared" si="11"/>
        <v>2</v>
      </c>
      <c r="O71" s="101">
        <f>O66+1</f>
        <v>8</v>
      </c>
      <c r="P71" s="101">
        <f t="shared" si="23"/>
        <v>4</v>
      </c>
      <c r="AU71" s="81"/>
    </row>
    <row r="72" spans="1:47" x14ac:dyDescent="0.25">
      <c r="A72" s="84">
        <f>A71+1</f>
        <v>7</v>
      </c>
      <c r="B72" s="84">
        <f t="shared" si="11"/>
        <v>3</v>
      </c>
      <c r="C72" s="79">
        <f t="shared" ref="C72" si="25">IF(C73=B74,IF(C74-C73=C73-B73,B73,IF(C74-C73=C73-B72,B72,"#NA")),IF(C73=B73,IF(C74-C73=C73-B72,B72,IF(C74-C73=C73-B71,B71,"#NA")),"#NA"))</f>
        <v>3</v>
      </c>
      <c r="D72" s="68">
        <f>VLOOKUP(C72,STN_TABLE,2,FALSE)</f>
        <v>9.4499999999999993</v>
      </c>
      <c r="E72" s="102">
        <v>1</v>
      </c>
      <c r="F72" s="68">
        <f>D72*E72</f>
        <v>9.4499999999999993</v>
      </c>
      <c r="G72" s="69">
        <f>C72</f>
        <v>3</v>
      </c>
      <c r="H72" s="69">
        <f>F72*G72</f>
        <v>28.349999999999998</v>
      </c>
      <c r="I72" s="6" t="s">
        <v>93</v>
      </c>
      <c r="J72" s="70">
        <f>IF(OR(D72=0,D73=0,D74=0),"#NA",IF(AND(C74-C73=C73-C72,C73&lt;&gt;C74,C72&lt;&gt;C73,C72&lt;&gt;C74,D74&lt;&gt;0,OR(D72&lt;&gt;0,D73&lt;&gt;0)),WLS*(C74-C73),"#NA"))</f>
        <v>2</v>
      </c>
      <c r="O72" s="99">
        <f>O71+1</f>
        <v>9</v>
      </c>
      <c r="P72" s="99">
        <f t="shared" si="23"/>
        <v>4.8499999999999996</v>
      </c>
      <c r="Q72" s="68">
        <f>IF(OR(P74-P73=P73-P72,P75-P73=P73-P72),P72,IF(OR(P74-P73=P73-P71,P75-P73=P73-P71),P71,"-"))</f>
        <v>4</v>
      </c>
      <c r="R72" s="69">
        <f>VLOOKUP(Q72,STN_TABLE,2,FALSE)</f>
        <v>10.1</v>
      </c>
      <c r="S72" s="69">
        <v>5</v>
      </c>
      <c r="T72" s="68">
        <f>R72*S72</f>
        <v>50.5</v>
      </c>
      <c r="U72" s="79">
        <v>3</v>
      </c>
      <c r="V72" s="68">
        <f>R72*U72</f>
        <v>30.299999999999997</v>
      </c>
      <c r="W72" s="6" t="s">
        <v>93</v>
      </c>
      <c r="X72" s="70">
        <f>IF(AND(Q74-Q73=Q73-Q72,NOT(AND(Q72=0,Q73=0)),NOT(AND(Q73=0,Q74=0))),WLS*(Q74-Q73),"#NA")</f>
        <v>2</v>
      </c>
      <c r="AD72" s="93"/>
      <c r="AH72" s="6" t="s">
        <v>93</v>
      </c>
      <c r="AI72" s="70">
        <f>WLS*(AD74-AD73)</f>
        <v>0.30000000000000071</v>
      </c>
      <c r="AU72" s="81"/>
    </row>
    <row r="73" spans="1:47" x14ac:dyDescent="0.25">
      <c r="A73" s="84">
        <f>A72+1</f>
        <v>8</v>
      </c>
      <c r="B73" s="84">
        <f t="shared" si="11"/>
        <v>4</v>
      </c>
      <c r="C73" s="80">
        <f t="shared" ref="C73" si="26">IF(OR(B75-B74=B74-B73,B75-B74=B74-B72,B75-B74=B74-B71),B74,IF(OR(B75-B73=B73-B72,B75-B73=B73-B71),B73,IF(B75-B72=B72-B71,B72,"#NA")))</f>
        <v>4</v>
      </c>
      <c r="D73" s="76">
        <f>VLOOKUP(C73,STN_TABLE,2,FALSE)</f>
        <v>10.1</v>
      </c>
      <c r="E73" s="81">
        <v>4</v>
      </c>
      <c r="F73" s="76">
        <f>D73*E73</f>
        <v>40.4</v>
      </c>
      <c r="G73" s="77">
        <f>C73</f>
        <v>4</v>
      </c>
      <c r="H73" s="77">
        <f>F73*G73</f>
        <v>161.6</v>
      </c>
      <c r="I73" s="495" t="s">
        <v>97</v>
      </c>
      <c r="J73" s="496"/>
      <c r="K73" s="78" t="s">
        <v>98</v>
      </c>
      <c r="L73" s="78"/>
      <c r="M73" s="7" t="s">
        <v>99</v>
      </c>
      <c r="N73" s="7"/>
      <c r="O73" s="99">
        <f>O72+1</f>
        <v>10</v>
      </c>
      <c r="P73" s="99">
        <f t="shared" si="23"/>
        <v>5</v>
      </c>
      <c r="Q73" s="76">
        <f>P73</f>
        <v>5</v>
      </c>
      <c r="R73" s="77">
        <f>VLOOKUP(Q73,STN_TABLE,2,FALSE)</f>
        <v>10.5</v>
      </c>
      <c r="S73" s="77">
        <v>8</v>
      </c>
      <c r="T73" s="76">
        <f>R73*S73</f>
        <v>84</v>
      </c>
      <c r="U73" s="80">
        <v>10</v>
      </c>
      <c r="V73" s="76">
        <f>R73*U73</f>
        <v>105</v>
      </c>
      <c r="W73" s="496" t="s">
        <v>97</v>
      </c>
      <c r="X73" s="496"/>
      <c r="Y73" s="496" t="s">
        <v>98</v>
      </c>
      <c r="Z73" s="496"/>
      <c r="AA73" s="494" t="s">
        <v>99</v>
      </c>
      <c r="AB73" s="494"/>
      <c r="AC73" s="99">
        <f>AC68+1</f>
        <v>9</v>
      </c>
      <c r="AD73" s="95">
        <f>VLOOKUP(AC73,STN_TABLE_2,2,FALSE)</f>
        <v>4.8499999999999996</v>
      </c>
      <c r="AE73" s="68">
        <f>VLOOKUP(AD73,STN_TABLE,2,FALSE)</f>
        <v>10.45</v>
      </c>
      <c r="AF73" s="68">
        <v>1</v>
      </c>
      <c r="AG73" s="69">
        <f>AE73*AF73</f>
        <v>10.45</v>
      </c>
      <c r="AH73" s="496" t="s">
        <v>97</v>
      </c>
      <c r="AI73" s="496"/>
      <c r="AJ73" s="496" t="s">
        <v>98</v>
      </c>
      <c r="AK73" s="496"/>
      <c r="AL73" s="494" t="s">
        <v>99</v>
      </c>
      <c r="AM73" s="494"/>
      <c r="AP73" s="86" t="s">
        <v>112</v>
      </c>
      <c r="AQ73" s="89" t="s">
        <v>113</v>
      </c>
      <c r="AR73" s="89" t="s">
        <v>114</v>
      </c>
      <c r="AS73" s="89" t="s">
        <v>115</v>
      </c>
      <c r="AU73" s="81"/>
    </row>
    <row r="74" spans="1:47" x14ac:dyDescent="0.25">
      <c r="A74" s="84">
        <f>A73+1</f>
        <v>9</v>
      </c>
      <c r="B74" s="84">
        <f t="shared" ref="B74:B105" si="27">VLOOKUP(A74,STN_TABLE_2,2,FALSE)</f>
        <v>4.8499999999999996</v>
      </c>
      <c r="C74" s="88">
        <f t="shared" ref="C74" si="28">B75</f>
        <v>5</v>
      </c>
      <c r="D74" s="82">
        <f>VLOOKUP(C74,STN_TABLE,2,FALSE)</f>
        <v>10.5</v>
      </c>
      <c r="E74" s="92">
        <v>1</v>
      </c>
      <c r="F74" s="82">
        <f>D74*E74</f>
        <v>10.5</v>
      </c>
      <c r="G74" s="83">
        <f>C74</f>
        <v>5</v>
      </c>
      <c r="H74" s="83">
        <f>F74*G74</f>
        <v>52.5</v>
      </c>
      <c r="I74" s="84" t="str">
        <f>CONCATENATE("a'(",C74,")=")</f>
        <v>a'(5)=</v>
      </c>
      <c r="J74" s="84">
        <f>2*J72/3*F75</f>
        <v>80.466666666666654</v>
      </c>
      <c r="K74" s="84" t="str">
        <f>CONCATENATE("A(",C72,")=")</f>
        <v>A(3)=</v>
      </c>
      <c r="L74" s="84">
        <f>VLOOKUP(C72,STN_TABLE,3,FALSE)</f>
        <v>92.323333333333309</v>
      </c>
      <c r="M74" t="str">
        <f>CONCATENATE("A(",C74,")=")</f>
        <v>A(5)=</v>
      </c>
      <c r="N74">
        <f>J74+L74</f>
        <v>172.78999999999996</v>
      </c>
      <c r="O74" s="99">
        <f>O73+1</f>
        <v>11</v>
      </c>
      <c r="P74" s="99">
        <f t="shared" si="23"/>
        <v>6</v>
      </c>
      <c r="Q74" s="82">
        <f>IF(P74-P73=P73-P72,P74,IF(P75-P73=P73-P72,P75,IF(P74-P73=P73-P71,P74,IF(P75-P73=P73-P71,P75,"-"))))</f>
        <v>6</v>
      </c>
      <c r="R74" s="83">
        <f>VLOOKUP(Q74,STN_TABLE,2,FALSE)</f>
        <v>10.8</v>
      </c>
      <c r="S74" s="83">
        <v>-1</v>
      </c>
      <c r="T74" s="82">
        <f>R74*S74</f>
        <v>-10.8</v>
      </c>
      <c r="U74" s="88">
        <v>-1</v>
      </c>
      <c r="V74" s="82">
        <f>R74*U74</f>
        <v>-10.8</v>
      </c>
      <c r="W74" s="84" t="str">
        <f>CONCATENATE("a'(",Q73,")=")</f>
        <v>a'(5)=</v>
      </c>
      <c r="X74" s="84">
        <f>2*X72/12*T75</f>
        <v>41.233333333333334</v>
      </c>
      <c r="Y74" s="84" t="str">
        <f>CONCATENATE("A(",Q72,")=")</f>
        <v>A(4)=</v>
      </c>
      <c r="Z74" s="84">
        <f>VLOOKUP(Q72,STN_TABLE,3,FALSE)</f>
        <v>131.38999999999999</v>
      </c>
      <c r="AA74" t="str">
        <f>CONCATENATE("A(",Q73,")=")</f>
        <v>A(5)=</v>
      </c>
      <c r="AB74">
        <f>X74+Z74</f>
        <v>172.62333333333333</v>
      </c>
      <c r="AC74" s="99">
        <f>AC73+1</f>
        <v>10</v>
      </c>
      <c r="AD74" s="100">
        <f>VLOOKUP(AC74,STN_TABLE_2,2,FALSE)</f>
        <v>5</v>
      </c>
      <c r="AE74" s="82">
        <f>VLOOKUP(AD74,STN_TABLE,2,FALSE)</f>
        <v>10.5</v>
      </c>
      <c r="AF74" s="82">
        <v>2</v>
      </c>
      <c r="AG74" s="83">
        <f>AE74*AF74</f>
        <v>21</v>
      </c>
      <c r="AH74" s="84" t="str">
        <f>CONCATENATE("a'(",AD74,")=")</f>
        <v>a'(5)=</v>
      </c>
      <c r="AI74" s="84">
        <f>2*AI72/2*AE75</f>
        <v>6.2850000000000144</v>
      </c>
      <c r="AJ74" s="84" t="str">
        <f>CONCATENATE("A(",AD73,")=")</f>
        <v>A(4.85)=</v>
      </c>
      <c r="AK74" s="84">
        <f>VLOOKUP(AD73,STN_TABLE,3,FALSE)</f>
        <v>166.32499999999996</v>
      </c>
      <c r="AL74" t="str">
        <f>CONCATENATE("A(",AD74,")=")</f>
        <v>A(5)=</v>
      </c>
      <c r="AM74">
        <f>AI74+AK74</f>
        <v>172.60999999999999</v>
      </c>
      <c r="AO74" s="68" t="str">
        <f>AA74</f>
        <v>A(5)=</v>
      </c>
      <c r="AP74" s="68" t="e">
        <f>VLOOKUP(AO74,Rise_Results,2,FALSE)</f>
        <v>#N/A</v>
      </c>
      <c r="AQ74" s="76">
        <f>N74</f>
        <v>172.78999999999996</v>
      </c>
      <c r="AR74" s="76">
        <f>IF(OR(AB74&lt;=0,AB75&lt;=0),1/0,AB74)</f>
        <v>172.62333333333333</v>
      </c>
      <c r="AS74" s="76">
        <f>AM74</f>
        <v>172.60999999999999</v>
      </c>
      <c r="AT74">
        <f>IFERROR(AP74,IFERROR(AQ74,IFERROR(AR74,AS74)))</f>
        <v>172.78999999999996</v>
      </c>
      <c r="AU74" s="81"/>
    </row>
    <row r="75" spans="1:47" x14ac:dyDescent="0.25">
      <c r="A75" s="84">
        <f>A74+1</f>
        <v>10</v>
      </c>
      <c r="B75" s="84">
        <f t="shared" si="27"/>
        <v>5</v>
      </c>
      <c r="F75" s="82">
        <f>SUM(F72:F74)</f>
        <v>60.349999999999994</v>
      </c>
      <c r="H75" s="82">
        <f>SUM(H72:H74)</f>
        <v>242.45</v>
      </c>
      <c r="I75" s="84" t="str">
        <f>CONCATENATE("m'(",C74,")=")</f>
        <v>m'(5)=</v>
      </c>
      <c r="J75" s="84">
        <f>2*(J72*(WLS))/3*H75</f>
        <v>646.5333333333333</v>
      </c>
      <c r="K75" s="84" t="str">
        <f>CONCATENATE("M(",C72,")=")</f>
        <v>M(3)=</v>
      </c>
      <c r="L75" s="84">
        <f>VLOOKUP(C72,STN_TABLE,4,FALSE)</f>
        <v>304.96666666666664</v>
      </c>
      <c r="M75" t="str">
        <f>CONCATENATE("M(",C74,")=")</f>
        <v>M(5)=</v>
      </c>
      <c r="N75">
        <f>J75+L75</f>
        <v>951.5</v>
      </c>
      <c r="O75" s="99">
        <f>O74+1</f>
        <v>12</v>
      </c>
      <c r="P75" s="99">
        <f t="shared" si="23"/>
        <v>6.5</v>
      </c>
      <c r="T75" s="89">
        <f>SUM(T72:T74)</f>
        <v>123.7</v>
      </c>
      <c r="V75" s="82">
        <f>SUM(V72:V74)</f>
        <v>124.50000000000001</v>
      </c>
      <c r="W75" s="84" t="str">
        <f>CONCATENATE("m'(",Q73,")=")</f>
        <v>m'(5)=</v>
      </c>
      <c r="X75" s="84">
        <f>(2*(X72^2)/24*V75)+(X74*Q72*WLS)</f>
        <v>371.36666666666667</v>
      </c>
      <c r="Y75" s="84" t="str">
        <f>CONCATENATE("M(",Q72,")=")</f>
        <v>M(4)=</v>
      </c>
      <c r="Z75" s="84">
        <f>VLOOKUP(Q72,STN_TABLE,4,FALSE)</f>
        <v>579.05999999999995</v>
      </c>
      <c r="AA75" t="str">
        <f>CONCATENATE("M(",Q73,")=")</f>
        <v>M(5)=</v>
      </c>
      <c r="AB75">
        <f>X75+Z75</f>
        <v>950.42666666666662</v>
      </c>
      <c r="AE75" s="89">
        <f>SUM(AE73:AE74)</f>
        <v>20.95</v>
      </c>
      <c r="AG75" s="89">
        <f>SUM(AG73:AG74)</f>
        <v>31.45</v>
      </c>
      <c r="AH75" s="84" t="str">
        <f>CONCATENATE("m'(",AD74,")=")</f>
        <v>m'(5)=</v>
      </c>
      <c r="AI75" s="84">
        <f>(2*(AI72^2)/6*AG75)+(AI74*AD73*WLS)</f>
        <v>61.908000000000143</v>
      </c>
      <c r="AJ75" s="84" t="str">
        <f>CONCATENATE("M(",AD73,")=")</f>
        <v>M(4.85)=</v>
      </c>
      <c r="AK75" s="84">
        <f>VLOOKUP(AD73,STN_TABLE,4,FALSE)</f>
        <v>888.40333333333308</v>
      </c>
      <c r="AL75" t="str">
        <f>CONCATENATE("M(",AD74,")=")</f>
        <v>M(5)=</v>
      </c>
      <c r="AM75">
        <f>AI75+AK75</f>
        <v>950.31133333333321</v>
      </c>
      <c r="AO75" s="82" t="str">
        <f>AA75</f>
        <v>M(5)=</v>
      </c>
      <c r="AP75" s="82" t="e">
        <f>VLOOKUP(AO75,Rise_Results,2,FALSE)</f>
        <v>#N/A</v>
      </c>
      <c r="AQ75" s="82">
        <f>N75</f>
        <v>951.5</v>
      </c>
      <c r="AR75" s="82">
        <f>IF(OR(AB74&lt;=0,AB75&lt;=0),1/0,AB75)</f>
        <v>950.42666666666662</v>
      </c>
      <c r="AS75" s="82">
        <f>AM75</f>
        <v>950.31133333333321</v>
      </c>
      <c r="AT75">
        <f>IFERROR(AP75,IFERROR(AQ75,IFERROR(AR75,AS75)))</f>
        <v>951.5</v>
      </c>
      <c r="AU75" s="81"/>
    </row>
    <row r="76" spans="1:47" x14ac:dyDescent="0.25">
      <c r="A76" s="101">
        <f>A71+1</f>
        <v>7</v>
      </c>
      <c r="B76" s="101">
        <f t="shared" si="27"/>
        <v>3</v>
      </c>
      <c r="O76" s="101">
        <f>O71+1</f>
        <v>9</v>
      </c>
      <c r="P76" s="101">
        <f t="shared" si="23"/>
        <v>4.8499999999999996</v>
      </c>
      <c r="AU76" s="81"/>
    </row>
    <row r="77" spans="1:47" x14ac:dyDescent="0.25">
      <c r="A77" s="84">
        <f>A76+1</f>
        <v>8</v>
      </c>
      <c r="B77" s="84">
        <f t="shared" si="27"/>
        <v>4</v>
      </c>
      <c r="C77" s="79">
        <f t="shared" ref="C77" si="29">IF(C78=B79,IF(C79-C78=C78-B78,B78,IF(C79-C78=C78-B77,B77,"#NA")),IF(C78=B78,IF(C79-C78=C78-B77,B77,IF(C79-C78=C78-B76,B76,"#NA")),"#NA"))</f>
        <v>4</v>
      </c>
      <c r="D77" s="68">
        <f>VLOOKUP(C77,STN_TABLE,2,FALSE)</f>
        <v>10.1</v>
      </c>
      <c r="E77" s="102">
        <v>1</v>
      </c>
      <c r="F77" s="68">
        <f>D77*E77</f>
        <v>10.1</v>
      </c>
      <c r="G77" s="69">
        <f>C77</f>
        <v>4</v>
      </c>
      <c r="H77" s="69">
        <f>F77*G77</f>
        <v>40.4</v>
      </c>
      <c r="I77" s="6" t="s">
        <v>93</v>
      </c>
      <c r="J77" s="70">
        <f>IF(OR(D77=0,D78=0,D79=0),"#NA",IF(AND(C79-C78=C78-C77,C78&lt;&gt;C79,C77&lt;&gt;C78,C77&lt;&gt;C79,D79&lt;&gt;0,OR(D77&lt;&gt;0,D78&lt;&gt;0)),WLS*(C79-C78),"#NA"))</f>
        <v>2</v>
      </c>
      <c r="O77" s="99">
        <f>O76+1</f>
        <v>10</v>
      </c>
      <c r="P77" s="99">
        <f t="shared" si="23"/>
        <v>5</v>
      </c>
      <c r="Q77" s="68" t="e">
        <f>IF(OR(P79-P78=P78-P77,P80-P78=P78-P77),P77,IF(OR(P79-P78=P78-P76,P80-P78=P78-P76),P76,"-"))</f>
        <v>#VALUE!</v>
      </c>
      <c r="R77" s="69" t="e">
        <f>VLOOKUP(Q77,STN_TABLE,2,FALSE)</f>
        <v>#VALUE!</v>
      </c>
      <c r="S77" s="69">
        <v>5</v>
      </c>
      <c r="T77" s="68" t="e">
        <f>R77*S77</f>
        <v>#VALUE!</v>
      </c>
      <c r="U77" s="79">
        <v>3</v>
      </c>
      <c r="V77" s="68" t="e">
        <f>R77*U77</f>
        <v>#VALUE!</v>
      </c>
      <c r="W77" s="6" t="s">
        <v>93</v>
      </c>
      <c r="X77" s="70" t="e">
        <f>IF(AND(Q79-Q78=Q78-Q77,NOT(AND(Q77=0,Q78=0)),NOT(AND(Q78=0,Q79=0))),WLS*(Q79-Q78),"#NA")</f>
        <v>#VALUE!</v>
      </c>
      <c r="AD77" s="93"/>
      <c r="AH77" s="6" t="s">
        <v>93</v>
      </c>
      <c r="AI77" s="70">
        <f>WLS*(AD79-AD78)</f>
        <v>2</v>
      </c>
      <c r="AU77" s="81"/>
    </row>
    <row r="78" spans="1:47" x14ac:dyDescent="0.25">
      <c r="A78" s="84">
        <f>A77+1</f>
        <v>9</v>
      </c>
      <c r="B78" s="84">
        <f t="shared" si="27"/>
        <v>4.8499999999999996</v>
      </c>
      <c r="C78" s="80">
        <f t="shared" ref="C78" si="30">IF(OR(B80-B79=B79-B78,B80-B79=B79-B77,B80-B79=B79-B76),B79,IF(OR(B80-B78=B78-B77,B80-B78=B78-B76),B78,IF(B80-B77=B77-B76,B77,"#NA")))</f>
        <v>5</v>
      </c>
      <c r="D78" s="76">
        <f>VLOOKUP(C78,STN_TABLE,2,FALSE)</f>
        <v>10.5</v>
      </c>
      <c r="E78" s="81">
        <v>4</v>
      </c>
      <c r="F78" s="76">
        <f>D78*E78</f>
        <v>42</v>
      </c>
      <c r="G78" s="77">
        <f>C78</f>
        <v>5</v>
      </c>
      <c r="H78" s="77">
        <f>F78*G78</f>
        <v>210</v>
      </c>
      <c r="I78" s="495" t="s">
        <v>97</v>
      </c>
      <c r="J78" s="496"/>
      <c r="K78" s="78" t="s">
        <v>98</v>
      </c>
      <c r="L78" s="78"/>
      <c r="M78" s="7" t="s">
        <v>99</v>
      </c>
      <c r="N78" s="7"/>
      <c r="O78" s="99">
        <f>O77+1</f>
        <v>11</v>
      </c>
      <c r="P78" s="99">
        <f t="shared" si="23"/>
        <v>6</v>
      </c>
      <c r="Q78" s="76">
        <f>P78</f>
        <v>6</v>
      </c>
      <c r="R78" s="77">
        <f>VLOOKUP(Q78,STN_TABLE,2,FALSE)</f>
        <v>10.8</v>
      </c>
      <c r="S78" s="77">
        <v>8</v>
      </c>
      <c r="T78" s="76">
        <f>R78*S78</f>
        <v>86.4</v>
      </c>
      <c r="U78" s="80">
        <v>10</v>
      </c>
      <c r="V78" s="76">
        <f>R78*U78</f>
        <v>108</v>
      </c>
      <c r="W78" s="496" t="s">
        <v>97</v>
      </c>
      <c r="X78" s="496"/>
      <c r="Y78" s="496" t="s">
        <v>98</v>
      </c>
      <c r="Z78" s="496"/>
      <c r="AA78" s="494" t="s">
        <v>99</v>
      </c>
      <c r="AB78" s="494"/>
      <c r="AC78" s="99">
        <f>AC73+1</f>
        <v>10</v>
      </c>
      <c r="AD78" s="95">
        <f>VLOOKUP(AC78,STN_TABLE_2,2,FALSE)</f>
        <v>5</v>
      </c>
      <c r="AE78" s="68">
        <f>VLOOKUP(AD78,STN_TABLE,2,FALSE)</f>
        <v>10.5</v>
      </c>
      <c r="AF78" s="68">
        <v>1</v>
      </c>
      <c r="AG78" s="69">
        <f>AE78*AF78</f>
        <v>10.5</v>
      </c>
      <c r="AH78" s="496" t="s">
        <v>97</v>
      </c>
      <c r="AI78" s="496"/>
      <c r="AJ78" s="496" t="s">
        <v>98</v>
      </c>
      <c r="AK78" s="496"/>
      <c r="AL78" s="494" t="s">
        <v>99</v>
      </c>
      <c r="AM78" s="494"/>
      <c r="AP78" s="86" t="s">
        <v>112</v>
      </c>
      <c r="AQ78" s="89" t="s">
        <v>113</v>
      </c>
      <c r="AR78" s="89" t="s">
        <v>114</v>
      </c>
      <c r="AS78" s="89" t="s">
        <v>115</v>
      </c>
      <c r="AU78" s="81"/>
    </row>
    <row r="79" spans="1:47" x14ac:dyDescent="0.25">
      <c r="A79" s="84">
        <f>A78+1</f>
        <v>10</v>
      </c>
      <c r="B79" s="84">
        <f t="shared" si="27"/>
        <v>5</v>
      </c>
      <c r="C79" s="88">
        <f t="shared" ref="C79" si="31">B80</f>
        <v>6</v>
      </c>
      <c r="D79" s="82">
        <f>VLOOKUP(C79,STN_TABLE,2,FALSE)</f>
        <v>10.8</v>
      </c>
      <c r="E79" s="92">
        <v>1</v>
      </c>
      <c r="F79" s="82">
        <f>D79*E79</f>
        <v>10.8</v>
      </c>
      <c r="G79" s="83">
        <f>C79</f>
        <v>6</v>
      </c>
      <c r="H79" s="83">
        <f>F79*G79</f>
        <v>64.800000000000011</v>
      </c>
      <c r="I79" s="84" t="str">
        <f>CONCATENATE("a'(",C79,")=")</f>
        <v>a'(6)=</v>
      </c>
      <c r="J79" s="84">
        <f>2*J77/3*F80</f>
        <v>83.866666666666674</v>
      </c>
      <c r="K79" s="84" t="str">
        <f>CONCATENATE("A(",C77,")=")</f>
        <v>A(4)=</v>
      </c>
      <c r="L79" s="84">
        <f>VLOOKUP(C77,STN_TABLE,3,FALSE)</f>
        <v>131.38999999999999</v>
      </c>
      <c r="M79" t="str">
        <f>CONCATENATE("A(",C79,")=")</f>
        <v>A(6)=</v>
      </c>
      <c r="N79">
        <f>J79+L79</f>
        <v>215.25666666666666</v>
      </c>
      <c r="O79" s="99">
        <f>O78+1</f>
        <v>12</v>
      </c>
      <c r="P79" s="99">
        <f t="shared" si="23"/>
        <v>6.5</v>
      </c>
      <c r="Q79" s="82" t="e">
        <f>IF(P79-P78=P78-P77,P79,IF(P80-P78=P78-P77,P80,IF(P79-P78=P78-P76,P79,IF(P80-P78=P78-P76,P80,"-"))))</f>
        <v>#VALUE!</v>
      </c>
      <c r="R79" s="83" t="e">
        <f>VLOOKUP(Q79,STN_TABLE,2,FALSE)</f>
        <v>#VALUE!</v>
      </c>
      <c r="S79" s="83">
        <v>-1</v>
      </c>
      <c r="T79" s="82" t="e">
        <f>R79*S79</f>
        <v>#VALUE!</v>
      </c>
      <c r="U79" s="88">
        <v>-1</v>
      </c>
      <c r="V79" s="82" t="e">
        <f>R79*U79</f>
        <v>#VALUE!</v>
      </c>
      <c r="W79" s="84" t="str">
        <f>CONCATENATE("a'(",Q78,")=")</f>
        <v>a'(6)=</v>
      </c>
      <c r="X79" s="84" t="e">
        <f>2*X77/12*T80</f>
        <v>#VALUE!</v>
      </c>
      <c r="Y79" s="84" t="e">
        <f>CONCATENATE("A(",Q77,")=")</f>
        <v>#VALUE!</v>
      </c>
      <c r="Z79" s="84" t="e">
        <f>VLOOKUP(Q77,STN_TABLE,3,FALSE)</f>
        <v>#VALUE!</v>
      </c>
      <c r="AA79" t="str">
        <f>CONCATENATE("A(",Q78,")=")</f>
        <v>A(6)=</v>
      </c>
      <c r="AB79" t="e">
        <f>X79+Z79</f>
        <v>#VALUE!</v>
      </c>
      <c r="AC79" s="99">
        <f>AC78+1</f>
        <v>11</v>
      </c>
      <c r="AD79" s="100">
        <f>VLOOKUP(AC79,STN_TABLE_2,2,FALSE)</f>
        <v>6</v>
      </c>
      <c r="AE79" s="82">
        <f>VLOOKUP(AD79,STN_TABLE,2,FALSE)</f>
        <v>10.8</v>
      </c>
      <c r="AF79" s="82">
        <v>2</v>
      </c>
      <c r="AG79" s="83">
        <f>AE79*AF79</f>
        <v>21.6</v>
      </c>
      <c r="AH79" s="84" t="str">
        <f>CONCATENATE("a'(",AD79,")=")</f>
        <v>a'(6)=</v>
      </c>
      <c r="AI79" s="84">
        <f>2*AI77/2*AE80</f>
        <v>42.6</v>
      </c>
      <c r="AJ79" s="84" t="str">
        <f>CONCATENATE("A(",AD78,")=")</f>
        <v>A(5)=</v>
      </c>
      <c r="AK79" s="84">
        <f>VLOOKUP(AD78,STN_TABLE,3,FALSE)</f>
        <v>172.78999999999996</v>
      </c>
      <c r="AL79" t="str">
        <f>CONCATENATE("A(",AD79,")=")</f>
        <v>A(6)=</v>
      </c>
      <c r="AM79">
        <f>AI79+AK79</f>
        <v>215.38999999999996</v>
      </c>
      <c r="AO79" s="68" t="str">
        <f>AA79</f>
        <v>A(6)=</v>
      </c>
      <c r="AP79" s="68" t="e">
        <f>VLOOKUP(AO79,Rise_Results,2,FALSE)</f>
        <v>#N/A</v>
      </c>
      <c r="AQ79" s="76">
        <f>N79</f>
        <v>215.25666666666666</v>
      </c>
      <c r="AR79" s="76" t="e">
        <f>IF(OR(AB79&lt;=0,AB80&lt;=0),1/0,AB79)</f>
        <v>#VALUE!</v>
      </c>
      <c r="AS79" s="76">
        <f>AM79</f>
        <v>215.38999999999996</v>
      </c>
      <c r="AT79">
        <f>IFERROR(AP79,IFERROR(AQ79,IFERROR(AR79,AS79)))</f>
        <v>215.25666666666666</v>
      </c>
      <c r="AU79" s="81"/>
    </row>
    <row r="80" spans="1:47" x14ac:dyDescent="0.25">
      <c r="A80" s="84">
        <f>A79+1</f>
        <v>11</v>
      </c>
      <c r="B80" s="84">
        <f t="shared" si="27"/>
        <v>6</v>
      </c>
      <c r="F80" s="82">
        <f>SUM(F77:F79)</f>
        <v>62.900000000000006</v>
      </c>
      <c r="H80" s="82">
        <f>SUM(H77:H79)</f>
        <v>315.20000000000005</v>
      </c>
      <c r="I80" s="84" t="str">
        <f>CONCATENATE("m'(",C79,")=")</f>
        <v>m'(6)=</v>
      </c>
      <c r="J80" s="84">
        <f>2*(J77*(WLS))/3*H80</f>
        <v>840.53333333333342</v>
      </c>
      <c r="K80" s="84" t="str">
        <f>CONCATENATE("M(",C77,")=")</f>
        <v>M(4)=</v>
      </c>
      <c r="L80" s="84">
        <f>VLOOKUP(C77,STN_TABLE,4,FALSE)</f>
        <v>579.05999999999995</v>
      </c>
      <c r="M80" t="str">
        <f>CONCATENATE("M(",C79,")=")</f>
        <v>M(6)=</v>
      </c>
      <c r="N80">
        <f>J80+L80</f>
        <v>1419.5933333333332</v>
      </c>
      <c r="O80" s="99">
        <f>O79+1</f>
        <v>13</v>
      </c>
      <c r="P80" s="99" t="str">
        <f t="shared" si="23"/>
        <v xml:space="preserve">  </v>
      </c>
      <c r="T80" s="89" t="e">
        <f>SUM(T77:T79)</f>
        <v>#VALUE!</v>
      </c>
      <c r="V80" s="82" t="e">
        <f>SUM(V77:V79)</f>
        <v>#VALUE!</v>
      </c>
      <c r="W80" s="84" t="str">
        <f>CONCATENATE("m'(",Q78,")=")</f>
        <v>m'(6)=</v>
      </c>
      <c r="X80" s="84" t="e">
        <f>(2*(X77^2)/24*V80)+(X79*Q77*WLS)</f>
        <v>#VALUE!</v>
      </c>
      <c r="Y80" s="84" t="e">
        <f>CONCATENATE("M(",Q77,")=")</f>
        <v>#VALUE!</v>
      </c>
      <c r="Z80" s="84" t="e">
        <f>VLOOKUP(Q77,STN_TABLE,4,FALSE)</f>
        <v>#VALUE!</v>
      </c>
      <c r="AA80" t="str">
        <f>CONCATENATE("M(",Q78,")=")</f>
        <v>M(6)=</v>
      </c>
      <c r="AB80" t="e">
        <f>X80+Z80</f>
        <v>#VALUE!</v>
      </c>
      <c r="AE80" s="89">
        <f>SUM(AE78:AE79)</f>
        <v>21.3</v>
      </c>
      <c r="AG80" s="89">
        <f>SUM(AG78:AG79)</f>
        <v>32.1</v>
      </c>
      <c r="AH80" s="84" t="str">
        <f>CONCATENATE("m'(",AD79,")=")</f>
        <v>m'(6)=</v>
      </c>
      <c r="AI80" s="84">
        <f>(2*(AI77^2)/6*AG80)+(AI79*AD78*WLS)</f>
        <v>468.8</v>
      </c>
      <c r="AJ80" s="84" t="str">
        <f>CONCATENATE("M(",AD78,")=")</f>
        <v>M(5)=</v>
      </c>
      <c r="AK80" s="84">
        <f>VLOOKUP(AD78,STN_TABLE,4,FALSE)</f>
        <v>951.5</v>
      </c>
      <c r="AL80" t="str">
        <f>CONCATENATE("M(",AD79,")=")</f>
        <v>M(6)=</v>
      </c>
      <c r="AM80">
        <f>AI80+AK80</f>
        <v>1420.3</v>
      </c>
      <c r="AO80" s="82" t="str">
        <f>AA80</f>
        <v>M(6)=</v>
      </c>
      <c r="AP80" s="82" t="e">
        <f>VLOOKUP(AO80,Rise_Results,2,FALSE)</f>
        <v>#N/A</v>
      </c>
      <c r="AQ80" s="82">
        <f>N80</f>
        <v>1419.5933333333332</v>
      </c>
      <c r="AR80" s="82" t="e">
        <f>IF(OR(AB79&lt;=0,AB80&lt;=0),1/0,AB80)</f>
        <v>#VALUE!</v>
      </c>
      <c r="AS80" s="82">
        <f>AM80</f>
        <v>1420.3</v>
      </c>
      <c r="AT80">
        <f>IFERROR(AP80,IFERROR(AQ80,IFERROR(AR80,AS80)))</f>
        <v>1419.5933333333332</v>
      </c>
      <c r="AU80" s="81"/>
    </row>
    <row r="81" spans="1:47" x14ac:dyDescent="0.25">
      <c r="A81" s="101">
        <f>A76+1</f>
        <v>8</v>
      </c>
      <c r="B81" s="101">
        <f t="shared" si="27"/>
        <v>4</v>
      </c>
      <c r="O81" s="101">
        <f>O76+1</f>
        <v>10</v>
      </c>
      <c r="P81" s="101">
        <f t="shared" si="23"/>
        <v>5</v>
      </c>
      <c r="AU81" s="81"/>
    </row>
    <row r="82" spans="1:47" x14ac:dyDescent="0.25">
      <c r="A82" s="84">
        <f>A81+1</f>
        <v>9</v>
      </c>
      <c r="B82" s="84">
        <f t="shared" si="27"/>
        <v>4.8499999999999996</v>
      </c>
      <c r="C82" s="79" t="str">
        <f t="shared" ref="C82" si="32">IF(C83=B84,IF(C84-C83=C83-B83,B83,IF(C84-C83=C83-B82,B82,"#NA")),IF(C83=B83,IF(C84-C83=C83-B82,B82,IF(C84-C83=C83-B81,B81,"#NA")),"#NA"))</f>
        <v>#NA</v>
      </c>
      <c r="D82" s="68" t="e">
        <f>VLOOKUP(C82,STN_TABLE,2,FALSE)</f>
        <v>#N/A</v>
      </c>
      <c r="E82" s="102">
        <v>1</v>
      </c>
      <c r="F82" s="68" t="e">
        <f>D82*E82</f>
        <v>#N/A</v>
      </c>
      <c r="G82" s="69" t="str">
        <f>C82</f>
        <v>#NA</v>
      </c>
      <c r="H82" s="69" t="e">
        <f>F82*G82</f>
        <v>#N/A</v>
      </c>
      <c r="I82" s="6" t="s">
        <v>93</v>
      </c>
      <c r="J82" s="70" t="e">
        <f>IF(OR(D82=0,D83=0,D84=0),"#NA",IF(AND(C84-C83=C83-C82,C83&lt;&gt;C84,C82&lt;&gt;C83,C82&lt;&gt;C84,D84&lt;&gt;0,OR(D82&lt;&gt;0,D83&lt;&gt;0)),WLS*(C84-C83),"#NA"))</f>
        <v>#N/A</v>
      </c>
      <c r="O82" s="99">
        <f>O81+1</f>
        <v>11</v>
      </c>
      <c r="P82" s="99">
        <f t="shared" si="23"/>
        <v>6</v>
      </c>
      <c r="Q82" s="68" t="e">
        <f>IF(OR(P84-P83=P83-P82,P85-P83=P83-P82),P82,IF(OR(P84-P83=P83-P81,P85-P83=P83-P81),P81,"-"))</f>
        <v>#VALUE!</v>
      </c>
      <c r="R82" s="69" t="e">
        <f>VLOOKUP(Q82,STN_TABLE,2,FALSE)</f>
        <v>#VALUE!</v>
      </c>
      <c r="S82" s="69">
        <v>5</v>
      </c>
      <c r="T82" s="68" t="e">
        <f>R82*S82</f>
        <v>#VALUE!</v>
      </c>
      <c r="U82" s="79">
        <v>3</v>
      </c>
      <c r="V82" s="68" t="e">
        <f>R82*U82</f>
        <v>#VALUE!</v>
      </c>
      <c r="W82" s="6" t="s">
        <v>93</v>
      </c>
      <c r="X82" s="70" t="e">
        <f>IF(AND(Q84-Q83=Q83-Q82,NOT(AND(Q82=0,Q83=0)),NOT(AND(Q83=0,Q84=0))),WLS*(Q84-Q83),"#NA")</f>
        <v>#VALUE!</v>
      </c>
      <c r="AD82" s="93"/>
      <c r="AH82" s="6" t="s">
        <v>93</v>
      </c>
      <c r="AI82" s="70">
        <f>WLS*(AD84-AD83)</f>
        <v>1</v>
      </c>
      <c r="AU82" s="81"/>
    </row>
    <row r="83" spans="1:47" x14ac:dyDescent="0.25">
      <c r="A83" s="84">
        <f>A82+1</f>
        <v>10</v>
      </c>
      <c r="B83" s="84">
        <f t="shared" si="27"/>
        <v>5</v>
      </c>
      <c r="C83" s="80" t="str">
        <f t="shared" ref="C83" si="33">IF(OR(B85-B84=B84-B83,B85-B84=B84-B82,B85-B84=B84-B81),B84,IF(OR(B85-B83=B83-B82,B85-B83=B83-B81),B83,IF(B85-B82=B82-B81,B82,"#NA")))</f>
        <v>#NA</v>
      </c>
      <c r="D83" s="76" t="e">
        <f>VLOOKUP(C83,STN_TABLE,2,FALSE)</f>
        <v>#N/A</v>
      </c>
      <c r="E83" s="81">
        <v>4</v>
      </c>
      <c r="F83" s="76" t="e">
        <f>D83*E83</f>
        <v>#N/A</v>
      </c>
      <c r="G83" s="77" t="str">
        <f>C83</f>
        <v>#NA</v>
      </c>
      <c r="H83" s="77" t="e">
        <f>F83*G83</f>
        <v>#N/A</v>
      </c>
      <c r="I83" s="495" t="s">
        <v>97</v>
      </c>
      <c r="J83" s="496"/>
      <c r="K83" s="78" t="s">
        <v>98</v>
      </c>
      <c r="L83" s="78"/>
      <c r="M83" s="7" t="s">
        <v>99</v>
      </c>
      <c r="N83" s="7"/>
      <c r="O83" s="99">
        <f>O82+1</f>
        <v>12</v>
      </c>
      <c r="P83" s="99">
        <f t="shared" si="23"/>
        <v>6.5</v>
      </c>
      <c r="Q83" s="76">
        <f>P83</f>
        <v>6.5</v>
      </c>
      <c r="R83" s="77">
        <f>VLOOKUP(Q83,STN_TABLE,2,FALSE)</f>
        <v>10.87</v>
      </c>
      <c r="S83" s="77">
        <v>8</v>
      </c>
      <c r="T83" s="76">
        <f>R83*S83</f>
        <v>86.96</v>
      </c>
      <c r="U83" s="80">
        <v>10</v>
      </c>
      <c r="V83" s="76">
        <f>R83*U83</f>
        <v>108.69999999999999</v>
      </c>
      <c r="W83" s="496" t="s">
        <v>97</v>
      </c>
      <c r="X83" s="496"/>
      <c r="Y83" s="496" t="s">
        <v>98</v>
      </c>
      <c r="Z83" s="496"/>
      <c r="AA83" s="494" t="s">
        <v>99</v>
      </c>
      <c r="AB83" s="494"/>
      <c r="AC83" s="99">
        <f>AC78+1</f>
        <v>11</v>
      </c>
      <c r="AD83" s="95">
        <f>VLOOKUP(AC83,STN_TABLE_2,2,FALSE)</f>
        <v>6</v>
      </c>
      <c r="AE83" s="68">
        <f>VLOOKUP(AD83,STN_TABLE,2,FALSE)</f>
        <v>10.8</v>
      </c>
      <c r="AF83" s="68">
        <v>1</v>
      </c>
      <c r="AG83" s="69">
        <f>AE83*AF83</f>
        <v>10.8</v>
      </c>
      <c r="AH83" s="496" t="s">
        <v>97</v>
      </c>
      <c r="AI83" s="496"/>
      <c r="AJ83" s="496" t="s">
        <v>98</v>
      </c>
      <c r="AK83" s="496"/>
      <c r="AL83" s="494" t="s">
        <v>99</v>
      </c>
      <c r="AM83" s="494"/>
      <c r="AP83" s="86" t="s">
        <v>112</v>
      </c>
      <c r="AQ83" s="89" t="s">
        <v>113</v>
      </c>
      <c r="AR83" s="89" t="s">
        <v>114</v>
      </c>
      <c r="AS83" s="89" t="s">
        <v>115</v>
      </c>
      <c r="AU83" s="81"/>
    </row>
    <row r="84" spans="1:47" x14ac:dyDescent="0.25">
      <c r="A84" s="84">
        <f>A83+1</f>
        <v>11</v>
      </c>
      <c r="B84" s="84">
        <f t="shared" si="27"/>
        <v>6</v>
      </c>
      <c r="C84" s="88">
        <f t="shared" ref="C84" si="34">B85</f>
        <v>6.5</v>
      </c>
      <c r="D84" s="82">
        <f>VLOOKUP(C84,STN_TABLE,2,FALSE)</f>
        <v>10.87</v>
      </c>
      <c r="E84" s="92">
        <v>1</v>
      </c>
      <c r="F84" s="82">
        <f>D84*E84</f>
        <v>10.87</v>
      </c>
      <c r="G84" s="83">
        <f>C84</f>
        <v>6.5</v>
      </c>
      <c r="H84" s="83">
        <f>F84*G84</f>
        <v>70.655000000000001</v>
      </c>
      <c r="I84" s="84" t="str">
        <f>CONCATENATE("a'(",C84,")=")</f>
        <v>a'(6.5)=</v>
      </c>
      <c r="J84" s="84" t="e">
        <f>2*J82/3*F85</f>
        <v>#N/A</v>
      </c>
      <c r="K84" s="84" t="str">
        <f>CONCATENATE("A(",C82,")=")</f>
        <v>A(#NA)=</v>
      </c>
      <c r="L84" s="84" t="e">
        <f>VLOOKUP(C82,STN_TABLE,3,FALSE)</f>
        <v>#N/A</v>
      </c>
      <c r="M84" t="str">
        <f>CONCATENATE("A(",C84,")=")</f>
        <v>A(6.5)=</v>
      </c>
      <c r="N84" t="e">
        <f>J84+L84</f>
        <v>#N/A</v>
      </c>
      <c r="O84" s="99">
        <f>O83+1</f>
        <v>13</v>
      </c>
      <c r="P84" s="99" t="str">
        <f t="shared" si="23"/>
        <v xml:space="preserve">  </v>
      </c>
      <c r="Q84" s="82" t="e">
        <f>IF(P84-P83=P83-P82,P84,IF(P85-P83=P83-P82,P85,IF(P84-P83=P83-P81,P84,IF(P85-P83=P83-P81,P85,"-"))))</f>
        <v>#VALUE!</v>
      </c>
      <c r="R84" s="83" t="e">
        <f>VLOOKUP(Q84,STN_TABLE,2,FALSE)</f>
        <v>#VALUE!</v>
      </c>
      <c r="S84" s="83">
        <v>-1</v>
      </c>
      <c r="T84" s="82" t="e">
        <f>R84*S84</f>
        <v>#VALUE!</v>
      </c>
      <c r="U84" s="88">
        <v>-1</v>
      </c>
      <c r="V84" s="82" t="e">
        <f>R84*U84</f>
        <v>#VALUE!</v>
      </c>
      <c r="W84" s="84" t="str">
        <f>CONCATENATE("a'(",Q83,")=")</f>
        <v>a'(6.5)=</v>
      </c>
      <c r="X84" s="84" t="e">
        <f>2*X82/12*T85</f>
        <v>#VALUE!</v>
      </c>
      <c r="Y84" s="84" t="e">
        <f>CONCATENATE("A(",Q82,")=")</f>
        <v>#VALUE!</v>
      </c>
      <c r="Z84" s="84" t="e">
        <f>VLOOKUP(Q82,STN_TABLE,3,FALSE)</f>
        <v>#VALUE!</v>
      </c>
      <c r="AA84" t="str">
        <f>CONCATENATE("A(",Q83,")=")</f>
        <v>A(6.5)=</v>
      </c>
      <c r="AB84" t="e">
        <f>X84+Z84</f>
        <v>#VALUE!</v>
      </c>
      <c r="AC84" s="99">
        <f>AC83+1</f>
        <v>12</v>
      </c>
      <c r="AD84" s="100">
        <f>VLOOKUP(AC84,STN_TABLE_2,2,FALSE)</f>
        <v>6.5</v>
      </c>
      <c r="AE84" s="82">
        <f>VLOOKUP(AD84,STN_TABLE,2,FALSE)</f>
        <v>10.87</v>
      </c>
      <c r="AF84" s="82">
        <v>2</v>
      </c>
      <c r="AG84" s="83">
        <f>AE84*AF84</f>
        <v>21.74</v>
      </c>
      <c r="AH84" s="84" t="str">
        <f>CONCATENATE("a'(",AD84,")=")</f>
        <v>a'(6.5)=</v>
      </c>
      <c r="AI84" s="84">
        <f>2*AI82/2*AE85</f>
        <v>21.67</v>
      </c>
      <c r="AJ84" s="84" t="str">
        <f>CONCATENATE("A(",AD83,")=")</f>
        <v>A(6)=</v>
      </c>
      <c r="AK84" s="84">
        <f>VLOOKUP(AD83,STN_TABLE,3,FALSE)</f>
        <v>215.25666666666666</v>
      </c>
      <c r="AL84" t="str">
        <f>CONCATENATE("A(",AD84,")=")</f>
        <v>A(6.5)=</v>
      </c>
      <c r="AM84">
        <f>AI84+AK84</f>
        <v>236.92666666666668</v>
      </c>
      <c r="AO84" s="68" t="str">
        <f>AA84</f>
        <v>A(6.5)=</v>
      </c>
      <c r="AP84" s="68" t="e">
        <f>VLOOKUP(AO84,Rise_Results,2,FALSE)</f>
        <v>#N/A</v>
      </c>
      <c r="AQ84" s="76" t="e">
        <f>N84</f>
        <v>#N/A</v>
      </c>
      <c r="AR84" s="76" t="e">
        <f>IF(OR(AB84&lt;=0,AB85&lt;=0),1/0,AB84)</f>
        <v>#VALUE!</v>
      </c>
      <c r="AS84" s="76">
        <f>AM84</f>
        <v>236.92666666666668</v>
      </c>
      <c r="AT84">
        <f>IFERROR(AP84,IFERROR(AQ84,IFERROR(AR84,AS84)))</f>
        <v>236.92666666666668</v>
      </c>
      <c r="AU84" s="81"/>
    </row>
    <row r="85" spans="1:47" x14ac:dyDescent="0.25">
      <c r="A85" s="84">
        <f>A84+1</f>
        <v>12</v>
      </c>
      <c r="B85" s="84">
        <f t="shared" si="27"/>
        <v>6.5</v>
      </c>
      <c r="F85" s="82" t="e">
        <f>SUM(F82:F84)</f>
        <v>#N/A</v>
      </c>
      <c r="H85" s="82" t="e">
        <f>SUM(H82:H84)</f>
        <v>#N/A</v>
      </c>
      <c r="I85" s="84" t="str">
        <f>CONCATENATE("m'(",C84,")=")</f>
        <v>m'(6.5)=</v>
      </c>
      <c r="J85" s="84" t="e">
        <f>2*(J82*(WLS))/3*H85</f>
        <v>#N/A</v>
      </c>
      <c r="K85" s="84" t="str">
        <f>CONCATENATE("M(",C82,")=")</f>
        <v>M(#NA)=</v>
      </c>
      <c r="L85" s="84" t="e">
        <f>VLOOKUP(C82,STN_TABLE,4,FALSE)</f>
        <v>#N/A</v>
      </c>
      <c r="M85" t="str">
        <f>CONCATENATE("M(",C84,")=")</f>
        <v>M(6.5)=</v>
      </c>
      <c r="N85" t="e">
        <f>J85+L85</f>
        <v>#N/A</v>
      </c>
      <c r="O85" s="99">
        <f>O84+1</f>
        <v>14</v>
      </c>
      <c r="P85" s="99" t="str">
        <f t="shared" si="23"/>
        <v xml:space="preserve">  </v>
      </c>
      <c r="T85" s="89" t="e">
        <f>SUM(T82:T84)</f>
        <v>#VALUE!</v>
      </c>
      <c r="V85" s="82" t="e">
        <f>SUM(V82:V84)</f>
        <v>#VALUE!</v>
      </c>
      <c r="W85" s="84" t="str">
        <f>CONCATENATE("m'(",Q83,")=")</f>
        <v>m'(6.5)=</v>
      </c>
      <c r="X85" s="84" t="e">
        <f>(2*(X82^2)/24*V85)+(X84*Q82*WLS)</f>
        <v>#VALUE!</v>
      </c>
      <c r="Y85" s="84" t="e">
        <f>CONCATENATE("M(",Q82,")=")</f>
        <v>#VALUE!</v>
      </c>
      <c r="Z85" s="84" t="e">
        <f>VLOOKUP(Q82,STN_TABLE,4,FALSE)</f>
        <v>#VALUE!</v>
      </c>
      <c r="AA85" t="str">
        <f>CONCATENATE("M(",Q83,")=")</f>
        <v>M(6.5)=</v>
      </c>
      <c r="AB85" t="e">
        <f>X85+Z85</f>
        <v>#VALUE!</v>
      </c>
      <c r="AE85" s="89">
        <f>SUM(AE83:AE84)</f>
        <v>21.67</v>
      </c>
      <c r="AG85" s="89">
        <f>SUM(AG83:AG84)</f>
        <v>32.54</v>
      </c>
      <c r="AH85" s="84" t="str">
        <f>CONCATENATE("m'(",AD84,")=")</f>
        <v>m'(6.5)=</v>
      </c>
      <c r="AI85" s="84">
        <f>(2*(AI82^2)/6*AG85)+(AI84*AD83*WLS)</f>
        <v>270.88666666666671</v>
      </c>
      <c r="AJ85" s="84" t="str">
        <f>CONCATENATE("M(",AD83,")=")</f>
        <v>M(6)=</v>
      </c>
      <c r="AK85" s="84">
        <f>VLOOKUP(AD83,STN_TABLE,4,FALSE)</f>
        <v>1419.5933333333332</v>
      </c>
      <c r="AL85" t="str">
        <f>CONCATENATE("M(",AD84,")=")</f>
        <v>M(6.5)=</v>
      </c>
      <c r="AM85">
        <f>AI85+AK85</f>
        <v>1690.48</v>
      </c>
      <c r="AO85" s="82" t="str">
        <f>AA85</f>
        <v>M(6.5)=</v>
      </c>
      <c r="AP85" s="82" t="e">
        <f>VLOOKUP(AO85,Rise_Results,2,FALSE)</f>
        <v>#N/A</v>
      </c>
      <c r="AQ85" s="82" t="e">
        <f>N85</f>
        <v>#N/A</v>
      </c>
      <c r="AR85" s="82" t="e">
        <f>IF(OR(AB84&lt;=0,AB85&lt;=0),1/0,AB85)</f>
        <v>#VALUE!</v>
      </c>
      <c r="AS85" s="82">
        <f>AM85</f>
        <v>1690.48</v>
      </c>
      <c r="AT85">
        <f>IFERROR(AP85,IFERROR(AQ85,IFERROR(AR85,AS85)))</f>
        <v>1690.48</v>
      </c>
      <c r="AU85" s="81"/>
    </row>
    <row r="86" spans="1:47" x14ac:dyDescent="0.25">
      <c r="A86" s="101">
        <f>A81+1</f>
        <v>9</v>
      </c>
      <c r="B86" s="101">
        <f t="shared" si="27"/>
        <v>4.8499999999999996</v>
      </c>
      <c r="O86" s="101">
        <f>O81+1</f>
        <v>11</v>
      </c>
      <c r="P86" s="101">
        <f t="shared" si="23"/>
        <v>6</v>
      </c>
      <c r="AU86" s="81"/>
    </row>
    <row r="87" spans="1:47" x14ac:dyDescent="0.25">
      <c r="A87" s="84">
        <f>A86+1</f>
        <v>10</v>
      </c>
      <c r="B87" s="84">
        <f t="shared" si="27"/>
        <v>5</v>
      </c>
      <c r="C87" s="79" t="e">
        <f t="shared" ref="C87" si="35">IF(C88=B89,IF(C89-C88=C88-B88,B88,IF(C89-C88=C88-B87,B87,"#NA")),IF(C88=B88,IF(C89-C88=C88-B87,B87,IF(C89-C88=C88-B86,B86,"#NA")),"#NA"))</f>
        <v>#VALUE!</v>
      </c>
      <c r="D87" s="68" t="e">
        <f>VLOOKUP(C87,STN_TABLE,2,FALSE)</f>
        <v>#VALUE!</v>
      </c>
      <c r="E87" s="102">
        <v>1</v>
      </c>
      <c r="F87" s="68" t="e">
        <f>D87*E87</f>
        <v>#VALUE!</v>
      </c>
      <c r="G87" s="69" t="e">
        <f>C87</f>
        <v>#VALUE!</v>
      </c>
      <c r="H87" s="69" t="e">
        <f>F87*G87</f>
        <v>#VALUE!</v>
      </c>
      <c r="I87" s="6" t="s">
        <v>93</v>
      </c>
      <c r="J87" s="70" t="e">
        <f>IF(OR(D87=0,D88=0,D89=0),"#NA",IF(AND(C89-C88=C88-C87,C88&lt;&gt;C89,C87&lt;&gt;C88,C87&lt;&gt;C89,D89&lt;&gt;0,OR(D87&lt;&gt;0,D88&lt;&gt;0)),WLS*(C89-C88),"#NA"))</f>
        <v>#VALUE!</v>
      </c>
      <c r="O87" s="99">
        <f>O86+1</f>
        <v>12</v>
      </c>
      <c r="P87" s="99">
        <f t="shared" si="23"/>
        <v>6.5</v>
      </c>
      <c r="Q87" s="68" t="e">
        <f>IF(OR(P89-P88=P88-P87,P90-P88=P88-P87),P87,IF(OR(P89-P88=P88-P86,P90-P88=P88-P86),P86,"-"))</f>
        <v>#VALUE!</v>
      </c>
      <c r="R87" s="69" t="e">
        <f>VLOOKUP(Q87,STN_TABLE,2,FALSE)</f>
        <v>#VALUE!</v>
      </c>
      <c r="S87" s="69">
        <v>5</v>
      </c>
      <c r="T87" s="68" t="e">
        <f>R87*S87</f>
        <v>#VALUE!</v>
      </c>
      <c r="U87" s="79">
        <v>3</v>
      </c>
      <c r="V87" s="68" t="e">
        <f>R87*U87</f>
        <v>#VALUE!</v>
      </c>
      <c r="W87" s="6" t="s">
        <v>93</v>
      </c>
      <c r="X87" s="70" t="e">
        <f>IF(AND(Q89-Q88=Q88-Q87,NOT(AND(Q87=0,Q88=0)),NOT(AND(Q88=0,Q89=0))),WLS*(Q89-Q88),"#NA")</f>
        <v>#VALUE!</v>
      </c>
      <c r="AD87" s="93"/>
      <c r="AH87" s="6" t="s">
        <v>93</v>
      </c>
      <c r="AI87" s="70" t="e">
        <f>WLS*(AD89-AD88)</f>
        <v>#VALUE!</v>
      </c>
      <c r="AU87" s="81"/>
    </row>
    <row r="88" spans="1:47" x14ac:dyDescent="0.25">
      <c r="A88" s="84">
        <f>A87+1</f>
        <v>11</v>
      </c>
      <c r="B88" s="84">
        <f t="shared" si="27"/>
        <v>6</v>
      </c>
      <c r="C88" s="80" t="e">
        <f t="shared" ref="C88" si="36">IF(OR(B90-B89=B89-B88,B90-B89=B89-B87,B90-B89=B89-B86),B89,IF(OR(B90-B88=B88-B87,B90-B88=B88-B86),B88,IF(B90-B87=B87-B86,B87,"#NA")))</f>
        <v>#VALUE!</v>
      </c>
      <c r="D88" s="76" t="e">
        <f>VLOOKUP(C88,STN_TABLE,2,FALSE)</f>
        <v>#VALUE!</v>
      </c>
      <c r="E88" s="81">
        <v>4</v>
      </c>
      <c r="F88" s="76" t="e">
        <f>D88*E88</f>
        <v>#VALUE!</v>
      </c>
      <c r="G88" s="77" t="e">
        <f>C88</f>
        <v>#VALUE!</v>
      </c>
      <c r="H88" s="77" t="e">
        <f>F88*G88</f>
        <v>#VALUE!</v>
      </c>
      <c r="I88" s="495" t="s">
        <v>97</v>
      </c>
      <c r="J88" s="496"/>
      <c r="K88" s="78" t="s">
        <v>98</v>
      </c>
      <c r="L88" s="78"/>
      <c r="M88" s="7" t="s">
        <v>99</v>
      </c>
      <c r="N88" s="7"/>
      <c r="O88" s="99">
        <f>O87+1</f>
        <v>13</v>
      </c>
      <c r="P88" s="99" t="str">
        <f t="shared" si="23"/>
        <v xml:space="preserve">  </v>
      </c>
      <c r="Q88" s="76" t="str">
        <f>P88</f>
        <v xml:space="preserve">  </v>
      </c>
      <c r="R88" s="77" t="str">
        <f>VLOOKUP(Q88,STN_TABLE,2,FALSE)</f>
        <v xml:space="preserve">  </v>
      </c>
      <c r="S88" s="77">
        <v>8</v>
      </c>
      <c r="T88" s="76" t="e">
        <f>R88*S88</f>
        <v>#VALUE!</v>
      </c>
      <c r="U88" s="80">
        <v>10</v>
      </c>
      <c r="V88" s="76" t="e">
        <f>R88*U88</f>
        <v>#VALUE!</v>
      </c>
      <c r="W88" s="496" t="s">
        <v>97</v>
      </c>
      <c r="X88" s="496"/>
      <c r="Y88" s="496" t="s">
        <v>98</v>
      </c>
      <c r="Z88" s="496"/>
      <c r="AA88" s="494" t="s">
        <v>99</v>
      </c>
      <c r="AB88" s="494"/>
      <c r="AC88" s="99">
        <f>AC83+1</f>
        <v>12</v>
      </c>
      <c r="AD88" s="95">
        <f>VLOOKUP(AC88,STN_TABLE_2,2,FALSE)</f>
        <v>6.5</v>
      </c>
      <c r="AE88" s="68">
        <f>VLOOKUP(AD88,STN_TABLE,2,FALSE)</f>
        <v>10.87</v>
      </c>
      <c r="AF88" s="68">
        <v>1</v>
      </c>
      <c r="AG88" s="69">
        <f>AE88*AF88</f>
        <v>10.87</v>
      </c>
      <c r="AH88" s="496" t="s">
        <v>97</v>
      </c>
      <c r="AI88" s="496"/>
      <c r="AJ88" s="496" t="s">
        <v>98</v>
      </c>
      <c r="AK88" s="496"/>
      <c r="AL88" s="494" t="s">
        <v>99</v>
      </c>
      <c r="AM88" s="494"/>
      <c r="AP88" s="86" t="s">
        <v>112</v>
      </c>
      <c r="AQ88" s="89" t="s">
        <v>113</v>
      </c>
      <c r="AR88" s="89" t="s">
        <v>114</v>
      </c>
      <c r="AS88" s="89" t="s">
        <v>115</v>
      </c>
      <c r="AU88" s="81"/>
    </row>
    <row r="89" spans="1:47" x14ac:dyDescent="0.25">
      <c r="A89" s="84">
        <f>A88+1</f>
        <v>12</v>
      </c>
      <c r="B89" s="84">
        <f t="shared" si="27"/>
        <v>6.5</v>
      </c>
      <c r="C89" s="88" t="str">
        <f t="shared" ref="C89" si="37">B90</f>
        <v xml:space="preserve">  </v>
      </c>
      <c r="D89" s="82" t="str">
        <f>VLOOKUP(C89,STN_TABLE,2,FALSE)</f>
        <v xml:space="preserve">  </v>
      </c>
      <c r="E89" s="92">
        <v>1</v>
      </c>
      <c r="F89" s="82" t="e">
        <f>D89*E89</f>
        <v>#VALUE!</v>
      </c>
      <c r="G89" s="83" t="str">
        <f>C89</f>
        <v xml:space="preserve">  </v>
      </c>
      <c r="H89" s="83" t="e">
        <f>F89*G89</f>
        <v>#VALUE!</v>
      </c>
      <c r="I89" s="84" t="str">
        <f>CONCATENATE("a'(",C89,")=")</f>
        <v>a'(  )=</v>
      </c>
      <c r="J89" s="84" t="e">
        <f>2*J87/3*F90</f>
        <v>#VALUE!</v>
      </c>
      <c r="K89" s="84" t="e">
        <f>CONCATENATE("A(",C87,")=")</f>
        <v>#VALUE!</v>
      </c>
      <c r="L89" s="84" t="e">
        <f>VLOOKUP(C87,STN_TABLE,3,FALSE)</f>
        <v>#VALUE!</v>
      </c>
      <c r="M89" t="str">
        <f>CONCATENATE("A(",C89,")=")</f>
        <v>A(  )=</v>
      </c>
      <c r="N89" t="e">
        <f>J89+L89</f>
        <v>#VALUE!</v>
      </c>
      <c r="O89" s="99">
        <f>O88+1</f>
        <v>14</v>
      </c>
      <c r="P89" s="99" t="str">
        <f t="shared" si="23"/>
        <v xml:space="preserve">  </v>
      </c>
      <c r="Q89" s="82" t="e">
        <f>IF(P89-P88=P88-P87,P89,IF(P90-P88=P88-P87,P90,IF(P89-P88=P88-P86,P89,IF(P90-P88=P88-P86,P90,"-"))))</f>
        <v>#VALUE!</v>
      </c>
      <c r="R89" s="83" t="e">
        <f>VLOOKUP(Q89,STN_TABLE,2,FALSE)</f>
        <v>#VALUE!</v>
      </c>
      <c r="S89" s="83">
        <v>-1</v>
      </c>
      <c r="T89" s="82" t="e">
        <f>R89*S89</f>
        <v>#VALUE!</v>
      </c>
      <c r="U89" s="88">
        <v>-1</v>
      </c>
      <c r="V89" s="82" t="e">
        <f>R89*U89</f>
        <v>#VALUE!</v>
      </c>
      <c r="W89" s="84" t="str">
        <f>CONCATENATE("a'(",Q88,")=")</f>
        <v>a'(  )=</v>
      </c>
      <c r="X89" s="84" t="e">
        <f>2*X87/12*T90</f>
        <v>#VALUE!</v>
      </c>
      <c r="Y89" s="84" t="e">
        <f>CONCATENATE("A(",Q87,")=")</f>
        <v>#VALUE!</v>
      </c>
      <c r="Z89" s="84" t="e">
        <f>VLOOKUP(Q87,STN_TABLE,3,FALSE)</f>
        <v>#VALUE!</v>
      </c>
      <c r="AA89" t="str">
        <f>CONCATENATE("A(",Q88,")=")</f>
        <v>A(  )=</v>
      </c>
      <c r="AB89" t="e">
        <f>X89+Z89</f>
        <v>#VALUE!</v>
      </c>
      <c r="AC89" s="99">
        <f>AC88+1</f>
        <v>13</v>
      </c>
      <c r="AD89" s="100" t="str">
        <f>VLOOKUP(AC89,STN_TABLE_2,2,FALSE)</f>
        <v xml:space="preserve">  </v>
      </c>
      <c r="AE89" s="82" t="str">
        <f>VLOOKUP(AD89,STN_TABLE,2,FALSE)</f>
        <v xml:space="preserve">  </v>
      </c>
      <c r="AF89" s="82">
        <v>2</v>
      </c>
      <c r="AG89" s="83" t="e">
        <f>AE89*AF89</f>
        <v>#VALUE!</v>
      </c>
      <c r="AH89" s="84" t="str">
        <f>CONCATENATE("a'(",AD89,")=")</f>
        <v>a'(  )=</v>
      </c>
      <c r="AI89" s="84" t="e">
        <f>2*AI87/2*AE90</f>
        <v>#VALUE!</v>
      </c>
      <c r="AJ89" s="84" t="str">
        <f>CONCATENATE("A(",AD88,")=")</f>
        <v>A(6.5)=</v>
      </c>
      <c r="AK89" s="84">
        <f>VLOOKUP(AD88,STN_TABLE,3,FALSE)</f>
        <v>236.92666666666668</v>
      </c>
      <c r="AL89" t="str">
        <f>CONCATENATE("A(",AD89,")=")</f>
        <v>A(  )=</v>
      </c>
      <c r="AM89" t="e">
        <f>AI89+AK89</f>
        <v>#VALUE!</v>
      </c>
      <c r="AO89" s="68" t="str">
        <f>AA89</f>
        <v>A(  )=</v>
      </c>
      <c r="AP89" s="68" t="e">
        <f>VLOOKUP(AO89,Rise_Results,2,FALSE)</f>
        <v>#N/A</v>
      </c>
      <c r="AQ89" s="76" t="e">
        <f>N89</f>
        <v>#VALUE!</v>
      </c>
      <c r="AR89" s="76" t="e">
        <f>IF(OR(AB89&lt;=0,AB90&lt;=0),1/0,AB89)</f>
        <v>#VALUE!</v>
      </c>
      <c r="AS89" s="76" t="e">
        <f>AM89</f>
        <v>#VALUE!</v>
      </c>
      <c r="AT89" t="e">
        <f>IFERROR(AP89,IFERROR(AQ89,IFERROR(AR89,AS89)))</f>
        <v>#VALUE!</v>
      </c>
      <c r="AU89" s="81"/>
    </row>
    <row r="90" spans="1:47" x14ac:dyDescent="0.25">
      <c r="A90" s="84">
        <f>A89+1</f>
        <v>13</v>
      </c>
      <c r="B90" s="84" t="str">
        <f t="shared" si="27"/>
        <v xml:space="preserve">  </v>
      </c>
      <c r="F90" s="82" t="e">
        <f>SUM(F87:F89)</f>
        <v>#VALUE!</v>
      </c>
      <c r="H90" s="82" t="e">
        <f>SUM(H87:H89)</f>
        <v>#VALUE!</v>
      </c>
      <c r="I90" s="84" t="str">
        <f>CONCATENATE("m'(",C89,")=")</f>
        <v>m'(  )=</v>
      </c>
      <c r="J90" s="84" t="e">
        <f>2*(J87*(WLS))/3*H90</f>
        <v>#VALUE!</v>
      </c>
      <c r="K90" s="84" t="e">
        <f>CONCATENATE("M(",C87,")=")</f>
        <v>#VALUE!</v>
      </c>
      <c r="L90" s="84" t="e">
        <f>VLOOKUP(C87,STN_TABLE,4,FALSE)</f>
        <v>#VALUE!</v>
      </c>
      <c r="M90" t="str">
        <f>CONCATENATE("M(",C89,")=")</f>
        <v>M(  )=</v>
      </c>
      <c r="N90" t="e">
        <f>J90+L90</f>
        <v>#VALUE!</v>
      </c>
      <c r="O90" s="99">
        <f>O89+1</f>
        <v>15</v>
      </c>
      <c r="P90" s="99" t="str">
        <f t="shared" si="23"/>
        <v xml:space="preserve">  </v>
      </c>
      <c r="T90" s="89" t="e">
        <f>SUM(T87:T89)</f>
        <v>#VALUE!</v>
      </c>
      <c r="V90" s="82" t="e">
        <f>SUM(V87:V89)</f>
        <v>#VALUE!</v>
      </c>
      <c r="W90" s="84" t="str">
        <f>CONCATENATE("m'(",Q88,")=")</f>
        <v>m'(  )=</v>
      </c>
      <c r="X90" s="84" t="e">
        <f>(2*(X87^2)/24*V90)+(X89*Q87*WLS)</f>
        <v>#VALUE!</v>
      </c>
      <c r="Y90" s="84" t="e">
        <f>CONCATENATE("M(",Q87,")=")</f>
        <v>#VALUE!</v>
      </c>
      <c r="Z90" s="84" t="e">
        <f>VLOOKUP(Q87,STN_TABLE,4,FALSE)</f>
        <v>#VALUE!</v>
      </c>
      <c r="AA90" t="str">
        <f>CONCATENATE("M(",Q88,")=")</f>
        <v>M(  )=</v>
      </c>
      <c r="AB90" t="e">
        <f>X90+Z90</f>
        <v>#VALUE!</v>
      </c>
      <c r="AE90" s="89">
        <f>SUM(AE88:AE89)</f>
        <v>10.87</v>
      </c>
      <c r="AG90" s="89" t="e">
        <f>SUM(AG88:AG89)</f>
        <v>#VALUE!</v>
      </c>
      <c r="AH90" s="84" t="str">
        <f>CONCATENATE("m'(",AD89,")=")</f>
        <v>m'(  )=</v>
      </c>
      <c r="AI90" s="84" t="e">
        <f>(2*(AI87^2)/6*AG90)+(AI89*AD88*WLS)</f>
        <v>#VALUE!</v>
      </c>
      <c r="AJ90" s="84" t="str">
        <f>CONCATENATE("M(",AD88,")=")</f>
        <v>M(6.5)=</v>
      </c>
      <c r="AK90" s="84">
        <f>VLOOKUP(AD88,STN_TABLE,4,FALSE)</f>
        <v>1690.48</v>
      </c>
      <c r="AL90" t="str">
        <f>CONCATENATE("M(",AD89,")=")</f>
        <v>M(  )=</v>
      </c>
      <c r="AM90" t="e">
        <f>AI90+AK90</f>
        <v>#VALUE!</v>
      </c>
      <c r="AO90" s="82" t="str">
        <f>AA90</f>
        <v>M(  )=</v>
      </c>
      <c r="AP90" s="82" t="e">
        <f>VLOOKUP(AO90,Rise_Results,2,FALSE)</f>
        <v>#N/A</v>
      </c>
      <c r="AQ90" s="82" t="e">
        <f>N90</f>
        <v>#VALUE!</v>
      </c>
      <c r="AR90" s="82" t="e">
        <f>IF(OR(AB89&lt;=0,AB90&lt;=0),1/0,AB90)</f>
        <v>#VALUE!</v>
      </c>
      <c r="AS90" s="82" t="e">
        <f>AM90</f>
        <v>#VALUE!</v>
      </c>
      <c r="AT90" t="e">
        <f>IFERROR(AP90,IFERROR(AQ90,IFERROR(AR90,AS90)))</f>
        <v>#VALUE!</v>
      </c>
      <c r="AU90" s="81"/>
    </row>
    <row r="91" spans="1:47" x14ac:dyDescent="0.25">
      <c r="A91" s="101">
        <f>A86+1</f>
        <v>10</v>
      </c>
      <c r="B91" s="101">
        <f t="shared" si="27"/>
        <v>5</v>
      </c>
      <c r="O91" s="101">
        <f>O86+1</f>
        <v>12</v>
      </c>
      <c r="P91" s="101">
        <f t="shared" si="23"/>
        <v>6.5</v>
      </c>
      <c r="AU91" s="81"/>
    </row>
    <row r="92" spans="1:47" x14ac:dyDescent="0.25">
      <c r="A92" s="84">
        <f>A91+1</f>
        <v>11</v>
      </c>
      <c r="B92" s="84">
        <f t="shared" si="27"/>
        <v>6</v>
      </c>
      <c r="C92" s="79" t="e">
        <f t="shared" ref="C92" si="38">IF(C93=B94,IF(C94-C93=C93-B93,B93,IF(C94-C93=C93-B92,B92,"#NA")),IF(C93=B93,IF(C94-C93=C93-B92,B92,IF(C94-C93=C93-B91,B91,"#NA")),"#NA"))</f>
        <v>#VALUE!</v>
      </c>
      <c r="D92" s="68" t="e">
        <f>VLOOKUP(C92,STN_TABLE,2,FALSE)</f>
        <v>#VALUE!</v>
      </c>
      <c r="E92" s="102">
        <v>1</v>
      </c>
      <c r="F92" s="68" t="e">
        <f>D92*E92</f>
        <v>#VALUE!</v>
      </c>
      <c r="G92" s="69" t="e">
        <f>C92</f>
        <v>#VALUE!</v>
      </c>
      <c r="H92" s="69" t="e">
        <f>F92*G92</f>
        <v>#VALUE!</v>
      </c>
      <c r="I92" s="6" t="s">
        <v>93</v>
      </c>
      <c r="J92" s="70" t="e">
        <f>IF(OR(D92=0,D93=0,D94=0),"#NA",IF(AND(C94-C93=C93-C92,C93&lt;&gt;C94,C92&lt;&gt;C93,C92&lt;&gt;C94,D94&lt;&gt;0,OR(D92&lt;&gt;0,D93&lt;&gt;0)),WLS*(C94-C93),"#NA"))</f>
        <v>#VALUE!</v>
      </c>
      <c r="O92" s="99">
        <f>O91+1</f>
        <v>13</v>
      </c>
      <c r="P92" s="99" t="str">
        <f t="shared" si="23"/>
        <v xml:space="preserve">  </v>
      </c>
      <c r="Q92" s="68" t="e">
        <f>IF(OR(P94-P93=P93-P92,P95-P93=P93-P92),P92,IF(OR(P94-P93=P93-P91,P95-P93=P93-P91),P91,"-"))</f>
        <v>#VALUE!</v>
      </c>
      <c r="R92" s="69" t="e">
        <f>VLOOKUP(Q92,STN_TABLE,2,FALSE)</f>
        <v>#VALUE!</v>
      </c>
      <c r="S92" s="69">
        <v>5</v>
      </c>
      <c r="T92" s="68" t="e">
        <f>R92*S92</f>
        <v>#VALUE!</v>
      </c>
      <c r="U92" s="79">
        <v>3</v>
      </c>
      <c r="V92" s="68" t="e">
        <f>R92*U92</f>
        <v>#VALUE!</v>
      </c>
      <c r="W92" s="6" t="s">
        <v>93</v>
      </c>
      <c r="X92" s="70" t="e">
        <f>IF(AND(Q94-Q93=Q93-Q92,NOT(AND(Q92=0,Q93=0)),NOT(AND(Q93=0,Q94=0))),WLS*(Q94-Q93),"#NA")</f>
        <v>#VALUE!</v>
      </c>
      <c r="AD92" s="93"/>
      <c r="AH92" s="6" t="s">
        <v>93</v>
      </c>
      <c r="AI92" s="70" t="e">
        <f>WLS*(AD94-AD93)</f>
        <v>#VALUE!</v>
      </c>
      <c r="AU92" s="81"/>
    </row>
    <row r="93" spans="1:47" x14ac:dyDescent="0.25">
      <c r="A93" s="84">
        <f>A92+1</f>
        <v>12</v>
      </c>
      <c r="B93" s="84">
        <f t="shared" si="27"/>
        <v>6.5</v>
      </c>
      <c r="C93" s="80" t="e">
        <f t="shared" ref="C93" si="39">IF(OR(B95-B94=B94-B93,B95-B94=B94-B92,B95-B94=B94-B91),B94,IF(OR(B95-B93=B93-B92,B95-B93=B93-B91),B93,IF(B95-B92=B92-B91,B92,"#NA")))</f>
        <v>#VALUE!</v>
      </c>
      <c r="D93" s="76" t="e">
        <f>VLOOKUP(C93,STN_TABLE,2,FALSE)</f>
        <v>#VALUE!</v>
      </c>
      <c r="E93" s="81">
        <v>4</v>
      </c>
      <c r="F93" s="76" t="e">
        <f>D93*E93</f>
        <v>#VALUE!</v>
      </c>
      <c r="G93" s="77" t="e">
        <f>C93</f>
        <v>#VALUE!</v>
      </c>
      <c r="H93" s="77" t="e">
        <f>F93*G93</f>
        <v>#VALUE!</v>
      </c>
      <c r="I93" s="495" t="s">
        <v>97</v>
      </c>
      <c r="J93" s="496"/>
      <c r="K93" s="78" t="s">
        <v>98</v>
      </c>
      <c r="L93" s="78"/>
      <c r="M93" s="7" t="s">
        <v>99</v>
      </c>
      <c r="N93" s="7"/>
      <c r="O93" s="99">
        <f>O92+1</f>
        <v>14</v>
      </c>
      <c r="P93" s="99" t="str">
        <f t="shared" si="23"/>
        <v xml:space="preserve">  </v>
      </c>
      <c r="Q93" s="76" t="str">
        <f>P93</f>
        <v xml:space="preserve">  </v>
      </c>
      <c r="R93" s="77" t="str">
        <f>VLOOKUP(Q93,STN_TABLE,2,FALSE)</f>
        <v xml:space="preserve">  </v>
      </c>
      <c r="S93" s="77">
        <v>8</v>
      </c>
      <c r="T93" s="76" t="e">
        <f>R93*S93</f>
        <v>#VALUE!</v>
      </c>
      <c r="U93" s="80">
        <v>10</v>
      </c>
      <c r="V93" s="76" t="e">
        <f>R93*U93</f>
        <v>#VALUE!</v>
      </c>
      <c r="W93" s="496" t="s">
        <v>97</v>
      </c>
      <c r="X93" s="496"/>
      <c r="Y93" s="496" t="s">
        <v>98</v>
      </c>
      <c r="Z93" s="496"/>
      <c r="AA93" s="494" t="s">
        <v>99</v>
      </c>
      <c r="AB93" s="494"/>
      <c r="AC93" s="99">
        <f>AC88+1</f>
        <v>13</v>
      </c>
      <c r="AD93" s="95" t="str">
        <f>VLOOKUP(AC93,STN_TABLE_2,2,FALSE)</f>
        <v xml:space="preserve">  </v>
      </c>
      <c r="AE93" s="68" t="str">
        <f>VLOOKUP(AD93,STN_TABLE,2,FALSE)</f>
        <v xml:space="preserve">  </v>
      </c>
      <c r="AF93" s="68">
        <v>1</v>
      </c>
      <c r="AG93" s="69" t="e">
        <f>AE93*AF93</f>
        <v>#VALUE!</v>
      </c>
      <c r="AH93" s="496" t="s">
        <v>97</v>
      </c>
      <c r="AI93" s="496"/>
      <c r="AJ93" s="496" t="s">
        <v>98</v>
      </c>
      <c r="AK93" s="496"/>
      <c r="AL93" s="494" t="s">
        <v>99</v>
      </c>
      <c r="AM93" s="494"/>
      <c r="AP93" s="86" t="s">
        <v>112</v>
      </c>
      <c r="AQ93" s="89" t="s">
        <v>113</v>
      </c>
      <c r="AR93" s="89" t="s">
        <v>114</v>
      </c>
      <c r="AS93" s="89" t="s">
        <v>115</v>
      </c>
      <c r="AU93" s="81"/>
    </row>
    <row r="94" spans="1:47" x14ac:dyDescent="0.25">
      <c r="A94" s="84">
        <f>A93+1</f>
        <v>13</v>
      </c>
      <c r="B94" s="84" t="str">
        <f t="shared" si="27"/>
        <v xml:space="preserve">  </v>
      </c>
      <c r="C94" s="88" t="str">
        <f t="shared" ref="C94" si="40">B95</f>
        <v xml:space="preserve">  </v>
      </c>
      <c r="D94" s="82" t="str">
        <f>VLOOKUP(C94,STN_TABLE,2,FALSE)</f>
        <v xml:space="preserve">  </v>
      </c>
      <c r="E94" s="92">
        <v>1</v>
      </c>
      <c r="F94" s="82" t="e">
        <f>D94*E94</f>
        <v>#VALUE!</v>
      </c>
      <c r="G94" s="83" t="str">
        <f>C94</f>
        <v xml:space="preserve">  </v>
      </c>
      <c r="H94" s="83" t="e">
        <f>F94*G94</f>
        <v>#VALUE!</v>
      </c>
      <c r="I94" s="84" t="str">
        <f>CONCATENATE("a'(",C94,")=")</f>
        <v>a'(  )=</v>
      </c>
      <c r="J94" s="84" t="e">
        <f>2*J92/3*F95</f>
        <v>#VALUE!</v>
      </c>
      <c r="K94" s="84" t="e">
        <f>CONCATENATE("A(",C92,")=")</f>
        <v>#VALUE!</v>
      </c>
      <c r="L94" s="84" t="e">
        <f>VLOOKUP(C92,STN_TABLE,3,FALSE)</f>
        <v>#VALUE!</v>
      </c>
      <c r="M94" t="str">
        <f>CONCATENATE("A(",C94,")=")</f>
        <v>A(  )=</v>
      </c>
      <c r="N94" t="e">
        <f>J94+L94</f>
        <v>#VALUE!</v>
      </c>
      <c r="O94" s="99">
        <f>O93+1</f>
        <v>15</v>
      </c>
      <c r="P94" s="99" t="str">
        <f t="shared" si="23"/>
        <v xml:space="preserve">  </v>
      </c>
      <c r="Q94" s="82" t="e">
        <f>IF(P94-P93=P93-P92,P94,IF(P95-P93=P93-P92,P95,IF(P94-P93=P93-P91,P94,IF(P95-P93=P93-P91,P95,"-"))))</f>
        <v>#VALUE!</v>
      </c>
      <c r="R94" s="83" t="e">
        <f>VLOOKUP(Q94,STN_TABLE,2,FALSE)</f>
        <v>#VALUE!</v>
      </c>
      <c r="S94" s="83">
        <v>-1</v>
      </c>
      <c r="T94" s="82" t="e">
        <f>R94*S94</f>
        <v>#VALUE!</v>
      </c>
      <c r="U94" s="88">
        <v>-1</v>
      </c>
      <c r="V94" s="82" t="e">
        <f>R94*U94</f>
        <v>#VALUE!</v>
      </c>
      <c r="W94" s="84" t="str">
        <f>CONCATENATE("a'(",Q93,")=")</f>
        <v>a'(  )=</v>
      </c>
      <c r="X94" s="84" t="e">
        <f>2*X92/12*T95</f>
        <v>#VALUE!</v>
      </c>
      <c r="Y94" s="84" t="e">
        <f>CONCATENATE("A(",Q92,")=")</f>
        <v>#VALUE!</v>
      </c>
      <c r="Z94" s="84" t="e">
        <f>VLOOKUP(Q92,STN_TABLE,3,FALSE)</f>
        <v>#VALUE!</v>
      </c>
      <c r="AA94" t="str">
        <f>CONCATENATE("A(",Q93,")=")</f>
        <v>A(  )=</v>
      </c>
      <c r="AB94" t="e">
        <f>X94+Z94</f>
        <v>#VALUE!</v>
      </c>
      <c r="AC94" s="99">
        <f>AC93+1</f>
        <v>14</v>
      </c>
      <c r="AD94" s="100" t="str">
        <f>VLOOKUP(AC94,STN_TABLE_2,2,FALSE)</f>
        <v xml:space="preserve">  </v>
      </c>
      <c r="AE94" s="82" t="str">
        <f>VLOOKUP(AD94,STN_TABLE,2,FALSE)</f>
        <v xml:space="preserve">  </v>
      </c>
      <c r="AF94" s="82">
        <v>2</v>
      </c>
      <c r="AG94" s="83" t="e">
        <f>AE94*AF94</f>
        <v>#VALUE!</v>
      </c>
      <c r="AH94" s="84" t="str">
        <f>CONCATENATE("a'(",AD94,")=")</f>
        <v>a'(  )=</v>
      </c>
      <c r="AI94" s="84" t="e">
        <f>2*AI92/2*AE95</f>
        <v>#VALUE!</v>
      </c>
      <c r="AJ94" s="84" t="str">
        <f>CONCATENATE("A(",AD93,")=")</f>
        <v>A(  )=</v>
      </c>
      <c r="AK94" s="84" t="str">
        <f>VLOOKUP(AD93,STN_TABLE,3,FALSE)</f>
        <v xml:space="preserve"> </v>
      </c>
      <c r="AL94" t="str">
        <f>CONCATENATE("A(",AD94,")=")</f>
        <v>A(  )=</v>
      </c>
      <c r="AM94" t="e">
        <f>AI94+AK94</f>
        <v>#VALUE!</v>
      </c>
      <c r="AO94" s="68" t="str">
        <f>AA94</f>
        <v>A(  )=</v>
      </c>
      <c r="AP94" s="68" t="e">
        <f>VLOOKUP(AO94,Rise_Results,2,FALSE)</f>
        <v>#N/A</v>
      </c>
      <c r="AQ94" s="76" t="e">
        <f>N94</f>
        <v>#VALUE!</v>
      </c>
      <c r="AR94" s="76" t="e">
        <f>IF(OR(AB94&lt;=0,AB95&lt;=0),1/0,AB94)</f>
        <v>#VALUE!</v>
      </c>
      <c r="AS94" s="76" t="e">
        <f>AM94</f>
        <v>#VALUE!</v>
      </c>
      <c r="AT94" t="e">
        <f>IFERROR(AP94,IFERROR(AQ94,IFERROR(AR94,AS94)))</f>
        <v>#VALUE!</v>
      </c>
      <c r="AU94" s="81"/>
    </row>
    <row r="95" spans="1:47" x14ac:dyDescent="0.25">
      <c r="A95" s="84">
        <f>A94+1</f>
        <v>14</v>
      </c>
      <c r="B95" s="84" t="str">
        <f t="shared" si="27"/>
        <v xml:space="preserve">  </v>
      </c>
      <c r="F95" s="82" t="e">
        <f>SUM(F92:F94)</f>
        <v>#VALUE!</v>
      </c>
      <c r="H95" s="82" t="e">
        <f>SUM(H92:H94)</f>
        <v>#VALUE!</v>
      </c>
      <c r="I95" s="84" t="str">
        <f>CONCATENATE("m'(",C94,")=")</f>
        <v>m'(  )=</v>
      </c>
      <c r="J95" s="84" t="e">
        <f>2*(J92*(WLS))/3*H95</f>
        <v>#VALUE!</v>
      </c>
      <c r="K95" s="84" t="e">
        <f>CONCATENATE("M(",C92,")=")</f>
        <v>#VALUE!</v>
      </c>
      <c r="L95" s="84" t="e">
        <f>VLOOKUP(C92,STN_TABLE,4,FALSE)</f>
        <v>#VALUE!</v>
      </c>
      <c r="M95" t="str">
        <f>CONCATENATE("M(",C94,")=")</f>
        <v>M(  )=</v>
      </c>
      <c r="N95" t="e">
        <f>J95+L95</f>
        <v>#VALUE!</v>
      </c>
      <c r="O95" s="99">
        <f>O94+1</f>
        <v>16</v>
      </c>
      <c r="P95" s="99" t="str">
        <f t="shared" si="23"/>
        <v xml:space="preserve">  </v>
      </c>
      <c r="T95" s="89" t="e">
        <f>SUM(T92:T94)</f>
        <v>#VALUE!</v>
      </c>
      <c r="V95" s="82" t="e">
        <f>SUM(V92:V94)</f>
        <v>#VALUE!</v>
      </c>
      <c r="W95" s="84" t="str">
        <f>CONCATENATE("m'(",Q93,")=")</f>
        <v>m'(  )=</v>
      </c>
      <c r="X95" s="84" t="e">
        <f>(2*(X92^2)/24*V95)+(X94*Q92*WLS)</f>
        <v>#VALUE!</v>
      </c>
      <c r="Y95" s="84" t="e">
        <f>CONCATENATE("M(",Q92,")=")</f>
        <v>#VALUE!</v>
      </c>
      <c r="Z95" s="84" t="e">
        <f>VLOOKUP(Q92,STN_TABLE,4,FALSE)</f>
        <v>#VALUE!</v>
      </c>
      <c r="AA95" t="str">
        <f>CONCATENATE("M(",Q93,")=")</f>
        <v>M(  )=</v>
      </c>
      <c r="AB95" t="e">
        <f>X95+Z95</f>
        <v>#VALUE!</v>
      </c>
      <c r="AE95" s="89">
        <f>SUM(AE93:AE94)</f>
        <v>0</v>
      </c>
      <c r="AG95" s="89" t="e">
        <f>SUM(AG93:AG94)</f>
        <v>#VALUE!</v>
      </c>
      <c r="AH95" s="84" t="str">
        <f>CONCATENATE("m'(",AD94,")=")</f>
        <v>m'(  )=</v>
      </c>
      <c r="AI95" s="84" t="e">
        <f>(2*(AI92^2)/6*AG95)+(AI94*AD93*WLS)</f>
        <v>#VALUE!</v>
      </c>
      <c r="AJ95" s="84" t="str">
        <f>CONCATENATE("M(",AD93,")=")</f>
        <v>M(  )=</v>
      </c>
      <c r="AK95" s="84" t="str">
        <f>VLOOKUP(AD93,STN_TABLE,4,FALSE)</f>
        <v xml:space="preserve"> </v>
      </c>
      <c r="AL95" t="str">
        <f>CONCATENATE("M(",AD94,")=")</f>
        <v>M(  )=</v>
      </c>
      <c r="AM95" t="e">
        <f>AI95+AK95</f>
        <v>#VALUE!</v>
      </c>
      <c r="AO95" s="82" t="str">
        <f>AA95</f>
        <v>M(  )=</v>
      </c>
      <c r="AP95" s="82" t="e">
        <f>VLOOKUP(AO95,Rise_Results,2,FALSE)</f>
        <v>#N/A</v>
      </c>
      <c r="AQ95" s="82" t="e">
        <f>N95</f>
        <v>#VALUE!</v>
      </c>
      <c r="AR95" s="82" t="e">
        <f>IF(OR(AB94&lt;=0,AB95&lt;=0),1/0,AB95)</f>
        <v>#VALUE!</v>
      </c>
      <c r="AS95" s="82" t="e">
        <f>AM95</f>
        <v>#VALUE!</v>
      </c>
      <c r="AT95" t="e">
        <f>IFERROR(AP95,IFERROR(AQ95,IFERROR(AR95,AS95)))</f>
        <v>#VALUE!</v>
      </c>
      <c r="AU95" s="81"/>
    </row>
    <row r="96" spans="1:47" x14ac:dyDescent="0.25">
      <c r="A96" s="101">
        <f>A91+1</f>
        <v>11</v>
      </c>
      <c r="B96" s="101">
        <f t="shared" si="27"/>
        <v>6</v>
      </c>
      <c r="O96" s="101">
        <f>O91+1</f>
        <v>13</v>
      </c>
      <c r="P96" s="101" t="str">
        <f t="shared" si="23"/>
        <v xml:space="preserve">  </v>
      </c>
      <c r="AU96" s="81"/>
    </row>
    <row r="97" spans="1:47" x14ac:dyDescent="0.25">
      <c r="A97" s="84">
        <f>A96+1</f>
        <v>12</v>
      </c>
      <c r="B97" s="84">
        <f t="shared" si="27"/>
        <v>6.5</v>
      </c>
      <c r="C97" s="79" t="e">
        <f t="shared" ref="C97" si="41">IF(C98=B99,IF(C99-C98=C98-B98,B98,IF(C99-C98=C98-B97,B97,"#NA")),IF(C98=B98,IF(C99-C98=C98-B97,B97,IF(C99-C98=C98-B96,B96,"#NA")),"#NA"))</f>
        <v>#VALUE!</v>
      </c>
      <c r="D97" s="68" t="e">
        <f>VLOOKUP(C97,STN_TABLE,2,FALSE)</f>
        <v>#VALUE!</v>
      </c>
      <c r="E97" s="102">
        <v>1</v>
      </c>
      <c r="F97" s="68" t="e">
        <f>D97*E97</f>
        <v>#VALUE!</v>
      </c>
      <c r="G97" s="69" t="e">
        <f>C97</f>
        <v>#VALUE!</v>
      </c>
      <c r="H97" s="69" t="e">
        <f>F97*G97</f>
        <v>#VALUE!</v>
      </c>
      <c r="I97" s="6" t="s">
        <v>93</v>
      </c>
      <c r="J97" s="70" t="e">
        <f>IF(OR(D97=0,D98=0,D99=0),"#NA",IF(AND(C99-C98=C98-C97,C98&lt;&gt;C99,C97&lt;&gt;C98,C97&lt;&gt;C99,D99&lt;&gt;0,OR(D97&lt;&gt;0,D98&lt;&gt;0)),WLS*(C99-C98),"#NA"))</f>
        <v>#VALUE!</v>
      </c>
      <c r="O97" s="99">
        <f>O96+1</f>
        <v>14</v>
      </c>
      <c r="P97" s="99" t="str">
        <f t="shared" si="23"/>
        <v xml:space="preserve">  </v>
      </c>
      <c r="Q97" s="68" t="e">
        <f>IF(OR(P99-P98=P98-P97,P100-P98=P98-P97),P97,IF(OR(P99-P98=P98-P96,P100-P98=P98-P96),P96,"-"))</f>
        <v>#VALUE!</v>
      </c>
      <c r="R97" s="69" t="e">
        <f>VLOOKUP(Q97,STN_TABLE,2,FALSE)</f>
        <v>#VALUE!</v>
      </c>
      <c r="S97" s="69">
        <v>5</v>
      </c>
      <c r="T97" s="68" t="e">
        <f>R97*S97</f>
        <v>#VALUE!</v>
      </c>
      <c r="U97" s="79">
        <v>3</v>
      </c>
      <c r="V97" s="68" t="e">
        <f>R97*U97</f>
        <v>#VALUE!</v>
      </c>
      <c r="W97" s="6" t="s">
        <v>93</v>
      </c>
      <c r="X97" s="70" t="e">
        <f>IF(AND(Q99-Q98=Q98-Q97,NOT(AND(Q97=0,Q98=0)),NOT(AND(Q98=0,Q99=0))),WLS*(Q99-Q98),"#NA")</f>
        <v>#VALUE!</v>
      </c>
      <c r="AD97" s="93"/>
      <c r="AH97" s="6" t="s">
        <v>93</v>
      </c>
      <c r="AI97" s="70" t="e">
        <f>WLS*(AD99-AD98)</f>
        <v>#VALUE!</v>
      </c>
      <c r="AU97" s="81"/>
    </row>
    <row r="98" spans="1:47" x14ac:dyDescent="0.25">
      <c r="A98" s="84">
        <f>A97+1</f>
        <v>13</v>
      </c>
      <c r="B98" s="84" t="str">
        <f t="shared" si="27"/>
        <v xml:space="preserve">  </v>
      </c>
      <c r="C98" s="80" t="e">
        <f t="shared" ref="C98" si="42">IF(OR(B100-B99=B99-B98,B100-B99=B99-B97,B100-B99=B99-B96),B99,IF(OR(B100-B98=B98-B97,B100-B98=B98-B96),B98,IF(B100-B97=B97-B96,B97,"#NA")))</f>
        <v>#VALUE!</v>
      </c>
      <c r="D98" s="76" t="e">
        <f>VLOOKUP(C98,STN_TABLE,2,FALSE)</f>
        <v>#VALUE!</v>
      </c>
      <c r="E98" s="81">
        <v>4</v>
      </c>
      <c r="F98" s="76" t="e">
        <f>D98*E98</f>
        <v>#VALUE!</v>
      </c>
      <c r="G98" s="77" t="e">
        <f>C98</f>
        <v>#VALUE!</v>
      </c>
      <c r="H98" s="77" t="e">
        <f>F98*G98</f>
        <v>#VALUE!</v>
      </c>
      <c r="I98" s="495" t="s">
        <v>97</v>
      </c>
      <c r="J98" s="496"/>
      <c r="K98" s="78" t="s">
        <v>98</v>
      </c>
      <c r="L98" s="78"/>
      <c r="M98" s="7" t="s">
        <v>99</v>
      </c>
      <c r="N98" s="7"/>
      <c r="O98" s="99">
        <f>O97+1</f>
        <v>15</v>
      </c>
      <c r="P98" s="99" t="str">
        <f t="shared" si="23"/>
        <v xml:space="preserve">  </v>
      </c>
      <c r="Q98" s="76" t="str">
        <f>P98</f>
        <v xml:space="preserve">  </v>
      </c>
      <c r="R98" s="77" t="str">
        <f>VLOOKUP(Q98,STN_TABLE,2,FALSE)</f>
        <v xml:space="preserve">  </v>
      </c>
      <c r="S98" s="77">
        <v>8</v>
      </c>
      <c r="T98" s="76" t="e">
        <f>R98*S98</f>
        <v>#VALUE!</v>
      </c>
      <c r="U98" s="80">
        <v>10</v>
      </c>
      <c r="V98" s="76" t="e">
        <f>R98*U98</f>
        <v>#VALUE!</v>
      </c>
      <c r="W98" s="496" t="s">
        <v>97</v>
      </c>
      <c r="X98" s="496"/>
      <c r="Y98" s="496" t="s">
        <v>98</v>
      </c>
      <c r="Z98" s="496"/>
      <c r="AA98" s="494" t="s">
        <v>99</v>
      </c>
      <c r="AB98" s="494"/>
      <c r="AC98" s="99">
        <f>AC93+1</f>
        <v>14</v>
      </c>
      <c r="AD98" s="95" t="str">
        <f>VLOOKUP(AC98,STN_TABLE_2,2,FALSE)</f>
        <v xml:space="preserve">  </v>
      </c>
      <c r="AE98" s="68" t="str">
        <f>VLOOKUP(AD98,STN_TABLE,2,FALSE)</f>
        <v xml:space="preserve">  </v>
      </c>
      <c r="AF98" s="68">
        <v>1</v>
      </c>
      <c r="AG98" s="69" t="e">
        <f>AE98*AF98</f>
        <v>#VALUE!</v>
      </c>
      <c r="AH98" s="496" t="s">
        <v>97</v>
      </c>
      <c r="AI98" s="496"/>
      <c r="AJ98" s="496" t="s">
        <v>98</v>
      </c>
      <c r="AK98" s="496"/>
      <c r="AL98" s="494" t="s">
        <v>99</v>
      </c>
      <c r="AM98" s="494"/>
      <c r="AP98" s="86" t="s">
        <v>112</v>
      </c>
      <c r="AQ98" s="89" t="s">
        <v>113</v>
      </c>
      <c r="AR98" s="89" t="s">
        <v>114</v>
      </c>
      <c r="AS98" s="89" t="s">
        <v>115</v>
      </c>
      <c r="AU98" s="81"/>
    </row>
    <row r="99" spans="1:47" x14ac:dyDescent="0.25">
      <c r="A99" s="84">
        <f>A98+1</f>
        <v>14</v>
      </c>
      <c r="B99" s="84" t="str">
        <f t="shared" si="27"/>
        <v xml:space="preserve">  </v>
      </c>
      <c r="C99" s="88" t="str">
        <f t="shared" ref="C99" si="43">B100</f>
        <v xml:space="preserve">  </v>
      </c>
      <c r="D99" s="82" t="str">
        <f>VLOOKUP(C99,STN_TABLE,2,FALSE)</f>
        <v xml:space="preserve">  </v>
      </c>
      <c r="E99" s="92">
        <v>1</v>
      </c>
      <c r="F99" s="82" t="e">
        <f>D99*E99</f>
        <v>#VALUE!</v>
      </c>
      <c r="G99" s="83" t="str">
        <f>C99</f>
        <v xml:space="preserve">  </v>
      </c>
      <c r="H99" s="83" t="e">
        <f>F99*G99</f>
        <v>#VALUE!</v>
      </c>
      <c r="I99" s="84" t="str">
        <f>CONCATENATE("a'(",C99,")=")</f>
        <v>a'(  )=</v>
      </c>
      <c r="J99" s="84" t="e">
        <f>2*J97/3*F100</f>
        <v>#VALUE!</v>
      </c>
      <c r="K99" s="84" t="e">
        <f>CONCATENATE("A(",C97,")=")</f>
        <v>#VALUE!</v>
      </c>
      <c r="L99" s="84" t="e">
        <f>VLOOKUP(C97,STN_TABLE,3,FALSE)</f>
        <v>#VALUE!</v>
      </c>
      <c r="M99" t="str">
        <f>CONCATENATE("A(",C99,")=")</f>
        <v>A(  )=</v>
      </c>
      <c r="N99" t="e">
        <f>J99+L99</f>
        <v>#VALUE!</v>
      </c>
      <c r="O99" s="99">
        <f>O98+1</f>
        <v>16</v>
      </c>
      <c r="P99" s="99" t="str">
        <f t="shared" si="23"/>
        <v xml:space="preserve">  </v>
      </c>
      <c r="Q99" s="82" t="e">
        <f>IF(P99-P98=P98-P97,P99,IF(P100-P98=P98-P97,P100,IF(P99-P98=P98-P96,P99,IF(P100-P98=P98-P96,P100,"-"))))</f>
        <v>#VALUE!</v>
      </c>
      <c r="R99" s="83" t="e">
        <f>VLOOKUP(Q99,STN_TABLE,2,FALSE)</f>
        <v>#VALUE!</v>
      </c>
      <c r="S99" s="83">
        <v>-1</v>
      </c>
      <c r="T99" s="82" t="e">
        <f>R99*S99</f>
        <v>#VALUE!</v>
      </c>
      <c r="U99" s="88">
        <v>-1</v>
      </c>
      <c r="V99" s="82" t="e">
        <f>R99*U99</f>
        <v>#VALUE!</v>
      </c>
      <c r="W99" s="84" t="str">
        <f>CONCATENATE("a'(",Q98,")=")</f>
        <v>a'(  )=</v>
      </c>
      <c r="X99" s="84" t="e">
        <f>2*X97/12*T100</f>
        <v>#VALUE!</v>
      </c>
      <c r="Y99" s="84" t="e">
        <f>CONCATENATE("A(",Q97,")=")</f>
        <v>#VALUE!</v>
      </c>
      <c r="Z99" s="84" t="e">
        <f>VLOOKUP(Q97,STN_TABLE,3,FALSE)</f>
        <v>#VALUE!</v>
      </c>
      <c r="AA99" t="str">
        <f>CONCATENATE("A(",Q98,")=")</f>
        <v>A(  )=</v>
      </c>
      <c r="AB99" t="e">
        <f>X99+Z99</f>
        <v>#VALUE!</v>
      </c>
      <c r="AC99" s="99">
        <f>AC98+1</f>
        <v>15</v>
      </c>
      <c r="AD99" s="100" t="str">
        <f>VLOOKUP(AC99,STN_TABLE_2,2,FALSE)</f>
        <v xml:space="preserve">  </v>
      </c>
      <c r="AE99" s="82" t="str">
        <f>VLOOKUP(AD99,STN_TABLE,2,FALSE)</f>
        <v xml:space="preserve">  </v>
      </c>
      <c r="AF99" s="82">
        <v>2</v>
      </c>
      <c r="AG99" s="83" t="e">
        <f>AE99*AF99</f>
        <v>#VALUE!</v>
      </c>
      <c r="AH99" s="84" t="str">
        <f>CONCATENATE("a'(",AD99,")=")</f>
        <v>a'(  )=</v>
      </c>
      <c r="AI99" s="84" t="e">
        <f>2*AI97/2*AE100</f>
        <v>#VALUE!</v>
      </c>
      <c r="AJ99" s="84" t="str">
        <f>CONCATENATE("A(",AD98,")=")</f>
        <v>A(  )=</v>
      </c>
      <c r="AK99" s="84" t="str">
        <f>VLOOKUP(AD98,STN_TABLE,3,FALSE)</f>
        <v xml:space="preserve"> </v>
      </c>
      <c r="AL99" t="str">
        <f>CONCATENATE("A(",AD99,")=")</f>
        <v>A(  )=</v>
      </c>
      <c r="AM99" t="e">
        <f>AI99+AK99</f>
        <v>#VALUE!</v>
      </c>
      <c r="AO99" s="68" t="str">
        <f>AA99</f>
        <v>A(  )=</v>
      </c>
      <c r="AP99" s="68" t="e">
        <f>VLOOKUP(AO99,Rise_Results,2,FALSE)</f>
        <v>#N/A</v>
      </c>
      <c r="AQ99" s="76" t="e">
        <f>N99</f>
        <v>#VALUE!</v>
      </c>
      <c r="AR99" s="76" t="e">
        <f>IF(OR(AB99&lt;=0,AB100&lt;=0),1/0,AB99)</f>
        <v>#VALUE!</v>
      </c>
      <c r="AS99" s="76" t="e">
        <f>AM99</f>
        <v>#VALUE!</v>
      </c>
      <c r="AT99" t="e">
        <f>IFERROR(AP99,IFERROR(AQ99,IFERROR(AR99,AS99)))</f>
        <v>#VALUE!</v>
      </c>
      <c r="AU99" s="81"/>
    </row>
    <row r="100" spans="1:47" x14ac:dyDescent="0.25">
      <c r="A100" s="84">
        <f>A99+1</f>
        <v>15</v>
      </c>
      <c r="B100" s="84" t="str">
        <f t="shared" si="27"/>
        <v xml:space="preserve">  </v>
      </c>
      <c r="F100" s="82" t="e">
        <f>SUM(F97:F99)</f>
        <v>#VALUE!</v>
      </c>
      <c r="H100" s="82" t="e">
        <f>SUM(H97:H99)</f>
        <v>#VALUE!</v>
      </c>
      <c r="I100" s="84" t="str">
        <f>CONCATENATE("m'(",C99,")=")</f>
        <v>m'(  )=</v>
      </c>
      <c r="J100" s="84" t="e">
        <f>2*(J97*(WLS))/3*H100</f>
        <v>#VALUE!</v>
      </c>
      <c r="K100" s="84" t="e">
        <f>CONCATENATE("M(",C97,")=")</f>
        <v>#VALUE!</v>
      </c>
      <c r="L100" s="84" t="e">
        <f>VLOOKUP(C97,STN_TABLE,4,FALSE)</f>
        <v>#VALUE!</v>
      </c>
      <c r="M100" t="str">
        <f>CONCATENATE("M(",C99,")=")</f>
        <v>M(  )=</v>
      </c>
      <c r="N100" t="e">
        <f>J100+L100</f>
        <v>#VALUE!</v>
      </c>
      <c r="O100" s="99">
        <f>O99+1</f>
        <v>17</v>
      </c>
      <c r="P100" s="99" t="str">
        <f t="shared" ref="P100:P131" si="44">VLOOKUP(O100,STN_TABLE_2,2,FALSE)</f>
        <v xml:space="preserve">  </v>
      </c>
      <c r="T100" s="89" t="e">
        <f>SUM(T97:T99)</f>
        <v>#VALUE!</v>
      </c>
      <c r="V100" s="82" t="e">
        <f>SUM(V97:V99)</f>
        <v>#VALUE!</v>
      </c>
      <c r="W100" s="84" t="str">
        <f>CONCATENATE("m'(",Q98,")=")</f>
        <v>m'(  )=</v>
      </c>
      <c r="X100" s="84" t="e">
        <f>(2*(X97^2)/24*V100)+(X99*Q97*WLS)</f>
        <v>#VALUE!</v>
      </c>
      <c r="Y100" s="84" t="e">
        <f>CONCATENATE("M(",Q97,")=")</f>
        <v>#VALUE!</v>
      </c>
      <c r="Z100" s="84" t="e">
        <f>VLOOKUP(Q97,STN_TABLE,4,FALSE)</f>
        <v>#VALUE!</v>
      </c>
      <c r="AA100" t="str">
        <f>CONCATENATE("M(",Q98,")=")</f>
        <v>M(  )=</v>
      </c>
      <c r="AB100" t="e">
        <f>X100+Z100</f>
        <v>#VALUE!</v>
      </c>
      <c r="AE100" s="89">
        <f>SUM(AE98:AE99)</f>
        <v>0</v>
      </c>
      <c r="AG100" s="89" t="e">
        <f>SUM(AG98:AG99)</f>
        <v>#VALUE!</v>
      </c>
      <c r="AH100" s="84" t="str">
        <f>CONCATENATE("m'(",AD99,")=")</f>
        <v>m'(  )=</v>
      </c>
      <c r="AI100" s="84" t="e">
        <f>(2*(AI97^2)/6*AG100)+(AI99*AD98*WLS)</f>
        <v>#VALUE!</v>
      </c>
      <c r="AJ100" s="84" t="str">
        <f>CONCATENATE("M(",AD98,")=")</f>
        <v>M(  )=</v>
      </c>
      <c r="AK100" s="84" t="str">
        <f>VLOOKUP(AD98,STN_TABLE,4,FALSE)</f>
        <v xml:space="preserve"> </v>
      </c>
      <c r="AL100" t="str">
        <f>CONCATENATE("M(",AD99,")=")</f>
        <v>M(  )=</v>
      </c>
      <c r="AM100" t="e">
        <f>AI100+AK100</f>
        <v>#VALUE!</v>
      </c>
      <c r="AO100" s="82" t="str">
        <f>AA100</f>
        <v>M(  )=</v>
      </c>
      <c r="AP100" s="82" t="e">
        <f>VLOOKUP(AO100,Rise_Results,2,FALSE)</f>
        <v>#N/A</v>
      </c>
      <c r="AQ100" s="82" t="e">
        <f>N100</f>
        <v>#VALUE!</v>
      </c>
      <c r="AR100" s="82" t="e">
        <f>IF(OR(AB99&lt;=0,AB100&lt;=0),1/0,AB100)</f>
        <v>#VALUE!</v>
      </c>
      <c r="AS100" s="82" t="e">
        <f>AM100</f>
        <v>#VALUE!</v>
      </c>
      <c r="AT100" t="e">
        <f>IFERROR(AP100,IFERROR(AQ100,IFERROR(AR100,AS100)))</f>
        <v>#VALUE!</v>
      </c>
      <c r="AU100" s="81"/>
    </row>
    <row r="101" spans="1:47" x14ac:dyDescent="0.25">
      <c r="A101" s="101">
        <f>A96+1</f>
        <v>12</v>
      </c>
      <c r="B101" s="101">
        <f t="shared" si="27"/>
        <v>6.5</v>
      </c>
      <c r="O101" s="101">
        <f>O96+1</f>
        <v>14</v>
      </c>
      <c r="P101" s="101" t="str">
        <f t="shared" si="44"/>
        <v xml:space="preserve">  </v>
      </c>
      <c r="AU101" s="81"/>
    </row>
    <row r="102" spans="1:47" x14ac:dyDescent="0.25">
      <c r="A102" s="84">
        <f>A101+1</f>
        <v>13</v>
      </c>
      <c r="B102" s="84" t="str">
        <f t="shared" si="27"/>
        <v xml:space="preserve">  </v>
      </c>
      <c r="C102" s="79" t="e">
        <f t="shared" ref="C102" si="45">IF(C103=B104,IF(C104-C103=C103-B103,B103,IF(C104-C103=C103-B102,B102,"#NA")),IF(C103=B103,IF(C104-C103=C103-B102,B102,IF(C104-C103=C103-B101,B101,"#NA")),"#NA"))</f>
        <v>#VALUE!</v>
      </c>
      <c r="D102" s="68" t="e">
        <f>VLOOKUP(C102,STN_TABLE,2,FALSE)</f>
        <v>#VALUE!</v>
      </c>
      <c r="E102" s="102">
        <v>1</v>
      </c>
      <c r="F102" s="68" t="e">
        <f>D102*E102</f>
        <v>#VALUE!</v>
      </c>
      <c r="G102" s="69" t="e">
        <f>C102</f>
        <v>#VALUE!</v>
      </c>
      <c r="H102" s="69" t="e">
        <f>F102*G102</f>
        <v>#VALUE!</v>
      </c>
      <c r="I102" s="6" t="s">
        <v>93</v>
      </c>
      <c r="J102" s="70" t="e">
        <f>IF(OR(D102=0,D103=0,D104=0),"#NA",IF(AND(C104-C103=C103-C102,C103&lt;&gt;C104,C102&lt;&gt;C103,C102&lt;&gt;C104,D104&lt;&gt;0,OR(D102&lt;&gt;0,D103&lt;&gt;0)),WLS*(C104-C103),"#NA"))</f>
        <v>#VALUE!</v>
      </c>
      <c r="O102" s="99">
        <f>O101+1</f>
        <v>15</v>
      </c>
      <c r="P102" s="99" t="str">
        <f t="shared" si="44"/>
        <v xml:space="preserve">  </v>
      </c>
      <c r="Q102" s="68" t="e">
        <f>IF(OR(P104-P103=P103-P102,P105-P103=P103-P102),P102,IF(OR(P104-P103=P103-P101,P105-P103=P103-P101),P101,"-"))</f>
        <v>#VALUE!</v>
      </c>
      <c r="R102" s="69" t="e">
        <f>VLOOKUP(Q102,STN_TABLE,2,FALSE)</f>
        <v>#VALUE!</v>
      </c>
      <c r="S102" s="69">
        <v>5</v>
      </c>
      <c r="T102" s="68" t="e">
        <f>R102*S102</f>
        <v>#VALUE!</v>
      </c>
      <c r="U102" s="79">
        <v>3</v>
      </c>
      <c r="V102" s="68" t="e">
        <f>R102*U102</f>
        <v>#VALUE!</v>
      </c>
      <c r="W102" s="6" t="s">
        <v>93</v>
      </c>
      <c r="X102" s="70" t="e">
        <f>IF(AND(Q104-Q103=Q103-Q102,NOT(AND(Q102=0,Q103=0)),NOT(AND(Q103=0,Q104=0))),WLS*(Q104-Q103),"#NA")</f>
        <v>#VALUE!</v>
      </c>
      <c r="AD102" s="93"/>
      <c r="AH102" s="6" t="s">
        <v>93</v>
      </c>
      <c r="AI102" s="70" t="e">
        <f>WLS*(AD104-AD103)</f>
        <v>#VALUE!</v>
      </c>
      <c r="AU102" s="81"/>
    </row>
    <row r="103" spans="1:47" x14ac:dyDescent="0.25">
      <c r="A103" s="84">
        <f>A102+1</f>
        <v>14</v>
      </c>
      <c r="B103" s="84" t="str">
        <f t="shared" si="27"/>
        <v xml:space="preserve">  </v>
      </c>
      <c r="C103" s="80" t="e">
        <f t="shared" ref="C103" si="46">IF(OR(B105-B104=B104-B103,B105-B104=B104-B102,B105-B104=B104-B101),B104,IF(OR(B105-B103=B103-B102,B105-B103=B103-B101),B103,IF(B105-B102=B102-B101,B102,"#NA")))</f>
        <v>#VALUE!</v>
      </c>
      <c r="D103" s="76" t="e">
        <f>VLOOKUP(C103,STN_TABLE,2,FALSE)</f>
        <v>#VALUE!</v>
      </c>
      <c r="E103" s="81">
        <v>4</v>
      </c>
      <c r="F103" s="76" t="e">
        <f>D103*E103</f>
        <v>#VALUE!</v>
      </c>
      <c r="G103" s="77" t="e">
        <f>C103</f>
        <v>#VALUE!</v>
      </c>
      <c r="H103" s="77" t="e">
        <f>F103*G103</f>
        <v>#VALUE!</v>
      </c>
      <c r="I103" s="495" t="s">
        <v>97</v>
      </c>
      <c r="J103" s="496"/>
      <c r="K103" s="78" t="s">
        <v>98</v>
      </c>
      <c r="L103" s="78"/>
      <c r="M103" s="7" t="s">
        <v>99</v>
      </c>
      <c r="N103" s="7"/>
      <c r="O103" s="99">
        <f>O102+1</f>
        <v>16</v>
      </c>
      <c r="P103" s="99" t="str">
        <f t="shared" si="44"/>
        <v xml:space="preserve">  </v>
      </c>
      <c r="Q103" s="76" t="str">
        <f>P103</f>
        <v xml:space="preserve">  </v>
      </c>
      <c r="R103" s="77" t="str">
        <f>VLOOKUP(Q103,STN_TABLE,2,FALSE)</f>
        <v xml:space="preserve">  </v>
      </c>
      <c r="S103" s="77">
        <v>8</v>
      </c>
      <c r="T103" s="76" t="e">
        <f>R103*S103</f>
        <v>#VALUE!</v>
      </c>
      <c r="U103" s="80">
        <v>10</v>
      </c>
      <c r="V103" s="76" t="e">
        <f>R103*U103</f>
        <v>#VALUE!</v>
      </c>
      <c r="W103" s="496" t="s">
        <v>97</v>
      </c>
      <c r="X103" s="496"/>
      <c r="Y103" s="496" t="s">
        <v>98</v>
      </c>
      <c r="Z103" s="496"/>
      <c r="AA103" s="494" t="s">
        <v>99</v>
      </c>
      <c r="AB103" s="494"/>
      <c r="AC103" s="99">
        <f>AC98+1</f>
        <v>15</v>
      </c>
      <c r="AD103" s="95" t="str">
        <f>VLOOKUP(AC103,STN_TABLE_2,2,FALSE)</f>
        <v xml:space="preserve">  </v>
      </c>
      <c r="AE103" s="68" t="str">
        <f>VLOOKUP(AD103,STN_TABLE,2,FALSE)</f>
        <v xml:space="preserve">  </v>
      </c>
      <c r="AF103" s="68">
        <v>1</v>
      </c>
      <c r="AG103" s="69" t="e">
        <f>AE103*AF103</f>
        <v>#VALUE!</v>
      </c>
      <c r="AH103" s="496" t="s">
        <v>97</v>
      </c>
      <c r="AI103" s="496"/>
      <c r="AJ103" s="496" t="s">
        <v>98</v>
      </c>
      <c r="AK103" s="496"/>
      <c r="AL103" s="494" t="s">
        <v>99</v>
      </c>
      <c r="AM103" s="494"/>
      <c r="AP103" s="86" t="s">
        <v>112</v>
      </c>
      <c r="AQ103" s="89" t="s">
        <v>113</v>
      </c>
      <c r="AR103" s="89" t="s">
        <v>114</v>
      </c>
      <c r="AS103" s="89" t="s">
        <v>115</v>
      </c>
      <c r="AU103" s="81"/>
    </row>
    <row r="104" spans="1:47" x14ac:dyDescent="0.25">
      <c r="A104" s="84">
        <f>A103+1</f>
        <v>15</v>
      </c>
      <c r="B104" s="84" t="str">
        <f t="shared" si="27"/>
        <v xml:space="preserve">  </v>
      </c>
      <c r="C104" s="88" t="str">
        <f t="shared" ref="C104" si="47">B105</f>
        <v xml:space="preserve">  </v>
      </c>
      <c r="D104" s="82" t="str">
        <f>VLOOKUP(C104,STN_TABLE,2,FALSE)</f>
        <v xml:space="preserve">  </v>
      </c>
      <c r="E104" s="92">
        <v>1</v>
      </c>
      <c r="F104" s="82" t="e">
        <f>D104*E104</f>
        <v>#VALUE!</v>
      </c>
      <c r="G104" s="83" t="str">
        <f>C104</f>
        <v xml:space="preserve">  </v>
      </c>
      <c r="H104" s="83" t="e">
        <f>F104*G104</f>
        <v>#VALUE!</v>
      </c>
      <c r="I104" s="84" t="str">
        <f>CONCATENATE("a'(",C104,")=")</f>
        <v>a'(  )=</v>
      </c>
      <c r="J104" s="84" t="e">
        <f>2*J102/3*F105</f>
        <v>#VALUE!</v>
      </c>
      <c r="K104" s="84" t="e">
        <f>CONCATENATE("A(",C102,")=")</f>
        <v>#VALUE!</v>
      </c>
      <c r="L104" s="84" t="e">
        <f>VLOOKUP(C102,STN_TABLE,3,FALSE)</f>
        <v>#VALUE!</v>
      </c>
      <c r="M104" t="str">
        <f>CONCATENATE("A(",C104,")=")</f>
        <v>A(  )=</v>
      </c>
      <c r="N104" t="e">
        <f>J104+L104</f>
        <v>#VALUE!</v>
      </c>
      <c r="O104" s="99">
        <f>O103+1</f>
        <v>17</v>
      </c>
      <c r="P104" s="99" t="str">
        <f t="shared" si="44"/>
        <v xml:space="preserve">  </v>
      </c>
      <c r="Q104" s="82" t="e">
        <f>IF(P104-P103=P103-P102,P104,IF(P105-P103=P103-P102,P105,IF(P104-P103=P103-P101,P104,IF(P105-P103=P103-P101,P105,"-"))))</f>
        <v>#VALUE!</v>
      </c>
      <c r="R104" s="83" t="e">
        <f>VLOOKUP(Q104,STN_TABLE,2,FALSE)</f>
        <v>#VALUE!</v>
      </c>
      <c r="S104" s="83">
        <v>-1</v>
      </c>
      <c r="T104" s="82" t="e">
        <f>R104*S104</f>
        <v>#VALUE!</v>
      </c>
      <c r="U104" s="88">
        <v>-1</v>
      </c>
      <c r="V104" s="82" t="e">
        <f>R104*U104</f>
        <v>#VALUE!</v>
      </c>
      <c r="W104" s="84" t="str">
        <f>CONCATENATE("a'(",Q103,")=")</f>
        <v>a'(  )=</v>
      </c>
      <c r="X104" s="84" t="e">
        <f>2*X102/12*T105</f>
        <v>#VALUE!</v>
      </c>
      <c r="Y104" s="84" t="e">
        <f>CONCATENATE("A(",Q102,")=")</f>
        <v>#VALUE!</v>
      </c>
      <c r="Z104" s="84" t="e">
        <f>VLOOKUP(Q102,STN_TABLE,3,FALSE)</f>
        <v>#VALUE!</v>
      </c>
      <c r="AA104" t="str">
        <f>CONCATENATE("A(",Q103,")=")</f>
        <v>A(  )=</v>
      </c>
      <c r="AB104" t="e">
        <f>X104+Z104</f>
        <v>#VALUE!</v>
      </c>
      <c r="AC104" s="99">
        <f>AC103+1</f>
        <v>16</v>
      </c>
      <c r="AD104" s="100" t="str">
        <f>VLOOKUP(AC104,STN_TABLE_2,2,FALSE)</f>
        <v xml:space="preserve">  </v>
      </c>
      <c r="AE104" s="82" t="str">
        <f>VLOOKUP(AD104,STN_TABLE,2,FALSE)</f>
        <v xml:space="preserve">  </v>
      </c>
      <c r="AF104" s="82">
        <v>2</v>
      </c>
      <c r="AG104" s="83" t="e">
        <f>AE104*AF104</f>
        <v>#VALUE!</v>
      </c>
      <c r="AH104" s="84" t="str">
        <f>CONCATENATE("a'(",AD104,")=")</f>
        <v>a'(  )=</v>
      </c>
      <c r="AI104" s="84" t="e">
        <f>2*AI102/2*AE105</f>
        <v>#VALUE!</v>
      </c>
      <c r="AJ104" s="84" t="str">
        <f>CONCATENATE("A(",AD103,")=")</f>
        <v>A(  )=</v>
      </c>
      <c r="AK104" s="84" t="str">
        <f>VLOOKUP(AD103,STN_TABLE,3,FALSE)</f>
        <v xml:space="preserve"> </v>
      </c>
      <c r="AL104" t="str">
        <f>CONCATENATE("A(",AD104,")=")</f>
        <v>A(  )=</v>
      </c>
      <c r="AM104" t="e">
        <f>AI104+AK104</f>
        <v>#VALUE!</v>
      </c>
      <c r="AO104" s="68" t="str">
        <f>AA104</f>
        <v>A(  )=</v>
      </c>
      <c r="AP104" s="68" t="e">
        <f>VLOOKUP(AO104,Rise_Results,2,FALSE)</f>
        <v>#N/A</v>
      </c>
      <c r="AQ104" s="76" t="e">
        <f>N104</f>
        <v>#VALUE!</v>
      </c>
      <c r="AR104" s="76" t="e">
        <f>IF(OR(AB104&lt;=0,AB105&lt;=0),1/0,AB104)</f>
        <v>#VALUE!</v>
      </c>
      <c r="AS104" s="76" t="e">
        <f>AM104</f>
        <v>#VALUE!</v>
      </c>
      <c r="AT104" t="e">
        <f>IFERROR(AP104,IFERROR(AQ104,IFERROR(AR104,AS104)))</f>
        <v>#VALUE!</v>
      </c>
      <c r="AU104" s="81"/>
    </row>
    <row r="105" spans="1:47" x14ac:dyDescent="0.25">
      <c r="A105" s="84">
        <f>A104+1</f>
        <v>16</v>
      </c>
      <c r="B105" s="84" t="str">
        <f t="shared" si="27"/>
        <v xml:space="preserve">  </v>
      </c>
      <c r="F105" s="82" t="e">
        <f>SUM(F102:F104)</f>
        <v>#VALUE!</v>
      </c>
      <c r="H105" s="82" t="e">
        <f>SUM(H102:H104)</f>
        <v>#VALUE!</v>
      </c>
      <c r="I105" s="84" t="str">
        <f>CONCATENATE("m'(",C104,")=")</f>
        <v>m'(  )=</v>
      </c>
      <c r="J105" s="84" t="e">
        <f>2*(J102*(WLS))/3*H105</f>
        <v>#VALUE!</v>
      </c>
      <c r="K105" s="84" t="e">
        <f>CONCATENATE("M(",C102,")=")</f>
        <v>#VALUE!</v>
      </c>
      <c r="L105" s="84" t="e">
        <f>VLOOKUP(C102,STN_TABLE,4,FALSE)</f>
        <v>#VALUE!</v>
      </c>
      <c r="M105" t="str">
        <f>CONCATENATE("M(",C104,")=")</f>
        <v>M(  )=</v>
      </c>
      <c r="N105" t="e">
        <f>J105+L105</f>
        <v>#VALUE!</v>
      </c>
      <c r="O105" s="99">
        <f>O104+1</f>
        <v>18</v>
      </c>
      <c r="P105" s="99" t="str">
        <f t="shared" si="44"/>
        <v xml:space="preserve">  </v>
      </c>
      <c r="T105" s="89" t="e">
        <f>SUM(T102:T104)</f>
        <v>#VALUE!</v>
      </c>
      <c r="V105" s="82" t="e">
        <f>SUM(V102:V104)</f>
        <v>#VALUE!</v>
      </c>
      <c r="W105" s="84" t="str">
        <f>CONCATENATE("m'(",Q103,")=")</f>
        <v>m'(  )=</v>
      </c>
      <c r="X105" s="84" t="e">
        <f>(2*(X102^2)/24*V105)+(X104*Q102*WLS)</f>
        <v>#VALUE!</v>
      </c>
      <c r="Y105" s="84" t="e">
        <f>CONCATENATE("M(",Q102,")=")</f>
        <v>#VALUE!</v>
      </c>
      <c r="Z105" s="84" t="e">
        <f>VLOOKUP(Q102,STN_TABLE,4,FALSE)</f>
        <v>#VALUE!</v>
      </c>
      <c r="AA105" t="str">
        <f>CONCATENATE("M(",Q103,")=")</f>
        <v>M(  )=</v>
      </c>
      <c r="AB105" t="e">
        <f>X105+Z105</f>
        <v>#VALUE!</v>
      </c>
      <c r="AE105" s="89">
        <f>SUM(AE103:AE104)</f>
        <v>0</v>
      </c>
      <c r="AG105" s="89" t="e">
        <f>SUM(AG103:AG104)</f>
        <v>#VALUE!</v>
      </c>
      <c r="AH105" s="84" t="str">
        <f>CONCATENATE("m'(",AD104,")=")</f>
        <v>m'(  )=</v>
      </c>
      <c r="AI105" s="84" t="e">
        <f>(2*(AI102^2)/6*AG105)+(AI104*AD103*WLS)</f>
        <v>#VALUE!</v>
      </c>
      <c r="AJ105" s="84" t="str">
        <f>CONCATENATE("M(",AD103,")=")</f>
        <v>M(  )=</v>
      </c>
      <c r="AK105" s="84" t="str">
        <f>VLOOKUP(AD103,STN_TABLE,4,FALSE)</f>
        <v xml:space="preserve"> </v>
      </c>
      <c r="AL105" t="str">
        <f>CONCATENATE("M(",AD104,")=")</f>
        <v>M(  )=</v>
      </c>
      <c r="AM105" t="e">
        <f>AI105+AK105</f>
        <v>#VALUE!</v>
      </c>
      <c r="AO105" s="82" t="str">
        <f>AA105</f>
        <v>M(  )=</v>
      </c>
      <c r="AP105" s="82" t="e">
        <f>VLOOKUP(AO105,Rise_Results,2,FALSE)</f>
        <v>#N/A</v>
      </c>
      <c r="AQ105" s="82" t="e">
        <f>N105</f>
        <v>#VALUE!</v>
      </c>
      <c r="AR105" s="82" t="e">
        <f>IF(OR(AB104&lt;=0,AB105&lt;=0),1/0,AB105)</f>
        <v>#VALUE!</v>
      </c>
      <c r="AS105" s="82" t="e">
        <f>AM105</f>
        <v>#VALUE!</v>
      </c>
      <c r="AT105" t="e">
        <f>IFERROR(AP105,IFERROR(AQ105,IFERROR(AR105,AS105)))</f>
        <v>#VALUE!</v>
      </c>
      <c r="AU105" s="81"/>
    </row>
    <row r="106" spans="1:47" x14ac:dyDescent="0.25">
      <c r="A106" s="101">
        <f>A101+1</f>
        <v>13</v>
      </c>
      <c r="B106" s="101" t="str">
        <f t="shared" ref="B106:B137" si="48">VLOOKUP(A106,STN_TABLE_2,2,FALSE)</f>
        <v xml:space="preserve">  </v>
      </c>
      <c r="O106" s="101">
        <f>O101+1</f>
        <v>15</v>
      </c>
      <c r="P106" s="101" t="str">
        <f t="shared" si="44"/>
        <v xml:space="preserve">  </v>
      </c>
      <c r="AU106" s="81"/>
    </row>
    <row r="107" spans="1:47" x14ac:dyDescent="0.25">
      <c r="A107" s="84">
        <f>A106+1</f>
        <v>14</v>
      </c>
      <c r="B107" s="84" t="str">
        <f t="shared" si="48"/>
        <v xml:space="preserve">  </v>
      </c>
      <c r="C107" s="79" t="e">
        <f t="shared" ref="C107" si="49">IF(C108=B109,IF(C109-C108=C108-B108,B108,IF(C109-C108=C108-B107,B107,"#NA")),IF(C108=B108,IF(C109-C108=C108-B107,B107,IF(C109-C108=C108-B106,B106,"#NA")),"#NA"))</f>
        <v>#VALUE!</v>
      </c>
      <c r="D107" s="68" t="e">
        <f>VLOOKUP(C107,STN_TABLE,2,FALSE)</f>
        <v>#VALUE!</v>
      </c>
      <c r="E107" s="102">
        <v>1</v>
      </c>
      <c r="F107" s="68" t="e">
        <f>D107*E107</f>
        <v>#VALUE!</v>
      </c>
      <c r="G107" s="69" t="e">
        <f>C107</f>
        <v>#VALUE!</v>
      </c>
      <c r="H107" s="69" t="e">
        <f>F107*G107</f>
        <v>#VALUE!</v>
      </c>
      <c r="I107" s="6" t="s">
        <v>93</v>
      </c>
      <c r="J107" s="70" t="e">
        <f>IF(OR(D107=0,D108=0,D109=0),"#NA",IF(AND(C109-C108=C108-C107,C108&lt;&gt;C109,C107&lt;&gt;C108,C107&lt;&gt;C109,D109&lt;&gt;0,OR(D107&lt;&gt;0,D108&lt;&gt;0)),WLS*(C109-C108),"#NA"))</f>
        <v>#VALUE!</v>
      </c>
      <c r="O107" s="99">
        <f>O106+1</f>
        <v>16</v>
      </c>
      <c r="P107" s="99" t="str">
        <f t="shared" si="44"/>
        <v xml:space="preserve">  </v>
      </c>
      <c r="Q107" s="68" t="e">
        <f>IF(OR(P109-P108=P108-P107,P110-P108=P108-P107),P107,IF(OR(P109-P108=P108-P106,P110-P108=P108-P106),P106,"-"))</f>
        <v>#VALUE!</v>
      </c>
      <c r="R107" s="69" t="e">
        <f>VLOOKUP(Q107,STN_TABLE,2,FALSE)</f>
        <v>#VALUE!</v>
      </c>
      <c r="S107" s="69">
        <v>5</v>
      </c>
      <c r="T107" s="68" t="e">
        <f>R107*S107</f>
        <v>#VALUE!</v>
      </c>
      <c r="U107" s="79">
        <v>3</v>
      </c>
      <c r="V107" s="68" t="e">
        <f>R107*U107</f>
        <v>#VALUE!</v>
      </c>
      <c r="W107" s="6" t="s">
        <v>93</v>
      </c>
      <c r="X107" s="70" t="e">
        <f>IF(AND(Q109-Q108=Q108-Q107,NOT(AND(Q107=0,Q108=0)),NOT(AND(Q108=0,Q109=0))),WLS*(Q109-Q108),"#NA")</f>
        <v>#VALUE!</v>
      </c>
      <c r="AD107" s="93"/>
      <c r="AH107" s="6" t="s">
        <v>93</v>
      </c>
      <c r="AI107" s="70" t="e">
        <f>WLS*(AD109-AD108)</f>
        <v>#VALUE!</v>
      </c>
      <c r="AU107" s="81"/>
    </row>
    <row r="108" spans="1:47" x14ac:dyDescent="0.25">
      <c r="A108" s="84">
        <f>A107+1</f>
        <v>15</v>
      </c>
      <c r="B108" s="84" t="str">
        <f t="shared" si="48"/>
        <v xml:space="preserve">  </v>
      </c>
      <c r="C108" s="80" t="e">
        <f t="shared" ref="C108" si="50">IF(OR(B110-B109=B109-B108,B110-B109=B109-B107,B110-B109=B109-B106),B109,IF(OR(B110-B108=B108-B107,B110-B108=B108-B106),B108,IF(B110-B107=B107-B106,B107,"#NA")))</f>
        <v>#VALUE!</v>
      </c>
      <c r="D108" s="76" t="e">
        <f>VLOOKUP(C108,STN_TABLE,2,FALSE)</f>
        <v>#VALUE!</v>
      </c>
      <c r="E108" s="81">
        <v>4</v>
      </c>
      <c r="F108" s="76" t="e">
        <f>D108*E108</f>
        <v>#VALUE!</v>
      </c>
      <c r="G108" s="77" t="e">
        <f>C108</f>
        <v>#VALUE!</v>
      </c>
      <c r="H108" s="77" t="e">
        <f>F108*G108</f>
        <v>#VALUE!</v>
      </c>
      <c r="I108" s="495" t="s">
        <v>97</v>
      </c>
      <c r="J108" s="496"/>
      <c r="K108" s="78" t="s">
        <v>98</v>
      </c>
      <c r="L108" s="78"/>
      <c r="M108" s="7" t="s">
        <v>99</v>
      </c>
      <c r="N108" s="7"/>
      <c r="O108" s="99">
        <f>O107+1</f>
        <v>17</v>
      </c>
      <c r="P108" s="99" t="str">
        <f t="shared" si="44"/>
        <v xml:space="preserve">  </v>
      </c>
      <c r="Q108" s="76" t="str">
        <f>P108</f>
        <v xml:space="preserve">  </v>
      </c>
      <c r="R108" s="77" t="str">
        <f>VLOOKUP(Q108,STN_TABLE,2,FALSE)</f>
        <v xml:space="preserve">  </v>
      </c>
      <c r="S108" s="77">
        <v>8</v>
      </c>
      <c r="T108" s="76" t="e">
        <f>R108*S108</f>
        <v>#VALUE!</v>
      </c>
      <c r="U108" s="80">
        <v>10</v>
      </c>
      <c r="V108" s="76" t="e">
        <f>R108*U108</f>
        <v>#VALUE!</v>
      </c>
      <c r="W108" s="496" t="s">
        <v>97</v>
      </c>
      <c r="X108" s="496"/>
      <c r="Y108" s="496" t="s">
        <v>98</v>
      </c>
      <c r="Z108" s="496"/>
      <c r="AA108" s="494" t="s">
        <v>99</v>
      </c>
      <c r="AB108" s="494"/>
      <c r="AC108" s="99">
        <f>AC103+1</f>
        <v>16</v>
      </c>
      <c r="AD108" s="95" t="str">
        <f>VLOOKUP(AC108,STN_TABLE_2,2,FALSE)</f>
        <v xml:space="preserve">  </v>
      </c>
      <c r="AE108" s="68" t="str">
        <f>VLOOKUP(AD108,STN_TABLE,2,FALSE)</f>
        <v xml:space="preserve">  </v>
      </c>
      <c r="AF108" s="68">
        <v>1</v>
      </c>
      <c r="AG108" s="69" t="e">
        <f>AE108*AF108</f>
        <v>#VALUE!</v>
      </c>
      <c r="AH108" s="496" t="s">
        <v>97</v>
      </c>
      <c r="AI108" s="496"/>
      <c r="AJ108" s="496" t="s">
        <v>98</v>
      </c>
      <c r="AK108" s="496"/>
      <c r="AL108" s="494" t="s">
        <v>99</v>
      </c>
      <c r="AM108" s="494"/>
      <c r="AP108" s="86" t="s">
        <v>112</v>
      </c>
      <c r="AQ108" s="89" t="s">
        <v>113</v>
      </c>
      <c r="AR108" s="89" t="s">
        <v>114</v>
      </c>
      <c r="AS108" s="89" t="s">
        <v>115</v>
      </c>
      <c r="AU108" s="81"/>
    </row>
    <row r="109" spans="1:47" x14ac:dyDescent="0.25">
      <c r="A109" s="84">
        <f>A108+1</f>
        <v>16</v>
      </c>
      <c r="B109" s="84" t="str">
        <f t="shared" si="48"/>
        <v xml:space="preserve">  </v>
      </c>
      <c r="C109" s="88" t="str">
        <f t="shared" ref="C109" si="51">B110</f>
        <v xml:space="preserve">  </v>
      </c>
      <c r="D109" s="82" t="str">
        <f>VLOOKUP(C109,STN_TABLE,2,FALSE)</f>
        <v xml:space="preserve">  </v>
      </c>
      <c r="E109" s="92">
        <v>1</v>
      </c>
      <c r="F109" s="82" t="e">
        <f>D109*E109</f>
        <v>#VALUE!</v>
      </c>
      <c r="G109" s="83" t="str">
        <f>C109</f>
        <v xml:space="preserve">  </v>
      </c>
      <c r="H109" s="83" t="e">
        <f>F109*G109</f>
        <v>#VALUE!</v>
      </c>
      <c r="I109" s="84" t="str">
        <f>CONCATENATE("a'(",C109,")=")</f>
        <v>a'(  )=</v>
      </c>
      <c r="J109" s="84" t="e">
        <f>2*J107/3*F110</f>
        <v>#VALUE!</v>
      </c>
      <c r="K109" s="84" t="e">
        <f>CONCATENATE("A(",C107,")=")</f>
        <v>#VALUE!</v>
      </c>
      <c r="L109" s="84" t="e">
        <f>VLOOKUP(C107,STN_TABLE,3,FALSE)</f>
        <v>#VALUE!</v>
      </c>
      <c r="M109" t="str">
        <f>CONCATENATE("A(",C109,")=")</f>
        <v>A(  )=</v>
      </c>
      <c r="N109" t="e">
        <f>J109+L109</f>
        <v>#VALUE!</v>
      </c>
      <c r="O109" s="99">
        <f>O108+1</f>
        <v>18</v>
      </c>
      <c r="P109" s="99" t="str">
        <f t="shared" si="44"/>
        <v xml:space="preserve">  </v>
      </c>
      <c r="Q109" s="82" t="e">
        <f>IF(P109-P108=P108-P107,P109,IF(P110-P108=P108-P107,P110,IF(P109-P108=P108-P106,P109,IF(P110-P108=P108-P106,P110,"-"))))</f>
        <v>#VALUE!</v>
      </c>
      <c r="R109" s="83" t="e">
        <f>VLOOKUP(Q109,STN_TABLE,2,FALSE)</f>
        <v>#VALUE!</v>
      </c>
      <c r="S109" s="83">
        <v>-1</v>
      </c>
      <c r="T109" s="82" t="e">
        <f>R109*S109</f>
        <v>#VALUE!</v>
      </c>
      <c r="U109" s="88">
        <v>-1</v>
      </c>
      <c r="V109" s="82" t="e">
        <f>R109*U109</f>
        <v>#VALUE!</v>
      </c>
      <c r="W109" s="84" t="str">
        <f>CONCATENATE("a'(",Q108,")=")</f>
        <v>a'(  )=</v>
      </c>
      <c r="X109" s="84" t="e">
        <f>2*X107/12*T110</f>
        <v>#VALUE!</v>
      </c>
      <c r="Y109" s="84" t="e">
        <f>CONCATENATE("A(",Q107,")=")</f>
        <v>#VALUE!</v>
      </c>
      <c r="Z109" s="84" t="e">
        <f>VLOOKUP(Q107,STN_TABLE,3,FALSE)</f>
        <v>#VALUE!</v>
      </c>
      <c r="AA109" t="str">
        <f>CONCATENATE("A(",Q108,")=")</f>
        <v>A(  )=</v>
      </c>
      <c r="AB109" t="e">
        <f>X109+Z109</f>
        <v>#VALUE!</v>
      </c>
      <c r="AC109" s="99">
        <f>AC108+1</f>
        <v>17</v>
      </c>
      <c r="AD109" s="100" t="str">
        <f>VLOOKUP(AC109,STN_TABLE_2,2,FALSE)</f>
        <v xml:space="preserve">  </v>
      </c>
      <c r="AE109" s="82" t="str">
        <f>VLOOKUP(AD109,STN_TABLE,2,FALSE)</f>
        <v xml:space="preserve">  </v>
      </c>
      <c r="AF109" s="82">
        <v>2</v>
      </c>
      <c r="AG109" s="83" t="e">
        <f>AE109*AF109</f>
        <v>#VALUE!</v>
      </c>
      <c r="AH109" s="84" t="str">
        <f>CONCATENATE("a'(",AD109,")=")</f>
        <v>a'(  )=</v>
      </c>
      <c r="AI109" s="84" t="e">
        <f>2*AI107/2*AE110</f>
        <v>#VALUE!</v>
      </c>
      <c r="AJ109" s="84" t="str">
        <f>CONCATENATE("A(",AD108,")=")</f>
        <v>A(  )=</v>
      </c>
      <c r="AK109" s="84" t="str">
        <f>VLOOKUP(AD108,STN_TABLE,3,FALSE)</f>
        <v xml:space="preserve"> </v>
      </c>
      <c r="AL109" t="str">
        <f>CONCATENATE("A(",AD109,")=")</f>
        <v>A(  )=</v>
      </c>
      <c r="AM109" t="e">
        <f>AI109+AK109</f>
        <v>#VALUE!</v>
      </c>
      <c r="AO109" s="68" t="str">
        <f>AA109</f>
        <v>A(  )=</v>
      </c>
      <c r="AP109" s="68" t="e">
        <f>VLOOKUP(AO109,Rise_Results,2,FALSE)</f>
        <v>#N/A</v>
      </c>
      <c r="AQ109" s="76" t="e">
        <f>N109</f>
        <v>#VALUE!</v>
      </c>
      <c r="AR109" s="76" t="e">
        <f>IF(OR(AB109&lt;=0,AB110&lt;=0),1/0,AB109)</f>
        <v>#VALUE!</v>
      </c>
      <c r="AS109" s="76" t="e">
        <f>AM109</f>
        <v>#VALUE!</v>
      </c>
      <c r="AT109" t="e">
        <f>IFERROR(AP109,IFERROR(AQ109,IFERROR(AR109,AS109)))</f>
        <v>#VALUE!</v>
      </c>
      <c r="AU109" s="81"/>
    </row>
    <row r="110" spans="1:47" x14ac:dyDescent="0.25">
      <c r="A110" s="84">
        <f>A109+1</f>
        <v>17</v>
      </c>
      <c r="B110" s="84" t="str">
        <f t="shared" si="48"/>
        <v xml:space="preserve">  </v>
      </c>
      <c r="F110" s="82" t="e">
        <f>SUM(F107:F109)</f>
        <v>#VALUE!</v>
      </c>
      <c r="H110" s="82" t="e">
        <f>SUM(H107:H109)</f>
        <v>#VALUE!</v>
      </c>
      <c r="I110" s="84" t="str">
        <f>CONCATENATE("m'(",C109,")=")</f>
        <v>m'(  )=</v>
      </c>
      <c r="J110" s="84" t="e">
        <f>2*(J107*(WLS))/3*H110</f>
        <v>#VALUE!</v>
      </c>
      <c r="K110" s="84" t="e">
        <f>CONCATENATE("M(",C107,")=")</f>
        <v>#VALUE!</v>
      </c>
      <c r="L110" s="84" t="e">
        <f>VLOOKUP(C107,STN_TABLE,4,FALSE)</f>
        <v>#VALUE!</v>
      </c>
      <c r="M110" t="str">
        <f>CONCATENATE("M(",C109,")=")</f>
        <v>M(  )=</v>
      </c>
      <c r="N110" t="e">
        <f>J110+L110</f>
        <v>#VALUE!</v>
      </c>
      <c r="O110" s="99">
        <f>O109+1</f>
        <v>19</v>
      </c>
      <c r="P110" s="99" t="str">
        <f t="shared" si="44"/>
        <v xml:space="preserve">  </v>
      </c>
      <c r="T110" s="89" t="e">
        <f>SUM(T107:T109)</f>
        <v>#VALUE!</v>
      </c>
      <c r="V110" s="82" t="e">
        <f>SUM(V107:V109)</f>
        <v>#VALUE!</v>
      </c>
      <c r="W110" s="84" t="str">
        <f>CONCATENATE("m'(",Q108,")=")</f>
        <v>m'(  )=</v>
      </c>
      <c r="X110" s="84" t="e">
        <f>(2*(X107^2)/24*V110)+(X109*Q107*WLS)</f>
        <v>#VALUE!</v>
      </c>
      <c r="Y110" s="84" t="e">
        <f>CONCATENATE("M(",Q107,")=")</f>
        <v>#VALUE!</v>
      </c>
      <c r="Z110" s="84" t="e">
        <f>VLOOKUP(Q107,STN_TABLE,4,FALSE)</f>
        <v>#VALUE!</v>
      </c>
      <c r="AA110" t="str">
        <f>CONCATENATE("M(",Q108,")=")</f>
        <v>M(  )=</v>
      </c>
      <c r="AB110" t="e">
        <f>X110+Z110</f>
        <v>#VALUE!</v>
      </c>
      <c r="AE110" s="89">
        <f>SUM(AE108:AE109)</f>
        <v>0</v>
      </c>
      <c r="AG110" s="89" t="e">
        <f>SUM(AG108:AG109)</f>
        <v>#VALUE!</v>
      </c>
      <c r="AH110" s="84" t="str">
        <f>CONCATENATE("m'(",AD109,")=")</f>
        <v>m'(  )=</v>
      </c>
      <c r="AI110" s="84" t="e">
        <f>(2*(AI107^2)/6*AG110)+(AI109*AD108*WLS)</f>
        <v>#VALUE!</v>
      </c>
      <c r="AJ110" s="84" t="str">
        <f>CONCATENATE("M(",AD108,")=")</f>
        <v>M(  )=</v>
      </c>
      <c r="AK110" s="84" t="str">
        <f>VLOOKUP(AD108,STN_TABLE,4,FALSE)</f>
        <v xml:space="preserve"> </v>
      </c>
      <c r="AL110" t="str">
        <f>CONCATENATE("M(",AD109,")=")</f>
        <v>M(  )=</v>
      </c>
      <c r="AM110" t="e">
        <f>AI110+AK110</f>
        <v>#VALUE!</v>
      </c>
      <c r="AO110" s="82" t="str">
        <f>AA110</f>
        <v>M(  )=</v>
      </c>
      <c r="AP110" s="82" t="e">
        <f>VLOOKUP(AO110,Rise_Results,2,FALSE)</f>
        <v>#N/A</v>
      </c>
      <c r="AQ110" s="82" t="e">
        <f>N110</f>
        <v>#VALUE!</v>
      </c>
      <c r="AR110" s="82" t="e">
        <f>IF(OR(AB109&lt;=0,AB110&lt;=0),1/0,AB110)</f>
        <v>#VALUE!</v>
      </c>
      <c r="AS110" s="82" t="e">
        <f>AM110</f>
        <v>#VALUE!</v>
      </c>
      <c r="AT110" t="e">
        <f>IFERROR(AP110,IFERROR(AQ110,IFERROR(AR110,AS110)))</f>
        <v>#VALUE!</v>
      </c>
      <c r="AU110" s="81"/>
    </row>
    <row r="111" spans="1:47" x14ac:dyDescent="0.25">
      <c r="A111" s="101">
        <f>A106+1</f>
        <v>14</v>
      </c>
      <c r="B111" s="101" t="str">
        <f t="shared" si="48"/>
        <v xml:space="preserve">  </v>
      </c>
      <c r="O111" s="101">
        <f>O106+1</f>
        <v>16</v>
      </c>
      <c r="P111" s="101" t="str">
        <f t="shared" si="44"/>
        <v xml:space="preserve">  </v>
      </c>
      <c r="AU111" s="81"/>
    </row>
    <row r="112" spans="1:47" x14ac:dyDescent="0.25">
      <c r="A112" s="84">
        <f>A111+1</f>
        <v>15</v>
      </c>
      <c r="B112" s="84" t="str">
        <f t="shared" si="48"/>
        <v xml:space="preserve">  </v>
      </c>
      <c r="C112" s="79" t="e">
        <f t="shared" ref="C112" si="52">IF(C113=B114,IF(C114-C113=C113-B113,B113,IF(C114-C113=C113-B112,B112,"#NA")),IF(C113=B113,IF(C114-C113=C113-B112,B112,IF(C114-C113=C113-B111,B111,"#NA")),"#NA"))</f>
        <v>#VALUE!</v>
      </c>
      <c r="D112" s="68" t="e">
        <f>VLOOKUP(C112,STN_TABLE,2,FALSE)</f>
        <v>#VALUE!</v>
      </c>
      <c r="E112" s="102">
        <v>1</v>
      </c>
      <c r="F112" s="68" t="e">
        <f>D112*E112</f>
        <v>#VALUE!</v>
      </c>
      <c r="G112" s="69" t="e">
        <f>C112</f>
        <v>#VALUE!</v>
      </c>
      <c r="H112" s="69" t="e">
        <f>F112*G112</f>
        <v>#VALUE!</v>
      </c>
      <c r="I112" s="6" t="s">
        <v>93</v>
      </c>
      <c r="J112" s="70" t="e">
        <f>IF(OR(D112=0,D113=0,D114=0),"#NA",IF(AND(C114-C113=C113-C112,C113&lt;&gt;C114,C112&lt;&gt;C113,C112&lt;&gt;C114,D114&lt;&gt;0,OR(D112&lt;&gt;0,D113&lt;&gt;0)),WLS*(C114-C113),"#NA"))</f>
        <v>#VALUE!</v>
      </c>
      <c r="O112" s="99">
        <f>O111+1</f>
        <v>17</v>
      </c>
      <c r="P112" s="99" t="str">
        <f t="shared" si="44"/>
        <v xml:space="preserve">  </v>
      </c>
      <c r="Q112" s="68" t="e">
        <f>IF(OR(P114-P113=P113-P112,P115-P113=P113-P112),P112,IF(OR(P114-P113=P113-P111,P115-P113=P113-P111),P111,"-"))</f>
        <v>#VALUE!</v>
      </c>
      <c r="R112" s="69" t="e">
        <f>VLOOKUP(Q112,STN_TABLE,2,FALSE)</f>
        <v>#VALUE!</v>
      </c>
      <c r="S112" s="69">
        <v>5</v>
      </c>
      <c r="T112" s="68" t="e">
        <f>R112*S112</f>
        <v>#VALUE!</v>
      </c>
      <c r="U112" s="79">
        <v>3</v>
      </c>
      <c r="V112" s="68" t="e">
        <f>R112*U112</f>
        <v>#VALUE!</v>
      </c>
      <c r="W112" s="6" t="s">
        <v>93</v>
      </c>
      <c r="X112" s="70" t="e">
        <f>IF(AND(Q114-Q113=Q113-Q112,NOT(AND(Q112=0,Q113=0)),NOT(AND(Q113=0,Q114=0))),WLS*(Q114-Q113),"#NA")</f>
        <v>#VALUE!</v>
      </c>
      <c r="AD112" s="93"/>
      <c r="AH112" s="6" t="s">
        <v>93</v>
      </c>
      <c r="AI112" s="70" t="e">
        <f>WLS*(AD114-AD113)</f>
        <v>#VALUE!</v>
      </c>
      <c r="AU112" s="81"/>
    </row>
    <row r="113" spans="1:47" x14ac:dyDescent="0.25">
      <c r="A113" s="84">
        <f>A112+1</f>
        <v>16</v>
      </c>
      <c r="B113" s="84" t="str">
        <f t="shared" si="48"/>
        <v xml:space="preserve">  </v>
      </c>
      <c r="C113" s="80" t="e">
        <f t="shared" ref="C113" si="53">IF(OR(B115-B114=B114-B113,B115-B114=B114-B112,B115-B114=B114-B111),B114,IF(OR(B115-B113=B113-B112,B115-B113=B113-B111),B113,IF(B115-B112=B112-B111,B112,"#NA")))</f>
        <v>#VALUE!</v>
      </c>
      <c r="D113" s="76" t="e">
        <f>VLOOKUP(C113,STN_TABLE,2,FALSE)</f>
        <v>#VALUE!</v>
      </c>
      <c r="E113" s="81">
        <v>4</v>
      </c>
      <c r="F113" s="76" t="e">
        <f>D113*E113</f>
        <v>#VALUE!</v>
      </c>
      <c r="G113" s="77" t="e">
        <f>C113</f>
        <v>#VALUE!</v>
      </c>
      <c r="H113" s="77" t="e">
        <f>F113*G113</f>
        <v>#VALUE!</v>
      </c>
      <c r="I113" s="495" t="s">
        <v>97</v>
      </c>
      <c r="J113" s="496"/>
      <c r="K113" s="78" t="s">
        <v>98</v>
      </c>
      <c r="L113" s="78"/>
      <c r="M113" s="7" t="s">
        <v>99</v>
      </c>
      <c r="N113" s="7"/>
      <c r="O113" s="99">
        <f>O112+1</f>
        <v>18</v>
      </c>
      <c r="P113" s="99" t="str">
        <f t="shared" si="44"/>
        <v xml:space="preserve">  </v>
      </c>
      <c r="Q113" s="76" t="str">
        <f>P113</f>
        <v xml:space="preserve">  </v>
      </c>
      <c r="R113" s="77" t="str">
        <f>VLOOKUP(Q113,STN_TABLE,2,FALSE)</f>
        <v xml:space="preserve">  </v>
      </c>
      <c r="S113" s="77">
        <v>8</v>
      </c>
      <c r="T113" s="76" t="e">
        <f>R113*S113</f>
        <v>#VALUE!</v>
      </c>
      <c r="U113" s="80">
        <v>10</v>
      </c>
      <c r="V113" s="76" t="e">
        <f>R113*U113</f>
        <v>#VALUE!</v>
      </c>
      <c r="W113" s="496" t="s">
        <v>97</v>
      </c>
      <c r="X113" s="496"/>
      <c r="Y113" s="496" t="s">
        <v>98</v>
      </c>
      <c r="Z113" s="496"/>
      <c r="AA113" s="494" t="s">
        <v>99</v>
      </c>
      <c r="AB113" s="494"/>
      <c r="AC113" s="99">
        <f>AC108+1</f>
        <v>17</v>
      </c>
      <c r="AD113" s="95" t="str">
        <f>VLOOKUP(AC113,STN_TABLE_2,2,FALSE)</f>
        <v xml:space="preserve">  </v>
      </c>
      <c r="AE113" s="68" t="str">
        <f>VLOOKUP(AD113,STN_TABLE,2,FALSE)</f>
        <v xml:space="preserve">  </v>
      </c>
      <c r="AF113" s="68">
        <v>1</v>
      </c>
      <c r="AG113" s="69" t="e">
        <f>AE113*AF113</f>
        <v>#VALUE!</v>
      </c>
      <c r="AH113" s="496" t="s">
        <v>97</v>
      </c>
      <c r="AI113" s="496"/>
      <c r="AJ113" s="496" t="s">
        <v>98</v>
      </c>
      <c r="AK113" s="496"/>
      <c r="AL113" s="494" t="s">
        <v>99</v>
      </c>
      <c r="AM113" s="494"/>
      <c r="AP113" s="86" t="s">
        <v>112</v>
      </c>
      <c r="AQ113" s="89" t="s">
        <v>113</v>
      </c>
      <c r="AR113" s="89" t="s">
        <v>114</v>
      </c>
      <c r="AS113" s="89" t="s">
        <v>115</v>
      </c>
      <c r="AU113" s="81"/>
    </row>
    <row r="114" spans="1:47" x14ac:dyDescent="0.25">
      <c r="A114" s="84">
        <f>A113+1</f>
        <v>17</v>
      </c>
      <c r="B114" s="84" t="str">
        <f t="shared" si="48"/>
        <v xml:space="preserve">  </v>
      </c>
      <c r="C114" s="88" t="str">
        <f t="shared" ref="C114" si="54">B115</f>
        <v xml:space="preserve">  </v>
      </c>
      <c r="D114" s="82" t="str">
        <f>VLOOKUP(C114,STN_TABLE,2,FALSE)</f>
        <v xml:space="preserve">  </v>
      </c>
      <c r="E114" s="92">
        <v>1</v>
      </c>
      <c r="F114" s="82" t="e">
        <f>D114*E114</f>
        <v>#VALUE!</v>
      </c>
      <c r="G114" s="83" t="str">
        <f>C114</f>
        <v xml:space="preserve">  </v>
      </c>
      <c r="H114" s="83" t="e">
        <f>F114*G114</f>
        <v>#VALUE!</v>
      </c>
      <c r="I114" s="84" t="str">
        <f>CONCATENATE("a'(",C114,")=")</f>
        <v>a'(  )=</v>
      </c>
      <c r="J114" s="84" t="e">
        <f>2*J112/3*F115</f>
        <v>#VALUE!</v>
      </c>
      <c r="K114" s="84" t="e">
        <f>CONCATENATE("A(",C112,")=")</f>
        <v>#VALUE!</v>
      </c>
      <c r="L114" s="84" t="e">
        <f>VLOOKUP(C112,STN_TABLE,3,FALSE)</f>
        <v>#VALUE!</v>
      </c>
      <c r="M114" t="str">
        <f>CONCATENATE("A(",C114,")=")</f>
        <v>A(  )=</v>
      </c>
      <c r="N114" t="e">
        <f>J114+L114</f>
        <v>#VALUE!</v>
      </c>
      <c r="O114" s="99">
        <f>O113+1</f>
        <v>19</v>
      </c>
      <c r="P114" s="99" t="str">
        <f t="shared" si="44"/>
        <v xml:space="preserve">  </v>
      </c>
      <c r="Q114" s="82" t="e">
        <f>IF(P114-P113=P113-P112,P114,IF(P115-P113=P113-P112,P115,IF(P114-P113=P113-P111,P114,IF(P115-P113=P113-P111,P115,"-"))))</f>
        <v>#VALUE!</v>
      </c>
      <c r="R114" s="83" t="e">
        <f>VLOOKUP(Q114,STN_TABLE,2,FALSE)</f>
        <v>#VALUE!</v>
      </c>
      <c r="S114" s="83">
        <v>-1</v>
      </c>
      <c r="T114" s="82" t="e">
        <f>R114*S114</f>
        <v>#VALUE!</v>
      </c>
      <c r="U114" s="88">
        <v>-1</v>
      </c>
      <c r="V114" s="82" t="e">
        <f>R114*U114</f>
        <v>#VALUE!</v>
      </c>
      <c r="W114" s="84" t="str">
        <f>CONCATENATE("a'(",Q113,")=")</f>
        <v>a'(  )=</v>
      </c>
      <c r="X114" s="84" t="e">
        <f>2*X112/12*T115</f>
        <v>#VALUE!</v>
      </c>
      <c r="Y114" s="84" t="e">
        <f>CONCATENATE("A(",Q112,")=")</f>
        <v>#VALUE!</v>
      </c>
      <c r="Z114" s="84" t="e">
        <f>VLOOKUP(Q112,STN_TABLE,3,FALSE)</f>
        <v>#VALUE!</v>
      </c>
      <c r="AA114" t="str">
        <f>CONCATENATE("A(",Q113,")=")</f>
        <v>A(  )=</v>
      </c>
      <c r="AB114" t="e">
        <f>X114+Z114</f>
        <v>#VALUE!</v>
      </c>
      <c r="AC114" s="99">
        <f>AC113+1</f>
        <v>18</v>
      </c>
      <c r="AD114" s="100" t="str">
        <f>VLOOKUP(AC114,STN_TABLE_2,2,FALSE)</f>
        <v xml:space="preserve">  </v>
      </c>
      <c r="AE114" s="82" t="str">
        <f>VLOOKUP(AD114,STN_TABLE,2,FALSE)</f>
        <v xml:space="preserve">  </v>
      </c>
      <c r="AF114" s="82">
        <v>2</v>
      </c>
      <c r="AG114" s="83" t="e">
        <f>AE114*AF114</f>
        <v>#VALUE!</v>
      </c>
      <c r="AH114" s="84" t="str">
        <f>CONCATENATE("a'(",AD114,")=")</f>
        <v>a'(  )=</v>
      </c>
      <c r="AI114" s="84" t="e">
        <f>2*AI112/2*AE115</f>
        <v>#VALUE!</v>
      </c>
      <c r="AJ114" s="84" t="str">
        <f>CONCATENATE("A(",AD113,")=")</f>
        <v>A(  )=</v>
      </c>
      <c r="AK114" s="84" t="str">
        <f>VLOOKUP(AD113,STN_TABLE,3,FALSE)</f>
        <v xml:space="preserve"> </v>
      </c>
      <c r="AL114" t="str">
        <f>CONCATENATE("A(",AD114,")=")</f>
        <v>A(  )=</v>
      </c>
      <c r="AM114" t="e">
        <f>AI114+AK114</f>
        <v>#VALUE!</v>
      </c>
      <c r="AO114" s="68" t="str">
        <f>AA114</f>
        <v>A(  )=</v>
      </c>
      <c r="AP114" s="68" t="e">
        <f>VLOOKUP(AO114,Rise_Results,2,FALSE)</f>
        <v>#N/A</v>
      </c>
      <c r="AQ114" s="76" t="e">
        <f>N114</f>
        <v>#VALUE!</v>
      </c>
      <c r="AR114" s="76" t="e">
        <f>IF(OR(AB114&lt;=0,AB115&lt;=0),1/0,AB114)</f>
        <v>#VALUE!</v>
      </c>
      <c r="AS114" s="76" t="e">
        <f>AM114</f>
        <v>#VALUE!</v>
      </c>
      <c r="AT114" t="e">
        <f>IFERROR(AP114,IFERROR(AQ114,IFERROR(AR114,AS114)))</f>
        <v>#VALUE!</v>
      </c>
      <c r="AU114" s="81"/>
    </row>
    <row r="115" spans="1:47" x14ac:dyDescent="0.25">
      <c r="A115" s="84">
        <f>A114+1</f>
        <v>18</v>
      </c>
      <c r="B115" s="84" t="str">
        <f t="shared" si="48"/>
        <v xml:space="preserve">  </v>
      </c>
      <c r="F115" s="82" t="e">
        <f>SUM(F112:F114)</f>
        <v>#VALUE!</v>
      </c>
      <c r="H115" s="82" t="e">
        <f>SUM(H112:H114)</f>
        <v>#VALUE!</v>
      </c>
      <c r="I115" s="84" t="str">
        <f>CONCATENATE("m'(",C114,")=")</f>
        <v>m'(  )=</v>
      </c>
      <c r="J115" s="84" t="e">
        <f>2*(J112*(WLS))/3*H115</f>
        <v>#VALUE!</v>
      </c>
      <c r="K115" s="84" t="e">
        <f>CONCATENATE("M(",C112,")=")</f>
        <v>#VALUE!</v>
      </c>
      <c r="L115" s="84" t="e">
        <f>VLOOKUP(C112,STN_TABLE,4,FALSE)</f>
        <v>#VALUE!</v>
      </c>
      <c r="M115" t="str">
        <f>CONCATENATE("M(",C114,")=")</f>
        <v>M(  )=</v>
      </c>
      <c r="N115" t="e">
        <f>J115+L115</f>
        <v>#VALUE!</v>
      </c>
      <c r="O115" s="99">
        <f>O114+1</f>
        <v>20</v>
      </c>
      <c r="P115" s="99" t="str">
        <f t="shared" si="44"/>
        <v xml:space="preserve">  </v>
      </c>
      <c r="T115" s="89" t="e">
        <f>SUM(T112:T114)</f>
        <v>#VALUE!</v>
      </c>
      <c r="V115" s="82" t="e">
        <f>SUM(V112:V114)</f>
        <v>#VALUE!</v>
      </c>
      <c r="W115" s="84" t="str">
        <f>CONCATENATE("m'(",Q113,")=")</f>
        <v>m'(  )=</v>
      </c>
      <c r="X115" s="84" t="e">
        <f>(2*(X112^2)/24*V115)+(X114*Q112*WLS)</f>
        <v>#VALUE!</v>
      </c>
      <c r="Y115" s="84" t="e">
        <f>CONCATENATE("M(",Q112,")=")</f>
        <v>#VALUE!</v>
      </c>
      <c r="Z115" s="84" t="e">
        <f>VLOOKUP(Q112,STN_TABLE,4,FALSE)</f>
        <v>#VALUE!</v>
      </c>
      <c r="AA115" t="str">
        <f>CONCATENATE("M(",Q113,")=")</f>
        <v>M(  )=</v>
      </c>
      <c r="AB115" t="e">
        <f>X115+Z115</f>
        <v>#VALUE!</v>
      </c>
      <c r="AE115" s="89">
        <f>SUM(AE113:AE114)</f>
        <v>0</v>
      </c>
      <c r="AG115" s="89" t="e">
        <f>SUM(AG113:AG114)</f>
        <v>#VALUE!</v>
      </c>
      <c r="AH115" s="84" t="str">
        <f>CONCATENATE("m'(",AD114,")=")</f>
        <v>m'(  )=</v>
      </c>
      <c r="AI115" s="84" t="e">
        <f>(2*(AI112^2)/6*AG115)+(AI114*AD113*WLS)</f>
        <v>#VALUE!</v>
      </c>
      <c r="AJ115" s="84" t="str">
        <f>CONCATENATE("M(",AD113,")=")</f>
        <v>M(  )=</v>
      </c>
      <c r="AK115" s="84" t="str">
        <f>VLOOKUP(AD113,STN_TABLE,4,FALSE)</f>
        <v xml:space="preserve"> </v>
      </c>
      <c r="AL115" t="str">
        <f>CONCATENATE("M(",AD114,")=")</f>
        <v>M(  )=</v>
      </c>
      <c r="AM115" t="e">
        <f>AI115+AK115</f>
        <v>#VALUE!</v>
      </c>
      <c r="AO115" s="82" t="str">
        <f>AA115</f>
        <v>M(  )=</v>
      </c>
      <c r="AP115" s="82" t="e">
        <f>VLOOKUP(AO115,Rise_Results,2,FALSE)</f>
        <v>#N/A</v>
      </c>
      <c r="AQ115" s="82" t="e">
        <f>N115</f>
        <v>#VALUE!</v>
      </c>
      <c r="AR115" s="82" t="e">
        <f>IF(OR(AB114&lt;=0,AB115&lt;=0),1/0,AB115)</f>
        <v>#VALUE!</v>
      </c>
      <c r="AS115" s="82" t="e">
        <f>AM115</f>
        <v>#VALUE!</v>
      </c>
      <c r="AT115" t="e">
        <f>IFERROR(AP115,IFERROR(AQ115,IFERROR(AR115,AS115)))</f>
        <v>#VALUE!</v>
      </c>
      <c r="AU115" s="81"/>
    </row>
    <row r="116" spans="1:47" x14ac:dyDescent="0.25">
      <c r="A116" s="101">
        <f>A111+1</f>
        <v>15</v>
      </c>
      <c r="B116" s="101" t="str">
        <f t="shared" si="48"/>
        <v xml:space="preserve">  </v>
      </c>
      <c r="O116" s="101">
        <f>O111+1</f>
        <v>17</v>
      </c>
      <c r="P116" s="101" t="str">
        <f t="shared" si="44"/>
        <v xml:space="preserve">  </v>
      </c>
      <c r="AU116" s="81"/>
    </row>
    <row r="117" spans="1:47" x14ac:dyDescent="0.25">
      <c r="A117" s="84">
        <f>A116+1</f>
        <v>16</v>
      </c>
      <c r="B117" s="84" t="str">
        <f t="shared" si="48"/>
        <v xml:space="preserve">  </v>
      </c>
      <c r="C117" s="79" t="e">
        <f t="shared" ref="C117" si="55">IF(C118=B119,IF(C119-C118=C118-B118,B118,IF(C119-C118=C118-B117,B117,"#NA")),IF(C118=B118,IF(C119-C118=C118-B117,B117,IF(C119-C118=C118-B116,B116,"#NA")),"#NA"))</f>
        <v>#VALUE!</v>
      </c>
      <c r="D117" s="68" t="e">
        <f>VLOOKUP(C117,STN_TABLE,2,FALSE)</f>
        <v>#VALUE!</v>
      </c>
      <c r="E117" s="102">
        <v>1</v>
      </c>
      <c r="F117" s="68" t="e">
        <f>D117*E117</f>
        <v>#VALUE!</v>
      </c>
      <c r="G117" s="69" t="e">
        <f>C117</f>
        <v>#VALUE!</v>
      </c>
      <c r="H117" s="69" t="e">
        <f>F117*G117</f>
        <v>#VALUE!</v>
      </c>
      <c r="I117" s="6" t="s">
        <v>93</v>
      </c>
      <c r="J117" s="70" t="e">
        <f>IF(OR(D117=0,D118=0,D119=0),"#NA",IF(AND(C119-C118=C118-C117,C118&lt;&gt;C119,C117&lt;&gt;C118,C117&lt;&gt;C119,D119&lt;&gt;0,OR(D117&lt;&gt;0,D118&lt;&gt;0)),WLS*(C119-C118),"#NA"))</f>
        <v>#VALUE!</v>
      </c>
      <c r="O117" s="99">
        <f>O116+1</f>
        <v>18</v>
      </c>
      <c r="P117" s="99" t="str">
        <f t="shared" si="44"/>
        <v xml:space="preserve">  </v>
      </c>
      <c r="Q117" s="68" t="e">
        <f>IF(OR(P119-P118=P118-P117,P120-P118=P118-P117),P117,IF(OR(P119-P118=P118-P116,P120-P118=P118-P116),P116,"-"))</f>
        <v>#VALUE!</v>
      </c>
      <c r="R117" s="69" t="e">
        <f>VLOOKUP(Q117,STN_TABLE,2,FALSE)</f>
        <v>#VALUE!</v>
      </c>
      <c r="S117" s="69">
        <v>5</v>
      </c>
      <c r="T117" s="68" t="e">
        <f>R117*S117</f>
        <v>#VALUE!</v>
      </c>
      <c r="U117" s="79">
        <v>3</v>
      </c>
      <c r="V117" s="68" t="e">
        <f>R117*U117</f>
        <v>#VALUE!</v>
      </c>
      <c r="W117" s="6" t="s">
        <v>93</v>
      </c>
      <c r="X117" s="70" t="e">
        <f>IF(AND(Q119-Q118=Q118-Q117,NOT(AND(Q117=0,Q118=0)),NOT(AND(Q118=0,Q119=0))),WLS*(Q119-Q118),"#NA")</f>
        <v>#VALUE!</v>
      </c>
      <c r="AD117" s="93"/>
      <c r="AH117" s="6" t="s">
        <v>93</v>
      </c>
      <c r="AI117" s="70" t="e">
        <f>WLS*(AD119-AD118)</f>
        <v>#VALUE!</v>
      </c>
      <c r="AU117" s="81"/>
    </row>
    <row r="118" spans="1:47" x14ac:dyDescent="0.25">
      <c r="A118" s="84">
        <f>A117+1</f>
        <v>17</v>
      </c>
      <c r="B118" s="84" t="str">
        <f t="shared" si="48"/>
        <v xml:space="preserve">  </v>
      </c>
      <c r="C118" s="80" t="e">
        <f t="shared" ref="C118" si="56">IF(OR(B120-B119=B119-B118,B120-B119=B119-B117,B120-B119=B119-B116),B119,IF(OR(B120-B118=B118-B117,B120-B118=B118-B116),B118,IF(B120-B117=B117-B116,B117,"#NA")))</f>
        <v>#VALUE!</v>
      </c>
      <c r="D118" s="76" t="e">
        <f>VLOOKUP(C118,STN_TABLE,2,FALSE)</f>
        <v>#VALUE!</v>
      </c>
      <c r="E118" s="81">
        <v>4</v>
      </c>
      <c r="F118" s="76" t="e">
        <f>D118*E118</f>
        <v>#VALUE!</v>
      </c>
      <c r="G118" s="77" t="e">
        <f>C118</f>
        <v>#VALUE!</v>
      </c>
      <c r="H118" s="77" t="e">
        <f>F118*G118</f>
        <v>#VALUE!</v>
      </c>
      <c r="I118" s="495" t="s">
        <v>97</v>
      </c>
      <c r="J118" s="496"/>
      <c r="K118" s="78" t="s">
        <v>98</v>
      </c>
      <c r="L118" s="78"/>
      <c r="M118" s="7" t="s">
        <v>99</v>
      </c>
      <c r="N118" s="7"/>
      <c r="O118" s="99">
        <f>O117+1</f>
        <v>19</v>
      </c>
      <c r="P118" s="99" t="str">
        <f t="shared" si="44"/>
        <v xml:space="preserve">  </v>
      </c>
      <c r="Q118" s="76" t="str">
        <f>P118</f>
        <v xml:space="preserve">  </v>
      </c>
      <c r="R118" s="77" t="str">
        <f>VLOOKUP(Q118,STN_TABLE,2,FALSE)</f>
        <v xml:space="preserve">  </v>
      </c>
      <c r="S118" s="77">
        <v>8</v>
      </c>
      <c r="T118" s="76" t="e">
        <f>R118*S118</f>
        <v>#VALUE!</v>
      </c>
      <c r="U118" s="80">
        <v>10</v>
      </c>
      <c r="V118" s="76" t="e">
        <f>R118*U118</f>
        <v>#VALUE!</v>
      </c>
      <c r="W118" s="496" t="s">
        <v>97</v>
      </c>
      <c r="X118" s="496"/>
      <c r="Y118" s="496" t="s">
        <v>98</v>
      </c>
      <c r="Z118" s="496"/>
      <c r="AA118" s="494" t="s">
        <v>99</v>
      </c>
      <c r="AB118" s="494"/>
      <c r="AC118" s="99">
        <f>AC113+1</f>
        <v>18</v>
      </c>
      <c r="AD118" s="95" t="str">
        <f>VLOOKUP(AC118,STN_TABLE_2,2,FALSE)</f>
        <v xml:space="preserve">  </v>
      </c>
      <c r="AE118" s="68" t="str">
        <f>VLOOKUP(AD118,STN_TABLE,2,FALSE)</f>
        <v xml:space="preserve">  </v>
      </c>
      <c r="AF118" s="68">
        <v>1</v>
      </c>
      <c r="AG118" s="69" t="e">
        <f>AE118*AF118</f>
        <v>#VALUE!</v>
      </c>
      <c r="AH118" s="496" t="s">
        <v>97</v>
      </c>
      <c r="AI118" s="496"/>
      <c r="AJ118" s="496" t="s">
        <v>98</v>
      </c>
      <c r="AK118" s="496"/>
      <c r="AL118" s="494" t="s">
        <v>99</v>
      </c>
      <c r="AM118" s="494"/>
      <c r="AP118" s="86" t="s">
        <v>112</v>
      </c>
      <c r="AQ118" s="89" t="s">
        <v>113</v>
      </c>
      <c r="AR118" s="89" t="s">
        <v>114</v>
      </c>
      <c r="AS118" s="89" t="s">
        <v>115</v>
      </c>
      <c r="AU118" s="81"/>
    </row>
    <row r="119" spans="1:47" x14ac:dyDescent="0.25">
      <c r="A119" s="84">
        <f>A118+1</f>
        <v>18</v>
      </c>
      <c r="B119" s="84" t="str">
        <f t="shared" si="48"/>
        <v xml:space="preserve">  </v>
      </c>
      <c r="C119" s="88" t="str">
        <f t="shared" ref="C119" si="57">B120</f>
        <v xml:space="preserve">  </v>
      </c>
      <c r="D119" s="82" t="str">
        <f>VLOOKUP(C119,STN_TABLE,2,FALSE)</f>
        <v xml:space="preserve">  </v>
      </c>
      <c r="E119" s="92">
        <v>1</v>
      </c>
      <c r="F119" s="82" t="e">
        <f>D119*E119</f>
        <v>#VALUE!</v>
      </c>
      <c r="G119" s="83" t="str">
        <f>C119</f>
        <v xml:space="preserve">  </v>
      </c>
      <c r="H119" s="83" t="e">
        <f>F119*G119</f>
        <v>#VALUE!</v>
      </c>
      <c r="I119" s="84" t="str">
        <f>CONCATENATE("a'(",C119,")=")</f>
        <v>a'(  )=</v>
      </c>
      <c r="J119" s="84" t="e">
        <f>2*J117/3*F120</f>
        <v>#VALUE!</v>
      </c>
      <c r="K119" s="84" t="e">
        <f>CONCATENATE("A(",C117,")=")</f>
        <v>#VALUE!</v>
      </c>
      <c r="L119" s="84" t="e">
        <f>VLOOKUP(C117,STN_TABLE,3,FALSE)</f>
        <v>#VALUE!</v>
      </c>
      <c r="M119" t="str">
        <f>CONCATENATE("A(",C119,")=")</f>
        <v>A(  )=</v>
      </c>
      <c r="N119" t="e">
        <f>J119+L119</f>
        <v>#VALUE!</v>
      </c>
      <c r="O119" s="99">
        <f>O118+1</f>
        <v>20</v>
      </c>
      <c r="P119" s="99" t="str">
        <f t="shared" si="44"/>
        <v xml:space="preserve">  </v>
      </c>
      <c r="Q119" s="82" t="e">
        <f>IF(P119-P118=P118-P117,P119,IF(P120-P118=P118-P117,P120,IF(P119-P118=P118-P116,P119,IF(P120-P118=P118-P116,P120,"-"))))</f>
        <v>#VALUE!</v>
      </c>
      <c r="R119" s="83" t="e">
        <f>VLOOKUP(Q119,STN_TABLE,2,FALSE)</f>
        <v>#VALUE!</v>
      </c>
      <c r="S119" s="83">
        <v>-1</v>
      </c>
      <c r="T119" s="82" t="e">
        <f>R119*S119</f>
        <v>#VALUE!</v>
      </c>
      <c r="U119" s="88">
        <v>-1</v>
      </c>
      <c r="V119" s="82" t="e">
        <f>R119*U119</f>
        <v>#VALUE!</v>
      </c>
      <c r="W119" s="84" t="str">
        <f>CONCATENATE("a'(",Q118,")=")</f>
        <v>a'(  )=</v>
      </c>
      <c r="X119" s="84" t="e">
        <f>2*X117/12*T120</f>
        <v>#VALUE!</v>
      </c>
      <c r="Y119" s="84" t="e">
        <f>CONCATENATE("A(",Q117,")=")</f>
        <v>#VALUE!</v>
      </c>
      <c r="Z119" s="84" t="e">
        <f>VLOOKUP(Q117,STN_TABLE,3,FALSE)</f>
        <v>#VALUE!</v>
      </c>
      <c r="AA119" t="str">
        <f>CONCATENATE("A(",Q118,")=")</f>
        <v>A(  )=</v>
      </c>
      <c r="AB119" t="e">
        <f>X119+Z119</f>
        <v>#VALUE!</v>
      </c>
      <c r="AC119" s="99">
        <f>AC118+1</f>
        <v>19</v>
      </c>
      <c r="AD119" s="100" t="str">
        <f>VLOOKUP(AC119,STN_TABLE_2,2,FALSE)</f>
        <v xml:space="preserve">  </v>
      </c>
      <c r="AE119" s="82" t="str">
        <f>VLOOKUP(AD119,STN_TABLE,2,FALSE)</f>
        <v xml:space="preserve">  </v>
      </c>
      <c r="AF119" s="82">
        <v>2</v>
      </c>
      <c r="AG119" s="83" t="e">
        <f>AE119*AF119</f>
        <v>#VALUE!</v>
      </c>
      <c r="AH119" s="84" t="str">
        <f>CONCATENATE("a'(",AD119,")=")</f>
        <v>a'(  )=</v>
      </c>
      <c r="AI119" s="84" t="e">
        <f>2*AI117/2*AE120</f>
        <v>#VALUE!</v>
      </c>
      <c r="AJ119" s="84" t="str">
        <f>CONCATENATE("A(",AD118,")=")</f>
        <v>A(  )=</v>
      </c>
      <c r="AK119" s="84" t="str">
        <f>VLOOKUP(AD118,STN_TABLE,3,FALSE)</f>
        <v xml:space="preserve"> </v>
      </c>
      <c r="AL119" t="str">
        <f>CONCATENATE("A(",AD119,")=")</f>
        <v>A(  )=</v>
      </c>
      <c r="AM119" t="e">
        <f>AI119+AK119</f>
        <v>#VALUE!</v>
      </c>
      <c r="AO119" s="68" t="str">
        <f>AA119</f>
        <v>A(  )=</v>
      </c>
      <c r="AP119" s="68" t="e">
        <f>VLOOKUP(AO119,Rise_Results,2,FALSE)</f>
        <v>#N/A</v>
      </c>
      <c r="AQ119" s="76" t="e">
        <f>N119</f>
        <v>#VALUE!</v>
      </c>
      <c r="AR119" s="76" t="e">
        <f>IF(OR(AB119&lt;=0,AB120&lt;=0),1/0,AB119)</f>
        <v>#VALUE!</v>
      </c>
      <c r="AS119" s="76" t="e">
        <f>AM119</f>
        <v>#VALUE!</v>
      </c>
      <c r="AT119" t="e">
        <f>IFERROR(AP119,IFERROR(AQ119,IFERROR(AR119,AS119)))</f>
        <v>#VALUE!</v>
      </c>
      <c r="AU119" s="81"/>
    </row>
    <row r="120" spans="1:47" x14ac:dyDescent="0.25">
      <c r="A120" s="84">
        <f>A119+1</f>
        <v>19</v>
      </c>
      <c r="B120" s="84" t="str">
        <f t="shared" si="48"/>
        <v xml:space="preserve">  </v>
      </c>
      <c r="F120" s="82" t="e">
        <f>SUM(F117:F119)</f>
        <v>#VALUE!</v>
      </c>
      <c r="H120" s="82" t="e">
        <f>SUM(H117:H119)</f>
        <v>#VALUE!</v>
      </c>
      <c r="I120" s="84" t="str">
        <f>CONCATENATE("m'(",C119,")=")</f>
        <v>m'(  )=</v>
      </c>
      <c r="J120" s="84" t="e">
        <f>2*(J117*(WLS))/3*H120</f>
        <v>#VALUE!</v>
      </c>
      <c r="K120" s="84" t="e">
        <f>CONCATENATE("M(",C117,")=")</f>
        <v>#VALUE!</v>
      </c>
      <c r="L120" s="84" t="e">
        <f>VLOOKUP(C117,STN_TABLE,4,FALSE)</f>
        <v>#VALUE!</v>
      </c>
      <c r="M120" t="str">
        <f>CONCATENATE("M(",C119,")=")</f>
        <v>M(  )=</v>
      </c>
      <c r="N120" t="e">
        <f>J120+L120</f>
        <v>#VALUE!</v>
      </c>
      <c r="O120" s="99">
        <f>O119+1</f>
        <v>21</v>
      </c>
      <c r="P120" s="99" t="str">
        <f t="shared" si="44"/>
        <v xml:space="preserve">  </v>
      </c>
      <c r="T120" s="89" t="e">
        <f>SUM(T117:T119)</f>
        <v>#VALUE!</v>
      </c>
      <c r="V120" s="82" t="e">
        <f>SUM(V117:V119)</f>
        <v>#VALUE!</v>
      </c>
      <c r="W120" s="84" t="str">
        <f>CONCATENATE("m'(",Q118,")=")</f>
        <v>m'(  )=</v>
      </c>
      <c r="X120" s="84" t="e">
        <f>(2*(X117^2)/24*V120)+(X119*Q117*WLS)</f>
        <v>#VALUE!</v>
      </c>
      <c r="Y120" s="84" t="e">
        <f>CONCATENATE("M(",Q117,")=")</f>
        <v>#VALUE!</v>
      </c>
      <c r="Z120" s="84" t="e">
        <f>VLOOKUP(Q117,STN_TABLE,4,FALSE)</f>
        <v>#VALUE!</v>
      </c>
      <c r="AA120" t="str">
        <f>CONCATENATE("M(",Q118,")=")</f>
        <v>M(  )=</v>
      </c>
      <c r="AB120" t="e">
        <f>X120+Z120</f>
        <v>#VALUE!</v>
      </c>
      <c r="AE120" s="89">
        <f>SUM(AE118:AE119)</f>
        <v>0</v>
      </c>
      <c r="AG120" s="89" t="e">
        <f>SUM(AG118:AG119)</f>
        <v>#VALUE!</v>
      </c>
      <c r="AH120" s="84" t="str">
        <f>CONCATENATE("m'(",AD119,")=")</f>
        <v>m'(  )=</v>
      </c>
      <c r="AI120" s="84" t="e">
        <f>(2*(AI117^2)/6*AG120)+(AI119*AD118*WLS)</f>
        <v>#VALUE!</v>
      </c>
      <c r="AJ120" s="84" t="str">
        <f>CONCATENATE("M(",AD118,")=")</f>
        <v>M(  )=</v>
      </c>
      <c r="AK120" s="84" t="str">
        <f>VLOOKUP(AD118,STN_TABLE,4,FALSE)</f>
        <v xml:space="preserve"> </v>
      </c>
      <c r="AL120" t="str">
        <f>CONCATENATE("M(",AD119,")=")</f>
        <v>M(  )=</v>
      </c>
      <c r="AM120" t="e">
        <f>AI120+AK120</f>
        <v>#VALUE!</v>
      </c>
      <c r="AO120" s="82" t="str">
        <f>AA120</f>
        <v>M(  )=</v>
      </c>
      <c r="AP120" s="82" t="e">
        <f>VLOOKUP(AO120,Rise_Results,2,FALSE)</f>
        <v>#N/A</v>
      </c>
      <c r="AQ120" s="82" t="e">
        <f>N120</f>
        <v>#VALUE!</v>
      </c>
      <c r="AR120" s="82" t="e">
        <f>IF(OR(AB119&lt;=0,AB120&lt;=0),1/0,AB120)</f>
        <v>#VALUE!</v>
      </c>
      <c r="AS120" s="82" t="e">
        <f>AM120</f>
        <v>#VALUE!</v>
      </c>
      <c r="AT120" t="e">
        <f>IFERROR(AP120,IFERROR(AQ120,IFERROR(AR120,AS120)))</f>
        <v>#VALUE!</v>
      </c>
      <c r="AU120" s="81"/>
    </row>
    <row r="121" spans="1:47" x14ac:dyDescent="0.25">
      <c r="A121" s="101">
        <f>A116+1</f>
        <v>16</v>
      </c>
      <c r="B121" s="101" t="str">
        <f t="shared" si="48"/>
        <v xml:space="preserve">  </v>
      </c>
      <c r="O121" s="101">
        <f>O116+1</f>
        <v>18</v>
      </c>
      <c r="P121" s="101" t="str">
        <f t="shared" si="44"/>
        <v xml:space="preserve">  </v>
      </c>
      <c r="AU121" s="81"/>
    </row>
    <row r="122" spans="1:47" x14ac:dyDescent="0.25">
      <c r="A122" s="84">
        <f>A121+1</f>
        <v>17</v>
      </c>
      <c r="B122" s="84" t="str">
        <f t="shared" si="48"/>
        <v xml:space="preserve">  </v>
      </c>
      <c r="C122" s="79" t="e">
        <f t="shared" ref="C122" si="58">IF(C123=B124,IF(C124-C123=C123-B123,B123,IF(C124-C123=C123-B122,B122,"#NA")),IF(C123=B123,IF(C124-C123=C123-B122,B122,IF(C124-C123=C123-B121,B121,"#NA")),"#NA"))</f>
        <v>#VALUE!</v>
      </c>
      <c r="D122" s="68" t="e">
        <f>VLOOKUP(C122,STN_TABLE,2,FALSE)</f>
        <v>#VALUE!</v>
      </c>
      <c r="E122" s="102">
        <v>1</v>
      </c>
      <c r="F122" s="68" t="e">
        <f>D122*E122</f>
        <v>#VALUE!</v>
      </c>
      <c r="G122" s="69" t="e">
        <f>C122</f>
        <v>#VALUE!</v>
      </c>
      <c r="H122" s="69" t="e">
        <f>F122*G122</f>
        <v>#VALUE!</v>
      </c>
      <c r="I122" s="6" t="s">
        <v>93</v>
      </c>
      <c r="J122" s="70" t="e">
        <f>IF(OR(D122=0,D123=0,D124=0),"#NA",IF(AND(C124-C123=C123-C122,C123&lt;&gt;C124,C122&lt;&gt;C123,C122&lt;&gt;C124,D124&lt;&gt;0,OR(D122&lt;&gt;0,D123&lt;&gt;0)),WLS*(C124-C123),"#NA"))</f>
        <v>#VALUE!</v>
      </c>
      <c r="O122" s="99">
        <f>O121+1</f>
        <v>19</v>
      </c>
      <c r="P122" s="99" t="str">
        <f t="shared" si="44"/>
        <v xml:space="preserve">  </v>
      </c>
      <c r="Q122" s="68" t="e">
        <f>IF(OR(P124-P123=P123-P122,P125-P123=P123-P122),P122,IF(OR(P124-P123=P123-P121,P125-P123=P123-P121),P121,"-"))</f>
        <v>#VALUE!</v>
      </c>
      <c r="R122" s="69" t="e">
        <f>VLOOKUP(Q122,STN_TABLE,2,FALSE)</f>
        <v>#VALUE!</v>
      </c>
      <c r="S122" s="69">
        <v>5</v>
      </c>
      <c r="T122" s="68" t="e">
        <f>R122*S122</f>
        <v>#VALUE!</v>
      </c>
      <c r="U122" s="79">
        <v>3</v>
      </c>
      <c r="V122" s="68" t="e">
        <f>R122*U122</f>
        <v>#VALUE!</v>
      </c>
      <c r="W122" s="6" t="s">
        <v>93</v>
      </c>
      <c r="X122" s="70" t="e">
        <f>IF(AND(Q124-Q123=Q123-Q122,NOT(AND(Q122=0,Q123=0)),NOT(AND(Q123=0,Q124=0))),WLS*(Q124-Q123),"#NA")</f>
        <v>#VALUE!</v>
      </c>
      <c r="AD122" s="93"/>
      <c r="AH122" s="6" t="s">
        <v>93</v>
      </c>
      <c r="AI122" s="70" t="e">
        <f>WLS*(AD124-AD123)</f>
        <v>#VALUE!</v>
      </c>
      <c r="AU122" s="81"/>
    </row>
    <row r="123" spans="1:47" x14ac:dyDescent="0.25">
      <c r="A123" s="84">
        <f>A122+1</f>
        <v>18</v>
      </c>
      <c r="B123" s="84" t="str">
        <f t="shared" si="48"/>
        <v xml:space="preserve">  </v>
      </c>
      <c r="C123" s="80" t="e">
        <f t="shared" ref="C123" si="59">IF(OR(B125-B124=B124-B123,B125-B124=B124-B122,B125-B124=B124-B121),B124,IF(OR(B125-B123=B123-B122,B125-B123=B123-B121),B123,IF(B125-B122=B122-B121,B122,"#NA")))</f>
        <v>#VALUE!</v>
      </c>
      <c r="D123" s="76" t="e">
        <f>VLOOKUP(C123,STN_TABLE,2,FALSE)</f>
        <v>#VALUE!</v>
      </c>
      <c r="E123" s="81">
        <v>4</v>
      </c>
      <c r="F123" s="76" t="e">
        <f>D123*E123</f>
        <v>#VALUE!</v>
      </c>
      <c r="G123" s="77" t="e">
        <f>C123</f>
        <v>#VALUE!</v>
      </c>
      <c r="H123" s="77" t="e">
        <f>F123*G123</f>
        <v>#VALUE!</v>
      </c>
      <c r="I123" s="495" t="s">
        <v>97</v>
      </c>
      <c r="J123" s="496"/>
      <c r="K123" s="78" t="s">
        <v>98</v>
      </c>
      <c r="L123" s="78"/>
      <c r="M123" s="7" t="s">
        <v>99</v>
      </c>
      <c r="N123" s="7"/>
      <c r="O123" s="99">
        <f>O122+1</f>
        <v>20</v>
      </c>
      <c r="P123" s="99" t="str">
        <f t="shared" si="44"/>
        <v xml:space="preserve">  </v>
      </c>
      <c r="Q123" s="76" t="str">
        <f>P123</f>
        <v xml:space="preserve">  </v>
      </c>
      <c r="R123" s="77" t="str">
        <f>VLOOKUP(Q123,STN_TABLE,2,FALSE)</f>
        <v xml:space="preserve">  </v>
      </c>
      <c r="S123" s="77">
        <v>8</v>
      </c>
      <c r="T123" s="76" t="e">
        <f>R123*S123</f>
        <v>#VALUE!</v>
      </c>
      <c r="U123" s="80">
        <v>10</v>
      </c>
      <c r="V123" s="76" t="e">
        <f>R123*U123</f>
        <v>#VALUE!</v>
      </c>
      <c r="W123" s="496" t="s">
        <v>97</v>
      </c>
      <c r="X123" s="496"/>
      <c r="Y123" s="496" t="s">
        <v>98</v>
      </c>
      <c r="Z123" s="496"/>
      <c r="AA123" s="494" t="s">
        <v>99</v>
      </c>
      <c r="AB123" s="494"/>
      <c r="AC123" s="99">
        <f>AC118+1</f>
        <v>19</v>
      </c>
      <c r="AD123" s="95" t="str">
        <f>VLOOKUP(AC123,STN_TABLE_2,2,FALSE)</f>
        <v xml:space="preserve">  </v>
      </c>
      <c r="AE123" s="68" t="str">
        <f>VLOOKUP(AD123,STN_TABLE,2,FALSE)</f>
        <v xml:space="preserve">  </v>
      </c>
      <c r="AF123" s="68">
        <v>1</v>
      </c>
      <c r="AG123" s="69" t="e">
        <f>AE123*AF123</f>
        <v>#VALUE!</v>
      </c>
      <c r="AH123" s="496" t="s">
        <v>97</v>
      </c>
      <c r="AI123" s="496"/>
      <c r="AJ123" s="496" t="s">
        <v>98</v>
      </c>
      <c r="AK123" s="496"/>
      <c r="AL123" s="494" t="s">
        <v>99</v>
      </c>
      <c r="AM123" s="494"/>
      <c r="AP123" s="86" t="s">
        <v>112</v>
      </c>
      <c r="AQ123" s="89" t="s">
        <v>113</v>
      </c>
      <c r="AR123" s="89" t="s">
        <v>114</v>
      </c>
      <c r="AS123" s="89" t="s">
        <v>115</v>
      </c>
      <c r="AU123" s="81"/>
    </row>
    <row r="124" spans="1:47" x14ac:dyDescent="0.25">
      <c r="A124" s="84">
        <f>A123+1</f>
        <v>19</v>
      </c>
      <c r="B124" s="84" t="str">
        <f t="shared" si="48"/>
        <v xml:space="preserve">  </v>
      </c>
      <c r="C124" s="88" t="str">
        <f t="shared" ref="C124" si="60">B125</f>
        <v xml:space="preserve">  </v>
      </c>
      <c r="D124" s="82" t="str">
        <f>VLOOKUP(C124,STN_TABLE,2,FALSE)</f>
        <v xml:space="preserve">  </v>
      </c>
      <c r="E124" s="92">
        <v>1</v>
      </c>
      <c r="F124" s="82" t="e">
        <f>D124*E124</f>
        <v>#VALUE!</v>
      </c>
      <c r="G124" s="83" t="str">
        <f>C124</f>
        <v xml:space="preserve">  </v>
      </c>
      <c r="H124" s="83" t="e">
        <f>F124*G124</f>
        <v>#VALUE!</v>
      </c>
      <c r="I124" s="84" t="str">
        <f>CONCATENATE("a'(",C124,")=")</f>
        <v>a'(  )=</v>
      </c>
      <c r="J124" s="84" t="e">
        <f>2*J122/3*F125</f>
        <v>#VALUE!</v>
      </c>
      <c r="K124" s="84" t="e">
        <f>CONCATENATE("A(",C122,")=")</f>
        <v>#VALUE!</v>
      </c>
      <c r="L124" s="84" t="e">
        <f>VLOOKUP(C122,STN_TABLE,3,FALSE)</f>
        <v>#VALUE!</v>
      </c>
      <c r="M124" t="str">
        <f>CONCATENATE("A(",C124,")=")</f>
        <v>A(  )=</v>
      </c>
      <c r="N124" t="e">
        <f>J124+L124</f>
        <v>#VALUE!</v>
      </c>
      <c r="O124" s="99">
        <f>O123+1</f>
        <v>21</v>
      </c>
      <c r="P124" s="99" t="str">
        <f t="shared" si="44"/>
        <v xml:space="preserve">  </v>
      </c>
      <c r="Q124" s="82" t="e">
        <f>IF(P124-P123=P123-P122,P124,IF(P125-P123=P123-P122,P125,IF(P124-P123=P123-P121,P124,IF(P125-P123=P123-P121,P125,"-"))))</f>
        <v>#VALUE!</v>
      </c>
      <c r="R124" s="83" t="e">
        <f>VLOOKUP(Q124,STN_TABLE,2,FALSE)</f>
        <v>#VALUE!</v>
      </c>
      <c r="S124" s="83">
        <v>-1</v>
      </c>
      <c r="T124" s="82" t="e">
        <f>R124*S124</f>
        <v>#VALUE!</v>
      </c>
      <c r="U124" s="88">
        <v>-1</v>
      </c>
      <c r="V124" s="82" t="e">
        <f>R124*U124</f>
        <v>#VALUE!</v>
      </c>
      <c r="W124" s="84" t="str">
        <f>CONCATENATE("a'(",Q123,")=")</f>
        <v>a'(  )=</v>
      </c>
      <c r="X124" s="84" t="e">
        <f>2*X122/12*T125</f>
        <v>#VALUE!</v>
      </c>
      <c r="Y124" s="84" t="e">
        <f>CONCATENATE("A(",Q122,")=")</f>
        <v>#VALUE!</v>
      </c>
      <c r="Z124" s="84" t="e">
        <f>VLOOKUP(Q122,STN_TABLE,3,FALSE)</f>
        <v>#VALUE!</v>
      </c>
      <c r="AA124" t="str">
        <f>CONCATENATE("A(",Q123,")=")</f>
        <v>A(  )=</v>
      </c>
      <c r="AB124" t="e">
        <f>X124+Z124</f>
        <v>#VALUE!</v>
      </c>
      <c r="AC124" s="99">
        <f>AC123+1</f>
        <v>20</v>
      </c>
      <c r="AD124" s="100" t="str">
        <f>VLOOKUP(AC124,STN_TABLE_2,2,FALSE)</f>
        <v xml:space="preserve">  </v>
      </c>
      <c r="AE124" s="82" t="str">
        <f>VLOOKUP(AD124,STN_TABLE,2,FALSE)</f>
        <v xml:space="preserve">  </v>
      </c>
      <c r="AF124" s="82">
        <v>2</v>
      </c>
      <c r="AG124" s="83" t="e">
        <f>AE124*AF124</f>
        <v>#VALUE!</v>
      </c>
      <c r="AH124" s="84" t="str">
        <f>CONCATENATE("a'(",AD124,")=")</f>
        <v>a'(  )=</v>
      </c>
      <c r="AI124" s="84" t="e">
        <f>2*AI122/2*AE125</f>
        <v>#VALUE!</v>
      </c>
      <c r="AJ124" s="84" t="str">
        <f>CONCATENATE("A(",AD123,")=")</f>
        <v>A(  )=</v>
      </c>
      <c r="AK124" s="84" t="str">
        <f>VLOOKUP(AD123,STN_TABLE,3,FALSE)</f>
        <v xml:space="preserve"> </v>
      </c>
      <c r="AL124" t="str">
        <f>CONCATENATE("A(",AD124,")=")</f>
        <v>A(  )=</v>
      </c>
      <c r="AM124" t="e">
        <f>AI124+AK124</f>
        <v>#VALUE!</v>
      </c>
      <c r="AO124" s="68" t="str">
        <f>AA124</f>
        <v>A(  )=</v>
      </c>
      <c r="AP124" s="68" t="e">
        <f>VLOOKUP(AO124,Rise_Results,2,FALSE)</f>
        <v>#N/A</v>
      </c>
      <c r="AQ124" s="76" t="e">
        <f>N124</f>
        <v>#VALUE!</v>
      </c>
      <c r="AR124" s="76" t="e">
        <f>IF(OR(AB124&lt;=0,AB125&lt;=0),1/0,AB124)</f>
        <v>#VALUE!</v>
      </c>
      <c r="AS124" s="76" t="e">
        <f>AM124</f>
        <v>#VALUE!</v>
      </c>
      <c r="AT124" t="e">
        <f>IFERROR(AP124,IFERROR(AQ124,IFERROR(AR124,AS124)))</f>
        <v>#VALUE!</v>
      </c>
      <c r="AU124" s="81"/>
    </row>
    <row r="125" spans="1:47" x14ac:dyDescent="0.25">
      <c r="A125" s="84">
        <f>A124+1</f>
        <v>20</v>
      </c>
      <c r="B125" s="84" t="str">
        <f t="shared" si="48"/>
        <v xml:space="preserve">  </v>
      </c>
      <c r="F125" s="82" t="e">
        <f>SUM(F122:F124)</f>
        <v>#VALUE!</v>
      </c>
      <c r="H125" s="82" t="e">
        <f>SUM(H122:H124)</f>
        <v>#VALUE!</v>
      </c>
      <c r="I125" s="84" t="str">
        <f>CONCATENATE("m'(",C124,")=")</f>
        <v>m'(  )=</v>
      </c>
      <c r="J125" s="84" t="e">
        <f>2*(J122*(WLS))/3*H125</f>
        <v>#VALUE!</v>
      </c>
      <c r="K125" s="84" t="e">
        <f>CONCATENATE("M(",C122,")=")</f>
        <v>#VALUE!</v>
      </c>
      <c r="L125" s="84" t="e">
        <f>VLOOKUP(C122,STN_TABLE,4,FALSE)</f>
        <v>#VALUE!</v>
      </c>
      <c r="M125" t="str">
        <f>CONCATENATE("M(",C124,")=")</f>
        <v>M(  )=</v>
      </c>
      <c r="N125" t="e">
        <f>J125+L125</f>
        <v>#VALUE!</v>
      </c>
      <c r="O125" s="99">
        <f>O124+1</f>
        <v>22</v>
      </c>
      <c r="P125" s="99" t="str">
        <f t="shared" si="44"/>
        <v xml:space="preserve">  </v>
      </c>
      <c r="T125" s="89" t="e">
        <f>SUM(T122:T124)</f>
        <v>#VALUE!</v>
      </c>
      <c r="V125" s="82" t="e">
        <f>SUM(V122:V124)</f>
        <v>#VALUE!</v>
      </c>
      <c r="W125" s="84" t="str">
        <f>CONCATENATE("m'(",Q123,")=")</f>
        <v>m'(  )=</v>
      </c>
      <c r="X125" s="84" t="e">
        <f>(2*(X122^2)/24*V125)+(X124*Q122*WLS)</f>
        <v>#VALUE!</v>
      </c>
      <c r="Y125" s="84" t="e">
        <f>CONCATENATE("M(",Q122,")=")</f>
        <v>#VALUE!</v>
      </c>
      <c r="Z125" s="84" t="e">
        <f>VLOOKUP(Q122,STN_TABLE,4,FALSE)</f>
        <v>#VALUE!</v>
      </c>
      <c r="AA125" t="str">
        <f>CONCATENATE("M(",Q123,")=")</f>
        <v>M(  )=</v>
      </c>
      <c r="AB125" t="e">
        <f>X125+Z125</f>
        <v>#VALUE!</v>
      </c>
      <c r="AE125" s="89">
        <f>SUM(AE123:AE124)</f>
        <v>0</v>
      </c>
      <c r="AG125" s="89" t="e">
        <f>SUM(AG123:AG124)</f>
        <v>#VALUE!</v>
      </c>
      <c r="AH125" s="84" t="str">
        <f>CONCATENATE("m'(",AD124,")=")</f>
        <v>m'(  )=</v>
      </c>
      <c r="AI125" s="84" t="e">
        <f>(2*(AI122^2)/6*AG125)+(AI124*AD123*WLS)</f>
        <v>#VALUE!</v>
      </c>
      <c r="AJ125" s="84" t="str">
        <f>CONCATENATE("M(",AD123,")=")</f>
        <v>M(  )=</v>
      </c>
      <c r="AK125" s="84" t="str">
        <f>VLOOKUP(AD123,STN_TABLE,4,FALSE)</f>
        <v xml:space="preserve"> </v>
      </c>
      <c r="AL125" t="str">
        <f>CONCATENATE("M(",AD124,")=")</f>
        <v>M(  )=</v>
      </c>
      <c r="AM125" t="e">
        <f>AI125+AK125</f>
        <v>#VALUE!</v>
      </c>
      <c r="AO125" s="82" t="str">
        <f>AA125</f>
        <v>M(  )=</v>
      </c>
      <c r="AP125" s="82" t="e">
        <f>VLOOKUP(AO125,Rise_Results,2,FALSE)</f>
        <v>#N/A</v>
      </c>
      <c r="AQ125" s="82" t="e">
        <f>N125</f>
        <v>#VALUE!</v>
      </c>
      <c r="AR125" s="82" t="e">
        <f>IF(OR(AB124&lt;=0,AB125&lt;=0),1/0,AB125)</f>
        <v>#VALUE!</v>
      </c>
      <c r="AS125" s="82" t="e">
        <f>AM125</f>
        <v>#VALUE!</v>
      </c>
      <c r="AT125" t="e">
        <f>IFERROR(AP125,IFERROR(AQ125,IFERROR(AR125,AS125)))</f>
        <v>#VALUE!</v>
      </c>
      <c r="AU125" s="81"/>
    </row>
    <row r="126" spans="1:47" x14ac:dyDescent="0.25">
      <c r="A126" s="101">
        <f>A121+1</f>
        <v>17</v>
      </c>
      <c r="B126" s="101" t="str">
        <f t="shared" si="48"/>
        <v xml:space="preserve">  </v>
      </c>
      <c r="O126" s="101">
        <f>O121+1</f>
        <v>19</v>
      </c>
      <c r="P126" s="101" t="str">
        <f t="shared" si="44"/>
        <v xml:space="preserve">  </v>
      </c>
      <c r="AU126" s="81"/>
    </row>
    <row r="127" spans="1:47" x14ac:dyDescent="0.25">
      <c r="A127" s="84">
        <f>A126+1</f>
        <v>18</v>
      </c>
      <c r="B127" s="84" t="str">
        <f t="shared" si="48"/>
        <v xml:space="preserve">  </v>
      </c>
      <c r="C127" s="79" t="e">
        <f t="shared" ref="C127" si="61">IF(C128=B129,IF(C129-C128=C128-B128,B128,IF(C129-C128=C128-B127,B127,"#NA")),IF(C128=B128,IF(C129-C128=C128-B127,B127,IF(C129-C128=C128-B126,B126,"#NA")),"#NA"))</f>
        <v>#VALUE!</v>
      </c>
      <c r="D127" s="68" t="e">
        <f>VLOOKUP(C127,STN_TABLE,2,FALSE)</f>
        <v>#VALUE!</v>
      </c>
      <c r="E127" s="102">
        <v>1</v>
      </c>
      <c r="F127" s="68" t="e">
        <f>D127*E127</f>
        <v>#VALUE!</v>
      </c>
      <c r="G127" s="69" t="e">
        <f>C127</f>
        <v>#VALUE!</v>
      </c>
      <c r="H127" s="69" t="e">
        <f>F127*G127</f>
        <v>#VALUE!</v>
      </c>
      <c r="I127" s="6" t="s">
        <v>93</v>
      </c>
      <c r="J127" s="70" t="e">
        <f>IF(OR(D127=0,D128=0,D129=0),"#NA",IF(AND(C129-C128=C128-C127,C128&lt;&gt;C129,C127&lt;&gt;C128,C127&lt;&gt;C129,D129&lt;&gt;0,OR(D127&lt;&gt;0,D128&lt;&gt;0)),WLS*(C129-C128),"#NA"))</f>
        <v>#VALUE!</v>
      </c>
      <c r="O127" s="99">
        <f>O126+1</f>
        <v>20</v>
      </c>
      <c r="P127" s="99" t="str">
        <f t="shared" si="44"/>
        <v xml:space="preserve">  </v>
      </c>
      <c r="Q127" s="68" t="e">
        <f>IF(OR(P129-P128=P128-P127,P130-P128=P128-P127),P127,IF(OR(P129-P128=P128-P126,P130-P128=P128-P126),P126,"-"))</f>
        <v>#VALUE!</v>
      </c>
      <c r="R127" s="69" t="e">
        <f>VLOOKUP(Q127,STN_TABLE,2,FALSE)</f>
        <v>#VALUE!</v>
      </c>
      <c r="S127" s="69">
        <v>5</v>
      </c>
      <c r="T127" s="68" t="e">
        <f>R127*S127</f>
        <v>#VALUE!</v>
      </c>
      <c r="U127" s="79">
        <v>3</v>
      </c>
      <c r="V127" s="68" t="e">
        <f>R127*U127</f>
        <v>#VALUE!</v>
      </c>
      <c r="W127" s="6" t="s">
        <v>93</v>
      </c>
      <c r="X127" s="70" t="e">
        <f>IF(AND(Q129-Q128=Q128-Q127,NOT(AND(Q127=0,Q128=0)),NOT(AND(Q128=0,Q129=0))),WLS*(Q129-Q128),"#NA")</f>
        <v>#VALUE!</v>
      </c>
      <c r="AD127" s="93"/>
      <c r="AH127" s="6" t="s">
        <v>93</v>
      </c>
      <c r="AI127" s="70" t="e">
        <f>WLS*(AD129-AD128)</f>
        <v>#VALUE!</v>
      </c>
      <c r="AU127" s="81"/>
    </row>
    <row r="128" spans="1:47" x14ac:dyDescent="0.25">
      <c r="A128" s="84">
        <f>A127+1</f>
        <v>19</v>
      </c>
      <c r="B128" s="84" t="str">
        <f t="shared" si="48"/>
        <v xml:space="preserve">  </v>
      </c>
      <c r="C128" s="80" t="e">
        <f t="shared" ref="C128" si="62">IF(OR(B130-B129=B129-B128,B130-B129=B129-B127,B130-B129=B129-B126),B129,IF(OR(B130-B128=B128-B127,B130-B128=B128-B126),B128,IF(B130-B127=B127-B126,B127,"#NA")))</f>
        <v>#VALUE!</v>
      </c>
      <c r="D128" s="76" t="e">
        <f>VLOOKUP(C128,STN_TABLE,2,FALSE)</f>
        <v>#VALUE!</v>
      </c>
      <c r="E128" s="81">
        <v>4</v>
      </c>
      <c r="F128" s="76" t="e">
        <f>D128*E128</f>
        <v>#VALUE!</v>
      </c>
      <c r="G128" s="77" t="e">
        <f>C128</f>
        <v>#VALUE!</v>
      </c>
      <c r="H128" s="77" t="e">
        <f>F128*G128</f>
        <v>#VALUE!</v>
      </c>
      <c r="I128" s="495" t="s">
        <v>97</v>
      </c>
      <c r="J128" s="496"/>
      <c r="K128" s="78" t="s">
        <v>98</v>
      </c>
      <c r="L128" s="78"/>
      <c r="M128" s="7" t="s">
        <v>99</v>
      </c>
      <c r="N128" s="7"/>
      <c r="O128" s="99">
        <f>O127+1</f>
        <v>21</v>
      </c>
      <c r="P128" s="99" t="str">
        <f t="shared" si="44"/>
        <v xml:space="preserve">  </v>
      </c>
      <c r="Q128" s="76" t="str">
        <f>P128</f>
        <v xml:space="preserve">  </v>
      </c>
      <c r="R128" s="77" t="str">
        <f>VLOOKUP(Q128,STN_TABLE,2,FALSE)</f>
        <v xml:space="preserve">  </v>
      </c>
      <c r="S128" s="77">
        <v>8</v>
      </c>
      <c r="T128" s="76" t="e">
        <f>R128*S128</f>
        <v>#VALUE!</v>
      </c>
      <c r="U128" s="80">
        <v>10</v>
      </c>
      <c r="V128" s="76" t="e">
        <f>R128*U128</f>
        <v>#VALUE!</v>
      </c>
      <c r="W128" s="496" t="s">
        <v>97</v>
      </c>
      <c r="X128" s="496"/>
      <c r="Y128" s="496" t="s">
        <v>98</v>
      </c>
      <c r="Z128" s="496"/>
      <c r="AA128" s="494" t="s">
        <v>99</v>
      </c>
      <c r="AB128" s="494"/>
      <c r="AC128" s="99">
        <f>AC123+1</f>
        <v>20</v>
      </c>
      <c r="AD128" s="95" t="str">
        <f>VLOOKUP(AC128,STN_TABLE_2,2,FALSE)</f>
        <v xml:space="preserve">  </v>
      </c>
      <c r="AE128" s="68" t="str">
        <f>VLOOKUP(AD128,STN_TABLE,2,FALSE)</f>
        <v xml:space="preserve">  </v>
      </c>
      <c r="AF128" s="68">
        <v>1</v>
      </c>
      <c r="AG128" s="69" t="e">
        <f>AE128*AF128</f>
        <v>#VALUE!</v>
      </c>
      <c r="AH128" s="496" t="s">
        <v>97</v>
      </c>
      <c r="AI128" s="496"/>
      <c r="AJ128" s="496" t="s">
        <v>98</v>
      </c>
      <c r="AK128" s="496"/>
      <c r="AL128" s="494" t="s">
        <v>99</v>
      </c>
      <c r="AM128" s="494"/>
      <c r="AP128" s="86" t="s">
        <v>112</v>
      </c>
      <c r="AQ128" s="89" t="s">
        <v>113</v>
      </c>
      <c r="AR128" s="89" t="s">
        <v>114</v>
      </c>
      <c r="AS128" s="89" t="s">
        <v>115</v>
      </c>
      <c r="AU128" s="81"/>
    </row>
    <row r="129" spans="1:47" x14ac:dyDescent="0.25">
      <c r="A129" s="84">
        <f>A128+1</f>
        <v>20</v>
      </c>
      <c r="B129" s="84" t="str">
        <f t="shared" si="48"/>
        <v xml:space="preserve">  </v>
      </c>
      <c r="C129" s="88" t="str">
        <f t="shared" ref="C129" si="63">B130</f>
        <v xml:space="preserve">  </v>
      </c>
      <c r="D129" s="82" t="str">
        <f>VLOOKUP(C129,STN_TABLE,2,FALSE)</f>
        <v xml:space="preserve">  </v>
      </c>
      <c r="E129" s="92">
        <v>1</v>
      </c>
      <c r="F129" s="82" t="e">
        <f>D129*E129</f>
        <v>#VALUE!</v>
      </c>
      <c r="G129" s="83" t="str">
        <f>C129</f>
        <v xml:space="preserve">  </v>
      </c>
      <c r="H129" s="83" t="e">
        <f>F129*G129</f>
        <v>#VALUE!</v>
      </c>
      <c r="I129" s="84" t="str">
        <f>CONCATENATE("a'(",C129,")=")</f>
        <v>a'(  )=</v>
      </c>
      <c r="J129" s="84" t="e">
        <f>2*J127/3*F130</f>
        <v>#VALUE!</v>
      </c>
      <c r="K129" s="84" t="e">
        <f>CONCATENATE("A(",C127,")=")</f>
        <v>#VALUE!</v>
      </c>
      <c r="L129" s="84" t="e">
        <f>VLOOKUP(C127,STN_TABLE,3,FALSE)</f>
        <v>#VALUE!</v>
      </c>
      <c r="M129" t="str">
        <f>CONCATENATE("A(",C129,")=")</f>
        <v>A(  )=</v>
      </c>
      <c r="N129" t="e">
        <f>J129+L129</f>
        <v>#VALUE!</v>
      </c>
      <c r="O129" s="99">
        <f>O128+1</f>
        <v>22</v>
      </c>
      <c r="P129" s="99" t="str">
        <f t="shared" si="44"/>
        <v xml:space="preserve">  </v>
      </c>
      <c r="Q129" s="82" t="e">
        <f>IF(P129-P128=P128-P127,P129,IF(P130-P128=P128-P127,P130,IF(P129-P128=P128-P126,P129,IF(P130-P128=P128-P126,P130,"-"))))</f>
        <v>#VALUE!</v>
      </c>
      <c r="R129" s="83" t="e">
        <f>VLOOKUP(Q129,STN_TABLE,2,FALSE)</f>
        <v>#VALUE!</v>
      </c>
      <c r="S129" s="83">
        <v>-1</v>
      </c>
      <c r="T129" s="82" t="e">
        <f>R129*S129</f>
        <v>#VALUE!</v>
      </c>
      <c r="U129" s="88">
        <v>-1</v>
      </c>
      <c r="V129" s="82" t="e">
        <f>R129*U129</f>
        <v>#VALUE!</v>
      </c>
      <c r="W129" s="84" t="str">
        <f>CONCATENATE("a'(",Q128,")=")</f>
        <v>a'(  )=</v>
      </c>
      <c r="X129" s="84" t="e">
        <f>2*X127/12*T130</f>
        <v>#VALUE!</v>
      </c>
      <c r="Y129" s="84" t="e">
        <f>CONCATENATE("A(",Q127,")=")</f>
        <v>#VALUE!</v>
      </c>
      <c r="Z129" s="84" t="e">
        <f>VLOOKUP(Q127,STN_TABLE,3,FALSE)</f>
        <v>#VALUE!</v>
      </c>
      <c r="AA129" t="str">
        <f>CONCATENATE("A(",Q128,")=")</f>
        <v>A(  )=</v>
      </c>
      <c r="AB129" t="e">
        <f>X129+Z129</f>
        <v>#VALUE!</v>
      </c>
      <c r="AC129" s="99">
        <f>AC128+1</f>
        <v>21</v>
      </c>
      <c r="AD129" s="100" t="str">
        <f>VLOOKUP(AC129,STN_TABLE_2,2,FALSE)</f>
        <v xml:space="preserve">  </v>
      </c>
      <c r="AE129" s="82" t="str">
        <f>VLOOKUP(AD129,STN_TABLE,2,FALSE)</f>
        <v xml:space="preserve">  </v>
      </c>
      <c r="AF129" s="82">
        <v>2</v>
      </c>
      <c r="AG129" s="83" t="e">
        <f>AE129*AF129</f>
        <v>#VALUE!</v>
      </c>
      <c r="AH129" s="84" t="str">
        <f>CONCATENATE("a'(",AD129,")=")</f>
        <v>a'(  )=</v>
      </c>
      <c r="AI129" s="84" t="e">
        <f>2*AI127/2*AE130</f>
        <v>#VALUE!</v>
      </c>
      <c r="AJ129" s="84" t="str">
        <f>CONCATENATE("A(",AD128,")=")</f>
        <v>A(  )=</v>
      </c>
      <c r="AK129" s="84" t="str">
        <f>VLOOKUP(AD128,STN_TABLE,3,FALSE)</f>
        <v xml:space="preserve"> </v>
      </c>
      <c r="AL129" t="str">
        <f>CONCATENATE("A(",AD129,")=")</f>
        <v>A(  )=</v>
      </c>
      <c r="AM129" t="e">
        <f>AI129+AK129</f>
        <v>#VALUE!</v>
      </c>
      <c r="AO129" s="68" t="str">
        <f>AA129</f>
        <v>A(  )=</v>
      </c>
      <c r="AP129" s="68" t="e">
        <f>VLOOKUP(AO129,Rise_Results,2,FALSE)</f>
        <v>#N/A</v>
      </c>
      <c r="AQ129" s="76" t="e">
        <f>N129</f>
        <v>#VALUE!</v>
      </c>
      <c r="AR129" s="76" t="e">
        <f>IF(OR(AB129&lt;=0,AB130&lt;=0),1/0,AB129)</f>
        <v>#VALUE!</v>
      </c>
      <c r="AS129" s="76" t="e">
        <f>AM129</f>
        <v>#VALUE!</v>
      </c>
      <c r="AT129" t="e">
        <f>IFERROR(AP129,IFERROR(AQ129,IFERROR(AR129,AS129)))</f>
        <v>#VALUE!</v>
      </c>
      <c r="AU129" s="81"/>
    </row>
    <row r="130" spans="1:47" x14ac:dyDescent="0.25">
      <c r="A130" s="84">
        <f>A129+1</f>
        <v>21</v>
      </c>
      <c r="B130" s="84" t="str">
        <f t="shared" si="48"/>
        <v xml:space="preserve">  </v>
      </c>
      <c r="F130" s="82" t="e">
        <f>SUM(F127:F129)</f>
        <v>#VALUE!</v>
      </c>
      <c r="H130" s="82" t="e">
        <f>SUM(H127:H129)</f>
        <v>#VALUE!</v>
      </c>
      <c r="I130" s="84" t="str">
        <f>CONCATENATE("m'(",C129,")=")</f>
        <v>m'(  )=</v>
      </c>
      <c r="J130" s="84" t="e">
        <f>2*(J127*(WLS))/3*H130</f>
        <v>#VALUE!</v>
      </c>
      <c r="K130" s="84" t="e">
        <f>CONCATENATE("M(",C127,")=")</f>
        <v>#VALUE!</v>
      </c>
      <c r="L130" s="84" t="e">
        <f>VLOOKUP(C127,STN_TABLE,4,FALSE)</f>
        <v>#VALUE!</v>
      </c>
      <c r="M130" t="str">
        <f>CONCATENATE("M(",C129,")=")</f>
        <v>M(  )=</v>
      </c>
      <c r="N130" t="e">
        <f>J130+L130</f>
        <v>#VALUE!</v>
      </c>
      <c r="O130" s="99">
        <f>O129+1</f>
        <v>23</v>
      </c>
      <c r="P130" s="99" t="str">
        <f t="shared" si="44"/>
        <v xml:space="preserve">  </v>
      </c>
      <c r="T130" s="89" t="e">
        <f>SUM(T127:T129)</f>
        <v>#VALUE!</v>
      </c>
      <c r="V130" s="82" t="e">
        <f>SUM(V127:V129)</f>
        <v>#VALUE!</v>
      </c>
      <c r="W130" s="84" t="str">
        <f>CONCATENATE("m'(",Q128,")=")</f>
        <v>m'(  )=</v>
      </c>
      <c r="X130" s="84" t="e">
        <f>(2*(X127^2)/24*V130)+(X129*Q127*WLS)</f>
        <v>#VALUE!</v>
      </c>
      <c r="Y130" s="84" t="e">
        <f>CONCATENATE("M(",Q127,")=")</f>
        <v>#VALUE!</v>
      </c>
      <c r="Z130" s="84" t="e">
        <f>VLOOKUP(Q127,STN_TABLE,4,FALSE)</f>
        <v>#VALUE!</v>
      </c>
      <c r="AA130" t="str">
        <f>CONCATENATE("M(",Q128,")=")</f>
        <v>M(  )=</v>
      </c>
      <c r="AB130" t="e">
        <f>X130+Z130</f>
        <v>#VALUE!</v>
      </c>
      <c r="AE130" s="89">
        <f>SUM(AE128:AE129)</f>
        <v>0</v>
      </c>
      <c r="AG130" s="89" t="e">
        <f>SUM(AG128:AG129)</f>
        <v>#VALUE!</v>
      </c>
      <c r="AH130" s="84" t="str">
        <f>CONCATENATE("m'(",AD129,")=")</f>
        <v>m'(  )=</v>
      </c>
      <c r="AI130" s="84" t="e">
        <f>(2*(AI127^2)/6*AG130)+(AI129*AD128*WLS)</f>
        <v>#VALUE!</v>
      </c>
      <c r="AJ130" s="84" t="str">
        <f>CONCATENATE("M(",AD128,")=")</f>
        <v>M(  )=</v>
      </c>
      <c r="AK130" s="84" t="str">
        <f>VLOOKUP(AD128,STN_TABLE,4,FALSE)</f>
        <v xml:space="preserve"> </v>
      </c>
      <c r="AL130" t="str">
        <f>CONCATENATE("M(",AD129,")=")</f>
        <v>M(  )=</v>
      </c>
      <c r="AM130" t="e">
        <f>AI130+AK130</f>
        <v>#VALUE!</v>
      </c>
      <c r="AO130" s="82" t="str">
        <f>AA130</f>
        <v>M(  )=</v>
      </c>
      <c r="AP130" s="82" t="e">
        <f>VLOOKUP(AO130,Rise_Results,2,FALSE)</f>
        <v>#N/A</v>
      </c>
      <c r="AQ130" s="82" t="e">
        <f>N130</f>
        <v>#VALUE!</v>
      </c>
      <c r="AR130" s="82" t="e">
        <f>IF(OR(AB129&lt;=0,AB130&lt;=0),1/0,AB130)</f>
        <v>#VALUE!</v>
      </c>
      <c r="AS130" s="82" t="e">
        <f>AM130</f>
        <v>#VALUE!</v>
      </c>
      <c r="AT130" t="e">
        <f>IFERROR(AP130,IFERROR(AQ130,IFERROR(AR130,AS130)))</f>
        <v>#VALUE!</v>
      </c>
      <c r="AU130" s="81"/>
    </row>
    <row r="131" spans="1:47" x14ac:dyDescent="0.25">
      <c r="A131" s="101">
        <f>A126+1</f>
        <v>18</v>
      </c>
      <c r="B131" s="101" t="str">
        <f t="shared" si="48"/>
        <v xml:space="preserve">  </v>
      </c>
      <c r="O131" s="101">
        <f>O126+1</f>
        <v>20</v>
      </c>
      <c r="P131" s="101" t="str">
        <f t="shared" si="44"/>
        <v xml:space="preserve">  </v>
      </c>
      <c r="AU131" s="81"/>
    </row>
    <row r="132" spans="1:47" x14ac:dyDescent="0.25">
      <c r="A132" s="84">
        <f>A131+1</f>
        <v>19</v>
      </c>
      <c r="B132" s="84" t="str">
        <f t="shared" si="48"/>
        <v xml:space="preserve">  </v>
      </c>
      <c r="C132" s="79" t="e">
        <f t="shared" ref="C132" si="64">IF(C133=B134,IF(C134-C133=C133-B133,B133,IF(C134-C133=C133-B132,B132,"#NA")),IF(C133=B133,IF(C134-C133=C133-B132,B132,IF(C134-C133=C133-B131,B131,"#NA")),"#NA"))</f>
        <v>#VALUE!</v>
      </c>
      <c r="D132" s="68" t="e">
        <f>VLOOKUP(C132,STN_TABLE,2,FALSE)</f>
        <v>#VALUE!</v>
      </c>
      <c r="E132" s="102">
        <v>1</v>
      </c>
      <c r="F132" s="68" t="e">
        <f>D132*E132</f>
        <v>#VALUE!</v>
      </c>
      <c r="G132" s="69" t="e">
        <f>C132</f>
        <v>#VALUE!</v>
      </c>
      <c r="H132" s="69" t="e">
        <f>F132*G132</f>
        <v>#VALUE!</v>
      </c>
      <c r="I132" s="6" t="s">
        <v>93</v>
      </c>
      <c r="J132" s="70" t="e">
        <f>IF(OR(D132=0,D133=0,D134=0),"#NA",IF(AND(C134-C133=C133-C132,C133&lt;&gt;C134,C132&lt;&gt;C133,C132&lt;&gt;C134,D134&lt;&gt;0,OR(D132&lt;&gt;0,D133&lt;&gt;0)),WLS*(C134-C133),"#NA"))</f>
        <v>#VALUE!</v>
      </c>
      <c r="O132" s="99">
        <f>O131+1</f>
        <v>21</v>
      </c>
      <c r="P132" s="99" t="str">
        <f t="shared" ref="P132:P150" si="65">VLOOKUP(O132,STN_TABLE_2,2,FALSE)</f>
        <v xml:space="preserve">  </v>
      </c>
      <c r="Q132" s="68" t="e">
        <f>IF(OR(P134-P133=P133-P132,P135-P133=P133-P132),P132,IF(OR(P134-P133=P133-P131,P135-P133=P133-P131),P131,"-"))</f>
        <v>#VALUE!</v>
      </c>
      <c r="R132" s="69" t="e">
        <f>VLOOKUP(Q132,STN_TABLE,2,FALSE)</f>
        <v>#VALUE!</v>
      </c>
      <c r="S132" s="69">
        <v>5</v>
      </c>
      <c r="T132" s="68" t="e">
        <f>R132*S132</f>
        <v>#VALUE!</v>
      </c>
      <c r="U132" s="79">
        <v>3</v>
      </c>
      <c r="V132" s="68" t="e">
        <f>R132*U132</f>
        <v>#VALUE!</v>
      </c>
      <c r="W132" s="6" t="s">
        <v>93</v>
      </c>
      <c r="X132" s="70" t="e">
        <f>IF(AND(Q134-Q133=Q133-Q132,NOT(AND(Q132=0,Q133=0)),NOT(AND(Q133=0,Q134=0))),WLS*(Q134-Q133),"#NA")</f>
        <v>#VALUE!</v>
      </c>
      <c r="AD132" s="93"/>
      <c r="AH132" s="6" t="s">
        <v>93</v>
      </c>
      <c r="AI132" s="70" t="e">
        <f>WLS*(AD134-AD133)</f>
        <v>#VALUE!</v>
      </c>
      <c r="AU132" s="81"/>
    </row>
    <row r="133" spans="1:47" x14ac:dyDescent="0.25">
      <c r="A133" s="84">
        <f>A132+1</f>
        <v>20</v>
      </c>
      <c r="B133" s="84" t="str">
        <f t="shared" si="48"/>
        <v xml:space="preserve">  </v>
      </c>
      <c r="C133" s="80" t="e">
        <f t="shared" ref="C133" si="66">IF(OR(B135-B134=B134-B133,B135-B134=B134-B132,B135-B134=B134-B131),B134,IF(OR(B135-B133=B133-B132,B135-B133=B133-B131),B133,IF(B135-B132=B132-B131,B132,"#NA")))</f>
        <v>#VALUE!</v>
      </c>
      <c r="D133" s="76" t="e">
        <f>VLOOKUP(C133,STN_TABLE,2,FALSE)</f>
        <v>#VALUE!</v>
      </c>
      <c r="E133" s="81">
        <v>4</v>
      </c>
      <c r="F133" s="76" t="e">
        <f>D133*E133</f>
        <v>#VALUE!</v>
      </c>
      <c r="G133" s="77" t="e">
        <f>C133</f>
        <v>#VALUE!</v>
      </c>
      <c r="H133" s="77" t="e">
        <f>F133*G133</f>
        <v>#VALUE!</v>
      </c>
      <c r="I133" s="495" t="s">
        <v>97</v>
      </c>
      <c r="J133" s="496"/>
      <c r="K133" s="78" t="s">
        <v>98</v>
      </c>
      <c r="L133" s="78"/>
      <c r="M133" s="7" t="s">
        <v>99</v>
      </c>
      <c r="N133" s="7"/>
      <c r="O133" s="99">
        <f>O132+1</f>
        <v>22</v>
      </c>
      <c r="P133" s="99" t="str">
        <f t="shared" si="65"/>
        <v xml:space="preserve">  </v>
      </c>
      <c r="Q133" s="76" t="str">
        <f>P133</f>
        <v xml:space="preserve">  </v>
      </c>
      <c r="R133" s="77" t="str">
        <f>VLOOKUP(Q133,STN_TABLE,2,FALSE)</f>
        <v xml:space="preserve">  </v>
      </c>
      <c r="S133" s="77">
        <v>8</v>
      </c>
      <c r="T133" s="76" t="e">
        <f>R133*S133</f>
        <v>#VALUE!</v>
      </c>
      <c r="U133" s="80">
        <v>10</v>
      </c>
      <c r="V133" s="76" t="e">
        <f>R133*U133</f>
        <v>#VALUE!</v>
      </c>
      <c r="W133" s="496" t="s">
        <v>97</v>
      </c>
      <c r="X133" s="496"/>
      <c r="Y133" s="496" t="s">
        <v>98</v>
      </c>
      <c r="Z133" s="496"/>
      <c r="AA133" s="494" t="s">
        <v>99</v>
      </c>
      <c r="AB133" s="494"/>
      <c r="AC133" s="99">
        <f>AC128+1</f>
        <v>21</v>
      </c>
      <c r="AD133" s="95" t="str">
        <f>VLOOKUP(AC133,STN_TABLE_2,2,FALSE)</f>
        <v xml:space="preserve">  </v>
      </c>
      <c r="AE133" s="68" t="str">
        <f>VLOOKUP(AD133,STN_TABLE,2,FALSE)</f>
        <v xml:space="preserve">  </v>
      </c>
      <c r="AF133" s="68">
        <v>1</v>
      </c>
      <c r="AG133" s="69" t="e">
        <f>AE133*AF133</f>
        <v>#VALUE!</v>
      </c>
      <c r="AH133" s="496" t="s">
        <v>97</v>
      </c>
      <c r="AI133" s="496"/>
      <c r="AJ133" s="496" t="s">
        <v>98</v>
      </c>
      <c r="AK133" s="496"/>
      <c r="AL133" s="494" t="s">
        <v>99</v>
      </c>
      <c r="AM133" s="494"/>
      <c r="AP133" s="86" t="s">
        <v>112</v>
      </c>
      <c r="AQ133" s="89" t="s">
        <v>113</v>
      </c>
      <c r="AR133" s="89" t="s">
        <v>114</v>
      </c>
      <c r="AS133" s="89" t="s">
        <v>115</v>
      </c>
      <c r="AU133" s="81"/>
    </row>
    <row r="134" spans="1:47" x14ac:dyDescent="0.25">
      <c r="A134" s="84">
        <f>A133+1</f>
        <v>21</v>
      </c>
      <c r="B134" s="84" t="str">
        <f t="shared" si="48"/>
        <v xml:space="preserve">  </v>
      </c>
      <c r="C134" s="88" t="str">
        <f t="shared" ref="C134" si="67">B135</f>
        <v xml:space="preserve">  </v>
      </c>
      <c r="D134" s="82" t="str">
        <f>VLOOKUP(C134,STN_TABLE,2,FALSE)</f>
        <v xml:space="preserve">  </v>
      </c>
      <c r="E134" s="92">
        <v>1</v>
      </c>
      <c r="F134" s="82" t="e">
        <f>D134*E134</f>
        <v>#VALUE!</v>
      </c>
      <c r="G134" s="83" t="str">
        <f>C134</f>
        <v xml:space="preserve">  </v>
      </c>
      <c r="H134" s="83" t="e">
        <f>F134*G134</f>
        <v>#VALUE!</v>
      </c>
      <c r="I134" s="84" t="str">
        <f>CONCATENATE("a'(",C134,")=")</f>
        <v>a'(  )=</v>
      </c>
      <c r="J134" s="84" t="e">
        <f>2*J132/3*F135</f>
        <v>#VALUE!</v>
      </c>
      <c r="K134" s="84" t="e">
        <f>CONCATENATE("A(",C132,")=")</f>
        <v>#VALUE!</v>
      </c>
      <c r="L134" s="84" t="e">
        <f>VLOOKUP(C132,STN_TABLE,3,FALSE)</f>
        <v>#VALUE!</v>
      </c>
      <c r="M134" t="str">
        <f>CONCATENATE("A(",C134,")=")</f>
        <v>A(  )=</v>
      </c>
      <c r="N134" t="e">
        <f>J134+L134</f>
        <v>#VALUE!</v>
      </c>
      <c r="O134" s="99">
        <f>O133+1</f>
        <v>23</v>
      </c>
      <c r="P134" s="99" t="str">
        <f t="shared" si="65"/>
        <v xml:space="preserve">  </v>
      </c>
      <c r="Q134" s="82" t="e">
        <f>IF(P134-P133=P133-P132,P134,IF(P135-P133=P133-P132,P135,IF(P134-P133=P133-P131,P134,IF(P135-P133=P133-P131,P135,"-"))))</f>
        <v>#VALUE!</v>
      </c>
      <c r="R134" s="83" t="e">
        <f>VLOOKUP(Q134,STN_TABLE,2,FALSE)</f>
        <v>#VALUE!</v>
      </c>
      <c r="S134" s="83">
        <v>-1</v>
      </c>
      <c r="T134" s="82" t="e">
        <f>R134*S134</f>
        <v>#VALUE!</v>
      </c>
      <c r="U134" s="88">
        <v>-1</v>
      </c>
      <c r="V134" s="82" t="e">
        <f>R134*U134</f>
        <v>#VALUE!</v>
      </c>
      <c r="W134" s="84" t="str">
        <f>CONCATENATE("a'(",Q133,")=")</f>
        <v>a'(  )=</v>
      </c>
      <c r="X134" s="84" t="e">
        <f>2*X132/12*T135</f>
        <v>#VALUE!</v>
      </c>
      <c r="Y134" s="84" t="e">
        <f>CONCATENATE("A(",Q132,")=")</f>
        <v>#VALUE!</v>
      </c>
      <c r="Z134" s="84" t="e">
        <f>VLOOKUP(Q132,STN_TABLE,3,FALSE)</f>
        <v>#VALUE!</v>
      </c>
      <c r="AA134" t="str">
        <f>CONCATENATE("A(",Q133,")=")</f>
        <v>A(  )=</v>
      </c>
      <c r="AB134" t="e">
        <f>X134+Z134</f>
        <v>#VALUE!</v>
      </c>
      <c r="AC134" s="99">
        <f>AC133+1</f>
        <v>22</v>
      </c>
      <c r="AD134" s="100" t="str">
        <f>VLOOKUP(AC134,STN_TABLE_2,2,FALSE)</f>
        <v xml:space="preserve">  </v>
      </c>
      <c r="AE134" s="82" t="str">
        <f>VLOOKUP(AD134,STN_TABLE,2,FALSE)</f>
        <v xml:space="preserve">  </v>
      </c>
      <c r="AF134" s="82">
        <v>2</v>
      </c>
      <c r="AG134" s="83" t="e">
        <f>AE134*AF134</f>
        <v>#VALUE!</v>
      </c>
      <c r="AH134" s="84" t="str">
        <f>CONCATENATE("a'(",AD134,")=")</f>
        <v>a'(  )=</v>
      </c>
      <c r="AI134" s="84" t="e">
        <f>2*AI132/2*AE135</f>
        <v>#VALUE!</v>
      </c>
      <c r="AJ134" s="84" t="str">
        <f>CONCATENATE("A(",AD133,")=")</f>
        <v>A(  )=</v>
      </c>
      <c r="AK134" s="84" t="str">
        <f>VLOOKUP(AD133,STN_TABLE,3,FALSE)</f>
        <v xml:space="preserve"> </v>
      </c>
      <c r="AL134" t="str">
        <f>CONCATENATE("A(",AD134,")=")</f>
        <v>A(  )=</v>
      </c>
      <c r="AM134" t="e">
        <f>AI134+AK134</f>
        <v>#VALUE!</v>
      </c>
      <c r="AO134" s="68" t="str">
        <f>AA134</f>
        <v>A(  )=</v>
      </c>
      <c r="AP134" s="68" t="e">
        <f>VLOOKUP(AO134,Rise_Results,2,FALSE)</f>
        <v>#N/A</v>
      </c>
      <c r="AQ134" s="76" t="e">
        <f>N134</f>
        <v>#VALUE!</v>
      </c>
      <c r="AR134" s="76" t="e">
        <f>IF(OR(AB134&lt;=0,AB135&lt;=0),1/0,AB134)</f>
        <v>#VALUE!</v>
      </c>
      <c r="AS134" s="76" t="e">
        <f>AM134</f>
        <v>#VALUE!</v>
      </c>
      <c r="AT134" t="e">
        <f>IFERROR(AP134,IFERROR(AQ134,IFERROR(AR134,AS134)))</f>
        <v>#VALUE!</v>
      </c>
      <c r="AU134" s="81"/>
    </row>
    <row r="135" spans="1:47" x14ac:dyDescent="0.25">
      <c r="A135" s="84">
        <f>A134+1</f>
        <v>22</v>
      </c>
      <c r="B135" s="84" t="str">
        <f t="shared" si="48"/>
        <v xml:space="preserve">  </v>
      </c>
      <c r="F135" s="82" t="e">
        <f>SUM(F132:F134)</f>
        <v>#VALUE!</v>
      </c>
      <c r="H135" s="82" t="e">
        <f>SUM(H132:H134)</f>
        <v>#VALUE!</v>
      </c>
      <c r="I135" s="84" t="str">
        <f>CONCATENATE("m'(",C134,")=")</f>
        <v>m'(  )=</v>
      </c>
      <c r="J135" s="84" t="e">
        <f>2*(J132*(WLS))/3*H135</f>
        <v>#VALUE!</v>
      </c>
      <c r="K135" s="84" t="e">
        <f>CONCATENATE("M(",C132,")=")</f>
        <v>#VALUE!</v>
      </c>
      <c r="L135" s="84" t="e">
        <f>VLOOKUP(C132,STN_TABLE,4,FALSE)</f>
        <v>#VALUE!</v>
      </c>
      <c r="M135" t="str">
        <f>CONCATENATE("M(",C134,")=")</f>
        <v>M(  )=</v>
      </c>
      <c r="N135" t="e">
        <f>J135+L135</f>
        <v>#VALUE!</v>
      </c>
      <c r="O135" s="99">
        <f>O134+1</f>
        <v>24</v>
      </c>
      <c r="P135" s="99" t="str">
        <f t="shared" si="65"/>
        <v xml:space="preserve">  </v>
      </c>
      <c r="T135" s="89" t="e">
        <f>SUM(T132:T134)</f>
        <v>#VALUE!</v>
      </c>
      <c r="V135" s="82" t="e">
        <f>SUM(V132:V134)</f>
        <v>#VALUE!</v>
      </c>
      <c r="W135" s="84" t="str">
        <f>CONCATENATE("m'(",Q133,")=")</f>
        <v>m'(  )=</v>
      </c>
      <c r="X135" s="84" t="e">
        <f>(2*(X132^2)/24*V135)+(X134*Q132*WLS)</f>
        <v>#VALUE!</v>
      </c>
      <c r="Y135" s="84" t="e">
        <f>CONCATENATE("M(",Q132,")=")</f>
        <v>#VALUE!</v>
      </c>
      <c r="Z135" s="84" t="e">
        <f>VLOOKUP(Q132,STN_TABLE,4,FALSE)</f>
        <v>#VALUE!</v>
      </c>
      <c r="AA135" t="str">
        <f>CONCATENATE("M(",Q133,")=")</f>
        <v>M(  )=</v>
      </c>
      <c r="AB135" t="e">
        <f>X135+Z135</f>
        <v>#VALUE!</v>
      </c>
      <c r="AE135" s="89">
        <f>SUM(AE133:AE134)</f>
        <v>0</v>
      </c>
      <c r="AG135" s="89" t="e">
        <f>SUM(AG133:AG134)</f>
        <v>#VALUE!</v>
      </c>
      <c r="AH135" s="84" t="str">
        <f>CONCATENATE("m'(",AD134,")=")</f>
        <v>m'(  )=</v>
      </c>
      <c r="AI135" s="84" t="e">
        <f>(2*(AI132^2)/6*AG135)+(AI134*AD133*WLS)</f>
        <v>#VALUE!</v>
      </c>
      <c r="AJ135" s="84" t="str">
        <f>CONCATENATE("M(",AD133,")=")</f>
        <v>M(  )=</v>
      </c>
      <c r="AK135" s="84" t="str">
        <f>VLOOKUP(AD133,STN_TABLE,4,FALSE)</f>
        <v xml:space="preserve"> </v>
      </c>
      <c r="AL135" t="str">
        <f>CONCATENATE("M(",AD134,")=")</f>
        <v>M(  )=</v>
      </c>
      <c r="AM135" t="e">
        <f>AI135+AK135</f>
        <v>#VALUE!</v>
      </c>
      <c r="AO135" s="82" t="str">
        <f>AA135</f>
        <v>M(  )=</v>
      </c>
      <c r="AP135" s="82" t="e">
        <f>VLOOKUP(AO135,Rise_Results,2,FALSE)</f>
        <v>#N/A</v>
      </c>
      <c r="AQ135" s="82" t="e">
        <f>N135</f>
        <v>#VALUE!</v>
      </c>
      <c r="AR135" s="82" t="e">
        <f>IF(OR(AB134&lt;=0,AB135&lt;=0),1/0,AB135)</f>
        <v>#VALUE!</v>
      </c>
      <c r="AS135" s="82" t="e">
        <f>AM135</f>
        <v>#VALUE!</v>
      </c>
      <c r="AT135" t="e">
        <f>IFERROR(AP135,IFERROR(AQ135,IFERROR(AR135,AS135)))</f>
        <v>#VALUE!</v>
      </c>
      <c r="AU135" s="81"/>
    </row>
    <row r="136" spans="1:47" x14ac:dyDescent="0.25">
      <c r="A136" s="101">
        <f>A131+1</f>
        <v>19</v>
      </c>
      <c r="B136" s="101" t="str">
        <f t="shared" si="48"/>
        <v xml:space="preserve">  </v>
      </c>
      <c r="O136" s="101">
        <f>O131+1</f>
        <v>21</v>
      </c>
      <c r="P136" s="101" t="str">
        <f t="shared" si="65"/>
        <v xml:space="preserve">  </v>
      </c>
      <c r="AU136" s="81"/>
    </row>
    <row r="137" spans="1:47" x14ac:dyDescent="0.25">
      <c r="A137" s="84">
        <f>A136+1</f>
        <v>20</v>
      </c>
      <c r="B137" s="84" t="str">
        <f t="shared" si="48"/>
        <v xml:space="preserve">  </v>
      </c>
      <c r="C137" s="79" t="e">
        <f t="shared" ref="C137" si="68">IF(C138=B139,IF(C139-C138=C138-B138,B138,IF(C139-C138=C138-B137,B137,"#NA")),IF(C138=B138,IF(C139-C138=C138-B137,B137,IF(C139-C138=C138-B136,B136,"#NA")),"#NA"))</f>
        <v>#VALUE!</v>
      </c>
      <c r="D137" s="68" t="e">
        <f>VLOOKUP(C137,STN_TABLE,2,FALSE)</f>
        <v>#VALUE!</v>
      </c>
      <c r="E137" s="102">
        <v>1</v>
      </c>
      <c r="F137" s="68" t="e">
        <f>D137*E137</f>
        <v>#VALUE!</v>
      </c>
      <c r="G137" s="69" t="e">
        <f>C137</f>
        <v>#VALUE!</v>
      </c>
      <c r="H137" s="69" t="e">
        <f>F137*G137</f>
        <v>#VALUE!</v>
      </c>
      <c r="I137" s="6" t="s">
        <v>93</v>
      </c>
      <c r="J137" s="70" t="e">
        <f>IF(OR(D137=0,D138=0,D139=0),"#NA",IF(AND(C139-C138=C138-C137,C138&lt;&gt;C139,C137&lt;&gt;C138,C137&lt;&gt;C139,D139&lt;&gt;0,OR(D137&lt;&gt;0,D138&lt;&gt;0)),WLS*(C139-C138),"#NA"))</f>
        <v>#VALUE!</v>
      </c>
      <c r="O137" s="99">
        <f>O136+1</f>
        <v>22</v>
      </c>
      <c r="P137" s="99" t="str">
        <f t="shared" si="65"/>
        <v xml:space="preserve">  </v>
      </c>
      <c r="Q137" s="68" t="e">
        <f>IF(OR(P139-P138=P138-P137,P140-P138=P138-P137),P137,IF(OR(P139-P138=P138-P136,P140-P138=P138-P136),P136,"-"))</f>
        <v>#VALUE!</v>
      </c>
      <c r="R137" s="69" t="e">
        <f>VLOOKUP(Q137,STN_TABLE,2,FALSE)</f>
        <v>#VALUE!</v>
      </c>
      <c r="S137" s="69">
        <v>5</v>
      </c>
      <c r="T137" s="68" t="e">
        <f>R137*S137</f>
        <v>#VALUE!</v>
      </c>
      <c r="U137" s="79">
        <v>3</v>
      </c>
      <c r="V137" s="68" t="e">
        <f>R137*U137</f>
        <v>#VALUE!</v>
      </c>
      <c r="W137" s="6" t="s">
        <v>93</v>
      </c>
      <c r="X137" s="70" t="e">
        <f>IF(AND(Q139-Q138=Q138-Q137,NOT(AND(Q137=0,Q138=0)),NOT(AND(Q138=0,Q139=0))),WLS*(Q139-Q138),"#NA")</f>
        <v>#VALUE!</v>
      </c>
      <c r="AD137" s="93"/>
      <c r="AH137" s="6" t="s">
        <v>93</v>
      </c>
      <c r="AI137" s="70" t="e">
        <f>WLS*(AD139-AD138)</f>
        <v>#VALUE!</v>
      </c>
      <c r="AU137" s="81"/>
    </row>
    <row r="138" spans="1:47" x14ac:dyDescent="0.25">
      <c r="A138" s="84">
        <f>A137+1</f>
        <v>21</v>
      </c>
      <c r="B138" s="84" t="str">
        <f t="shared" ref="B138:B150" si="69">VLOOKUP(A138,STN_TABLE_2,2,FALSE)</f>
        <v xml:space="preserve">  </v>
      </c>
      <c r="C138" s="80" t="e">
        <f t="shared" ref="C138" si="70">IF(OR(B140-B139=B139-B138,B140-B139=B139-B137,B140-B139=B139-B136),B139,IF(OR(B140-B138=B138-B137,B140-B138=B138-B136),B138,IF(B140-B137=B137-B136,B137,"#NA")))</f>
        <v>#VALUE!</v>
      </c>
      <c r="D138" s="76" t="e">
        <f>VLOOKUP(C138,STN_TABLE,2,FALSE)</f>
        <v>#VALUE!</v>
      </c>
      <c r="E138" s="81">
        <v>4</v>
      </c>
      <c r="F138" s="76" t="e">
        <f>D138*E138</f>
        <v>#VALUE!</v>
      </c>
      <c r="G138" s="77" t="e">
        <f>C138</f>
        <v>#VALUE!</v>
      </c>
      <c r="H138" s="77" t="e">
        <f>F138*G138</f>
        <v>#VALUE!</v>
      </c>
      <c r="I138" s="495" t="s">
        <v>97</v>
      </c>
      <c r="J138" s="496"/>
      <c r="K138" s="78" t="s">
        <v>98</v>
      </c>
      <c r="L138" s="78"/>
      <c r="M138" s="7" t="s">
        <v>99</v>
      </c>
      <c r="N138" s="7"/>
      <c r="O138" s="99">
        <f>O137+1</f>
        <v>23</v>
      </c>
      <c r="P138" s="99" t="str">
        <f t="shared" si="65"/>
        <v xml:space="preserve">  </v>
      </c>
      <c r="Q138" s="76" t="str">
        <f>P138</f>
        <v xml:space="preserve">  </v>
      </c>
      <c r="R138" s="77" t="str">
        <f>VLOOKUP(Q138,STN_TABLE,2,FALSE)</f>
        <v xml:space="preserve">  </v>
      </c>
      <c r="S138" s="77">
        <v>8</v>
      </c>
      <c r="T138" s="76" t="e">
        <f>R138*S138</f>
        <v>#VALUE!</v>
      </c>
      <c r="U138" s="80">
        <v>10</v>
      </c>
      <c r="V138" s="76" t="e">
        <f>R138*U138</f>
        <v>#VALUE!</v>
      </c>
      <c r="W138" s="496" t="s">
        <v>97</v>
      </c>
      <c r="X138" s="496"/>
      <c r="Y138" s="496" t="s">
        <v>98</v>
      </c>
      <c r="Z138" s="496"/>
      <c r="AA138" s="494" t="s">
        <v>99</v>
      </c>
      <c r="AB138" s="494"/>
      <c r="AC138" s="99">
        <f>AC133+1</f>
        <v>22</v>
      </c>
      <c r="AD138" s="95" t="str">
        <f>VLOOKUP(AC138,STN_TABLE_2,2,FALSE)</f>
        <v xml:space="preserve">  </v>
      </c>
      <c r="AE138" s="68" t="str">
        <f>VLOOKUP(AD138,STN_TABLE,2,FALSE)</f>
        <v xml:space="preserve">  </v>
      </c>
      <c r="AF138" s="68">
        <v>1</v>
      </c>
      <c r="AG138" s="69" t="e">
        <f>AE138*AF138</f>
        <v>#VALUE!</v>
      </c>
      <c r="AH138" s="496" t="s">
        <v>97</v>
      </c>
      <c r="AI138" s="496"/>
      <c r="AJ138" s="496" t="s">
        <v>98</v>
      </c>
      <c r="AK138" s="496"/>
      <c r="AL138" s="494" t="s">
        <v>99</v>
      </c>
      <c r="AM138" s="494"/>
      <c r="AP138" s="86" t="s">
        <v>112</v>
      </c>
      <c r="AQ138" s="89" t="s">
        <v>113</v>
      </c>
      <c r="AR138" s="89" t="s">
        <v>114</v>
      </c>
      <c r="AS138" s="89" t="s">
        <v>115</v>
      </c>
      <c r="AU138" s="81"/>
    </row>
    <row r="139" spans="1:47" x14ac:dyDescent="0.25">
      <c r="A139" s="84">
        <f>A138+1</f>
        <v>22</v>
      </c>
      <c r="B139" s="84" t="str">
        <f t="shared" si="69"/>
        <v xml:space="preserve">  </v>
      </c>
      <c r="C139" s="88" t="str">
        <f t="shared" ref="C139" si="71">B140</f>
        <v xml:space="preserve">  </v>
      </c>
      <c r="D139" s="82" t="str">
        <f>VLOOKUP(C139,STN_TABLE,2,FALSE)</f>
        <v xml:space="preserve">  </v>
      </c>
      <c r="E139" s="92">
        <v>1</v>
      </c>
      <c r="F139" s="82" t="e">
        <f>D139*E139</f>
        <v>#VALUE!</v>
      </c>
      <c r="G139" s="83" t="str">
        <f>C139</f>
        <v xml:space="preserve">  </v>
      </c>
      <c r="H139" s="83" t="e">
        <f>F139*G139</f>
        <v>#VALUE!</v>
      </c>
      <c r="I139" s="84" t="str">
        <f>CONCATENATE("a'(",C139,")=")</f>
        <v>a'(  )=</v>
      </c>
      <c r="J139" s="84" t="e">
        <f>2*J137/3*F140</f>
        <v>#VALUE!</v>
      </c>
      <c r="K139" s="84" t="e">
        <f>CONCATENATE("A(",C137,")=")</f>
        <v>#VALUE!</v>
      </c>
      <c r="L139" s="84" t="e">
        <f>VLOOKUP(C137,STN_TABLE,3,FALSE)</f>
        <v>#VALUE!</v>
      </c>
      <c r="M139" t="str">
        <f>CONCATENATE("A(",C139,")=")</f>
        <v>A(  )=</v>
      </c>
      <c r="N139" t="e">
        <f>J139+L139</f>
        <v>#VALUE!</v>
      </c>
      <c r="O139" s="99">
        <f>O138+1</f>
        <v>24</v>
      </c>
      <c r="P139" s="99" t="str">
        <f t="shared" si="65"/>
        <v xml:space="preserve">  </v>
      </c>
      <c r="Q139" s="82" t="e">
        <f>IF(P139-P138=P138-P137,P139,IF(P140-P138=P138-P137,P140,IF(P139-P138=P138-P136,P139,IF(P140-P138=P138-P136,P140,"-"))))</f>
        <v>#VALUE!</v>
      </c>
      <c r="R139" s="83" t="e">
        <f>VLOOKUP(Q139,STN_TABLE,2,FALSE)</f>
        <v>#VALUE!</v>
      </c>
      <c r="S139" s="83">
        <v>-1</v>
      </c>
      <c r="T139" s="82" t="e">
        <f>R139*S139</f>
        <v>#VALUE!</v>
      </c>
      <c r="U139" s="88">
        <v>-1</v>
      </c>
      <c r="V139" s="82" t="e">
        <f>R139*U139</f>
        <v>#VALUE!</v>
      </c>
      <c r="W139" s="84" t="str">
        <f>CONCATENATE("a'(",Q138,")=")</f>
        <v>a'(  )=</v>
      </c>
      <c r="X139" s="84" t="e">
        <f>2*X137/12*T140</f>
        <v>#VALUE!</v>
      </c>
      <c r="Y139" s="84" t="e">
        <f>CONCATENATE("A(",Q137,")=")</f>
        <v>#VALUE!</v>
      </c>
      <c r="Z139" s="84" t="e">
        <f>VLOOKUP(Q137,STN_TABLE,3,FALSE)</f>
        <v>#VALUE!</v>
      </c>
      <c r="AA139" t="str">
        <f>CONCATENATE("A(",Q138,")=")</f>
        <v>A(  )=</v>
      </c>
      <c r="AB139" t="e">
        <f>X139+Z139</f>
        <v>#VALUE!</v>
      </c>
      <c r="AC139" s="99">
        <f>AC138+1</f>
        <v>23</v>
      </c>
      <c r="AD139" s="100" t="str">
        <f>VLOOKUP(AC139,STN_TABLE_2,2,FALSE)</f>
        <v xml:space="preserve">  </v>
      </c>
      <c r="AE139" s="82" t="str">
        <f>VLOOKUP(AD139,STN_TABLE,2,FALSE)</f>
        <v xml:space="preserve">  </v>
      </c>
      <c r="AF139" s="82">
        <v>2</v>
      </c>
      <c r="AG139" s="83" t="e">
        <f>AE139*AF139</f>
        <v>#VALUE!</v>
      </c>
      <c r="AH139" s="84" t="str">
        <f>CONCATENATE("a'(",AD139,")=")</f>
        <v>a'(  )=</v>
      </c>
      <c r="AI139" s="84" t="e">
        <f>2*AI137/2*AE140</f>
        <v>#VALUE!</v>
      </c>
      <c r="AJ139" s="84" t="str">
        <f>CONCATENATE("A(",AD138,")=")</f>
        <v>A(  )=</v>
      </c>
      <c r="AK139" s="84" t="str">
        <f>VLOOKUP(AD138,STN_TABLE,3,FALSE)</f>
        <v xml:space="preserve"> </v>
      </c>
      <c r="AL139" t="str">
        <f>CONCATENATE("A(",AD139,")=")</f>
        <v>A(  )=</v>
      </c>
      <c r="AM139" t="e">
        <f>AI139+AK139</f>
        <v>#VALUE!</v>
      </c>
      <c r="AO139" s="68" t="str">
        <f>AA139</f>
        <v>A(  )=</v>
      </c>
      <c r="AP139" s="68" t="e">
        <f>VLOOKUP(AO139,Rise_Results,2,FALSE)</f>
        <v>#N/A</v>
      </c>
      <c r="AQ139" s="76" t="e">
        <f>N139</f>
        <v>#VALUE!</v>
      </c>
      <c r="AR139" s="76" t="e">
        <f>IF(OR(AB139&lt;=0,AB140&lt;=0),1/0,AB139)</f>
        <v>#VALUE!</v>
      </c>
      <c r="AS139" s="76" t="e">
        <f>AM139</f>
        <v>#VALUE!</v>
      </c>
      <c r="AT139" t="e">
        <f>IFERROR(AP139,IFERROR(AQ139,IFERROR(AR139,AS139)))</f>
        <v>#VALUE!</v>
      </c>
      <c r="AU139" s="81"/>
    </row>
    <row r="140" spans="1:47" x14ac:dyDescent="0.25">
      <c r="A140" s="84">
        <f>A139+1</f>
        <v>23</v>
      </c>
      <c r="B140" s="84" t="str">
        <f t="shared" si="69"/>
        <v xml:space="preserve">  </v>
      </c>
      <c r="F140" s="82" t="e">
        <f>SUM(F137:F139)</f>
        <v>#VALUE!</v>
      </c>
      <c r="H140" s="82" t="e">
        <f>SUM(H137:H139)</f>
        <v>#VALUE!</v>
      </c>
      <c r="I140" s="84" t="str">
        <f>CONCATENATE("m'(",C139,")=")</f>
        <v>m'(  )=</v>
      </c>
      <c r="J140" s="84" t="e">
        <f>2*(J137*(WLS))/3*H140</f>
        <v>#VALUE!</v>
      </c>
      <c r="K140" s="84" t="e">
        <f>CONCATENATE("M(",C137,")=")</f>
        <v>#VALUE!</v>
      </c>
      <c r="L140" s="84" t="e">
        <f>VLOOKUP(C137,STN_TABLE,4,FALSE)</f>
        <v>#VALUE!</v>
      </c>
      <c r="M140" t="str">
        <f>CONCATENATE("M(",C139,")=")</f>
        <v>M(  )=</v>
      </c>
      <c r="N140" t="e">
        <f>J140+L140</f>
        <v>#VALUE!</v>
      </c>
      <c r="O140" s="99">
        <f>O139+1</f>
        <v>25</v>
      </c>
      <c r="P140" s="99" t="str">
        <f t="shared" si="65"/>
        <v xml:space="preserve">  </v>
      </c>
      <c r="T140" s="89" t="e">
        <f>SUM(T137:T139)</f>
        <v>#VALUE!</v>
      </c>
      <c r="V140" s="82" t="e">
        <f>SUM(V137:V139)</f>
        <v>#VALUE!</v>
      </c>
      <c r="W140" s="84" t="str">
        <f>CONCATENATE("m'(",Q138,")=")</f>
        <v>m'(  )=</v>
      </c>
      <c r="X140" s="84" t="e">
        <f>(2*(X137^2)/24*V140)+(X139*Q137*WLS)</f>
        <v>#VALUE!</v>
      </c>
      <c r="Y140" s="84" t="e">
        <f>CONCATENATE("M(",Q137,")=")</f>
        <v>#VALUE!</v>
      </c>
      <c r="Z140" s="84" t="e">
        <f>VLOOKUP(Q137,STN_TABLE,4,FALSE)</f>
        <v>#VALUE!</v>
      </c>
      <c r="AA140" t="str">
        <f>CONCATENATE("M(",Q138,")=")</f>
        <v>M(  )=</v>
      </c>
      <c r="AB140" t="e">
        <f>X140+Z140</f>
        <v>#VALUE!</v>
      </c>
      <c r="AE140" s="89">
        <f>SUM(AE138:AE139)</f>
        <v>0</v>
      </c>
      <c r="AG140" s="89" t="e">
        <f>SUM(AG138:AG139)</f>
        <v>#VALUE!</v>
      </c>
      <c r="AH140" s="84" t="str">
        <f>CONCATENATE("m'(",AD139,")=")</f>
        <v>m'(  )=</v>
      </c>
      <c r="AI140" s="84" t="e">
        <f>(2*(AI137^2)/6*AG140)+(AI139*AD138*WLS)</f>
        <v>#VALUE!</v>
      </c>
      <c r="AJ140" s="84" t="str">
        <f>CONCATENATE("M(",AD138,")=")</f>
        <v>M(  )=</v>
      </c>
      <c r="AK140" s="84" t="str">
        <f>VLOOKUP(AD138,STN_TABLE,4,FALSE)</f>
        <v xml:space="preserve"> </v>
      </c>
      <c r="AL140" t="str">
        <f>CONCATENATE("M(",AD139,")=")</f>
        <v>M(  )=</v>
      </c>
      <c r="AM140" t="e">
        <f>AI140+AK140</f>
        <v>#VALUE!</v>
      </c>
      <c r="AO140" s="82" t="str">
        <f>AA140</f>
        <v>M(  )=</v>
      </c>
      <c r="AP140" s="82" t="e">
        <f>VLOOKUP(AO140,Rise_Results,2,FALSE)</f>
        <v>#N/A</v>
      </c>
      <c r="AQ140" s="82" t="e">
        <f>N140</f>
        <v>#VALUE!</v>
      </c>
      <c r="AR140" s="82" t="e">
        <f>IF(OR(AB139&lt;=0,AB140&lt;=0),1/0,AB140)</f>
        <v>#VALUE!</v>
      </c>
      <c r="AS140" s="82" t="e">
        <f>AM140</f>
        <v>#VALUE!</v>
      </c>
      <c r="AT140" t="e">
        <f>IFERROR(AP140,IFERROR(AQ140,IFERROR(AR140,AS140)))</f>
        <v>#VALUE!</v>
      </c>
      <c r="AU140" s="81"/>
    </row>
    <row r="141" spans="1:47" x14ac:dyDescent="0.25">
      <c r="A141" s="101">
        <f>A136+1</f>
        <v>20</v>
      </c>
      <c r="B141" s="101" t="str">
        <f t="shared" si="69"/>
        <v xml:space="preserve">  </v>
      </c>
      <c r="O141" s="101">
        <f>O136+1</f>
        <v>22</v>
      </c>
      <c r="P141" s="101" t="str">
        <f t="shared" si="65"/>
        <v xml:space="preserve">  </v>
      </c>
      <c r="AU141" s="81"/>
    </row>
    <row r="142" spans="1:47" x14ac:dyDescent="0.25">
      <c r="A142" s="84">
        <f>A141+1</f>
        <v>21</v>
      </c>
      <c r="B142" s="84" t="str">
        <f t="shared" si="69"/>
        <v xml:space="preserve">  </v>
      </c>
      <c r="C142" s="79" t="e">
        <f t="shared" ref="C142" si="72">IF(C143=B144,IF(C144-C143=C143-B143,B143,IF(C144-C143=C143-B142,B142,"#NA")),IF(C143=B143,IF(C144-C143=C143-B142,B142,IF(C144-C143=C143-B141,B141,"#NA")),"#NA"))</f>
        <v>#VALUE!</v>
      </c>
      <c r="D142" s="68" t="e">
        <f>VLOOKUP(C142,STN_TABLE,2,FALSE)</f>
        <v>#VALUE!</v>
      </c>
      <c r="E142" s="102">
        <v>1</v>
      </c>
      <c r="F142" s="68" t="e">
        <f>D142*E142</f>
        <v>#VALUE!</v>
      </c>
      <c r="G142" s="69" t="e">
        <f>C142</f>
        <v>#VALUE!</v>
      </c>
      <c r="H142" s="69" t="e">
        <f>F142*G142</f>
        <v>#VALUE!</v>
      </c>
      <c r="I142" s="6" t="s">
        <v>93</v>
      </c>
      <c r="J142" s="70" t="e">
        <f>IF(OR(D142=0,D143=0,D144=0),"#NA",IF(AND(C144-C143=C143-C142,C143&lt;&gt;C144,C142&lt;&gt;C143,C142&lt;&gt;C144,D144&lt;&gt;0,OR(D142&lt;&gt;0,D143&lt;&gt;0)),WLS*(C144-C143),"#NA"))</f>
        <v>#VALUE!</v>
      </c>
      <c r="O142" s="99">
        <f>O141+1</f>
        <v>23</v>
      </c>
      <c r="P142" s="99" t="str">
        <f t="shared" si="65"/>
        <v xml:space="preserve">  </v>
      </c>
      <c r="Q142" s="68" t="e">
        <f>IF(OR(P144-P143=P143-P142,P145-P143=P143-P142),P142,IF(OR(P144-P143=P143-P141,P145-P143=P143-P141),P141,"-"))</f>
        <v>#VALUE!</v>
      </c>
      <c r="R142" s="69" t="e">
        <f>VLOOKUP(Q142,STN_TABLE,2,FALSE)</f>
        <v>#VALUE!</v>
      </c>
      <c r="S142" s="69">
        <v>5</v>
      </c>
      <c r="T142" s="68" t="e">
        <f>R142*S142</f>
        <v>#VALUE!</v>
      </c>
      <c r="U142" s="79">
        <v>3</v>
      </c>
      <c r="V142" s="68" t="e">
        <f>R142*U142</f>
        <v>#VALUE!</v>
      </c>
      <c r="W142" s="6" t="s">
        <v>93</v>
      </c>
      <c r="X142" s="70" t="e">
        <f>IF(AND(Q144-Q143=Q143-Q142,NOT(AND(Q142=0,Q143=0)),NOT(AND(Q143=0,Q144=0))),WLS*(Q144-Q143),"#NA")</f>
        <v>#VALUE!</v>
      </c>
      <c r="AD142" s="93"/>
      <c r="AH142" s="6" t="s">
        <v>93</v>
      </c>
      <c r="AI142" s="70" t="e">
        <f>WLS*(AD144-AD143)</f>
        <v>#VALUE!</v>
      </c>
      <c r="AU142" s="81"/>
    </row>
    <row r="143" spans="1:47" x14ac:dyDescent="0.25">
      <c r="A143" s="84">
        <f>A142+1</f>
        <v>22</v>
      </c>
      <c r="B143" s="84" t="str">
        <f t="shared" si="69"/>
        <v xml:space="preserve">  </v>
      </c>
      <c r="C143" s="80" t="e">
        <f t="shared" ref="C143" si="73">IF(OR(B145-B144=B144-B143,B145-B144=B144-B142,B145-B144=B144-B141),B144,IF(OR(B145-B143=B143-B142,B145-B143=B143-B141),B143,IF(B145-B142=B142-B141,B142,"#NA")))</f>
        <v>#VALUE!</v>
      </c>
      <c r="D143" s="76" t="e">
        <f>VLOOKUP(C143,STN_TABLE,2,FALSE)</f>
        <v>#VALUE!</v>
      </c>
      <c r="E143" s="81">
        <v>4</v>
      </c>
      <c r="F143" s="76" t="e">
        <f>D143*E143</f>
        <v>#VALUE!</v>
      </c>
      <c r="G143" s="77" t="e">
        <f>C143</f>
        <v>#VALUE!</v>
      </c>
      <c r="H143" s="77" t="e">
        <f>F143*G143</f>
        <v>#VALUE!</v>
      </c>
      <c r="I143" s="495" t="s">
        <v>97</v>
      </c>
      <c r="J143" s="496"/>
      <c r="K143" s="78" t="s">
        <v>98</v>
      </c>
      <c r="L143" s="78"/>
      <c r="M143" s="7" t="s">
        <v>99</v>
      </c>
      <c r="N143" s="7"/>
      <c r="O143" s="99">
        <f>O142+1</f>
        <v>24</v>
      </c>
      <c r="P143" s="99" t="str">
        <f t="shared" si="65"/>
        <v xml:space="preserve">  </v>
      </c>
      <c r="Q143" s="76" t="str">
        <f>P143</f>
        <v xml:space="preserve">  </v>
      </c>
      <c r="R143" s="77" t="str">
        <f>VLOOKUP(Q143,STN_TABLE,2,FALSE)</f>
        <v xml:space="preserve">  </v>
      </c>
      <c r="S143" s="77">
        <v>8</v>
      </c>
      <c r="T143" s="76" t="e">
        <f>R143*S143</f>
        <v>#VALUE!</v>
      </c>
      <c r="U143" s="80">
        <v>10</v>
      </c>
      <c r="V143" s="76" t="e">
        <f>R143*U143</f>
        <v>#VALUE!</v>
      </c>
      <c r="W143" s="496" t="s">
        <v>97</v>
      </c>
      <c r="X143" s="496"/>
      <c r="Y143" s="496" t="s">
        <v>98</v>
      </c>
      <c r="Z143" s="496"/>
      <c r="AA143" s="494" t="s">
        <v>99</v>
      </c>
      <c r="AB143" s="494"/>
      <c r="AC143" s="99">
        <f>AC138+1</f>
        <v>23</v>
      </c>
      <c r="AD143" s="95" t="str">
        <f>VLOOKUP(AC143,STN_TABLE_2,2,FALSE)</f>
        <v xml:space="preserve">  </v>
      </c>
      <c r="AE143" s="68" t="str">
        <f>VLOOKUP(AD143,STN_TABLE,2,FALSE)</f>
        <v xml:space="preserve">  </v>
      </c>
      <c r="AF143" s="68">
        <v>1</v>
      </c>
      <c r="AG143" s="69" t="e">
        <f>AE143*AF143</f>
        <v>#VALUE!</v>
      </c>
      <c r="AH143" s="496" t="s">
        <v>97</v>
      </c>
      <c r="AI143" s="496"/>
      <c r="AJ143" s="496" t="s">
        <v>98</v>
      </c>
      <c r="AK143" s="496"/>
      <c r="AL143" s="494" t="s">
        <v>99</v>
      </c>
      <c r="AM143" s="494"/>
      <c r="AP143" s="86" t="s">
        <v>112</v>
      </c>
      <c r="AQ143" s="89" t="s">
        <v>113</v>
      </c>
      <c r="AR143" s="89" t="s">
        <v>114</v>
      </c>
      <c r="AS143" s="89" t="s">
        <v>115</v>
      </c>
      <c r="AU143" s="81"/>
    </row>
    <row r="144" spans="1:47" x14ac:dyDescent="0.25">
      <c r="A144" s="84">
        <f>A143+1</f>
        <v>23</v>
      </c>
      <c r="B144" s="84" t="str">
        <f t="shared" si="69"/>
        <v xml:space="preserve">  </v>
      </c>
      <c r="C144" s="88" t="str">
        <f t="shared" ref="C144" si="74">B145</f>
        <v xml:space="preserve">  </v>
      </c>
      <c r="D144" s="82" t="str">
        <f>VLOOKUP(C144,STN_TABLE,2,FALSE)</f>
        <v xml:space="preserve">  </v>
      </c>
      <c r="E144" s="92">
        <v>1</v>
      </c>
      <c r="F144" s="82" t="e">
        <f>D144*E144</f>
        <v>#VALUE!</v>
      </c>
      <c r="G144" s="83" t="str">
        <f>C144</f>
        <v xml:space="preserve">  </v>
      </c>
      <c r="H144" s="83" t="e">
        <f>F144*G144</f>
        <v>#VALUE!</v>
      </c>
      <c r="I144" s="84" t="str">
        <f>CONCATENATE("a'(",C144,")=")</f>
        <v>a'(  )=</v>
      </c>
      <c r="J144" s="84" t="e">
        <f>2*J142/3*F145</f>
        <v>#VALUE!</v>
      </c>
      <c r="K144" s="84" t="e">
        <f>CONCATENATE("A(",C142,")=")</f>
        <v>#VALUE!</v>
      </c>
      <c r="L144" s="84" t="e">
        <f>VLOOKUP(C142,STN_TABLE,3,FALSE)</f>
        <v>#VALUE!</v>
      </c>
      <c r="M144" t="str">
        <f>CONCATENATE("A(",C144,")=")</f>
        <v>A(  )=</v>
      </c>
      <c r="N144" t="e">
        <f>J144+L144</f>
        <v>#VALUE!</v>
      </c>
      <c r="O144" s="99">
        <f>O143+1</f>
        <v>25</v>
      </c>
      <c r="P144" s="99" t="str">
        <f t="shared" si="65"/>
        <v xml:space="preserve">  </v>
      </c>
      <c r="Q144" s="82" t="e">
        <f>IF(P144-P143=P143-P142,P144,IF(P145-P143=P143-P142,P145,IF(P144-P143=P143-P141,P144,IF(P145-P143=P143-P141,P145,"-"))))</f>
        <v>#VALUE!</v>
      </c>
      <c r="R144" s="83" t="e">
        <f>VLOOKUP(Q144,STN_TABLE,2,FALSE)</f>
        <v>#VALUE!</v>
      </c>
      <c r="S144" s="83">
        <v>-1</v>
      </c>
      <c r="T144" s="82" t="e">
        <f>R144*S144</f>
        <v>#VALUE!</v>
      </c>
      <c r="U144" s="88">
        <v>-1</v>
      </c>
      <c r="V144" s="82" t="e">
        <f>R144*U144</f>
        <v>#VALUE!</v>
      </c>
      <c r="W144" s="84" t="str">
        <f>CONCATENATE("a'(",Q143,")=")</f>
        <v>a'(  )=</v>
      </c>
      <c r="X144" s="84" t="e">
        <f>2*X142/12*T145</f>
        <v>#VALUE!</v>
      </c>
      <c r="Y144" s="84" t="e">
        <f>CONCATENATE("A(",Q142,")=")</f>
        <v>#VALUE!</v>
      </c>
      <c r="Z144" s="84" t="e">
        <f>VLOOKUP(Q142,STN_TABLE,3,FALSE)</f>
        <v>#VALUE!</v>
      </c>
      <c r="AA144" t="str">
        <f>CONCATENATE("A(",Q143,")=")</f>
        <v>A(  )=</v>
      </c>
      <c r="AB144" t="e">
        <f>X144+Z144</f>
        <v>#VALUE!</v>
      </c>
      <c r="AC144" s="99">
        <f>AC143+1</f>
        <v>24</v>
      </c>
      <c r="AD144" s="100" t="str">
        <f>VLOOKUP(AC144,STN_TABLE_2,2,FALSE)</f>
        <v xml:space="preserve">  </v>
      </c>
      <c r="AE144" s="82" t="str">
        <f>VLOOKUP(AD144,STN_TABLE,2,FALSE)</f>
        <v xml:space="preserve">  </v>
      </c>
      <c r="AF144" s="82">
        <v>2</v>
      </c>
      <c r="AG144" s="83" t="e">
        <f>AE144*AF144</f>
        <v>#VALUE!</v>
      </c>
      <c r="AH144" s="84" t="str">
        <f>CONCATENATE("a'(",AD144,")=")</f>
        <v>a'(  )=</v>
      </c>
      <c r="AI144" s="84" t="e">
        <f>2*AI142/2*AE145</f>
        <v>#VALUE!</v>
      </c>
      <c r="AJ144" s="84" t="str">
        <f>CONCATENATE("A(",AD143,")=")</f>
        <v>A(  )=</v>
      </c>
      <c r="AK144" s="84" t="str">
        <f>VLOOKUP(AD143,STN_TABLE,3,FALSE)</f>
        <v xml:space="preserve"> </v>
      </c>
      <c r="AL144" t="str">
        <f>CONCATENATE("A(",AD144,")=")</f>
        <v>A(  )=</v>
      </c>
      <c r="AM144" t="e">
        <f>AI144+AK144</f>
        <v>#VALUE!</v>
      </c>
      <c r="AO144" s="68" t="str">
        <f>AA144</f>
        <v>A(  )=</v>
      </c>
      <c r="AP144" s="68" t="e">
        <f>VLOOKUP(AO144,Rise_Results,2,FALSE)</f>
        <v>#N/A</v>
      </c>
      <c r="AQ144" s="76" t="e">
        <f>N144</f>
        <v>#VALUE!</v>
      </c>
      <c r="AR144" s="76" t="e">
        <f>IF(OR(AB144&lt;=0,AB145&lt;=0),1/0,AB144)</f>
        <v>#VALUE!</v>
      </c>
      <c r="AS144" s="76" t="e">
        <f>AM144</f>
        <v>#VALUE!</v>
      </c>
      <c r="AT144" t="e">
        <f>IFERROR(AP144,IFERROR(AQ144,IFERROR(AR144,AS144)))</f>
        <v>#VALUE!</v>
      </c>
      <c r="AU144" s="81"/>
    </row>
    <row r="145" spans="1:47" x14ac:dyDescent="0.25">
      <c r="A145" s="84">
        <f>A144+1</f>
        <v>24</v>
      </c>
      <c r="B145" s="84" t="str">
        <f t="shared" si="69"/>
        <v xml:space="preserve">  </v>
      </c>
      <c r="F145" s="82" t="e">
        <f>SUM(F142:F144)</f>
        <v>#VALUE!</v>
      </c>
      <c r="H145" s="82" t="e">
        <f>SUM(H142:H144)</f>
        <v>#VALUE!</v>
      </c>
      <c r="I145" s="84" t="str">
        <f>CONCATENATE("m'(",C144,")=")</f>
        <v>m'(  )=</v>
      </c>
      <c r="J145" s="84" t="e">
        <f>2*(J142*(WLS))/3*H145</f>
        <v>#VALUE!</v>
      </c>
      <c r="K145" s="84" t="e">
        <f>CONCATENATE("M(",C142,")=")</f>
        <v>#VALUE!</v>
      </c>
      <c r="L145" s="84" t="e">
        <f>VLOOKUP(C142,STN_TABLE,4,FALSE)</f>
        <v>#VALUE!</v>
      </c>
      <c r="M145" t="str">
        <f>CONCATENATE("M(",C144,")=")</f>
        <v>M(  )=</v>
      </c>
      <c r="N145" t="e">
        <f>J145+L145</f>
        <v>#VALUE!</v>
      </c>
      <c r="O145" s="99">
        <f>O144+1</f>
        <v>26</v>
      </c>
      <c r="P145" s="99" t="e">
        <f t="shared" si="65"/>
        <v>#N/A</v>
      </c>
      <c r="T145" s="89" t="e">
        <f>SUM(T142:T144)</f>
        <v>#VALUE!</v>
      </c>
      <c r="V145" s="82" t="e">
        <f>SUM(V142:V144)</f>
        <v>#VALUE!</v>
      </c>
      <c r="W145" s="84" t="str">
        <f>CONCATENATE("m'(",Q143,")=")</f>
        <v>m'(  )=</v>
      </c>
      <c r="X145" s="84" t="e">
        <f>(2*(X142^2)/24*V145)+(X144*Q142*WLS)</f>
        <v>#VALUE!</v>
      </c>
      <c r="Y145" s="84" t="e">
        <f>CONCATENATE("M(",Q142,")=")</f>
        <v>#VALUE!</v>
      </c>
      <c r="Z145" s="84" t="e">
        <f>VLOOKUP(Q142,STN_TABLE,4,FALSE)</f>
        <v>#VALUE!</v>
      </c>
      <c r="AA145" t="str">
        <f>CONCATENATE("M(",Q143,")=")</f>
        <v>M(  )=</v>
      </c>
      <c r="AB145" t="e">
        <f>X145+Z145</f>
        <v>#VALUE!</v>
      </c>
      <c r="AE145" s="89">
        <f>SUM(AE143:AE144)</f>
        <v>0</v>
      </c>
      <c r="AG145" s="89" t="e">
        <f>SUM(AG143:AG144)</f>
        <v>#VALUE!</v>
      </c>
      <c r="AH145" s="84" t="str">
        <f>CONCATENATE("m'(",AD144,")=")</f>
        <v>m'(  )=</v>
      </c>
      <c r="AI145" s="84" t="e">
        <f>(2*(AI142^2)/6*AG145)+(AI144*AD143*WLS)</f>
        <v>#VALUE!</v>
      </c>
      <c r="AJ145" s="84" t="str">
        <f>CONCATENATE("M(",AD143,")=")</f>
        <v>M(  )=</v>
      </c>
      <c r="AK145" s="84" t="str">
        <f>VLOOKUP(AD143,STN_TABLE,4,FALSE)</f>
        <v xml:space="preserve"> </v>
      </c>
      <c r="AL145" t="str">
        <f>CONCATENATE("M(",AD144,")=")</f>
        <v>M(  )=</v>
      </c>
      <c r="AM145" t="e">
        <f>AI145+AK145</f>
        <v>#VALUE!</v>
      </c>
      <c r="AO145" s="82" t="str">
        <f>AA145</f>
        <v>M(  )=</v>
      </c>
      <c r="AP145" s="82" t="e">
        <f>VLOOKUP(AO145,Rise_Results,2,FALSE)</f>
        <v>#N/A</v>
      </c>
      <c r="AQ145" s="82" t="e">
        <f>N145</f>
        <v>#VALUE!</v>
      </c>
      <c r="AR145" s="82" t="e">
        <f>IF(OR(AB144&lt;=0,AB145&lt;=0),1/0,AB145)</f>
        <v>#VALUE!</v>
      </c>
      <c r="AS145" s="82" t="e">
        <f>AM145</f>
        <v>#VALUE!</v>
      </c>
      <c r="AT145" t="e">
        <f>IFERROR(AP145,IFERROR(AQ145,IFERROR(AR145,AS145)))</f>
        <v>#VALUE!</v>
      </c>
      <c r="AU145" s="81"/>
    </row>
    <row r="146" spans="1:47" x14ac:dyDescent="0.25">
      <c r="A146" s="101">
        <f>A141+1</f>
        <v>21</v>
      </c>
      <c r="B146" s="101" t="str">
        <f t="shared" si="69"/>
        <v xml:space="preserve">  </v>
      </c>
      <c r="O146" s="101">
        <f>O141+1</f>
        <v>23</v>
      </c>
      <c r="P146" s="101" t="str">
        <f t="shared" si="65"/>
        <v xml:space="preserve">  </v>
      </c>
      <c r="AU146" s="81"/>
    </row>
    <row r="147" spans="1:47" x14ac:dyDescent="0.25">
      <c r="A147" s="84">
        <f>A146+1</f>
        <v>22</v>
      </c>
      <c r="B147" s="84" t="str">
        <f t="shared" si="69"/>
        <v xml:space="preserve">  </v>
      </c>
      <c r="C147" s="79" t="e">
        <f t="shared" ref="C147" si="75">IF(C148=B149,IF(C149-C148=C148-B148,B148,IF(C149-C148=C148-B147,B147,"#NA")),IF(C148=B148,IF(C149-C148=C148-B147,B147,IF(C149-C148=C148-B146,B146,"#NA")),"#NA"))</f>
        <v>#VALUE!</v>
      </c>
      <c r="D147" s="68" t="e">
        <f>VLOOKUP(C147,STN_TABLE,2,FALSE)</f>
        <v>#VALUE!</v>
      </c>
      <c r="E147" s="102">
        <v>1</v>
      </c>
      <c r="F147" s="68" t="e">
        <f>D147*E147</f>
        <v>#VALUE!</v>
      </c>
      <c r="G147" s="69" t="e">
        <f>C147</f>
        <v>#VALUE!</v>
      </c>
      <c r="H147" s="69" t="e">
        <f>F147*G147</f>
        <v>#VALUE!</v>
      </c>
      <c r="I147" s="6" t="s">
        <v>93</v>
      </c>
      <c r="J147" s="70" t="e">
        <f>IF(OR(D147=0,D148=0,D149=0),"#NA",IF(AND(C149-C148=C148-C147,C148&lt;&gt;C149,C147&lt;&gt;C148,C147&lt;&gt;C149,D149&lt;&gt;0,OR(D147&lt;&gt;0,D148&lt;&gt;0)),WLS*(C149-C148),"#NA"))</f>
        <v>#VALUE!</v>
      </c>
      <c r="O147" s="99">
        <f>O146+1</f>
        <v>24</v>
      </c>
      <c r="P147" s="99" t="str">
        <f t="shared" si="65"/>
        <v xml:space="preserve">  </v>
      </c>
      <c r="Q147" s="68" t="e">
        <f>IF(OR(P149-P148=P148-P147,P150-P148=P148-P147),P147,IF(OR(P149-P148=P148-P146,P150-P148=P148-P146),P146,"-"))</f>
        <v>#N/A</v>
      </c>
      <c r="R147" s="69" t="e">
        <f>VLOOKUP(Q147,STN_TABLE,2,FALSE)</f>
        <v>#N/A</v>
      </c>
      <c r="S147" s="69">
        <v>5</v>
      </c>
      <c r="T147" s="68" t="e">
        <f>R147*S147</f>
        <v>#N/A</v>
      </c>
      <c r="U147" s="79">
        <v>3</v>
      </c>
      <c r="V147" s="68" t="e">
        <f>R147*U147</f>
        <v>#N/A</v>
      </c>
      <c r="W147" s="6" t="s">
        <v>93</v>
      </c>
      <c r="X147" s="70" t="e">
        <f>IF(AND(Q149-Q148=Q148-Q147,NOT(AND(Q147=0,Q148=0)),NOT(AND(Q148=0,Q149=0))),WLS*(Q149-Q148),"#NA")</f>
        <v>#N/A</v>
      </c>
      <c r="AD147" s="93"/>
      <c r="AH147" s="6" t="s">
        <v>93</v>
      </c>
      <c r="AI147" s="70" t="e">
        <f>WLS*(AD149-AD148)</f>
        <v>#VALUE!</v>
      </c>
      <c r="AU147" s="81"/>
    </row>
    <row r="148" spans="1:47" x14ac:dyDescent="0.25">
      <c r="A148" s="84">
        <f>A147+1</f>
        <v>23</v>
      </c>
      <c r="B148" s="84" t="str">
        <f t="shared" si="69"/>
        <v xml:space="preserve">  </v>
      </c>
      <c r="C148" s="80" t="e">
        <f t="shared" ref="C148" si="76">IF(OR(B150-B149=B149-B148,B150-B149=B149-B147,B150-B149=B149-B146),B149,IF(OR(B150-B148=B148-B147,B150-B148=B148-B146),B148,IF(B150-B147=B147-B146,B147,"#NA")))</f>
        <v>#VALUE!</v>
      </c>
      <c r="D148" s="76" t="e">
        <f>VLOOKUP(C148,STN_TABLE,2,FALSE)</f>
        <v>#VALUE!</v>
      </c>
      <c r="E148" s="81">
        <v>4</v>
      </c>
      <c r="F148" s="76" t="e">
        <f>D148*E148</f>
        <v>#VALUE!</v>
      </c>
      <c r="G148" s="77" t="e">
        <f>C148</f>
        <v>#VALUE!</v>
      </c>
      <c r="H148" s="77" t="e">
        <f>F148*G148</f>
        <v>#VALUE!</v>
      </c>
      <c r="I148" s="495" t="s">
        <v>97</v>
      </c>
      <c r="J148" s="496"/>
      <c r="K148" s="78" t="s">
        <v>98</v>
      </c>
      <c r="L148" s="78"/>
      <c r="M148" s="7" t="s">
        <v>99</v>
      </c>
      <c r="N148" s="7"/>
      <c r="O148" s="99">
        <f>O147+1</f>
        <v>25</v>
      </c>
      <c r="P148" s="99" t="str">
        <f t="shared" si="65"/>
        <v xml:space="preserve">  </v>
      </c>
      <c r="Q148" s="76" t="str">
        <f>P148</f>
        <v xml:space="preserve">  </v>
      </c>
      <c r="R148" s="77" t="str">
        <f>VLOOKUP(Q148,STN_TABLE,2,FALSE)</f>
        <v xml:space="preserve">  </v>
      </c>
      <c r="S148" s="77">
        <v>8</v>
      </c>
      <c r="T148" s="76" t="e">
        <f>R148*S148</f>
        <v>#VALUE!</v>
      </c>
      <c r="U148" s="80">
        <v>10</v>
      </c>
      <c r="V148" s="76" t="e">
        <f>R148*U148</f>
        <v>#VALUE!</v>
      </c>
      <c r="W148" s="496" t="s">
        <v>97</v>
      </c>
      <c r="X148" s="496"/>
      <c r="Y148" s="496" t="s">
        <v>98</v>
      </c>
      <c r="Z148" s="496"/>
      <c r="AA148" s="494" t="s">
        <v>99</v>
      </c>
      <c r="AB148" s="494"/>
      <c r="AC148" s="99">
        <f>AC143+1</f>
        <v>24</v>
      </c>
      <c r="AD148" s="95" t="str">
        <f>VLOOKUP(AC148,STN_TABLE_2,2,FALSE)</f>
        <v xml:space="preserve">  </v>
      </c>
      <c r="AE148" s="68" t="str">
        <f>VLOOKUP(AD148,STN_TABLE,2,FALSE)</f>
        <v xml:space="preserve">  </v>
      </c>
      <c r="AF148" s="68">
        <v>1</v>
      </c>
      <c r="AG148" s="69" t="e">
        <f>AE148*AF148</f>
        <v>#VALUE!</v>
      </c>
      <c r="AH148" s="496" t="s">
        <v>97</v>
      </c>
      <c r="AI148" s="496"/>
      <c r="AJ148" s="496" t="s">
        <v>98</v>
      </c>
      <c r="AK148" s="496"/>
      <c r="AL148" s="494" t="s">
        <v>99</v>
      </c>
      <c r="AM148" s="494"/>
      <c r="AP148" s="86" t="s">
        <v>112</v>
      </c>
      <c r="AQ148" s="89" t="s">
        <v>113</v>
      </c>
      <c r="AR148" s="89" t="s">
        <v>114</v>
      </c>
      <c r="AS148" s="89" t="s">
        <v>115</v>
      </c>
      <c r="AU148" s="81"/>
    </row>
    <row r="149" spans="1:47" x14ac:dyDescent="0.25">
      <c r="A149" s="84">
        <f>A148+1</f>
        <v>24</v>
      </c>
      <c r="B149" s="84" t="str">
        <f t="shared" si="69"/>
        <v xml:space="preserve">  </v>
      </c>
      <c r="C149" s="88" t="str">
        <f t="shared" ref="C149" si="77">B150</f>
        <v xml:space="preserve">  </v>
      </c>
      <c r="D149" s="82" t="str">
        <f>VLOOKUP(C149,STN_TABLE,2,FALSE)</f>
        <v xml:space="preserve">  </v>
      </c>
      <c r="E149" s="92">
        <v>1</v>
      </c>
      <c r="F149" s="82" t="e">
        <f>D149*E149</f>
        <v>#VALUE!</v>
      </c>
      <c r="G149" s="83" t="str">
        <f>C149</f>
        <v xml:space="preserve">  </v>
      </c>
      <c r="H149" s="83" t="e">
        <f>F149*G149</f>
        <v>#VALUE!</v>
      </c>
      <c r="I149" s="84" t="str">
        <f>CONCATENATE("a'(",C149,")=")</f>
        <v>a'(  )=</v>
      </c>
      <c r="J149" s="84" t="e">
        <f>2*J147/3*F150</f>
        <v>#VALUE!</v>
      </c>
      <c r="K149" s="84" t="e">
        <f>CONCATENATE("A(",C147,")=")</f>
        <v>#VALUE!</v>
      </c>
      <c r="L149" s="84" t="e">
        <f>VLOOKUP(C147,STN_TABLE,3,FALSE)</f>
        <v>#VALUE!</v>
      </c>
      <c r="M149" t="str">
        <f>CONCATENATE("A(",C149,")=")</f>
        <v>A(  )=</v>
      </c>
      <c r="N149" t="e">
        <f>J149+L149</f>
        <v>#VALUE!</v>
      </c>
      <c r="O149" s="99">
        <f>O148+1</f>
        <v>26</v>
      </c>
      <c r="P149" s="99" t="e">
        <f t="shared" si="65"/>
        <v>#N/A</v>
      </c>
      <c r="Q149" s="82" t="e">
        <f>IF(P149-P148=P148-P147,P149,IF(P150-P148=P148-P147,P150,IF(P149-P148=P148-P146,P149,IF(P150-P148=P148-P146,P150,"-"))))</f>
        <v>#N/A</v>
      </c>
      <c r="R149" s="83" t="e">
        <f>VLOOKUP(Q149,STN_TABLE,2,FALSE)</f>
        <v>#N/A</v>
      </c>
      <c r="S149" s="83">
        <v>-1</v>
      </c>
      <c r="T149" s="82" t="e">
        <f>R149*S149</f>
        <v>#N/A</v>
      </c>
      <c r="U149" s="88">
        <v>-1</v>
      </c>
      <c r="V149" s="82" t="e">
        <f>R149*U149</f>
        <v>#N/A</v>
      </c>
      <c r="W149" s="84" t="str">
        <f>CONCATENATE("a'(",Q148,")=")</f>
        <v>a'(  )=</v>
      </c>
      <c r="X149" s="84" t="e">
        <f>2*X147/12*T150</f>
        <v>#N/A</v>
      </c>
      <c r="Y149" s="84" t="e">
        <f>CONCATENATE("A(",Q147,")=")</f>
        <v>#N/A</v>
      </c>
      <c r="Z149" s="84" t="e">
        <f>VLOOKUP(Q147,STN_TABLE,3,FALSE)</f>
        <v>#N/A</v>
      </c>
      <c r="AA149" t="str">
        <f>CONCATENATE("A(",Q148,")=")</f>
        <v>A(  )=</v>
      </c>
      <c r="AB149" t="e">
        <f>X149+Z149</f>
        <v>#N/A</v>
      </c>
      <c r="AC149" s="99">
        <f>AC148+1</f>
        <v>25</v>
      </c>
      <c r="AD149" s="100" t="str">
        <f>VLOOKUP(AC149,STN_TABLE_2,2,FALSE)</f>
        <v xml:space="preserve">  </v>
      </c>
      <c r="AE149" s="82" t="str">
        <f>VLOOKUP(AD149,STN_TABLE,2,FALSE)</f>
        <v xml:space="preserve">  </v>
      </c>
      <c r="AF149" s="82">
        <v>2</v>
      </c>
      <c r="AG149" s="83" t="e">
        <f>AE149*AF149</f>
        <v>#VALUE!</v>
      </c>
      <c r="AH149" s="84" t="str">
        <f>CONCATENATE("a'(",AD149,")=")</f>
        <v>a'(  )=</v>
      </c>
      <c r="AI149" s="84" t="e">
        <f>2*AI147/2*AE150</f>
        <v>#VALUE!</v>
      </c>
      <c r="AJ149" s="84" t="str">
        <f>CONCATENATE("A(",AD148,")=")</f>
        <v>A(  )=</v>
      </c>
      <c r="AK149" s="84" t="str">
        <f>VLOOKUP(AD148,STN_TABLE,3,FALSE)</f>
        <v xml:space="preserve"> </v>
      </c>
      <c r="AL149" t="str">
        <f>CONCATENATE("A(",AD149,")=")</f>
        <v>A(  )=</v>
      </c>
      <c r="AM149" t="e">
        <f>AI149+AK149</f>
        <v>#VALUE!</v>
      </c>
      <c r="AO149" s="68" t="str">
        <f>AA149</f>
        <v>A(  )=</v>
      </c>
      <c r="AP149" s="68" t="e">
        <f>VLOOKUP(AO149,Rise_Results,2,FALSE)</f>
        <v>#N/A</v>
      </c>
      <c r="AQ149" s="76" t="e">
        <f>N149</f>
        <v>#VALUE!</v>
      </c>
      <c r="AR149" s="76" t="e">
        <f>IF(OR(AB149&lt;=0,AB150&lt;=0),1/0,AB149)</f>
        <v>#N/A</v>
      </c>
      <c r="AS149" s="76" t="e">
        <f>AM149</f>
        <v>#VALUE!</v>
      </c>
      <c r="AT149" t="e">
        <f>IFERROR(AP149,IFERROR(AQ149,IFERROR(AR149,AS149)))</f>
        <v>#VALUE!</v>
      </c>
      <c r="AU149" s="81"/>
    </row>
    <row r="150" spans="1:47" x14ac:dyDescent="0.25">
      <c r="A150" s="84">
        <f>A149+1</f>
        <v>25</v>
      </c>
      <c r="B150" s="84" t="str">
        <f t="shared" si="69"/>
        <v xml:space="preserve">  </v>
      </c>
      <c r="F150" s="82" t="e">
        <f>SUM(F147:F149)</f>
        <v>#VALUE!</v>
      </c>
      <c r="H150" s="82" t="e">
        <f>SUM(H147:H149)</f>
        <v>#VALUE!</v>
      </c>
      <c r="I150" s="84" t="str">
        <f>CONCATENATE("m'(",C149,")=")</f>
        <v>m'(  )=</v>
      </c>
      <c r="J150" s="84" t="e">
        <f>2*(J147*(WLS))/3*H150</f>
        <v>#VALUE!</v>
      </c>
      <c r="K150" s="84" t="e">
        <f>CONCATENATE("M(",C147,")=")</f>
        <v>#VALUE!</v>
      </c>
      <c r="L150" s="84" t="e">
        <f>VLOOKUP(C147,STN_TABLE,4,FALSE)</f>
        <v>#VALUE!</v>
      </c>
      <c r="M150" t="str">
        <f>CONCATENATE("M(",C149,")=")</f>
        <v>M(  )=</v>
      </c>
      <c r="N150" t="e">
        <f>J150+L150</f>
        <v>#VALUE!</v>
      </c>
      <c r="O150" s="99">
        <f>O149+1</f>
        <v>27</v>
      </c>
      <c r="P150" s="99" t="e">
        <f t="shared" si="65"/>
        <v>#N/A</v>
      </c>
      <c r="T150" s="89" t="e">
        <f>SUM(T147:T149)</f>
        <v>#N/A</v>
      </c>
      <c r="V150" s="82" t="e">
        <f>SUM(V147:V149)</f>
        <v>#N/A</v>
      </c>
      <c r="W150" s="84" t="str">
        <f>CONCATENATE("m'(",Q148,")=")</f>
        <v>m'(  )=</v>
      </c>
      <c r="X150" s="84" t="e">
        <f>(2*(X147^2)/24*V150)+(X149*Q147*WLS)</f>
        <v>#N/A</v>
      </c>
      <c r="Y150" s="84" t="e">
        <f>CONCATENATE("M(",Q147,")=")</f>
        <v>#N/A</v>
      </c>
      <c r="Z150" s="84" t="e">
        <f>VLOOKUP(Q147,STN_TABLE,4,FALSE)</f>
        <v>#N/A</v>
      </c>
      <c r="AA150" t="str">
        <f>CONCATENATE("M(",Q148,")=")</f>
        <v>M(  )=</v>
      </c>
      <c r="AB150" t="e">
        <f>X150+Z150</f>
        <v>#N/A</v>
      </c>
      <c r="AE150" s="89">
        <f>SUM(AE148:AE149)</f>
        <v>0</v>
      </c>
      <c r="AG150" s="89" t="e">
        <f>SUM(AG148:AG149)</f>
        <v>#VALUE!</v>
      </c>
      <c r="AH150" s="84" t="str">
        <f>CONCATENATE("m'(",AD149,")=")</f>
        <v>m'(  )=</v>
      </c>
      <c r="AI150" s="84" t="e">
        <f>(2*(AI147^2)/6*AG150)+(AI149*AD148*WLS)</f>
        <v>#VALUE!</v>
      </c>
      <c r="AJ150" s="84" t="str">
        <f>CONCATENATE("M(",AD148,")=")</f>
        <v>M(  )=</v>
      </c>
      <c r="AK150" s="84" t="str">
        <f>VLOOKUP(AD148,STN_TABLE,4,FALSE)</f>
        <v xml:space="preserve"> </v>
      </c>
      <c r="AL150" t="str">
        <f>CONCATENATE("M(",AD149,")=")</f>
        <v>M(  )=</v>
      </c>
      <c r="AM150" t="e">
        <f>AI150+AK150</f>
        <v>#VALUE!</v>
      </c>
      <c r="AO150" s="82" t="str">
        <f>AA150</f>
        <v>M(  )=</v>
      </c>
      <c r="AP150" s="82" t="e">
        <f>VLOOKUP(AO150,Rise_Results,2,FALSE)</f>
        <v>#N/A</v>
      </c>
      <c r="AQ150" s="82" t="e">
        <f>N150</f>
        <v>#VALUE!</v>
      </c>
      <c r="AR150" s="82" t="e">
        <f>IF(OR(AB149&lt;=0,AB150&lt;=0),1/0,AB150)</f>
        <v>#N/A</v>
      </c>
      <c r="AS150" s="82" t="e">
        <f>AM150</f>
        <v>#VALUE!</v>
      </c>
      <c r="AT150" t="e">
        <f>IFERROR(AP150,IFERROR(AQ150,IFERROR(AR150,AS150)))</f>
        <v>#VALUE!</v>
      </c>
      <c r="AU150" s="81"/>
    </row>
    <row r="151" spans="1:47" x14ac:dyDescent="0.25">
      <c r="A151" s="101"/>
      <c r="B151" s="101"/>
      <c r="AU151" s="81"/>
    </row>
    <row r="152" spans="1:47" x14ac:dyDescent="0.25">
      <c r="A152" s="84"/>
      <c r="B152" s="84"/>
      <c r="E152" s="81"/>
      <c r="F152" s="81"/>
      <c r="G152" s="81"/>
      <c r="H152" s="81"/>
      <c r="I152" s="103"/>
      <c r="J152" s="70"/>
      <c r="AU152" s="81"/>
    </row>
    <row r="153" spans="1:47" x14ac:dyDescent="0.25">
      <c r="A153" s="84"/>
      <c r="B153" s="84"/>
      <c r="E153" s="81"/>
      <c r="F153" s="81"/>
      <c r="G153" s="81"/>
      <c r="H153" s="81"/>
      <c r="I153" s="104"/>
      <c r="J153" s="78"/>
      <c r="K153" s="78"/>
      <c r="L153" s="78"/>
      <c r="M153" s="7"/>
      <c r="N153" s="7"/>
      <c r="AO153" s="81"/>
      <c r="AP153" s="81"/>
      <c r="AQ153" s="81"/>
      <c r="AR153" s="81"/>
      <c r="AS153" s="81"/>
      <c r="AT153" s="81"/>
      <c r="AU153" s="81"/>
    </row>
    <row r="154" spans="1:47" x14ac:dyDescent="0.25">
      <c r="A154" s="84"/>
      <c r="B154" s="84"/>
      <c r="E154" s="81"/>
      <c r="F154" s="81"/>
      <c r="G154" s="81"/>
      <c r="H154" s="81"/>
      <c r="I154" s="105"/>
      <c r="J154" s="84"/>
      <c r="K154" s="84"/>
      <c r="L154" s="84"/>
      <c r="AO154" s="81"/>
      <c r="AP154" s="81"/>
      <c r="AQ154" s="81"/>
      <c r="AR154" s="81"/>
      <c r="AS154" s="81"/>
      <c r="AT154" s="81"/>
      <c r="AU154" s="81"/>
    </row>
    <row r="155" spans="1:47" x14ac:dyDescent="0.25">
      <c r="A155" s="84"/>
      <c r="B155" s="84"/>
      <c r="E155" s="81"/>
      <c r="F155" s="81"/>
      <c r="G155" s="81"/>
      <c r="H155" s="81"/>
      <c r="I155" s="105"/>
      <c r="J155" s="84"/>
      <c r="K155" s="84"/>
      <c r="L155" s="84"/>
      <c r="AO155" s="81"/>
      <c r="AP155" s="81"/>
      <c r="AQ155" s="81"/>
      <c r="AR155" s="81"/>
      <c r="AS155" s="81"/>
      <c r="AT155" s="81"/>
      <c r="AU155" s="81"/>
    </row>
    <row r="156" spans="1:47" x14ac:dyDescent="0.25">
      <c r="A156" s="101"/>
      <c r="B156" s="101"/>
      <c r="E156" s="81"/>
      <c r="F156" s="81"/>
      <c r="G156" s="81"/>
      <c r="H156" s="81"/>
      <c r="I156" s="81"/>
      <c r="AO156" s="81"/>
      <c r="AP156" s="81"/>
      <c r="AQ156" s="81"/>
      <c r="AR156" s="81"/>
      <c r="AS156" s="81"/>
      <c r="AT156" s="81"/>
      <c r="AU156" s="81"/>
    </row>
    <row r="157" spans="1:47" x14ac:dyDescent="0.25">
      <c r="A157" s="84"/>
      <c r="B157" s="84"/>
      <c r="E157" s="81"/>
      <c r="F157" s="81"/>
      <c r="G157" s="81"/>
      <c r="H157" s="81"/>
      <c r="I157" s="103"/>
      <c r="J157" s="70"/>
      <c r="AO157" s="81"/>
      <c r="AP157" s="81"/>
      <c r="AQ157" s="81"/>
      <c r="AR157" s="81"/>
      <c r="AS157" s="81"/>
      <c r="AT157" s="81"/>
      <c r="AU157" s="81"/>
    </row>
    <row r="158" spans="1:47" x14ac:dyDescent="0.25">
      <c r="A158" s="84"/>
      <c r="B158" s="84"/>
      <c r="E158" s="81"/>
      <c r="F158" s="81"/>
      <c r="G158" s="81"/>
      <c r="H158" s="81"/>
      <c r="I158" s="104"/>
      <c r="J158" s="78"/>
      <c r="K158" s="78"/>
      <c r="L158" s="78"/>
      <c r="M158" s="7"/>
      <c r="N158" s="7"/>
      <c r="AO158" s="81"/>
      <c r="AP158" s="81"/>
      <c r="AQ158" s="81"/>
      <c r="AR158" s="81"/>
      <c r="AS158" s="81"/>
      <c r="AT158" s="81"/>
      <c r="AU158" s="81"/>
    </row>
    <row r="159" spans="1:47" x14ac:dyDescent="0.25">
      <c r="A159" s="84"/>
      <c r="B159" s="84"/>
      <c r="E159" s="81"/>
      <c r="F159" s="81"/>
      <c r="G159" s="81"/>
      <c r="H159" s="81"/>
      <c r="I159" s="105"/>
      <c r="J159" s="84"/>
      <c r="K159" s="84"/>
      <c r="L159" s="84"/>
      <c r="AO159" s="81"/>
      <c r="AP159" s="81"/>
      <c r="AQ159" s="81"/>
      <c r="AR159" s="81"/>
      <c r="AS159" s="81"/>
      <c r="AT159" s="81"/>
      <c r="AU159" s="81"/>
    </row>
    <row r="160" spans="1:47" x14ac:dyDescent="0.25">
      <c r="A160" s="84"/>
      <c r="B160" s="84"/>
      <c r="E160" s="81"/>
      <c r="F160" s="81"/>
      <c r="G160" s="81"/>
      <c r="H160" s="81"/>
      <c r="I160" s="105"/>
      <c r="J160" s="84"/>
      <c r="K160" s="84"/>
      <c r="L160" s="84"/>
      <c r="AO160" s="81"/>
      <c r="AP160" s="81"/>
      <c r="AQ160" s="81"/>
      <c r="AR160" s="81"/>
      <c r="AS160" s="81"/>
      <c r="AT160" s="81"/>
      <c r="AU160" s="81"/>
    </row>
    <row r="161" spans="1:47" x14ac:dyDescent="0.25">
      <c r="A161" s="101"/>
      <c r="B161" s="101"/>
      <c r="E161" s="81"/>
      <c r="F161" s="81"/>
      <c r="G161" s="81"/>
      <c r="H161" s="81"/>
      <c r="I161" s="81"/>
      <c r="AO161" s="81"/>
      <c r="AP161" s="81"/>
      <c r="AQ161" s="81"/>
      <c r="AR161" s="81"/>
      <c r="AS161" s="81"/>
      <c r="AT161" s="81"/>
      <c r="AU161" s="81"/>
    </row>
    <row r="162" spans="1:47" x14ac:dyDescent="0.25">
      <c r="A162" s="84"/>
      <c r="B162" s="84"/>
      <c r="E162" s="81"/>
      <c r="F162" s="81"/>
      <c r="G162" s="81"/>
      <c r="H162" s="81"/>
      <c r="I162" s="103"/>
      <c r="J162" s="70"/>
      <c r="AO162" s="81"/>
      <c r="AP162" s="81"/>
      <c r="AQ162" s="81"/>
      <c r="AR162" s="81"/>
      <c r="AS162" s="81"/>
      <c r="AT162" s="81"/>
      <c r="AU162" s="81"/>
    </row>
    <row r="163" spans="1:47" x14ac:dyDescent="0.25">
      <c r="A163" s="84"/>
      <c r="B163" s="84"/>
      <c r="E163" s="81"/>
      <c r="F163" s="81"/>
      <c r="G163" s="81"/>
      <c r="H163" s="81"/>
      <c r="I163" s="104"/>
      <c r="J163" s="78"/>
      <c r="K163" s="78"/>
      <c r="L163" s="78"/>
      <c r="M163" s="7"/>
      <c r="N163" s="7"/>
      <c r="AO163" s="81"/>
      <c r="AP163" s="81"/>
      <c r="AQ163" s="81"/>
      <c r="AR163" s="81"/>
      <c r="AS163" s="81"/>
      <c r="AT163" s="81"/>
      <c r="AU163" s="81"/>
    </row>
    <row r="164" spans="1:47" x14ac:dyDescent="0.25">
      <c r="A164" s="84"/>
      <c r="B164" s="84"/>
      <c r="E164" s="81"/>
      <c r="F164" s="81"/>
      <c r="G164" s="81"/>
      <c r="H164" s="81"/>
      <c r="I164" s="105"/>
      <c r="J164" s="84"/>
      <c r="K164" s="84"/>
      <c r="L164" s="84"/>
    </row>
    <row r="165" spans="1:47" x14ac:dyDescent="0.25">
      <c r="A165" s="84"/>
      <c r="B165" s="84"/>
      <c r="E165" s="81"/>
      <c r="F165" s="81"/>
      <c r="G165" s="81"/>
      <c r="H165" s="81"/>
      <c r="I165" s="105"/>
      <c r="J165" s="84"/>
      <c r="K165" s="84"/>
      <c r="L165" s="84"/>
    </row>
    <row r="166" spans="1:47" x14ac:dyDescent="0.25">
      <c r="A166" s="101"/>
      <c r="B166" s="101"/>
      <c r="E166" s="81"/>
      <c r="F166" s="81"/>
      <c r="G166" s="81"/>
      <c r="H166" s="81"/>
      <c r="I166" s="81"/>
    </row>
    <row r="167" spans="1:47" x14ac:dyDescent="0.25">
      <c r="A167" s="84"/>
      <c r="B167" s="84"/>
      <c r="E167" s="81"/>
      <c r="F167" s="81"/>
      <c r="G167" s="81"/>
      <c r="H167" s="81"/>
      <c r="I167" s="103"/>
      <c r="J167" s="70"/>
    </row>
    <row r="168" spans="1:47" x14ac:dyDescent="0.25">
      <c r="A168" s="84"/>
      <c r="B168" s="84"/>
      <c r="E168" s="81"/>
      <c r="F168" s="81"/>
      <c r="G168" s="81"/>
      <c r="H168" s="81"/>
      <c r="I168" s="104"/>
      <c r="J168" s="78"/>
      <c r="K168" s="78"/>
      <c r="L168" s="78"/>
      <c r="M168" s="7"/>
      <c r="N168" s="7"/>
    </row>
    <row r="169" spans="1:47" x14ac:dyDescent="0.25">
      <c r="A169" s="84"/>
      <c r="B169" s="84"/>
      <c r="E169" s="81"/>
      <c r="F169" s="81"/>
      <c r="G169" s="81"/>
      <c r="H169" s="81"/>
      <c r="I169" s="105"/>
      <c r="J169" s="84"/>
      <c r="K169" s="84"/>
      <c r="L169" s="84"/>
    </row>
    <row r="170" spans="1:47" x14ac:dyDescent="0.25">
      <c r="A170" s="84"/>
      <c r="B170" s="84"/>
      <c r="E170" s="81"/>
      <c r="F170" s="81"/>
      <c r="G170" s="81"/>
      <c r="H170" s="81"/>
      <c r="I170" s="105"/>
      <c r="J170" s="84"/>
      <c r="K170" s="84"/>
      <c r="L170" s="84"/>
    </row>
    <row r="171" spans="1:47" x14ac:dyDescent="0.25">
      <c r="E171" s="81"/>
      <c r="F171" s="81"/>
      <c r="G171" s="81"/>
      <c r="H171" s="81"/>
      <c r="I171" s="81"/>
    </row>
  </sheetData>
  <sheetProtection selectLockedCells="1" selectUnlockedCells="1"/>
  <mergeCells count="167">
    <mergeCell ref="A1:B1"/>
    <mergeCell ref="E1:F1"/>
    <mergeCell ref="L1:M1"/>
    <mergeCell ref="W33:X33"/>
    <mergeCell ref="Y33:Z33"/>
    <mergeCell ref="AA33:AB33"/>
    <mergeCell ref="AH33:AI33"/>
    <mergeCell ref="AJ33:AK33"/>
    <mergeCell ref="AL33:AM33"/>
    <mergeCell ref="I38:J38"/>
    <mergeCell ref="W38:X38"/>
    <mergeCell ref="Y38:Z38"/>
    <mergeCell ref="AA38:AB38"/>
    <mergeCell ref="AH38:AI38"/>
    <mergeCell ref="AJ38:AK38"/>
    <mergeCell ref="AL38:AM38"/>
    <mergeCell ref="AL43:AM43"/>
    <mergeCell ref="I48:J48"/>
    <mergeCell ref="W48:X48"/>
    <mergeCell ref="Y48:Z48"/>
    <mergeCell ref="AA48:AB48"/>
    <mergeCell ref="AH48:AI48"/>
    <mergeCell ref="AJ48:AK48"/>
    <mergeCell ref="AL48:AM48"/>
    <mergeCell ref="I43:J43"/>
    <mergeCell ref="W43:X43"/>
    <mergeCell ref="Y43:Z43"/>
    <mergeCell ref="AA43:AB43"/>
    <mergeCell ref="AH43:AI43"/>
    <mergeCell ref="AJ43:AK43"/>
    <mergeCell ref="AL53:AM53"/>
    <mergeCell ref="I58:J58"/>
    <mergeCell ref="AH58:AI58"/>
    <mergeCell ref="AJ58:AK58"/>
    <mergeCell ref="AL58:AM58"/>
    <mergeCell ref="I63:J63"/>
    <mergeCell ref="W63:X63"/>
    <mergeCell ref="Y63:Z63"/>
    <mergeCell ref="AA63:AB63"/>
    <mergeCell ref="AH63:AI63"/>
    <mergeCell ref="I53:J53"/>
    <mergeCell ref="W53:X53"/>
    <mergeCell ref="Y53:Z53"/>
    <mergeCell ref="AA53:AB53"/>
    <mergeCell ref="AH53:AI53"/>
    <mergeCell ref="AJ53:AK53"/>
    <mergeCell ref="AJ63:AK63"/>
    <mergeCell ref="AL63:AM63"/>
    <mergeCell ref="I68:J68"/>
    <mergeCell ref="W68:X68"/>
    <mergeCell ref="Y68:Z68"/>
    <mergeCell ref="AA68:AB68"/>
    <mergeCell ref="AH68:AI68"/>
    <mergeCell ref="AJ68:AK68"/>
    <mergeCell ref="AL68:AM68"/>
    <mergeCell ref="AL73:AM73"/>
    <mergeCell ref="I78:J78"/>
    <mergeCell ref="W78:X78"/>
    <mergeCell ref="Y78:Z78"/>
    <mergeCell ref="AA78:AB78"/>
    <mergeCell ref="AH78:AI78"/>
    <mergeCell ref="AJ78:AK78"/>
    <mergeCell ref="AL78:AM78"/>
    <mergeCell ref="I73:J73"/>
    <mergeCell ref="W73:X73"/>
    <mergeCell ref="Y73:Z73"/>
    <mergeCell ref="AA73:AB73"/>
    <mergeCell ref="AH73:AI73"/>
    <mergeCell ref="AJ73:AK73"/>
    <mergeCell ref="AL83:AM83"/>
    <mergeCell ref="I88:J88"/>
    <mergeCell ref="W88:X88"/>
    <mergeCell ref="Y88:Z88"/>
    <mergeCell ref="AA88:AB88"/>
    <mergeCell ref="AH88:AI88"/>
    <mergeCell ref="AJ88:AK88"/>
    <mergeCell ref="AL88:AM88"/>
    <mergeCell ref="I83:J83"/>
    <mergeCell ref="W83:X83"/>
    <mergeCell ref="Y83:Z83"/>
    <mergeCell ref="AA83:AB83"/>
    <mergeCell ref="AH83:AI83"/>
    <mergeCell ref="AJ83:AK83"/>
    <mergeCell ref="AL93:AM93"/>
    <mergeCell ref="I98:J98"/>
    <mergeCell ref="W98:X98"/>
    <mergeCell ref="Y98:Z98"/>
    <mergeCell ref="AA98:AB98"/>
    <mergeCell ref="AH98:AI98"/>
    <mergeCell ref="AJ98:AK98"/>
    <mergeCell ref="AL98:AM98"/>
    <mergeCell ref="I93:J93"/>
    <mergeCell ref="W93:X93"/>
    <mergeCell ref="Y93:Z93"/>
    <mergeCell ref="AA93:AB93"/>
    <mergeCell ref="AH93:AI93"/>
    <mergeCell ref="AJ93:AK93"/>
    <mergeCell ref="AL103:AM103"/>
    <mergeCell ref="I108:J108"/>
    <mergeCell ref="W108:X108"/>
    <mergeCell ref="Y108:Z108"/>
    <mergeCell ref="AA108:AB108"/>
    <mergeCell ref="AH108:AI108"/>
    <mergeCell ref="AJ108:AK108"/>
    <mergeCell ref="AL108:AM108"/>
    <mergeCell ref="I103:J103"/>
    <mergeCell ref="W103:X103"/>
    <mergeCell ref="Y103:Z103"/>
    <mergeCell ref="AA103:AB103"/>
    <mergeCell ref="AH103:AI103"/>
    <mergeCell ref="AJ103:AK103"/>
    <mergeCell ref="AL113:AM113"/>
    <mergeCell ref="I118:J118"/>
    <mergeCell ref="W118:X118"/>
    <mergeCell ref="Y118:Z118"/>
    <mergeCell ref="AA118:AB118"/>
    <mergeCell ref="AH118:AI118"/>
    <mergeCell ref="AJ118:AK118"/>
    <mergeCell ref="AL118:AM118"/>
    <mergeCell ref="I113:J113"/>
    <mergeCell ref="W113:X113"/>
    <mergeCell ref="Y113:Z113"/>
    <mergeCell ref="AA113:AB113"/>
    <mergeCell ref="AH113:AI113"/>
    <mergeCell ref="AJ113:AK113"/>
    <mergeCell ref="AL123:AM123"/>
    <mergeCell ref="I128:J128"/>
    <mergeCell ref="W128:X128"/>
    <mergeCell ref="Y128:Z128"/>
    <mergeCell ref="AA128:AB128"/>
    <mergeCell ref="AH128:AI128"/>
    <mergeCell ref="AJ128:AK128"/>
    <mergeCell ref="AL128:AM128"/>
    <mergeCell ref="I123:J123"/>
    <mergeCell ref="W123:X123"/>
    <mergeCell ref="Y123:Z123"/>
    <mergeCell ref="AA123:AB123"/>
    <mergeCell ref="AH123:AI123"/>
    <mergeCell ref="AJ123:AK123"/>
    <mergeCell ref="AL133:AM133"/>
    <mergeCell ref="I138:J138"/>
    <mergeCell ref="W138:X138"/>
    <mergeCell ref="Y138:Z138"/>
    <mergeCell ref="AA138:AB138"/>
    <mergeCell ref="AH138:AI138"/>
    <mergeCell ref="AJ138:AK138"/>
    <mergeCell ref="AL138:AM138"/>
    <mergeCell ref="I133:J133"/>
    <mergeCell ref="W133:X133"/>
    <mergeCell ref="Y133:Z133"/>
    <mergeCell ref="AA133:AB133"/>
    <mergeCell ref="AH133:AI133"/>
    <mergeCell ref="AJ133:AK133"/>
    <mergeCell ref="AL143:AM143"/>
    <mergeCell ref="I148:J148"/>
    <mergeCell ref="W148:X148"/>
    <mergeCell ref="Y148:Z148"/>
    <mergeCell ref="AA148:AB148"/>
    <mergeCell ref="AH148:AI148"/>
    <mergeCell ref="AJ148:AK148"/>
    <mergeCell ref="AL148:AM148"/>
    <mergeCell ref="I143:J143"/>
    <mergeCell ref="W143:X143"/>
    <mergeCell ref="Y143:Z143"/>
    <mergeCell ref="AA143:AB143"/>
    <mergeCell ref="AH143:AI143"/>
    <mergeCell ref="AJ143:AK143"/>
  </mergeCells>
  <pageMargins left="0.7" right="0.7" top="0.75" bottom="0.75" header="0.3" footer="0.3"/>
  <pageSetup paperSize="9" orientation="portrait"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AU171"/>
  <sheetViews>
    <sheetView topLeftCell="N1" workbookViewId="0">
      <pane ySplit="1" topLeftCell="A8" activePane="bottomLeft" state="frozen"/>
      <selection activeCell="AG8" sqref="AG8:AG10"/>
      <selection pane="bottomLeft" activeCell="AG8" sqref="AG8:AG10"/>
    </sheetView>
  </sheetViews>
  <sheetFormatPr defaultRowHeight="15" x14ac:dyDescent="0.25"/>
  <sheetData>
    <row r="1" spans="1:46" x14ac:dyDescent="0.25">
      <c r="A1" s="494" t="s">
        <v>90</v>
      </c>
      <c r="B1" s="494"/>
      <c r="C1">
        <f>HLOOKUP(Stn_WL,OFFSET_A,Count_STN+1,FALSE)</f>
        <v>3</v>
      </c>
      <c r="E1" s="494" t="s">
        <v>91</v>
      </c>
      <c r="F1" s="494"/>
      <c r="G1" t="str">
        <f>VLOOKUP(Station_No,RISE_CALC,2,FALSE)</f>
        <v>-</v>
      </c>
      <c r="L1" s="494" t="s">
        <v>92</v>
      </c>
      <c r="M1" s="494"/>
      <c r="N1">
        <v>6</v>
      </c>
    </row>
    <row r="2" spans="1:46" x14ac:dyDescent="0.25">
      <c r="Q2" s="66" t="str">
        <f t="shared" ref="Q2:R6" si="0">G4</f>
        <v>Rise</v>
      </c>
      <c r="R2" s="67" t="e">
        <f t="shared" si="0"/>
        <v>#VALUE!</v>
      </c>
      <c r="S2" s="68" t="e">
        <f>IF(OR(R5-R4=R4-R3,R6-R4=R4-R3),R3,IF(OR(R5-R4=R4-R2,R6-R4=R4-R2),R2,"-"))</f>
        <v>#VALUE!</v>
      </c>
      <c r="T2" s="69" t="e">
        <f>IFERROR(VLOOKUP(S2,STN_TABLE,2,FALSE),IF(R2=RisePerWLS,0,"-"))</f>
        <v>#VALUE!</v>
      </c>
      <c r="U2" s="69">
        <v>5</v>
      </c>
      <c r="V2" s="69" t="e">
        <f>T2*U2</f>
        <v>#VALUE!</v>
      </c>
      <c r="W2" s="69">
        <v>3</v>
      </c>
      <c r="X2" s="69" t="e">
        <f>T2*W2</f>
        <v>#VALUE!</v>
      </c>
      <c r="Y2" s="6" t="s">
        <v>93</v>
      </c>
      <c r="Z2" s="70" t="e">
        <f>IF(AND(S4-S3=S3-S2,NOT(AND(S2=0,S3=0)),NOT(AND(S3=0,S4=0))),WLS*(S4-S3),"#NA")</f>
        <v>#VALUE!</v>
      </c>
      <c r="AE2" s="71" t="s">
        <v>94</v>
      </c>
    </row>
    <row r="3" spans="1:46" x14ac:dyDescent="0.25">
      <c r="B3" s="72" t="s">
        <v>0</v>
      </c>
      <c r="C3" s="73" t="s">
        <v>95</v>
      </c>
      <c r="D3" s="73" t="s">
        <v>18</v>
      </c>
      <c r="E3" s="74" t="s">
        <v>20</v>
      </c>
      <c r="H3" s="75" t="s">
        <v>96</v>
      </c>
      <c r="K3" t="str">
        <f>IF(Rise=0,"(Not considered)","(Considered)")</f>
        <v>(Considered)</v>
      </c>
      <c r="Q3" s="66" t="str">
        <f t="shared" si="0"/>
        <v>1st_UWL</v>
      </c>
      <c r="R3" s="67" t="str">
        <f t="shared" si="0"/>
        <v>#NA</v>
      </c>
      <c r="S3" s="76" t="str">
        <f>R4</f>
        <v>#NA</v>
      </c>
      <c r="T3" s="77" t="e">
        <f>VLOOKUP(S3,STN_TABLE,2,FALSE)</f>
        <v>#N/A</v>
      </c>
      <c r="U3" s="77">
        <v>8</v>
      </c>
      <c r="V3" s="77" t="e">
        <f>T3*U3</f>
        <v>#N/A</v>
      </c>
      <c r="W3" s="77">
        <v>10</v>
      </c>
      <c r="X3" s="77" t="e">
        <f>T3*W3</f>
        <v>#N/A</v>
      </c>
      <c r="Y3" s="78" t="s">
        <v>97</v>
      </c>
      <c r="Z3" s="78"/>
      <c r="AA3" s="78" t="s">
        <v>98</v>
      </c>
      <c r="AB3" s="78"/>
      <c r="AC3" s="7" t="s">
        <v>99</v>
      </c>
      <c r="AD3" s="7"/>
      <c r="AE3" s="66" t="str">
        <f t="shared" ref="AE3:AF7" si="1">G4</f>
        <v>Rise</v>
      </c>
      <c r="AF3" s="67" t="e">
        <f t="shared" si="1"/>
        <v>#VALUE!</v>
      </c>
      <c r="AG3" s="79" t="e">
        <f>IF(AF7-AF6=AF6-AF5,AF5,IF(OR(AF7-AF6=AF6-AF4,AF7-AF5=AF5-AF4),AF4,IF(OR(AF7-AF6=AF6-AF3,AF7-AF5=AF5-AF3,AF7-AF4=AF4-AF3),AF3,"#NA")))</f>
        <v>#VALUE!</v>
      </c>
      <c r="AH3" s="69" t="e">
        <f>IFERROR(VLOOKUP(AG3,STN_TABLE,2,FALSE),IF(AF3=RisePerWLS,0,"-"))</f>
        <v>#VALUE!</v>
      </c>
      <c r="AI3" s="69">
        <v>1</v>
      </c>
      <c r="AJ3" s="69" t="e">
        <f>AH3*AI3</f>
        <v>#VALUE!</v>
      </c>
      <c r="AK3" s="69" t="e">
        <f>AG3</f>
        <v>#VALUE!</v>
      </c>
      <c r="AL3" s="69" t="e">
        <f>AJ3*AK3</f>
        <v>#VALUE!</v>
      </c>
      <c r="AM3" s="6" t="s">
        <v>93</v>
      </c>
      <c r="AN3" s="70" t="e">
        <f>IF(AND(AH3=0,AH4=0,AH5=0),WLS*(AG5-AG4),IF(AND(AG5-AG4=AG4-AG3,AG4&lt;&gt;AG5,AG3&lt;&gt;AG4,AG3&lt;&gt;AG5,AH5&lt;&gt;0,OR(AH3&lt;&gt;0,AH4&lt;&gt;0)),WLS*(AG5-AG4),"#NA"))</f>
        <v>#VALUE!</v>
      </c>
    </row>
    <row r="4" spans="1:46" x14ac:dyDescent="0.25">
      <c r="A4">
        <v>1</v>
      </c>
      <c r="B4" s="80">
        <f t="shared" ref="B4:B28" si="2">VLOOKUP(Stn_WL,OFFSET_A,A4+1,FALSE)</f>
        <v>0</v>
      </c>
      <c r="C4" s="81">
        <f t="shared" ref="C4:C28" si="3">VLOOKUP(Station_No,OFFSET_A,A4+1,FALSE)</f>
        <v>1.9</v>
      </c>
      <c r="D4" s="81">
        <v>0</v>
      </c>
      <c r="E4" s="77">
        <v>0</v>
      </c>
      <c r="G4" t="s">
        <v>100</v>
      </c>
      <c r="H4" t="e">
        <f>Rise/WLS</f>
        <v>#VALUE!</v>
      </c>
      <c r="K4" t="str">
        <f>CONCATENATE("A(",H5,")=")</f>
        <v>A(#NA)=</v>
      </c>
      <c r="L4" t="e">
        <f>IFERROR(N18,N22)</f>
        <v>#VALUE!</v>
      </c>
      <c r="Q4" s="66" t="str">
        <f t="shared" si="0"/>
        <v>2nd_UWL</v>
      </c>
      <c r="R4" s="67" t="str">
        <f t="shared" si="0"/>
        <v>#NA</v>
      </c>
      <c r="S4" s="82" t="e">
        <f>IF((S2-S3)=S3-R5,R5,IF(S2-S3=S3-R6,R6,"-"))</f>
        <v>#VALUE!</v>
      </c>
      <c r="T4" s="83" t="e">
        <f>VLOOKUP(S4,STN_TABLE,2,FALSE)</f>
        <v>#VALUE!</v>
      </c>
      <c r="U4" s="83">
        <v>-1</v>
      </c>
      <c r="V4" s="83" t="e">
        <f>T4*U4</f>
        <v>#VALUE!</v>
      </c>
      <c r="W4" s="83">
        <v>-1</v>
      </c>
      <c r="X4" s="83" t="e">
        <f>T4*W4</f>
        <v>#VALUE!</v>
      </c>
      <c r="Y4" s="84" t="str">
        <f>CONCATENATE("a'(",S3,")=")</f>
        <v>a'(#NA)=</v>
      </c>
      <c r="Z4" s="85" t="e">
        <f>2*Z2/12*V5</f>
        <v>#VALUE!</v>
      </c>
      <c r="AA4" s="84" t="e">
        <f>CONCATENATE("A(",S2,")=")</f>
        <v>#VALUE!</v>
      </c>
      <c r="AB4" s="84" t="e">
        <f>IF(S2=RisePerWLS,0,VLOOKUP(S2,STN_TABLE,3,FALSE))</f>
        <v>#VALUE!</v>
      </c>
      <c r="AC4" t="str">
        <f>CONCATENATE("A(",S3,")=")</f>
        <v>A(#NA)=</v>
      </c>
      <c r="AD4" t="e">
        <f>Z4+AB4</f>
        <v>#VALUE!</v>
      </c>
      <c r="AE4" s="66" t="str">
        <f t="shared" si="1"/>
        <v>1st_UWL</v>
      </c>
      <c r="AF4" s="67" t="str">
        <f t="shared" si="1"/>
        <v>#NA</v>
      </c>
      <c r="AG4" s="80" t="e">
        <f>IF(OR(AF7-AF6=AF6-AF5,AF7-AF6=AF6-AF4,AF7-AF6=AF6-AF3),AF6,IF(OR(AF7-AF5=AF5-AF4,AF7-AF5=AF5-AF3),AF5,IF(AF7-AF4=AF4-AF3,AF4,"#NA")))</f>
        <v>#VALUE!</v>
      </c>
      <c r="AH4" s="77" t="e">
        <f>VLOOKUP(AG4,STN_TABLE,2,FALSE)</f>
        <v>#VALUE!</v>
      </c>
      <c r="AI4" s="77">
        <v>4</v>
      </c>
      <c r="AJ4" s="77" t="e">
        <f>AH4*AI4</f>
        <v>#VALUE!</v>
      </c>
      <c r="AK4" s="77" t="e">
        <f>AG4</f>
        <v>#VALUE!</v>
      </c>
      <c r="AL4" s="77" t="e">
        <f>AJ4*AK4</f>
        <v>#VALUE!</v>
      </c>
      <c r="AM4" s="78" t="s">
        <v>97</v>
      </c>
      <c r="AN4" s="78"/>
      <c r="AO4" s="78" t="s">
        <v>98</v>
      </c>
      <c r="AP4" s="78"/>
      <c r="AQ4" s="7" t="s">
        <v>99</v>
      </c>
      <c r="AR4" s="7"/>
      <c r="AS4" s="7"/>
      <c r="AT4" s="7"/>
    </row>
    <row r="5" spans="1:46" x14ac:dyDescent="0.25">
      <c r="A5">
        <v>2</v>
      </c>
      <c r="B5" s="80">
        <f t="shared" si="2"/>
        <v>0.25</v>
      </c>
      <c r="C5" s="81">
        <f t="shared" si="3"/>
        <v>3.32</v>
      </c>
      <c r="D5" s="81">
        <f t="shared" ref="D5:D28" si="4">IFERROR(VLOOKUP(CONCATENATE("A(",B5,")="),RESULT_TABLE,6,FALSE)," ")</f>
        <v>2.6574999999999998</v>
      </c>
      <c r="E5" s="77">
        <f t="shared" ref="E5:E28" si="5">IFERROR(VLOOKUP(CONCATENATE("M(",B5,")="),RESULT_TABLE,6,FALSE)," ")</f>
        <v>0.72354166666666642</v>
      </c>
      <c r="G5" t="s">
        <v>101</v>
      </c>
      <c r="H5" t="str">
        <f>VLOOKUP(Station_No,RISE_CALC,4,FALSE)</f>
        <v>#NA</v>
      </c>
      <c r="K5" t="str">
        <f>CONCATENATE("M(",H5,")=")</f>
        <v>M(#NA)=</v>
      </c>
      <c r="L5" t="e">
        <f>IFERROR(N19,N23)</f>
        <v>#VALUE!</v>
      </c>
      <c r="Q5" s="66" t="str">
        <f t="shared" si="0"/>
        <v>3rd_UWL</v>
      </c>
      <c r="R5" s="67" t="str">
        <f t="shared" si="0"/>
        <v>#NA</v>
      </c>
      <c r="V5" s="86" t="e">
        <f>SUM(V2:V4)</f>
        <v>#VALUE!</v>
      </c>
      <c r="X5" s="87" t="e">
        <f>SUM(X2:X4)</f>
        <v>#VALUE!</v>
      </c>
      <c r="Y5" s="84" t="str">
        <f>CONCATENATE("m'(",S3,")=")</f>
        <v>m'(#NA)=</v>
      </c>
      <c r="Z5" s="85" t="e">
        <f>(2*(Z2^2)/24*X5)+(Z4*S2*WLS)</f>
        <v>#VALUE!</v>
      </c>
      <c r="AA5" s="84" t="e">
        <f>CONCATENATE("M(",S2,")=")</f>
        <v>#VALUE!</v>
      </c>
      <c r="AB5" s="84" t="e">
        <f>IF(S2=RisePerWLS,0,VLOOKUP(S2,STN_TABLE,4,FALSE))</f>
        <v>#VALUE!</v>
      </c>
      <c r="AC5" t="str">
        <f>CONCATENATE("M(",S3,")=")</f>
        <v>M(#NA)=</v>
      </c>
      <c r="AD5" t="e">
        <f>Z5+AB5</f>
        <v>#VALUE!</v>
      </c>
      <c r="AE5" s="66" t="str">
        <f t="shared" si="1"/>
        <v>2nd_UWL</v>
      </c>
      <c r="AF5" s="67" t="str">
        <f t="shared" si="1"/>
        <v>#NA</v>
      </c>
      <c r="AG5" s="88" t="str">
        <f>AF7</f>
        <v>#NA</v>
      </c>
      <c r="AH5" s="83" t="e">
        <f>VLOOKUP(AG5,STN_TABLE,2,FALSE)</f>
        <v>#N/A</v>
      </c>
      <c r="AI5" s="83">
        <v>1</v>
      </c>
      <c r="AJ5" s="83" t="e">
        <f>AH5*AI5</f>
        <v>#N/A</v>
      </c>
      <c r="AK5" s="83" t="str">
        <f>AG5</f>
        <v>#NA</v>
      </c>
      <c r="AL5" s="83" t="e">
        <f>AJ5*AK5</f>
        <v>#N/A</v>
      </c>
      <c r="AM5" s="84" t="str">
        <f>CONCATENATE("a'(",AG5,")=")</f>
        <v>a'(#NA)=</v>
      </c>
      <c r="AN5" s="84" t="e">
        <f>2*AN3/3*AJ6</f>
        <v>#VALUE!</v>
      </c>
      <c r="AO5" s="84" t="e">
        <f>CONCATENATE("A(",AG3,")=")</f>
        <v>#VALUE!</v>
      </c>
      <c r="AP5" s="84" t="e">
        <f>IF(AG3=RisePerWLS,0,VLOOKUP(AG3,STN_TABLE,3,FALSE))</f>
        <v>#VALUE!</v>
      </c>
      <c r="AQ5" t="str">
        <f>CONCATENATE("A(",AG5,")=")</f>
        <v>A(#NA)=</v>
      </c>
      <c r="AR5" t="e">
        <f>AN5+AP5</f>
        <v>#VALUE!</v>
      </c>
    </row>
    <row r="6" spans="1:46" x14ac:dyDescent="0.25">
      <c r="A6">
        <v>3</v>
      </c>
      <c r="B6" s="80">
        <f t="shared" si="2"/>
        <v>0.5</v>
      </c>
      <c r="C6" s="81">
        <f t="shared" si="3"/>
        <v>4.17</v>
      </c>
      <c r="D6" s="81">
        <f t="shared" si="4"/>
        <v>6.45</v>
      </c>
      <c r="E6" s="77">
        <f t="shared" si="5"/>
        <v>3.6033333333333326</v>
      </c>
      <c r="G6" t="s">
        <v>102</v>
      </c>
      <c r="H6" t="str">
        <f>VLOOKUP(Station_No,RISE_CALC,5,FALSE)</f>
        <v>#NA</v>
      </c>
      <c r="K6" t="str">
        <f>CONCATENATE("A(",H6,")=")</f>
        <v>A(#NA)=</v>
      </c>
      <c r="L6" t="e">
        <f>IFERROR(P27,IFERROR(X6,AD9))</f>
        <v>#VALUE!</v>
      </c>
      <c r="Q6" s="66" t="str">
        <f t="shared" si="0"/>
        <v>4th_UWL</v>
      </c>
      <c r="R6" s="67" t="str">
        <f t="shared" si="0"/>
        <v>#NA</v>
      </c>
      <c r="U6" t="s">
        <v>103</v>
      </c>
      <c r="W6" t="str">
        <f>CONCATENATE("A(",S3,")=")</f>
        <v>A(#NA)=</v>
      </c>
      <c r="X6" t="e">
        <f>IF(OR(AD4&lt;=0,AD5&lt;=0),AD9,AD4)</f>
        <v>#VALUE!</v>
      </c>
      <c r="AE6" s="66" t="str">
        <f t="shared" si="1"/>
        <v>3rd_UWL</v>
      </c>
      <c r="AF6" s="67" t="str">
        <f t="shared" si="1"/>
        <v>#NA</v>
      </c>
      <c r="AJ6" s="89" t="e">
        <f>SUM(AJ3:AJ5)</f>
        <v>#VALUE!</v>
      </c>
      <c r="AL6" s="89" t="e">
        <f>SUM(AL3:AL5)</f>
        <v>#VALUE!</v>
      </c>
      <c r="AM6" s="84" t="str">
        <f>CONCATENATE("m'(",AG5,")=")</f>
        <v>m'(#NA)=</v>
      </c>
      <c r="AN6" s="84" t="e">
        <f>2*(AN3*WLS)/3*AL6</f>
        <v>#VALUE!</v>
      </c>
      <c r="AO6" s="84" t="e">
        <f>CONCATENATE("M(",AG3,")=")</f>
        <v>#VALUE!</v>
      </c>
      <c r="AP6" s="84" t="e">
        <f>IF(AG3=RisePerWLS,0,VLOOKUP(AG3,STN_TABLE,4,FALSE))</f>
        <v>#VALUE!</v>
      </c>
      <c r="AQ6" t="str">
        <f>CONCATENATE("M(",AG5,")=")</f>
        <v>M(#NA)=</v>
      </c>
      <c r="AR6" t="e">
        <f>AN6+AP6</f>
        <v>#VALUE!</v>
      </c>
    </row>
    <row r="7" spans="1:46" x14ac:dyDescent="0.25">
      <c r="A7">
        <v>4</v>
      </c>
      <c r="B7" s="80">
        <f t="shared" si="2"/>
        <v>0.75</v>
      </c>
      <c r="C7" s="81">
        <f t="shared" si="3"/>
        <v>4.72</v>
      </c>
      <c r="D7" s="81">
        <f t="shared" si="4"/>
        <v>10.897499999999997</v>
      </c>
      <c r="E7" s="77">
        <f t="shared" si="5"/>
        <v>9.1968749999999986</v>
      </c>
      <c r="G7" t="s">
        <v>104</v>
      </c>
      <c r="H7" t="str">
        <f>VLOOKUP(Station_No,RISE_CALC,6,FALSE)</f>
        <v>#NA</v>
      </c>
      <c r="K7" t="str">
        <f>CONCATENATE("M(",H6,")=")</f>
        <v>M(#NA)=</v>
      </c>
      <c r="L7" t="e">
        <f>IFERROR(P28,IFERROR(X7,AD10))</f>
        <v>#VALUE!</v>
      </c>
      <c r="Q7" s="66"/>
      <c r="R7" s="67"/>
      <c r="W7" t="str">
        <f>CONCATENATE("M(",S3,")=")</f>
        <v>M(#NA)=</v>
      </c>
      <c r="X7" t="e">
        <f>IF(OR(AD4&lt;=0,AD5&lt;=0),AD10,AD5)</f>
        <v>#VALUE!</v>
      </c>
      <c r="Y7" s="6" t="s">
        <v>93</v>
      </c>
      <c r="Z7" s="70" t="e">
        <f>WLS*(U9-U8)</f>
        <v>#VALUE!</v>
      </c>
      <c r="AE7" s="66" t="str">
        <f t="shared" si="1"/>
        <v>4th_UWL</v>
      </c>
      <c r="AF7" s="67" t="str">
        <f t="shared" si="1"/>
        <v>#NA</v>
      </c>
      <c r="AH7" s="81"/>
    </row>
    <row r="8" spans="1:46" x14ac:dyDescent="0.25">
      <c r="A8">
        <v>5</v>
      </c>
      <c r="B8" s="80">
        <f t="shared" si="2"/>
        <v>1</v>
      </c>
      <c r="C8" s="81">
        <f t="shared" si="3"/>
        <v>5.15</v>
      </c>
      <c r="D8" s="81">
        <f t="shared" si="4"/>
        <v>15.849999999999998</v>
      </c>
      <c r="E8" s="77">
        <f t="shared" si="5"/>
        <v>17.866666666666667</v>
      </c>
      <c r="G8" t="s">
        <v>105</v>
      </c>
      <c r="H8" t="str">
        <f>VLOOKUP(Station_No,RISE_CALC,7,FALSE)</f>
        <v>#NA</v>
      </c>
      <c r="K8" t="str">
        <f>CONCATENATE("A(",H7,")=")</f>
        <v>A(#NA)=</v>
      </c>
      <c r="L8" t="e">
        <f>IFERROR(AD15,IFERROR(X24,AD27))</f>
        <v>#VALUE!</v>
      </c>
      <c r="Q8" s="80"/>
      <c r="R8" s="81"/>
      <c r="U8" s="79" t="str">
        <f>R3</f>
        <v>#NA</v>
      </c>
      <c r="V8" s="68" t="e">
        <f>VLOOKUP(U8,STN_TABLE,2,FALSE)</f>
        <v>#N/A</v>
      </c>
      <c r="W8" s="68">
        <v>1</v>
      </c>
      <c r="X8" s="69" t="e">
        <f>V8*W8</f>
        <v>#N/A</v>
      </c>
      <c r="Y8" s="78" t="s">
        <v>97</v>
      </c>
      <c r="Z8" s="78"/>
      <c r="AA8" s="78" t="s">
        <v>98</v>
      </c>
      <c r="AB8" s="78"/>
      <c r="AC8" s="7" t="s">
        <v>99</v>
      </c>
      <c r="AD8" s="7"/>
      <c r="AE8" s="66"/>
      <c r="AF8" s="67"/>
      <c r="AG8" s="68" t="e">
        <f>IF(OR(AF12-AF11=AF11-AF10,AF13-AF11=AF11-AF10),AF10,IF(OR(AF12-AF11=AF11-AF9,AF13-AF11=AF11-AF9),AF9,"-"))</f>
        <v>#VALUE!</v>
      </c>
      <c r="AH8" s="69" t="e">
        <f>IFERROR(VLOOKUP(AG8,STN_TABLE,2,FALSE),IF(AF8=RisePerWLS,0,"-"))</f>
        <v>#VALUE!</v>
      </c>
      <c r="AI8" s="69">
        <v>5</v>
      </c>
      <c r="AJ8" s="69" t="e">
        <f>AH8*AI8</f>
        <v>#VALUE!</v>
      </c>
      <c r="AK8" s="69">
        <v>3</v>
      </c>
      <c r="AL8" s="69" t="e">
        <f>AH8*AK8</f>
        <v>#VALUE!</v>
      </c>
      <c r="AM8" s="6" t="s">
        <v>93</v>
      </c>
      <c r="AN8" s="70" t="e">
        <f>IF(AND(AG10-AG9=AG9-AG8,NOT(AND(AG8=0,AG9=0)),NOT(AND(AG9=0,AG10=0))),WLS*(AG10-AG9),"#NA")</f>
        <v>#VALUE!</v>
      </c>
    </row>
    <row r="9" spans="1:46" x14ac:dyDescent="0.25">
      <c r="A9">
        <v>6</v>
      </c>
      <c r="B9" s="80">
        <f t="shared" si="2"/>
        <v>2</v>
      </c>
      <c r="C9" s="81">
        <f t="shared" si="3"/>
        <v>6.67</v>
      </c>
      <c r="D9" s="81">
        <f t="shared" si="4"/>
        <v>39.633333333333326</v>
      </c>
      <c r="E9" s="77">
        <f t="shared" si="5"/>
        <v>90.22999999999999</v>
      </c>
      <c r="G9" t="s">
        <v>106</v>
      </c>
      <c r="H9" t="str">
        <f>VLOOKUP(Station_No,RISE_CALC,8,FALSE)</f>
        <v>#NA</v>
      </c>
      <c r="K9" t="str">
        <f>CONCATENATE("M(",H7,")=")</f>
        <v>M(#NA)=</v>
      </c>
      <c r="L9" t="e">
        <f>IFERROR(AD16,IFERROR(X25,AD28))</f>
        <v>#VALUE!</v>
      </c>
      <c r="Q9" s="80"/>
      <c r="R9" s="81"/>
      <c r="U9" s="88" t="str">
        <f>R4</f>
        <v>#NA</v>
      </c>
      <c r="V9" s="82" t="e">
        <f>VLOOKUP(U9,STN_TABLE,2,FALSE)</f>
        <v>#N/A</v>
      </c>
      <c r="W9" s="82">
        <v>2</v>
      </c>
      <c r="X9" s="83" t="e">
        <f>V9*W9</f>
        <v>#N/A</v>
      </c>
      <c r="Y9" s="84" t="str">
        <f>CONCATENATE("a'(",U9,")=")</f>
        <v>a'(#NA)=</v>
      </c>
      <c r="Z9" s="84" t="e">
        <f>2*Z7/2*V10</f>
        <v>#VALUE!</v>
      </c>
      <c r="AA9" s="84" t="str">
        <f>CONCATENATE("A(",U8,")=")</f>
        <v>A(#NA)=</v>
      </c>
      <c r="AB9" s="84" t="e">
        <f>IF(U8=RisePerWLS,0,VLOOKUP(U8,STN_TABLE,3,FALSE))</f>
        <v>#VALUE!</v>
      </c>
      <c r="AC9" t="str">
        <f>CONCATENATE("A(",U9,")=")</f>
        <v>A(#NA)=</v>
      </c>
      <c r="AD9" t="e">
        <f>Z9+AB9</f>
        <v>#VALUE!</v>
      </c>
      <c r="AE9" s="66" t="str">
        <f t="shared" ref="AE9:AF13" si="6">G6</f>
        <v>2nd_UWL</v>
      </c>
      <c r="AF9" s="67" t="str">
        <f t="shared" si="6"/>
        <v>#NA</v>
      </c>
      <c r="AG9" s="76" t="str">
        <f>AF11</f>
        <v>#NA</v>
      </c>
      <c r="AH9" s="77" t="e">
        <f>VLOOKUP(AG9,STN_TABLE,2,FALSE)</f>
        <v>#N/A</v>
      </c>
      <c r="AI9" s="77">
        <v>8</v>
      </c>
      <c r="AJ9" s="77" t="e">
        <f>AH9*AI9</f>
        <v>#N/A</v>
      </c>
      <c r="AK9" s="77">
        <v>10</v>
      </c>
      <c r="AL9" s="77" t="e">
        <f>AH9*AK9</f>
        <v>#N/A</v>
      </c>
      <c r="AM9" s="78" t="s">
        <v>97</v>
      </c>
      <c r="AN9" s="78"/>
      <c r="AO9" s="78" t="s">
        <v>98</v>
      </c>
      <c r="AP9" s="78"/>
      <c r="AQ9" s="7" t="s">
        <v>99</v>
      </c>
      <c r="AR9" s="7"/>
      <c r="AS9" s="7"/>
      <c r="AT9" s="7"/>
    </row>
    <row r="10" spans="1:46" x14ac:dyDescent="0.25">
      <c r="A10">
        <v>7</v>
      </c>
      <c r="B10" s="80">
        <f t="shared" si="2"/>
        <v>3</v>
      </c>
      <c r="C10" s="81">
        <f t="shared" si="3"/>
        <v>7.76</v>
      </c>
      <c r="D10" s="81">
        <f t="shared" si="4"/>
        <v>68.636666666666656</v>
      </c>
      <c r="E10" s="77">
        <f t="shared" si="5"/>
        <v>235.9733333333333</v>
      </c>
      <c r="G10" t="s">
        <v>107</v>
      </c>
      <c r="H10" t="str">
        <f>VLOOKUP(Station_No,RISE_CALC,9,FALSE)</f>
        <v>#NA</v>
      </c>
      <c r="K10" t="str">
        <f>CONCATENATE("A(",H8,")=")</f>
        <v>A(#NA)=</v>
      </c>
      <c r="L10" t="e">
        <f>IFERROR(AR5,IFERROR(AL12,AR15))</f>
        <v>#VALUE!</v>
      </c>
      <c r="Q10" s="80"/>
      <c r="R10" s="81"/>
      <c r="V10" s="89" t="e">
        <f>SUM(V8:V9)</f>
        <v>#N/A</v>
      </c>
      <c r="X10" s="89" t="e">
        <f>SUM(X8:X9)</f>
        <v>#N/A</v>
      </c>
      <c r="Y10" s="84" t="str">
        <f>CONCATENATE("m'(",U9,")=")</f>
        <v>m'(#NA)=</v>
      </c>
      <c r="Z10" s="84" t="e">
        <f>(2*(Z7^2)/6*X10)+(Z9*U8*WLS)</f>
        <v>#VALUE!</v>
      </c>
      <c r="AA10" s="84" t="str">
        <f>CONCATENATE("M(",U8,")=")</f>
        <v>M(#NA)=</v>
      </c>
      <c r="AB10" s="84" t="e">
        <f>IF(U8=RisePerWLS,0,VLOOKUP(U8,STN_TABLE,4,FALSE))</f>
        <v>#VALUE!</v>
      </c>
      <c r="AC10" t="str">
        <f>CONCATENATE("M(",U9,")=")</f>
        <v>M(#NA)=</v>
      </c>
      <c r="AD10" t="e">
        <f>Z10+AB10</f>
        <v>#VALUE!</v>
      </c>
      <c r="AE10" s="66" t="str">
        <f t="shared" si="6"/>
        <v>3rd_UWL</v>
      </c>
      <c r="AF10" s="67" t="str">
        <f t="shared" si="6"/>
        <v>#NA</v>
      </c>
      <c r="AG10" s="82" t="e">
        <f>IF(AG8-AG9=AG9-AF12,AF12,IF(AG8-AG9=AG9-AF13,AF13,"-"))</f>
        <v>#VALUE!</v>
      </c>
      <c r="AH10" s="83" t="e">
        <f>VLOOKUP(AG10,STN_TABLE,2,FALSE)</f>
        <v>#VALUE!</v>
      </c>
      <c r="AI10" s="83">
        <v>-1</v>
      </c>
      <c r="AJ10" s="83" t="e">
        <f>AH10*AI10</f>
        <v>#VALUE!</v>
      </c>
      <c r="AK10" s="83">
        <v>-1</v>
      </c>
      <c r="AL10" s="83" t="e">
        <f>AH10*AK10</f>
        <v>#VALUE!</v>
      </c>
      <c r="AM10" s="84" t="str">
        <f>CONCATENATE("a'(",AG9,")=")</f>
        <v>a'(#NA)=</v>
      </c>
      <c r="AN10" s="84" t="e">
        <f>2*AN8/12*AJ11</f>
        <v>#VALUE!</v>
      </c>
      <c r="AO10" s="84" t="e">
        <f>CONCATENATE("A(",AG8,")=")</f>
        <v>#VALUE!</v>
      </c>
      <c r="AP10" s="84" t="e">
        <f>VLOOKUP(AG8,STN_TABLE,3,FALSE)</f>
        <v>#VALUE!</v>
      </c>
      <c r="AQ10" t="str">
        <f>CONCATENATE("A(",AG9,")=")</f>
        <v>A(#NA)=</v>
      </c>
      <c r="AR10" t="e">
        <f>AN10+AP10</f>
        <v>#VALUE!</v>
      </c>
    </row>
    <row r="11" spans="1:46" x14ac:dyDescent="0.25">
      <c r="A11">
        <v>8</v>
      </c>
      <c r="B11" s="80">
        <f t="shared" si="2"/>
        <v>4</v>
      </c>
      <c r="C11" s="81">
        <f t="shared" si="3"/>
        <v>8.65</v>
      </c>
      <c r="D11" s="81">
        <f t="shared" si="4"/>
        <v>101.44666666666666</v>
      </c>
      <c r="E11" s="77">
        <f t="shared" si="5"/>
        <v>466.39</v>
      </c>
      <c r="G11" t="s">
        <v>108</v>
      </c>
      <c r="H11" t="str">
        <f>VLOOKUP(Station_No,RISE_CALC,10,FALSE)</f>
        <v>#NA</v>
      </c>
      <c r="K11" t="str">
        <f>CONCATENATE("M(",H8,")=")</f>
        <v>M(#NA)=</v>
      </c>
      <c r="L11" t="e">
        <f>IFERROR(AR6,IFERROR(AL13,AR16))</f>
        <v>#VALUE!</v>
      </c>
      <c r="Q11" s="80"/>
      <c r="R11" s="81"/>
      <c r="AE11" s="66" t="str">
        <f t="shared" si="6"/>
        <v>4th_UWL</v>
      </c>
      <c r="AF11" s="67" t="str">
        <f t="shared" si="6"/>
        <v>#NA</v>
      </c>
      <c r="AJ11" s="89" t="e">
        <f>SUM(AJ8:AJ10)</f>
        <v>#VALUE!</v>
      </c>
      <c r="AL11" s="89" t="e">
        <f>SUM(AL8:AL10)</f>
        <v>#VALUE!</v>
      </c>
      <c r="AM11" s="84" t="str">
        <f>CONCATENATE("m'(",AG9,")=")</f>
        <v>m'(#NA)=</v>
      </c>
      <c r="AN11" s="84" t="e">
        <f>(2*(AN8^2)/24*AL11)+(AN10*AG8*WLS)</f>
        <v>#VALUE!</v>
      </c>
      <c r="AO11" s="84" t="e">
        <f>CONCATENATE("M(",AG8,")=")</f>
        <v>#VALUE!</v>
      </c>
      <c r="AP11" s="84" t="e">
        <f>VLOOKUP(AG8,STN_TABLE,4,FALSE)</f>
        <v>#VALUE!</v>
      </c>
      <c r="AQ11" t="str">
        <f>CONCATENATE("M(",AG9,")=")</f>
        <v>M(#NA)=</v>
      </c>
      <c r="AR11" t="e">
        <f>AN11+AP11</f>
        <v>#VALUE!</v>
      </c>
    </row>
    <row r="12" spans="1:46" x14ac:dyDescent="0.25">
      <c r="A12">
        <v>9</v>
      </c>
      <c r="B12" s="80">
        <f t="shared" si="2"/>
        <v>4.8499999999999996</v>
      </c>
      <c r="C12" s="81">
        <f t="shared" si="3"/>
        <v>9.43</v>
      </c>
      <c r="D12" s="81">
        <f t="shared" si="4"/>
        <v>132.18266666666665</v>
      </c>
      <c r="E12" s="77">
        <f t="shared" si="5"/>
        <v>738.77929999999981</v>
      </c>
      <c r="Q12" s="90" t="s">
        <v>109</v>
      </c>
      <c r="R12" s="81"/>
      <c r="AE12" s="66" t="str">
        <f t="shared" si="6"/>
        <v>5th_UWL</v>
      </c>
      <c r="AF12" s="67" t="str">
        <f t="shared" si="6"/>
        <v>#NA</v>
      </c>
      <c r="AI12" t="s">
        <v>103</v>
      </c>
      <c r="AK12" t="str">
        <f>CONCATENATE("A(",AG9,")=")</f>
        <v>A(#NA)=</v>
      </c>
      <c r="AL12" t="e">
        <f>IF(OR(AR10&lt;=0,AR11&lt;=0),AR15,AR10)</f>
        <v>#VALUE!</v>
      </c>
    </row>
    <row r="13" spans="1:46" x14ac:dyDescent="0.25">
      <c r="A13">
        <v>10</v>
      </c>
      <c r="B13" s="80">
        <f t="shared" si="2"/>
        <v>5</v>
      </c>
      <c r="C13" s="81">
        <f t="shared" si="3"/>
        <v>9.5399999999999991</v>
      </c>
      <c r="D13" s="81">
        <f t="shared" si="4"/>
        <v>137.83666666666664</v>
      </c>
      <c r="E13" s="77">
        <f t="shared" si="5"/>
        <v>794.31999999999994</v>
      </c>
      <c r="G13" s="71" t="s">
        <v>110</v>
      </c>
      <c r="Q13" s="66" t="str">
        <f t="shared" ref="Q13:R16" si="7">G4</f>
        <v>Rise</v>
      </c>
      <c r="R13" s="67" t="e">
        <f t="shared" si="7"/>
        <v>#VALUE!</v>
      </c>
      <c r="S13" s="68" t="e">
        <f>IF(R16-R15=R15-R14,R14,IF(R16-R14=R14-R13,R13,"-"))</f>
        <v>#VALUE!</v>
      </c>
      <c r="T13" s="69" t="e">
        <f>IFERROR(VLOOKUP(S13,STN_TABLE,2,FALSE),IF(R13=RisePerWLS,0,"-"))</f>
        <v>#VALUE!</v>
      </c>
      <c r="U13" s="69">
        <v>1</v>
      </c>
      <c r="V13" s="69" t="e">
        <f>T13*U13</f>
        <v>#VALUE!</v>
      </c>
      <c r="W13" s="69" t="e">
        <f>S13</f>
        <v>#VALUE!</v>
      </c>
      <c r="X13" s="69" t="e">
        <f>V13*W13</f>
        <v>#VALUE!</v>
      </c>
      <c r="Y13" s="6" t="s">
        <v>93</v>
      </c>
      <c r="Z13" s="70" t="e">
        <f>IF(AND(T13=0,T14=0,T15=0),WLS*(S15-S14),IF(AND(S15-S14=S14-S13,S14&lt;&gt;S15,S13&lt;&gt;S14,S13&lt;&gt;S15,T15&lt;&gt;0,OR(T13&lt;&gt;0,T14&lt;&gt;0)),WLS*(S15-S14),"#NA"))</f>
        <v>#VALUE!</v>
      </c>
      <c r="AE13" s="66" t="str">
        <f t="shared" si="6"/>
        <v>6th_UWL</v>
      </c>
      <c r="AF13" s="67" t="str">
        <f t="shared" si="6"/>
        <v>#NA</v>
      </c>
      <c r="AK13" t="str">
        <f>CONCATENATE("M(",AG9,")=")</f>
        <v>M(#NA)=</v>
      </c>
      <c r="AL13" t="e">
        <f>IF(OR(AR10&lt;=0,AR11&lt;=0),AR16,AR11)</f>
        <v>#VALUE!</v>
      </c>
      <c r="AM13" s="6" t="s">
        <v>93</v>
      </c>
      <c r="AN13" s="70" t="e">
        <f>WLS*(AI15-AI14)</f>
        <v>#VALUE!</v>
      </c>
    </row>
    <row r="14" spans="1:46" x14ac:dyDescent="0.25">
      <c r="A14">
        <v>11</v>
      </c>
      <c r="B14" s="80">
        <f t="shared" si="2"/>
        <v>6</v>
      </c>
      <c r="C14" s="81">
        <f t="shared" si="3"/>
        <v>10.1</v>
      </c>
      <c r="D14" s="81">
        <f t="shared" si="4"/>
        <v>177.32666666666665</v>
      </c>
      <c r="E14" s="77">
        <f t="shared" si="5"/>
        <v>1229.0566666666666</v>
      </c>
      <c r="G14" s="91" t="str">
        <f>G4</f>
        <v>Rise</v>
      </c>
      <c r="H14" s="91" t="e">
        <f>RisePerWLS</f>
        <v>#VALUE!</v>
      </c>
      <c r="I14" s="68" t="e">
        <f>H14</f>
        <v>#VALUE!</v>
      </c>
      <c r="J14" s="69">
        <v>0</v>
      </c>
      <c r="K14" s="69">
        <v>5</v>
      </c>
      <c r="L14" s="69">
        <f>J14*K14</f>
        <v>0</v>
      </c>
      <c r="M14" s="69">
        <v>3</v>
      </c>
      <c r="N14" s="69">
        <f>J14*M14</f>
        <v>0</v>
      </c>
      <c r="O14" t="s">
        <v>93</v>
      </c>
      <c r="P14" t="e">
        <f>IF(AND(NOT(AND(J14=0,J15=0)),I14&lt;&gt;I15,I15&lt;&gt;I16,I16-I15=I15-I14),(I16-I15)*WLS,"#NA")</f>
        <v>#N/A</v>
      </c>
      <c r="Q14" s="66" t="str">
        <f t="shared" si="7"/>
        <v>1st_UWL</v>
      </c>
      <c r="R14" s="67" t="str">
        <f t="shared" si="7"/>
        <v>#NA</v>
      </c>
      <c r="S14" s="76" t="e">
        <f>IF(R16-R15=R15-R14,R15,IF(R16-R14=R14-R13,R14,"-"))</f>
        <v>#VALUE!</v>
      </c>
      <c r="T14" s="77" t="e">
        <f>VLOOKUP(S14,STN_TABLE,2,FALSE)</f>
        <v>#VALUE!</v>
      </c>
      <c r="U14" s="77">
        <v>4</v>
      </c>
      <c r="V14" s="77" t="e">
        <f>T14*U14</f>
        <v>#VALUE!</v>
      </c>
      <c r="W14" s="77" t="e">
        <f>S14</f>
        <v>#VALUE!</v>
      </c>
      <c r="X14" s="77" t="e">
        <f>V14*W14</f>
        <v>#VALUE!</v>
      </c>
      <c r="Y14" s="78" t="s">
        <v>97</v>
      </c>
      <c r="Z14" s="78"/>
      <c r="AA14" s="78" t="s">
        <v>98</v>
      </c>
      <c r="AB14" s="78"/>
      <c r="AC14" s="7" t="s">
        <v>99</v>
      </c>
      <c r="AD14" s="7"/>
      <c r="AE14" s="66"/>
      <c r="AF14" s="67"/>
      <c r="AI14" s="79" t="str">
        <f>AF10</f>
        <v>#NA</v>
      </c>
      <c r="AJ14" s="68" t="e">
        <f>VLOOKUP(AI14,STN_TABLE,2,FALSE)</f>
        <v>#N/A</v>
      </c>
      <c r="AK14" s="68">
        <v>1</v>
      </c>
      <c r="AL14" s="69" t="e">
        <f>AJ14*AK14</f>
        <v>#N/A</v>
      </c>
      <c r="AM14" s="78" t="s">
        <v>97</v>
      </c>
      <c r="AN14" s="78"/>
      <c r="AO14" s="78" t="s">
        <v>98</v>
      </c>
      <c r="AP14" s="78"/>
      <c r="AQ14" s="7" t="s">
        <v>99</v>
      </c>
      <c r="AR14" s="7"/>
      <c r="AS14" s="7"/>
      <c r="AT14" s="7"/>
    </row>
    <row r="15" spans="1:46" x14ac:dyDescent="0.25">
      <c r="A15">
        <v>12</v>
      </c>
      <c r="B15" s="80">
        <f t="shared" si="2"/>
        <v>6.5</v>
      </c>
      <c r="C15" s="81">
        <f t="shared" si="3"/>
        <v>10.44</v>
      </c>
      <c r="D15" s="81">
        <f t="shared" si="4"/>
        <v>197.86666666666665</v>
      </c>
      <c r="E15" s="77">
        <f t="shared" si="5"/>
        <v>1485.8633333333332</v>
      </c>
      <c r="G15" s="91" t="str">
        <f>G5</f>
        <v>1st_UWL</v>
      </c>
      <c r="H15" s="91" t="str">
        <f>H5</f>
        <v>#NA</v>
      </c>
      <c r="I15" s="76" t="str">
        <f>H15</f>
        <v>#NA</v>
      </c>
      <c r="J15" s="77" t="e">
        <f>VLOOKUP(I15,STN_TABLE,2,FALSE)</f>
        <v>#N/A</v>
      </c>
      <c r="K15" s="77">
        <v>8</v>
      </c>
      <c r="L15" s="77" t="e">
        <f>J15*K15</f>
        <v>#N/A</v>
      </c>
      <c r="M15" s="77">
        <v>10</v>
      </c>
      <c r="N15" s="77" t="e">
        <f>J15*M15</f>
        <v>#N/A</v>
      </c>
      <c r="O15" t="str">
        <f>CONCATENATE("A(",I15,")=")</f>
        <v>A(#NA)=</v>
      </c>
      <c r="P15" t="e">
        <f>2*P14/12*L17</f>
        <v>#N/A</v>
      </c>
      <c r="Q15" s="66" t="str">
        <f t="shared" si="7"/>
        <v>2nd_UWL</v>
      </c>
      <c r="R15" s="67" t="str">
        <f t="shared" si="7"/>
        <v>#NA</v>
      </c>
      <c r="S15" s="82" t="str">
        <f>R16</f>
        <v>#NA</v>
      </c>
      <c r="T15" s="83" t="e">
        <f>VLOOKUP(S15,STN_TABLE,2,FALSE)</f>
        <v>#N/A</v>
      </c>
      <c r="U15" s="83">
        <v>1</v>
      </c>
      <c r="V15" s="83" t="e">
        <f>T15*U15</f>
        <v>#N/A</v>
      </c>
      <c r="W15" s="83" t="str">
        <f>S15</f>
        <v>#NA</v>
      </c>
      <c r="X15" s="83" t="e">
        <f>V15*W15</f>
        <v>#N/A</v>
      </c>
      <c r="Y15" s="84" t="str">
        <f>CONCATENATE("a'(",S15,")=")</f>
        <v>a'(#NA)=</v>
      </c>
      <c r="Z15" s="84" t="e">
        <f>2*Z13/3*V16</f>
        <v>#VALUE!</v>
      </c>
      <c r="AA15" s="84" t="e">
        <f>CONCATENATE("A(",S13,")=")</f>
        <v>#VALUE!</v>
      </c>
      <c r="AB15" s="84" t="e">
        <f>IF(S13=RisePerWLS,0,VLOOKUP(S13,STN_TABLE,3,FALSE))</f>
        <v>#VALUE!</v>
      </c>
      <c r="AC15" t="str">
        <f>CONCATENATE("A(",S15,")=")</f>
        <v>A(#NA)=</v>
      </c>
      <c r="AD15" t="e">
        <f>Z15+AB15</f>
        <v>#VALUE!</v>
      </c>
      <c r="AE15" s="80"/>
      <c r="AI15" s="88" t="str">
        <f>AF11</f>
        <v>#NA</v>
      </c>
      <c r="AJ15" s="82" t="e">
        <f>VLOOKUP(AI15,STN_TABLE,2,FALSE)</f>
        <v>#N/A</v>
      </c>
      <c r="AK15" s="82">
        <v>2</v>
      </c>
      <c r="AL15" s="83" t="e">
        <f>AJ15*AK15</f>
        <v>#N/A</v>
      </c>
      <c r="AM15" s="84" t="str">
        <f>CONCATENATE("a'(",AI15,")=")</f>
        <v>a'(#NA)=</v>
      </c>
      <c r="AN15" s="84" t="e">
        <f>2*AN13/2*AJ16</f>
        <v>#VALUE!</v>
      </c>
      <c r="AO15" s="84" t="str">
        <f>CONCATENATE("A(",AI14,")=")</f>
        <v>A(#NA)=</v>
      </c>
      <c r="AP15" s="84" t="e">
        <f>IF(AI14=RisePerWLS,0,VLOOKUP(AI14,STN_TABLE,3,FALSE))</f>
        <v>#VALUE!</v>
      </c>
      <c r="AQ15" t="str">
        <f>CONCATENATE("A(",AI15,")=")</f>
        <v>A(#NA)=</v>
      </c>
      <c r="AR15" t="e">
        <f>AN15+AP15</f>
        <v>#VALUE!</v>
      </c>
    </row>
    <row r="16" spans="1:46" x14ac:dyDescent="0.25">
      <c r="A16">
        <v>13</v>
      </c>
      <c r="B16" s="80" t="str">
        <f t="shared" si="2"/>
        <v xml:space="preserve">  </v>
      </c>
      <c r="C16" s="81" t="str">
        <f t="shared" si="3"/>
        <v xml:space="preserve">  </v>
      </c>
      <c r="D16" s="81" t="str">
        <f t="shared" si="4"/>
        <v xml:space="preserve"> </v>
      </c>
      <c r="E16" s="77" t="str">
        <f t="shared" si="5"/>
        <v xml:space="preserve"> </v>
      </c>
      <c r="G16" s="91" t="str">
        <f>G6</f>
        <v>2nd_UWL</v>
      </c>
      <c r="H16" s="91" t="str">
        <f>H6</f>
        <v>#NA</v>
      </c>
      <c r="I16" s="82" t="e">
        <f>IF(H16-H15=H15-H14,H16,"#NA")</f>
        <v>#VALUE!</v>
      </c>
      <c r="J16" s="83" t="e">
        <f>VLOOKUP(I16,STN_TABLE,2,FALSE)</f>
        <v>#VALUE!</v>
      </c>
      <c r="K16" s="83">
        <v>-1</v>
      </c>
      <c r="L16" s="83" t="e">
        <f>J16*K16</f>
        <v>#VALUE!</v>
      </c>
      <c r="M16" s="83">
        <v>-1</v>
      </c>
      <c r="N16" s="83" t="e">
        <f>J16*M16</f>
        <v>#VALUE!</v>
      </c>
      <c r="O16" t="str">
        <f>CONCATENATE("M(",I15,")=")</f>
        <v>M(#NA)=</v>
      </c>
      <c r="P16" t="e">
        <f>(2*(P14^2)/24*N17)+P15*I14*WLS</f>
        <v>#N/A</v>
      </c>
      <c r="Q16" s="66" t="str">
        <f t="shared" si="7"/>
        <v>3rd_UWL</v>
      </c>
      <c r="R16" s="67" t="str">
        <f t="shared" si="7"/>
        <v>#NA</v>
      </c>
      <c r="V16" s="89" t="e">
        <f>SUM(V13:V15)</f>
        <v>#VALUE!</v>
      </c>
      <c r="X16" s="89" t="e">
        <f>SUM(X13:X15)</f>
        <v>#VALUE!</v>
      </c>
      <c r="Y16" s="84" t="str">
        <f>CONCATENATE("m'(",S15,")=")</f>
        <v>m'(#NA)=</v>
      </c>
      <c r="Z16" s="84" t="e">
        <f>2*(Z13*WLS)/3*X16</f>
        <v>#VALUE!</v>
      </c>
      <c r="AA16" s="84" t="e">
        <f>CONCATENATE("M(",S13,")=")</f>
        <v>#VALUE!</v>
      </c>
      <c r="AB16" s="84" t="e">
        <f>IF(S13=RisePerWLS,0,VLOOKUP(S13,STN_TABLE,4,FALSE))</f>
        <v>#VALUE!</v>
      </c>
      <c r="AC16" t="str">
        <f>CONCATENATE("M(",S15,")=")</f>
        <v>M(#NA)=</v>
      </c>
      <c r="AD16" t="e">
        <f>Z16+AB16</f>
        <v>#VALUE!</v>
      </c>
      <c r="AE16" s="80"/>
      <c r="AJ16" s="89" t="e">
        <f>SUM(AJ14:AJ15)</f>
        <v>#N/A</v>
      </c>
      <c r="AL16" s="89" t="e">
        <f>SUM(AL14:AL15)</f>
        <v>#N/A</v>
      </c>
      <c r="AM16" s="84" t="str">
        <f>CONCATENATE("m'(",AI15,")=")</f>
        <v>m'(#NA)=</v>
      </c>
      <c r="AN16" s="84" t="e">
        <f>(2*(AN13^2)/6*AL16)+(AN15*AI14*WLS)</f>
        <v>#VALUE!</v>
      </c>
      <c r="AO16" s="84" t="str">
        <f>CONCATENATE("M(",AI14,")=")</f>
        <v>M(#NA)=</v>
      </c>
      <c r="AP16" s="84" t="e">
        <f>IF(AI14=RisePerWLS,0,VLOOKUP(AI14,STN_TABLE,4,FALSE))</f>
        <v>#VALUE!</v>
      </c>
      <c r="AQ16" t="str">
        <f>CONCATENATE("M(",AI15,")=")</f>
        <v>M(#NA)=</v>
      </c>
      <c r="AR16" t="e">
        <f>AN16+AP16</f>
        <v>#VALUE!</v>
      </c>
    </row>
    <row r="17" spans="1:35" x14ac:dyDescent="0.25">
      <c r="A17">
        <v>14</v>
      </c>
      <c r="B17" s="80" t="str">
        <f t="shared" si="2"/>
        <v xml:space="preserve">  </v>
      </c>
      <c r="C17" s="81" t="str">
        <f t="shared" si="3"/>
        <v xml:space="preserve">  </v>
      </c>
      <c r="D17" s="81" t="str">
        <f t="shared" si="4"/>
        <v xml:space="preserve"> </v>
      </c>
      <c r="E17" s="77" t="str">
        <f t="shared" si="5"/>
        <v xml:space="preserve"> </v>
      </c>
      <c r="G17" s="91"/>
      <c r="H17" s="91"/>
      <c r="L17" s="89" t="e">
        <f>SUM(L14:L16)</f>
        <v>#N/A</v>
      </c>
      <c r="N17" s="89" t="e">
        <f>SUM(N14:N16)</f>
        <v>#N/A</v>
      </c>
      <c r="Q17" s="66"/>
      <c r="R17" s="67"/>
      <c r="AE17" s="90"/>
    </row>
    <row r="18" spans="1:35" x14ac:dyDescent="0.25">
      <c r="A18">
        <v>15</v>
      </c>
      <c r="B18" s="80" t="str">
        <f t="shared" si="2"/>
        <v xml:space="preserve">  </v>
      </c>
      <c r="C18" s="81" t="str">
        <f t="shared" si="3"/>
        <v xml:space="preserve">  </v>
      </c>
      <c r="D18" s="81" t="str">
        <f t="shared" si="4"/>
        <v xml:space="preserve"> </v>
      </c>
      <c r="E18" s="77" t="str">
        <f t="shared" si="5"/>
        <v xml:space="preserve"> </v>
      </c>
      <c r="G18" s="91"/>
      <c r="H18" s="91"/>
      <c r="K18" t="s">
        <v>103</v>
      </c>
      <c r="M18" t="str">
        <f>CONCATENATE("A(",I15,")=")</f>
        <v>A(#NA)=</v>
      </c>
      <c r="N18" t="e">
        <f>IF(OR(P15&lt;=0,P16&lt;=0),N22,P15)</f>
        <v>#N/A</v>
      </c>
      <c r="Q18" s="66"/>
      <c r="R18" s="67"/>
      <c r="AE18" s="80"/>
    </row>
    <row r="19" spans="1:35" x14ac:dyDescent="0.25">
      <c r="A19">
        <v>16</v>
      </c>
      <c r="B19" s="80" t="str">
        <f t="shared" si="2"/>
        <v xml:space="preserve">  </v>
      </c>
      <c r="C19" s="81" t="str">
        <f t="shared" si="3"/>
        <v xml:space="preserve">  </v>
      </c>
      <c r="D19" s="81" t="str">
        <f t="shared" si="4"/>
        <v xml:space="preserve"> </v>
      </c>
      <c r="E19" s="77" t="str">
        <f t="shared" si="5"/>
        <v xml:space="preserve"> </v>
      </c>
      <c r="G19" s="91"/>
      <c r="H19" s="91"/>
      <c r="M19" t="str">
        <f>CONCATENATE("M(",I15,")=")</f>
        <v>M(#NA)=</v>
      </c>
      <c r="N19" t="e">
        <f>IF(OR(P15&lt;=0,P16&lt;=0),N23,P16)</f>
        <v>#N/A</v>
      </c>
      <c r="Q19" s="66"/>
      <c r="R19" s="67"/>
      <c r="AE19" s="80"/>
    </row>
    <row r="20" spans="1:35" x14ac:dyDescent="0.25">
      <c r="A20">
        <v>17</v>
      </c>
      <c r="B20" s="80" t="str">
        <f t="shared" si="2"/>
        <v xml:space="preserve">  </v>
      </c>
      <c r="C20" s="81" t="str">
        <f t="shared" si="3"/>
        <v xml:space="preserve">  </v>
      </c>
      <c r="D20" s="81" t="str">
        <f t="shared" si="4"/>
        <v xml:space="preserve"> </v>
      </c>
      <c r="E20" s="77" t="str">
        <f t="shared" si="5"/>
        <v xml:space="preserve"> </v>
      </c>
      <c r="G20" s="91"/>
      <c r="H20" s="91"/>
      <c r="Q20" s="66"/>
      <c r="R20" s="67"/>
      <c r="S20" s="68" t="e">
        <f>IF(OR(R24-R23=R23-R22,R25-R23=R23-R22),R22,IF(OR(R24-R23=R23-R21,R25-R23=R23-R21),R21,"-"))</f>
        <v>#VALUE!</v>
      </c>
      <c r="T20" s="69" t="e">
        <f>IFERROR(VLOOKUP(S20,STN_TABLE,2,FALSE),IF(R20=RisePerWLS,0,"-"))</f>
        <v>#VALUE!</v>
      </c>
      <c r="U20" s="69">
        <v>5</v>
      </c>
      <c r="V20" s="69" t="e">
        <f>T20*U20</f>
        <v>#VALUE!</v>
      </c>
      <c r="W20" s="69">
        <v>3</v>
      </c>
      <c r="X20" s="69" t="e">
        <f>T20*W20</f>
        <v>#VALUE!</v>
      </c>
      <c r="Y20" s="6" t="s">
        <v>93</v>
      </c>
      <c r="Z20" s="70" t="e">
        <f>IF(AND(S22-S21=S21-S20,NOT(AND(S20=0,S21=0)),NOT(AND(S21=0,S22=0))),WLS*(S22-S21),"#NA")</f>
        <v>#VALUE!</v>
      </c>
      <c r="AE20" s="80"/>
    </row>
    <row r="21" spans="1:35" x14ac:dyDescent="0.25">
      <c r="A21">
        <v>18</v>
      </c>
      <c r="B21" s="80" t="str">
        <f t="shared" si="2"/>
        <v xml:space="preserve">  </v>
      </c>
      <c r="C21" s="81" t="str">
        <f t="shared" si="3"/>
        <v xml:space="preserve">  </v>
      </c>
      <c r="D21" s="81" t="str">
        <f t="shared" si="4"/>
        <v xml:space="preserve"> </v>
      </c>
      <c r="E21" s="77" t="str">
        <f t="shared" si="5"/>
        <v xml:space="preserve"> </v>
      </c>
      <c r="G21" s="91"/>
      <c r="H21" s="91" t="str">
        <f>G14</f>
        <v>Rise</v>
      </c>
      <c r="I21" s="79" t="e">
        <f>H14</f>
        <v>#VALUE!</v>
      </c>
      <c r="J21" s="68">
        <v>0</v>
      </c>
      <c r="K21" s="68">
        <v>1</v>
      </c>
      <c r="L21" s="69">
        <f>J21*K21</f>
        <v>0</v>
      </c>
      <c r="M21" t="s">
        <v>93</v>
      </c>
      <c r="N21" t="e">
        <f>(I22-I21)*WLS</f>
        <v>#VALUE!</v>
      </c>
      <c r="Q21" s="66" t="str">
        <f t="shared" ref="Q21:R25" si="8">G5</f>
        <v>1st_UWL</v>
      </c>
      <c r="R21" s="67" t="str">
        <f t="shared" si="8"/>
        <v>#NA</v>
      </c>
      <c r="S21" s="76" t="str">
        <f>R23</f>
        <v>#NA</v>
      </c>
      <c r="T21" s="77" t="e">
        <f>VLOOKUP(S21,STN_TABLE,2,FALSE)</f>
        <v>#N/A</v>
      </c>
      <c r="U21" s="77">
        <v>8</v>
      </c>
      <c r="V21" s="77" t="e">
        <f>T21*U21</f>
        <v>#N/A</v>
      </c>
      <c r="W21" s="77">
        <v>10</v>
      </c>
      <c r="X21" s="77" t="e">
        <f>T21*W21</f>
        <v>#N/A</v>
      </c>
      <c r="Y21" s="78" t="s">
        <v>97</v>
      </c>
      <c r="Z21" s="78"/>
      <c r="AA21" s="78" t="s">
        <v>98</v>
      </c>
      <c r="AB21" s="78"/>
      <c r="AC21" s="7" t="s">
        <v>99</v>
      </c>
      <c r="AD21" s="7"/>
      <c r="AE21" s="80"/>
    </row>
    <row r="22" spans="1:35" x14ac:dyDescent="0.25">
      <c r="A22">
        <v>19</v>
      </c>
      <c r="B22" s="80" t="str">
        <f t="shared" si="2"/>
        <v xml:space="preserve">  </v>
      </c>
      <c r="C22" s="81" t="str">
        <f t="shared" si="3"/>
        <v xml:space="preserve">  </v>
      </c>
      <c r="D22" s="81" t="str">
        <f t="shared" si="4"/>
        <v xml:space="preserve"> </v>
      </c>
      <c r="E22" s="77" t="str">
        <f t="shared" si="5"/>
        <v xml:space="preserve"> </v>
      </c>
      <c r="G22" s="91"/>
      <c r="H22" s="91" t="str">
        <f>G15</f>
        <v>1st_UWL</v>
      </c>
      <c r="I22" s="88" t="str">
        <f>H15</f>
        <v>#NA</v>
      </c>
      <c r="J22" s="82" t="e">
        <f>VLOOKUP(I22,STN_TABLE,2,FALSE)</f>
        <v>#N/A</v>
      </c>
      <c r="K22" s="82">
        <v>2</v>
      </c>
      <c r="L22" s="83" t="e">
        <f>J22*K22</f>
        <v>#N/A</v>
      </c>
      <c r="M22" t="str">
        <f>CONCATENATE("A(",I22,")=")</f>
        <v>A(#NA)=</v>
      </c>
      <c r="N22" t="e">
        <f>2*N21/2*J23</f>
        <v>#VALUE!</v>
      </c>
      <c r="Q22" s="66" t="str">
        <f t="shared" si="8"/>
        <v>2nd_UWL</v>
      </c>
      <c r="R22" s="67" t="str">
        <f t="shared" si="8"/>
        <v>#NA</v>
      </c>
      <c r="S22" s="82" t="e">
        <f>IF(S20-S21=S21-R24,R24,IF(S20-S21=S21-R25,R25,"-"))</f>
        <v>#VALUE!</v>
      </c>
      <c r="T22" s="83" t="e">
        <f>VLOOKUP(S22,STN_TABLE,2,FALSE)</f>
        <v>#VALUE!</v>
      </c>
      <c r="U22" s="83">
        <v>-1</v>
      </c>
      <c r="V22" s="83" t="e">
        <f>T22*U22</f>
        <v>#VALUE!</v>
      </c>
      <c r="W22" s="83">
        <v>-1</v>
      </c>
      <c r="X22" s="83" t="e">
        <f>T22*W22</f>
        <v>#VALUE!</v>
      </c>
      <c r="Y22" s="84" t="str">
        <f>CONCATENATE("a'(",S21,")=")</f>
        <v>a'(#NA)=</v>
      </c>
      <c r="Z22" s="84" t="e">
        <f>2*Z20/12*V23</f>
        <v>#VALUE!</v>
      </c>
      <c r="AA22" s="84" t="e">
        <f>CONCATENATE("A(",S20,")=")</f>
        <v>#VALUE!</v>
      </c>
      <c r="AB22" s="84" t="e">
        <f>IF(S20=RisePerWLS,0,VLOOKUP(S20,STN_TABLE,3,FALSE))</f>
        <v>#VALUE!</v>
      </c>
      <c r="AC22" t="str">
        <f>CONCATENATE("A(",S21,")=")</f>
        <v>A(#NA)=</v>
      </c>
      <c r="AD22" t="e">
        <f>Z22+AB22</f>
        <v>#VALUE!</v>
      </c>
      <c r="AE22" s="80"/>
    </row>
    <row r="23" spans="1:35" x14ac:dyDescent="0.25">
      <c r="A23">
        <v>20</v>
      </c>
      <c r="B23" s="80" t="str">
        <f t="shared" si="2"/>
        <v xml:space="preserve">  </v>
      </c>
      <c r="C23" s="81" t="str">
        <f t="shared" si="3"/>
        <v xml:space="preserve">  </v>
      </c>
      <c r="D23" s="81" t="str">
        <f t="shared" si="4"/>
        <v xml:space="preserve"> </v>
      </c>
      <c r="E23" s="77" t="str">
        <f t="shared" si="5"/>
        <v xml:space="preserve"> </v>
      </c>
      <c r="J23" s="89" t="e">
        <f>SUM(J21:J22)</f>
        <v>#N/A</v>
      </c>
      <c r="L23" s="89" t="e">
        <f>SUM(L21:L22)</f>
        <v>#N/A</v>
      </c>
      <c r="M23" t="str">
        <f>CONCATENATE("M(",I22,")=")</f>
        <v>M(#NA)=</v>
      </c>
      <c r="N23" t="e">
        <f>(2*(N21^2)/6*L23)+N22*I21*WLS</f>
        <v>#VALUE!</v>
      </c>
      <c r="Q23" s="66" t="str">
        <f t="shared" si="8"/>
        <v>3rd_UWL</v>
      </c>
      <c r="R23" s="67" t="str">
        <f t="shared" si="8"/>
        <v>#NA</v>
      </c>
      <c r="V23" s="89" t="e">
        <f>SUM(V20:V22)</f>
        <v>#VALUE!</v>
      </c>
      <c r="X23" s="89" t="e">
        <f>SUM(X20:X22)</f>
        <v>#VALUE!</v>
      </c>
      <c r="Y23" s="84" t="str">
        <f>CONCATENATE("m'(",S21,")=")</f>
        <v>m'(#NA)=</v>
      </c>
      <c r="Z23" s="84" t="e">
        <f>(2*(Z20^2)/24*X23)+(Z22*S20*WLS)</f>
        <v>#VALUE!</v>
      </c>
      <c r="AA23" s="84" t="e">
        <f>CONCATENATE("M(",S20,")=")</f>
        <v>#VALUE!</v>
      </c>
      <c r="AB23" s="84" t="e">
        <f>IF(S20=RisePerWLS,0,VLOOKUP(S20,STN_TABLE,4,FALSE))</f>
        <v>#VALUE!</v>
      </c>
      <c r="AC23" t="str">
        <f>CONCATENATE("M(",S21,")=")</f>
        <v>M(#NA)=</v>
      </c>
      <c r="AD23" t="e">
        <f>Z23+AB23</f>
        <v>#VALUE!</v>
      </c>
      <c r="AE23" s="80"/>
    </row>
    <row r="24" spans="1:35" x14ac:dyDescent="0.25">
      <c r="A24">
        <v>21</v>
      </c>
      <c r="B24" s="80" t="str">
        <f t="shared" si="2"/>
        <v xml:space="preserve">  </v>
      </c>
      <c r="C24" s="81" t="str">
        <f t="shared" si="3"/>
        <v xml:space="preserve">  </v>
      </c>
      <c r="D24" s="81" t="str">
        <f t="shared" si="4"/>
        <v xml:space="preserve"> </v>
      </c>
      <c r="E24" s="77" t="str">
        <f t="shared" si="5"/>
        <v xml:space="preserve"> </v>
      </c>
      <c r="Q24" s="66" t="str">
        <f t="shared" si="8"/>
        <v>4th_UWL</v>
      </c>
      <c r="R24" s="67" t="str">
        <f t="shared" si="8"/>
        <v>#NA</v>
      </c>
      <c r="U24" t="s">
        <v>103</v>
      </c>
      <c r="W24" t="str">
        <f>CONCATENATE("A(",S21,")=")</f>
        <v>A(#NA)=</v>
      </c>
      <c r="X24" t="e">
        <f>IF(OR(AD22&lt;=0,AD23&lt;=0),AD27,AD22)</f>
        <v>#VALUE!</v>
      </c>
      <c r="AE24" s="80"/>
    </row>
    <row r="25" spans="1:35" x14ac:dyDescent="0.25">
      <c r="A25">
        <v>22</v>
      </c>
      <c r="B25" s="80" t="str">
        <f t="shared" si="2"/>
        <v xml:space="preserve">  </v>
      </c>
      <c r="C25" s="81" t="str">
        <f t="shared" si="3"/>
        <v xml:space="preserve">  </v>
      </c>
      <c r="D25" s="81" t="str">
        <f t="shared" si="4"/>
        <v xml:space="preserve"> </v>
      </c>
      <c r="E25" s="77" t="str">
        <f t="shared" si="5"/>
        <v xml:space="preserve"> </v>
      </c>
      <c r="G25" s="71" t="s">
        <v>111</v>
      </c>
      <c r="Q25" s="66" t="str">
        <f t="shared" si="8"/>
        <v>5th_UWL</v>
      </c>
      <c r="R25" s="67" t="str">
        <f t="shared" si="8"/>
        <v>#NA</v>
      </c>
      <c r="W25" t="str">
        <f>CONCATENATE("M(",S21,")=")</f>
        <v>M(#NA)=</v>
      </c>
      <c r="X25" t="e">
        <f>IF(OR(AD22&lt;=0,AD23&lt;=0),AD28,AD23)</f>
        <v>#VALUE!</v>
      </c>
      <c r="Y25" s="6" t="s">
        <v>93</v>
      </c>
      <c r="Z25" s="70" t="e">
        <f>WLS*(U27-U26)</f>
        <v>#VALUE!</v>
      </c>
      <c r="AE25" s="80"/>
    </row>
    <row r="26" spans="1:35" x14ac:dyDescent="0.25">
      <c r="A26">
        <v>23</v>
      </c>
      <c r="B26" s="80" t="str">
        <f t="shared" si="2"/>
        <v xml:space="preserve">  </v>
      </c>
      <c r="C26" s="81" t="str">
        <f t="shared" si="3"/>
        <v xml:space="preserve">  </v>
      </c>
      <c r="D26" s="81" t="str">
        <f t="shared" si="4"/>
        <v xml:space="preserve"> </v>
      </c>
      <c r="E26" s="77" t="str">
        <f t="shared" si="5"/>
        <v xml:space="preserve"> </v>
      </c>
      <c r="G26" s="91" t="str">
        <f t="shared" ref="G26:H28" si="9">G4</f>
        <v>Rise</v>
      </c>
      <c r="H26" s="91" t="e">
        <f t="shared" si="9"/>
        <v>#VALUE!</v>
      </c>
      <c r="I26" s="68" t="e">
        <f>H26</f>
        <v>#VALUE!</v>
      </c>
      <c r="J26" s="69">
        <v>0</v>
      </c>
      <c r="K26" s="69">
        <v>1</v>
      </c>
      <c r="L26" s="69">
        <f>J26*K26</f>
        <v>0</v>
      </c>
      <c r="M26" s="69" t="e">
        <f>I26</f>
        <v>#VALUE!</v>
      </c>
      <c r="N26" s="69" t="e">
        <f>L26*M26</f>
        <v>#VALUE!</v>
      </c>
      <c r="O26" t="s">
        <v>93</v>
      </c>
      <c r="P26" t="e">
        <f>IF(OR(J26=0,J27=0,J28=0),"#NA",IF(I28-I27=I27-I26,WLS*(I27-I26),"#NA"))</f>
        <v>#VALUE!</v>
      </c>
      <c r="Q26" s="66"/>
      <c r="R26" s="67"/>
      <c r="U26" s="79" t="str">
        <f>R22</f>
        <v>#NA</v>
      </c>
      <c r="V26" s="68" t="e">
        <f>VLOOKUP(U26,STN_TABLE,2,FALSE)</f>
        <v>#N/A</v>
      </c>
      <c r="W26" s="68">
        <v>1</v>
      </c>
      <c r="X26" s="69" t="e">
        <f>V26*W26</f>
        <v>#N/A</v>
      </c>
      <c r="Y26" s="78" t="s">
        <v>97</v>
      </c>
      <c r="Z26" s="78"/>
      <c r="AA26" s="78" t="s">
        <v>98</v>
      </c>
      <c r="AB26" s="78"/>
      <c r="AC26" s="7" t="s">
        <v>99</v>
      </c>
      <c r="AD26" s="7"/>
      <c r="AE26" s="80"/>
    </row>
    <row r="27" spans="1:35" x14ac:dyDescent="0.25">
      <c r="A27">
        <v>24</v>
      </c>
      <c r="B27" s="80" t="str">
        <f t="shared" si="2"/>
        <v xml:space="preserve">  </v>
      </c>
      <c r="C27" s="81" t="str">
        <f t="shared" si="3"/>
        <v xml:space="preserve">  </v>
      </c>
      <c r="D27" s="81" t="str">
        <f t="shared" si="4"/>
        <v xml:space="preserve"> </v>
      </c>
      <c r="E27" s="77" t="str">
        <f t="shared" si="5"/>
        <v xml:space="preserve"> </v>
      </c>
      <c r="G27" s="91" t="str">
        <f t="shared" si="9"/>
        <v>1st_UWL</v>
      </c>
      <c r="H27" s="91" t="str">
        <f t="shared" si="9"/>
        <v>#NA</v>
      </c>
      <c r="I27" s="76" t="e">
        <f>IF(H28-H27=H27-H26,H28,"#NA")</f>
        <v>#VALUE!</v>
      </c>
      <c r="J27" s="77" t="e">
        <f>VLOOKUP(I27,STN_TABLE,2,FALSE)</f>
        <v>#VALUE!</v>
      </c>
      <c r="K27" s="77">
        <v>4</v>
      </c>
      <c r="L27" s="77" t="e">
        <f>J27*K27</f>
        <v>#VALUE!</v>
      </c>
      <c r="M27" s="77" t="e">
        <f>I27</f>
        <v>#VALUE!</v>
      </c>
      <c r="N27" s="77" t="e">
        <f>L27*M27</f>
        <v>#VALUE!</v>
      </c>
      <c r="O27" t="e">
        <f>CONCATENATE("A(",I28,")=")</f>
        <v>#VALUE!</v>
      </c>
      <c r="P27" t="e">
        <f>2*P26/3*L29</f>
        <v>#VALUE!</v>
      </c>
      <c r="Q27" s="80"/>
      <c r="R27" s="81"/>
      <c r="U27" s="88" t="str">
        <f>R23</f>
        <v>#NA</v>
      </c>
      <c r="V27" s="82" t="e">
        <f>VLOOKUP(U27,STN_TABLE,2,FALSE)</f>
        <v>#N/A</v>
      </c>
      <c r="W27" s="82">
        <v>2</v>
      </c>
      <c r="X27" s="83" t="e">
        <f>V27*W27</f>
        <v>#N/A</v>
      </c>
      <c r="Y27" s="84" t="str">
        <f>CONCATENATE("a'(",U27,")=")</f>
        <v>a'(#NA)=</v>
      </c>
      <c r="Z27" s="84" t="e">
        <f>2*Z25/2*V28</f>
        <v>#VALUE!</v>
      </c>
      <c r="AA27" s="84" t="str">
        <f>CONCATENATE("A(",U26,")=")</f>
        <v>A(#NA)=</v>
      </c>
      <c r="AB27" s="84" t="e">
        <f>IF(U26=RisePerWLS,0,VLOOKUP(U26,STN_TABLE,3,FALSE))</f>
        <v>#VALUE!</v>
      </c>
      <c r="AC27" t="str">
        <f>CONCATENATE("A(",U27,")=")</f>
        <v>A(#NA)=</v>
      </c>
      <c r="AD27" t="e">
        <f>Z27+AB27</f>
        <v>#VALUE!</v>
      </c>
      <c r="AE27" s="80"/>
    </row>
    <row r="28" spans="1:35" x14ac:dyDescent="0.25">
      <c r="A28">
        <v>25</v>
      </c>
      <c r="B28" s="88" t="str">
        <f t="shared" si="2"/>
        <v xml:space="preserve">  </v>
      </c>
      <c r="C28" s="92" t="str">
        <f t="shared" si="3"/>
        <v xml:space="preserve">  </v>
      </c>
      <c r="D28" s="81" t="str">
        <f t="shared" si="4"/>
        <v xml:space="preserve"> </v>
      </c>
      <c r="E28" s="77" t="str">
        <f t="shared" si="5"/>
        <v xml:space="preserve"> </v>
      </c>
      <c r="G28" s="91" t="str">
        <f t="shared" si="9"/>
        <v>2nd_UWL</v>
      </c>
      <c r="H28" s="91" t="str">
        <f t="shared" si="9"/>
        <v>#NA</v>
      </c>
      <c r="I28" s="82" t="e">
        <f>IF(H28-H27=H27-H26,H28,"#NA")</f>
        <v>#VALUE!</v>
      </c>
      <c r="J28" s="83" t="e">
        <f>VLOOKUP(I28,STN_TABLE,2,FALSE)</f>
        <v>#VALUE!</v>
      </c>
      <c r="K28" s="83">
        <v>1</v>
      </c>
      <c r="L28" s="83" t="e">
        <f>J28*K28</f>
        <v>#VALUE!</v>
      </c>
      <c r="M28" s="83" t="e">
        <f>I28</f>
        <v>#VALUE!</v>
      </c>
      <c r="N28" s="83" t="e">
        <f>L28*M28</f>
        <v>#VALUE!</v>
      </c>
      <c r="O28" t="e">
        <f>CONCATENATE("M(",I28,")=")</f>
        <v>#VALUE!</v>
      </c>
      <c r="P28" t="e">
        <f>2*(P26*WLS)/3*N29</f>
        <v>#VALUE!</v>
      </c>
      <c r="Q28" s="80"/>
      <c r="R28" s="81"/>
      <c r="V28" s="89" t="e">
        <f>SUM(V26:V27)</f>
        <v>#N/A</v>
      </c>
      <c r="X28" s="89" t="e">
        <f>SUM(X26:X27)</f>
        <v>#N/A</v>
      </c>
      <c r="Y28" s="84" t="str">
        <f>CONCATENATE("m'(",U27,")=")</f>
        <v>m'(#NA)=</v>
      </c>
      <c r="Z28" s="84" t="e">
        <f>(2*(Z25^2)/6*X28)+(Z27*U26*WLS)</f>
        <v>#VALUE!</v>
      </c>
      <c r="AA28" s="84" t="str">
        <f>CONCATENATE("M(",U26,")=")</f>
        <v>M(#NA)=</v>
      </c>
      <c r="AB28" s="84" t="e">
        <f>IF(U26=RisePerWLS,0,VLOOKUP(U26,STN_TABLE,4,FALSE))</f>
        <v>#VALUE!</v>
      </c>
      <c r="AC28" t="str">
        <f>CONCATENATE("M(",U27,")=")</f>
        <v>M(#NA)=</v>
      </c>
      <c r="AD28" t="e">
        <f>Z28+AB28</f>
        <v>#VALUE!</v>
      </c>
      <c r="AE28" s="80"/>
    </row>
    <row r="29" spans="1:35" x14ac:dyDescent="0.25">
      <c r="G29" s="91"/>
      <c r="H29" s="91"/>
      <c r="L29" s="89" t="e">
        <f>SUM(L26:L28)</f>
        <v>#VALUE!</v>
      </c>
      <c r="N29" s="89" t="e">
        <f>SUM(N26:N28)</f>
        <v>#VALUE!</v>
      </c>
      <c r="Q29" s="80"/>
      <c r="R29" s="81"/>
      <c r="AE29" s="80"/>
    </row>
    <row r="30" spans="1:35" x14ac:dyDescent="0.25">
      <c r="G30" s="91"/>
      <c r="H30" s="91"/>
    </row>
    <row r="31" spans="1:35" x14ac:dyDescent="0.25">
      <c r="G31" s="91"/>
      <c r="H31" s="91"/>
    </row>
    <row r="32" spans="1:35" x14ac:dyDescent="0.25">
      <c r="G32" s="91"/>
      <c r="H32" s="91"/>
      <c r="Q32" s="68">
        <f>B4</f>
        <v>0</v>
      </c>
      <c r="R32" s="69">
        <f>VLOOKUP(Q32,STN_TABLE,2,FALSE)</f>
        <v>1.9</v>
      </c>
      <c r="S32" s="69">
        <v>5</v>
      </c>
      <c r="T32" s="68">
        <f>R32*S32</f>
        <v>9.5</v>
      </c>
      <c r="U32" s="79">
        <v>3</v>
      </c>
      <c r="V32" s="68">
        <f>R32*U32</f>
        <v>5.6999999999999993</v>
      </c>
      <c r="W32" t="s">
        <v>93</v>
      </c>
      <c r="X32" s="70">
        <f>IF(AND(Q34-Q33=Q33-Q32,NOT(AND(Q32=0,Q33=0)),NOT(AND(Q33=0,Q34=0))),WLS*(Q34-Q33),"#NA")</f>
        <v>0.5</v>
      </c>
      <c r="AD32" s="93"/>
      <c r="AH32" s="6" t="s">
        <v>93</v>
      </c>
      <c r="AI32" s="70">
        <f>WLS*(AD34-AD33)</f>
        <v>0.5</v>
      </c>
    </row>
    <row r="33" spans="1:47" x14ac:dyDescent="0.25">
      <c r="Q33" s="76">
        <f>B5</f>
        <v>0.25</v>
      </c>
      <c r="R33" s="77">
        <f>VLOOKUP(Q33,STN_TABLE,2,FALSE)</f>
        <v>3.32</v>
      </c>
      <c r="S33" s="77">
        <v>8</v>
      </c>
      <c r="T33" s="76">
        <f>R33*S33</f>
        <v>26.56</v>
      </c>
      <c r="U33" s="80">
        <v>10</v>
      </c>
      <c r="V33" s="76">
        <f>R33*U33</f>
        <v>33.199999999999996</v>
      </c>
      <c r="W33" s="495" t="s">
        <v>97</v>
      </c>
      <c r="X33" s="496"/>
      <c r="Y33" s="496" t="s">
        <v>98</v>
      </c>
      <c r="Z33" s="496"/>
      <c r="AA33" s="494" t="s">
        <v>99</v>
      </c>
      <c r="AB33" s="494"/>
      <c r="AC33" s="94">
        <v>1</v>
      </c>
      <c r="AD33" s="95">
        <f>VLOOKUP(AC33,STN_TABLE_2,2,FALSE)</f>
        <v>0</v>
      </c>
      <c r="AE33" s="68">
        <f>VLOOKUP(AD33,STN_TABLE,2,FALSE)</f>
        <v>1.9</v>
      </c>
      <c r="AF33" s="68">
        <v>1</v>
      </c>
      <c r="AG33" s="69">
        <f>AE33*AF33</f>
        <v>1.9</v>
      </c>
      <c r="AH33" s="496" t="s">
        <v>97</v>
      </c>
      <c r="AI33" s="496"/>
      <c r="AJ33" s="496" t="s">
        <v>98</v>
      </c>
      <c r="AK33" s="496"/>
      <c r="AL33" s="494" t="s">
        <v>99</v>
      </c>
      <c r="AM33" s="494"/>
      <c r="AP33" s="96" t="s">
        <v>112</v>
      </c>
      <c r="AQ33" s="89" t="s">
        <v>113</v>
      </c>
      <c r="AR33" s="89" t="s">
        <v>114</v>
      </c>
      <c r="AS33" s="89" t="s">
        <v>115</v>
      </c>
      <c r="AT33" s="97" t="s">
        <v>116</v>
      </c>
      <c r="AU33" s="98"/>
    </row>
    <row r="34" spans="1:47" x14ac:dyDescent="0.25">
      <c r="Q34" s="82">
        <f>B6</f>
        <v>0.5</v>
      </c>
      <c r="R34" s="83">
        <f>VLOOKUP(Q34,STN_TABLE,2,FALSE)</f>
        <v>4.17</v>
      </c>
      <c r="S34" s="83">
        <v>-1</v>
      </c>
      <c r="T34" s="82">
        <f>R34*S34</f>
        <v>-4.17</v>
      </c>
      <c r="U34" s="88">
        <v>-1</v>
      </c>
      <c r="V34" s="82">
        <f>R34*U34</f>
        <v>-4.17</v>
      </c>
      <c r="W34" s="84" t="str">
        <f>CONCATENATE("a'(",Q33,")=")</f>
        <v>a'(0.25)=</v>
      </c>
      <c r="X34" s="84">
        <f>2*X32/12*T35</f>
        <v>2.6574999999999998</v>
      </c>
      <c r="Y34" s="84" t="str">
        <f>CONCATENATE("A(",Q32,")=")</f>
        <v>A(0)=</v>
      </c>
      <c r="Z34" s="84">
        <f>VLOOKUP(Q32,STN_TABLE,3,FALSE)</f>
        <v>0</v>
      </c>
      <c r="AA34" t="str">
        <f>CONCATENATE("A(",Q33,")=")</f>
        <v>A(0.25)=</v>
      </c>
      <c r="AB34">
        <f>X34+Z34</f>
        <v>2.6574999999999998</v>
      </c>
      <c r="AC34" s="99">
        <f>AC33+1</f>
        <v>2</v>
      </c>
      <c r="AD34" s="100">
        <f>VLOOKUP(AC34,STN_TABLE_2,2,FALSE)</f>
        <v>0.25</v>
      </c>
      <c r="AE34" s="82">
        <f>VLOOKUP(AD34,STN_TABLE,2,FALSE)</f>
        <v>3.32</v>
      </c>
      <c r="AF34" s="82">
        <v>2</v>
      </c>
      <c r="AG34" s="83">
        <f>AE34*AF34</f>
        <v>6.64</v>
      </c>
      <c r="AH34" s="84" t="str">
        <f>CONCATENATE("a'(",AD34,")=")</f>
        <v>a'(0.25)=</v>
      </c>
      <c r="AI34" s="84">
        <f>2*AI32/2*AE35</f>
        <v>2.61</v>
      </c>
      <c r="AJ34" s="84" t="str">
        <f>CONCATENATE("A(",AD33,")=")</f>
        <v>A(0)=</v>
      </c>
      <c r="AK34" s="84">
        <f>VLOOKUP(AD33,STN_TABLE,3,FALSE)</f>
        <v>0</v>
      </c>
      <c r="AL34" t="str">
        <f>CONCATENATE("A(",AD34,")=")</f>
        <v>A(0.25)=</v>
      </c>
      <c r="AM34">
        <f>AI34+AK34</f>
        <v>2.61</v>
      </c>
      <c r="AO34" s="68" t="str">
        <f>AA34</f>
        <v>A(0.25)=</v>
      </c>
      <c r="AP34" s="79" t="e">
        <f>VLOOKUP(AO34,Rise_Results,2,FALSE)</f>
        <v>#N/A</v>
      </c>
      <c r="AQ34" s="76" t="s">
        <v>117</v>
      </c>
      <c r="AR34" s="76">
        <f>IF(OR(AB34&lt;=0,AB35&lt;=0),1/0,AB34)</f>
        <v>2.6574999999999998</v>
      </c>
      <c r="AS34" s="76">
        <f>AM34</f>
        <v>2.61</v>
      </c>
      <c r="AT34" s="80">
        <f>IFERROR(AP34,IFERROR(AR34,AS34))</f>
        <v>2.6574999999999998</v>
      </c>
    </row>
    <row r="35" spans="1:47" x14ac:dyDescent="0.25">
      <c r="A35" s="101"/>
      <c r="T35" s="89">
        <f>SUM(T32:T34)</f>
        <v>31.89</v>
      </c>
      <c r="V35" s="82">
        <f>SUM(V32:V34)</f>
        <v>34.72999999999999</v>
      </c>
      <c r="W35" s="84" t="str">
        <f>CONCATENATE("m'(",Q33,")=")</f>
        <v>m'(0.25)=</v>
      </c>
      <c r="X35" s="84">
        <f>(2*(X32^2)/24*V35)</f>
        <v>0.72354166666666642</v>
      </c>
      <c r="Y35" s="84" t="str">
        <f>CONCATENATE("M(",Q32,")=")</f>
        <v>M(0)=</v>
      </c>
      <c r="Z35" s="84">
        <f>VLOOKUP(Q32,STN_TABLE,4,FALSE)</f>
        <v>0</v>
      </c>
      <c r="AA35" t="str">
        <f>CONCATENATE("M(",Q33,")=")</f>
        <v>M(0.25)=</v>
      </c>
      <c r="AB35">
        <f>X35+Z35</f>
        <v>0.72354166666666642</v>
      </c>
      <c r="AE35" s="89">
        <f>SUM(AE33:AE34)</f>
        <v>5.22</v>
      </c>
      <c r="AG35" s="89">
        <f>SUM(AG33:AG34)</f>
        <v>8.5399999999999991</v>
      </c>
      <c r="AH35" s="84" t="str">
        <f>CONCATENATE("m'(",AD34,")=")</f>
        <v>m'(0.25)=</v>
      </c>
      <c r="AI35" s="84">
        <f>(2*(AI32^2)/6*AG35)+(AI34*AD33*WLS)</f>
        <v>0.71166666666666656</v>
      </c>
      <c r="AJ35" s="84" t="str">
        <f>CONCATENATE("M(",AD33,")=")</f>
        <v>M(0)=</v>
      </c>
      <c r="AK35" s="84">
        <f>VLOOKUP(AD33,STN_TABLE,4,FALSE)</f>
        <v>0</v>
      </c>
      <c r="AL35" t="str">
        <f>CONCATENATE("M(",AD34,")=")</f>
        <v>M(0.25)=</v>
      </c>
      <c r="AM35">
        <f>AI35+AK35</f>
        <v>0.71166666666666656</v>
      </c>
      <c r="AO35" s="82" t="str">
        <f>AA35</f>
        <v>M(0.25)=</v>
      </c>
      <c r="AP35" s="88" t="e">
        <f>VLOOKUP(AO35,Rise_Results,2,FALSE)</f>
        <v>#N/A</v>
      </c>
      <c r="AQ35" s="82" t="s">
        <v>117</v>
      </c>
      <c r="AR35" s="82">
        <f>IF(OR(AB34&lt;=0,AB35&lt;=0),1/0,AB35)</f>
        <v>0.72354166666666642</v>
      </c>
      <c r="AS35" s="82">
        <f>AM35</f>
        <v>0.71166666666666656</v>
      </c>
      <c r="AT35" s="80">
        <f>IFERROR(AP35,IFERROR(AR35,AS35))</f>
        <v>0.72354166666666642</v>
      </c>
    </row>
    <row r="36" spans="1:47" x14ac:dyDescent="0.25">
      <c r="O36" s="94">
        <v>1</v>
      </c>
      <c r="P36" s="101">
        <f t="shared" ref="P36:P67" si="10">VLOOKUP(O36,STN_TABLE_2,2,FALSE)</f>
        <v>0</v>
      </c>
      <c r="AU36" s="81"/>
    </row>
    <row r="37" spans="1:47" x14ac:dyDescent="0.25">
      <c r="A37" s="94">
        <v>1</v>
      </c>
      <c r="B37" s="94">
        <f>VLOOKUP(A37,STN_TABLE_2,2,FALSE)</f>
        <v>0</v>
      </c>
      <c r="C37" s="79">
        <f>B37</f>
        <v>0</v>
      </c>
      <c r="D37" s="68">
        <f>VLOOKUP(C37,STN_TABLE,2,FALSE)</f>
        <v>1.9</v>
      </c>
      <c r="E37" s="102">
        <v>1</v>
      </c>
      <c r="F37" s="68">
        <f>D37*E37</f>
        <v>1.9</v>
      </c>
      <c r="G37" s="69">
        <f>C37</f>
        <v>0</v>
      </c>
      <c r="H37" s="69">
        <f>F37*G37</f>
        <v>0</v>
      </c>
      <c r="I37" s="6" t="s">
        <v>93</v>
      </c>
      <c r="J37" s="70">
        <f>IF(OR(D37=0,D38=0,D39=0),"#NA",IF(AND(C39-C38=C38-C37,C38&lt;&gt;C39,C37&lt;&gt;C38,C37&lt;&gt;C39,D39&lt;&gt;0,OR(D37&lt;&gt;0,D38&lt;&gt;0)),WLS*(C39-C38),"#NA"))</f>
        <v>0.5</v>
      </c>
      <c r="O37" s="99">
        <f>O36+1</f>
        <v>2</v>
      </c>
      <c r="P37" s="99">
        <f t="shared" si="10"/>
        <v>0.25</v>
      </c>
      <c r="Q37" s="68">
        <f>IF(OR(P39-P38=P38-P37,P40-P38=P38-P37),P37,IF(OR(P39-P38=P38-P36,P40-P38=P38-P36),P36,"-"))</f>
        <v>0.25</v>
      </c>
      <c r="R37" s="69">
        <f>VLOOKUP(Q37,STN_TABLE,2,FALSE)</f>
        <v>3.32</v>
      </c>
      <c r="S37" s="69">
        <v>5</v>
      </c>
      <c r="T37" s="68">
        <f>R37*S37</f>
        <v>16.599999999999998</v>
      </c>
      <c r="U37" s="79">
        <v>3</v>
      </c>
      <c r="V37" s="68">
        <f>R37*U37</f>
        <v>9.9599999999999991</v>
      </c>
      <c r="W37" s="6" t="s">
        <v>93</v>
      </c>
      <c r="X37" s="70">
        <f>IF(AND(Q39-Q38=Q38-Q37,NOT(AND(Q37=0,Q38=0)),NOT(AND(Q38=0,Q39=0))),WLS*(Q39-Q38),"#NA")</f>
        <v>0.5</v>
      </c>
      <c r="AD37" s="93"/>
      <c r="AH37" s="6" t="s">
        <v>93</v>
      </c>
      <c r="AI37" s="70">
        <f>WLS*(AD39-AD38)</f>
        <v>0.5</v>
      </c>
      <c r="AU37" s="81"/>
    </row>
    <row r="38" spans="1:47" x14ac:dyDescent="0.25">
      <c r="A38" s="94">
        <f>A37+1</f>
        <v>2</v>
      </c>
      <c r="B38" s="94">
        <f>VLOOKUP(A38,STN_TABLE_2,2,FALSE)</f>
        <v>0.25</v>
      </c>
      <c r="C38" s="80">
        <f>B38</f>
        <v>0.25</v>
      </c>
      <c r="D38" s="76">
        <f>VLOOKUP(C38,STN_TABLE,2,FALSE)</f>
        <v>3.32</v>
      </c>
      <c r="E38" s="81">
        <v>4</v>
      </c>
      <c r="F38" s="76">
        <f>D38*E38</f>
        <v>13.28</v>
      </c>
      <c r="G38" s="77">
        <f>C38</f>
        <v>0.25</v>
      </c>
      <c r="H38" s="77">
        <f>F38*G38</f>
        <v>3.32</v>
      </c>
      <c r="I38" s="496" t="s">
        <v>97</v>
      </c>
      <c r="J38" s="496"/>
      <c r="K38" s="78" t="s">
        <v>98</v>
      </c>
      <c r="L38" s="78"/>
      <c r="M38" s="7" t="s">
        <v>99</v>
      </c>
      <c r="N38" s="7"/>
      <c r="O38" s="99">
        <f>O37+1</f>
        <v>3</v>
      </c>
      <c r="P38" s="99">
        <f t="shared" si="10"/>
        <v>0.5</v>
      </c>
      <c r="Q38" s="76">
        <f>P38</f>
        <v>0.5</v>
      </c>
      <c r="R38" s="77">
        <f>VLOOKUP(Q38,STN_TABLE,2,FALSE)</f>
        <v>4.17</v>
      </c>
      <c r="S38" s="77">
        <v>8</v>
      </c>
      <c r="T38" s="76">
        <f>R38*S38</f>
        <v>33.36</v>
      </c>
      <c r="U38" s="80">
        <v>10</v>
      </c>
      <c r="V38" s="76">
        <f>R38*U38</f>
        <v>41.7</v>
      </c>
      <c r="W38" s="496" t="s">
        <v>97</v>
      </c>
      <c r="X38" s="496"/>
      <c r="Y38" s="496" t="s">
        <v>98</v>
      </c>
      <c r="Z38" s="496"/>
      <c r="AA38" s="494" t="s">
        <v>99</v>
      </c>
      <c r="AB38" s="494"/>
      <c r="AC38" s="99">
        <f>AC33+1</f>
        <v>2</v>
      </c>
      <c r="AD38" s="95">
        <f>VLOOKUP(AC38,STN_TABLE_2,2,FALSE)</f>
        <v>0.25</v>
      </c>
      <c r="AE38" s="68">
        <f>VLOOKUP(AD38,STN_TABLE,2,FALSE)</f>
        <v>3.32</v>
      </c>
      <c r="AF38" s="68">
        <v>1</v>
      </c>
      <c r="AG38" s="69">
        <f>AE38*AF38</f>
        <v>3.32</v>
      </c>
      <c r="AH38" s="496" t="s">
        <v>97</v>
      </c>
      <c r="AI38" s="496"/>
      <c r="AJ38" s="496" t="s">
        <v>98</v>
      </c>
      <c r="AK38" s="496"/>
      <c r="AL38" s="494" t="s">
        <v>99</v>
      </c>
      <c r="AM38" s="494"/>
      <c r="AP38" s="86" t="s">
        <v>112</v>
      </c>
      <c r="AQ38" s="89" t="s">
        <v>113</v>
      </c>
      <c r="AR38" s="89" t="s">
        <v>114</v>
      </c>
      <c r="AS38" s="89" t="s">
        <v>115</v>
      </c>
    </row>
    <row r="39" spans="1:47" x14ac:dyDescent="0.25">
      <c r="A39" s="94">
        <f>A38+1</f>
        <v>3</v>
      </c>
      <c r="B39" s="94">
        <f>VLOOKUP(A39,STN_TABLE_2,2,FALSE)</f>
        <v>0.5</v>
      </c>
      <c r="C39" s="88">
        <f>B39</f>
        <v>0.5</v>
      </c>
      <c r="D39" s="82">
        <f>VLOOKUP(C39,STN_TABLE,2,FALSE)</f>
        <v>4.17</v>
      </c>
      <c r="E39" s="92">
        <v>1</v>
      </c>
      <c r="F39" s="82">
        <f>D39*E39</f>
        <v>4.17</v>
      </c>
      <c r="G39" s="83">
        <f>C39</f>
        <v>0.5</v>
      </c>
      <c r="H39" s="83">
        <f>F39*G39</f>
        <v>2.085</v>
      </c>
      <c r="I39" s="84" t="str">
        <f>CONCATENATE("a'(",C39,")=")</f>
        <v>a'(0.5)=</v>
      </c>
      <c r="J39" s="84">
        <f>2*J37/3*F40</f>
        <v>6.45</v>
      </c>
      <c r="K39" s="84" t="str">
        <f>CONCATENATE("A(",C37,")=")</f>
        <v>A(0)=</v>
      </c>
      <c r="L39" s="84">
        <f>VLOOKUP(C37,STN_TABLE,3,FALSE)</f>
        <v>0</v>
      </c>
      <c r="M39" t="str">
        <f>CONCATENATE("A(",C39,")=")</f>
        <v>A(0.5)=</v>
      </c>
      <c r="N39">
        <f>J39+L39</f>
        <v>6.45</v>
      </c>
      <c r="O39" s="99">
        <f>O38+1</f>
        <v>4</v>
      </c>
      <c r="P39" s="99">
        <f t="shared" si="10"/>
        <v>0.75</v>
      </c>
      <c r="Q39" s="82">
        <f>IF(P39-P38=P38-P37,P39,IF(P40-P38=P38-P37,P40,IF(P39-P38=P38-P36,P39,IF(P40-P38=P38-P36,P40,"-"))))</f>
        <v>0.75</v>
      </c>
      <c r="R39" s="83">
        <f>VLOOKUP(Q39,STN_TABLE,2,FALSE)</f>
        <v>4.72</v>
      </c>
      <c r="S39" s="83">
        <v>-1</v>
      </c>
      <c r="T39" s="82">
        <f>R39*S39</f>
        <v>-4.72</v>
      </c>
      <c r="U39" s="88">
        <v>-1</v>
      </c>
      <c r="V39" s="82">
        <f>R39*U39</f>
        <v>-4.72</v>
      </c>
      <c r="W39" s="84" t="str">
        <f>CONCATENATE("a'(",Q38,")=")</f>
        <v>a'(0.5)=</v>
      </c>
      <c r="X39" s="84">
        <f>2*X37/12*T40</f>
        <v>3.7699999999999996</v>
      </c>
      <c r="Y39" s="84" t="str">
        <f>CONCATENATE("A(",Q37,")=")</f>
        <v>A(0.25)=</v>
      </c>
      <c r="Z39" s="84">
        <f>VLOOKUP(Q37,STN_TABLE,3,FALSE)</f>
        <v>2.6574999999999998</v>
      </c>
      <c r="AA39" t="str">
        <f>CONCATENATE("A(",Q38,")=")</f>
        <v>A(0.5)=</v>
      </c>
      <c r="AB39">
        <f>X39+Z39</f>
        <v>6.4274999999999993</v>
      </c>
      <c r="AC39" s="99">
        <f>AC38+1</f>
        <v>3</v>
      </c>
      <c r="AD39" s="100">
        <f>VLOOKUP(AC39,STN_TABLE_2,2,FALSE)</f>
        <v>0.5</v>
      </c>
      <c r="AE39" s="82">
        <f>VLOOKUP(AD39,STN_TABLE,2,FALSE)</f>
        <v>4.17</v>
      </c>
      <c r="AF39" s="82">
        <v>2</v>
      </c>
      <c r="AG39" s="83">
        <f>AE39*AF39</f>
        <v>8.34</v>
      </c>
      <c r="AH39" s="84" t="str">
        <f>CONCATENATE("a'(",AD39,")=")</f>
        <v>a'(0.5)=</v>
      </c>
      <c r="AI39" s="84">
        <f>2*AI37/2*AE40</f>
        <v>3.7450000000000001</v>
      </c>
      <c r="AJ39" s="84" t="str">
        <f>CONCATENATE("A(",AD38,")=")</f>
        <v>A(0.25)=</v>
      </c>
      <c r="AK39" s="84">
        <f>VLOOKUP(AD38,STN_TABLE,3,FALSE)</f>
        <v>2.6574999999999998</v>
      </c>
      <c r="AL39" t="str">
        <f>CONCATENATE("A(",AD39,")=")</f>
        <v>A(0.5)=</v>
      </c>
      <c r="AM39">
        <f>AI39+AK39</f>
        <v>6.4024999999999999</v>
      </c>
      <c r="AO39" s="68" t="str">
        <f>AA39</f>
        <v>A(0.5)=</v>
      </c>
      <c r="AP39" s="68" t="e">
        <f>VLOOKUP(AO39,Rise_Results,2,FALSE)</f>
        <v>#N/A</v>
      </c>
      <c r="AQ39" s="76">
        <f>N39</f>
        <v>6.45</v>
      </c>
      <c r="AR39" s="76">
        <f>IF(OR(AB39&lt;=0,AB40&lt;=0),1/0,AB39)</f>
        <v>6.4274999999999993</v>
      </c>
      <c r="AS39" s="76">
        <f>AM39</f>
        <v>6.4024999999999999</v>
      </c>
      <c r="AT39">
        <f>IFERROR(AP39,IFERROR(AQ39,IFERROR(AR39,AS39)))</f>
        <v>6.45</v>
      </c>
    </row>
    <row r="40" spans="1:47" x14ac:dyDescent="0.25">
      <c r="A40">
        <v>4</v>
      </c>
      <c r="F40" s="82">
        <f>SUM(F37:F39)</f>
        <v>19.350000000000001</v>
      </c>
      <c r="H40" s="82">
        <f>SUM(H37:H39)</f>
        <v>5.4049999999999994</v>
      </c>
      <c r="I40" s="84" t="str">
        <f>CONCATENATE("m'(",C39,")=")</f>
        <v>m'(0.5)=</v>
      </c>
      <c r="J40" s="84">
        <f>2*(J37*(WLS))/3*H40</f>
        <v>3.6033333333333326</v>
      </c>
      <c r="K40" s="84" t="str">
        <f>CONCATENATE("M(",C37,")=")</f>
        <v>M(0)=</v>
      </c>
      <c r="L40" s="84">
        <f>VLOOKUP(C37,STN_TABLE,4,FALSE)</f>
        <v>0</v>
      </c>
      <c r="M40" t="str">
        <f>CONCATENATE("M(",C39,")=")</f>
        <v>M(0.5)=</v>
      </c>
      <c r="N40">
        <f>J40+L40</f>
        <v>3.6033333333333326</v>
      </c>
      <c r="O40" s="99">
        <f>O39+1</f>
        <v>5</v>
      </c>
      <c r="P40" s="99">
        <f t="shared" si="10"/>
        <v>1</v>
      </c>
      <c r="T40" s="89">
        <f>SUM(T37:T39)</f>
        <v>45.239999999999995</v>
      </c>
      <c r="V40" s="82">
        <f>SUM(V37:V39)</f>
        <v>46.940000000000005</v>
      </c>
      <c r="W40" s="84" t="str">
        <f>CONCATENATE("m'(",Q38,")=")</f>
        <v>m'(0.5)=</v>
      </c>
      <c r="X40" s="84">
        <f>(2*(X37^2)/24*V40)+(X39*Q37*WLS)</f>
        <v>2.8629166666666666</v>
      </c>
      <c r="Y40" s="84" t="str">
        <f>CONCATENATE("M(",Q37,")=")</f>
        <v>M(0.25)=</v>
      </c>
      <c r="Z40" s="84">
        <f>VLOOKUP(Q37,STN_TABLE,4,FALSE)</f>
        <v>0.72354166666666642</v>
      </c>
      <c r="AA40" t="str">
        <f>CONCATENATE("M(",Q38,")=")</f>
        <v>M(0.5)=</v>
      </c>
      <c r="AB40">
        <f>X40+Z40</f>
        <v>3.5864583333333329</v>
      </c>
      <c r="AE40" s="89">
        <f>SUM(AE38:AE39)</f>
        <v>7.49</v>
      </c>
      <c r="AG40" s="89">
        <f>SUM(AG38:AG39)</f>
        <v>11.66</v>
      </c>
      <c r="AH40" s="84" t="str">
        <f>CONCATENATE("m'(",AD39,")=")</f>
        <v>m'(0.5)=</v>
      </c>
      <c r="AI40" s="84">
        <f>(2*(AI37^2)/6*AG40)+(AI39*AD38*WLS)</f>
        <v>2.8441666666666667</v>
      </c>
      <c r="AJ40" s="84" t="str">
        <f>CONCATENATE("M(",AD38,")=")</f>
        <v>M(0.25)=</v>
      </c>
      <c r="AK40" s="84">
        <f>VLOOKUP(AD38,STN_TABLE,4,FALSE)</f>
        <v>0.72354166666666642</v>
      </c>
      <c r="AL40" t="str">
        <f>CONCATENATE("M(",AD39,")=")</f>
        <v>M(0.5)=</v>
      </c>
      <c r="AM40">
        <f>AI40+AK40</f>
        <v>3.567708333333333</v>
      </c>
      <c r="AO40" s="82" t="str">
        <f>AA40</f>
        <v>M(0.5)=</v>
      </c>
      <c r="AP40" s="82" t="e">
        <f>VLOOKUP(AO40,Rise_Results,2,FALSE)</f>
        <v>#N/A</v>
      </c>
      <c r="AQ40" s="82">
        <f>N40</f>
        <v>3.6033333333333326</v>
      </c>
      <c r="AR40" s="82">
        <f>IF(OR(AB39&lt;=0,AB40&lt;=0),1/0,AB40)</f>
        <v>3.5864583333333329</v>
      </c>
      <c r="AS40" s="82">
        <f>AM40</f>
        <v>3.567708333333333</v>
      </c>
      <c r="AT40">
        <f>IFERROR(AP40,IFERROR(AQ40,IFERROR(AR40,AS40)))</f>
        <v>3.6033333333333326</v>
      </c>
    </row>
    <row r="41" spans="1:47" x14ac:dyDescent="0.25">
      <c r="A41" s="94">
        <v>0</v>
      </c>
      <c r="O41" s="101">
        <f>O36+1</f>
        <v>2</v>
      </c>
      <c r="P41" s="101">
        <f t="shared" si="10"/>
        <v>0.25</v>
      </c>
    </row>
    <row r="42" spans="1:47" x14ac:dyDescent="0.25">
      <c r="A42" s="94">
        <f>A41+1</f>
        <v>1</v>
      </c>
      <c r="B42" s="94">
        <f t="shared" ref="B42:B73" si="11">VLOOKUP(A42,STN_TABLE_2,2,FALSE)</f>
        <v>0</v>
      </c>
      <c r="C42" s="79">
        <f>IF(C43=B43,B42,IF(C43=B44,IF(C44-C43=C43-B43,B43,IF(C44-C43=C43-B42,B42,"NA"))))</f>
        <v>0.25</v>
      </c>
      <c r="D42" s="68">
        <f>VLOOKUP(C42,STN_TABLE,2,FALSE)</f>
        <v>3.32</v>
      </c>
      <c r="E42" s="102">
        <v>1</v>
      </c>
      <c r="F42" s="68">
        <f>D42*E42</f>
        <v>3.32</v>
      </c>
      <c r="G42" s="69">
        <f>C42</f>
        <v>0.25</v>
      </c>
      <c r="H42" s="69">
        <f>F42*G42</f>
        <v>0.83</v>
      </c>
      <c r="I42" s="6" t="s">
        <v>93</v>
      </c>
      <c r="J42" s="70">
        <f>IF(OR(D42=0,D43=0,D44=0),"#NA",IF(AND(C44-C43=C43-C42,C43&lt;&gt;C44,C42&lt;&gt;C43,C42&lt;&gt;C44,D44&lt;&gt;0,OR(D42&lt;&gt;0,D43&lt;&gt;0)),WLS*(C44-C43),"#NA"))</f>
        <v>0.5</v>
      </c>
      <c r="O42" s="99">
        <f>O41+1</f>
        <v>3</v>
      </c>
      <c r="P42" s="99">
        <f t="shared" si="10"/>
        <v>0.5</v>
      </c>
      <c r="Q42" s="68">
        <f>IF(OR(P44-P43=P43-P42,P45-P43=P43-P42),P42,IF(OR(P44-P43=P43-P41,P45-P43=P43-P41),P41,"-"))</f>
        <v>0.5</v>
      </c>
      <c r="R42" s="69">
        <f>VLOOKUP(Q42,STN_TABLE,2,FALSE)</f>
        <v>4.17</v>
      </c>
      <c r="S42" s="69">
        <v>5</v>
      </c>
      <c r="T42" s="68">
        <f>R42*S42</f>
        <v>20.85</v>
      </c>
      <c r="U42" s="79">
        <v>3</v>
      </c>
      <c r="V42" s="68">
        <f>R42*U42</f>
        <v>12.51</v>
      </c>
      <c r="W42" s="6" t="s">
        <v>93</v>
      </c>
      <c r="X42" s="70">
        <f>IF(AND(Q44-Q43=Q43-Q42,NOT(AND(Q42=0,Q43=0)),NOT(AND(Q43=0,Q44=0))),WLS*(Q44-Q43),"#NA")</f>
        <v>0.5</v>
      </c>
      <c r="AD42" s="93"/>
      <c r="AH42" s="6" t="s">
        <v>93</v>
      </c>
      <c r="AI42" s="70">
        <f>WLS*(AD44-AD43)</f>
        <v>0.5</v>
      </c>
      <c r="AU42" s="81"/>
    </row>
    <row r="43" spans="1:47" x14ac:dyDescent="0.25">
      <c r="A43" s="94">
        <f>A42+1</f>
        <v>2</v>
      </c>
      <c r="B43" s="94">
        <f t="shared" si="11"/>
        <v>0.25</v>
      </c>
      <c r="C43" s="80">
        <f>IF(OR(B45-B44=B44-B43,B45-B44=B44-B42,),B44,IF(B45-B43=B43-B42,B43,"#NA"))</f>
        <v>0.5</v>
      </c>
      <c r="D43" s="76">
        <f>VLOOKUP(C43,STN_TABLE,2,FALSE)</f>
        <v>4.17</v>
      </c>
      <c r="E43" s="81">
        <v>4</v>
      </c>
      <c r="F43" s="76">
        <f>D43*E43</f>
        <v>16.68</v>
      </c>
      <c r="G43" s="77">
        <f>C43</f>
        <v>0.5</v>
      </c>
      <c r="H43" s="77">
        <f>F43*G43</f>
        <v>8.34</v>
      </c>
      <c r="I43" s="496" t="s">
        <v>97</v>
      </c>
      <c r="J43" s="496"/>
      <c r="K43" s="78" t="s">
        <v>98</v>
      </c>
      <c r="L43" s="78"/>
      <c r="M43" s="7" t="s">
        <v>99</v>
      </c>
      <c r="N43" s="7"/>
      <c r="O43" s="99">
        <f>O42+1</f>
        <v>4</v>
      </c>
      <c r="P43" s="99">
        <f t="shared" si="10"/>
        <v>0.75</v>
      </c>
      <c r="Q43" s="76">
        <f>P43</f>
        <v>0.75</v>
      </c>
      <c r="R43" s="77">
        <f>VLOOKUP(Q43,STN_TABLE,2,FALSE)</f>
        <v>4.72</v>
      </c>
      <c r="S43" s="77">
        <v>8</v>
      </c>
      <c r="T43" s="76">
        <f>R43*S43</f>
        <v>37.76</v>
      </c>
      <c r="U43" s="80">
        <v>10</v>
      </c>
      <c r="V43" s="76">
        <f>R43*U43</f>
        <v>47.199999999999996</v>
      </c>
      <c r="W43" s="496" t="s">
        <v>97</v>
      </c>
      <c r="X43" s="496"/>
      <c r="Y43" s="496" t="s">
        <v>98</v>
      </c>
      <c r="Z43" s="496"/>
      <c r="AA43" s="494" t="s">
        <v>99</v>
      </c>
      <c r="AB43" s="494"/>
      <c r="AC43" s="99">
        <f>AC38+1</f>
        <v>3</v>
      </c>
      <c r="AD43" s="95">
        <f>VLOOKUP(AC43,STN_TABLE_2,2,FALSE)</f>
        <v>0.5</v>
      </c>
      <c r="AE43" s="68">
        <f>VLOOKUP(AD43,STN_TABLE,2,FALSE)</f>
        <v>4.17</v>
      </c>
      <c r="AF43" s="68">
        <v>1</v>
      </c>
      <c r="AG43" s="69">
        <f>AE43*AF43</f>
        <v>4.17</v>
      </c>
      <c r="AH43" s="496" t="s">
        <v>97</v>
      </c>
      <c r="AI43" s="496"/>
      <c r="AJ43" s="496" t="s">
        <v>98</v>
      </c>
      <c r="AK43" s="496"/>
      <c r="AL43" s="494" t="s">
        <v>99</v>
      </c>
      <c r="AM43" s="494"/>
      <c r="AP43" s="86" t="s">
        <v>112</v>
      </c>
      <c r="AQ43" s="89" t="s">
        <v>113</v>
      </c>
      <c r="AR43" s="89" t="s">
        <v>114</v>
      </c>
      <c r="AS43" s="89" t="s">
        <v>115</v>
      </c>
      <c r="AU43" s="81"/>
    </row>
    <row r="44" spans="1:47" x14ac:dyDescent="0.25">
      <c r="A44" s="94">
        <f>A43+1</f>
        <v>3</v>
      </c>
      <c r="B44" s="94">
        <f t="shared" si="11"/>
        <v>0.5</v>
      </c>
      <c r="C44" s="88">
        <f>B45</f>
        <v>0.75</v>
      </c>
      <c r="D44" s="82">
        <f>VLOOKUP(C44,STN_TABLE,2,FALSE)</f>
        <v>4.72</v>
      </c>
      <c r="E44" s="92">
        <v>1</v>
      </c>
      <c r="F44" s="82">
        <f>D44*E44</f>
        <v>4.72</v>
      </c>
      <c r="G44" s="83">
        <f>C44</f>
        <v>0.75</v>
      </c>
      <c r="H44" s="83">
        <f>F44*G44</f>
        <v>3.54</v>
      </c>
      <c r="I44" s="84" t="str">
        <f>CONCATENATE("a'(",C44,")=")</f>
        <v>a'(0.75)=</v>
      </c>
      <c r="J44" s="84">
        <f>2*J42/3*F45</f>
        <v>8.2399999999999984</v>
      </c>
      <c r="K44" s="84" t="str">
        <f>CONCATENATE("A(",C42,")=")</f>
        <v>A(0.25)=</v>
      </c>
      <c r="L44" s="84">
        <f>VLOOKUP(C42,STN_TABLE,3,FALSE)</f>
        <v>2.6574999999999998</v>
      </c>
      <c r="M44" t="str">
        <f>CONCATENATE("A(",C44,")=")</f>
        <v>A(0.75)=</v>
      </c>
      <c r="N44">
        <f>J44+L44</f>
        <v>10.897499999999997</v>
      </c>
      <c r="O44" s="99">
        <f>O43+1</f>
        <v>5</v>
      </c>
      <c r="P44" s="99">
        <f t="shared" si="10"/>
        <v>1</v>
      </c>
      <c r="Q44" s="82">
        <f>IF(P44-P43=P43-P42,P44,IF(P45-P43=P43-P42,P45,IF(P44-P43=P43-P41,P44,IF(P45-P43=P43-P41,P45,"-"))))</f>
        <v>1</v>
      </c>
      <c r="R44" s="83">
        <f>VLOOKUP(Q44,STN_TABLE,2,FALSE)</f>
        <v>5.15</v>
      </c>
      <c r="S44" s="83">
        <v>-1</v>
      </c>
      <c r="T44" s="82">
        <f>R44*S44</f>
        <v>-5.15</v>
      </c>
      <c r="U44" s="88">
        <v>-1</v>
      </c>
      <c r="V44" s="82">
        <f>R44*U44</f>
        <v>-5.15</v>
      </c>
      <c r="W44" s="84" t="str">
        <f>CONCATENATE("a'(",Q43,")=")</f>
        <v>a'(0.75)=</v>
      </c>
      <c r="X44" s="84">
        <f>2*X42/12*T45</f>
        <v>4.4550000000000001</v>
      </c>
      <c r="Y44" s="84" t="str">
        <f>CONCATENATE("A(",Q42,")=")</f>
        <v>A(0.5)=</v>
      </c>
      <c r="Z44" s="84">
        <f>VLOOKUP(Q42,STN_TABLE,3,FALSE)</f>
        <v>6.45</v>
      </c>
      <c r="AA44" t="str">
        <f>CONCATENATE("A(",Q43,")=")</f>
        <v>A(0.75)=</v>
      </c>
      <c r="AB44">
        <f>X44+Z44</f>
        <v>10.905000000000001</v>
      </c>
      <c r="AC44" s="99">
        <f>AC43+1</f>
        <v>4</v>
      </c>
      <c r="AD44" s="100">
        <f>VLOOKUP(AC44,STN_TABLE_2,2,FALSE)</f>
        <v>0.75</v>
      </c>
      <c r="AE44" s="82">
        <f>VLOOKUP(AD44,STN_TABLE,2,FALSE)</f>
        <v>4.72</v>
      </c>
      <c r="AF44" s="82">
        <v>2</v>
      </c>
      <c r="AG44" s="83">
        <f>AE44*AF44</f>
        <v>9.44</v>
      </c>
      <c r="AH44" s="84" t="str">
        <f>CONCATENATE("a'(",AD44,")=")</f>
        <v>a'(0.75)=</v>
      </c>
      <c r="AI44" s="84">
        <f>2*AI42/2*AE45</f>
        <v>4.4450000000000003</v>
      </c>
      <c r="AJ44" s="84" t="str">
        <f>CONCATENATE("A(",AD43,")=")</f>
        <v>A(0.5)=</v>
      </c>
      <c r="AK44" s="84">
        <f>VLOOKUP(AD43,STN_TABLE,3,FALSE)</f>
        <v>6.45</v>
      </c>
      <c r="AL44" t="str">
        <f>CONCATENATE("A(",AD44,")=")</f>
        <v>A(0.75)=</v>
      </c>
      <c r="AM44">
        <f>AI44+AK44</f>
        <v>10.895</v>
      </c>
      <c r="AO44" s="68" t="str">
        <f>AA44</f>
        <v>A(0.75)=</v>
      </c>
      <c r="AP44" s="68" t="e">
        <f>VLOOKUP(AO44,Rise_Results,2,FALSE)</f>
        <v>#N/A</v>
      </c>
      <c r="AQ44" s="76">
        <f>N44</f>
        <v>10.897499999999997</v>
      </c>
      <c r="AR44" s="76">
        <f>IF(OR(AB44&lt;=0,AB45&lt;=0),1/0,AB44)</f>
        <v>10.905000000000001</v>
      </c>
      <c r="AS44" s="76">
        <f>AM44</f>
        <v>10.895</v>
      </c>
      <c r="AT44">
        <f>IFERROR(AP44,IFERROR(AQ44,IFERROR(AR44,AS44)))</f>
        <v>10.897499999999997</v>
      </c>
      <c r="AU44" s="81"/>
    </row>
    <row r="45" spans="1:47" x14ac:dyDescent="0.25">
      <c r="A45" s="94">
        <f>A44+1</f>
        <v>4</v>
      </c>
      <c r="B45" s="94">
        <f t="shared" si="11"/>
        <v>0.75</v>
      </c>
      <c r="F45" s="82">
        <f>SUM(F42:F44)</f>
        <v>24.72</v>
      </c>
      <c r="H45" s="82">
        <f>SUM(H42:H44)</f>
        <v>12.71</v>
      </c>
      <c r="I45" s="84" t="str">
        <f>CONCATENATE("m'(",C44,")=")</f>
        <v>m'(0.75)=</v>
      </c>
      <c r="J45" s="84">
        <f>2*(J42*(WLS))/3*H45</f>
        <v>8.4733333333333327</v>
      </c>
      <c r="K45" s="84" t="str">
        <f>CONCATENATE("M(",C42,")=")</f>
        <v>M(0.25)=</v>
      </c>
      <c r="L45" s="84">
        <f>VLOOKUP(C42,STN_TABLE,4,FALSE)</f>
        <v>0.72354166666666642</v>
      </c>
      <c r="M45" t="str">
        <f>CONCATENATE("M(",C44,")=")</f>
        <v>M(0.75)=</v>
      </c>
      <c r="N45">
        <f>J45+L45</f>
        <v>9.1968749999999986</v>
      </c>
      <c r="O45" s="99">
        <f>O44+1</f>
        <v>6</v>
      </c>
      <c r="P45" s="99">
        <f t="shared" si="10"/>
        <v>2</v>
      </c>
      <c r="T45" s="89">
        <f>SUM(T42:T44)</f>
        <v>53.46</v>
      </c>
      <c r="V45" s="82">
        <f>SUM(V42:V44)</f>
        <v>54.559999999999995</v>
      </c>
      <c r="W45" s="84" t="str">
        <f>CONCATENATE("m'(",Q43,")=")</f>
        <v>m'(0.75)=</v>
      </c>
      <c r="X45" s="84">
        <f>(2*(X42^2)/24*V45)+(X44*Q42*WLS)</f>
        <v>5.5916666666666668</v>
      </c>
      <c r="Y45" s="84" t="str">
        <f>CONCATENATE("M(",Q42,")=")</f>
        <v>M(0.5)=</v>
      </c>
      <c r="Z45" s="84">
        <f>VLOOKUP(Q42,STN_TABLE,4,FALSE)</f>
        <v>3.6033333333333326</v>
      </c>
      <c r="AA45" t="str">
        <f>CONCATENATE("M(",Q43,")=")</f>
        <v>M(0.75)=</v>
      </c>
      <c r="AB45">
        <f>X45+Z45</f>
        <v>9.1950000000000003</v>
      </c>
      <c r="AE45" s="89">
        <f>SUM(AE43:AE44)</f>
        <v>8.89</v>
      </c>
      <c r="AG45" s="89">
        <f>SUM(AG43:AG44)</f>
        <v>13.61</v>
      </c>
      <c r="AH45" s="84" t="str">
        <f>CONCATENATE("m'(",AD44,")=")</f>
        <v>m'(0.75)=</v>
      </c>
      <c r="AI45" s="84">
        <f>(2*(AI42^2)/6*AG45)+(AI44*AD43*WLS)</f>
        <v>5.5791666666666666</v>
      </c>
      <c r="AJ45" s="84" t="str">
        <f>CONCATENATE("M(",AD43,")=")</f>
        <v>M(0.5)=</v>
      </c>
      <c r="AK45" s="84">
        <f>VLOOKUP(AD43,STN_TABLE,4,FALSE)</f>
        <v>3.6033333333333326</v>
      </c>
      <c r="AL45" t="str">
        <f>CONCATENATE("M(",AD44,")=")</f>
        <v>M(0.75)=</v>
      </c>
      <c r="AM45">
        <f>AI45+AK45</f>
        <v>9.1824999999999992</v>
      </c>
      <c r="AO45" s="82" t="str">
        <f>AA45</f>
        <v>M(0.75)=</v>
      </c>
      <c r="AP45" s="82" t="e">
        <f>VLOOKUP(AO45,Rise_Results,2,FALSE)</f>
        <v>#N/A</v>
      </c>
      <c r="AQ45" s="82">
        <f>N45</f>
        <v>9.1968749999999986</v>
      </c>
      <c r="AR45" s="82">
        <f>IF(OR(AB44&lt;=0,AB45&lt;=0),1/0,AB45)</f>
        <v>9.1950000000000003</v>
      </c>
      <c r="AS45" s="82">
        <f>AM45</f>
        <v>9.1824999999999992</v>
      </c>
      <c r="AT45">
        <f>IFERROR(AP45,IFERROR(AQ45,IFERROR(AR45,AS45)))</f>
        <v>9.1968749999999986</v>
      </c>
      <c r="AU45" s="81"/>
    </row>
    <row r="46" spans="1:47" x14ac:dyDescent="0.25">
      <c r="A46" s="101">
        <f>A41+1</f>
        <v>1</v>
      </c>
      <c r="B46" s="101">
        <f t="shared" si="11"/>
        <v>0</v>
      </c>
      <c r="O46" s="101">
        <f>O41+1</f>
        <v>3</v>
      </c>
      <c r="P46" s="101">
        <f t="shared" si="10"/>
        <v>0.5</v>
      </c>
      <c r="AU46" s="81"/>
    </row>
    <row r="47" spans="1:47" x14ac:dyDescent="0.25">
      <c r="A47" s="84">
        <f>A46+1</f>
        <v>2</v>
      </c>
      <c r="B47" s="84">
        <f t="shared" si="11"/>
        <v>0.25</v>
      </c>
      <c r="C47" s="79">
        <f>IF(C48=B49,IF(C49-C48=C48-B48,B48,IF(C49-C48=C48-B47,B47,"#NA")),IF(C48=B48,IF(C49-C48=C48-B47,B47,IF(C49-C48=C48-B46,B46,"#NA")),"#NA"))</f>
        <v>0.5</v>
      </c>
      <c r="D47" s="68">
        <f>VLOOKUP(C47,STN_TABLE,2,FALSE)</f>
        <v>4.17</v>
      </c>
      <c r="E47" s="102">
        <v>1</v>
      </c>
      <c r="F47" s="68">
        <f>D47*E47</f>
        <v>4.17</v>
      </c>
      <c r="G47" s="69">
        <f>C47</f>
        <v>0.5</v>
      </c>
      <c r="H47" s="69">
        <f>F47*G47</f>
        <v>2.085</v>
      </c>
      <c r="I47" s="6" t="s">
        <v>93</v>
      </c>
      <c r="J47" s="70">
        <f>IF(OR(D47=0,D48=0,D49=0),"#NA",IF(AND(C49-C48=C48-C47,C48&lt;&gt;C49,C47&lt;&gt;C48,C47&lt;&gt;C49,D49&lt;&gt;0,OR(D47&lt;&gt;0,D48&lt;&gt;0)),WLS*(C49-C48),"#NA"))</f>
        <v>0.5</v>
      </c>
      <c r="O47" s="99">
        <f>O46+1</f>
        <v>4</v>
      </c>
      <c r="P47" s="99">
        <f t="shared" si="10"/>
        <v>0.75</v>
      </c>
      <c r="Q47" s="68" t="str">
        <f>IF(OR(P49-P48=P48-P47,P50-P48=P48-P47),P47,IF(OR(P49-P48=P48-P46,P50-P48=P48-P46),P46,"-"))</f>
        <v>-</v>
      </c>
      <c r="R47" s="69" t="e">
        <f>VLOOKUP(Q47,STN_TABLE,2,FALSE)</f>
        <v>#N/A</v>
      </c>
      <c r="S47" s="69">
        <v>5</v>
      </c>
      <c r="T47" s="68" t="e">
        <f>R47*S47</f>
        <v>#N/A</v>
      </c>
      <c r="U47" s="79">
        <v>3</v>
      </c>
      <c r="V47" s="68" t="e">
        <f>R47*U47</f>
        <v>#N/A</v>
      </c>
      <c r="W47" s="6" t="s">
        <v>93</v>
      </c>
      <c r="X47" s="70" t="e">
        <f>IF(AND(Q49-Q48=Q48-Q47,NOT(AND(Q47=0,Q48=0)),NOT(AND(Q48=0,Q49=0))),WLS*(Q49-Q48),"#NA")</f>
        <v>#VALUE!</v>
      </c>
      <c r="AD47" s="93"/>
      <c r="AH47" s="6" t="s">
        <v>93</v>
      </c>
      <c r="AI47" s="70">
        <f>WLS*(AD49-AD48)</f>
        <v>0.5</v>
      </c>
      <c r="AU47" s="81"/>
    </row>
    <row r="48" spans="1:47" x14ac:dyDescent="0.25">
      <c r="A48" s="84">
        <f>A47+1</f>
        <v>3</v>
      </c>
      <c r="B48" s="84">
        <f t="shared" si="11"/>
        <v>0.5</v>
      </c>
      <c r="C48" s="80">
        <f>IF(OR(B50-B49=B49-B48,B50-B49=B49-B47,B50-B49=B49-B46),B49,IF(OR(B50-B48=B48-B47,B50-B48=B48-B46),B48,IF(B50-B47=B47-B46,B47,"#NA")))</f>
        <v>0.75</v>
      </c>
      <c r="D48" s="76">
        <f>VLOOKUP(C48,STN_TABLE,2,FALSE)</f>
        <v>4.72</v>
      </c>
      <c r="E48" s="81">
        <v>4</v>
      </c>
      <c r="F48" s="76">
        <f>D48*E48</f>
        <v>18.88</v>
      </c>
      <c r="G48" s="77">
        <f>C48</f>
        <v>0.75</v>
      </c>
      <c r="H48" s="77">
        <f>F48*G48</f>
        <v>14.16</v>
      </c>
      <c r="I48" s="496" t="s">
        <v>97</v>
      </c>
      <c r="J48" s="496"/>
      <c r="K48" s="78" t="s">
        <v>98</v>
      </c>
      <c r="L48" s="78"/>
      <c r="M48" s="7" t="s">
        <v>99</v>
      </c>
      <c r="N48" s="7"/>
      <c r="O48" s="99">
        <f>O47+1</f>
        <v>5</v>
      </c>
      <c r="P48" s="99">
        <f t="shared" si="10"/>
        <v>1</v>
      </c>
      <c r="Q48" s="76">
        <f>P48</f>
        <v>1</v>
      </c>
      <c r="R48" s="77">
        <f>VLOOKUP(Q48,STN_TABLE,2,FALSE)</f>
        <v>5.15</v>
      </c>
      <c r="S48" s="77">
        <v>8</v>
      </c>
      <c r="T48" s="76">
        <f>R48*S48</f>
        <v>41.2</v>
      </c>
      <c r="U48" s="80">
        <v>10</v>
      </c>
      <c r="V48" s="76">
        <f>R48*U48</f>
        <v>51.5</v>
      </c>
      <c r="W48" s="496" t="s">
        <v>97</v>
      </c>
      <c r="X48" s="496"/>
      <c r="Y48" s="496" t="s">
        <v>98</v>
      </c>
      <c r="Z48" s="496"/>
      <c r="AA48" s="494" t="s">
        <v>99</v>
      </c>
      <c r="AB48" s="494"/>
      <c r="AC48" s="99">
        <f>AC43+1</f>
        <v>4</v>
      </c>
      <c r="AD48" s="95">
        <f>VLOOKUP(AC48,STN_TABLE_2,2,FALSE)</f>
        <v>0.75</v>
      </c>
      <c r="AE48" s="68">
        <f>VLOOKUP(AD48,STN_TABLE,2,FALSE)</f>
        <v>4.72</v>
      </c>
      <c r="AF48" s="68">
        <v>1</v>
      </c>
      <c r="AG48" s="69">
        <f>AE48*AF48</f>
        <v>4.72</v>
      </c>
      <c r="AH48" s="496" t="s">
        <v>97</v>
      </c>
      <c r="AI48" s="496"/>
      <c r="AJ48" s="496" t="s">
        <v>98</v>
      </c>
      <c r="AK48" s="496"/>
      <c r="AL48" s="494" t="s">
        <v>99</v>
      </c>
      <c r="AM48" s="494"/>
      <c r="AP48" s="86" t="s">
        <v>112</v>
      </c>
      <c r="AQ48" s="89" t="s">
        <v>113</v>
      </c>
      <c r="AR48" s="89" t="s">
        <v>114</v>
      </c>
      <c r="AS48" s="89" t="s">
        <v>115</v>
      </c>
      <c r="AU48" s="81"/>
    </row>
    <row r="49" spans="1:47" x14ac:dyDescent="0.25">
      <c r="A49" s="84">
        <f>A48+1</f>
        <v>4</v>
      </c>
      <c r="B49" s="84">
        <f t="shared" si="11"/>
        <v>0.75</v>
      </c>
      <c r="C49" s="88">
        <f>B50</f>
        <v>1</v>
      </c>
      <c r="D49" s="82">
        <f>VLOOKUP(C49,STN_TABLE,2,FALSE)</f>
        <v>5.15</v>
      </c>
      <c r="E49" s="92">
        <v>1</v>
      </c>
      <c r="F49" s="82">
        <f>D49*E49</f>
        <v>5.15</v>
      </c>
      <c r="G49" s="83">
        <f>C49</f>
        <v>1</v>
      </c>
      <c r="H49" s="83">
        <f>F49*G49</f>
        <v>5.15</v>
      </c>
      <c r="I49" s="84" t="str">
        <f>CONCATENATE("a'(",C49,")=")</f>
        <v>a'(1)=</v>
      </c>
      <c r="J49" s="84">
        <f>2*J47/3*F50</f>
        <v>9.3999999999999986</v>
      </c>
      <c r="K49" s="84" t="str">
        <f>CONCATENATE("A(",C47,")=")</f>
        <v>A(0.5)=</v>
      </c>
      <c r="L49" s="84">
        <f>VLOOKUP(C47,STN_TABLE,3,FALSE)</f>
        <v>6.45</v>
      </c>
      <c r="M49" t="str">
        <f>CONCATENATE("A(",C49,")=")</f>
        <v>A(1)=</v>
      </c>
      <c r="N49">
        <f>J49+L49</f>
        <v>15.849999999999998</v>
      </c>
      <c r="O49" s="99">
        <f>O48+1</f>
        <v>6</v>
      </c>
      <c r="P49" s="99">
        <f t="shared" si="10"/>
        <v>2</v>
      </c>
      <c r="Q49" s="82" t="str">
        <f>IF(P49-P48=P48-P47,P49,IF(P50-P48=P48-P47,P50,IF(P49-P48=P48-P46,P49,IF(P50-P48=P48-P46,P50,"-"))))</f>
        <v>-</v>
      </c>
      <c r="R49" s="83" t="e">
        <f>VLOOKUP(Q49,STN_TABLE,2,FALSE)</f>
        <v>#N/A</v>
      </c>
      <c r="S49" s="83">
        <v>-1</v>
      </c>
      <c r="T49" s="82" t="e">
        <f>R49*S49</f>
        <v>#N/A</v>
      </c>
      <c r="U49" s="88">
        <v>-1</v>
      </c>
      <c r="V49" s="82" t="e">
        <f>R49*U49</f>
        <v>#N/A</v>
      </c>
      <c r="W49" s="84" t="str">
        <f>CONCATENATE("a'(",Q48,")=")</f>
        <v>a'(1)=</v>
      </c>
      <c r="X49" s="84" t="e">
        <f>2*X47/12*T50</f>
        <v>#VALUE!</v>
      </c>
      <c r="Y49" s="84" t="str">
        <f>CONCATENATE("A(",Q47,")=")</f>
        <v>A(-)=</v>
      </c>
      <c r="Z49" s="84" t="e">
        <f>VLOOKUP(Q47,STN_TABLE,3,FALSE)</f>
        <v>#N/A</v>
      </c>
      <c r="AA49" t="str">
        <f>CONCATENATE("A(",Q48,")=")</f>
        <v>A(1)=</v>
      </c>
      <c r="AB49" t="e">
        <f>X49+Z49</f>
        <v>#VALUE!</v>
      </c>
      <c r="AC49" s="99">
        <f>AC48+1</f>
        <v>5</v>
      </c>
      <c r="AD49" s="100">
        <f>VLOOKUP(AC49,STN_TABLE_2,2,FALSE)</f>
        <v>1</v>
      </c>
      <c r="AE49" s="82">
        <f>VLOOKUP(AD49,STN_TABLE,2,FALSE)</f>
        <v>5.15</v>
      </c>
      <c r="AF49" s="82">
        <v>2</v>
      </c>
      <c r="AG49" s="83">
        <f>AE49*AF49</f>
        <v>10.3</v>
      </c>
      <c r="AH49" s="84" t="str">
        <f>CONCATENATE("a'(",AD49,")=")</f>
        <v>a'(1)=</v>
      </c>
      <c r="AI49" s="84">
        <f>2*AI47/2*AE50</f>
        <v>4.9350000000000005</v>
      </c>
      <c r="AJ49" s="84" t="str">
        <f>CONCATENATE("A(",AD48,")=")</f>
        <v>A(0.75)=</v>
      </c>
      <c r="AK49" s="84">
        <f>VLOOKUP(AD48,STN_TABLE,3,FALSE)</f>
        <v>10.897499999999997</v>
      </c>
      <c r="AL49" t="str">
        <f>CONCATENATE("A(",AD49,")=")</f>
        <v>A(1)=</v>
      </c>
      <c r="AM49">
        <f>AI49+AK49</f>
        <v>15.832499999999998</v>
      </c>
      <c r="AO49" s="68" t="str">
        <f>AA49</f>
        <v>A(1)=</v>
      </c>
      <c r="AP49" s="68" t="e">
        <f>VLOOKUP(AO49,Rise_Results,2,FALSE)</f>
        <v>#N/A</v>
      </c>
      <c r="AQ49" s="76">
        <f>N49</f>
        <v>15.849999999999998</v>
      </c>
      <c r="AR49" s="76" t="e">
        <f>IF(OR(AB49&lt;=0,AB50&lt;=0),1/0,AB49)</f>
        <v>#VALUE!</v>
      </c>
      <c r="AS49" s="76">
        <f>AM49</f>
        <v>15.832499999999998</v>
      </c>
      <c r="AT49">
        <f>IFERROR(AP49,IFERROR(AQ49,IFERROR(AR49,AS49)))</f>
        <v>15.849999999999998</v>
      </c>
      <c r="AU49" s="81"/>
    </row>
    <row r="50" spans="1:47" x14ac:dyDescent="0.25">
      <c r="A50" s="84">
        <f>A49+1</f>
        <v>5</v>
      </c>
      <c r="B50" s="84">
        <f t="shared" si="11"/>
        <v>1</v>
      </c>
      <c r="F50" s="82">
        <f>SUM(F47:F49)</f>
        <v>28.199999999999996</v>
      </c>
      <c r="H50" s="82">
        <f>SUM(H47:H49)</f>
        <v>21.395000000000003</v>
      </c>
      <c r="I50" s="84" t="str">
        <f>CONCATENATE("m'(",C49,")=")</f>
        <v>m'(1)=</v>
      </c>
      <c r="J50" s="84">
        <f>2*(J47*(WLS))/3*H50</f>
        <v>14.263333333333335</v>
      </c>
      <c r="K50" s="84" t="str">
        <f>CONCATENATE("M(",C47,")=")</f>
        <v>M(0.5)=</v>
      </c>
      <c r="L50" s="84">
        <f>VLOOKUP(C47,STN_TABLE,4,FALSE)</f>
        <v>3.6033333333333326</v>
      </c>
      <c r="M50" t="str">
        <f>CONCATENATE("M(",C49,")=")</f>
        <v>M(1)=</v>
      </c>
      <c r="N50">
        <f>J50+L50</f>
        <v>17.866666666666667</v>
      </c>
      <c r="O50" s="99">
        <f>O49+1</f>
        <v>7</v>
      </c>
      <c r="P50" s="99">
        <f t="shared" si="10"/>
        <v>3</v>
      </c>
      <c r="T50" s="89" t="e">
        <f>SUM(T47:T49)</f>
        <v>#N/A</v>
      </c>
      <c r="V50" s="82" t="e">
        <f>SUM(V47:V49)</f>
        <v>#N/A</v>
      </c>
      <c r="W50" s="84" t="str">
        <f>CONCATENATE("m'(",Q48,")=")</f>
        <v>m'(1)=</v>
      </c>
      <c r="X50" s="84" t="e">
        <f>(2*(X47^2)/24*V50)+(X49*Q47*WLS)</f>
        <v>#VALUE!</v>
      </c>
      <c r="Y50" s="84" t="str">
        <f>CONCATENATE("M(",Q47,")=")</f>
        <v>M(-)=</v>
      </c>
      <c r="Z50" s="84" t="e">
        <f>VLOOKUP(Q47,STN_TABLE,4,FALSE)</f>
        <v>#N/A</v>
      </c>
      <c r="AA50" t="str">
        <f>CONCATENATE("M(",Q48,")=")</f>
        <v>M(1)=</v>
      </c>
      <c r="AB50" t="e">
        <f>X50+Z50</f>
        <v>#VALUE!</v>
      </c>
      <c r="AE50" s="89">
        <f>SUM(AE48:AE49)</f>
        <v>9.870000000000001</v>
      </c>
      <c r="AG50" s="89">
        <f>SUM(AG48:AG49)</f>
        <v>15.02</v>
      </c>
      <c r="AH50" s="84" t="str">
        <f>CONCATENATE("m'(",AD49,")=")</f>
        <v>m'(1)=</v>
      </c>
      <c r="AI50" s="84">
        <f>(2*(AI47^2)/6*AG50)+(AI49*AD48*WLS)</f>
        <v>8.6541666666666668</v>
      </c>
      <c r="AJ50" s="84" t="str">
        <f>CONCATENATE("M(",AD48,")=")</f>
        <v>M(0.75)=</v>
      </c>
      <c r="AK50" s="84">
        <f>VLOOKUP(AD48,STN_TABLE,4,FALSE)</f>
        <v>9.1968749999999986</v>
      </c>
      <c r="AL50" t="str">
        <f>CONCATENATE("M(",AD49,")=")</f>
        <v>M(1)=</v>
      </c>
      <c r="AM50">
        <f>AI50+AK50</f>
        <v>17.851041666666667</v>
      </c>
      <c r="AO50" s="82" t="str">
        <f>AA50</f>
        <v>M(1)=</v>
      </c>
      <c r="AP50" s="82" t="e">
        <f>VLOOKUP(AO50,Rise_Results,2,FALSE)</f>
        <v>#N/A</v>
      </c>
      <c r="AQ50" s="82">
        <f>N50</f>
        <v>17.866666666666667</v>
      </c>
      <c r="AR50" s="82" t="e">
        <f>IF(OR(AB49&lt;=0,AB50&lt;=0),1/0,AB50)</f>
        <v>#VALUE!</v>
      </c>
      <c r="AS50" s="82">
        <f>AM50</f>
        <v>17.851041666666667</v>
      </c>
      <c r="AT50">
        <f>IFERROR(AP50,IFERROR(AQ50,IFERROR(AR50,AS50)))</f>
        <v>17.866666666666667</v>
      </c>
      <c r="AU50" s="81"/>
    </row>
    <row r="51" spans="1:47" x14ac:dyDescent="0.25">
      <c r="A51" s="101">
        <f>A46+1</f>
        <v>2</v>
      </c>
      <c r="B51" s="101">
        <f t="shared" si="11"/>
        <v>0.25</v>
      </c>
      <c r="O51" s="101">
        <f>O46+1</f>
        <v>4</v>
      </c>
      <c r="P51" s="101">
        <f t="shared" si="10"/>
        <v>0.75</v>
      </c>
      <c r="AU51" s="81"/>
    </row>
    <row r="52" spans="1:47" x14ac:dyDescent="0.25">
      <c r="A52" s="84">
        <f>A51+1</f>
        <v>3</v>
      </c>
      <c r="B52" s="84">
        <f t="shared" si="11"/>
        <v>0.5</v>
      </c>
      <c r="C52" s="79" t="str">
        <f t="shared" ref="C52" si="12">IF(C53=B54,IF(C54-C53=C53-B53,B53,IF(C54-C53=C53-B52,B52,"#NA")),IF(C53=B53,IF(C54-C53=C53-B52,B52,IF(C54-C53=C53-B51,B51,"#NA")),"#NA"))</f>
        <v>#NA</v>
      </c>
      <c r="D52" s="68" t="e">
        <f>VLOOKUP(C52,STN_TABLE,2,FALSE)</f>
        <v>#N/A</v>
      </c>
      <c r="E52" s="102">
        <v>1</v>
      </c>
      <c r="F52" s="68" t="e">
        <f>D52*E52</f>
        <v>#N/A</v>
      </c>
      <c r="G52" s="69" t="str">
        <f>C52</f>
        <v>#NA</v>
      </c>
      <c r="H52" s="69" t="e">
        <f>F52*G52</f>
        <v>#N/A</v>
      </c>
      <c r="I52" s="6" t="s">
        <v>93</v>
      </c>
      <c r="J52" s="70" t="e">
        <f>IF(OR(D52=0,D53=0,D54=0),"#NA",IF(AND(C54-C53=C53-C52,C53&lt;&gt;C54,C52&lt;&gt;C53,C52&lt;&gt;C54,D54&lt;&gt;0,OR(D52&lt;&gt;0,D53&lt;&gt;0)),WLS*(C54-C53),"#NA"))</f>
        <v>#N/A</v>
      </c>
      <c r="O52" s="99">
        <f>O51+1</f>
        <v>5</v>
      </c>
      <c r="P52" s="99">
        <f t="shared" si="10"/>
        <v>1</v>
      </c>
      <c r="Q52" s="68">
        <f>IF(OR(P54-P53=P53-P52,P55-P53=P53-P52),P52,IF(OR(P54-P53=P53-P51,P55-P53=P53-P51),P51,"-"))</f>
        <v>1</v>
      </c>
      <c r="R52" s="69">
        <f>VLOOKUP(Q52,STN_TABLE,2,FALSE)</f>
        <v>5.15</v>
      </c>
      <c r="S52" s="69">
        <v>5</v>
      </c>
      <c r="T52" s="68">
        <f>R52*S52</f>
        <v>25.75</v>
      </c>
      <c r="U52" s="79">
        <v>3</v>
      </c>
      <c r="V52" s="68">
        <f>R52*U52</f>
        <v>15.450000000000001</v>
      </c>
      <c r="W52" s="6" t="s">
        <v>93</v>
      </c>
      <c r="X52" s="70">
        <f>IF(AND(Q54-Q53=Q53-Q52,NOT(AND(Q52=0,Q53=0)),NOT(AND(Q53=0,Q54=0))),WLS*(Q54-Q53),"#NA")</f>
        <v>2</v>
      </c>
      <c r="AD52" s="93"/>
      <c r="AH52" s="6" t="s">
        <v>93</v>
      </c>
      <c r="AI52" s="70">
        <f>WLS*(AD54-AD53)</f>
        <v>2</v>
      </c>
      <c r="AU52" s="81"/>
    </row>
    <row r="53" spans="1:47" x14ac:dyDescent="0.25">
      <c r="A53" s="84">
        <f>A52+1</f>
        <v>4</v>
      </c>
      <c r="B53" s="84">
        <f t="shared" si="11"/>
        <v>0.75</v>
      </c>
      <c r="C53" s="80" t="str">
        <f t="shared" ref="C53" si="13">IF(OR(B55-B54=B54-B53,B55-B54=B54-B52,B55-B54=B54-B51),B54,IF(OR(B55-B53=B53-B52,B55-B53=B53-B51),B53,IF(B55-B52=B52-B51,B52,"#NA")))</f>
        <v>#NA</v>
      </c>
      <c r="D53" s="76" t="e">
        <f>VLOOKUP(C53,STN_TABLE,2,FALSE)</f>
        <v>#N/A</v>
      </c>
      <c r="E53" s="81">
        <v>4</v>
      </c>
      <c r="F53" s="76" t="e">
        <f>D53*E53</f>
        <v>#N/A</v>
      </c>
      <c r="G53" s="77" t="str">
        <f>C53</f>
        <v>#NA</v>
      </c>
      <c r="H53" s="77" t="e">
        <f>F53*G53</f>
        <v>#N/A</v>
      </c>
      <c r="I53" s="495" t="s">
        <v>97</v>
      </c>
      <c r="J53" s="496"/>
      <c r="K53" s="78" t="s">
        <v>98</v>
      </c>
      <c r="L53" s="78"/>
      <c r="M53" s="7" t="s">
        <v>99</v>
      </c>
      <c r="N53" s="7"/>
      <c r="O53" s="99">
        <f>O52+1</f>
        <v>6</v>
      </c>
      <c r="P53" s="99">
        <f t="shared" si="10"/>
        <v>2</v>
      </c>
      <c r="Q53" s="76">
        <f>P53</f>
        <v>2</v>
      </c>
      <c r="R53" s="77">
        <f>VLOOKUP(Q53,STN_TABLE,2,FALSE)</f>
        <v>6.67</v>
      </c>
      <c r="S53" s="77">
        <v>8</v>
      </c>
      <c r="T53" s="76">
        <f>R53*S53</f>
        <v>53.36</v>
      </c>
      <c r="U53" s="80">
        <v>10</v>
      </c>
      <c r="V53" s="76">
        <f>R53*U53</f>
        <v>66.7</v>
      </c>
      <c r="W53" s="496" t="s">
        <v>97</v>
      </c>
      <c r="X53" s="496"/>
      <c r="Y53" s="496" t="s">
        <v>98</v>
      </c>
      <c r="Z53" s="496"/>
      <c r="AA53" s="494" t="s">
        <v>99</v>
      </c>
      <c r="AB53" s="494"/>
      <c r="AC53" s="99">
        <f>AC48+1</f>
        <v>5</v>
      </c>
      <c r="AD53" s="95">
        <f>VLOOKUP(AC53,STN_TABLE_2,2,FALSE)</f>
        <v>1</v>
      </c>
      <c r="AE53" s="68">
        <f>VLOOKUP(AD53,STN_TABLE,2,FALSE)</f>
        <v>5.15</v>
      </c>
      <c r="AF53" s="68">
        <v>1</v>
      </c>
      <c r="AG53" s="69">
        <f>AE53*AF53</f>
        <v>5.15</v>
      </c>
      <c r="AH53" s="496" t="s">
        <v>97</v>
      </c>
      <c r="AI53" s="496"/>
      <c r="AJ53" s="496" t="s">
        <v>98</v>
      </c>
      <c r="AK53" s="496"/>
      <c r="AL53" s="494" t="s">
        <v>99</v>
      </c>
      <c r="AM53" s="494"/>
      <c r="AP53" s="86" t="s">
        <v>112</v>
      </c>
      <c r="AQ53" s="89" t="s">
        <v>113</v>
      </c>
      <c r="AR53" s="89" t="s">
        <v>114</v>
      </c>
      <c r="AS53" s="89" t="s">
        <v>115</v>
      </c>
      <c r="AU53" s="81"/>
    </row>
    <row r="54" spans="1:47" x14ac:dyDescent="0.25">
      <c r="A54" s="84">
        <f>A53+1</f>
        <v>5</v>
      </c>
      <c r="B54" s="84">
        <f t="shared" si="11"/>
        <v>1</v>
      </c>
      <c r="C54" s="88">
        <f t="shared" ref="C54" si="14">B55</f>
        <v>2</v>
      </c>
      <c r="D54" s="82">
        <f>VLOOKUP(C54,STN_TABLE,2,FALSE)</f>
        <v>6.67</v>
      </c>
      <c r="E54" s="92">
        <v>1</v>
      </c>
      <c r="F54" s="82">
        <f>D54*E54</f>
        <v>6.67</v>
      </c>
      <c r="G54" s="83">
        <f>C54</f>
        <v>2</v>
      </c>
      <c r="H54" s="83">
        <f>F54*G54</f>
        <v>13.34</v>
      </c>
      <c r="I54" s="84" t="str">
        <f>CONCATENATE("a'(",C54,")=")</f>
        <v>a'(2)=</v>
      </c>
      <c r="J54" s="84" t="e">
        <f>2*J52/3*F55</f>
        <v>#N/A</v>
      </c>
      <c r="K54" s="84" t="str">
        <f>CONCATENATE("A(",C52,")=")</f>
        <v>A(#NA)=</v>
      </c>
      <c r="L54" s="84" t="e">
        <f>VLOOKUP(C52,STN_TABLE,3,FALSE)</f>
        <v>#N/A</v>
      </c>
      <c r="M54" t="str">
        <f>CONCATENATE("A(",C54,")=")</f>
        <v>A(2)=</v>
      </c>
      <c r="N54" t="e">
        <f>J54+L54</f>
        <v>#N/A</v>
      </c>
      <c r="O54" s="99">
        <f>O53+1</f>
        <v>7</v>
      </c>
      <c r="P54" s="99">
        <f t="shared" si="10"/>
        <v>3</v>
      </c>
      <c r="Q54" s="82">
        <f>IF(P54-P53=P53-P52,P54,IF(P55-P53=P53-P52,P55,IF(P54-P53=P53-P51,P54,IF(P55-P53=P53-P51,P55,"-"))))</f>
        <v>3</v>
      </c>
      <c r="R54" s="83">
        <f>VLOOKUP(Q54,STN_TABLE,2,FALSE)</f>
        <v>7.76</v>
      </c>
      <c r="S54" s="83">
        <v>-1</v>
      </c>
      <c r="T54" s="82">
        <f>R54*S54</f>
        <v>-7.76</v>
      </c>
      <c r="U54" s="88">
        <v>-1</v>
      </c>
      <c r="V54" s="82">
        <f>R54*U54</f>
        <v>-7.76</v>
      </c>
      <c r="W54" s="84" t="str">
        <f>CONCATENATE("a'(",Q53,")=")</f>
        <v>a'(2)=</v>
      </c>
      <c r="X54" s="84">
        <f>2*X52/12*T55</f>
        <v>23.783333333333331</v>
      </c>
      <c r="Y54" s="84" t="str">
        <f>CONCATENATE("A(",Q52,")=")</f>
        <v>A(1)=</v>
      </c>
      <c r="Z54" s="84">
        <f>VLOOKUP(Q52,STN_TABLE,3,FALSE)</f>
        <v>15.849999999999998</v>
      </c>
      <c r="AA54" t="str">
        <f>CONCATENATE("A(",Q53,")=")</f>
        <v>A(2)=</v>
      </c>
      <c r="AB54">
        <f>X54+Z54</f>
        <v>39.633333333333326</v>
      </c>
      <c r="AC54" s="99">
        <f>AC53+1</f>
        <v>6</v>
      </c>
      <c r="AD54" s="100">
        <f>VLOOKUP(AC54,STN_TABLE_2,2,FALSE)</f>
        <v>2</v>
      </c>
      <c r="AE54" s="82">
        <f>VLOOKUP(AD54,STN_TABLE,2,FALSE)</f>
        <v>6.67</v>
      </c>
      <c r="AF54" s="82">
        <v>2</v>
      </c>
      <c r="AG54" s="83">
        <f>AE54*AF54</f>
        <v>13.34</v>
      </c>
      <c r="AH54" s="84" t="str">
        <f>CONCATENATE("a'(",AD54,")=")</f>
        <v>a'(2)=</v>
      </c>
      <c r="AI54" s="84">
        <f>2*AI52/2*AE55</f>
        <v>23.64</v>
      </c>
      <c r="AJ54" s="84" t="str">
        <f>CONCATENATE("A(",AD53,")=")</f>
        <v>A(1)=</v>
      </c>
      <c r="AK54" s="84">
        <f>VLOOKUP(AD53,STN_TABLE,3,FALSE)</f>
        <v>15.849999999999998</v>
      </c>
      <c r="AL54" t="str">
        <f>CONCATENATE("A(",AD54,")=")</f>
        <v>A(2)=</v>
      </c>
      <c r="AM54">
        <f>AI54+AK54</f>
        <v>39.489999999999995</v>
      </c>
      <c r="AO54" s="68" t="str">
        <f>AA54</f>
        <v>A(2)=</v>
      </c>
      <c r="AP54" s="68" t="e">
        <f>VLOOKUP(AO54,Rise_Results,2,FALSE)</f>
        <v>#N/A</v>
      </c>
      <c r="AQ54" s="76" t="e">
        <f>N54</f>
        <v>#N/A</v>
      </c>
      <c r="AR54" s="76">
        <f>IF(OR(AB54&lt;=0,AB55&lt;=0),1/0,AB54)</f>
        <v>39.633333333333326</v>
      </c>
      <c r="AS54" s="76">
        <f>AM54</f>
        <v>39.489999999999995</v>
      </c>
      <c r="AT54">
        <f>IFERROR(AP54,IFERROR(AQ54,IFERROR(AR54,AS54)))</f>
        <v>39.633333333333326</v>
      </c>
      <c r="AU54" s="81"/>
    </row>
    <row r="55" spans="1:47" x14ac:dyDescent="0.25">
      <c r="A55" s="84">
        <f>A54+1</f>
        <v>6</v>
      </c>
      <c r="B55" s="84">
        <f t="shared" si="11"/>
        <v>2</v>
      </c>
      <c r="F55" s="82" t="e">
        <f>SUM(F52:F54)</f>
        <v>#N/A</v>
      </c>
      <c r="H55" s="82" t="e">
        <f>SUM(H52:H54)</f>
        <v>#N/A</v>
      </c>
      <c r="I55" s="84" t="str">
        <f>CONCATENATE("m'(",C54,")=")</f>
        <v>m'(2)=</v>
      </c>
      <c r="J55" s="84" t="e">
        <f>2*(J52*(WLS))/3*H55</f>
        <v>#N/A</v>
      </c>
      <c r="K55" s="84" t="str">
        <f>CONCATENATE("M(",C52,")=")</f>
        <v>M(#NA)=</v>
      </c>
      <c r="L55" s="84" t="e">
        <f>VLOOKUP(C52,STN_TABLE,4,FALSE)</f>
        <v>#N/A</v>
      </c>
      <c r="M55" t="str">
        <f>CONCATENATE("M(",C54,")=")</f>
        <v>M(2)=</v>
      </c>
      <c r="N55" t="e">
        <f>J55+L55</f>
        <v>#N/A</v>
      </c>
      <c r="O55" s="99">
        <f>O54+1</f>
        <v>8</v>
      </c>
      <c r="P55" s="99">
        <f t="shared" si="10"/>
        <v>4</v>
      </c>
      <c r="T55" s="89">
        <f>SUM(T52:T54)</f>
        <v>71.349999999999994</v>
      </c>
      <c r="V55" s="82">
        <f>SUM(V52:V54)</f>
        <v>74.39</v>
      </c>
      <c r="W55" s="84" t="str">
        <f>CONCATENATE("m'(",Q53,")=")</f>
        <v>m'(2)=</v>
      </c>
      <c r="X55" s="84">
        <f>(2*(X52^2)/24*V55)+(X54*Q52*WLS)</f>
        <v>72.36333333333333</v>
      </c>
      <c r="Y55" s="84" t="str">
        <f>CONCATENATE("M(",Q52,")=")</f>
        <v>M(1)=</v>
      </c>
      <c r="Z55" s="84">
        <f>VLOOKUP(Q52,STN_TABLE,4,FALSE)</f>
        <v>17.866666666666667</v>
      </c>
      <c r="AA55" t="str">
        <f>CONCATENATE("M(",Q53,")=")</f>
        <v>M(2)=</v>
      </c>
      <c r="AB55">
        <f>X55+Z55</f>
        <v>90.22999999999999</v>
      </c>
      <c r="AE55" s="89">
        <f>SUM(AE53:AE54)</f>
        <v>11.82</v>
      </c>
      <c r="AG55" s="89">
        <f>SUM(AG53:AG54)</f>
        <v>18.490000000000002</v>
      </c>
      <c r="AH55" s="84" t="str">
        <f>CONCATENATE("m'(",AD54,")=")</f>
        <v>m'(2)=</v>
      </c>
      <c r="AI55" s="84">
        <f>(2*(AI52^2)/6*AG55)+(AI54*AD53*WLS)</f>
        <v>71.933333333333337</v>
      </c>
      <c r="AJ55" s="84" t="str">
        <f>CONCATENATE("M(",AD53,")=")</f>
        <v>M(1)=</v>
      </c>
      <c r="AK55" s="84">
        <f>VLOOKUP(AD53,STN_TABLE,4,FALSE)</f>
        <v>17.866666666666667</v>
      </c>
      <c r="AL55" t="str">
        <f>CONCATENATE("M(",AD54,")=")</f>
        <v>M(2)=</v>
      </c>
      <c r="AM55">
        <f>AI55+AK55</f>
        <v>89.800000000000011</v>
      </c>
      <c r="AO55" s="82" t="str">
        <f>AA55</f>
        <v>M(2)=</v>
      </c>
      <c r="AP55" s="82" t="e">
        <f>VLOOKUP(AO55,Rise_Results,2,FALSE)</f>
        <v>#N/A</v>
      </c>
      <c r="AQ55" s="82" t="e">
        <f>N55</f>
        <v>#N/A</v>
      </c>
      <c r="AR55" s="82">
        <f>IF(OR(AB54&lt;=0,AB55&lt;=0),1/0,AB55)</f>
        <v>90.22999999999999</v>
      </c>
      <c r="AS55" s="82">
        <f>AM55</f>
        <v>89.800000000000011</v>
      </c>
      <c r="AT55">
        <f>IFERROR(AP55,IFERROR(AQ55,IFERROR(AR55,AS55)))</f>
        <v>90.22999999999999</v>
      </c>
      <c r="AU55" s="81"/>
    </row>
    <row r="56" spans="1:47" x14ac:dyDescent="0.25">
      <c r="A56" s="101">
        <f>A51+1</f>
        <v>3</v>
      </c>
      <c r="B56" s="101">
        <f t="shared" si="11"/>
        <v>0.5</v>
      </c>
      <c r="O56" s="101">
        <f>O51+1</f>
        <v>5</v>
      </c>
      <c r="P56" s="101">
        <f t="shared" si="10"/>
        <v>1</v>
      </c>
      <c r="AU56" s="81"/>
    </row>
    <row r="57" spans="1:47" x14ac:dyDescent="0.25">
      <c r="A57" s="84">
        <f>A56+1</f>
        <v>4</v>
      </c>
      <c r="B57" s="84">
        <f t="shared" si="11"/>
        <v>0.75</v>
      </c>
      <c r="C57" s="79">
        <f t="shared" ref="C57" si="15">IF(C58=B59,IF(C59-C58=C58-B58,B58,IF(C59-C58=C58-B57,B57,"#NA")),IF(C58=B58,IF(C59-C58=C58-B57,B57,IF(C59-C58=C58-B56,B56,"#NA")),"#NA"))</f>
        <v>1</v>
      </c>
      <c r="D57" s="68">
        <f>VLOOKUP(C57,STN_TABLE,2,FALSE)</f>
        <v>5.15</v>
      </c>
      <c r="E57" s="102">
        <v>1</v>
      </c>
      <c r="F57" s="68">
        <f>D57*E57</f>
        <v>5.15</v>
      </c>
      <c r="G57" s="69">
        <f>C57</f>
        <v>1</v>
      </c>
      <c r="H57" s="69">
        <f>F57*G57</f>
        <v>5.15</v>
      </c>
      <c r="I57" s="6" t="s">
        <v>93</v>
      </c>
      <c r="J57" s="70">
        <f>IF(OR(D57=0,D58=0,D59=0),"#NA",IF(AND(C59-C58=C58-C57,C58&lt;&gt;C59,C57&lt;&gt;C58,C57&lt;&gt;C59,D59&lt;&gt;0,OR(D57&lt;&gt;0,D58&lt;&gt;0)),WLS*(C59-C58),"#NA"))</f>
        <v>2</v>
      </c>
      <c r="O57" s="99">
        <f>O56+1</f>
        <v>6</v>
      </c>
      <c r="P57" s="99">
        <f t="shared" si="10"/>
        <v>2</v>
      </c>
      <c r="Q57" s="68">
        <f>IF(OR(P59-P58=P58-P57,P60-P58=P58-P57),P57,IF(OR(P59-P58=P58-P56,P60-P58=P58-P56),P56,"-"))</f>
        <v>2</v>
      </c>
      <c r="R57" s="69">
        <f>VLOOKUP(Q57,STN_TABLE,2,FALSE)</f>
        <v>6.67</v>
      </c>
      <c r="S57" s="69">
        <v>5</v>
      </c>
      <c r="T57" s="68">
        <f>R57*S57</f>
        <v>33.35</v>
      </c>
      <c r="U57" s="79">
        <v>3</v>
      </c>
      <c r="V57" s="68">
        <f>R57*U57</f>
        <v>20.009999999999998</v>
      </c>
      <c r="W57" s="6" t="s">
        <v>93</v>
      </c>
      <c r="X57" s="70">
        <f>IF(AND(Q59-Q58=Q58-Q57,NOT(AND(Q57=0,Q58=0)),NOT(AND(Q58=0,Q59=0))),WLS*(Q59-Q58),"#NA")</f>
        <v>2</v>
      </c>
      <c r="AD57" s="93"/>
      <c r="AH57" s="6" t="s">
        <v>93</v>
      </c>
      <c r="AI57" s="70">
        <f>WLS*(AD59-AD58)</f>
        <v>2</v>
      </c>
      <c r="AU57" s="81"/>
    </row>
    <row r="58" spans="1:47" x14ac:dyDescent="0.25">
      <c r="A58" s="84">
        <f>A57+1</f>
        <v>5</v>
      </c>
      <c r="B58" s="84">
        <f t="shared" si="11"/>
        <v>1</v>
      </c>
      <c r="C58" s="80">
        <f t="shared" ref="C58" si="16">IF(OR(B60-B59=B59-B58,B60-B59=B59-B57,B60-B59=B59-B56),B59,IF(OR(B60-B58=B58-B57,B60-B58=B58-B56),B58,IF(B60-B57=B57-B56,B57,"#NA")))</f>
        <v>2</v>
      </c>
      <c r="D58" s="76">
        <f>VLOOKUP(C58,STN_TABLE,2,FALSE)</f>
        <v>6.67</v>
      </c>
      <c r="E58" s="81">
        <v>4</v>
      </c>
      <c r="F58" s="76">
        <f>D58*E58</f>
        <v>26.68</v>
      </c>
      <c r="G58" s="77">
        <f>C58</f>
        <v>2</v>
      </c>
      <c r="H58" s="77">
        <f>F58*G58</f>
        <v>53.36</v>
      </c>
      <c r="I58" s="495" t="s">
        <v>97</v>
      </c>
      <c r="J58" s="496"/>
      <c r="K58" s="78" t="s">
        <v>98</v>
      </c>
      <c r="L58" s="78"/>
      <c r="M58" s="7" t="s">
        <v>99</v>
      </c>
      <c r="N58" s="7"/>
      <c r="O58" s="99">
        <f>O57+1</f>
        <v>7</v>
      </c>
      <c r="P58" s="99">
        <f t="shared" si="10"/>
        <v>3</v>
      </c>
      <c r="Q58" s="76">
        <f>P58</f>
        <v>3</v>
      </c>
      <c r="R58" s="77">
        <f>VLOOKUP(Q58,STN_TABLE,2,FALSE)</f>
        <v>7.76</v>
      </c>
      <c r="S58" s="77">
        <v>8</v>
      </c>
      <c r="T58" s="76">
        <f>R58*S58</f>
        <v>62.08</v>
      </c>
      <c r="U58" s="80">
        <v>10</v>
      </c>
      <c r="V58" s="76">
        <f>R58*U58</f>
        <v>77.599999999999994</v>
      </c>
      <c r="W58" s="78" t="s">
        <v>97</v>
      </c>
      <c r="X58" s="78"/>
      <c r="Y58" s="78" t="s">
        <v>98</v>
      </c>
      <c r="Z58" s="78"/>
      <c r="AA58" s="7" t="s">
        <v>99</v>
      </c>
      <c r="AB58" s="7"/>
      <c r="AC58" s="99">
        <f>AC53+1</f>
        <v>6</v>
      </c>
      <c r="AD58" s="95">
        <f>VLOOKUP(AC58,STN_TABLE_2,2,FALSE)</f>
        <v>2</v>
      </c>
      <c r="AE58" s="68">
        <f>VLOOKUP(AD58,STN_TABLE,2,FALSE)</f>
        <v>6.67</v>
      </c>
      <c r="AF58" s="68">
        <v>1</v>
      </c>
      <c r="AG58" s="69">
        <f>AE58*AF58</f>
        <v>6.67</v>
      </c>
      <c r="AH58" s="496" t="s">
        <v>97</v>
      </c>
      <c r="AI58" s="496"/>
      <c r="AJ58" s="496" t="s">
        <v>98</v>
      </c>
      <c r="AK58" s="496"/>
      <c r="AL58" s="494" t="s">
        <v>99</v>
      </c>
      <c r="AM58" s="494"/>
      <c r="AP58" s="86" t="s">
        <v>112</v>
      </c>
      <c r="AQ58" s="89" t="s">
        <v>113</v>
      </c>
      <c r="AR58" s="89" t="s">
        <v>114</v>
      </c>
      <c r="AS58" s="89" t="s">
        <v>115</v>
      </c>
      <c r="AU58" s="81"/>
    </row>
    <row r="59" spans="1:47" x14ac:dyDescent="0.25">
      <c r="A59" s="84">
        <f>A58+1</f>
        <v>6</v>
      </c>
      <c r="B59" s="84">
        <f t="shared" si="11"/>
        <v>2</v>
      </c>
      <c r="C59" s="88">
        <f t="shared" ref="C59" si="17">B60</f>
        <v>3</v>
      </c>
      <c r="D59" s="82">
        <f>VLOOKUP(C59,STN_TABLE,2,FALSE)</f>
        <v>7.76</v>
      </c>
      <c r="E59" s="92">
        <v>1</v>
      </c>
      <c r="F59" s="82">
        <f>D59*E59</f>
        <v>7.76</v>
      </c>
      <c r="G59" s="83">
        <f>C59</f>
        <v>3</v>
      </c>
      <c r="H59" s="83">
        <f>F59*G59</f>
        <v>23.28</v>
      </c>
      <c r="I59" s="84" t="str">
        <f>CONCATENATE("a'(",C59,")=")</f>
        <v>a'(3)=</v>
      </c>
      <c r="J59" s="84">
        <f>2*J57/3*F60</f>
        <v>52.786666666666662</v>
      </c>
      <c r="K59" s="84" t="str">
        <f>CONCATENATE("A(",C57,")=")</f>
        <v>A(1)=</v>
      </c>
      <c r="L59" s="84">
        <f>VLOOKUP(C57,STN_TABLE,3,FALSE)</f>
        <v>15.849999999999998</v>
      </c>
      <c r="M59" t="str">
        <f>CONCATENATE("A(",C59,")=")</f>
        <v>A(3)=</v>
      </c>
      <c r="N59">
        <f>J59+L59</f>
        <v>68.636666666666656</v>
      </c>
      <c r="O59" s="99">
        <f>O58+1</f>
        <v>8</v>
      </c>
      <c r="P59" s="99">
        <f t="shared" si="10"/>
        <v>4</v>
      </c>
      <c r="Q59" s="82">
        <f>IF(P59-P58=P58-P57,P59,IF(P60-P58=P58-P57,P60,IF(P59-P58=P58-P56,P59,IF(P60-P58=P58-P56,P60,"-"))))</f>
        <v>4</v>
      </c>
      <c r="R59" s="83">
        <f>VLOOKUP(Q59,STN_TABLE,2,FALSE)</f>
        <v>8.65</v>
      </c>
      <c r="S59" s="83">
        <v>-1</v>
      </c>
      <c r="T59" s="82">
        <f>R59*S59</f>
        <v>-8.65</v>
      </c>
      <c r="U59" s="88">
        <v>-1</v>
      </c>
      <c r="V59" s="82">
        <f>R59*U59</f>
        <v>-8.65</v>
      </c>
      <c r="W59" s="84" t="str">
        <f>CONCATENATE("a'(",Q58,")=")</f>
        <v>a'(3)=</v>
      </c>
      <c r="X59" s="84">
        <f>2*X57/12*T60</f>
        <v>28.926666666666666</v>
      </c>
      <c r="Y59" s="84" t="str">
        <f>CONCATENATE("A(",Q57,")=")</f>
        <v>A(2)=</v>
      </c>
      <c r="Z59" s="84">
        <f>VLOOKUP(Q57,STN_TABLE,3,FALSE)</f>
        <v>39.633333333333326</v>
      </c>
      <c r="AA59" t="str">
        <f>CONCATENATE("A(",Q58,")=")</f>
        <v>A(3)=</v>
      </c>
      <c r="AB59">
        <f>X59+Z59</f>
        <v>68.559999999999988</v>
      </c>
      <c r="AC59" s="99">
        <f>AC58+1</f>
        <v>7</v>
      </c>
      <c r="AD59" s="100">
        <f>VLOOKUP(AC59,STN_TABLE_2,2,FALSE)</f>
        <v>3</v>
      </c>
      <c r="AE59" s="82">
        <f>VLOOKUP(AD59,STN_TABLE,2,FALSE)</f>
        <v>7.76</v>
      </c>
      <c r="AF59" s="82">
        <v>2</v>
      </c>
      <c r="AG59" s="83">
        <f>AE59*AF59</f>
        <v>15.52</v>
      </c>
      <c r="AH59" s="84" t="str">
        <f>CONCATENATE("a'(",AD59,")=")</f>
        <v>a'(3)=</v>
      </c>
      <c r="AI59" s="84">
        <f>2*AI57/2*AE60</f>
        <v>28.86</v>
      </c>
      <c r="AJ59" s="84" t="str">
        <f>CONCATENATE("A(",AD58,")=")</f>
        <v>A(2)=</v>
      </c>
      <c r="AK59" s="84">
        <f>VLOOKUP(AD58,STN_TABLE,3,FALSE)</f>
        <v>39.633333333333326</v>
      </c>
      <c r="AL59" t="str">
        <f>CONCATENATE("A(",AD59,")=")</f>
        <v>A(3)=</v>
      </c>
      <c r="AM59">
        <f>AI59+AK59</f>
        <v>68.493333333333325</v>
      </c>
      <c r="AO59" s="68" t="str">
        <f>AA59</f>
        <v>A(3)=</v>
      </c>
      <c r="AP59" s="68" t="e">
        <f>VLOOKUP(AO59,Rise_Results,2,FALSE)</f>
        <v>#N/A</v>
      </c>
      <c r="AQ59" s="76">
        <f>N59</f>
        <v>68.636666666666656</v>
      </c>
      <c r="AR59" s="76">
        <f>IF(OR(AB59&lt;=0,AB60&lt;=0),1/0,AB59)</f>
        <v>68.559999999999988</v>
      </c>
      <c r="AS59" s="76">
        <f>AM59</f>
        <v>68.493333333333325</v>
      </c>
      <c r="AT59">
        <f>IFERROR(AP59,IFERROR(AQ59,IFERROR(AR59,AS59)))</f>
        <v>68.636666666666656</v>
      </c>
      <c r="AU59" s="81"/>
    </row>
    <row r="60" spans="1:47" x14ac:dyDescent="0.25">
      <c r="A60" s="84">
        <f>A59+1</f>
        <v>7</v>
      </c>
      <c r="B60" s="84">
        <f t="shared" si="11"/>
        <v>3</v>
      </c>
      <c r="F60" s="82">
        <f>SUM(F57:F59)</f>
        <v>39.589999999999996</v>
      </c>
      <c r="H60" s="82">
        <f>SUM(H57:H59)</f>
        <v>81.789999999999992</v>
      </c>
      <c r="I60" s="84" t="str">
        <f>CONCATENATE("m'(",C59,")=")</f>
        <v>m'(3)=</v>
      </c>
      <c r="J60" s="84">
        <f>2*(J57*(WLS))/3*H60</f>
        <v>218.10666666666663</v>
      </c>
      <c r="K60" s="84" t="str">
        <f>CONCATENATE("M(",C57,")=")</f>
        <v>M(1)=</v>
      </c>
      <c r="L60" s="84">
        <f>VLOOKUP(C57,STN_TABLE,4,FALSE)</f>
        <v>17.866666666666667</v>
      </c>
      <c r="M60" t="str">
        <f>CONCATENATE("M(",C59,")=")</f>
        <v>M(3)=</v>
      </c>
      <c r="N60">
        <f>J60+L60</f>
        <v>235.9733333333333</v>
      </c>
      <c r="O60" s="99">
        <f>O59+1</f>
        <v>9</v>
      </c>
      <c r="P60" s="99">
        <f t="shared" si="10"/>
        <v>4.8499999999999996</v>
      </c>
      <c r="T60" s="89">
        <f>SUM(T57:T59)</f>
        <v>86.78</v>
      </c>
      <c r="V60" s="82">
        <f>SUM(V57:V59)</f>
        <v>88.95999999999998</v>
      </c>
      <c r="W60" s="84" t="str">
        <f>CONCATENATE("m'(",Q58,")=")</f>
        <v>m'(3)=</v>
      </c>
      <c r="X60" s="84">
        <f>(2*(X57^2)/24*V60)+(X59*Q57*WLS)</f>
        <v>145.35999999999999</v>
      </c>
      <c r="Y60" s="84" t="str">
        <f>CONCATENATE("M(",Q57,")=")</f>
        <v>M(2)=</v>
      </c>
      <c r="Z60" s="84">
        <f>VLOOKUP(Q57,STN_TABLE,4,FALSE)</f>
        <v>90.22999999999999</v>
      </c>
      <c r="AA60" t="str">
        <f>CONCATENATE("M(",Q58,")=")</f>
        <v>M(3)=</v>
      </c>
      <c r="AB60">
        <f>X60+Z60</f>
        <v>235.58999999999997</v>
      </c>
      <c r="AE60" s="89">
        <f>SUM(AE58:AE59)</f>
        <v>14.43</v>
      </c>
      <c r="AG60" s="89">
        <f>SUM(AG58:AG59)</f>
        <v>22.189999999999998</v>
      </c>
      <c r="AH60" s="84" t="str">
        <f>CONCATENATE("m'(",AD59,")=")</f>
        <v>m'(3)=</v>
      </c>
      <c r="AI60" s="84">
        <f>(2*(AI57^2)/6*AG60)+(AI59*AD58*WLS)</f>
        <v>145.02666666666667</v>
      </c>
      <c r="AJ60" s="84" t="str">
        <f>CONCATENATE("M(",AD58,")=")</f>
        <v>M(2)=</v>
      </c>
      <c r="AK60" s="84">
        <f>VLOOKUP(AD57,STN_TABLE,4,FALSE)</f>
        <v>0</v>
      </c>
      <c r="AL60" t="str">
        <f>CONCATENATE("M(",AD59,")=")</f>
        <v>M(3)=</v>
      </c>
      <c r="AM60">
        <f>AI60+AK60</f>
        <v>145.02666666666667</v>
      </c>
      <c r="AO60" s="82" t="str">
        <f>AA60</f>
        <v>M(3)=</v>
      </c>
      <c r="AP60" s="82" t="e">
        <f>VLOOKUP(AO60,Rise_Results,2,FALSE)</f>
        <v>#N/A</v>
      </c>
      <c r="AQ60" s="82">
        <f>N60</f>
        <v>235.9733333333333</v>
      </c>
      <c r="AR60" s="82">
        <f>IF(OR(AB59&lt;=0,AB60&lt;=0),1/0,AB60)</f>
        <v>235.58999999999997</v>
      </c>
      <c r="AS60" s="82">
        <f>AM60</f>
        <v>145.02666666666667</v>
      </c>
      <c r="AT60">
        <f>IFERROR(AP60,IFERROR(AQ60,IFERROR(AR60,AS60)))</f>
        <v>235.9733333333333</v>
      </c>
      <c r="AU60" s="81"/>
    </row>
    <row r="61" spans="1:47" x14ac:dyDescent="0.25">
      <c r="A61" s="101">
        <f>A56+1</f>
        <v>4</v>
      </c>
      <c r="B61" s="101">
        <f t="shared" si="11"/>
        <v>0.75</v>
      </c>
      <c r="O61" s="101">
        <f>O56+1</f>
        <v>6</v>
      </c>
      <c r="P61" s="101">
        <f t="shared" si="10"/>
        <v>2</v>
      </c>
      <c r="AU61" s="81"/>
    </row>
    <row r="62" spans="1:47" x14ac:dyDescent="0.25">
      <c r="A62" s="84">
        <f>A61+1</f>
        <v>5</v>
      </c>
      <c r="B62" s="84">
        <f t="shared" si="11"/>
        <v>1</v>
      </c>
      <c r="C62" s="79">
        <f t="shared" ref="C62" si="18">IF(C63=B64,IF(C64-C63=C63-B63,B63,IF(C64-C63=C63-B62,B62,"#NA")),IF(C63=B63,IF(C64-C63=C63-B62,B62,IF(C64-C63=C63-B61,B61,"#NA")),"#NA"))</f>
        <v>2</v>
      </c>
      <c r="D62" s="68">
        <f>VLOOKUP(C62,STN_TABLE,2,FALSE)</f>
        <v>6.67</v>
      </c>
      <c r="E62" s="102">
        <v>1</v>
      </c>
      <c r="F62" s="68">
        <f>D62*E62</f>
        <v>6.67</v>
      </c>
      <c r="G62" s="69">
        <f>C62</f>
        <v>2</v>
      </c>
      <c r="H62" s="69">
        <f>F62*G62</f>
        <v>13.34</v>
      </c>
      <c r="I62" s="6" t="s">
        <v>93</v>
      </c>
      <c r="J62" s="70">
        <f>IF(OR(D62=0,D63=0,D64=0),"#NA",IF(AND(C64-C63=C63-C62,C63&lt;&gt;C64,C62&lt;&gt;C63,C62&lt;&gt;C64,D64&lt;&gt;0,OR(D62&lt;&gt;0,D63&lt;&gt;0)),WLS*(C64-C63),"#NA"))</f>
        <v>2</v>
      </c>
      <c r="O62" s="99">
        <f>O61+1</f>
        <v>7</v>
      </c>
      <c r="P62" s="99">
        <f t="shared" si="10"/>
        <v>3</v>
      </c>
      <c r="Q62" s="68">
        <f>IF(OR(P64-P63=P63-P62,P65-P63=P63-P62),P62,IF(OR(P64-P63=P63-P61,P65-P63=P63-P61),P61,"-"))</f>
        <v>3</v>
      </c>
      <c r="R62" s="69">
        <f>VLOOKUP(Q62,STN_TABLE,2,FALSE)</f>
        <v>7.76</v>
      </c>
      <c r="S62" s="69">
        <v>5</v>
      </c>
      <c r="T62" s="68">
        <f>R62*S62</f>
        <v>38.799999999999997</v>
      </c>
      <c r="U62" s="79">
        <v>3</v>
      </c>
      <c r="V62" s="68">
        <f>R62*U62</f>
        <v>23.28</v>
      </c>
      <c r="W62" s="6" t="s">
        <v>93</v>
      </c>
      <c r="X62" s="70">
        <f>IF(AND(Q64-Q63=Q63-Q62,NOT(AND(Q62=0,Q63=0)),NOT(AND(Q63=0,Q64=0))),WLS*(Q64-Q63),"#NA")</f>
        <v>2</v>
      </c>
      <c r="AD62" s="93"/>
      <c r="AH62" s="6" t="s">
        <v>93</v>
      </c>
      <c r="AI62" s="70">
        <f>WLS*(AD64-AD63)</f>
        <v>2</v>
      </c>
      <c r="AU62" s="81"/>
    </row>
    <row r="63" spans="1:47" x14ac:dyDescent="0.25">
      <c r="A63" s="84">
        <f>A62+1</f>
        <v>6</v>
      </c>
      <c r="B63" s="84">
        <f t="shared" si="11"/>
        <v>2</v>
      </c>
      <c r="C63" s="80">
        <f t="shared" ref="C63" si="19">IF(OR(B65-B64=B64-B63,B65-B64=B64-B62,B65-B64=B64-B61),B64,IF(OR(B65-B63=B63-B62,B65-B63=B63-B61),B63,IF(B65-B62=B62-B61,B62,"#NA")))</f>
        <v>3</v>
      </c>
      <c r="D63" s="76">
        <f>VLOOKUP(C63,STN_TABLE,2,FALSE)</f>
        <v>7.76</v>
      </c>
      <c r="E63" s="81">
        <v>4</v>
      </c>
      <c r="F63" s="76">
        <f>D63*E63</f>
        <v>31.04</v>
      </c>
      <c r="G63" s="77">
        <f>C63</f>
        <v>3</v>
      </c>
      <c r="H63" s="77">
        <f>F63*G63</f>
        <v>93.12</v>
      </c>
      <c r="I63" s="495" t="s">
        <v>97</v>
      </c>
      <c r="J63" s="496"/>
      <c r="K63" s="78" t="s">
        <v>98</v>
      </c>
      <c r="L63" s="78"/>
      <c r="M63" s="7" t="s">
        <v>99</v>
      </c>
      <c r="N63" s="7"/>
      <c r="O63" s="99">
        <f>O62+1</f>
        <v>8</v>
      </c>
      <c r="P63" s="99">
        <f t="shared" si="10"/>
        <v>4</v>
      </c>
      <c r="Q63" s="76">
        <f>P63</f>
        <v>4</v>
      </c>
      <c r="R63" s="77">
        <f>VLOOKUP(Q63,STN_TABLE,2,FALSE)</f>
        <v>8.65</v>
      </c>
      <c r="S63" s="77">
        <v>8</v>
      </c>
      <c r="T63" s="76">
        <f>R63*S63</f>
        <v>69.2</v>
      </c>
      <c r="U63" s="80">
        <v>10</v>
      </c>
      <c r="V63" s="76">
        <f>R63*U63</f>
        <v>86.5</v>
      </c>
      <c r="W63" s="496" t="s">
        <v>97</v>
      </c>
      <c r="X63" s="496"/>
      <c r="Y63" s="496" t="s">
        <v>98</v>
      </c>
      <c r="Z63" s="496"/>
      <c r="AA63" s="494" t="s">
        <v>99</v>
      </c>
      <c r="AB63" s="494"/>
      <c r="AC63" s="99">
        <f>AC58+1</f>
        <v>7</v>
      </c>
      <c r="AD63" s="95">
        <f>VLOOKUP(AC63,STN_TABLE_2,2,FALSE)</f>
        <v>3</v>
      </c>
      <c r="AE63" s="68">
        <f>VLOOKUP(AD63,STN_TABLE,2,FALSE)</f>
        <v>7.76</v>
      </c>
      <c r="AF63" s="68">
        <v>1</v>
      </c>
      <c r="AG63" s="69">
        <f>AE63*AF63</f>
        <v>7.76</v>
      </c>
      <c r="AH63" s="496" t="s">
        <v>97</v>
      </c>
      <c r="AI63" s="496"/>
      <c r="AJ63" s="496" t="s">
        <v>98</v>
      </c>
      <c r="AK63" s="496"/>
      <c r="AL63" s="494" t="s">
        <v>99</v>
      </c>
      <c r="AM63" s="494"/>
      <c r="AP63" s="86" t="s">
        <v>112</v>
      </c>
      <c r="AQ63" s="89" t="s">
        <v>113</v>
      </c>
      <c r="AR63" s="89" t="s">
        <v>114</v>
      </c>
      <c r="AS63" s="89" t="s">
        <v>115</v>
      </c>
      <c r="AU63" s="81"/>
    </row>
    <row r="64" spans="1:47" x14ac:dyDescent="0.25">
      <c r="A64" s="84">
        <f>A63+1</f>
        <v>7</v>
      </c>
      <c r="B64" s="84">
        <f t="shared" si="11"/>
        <v>3</v>
      </c>
      <c r="C64" s="88">
        <f t="shared" ref="C64" si="20">B65</f>
        <v>4</v>
      </c>
      <c r="D64" s="82">
        <f>VLOOKUP(C64,STN_TABLE,2,FALSE)</f>
        <v>8.65</v>
      </c>
      <c r="E64" s="92">
        <v>1</v>
      </c>
      <c r="F64" s="82">
        <f>D64*E64</f>
        <v>8.65</v>
      </c>
      <c r="G64" s="83">
        <f>C64</f>
        <v>4</v>
      </c>
      <c r="H64" s="83">
        <f>F64*G64</f>
        <v>34.6</v>
      </c>
      <c r="I64" s="84" t="str">
        <f>CONCATENATE("a'(",C64,")=")</f>
        <v>a'(4)=</v>
      </c>
      <c r="J64" s="84">
        <f>2*J62/3*F65</f>
        <v>61.813333333333333</v>
      </c>
      <c r="K64" s="84" t="str">
        <f>CONCATENATE("A(",C62,")=")</f>
        <v>A(2)=</v>
      </c>
      <c r="L64" s="84">
        <f>VLOOKUP(C62,STN_TABLE,3,FALSE)</f>
        <v>39.633333333333326</v>
      </c>
      <c r="M64" t="str">
        <f>CONCATENATE("A(",C64,")=")</f>
        <v>A(4)=</v>
      </c>
      <c r="N64">
        <f>J64+L64</f>
        <v>101.44666666666666</v>
      </c>
      <c r="O64" s="99">
        <f>O63+1</f>
        <v>9</v>
      </c>
      <c r="P64" s="99">
        <f t="shared" si="10"/>
        <v>4.8499999999999996</v>
      </c>
      <c r="Q64" s="82">
        <f>IF(P64-P63=P63-P62,P64,IF(P65-P63=P63-P62,P65,IF(P64-P63=P63-P61,P64,IF(P65-P63=P63-P61,P65,"-"))))</f>
        <v>5</v>
      </c>
      <c r="R64" s="83">
        <f>VLOOKUP(Q64,STN_TABLE,2,FALSE)</f>
        <v>9.5399999999999991</v>
      </c>
      <c r="S64" s="83">
        <v>-1</v>
      </c>
      <c r="T64" s="82">
        <f>R64*S64</f>
        <v>-9.5399999999999991</v>
      </c>
      <c r="U64" s="88">
        <v>-1</v>
      </c>
      <c r="V64" s="82">
        <f>R64*U64</f>
        <v>-9.5399999999999991</v>
      </c>
      <c r="W64" s="84" t="str">
        <f>CONCATENATE("a'(",Q63,")=")</f>
        <v>a'(4)=</v>
      </c>
      <c r="X64" s="84">
        <f>2*X62/12*T65</f>
        <v>32.82</v>
      </c>
      <c r="Y64" s="84" t="str">
        <f>CONCATENATE("A(",Q62,")=")</f>
        <v>A(3)=</v>
      </c>
      <c r="Z64" s="84">
        <f>VLOOKUP(Q62,STN_TABLE,3,FALSE)</f>
        <v>68.636666666666656</v>
      </c>
      <c r="AA64" t="str">
        <f>CONCATENATE("A(",Q63,")=")</f>
        <v>A(4)=</v>
      </c>
      <c r="AB64">
        <f>X64+Z64</f>
        <v>101.45666666666665</v>
      </c>
      <c r="AC64" s="99">
        <f>AC63+1</f>
        <v>8</v>
      </c>
      <c r="AD64" s="100">
        <f>VLOOKUP(AC64,STN_TABLE_2,2,FALSE)</f>
        <v>4</v>
      </c>
      <c r="AE64" s="82">
        <f>VLOOKUP(AD64,STN_TABLE,2,FALSE)</f>
        <v>8.65</v>
      </c>
      <c r="AF64" s="82">
        <v>2</v>
      </c>
      <c r="AG64" s="83">
        <f>AE64*AF64</f>
        <v>17.3</v>
      </c>
      <c r="AH64" s="84" t="str">
        <f>CONCATENATE("a'(",AD64,")=")</f>
        <v>a'(4)=</v>
      </c>
      <c r="AI64" s="84">
        <f>2*AI62/2*AE65</f>
        <v>32.82</v>
      </c>
      <c r="AJ64" s="84" t="str">
        <f>CONCATENATE("A(",AD63,")=")</f>
        <v>A(3)=</v>
      </c>
      <c r="AK64" s="84">
        <f>VLOOKUP(AD63,STN_TABLE,3,FALSE)</f>
        <v>68.636666666666656</v>
      </c>
      <c r="AL64" t="str">
        <f>CONCATENATE("A(",AD64,")=")</f>
        <v>A(4)=</v>
      </c>
      <c r="AM64">
        <f>AI64+AK64</f>
        <v>101.45666666666665</v>
      </c>
      <c r="AO64" s="68" t="str">
        <f>AA64</f>
        <v>A(4)=</v>
      </c>
      <c r="AP64" s="68" t="e">
        <f>VLOOKUP(AO64,Rise_Results,2,FALSE)</f>
        <v>#N/A</v>
      </c>
      <c r="AQ64" s="76">
        <f>N64</f>
        <v>101.44666666666666</v>
      </c>
      <c r="AR64" s="76">
        <f>IF(OR(AB64&lt;=0,AB65&lt;=0),1/0,AB64)</f>
        <v>101.45666666666665</v>
      </c>
      <c r="AS64" s="76">
        <f>AM64</f>
        <v>101.45666666666665</v>
      </c>
      <c r="AT64">
        <f>IFERROR(AP64,IFERROR(AQ64,IFERROR(AR64,AS64)))</f>
        <v>101.44666666666666</v>
      </c>
      <c r="AU64" s="81"/>
    </row>
    <row r="65" spans="1:47" x14ac:dyDescent="0.25">
      <c r="A65" s="84">
        <f>A64+1</f>
        <v>8</v>
      </c>
      <c r="B65" s="84">
        <f t="shared" si="11"/>
        <v>4</v>
      </c>
      <c r="F65" s="82">
        <f>SUM(F62:F64)</f>
        <v>46.36</v>
      </c>
      <c r="H65" s="82">
        <f>SUM(H62:H64)</f>
        <v>141.06</v>
      </c>
      <c r="I65" s="84" t="str">
        <f>CONCATENATE("m'(",C64,")=")</f>
        <v>m'(4)=</v>
      </c>
      <c r="J65" s="84">
        <f>2*(J62*(WLS))/3*H65</f>
        <v>376.15999999999997</v>
      </c>
      <c r="K65" s="84" t="str">
        <f>CONCATENATE("M(",C62,")=")</f>
        <v>M(2)=</v>
      </c>
      <c r="L65" s="84">
        <f>VLOOKUP(C62,STN_TABLE,4,FALSE)</f>
        <v>90.22999999999999</v>
      </c>
      <c r="M65" t="str">
        <f>CONCATENATE("M(",C64,")=")</f>
        <v>M(4)=</v>
      </c>
      <c r="N65">
        <f>J65+L65</f>
        <v>466.39</v>
      </c>
      <c r="O65" s="99">
        <f>O64+1</f>
        <v>10</v>
      </c>
      <c r="P65" s="99">
        <f t="shared" si="10"/>
        <v>5</v>
      </c>
      <c r="T65" s="89">
        <f>SUM(T62:T64)</f>
        <v>98.460000000000008</v>
      </c>
      <c r="V65" s="82">
        <f>SUM(V62:V64)</f>
        <v>100.24000000000001</v>
      </c>
      <c r="W65" s="84" t="str">
        <f>CONCATENATE("m'(",Q63,")=")</f>
        <v>m'(4)=</v>
      </c>
      <c r="X65" s="84">
        <f>(2*(X62^2)/24*V65)+(X64*Q62*WLS)</f>
        <v>230.33333333333334</v>
      </c>
      <c r="Y65" s="84" t="str">
        <f>CONCATENATE("M(",Q62,")=")</f>
        <v>M(3)=</v>
      </c>
      <c r="Z65" s="84">
        <f>VLOOKUP(Q62,STN_TABLE,4,FALSE)</f>
        <v>235.9733333333333</v>
      </c>
      <c r="AA65" t="str">
        <f>CONCATENATE("M(",Q63,")=")</f>
        <v>M(4)=</v>
      </c>
      <c r="AB65">
        <f>X65+Z65</f>
        <v>466.30666666666662</v>
      </c>
      <c r="AE65" s="89">
        <f>SUM(AE63:AE64)</f>
        <v>16.41</v>
      </c>
      <c r="AG65" s="89">
        <f>SUM(AG63:AG64)</f>
        <v>25.060000000000002</v>
      </c>
      <c r="AH65" s="84" t="str">
        <f>CONCATENATE("m'(",AD64,")=")</f>
        <v>m'(4)=</v>
      </c>
      <c r="AI65" s="84">
        <f>(2*(AI62^2)/6*AG65)+(AI64*AD63*WLS)</f>
        <v>230.33333333333334</v>
      </c>
      <c r="AJ65" s="84" t="str">
        <f>CONCATENATE("M(",AD63,")=")</f>
        <v>M(3)=</v>
      </c>
      <c r="AK65" s="84">
        <f>VLOOKUP(AD63,STN_TABLE,4,FALSE)</f>
        <v>235.9733333333333</v>
      </c>
      <c r="AL65" t="str">
        <f>CONCATENATE("M(",AD64,")=")</f>
        <v>M(4)=</v>
      </c>
      <c r="AM65">
        <f>AI65+AK65</f>
        <v>466.30666666666662</v>
      </c>
      <c r="AO65" s="82" t="str">
        <f>AA65</f>
        <v>M(4)=</v>
      </c>
      <c r="AP65" s="82" t="e">
        <f>VLOOKUP(AO65,Rise_Results,2,FALSE)</f>
        <v>#N/A</v>
      </c>
      <c r="AQ65" s="82">
        <f>N65</f>
        <v>466.39</v>
      </c>
      <c r="AR65" s="82">
        <f>IF(OR(AB64&lt;=0,AB65&lt;=0),1/0,AB65)</f>
        <v>466.30666666666662</v>
      </c>
      <c r="AS65" s="82">
        <f>AM65</f>
        <v>466.30666666666662</v>
      </c>
      <c r="AT65">
        <f>IFERROR(AP65,IFERROR(AQ65,IFERROR(AR65,AS65)))</f>
        <v>466.39</v>
      </c>
      <c r="AU65" s="81"/>
    </row>
    <row r="66" spans="1:47" x14ac:dyDescent="0.25">
      <c r="A66" s="101">
        <f>A61+1</f>
        <v>5</v>
      </c>
      <c r="B66" s="101">
        <f t="shared" si="11"/>
        <v>1</v>
      </c>
      <c r="O66" s="101">
        <f>O61+1</f>
        <v>7</v>
      </c>
      <c r="P66" s="101">
        <f t="shared" si="10"/>
        <v>3</v>
      </c>
      <c r="AU66" s="81"/>
    </row>
    <row r="67" spans="1:47" x14ac:dyDescent="0.25">
      <c r="A67" s="84">
        <f>A66+1</f>
        <v>6</v>
      </c>
      <c r="B67" s="84">
        <f t="shared" si="11"/>
        <v>2</v>
      </c>
      <c r="C67" s="79" t="str">
        <f t="shared" ref="C67" si="21">IF(C68=B69,IF(C69-C68=C68-B68,B68,IF(C69-C68=C68-B67,B67,"#NA")),IF(C68=B68,IF(C69-C68=C68-B67,B67,IF(C69-C68=C68-B66,B66,"#NA")),"#NA"))</f>
        <v>#NA</v>
      </c>
      <c r="D67" s="68" t="e">
        <f>VLOOKUP(C67,STN_TABLE,2,FALSE)</f>
        <v>#N/A</v>
      </c>
      <c r="E67" s="102">
        <v>1</v>
      </c>
      <c r="F67" s="68" t="e">
        <f>D67*E67</f>
        <v>#N/A</v>
      </c>
      <c r="G67" s="69" t="str">
        <f>C67</f>
        <v>#NA</v>
      </c>
      <c r="H67" s="69" t="e">
        <f>F67*G67</f>
        <v>#N/A</v>
      </c>
      <c r="I67" s="6" t="s">
        <v>93</v>
      </c>
      <c r="J67" s="70" t="e">
        <f>IF(OR(D67=0,D68=0,D69=0),"#NA",IF(AND(C69-C68=C68-C67,C68&lt;&gt;C69,C67&lt;&gt;C68,C67&lt;&gt;C69,D69&lt;&gt;0,OR(D67&lt;&gt;0,D68&lt;&gt;0)),WLS*(C69-C68),"#NA"))</f>
        <v>#N/A</v>
      </c>
      <c r="O67" s="99">
        <f>O66+1</f>
        <v>8</v>
      </c>
      <c r="P67" s="99">
        <f t="shared" si="10"/>
        <v>4</v>
      </c>
      <c r="Q67" s="68" t="str">
        <f>IF(OR(P69-P68=P68-P67,P70-P68=P68-P67),P67,IF(OR(P69-P68=P68-P66,P70-P68=P68-P66),P66,"-"))</f>
        <v>-</v>
      </c>
      <c r="R67" s="69" t="e">
        <f>VLOOKUP(Q67,STN_TABLE,2,FALSE)</f>
        <v>#N/A</v>
      </c>
      <c r="S67" s="69">
        <v>5</v>
      </c>
      <c r="T67" s="68" t="e">
        <f>R67*S67</f>
        <v>#N/A</v>
      </c>
      <c r="U67" s="79">
        <v>3</v>
      </c>
      <c r="V67" s="68" t="e">
        <f>R67*U67</f>
        <v>#N/A</v>
      </c>
      <c r="W67" s="6" t="s">
        <v>93</v>
      </c>
      <c r="X67" s="70" t="e">
        <f>IF(AND(Q69-Q68=Q68-Q67,NOT(AND(Q67=0,Q68=0)),NOT(AND(Q68=0,Q69=0))),WLS*(Q69-Q68),"#NA")</f>
        <v>#VALUE!</v>
      </c>
      <c r="AD67" s="93"/>
      <c r="AH67" s="6" t="s">
        <v>93</v>
      </c>
      <c r="AI67" s="70">
        <f>WLS*(AD69-AD68)</f>
        <v>1.6999999999999993</v>
      </c>
      <c r="AU67" s="81"/>
    </row>
    <row r="68" spans="1:47" x14ac:dyDescent="0.25">
      <c r="A68" s="84">
        <f>A67+1</f>
        <v>7</v>
      </c>
      <c r="B68" s="84">
        <f t="shared" si="11"/>
        <v>3</v>
      </c>
      <c r="C68" s="80" t="str">
        <f t="shared" ref="C68" si="22">IF(OR(B70-B69=B69-B68,B70-B69=B69-B67,B70-B69=B69-B66),B69,IF(OR(B70-B68=B68-B67,B70-B68=B68-B66),B68,IF(B70-B67=B67-B66,B67,"#NA")))</f>
        <v>#NA</v>
      </c>
      <c r="D68" s="76" t="e">
        <f>VLOOKUP(C68,STN_TABLE,2,FALSE)</f>
        <v>#N/A</v>
      </c>
      <c r="E68" s="81">
        <v>4</v>
      </c>
      <c r="F68" s="76" t="e">
        <f>D68*E68</f>
        <v>#N/A</v>
      </c>
      <c r="G68" s="77" t="str">
        <f>C68</f>
        <v>#NA</v>
      </c>
      <c r="H68" s="77" t="e">
        <f>F68*G68</f>
        <v>#N/A</v>
      </c>
      <c r="I68" s="495" t="s">
        <v>97</v>
      </c>
      <c r="J68" s="496"/>
      <c r="K68" s="78" t="s">
        <v>98</v>
      </c>
      <c r="L68" s="78"/>
      <c r="M68" s="7" t="s">
        <v>99</v>
      </c>
      <c r="N68" s="7"/>
      <c r="O68" s="99">
        <f>O67+1</f>
        <v>9</v>
      </c>
      <c r="P68" s="99">
        <f t="shared" ref="P68:P99" si="23">VLOOKUP(O68,STN_TABLE_2,2,FALSE)</f>
        <v>4.8499999999999996</v>
      </c>
      <c r="Q68" s="76">
        <f>P68</f>
        <v>4.8499999999999996</v>
      </c>
      <c r="R68" s="77">
        <f>VLOOKUP(Q68,STN_TABLE,2,FALSE)</f>
        <v>9.43</v>
      </c>
      <c r="S68" s="77">
        <v>8</v>
      </c>
      <c r="T68" s="76">
        <f>R68*S68</f>
        <v>75.44</v>
      </c>
      <c r="U68" s="80">
        <v>10</v>
      </c>
      <c r="V68" s="76">
        <f>R68*U68</f>
        <v>94.3</v>
      </c>
      <c r="W68" s="496" t="s">
        <v>97</v>
      </c>
      <c r="X68" s="496"/>
      <c r="Y68" s="496" t="s">
        <v>98</v>
      </c>
      <c r="Z68" s="496"/>
      <c r="AA68" s="494" t="s">
        <v>99</v>
      </c>
      <c r="AB68" s="494"/>
      <c r="AC68" s="99">
        <f>AC63+1</f>
        <v>8</v>
      </c>
      <c r="AD68" s="95">
        <f>VLOOKUP(AC68,STN_TABLE_2,2,FALSE)</f>
        <v>4</v>
      </c>
      <c r="AE68" s="68">
        <f>VLOOKUP(AD68,STN_TABLE,2,FALSE)</f>
        <v>8.65</v>
      </c>
      <c r="AF68" s="68">
        <v>1</v>
      </c>
      <c r="AG68" s="69">
        <f>AE68*AF68</f>
        <v>8.65</v>
      </c>
      <c r="AH68" s="496" t="s">
        <v>97</v>
      </c>
      <c r="AI68" s="496"/>
      <c r="AJ68" s="496" t="s">
        <v>98</v>
      </c>
      <c r="AK68" s="496"/>
      <c r="AL68" s="494" t="s">
        <v>99</v>
      </c>
      <c r="AM68" s="494"/>
      <c r="AP68" s="86" t="s">
        <v>112</v>
      </c>
      <c r="AQ68" s="89" t="s">
        <v>113</v>
      </c>
      <c r="AR68" s="89" t="s">
        <v>114</v>
      </c>
      <c r="AS68" s="89" t="s">
        <v>115</v>
      </c>
      <c r="AU68" s="81"/>
    </row>
    <row r="69" spans="1:47" x14ac:dyDescent="0.25">
      <c r="A69" s="84">
        <f>A68+1</f>
        <v>8</v>
      </c>
      <c r="B69" s="84">
        <f t="shared" si="11"/>
        <v>4</v>
      </c>
      <c r="C69" s="88">
        <f t="shared" ref="C69" si="24">B70</f>
        <v>4.8499999999999996</v>
      </c>
      <c r="D69" s="82">
        <f>VLOOKUP(C69,STN_TABLE,2,FALSE)</f>
        <v>9.43</v>
      </c>
      <c r="E69" s="92">
        <v>1</v>
      </c>
      <c r="F69" s="82">
        <f>D69*E69</f>
        <v>9.43</v>
      </c>
      <c r="G69" s="83">
        <f>C69</f>
        <v>4.8499999999999996</v>
      </c>
      <c r="H69" s="83">
        <f>F69*G69</f>
        <v>45.735499999999995</v>
      </c>
      <c r="I69" s="84" t="str">
        <f>CONCATENATE("a'(",C69,")=")</f>
        <v>a'(4.85)=</v>
      </c>
      <c r="J69" s="84" t="e">
        <f>2*J67/3*F70</f>
        <v>#N/A</v>
      </c>
      <c r="K69" s="84" t="str">
        <f>CONCATENATE("A(",C67,")=")</f>
        <v>A(#NA)=</v>
      </c>
      <c r="L69" s="84" t="e">
        <f>VLOOKUP(C67,STN_TABLE,3,FALSE)</f>
        <v>#N/A</v>
      </c>
      <c r="M69" t="str">
        <f>CONCATENATE("A(",C69,")=")</f>
        <v>A(4.85)=</v>
      </c>
      <c r="N69" t="e">
        <f>J69+L69</f>
        <v>#N/A</v>
      </c>
      <c r="O69" s="99">
        <f>O68+1</f>
        <v>10</v>
      </c>
      <c r="P69" s="99">
        <f t="shared" si="23"/>
        <v>5</v>
      </c>
      <c r="Q69" s="82" t="str">
        <f>IF(P69-P68=P68-P67,P69,IF(P70-P68=P68-P67,P70,IF(P69-P68=P68-P66,P69,IF(P70-P68=P68-P66,P70,"-"))))</f>
        <v>-</v>
      </c>
      <c r="R69" s="83" t="e">
        <f>VLOOKUP(Q69,STN_TABLE,2,FALSE)</f>
        <v>#N/A</v>
      </c>
      <c r="S69" s="83">
        <v>-1</v>
      </c>
      <c r="T69" s="82" t="e">
        <f>R69*S69</f>
        <v>#N/A</v>
      </c>
      <c r="U69" s="88">
        <v>-1</v>
      </c>
      <c r="V69" s="82" t="e">
        <f>R69*U69</f>
        <v>#N/A</v>
      </c>
      <c r="W69" s="84" t="str">
        <f>CONCATENATE("a'(",Q68,")=")</f>
        <v>a'(4.85)=</v>
      </c>
      <c r="X69" s="84" t="e">
        <f>2*X67/12*T70</f>
        <v>#VALUE!</v>
      </c>
      <c r="Y69" s="84" t="str">
        <f>CONCATENATE("A(",Q67,")=")</f>
        <v>A(-)=</v>
      </c>
      <c r="Z69" s="84" t="e">
        <f>VLOOKUP(Q67,STN_TABLE,3,FALSE)</f>
        <v>#N/A</v>
      </c>
      <c r="AA69" t="str">
        <f>CONCATENATE("A(",Q68,")=")</f>
        <v>A(4.85)=</v>
      </c>
      <c r="AB69" t="e">
        <f>X69+Z69</f>
        <v>#VALUE!</v>
      </c>
      <c r="AC69" s="99">
        <f>AC68+1</f>
        <v>9</v>
      </c>
      <c r="AD69" s="100">
        <f>VLOOKUP(AC69,STN_TABLE_2,2,FALSE)</f>
        <v>4.8499999999999996</v>
      </c>
      <c r="AE69" s="82">
        <f>VLOOKUP(AD69,STN_TABLE,2,FALSE)</f>
        <v>9.43</v>
      </c>
      <c r="AF69" s="82">
        <v>2</v>
      </c>
      <c r="AG69" s="83">
        <f>AE69*AF69</f>
        <v>18.86</v>
      </c>
      <c r="AH69" s="84" t="str">
        <f>CONCATENATE("a'(",AD69,")=")</f>
        <v>a'(4.85)=</v>
      </c>
      <c r="AI69" s="84">
        <f>2*AI67/2*AE70</f>
        <v>30.735999999999983</v>
      </c>
      <c r="AJ69" s="84" t="str">
        <f>CONCATENATE("A(",AD68,")=")</f>
        <v>A(4)=</v>
      </c>
      <c r="AK69" s="84">
        <f>VLOOKUP(AD68,STN_TABLE,3,FALSE)</f>
        <v>101.44666666666666</v>
      </c>
      <c r="AL69" t="str">
        <f>CONCATENATE("A(",AD69,")=")</f>
        <v>A(4.85)=</v>
      </c>
      <c r="AM69">
        <f>AI69+AK69</f>
        <v>132.18266666666665</v>
      </c>
      <c r="AO69" s="68" t="str">
        <f>AA69</f>
        <v>A(4.85)=</v>
      </c>
      <c r="AP69" s="68" t="e">
        <f>VLOOKUP(AO69,Rise_Results,2,FALSE)</f>
        <v>#N/A</v>
      </c>
      <c r="AQ69" s="76" t="e">
        <f>N69</f>
        <v>#N/A</v>
      </c>
      <c r="AR69" s="76" t="e">
        <f>IF(OR(AB69&lt;=0,AB70&lt;=0),1/0,AB69)</f>
        <v>#VALUE!</v>
      </c>
      <c r="AS69" s="76">
        <f>AM69</f>
        <v>132.18266666666665</v>
      </c>
      <c r="AT69">
        <f>IFERROR(AP69,IFERROR(AQ69,IFERROR(AR69,AS69)))</f>
        <v>132.18266666666665</v>
      </c>
      <c r="AU69" s="81"/>
    </row>
    <row r="70" spans="1:47" x14ac:dyDescent="0.25">
      <c r="A70" s="84">
        <f>A69+1</f>
        <v>9</v>
      </c>
      <c r="B70" s="84">
        <f t="shared" si="11"/>
        <v>4.8499999999999996</v>
      </c>
      <c r="F70" s="82" t="e">
        <f>SUM(F67:F69)</f>
        <v>#N/A</v>
      </c>
      <c r="H70" s="82" t="e">
        <f>SUM(H67:H69)</f>
        <v>#N/A</v>
      </c>
      <c r="I70" s="84" t="str">
        <f>CONCATENATE("m'(",C69,")=")</f>
        <v>m'(4.85)=</v>
      </c>
      <c r="J70" s="84" t="e">
        <f>2*(J67*(WLS))/3*H70</f>
        <v>#N/A</v>
      </c>
      <c r="K70" s="84" t="str">
        <f>CONCATENATE("M(",C67,")=")</f>
        <v>M(#NA)=</v>
      </c>
      <c r="L70" s="84" t="e">
        <f>VLOOKUP(C67,STN_TABLE,4,FALSE)</f>
        <v>#N/A</v>
      </c>
      <c r="M70" t="str">
        <f>CONCATENATE("M(",C69,")=")</f>
        <v>M(4.85)=</v>
      </c>
      <c r="N70" t="e">
        <f>J70+L70</f>
        <v>#N/A</v>
      </c>
      <c r="O70" s="99">
        <f>O69+1</f>
        <v>11</v>
      </c>
      <c r="P70" s="99">
        <f t="shared" si="23"/>
        <v>6</v>
      </c>
      <c r="T70" s="89" t="e">
        <f>SUM(T67:T69)</f>
        <v>#N/A</v>
      </c>
      <c r="V70" s="82" t="e">
        <f>SUM(V67:V69)</f>
        <v>#N/A</v>
      </c>
      <c r="W70" s="84" t="str">
        <f>CONCATENATE("m'(",Q68,")=")</f>
        <v>m'(4.85)=</v>
      </c>
      <c r="X70" s="84" t="e">
        <f>(2*(X67^2)/24*V70)+(X69*Q67*WLS)</f>
        <v>#VALUE!</v>
      </c>
      <c r="Y70" s="84" t="str">
        <f>CONCATENATE("M(",Q67,")=")</f>
        <v>M(-)=</v>
      </c>
      <c r="Z70" s="84" t="e">
        <f>VLOOKUP(Q67,STN_TABLE,4,FALSE)</f>
        <v>#N/A</v>
      </c>
      <c r="AA70" t="str">
        <f>CONCATENATE("M(",Q68,")=")</f>
        <v>M(4.85)=</v>
      </c>
      <c r="AB70" t="e">
        <f>X70+Z70</f>
        <v>#VALUE!</v>
      </c>
      <c r="AE70" s="89">
        <f>SUM(AE68:AE69)</f>
        <v>18.079999999999998</v>
      </c>
      <c r="AG70" s="89">
        <f>SUM(AG68:AG69)</f>
        <v>27.509999999999998</v>
      </c>
      <c r="AH70" s="84" t="str">
        <f>CONCATENATE("m'(",AD69,")=")</f>
        <v>m'(4.85)=</v>
      </c>
      <c r="AI70" s="84">
        <f>(2*(AI67^2)/6*AG70)+(AI69*AD68*WLS)</f>
        <v>272.38929999999982</v>
      </c>
      <c r="AJ70" s="84" t="str">
        <f>CONCATENATE("M(",AD68,")=")</f>
        <v>M(4)=</v>
      </c>
      <c r="AK70" s="84">
        <f>VLOOKUP(AD68,STN_TABLE,4,FALSE)</f>
        <v>466.39</v>
      </c>
      <c r="AL70" t="str">
        <f>CONCATENATE("M(",AD69,")=")</f>
        <v>M(4.85)=</v>
      </c>
      <c r="AM70">
        <f>AI70+AK70</f>
        <v>738.77929999999981</v>
      </c>
      <c r="AO70" s="82" t="str">
        <f>AA70</f>
        <v>M(4.85)=</v>
      </c>
      <c r="AP70" s="82" t="e">
        <f>VLOOKUP(AO70,Rise_Results,2,FALSE)</f>
        <v>#N/A</v>
      </c>
      <c r="AQ70" s="82" t="e">
        <f>N70</f>
        <v>#N/A</v>
      </c>
      <c r="AR70" s="82" t="e">
        <f>IF(OR(AB69&lt;=0,AB70&lt;=0),1/0,AB70)</f>
        <v>#VALUE!</v>
      </c>
      <c r="AS70" s="82">
        <f>AM70</f>
        <v>738.77929999999981</v>
      </c>
      <c r="AT70">
        <f>IFERROR(AP70,IFERROR(AQ70,IFERROR(AR70,AS70)))</f>
        <v>738.77929999999981</v>
      </c>
      <c r="AU70" s="81"/>
    </row>
    <row r="71" spans="1:47" x14ac:dyDescent="0.25">
      <c r="A71" s="101">
        <f>A66+1</f>
        <v>6</v>
      </c>
      <c r="B71" s="101">
        <f t="shared" si="11"/>
        <v>2</v>
      </c>
      <c r="O71" s="101">
        <f>O66+1</f>
        <v>8</v>
      </c>
      <c r="P71" s="101">
        <f t="shared" si="23"/>
        <v>4</v>
      </c>
      <c r="AU71" s="81"/>
    </row>
    <row r="72" spans="1:47" x14ac:dyDescent="0.25">
      <c r="A72" s="84">
        <f>A71+1</f>
        <v>7</v>
      </c>
      <c r="B72" s="84">
        <f t="shared" si="11"/>
        <v>3</v>
      </c>
      <c r="C72" s="79">
        <f t="shared" ref="C72" si="25">IF(C73=B74,IF(C74-C73=C73-B73,B73,IF(C74-C73=C73-B72,B72,"#NA")),IF(C73=B73,IF(C74-C73=C73-B72,B72,IF(C74-C73=C73-B71,B71,"#NA")),"#NA"))</f>
        <v>3</v>
      </c>
      <c r="D72" s="68">
        <f>VLOOKUP(C72,STN_TABLE,2,FALSE)</f>
        <v>7.76</v>
      </c>
      <c r="E72" s="102">
        <v>1</v>
      </c>
      <c r="F72" s="68">
        <f>D72*E72</f>
        <v>7.76</v>
      </c>
      <c r="G72" s="69">
        <f>C72</f>
        <v>3</v>
      </c>
      <c r="H72" s="69">
        <f>F72*G72</f>
        <v>23.28</v>
      </c>
      <c r="I72" s="6" t="s">
        <v>93</v>
      </c>
      <c r="J72" s="70">
        <f>IF(OR(D72=0,D73=0,D74=0),"#NA",IF(AND(C74-C73=C73-C72,C73&lt;&gt;C74,C72&lt;&gt;C73,C72&lt;&gt;C74,D74&lt;&gt;0,OR(D72&lt;&gt;0,D73&lt;&gt;0)),WLS*(C74-C73),"#NA"))</f>
        <v>2</v>
      </c>
      <c r="O72" s="99">
        <f>O71+1</f>
        <v>9</v>
      </c>
      <c r="P72" s="99">
        <f t="shared" si="23"/>
        <v>4.8499999999999996</v>
      </c>
      <c r="Q72" s="68">
        <f>IF(OR(P74-P73=P73-P72,P75-P73=P73-P72),P72,IF(OR(P74-P73=P73-P71,P75-P73=P73-P71),P71,"-"))</f>
        <v>4</v>
      </c>
      <c r="R72" s="69">
        <f>VLOOKUP(Q72,STN_TABLE,2,FALSE)</f>
        <v>8.65</v>
      </c>
      <c r="S72" s="69">
        <v>5</v>
      </c>
      <c r="T72" s="68">
        <f>R72*S72</f>
        <v>43.25</v>
      </c>
      <c r="U72" s="79">
        <v>3</v>
      </c>
      <c r="V72" s="68">
        <f>R72*U72</f>
        <v>25.950000000000003</v>
      </c>
      <c r="W72" s="6" t="s">
        <v>93</v>
      </c>
      <c r="X72" s="70">
        <f>IF(AND(Q74-Q73=Q73-Q72,NOT(AND(Q72=0,Q73=0)),NOT(AND(Q73=0,Q74=0))),WLS*(Q74-Q73),"#NA")</f>
        <v>2</v>
      </c>
      <c r="AD72" s="93"/>
      <c r="AH72" s="6" t="s">
        <v>93</v>
      </c>
      <c r="AI72" s="70">
        <f>WLS*(AD74-AD73)</f>
        <v>0.30000000000000071</v>
      </c>
      <c r="AU72" s="81"/>
    </row>
    <row r="73" spans="1:47" x14ac:dyDescent="0.25">
      <c r="A73" s="84">
        <f>A72+1</f>
        <v>8</v>
      </c>
      <c r="B73" s="84">
        <f t="shared" si="11"/>
        <v>4</v>
      </c>
      <c r="C73" s="80">
        <f t="shared" ref="C73" si="26">IF(OR(B75-B74=B74-B73,B75-B74=B74-B72,B75-B74=B74-B71),B74,IF(OR(B75-B73=B73-B72,B75-B73=B73-B71),B73,IF(B75-B72=B72-B71,B72,"#NA")))</f>
        <v>4</v>
      </c>
      <c r="D73" s="76">
        <f>VLOOKUP(C73,STN_TABLE,2,FALSE)</f>
        <v>8.65</v>
      </c>
      <c r="E73" s="81">
        <v>4</v>
      </c>
      <c r="F73" s="76">
        <f>D73*E73</f>
        <v>34.6</v>
      </c>
      <c r="G73" s="77">
        <f>C73</f>
        <v>4</v>
      </c>
      <c r="H73" s="77">
        <f>F73*G73</f>
        <v>138.4</v>
      </c>
      <c r="I73" s="495" t="s">
        <v>97</v>
      </c>
      <c r="J73" s="496"/>
      <c r="K73" s="78" t="s">
        <v>98</v>
      </c>
      <c r="L73" s="78"/>
      <c r="M73" s="7" t="s">
        <v>99</v>
      </c>
      <c r="N73" s="7"/>
      <c r="O73" s="99">
        <f>O72+1</f>
        <v>10</v>
      </c>
      <c r="P73" s="99">
        <f t="shared" si="23"/>
        <v>5</v>
      </c>
      <c r="Q73" s="76">
        <f>P73</f>
        <v>5</v>
      </c>
      <c r="R73" s="77">
        <f>VLOOKUP(Q73,STN_TABLE,2,FALSE)</f>
        <v>9.5399999999999991</v>
      </c>
      <c r="S73" s="77">
        <v>8</v>
      </c>
      <c r="T73" s="76">
        <f>R73*S73</f>
        <v>76.319999999999993</v>
      </c>
      <c r="U73" s="80">
        <v>10</v>
      </c>
      <c r="V73" s="76">
        <f>R73*U73</f>
        <v>95.399999999999991</v>
      </c>
      <c r="W73" s="496" t="s">
        <v>97</v>
      </c>
      <c r="X73" s="496"/>
      <c r="Y73" s="496" t="s">
        <v>98</v>
      </c>
      <c r="Z73" s="496"/>
      <c r="AA73" s="494" t="s">
        <v>99</v>
      </c>
      <c r="AB73" s="494"/>
      <c r="AC73" s="99">
        <f>AC68+1</f>
        <v>9</v>
      </c>
      <c r="AD73" s="95">
        <f>VLOOKUP(AC73,STN_TABLE_2,2,FALSE)</f>
        <v>4.8499999999999996</v>
      </c>
      <c r="AE73" s="68">
        <f>VLOOKUP(AD73,STN_TABLE,2,FALSE)</f>
        <v>9.43</v>
      </c>
      <c r="AF73" s="68">
        <v>1</v>
      </c>
      <c r="AG73" s="69">
        <f>AE73*AF73</f>
        <v>9.43</v>
      </c>
      <c r="AH73" s="496" t="s">
        <v>97</v>
      </c>
      <c r="AI73" s="496"/>
      <c r="AJ73" s="496" t="s">
        <v>98</v>
      </c>
      <c r="AK73" s="496"/>
      <c r="AL73" s="494" t="s">
        <v>99</v>
      </c>
      <c r="AM73" s="494"/>
      <c r="AP73" s="86" t="s">
        <v>112</v>
      </c>
      <c r="AQ73" s="89" t="s">
        <v>113</v>
      </c>
      <c r="AR73" s="89" t="s">
        <v>114</v>
      </c>
      <c r="AS73" s="89" t="s">
        <v>115</v>
      </c>
      <c r="AU73" s="81"/>
    </row>
    <row r="74" spans="1:47" x14ac:dyDescent="0.25">
      <c r="A74" s="84">
        <f>A73+1</f>
        <v>9</v>
      </c>
      <c r="B74" s="84">
        <f t="shared" ref="B74:B105" si="27">VLOOKUP(A74,STN_TABLE_2,2,FALSE)</f>
        <v>4.8499999999999996</v>
      </c>
      <c r="C74" s="88">
        <f t="shared" ref="C74" si="28">B75</f>
        <v>5</v>
      </c>
      <c r="D74" s="82">
        <f>VLOOKUP(C74,STN_TABLE,2,FALSE)</f>
        <v>9.5399999999999991</v>
      </c>
      <c r="E74" s="92">
        <v>1</v>
      </c>
      <c r="F74" s="82">
        <f>D74*E74</f>
        <v>9.5399999999999991</v>
      </c>
      <c r="G74" s="83">
        <f>C74</f>
        <v>5</v>
      </c>
      <c r="H74" s="83">
        <f>F74*G74</f>
        <v>47.699999999999996</v>
      </c>
      <c r="I74" s="84" t="str">
        <f>CONCATENATE("a'(",C74,")=")</f>
        <v>a'(5)=</v>
      </c>
      <c r="J74" s="84">
        <f>2*J72/3*F75</f>
        <v>69.199999999999989</v>
      </c>
      <c r="K74" s="84" t="str">
        <f>CONCATENATE("A(",C72,")=")</f>
        <v>A(3)=</v>
      </c>
      <c r="L74" s="84">
        <f>VLOOKUP(C72,STN_TABLE,3,FALSE)</f>
        <v>68.636666666666656</v>
      </c>
      <c r="M74" t="str">
        <f>CONCATENATE("A(",C74,")=")</f>
        <v>A(5)=</v>
      </c>
      <c r="N74">
        <f>J74+L74</f>
        <v>137.83666666666664</v>
      </c>
      <c r="O74" s="99">
        <f>O73+1</f>
        <v>11</v>
      </c>
      <c r="P74" s="99">
        <f t="shared" si="23"/>
        <v>6</v>
      </c>
      <c r="Q74" s="82">
        <f>IF(P74-P73=P73-P72,P74,IF(P75-P73=P73-P72,P75,IF(P74-P73=P73-P71,P74,IF(P75-P73=P73-P71,P75,"-"))))</f>
        <v>6</v>
      </c>
      <c r="R74" s="83">
        <f>VLOOKUP(Q74,STN_TABLE,2,FALSE)</f>
        <v>10.1</v>
      </c>
      <c r="S74" s="83">
        <v>-1</v>
      </c>
      <c r="T74" s="82">
        <f>R74*S74</f>
        <v>-10.1</v>
      </c>
      <c r="U74" s="88">
        <v>-1</v>
      </c>
      <c r="V74" s="82">
        <f>R74*U74</f>
        <v>-10.1</v>
      </c>
      <c r="W74" s="84" t="str">
        <f>CONCATENATE("a'(",Q73,")=")</f>
        <v>a'(5)=</v>
      </c>
      <c r="X74" s="84">
        <f>2*X72/12*T75</f>
        <v>36.489999999999995</v>
      </c>
      <c r="Y74" s="84" t="str">
        <f>CONCATENATE("A(",Q72,")=")</f>
        <v>A(4)=</v>
      </c>
      <c r="Z74" s="84">
        <f>VLOOKUP(Q72,STN_TABLE,3,FALSE)</f>
        <v>101.44666666666666</v>
      </c>
      <c r="AA74" t="str">
        <f>CONCATENATE("A(",Q73,")=")</f>
        <v>A(5)=</v>
      </c>
      <c r="AB74">
        <f>X74+Z74</f>
        <v>137.93666666666667</v>
      </c>
      <c r="AC74" s="99">
        <f>AC73+1</f>
        <v>10</v>
      </c>
      <c r="AD74" s="100">
        <f>VLOOKUP(AC74,STN_TABLE_2,2,FALSE)</f>
        <v>5</v>
      </c>
      <c r="AE74" s="82">
        <f>VLOOKUP(AD74,STN_TABLE,2,FALSE)</f>
        <v>9.5399999999999991</v>
      </c>
      <c r="AF74" s="82">
        <v>2</v>
      </c>
      <c r="AG74" s="83">
        <f>AE74*AF74</f>
        <v>19.079999999999998</v>
      </c>
      <c r="AH74" s="84" t="str">
        <f>CONCATENATE("a'(",AD74,")=")</f>
        <v>a'(5)=</v>
      </c>
      <c r="AI74" s="84">
        <f>2*AI72/2*AE75</f>
        <v>5.6910000000000132</v>
      </c>
      <c r="AJ74" s="84" t="str">
        <f>CONCATENATE("A(",AD73,")=")</f>
        <v>A(4.85)=</v>
      </c>
      <c r="AK74" s="84">
        <f>VLOOKUP(AD73,STN_TABLE,3,FALSE)</f>
        <v>132.18266666666665</v>
      </c>
      <c r="AL74" t="str">
        <f>CONCATENATE("A(",AD74,")=")</f>
        <v>A(5)=</v>
      </c>
      <c r="AM74">
        <f>AI74+AK74</f>
        <v>137.87366666666665</v>
      </c>
      <c r="AO74" s="68" t="str">
        <f>AA74</f>
        <v>A(5)=</v>
      </c>
      <c r="AP74" s="68" t="e">
        <f>VLOOKUP(AO74,Rise_Results,2,FALSE)</f>
        <v>#N/A</v>
      </c>
      <c r="AQ74" s="76">
        <f>N74</f>
        <v>137.83666666666664</v>
      </c>
      <c r="AR74" s="76">
        <f>IF(OR(AB74&lt;=0,AB75&lt;=0),1/0,AB74)</f>
        <v>137.93666666666667</v>
      </c>
      <c r="AS74" s="76">
        <f>AM74</f>
        <v>137.87366666666665</v>
      </c>
      <c r="AT74">
        <f>IFERROR(AP74,IFERROR(AQ74,IFERROR(AR74,AS74)))</f>
        <v>137.83666666666664</v>
      </c>
      <c r="AU74" s="81"/>
    </row>
    <row r="75" spans="1:47" x14ac:dyDescent="0.25">
      <c r="A75" s="84">
        <f>A74+1</f>
        <v>10</v>
      </c>
      <c r="B75" s="84">
        <f t="shared" si="27"/>
        <v>5</v>
      </c>
      <c r="F75" s="82">
        <f>SUM(F72:F74)</f>
        <v>51.9</v>
      </c>
      <c r="H75" s="82">
        <f>SUM(H72:H74)</f>
        <v>209.38</v>
      </c>
      <c r="I75" s="84" t="str">
        <f>CONCATENATE("m'(",C74,")=")</f>
        <v>m'(5)=</v>
      </c>
      <c r="J75" s="84">
        <f>2*(J72*(WLS))/3*H75</f>
        <v>558.34666666666658</v>
      </c>
      <c r="K75" s="84" t="str">
        <f>CONCATENATE("M(",C72,")=")</f>
        <v>M(3)=</v>
      </c>
      <c r="L75" s="84">
        <f>VLOOKUP(C72,STN_TABLE,4,FALSE)</f>
        <v>235.9733333333333</v>
      </c>
      <c r="M75" t="str">
        <f>CONCATENATE("M(",C74,")=")</f>
        <v>M(5)=</v>
      </c>
      <c r="N75">
        <f>J75+L75</f>
        <v>794.31999999999994</v>
      </c>
      <c r="O75" s="99">
        <f>O74+1</f>
        <v>12</v>
      </c>
      <c r="P75" s="99">
        <f t="shared" si="23"/>
        <v>6.5</v>
      </c>
      <c r="T75" s="89">
        <f>SUM(T72:T74)</f>
        <v>109.47</v>
      </c>
      <c r="V75" s="82">
        <f>SUM(V72:V74)</f>
        <v>111.25</v>
      </c>
      <c r="W75" s="84" t="str">
        <f>CONCATENATE("m'(",Q73,")=")</f>
        <v>m'(5)=</v>
      </c>
      <c r="X75" s="84">
        <f>(2*(X72^2)/24*V75)+(X74*Q72*WLS)</f>
        <v>329.00333333333327</v>
      </c>
      <c r="Y75" s="84" t="str">
        <f>CONCATENATE("M(",Q72,")=")</f>
        <v>M(4)=</v>
      </c>
      <c r="Z75" s="84">
        <f>VLOOKUP(Q72,STN_TABLE,4,FALSE)</f>
        <v>466.39</v>
      </c>
      <c r="AA75" t="str">
        <f>CONCATENATE("M(",Q73,")=")</f>
        <v>M(5)=</v>
      </c>
      <c r="AB75">
        <f>X75+Z75</f>
        <v>795.3933333333332</v>
      </c>
      <c r="AE75" s="89">
        <f>SUM(AE73:AE74)</f>
        <v>18.97</v>
      </c>
      <c r="AG75" s="89">
        <f>SUM(AG73:AG74)</f>
        <v>28.509999999999998</v>
      </c>
      <c r="AH75" s="84" t="str">
        <f>CONCATENATE("m'(",AD74,")=")</f>
        <v>m'(5)=</v>
      </c>
      <c r="AI75" s="84">
        <f>(2*(AI72^2)/6*AG75)+(AI74*AD73*WLS)</f>
        <v>56.058000000000128</v>
      </c>
      <c r="AJ75" s="84" t="str">
        <f>CONCATENATE("M(",AD73,")=")</f>
        <v>M(4.85)=</v>
      </c>
      <c r="AK75" s="84">
        <f>VLOOKUP(AD73,STN_TABLE,4,FALSE)</f>
        <v>738.77929999999981</v>
      </c>
      <c r="AL75" t="str">
        <f>CONCATENATE("M(",AD74,")=")</f>
        <v>M(5)=</v>
      </c>
      <c r="AM75">
        <f>AI75+AK75</f>
        <v>794.83729999999991</v>
      </c>
      <c r="AO75" s="82" t="str">
        <f>AA75</f>
        <v>M(5)=</v>
      </c>
      <c r="AP75" s="82" t="e">
        <f>VLOOKUP(AO75,Rise_Results,2,FALSE)</f>
        <v>#N/A</v>
      </c>
      <c r="AQ75" s="82">
        <f>N75</f>
        <v>794.31999999999994</v>
      </c>
      <c r="AR75" s="82">
        <f>IF(OR(AB74&lt;=0,AB75&lt;=0),1/0,AB75)</f>
        <v>795.3933333333332</v>
      </c>
      <c r="AS75" s="82">
        <f>AM75</f>
        <v>794.83729999999991</v>
      </c>
      <c r="AT75">
        <f>IFERROR(AP75,IFERROR(AQ75,IFERROR(AR75,AS75)))</f>
        <v>794.31999999999994</v>
      </c>
      <c r="AU75" s="81"/>
    </row>
    <row r="76" spans="1:47" x14ac:dyDescent="0.25">
      <c r="A76" s="101">
        <f>A71+1</f>
        <v>7</v>
      </c>
      <c r="B76" s="101">
        <f t="shared" si="27"/>
        <v>3</v>
      </c>
      <c r="O76" s="101">
        <f>O71+1</f>
        <v>9</v>
      </c>
      <c r="P76" s="101">
        <f t="shared" si="23"/>
        <v>4.8499999999999996</v>
      </c>
      <c r="AU76" s="81"/>
    </row>
    <row r="77" spans="1:47" x14ac:dyDescent="0.25">
      <c r="A77" s="84">
        <f>A76+1</f>
        <v>8</v>
      </c>
      <c r="B77" s="84">
        <f t="shared" si="27"/>
        <v>4</v>
      </c>
      <c r="C77" s="79">
        <f t="shared" ref="C77" si="29">IF(C78=B79,IF(C79-C78=C78-B78,B78,IF(C79-C78=C78-B77,B77,"#NA")),IF(C78=B78,IF(C79-C78=C78-B77,B77,IF(C79-C78=C78-B76,B76,"#NA")),"#NA"))</f>
        <v>4</v>
      </c>
      <c r="D77" s="68">
        <f>VLOOKUP(C77,STN_TABLE,2,FALSE)</f>
        <v>8.65</v>
      </c>
      <c r="E77" s="102">
        <v>1</v>
      </c>
      <c r="F77" s="68">
        <f>D77*E77</f>
        <v>8.65</v>
      </c>
      <c r="G77" s="69">
        <f>C77</f>
        <v>4</v>
      </c>
      <c r="H77" s="69">
        <f>F77*G77</f>
        <v>34.6</v>
      </c>
      <c r="I77" s="6" t="s">
        <v>93</v>
      </c>
      <c r="J77" s="70">
        <f>IF(OR(D77=0,D78=0,D79=0),"#NA",IF(AND(C79-C78=C78-C77,C78&lt;&gt;C79,C77&lt;&gt;C78,C77&lt;&gt;C79,D79&lt;&gt;0,OR(D77&lt;&gt;0,D78&lt;&gt;0)),WLS*(C79-C78),"#NA"))</f>
        <v>2</v>
      </c>
      <c r="O77" s="99">
        <f>O76+1</f>
        <v>10</v>
      </c>
      <c r="P77" s="99">
        <f t="shared" si="23"/>
        <v>5</v>
      </c>
      <c r="Q77" s="68" t="e">
        <f>IF(OR(P79-P78=P78-P77,P80-P78=P78-P77),P77,IF(OR(P79-P78=P78-P76,P80-P78=P78-P76),P76,"-"))</f>
        <v>#VALUE!</v>
      </c>
      <c r="R77" s="69" t="e">
        <f>VLOOKUP(Q77,STN_TABLE,2,FALSE)</f>
        <v>#VALUE!</v>
      </c>
      <c r="S77" s="69">
        <v>5</v>
      </c>
      <c r="T77" s="68" t="e">
        <f>R77*S77</f>
        <v>#VALUE!</v>
      </c>
      <c r="U77" s="79">
        <v>3</v>
      </c>
      <c r="V77" s="68" t="e">
        <f>R77*U77</f>
        <v>#VALUE!</v>
      </c>
      <c r="W77" s="6" t="s">
        <v>93</v>
      </c>
      <c r="X77" s="70" t="e">
        <f>IF(AND(Q79-Q78=Q78-Q77,NOT(AND(Q77=0,Q78=0)),NOT(AND(Q78=0,Q79=0))),WLS*(Q79-Q78),"#NA")</f>
        <v>#VALUE!</v>
      </c>
      <c r="AD77" s="93"/>
      <c r="AH77" s="6" t="s">
        <v>93</v>
      </c>
      <c r="AI77" s="70">
        <f>WLS*(AD79-AD78)</f>
        <v>2</v>
      </c>
      <c r="AU77" s="81"/>
    </row>
    <row r="78" spans="1:47" x14ac:dyDescent="0.25">
      <c r="A78" s="84">
        <f>A77+1</f>
        <v>9</v>
      </c>
      <c r="B78" s="84">
        <f t="shared" si="27"/>
        <v>4.8499999999999996</v>
      </c>
      <c r="C78" s="80">
        <f t="shared" ref="C78" si="30">IF(OR(B80-B79=B79-B78,B80-B79=B79-B77,B80-B79=B79-B76),B79,IF(OR(B80-B78=B78-B77,B80-B78=B78-B76),B78,IF(B80-B77=B77-B76,B77,"#NA")))</f>
        <v>5</v>
      </c>
      <c r="D78" s="76">
        <f>VLOOKUP(C78,STN_TABLE,2,FALSE)</f>
        <v>9.5399999999999991</v>
      </c>
      <c r="E78" s="81">
        <v>4</v>
      </c>
      <c r="F78" s="76">
        <f>D78*E78</f>
        <v>38.159999999999997</v>
      </c>
      <c r="G78" s="77">
        <f>C78</f>
        <v>5</v>
      </c>
      <c r="H78" s="77">
        <f>F78*G78</f>
        <v>190.79999999999998</v>
      </c>
      <c r="I78" s="495" t="s">
        <v>97</v>
      </c>
      <c r="J78" s="496"/>
      <c r="K78" s="78" t="s">
        <v>98</v>
      </c>
      <c r="L78" s="78"/>
      <c r="M78" s="7" t="s">
        <v>99</v>
      </c>
      <c r="N78" s="7"/>
      <c r="O78" s="99">
        <f>O77+1</f>
        <v>11</v>
      </c>
      <c r="P78" s="99">
        <f t="shared" si="23"/>
        <v>6</v>
      </c>
      <c r="Q78" s="76">
        <f>P78</f>
        <v>6</v>
      </c>
      <c r="R78" s="77">
        <f>VLOOKUP(Q78,STN_TABLE,2,FALSE)</f>
        <v>10.1</v>
      </c>
      <c r="S78" s="77">
        <v>8</v>
      </c>
      <c r="T78" s="76">
        <f>R78*S78</f>
        <v>80.8</v>
      </c>
      <c r="U78" s="80">
        <v>10</v>
      </c>
      <c r="V78" s="76">
        <f>R78*U78</f>
        <v>101</v>
      </c>
      <c r="W78" s="496" t="s">
        <v>97</v>
      </c>
      <c r="X78" s="496"/>
      <c r="Y78" s="496" t="s">
        <v>98</v>
      </c>
      <c r="Z78" s="496"/>
      <c r="AA78" s="494" t="s">
        <v>99</v>
      </c>
      <c r="AB78" s="494"/>
      <c r="AC78" s="99">
        <f>AC73+1</f>
        <v>10</v>
      </c>
      <c r="AD78" s="95">
        <f>VLOOKUP(AC78,STN_TABLE_2,2,FALSE)</f>
        <v>5</v>
      </c>
      <c r="AE78" s="68">
        <f>VLOOKUP(AD78,STN_TABLE,2,FALSE)</f>
        <v>9.5399999999999991</v>
      </c>
      <c r="AF78" s="68">
        <v>1</v>
      </c>
      <c r="AG78" s="69">
        <f>AE78*AF78</f>
        <v>9.5399999999999991</v>
      </c>
      <c r="AH78" s="496" t="s">
        <v>97</v>
      </c>
      <c r="AI78" s="496"/>
      <c r="AJ78" s="496" t="s">
        <v>98</v>
      </c>
      <c r="AK78" s="496"/>
      <c r="AL78" s="494" t="s">
        <v>99</v>
      </c>
      <c r="AM78" s="494"/>
      <c r="AP78" s="86" t="s">
        <v>112</v>
      </c>
      <c r="AQ78" s="89" t="s">
        <v>113</v>
      </c>
      <c r="AR78" s="89" t="s">
        <v>114</v>
      </c>
      <c r="AS78" s="89" t="s">
        <v>115</v>
      </c>
      <c r="AU78" s="81"/>
    </row>
    <row r="79" spans="1:47" x14ac:dyDescent="0.25">
      <c r="A79" s="84">
        <f>A78+1</f>
        <v>10</v>
      </c>
      <c r="B79" s="84">
        <f t="shared" si="27"/>
        <v>5</v>
      </c>
      <c r="C79" s="88">
        <f t="shared" ref="C79" si="31">B80</f>
        <v>6</v>
      </c>
      <c r="D79" s="82">
        <f>VLOOKUP(C79,STN_TABLE,2,FALSE)</f>
        <v>10.1</v>
      </c>
      <c r="E79" s="92">
        <v>1</v>
      </c>
      <c r="F79" s="82">
        <f>D79*E79</f>
        <v>10.1</v>
      </c>
      <c r="G79" s="83">
        <f>C79</f>
        <v>6</v>
      </c>
      <c r="H79" s="83">
        <f>F79*G79</f>
        <v>60.599999999999994</v>
      </c>
      <c r="I79" s="84" t="str">
        <f>CONCATENATE("a'(",C79,")=")</f>
        <v>a'(6)=</v>
      </c>
      <c r="J79" s="84">
        <f>2*J77/3*F80</f>
        <v>75.88</v>
      </c>
      <c r="K79" s="84" t="str">
        <f>CONCATENATE("A(",C77,")=")</f>
        <v>A(4)=</v>
      </c>
      <c r="L79" s="84">
        <f>VLOOKUP(C77,STN_TABLE,3,FALSE)</f>
        <v>101.44666666666666</v>
      </c>
      <c r="M79" t="str">
        <f>CONCATENATE("A(",C79,")=")</f>
        <v>A(6)=</v>
      </c>
      <c r="N79">
        <f>J79+L79</f>
        <v>177.32666666666665</v>
      </c>
      <c r="O79" s="99">
        <f>O78+1</f>
        <v>12</v>
      </c>
      <c r="P79" s="99">
        <f t="shared" si="23"/>
        <v>6.5</v>
      </c>
      <c r="Q79" s="82" t="e">
        <f>IF(P79-P78=P78-P77,P79,IF(P80-P78=P78-P77,P80,IF(P79-P78=P78-P76,P79,IF(P80-P78=P78-P76,P80,"-"))))</f>
        <v>#VALUE!</v>
      </c>
      <c r="R79" s="83" t="e">
        <f>VLOOKUP(Q79,STN_TABLE,2,FALSE)</f>
        <v>#VALUE!</v>
      </c>
      <c r="S79" s="83">
        <v>-1</v>
      </c>
      <c r="T79" s="82" t="e">
        <f>R79*S79</f>
        <v>#VALUE!</v>
      </c>
      <c r="U79" s="88">
        <v>-1</v>
      </c>
      <c r="V79" s="82" t="e">
        <f>R79*U79</f>
        <v>#VALUE!</v>
      </c>
      <c r="W79" s="84" t="str">
        <f>CONCATENATE("a'(",Q78,")=")</f>
        <v>a'(6)=</v>
      </c>
      <c r="X79" s="84" t="e">
        <f>2*X77/12*T80</f>
        <v>#VALUE!</v>
      </c>
      <c r="Y79" s="84" t="e">
        <f>CONCATENATE("A(",Q77,")=")</f>
        <v>#VALUE!</v>
      </c>
      <c r="Z79" s="84" t="e">
        <f>VLOOKUP(Q77,STN_TABLE,3,FALSE)</f>
        <v>#VALUE!</v>
      </c>
      <c r="AA79" t="str">
        <f>CONCATENATE("A(",Q78,")=")</f>
        <v>A(6)=</v>
      </c>
      <c r="AB79" t="e">
        <f>X79+Z79</f>
        <v>#VALUE!</v>
      </c>
      <c r="AC79" s="99">
        <f>AC78+1</f>
        <v>11</v>
      </c>
      <c r="AD79" s="100">
        <f>VLOOKUP(AC79,STN_TABLE_2,2,FALSE)</f>
        <v>6</v>
      </c>
      <c r="AE79" s="82">
        <f>VLOOKUP(AD79,STN_TABLE,2,FALSE)</f>
        <v>10.1</v>
      </c>
      <c r="AF79" s="82">
        <v>2</v>
      </c>
      <c r="AG79" s="83">
        <f>AE79*AF79</f>
        <v>20.2</v>
      </c>
      <c r="AH79" s="84" t="str">
        <f>CONCATENATE("a'(",AD79,")=")</f>
        <v>a'(6)=</v>
      </c>
      <c r="AI79" s="84">
        <f>2*AI77/2*AE80</f>
        <v>39.28</v>
      </c>
      <c r="AJ79" s="84" t="str">
        <f>CONCATENATE("A(",AD78,")=")</f>
        <v>A(5)=</v>
      </c>
      <c r="AK79" s="84">
        <f>VLOOKUP(AD78,STN_TABLE,3,FALSE)</f>
        <v>137.83666666666664</v>
      </c>
      <c r="AL79" t="str">
        <f>CONCATENATE("A(",AD79,")=")</f>
        <v>A(6)=</v>
      </c>
      <c r="AM79">
        <f>AI79+AK79</f>
        <v>177.11666666666665</v>
      </c>
      <c r="AO79" s="68" t="str">
        <f>AA79</f>
        <v>A(6)=</v>
      </c>
      <c r="AP79" s="68" t="e">
        <f>VLOOKUP(AO79,Rise_Results,2,FALSE)</f>
        <v>#N/A</v>
      </c>
      <c r="AQ79" s="76">
        <f>N79</f>
        <v>177.32666666666665</v>
      </c>
      <c r="AR79" s="76" t="e">
        <f>IF(OR(AB79&lt;=0,AB80&lt;=0),1/0,AB79)</f>
        <v>#VALUE!</v>
      </c>
      <c r="AS79" s="76">
        <f>AM79</f>
        <v>177.11666666666665</v>
      </c>
      <c r="AT79">
        <f>IFERROR(AP79,IFERROR(AQ79,IFERROR(AR79,AS79)))</f>
        <v>177.32666666666665</v>
      </c>
      <c r="AU79" s="81"/>
    </row>
    <row r="80" spans="1:47" x14ac:dyDescent="0.25">
      <c r="A80" s="84">
        <f>A79+1</f>
        <v>11</v>
      </c>
      <c r="B80" s="84">
        <f t="shared" si="27"/>
        <v>6</v>
      </c>
      <c r="F80" s="82">
        <f>SUM(F77:F79)</f>
        <v>56.91</v>
      </c>
      <c r="H80" s="82">
        <f>SUM(H77:H79)</f>
        <v>286</v>
      </c>
      <c r="I80" s="84" t="str">
        <f>CONCATENATE("m'(",C79,")=")</f>
        <v>m'(6)=</v>
      </c>
      <c r="J80" s="84">
        <f>2*(J77*(WLS))/3*H80</f>
        <v>762.66666666666663</v>
      </c>
      <c r="K80" s="84" t="str">
        <f>CONCATENATE("M(",C77,")=")</f>
        <v>M(4)=</v>
      </c>
      <c r="L80" s="84">
        <f>VLOOKUP(C77,STN_TABLE,4,FALSE)</f>
        <v>466.39</v>
      </c>
      <c r="M80" t="str">
        <f>CONCATENATE("M(",C79,")=")</f>
        <v>M(6)=</v>
      </c>
      <c r="N80">
        <f>J80+L80</f>
        <v>1229.0566666666666</v>
      </c>
      <c r="O80" s="99">
        <f>O79+1</f>
        <v>13</v>
      </c>
      <c r="P80" s="99" t="str">
        <f t="shared" si="23"/>
        <v xml:space="preserve">  </v>
      </c>
      <c r="T80" s="89" t="e">
        <f>SUM(T77:T79)</f>
        <v>#VALUE!</v>
      </c>
      <c r="V80" s="82" t="e">
        <f>SUM(V77:V79)</f>
        <v>#VALUE!</v>
      </c>
      <c r="W80" s="84" t="str">
        <f>CONCATENATE("m'(",Q78,")=")</f>
        <v>m'(6)=</v>
      </c>
      <c r="X80" s="84" t="e">
        <f>(2*(X77^2)/24*V80)+(X79*Q77*WLS)</f>
        <v>#VALUE!</v>
      </c>
      <c r="Y80" s="84" t="e">
        <f>CONCATENATE("M(",Q77,")=")</f>
        <v>#VALUE!</v>
      </c>
      <c r="Z80" s="84" t="e">
        <f>VLOOKUP(Q77,STN_TABLE,4,FALSE)</f>
        <v>#VALUE!</v>
      </c>
      <c r="AA80" t="str">
        <f>CONCATENATE("M(",Q78,")=")</f>
        <v>M(6)=</v>
      </c>
      <c r="AB80" t="e">
        <f>X80+Z80</f>
        <v>#VALUE!</v>
      </c>
      <c r="AE80" s="89">
        <f>SUM(AE78:AE79)</f>
        <v>19.64</v>
      </c>
      <c r="AG80" s="89">
        <f>SUM(AG78:AG79)</f>
        <v>29.74</v>
      </c>
      <c r="AH80" s="84" t="str">
        <f>CONCATENATE("m'(",AD79,")=")</f>
        <v>m'(6)=</v>
      </c>
      <c r="AI80" s="84">
        <f>(2*(AI77^2)/6*AG80)+(AI79*AD78*WLS)</f>
        <v>432.45333333333332</v>
      </c>
      <c r="AJ80" s="84" t="str">
        <f>CONCATENATE("M(",AD78,")=")</f>
        <v>M(5)=</v>
      </c>
      <c r="AK80" s="84">
        <f>VLOOKUP(AD78,STN_TABLE,4,FALSE)</f>
        <v>794.31999999999994</v>
      </c>
      <c r="AL80" t="str">
        <f>CONCATENATE("M(",AD79,")=")</f>
        <v>M(6)=</v>
      </c>
      <c r="AM80">
        <f>AI80+AK80</f>
        <v>1226.7733333333333</v>
      </c>
      <c r="AO80" s="82" t="str">
        <f>AA80</f>
        <v>M(6)=</v>
      </c>
      <c r="AP80" s="82" t="e">
        <f>VLOOKUP(AO80,Rise_Results,2,FALSE)</f>
        <v>#N/A</v>
      </c>
      <c r="AQ80" s="82">
        <f>N80</f>
        <v>1229.0566666666666</v>
      </c>
      <c r="AR80" s="82" t="e">
        <f>IF(OR(AB79&lt;=0,AB80&lt;=0),1/0,AB80)</f>
        <v>#VALUE!</v>
      </c>
      <c r="AS80" s="82">
        <f>AM80</f>
        <v>1226.7733333333333</v>
      </c>
      <c r="AT80">
        <f>IFERROR(AP80,IFERROR(AQ80,IFERROR(AR80,AS80)))</f>
        <v>1229.0566666666666</v>
      </c>
      <c r="AU80" s="81"/>
    </row>
    <row r="81" spans="1:47" x14ac:dyDescent="0.25">
      <c r="A81" s="101">
        <f>A76+1</f>
        <v>8</v>
      </c>
      <c r="B81" s="101">
        <f t="shared" si="27"/>
        <v>4</v>
      </c>
      <c r="O81" s="101">
        <f>O76+1</f>
        <v>10</v>
      </c>
      <c r="P81" s="101">
        <f t="shared" si="23"/>
        <v>5</v>
      </c>
      <c r="AU81" s="81"/>
    </row>
    <row r="82" spans="1:47" x14ac:dyDescent="0.25">
      <c r="A82" s="84">
        <f>A81+1</f>
        <v>9</v>
      </c>
      <c r="B82" s="84">
        <f t="shared" si="27"/>
        <v>4.8499999999999996</v>
      </c>
      <c r="C82" s="79" t="str">
        <f t="shared" ref="C82" si="32">IF(C83=B84,IF(C84-C83=C83-B83,B83,IF(C84-C83=C83-B82,B82,"#NA")),IF(C83=B83,IF(C84-C83=C83-B82,B82,IF(C84-C83=C83-B81,B81,"#NA")),"#NA"))</f>
        <v>#NA</v>
      </c>
      <c r="D82" s="68" t="e">
        <f>VLOOKUP(C82,STN_TABLE,2,FALSE)</f>
        <v>#N/A</v>
      </c>
      <c r="E82" s="102">
        <v>1</v>
      </c>
      <c r="F82" s="68" t="e">
        <f>D82*E82</f>
        <v>#N/A</v>
      </c>
      <c r="G82" s="69" t="str">
        <f>C82</f>
        <v>#NA</v>
      </c>
      <c r="H82" s="69" t="e">
        <f>F82*G82</f>
        <v>#N/A</v>
      </c>
      <c r="I82" s="6" t="s">
        <v>93</v>
      </c>
      <c r="J82" s="70" t="e">
        <f>IF(OR(D82=0,D83=0,D84=0),"#NA",IF(AND(C84-C83=C83-C82,C83&lt;&gt;C84,C82&lt;&gt;C83,C82&lt;&gt;C84,D84&lt;&gt;0,OR(D82&lt;&gt;0,D83&lt;&gt;0)),WLS*(C84-C83),"#NA"))</f>
        <v>#N/A</v>
      </c>
      <c r="O82" s="99">
        <f>O81+1</f>
        <v>11</v>
      </c>
      <c r="P82" s="99">
        <f t="shared" si="23"/>
        <v>6</v>
      </c>
      <c r="Q82" s="68" t="e">
        <f>IF(OR(P84-P83=P83-P82,P85-P83=P83-P82),P82,IF(OR(P84-P83=P83-P81,P85-P83=P83-P81),P81,"-"))</f>
        <v>#VALUE!</v>
      </c>
      <c r="R82" s="69" t="e">
        <f>VLOOKUP(Q82,STN_TABLE,2,FALSE)</f>
        <v>#VALUE!</v>
      </c>
      <c r="S82" s="69">
        <v>5</v>
      </c>
      <c r="T82" s="68" t="e">
        <f>R82*S82</f>
        <v>#VALUE!</v>
      </c>
      <c r="U82" s="79">
        <v>3</v>
      </c>
      <c r="V82" s="68" t="e">
        <f>R82*U82</f>
        <v>#VALUE!</v>
      </c>
      <c r="W82" s="6" t="s">
        <v>93</v>
      </c>
      <c r="X82" s="70" t="e">
        <f>IF(AND(Q84-Q83=Q83-Q82,NOT(AND(Q82=0,Q83=0)),NOT(AND(Q83=0,Q84=0))),WLS*(Q84-Q83),"#NA")</f>
        <v>#VALUE!</v>
      </c>
      <c r="AD82" s="93"/>
      <c r="AH82" s="6" t="s">
        <v>93</v>
      </c>
      <c r="AI82" s="70">
        <f>WLS*(AD84-AD83)</f>
        <v>1</v>
      </c>
      <c r="AU82" s="81"/>
    </row>
    <row r="83" spans="1:47" x14ac:dyDescent="0.25">
      <c r="A83" s="84">
        <f>A82+1</f>
        <v>10</v>
      </c>
      <c r="B83" s="84">
        <f t="shared" si="27"/>
        <v>5</v>
      </c>
      <c r="C83" s="80" t="str">
        <f t="shared" ref="C83" si="33">IF(OR(B85-B84=B84-B83,B85-B84=B84-B82,B85-B84=B84-B81),B84,IF(OR(B85-B83=B83-B82,B85-B83=B83-B81),B83,IF(B85-B82=B82-B81,B82,"#NA")))</f>
        <v>#NA</v>
      </c>
      <c r="D83" s="76" t="e">
        <f>VLOOKUP(C83,STN_TABLE,2,FALSE)</f>
        <v>#N/A</v>
      </c>
      <c r="E83" s="81">
        <v>4</v>
      </c>
      <c r="F83" s="76" t="e">
        <f>D83*E83</f>
        <v>#N/A</v>
      </c>
      <c r="G83" s="77" t="str">
        <f>C83</f>
        <v>#NA</v>
      </c>
      <c r="H83" s="77" t="e">
        <f>F83*G83</f>
        <v>#N/A</v>
      </c>
      <c r="I83" s="495" t="s">
        <v>97</v>
      </c>
      <c r="J83" s="496"/>
      <c r="K83" s="78" t="s">
        <v>98</v>
      </c>
      <c r="L83" s="78"/>
      <c r="M83" s="7" t="s">
        <v>99</v>
      </c>
      <c r="N83" s="7"/>
      <c r="O83" s="99">
        <f>O82+1</f>
        <v>12</v>
      </c>
      <c r="P83" s="99">
        <f t="shared" si="23"/>
        <v>6.5</v>
      </c>
      <c r="Q83" s="76">
        <f>P83</f>
        <v>6.5</v>
      </c>
      <c r="R83" s="77">
        <f>VLOOKUP(Q83,STN_TABLE,2,FALSE)</f>
        <v>10.44</v>
      </c>
      <c r="S83" s="77">
        <v>8</v>
      </c>
      <c r="T83" s="76">
        <f>R83*S83</f>
        <v>83.52</v>
      </c>
      <c r="U83" s="80">
        <v>10</v>
      </c>
      <c r="V83" s="76">
        <f>R83*U83</f>
        <v>104.39999999999999</v>
      </c>
      <c r="W83" s="496" t="s">
        <v>97</v>
      </c>
      <c r="X83" s="496"/>
      <c r="Y83" s="496" t="s">
        <v>98</v>
      </c>
      <c r="Z83" s="496"/>
      <c r="AA83" s="494" t="s">
        <v>99</v>
      </c>
      <c r="AB83" s="494"/>
      <c r="AC83" s="99">
        <f>AC78+1</f>
        <v>11</v>
      </c>
      <c r="AD83" s="95">
        <f>VLOOKUP(AC83,STN_TABLE_2,2,FALSE)</f>
        <v>6</v>
      </c>
      <c r="AE83" s="68">
        <f>VLOOKUP(AD83,STN_TABLE,2,FALSE)</f>
        <v>10.1</v>
      </c>
      <c r="AF83" s="68">
        <v>1</v>
      </c>
      <c r="AG83" s="69">
        <f>AE83*AF83</f>
        <v>10.1</v>
      </c>
      <c r="AH83" s="496" t="s">
        <v>97</v>
      </c>
      <c r="AI83" s="496"/>
      <c r="AJ83" s="496" t="s">
        <v>98</v>
      </c>
      <c r="AK83" s="496"/>
      <c r="AL83" s="494" t="s">
        <v>99</v>
      </c>
      <c r="AM83" s="494"/>
      <c r="AP83" s="86" t="s">
        <v>112</v>
      </c>
      <c r="AQ83" s="89" t="s">
        <v>113</v>
      </c>
      <c r="AR83" s="89" t="s">
        <v>114</v>
      </c>
      <c r="AS83" s="89" t="s">
        <v>115</v>
      </c>
      <c r="AU83" s="81"/>
    </row>
    <row r="84" spans="1:47" x14ac:dyDescent="0.25">
      <c r="A84" s="84">
        <f>A83+1</f>
        <v>11</v>
      </c>
      <c r="B84" s="84">
        <f t="shared" si="27"/>
        <v>6</v>
      </c>
      <c r="C84" s="88">
        <f t="shared" ref="C84" si="34">B85</f>
        <v>6.5</v>
      </c>
      <c r="D84" s="82">
        <f>VLOOKUP(C84,STN_TABLE,2,FALSE)</f>
        <v>10.44</v>
      </c>
      <c r="E84" s="92">
        <v>1</v>
      </c>
      <c r="F84" s="82">
        <f>D84*E84</f>
        <v>10.44</v>
      </c>
      <c r="G84" s="83">
        <f>C84</f>
        <v>6.5</v>
      </c>
      <c r="H84" s="83">
        <f>F84*G84</f>
        <v>67.86</v>
      </c>
      <c r="I84" s="84" t="str">
        <f>CONCATENATE("a'(",C84,")=")</f>
        <v>a'(6.5)=</v>
      </c>
      <c r="J84" s="84" t="e">
        <f>2*J82/3*F85</f>
        <v>#N/A</v>
      </c>
      <c r="K84" s="84" t="str">
        <f>CONCATENATE("A(",C82,")=")</f>
        <v>A(#NA)=</v>
      </c>
      <c r="L84" s="84" t="e">
        <f>VLOOKUP(C82,STN_TABLE,3,FALSE)</f>
        <v>#N/A</v>
      </c>
      <c r="M84" t="str">
        <f>CONCATENATE("A(",C84,")=")</f>
        <v>A(6.5)=</v>
      </c>
      <c r="N84" t="e">
        <f>J84+L84</f>
        <v>#N/A</v>
      </c>
      <c r="O84" s="99">
        <f>O83+1</f>
        <v>13</v>
      </c>
      <c r="P84" s="99" t="str">
        <f t="shared" si="23"/>
        <v xml:space="preserve">  </v>
      </c>
      <c r="Q84" s="82" t="e">
        <f>IF(P84-P83=P83-P82,P84,IF(P85-P83=P83-P82,P85,IF(P84-P83=P83-P81,P84,IF(P85-P83=P83-P81,P85,"-"))))</f>
        <v>#VALUE!</v>
      </c>
      <c r="R84" s="83" t="e">
        <f>VLOOKUP(Q84,STN_TABLE,2,FALSE)</f>
        <v>#VALUE!</v>
      </c>
      <c r="S84" s="83">
        <v>-1</v>
      </c>
      <c r="T84" s="82" t="e">
        <f>R84*S84</f>
        <v>#VALUE!</v>
      </c>
      <c r="U84" s="88">
        <v>-1</v>
      </c>
      <c r="V84" s="82" t="e">
        <f>R84*U84</f>
        <v>#VALUE!</v>
      </c>
      <c r="W84" s="84" t="str">
        <f>CONCATENATE("a'(",Q83,")=")</f>
        <v>a'(6.5)=</v>
      </c>
      <c r="X84" s="84" t="e">
        <f>2*X82/12*T85</f>
        <v>#VALUE!</v>
      </c>
      <c r="Y84" s="84" t="e">
        <f>CONCATENATE("A(",Q82,")=")</f>
        <v>#VALUE!</v>
      </c>
      <c r="Z84" s="84" t="e">
        <f>VLOOKUP(Q82,STN_TABLE,3,FALSE)</f>
        <v>#VALUE!</v>
      </c>
      <c r="AA84" t="str">
        <f>CONCATENATE("A(",Q83,")=")</f>
        <v>A(6.5)=</v>
      </c>
      <c r="AB84" t="e">
        <f>X84+Z84</f>
        <v>#VALUE!</v>
      </c>
      <c r="AC84" s="99">
        <f>AC83+1</f>
        <v>12</v>
      </c>
      <c r="AD84" s="100">
        <f>VLOOKUP(AC84,STN_TABLE_2,2,FALSE)</f>
        <v>6.5</v>
      </c>
      <c r="AE84" s="82">
        <f>VLOOKUP(AD84,STN_TABLE,2,FALSE)</f>
        <v>10.44</v>
      </c>
      <c r="AF84" s="82">
        <v>2</v>
      </c>
      <c r="AG84" s="83">
        <f>AE84*AF84</f>
        <v>20.88</v>
      </c>
      <c r="AH84" s="84" t="str">
        <f>CONCATENATE("a'(",AD84,")=")</f>
        <v>a'(6.5)=</v>
      </c>
      <c r="AI84" s="84">
        <f>2*AI82/2*AE85</f>
        <v>20.54</v>
      </c>
      <c r="AJ84" s="84" t="str">
        <f>CONCATENATE("A(",AD83,")=")</f>
        <v>A(6)=</v>
      </c>
      <c r="AK84" s="84">
        <f>VLOOKUP(AD83,STN_TABLE,3,FALSE)</f>
        <v>177.32666666666665</v>
      </c>
      <c r="AL84" t="str">
        <f>CONCATENATE("A(",AD84,")=")</f>
        <v>A(6.5)=</v>
      </c>
      <c r="AM84">
        <f>AI84+AK84</f>
        <v>197.86666666666665</v>
      </c>
      <c r="AO84" s="68" t="str">
        <f>AA84</f>
        <v>A(6.5)=</v>
      </c>
      <c r="AP84" s="68" t="e">
        <f>VLOOKUP(AO84,Rise_Results,2,FALSE)</f>
        <v>#N/A</v>
      </c>
      <c r="AQ84" s="76" t="e">
        <f>N84</f>
        <v>#N/A</v>
      </c>
      <c r="AR84" s="76" t="e">
        <f>IF(OR(AB84&lt;=0,AB85&lt;=0),1/0,AB84)</f>
        <v>#VALUE!</v>
      </c>
      <c r="AS84" s="76">
        <f>AM84</f>
        <v>197.86666666666665</v>
      </c>
      <c r="AT84">
        <f>IFERROR(AP84,IFERROR(AQ84,IFERROR(AR84,AS84)))</f>
        <v>197.86666666666665</v>
      </c>
      <c r="AU84" s="81"/>
    </row>
    <row r="85" spans="1:47" x14ac:dyDescent="0.25">
      <c r="A85" s="84">
        <f>A84+1</f>
        <v>12</v>
      </c>
      <c r="B85" s="84">
        <f t="shared" si="27"/>
        <v>6.5</v>
      </c>
      <c r="F85" s="82" t="e">
        <f>SUM(F82:F84)</f>
        <v>#N/A</v>
      </c>
      <c r="H85" s="82" t="e">
        <f>SUM(H82:H84)</f>
        <v>#N/A</v>
      </c>
      <c r="I85" s="84" t="str">
        <f>CONCATENATE("m'(",C84,")=")</f>
        <v>m'(6.5)=</v>
      </c>
      <c r="J85" s="84" t="e">
        <f>2*(J82*(WLS))/3*H85</f>
        <v>#N/A</v>
      </c>
      <c r="K85" s="84" t="str">
        <f>CONCATENATE("M(",C82,")=")</f>
        <v>M(#NA)=</v>
      </c>
      <c r="L85" s="84" t="e">
        <f>VLOOKUP(C82,STN_TABLE,4,FALSE)</f>
        <v>#N/A</v>
      </c>
      <c r="M85" t="str">
        <f>CONCATENATE("M(",C84,")=")</f>
        <v>M(6.5)=</v>
      </c>
      <c r="N85" t="e">
        <f>J85+L85</f>
        <v>#N/A</v>
      </c>
      <c r="O85" s="99">
        <f>O84+1</f>
        <v>14</v>
      </c>
      <c r="P85" s="99" t="str">
        <f t="shared" si="23"/>
        <v xml:space="preserve">  </v>
      </c>
      <c r="T85" s="89" t="e">
        <f>SUM(T82:T84)</f>
        <v>#VALUE!</v>
      </c>
      <c r="V85" s="82" t="e">
        <f>SUM(V82:V84)</f>
        <v>#VALUE!</v>
      </c>
      <c r="W85" s="84" t="str">
        <f>CONCATENATE("m'(",Q83,")=")</f>
        <v>m'(6.5)=</v>
      </c>
      <c r="X85" s="84" t="e">
        <f>(2*(X82^2)/24*V85)+(X84*Q82*WLS)</f>
        <v>#VALUE!</v>
      </c>
      <c r="Y85" s="84" t="e">
        <f>CONCATENATE("M(",Q82,")=")</f>
        <v>#VALUE!</v>
      </c>
      <c r="Z85" s="84" t="e">
        <f>VLOOKUP(Q82,STN_TABLE,4,FALSE)</f>
        <v>#VALUE!</v>
      </c>
      <c r="AA85" t="str">
        <f>CONCATENATE("M(",Q83,")=")</f>
        <v>M(6.5)=</v>
      </c>
      <c r="AB85" t="e">
        <f>X85+Z85</f>
        <v>#VALUE!</v>
      </c>
      <c r="AE85" s="89">
        <f>SUM(AE83:AE84)</f>
        <v>20.54</v>
      </c>
      <c r="AG85" s="89">
        <f>SUM(AG83:AG84)</f>
        <v>30.979999999999997</v>
      </c>
      <c r="AH85" s="84" t="str">
        <f>CONCATENATE("m'(",AD84,")=")</f>
        <v>m'(6.5)=</v>
      </c>
      <c r="AI85" s="84">
        <f>(2*(AI82^2)/6*AG85)+(AI84*AD83*WLS)</f>
        <v>256.80666666666667</v>
      </c>
      <c r="AJ85" s="84" t="str">
        <f>CONCATENATE("M(",AD83,")=")</f>
        <v>M(6)=</v>
      </c>
      <c r="AK85" s="84">
        <f>VLOOKUP(AD83,STN_TABLE,4,FALSE)</f>
        <v>1229.0566666666666</v>
      </c>
      <c r="AL85" t="str">
        <f>CONCATENATE("M(",AD84,")=")</f>
        <v>M(6.5)=</v>
      </c>
      <c r="AM85">
        <f>AI85+AK85</f>
        <v>1485.8633333333332</v>
      </c>
      <c r="AO85" s="82" t="str">
        <f>AA85</f>
        <v>M(6.5)=</v>
      </c>
      <c r="AP85" s="82" t="e">
        <f>VLOOKUP(AO85,Rise_Results,2,FALSE)</f>
        <v>#N/A</v>
      </c>
      <c r="AQ85" s="82" t="e">
        <f>N85</f>
        <v>#N/A</v>
      </c>
      <c r="AR85" s="82" t="e">
        <f>IF(OR(AB84&lt;=0,AB85&lt;=0),1/0,AB85)</f>
        <v>#VALUE!</v>
      </c>
      <c r="AS85" s="82">
        <f>AM85</f>
        <v>1485.8633333333332</v>
      </c>
      <c r="AT85">
        <f>IFERROR(AP85,IFERROR(AQ85,IFERROR(AR85,AS85)))</f>
        <v>1485.8633333333332</v>
      </c>
      <c r="AU85" s="81"/>
    </row>
    <row r="86" spans="1:47" x14ac:dyDescent="0.25">
      <c r="A86" s="101">
        <f>A81+1</f>
        <v>9</v>
      </c>
      <c r="B86" s="101">
        <f t="shared" si="27"/>
        <v>4.8499999999999996</v>
      </c>
      <c r="O86" s="101">
        <f>O81+1</f>
        <v>11</v>
      </c>
      <c r="P86" s="101">
        <f t="shared" si="23"/>
        <v>6</v>
      </c>
      <c r="AU86" s="81"/>
    </row>
    <row r="87" spans="1:47" x14ac:dyDescent="0.25">
      <c r="A87" s="84">
        <f>A86+1</f>
        <v>10</v>
      </c>
      <c r="B87" s="84">
        <f t="shared" si="27"/>
        <v>5</v>
      </c>
      <c r="C87" s="79" t="e">
        <f t="shared" ref="C87" si="35">IF(C88=B89,IF(C89-C88=C88-B88,B88,IF(C89-C88=C88-B87,B87,"#NA")),IF(C88=B88,IF(C89-C88=C88-B87,B87,IF(C89-C88=C88-B86,B86,"#NA")),"#NA"))</f>
        <v>#VALUE!</v>
      </c>
      <c r="D87" s="68" t="e">
        <f>VLOOKUP(C87,STN_TABLE,2,FALSE)</f>
        <v>#VALUE!</v>
      </c>
      <c r="E87" s="102">
        <v>1</v>
      </c>
      <c r="F87" s="68" t="e">
        <f>D87*E87</f>
        <v>#VALUE!</v>
      </c>
      <c r="G87" s="69" t="e">
        <f>C87</f>
        <v>#VALUE!</v>
      </c>
      <c r="H87" s="69" t="e">
        <f>F87*G87</f>
        <v>#VALUE!</v>
      </c>
      <c r="I87" s="6" t="s">
        <v>93</v>
      </c>
      <c r="J87" s="70" t="e">
        <f>IF(OR(D87=0,D88=0,D89=0),"#NA",IF(AND(C89-C88=C88-C87,C88&lt;&gt;C89,C87&lt;&gt;C88,C87&lt;&gt;C89,D89&lt;&gt;0,OR(D87&lt;&gt;0,D88&lt;&gt;0)),WLS*(C89-C88),"#NA"))</f>
        <v>#VALUE!</v>
      </c>
      <c r="O87" s="99">
        <f>O86+1</f>
        <v>12</v>
      </c>
      <c r="P87" s="99">
        <f t="shared" si="23"/>
        <v>6.5</v>
      </c>
      <c r="Q87" s="68" t="e">
        <f>IF(OR(P89-P88=P88-P87,P90-P88=P88-P87),P87,IF(OR(P89-P88=P88-P86,P90-P88=P88-P86),P86,"-"))</f>
        <v>#VALUE!</v>
      </c>
      <c r="R87" s="69" t="e">
        <f>VLOOKUP(Q87,STN_TABLE,2,FALSE)</f>
        <v>#VALUE!</v>
      </c>
      <c r="S87" s="69">
        <v>5</v>
      </c>
      <c r="T87" s="68" t="e">
        <f>R87*S87</f>
        <v>#VALUE!</v>
      </c>
      <c r="U87" s="79">
        <v>3</v>
      </c>
      <c r="V87" s="68" t="e">
        <f>R87*U87</f>
        <v>#VALUE!</v>
      </c>
      <c r="W87" s="6" t="s">
        <v>93</v>
      </c>
      <c r="X87" s="70" t="e">
        <f>IF(AND(Q89-Q88=Q88-Q87,NOT(AND(Q87=0,Q88=0)),NOT(AND(Q88=0,Q89=0))),WLS*(Q89-Q88),"#NA")</f>
        <v>#VALUE!</v>
      </c>
      <c r="AD87" s="93"/>
      <c r="AH87" s="6" t="s">
        <v>93</v>
      </c>
      <c r="AI87" s="70" t="e">
        <f>WLS*(AD89-AD88)</f>
        <v>#VALUE!</v>
      </c>
      <c r="AU87" s="81"/>
    </row>
    <row r="88" spans="1:47" x14ac:dyDescent="0.25">
      <c r="A88" s="84">
        <f>A87+1</f>
        <v>11</v>
      </c>
      <c r="B88" s="84">
        <f t="shared" si="27"/>
        <v>6</v>
      </c>
      <c r="C88" s="80" t="e">
        <f t="shared" ref="C88" si="36">IF(OR(B90-B89=B89-B88,B90-B89=B89-B87,B90-B89=B89-B86),B89,IF(OR(B90-B88=B88-B87,B90-B88=B88-B86),B88,IF(B90-B87=B87-B86,B87,"#NA")))</f>
        <v>#VALUE!</v>
      </c>
      <c r="D88" s="76" t="e">
        <f>VLOOKUP(C88,STN_TABLE,2,FALSE)</f>
        <v>#VALUE!</v>
      </c>
      <c r="E88" s="81">
        <v>4</v>
      </c>
      <c r="F88" s="76" t="e">
        <f>D88*E88</f>
        <v>#VALUE!</v>
      </c>
      <c r="G88" s="77" t="e">
        <f>C88</f>
        <v>#VALUE!</v>
      </c>
      <c r="H88" s="77" t="e">
        <f>F88*G88</f>
        <v>#VALUE!</v>
      </c>
      <c r="I88" s="495" t="s">
        <v>97</v>
      </c>
      <c r="J88" s="496"/>
      <c r="K88" s="78" t="s">
        <v>98</v>
      </c>
      <c r="L88" s="78"/>
      <c r="M88" s="7" t="s">
        <v>99</v>
      </c>
      <c r="N88" s="7"/>
      <c r="O88" s="99">
        <f>O87+1</f>
        <v>13</v>
      </c>
      <c r="P88" s="99" t="str">
        <f t="shared" si="23"/>
        <v xml:space="preserve">  </v>
      </c>
      <c r="Q88" s="76" t="str">
        <f>P88</f>
        <v xml:space="preserve">  </v>
      </c>
      <c r="R88" s="77" t="str">
        <f>VLOOKUP(Q88,STN_TABLE,2,FALSE)</f>
        <v xml:space="preserve">  </v>
      </c>
      <c r="S88" s="77">
        <v>8</v>
      </c>
      <c r="T88" s="76" t="e">
        <f>R88*S88</f>
        <v>#VALUE!</v>
      </c>
      <c r="U88" s="80">
        <v>10</v>
      </c>
      <c r="V88" s="76" t="e">
        <f>R88*U88</f>
        <v>#VALUE!</v>
      </c>
      <c r="W88" s="496" t="s">
        <v>97</v>
      </c>
      <c r="X88" s="496"/>
      <c r="Y88" s="496" t="s">
        <v>98</v>
      </c>
      <c r="Z88" s="496"/>
      <c r="AA88" s="494" t="s">
        <v>99</v>
      </c>
      <c r="AB88" s="494"/>
      <c r="AC88" s="99">
        <f>AC83+1</f>
        <v>12</v>
      </c>
      <c r="AD88" s="95">
        <f>VLOOKUP(AC88,STN_TABLE_2,2,FALSE)</f>
        <v>6.5</v>
      </c>
      <c r="AE88" s="68">
        <f>VLOOKUP(AD88,STN_TABLE,2,FALSE)</f>
        <v>10.44</v>
      </c>
      <c r="AF88" s="68">
        <v>1</v>
      </c>
      <c r="AG88" s="69">
        <f>AE88*AF88</f>
        <v>10.44</v>
      </c>
      <c r="AH88" s="496" t="s">
        <v>97</v>
      </c>
      <c r="AI88" s="496"/>
      <c r="AJ88" s="496" t="s">
        <v>98</v>
      </c>
      <c r="AK88" s="496"/>
      <c r="AL88" s="494" t="s">
        <v>99</v>
      </c>
      <c r="AM88" s="494"/>
      <c r="AP88" s="86" t="s">
        <v>112</v>
      </c>
      <c r="AQ88" s="89" t="s">
        <v>113</v>
      </c>
      <c r="AR88" s="89" t="s">
        <v>114</v>
      </c>
      <c r="AS88" s="89" t="s">
        <v>115</v>
      </c>
      <c r="AU88" s="81"/>
    </row>
    <row r="89" spans="1:47" x14ac:dyDescent="0.25">
      <c r="A89" s="84">
        <f>A88+1</f>
        <v>12</v>
      </c>
      <c r="B89" s="84">
        <f t="shared" si="27"/>
        <v>6.5</v>
      </c>
      <c r="C89" s="88" t="str">
        <f t="shared" ref="C89" si="37">B90</f>
        <v xml:space="preserve">  </v>
      </c>
      <c r="D89" s="82" t="str">
        <f>VLOOKUP(C89,STN_TABLE,2,FALSE)</f>
        <v xml:space="preserve">  </v>
      </c>
      <c r="E89" s="92">
        <v>1</v>
      </c>
      <c r="F89" s="82" t="e">
        <f>D89*E89</f>
        <v>#VALUE!</v>
      </c>
      <c r="G89" s="83" t="str">
        <f>C89</f>
        <v xml:space="preserve">  </v>
      </c>
      <c r="H89" s="83" t="e">
        <f>F89*G89</f>
        <v>#VALUE!</v>
      </c>
      <c r="I89" s="84" t="str">
        <f>CONCATENATE("a'(",C89,")=")</f>
        <v>a'(  )=</v>
      </c>
      <c r="J89" s="84" t="e">
        <f>2*J87/3*F90</f>
        <v>#VALUE!</v>
      </c>
      <c r="K89" s="84" t="e">
        <f>CONCATENATE("A(",C87,")=")</f>
        <v>#VALUE!</v>
      </c>
      <c r="L89" s="84" t="e">
        <f>VLOOKUP(C87,STN_TABLE,3,FALSE)</f>
        <v>#VALUE!</v>
      </c>
      <c r="M89" t="str">
        <f>CONCATENATE("A(",C89,")=")</f>
        <v>A(  )=</v>
      </c>
      <c r="N89" t="e">
        <f>J89+L89</f>
        <v>#VALUE!</v>
      </c>
      <c r="O89" s="99">
        <f>O88+1</f>
        <v>14</v>
      </c>
      <c r="P89" s="99" t="str">
        <f t="shared" si="23"/>
        <v xml:space="preserve">  </v>
      </c>
      <c r="Q89" s="82" t="e">
        <f>IF(P89-P88=P88-P87,P89,IF(P90-P88=P88-P87,P90,IF(P89-P88=P88-P86,P89,IF(P90-P88=P88-P86,P90,"-"))))</f>
        <v>#VALUE!</v>
      </c>
      <c r="R89" s="83" t="e">
        <f>VLOOKUP(Q89,STN_TABLE,2,FALSE)</f>
        <v>#VALUE!</v>
      </c>
      <c r="S89" s="83">
        <v>-1</v>
      </c>
      <c r="T89" s="82" t="e">
        <f>R89*S89</f>
        <v>#VALUE!</v>
      </c>
      <c r="U89" s="88">
        <v>-1</v>
      </c>
      <c r="V89" s="82" t="e">
        <f>R89*U89</f>
        <v>#VALUE!</v>
      </c>
      <c r="W89" s="84" t="str">
        <f>CONCATENATE("a'(",Q88,")=")</f>
        <v>a'(  )=</v>
      </c>
      <c r="X89" s="84" t="e">
        <f>2*X87/12*T90</f>
        <v>#VALUE!</v>
      </c>
      <c r="Y89" s="84" t="e">
        <f>CONCATENATE("A(",Q87,")=")</f>
        <v>#VALUE!</v>
      </c>
      <c r="Z89" s="84" t="e">
        <f>VLOOKUP(Q87,STN_TABLE,3,FALSE)</f>
        <v>#VALUE!</v>
      </c>
      <c r="AA89" t="str">
        <f>CONCATENATE("A(",Q88,")=")</f>
        <v>A(  )=</v>
      </c>
      <c r="AB89" t="e">
        <f>X89+Z89</f>
        <v>#VALUE!</v>
      </c>
      <c r="AC89" s="99">
        <f>AC88+1</f>
        <v>13</v>
      </c>
      <c r="AD89" s="100" t="str">
        <f>VLOOKUP(AC89,STN_TABLE_2,2,FALSE)</f>
        <v xml:space="preserve">  </v>
      </c>
      <c r="AE89" s="82" t="str">
        <f>VLOOKUP(AD89,STN_TABLE,2,FALSE)</f>
        <v xml:space="preserve">  </v>
      </c>
      <c r="AF89" s="82">
        <v>2</v>
      </c>
      <c r="AG89" s="83" t="e">
        <f>AE89*AF89</f>
        <v>#VALUE!</v>
      </c>
      <c r="AH89" s="84" t="str">
        <f>CONCATENATE("a'(",AD89,")=")</f>
        <v>a'(  )=</v>
      </c>
      <c r="AI89" s="84" t="e">
        <f>2*AI87/2*AE90</f>
        <v>#VALUE!</v>
      </c>
      <c r="AJ89" s="84" t="str">
        <f>CONCATENATE("A(",AD88,")=")</f>
        <v>A(6.5)=</v>
      </c>
      <c r="AK89" s="84">
        <f>VLOOKUP(AD88,STN_TABLE,3,FALSE)</f>
        <v>197.86666666666665</v>
      </c>
      <c r="AL89" t="str">
        <f>CONCATENATE("A(",AD89,")=")</f>
        <v>A(  )=</v>
      </c>
      <c r="AM89" t="e">
        <f>AI89+AK89</f>
        <v>#VALUE!</v>
      </c>
      <c r="AO89" s="68" t="str">
        <f>AA89</f>
        <v>A(  )=</v>
      </c>
      <c r="AP89" s="68" t="e">
        <f>VLOOKUP(AO89,Rise_Results,2,FALSE)</f>
        <v>#N/A</v>
      </c>
      <c r="AQ89" s="76" t="e">
        <f>N89</f>
        <v>#VALUE!</v>
      </c>
      <c r="AR89" s="76" t="e">
        <f>IF(OR(AB89&lt;=0,AB90&lt;=0),1/0,AB89)</f>
        <v>#VALUE!</v>
      </c>
      <c r="AS89" s="76" t="e">
        <f>AM89</f>
        <v>#VALUE!</v>
      </c>
      <c r="AT89" t="e">
        <f>IFERROR(AP89,IFERROR(AQ89,IFERROR(AR89,AS89)))</f>
        <v>#VALUE!</v>
      </c>
      <c r="AU89" s="81"/>
    </row>
    <row r="90" spans="1:47" x14ac:dyDescent="0.25">
      <c r="A90" s="84">
        <f>A89+1</f>
        <v>13</v>
      </c>
      <c r="B90" s="84" t="str">
        <f t="shared" si="27"/>
        <v xml:space="preserve">  </v>
      </c>
      <c r="F90" s="82" t="e">
        <f>SUM(F87:F89)</f>
        <v>#VALUE!</v>
      </c>
      <c r="H90" s="82" t="e">
        <f>SUM(H87:H89)</f>
        <v>#VALUE!</v>
      </c>
      <c r="I90" s="84" t="str">
        <f>CONCATENATE("m'(",C89,")=")</f>
        <v>m'(  )=</v>
      </c>
      <c r="J90" s="84" t="e">
        <f>2*(J87*(WLS))/3*H90</f>
        <v>#VALUE!</v>
      </c>
      <c r="K90" s="84" t="e">
        <f>CONCATENATE("M(",C87,")=")</f>
        <v>#VALUE!</v>
      </c>
      <c r="L90" s="84" t="e">
        <f>VLOOKUP(C87,STN_TABLE,4,FALSE)</f>
        <v>#VALUE!</v>
      </c>
      <c r="M90" t="str">
        <f>CONCATENATE("M(",C89,")=")</f>
        <v>M(  )=</v>
      </c>
      <c r="N90" t="e">
        <f>J90+L90</f>
        <v>#VALUE!</v>
      </c>
      <c r="O90" s="99">
        <f>O89+1</f>
        <v>15</v>
      </c>
      <c r="P90" s="99" t="str">
        <f t="shared" si="23"/>
        <v xml:space="preserve">  </v>
      </c>
      <c r="T90" s="89" t="e">
        <f>SUM(T87:T89)</f>
        <v>#VALUE!</v>
      </c>
      <c r="V90" s="82" t="e">
        <f>SUM(V87:V89)</f>
        <v>#VALUE!</v>
      </c>
      <c r="W90" s="84" t="str">
        <f>CONCATENATE("m'(",Q88,")=")</f>
        <v>m'(  )=</v>
      </c>
      <c r="X90" s="84" t="e">
        <f>(2*(X87^2)/24*V90)+(X89*Q87*WLS)</f>
        <v>#VALUE!</v>
      </c>
      <c r="Y90" s="84" t="e">
        <f>CONCATENATE("M(",Q87,")=")</f>
        <v>#VALUE!</v>
      </c>
      <c r="Z90" s="84" t="e">
        <f>VLOOKUP(Q87,STN_TABLE,4,FALSE)</f>
        <v>#VALUE!</v>
      </c>
      <c r="AA90" t="str">
        <f>CONCATENATE("M(",Q88,")=")</f>
        <v>M(  )=</v>
      </c>
      <c r="AB90" t="e">
        <f>X90+Z90</f>
        <v>#VALUE!</v>
      </c>
      <c r="AE90" s="89">
        <f>SUM(AE88:AE89)</f>
        <v>10.44</v>
      </c>
      <c r="AG90" s="89" t="e">
        <f>SUM(AG88:AG89)</f>
        <v>#VALUE!</v>
      </c>
      <c r="AH90" s="84" t="str">
        <f>CONCATENATE("m'(",AD89,")=")</f>
        <v>m'(  )=</v>
      </c>
      <c r="AI90" s="84" t="e">
        <f>(2*(AI87^2)/6*AG90)+(AI89*AD88*WLS)</f>
        <v>#VALUE!</v>
      </c>
      <c r="AJ90" s="84" t="str">
        <f>CONCATENATE("M(",AD88,")=")</f>
        <v>M(6.5)=</v>
      </c>
      <c r="AK90" s="84">
        <f>VLOOKUP(AD88,STN_TABLE,4,FALSE)</f>
        <v>1485.8633333333332</v>
      </c>
      <c r="AL90" t="str">
        <f>CONCATENATE("M(",AD89,")=")</f>
        <v>M(  )=</v>
      </c>
      <c r="AM90" t="e">
        <f>AI90+AK90</f>
        <v>#VALUE!</v>
      </c>
      <c r="AO90" s="82" t="str">
        <f>AA90</f>
        <v>M(  )=</v>
      </c>
      <c r="AP90" s="82" t="e">
        <f>VLOOKUP(AO90,Rise_Results,2,FALSE)</f>
        <v>#N/A</v>
      </c>
      <c r="AQ90" s="82" t="e">
        <f>N90</f>
        <v>#VALUE!</v>
      </c>
      <c r="AR90" s="82" t="e">
        <f>IF(OR(AB89&lt;=0,AB90&lt;=0),1/0,AB90)</f>
        <v>#VALUE!</v>
      </c>
      <c r="AS90" s="82" t="e">
        <f>AM90</f>
        <v>#VALUE!</v>
      </c>
      <c r="AT90" t="e">
        <f>IFERROR(AP90,IFERROR(AQ90,IFERROR(AR90,AS90)))</f>
        <v>#VALUE!</v>
      </c>
      <c r="AU90" s="81"/>
    </row>
    <row r="91" spans="1:47" x14ac:dyDescent="0.25">
      <c r="A91" s="101">
        <f>A86+1</f>
        <v>10</v>
      </c>
      <c r="B91" s="101">
        <f t="shared" si="27"/>
        <v>5</v>
      </c>
      <c r="O91" s="101">
        <f>O86+1</f>
        <v>12</v>
      </c>
      <c r="P91" s="101">
        <f t="shared" si="23"/>
        <v>6.5</v>
      </c>
      <c r="AU91" s="81"/>
    </row>
    <row r="92" spans="1:47" x14ac:dyDescent="0.25">
      <c r="A92" s="84">
        <f>A91+1</f>
        <v>11</v>
      </c>
      <c r="B92" s="84">
        <f t="shared" si="27"/>
        <v>6</v>
      </c>
      <c r="C92" s="79" t="e">
        <f t="shared" ref="C92" si="38">IF(C93=B94,IF(C94-C93=C93-B93,B93,IF(C94-C93=C93-B92,B92,"#NA")),IF(C93=B93,IF(C94-C93=C93-B92,B92,IF(C94-C93=C93-B91,B91,"#NA")),"#NA"))</f>
        <v>#VALUE!</v>
      </c>
      <c r="D92" s="68" t="e">
        <f>VLOOKUP(C92,STN_TABLE,2,FALSE)</f>
        <v>#VALUE!</v>
      </c>
      <c r="E92" s="102">
        <v>1</v>
      </c>
      <c r="F92" s="68" t="e">
        <f>D92*E92</f>
        <v>#VALUE!</v>
      </c>
      <c r="G92" s="69" t="e">
        <f>C92</f>
        <v>#VALUE!</v>
      </c>
      <c r="H92" s="69" t="e">
        <f>F92*G92</f>
        <v>#VALUE!</v>
      </c>
      <c r="I92" s="6" t="s">
        <v>93</v>
      </c>
      <c r="J92" s="70" t="e">
        <f>IF(OR(D92=0,D93=0,D94=0),"#NA",IF(AND(C94-C93=C93-C92,C93&lt;&gt;C94,C92&lt;&gt;C93,C92&lt;&gt;C94,D94&lt;&gt;0,OR(D92&lt;&gt;0,D93&lt;&gt;0)),WLS*(C94-C93),"#NA"))</f>
        <v>#VALUE!</v>
      </c>
      <c r="O92" s="99">
        <f>O91+1</f>
        <v>13</v>
      </c>
      <c r="P92" s="99" t="str">
        <f t="shared" si="23"/>
        <v xml:space="preserve">  </v>
      </c>
      <c r="Q92" s="68" t="e">
        <f>IF(OR(P94-P93=P93-P92,P95-P93=P93-P92),P92,IF(OR(P94-P93=P93-P91,P95-P93=P93-P91),P91,"-"))</f>
        <v>#VALUE!</v>
      </c>
      <c r="R92" s="69" t="e">
        <f>VLOOKUP(Q92,STN_TABLE,2,FALSE)</f>
        <v>#VALUE!</v>
      </c>
      <c r="S92" s="69">
        <v>5</v>
      </c>
      <c r="T92" s="68" t="e">
        <f>R92*S92</f>
        <v>#VALUE!</v>
      </c>
      <c r="U92" s="79">
        <v>3</v>
      </c>
      <c r="V92" s="68" t="e">
        <f>R92*U92</f>
        <v>#VALUE!</v>
      </c>
      <c r="W92" s="6" t="s">
        <v>93</v>
      </c>
      <c r="X92" s="70" t="e">
        <f>IF(AND(Q94-Q93=Q93-Q92,NOT(AND(Q92=0,Q93=0)),NOT(AND(Q93=0,Q94=0))),WLS*(Q94-Q93),"#NA")</f>
        <v>#VALUE!</v>
      </c>
      <c r="AD92" s="93"/>
      <c r="AH92" s="6" t="s">
        <v>93</v>
      </c>
      <c r="AI92" s="70" t="e">
        <f>WLS*(AD94-AD93)</f>
        <v>#VALUE!</v>
      </c>
      <c r="AU92" s="81"/>
    </row>
    <row r="93" spans="1:47" x14ac:dyDescent="0.25">
      <c r="A93" s="84">
        <f>A92+1</f>
        <v>12</v>
      </c>
      <c r="B93" s="84">
        <f t="shared" si="27"/>
        <v>6.5</v>
      </c>
      <c r="C93" s="80" t="e">
        <f t="shared" ref="C93" si="39">IF(OR(B95-B94=B94-B93,B95-B94=B94-B92,B95-B94=B94-B91),B94,IF(OR(B95-B93=B93-B92,B95-B93=B93-B91),B93,IF(B95-B92=B92-B91,B92,"#NA")))</f>
        <v>#VALUE!</v>
      </c>
      <c r="D93" s="76" t="e">
        <f>VLOOKUP(C93,STN_TABLE,2,FALSE)</f>
        <v>#VALUE!</v>
      </c>
      <c r="E93" s="81">
        <v>4</v>
      </c>
      <c r="F93" s="76" t="e">
        <f>D93*E93</f>
        <v>#VALUE!</v>
      </c>
      <c r="G93" s="77" t="e">
        <f>C93</f>
        <v>#VALUE!</v>
      </c>
      <c r="H93" s="77" t="e">
        <f>F93*G93</f>
        <v>#VALUE!</v>
      </c>
      <c r="I93" s="495" t="s">
        <v>97</v>
      </c>
      <c r="J93" s="496"/>
      <c r="K93" s="78" t="s">
        <v>98</v>
      </c>
      <c r="L93" s="78"/>
      <c r="M93" s="7" t="s">
        <v>99</v>
      </c>
      <c r="N93" s="7"/>
      <c r="O93" s="99">
        <f>O92+1</f>
        <v>14</v>
      </c>
      <c r="P93" s="99" t="str">
        <f t="shared" si="23"/>
        <v xml:space="preserve">  </v>
      </c>
      <c r="Q93" s="76" t="str">
        <f>P93</f>
        <v xml:space="preserve">  </v>
      </c>
      <c r="R93" s="77" t="str">
        <f>VLOOKUP(Q93,STN_TABLE,2,FALSE)</f>
        <v xml:space="preserve">  </v>
      </c>
      <c r="S93" s="77">
        <v>8</v>
      </c>
      <c r="T93" s="76" t="e">
        <f>R93*S93</f>
        <v>#VALUE!</v>
      </c>
      <c r="U93" s="80">
        <v>10</v>
      </c>
      <c r="V93" s="76" t="e">
        <f>R93*U93</f>
        <v>#VALUE!</v>
      </c>
      <c r="W93" s="496" t="s">
        <v>97</v>
      </c>
      <c r="X93" s="496"/>
      <c r="Y93" s="496" t="s">
        <v>98</v>
      </c>
      <c r="Z93" s="496"/>
      <c r="AA93" s="494" t="s">
        <v>99</v>
      </c>
      <c r="AB93" s="494"/>
      <c r="AC93" s="99">
        <f>AC88+1</f>
        <v>13</v>
      </c>
      <c r="AD93" s="95" t="str">
        <f>VLOOKUP(AC93,STN_TABLE_2,2,FALSE)</f>
        <v xml:space="preserve">  </v>
      </c>
      <c r="AE93" s="68" t="str">
        <f>VLOOKUP(AD93,STN_TABLE,2,FALSE)</f>
        <v xml:space="preserve">  </v>
      </c>
      <c r="AF93" s="68">
        <v>1</v>
      </c>
      <c r="AG93" s="69" t="e">
        <f>AE93*AF93</f>
        <v>#VALUE!</v>
      </c>
      <c r="AH93" s="496" t="s">
        <v>97</v>
      </c>
      <c r="AI93" s="496"/>
      <c r="AJ93" s="496" t="s">
        <v>98</v>
      </c>
      <c r="AK93" s="496"/>
      <c r="AL93" s="494" t="s">
        <v>99</v>
      </c>
      <c r="AM93" s="494"/>
      <c r="AP93" s="86" t="s">
        <v>112</v>
      </c>
      <c r="AQ93" s="89" t="s">
        <v>113</v>
      </c>
      <c r="AR93" s="89" t="s">
        <v>114</v>
      </c>
      <c r="AS93" s="89" t="s">
        <v>115</v>
      </c>
      <c r="AU93" s="81"/>
    </row>
    <row r="94" spans="1:47" x14ac:dyDescent="0.25">
      <c r="A94" s="84">
        <f>A93+1</f>
        <v>13</v>
      </c>
      <c r="B94" s="84" t="str">
        <f t="shared" si="27"/>
        <v xml:space="preserve">  </v>
      </c>
      <c r="C94" s="88" t="str">
        <f t="shared" ref="C94" si="40">B95</f>
        <v xml:space="preserve">  </v>
      </c>
      <c r="D94" s="82" t="str">
        <f>VLOOKUP(C94,STN_TABLE,2,FALSE)</f>
        <v xml:space="preserve">  </v>
      </c>
      <c r="E94" s="92">
        <v>1</v>
      </c>
      <c r="F94" s="82" t="e">
        <f>D94*E94</f>
        <v>#VALUE!</v>
      </c>
      <c r="G94" s="83" t="str">
        <f>C94</f>
        <v xml:space="preserve">  </v>
      </c>
      <c r="H94" s="83" t="e">
        <f>F94*G94</f>
        <v>#VALUE!</v>
      </c>
      <c r="I94" s="84" t="str">
        <f>CONCATENATE("a'(",C94,")=")</f>
        <v>a'(  )=</v>
      </c>
      <c r="J94" s="84" t="e">
        <f>2*J92/3*F95</f>
        <v>#VALUE!</v>
      </c>
      <c r="K94" s="84" t="e">
        <f>CONCATENATE("A(",C92,")=")</f>
        <v>#VALUE!</v>
      </c>
      <c r="L94" s="84" t="e">
        <f>VLOOKUP(C92,STN_TABLE,3,FALSE)</f>
        <v>#VALUE!</v>
      </c>
      <c r="M94" t="str">
        <f>CONCATENATE("A(",C94,")=")</f>
        <v>A(  )=</v>
      </c>
      <c r="N94" t="e">
        <f>J94+L94</f>
        <v>#VALUE!</v>
      </c>
      <c r="O94" s="99">
        <f>O93+1</f>
        <v>15</v>
      </c>
      <c r="P94" s="99" t="str">
        <f t="shared" si="23"/>
        <v xml:space="preserve">  </v>
      </c>
      <c r="Q94" s="82" t="e">
        <f>IF(P94-P93=P93-P92,P94,IF(P95-P93=P93-P92,P95,IF(P94-P93=P93-P91,P94,IF(P95-P93=P93-P91,P95,"-"))))</f>
        <v>#VALUE!</v>
      </c>
      <c r="R94" s="83" t="e">
        <f>VLOOKUP(Q94,STN_TABLE,2,FALSE)</f>
        <v>#VALUE!</v>
      </c>
      <c r="S94" s="83">
        <v>-1</v>
      </c>
      <c r="T94" s="82" t="e">
        <f>R94*S94</f>
        <v>#VALUE!</v>
      </c>
      <c r="U94" s="88">
        <v>-1</v>
      </c>
      <c r="V94" s="82" t="e">
        <f>R94*U94</f>
        <v>#VALUE!</v>
      </c>
      <c r="W94" s="84" t="str">
        <f>CONCATENATE("a'(",Q93,")=")</f>
        <v>a'(  )=</v>
      </c>
      <c r="X94" s="84" t="e">
        <f>2*X92/12*T95</f>
        <v>#VALUE!</v>
      </c>
      <c r="Y94" s="84" t="e">
        <f>CONCATENATE("A(",Q92,")=")</f>
        <v>#VALUE!</v>
      </c>
      <c r="Z94" s="84" t="e">
        <f>VLOOKUP(Q92,STN_TABLE,3,FALSE)</f>
        <v>#VALUE!</v>
      </c>
      <c r="AA94" t="str">
        <f>CONCATENATE("A(",Q93,")=")</f>
        <v>A(  )=</v>
      </c>
      <c r="AB94" t="e">
        <f>X94+Z94</f>
        <v>#VALUE!</v>
      </c>
      <c r="AC94" s="99">
        <f>AC93+1</f>
        <v>14</v>
      </c>
      <c r="AD94" s="100" t="str">
        <f>VLOOKUP(AC94,STN_TABLE_2,2,FALSE)</f>
        <v xml:space="preserve">  </v>
      </c>
      <c r="AE94" s="82" t="str">
        <f>VLOOKUP(AD94,STN_TABLE,2,FALSE)</f>
        <v xml:space="preserve">  </v>
      </c>
      <c r="AF94" s="82">
        <v>2</v>
      </c>
      <c r="AG94" s="83" t="e">
        <f>AE94*AF94</f>
        <v>#VALUE!</v>
      </c>
      <c r="AH94" s="84" t="str">
        <f>CONCATENATE("a'(",AD94,")=")</f>
        <v>a'(  )=</v>
      </c>
      <c r="AI94" s="84" t="e">
        <f>2*AI92/2*AE95</f>
        <v>#VALUE!</v>
      </c>
      <c r="AJ94" s="84" t="str">
        <f>CONCATENATE("A(",AD93,")=")</f>
        <v>A(  )=</v>
      </c>
      <c r="AK94" s="84" t="str">
        <f>VLOOKUP(AD93,STN_TABLE,3,FALSE)</f>
        <v xml:space="preserve"> </v>
      </c>
      <c r="AL94" t="str">
        <f>CONCATENATE("A(",AD94,")=")</f>
        <v>A(  )=</v>
      </c>
      <c r="AM94" t="e">
        <f>AI94+AK94</f>
        <v>#VALUE!</v>
      </c>
      <c r="AO94" s="68" t="str">
        <f>AA94</f>
        <v>A(  )=</v>
      </c>
      <c r="AP94" s="68" t="e">
        <f>VLOOKUP(AO94,Rise_Results,2,FALSE)</f>
        <v>#N/A</v>
      </c>
      <c r="AQ94" s="76" t="e">
        <f>N94</f>
        <v>#VALUE!</v>
      </c>
      <c r="AR94" s="76" t="e">
        <f>IF(OR(AB94&lt;=0,AB95&lt;=0),1/0,AB94)</f>
        <v>#VALUE!</v>
      </c>
      <c r="AS94" s="76" t="e">
        <f>AM94</f>
        <v>#VALUE!</v>
      </c>
      <c r="AT94" t="e">
        <f>IFERROR(AP94,IFERROR(AQ94,IFERROR(AR94,AS94)))</f>
        <v>#VALUE!</v>
      </c>
      <c r="AU94" s="81"/>
    </row>
    <row r="95" spans="1:47" x14ac:dyDescent="0.25">
      <c r="A95" s="84">
        <f>A94+1</f>
        <v>14</v>
      </c>
      <c r="B95" s="84" t="str">
        <f t="shared" si="27"/>
        <v xml:space="preserve">  </v>
      </c>
      <c r="F95" s="82" t="e">
        <f>SUM(F92:F94)</f>
        <v>#VALUE!</v>
      </c>
      <c r="H95" s="82" t="e">
        <f>SUM(H92:H94)</f>
        <v>#VALUE!</v>
      </c>
      <c r="I95" s="84" t="str">
        <f>CONCATENATE("m'(",C94,")=")</f>
        <v>m'(  )=</v>
      </c>
      <c r="J95" s="84" t="e">
        <f>2*(J92*(WLS))/3*H95</f>
        <v>#VALUE!</v>
      </c>
      <c r="K95" s="84" t="e">
        <f>CONCATENATE("M(",C92,")=")</f>
        <v>#VALUE!</v>
      </c>
      <c r="L95" s="84" t="e">
        <f>VLOOKUP(C92,STN_TABLE,4,FALSE)</f>
        <v>#VALUE!</v>
      </c>
      <c r="M95" t="str">
        <f>CONCATENATE("M(",C94,")=")</f>
        <v>M(  )=</v>
      </c>
      <c r="N95" t="e">
        <f>J95+L95</f>
        <v>#VALUE!</v>
      </c>
      <c r="O95" s="99">
        <f>O94+1</f>
        <v>16</v>
      </c>
      <c r="P95" s="99" t="str">
        <f t="shared" si="23"/>
        <v xml:space="preserve">  </v>
      </c>
      <c r="T95" s="89" t="e">
        <f>SUM(T92:T94)</f>
        <v>#VALUE!</v>
      </c>
      <c r="V95" s="82" t="e">
        <f>SUM(V92:V94)</f>
        <v>#VALUE!</v>
      </c>
      <c r="W95" s="84" t="str">
        <f>CONCATENATE("m'(",Q93,")=")</f>
        <v>m'(  )=</v>
      </c>
      <c r="X95" s="84" t="e">
        <f>(2*(X92^2)/24*V95)+(X94*Q92*WLS)</f>
        <v>#VALUE!</v>
      </c>
      <c r="Y95" s="84" t="e">
        <f>CONCATENATE("M(",Q92,")=")</f>
        <v>#VALUE!</v>
      </c>
      <c r="Z95" s="84" t="e">
        <f>VLOOKUP(Q92,STN_TABLE,4,FALSE)</f>
        <v>#VALUE!</v>
      </c>
      <c r="AA95" t="str">
        <f>CONCATENATE("M(",Q93,")=")</f>
        <v>M(  )=</v>
      </c>
      <c r="AB95" t="e">
        <f>X95+Z95</f>
        <v>#VALUE!</v>
      </c>
      <c r="AE95" s="89">
        <f>SUM(AE93:AE94)</f>
        <v>0</v>
      </c>
      <c r="AG95" s="89" t="e">
        <f>SUM(AG93:AG94)</f>
        <v>#VALUE!</v>
      </c>
      <c r="AH95" s="84" t="str">
        <f>CONCATENATE("m'(",AD94,")=")</f>
        <v>m'(  )=</v>
      </c>
      <c r="AI95" s="84" t="e">
        <f>(2*(AI92^2)/6*AG95)+(AI94*AD93*WLS)</f>
        <v>#VALUE!</v>
      </c>
      <c r="AJ95" s="84" t="str">
        <f>CONCATENATE("M(",AD93,")=")</f>
        <v>M(  )=</v>
      </c>
      <c r="AK95" s="84" t="str">
        <f>VLOOKUP(AD93,STN_TABLE,4,FALSE)</f>
        <v xml:space="preserve"> </v>
      </c>
      <c r="AL95" t="str">
        <f>CONCATENATE("M(",AD94,")=")</f>
        <v>M(  )=</v>
      </c>
      <c r="AM95" t="e">
        <f>AI95+AK95</f>
        <v>#VALUE!</v>
      </c>
      <c r="AO95" s="82" t="str">
        <f>AA95</f>
        <v>M(  )=</v>
      </c>
      <c r="AP95" s="82" t="e">
        <f>VLOOKUP(AO95,Rise_Results,2,FALSE)</f>
        <v>#N/A</v>
      </c>
      <c r="AQ95" s="82" t="e">
        <f>N95</f>
        <v>#VALUE!</v>
      </c>
      <c r="AR95" s="82" t="e">
        <f>IF(OR(AB94&lt;=0,AB95&lt;=0),1/0,AB95)</f>
        <v>#VALUE!</v>
      </c>
      <c r="AS95" s="82" t="e">
        <f>AM95</f>
        <v>#VALUE!</v>
      </c>
      <c r="AT95" t="e">
        <f>IFERROR(AP95,IFERROR(AQ95,IFERROR(AR95,AS95)))</f>
        <v>#VALUE!</v>
      </c>
      <c r="AU95" s="81"/>
    </row>
    <row r="96" spans="1:47" x14ac:dyDescent="0.25">
      <c r="A96" s="101">
        <f>A91+1</f>
        <v>11</v>
      </c>
      <c r="B96" s="101">
        <f t="shared" si="27"/>
        <v>6</v>
      </c>
      <c r="O96" s="101">
        <f>O91+1</f>
        <v>13</v>
      </c>
      <c r="P96" s="101" t="str">
        <f t="shared" si="23"/>
        <v xml:space="preserve">  </v>
      </c>
      <c r="AU96" s="81"/>
    </row>
    <row r="97" spans="1:47" x14ac:dyDescent="0.25">
      <c r="A97" s="84">
        <f>A96+1</f>
        <v>12</v>
      </c>
      <c r="B97" s="84">
        <f t="shared" si="27"/>
        <v>6.5</v>
      </c>
      <c r="C97" s="79" t="e">
        <f t="shared" ref="C97" si="41">IF(C98=B99,IF(C99-C98=C98-B98,B98,IF(C99-C98=C98-B97,B97,"#NA")),IF(C98=B98,IF(C99-C98=C98-B97,B97,IF(C99-C98=C98-B96,B96,"#NA")),"#NA"))</f>
        <v>#VALUE!</v>
      </c>
      <c r="D97" s="68" t="e">
        <f>VLOOKUP(C97,STN_TABLE,2,FALSE)</f>
        <v>#VALUE!</v>
      </c>
      <c r="E97" s="102">
        <v>1</v>
      </c>
      <c r="F97" s="68" t="e">
        <f>D97*E97</f>
        <v>#VALUE!</v>
      </c>
      <c r="G97" s="69" t="e">
        <f>C97</f>
        <v>#VALUE!</v>
      </c>
      <c r="H97" s="69" t="e">
        <f>F97*G97</f>
        <v>#VALUE!</v>
      </c>
      <c r="I97" s="6" t="s">
        <v>93</v>
      </c>
      <c r="J97" s="70" t="e">
        <f>IF(OR(D97=0,D98=0,D99=0),"#NA",IF(AND(C99-C98=C98-C97,C98&lt;&gt;C99,C97&lt;&gt;C98,C97&lt;&gt;C99,D99&lt;&gt;0,OR(D97&lt;&gt;0,D98&lt;&gt;0)),WLS*(C99-C98),"#NA"))</f>
        <v>#VALUE!</v>
      </c>
      <c r="O97" s="99">
        <f>O96+1</f>
        <v>14</v>
      </c>
      <c r="P97" s="99" t="str">
        <f t="shared" si="23"/>
        <v xml:space="preserve">  </v>
      </c>
      <c r="Q97" s="68" t="e">
        <f>IF(OR(P99-P98=P98-P97,P100-P98=P98-P97),P97,IF(OR(P99-P98=P98-P96,P100-P98=P98-P96),P96,"-"))</f>
        <v>#VALUE!</v>
      </c>
      <c r="R97" s="69" t="e">
        <f>VLOOKUP(Q97,STN_TABLE,2,FALSE)</f>
        <v>#VALUE!</v>
      </c>
      <c r="S97" s="69">
        <v>5</v>
      </c>
      <c r="T97" s="68" t="e">
        <f>R97*S97</f>
        <v>#VALUE!</v>
      </c>
      <c r="U97" s="79">
        <v>3</v>
      </c>
      <c r="V97" s="68" t="e">
        <f>R97*U97</f>
        <v>#VALUE!</v>
      </c>
      <c r="W97" s="6" t="s">
        <v>93</v>
      </c>
      <c r="X97" s="70" t="e">
        <f>IF(AND(Q99-Q98=Q98-Q97,NOT(AND(Q97=0,Q98=0)),NOT(AND(Q98=0,Q99=0))),WLS*(Q99-Q98),"#NA")</f>
        <v>#VALUE!</v>
      </c>
      <c r="AD97" s="93"/>
      <c r="AH97" s="6" t="s">
        <v>93</v>
      </c>
      <c r="AI97" s="70" t="e">
        <f>WLS*(AD99-AD98)</f>
        <v>#VALUE!</v>
      </c>
      <c r="AU97" s="81"/>
    </row>
    <row r="98" spans="1:47" x14ac:dyDescent="0.25">
      <c r="A98" s="84">
        <f>A97+1</f>
        <v>13</v>
      </c>
      <c r="B98" s="84" t="str">
        <f t="shared" si="27"/>
        <v xml:space="preserve">  </v>
      </c>
      <c r="C98" s="80" t="e">
        <f t="shared" ref="C98" si="42">IF(OR(B100-B99=B99-B98,B100-B99=B99-B97,B100-B99=B99-B96),B99,IF(OR(B100-B98=B98-B97,B100-B98=B98-B96),B98,IF(B100-B97=B97-B96,B97,"#NA")))</f>
        <v>#VALUE!</v>
      </c>
      <c r="D98" s="76" t="e">
        <f>VLOOKUP(C98,STN_TABLE,2,FALSE)</f>
        <v>#VALUE!</v>
      </c>
      <c r="E98" s="81">
        <v>4</v>
      </c>
      <c r="F98" s="76" t="e">
        <f>D98*E98</f>
        <v>#VALUE!</v>
      </c>
      <c r="G98" s="77" t="e">
        <f>C98</f>
        <v>#VALUE!</v>
      </c>
      <c r="H98" s="77" t="e">
        <f>F98*G98</f>
        <v>#VALUE!</v>
      </c>
      <c r="I98" s="495" t="s">
        <v>97</v>
      </c>
      <c r="J98" s="496"/>
      <c r="K98" s="78" t="s">
        <v>98</v>
      </c>
      <c r="L98" s="78"/>
      <c r="M98" s="7" t="s">
        <v>99</v>
      </c>
      <c r="N98" s="7"/>
      <c r="O98" s="99">
        <f>O97+1</f>
        <v>15</v>
      </c>
      <c r="P98" s="99" t="str">
        <f t="shared" si="23"/>
        <v xml:space="preserve">  </v>
      </c>
      <c r="Q98" s="76" t="str">
        <f>P98</f>
        <v xml:space="preserve">  </v>
      </c>
      <c r="R98" s="77" t="str">
        <f>VLOOKUP(Q98,STN_TABLE,2,FALSE)</f>
        <v xml:space="preserve">  </v>
      </c>
      <c r="S98" s="77">
        <v>8</v>
      </c>
      <c r="T98" s="76" t="e">
        <f>R98*S98</f>
        <v>#VALUE!</v>
      </c>
      <c r="U98" s="80">
        <v>10</v>
      </c>
      <c r="V98" s="76" t="e">
        <f>R98*U98</f>
        <v>#VALUE!</v>
      </c>
      <c r="W98" s="496" t="s">
        <v>97</v>
      </c>
      <c r="X98" s="496"/>
      <c r="Y98" s="496" t="s">
        <v>98</v>
      </c>
      <c r="Z98" s="496"/>
      <c r="AA98" s="494" t="s">
        <v>99</v>
      </c>
      <c r="AB98" s="494"/>
      <c r="AC98" s="99">
        <f>AC93+1</f>
        <v>14</v>
      </c>
      <c r="AD98" s="95" t="str">
        <f>VLOOKUP(AC98,STN_TABLE_2,2,FALSE)</f>
        <v xml:space="preserve">  </v>
      </c>
      <c r="AE98" s="68" t="str">
        <f>VLOOKUP(AD98,STN_TABLE,2,FALSE)</f>
        <v xml:space="preserve">  </v>
      </c>
      <c r="AF98" s="68">
        <v>1</v>
      </c>
      <c r="AG98" s="69" t="e">
        <f>AE98*AF98</f>
        <v>#VALUE!</v>
      </c>
      <c r="AH98" s="496" t="s">
        <v>97</v>
      </c>
      <c r="AI98" s="496"/>
      <c r="AJ98" s="496" t="s">
        <v>98</v>
      </c>
      <c r="AK98" s="496"/>
      <c r="AL98" s="494" t="s">
        <v>99</v>
      </c>
      <c r="AM98" s="494"/>
      <c r="AP98" s="86" t="s">
        <v>112</v>
      </c>
      <c r="AQ98" s="89" t="s">
        <v>113</v>
      </c>
      <c r="AR98" s="89" t="s">
        <v>114</v>
      </c>
      <c r="AS98" s="89" t="s">
        <v>115</v>
      </c>
      <c r="AU98" s="81"/>
    </row>
    <row r="99" spans="1:47" x14ac:dyDescent="0.25">
      <c r="A99" s="84">
        <f>A98+1</f>
        <v>14</v>
      </c>
      <c r="B99" s="84" t="str">
        <f t="shared" si="27"/>
        <v xml:space="preserve">  </v>
      </c>
      <c r="C99" s="88" t="str">
        <f t="shared" ref="C99" si="43">B100</f>
        <v xml:space="preserve">  </v>
      </c>
      <c r="D99" s="82" t="str">
        <f>VLOOKUP(C99,STN_TABLE,2,FALSE)</f>
        <v xml:space="preserve">  </v>
      </c>
      <c r="E99" s="92">
        <v>1</v>
      </c>
      <c r="F99" s="82" t="e">
        <f>D99*E99</f>
        <v>#VALUE!</v>
      </c>
      <c r="G99" s="83" t="str">
        <f>C99</f>
        <v xml:space="preserve">  </v>
      </c>
      <c r="H99" s="83" t="e">
        <f>F99*G99</f>
        <v>#VALUE!</v>
      </c>
      <c r="I99" s="84" t="str">
        <f>CONCATENATE("a'(",C99,")=")</f>
        <v>a'(  )=</v>
      </c>
      <c r="J99" s="84" t="e">
        <f>2*J97/3*F100</f>
        <v>#VALUE!</v>
      </c>
      <c r="K99" s="84" t="e">
        <f>CONCATENATE("A(",C97,")=")</f>
        <v>#VALUE!</v>
      </c>
      <c r="L99" s="84" t="e">
        <f>VLOOKUP(C97,STN_TABLE,3,FALSE)</f>
        <v>#VALUE!</v>
      </c>
      <c r="M99" t="str">
        <f>CONCATENATE("A(",C99,")=")</f>
        <v>A(  )=</v>
      </c>
      <c r="N99" t="e">
        <f>J99+L99</f>
        <v>#VALUE!</v>
      </c>
      <c r="O99" s="99">
        <f>O98+1</f>
        <v>16</v>
      </c>
      <c r="P99" s="99" t="str">
        <f t="shared" si="23"/>
        <v xml:space="preserve">  </v>
      </c>
      <c r="Q99" s="82" t="e">
        <f>IF(P99-P98=P98-P97,P99,IF(P100-P98=P98-P97,P100,IF(P99-P98=P98-P96,P99,IF(P100-P98=P98-P96,P100,"-"))))</f>
        <v>#VALUE!</v>
      </c>
      <c r="R99" s="83" t="e">
        <f>VLOOKUP(Q99,STN_TABLE,2,FALSE)</f>
        <v>#VALUE!</v>
      </c>
      <c r="S99" s="83">
        <v>-1</v>
      </c>
      <c r="T99" s="82" t="e">
        <f>R99*S99</f>
        <v>#VALUE!</v>
      </c>
      <c r="U99" s="88">
        <v>-1</v>
      </c>
      <c r="V99" s="82" t="e">
        <f>R99*U99</f>
        <v>#VALUE!</v>
      </c>
      <c r="W99" s="84" t="str">
        <f>CONCATENATE("a'(",Q98,")=")</f>
        <v>a'(  )=</v>
      </c>
      <c r="X99" s="84" t="e">
        <f>2*X97/12*T100</f>
        <v>#VALUE!</v>
      </c>
      <c r="Y99" s="84" t="e">
        <f>CONCATENATE("A(",Q97,")=")</f>
        <v>#VALUE!</v>
      </c>
      <c r="Z99" s="84" t="e">
        <f>VLOOKUP(Q97,STN_TABLE,3,FALSE)</f>
        <v>#VALUE!</v>
      </c>
      <c r="AA99" t="str">
        <f>CONCATENATE("A(",Q98,")=")</f>
        <v>A(  )=</v>
      </c>
      <c r="AB99" t="e">
        <f>X99+Z99</f>
        <v>#VALUE!</v>
      </c>
      <c r="AC99" s="99">
        <f>AC98+1</f>
        <v>15</v>
      </c>
      <c r="AD99" s="100" t="str">
        <f>VLOOKUP(AC99,STN_TABLE_2,2,FALSE)</f>
        <v xml:space="preserve">  </v>
      </c>
      <c r="AE99" s="82" t="str">
        <f>VLOOKUP(AD99,STN_TABLE,2,FALSE)</f>
        <v xml:space="preserve">  </v>
      </c>
      <c r="AF99" s="82">
        <v>2</v>
      </c>
      <c r="AG99" s="83" t="e">
        <f>AE99*AF99</f>
        <v>#VALUE!</v>
      </c>
      <c r="AH99" s="84" t="str">
        <f>CONCATENATE("a'(",AD99,")=")</f>
        <v>a'(  )=</v>
      </c>
      <c r="AI99" s="84" t="e">
        <f>2*AI97/2*AE100</f>
        <v>#VALUE!</v>
      </c>
      <c r="AJ99" s="84" t="str">
        <f>CONCATENATE("A(",AD98,")=")</f>
        <v>A(  )=</v>
      </c>
      <c r="AK99" s="84" t="str">
        <f>VLOOKUP(AD98,STN_TABLE,3,FALSE)</f>
        <v xml:space="preserve"> </v>
      </c>
      <c r="AL99" t="str">
        <f>CONCATENATE("A(",AD99,")=")</f>
        <v>A(  )=</v>
      </c>
      <c r="AM99" t="e">
        <f>AI99+AK99</f>
        <v>#VALUE!</v>
      </c>
      <c r="AO99" s="68" t="str">
        <f>AA99</f>
        <v>A(  )=</v>
      </c>
      <c r="AP99" s="68" t="e">
        <f>VLOOKUP(AO99,Rise_Results,2,FALSE)</f>
        <v>#N/A</v>
      </c>
      <c r="AQ99" s="76" t="e">
        <f>N99</f>
        <v>#VALUE!</v>
      </c>
      <c r="AR99" s="76" t="e">
        <f>IF(OR(AB99&lt;=0,AB100&lt;=0),1/0,AB99)</f>
        <v>#VALUE!</v>
      </c>
      <c r="AS99" s="76" t="e">
        <f>AM99</f>
        <v>#VALUE!</v>
      </c>
      <c r="AT99" t="e">
        <f>IFERROR(AP99,IFERROR(AQ99,IFERROR(AR99,AS99)))</f>
        <v>#VALUE!</v>
      </c>
      <c r="AU99" s="81"/>
    </row>
    <row r="100" spans="1:47" x14ac:dyDescent="0.25">
      <c r="A100" s="84">
        <f>A99+1</f>
        <v>15</v>
      </c>
      <c r="B100" s="84" t="str">
        <f t="shared" si="27"/>
        <v xml:space="preserve">  </v>
      </c>
      <c r="F100" s="82" t="e">
        <f>SUM(F97:F99)</f>
        <v>#VALUE!</v>
      </c>
      <c r="H100" s="82" t="e">
        <f>SUM(H97:H99)</f>
        <v>#VALUE!</v>
      </c>
      <c r="I100" s="84" t="str">
        <f>CONCATENATE("m'(",C99,")=")</f>
        <v>m'(  )=</v>
      </c>
      <c r="J100" s="84" t="e">
        <f>2*(J97*(WLS))/3*H100</f>
        <v>#VALUE!</v>
      </c>
      <c r="K100" s="84" t="e">
        <f>CONCATENATE("M(",C97,")=")</f>
        <v>#VALUE!</v>
      </c>
      <c r="L100" s="84" t="e">
        <f>VLOOKUP(C97,STN_TABLE,4,FALSE)</f>
        <v>#VALUE!</v>
      </c>
      <c r="M100" t="str">
        <f>CONCATENATE("M(",C99,")=")</f>
        <v>M(  )=</v>
      </c>
      <c r="N100" t="e">
        <f>J100+L100</f>
        <v>#VALUE!</v>
      </c>
      <c r="O100" s="99">
        <f>O99+1</f>
        <v>17</v>
      </c>
      <c r="P100" s="99" t="str">
        <f t="shared" ref="P100:P131" si="44">VLOOKUP(O100,STN_TABLE_2,2,FALSE)</f>
        <v xml:space="preserve">  </v>
      </c>
      <c r="T100" s="89" t="e">
        <f>SUM(T97:T99)</f>
        <v>#VALUE!</v>
      </c>
      <c r="V100" s="82" t="e">
        <f>SUM(V97:V99)</f>
        <v>#VALUE!</v>
      </c>
      <c r="W100" s="84" t="str">
        <f>CONCATENATE("m'(",Q98,")=")</f>
        <v>m'(  )=</v>
      </c>
      <c r="X100" s="84" t="e">
        <f>(2*(X97^2)/24*V100)+(X99*Q97*WLS)</f>
        <v>#VALUE!</v>
      </c>
      <c r="Y100" s="84" t="e">
        <f>CONCATENATE("M(",Q97,")=")</f>
        <v>#VALUE!</v>
      </c>
      <c r="Z100" s="84" t="e">
        <f>VLOOKUP(Q97,STN_TABLE,4,FALSE)</f>
        <v>#VALUE!</v>
      </c>
      <c r="AA100" t="str">
        <f>CONCATENATE("M(",Q98,")=")</f>
        <v>M(  )=</v>
      </c>
      <c r="AB100" t="e">
        <f>X100+Z100</f>
        <v>#VALUE!</v>
      </c>
      <c r="AE100" s="89">
        <f>SUM(AE98:AE99)</f>
        <v>0</v>
      </c>
      <c r="AG100" s="89" t="e">
        <f>SUM(AG98:AG99)</f>
        <v>#VALUE!</v>
      </c>
      <c r="AH100" s="84" t="str">
        <f>CONCATENATE("m'(",AD99,")=")</f>
        <v>m'(  )=</v>
      </c>
      <c r="AI100" s="84" t="e">
        <f>(2*(AI97^2)/6*AG100)+(AI99*AD98*WLS)</f>
        <v>#VALUE!</v>
      </c>
      <c r="AJ100" s="84" t="str">
        <f>CONCATENATE("M(",AD98,")=")</f>
        <v>M(  )=</v>
      </c>
      <c r="AK100" s="84" t="str">
        <f>VLOOKUP(AD98,STN_TABLE,4,FALSE)</f>
        <v xml:space="preserve"> </v>
      </c>
      <c r="AL100" t="str">
        <f>CONCATENATE("M(",AD99,")=")</f>
        <v>M(  )=</v>
      </c>
      <c r="AM100" t="e">
        <f>AI100+AK100</f>
        <v>#VALUE!</v>
      </c>
      <c r="AO100" s="82" t="str">
        <f>AA100</f>
        <v>M(  )=</v>
      </c>
      <c r="AP100" s="82" t="e">
        <f>VLOOKUP(AO100,Rise_Results,2,FALSE)</f>
        <v>#N/A</v>
      </c>
      <c r="AQ100" s="82" t="e">
        <f>N100</f>
        <v>#VALUE!</v>
      </c>
      <c r="AR100" s="82" t="e">
        <f>IF(OR(AB99&lt;=0,AB100&lt;=0),1/0,AB100)</f>
        <v>#VALUE!</v>
      </c>
      <c r="AS100" s="82" t="e">
        <f>AM100</f>
        <v>#VALUE!</v>
      </c>
      <c r="AT100" t="e">
        <f>IFERROR(AP100,IFERROR(AQ100,IFERROR(AR100,AS100)))</f>
        <v>#VALUE!</v>
      </c>
      <c r="AU100" s="81"/>
    </row>
    <row r="101" spans="1:47" x14ac:dyDescent="0.25">
      <c r="A101" s="101">
        <f>A96+1</f>
        <v>12</v>
      </c>
      <c r="B101" s="101">
        <f t="shared" si="27"/>
        <v>6.5</v>
      </c>
      <c r="O101" s="101">
        <f>O96+1</f>
        <v>14</v>
      </c>
      <c r="P101" s="101" t="str">
        <f t="shared" si="44"/>
        <v xml:space="preserve">  </v>
      </c>
      <c r="AU101" s="81"/>
    </row>
    <row r="102" spans="1:47" x14ac:dyDescent="0.25">
      <c r="A102" s="84">
        <f>A101+1</f>
        <v>13</v>
      </c>
      <c r="B102" s="84" t="str">
        <f t="shared" si="27"/>
        <v xml:space="preserve">  </v>
      </c>
      <c r="C102" s="79" t="e">
        <f t="shared" ref="C102" si="45">IF(C103=B104,IF(C104-C103=C103-B103,B103,IF(C104-C103=C103-B102,B102,"#NA")),IF(C103=B103,IF(C104-C103=C103-B102,B102,IF(C104-C103=C103-B101,B101,"#NA")),"#NA"))</f>
        <v>#VALUE!</v>
      </c>
      <c r="D102" s="68" t="e">
        <f>VLOOKUP(C102,STN_TABLE,2,FALSE)</f>
        <v>#VALUE!</v>
      </c>
      <c r="E102" s="102">
        <v>1</v>
      </c>
      <c r="F102" s="68" t="e">
        <f>D102*E102</f>
        <v>#VALUE!</v>
      </c>
      <c r="G102" s="69" t="e">
        <f>C102</f>
        <v>#VALUE!</v>
      </c>
      <c r="H102" s="69" t="e">
        <f>F102*G102</f>
        <v>#VALUE!</v>
      </c>
      <c r="I102" s="6" t="s">
        <v>93</v>
      </c>
      <c r="J102" s="70" t="e">
        <f>IF(OR(D102=0,D103=0,D104=0),"#NA",IF(AND(C104-C103=C103-C102,C103&lt;&gt;C104,C102&lt;&gt;C103,C102&lt;&gt;C104,D104&lt;&gt;0,OR(D102&lt;&gt;0,D103&lt;&gt;0)),WLS*(C104-C103),"#NA"))</f>
        <v>#VALUE!</v>
      </c>
      <c r="O102" s="99">
        <f>O101+1</f>
        <v>15</v>
      </c>
      <c r="P102" s="99" t="str">
        <f t="shared" si="44"/>
        <v xml:space="preserve">  </v>
      </c>
      <c r="Q102" s="68" t="e">
        <f>IF(OR(P104-P103=P103-P102,P105-P103=P103-P102),P102,IF(OR(P104-P103=P103-P101,P105-P103=P103-P101),P101,"-"))</f>
        <v>#VALUE!</v>
      </c>
      <c r="R102" s="69" t="e">
        <f>VLOOKUP(Q102,STN_TABLE,2,FALSE)</f>
        <v>#VALUE!</v>
      </c>
      <c r="S102" s="69">
        <v>5</v>
      </c>
      <c r="T102" s="68" t="e">
        <f>R102*S102</f>
        <v>#VALUE!</v>
      </c>
      <c r="U102" s="79">
        <v>3</v>
      </c>
      <c r="V102" s="68" t="e">
        <f>R102*U102</f>
        <v>#VALUE!</v>
      </c>
      <c r="W102" s="6" t="s">
        <v>93</v>
      </c>
      <c r="X102" s="70" t="e">
        <f>IF(AND(Q104-Q103=Q103-Q102,NOT(AND(Q102=0,Q103=0)),NOT(AND(Q103=0,Q104=0))),WLS*(Q104-Q103),"#NA")</f>
        <v>#VALUE!</v>
      </c>
      <c r="AD102" s="93"/>
      <c r="AH102" s="6" t="s">
        <v>93</v>
      </c>
      <c r="AI102" s="70" t="e">
        <f>WLS*(AD104-AD103)</f>
        <v>#VALUE!</v>
      </c>
      <c r="AU102" s="81"/>
    </row>
    <row r="103" spans="1:47" x14ac:dyDescent="0.25">
      <c r="A103" s="84">
        <f>A102+1</f>
        <v>14</v>
      </c>
      <c r="B103" s="84" t="str">
        <f t="shared" si="27"/>
        <v xml:space="preserve">  </v>
      </c>
      <c r="C103" s="80" t="e">
        <f t="shared" ref="C103" si="46">IF(OR(B105-B104=B104-B103,B105-B104=B104-B102,B105-B104=B104-B101),B104,IF(OR(B105-B103=B103-B102,B105-B103=B103-B101),B103,IF(B105-B102=B102-B101,B102,"#NA")))</f>
        <v>#VALUE!</v>
      </c>
      <c r="D103" s="76" t="e">
        <f>VLOOKUP(C103,STN_TABLE,2,FALSE)</f>
        <v>#VALUE!</v>
      </c>
      <c r="E103" s="81">
        <v>4</v>
      </c>
      <c r="F103" s="76" t="e">
        <f>D103*E103</f>
        <v>#VALUE!</v>
      </c>
      <c r="G103" s="77" t="e">
        <f>C103</f>
        <v>#VALUE!</v>
      </c>
      <c r="H103" s="77" t="e">
        <f>F103*G103</f>
        <v>#VALUE!</v>
      </c>
      <c r="I103" s="495" t="s">
        <v>97</v>
      </c>
      <c r="J103" s="496"/>
      <c r="K103" s="78" t="s">
        <v>98</v>
      </c>
      <c r="L103" s="78"/>
      <c r="M103" s="7" t="s">
        <v>99</v>
      </c>
      <c r="N103" s="7"/>
      <c r="O103" s="99">
        <f>O102+1</f>
        <v>16</v>
      </c>
      <c r="P103" s="99" t="str">
        <f t="shared" si="44"/>
        <v xml:space="preserve">  </v>
      </c>
      <c r="Q103" s="76" t="str">
        <f>P103</f>
        <v xml:space="preserve">  </v>
      </c>
      <c r="R103" s="77" t="str">
        <f>VLOOKUP(Q103,STN_TABLE,2,FALSE)</f>
        <v xml:space="preserve">  </v>
      </c>
      <c r="S103" s="77">
        <v>8</v>
      </c>
      <c r="T103" s="76" t="e">
        <f>R103*S103</f>
        <v>#VALUE!</v>
      </c>
      <c r="U103" s="80">
        <v>10</v>
      </c>
      <c r="V103" s="76" t="e">
        <f>R103*U103</f>
        <v>#VALUE!</v>
      </c>
      <c r="W103" s="496" t="s">
        <v>97</v>
      </c>
      <c r="X103" s="496"/>
      <c r="Y103" s="496" t="s">
        <v>98</v>
      </c>
      <c r="Z103" s="496"/>
      <c r="AA103" s="494" t="s">
        <v>99</v>
      </c>
      <c r="AB103" s="494"/>
      <c r="AC103" s="99">
        <f>AC98+1</f>
        <v>15</v>
      </c>
      <c r="AD103" s="95" t="str">
        <f>VLOOKUP(AC103,STN_TABLE_2,2,FALSE)</f>
        <v xml:space="preserve">  </v>
      </c>
      <c r="AE103" s="68" t="str">
        <f>VLOOKUP(AD103,STN_TABLE,2,FALSE)</f>
        <v xml:space="preserve">  </v>
      </c>
      <c r="AF103" s="68">
        <v>1</v>
      </c>
      <c r="AG103" s="69" t="e">
        <f>AE103*AF103</f>
        <v>#VALUE!</v>
      </c>
      <c r="AH103" s="496" t="s">
        <v>97</v>
      </c>
      <c r="AI103" s="496"/>
      <c r="AJ103" s="496" t="s">
        <v>98</v>
      </c>
      <c r="AK103" s="496"/>
      <c r="AL103" s="494" t="s">
        <v>99</v>
      </c>
      <c r="AM103" s="494"/>
      <c r="AP103" s="86" t="s">
        <v>112</v>
      </c>
      <c r="AQ103" s="89" t="s">
        <v>113</v>
      </c>
      <c r="AR103" s="89" t="s">
        <v>114</v>
      </c>
      <c r="AS103" s="89" t="s">
        <v>115</v>
      </c>
      <c r="AU103" s="81"/>
    </row>
    <row r="104" spans="1:47" x14ac:dyDescent="0.25">
      <c r="A104" s="84">
        <f>A103+1</f>
        <v>15</v>
      </c>
      <c r="B104" s="84" t="str">
        <f t="shared" si="27"/>
        <v xml:space="preserve">  </v>
      </c>
      <c r="C104" s="88" t="str">
        <f t="shared" ref="C104" si="47">B105</f>
        <v xml:space="preserve">  </v>
      </c>
      <c r="D104" s="82" t="str">
        <f>VLOOKUP(C104,STN_TABLE,2,FALSE)</f>
        <v xml:space="preserve">  </v>
      </c>
      <c r="E104" s="92">
        <v>1</v>
      </c>
      <c r="F104" s="82" t="e">
        <f>D104*E104</f>
        <v>#VALUE!</v>
      </c>
      <c r="G104" s="83" t="str">
        <f>C104</f>
        <v xml:space="preserve">  </v>
      </c>
      <c r="H104" s="83" t="e">
        <f>F104*G104</f>
        <v>#VALUE!</v>
      </c>
      <c r="I104" s="84" t="str">
        <f>CONCATENATE("a'(",C104,")=")</f>
        <v>a'(  )=</v>
      </c>
      <c r="J104" s="84" t="e">
        <f>2*J102/3*F105</f>
        <v>#VALUE!</v>
      </c>
      <c r="K104" s="84" t="e">
        <f>CONCATENATE("A(",C102,")=")</f>
        <v>#VALUE!</v>
      </c>
      <c r="L104" s="84" t="e">
        <f>VLOOKUP(C102,STN_TABLE,3,FALSE)</f>
        <v>#VALUE!</v>
      </c>
      <c r="M104" t="str">
        <f>CONCATENATE("A(",C104,")=")</f>
        <v>A(  )=</v>
      </c>
      <c r="N104" t="e">
        <f>J104+L104</f>
        <v>#VALUE!</v>
      </c>
      <c r="O104" s="99">
        <f>O103+1</f>
        <v>17</v>
      </c>
      <c r="P104" s="99" t="str">
        <f t="shared" si="44"/>
        <v xml:space="preserve">  </v>
      </c>
      <c r="Q104" s="82" t="e">
        <f>IF(P104-P103=P103-P102,P104,IF(P105-P103=P103-P102,P105,IF(P104-P103=P103-P101,P104,IF(P105-P103=P103-P101,P105,"-"))))</f>
        <v>#VALUE!</v>
      </c>
      <c r="R104" s="83" t="e">
        <f>VLOOKUP(Q104,STN_TABLE,2,FALSE)</f>
        <v>#VALUE!</v>
      </c>
      <c r="S104" s="83">
        <v>-1</v>
      </c>
      <c r="T104" s="82" t="e">
        <f>R104*S104</f>
        <v>#VALUE!</v>
      </c>
      <c r="U104" s="88">
        <v>-1</v>
      </c>
      <c r="V104" s="82" t="e">
        <f>R104*U104</f>
        <v>#VALUE!</v>
      </c>
      <c r="W104" s="84" t="str">
        <f>CONCATENATE("a'(",Q103,")=")</f>
        <v>a'(  )=</v>
      </c>
      <c r="X104" s="84" t="e">
        <f>2*X102/12*T105</f>
        <v>#VALUE!</v>
      </c>
      <c r="Y104" s="84" t="e">
        <f>CONCATENATE("A(",Q102,")=")</f>
        <v>#VALUE!</v>
      </c>
      <c r="Z104" s="84" t="e">
        <f>VLOOKUP(Q102,STN_TABLE,3,FALSE)</f>
        <v>#VALUE!</v>
      </c>
      <c r="AA104" t="str">
        <f>CONCATENATE("A(",Q103,")=")</f>
        <v>A(  )=</v>
      </c>
      <c r="AB104" t="e">
        <f>X104+Z104</f>
        <v>#VALUE!</v>
      </c>
      <c r="AC104" s="99">
        <f>AC103+1</f>
        <v>16</v>
      </c>
      <c r="AD104" s="100" t="str">
        <f>VLOOKUP(AC104,STN_TABLE_2,2,FALSE)</f>
        <v xml:space="preserve">  </v>
      </c>
      <c r="AE104" s="82" t="str">
        <f>VLOOKUP(AD104,STN_TABLE,2,FALSE)</f>
        <v xml:space="preserve">  </v>
      </c>
      <c r="AF104" s="82">
        <v>2</v>
      </c>
      <c r="AG104" s="83" t="e">
        <f>AE104*AF104</f>
        <v>#VALUE!</v>
      </c>
      <c r="AH104" s="84" t="str">
        <f>CONCATENATE("a'(",AD104,")=")</f>
        <v>a'(  )=</v>
      </c>
      <c r="AI104" s="84" t="e">
        <f>2*AI102/2*AE105</f>
        <v>#VALUE!</v>
      </c>
      <c r="AJ104" s="84" t="str">
        <f>CONCATENATE("A(",AD103,")=")</f>
        <v>A(  )=</v>
      </c>
      <c r="AK104" s="84" t="str">
        <f>VLOOKUP(AD103,STN_TABLE,3,FALSE)</f>
        <v xml:space="preserve"> </v>
      </c>
      <c r="AL104" t="str">
        <f>CONCATENATE("A(",AD104,")=")</f>
        <v>A(  )=</v>
      </c>
      <c r="AM104" t="e">
        <f>AI104+AK104</f>
        <v>#VALUE!</v>
      </c>
      <c r="AO104" s="68" t="str">
        <f>AA104</f>
        <v>A(  )=</v>
      </c>
      <c r="AP104" s="68" t="e">
        <f>VLOOKUP(AO104,Rise_Results,2,FALSE)</f>
        <v>#N/A</v>
      </c>
      <c r="AQ104" s="76" t="e">
        <f>N104</f>
        <v>#VALUE!</v>
      </c>
      <c r="AR104" s="76" t="e">
        <f>IF(OR(AB104&lt;=0,AB105&lt;=0),1/0,AB104)</f>
        <v>#VALUE!</v>
      </c>
      <c r="AS104" s="76" t="e">
        <f>AM104</f>
        <v>#VALUE!</v>
      </c>
      <c r="AT104" t="e">
        <f>IFERROR(AP104,IFERROR(AQ104,IFERROR(AR104,AS104)))</f>
        <v>#VALUE!</v>
      </c>
      <c r="AU104" s="81"/>
    </row>
    <row r="105" spans="1:47" x14ac:dyDescent="0.25">
      <c r="A105" s="84">
        <f>A104+1</f>
        <v>16</v>
      </c>
      <c r="B105" s="84" t="str">
        <f t="shared" si="27"/>
        <v xml:space="preserve">  </v>
      </c>
      <c r="F105" s="82" t="e">
        <f>SUM(F102:F104)</f>
        <v>#VALUE!</v>
      </c>
      <c r="H105" s="82" t="e">
        <f>SUM(H102:H104)</f>
        <v>#VALUE!</v>
      </c>
      <c r="I105" s="84" t="str">
        <f>CONCATENATE("m'(",C104,")=")</f>
        <v>m'(  )=</v>
      </c>
      <c r="J105" s="84" t="e">
        <f>2*(J102*(WLS))/3*H105</f>
        <v>#VALUE!</v>
      </c>
      <c r="K105" s="84" t="e">
        <f>CONCATENATE("M(",C102,")=")</f>
        <v>#VALUE!</v>
      </c>
      <c r="L105" s="84" t="e">
        <f>VLOOKUP(C102,STN_TABLE,4,FALSE)</f>
        <v>#VALUE!</v>
      </c>
      <c r="M105" t="str">
        <f>CONCATENATE("M(",C104,")=")</f>
        <v>M(  )=</v>
      </c>
      <c r="N105" t="e">
        <f>J105+L105</f>
        <v>#VALUE!</v>
      </c>
      <c r="O105" s="99">
        <f>O104+1</f>
        <v>18</v>
      </c>
      <c r="P105" s="99" t="str">
        <f t="shared" si="44"/>
        <v xml:space="preserve">  </v>
      </c>
      <c r="T105" s="89" t="e">
        <f>SUM(T102:T104)</f>
        <v>#VALUE!</v>
      </c>
      <c r="V105" s="82" t="e">
        <f>SUM(V102:V104)</f>
        <v>#VALUE!</v>
      </c>
      <c r="W105" s="84" t="str">
        <f>CONCATENATE("m'(",Q103,")=")</f>
        <v>m'(  )=</v>
      </c>
      <c r="X105" s="84" t="e">
        <f>(2*(X102^2)/24*V105)+(X104*Q102*WLS)</f>
        <v>#VALUE!</v>
      </c>
      <c r="Y105" s="84" t="e">
        <f>CONCATENATE("M(",Q102,")=")</f>
        <v>#VALUE!</v>
      </c>
      <c r="Z105" s="84" t="e">
        <f>VLOOKUP(Q102,STN_TABLE,4,FALSE)</f>
        <v>#VALUE!</v>
      </c>
      <c r="AA105" t="str">
        <f>CONCATENATE("M(",Q103,")=")</f>
        <v>M(  )=</v>
      </c>
      <c r="AB105" t="e">
        <f>X105+Z105</f>
        <v>#VALUE!</v>
      </c>
      <c r="AE105" s="89">
        <f>SUM(AE103:AE104)</f>
        <v>0</v>
      </c>
      <c r="AG105" s="89" t="e">
        <f>SUM(AG103:AG104)</f>
        <v>#VALUE!</v>
      </c>
      <c r="AH105" s="84" t="str">
        <f>CONCATENATE("m'(",AD104,")=")</f>
        <v>m'(  )=</v>
      </c>
      <c r="AI105" s="84" t="e">
        <f>(2*(AI102^2)/6*AG105)+(AI104*AD103*WLS)</f>
        <v>#VALUE!</v>
      </c>
      <c r="AJ105" s="84" t="str">
        <f>CONCATENATE("M(",AD103,")=")</f>
        <v>M(  )=</v>
      </c>
      <c r="AK105" s="84" t="str">
        <f>VLOOKUP(AD103,STN_TABLE,4,FALSE)</f>
        <v xml:space="preserve"> </v>
      </c>
      <c r="AL105" t="str">
        <f>CONCATENATE("M(",AD104,")=")</f>
        <v>M(  )=</v>
      </c>
      <c r="AM105" t="e">
        <f>AI105+AK105</f>
        <v>#VALUE!</v>
      </c>
      <c r="AO105" s="82" t="str">
        <f>AA105</f>
        <v>M(  )=</v>
      </c>
      <c r="AP105" s="82" t="e">
        <f>VLOOKUP(AO105,Rise_Results,2,FALSE)</f>
        <v>#N/A</v>
      </c>
      <c r="AQ105" s="82" t="e">
        <f>N105</f>
        <v>#VALUE!</v>
      </c>
      <c r="AR105" s="82" t="e">
        <f>IF(OR(AB104&lt;=0,AB105&lt;=0),1/0,AB105)</f>
        <v>#VALUE!</v>
      </c>
      <c r="AS105" s="82" t="e">
        <f>AM105</f>
        <v>#VALUE!</v>
      </c>
      <c r="AT105" t="e">
        <f>IFERROR(AP105,IFERROR(AQ105,IFERROR(AR105,AS105)))</f>
        <v>#VALUE!</v>
      </c>
      <c r="AU105" s="81"/>
    </row>
    <row r="106" spans="1:47" x14ac:dyDescent="0.25">
      <c r="A106" s="101">
        <f>A101+1</f>
        <v>13</v>
      </c>
      <c r="B106" s="101" t="str">
        <f t="shared" ref="B106:B137" si="48">VLOOKUP(A106,STN_TABLE_2,2,FALSE)</f>
        <v xml:space="preserve">  </v>
      </c>
      <c r="O106" s="101">
        <f>O101+1</f>
        <v>15</v>
      </c>
      <c r="P106" s="101" t="str">
        <f t="shared" si="44"/>
        <v xml:space="preserve">  </v>
      </c>
      <c r="AU106" s="81"/>
    </row>
    <row r="107" spans="1:47" x14ac:dyDescent="0.25">
      <c r="A107" s="84">
        <f>A106+1</f>
        <v>14</v>
      </c>
      <c r="B107" s="84" t="str">
        <f t="shared" si="48"/>
        <v xml:space="preserve">  </v>
      </c>
      <c r="C107" s="79" t="e">
        <f t="shared" ref="C107" si="49">IF(C108=B109,IF(C109-C108=C108-B108,B108,IF(C109-C108=C108-B107,B107,"#NA")),IF(C108=B108,IF(C109-C108=C108-B107,B107,IF(C109-C108=C108-B106,B106,"#NA")),"#NA"))</f>
        <v>#VALUE!</v>
      </c>
      <c r="D107" s="68" t="e">
        <f>VLOOKUP(C107,STN_TABLE,2,FALSE)</f>
        <v>#VALUE!</v>
      </c>
      <c r="E107" s="102">
        <v>1</v>
      </c>
      <c r="F107" s="68" t="e">
        <f>D107*E107</f>
        <v>#VALUE!</v>
      </c>
      <c r="G107" s="69" t="e">
        <f>C107</f>
        <v>#VALUE!</v>
      </c>
      <c r="H107" s="69" t="e">
        <f>F107*G107</f>
        <v>#VALUE!</v>
      </c>
      <c r="I107" s="6" t="s">
        <v>93</v>
      </c>
      <c r="J107" s="70" t="e">
        <f>IF(OR(D107=0,D108=0,D109=0),"#NA",IF(AND(C109-C108=C108-C107,C108&lt;&gt;C109,C107&lt;&gt;C108,C107&lt;&gt;C109,D109&lt;&gt;0,OR(D107&lt;&gt;0,D108&lt;&gt;0)),WLS*(C109-C108),"#NA"))</f>
        <v>#VALUE!</v>
      </c>
      <c r="O107" s="99">
        <f>O106+1</f>
        <v>16</v>
      </c>
      <c r="P107" s="99" t="str">
        <f t="shared" si="44"/>
        <v xml:space="preserve">  </v>
      </c>
      <c r="Q107" s="68" t="e">
        <f>IF(OR(P109-P108=P108-P107,P110-P108=P108-P107),P107,IF(OR(P109-P108=P108-P106,P110-P108=P108-P106),P106,"-"))</f>
        <v>#VALUE!</v>
      </c>
      <c r="R107" s="69" t="e">
        <f>VLOOKUP(Q107,STN_TABLE,2,FALSE)</f>
        <v>#VALUE!</v>
      </c>
      <c r="S107" s="69">
        <v>5</v>
      </c>
      <c r="T107" s="68" t="e">
        <f>R107*S107</f>
        <v>#VALUE!</v>
      </c>
      <c r="U107" s="79">
        <v>3</v>
      </c>
      <c r="V107" s="68" t="e">
        <f>R107*U107</f>
        <v>#VALUE!</v>
      </c>
      <c r="W107" s="6" t="s">
        <v>93</v>
      </c>
      <c r="X107" s="70" t="e">
        <f>IF(AND(Q109-Q108=Q108-Q107,NOT(AND(Q107=0,Q108=0)),NOT(AND(Q108=0,Q109=0))),WLS*(Q109-Q108),"#NA")</f>
        <v>#VALUE!</v>
      </c>
      <c r="AD107" s="93"/>
      <c r="AH107" s="6" t="s">
        <v>93</v>
      </c>
      <c r="AI107" s="70" t="e">
        <f>WLS*(AD109-AD108)</f>
        <v>#VALUE!</v>
      </c>
      <c r="AU107" s="81"/>
    </row>
    <row r="108" spans="1:47" x14ac:dyDescent="0.25">
      <c r="A108" s="84">
        <f>A107+1</f>
        <v>15</v>
      </c>
      <c r="B108" s="84" t="str">
        <f t="shared" si="48"/>
        <v xml:space="preserve">  </v>
      </c>
      <c r="C108" s="80" t="e">
        <f t="shared" ref="C108" si="50">IF(OR(B110-B109=B109-B108,B110-B109=B109-B107,B110-B109=B109-B106),B109,IF(OR(B110-B108=B108-B107,B110-B108=B108-B106),B108,IF(B110-B107=B107-B106,B107,"#NA")))</f>
        <v>#VALUE!</v>
      </c>
      <c r="D108" s="76" t="e">
        <f>VLOOKUP(C108,STN_TABLE,2,FALSE)</f>
        <v>#VALUE!</v>
      </c>
      <c r="E108" s="81">
        <v>4</v>
      </c>
      <c r="F108" s="76" t="e">
        <f>D108*E108</f>
        <v>#VALUE!</v>
      </c>
      <c r="G108" s="77" t="e">
        <f>C108</f>
        <v>#VALUE!</v>
      </c>
      <c r="H108" s="77" t="e">
        <f>F108*G108</f>
        <v>#VALUE!</v>
      </c>
      <c r="I108" s="495" t="s">
        <v>97</v>
      </c>
      <c r="J108" s="496"/>
      <c r="K108" s="78" t="s">
        <v>98</v>
      </c>
      <c r="L108" s="78"/>
      <c r="M108" s="7" t="s">
        <v>99</v>
      </c>
      <c r="N108" s="7"/>
      <c r="O108" s="99">
        <f>O107+1</f>
        <v>17</v>
      </c>
      <c r="P108" s="99" t="str">
        <f t="shared" si="44"/>
        <v xml:space="preserve">  </v>
      </c>
      <c r="Q108" s="76" t="str">
        <f>P108</f>
        <v xml:space="preserve">  </v>
      </c>
      <c r="R108" s="77" t="str">
        <f>VLOOKUP(Q108,STN_TABLE,2,FALSE)</f>
        <v xml:space="preserve">  </v>
      </c>
      <c r="S108" s="77">
        <v>8</v>
      </c>
      <c r="T108" s="76" t="e">
        <f>R108*S108</f>
        <v>#VALUE!</v>
      </c>
      <c r="U108" s="80">
        <v>10</v>
      </c>
      <c r="V108" s="76" t="e">
        <f>R108*U108</f>
        <v>#VALUE!</v>
      </c>
      <c r="W108" s="496" t="s">
        <v>97</v>
      </c>
      <c r="X108" s="496"/>
      <c r="Y108" s="496" t="s">
        <v>98</v>
      </c>
      <c r="Z108" s="496"/>
      <c r="AA108" s="494" t="s">
        <v>99</v>
      </c>
      <c r="AB108" s="494"/>
      <c r="AC108" s="99">
        <f>AC103+1</f>
        <v>16</v>
      </c>
      <c r="AD108" s="95" t="str">
        <f>VLOOKUP(AC108,STN_TABLE_2,2,FALSE)</f>
        <v xml:space="preserve">  </v>
      </c>
      <c r="AE108" s="68" t="str">
        <f>VLOOKUP(AD108,STN_TABLE,2,FALSE)</f>
        <v xml:space="preserve">  </v>
      </c>
      <c r="AF108" s="68">
        <v>1</v>
      </c>
      <c r="AG108" s="69" t="e">
        <f>AE108*AF108</f>
        <v>#VALUE!</v>
      </c>
      <c r="AH108" s="496" t="s">
        <v>97</v>
      </c>
      <c r="AI108" s="496"/>
      <c r="AJ108" s="496" t="s">
        <v>98</v>
      </c>
      <c r="AK108" s="496"/>
      <c r="AL108" s="494" t="s">
        <v>99</v>
      </c>
      <c r="AM108" s="494"/>
      <c r="AP108" s="86" t="s">
        <v>112</v>
      </c>
      <c r="AQ108" s="89" t="s">
        <v>113</v>
      </c>
      <c r="AR108" s="89" t="s">
        <v>114</v>
      </c>
      <c r="AS108" s="89" t="s">
        <v>115</v>
      </c>
      <c r="AU108" s="81"/>
    </row>
    <row r="109" spans="1:47" x14ac:dyDescent="0.25">
      <c r="A109" s="84">
        <f>A108+1</f>
        <v>16</v>
      </c>
      <c r="B109" s="84" t="str">
        <f t="shared" si="48"/>
        <v xml:space="preserve">  </v>
      </c>
      <c r="C109" s="88" t="str">
        <f t="shared" ref="C109" si="51">B110</f>
        <v xml:space="preserve">  </v>
      </c>
      <c r="D109" s="82" t="str">
        <f>VLOOKUP(C109,STN_TABLE,2,FALSE)</f>
        <v xml:space="preserve">  </v>
      </c>
      <c r="E109" s="92">
        <v>1</v>
      </c>
      <c r="F109" s="82" t="e">
        <f>D109*E109</f>
        <v>#VALUE!</v>
      </c>
      <c r="G109" s="83" t="str">
        <f>C109</f>
        <v xml:space="preserve">  </v>
      </c>
      <c r="H109" s="83" t="e">
        <f>F109*G109</f>
        <v>#VALUE!</v>
      </c>
      <c r="I109" s="84" t="str">
        <f>CONCATENATE("a'(",C109,")=")</f>
        <v>a'(  )=</v>
      </c>
      <c r="J109" s="84" t="e">
        <f>2*J107/3*F110</f>
        <v>#VALUE!</v>
      </c>
      <c r="K109" s="84" t="e">
        <f>CONCATENATE("A(",C107,")=")</f>
        <v>#VALUE!</v>
      </c>
      <c r="L109" s="84" t="e">
        <f>VLOOKUP(C107,STN_TABLE,3,FALSE)</f>
        <v>#VALUE!</v>
      </c>
      <c r="M109" t="str">
        <f>CONCATENATE("A(",C109,")=")</f>
        <v>A(  )=</v>
      </c>
      <c r="N109" t="e">
        <f>J109+L109</f>
        <v>#VALUE!</v>
      </c>
      <c r="O109" s="99">
        <f>O108+1</f>
        <v>18</v>
      </c>
      <c r="P109" s="99" t="str">
        <f t="shared" si="44"/>
        <v xml:space="preserve">  </v>
      </c>
      <c r="Q109" s="82" t="e">
        <f>IF(P109-P108=P108-P107,P109,IF(P110-P108=P108-P107,P110,IF(P109-P108=P108-P106,P109,IF(P110-P108=P108-P106,P110,"-"))))</f>
        <v>#VALUE!</v>
      </c>
      <c r="R109" s="83" t="e">
        <f>VLOOKUP(Q109,STN_TABLE,2,FALSE)</f>
        <v>#VALUE!</v>
      </c>
      <c r="S109" s="83">
        <v>-1</v>
      </c>
      <c r="T109" s="82" t="e">
        <f>R109*S109</f>
        <v>#VALUE!</v>
      </c>
      <c r="U109" s="88">
        <v>-1</v>
      </c>
      <c r="V109" s="82" t="e">
        <f>R109*U109</f>
        <v>#VALUE!</v>
      </c>
      <c r="W109" s="84" t="str">
        <f>CONCATENATE("a'(",Q108,")=")</f>
        <v>a'(  )=</v>
      </c>
      <c r="X109" s="84" t="e">
        <f>2*X107/12*T110</f>
        <v>#VALUE!</v>
      </c>
      <c r="Y109" s="84" t="e">
        <f>CONCATENATE("A(",Q107,")=")</f>
        <v>#VALUE!</v>
      </c>
      <c r="Z109" s="84" t="e">
        <f>VLOOKUP(Q107,STN_TABLE,3,FALSE)</f>
        <v>#VALUE!</v>
      </c>
      <c r="AA109" t="str">
        <f>CONCATENATE("A(",Q108,")=")</f>
        <v>A(  )=</v>
      </c>
      <c r="AB109" t="e">
        <f>X109+Z109</f>
        <v>#VALUE!</v>
      </c>
      <c r="AC109" s="99">
        <f>AC108+1</f>
        <v>17</v>
      </c>
      <c r="AD109" s="100" t="str">
        <f>VLOOKUP(AC109,STN_TABLE_2,2,FALSE)</f>
        <v xml:space="preserve">  </v>
      </c>
      <c r="AE109" s="82" t="str">
        <f>VLOOKUP(AD109,STN_TABLE,2,FALSE)</f>
        <v xml:space="preserve">  </v>
      </c>
      <c r="AF109" s="82">
        <v>2</v>
      </c>
      <c r="AG109" s="83" t="e">
        <f>AE109*AF109</f>
        <v>#VALUE!</v>
      </c>
      <c r="AH109" s="84" t="str">
        <f>CONCATENATE("a'(",AD109,")=")</f>
        <v>a'(  )=</v>
      </c>
      <c r="AI109" s="84" t="e">
        <f>2*AI107/2*AE110</f>
        <v>#VALUE!</v>
      </c>
      <c r="AJ109" s="84" t="str">
        <f>CONCATENATE("A(",AD108,")=")</f>
        <v>A(  )=</v>
      </c>
      <c r="AK109" s="84" t="str">
        <f>VLOOKUP(AD108,STN_TABLE,3,FALSE)</f>
        <v xml:space="preserve"> </v>
      </c>
      <c r="AL109" t="str">
        <f>CONCATENATE("A(",AD109,")=")</f>
        <v>A(  )=</v>
      </c>
      <c r="AM109" t="e">
        <f>AI109+AK109</f>
        <v>#VALUE!</v>
      </c>
      <c r="AO109" s="68" t="str">
        <f>AA109</f>
        <v>A(  )=</v>
      </c>
      <c r="AP109" s="68" t="e">
        <f>VLOOKUP(AO109,Rise_Results,2,FALSE)</f>
        <v>#N/A</v>
      </c>
      <c r="AQ109" s="76" t="e">
        <f>N109</f>
        <v>#VALUE!</v>
      </c>
      <c r="AR109" s="76" t="e">
        <f>IF(OR(AB109&lt;=0,AB110&lt;=0),1/0,AB109)</f>
        <v>#VALUE!</v>
      </c>
      <c r="AS109" s="76" t="e">
        <f>AM109</f>
        <v>#VALUE!</v>
      </c>
      <c r="AT109" t="e">
        <f>IFERROR(AP109,IFERROR(AQ109,IFERROR(AR109,AS109)))</f>
        <v>#VALUE!</v>
      </c>
      <c r="AU109" s="81"/>
    </row>
    <row r="110" spans="1:47" x14ac:dyDescent="0.25">
      <c r="A110" s="84">
        <f>A109+1</f>
        <v>17</v>
      </c>
      <c r="B110" s="84" t="str">
        <f t="shared" si="48"/>
        <v xml:space="preserve">  </v>
      </c>
      <c r="F110" s="82" t="e">
        <f>SUM(F107:F109)</f>
        <v>#VALUE!</v>
      </c>
      <c r="H110" s="82" t="e">
        <f>SUM(H107:H109)</f>
        <v>#VALUE!</v>
      </c>
      <c r="I110" s="84" t="str">
        <f>CONCATENATE("m'(",C109,")=")</f>
        <v>m'(  )=</v>
      </c>
      <c r="J110" s="84" t="e">
        <f>2*(J107*(WLS))/3*H110</f>
        <v>#VALUE!</v>
      </c>
      <c r="K110" s="84" t="e">
        <f>CONCATENATE("M(",C107,")=")</f>
        <v>#VALUE!</v>
      </c>
      <c r="L110" s="84" t="e">
        <f>VLOOKUP(C107,STN_TABLE,4,FALSE)</f>
        <v>#VALUE!</v>
      </c>
      <c r="M110" t="str">
        <f>CONCATENATE("M(",C109,")=")</f>
        <v>M(  )=</v>
      </c>
      <c r="N110" t="e">
        <f>J110+L110</f>
        <v>#VALUE!</v>
      </c>
      <c r="O110" s="99">
        <f>O109+1</f>
        <v>19</v>
      </c>
      <c r="P110" s="99" t="str">
        <f t="shared" si="44"/>
        <v xml:space="preserve">  </v>
      </c>
      <c r="T110" s="89" t="e">
        <f>SUM(T107:T109)</f>
        <v>#VALUE!</v>
      </c>
      <c r="V110" s="82" t="e">
        <f>SUM(V107:V109)</f>
        <v>#VALUE!</v>
      </c>
      <c r="W110" s="84" t="str">
        <f>CONCATENATE("m'(",Q108,")=")</f>
        <v>m'(  )=</v>
      </c>
      <c r="X110" s="84" t="e">
        <f>(2*(X107^2)/24*V110)+(X109*Q107*WLS)</f>
        <v>#VALUE!</v>
      </c>
      <c r="Y110" s="84" t="e">
        <f>CONCATENATE("M(",Q107,")=")</f>
        <v>#VALUE!</v>
      </c>
      <c r="Z110" s="84" t="e">
        <f>VLOOKUP(Q107,STN_TABLE,4,FALSE)</f>
        <v>#VALUE!</v>
      </c>
      <c r="AA110" t="str">
        <f>CONCATENATE("M(",Q108,")=")</f>
        <v>M(  )=</v>
      </c>
      <c r="AB110" t="e">
        <f>X110+Z110</f>
        <v>#VALUE!</v>
      </c>
      <c r="AE110" s="89">
        <f>SUM(AE108:AE109)</f>
        <v>0</v>
      </c>
      <c r="AG110" s="89" t="e">
        <f>SUM(AG108:AG109)</f>
        <v>#VALUE!</v>
      </c>
      <c r="AH110" s="84" t="str">
        <f>CONCATENATE("m'(",AD109,")=")</f>
        <v>m'(  )=</v>
      </c>
      <c r="AI110" s="84" t="e">
        <f>(2*(AI107^2)/6*AG110)+(AI109*AD108*WLS)</f>
        <v>#VALUE!</v>
      </c>
      <c r="AJ110" s="84" t="str">
        <f>CONCATENATE("M(",AD108,")=")</f>
        <v>M(  )=</v>
      </c>
      <c r="AK110" s="84" t="str">
        <f>VLOOKUP(AD108,STN_TABLE,4,FALSE)</f>
        <v xml:space="preserve"> </v>
      </c>
      <c r="AL110" t="str">
        <f>CONCATENATE("M(",AD109,")=")</f>
        <v>M(  )=</v>
      </c>
      <c r="AM110" t="e">
        <f>AI110+AK110</f>
        <v>#VALUE!</v>
      </c>
      <c r="AO110" s="82" t="str">
        <f>AA110</f>
        <v>M(  )=</v>
      </c>
      <c r="AP110" s="82" t="e">
        <f>VLOOKUP(AO110,Rise_Results,2,FALSE)</f>
        <v>#N/A</v>
      </c>
      <c r="AQ110" s="82" t="e">
        <f>N110</f>
        <v>#VALUE!</v>
      </c>
      <c r="AR110" s="82" t="e">
        <f>IF(OR(AB109&lt;=0,AB110&lt;=0),1/0,AB110)</f>
        <v>#VALUE!</v>
      </c>
      <c r="AS110" s="82" t="e">
        <f>AM110</f>
        <v>#VALUE!</v>
      </c>
      <c r="AT110" t="e">
        <f>IFERROR(AP110,IFERROR(AQ110,IFERROR(AR110,AS110)))</f>
        <v>#VALUE!</v>
      </c>
      <c r="AU110" s="81"/>
    </row>
    <row r="111" spans="1:47" x14ac:dyDescent="0.25">
      <c r="A111" s="101">
        <f>A106+1</f>
        <v>14</v>
      </c>
      <c r="B111" s="101" t="str">
        <f t="shared" si="48"/>
        <v xml:space="preserve">  </v>
      </c>
      <c r="O111" s="101">
        <f>O106+1</f>
        <v>16</v>
      </c>
      <c r="P111" s="101" t="str">
        <f t="shared" si="44"/>
        <v xml:space="preserve">  </v>
      </c>
      <c r="AU111" s="81"/>
    </row>
    <row r="112" spans="1:47" x14ac:dyDescent="0.25">
      <c r="A112" s="84">
        <f>A111+1</f>
        <v>15</v>
      </c>
      <c r="B112" s="84" t="str">
        <f t="shared" si="48"/>
        <v xml:space="preserve">  </v>
      </c>
      <c r="C112" s="79" t="e">
        <f t="shared" ref="C112" si="52">IF(C113=B114,IF(C114-C113=C113-B113,B113,IF(C114-C113=C113-B112,B112,"#NA")),IF(C113=B113,IF(C114-C113=C113-B112,B112,IF(C114-C113=C113-B111,B111,"#NA")),"#NA"))</f>
        <v>#VALUE!</v>
      </c>
      <c r="D112" s="68" t="e">
        <f>VLOOKUP(C112,STN_TABLE,2,FALSE)</f>
        <v>#VALUE!</v>
      </c>
      <c r="E112" s="102">
        <v>1</v>
      </c>
      <c r="F112" s="68" t="e">
        <f>D112*E112</f>
        <v>#VALUE!</v>
      </c>
      <c r="G112" s="69" t="e">
        <f>C112</f>
        <v>#VALUE!</v>
      </c>
      <c r="H112" s="69" t="e">
        <f>F112*G112</f>
        <v>#VALUE!</v>
      </c>
      <c r="I112" s="6" t="s">
        <v>93</v>
      </c>
      <c r="J112" s="70" t="e">
        <f>IF(OR(D112=0,D113=0,D114=0),"#NA",IF(AND(C114-C113=C113-C112,C113&lt;&gt;C114,C112&lt;&gt;C113,C112&lt;&gt;C114,D114&lt;&gt;0,OR(D112&lt;&gt;0,D113&lt;&gt;0)),WLS*(C114-C113),"#NA"))</f>
        <v>#VALUE!</v>
      </c>
      <c r="O112" s="99">
        <f>O111+1</f>
        <v>17</v>
      </c>
      <c r="P112" s="99" t="str">
        <f t="shared" si="44"/>
        <v xml:space="preserve">  </v>
      </c>
      <c r="Q112" s="68" t="e">
        <f>IF(OR(P114-P113=P113-P112,P115-P113=P113-P112),P112,IF(OR(P114-P113=P113-P111,P115-P113=P113-P111),P111,"-"))</f>
        <v>#VALUE!</v>
      </c>
      <c r="R112" s="69" t="e">
        <f>VLOOKUP(Q112,STN_TABLE,2,FALSE)</f>
        <v>#VALUE!</v>
      </c>
      <c r="S112" s="69">
        <v>5</v>
      </c>
      <c r="T112" s="68" t="e">
        <f>R112*S112</f>
        <v>#VALUE!</v>
      </c>
      <c r="U112" s="79">
        <v>3</v>
      </c>
      <c r="V112" s="68" t="e">
        <f>R112*U112</f>
        <v>#VALUE!</v>
      </c>
      <c r="W112" s="6" t="s">
        <v>93</v>
      </c>
      <c r="X112" s="70" t="e">
        <f>IF(AND(Q114-Q113=Q113-Q112,NOT(AND(Q112=0,Q113=0)),NOT(AND(Q113=0,Q114=0))),WLS*(Q114-Q113),"#NA")</f>
        <v>#VALUE!</v>
      </c>
      <c r="AD112" s="93"/>
      <c r="AH112" s="6" t="s">
        <v>93</v>
      </c>
      <c r="AI112" s="70" t="e">
        <f>WLS*(AD114-AD113)</f>
        <v>#VALUE!</v>
      </c>
      <c r="AU112" s="81"/>
    </row>
    <row r="113" spans="1:47" x14ac:dyDescent="0.25">
      <c r="A113" s="84">
        <f>A112+1</f>
        <v>16</v>
      </c>
      <c r="B113" s="84" t="str">
        <f t="shared" si="48"/>
        <v xml:space="preserve">  </v>
      </c>
      <c r="C113" s="80" t="e">
        <f t="shared" ref="C113" si="53">IF(OR(B115-B114=B114-B113,B115-B114=B114-B112,B115-B114=B114-B111),B114,IF(OR(B115-B113=B113-B112,B115-B113=B113-B111),B113,IF(B115-B112=B112-B111,B112,"#NA")))</f>
        <v>#VALUE!</v>
      </c>
      <c r="D113" s="76" t="e">
        <f>VLOOKUP(C113,STN_TABLE,2,FALSE)</f>
        <v>#VALUE!</v>
      </c>
      <c r="E113" s="81">
        <v>4</v>
      </c>
      <c r="F113" s="76" t="e">
        <f>D113*E113</f>
        <v>#VALUE!</v>
      </c>
      <c r="G113" s="77" t="e">
        <f>C113</f>
        <v>#VALUE!</v>
      </c>
      <c r="H113" s="77" t="e">
        <f>F113*G113</f>
        <v>#VALUE!</v>
      </c>
      <c r="I113" s="495" t="s">
        <v>97</v>
      </c>
      <c r="J113" s="496"/>
      <c r="K113" s="78" t="s">
        <v>98</v>
      </c>
      <c r="L113" s="78"/>
      <c r="M113" s="7" t="s">
        <v>99</v>
      </c>
      <c r="N113" s="7"/>
      <c r="O113" s="99">
        <f>O112+1</f>
        <v>18</v>
      </c>
      <c r="P113" s="99" t="str">
        <f t="shared" si="44"/>
        <v xml:space="preserve">  </v>
      </c>
      <c r="Q113" s="76" t="str">
        <f>P113</f>
        <v xml:space="preserve">  </v>
      </c>
      <c r="R113" s="77" t="str">
        <f>VLOOKUP(Q113,STN_TABLE,2,FALSE)</f>
        <v xml:space="preserve">  </v>
      </c>
      <c r="S113" s="77">
        <v>8</v>
      </c>
      <c r="T113" s="76" t="e">
        <f>R113*S113</f>
        <v>#VALUE!</v>
      </c>
      <c r="U113" s="80">
        <v>10</v>
      </c>
      <c r="V113" s="76" t="e">
        <f>R113*U113</f>
        <v>#VALUE!</v>
      </c>
      <c r="W113" s="496" t="s">
        <v>97</v>
      </c>
      <c r="X113" s="496"/>
      <c r="Y113" s="496" t="s">
        <v>98</v>
      </c>
      <c r="Z113" s="496"/>
      <c r="AA113" s="494" t="s">
        <v>99</v>
      </c>
      <c r="AB113" s="494"/>
      <c r="AC113" s="99">
        <f>AC108+1</f>
        <v>17</v>
      </c>
      <c r="AD113" s="95" t="str">
        <f>VLOOKUP(AC113,STN_TABLE_2,2,FALSE)</f>
        <v xml:space="preserve">  </v>
      </c>
      <c r="AE113" s="68" t="str">
        <f>VLOOKUP(AD113,STN_TABLE,2,FALSE)</f>
        <v xml:space="preserve">  </v>
      </c>
      <c r="AF113" s="68">
        <v>1</v>
      </c>
      <c r="AG113" s="69" t="e">
        <f>AE113*AF113</f>
        <v>#VALUE!</v>
      </c>
      <c r="AH113" s="496" t="s">
        <v>97</v>
      </c>
      <c r="AI113" s="496"/>
      <c r="AJ113" s="496" t="s">
        <v>98</v>
      </c>
      <c r="AK113" s="496"/>
      <c r="AL113" s="494" t="s">
        <v>99</v>
      </c>
      <c r="AM113" s="494"/>
      <c r="AP113" s="86" t="s">
        <v>112</v>
      </c>
      <c r="AQ113" s="89" t="s">
        <v>113</v>
      </c>
      <c r="AR113" s="89" t="s">
        <v>114</v>
      </c>
      <c r="AS113" s="89" t="s">
        <v>115</v>
      </c>
      <c r="AU113" s="81"/>
    </row>
    <row r="114" spans="1:47" x14ac:dyDescent="0.25">
      <c r="A114" s="84">
        <f>A113+1</f>
        <v>17</v>
      </c>
      <c r="B114" s="84" t="str">
        <f t="shared" si="48"/>
        <v xml:space="preserve">  </v>
      </c>
      <c r="C114" s="88" t="str">
        <f t="shared" ref="C114" si="54">B115</f>
        <v xml:space="preserve">  </v>
      </c>
      <c r="D114" s="82" t="str">
        <f>VLOOKUP(C114,STN_TABLE,2,FALSE)</f>
        <v xml:space="preserve">  </v>
      </c>
      <c r="E114" s="92">
        <v>1</v>
      </c>
      <c r="F114" s="82" t="e">
        <f>D114*E114</f>
        <v>#VALUE!</v>
      </c>
      <c r="G114" s="83" t="str">
        <f>C114</f>
        <v xml:space="preserve">  </v>
      </c>
      <c r="H114" s="83" t="e">
        <f>F114*G114</f>
        <v>#VALUE!</v>
      </c>
      <c r="I114" s="84" t="str">
        <f>CONCATENATE("a'(",C114,")=")</f>
        <v>a'(  )=</v>
      </c>
      <c r="J114" s="84" t="e">
        <f>2*J112/3*F115</f>
        <v>#VALUE!</v>
      </c>
      <c r="K114" s="84" t="e">
        <f>CONCATENATE("A(",C112,")=")</f>
        <v>#VALUE!</v>
      </c>
      <c r="L114" s="84" t="e">
        <f>VLOOKUP(C112,STN_TABLE,3,FALSE)</f>
        <v>#VALUE!</v>
      </c>
      <c r="M114" t="str">
        <f>CONCATENATE("A(",C114,")=")</f>
        <v>A(  )=</v>
      </c>
      <c r="N114" t="e">
        <f>J114+L114</f>
        <v>#VALUE!</v>
      </c>
      <c r="O114" s="99">
        <f>O113+1</f>
        <v>19</v>
      </c>
      <c r="P114" s="99" t="str">
        <f t="shared" si="44"/>
        <v xml:space="preserve">  </v>
      </c>
      <c r="Q114" s="82" t="e">
        <f>IF(P114-P113=P113-P112,P114,IF(P115-P113=P113-P112,P115,IF(P114-P113=P113-P111,P114,IF(P115-P113=P113-P111,P115,"-"))))</f>
        <v>#VALUE!</v>
      </c>
      <c r="R114" s="83" t="e">
        <f>VLOOKUP(Q114,STN_TABLE,2,FALSE)</f>
        <v>#VALUE!</v>
      </c>
      <c r="S114" s="83">
        <v>-1</v>
      </c>
      <c r="T114" s="82" t="e">
        <f>R114*S114</f>
        <v>#VALUE!</v>
      </c>
      <c r="U114" s="88">
        <v>-1</v>
      </c>
      <c r="V114" s="82" t="e">
        <f>R114*U114</f>
        <v>#VALUE!</v>
      </c>
      <c r="W114" s="84" t="str">
        <f>CONCATENATE("a'(",Q113,")=")</f>
        <v>a'(  )=</v>
      </c>
      <c r="X114" s="84" t="e">
        <f>2*X112/12*T115</f>
        <v>#VALUE!</v>
      </c>
      <c r="Y114" s="84" t="e">
        <f>CONCATENATE("A(",Q112,")=")</f>
        <v>#VALUE!</v>
      </c>
      <c r="Z114" s="84" t="e">
        <f>VLOOKUP(Q112,STN_TABLE,3,FALSE)</f>
        <v>#VALUE!</v>
      </c>
      <c r="AA114" t="str">
        <f>CONCATENATE("A(",Q113,")=")</f>
        <v>A(  )=</v>
      </c>
      <c r="AB114" t="e">
        <f>X114+Z114</f>
        <v>#VALUE!</v>
      </c>
      <c r="AC114" s="99">
        <f>AC113+1</f>
        <v>18</v>
      </c>
      <c r="AD114" s="100" t="str">
        <f>VLOOKUP(AC114,STN_TABLE_2,2,FALSE)</f>
        <v xml:space="preserve">  </v>
      </c>
      <c r="AE114" s="82" t="str">
        <f>VLOOKUP(AD114,STN_TABLE,2,FALSE)</f>
        <v xml:space="preserve">  </v>
      </c>
      <c r="AF114" s="82">
        <v>2</v>
      </c>
      <c r="AG114" s="83" t="e">
        <f>AE114*AF114</f>
        <v>#VALUE!</v>
      </c>
      <c r="AH114" s="84" t="str">
        <f>CONCATENATE("a'(",AD114,")=")</f>
        <v>a'(  )=</v>
      </c>
      <c r="AI114" s="84" t="e">
        <f>2*AI112/2*AE115</f>
        <v>#VALUE!</v>
      </c>
      <c r="AJ114" s="84" t="str">
        <f>CONCATENATE("A(",AD113,")=")</f>
        <v>A(  )=</v>
      </c>
      <c r="AK114" s="84" t="str">
        <f>VLOOKUP(AD113,STN_TABLE,3,FALSE)</f>
        <v xml:space="preserve"> </v>
      </c>
      <c r="AL114" t="str">
        <f>CONCATENATE("A(",AD114,")=")</f>
        <v>A(  )=</v>
      </c>
      <c r="AM114" t="e">
        <f>AI114+AK114</f>
        <v>#VALUE!</v>
      </c>
      <c r="AO114" s="68" t="str">
        <f>AA114</f>
        <v>A(  )=</v>
      </c>
      <c r="AP114" s="68" t="e">
        <f>VLOOKUP(AO114,Rise_Results,2,FALSE)</f>
        <v>#N/A</v>
      </c>
      <c r="AQ114" s="76" t="e">
        <f>N114</f>
        <v>#VALUE!</v>
      </c>
      <c r="AR114" s="76" t="e">
        <f>IF(OR(AB114&lt;=0,AB115&lt;=0),1/0,AB114)</f>
        <v>#VALUE!</v>
      </c>
      <c r="AS114" s="76" t="e">
        <f>AM114</f>
        <v>#VALUE!</v>
      </c>
      <c r="AT114" t="e">
        <f>IFERROR(AP114,IFERROR(AQ114,IFERROR(AR114,AS114)))</f>
        <v>#VALUE!</v>
      </c>
      <c r="AU114" s="81"/>
    </row>
    <row r="115" spans="1:47" x14ac:dyDescent="0.25">
      <c r="A115" s="84">
        <f>A114+1</f>
        <v>18</v>
      </c>
      <c r="B115" s="84" t="str">
        <f t="shared" si="48"/>
        <v xml:space="preserve">  </v>
      </c>
      <c r="F115" s="82" t="e">
        <f>SUM(F112:F114)</f>
        <v>#VALUE!</v>
      </c>
      <c r="H115" s="82" t="e">
        <f>SUM(H112:H114)</f>
        <v>#VALUE!</v>
      </c>
      <c r="I115" s="84" t="str">
        <f>CONCATENATE("m'(",C114,")=")</f>
        <v>m'(  )=</v>
      </c>
      <c r="J115" s="84" t="e">
        <f>2*(J112*(WLS))/3*H115</f>
        <v>#VALUE!</v>
      </c>
      <c r="K115" s="84" t="e">
        <f>CONCATENATE("M(",C112,")=")</f>
        <v>#VALUE!</v>
      </c>
      <c r="L115" s="84" t="e">
        <f>VLOOKUP(C112,STN_TABLE,4,FALSE)</f>
        <v>#VALUE!</v>
      </c>
      <c r="M115" t="str">
        <f>CONCATENATE("M(",C114,")=")</f>
        <v>M(  )=</v>
      </c>
      <c r="N115" t="e">
        <f>J115+L115</f>
        <v>#VALUE!</v>
      </c>
      <c r="O115" s="99">
        <f>O114+1</f>
        <v>20</v>
      </c>
      <c r="P115" s="99" t="str">
        <f t="shared" si="44"/>
        <v xml:space="preserve">  </v>
      </c>
      <c r="T115" s="89" t="e">
        <f>SUM(T112:T114)</f>
        <v>#VALUE!</v>
      </c>
      <c r="V115" s="82" t="e">
        <f>SUM(V112:V114)</f>
        <v>#VALUE!</v>
      </c>
      <c r="W115" s="84" t="str">
        <f>CONCATENATE("m'(",Q113,")=")</f>
        <v>m'(  )=</v>
      </c>
      <c r="X115" s="84" t="e">
        <f>(2*(X112^2)/24*V115)+(X114*Q112*WLS)</f>
        <v>#VALUE!</v>
      </c>
      <c r="Y115" s="84" t="e">
        <f>CONCATENATE("M(",Q112,")=")</f>
        <v>#VALUE!</v>
      </c>
      <c r="Z115" s="84" t="e">
        <f>VLOOKUP(Q112,STN_TABLE,4,FALSE)</f>
        <v>#VALUE!</v>
      </c>
      <c r="AA115" t="str">
        <f>CONCATENATE("M(",Q113,")=")</f>
        <v>M(  )=</v>
      </c>
      <c r="AB115" t="e">
        <f>X115+Z115</f>
        <v>#VALUE!</v>
      </c>
      <c r="AE115" s="89">
        <f>SUM(AE113:AE114)</f>
        <v>0</v>
      </c>
      <c r="AG115" s="89" t="e">
        <f>SUM(AG113:AG114)</f>
        <v>#VALUE!</v>
      </c>
      <c r="AH115" s="84" t="str">
        <f>CONCATENATE("m'(",AD114,")=")</f>
        <v>m'(  )=</v>
      </c>
      <c r="AI115" s="84" t="e">
        <f>(2*(AI112^2)/6*AG115)+(AI114*AD113*WLS)</f>
        <v>#VALUE!</v>
      </c>
      <c r="AJ115" s="84" t="str">
        <f>CONCATENATE("M(",AD113,")=")</f>
        <v>M(  )=</v>
      </c>
      <c r="AK115" s="84" t="str">
        <f>VLOOKUP(AD113,STN_TABLE,4,FALSE)</f>
        <v xml:space="preserve"> </v>
      </c>
      <c r="AL115" t="str">
        <f>CONCATENATE("M(",AD114,")=")</f>
        <v>M(  )=</v>
      </c>
      <c r="AM115" t="e">
        <f>AI115+AK115</f>
        <v>#VALUE!</v>
      </c>
      <c r="AO115" s="82" t="str">
        <f>AA115</f>
        <v>M(  )=</v>
      </c>
      <c r="AP115" s="82" t="e">
        <f>VLOOKUP(AO115,Rise_Results,2,FALSE)</f>
        <v>#N/A</v>
      </c>
      <c r="AQ115" s="82" t="e">
        <f>N115</f>
        <v>#VALUE!</v>
      </c>
      <c r="AR115" s="82" t="e">
        <f>IF(OR(AB114&lt;=0,AB115&lt;=0),1/0,AB115)</f>
        <v>#VALUE!</v>
      </c>
      <c r="AS115" s="82" t="e">
        <f>AM115</f>
        <v>#VALUE!</v>
      </c>
      <c r="AT115" t="e">
        <f>IFERROR(AP115,IFERROR(AQ115,IFERROR(AR115,AS115)))</f>
        <v>#VALUE!</v>
      </c>
      <c r="AU115" s="81"/>
    </row>
    <row r="116" spans="1:47" x14ac:dyDescent="0.25">
      <c r="A116" s="101">
        <f>A111+1</f>
        <v>15</v>
      </c>
      <c r="B116" s="101" t="str">
        <f t="shared" si="48"/>
        <v xml:space="preserve">  </v>
      </c>
      <c r="O116" s="101">
        <f>O111+1</f>
        <v>17</v>
      </c>
      <c r="P116" s="101" t="str">
        <f t="shared" si="44"/>
        <v xml:space="preserve">  </v>
      </c>
      <c r="AU116" s="81"/>
    </row>
    <row r="117" spans="1:47" x14ac:dyDescent="0.25">
      <c r="A117" s="84">
        <f>A116+1</f>
        <v>16</v>
      </c>
      <c r="B117" s="84" t="str">
        <f t="shared" si="48"/>
        <v xml:space="preserve">  </v>
      </c>
      <c r="C117" s="79" t="e">
        <f t="shared" ref="C117" si="55">IF(C118=B119,IF(C119-C118=C118-B118,B118,IF(C119-C118=C118-B117,B117,"#NA")),IF(C118=B118,IF(C119-C118=C118-B117,B117,IF(C119-C118=C118-B116,B116,"#NA")),"#NA"))</f>
        <v>#VALUE!</v>
      </c>
      <c r="D117" s="68" t="e">
        <f>VLOOKUP(C117,STN_TABLE,2,FALSE)</f>
        <v>#VALUE!</v>
      </c>
      <c r="E117" s="102">
        <v>1</v>
      </c>
      <c r="F117" s="68" t="e">
        <f>D117*E117</f>
        <v>#VALUE!</v>
      </c>
      <c r="G117" s="69" t="e">
        <f>C117</f>
        <v>#VALUE!</v>
      </c>
      <c r="H117" s="69" t="e">
        <f>F117*G117</f>
        <v>#VALUE!</v>
      </c>
      <c r="I117" s="6" t="s">
        <v>93</v>
      </c>
      <c r="J117" s="70" t="e">
        <f>IF(OR(D117=0,D118=0,D119=0),"#NA",IF(AND(C119-C118=C118-C117,C118&lt;&gt;C119,C117&lt;&gt;C118,C117&lt;&gt;C119,D119&lt;&gt;0,OR(D117&lt;&gt;0,D118&lt;&gt;0)),WLS*(C119-C118),"#NA"))</f>
        <v>#VALUE!</v>
      </c>
      <c r="O117" s="99">
        <f>O116+1</f>
        <v>18</v>
      </c>
      <c r="P117" s="99" t="str">
        <f t="shared" si="44"/>
        <v xml:space="preserve">  </v>
      </c>
      <c r="Q117" s="68" t="e">
        <f>IF(OR(P119-P118=P118-P117,P120-P118=P118-P117),P117,IF(OR(P119-P118=P118-P116,P120-P118=P118-P116),P116,"-"))</f>
        <v>#VALUE!</v>
      </c>
      <c r="R117" s="69" t="e">
        <f>VLOOKUP(Q117,STN_TABLE,2,FALSE)</f>
        <v>#VALUE!</v>
      </c>
      <c r="S117" s="69">
        <v>5</v>
      </c>
      <c r="T117" s="68" t="e">
        <f>R117*S117</f>
        <v>#VALUE!</v>
      </c>
      <c r="U117" s="79">
        <v>3</v>
      </c>
      <c r="V117" s="68" t="e">
        <f>R117*U117</f>
        <v>#VALUE!</v>
      </c>
      <c r="W117" s="6" t="s">
        <v>93</v>
      </c>
      <c r="X117" s="70" t="e">
        <f>IF(AND(Q119-Q118=Q118-Q117,NOT(AND(Q117=0,Q118=0)),NOT(AND(Q118=0,Q119=0))),WLS*(Q119-Q118),"#NA")</f>
        <v>#VALUE!</v>
      </c>
      <c r="AD117" s="93"/>
      <c r="AH117" s="6" t="s">
        <v>93</v>
      </c>
      <c r="AI117" s="70" t="e">
        <f>WLS*(AD119-AD118)</f>
        <v>#VALUE!</v>
      </c>
      <c r="AU117" s="81"/>
    </row>
    <row r="118" spans="1:47" x14ac:dyDescent="0.25">
      <c r="A118" s="84">
        <f>A117+1</f>
        <v>17</v>
      </c>
      <c r="B118" s="84" t="str">
        <f t="shared" si="48"/>
        <v xml:space="preserve">  </v>
      </c>
      <c r="C118" s="80" t="e">
        <f t="shared" ref="C118" si="56">IF(OR(B120-B119=B119-B118,B120-B119=B119-B117,B120-B119=B119-B116),B119,IF(OR(B120-B118=B118-B117,B120-B118=B118-B116),B118,IF(B120-B117=B117-B116,B117,"#NA")))</f>
        <v>#VALUE!</v>
      </c>
      <c r="D118" s="76" t="e">
        <f>VLOOKUP(C118,STN_TABLE,2,FALSE)</f>
        <v>#VALUE!</v>
      </c>
      <c r="E118" s="81">
        <v>4</v>
      </c>
      <c r="F118" s="76" t="e">
        <f>D118*E118</f>
        <v>#VALUE!</v>
      </c>
      <c r="G118" s="77" t="e">
        <f>C118</f>
        <v>#VALUE!</v>
      </c>
      <c r="H118" s="77" t="e">
        <f>F118*G118</f>
        <v>#VALUE!</v>
      </c>
      <c r="I118" s="495" t="s">
        <v>97</v>
      </c>
      <c r="J118" s="496"/>
      <c r="K118" s="78" t="s">
        <v>98</v>
      </c>
      <c r="L118" s="78"/>
      <c r="M118" s="7" t="s">
        <v>99</v>
      </c>
      <c r="N118" s="7"/>
      <c r="O118" s="99">
        <f>O117+1</f>
        <v>19</v>
      </c>
      <c r="P118" s="99" t="str">
        <f t="shared" si="44"/>
        <v xml:space="preserve">  </v>
      </c>
      <c r="Q118" s="76" t="str">
        <f>P118</f>
        <v xml:space="preserve">  </v>
      </c>
      <c r="R118" s="77" t="str">
        <f>VLOOKUP(Q118,STN_TABLE,2,FALSE)</f>
        <v xml:space="preserve">  </v>
      </c>
      <c r="S118" s="77">
        <v>8</v>
      </c>
      <c r="T118" s="76" t="e">
        <f>R118*S118</f>
        <v>#VALUE!</v>
      </c>
      <c r="U118" s="80">
        <v>10</v>
      </c>
      <c r="V118" s="76" t="e">
        <f>R118*U118</f>
        <v>#VALUE!</v>
      </c>
      <c r="W118" s="496" t="s">
        <v>97</v>
      </c>
      <c r="X118" s="496"/>
      <c r="Y118" s="496" t="s">
        <v>98</v>
      </c>
      <c r="Z118" s="496"/>
      <c r="AA118" s="494" t="s">
        <v>99</v>
      </c>
      <c r="AB118" s="494"/>
      <c r="AC118" s="99">
        <f>AC113+1</f>
        <v>18</v>
      </c>
      <c r="AD118" s="95" t="str">
        <f>VLOOKUP(AC118,STN_TABLE_2,2,FALSE)</f>
        <v xml:space="preserve">  </v>
      </c>
      <c r="AE118" s="68" t="str">
        <f>VLOOKUP(AD118,STN_TABLE,2,FALSE)</f>
        <v xml:space="preserve">  </v>
      </c>
      <c r="AF118" s="68">
        <v>1</v>
      </c>
      <c r="AG118" s="69" t="e">
        <f>AE118*AF118</f>
        <v>#VALUE!</v>
      </c>
      <c r="AH118" s="496" t="s">
        <v>97</v>
      </c>
      <c r="AI118" s="496"/>
      <c r="AJ118" s="496" t="s">
        <v>98</v>
      </c>
      <c r="AK118" s="496"/>
      <c r="AL118" s="494" t="s">
        <v>99</v>
      </c>
      <c r="AM118" s="494"/>
      <c r="AP118" s="86" t="s">
        <v>112</v>
      </c>
      <c r="AQ118" s="89" t="s">
        <v>113</v>
      </c>
      <c r="AR118" s="89" t="s">
        <v>114</v>
      </c>
      <c r="AS118" s="89" t="s">
        <v>115</v>
      </c>
      <c r="AU118" s="81"/>
    </row>
    <row r="119" spans="1:47" x14ac:dyDescent="0.25">
      <c r="A119" s="84">
        <f>A118+1</f>
        <v>18</v>
      </c>
      <c r="B119" s="84" t="str">
        <f t="shared" si="48"/>
        <v xml:space="preserve">  </v>
      </c>
      <c r="C119" s="88" t="str">
        <f t="shared" ref="C119" si="57">B120</f>
        <v xml:space="preserve">  </v>
      </c>
      <c r="D119" s="82" t="str">
        <f>VLOOKUP(C119,STN_TABLE,2,FALSE)</f>
        <v xml:space="preserve">  </v>
      </c>
      <c r="E119" s="92">
        <v>1</v>
      </c>
      <c r="F119" s="82" t="e">
        <f>D119*E119</f>
        <v>#VALUE!</v>
      </c>
      <c r="G119" s="83" t="str">
        <f>C119</f>
        <v xml:space="preserve">  </v>
      </c>
      <c r="H119" s="83" t="e">
        <f>F119*G119</f>
        <v>#VALUE!</v>
      </c>
      <c r="I119" s="84" t="str">
        <f>CONCATENATE("a'(",C119,")=")</f>
        <v>a'(  )=</v>
      </c>
      <c r="J119" s="84" t="e">
        <f>2*J117/3*F120</f>
        <v>#VALUE!</v>
      </c>
      <c r="K119" s="84" t="e">
        <f>CONCATENATE("A(",C117,")=")</f>
        <v>#VALUE!</v>
      </c>
      <c r="L119" s="84" t="e">
        <f>VLOOKUP(C117,STN_TABLE,3,FALSE)</f>
        <v>#VALUE!</v>
      </c>
      <c r="M119" t="str">
        <f>CONCATENATE("A(",C119,")=")</f>
        <v>A(  )=</v>
      </c>
      <c r="N119" t="e">
        <f>J119+L119</f>
        <v>#VALUE!</v>
      </c>
      <c r="O119" s="99">
        <f>O118+1</f>
        <v>20</v>
      </c>
      <c r="P119" s="99" t="str">
        <f t="shared" si="44"/>
        <v xml:space="preserve">  </v>
      </c>
      <c r="Q119" s="82" t="e">
        <f>IF(P119-P118=P118-P117,P119,IF(P120-P118=P118-P117,P120,IF(P119-P118=P118-P116,P119,IF(P120-P118=P118-P116,P120,"-"))))</f>
        <v>#VALUE!</v>
      </c>
      <c r="R119" s="83" t="e">
        <f>VLOOKUP(Q119,STN_TABLE,2,FALSE)</f>
        <v>#VALUE!</v>
      </c>
      <c r="S119" s="83">
        <v>-1</v>
      </c>
      <c r="T119" s="82" t="e">
        <f>R119*S119</f>
        <v>#VALUE!</v>
      </c>
      <c r="U119" s="88">
        <v>-1</v>
      </c>
      <c r="V119" s="82" t="e">
        <f>R119*U119</f>
        <v>#VALUE!</v>
      </c>
      <c r="W119" s="84" t="str">
        <f>CONCATENATE("a'(",Q118,")=")</f>
        <v>a'(  )=</v>
      </c>
      <c r="X119" s="84" t="e">
        <f>2*X117/12*T120</f>
        <v>#VALUE!</v>
      </c>
      <c r="Y119" s="84" t="e">
        <f>CONCATENATE("A(",Q117,")=")</f>
        <v>#VALUE!</v>
      </c>
      <c r="Z119" s="84" t="e">
        <f>VLOOKUP(Q117,STN_TABLE,3,FALSE)</f>
        <v>#VALUE!</v>
      </c>
      <c r="AA119" t="str">
        <f>CONCATENATE("A(",Q118,")=")</f>
        <v>A(  )=</v>
      </c>
      <c r="AB119" t="e">
        <f>X119+Z119</f>
        <v>#VALUE!</v>
      </c>
      <c r="AC119" s="99">
        <f>AC118+1</f>
        <v>19</v>
      </c>
      <c r="AD119" s="100" t="str">
        <f>VLOOKUP(AC119,STN_TABLE_2,2,FALSE)</f>
        <v xml:space="preserve">  </v>
      </c>
      <c r="AE119" s="82" t="str">
        <f>VLOOKUP(AD119,STN_TABLE,2,FALSE)</f>
        <v xml:space="preserve">  </v>
      </c>
      <c r="AF119" s="82">
        <v>2</v>
      </c>
      <c r="AG119" s="83" t="e">
        <f>AE119*AF119</f>
        <v>#VALUE!</v>
      </c>
      <c r="AH119" s="84" t="str">
        <f>CONCATENATE("a'(",AD119,")=")</f>
        <v>a'(  )=</v>
      </c>
      <c r="AI119" s="84" t="e">
        <f>2*AI117/2*AE120</f>
        <v>#VALUE!</v>
      </c>
      <c r="AJ119" s="84" t="str">
        <f>CONCATENATE("A(",AD118,")=")</f>
        <v>A(  )=</v>
      </c>
      <c r="AK119" s="84" t="str">
        <f>VLOOKUP(AD118,STN_TABLE,3,FALSE)</f>
        <v xml:space="preserve"> </v>
      </c>
      <c r="AL119" t="str">
        <f>CONCATENATE("A(",AD119,")=")</f>
        <v>A(  )=</v>
      </c>
      <c r="AM119" t="e">
        <f>AI119+AK119</f>
        <v>#VALUE!</v>
      </c>
      <c r="AO119" s="68" t="str">
        <f>AA119</f>
        <v>A(  )=</v>
      </c>
      <c r="AP119" s="68" t="e">
        <f>VLOOKUP(AO119,Rise_Results,2,FALSE)</f>
        <v>#N/A</v>
      </c>
      <c r="AQ119" s="76" t="e">
        <f>N119</f>
        <v>#VALUE!</v>
      </c>
      <c r="AR119" s="76" t="e">
        <f>IF(OR(AB119&lt;=0,AB120&lt;=0),1/0,AB119)</f>
        <v>#VALUE!</v>
      </c>
      <c r="AS119" s="76" t="e">
        <f>AM119</f>
        <v>#VALUE!</v>
      </c>
      <c r="AT119" t="e">
        <f>IFERROR(AP119,IFERROR(AQ119,IFERROR(AR119,AS119)))</f>
        <v>#VALUE!</v>
      </c>
      <c r="AU119" s="81"/>
    </row>
    <row r="120" spans="1:47" x14ac:dyDescent="0.25">
      <c r="A120" s="84">
        <f>A119+1</f>
        <v>19</v>
      </c>
      <c r="B120" s="84" t="str">
        <f t="shared" si="48"/>
        <v xml:space="preserve">  </v>
      </c>
      <c r="F120" s="82" t="e">
        <f>SUM(F117:F119)</f>
        <v>#VALUE!</v>
      </c>
      <c r="H120" s="82" t="e">
        <f>SUM(H117:H119)</f>
        <v>#VALUE!</v>
      </c>
      <c r="I120" s="84" t="str">
        <f>CONCATENATE("m'(",C119,")=")</f>
        <v>m'(  )=</v>
      </c>
      <c r="J120" s="84" t="e">
        <f>2*(J117*(WLS))/3*H120</f>
        <v>#VALUE!</v>
      </c>
      <c r="K120" s="84" t="e">
        <f>CONCATENATE("M(",C117,")=")</f>
        <v>#VALUE!</v>
      </c>
      <c r="L120" s="84" t="e">
        <f>VLOOKUP(C117,STN_TABLE,4,FALSE)</f>
        <v>#VALUE!</v>
      </c>
      <c r="M120" t="str">
        <f>CONCATENATE("M(",C119,")=")</f>
        <v>M(  )=</v>
      </c>
      <c r="N120" t="e">
        <f>J120+L120</f>
        <v>#VALUE!</v>
      </c>
      <c r="O120" s="99">
        <f>O119+1</f>
        <v>21</v>
      </c>
      <c r="P120" s="99" t="str">
        <f t="shared" si="44"/>
        <v xml:space="preserve">  </v>
      </c>
      <c r="T120" s="89" t="e">
        <f>SUM(T117:T119)</f>
        <v>#VALUE!</v>
      </c>
      <c r="V120" s="82" t="e">
        <f>SUM(V117:V119)</f>
        <v>#VALUE!</v>
      </c>
      <c r="W120" s="84" t="str">
        <f>CONCATENATE("m'(",Q118,")=")</f>
        <v>m'(  )=</v>
      </c>
      <c r="X120" s="84" t="e">
        <f>(2*(X117^2)/24*V120)+(X119*Q117*WLS)</f>
        <v>#VALUE!</v>
      </c>
      <c r="Y120" s="84" t="e">
        <f>CONCATENATE("M(",Q117,")=")</f>
        <v>#VALUE!</v>
      </c>
      <c r="Z120" s="84" t="e">
        <f>VLOOKUP(Q117,STN_TABLE,4,FALSE)</f>
        <v>#VALUE!</v>
      </c>
      <c r="AA120" t="str">
        <f>CONCATENATE("M(",Q118,")=")</f>
        <v>M(  )=</v>
      </c>
      <c r="AB120" t="e">
        <f>X120+Z120</f>
        <v>#VALUE!</v>
      </c>
      <c r="AE120" s="89">
        <f>SUM(AE118:AE119)</f>
        <v>0</v>
      </c>
      <c r="AG120" s="89" t="e">
        <f>SUM(AG118:AG119)</f>
        <v>#VALUE!</v>
      </c>
      <c r="AH120" s="84" t="str">
        <f>CONCATENATE("m'(",AD119,")=")</f>
        <v>m'(  )=</v>
      </c>
      <c r="AI120" s="84" t="e">
        <f>(2*(AI117^2)/6*AG120)+(AI119*AD118*WLS)</f>
        <v>#VALUE!</v>
      </c>
      <c r="AJ120" s="84" t="str">
        <f>CONCATENATE("M(",AD118,")=")</f>
        <v>M(  )=</v>
      </c>
      <c r="AK120" s="84" t="str">
        <f>VLOOKUP(AD118,STN_TABLE,4,FALSE)</f>
        <v xml:space="preserve"> </v>
      </c>
      <c r="AL120" t="str">
        <f>CONCATENATE("M(",AD119,")=")</f>
        <v>M(  )=</v>
      </c>
      <c r="AM120" t="e">
        <f>AI120+AK120</f>
        <v>#VALUE!</v>
      </c>
      <c r="AO120" s="82" t="str">
        <f>AA120</f>
        <v>M(  )=</v>
      </c>
      <c r="AP120" s="82" t="e">
        <f>VLOOKUP(AO120,Rise_Results,2,FALSE)</f>
        <v>#N/A</v>
      </c>
      <c r="AQ120" s="82" t="e">
        <f>N120</f>
        <v>#VALUE!</v>
      </c>
      <c r="AR120" s="82" t="e">
        <f>IF(OR(AB119&lt;=0,AB120&lt;=0),1/0,AB120)</f>
        <v>#VALUE!</v>
      </c>
      <c r="AS120" s="82" t="e">
        <f>AM120</f>
        <v>#VALUE!</v>
      </c>
      <c r="AT120" t="e">
        <f>IFERROR(AP120,IFERROR(AQ120,IFERROR(AR120,AS120)))</f>
        <v>#VALUE!</v>
      </c>
      <c r="AU120" s="81"/>
    </row>
    <row r="121" spans="1:47" x14ac:dyDescent="0.25">
      <c r="A121" s="101">
        <f>A116+1</f>
        <v>16</v>
      </c>
      <c r="B121" s="101" t="str">
        <f t="shared" si="48"/>
        <v xml:space="preserve">  </v>
      </c>
      <c r="O121" s="101">
        <f>O116+1</f>
        <v>18</v>
      </c>
      <c r="P121" s="101" t="str">
        <f t="shared" si="44"/>
        <v xml:space="preserve">  </v>
      </c>
      <c r="AU121" s="81"/>
    </row>
    <row r="122" spans="1:47" x14ac:dyDescent="0.25">
      <c r="A122" s="84">
        <f>A121+1</f>
        <v>17</v>
      </c>
      <c r="B122" s="84" t="str">
        <f t="shared" si="48"/>
        <v xml:space="preserve">  </v>
      </c>
      <c r="C122" s="79" t="e">
        <f t="shared" ref="C122" si="58">IF(C123=B124,IF(C124-C123=C123-B123,B123,IF(C124-C123=C123-B122,B122,"#NA")),IF(C123=B123,IF(C124-C123=C123-B122,B122,IF(C124-C123=C123-B121,B121,"#NA")),"#NA"))</f>
        <v>#VALUE!</v>
      </c>
      <c r="D122" s="68" t="e">
        <f>VLOOKUP(C122,STN_TABLE,2,FALSE)</f>
        <v>#VALUE!</v>
      </c>
      <c r="E122" s="102">
        <v>1</v>
      </c>
      <c r="F122" s="68" t="e">
        <f>D122*E122</f>
        <v>#VALUE!</v>
      </c>
      <c r="G122" s="69" t="e">
        <f>C122</f>
        <v>#VALUE!</v>
      </c>
      <c r="H122" s="69" t="e">
        <f>F122*G122</f>
        <v>#VALUE!</v>
      </c>
      <c r="I122" s="6" t="s">
        <v>93</v>
      </c>
      <c r="J122" s="70" t="e">
        <f>IF(OR(D122=0,D123=0,D124=0),"#NA",IF(AND(C124-C123=C123-C122,C123&lt;&gt;C124,C122&lt;&gt;C123,C122&lt;&gt;C124,D124&lt;&gt;0,OR(D122&lt;&gt;0,D123&lt;&gt;0)),WLS*(C124-C123),"#NA"))</f>
        <v>#VALUE!</v>
      </c>
      <c r="O122" s="99">
        <f>O121+1</f>
        <v>19</v>
      </c>
      <c r="P122" s="99" t="str">
        <f t="shared" si="44"/>
        <v xml:space="preserve">  </v>
      </c>
      <c r="Q122" s="68" t="e">
        <f>IF(OR(P124-P123=P123-P122,P125-P123=P123-P122),P122,IF(OR(P124-P123=P123-P121,P125-P123=P123-P121),P121,"-"))</f>
        <v>#VALUE!</v>
      </c>
      <c r="R122" s="69" t="e">
        <f>VLOOKUP(Q122,STN_TABLE,2,FALSE)</f>
        <v>#VALUE!</v>
      </c>
      <c r="S122" s="69">
        <v>5</v>
      </c>
      <c r="T122" s="68" t="e">
        <f>R122*S122</f>
        <v>#VALUE!</v>
      </c>
      <c r="U122" s="79">
        <v>3</v>
      </c>
      <c r="V122" s="68" t="e">
        <f>R122*U122</f>
        <v>#VALUE!</v>
      </c>
      <c r="W122" s="6" t="s">
        <v>93</v>
      </c>
      <c r="X122" s="70" t="e">
        <f>IF(AND(Q124-Q123=Q123-Q122,NOT(AND(Q122=0,Q123=0)),NOT(AND(Q123=0,Q124=0))),WLS*(Q124-Q123),"#NA")</f>
        <v>#VALUE!</v>
      </c>
      <c r="AD122" s="93"/>
      <c r="AH122" s="6" t="s">
        <v>93</v>
      </c>
      <c r="AI122" s="70" t="e">
        <f>WLS*(AD124-AD123)</f>
        <v>#VALUE!</v>
      </c>
      <c r="AU122" s="81"/>
    </row>
    <row r="123" spans="1:47" x14ac:dyDescent="0.25">
      <c r="A123" s="84">
        <f>A122+1</f>
        <v>18</v>
      </c>
      <c r="B123" s="84" t="str">
        <f t="shared" si="48"/>
        <v xml:space="preserve">  </v>
      </c>
      <c r="C123" s="80" t="e">
        <f t="shared" ref="C123" si="59">IF(OR(B125-B124=B124-B123,B125-B124=B124-B122,B125-B124=B124-B121),B124,IF(OR(B125-B123=B123-B122,B125-B123=B123-B121),B123,IF(B125-B122=B122-B121,B122,"#NA")))</f>
        <v>#VALUE!</v>
      </c>
      <c r="D123" s="76" t="e">
        <f>VLOOKUP(C123,STN_TABLE,2,FALSE)</f>
        <v>#VALUE!</v>
      </c>
      <c r="E123" s="81">
        <v>4</v>
      </c>
      <c r="F123" s="76" t="e">
        <f>D123*E123</f>
        <v>#VALUE!</v>
      </c>
      <c r="G123" s="77" t="e">
        <f>C123</f>
        <v>#VALUE!</v>
      </c>
      <c r="H123" s="77" t="e">
        <f>F123*G123</f>
        <v>#VALUE!</v>
      </c>
      <c r="I123" s="495" t="s">
        <v>97</v>
      </c>
      <c r="J123" s="496"/>
      <c r="K123" s="78" t="s">
        <v>98</v>
      </c>
      <c r="L123" s="78"/>
      <c r="M123" s="7" t="s">
        <v>99</v>
      </c>
      <c r="N123" s="7"/>
      <c r="O123" s="99">
        <f>O122+1</f>
        <v>20</v>
      </c>
      <c r="P123" s="99" t="str">
        <f t="shared" si="44"/>
        <v xml:space="preserve">  </v>
      </c>
      <c r="Q123" s="76" t="str">
        <f>P123</f>
        <v xml:space="preserve">  </v>
      </c>
      <c r="R123" s="77" t="str">
        <f>VLOOKUP(Q123,STN_TABLE,2,FALSE)</f>
        <v xml:space="preserve">  </v>
      </c>
      <c r="S123" s="77">
        <v>8</v>
      </c>
      <c r="T123" s="76" t="e">
        <f>R123*S123</f>
        <v>#VALUE!</v>
      </c>
      <c r="U123" s="80">
        <v>10</v>
      </c>
      <c r="V123" s="76" t="e">
        <f>R123*U123</f>
        <v>#VALUE!</v>
      </c>
      <c r="W123" s="496" t="s">
        <v>97</v>
      </c>
      <c r="X123" s="496"/>
      <c r="Y123" s="496" t="s">
        <v>98</v>
      </c>
      <c r="Z123" s="496"/>
      <c r="AA123" s="494" t="s">
        <v>99</v>
      </c>
      <c r="AB123" s="494"/>
      <c r="AC123" s="99">
        <f>AC118+1</f>
        <v>19</v>
      </c>
      <c r="AD123" s="95" t="str">
        <f>VLOOKUP(AC123,STN_TABLE_2,2,FALSE)</f>
        <v xml:space="preserve">  </v>
      </c>
      <c r="AE123" s="68" t="str">
        <f>VLOOKUP(AD123,STN_TABLE,2,FALSE)</f>
        <v xml:space="preserve">  </v>
      </c>
      <c r="AF123" s="68">
        <v>1</v>
      </c>
      <c r="AG123" s="69" t="e">
        <f>AE123*AF123</f>
        <v>#VALUE!</v>
      </c>
      <c r="AH123" s="496" t="s">
        <v>97</v>
      </c>
      <c r="AI123" s="496"/>
      <c r="AJ123" s="496" t="s">
        <v>98</v>
      </c>
      <c r="AK123" s="496"/>
      <c r="AL123" s="494" t="s">
        <v>99</v>
      </c>
      <c r="AM123" s="494"/>
      <c r="AP123" s="86" t="s">
        <v>112</v>
      </c>
      <c r="AQ123" s="89" t="s">
        <v>113</v>
      </c>
      <c r="AR123" s="89" t="s">
        <v>114</v>
      </c>
      <c r="AS123" s="89" t="s">
        <v>115</v>
      </c>
      <c r="AU123" s="81"/>
    </row>
    <row r="124" spans="1:47" x14ac:dyDescent="0.25">
      <c r="A124" s="84">
        <f>A123+1</f>
        <v>19</v>
      </c>
      <c r="B124" s="84" t="str">
        <f t="shared" si="48"/>
        <v xml:space="preserve">  </v>
      </c>
      <c r="C124" s="88" t="str">
        <f t="shared" ref="C124" si="60">B125</f>
        <v xml:space="preserve">  </v>
      </c>
      <c r="D124" s="82" t="str">
        <f>VLOOKUP(C124,STN_TABLE,2,FALSE)</f>
        <v xml:space="preserve">  </v>
      </c>
      <c r="E124" s="92">
        <v>1</v>
      </c>
      <c r="F124" s="82" t="e">
        <f>D124*E124</f>
        <v>#VALUE!</v>
      </c>
      <c r="G124" s="83" t="str">
        <f>C124</f>
        <v xml:space="preserve">  </v>
      </c>
      <c r="H124" s="83" t="e">
        <f>F124*G124</f>
        <v>#VALUE!</v>
      </c>
      <c r="I124" s="84" t="str">
        <f>CONCATENATE("a'(",C124,")=")</f>
        <v>a'(  )=</v>
      </c>
      <c r="J124" s="84" t="e">
        <f>2*J122/3*F125</f>
        <v>#VALUE!</v>
      </c>
      <c r="K124" s="84" t="e">
        <f>CONCATENATE("A(",C122,")=")</f>
        <v>#VALUE!</v>
      </c>
      <c r="L124" s="84" t="e">
        <f>VLOOKUP(C122,STN_TABLE,3,FALSE)</f>
        <v>#VALUE!</v>
      </c>
      <c r="M124" t="str">
        <f>CONCATENATE("A(",C124,")=")</f>
        <v>A(  )=</v>
      </c>
      <c r="N124" t="e">
        <f>J124+L124</f>
        <v>#VALUE!</v>
      </c>
      <c r="O124" s="99">
        <f>O123+1</f>
        <v>21</v>
      </c>
      <c r="P124" s="99" t="str">
        <f t="shared" si="44"/>
        <v xml:space="preserve">  </v>
      </c>
      <c r="Q124" s="82" t="e">
        <f>IF(P124-P123=P123-P122,P124,IF(P125-P123=P123-P122,P125,IF(P124-P123=P123-P121,P124,IF(P125-P123=P123-P121,P125,"-"))))</f>
        <v>#VALUE!</v>
      </c>
      <c r="R124" s="83" t="e">
        <f>VLOOKUP(Q124,STN_TABLE,2,FALSE)</f>
        <v>#VALUE!</v>
      </c>
      <c r="S124" s="83">
        <v>-1</v>
      </c>
      <c r="T124" s="82" t="e">
        <f>R124*S124</f>
        <v>#VALUE!</v>
      </c>
      <c r="U124" s="88">
        <v>-1</v>
      </c>
      <c r="V124" s="82" t="e">
        <f>R124*U124</f>
        <v>#VALUE!</v>
      </c>
      <c r="W124" s="84" t="str">
        <f>CONCATENATE("a'(",Q123,")=")</f>
        <v>a'(  )=</v>
      </c>
      <c r="X124" s="84" t="e">
        <f>2*X122/12*T125</f>
        <v>#VALUE!</v>
      </c>
      <c r="Y124" s="84" t="e">
        <f>CONCATENATE("A(",Q122,")=")</f>
        <v>#VALUE!</v>
      </c>
      <c r="Z124" s="84" t="e">
        <f>VLOOKUP(Q122,STN_TABLE,3,FALSE)</f>
        <v>#VALUE!</v>
      </c>
      <c r="AA124" t="str">
        <f>CONCATENATE("A(",Q123,")=")</f>
        <v>A(  )=</v>
      </c>
      <c r="AB124" t="e">
        <f>X124+Z124</f>
        <v>#VALUE!</v>
      </c>
      <c r="AC124" s="99">
        <f>AC123+1</f>
        <v>20</v>
      </c>
      <c r="AD124" s="100" t="str">
        <f>VLOOKUP(AC124,STN_TABLE_2,2,FALSE)</f>
        <v xml:space="preserve">  </v>
      </c>
      <c r="AE124" s="82" t="str">
        <f>VLOOKUP(AD124,STN_TABLE,2,FALSE)</f>
        <v xml:space="preserve">  </v>
      </c>
      <c r="AF124" s="82">
        <v>2</v>
      </c>
      <c r="AG124" s="83" t="e">
        <f>AE124*AF124</f>
        <v>#VALUE!</v>
      </c>
      <c r="AH124" s="84" t="str">
        <f>CONCATENATE("a'(",AD124,")=")</f>
        <v>a'(  )=</v>
      </c>
      <c r="AI124" s="84" t="e">
        <f>2*AI122/2*AE125</f>
        <v>#VALUE!</v>
      </c>
      <c r="AJ124" s="84" t="str">
        <f>CONCATENATE("A(",AD123,")=")</f>
        <v>A(  )=</v>
      </c>
      <c r="AK124" s="84" t="str">
        <f>VLOOKUP(AD123,STN_TABLE,3,FALSE)</f>
        <v xml:space="preserve"> </v>
      </c>
      <c r="AL124" t="str">
        <f>CONCATENATE("A(",AD124,")=")</f>
        <v>A(  )=</v>
      </c>
      <c r="AM124" t="e">
        <f>AI124+AK124</f>
        <v>#VALUE!</v>
      </c>
      <c r="AO124" s="68" t="str">
        <f>AA124</f>
        <v>A(  )=</v>
      </c>
      <c r="AP124" s="68" t="e">
        <f>VLOOKUP(AO124,Rise_Results,2,FALSE)</f>
        <v>#N/A</v>
      </c>
      <c r="AQ124" s="76" t="e">
        <f>N124</f>
        <v>#VALUE!</v>
      </c>
      <c r="AR124" s="76" t="e">
        <f>IF(OR(AB124&lt;=0,AB125&lt;=0),1/0,AB124)</f>
        <v>#VALUE!</v>
      </c>
      <c r="AS124" s="76" t="e">
        <f>AM124</f>
        <v>#VALUE!</v>
      </c>
      <c r="AT124" t="e">
        <f>IFERROR(AP124,IFERROR(AQ124,IFERROR(AR124,AS124)))</f>
        <v>#VALUE!</v>
      </c>
      <c r="AU124" s="81"/>
    </row>
    <row r="125" spans="1:47" x14ac:dyDescent="0.25">
      <c r="A125" s="84">
        <f>A124+1</f>
        <v>20</v>
      </c>
      <c r="B125" s="84" t="str">
        <f t="shared" si="48"/>
        <v xml:space="preserve">  </v>
      </c>
      <c r="F125" s="82" t="e">
        <f>SUM(F122:F124)</f>
        <v>#VALUE!</v>
      </c>
      <c r="H125" s="82" t="e">
        <f>SUM(H122:H124)</f>
        <v>#VALUE!</v>
      </c>
      <c r="I125" s="84" t="str">
        <f>CONCATENATE("m'(",C124,")=")</f>
        <v>m'(  )=</v>
      </c>
      <c r="J125" s="84" t="e">
        <f>2*(J122*(WLS))/3*H125</f>
        <v>#VALUE!</v>
      </c>
      <c r="K125" s="84" t="e">
        <f>CONCATENATE("M(",C122,")=")</f>
        <v>#VALUE!</v>
      </c>
      <c r="L125" s="84" t="e">
        <f>VLOOKUP(C122,STN_TABLE,4,FALSE)</f>
        <v>#VALUE!</v>
      </c>
      <c r="M125" t="str">
        <f>CONCATENATE("M(",C124,")=")</f>
        <v>M(  )=</v>
      </c>
      <c r="N125" t="e">
        <f>J125+L125</f>
        <v>#VALUE!</v>
      </c>
      <c r="O125" s="99">
        <f>O124+1</f>
        <v>22</v>
      </c>
      <c r="P125" s="99" t="str">
        <f t="shared" si="44"/>
        <v xml:space="preserve">  </v>
      </c>
      <c r="T125" s="89" t="e">
        <f>SUM(T122:T124)</f>
        <v>#VALUE!</v>
      </c>
      <c r="V125" s="82" t="e">
        <f>SUM(V122:V124)</f>
        <v>#VALUE!</v>
      </c>
      <c r="W125" s="84" t="str">
        <f>CONCATENATE("m'(",Q123,")=")</f>
        <v>m'(  )=</v>
      </c>
      <c r="X125" s="84" t="e">
        <f>(2*(X122^2)/24*V125)+(X124*Q122*WLS)</f>
        <v>#VALUE!</v>
      </c>
      <c r="Y125" s="84" t="e">
        <f>CONCATENATE("M(",Q122,")=")</f>
        <v>#VALUE!</v>
      </c>
      <c r="Z125" s="84" t="e">
        <f>VLOOKUP(Q122,STN_TABLE,4,FALSE)</f>
        <v>#VALUE!</v>
      </c>
      <c r="AA125" t="str">
        <f>CONCATENATE("M(",Q123,")=")</f>
        <v>M(  )=</v>
      </c>
      <c r="AB125" t="e">
        <f>X125+Z125</f>
        <v>#VALUE!</v>
      </c>
      <c r="AE125" s="89">
        <f>SUM(AE123:AE124)</f>
        <v>0</v>
      </c>
      <c r="AG125" s="89" t="e">
        <f>SUM(AG123:AG124)</f>
        <v>#VALUE!</v>
      </c>
      <c r="AH125" s="84" t="str">
        <f>CONCATENATE("m'(",AD124,")=")</f>
        <v>m'(  )=</v>
      </c>
      <c r="AI125" s="84" t="e">
        <f>(2*(AI122^2)/6*AG125)+(AI124*AD123*WLS)</f>
        <v>#VALUE!</v>
      </c>
      <c r="AJ125" s="84" t="str">
        <f>CONCATENATE("M(",AD123,")=")</f>
        <v>M(  )=</v>
      </c>
      <c r="AK125" s="84" t="str">
        <f>VLOOKUP(AD123,STN_TABLE,4,FALSE)</f>
        <v xml:space="preserve"> </v>
      </c>
      <c r="AL125" t="str">
        <f>CONCATENATE("M(",AD124,")=")</f>
        <v>M(  )=</v>
      </c>
      <c r="AM125" t="e">
        <f>AI125+AK125</f>
        <v>#VALUE!</v>
      </c>
      <c r="AO125" s="82" t="str">
        <f>AA125</f>
        <v>M(  )=</v>
      </c>
      <c r="AP125" s="82" t="e">
        <f>VLOOKUP(AO125,Rise_Results,2,FALSE)</f>
        <v>#N/A</v>
      </c>
      <c r="AQ125" s="82" t="e">
        <f>N125</f>
        <v>#VALUE!</v>
      </c>
      <c r="AR125" s="82" t="e">
        <f>IF(OR(AB124&lt;=0,AB125&lt;=0),1/0,AB125)</f>
        <v>#VALUE!</v>
      </c>
      <c r="AS125" s="82" t="e">
        <f>AM125</f>
        <v>#VALUE!</v>
      </c>
      <c r="AT125" t="e">
        <f>IFERROR(AP125,IFERROR(AQ125,IFERROR(AR125,AS125)))</f>
        <v>#VALUE!</v>
      </c>
      <c r="AU125" s="81"/>
    </row>
    <row r="126" spans="1:47" x14ac:dyDescent="0.25">
      <c r="A126" s="101">
        <f>A121+1</f>
        <v>17</v>
      </c>
      <c r="B126" s="101" t="str">
        <f t="shared" si="48"/>
        <v xml:space="preserve">  </v>
      </c>
      <c r="O126" s="101">
        <f>O121+1</f>
        <v>19</v>
      </c>
      <c r="P126" s="101" t="str">
        <f t="shared" si="44"/>
        <v xml:space="preserve">  </v>
      </c>
      <c r="AU126" s="81"/>
    </row>
    <row r="127" spans="1:47" x14ac:dyDescent="0.25">
      <c r="A127" s="84">
        <f>A126+1</f>
        <v>18</v>
      </c>
      <c r="B127" s="84" t="str">
        <f t="shared" si="48"/>
        <v xml:space="preserve">  </v>
      </c>
      <c r="C127" s="79" t="e">
        <f t="shared" ref="C127" si="61">IF(C128=B129,IF(C129-C128=C128-B128,B128,IF(C129-C128=C128-B127,B127,"#NA")),IF(C128=B128,IF(C129-C128=C128-B127,B127,IF(C129-C128=C128-B126,B126,"#NA")),"#NA"))</f>
        <v>#VALUE!</v>
      </c>
      <c r="D127" s="68" t="e">
        <f>VLOOKUP(C127,STN_TABLE,2,FALSE)</f>
        <v>#VALUE!</v>
      </c>
      <c r="E127" s="102">
        <v>1</v>
      </c>
      <c r="F127" s="68" t="e">
        <f>D127*E127</f>
        <v>#VALUE!</v>
      </c>
      <c r="G127" s="69" t="e">
        <f>C127</f>
        <v>#VALUE!</v>
      </c>
      <c r="H127" s="69" t="e">
        <f>F127*G127</f>
        <v>#VALUE!</v>
      </c>
      <c r="I127" s="6" t="s">
        <v>93</v>
      </c>
      <c r="J127" s="70" t="e">
        <f>IF(OR(D127=0,D128=0,D129=0),"#NA",IF(AND(C129-C128=C128-C127,C128&lt;&gt;C129,C127&lt;&gt;C128,C127&lt;&gt;C129,D129&lt;&gt;0,OR(D127&lt;&gt;0,D128&lt;&gt;0)),WLS*(C129-C128),"#NA"))</f>
        <v>#VALUE!</v>
      </c>
      <c r="O127" s="99">
        <f>O126+1</f>
        <v>20</v>
      </c>
      <c r="P127" s="99" t="str">
        <f t="shared" si="44"/>
        <v xml:space="preserve">  </v>
      </c>
      <c r="Q127" s="68" t="e">
        <f>IF(OR(P129-P128=P128-P127,P130-P128=P128-P127),P127,IF(OR(P129-P128=P128-P126,P130-P128=P128-P126),P126,"-"))</f>
        <v>#VALUE!</v>
      </c>
      <c r="R127" s="69" t="e">
        <f>VLOOKUP(Q127,STN_TABLE,2,FALSE)</f>
        <v>#VALUE!</v>
      </c>
      <c r="S127" s="69">
        <v>5</v>
      </c>
      <c r="T127" s="68" t="e">
        <f>R127*S127</f>
        <v>#VALUE!</v>
      </c>
      <c r="U127" s="79">
        <v>3</v>
      </c>
      <c r="V127" s="68" t="e">
        <f>R127*U127</f>
        <v>#VALUE!</v>
      </c>
      <c r="W127" s="6" t="s">
        <v>93</v>
      </c>
      <c r="X127" s="70" t="e">
        <f>IF(AND(Q129-Q128=Q128-Q127,NOT(AND(Q127=0,Q128=0)),NOT(AND(Q128=0,Q129=0))),WLS*(Q129-Q128),"#NA")</f>
        <v>#VALUE!</v>
      </c>
      <c r="AD127" s="93"/>
      <c r="AH127" s="6" t="s">
        <v>93</v>
      </c>
      <c r="AI127" s="70" t="e">
        <f>WLS*(AD129-AD128)</f>
        <v>#VALUE!</v>
      </c>
      <c r="AU127" s="81"/>
    </row>
    <row r="128" spans="1:47" x14ac:dyDescent="0.25">
      <c r="A128" s="84">
        <f>A127+1</f>
        <v>19</v>
      </c>
      <c r="B128" s="84" t="str">
        <f t="shared" si="48"/>
        <v xml:space="preserve">  </v>
      </c>
      <c r="C128" s="80" t="e">
        <f t="shared" ref="C128" si="62">IF(OR(B130-B129=B129-B128,B130-B129=B129-B127,B130-B129=B129-B126),B129,IF(OR(B130-B128=B128-B127,B130-B128=B128-B126),B128,IF(B130-B127=B127-B126,B127,"#NA")))</f>
        <v>#VALUE!</v>
      </c>
      <c r="D128" s="76" t="e">
        <f>VLOOKUP(C128,STN_TABLE,2,FALSE)</f>
        <v>#VALUE!</v>
      </c>
      <c r="E128" s="81">
        <v>4</v>
      </c>
      <c r="F128" s="76" t="e">
        <f>D128*E128</f>
        <v>#VALUE!</v>
      </c>
      <c r="G128" s="77" t="e">
        <f>C128</f>
        <v>#VALUE!</v>
      </c>
      <c r="H128" s="77" t="e">
        <f>F128*G128</f>
        <v>#VALUE!</v>
      </c>
      <c r="I128" s="495" t="s">
        <v>97</v>
      </c>
      <c r="J128" s="496"/>
      <c r="K128" s="78" t="s">
        <v>98</v>
      </c>
      <c r="L128" s="78"/>
      <c r="M128" s="7" t="s">
        <v>99</v>
      </c>
      <c r="N128" s="7"/>
      <c r="O128" s="99">
        <f>O127+1</f>
        <v>21</v>
      </c>
      <c r="P128" s="99" t="str">
        <f t="shared" si="44"/>
        <v xml:space="preserve">  </v>
      </c>
      <c r="Q128" s="76" t="str">
        <f>P128</f>
        <v xml:space="preserve">  </v>
      </c>
      <c r="R128" s="77" t="str">
        <f>VLOOKUP(Q128,STN_TABLE,2,FALSE)</f>
        <v xml:space="preserve">  </v>
      </c>
      <c r="S128" s="77">
        <v>8</v>
      </c>
      <c r="T128" s="76" t="e">
        <f>R128*S128</f>
        <v>#VALUE!</v>
      </c>
      <c r="U128" s="80">
        <v>10</v>
      </c>
      <c r="V128" s="76" t="e">
        <f>R128*U128</f>
        <v>#VALUE!</v>
      </c>
      <c r="W128" s="496" t="s">
        <v>97</v>
      </c>
      <c r="X128" s="496"/>
      <c r="Y128" s="496" t="s">
        <v>98</v>
      </c>
      <c r="Z128" s="496"/>
      <c r="AA128" s="494" t="s">
        <v>99</v>
      </c>
      <c r="AB128" s="494"/>
      <c r="AC128" s="99">
        <f>AC123+1</f>
        <v>20</v>
      </c>
      <c r="AD128" s="95" t="str">
        <f>VLOOKUP(AC128,STN_TABLE_2,2,FALSE)</f>
        <v xml:space="preserve">  </v>
      </c>
      <c r="AE128" s="68" t="str">
        <f>VLOOKUP(AD128,STN_TABLE,2,FALSE)</f>
        <v xml:space="preserve">  </v>
      </c>
      <c r="AF128" s="68">
        <v>1</v>
      </c>
      <c r="AG128" s="69" t="e">
        <f>AE128*AF128</f>
        <v>#VALUE!</v>
      </c>
      <c r="AH128" s="496" t="s">
        <v>97</v>
      </c>
      <c r="AI128" s="496"/>
      <c r="AJ128" s="496" t="s">
        <v>98</v>
      </c>
      <c r="AK128" s="496"/>
      <c r="AL128" s="494" t="s">
        <v>99</v>
      </c>
      <c r="AM128" s="494"/>
      <c r="AP128" s="86" t="s">
        <v>112</v>
      </c>
      <c r="AQ128" s="89" t="s">
        <v>113</v>
      </c>
      <c r="AR128" s="89" t="s">
        <v>114</v>
      </c>
      <c r="AS128" s="89" t="s">
        <v>115</v>
      </c>
      <c r="AU128" s="81"/>
    </row>
    <row r="129" spans="1:47" x14ac:dyDescent="0.25">
      <c r="A129" s="84">
        <f>A128+1</f>
        <v>20</v>
      </c>
      <c r="B129" s="84" t="str">
        <f t="shared" si="48"/>
        <v xml:space="preserve">  </v>
      </c>
      <c r="C129" s="88" t="str">
        <f t="shared" ref="C129" si="63">B130</f>
        <v xml:space="preserve">  </v>
      </c>
      <c r="D129" s="82" t="str">
        <f>VLOOKUP(C129,STN_TABLE,2,FALSE)</f>
        <v xml:space="preserve">  </v>
      </c>
      <c r="E129" s="92">
        <v>1</v>
      </c>
      <c r="F129" s="82" t="e">
        <f>D129*E129</f>
        <v>#VALUE!</v>
      </c>
      <c r="G129" s="83" t="str">
        <f>C129</f>
        <v xml:space="preserve">  </v>
      </c>
      <c r="H129" s="83" t="e">
        <f>F129*G129</f>
        <v>#VALUE!</v>
      </c>
      <c r="I129" s="84" t="str">
        <f>CONCATENATE("a'(",C129,")=")</f>
        <v>a'(  )=</v>
      </c>
      <c r="J129" s="84" t="e">
        <f>2*J127/3*F130</f>
        <v>#VALUE!</v>
      </c>
      <c r="K129" s="84" t="e">
        <f>CONCATENATE("A(",C127,")=")</f>
        <v>#VALUE!</v>
      </c>
      <c r="L129" s="84" t="e">
        <f>VLOOKUP(C127,STN_TABLE,3,FALSE)</f>
        <v>#VALUE!</v>
      </c>
      <c r="M129" t="str">
        <f>CONCATENATE("A(",C129,")=")</f>
        <v>A(  )=</v>
      </c>
      <c r="N129" t="e">
        <f>J129+L129</f>
        <v>#VALUE!</v>
      </c>
      <c r="O129" s="99">
        <f>O128+1</f>
        <v>22</v>
      </c>
      <c r="P129" s="99" t="str">
        <f t="shared" si="44"/>
        <v xml:space="preserve">  </v>
      </c>
      <c r="Q129" s="82" t="e">
        <f>IF(P129-P128=P128-P127,P129,IF(P130-P128=P128-P127,P130,IF(P129-P128=P128-P126,P129,IF(P130-P128=P128-P126,P130,"-"))))</f>
        <v>#VALUE!</v>
      </c>
      <c r="R129" s="83" t="e">
        <f>VLOOKUP(Q129,STN_TABLE,2,FALSE)</f>
        <v>#VALUE!</v>
      </c>
      <c r="S129" s="83">
        <v>-1</v>
      </c>
      <c r="T129" s="82" t="e">
        <f>R129*S129</f>
        <v>#VALUE!</v>
      </c>
      <c r="U129" s="88">
        <v>-1</v>
      </c>
      <c r="V129" s="82" t="e">
        <f>R129*U129</f>
        <v>#VALUE!</v>
      </c>
      <c r="W129" s="84" t="str">
        <f>CONCATENATE("a'(",Q128,")=")</f>
        <v>a'(  )=</v>
      </c>
      <c r="X129" s="84" t="e">
        <f>2*X127/12*T130</f>
        <v>#VALUE!</v>
      </c>
      <c r="Y129" s="84" t="e">
        <f>CONCATENATE("A(",Q127,")=")</f>
        <v>#VALUE!</v>
      </c>
      <c r="Z129" s="84" t="e">
        <f>VLOOKUP(Q127,STN_TABLE,3,FALSE)</f>
        <v>#VALUE!</v>
      </c>
      <c r="AA129" t="str">
        <f>CONCATENATE("A(",Q128,")=")</f>
        <v>A(  )=</v>
      </c>
      <c r="AB129" t="e">
        <f>X129+Z129</f>
        <v>#VALUE!</v>
      </c>
      <c r="AC129" s="99">
        <f>AC128+1</f>
        <v>21</v>
      </c>
      <c r="AD129" s="100" t="str">
        <f>VLOOKUP(AC129,STN_TABLE_2,2,FALSE)</f>
        <v xml:space="preserve">  </v>
      </c>
      <c r="AE129" s="82" t="str">
        <f>VLOOKUP(AD129,STN_TABLE,2,FALSE)</f>
        <v xml:space="preserve">  </v>
      </c>
      <c r="AF129" s="82">
        <v>2</v>
      </c>
      <c r="AG129" s="83" t="e">
        <f>AE129*AF129</f>
        <v>#VALUE!</v>
      </c>
      <c r="AH129" s="84" t="str">
        <f>CONCATENATE("a'(",AD129,")=")</f>
        <v>a'(  )=</v>
      </c>
      <c r="AI129" s="84" t="e">
        <f>2*AI127/2*AE130</f>
        <v>#VALUE!</v>
      </c>
      <c r="AJ129" s="84" t="str">
        <f>CONCATENATE("A(",AD128,")=")</f>
        <v>A(  )=</v>
      </c>
      <c r="AK129" s="84" t="str">
        <f>VLOOKUP(AD128,STN_TABLE,3,FALSE)</f>
        <v xml:space="preserve"> </v>
      </c>
      <c r="AL129" t="str">
        <f>CONCATENATE("A(",AD129,")=")</f>
        <v>A(  )=</v>
      </c>
      <c r="AM129" t="e">
        <f>AI129+AK129</f>
        <v>#VALUE!</v>
      </c>
      <c r="AO129" s="68" t="str">
        <f>AA129</f>
        <v>A(  )=</v>
      </c>
      <c r="AP129" s="68" t="e">
        <f>VLOOKUP(AO129,Rise_Results,2,FALSE)</f>
        <v>#N/A</v>
      </c>
      <c r="AQ129" s="76" t="e">
        <f>N129</f>
        <v>#VALUE!</v>
      </c>
      <c r="AR129" s="76" t="e">
        <f>IF(OR(AB129&lt;=0,AB130&lt;=0),1/0,AB129)</f>
        <v>#VALUE!</v>
      </c>
      <c r="AS129" s="76" t="e">
        <f>AM129</f>
        <v>#VALUE!</v>
      </c>
      <c r="AT129" t="e">
        <f>IFERROR(AP129,IFERROR(AQ129,IFERROR(AR129,AS129)))</f>
        <v>#VALUE!</v>
      </c>
      <c r="AU129" s="81"/>
    </row>
    <row r="130" spans="1:47" x14ac:dyDescent="0.25">
      <c r="A130" s="84">
        <f>A129+1</f>
        <v>21</v>
      </c>
      <c r="B130" s="84" t="str">
        <f t="shared" si="48"/>
        <v xml:space="preserve">  </v>
      </c>
      <c r="F130" s="82" t="e">
        <f>SUM(F127:F129)</f>
        <v>#VALUE!</v>
      </c>
      <c r="H130" s="82" t="e">
        <f>SUM(H127:H129)</f>
        <v>#VALUE!</v>
      </c>
      <c r="I130" s="84" t="str">
        <f>CONCATENATE("m'(",C129,")=")</f>
        <v>m'(  )=</v>
      </c>
      <c r="J130" s="84" t="e">
        <f>2*(J127*(WLS))/3*H130</f>
        <v>#VALUE!</v>
      </c>
      <c r="K130" s="84" t="e">
        <f>CONCATENATE("M(",C127,")=")</f>
        <v>#VALUE!</v>
      </c>
      <c r="L130" s="84" t="e">
        <f>VLOOKUP(C127,STN_TABLE,4,FALSE)</f>
        <v>#VALUE!</v>
      </c>
      <c r="M130" t="str">
        <f>CONCATENATE("M(",C129,")=")</f>
        <v>M(  )=</v>
      </c>
      <c r="N130" t="e">
        <f>J130+L130</f>
        <v>#VALUE!</v>
      </c>
      <c r="O130" s="99">
        <f>O129+1</f>
        <v>23</v>
      </c>
      <c r="P130" s="99" t="str">
        <f t="shared" si="44"/>
        <v xml:space="preserve">  </v>
      </c>
      <c r="T130" s="89" t="e">
        <f>SUM(T127:T129)</f>
        <v>#VALUE!</v>
      </c>
      <c r="V130" s="82" t="e">
        <f>SUM(V127:V129)</f>
        <v>#VALUE!</v>
      </c>
      <c r="W130" s="84" t="str">
        <f>CONCATENATE("m'(",Q128,")=")</f>
        <v>m'(  )=</v>
      </c>
      <c r="X130" s="84" t="e">
        <f>(2*(X127^2)/24*V130)+(X129*Q127*WLS)</f>
        <v>#VALUE!</v>
      </c>
      <c r="Y130" s="84" t="e">
        <f>CONCATENATE("M(",Q127,")=")</f>
        <v>#VALUE!</v>
      </c>
      <c r="Z130" s="84" t="e">
        <f>VLOOKUP(Q127,STN_TABLE,4,FALSE)</f>
        <v>#VALUE!</v>
      </c>
      <c r="AA130" t="str">
        <f>CONCATENATE("M(",Q128,")=")</f>
        <v>M(  )=</v>
      </c>
      <c r="AB130" t="e">
        <f>X130+Z130</f>
        <v>#VALUE!</v>
      </c>
      <c r="AE130" s="89">
        <f>SUM(AE128:AE129)</f>
        <v>0</v>
      </c>
      <c r="AG130" s="89" t="e">
        <f>SUM(AG128:AG129)</f>
        <v>#VALUE!</v>
      </c>
      <c r="AH130" s="84" t="str">
        <f>CONCATENATE("m'(",AD129,")=")</f>
        <v>m'(  )=</v>
      </c>
      <c r="AI130" s="84" t="e">
        <f>(2*(AI127^2)/6*AG130)+(AI129*AD128*WLS)</f>
        <v>#VALUE!</v>
      </c>
      <c r="AJ130" s="84" t="str">
        <f>CONCATENATE("M(",AD128,")=")</f>
        <v>M(  )=</v>
      </c>
      <c r="AK130" s="84" t="str">
        <f>VLOOKUP(AD128,STN_TABLE,4,FALSE)</f>
        <v xml:space="preserve"> </v>
      </c>
      <c r="AL130" t="str">
        <f>CONCATENATE("M(",AD129,")=")</f>
        <v>M(  )=</v>
      </c>
      <c r="AM130" t="e">
        <f>AI130+AK130</f>
        <v>#VALUE!</v>
      </c>
      <c r="AO130" s="82" t="str">
        <f>AA130</f>
        <v>M(  )=</v>
      </c>
      <c r="AP130" s="82" t="e">
        <f>VLOOKUP(AO130,Rise_Results,2,FALSE)</f>
        <v>#N/A</v>
      </c>
      <c r="AQ130" s="82" t="e">
        <f>N130</f>
        <v>#VALUE!</v>
      </c>
      <c r="AR130" s="82" t="e">
        <f>IF(OR(AB129&lt;=0,AB130&lt;=0),1/0,AB130)</f>
        <v>#VALUE!</v>
      </c>
      <c r="AS130" s="82" t="e">
        <f>AM130</f>
        <v>#VALUE!</v>
      </c>
      <c r="AT130" t="e">
        <f>IFERROR(AP130,IFERROR(AQ130,IFERROR(AR130,AS130)))</f>
        <v>#VALUE!</v>
      </c>
      <c r="AU130" s="81"/>
    </row>
    <row r="131" spans="1:47" x14ac:dyDescent="0.25">
      <c r="A131" s="101">
        <f>A126+1</f>
        <v>18</v>
      </c>
      <c r="B131" s="101" t="str">
        <f t="shared" si="48"/>
        <v xml:space="preserve">  </v>
      </c>
      <c r="O131" s="101">
        <f>O126+1</f>
        <v>20</v>
      </c>
      <c r="P131" s="101" t="str">
        <f t="shared" si="44"/>
        <v xml:space="preserve">  </v>
      </c>
      <c r="AU131" s="81"/>
    </row>
    <row r="132" spans="1:47" x14ac:dyDescent="0.25">
      <c r="A132" s="84">
        <f>A131+1</f>
        <v>19</v>
      </c>
      <c r="B132" s="84" t="str">
        <f t="shared" si="48"/>
        <v xml:space="preserve">  </v>
      </c>
      <c r="C132" s="79" t="e">
        <f t="shared" ref="C132" si="64">IF(C133=B134,IF(C134-C133=C133-B133,B133,IF(C134-C133=C133-B132,B132,"#NA")),IF(C133=B133,IF(C134-C133=C133-B132,B132,IF(C134-C133=C133-B131,B131,"#NA")),"#NA"))</f>
        <v>#VALUE!</v>
      </c>
      <c r="D132" s="68" t="e">
        <f>VLOOKUP(C132,STN_TABLE,2,FALSE)</f>
        <v>#VALUE!</v>
      </c>
      <c r="E132" s="102">
        <v>1</v>
      </c>
      <c r="F132" s="68" t="e">
        <f>D132*E132</f>
        <v>#VALUE!</v>
      </c>
      <c r="G132" s="69" t="e">
        <f>C132</f>
        <v>#VALUE!</v>
      </c>
      <c r="H132" s="69" t="e">
        <f>F132*G132</f>
        <v>#VALUE!</v>
      </c>
      <c r="I132" s="6" t="s">
        <v>93</v>
      </c>
      <c r="J132" s="70" t="e">
        <f>IF(OR(D132=0,D133=0,D134=0),"#NA",IF(AND(C134-C133=C133-C132,C133&lt;&gt;C134,C132&lt;&gt;C133,C132&lt;&gt;C134,D134&lt;&gt;0,OR(D132&lt;&gt;0,D133&lt;&gt;0)),WLS*(C134-C133),"#NA"))</f>
        <v>#VALUE!</v>
      </c>
      <c r="O132" s="99">
        <f>O131+1</f>
        <v>21</v>
      </c>
      <c r="P132" s="99" t="str">
        <f t="shared" ref="P132:P150" si="65">VLOOKUP(O132,STN_TABLE_2,2,FALSE)</f>
        <v xml:space="preserve">  </v>
      </c>
      <c r="Q132" s="68" t="e">
        <f>IF(OR(P134-P133=P133-P132,P135-P133=P133-P132),P132,IF(OR(P134-P133=P133-P131,P135-P133=P133-P131),P131,"-"))</f>
        <v>#VALUE!</v>
      </c>
      <c r="R132" s="69" t="e">
        <f>VLOOKUP(Q132,STN_TABLE,2,FALSE)</f>
        <v>#VALUE!</v>
      </c>
      <c r="S132" s="69">
        <v>5</v>
      </c>
      <c r="T132" s="68" t="e">
        <f>R132*S132</f>
        <v>#VALUE!</v>
      </c>
      <c r="U132" s="79">
        <v>3</v>
      </c>
      <c r="V132" s="68" t="e">
        <f>R132*U132</f>
        <v>#VALUE!</v>
      </c>
      <c r="W132" s="6" t="s">
        <v>93</v>
      </c>
      <c r="X132" s="70" t="e">
        <f>IF(AND(Q134-Q133=Q133-Q132,NOT(AND(Q132=0,Q133=0)),NOT(AND(Q133=0,Q134=0))),WLS*(Q134-Q133),"#NA")</f>
        <v>#VALUE!</v>
      </c>
      <c r="AD132" s="93"/>
      <c r="AH132" s="6" t="s">
        <v>93</v>
      </c>
      <c r="AI132" s="70" t="e">
        <f>WLS*(AD134-AD133)</f>
        <v>#VALUE!</v>
      </c>
      <c r="AU132" s="81"/>
    </row>
    <row r="133" spans="1:47" x14ac:dyDescent="0.25">
      <c r="A133" s="84">
        <f>A132+1</f>
        <v>20</v>
      </c>
      <c r="B133" s="84" t="str">
        <f t="shared" si="48"/>
        <v xml:space="preserve">  </v>
      </c>
      <c r="C133" s="80" t="e">
        <f t="shared" ref="C133" si="66">IF(OR(B135-B134=B134-B133,B135-B134=B134-B132,B135-B134=B134-B131),B134,IF(OR(B135-B133=B133-B132,B135-B133=B133-B131),B133,IF(B135-B132=B132-B131,B132,"#NA")))</f>
        <v>#VALUE!</v>
      </c>
      <c r="D133" s="76" t="e">
        <f>VLOOKUP(C133,STN_TABLE,2,FALSE)</f>
        <v>#VALUE!</v>
      </c>
      <c r="E133" s="81">
        <v>4</v>
      </c>
      <c r="F133" s="76" t="e">
        <f>D133*E133</f>
        <v>#VALUE!</v>
      </c>
      <c r="G133" s="77" t="e">
        <f>C133</f>
        <v>#VALUE!</v>
      </c>
      <c r="H133" s="77" t="e">
        <f>F133*G133</f>
        <v>#VALUE!</v>
      </c>
      <c r="I133" s="495" t="s">
        <v>97</v>
      </c>
      <c r="J133" s="496"/>
      <c r="K133" s="78" t="s">
        <v>98</v>
      </c>
      <c r="L133" s="78"/>
      <c r="M133" s="7" t="s">
        <v>99</v>
      </c>
      <c r="N133" s="7"/>
      <c r="O133" s="99">
        <f>O132+1</f>
        <v>22</v>
      </c>
      <c r="P133" s="99" t="str">
        <f t="shared" si="65"/>
        <v xml:space="preserve">  </v>
      </c>
      <c r="Q133" s="76" t="str">
        <f>P133</f>
        <v xml:space="preserve">  </v>
      </c>
      <c r="R133" s="77" t="str">
        <f>VLOOKUP(Q133,STN_TABLE,2,FALSE)</f>
        <v xml:space="preserve">  </v>
      </c>
      <c r="S133" s="77">
        <v>8</v>
      </c>
      <c r="T133" s="76" t="e">
        <f>R133*S133</f>
        <v>#VALUE!</v>
      </c>
      <c r="U133" s="80">
        <v>10</v>
      </c>
      <c r="V133" s="76" t="e">
        <f>R133*U133</f>
        <v>#VALUE!</v>
      </c>
      <c r="W133" s="496" t="s">
        <v>97</v>
      </c>
      <c r="X133" s="496"/>
      <c r="Y133" s="496" t="s">
        <v>98</v>
      </c>
      <c r="Z133" s="496"/>
      <c r="AA133" s="494" t="s">
        <v>99</v>
      </c>
      <c r="AB133" s="494"/>
      <c r="AC133" s="99">
        <f>AC128+1</f>
        <v>21</v>
      </c>
      <c r="AD133" s="95" t="str">
        <f>VLOOKUP(AC133,STN_TABLE_2,2,FALSE)</f>
        <v xml:space="preserve">  </v>
      </c>
      <c r="AE133" s="68" t="str">
        <f>VLOOKUP(AD133,STN_TABLE,2,FALSE)</f>
        <v xml:space="preserve">  </v>
      </c>
      <c r="AF133" s="68">
        <v>1</v>
      </c>
      <c r="AG133" s="69" t="e">
        <f>AE133*AF133</f>
        <v>#VALUE!</v>
      </c>
      <c r="AH133" s="496" t="s">
        <v>97</v>
      </c>
      <c r="AI133" s="496"/>
      <c r="AJ133" s="496" t="s">
        <v>98</v>
      </c>
      <c r="AK133" s="496"/>
      <c r="AL133" s="494" t="s">
        <v>99</v>
      </c>
      <c r="AM133" s="494"/>
      <c r="AP133" s="86" t="s">
        <v>112</v>
      </c>
      <c r="AQ133" s="89" t="s">
        <v>113</v>
      </c>
      <c r="AR133" s="89" t="s">
        <v>114</v>
      </c>
      <c r="AS133" s="89" t="s">
        <v>115</v>
      </c>
      <c r="AU133" s="81"/>
    </row>
    <row r="134" spans="1:47" x14ac:dyDescent="0.25">
      <c r="A134" s="84">
        <f>A133+1</f>
        <v>21</v>
      </c>
      <c r="B134" s="84" t="str">
        <f t="shared" si="48"/>
        <v xml:space="preserve">  </v>
      </c>
      <c r="C134" s="88" t="str">
        <f t="shared" ref="C134" si="67">B135</f>
        <v xml:space="preserve">  </v>
      </c>
      <c r="D134" s="82" t="str">
        <f>VLOOKUP(C134,STN_TABLE,2,FALSE)</f>
        <v xml:space="preserve">  </v>
      </c>
      <c r="E134" s="92">
        <v>1</v>
      </c>
      <c r="F134" s="82" t="e">
        <f>D134*E134</f>
        <v>#VALUE!</v>
      </c>
      <c r="G134" s="83" t="str">
        <f>C134</f>
        <v xml:space="preserve">  </v>
      </c>
      <c r="H134" s="83" t="e">
        <f>F134*G134</f>
        <v>#VALUE!</v>
      </c>
      <c r="I134" s="84" t="str">
        <f>CONCATENATE("a'(",C134,")=")</f>
        <v>a'(  )=</v>
      </c>
      <c r="J134" s="84" t="e">
        <f>2*J132/3*F135</f>
        <v>#VALUE!</v>
      </c>
      <c r="K134" s="84" t="e">
        <f>CONCATENATE("A(",C132,")=")</f>
        <v>#VALUE!</v>
      </c>
      <c r="L134" s="84" t="e">
        <f>VLOOKUP(C132,STN_TABLE,3,FALSE)</f>
        <v>#VALUE!</v>
      </c>
      <c r="M134" t="str">
        <f>CONCATENATE("A(",C134,")=")</f>
        <v>A(  )=</v>
      </c>
      <c r="N134" t="e">
        <f>J134+L134</f>
        <v>#VALUE!</v>
      </c>
      <c r="O134" s="99">
        <f>O133+1</f>
        <v>23</v>
      </c>
      <c r="P134" s="99" t="str">
        <f t="shared" si="65"/>
        <v xml:space="preserve">  </v>
      </c>
      <c r="Q134" s="82" t="e">
        <f>IF(P134-P133=P133-P132,P134,IF(P135-P133=P133-P132,P135,IF(P134-P133=P133-P131,P134,IF(P135-P133=P133-P131,P135,"-"))))</f>
        <v>#VALUE!</v>
      </c>
      <c r="R134" s="83" t="e">
        <f>VLOOKUP(Q134,STN_TABLE,2,FALSE)</f>
        <v>#VALUE!</v>
      </c>
      <c r="S134" s="83">
        <v>-1</v>
      </c>
      <c r="T134" s="82" t="e">
        <f>R134*S134</f>
        <v>#VALUE!</v>
      </c>
      <c r="U134" s="88">
        <v>-1</v>
      </c>
      <c r="V134" s="82" t="e">
        <f>R134*U134</f>
        <v>#VALUE!</v>
      </c>
      <c r="W134" s="84" t="str">
        <f>CONCATENATE("a'(",Q133,")=")</f>
        <v>a'(  )=</v>
      </c>
      <c r="X134" s="84" t="e">
        <f>2*X132/12*T135</f>
        <v>#VALUE!</v>
      </c>
      <c r="Y134" s="84" t="e">
        <f>CONCATENATE("A(",Q132,")=")</f>
        <v>#VALUE!</v>
      </c>
      <c r="Z134" s="84" t="e">
        <f>VLOOKUP(Q132,STN_TABLE,3,FALSE)</f>
        <v>#VALUE!</v>
      </c>
      <c r="AA134" t="str">
        <f>CONCATENATE("A(",Q133,")=")</f>
        <v>A(  )=</v>
      </c>
      <c r="AB134" t="e">
        <f>X134+Z134</f>
        <v>#VALUE!</v>
      </c>
      <c r="AC134" s="99">
        <f>AC133+1</f>
        <v>22</v>
      </c>
      <c r="AD134" s="100" t="str">
        <f>VLOOKUP(AC134,STN_TABLE_2,2,FALSE)</f>
        <v xml:space="preserve">  </v>
      </c>
      <c r="AE134" s="82" t="str">
        <f>VLOOKUP(AD134,STN_TABLE,2,FALSE)</f>
        <v xml:space="preserve">  </v>
      </c>
      <c r="AF134" s="82">
        <v>2</v>
      </c>
      <c r="AG134" s="83" t="e">
        <f>AE134*AF134</f>
        <v>#VALUE!</v>
      </c>
      <c r="AH134" s="84" t="str">
        <f>CONCATENATE("a'(",AD134,")=")</f>
        <v>a'(  )=</v>
      </c>
      <c r="AI134" s="84" t="e">
        <f>2*AI132/2*AE135</f>
        <v>#VALUE!</v>
      </c>
      <c r="AJ134" s="84" t="str">
        <f>CONCATENATE("A(",AD133,")=")</f>
        <v>A(  )=</v>
      </c>
      <c r="AK134" s="84" t="str">
        <f>VLOOKUP(AD133,STN_TABLE,3,FALSE)</f>
        <v xml:space="preserve"> </v>
      </c>
      <c r="AL134" t="str">
        <f>CONCATENATE("A(",AD134,")=")</f>
        <v>A(  )=</v>
      </c>
      <c r="AM134" t="e">
        <f>AI134+AK134</f>
        <v>#VALUE!</v>
      </c>
      <c r="AO134" s="68" t="str">
        <f>AA134</f>
        <v>A(  )=</v>
      </c>
      <c r="AP134" s="68" t="e">
        <f>VLOOKUP(AO134,Rise_Results,2,FALSE)</f>
        <v>#N/A</v>
      </c>
      <c r="AQ134" s="76" t="e">
        <f>N134</f>
        <v>#VALUE!</v>
      </c>
      <c r="AR134" s="76" t="e">
        <f>IF(OR(AB134&lt;=0,AB135&lt;=0),1/0,AB134)</f>
        <v>#VALUE!</v>
      </c>
      <c r="AS134" s="76" t="e">
        <f>AM134</f>
        <v>#VALUE!</v>
      </c>
      <c r="AT134" t="e">
        <f>IFERROR(AP134,IFERROR(AQ134,IFERROR(AR134,AS134)))</f>
        <v>#VALUE!</v>
      </c>
      <c r="AU134" s="81"/>
    </row>
    <row r="135" spans="1:47" x14ac:dyDescent="0.25">
      <c r="A135" s="84">
        <f>A134+1</f>
        <v>22</v>
      </c>
      <c r="B135" s="84" t="str">
        <f t="shared" si="48"/>
        <v xml:space="preserve">  </v>
      </c>
      <c r="F135" s="82" t="e">
        <f>SUM(F132:F134)</f>
        <v>#VALUE!</v>
      </c>
      <c r="H135" s="82" t="e">
        <f>SUM(H132:H134)</f>
        <v>#VALUE!</v>
      </c>
      <c r="I135" s="84" t="str">
        <f>CONCATENATE("m'(",C134,")=")</f>
        <v>m'(  )=</v>
      </c>
      <c r="J135" s="84" t="e">
        <f>2*(J132*(WLS))/3*H135</f>
        <v>#VALUE!</v>
      </c>
      <c r="K135" s="84" t="e">
        <f>CONCATENATE("M(",C132,")=")</f>
        <v>#VALUE!</v>
      </c>
      <c r="L135" s="84" t="e">
        <f>VLOOKUP(C132,STN_TABLE,4,FALSE)</f>
        <v>#VALUE!</v>
      </c>
      <c r="M135" t="str">
        <f>CONCATENATE("M(",C134,")=")</f>
        <v>M(  )=</v>
      </c>
      <c r="N135" t="e">
        <f>J135+L135</f>
        <v>#VALUE!</v>
      </c>
      <c r="O135" s="99">
        <f>O134+1</f>
        <v>24</v>
      </c>
      <c r="P135" s="99" t="str">
        <f t="shared" si="65"/>
        <v xml:space="preserve">  </v>
      </c>
      <c r="T135" s="89" t="e">
        <f>SUM(T132:T134)</f>
        <v>#VALUE!</v>
      </c>
      <c r="V135" s="82" t="e">
        <f>SUM(V132:V134)</f>
        <v>#VALUE!</v>
      </c>
      <c r="W135" s="84" t="str">
        <f>CONCATENATE("m'(",Q133,")=")</f>
        <v>m'(  )=</v>
      </c>
      <c r="X135" s="84" t="e">
        <f>(2*(X132^2)/24*V135)+(X134*Q132*WLS)</f>
        <v>#VALUE!</v>
      </c>
      <c r="Y135" s="84" t="e">
        <f>CONCATENATE("M(",Q132,")=")</f>
        <v>#VALUE!</v>
      </c>
      <c r="Z135" s="84" t="e">
        <f>VLOOKUP(Q132,STN_TABLE,4,FALSE)</f>
        <v>#VALUE!</v>
      </c>
      <c r="AA135" t="str">
        <f>CONCATENATE("M(",Q133,")=")</f>
        <v>M(  )=</v>
      </c>
      <c r="AB135" t="e">
        <f>X135+Z135</f>
        <v>#VALUE!</v>
      </c>
      <c r="AE135" s="89">
        <f>SUM(AE133:AE134)</f>
        <v>0</v>
      </c>
      <c r="AG135" s="89" t="e">
        <f>SUM(AG133:AG134)</f>
        <v>#VALUE!</v>
      </c>
      <c r="AH135" s="84" t="str">
        <f>CONCATENATE("m'(",AD134,")=")</f>
        <v>m'(  )=</v>
      </c>
      <c r="AI135" s="84" t="e">
        <f>(2*(AI132^2)/6*AG135)+(AI134*AD133*WLS)</f>
        <v>#VALUE!</v>
      </c>
      <c r="AJ135" s="84" t="str">
        <f>CONCATENATE("M(",AD133,")=")</f>
        <v>M(  )=</v>
      </c>
      <c r="AK135" s="84" t="str">
        <f>VLOOKUP(AD133,STN_TABLE,4,FALSE)</f>
        <v xml:space="preserve"> </v>
      </c>
      <c r="AL135" t="str">
        <f>CONCATENATE("M(",AD134,")=")</f>
        <v>M(  )=</v>
      </c>
      <c r="AM135" t="e">
        <f>AI135+AK135</f>
        <v>#VALUE!</v>
      </c>
      <c r="AO135" s="82" t="str">
        <f>AA135</f>
        <v>M(  )=</v>
      </c>
      <c r="AP135" s="82" t="e">
        <f>VLOOKUP(AO135,Rise_Results,2,FALSE)</f>
        <v>#N/A</v>
      </c>
      <c r="AQ135" s="82" t="e">
        <f>N135</f>
        <v>#VALUE!</v>
      </c>
      <c r="AR135" s="82" t="e">
        <f>IF(OR(AB134&lt;=0,AB135&lt;=0),1/0,AB135)</f>
        <v>#VALUE!</v>
      </c>
      <c r="AS135" s="82" t="e">
        <f>AM135</f>
        <v>#VALUE!</v>
      </c>
      <c r="AT135" t="e">
        <f>IFERROR(AP135,IFERROR(AQ135,IFERROR(AR135,AS135)))</f>
        <v>#VALUE!</v>
      </c>
      <c r="AU135" s="81"/>
    </row>
    <row r="136" spans="1:47" x14ac:dyDescent="0.25">
      <c r="A136" s="101">
        <f>A131+1</f>
        <v>19</v>
      </c>
      <c r="B136" s="101" t="str">
        <f t="shared" si="48"/>
        <v xml:space="preserve">  </v>
      </c>
      <c r="O136" s="101">
        <f>O131+1</f>
        <v>21</v>
      </c>
      <c r="P136" s="101" t="str">
        <f t="shared" si="65"/>
        <v xml:space="preserve">  </v>
      </c>
      <c r="AU136" s="81"/>
    </row>
    <row r="137" spans="1:47" x14ac:dyDescent="0.25">
      <c r="A137" s="84">
        <f>A136+1</f>
        <v>20</v>
      </c>
      <c r="B137" s="84" t="str">
        <f t="shared" si="48"/>
        <v xml:space="preserve">  </v>
      </c>
      <c r="C137" s="79" t="e">
        <f t="shared" ref="C137" si="68">IF(C138=B139,IF(C139-C138=C138-B138,B138,IF(C139-C138=C138-B137,B137,"#NA")),IF(C138=B138,IF(C139-C138=C138-B137,B137,IF(C139-C138=C138-B136,B136,"#NA")),"#NA"))</f>
        <v>#VALUE!</v>
      </c>
      <c r="D137" s="68" t="e">
        <f>VLOOKUP(C137,STN_TABLE,2,FALSE)</f>
        <v>#VALUE!</v>
      </c>
      <c r="E137" s="102">
        <v>1</v>
      </c>
      <c r="F137" s="68" t="e">
        <f>D137*E137</f>
        <v>#VALUE!</v>
      </c>
      <c r="G137" s="69" t="e">
        <f>C137</f>
        <v>#VALUE!</v>
      </c>
      <c r="H137" s="69" t="e">
        <f>F137*G137</f>
        <v>#VALUE!</v>
      </c>
      <c r="I137" s="6" t="s">
        <v>93</v>
      </c>
      <c r="J137" s="70" t="e">
        <f>IF(OR(D137=0,D138=0,D139=0),"#NA",IF(AND(C139-C138=C138-C137,C138&lt;&gt;C139,C137&lt;&gt;C138,C137&lt;&gt;C139,D139&lt;&gt;0,OR(D137&lt;&gt;0,D138&lt;&gt;0)),WLS*(C139-C138),"#NA"))</f>
        <v>#VALUE!</v>
      </c>
      <c r="O137" s="99">
        <f>O136+1</f>
        <v>22</v>
      </c>
      <c r="P137" s="99" t="str">
        <f t="shared" si="65"/>
        <v xml:space="preserve">  </v>
      </c>
      <c r="Q137" s="68" t="e">
        <f>IF(OR(P139-P138=P138-P137,P140-P138=P138-P137),P137,IF(OR(P139-P138=P138-P136,P140-P138=P138-P136),P136,"-"))</f>
        <v>#VALUE!</v>
      </c>
      <c r="R137" s="69" t="e">
        <f>VLOOKUP(Q137,STN_TABLE,2,FALSE)</f>
        <v>#VALUE!</v>
      </c>
      <c r="S137" s="69">
        <v>5</v>
      </c>
      <c r="T137" s="68" t="e">
        <f>R137*S137</f>
        <v>#VALUE!</v>
      </c>
      <c r="U137" s="79">
        <v>3</v>
      </c>
      <c r="V137" s="68" t="e">
        <f>R137*U137</f>
        <v>#VALUE!</v>
      </c>
      <c r="W137" s="6" t="s">
        <v>93</v>
      </c>
      <c r="X137" s="70" t="e">
        <f>IF(AND(Q139-Q138=Q138-Q137,NOT(AND(Q137=0,Q138=0)),NOT(AND(Q138=0,Q139=0))),WLS*(Q139-Q138),"#NA")</f>
        <v>#VALUE!</v>
      </c>
      <c r="AD137" s="93"/>
      <c r="AH137" s="6" t="s">
        <v>93</v>
      </c>
      <c r="AI137" s="70" t="e">
        <f>WLS*(AD139-AD138)</f>
        <v>#VALUE!</v>
      </c>
      <c r="AU137" s="81"/>
    </row>
    <row r="138" spans="1:47" x14ac:dyDescent="0.25">
      <c r="A138" s="84">
        <f>A137+1</f>
        <v>21</v>
      </c>
      <c r="B138" s="84" t="str">
        <f t="shared" ref="B138:B150" si="69">VLOOKUP(A138,STN_TABLE_2,2,FALSE)</f>
        <v xml:space="preserve">  </v>
      </c>
      <c r="C138" s="80" t="e">
        <f t="shared" ref="C138" si="70">IF(OR(B140-B139=B139-B138,B140-B139=B139-B137,B140-B139=B139-B136),B139,IF(OR(B140-B138=B138-B137,B140-B138=B138-B136),B138,IF(B140-B137=B137-B136,B137,"#NA")))</f>
        <v>#VALUE!</v>
      </c>
      <c r="D138" s="76" t="e">
        <f>VLOOKUP(C138,STN_TABLE,2,FALSE)</f>
        <v>#VALUE!</v>
      </c>
      <c r="E138" s="81">
        <v>4</v>
      </c>
      <c r="F138" s="76" t="e">
        <f>D138*E138</f>
        <v>#VALUE!</v>
      </c>
      <c r="G138" s="77" t="e">
        <f>C138</f>
        <v>#VALUE!</v>
      </c>
      <c r="H138" s="77" t="e">
        <f>F138*G138</f>
        <v>#VALUE!</v>
      </c>
      <c r="I138" s="495" t="s">
        <v>97</v>
      </c>
      <c r="J138" s="496"/>
      <c r="K138" s="78" t="s">
        <v>98</v>
      </c>
      <c r="L138" s="78"/>
      <c r="M138" s="7" t="s">
        <v>99</v>
      </c>
      <c r="N138" s="7"/>
      <c r="O138" s="99">
        <f>O137+1</f>
        <v>23</v>
      </c>
      <c r="P138" s="99" t="str">
        <f t="shared" si="65"/>
        <v xml:space="preserve">  </v>
      </c>
      <c r="Q138" s="76" t="str">
        <f>P138</f>
        <v xml:space="preserve">  </v>
      </c>
      <c r="R138" s="77" t="str">
        <f>VLOOKUP(Q138,STN_TABLE,2,FALSE)</f>
        <v xml:space="preserve">  </v>
      </c>
      <c r="S138" s="77">
        <v>8</v>
      </c>
      <c r="T138" s="76" t="e">
        <f>R138*S138</f>
        <v>#VALUE!</v>
      </c>
      <c r="U138" s="80">
        <v>10</v>
      </c>
      <c r="V138" s="76" t="e">
        <f>R138*U138</f>
        <v>#VALUE!</v>
      </c>
      <c r="W138" s="496" t="s">
        <v>97</v>
      </c>
      <c r="X138" s="496"/>
      <c r="Y138" s="496" t="s">
        <v>98</v>
      </c>
      <c r="Z138" s="496"/>
      <c r="AA138" s="494" t="s">
        <v>99</v>
      </c>
      <c r="AB138" s="494"/>
      <c r="AC138" s="99">
        <f>AC133+1</f>
        <v>22</v>
      </c>
      <c r="AD138" s="95" t="str">
        <f>VLOOKUP(AC138,STN_TABLE_2,2,FALSE)</f>
        <v xml:space="preserve">  </v>
      </c>
      <c r="AE138" s="68" t="str">
        <f>VLOOKUP(AD138,STN_TABLE,2,FALSE)</f>
        <v xml:space="preserve">  </v>
      </c>
      <c r="AF138" s="68">
        <v>1</v>
      </c>
      <c r="AG138" s="69" t="e">
        <f>AE138*AF138</f>
        <v>#VALUE!</v>
      </c>
      <c r="AH138" s="496" t="s">
        <v>97</v>
      </c>
      <c r="AI138" s="496"/>
      <c r="AJ138" s="496" t="s">
        <v>98</v>
      </c>
      <c r="AK138" s="496"/>
      <c r="AL138" s="494" t="s">
        <v>99</v>
      </c>
      <c r="AM138" s="494"/>
      <c r="AP138" s="86" t="s">
        <v>112</v>
      </c>
      <c r="AQ138" s="89" t="s">
        <v>113</v>
      </c>
      <c r="AR138" s="89" t="s">
        <v>114</v>
      </c>
      <c r="AS138" s="89" t="s">
        <v>115</v>
      </c>
      <c r="AU138" s="81"/>
    </row>
    <row r="139" spans="1:47" x14ac:dyDescent="0.25">
      <c r="A139" s="84">
        <f>A138+1</f>
        <v>22</v>
      </c>
      <c r="B139" s="84" t="str">
        <f t="shared" si="69"/>
        <v xml:space="preserve">  </v>
      </c>
      <c r="C139" s="88" t="str">
        <f t="shared" ref="C139" si="71">B140</f>
        <v xml:space="preserve">  </v>
      </c>
      <c r="D139" s="82" t="str">
        <f>VLOOKUP(C139,STN_TABLE,2,FALSE)</f>
        <v xml:space="preserve">  </v>
      </c>
      <c r="E139" s="92">
        <v>1</v>
      </c>
      <c r="F139" s="82" t="e">
        <f>D139*E139</f>
        <v>#VALUE!</v>
      </c>
      <c r="G139" s="83" t="str">
        <f>C139</f>
        <v xml:space="preserve">  </v>
      </c>
      <c r="H139" s="83" t="e">
        <f>F139*G139</f>
        <v>#VALUE!</v>
      </c>
      <c r="I139" s="84" t="str">
        <f>CONCATENATE("a'(",C139,")=")</f>
        <v>a'(  )=</v>
      </c>
      <c r="J139" s="84" t="e">
        <f>2*J137/3*F140</f>
        <v>#VALUE!</v>
      </c>
      <c r="K139" s="84" t="e">
        <f>CONCATENATE("A(",C137,")=")</f>
        <v>#VALUE!</v>
      </c>
      <c r="L139" s="84" t="e">
        <f>VLOOKUP(C137,STN_TABLE,3,FALSE)</f>
        <v>#VALUE!</v>
      </c>
      <c r="M139" t="str">
        <f>CONCATENATE("A(",C139,")=")</f>
        <v>A(  )=</v>
      </c>
      <c r="N139" t="e">
        <f>J139+L139</f>
        <v>#VALUE!</v>
      </c>
      <c r="O139" s="99">
        <f>O138+1</f>
        <v>24</v>
      </c>
      <c r="P139" s="99" t="str">
        <f t="shared" si="65"/>
        <v xml:space="preserve">  </v>
      </c>
      <c r="Q139" s="82" t="e">
        <f>IF(P139-P138=P138-P137,P139,IF(P140-P138=P138-P137,P140,IF(P139-P138=P138-P136,P139,IF(P140-P138=P138-P136,P140,"-"))))</f>
        <v>#VALUE!</v>
      </c>
      <c r="R139" s="83" t="e">
        <f>VLOOKUP(Q139,STN_TABLE,2,FALSE)</f>
        <v>#VALUE!</v>
      </c>
      <c r="S139" s="83">
        <v>-1</v>
      </c>
      <c r="T139" s="82" t="e">
        <f>R139*S139</f>
        <v>#VALUE!</v>
      </c>
      <c r="U139" s="88">
        <v>-1</v>
      </c>
      <c r="V139" s="82" t="e">
        <f>R139*U139</f>
        <v>#VALUE!</v>
      </c>
      <c r="W139" s="84" t="str">
        <f>CONCATENATE("a'(",Q138,")=")</f>
        <v>a'(  )=</v>
      </c>
      <c r="X139" s="84" t="e">
        <f>2*X137/12*T140</f>
        <v>#VALUE!</v>
      </c>
      <c r="Y139" s="84" t="e">
        <f>CONCATENATE("A(",Q137,")=")</f>
        <v>#VALUE!</v>
      </c>
      <c r="Z139" s="84" t="e">
        <f>VLOOKUP(Q137,STN_TABLE,3,FALSE)</f>
        <v>#VALUE!</v>
      </c>
      <c r="AA139" t="str">
        <f>CONCATENATE("A(",Q138,")=")</f>
        <v>A(  )=</v>
      </c>
      <c r="AB139" t="e">
        <f>X139+Z139</f>
        <v>#VALUE!</v>
      </c>
      <c r="AC139" s="99">
        <f>AC138+1</f>
        <v>23</v>
      </c>
      <c r="AD139" s="100" t="str">
        <f>VLOOKUP(AC139,STN_TABLE_2,2,FALSE)</f>
        <v xml:space="preserve">  </v>
      </c>
      <c r="AE139" s="82" t="str">
        <f>VLOOKUP(AD139,STN_TABLE,2,FALSE)</f>
        <v xml:space="preserve">  </v>
      </c>
      <c r="AF139" s="82">
        <v>2</v>
      </c>
      <c r="AG139" s="83" t="e">
        <f>AE139*AF139</f>
        <v>#VALUE!</v>
      </c>
      <c r="AH139" s="84" t="str">
        <f>CONCATENATE("a'(",AD139,")=")</f>
        <v>a'(  )=</v>
      </c>
      <c r="AI139" s="84" t="e">
        <f>2*AI137/2*AE140</f>
        <v>#VALUE!</v>
      </c>
      <c r="AJ139" s="84" t="str">
        <f>CONCATENATE("A(",AD138,")=")</f>
        <v>A(  )=</v>
      </c>
      <c r="AK139" s="84" t="str">
        <f>VLOOKUP(AD138,STN_TABLE,3,FALSE)</f>
        <v xml:space="preserve"> </v>
      </c>
      <c r="AL139" t="str">
        <f>CONCATENATE("A(",AD139,")=")</f>
        <v>A(  )=</v>
      </c>
      <c r="AM139" t="e">
        <f>AI139+AK139</f>
        <v>#VALUE!</v>
      </c>
      <c r="AO139" s="68" t="str">
        <f>AA139</f>
        <v>A(  )=</v>
      </c>
      <c r="AP139" s="68" t="e">
        <f>VLOOKUP(AO139,Rise_Results,2,FALSE)</f>
        <v>#N/A</v>
      </c>
      <c r="AQ139" s="76" t="e">
        <f>N139</f>
        <v>#VALUE!</v>
      </c>
      <c r="AR139" s="76" t="e">
        <f>IF(OR(AB139&lt;=0,AB140&lt;=0),1/0,AB139)</f>
        <v>#VALUE!</v>
      </c>
      <c r="AS139" s="76" t="e">
        <f>AM139</f>
        <v>#VALUE!</v>
      </c>
      <c r="AT139" t="e">
        <f>IFERROR(AP139,IFERROR(AQ139,IFERROR(AR139,AS139)))</f>
        <v>#VALUE!</v>
      </c>
      <c r="AU139" s="81"/>
    </row>
    <row r="140" spans="1:47" x14ac:dyDescent="0.25">
      <c r="A140" s="84">
        <f>A139+1</f>
        <v>23</v>
      </c>
      <c r="B140" s="84" t="str">
        <f t="shared" si="69"/>
        <v xml:space="preserve">  </v>
      </c>
      <c r="F140" s="82" t="e">
        <f>SUM(F137:F139)</f>
        <v>#VALUE!</v>
      </c>
      <c r="H140" s="82" t="e">
        <f>SUM(H137:H139)</f>
        <v>#VALUE!</v>
      </c>
      <c r="I140" s="84" t="str">
        <f>CONCATENATE("m'(",C139,")=")</f>
        <v>m'(  )=</v>
      </c>
      <c r="J140" s="84" t="e">
        <f>2*(J137*(WLS))/3*H140</f>
        <v>#VALUE!</v>
      </c>
      <c r="K140" s="84" t="e">
        <f>CONCATENATE("M(",C137,")=")</f>
        <v>#VALUE!</v>
      </c>
      <c r="L140" s="84" t="e">
        <f>VLOOKUP(C137,STN_TABLE,4,FALSE)</f>
        <v>#VALUE!</v>
      </c>
      <c r="M140" t="str">
        <f>CONCATENATE("M(",C139,")=")</f>
        <v>M(  )=</v>
      </c>
      <c r="N140" t="e">
        <f>J140+L140</f>
        <v>#VALUE!</v>
      </c>
      <c r="O140" s="99">
        <f>O139+1</f>
        <v>25</v>
      </c>
      <c r="P140" s="99" t="str">
        <f t="shared" si="65"/>
        <v xml:space="preserve">  </v>
      </c>
      <c r="T140" s="89" t="e">
        <f>SUM(T137:T139)</f>
        <v>#VALUE!</v>
      </c>
      <c r="V140" s="82" t="e">
        <f>SUM(V137:V139)</f>
        <v>#VALUE!</v>
      </c>
      <c r="W140" s="84" t="str">
        <f>CONCATENATE("m'(",Q138,")=")</f>
        <v>m'(  )=</v>
      </c>
      <c r="X140" s="84" t="e">
        <f>(2*(X137^2)/24*V140)+(X139*Q137*WLS)</f>
        <v>#VALUE!</v>
      </c>
      <c r="Y140" s="84" t="e">
        <f>CONCATENATE("M(",Q137,")=")</f>
        <v>#VALUE!</v>
      </c>
      <c r="Z140" s="84" t="e">
        <f>VLOOKUP(Q137,STN_TABLE,4,FALSE)</f>
        <v>#VALUE!</v>
      </c>
      <c r="AA140" t="str">
        <f>CONCATENATE("M(",Q138,")=")</f>
        <v>M(  )=</v>
      </c>
      <c r="AB140" t="e">
        <f>X140+Z140</f>
        <v>#VALUE!</v>
      </c>
      <c r="AE140" s="89">
        <f>SUM(AE138:AE139)</f>
        <v>0</v>
      </c>
      <c r="AG140" s="89" t="e">
        <f>SUM(AG138:AG139)</f>
        <v>#VALUE!</v>
      </c>
      <c r="AH140" s="84" t="str">
        <f>CONCATENATE("m'(",AD139,")=")</f>
        <v>m'(  )=</v>
      </c>
      <c r="AI140" s="84" t="e">
        <f>(2*(AI137^2)/6*AG140)+(AI139*AD138*WLS)</f>
        <v>#VALUE!</v>
      </c>
      <c r="AJ140" s="84" t="str">
        <f>CONCATENATE("M(",AD138,")=")</f>
        <v>M(  )=</v>
      </c>
      <c r="AK140" s="84" t="str">
        <f>VLOOKUP(AD138,STN_TABLE,4,FALSE)</f>
        <v xml:space="preserve"> </v>
      </c>
      <c r="AL140" t="str">
        <f>CONCATENATE("M(",AD139,")=")</f>
        <v>M(  )=</v>
      </c>
      <c r="AM140" t="e">
        <f>AI140+AK140</f>
        <v>#VALUE!</v>
      </c>
      <c r="AO140" s="82" t="str">
        <f>AA140</f>
        <v>M(  )=</v>
      </c>
      <c r="AP140" s="82" t="e">
        <f>VLOOKUP(AO140,Rise_Results,2,FALSE)</f>
        <v>#N/A</v>
      </c>
      <c r="AQ140" s="82" t="e">
        <f>N140</f>
        <v>#VALUE!</v>
      </c>
      <c r="AR140" s="82" t="e">
        <f>IF(OR(AB139&lt;=0,AB140&lt;=0),1/0,AB140)</f>
        <v>#VALUE!</v>
      </c>
      <c r="AS140" s="82" t="e">
        <f>AM140</f>
        <v>#VALUE!</v>
      </c>
      <c r="AT140" t="e">
        <f>IFERROR(AP140,IFERROR(AQ140,IFERROR(AR140,AS140)))</f>
        <v>#VALUE!</v>
      </c>
      <c r="AU140" s="81"/>
    </row>
    <row r="141" spans="1:47" x14ac:dyDescent="0.25">
      <c r="A141" s="101">
        <f>A136+1</f>
        <v>20</v>
      </c>
      <c r="B141" s="101" t="str">
        <f t="shared" si="69"/>
        <v xml:space="preserve">  </v>
      </c>
      <c r="O141" s="101">
        <f>O136+1</f>
        <v>22</v>
      </c>
      <c r="P141" s="101" t="str">
        <f t="shared" si="65"/>
        <v xml:space="preserve">  </v>
      </c>
      <c r="AU141" s="81"/>
    </row>
    <row r="142" spans="1:47" x14ac:dyDescent="0.25">
      <c r="A142" s="84">
        <f>A141+1</f>
        <v>21</v>
      </c>
      <c r="B142" s="84" t="str">
        <f t="shared" si="69"/>
        <v xml:space="preserve">  </v>
      </c>
      <c r="C142" s="79" t="e">
        <f t="shared" ref="C142" si="72">IF(C143=B144,IF(C144-C143=C143-B143,B143,IF(C144-C143=C143-B142,B142,"#NA")),IF(C143=B143,IF(C144-C143=C143-B142,B142,IF(C144-C143=C143-B141,B141,"#NA")),"#NA"))</f>
        <v>#VALUE!</v>
      </c>
      <c r="D142" s="68" t="e">
        <f>VLOOKUP(C142,STN_TABLE,2,FALSE)</f>
        <v>#VALUE!</v>
      </c>
      <c r="E142" s="102">
        <v>1</v>
      </c>
      <c r="F142" s="68" t="e">
        <f>D142*E142</f>
        <v>#VALUE!</v>
      </c>
      <c r="G142" s="69" t="e">
        <f>C142</f>
        <v>#VALUE!</v>
      </c>
      <c r="H142" s="69" t="e">
        <f>F142*G142</f>
        <v>#VALUE!</v>
      </c>
      <c r="I142" s="6" t="s">
        <v>93</v>
      </c>
      <c r="J142" s="70" t="e">
        <f>IF(OR(D142=0,D143=0,D144=0),"#NA",IF(AND(C144-C143=C143-C142,C143&lt;&gt;C144,C142&lt;&gt;C143,C142&lt;&gt;C144,D144&lt;&gt;0,OR(D142&lt;&gt;0,D143&lt;&gt;0)),WLS*(C144-C143),"#NA"))</f>
        <v>#VALUE!</v>
      </c>
      <c r="O142" s="99">
        <f>O141+1</f>
        <v>23</v>
      </c>
      <c r="P142" s="99" t="str">
        <f t="shared" si="65"/>
        <v xml:space="preserve">  </v>
      </c>
      <c r="Q142" s="68" t="e">
        <f>IF(OR(P144-P143=P143-P142,P145-P143=P143-P142),P142,IF(OR(P144-P143=P143-P141,P145-P143=P143-P141),P141,"-"))</f>
        <v>#VALUE!</v>
      </c>
      <c r="R142" s="69" t="e">
        <f>VLOOKUP(Q142,STN_TABLE,2,FALSE)</f>
        <v>#VALUE!</v>
      </c>
      <c r="S142" s="69">
        <v>5</v>
      </c>
      <c r="T142" s="68" t="e">
        <f>R142*S142</f>
        <v>#VALUE!</v>
      </c>
      <c r="U142" s="79">
        <v>3</v>
      </c>
      <c r="V142" s="68" t="e">
        <f>R142*U142</f>
        <v>#VALUE!</v>
      </c>
      <c r="W142" s="6" t="s">
        <v>93</v>
      </c>
      <c r="X142" s="70" t="e">
        <f>IF(AND(Q144-Q143=Q143-Q142,NOT(AND(Q142=0,Q143=0)),NOT(AND(Q143=0,Q144=0))),WLS*(Q144-Q143),"#NA")</f>
        <v>#VALUE!</v>
      </c>
      <c r="AD142" s="93"/>
      <c r="AH142" s="6" t="s">
        <v>93</v>
      </c>
      <c r="AI142" s="70" t="e">
        <f>WLS*(AD144-AD143)</f>
        <v>#VALUE!</v>
      </c>
      <c r="AU142" s="81"/>
    </row>
    <row r="143" spans="1:47" x14ac:dyDescent="0.25">
      <c r="A143" s="84">
        <f>A142+1</f>
        <v>22</v>
      </c>
      <c r="B143" s="84" t="str">
        <f t="shared" si="69"/>
        <v xml:space="preserve">  </v>
      </c>
      <c r="C143" s="80" t="e">
        <f t="shared" ref="C143" si="73">IF(OR(B145-B144=B144-B143,B145-B144=B144-B142,B145-B144=B144-B141),B144,IF(OR(B145-B143=B143-B142,B145-B143=B143-B141),B143,IF(B145-B142=B142-B141,B142,"#NA")))</f>
        <v>#VALUE!</v>
      </c>
      <c r="D143" s="76" t="e">
        <f>VLOOKUP(C143,STN_TABLE,2,FALSE)</f>
        <v>#VALUE!</v>
      </c>
      <c r="E143" s="81">
        <v>4</v>
      </c>
      <c r="F143" s="76" t="e">
        <f>D143*E143</f>
        <v>#VALUE!</v>
      </c>
      <c r="G143" s="77" t="e">
        <f>C143</f>
        <v>#VALUE!</v>
      </c>
      <c r="H143" s="77" t="e">
        <f>F143*G143</f>
        <v>#VALUE!</v>
      </c>
      <c r="I143" s="495" t="s">
        <v>97</v>
      </c>
      <c r="J143" s="496"/>
      <c r="K143" s="78" t="s">
        <v>98</v>
      </c>
      <c r="L143" s="78"/>
      <c r="M143" s="7" t="s">
        <v>99</v>
      </c>
      <c r="N143" s="7"/>
      <c r="O143" s="99">
        <f>O142+1</f>
        <v>24</v>
      </c>
      <c r="P143" s="99" t="str">
        <f t="shared" si="65"/>
        <v xml:space="preserve">  </v>
      </c>
      <c r="Q143" s="76" t="str">
        <f>P143</f>
        <v xml:space="preserve">  </v>
      </c>
      <c r="R143" s="77" t="str">
        <f>VLOOKUP(Q143,STN_TABLE,2,FALSE)</f>
        <v xml:space="preserve">  </v>
      </c>
      <c r="S143" s="77">
        <v>8</v>
      </c>
      <c r="T143" s="76" t="e">
        <f>R143*S143</f>
        <v>#VALUE!</v>
      </c>
      <c r="U143" s="80">
        <v>10</v>
      </c>
      <c r="V143" s="76" t="e">
        <f>R143*U143</f>
        <v>#VALUE!</v>
      </c>
      <c r="W143" s="496" t="s">
        <v>97</v>
      </c>
      <c r="X143" s="496"/>
      <c r="Y143" s="496" t="s">
        <v>98</v>
      </c>
      <c r="Z143" s="496"/>
      <c r="AA143" s="494" t="s">
        <v>99</v>
      </c>
      <c r="AB143" s="494"/>
      <c r="AC143" s="99">
        <f>AC138+1</f>
        <v>23</v>
      </c>
      <c r="AD143" s="95" t="str">
        <f>VLOOKUP(AC143,STN_TABLE_2,2,FALSE)</f>
        <v xml:space="preserve">  </v>
      </c>
      <c r="AE143" s="68" t="str">
        <f>VLOOKUP(AD143,STN_TABLE,2,FALSE)</f>
        <v xml:space="preserve">  </v>
      </c>
      <c r="AF143" s="68">
        <v>1</v>
      </c>
      <c r="AG143" s="69" t="e">
        <f>AE143*AF143</f>
        <v>#VALUE!</v>
      </c>
      <c r="AH143" s="496" t="s">
        <v>97</v>
      </c>
      <c r="AI143" s="496"/>
      <c r="AJ143" s="496" t="s">
        <v>98</v>
      </c>
      <c r="AK143" s="496"/>
      <c r="AL143" s="494" t="s">
        <v>99</v>
      </c>
      <c r="AM143" s="494"/>
      <c r="AP143" s="86" t="s">
        <v>112</v>
      </c>
      <c r="AQ143" s="89" t="s">
        <v>113</v>
      </c>
      <c r="AR143" s="89" t="s">
        <v>114</v>
      </c>
      <c r="AS143" s="89" t="s">
        <v>115</v>
      </c>
      <c r="AU143" s="81"/>
    </row>
    <row r="144" spans="1:47" x14ac:dyDescent="0.25">
      <c r="A144" s="84">
        <f>A143+1</f>
        <v>23</v>
      </c>
      <c r="B144" s="84" t="str">
        <f t="shared" si="69"/>
        <v xml:space="preserve">  </v>
      </c>
      <c r="C144" s="88" t="str">
        <f t="shared" ref="C144" si="74">B145</f>
        <v xml:space="preserve">  </v>
      </c>
      <c r="D144" s="82" t="str">
        <f>VLOOKUP(C144,STN_TABLE,2,FALSE)</f>
        <v xml:space="preserve">  </v>
      </c>
      <c r="E144" s="92">
        <v>1</v>
      </c>
      <c r="F144" s="82" t="e">
        <f>D144*E144</f>
        <v>#VALUE!</v>
      </c>
      <c r="G144" s="83" t="str">
        <f>C144</f>
        <v xml:space="preserve">  </v>
      </c>
      <c r="H144" s="83" t="e">
        <f>F144*G144</f>
        <v>#VALUE!</v>
      </c>
      <c r="I144" s="84" t="str">
        <f>CONCATENATE("a'(",C144,")=")</f>
        <v>a'(  )=</v>
      </c>
      <c r="J144" s="84" t="e">
        <f>2*J142/3*F145</f>
        <v>#VALUE!</v>
      </c>
      <c r="K144" s="84" t="e">
        <f>CONCATENATE("A(",C142,")=")</f>
        <v>#VALUE!</v>
      </c>
      <c r="L144" s="84" t="e">
        <f>VLOOKUP(C142,STN_TABLE,3,FALSE)</f>
        <v>#VALUE!</v>
      </c>
      <c r="M144" t="str">
        <f>CONCATENATE("A(",C144,")=")</f>
        <v>A(  )=</v>
      </c>
      <c r="N144" t="e">
        <f>J144+L144</f>
        <v>#VALUE!</v>
      </c>
      <c r="O144" s="99">
        <f>O143+1</f>
        <v>25</v>
      </c>
      <c r="P144" s="99" t="str">
        <f t="shared" si="65"/>
        <v xml:space="preserve">  </v>
      </c>
      <c r="Q144" s="82" t="e">
        <f>IF(P144-P143=P143-P142,P144,IF(P145-P143=P143-P142,P145,IF(P144-P143=P143-P141,P144,IF(P145-P143=P143-P141,P145,"-"))))</f>
        <v>#VALUE!</v>
      </c>
      <c r="R144" s="83" t="e">
        <f>VLOOKUP(Q144,STN_TABLE,2,FALSE)</f>
        <v>#VALUE!</v>
      </c>
      <c r="S144" s="83">
        <v>-1</v>
      </c>
      <c r="T144" s="82" t="e">
        <f>R144*S144</f>
        <v>#VALUE!</v>
      </c>
      <c r="U144" s="88">
        <v>-1</v>
      </c>
      <c r="V144" s="82" t="e">
        <f>R144*U144</f>
        <v>#VALUE!</v>
      </c>
      <c r="W144" s="84" t="str">
        <f>CONCATENATE("a'(",Q143,")=")</f>
        <v>a'(  )=</v>
      </c>
      <c r="X144" s="84" t="e">
        <f>2*X142/12*T145</f>
        <v>#VALUE!</v>
      </c>
      <c r="Y144" s="84" t="e">
        <f>CONCATENATE("A(",Q142,")=")</f>
        <v>#VALUE!</v>
      </c>
      <c r="Z144" s="84" t="e">
        <f>VLOOKUP(Q142,STN_TABLE,3,FALSE)</f>
        <v>#VALUE!</v>
      </c>
      <c r="AA144" t="str">
        <f>CONCATENATE("A(",Q143,")=")</f>
        <v>A(  )=</v>
      </c>
      <c r="AB144" t="e">
        <f>X144+Z144</f>
        <v>#VALUE!</v>
      </c>
      <c r="AC144" s="99">
        <f>AC143+1</f>
        <v>24</v>
      </c>
      <c r="AD144" s="100" t="str">
        <f>VLOOKUP(AC144,STN_TABLE_2,2,FALSE)</f>
        <v xml:space="preserve">  </v>
      </c>
      <c r="AE144" s="82" t="str">
        <f>VLOOKUP(AD144,STN_TABLE,2,FALSE)</f>
        <v xml:space="preserve">  </v>
      </c>
      <c r="AF144" s="82">
        <v>2</v>
      </c>
      <c r="AG144" s="83" t="e">
        <f>AE144*AF144</f>
        <v>#VALUE!</v>
      </c>
      <c r="AH144" s="84" t="str">
        <f>CONCATENATE("a'(",AD144,")=")</f>
        <v>a'(  )=</v>
      </c>
      <c r="AI144" s="84" t="e">
        <f>2*AI142/2*AE145</f>
        <v>#VALUE!</v>
      </c>
      <c r="AJ144" s="84" t="str">
        <f>CONCATENATE("A(",AD143,")=")</f>
        <v>A(  )=</v>
      </c>
      <c r="AK144" s="84" t="str">
        <f>VLOOKUP(AD143,STN_TABLE,3,FALSE)</f>
        <v xml:space="preserve"> </v>
      </c>
      <c r="AL144" t="str">
        <f>CONCATENATE("A(",AD144,")=")</f>
        <v>A(  )=</v>
      </c>
      <c r="AM144" t="e">
        <f>AI144+AK144</f>
        <v>#VALUE!</v>
      </c>
      <c r="AO144" s="68" t="str">
        <f>AA144</f>
        <v>A(  )=</v>
      </c>
      <c r="AP144" s="68" t="e">
        <f>VLOOKUP(AO144,Rise_Results,2,FALSE)</f>
        <v>#N/A</v>
      </c>
      <c r="AQ144" s="76" t="e">
        <f>N144</f>
        <v>#VALUE!</v>
      </c>
      <c r="AR144" s="76" t="e">
        <f>IF(OR(AB144&lt;=0,AB145&lt;=0),1/0,AB144)</f>
        <v>#VALUE!</v>
      </c>
      <c r="AS144" s="76" t="e">
        <f>AM144</f>
        <v>#VALUE!</v>
      </c>
      <c r="AT144" t="e">
        <f>IFERROR(AP144,IFERROR(AQ144,IFERROR(AR144,AS144)))</f>
        <v>#VALUE!</v>
      </c>
      <c r="AU144" s="81"/>
    </row>
    <row r="145" spans="1:47" x14ac:dyDescent="0.25">
      <c r="A145" s="84">
        <f>A144+1</f>
        <v>24</v>
      </c>
      <c r="B145" s="84" t="str">
        <f t="shared" si="69"/>
        <v xml:space="preserve">  </v>
      </c>
      <c r="F145" s="82" t="e">
        <f>SUM(F142:F144)</f>
        <v>#VALUE!</v>
      </c>
      <c r="H145" s="82" t="e">
        <f>SUM(H142:H144)</f>
        <v>#VALUE!</v>
      </c>
      <c r="I145" s="84" t="str">
        <f>CONCATENATE("m'(",C144,")=")</f>
        <v>m'(  )=</v>
      </c>
      <c r="J145" s="84" t="e">
        <f>2*(J142*(WLS))/3*H145</f>
        <v>#VALUE!</v>
      </c>
      <c r="K145" s="84" t="e">
        <f>CONCATENATE("M(",C142,")=")</f>
        <v>#VALUE!</v>
      </c>
      <c r="L145" s="84" t="e">
        <f>VLOOKUP(C142,STN_TABLE,4,FALSE)</f>
        <v>#VALUE!</v>
      </c>
      <c r="M145" t="str">
        <f>CONCATENATE("M(",C144,")=")</f>
        <v>M(  )=</v>
      </c>
      <c r="N145" t="e">
        <f>J145+L145</f>
        <v>#VALUE!</v>
      </c>
      <c r="O145" s="99">
        <f>O144+1</f>
        <v>26</v>
      </c>
      <c r="P145" s="99" t="e">
        <f t="shared" si="65"/>
        <v>#N/A</v>
      </c>
      <c r="T145" s="89" t="e">
        <f>SUM(T142:T144)</f>
        <v>#VALUE!</v>
      </c>
      <c r="V145" s="82" t="e">
        <f>SUM(V142:V144)</f>
        <v>#VALUE!</v>
      </c>
      <c r="W145" s="84" t="str">
        <f>CONCATENATE("m'(",Q143,")=")</f>
        <v>m'(  )=</v>
      </c>
      <c r="X145" s="84" t="e">
        <f>(2*(X142^2)/24*V145)+(X144*Q142*WLS)</f>
        <v>#VALUE!</v>
      </c>
      <c r="Y145" s="84" t="e">
        <f>CONCATENATE("M(",Q142,")=")</f>
        <v>#VALUE!</v>
      </c>
      <c r="Z145" s="84" t="e">
        <f>VLOOKUP(Q142,STN_TABLE,4,FALSE)</f>
        <v>#VALUE!</v>
      </c>
      <c r="AA145" t="str">
        <f>CONCATENATE("M(",Q143,")=")</f>
        <v>M(  )=</v>
      </c>
      <c r="AB145" t="e">
        <f>X145+Z145</f>
        <v>#VALUE!</v>
      </c>
      <c r="AE145" s="89">
        <f>SUM(AE143:AE144)</f>
        <v>0</v>
      </c>
      <c r="AG145" s="89" t="e">
        <f>SUM(AG143:AG144)</f>
        <v>#VALUE!</v>
      </c>
      <c r="AH145" s="84" t="str">
        <f>CONCATENATE("m'(",AD144,")=")</f>
        <v>m'(  )=</v>
      </c>
      <c r="AI145" s="84" t="e">
        <f>(2*(AI142^2)/6*AG145)+(AI144*AD143*WLS)</f>
        <v>#VALUE!</v>
      </c>
      <c r="AJ145" s="84" t="str">
        <f>CONCATENATE("M(",AD143,")=")</f>
        <v>M(  )=</v>
      </c>
      <c r="AK145" s="84" t="str">
        <f>VLOOKUP(AD143,STN_TABLE,4,FALSE)</f>
        <v xml:space="preserve"> </v>
      </c>
      <c r="AL145" t="str">
        <f>CONCATENATE("M(",AD144,")=")</f>
        <v>M(  )=</v>
      </c>
      <c r="AM145" t="e">
        <f>AI145+AK145</f>
        <v>#VALUE!</v>
      </c>
      <c r="AO145" s="82" t="str">
        <f>AA145</f>
        <v>M(  )=</v>
      </c>
      <c r="AP145" s="82" t="e">
        <f>VLOOKUP(AO145,Rise_Results,2,FALSE)</f>
        <v>#N/A</v>
      </c>
      <c r="AQ145" s="82" t="e">
        <f>N145</f>
        <v>#VALUE!</v>
      </c>
      <c r="AR145" s="82" t="e">
        <f>IF(OR(AB144&lt;=0,AB145&lt;=0),1/0,AB145)</f>
        <v>#VALUE!</v>
      </c>
      <c r="AS145" s="82" t="e">
        <f>AM145</f>
        <v>#VALUE!</v>
      </c>
      <c r="AT145" t="e">
        <f>IFERROR(AP145,IFERROR(AQ145,IFERROR(AR145,AS145)))</f>
        <v>#VALUE!</v>
      </c>
      <c r="AU145" s="81"/>
    </row>
    <row r="146" spans="1:47" x14ac:dyDescent="0.25">
      <c r="A146" s="101">
        <f>A141+1</f>
        <v>21</v>
      </c>
      <c r="B146" s="101" t="str">
        <f t="shared" si="69"/>
        <v xml:space="preserve">  </v>
      </c>
      <c r="O146" s="101">
        <f>O141+1</f>
        <v>23</v>
      </c>
      <c r="P146" s="101" t="str">
        <f t="shared" si="65"/>
        <v xml:space="preserve">  </v>
      </c>
      <c r="AU146" s="81"/>
    </row>
    <row r="147" spans="1:47" x14ac:dyDescent="0.25">
      <c r="A147" s="84">
        <f>A146+1</f>
        <v>22</v>
      </c>
      <c r="B147" s="84" t="str">
        <f t="shared" si="69"/>
        <v xml:space="preserve">  </v>
      </c>
      <c r="C147" s="79" t="e">
        <f t="shared" ref="C147" si="75">IF(C148=B149,IF(C149-C148=C148-B148,B148,IF(C149-C148=C148-B147,B147,"#NA")),IF(C148=B148,IF(C149-C148=C148-B147,B147,IF(C149-C148=C148-B146,B146,"#NA")),"#NA"))</f>
        <v>#VALUE!</v>
      </c>
      <c r="D147" s="68" t="e">
        <f>VLOOKUP(C147,STN_TABLE,2,FALSE)</f>
        <v>#VALUE!</v>
      </c>
      <c r="E147" s="102">
        <v>1</v>
      </c>
      <c r="F147" s="68" t="e">
        <f>D147*E147</f>
        <v>#VALUE!</v>
      </c>
      <c r="G147" s="69" t="e">
        <f>C147</f>
        <v>#VALUE!</v>
      </c>
      <c r="H147" s="69" t="e">
        <f>F147*G147</f>
        <v>#VALUE!</v>
      </c>
      <c r="I147" s="6" t="s">
        <v>93</v>
      </c>
      <c r="J147" s="70" t="e">
        <f>IF(OR(D147=0,D148=0,D149=0),"#NA",IF(AND(C149-C148=C148-C147,C148&lt;&gt;C149,C147&lt;&gt;C148,C147&lt;&gt;C149,D149&lt;&gt;0,OR(D147&lt;&gt;0,D148&lt;&gt;0)),WLS*(C149-C148),"#NA"))</f>
        <v>#VALUE!</v>
      </c>
      <c r="O147" s="99">
        <f>O146+1</f>
        <v>24</v>
      </c>
      <c r="P147" s="99" t="str">
        <f t="shared" si="65"/>
        <v xml:space="preserve">  </v>
      </c>
      <c r="Q147" s="68" t="e">
        <f>IF(OR(P149-P148=P148-P147,P150-P148=P148-P147),P147,IF(OR(P149-P148=P148-P146,P150-P148=P148-P146),P146,"-"))</f>
        <v>#N/A</v>
      </c>
      <c r="R147" s="69" t="e">
        <f>VLOOKUP(Q147,STN_TABLE,2,FALSE)</f>
        <v>#N/A</v>
      </c>
      <c r="S147" s="69">
        <v>5</v>
      </c>
      <c r="T147" s="68" t="e">
        <f>R147*S147</f>
        <v>#N/A</v>
      </c>
      <c r="U147" s="79">
        <v>3</v>
      </c>
      <c r="V147" s="68" t="e">
        <f>R147*U147</f>
        <v>#N/A</v>
      </c>
      <c r="W147" s="6" t="s">
        <v>93</v>
      </c>
      <c r="X147" s="70" t="e">
        <f>IF(AND(Q149-Q148=Q148-Q147,NOT(AND(Q147=0,Q148=0)),NOT(AND(Q148=0,Q149=0))),WLS*(Q149-Q148),"#NA")</f>
        <v>#N/A</v>
      </c>
      <c r="AD147" s="93"/>
      <c r="AH147" s="6" t="s">
        <v>93</v>
      </c>
      <c r="AI147" s="70" t="e">
        <f>WLS*(AD149-AD148)</f>
        <v>#VALUE!</v>
      </c>
      <c r="AU147" s="81"/>
    </row>
    <row r="148" spans="1:47" x14ac:dyDescent="0.25">
      <c r="A148" s="84">
        <f>A147+1</f>
        <v>23</v>
      </c>
      <c r="B148" s="84" t="str">
        <f t="shared" si="69"/>
        <v xml:space="preserve">  </v>
      </c>
      <c r="C148" s="80" t="e">
        <f t="shared" ref="C148" si="76">IF(OR(B150-B149=B149-B148,B150-B149=B149-B147,B150-B149=B149-B146),B149,IF(OR(B150-B148=B148-B147,B150-B148=B148-B146),B148,IF(B150-B147=B147-B146,B147,"#NA")))</f>
        <v>#VALUE!</v>
      </c>
      <c r="D148" s="76" t="e">
        <f>VLOOKUP(C148,STN_TABLE,2,FALSE)</f>
        <v>#VALUE!</v>
      </c>
      <c r="E148" s="81">
        <v>4</v>
      </c>
      <c r="F148" s="76" t="e">
        <f>D148*E148</f>
        <v>#VALUE!</v>
      </c>
      <c r="G148" s="77" t="e">
        <f>C148</f>
        <v>#VALUE!</v>
      </c>
      <c r="H148" s="77" t="e">
        <f>F148*G148</f>
        <v>#VALUE!</v>
      </c>
      <c r="I148" s="495" t="s">
        <v>97</v>
      </c>
      <c r="J148" s="496"/>
      <c r="K148" s="78" t="s">
        <v>98</v>
      </c>
      <c r="L148" s="78"/>
      <c r="M148" s="7" t="s">
        <v>99</v>
      </c>
      <c r="N148" s="7"/>
      <c r="O148" s="99">
        <f>O147+1</f>
        <v>25</v>
      </c>
      <c r="P148" s="99" t="str">
        <f t="shared" si="65"/>
        <v xml:space="preserve">  </v>
      </c>
      <c r="Q148" s="76" t="str">
        <f>P148</f>
        <v xml:space="preserve">  </v>
      </c>
      <c r="R148" s="77" t="str">
        <f>VLOOKUP(Q148,STN_TABLE,2,FALSE)</f>
        <v xml:space="preserve">  </v>
      </c>
      <c r="S148" s="77">
        <v>8</v>
      </c>
      <c r="T148" s="76" t="e">
        <f>R148*S148</f>
        <v>#VALUE!</v>
      </c>
      <c r="U148" s="80">
        <v>10</v>
      </c>
      <c r="V148" s="76" t="e">
        <f>R148*U148</f>
        <v>#VALUE!</v>
      </c>
      <c r="W148" s="496" t="s">
        <v>97</v>
      </c>
      <c r="X148" s="496"/>
      <c r="Y148" s="496" t="s">
        <v>98</v>
      </c>
      <c r="Z148" s="496"/>
      <c r="AA148" s="494" t="s">
        <v>99</v>
      </c>
      <c r="AB148" s="494"/>
      <c r="AC148" s="99">
        <f>AC143+1</f>
        <v>24</v>
      </c>
      <c r="AD148" s="95" t="str">
        <f>VLOOKUP(AC148,STN_TABLE_2,2,FALSE)</f>
        <v xml:space="preserve">  </v>
      </c>
      <c r="AE148" s="68" t="str">
        <f>VLOOKUP(AD148,STN_TABLE,2,FALSE)</f>
        <v xml:space="preserve">  </v>
      </c>
      <c r="AF148" s="68">
        <v>1</v>
      </c>
      <c r="AG148" s="69" t="e">
        <f>AE148*AF148</f>
        <v>#VALUE!</v>
      </c>
      <c r="AH148" s="496" t="s">
        <v>97</v>
      </c>
      <c r="AI148" s="496"/>
      <c r="AJ148" s="496" t="s">
        <v>98</v>
      </c>
      <c r="AK148" s="496"/>
      <c r="AL148" s="494" t="s">
        <v>99</v>
      </c>
      <c r="AM148" s="494"/>
      <c r="AP148" s="86" t="s">
        <v>112</v>
      </c>
      <c r="AQ148" s="89" t="s">
        <v>113</v>
      </c>
      <c r="AR148" s="89" t="s">
        <v>114</v>
      </c>
      <c r="AS148" s="89" t="s">
        <v>115</v>
      </c>
      <c r="AU148" s="81"/>
    </row>
    <row r="149" spans="1:47" x14ac:dyDescent="0.25">
      <c r="A149" s="84">
        <f>A148+1</f>
        <v>24</v>
      </c>
      <c r="B149" s="84" t="str">
        <f t="shared" si="69"/>
        <v xml:space="preserve">  </v>
      </c>
      <c r="C149" s="88" t="str">
        <f t="shared" ref="C149" si="77">B150</f>
        <v xml:space="preserve">  </v>
      </c>
      <c r="D149" s="82" t="str">
        <f>VLOOKUP(C149,STN_TABLE,2,FALSE)</f>
        <v xml:space="preserve">  </v>
      </c>
      <c r="E149" s="92">
        <v>1</v>
      </c>
      <c r="F149" s="82" t="e">
        <f>D149*E149</f>
        <v>#VALUE!</v>
      </c>
      <c r="G149" s="83" t="str">
        <f>C149</f>
        <v xml:space="preserve">  </v>
      </c>
      <c r="H149" s="83" t="e">
        <f>F149*G149</f>
        <v>#VALUE!</v>
      </c>
      <c r="I149" s="84" t="str">
        <f>CONCATENATE("a'(",C149,")=")</f>
        <v>a'(  )=</v>
      </c>
      <c r="J149" s="84" t="e">
        <f>2*J147/3*F150</f>
        <v>#VALUE!</v>
      </c>
      <c r="K149" s="84" t="e">
        <f>CONCATENATE("A(",C147,")=")</f>
        <v>#VALUE!</v>
      </c>
      <c r="L149" s="84" t="e">
        <f>VLOOKUP(C147,STN_TABLE,3,FALSE)</f>
        <v>#VALUE!</v>
      </c>
      <c r="M149" t="str">
        <f>CONCATENATE("A(",C149,")=")</f>
        <v>A(  )=</v>
      </c>
      <c r="N149" t="e">
        <f>J149+L149</f>
        <v>#VALUE!</v>
      </c>
      <c r="O149" s="99">
        <f>O148+1</f>
        <v>26</v>
      </c>
      <c r="P149" s="99" t="e">
        <f t="shared" si="65"/>
        <v>#N/A</v>
      </c>
      <c r="Q149" s="82" t="e">
        <f>IF(P149-P148=P148-P147,P149,IF(P150-P148=P148-P147,P150,IF(P149-P148=P148-P146,P149,IF(P150-P148=P148-P146,P150,"-"))))</f>
        <v>#N/A</v>
      </c>
      <c r="R149" s="83" t="e">
        <f>VLOOKUP(Q149,STN_TABLE,2,FALSE)</f>
        <v>#N/A</v>
      </c>
      <c r="S149" s="83">
        <v>-1</v>
      </c>
      <c r="T149" s="82" t="e">
        <f>R149*S149</f>
        <v>#N/A</v>
      </c>
      <c r="U149" s="88">
        <v>-1</v>
      </c>
      <c r="V149" s="82" t="e">
        <f>R149*U149</f>
        <v>#N/A</v>
      </c>
      <c r="W149" s="84" t="str">
        <f>CONCATENATE("a'(",Q148,")=")</f>
        <v>a'(  )=</v>
      </c>
      <c r="X149" s="84" t="e">
        <f>2*X147/12*T150</f>
        <v>#N/A</v>
      </c>
      <c r="Y149" s="84" t="e">
        <f>CONCATENATE("A(",Q147,")=")</f>
        <v>#N/A</v>
      </c>
      <c r="Z149" s="84" t="e">
        <f>VLOOKUP(Q147,STN_TABLE,3,FALSE)</f>
        <v>#N/A</v>
      </c>
      <c r="AA149" t="str">
        <f>CONCATENATE("A(",Q148,")=")</f>
        <v>A(  )=</v>
      </c>
      <c r="AB149" t="e">
        <f>X149+Z149</f>
        <v>#N/A</v>
      </c>
      <c r="AC149" s="99">
        <f>AC148+1</f>
        <v>25</v>
      </c>
      <c r="AD149" s="100" t="str">
        <f>VLOOKUP(AC149,STN_TABLE_2,2,FALSE)</f>
        <v xml:space="preserve">  </v>
      </c>
      <c r="AE149" s="82" t="str">
        <f>VLOOKUP(AD149,STN_TABLE,2,FALSE)</f>
        <v xml:space="preserve">  </v>
      </c>
      <c r="AF149" s="82">
        <v>2</v>
      </c>
      <c r="AG149" s="83" t="e">
        <f>AE149*AF149</f>
        <v>#VALUE!</v>
      </c>
      <c r="AH149" s="84" t="str">
        <f>CONCATENATE("a'(",AD149,")=")</f>
        <v>a'(  )=</v>
      </c>
      <c r="AI149" s="84" t="e">
        <f>2*AI147/2*AE150</f>
        <v>#VALUE!</v>
      </c>
      <c r="AJ149" s="84" t="str">
        <f>CONCATENATE("A(",AD148,")=")</f>
        <v>A(  )=</v>
      </c>
      <c r="AK149" s="84" t="str">
        <f>VLOOKUP(AD148,STN_TABLE,3,FALSE)</f>
        <v xml:space="preserve"> </v>
      </c>
      <c r="AL149" t="str">
        <f>CONCATENATE("A(",AD149,")=")</f>
        <v>A(  )=</v>
      </c>
      <c r="AM149" t="e">
        <f>AI149+AK149</f>
        <v>#VALUE!</v>
      </c>
      <c r="AO149" s="68" t="str">
        <f>AA149</f>
        <v>A(  )=</v>
      </c>
      <c r="AP149" s="68" t="e">
        <f>VLOOKUP(AO149,Rise_Results,2,FALSE)</f>
        <v>#N/A</v>
      </c>
      <c r="AQ149" s="76" t="e">
        <f>N149</f>
        <v>#VALUE!</v>
      </c>
      <c r="AR149" s="76" t="e">
        <f>IF(OR(AB149&lt;=0,AB150&lt;=0),1/0,AB149)</f>
        <v>#N/A</v>
      </c>
      <c r="AS149" s="76" t="e">
        <f>AM149</f>
        <v>#VALUE!</v>
      </c>
      <c r="AT149" t="e">
        <f>IFERROR(AP149,IFERROR(AQ149,IFERROR(AR149,AS149)))</f>
        <v>#VALUE!</v>
      </c>
      <c r="AU149" s="81"/>
    </row>
    <row r="150" spans="1:47" x14ac:dyDescent="0.25">
      <c r="A150" s="84">
        <f>A149+1</f>
        <v>25</v>
      </c>
      <c r="B150" s="84" t="str">
        <f t="shared" si="69"/>
        <v xml:space="preserve">  </v>
      </c>
      <c r="F150" s="82" t="e">
        <f>SUM(F147:F149)</f>
        <v>#VALUE!</v>
      </c>
      <c r="H150" s="82" t="e">
        <f>SUM(H147:H149)</f>
        <v>#VALUE!</v>
      </c>
      <c r="I150" s="84" t="str">
        <f>CONCATENATE("m'(",C149,")=")</f>
        <v>m'(  )=</v>
      </c>
      <c r="J150" s="84" t="e">
        <f>2*(J147*(WLS))/3*H150</f>
        <v>#VALUE!</v>
      </c>
      <c r="K150" s="84" t="e">
        <f>CONCATENATE("M(",C147,")=")</f>
        <v>#VALUE!</v>
      </c>
      <c r="L150" s="84" t="e">
        <f>VLOOKUP(C147,STN_TABLE,4,FALSE)</f>
        <v>#VALUE!</v>
      </c>
      <c r="M150" t="str">
        <f>CONCATENATE("M(",C149,")=")</f>
        <v>M(  )=</v>
      </c>
      <c r="N150" t="e">
        <f>J150+L150</f>
        <v>#VALUE!</v>
      </c>
      <c r="O150" s="99">
        <f>O149+1</f>
        <v>27</v>
      </c>
      <c r="P150" s="99" t="e">
        <f t="shared" si="65"/>
        <v>#N/A</v>
      </c>
      <c r="T150" s="89" t="e">
        <f>SUM(T147:T149)</f>
        <v>#N/A</v>
      </c>
      <c r="V150" s="82" t="e">
        <f>SUM(V147:V149)</f>
        <v>#N/A</v>
      </c>
      <c r="W150" s="84" t="str">
        <f>CONCATENATE("m'(",Q148,")=")</f>
        <v>m'(  )=</v>
      </c>
      <c r="X150" s="84" t="e">
        <f>(2*(X147^2)/24*V150)+(X149*Q147*WLS)</f>
        <v>#N/A</v>
      </c>
      <c r="Y150" s="84" t="e">
        <f>CONCATENATE("M(",Q147,")=")</f>
        <v>#N/A</v>
      </c>
      <c r="Z150" s="84" t="e">
        <f>VLOOKUP(Q147,STN_TABLE,4,FALSE)</f>
        <v>#N/A</v>
      </c>
      <c r="AA150" t="str">
        <f>CONCATENATE("M(",Q148,")=")</f>
        <v>M(  )=</v>
      </c>
      <c r="AB150" t="e">
        <f>X150+Z150</f>
        <v>#N/A</v>
      </c>
      <c r="AE150" s="89">
        <f>SUM(AE148:AE149)</f>
        <v>0</v>
      </c>
      <c r="AG150" s="89" t="e">
        <f>SUM(AG148:AG149)</f>
        <v>#VALUE!</v>
      </c>
      <c r="AH150" s="84" t="str">
        <f>CONCATENATE("m'(",AD149,")=")</f>
        <v>m'(  )=</v>
      </c>
      <c r="AI150" s="84" t="e">
        <f>(2*(AI147^2)/6*AG150)+(AI149*AD148*WLS)</f>
        <v>#VALUE!</v>
      </c>
      <c r="AJ150" s="84" t="str">
        <f>CONCATENATE("M(",AD148,")=")</f>
        <v>M(  )=</v>
      </c>
      <c r="AK150" s="84" t="str">
        <f>VLOOKUP(AD148,STN_TABLE,4,FALSE)</f>
        <v xml:space="preserve"> </v>
      </c>
      <c r="AL150" t="str">
        <f>CONCATENATE("M(",AD149,")=")</f>
        <v>M(  )=</v>
      </c>
      <c r="AM150" t="e">
        <f>AI150+AK150</f>
        <v>#VALUE!</v>
      </c>
      <c r="AO150" s="82" t="str">
        <f>AA150</f>
        <v>M(  )=</v>
      </c>
      <c r="AP150" s="82" t="e">
        <f>VLOOKUP(AO150,Rise_Results,2,FALSE)</f>
        <v>#N/A</v>
      </c>
      <c r="AQ150" s="82" t="e">
        <f>N150</f>
        <v>#VALUE!</v>
      </c>
      <c r="AR150" s="82" t="e">
        <f>IF(OR(AB149&lt;=0,AB150&lt;=0),1/0,AB150)</f>
        <v>#N/A</v>
      </c>
      <c r="AS150" s="82" t="e">
        <f>AM150</f>
        <v>#VALUE!</v>
      </c>
      <c r="AT150" t="e">
        <f>IFERROR(AP150,IFERROR(AQ150,IFERROR(AR150,AS150)))</f>
        <v>#VALUE!</v>
      </c>
      <c r="AU150" s="81"/>
    </row>
    <row r="151" spans="1:47" x14ac:dyDescent="0.25">
      <c r="A151" s="101"/>
      <c r="B151" s="101"/>
      <c r="AU151" s="81"/>
    </row>
    <row r="152" spans="1:47" x14ac:dyDescent="0.25">
      <c r="A152" s="84"/>
      <c r="B152" s="84"/>
      <c r="E152" s="81"/>
      <c r="F152" s="81"/>
      <c r="G152" s="81"/>
      <c r="H152" s="81"/>
      <c r="I152" s="103"/>
      <c r="J152" s="70"/>
      <c r="AU152" s="81"/>
    </row>
    <row r="153" spans="1:47" x14ac:dyDescent="0.25">
      <c r="A153" s="84"/>
      <c r="B153" s="84"/>
      <c r="E153" s="81"/>
      <c r="F153" s="81"/>
      <c r="G153" s="81"/>
      <c r="H153" s="81"/>
      <c r="I153" s="104"/>
      <c r="J153" s="78"/>
      <c r="K153" s="78"/>
      <c r="L153" s="78"/>
      <c r="M153" s="7"/>
      <c r="N153" s="7"/>
      <c r="AO153" s="81"/>
      <c r="AP153" s="81"/>
      <c r="AQ153" s="81"/>
      <c r="AR153" s="81"/>
      <c r="AS153" s="81"/>
      <c r="AT153" s="81"/>
      <c r="AU153" s="81"/>
    </row>
    <row r="154" spans="1:47" x14ac:dyDescent="0.25">
      <c r="A154" s="84"/>
      <c r="B154" s="84"/>
      <c r="E154" s="81"/>
      <c r="F154" s="81"/>
      <c r="G154" s="81"/>
      <c r="H154" s="81"/>
      <c r="I154" s="105"/>
      <c r="J154" s="84"/>
      <c r="K154" s="84"/>
      <c r="L154" s="84"/>
      <c r="AO154" s="81"/>
      <c r="AP154" s="81"/>
      <c r="AQ154" s="81"/>
      <c r="AR154" s="81"/>
      <c r="AS154" s="81"/>
      <c r="AT154" s="81"/>
      <c r="AU154" s="81"/>
    </row>
    <row r="155" spans="1:47" x14ac:dyDescent="0.25">
      <c r="A155" s="84"/>
      <c r="B155" s="84"/>
      <c r="E155" s="81"/>
      <c r="F155" s="81"/>
      <c r="G155" s="81"/>
      <c r="H155" s="81"/>
      <c r="I155" s="105"/>
      <c r="J155" s="84"/>
      <c r="K155" s="84"/>
      <c r="L155" s="84"/>
      <c r="AO155" s="81"/>
      <c r="AP155" s="81"/>
      <c r="AQ155" s="81"/>
      <c r="AR155" s="81"/>
      <c r="AS155" s="81"/>
      <c r="AT155" s="81"/>
      <c r="AU155" s="81"/>
    </row>
    <row r="156" spans="1:47" x14ac:dyDescent="0.25">
      <c r="A156" s="101"/>
      <c r="B156" s="101"/>
      <c r="E156" s="81"/>
      <c r="F156" s="81"/>
      <c r="G156" s="81"/>
      <c r="H156" s="81"/>
      <c r="I156" s="81"/>
      <c r="AO156" s="81"/>
      <c r="AP156" s="81"/>
      <c r="AQ156" s="81"/>
      <c r="AR156" s="81"/>
      <c r="AS156" s="81"/>
      <c r="AT156" s="81"/>
      <c r="AU156" s="81"/>
    </row>
    <row r="157" spans="1:47" x14ac:dyDescent="0.25">
      <c r="A157" s="84"/>
      <c r="B157" s="84"/>
      <c r="E157" s="81"/>
      <c r="F157" s="81"/>
      <c r="G157" s="81"/>
      <c r="H157" s="81"/>
      <c r="I157" s="103"/>
      <c r="J157" s="70"/>
      <c r="AO157" s="81"/>
      <c r="AP157" s="81"/>
      <c r="AQ157" s="81"/>
      <c r="AR157" s="81"/>
      <c r="AS157" s="81"/>
      <c r="AT157" s="81"/>
      <c r="AU157" s="81"/>
    </row>
    <row r="158" spans="1:47" x14ac:dyDescent="0.25">
      <c r="A158" s="84"/>
      <c r="B158" s="84"/>
      <c r="E158" s="81"/>
      <c r="F158" s="81"/>
      <c r="G158" s="81"/>
      <c r="H158" s="81"/>
      <c r="I158" s="104"/>
      <c r="J158" s="78"/>
      <c r="K158" s="78"/>
      <c r="L158" s="78"/>
      <c r="M158" s="7"/>
      <c r="N158" s="7"/>
      <c r="AO158" s="81"/>
      <c r="AP158" s="81"/>
      <c r="AQ158" s="81"/>
      <c r="AR158" s="81"/>
      <c r="AS158" s="81"/>
      <c r="AT158" s="81"/>
      <c r="AU158" s="81"/>
    </row>
    <row r="159" spans="1:47" x14ac:dyDescent="0.25">
      <c r="A159" s="84"/>
      <c r="B159" s="84"/>
      <c r="E159" s="81"/>
      <c r="F159" s="81"/>
      <c r="G159" s="81"/>
      <c r="H159" s="81"/>
      <c r="I159" s="105"/>
      <c r="J159" s="84"/>
      <c r="K159" s="84"/>
      <c r="L159" s="84"/>
      <c r="AO159" s="81"/>
      <c r="AP159" s="81"/>
      <c r="AQ159" s="81"/>
      <c r="AR159" s="81"/>
      <c r="AS159" s="81"/>
      <c r="AT159" s="81"/>
      <c r="AU159" s="81"/>
    </row>
    <row r="160" spans="1:47" x14ac:dyDescent="0.25">
      <c r="A160" s="84"/>
      <c r="B160" s="84"/>
      <c r="E160" s="81"/>
      <c r="F160" s="81"/>
      <c r="G160" s="81"/>
      <c r="H160" s="81"/>
      <c r="I160" s="105"/>
      <c r="J160" s="84"/>
      <c r="K160" s="84"/>
      <c r="L160" s="84"/>
      <c r="AO160" s="81"/>
      <c r="AP160" s="81"/>
      <c r="AQ160" s="81"/>
      <c r="AR160" s="81"/>
      <c r="AS160" s="81"/>
      <c r="AT160" s="81"/>
      <c r="AU160" s="81"/>
    </row>
    <row r="161" spans="1:47" x14ac:dyDescent="0.25">
      <c r="A161" s="101"/>
      <c r="B161" s="101"/>
      <c r="E161" s="81"/>
      <c r="F161" s="81"/>
      <c r="G161" s="81"/>
      <c r="H161" s="81"/>
      <c r="I161" s="81"/>
      <c r="AO161" s="81"/>
      <c r="AP161" s="81"/>
      <c r="AQ161" s="81"/>
      <c r="AR161" s="81"/>
      <c r="AS161" s="81"/>
      <c r="AT161" s="81"/>
      <c r="AU161" s="81"/>
    </row>
    <row r="162" spans="1:47" x14ac:dyDescent="0.25">
      <c r="A162" s="84"/>
      <c r="B162" s="84"/>
      <c r="E162" s="81"/>
      <c r="F162" s="81"/>
      <c r="G162" s="81"/>
      <c r="H162" s="81"/>
      <c r="I162" s="103"/>
      <c r="J162" s="70"/>
      <c r="AO162" s="81"/>
      <c r="AP162" s="81"/>
      <c r="AQ162" s="81"/>
      <c r="AR162" s="81"/>
      <c r="AS162" s="81"/>
      <c r="AT162" s="81"/>
      <c r="AU162" s="81"/>
    </row>
    <row r="163" spans="1:47" x14ac:dyDescent="0.25">
      <c r="A163" s="84"/>
      <c r="B163" s="84"/>
      <c r="E163" s="81"/>
      <c r="F163" s="81"/>
      <c r="G163" s="81"/>
      <c r="H163" s="81"/>
      <c r="I163" s="104"/>
      <c r="J163" s="78"/>
      <c r="K163" s="78"/>
      <c r="L163" s="78"/>
      <c r="M163" s="7"/>
      <c r="N163" s="7"/>
      <c r="AO163" s="81"/>
      <c r="AP163" s="81"/>
      <c r="AQ163" s="81"/>
      <c r="AR163" s="81"/>
      <c r="AS163" s="81"/>
      <c r="AT163" s="81"/>
      <c r="AU163" s="81"/>
    </row>
    <row r="164" spans="1:47" x14ac:dyDescent="0.25">
      <c r="A164" s="84"/>
      <c r="B164" s="84"/>
      <c r="E164" s="81"/>
      <c r="F164" s="81"/>
      <c r="G164" s="81"/>
      <c r="H164" s="81"/>
      <c r="I164" s="105"/>
      <c r="J164" s="84"/>
      <c r="K164" s="84"/>
      <c r="L164" s="84"/>
    </row>
    <row r="165" spans="1:47" x14ac:dyDescent="0.25">
      <c r="A165" s="84"/>
      <c r="B165" s="84"/>
      <c r="E165" s="81"/>
      <c r="F165" s="81"/>
      <c r="G165" s="81"/>
      <c r="H165" s="81"/>
      <c r="I165" s="105"/>
      <c r="J165" s="84"/>
      <c r="K165" s="84"/>
      <c r="L165" s="84"/>
    </row>
    <row r="166" spans="1:47" x14ac:dyDescent="0.25">
      <c r="A166" s="101"/>
      <c r="B166" s="101"/>
      <c r="E166" s="81"/>
      <c r="F166" s="81"/>
      <c r="G166" s="81"/>
      <c r="H166" s="81"/>
      <c r="I166" s="81"/>
    </row>
    <row r="167" spans="1:47" x14ac:dyDescent="0.25">
      <c r="A167" s="84"/>
      <c r="B167" s="84"/>
      <c r="E167" s="81"/>
      <c r="F167" s="81"/>
      <c r="G167" s="81"/>
      <c r="H167" s="81"/>
      <c r="I167" s="103"/>
      <c r="J167" s="70"/>
    </row>
    <row r="168" spans="1:47" x14ac:dyDescent="0.25">
      <c r="A168" s="84"/>
      <c r="B168" s="84"/>
      <c r="E168" s="81"/>
      <c r="F168" s="81"/>
      <c r="G168" s="81"/>
      <c r="H168" s="81"/>
      <c r="I168" s="104"/>
      <c r="J168" s="78"/>
      <c r="K168" s="78"/>
      <c r="L168" s="78"/>
      <c r="M168" s="7"/>
      <c r="N168" s="7"/>
    </row>
    <row r="169" spans="1:47" x14ac:dyDescent="0.25">
      <c r="A169" s="84"/>
      <c r="B169" s="84"/>
      <c r="E169" s="81"/>
      <c r="F169" s="81"/>
      <c r="G169" s="81"/>
      <c r="H169" s="81"/>
      <c r="I169" s="105"/>
      <c r="J169" s="84"/>
      <c r="K169" s="84"/>
      <c r="L169" s="84"/>
    </row>
    <row r="170" spans="1:47" x14ac:dyDescent="0.25">
      <c r="A170" s="84"/>
      <c r="B170" s="84"/>
      <c r="E170" s="81"/>
      <c r="F170" s="81"/>
      <c r="G170" s="81"/>
      <c r="H170" s="81"/>
      <c r="I170" s="105"/>
      <c r="J170" s="84"/>
      <c r="K170" s="84"/>
      <c r="L170" s="84"/>
    </row>
    <row r="171" spans="1:47" x14ac:dyDescent="0.25">
      <c r="E171" s="81"/>
      <c r="F171" s="81"/>
      <c r="G171" s="81"/>
      <c r="H171" s="81"/>
      <c r="I171" s="81"/>
    </row>
  </sheetData>
  <sheetProtection selectLockedCells="1" selectUnlockedCells="1"/>
  <mergeCells count="167">
    <mergeCell ref="A1:B1"/>
    <mergeCell ref="E1:F1"/>
    <mergeCell ref="L1:M1"/>
    <mergeCell ref="W33:X33"/>
    <mergeCell ref="Y33:Z33"/>
    <mergeCell ref="AA33:AB33"/>
    <mergeCell ref="AH33:AI33"/>
    <mergeCell ref="AJ33:AK33"/>
    <mergeCell ref="AL33:AM33"/>
    <mergeCell ref="I38:J38"/>
    <mergeCell ref="W38:X38"/>
    <mergeCell ref="Y38:Z38"/>
    <mergeCell ref="AA38:AB38"/>
    <mergeCell ref="AH38:AI38"/>
    <mergeCell ref="AJ38:AK38"/>
    <mergeCell ref="AL38:AM38"/>
    <mergeCell ref="AL43:AM43"/>
    <mergeCell ref="I48:J48"/>
    <mergeCell ref="W48:X48"/>
    <mergeCell ref="Y48:Z48"/>
    <mergeCell ref="AA48:AB48"/>
    <mergeCell ref="AH48:AI48"/>
    <mergeCell ref="AJ48:AK48"/>
    <mergeCell ref="AL48:AM48"/>
    <mergeCell ref="I43:J43"/>
    <mergeCell ref="W43:X43"/>
    <mergeCell ref="Y43:Z43"/>
    <mergeCell ref="AA43:AB43"/>
    <mergeCell ref="AH43:AI43"/>
    <mergeCell ref="AJ43:AK43"/>
    <mergeCell ref="AL53:AM53"/>
    <mergeCell ref="I58:J58"/>
    <mergeCell ref="AH58:AI58"/>
    <mergeCell ref="AJ58:AK58"/>
    <mergeCell ref="AL58:AM58"/>
    <mergeCell ref="I63:J63"/>
    <mergeCell ref="W63:X63"/>
    <mergeCell ref="Y63:Z63"/>
    <mergeCell ref="AA63:AB63"/>
    <mergeCell ref="AH63:AI63"/>
    <mergeCell ref="I53:J53"/>
    <mergeCell ref="W53:X53"/>
    <mergeCell ref="Y53:Z53"/>
    <mergeCell ref="AA53:AB53"/>
    <mergeCell ref="AH53:AI53"/>
    <mergeCell ref="AJ53:AK53"/>
    <mergeCell ref="AJ63:AK63"/>
    <mergeCell ref="AL63:AM63"/>
    <mergeCell ref="I68:J68"/>
    <mergeCell ref="W68:X68"/>
    <mergeCell ref="Y68:Z68"/>
    <mergeCell ref="AA68:AB68"/>
    <mergeCell ref="AH68:AI68"/>
    <mergeCell ref="AJ68:AK68"/>
    <mergeCell ref="AL68:AM68"/>
    <mergeCell ref="AL73:AM73"/>
    <mergeCell ref="I78:J78"/>
    <mergeCell ref="W78:X78"/>
    <mergeCell ref="Y78:Z78"/>
    <mergeCell ref="AA78:AB78"/>
    <mergeCell ref="AH78:AI78"/>
    <mergeCell ref="AJ78:AK78"/>
    <mergeCell ref="AL78:AM78"/>
    <mergeCell ref="I73:J73"/>
    <mergeCell ref="W73:X73"/>
    <mergeCell ref="Y73:Z73"/>
    <mergeCell ref="AA73:AB73"/>
    <mergeCell ref="AH73:AI73"/>
    <mergeCell ref="AJ73:AK73"/>
    <mergeCell ref="AL83:AM83"/>
    <mergeCell ref="I88:J88"/>
    <mergeCell ref="W88:X88"/>
    <mergeCell ref="Y88:Z88"/>
    <mergeCell ref="AA88:AB88"/>
    <mergeCell ref="AH88:AI88"/>
    <mergeCell ref="AJ88:AK88"/>
    <mergeCell ref="AL88:AM88"/>
    <mergeCell ref="I83:J83"/>
    <mergeCell ref="W83:X83"/>
    <mergeCell ref="Y83:Z83"/>
    <mergeCell ref="AA83:AB83"/>
    <mergeCell ref="AH83:AI83"/>
    <mergeCell ref="AJ83:AK83"/>
    <mergeCell ref="AL93:AM93"/>
    <mergeCell ref="I98:J98"/>
    <mergeCell ref="W98:X98"/>
    <mergeCell ref="Y98:Z98"/>
    <mergeCell ref="AA98:AB98"/>
    <mergeCell ref="AH98:AI98"/>
    <mergeCell ref="AJ98:AK98"/>
    <mergeCell ref="AL98:AM98"/>
    <mergeCell ref="I93:J93"/>
    <mergeCell ref="W93:X93"/>
    <mergeCell ref="Y93:Z93"/>
    <mergeCell ref="AA93:AB93"/>
    <mergeCell ref="AH93:AI93"/>
    <mergeCell ref="AJ93:AK93"/>
    <mergeCell ref="AL103:AM103"/>
    <mergeCell ref="I108:J108"/>
    <mergeCell ref="W108:X108"/>
    <mergeCell ref="Y108:Z108"/>
    <mergeCell ref="AA108:AB108"/>
    <mergeCell ref="AH108:AI108"/>
    <mergeCell ref="AJ108:AK108"/>
    <mergeCell ref="AL108:AM108"/>
    <mergeCell ref="I103:J103"/>
    <mergeCell ref="W103:X103"/>
    <mergeCell ref="Y103:Z103"/>
    <mergeCell ref="AA103:AB103"/>
    <mergeCell ref="AH103:AI103"/>
    <mergeCell ref="AJ103:AK103"/>
    <mergeCell ref="AL113:AM113"/>
    <mergeCell ref="I118:J118"/>
    <mergeCell ref="W118:X118"/>
    <mergeCell ref="Y118:Z118"/>
    <mergeCell ref="AA118:AB118"/>
    <mergeCell ref="AH118:AI118"/>
    <mergeCell ref="AJ118:AK118"/>
    <mergeCell ref="AL118:AM118"/>
    <mergeCell ref="I113:J113"/>
    <mergeCell ref="W113:X113"/>
    <mergeCell ref="Y113:Z113"/>
    <mergeCell ref="AA113:AB113"/>
    <mergeCell ref="AH113:AI113"/>
    <mergeCell ref="AJ113:AK113"/>
    <mergeCell ref="AL123:AM123"/>
    <mergeCell ref="I128:J128"/>
    <mergeCell ref="W128:X128"/>
    <mergeCell ref="Y128:Z128"/>
    <mergeCell ref="AA128:AB128"/>
    <mergeCell ref="AH128:AI128"/>
    <mergeCell ref="AJ128:AK128"/>
    <mergeCell ref="AL128:AM128"/>
    <mergeCell ref="I123:J123"/>
    <mergeCell ref="W123:X123"/>
    <mergeCell ref="Y123:Z123"/>
    <mergeCell ref="AA123:AB123"/>
    <mergeCell ref="AH123:AI123"/>
    <mergeCell ref="AJ123:AK123"/>
    <mergeCell ref="AL133:AM133"/>
    <mergeCell ref="I138:J138"/>
    <mergeCell ref="W138:X138"/>
    <mergeCell ref="Y138:Z138"/>
    <mergeCell ref="AA138:AB138"/>
    <mergeCell ref="AH138:AI138"/>
    <mergeCell ref="AJ138:AK138"/>
    <mergeCell ref="AL138:AM138"/>
    <mergeCell ref="I133:J133"/>
    <mergeCell ref="W133:X133"/>
    <mergeCell ref="Y133:Z133"/>
    <mergeCell ref="AA133:AB133"/>
    <mergeCell ref="AH133:AI133"/>
    <mergeCell ref="AJ133:AK133"/>
    <mergeCell ref="AL143:AM143"/>
    <mergeCell ref="I148:J148"/>
    <mergeCell ref="W148:X148"/>
    <mergeCell ref="Y148:Z148"/>
    <mergeCell ref="AA148:AB148"/>
    <mergeCell ref="AH148:AI148"/>
    <mergeCell ref="AJ148:AK148"/>
    <mergeCell ref="AL148:AM148"/>
    <mergeCell ref="I143:J143"/>
    <mergeCell ref="W143:X143"/>
    <mergeCell ref="Y143:Z143"/>
    <mergeCell ref="AA143:AB143"/>
    <mergeCell ref="AH143:AI143"/>
    <mergeCell ref="AJ143:AK143"/>
  </mergeCells>
  <pageMargins left="0.7" right="0.7" top="0.75" bottom="0.75" header="0.3" footer="0.3"/>
  <pageSetup paperSize="9" orientation="portrait"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AU171"/>
  <sheetViews>
    <sheetView topLeftCell="R1" workbookViewId="0">
      <pane ySplit="1" topLeftCell="A2" activePane="bottomLeft" state="frozen"/>
      <selection activeCell="AG8" sqref="AG8:AG10"/>
      <selection pane="bottomLeft" activeCell="AG8" sqref="AG8:AG10"/>
    </sheetView>
  </sheetViews>
  <sheetFormatPr defaultRowHeight="15" x14ac:dyDescent="0.25"/>
  <sheetData>
    <row r="1" spans="1:46" x14ac:dyDescent="0.25">
      <c r="A1" s="494" t="s">
        <v>90</v>
      </c>
      <c r="B1" s="494"/>
      <c r="C1">
        <f>HLOOKUP(Stn_WL,OFFSET_A,Count_STN+1,FALSE)</f>
        <v>2</v>
      </c>
      <c r="E1" s="494" t="s">
        <v>91</v>
      </c>
      <c r="F1" s="494"/>
      <c r="G1" t="str">
        <f>VLOOKUP(Station_No,RISE_CALC,2,FALSE)</f>
        <v>-</v>
      </c>
      <c r="L1" s="494" t="s">
        <v>92</v>
      </c>
      <c r="M1" s="494"/>
      <c r="N1">
        <v>5</v>
      </c>
    </row>
    <row r="2" spans="1:46" x14ac:dyDescent="0.25">
      <c r="Q2" s="66" t="str">
        <f t="shared" ref="Q2:R6" si="0">G4</f>
        <v>Rise</v>
      </c>
      <c r="R2" s="67" t="e">
        <f t="shared" si="0"/>
        <v>#VALUE!</v>
      </c>
      <c r="S2" s="68" t="e">
        <f>IF(OR(R5-R4=R4-R3,R6-R4=R4-R3),R3,IF(OR(R5-R4=R4-R2,R6-R4=R4-R2),R2,"-"))</f>
        <v>#VALUE!</v>
      </c>
      <c r="T2" s="69" t="e">
        <f>IFERROR(VLOOKUP(S2,STN_TABLE,2,FALSE),IF(R2=RisePerWLS,0,"-"))</f>
        <v>#VALUE!</v>
      </c>
      <c r="U2" s="69">
        <v>5</v>
      </c>
      <c r="V2" s="69" t="e">
        <f>T2*U2</f>
        <v>#VALUE!</v>
      </c>
      <c r="W2" s="69">
        <v>3</v>
      </c>
      <c r="X2" s="69" t="e">
        <f>T2*W2</f>
        <v>#VALUE!</v>
      </c>
      <c r="Y2" s="6" t="s">
        <v>93</v>
      </c>
      <c r="Z2" s="70" t="e">
        <f>IF(AND(S4-S3=S3-S2,NOT(AND(S2=0,S3=0)),NOT(AND(S3=0,S4=0))),WLS*(S4-S3),"#NA")</f>
        <v>#VALUE!</v>
      </c>
      <c r="AE2" s="71" t="s">
        <v>94</v>
      </c>
    </row>
    <row r="3" spans="1:46" x14ac:dyDescent="0.25">
      <c r="B3" s="72" t="s">
        <v>0</v>
      </c>
      <c r="C3" s="73" t="s">
        <v>95</v>
      </c>
      <c r="D3" s="73" t="s">
        <v>18</v>
      </c>
      <c r="E3" s="74" t="s">
        <v>20</v>
      </c>
      <c r="H3" s="75" t="s">
        <v>96</v>
      </c>
      <c r="K3" t="str">
        <f>IF(Rise=0,"(Not considered)","(Considered)")</f>
        <v>(Considered)</v>
      </c>
      <c r="Q3" s="66" t="str">
        <f t="shared" si="0"/>
        <v>1st_UWL</v>
      </c>
      <c r="R3" s="67" t="str">
        <f t="shared" si="0"/>
        <v>#NA</v>
      </c>
      <c r="S3" s="76" t="str">
        <f>R4</f>
        <v>#NA</v>
      </c>
      <c r="T3" s="77" t="e">
        <f>VLOOKUP(S3,STN_TABLE,2,FALSE)</f>
        <v>#N/A</v>
      </c>
      <c r="U3" s="77">
        <v>8</v>
      </c>
      <c r="V3" s="77" t="e">
        <f>T3*U3</f>
        <v>#N/A</v>
      </c>
      <c r="W3" s="77">
        <v>10</v>
      </c>
      <c r="X3" s="77" t="e">
        <f>T3*W3</f>
        <v>#N/A</v>
      </c>
      <c r="Y3" s="78" t="s">
        <v>97</v>
      </c>
      <c r="Z3" s="78"/>
      <c r="AA3" s="78" t="s">
        <v>98</v>
      </c>
      <c r="AB3" s="78"/>
      <c r="AC3" s="7" t="s">
        <v>99</v>
      </c>
      <c r="AD3" s="7"/>
      <c r="AE3" s="66" t="str">
        <f t="shared" ref="AE3:AF7" si="1">G4</f>
        <v>Rise</v>
      </c>
      <c r="AF3" s="67" t="e">
        <f t="shared" si="1"/>
        <v>#VALUE!</v>
      </c>
      <c r="AG3" s="79" t="e">
        <f>IF(AF7-AF6=AF6-AF5,AF5,IF(OR(AF7-AF6=AF6-AF4,AF7-AF5=AF5-AF4),AF4,IF(OR(AF7-AF6=AF6-AF3,AF7-AF5=AF5-AF3,AF7-AF4=AF4-AF3),AF3,"#NA")))</f>
        <v>#VALUE!</v>
      </c>
      <c r="AH3" s="69" t="e">
        <f>IFERROR(VLOOKUP(AG3,STN_TABLE,2,FALSE),IF(AF3=RisePerWLS,0,"-"))</f>
        <v>#VALUE!</v>
      </c>
      <c r="AI3" s="69">
        <v>1</v>
      </c>
      <c r="AJ3" s="69" t="e">
        <f>AH3*AI3</f>
        <v>#VALUE!</v>
      </c>
      <c r="AK3" s="69" t="e">
        <f>AG3</f>
        <v>#VALUE!</v>
      </c>
      <c r="AL3" s="69" t="e">
        <f>AJ3*AK3</f>
        <v>#VALUE!</v>
      </c>
      <c r="AM3" s="6" t="s">
        <v>93</v>
      </c>
      <c r="AN3" s="70" t="e">
        <f>IF(AND(AH3=0,AH4=0,AH5=0),WLS*(AG5-AG4),IF(AND(AG5-AG4=AG4-AG3,AG4&lt;&gt;AG5,AG3&lt;&gt;AG4,AG3&lt;&gt;AG5,AH5&lt;&gt;0,OR(AH3&lt;&gt;0,AH4&lt;&gt;0)),WLS*(AG5-AG4),"#NA"))</f>
        <v>#VALUE!</v>
      </c>
    </row>
    <row r="4" spans="1:46" x14ac:dyDescent="0.25">
      <c r="A4">
        <v>1</v>
      </c>
      <c r="B4" s="80">
        <f t="shared" ref="B4:B28" si="2">VLOOKUP(Stn_WL,OFFSET_A,A4+1,FALSE)</f>
        <v>0</v>
      </c>
      <c r="C4" s="81">
        <f t="shared" ref="C4:C28" si="3">VLOOKUP(Station_No,OFFSET_A,A4+1,FALSE)</f>
        <v>0.9</v>
      </c>
      <c r="D4" s="81">
        <v>0</v>
      </c>
      <c r="E4" s="77">
        <v>0</v>
      </c>
      <c r="G4" t="s">
        <v>100</v>
      </c>
      <c r="H4" t="e">
        <f>Rise/WLS</f>
        <v>#VALUE!</v>
      </c>
      <c r="K4" t="str">
        <f>CONCATENATE("A(",H5,")=")</f>
        <v>A(#NA)=</v>
      </c>
      <c r="L4" t="e">
        <f>IFERROR(N18,N22)</f>
        <v>#VALUE!</v>
      </c>
      <c r="Q4" s="66" t="str">
        <f t="shared" si="0"/>
        <v>2nd_UWL</v>
      </c>
      <c r="R4" s="67" t="str">
        <f t="shared" si="0"/>
        <v>#NA</v>
      </c>
      <c r="S4" s="82" t="e">
        <f>IF((S2-S3)=S3-R5,R5,IF(S2-S3=S3-R6,R6,"-"))</f>
        <v>#VALUE!</v>
      </c>
      <c r="T4" s="83" t="e">
        <f>VLOOKUP(S4,STN_TABLE,2,FALSE)</f>
        <v>#VALUE!</v>
      </c>
      <c r="U4" s="83">
        <v>-1</v>
      </c>
      <c r="V4" s="83" t="e">
        <f>T4*U4</f>
        <v>#VALUE!</v>
      </c>
      <c r="W4" s="83">
        <v>-1</v>
      </c>
      <c r="X4" s="83" t="e">
        <f>T4*W4</f>
        <v>#VALUE!</v>
      </c>
      <c r="Y4" s="84" t="str">
        <f>CONCATENATE("a'(",S3,")=")</f>
        <v>a'(#NA)=</v>
      </c>
      <c r="Z4" s="85" t="e">
        <f>2*Z2/12*V5</f>
        <v>#VALUE!</v>
      </c>
      <c r="AA4" s="84" t="e">
        <f>CONCATENATE("A(",S2,")=")</f>
        <v>#VALUE!</v>
      </c>
      <c r="AB4" s="84" t="e">
        <f>IF(S2=RisePerWLS,0,VLOOKUP(S2,STN_TABLE,3,FALSE))</f>
        <v>#VALUE!</v>
      </c>
      <c r="AC4" t="str">
        <f>CONCATENATE("A(",S3,")=")</f>
        <v>A(#NA)=</v>
      </c>
      <c r="AD4" t="e">
        <f>Z4+AB4</f>
        <v>#VALUE!</v>
      </c>
      <c r="AE4" s="66" t="str">
        <f t="shared" si="1"/>
        <v>1st_UWL</v>
      </c>
      <c r="AF4" s="67" t="str">
        <f t="shared" si="1"/>
        <v>#NA</v>
      </c>
      <c r="AG4" s="80" t="e">
        <f>IF(OR(AF7-AF6=AF6-AF5,AF7-AF6=AF6-AF4,AF7-AF6=AF6-AF3),AF6,IF(OR(AF7-AF5=AF5-AF4,AF7-AF5=AF5-AF3),AF5,IF(AF7-AF4=AF4-AF3,AF4,"#NA")))</f>
        <v>#VALUE!</v>
      </c>
      <c r="AH4" s="77" t="e">
        <f>VLOOKUP(AG4,STN_TABLE,2,FALSE)</f>
        <v>#VALUE!</v>
      </c>
      <c r="AI4" s="77">
        <v>4</v>
      </c>
      <c r="AJ4" s="77" t="e">
        <f>AH4*AI4</f>
        <v>#VALUE!</v>
      </c>
      <c r="AK4" s="77" t="e">
        <f>AG4</f>
        <v>#VALUE!</v>
      </c>
      <c r="AL4" s="77" t="e">
        <f>AJ4*AK4</f>
        <v>#VALUE!</v>
      </c>
      <c r="AM4" s="78" t="s">
        <v>97</v>
      </c>
      <c r="AN4" s="78"/>
      <c r="AO4" s="78" t="s">
        <v>98</v>
      </c>
      <c r="AP4" s="78"/>
      <c r="AQ4" s="7" t="s">
        <v>99</v>
      </c>
      <c r="AR4" s="7"/>
      <c r="AS4" s="7"/>
      <c r="AT4" s="7"/>
    </row>
    <row r="5" spans="1:46" x14ac:dyDescent="0.25">
      <c r="A5">
        <v>2</v>
      </c>
      <c r="B5" s="80">
        <f t="shared" si="2"/>
        <v>0.25</v>
      </c>
      <c r="C5" s="81">
        <f t="shared" si="3"/>
        <v>1.59</v>
      </c>
      <c r="D5" s="81">
        <f t="shared" ref="D5:D28" si="4">IFERROR(VLOOKUP(CONCATENATE("A(",B5,")="),RESULT_TABLE,6,FALSE)," ")</f>
        <v>1.2566666666666664</v>
      </c>
      <c r="E5" s="77">
        <f t="shared" ref="E5:E28" si="5">IFERROR(VLOOKUP(CONCATENATE("M(",B5,")="),RESULT_TABLE,6,FALSE)," ")</f>
        <v>0.34291666666666665</v>
      </c>
      <c r="G5" t="s">
        <v>101</v>
      </c>
      <c r="H5" t="str">
        <f>VLOOKUP(Station_No,RISE_CALC,4,FALSE)</f>
        <v>#NA</v>
      </c>
      <c r="K5" t="str">
        <f>CONCATENATE("M(",H5,")=")</f>
        <v>M(#NA)=</v>
      </c>
      <c r="L5" t="e">
        <f>IFERROR(N19,N23)</f>
        <v>#VALUE!</v>
      </c>
      <c r="Q5" s="66" t="str">
        <f t="shared" si="0"/>
        <v>3rd_UWL</v>
      </c>
      <c r="R5" s="67" t="str">
        <f t="shared" si="0"/>
        <v>#NA</v>
      </c>
      <c r="V5" s="86" t="e">
        <f>SUM(V2:V4)</f>
        <v>#VALUE!</v>
      </c>
      <c r="X5" s="87" t="e">
        <f>SUM(X2:X4)</f>
        <v>#VALUE!</v>
      </c>
      <c r="Y5" s="84" t="str">
        <f>CONCATENATE("m'(",S3,")=")</f>
        <v>m'(#NA)=</v>
      </c>
      <c r="Z5" s="85" t="e">
        <f>(2*(Z2^2)/24*X5)+(Z4*S2*WLS)</f>
        <v>#VALUE!</v>
      </c>
      <c r="AA5" s="84" t="e">
        <f>CONCATENATE("M(",S2,")=")</f>
        <v>#VALUE!</v>
      </c>
      <c r="AB5" s="84" t="e">
        <f>IF(S2=RisePerWLS,0,VLOOKUP(S2,STN_TABLE,4,FALSE))</f>
        <v>#VALUE!</v>
      </c>
      <c r="AC5" t="str">
        <f>CONCATENATE("M(",S3,")=")</f>
        <v>M(#NA)=</v>
      </c>
      <c r="AD5" t="e">
        <f>Z5+AB5</f>
        <v>#VALUE!</v>
      </c>
      <c r="AE5" s="66" t="str">
        <f t="shared" si="1"/>
        <v>2nd_UWL</v>
      </c>
      <c r="AF5" s="67" t="str">
        <f t="shared" si="1"/>
        <v>#NA</v>
      </c>
      <c r="AG5" s="88" t="str">
        <f>AF7</f>
        <v>#NA</v>
      </c>
      <c r="AH5" s="83" t="e">
        <f>VLOOKUP(AG5,STN_TABLE,2,FALSE)</f>
        <v>#N/A</v>
      </c>
      <c r="AI5" s="83">
        <v>1</v>
      </c>
      <c r="AJ5" s="83" t="e">
        <f>AH5*AI5</f>
        <v>#N/A</v>
      </c>
      <c r="AK5" s="83" t="str">
        <f>AG5</f>
        <v>#NA</v>
      </c>
      <c r="AL5" s="83" t="e">
        <f>AJ5*AK5</f>
        <v>#N/A</v>
      </c>
      <c r="AM5" s="84" t="str">
        <f>CONCATENATE("a'(",AG5,")=")</f>
        <v>a'(#NA)=</v>
      </c>
      <c r="AN5" s="84" t="e">
        <f>2*AN3/3*AJ6</f>
        <v>#VALUE!</v>
      </c>
      <c r="AO5" s="84" t="e">
        <f>CONCATENATE("A(",AG3,")=")</f>
        <v>#VALUE!</v>
      </c>
      <c r="AP5" s="84" t="e">
        <f>IF(AG3=RisePerWLS,0,VLOOKUP(AG3,STN_TABLE,3,FALSE))</f>
        <v>#VALUE!</v>
      </c>
      <c r="AQ5" t="str">
        <f>CONCATENATE("A(",AG5,")=")</f>
        <v>A(#NA)=</v>
      </c>
      <c r="AR5" t="e">
        <f>AN5+AP5</f>
        <v>#VALUE!</v>
      </c>
    </row>
    <row r="6" spans="1:46" x14ac:dyDescent="0.25">
      <c r="A6">
        <v>3</v>
      </c>
      <c r="B6" s="80">
        <f t="shared" si="2"/>
        <v>0.5</v>
      </c>
      <c r="C6" s="81">
        <f t="shared" si="3"/>
        <v>2.14</v>
      </c>
      <c r="D6" s="81">
        <f t="shared" si="4"/>
        <v>3.1333333333333333</v>
      </c>
      <c r="E6" s="77">
        <f t="shared" si="5"/>
        <v>1.7733333333333334</v>
      </c>
      <c r="G6" t="s">
        <v>102</v>
      </c>
      <c r="H6" t="str">
        <f>VLOOKUP(Station_No,RISE_CALC,5,FALSE)</f>
        <v>#NA</v>
      </c>
      <c r="K6" t="str">
        <f>CONCATENATE("A(",H6,")=")</f>
        <v>A(#NA)=</v>
      </c>
      <c r="L6" t="e">
        <f>IFERROR(P27,IFERROR(X6,AD9))</f>
        <v>#VALUE!</v>
      </c>
      <c r="Q6" s="66" t="str">
        <f t="shared" si="0"/>
        <v>4th_UWL</v>
      </c>
      <c r="R6" s="67" t="str">
        <f t="shared" si="0"/>
        <v>#NA</v>
      </c>
      <c r="U6" t="s">
        <v>103</v>
      </c>
      <c r="W6" t="str">
        <f>CONCATENATE("A(",S3,")=")</f>
        <v>A(#NA)=</v>
      </c>
      <c r="X6" t="e">
        <f>IF(OR(AD4&lt;=0,AD5&lt;=0),AD9,AD4)</f>
        <v>#VALUE!</v>
      </c>
      <c r="AE6" s="66" t="str">
        <f t="shared" si="1"/>
        <v>3rd_UWL</v>
      </c>
      <c r="AF6" s="67" t="str">
        <f t="shared" si="1"/>
        <v>#NA</v>
      </c>
      <c r="AJ6" s="89" t="e">
        <f>SUM(AJ3:AJ5)</f>
        <v>#VALUE!</v>
      </c>
      <c r="AL6" s="89" t="e">
        <f>SUM(AL3:AL5)</f>
        <v>#VALUE!</v>
      </c>
      <c r="AM6" s="84" t="str">
        <f>CONCATENATE("m'(",AG5,")=")</f>
        <v>m'(#NA)=</v>
      </c>
      <c r="AN6" s="84" t="e">
        <f>2*(AN3*WLS)/3*AL6</f>
        <v>#VALUE!</v>
      </c>
      <c r="AO6" s="84" t="e">
        <f>CONCATENATE("M(",AG3,")=")</f>
        <v>#VALUE!</v>
      </c>
      <c r="AP6" s="84" t="e">
        <f>IF(AG3=RisePerWLS,0,VLOOKUP(AG3,STN_TABLE,4,FALSE))</f>
        <v>#VALUE!</v>
      </c>
      <c r="AQ6" t="str">
        <f>CONCATENATE("M(",AG5,")=")</f>
        <v>M(#NA)=</v>
      </c>
      <c r="AR6" t="e">
        <f>AN6+AP6</f>
        <v>#VALUE!</v>
      </c>
    </row>
    <row r="7" spans="1:46" x14ac:dyDescent="0.25">
      <c r="A7">
        <v>4</v>
      </c>
      <c r="B7" s="80">
        <f t="shared" si="2"/>
        <v>0.75</v>
      </c>
      <c r="C7" s="81">
        <f t="shared" si="3"/>
        <v>2.59</v>
      </c>
      <c r="D7" s="81">
        <f t="shared" si="4"/>
        <v>5.5033333333333321</v>
      </c>
      <c r="E7" s="77">
        <f t="shared" si="5"/>
        <v>4.7562499999999996</v>
      </c>
      <c r="G7" t="s">
        <v>104</v>
      </c>
      <c r="H7" t="str">
        <f>VLOOKUP(Station_No,RISE_CALC,6,FALSE)</f>
        <v>#NA</v>
      </c>
      <c r="K7" t="str">
        <f>CONCATENATE("M(",H6,")=")</f>
        <v>M(#NA)=</v>
      </c>
      <c r="L7" t="e">
        <f>IFERROR(P28,IFERROR(X7,AD10))</f>
        <v>#VALUE!</v>
      </c>
      <c r="Q7" s="66"/>
      <c r="R7" s="67"/>
      <c r="W7" t="str">
        <f>CONCATENATE("M(",S3,")=")</f>
        <v>M(#NA)=</v>
      </c>
      <c r="X7" t="e">
        <f>IF(OR(AD4&lt;=0,AD5&lt;=0),AD10,AD5)</f>
        <v>#VALUE!</v>
      </c>
      <c r="Y7" s="6" t="s">
        <v>93</v>
      </c>
      <c r="Z7" s="70" t="e">
        <f>WLS*(U9-U8)</f>
        <v>#VALUE!</v>
      </c>
      <c r="AE7" s="66" t="str">
        <f t="shared" si="1"/>
        <v>4th_UWL</v>
      </c>
      <c r="AF7" s="67" t="str">
        <f t="shared" si="1"/>
        <v>#NA</v>
      </c>
      <c r="AH7" s="81"/>
    </row>
    <row r="8" spans="1:46" x14ac:dyDescent="0.25">
      <c r="A8">
        <v>5</v>
      </c>
      <c r="B8" s="80">
        <f t="shared" si="2"/>
        <v>1</v>
      </c>
      <c r="C8" s="81">
        <f t="shared" si="3"/>
        <v>2.93</v>
      </c>
      <c r="D8" s="81">
        <f t="shared" si="4"/>
        <v>8.2766666666666655</v>
      </c>
      <c r="E8" s="77">
        <f t="shared" si="5"/>
        <v>9.6199999999999992</v>
      </c>
      <c r="G8" t="s">
        <v>105</v>
      </c>
      <c r="H8" t="str">
        <f>VLOOKUP(Station_No,RISE_CALC,7,FALSE)</f>
        <v>#NA</v>
      </c>
      <c r="K8" t="str">
        <f>CONCATENATE("A(",H7,")=")</f>
        <v>A(#NA)=</v>
      </c>
      <c r="L8" t="e">
        <f>IFERROR(AD15,IFERROR(X24,AD27))</f>
        <v>#VALUE!</v>
      </c>
      <c r="Q8" s="80"/>
      <c r="R8" s="81"/>
      <c r="U8" s="79" t="str">
        <f>R3</f>
        <v>#NA</v>
      </c>
      <c r="V8" s="68" t="e">
        <f>VLOOKUP(U8,STN_TABLE,2,FALSE)</f>
        <v>#N/A</v>
      </c>
      <c r="W8" s="68">
        <v>1</v>
      </c>
      <c r="X8" s="69" t="e">
        <f>V8*W8</f>
        <v>#N/A</v>
      </c>
      <c r="Y8" s="78" t="s">
        <v>97</v>
      </c>
      <c r="Z8" s="78"/>
      <c r="AA8" s="78" t="s">
        <v>98</v>
      </c>
      <c r="AB8" s="78"/>
      <c r="AC8" s="7" t="s">
        <v>99</v>
      </c>
      <c r="AD8" s="7"/>
      <c r="AE8" s="66"/>
      <c r="AF8" s="67"/>
      <c r="AG8" s="68" t="e">
        <f>IF(OR(AF12-AF11=AF11-AF10,AF13-AF11=AF11-AF10),AF10,IF(OR(AF12-AF11=AF11-AF9,AF13-AF11=AF11-AF9),AF9,"-"))</f>
        <v>#VALUE!</v>
      </c>
      <c r="AH8" s="69" t="e">
        <f>IFERROR(VLOOKUP(AG8,STN_TABLE,2,FALSE),IF(AF8=RisePerWLS,0,"-"))</f>
        <v>#VALUE!</v>
      </c>
      <c r="AI8" s="69">
        <v>5</v>
      </c>
      <c r="AJ8" s="69" t="e">
        <f>AH8*AI8</f>
        <v>#VALUE!</v>
      </c>
      <c r="AK8" s="69">
        <v>3</v>
      </c>
      <c r="AL8" s="69" t="e">
        <f>AH8*AK8</f>
        <v>#VALUE!</v>
      </c>
      <c r="AM8" s="6" t="s">
        <v>93</v>
      </c>
      <c r="AN8" s="70" t="e">
        <f>IF(AND(AG10-AG9=AG9-AG8,NOT(AND(AG8=0,AG9=0)),NOT(AND(AG9=0,AG10=0))),WLS*(AG10-AG9),"#NA")</f>
        <v>#VALUE!</v>
      </c>
    </row>
    <row r="9" spans="1:46" x14ac:dyDescent="0.25">
      <c r="A9">
        <v>6</v>
      </c>
      <c r="B9" s="80">
        <f t="shared" si="2"/>
        <v>2</v>
      </c>
      <c r="C9" s="81">
        <f t="shared" si="3"/>
        <v>4.17</v>
      </c>
      <c r="D9" s="81">
        <f t="shared" si="4"/>
        <v>22.519999999999996</v>
      </c>
      <c r="E9" s="77">
        <f t="shared" si="5"/>
        <v>53.176666666666662</v>
      </c>
      <c r="G9" t="s">
        <v>106</v>
      </c>
      <c r="H9" t="str">
        <f>VLOOKUP(Station_No,RISE_CALC,8,FALSE)</f>
        <v>#NA</v>
      </c>
      <c r="K9" t="str">
        <f>CONCATENATE("M(",H7,")=")</f>
        <v>M(#NA)=</v>
      </c>
      <c r="L9" t="e">
        <f>IFERROR(AD16,IFERROR(X25,AD28))</f>
        <v>#VALUE!</v>
      </c>
      <c r="Q9" s="80"/>
      <c r="R9" s="81"/>
      <c r="U9" s="88" t="str">
        <f>R4</f>
        <v>#NA</v>
      </c>
      <c r="V9" s="82" t="e">
        <f>VLOOKUP(U9,STN_TABLE,2,FALSE)</f>
        <v>#N/A</v>
      </c>
      <c r="W9" s="82">
        <v>2</v>
      </c>
      <c r="X9" s="83" t="e">
        <f>V9*W9</f>
        <v>#N/A</v>
      </c>
      <c r="Y9" s="84" t="str">
        <f>CONCATENATE("a'(",U9,")=")</f>
        <v>a'(#NA)=</v>
      </c>
      <c r="Z9" s="84" t="e">
        <f>2*Z7/2*V10</f>
        <v>#VALUE!</v>
      </c>
      <c r="AA9" s="84" t="str">
        <f>CONCATENATE("A(",U8,")=")</f>
        <v>A(#NA)=</v>
      </c>
      <c r="AB9" s="84" t="e">
        <f>IF(U8=RisePerWLS,0,VLOOKUP(U8,STN_TABLE,3,FALSE))</f>
        <v>#VALUE!</v>
      </c>
      <c r="AC9" t="str">
        <f>CONCATENATE("A(",U9,")=")</f>
        <v>A(#NA)=</v>
      </c>
      <c r="AD9" t="e">
        <f>Z9+AB9</f>
        <v>#VALUE!</v>
      </c>
      <c r="AE9" s="66" t="str">
        <f t="shared" ref="AE9:AF13" si="6">G6</f>
        <v>2nd_UWL</v>
      </c>
      <c r="AF9" s="67" t="str">
        <f t="shared" si="6"/>
        <v>#NA</v>
      </c>
      <c r="AG9" s="76" t="str">
        <f>AF11</f>
        <v>#NA</v>
      </c>
      <c r="AH9" s="77" t="e">
        <f>VLOOKUP(AG9,STN_TABLE,2,FALSE)</f>
        <v>#N/A</v>
      </c>
      <c r="AI9" s="77">
        <v>8</v>
      </c>
      <c r="AJ9" s="77" t="e">
        <f>AH9*AI9</f>
        <v>#N/A</v>
      </c>
      <c r="AK9" s="77">
        <v>10</v>
      </c>
      <c r="AL9" s="77" t="e">
        <f>AH9*AK9</f>
        <v>#N/A</v>
      </c>
      <c r="AM9" s="78" t="s">
        <v>97</v>
      </c>
      <c r="AN9" s="78"/>
      <c r="AO9" s="78" t="s">
        <v>98</v>
      </c>
      <c r="AP9" s="78"/>
      <c r="AQ9" s="7" t="s">
        <v>99</v>
      </c>
      <c r="AR9" s="7"/>
      <c r="AS9" s="7"/>
      <c r="AT9" s="7"/>
    </row>
    <row r="10" spans="1:46" x14ac:dyDescent="0.25">
      <c r="A10">
        <v>7</v>
      </c>
      <c r="B10" s="80">
        <f t="shared" si="2"/>
        <v>3</v>
      </c>
      <c r="C10" s="81">
        <f t="shared" si="3"/>
        <v>5.28</v>
      </c>
      <c r="D10" s="81">
        <f t="shared" si="4"/>
        <v>41.463333333333331</v>
      </c>
      <c r="E10" s="77">
        <f t="shared" si="5"/>
        <v>148.63333333333333</v>
      </c>
      <c r="G10" t="s">
        <v>107</v>
      </c>
      <c r="H10" t="str">
        <f>VLOOKUP(Station_No,RISE_CALC,9,FALSE)</f>
        <v>#NA</v>
      </c>
      <c r="K10" t="str">
        <f>CONCATENATE("A(",H8,")=")</f>
        <v>A(#NA)=</v>
      </c>
      <c r="L10" t="e">
        <f>IFERROR(AR5,IFERROR(AL12,AR15))</f>
        <v>#VALUE!</v>
      </c>
      <c r="Q10" s="80"/>
      <c r="R10" s="81"/>
      <c r="V10" s="89" t="e">
        <f>SUM(V8:V9)</f>
        <v>#N/A</v>
      </c>
      <c r="X10" s="89" t="e">
        <f>SUM(X8:X9)</f>
        <v>#N/A</v>
      </c>
      <c r="Y10" s="84" t="str">
        <f>CONCATENATE("m'(",U9,")=")</f>
        <v>m'(#NA)=</v>
      </c>
      <c r="Z10" s="84" t="e">
        <f>(2*(Z7^2)/6*X10)+(Z9*U8*WLS)</f>
        <v>#VALUE!</v>
      </c>
      <c r="AA10" s="84" t="str">
        <f>CONCATENATE("M(",U8,")=")</f>
        <v>M(#NA)=</v>
      </c>
      <c r="AB10" s="84" t="e">
        <f>IF(U8=RisePerWLS,0,VLOOKUP(U8,STN_TABLE,4,FALSE))</f>
        <v>#VALUE!</v>
      </c>
      <c r="AC10" t="str">
        <f>CONCATENATE("M(",U9,")=")</f>
        <v>M(#NA)=</v>
      </c>
      <c r="AD10" t="e">
        <f>Z10+AB10</f>
        <v>#VALUE!</v>
      </c>
      <c r="AE10" s="66" t="str">
        <f t="shared" si="6"/>
        <v>3rd_UWL</v>
      </c>
      <c r="AF10" s="67" t="str">
        <f t="shared" si="6"/>
        <v>#NA</v>
      </c>
      <c r="AG10" s="82" t="e">
        <f>IF(AG8-AG9=AG9-AF12,AF12,IF(AG8-AG9=AG9-AF13,AF13,"-"))</f>
        <v>#VALUE!</v>
      </c>
      <c r="AH10" s="83" t="e">
        <f>VLOOKUP(AG10,STN_TABLE,2,FALSE)</f>
        <v>#VALUE!</v>
      </c>
      <c r="AI10" s="83">
        <v>-1</v>
      </c>
      <c r="AJ10" s="83" t="e">
        <f>AH10*AI10</f>
        <v>#VALUE!</v>
      </c>
      <c r="AK10" s="83">
        <v>-1</v>
      </c>
      <c r="AL10" s="83" t="e">
        <f>AH10*AK10</f>
        <v>#VALUE!</v>
      </c>
      <c r="AM10" s="84" t="str">
        <f>CONCATENATE("a'(",AG9,")=")</f>
        <v>a'(#NA)=</v>
      </c>
      <c r="AN10" s="84" t="e">
        <f>2*AN8/12*AJ11</f>
        <v>#VALUE!</v>
      </c>
      <c r="AO10" s="84" t="e">
        <f>CONCATENATE("A(",AG8,")=")</f>
        <v>#VALUE!</v>
      </c>
      <c r="AP10" s="84" t="e">
        <f>VLOOKUP(AG8,STN_TABLE,3,FALSE)</f>
        <v>#VALUE!</v>
      </c>
      <c r="AQ10" t="str">
        <f>CONCATENATE("A(",AG9,")=")</f>
        <v>A(#NA)=</v>
      </c>
      <c r="AR10" t="e">
        <f>AN10+AP10</f>
        <v>#VALUE!</v>
      </c>
    </row>
    <row r="11" spans="1:46" x14ac:dyDescent="0.25">
      <c r="A11">
        <v>8</v>
      </c>
      <c r="B11" s="80">
        <f t="shared" si="2"/>
        <v>4</v>
      </c>
      <c r="C11" s="81">
        <f t="shared" si="3"/>
        <v>6.7</v>
      </c>
      <c r="D11" s="81">
        <f t="shared" si="4"/>
        <v>65.173333333333318</v>
      </c>
      <c r="E11" s="77">
        <f t="shared" si="5"/>
        <v>315.84333333333331</v>
      </c>
      <c r="G11" t="s">
        <v>108</v>
      </c>
      <c r="H11" t="str">
        <f>VLOOKUP(Station_No,RISE_CALC,10,FALSE)</f>
        <v>#NA</v>
      </c>
      <c r="K11" t="str">
        <f>CONCATENATE("M(",H8,")=")</f>
        <v>M(#NA)=</v>
      </c>
      <c r="L11" t="e">
        <f>IFERROR(AR6,IFERROR(AL13,AR16))</f>
        <v>#VALUE!</v>
      </c>
      <c r="Q11" s="80"/>
      <c r="R11" s="81"/>
      <c r="AE11" s="66" t="str">
        <f t="shared" si="6"/>
        <v>4th_UWL</v>
      </c>
      <c r="AF11" s="67" t="str">
        <f t="shared" si="6"/>
        <v>#NA</v>
      </c>
      <c r="AJ11" s="89" t="e">
        <f>SUM(AJ8:AJ10)</f>
        <v>#VALUE!</v>
      </c>
      <c r="AL11" s="89" t="e">
        <f>SUM(AL8:AL10)</f>
        <v>#VALUE!</v>
      </c>
      <c r="AM11" s="84" t="str">
        <f>CONCATENATE("m'(",AG9,")=")</f>
        <v>m'(#NA)=</v>
      </c>
      <c r="AN11" s="84" t="e">
        <f>(2*(AN8^2)/24*AL11)+(AN10*AG8*WLS)</f>
        <v>#VALUE!</v>
      </c>
      <c r="AO11" s="84" t="e">
        <f>CONCATENATE("M(",AG8,")=")</f>
        <v>#VALUE!</v>
      </c>
      <c r="AP11" s="84" t="e">
        <f>VLOOKUP(AG8,STN_TABLE,4,FALSE)</f>
        <v>#VALUE!</v>
      </c>
      <c r="AQ11" t="str">
        <f>CONCATENATE("M(",AG9,")=")</f>
        <v>M(#NA)=</v>
      </c>
      <c r="AR11" t="e">
        <f>AN11+AP11</f>
        <v>#VALUE!</v>
      </c>
    </row>
    <row r="12" spans="1:46" x14ac:dyDescent="0.25">
      <c r="A12">
        <v>9</v>
      </c>
      <c r="B12" s="80">
        <f t="shared" si="2"/>
        <v>4.8499999999999996</v>
      </c>
      <c r="C12" s="81">
        <f t="shared" si="3"/>
        <v>7.89</v>
      </c>
      <c r="D12" s="81">
        <f t="shared" si="4"/>
        <v>89.976333333333315</v>
      </c>
      <c r="E12" s="77">
        <f t="shared" si="5"/>
        <v>535.9230666666665</v>
      </c>
      <c r="Q12" s="90" t="s">
        <v>109</v>
      </c>
      <c r="R12" s="81"/>
      <c r="AE12" s="66" t="str">
        <f t="shared" si="6"/>
        <v>5th_UWL</v>
      </c>
      <c r="AF12" s="67" t="str">
        <f t="shared" si="6"/>
        <v>#NA</v>
      </c>
      <c r="AI12" t="s">
        <v>103</v>
      </c>
      <c r="AK12" t="str">
        <f>CONCATENATE("A(",AG9,")=")</f>
        <v>A(#NA)=</v>
      </c>
      <c r="AL12" t="e">
        <f>IF(OR(AR10&lt;=0,AR11&lt;=0),AR15,AR10)</f>
        <v>#VALUE!</v>
      </c>
    </row>
    <row r="13" spans="1:46" x14ac:dyDescent="0.25">
      <c r="A13">
        <v>10</v>
      </c>
      <c r="B13" s="80">
        <f t="shared" si="2"/>
        <v>5</v>
      </c>
      <c r="C13" s="81">
        <f t="shared" si="3"/>
        <v>8.0399999999999991</v>
      </c>
      <c r="D13" s="81">
        <f t="shared" si="4"/>
        <v>94.956666666666649</v>
      </c>
      <c r="E13" s="77">
        <f t="shared" si="5"/>
        <v>583.94000000000005</v>
      </c>
      <c r="G13" s="71" t="s">
        <v>110</v>
      </c>
      <c r="Q13" s="66" t="str">
        <f t="shared" ref="Q13:R16" si="7">G4</f>
        <v>Rise</v>
      </c>
      <c r="R13" s="67" t="e">
        <f t="shared" si="7"/>
        <v>#VALUE!</v>
      </c>
      <c r="S13" s="68" t="e">
        <f>IF(R16-R15=R15-R14,R14,IF(R16-R14=R14-R13,R13,"-"))</f>
        <v>#VALUE!</v>
      </c>
      <c r="T13" s="69" t="e">
        <f>IFERROR(VLOOKUP(S13,STN_TABLE,2,FALSE),IF(R13=RisePerWLS,0,"-"))</f>
        <v>#VALUE!</v>
      </c>
      <c r="U13" s="69">
        <v>1</v>
      </c>
      <c r="V13" s="69" t="e">
        <f>T13*U13</f>
        <v>#VALUE!</v>
      </c>
      <c r="W13" s="69" t="e">
        <f>S13</f>
        <v>#VALUE!</v>
      </c>
      <c r="X13" s="69" t="e">
        <f>V13*W13</f>
        <v>#VALUE!</v>
      </c>
      <c r="Y13" s="6" t="s">
        <v>93</v>
      </c>
      <c r="Z13" s="70" t="e">
        <f>IF(AND(T13=0,T14=0,T15=0),WLS*(S15-S14),IF(AND(S15-S14=S14-S13,S14&lt;&gt;S15,S13&lt;&gt;S14,S13&lt;&gt;S15,T15&lt;&gt;0,OR(T13&lt;&gt;0,T14&lt;&gt;0)),WLS*(S15-S14),"#NA"))</f>
        <v>#VALUE!</v>
      </c>
      <c r="AE13" s="66" t="str">
        <f t="shared" si="6"/>
        <v>6th_UWL</v>
      </c>
      <c r="AF13" s="67" t="str">
        <f t="shared" si="6"/>
        <v>#NA</v>
      </c>
      <c r="AK13" t="str">
        <f>CONCATENATE("M(",AG9,")=")</f>
        <v>M(#NA)=</v>
      </c>
      <c r="AL13" t="e">
        <f>IF(OR(AR10&lt;=0,AR11&lt;=0),AR16,AR11)</f>
        <v>#VALUE!</v>
      </c>
      <c r="AM13" s="6" t="s">
        <v>93</v>
      </c>
      <c r="AN13" s="70" t="e">
        <f>WLS*(AI15-AI14)</f>
        <v>#VALUE!</v>
      </c>
    </row>
    <row r="14" spans="1:46" x14ac:dyDescent="0.25">
      <c r="A14">
        <v>11</v>
      </c>
      <c r="B14" s="80">
        <f t="shared" si="2"/>
        <v>6</v>
      </c>
      <c r="C14" s="81">
        <f t="shared" si="3"/>
        <v>8.94</v>
      </c>
      <c r="D14" s="81">
        <f t="shared" si="4"/>
        <v>128.90666666666664</v>
      </c>
      <c r="E14" s="77">
        <f t="shared" si="5"/>
        <v>959.14999999999986</v>
      </c>
      <c r="G14" s="91" t="str">
        <f>G4</f>
        <v>Rise</v>
      </c>
      <c r="H14" s="91" t="e">
        <f>RisePerWLS</f>
        <v>#VALUE!</v>
      </c>
      <c r="I14" s="68" t="e">
        <f>H14</f>
        <v>#VALUE!</v>
      </c>
      <c r="J14" s="69">
        <v>0</v>
      </c>
      <c r="K14" s="69">
        <v>5</v>
      </c>
      <c r="L14" s="69">
        <f>J14*K14</f>
        <v>0</v>
      </c>
      <c r="M14" s="69">
        <v>3</v>
      </c>
      <c r="N14" s="69">
        <f>J14*M14</f>
        <v>0</v>
      </c>
      <c r="O14" t="s">
        <v>93</v>
      </c>
      <c r="P14" t="e">
        <f>IF(AND(NOT(AND(J14=0,J15=0)),I14&lt;&gt;I15,I15&lt;&gt;I16,I16-I15=I15-I14),(I16-I15)*WLS,"#NA")</f>
        <v>#N/A</v>
      </c>
      <c r="Q14" s="66" t="str">
        <f t="shared" si="7"/>
        <v>1st_UWL</v>
      </c>
      <c r="R14" s="67" t="str">
        <f t="shared" si="7"/>
        <v>#NA</v>
      </c>
      <c r="S14" s="76" t="e">
        <f>IF(R16-R15=R15-R14,R15,IF(R16-R14=R14-R13,R14,"-"))</f>
        <v>#VALUE!</v>
      </c>
      <c r="T14" s="77" t="e">
        <f>VLOOKUP(S14,STN_TABLE,2,FALSE)</f>
        <v>#VALUE!</v>
      </c>
      <c r="U14" s="77">
        <v>4</v>
      </c>
      <c r="V14" s="77" t="e">
        <f>T14*U14</f>
        <v>#VALUE!</v>
      </c>
      <c r="W14" s="77" t="e">
        <f>S14</f>
        <v>#VALUE!</v>
      </c>
      <c r="X14" s="77" t="e">
        <f>V14*W14</f>
        <v>#VALUE!</v>
      </c>
      <c r="Y14" s="78" t="s">
        <v>97</v>
      </c>
      <c r="Z14" s="78"/>
      <c r="AA14" s="78" t="s">
        <v>98</v>
      </c>
      <c r="AB14" s="78"/>
      <c r="AC14" s="7" t="s">
        <v>99</v>
      </c>
      <c r="AD14" s="7"/>
      <c r="AE14" s="66"/>
      <c r="AF14" s="67"/>
      <c r="AI14" s="79" t="str">
        <f>AF10</f>
        <v>#NA</v>
      </c>
      <c r="AJ14" s="68" t="e">
        <f>VLOOKUP(AI14,STN_TABLE,2,FALSE)</f>
        <v>#N/A</v>
      </c>
      <c r="AK14" s="68">
        <v>1</v>
      </c>
      <c r="AL14" s="69" t="e">
        <f>AJ14*AK14</f>
        <v>#N/A</v>
      </c>
      <c r="AM14" s="78" t="s">
        <v>97</v>
      </c>
      <c r="AN14" s="78"/>
      <c r="AO14" s="78" t="s">
        <v>98</v>
      </c>
      <c r="AP14" s="78"/>
      <c r="AQ14" s="7" t="s">
        <v>99</v>
      </c>
      <c r="AR14" s="7"/>
      <c r="AS14" s="7"/>
      <c r="AT14" s="7"/>
    </row>
    <row r="15" spans="1:46" x14ac:dyDescent="0.25">
      <c r="A15">
        <v>12</v>
      </c>
      <c r="B15" s="80">
        <f t="shared" si="2"/>
        <v>6.5</v>
      </c>
      <c r="C15" s="81">
        <f t="shared" si="3"/>
        <v>9.3000000000000007</v>
      </c>
      <c r="D15" s="81">
        <f t="shared" si="4"/>
        <v>147.14666666666665</v>
      </c>
      <c r="E15" s="77">
        <f t="shared" si="5"/>
        <v>1187.2099999999998</v>
      </c>
      <c r="G15" s="91" t="str">
        <f>G5</f>
        <v>1st_UWL</v>
      </c>
      <c r="H15" s="91" t="str">
        <f>H5</f>
        <v>#NA</v>
      </c>
      <c r="I15" s="76" t="str">
        <f>H15</f>
        <v>#NA</v>
      </c>
      <c r="J15" s="77" t="e">
        <f>VLOOKUP(I15,STN_TABLE,2,FALSE)</f>
        <v>#N/A</v>
      </c>
      <c r="K15" s="77">
        <v>8</v>
      </c>
      <c r="L15" s="77" t="e">
        <f>J15*K15</f>
        <v>#N/A</v>
      </c>
      <c r="M15" s="77">
        <v>10</v>
      </c>
      <c r="N15" s="77" t="e">
        <f>J15*M15</f>
        <v>#N/A</v>
      </c>
      <c r="O15" t="str">
        <f>CONCATENATE("A(",I15,")=")</f>
        <v>A(#NA)=</v>
      </c>
      <c r="P15" t="e">
        <f>2*P14/12*L17</f>
        <v>#N/A</v>
      </c>
      <c r="Q15" s="66" t="str">
        <f t="shared" si="7"/>
        <v>2nd_UWL</v>
      </c>
      <c r="R15" s="67" t="str">
        <f t="shared" si="7"/>
        <v>#NA</v>
      </c>
      <c r="S15" s="82" t="str">
        <f>R16</f>
        <v>#NA</v>
      </c>
      <c r="T15" s="83" t="e">
        <f>VLOOKUP(S15,STN_TABLE,2,FALSE)</f>
        <v>#N/A</v>
      </c>
      <c r="U15" s="83">
        <v>1</v>
      </c>
      <c r="V15" s="83" t="e">
        <f>T15*U15</f>
        <v>#N/A</v>
      </c>
      <c r="W15" s="83" t="str">
        <f>S15</f>
        <v>#NA</v>
      </c>
      <c r="X15" s="83" t="e">
        <f>V15*W15</f>
        <v>#N/A</v>
      </c>
      <c r="Y15" s="84" t="str">
        <f>CONCATENATE("a'(",S15,")=")</f>
        <v>a'(#NA)=</v>
      </c>
      <c r="Z15" s="84" t="e">
        <f>2*Z13/3*V16</f>
        <v>#VALUE!</v>
      </c>
      <c r="AA15" s="84" t="e">
        <f>CONCATENATE("A(",S13,")=")</f>
        <v>#VALUE!</v>
      </c>
      <c r="AB15" s="84" t="e">
        <f>IF(S13=RisePerWLS,0,VLOOKUP(S13,STN_TABLE,3,FALSE))</f>
        <v>#VALUE!</v>
      </c>
      <c r="AC15" t="str">
        <f>CONCATENATE("A(",S15,")=")</f>
        <v>A(#NA)=</v>
      </c>
      <c r="AD15" t="e">
        <f>Z15+AB15</f>
        <v>#VALUE!</v>
      </c>
      <c r="AE15" s="80"/>
      <c r="AI15" s="88" t="str">
        <f>AF11</f>
        <v>#NA</v>
      </c>
      <c r="AJ15" s="82" t="e">
        <f>VLOOKUP(AI15,STN_TABLE,2,FALSE)</f>
        <v>#N/A</v>
      </c>
      <c r="AK15" s="82">
        <v>2</v>
      </c>
      <c r="AL15" s="83" t="e">
        <f>AJ15*AK15</f>
        <v>#N/A</v>
      </c>
      <c r="AM15" s="84" t="str">
        <f>CONCATENATE("a'(",AI15,")=")</f>
        <v>a'(#NA)=</v>
      </c>
      <c r="AN15" s="84" t="e">
        <f>2*AN13/2*AJ16</f>
        <v>#VALUE!</v>
      </c>
      <c r="AO15" s="84" t="str">
        <f>CONCATENATE("A(",AI14,")=")</f>
        <v>A(#NA)=</v>
      </c>
      <c r="AP15" s="84" t="e">
        <f>IF(AI14=RisePerWLS,0,VLOOKUP(AI14,STN_TABLE,3,FALSE))</f>
        <v>#VALUE!</v>
      </c>
      <c r="AQ15" t="str">
        <f>CONCATENATE("A(",AI15,")=")</f>
        <v>A(#NA)=</v>
      </c>
      <c r="AR15" t="e">
        <f>AN15+AP15</f>
        <v>#VALUE!</v>
      </c>
    </row>
    <row r="16" spans="1:46" x14ac:dyDescent="0.25">
      <c r="A16">
        <v>13</v>
      </c>
      <c r="B16" s="80" t="str">
        <f t="shared" si="2"/>
        <v xml:space="preserve">  </v>
      </c>
      <c r="C16" s="81" t="str">
        <f t="shared" si="3"/>
        <v xml:space="preserve">  </v>
      </c>
      <c r="D16" s="81" t="str">
        <f t="shared" si="4"/>
        <v xml:space="preserve"> </v>
      </c>
      <c r="E16" s="77" t="str">
        <f t="shared" si="5"/>
        <v xml:space="preserve"> </v>
      </c>
      <c r="G16" s="91" t="str">
        <f>G6</f>
        <v>2nd_UWL</v>
      </c>
      <c r="H16" s="91" t="str">
        <f>H6</f>
        <v>#NA</v>
      </c>
      <c r="I16" s="82" t="e">
        <f>IF(H16-H15=H15-H14,H16,"#NA")</f>
        <v>#VALUE!</v>
      </c>
      <c r="J16" s="83" t="e">
        <f>VLOOKUP(I16,STN_TABLE,2,FALSE)</f>
        <v>#VALUE!</v>
      </c>
      <c r="K16" s="83">
        <v>-1</v>
      </c>
      <c r="L16" s="83" t="e">
        <f>J16*K16</f>
        <v>#VALUE!</v>
      </c>
      <c r="M16" s="83">
        <v>-1</v>
      </c>
      <c r="N16" s="83" t="e">
        <f>J16*M16</f>
        <v>#VALUE!</v>
      </c>
      <c r="O16" t="str">
        <f>CONCATENATE("M(",I15,")=")</f>
        <v>M(#NA)=</v>
      </c>
      <c r="P16" t="e">
        <f>(2*(P14^2)/24*N17)+P15*I14*WLS</f>
        <v>#N/A</v>
      </c>
      <c r="Q16" s="66" t="str">
        <f t="shared" si="7"/>
        <v>3rd_UWL</v>
      </c>
      <c r="R16" s="67" t="str">
        <f t="shared" si="7"/>
        <v>#NA</v>
      </c>
      <c r="V16" s="89" t="e">
        <f>SUM(V13:V15)</f>
        <v>#VALUE!</v>
      </c>
      <c r="X16" s="89" t="e">
        <f>SUM(X13:X15)</f>
        <v>#VALUE!</v>
      </c>
      <c r="Y16" s="84" t="str">
        <f>CONCATENATE("m'(",S15,")=")</f>
        <v>m'(#NA)=</v>
      </c>
      <c r="Z16" s="84" t="e">
        <f>2*(Z13*WLS)/3*X16</f>
        <v>#VALUE!</v>
      </c>
      <c r="AA16" s="84" t="e">
        <f>CONCATENATE("M(",S13,")=")</f>
        <v>#VALUE!</v>
      </c>
      <c r="AB16" s="84" t="e">
        <f>IF(S13=RisePerWLS,0,VLOOKUP(S13,STN_TABLE,4,FALSE))</f>
        <v>#VALUE!</v>
      </c>
      <c r="AC16" t="str">
        <f>CONCATENATE("M(",S15,")=")</f>
        <v>M(#NA)=</v>
      </c>
      <c r="AD16" t="e">
        <f>Z16+AB16</f>
        <v>#VALUE!</v>
      </c>
      <c r="AE16" s="80"/>
      <c r="AJ16" s="89" t="e">
        <f>SUM(AJ14:AJ15)</f>
        <v>#N/A</v>
      </c>
      <c r="AL16" s="89" t="e">
        <f>SUM(AL14:AL15)</f>
        <v>#N/A</v>
      </c>
      <c r="AM16" s="84" t="str">
        <f>CONCATENATE("m'(",AI15,")=")</f>
        <v>m'(#NA)=</v>
      </c>
      <c r="AN16" s="84" t="e">
        <f>(2*(AN13^2)/6*AL16)+(AN15*AI14*WLS)</f>
        <v>#VALUE!</v>
      </c>
      <c r="AO16" s="84" t="str">
        <f>CONCATENATE("M(",AI14,")=")</f>
        <v>M(#NA)=</v>
      </c>
      <c r="AP16" s="84" t="e">
        <f>IF(AI14=RisePerWLS,0,VLOOKUP(AI14,STN_TABLE,4,FALSE))</f>
        <v>#VALUE!</v>
      </c>
      <c r="AQ16" t="str">
        <f>CONCATENATE("M(",AI15,")=")</f>
        <v>M(#NA)=</v>
      </c>
      <c r="AR16" t="e">
        <f>AN16+AP16</f>
        <v>#VALUE!</v>
      </c>
    </row>
    <row r="17" spans="1:35" x14ac:dyDescent="0.25">
      <c r="A17">
        <v>14</v>
      </c>
      <c r="B17" s="80" t="str">
        <f t="shared" si="2"/>
        <v xml:space="preserve">  </v>
      </c>
      <c r="C17" s="81" t="str">
        <f t="shared" si="3"/>
        <v xml:space="preserve">  </v>
      </c>
      <c r="D17" s="81" t="str">
        <f t="shared" si="4"/>
        <v xml:space="preserve"> </v>
      </c>
      <c r="E17" s="77" t="str">
        <f t="shared" si="5"/>
        <v xml:space="preserve"> </v>
      </c>
      <c r="G17" s="91"/>
      <c r="H17" s="91"/>
      <c r="L17" s="89" t="e">
        <f>SUM(L14:L16)</f>
        <v>#N/A</v>
      </c>
      <c r="N17" s="89" t="e">
        <f>SUM(N14:N16)</f>
        <v>#N/A</v>
      </c>
      <c r="Q17" s="66"/>
      <c r="R17" s="67"/>
      <c r="AE17" s="90"/>
    </row>
    <row r="18" spans="1:35" x14ac:dyDescent="0.25">
      <c r="A18">
        <v>15</v>
      </c>
      <c r="B18" s="80" t="str">
        <f t="shared" si="2"/>
        <v xml:space="preserve">  </v>
      </c>
      <c r="C18" s="81" t="str">
        <f t="shared" si="3"/>
        <v xml:space="preserve">  </v>
      </c>
      <c r="D18" s="81" t="str">
        <f t="shared" si="4"/>
        <v xml:space="preserve"> </v>
      </c>
      <c r="E18" s="77" t="str">
        <f t="shared" si="5"/>
        <v xml:space="preserve"> </v>
      </c>
      <c r="G18" s="91"/>
      <c r="H18" s="91"/>
      <c r="K18" t="s">
        <v>103</v>
      </c>
      <c r="M18" t="str">
        <f>CONCATENATE("A(",I15,")=")</f>
        <v>A(#NA)=</v>
      </c>
      <c r="N18" t="e">
        <f>IF(OR(P15&lt;=0,P16&lt;=0),N22,P15)</f>
        <v>#N/A</v>
      </c>
      <c r="Q18" s="66"/>
      <c r="R18" s="67"/>
      <c r="AE18" s="80"/>
    </row>
    <row r="19" spans="1:35" x14ac:dyDescent="0.25">
      <c r="A19">
        <v>16</v>
      </c>
      <c r="B19" s="80" t="str">
        <f t="shared" si="2"/>
        <v xml:space="preserve">  </v>
      </c>
      <c r="C19" s="81" t="str">
        <f t="shared" si="3"/>
        <v xml:space="preserve">  </v>
      </c>
      <c r="D19" s="81" t="str">
        <f t="shared" si="4"/>
        <v xml:space="preserve"> </v>
      </c>
      <c r="E19" s="77" t="str">
        <f t="shared" si="5"/>
        <v xml:space="preserve"> </v>
      </c>
      <c r="G19" s="91"/>
      <c r="H19" s="91"/>
      <c r="M19" t="str">
        <f>CONCATENATE("M(",I15,")=")</f>
        <v>M(#NA)=</v>
      </c>
      <c r="N19" t="e">
        <f>IF(OR(P15&lt;=0,P16&lt;=0),N23,P16)</f>
        <v>#N/A</v>
      </c>
      <c r="Q19" s="66"/>
      <c r="R19" s="67"/>
      <c r="AE19" s="80"/>
    </row>
    <row r="20" spans="1:35" x14ac:dyDescent="0.25">
      <c r="A20">
        <v>17</v>
      </c>
      <c r="B20" s="80" t="str">
        <f t="shared" si="2"/>
        <v xml:space="preserve">  </v>
      </c>
      <c r="C20" s="81" t="str">
        <f t="shared" si="3"/>
        <v xml:space="preserve">  </v>
      </c>
      <c r="D20" s="81" t="str">
        <f t="shared" si="4"/>
        <v xml:space="preserve"> </v>
      </c>
      <c r="E20" s="77" t="str">
        <f t="shared" si="5"/>
        <v xml:space="preserve"> </v>
      </c>
      <c r="G20" s="91"/>
      <c r="H20" s="91"/>
      <c r="Q20" s="66"/>
      <c r="R20" s="67"/>
      <c r="S20" s="68" t="e">
        <f>IF(OR(R24-R23=R23-R22,R25-R23=R23-R22),R22,IF(OR(R24-R23=R23-R21,R25-R23=R23-R21),R21,"-"))</f>
        <v>#VALUE!</v>
      </c>
      <c r="T20" s="69" t="e">
        <f>IFERROR(VLOOKUP(S20,STN_TABLE,2,FALSE),IF(R20=RisePerWLS,0,"-"))</f>
        <v>#VALUE!</v>
      </c>
      <c r="U20" s="69">
        <v>5</v>
      </c>
      <c r="V20" s="69" t="e">
        <f>T20*U20</f>
        <v>#VALUE!</v>
      </c>
      <c r="W20" s="69">
        <v>3</v>
      </c>
      <c r="X20" s="69" t="e">
        <f>T20*W20</f>
        <v>#VALUE!</v>
      </c>
      <c r="Y20" s="6" t="s">
        <v>93</v>
      </c>
      <c r="Z20" s="70" t="e">
        <f>IF(AND(S22-S21=S21-S20,NOT(AND(S20=0,S21=0)),NOT(AND(S21=0,S22=0))),WLS*(S22-S21),"#NA")</f>
        <v>#VALUE!</v>
      </c>
      <c r="AE20" s="80"/>
    </row>
    <row r="21" spans="1:35" x14ac:dyDescent="0.25">
      <c r="A21">
        <v>18</v>
      </c>
      <c r="B21" s="80" t="str">
        <f t="shared" si="2"/>
        <v xml:space="preserve">  </v>
      </c>
      <c r="C21" s="81" t="str">
        <f t="shared" si="3"/>
        <v xml:space="preserve">  </v>
      </c>
      <c r="D21" s="81" t="str">
        <f t="shared" si="4"/>
        <v xml:space="preserve"> </v>
      </c>
      <c r="E21" s="77" t="str">
        <f t="shared" si="5"/>
        <v xml:space="preserve"> </v>
      </c>
      <c r="G21" s="91"/>
      <c r="H21" s="91" t="str">
        <f>G14</f>
        <v>Rise</v>
      </c>
      <c r="I21" s="79" t="e">
        <f>H14</f>
        <v>#VALUE!</v>
      </c>
      <c r="J21" s="68">
        <v>0</v>
      </c>
      <c r="K21" s="68">
        <v>1</v>
      </c>
      <c r="L21" s="69">
        <f>J21*K21</f>
        <v>0</v>
      </c>
      <c r="M21" t="s">
        <v>93</v>
      </c>
      <c r="N21" t="e">
        <f>(I22-I21)*WLS</f>
        <v>#VALUE!</v>
      </c>
      <c r="Q21" s="66" t="str">
        <f t="shared" ref="Q21:R25" si="8">G5</f>
        <v>1st_UWL</v>
      </c>
      <c r="R21" s="67" t="str">
        <f t="shared" si="8"/>
        <v>#NA</v>
      </c>
      <c r="S21" s="76" t="str">
        <f>R23</f>
        <v>#NA</v>
      </c>
      <c r="T21" s="77" t="e">
        <f>VLOOKUP(S21,STN_TABLE,2,FALSE)</f>
        <v>#N/A</v>
      </c>
      <c r="U21" s="77">
        <v>8</v>
      </c>
      <c r="V21" s="77" t="e">
        <f>T21*U21</f>
        <v>#N/A</v>
      </c>
      <c r="W21" s="77">
        <v>10</v>
      </c>
      <c r="X21" s="77" t="e">
        <f>T21*W21</f>
        <v>#N/A</v>
      </c>
      <c r="Y21" s="78" t="s">
        <v>97</v>
      </c>
      <c r="Z21" s="78"/>
      <c r="AA21" s="78" t="s">
        <v>98</v>
      </c>
      <c r="AB21" s="78"/>
      <c r="AC21" s="7" t="s">
        <v>99</v>
      </c>
      <c r="AD21" s="7"/>
      <c r="AE21" s="80"/>
    </row>
    <row r="22" spans="1:35" x14ac:dyDescent="0.25">
      <c r="A22">
        <v>19</v>
      </c>
      <c r="B22" s="80" t="str">
        <f t="shared" si="2"/>
        <v xml:space="preserve">  </v>
      </c>
      <c r="C22" s="81" t="str">
        <f t="shared" si="3"/>
        <v xml:space="preserve">  </v>
      </c>
      <c r="D22" s="81" t="str">
        <f t="shared" si="4"/>
        <v xml:space="preserve"> </v>
      </c>
      <c r="E22" s="77" t="str">
        <f t="shared" si="5"/>
        <v xml:space="preserve"> </v>
      </c>
      <c r="G22" s="91"/>
      <c r="H22" s="91" t="str">
        <f>G15</f>
        <v>1st_UWL</v>
      </c>
      <c r="I22" s="88" t="str">
        <f>H15</f>
        <v>#NA</v>
      </c>
      <c r="J22" s="82" t="e">
        <f>VLOOKUP(I22,STN_TABLE,2,FALSE)</f>
        <v>#N/A</v>
      </c>
      <c r="K22" s="82">
        <v>2</v>
      </c>
      <c r="L22" s="83" t="e">
        <f>J22*K22</f>
        <v>#N/A</v>
      </c>
      <c r="M22" t="str">
        <f>CONCATENATE("A(",I22,")=")</f>
        <v>A(#NA)=</v>
      </c>
      <c r="N22" t="e">
        <f>2*N21/2*J23</f>
        <v>#VALUE!</v>
      </c>
      <c r="Q22" s="66" t="str">
        <f t="shared" si="8"/>
        <v>2nd_UWL</v>
      </c>
      <c r="R22" s="67" t="str">
        <f t="shared" si="8"/>
        <v>#NA</v>
      </c>
      <c r="S22" s="82" t="e">
        <f>IF(S20-S21=S21-R24,R24,IF(S20-S21=S21-R25,R25,"-"))</f>
        <v>#VALUE!</v>
      </c>
      <c r="T22" s="83" t="e">
        <f>VLOOKUP(S22,STN_TABLE,2,FALSE)</f>
        <v>#VALUE!</v>
      </c>
      <c r="U22" s="83">
        <v>-1</v>
      </c>
      <c r="V22" s="83" t="e">
        <f>T22*U22</f>
        <v>#VALUE!</v>
      </c>
      <c r="W22" s="83">
        <v>-1</v>
      </c>
      <c r="X22" s="83" t="e">
        <f>T22*W22</f>
        <v>#VALUE!</v>
      </c>
      <c r="Y22" s="84" t="str">
        <f>CONCATENATE("a'(",S21,")=")</f>
        <v>a'(#NA)=</v>
      </c>
      <c r="Z22" s="84" t="e">
        <f>2*Z20/12*V23</f>
        <v>#VALUE!</v>
      </c>
      <c r="AA22" s="84" t="e">
        <f>CONCATENATE("A(",S20,")=")</f>
        <v>#VALUE!</v>
      </c>
      <c r="AB22" s="84" t="e">
        <f>IF(S20=RisePerWLS,0,VLOOKUP(S20,STN_TABLE,3,FALSE))</f>
        <v>#VALUE!</v>
      </c>
      <c r="AC22" t="str">
        <f>CONCATENATE("A(",S21,")=")</f>
        <v>A(#NA)=</v>
      </c>
      <c r="AD22" t="e">
        <f>Z22+AB22</f>
        <v>#VALUE!</v>
      </c>
      <c r="AE22" s="80"/>
    </row>
    <row r="23" spans="1:35" x14ac:dyDescent="0.25">
      <c r="A23">
        <v>20</v>
      </c>
      <c r="B23" s="80" t="str">
        <f t="shared" si="2"/>
        <v xml:space="preserve">  </v>
      </c>
      <c r="C23" s="81" t="str">
        <f t="shared" si="3"/>
        <v xml:space="preserve">  </v>
      </c>
      <c r="D23" s="81" t="str">
        <f t="shared" si="4"/>
        <v xml:space="preserve"> </v>
      </c>
      <c r="E23" s="77" t="str">
        <f t="shared" si="5"/>
        <v xml:space="preserve"> </v>
      </c>
      <c r="J23" s="89" t="e">
        <f>SUM(J21:J22)</f>
        <v>#N/A</v>
      </c>
      <c r="L23" s="89" t="e">
        <f>SUM(L21:L22)</f>
        <v>#N/A</v>
      </c>
      <c r="M23" t="str">
        <f>CONCATENATE("M(",I22,")=")</f>
        <v>M(#NA)=</v>
      </c>
      <c r="N23" t="e">
        <f>(2*(N21^2)/6*L23)+N22*I21*WLS</f>
        <v>#VALUE!</v>
      </c>
      <c r="Q23" s="66" t="str">
        <f t="shared" si="8"/>
        <v>3rd_UWL</v>
      </c>
      <c r="R23" s="67" t="str">
        <f t="shared" si="8"/>
        <v>#NA</v>
      </c>
      <c r="V23" s="89" t="e">
        <f>SUM(V20:V22)</f>
        <v>#VALUE!</v>
      </c>
      <c r="X23" s="89" t="e">
        <f>SUM(X20:X22)</f>
        <v>#VALUE!</v>
      </c>
      <c r="Y23" s="84" t="str">
        <f>CONCATENATE("m'(",S21,")=")</f>
        <v>m'(#NA)=</v>
      </c>
      <c r="Z23" s="84" t="e">
        <f>(2*(Z20^2)/24*X23)+(Z22*S20*WLS)</f>
        <v>#VALUE!</v>
      </c>
      <c r="AA23" s="84" t="e">
        <f>CONCATENATE("M(",S20,")=")</f>
        <v>#VALUE!</v>
      </c>
      <c r="AB23" s="84" t="e">
        <f>IF(S20=RisePerWLS,0,VLOOKUP(S20,STN_TABLE,4,FALSE))</f>
        <v>#VALUE!</v>
      </c>
      <c r="AC23" t="str">
        <f>CONCATENATE("M(",S21,")=")</f>
        <v>M(#NA)=</v>
      </c>
      <c r="AD23" t="e">
        <f>Z23+AB23</f>
        <v>#VALUE!</v>
      </c>
      <c r="AE23" s="80"/>
    </row>
    <row r="24" spans="1:35" x14ac:dyDescent="0.25">
      <c r="A24">
        <v>21</v>
      </c>
      <c r="B24" s="80" t="str">
        <f t="shared" si="2"/>
        <v xml:space="preserve">  </v>
      </c>
      <c r="C24" s="81" t="str">
        <f t="shared" si="3"/>
        <v xml:space="preserve">  </v>
      </c>
      <c r="D24" s="81" t="str">
        <f t="shared" si="4"/>
        <v xml:space="preserve"> </v>
      </c>
      <c r="E24" s="77" t="str">
        <f t="shared" si="5"/>
        <v xml:space="preserve"> </v>
      </c>
      <c r="Q24" s="66" t="str">
        <f t="shared" si="8"/>
        <v>4th_UWL</v>
      </c>
      <c r="R24" s="67" t="str">
        <f t="shared" si="8"/>
        <v>#NA</v>
      </c>
      <c r="U24" t="s">
        <v>103</v>
      </c>
      <c r="W24" t="str">
        <f>CONCATENATE("A(",S21,")=")</f>
        <v>A(#NA)=</v>
      </c>
      <c r="X24" t="e">
        <f>IF(OR(AD22&lt;=0,AD23&lt;=0),AD27,AD22)</f>
        <v>#VALUE!</v>
      </c>
      <c r="AE24" s="80"/>
    </row>
    <row r="25" spans="1:35" x14ac:dyDescent="0.25">
      <c r="A25">
        <v>22</v>
      </c>
      <c r="B25" s="80" t="str">
        <f t="shared" si="2"/>
        <v xml:space="preserve">  </v>
      </c>
      <c r="C25" s="81" t="str">
        <f t="shared" si="3"/>
        <v xml:space="preserve">  </v>
      </c>
      <c r="D25" s="81" t="str">
        <f t="shared" si="4"/>
        <v xml:space="preserve"> </v>
      </c>
      <c r="E25" s="77" t="str">
        <f t="shared" si="5"/>
        <v xml:space="preserve"> </v>
      </c>
      <c r="G25" s="71" t="s">
        <v>111</v>
      </c>
      <c r="Q25" s="66" t="str">
        <f t="shared" si="8"/>
        <v>5th_UWL</v>
      </c>
      <c r="R25" s="67" t="str">
        <f t="shared" si="8"/>
        <v>#NA</v>
      </c>
      <c r="W25" t="str">
        <f>CONCATENATE("M(",S21,")=")</f>
        <v>M(#NA)=</v>
      </c>
      <c r="X25" t="e">
        <f>IF(OR(AD22&lt;=0,AD23&lt;=0),AD28,AD23)</f>
        <v>#VALUE!</v>
      </c>
      <c r="Y25" s="6" t="s">
        <v>93</v>
      </c>
      <c r="Z25" s="70" t="e">
        <f>WLS*(U27-U26)</f>
        <v>#VALUE!</v>
      </c>
      <c r="AE25" s="80"/>
    </row>
    <row r="26" spans="1:35" x14ac:dyDescent="0.25">
      <c r="A26">
        <v>23</v>
      </c>
      <c r="B26" s="80" t="str">
        <f t="shared" si="2"/>
        <v xml:space="preserve">  </v>
      </c>
      <c r="C26" s="81" t="str">
        <f t="shared" si="3"/>
        <v xml:space="preserve">  </v>
      </c>
      <c r="D26" s="81" t="str">
        <f t="shared" si="4"/>
        <v xml:space="preserve"> </v>
      </c>
      <c r="E26" s="77" t="str">
        <f t="shared" si="5"/>
        <v xml:space="preserve"> </v>
      </c>
      <c r="G26" s="91" t="str">
        <f t="shared" ref="G26:H28" si="9">G4</f>
        <v>Rise</v>
      </c>
      <c r="H26" s="91" t="e">
        <f t="shared" si="9"/>
        <v>#VALUE!</v>
      </c>
      <c r="I26" s="68" t="e">
        <f>H26</f>
        <v>#VALUE!</v>
      </c>
      <c r="J26" s="69">
        <v>0</v>
      </c>
      <c r="K26" s="69">
        <v>1</v>
      </c>
      <c r="L26" s="69">
        <f>J26*K26</f>
        <v>0</v>
      </c>
      <c r="M26" s="69" t="e">
        <f>I26</f>
        <v>#VALUE!</v>
      </c>
      <c r="N26" s="69" t="e">
        <f>L26*M26</f>
        <v>#VALUE!</v>
      </c>
      <c r="O26" t="s">
        <v>93</v>
      </c>
      <c r="P26" t="e">
        <f>IF(OR(J26=0,J27=0,J28=0),"#NA",IF(I28-I27=I27-I26,WLS*(I27-I26),"#NA"))</f>
        <v>#VALUE!</v>
      </c>
      <c r="Q26" s="66"/>
      <c r="R26" s="67"/>
      <c r="U26" s="79" t="str">
        <f>R22</f>
        <v>#NA</v>
      </c>
      <c r="V26" s="68" t="e">
        <f>VLOOKUP(U26,STN_TABLE,2,FALSE)</f>
        <v>#N/A</v>
      </c>
      <c r="W26" s="68">
        <v>1</v>
      </c>
      <c r="X26" s="69" t="e">
        <f>V26*W26</f>
        <v>#N/A</v>
      </c>
      <c r="Y26" s="78" t="s">
        <v>97</v>
      </c>
      <c r="Z26" s="78"/>
      <c r="AA26" s="78" t="s">
        <v>98</v>
      </c>
      <c r="AB26" s="78"/>
      <c r="AC26" s="7" t="s">
        <v>99</v>
      </c>
      <c r="AD26" s="7"/>
      <c r="AE26" s="80"/>
    </row>
    <row r="27" spans="1:35" x14ac:dyDescent="0.25">
      <c r="A27">
        <v>24</v>
      </c>
      <c r="B27" s="80" t="str">
        <f t="shared" si="2"/>
        <v xml:space="preserve">  </v>
      </c>
      <c r="C27" s="81" t="str">
        <f t="shared" si="3"/>
        <v xml:space="preserve">  </v>
      </c>
      <c r="D27" s="81" t="str">
        <f t="shared" si="4"/>
        <v xml:space="preserve"> </v>
      </c>
      <c r="E27" s="77" t="str">
        <f t="shared" si="5"/>
        <v xml:space="preserve"> </v>
      </c>
      <c r="G27" s="91" t="str">
        <f t="shared" si="9"/>
        <v>1st_UWL</v>
      </c>
      <c r="H27" s="91" t="str">
        <f t="shared" si="9"/>
        <v>#NA</v>
      </c>
      <c r="I27" s="76" t="e">
        <f>IF(H28-H27=H27-H26,H28,"#NA")</f>
        <v>#VALUE!</v>
      </c>
      <c r="J27" s="77" t="e">
        <f>VLOOKUP(I27,STN_TABLE,2,FALSE)</f>
        <v>#VALUE!</v>
      </c>
      <c r="K27" s="77">
        <v>4</v>
      </c>
      <c r="L27" s="77" t="e">
        <f>J27*K27</f>
        <v>#VALUE!</v>
      </c>
      <c r="M27" s="77" t="e">
        <f>I27</f>
        <v>#VALUE!</v>
      </c>
      <c r="N27" s="77" t="e">
        <f>L27*M27</f>
        <v>#VALUE!</v>
      </c>
      <c r="O27" t="e">
        <f>CONCATENATE("A(",I28,")=")</f>
        <v>#VALUE!</v>
      </c>
      <c r="P27" t="e">
        <f>2*P26/3*L29</f>
        <v>#VALUE!</v>
      </c>
      <c r="Q27" s="80"/>
      <c r="R27" s="81"/>
      <c r="U27" s="88" t="str">
        <f>R23</f>
        <v>#NA</v>
      </c>
      <c r="V27" s="82" t="e">
        <f>VLOOKUP(U27,STN_TABLE,2,FALSE)</f>
        <v>#N/A</v>
      </c>
      <c r="W27" s="82">
        <v>2</v>
      </c>
      <c r="X27" s="83" t="e">
        <f>V27*W27</f>
        <v>#N/A</v>
      </c>
      <c r="Y27" s="84" t="str">
        <f>CONCATENATE("a'(",U27,")=")</f>
        <v>a'(#NA)=</v>
      </c>
      <c r="Z27" s="84" t="e">
        <f>2*Z25/2*V28</f>
        <v>#VALUE!</v>
      </c>
      <c r="AA27" s="84" t="str">
        <f>CONCATENATE("A(",U26,")=")</f>
        <v>A(#NA)=</v>
      </c>
      <c r="AB27" s="84" t="e">
        <f>IF(U26=RisePerWLS,0,VLOOKUP(U26,STN_TABLE,3,FALSE))</f>
        <v>#VALUE!</v>
      </c>
      <c r="AC27" t="str">
        <f>CONCATENATE("A(",U27,")=")</f>
        <v>A(#NA)=</v>
      </c>
      <c r="AD27" t="e">
        <f>Z27+AB27</f>
        <v>#VALUE!</v>
      </c>
      <c r="AE27" s="80"/>
    </row>
    <row r="28" spans="1:35" x14ac:dyDescent="0.25">
      <c r="A28">
        <v>25</v>
      </c>
      <c r="B28" s="88" t="str">
        <f t="shared" si="2"/>
        <v xml:space="preserve">  </v>
      </c>
      <c r="C28" s="92" t="str">
        <f t="shared" si="3"/>
        <v xml:space="preserve">  </v>
      </c>
      <c r="D28" s="81" t="str">
        <f t="shared" si="4"/>
        <v xml:space="preserve"> </v>
      </c>
      <c r="E28" s="77" t="str">
        <f t="shared" si="5"/>
        <v xml:space="preserve"> </v>
      </c>
      <c r="G28" s="91" t="str">
        <f t="shared" si="9"/>
        <v>2nd_UWL</v>
      </c>
      <c r="H28" s="91" t="str">
        <f t="shared" si="9"/>
        <v>#NA</v>
      </c>
      <c r="I28" s="82" t="e">
        <f>IF(H28-H27=H27-H26,H28,"#NA")</f>
        <v>#VALUE!</v>
      </c>
      <c r="J28" s="83" t="e">
        <f>VLOOKUP(I28,STN_TABLE,2,FALSE)</f>
        <v>#VALUE!</v>
      </c>
      <c r="K28" s="83">
        <v>1</v>
      </c>
      <c r="L28" s="83" t="e">
        <f>J28*K28</f>
        <v>#VALUE!</v>
      </c>
      <c r="M28" s="83" t="e">
        <f>I28</f>
        <v>#VALUE!</v>
      </c>
      <c r="N28" s="83" t="e">
        <f>L28*M28</f>
        <v>#VALUE!</v>
      </c>
      <c r="O28" t="e">
        <f>CONCATENATE("M(",I28,")=")</f>
        <v>#VALUE!</v>
      </c>
      <c r="P28" t="e">
        <f>2*(P26*WLS)/3*N29</f>
        <v>#VALUE!</v>
      </c>
      <c r="Q28" s="80"/>
      <c r="R28" s="81"/>
      <c r="V28" s="89" t="e">
        <f>SUM(V26:V27)</f>
        <v>#N/A</v>
      </c>
      <c r="X28" s="89" t="e">
        <f>SUM(X26:X27)</f>
        <v>#N/A</v>
      </c>
      <c r="Y28" s="84" t="str">
        <f>CONCATENATE("m'(",U27,")=")</f>
        <v>m'(#NA)=</v>
      </c>
      <c r="Z28" s="84" t="e">
        <f>(2*(Z25^2)/6*X28)+(Z27*U26*WLS)</f>
        <v>#VALUE!</v>
      </c>
      <c r="AA28" s="84" t="str">
        <f>CONCATENATE("M(",U26,")=")</f>
        <v>M(#NA)=</v>
      </c>
      <c r="AB28" s="84" t="e">
        <f>IF(U26=RisePerWLS,0,VLOOKUP(U26,STN_TABLE,4,FALSE))</f>
        <v>#VALUE!</v>
      </c>
      <c r="AC28" t="str">
        <f>CONCATENATE("M(",U27,")=")</f>
        <v>M(#NA)=</v>
      </c>
      <c r="AD28" t="e">
        <f>Z28+AB28</f>
        <v>#VALUE!</v>
      </c>
      <c r="AE28" s="80"/>
    </row>
    <row r="29" spans="1:35" x14ac:dyDescent="0.25">
      <c r="G29" s="91"/>
      <c r="H29" s="91"/>
      <c r="L29" s="89" t="e">
        <f>SUM(L26:L28)</f>
        <v>#VALUE!</v>
      </c>
      <c r="N29" s="89" t="e">
        <f>SUM(N26:N28)</f>
        <v>#VALUE!</v>
      </c>
      <c r="Q29" s="80"/>
      <c r="R29" s="81"/>
      <c r="AE29" s="80"/>
    </row>
    <row r="30" spans="1:35" x14ac:dyDescent="0.25">
      <c r="G30" s="91"/>
      <c r="H30" s="91"/>
    </row>
    <row r="31" spans="1:35" x14ac:dyDescent="0.25">
      <c r="G31" s="91"/>
      <c r="H31" s="91"/>
    </row>
    <row r="32" spans="1:35" x14ac:dyDescent="0.25">
      <c r="G32" s="91"/>
      <c r="H32" s="91"/>
      <c r="Q32" s="68">
        <f>B4</f>
        <v>0</v>
      </c>
      <c r="R32" s="69">
        <f>VLOOKUP(Q32,STN_TABLE,2,FALSE)</f>
        <v>0.9</v>
      </c>
      <c r="S32" s="69">
        <v>5</v>
      </c>
      <c r="T32" s="68">
        <f>R32*S32</f>
        <v>4.5</v>
      </c>
      <c r="U32" s="79">
        <v>3</v>
      </c>
      <c r="V32" s="68">
        <f>R32*U32</f>
        <v>2.7</v>
      </c>
      <c r="W32" t="s">
        <v>93</v>
      </c>
      <c r="X32" s="70">
        <f>IF(AND(Q34-Q33=Q33-Q32,NOT(AND(Q32=0,Q33=0)),NOT(AND(Q33=0,Q34=0))),WLS*(Q34-Q33),"#NA")</f>
        <v>0.5</v>
      </c>
      <c r="AD32" s="93"/>
      <c r="AH32" s="6" t="s">
        <v>93</v>
      </c>
      <c r="AI32" s="70">
        <f>WLS*(AD34-AD33)</f>
        <v>0.5</v>
      </c>
    </row>
    <row r="33" spans="1:47" x14ac:dyDescent="0.25">
      <c r="Q33" s="76">
        <f>B5</f>
        <v>0.25</v>
      </c>
      <c r="R33" s="77">
        <f>VLOOKUP(Q33,STN_TABLE,2,FALSE)</f>
        <v>1.59</v>
      </c>
      <c r="S33" s="77">
        <v>8</v>
      </c>
      <c r="T33" s="76">
        <f>R33*S33</f>
        <v>12.72</v>
      </c>
      <c r="U33" s="80">
        <v>10</v>
      </c>
      <c r="V33" s="76">
        <f>R33*U33</f>
        <v>15.9</v>
      </c>
      <c r="W33" s="495" t="s">
        <v>97</v>
      </c>
      <c r="X33" s="496"/>
      <c r="Y33" s="496" t="s">
        <v>98</v>
      </c>
      <c r="Z33" s="496"/>
      <c r="AA33" s="494" t="s">
        <v>99</v>
      </c>
      <c r="AB33" s="494"/>
      <c r="AC33" s="94">
        <v>1</v>
      </c>
      <c r="AD33" s="95">
        <f>VLOOKUP(AC33,STN_TABLE_2,2,FALSE)</f>
        <v>0</v>
      </c>
      <c r="AE33" s="68">
        <f>VLOOKUP(AD33,STN_TABLE,2,FALSE)</f>
        <v>0.9</v>
      </c>
      <c r="AF33" s="68">
        <v>1</v>
      </c>
      <c r="AG33" s="69">
        <f>AE33*AF33</f>
        <v>0.9</v>
      </c>
      <c r="AH33" s="496" t="s">
        <v>97</v>
      </c>
      <c r="AI33" s="496"/>
      <c r="AJ33" s="496" t="s">
        <v>98</v>
      </c>
      <c r="AK33" s="496"/>
      <c r="AL33" s="494" t="s">
        <v>99</v>
      </c>
      <c r="AM33" s="494"/>
      <c r="AP33" s="96" t="s">
        <v>112</v>
      </c>
      <c r="AQ33" s="89" t="s">
        <v>113</v>
      </c>
      <c r="AR33" s="89" t="s">
        <v>114</v>
      </c>
      <c r="AS33" s="89" t="s">
        <v>115</v>
      </c>
      <c r="AT33" s="97" t="s">
        <v>116</v>
      </c>
      <c r="AU33" s="98"/>
    </row>
    <row r="34" spans="1:47" x14ac:dyDescent="0.25">
      <c r="Q34" s="82">
        <f>B6</f>
        <v>0.5</v>
      </c>
      <c r="R34" s="83">
        <f>VLOOKUP(Q34,STN_TABLE,2,FALSE)</f>
        <v>2.14</v>
      </c>
      <c r="S34" s="83">
        <v>-1</v>
      </c>
      <c r="T34" s="82">
        <f>R34*S34</f>
        <v>-2.14</v>
      </c>
      <c r="U34" s="88">
        <v>-1</v>
      </c>
      <c r="V34" s="82">
        <f>R34*U34</f>
        <v>-2.14</v>
      </c>
      <c r="W34" s="84" t="str">
        <f>CONCATENATE("a'(",Q33,")=")</f>
        <v>a'(0.25)=</v>
      </c>
      <c r="X34" s="84">
        <f>2*X32/12*T35</f>
        <v>1.2566666666666664</v>
      </c>
      <c r="Y34" s="84" t="str">
        <f>CONCATENATE("A(",Q32,")=")</f>
        <v>A(0)=</v>
      </c>
      <c r="Z34" s="84">
        <f>VLOOKUP(Q32,STN_TABLE,3,FALSE)</f>
        <v>0</v>
      </c>
      <c r="AA34" t="str">
        <f>CONCATENATE("A(",Q33,")=")</f>
        <v>A(0.25)=</v>
      </c>
      <c r="AB34">
        <f>X34+Z34</f>
        <v>1.2566666666666664</v>
      </c>
      <c r="AC34" s="99">
        <f>AC33+1</f>
        <v>2</v>
      </c>
      <c r="AD34" s="100">
        <f>VLOOKUP(AC34,STN_TABLE_2,2,FALSE)</f>
        <v>0.25</v>
      </c>
      <c r="AE34" s="82">
        <f>VLOOKUP(AD34,STN_TABLE,2,FALSE)</f>
        <v>1.59</v>
      </c>
      <c r="AF34" s="82">
        <v>2</v>
      </c>
      <c r="AG34" s="83">
        <f>AE34*AF34</f>
        <v>3.18</v>
      </c>
      <c r="AH34" s="84" t="str">
        <f>CONCATENATE("a'(",AD34,")=")</f>
        <v>a'(0.25)=</v>
      </c>
      <c r="AI34" s="84">
        <f>2*AI32/2*AE35</f>
        <v>1.2450000000000001</v>
      </c>
      <c r="AJ34" s="84" t="str">
        <f>CONCATENATE("A(",AD33,")=")</f>
        <v>A(0)=</v>
      </c>
      <c r="AK34" s="84">
        <f>VLOOKUP(AD33,STN_TABLE,3,FALSE)</f>
        <v>0</v>
      </c>
      <c r="AL34" t="str">
        <f>CONCATENATE("A(",AD34,")=")</f>
        <v>A(0.25)=</v>
      </c>
      <c r="AM34">
        <f>AI34+AK34</f>
        <v>1.2450000000000001</v>
      </c>
      <c r="AO34" s="68" t="str">
        <f>AA34</f>
        <v>A(0.25)=</v>
      </c>
      <c r="AP34" s="79" t="e">
        <f>VLOOKUP(AO34,Rise_Results,2,FALSE)</f>
        <v>#N/A</v>
      </c>
      <c r="AQ34" s="76" t="s">
        <v>117</v>
      </c>
      <c r="AR34" s="76">
        <f>IF(OR(AB34&lt;=0,AB35&lt;=0),1/0,AB34)</f>
        <v>1.2566666666666664</v>
      </c>
      <c r="AS34" s="76">
        <f>AM34</f>
        <v>1.2450000000000001</v>
      </c>
      <c r="AT34" s="80">
        <f>IFERROR(AP34,IFERROR(AR34,AS34))</f>
        <v>1.2566666666666664</v>
      </c>
    </row>
    <row r="35" spans="1:47" x14ac:dyDescent="0.25">
      <c r="A35" s="101"/>
      <c r="T35" s="89">
        <f>SUM(T32:T34)</f>
        <v>15.079999999999998</v>
      </c>
      <c r="V35" s="82">
        <f>SUM(V32:V34)</f>
        <v>16.46</v>
      </c>
      <c r="W35" s="84" t="str">
        <f>CONCATENATE("m'(",Q33,")=")</f>
        <v>m'(0.25)=</v>
      </c>
      <c r="X35" s="84">
        <f>(2*(X32^2)/24*V35)</f>
        <v>0.34291666666666665</v>
      </c>
      <c r="Y35" s="84" t="str">
        <f>CONCATENATE("M(",Q32,")=")</f>
        <v>M(0)=</v>
      </c>
      <c r="Z35" s="84">
        <f>VLOOKUP(Q32,STN_TABLE,4,FALSE)</f>
        <v>0</v>
      </c>
      <c r="AA35" t="str">
        <f>CONCATENATE("M(",Q33,")=")</f>
        <v>M(0.25)=</v>
      </c>
      <c r="AB35">
        <f>X35+Z35</f>
        <v>0.34291666666666665</v>
      </c>
      <c r="AE35" s="89">
        <f>SUM(AE33:AE34)</f>
        <v>2.4900000000000002</v>
      </c>
      <c r="AG35" s="89">
        <f>SUM(AG33:AG34)</f>
        <v>4.08</v>
      </c>
      <c r="AH35" s="84" t="str">
        <f>CONCATENATE("m'(",AD34,")=")</f>
        <v>m'(0.25)=</v>
      </c>
      <c r="AI35" s="84">
        <f>(2*(AI32^2)/6*AG35)+(AI34*AD33*WLS)</f>
        <v>0.33999999999999997</v>
      </c>
      <c r="AJ35" s="84" t="str">
        <f>CONCATENATE("M(",AD33,")=")</f>
        <v>M(0)=</v>
      </c>
      <c r="AK35" s="84">
        <f>VLOOKUP(AD33,STN_TABLE,4,FALSE)</f>
        <v>0</v>
      </c>
      <c r="AL35" t="str">
        <f>CONCATENATE("M(",AD34,")=")</f>
        <v>M(0.25)=</v>
      </c>
      <c r="AM35">
        <f>AI35+AK35</f>
        <v>0.33999999999999997</v>
      </c>
      <c r="AO35" s="82" t="str">
        <f>AA35</f>
        <v>M(0.25)=</v>
      </c>
      <c r="AP35" s="88" t="e">
        <f>VLOOKUP(AO35,Rise_Results,2,FALSE)</f>
        <v>#N/A</v>
      </c>
      <c r="AQ35" s="82" t="s">
        <v>117</v>
      </c>
      <c r="AR35" s="82">
        <f>IF(OR(AB34&lt;=0,AB35&lt;=0),1/0,AB35)</f>
        <v>0.34291666666666665</v>
      </c>
      <c r="AS35" s="82">
        <f>AM35</f>
        <v>0.33999999999999997</v>
      </c>
      <c r="AT35" s="80">
        <f>IFERROR(AP35,IFERROR(AR35,AS35))</f>
        <v>0.34291666666666665</v>
      </c>
    </row>
    <row r="36" spans="1:47" x14ac:dyDescent="0.25">
      <c r="O36" s="94">
        <v>1</v>
      </c>
      <c r="P36" s="101">
        <f t="shared" ref="P36:P67" si="10">VLOOKUP(O36,STN_TABLE_2,2,FALSE)</f>
        <v>0</v>
      </c>
      <c r="AU36" s="81"/>
    </row>
    <row r="37" spans="1:47" x14ac:dyDescent="0.25">
      <c r="A37" s="94">
        <v>1</v>
      </c>
      <c r="B37" s="94">
        <f>VLOOKUP(A37,STN_TABLE_2,2,FALSE)</f>
        <v>0</v>
      </c>
      <c r="C37" s="79">
        <f>B37</f>
        <v>0</v>
      </c>
      <c r="D37" s="68">
        <f>VLOOKUP(C37,STN_TABLE,2,FALSE)</f>
        <v>0.9</v>
      </c>
      <c r="E37" s="102">
        <v>1</v>
      </c>
      <c r="F37" s="68">
        <f>D37*E37</f>
        <v>0.9</v>
      </c>
      <c r="G37" s="69">
        <f>C37</f>
        <v>0</v>
      </c>
      <c r="H37" s="69">
        <f>F37*G37</f>
        <v>0</v>
      </c>
      <c r="I37" s="6" t="s">
        <v>93</v>
      </c>
      <c r="J37" s="70">
        <f>IF(OR(D37=0,D38=0,D39=0),"#NA",IF(AND(C39-C38=C38-C37,C38&lt;&gt;C39,C37&lt;&gt;C38,C37&lt;&gt;C39,D39&lt;&gt;0,OR(D37&lt;&gt;0,D38&lt;&gt;0)),WLS*(C39-C38),"#NA"))</f>
        <v>0.5</v>
      </c>
      <c r="O37" s="99">
        <f>O36+1</f>
        <v>2</v>
      </c>
      <c r="P37" s="99">
        <f t="shared" si="10"/>
        <v>0.25</v>
      </c>
      <c r="Q37" s="68">
        <f>IF(OR(P39-P38=P38-P37,P40-P38=P38-P37),P37,IF(OR(P39-P38=P38-P36,P40-P38=P38-P36),P36,"-"))</f>
        <v>0.25</v>
      </c>
      <c r="R37" s="69">
        <f>VLOOKUP(Q37,STN_TABLE,2,FALSE)</f>
        <v>1.59</v>
      </c>
      <c r="S37" s="69">
        <v>5</v>
      </c>
      <c r="T37" s="68">
        <f>R37*S37</f>
        <v>7.95</v>
      </c>
      <c r="U37" s="79">
        <v>3</v>
      </c>
      <c r="V37" s="68">
        <f>R37*U37</f>
        <v>4.7700000000000005</v>
      </c>
      <c r="W37" s="6" t="s">
        <v>93</v>
      </c>
      <c r="X37" s="70">
        <f>IF(AND(Q39-Q38=Q38-Q37,NOT(AND(Q37=0,Q38=0)),NOT(AND(Q38=0,Q39=0))),WLS*(Q39-Q38),"#NA")</f>
        <v>0.5</v>
      </c>
      <c r="AD37" s="93"/>
      <c r="AH37" s="6" t="s">
        <v>93</v>
      </c>
      <c r="AI37" s="70">
        <f>WLS*(AD39-AD38)</f>
        <v>0.5</v>
      </c>
      <c r="AU37" s="81"/>
    </row>
    <row r="38" spans="1:47" x14ac:dyDescent="0.25">
      <c r="A38" s="94">
        <f>A37+1</f>
        <v>2</v>
      </c>
      <c r="B38" s="94">
        <f>VLOOKUP(A38,STN_TABLE_2,2,FALSE)</f>
        <v>0.25</v>
      </c>
      <c r="C38" s="80">
        <f>B38</f>
        <v>0.25</v>
      </c>
      <c r="D38" s="76">
        <f>VLOOKUP(C38,STN_TABLE,2,FALSE)</f>
        <v>1.59</v>
      </c>
      <c r="E38" s="81">
        <v>4</v>
      </c>
      <c r="F38" s="76">
        <f>D38*E38</f>
        <v>6.36</v>
      </c>
      <c r="G38" s="77">
        <f>C38</f>
        <v>0.25</v>
      </c>
      <c r="H38" s="77">
        <f>F38*G38</f>
        <v>1.59</v>
      </c>
      <c r="I38" s="496" t="s">
        <v>97</v>
      </c>
      <c r="J38" s="496"/>
      <c r="K38" s="78" t="s">
        <v>98</v>
      </c>
      <c r="L38" s="78"/>
      <c r="M38" s="7" t="s">
        <v>99</v>
      </c>
      <c r="N38" s="7"/>
      <c r="O38" s="99">
        <f>O37+1</f>
        <v>3</v>
      </c>
      <c r="P38" s="99">
        <f t="shared" si="10"/>
        <v>0.5</v>
      </c>
      <c r="Q38" s="76">
        <f>P38</f>
        <v>0.5</v>
      </c>
      <c r="R38" s="77">
        <f>VLOOKUP(Q38,STN_TABLE,2,FALSE)</f>
        <v>2.14</v>
      </c>
      <c r="S38" s="77">
        <v>8</v>
      </c>
      <c r="T38" s="76">
        <f>R38*S38</f>
        <v>17.12</v>
      </c>
      <c r="U38" s="80">
        <v>10</v>
      </c>
      <c r="V38" s="76">
        <f>R38*U38</f>
        <v>21.400000000000002</v>
      </c>
      <c r="W38" s="496" t="s">
        <v>97</v>
      </c>
      <c r="X38" s="496"/>
      <c r="Y38" s="496" t="s">
        <v>98</v>
      </c>
      <c r="Z38" s="496"/>
      <c r="AA38" s="494" t="s">
        <v>99</v>
      </c>
      <c r="AB38" s="494"/>
      <c r="AC38" s="99">
        <f>AC33+1</f>
        <v>2</v>
      </c>
      <c r="AD38" s="95">
        <f>VLOOKUP(AC38,STN_TABLE_2,2,FALSE)</f>
        <v>0.25</v>
      </c>
      <c r="AE38" s="68">
        <f>VLOOKUP(AD38,STN_TABLE,2,FALSE)</f>
        <v>1.59</v>
      </c>
      <c r="AF38" s="68">
        <v>1</v>
      </c>
      <c r="AG38" s="69">
        <f>AE38*AF38</f>
        <v>1.59</v>
      </c>
      <c r="AH38" s="496" t="s">
        <v>97</v>
      </c>
      <c r="AI38" s="496"/>
      <c r="AJ38" s="496" t="s">
        <v>98</v>
      </c>
      <c r="AK38" s="496"/>
      <c r="AL38" s="494" t="s">
        <v>99</v>
      </c>
      <c r="AM38" s="494"/>
      <c r="AP38" s="86" t="s">
        <v>112</v>
      </c>
      <c r="AQ38" s="89" t="s">
        <v>113</v>
      </c>
      <c r="AR38" s="89" t="s">
        <v>114</v>
      </c>
      <c r="AS38" s="89" t="s">
        <v>115</v>
      </c>
    </row>
    <row r="39" spans="1:47" x14ac:dyDescent="0.25">
      <c r="A39" s="94">
        <f>A38+1</f>
        <v>3</v>
      </c>
      <c r="B39" s="94">
        <f>VLOOKUP(A39,STN_TABLE_2,2,FALSE)</f>
        <v>0.5</v>
      </c>
      <c r="C39" s="88">
        <f>B39</f>
        <v>0.5</v>
      </c>
      <c r="D39" s="82">
        <f>VLOOKUP(C39,STN_TABLE,2,FALSE)</f>
        <v>2.14</v>
      </c>
      <c r="E39" s="92">
        <v>1</v>
      </c>
      <c r="F39" s="82">
        <f>D39*E39</f>
        <v>2.14</v>
      </c>
      <c r="G39" s="83">
        <f>C39</f>
        <v>0.5</v>
      </c>
      <c r="H39" s="83">
        <f>F39*G39</f>
        <v>1.07</v>
      </c>
      <c r="I39" s="84" t="str">
        <f>CONCATENATE("a'(",C39,")=")</f>
        <v>a'(0.5)=</v>
      </c>
      <c r="J39" s="84">
        <f>2*J37/3*F40</f>
        <v>3.1333333333333333</v>
      </c>
      <c r="K39" s="84" t="str">
        <f>CONCATENATE("A(",C37,")=")</f>
        <v>A(0)=</v>
      </c>
      <c r="L39" s="84">
        <f>VLOOKUP(C37,STN_TABLE,3,FALSE)</f>
        <v>0</v>
      </c>
      <c r="M39" t="str">
        <f>CONCATENATE("A(",C39,")=")</f>
        <v>A(0.5)=</v>
      </c>
      <c r="N39">
        <f>J39+L39</f>
        <v>3.1333333333333333</v>
      </c>
      <c r="O39" s="99">
        <f>O38+1</f>
        <v>4</v>
      </c>
      <c r="P39" s="99">
        <f t="shared" si="10"/>
        <v>0.75</v>
      </c>
      <c r="Q39" s="82">
        <f>IF(P39-P38=P38-P37,P39,IF(P40-P38=P38-P37,P40,IF(P39-P38=P38-P36,P39,IF(P40-P38=P38-P36,P40,"-"))))</f>
        <v>0.75</v>
      </c>
      <c r="R39" s="83">
        <f>VLOOKUP(Q39,STN_TABLE,2,FALSE)</f>
        <v>2.59</v>
      </c>
      <c r="S39" s="83">
        <v>-1</v>
      </c>
      <c r="T39" s="82">
        <f>R39*S39</f>
        <v>-2.59</v>
      </c>
      <c r="U39" s="88">
        <v>-1</v>
      </c>
      <c r="V39" s="82">
        <f>R39*U39</f>
        <v>-2.59</v>
      </c>
      <c r="W39" s="84" t="str">
        <f>CONCATENATE("a'(",Q38,")=")</f>
        <v>a'(0.5)=</v>
      </c>
      <c r="X39" s="84">
        <f>2*X37/12*T40</f>
        <v>1.8733333333333333</v>
      </c>
      <c r="Y39" s="84" t="str">
        <f>CONCATENATE("A(",Q37,")=")</f>
        <v>A(0.25)=</v>
      </c>
      <c r="Z39" s="84">
        <f>VLOOKUP(Q37,STN_TABLE,3,FALSE)</f>
        <v>1.2566666666666664</v>
      </c>
      <c r="AA39" t="str">
        <f>CONCATENATE("A(",Q38,")=")</f>
        <v>A(0.5)=</v>
      </c>
      <c r="AB39">
        <f>X39+Z39</f>
        <v>3.13</v>
      </c>
      <c r="AC39" s="99">
        <f>AC38+1</f>
        <v>3</v>
      </c>
      <c r="AD39" s="100">
        <f>VLOOKUP(AC39,STN_TABLE_2,2,FALSE)</f>
        <v>0.5</v>
      </c>
      <c r="AE39" s="82">
        <f>VLOOKUP(AD39,STN_TABLE,2,FALSE)</f>
        <v>2.14</v>
      </c>
      <c r="AF39" s="82">
        <v>2</v>
      </c>
      <c r="AG39" s="83">
        <f>AE39*AF39</f>
        <v>4.28</v>
      </c>
      <c r="AH39" s="84" t="str">
        <f>CONCATENATE("a'(",AD39,")=")</f>
        <v>a'(0.5)=</v>
      </c>
      <c r="AI39" s="84">
        <f>2*AI37/2*AE40</f>
        <v>1.8650000000000002</v>
      </c>
      <c r="AJ39" s="84" t="str">
        <f>CONCATENATE("A(",AD38,")=")</f>
        <v>A(0.25)=</v>
      </c>
      <c r="AK39" s="84">
        <f>VLOOKUP(AD38,STN_TABLE,3,FALSE)</f>
        <v>1.2566666666666664</v>
      </c>
      <c r="AL39" t="str">
        <f>CONCATENATE("A(",AD39,")=")</f>
        <v>A(0.5)=</v>
      </c>
      <c r="AM39">
        <f>AI39+AK39</f>
        <v>3.1216666666666666</v>
      </c>
      <c r="AO39" s="68" t="str">
        <f>AA39</f>
        <v>A(0.5)=</v>
      </c>
      <c r="AP39" s="68" t="e">
        <f>VLOOKUP(AO39,Rise_Results,2,FALSE)</f>
        <v>#N/A</v>
      </c>
      <c r="AQ39" s="76">
        <f>N39</f>
        <v>3.1333333333333333</v>
      </c>
      <c r="AR39" s="76">
        <f>IF(OR(AB39&lt;=0,AB40&lt;=0),1/0,AB39)</f>
        <v>3.13</v>
      </c>
      <c r="AS39" s="76">
        <f>AM39</f>
        <v>3.1216666666666666</v>
      </c>
      <c r="AT39">
        <f>IFERROR(AP39,IFERROR(AQ39,IFERROR(AR39,AS39)))</f>
        <v>3.1333333333333333</v>
      </c>
    </row>
    <row r="40" spans="1:47" x14ac:dyDescent="0.25">
      <c r="A40">
        <v>4</v>
      </c>
      <c r="F40" s="82">
        <f>SUM(F37:F39)</f>
        <v>9.4</v>
      </c>
      <c r="H40" s="82">
        <f>SUM(H37:H39)</f>
        <v>2.66</v>
      </c>
      <c r="I40" s="84" t="str">
        <f>CONCATENATE("m'(",C39,")=")</f>
        <v>m'(0.5)=</v>
      </c>
      <c r="J40" s="84">
        <f>2*(J37*(WLS))/3*H40</f>
        <v>1.7733333333333334</v>
      </c>
      <c r="K40" s="84" t="str">
        <f>CONCATENATE("M(",C37,")=")</f>
        <v>M(0)=</v>
      </c>
      <c r="L40" s="84">
        <f>VLOOKUP(C37,STN_TABLE,4,FALSE)</f>
        <v>0</v>
      </c>
      <c r="M40" t="str">
        <f>CONCATENATE("M(",C39,")=")</f>
        <v>M(0.5)=</v>
      </c>
      <c r="N40">
        <f>J40+L40</f>
        <v>1.7733333333333334</v>
      </c>
      <c r="O40" s="99">
        <f>O39+1</f>
        <v>5</v>
      </c>
      <c r="P40" s="99">
        <f t="shared" si="10"/>
        <v>1</v>
      </c>
      <c r="T40" s="89">
        <f>SUM(T37:T39)</f>
        <v>22.48</v>
      </c>
      <c r="V40" s="82">
        <f>SUM(V37:V39)</f>
        <v>23.580000000000002</v>
      </c>
      <c r="W40" s="84" t="str">
        <f>CONCATENATE("m'(",Q38,")=")</f>
        <v>m'(0.5)=</v>
      </c>
      <c r="X40" s="84">
        <f>(2*(X37^2)/24*V40)+(X39*Q37*WLS)</f>
        <v>1.4279166666666667</v>
      </c>
      <c r="Y40" s="84" t="str">
        <f>CONCATENATE("M(",Q37,")=")</f>
        <v>M(0.25)=</v>
      </c>
      <c r="Z40" s="84">
        <f>VLOOKUP(Q37,STN_TABLE,4,FALSE)</f>
        <v>0.34291666666666665</v>
      </c>
      <c r="AA40" t="str">
        <f>CONCATENATE("M(",Q38,")=")</f>
        <v>M(0.5)=</v>
      </c>
      <c r="AB40">
        <f>X40+Z40</f>
        <v>1.7708333333333335</v>
      </c>
      <c r="AE40" s="89">
        <f>SUM(AE38:AE39)</f>
        <v>3.7300000000000004</v>
      </c>
      <c r="AG40" s="89">
        <f>SUM(AG38:AG39)</f>
        <v>5.87</v>
      </c>
      <c r="AH40" s="84" t="str">
        <f>CONCATENATE("m'(",AD39,")=")</f>
        <v>m'(0.5)=</v>
      </c>
      <c r="AI40" s="84">
        <f>(2*(AI37^2)/6*AG40)+(AI39*AD38*WLS)</f>
        <v>1.4216666666666669</v>
      </c>
      <c r="AJ40" s="84" t="str">
        <f>CONCATENATE("M(",AD38,")=")</f>
        <v>M(0.25)=</v>
      </c>
      <c r="AK40" s="84">
        <f>VLOOKUP(AD38,STN_TABLE,4,FALSE)</f>
        <v>0.34291666666666665</v>
      </c>
      <c r="AL40" t="str">
        <f>CONCATENATE("M(",AD39,")=")</f>
        <v>M(0.5)=</v>
      </c>
      <c r="AM40">
        <f>AI40+AK40</f>
        <v>1.7645833333333334</v>
      </c>
      <c r="AO40" s="82" t="str">
        <f>AA40</f>
        <v>M(0.5)=</v>
      </c>
      <c r="AP40" s="82" t="e">
        <f>VLOOKUP(AO40,Rise_Results,2,FALSE)</f>
        <v>#N/A</v>
      </c>
      <c r="AQ40" s="82">
        <f>N40</f>
        <v>1.7733333333333334</v>
      </c>
      <c r="AR40" s="82">
        <f>IF(OR(AB39&lt;=0,AB40&lt;=0),1/0,AB40)</f>
        <v>1.7708333333333335</v>
      </c>
      <c r="AS40" s="82">
        <f>AM40</f>
        <v>1.7645833333333334</v>
      </c>
      <c r="AT40">
        <f>IFERROR(AP40,IFERROR(AQ40,IFERROR(AR40,AS40)))</f>
        <v>1.7733333333333334</v>
      </c>
    </row>
    <row r="41" spans="1:47" x14ac:dyDescent="0.25">
      <c r="A41" s="94">
        <v>0</v>
      </c>
      <c r="O41" s="101">
        <f>O36+1</f>
        <v>2</v>
      </c>
      <c r="P41" s="101">
        <f t="shared" si="10"/>
        <v>0.25</v>
      </c>
    </row>
    <row r="42" spans="1:47" x14ac:dyDescent="0.25">
      <c r="A42" s="94">
        <f>A41+1</f>
        <v>1</v>
      </c>
      <c r="B42" s="94">
        <f t="shared" ref="B42:B73" si="11">VLOOKUP(A42,STN_TABLE_2,2,FALSE)</f>
        <v>0</v>
      </c>
      <c r="C42" s="79">
        <f>IF(C43=B43,B42,IF(C43=B44,IF(C44-C43=C43-B43,B43,IF(C44-C43=C43-B42,B42,"NA"))))</f>
        <v>0.25</v>
      </c>
      <c r="D42" s="68">
        <f>VLOOKUP(C42,STN_TABLE,2,FALSE)</f>
        <v>1.59</v>
      </c>
      <c r="E42" s="102">
        <v>1</v>
      </c>
      <c r="F42" s="68">
        <f>D42*E42</f>
        <v>1.59</v>
      </c>
      <c r="G42" s="69">
        <f>C42</f>
        <v>0.25</v>
      </c>
      <c r="H42" s="69">
        <f>F42*G42</f>
        <v>0.39750000000000002</v>
      </c>
      <c r="I42" s="6" t="s">
        <v>93</v>
      </c>
      <c r="J42" s="70">
        <f>IF(OR(D42=0,D43=0,D44=0),"#NA",IF(AND(C44-C43=C43-C42,C43&lt;&gt;C44,C42&lt;&gt;C43,C42&lt;&gt;C44,D44&lt;&gt;0,OR(D42&lt;&gt;0,D43&lt;&gt;0)),WLS*(C44-C43),"#NA"))</f>
        <v>0.5</v>
      </c>
      <c r="O42" s="99">
        <f>O41+1</f>
        <v>3</v>
      </c>
      <c r="P42" s="99">
        <f t="shared" si="10"/>
        <v>0.5</v>
      </c>
      <c r="Q42" s="68">
        <f>IF(OR(P44-P43=P43-P42,P45-P43=P43-P42),P42,IF(OR(P44-P43=P43-P41,P45-P43=P43-P41),P41,"-"))</f>
        <v>0.5</v>
      </c>
      <c r="R42" s="69">
        <f>VLOOKUP(Q42,STN_TABLE,2,FALSE)</f>
        <v>2.14</v>
      </c>
      <c r="S42" s="69">
        <v>5</v>
      </c>
      <c r="T42" s="68">
        <f>R42*S42</f>
        <v>10.700000000000001</v>
      </c>
      <c r="U42" s="79">
        <v>3</v>
      </c>
      <c r="V42" s="68">
        <f>R42*U42</f>
        <v>6.42</v>
      </c>
      <c r="W42" s="6" t="s">
        <v>93</v>
      </c>
      <c r="X42" s="70">
        <f>IF(AND(Q44-Q43=Q43-Q42,NOT(AND(Q42=0,Q43=0)),NOT(AND(Q43=0,Q44=0))),WLS*(Q44-Q43),"#NA")</f>
        <v>0.5</v>
      </c>
      <c r="AD42" s="93"/>
      <c r="AH42" s="6" t="s">
        <v>93</v>
      </c>
      <c r="AI42" s="70">
        <f>WLS*(AD44-AD43)</f>
        <v>0.5</v>
      </c>
      <c r="AU42" s="81"/>
    </row>
    <row r="43" spans="1:47" x14ac:dyDescent="0.25">
      <c r="A43" s="94">
        <f>A42+1</f>
        <v>2</v>
      </c>
      <c r="B43" s="94">
        <f t="shared" si="11"/>
        <v>0.25</v>
      </c>
      <c r="C43" s="80">
        <f>IF(OR(B45-B44=B44-B43,B45-B44=B44-B42,),B44,IF(B45-B43=B43-B42,B43,"#NA"))</f>
        <v>0.5</v>
      </c>
      <c r="D43" s="76">
        <f>VLOOKUP(C43,STN_TABLE,2,FALSE)</f>
        <v>2.14</v>
      </c>
      <c r="E43" s="81">
        <v>4</v>
      </c>
      <c r="F43" s="76">
        <f>D43*E43</f>
        <v>8.56</v>
      </c>
      <c r="G43" s="77">
        <f>C43</f>
        <v>0.5</v>
      </c>
      <c r="H43" s="77">
        <f>F43*G43</f>
        <v>4.28</v>
      </c>
      <c r="I43" s="496" t="s">
        <v>97</v>
      </c>
      <c r="J43" s="496"/>
      <c r="K43" s="78" t="s">
        <v>98</v>
      </c>
      <c r="L43" s="78"/>
      <c r="M43" s="7" t="s">
        <v>99</v>
      </c>
      <c r="N43" s="7"/>
      <c r="O43" s="99">
        <f>O42+1</f>
        <v>4</v>
      </c>
      <c r="P43" s="99">
        <f t="shared" si="10"/>
        <v>0.75</v>
      </c>
      <c r="Q43" s="76">
        <f>P43</f>
        <v>0.75</v>
      </c>
      <c r="R43" s="77">
        <f>VLOOKUP(Q43,STN_TABLE,2,FALSE)</f>
        <v>2.59</v>
      </c>
      <c r="S43" s="77">
        <v>8</v>
      </c>
      <c r="T43" s="76">
        <f>R43*S43</f>
        <v>20.72</v>
      </c>
      <c r="U43" s="80">
        <v>10</v>
      </c>
      <c r="V43" s="76">
        <f>R43*U43</f>
        <v>25.9</v>
      </c>
      <c r="W43" s="496" t="s">
        <v>97</v>
      </c>
      <c r="X43" s="496"/>
      <c r="Y43" s="496" t="s">
        <v>98</v>
      </c>
      <c r="Z43" s="496"/>
      <c r="AA43" s="494" t="s">
        <v>99</v>
      </c>
      <c r="AB43" s="494"/>
      <c r="AC43" s="99">
        <f>AC38+1</f>
        <v>3</v>
      </c>
      <c r="AD43" s="95">
        <f>VLOOKUP(AC43,STN_TABLE_2,2,FALSE)</f>
        <v>0.5</v>
      </c>
      <c r="AE43" s="68">
        <f>VLOOKUP(AD43,STN_TABLE,2,FALSE)</f>
        <v>2.14</v>
      </c>
      <c r="AF43" s="68">
        <v>1</v>
      </c>
      <c r="AG43" s="69">
        <f>AE43*AF43</f>
        <v>2.14</v>
      </c>
      <c r="AH43" s="496" t="s">
        <v>97</v>
      </c>
      <c r="AI43" s="496"/>
      <c r="AJ43" s="496" t="s">
        <v>98</v>
      </c>
      <c r="AK43" s="496"/>
      <c r="AL43" s="494" t="s">
        <v>99</v>
      </c>
      <c r="AM43" s="494"/>
      <c r="AP43" s="86" t="s">
        <v>112</v>
      </c>
      <c r="AQ43" s="89" t="s">
        <v>113</v>
      </c>
      <c r="AR43" s="89" t="s">
        <v>114</v>
      </c>
      <c r="AS43" s="89" t="s">
        <v>115</v>
      </c>
      <c r="AU43" s="81"/>
    </row>
    <row r="44" spans="1:47" x14ac:dyDescent="0.25">
      <c r="A44" s="94">
        <f>A43+1</f>
        <v>3</v>
      </c>
      <c r="B44" s="94">
        <f t="shared" si="11"/>
        <v>0.5</v>
      </c>
      <c r="C44" s="88">
        <f>B45</f>
        <v>0.75</v>
      </c>
      <c r="D44" s="82">
        <f>VLOOKUP(C44,STN_TABLE,2,FALSE)</f>
        <v>2.59</v>
      </c>
      <c r="E44" s="92">
        <v>1</v>
      </c>
      <c r="F44" s="82">
        <f>D44*E44</f>
        <v>2.59</v>
      </c>
      <c r="G44" s="83">
        <f>C44</f>
        <v>0.75</v>
      </c>
      <c r="H44" s="83">
        <f>F44*G44</f>
        <v>1.9424999999999999</v>
      </c>
      <c r="I44" s="84" t="str">
        <f>CONCATENATE("a'(",C44,")=")</f>
        <v>a'(0.75)=</v>
      </c>
      <c r="J44" s="84">
        <f>2*J42/3*F45</f>
        <v>4.2466666666666661</v>
      </c>
      <c r="K44" s="84" t="str">
        <f>CONCATENATE("A(",C42,")=")</f>
        <v>A(0.25)=</v>
      </c>
      <c r="L44" s="84">
        <f>VLOOKUP(C42,STN_TABLE,3,FALSE)</f>
        <v>1.2566666666666664</v>
      </c>
      <c r="M44" t="str">
        <f>CONCATENATE("A(",C44,")=")</f>
        <v>A(0.75)=</v>
      </c>
      <c r="N44">
        <f>J44+L44</f>
        <v>5.5033333333333321</v>
      </c>
      <c r="O44" s="99">
        <f>O43+1</f>
        <v>5</v>
      </c>
      <c r="P44" s="99">
        <f t="shared" si="10"/>
        <v>1</v>
      </c>
      <c r="Q44" s="82">
        <f>IF(P44-P43=P43-P42,P44,IF(P45-P43=P43-P42,P45,IF(P44-P43=P43-P41,P44,IF(P45-P43=P43-P41,P45,"-"))))</f>
        <v>1</v>
      </c>
      <c r="R44" s="83">
        <f>VLOOKUP(Q44,STN_TABLE,2,FALSE)</f>
        <v>2.93</v>
      </c>
      <c r="S44" s="83">
        <v>-1</v>
      </c>
      <c r="T44" s="82">
        <f>R44*S44</f>
        <v>-2.93</v>
      </c>
      <c r="U44" s="88">
        <v>-1</v>
      </c>
      <c r="V44" s="82">
        <f>R44*U44</f>
        <v>-2.93</v>
      </c>
      <c r="W44" s="84" t="str">
        <f>CONCATENATE("a'(",Q43,")=")</f>
        <v>a'(0.75)=</v>
      </c>
      <c r="X44" s="84">
        <f>2*X42/12*T45</f>
        <v>2.3741666666666665</v>
      </c>
      <c r="Y44" s="84" t="str">
        <f>CONCATENATE("A(",Q42,")=")</f>
        <v>A(0.5)=</v>
      </c>
      <c r="Z44" s="84">
        <f>VLOOKUP(Q42,STN_TABLE,3,FALSE)</f>
        <v>3.1333333333333333</v>
      </c>
      <c r="AA44" t="str">
        <f>CONCATENATE("A(",Q43,")=")</f>
        <v>A(0.75)=</v>
      </c>
      <c r="AB44">
        <f>X44+Z44</f>
        <v>5.5075000000000003</v>
      </c>
      <c r="AC44" s="99">
        <f>AC43+1</f>
        <v>4</v>
      </c>
      <c r="AD44" s="100">
        <f>VLOOKUP(AC44,STN_TABLE_2,2,FALSE)</f>
        <v>0.75</v>
      </c>
      <c r="AE44" s="82">
        <f>VLOOKUP(AD44,STN_TABLE,2,FALSE)</f>
        <v>2.59</v>
      </c>
      <c r="AF44" s="82">
        <v>2</v>
      </c>
      <c r="AG44" s="83">
        <f>AE44*AF44</f>
        <v>5.18</v>
      </c>
      <c r="AH44" s="84" t="str">
        <f>CONCATENATE("a'(",AD44,")=")</f>
        <v>a'(0.75)=</v>
      </c>
      <c r="AI44" s="84">
        <f>2*AI42/2*AE45</f>
        <v>2.3650000000000002</v>
      </c>
      <c r="AJ44" s="84" t="str">
        <f>CONCATENATE("A(",AD43,")=")</f>
        <v>A(0.5)=</v>
      </c>
      <c r="AK44" s="84">
        <f>VLOOKUP(AD43,STN_TABLE,3,FALSE)</f>
        <v>3.1333333333333333</v>
      </c>
      <c r="AL44" t="str">
        <f>CONCATENATE("A(",AD44,")=")</f>
        <v>A(0.75)=</v>
      </c>
      <c r="AM44">
        <f>AI44+AK44</f>
        <v>5.4983333333333331</v>
      </c>
      <c r="AO44" s="68" t="str">
        <f>AA44</f>
        <v>A(0.75)=</v>
      </c>
      <c r="AP44" s="68" t="e">
        <f>VLOOKUP(AO44,Rise_Results,2,FALSE)</f>
        <v>#N/A</v>
      </c>
      <c r="AQ44" s="76">
        <f>N44</f>
        <v>5.5033333333333321</v>
      </c>
      <c r="AR44" s="76">
        <f>IF(OR(AB44&lt;=0,AB45&lt;=0),1/0,AB44)</f>
        <v>5.5075000000000003</v>
      </c>
      <c r="AS44" s="76">
        <f>AM44</f>
        <v>5.4983333333333331</v>
      </c>
      <c r="AT44">
        <f>IFERROR(AP44,IFERROR(AQ44,IFERROR(AR44,AS44)))</f>
        <v>5.5033333333333321</v>
      </c>
      <c r="AU44" s="81"/>
    </row>
    <row r="45" spans="1:47" x14ac:dyDescent="0.25">
      <c r="A45" s="94">
        <f>A44+1</f>
        <v>4</v>
      </c>
      <c r="B45" s="94">
        <f t="shared" si="11"/>
        <v>0.75</v>
      </c>
      <c r="F45" s="82">
        <f>SUM(F42:F44)</f>
        <v>12.74</v>
      </c>
      <c r="H45" s="82">
        <f>SUM(H42:H44)</f>
        <v>6.62</v>
      </c>
      <c r="I45" s="84" t="str">
        <f>CONCATENATE("m'(",C44,")=")</f>
        <v>m'(0.75)=</v>
      </c>
      <c r="J45" s="84">
        <f>2*(J42*(WLS))/3*H45</f>
        <v>4.4133333333333331</v>
      </c>
      <c r="K45" s="84" t="str">
        <f>CONCATENATE("M(",C42,")=")</f>
        <v>M(0.25)=</v>
      </c>
      <c r="L45" s="84">
        <f>VLOOKUP(C42,STN_TABLE,4,FALSE)</f>
        <v>0.34291666666666665</v>
      </c>
      <c r="M45" t="str">
        <f>CONCATENATE("M(",C44,")=")</f>
        <v>M(0.75)=</v>
      </c>
      <c r="N45">
        <f>J45+L45</f>
        <v>4.7562499999999996</v>
      </c>
      <c r="O45" s="99">
        <f>O44+1</f>
        <v>6</v>
      </c>
      <c r="P45" s="99">
        <f t="shared" si="10"/>
        <v>2</v>
      </c>
      <c r="T45" s="89">
        <f>SUM(T42:T44)</f>
        <v>28.490000000000002</v>
      </c>
      <c r="V45" s="82">
        <f>SUM(V42:V44)</f>
        <v>29.39</v>
      </c>
      <c r="W45" s="84" t="str">
        <f>CONCATENATE("m'(",Q43,")=")</f>
        <v>m'(0.75)=</v>
      </c>
      <c r="X45" s="84">
        <f>(2*(X42^2)/24*V45)+(X44*Q42*WLS)</f>
        <v>2.9864583333333332</v>
      </c>
      <c r="Y45" s="84" t="str">
        <f>CONCATENATE("M(",Q42,")=")</f>
        <v>M(0.5)=</v>
      </c>
      <c r="Z45" s="84">
        <f>VLOOKUP(Q42,STN_TABLE,4,FALSE)</f>
        <v>1.7733333333333334</v>
      </c>
      <c r="AA45" t="str">
        <f>CONCATENATE("M(",Q43,")=")</f>
        <v>M(0.75)=</v>
      </c>
      <c r="AB45">
        <f>X45+Z45</f>
        <v>4.7597916666666666</v>
      </c>
      <c r="AE45" s="89">
        <f>SUM(AE43:AE44)</f>
        <v>4.7300000000000004</v>
      </c>
      <c r="AG45" s="89">
        <f>SUM(AG43:AG44)</f>
        <v>7.32</v>
      </c>
      <c r="AH45" s="84" t="str">
        <f>CONCATENATE("m'(",AD44,")=")</f>
        <v>m'(0.75)=</v>
      </c>
      <c r="AI45" s="84">
        <f>(2*(AI42^2)/6*AG45)+(AI44*AD43*WLS)</f>
        <v>2.9750000000000001</v>
      </c>
      <c r="AJ45" s="84" t="str">
        <f>CONCATENATE("M(",AD43,")=")</f>
        <v>M(0.5)=</v>
      </c>
      <c r="AK45" s="84">
        <f>VLOOKUP(AD43,STN_TABLE,4,FALSE)</f>
        <v>1.7733333333333334</v>
      </c>
      <c r="AL45" t="str">
        <f>CONCATENATE("M(",AD44,")=")</f>
        <v>M(0.75)=</v>
      </c>
      <c r="AM45">
        <f>AI45+AK45</f>
        <v>4.7483333333333331</v>
      </c>
      <c r="AO45" s="82" t="str">
        <f>AA45</f>
        <v>M(0.75)=</v>
      </c>
      <c r="AP45" s="82" t="e">
        <f>VLOOKUP(AO45,Rise_Results,2,FALSE)</f>
        <v>#N/A</v>
      </c>
      <c r="AQ45" s="82">
        <f>N45</f>
        <v>4.7562499999999996</v>
      </c>
      <c r="AR45" s="82">
        <f>IF(OR(AB44&lt;=0,AB45&lt;=0),1/0,AB45)</f>
        <v>4.7597916666666666</v>
      </c>
      <c r="AS45" s="82">
        <f>AM45</f>
        <v>4.7483333333333331</v>
      </c>
      <c r="AT45">
        <f>IFERROR(AP45,IFERROR(AQ45,IFERROR(AR45,AS45)))</f>
        <v>4.7562499999999996</v>
      </c>
      <c r="AU45" s="81"/>
    </row>
    <row r="46" spans="1:47" x14ac:dyDescent="0.25">
      <c r="A46" s="101">
        <f>A41+1</f>
        <v>1</v>
      </c>
      <c r="B46" s="101">
        <f t="shared" si="11"/>
        <v>0</v>
      </c>
      <c r="O46" s="101">
        <f>O41+1</f>
        <v>3</v>
      </c>
      <c r="P46" s="101">
        <f t="shared" si="10"/>
        <v>0.5</v>
      </c>
      <c r="AU46" s="81"/>
    </row>
    <row r="47" spans="1:47" x14ac:dyDescent="0.25">
      <c r="A47" s="84">
        <f>A46+1</f>
        <v>2</v>
      </c>
      <c r="B47" s="84">
        <f t="shared" si="11"/>
        <v>0.25</v>
      </c>
      <c r="C47" s="79">
        <f>IF(C48=B49,IF(C49-C48=C48-B48,B48,IF(C49-C48=C48-B47,B47,"#NA")),IF(C48=B48,IF(C49-C48=C48-B47,B47,IF(C49-C48=C48-B46,B46,"#NA")),"#NA"))</f>
        <v>0.5</v>
      </c>
      <c r="D47" s="68">
        <f>VLOOKUP(C47,STN_TABLE,2,FALSE)</f>
        <v>2.14</v>
      </c>
      <c r="E47" s="102">
        <v>1</v>
      </c>
      <c r="F47" s="68">
        <f>D47*E47</f>
        <v>2.14</v>
      </c>
      <c r="G47" s="69">
        <f>C47</f>
        <v>0.5</v>
      </c>
      <c r="H47" s="69">
        <f>F47*G47</f>
        <v>1.07</v>
      </c>
      <c r="I47" s="6" t="s">
        <v>93</v>
      </c>
      <c r="J47" s="70">
        <f>IF(OR(D47=0,D48=0,D49=0),"#NA",IF(AND(C49-C48=C48-C47,C48&lt;&gt;C49,C47&lt;&gt;C48,C47&lt;&gt;C49,D49&lt;&gt;0,OR(D47&lt;&gt;0,D48&lt;&gt;0)),WLS*(C49-C48),"#NA"))</f>
        <v>0.5</v>
      </c>
      <c r="O47" s="99">
        <f>O46+1</f>
        <v>4</v>
      </c>
      <c r="P47" s="99">
        <f t="shared" si="10"/>
        <v>0.75</v>
      </c>
      <c r="Q47" s="68" t="str">
        <f>IF(OR(P49-P48=P48-P47,P50-P48=P48-P47),P47,IF(OR(P49-P48=P48-P46,P50-P48=P48-P46),P46,"-"))</f>
        <v>-</v>
      </c>
      <c r="R47" s="69" t="e">
        <f>VLOOKUP(Q47,STN_TABLE,2,FALSE)</f>
        <v>#N/A</v>
      </c>
      <c r="S47" s="69">
        <v>5</v>
      </c>
      <c r="T47" s="68" t="e">
        <f>R47*S47</f>
        <v>#N/A</v>
      </c>
      <c r="U47" s="79">
        <v>3</v>
      </c>
      <c r="V47" s="68" t="e">
        <f>R47*U47</f>
        <v>#N/A</v>
      </c>
      <c r="W47" s="6" t="s">
        <v>93</v>
      </c>
      <c r="X47" s="70" t="e">
        <f>IF(AND(Q49-Q48=Q48-Q47,NOT(AND(Q47=0,Q48=0)),NOT(AND(Q48=0,Q49=0))),WLS*(Q49-Q48),"#NA")</f>
        <v>#VALUE!</v>
      </c>
      <c r="AD47" s="93"/>
      <c r="AH47" s="6" t="s">
        <v>93</v>
      </c>
      <c r="AI47" s="70">
        <f>WLS*(AD49-AD48)</f>
        <v>0.5</v>
      </c>
      <c r="AU47" s="81"/>
    </row>
    <row r="48" spans="1:47" x14ac:dyDescent="0.25">
      <c r="A48" s="84">
        <f>A47+1</f>
        <v>3</v>
      </c>
      <c r="B48" s="84">
        <f t="shared" si="11"/>
        <v>0.5</v>
      </c>
      <c r="C48" s="80">
        <f>IF(OR(B50-B49=B49-B48,B50-B49=B49-B47,B50-B49=B49-B46),B49,IF(OR(B50-B48=B48-B47,B50-B48=B48-B46),B48,IF(B50-B47=B47-B46,B47,"#NA")))</f>
        <v>0.75</v>
      </c>
      <c r="D48" s="76">
        <f>VLOOKUP(C48,STN_TABLE,2,FALSE)</f>
        <v>2.59</v>
      </c>
      <c r="E48" s="81">
        <v>4</v>
      </c>
      <c r="F48" s="76">
        <f>D48*E48</f>
        <v>10.36</v>
      </c>
      <c r="G48" s="77">
        <f>C48</f>
        <v>0.75</v>
      </c>
      <c r="H48" s="77">
        <f>F48*G48</f>
        <v>7.77</v>
      </c>
      <c r="I48" s="496" t="s">
        <v>97</v>
      </c>
      <c r="J48" s="496"/>
      <c r="K48" s="78" t="s">
        <v>98</v>
      </c>
      <c r="L48" s="78"/>
      <c r="M48" s="7" t="s">
        <v>99</v>
      </c>
      <c r="N48" s="7"/>
      <c r="O48" s="99">
        <f>O47+1</f>
        <v>5</v>
      </c>
      <c r="P48" s="99">
        <f t="shared" si="10"/>
        <v>1</v>
      </c>
      <c r="Q48" s="76">
        <f>P48</f>
        <v>1</v>
      </c>
      <c r="R48" s="77">
        <f>VLOOKUP(Q48,STN_TABLE,2,FALSE)</f>
        <v>2.93</v>
      </c>
      <c r="S48" s="77">
        <v>8</v>
      </c>
      <c r="T48" s="76">
        <f>R48*S48</f>
        <v>23.44</v>
      </c>
      <c r="U48" s="80">
        <v>10</v>
      </c>
      <c r="V48" s="76">
        <f>R48*U48</f>
        <v>29.3</v>
      </c>
      <c r="W48" s="496" t="s">
        <v>97</v>
      </c>
      <c r="X48" s="496"/>
      <c r="Y48" s="496" t="s">
        <v>98</v>
      </c>
      <c r="Z48" s="496"/>
      <c r="AA48" s="494" t="s">
        <v>99</v>
      </c>
      <c r="AB48" s="494"/>
      <c r="AC48" s="99">
        <f>AC43+1</f>
        <v>4</v>
      </c>
      <c r="AD48" s="95">
        <f>VLOOKUP(AC48,STN_TABLE_2,2,FALSE)</f>
        <v>0.75</v>
      </c>
      <c r="AE48" s="68">
        <f>VLOOKUP(AD48,STN_TABLE,2,FALSE)</f>
        <v>2.59</v>
      </c>
      <c r="AF48" s="68">
        <v>1</v>
      </c>
      <c r="AG48" s="69">
        <f>AE48*AF48</f>
        <v>2.59</v>
      </c>
      <c r="AH48" s="496" t="s">
        <v>97</v>
      </c>
      <c r="AI48" s="496"/>
      <c r="AJ48" s="496" t="s">
        <v>98</v>
      </c>
      <c r="AK48" s="496"/>
      <c r="AL48" s="494" t="s">
        <v>99</v>
      </c>
      <c r="AM48" s="494"/>
      <c r="AP48" s="86" t="s">
        <v>112</v>
      </c>
      <c r="AQ48" s="89" t="s">
        <v>113</v>
      </c>
      <c r="AR48" s="89" t="s">
        <v>114</v>
      </c>
      <c r="AS48" s="89" t="s">
        <v>115</v>
      </c>
      <c r="AU48" s="81"/>
    </row>
    <row r="49" spans="1:47" x14ac:dyDescent="0.25">
      <c r="A49" s="84">
        <f>A48+1</f>
        <v>4</v>
      </c>
      <c r="B49" s="84">
        <f t="shared" si="11"/>
        <v>0.75</v>
      </c>
      <c r="C49" s="88">
        <f>B50</f>
        <v>1</v>
      </c>
      <c r="D49" s="82">
        <f>VLOOKUP(C49,STN_TABLE,2,FALSE)</f>
        <v>2.93</v>
      </c>
      <c r="E49" s="92">
        <v>1</v>
      </c>
      <c r="F49" s="82">
        <f>D49*E49</f>
        <v>2.93</v>
      </c>
      <c r="G49" s="83">
        <f>C49</f>
        <v>1</v>
      </c>
      <c r="H49" s="83">
        <f>F49*G49</f>
        <v>2.93</v>
      </c>
      <c r="I49" s="84" t="str">
        <f>CONCATENATE("a'(",C49,")=")</f>
        <v>a'(1)=</v>
      </c>
      <c r="J49" s="84">
        <f>2*J47/3*F50</f>
        <v>5.1433333333333326</v>
      </c>
      <c r="K49" s="84" t="str">
        <f>CONCATENATE("A(",C47,")=")</f>
        <v>A(0.5)=</v>
      </c>
      <c r="L49" s="84">
        <f>VLOOKUP(C47,STN_TABLE,3,FALSE)</f>
        <v>3.1333333333333333</v>
      </c>
      <c r="M49" t="str">
        <f>CONCATENATE("A(",C49,")=")</f>
        <v>A(1)=</v>
      </c>
      <c r="N49">
        <f>J49+L49</f>
        <v>8.2766666666666655</v>
      </c>
      <c r="O49" s="99">
        <f>O48+1</f>
        <v>6</v>
      </c>
      <c r="P49" s="99">
        <f t="shared" si="10"/>
        <v>2</v>
      </c>
      <c r="Q49" s="82" t="str">
        <f>IF(P49-P48=P48-P47,P49,IF(P50-P48=P48-P47,P50,IF(P49-P48=P48-P46,P49,IF(P50-P48=P48-P46,P50,"-"))))</f>
        <v>-</v>
      </c>
      <c r="R49" s="83" t="e">
        <f>VLOOKUP(Q49,STN_TABLE,2,FALSE)</f>
        <v>#N/A</v>
      </c>
      <c r="S49" s="83">
        <v>-1</v>
      </c>
      <c r="T49" s="82" t="e">
        <f>R49*S49</f>
        <v>#N/A</v>
      </c>
      <c r="U49" s="88">
        <v>-1</v>
      </c>
      <c r="V49" s="82" t="e">
        <f>R49*U49</f>
        <v>#N/A</v>
      </c>
      <c r="W49" s="84" t="str">
        <f>CONCATENATE("a'(",Q48,")=")</f>
        <v>a'(1)=</v>
      </c>
      <c r="X49" s="84" t="e">
        <f>2*X47/12*T50</f>
        <v>#VALUE!</v>
      </c>
      <c r="Y49" s="84" t="str">
        <f>CONCATENATE("A(",Q47,")=")</f>
        <v>A(-)=</v>
      </c>
      <c r="Z49" s="84" t="e">
        <f>VLOOKUP(Q47,STN_TABLE,3,FALSE)</f>
        <v>#N/A</v>
      </c>
      <c r="AA49" t="str">
        <f>CONCATENATE("A(",Q48,")=")</f>
        <v>A(1)=</v>
      </c>
      <c r="AB49" t="e">
        <f>X49+Z49</f>
        <v>#VALUE!</v>
      </c>
      <c r="AC49" s="99">
        <f>AC48+1</f>
        <v>5</v>
      </c>
      <c r="AD49" s="100">
        <f>VLOOKUP(AC49,STN_TABLE_2,2,FALSE)</f>
        <v>1</v>
      </c>
      <c r="AE49" s="82">
        <f>VLOOKUP(AD49,STN_TABLE,2,FALSE)</f>
        <v>2.93</v>
      </c>
      <c r="AF49" s="82">
        <v>2</v>
      </c>
      <c r="AG49" s="83">
        <f>AE49*AF49</f>
        <v>5.86</v>
      </c>
      <c r="AH49" s="84" t="str">
        <f>CONCATENATE("a'(",AD49,")=")</f>
        <v>a'(1)=</v>
      </c>
      <c r="AI49" s="84">
        <f>2*AI47/2*AE50</f>
        <v>2.76</v>
      </c>
      <c r="AJ49" s="84" t="str">
        <f>CONCATENATE("A(",AD48,")=")</f>
        <v>A(0.75)=</v>
      </c>
      <c r="AK49" s="84">
        <f>VLOOKUP(AD48,STN_TABLE,3,FALSE)</f>
        <v>5.5033333333333321</v>
      </c>
      <c r="AL49" t="str">
        <f>CONCATENATE("A(",AD49,")=")</f>
        <v>A(1)=</v>
      </c>
      <c r="AM49">
        <f>AI49+AK49</f>
        <v>8.2633333333333319</v>
      </c>
      <c r="AO49" s="68" t="str">
        <f>AA49</f>
        <v>A(1)=</v>
      </c>
      <c r="AP49" s="68" t="e">
        <f>VLOOKUP(AO49,Rise_Results,2,FALSE)</f>
        <v>#N/A</v>
      </c>
      <c r="AQ49" s="76">
        <f>N49</f>
        <v>8.2766666666666655</v>
      </c>
      <c r="AR49" s="76" t="e">
        <f>IF(OR(AB49&lt;=0,AB50&lt;=0),1/0,AB49)</f>
        <v>#VALUE!</v>
      </c>
      <c r="AS49" s="76">
        <f>AM49</f>
        <v>8.2633333333333319</v>
      </c>
      <c r="AT49">
        <f>IFERROR(AP49,IFERROR(AQ49,IFERROR(AR49,AS49)))</f>
        <v>8.2766666666666655</v>
      </c>
      <c r="AU49" s="81"/>
    </row>
    <row r="50" spans="1:47" x14ac:dyDescent="0.25">
      <c r="A50" s="84">
        <f>A49+1</f>
        <v>5</v>
      </c>
      <c r="B50" s="84">
        <f t="shared" si="11"/>
        <v>1</v>
      </c>
      <c r="F50" s="82">
        <f>SUM(F47:F49)</f>
        <v>15.43</v>
      </c>
      <c r="H50" s="82">
        <f>SUM(H47:H49)</f>
        <v>11.77</v>
      </c>
      <c r="I50" s="84" t="str">
        <f>CONCATENATE("m'(",C49,")=")</f>
        <v>m'(1)=</v>
      </c>
      <c r="J50" s="84">
        <f>2*(J47*(WLS))/3*H50</f>
        <v>7.8466666666666658</v>
      </c>
      <c r="K50" s="84" t="str">
        <f>CONCATENATE("M(",C47,")=")</f>
        <v>M(0.5)=</v>
      </c>
      <c r="L50" s="84">
        <f>VLOOKUP(C47,STN_TABLE,4,FALSE)</f>
        <v>1.7733333333333334</v>
      </c>
      <c r="M50" t="str">
        <f>CONCATENATE("M(",C49,")=")</f>
        <v>M(1)=</v>
      </c>
      <c r="N50">
        <f>J50+L50</f>
        <v>9.6199999999999992</v>
      </c>
      <c r="O50" s="99">
        <f>O49+1</f>
        <v>7</v>
      </c>
      <c r="P50" s="99">
        <f t="shared" si="10"/>
        <v>3</v>
      </c>
      <c r="T50" s="89" t="e">
        <f>SUM(T47:T49)</f>
        <v>#N/A</v>
      </c>
      <c r="V50" s="82" t="e">
        <f>SUM(V47:V49)</f>
        <v>#N/A</v>
      </c>
      <c r="W50" s="84" t="str">
        <f>CONCATENATE("m'(",Q48,")=")</f>
        <v>m'(1)=</v>
      </c>
      <c r="X50" s="84" t="e">
        <f>(2*(X47^2)/24*V50)+(X49*Q47*WLS)</f>
        <v>#VALUE!</v>
      </c>
      <c r="Y50" s="84" t="str">
        <f>CONCATENATE("M(",Q47,")=")</f>
        <v>M(-)=</v>
      </c>
      <c r="Z50" s="84" t="e">
        <f>VLOOKUP(Q47,STN_TABLE,4,FALSE)</f>
        <v>#N/A</v>
      </c>
      <c r="AA50" t="str">
        <f>CONCATENATE("M(",Q48,")=")</f>
        <v>M(1)=</v>
      </c>
      <c r="AB50" t="e">
        <f>X50+Z50</f>
        <v>#VALUE!</v>
      </c>
      <c r="AE50" s="89">
        <f>SUM(AE48:AE49)</f>
        <v>5.52</v>
      </c>
      <c r="AG50" s="89">
        <f>SUM(AG48:AG49)</f>
        <v>8.4499999999999993</v>
      </c>
      <c r="AH50" s="84" t="str">
        <f>CONCATENATE("m'(",AD49,")=")</f>
        <v>m'(1)=</v>
      </c>
      <c r="AI50" s="84">
        <f>(2*(AI47^2)/6*AG50)+(AI49*AD48*WLS)</f>
        <v>4.8441666666666663</v>
      </c>
      <c r="AJ50" s="84" t="str">
        <f>CONCATENATE("M(",AD48,")=")</f>
        <v>M(0.75)=</v>
      </c>
      <c r="AK50" s="84">
        <f>VLOOKUP(AD48,STN_TABLE,4,FALSE)</f>
        <v>4.7562499999999996</v>
      </c>
      <c r="AL50" t="str">
        <f>CONCATENATE("M(",AD49,")=")</f>
        <v>M(1)=</v>
      </c>
      <c r="AM50">
        <f>AI50+AK50</f>
        <v>9.6004166666666659</v>
      </c>
      <c r="AO50" s="82" t="str">
        <f>AA50</f>
        <v>M(1)=</v>
      </c>
      <c r="AP50" s="82" t="e">
        <f>VLOOKUP(AO50,Rise_Results,2,FALSE)</f>
        <v>#N/A</v>
      </c>
      <c r="AQ50" s="82">
        <f>N50</f>
        <v>9.6199999999999992</v>
      </c>
      <c r="AR50" s="82" t="e">
        <f>IF(OR(AB49&lt;=0,AB50&lt;=0),1/0,AB50)</f>
        <v>#VALUE!</v>
      </c>
      <c r="AS50" s="82">
        <f>AM50</f>
        <v>9.6004166666666659</v>
      </c>
      <c r="AT50">
        <f>IFERROR(AP50,IFERROR(AQ50,IFERROR(AR50,AS50)))</f>
        <v>9.6199999999999992</v>
      </c>
      <c r="AU50" s="81"/>
    </row>
    <row r="51" spans="1:47" x14ac:dyDescent="0.25">
      <c r="A51" s="101">
        <f>A46+1</f>
        <v>2</v>
      </c>
      <c r="B51" s="101">
        <f t="shared" si="11"/>
        <v>0.25</v>
      </c>
      <c r="O51" s="101">
        <f>O46+1</f>
        <v>4</v>
      </c>
      <c r="P51" s="101">
        <f t="shared" si="10"/>
        <v>0.75</v>
      </c>
      <c r="AU51" s="81"/>
    </row>
    <row r="52" spans="1:47" x14ac:dyDescent="0.25">
      <c r="A52" s="84">
        <f>A51+1</f>
        <v>3</v>
      </c>
      <c r="B52" s="84">
        <f t="shared" si="11"/>
        <v>0.5</v>
      </c>
      <c r="C52" s="79" t="str">
        <f t="shared" ref="C52" si="12">IF(C53=B54,IF(C54-C53=C53-B53,B53,IF(C54-C53=C53-B52,B52,"#NA")),IF(C53=B53,IF(C54-C53=C53-B52,B52,IF(C54-C53=C53-B51,B51,"#NA")),"#NA"))</f>
        <v>#NA</v>
      </c>
      <c r="D52" s="68" t="e">
        <f>VLOOKUP(C52,STN_TABLE,2,FALSE)</f>
        <v>#N/A</v>
      </c>
      <c r="E52" s="102">
        <v>1</v>
      </c>
      <c r="F52" s="68" t="e">
        <f>D52*E52</f>
        <v>#N/A</v>
      </c>
      <c r="G52" s="69" t="str">
        <f>C52</f>
        <v>#NA</v>
      </c>
      <c r="H52" s="69" t="e">
        <f>F52*G52</f>
        <v>#N/A</v>
      </c>
      <c r="I52" s="6" t="s">
        <v>93</v>
      </c>
      <c r="J52" s="70" t="e">
        <f>IF(OR(D52=0,D53=0,D54=0),"#NA",IF(AND(C54-C53=C53-C52,C53&lt;&gt;C54,C52&lt;&gt;C53,C52&lt;&gt;C54,D54&lt;&gt;0,OR(D52&lt;&gt;0,D53&lt;&gt;0)),WLS*(C54-C53),"#NA"))</f>
        <v>#N/A</v>
      </c>
      <c r="O52" s="99">
        <f>O51+1</f>
        <v>5</v>
      </c>
      <c r="P52" s="99">
        <f t="shared" si="10"/>
        <v>1</v>
      </c>
      <c r="Q52" s="68">
        <f>IF(OR(P54-P53=P53-P52,P55-P53=P53-P52),P52,IF(OR(P54-P53=P53-P51,P55-P53=P53-P51),P51,"-"))</f>
        <v>1</v>
      </c>
      <c r="R52" s="69">
        <f>VLOOKUP(Q52,STN_TABLE,2,FALSE)</f>
        <v>2.93</v>
      </c>
      <c r="S52" s="69">
        <v>5</v>
      </c>
      <c r="T52" s="68">
        <f>R52*S52</f>
        <v>14.65</v>
      </c>
      <c r="U52" s="79">
        <v>3</v>
      </c>
      <c r="V52" s="68">
        <f>R52*U52</f>
        <v>8.7900000000000009</v>
      </c>
      <c r="W52" s="6" t="s">
        <v>93</v>
      </c>
      <c r="X52" s="70">
        <f>IF(AND(Q54-Q53=Q53-Q52,NOT(AND(Q52=0,Q53=0)),NOT(AND(Q53=0,Q54=0))),WLS*(Q54-Q53),"#NA")</f>
        <v>2</v>
      </c>
      <c r="AD52" s="93"/>
      <c r="AH52" s="6" t="s">
        <v>93</v>
      </c>
      <c r="AI52" s="70">
        <f>WLS*(AD54-AD53)</f>
        <v>2</v>
      </c>
      <c r="AU52" s="81"/>
    </row>
    <row r="53" spans="1:47" x14ac:dyDescent="0.25">
      <c r="A53" s="84">
        <f>A52+1</f>
        <v>4</v>
      </c>
      <c r="B53" s="84">
        <f t="shared" si="11"/>
        <v>0.75</v>
      </c>
      <c r="C53" s="80" t="str">
        <f t="shared" ref="C53" si="13">IF(OR(B55-B54=B54-B53,B55-B54=B54-B52,B55-B54=B54-B51),B54,IF(OR(B55-B53=B53-B52,B55-B53=B53-B51),B53,IF(B55-B52=B52-B51,B52,"#NA")))</f>
        <v>#NA</v>
      </c>
      <c r="D53" s="76" t="e">
        <f>VLOOKUP(C53,STN_TABLE,2,FALSE)</f>
        <v>#N/A</v>
      </c>
      <c r="E53" s="81">
        <v>4</v>
      </c>
      <c r="F53" s="76" t="e">
        <f>D53*E53</f>
        <v>#N/A</v>
      </c>
      <c r="G53" s="77" t="str">
        <f>C53</f>
        <v>#NA</v>
      </c>
      <c r="H53" s="77" t="e">
        <f>F53*G53</f>
        <v>#N/A</v>
      </c>
      <c r="I53" s="495" t="s">
        <v>97</v>
      </c>
      <c r="J53" s="496"/>
      <c r="K53" s="78" t="s">
        <v>98</v>
      </c>
      <c r="L53" s="78"/>
      <c r="M53" s="7" t="s">
        <v>99</v>
      </c>
      <c r="N53" s="7"/>
      <c r="O53" s="99">
        <f>O52+1</f>
        <v>6</v>
      </c>
      <c r="P53" s="99">
        <f t="shared" si="10"/>
        <v>2</v>
      </c>
      <c r="Q53" s="76">
        <f>P53</f>
        <v>2</v>
      </c>
      <c r="R53" s="77">
        <f>VLOOKUP(Q53,STN_TABLE,2,FALSE)</f>
        <v>4.17</v>
      </c>
      <c r="S53" s="77">
        <v>8</v>
      </c>
      <c r="T53" s="76">
        <f>R53*S53</f>
        <v>33.36</v>
      </c>
      <c r="U53" s="80">
        <v>10</v>
      </c>
      <c r="V53" s="76">
        <f>R53*U53</f>
        <v>41.7</v>
      </c>
      <c r="W53" s="496" t="s">
        <v>97</v>
      </c>
      <c r="X53" s="496"/>
      <c r="Y53" s="496" t="s">
        <v>98</v>
      </c>
      <c r="Z53" s="496"/>
      <c r="AA53" s="494" t="s">
        <v>99</v>
      </c>
      <c r="AB53" s="494"/>
      <c r="AC53" s="99">
        <f>AC48+1</f>
        <v>5</v>
      </c>
      <c r="AD53" s="95">
        <f>VLOOKUP(AC53,STN_TABLE_2,2,FALSE)</f>
        <v>1</v>
      </c>
      <c r="AE53" s="68">
        <f>VLOOKUP(AD53,STN_TABLE,2,FALSE)</f>
        <v>2.93</v>
      </c>
      <c r="AF53" s="68">
        <v>1</v>
      </c>
      <c r="AG53" s="69">
        <f>AE53*AF53</f>
        <v>2.93</v>
      </c>
      <c r="AH53" s="496" t="s">
        <v>97</v>
      </c>
      <c r="AI53" s="496"/>
      <c r="AJ53" s="496" t="s">
        <v>98</v>
      </c>
      <c r="AK53" s="496"/>
      <c r="AL53" s="494" t="s">
        <v>99</v>
      </c>
      <c r="AM53" s="494"/>
      <c r="AP53" s="86" t="s">
        <v>112</v>
      </c>
      <c r="AQ53" s="89" t="s">
        <v>113</v>
      </c>
      <c r="AR53" s="89" t="s">
        <v>114</v>
      </c>
      <c r="AS53" s="89" t="s">
        <v>115</v>
      </c>
      <c r="AU53" s="81"/>
    </row>
    <row r="54" spans="1:47" x14ac:dyDescent="0.25">
      <c r="A54" s="84">
        <f>A53+1</f>
        <v>5</v>
      </c>
      <c r="B54" s="84">
        <f t="shared" si="11"/>
        <v>1</v>
      </c>
      <c r="C54" s="88">
        <f t="shared" ref="C54" si="14">B55</f>
        <v>2</v>
      </c>
      <c r="D54" s="82">
        <f>VLOOKUP(C54,STN_TABLE,2,FALSE)</f>
        <v>4.17</v>
      </c>
      <c r="E54" s="92">
        <v>1</v>
      </c>
      <c r="F54" s="82">
        <f>D54*E54</f>
        <v>4.17</v>
      </c>
      <c r="G54" s="83">
        <f>C54</f>
        <v>2</v>
      </c>
      <c r="H54" s="83">
        <f>F54*G54</f>
        <v>8.34</v>
      </c>
      <c r="I54" s="84" t="str">
        <f>CONCATENATE("a'(",C54,")=")</f>
        <v>a'(2)=</v>
      </c>
      <c r="J54" s="84" t="e">
        <f>2*J52/3*F55</f>
        <v>#N/A</v>
      </c>
      <c r="K54" s="84" t="str">
        <f>CONCATENATE("A(",C52,")=")</f>
        <v>A(#NA)=</v>
      </c>
      <c r="L54" s="84" t="e">
        <f>VLOOKUP(C52,STN_TABLE,3,FALSE)</f>
        <v>#N/A</v>
      </c>
      <c r="M54" t="str">
        <f>CONCATENATE("A(",C54,")=")</f>
        <v>A(2)=</v>
      </c>
      <c r="N54" t="e">
        <f>J54+L54</f>
        <v>#N/A</v>
      </c>
      <c r="O54" s="99">
        <f>O53+1</f>
        <v>7</v>
      </c>
      <c r="P54" s="99">
        <f t="shared" si="10"/>
        <v>3</v>
      </c>
      <c r="Q54" s="82">
        <f>IF(P54-P53=P53-P52,P54,IF(P55-P53=P53-P52,P55,IF(P54-P53=P53-P51,P54,IF(P55-P53=P53-P51,P55,"-"))))</f>
        <v>3</v>
      </c>
      <c r="R54" s="83">
        <f>VLOOKUP(Q54,STN_TABLE,2,FALSE)</f>
        <v>5.28</v>
      </c>
      <c r="S54" s="83">
        <v>-1</v>
      </c>
      <c r="T54" s="82">
        <f>R54*S54</f>
        <v>-5.28</v>
      </c>
      <c r="U54" s="88">
        <v>-1</v>
      </c>
      <c r="V54" s="82">
        <f>R54*U54</f>
        <v>-5.28</v>
      </c>
      <c r="W54" s="84" t="str">
        <f>CONCATENATE("a'(",Q53,")=")</f>
        <v>a'(2)=</v>
      </c>
      <c r="X54" s="84">
        <f>2*X52/12*T55</f>
        <v>14.243333333333332</v>
      </c>
      <c r="Y54" s="84" t="str">
        <f>CONCATENATE("A(",Q52,")=")</f>
        <v>A(1)=</v>
      </c>
      <c r="Z54" s="84">
        <f>VLOOKUP(Q52,STN_TABLE,3,FALSE)</f>
        <v>8.2766666666666655</v>
      </c>
      <c r="AA54" t="str">
        <f>CONCATENATE("A(",Q53,")=")</f>
        <v>A(2)=</v>
      </c>
      <c r="AB54">
        <f>X54+Z54</f>
        <v>22.519999999999996</v>
      </c>
      <c r="AC54" s="99">
        <f>AC53+1</f>
        <v>6</v>
      </c>
      <c r="AD54" s="100">
        <f>VLOOKUP(AC54,STN_TABLE_2,2,FALSE)</f>
        <v>2</v>
      </c>
      <c r="AE54" s="82">
        <f>VLOOKUP(AD54,STN_TABLE,2,FALSE)</f>
        <v>4.17</v>
      </c>
      <c r="AF54" s="82">
        <v>2</v>
      </c>
      <c r="AG54" s="83">
        <f>AE54*AF54</f>
        <v>8.34</v>
      </c>
      <c r="AH54" s="84" t="str">
        <f>CONCATENATE("a'(",AD54,")=")</f>
        <v>a'(2)=</v>
      </c>
      <c r="AI54" s="84">
        <f>2*AI52/2*AE55</f>
        <v>14.2</v>
      </c>
      <c r="AJ54" s="84" t="str">
        <f>CONCATENATE("A(",AD53,")=")</f>
        <v>A(1)=</v>
      </c>
      <c r="AK54" s="84">
        <f>VLOOKUP(AD53,STN_TABLE,3,FALSE)</f>
        <v>8.2766666666666655</v>
      </c>
      <c r="AL54" t="str">
        <f>CONCATENATE("A(",AD54,")=")</f>
        <v>A(2)=</v>
      </c>
      <c r="AM54">
        <f>AI54+AK54</f>
        <v>22.476666666666667</v>
      </c>
      <c r="AO54" s="68" t="str">
        <f>AA54</f>
        <v>A(2)=</v>
      </c>
      <c r="AP54" s="68" t="e">
        <f>VLOOKUP(AO54,Rise_Results,2,FALSE)</f>
        <v>#N/A</v>
      </c>
      <c r="AQ54" s="76" t="e">
        <f>N54</f>
        <v>#N/A</v>
      </c>
      <c r="AR54" s="76">
        <f>IF(OR(AB54&lt;=0,AB55&lt;=0),1/0,AB54)</f>
        <v>22.519999999999996</v>
      </c>
      <c r="AS54" s="76">
        <f>AM54</f>
        <v>22.476666666666667</v>
      </c>
      <c r="AT54">
        <f>IFERROR(AP54,IFERROR(AQ54,IFERROR(AR54,AS54)))</f>
        <v>22.519999999999996</v>
      </c>
      <c r="AU54" s="81"/>
    </row>
    <row r="55" spans="1:47" x14ac:dyDescent="0.25">
      <c r="A55" s="84">
        <f>A54+1</f>
        <v>6</v>
      </c>
      <c r="B55" s="84">
        <f t="shared" si="11"/>
        <v>2</v>
      </c>
      <c r="F55" s="82" t="e">
        <f>SUM(F52:F54)</f>
        <v>#N/A</v>
      </c>
      <c r="H55" s="82" t="e">
        <f>SUM(H52:H54)</f>
        <v>#N/A</v>
      </c>
      <c r="I55" s="84" t="str">
        <f>CONCATENATE("m'(",C54,")=")</f>
        <v>m'(2)=</v>
      </c>
      <c r="J55" s="84" t="e">
        <f>2*(J52*(WLS))/3*H55</f>
        <v>#N/A</v>
      </c>
      <c r="K55" s="84" t="str">
        <f>CONCATENATE("M(",C52,")=")</f>
        <v>M(#NA)=</v>
      </c>
      <c r="L55" s="84" t="e">
        <f>VLOOKUP(C52,STN_TABLE,4,FALSE)</f>
        <v>#N/A</v>
      </c>
      <c r="M55" t="str">
        <f>CONCATENATE("M(",C54,")=")</f>
        <v>M(2)=</v>
      </c>
      <c r="N55" t="e">
        <f>J55+L55</f>
        <v>#N/A</v>
      </c>
      <c r="O55" s="99">
        <f>O54+1</f>
        <v>8</v>
      </c>
      <c r="P55" s="99">
        <f t="shared" si="10"/>
        <v>4</v>
      </c>
      <c r="T55" s="89">
        <f>SUM(T52:T54)</f>
        <v>42.73</v>
      </c>
      <c r="V55" s="82">
        <f>SUM(V52:V54)</f>
        <v>45.21</v>
      </c>
      <c r="W55" s="84" t="str">
        <f>CONCATENATE("m'(",Q53,")=")</f>
        <v>m'(2)=</v>
      </c>
      <c r="X55" s="84">
        <f>(2*(X52^2)/24*V55)+(X54*Q52*WLS)</f>
        <v>43.556666666666665</v>
      </c>
      <c r="Y55" s="84" t="str">
        <f>CONCATENATE("M(",Q52,")=")</f>
        <v>M(1)=</v>
      </c>
      <c r="Z55" s="84">
        <f>VLOOKUP(Q52,STN_TABLE,4,FALSE)</f>
        <v>9.6199999999999992</v>
      </c>
      <c r="AA55" t="str">
        <f>CONCATENATE("M(",Q53,")=")</f>
        <v>M(2)=</v>
      </c>
      <c r="AB55">
        <f>X55+Z55</f>
        <v>53.176666666666662</v>
      </c>
      <c r="AE55" s="89">
        <f>SUM(AE53:AE54)</f>
        <v>7.1</v>
      </c>
      <c r="AG55" s="89">
        <f>SUM(AG53:AG54)</f>
        <v>11.27</v>
      </c>
      <c r="AH55" s="84" t="str">
        <f>CONCATENATE("m'(",AD54,")=")</f>
        <v>m'(2)=</v>
      </c>
      <c r="AI55" s="84">
        <f>(2*(AI52^2)/6*AG55)+(AI54*AD53*WLS)</f>
        <v>43.426666666666662</v>
      </c>
      <c r="AJ55" s="84" t="str">
        <f>CONCATENATE("M(",AD53,")=")</f>
        <v>M(1)=</v>
      </c>
      <c r="AK55" s="84">
        <f>VLOOKUP(AD53,STN_TABLE,4,FALSE)</f>
        <v>9.6199999999999992</v>
      </c>
      <c r="AL55" t="str">
        <f>CONCATENATE("M(",AD54,")=")</f>
        <v>M(2)=</v>
      </c>
      <c r="AM55">
        <f>AI55+AK55</f>
        <v>53.04666666666666</v>
      </c>
      <c r="AO55" s="82" t="str">
        <f>AA55</f>
        <v>M(2)=</v>
      </c>
      <c r="AP55" s="82" t="e">
        <f>VLOOKUP(AO55,Rise_Results,2,FALSE)</f>
        <v>#N/A</v>
      </c>
      <c r="AQ55" s="82" t="e">
        <f>N55</f>
        <v>#N/A</v>
      </c>
      <c r="AR55" s="82">
        <f>IF(OR(AB54&lt;=0,AB55&lt;=0),1/0,AB55)</f>
        <v>53.176666666666662</v>
      </c>
      <c r="AS55" s="82">
        <f>AM55</f>
        <v>53.04666666666666</v>
      </c>
      <c r="AT55">
        <f>IFERROR(AP55,IFERROR(AQ55,IFERROR(AR55,AS55)))</f>
        <v>53.176666666666662</v>
      </c>
      <c r="AU55" s="81"/>
    </row>
    <row r="56" spans="1:47" x14ac:dyDescent="0.25">
      <c r="A56" s="101">
        <f>A51+1</f>
        <v>3</v>
      </c>
      <c r="B56" s="101">
        <f t="shared" si="11"/>
        <v>0.5</v>
      </c>
      <c r="O56" s="101">
        <f>O51+1</f>
        <v>5</v>
      </c>
      <c r="P56" s="101">
        <f t="shared" si="10"/>
        <v>1</v>
      </c>
      <c r="AU56" s="81"/>
    </row>
    <row r="57" spans="1:47" x14ac:dyDescent="0.25">
      <c r="A57" s="84">
        <f>A56+1</f>
        <v>4</v>
      </c>
      <c r="B57" s="84">
        <f t="shared" si="11"/>
        <v>0.75</v>
      </c>
      <c r="C57" s="79">
        <f t="shared" ref="C57" si="15">IF(C58=B59,IF(C59-C58=C58-B58,B58,IF(C59-C58=C58-B57,B57,"#NA")),IF(C58=B58,IF(C59-C58=C58-B57,B57,IF(C59-C58=C58-B56,B56,"#NA")),"#NA"))</f>
        <v>1</v>
      </c>
      <c r="D57" s="68">
        <f>VLOOKUP(C57,STN_TABLE,2,FALSE)</f>
        <v>2.93</v>
      </c>
      <c r="E57" s="102">
        <v>1</v>
      </c>
      <c r="F57" s="68">
        <f>D57*E57</f>
        <v>2.93</v>
      </c>
      <c r="G57" s="69">
        <f>C57</f>
        <v>1</v>
      </c>
      <c r="H57" s="69">
        <f>F57*G57</f>
        <v>2.93</v>
      </c>
      <c r="I57" s="6" t="s">
        <v>93</v>
      </c>
      <c r="J57" s="70">
        <f>IF(OR(D57=0,D58=0,D59=0),"#NA",IF(AND(C59-C58=C58-C57,C58&lt;&gt;C59,C57&lt;&gt;C58,C57&lt;&gt;C59,D59&lt;&gt;0,OR(D57&lt;&gt;0,D58&lt;&gt;0)),WLS*(C59-C58),"#NA"))</f>
        <v>2</v>
      </c>
      <c r="O57" s="99">
        <f>O56+1</f>
        <v>6</v>
      </c>
      <c r="P57" s="99">
        <f t="shared" si="10"/>
        <v>2</v>
      </c>
      <c r="Q57" s="68">
        <f>IF(OR(P59-P58=P58-P57,P60-P58=P58-P57),P57,IF(OR(P59-P58=P58-P56,P60-P58=P58-P56),P56,"-"))</f>
        <v>2</v>
      </c>
      <c r="R57" s="69">
        <f>VLOOKUP(Q57,STN_TABLE,2,FALSE)</f>
        <v>4.17</v>
      </c>
      <c r="S57" s="69">
        <v>5</v>
      </c>
      <c r="T57" s="68">
        <f>R57*S57</f>
        <v>20.85</v>
      </c>
      <c r="U57" s="79">
        <v>3</v>
      </c>
      <c r="V57" s="68">
        <f>R57*U57</f>
        <v>12.51</v>
      </c>
      <c r="W57" s="6" t="s">
        <v>93</v>
      </c>
      <c r="X57" s="70">
        <f>IF(AND(Q59-Q58=Q58-Q57,NOT(AND(Q57=0,Q58=0)),NOT(AND(Q58=0,Q59=0))),WLS*(Q59-Q58),"#NA")</f>
        <v>2</v>
      </c>
      <c r="AD57" s="93"/>
      <c r="AH57" s="6" t="s">
        <v>93</v>
      </c>
      <c r="AI57" s="70">
        <f>WLS*(AD59-AD58)</f>
        <v>2</v>
      </c>
      <c r="AU57" s="81"/>
    </row>
    <row r="58" spans="1:47" x14ac:dyDescent="0.25">
      <c r="A58" s="84">
        <f>A57+1</f>
        <v>5</v>
      </c>
      <c r="B58" s="84">
        <f t="shared" si="11"/>
        <v>1</v>
      </c>
      <c r="C58" s="80">
        <f t="shared" ref="C58" si="16">IF(OR(B60-B59=B59-B58,B60-B59=B59-B57,B60-B59=B59-B56),B59,IF(OR(B60-B58=B58-B57,B60-B58=B58-B56),B58,IF(B60-B57=B57-B56,B57,"#NA")))</f>
        <v>2</v>
      </c>
      <c r="D58" s="76">
        <f>VLOOKUP(C58,STN_TABLE,2,FALSE)</f>
        <v>4.17</v>
      </c>
      <c r="E58" s="81">
        <v>4</v>
      </c>
      <c r="F58" s="76">
        <f>D58*E58</f>
        <v>16.68</v>
      </c>
      <c r="G58" s="77">
        <f>C58</f>
        <v>2</v>
      </c>
      <c r="H58" s="77">
        <f>F58*G58</f>
        <v>33.36</v>
      </c>
      <c r="I58" s="495" t="s">
        <v>97</v>
      </c>
      <c r="J58" s="496"/>
      <c r="K58" s="78" t="s">
        <v>98</v>
      </c>
      <c r="L58" s="78"/>
      <c r="M58" s="7" t="s">
        <v>99</v>
      </c>
      <c r="N58" s="7"/>
      <c r="O58" s="99">
        <f>O57+1</f>
        <v>7</v>
      </c>
      <c r="P58" s="99">
        <f t="shared" si="10"/>
        <v>3</v>
      </c>
      <c r="Q58" s="76">
        <f>P58</f>
        <v>3</v>
      </c>
      <c r="R58" s="77">
        <f>VLOOKUP(Q58,STN_TABLE,2,FALSE)</f>
        <v>5.28</v>
      </c>
      <c r="S58" s="77">
        <v>8</v>
      </c>
      <c r="T58" s="76">
        <f>R58*S58</f>
        <v>42.24</v>
      </c>
      <c r="U58" s="80">
        <v>10</v>
      </c>
      <c r="V58" s="76">
        <f>R58*U58</f>
        <v>52.800000000000004</v>
      </c>
      <c r="W58" s="78" t="s">
        <v>97</v>
      </c>
      <c r="X58" s="78"/>
      <c r="Y58" s="78" t="s">
        <v>98</v>
      </c>
      <c r="Z58" s="78"/>
      <c r="AA58" s="7" t="s">
        <v>99</v>
      </c>
      <c r="AB58" s="7"/>
      <c r="AC58" s="99">
        <f>AC53+1</f>
        <v>6</v>
      </c>
      <c r="AD58" s="95">
        <f>VLOOKUP(AC58,STN_TABLE_2,2,FALSE)</f>
        <v>2</v>
      </c>
      <c r="AE58" s="68">
        <f>VLOOKUP(AD58,STN_TABLE,2,FALSE)</f>
        <v>4.17</v>
      </c>
      <c r="AF58" s="68">
        <v>1</v>
      </c>
      <c r="AG58" s="69">
        <f>AE58*AF58</f>
        <v>4.17</v>
      </c>
      <c r="AH58" s="496" t="s">
        <v>97</v>
      </c>
      <c r="AI58" s="496"/>
      <c r="AJ58" s="496" t="s">
        <v>98</v>
      </c>
      <c r="AK58" s="496"/>
      <c r="AL58" s="494" t="s">
        <v>99</v>
      </c>
      <c r="AM58" s="494"/>
      <c r="AP58" s="86" t="s">
        <v>112</v>
      </c>
      <c r="AQ58" s="89" t="s">
        <v>113</v>
      </c>
      <c r="AR58" s="89" t="s">
        <v>114</v>
      </c>
      <c r="AS58" s="89" t="s">
        <v>115</v>
      </c>
      <c r="AU58" s="81"/>
    </row>
    <row r="59" spans="1:47" x14ac:dyDescent="0.25">
      <c r="A59" s="84">
        <f>A58+1</f>
        <v>6</v>
      </c>
      <c r="B59" s="84">
        <f t="shared" si="11"/>
        <v>2</v>
      </c>
      <c r="C59" s="88">
        <f t="shared" ref="C59" si="17">B60</f>
        <v>3</v>
      </c>
      <c r="D59" s="82">
        <f>VLOOKUP(C59,STN_TABLE,2,FALSE)</f>
        <v>5.28</v>
      </c>
      <c r="E59" s="92">
        <v>1</v>
      </c>
      <c r="F59" s="82">
        <f>D59*E59</f>
        <v>5.28</v>
      </c>
      <c r="G59" s="83">
        <f>C59</f>
        <v>3</v>
      </c>
      <c r="H59" s="83">
        <f>F59*G59</f>
        <v>15.84</v>
      </c>
      <c r="I59" s="84" t="str">
        <f>CONCATENATE("a'(",C59,")=")</f>
        <v>a'(3)=</v>
      </c>
      <c r="J59" s="84">
        <f>2*J57/3*F60</f>
        <v>33.186666666666667</v>
      </c>
      <c r="K59" s="84" t="str">
        <f>CONCATENATE("A(",C57,")=")</f>
        <v>A(1)=</v>
      </c>
      <c r="L59" s="84">
        <f>VLOOKUP(C57,STN_TABLE,3,FALSE)</f>
        <v>8.2766666666666655</v>
      </c>
      <c r="M59" t="str">
        <f>CONCATENATE("A(",C59,")=")</f>
        <v>A(3)=</v>
      </c>
      <c r="N59">
        <f>J59+L59</f>
        <v>41.463333333333331</v>
      </c>
      <c r="O59" s="99">
        <f>O58+1</f>
        <v>8</v>
      </c>
      <c r="P59" s="99">
        <f t="shared" si="10"/>
        <v>4</v>
      </c>
      <c r="Q59" s="82">
        <f>IF(P59-P58=P58-P57,P59,IF(P60-P58=P58-P57,P60,IF(P59-P58=P58-P56,P59,IF(P60-P58=P58-P56,P60,"-"))))</f>
        <v>4</v>
      </c>
      <c r="R59" s="83">
        <f>VLOOKUP(Q59,STN_TABLE,2,FALSE)</f>
        <v>6.7</v>
      </c>
      <c r="S59" s="83">
        <v>-1</v>
      </c>
      <c r="T59" s="82">
        <f>R59*S59</f>
        <v>-6.7</v>
      </c>
      <c r="U59" s="88">
        <v>-1</v>
      </c>
      <c r="V59" s="82">
        <f>R59*U59</f>
        <v>-6.7</v>
      </c>
      <c r="W59" s="84" t="str">
        <f>CONCATENATE("a'(",Q58,")=")</f>
        <v>a'(3)=</v>
      </c>
      <c r="X59" s="84">
        <f>2*X57/12*T60</f>
        <v>18.796666666666667</v>
      </c>
      <c r="Y59" s="84" t="str">
        <f>CONCATENATE("A(",Q57,")=")</f>
        <v>A(2)=</v>
      </c>
      <c r="Z59" s="84">
        <f>VLOOKUP(Q57,STN_TABLE,3,FALSE)</f>
        <v>22.519999999999996</v>
      </c>
      <c r="AA59" t="str">
        <f>CONCATENATE("A(",Q58,")=")</f>
        <v>A(3)=</v>
      </c>
      <c r="AB59">
        <f>X59+Z59</f>
        <v>41.316666666666663</v>
      </c>
      <c r="AC59" s="99">
        <f>AC58+1</f>
        <v>7</v>
      </c>
      <c r="AD59" s="100">
        <f>VLOOKUP(AC59,STN_TABLE_2,2,FALSE)</f>
        <v>3</v>
      </c>
      <c r="AE59" s="82">
        <f>VLOOKUP(AD59,STN_TABLE,2,FALSE)</f>
        <v>5.28</v>
      </c>
      <c r="AF59" s="82">
        <v>2</v>
      </c>
      <c r="AG59" s="83">
        <f>AE59*AF59</f>
        <v>10.56</v>
      </c>
      <c r="AH59" s="84" t="str">
        <f>CONCATENATE("a'(",AD59,")=")</f>
        <v>a'(3)=</v>
      </c>
      <c r="AI59" s="84">
        <f>2*AI57/2*AE60</f>
        <v>18.899999999999999</v>
      </c>
      <c r="AJ59" s="84" t="str">
        <f>CONCATENATE("A(",AD58,")=")</f>
        <v>A(2)=</v>
      </c>
      <c r="AK59" s="84">
        <f>VLOOKUP(AD58,STN_TABLE,3,FALSE)</f>
        <v>22.519999999999996</v>
      </c>
      <c r="AL59" t="str">
        <f>CONCATENATE("A(",AD59,")=")</f>
        <v>A(3)=</v>
      </c>
      <c r="AM59">
        <f>AI59+AK59</f>
        <v>41.419999999999995</v>
      </c>
      <c r="AO59" s="68" t="str">
        <f>AA59</f>
        <v>A(3)=</v>
      </c>
      <c r="AP59" s="68" t="e">
        <f>VLOOKUP(AO59,Rise_Results,2,FALSE)</f>
        <v>#N/A</v>
      </c>
      <c r="AQ59" s="76">
        <f>N59</f>
        <v>41.463333333333331</v>
      </c>
      <c r="AR59" s="76">
        <f>IF(OR(AB59&lt;=0,AB60&lt;=0),1/0,AB59)</f>
        <v>41.316666666666663</v>
      </c>
      <c r="AS59" s="76">
        <f>AM59</f>
        <v>41.419999999999995</v>
      </c>
      <c r="AT59">
        <f>IFERROR(AP59,IFERROR(AQ59,IFERROR(AR59,AS59)))</f>
        <v>41.463333333333331</v>
      </c>
      <c r="AU59" s="81"/>
    </row>
    <row r="60" spans="1:47" x14ac:dyDescent="0.25">
      <c r="A60" s="84">
        <f>A59+1</f>
        <v>7</v>
      </c>
      <c r="B60" s="84">
        <f t="shared" si="11"/>
        <v>3</v>
      </c>
      <c r="F60" s="82">
        <f>SUM(F57:F59)</f>
        <v>24.89</v>
      </c>
      <c r="H60" s="82">
        <f>SUM(H57:H59)</f>
        <v>52.129999999999995</v>
      </c>
      <c r="I60" s="84" t="str">
        <f>CONCATENATE("m'(",C59,")=")</f>
        <v>m'(3)=</v>
      </c>
      <c r="J60" s="84">
        <f>2*(J57*(WLS))/3*H60</f>
        <v>139.01333333333332</v>
      </c>
      <c r="K60" s="84" t="str">
        <f>CONCATENATE("M(",C57,")=")</f>
        <v>M(1)=</v>
      </c>
      <c r="L60" s="84">
        <f>VLOOKUP(C57,STN_TABLE,4,FALSE)</f>
        <v>9.6199999999999992</v>
      </c>
      <c r="M60" t="str">
        <f>CONCATENATE("M(",C59,")=")</f>
        <v>M(3)=</v>
      </c>
      <c r="N60">
        <f>J60+L60</f>
        <v>148.63333333333333</v>
      </c>
      <c r="O60" s="99">
        <f>O59+1</f>
        <v>9</v>
      </c>
      <c r="P60" s="99">
        <f t="shared" si="10"/>
        <v>4.8499999999999996</v>
      </c>
      <c r="T60" s="89">
        <f>SUM(T57:T59)</f>
        <v>56.39</v>
      </c>
      <c r="V60" s="82">
        <f>SUM(V57:V59)</f>
        <v>58.61</v>
      </c>
      <c r="W60" s="84" t="str">
        <f>CONCATENATE("m'(",Q58,")=")</f>
        <v>m'(3)=</v>
      </c>
      <c r="X60" s="84">
        <f>(2*(X57^2)/24*V60)+(X59*Q57*WLS)</f>
        <v>94.723333333333329</v>
      </c>
      <c r="Y60" s="84" t="str">
        <f>CONCATENATE("M(",Q57,")=")</f>
        <v>M(2)=</v>
      </c>
      <c r="Z60" s="84">
        <f>VLOOKUP(Q57,STN_TABLE,4,FALSE)</f>
        <v>53.176666666666662</v>
      </c>
      <c r="AA60" t="str">
        <f>CONCATENATE("M(",Q58,")=")</f>
        <v>M(3)=</v>
      </c>
      <c r="AB60">
        <f>X60+Z60</f>
        <v>147.89999999999998</v>
      </c>
      <c r="AE60" s="89">
        <f>SUM(AE58:AE59)</f>
        <v>9.4499999999999993</v>
      </c>
      <c r="AG60" s="89">
        <f>SUM(AG58:AG59)</f>
        <v>14.73</v>
      </c>
      <c r="AH60" s="84" t="str">
        <f>CONCATENATE("m'(",AD59,")=")</f>
        <v>m'(3)=</v>
      </c>
      <c r="AI60" s="84">
        <f>(2*(AI57^2)/6*AG60)+(AI59*AD58*WLS)</f>
        <v>95.24</v>
      </c>
      <c r="AJ60" s="84" t="str">
        <f>CONCATENATE("M(",AD58,")=")</f>
        <v>M(2)=</v>
      </c>
      <c r="AK60" s="84">
        <f>VLOOKUP(AD57,STN_TABLE,4,FALSE)</f>
        <v>0</v>
      </c>
      <c r="AL60" t="str">
        <f>CONCATENATE("M(",AD59,")=")</f>
        <v>M(3)=</v>
      </c>
      <c r="AM60">
        <f>AI60+AK60</f>
        <v>95.24</v>
      </c>
      <c r="AO60" s="82" t="str">
        <f>AA60</f>
        <v>M(3)=</v>
      </c>
      <c r="AP60" s="82" t="e">
        <f>VLOOKUP(AO60,Rise_Results,2,FALSE)</f>
        <v>#N/A</v>
      </c>
      <c r="AQ60" s="82">
        <f>N60</f>
        <v>148.63333333333333</v>
      </c>
      <c r="AR60" s="82">
        <f>IF(OR(AB59&lt;=0,AB60&lt;=0),1/0,AB60)</f>
        <v>147.89999999999998</v>
      </c>
      <c r="AS60" s="82">
        <f>AM60</f>
        <v>95.24</v>
      </c>
      <c r="AT60">
        <f>IFERROR(AP60,IFERROR(AQ60,IFERROR(AR60,AS60)))</f>
        <v>148.63333333333333</v>
      </c>
      <c r="AU60" s="81"/>
    </row>
    <row r="61" spans="1:47" x14ac:dyDescent="0.25">
      <c r="A61" s="101">
        <f>A56+1</f>
        <v>4</v>
      </c>
      <c r="B61" s="101">
        <f t="shared" si="11"/>
        <v>0.75</v>
      </c>
      <c r="O61" s="101">
        <f>O56+1</f>
        <v>6</v>
      </c>
      <c r="P61" s="101">
        <f t="shared" si="10"/>
        <v>2</v>
      </c>
      <c r="AU61" s="81"/>
    </row>
    <row r="62" spans="1:47" x14ac:dyDescent="0.25">
      <c r="A62" s="84">
        <f>A61+1</f>
        <v>5</v>
      </c>
      <c r="B62" s="84">
        <f t="shared" si="11"/>
        <v>1</v>
      </c>
      <c r="C62" s="79">
        <f t="shared" ref="C62" si="18">IF(C63=B64,IF(C64-C63=C63-B63,B63,IF(C64-C63=C63-B62,B62,"#NA")),IF(C63=B63,IF(C64-C63=C63-B62,B62,IF(C64-C63=C63-B61,B61,"#NA")),"#NA"))</f>
        <v>2</v>
      </c>
      <c r="D62" s="68">
        <f>VLOOKUP(C62,STN_TABLE,2,FALSE)</f>
        <v>4.17</v>
      </c>
      <c r="E62" s="102">
        <v>1</v>
      </c>
      <c r="F62" s="68">
        <f>D62*E62</f>
        <v>4.17</v>
      </c>
      <c r="G62" s="69">
        <f>C62</f>
        <v>2</v>
      </c>
      <c r="H62" s="69">
        <f>F62*G62</f>
        <v>8.34</v>
      </c>
      <c r="I62" s="6" t="s">
        <v>93</v>
      </c>
      <c r="J62" s="70">
        <f>IF(OR(D62=0,D63=0,D64=0),"#NA",IF(AND(C64-C63=C63-C62,C63&lt;&gt;C64,C62&lt;&gt;C63,C62&lt;&gt;C64,D64&lt;&gt;0,OR(D62&lt;&gt;0,D63&lt;&gt;0)),WLS*(C64-C63),"#NA"))</f>
        <v>2</v>
      </c>
      <c r="O62" s="99">
        <f>O61+1</f>
        <v>7</v>
      </c>
      <c r="P62" s="99">
        <f t="shared" si="10"/>
        <v>3</v>
      </c>
      <c r="Q62" s="68">
        <f>IF(OR(P64-P63=P63-P62,P65-P63=P63-P62),P62,IF(OR(P64-P63=P63-P61,P65-P63=P63-P61),P61,"-"))</f>
        <v>3</v>
      </c>
      <c r="R62" s="69">
        <f>VLOOKUP(Q62,STN_TABLE,2,FALSE)</f>
        <v>5.28</v>
      </c>
      <c r="S62" s="69">
        <v>5</v>
      </c>
      <c r="T62" s="68">
        <f>R62*S62</f>
        <v>26.400000000000002</v>
      </c>
      <c r="U62" s="79">
        <v>3</v>
      </c>
      <c r="V62" s="68">
        <f>R62*U62</f>
        <v>15.84</v>
      </c>
      <c r="W62" s="6" t="s">
        <v>93</v>
      </c>
      <c r="X62" s="70">
        <f>IF(AND(Q64-Q63=Q63-Q62,NOT(AND(Q62=0,Q63=0)),NOT(AND(Q63=0,Q64=0))),WLS*(Q64-Q63),"#NA")</f>
        <v>2</v>
      </c>
      <c r="AD62" s="93"/>
      <c r="AH62" s="6" t="s">
        <v>93</v>
      </c>
      <c r="AI62" s="70">
        <f>WLS*(AD64-AD63)</f>
        <v>2</v>
      </c>
      <c r="AU62" s="81"/>
    </row>
    <row r="63" spans="1:47" x14ac:dyDescent="0.25">
      <c r="A63" s="84">
        <f>A62+1</f>
        <v>6</v>
      </c>
      <c r="B63" s="84">
        <f t="shared" si="11"/>
        <v>2</v>
      </c>
      <c r="C63" s="80">
        <f t="shared" ref="C63" si="19">IF(OR(B65-B64=B64-B63,B65-B64=B64-B62,B65-B64=B64-B61),B64,IF(OR(B65-B63=B63-B62,B65-B63=B63-B61),B63,IF(B65-B62=B62-B61,B62,"#NA")))</f>
        <v>3</v>
      </c>
      <c r="D63" s="76">
        <f>VLOOKUP(C63,STN_TABLE,2,FALSE)</f>
        <v>5.28</v>
      </c>
      <c r="E63" s="81">
        <v>4</v>
      </c>
      <c r="F63" s="76">
        <f>D63*E63</f>
        <v>21.12</v>
      </c>
      <c r="G63" s="77">
        <f>C63</f>
        <v>3</v>
      </c>
      <c r="H63" s="77">
        <f>F63*G63</f>
        <v>63.36</v>
      </c>
      <c r="I63" s="495" t="s">
        <v>97</v>
      </c>
      <c r="J63" s="496"/>
      <c r="K63" s="78" t="s">
        <v>98</v>
      </c>
      <c r="L63" s="78"/>
      <c r="M63" s="7" t="s">
        <v>99</v>
      </c>
      <c r="N63" s="7"/>
      <c r="O63" s="99">
        <f>O62+1</f>
        <v>8</v>
      </c>
      <c r="P63" s="99">
        <f t="shared" si="10"/>
        <v>4</v>
      </c>
      <c r="Q63" s="76">
        <f>P63</f>
        <v>4</v>
      </c>
      <c r="R63" s="77">
        <f>VLOOKUP(Q63,STN_TABLE,2,FALSE)</f>
        <v>6.7</v>
      </c>
      <c r="S63" s="77">
        <v>8</v>
      </c>
      <c r="T63" s="76">
        <f>R63*S63</f>
        <v>53.6</v>
      </c>
      <c r="U63" s="80">
        <v>10</v>
      </c>
      <c r="V63" s="76">
        <f>R63*U63</f>
        <v>67</v>
      </c>
      <c r="W63" s="496" t="s">
        <v>97</v>
      </c>
      <c r="X63" s="496"/>
      <c r="Y63" s="496" t="s">
        <v>98</v>
      </c>
      <c r="Z63" s="496"/>
      <c r="AA63" s="494" t="s">
        <v>99</v>
      </c>
      <c r="AB63" s="494"/>
      <c r="AC63" s="99">
        <f>AC58+1</f>
        <v>7</v>
      </c>
      <c r="AD63" s="95">
        <f>VLOOKUP(AC63,STN_TABLE_2,2,FALSE)</f>
        <v>3</v>
      </c>
      <c r="AE63" s="68">
        <f>VLOOKUP(AD63,STN_TABLE,2,FALSE)</f>
        <v>5.28</v>
      </c>
      <c r="AF63" s="68">
        <v>1</v>
      </c>
      <c r="AG63" s="69">
        <f>AE63*AF63</f>
        <v>5.28</v>
      </c>
      <c r="AH63" s="496" t="s">
        <v>97</v>
      </c>
      <c r="AI63" s="496"/>
      <c r="AJ63" s="496" t="s">
        <v>98</v>
      </c>
      <c r="AK63" s="496"/>
      <c r="AL63" s="494" t="s">
        <v>99</v>
      </c>
      <c r="AM63" s="494"/>
      <c r="AP63" s="86" t="s">
        <v>112</v>
      </c>
      <c r="AQ63" s="89" t="s">
        <v>113</v>
      </c>
      <c r="AR63" s="89" t="s">
        <v>114</v>
      </c>
      <c r="AS63" s="89" t="s">
        <v>115</v>
      </c>
      <c r="AU63" s="81"/>
    </row>
    <row r="64" spans="1:47" x14ac:dyDescent="0.25">
      <c r="A64" s="84">
        <f>A63+1</f>
        <v>7</v>
      </c>
      <c r="B64" s="84">
        <f t="shared" si="11"/>
        <v>3</v>
      </c>
      <c r="C64" s="88">
        <f t="shared" ref="C64" si="20">B65</f>
        <v>4</v>
      </c>
      <c r="D64" s="82">
        <f>VLOOKUP(C64,STN_TABLE,2,FALSE)</f>
        <v>6.7</v>
      </c>
      <c r="E64" s="92">
        <v>1</v>
      </c>
      <c r="F64" s="82">
        <f>D64*E64</f>
        <v>6.7</v>
      </c>
      <c r="G64" s="83">
        <f>C64</f>
        <v>4</v>
      </c>
      <c r="H64" s="83">
        <f>F64*G64</f>
        <v>26.8</v>
      </c>
      <c r="I64" s="84" t="str">
        <f>CONCATENATE("a'(",C64,")=")</f>
        <v>a'(4)=</v>
      </c>
      <c r="J64" s="84">
        <f>2*J62/3*F65</f>
        <v>42.653333333333329</v>
      </c>
      <c r="K64" s="84" t="str">
        <f>CONCATENATE("A(",C62,")=")</f>
        <v>A(2)=</v>
      </c>
      <c r="L64" s="84">
        <f>VLOOKUP(C62,STN_TABLE,3,FALSE)</f>
        <v>22.519999999999996</v>
      </c>
      <c r="M64" t="str">
        <f>CONCATENATE("A(",C64,")=")</f>
        <v>A(4)=</v>
      </c>
      <c r="N64">
        <f>J64+L64</f>
        <v>65.173333333333318</v>
      </c>
      <c r="O64" s="99">
        <f>O63+1</f>
        <v>9</v>
      </c>
      <c r="P64" s="99">
        <f t="shared" si="10"/>
        <v>4.8499999999999996</v>
      </c>
      <c r="Q64" s="82">
        <f>IF(P64-P63=P63-P62,P64,IF(P65-P63=P63-P62,P65,IF(P64-P63=P63-P61,P64,IF(P65-P63=P63-P61,P65,"-"))))</f>
        <v>5</v>
      </c>
      <c r="R64" s="83">
        <f>VLOOKUP(Q64,STN_TABLE,2,FALSE)</f>
        <v>8.0399999999999991</v>
      </c>
      <c r="S64" s="83">
        <v>-1</v>
      </c>
      <c r="T64" s="82">
        <f>R64*S64</f>
        <v>-8.0399999999999991</v>
      </c>
      <c r="U64" s="88">
        <v>-1</v>
      </c>
      <c r="V64" s="82">
        <f>R64*U64</f>
        <v>-8.0399999999999991</v>
      </c>
      <c r="W64" s="84" t="str">
        <f>CONCATENATE("a'(",Q63,")=")</f>
        <v>a'(4)=</v>
      </c>
      <c r="X64" s="84">
        <f>2*X62/12*T65</f>
        <v>23.986666666666668</v>
      </c>
      <c r="Y64" s="84" t="str">
        <f>CONCATENATE("A(",Q62,")=")</f>
        <v>A(3)=</v>
      </c>
      <c r="Z64" s="84">
        <f>VLOOKUP(Q62,STN_TABLE,3,FALSE)</f>
        <v>41.463333333333331</v>
      </c>
      <c r="AA64" t="str">
        <f>CONCATENATE("A(",Q63,")=")</f>
        <v>A(4)=</v>
      </c>
      <c r="AB64">
        <f>X64+Z64</f>
        <v>65.45</v>
      </c>
      <c r="AC64" s="99">
        <f>AC63+1</f>
        <v>8</v>
      </c>
      <c r="AD64" s="100">
        <f>VLOOKUP(AC64,STN_TABLE_2,2,FALSE)</f>
        <v>4</v>
      </c>
      <c r="AE64" s="82">
        <f>VLOOKUP(AD64,STN_TABLE,2,FALSE)</f>
        <v>6.7</v>
      </c>
      <c r="AF64" s="82">
        <v>2</v>
      </c>
      <c r="AG64" s="83">
        <f>AE64*AF64</f>
        <v>13.4</v>
      </c>
      <c r="AH64" s="84" t="str">
        <f>CONCATENATE("a'(",AD64,")=")</f>
        <v>a'(4)=</v>
      </c>
      <c r="AI64" s="84">
        <f>2*AI62/2*AE65</f>
        <v>23.96</v>
      </c>
      <c r="AJ64" s="84" t="str">
        <f>CONCATENATE("A(",AD63,")=")</f>
        <v>A(3)=</v>
      </c>
      <c r="AK64" s="84">
        <f>VLOOKUP(AD63,STN_TABLE,3,FALSE)</f>
        <v>41.463333333333331</v>
      </c>
      <c r="AL64" t="str">
        <f>CONCATENATE("A(",AD64,")=")</f>
        <v>A(4)=</v>
      </c>
      <c r="AM64">
        <f>AI64+AK64</f>
        <v>65.423333333333332</v>
      </c>
      <c r="AO64" s="68" t="str">
        <f>AA64</f>
        <v>A(4)=</v>
      </c>
      <c r="AP64" s="68" t="e">
        <f>VLOOKUP(AO64,Rise_Results,2,FALSE)</f>
        <v>#N/A</v>
      </c>
      <c r="AQ64" s="76">
        <f>N64</f>
        <v>65.173333333333318</v>
      </c>
      <c r="AR64" s="76">
        <f>IF(OR(AB64&lt;=0,AB65&lt;=0),1/0,AB64)</f>
        <v>65.45</v>
      </c>
      <c r="AS64" s="76">
        <f>AM64</f>
        <v>65.423333333333332</v>
      </c>
      <c r="AT64">
        <f>IFERROR(AP64,IFERROR(AQ64,IFERROR(AR64,AS64)))</f>
        <v>65.173333333333318</v>
      </c>
      <c r="AU64" s="81"/>
    </row>
    <row r="65" spans="1:47" x14ac:dyDescent="0.25">
      <c r="A65" s="84">
        <f>A64+1</f>
        <v>8</v>
      </c>
      <c r="B65" s="84">
        <f t="shared" si="11"/>
        <v>4</v>
      </c>
      <c r="F65" s="82">
        <f>SUM(F62:F64)</f>
        <v>31.99</v>
      </c>
      <c r="H65" s="82">
        <f>SUM(H62:H64)</f>
        <v>98.5</v>
      </c>
      <c r="I65" s="84" t="str">
        <f>CONCATENATE("m'(",C64,")=")</f>
        <v>m'(4)=</v>
      </c>
      <c r="J65" s="84">
        <f>2*(J62*(WLS))/3*H65</f>
        <v>262.66666666666663</v>
      </c>
      <c r="K65" s="84" t="str">
        <f>CONCATENATE("M(",C62,")=")</f>
        <v>M(2)=</v>
      </c>
      <c r="L65" s="84">
        <f>VLOOKUP(C62,STN_TABLE,4,FALSE)</f>
        <v>53.176666666666662</v>
      </c>
      <c r="M65" t="str">
        <f>CONCATENATE("M(",C64,")=")</f>
        <v>M(4)=</v>
      </c>
      <c r="N65">
        <f>J65+L65</f>
        <v>315.84333333333331</v>
      </c>
      <c r="O65" s="99">
        <f>O64+1</f>
        <v>10</v>
      </c>
      <c r="P65" s="99">
        <f t="shared" si="10"/>
        <v>5</v>
      </c>
      <c r="T65" s="89">
        <f>SUM(T62:T64)</f>
        <v>71.960000000000008</v>
      </c>
      <c r="V65" s="82">
        <f>SUM(V62:V64)</f>
        <v>74.800000000000011</v>
      </c>
      <c r="W65" s="84" t="str">
        <f>CONCATENATE("m'(",Q63,")=")</f>
        <v>m'(4)=</v>
      </c>
      <c r="X65" s="84">
        <f>(2*(X62^2)/24*V65)+(X64*Q62*WLS)</f>
        <v>168.85333333333335</v>
      </c>
      <c r="Y65" s="84" t="str">
        <f>CONCATENATE("M(",Q62,")=")</f>
        <v>M(3)=</v>
      </c>
      <c r="Z65" s="84">
        <f>VLOOKUP(Q62,STN_TABLE,4,FALSE)</f>
        <v>148.63333333333333</v>
      </c>
      <c r="AA65" t="str">
        <f>CONCATENATE("M(",Q63,")=")</f>
        <v>M(4)=</v>
      </c>
      <c r="AB65">
        <f>X65+Z65</f>
        <v>317.48666666666668</v>
      </c>
      <c r="AE65" s="89">
        <f>SUM(AE63:AE64)</f>
        <v>11.98</v>
      </c>
      <c r="AG65" s="89">
        <f>SUM(AG63:AG64)</f>
        <v>18.68</v>
      </c>
      <c r="AH65" s="84" t="str">
        <f>CONCATENATE("m'(",AD64,")=")</f>
        <v>m'(4)=</v>
      </c>
      <c r="AI65" s="84">
        <f>(2*(AI62^2)/6*AG65)+(AI64*AD63*WLS)</f>
        <v>168.66666666666666</v>
      </c>
      <c r="AJ65" s="84" t="str">
        <f>CONCATENATE("M(",AD63,")=")</f>
        <v>M(3)=</v>
      </c>
      <c r="AK65" s="84">
        <f>VLOOKUP(AD63,STN_TABLE,4,FALSE)</f>
        <v>148.63333333333333</v>
      </c>
      <c r="AL65" t="str">
        <f>CONCATENATE("M(",AD64,")=")</f>
        <v>M(4)=</v>
      </c>
      <c r="AM65">
        <f>AI65+AK65</f>
        <v>317.29999999999995</v>
      </c>
      <c r="AO65" s="82" t="str">
        <f>AA65</f>
        <v>M(4)=</v>
      </c>
      <c r="AP65" s="82" t="e">
        <f>VLOOKUP(AO65,Rise_Results,2,FALSE)</f>
        <v>#N/A</v>
      </c>
      <c r="AQ65" s="82">
        <f>N65</f>
        <v>315.84333333333331</v>
      </c>
      <c r="AR65" s="82">
        <f>IF(OR(AB64&lt;=0,AB65&lt;=0),1/0,AB65)</f>
        <v>317.48666666666668</v>
      </c>
      <c r="AS65" s="82">
        <f>AM65</f>
        <v>317.29999999999995</v>
      </c>
      <c r="AT65">
        <f>IFERROR(AP65,IFERROR(AQ65,IFERROR(AR65,AS65)))</f>
        <v>315.84333333333331</v>
      </c>
      <c r="AU65" s="81"/>
    </row>
    <row r="66" spans="1:47" x14ac:dyDescent="0.25">
      <c r="A66" s="101">
        <f>A61+1</f>
        <v>5</v>
      </c>
      <c r="B66" s="101">
        <f t="shared" si="11"/>
        <v>1</v>
      </c>
      <c r="O66" s="101">
        <f>O61+1</f>
        <v>7</v>
      </c>
      <c r="P66" s="101">
        <f t="shared" si="10"/>
        <v>3</v>
      </c>
      <c r="AU66" s="81"/>
    </row>
    <row r="67" spans="1:47" x14ac:dyDescent="0.25">
      <c r="A67" s="84">
        <f>A66+1</f>
        <v>6</v>
      </c>
      <c r="B67" s="84">
        <f t="shared" si="11"/>
        <v>2</v>
      </c>
      <c r="C67" s="79" t="str">
        <f t="shared" ref="C67" si="21">IF(C68=B69,IF(C69-C68=C68-B68,B68,IF(C69-C68=C68-B67,B67,"#NA")),IF(C68=B68,IF(C69-C68=C68-B67,B67,IF(C69-C68=C68-B66,B66,"#NA")),"#NA"))</f>
        <v>#NA</v>
      </c>
      <c r="D67" s="68" t="e">
        <f>VLOOKUP(C67,STN_TABLE,2,FALSE)</f>
        <v>#N/A</v>
      </c>
      <c r="E67" s="102">
        <v>1</v>
      </c>
      <c r="F67" s="68" t="e">
        <f>D67*E67</f>
        <v>#N/A</v>
      </c>
      <c r="G67" s="69" t="str">
        <f>C67</f>
        <v>#NA</v>
      </c>
      <c r="H67" s="69" t="e">
        <f>F67*G67</f>
        <v>#N/A</v>
      </c>
      <c r="I67" s="6" t="s">
        <v>93</v>
      </c>
      <c r="J67" s="70" t="e">
        <f>IF(OR(D67=0,D68=0,D69=0),"#NA",IF(AND(C69-C68=C68-C67,C68&lt;&gt;C69,C67&lt;&gt;C68,C67&lt;&gt;C69,D69&lt;&gt;0,OR(D67&lt;&gt;0,D68&lt;&gt;0)),WLS*(C69-C68),"#NA"))</f>
        <v>#N/A</v>
      </c>
      <c r="O67" s="99">
        <f>O66+1</f>
        <v>8</v>
      </c>
      <c r="P67" s="99">
        <f t="shared" si="10"/>
        <v>4</v>
      </c>
      <c r="Q67" s="68" t="str">
        <f>IF(OR(P69-P68=P68-P67,P70-P68=P68-P67),P67,IF(OR(P69-P68=P68-P66,P70-P68=P68-P66),P66,"-"))</f>
        <v>-</v>
      </c>
      <c r="R67" s="69" t="e">
        <f>VLOOKUP(Q67,STN_TABLE,2,FALSE)</f>
        <v>#N/A</v>
      </c>
      <c r="S67" s="69">
        <v>5</v>
      </c>
      <c r="T67" s="68" t="e">
        <f>R67*S67</f>
        <v>#N/A</v>
      </c>
      <c r="U67" s="79">
        <v>3</v>
      </c>
      <c r="V67" s="68" t="e">
        <f>R67*U67</f>
        <v>#N/A</v>
      </c>
      <c r="W67" s="6" t="s">
        <v>93</v>
      </c>
      <c r="X67" s="70" t="e">
        <f>IF(AND(Q69-Q68=Q68-Q67,NOT(AND(Q67=0,Q68=0)),NOT(AND(Q68=0,Q69=0))),WLS*(Q69-Q68),"#NA")</f>
        <v>#VALUE!</v>
      </c>
      <c r="AD67" s="93"/>
      <c r="AH67" s="6" t="s">
        <v>93</v>
      </c>
      <c r="AI67" s="70">
        <f>WLS*(AD69-AD68)</f>
        <v>1.6999999999999993</v>
      </c>
      <c r="AU67" s="81"/>
    </row>
    <row r="68" spans="1:47" x14ac:dyDescent="0.25">
      <c r="A68" s="84">
        <f>A67+1</f>
        <v>7</v>
      </c>
      <c r="B68" s="84">
        <f t="shared" si="11"/>
        <v>3</v>
      </c>
      <c r="C68" s="80" t="str">
        <f t="shared" ref="C68" si="22">IF(OR(B70-B69=B69-B68,B70-B69=B69-B67,B70-B69=B69-B66),B69,IF(OR(B70-B68=B68-B67,B70-B68=B68-B66),B68,IF(B70-B67=B67-B66,B67,"#NA")))</f>
        <v>#NA</v>
      </c>
      <c r="D68" s="76" t="e">
        <f>VLOOKUP(C68,STN_TABLE,2,FALSE)</f>
        <v>#N/A</v>
      </c>
      <c r="E68" s="81">
        <v>4</v>
      </c>
      <c r="F68" s="76" t="e">
        <f>D68*E68</f>
        <v>#N/A</v>
      </c>
      <c r="G68" s="77" t="str">
        <f>C68</f>
        <v>#NA</v>
      </c>
      <c r="H68" s="77" t="e">
        <f>F68*G68</f>
        <v>#N/A</v>
      </c>
      <c r="I68" s="495" t="s">
        <v>97</v>
      </c>
      <c r="J68" s="496"/>
      <c r="K68" s="78" t="s">
        <v>98</v>
      </c>
      <c r="L68" s="78"/>
      <c r="M68" s="7" t="s">
        <v>99</v>
      </c>
      <c r="N68" s="7"/>
      <c r="O68" s="99">
        <f>O67+1</f>
        <v>9</v>
      </c>
      <c r="P68" s="99">
        <f t="shared" ref="P68:P99" si="23">VLOOKUP(O68,STN_TABLE_2,2,FALSE)</f>
        <v>4.8499999999999996</v>
      </c>
      <c r="Q68" s="76">
        <f>P68</f>
        <v>4.8499999999999996</v>
      </c>
      <c r="R68" s="77">
        <f>VLOOKUP(Q68,STN_TABLE,2,FALSE)</f>
        <v>7.89</v>
      </c>
      <c r="S68" s="77">
        <v>8</v>
      </c>
      <c r="T68" s="76">
        <f>R68*S68</f>
        <v>63.12</v>
      </c>
      <c r="U68" s="80">
        <v>10</v>
      </c>
      <c r="V68" s="76">
        <f>R68*U68</f>
        <v>78.899999999999991</v>
      </c>
      <c r="W68" s="496" t="s">
        <v>97</v>
      </c>
      <c r="X68" s="496"/>
      <c r="Y68" s="496" t="s">
        <v>98</v>
      </c>
      <c r="Z68" s="496"/>
      <c r="AA68" s="494" t="s">
        <v>99</v>
      </c>
      <c r="AB68" s="494"/>
      <c r="AC68" s="99">
        <f>AC63+1</f>
        <v>8</v>
      </c>
      <c r="AD68" s="95">
        <f>VLOOKUP(AC68,STN_TABLE_2,2,FALSE)</f>
        <v>4</v>
      </c>
      <c r="AE68" s="68">
        <f>VLOOKUP(AD68,STN_TABLE,2,FALSE)</f>
        <v>6.7</v>
      </c>
      <c r="AF68" s="68">
        <v>1</v>
      </c>
      <c r="AG68" s="69">
        <f>AE68*AF68</f>
        <v>6.7</v>
      </c>
      <c r="AH68" s="496" t="s">
        <v>97</v>
      </c>
      <c r="AI68" s="496"/>
      <c r="AJ68" s="496" t="s">
        <v>98</v>
      </c>
      <c r="AK68" s="496"/>
      <c r="AL68" s="494" t="s">
        <v>99</v>
      </c>
      <c r="AM68" s="494"/>
      <c r="AP68" s="86" t="s">
        <v>112</v>
      </c>
      <c r="AQ68" s="89" t="s">
        <v>113</v>
      </c>
      <c r="AR68" s="89" t="s">
        <v>114</v>
      </c>
      <c r="AS68" s="89" t="s">
        <v>115</v>
      </c>
      <c r="AU68" s="81"/>
    </row>
    <row r="69" spans="1:47" x14ac:dyDescent="0.25">
      <c r="A69" s="84">
        <f>A68+1</f>
        <v>8</v>
      </c>
      <c r="B69" s="84">
        <f t="shared" si="11"/>
        <v>4</v>
      </c>
      <c r="C69" s="88">
        <f t="shared" ref="C69" si="24">B70</f>
        <v>4.8499999999999996</v>
      </c>
      <c r="D69" s="82">
        <f>VLOOKUP(C69,STN_TABLE,2,FALSE)</f>
        <v>7.89</v>
      </c>
      <c r="E69" s="92">
        <v>1</v>
      </c>
      <c r="F69" s="82">
        <f>D69*E69</f>
        <v>7.89</v>
      </c>
      <c r="G69" s="83">
        <f>C69</f>
        <v>4.8499999999999996</v>
      </c>
      <c r="H69" s="83">
        <f>F69*G69</f>
        <v>38.266499999999994</v>
      </c>
      <c r="I69" s="84" t="str">
        <f>CONCATENATE("a'(",C69,")=")</f>
        <v>a'(4.85)=</v>
      </c>
      <c r="J69" s="84" t="e">
        <f>2*J67/3*F70</f>
        <v>#N/A</v>
      </c>
      <c r="K69" s="84" t="str">
        <f>CONCATENATE("A(",C67,")=")</f>
        <v>A(#NA)=</v>
      </c>
      <c r="L69" s="84" t="e">
        <f>VLOOKUP(C67,STN_TABLE,3,FALSE)</f>
        <v>#N/A</v>
      </c>
      <c r="M69" t="str">
        <f>CONCATENATE("A(",C69,")=")</f>
        <v>A(4.85)=</v>
      </c>
      <c r="N69" t="e">
        <f>J69+L69</f>
        <v>#N/A</v>
      </c>
      <c r="O69" s="99">
        <f>O68+1</f>
        <v>10</v>
      </c>
      <c r="P69" s="99">
        <f t="shared" si="23"/>
        <v>5</v>
      </c>
      <c r="Q69" s="82" t="str">
        <f>IF(P69-P68=P68-P67,P69,IF(P70-P68=P68-P67,P70,IF(P69-P68=P68-P66,P69,IF(P70-P68=P68-P66,P70,"-"))))</f>
        <v>-</v>
      </c>
      <c r="R69" s="83" t="e">
        <f>VLOOKUP(Q69,STN_TABLE,2,FALSE)</f>
        <v>#N/A</v>
      </c>
      <c r="S69" s="83">
        <v>-1</v>
      </c>
      <c r="T69" s="82" t="e">
        <f>R69*S69</f>
        <v>#N/A</v>
      </c>
      <c r="U69" s="88">
        <v>-1</v>
      </c>
      <c r="V69" s="82" t="e">
        <f>R69*U69</f>
        <v>#N/A</v>
      </c>
      <c r="W69" s="84" t="str">
        <f>CONCATENATE("a'(",Q68,")=")</f>
        <v>a'(4.85)=</v>
      </c>
      <c r="X69" s="84" t="e">
        <f>2*X67/12*T70</f>
        <v>#VALUE!</v>
      </c>
      <c r="Y69" s="84" t="str">
        <f>CONCATENATE("A(",Q67,")=")</f>
        <v>A(-)=</v>
      </c>
      <c r="Z69" s="84" t="e">
        <f>VLOOKUP(Q67,STN_TABLE,3,FALSE)</f>
        <v>#N/A</v>
      </c>
      <c r="AA69" t="str">
        <f>CONCATENATE("A(",Q68,")=")</f>
        <v>A(4.85)=</v>
      </c>
      <c r="AB69" t="e">
        <f>X69+Z69</f>
        <v>#VALUE!</v>
      </c>
      <c r="AC69" s="99">
        <f>AC68+1</f>
        <v>9</v>
      </c>
      <c r="AD69" s="100">
        <f>VLOOKUP(AC69,STN_TABLE_2,2,FALSE)</f>
        <v>4.8499999999999996</v>
      </c>
      <c r="AE69" s="82">
        <f>VLOOKUP(AD69,STN_TABLE,2,FALSE)</f>
        <v>7.89</v>
      </c>
      <c r="AF69" s="82">
        <v>2</v>
      </c>
      <c r="AG69" s="83">
        <f>AE69*AF69</f>
        <v>15.78</v>
      </c>
      <c r="AH69" s="84" t="str">
        <f>CONCATENATE("a'(",AD69,")=")</f>
        <v>a'(4.85)=</v>
      </c>
      <c r="AI69" s="84">
        <f>2*AI67/2*AE70</f>
        <v>24.80299999999999</v>
      </c>
      <c r="AJ69" s="84" t="str">
        <f>CONCATENATE("A(",AD68,")=")</f>
        <v>A(4)=</v>
      </c>
      <c r="AK69" s="84">
        <f>VLOOKUP(AD68,STN_TABLE,3,FALSE)</f>
        <v>65.173333333333318</v>
      </c>
      <c r="AL69" t="str">
        <f>CONCATENATE("A(",AD69,")=")</f>
        <v>A(4.85)=</v>
      </c>
      <c r="AM69">
        <f>AI69+AK69</f>
        <v>89.976333333333315</v>
      </c>
      <c r="AO69" s="68" t="str">
        <f>AA69</f>
        <v>A(4.85)=</v>
      </c>
      <c r="AP69" s="68" t="e">
        <f>VLOOKUP(AO69,Rise_Results,2,FALSE)</f>
        <v>#N/A</v>
      </c>
      <c r="AQ69" s="76" t="e">
        <f>N69</f>
        <v>#N/A</v>
      </c>
      <c r="AR69" s="76" t="e">
        <f>IF(OR(AB69&lt;=0,AB70&lt;=0),1/0,AB69)</f>
        <v>#VALUE!</v>
      </c>
      <c r="AS69" s="76">
        <f>AM69</f>
        <v>89.976333333333315</v>
      </c>
      <c r="AT69">
        <f>IFERROR(AP69,IFERROR(AQ69,IFERROR(AR69,AS69)))</f>
        <v>89.976333333333315</v>
      </c>
      <c r="AU69" s="81"/>
    </row>
    <row r="70" spans="1:47" x14ac:dyDescent="0.25">
      <c r="A70" s="84">
        <f>A69+1</f>
        <v>9</v>
      </c>
      <c r="B70" s="84">
        <f t="shared" si="11"/>
        <v>4.8499999999999996</v>
      </c>
      <c r="F70" s="82" t="e">
        <f>SUM(F67:F69)</f>
        <v>#N/A</v>
      </c>
      <c r="H70" s="82" t="e">
        <f>SUM(H67:H69)</f>
        <v>#N/A</v>
      </c>
      <c r="I70" s="84" t="str">
        <f>CONCATENATE("m'(",C69,")=")</f>
        <v>m'(4.85)=</v>
      </c>
      <c r="J70" s="84" t="e">
        <f>2*(J67*(WLS))/3*H70</f>
        <v>#N/A</v>
      </c>
      <c r="K70" s="84" t="str">
        <f>CONCATENATE("M(",C67,")=")</f>
        <v>M(#NA)=</v>
      </c>
      <c r="L70" s="84" t="e">
        <f>VLOOKUP(C67,STN_TABLE,4,FALSE)</f>
        <v>#N/A</v>
      </c>
      <c r="M70" t="str">
        <f>CONCATENATE("M(",C69,")=")</f>
        <v>M(4.85)=</v>
      </c>
      <c r="N70" t="e">
        <f>J70+L70</f>
        <v>#N/A</v>
      </c>
      <c r="O70" s="99">
        <f>O69+1</f>
        <v>11</v>
      </c>
      <c r="P70" s="99">
        <f t="shared" si="23"/>
        <v>6</v>
      </c>
      <c r="T70" s="89" t="e">
        <f>SUM(T67:T69)</f>
        <v>#N/A</v>
      </c>
      <c r="V70" s="82" t="e">
        <f>SUM(V67:V69)</f>
        <v>#N/A</v>
      </c>
      <c r="W70" s="84" t="str">
        <f>CONCATENATE("m'(",Q68,")=")</f>
        <v>m'(4.85)=</v>
      </c>
      <c r="X70" s="84" t="e">
        <f>(2*(X67^2)/24*V70)+(X69*Q67*WLS)</f>
        <v>#VALUE!</v>
      </c>
      <c r="Y70" s="84" t="str">
        <f>CONCATENATE("M(",Q67,")=")</f>
        <v>M(-)=</v>
      </c>
      <c r="Z70" s="84" t="e">
        <f>VLOOKUP(Q67,STN_TABLE,4,FALSE)</f>
        <v>#N/A</v>
      </c>
      <c r="AA70" t="str">
        <f>CONCATENATE("M(",Q68,")=")</f>
        <v>M(4.85)=</v>
      </c>
      <c r="AB70" t="e">
        <f>X70+Z70</f>
        <v>#VALUE!</v>
      </c>
      <c r="AE70" s="89">
        <f>SUM(AE68:AE69)</f>
        <v>14.59</v>
      </c>
      <c r="AG70" s="89">
        <f>SUM(AG68:AG69)</f>
        <v>22.48</v>
      </c>
      <c r="AH70" s="84" t="str">
        <f>CONCATENATE("m'(",AD69,")=")</f>
        <v>m'(4.85)=</v>
      </c>
      <c r="AI70" s="84">
        <f>(2*(AI67^2)/6*AG70)+(AI69*AD68*WLS)</f>
        <v>220.07973333333325</v>
      </c>
      <c r="AJ70" s="84" t="str">
        <f>CONCATENATE("M(",AD68,")=")</f>
        <v>M(4)=</v>
      </c>
      <c r="AK70" s="84">
        <f>VLOOKUP(AD68,STN_TABLE,4,FALSE)</f>
        <v>315.84333333333331</v>
      </c>
      <c r="AL70" t="str">
        <f>CONCATENATE("M(",AD69,")=")</f>
        <v>M(4.85)=</v>
      </c>
      <c r="AM70">
        <f>AI70+AK70</f>
        <v>535.9230666666665</v>
      </c>
      <c r="AO70" s="82" t="str">
        <f>AA70</f>
        <v>M(4.85)=</v>
      </c>
      <c r="AP70" s="82" t="e">
        <f>VLOOKUP(AO70,Rise_Results,2,FALSE)</f>
        <v>#N/A</v>
      </c>
      <c r="AQ70" s="82" t="e">
        <f>N70</f>
        <v>#N/A</v>
      </c>
      <c r="AR70" s="82" t="e">
        <f>IF(OR(AB69&lt;=0,AB70&lt;=0),1/0,AB70)</f>
        <v>#VALUE!</v>
      </c>
      <c r="AS70" s="82">
        <f>AM70</f>
        <v>535.9230666666665</v>
      </c>
      <c r="AT70">
        <f>IFERROR(AP70,IFERROR(AQ70,IFERROR(AR70,AS70)))</f>
        <v>535.9230666666665</v>
      </c>
      <c r="AU70" s="81"/>
    </row>
    <row r="71" spans="1:47" x14ac:dyDescent="0.25">
      <c r="A71" s="101">
        <f>A66+1</f>
        <v>6</v>
      </c>
      <c r="B71" s="101">
        <f t="shared" si="11"/>
        <v>2</v>
      </c>
      <c r="O71" s="101">
        <f>O66+1</f>
        <v>8</v>
      </c>
      <c r="P71" s="101">
        <f t="shared" si="23"/>
        <v>4</v>
      </c>
      <c r="AU71" s="81"/>
    </row>
    <row r="72" spans="1:47" x14ac:dyDescent="0.25">
      <c r="A72" s="84">
        <f>A71+1</f>
        <v>7</v>
      </c>
      <c r="B72" s="84">
        <f t="shared" si="11"/>
        <v>3</v>
      </c>
      <c r="C72" s="79">
        <f t="shared" ref="C72" si="25">IF(C73=B74,IF(C74-C73=C73-B73,B73,IF(C74-C73=C73-B72,B72,"#NA")),IF(C73=B73,IF(C74-C73=C73-B72,B72,IF(C74-C73=C73-B71,B71,"#NA")),"#NA"))</f>
        <v>3</v>
      </c>
      <c r="D72" s="68">
        <f>VLOOKUP(C72,STN_TABLE,2,FALSE)</f>
        <v>5.28</v>
      </c>
      <c r="E72" s="102">
        <v>1</v>
      </c>
      <c r="F72" s="68">
        <f>D72*E72</f>
        <v>5.28</v>
      </c>
      <c r="G72" s="69">
        <f>C72</f>
        <v>3</v>
      </c>
      <c r="H72" s="69">
        <f>F72*G72</f>
        <v>15.84</v>
      </c>
      <c r="I72" s="6" t="s">
        <v>93</v>
      </c>
      <c r="J72" s="70">
        <f>IF(OR(D72=0,D73=0,D74=0),"#NA",IF(AND(C74-C73=C73-C72,C73&lt;&gt;C74,C72&lt;&gt;C73,C72&lt;&gt;C74,D74&lt;&gt;0,OR(D72&lt;&gt;0,D73&lt;&gt;0)),WLS*(C74-C73),"#NA"))</f>
        <v>2</v>
      </c>
      <c r="O72" s="99">
        <f>O71+1</f>
        <v>9</v>
      </c>
      <c r="P72" s="99">
        <f t="shared" si="23"/>
        <v>4.8499999999999996</v>
      </c>
      <c r="Q72" s="68">
        <f>IF(OR(P74-P73=P73-P72,P75-P73=P73-P72),P72,IF(OR(P74-P73=P73-P71,P75-P73=P73-P71),P71,"-"))</f>
        <v>4</v>
      </c>
      <c r="R72" s="69">
        <f>VLOOKUP(Q72,STN_TABLE,2,FALSE)</f>
        <v>6.7</v>
      </c>
      <c r="S72" s="69">
        <v>5</v>
      </c>
      <c r="T72" s="68">
        <f>R72*S72</f>
        <v>33.5</v>
      </c>
      <c r="U72" s="79">
        <v>3</v>
      </c>
      <c r="V72" s="68">
        <f>R72*U72</f>
        <v>20.100000000000001</v>
      </c>
      <c r="W72" s="6" t="s">
        <v>93</v>
      </c>
      <c r="X72" s="70">
        <f>IF(AND(Q74-Q73=Q73-Q72,NOT(AND(Q72=0,Q73=0)),NOT(AND(Q73=0,Q74=0))),WLS*(Q74-Q73),"#NA")</f>
        <v>2</v>
      </c>
      <c r="AD72" s="93"/>
      <c r="AH72" s="6" t="s">
        <v>93</v>
      </c>
      <c r="AI72" s="70">
        <f>WLS*(AD74-AD73)</f>
        <v>0.30000000000000071</v>
      </c>
      <c r="AU72" s="81"/>
    </row>
    <row r="73" spans="1:47" x14ac:dyDescent="0.25">
      <c r="A73" s="84">
        <f>A72+1</f>
        <v>8</v>
      </c>
      <c r="B73" s="84">
        <f t="shared" si="11"/>
        <v>4</v>
      </c>
      <c r="C73" s="80">
        <f t="shared" ref="C73" si="26">IF(OR(B75-B74=B74-B73,B75-B74=B74-B72,B75-B74=B74-B71),B74,IF(OR(B75-B73=B73-B72,B75-B73=B73-B71),B73,IF(B75-B72=B72-B71,B72,"#NA")))</f>
        <v>4</v>
      </c>
      <c r="D73" s="76">
        <f>VLOOKUP(C73,STN_TABLE,2,FALSE)</f>
        <v>6.7</v>
      </c>
      <c r="E73" s="81">
        <v>4</v>
      </c>
      <c r="F73" s="76">
        <f>D73*E73</f>
        <v>26.8</v>
      </c>
      <c r="G73" s="77">
        <f>C73</f>
        <v>4</v>
      </c>
      <c r="H73" s="77">
        <f>F73*G73</f>
        <v>107.2</v>
      </c>
      <c r="I73" s="495" t="s">
        <v>97</v>
      </c>
      <c r="J73" s="496"/>
      <c r="K73" s="78" t="s">
        <v>98</v>
      </c>
      <c r="L73" s="78"/>
      <c r="M73" s="7" t="s">
        <v>99</v>
      </c>
      <c r="N73" s="7"/>
      <c r="O73" s="99">
        <f>O72+1</f>
        <v>10</v>
      </c>
      <c r="P73" s="99">
        <f t="shared" si="23"/>
        <v>5</v>
      </c>
      <c r="Q73" s="76">
        <f>P73</f>
        <v>5</v>
      </c>
      <c r="R73" s="77">
        <f>VLOOKUP(Q73,STN_TABLE,2,FALSE)</f>
        <v>8.0399999999999991</v>
      </c>
      <c r="S73" s="77">
        <v>8</v>
      </c>
      <c r="T73" s="76">
        <f>R73*S73</f>
        <v>64.319999999999993</v>
      </c>
      <c r="U73" s="80">
        <v>10</v>
      </c>
      <c r="V73" s="76">
        <f>R73*U73</f>
        <v>80.399999999999991</v>
      </c>
      <c r="W73" s="496" t="s">
        <v>97</v>
      </c>
      <c r="X73" s="496"/>
      <c r="Y73" s="496" t="s">
        <v>98</v>
      </c>
      <c r="Z73" s="496"/>
      <c r="AA73" s="494" t="s">
        <v>99</v>
      </c>
      <c r="AB73" s="494"/>
      <c r="AC73" s="99">
        <f>AC68+1</f>
        <v>9</v>
      </c>
      <c r="AD73" s="95">
        <f>VLOOKUP(AC73,STN_TABLE_2,2,FALSE)</f>
        <v>4.8499999999999996</v>
      </c>
      <c r="AE73" s="68">
        <f>VLOOKUP(AD73,STN_TABLE,2,FALSE)</f>
        <v>7.89</v>
      </c>
      <c r="AF73" s="68">
        <v>1</v>
      </c>
      <c r="AG73" s="69">
        <f>AE73*AF73</f>
        <v>7.89</v>
      </c>
      <c r="AH73" s="496" t="s">
        <v>97</v>
      </c>
      <c r="AI73" s="496"/>
      <c r="AJ73" s="496" t="s">
        <v>98</v>
      </c>
      <c r="AK73" s="496"/>
      <c r="AL73" s="494" t="s">
        <v>99</v>
      </c>
      <c r="AM73" s="494"/>
      <c r="AP73" s="86" t="s">
        <v>112</v>
      </c>
      <c r="AQ73" s="89" t="s">
        <v>113</v>
      </c>
      <c r="AR73" s="89" t="s">
        <v>114</v>
      </c>
      <c r="AS73" s="89" t="s">
        <v>115</v>
      </c>
      <c r="AU73" s="81"/>
    </row>
    <row r="74" spans="1:47" x14ac:dyDescent="0.25">
      <c r="A74" s="84">
        <f>A73+1</f>
        <v>9</v>
      </c>
      <c r="B74" s="84">
        <f t="shared" ref="B74:B105" si="27">VLOOKUP(A74,STN_TABLE_2,2,FALSE)</f>
        <v>4.8499999999999996</v>
      </c>
      <c r="C74" s="88">
        <f t="shared" ref="C74" si="28">B75</f>
        <v>5</v>
      </c>
      <c r="D74" s="82">
        <f>VLOOKUP(C74,STN_TABLE,2,FALSE)</f>
        <v>8.0399999999999991</v>
      </c>
      <c r="E74" s="92">
        <v>1</v>
      </c>
      <c r="F74" s="82">
        <f>D74*E74</f>
        <v>8.0399999999999991</v>
      </c>
      <c r="G74" s="83">
        <f>C74</f>
        <v>5</v>
      </c>
      <c r="H74" s="83">
        <f>F74*G74</f>
        <v>40.199999999999996</v>
      </c>
      <c r="I74" s="84" t="str">
        <f>CONCATENATE("a'(",C74,")=")</f>
        <v>a'(5)=</v>
      </c>
      <c r="J74" s="84">
        <f>2*J72/3*F75</f>
        <v>53.493333333333325</v>
      </c>
      <c r="K74" s="84" t="str">
        <f>CONCATENATE("A(",C72,")=")</f>
        <v>A(3)=</v>
      </c>
      <c r="L74" s="84">
        <f>VLOOKUP(C72,STN_TABLE,3,FALSE)</f>
        <v>41.463333333333331</v>
      </c>
      <c r="M74" t="str">
        <f>CONCATENATE("A(",C74,")=")</f>
        <v>A(5)=</v>
      </c>
      <c r="N74">
        <f>J74+L74</f>
        <v>94.956666666666649</v>
      </c>
      <c r="O74" s="99">
        <f>O73+1</f>
        <v>11</v>
      </c>
      <c r="P74" s="99">
        <f t="shared" si="23"/>
        <v>6</v>
      </c>
      <c r="Q74" s="82">
        <f>IF(P74-P73=P73-P72,P74,IF(P75-P73=P73-P72,P75,IF(P74-P73=P73-P71,P74,IF(P75-P73=P73-P71,P75,"-"))))</f>
        <v>6</v>
      </c>
      <c r="R74" s="83">
        <f>VLOOKUP(Q74,STN_TABLE,2,FALSE)</f>
        <v>8.94</v>
      </c>
      <c r="S74" s="83">
        <v>-1</v>
      </c>
      <c r="T74" s="82">
        <f>R74*S74</f>
        <v>-8.94</v>
      </c>
      <c r="U74" s="88">
        <v>-1</v>
      </c>
      <c r="V74" s="82">
        <f>R74*U74</f>
        <v>-8.94</v>
      </c>
      <c r="W74" s="84" t="str">
        <f>CONCATENATE("a'(",Q73,")=")</f>
        <v>a'(5)=</v>
      </c>
      <c r="X74" s="84">
        <f>2*X72/12*T75</f>
        <v>29.626666666666665</v>
      </c>
      <c r="Y74" s="84" t="str">
        <f>CONCATENATE("A(",Q72,")=")</f>
        <v>A(4)=</v>
      </c>
      <c r="Z74" s="84">
        <f>VLOOKUP(Q72,STN_TABLE,3,FALSE)</f>
        <v>65.173333333333318</v>
      </c>
      <c r="AA74" t="str">
        <f>CONCATENATE("A(",Q73,")=")</f>
        <v>A(5)=</v>
      </c>
      <c r="AB74">
        <f>X74+Z74</f>
        <v>94.799999999999983</v>
      </c>
      <c r="AC74" s="99">
        <f>AC73+1</f>
        <v>10</v>
      </c>
      <c r="AD74" s="100">
        <f>VLOOKUP(AC74,STN_TABLE_2,2,FALSE)</f>
        <v>5</v>
      </c>
      <c r="AE74" s="82">
        <f>VLOOKUP(AD74,STN_TABLE,2,FALSE)</f>
        <v>8.0399999999999991</v>
      </c>
      <c r="AF74" s="82">
        <v>2</v>
      </c>
      <c r="AG74" s="83">
        <f>AE74*AF74</f>
        <v>16.079999999999998</v>
      </c>
      <c r="AH74" s="84" t="str">
        <f>CONCATENATE("a'(",AD74,")=")</f>
        <v>a'(5)=</v>
      </c>
      <c r="AI74" s="84">
        <f>2*AI72/2*AE75</f>
        <v>4.7790000000000115</v>
      </c>
      <c r="AJ74" s="84" t="str">
        <f>CONCATENATE("A(",AD73,")=")</f>
        <v>A(4.85)=</v>
      </c>
      <c r="AK74" s="84">
        <f>VLOOKUP(AD73,STN_TABLE,3,FALSE)</f>
        <v>89.976333333333315</v>
      </c>
      <c r="AL74" t="str">
        <f>CONCATENATE("A(",AD74,")=")</f>
        <v>A(5)=</v>
      </c>
      <c r="AM74">
        <f>AI74+AK74</f>
        <v>94.755333333333326</v>
      </c>
      <c r="AO74" s="68" t="str">
        <f>AA74</f>
        <v>A(5)=</v>
      </c>
      <c r="AP74" s="68" t="e">
        <f>VLOOKUP(AO74,Rise_Results,2,FALSE)</f>
        <v>#N/A</v>
      </c>
      <c r="AQ74" s="76">
        <f>N74</f>
        <v>94.956666666666649</v>
      </c>
      <c r="AR74" s="76">
        <f>IF(OR(AB74&lt;=0,AB75&lt;=0),1/0,AB74)</f>
        <v>94.799999999999983</v>
      </c>
      <c r="AS74" s="76">
        <f>AM74</f>
        <v>94.755333333333326</v>
      </c>
      <c r="AT74">
        <f>IFERROR(AP74,IFERROR(AQ74,IFERROR(AR74,AS74)))</f>
        <v>94.956666666666649</v>
      </c>
      <c r="AU74" s="81"/>
    </row>
    <row r="75" spans="1:47" x14ac:dyDescent="0.25">
      <c r="A75" s="84">
        <f>A74+1</f>
        <v>10</v>
      </c>
      <c r="B75" s="84">
        <f t="shared" si="27"/>
        <v>5</v>
      </c>
      <c r="F75" s="82">
        <f>SUM(F72:F74)</f>
        <v>40.119999999999997</v>
      </c>
      <c r="H75" s="82">
        <f>SUM(H72:H74)</f>
        <v>163.24</v>
      </c>
      <c r="I75" s="84" t="str">
        <f>CONCATENATE("m'(",C74,")=")</f>
        <v>m'(5)=</v>
      </c>
      <c r="J75" s="84">
        <f>2*(J72*(WLS))/3*H75</f>
        <v>435.30666666666667</v>
      </c>
      <c r="K75" s="84" t="str">
        <f>CONCATENATE("M(",C72,")=")</f>
        <v>M(3)=</v>
      </c>
      <c r="L75" s="84">
        <f>VLOOKUP(C72,STN_TABLE,4,FALSE)</f>
        <v>148.63333333333333</v>
      </c>
      <c r="M75" t="str">
        <f>CONCATENATE("M(",C74,")=")</f>
        <v>M(5)=</v>
      </c>
      <c r="N75">
        <f>J75+L75</f>
        <v>583.94000000000005</v>
      </c>
      <c r="O75" s="99">
        <f>O74+1</f>
        <v>12</v>
      </c>
      <c r="P75" s="99">
        <f t="shared" si="23"/>
        <v>6.5</v>
      </c>
      <c r="T75" s="89">
        <f>SUM(T72:T74)</f>
        <v>88.88</v>
      </c>
      <c r="V75" s="82">
        <f>SUM(V72:V74)</f>
        <v>91.56</v>
      </c>
      <c r="W75" s="84" t="str">
        <f>CONCATENATE("m'(",Q73,")=")</f>
        <v>m'(5)=</v>
      </c>
      <c r="X75" s="84">
        <f>(2*(X72^2)/24*V75)+(X74*Q72*WLS)</f>
        <v>267.5333333333333</v>
      </c>
      <c r="Y75" s="84" t="str">
        <f>CONCATENATE("M(",Q72,")=")</f>
        <v>M(4)=</v>
      </c>
      <c r="Z75" s="84">
        <f>VLOOKUP(Q72,STN_TABLE,4,FALSE)</f>
        <v>315.84333333333331</v>
      </c>
      <c r="AA75" t="str">
        <f>CONCATENATE("M(",Q73,")=")</f>
        <v>M(5)=</v>
      </c>
      <c r="AB75">
        <f>X75+Z75</f>
        <v>583.37666666666655</v>
      </c>
      <c r="AE75" s="89">
        <f>SUM(AE73:AE74)</f>
        <v>15.93</v>
      </c>
      <c r="AG75" s="89">
        <f>SUM(AG73:AG74)</f>
        <v>23.97</v>
      </c>
      <c r="AH75" s="84" t="str">
        <f>CONCATENATE("m'(",AD74,")=")</f>
        <v>m'(5)=</v>
      </c>
      <c r="AI75" s="84">
        <f>(2*(AI72^2)/6*AG75)+(AI74*AD73*WLS)</f>
        <v>47.075400000000116</v>
      </c>
      <c r="AJ75" s="84" t="str">
        <f>CONCATENATE("M(",AD73,")=")</f>
        <v>M(4.85)=</v>
      </c>
      <c r="AK75" s="84">
        <f>VLOOKUP(AD73,STN_TABLE,4,FALSE)</f>
        <v>535.9230666666665</v>
      </c>
      <c r="AL75" t="str">
        <f>CONCATENATE("M(",AD74,")=")</f>
        <v>M(5)=</v>
      </c>
      <c r="AM75">
        <f>AI75+AK75</f>
        <v>582.99846666666667</v>
      </c>
      <c r="AO75" s="82" t="str">
        <f>AA75</f>
        <v>M(5)=</v>
      </c>
      <c r="AP75" s="82" t="e">
        <f>VLOOKUP(AO75,Rise_Results,2,FALSE)</f>
        <v>#N/A</v>
      </c>
      <c r="AQ75" s="82">
        <f>N75</f>
        <v>583.94000000000005</v>
      </c>
      <c r="AR75" s="82">
        <f>IF(OR(AB74&lt;=0,AB75&lt;=0),1/0,AB75)</f>
        <v>583.37666666666655</v>
      </c>
      <c r="AS75" s="82">
        <f>AM75</f>
        <v>582.99846666666667</v>
      </c>
      <c r="AT75">
        <f>IFERROR(AP75,IFERROR(AQ75,IFERROR(AR75,AS75)))</f>
        <v>583.94000000000005</v>
      </c>
      <c r="AU75" s="81"/>
    </row>
    <row r="76" spans="1:47" x14ac:dyDescent="0.25">
      <c r="A76" s="101">
        <f>A71+1</f>
        <v>7</v>
      </c>
      <c r="B76" s="101">
        <f t="shared" si="27"/>
        <v>3</v>
      </c>
      <c r="O76" s="101">
        <f>O71+1</f>
        <v>9</v>
      </c>
      <c r="P76" s="101">
        <f t="shared" si="23"/>
        <v>4.8499999999999996</v>
      </c>
      <c r="AU76" s="81"/>
    </row>
    <row r="77" spans="1:47" x14ac:dyDescent="0.25">
      <c r="A77" s="84">
        <f>A76+1</f>
        <v>8</v>
      </c>
      <c r="B77" s="84">
        <f t="shared" si="27"/>
        <v>4</v>
      </c>
      <c r="C77" s="79">
        <f t="shared" ref="C77" si="29">IF(C78=B79,IF(C79-C78=C78-B78,B78,IF(C79-C78=C78-B77,B77,"#NA")),IF(C78=B78,IF(C79-C78=C78-B77,B77,IF(C79-C78=C78-B76,B76,"#NA")),"#NA"))</f>
        <v>4</v>
      </c>
      <c r="D77" s="68">
        <f>VLOOKUP(C77,STN_TABLE,2,FALSE)</f>
        <v>6.7</v>
      </c>
      <c r="E77" s="102">
        <v>1</v>
      </c>
      <c r="F77" s="68">
        <f>D77*E77</f>
        <v>6.7</v>
      </c>
      <c r="G77" s="69">
        <f>C77</f>
        <v>4</v>
      </c>
      <c r="H77" s="69">
        <f>F77*G77</f>
        <v>26.8</v>
      </c>
      <c r="I77" s="6" t="s">
        <v>93</v>
      </c>
      <c r="J77" s="70">
        <f>IF(OR(D77=0,D78=0,D79=0),"#NA",IF(AND(C79-C78=C78-C77,C78&lt;&gt;C79,C77&lt;&gt;C78,C77&lt;&gt;C79,D79&lt;&gt;0,OR(D77&lt;&gt;0,D78&lt;&gt;0)),WLS*(C79-C78),"#NA"))</f>
        <v>2</v>
      </c>
      <c r="O77" s="99">
        <f>O76+1</f>
        <v>10</v>
      </c>
      <c r="P77" s="99">
        <f t="shared" si="23"/>
        <v>5</v>
      </c>
      <c r="Q77" s="68" t="e">
        <f>IF(OR(P79-P78=P78-P77,P80-P78=P78-P77),P77,IF(OR(P79-P78=P78-P76,P80-P78=P78-P76),P76,"-"))</f>
        <v>#VALUE!</v>
      </c>
      <c r="R77" s="69" t="e">
        <f>VLOOKUP(Q77,STN_TABLE,2,FALSE)</f>
        <v>#VALUE!</v>
      </c>
      <c r="S77" s="69">
        <v>5</v>
      </c>
      <c r="T77" s="68" t="e">
        <f>R77*S77</f>
        <v>#VALUE!</v>
      </c>
      <c r="U77" s="79">
        <v>3</v>
      </c>
      <c r="V77" s="68" t="e">
        <f>R77*U77</f>
        <v>#VALUE!</v>
      </c>
      <c r="W77" s="6" t="s">
        <v>93</v>
      </c>
      <c r="X77" s="70" t="e">
        <f>IF(AND(Q79-Q78=Q78-Q77,NOT(AND(Q77=0,Q78=0)),NOT(AND(Q78=0,Q79=0))),WLS*(Q79-Q78),"#NA")</f>
        <v>#VALUE!</v>
      </c>
      <c r="AD77" s="93"/>
      <c r="AH77" s="6" t="s">
        <v>93</v>
      </c>
      <c r="AI77" s="70">
        <f>WLS*(AD79-AD78)</f>
        <v>2</v>
      </c>
      <c r="AU77" s="81"/>
    </row>
    <row r="78" spans="1:47" x14ac:dyDescent="0.25">
      <c r="A78" s="84">
        <f>A77+1</f>
        <v>9</v>
      </c>
      <c r="B78" s="84">
        <f t="shared" si="27"/>
        <v>4.8499999999999996</v>
      </c>
      <c r="C78" s="80">
        <f t="shared" ref="C78" si="30">IF(OR(B80-B79=B79-B78,B80-B79=B79-B77,B80-B79=B79-B76),B79,IF(OR(B80-B78=B78-B77,B80-B78=B78-B76),B78,IF(B80-B77=B77-B76,B77,"#NA")))</f>
        <v>5</v>
      </c>
      <c r="D78" s="76">
        <f>VLOOKUP(C78,STN_TABLE,2,FALSE)</f>
        <v>8.0399999999999991</v>
      </c>
      <c r="E78" s="81">
        <v>4</v>
      </c>
      <c r="F78" s="76">
        <f>D78*E78</f>
        <v>32.159999999999997</v>
      </c>
      <c r="G78" s="77">
        <f>C78</f>
        <v>5</v>
      </c>
      <c r="H78" s="77">
        <f>F78*G78</f>
        <v>160.79999999999998</v>
      </c>
      <c r="I78" s="495" t="s">
        <v>97</v>
      </c>
      <c r="J78" s="496"/>
      <c r="K78" s="78" t="s">
        <v>98</v>
      </c>
      <c r="L78" s="78"/>
      <c r="M78" s="7" t="s">
        <v>99</v>
      </c>
      <c r="N78" s="7"/>
      <c r="O78" s="99">
        <f>O77+1</f>
        <v>11</v>
      </c>
      <c r="P78" s="99">
        <f t="shared" si="23"/>
        <v>6</v>
      </c>
      <c r="Q78" s="76">
        <f>P78</f>
        <v>6</v>
      </c>
      <c r="R78" s="77">
        <f>VLOOKUP(Q78,STN_TABLE,2,FALSE)</f>
        <v>8.94</v>
      </c>
      <c r="S78" s="77">
        <v>8</v>
      </c>
      <c r="T78" s="76">
        <f>R78*S78</f>
        <v>71.52</v>
      </c>
      <c r="U78" s="80">
        <v>10</v>
      </c>
      <c r="V78" s="76">
        <f>R78*U78</f>
        <v>89.399999999999991</v>
      </c>
      <c r="W78" s="496" t="s">
        <v>97</v>
      </c>
      <c r="X78" s="496"/>
      <c r="Y78" s="496" t="s">
        <v>98</v>
      </c>
      <c r="Z78" s="496"/>
      <c r="AA78" s="494" t="s">
        <v>99</v>
      </c>
      <c r="AB78" s="494"/>
      <c r="AC78" s="99">
        <f>AC73+1</f>
        <v>10</v>
      </c>
      <c r="AD78" s="95">
        <f>VLOOKUP(AC78,STN_TABLE_2,2,FALSE)</f>
        <v>5</v>
      </c>
      <c r="AE78" s="68">
        <f>VLOOKUP(AD78,STN_TABLE,2,FALSE)</f>
        <v>8.0399999999999991</v>
      </c>
      <c r="AF78" s="68">
        <v>1</v>
      </c>
      <c r="AG78" s="69">
        <f>AE78*AF78</f>
        <v>8.0399999999999991</v>
      </c>
      <c r="AH78" s="496" t="s">
        <v>97</v>
      </c>
      <c r="AI78" s="496"/>
      <c r="AJ78" s="496" t="s">
        <v>98</v>
      </c>
      <c r="AK78" s="496"/>
      <c r="AL78" s="494" t="s">
        <v>99</v>
      </c>
      <c r="AM78" s="494"/>
      <c r="AP78" s="86" t="s">
        <v>112</v>
      </c>
      <c r="AQ78" s="89" t="s">
        <v>113</v>
      </c>
      <c r="AR78" s="89" t="s">
        <v>114</v>
      </c>
      <c r="AS78" s="89" t="s">
        <v>115</v>
      </c>
      <c r="AU78" s="81"/>
    </row>
    <row r="79" spans="1:47" x14ac:dyDescent="0.25">
      <c r="A79" s="84">
        <f>A78+1</f>
        <v>10</v>
      </c>
      <c r="B79" s="84">
        <f t="shared" si="27"/>
        <v>5</v>
      </c>
      <c r="C79" s="88">
        <f t="shared" ref="C79" si="31">B80</f>
        <v>6</v>
      </c>
      <c r="D79" s="82">
        <f>VLOOKUP(C79,STN_TABLE,2,FALSE)</f>
        <v>8.94</v>
      </c>
      <c r="E79" s="92">
        <v>1</v>
      </c>
      <c r="F79" s="82">
        <f>D79*E79</f>
        <v>8.94</v>
      </c>
      <c r="G79" s="83">
        <f>C79</f>
        <v>6</v>
      </c>
      <c r="H79" s="83">
        <f>F79*G79</f>
        <v>53.64</v>
      </c>
      <c r="I79" s="84" t="str">
        <f>CONCATENATE("a'(",C79,")=")</f>
        <v>a'(6)=</v>
      </c>
      <c r="J79" s="84">
        <f>2*J77/3*F80</f>
        <v>63.733333333333327</v>
      </c>
      <c r="K79" s="84" t="str">
        <f>CONCATENATE("A(",C77,")=")</f>
        <v>A(4)=</v>
      </c>
      <c r="L79" s="84">
        <f>VLOOKUP(C77,STN_TABLE,3,FALSE)</f>
        <v>65.173333333333318</v>
      </c>
      <c r="M79" t="str">
        <f>CONCATENATE("A(",C79,")=")</f>
        <v>A(6)=</v>
      </c>
      <c r="N79">
        <f>J79+L79</f>
        <v>128.90666666666664</v>
      </c>
      <c r="O79" s="99">
        <f>O78+1</f>
        <v>12</v>
      </c>
      <c r="P79" s="99">
        <f t="shared" si="23"/>
        <v>6.5</v>
      </c>
      <c r="Q79" s="82" t="e">
        <f>IF(P79-P78=P78-P77,P79,IF(P80-P78=P78-P77,P80,IF(P79-P78=P78-P76,P79,IF(P80-P78=P78-P76,P80,"-"))))</f>
        <v>#VALUE!</v>
      </c>
      <c r="R79" s="83" t="e">
        <f>VLOOKUP(Q79,STN_TABLE,2,FALSE)</f>
        <v>#VALUE!</v>
      </c>
      <c r="S79" s="83">
        <v>-1</v>
      </c>
      <c r="T79" s="82" t="e">
        <f>R79*S79</f>
        <v>#VALUE!</v>
      </c>
      <c r="U79" s="88">
        <v>-1</v>
      </c>
      <c r="V79" s="82" t="e">
        <f>R79*U79</f>
        <v>#VALUE!</v>
      </c>
      <c r="W79" s="84" t="str">
        <f>CONCATENATE("a'(",Q78,")=")</f>
        <v>a'(6)=</v>
      </c>
      <c r="X79" s="84" t="e">
        <f>2*X77/12*T80</f>
        <v>#VALUE!</v>
      </c>
      <c r="Y79" s="84" t="e">
        <f>CONCATENATE("A(",Q77,")=")</f>
        <v>#VALUE!</v>
      </c>
      <c r="Z79" s="84" t="e">
        <f>VLOOKUP(Q77,STN_TABLE,3,FALSE)</f>
        <v>#VALUE!</v>
      </c>
      <c r="AA79" t="str">
        <f>CONCATENATE("A(",Q78,")=")</f>
        <v>A(6)=</v>
      </c>
      <c r="AB79" t="e">
        <f>X79+Z79</f>
        <v>#VALUE!</v>
      </c>
      <c r="AC79" s="99">
        <f>AC78+1</f>
        <v>11</v>
      </c>
      <c r="AD79" s="100">
        <f>VLOOKUP(AC79,STN_TABLE_2,2,FALSE)</f>
        <v>6</v>
      </c>
      <c r="AE79" s="82">
        <f>VLOOKUP(AD79,STN_TABLE,2,FALSE)</f>
        <v>8.94</v>
      </c>
      <c r="AF79" s="82">
        <v>2</v>
      </c>
      <c r="AG79" s="83">
        <f>AE79*AF79</f>
        <v>17.88</v>
      </c>
      <c r="AH79" s="84" t="str">
        <f>CONCATENATE("a'(",AD79,")=")</f>
        <v>a'(6)=</v>
      </c>
      <c r="AI79" s="84">
        <f>2*AI77/2*AE80</f>
        <v>33.959999999999994</v>
      </c>
      <c r="AJ79" s="84" t="str">
        <f>CONCATENATE("A(",AD78,")=")</f>
        <v>A(5)=</v>
      </c>
      <c r="AK79" s="84">
        <f>VLOOKUP(AD78,STN_TABLE,3,FALSE)</f>
        <v>94.956666666666649</v>
      </c>
      <c r="AL79" t="str">
        <f>CONCATENATE("A(",AD79,")=")</f>
        <v>A(6)=</v>
      </c>
      <c r="AM79">
        <f>AI79+AK79</f>
        <v>128.91666666666663</v>
      </c>
      <c r="AO79" s="68" t="str">
        <f>AA79</f>
        <v>A(6)=</v>
      </c>
      <c r="AP79" s="68" t="e">
        <f>VLOOKUP(AO79,Rise_Results,2,FALSE)</f>
        <v>#N/A</v>
      </c>
      <c r="AQ79" s="76">
        <f>N79</f>
        <v>128.90666666666664</v>
      </c>
      <c r="AR79" s="76" t="e">
        <f>IF(OR(AB79&lt;=0,AB80&lt;=0),1/0,AB79)</f>
        <v>#VALUE!</v>
      </c>
      <c r="AS79" s="76">
        <f>AM79</f>
        <v>128.91666666666663</v>
      </c>
      <c r="AT79">
        <f>IFERROR(AP79,IFERROR(AQ79,IFERROR(AR79,AS79)))</f>
        <v>128.90666666666664</v>
      </c>
      <c r="AU79" s="81"/>
    </row>
    <row r="80" spans="1:47" x14ac:dyDescent="0.25">
      <c r="A80" s="84">
        <f>A79+1</f>
        <v>11</v>
      </c>
      <c r="B80" s="84">
        <f t="shared" si="27"/>
        <v>6</v>
      </c>
      <c r="F80" s="82">
        <f>SUM(F77:F79)</f>
        <v>47.8</v>
      </c>
      <c r="H80" s="82">
        <f>SUM(H77:H79)</f>
        <v>241.24</v>
      </c>
      <c r="I80" s="84" t="str">
        <f>CONCATENATE("m'(",C79,")=")</f>
        <v>m'(6)=</v>
      </c>
      <c r="J80" s="84">
        <f>2*(J77*(WLS))/3*H80</f>
        <v>643.30666666666662</v>
      </c>
      <c r="K80" s="84" t="str">
        <f>CONCATENATE("M(",C77,")=")</f>
        <v>M(4)=</v>
      </c>
      <c r="L80" s="84">
        <f>VLOOKUP(C77,STN_TABLE,4,FALSE)</f>
        <v>315.84333333333331</v>
      </c>
      <c r="M80" t="str">
        <f>CONCATENATE("M(",C79,")=")</f>
        <v>M(6)=</v>
      </c>
      <c r="N80">
        <f>J80+L80</f>
        <v>959.14999999999986</v>
      </c>
      <c r="O80" s="99">
        <f>O79+1</f>
        <v>13</v>
      </c>
      <c r="P80" s="99" t="str">
        <f t="shared" si="23"/>
        <v xml:space="preserve">  </v>
      </c>
      <c r="T80" s="89" t="e">
        <f>SUM(T77:T79)</f>
        <v>#VALUE!</v>
      </c>
      <c r="V80" s="82" t="e">
        <f>SUM(V77:V79)</f>
        <v>#VALUE!</v>
      </c>
      <c r="W80" s="84" t="str">
        <f>CONCATENATE("m'(",Q78,")=")</f>
        <v>m'(6)=</v>
      </c>
      <c r="X80" s="84" t="e">
        <f>(2*(X77^2)/24*V80)+(X79*Q77*WLS)</f>
        <v>#VALUE!</v>
      </c>
      <c r="Y80" s="84" t="e">
        <f>CONCATENATE("M(",Q77,")=")</f>
        <v>#VALUE!</v>
      </c>
      <c r="Z80" s="84" t="e">
        <f>VLOOKUP(Q77,STN_TABLE,4,FALSE)</f>
        <v>#VALUE!</v>
      </c>
      <c r="AA80" t="str">
        <f>CONCATENATE("M(",Q78,")=")</f>
        <v>M(6)=</v>
      </c>
      <c r="AB80" t="e">
        <f>X80+Z80</f>
        <v>#VALUE!</v>
      </c>
      <c r="AE80" s="89">
        <f>SUM(AE78:AE79)</f>
        <v>16.979999999999997</v>
      </c>
      <c r="AG80" s="89">
        <f>SUM(AG78:AG79)</f>
        <v>25.919999999999998</v>
      </c>
      <c r="AH80" s="84" t="str">
        <f>CONCATENATE("m'(",AD79,")=")</f>
        <v>m'(6)=</v>
      </c>
      <c r="AI80" s="84">
        <f>(2*(AI77^2)/6*AG80)+(AI79*AD78*WLS)</f>
        <v>374.15999999999991</v>
      </c>
      <c r="AJ80" s="84" t="str">
        <f>CONCATENATE("M(",AD78,")=")</f>
        <v>M(5)=</v>
      </c>
      <c r="AK80" s="84">
        <f>VLOOKUP(AD78,STN_TABLE,4,FALSE)</f>
        <v>583.94000000000005</v>
      </c>
      <c r="AL80" t="str">
        <f>CONCATENATE("M(",AD79,")=")</f>
        <v>M(6)=</v>
      </c>
      <c r="AM80">
        <f>AI80+AK80</f>
        <v>958.09999999999991</v>
      </c>
      <c r="AO80" s="82" t="str">
        <f>AA80</f>
        <v>M(6)=</v>
      </c>
      <c r="AP80" s="82" t="e">
        <f>VLOOKUP(AO80,Rise_Results,2,FALSE)</f>
        <v>#N/A</v>
      </c>
      <c r="AQ80" s="82">
        <f>N80</f>
        <v>959.14999999999986</v>
      </c>
      <c r="AR80" s="82" t="e">
        <f>IF(OR(AB79&lt;=0,AB80&lt;=0),1/0,AB80)</f>
        <v>#VALUE!</v>
      </c>
      <c r="AS80" s="82">
        <f>AM80</f>
        <v>958.09999999999991</v>
      </c>
      <c r="AT80">
        <f>IFERROR(AP80,IFERROR(AQ80,IFERROR(AR80,AS80)))</f>
        <v>959.14999999999986</v>
      </c>
      <c r="AU80" s="81"/>
    </row>
    <row r="81" spans="1:47" x14ac:dyDescent="0.25">
      <c r="A81" s="101">
        <f>A76+1</f>
        <v>8</v>
      </c>
      <c r="B81" s="101">
        <f t="shared" si="27"/>
        <v>4</v>
      </c>
      <c r="O81" s="101">
        <f>O76+1</f>
        <v>10</v>
      </c>
      <c r="P81" s="101">
        <f t="shared" si="23"/>
        <v>5</v>
      </c>
      <c r="AU81" s="81"/>
    </row>
    <row r="82" spans="1:47" x14ac:dyDescent="0.25">
      <c r="A82" s="84">
        <f>A81+1</f>
        <v>9</v>
      </c>
      <c r="B82" s="84">
        <f t="shared" si="27"/>
        <v>4.8499999999999996</v>
      </c>
      <c r="C82" s="79" t="str">
        <f t="shared" ref="C82" si="32">IF(C83=B84,IF(C84-C83=C83-B83,B83,IF(C84-C83=C83-B82,B82,"#NA")),IF(C83=B83,IF(C84-C83=C83-B82,B82,IF(C84-C83=C83-B81,B81,"#NA")),"#NA"))</f>
        <v>#NA</v>
      </c>
      <c r="D82" s="68" t="e">
        <f>VLOOKUP(C82,STN_TABLE,2,FALSE)</f>
        <v>#N/A</v>
      </c>
      <c r="E82" s="102">
        <v>1</v>
      </c>
      <c r="F82" s="68" t="e">
        <f>D82*E82</f>
        <v>#N/A</v>
      </c>
      <c r="G82" s="69" t="str">
        <f>C82</f>
        <v>#NA</v>
      </c>
      <c r="H82" s="69" t="e">
        <f>F82*G82</f>
        <v>#N/A</v>
      </c>
      <c r="I82" s="6" t="s">
        <v>93</v>
      </c>
      <c r="J82" s="70" t="e">
        <f>IF(OR(D82=0,D83=0,D84=0),"#NA",IF(AND(C84-C83=C83-C82,C83&lt;&gt;C84,C82&lt;&gt;C83,C82&lt;&gt;C84,D84&lt;&gt;0,OR(D82&lt;&gt;0,D83&lt;&gt;0)),WLS*(C84-C83),"#NA"))</f>
        <v>#N/A</v>
      </c>
      <c r="O82" s="99">
        <f>O81+1</f>
        <v>11</v>
      </c>
      <c r="P82" s="99">
        <f t="shared" si="23"/>
        <v>6</v>
      </c>
      <c r="Q82" s="68" t="e">
        <f>IF(OR(P84-P83=P83-P82,P85-P83=P83-P82),P82,IF(OR(P84-P83=P83-P81,P85-P83=P83-P81),P81,"-"))</f>
        <v>#VALUE!</v>
      </c>
      <c r="R82" s="69" t="e">
        <f>VLOOKUP(Q82,STN_TABLE,2,FALSE)</f>
        <v>#VALUE!</v>
      </c>
      <c r="S82" s="69">
        <v>5</v>
      </c>
      <c r="T82" s="68" t="e">
        <f>R82*S82</f>
        <v>#VALUE!</v>
      </c>
      <c r="U82" s="79">
        <v>3</v>
      </c>
      <c r="V82" s="68" t="e">
        <f>R82*U82</f>
        <v>#VALUE!</v>
      </c>
      <c r="W82" s="6" t="s">
        <v>93</v>
      </c>
      <c r="X82" s="70" t="e">
        <f>IF(AND(Q84-Q83=Q83-Q82,NOT(AND(Q82=0,Q83=0)),NOT(AND(Q83=0,Q84=0))),WLS*(Q84-Q83),"#NA")</f>
        <v>#VALUE!</v>
      </c>
      <c r="AD82" s="93"/>
      <c r="AH82" s="6" t="s">
        <v>93</v>
      </c>
      <c r="AI82" s="70">
        <f>WLS*(AD84-AD83)</f>
        <v>1</v>
      </c>
      <c r="AU82" s="81"/>
    </row>
    <row r="83" spans="1:47" x14ac:dyDescent="0.25">
      <c r="A83" s="84">
        <f>A82+1</f>
        <v>10</v>
      </c>
      <c r="B83" s="84">
        <f t="shared" si="27"/>
        <v>5</v>
      </c>
      <c r="C83" s="80" t="str">
        <f t="shared" ref="C83" si="33">IF(OR(B85-B84=B84-B83,B85-B84=B84-B82,B85-B84=B84-B81),B84,IF(OR(B85-B83=B83-B82,B85-B83=B83-B81),B83,IF(B85-B82=B82-B81,B82,"#NA")))</f>
        <v>#NA</v>
      </c>
      <c r="D83" s="76" t="e">
        <f>VLOOKUP(C83,STN_TABLE,2,FALSE)</f>
        <v>#N/A</v>
      </c>
      <c r="E83" s="81">
        <v>4</v>
      </c>
      <c r="F83" s="76" t="e">
        <f>D83*E83</f>
        <v>#N/A</v>
      </c>
      <c r="G83" s="77" t="str">
        <f>C83</f>
        <v>#NA</v>
      </c>
      <c r="H83" s="77" t="e">
        <f>F83*G83</f>
        <v>#N/A</v>
      </c>
      <c r="I83" s="495" t="s">
        <v>97</v>
      </c>
      <c r="J83" s="496"/>
      <c r="K83" s="78" t="s">
        <v>98</v>
      </c>
      <c r="L83" s="78"/>
      <c r="M83" s="7" t="s">
        <v>99</v>
      </c>
      <c r="N83" s="7"/>
      <c r="O83" s="99">
        <f>O82+1</f>
        <v>12</v>
      </c>
      <c r="P83" s="99">
        <f t="shared" si="23"/>
        <v>6.5</v>
      </c>
      <c r="Q83" s="76">
        <f>P83</f>
        <v>6.5</v>
      </c>
      <c r="R83" s="77">
        <f>VLOOKUP(Q83,STN_TABLE,2,FALSE)</f>
        <v>9.3000000000000007</v>
      </c>
      <c r="S83" s="77">
        <v>8</v>
      </c>
      <c r="T83" s="76">
        <f>R83*S83</f>
        <v>74.400000000000006</v>
      </c>
      <c r="U83" s="80">
        <v>10</v>
      </c>
      <c r="V83" s="76">
        <f>R83*U83</f>
        <v>93</v>
      </c>
      <c r="W83" s="496" t="s">
        <v>97</v>
      </c>
      <c r="X83" s="496"/>
      <c r="Y83" s="496" t="s">
        <v>98</v>
      </c>
      <c r="Z83" s="496"/>
      <c r="AA83" s="494" t="s">
        <v>99</v>
      </c>
      <c r="AB83" s="494"/>
      <c r="AC83" s="99">
        <f>AC78+1</f>
        <v>11</v>
      </c>
      <c r="AD83" s="95">
        <f>VLOOKUP(AC83,STN_TABLE_2,2,FALSE)</f>
        <v>6</v>
      </c>
      <c r="AE83" s="68">
        <f>VLOOKUP(AD83,STN_TABLE,2,FALSE)</f>
        <v>8.94</v>
      </c>
      <c r="AF83" s="68">
        <v>1</v>
      </c>
      <c r="AG83" s="69">
        <f>AE83*AF83</f>
        <v>8.94</v>
      </c>
      <c r="AH83" s="496" t="s">
        <v>97</v>
      </c>
      <c r="AI83" s="496"/>
      <c r="AJ83" s="496" t="s">
        <v>98</v>
      </c>
      <c r="AK83" s="496"/>
      <c r="AL83" s="494" t="s">
        <v>99</v>
      </c>
      <c r="AM83" s="494"/>
      <c r="AP83" s="86" t="s">
        <v>112</v>
      </c>
      <c r="AQ83" s="89" t="s">
        <v>113</v>
      </c>
      <c r="AR83" s="89" t="s">
        <v>114</v>
      </c>
      <c r="AS83" s="89" t="s">
        <v>115</v>
      </c>
      <c r="AU83" s="81"/>
    </row>
    <row r="84" spans="1:47" x14ac:dyDescent="0.25">
      <c r="A84" s="84">
        <f>A83+1</f>
        <v>11</v>
      </c>
      <c r="B84" s="84">
        <f t="shared" si="27"/>
        <v>6</v>
      </c>
      <c r="C84" s="88">
        <f t="shared" ref="C84" si="34">B85</f>
        <v>6.5</v>
      </c>
      <c r="D84" s="82">
        <f>VLOOKUP(C84,STN_TABLE,2,FALSE)</f>
        <v>9.3000000000000007</v>
      </c>
      <c r="E84" s="92">
        <v>1</v>
      </c>
      <c r="F84" s="82">
        <f>D84*E84</f>
        <v>9.3000000000000007</v>
      </c>
      <c r="G84" s="83">
        <f>C84</f>
        <v>6.5</v>
      </c>
      <c r="H84" s="83">
        <f>F84*G84</f>
        <v>60.45</v>
      </c>
      <c r="I84" s="84" t="str">
        <f>CONCATENATE("a'(",C84,")=")</f>
        <v>a'(6.5)=</v>
      </c>
      <c r="J84" s="84" t="e">
        <f>2*J82/3*F85</f>
        <v>#N/A</v>
      </c>
      <c r="K84" s="84" t="str">
        <f>CONCATENATE("A(",C82,")=")</f>
        <v>A(#NA)=</v>
      </c>
      <c r="L84" s="84" t="e">
        <f>VLOOKUP(C82,STN_TABLE,3,FALSE)</f>
        <v>#N/A</v>
      </c>
      <c r="M84" t="str">
        <f>CONCATENATE("A(",C84,")=")</f>
        <v>A(6.5)=</v>
      </c>
      <c r="N84" t="e">
        <f>J84+L84</f>
        <v>#N/A</v>
      </c>
      <c r="O84" s="99">
        <f>O83+1</f>
        <v>13</v>
      </c>
      <c r="P84" s="99" t="str">
        <f t="shared" si="23"/>
        <v xml:space="preserve">  </v>
      </c>
      <c r="Q84" s="82" t="e">
        <f>IF(P84-P83=P83-P82,P84,IF(P85-P83=P83-P82,P85,IF(P84-P83=P83-P81,P84,IF(P85-P83=P83-P81,P85,"-"))))</f>
        <v>#VALUE!</v>
      </c>
      <c r="R84" s="83" t="e">
        <f>VLOOKUP(Q84,STN_TABLE,2,FALSE)</f>
        <v>#VALUE!</v>
      </c>
      <c r="S84" s="83">
        <v>-1</v>
      </c>
      <c r="T84" s="82" t="e">
        <f>R84*S84</f>
        <v>#VALUE!</v>
      </c>
      <c r="U84" s="88">
        <v>-1</v>
      </c>
      <c r="V84" s="82" t="e">
        <f>R84*U84</f>
        <v>#VALUE!</v>
      </c>
      <c r="W84" s="84" t="str">
        <f>CONCATENATE("a'(",Q83,")=")</f>
        <v>a'(6.5)=</v>
      </c>
      <c r="X84" s="84" t="e">
        <f>2*X82/12*T85</f>
        <v>#VALUE!</v>
      </c>
      <c r="Y84" s="84" t="e">
        <f>CONCATENATE("A(",Q82,")=")</f>
        <v>#VALUE!</v>
      </c>
      <c r="Z84" s="84" t="e">
        <f>VLOOKUP(Q82,STN_TABLE,3,FALSE)</f>
        <v>#VALUE!</v>
      </c>
      <c r="AA84" t="str">
        <f>CONCATENATE("A(",Q83,")=")</f>
        <v>A(6.5)=</v>
      </c>
      <c r="AB84" t="e">
        <f>X84+Z84</f>
        <v>#VALUE!</v>
      </c>
      <c r="AC84" s="99">
        <f>AC83+1</f>
        <v>12</v>
      </c>
      <c r="AD84" s="100">
        <f>VLOOKUP(AC84,STN_TABLE_2,2,FALSE)</f>
        <v>6.5</v>
      </c>
      <c r="AE84" s="82">
        <f>VLOOKUP(AD84,STN_TABLE,2,FALSE)</f>
        <v>9.3000000000000007</v>
      </c>
      <c r="AF84" s="82">
        <v>2</v>
      </c>
      <c r="AG84" s="83">
        <f>AE84*AF84</f>
        <v>18.600000000000001</v>
      </c>
      <c r="AH84" s="84" t="str">
        <f>CONCATENATE("a'(",AD84,")=")</f>
        <v>a'(6.5)=</v>
      </c>
      <c r="AI84" s="84">
        <f>2*AI82/2*AE85</f>
        <v>18.240000000000002</v>
      </c>
      <c r="AJ84" s="84" t="str">
        <f>CONCATENATE("A(",AD83,")=")</f>
        <v>A(6)=</v>
      </c>
      <c r="AK84" s="84">
        <f>VLOOKUP(AD83,STN_TABLE,3,FALSE)</f>
        <v>128.90666666666664</v>
      </c>
      <c r="AL84" t="str">
        <f>CONCATENATE("A(",AD84,")=")</f>
        <v>A(6.5)=</v>
      </c>
      <c r="AM84">
        <f>AI84+AK84</f>
        <v>147.14666666666665</v>
      </c>
      <c r="AO84" s="68" t="str">
        <f>AA84</f>
        <v>A(6.5)=</v>
      </c>
      <c r="AP84" s="68" t="e">
        <f>VLOOKUP(AO84,Rise_Results,2,FALSE)</f>
        <v>#N/A</v>
      </c>
      <c r="AQ84" s="76" t="e">
        <f>N84</f>
        <v>#N/A</v>
      </c>
      <c r="AR84" s="76" t="e">
        <f>IF(OR(AB84&lt;=0,AB85&lt;=0),1/0,AB84)</f>
        <v>#VALUE!</v>
      </c>
      <c r="AS84" s="76">
        <f>AM84</f>
        <v>147.14666666666665</v>
      </c>
      <c r="AT84">
        <f>IFERROR(AP84,IFERROR(AQ84,IFERROR(AR84,AS84)))</f>
        <v>147.14666666666665</v>
      </c>
      <c r="AU84" s="81"/>
    </row>
    <row r="85" spans="1:47" x14ac:dyDescent="0.25">
      <c r="A85" s="84">
        <f>A84+1</f>
        <v>12</v>
      </c>
      <c r="B85" s="84">
        <f t="shared" si="27"/>
        <v>6.5</v>
      </c>
      <c r="F85" s="82" t="e">
        <f>SUM(F82:F84)</f>
        <v>#N/A</v>
      </c>
      <c r="H85" s="82" t="e">
        <f>SUM(H82:H84)</f>
        <v>#N/A</v>
      </c>
      <c r="I85" s="84" t="str">
        <f>CONCATENATE("m'(",C84,")=")</f>
        <v>m'(6.5)=</v>
      </c>
      <c r="J85" s="84" t="e">
        <f>2*(J82*(WLS))/3*H85</f>
        <v>#N/A</v>
      </c>
      <c r="K85" s="84" t="str">
        <f>CONCATENATE("M(",C82,")=")</f>
        <v>M(#NA)=</v>
      </c>
      <c r="L85" s="84" t="e">
        <f>VLOOKUP(C82,STN_TABLE,4,FALSE)</f>
        <v>#N/A</v>
      </c>
      <c r="M85" t="str">
        <f>CONCATENATE("M(",C84,")=")</f>
        <v>M(6.5)=</v>
      </c>
      <c r="N85" t="e">
        <f>J85+L85</f>
        <v>#N/A</v>
      </c>
      <c r="O85" s="99">
        <f>O84+1</f>
        <v>14</v>
      </c>
      <c r="P85" s="99" t="str">
        <f t="shared" si="23"/>
        <v xml:space="preserve">  </v>
      </c>
      <c r="T85" s="89" t="e">
        <f>SUM(T82:T84)</f>
        <v>#VALUE!</v>
      </c>
      <c r="V85" s="82" t="e">
        <f>SUM(V82:V84)</f>
        <v>#VALUE!</v>
      </c>
      <c r="W85" s="84" t="str">
        <f>CONCATENATE("m'(",Q83,")=")</f>
        <v>m'(6.5)=</v>
      </c>
      <c r="X85" s="84" t="e">
        <f>(2*(X82^2)/24*V85)+(X84*Q82*WLS)</f>
        <v>#VALUE!</v>
      </c>
      <c r="Y85" s="84" t="e">
        <f>CONCATENATE("M(",Q82,")=")</f>
        <v>#VALUE!</v>
      </c>
      <c r="Z85" s="84" t="e">
        <f>VLOOKUP(Q82,STN_TABLE,4,FALSE)</f>
        <v>#VALUE!</v>
      </c>
      <c r="AA85" t="str">
        <f>CONCATENATE("M(",Q83,")=")</f>
        <v>M(6.5)=</v>
      </c>
      <c r="AB85" t="e">
        <f>X85+Z85</f>
        <v>#VALUE!</v>
      </c>
      <c r="AE85" s="89">
        <f>SUM(AE83:AE84)</f>
        <v>18.240000000000002</v>
      </c>
      <c r="AG85" s="89">
        <f>SUM(AG83:AG84)</f>
        <v>27.54</v>
      </c>
      <c r="AH85" s="84" t="str">
        <f>CONCATENATE("m'(",AD84,")=")</f>
        <v>m'(6.5)=</v>
      </c>
      <c r="AI85" s="84">
        <f>(2*(AI82^2)/6*AG85)+(AI84*AD83*WLS)</f>
        <v>228.06000000000003</v>
      </c>
      <c r="AJ85" s="84" t="str">
        <f>CONCATENATE("M(",AD83,")=")</f>
        <v>M(6)=</v>
      </c>
      <c r="AK85" s="84">
        <f>VLOOKUP(AD83,STN_TABLE,4,FALSE)</f>
        <v>959.14999999999986</v>
      </c>
      <c r="AL85" t="str">
        <f>CONCATENATE("M(",AD84,")=")</f>
        <v>M(6.5)=</v>
      </c>
      <c r="AM85">
        <f>AI85+AK85</f>
        <v>1187.2099999999998</v>
      </c>
      <c r="AO85" s="82" t="str">
        <f>AA85</f>
        <v>M(6.5)=</v>
      </c>
      <c r="AP85" s="82" t="e">
        <f>VLOOKUP(AO85,Rise_Results,2,FALSE)</f>
        <v>#N/A</v>
      </c>
      <c r="AQ85" s="82" t="e">
        <f>N85</f>
        <v>#N/A</v>
      </c>
      <c r="AR85" s="82" t="e">
        <f>IF(OR(AB84&lt;=0,AB85&lt;=0),1/0,AB85)</f>
        <v>#VALUE!</v>
      </c>
      <c r="AS85" s="82">
        <f>AM85</f>
        <v>1187.2099999999998</v>
      </c>
      <c r="AT85">
        <f>IFERROR(AP85,IFERROR(AQ85,IFERROR(AR85,AS85)))</f>
        <v>1187.2099999999998</v>
      </c>
      <c r="AU85" s="81"/>
    </row>
    <row r="86" spans="1:47" x14ac:dyDescent="0.25">
      <c r="A86" s="101">
        <f>A81+1</f>
        <v>9</v>
      </c>
      <c r="B86" s="101">
        <f t="shared" si="27"/>
        <v>4.8499999999999996</v>
      </c>
      <c r="O86" s="101">
        <f>O81+1</f>
        <v>11</v>
      </c>
      <c r="P86" s="101">
        <f t="shared" si="23"/>
        <v>6</v>
      </c>
      <c r="AU86" s="81"/>
    </row>
    <row r="87" spans="1:47" x14ac:dyDescent="0.25">
      <c r="A87" s="84">
        <f>A86+1</f>
        <v>10</v>
      </c>
      <c r="B87" s="84">
        <f t="shared" si="27"/>
        <v>5</v>
      </c>
      <c r="C87" s="79" t="e">
        <f t="shared" ref="C87" si="35">IF(C88=B89,IF(C89-C88=C88-B88,B88,IF(C89-C88=C88-B87,B87,"#NA")),IF(C88=B88,IF(C89-C88=C88-B87,B87,IF(C89-C88=C88-B86,B86,"#NA")),"#NA"))</f>
        <v>#VALUE!</v>
      </c>
      <c r="D87" s="68" t="e">
        <f>VLOOKUP(C87,STN_TABLE,2,FALSE)</f>
        <v>#VALUE!</v>
      </c>
      <c r="E87" s="102">
        <v>1</v>
      </c>
      <c r="F87" s="68" t="e">
        <f>D87*E87</f>
        <v>#VALUE!</v>
      </c>
      <c r="G87" s="69" t="e">
        <f>C87</f>
        <v>#VALUE!</v>
      </c>
      <c r="H87" s="69" t="e">
        <f>F87*G87</f>
        <v>#VALUE!</v>
      </c>
      <c r="I87" s="6" t="s">
        <v>93</v>
      </c>
      <c r="J87" s="70" t="e">
        <f>IF(OR(D87=0,D88=0,D89=0),"#NA",IF(AND(C89-C88=C88-C87,C88&lt;&gt;C89,C87&lt;&gt;C88,C87&lt;&gt;C89,D89&lt;&gt;0,OR(D87&lt;&gt;0,D88&lt;&gt;0)),WLS*(C89-C88),"#NA"))</f>
        <v>#VALUE!</v>
      </c>
      <c r="O87" s="99">
        <f>O86+1</f>
        <v>12</v>
      </c>
      <c r="P87" s="99">
        <f t="shared" si="23"/>
        <v>6.5</v>
      </c>
      <c r="Q87" s="68" t="e">
        <f>IF(OR(P89-P88=P88-P87,P90-P88=P88-P87),P87,IF(OR(P89-P88=P88-P86,P90-P88=P88-P86),P86,"-"))</f>
        <v>#VALUE!</v>
      </c>
      <c r="R87" s="69" t="e">
        <f>VLOOKUP(Q87,STN_TABLE,2,FALSE)</f>
        <v>#VALUE!</v>
      </c>
      <c r="S87" s="69">
        <v>5</v>
      </c>
      <c r="T87" s="68" t="e">
        <f>R87*S87</f>
        <v>#VALUE!</v>
      </c>
      <c r="U87" s="79">
        <v>3</v>
      </c>
      <c r="V87" s="68" t="e">
        <f>R87*U87</f>
        <v>#VALUE!</v>
      </c>
      <c r="W87" s="6" t="s">
        <v>93</v>
      </c>
      <c r="X87" s="70" t="e">
        <f>IF(AND(Q89-Q88=Q88-Q87,NOT(AND(Q87=0,Q88=0)),NOT(AND(Q88=0,Q89=0))),WLS*(Q89-Q88),"#NA")</f>
        <v>#VALUE!</v>
      </c>
      <c r="AD87" s="93"/>
      <c r="AH87" s="6" t="s">
        <v>93</v>
      </c>
      <c r="AI87" s="70" t="e">
        <f>WLS*(AD89-AD88)</f>
        <v>#VALUE!</v>
      </c>
      <c r="AU87" s="81"/>
    </row>
    <row r="88" spans="1:47" x14ac:dyDescent="0.25">
      <c r="A88" s="84">
        <f>A87+1</f>
        <v>11</v>
      </c>
      <c r="B88" s="84">
        <f t="shared" si="27"/>
        <v>6</v>
      </c>
      <c r="C88" s="80" t="e">
        <f t="shared" ref="C88" si="36">IF(OR(B90-B89=B89-B88,B90-B89=B89-B87,B90-B89=B89-B86),B89,IF(OR(B90-B88=B88-B87,B90-B88=B88-B86),B88,IF(B90-B87=B87-B86,B87,"#NA")))</f>
        <v>#VALUE!</v>
      </c>
      <c r="D88" s="76" t="e">
        <f>VLOOKUP(C88,STN_TABLE,2,FALSE)</f>
        <v>#VALUE!</v>
      </c>
      <c r="E88" s="81">
        <v>4</v>
      </c>
      <c r="F88" s="76" t="e">
        <f>D88*E88</f>
        <v>#VALUE!</v>
      </c>
      <c r="G88" s="77" t="e">
        <f>C88</f>
        <v>#VALUE!</v>
      </c>
      <c r="H88" s="77" t="e">
        <f>F88*G88</f>
        <v>#VALUE!</v>
      </c>
      <c r="I88" s="495" t="s">
        <v>97</v>
      </c>
      <c r="J88" s="496"/>
      <c r="K88" s="78" t="s">
        <v>98</v>
      </c>
      <c r="L88" s="78"/>
      <c r="M88" s="7" t="s">
        <v>99</v>
      </c>
      <c r="N88" s="7"/>
      <c r="O88" s="99">
        <f>O87+1</f>
        <v>13</v>
      </c>
      <c r="P88" s="99" t="str">
        <f t="shared" si="23"/>
        <v xml:space="preserve">  </v>
      </c>
      <c r="Q88" s="76" t="str">
        <f>P88</f>
        <v xml:space="preserve">  </v>
      </c>
      <c r="R88" s="77" t="str">
        <f>VLOOKUP(Q88,STN_TABLE,2,FALSE)</f>
        <v xml:space="preserve">  </v>
      </c>
      <c r="S88" s="77">
        <v>8</v>
      </c>
      <c r="T88" s="76" t="e">
        <f>R88*S88</f>
        <v>#VALUE!</v>
      </c>
      <c r="U88" s="80">
        <v>10</v>
      </c>
      <c r="V88" s="76" t="e">
        <f>R88*U88</f>
        <v>#VALUE!</v>
      </c>
      <c r="W88" s="496" t="s">
        <v>97</v>
      </c>
      <c r="X88" s="496"/>
      <c r="Y88" s="496" t="s">
        <v>98</v>
      </c>
      <c r="Z88" s="496"/>
      <c r="AA88" s="494" t="s">
        <v>99</v>
      </c>
      <c r="AB88" s="494"/>
      <c r="AC88" s="99">
        <f>AC83+1</f>
        <v>12</v>
      </c>
      <c r="AD88" s="95">
        <f>VLOOKUP(AC88,STN_TABLE_2,2,FALSE)</f>
        <v>6.5</v>
      </c>
      <c r="AE88" s="68">
        <f>VLOOKUP(AD88,STN_TABLE,2,FALSE)</f>
        <v>9.3000000000000007</v>
      </c>
      <c r="AF88" s="68">
        <v>1</v>
      </c>
      <c r="AG88" s="69">
        <f>AE88*AF88</f>
        <v>9.3000000000000007</v>
      </c>
      <c r="AH88" s="496" t="s">
        <v>97</v>
      </c>
      <c r="AI88" s="496"/>
      <c r="AJ88" s="496" t="s">
        <v>98</v>
      </c>
      <c r="AK88" s="496"/>
      <c r="AL88" s="494" t="s">
        <v>99</v>
      </c>
      <c r="AM88" s="494"/>
      <c r="AP88" s="86" t="s">
        <v>112</v>
      </c>
      <c r="AQ88" s="89" t="s">
        <v>113</v>
      </c>
      <c r="AR88" s="89" t="s">
        <v>114</v>
      </c>
      <c r="AS88" s="89" t="s">
        <v>115</v>
      </c>
      <c r="AU88" s="81"/>
    </row>
    <row r="89" spans="1:47" x14ac:dyDescent="0.25">
      <c r="A89" s="84">
        <f>A88+1</f>
        <v>12</v>
      </c>
      <c r="B89" s="84">
        <f t="shared" si="27"/>
        <v>6.5</v>
      </c>
      <c r="C89" s="88" t="str">
        <f t="shared" ref="C89" si="37">B90</f>
        <v xml:space="preserve">  </v>
      </c>
      <c r="D89" s="82" t="str">
        <f>VLOOKUP(C89,STN_TABLE,2,FALSE)</f>
        <v xml:space="preserve">  </v>
      </c>
      <c r="E89" s="92">
        <v>1</v>
      </c>
      <c r="F89" s="82" t="e">
        <f>D89*E89</f>
        <v>#VALUE!</v>
      </c>
      <c r="G89" s="83" t="str">
        <f>C89</f>
        <v xml:space="preserve">  </v>
      </c>
      <c r="H89" s="83" t="e">
        <f>F89*G89</f>
        <v>#VALUE!</v>
      </c>
      <c r="I89" s="84" t="str">
        <f>CONCATENATE("a'(",C89,")=")</f>
        <v>a'(  )=</v>
      </c>
      <c r="J89" s="84" t="e">
        <f>2*J87/3*F90</f>
        <v>#VALUE!</v>
      </c>
      <c r="K89" s="84" t="e">
        <f>CONCATENATE("A(",C87,")=")</f>
        <v>#VALUE!</v>
      </c>
      <c r="L89" s="84" t="e">
        <f>VLOOKUP(C87,STN_TABLE,3,FALSE)</f>
        <v>#VALUE!</v>
      </c>
      <c r="M89" t="str">
        <f>CONCATENATE("A(",C89,")=")</f>
        <v>A(  )=</v>
      </c>
      <c r="N89" t="e">
        <f>J89+L89</f>
        <v>#VALUE!</v>
      </c>
      <c r="O89" s="99">
        <f>O88+1</f>
        <v>14</v>
      </c>
      <c r="P89" s="99" t="str">
        <f t="shared" si="23"/>
        <v xml:space="preserve">  </v>
      </c>
      <c r="Q89" s="82" t="e">
        <f>IF(P89-P88=P88-P87,P89,IF(P90-P88=P88-P87,P90,IF(P89-P88=P88-P86,P89,IF(P90-P88=P88-P86,P90,"-"))))</f>
        <v>#VALUE!</v>
      </c>
      <c r="R89" s="83" t="e">
        <f>VLOOKUP(Q89,STN_TABLE,2,FALSE)</f>
        <v>#VALUE!</v>
      </c>
      <c r="S89" s="83">
        <v>-1</v>
      </c>
      <c r="T89" s="82" t="e">
        <f>R89*S89</f>
        <v>#VALUE!</v>
      </c>
      <c r="U89" s="88">
        <v>-1</v>
      </c>
      <c r="V89" s="82" t="e">
        <f>R89*U89</f>
        <v>#VALUE!</v>
      </c>
      <c r="W89" s="84" t="str">
        <f>CONCATENATE("a'(",Q88,")=")</f>
        <v>a'(  )=</v>
      </c>
      <c r="X89" s="84" t="e">
        <f>2*X87/12*T90</f>
        <v>#VALUE!</v>
      </c>
      <c r="Y89" s="84" t="e">
        <f>CONCATENATE("A(",Q87,")=")</f>
        <v>#VALUE!</v>
      </c>
      <c r="Z89" s="84" t="e">
        <f>VLOOKUP(Q87,STN_TABLE,3,FALSE)</f>
        <v>#VALUE!</v>
      </c>
      <c r="AA89" t="str">
        <f>CONCATENATE("A(",Q88,")=")</f>
        <v>A(  )=</v>
      </c>
      <c r="AB89" t="e">
        <f>X89+Z89</f>
        <v>#VALUE!</v>
      </c>
      <c r="AC89" s="99">
        <f>AC88+1</f>
        <v>13</v>
      </c>
      <c r="AD89" s="100" t="str">
        <f>VLOOKUP(AC89,STN_TABLE_2,2,FALSE)</f>
        <v xml:space="preserve">  </v>
      </c>
      <c r="AE89" s="82" t="str">
        <f>VLOOKUP(AD89,STN_TABLE,2,FALSE)</f>
        <v xml:space="preserve">  </v>
      </c>
      <c r="AF89" s="82">
        <v>2</v>
      </c>
      <c r="AG89" s="83" t="e">
        <f>AE89*AF89</f>
        <v>#VALUE!</v>
      </c>
      <c r="AH89" s="84" t="str">
        <f>CONCATENATE("a'(",AD89,")=")</f>
        <v>a'(  )=</v>
      </c>
      <c r="AI89" s="84" t="e">
        <f>2*AI87/2*AE90</f>
        <v>#VALUE!</v>
      </c>
      <c r="AJ89" s="84" t="str">
        <f>CONCATENATE("A(",AD88,")=")</f>
        <v>A(6.5)=</v>
      </c>
      <c r="AK89" s="84">
        <f>VLOOKUP(AD88,STN_TABLE,3,FALSE)</f>
        <v>147.14666666666665</v>
      </c>
      <c r="AL89" t="str">
        <f>CONCATENATE("A(",AD89,")=")</f>
        <v>A(  )=</v>
      </c>
      <c r="AM89" t="e">
        <f>AI89+AK89</f>
        <v>#VALUE!</v>
      </c>
      <c r="AO89" s="68" t="str">
        <f>AA89</f>
        <v>A(  )=</v>
      </c>
      <c r="AP89" s="68" t="e">
        <f>VLOOKUP(AO89,Rise_Results,2,FALSE)</f>
        <v>#N/A</v>
      </c>
      <c r="AQ89" s="76" t="e">
        <f>N89</f>
        <v>#VALUE!</v>
      </c>
      <c r="AR89" s="76" t="e">
        <f>IF(OR(AB89&lt;=0,AB90&lt;=0),1/0,AB89)</f>
        <v>#VALUE!</v>
      </c>
      <c r="AS89" s="76" t="e">
        <f>AM89</f>
        <v>#VALUE!</v>
      </c>
      <c r="AT89" t="e">
        <f>IFERROR(AP89,IFERROR(AQ89,IFERROR(AR89,AS89)))</f>
        <v>#VALUE!</v>
      </c>
      <c r="AU89" s="81"/>
    </row>
    <row r="90" spans="1:47" x14ac:dyDescent="0.25">
      <c r="A90" s="84">
        <f>A89+1</f>
        <v>13</v>
      </c>
      <c r="B90" s="84" t="str">
        <f t="shared" si="27"/>
        <v xml:space="preserve">  </v>
      </c>
      <c r="F90" s="82" t="e">
        <f>SUM(F87:F89)</f>
        <v>#VALUE!</v>
      </c>
      <c r="H90" s="82" t="e">
        <f>SUM(H87:H89)</f>
        <v>#VALUE!</v>
      </c>
      <c r="I90" s="84" t="str">
        <f>CONCATENATE("m'(",C89,")=")</f>
        <v>m'(  )=</v>
      </c>
      <c r="J90" s="84" t="e">
        <f>2*(J87*(WLS))/3*H90</f>
        <v>#VALUE!</v>
      </c>
      <c r="K90" s="84" t="e">
        <f>CONCATENATE("M(",C87,")=")</f>
        <v>#VALUE!</v>
      </c>
      <c r="L90" s="84" t="e">
        <f>VLOOKUP(C87,STN_TABLE,4,FALSE)</f>
        <v>#VALUE!</v>
      </c>
      <c r="M90" t="str">
        <f>CONCATENATE("M(",C89,")=")</f>
        <v>M(  )=</v>
      </c>
      <c r="N90" t="e">
        <f>J90+L90</f>
        <v>#VALUE!</v>
      </c>
      <c r="O90" s="99">
        <f>O89+1</f>
        <v>15</v>
      </c>
      <c r="P90" s="99" t="str">
        <f t="shared" si="23"/>
        <v xml:space="preserve">  </v>
      </c>
      <c r="T90" s="89" t="e">
        <f>SUM(T87:T89)</f>
        <v>#VALUE!</v>
      </c>
      <c r="V90" s="82" t="e">
        <f>SUM(V87:V89)</f>
        <v>#VALUE!</v>
      </c>
      <c r="W90" s="84" t="str">
        <f>CONCATENATE("m'(",Q88,")=")</f>
        <v>m'(  )=</v>
      </c>
      <c r="X90" s="84" t="e">
        <f>(2*(X87^2)/24*V90)+(X89*Q87*WLS)</f>
        <v>#VALUE!</v>
      </c>
      <c r="Y90" s="84" t="e">
        <f>CONCATENATE("M(",Q87,")=")</f>
        <v>#VALUE!</v>
      </c>
      <c r="Z90" s="84" t="e">
        <f>VLOOKUP(Q87,STN_TABLE,4,FALSE)</f>
        <v>#VALUE!</v>
      </c>
      <c r="AA90" t="str">
        <f>CONCATENATE("M(",Q88,")=")</f>
        <v>M(  )=</v>
      </c>
      <c r="AB90" t="e">
        <f>X90+Z90</f>
        <v>#VALUE!</v>
      </c>
      <c r="AE90" s="89">
        <f>SUM(AE88:AE89)</f>
        <v>9.3000000000000007</v>
      </c>
      <c r="AG90" s="89" t="e">
        <f>SUM(AG88:AG89)</f>
        <v>#VALUE!</v>
      </c>
      <c r="AH90" s="84" t="str">
        <f>CONCATENATE("m'(",AD89,")=")</f>
        <v>m'(  )=</v>
      </c>
      <c r="AI90" s="84" t="e">
        <f>(2*(AI87^2)/6*AG90)+(AI89*AD88*WLS)</f>
        <v>#VALUE!</v>
      </c>
      <c r="AJ90" s="84" t="str">
        <f>CONCATENATE("M(",AD88,")=")</f>
        <v>M(6.5)=</v>
      </c>
      <c r="AK90" s="84">
        <f>VLOOKUP(AD88,STN_TABLE,4,FALSE)</f>
        <v>1187.2099999999998</v>
      </c>
      <c r="AL90" t="str">
        <f>CONCATENATE("M(",AD89,")=")</f>
        <v>M(  )=</v>
      </c>
      <c r="AM90" t="e">
        <f>AI90+AK90</f>
        <v>#VALUE!</v>
      </c>
      <c r="AO90" s="82" t="str">
        <f>AA90</f>
        <v>M(  )=</v>
      </c>
      <c r="AP90" s="82" t="e">
        <f>VLOOKUP(AO90,Rise_Results,2,FALSE)</f>
        <v>#N/A</v>
      </c>
      <c r="AQ90" s="82" t="e">
        <f>N90</f>
        <v>#VALUE!</v>
      </c>
      <c r="AR90" s="82" t="e">
        <f>IF(OR(AB89&lt;=0,AB90&lt;=0),1/0,AB90)</f>
        <v>#VALUE!</v>
      </c>
      <c r="AS90" s="82" t="e">
        <f>AM90</f>
        <v>#VALUE!</v>
      </c>
      <c r="AT90" t="e">
        <f>IFERROR(AP90,IFERROR(AQ90,IFERROR(AR90,AS90)))</f>
        <v>#VALUE!</v>
      </c>
      <c r="AU90" s="81"/>
    </row>
    <row r="91" spans="1:47" x14ac:dyDescent="0.25">
      <c r="A91" s="101">
        <f>A86+1</f>
        <v>10</v>
      </c>
      <c r="B91" s="101">
        <f t="shared" si="27"/>
        <v>5</v>
      </c>
      <c r="O91" s="101">
        <f>O86+1</f>
        <v>12</v>
      </c>
      <c r="P91" s="101">
        <f t="shared" si="23"/>
        <v>6.5</v>
      </c>
      <c r="AU91" s="81"/>
    </row>
    <row r="92" spans="1:47" x14ac:dyDescent="0.25">
      <c r="A92" s="84">
        <f>A91+1</f>
        <v>11</v>
      </c>
      <c r="B92" s="84">
        <f t="shared" si="27"/>
        <v>6</v>
      </c>
      <c r="C92" s="79" t="e">
        <f t="shared" ref="C92" si="38">IF(C93=B94,IF(C94-C93=C93-B93,B93,IF(C94-C93=C93-B92,B92,"#NA")),IF(C93=B93,IF(C94-C93=C93-B92,B92,IF(C94-C93=C93-B91,B91,"#NA")),"#NA"))</f>
        <v>#VALUE!</v>
      </c>
      <c r="D92" s="68" t="e">
        <f>VLOOKUP(C92,STN_TABLE,2,FALSE)</f>
        <v>#VALUE!</v>
      </c>
      <c r="E92" s="102">
        <v>1</v>
      </c>
      <c r="F92" s="68" t="e">
        <f>D92*E92</f>
        <v>#VALUE!</v>
      </c>
      <c r="G92" s="69" t="e">
        <f>C92</f>
        <v>#VALUE!</v>
      </c>
      <c r="H92" s="69" t="e">
        <f>F92*G92</f>
        <v>#VALUE!</v>
      </c>
      <c r="I92" s="6" t="s">
        <v>93</v>
      </c>
      <c r="J92" s="70" t="e">
        <f>IF(OR(D92=0,D93=0,D94=0),"#NA",IF(AND(C94-C93=C93-C92,C93&lt;&gt;C94,C92&lt;&gt;C93,C92&lt;&gt;C94,D94&lt;&gt;0,OR(D92&lt;&gt;0,D93&lt;&gt;0)),WLS*(C94-C93),"#NA"))</f>
        <v>#VALUE!</v>
      </c>
      <c r="O92" s="99">
        <f>O91+1</f>
        <v>13</v>
      </c>
      <c r="P92" s="99" t="str">
        <f t="shared" si="23"/>
        <v xml:space="preserve">  </v>
      </c>
      <c r="Q92" s="68" t="e">
        <f>IF(OR(P94-P93=P93-P92,P95-P93=P93-P92),P92,IF(OR(P94-P93=P93-P91,P95-P93=P93-P91),P91,"-"))</f>
        <v>#VALUE!</v>
      </c>
      <c r="R92" s="69" t="e">
        <f>VLOOKUP(Q92,STN_TABLE,2,FALSE)</f>
        <v>#VALUE!</v>
      </c>
      <c r="S92" s="69">
        <v>5</v>
      </c>
      <c r="T92" s="68" t="e">
        <f>R92*S92</f>
        <v>#VALUE!</v>
      </c>
      <c r="U92" s="79">
        <v>3</v>
      </c>
      <c r="V92" s="68" t="e">
        <f>R92*U92</f>
        <v>#VALUE!</v>
      </c>
      <c r="W92" s="6" t="s">
        <v>93</v>
      </c>
      <c r="X92" s="70" t="e">
        <f>IF(AND(Q94-Q93=Q93-Q92,NOT(AND(Q92=0,Q93=0)),NOT(AND(Q93=0,Q94=0))),WLS*(Q94-Q93),"#NA")</f>
        <v>#VALUE!</v>
      </c>
      <c r="AD92" s="93"/>
      <c r="AH92" s="6" t="s">
        <v>93</v>
      </c>
      <c r="AI92" s="70" t="e">
        <f>WLS*(AD94-AD93)</f>
        <v>#VALUE!</v>
      </c>
      <c r="AU92" s="81"/>
    </row>
    <row r="93" spans="1:47" x14ac:dyDescent="0.25">
      <c r="A93" s="84">
        <f>A92+1</f>
        <v>12</v>
      </c>
      <c r="B93" s="84">
        <f t="shared" si="27"/>
        <v>6.5</v>
      </c>
      <c r="C93" s="80" t="e">
        <f t="shared" ref="C93" si="39">IF(OR(B95-B94=B94-B93,B95-B94=B94-B92,B95-B94=B94-B91),B94,IF(OR(B95-B93=B93-B92,B95-B93=B93-B91),B93,IF(B95-B92=B92-B91,B92,"#NA")))</f>
        <v>#VALUE!</v>
      </c>
      <c r="D93" s="76" t="e">
        <f>VLOOKUP(C93,STN_TABLE,2,FALSE)</f>
        <v>#VALUE!</v>
      </c>
      <c r="E93" s="81">
        <v>4</v>
      </c>
      <c r="F93" s="76" t="e">
        <f>D93*E93</f>
        <v>#VALUE!</v>
      </c>
      <c r="G93" s="77" t="e">
        <f>C93</f>
        <v>#VALUE!</v>
      </c>
      <c r="H93" s="77" t="e">
        <f>F93*G93</f>
        <v>#VALUE!</v>
      </c>
      <c r="I93" s="495" t="s">
        <v>97</v>
      </c>
      <c r="J93" s="496"/>
      <c r="K93" s="78" t="s">
        <v>98</v>
      </c>
      <c r="L93" s="78"/>
      <c r="M93" s="7" t="s">
        <v>99</v>
      </c>
      <c r="N93" s="7"/>
      <c r="O93" s="99">
        <f>O92+1</f>
        <v>14</v>
      </c>
      <c r="P93" s="99" t="str">
        <f t="shared" si="23"/>
        <v xml:space="preserve">  </v>
      </c>
      <c r="Q93" s="76" t="str">
        <f>P93</f>
        <v xml:space="preserve">  </v>
      </c>
      <c r="R93" s="77" t="str">
        <f>VLOOKUP(Q93,STN_TABLE,2,FALSE)</f>
        <v xml:space="preserve">  </v>
      </c>
      <c r="S93" s="77">
        <v>8</v>
      </c>
      <c r="T93" s="76" t="e">
        <f>R93*S93</f>
        <v>#VALUE!</v>
      </c>
      <c r="U93" s="80">
        <v>10</v>
      </c>
      <c r="V93" s="76" t="e">
        <f>R93*U93</f>
        <v>#VALUE!</v>
      </c>
      <c r="W93" s="496" t="s">
        <v>97</v>
      </c>
      <c r="X93" s="496"/>
      <c r="Y93" s="496" t="s">
        <v>98</v>
      </c>
      <c r="Z93" s="496"/>
      <c r="AA93" s="494" t="s">
        <v>99</v>
      </c>
      <c r="AB93" s="494"/>
      <c r="AC93" s="99">
        <f>AC88+1</f>
        <v>13</v>
      </c>
      <c r="AD93" s="95" t="str">
        <f>VLOOKUP(AC93,STN_TABLE_2,2,FALSE)</f>
        <v xml:space="preserve">  </v>
      </c>
      <c r="AE93" s="68" t="str">
        <f>VLOOKUP(AD93,STN_TABLE,2,FALSE)</f>
        <v xml:space="preserve">  </v>
      </c>
      <c r="AF93" s="68">
        <v>1</v>
      </c>
      <c r="AG93" s="69" t="e">
        <f>AE93*AF93</f>
        <v>#VALUE!</v>
      </c>
      <c r="AH93" s="496" t="s">
        <v>97</v>
      </c>
      <c r="AI93" s="496"/>
      <c r="AJ93" s="496" t="s">
        <v>98</v>
      </c>
      <c r="AK93" s="496"/>
      <c r="AL93" s="494" t="s">
        <v>99</v>
      </c>
      <c r="AM93" s="494"/>
      <c r="AP93" s="86" t="s">
        <v>112</v>
      </c>
      <c r="AQ93" s="89" t="s">
        <v>113</v>
      </c>
      <c r="AR93" s="89" t="s">
        <v>114</v>
      </c>
      <c r="AS93" s="89" t="s">
        <v>115</v>
      </c>
      <c r="AU93" s="81"/>
    </row>
    <row r="94" spans="1:47" x14ac:dyDescent="0.25">
      <c r="A94" s="84">
        <f>A93+1</f>
        <v>13</v>
      </c>
      <c r="B94" s="84" t="str">
        <f t="shared" si="27"/>
        <v xml:space="preserve">  </v>
      </c>
      <c r="C94" s="88" t="str">
        <f t="shared" ref="C94" si="40">B95</f>
        <v xml:space="preserve">  </v>
      </c>
      <c r="D94" s="82" t="str">
        <f>VLOOKUP(C94,STN_TABLE,2,FALSE)</f>
        <v xml:space="preserve">  </v>
      </c>
      <c r="E94" s="92">
        <v>1</v>
      </c>
      <c r="F94" s="82" t="e">
        <f>D94*E94</f>
        <v>#VALUE!</v>
      </c>
      <c r="G94" s="83" t="str">
        <f>C94</f>
        <v xml:space="preserve">  </v>
      </c>
      <c r="H94" s="83" t="e">
        <f>F94*G94</f>
        <v>#VALUE!</v>
      </c>
      <c r="I94" s="84" t="str">
        <f>CONCATENATE("a'(",C94,")=")</f>
        <v>a'(  )=</v>
      </c>
      <c r="J94" s="84" t="e">
        <f>2*J92/3*F95</f>
        <v>#VALUE!</v>
      </c>
      <c r="K94" s="84" t="e">
        <f>CONCATENATE("A(",C92,")=")</f>
        <v>#VALUE!</v>
      </c>
      <c r="L94" s="84" t="e">
        <f>VLOOKUP(C92,STN_TABLE,3,FALSE)</f>
        <v>#VALUE!</v>
      </c>
      <c r="M94" t="str">
        <f>CONCATENATE("A(",C94,")=")</f>
        <v>A(  )=</v>
      </c>
      <c r="N94" t="e">
        <f>J94+L94</f>
        <v>#VALUE!</v>
      </c>
      <c r="O94" s="99">
        <f>O93+1</f>
        <v>15</v>
      </c>
      <c r="P94" s="99" t="str">
        <f t="shared" si="23"/>
        <v xml:space="preserve">  </v>
      </c>
      <c r="Q94" s="82" t="e">
        <f>IF(P94-P93=P93-P92,P94,IF(P95-P93=P93-P92,P95,IF(P94-P93=P93-P91,P94,IF(P95-P93=P93-P91,P95,"-"))))</f>
        <v>#VALUE!</v>
      </c>
      <c r="R94" s="83" t="e">
        <f>VLOOKUP(Q94,STN_TABLE,2,FALSE)</f>
        <v>#VALUE!</v>
      </c>
      <c r="S94" s="83">
        <v>-1</v>
      </c>
      <c r="T94" s="82" t="e">
        <f>R94*S94</f>
        <v>#VALUE!</v>
      </c>
      <c r="U94" s="88">
        <v>-1</v>
      </c>
      <c r="V94" s="82" t="e">
        <f>R94*U94</f>
        <v>#VALUE!</v>
      </c>
      <c r="W94" s="84" t="str">
        <f>CONCATENATE("a'(",Q93,")=")</f>
        <v>a'(  )=</v>
      </c>
      <c r="X94" s="84" t="e">
        <f>2*X92/12*T95</f>
        <v>#VALUE!</v>
      </c>
      <c r="Y94" s="84" t="e">
        <f>CONCATENATE("A(",Q92,")=")</f>
        <v>#VALUE!</v>
      </c>
      <c r="Z94" s="84" t="e">
        <f>VLOOKUP(Q92,STN_TABLE,3,FALSE)</f>
        <v>#VALUE!</v>
      </c>
      <c r="AA94" t="str">
        <f>CONCATENATE("A(",Q93,")=")</f>
        <v>A(  )=</v>
      </c>
      <c r="AB94" t="e">
        <f>X94+Z94</f>
        <v>#VALUE!</v>
      </c>
      <c r="AC94" s="99">
        <f>AC93+1</f>
        <v>14</v>
      </c>
      <c r="AD94" s="100" t="str">
        <f>VLOOKUP(AC94,STN_TABLE_2,2,FALSE)</f>
        <v xml:space="preserve">  </v>
      </c>
      <c r="AE94" s="82" t="str">
        <f>VLOOKUP(AD94,STN_TABLE,2,FALSE)</f>
        <v xml:space="preserve">  </v>
      </c>
      <c r="AF94" s="82">
        <v>2</v>
      </c>
      <c r="AG94" s="83" t="e">
        <f>AE94*AF94</f>
        <v>#VALUE!</v>
      </c>
      <c r="AH94" s="84" t="str">
        <f>CONCATENATE("a'(",AD94,")=")</f>
        <v>a'(  )=</v>
      </c>
      <c r="AI94" s="84" t="e">
        <f>2*AI92/2*AE95</f>
        <v>#VALUE!</v>
      </c>
      <c r="AJ94" s="84" t="str">
        <f>CONCATENATE("A(",AD93,")=")</f>
        <v>A(  )=</v>
      </c>
      <c r="AK94" s="84" t="str">
        <f>VLOOKUP(AD93,STN_TABLE,3,FALSE)</f>
        <v xml:space="preserve"> </v>
      </c>
      <c r="AL94" t="str">
        <f>CONCATENATE("A(",AD94,")=")</f>
        <v>A(  )=</v>
      </c>
      <c r="AM94" t="e">
        <f>AI94+AK94</f>
        <v>#VALUE!</v>
      </c>
      <c r="AO94" s="68" t="str">
        <f>AA94</f>
        <v>A(  )=</v>
      </c>
      <c r="AP94" s="68" t="e">
        <f>VLOOKUP(AO94,Rise_Results,2,FALSE)</f>
        <v>#N/A</v>
      </c>
      <c r="AQ94" s="76" t="e">
        <f>N94</f>
        <v>#VALUE!</v>
      </c>
      <c r="AR94" s="76" t="e">
        <f>IF(OR(AB94&lt;=0,AB95&lt;=0),1/0,AB94)</f>
        <v>#VALUE!</v>
      </c>
      <c r="AS94" s="76" t="e">
        <f>AM94</f>
        <v>#VALUE!</v>
      </c>
      <c r="AT94" t="e">
        <f>IFERROR(AP94,IFERROR(AQ94,IFERROR(AR94,AS94)))</f>
        <v>#VALUE!</v>
      </c>
      <c r="AU94" s="81"/>
    </row>
    <row r="95" spans="1:47" x14ac:dyDescent="0.25">
      <c r="A95" s="84">
        <f>A94+1</f>
        <v>14</v>
      </c>
      <c r="B95" s="84" t="str">
        <f t="shared" si="27"/>
        <v xml:space="preserve">  </v>
      </c>
      <c r="F95" s="82" t="e">
        <f>SUM(F92:F94)</f>
        <v>#VALUE!</v>
      </c>
      <c r="H95" s="82" t="e">
        <f>SUM(H92:H94)</f>
        <v>#VALUE!</v>
      </c>
      <c r="I95" s="84" t="str">
        <f>CONCATENATE("m'(",C94,")=")</f>
        <v>m'(  )=</v>
      </c>
      <c r="J95" s="84" t="e">
        <f>2*(J92*(WLS))/3*H95</f>
        <v>#VALUE!</v>
      </c>
      <c r="K95" s="84" t="e">
        <f>CONCATENATE("M(",C92,")=")</f>
        <v>#VALUE!</v>
      </c>
      <c r="L95" s="84" t="e">
        <f>VLOOKUP(C92,STN_TABLE,4,FALSE)</f>
        <v>#VALUE!</v>
      </c>
      <c r="M95" t="str">
        <f>CONCATENATE("M(",C94,")=")</f>
        <v>M(  )=</v>
      </c>
      <c r="N95" t="e">
        <f>J95+L95</f>
        <v>#VALUE!</v>
      </c>
      <c r="O95" s="99">
        <f>O94+1</f>
        <v>16</v>
      </c>
      <c r="P95" s="99" t="str">
        <f t="shared" si="23"/>
        <v xml:space="preserve">  </v>
      </c>
      <c r="T95" s="89" t="e">
        <f>SUM(T92:T94)</f>
        <v>#VALUE!</v>
      </c>
      <c r="V95" s="82" t="e">
        <f>SUM(V92:V94)</f>
        <v>#VALUE!</v>
      </c>
      <c r="W95" s="84" t="str">
        <f>CONCATENATE("m'(",Q93,")=")</f>
        <v>m'(  )=</v>
      </c>
      <c r="X95" s="84" t="e">
        <f>(2*(X92^2)/24*V95)+(X94*Q92*WLS)</f>
        <v>#VALUE!</v>
      </c>
      <c r="Y95" s="84" t="e">
        <f>CONCATENATE("M(",Q92,")=")</f>
        <v>#VALUE!</v>
      </c>
      <c r="Z95" s="84" t="e">
        <f>VLOOKUP(Q92,STN_TABLE,4,FALSE)</f>
        <v>#VALUE!</v>
      </c>
      <c r="AA95" t="str">
        <f>CONCATENATE("M(",Q93,")=")</f>
        <v>M(  )=</v>
      </c>
      <c r="AB95" t="e">
        <f>X95+Z95</f>
        <v>#VALUE!</v>
      </c>
      <c r="AE95" s="89">
        <f>SUM(AE93:AE94)</f>
        <v>0</v>
      </c>
      <c r="AG95" s="89" t="e">
        <f>SUM(AG93:AG94)</f>
        <v>#VALUE!</v>
      </c>
      <c r="AH95" s="84" t="str">
        <f>CONCATENATE("m'(",AD94,")=")</f>
        <v>m'(  )=</v>
      </c>
      <c r="AI95" s="84" t="e">
        <f>(2*(AI92^2)/6*AG95)+(AI94*AD93*WLS)</f>
        <v>#VALUE!</v>
      </c>
      <c r="AJ95" s="84" t="str">
        <f>CONCATENATE("M(",AD93,")=")</f>
        <v>M(  )=</v>
      </c>
      <c r="AK95" s="84" t="str">
        <f>VLOOKUP(AD93,STN_TABLE,4,FALSE)</f>
        <v xml:space="preserve"> </v>
      </c>
      <c r="AL95" t="str">
        <f>CONCATENATE("M(",AD94,")=")</f>
        <v>M(  )=</v>
      </c>
      <c r="AM95" t="e">
        <f>AI95+AK95</f>
        <v>#VALUE!</v>
      </c>
      <c r="AO95" s="82" t="str">
        <f>AA95</f>
        <v>M(  )=</v>
      </c>
      <c r="AP95" s="82" t="e">
        <f>VLOOKUP(AO95,Rise_Results,2,FALSE)</f>
        <v>#N/A</v>
      </c>
      <c r="AQ95" s="82" t="e">
        <f>N95</f>
        <v>#VALUE!</v>
      </c>
      <c r="AR95" s="82" t="e">
        <f>IF(OR(AB94&lt;=0,AB95&lt;=0),1/0,AB95)</f>
        <v>#VALUE!</v>
      </c>
      <c r="AS95" s="82" t="e">
        <f>AM95</f>
        <v>#VALUE!</v>
      </c>
      <c r="AT95" t="e">
        <f>IFERROR(AP95,IFERROR(AQ95,IFERROR(AR95,AS95)))</f>
        <v>#VALUE!</v>
      </c>
      <c r="AU95" s="81"/>
    </row>
    <row r="96" spans="1:47" x14ac:dyDescent="0.25">
      <c r="A96" s="101">
        <f>A91+1</f>
        <v>11</v>
      </c>
      <c r="B96" s="101">
        <f t="shared" si="27"/>
        <v>6</v>
      </c>
      <c r="O96" s="101">
        <f>O91+1</f>
        <v>13</v>
      </c>
      <c r="P96" s="101" t="str">
        <f t="shared" si="23"/>
        <v xml:space="preserve">  </v>
      </c>
      <c r="AU96" s="81"/>
    </row>
    <row r="97" spans="1:47" x14ac:dyDescent="0.25">
      <c r="A97" s="84">
        <f>A96+1</f>
        <v>12</v>
      </c>
      <c r="B97" s="84">
        <f t="shared" si="27"/>
        <v>6.5</v>
      </c>
      <c r="C97" s="79" t="e">
        <f t="shared" ref="C97" si="41">IF(C98=B99,IF(C99-C98=C98-B98,B98,IF(C99-C98=C98-B97,B97,"#NA")),IF(C98=B98,IF(C99-C98=C98-B97,B97,IF(C99-C98=C98-B96,B96,"#NA")),"#NA"))</f>
        <v>#VALUE!</v>
      </c>
      <c r="D97" s="68" t="e">
        <f>VLOOKUP(C97,STN_TABLE,2,FALSE)</f>
        <v>#VALUE!</v>
      </c>
      <c r="E97" s="102">
        <v>1</v>
      </c>
      <c r="F97" s="68" t="e">
        <f>D97*E97</f>
        <v>#VALUE!</v>
      </c>
      <c r="G97" s="69" t="e">
        <f>C97</f>
        <v>#VALUE!</v>
      </c>
      <c r="H97" s="69" t="e">
        <f>F97*G97</f>
        <v>#VALUE!</v>
      </c>
      <c r="I97" s="6" t="s">
        <v>93</v>
      </c>
      <c r="J97" s="70" t="e">
        <f>IF(OR(D97=0,D98=0,D99=0),"#NA",IF(AND(C99-C98=C98-C97,C98&lt;&gt;C99,C97&lt;&gt;C98,C97&lt;&gt;C99,D99&lt;&gt;0,OR(D97&lt;&gt;0,D98&lt;&gt;0)),WLS*(C99-C98),"#NA"))</f>
        <v>#VALUE!</v>
      </c>
      <c r="O97" s="99">
        <f>O96+1</f>
        <v>14</v>
      </c>
      <c r="P97" s="99" t="str">
        <f t="shared" si="23"/>
        <v xml:space="preserve">  </v>
      </c>
      <c r="Q97" s="68" t="e">
        <f>IF(OR(P99-P98=P98-P97,P100-P98=P98-P97),P97,IF(OR(P99-P98=P98-P96,P100-P98=P98-P96),P96,"-"))</f>
        <v>#VALUE!</v>
      </c>
      <c r="R97" s="69" t="e">
        <f>VLOOKUP(Q97,STN_TABLE,2,FALSE)</f>
        <v>#VALUE!</v>
      </c>
      <c r="S97" s="69">
        <v>5</v>
      </c>
      <c r="T97" s="68" t="e">
        <f>R97*S97</f>
        <v>#VALUE!</v>
      </c>
      <c r="U97" s="79">
        <v>3</v>
      </c>
      <c r="V97" s="68" t="e">
        <f>R97*U97</f>
        <v>#VALUE!</v>
      </c>
      <c r="W97" s="6" t="s">
        <v>93</v>
      </c>
      <c r="X97" s="70" t="e">
        <f>IF(AND(Q99-Q98=Q98-Q97,NOT(AND(Q97=0,Q98=0)),NOT(AND(Q98=0,Q99=0))),WLS*(Q99-Q98),"#NA")</f>
        <v>#VALUE!</v>
      </c>
      <c r="AD97" s="93"/>
      <c r="AH97" s="6" t="s">
        <v>93</v>
      </c>
      <c r="AI97" s="70" t="e">
        <f>WLS*(AD99-AD98)</f>
        <v>#VALUE!</v>
      </c>
      <c r="AU97" s="81"/>
    </row>
    <row r="98" spans="1:47" x14ac:dyDescent="0.25">
      <c r="A98" s="84">
        <f>A97+1</f>
        <v>13</v>
      </c>
      <c r="B98" s="84" t="str">
        <f t="shared" si="27"/>
        <v xml:space="preserve">  </v>
      </c>
      <c r="C98" s="80" t="e">
        <f t="shared" ref="C98" si="42">IF(OR(B100-B99=B99-B98,B100-B99=B99-B97,B100-B99=B99-B96),B99,IF(OR(B100-B98=B98-B97,B100-B98=B98-B96),B98,IF(B100-B97=B97-B96,B97,"#NA")))</f>
        <v>#VALUE!</v>
      </c>
      <c r="D98" s="76" t="e">
        <f>VLOOKUP(C98,STN_TABLE,2,FALSE)</f>
        <v>#VALUE!</v>
      </c>
      <c r="E98" s="81">
        <v>4</v>
      </c>
      <c r="F98" s="76" t="e">
        <f>D98*E98</f>
        <v>#VALUE!</v>
      </c>
      <c r="G98" s="77" t="e">
        <f>C98</f>
        <v>#VALUE!</v>
      </c>
      <c r="H98" s="77" t="e">
        <f>F98*G98</f>
        <v>#VALUE!</v>
      </c>
      <c r="I98" s="495" t="s">
        <v>97</v>
      </c>
      <c r="J98" s="496"/>
      <c r="K98" s="78" t="s">
        <v>98</v>
      </c>
      <c r="L98" s="78"/>
      <c r="M98" s="7" t="s">
        <v>99</v>
      </c>
      <c r="N98" s="7"/>
      <c r="O98" s="99">
        <f>O97+1</f>
        <v>15</v>
      </c>
      <c r="P98" s="99" t="str">
        <f t="shared" si="23"/>
        <v xml:space="preserve">  </v>
      </c>
      <c r="Q98" s="76" t="str">
        <f>P98</f>
        <v xml:space="preserve">  </v>
      </c>
      <c r="R98" s="77" t="str">
        <f>VLOOKUP(Q98,STN_TABLE,2,FALSE)</f>
        <v xml:space="preserve">  </v>
      </c>
      <c r="S98" s="77">
        <v>8</v>
      </c>
      <c r="T98" s="76" t="e">
        <f>R98*S98</f>
        <v>#VALUE!</v>
      </c>
      <c r="U98" s="80">
        <v>10</v>
      </c>
      <c r="V98" s="76" t="e">
        <f>R98*U98</f>
        <v>#VALUE!</v>
      </c>
      <c r="W98" s="496" t="s">
        <v>97</v>
      </c>
      <c r="X98" s="496"/>
      <c r="Y98" s="496" t="s">
        <v>98</v>
      </c>
      <c r="Z98" s="496"/>
      <c r="AA98" s="494" t="s">
        <v>99</v>
      </c>
      <c r="AB98" s="494"/>
      <c r="AC98" s="99">
        <f>AC93+1</f>
        <v>14</v>
      </c>
      <c r="AD98" s="95" t="str">
        <f>VLOOKUP(AC98,STN_TABLE_2,2,FALSE)</f>
        <v xml:space="preserve">  </v>
      </c>
      <c r="AE98" s="68" t="str">
        <f>VLOOKUP(AD98,STN_TABLE,2,FALSE)</f>
        <v xml:space="preserve">  </v>
      </c>
      <c r="AF98" s="68">
        <v>1</v>
      </c>
      <c r="AG98" s="69" t="e">
        <f>AE98*AF98</f>
        <v>#VALUE!</v>
      </c>
      <c r="AH98" s="496" t="s">
        <v>97</v>
      </c>
      <c r="AI98" s="496"/>
      <c r="AJ98" s="496" t="s">
        <v>98</v>
      </c>
      <c r="AK98" s="496"/>
      <c r="AL98" s="494" t="s">
        <v>99</v>
      </c>
      <c r="AM98" s="494"/>
      <c r="AP98" s="86" t="s">
        <v>112</v>
      </c>
      <c r="AQ98" s="89" t="s">
        <v>113</v>
      </c>
      <c r="AR98" s="89" t="s">
        <v>114</v>
      </c>
      <c r="AS98" s="89" t="s">
        <v>115</v>
      </c>
      <c r="AU98" s="81"/>
    </row>
    <row r="99" spans="1:47" x14ac:dyDescent="0.25">
      <c r="A99" s="84">
        <f>A98+1</f>
        <v>14</v>
      </c>
      <c r="B99" s="84" t="str">
        <f t="shared" si="27"/>
        <v xml:space="preserve">  </v>
      </c>
      <c r="C99" s="88" t="str">
        <f t="shared" ref="C99" si="43">B100</f>
        <v xml:space="preserve">  </v>
      </c>
      <c r="D99" s="82" t="str">
        <f>VLOOKUP(C99,STN_TABLE,2,FALSE)</f>
        <v xml:space="preserve">  </v>
      </c>
      <c r="E99" s="92">
        <v>1</v>
      </c>
      <c r="F99" s="82" t="e">
        <f>D99*E99</f>
        <v>#VALUE!</v>
      </c>
      <c r="G99" s="83" t="str">
        <f>C99</f>
        <v xml:space="preserve">  </v>
      </c>
      <c r="H99" s="83" t="e">
        <f>F99*G99</f>
        <v>#VALUE!</v>
      </c>
      <c r="I99" s="84" t="str">
        <f>CONCATENATE("a'(",C99,")=")</f>
        <v>a'(  )=</v>
      </c>
      <c r="J99" s="84" t="e">
        <f>2*J97/3*F100</f>
        <v>#VALUE!</v>
      </c>
      <c r="K99" s="84" t="e">
        <f>CONCATENATE("A(",C97,")=")</f>
        <v>#VALUE!</v>
      </c>
      <c r="L99" s="84" t="e">
        <f>VLOOKUP(C97,STN_TABLE,3,FALSE)</f>
        <v>#VALUE!</v>
      </c>
      <c r="M99" t="str">
        <f>CONCATENATE("A(",C99,")=")</f>
        <v>A(  )=</v>
      </c>
      <c r="N99" t="e">
        <f>J99+L99</f>
        <v>#VALUE!</v>
      </c>
      <c r="O99" s="99">
        <f>O98+1</f>
        <v>16</v>
      </c>
      <c r="P99" s="99" t="str">
        <f t="shared" si="23"/>
        <v xml:space="preserve">  </v>
      </c>
      <c r="Q99" s="82" t="e">
        <f>IF(P99-P98=P98-P97,P99,IF(P100-P98=P98-P97,P100,IF(P99-P98=P98-P96,P99,IF(P100-P98=P98-P96,P100,"-"))))</f>
        <v>#VALUE!</v>
      </c>
      <c r="R99" s="83" t="e">
        <f>VLOOKUP(Q99,STN_TABLE,2,FALSE)</f>
        <v>#VALUE!</v>
      </c>
      <c r="S99" s="83">
        <v>-1</v>
      </c>
      <c r="T99" s="82" t="e">
        <f>R99*S99</f>
        <v>#VALUE!</v>
      </c>
      <c r="U99" s="88">
        <v>-1</v>
      </c>
      <c r="V99" s="82" t="e">
        <f>R99*U99</f>
        <v>#VALUE!</v>
      </c>
      <c r="W99" s="84" t="str">
        <f>CONCATENATE("a'(",Q98,")=")</f>
        <v>a'(  )=</v>
      </c>
      <c r="X99" s="84" t="e">
        <f>2*X97/12*T100</f>
        <v>#VALUE!</v>
      </c>
      <c r="Y99" s="84" t="e">
        <f>CONCATENATE("A(",Q97,")=")</f>
        <v>#VALUE!</v>
      </c>
      <c r="Z99" s="84" t="e">
        <f>VLOOKUP(Q97,STN_TABLE,3,FALSE)</f>
        <v>#VALUE!</v>
      </c>
      <c r="AA99" t="str">
        <f>CONCATENATE("A(",Q98,")=")</f>
        <v>A(  )=</v>
      </c>
      <c r="AB99" t="e">
        <f>X99+Z99</f>
        <v>#VALUE!</v>
      </c>
      <c r="AC99" s="99">
        <f>AC98+1</f>
        <v>15</v>
      </c>
      <c r="AD99" s="100" t="str">
        <f>VLOOKUP(AC99,STN_TABLE_2,2,FALSE)</f>
        <v xml:space="preserve">  </v>
      </c>
      <c r="AE99" s="82" t="str">
        <f>VLOOKUP(AD99,STN_TABLE,2,FALSE)</f>
        <v xml:space="preserve">  </v>
      </c>
      <c r="AF99" s="82">
        <v>2</v>
      </c>
      <c r="AG99" s="83" t="e">
        <f>AE99*AF99</f>
        <v>#VALUE!</v>
      </c>
      <c r="AH99" s="84" t="str">
        <f>CONCATENATE("a'(",AD99,")=")</f>
        <v>a'(  )=</v>
      </c>
      <c r="AI99" s="84" t="e">
        <f>2*AI97/2*AE100</f>
        <v>#VALUE!</v>
      </c>
      <c r="AJ99" s="84" t="str">
        <f>CONCATENATE("A(",AD98,")=")</f>
        <v>A(  )=</v>
      </c>
      <c r="AK99" s="84" t="str">
        <f>VLOOKUP(AD98,STN_TABLE,3,FALSE)</f>
        <v xml:space="preserve"> </v>
      </c>
      <c r="AL99" t="str">
        <f>CONCATENATE("A(",AD99,")=")</f>
        <v>A(  )=</v>
      </c>
      <c r="AM99" t="e">
        <f>AI99+AK99</f>
        <v>#VALUE!</v>
      </c>
      <c r="AO99" s="68" t="str">
        <f>AA99</f>
        <v>A(  )=</v>
      </c>
      <c r="AP99" s="68" t="e">
        <f>VLOOKUP(AO99,Rise_Results,2,FALSE)</f>
        <v>#N/A</v>
      </c>
      <c r="AQ99" s="76" t="e">
        <f>N99</f>
        <v>#VALUE!</v>
      </c>
      <c r="AR99" s="76" t="e">
        <f>IF(OR(AB99&lt;=0,AB100&lt;=0),1/0,AB99)</f>
        <v>#VALUE!</v>
      </c>
      <c r="AS99" s="76" t="e">
        <f>AM99</f>
        <v>#VALUE!</v>
      </c>
      <c r="AT99" t="e">
        <f>IFERROR(AP99,IFERROR(AQ99,IFERROR(AR99,AS99)))</f>
        <v>#VALUE!</v>
      </c>
      <c r="AU99" s="81"/>
    </row>
    <row r="100" spans="1:47" x14ac:dyDescent="0.25">
      <c r="A100" s="84">
        <f>A99+1</f>
        <v>15</v>
      </c>
      <c r="B100" s="84" t="str">
        <f t="shared" si="27"/>
        <v xml:space="preserve">  </v>
      </c>
      <c r="F100" s="82" t="e">
        <f>SUM(F97:F99)</f>
        <v>#VALUE!</v>
      </c>
      <c r="H100" s="82" t="e">
        <f>SUM(H97:H99)</f>
        <v>#VALUE!</v>
      </c>
      <c r="I100" s="84" t="str">
        <f>CONCATENATE("m'(",C99,")=")</f>
        <v>m'(  )=</v>
      </c>
      <c r="J100" s="84" t="e">
        <f>2*(J97*(WLS))/3*H100</f>
        <v>#VALUE!</v>
      </c>
      <c r="K100" s="84" t="e">
        <f>CONCATENATE("M(",C97,")=")</f>
        <v>#VALUE!</v>
      </c>
      <c r="L100" s="84" t="e">
        <f>VLOOKUP(C97,STN_TABLE,4,FALSE)</f>
        <v>#VALUE!</v>
      </c>
      <c r="M100" t="str">
        <f>CONCATENATE("M(",C99,")=")</f>
        <v>M(  )=</v>
      </c>
      <c r="N100" t="e">
        <f>J100+L100</f>
        <v>#VALUE!</v>
      </c>
      <c r="O100" s="99">
        <f>O99+1</f>
        <v>17</v>
      </c>
      <c r="P100" s="99" t="str">
        <f t="shared" ref="P100:P131" si="44">VLOOKUP(O100,STN_TABLE_2,2,FALSE)</f>
        <v xml:space="preserve">  </v>
      </c>
      <c r="T100" s="89" t="e">
        <f>SUM(T97:T99)</f>
        <v>#VALUE!</v>
      </c>
      <c r="V100" s="82" t="e">
        <f>SUM(V97:V99)</f>
        <v>#VALUE!</v>
      </c>
      <c r="W100" s="84" t="str">
        <f>CONCATENATE("m'(",Q98,")=")</f>
        <v>m'(  )=</v>
      </c>
      <c r="X100" s="84" t="e">
        <f>(2*(X97^2)/24*V100)+(X99*Q97*WLS)</f>
        <v>#VALUE!</v>
      </c>
      <c r="Y100" s="84" t="e">
        <f>CONCATENATE("M(",Q97,")=")</f>
        <v>#VALUE!</v>
      </c>
      <c r="Z100" s="84" t="e">
        <f>VLOOKUP(Q97,STN_TABLE,4,FALSE)</f>
        <v>#VALUE!</v>
      </c>
      <c r="AA100" t="str">
        <f>CONCATENATE("M(",Q98,")=")</f>
        <v>M(  )=</v>
      </c>
      <c r="AB100" t="e">
        <f>X100+Z100</f>
        <v>#VALUE!</v>
      </c>
      <c r="AE100" s="89">
        <f>SUM(AE98:AE99)</f>
        <v>0</v>
      </c>
      <c r="AG100" s="89" t="e">
        <f>SUM(AG98:AG99)</f>
        <v>#VALUE!</v>
      </c>
      <c r="AH100" s="84" t="str">
        <f>CONCATENATE("m'(",AD99,")=")</f>
        <v>m'(  )=</v>
      </c>
      <c r="AI100" s="84" t="e">
        <f>(2*(AI97^2)/6*AG100)+(AI99*AD98*WLS)</f>
        <v>#VALUE!</v>
      </c>
      <c r="AJ100" s="84" t="str">
        <f>CONCATENATE("M(",AD98,")=")</f>
        <v>M(  )=</v>
      </c>
      <c r="AK100" s="84" t="str">
        <f>VLOOKUP(AD98,STN_TABLE,4,FALSE)</f>
        <v xml:space="preserve"> </v>
      </c>
      <c r="AL100" t="str">
        <f>CONCATENATE("M(",AD99,")=")</f>
        <v>M(  )=</v>
      </c>
      <c r="AM100" t="e">
        <f>AI100+AK100</f>
        <v>#VALUE!</v>
      </c>
      <c r="AO100" s="82" t="str">
        <f>AA100</f>
        <v>M(  )=</v>
      </c>
      <c r="AP100" s="82" t="e">
        <f>VLOOKUP(AO100,Rise_Results,2,FALSE)</f>
        <v>#N/A</v>
      </c>
      <c r="AQ100" s="82" t="e">
        <f>N100</f>
        <v>#VALUE!</v>
      </c>
      <c r="AR100" s="82" t="e">
        <f>IF(OR(AB99&lt;=0,AB100&lt;=0),1/0,AB100)</f>
        <v>#VALUE!</v>
      </c>
      <c r="AS100" s="82" t="e">
        <f>AM100</f>
        <v>#VALUE!</v>
      </c>
      <c r="AT100" t="e">
        <f>IFERROR(AP100,IFERROR(AQ100,IFERROR(AR100,AS100)))</f>
        <v>#VALUE!</v>
      </c>
      <c r="AU100" s="81"/>
    </row>
    <row r="101" spans="1:47" x14ac:dyDescent="0.25">
      <c r="A101" s="101">
        <f>A96+1</f>
        <v>12</v>
      </c>
      <c r="B101" s="101">
        <f t="shared" si="27"/>
        <v>6.5</v>
      </c>
      <c r="O101" s="101">
        <f>O96+1</f>
        <v>14</v>
      </c>
      <c r="P101" s="101" t="str">
        <f t="shared" si="44"/>
        <v xml:space="preserve">  </v>
      </c>
      <c r="AU101" s="81"/>
    </row>
    <row r="102" spans="1:47" x14ac:dyDescent="0.25">
      <c r="A102" s="84">
        <f>A101+1</f>
        <v>13</v>
      </c>
      <c r="B102" s="84" t="str">
        <f t="shared" si="27"/>
        <v xml:space="preserve">  </v>
      </c>
      <c r="C102" s="79" t="e">
        <f t="shared" ref="C102" si="45">IF(C103=B104,IF(C104-C103=C103-B103,B103,IF(C104-C103=C103-B102,B102,"#NA")),IF(C103=B103,IF(C104-C103=C103-B102,B102,IF(C104-C103=C103-B101,B101,"#NA")),"#NA"))</f>
        <v>#VALUE!</v>
      </c>
      <c r="D102" s="68" t="e">
        <f>VLOOKUP(C102,STN_TABLE,2,FALSE)</f>
        <v>#VALUE!</v>
      </c>
      <c r="E102" s="102">
        <v>1</v>
      </c>
      <c r="F102" s="68" t="e">
        <f>D102*E102</f>
        <v>#VALUE!</v>
      </c>
      <c r="G102" s="69" t="e">
        <f>C102</f>
        <v>#VALUE!</v>
      </c>
      <c r="H102" s="69" t="e">
        <f>F102*G102</f>
        <v>#VALUE!</v>
      </c>
      <c r="I102" s="6" t="s">
        <v>93</v>
      </c>
      <c r="J102" s="70" t="e">
        <f>IF(OR(D102=0,D103=0,D104=0),"#NA",IF(AND(C104-C103=C103-C102,C103&lt;&gt;C104,C102&lt;&gt;C103,C102&lt;&gt;C104,D104&lt;&gt;0,OR(D102&lt;&gt;0,D103&lt;&gt;0)),WLS*(C104-C103),"#NA"))</f>
        <v>#VALUE!</v>
      </c>
      <c r="O102" s="99">
        <f>O101+1</f>
        <v>15</v>
      </c>
      <c r="P102" s="99" t="str">
        <f t="shared" si="44"/>
        <v xml:space="preserve">  </v>
      </c>
      <c r="Q102" s="68" t="e">
        <f>IF(OR(P104-P103=P103-P102,P105-P103=P103-P102),P102,IF(OR(P104-P103=P103-P101,P105-P103=P103-P101),P101,"-"))</f>
        <v>#VALUE!</v>
      </c>
      <c r="R102" s="69" t="e">
        <f>VLOOKUP(Q102,STN_TABLE,2,FALSE)</f>
        <v>#VALUE!</v>
      </c>
      <c r="S102" s="69">
        <v>5</v>
      </c>
      <c r="T102" s="68" t="e">
        <f>R102*S102</f>
        <v>#VALUE!</v>
      </c>
      <c r="U102" s="79">
        <v>3</v>
      </c>
      <c r="V102" s="68" t="e">
        <f>R102*U102</f>
        <v>#VALUE!</v>
      </c>
      <c r="W102" s="6" t="s">
        <v>93</v>
      </c>
      <c r="X102" s="70" t="e">
        <f>IF(AND(Q104-Q103=Q103-Q102,NOT(AND(Q102=0,Q103=0)),NOT(AND(Q103=0,Q104=0))),WLS*(Q104-Q103),"#NA")</f>
        <v>#VALUE!</v>
      </c>
      <c r="AD102" s="93"/>
      <c r="AH102" s="6" t="s">
        <v>93</v>
      </c>
      <c r="AI102" s="70" t="e">
        <f>WLS*(AD104-AD103)</f>
        <v>#VALUE!</v>
      </c>
      <c r="AU102" s="81"/>
    </row>
    <row r="103" spans="1:47" x14ac:dyDescent="0.25">
      <c r="A103" s="84">
        <f>A102+1</f>
        <v>14</v>
      </c>
      <c r="B103" s="84" t="str">
        <f t="shared" si="27"/>
        <v xml:space="preserve">  </v>
      </c>
      <c r="C103" s="80" t="e">
        <f t="shared" ref="C103" si="46">IF(OR(B105-B104=B104-B103,B105-B104=B104-B102,B105-B104=B104-B101),B104,IF(OR(B105-B103=B103-B102,B105-B103=B103-B101),B103,IF(B105-B102=B102-B101,B102,"#NA")))</f>
        <v>#VALUE!</v>
      </c>
      <c r="D103" s="76" t="e">
        <f>VLOOKUP(C103,STN_TABLE,2,FALSE)</f>
        <v>#VALUE!</v>
      </c>
      <c r="E103" s="81">
        <v>4</v>
      </c>
      <c r="F103" s="76" t="e">
        <f>D103*E103</f>
        <v>#VALUE!</v>
      </c>
      <c r="G103" s="77" t="e">
        <f>C103</f>
        <v>#VALUE!</v>
      </c>
      <c r="H103" s="77" t="e">
        <f>F103*G103</f>
        <v>#VALUE!</v>
      </c>
      <c r="I103" s="495" t="s">
        <v>97</v>
      </c>
      <c r="J103" s="496"/>
      <c r="K103" s="78" t="s">
        <v>98</v>
      </c>
      <c r="L103" s="78"/>
      <c r="M103" s="7" t="s">
        <v>99</v>
      </c>
      <c r="N103" s="7"/>
      <c r="O103" s="99">
        <f>O102+1</f>
        <v>16</v>
      </c>
      <c r="P103" s="99" t="str">
        <f t="shared" si="44"/>
        <v xml:space="preserve">  </v>
      </c>
      <c r="Q103" s="76" t="str">
        <f>P103</f>
        <v xml:space="preserve">  </v>
      </c>
      <c r="R103" s="77" t="str">
        <f>VLOOKUP(Q103,STN_TABLE,2,FALSE)</f>
        <v xml:space="preserve">  </v>
      </c>
      <c r="S103" s="77">
        <v>8</v>
      </c>
      <c r="T103" s="76" t="e">
        <f>R103*S103</f>
        <v>#VALUE!</v>
      </c>
      <c r="U103" s="80">
        <v>10</v>
      </c>
      <c r="V103" s="76" t="e">
        <f>R103*U103</f>
        <v>#VALUE!</v>
      </c>
      <c r="W103" s="496" t="s">
        <v>97</v>
      </c>
      <c r="X103" s="496"/>
      <c r="Y103" s="496" t="s">
        <v>98</v>
      </c>
      <c r="Z103" s="496"/>
      <c r="AA103" s="494" t="s">
        <v>99</v>
      </c>
      <c r="AB103" s="494"/>
      <c r="AC103" s="99">
        <f>AC98+1</f>
        <v>15</v>
      </c>
      <c r="AD103" s="95" t="str">
        <f>VLOOKUP(AC103,STN_TABLE_2,2,FALSE)</f>
        <v xml:space="preserve">  </v>
      </c>
      <c r="AE103" s="68" t="str">
        <f>VLOOKUP(AD103,STN_TABLE,2,FALSE)</f>
        <v xml:space="preserve">  </v>
      </c>
      <c r="AF103" s="68">
        <v>1</v>
      </c>
      <c r="AG103" s="69" t="e">
        <f>AE103*AF103</f>
        <v>#VALUE!</v>
      </c>
      <c r="AH103" s="496" t="s">
        <v>97</v>
      </c>
      <c r="AI103" s="496"/>
      <c r="AJ103" s="496" t="s">
        <v>98</v>
      </c>
      <c r="AK103" s="496"/>
      <c r="AL103" s="494" t="s">
        <v>99</v>
      </c>
      <c r="AM103" s="494"/>
      <c r="AP103" s="86" t="s">
        <v>112</v>
      </c>
      <c r="AQ103" s="89" t="s">
        <v>113</v>
      </c>
      <c r="AR103" s="89" t="s">
        <v>114</v>
      </c>
      <c r="AS103" s="89" t="s">
        <v>115</v>
      </c>
      <c r="AU103" s="81"/>
    </row>
    <row r="104" spans="1:47" x14ac:dyDescent="0.25">
      <c r="A104" s="84">
        <f>A103+1</f>
        <v>15</v>
      </c>
      <c r="B104" s="84" t="str">
        <f t="shared" si="27"/>
        <v xml:space="preserve">  </v>
      </c>
      <c r="C104" s="88" t="str">
        <f t="shared" ref="C104" si="47">B105</f>
        <v xml:space="preserve">  </v>
      </c>
      <c r="D104" s="82" t="str">
        <f>VLOOKUP(C104,STN_TABLE,2,FALSE)</f>
        <v xml:space="preserve">  </v>
      </c>
      <c r="E104" s="92">
        <v>1</v>
      </c>
      <c r="F104" s="82" t="e">
        <f>D104*E104</f>
        <v>#VALUE!</v>
      </c>
      <c r="G104" s="83" t="str">
        <f>C104</f>
        <v xml:space="preserve">  </v>
      </c>
      <c r="H104" s="83" t="e">
        <f>F104*G104</f>
        <v>#VALUE!</v>
      </c>
      <c r="I104" s="84" t="str">
        <f>CONCATENATE("a'(",C104,")=")</f>
        <v>a'(  )=</v>
      </c>
      <c r="J104" s="84" t="e">
        <f>2*J102/3*F105</f>
        <v>#VALUE!</v>
      </c>
      <c r="K104" s="84" t="e">
        <f>CONCATENATE("A(",C102,")=")</f>
        <v>#VALUE!</v>
      </c>
      <c r="L104" s="84" t="e">
        <f>VLOOKUP(C102,STN_TABLE,3,FALSE)</f>
        <v>#VALUE!</v>
      </c>
      <c r="M104" t="str">
        <f>CONCATENATE("A(",C104,")=")</f>
        <v>A(  )=</v>
      </c>
      <c r="N104" t="e">
        <f>J104+L104</f>
        <v>#VALUE!</v>
      </c>
      <c r="O104" s="99">
        <f>O103+1</f>
        <v>17</v>
      </c>
      <c r="P104" s="99" t="str">
        <f t="shared" si="44"/>
        <v xml:space="preserve">  </v>
      </c>
      <c r="Q104" s="82" t="e">
        <f>IF(P104-P103=P103-P102,P104,IF(P105-P103=P103-P102,P105,IF(P104-P103=P103-P101,P104,IF(P105-P103=P103-P101,P105,"-"))))</f>
        <v>#VALUE!</v>
      </c>
      <c r="R104" s="83" t="e">
        <f>VLOOKUP(Q104,STN_TABLE,2,FALSE)</f>
        <v>#VALUE!</v>
      </c>
      <c r="S104" s="83">
        <v>-1</v>
      </c>
      <c r="T104" s="82" t="e">
        <f>R104*S104</f>
        <v>#VALUE!</v>
      </c>
      <c r="U104" s="88">
        <v>-1</v>
      </c>
      <c r="V104" s="82" t="e">
        <f>R104*U104</f>
        <v>#VALUE!</v>
      </c>
      <c r="W104" s="84" t="str">
        <f>CONCATENATE("a'(",Q103,")=")</f>
        <v>a'(  )=</v>
      </c>
      <c r="X104" s="84" t="e">
        <f>2*X102/12*T105</f>
        <v>#VALUE!</v>
      </c>
      <c r="Y104" s="84" t="e">
        <f>CONCATENATE("A(",Q102,")=")</f>
        <v>#VALUE!</v>
      </c>
      <c r="Z104" s="84" t="e">
        <f>VLOOKUP(Q102,STN_TABLE,3,FALSE)</f>
        <v>#VALUE!</v>
      </c>
      <c r="AA104" t="str">
        <f>CONCATENATE("A(",Q103,")=")</f>
        <v>A(  )=</v>
      </c>
      <c r="AB104" t="e">
        <f>X104+Z104</f>
        <v>#VALUE!</v>
      </c>
      <c r="AC104" s="99">
        <f>AC103+1</f>
        <v>16</v>
      </c>
      <c r="AD104" s="100" t="str">
        <f>VLOOKUP(AC104,STN_TABLE_2,2,FALSE)</f>
        <v xml:space="preserve">  </v>
      </c>
      <c r="AE104" s="82" t="str">
        <f>VLOOKUP(AD104,STN_TABLE,2,FALSE)</f>
        <v xml:space="preserve">  </v>
      </c>
      <c r="AF104" s="82">
        <v>2</v>
      </c>
      <c r="AG104" s="83" t="e">
        <f>AE104*AF104</f>
        <v>#VALUE!</v>
      </c>
      <c r="AH104" s="84" t="str">
        <f>CONCATENATE("a'(",AD104,")=")</f>
        <v>a'(  )=</v>
      </c>
      <c r="AI104" s="84" t="e">
        <f>2*AI102/2*AE105</f>
        <v>#VALUE!</v>
      </c>
      <c r="AJ104" s="84" t="str">
        <f>CONCATENATE("A(",AD103,")=")</f>
        <v>A(  )=</v>
      </c>
      <c r="AK104" s="84" t="str">
        <f>VLOOKUP(AD103,STN_TABLE,3,FALSE)</f>
        <v xml:space="preserve"> </v>
      </c>
      <c r="AL104" t="str">
        <f>CONCATENATE("A(",AD104,")=")</f>
        <v>A(  )=</v>
      </c>
      <c r="AM104" t="e">
        <f>AI104+AK104</f>
        <v>#VALUE!</v>
      </c>
      <c r="AO104" s="68" t="str">
        <f>AA104</f>
        <v>A(  )=</v>
      </c>
      <c r="AP104" s="68" t="e">
        <f>VLOOKUP(AO104,Rise_Results,2,FALSE)</f>
        <v>#N/A</v>
      </c>
      <c r="AQ104" s="76" t="e">
        <f>N104</f>
        <v>#VALUE!</v>
      </c>
      <c r="AR104" s="76" t="e">
        <f>IF(OR(AB104&lt;=0,AB105&lt;=0),1/0,AB104)</f>
        <v>#VALUE!</v>
      </c>
      <c r="AS104" s="76" t="e">
        <f>AM104</f>
        <v>#VALUE!</v>
      </c>
      <c r="AT104" t="e">
        <f>IFERROR(AP104,IFERROR(AQ104,IFERROR(AR104,AS104)))</f>
        <v>#VALUE!</v>
      </c>
      <c r="AU104" s="81"/>
    </row>
    <row r="105" spans="1:47" x14ac:dyDescent="0.25">
      <c r="A105" s="84">
        <f>A104+1</f>
        <v>16</v>
      </c>
      <c r="B105" s="84" t="str">
        <f t="shared" si="27"/>
        <v xml:space="preserve">  </v>
      </c>
      <c r="F105" s="82" t="e">
        <f>SUM(F102:F104)</f>
        <v>#VALUE!</v>
      </c>
      <c r="H105" s="82" t="e">
        <f>SUM(H102:H104)</f>
        <v>#VALUE!</v>
      </c>
      <c r="I105" s="84" t="str">
        <f>CONCATENATE("m'(",C104,")=")</f>
        <v>m'(  )=</v>
      </c>
      <c r="J105" s="84" t="e">
        <f>2*(J102*(WLS))/3*H105</f>
        <v>#VALUE!</v>
      </c>
      <c r="K105" s="84" t="e">
        <f>CONCATENATE("M(",C102,")=")</f>
        <v>#VALUE!</v>
      </c>
      <c r="L105" s="84" t="e">
        <f>VLOOKUP(C102,STN_TABLE,4,FALSE)</f>
        <v>#VALUE!</v>
      </c>
      <c r="M105" t="str">
        <f>CONCATENATE("M(",C104,")=")</f>
        <v>M(  )=</v>
      </c>
      <c r="N105" t="e">
        <f>J105+L105</f>
        <v>#VALUE!</v>
      </c>
      <c r="O105" s="99">
        <f>O104+1</f>
        <v>18</v>
      </c>
      <c r="P105" s="99" t="str">
        <f t="shared" si="44"/>
        <v xml:space="preserve">  </v>
      </c>
      <c r="T105" s="89" t="e">
        <f>SUM(T102:T104)</f>
        <v>#VALUE!</v>
      </c>
      <c r="V105" s="82" t="e">
        <f>SUM(V102:V104)</f>
        <v>#VALUE!</v>
      </c>
      <c r="W105" s="84" t="str">
        <f>CONCATENATE("m'(",Q103,")=")</f>
        <v>m'(  )=</v>
      </c>
      <c r="X105" s="84" t="e">
        <f>(2*(X102^2)/24*V105)+(X104*Q102*WLS)</f>
        <v>#VALUE!</v>
      </c>
      <c r="Y105" s="84" t="e">
        <f>CONCATENATE("M(",Q102,")=")</f>
        <v>#VALUE!</v>
      </c>
      <c r="Z105" s="84" t="e">
        <f>VLOOKUP(Q102,STN_TABLE,4,FALSE)</f>
        <v>#VALUE!</v>
      </c>
      <c r="AA105" t="str">
        <f>CONCATENATE("M(",Q103,")=")</f>
        <v>M(  )=</v>
      </c>
      <c r="AB105" t="e">
        <f>X105+Z105</f>
        <v>#VALUE!</v>
      </c>
      <c r="AE105" s="89">
        <f>SUM(AE103:AE104)</f>
        <v>0</v>
      </c>
      <c r="AG105" s="89" t="e">
        <f>SUM(AG103:AG104)</f>
        <v>#VALUE!</v>
      </c>
      <c r="AH105" s="84" t="str">
        <f>CONCATENATE("m'(",AD104,")=")</f>
        <v>m'(  )=</v>
      </c>
      <c r="AI105" s="84" t="e">
        <f>(2*(AI102^2)/6*AG105)+(AI104*AD103*WLS)</f>
        <v>#VALUE!</v>
      </c>
      <c r="AJ105" s="84" t="str">
        <f>CONCATENATE("M(",AD103,")=")</f>
        <v>M(  )=</v>
      </c>
      <c r="AK105" s="84" t="str">
        <f>VLOOKUP(AD103,STN_TABLE,4,FALSE)</f>
        <v xml:space="preserve"> </v>
      </c>
      <c r="AL105" t="str">
        <f>CONCATENATE("M(",AD104,")=")</f>
        <v>M(  )=</v>
      </c>
      <c r="AM105" t="e">
        <f>AI105+AK105</f>
        <v>#VALUE!</v>
      </c>
      <c r="AO105" s="82" t="str">
        <f>AA105</f>
        <v>M(  )=</v>
      </c>
      <c r="AP105" s="82" t="e">
        <f>VLOOKUP(AO105,Rise_Results,2,FALSE)</f>
        <v>#N/A</v>
      </c>
      <c r="AQ105" s="82" t="e">
        <f>N105</f>
        <v>#VALUE!</v>
      </c>
      <c r="AR105" s="82" t="e">
        <f>IF(OR(AB104&lt;=0,AB105&lt;=0),1/0,AB105)</f>
        <v>#VALUE!</v>
      </c>
      <c r="AS105" s="82" t="e">
        <f>AM105</f>
        <v>#VALUE!</v>
      </c>
      <c r="AT105" t="e">
        <f>IFERROR(AP105,IFERROR(AQ105,IFERROR(AR105,AS105)))</f>
        <v>#VALUE!</v>
      </c>
      <c r="AU105" s="81"/>
    </row>
    <row r="106" spans="1:47" x14ac:dyDescent="0.25">
      <c r="A106" s="101">
        <f>A101+1</f>
        <v>13</v>
      </c>
      <c r="B106" s="101" t="str">
        <f t="shared" ref="B106:B137" si="48">VLOOKUP(A106,STN_TABLE_2,2,FALSE)</f>
        <v xml:space="preserve">  </v>
      </c>
      <c r="O106" s="101">
        <f>O101+1</f>
        <v>15</v>
      </c>
      <c r="P106" s="101" t="str">
        <f t="shared" si="44"/>
        <v xml:space="preserve">  </v>
      </c>
      <c r="AU106" s="81"/>
    </row>
    <row r="107" spans="1:47" x14ac:dyDescent="0.25">
      <c r="A107" s="84">
        <f>A106+1</f>
        <v>14</v>
      </c>
      <c r="B107" s="84" t="str">
        <f t="shared" si="48"/>
        <v xml:space="preserve">  </v>
      </c>
      <c r="C107" s="79" t="e">
        <f t="shared" ref="C107" si="49">IF(C108=B109,IF(C109-C108=C108-B108,B108,IF(C109-C108=C108-B107,B107,"#NA")),IF(C108=B108,IF(C109-C108=C108-B107,B107,IF(C109-C108=C108-B106,B106,"#NA")),"#NA"))</f>
        <v>#VALUE!</v>
      </c>
      <c r="D107" s="68" t="e">
        <f>VLOOKUP(C107,STN_TABLE,2,FALSE)</f>
        <v>#VALUE!</v>
      </c>
      <c r="E107" s="102">
        <v>1</v>
      </c>
      <c r="F107" s="68" t="e">
        <f>D107*E107</f>
        <v>#VALUE!</v>
      </c>
      <c r="G107" s="69" t="e">
        <f>C107</f>
        <v>#VALUE!</v>
      </c>
      <c r="H107" s="69" t="e">
        <f>F107*G107</f>
        <v>#VALUE!</v>
      </c>
      <c r="I107" s="6" t="s">
        <v>93</v>
      </c>
      <c r="J107" s="70" t="e">
        <f>IF(OR(D107=0,D108=0,D109=0),"#NA",IF(AND(C109-C108=C108-C107,C108&lt;&gt;C109,C107&lt;&gt;C108,C107&lt;&gt;C109,D109&lt;&gt;0,OR(D107&lt;&gt;0,D108&lt;&gt;0)),WLS*(C109-C108),"#NA"))</f>
        <v>#VALUE!</v>
      </c>
      <c r="O107" s="99">
        <f>O106+1</f>
        <v>16</v>
      </c>
      <c r="P107" s="99" t="str">
        <f t="shared" si="44"/>
        <v xml:space="preserve">  </v>
      </c>
      <c r="Q107" s="68" t="e">
        <f>IF(OR(P109-P108=P108-P107,P110-P108=P108-P107),P107,IF(OR(P109-P108=P108-P106,P110-P108=P108-P106),P106,"-"))</f>
        <v>#VALUE!</v>
      </c>
      <c r="R107" s="69" t="e">
        <f>VLOOKUP(Q107,STN_TABLE,2,FALSE)</f>
        <v>#VALUE!</v>
      </c>
      <c r="S107" s="69">
        <v>5</v>
      </c>
      <c r="T107" s="68" t="e">
        <f>R107*S107</f>
        <v>#VALUE!</v>
      </c>
      <c r="U107" s="79">
        <v>3</v>
      </c>
      <c r="V107" s="68" t="e">
        <f>R107*U107</f>
        <v>#VALUE!</v>
      </c>
      <c r="W107" s="6" t="s">
        <v>93</v>
      </c>
      <c r="X107" s="70" t="e">
        <f>IF(AND(Q109-Q108=Q108-Q107,NOT(AND(Q107=0,Q108=0)),NOT(AND(Q108=0,Q109=0))),WLS*(Q109-Q108),"#NA")</f>
        <v>#VALUE!</v>
      </c>
      <c r="AD107" s="93"/>
      <c r="AH107" s="6" t="s">
        <v>93</v>
      </c>
      <c r="AI107" s="70" t="e">
        <f>WLS*(AD109-AD108)</f>
        <v>#VALUE!</v>
      </c>
      <c r="AU107" s="81"/>
    </row>
    <row r="108" spans="1:47" x14ac:dyDescent="0.25">
      <c r="A108" s="84">
        <f>A107+1</f>
        <v>15</v>
      </c>
      <c r="B108" s="84" t="str">
        <f t="shared" si="48"/>
        <v xml:space="preserve">  </v>
      </c>
      <c r="C108" s="80" t="e">
        <f t="shared" ref="C108" si="50">IF(OR(B110-B109=B109-B108,B110-B109=B109-B107,B110-B109=B109-B106),B109,IF(OR(B110-B108=B108-B107,B110-B108=B108-B106),B108,IF(B110-B107=B107-B106,B107,"#NA")))</f>
        <v>#VALUE!</v>
      </c>
      <c r="D108" s="76" t="e">
        <f>VLOOKUP(C108,STN_TABLE,2,FALSE)</f>
        <v>#VALUE!</v>
      </c>
      <c r="E108" s="81">
        <v>4</v>
      </c>
      <c r="F108" s="76" t="e">
        <f>D108*E108</f>
        <v>#VALUE!</v>
      </c>
      <c r="G108" s="77" t="e">
        <f>C108</f>
        <v>#VALUE!</v>
      </c>
      <c r="H108" s="77" t="e">
        <f>F108*G108</f>
        <v>#VALUE!</v>
      </c>
      <c r="I108" s="495" t="s">
        <v>97</v>
      </c>
      <c r="J108" s="496"/>
      <c r="K108" s="78" t="s">
        <v>98</v>
      </c>
      <c r="L108" s="78"/>
      <c r="M108" s="7" t="s">
        <v>99</v>
      </c>
      <c r="N108" s="7"/>
      <c r="O108" s="99">
        <f>O107+1</f>
        <v>17</v>
      </c>
      <c r="P108" s="99" t="str">
        <f t="shared" si="44"/>
        <v xml:space="preserve">  </v>
      </c>
      <c r="Q108" s="76" t="str">
        <f>P108</f>
        <v xml:space="preserve">  </v>
      </c>
      <c r="R108" s="77" t="str">
        <f>VLOOKUP(Q108,STN_TABLE,2,FALSE)</f>
        <v xml:space="preserve">  </v>
      </c>
      <c r="S108" s="77">
        <v>8</v>
      </c>
      <c r="T108" s="76" t="e">
        <f>R108*S108</f>
        <v>#VALUE!</v>
      </c>
      <c r="U108" s="80">
        <v>10</v>
      </c>
      <c r="V108" s="76" t="e">
        <f>R108*U108</f>
        <v>#VALUE!</v>
      </c>
      <c r="W108" s="496" t="s">
        <v>97</v>
      </c>
      <c r="X108" s="496"/>
      <c r="Y108" s="496" t="s">
        <v>98</v>
      </c>
      <c r="Z108" s="496"/>
      <c r="AA108" s="494" t="s">
        <v>99</v>
      </c>
      <c r="AB108" s="494"/>
      <c r="AC108" s="99">
        <f>AC103+1</f>
        <v>16</v>
      </c>
      <c r="AD108" s="95" t="str">
        <f>VLOOKUP(AC108,STN_TABLE_2,2,FALSE)</f>
        <v xml:space="preserve">  </v>
      </c>
      <c r="AE108" s="68" t="str">
        <f>VLOOKUP(AD108,STN_TABLE,2,FALSE)</f>
        <v xml:space="preserve">  </v>
      </c>
      <c r="AF108" s="68">
        <v>1</v>
      </c>
      <c r="AG108" s="69" t="e">
        <f>AE108*AF108</f>
        <v>#VALUE!</v>
      </c>
      <c r="AH108" s="496" t="s">
        <v>97</v>
      </c>
      <c r="AI108" s="496"/>
      <c r="AJ108" s="496" t="s">
        <v>98</v>
      </c>
      <c r="AK108" s="496"/>
      <c r="AL108" s="494" t="s">
        <v>99</v>
      </c>
      <c r="AM108" s="494"/>
      <c r="AP108" s="86" t="s">
        <v>112</v>
      </c>
      <c r="AQ108" s="89" t="s">
        <v>113</v>
      </c>
      <c r="AR108" s="89" t="s">
        <v>114</v>
      </c>
      <c r="AS108" s="89" t="s">
        <v>115</v>
      </c>
      <c r="AU108" s="81"/>
    </row>
    <row r="109" spans="1:47" x14ac:dyDescent="0.25">
      <c r="A109" s="84">
        <f>A108+1</f>
        <v>16</v>
      </c>
      <c r="B109" s="84" t="str">
        <f t="shared" si="48"/>
        <v xml:space="preserve">  </v>
      </c>
      <c r="C109" s="88" t="str">
        <f t="shared" ref="C109" si="51">B110</f>
        <v xml:space="preserve">  </v>
      </c>
      <c r="D109" s="82" t="str">
        <f>VLOOKUP(C109,STN_TABLE,2,FALSE)</f>
        <v xml:space="preserve">  </v>
      </c>
      <c r="E109" s="92">
        <v>1</v>
      </c>
      <c r="F109" s="82" t="e">
        <f>D109*E109</f>
        <v>#VALUE!</v>
      </c>
      <c r="G109" s="83" t="str">
        <f>C109</f>
        <v xml:space="preserve">  </v>
      </c>
      <c r="H109" s="83" t="e">
        <f>F109*G109</f>
        <v>#VALUE!</v>
      </c>
      <c r="I109" s="84" t="str">
        <f>CONCATENATE("a'(",C109,")=")</f>
        <v>a'(  )=</v>
      </c>
      <c r="J109" s="84" t="e">
        <f>2*J107/3*F110</f>
        <v>#VALUE!</v>
      </c>
      <c r="K109" s="84" t="e">
        <f>CONCATENATE("A(",C107,")=")</f>
        <v>#VALUE!</v>
      </c>
      <c r="L109" s="84" t="e">
        <f>VLOOKUP(C107,STN_TABLE,3,FALSE)</f>
        <v>#VALUE!</v>
      </c>
      <c r="M109" t="str">
        <f>CONCATENATE("A(",C109,")=")</f>
        <v>A(  )=</v>
      </c>
      <c r="N109" t="e">
        <f>J109+L109</f>
        <v>#VALUE!</v>
      </c>
      <c r="O109" s="99">
        <f>O108+1</f>
        <v>18</v>
      </c>
      <c r="P109" s="99" t="str">
        <f t="shared" si="44"/>
        <v xml:space="preserve">  </v>
      </c>
      <c r="Q109" s="82" t="e">
        <f>IF(P109-P108=P108-P107,P109,IF(P110-P108=P108-P107,P110,IF(P109-P108=P108-P106,P109,IF(P110-P108=P108-P106,P110,"-"))))</f>
        <v>#VALUE!</v>
      </c>
      <c r="R109" s="83" t="e">
        <f>VLOOKUP(Q109,STN_TABLE,2,FALSE)</f>
        <v>#VALUE!</v>
      </c>
      <c r="S109" s="83">
        <v>-1</v>
      </c>
      <c r="T109" s="82" t="e">
        <f>R109*S109</f>
        <v>#VALUE!</v>
      </c>
      <c r="U109" s="88">
        <v>-1</v>
      </c>
      <c r="V109" s="82" t="e">
        <f>R109*U109</f>
        <v>#VALUE!</v>
      </c>
      <c r="W109" s="84" t="str">
        <f>CONCATENATE("a'(",Q108,")=")</f>
        <v>a'(  )=</v>
      </c>
      <c r="X109" s="84" t="e">
        <f>2*X107/12*T110</f>
        <v>#VALUE!</v>
      </c>
      <c r="Y109" s="84" t="e">
        <f>CONCATENATE("A(",Q107,")=")</f>
        <v>#VALUE!</v>
      </c>
      <c r="Z109" s="84" t="e">
        <f>VLOOKUP(Q107,STN_TABLE,3,FALSE)</f>
        <v>#VALUE!</v>
      </c>
      <c r="AA109" t="str">
        <f>CONCATENATE("A(",Q108,")=")</f>
        <v>A(  )=</v>
      </c>
      <c r="AB109" t="e">
        <f>X109+Z109</f>
        <v>#VALUE!</v>
      </c>
      <c r="AC109" s="99">
        <f>AC108+1</f>
        <v>17</v>
      </c>
      <c r="AD109" s="100" t="str">
        <f>VLOOKUP(AC109,STN_TABLE_2,2,FALSE)</f>
        <v xml:space="preserve">  </v>
      </c>
      <c r="AE109" s="82" t="str">
        <f>VLOOKUP(AD109,STN_TABLE,2,FALSE)</f>
        <v xml:space="preserve">  </v>
      </c>
      <c r="AF109" s="82">
        <v>2</v>
      </c>
      <c r="AG109" s="83" t="e">
        <f>AE109*AF109</f>
        <v>#VALUE!</v>
      </c>
      <c r="AH109" s="84" t="str">
        <f>CONCATENATE("a'(",AD109,")=")</f>
        <v>a'(  )=</v>
      </c>
      <c r="AI109" s="84" t="e">
        <f>2*AI107/2*AE110</f>
        <v>#VALUE!</v>
      </c>
      <c r="AJ109" s="84" t="str">
        <f>CONCATENATE("A(",AD108,")=")</f>
        <v>A(  )=</v>
      </c>
      <c r="AK109" s="84" t="str">
        <f>VLOOKUP(AD108,STN_TABLE,3,FALSE)</f>
        <v xml:space="preserve"> </v>
      </c>
      <c r="AL109" t="str">
        <f>CONCATENATE("A(",AD109,")=")</f>
        <v>A(  )=</v>
      </c>
      <c r="AM109" t="e">
        <f>AI109+AK109</f>
        <v>#VALUE!</v>
      </c>
      <c r="AO109" s="68" t="str">
        <f>AA109</f>
        <v>A(  )=</v>
      </c>
      <c r="AP109" s="68" t="e">
        <f>VLOOKUP(AO109,Rise_Results,2,FALSE)</f>
        <v>#N/A</v>
      </c>
      <c r="AQ109" s="76" t="e">
        <f>N109</f>
        <v>#VALUE!</v>
      </c>
      <c r="AR109" s="76" t="e">
        <f>IF(OR(AB109&lt;=0,AB110&lt;=0),1/0,AB109)</f>
        <v>#VALUE!</v>
      </c>
      <c r="AS109" s="76" t="e">
        <f>AM109</f>
        <v>#VALUE!</v>
      </c>
      <c r="AT109" t="e">
        <f>IFERROR(AP109,IFERROR(AQ109,IFERROR(AR109,AS109)))</f>
        <v>#VALUE!</v>
      </c>
      <c r="AU109" s="81"/>
    </row>
    <row r="110" spans="1:47" x14ac:dyDescent="0.25">
      <c r="A110" s="84">
        <f>A109+1</f>
        <v>17</v>
      </c>
      <c r="B110" s="84" t="str">
        <f t="shared" si="48"/>
        <v xml:space="preserve">  </v>
      </c>
      <c r="F110" s="82" t="e">
        <f>SUM(F107:F109)</f>
        <v>#VALUE!</v>
      </c>
      <c r="H110" s="82" t="e">
        <f>SUM(H107:H109)</f>
        <v>#VALUE!</v>
      </c>
      <c r="I110" s="84" t="str">
        <f>CONCATENATE("m'(",C109,")=")</f>
        <v>m'(  )=</v>
      </c>
      <c r="J110" s="84" t="e">
        <f>2*(J107*(WLS))/3*H110</f>
        <v>#VALUE!</v>
      </c>
      <c r="K110" s="84" t="e">
        <f>CONCATENATE("M(",C107,")=")</f>
        <v>#VALUE!</v>
      </c>
      <c r="L110" s="84" t="e">
        <f>VLOOKUP(C107,STN_TABLE,4,FALSE)</f>
        <v>#VALUE!</v>
      </c>
      <c r="M110" t="str">
        <f>CONCATENATE("M(",C109,")=")</f>
        <v>M(  )=</v>
      </c>
      <c r="N110" t="e">
        <f>J110+L110</f>
        <v>#VALUE!</v>
      </c>
      <c r="O110" s="99">
        <f>O109+1</f>
        <v>19</v>
      </c>
      <c r="P110" s="99" t="str">
        <f t="shared" si="44"/>
        <v xml:space="preserve">  </v>
      </c>
      <c r="T110" s="89" t="e">
        <f>SUM(T107:T109)</f>
        <v>#VALUE!</v>
      </c>
      <c r="V110" s="82" t="e">
        <f>SUM(V107:V109)</f>
        <v>#VALUE!</v>
      </c>
      <c r="W110" s="84" t="str">
        <f>CONCATENATE("m'(",Q108,")=")</f>
        <v>m'(  )=</v>
      </c>
      <c r="X110" s="84" t="e">
        <f>(2*(X107^2)/24*V110)+(X109*Q107*WLS)</f>
        <v>#VALUE!</v>
      </c>
      <c r="Y110" s="84" t="e">
        <f>CONCATENATE("M(",Q107,")=")</f>
        <v>#VALUE!</v>
      </c>
      <c r="Z110" s="84" t="e">
        <f>VLOOKUP(Q107,STN_TABLE,4,FALSE)</f>
        <v>#VALUE!</v>
      </c>
      <c r="AA110" t="str">
        <f>CONCATENATE("M(",Q108,")=")</f>
        <v>M(  )=</v>
      </c>
      <c r="AB110" t="e">
        <f>X110+Z110</f>
        <v>#VALUE!</v>
      </c>
      <c r="AE110" s="89">
        <f>SUM(AE108:AE109)</f>
        <v>0</v>
      </c>
      <c r="AG110" s="89" t="e">
        <f>SUM(AG108:AG109)</f>
        <v>#VALUE!</v>
      </c>
      <c r="AH110" s="84" t="str">
        <f>CONCATENATE("m'(",AD109,")=")</f>
        <v>m'(  )=</v>
      </c>
      <c r="AI110" s="84" t="e">
        <f>(2*(AI107^2)/6*AG110)+(AI109*AD108*WLS)</f>
        <v>#VALUE!</v>
      </c>
      <c r="AJ110" s="84" t="str">
        <f>CONCATENATE("M(",AD108,")=")</f>
        <v>M(  )=</v>
      </c>
      <c r="AK110" s="84" t="str">
        <f>VLOOKUP(AD108,STN_TABLE,4,FALSE)</f>
        <v xml:space="preserve"> </v>
      </c>
      <c r="AL110" t="str">
        <f>CONCATENATE("M(",AD109,")=")</f>
        <v>M(  )=</v>
      </c>
      <c r="AM110" t="e">
        <f>AI110+AK110</f>
        <v>#VALUE!</v>
      </c>
      <c r="AO110" s="82" t="str">
        <f>AA110</f>
        <v>M(  )=</v>
      </c>
      <c r="AP110" s="82" t="e">
        <f>VLOOKUP(AO110,Rise_Results,2,FALSE)</f>
        <v>#N/A</v>
      </c>
      <c r="AQ110" s="82" t="e">
        <f>N110</f>
        <v>#VALUE!</v>
      </c>
      <c r="AR110" s="82" t="e">
        <f>IF(OR(AB109&lt;=0,AB110&lt;=0),1/0,AB110)</f>
        <v>#VALUE!</v>
      </c>
      <c r="AS110" s="82" t="e">
        <f>AM110</f>
        <v>#VALUE!</v>
      </c>
      <c r="AT110" t="e">
        <f>IFERROR(AP110,IFERROR(AQ110,IFERROR(AR110,AS110)))</f>
        <v>#VALUE!</v>
      </c>
      <c r="AU110" s="81"/>
    </row>
    <row r="111" spans="1:47" x14ac:dyDescent="0.25">
      <c r="A111" s="101">
        <f>A106+1</f>
        <v>14</v>
      </c>
      <c r="B111" s="101" t="str">
        <f t="shared" si="48"/>
        <v xml:space="preserve">  </v>
      </c>
      <c r="O111" s="101">
        <f>O106+1</f>
        <v>16</v>
      </c>
      <c r="P111" s="101" t="str">
        <f t="shared" si="44"/>
        <v xml:space="preserve">  </v>
      </c>
      <c r="AU111" s="81"/>
    </row>
    <row r="112" spans="1:47" x14ac:dyDescent="0.25">
      <c r="A112" s="84">
        <f>A111+1</f>
        <v>15</v>
      </c>
      <c r="B112" s="84" t="str">
        <f t="shared" si="48"/>
        <v xml:space="preserve">  </v>
      </c>
      <c r="C112" s="79" t="e">
        <f t="shared" ref="C112" si="52">IF(C113=B114,IF(C114-C113=C113-B113,B113,IF(C114-C113=C113-B112,B112,"#NA")),IF(C113=B113,IF(C114-C113=C113-B112,B112,IF(C114-C113=C113-B111,B111,"#NA")),"#NA"))</f>
        <v>#VALUE!</v>
      </c>
      <c r="D112" s="68" t="e">
        <f>VLOOKUP(C112,STN_TABLE,2,FALSE)</f>
        <v>#VALUE!</v>
      </c>
      <c r="E112" s="102">
        <v>1</v>
      </c>
      <c r="F112" s="68" t="e">
        <f>D112*E112</f>
        <v>#VALUE!</v>
      </c>
      <c r="G112" s="69" t="e">
        <f>C112</f>
        <v>#VALUE!</v>
      </c>
      <c r="H112" s="69" t="e">
        <f>F112*G112</f>
        <v>#VALUE!</v>
      </c>
      <c r="I112" s="6" t="s">
        <v>93</v>
      </c>
      <c r="J112" s="70" t="e">
        <f>IF(OR(D112=0,D113=0,D114=0),"#NA",IF(AND(C114-C113=C113-C112,C113&lt;&gt;C114,C112&lt;&gt;C113,C112&lt;&gt;C114,D114&lt;&gt;0,OR(D112&lt;&gt;0,D113&lt;&gt;0)),WLS*(C114-C113),"#NA"))</f>
        <v>#VALUE!</v>
      </c>
      <c r="O112" s="99">
        <f>O111+1</f>
        <v>17</v>
      </c>
      <c r="P112" s="99" t="str">
        <f t="shared" si="44"/>
        <v xml:space="preserve">  </v>
      </c>
      <c r="Q112" s="68" t="e">
        <f>IF(OR(P114-P113=P113-P112,P115-P113=P113-P112),P112,IF(OR(P114-P113=P113-P111,P115-P113=P113-P111),P111,"-"))</f>
        <v>#VALUE!</v>
      </c>
      <c r="R112" s="69" t="e">
        <f>VLOOKUP(Q112,STN_TABLE,2,FALSE)</f>
        <v>#VALUE!</v>
      </c>
      <c r="S112" s="69">
        <v>5</v>
      </c>
      <c r="T112" s="68" t="e">
        <f>R112*S112</f>
        <v>#VALUE!</v>
      </c>
      <c r="U112" s="79">
        <v>3</v>
      </c>
      <c r="V112" s="68" t="e">
        <f>R112*U112</f>
        <v>#VALUE!</v>
      </c>
      <c r="W112" s="6" t="s">
        <v>93</v>
      </c>
      <c r="X112" s="70" t="e">
        <f>IF(AND(Q114-Q113=Q113-Q112,NOT(AND(Q112=0,Q113=0)),NOT(AND(Q113=0,Q114=0))),WLS*(Q114-Q113),"#NA")</f>
        <v>#VALUE!</v>
      </c>
      <c r="AD112" s="93"/>
      <c r="AH112" s="6" t="s">
        <v>93</v>
      </c>
      <c r="AI112" s="70" t="e">
        <f>WLS*(AD114-AD113)</f>
        <v>#VALUE!</v>
      </c>
      <c r="AU112" s="81"/>
    </row>
    <row r="113" spans="1:47" x14ac:dyDescent="0.25">
      <c r="A113" s="84">
        <f>A112+1</f>
        <v>16</v>
      </c>
      <c r="B113" s="84" t="str">
        <f t="shared" si="48"/>
        <v xml:space="preserve">  </v>
      </c>
      <c r="C113" s="80" t="e">
        <f t="shared" ref="C113" si="53">IF(OR(B115-B114=B114-B113,B115-B114=B114-B112,B115-B114=B114-B111),B114,IF(OR(B115-B113=B113-B112,B115-B113=B113-B111),B113,IF(B115-B112=B112-B111,B112,"#NA")))</f>
        <v>#VALUE!</v>
      </c>
      <c r="D113" s="76" t="e">
        <f>VLOOKUP(C113,STN_TABLE,2,FALSE)</f>
        <v>#VALUE!</v>
      </c>
      <c r="E113" s="81">
        <v>4</v>
      </c>
      <c r="F113" s="76" t="e">
        <f>D113*E113</f>
        <v>#VALUE!</v>
      </c>
      <c r="G113" s="77" t="e">
        <f>C113</f>
        <v>#VALUE!</v>
      </c>
      <c r="H113" s="77" t="e">
        <f>F113*G113</f>
        <v>#VALUE!</v>
      </c>
      <c r="I113" s="495" t="s">
        <v>97</v>
      </c>
      <c r="J113" s="496"/>
      <c r="K113" s="78" t="s">
        <v>98</v>
      </c>
      <c r="L113" s="78"/>
      <c r="M113" s="7" t="s">
        <v>99</v>
      </c>
      <c r="N113" s="7"/>
      <c r="O113" s="99">
        <f>O112+1</f>
        <v>18</v>
      </c>
      <c r="P113" s="99" t="str">
        <f t="shared" si="44"/>
        <v xml:space="preserve">  </v>
      </c>
      <c r="Q113" s="76" t="str">
        <f>P113</f>
        <v xml:space="preserve">  </v>
      </c>
      <c r="R113" s="77" t="str">
        <f>VLOOKUP(Q113,STN_TABLE,2,FALSE)</f>
        <v xml:space="preserve">  </v>
      </c>
      <c r="S113" s="77">
        <v>8</v>
      </c>
      <c r="T113" s="76" t="e">
        <f>R113*S113</f>
        <v>#VALUE!</v>
      </c>
      <c r="U113" s="80">
        <v>10</v>
      </c>
      <c r="V113" s="76" t="e">
        <f>R113*U113</f>
        <v>#VALUE!</v>
      </c>
      <c r="W113" s="496" t="s">
        <v>97</v>
      </c>
      <c r="X113" s="496"/>
      <c r="Y113" s="496" t="s">
        <v>98</v>
      </c>
      <c r="Z113" s="496"/>
      <c r="AA113" s="494" t="s">
        <v>99</v>
      </c>
      <c r="AB113" s="494"/>
      <c r="AC113" s="99">
        <f>AC108+1</f>
        <v>17</v>
      </c>
      <c r="AD113" s="95" t="str">
        <f>VLOOKUP(AC113,STN_TABLE_2,2,FALSE)</f>
        <v xml:space="preserve">  </v>
      </c>
      <c r="AE113" s="68" t="str">
        <f>VLOOKUP(AD113,STN_TABLE,2,FALSE)</f>
        <v xml:space="preserve">  </v>
      </c>
      <c r="AF113" s="68">
        <v>1</v>
      </c>
      <c r="AG113" s="69" t="e">
        <f>AE113*AF113</f>
        <v>#VALUE!</v>
      </c>
      <c r="AH113" s="496" t="s">
        <v>97</v>
      </c>
      <c r="AI113" s="496"/>
      <c r="AJ113" s="496" t="s">
        <v>98</v>
      </c>
      <c r="AK113" s="496"/>
      <c r="AL113" s="494" t="s">
        <v>99</v>
      </c>
      <c r="AM113" s="494"/>
      <c r="AP113" s="86" t="s">
        <v>112</v>
      </c>
      <c r="AQ113" s="89" t="s">
        <v>113</v>
      </c>
      <c r="AR113" s="89" t="s">
        <v>114</v>
      </c>
      <c r="AS113" s="89" t="s">
        <v>115</v>
      </c>
      <c r="AU113" s="81"/>
    </row>
    <row r="114" spans="1:47" x14ac:dyDescent="0.25">
      <c r="A114" s="84">
        <f>A113+1</f>
        <v>17</v>
      </c>
      <c r="B114" s="84" t="str">
        <f t="shared" si="48"/>
        <v xml:space="preserve">  </v>
      </c>
      <c r="C114" s="88" t="str">
        <f t="shared" ref="C114" si="54">B115</f>
        <v xml:space="preserve">  </v>
      </c>
      <c r="D114" s="82" t="str">
        <f>VLOOKUP(C114,STN_TABLE,2,FALSE)</f>
        <v xml:space="preserve">  </v>
      </c>
      <c r="E114" s="92">
        <v>1</v>
      </c>
      <c r="F114" s="82" t="e">
        <f>D114*E114</f>
        <v>#VALUE!</v>
      </c>
      <c r="G114" s="83" t="str">
        <f>C114</f>
        <v xml:space="preserve">  </v>
      </c>
      <c r="H114" s="83" t="e">
        <f>F114*G114</f>
        <v>#VALUE!</v>
      </c>
      <c r="I114" s="84" t="str">
        <f>CONCATENATE("a'(",C114,")=")</f>
        <v>a'(  )=</v>
      </c>
      <c r="J114" s="84" t="e">
        <f>2*J112/3*F115</f>
        <v>#VALUE!</v>
      </c>
      <c r="K114" s="84" t="e">
        <f>CONCATENATE("A(",C112,")=")</f>
        <v>#VALUE!</v>
      </c>
      <c r="L114" s="84" t="e">
        <f>VLOOKUP(C112,STN_TABLE,3,FALSE)</f>
        <v>#VALUE!</v>
      </c>
      <c r="M114" t="str">
        <f>CONCATENATE("A(",C114,")=")</f>
        <v>A(  )=</v>
      </c>
      <c r="N114" t="e">
        <f>J114+L114</f>
        <v>#VALUE!</v>
      </c>
      <c r="O114" s="99">
        <f>O113+1</f>
        <v>19</v>
      </c>
      <c r="P114" s="99" t="str">
        <f t="shared" si="44"/>
        <v xml:space="preserve">  </v>
      </c>
      <c r="Q114" s="82" t="e">
        <f>IF(P114-P113=P113-P112,P114,IF(P115-P113=P113-P112,P115,IF(P114-P113=P113-P111,P114,IF(P115-P113=P113-P111,P115,"-"))))</f>
        <v>#VALUE!</v>
      </c>
      <c r="R114" s="83" t="e">
        <f>VLOOKUP(Q114,STN_TABLE,2,FALSE)</f>
        <v>#VALUE!</v>
      </c>
      <c r="S114" s="83">
        <v>-1</v>
      </c>
      <c r="T114" s="82" t="e">
        <f>R114*S114</f>
        <v>#VALUE!</v>
      </c>
      <c r="U114" s="88">
        <v>-1</v>
      </c>
      <c r="V114" s="82" t="e">
        <f>R114*U114</f>
        <v>#VALUE!</v>
      </c>
      <c r="W114" s="84" t="str">
        <f>CONCATENATE("a'(",Q113,")=")</f>
        <v>a'(  )=</v>
      </c>
      <c r="X114" s="84" t="e">
        <f>2*X112/12*T115</f>
        <v>#VALUE!</v>
      </c>
      <c r="Y114" s="84" t="e">
        <f>CONCATENATE("A(",Q112,")=")</f>
        <v>#VALUE!</v>
      </c>
      <c r="Z114" s="84" t="e">
        <f>VLOOKUP(Q112,STN_TABLE,3,FALSE)</f>
        <v>#VALUE!</v>
      </c>
      <c r="AA114" t="str">
        <f>CONCATENATE("A(",Q113,")=")</f>
        <v>A(  )=</v>
      </c>
      <c r="AB114" t="e">
        <f>X114+Z114</f>
        <v>#VALUE!</v>
      </c>
      <c r="AC114" s="99">
        <f>AC113+1</f>
        <v>18</v>
      </c>
      <c r="AD114" s="100" t="str">
        <f>VLOOKUP(AC114,STN_TABLE_2,2,FALSE)</f>
        <v xml:space="preserve">  </v>
      </c>
      <c r="AE114" s="82" t="str">
        <f>VLOOKUP(AD114,STN_TABLE,2,FALSE)</f>
        <v xml:space="preserve">  </v>
      </c>
      <c r="AF114" s="82">
        <v>2</v>
      </c>
      <c r="AG114" s="83" t="e">
        <f>AE114*AF114</f>
        <v>#VALUE!</v>
      </c>
      <c r="AH114" s="84" t="str">
        <f>CONCATENATE("a'(",AD114,")=")</f>
        <v>a'(  )=</v>
      </c>
      <c r="AI114" s="84" t="e">
        <f>2*AI112/2*AE115</f>
        <v>#VALUE!</v>
      </c>
      <c r="AJ114" s="84" t="str">
        <f>CONCATENATE("A(",AD113,")=")</f>
        <v>A(  )=</v>
      </c>
      <c r="AK114" s="84" t="str">
        <f>VLOOKUP(AD113,STN_TABLE,3,FALSE)</f>
        <v xml:space="preserve"> </v>
      </c>
      <c r="AL114" t="str">
        <f>CONCATENATE("A(",AD114,")=")</f>
        <v>A(  )=</v>
      </c>
      <c r="AM114" t="e">
        <f>AI114+AK114</f>
        <v>#VALUE!</v>
      </c>
      <c r="AO114" s="68" t="str">
        <f>AA114</f>
        <v>A(  )=</v>
      </c>
      <c r="AP114" s="68" t="e">
        <f>VLOOKUP(AO114,Rise_Results,2,FALSE)</f>
        <v>#N/A</v>
      </c>
      <c r="AQ114" s="76" t="e">
        <f>N114</f>
        <v>#VALUE!</v>
      </c>
      <c r="AR114" s="76" t="e">
        <f>IF(OR(AB114&lt;=0,AB115&lt;=0),1/0,AB114)</f>
        <v>#VALUE!</v>
      </c>
      <c r="AS114" s="76" t="e">
        <f>AM114</f>
        <v>#VALUE!</v>
      </c>
      <c r="AT114" t="e">
        <f>IFERROR(AP114,IFERROR(AQ114,IFERROR(AR114,AS114)))</f>
        <v>#VALUE!</v>
      </c>
      <c r="AU114" s="81"/>
    </row>
    <row r="115" spans="1:47" x14ac:dyDescent="0.25">
      <c r="A115" s="84">
        <f>A114+1</f>
        <v>18</v>
      </c>
      <c r="B115" s="84" t="str">
        <f t="shared" si="48"/>
        <v xml:space="preserve">  </v>
      </c>
      <c r="F115" s="82" t="e">
        <f>SUM(F112:F114)</f>
        <v>#VALUE!</v>
      </c>
      <c r="H115" s="82" t="e">
        <f>SUM(H112:H114)</f>
        <v>#VALUE!</v>
      </c>
      <c r="I115" s="84" t="str">
        <f>CONCATENATE("m'(",C114,")=")</f>
        <v>m'(  )=</v>
      </c>
      <c r="J115" s="84" t="e">
        <f>2*(J112*(WLS))/3*H115</f>
        <v>#VALUE!</v>
      </c>
      <c r="K115" s="84" t="e">
        <f>CONCATENATE("M(",C112,")=")</f>
        <v>#VALUE!</v>
      </c>
      <c r="L115" s="84" t="e">
        <f>VLOOKUP(C112,STN_TABLE,4,FALSE)</f>
        <v>#VALUE!</v>
      </c>
      <c r="M115" t="str">
        <f>CONCATENATE("M(",C114,")=")</f>
        <v>M(  )=</v>
      </c>
      <c r="N115" t="e">
        <f>J115+L115</f>
        <v>#VALUE!</v>
      </c>
      <c r="O115" s="99">
        <f>O114+1</f>
        <v>20</v>
      </c>
      <c r="P115" s="99" t="str">
        <f t="shared" si="44"/>
        <v xml:space="preserve">  </v>
      </c>
      <c r="T115" s="89" t="e">
        <f>SUM(T112:T114)</f>
        <v>#VALUE!</v>
      </c>
      <c r="V115" s="82" t="e">
        <f>SUM(V112:V114)</f>
        <v>#VALUE!</v>
      </c>
      <c r="W115" s="84" t="str">
        <f>CONCATENATE("m'(",Q113,")=")</f>
        <v>m'(  )=</v>
      </c>
      <c r="X115" s="84" t="e">
        <f>(2*(X112^2)/24*V115)+(X114*Q112*WLS)</f>
        <v>#VALUE!</v>
      </c>
      <c r="Y115" s="84" t="e">
        <f>CONCATENATE("M(",Q112,")=")</f>
        <v>#VALUE!</v>
      </c>
      <c r="Z115" s="84" t="e">
        <f>VLOOKUP(Q112,STN_TABLE,4,FALSE)</f>
        <v>#VALUE!</v>
      </c>
      <c r="AA115" t="str">
        <f>CONCATENATE("M(",Q113,")=")</f>
        <v>M(  )=</v>
      </c>
      <c r="AB115" t="e">
        <f>X115+Z115</f>
        <v>#VALUE!</v>
      </c>
      <c r="AE115" s="89">
        <f>SUM(AE113:AE114)</f>
        <v>0</v>
      </c>
      <c r="AG115" s="89" t="e">
        <f>SUM(AG113:AG114)</f>
        <v>#VALUE!</v>
      </c>
      <c r="AH115" s="84" t="str">
        <f>CONCATENATE("m'(",AD114,")=")</f>
        <v>m'(  )=</v>
      </c>
      <c r="AI115" s="84" t="e">
        <f>(2*(AI112^2)/6*AG115)+(AI114*AD113*WLS)</f>
        <v>#VALUE!</v>
      </c>
      <c r="AJ115" s="84" t="str">
        <f>CONCATENATE("M(",AD113,")=")</f>
        <v>M(  )=</v>
      </c>
      <c r="AK115" s="84" t="str">
        <f>VLOOKUP(AD113,STN_TABLE,4,FALSE)</f>
        <v xml:space="preserve"> </v>
      </c>
      <c r="AL115" t="str">
        <f>CONCATENATE("M(",AD114,")=")</f>
        <v>M(  )=</v>
      </c>
      <c r="AM115" t="e">
        <f>AI115+AK115</f>
        <v>#VALUE!</v>
      </c>
      <c r="AO115" s="82" t="str">
        <f>AA115</f>
        <v>M(  )=</v>
      </c>
      <c r="AP115" s="82" t="e">
        <f>VLOOKUP(AO115,Rise_Results,2,FALSE)</f>
        <v>#N/A</v>
      </c>
      <c r="AQ115" s="82" t="e">
        <f>N115</f>
        <v>#VALUE!</v>
      </c>
      <c r="AR115" s="82" t="e">
        <f>IF(OR(AB114&lt;=0,AB115&lt;=0),1/0,AB115)</f>
        <v>#VALUE!</v>
      </c>
      <c r="AS115" s="82" t="e">
        <f>AM115</f>
        <v>#VALUE!</v>
      </c>
      <c r="AT115" t="e">
        <f>IFERROR(AP115,IFERROR(AQ115,IFERROR(AR115,AS115)))</f>
        <v>#VALUE!</v>
      </c>
      <c r="AU115" s="81"/>
    </row>
    <row r="116" spans="1:47" x14ac:dyDescent="0.25">
      <c r="A116" s="101">
        <f>A111+1</f>
        <v>15</v>
      </c>
      <c r="B116" s="101" t="str">
        <f t="shared" si="48"/>
        <v xml:space="preserve">  </v>
      </c>
      <c r="O116" s="101">
        <f>O111+1</f>
        <v>17</v>
      </c>
      <c r="P116" s="101" t="str">
        <f t="shared" si="44"/>
        <v xml:space="preserve">  </v>
      </c>
      <c r="AU116" s="81"/>
    </row>
    <row r="117" spans="1:47" x14ac:dyDescent="0.25">
      <c r="A117" s="84">
        <f>A116+1</f>
        <v>16</v>
      </c>
      <c r="B117" s="84" t="str">
        <f t="shared" si="48"/>
        <v xml:space="preserve">  </v>
      </c>
      <c r="C117" s="79" t="e">
        <f t="shared" ref="C117" si="55">IF(C118=B119,IF(C119-C118=C118-B118,B118,IF(C119-C118=C118-B117,B117,"#NA")),IF(C118=B118,IF(C119-C118=C118-B117,B117,IF(C119-C118=C118-B116,B116,"#NA")),"#NA"))</f>
        <v>#VALUE!</v>
      </c>
      <c r="D117" s="68" t="e">
        <f>VLOOKUP(C117,STN_TABLE,2,FALSE)</f>
        <v>#VALUE!</v>
      </c>
      <c r="E117" s="102">
        <v>1</v>
      </c>
      <c r="F117" s="68" t="e">
        <f>D117*E117</f>
        <v>#VALUE!</v>
      </c>
      <c r="G117" s="69" t="e">
        <f>C117</f>
        <v>#VALUE!</v>
      </c>
      <c r="H117" s="69" t="e">
        <f>F117*G117</f>
        <v>#VALUE!</v>
      </c>
      <c r="I117" s="6" t="s">
        <v>93</v>
      </c>
      <c r="J117" s="70" t="e">
        <f>IF(OR(D117=0,D118=0,D119=0),"#NA",IF(AND(C119-C118=C118-C117,C118&lt;&gt;C119,C117&lt;&gt;C118,C117&lt;&gt;C119,D119&lt;&gt;0,OR(D117&lt;&gt;0,D118&lt;&gt;0)),WLS*(C119-C118),"#NA"))</f>
        <v>#VALUE!</v>
      </c>
      <c r="O117" s="99">
        <f>O116+1</f>
        <v>18</v>
      </c>
      <c r="P117" s="99" t="str">
        <f t="shared" si="44"/>
        <v xml:space="preserve">  </v>
      </c>
      <c r="Q117" s="68" t="e">
        <f>IF(OR(P119-P118=P118-P117,P120-P118=P118-P117),P117,IF(OR(P119-P118=P118-P116,P120-P118=P118-P116),P116,"-"))</f>
        <v>#VALUE!</v>
      </c>
      <c r="R117" s="69" t="e">
        <f>VLOOKUP(Q117,STN_TABLE,2,FALSE)</f>
        <v>#VALUE!</v>
      </c>
      <c r="S117" s="69">
        <v>5</v>
      </c>
      <c r="T117" s="68" t="e">
        <f>R117*S117</f>
        <v>#VALUE!</v>
      </c>
      <c r="U117" s="79">
        <v>3</v>
      </c>
      <c r="V117" s="68" t="e">
        <f>R117*U117</f>
        <v>#VALUE!</v>
      </c>
      <c r="W117" s="6" t="s">
        <v>93</v>
      </c>
      <c r="X117" s="70" t="e">
        <f>IF(AND(Q119-Q118=Q118-Q117,NOT(AND(Q117=0,Q118=0)),NOT(AND(Q118=0,Q119=0))),WLS*(Q119-Q118),"#NA")</f>
        <v>#VALUE!</v>
      </c>
      <c r="AD117" s="93"/>
      <c r="AH117" s="6" t="s">
        <v>93</v>
      </c>
      <c r="AI117" s="70" t="e">
        <f>WLS*(AD119-AD118)</f>
        <v>#VALUE!</v>
      </c>
      <c r="AU117" s="81"/>
    </row>
    <row r="118" spans="1:47" x14ac:dyDescent="0.25">
      <c r="A118" s="84">
        <f>A117+1</f>
        <v>17</v>
      </c>
      <c r="B118" s="84" t="str">
        <f t="shared" si="48"/>
        <v xml:space="preserve">  </v>
      </c>
      <c r="C118" s="80" t="e">
        <f t="shared" ref="C118" si="56">IF(OR(B120-B119=B119-B118,B120-B119=B119-B117,B120-B119=B119-B116),B119,IF(OR(B120-B118=B118-B117,B120-B118=B118-B116),B118,IF(B120-B117=B117-B116,B117,"#NA")))</f>
        <v>#VALUE!</v>
      </c>
      <c r="D118" s="76" t="e">
        <f>VLOOKUP(C118,STN_TABLE,2,FALSE)</f>
        <v>#VALUE!</v>
      </c>
      <c r="E118" s="81">
        <v>4</v>
      </c>
      <c r="F118" s="76" t="e">
        <f>D118*E118</f>
        <v>#VALUE!</v>
      </c>
      <c r="G118" s="77" t="e">
        <f>C118</f>
        <v>#VALUE!</v>
      </c>
      <c r="H118" s="77" t="e">
        <f>F118*G118</f>
        <v>#VALUE!</v>
      </c>
      <c r="I118" s="495" t="s">
        <v>97</v>
      </c>
      <c r="J118" s="496"/>
      <c r="K118" s="78" t="s">
        <v>98</v>
      </c>
      <c r="L118" s="78"/>
      <c r="M118" s="7" t="s">
        <v>99</v>
      </c>
      <c r="N118" s="7"/>
      <c r="O118" s="99">
        <f>O117+1</f>
        <v>19</v>
      </c>
      <c r="P118" s="99" t="str">
        <f t="shared" si="44"/>
        <v xml:space="preserve">  </v>
      </c>
      <c r="Q118" s="76" t="str">
        <f>P118</f>
        <v xml:space="preserve">  </v>
      </c>
      <c r="R118" s="77" t="str">
        <f>VLOOKUP(Q118,STN_TABLE,2,FALSE)</f>
        <v xml:space="preserve">  </v>
      </c>
      <c r="S118" s="77">
        <v>8</v>
      </c>
      <c r="T118" s="76" t="e">
        <f>R118*S118</f>
        <v>#VALUE!</v>
      </c>
      <c r="U118" s="80">
        <v>10</v>
      </c>
      <c r="V118" s="76" t="e">
        <f>R118*U118</f>
        <v>#VALUE!</v>
      </c>
      <c r="W118" s="496" t="s">
        <v>97</v>
      </c>
      <c r="X118" s="496"/>
      <c r="Y118" s="496" t="s">
        <v>98</v>
      </c>
      <c r="Z118" s="496"/>
      <c r="AA118" s="494" t="s">
        <v>99</v>
      </c>
      <c r="AB118" s="494"/>
      <c r="AC118" s="99">
        <f>AC113+1</f>
        <v>18</v>
      </c>
      <c r="AD118" s="95" t="str">
        <f>VLOOKUP(AC118,STN_TABLE_2,2,FALSE)</f>
        <v xml:space="preserve">  </v>
      </c>
      <c r="AE118" s="68" t="str">
        <f>VLOOKUP(AD118,STN_TABLE,2,FALSE)</f>
        <v xml:space="preserve">  </v>
      </c>
      <c r="AF118" s="68">
        <v>1</v>
      </c>
      <c r="AG118" s="69" t="e">
        <f>AE118*AF118</f>
        <v>#VALUE!</v>
      </c>
      <c r="AH118" s="496" t="s">
        <v>97</v>
      </c>
      <c r="AI118" s="496"/>
      <c r="AJ118" s="496" t="s">
        <v>98</v>
      </c>
      <c r="AK118" s="496"/>
      <c r="AL118" s="494" t="s">
        <v>99</v>
      </c>
      <c r="AM118" s="494"/>
      <c r="AP118" s="86" t="s">
        <v>112</v>
      </c>
      <c r="AQ118" s="89" t="s">
        <v>113</v>
      </c>
      <c r="AR118" s="89" t="s">
        <v>114</v>
      </c>
      <c r="AS118" s="89" t="s">
        <v>115</v>
      </c>
      <c r="AU118" s="81"/>
    </row>
    <row r="119" spans="1:47" x14ac:dyDescent="0.25">
      <c r="A119" s="84">
        <f>A118+1</f>
        <v>18</v>
      </c>
      <c r="B119" s="84" t="str">
        <f t="shared" si="48"/>
        <v xml:space="preserve">  </v>
      </c>
      <c r="C119" s="88" t="str">
        <f t="shared" ref="C119" si="57">B120</f>
        <v xml:space="preserve">  </v>
      </c>
      <c r="D119" s="82" t="str">
        <f>VLOOKUP(C119,STN_TABLE,2,FALSE)</f>
        <v xml:space="preserve">  </v>
      </c>
      <c r="E119" s="92">
        <v>1</v>
      </c>
      <c r="F119" s="82" t="e">
        <f>D119*E119</f>
        <v>#VALUE!</v>
      </c>
      <c r="G119" s="83" t="str">
        <f>C119</f>
        <v xml:space="preserve">  </v>
      </c>
      <c r="H119" s="83" t="e">
        <f>F119*G119</f>
        <v>#VALUE!</v>
      </c>
      <c r="I119" s="84" t="str">
        <f>CONCATENATE("a'(",C119,")=")</f>
        <v>a'(  )=</v>
      </c>
      <c r="J119" s="84" t="e">
        <f>2*J117/3*F120</f>
        <v>#VALUE!</v>
      </c>
      <c r="K119" s="84" t="e">
        <f>CONCATENATE("A(",C117,")=")</f>
        <v>#VALUE!</v>
      </c>
      <c r="L119" s="84" t="e">
        <f>VLOOKUP(C117,STN_TABLE,3,FALSE)</f>
        <v>#VALUE!</v>
      </c>
      <c r="M119" t="str">
        <f>CONCATENATE("A(",C119,")=")</f>
        <v>A(  )=</v>
      </c>
      <c r="N119" t="e">
        <f>J119+L119</f>
        <v>#VALUE!</v>
      </c>
      <c r="O119" s="99">
        <f>O118+1</f>
        <v>20</v>
      </c>
      <c r="P119" s="99" t="str">
        <f t="shared" si="44"/>
        <v xml:space="preserve">  </v>
      </c>
      <c r="Q119" s="82" t="e">
        <f>IF(P119-P118=P118-P117,P119,IF(P120-P118=P118-P117,P120,IF(P119-P118=P118-P116,P119,IF(P120-P118=P118-P116,P120,"-"))))</f>
        <v>#VALUE!</v>
      </c>
      <c r="R119" s="83" t="e">
        <f>VLOOKUP(Q119,STN_TABLE,2,FALSE)</f>
        <v>#VALUE!</v>
      </c>
      <c r="S119" s="83">
        <v>-1</v>
      </c>
      <c r="T119" s="82" t="e">
        <f>R119*S119</f>
        <v>#VALUE!</v>
      </c>
      <c r="U119" s="88">
        <v>-1</v>
      </c>
      <c r="V119" s="82" t="e">
        <f>R119*U119</f>
        <v>#VALUE!</v>
      </c>
      <c r="W119" s="84" t="str">
        <f>CONCATENATE("a'(",Q118,")=")</f>
        <v>a'(  )=</v>
      </c>
      <c r="X119" s="84" t="e">
        <f>2*X117/12*T120</f>
        <v>#VALUE!</v>
      </c>
      <c r="Y119" s="84" t="e">
        <f>CONCATENATE("A(",Q117,")=")</f>
        <v>#VALUE!</v>
      </c>
      <c r="Z119" s="84" t="e">
        <f>VLOOKUP(Q117,STN_TABLE,3,FALSE)</f>
        <v>#VALUE!</v>
      </c>
      <c r="AA119" t="str">
        <f>CONCATENATE("A(",Q118,")=")</f>
        <v>A(  )=</v>
      </c>
      <c r="AB119" t="e">
        <f>X119+Z119</f>
        <v>#VALUE!</v>
      </c>
      <c r="AC119" s="99">
        <f>AC118+1</f>
        <v>19</v>
      </c>
      <c r="AD119" s="100" t="str">
        <f>VLOOKUP(AC119,STN_TABLE_2,2,FALSE)</f>
        <v xml:space="preserve">  </v>
      </c>
      <c r="AE119" s="82" t="str">
        <f>VLOOKUP(AD119,STN_TABLE,2,FALSE)</f>
        <v xml:space="preserve">  </v>
      </c>
      <c r="AF119" s="82">
        <v>2</v>
      </c>
      <c r="AG119" s="83" t="e">
        <f>AE119*AF119</f>
        <v>#VALUE!</v>
      </c>
      <c r="AH119" s="84" t="str">
        <f>CONCATENATE("a'(",AD119,")=")</f>
        <v>a'(  )=</v>
      </c>
      <c r="AI119" s="84" t="e">
        <f>2*AI117/2*AE120</f>
        <v>#VALUE!</v>
      </c>
      <c r="AJ119" s="84" t="str">
        <f>CONCATENATE("A(",AD118,")=")</f>
        <v>A(  )=</v>
      </c>
      <c r="AK119" s="84" t="str">
        <f>VLOOKUP(AD118,STN_TABLE,3,FALSE)</f>
        <v xml:space="preserve"> </v>
      </c>
      <c r="AL119" t="str">
        <f>CONCATENATE("A(",AD119,")=")</f>
        <v>A(  )=</v>
      </c>
      <c r="AM119" t="e">
        <f>AI119+AK119</f>
        <v>#VALUE!</v>
      </c>
      <c r="AO119" s="68" t="str">
        <f>AA119</f>
        <v>A(  )=</v>
      </c>
      <c r="AP119" s="68" t="e">
        <f>VLOOKUP(AO119,Rise_Results,2,FALSE)</f>
        <v>#N/A</v>
      </c>
      <c r="AQ119" s="76" t="e">
        <f>N119</f>
        <v>#VALUE!</v>
      </c>
      <c r="AR119" s="76" t="e">
        <f>IF(OR(AB119&lt;=0,AB120&lt;=0),1/0,AB119)</f>
        <v>#VALUE!</v>
      </c>
      <c r="AS119" s="76" t="e">
        <f>AM119</f>
        <v>#VALUE!</v>
      </c>
      <c r="AT119" t="e">
        <f>IFERROR(AP119,IFERROR(AQ119,IFERROR(AR119,AS119)))</f>
        <v>#VALUE!</v>
      </c>
      <c r="AU119" s="81"/>
    </row>
    <row r="120" spans="1:47" x14ac:dyDescent="0.25">
      <c r="A120" s="84">
        <f>A119+1</f>
        <v>19</v>
      </c>
      <c r="B120" s="84" t="str">
        <f t="shared" si="48"/>
        <v xml:space="preserve">  </v>
      </c>
      <c r="F120" s="82" t="e">
        <f>SUM(F117:F119)</f>
        <v>#VALUE!</v>
      </c>
      <c r="H120" s="82" t="e">
        <f>SUM(H117:H119)</f>
        <v>#VALUE!</v>
      </c>
      <c r="I120" s="84" t="str">
        <f>CONCATENATE("m'(",C119,")=")</f>
        <v>m'(  )=</v>
      </c>
      <c r="J120" s="84" t="e">
        <f>2*(J117*(WLS))/3*H120</f>
        <v>#VALUE!</v>
      </c>
      <c r="K120" s="84" t="e">
        <f>CONCATENATE("M(",C117,")=")</f>
        <v>#VALUE!</v>
      </c>
      <c r="L120" s="84" t="e">
        <f>VLOOKUP(C117,STN_TABLE,4,FALSE)</f>
        <v>#VALUE!</v>
      </c>
      <c r="M120" t="str">
        <f>CONCATENATE("M(",C119,")=")</f>
        <v>M(  )=</v>
      </c>
      <c r="N120" t="e">
        <f>J120+L120</f>
        <v>#VALUE!</v>
      </c>
      <c r="O120" s="99">
        <f>O119+1</f>
        <v>21</v>
      </c>
      <c r="P120" s="99" t="str">
        <f t="shared" si="44"/>
        <v xml:space="preserve">  </v>
      </c>
      <c r="T120" s="89" t="e">
        <f>SUM(T117:T119)</f>
        <v>#VALUE!</v>
      </c>
      <c r="V120" s="82" t="e">
        <f>SUM(V117:V119)</f>
        <v>#VALUE!</v>
      </c>
      <c r="W120" s="84" t="str">
        <f>CONCATENATE("m'(",Q118,")=")</f>
        <v>m'(  )=</v>
      </c>
      <c r="X120" s="84" t="e">
        <f>(2*(X117^2)/24*V120)+(X119*Q117*WLS)</f>
        <v>#VALUE!</v>
      </c>
      <c r="Y120" s="84" t="e">
        <f>CONCATENATE("M(",Q117,")=")</f>
        <v>#VALUE!</v>
      </c>
      <c r="Z120" s="84" t="e">
        <f>VLOOKUP(Q117,STN_TABLE,4,FALSE)</f>
        <v>#VALUE!</v>
      </c>
      <c r="AA120" t="str">
        <f>CONCATENATE("M(",Q118,")=")</f>
        <v>M(  )=</v>
      </c>
      <c r="AB120" t="e">
        <f>X120+Z120</f>
        <v>#VALUE!</v>
      </c>
      <c r="AE120" s="89">
        <f>SUM(AE118:AE119)</f>
        <v>0</v>
      </c>
      <c r="AG120" s="89" t="e">
        <f>SUM(AG118:AG119)</f>
        <v>#VALUE!</v>
      </c>
      <c r="AH120" s="84" t="str">
        <f>CONCATENATE("m'(",AD119,")=")</f>
        <v>m'(  )=</v>
      </c>
      <c r="AI120" s="84" t="e">
        <f>(2*(AI117^2)/6*AG120)+(AI119*AD118*WLS)</f>
        <v>#VALUE!</v>
      </c>
      <c r="AJ120" s="84" t="str">
        <f>CONCATENATE("M(",AD118,")=")</f>
        <v>M(  )=</v>
      </c>
      <c r="AK120" s="84" t="str">
        <f>VLOOKUP(AD118,STN_TABLE,4,FALSE)</f>
        <v xml:space="preserve"> </v>
      </c>
      <c r="AL120" t="str">
        <f>CONCATENATE("M(",AD119,")=")</f>
        <v>M(  )=</v>
      </c>
      <c r="AM120" t="e">
        <f>AI120+AK120</f>
        <v>#VALUE!</v>
      </c>
      <c r="AO120" s="82" t="str">
        <f>AA120</f>
        <v>M(  )=</v>
      </c>
      <c r="AP120" s="82" t="e">
        <f>VLOOKUP(AO120,Rise_Results,2,FALSE)</f>
        <v>#N/A</v>
      </c>
      <c r="AQ120" s="82" t="e">
        <f>N120</f>
        <v>#VALUE!</v>
      </c>
      <c r="AR120" s="82" t="e">
        <f>IF(OR(AB119&lt;=0,AB120&lt;=0),1/0,AB120)</f>
        <v>#VALUE!</v>
      </c>
      <c r="AS120" s="82" t="e">
        <f>AM120</f>
        <v>#VALUE!</v>
      </c>
      <c r="AT120" t="e">
        <f>IFERROR(AP120,IFERROR(AQ120,IFERROR(AR120,AS120)))</f>
        <v>#VALUE!</v>
      </c>
      <c r="AU120" s="81"/>
    </row>
    <row r="121" spans="1:47" x14ac:dyDescent="0.25">
      <c r="A121" s="101">
        <f>A116+1</f>
        <v>16</v>
      </c>
      <c r="B121" s="101" t="str">
        <f t="shared" si="48"/>
        <v xml:space="preserve">  </v>
      </c>
      <c r="O121" s="101">
        <f>O116+1</f>
        <v>18</v>
      </c>
      <c r="P121" s="101" t="str">
        <f t="shared" si="44"/>
        <v xml:space="preserve">  </v>
      </c>
      <c r="AU121" s="81"/>
    </row>
    <row r="122" spans="1:47" x14ac:dyDescent="0.25">
      <c r="A122" s="84">
        <f>A121+1</f>
        <v>17</v>
      </c>
      <c r="B122" s="84" t="str">
        <f t="shared" si="48"/>
        <v xml:space="preserve">  </v>
      </c>
      <c r="C122" s="79" t="e">
        <f t="shared" ref="C122" si="58">IF(C123=B124,IF(C124-C123=C123-B123,B123,IF(C124-C123=C123-B122,B122,"#NA")),IF(C123=B123,IF(C124-C123=C123-B122,B122,IF(C124-C123=C123-B121,B121,"#NA")),"#NA"))</f>
        <v>#VALUE!</v>
      </c>
      <c r="D122" s="68" t="e">
        <f>VLOOKUP(C122,STN_TABLE,2,FALSE)</f>
        <v>#VALUE!</v>
      </c>
      <c r="E122" s="102">
        <v>1</v>
      </c>
      <c r="F122" s="68" t="e">
        <f>D122*E122</f>
        <v>#VALUE!</v>
      </c>
      <c r="G122" s="69" t="e">
        <f>C122</f>
        <v>#VALUE!</v>
      </c>
      <c r="H122" s="69" t="e">
        <f>F122*G122</f>
        <v>#VALUE!</v>
      </c>
      <c r="I122" s="6" t="s">
        <v>93</v>
      </c>
      <c r="J122" s="70" t="e">
        <f>IF(OR(D122=0,D123=0,D124=0),"#NA",IF(AND(C124-C123=C123-C122,C123&lt;&gt;C124,C122&lt;&gt;C123,C122&lt;&gt;C124,D124&lt;&gt;0,OR(D122&lt;&gt;0,D123&lt;&gt;0)),WLS*(C124-C123),"#NA"))</f>
        <v>#VALUE!</v>
      </c>
      <c r="O122" s="99">
        <f>O121+1</f>
        <v>19</v>
      </c>
      <c r="P122" s="99" t="str">
        <f t="shared" si="44"/>
        <v xml:space="preserve">  </v>
      </c>
      <c r="Q122" s="68" t="e">
        <f>IF(OR(P124-P123=P123-P122,P125-P123=P123-P122),P122,IF(OR(P124-P123=P123-P121,P125-P123=P123-P121),P121,"-"))</f>
        <v>#VALUE!</v>
      </c>
      <c r="R122" s="69" t="e">
        <f>VLOOKUP(Q122,STN_TABLE,2,FALSE)</f>
        <v>#VALUE!</v>
      </c>
      <c r="S122" s="69">
        <v>5</v>
      </c>
      <c r="T122" s="68" t="e">
        <f>R122*S122</f>
        <v>#VALUE!</v>
      </c>
      <c r="U122" s="79">
        <v>3</v>
      </c>
      <c r="V122" s="68" t="e">
        <f>R122*U122</f>
        <v>#VALUE!</v>
      </c>
      <c r="W122" s="6" t="s">
        <v>93</v>
      </c>
      <c r="X122" s="70" t="e">
        <f>IF(AND(Q124-Q123=Q123-Q122,NOT(AND(Q122=0,Q123=0)),NOT(AND(Q123=0,Q124=0))),WLS*(Q124-Q123),"#NA")</f>
        <v>#VALUE!</v>
      </c>
      <c r="AD122" s="93"/>
      <c r="AH122" s="6" t="s">
        <v>93</v>
      </c>
      <c r="AI122" s="70" t="e">
        <f>WLS*(AD124-AD123)</f>
        <v>#VALUE!</v>
      </c>
      <c r="AU122" s="81"/>
    </row>
    <row r="123" spans="1:47" x14ac:dyDescent="0.25">
      <c r="A123" s="84">
        <f>A122+1</f>
        <v>18</v>
      </c>
      <c r="B123" s="84" t="str">
        <f t="shared" si="48"/>
        <v xml:space="preserve">  </v>
      </c>
      <c r="C123" s="80" t="e">
        <f t="shared" ref="C123" si="59">IF(OR(B125-B124=B124-B123,B125-B124=B124-B122,B125-B124=B124-B121),B124,IF(OR(B125-B123=B123-B122,B125-B123=B123-B121),B123,IF(B125-B122=B122-B121,B122,"#NA")))</f>
        <v>#VALUE!</v>
      </c>
      <c r="D123" s="76" t="e">
        <f>VLOOKUP(C123,STN_TABLE,2,FALSE)</f>
        <v>#VALUE!</v>
      </c>
      <c r="E123" s="81">
        <v>4</v>
      </c>
      <c r="F123" s="76" t="e">
        <f>D123*E123</f>
        <v>#VALUE!</v>
      </c>
      <c r="G123" s="77" t="e">
        <f>C123</f>
        <v>#VALUE!</v>
      </c>
      <c r="H123" s="77" t="e">
        <f>F123*G123</f>
        <v>#VALUE!</v>
      </c>
      <c r="I123" s="495" t="s">
        <v>97</v>
      </c>
      <c r="J123" s="496"/>
      <c r="K123" s="78" t="s">
        <v>98</v>
      </c>
      <c r="L123" s="78"/>
      <c r="M123" s="7" t="s">
        <v>99</v>
      </c>
      <c r="N123" s="7"/>
      <c r="O123" s="99">
        <f>O122+1</f>
        <v>20</v>
      </c>
      <c r="P123" s="99" t="str">
        <f t="shared" si="44"/>
        <v xml:space="preserve">  </v>
      </c>
      <c r="Q123" s="76" t="str">
        <f>P123</f>
        <v xml:space="preserve">  </v>
      </c>
      <c r="R123" s="77" t="str">
        <f>VLOOKUP(Q123,STN_TABLE,2,FALSE)</f>
        <v xml:space="preserve">  </v>
      </c>
      <c r="S123" s="77">
        <v>8</v>
      </c>
      <c r="T123" s="76" t="e">
        <f>R123*S123</f>
        <v>#VALUE!</v>
      </c>
      <c r="U123" s="80">
        <v>10</v>
      </c>
      <c r="V123" s="76" t="e">
        <f>R123*U123</f>
        <v>#VALUE!</v>
      </c>
      <c r="W123" s="496" t="s">
        <v>97</v>
      </c>
      <c r="X123" s="496"/>
      <c r="Y123" s="496" t="s">
        <v>98</v>
      </c>
      <c r="Z123" s="496"/>
      <c r="AA123" s="494" t="s">
        <v>99</v>
      </c>
      <c r="AB123" s="494"/>
      <c r="AC123" s="99">
        <f>AC118+1</f>
        <v>19</v>
      </c>
      <c r="AD123" s="95" t="str">
        <f>VLOOKUP(AC123,STN_TABLE_2,2,FALSE)</f>
        <v xml:space="preserve">  </v>
      </c>
      <c r="AE123" s="68" t="str">
        <f>VLOOKUP(AD123,STN_TABLE,2,FALSE)</f>
        <v xml:space="preserve">  </v>
      </c>
      <c r="AF123" s="68">
        <v>1</v>
      </c>
      <c r="AG123" s="69" t="e">
        <f>AE123*AF123</f>
        <v>#VALUE!</v>
      </c>
      <c r="AH123" s="496" t="s">
        <v>97</v>
      </c>
      <c r="AI123" s="496"/>
      <c r="AJ123" s="496" t="s">
        <v>98</v>
      </c>
      <c r="AK123" s="496"/>
      <c r="AL123" s="494" t="s">
        <v>99</v>
      </c>
      <c r="AM123" s="494"/>
      <c r="AP123" s="86" t="s">
        <v>112</v>
      </c>
      <c r="AQ123" s="89" t="s">
        <v>113</v>
      </c>
      <c r="AR123" s="89" t="s">
        <v>114</v>
      </c>
      <c r="AS123" s="89" t="s">
        <v>115</v>
      </c>
      <c r="AU123" s="81"/>
    </row>
    <row r="124" spans="1:47" x14ac:dyDescent="0.25">
      <c r="A124" s="84">
        <f>A123+1</f>
        <v>19</v>
      </c>
      <c r="B124" s="84" t="str">
        <f t="shared" si="48"/>
        <v xml:space="preserve">  </v>
      </c>
      <c r="C124" s="88" t="str">
        <f t="shared" ref="C124" si="60">B125</f>
        <v xml:space="preserve">  </v>
      </c>
      <c r="D124" s="82" t="str">
        <f>VLOOKUP(C124,STN_TABLE,2,FALSE)</f>
        <v xml:space="preserve">  </v>
      </c>
      <c r="E124" s="92">
        <v>1</v>
      </c>
      <c r="F124" s="82" t="e">
        <f>D124*E124</f>
        <v>#VALUE!</v>
      </c>
      <c r="G124" s="83" t="str">
        <f>C124</f>
        <v xml:space="preserve">  </v>
      </c>
      <c r="H124" s="83" t="e">
        <f>F124*G124</f>
        <v>#VALUE!</v>
      </c>
      <c r="I124" s="84" t="str">
        <f>CONCATENATE("a'(",C124,")=")</f>
        <v>a'(  )=</v>
      </c>
      <c r="J124" s="84" t="e">
        <f>2*J122/3*F125</f>
        <v>#VALUE!</v>
      </c>
      <c r="K124" s="84" t="e">
        <f>CONCATENATE("A(",C122,")=")</f>
        <v>#VALUE!</v>
      </c>
      <c r="L124" s="84" t="e">
        <f>VLOOKUP(C122,STN_TABLE,3,FALSE)</f>
        <v>#VALUE!</v>
      </c>
      <c r="M124" t="str">
        <f>CONCATENATE("A(",C124,")=")</f>
        <v>A(  )=</v>
      </c>
      <c r="N124" t="e">
        <f>J124+L124</f>
        <v>#VALUE!</v>
      </c>
      <c r="O124" s="99">
        <f>O123+1</f>
        <v>21</v>
      </c>
      <c r="P124" s="99" t="str">
        <f t="shared" si="44"/>
        <v xml:space="preserve">  </v>
      </c>
      <c r="Q124" s="82" t="e">
        <f>IF(P124-P123=P123-P122,P124,IF(P125-P123=P123-P122,P125,IF(P124-P123=P123-P121,P124,IF(P125-P123=P123-P121,P125,"-"))))</f>
        <v>#VALUE!</v>
      </c>
      <c r="R124" s="83" t="e">
        <f>VLOOKUP(Q124,STN_TABLE,2,FALSE)</f>
        <v>#VALUE!</v>
      </c>
      <c r="S124" s="83">
        <v>-1</v>
      </c>
      <c r="T124" s="82" t="e">
        <f>R124*S124</f>
        <v>#VALUE!</v>
      </c>
      <c r="U124" s="88">
        <v>-1</v>
      </c>
      <c r="V124" s="82" t="e">
        <f>R124*U124</f>
        <v>#VALUE!</v>
      </c>
      <c r="W124" s="84" t="str">
        <f>CONCATENATE("a'(",Q123,")=")</f>
        <v>a'(  )=</v>
      </c>
      <c r="X124" s="84" t="e">
        <f>2*X122/12*T125</f>
        <v>#VALUE!</v>
      </c>
      <c r="Y124" s="84" t="e">
        <f>CONCATENATE("A(",Q122,")=")</f>
        <v>#VALUE!</v>
      </c>
      <c r="Z124" s="84" t="e">
        <f>VLOOKUP(Q122,STN_TABLE,3,FALSE)</f>
        <v>#VALUE!</v>
      </c>
      <c r="AA124" t="str">
        <f>CONCATENATE("A(",Q123,")=")</f>
        <v>A(  )=</v>
      </c>
      <c r="AB124" t="e">
        <f>X124+Z124</f>
        <v>#VALUE!</v>
      </c>
      <c r="AC124" s="99">
        <f>AC123+1</f>
        <v>20</v>
      </c>
      <c r="AD124" s="100" t="str">
        <f>VLOOKUP(AC124,STN_TABLE_2,2,FALSE)</f>
        <v xml:space="preserve">  </v>
      </c>
      <c r="AE124" s="82" t="str">
        <f>VLOOKUP(AD124,STN_TABLE,2,FALSE)</f>
        <v xml:space="preserve">  </v>
      </c>
      <c r="AF124" s="82">
        <v>2</v>
      </c>
      <c r="AG124" s="83" t="e">
        <f>AE124*AF124</f>
        <v>#VALUE!</v>
      </c>
      <c r="AH124" s="84" t="str">
        <f>CONCATENATE("a'(",AD124,")=")</f>
        <v>a'(  )=</v>
      </c>
      <c r="AI124" s="84" t="e">
        <f>2*AI122/2*AE125</f>
        <v>#VALUE!</v>
      </c>
      <c r="AJ124" s="84" t="str">
        <f>CONCATENATE("A(",AD123,")=")</f>
        <v>A(  )=</v>
      </c>
      <c r="AK124" s="84" t="str">
        <f>VLOOKUP(AD123,STN_TABLE,3,FALSE)</f>
        <v xml:space="preserve"> </v>
      </c>
      <c r="AL124" t="str">
        <f>CONCATENATE("A(",AD124,")=")</f>
        <v>A(  )=</v>
      </c>
      <c r="AM124" t="e">
        <f>AI124+AK124</f>
        <v>#VALUE!</v>
      </c>
      <c r="AO124" s="68" t="str">
        <f>AA124</f>
        <v>A(  )=</v>
      </c>
      <c r="AP124" s="68" t="e">
        <f>VLOOKUP(AO124,Rise_Results,2,FALSE)</f>
        <v>#N/A</v>
      </c>
      <c r="AQ124" s="76" t="e">
        <f>N124</f>
        <v>#VALUE!</v>
      </c>
      <c r="AR124" s="76" t="e">
        <f>IF(OR(AB124&lt;=0,AB125&lt;=0),1/0,AB124)</f>
        <v>#VALUE!</v>
      </c>
      <c r="AS124" s="76" t="e">
        <f>AM124</f>
        <v>#VALUE!</v>
      </c>
      <c r="AT124" t="e">
        <f>IFERROR(AP124,IFERROR(AQ124,IFERROR(AR124,AS124)))</f>
        <v>#VALUE!</v>
      </c>
      <c r="AU124" s="81"/>
    </row>
    <row r="125" spans="1:47" x14ac:dyDescent="0.25">
      <c r="A125" s="84">
        <f>A124+1</f>
        <v>20</v>
      </c>
      <c r="B125" s="84" t="str">
        <f t="shared" si="48"/>
        <v xml:space="preserve">  </v>
      </c>
      <c r="F125" s="82" t="e">
        <f>SUM(F122:F124)</f>
        <v>#VALUE!</v>
      </c>
      <c r="H125" s="82" t="e">
        <f>SUM(H122:H124)</f>
        <v>#VALUE!</v>
      </c>
      <c r="I125" s="84" t="str">
        <f>CONCATENATE("m'(",C124,")=")</f>
        <v>m'(  )=</v>
      </c>
      <c r="J125" s="84" t="e">
        <f>2*(J122*(WLS))/3*H125</f>
        <v>#VALUE!</v>
      </c>
      <c r="K125" s="84" t="e">
        <f>CONCATENATE("M(",C122,")=")</f>
        <v>#VALUE!</v>
      </c>
      <c r="L125" s="84" t="e">
        <f>VLOOKUP(C122,STN_TABLE,4,FALSE)</f>
        <v>#VALUE!</v>
      </c>
      <c r="M125" t="str">
        <f>CONCATENATE("M(",C124,")=")</f>
        <v>M(  )=</v>
      </c>
      <c r="N125" t="e">
        <f>J125+L125</f>
        <v>#VALUE!</v>
      </c>
      <c r="O125" s="99">
        <f>O124+1</f>
        <v>22</v>
      </c>
      <c r="P125" s="99" t="str">
        <f t="shared" si="44"/>
        <v xml:space="preserve">  </v>
      </c>
      <c r="T125" s="89" t="e">
        <f>SUM(T122:T124)</f>
        <v>#VALUE!</v>
      </c>
      <c r="V125" s="82" t="e">
        <f>SUM(V122:V124)</f>
        <v>#VALUE!</v>
      </c>
      <c r="W125" s="84" t="str">
        <f>CONCATENATE("m'(",Q123,")=")</f>
        <v>m'(  )=</v>
      </c>
      <c r="X125" s="84" t="e">
        <f>(2*(X122^2)/24*V125)+(X124*Q122*WLS)</f>
        <v>#VALUE!</v>
      </c>
      <c r="Y125" s="84" t="e">
        <f>CONCATENATE("M(",Q122,")=")</f>
        <v>#VALUE!</v>
      </c>
      <c r="Z125" s="84" t="e">
        <f>VLOOKUP(Q122,STN_TABLE,4,FALSE)</f>
        <v>#VALUE!</v>
      </c>
      <c r="AA125" t="str">
        <f>CONCATENATE("M(",Q123,")=")</f>
        <v>M(  )=</v>
      </c>
      <c r="AB125" t="e">
        <f>X125+Z125</f>
        <v>#VALUE!</v>
      </c>
      <c r="AE125" s="89">
        <f>SUM(AE123:AE124)</f>
        <v>0</v>
      </c>
      <c r="AG125" s="89" t="e">
        <f>SUM(AG123:AG124)</f>
        <v>#VALUE!</v>
      </c>
      <c r="AH125" s="84" t="str">
        <f>CONCATENATE("m'(",AD124,")=")</f>
        <v>m'(  )=</v>
      </c>
      <c r="AI125" s="84" t="e">
        <f>(2*(AI122^2)/6*AG125)+(AI124*AD123*WLS)</f>
        <v>#VALUE!</v>
      </c>
      <c r="AJ125" s="84" t="str">
        <f>CONCATENATE("M(",AD123,")=")</f>
        <v>M(  )=</v>
      </c>
      <c r="AK125" s="84" t="str">
        <f>VLOOKUP(AD123,STN_TABLE,4,FALSE)</f>
        <v xml:space="preserve"> </v>
      </c>
      <c r="AL125" t="str">
        <f>CONCATENATE("M(",AD124,")=")</f>
        <v>M(  )=</v>
      </c>
      <c r="AM125" t="e">
        <f>AI125+AK125</f>
        <v>#VALUE!</v>
      </c>
      <c r="AO125" s="82" t="str">
        <f>AA125</f>
        <v>M(  )=</v>
      </c>
      <c r="AP125" s="82" t="e">
        <f>VLOOKUP(AO125,Rise_Results,2,FALSE)</f>
        <v>#N/A</v>
      </c>
      <c r="AQ125" s="82" t="e">
        <f>N125</f>
        <v>#VALUE!</v>
      </c>
      <c r="AR125" s="82" t="e">
        <f>IF(OR(AB124&lt;=0,AB125&lt;=0),1/0,AB125)</f>
        <v>#VALUE!</v>
      </c>
      <c r="AS125" s="82" t="e">
        <f>AM125</f>
        <v>#VALUE!</v>
      </c>
      <c r="AT125" t="e">
        <f>IFERROR(AP125,IFERROR(AQ125,IFERROR(AR125,AS125)))</f>
        <v>#VALUE!</v>
      </c>
      <c r="AU125" s="81"/>
    </row>
    <row r="126" spans="1:47" x14ac:dyDescent="0.25">
      <c r="A126" s="101">
        <f>A121+1</f>
        <v>17</v>
      </c>
      <c r="B126" s="101" t="str">
        <f t="shared" si="48"/>
        <v xml:space="preserve">  </v>
      </c>
      <c r="O126" s="101">
        <f>O121+1</f>
        <v>19</v>
      </c>
      <c r="P126" s="101" t="str">
        <f t="shared" si="44"/>
        <v xml:space="preserve">  </v>
      </c>
      <c r="AU126" s="81"/>
    </row>
    <row r="127" spans="1:47" x14ac:dyDescent="0.25">
      <c r="A127" s="84">
        <f>A126+1</f>
        <v>18</v>
      </c>
      <c r="B127" s="84" t="str">
        <f t="shared" si="48"/>
        <v xml:space="preserve">  </v>
      </c>
      <c r="C127" s="79" t="e">
        <f t="shared" ref="C127" si="61">IF(C128=B129,IF(C129-C128=C128-B128,B128,IF(C129-C128=C128-B127,B127,"#NA")),IF(C128=B128,IF(C129-C128=C128-B127,B127,IF(C129-C128=C128-B126,B126,"#NA")),"#NA"))</f>
        <v>#VALUE!</v>
      </c>
      <c r="D127" s="68" t="e">
        <f>VLOOKUP(C127,STN_TABLE,2,FALSE)</f>
        <v>#VALUE!</v>
      </c>
      <c r="E127" s="102">
        <v>1</v>
      </c>
      <c r="F127" s="68" t="e">
        <f>D127*E127</f>
        <v>#VALUE!</v>
      </c>
      <c r="G127" s="69" t="e">
        <f>C127</f>
        <v>#VALUE!</v>
      </c>
      <c r="H127" s="69" t="e">
        <f>F127*G127</f>
        <v>#VALUE!</v>
      </c>
      <c r="I127" s="6" t="s">
        <v>93</v>
      </c>
      <c r="J127" s="70" t="e">
        <f>IF(OR(D127=0,D128=0,D129=0),"#NA",IF(AND(C129-C128=C128-C127,C128&lt;&gt;C129,C127&lt;&gt;C128,C127&lt;&gt;C129,D129&lt;&gt;0,OR(D127&lt;&gt;0,D128&lt;&gt;0)),WLS*(C129-C128),"#NA"))</f>
        <v>#VALUE!</v>
      </c>
      <c r="O127" s="99">
        <f>O126+1</f>
        <v>20</v>
      </c>
      <c r="P127" s="99" t="str">
        <f t="shared" si="44"/>
        <v xml:space="preserve">  </v>
      </c>
      <c r="Q127" s="68" t="e">
        <f>IF(OR(P129-P128=P128-P127,P130-P128=P128-P127),P127,IF(OR(P129-P128=P128-P126,P130-P128=P128-P126),P126,"-"))</f>
        <v>#VALUE!</v>
      </c>
      <c r="R127" s="69" t="e">
        <f>VLOOKUP(Q127,STN_TABLE,2,FALSE)</f>
        <v>#VALUE!</v>
      </c>
      <c r="S127" s="69">
        <v>5</v>
      </c>
      <c r="T127" s="68" t="e">
        <f>R127*S127</f>
        <v>#VALUE!</v>
      </c>
      <c r="U127" s="79">
        <v>3</v>
      </c>
      <c r="V127" s="68" t="e">
        <f>R127*U127</f>
        <v>#VALUE!</v>
      </c>
      <c r="W127" s="6" t="s">
        <v>93</v>
      </c>
      <c r="X127" s="70" t="e">
        <f>IF(AND(Q129-Q128=Q128-Q127,NOT(AND(Q127=0,Q128=0)),NOT(AND(Q128=0,Q129=0))),WLS*(Q129-Q128),"#NA")</f>
        <v>#VALUE!</v>
      </c>
      <c r="AD127" s="93"/>
      <c r="AH127" s="6" t="s">
        <v>93</v>
      </c>
      <c r="AI127" s="70" t="e">
        <f>WLS*(AD129-AD128)</f>
        <v>#VALUE!</v>
      </c>
      <c r="AU127" s="81"/>
    </row>
    <row r="128" spans="1:47" x14ac:dyDescent="0.25">
      <c r="A128" s="84">
        <f>A127+1</f>
        <v>19</v>
      </c>
      <c r="B128" s="84" t="str">
        <f t="shared" si="48"/>
        <v xml:space="preserve">  </v>
      </c>
      <c r="C128" s="80" t="e">
        <f t="shared" ref="C128" si="62">IF(OR(B130-B129=B129-B128,B130-B129=B129-B127,B130-B129=B129-B126),B129,IF(OR(B130-B128=B128-B127,B130-B128=B128-B126),B128,IF(B130-B127=B127-B126,B127,"#NA")))</f>
        <v>#VALUE!</v>
      </c>
      <c r="D128" s="76" t="e">
        <f>VLOOKUP(C128,STN_TABLE,2,FALSE)</f>
        <v>#VALUE!</v>
      </c>
      <c r="E128" s="81">
        <v>4</v>
      </c>
      <c r="F128" s="76" t="e">
        <f>D128*E128</f>
        <v>#VALUE!</v>
      </c>
      <c r="G128" s="77" t="e">
        <f>C128</f>
        <v>#VALUE!</v>
      </c>
      <c r="H128" s="77" t="e">
        <f>F128*G128</f>
        <v>#VALUE!</v>
      </c>
      <c r="I128" s="495" t="s">
        <v>97</v>
      </c>
      <c r="J128" s="496"/>
      <c r="K128" s="78" t="s">
        <v>98</v>
      </c>
      <c r="L128" s="78"/>
      <c r="M128" s="7" t="s">
        <v>99</v>
      </c>
      <c r="N128" s="7"/>
      <c r="O128" s="99">
        <f>O127+1</f>
        <v>21</v>
      </c>
      <c r="P128" s="99" t="str">
        <f t="shared" si="44"/>
        <v xml:space="preserve">  </v>
      </c>
      <c r="Q128" s="76" t="str">
        <f>P128</f>
        <v xml:space="preserve">  </v>
      </c>
      <c r="R128" s="77" t="str">
        <f>VLOOKUP(Q128,STN_TABLE,2,FALSE)</f>
        <v xml:space="preserve">  </v>
      </c>
      <c r="S128" s="77">
        <v>8</v>
      </c>
      <c r="T128" s="76" t="e">
        <f>R128*S128</f>
        <v>#VALUE!</v>
      </c>
      <c r="U128" s="80">
        <v>10</v>
      </c>
      <c r="V128" s="76" t="e">
        <f>R128*U128</f>
        <v>#VALUE!</v>
      </c>
      <c r="W128" s="496" t="s">
        <v>97</v>
      </c>
      <c r="X128" s="496"/>
      <c r="Y128" s="496" t="s">
        <v>98</v>
      </c>
      <c r="Z128" s="496"/>
      <c r="AA128" s="494" t="s">
        <v>99</v>
      </c>
      <c r="AB128" s="494"/>
      <c r="AC128" s="99">
        <f>AC123+1</f>
        <v>20</v>
      </c>
      <c r="AD128" s="95" t="str">
        <f>VLOOKUP(AC128,STN_TABLE_2,2,FALSE)</f>
        <v xml:space="preserve">  </v>
      </c>
      <c r="AE128" s="68" t="str">
        <f>VLOOKUP(AD128,STN_TABLE,2,FALSE)</f>
        <v xml:space="preserve">  </v>
      </c>
      <c r="AF128" s="68">
        <v>1</v>
      </c>
      <c r="AG128" s="69" t="e">
        <f>AE128*AF128</f>
        <v>#VALUE!</v>
      </c>
      <c r="AH128" s="496" t="s">
        <v>97</v>
      </c>
      <c r="AI128" s="496"/>
      <c r="AJ128" s="496" t="s">
        <v>98</v>
      </c>
      <c r="AK128" s="496"/>
      <c r="AL128" s="494" t="s">
        <v>99</v>
      </c>
      <c r="AM128" s="494"/>
      <c r="AP128" s="86" t="s">
        <v>112</v>
      </c>
      <c r="AQ128" s="89" t="s">
        <v>113</v>
      </c>
      <c r="AR128" s="89" t="s">
        <v>114</v>
      </c>
      <c r="AS128" s="89" t="s">
        <v>115</v>
      </c>
      <c r="AU128" s="81"/>
    </row>
    <row r="129" spans="1:47" x14ac:dyDescent="0.25">
      <c r="A129" s="84">
        <f>A128+1</f>
        <v>20</v>
      </c>
      <c r="B129" s="84" t="str">
        <f t="shared" si="48"/>
        <v xml:space="preserve">  </v>
      </c>
      <c r="C129" s="88" t="str">
        <f t="shared" ref="C129" si="63">B130</f>
        <v xml:space="preserve">  </v>
      </c>
      <c r="D129" s="82" t="str">
        <f>VLOOKUP(C129,STN_TABLE,2,FALSE)</f>
        <v xml:space="preserve">  </v>
      </c>
      <c r="E129" s="92">
        <v>1</v>
      </c>
      <c r="F129" s="82" t="e">
        <f>D129*E129</f>
        <v>#VALUE!</v>
      </c>
      <c r="G129" s="83" t="str">
        <f>C129</f>
        <v xml:space="preserve">  </v>
      </c>
      <c r="H129" s="83" t="e">
        <f>F129*G129</f>
        <v>#VALUE!</v>
      </c>
      <c r="I129" s="84" t="str">
        <f>CONCATENATE("a'(",C129,")=")</f>
        <v>a'(  )=</v>
      </c>
      <c r="J129" s="84" t="e">
        <f>2*J127/3*F130</f>
        <v>#VALUE!</v>
      </c>
      <c r="K129" s="84" t="e">
        <f>CONCATENATE("A(",C127,")=")</f>
        <v>#VALUE!</v>
      </c>
      <c r="L129" s="84" t="e">
        <f>VLOOKUP(C127,STN_TABLE,3,FALSE)</f>
        <v>#VALUE!</v>
      </c>
      <c r="M129" t="str">
        <f>CONCATENATE("A(",C129,")=")</f>
        <v>A(  )=</v>
      </c>
      <c r="N129" t="e">
        <f>J129+L129</f>
        <v>#VALUE!</v>
      </c>
      <c r="O129" s="99">
        <f>O128+1</f>
        <v>22</v>
      </c>
      <c r="P129" s="99" t="str">
        <f t="shared" si="44"/>
        <v xml:space="preserve">  </v>
      </c>
      <c r="Q129" s="82" t="e">
        <f>IF(P129-P128=P128-P127,P129,IF(P130-P128=P128-P127,P130,IF(P129-P128=P128-P126,P129,IF(P130-P128=P128-P126,P130,"-"))))</f>
        <v>#VALUE!</v>
      </c>
      <c r="R129" s="83" t="e">
        <f>VLOOKUP(Q129,STN_TABLE,2,FALSE)</f>
        <v>#VALUE!</v>
      </c>
      <c r="S129" s="83">
        <v>-1</v>
      </c>
      <c r="T129" s="82" t="e">
        <f>R129*S129</f>
        <v>#VALUE!</v>
      </c>
      <c r="U129" s="88">
        <v>-1</v>
      </c>
      <c r="V129" s="82" t="e">
        <f>R129*U129</f>
        <v>#VALUE!</v>
      </c>
      <c r="W129" s="84" t="str">
        <f>CONCATENATE("a'(",Q128,")=")</f>
        <v>a'(  )=</v>
      </c>
      <c r="X129" s="84" t="e">
        <f>2*X127/12*T130</f>
        <v>#VALUE!</v>
      </c>
      <c r="Y129" s="84" t="e">
        <f>CONCATENATE("A(",Q127,")=")</f>
        <v>#VALUE!</v>
      </c>
      <c r="Z129" s="84" t="e">
        <f>VLOOKUP(Q127,STN_TABLE,3,FALSE)</f>
        <v>#VALUE!</v>
      </c>
      <c r="AA129" t="str">
        <f>CONCATENATE("A(",Q128,")=")</f>
        <v>A(  )=</v>
      </c>
      <c r="AB129" t="e">
        <f>X129+Z129</f>
        <v>#VALUE!</v>
      </c>
      <c r="AC129" s="99">
        <f>AC128+1</f>
        <v>21</v>
      </c>
      <c r="AD129" s="100" t="str">
        <f>VLOOKUP(AC129,STN_TABLE_2,2,FALSE)</f>
        <v xml:space="preserve">  </v>
      </c>
      <c r="AE129" s="82" t="str">
        <f>VLOOKUP(AD129,STN_TABLE,2,FALSE)</f>
        <v xml:space="preserve">  </v>
      </c>
      <c r="AF129" s="82">
        <v>2</v>
      </c>
      <c r="AG129" s="83" t="e">
        <f>AE129*AF129</f>
        <v>#VALUE!</v>
      </c>
      <c r="AH129" s="84" t="str">
        <f>CONCATENATE("a'(",AD129,")=")</f>
        <v>a'(  )=</v>
      </c>
      <c r="AI129" s="84" t="e">
        <f>2*AI127/2*AE130</f>
        <v>#VALUE!</v>
      </c>
      <c r="AJ129" s="84" t="str">
        <f>CONCATENATE("A(",AD128,")=")</f>
        <v>A(  )=</v>
      </c>
      <c r="AK129" s="84" t="str">
        <f>VLOOKUP(AD128,STN_TABLE,3,FALSE)</f>
        <v xml:space="preserve"> </v>
      </c>
      <c r="AL129" t="str">
        <f>CONCATENATE("A(",AD129,")=")</f>
        <v>A(  )=</v>
      </c>
      <c r="AM129" t="e">
        <f>AI129+AK129</f>
        <v>#VALUE!</v>
      </c>
      <c r="AO129" s="68" t="str">
        <f>AA129</f>
        <v>A(  )=</v>
      </c>
      <c r="AP129" s="68" t="e">
        <f>VLOOKUP(AO129,Rise_Results,2,FALSE)</f>
        <v>#N/A</v>
      </c>
      <c r="AQ129" s="76" t="e">
        <f>N129</f>
        <v>#VALUE!</v>
      </c>
      <c r="AR129" s="76" t="e">
        <f>IF(OR(AB129&lt;=0,AB130&lt;=0),1/0,AB129)</f>
        <v>#VALUE!</v>
      </c>
      <c r="AS129" s="76" t="e">
        <f>AM129</f>
        <v>#VALUE!</v>
      </c>
      <c r="AT129" t="e">
        <f>IFERROR(AP129,IFERROR(AQ129,IFERROR(AR129,AS129)))</f>
        <v>#VALUE!</v>
      </c>
      <c r="AU129" s="81"/>
    </row>
    <row r="130" spans="1:47" x14ac:dyDescent="0.25">
      <c r="A130" s="84">
        <f>A129+1</f>
        <v>21</v>
      </c>
      <c r="B130" s="84" t="str">
        <f t="shared" si="48"/>
        <v xml:space="preserve">  </v>
      </c>
      <c r="F130" s="82" t="e">
        <f>SUM(F127:F129)</f>
        <v>#VALUE!</v>
      </c>
      <c r="H130" s="82" t="e">
        <f>SUM(H127:H129)</f>
        <v>#VALUE!</v>
      </c>
      <c r="I130" s="84" t="str">
        <f>CONCATENATE("m'(",C129,")=")</f>
        <v>m'(  )=</v>
      </c>
      <c r="J130" s="84" t="e">
        <f>2*(J127*(WLS))/3*H130</f>
        <v>#VALUE!</v>
      </c>
      <c r="K130" s="84" t="e">
        <f>CONCATENATE("M(",C127,")=")</f>
        <v>#VALUE!</v>
      </c>
      <c r="L130" s="84" t="e">
        <f>VLOOKUP(C127,STN_TABLE,4,FALSE)</f>
        <v>#VALUE!</v>
      </c>
      <c r="M130" t="str">
        <f>CONCATENATE("M(",C129,")=")</f>
        <v>M(  )=</v>
      </c>
      <c r="N130" t="e">
        <f>J130+L130</f>
        <v>#VALUE!</v>
      </c>
      <c r="O130" s="99">
        <f>O129+1</f>
        <v>23</v>
      </c>
      <c r="P130" s="99" t="str">
        <f t="shared" si="44"/>
        <v xml:space="preserve">  </v>
      </c>
      <c r="T130" s="89" t="e">
        <f>SUM(T127:T129)</f>
        <v>#VALUE!</v>
      </c>
      <c r="V130" s="82" t="e">
        <f>SUM(V127:V129)</f>
        <v>#VALUE!</v>
      </c>
      <c r="W130" s="84" t="str">
        <f>CONCATENATE("m'(",Q128,")=")</f>
        <v>m'(  )=</v>
      </c>
      <c r="X130" s="84" t="e">
        <f>(2*(X127^2)/24*V130)+(X129*Q127*WLS)</f>
        <v>#VALUE!</v>
      </c>
      <c r="Y130" s="84" t="e">
        <f>CONCATENATE("M(",Q127,")=")</f>
        <v>#VALUE!</v>
      </c>
      <c r="Z130" s="84" t="e">
        <f>VLOOKUP(Q127,STN_TABLE,4,FALSE)</f>
        <v>#VALUE!</v>
      </c>
      <c r="AA130" t="str">
        <f>CONCATENATE("M(",Q128,")=")</f>
        <v>M(  )=</v>
      </c>
      <c r="AB130" t="e">
        <f>X130+Z130</f>
        <v>#VALUE!</v>
      </c>
      <c r="AE130" s="89">
        <f>SUM(AE128:AE129)</f>
        <v>0</v>
      </c>
      <c r="AG130" s="89" t="e">
        <f>SUM(AG128:AG129)</f>
        <v>#VALUE!</v>
      </c>
      <c r="AH130" s="84" t="str">
        <f>CONCATENATE("m'(",AD129,")=")</f>
        <v>m'(  )=</v>
      </c>
      <c r="AI130" s="84" t="e">
        <f>(2*(AI127^2)/6*AG130)+(AI129*AD128*WLS)</f>
        <v>#VALUE!</v>
      </c>
      <c r="AJ130" s="84" t="str">
        <f>CONCATENATE("M(",AD128,")=")</f>
        <v>M(  )=</v>
      </c>
      <c r="AK130" s="84" t="str">
        <f>VLOOKUP(AD128,STN_TABLE,4,FALSE)</f>
        <v xml:space="preserve"> </v>
      </c>
      <c r="AL130" t="str">
        <f>CONCATENATE("M(",AD129,")=")</f>
        <v>M(  )=</v>
      </c>
      <c r="AM130" t="e">
        <f>AI130+AK130</f>
        <v>#VALUE!</v>
      </c>
      <c r="AO130" s="82" t="str">
        <f>AA130</f>
        <v>M(  )=</v>
      </c>
      <c r="AP130" s="82" t="e">
        <f>VLOOKUP(AO130,Rise_Results,2,FALSE)</f>
        <v>#N/A</v>
      </c>
      <c r="AQ130" s="82" t="e">
        <f>N130</f>
        <v>#VALUE!</v>
      </c>
      <c r="AR130" s="82" t="e">
        <f>IF(OR(AB129&lt;=0,AB130&lt;=0),1/0,AB130)</f>
        <v>#VALUE!</v>
      </c>
      <c r="AS130" s="82" t="e">
        <f>AM130</f>
        <v>#VALUE!</v>
      </c>
      <c r="AT130" t="e">
        <f>IFERROR(AP130,IFERROR(AQ130,IFERROR(AR130,AS130)))</f>
        <v>#VALUE!</v>
      </c>
      <c r="AU130" s="81"/>
    </row>
    <row r="131" spans="1:47" x14ac:dyDescent="0.25">
      <c r="A131" s="101">
        <f>A126+1</f>
        <v>18</v>
      </c>
      <c r="B131" s="101" t="str">
        <f t="shared" si="48"/>
        <v xml:space="preserve">  </v>
      </c>
      <c r="O131" s="101">
        <f>O126+1</f>
        <v>20</v>
      </c>
      <c r="P131" s="101" t="str">
        <f t="shared" si="44"/>
        <v xml:space="preserve">  </v>
      </c>
      <c r="AU131" s="81"/>
    </row>
    <row r="132" spans="1:47" x14ac:dyDescent="0.25">
      <c r="A132" s="84">
        <f>A131+1</f>
        <v>19</v>
      </c>
      <c r="B132" s="84" t="str">
        <f t="shared" si="48"/>
        <v xml:space="preserve">  </v>
      </c>
      <c r="C132" s="79" t="e">
        <f t="shared" ref="C132" si="64">IF(C133=B134,IF(C134-C133=C133-B133,B133,IF(C134-C133=C133-B132,B132,"#NA")),IF(C133=B133,IF(C134-C133=C133-B132,B132,IF(C134-C133=C133-B131,B131,"#NA")),"#NA"))</f>
        <v>#VALUE!</v>
      </c>
      <c r="D132" s="68" t="e">
        <f>VLOOKUP(C132,STN_TABLE,2,FALSE)</f>
        <v>#VALUE!</v>
      </c>
      <c r="E132" s="102">
        <v>1</v>
      </c>
      <c r="F132" s="68" t="e">
        <f>D132*E132</f>
        <v>#VALUE!</v>
      </c>
      <c r="G132" s="69" t="e">
        <f>C132</f>
        <v>#VALUE!</v>
      </c>
      <c r="H132" s="69" t="e">
        <f>F132*G132</f>
        <v>#VALUE!</v>
      </c>
      <c r="I132" s="6" t="s">
        <v>93</v>
      </c>
      <c r="J132" s="70" t="e">
        <f>IF(OR(D132=0,D133=0,D134=0),"#NA",IF(AND(C134-C133=C133-C132,C133&lt;&gt;C134,C132&lt;&gt;C133,C132&lt;&gt;C134,D134&lt;&gt;0,OR(D132&lt;&gt;0,D133&lt;&gt;0)),WLS*(C134-C133),"#NA"))</f>
        <v>#VALUE!</v>
      </c>
      <c r="O132" s="99">
        <f>O131+1</f>
        <v>21</v>
      </c>
      <c r="P132" s="99" t="str">
        <f t="shared" ref="P132:P150" si="65">VLOOKUP(O132,STN_TABLE_2,2,FALSE)</f>
        <v xml:space="preserve">  </v>
      </c>
      <c r="Q132" s="68" t="e">
        <f>IF(OR(P134-P133=P133-P132,P135-P133=P133-P132),P132,IF(OR(P134-P133=P133-P131,P135-P133=P133-P131),P131,"-"))</f>
        <v>#VALUE!</v>
      </c>
      <c r="R132" s="69" t="e">
        <f>VLOOKUP(Q132,STN_TABLE,2,FALSE)</f>
        <v>#VALUE!</v>
      </c>
      <c r="S132" s="69">
        <v>5</v>
      </c>
      <c r="T132" s="68" t="e">
        <f>R132*S132</f>
        <v>#VALUE!</v>
      </c>
      <c r="U132" s="79">
        <v>3</v>
      </c>
      <c r="V132" s="68" t="e">
        <f>R132*U132</f>
        <v>#VALUE!</v>
      </c>
      <c r="W132" s="6" t="s">
        <v>93</v>
      </c>
      <c r="X132" s="70" t="e">
        <f>IF(AND(Q134-Q133=Q133-Q132,NOT(AND(Q132=0,Q133=0)),NOT(AND(Q133=0,Q134=0))),WLS*(Q134-Q133),"#NA")</f>
        <v>#VALUE!</v>
      </c>
      <c r="AD132" s="93"/>
      <c r="AH132" s="6" t="s">
        <v>93</v>
      </c>
      <c r="AI132" s="70" t="e">
        <f>WLS*(AD134-AD133)</f>
        <v>#VALUE!</v>
      </c>
      <c r="AU132" s="81"/>
    </row>
    <row r="133" spans="1:47" x14ac:dyDescent="0.25">
      <c r="A133" s="84">
        <f>A132+1</f>
        <v>20</v>
      </c>
      <c r="B133" s="84" t="str">
        <f t="shared" si="48"/>
        <v xml:space="preserve">  </v>
      </c>
      <c r="C133" s="80" t="e">
        <f t="shared" ref="C133" si="66">IF(OR(B135-B134=B134-B133,B135-B134=B134-B132,B135-B134=B134-B131),B134,IF(OR(B135-B133=B133-B132,B135-B133=B133-B131),B133,IF(B135-B132=B132-B131,B132,"#NA")))</f>
        <v>#VALUE!</v>
      </c>
      <c r="D133" s="76" t="e">
        <f>VLOOKUP(C133,STN_TABLE,2,FALSE)</f>
        <v>#VALUE!</v>
      </c>
      <c r="E133" s="81">
        <v>4</v>
      </c>
      <c r="F133" s="76" t="e">
        <f>D133*E133</f>
        <v>#VALUE!</v>
      </c>
      <c r="G133" s="77" t="e">
        <f>C133</f>
        <v>#VALUE!</v>
      </c>
      <c r="H133" s="77" t="e">
        <f>F133*G133</f>
        <v>#VALUE!</v>
      </c>
      <c r="I133" s="495" t="s">
        <v>97</v>
      </c>
      <c r="J133" s="496"/>
      <c r="K133" s="78" t="s">
        <v>98</v>
      </c>
      <c r="L133" s="78"/>
      <c r="M133" s="7" t="s">
        <v>99</v>
      </c>
      <c r="N133" s="7"/>
      <c r="O133" s="99">
        <f>O132+1</f>
        <v>22</v>
      </c>
      <c r="P133" s="99" t="str">
        <f t="shared" si="65"/>
        <v xml:space="preserve">  </v>
      </c>
      <c r="Q133" s="76" t="str">
        <f>P133</f>
        <v xml:space="preserve">  </v>
      </c>
      <c r="R133" s="77" t="str">
        <f>VLOOKUP(Q133,STN_TABLE,2,FALSE)</f>
        <v xml:space="preserve">  </v>
      </c>
      <c r="S133" s="77">
        <v>8</v>
      </c>
      <c r="T133" s="76" t="e">
        <f>R133*S133</f>
        <v>#VALUE!</v>
      </c>
      <c r="U133" s="80">
        <v>10</v>
      </c>
      <c r="V133" s="76" t="e">
        <f>R133*U133</f>
        <v>#VALUE!</v>
      </c>
      <c r="W133" s="496" t="s">
        <v>97</v>
      </c>
      <c r="X133" s="496"/>
      <c r="Y133" s="496" t="s">
        <v>98</v>
      </c>
      <c r="Z133" s="496"/>
      <c r="AA133" s="494" t="s">
        <v>99</v>
      </c>
      <c r="AB133" s="494"/>
      <c r="AC133" s="99">
        <f>AC128+1</f>
        <v>21</v>
      </c>
      <c r="AD133" s="95" t="str">
        <f>VLOOKUP(AC133,STN_TABLE_2,2,FALSE)</f>
        <v xml:space="preserve">  </v>
      </c>
      <c r="AE133" s="68" t="str">
        <f>VLOOKUP(AD133,STN_TABLE,2,FALSE)</f>
        <v xml:space="preserve">  </v>
      </c>
      <c r="AF133" s="68">
        <v>1</v>
      </c>
      <c r="AG133" s="69" t="e">
        <f>AE133*AF133</f>
        <v>#VALUE!</v>
      </c>
      <c r="AH133" s="496" t="s">
        <v>97</v>
      </c>
      <c r="AI133" s="496"/>
      <c r="AJ133" s="496" t="s">
        <v>98</v>
      </c>
      <c r="AK133" s="496"/>
      <c r="AL133" s="494" t="s">
        <v>99</v>
      </c>
      <c r="AM133" s="494"/>
      <c r="AP133" s="86" t="s">
        <v>112</v>
      </c>
      <c r="AQ133" s="89" t="s">
        <v>113</v>
      </c>
      <c r="AR133" s="89" t="s">
        <v>114</v>
      </c>
      <c r="AS133" s="89" t="s">
        <v>115</v>
      </c>
      <c r="AU133" s="81"/>
    </row>
    <row r="134" spans="1:47" x14ac:dyDescent="0.25">
      <c r="A134" s="84">
        <f>A133+1</f>
        <v>21</v>
      </c>
      <c r="B134" s="84" t="str">
        <f t="shared" si="48"/>
        <v xml:space="preserve">  </v>
      </c>
      <c r="C134" s="88" t="str">
        <f t="shared" ref="C134" si="67">B135</f>
        <v xml:space="preserve">  </v>
      </c>
      <c r="D134" s="82" t="str">
        <f>VLOOKUP(C134,STN_TABLE,2,FALSE)</f>
        <v xml:space="preserve">  </v>
      </c>
      <c r="E134" s="92">
        <v>1</v>
      </c>
      <c r="F134" s="82" t="e">
        <f>D134*E134</f>
        <v>#VALUE!</v>
      </c>
      <c r="G134" s="83" t="str">
        <f>C134</f>
        <v xml:space="preserve">  </v>
      </c>
      <c r="H134" s="83" t="e">
        <f>F134*G134</f>
        <v>#VALUE!</v>
      </c>
      <c r="I134" s="84" t="str">
        <f>CONCATENATE("a'(",C134,")=")</f>
        <v>a'(  )=</v>
      </c>
      <c r="J134" s="84" t="e">
        <f>2*J132/3*F135</f>
        <v>#VALUE!</v>
      </c>
      <c r="K134" s="84" t="e">
        <f>CONCATENATE("A(",C132,")=")</f>
        <v>#VALUE!</v>
      </c>
      <c r="L134" s="84" t="e">
        <f>VLOOKUP(C132,STN_TABLE,3,FALSE)</f>
        <v>#VALUE!</v>
      </c>
      <c r="M134" t="str">
        <f>CONCATENATE("A(",C134,")=")</f>
        <v>A(  )=</v>
      </c>
      <c r="N134" t="e">
        <f>J134+L134</f>
        <v>#VALUE!</v>
      </c>
      <c r="O134" s="99">
        <f>O133+1</f>
        <v>23</v>
      </c>
      <c r="P134" s="99" t="str">
        <f t="shared" si="65"/>
        <v xml:space="preserve">  </v>
      </c>
      <c r="Q134" s="82" t="e">
        <f>IF(P134-P133=P133-P132,P134,IF(P135-P133=P133-P132,P135,IF(P134-P133=P133-P131,P134,IF(P135-P133=P133-P131,P135,"-"))))</f>
        <v>#VALUE!</v>
      </c>
      <c r="R134" s="83" t="e">
        <f>VLOOKUP(Q134,STN_TABLE,2,FALSE)</f>
        <v>#VALUE!</v>
      </c>
      <c r="S134" s="83">
        <v>-1</v>
      </c>
      <c r="T134" s="82" t="e">
        <f>R134*S134</f>
        <v>#VALUE!</v>
      </c>
      <c r="U134" s="88">
        <v>-1</v>
      </c>
      <c r="V134" s="82" t="e">
        <f>R134*U134</f>
        <v>#VALUE!</v>
      </c>
      <c r="W134" s="84" t="str">
        <f>CONCATENATE("a'(",Q133,")=")</f>
        <v>a'(  )=</v>
      </c>
      <c r="X134" s="84" t="e">
        <f>2*X132/12*T135</f>
        <v>#VALUE!</v>
      </c>
      <c r="Y134" s="84" t="e">
        <f>CONCATENATE("A(",Q132,")=")</f>
        <v>#VALUE!</v>
      </c>
      <c r="Z134" s="84" t="e">
        <f>VLOOKUP(Q132,STN_TABLE,3,FALSE)</f>
        <v>#VALUE!</v>
      </c>
      <c r="AA134" t="str">
        <f>CONCATENATE("A(",Q133,")=")</f>
        <v>A(  )=</v>
      </c>
      <c r="AB134" t="e">
        <f>X134+Z134</f>
        <v>#VALUE!</v>
      </c>
      <c r="AC134" s="99">
        <f>AC133+1</f>
        <v>22</v>
      </c>
      <c r="AD134" s="100" t="str">
        <f>VLOOKUP(AC134,STN_TABLE_2,2,FALSE)</f>
        <v xml:space="preserve">  </v>
      </c>
      <c r="AE134" s="82" t="str">
        <f>VLOOKUP(AD134,STN_TABLE,2,FALSE)</f>
        <v xml:space="preserve">  </v>
      </c>
      <c r="AF134" s="82">
        <v>2</v>
      </c>
      <c r="AG134" s="83" t="e">
        <f>AE134*AF134</f>
        <v>#VALUE!</v>
      </c>
      <c r="AH134" s="84" t="str">
        <f>CONCATENATE("a'(",AD134,")=")</f>
        <v>a'(  )=</v>
      </c>
      <c r="AI134" s="84" t="e">
        <f>2*AI132/2*AE135</f>
        <v>#VALUE!</v>
      </c>
      <c r="AJ134" s="84" t="str">
        <f>CONCATENATE("A(",AD133,")=")</f>
        <v>A(  )=</v>
      </c>
      <c r="AK134" s="84" t="str">
        <f>VLOOKUP(AD133,STN_TABLE,3,FALSE)</f>
        <v xml:space="preserve"> </v>
      </c>
      <c r="AL134" t="str">
        <f>CONCATENATE("A(",AD134,")=")</f>
        <v>A(  )=</v>
      </c>
      <c r="AM134" t="e">
        <f>AI134+AK134</f>
        <v>#VALUE!</v>
      </c>
      <c r="AO134" s="68" t="str">
        <f>AA134</f>
        <v>A(  )=</v>
      </c>
      <c r="AP134" s="68" t="e">
        <f>VLOOKUP(AO134,Rise_Results,2,FALSE)</f>
        <v>#N/A</v>
      </c>
      <c r="AQ134" s="76" t="e">
        <f>N134</f>
        <v>#VALUE!</v>
      </c>
      <c r="AR134" s="76" t="e">
        <f>IF(OR(AB134&lt;=0,AB135&lt;=0),1/0,AB134)</f>
        <v>#VALUE!</v>
      </c>
      <c r="AS134" s="76" t="e">
        <f>AM134</f>
        <v>#VALUE!</v>
      </c>
      <c r="AT134" t="e">
        <f>IFERROR(AP134,IFERROR(AQ134,IFERROR(AR134,AS134)))</f>
        <v>#VALUE!</v>
      </c>
      <c r="AU134" s="81"/>
    </row>
    <row r="135" spans="1:47" x14ac:dyDescent="0.25">
      <c r="A135" s="84">
        <f>A134+1</f>
        <v>22</v>
      </c>
      <c r="B135" s="84" t="str">
        <f t="shared" si="48"/>
        <v xml:space="preserve">  </v>
      </c>
      <c r="F135" s="82" t="e">
        <f>SUM(F132:F134)</f>
        <v>#VALUE!</v>
      </c>
      <c r="H135" s="82" t="e">
        <f>SUM(H132:H134)</f>
        <v>#VALUE!</v>
      </c>
      <c r="I135" s="84" t="str">
        <f>CONCATENATE("m'(",C134,")=")</f>
        <v>m'(  )=</v>
      </c>
      <c r="J135" s="84" t="e">
        <f>2*(J132*(WLS))/3*H135</f>
        <v>#VALUE!</v>
      </c>
      <c r="K135" s="84" t="e">
        <f>CONCATENATE("M(",C132,")=")</f>
        <v>#VALUE!</v>
      </c>
      <c r="L135" s="84" t="e">
        <f>VLOOKUP(C132,STN_TABLE,4,FALSE)</f>
        <v>#VALUE!</v>
      </c>
      <c r="M135" t="str">
        <f>CONCATENATE("M(",C134,")=")</f>
        <v>M(  )=</v>
      </c>
      <c r="N135" t="e">
        <f>J135+L135</f>
        <v>#VALUE!</v>
      </c>
      <c r="O135" s="99">
        <f>O134+1</f>
        <v>24</v>
      </c>
      <c r="P135" s="99" t="str">
        <f t="shared" si="65"/>
        <v xml:space="preserve">  </v>
      </c>
      <c r="T135" s="89" t="e">
        <f>SUM(T132:T134)</f>
        <v>#VALUE!</v>
      </c>
      <c r="V135" s="82" t="e">
        <f>SUM(V132:V134)</f>
        <v>#VALUE!</v>
      </c>
      <c r="W135" s="84" t="str">
        <f>CONCATENATE("m'(",Q133,")=")</f>
        <v>m'(  )=</v>
      </c>
      <c r="X135" s="84" t="e">
        <f>(2*(X132^2)/24*V135)+(X134*Q132*WLS)</f>
        <v>#VALUE!</v>
      </c>
      <c r="Y135" s="84" t="e">
        <f>CONCATENATE("M(",Q132,")=")</f>
        <v>#VALUE!</v>
      </c>
      <c r="Z135" s="84" t="e">
        <f>VLOOKUP(Q132,STN_TABLE,4,FALSE)</f>
        <v>#VALUE!</v>
      </c>
      <c r="AA135" t="str">
        <f>CONCATENATE("M(",Q133,")=")</f>
        <v>M(  )=</v>
      </c>
      <c r="AB135" t="e">
        <f>X135+Z135</f>
        <v>#VALUE!</v>
      </c>
      <c r="AE135" s="89">
        <f>SUM(AE133:AE134)</f>
        <v>0</v>
      </c>
      <c r="AG135" s="89" t="e">
        <f>SUM(AG133:AG134)</f>
        <v>#VALUE!</v>
      </c>
      <c r="AH135" s="84" t="str">
        <f>CONCATENATE("m'(",AD134,")=")</f>
        <v>m'(  )=</v>
      </c>
      <c r="AI135" s="84" t="e">
        <f>(2*(AI132^2)/6*AG135)+(AI134*AD133*WLS)</f>
        <v>#VALUE!</v>
      </c>
      <c r="AJ135" s="84" t="str">
        <f>CONCATENATE("M(",AD133,")=")</f>
        <v>M(  )=</v>
      </c>
      <c r="AK135" s="84" t="str">
        <f>VLOOKUP(AD133,STN_TABLE,4,FALSE)</f>
        <v xml:space="preserve"> </v>
      </c>
      <c r="AL135" t="str">
        <f>CONCATENATE("M(",AD134,")=")</f>
        <v>M(  )=</v>
      </c>
      <c r="AM135" t="e">
        <f>AI135+AK135</f>
        <v>#VALUE!</v>
      </c>
      <c r="AO135" s="82" t="str">
        <f>AA135</f>
        <v>M(  )=</v>
      </c>
      <c r="AP135" s="82" t="e">
        <f>VLOOKUP(AO135,Rise_Results,2,FALSE)</f>
        <v>#N/A</v>
      </c>
      <c r="AQ135" s="82" t="e">
        <f>N135</f>
        <v>#VALUE!</v>
      </c>
      <c r="AR135" s="82" t="e">
        <f>IF(OR(AB134&lt;=0,AB135&lt;=0),1/0,AB135)</f>
        <v>#VALUE!</v>
      </c>
      <c r="AS135" s="82" t="e">
        <f>AM135</f>
        <v>#VALUE!</v>
      </c>
      <c r="AT135" t="e">
        <f>IFERROR(AP135,IFERROR(AQ135,IFERROR(AR135,AS135)))</f>
        <v>#VALUE!</v>
      </c>
      <c r="AU135" s="81"/>
    </row>
    <row r="136" spans="1:47" x14ac:dyDescent="0.25">
      <c r="A136" s="101">
        <f>A131+1</f>
        <v>19</v>
      </c>
      <c r="B136" s="101" t="str">
        <f t="shared" si="48"/>
        <v xml:space="preserve">  </v>
      </c>
      <c r="O136" s="101">
        <f>O131+1</f>
        <v>21</v>
      </c>
      <c r="P136" s="101" t="str">
        <f t="shared" si="65"/>
        <v xml:space="preserve">  </v>
      </c>
      <c r="AU136" s="81"/>
    </row>
    <row r="137" spans="1:47" x14ac:dyDescent="0.25">
      <c r="A137" s="84">
        <f>A136+1</f>
        <v>20</v>
      </c>
      <c r="B137" s="84" t="str">
        <f t="shared" si="48"/>
        <v xml:space="preserve">  </v>
      </c>
      <c r="C137" s="79" t="e">
        <f t="shared" ref="C137" si="68">IF(C138=B139,IF(C139-C138=C138-B138,B138,IF(C139-C138=C138-B137,B137,"#NA")),IF(C138=B138,IF(C139-C138=C138-B137,B137,IF(C139-C138=C138-B136,B136,"#NA")),"#NA"))</f>
        <v>#VALUE!</v>
      </c>
      <c r="D137" s="68" t="e">
        <f>VLOOKUP(C137,STN_TABLE,2,FALSE)</f>
        <v>#VALUE!</v>
      </c>
      <c r="E137" s="102">
        <v>1</v>
      </c>
      <c r="F137" s="68" t="e">
        <f>D137*E137</f>
        <v>#VALUE!</v>
      </c>
      <c r="G137" s="69" t="e">
        <f>C137</f>
        <v>#VALUE!</v>
      </c>
      <c r="H137" s="69" t="e">
        <f>F137*G137</f>
        <v>#VALUE!</v>
      </c>
      <c r="I137" s="6" t="s">
        <v>93</v>
      </c>
      <c r="J137" s="70" t="e">
        <f>IF(OR(D137=0,D138=0,D139=0),"#NA",IF(AND(C139-C138=C138-C137,C138&lt;&gt;C139,C137&lt;&gt;C138,C137&lt;&gt;C139,D139&lt;&gt;0,OR(D137&lt;&gt;0,D138&lt;&gt;0)),WLS*(C139-C138),"#NA"))</f>
        <v>#VALUE!</v>
      </c>
      <c r="O137" s="99">
        <f>O136+1</f>
        <v>22</v>
      </c>
      <c r="P137" s="99" t="str">
        <f t="shared" si="65"/>
        <v xml:space="preserve">  </v>
      </c>
      <c r="Q137" s="68" t="e">
        <f>IF(OR(P139-P138=P138-P137,P140-P138=P138-P137),P137,IF(OR(P139-P138=P138-P136,P140-P138=P138-P136),P136,"-"))</f>
        <v>#VALUE!</v>
      </c>
      <c r="R137" s="69" t="e">
        <f>VLOOKUP(Q137,STN_TABLE,2,FALSE)</f>
        <v>#VALUE!</v>
      </c>
      <c r="S137" s="69">
        <v>5</v>
      </c>
      <c r="T137" s="68" t="e">
        <f>R137*S137</f>
        <v>#VALUE!</v>
      </c>
      <c r="U137" s="79">
        <v>3</v>
      </c>
      <c r="V137" s="68" t="e">
        <f>R137*U137</f>
        <v>#VALUE!</v>
      </c>
      <c r="W137" s="6" t="s">
        <v>93</v>
      </c>
      <c r="X137" s="70" t="e">
        <f>IF(AND(Q139-Q138=Q138-Q137,NOT(AND(Q137=0,Q138=0)),NOT(AND(Q138=0,Q139=0))),WLS*(Q139-Q138),"#NA")</f>
        <v>#VALUE!</v>
      </c>
      <c r="AD137" s="93"/>
      <c r="AH137" s="6" t="s">
        <v>93</v>
      </c>
      <c r="AI137" s="70" t="e">
        <f>WLS*(AD139-AD138)</f>
        <v>#VALUE!</v>
      </c>
      <c r="AU137" s="81"/>
    </row>
    <row r="138" spans="1:47" x14ac:dyDescent="0.25">
      <c r="A138" s="84">
        <f>A137+1</f>
        <v>21</v>
      </c>
      <c r="B138" s="84" t="str">
        <f t="shared" ref="B138:B150" si="69">VLOOKUP(A138,STN_TABLE_2,2,FALSE)</f>
        <v xml:space="preserve">  </v>
      </c>
      <c r="C138" s="80" t="e">
        <f t="shared" ref="C138" si="70">IF(OR(B140-B139=B139-B138,B140-B139=B139-B137,B140-B139=B139-B136),B139,IF(OR(B140-B138=B138-B137,B140-B138=B138-B136),B138,IF(B140-B137=B137-B136,B137,"#NA")))</f>
        <v>#VALUE!</v>
      </c>
      <c r="D138" s="76" t="e">
        <f>VLOOKUP(C138,STN_TABLE,2,FALSE)</f>
        <v>#VALUE!</v>
      </c>
      <c r="E138" s="81">
        <v>4</v>
      </c>
      <c r="F138" s="76" t="e">
        <f>D138*E138</f>
        <v>#VALUE!</v>
      </c>
      <c r="G138" s="77" t="e">
        <f>C138</f>
        <v>#VALUE!</v>
      </c>
      <c r="H138" s="77" t="e">
        <f>F138*G138</f>
        <v>#VALUE!</v>
      </c>
      <c r="I138" s="495" t="s">
        <v>97</v>
      </c>
      <c r="J138" s="496"/>
      <c r="K138" s="78" t="s">
        <v>98</v>
      </c>
      <c r="L138" s="78"/>
      <c r="M138" s="7" t="s">
        <v>99</v>
      </c>
      <c r="N138" s="7"/>
      <c r="O138" s="99">
        <f>O137+1</f>
        <v>23</v>
      </c>
      <c r="P138" s="99" t="str">
        <f t="shared" si="65"/>
        <v xml:space="preserve">  </v>
      </c>
      <c r="Q138" s="76" t="str">
        <f>P138</f>
        <v xml:space="preserve">  </v>
      </c>
      <c r="R138" s="77" t="str">
        <f>VLOOKUP(Q138,STN_TABLE,2,FALSE)</f>
        <v xml:space="preserve">  </v>
      </c>
      <c r="S138" s="77">
        <v>8</v>
      </c>
      <c r="T138" s="76" t="e">
        <f>R138*S138</f>
        <v>#VALUE!</v>
      </c>
      <c r="U138" s="80">
        <v>10</v>
      </c>
      <c r="V138" s="76" t="e">
        <f>R138*U138</f>
        <v>#VALUE!</v>
      </c>
      <c r="W138" s="496" t="s">
        <v>97</v>
      </c>
      <c r="X138" s="496"/>
      <c r="Y138" s="496" t="s">
        <v>98</v>
      </c>
      <c r="Z138" s="496"/>
      <c r="AA138" s="494" t="s">
        <v>99</v>
      </c>
      <c r="AB138" s="494"/>
      <c r="AC138" s="99">
        <f>AC133+1</f>
        <v>22</v>
      </c>
      <c r="AD138" s="95" t="str">
        <f>VLOOKUP(AC138,STN_TABLE_2,2,FALSE)</f>
        <v xml:space="preserve">  </v>
      </c>
      <c r="AE138" s="68" t="str">
        <f>VLOOKUP(AD138,STN_TABLE,2,FALSE)</f>
        <v xml:space="preserve">  </v>
      </c>
      <c r="AF138" s="68">
        <v>1</v>
      </c>
      <c r="AG138" s="69" t="e">
        <f>AE138*AF138</f>
        <v>#VALUE!</v>
      </c>
      <c r="AH138" s="496" t="s">
        <v>97</v>
      </c>
      <c r="AI138" s="496"/>
      <c r="AJ138" s="496" t="s">
        <v>98</v>
      </c>
      <c r="AK138" s="496"/>
      <c r="AL138" s="494" t="s">
        <v>99</v>
      </c>
      <c r="AM138" s="494"/>
      <c r="AP138" s="86" t="s">
        <v>112</v>
      </c>
      <c r="AQ138" s="89" t="s">
        <v>113</v>
      </c>
      <c r="AR138" s="89" t="s">
        <v>114</v>
      </c>
      <c r="AS138" s="89" t="s">
        <v>115</v>
      </c>
      <c r="AU138" s="81"/>
    </row>
    <row r="139" spans="1:47" x14ac:dyDescent="0.25">
      <c r="A139" s="84">
        <f>A138+1</f>
        <v>22</v>
      </c>
      <c r="B139" s="84" t="str">
        <f t="shared" si="69"/>
        <v xml:space="preserve">  </v>
      </c>
      <c r="C139" s="88" t="str">
        <f t="shared" ref="C139" si="71">B140</f>
        <v xml:space="preserve">  </v>
      </c>
      <c r="D139" s="82" t="str">
        <f>VLOOKUP(C139,STN_TABLE,2,FALSE)</f>
        <v xml:space="preserve">  </v>
      </c>
      <c r="E139" s="92">
        <v>1</v>
      </c>
      <c r="F139" s="82" t="e">
        <f>D139*E139</f>
        <v>#VALUE!</v>
      </c>
      <c r="G139" s="83" t="str">
        <f>C139</f>
        <v xml:space="preserve">  </v>
      </c>
      <c r="H139" s="83" t="e">
        <f>F139*G139</f>
        <v>#VALUE!</v>
      </c>
      <c r="I139" s="84" t="str">
        <f>CONCATENATE("a'(",C139,")=")</f>
        <v>a'(  )=</v>
      </c>
      <c r="J139" s="84" t="e">
        <f>2*J137/3*F140</f>
        <v>#VALUE!</v>
      </c>
      <c r="K139" s="84" t="e">
        <f>CONCATENATE("A(",C137,")=")</f>
        <v>#VALUE!</v>
      </c>
      <c r="L139" s="84" t="e">
        <f>VLOOKUP(C137,STN_TABLE,3,FALSE)</f>
        <v>#VALUE!</v>
      </c>
      <c r="M139" t="str">
        <f>CONCATENATE("A(",C139,")=")</f>
        <v>A(  )=</v>
      </c>
      <c r="N139" t="e">
        <f>J139+L139</f>
        <v>#VALUE!</v>
      </c>
      <c r="O139" s="99">
        <f>O138+1</f>
        <v>24</v>
      </c>
      <c r="P139" s="99" t="str">
        <f t="shared" si="65"/>
        <v xml:space="preserve">  </v>
      </c>
      <c r="Q139" s="82" t="e">
        <f>IF(P139-P138=P138-P137,P139,IF(P140-P138=P138-P137,P140,IF(P139-P138=P138-P136,P139,IF(P140-P138=P138-P136,P140,"-"))))</f>
        <v>#VALUE!</v>
      </c>
      <c r="R139" s="83" t="e">
        <f>VLOOKUP(Q139,STN_TABLE,2,FALSE)</f>
        <v>#VALUE!</v>
      </c>
      <c r="S139" s="83">
        <v>-1</v>
      </c>
      <c r="T139" s="82" t="e">
        <f>R139*S139</f>
        <v>#VALUE!</v>
      </c>
      <c r="U139" s="88">
        <v>-1</v>
      </c>
      <c r="V139" s="82" t="e">
        <f>R139*U139</f>
        <v>#VALUE!</v>
      </c>
      <c r="W139" s="84" t="str">
        <f>CONCATENATE("a'(",Q138,")=")</f>
        <v>a'(  )=</v>
      </c>
      <c r="X139" s="84" t="e">
        <f>2*X137/12*T140</f>
        <v>#VALUE!</v>
      </c>
      <c r="Y139" s="84" t="e">
        <f>CONCATENATE("A(",Q137,")=")</f>
        <v>#VALUE!</v>
      </c>
      <c r="Z139" s="84" t="e">
        <f>VLOOKUP(Q137,STN_TABLE,3,FALSE)</f>
        <v>#VALUE!</v>
      </c>
      <c r="AA139" t="str">
        <f>CONCATENATE("A(",Q138,")=")</f>
        <v>A(  )=</v>
      </c>
      <c r="AB139" t="e">
        <f>X139+Z139</f>
        <v>#VALUE!</v>
      </c>
      <c r="AC139" s="99">
        <f>AC138+1</f>
        <v>23</v>
      </c>
      <c r="AD139" s="100" t="str">
        <f>VLOOKUP(AC139,STN_TABLE_2,2,FALSE)</f>
        <v xml:space="preserve">  </v>
      </c>
      <c r="AE139" s="82" t="str">
        <f>VLOOKUP(AD139,STN_TABLE,2,FALSE)</f>
        <v xml:space="preserve">  </v>
      </c>
      <c r="AF139" s="82">
        <v>2</v>
      </c>
      <c r="AG139" s="83" t="e">
        <f>AE139*AF139</f>
        <v>#VALUE!</v>
      </c>
      <c r="AH139" s="84" t="str">
        <f>CONCATENATE("a'(",AD139,")=")</f>
        <v>a'(  )=</v>
      </c>
      <c r="AI139" s="84" t="e">
        <f>2*AI137/2*AE140</f>
        <v>#VALUE!</v>
      </c>
      <c r="AJ139" s="84" t="str">
        <f>CONCATENATE("A(",AD138,")=")</f>
        <v>A(  )=</v>
      </c>
      <c r="AK139" s="84" t="str">
        <f>VLOOKUP(AD138,STN_TABLE,3,FALSE)</f>
        <v xml:space="preserve"> </v>
      </c>
      <c r="AL139" t="str">
        <f>CONCATENATE("A(",AD139,")=")</f>
        <v>A(  )=</v>
      </c>
      <c r="AM139" t="e">
        <f>AI139+AK139</f>
        <v>#VALUE!</v>
      </c>
      <c r="AO139" s="68" t="str">
        <f>AA139</f>
        <v>A(  )=</v>
      </c>
      <c r="AP139" s="68" t="e">
        <f>VLOOKUP(AO139,Rise_Results,2,FALSE)</f>
        <v>#N/A</v>
      </c>
      <c r="AQ139" s="76" t="e">
        <f>N139</f>
        <v>#VALUE!</v>
      </c>
      <c r="AR139" s="76" t="e">
        <f>IF(OR(AB139&lt;=0,AB140&lt;=0),1/0,AB139)</f>
        <v>#VALUE!</v>
      </c>
      <c r="AS139" s="76" t="e">
        <f>AM139</f>
        <v>#VALUE!</v>
      </c>
      <c r="AT139" t="e">
        <f>IFERROR(AP139,IFERROR(AQ139,IFERROR(AR139,AS139)))</f>
        <v>#VALUE!</v>
      </c>
      <c r="AU139" s="81"/>
    </row>
    <row r="140" spans="1:47" x14ac:dyDescent="0.25">
      <c r="A140" s="84">
        <f>A139+1</f>
        <v>23</v>
      </c>
      <c r="B140" s="84" t="str">
        <f t="shared" si="69"/>
        <v xml:space="preserve">  </v>
      </c>
      <c r="F140" s="82" t="e">
        <f>SUM(F137:F139)</f>
        <v>#VALUE!</v>
      </c>
      <c r="H140" s="82" t="e">
        <f>SUM(H137:H139)</f>
        <v>#VALUE!</v>
      </c>
      <c r="I140" s="84" t="str">
        <f>CONCATENATE("m'(",C139,")=")</f>
        <v>m'(  )=</v>
      </c>
      <c r="J140" s="84" t="e">
        <f>2*(J137*(WLS))/3*H140</f>
        <v>#VALUE!</v>
      </c>
      <c r="K140" s="84" t="e">
        <f>CONCATENATE("M(",C137,")=")</f>
        <v>#VALUE!</v>
      </c>
      <c r="L140" s="84" t="e">
        <f>VLOOKUP(C137,STN_TABLE,4,FALSE)</f>
        <v>#VALUE!</v>
      </c>
      <c r="M140" t="str">
        <f>CONCATENATE("M(",C139,")=")</f>
        <v>M(  )=</v>
      </c>
      <c r="N140" t="e">
        <f>J140+L140</f>
        <v>#VALUE!</v>
      </c>
      <c r="O140" s="99">
        <f>O139+1</f>
        <v>25</v>
      </c>
      <c r="P140" s="99" t="str">
        <f t="shared" si="65"/>
        <v xml:space="preserve">  </v>
      </c>
      <c r="T140" s="89" t="e">
        <f>SUM(T137:T139)</f>
        <v>#VALUE!</v>
      </c>
      <c r="V140" s="82" t="e">
        <f>SUM(V137:V139)</f>
        <v>#VALUE!</v>
      </c>
      <c r="W140" s="84" t="str">
        <f>CONCATENATE("m'(",Q138,")=")</f>
        <v>m'(  )=</v>
      </c>
      <c r="X140" s="84" t="e">
        <f>(2*(X137^2)/24*V140)+(X139*Q137*WLS)</f>
        <v>#VALUE!</v>
      </c>
      <c r="Y140" s="84" t="e">
        <f>CONCATENATE("M(",Q137,")=")</f>
        <v>#VALUE!</v>
      </c>
      <c r="Z140" s="84" t="e">
        <f>VLOOKUP(Q137,STN_TABLE,4,FALSE)</f>
        <v>#VALUE!</v>
      </c>
      <c r="AA140" t="str">
        <f>CONCATENATE("M(",Q138,")=")</f>
        <v>M(  )=</v>
      </c>
      <c r="AB140" t="e">
        <f>X140+Z140</f>
        <v>#VALUE!</v>
      </c>
      <c r="AE140" s="89">
        <f>SUM(AE138:AE139)</f>
        <v>0</v>
      </c>
      <c r="AG140" s="89" t="e">
        <f>SUM(AG138:AG139)</f>
        <v>#VALUE!</v>
      </c>
      <c r="AH140" s="84" t="str">
        <f>CONCATENATE("m'(",AD139,")=")</f>
        <v>m'(  )=</v>
      </c>
      <c r="AI140" s="84" t="e">
        <f>(2*(AI137^2)/6*AG140)+(AI139*AD138*WLS)</f>
        <v>#VALUE!</v>
      </c>
      <c r="AJ140" s="84" t="str">
        <f>CONCATENATE("M(",AD138,")=")</f>
        <v>M(  )=</v>
      </c>
      <c r="AK140" s="84" t="str">
        <f>VLOOKUP(AD138,STN_TABLE,4,FALSE)</f>
        <v xml:space="preserve"> </v>
      </c>
      <c r="AL140" t="str">
        <f>CONCATENATE("M(",AD139,")=")</f>
        <v>M(  )=</v>
      </c>
      <c r="AM140" t="e">
        <f>AI140+AK140</f>
        <v>#VALUE!</v>
      </c>
      <c r="AO140" s="82" t="str">
        <f>AA140</f>
        <v>M(  )=</v>
      </c>
      <c r="AP140" s="82" t="e">
        <f>VLOOKUP(AO140,Rise_Results,2,FALSE)</f>
        <v>#N/A</v>
      </c>
      <c r="AQ140" s="82" t="e">
        <f>N140</f>
        <v>#VALUE!</v>
      </c>
      <c r="AR140" s="82" t="e">
        <f>IF(OR(AB139&lt;=0,AB140&lt;=0),1/0,AB140)</f>
        <v>#VALUE!</v>
      </c>
      <c r="AS140" s="82" t="e">
        <f>AM140</f>
        <v>#VALUE!</v>
      </c>
      <c r="AT140" t="e">
        <f>IFERROR(AP140,IFERROR(AQ140,IFERROR(AR140,AS140)))</f>
        <v>#VALUE!</v>
      </c>
      <c r="AU140" s="81"/>
    </row>
    <row r="141" spans="1:47" x14ac:dyDescent="0.25">
      <c r="A141" s="101">
        <f>A136+1</f>
        <v>20</v>
      </c>
      <c r="B141" s="101" t="str">
        <f t="shared" si="69"/>
        <v xml:space="preserve">  </v>
      </c>
      <c r="O141" s="101">
        <f>O136+1</f>
        <v>22</v>
      </c>
      <c r="P141" s="101" t="str">
        <f t="shared" si="65"/>
        <v xml:space="preserve">  </v>
      </c>
      <c r="AU141" s="81"/>
    </row>
    <row r="142" spans="1:47" x14ac:dyDescent="0.25">
      <c r="A142" s="84">
        <f>A141+1</f>
        <v>21</v>
      </c>
      <c r="B142" s="84" t="str">
        <f t="shared" si="69"/>
        <v xml:space="preserve">  </v>
      </c>
      <c r="C142" s="79" t="e">
        <f t="shared" ref="C142" si="72">IF(C143=B144,IF(C144-C143=C143-B143,B143,IF(C144-C143=C143-B142,B142,"#NA")),IF(C143=B143,IF(C144-C143=C143-B142,B142,IF(C144-C143=C143-B141,B141,"#NA")),"#NA"))</f>
        <v>#VALUE!</v>
      </c>
      <c r="D142" s="68" t="e">
        <f>VLOOKUP(C142,STN_TABLE,2,FALSE)</f>
        <v>#VALUE!</v>
      </c>
      <c r="E142" s="102">
        <v>1</v>
      </c>
      <c r="F142" s="68" t="e">
        <f>D142*E142</f>
        <v>#VALUE!</v>
      </c>
      <c r="G142" s="69" t="e">
        <f>C142</f>
        <v>#VALUE!</v>
      </c>
      <c r="H142" s="69" t="e">
        <f>F142*G142</f>
        <v>#VALUE!</v>
      </c>
      <c r="I142" s="6" t="s">
        <v>93</v>
      </c>
      <c r="J142" s="70" t="e">
        <f>IF(OR(D142=0,D143=0,D144=0),"#NA",IF(AND(C144-C143=C143-C142,C143&lt;&gt;C144,C142&lt;&gt;C143,C142&lt;&gt;C144,D144&lt;&gt;0,OR(D142&lt;&gt;0,D143&lt;&gt;0)),WLS*(C144-C143),"#NA"))</f>
        <v>#VALUE!</v>
      </c>
      <c r="O142" s="99">
        <f>O141+1</f>
        <v>23</v>
      </c>
      <c r="P142" s="99" t="str">
        <f t="shared" si="65"/>
        <v xml:space="preserve">  </v>
      </c>
      <c r="Q142" s="68" t="e">
        <f>IF(OR(P144-P143=P143-P142,P145-P143=P143-P142),P142,IF(OR(P144-P143=P143-P141,P145-P143=P143-P141),P141,"-"))</f>
        <v>#VALUE!</v>
      </c>
      <c r="R142" s="69" t="e">
        <f>VLOOKUP(Q142,STN_TABLE,2,FALSE)</f>
        <v>#VALUE!</v>
      </c>
      <c r="S142" s="69">
        <v>5</v>
      </c>
      <c r="T142" s="68" t="e">
        <f>R142*S142</f>
        <v>#VALUE!</v>
      </c>
      <c r="U142" s="79">
        <v>3</v>
      </c>
      <c r="V142" s="68" t="e">
        <f>R142*U142</f>
        <v>#VALUE!</v>
      </c>
      <c r="W142" s="6" t="s">
        <v>93</v>
      </c>
      <c r="X142" s="70" t="e">
        <f>IF(AND(Q144-Q143=Q143-Q142,NOT(AND(Q142=0,Q143=0)),NOT(AND(Q143=0,Q144=0))),WLS*(Q144-Q143),"#NA")</f>
        <v>#VALUE!</v>
      </c>
      <c r="AD142" s="93"/>
      <c r="AH142" s="6" t="s">
        <v>93</v>
      </c>
      <c r="AI142" s="70" t="e">
        <f>WLS*(AD144-AD143)</f>
        <v>#VALUE!</v>
      </c>
      <c r="AU142" s="81"/>
    </row>
    <row r="143" spans="1:47" x14ac:dyDescent="0.25">
      <c r="A143" s="84">
        <f>A142+1</f>
        <v>22</v>
      </c>
      <c r="B143" s="84" t="str">
        <f t="shared" si="69"/>
        <v xml:space="preserve">  </v>
      </c>
      <c r="C143" s="80" t="e">
        <f t="shared" ref="C143" si="73">IF(OR(B145-B144=B144-B143,B145-B144=B144-B142,B145-B144=B144-B141),B144,IF(OR(B145-B143=B143-B142,B145-B143=B143-B141),B143,IF(B145-B142=B142-B141,B142,"#NA")))</f>
        <v>#VALUE!</v>
      </c>
      <c r="D143" s="76" t="e">
        <f>VLOOKUP(C143,STN_TABLE,2,FALSE)</f>
        <v>#VALUE!</v>
      </c>
      <c r="E143" s="81">
        <v>4</v>
      </c>
      <c r="F143" s="76" t="e">
        <f>D143*E143</f>
        <v>#VALUE!</v>
      </c>
      <c r="G143" s="77" t="e">
        <f>C143</f>
        <v>#VALUE!</v>
      </c>
      <c r="H143" s="77" t="e">
        <f>F143*G143</f>
        <v>#VALUE!</v>
      </c>
      <c r="I143" s="495" t="s">
        <v>97</v>
      </c>
      <c r="J143" s="496"/>
      <c r="K143" s="78" t="s">
        <v>98</v>
      </c>
      <c r="L143" s="78"/>
      <c r="M143" s="7" t="s">
        <v>99</v>
      </c>
      <c r="N143" s="7"/>
      <c r="O143" s="99">
        <f>O142+1</f>
        <v>24</v>
      </c>
      <c r="P143" s="99" t="str">
        <f t="shared" si="65"/>
        <v xml:space="preserve">  </v>
      </c>
      <c r="Q143" s="76" t="str">
        <f>P143</f>
        <v xml:space="preserve">  </v>
      </c>
      <c r="R143" s="77" t="str">
        <f>VLOOKUP(Q143,STN_TABLE,2,FALSE)</f>
        <v xml:space="preserve">  </v>
      </c>
      <c r="S143" s="77">
        <v>8</v>
      </c>
      <c r="T143" s="76" t="e">
        <f>R143*S143</f>
        <v>#VALUE!</v>
      </c>
      <c r="U143" s="80">
        <v>10</v>
      </c>
      <c r="V143" s="76" t="e">
        <f>R143*U143</f>
        <v>#VALUE!</v>
      </c>
      <c r="W143" s="496" t="s">
        <v>97</v>
      </c>
      <c r="X143" s="496"/>
      <c r="Y143" s="496" t="s">
        <v>98</v>
      </c>
      <c r="Z143" s="496"/>
      <c r="AA143" s="494" t="s">
        <v>99</v>
      </c>
      <c r="AB143" s="494"/>
      <c r="AC143" s="99">
        <f>AC138+1</f>
        <v>23</v>
      </c>
      <c r="AD143" s="95" t="str">
        <f>VLOOKUP(AC143,STN_TABLE_2,2,FALSE)</f>
        <v xml:space="preserve">  </v>
      </c>
      <c r="AE143" s="68" t="str">
        <f>VLOOKUP(AD143,STN_TABLE,2,FALSE)</f>
        <v xml:space="preserve">  </v>
      </c>
      <c r="AF143" s="68">
        <v>1</v>
      </c>
      <c r="AG143" s="69" t="e">
        <f>AE143*AF143</f>
        <v>#VALUE!</v>
      </c>
      <c r="AH143" s="496" t="s">
        <v>97</v>
      </c>
      <c r="AI143" s="496"/>
      <c r="AJ143" s="496" t="s">
        <v>98</v>
      </c>
      <c r="AK143" s="496"/>
      <c r="AL143" s="494" t="s">
        <v>99</v>
      </c>
      <c r="AM143" s="494"/>
      <c r="AP143" s="86" t="s">
        <v>112</v>
      </c>
      <c r="AQ143" s="89" t="s">
        <v>113</v>
      </c>
      <c r="AR143" s="89" t="s">
        <v>114</v>
      </c>
      <c r="AS143" s="89" t="s">
        <v>115</v>
      </c>
      <c r="AU143" s="81"/>
    </row>
    <row r="144" spans="1:47" x14ac:dyDescent="0.25">
      <c r="A144" s="84">
        <f>A143+1</f>
        <v>23</v>
      </c>
      <c r="B144" s="84" t="str">
        <f t="shared" si="69"/>
        <v xml:space="preserve">  </v>
      </c>
      <c r="C144" s="88" t="str">
        <f t="shared" ref="C144" si="74">B145</f>
        <v xml:space="preserve">  </v>
      </c>
      <c r="D144" s="82" t="str">
        <f>VLOOKUP(C144,STN_TABLE,2,FALSE)</f>
        <v xml:space="preserve">  </v>
      </c>
      <c r="E144" s="92">
        <v>1</v>
      </c>
      <c r="F144" s="82" t="e">
        <f>D144*E144</f>
        <v>#VALUE!</v>
      </c>
      <c r="G144" s="83" t="str">
        <f>C144</f>
        <v xml:space="preserve">  </v>
      </c>
      <c r="H144" s="83" t="e">
        <f>F144*G144</f>
        <v>#VALUE!</v>
      </c>
      <c r="I144" s="84" t="str">
        <f>CONCATENATE("a'(",C144,")=")</f>
        <v>a'(  )=</v>
      </c>
      <c r="J144" s="84" t="e">
        <f>2*J142/3*F145</f>
        <v>#VALUE!</v>
      </c>
      <c r="K144" s="84" t="e">
        <f>CONCATENATE("A(",C142,")=")</f>
        <v>#VALUE!</v>
      </c>
      <c r="L144" s="84" t="e">
        <f>VLOOKUP(C142,STN_TABLE,3,FALSE)</f>
        <v>#VALUE!</v>
      </c>
      <c r="M144" t="str">
        <f>CONCATENATE("A(",C144,")=")</f>
        <v>A(  )=</v>
      </c>
      <c r="N144" t="e">
        <f>J144+L144</f>
        <v>#VALUE!</v>
      </c>
      <c r="O144" s="99">
        <f>O143+1</f>
        <v>25</v>
      </c>
      <c r="P144" s="99" t="str">
        <f t="shared" si="65"/>
        <v xml:space="preserve">  </v>
      </c>
      <c r="Q144" s="82" t="e">
        <f>IF(P144-P143=P143-P142,P144,IF(P145-P143=P143-P142,P145,IF(P144-P143=P143-P141,P144,IF(P145-P143=P143-P141,P145,"-"))))</f>
        <v>#VALUE!</v>
      </c>
      <c r="R144" s="83" t="e">
        <f>VLOOKUP(Q144,STN_TABLE,2,FALSE)</f>
        <v>#VALUE!</v>
      </c>
      <c r="S144" s="83">
        <v>-1</v>
      </c>
      <c r="T144" s="82" t="e">
        <f>R144*S144</f>
        <v>#VALUE!</v>
      </c>
      <c r="U144" s="88">
        <v>-1</v>
      </c>
      <c r="V144" s="82" t="e">
        <f>R144*U144</f>
        <v>#VALUE!</v>
      </c>
      <c r="W144" s="84" t="str">
        <f>CONCATENATE("a'(",Q143,")=")</f>
        <v>a'(  )=</v>
      </c>
      <c r="X144" s="84" t="e">
        <f>2*X142/12*T145</f>
        <v>#VALUE!</v>
      </c>
      <c r="Y144" s="84" t="e">
        <f>CONCATENATE("A(",Q142,")=")</f>
        <v>#VALUE!</v>
      </c>
      <c r="Z144" s="84" t="e">
        <f>VLOOKUP(Q142,STN_TABLE,3,FALSE)</f>
        <v>#VALUE!</v>
      </c>
      <c r="AA144" t="str">
        <f>CONCATENATE("A(",Q143,")=")</f>
        <v>A(  )=</v>
      </c>
      <c r="AB144" t="e">
        <f>X144+Z144</f>
        <v>#VALUE!</v>
      </c>
      <c r="AC144" s="99">
        <f>AC143+1</f>
        <v>24</v>
      </c>
      <c r="AD144" s="100" t="str">
        <f>VLOOKUP(AC144,STN_TABLE_2,2,FALSE)</f>
        <v xml:space="preserve">  </v>
      </c>
      <c r="AE144" s="82" t="str">
        <f>VLOOKUP(AD144,STN_TABLE,2,FALSE)</f>
        <v xml:space="preserve">  </v>
      </c>
      <c r="AF144" s="82">
        <v>2</v>
      </c>
      <c r="AG144" s="83" t="e">
        <f>AE144*AF144</f>
        <v>#VALUE!</v>
      </c>
      <c r="AH144" s="84" t="str">
        <f>CONCATENATE("a'(",AD144,")=")</f>
        <v>a'(  )=</v>
      </c>
      <c r="AI144" s="84" t="e">
        <f>2*AI142/2*AE145</f>
        <v>#VALUE!</v>
      </c>
      <c r="AJ144" s="84" t="str">
        <f>CONCATENATE("A(",AD143,")=")</f>
        <v>A(  )=</v>
      </c>
      <c r="AK144" s="84" t="str">
        <f>VLOOKUP(AD143,STN_TABLE,3,FALSE)</f>
        <v xml:space="preserve"> </v>
      </c>
      <c r="AL144" t="str">
        <f>CONCATENATE("A(",AD144,")=")</f>
        <v>A(  )=</v>
      </c>
      <c r="AM144" t="e">
        <f>AI144+AK144</f>
        <v>#VALUE!</v>
      </c>
      <c r="AO144" s="68" t="str">
        <f>AA144</f>
        <v>A(  )=</v>
      </c>
      <c r="AP144" s="68" t="e">
        <f>VLOOKUP(AO144,Rise_Results,2,FALSE)</f>
        <v>#N/A</v>
      </c>
      <c r="AQ144" s="76" t="e">
        <f>N144</f>
        <v>#VALUE!</v>
      </c>
      <c r="AR144" s="76" t="e">
        <f>IF(OR(AB144&lt;=0,AB145&lt;=0),1/0,AB144)</f>
        <v>#VALUE!</v>
      </c>
      <c r="AS144" s="76" t="e">
        <f>AM144</f>
        <v>#VALUE!</v>
      </c>
      <c r="AT144" t="e">
        <f>IFERROR(AP144,IFERROR(AQ144,IFERROR(AR144,AS144)))</f>
        <v>#VALUE!</v>
      </c>
      <c r="AU144" s="81"/>
    </row>
    <row r="145" spans="1:47" x14ac:dyDescent="0.25">
      <c r="A145" s="84">
        <f>A144+1</f>
        <v>24</v>
      </c>
      <c r="B145" s="84" t="str">
        <f t="shared" si="69"/>
        <v xml:space="preserve">  </v>
      </c>
      <c r="F145" s="82" t="e">
        <f>SUM(F142:F144)</f>
        <v>#VALUE!</v>
      </c>
      <c r="H145" s="82" t="e">
        <f>SUM(H142:H144)</f>
        <v>#VALUE!</v>
      </c>
      <c r="I145" s="84" t="str">
        <f>CONCATENATE("m'(",C144,")=")</f>
        <v>m'(  )=</v>
      </c>
      <c r="J145" s="84" t="e">
        <f>2*(J142*(WLS))/3*H145</f>
        <v>#VALUE!</v>
      </c>
      <c r="K145" s="84" t="e">
        <f>CONCATENATE("M(",C142,")=")</f>
        <v>#VALUE!</v>
      </c>
      <c r="L145" s="84" t="e">
        <f>VLOOKUP(C142,STN_TABLE,4,FALSE)</f>
        <v>#VALUE!</v>
      </c>
      <c r="M145" t="str">
        <f>CONCATENATE("M(",C144,")=")</f>
        <v>M(  )=</v>
      </c>
      <c r="N145" t="e">
        <f>J145+L145</f>
        <v>#VALUE!</v>
      </c>
      <c r="O145" s="99">
        <f>O144+1</f>
        <v>26</v>
      </c>
      <c r="P145" s="99" t="e">
        <f t="shared" si="65"/>
        <v>#N/A</v>
      </c>
      <c r="T145" s="89" t="e">
        <f>SUM(T142:T144)</f>
        <v>#VALUE!</v>
      </c>
      <c r="V145" s="82" t="e">
        <f>SUM(V142:V144)</f>
        <v>#VALUE!</v>
      </c>
      <c r="W145" s="84" t="str">
        <f>CONCATENATE("m'(",Q143,")=")</f>
        <v>m'(  )=</v>
      </c>
      <c r="X145" s="84" t="e">
        <f>(2*(X142^2)/24*V145)+(X144*Q142*WLS)</f>
        <v>#VALUE!</v>
      </c>
      <c r="Y145" s="84" t="e">
        <f>CONCATENATE("M(",Q142,")=")</f>
        <v>#VALUE!</v>
      </c>
      <c r="Z145" s="84" t="e">
        <f>VLOOKUP(Q142,STN_TABLE,4,FALSE)</f>
        <v>#VALUE!</v>
      </c>
      <c r="AA145" t="str">
        <f>CONCATENATE("M(",Q143,")=")</f>
        <v>M(  )=</v>
      </c>
      <c r="AB145" t="e">
        <f>X145+Z145</f>
        <v>#VALUE!</v>
      </c>
      <c r="AE145" s="89">
        <f>SUM(AE143:AE144)</f>
        <v>0</v>
      </c>
      <c r="AG145" s="89" t="e">
        <f>SUM(AG143:AG144)</f>
        <v>#VALUE!</v>
      </c>
      <c r="AH145" s="84" t="str">
        <f>CONCATENATE("m'(",AD144,")=")</f>
        <v>m'(  )=</v>
      </c>
      <c r="AI145" s="84" t="e">
        <f>(2*(AI142^2)/6*AG145)+(AI144*AD143*WLS)</f>
        <v>#VALUE!</v>
      </c>
      <c r="AJ145" s="84" t="str">
        <f>CONCATENATE("M(",AD143,")=")</f>
        <v>M(  )=</v>
      </c>
      <c r="AK145" s="84" t="str">
        <f>VLOOKUP(AD143,STN_TABLE,4,FALSE)</f>
        <v xml:space="preserve"> </v>
      </c>
      <c r="AL145" t="str">
        <f>CONCATENATE("M(",AD144,")=")</f>
        <v>M(  )=</v>
      </c>
      <c r="AM145" t="e">
        <f>AI145+AK145</f>
        <v>#VALUE!</v>
      </c>
      <c r="AO145" s="82" t="str">
        <f>AA145</f>
        <v>M(  )=</v>
      </c>
      <c r="AP145" s="82" t="e">
        <f>VLOOKUP(AO145,Rise_Results,2,FALSE)</f>
        <v>#N/A</v>
      </c>
      <c r="AQ145" s="82" t="e">
        <f>N145</f>
        <v>#VALUE!</v>
      </c>
      <c r="AR145" s="82" t="e">
        <f>IF(OR(AB144&lt;=0,AB145&lt;=0),1/0,AB145)</f>
        <v>#VALUE!</v>
      </c>
      <c r="AS145" s="82" t="e">
        <f>AM145</f>
        <v>#VALUE!</v>
      </c>
      <c r="AT145" t="e">
        <f>IFERROR(AP145,IFERROR(AQ145,IFERROR(AR145,AS145)))</f>
        <v>#VALUE!</v>
      </c>
      <c r="AU145" s="81"/>
    </row>
    <row r="146" spans="1:47" x14ac:dyDescent="0.25">
      <c r="A146" s="101">
        <f>A141+1</f>
        <v>21</v>
      </c>
      <c r="B146" s="101" t="str">
        <f t="shared" si="69"/>
        <v xml:space="preserve">  </v>
      </c>
      <c r="O146" s="101">
        <f>O141+1</f>
        <v>23</v>
      </c>
      <c r="P146" s="101" t="str">
        <f t="shared" si="65"/>
        <v xml:space="preserve">  </v>
      </c>
      <c r="AU146" s="81"/>
    </row>
    <row r="147" spans="1:47" x14ac:dyDescent="0.25">
      <c r="A147" s="84">
        <f>A146+1</f>
        <v>22</v>
      </c>
      <c r="B147" s="84" t="str">
        <f t="shared" si="69"/>
        <v xml:space="preserve">  </v>
      </c>
      <c r="C147" s="79" t="e">
        <f t="shared" ref="C147" si="75">IF(C148=B149,IF(C149-C148=C148-B148,B148,IF(C149-C148=C148-B147,B147,"#NA")),IF(C148=B148,IF(C149-C148=C148-B147,B147,IF(C149-C148=C148-B146,B146,"#NA")),"#NA"))</f>
        <v>#VALUE!</v>
      </c>
      <c r="D147" s="68" t="e">
        <f>VLOOKUP(C147,STN_TABLE,2,FALSE)</f>
        <v>#VALUE!</v>
      </c>
      <c r="E147" s="102">
        <v>1</v>
      </c>
      <c r="F147" s="68" t="e">
        <f>D147*E147</f>
        <v>#VALUE!</v>
      </c>
      <c r="G147" s="69" t="e">
        <f>C147</f>
        <v>#VALUE!</v>
      </c>
      <c r="H147" s="69" t="e">
        <f>F147*G147</f>
        <v>#VALUE!</v>
      </c>
      <c r="I147" s="6" t="s">
        <v>93</v>
      </c>
      <c r="J147" s="70" t="e">
        <f>IF(OR(D147=0,D148=0,D149=0),"#NA",IF(AND(C149-C148=C148-C147,C148&lt;&gt;C149,C147&lt;&gt;C148,C147&lt;&gt;C149,D149&lt;&gt;0,OR(D147&lt;&gt;0,D148&lt;&gt;0)),WLS*(C149-C148),"#NA"))</f>
        <v>#VALUE!</v>
      </c>
      <c r="O147" s="99">
        <f>O146+1</f>
        <v>24</v>
      </c>
      <c r="P147" s="99" t="str">
        <f t="shared" si="65"/>
        <v xml:space="preserve">  </v>
      </c>
      <c r="Q147" s="68" t="e">
        <f>IF(OR(P149-P148=P148-P147,P150-P148=P148-P147),P147,IF(OR(P149-P148=P148-P146,P150-P148=P148-P146),P146,"-"))</f>
        <v>#N/A</v>
      </c>
      <c r="R147" s="69" t="e">
        <f>VLOOKUP(Q147,STN_TABLE,2,FALSE)</f>
        <v>#N/A</v>
      </c>
      <c r="S147" s="69">
        <v>5</v>
      </c>
      <c r="T147" s="68" t="e">
        <f>R147*S147</f>
        <v>#N/A</v>
      </c>
      <c r="U147" s="79">
        <v>3</v>
      </c>
      <c r="V147" s="68" t="e">
        <f>R147*U147</f>
        <v>#N/A</v>
      </c>
      <c r="W147" s="6" t="s">
        <v>93</v>
      </c>
      <c r="X147" s="70" t="e">
        <f>IF(AND(Q149-Q148=Q148-Q147,NOT(AND(Q147=0,Q148=0)),NOT(AND(Q148=0,Q149=0))),WLS*(Q149-Q148),"#NA")</f>
        <v>#N/A</v>
      </c>
      <c r="AD147" s="93"/>
      <c r="AH147" s="6" t="s">
        <v>93</v>
      </c>
      <c r="AI147" s="70" t="e">
        <f>WLS*(AD149-AD148)</f>
        <v>#VALUE!</v>
      </c>
      <c r="AU147" s="81"/>
    </row>
    <row r="148" spans="1:47" x14ac:dyDescent="0.25">
      <c r="A148" s="84">
        <f>A147+1</f>
        <v>23</v>
      </c>
      <c r="B148" s="84" t="str">
        <f t="shared" si="69"/>
        <v xml:space="preserve">  </v>
      </c>
      <c r="C148" s="80" t="e">
        <f t="shared" ref="C148" si="76">IF(OR(B150-B149=B149-B148,B150-B149=B149-B147,B150-B149=B149-B146),B149,IF(OR(B150-B148=B148-B147,B150-B148=B148-B146),B148,IF(B150-B147=B147-B146,B147,"#NA")))</f>
        <v>#VALUE!</v>
      </c>
      <c r="D148" s="76" t="e">
        <f>VLOOKUP(C148,STN_TABLE,2,FALSE)</f>
        <v>#VALUE!</v>
      </c>
      <c r="E148" s="81">
        <v>4</v>
      </c>
      <c r="F148" s="76" t="e">
        <f>D148*E148</f>
        <v>#VALUE!</v>
      </c>
      <c r="G148" s="77" t="e">
        <f>C148</f>
        <v>#VALUE!</v>
      </c>
      <c r="H148" s="77" t="e">
        <f>F148*G148</f>
        <v>#VALUE!</v>
      </c>
      <c r="I148" s="495" t="s">
        <v>97</v>
      </c>
      <c r="J148" s="496"/>
      <c r="K148" s="78" t="s">
        <v>98</v>
      </c>
      <c r="L148" s="78"/>
      <c r="M148" s="7" t="s">
        <v>99</v>
      </c>
      <c r="N148" s="7"/>
      <c r="O148" s="99">
        <f>O147+1</f>
        <v>25</v>
      </c>
      <c r="P148" s="99" t="str">
        <f t="shared" si="65"/>
        <v xml:space="preserve">  </v>
      </c>
      <c r="Q148" s="76" t="str">
        <f>P148</f>
        <v xml:space="preserve">  </v>
      </c>
      <c r="R148" s="77" t="str">
        <f>VLOOKUP(Q148,STN_TABLE,2,FALSE)</f>
        <v xml:space="preserve">  </v>
      </c>
      <c r="S148" s="77">
        <v>8</v>
      </c>
      <c r="T148" s="76" t="e">
        <f>R148*S148</f>
        <v>#VALUE!</v>
      </c>
      <c r="U148" s="80">
        <v>10</v>
      </c>
      <c r="V148" s="76" t="e">
        <f>R148*U148</f>
        <v>#VALUE!</v>
      </c>
      <c r="W148" s="496" t="s">
        <v>97</v>
      </c>
      <c r="X148" s="496"/>
      <c r="Y148" s="496" t="s">
        <v>98</v>
      </c>
      <c r="Z148" s="496"/>
      <c r="AA148" s="494" t="s">
        <v>99</v>
      </c>
      <c r="AB148" s="494"/>
      <c r="AC148" s="99">
        <f>AC143+1</f>
        <v>24</v>
      </c>
      <c r="AD148" s="95" t="str">
        <f>VLOOKUP(AC148,STN_TABLE_2,2,FALSE)</f>
        <v xml:space="preserve">  </v>
      </c>
      <c r="AE148" s="68" t="str">
        <f>VLOOKUP(AD148,STN_TABLE,2,FALSE)</f>
        <v xml:space="preserve">  </v>
      </c>
      <c r="AF148" s="68">
        <v>1</v>
      </c>
      <c r="AG148" s="69" t="e">
        <f>AE148*AF148</f>
        <v>#VALUE!</v>
      </c>
      <c r="AH148" s="496" t="s">
        <v>97</v>
      </c>
      <c r="AI148" s="496"/>
      <c r="AJ148" s="496" t="s">
        <v>98</v>
      </c>
      <c r="AK148" s="496"/>
      <c r="AL148" s="494" t="s">
        <v>99</v>
      </c>
      <c r="AM148" s="494"/>
      <c r="AP148" s="86" t="s">
        <v>112</v>
      </c>
      <c r="AQ148" s="89" t="s">
        <v>113</v>
      </c>
      <c r="AR148" s="89" t="s">
        <v>114</v>
      </c>
      <c r="AS148" s="89" t="s">
        <v>115</v>
      </c>
      <c r="AU148" s="81"/>
    </row>
    <row r="149" spans="1:47" x14ac:dyDescent="0.25">
      <c r="A149" s="84">
        <f>A148+1</f>
        <v>24</v>
      </c>
      <c r="B149" s="84" t="str">
        <f t="shared" si="69"/>
        <v xml:space="preserve">  </v>
      </c>
      <c r="C149" s="88" t="str">
        <f t="shared" ref="C149" si="77">B150</f>
        <v xml:space="preserve">  </v>
      </c>
      <c r="D149" s="82" t="str">
        <f>VLOOKUP(C149,STN_TABLE,2,FALSE)</f>
        <v xml:space="preserve">  </v>
      </c>
      <c r="E149" s="92">
        <v>1</v>
      </c>
      <c r="F149" s="82" t="e">
        <f>D149*E149</f>
        <v>#VALUE!</v>
      </c>
      <c r="G149" s="83" t="str">
        <f>C149</f>
        <v xml:space="preserve">  </v>
      </c>
      <c r="H149" s="83" t="e">
        <f>F149*G149</f>
        <v>#VALUE!</v>
      </c>
      <c r="I149" s="84" t="str">
        <f>CONCATENATE("a'(",C149,")=")</f>
        <v>a'(  )=</v>
      </c>
      <c r="J149" s="84" t="e">
        <f>2*J147/3*F150</f>
        <v>#VALUE!</v>
      </c>
      <c r="K149" s="84" t="e">
        <f>CONCATENATE("A(",C147,")=")</f>
        <v>#VALUE!</v>
      </c>
      <c r="L149" s="84" t="e">
        <f>VLOOKUP(C147,STN_TABLE,3,FALSE)</f>
        <v>#VALUE!</v>
      </c>
      <c r="M149" t="str">
        <f>CONCATENATE("A(",C149,")=")</f>
        <v>A(  )=</v>
      </c>
      <c r="N149" t="e">
        <f>J149+L149</f>
        <v>#VALUE!</v>
      </c>
      <c r="O149" s="99">
        <f>O148+1</f>
        <v>26</v>
      </c>
      <c r="P149" s="99" t="e">
        <f t="shared" si="65"/>
        <v>#N/A</v>
      </c>
      <c r="Q149" s="82" t="e">
        <f>IF(P149-P148=P148-P147,P149,IF(P150-P148=P148-P147,P150,IF(P149-P148=P148-P146,P149,IF(P150-P148=P148-P146,P150,"-"))))</f>
        <v>#N/A</v>
      </c>
      <c r="R149" s="83" t="e">
        <f>VLOOKUP(Q149,STN_TABLE,2,FALSE)</f>
        <v>#N/A</v>
      </c>
      <c r="S149" s="83">
        <v>-1</v>
      </c>
      <c r="T149" s="82" t="e">
        <f>R149*S149</f>
        <v>#N/A</v>
      </c>
      <c r="U149" s="88">
        <v>-1</v>
      </c>
      <c r="V149" s="82" t="e">
        <f>R149*U149</f>
        <v>#N/A</v>
      </c>
      <c r="W149" s="84" t="str">
        <f>CONCATENATE("a'(",Q148,")=")</f>
        <v>a'(  )=</v>
      </c>
      <c r="X149" s="84" t="e">
        <f>2*X147/12*T150</f>
        <v>#N/A</v>
      </c>
      <c r="Y149" s="84" t="e">
        <f>CONCATENATE("A(",Q147,")=")</f>
        <v>#N/A</v>
      </c>
      <c r="Z149" s="84" t="e">
        <f>VLOOKUP(Q147,STN_TABLE,3,FALSE)</f>
        <v>#N/A</v>
      </c>
      <c r="AA149" t="str">
        <f>CONCATENATE("A(",Q148,")=")</f>
        <v>A(  )=</v>
      </c>
      <c r="AB149" t="e">
        <f>X149+Z149</f>
        <v>#N/A</v>
      </c>
      <c r="AC149" s="99">
        <f>AC148+1</f>
        <v>25</v>
      </c>
      <c r="AD149" s="100" t="str">
        <f>VLOOKUP(AC149,STN_TABLE_2,2,FALSE)</f>
        <v xml:space="preserve">  </v>
      </c>
      <c r="AE149" s="82" t="str">
        <f>VLOOKUP(AD149,STN_TABLE,2,FALSE)</f>
        <v xml:space="preserve">  </v>
      </c>
      <c r="AF149" s="82">
        <v>2</v>
      </c>
      <c r="AG149" s="83" t="e">
        <f>AE149*AF149</f>
        <v>#VALUE!</v>
      </c>
      <c r="AH149" s="84" t="str">
        <f>CONCATENATE("a'(",AD149,")=")</f>
        <v>a'(  )=</v>
      </c>
      <c r="AI149" s="84" t="e">
        <f>2*AI147/2*AE150</f>
        <v>#VALUE!</v>
      </c>
      <c r="AJ149" s="84" t="str">
        <f>CONCATENATE("A(",AD148,")=")</f>
        <v>A(  )=</v>
      </c>
      <c r="AK149" s="84" t="str">
        <f>VLOOKUP(AD148,STN_TABLE,3,FALSE)</f>
        <v xml:space="preserve"> </v>
      </c>
      <c r="AL149" t="str">
        <f>CONCATENATE("A(",AD149,")=")</f>
        <v>A(  )=</v>
      </c>
      <c r="AM149" t="e">
        <f>AI149+AK149</f>
        <v>#VALUE!</v>
      </c>
      <c r="AO149" s="68" t="str">
        <f>AA149</f>
        <v>A(  )=</v>
      </c>
      <c r="AP149" s="68" t="e">
        <f>VLOOKUP(AO149,Rise_Results,2,FALSE)</f>
        <v>#N/A</v>
      </c>
      <c r="AQ149" s="76" t="e">
        <f>N149</f>
        <v>#VALUE!</v>
      </c>
      <c r="AR149" s="76" t="e">
        <f>IF(OR(AB149&lt;=0,AB150&lt;=0),1/0,AB149)</f>
        <v>#N/A</v>
      </c>
      <c r="AS149" s="76" t="e">
        <f>AM149</f>
        <v>#VALUE!</v>
      </c>
      <c r="AT149" t="e">
        <f>IFERROR(AP149,IFERROR(AQ149,IFERROR(AR149,AS149)))</f>
        <v>#VALUE!</v>
      </c>
      <c r="AU149" s="81"/>
    </row>
    <row r="150" spans="1:47" x14ac:dyDescent="0.25">
      <c r="A150" s="84">
        <f>A149+1</f>
        <v>25</v>
      </c>
      <c r="B150" s="84" t="str">
        <f t="shared" si="69"/>
        <v xml:space="preserve">  </v>
      </c>
      <c r="F150" s="82" t="e">
        <f>SUM(F147:F149)</f>
        <v>#VALUE!</v>
      </c>
      <c r="H150" s="82" t="e">
        <f>SUM(H147:H149)</f>
        <v>#VALUE!</v>
      </c>
      <c r="I150" s="84" t="str">
        <f>CONCATENATE("m'(",C149,")=")</f>
        <v>m'(  )=</v>
      </c>
      <c r="J150" s="84" t="e">
        <f>2*(J147*(WLS))/3*H150</f>
        <v>#VALUE!</v>
      </c>
      <c r="K150" s="84" t="e">
        <f>CONCATENATE("M(",C147,")=")</f>
        <v>#VALUE!</v>
      </c>
      <c r="L150" s="84" t="e">
        <f>VLOOKUP(C147,STN_TABLE,4,FALSE)</f>
        <v>#VALUE!</v>
      </c>
      <c r="M150" t="str">
        <f>CONCATENATE("M(",C149,")=")</f>
        <v>M(  )=</v>
      </c>
      <c r="N150" t="e">
        <f>J150+L150</f>
        <v>#VALUE!</v>
      </c>
      <c r="O150" s="99">
        <f>O149+1</f>
        <v>27</v>
      </c>
      <c r="P150" s="99" t="e">
        <f t="shared" si="65"/>
        <v>#N/A</v>
      </c>
      <c r="T150" s="89" t="e">
        <f>SUM(T147:T149)</f>
        <v>#N/A</v>
      </c>
      <c r="V150" s="82" t="e">
        <f>SUM(V147:V149)</f>
        <v>#N/A</v>
      </c>
      <c r="W150" s="84" t="str">
        <f>CONCATENATE("m'(",Q148,")=")</f>
        <v>m'(  )=</v>
      </c>
      <c r="X150" s="84" t="e">
        <f>(2*(X147^2)/24*V150)+(X149*Q147*WLS)</f>
        <v>#N/A</v>
      </c>
      <c r="Y150" s="84" t="e">
        <f>CONCATENATE("M(",Q147,")=")</f>
        <v>#N/A</v>
      </c>
      <c r="Z150" s="84" t="e">
        <f>VLOOKUP(Q147,STN_TABLE,4,FALSE)</f>
        <v>#N/A</v>
      </c>
      <c r="AA150" t="str">
        <f>CONCATENATE("M(",Q148,")=")</f>
        <v>M(  )=</v>
      </c>
      <c r="AB150" t="e">
        <f>X150+Z150</f>
        <v>#N/A</v>
      </c>
      <c r="AE150" s="89">
        <f>SUM(AE148:AE149)</f>
        <v>0</v>
      </c>
      <c r="AG150" s="89" t="e">
        <f>SUM(AG148:AG149)</f>
        <v>#VALUE!</v>
      </c>
      <c r="AH150" s="84" t="str">
        <f>CONCATENATE("m'(",AD149,")=")</f>
        <v>m'(  )=</v>
      </c>
      <c r="AI150" s="84" t="e">
        <f>(2*(AI147^2)/6*AG150)+(AI149*AD148*WLS)</f>
        <v>#VALUE!</v>
      </c>
      <c r="AJ150" s="84" t="str">
        <f>CONCATENATE("M(",AD148,")=")</f>
        <v>M(  )=</v>
      </c>
      <c r="AK150" s="84" t="str">
        <f>VLOOKUP(AD148,STN_TABLE,4,FALSE)</f>
        <v xml:space="preserve"> </v>
      </c>
      <c r="AL150" t="str">
        <f>CONCATENATE("M(",AD149,")=")</f>
        <v>M(  )=</v>
      </c>
      <c r="AM150" t="e">
        <f>AI150+AK150</f>
        <v>#VALUE!</v>
      </c>
      <c r="AO150" s="82" t="str">
        <f>AA150</f>
        <v>M(  )=</v>
      </c>
      <c r="AP150" s="82" t="e">
        <f>VLOOKUP(AO150,Rise_Results,2,FALSE)</f>
        <v>#N/A</v>
      </c>
      <c r="AQ150" s="82" t="e">
        <f>N150</f>
        <v>#VALUE!</v>
      </c>
      <c r="AR150" s="82" t="e">
        <f>IF(OR(AB149&lt;=0,AB150&lt;=0),1/0,AB150)</f>
        <v>#N/A</v>
      </c>
      <c r="AS150" s="82" t="e">
        <f>AM150</f>
        <v>#VALUE!</v>
      </c>
      <c r="AT150" t="e">
        <f>IFERROR(AP150,IFERROR(AQ150,IFERROR(AR150,AS150)))</f>
        <v>#VALUE!</v>
      </c>
      <c r="AU150" s="81"/>
    </row>
    <row r="151" spans="1:47" x14ac:dyDescent="0.25">
      <c r="A151" s="101"/>
      <c r="B151" s="101"/>
      <c r="AU151" s="81"/>
    </row>
    <row r="152" spans="1:47" x14ac:dyDescent="0.25">
      <c r="A152" s="84"/>
      <c r="B152" s="84"/>
      <c r="E152" s="81"/>
      <c r="F152" s="81"/>
      <c r="G152" s="81"/>
      <c r="H152" s="81"/>
      <c r="I152" s="103"/>
      <c r="J152" s="70"/>
      <c r="AU152" s="81"/>
    </row>
    <row r="153" spans="1:47" x14ac:dyDescent="0.25">
      <c r="A153" s="84"/>
      <c r="B153" s="84"/>
      <c r="E153" s="81"/>
      <c r="F153" s="81"/>
      <c r="G153" s="81"/>
      <c r="H153" s="81"/>
      <c r="I153" s="104"/>
      <c r="J153" s="78"/>
      <c r="K153" s="78"/>
      <c r="L153" s="78"/>
      <c r="M153" s="7"/>
      <c r="N153" s="7"/>
      <c r="AO153" s="81"/>
      <c r="AP153" s="81"/>
      <c r="AQ153" s="81"/>
      <c r="AR153" s="81"/>
      <c r="AS153" s="81"/>
      <c r="AT153" s="81"/>
      <c r="AU153" s="81"/>
    </row>
    <row r="154" spans="1:47" x14ac:dyDescent="0.25">
      <c r="A154" s="84"/>
      <c r="B154" s="84"/>
      <c r="E154" s="81"/>
      <c r="F154" s="81"/>
      <c r="G154" s="81"/>
      <c r="H154" s="81"/>
      <c r="I154" s="105"/>
      <c r="J154" s="84"/>
      <c r="K154" s="84"/>
      <c r="L154" s="84"/>
      <c r="AO154" s="81"/>
      <c r="AP154" s="81"/>
      <c r="AQ154" s="81"/>
      <c r="AR154" s="81"/>
      <c r="AS154" s="81"/>
      <c r="AT154" s="81"/>
      <c r="AU154" s="81"/>
    </row>
    <row r="155" spans="1:47" x14ac:dyDescent="0.25">
      <c r="A155" s="84"/>
      <c r="B155" s="84"/>
      <c r="E155" s="81"/>
      <c r="F155" s="81"/>
      <c r="G155" s="81"/>
      <c r="H155" s="81"/>
      <c r="I155" s="105"/>
      <c r="J155" s="84"/>
      <c r="K155" s="84"/>
      <c r="L155" s="84"/>
      <c r="AO155" s="81"/>
      <c r="AP155" s="81"/>
      <c r="AQ155" s="81"/>
      <c r="AR155" s="81"/>
      <c r="AS155" s="81"/>
      <c r="AT155" s="81"/>
      <c r="AU155" s="81"/>
    </row>
    <row r="156" spans="1:47" x14ac:dyDescent="0.25">
      <c r="A156" s="101"/>
      <c r="B156" s="101"/>
      <c r="E156" s="81"/>
      <c r="F156" s="81"/>
      <c r="G156" s="81"/>
      <c r="H156" s="81"/>
      <c r="I156" s="81"/>
      <c r="AO156" s="81"/>
      <c r="AP156" s="81"/>
      <c r="AQ156" s="81"/>
      <c r="AR156" s="81"/>
      <c r="AS156" s="81"/>
      <c r="AT156" s="81"/>
      <c r="AU156" s="81"/>
    </row>
    <row r="157" spans="1:47" x14ac:dyDescent="0.25">
      <c r="A157" s="84"/>
      <c r="B157" s="84"/>
      <c r="E157" s="81"/>
      <c r="F157" s="81"/>
      <c r="G157" s="81"/>
      <c r="H157" s="81"/>
      <c r="I157" s="103"/>
      <c r="J157" s="70"/>
      <c r="AO157" s="81"/>
      <c r="AP157" s="81"/>
      <c r="AQ157" s="81"/>
      <c r="AR157" s="81"/>
      <c r="AS157" s="81"/>
      <c r="AT157" s="81"/>
      <c r="AU157" s="81"/>
    </row>
    <row r="158" spans="1:47" x14ac:dyDescent="0.25">
      <c r="A158" s="84"/>
      <c r="B158" s="84"/>
      <c r="E158" s="81"/>
      <c r="F158" s="81"/>
      <c r="G158" s="81"/>
      <c r="H158" s="81"/>
      <c r="I158" s="104"/>
      <c r="J158" s="78"/>
      <c r="K158" s="78"/>
      <c r="L158" s="78"/>
      <c r="M158" s="7"/>
      <c r="N158" s="7"/>
      <c r="AO158" s="81"/>
      <c r="AP158" s="81"/>
      <c r="AQ158" s="81"/>
      <c r="AR158" s="81"/>
      <c r="AS158" s="81"/>
      <c r="AT158" s="81"/>
      <c r="AU158" s="81"/>
    </row>
    <row r="159" spans="1:47" x14ac:dyDescent="0.25">
      <c r="A159" s="84"/>
      <c r="B159" s="84"/>
      <c r="E159" s="81"/>
      <c r="F159" s="81"/>
      <c r="G159" s="81"/>
      <c r="H159" s="81"/>
      <c r="I159" s="105"/>
      <c r="J159" s="84"/>
      <c r="K159" s="84"/>
      <c r="L159" s="84"/>
      <c r="AO159" s="81"/>
      <c r="AP159" s="81"/>
      <c r="AQ159" s="81"/>
      <c r="AR159" s="81"/>
      <c r="AS159" s="81"/>
      <c r="AT159" s="81"/>
      <c r="AU159" s="81"/>
    </row>
    <row r="160" spans="1:47" x14ac:dyDescent="0.25">
      <c r="A160" s="84"/>
      <c r="B160" s="84"/>
      <c r="E160" s="81"/>
      <c r="F160" s="81"/>
      <c r="G160" s="81"/>
      <c r="H160" s="81"/>
      <c r="I160" s="105"/>
      <c r="J160" s="84"/>
      <c r="K160" s="84"/>
      <c r="L160" s="84"/>
      <c r="AO160" s="81"/>
      <c r="AP160" s="81"/>
      <c r="AQ160" s="81"/>
      <c r="AR160" s="81"/>
      <c r="AS160" s="81"/>
      <c r="AT160" s="81"/>
      <c r="AU160" s="81"/>
    </row>
    <row r="161" spans="1:47" x14ac:dyDescent="0.25">
      <c r="A161" s="101"/>
      <c r="B161" s="101"/>
      <c r="E161" s="81"/>
      <c r="F161" s="81"/>
      <c r="G161" s="81"/>
      <c r="H161" s="81"/>
      <c r="I161" s="81"/>
      <c r="AO161" s="81"/>
      <c r="AP161" s="81"/>
      <c r="AQ161" s="81"/>
      <c r="AR161" s="81"/>
      <c r="AS161" s="81"/>
      <c r="AT161" s="81"/>
      <c r="AU161" s="81"/>
    </row>
    <row r="162" spans="1:47" x14ac:dyDescent="0.25">
      <c r="A162" s="84"/>
      <c r="B162" s="84"/>
      <c r="E162" s="81"/>
      <c r="F162" s="81"/>
      <c r="G162" s="81"/>
      <c r="H162" s="81"/>
      <c r="I162" s="103"/>
      <c r="J162" s="70"/>
      <c r="AO162" s="81"/>
      <c r="AP162" s="81"/>
      <c r="AQ162" s="81"/>
      <c r="AR162" s="81"/>
      <c r="AS162" s="81"/>
      <c r="AT162" s="81"/>
      <c r="AU162" s="81"/>
    </row>
    <row r="163" spans="1:47" x14ac:dyDescent="0.25">
      <c r="A163" s="84"/>
      <c r="B163" s="84"/>
      <c r="E163" s="81"/>
      <c r="F163" s="81"/>
      <c r="G163" s="81"/>
      <c r="H163" s="81"/>
      <c r="I163" s="104"/>
      <c r="J163" s="78"/>
      <c r="K163" s="78"/>
      <c r="L163" s="78"/>
      <c r="M163" s="7"/>
      <c r="N163" s="7"/>
      <c r="AO163" s="81"/>
      <c r="AP163" s="81"/>
      <c r="AQ163" s="81"/>
      <c r="AR163" s="81"/>
      <c r="AS163" s="81"/>
      <c r="AT163" s="81"/>
      <c r="AU163" s="81"/>
    </row>
    <row r="164" spans="1:47" x14ac:dyDescent="0.25">
      <c r="A164" s="84"/>
      <c r="B164" s="84"/>
      <c r="E164" s="81"/>
      <c r="F164" s="81"/>
      <c r="G164" s="81"/>
      <c r="H164" s="81"/>
      <c r="I164" s="105"/>
      <c r="J164" s="84"/>
      <c r="K164" s="84"/>
      <c r="L164" s="84"/>
    </row>
    <row r="165" spans="1:47" x14ac:dyDescent="0.25">
      <c r="A165" s="84"/>
      <c r="B165" s="84"/>
      <c r="E165" s="81"/>
      <c r="F165" s="81"/>
      <c r="G165" s="81"/>
      <c r="H165" s="81"/>
      <c r="I165" s="105"/>
      <c r="J165" s="84"/>
      <c r="K165" s="84"/>
      <c r="L165" s="84"/>
    </row>
    <row r="166" spans="1:47" x14ac:dyDescent="0.25">
      <c r="A166" s="101"/>
      <c r="B166" s="101"/>
      <c r="E166" s="81"/>
      <c r="F166" s="81"/>
      <c r="G166" s="81"/>
      <c r="H166" s="81"/>
      <c r="I166" s="81"/>
    </row>
    <row r="167" spans="1:47" x14ac:dyDescent="0.25">
      <c r="A167" s="84"/>
      <c r="B167" s="84"/>
      <c r="E167" s="81"/>
      <c r="F167" s="81"/>
      <c r="G167" s="81"/>
      <c r="H167" s="81"/>
      <c r="I167" s="103"/>
      <c r="J167" s="70"/>
    </row>
    <row r="168" spans="1:47" x14ac:dyDescent="0.25">
      <c r="A168" s="84"/>
      <c r="B168" s="84"/>
      <c r="E168" s="81"/>
      <c r="F168" s="81"/>
      <c r="G168" s="81"/>
      <c r="H168" s="81"/>
      <c r="I168" s="104"/>
      <c r="J168" s="78"/>
      <c r="K168" s="78"/>
      <c r="L168" s="78"/>
      <c r="M168" s="7"/>
      <c r="N168" s="7"/>
    </row>
    <row r="169" spans="1:47" x14ac:dyDescent="0.25">
      <c r="A169" s="84"/>
      <c r="B169" s="84"/>
      <c r="E169" s="81"/>
      <c r="F169" s="81"/>
      <c r="G169" s="81"/>
      <c r="H169" s="81"/>
      <c r="I169" s="105"/>
      <c r="J169" s="84"/>
      <c r="K169" s="84"/>
      <c r="L169" s="84"/>
    </row>
    <row r="170" spans="1:47" x14ac:dyDescent="0.25">
      <c r="A170" s="84"/>
      <c r="B170" s="84"/>
      <c r="E170" s="81"/>
      <c r="F170" s="81"/>
      <c r="G170" s="81"/>
      <c r="H170" s="81"/>
      <c r="I170" s="105"/>
      <c r="J170" s="84"/>
      <c r="K170" s="84"/>
      <c r="L170" s="84"/>
    </row>
    <row r="171" spans="1:47" x14ac:dyDescent="0.25">
      <c r="E171" s="81"/>
      <c r="F171" s="81"/>
      <c r="G171" s="81"/>
      <c r="H171" s="81"/>
      <c r="I171" s="81"/>
    </row>
  </sheetData>
  <sheetProtection selectLockedCells="1" selectUnlockedCells="1"/>
  <mergeCells count="167">
    <mergeCell ref="A1:B1"/>
    <mergeCell ref="E1:F1"/>
    <mergeCell ref="L1:M1"/>
    <mergeCell ref="W33:X33"/>
    <mergeCell ref="Y33:Z33"/>
    <mergeCell ref="AA33:AB33"/>
    <mergeCell ref="AH33:AI33"/>
    <mergeCell ref="AJ33:AK33"/>
    <mergeCell ref="AL33:AM33"/>
    <mergeCell ref="I38:J38"/>
    <mergeCell ref="W38:X38"/>
    <mergeCell ref="Y38:Z38"/>
    <mergeCell ref="AA38:AB38"/>
    <mergeCell ref="AH38:AI38"/>
    <mergeCell ref="AJ38:AK38"/>
    <mergeCell ref="AL38:AM38"/>
    <mergeCell ref="AL43:AM43"/>
    <mergeCell ref="I48:J48"/>
    <mergeCell ref="W48:X48"/>
    <mergeCell ref="Y48:Z48"/>
    <mergeCell ref="AA48:AB48"/>
    <mergeCell ref="AH48:AI48"/>
    <mergeCell ref="AJ48:AK48"/>
    <mergeCell ref="AL48:AM48"/>
    <mergeCell ref="I43:J43"/>
    <mergeCell ref="W43:X43"/>
    <mergeCell ref="Y43:Z43"/>
    <mergeCell ref="AA43:AB43"/>
    <mergeCell ref="AH43:AI43"/>
    <mergeCell ref="AJ43:AK43"/>
    <mergeCell ref="AL53:AM53"/>
    <mergeCell ref="I58:J58"/>
    <mergeCell ref="AH58:AI58"/>
    <mergeCell ref="AJ58:AK58"/>
    <mergeCell ref="AL58:AM58"/>
    <mergeCell ref="I63:J63"/>
    <mergeCell ref="W63:X63"/>
    <mergeCell ref="Y63:Z63"/>
    <mergeCell ref="AA63:AB63"/>
    <mergeCell ref="AH63:AI63"/>
    <mergeCell ref="I53:J53"/>
    <mergeCell ref="W53:X53"/>
    <mergeCell ref="Y53:Z53"/>
    <mergeCell ref="AA53:AB53"/>
    <mergeCell ref="AH53:AI53"/>
    <mergeCell ref="AJ53:AK53"/>
    <mergeCell ref="AJ63:AK63"/>
    <mergeCell ref="AL63:AM63"/>
    <mergeCell ref="I68:J68"/>
    <mergeCell ref="W68:X68"/>
    <mergeCell ref="Y68:Z68"/>
    <mergeCell ref="AA68:AB68"/>
    <mergeCell ref="AH68:AI68"/>
    <mergeCell ref="AJ68:AK68"/>
    <mergeCell ref="AL68:AM68"/>
    <mergeCell ref="AL73:AM73"/>
    <mergeCell ref="I78:J78"/>
    <mergeCell ref="W78:X78"/>
    <mergeCell ref="Y78:Z78"/>
    <mergeCell ref="AA78:AB78"/>
    <mergeCell ref="AH78:AI78"/>
    <mergeCell ref="AJ78:AK78"/>
    <mergeCell ref="AL78:AM78"/>
    <mergeCell ref="I73:J73"/>
    <mergeCell ref="W73:X73"/>
    <mergeCell ref="Y73:Z73"/>
    <mergeCell ref="AA73:AB73"/>
    <mergeCell ref="AH73:AI73"/>
    <mergeCell ref="AJ73:AK73"/>
    <mergeCell ref="AL83:AM83"/>
    <mergeCell ref="I88:J88"/>
    <mergeCell ref="W88:X88"/>
    <mergeCell ref="Y88:Z88"/>
    <mergeCell ref="AA88:AB88"/>
    <mergeCell ref="AH88:AI88"/>
    <mergeCell ref="AJ88:AK88"/>
    <mergeCell ref="AL88:AM88"/>
    <mergeCell ref="I83:J83"/>
    <mergeCell ref="W83:X83"/>
    <mergeCell ref="Y83:Z83"/>
    <mergeCell ref="AA83:AB83"/>
    <mergeCell ref="AH83:AI83"/>
    <mergeCell ref="AJ83:AK83"/>
    <mergeCell ref="AL93:AM93"/>
    <mergeCell ref="I98:J98"/>
    <mergeCell ref="W98:X98"/>
    <mergeCell ref="Y98:Z98"/>
    <mergeCell ref="AA98:AB98"/>
    <mergeCell ref="AH98:AI98"/>
    <mergeCell ref="AJ98:AK98"/>
    <mergeCell ref="AL98:AM98"/>
    <mergeCell ref="I93:J93"/>
    <mergeCell ref="W93:X93"/>
    <mergeCell ref="Y93:Z93"/>
    <mergeCell ref="AA93:AB93"/>
    <mergeCell ref="AH93:AI93"/>
    <mergeCell ref="AJ93:AK93"/>
    <mergeCell ref="AL103:AM103"/>
    <mergeCell ref="I108:J108"/>
    <mergeCell ref="W108:X108"/>
    <mergeCell ref="Y108:Z108"/>
    <mergeCell ref="AA108:AB108"/>
    <mergeCell ref="AH108:AI108"/>
    <mergeCell ref="AJ108:AK108"/>
    <mergeCell ref="AL108:AM108"/>
    <mergeCell ref="I103:J103"/>
    <mergeCell ref="W103:X103"/>
    <mergeCell ref="Y103:Z103"/>
    <mergeCell ref="AA103:AB103"/>
    <mergeCell ref="AH103:AI103"/>
    <mergeCell ref="AJ103:AK103"/>
    <mergeCell ref="AL113:AM113"/>
    <mergeCell ref="I118:J118"/>
    <mergeCell ref="W118:X118"/>
    <mergeCell ref="Y118:Z118"/>
    <mergeCell ref="AA118:AB118"/>
    <mergeCell ref="AH118:AI118"/>
    <mergeCell ref="AJ118:AK118"/>
    <mergeCell ref="AL118:AM118"/>
    <mergeCell ref="I113:J113"/>
    <mergeCell ref="W113:X113"/>
    <mergeCell ref="Y113:Z113"/>
    <mergeCell ref="AA113:AB113"/>
    <mergeCell ref="AH113:AI113"/>
    <mergeCell ref="AJ113:AK113"/>
    <mergeCell ref="AL123:AM123"/>
    <mergeCell ref="I128:J128"/>
    <mergeCell ref="W128:X128"/>
    <mergeCell ref="Y128:Z128"/>
    <mergeCell ref="AA128:AB128"/>
    <mergeCell ref="AH128:AI128"/>
    <mergeCell ref="AJ128:AK128"/>
    <mergeCell ref="AL128:AM128"/>
    <mergeCell ref="I123:J123"/>
    <mergeCell ref="W123:X123"/>
    <mergeCell ref="Y123:Z123"/>
    <mergeCell ref="AA123:AB123"/>
    <mergeCell ref="AH123:AI123"/>
    <mergeCell ref="AJ123:AK123"/>
    <mergeCell ref="AL133:AM133"/>
    <mergeCell ref="I138:J138"/>
    <mergeCell ref="W138:X138"/>
    <mergeCell ref="Y138:Z138"/>
    <mergeCell ref="AA138:AB138"/>
    <mergeCell ref="AH138:AI138"/>
    <mergeCell ref="AJ138:AK138"/>
    <mergeCell ref="AL138:AM138"/>
    <mergeCell ref="I133:J133"/>
    <mergeCell ref="W133:X133"/>
    <mergeCell ref="Y133:Z133"/>
    <mergeCell ref="AA133:AB133"/>
    <mergeCell ref="AH133:AI133"/>
    <mergeCell ref="AJ133:AK133"/>
    <mergeCell ref="AL143:AM143"/>
    <mergeCell ref="I148:J148"/>
    <mergeCell ref="W148:X148"/>
    <mergeCell ref="Y148:Z148"/>
    <mergeCell ref="AA148:AB148"/>
    <mergeCell ref="AH148:AI148"/>
    <mergeCell ref="AJ148:AK148"/>
    <mergeCell ref="AL148:AM148"/>
    <mergeCell ref="I143:J143"/>
    <mergeCell ref="W143:X143"/>
    <mergeCell ref="Y143:Z143"/>
    <mergeCell ref="AA143:AB143"/>
    <mergeCell ref="AH143:AI143"/>
    <mergeCell ref="AJ143:AK143"/>
  </mergeCells>
  <pageMargins left="0.7" right="0.7" top="0.75" bottom="0.75" header="0.3" footer="0.3"/>
  <pageSetup paperSize="9"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AU171"/>
  <sheetViews>
    <sheetView topLeftCell="N1" workbookViewId="0">
      <pane ySplit="1" topLeftCell="A2" activePane="bottomLeft" state="frozen"/>
      <selection activeCell="AG8" sqref="AG8:AG10"/>
      <selection pane="bottomLeft" activeCell="AG8" sqref="AG8:AG10"/>
    </sheetView>
  </sheetViews>
  <sheetFormatPr defaultRowHeight="15" x14ac:dyDescent="0.25"/>
  <sheetData>
    <row r="1" spans="1:46" x14ac:dyDescent="0.25">
      <c r="A1" s="494" t="s">
        <v>90</v>
      </c>
      <c r="B1" s="494"/>
      <c r="C1">
        <f>HLOOKUP(Stn_WL,OFFSET_A,Count_STN+1,FALSE)</f>
        <v>1.5</v>
      </c>
      <c r="E1" s="494" t="s">
        <v>91</v>
      </c>
      <c r="F1" s="494"/>
      <c r="G1" t="str">
        <f>VLOOKUP(Station_No,RISE_CALC,2,FALSE)</f>
        <v>-</v>
      </c>
      <c r="L1" s="494" t="s">
        <v>92</v>
      </c>
      <c r="M1" s="494"/>
      <c r="N1">
        <v>4</v>
      </c>
    </row>
    <row r="2" spans="1:46" x14ac:dyDescent="0.25">
      <c r="Q2" s="66" t="str">
        <f t="shared" ref="Q2:R6" si="0">G4</f>
        <v>Rise</v>
      </c>
      <c r="R2" s="67" t="e">
        <f t="shared" si="0"/>
        <v>#VALUE!</v>
      </c>
      <c r="S2" s="68" t="e">
        <f>IF(OR(R5-R4=R4-R3,R6-R4=R4-R3),R3,IF(OR(R5-R4=R4-R2,R6-R4=R4-R2),R2,"-"))</f>
        <v>#VALUE!</v>
      </c>
      <c r="T2" s="69" t="e">
        <f>IFERROR(VLOOKUP(S2,STN_TABLE,2,FALSE),IF(R2=RisePerWLS,0,"-"))</f>
        <v>#VALUE!</v>
      </c>
      <c r="U2" s="69">
        <v>5</v>
      </c>
      <c r="V2" s="69" t="e">
        <f>T2*U2</f>
        <v>#VALUE!</v>
      </c>
      <c r="W2" s="69">
        <v>3</v>
      </c>
      <c r="X2" s="69" t="e">
        <f>T2*W2</f>
        <v>#VALUE!</v>
      </c>
      <c r="Y2" s="6" t="s">
        <v>93</v>
      </c>
      <c r="Z2" s="70" t="e">
        <f>IF(AND(S4-S3=S3-S2,NOT(AND(S2=0,S3=0)),NOT(AND(S3=0,S4=0))),WLS*(S4-S3),"#NA")</f>
        <v>#VALUE!</v>
      </c>
      <c r="AE2" s="71" t="s">
        <v>94</v>
      </c>
    </row>
    <row r="3" spans="1:46" x14ac:dyDescent="0.25">
      <c r="B3" s="72" t="s">
        <v>0</v>
      </c>
      <c r="C3" s="73" t="s">
        <v>95</v>
      </c>
      <c r="D3" s="73" t="s">
        <v>18</v>
      </c>
      <c r="E3" s="74" t="s">
        <v>20</v>
      </c>
      <c r="H3" s="75" t="s">
        <v>96</v>
      </c>
      <c r="K3" t="str">
        <f>IF(Rise=0,"(Not considered)","(Considered)")</f>
        <v>(Considered)</v>
      </c>
      <c r="Q3" s="66" t="str">
        <f t="shared" si="0"/>
        <v>1st_UWL</v>
      </c>
      <c r="R3" s="67" t="str">
        <f t="shared" si="0"/>
        <v>#NA</v>
      </c>
      <c r="S3" s="76" t="str">
        <f>R4</f>
        <v>#NA</v>
      </c>
      <c r="T3" s="77" t="e">
        <f>VLOOKUP(S3,STN_TABLE,2,FALSE)</f>
        <v>#N/A</v>
      </c>
      <c r="U3" s="77">
        <v>8</v>
      </c>
      <c r="V3" s="77" t="e">
        <f>T3*U3</f>
        <v>#N/A</v>
      </c>
      <c r="W3" s="77">
        <v>10</v>
      </c>
      <c r="X3" s="77" t="e">
        <f>T3*W3</f>
        <v>#N/A</v>
      </c>
      <c r="Y3" s="78" t="s">
        <v>97</v>
      </c>
      <c r="Z3" s="78"/>
      <c r="AA3" s="78" t="s">
        <v>98</v>
      </c>
      <c r="AB3" s="78"/>
      <c r="AC3" s="7" t="s">
        <v>99</v>
      </c>
      <c r="AD3" s="7"/>
      <c r="AE3" s="66" t="str">
        <f t="shared" ref="AE3:AF7" si="1">G4</f>
        <v>Rise</v>
      </c>
      <c r="AF3" s="67" t="e">
        <f t="shared" si="1"/>
        <v>#VALUE!</v>
      </c>
      <c r="AG3" s="79" t="e">
        <f>IF(AF7-AF6=AF6-AF5,AF5,IF(OR(AF7-AF6=AF6-AF4,AF7-AF5=AF5-AF4),AF4,IF(OR(AF7-AF6=AF6-AF3,AF7-AF5=AF5-AF3,AF7-AF4=AF4-AF3),AF3,"#NA")))</f>
        <v>#VALUE!</v>
      </c>
      <c r="AH3" s="69" t="e">
        <f>IFERROR(VLOOKUP(AG3,STN_TABLE,2,FALSE),IF(AF3=RisePerWLS,0,"-"))</f>
        <v>#VALUE!</v>
      </c>
      <c r="AI3" s="69">
        <v>1</v>
      </c>
      <c r="AJ3" s="69" t="e">
        <f>AH3*AI3</f>
        <v>#VALUE!</v>
      </c>
      <c r="AK3" s="69" t="e">
        <f>AG3</f>
        <v>#VALUE!</v>
      </c>
      <c r="AL3" s="69" t="e">
        <f>AJ3*AK3</f>
        <v>#VALUE!</v>
      </c>
      <c r="AM3" s="6" t="s">
        <v>93</v>
      </c>
      <c r="AN3" s="70" t="e">
        <f>IF(AND(AH3=0,AH4=0,AH5=0),WLS*(AG5-AG4),IF(AND(AG5-AG4=AG4-AG3,AG4&lt;&gt;AG5,AG3&lt;&gt;AG4,AG3&lt;&gt;AG5,AH5&lt;&gt;0,OR(AH3&lt;&gt;0,AH4&lt;&gt;0)),WLS*(AG5-AG4),"#NA"))</f>
        <v>#VALUE!</v>
      </c>
    </row>
    <row r="4" spans="1:46" x14ac:dyDescent="0.25">
      <c r="A4">
        <v>1</v>
      </c>
      <c r="B4" s="80">
        <f t="shared" ref="B4:B28" si="2">VLOOKUP(Stn_WL,OFFSET_A,A4+1,FALSE)</f>
        <v>0</v>
      </c>
      <c r="C4" s="81">
        <f t="shared" ref="C4:C28" si="3">VLOOKUP(Station_No,OFFSET_A,A4+1,FALSE)</f>
        <v>0.5</v>
      </c>
      <c r="D4" s="81">
        <v>0</v>
      </c>
      <c r="E4" s="77">
        <v>0</v>
      </c>
      <c r="G4" t="s">
        <v>100</v>
      </c>
      <c r="H4" t="e">
        <f>Rise/WLS</f>
        <v>#VALUE!</v>
      </c>
      <c r="K4" t="str">
        <f>CONCATENATE("A(",H5,")=")</f>
        <v>A(#NA)=</v>
      </c>
      <c r="L4" t="e">
        <f>IFERROR(N18,N22)</f>
        <v>#VALUE!</v>
      </c>
      <c r="Q4" s="66" t="str">
        <f t="shared" si="0"/>
        <v>2nd_UWL</v>
      </c>
      <c r="R4" s="67" t="str">
        <f t="shared" si="0"/>
        <v>#NA</v>
      </c>
      <c r="S4" s="82" t="e">
        <f>IF((S2-S3)=S3-R5,R5,IF(S2-S3=S3-R6,R6,"-"))</f>
        <v>#VALUE!</v>
      </c>
      <c r="T4" s="83" t="e">
        <f>VLOOKUP(S4,STN_TABLE,2,FALSE)</f>
        <v>#VALUE!</v>
      </c>
      <c r="U4" s="83">
        <v>-1</v>
      </c>
      <c r="V4" s="83" t="e">
        <f>T4*U4</f>
        <v>#VALUE!</v>
      </c>
      <c r="W4" s="83">
        <v>-1</v>
      </c>
      <c r="X4" s="83" t="e">
        <f>T4*W4</f>
        <v>#VALUE!</v>
      </c>
      <c r="Y4" s="84" t="str">
        <f>CONCATENATE("a'(",S3,")=")</f>
        <v>a'(#NA)=</v>
      </c>
      <c r="Z4" s="85" t="e">
        <f>2*Z2/12*V5</f>
        <v>#VALUE!</v>
      </c>
      <c r="AA4" s="84" t="e">
        <f>CONCATENATE("A(",S2,")=")</f>
        <v>#VALUE!</v>
      </c>
      <c r="AB4" s="84" t="e">
        <f>IF(S2=RisePerWLS,0,VLOOKUP(S2,STN_TABLE,3,FALSE))</f>
        <v>#VALUE!</v>
      </c>
      <c r="AC4" t="str">
        <f>CONCATENATE("A(",S3,")=")</f>
        <v>A(#NA)=</v>
      </c>
      <c r="AD4" t="e">
        <f>Z4+AB4</f>
        <v>#VALUE!</v>
      </c>
      <c r="AE4" s="66" t="str">
        <f t="shared" si="1"/>
        <v>1st_UWL</v>
      </c>
      <c r="AF4" s="67" t="str">
        <f t="shared" si="1"/>
        <v>#NA</v>
      </c>
      <c r="AG4" s="80" t="e">
        <f>IF(OR(AF7-AF6=AF6-AF5,AF7-AF6=AF6-AF4,AF7-AF6=AF6-AF3),AF6,IF(OR(AF7-AF5=AF5-AF4,AF7-AF5=AF5-AF3),AF5,IF(AF7-AF4=AF4-AF3,AF4,"#NA")))</f>
        <v>#VALUE!</v>
      </c>
      <c r="AH4" s="77" t="e">
        <f>VLOOKUP(AG4,STN_TABLE,2,FALSE)</f>
        <v>#VALUE!</v>
      </c>
      <c r="AI4" s="77">
        <v>4</v>
      </c>
      <c r="AJ4" s="77" t="e">
        <f>AH4*AI4</f>
        <v>#VALUE!</v>
      </c>
      <c r="AK4" s="77" t="e">
        <f>AG4</f>
        <v>#VALUE!</v>
      </c>
      <c r="AL4" s="77" t="e">
        <f>AJ4*AK4</f>
        <v>#VALUE!</v>
      </c>
      <c r="AM4" s="78" t="s">
        <v>97</v>
      </c>
      <c r="AN4" s="78"/>
      <c r="AO4" s="78" t="s">
        <v>98</v>
      </c>
      <c r="AP4" s="78"/>
      <c r="AQ4" s="7" t="s">
        <v>99</v>
      </c>
      <c r="AR4" s="7"/>
      <c r="AS4" s="7"/>
      <c r="AT4" s="7"/>
    </row>
    <row r="5" spans="1:46" x14ac:dyDescent="0.25">
      <c r="A5">
        <v>2</v>
      </c>
      <c r="B5" s="80">
        <f t="shared" si="2"/>
        <v>0.25</v>
      </c>
      <c r="C5" s="81">
        <f t="shared" si="3"/>
        <v>0.99</v>
      </c>
      <c r="D5" s="81">
        <f t="shared" ref="D5:D28" si="4">IFERROR(VLOOKUP(CONCATENATE("A(",B5,")="),RESULT_TABLE,6,FALSE)," ")</f>
        <v>0.75583333333333336</v>
      </c>
      <c r="E5" s="77">
        <f t="shared" ref="E5:E28" si="5">IFERROR(VLOOKUP(CONCATENATE("M(",B5,")="),RESULT_TABLE,6,FALSE)," ")</f>
        <v>0.20937500000000001</v>
      </c>
      <c r="G5" t="s">
        <v>101</v>
      </c>
      <c r="H5" t="str">
        <f>VLOOKUP(Station_No,RISE_CALC,4,FALSE)</f>
        <v>#NA</v>
      </c>
      <c r="K5" t="str">
        <f>CONCATENATE("M(",H5,")=")</f>
        <v>M(#NA)=</v>
      </c>
      <c r="L5" t="e">
        <f>IFERROR(N19,N23)</f>
        <v>#VALUE!</v>
      </c>
      <c r="Q5" s="66" t="str">
        <f t="shared" si="0"/>
        <v>3rd_UWL</v>
      </c>
      <c r="R5" s="67" t="str">
        <f t="shared" si="0"/>
        <v>#NA</v>
      </c>
      <c r="V5" s="86" t="e">
        <f>SUM(V2:V4)</f>
        <v>#VALUE!</v>
      </c>
      <c r="X5" s="87" t="e">
        <f>SUM(X2:X4)</f>
        <v>#VALUE!</v>
      </c>
      <c r="Y5" s="84" t="str">
        <f>CONCATENATE("m'(",S3,")=")</f>
        <v>m'(#NA)=</v>
      </c>
      <c r="Z5" s="85" t="e">
        <f>(2*(Z2^2)/24*X5)+(Z4*S2*WLS)</f>
        <v>#VALUE!</v>
      </c>
      <c r="AA5" s="84" t="e">
        <f>CONCATENATE("M(",S2,")=")</f>
        <v>#VALUE!</v>
      </c>
      <c r="AB5" s="84" t="e">
        <f>IF(S2=RisePerWLS,0,VLOOKUP(S2,STN_TABLE,4,FALSE))</f>
        <v>#VALUE!</v>
      </c>
      <c r="AC5" t="str">
        <f>CONCATENATE("M(",S3,")=")</f>
        <v>M(#NA)=</v>
      </c>
      <c r="AD5" t="e">
        <f>Z5+AB5</f>
        <v>#VALUE!</v>
      </c>
      <c r="AE5" s="66" t="str">
        <f t="shared" si="1"/>
        <v>2nd_UWL</v>
      </c>
      <c r="AF5" s="67" t="str">
        <f t="shared" si="1"/>
        <v>#NA</v>
      </c>
      <c r="AG5" s="88" t="str">
        <f>AF7</f>
        <v>#NA</v>
      </c>
      <c r="AH5" s="83" t="e">
        <f>VLOOKUP(AG5,STN_TABLE,2,FALSE)</f>
        <v>#N/A</v>
      </c>
      <c r="AI5" s="83">
        <v>1</v>
      </c>
      <c r="AJ5" s="83" t="e">
        <f>AH5*AI5</f>
        <v>#N/A</v>
      </c>
      <c r="AK5" s="83" t="str">
        <f>AG5</f>
        <v>#NA</v>
      </c>
      <c r="AL5" s="83" t="e">
        <f>AJ5*AK5</f>
        <v>#N/A</v>
      </c>
      <c r="AM5" s="84" t="str">
        <f>CONCATENATE("a'(",AG5,")=")</f>
        <v>a'(#NA)=</v>
      </c>
      <c r="AN5" s="84" t="e">
        <f>2*AN3/3*AJ6</f>
        <v>#VALUE!</v>
      </c>
      <c r="AO5" s="84" t="e">
        <f>CONCATENATE("A(",AG3,")=")</f>
        <v>#VALUE!</v>
      </c>
      <c r="AP5" s="84" t="e">
        <f>IF(AG3=RisePerWLS,0,VLOOKUP(AG3,STN_TABLE,3,FALSE))</f>
        <v>#VALUE!</v>
      </c>
      <c r="AQ5" t="str">
        <f>CONCATENATE("A(",AG5,")=")</f>
        <v>A(#NA)=</v>
      </c>
      <c r="AR5" t="e">
        <f>AN5+AP5</f>
        <v>#VALUE!</v>
      </c>
    </row>
    <row r="6" spans="1:46" x14ac:dyDescent="0.25">
      <c r="A6">
        <v>3</v>
      </c>
      <c r="B6" s="80">
        <f t="shared" si="2"/>
        <v>0.5</v>
      </c>
      <c r="C6" s="81">
        <f t="shared" si="3"/>
        <v>1.35</v>
      </c>
      <c r="D6" s="81">
        <f t="shared" si="4"/>
        <v>1.9366666666666668</v>
      </c>
      <c r="E6" s="77">
        <f t="shared" si="5"/>
        <v>1.1099999999999999</v>
      </c>
      <c r="G6" t="s">
        <v>102</v>
      </c>
      <c r="H6" t="str">
        <f>VLOOKUP(Station_No,RISE_CALC,5,FALSE)</f>
        <v>#NA</v>
      </c>
      <c r="K6" t="str">
        <f>CONCATENATE("A(",H6,")=")</f>
        <v>A(#NA)=</v>
      </c>
      <c r="L6" t="e">
        <f>IFERROR(P27,IFERROR(X6,AD9))</f>
        <v>#VALUE!</v>
      </c>
      <c r="Q6" s="66" t="str">
        <f t="shared" si="0"/>
        <v>4th_UWL</v>
      </c>
      <c r="R6" s="67" t="str">
        <f t="shared" si="0"/>
        <v>#NA</v>
      </c>
      <c r="U6" t="s">
        <v>103</v>
      </c>
      <c r="W6" t="str">
        <f>CONCATENATE("A(",S3,")=")</f>
        <v>A(#NA)=</v>
      </c>
      <c r="X6" t="e">
        <f>IF(OR(AD4&lt;=0,AD5&lt;=0),AD9,AD4)</f>
        <v>#VALUE!</v>
      </c>
      <c r="AE6" s="66" t="str">
        <f t="shared" si="1"/>
        <v>3rd_UWL</v>
      </c>
      <c r="AF6" s="67" t="str">
        <f t="shared" si="1"/>
        <v>#NA</v>
      </c>
      <c r="AJ6" s="89" t="e">
        <f>SUM(AJ3:AJ5)</f>
        <v>#VALUE!</v>
      </c>
      <c r="AL6" s="89" t="e">
        <f>SUM(AL3:AL5)</f>
        <v>#VALUE!</v>
      </c>
      <c r="AM6" s="84" t="str">
        <f>CONCATENATE("m'(",AG5,")=")</f>
        <v>m'(#NA)=</v>
      </c>
      <c r="AN6" s="84" t="e">
        <f>2*(AN3*WLS)/3*AL6</f>
        <v>#VALUE!</v>
      </c>
      <c r="AO6" s="84" t="e">
        <f>CONCATENATE("M(",AG3,")=")</f>
        <v>#VALUE!</v>
      </c>
      <c r="AP6" s="84" t="e">
        <f>IF(AG3=RisePerWLS,0,VLOOKUP(AG3,STN_TABLE,4,FALSE))</f>
        <v>#VALUE!</v>
      </c>
      <c r="AQ6" t="str">
        <f>CONCATENATE("M(",AG5,")=")</f>
        <v>M(#NA)=</v>
      </c>
      <c r="AR6" t="e">
        <f>AN6+AP6</f>
        <v>#VALUE!</v>
      </c>
    </row>
    <row r="7" spans="1:46" x14ac:dyDescent="0.25">
      <c r="A7">
        <v>4</v>
      </c>
      <c r="B7" s="80">
        <f t="shared" si="2"/>
        <v>0.75</v>
      </c>
      <c r="C7" s="81">
        <f t="shared" si="3"/>
        <v>1.65</v>
      </c>
      <c r="D7" s="81">
        <f t="shared" si="4"/>
        <v>3.4358333333333335</v>
      </c>
      <c r="E7" s="77">
        <f t="shared" si="5"/>
        <v>2.9993750000000001</v>
      </c>
      <c r="G7" t="s">
        <v>104</v>
      </c>
      <c r="H7" t="str">
        <f>VLOOKUP(Station_No,RISE_CALC,6,FALSE)</f>
        <v>#NA</v>
      </c>
      <c r="K7" t="str">
        <f>CONCATENATE("M(",H6,")=")</f>
        <v>M(#NA)=</v>
      </c>
      <c r="L7" t="e">
        <f>IFERROR(P28,IFERROR(X7,AD10))</f>
        <v>#VALUE!</v>
      </c>
      <c r="Q7" s="66"/>
      <c r="R7" s="67"/>
      <c r="W7" t="str">
        <f>CONCATENATE("M(",S3,")=")</f>
        <v>M(#NA)=</v>
      </c>
      <c r="X7" t="e">
        <f>IF(OR(AD4&lt;=0,AD5&lt;=0),AD10,AD5)</f>
        <v>#VALUE!</v>
      </c>
      <c r="Y7" s="6" t="s">
        <v>93</v>
      </c>
      <c r="Z7" s="70" t="e">
        <f>WLS*(U9-U8)</f>
        <v>#VALUE!</v>
      </c>
      <c r="AE7" s="66" t="str">
        <f t="shared" si="1"/>
        <v>4th_UWL</v>
      </c>
      <c r="AF7" s="67" t="str">
        <f t="shared" si="1"/>
        <v>#NA</v>
      </c>
      <c r="AH7" s="81"/>
    </row>
    <row r="8" spans="1:46" x14ac:dyDescent="0.25">
      <c r="A8">
        <v>5</v>
      </c>
      <c r="B8" s="80">
        <f t="shared" si="2"/>
        <v>1</v>
      </c>
      <c r="C8" s="81">
        <f t="shared" si="3"/>
        <v>1.89</v>
      </c>
      <c r="D8" s="81">
        <f t="shared" si="4"/>
        <v>5.2166666666666668</v>
      </c>
      <c r="E8" s="77">
        <f t="shared" si="5"/>
        <v>6.1199999999999992</v>
      </c>
      <c r="G8" t="s">
        <v>105</v>
      </c>
      <c r="H8" t="str">
        <f>VLOOKUP(Station_No,RISE_CALC,7,FALSE)</f>
        <v>#NA</v>
      </c>
      <c r="K8" t="str">
        <f>CONCATENATE("A(",H7,")=")</f>
        <v>A(#NA)=</v>
      </c>
      <c r="L8" t="e">
        <f>IFERROR(AD15,IFERROR(X24,AD27))</f>
        <v>#VALUE!</v>
      </c>
      <c r="Q8" s="80"/>
      <c r="R8" s="81"/>
      <c r="U8" s="79" t="str">
        <f>R3</f>
        <v>#NA</v>
      </c>
      <c r="V8" s="68" t="e">
        <f>VLOOKUP(U8,STN_TABLE,2,FALSE)</f>
        <v>#N/A</v>
      </c>
      <c r="W8" s="68">
        <v>1</v>
      </c>
      <c r="X8" s="69" t="e">
        <f>V8*W8</f>
        <v>#N/A</v>
      </c>
      <c r="Y8" s="78" t="s">
        <v>97</v>
      </c>
      <c r="Z8" s="78"/>
      <c r="AA8" s="78" t="s">
        <v>98</v>
      </c>
      <c r="AB8" s="78"/>
      <c r="AC8" s="7" t="s">
        <v>99</v>
      </c>
      <c r="AD8" s="7"/>
      <c r="AE8" s="66"/>
      <c r="AF8" s="67"/>
      <c r="AG8" s="68" t="e">
        <f>IF(OR(AF12-AF11=AF11-AF10,AF13-AF11=AF11-AF10),AF10,IF(OR(AF12-AF11=AF11-AF9,AF13-AF11=AF11-AF9),AF9,"-"))</f>
        <v>#VALUE!</v>
      </c>
      <c r="AH8" s="69" t="e">
        <f>IFERROR(VLOOKUP(AG8,STN_TABLE,2,FALSE),IF(AF8=RisePerWLS,0,"-"))</f>
        <v>#VALUE!</v>
      </c>
      <c r="AI8" s="69">
        <v>5</v>
      </c>
      <c r="AJ8" s="69" t="e">
        <f>AH8*AI8</f>
        <v>#VALUE!</v>
      </c>
      <c r="AK8" s="69">
        <v>3</v>
      </c>
      <c r="AL8" s="69" t="e">
        <f>AH8*AK8</f>
        <v>#VALUE!</v>
      </c>
      <c r="AM8" s="6" t="s">
        <v>93</v>
      </c>
      <c r="AN8" s="70" t="e">
        <f>IF(AND(AG10-AG9=AG9-AG8,NOT(AND(AG8=0,AG9=0)),NOT(AND(AG9=0,AG10=0))),WLS*(AG10-AG9),"#NA")</f>
        <v>#VALUE!</v>
      </c>
    </row>
    <row r="9" spans="1:46" x14ac:dyDescent="0.25">
      <c r="A9">
        <v>6</v>
      </c>
      <c r="B9" s="80">
        <f t="shared" si="2"/>
        <v>2</v>
      </c>
      <c r="C9" s="81">
        <f t="shared" si="3"/>
        <v>2.81</v>
      </c>
      <c r="D9" s="81">
        <f t="shared" si="4"/>
        <v>14.573333333333332</v>
      </c>
      <c r="E9" s="77">
        <f t="shared" si="5"/>
        <v>34.803333333333327</v>
      </c>
      <c r="G9" t="s">
        <v>106</v>
      </c>
      <c r="H9" t="str">
        <f>VLOOKUP(Station_No,RISE_CALC,8,FALSE)</f>
        <v>#NA</v>
      </c>
      <c r="K9" t="str">
        <f>CONCATENATE("M(",H7,")=")</f>
        <v>M(#NA)=</v>
      </c>
      <c r="L9" t="e">
        <f>IFERROR(AD16,IFERROR(X25,AD28))</f>
        <v>#VALUE!</v>
      </c>
      <c r="Q9" s="80"/>
      <c r="R9" s="81"/>
      <c r="U9" s="88" t="str">
        <f>R4</f>
        <v>#NA</v>
      </c>
      <c r="V9" s="82" t="e">
        <f>VLOOKUP(U9,STN_TABLE,2,FALSE)</f>
        <v>#N/A</v>
      </c>
      <c r="W9" s="82">
        <v>2</v>
      </c>
      <c r="X9" s="83" t="e">
        <f>V9*W9</f>
        <v>#N/A</v>
      </c>
      <c r="Y9" s="84" t="str">
        <f>CONCATENATE("a'(",U9,")=")</f>
        <v>a'(#NA)=</v>
      </c>
      <c r="Z9" s="84" t="e">
        <f>2*Z7/2*V10</f>
        <v>#VALUE!</v>
      </c>
      <c r="AA9" s="84" t="str">
        <f>CONCATENATE("A(",U8,")=")</f>
        <v>A(#NA)=</v>
      </c>
      <c r="AB9" s="84" t="e">
        <f>IF(U8=RisePerWLS,0,VLOOKUP(U8,STN_TABLE,3,FALSE))</f>
        <v>#VALUE!</v>
      </c>
      <c r="AC9" t="str">
        <f>CONCATENATE("A(",U9,")=")</f>
        <v>A(#NA)=</v>
      </c>
      <c r="AD9" t="e">
        <f>Z9+AB9</f>
        <v>#VALUE!</v>
      </c>
      <c r="AE9" s="66" t="str">
        <f t="shared" ref="AE9:AF13" si="6">G6</f>
        <v>2nd_UWL</v>
      </c>
      <c r="AF9" s="67" t="str">
        <f t="shared" si="6"/>
        <v>#NA</v>
      </c>
      <c r="AG9" s="76" t="str">
        <f>AF11</f>
        <v>#NA</v>
      </c>
      <c r="AH9" s="77" t="e">
        <f>VLOOKUP(AG9,STN_TABLE,2,FALSE)</f>
        <v>#N/A</v>
      </c>
      <c r="AI9" s="77">
        <v>8</v>
      </c>
      <c r="AJ9" s="77" t="e">
        <f>AH9*AI9</f>
        <v>#N/A</v>
      </c>
      <c r="AK9" s="77">
        <v>10</v>
      </c>
      <c r="AL9" s="77" t="e">
        <f>AH9*AK9</f>
        <v>#N/A</v>
      </c>
      <c r="AM9" s="78" t="s">
        <v>97</v>
      </c>
      <c r="AN9" s="78"/>
      <c r="AO9" s="78" t="s">
        <v>98</v>
      </c>
      <c r="AP9" s="78"/>
      <c r="AQ9" s="7" t="s">
        <v>99</v>
      </c>
      <c r="AR9" s="7"/>
      <c r="AS9" s="7"/>
      <c r="AT9" s="7"/>
    </row>
    <row r="10" spans="1:46" x14ac:dyDescent="0.25">
      <c r="A10">
        <v>7</v>
      </c>
      <c r="B10" s="80">
        <f t="shared" si="2"/>
        <v>3</v>
      </c>
      <c r="C10" s="81">
        <f t="shared" si="3"/>
        <v>3.86</v>
      </c>
      <c r="D10" s="81">
        <f t="shared" si="4"/>
        <v>27.870000000000005</v>
      </c>
      <c r="E10" s="77">
        <f t="shared" si="5"/>
        <v>101.98666666666668</v>
      </c>
      <c r="G10" t="s">
        <v>107</v>
      </c>
      <c r="H10" t="str">
        <f>VLOOKUP(Station_No,RISE_CALC,9,FALSE)</f>
        <v>#NA</v>
      </c>
      <c r="K10" t="str">
        <f>CONCATENATE("A(",H8,")=")</f>
        <v>A(#NA)=</v>
      </c>
      <c r="L10" t="e">
        <f>IFERROR(AR5,IFERROR(AL12,AR15))</f>
        <v>#VALUE!</v>
      </c>
      <c r="Q10" s="80"/>
      <c r="R10" s="81"/>
      <c r="V10" s="89" t="e">
        <f>SUM(V8:V9)</f>
        <v>#N/A</v>
      </c>
      <c r="X10" s="89" t="e">
        <f>SUM(X8:X9)</f>
        <v>#N/A</v>
      </c>
      <c r="Y10" s="84" t="str">
        <f>CONCATENATE("m'(",U9,")=")</f>
        <v>m'(#NA)=</v>
      </c>
      <c r="Z10" s="84" t="e">
        <f>(2*(Z7^2)/6*X10)+(Z9*U8*WLS)</f>
        <v>#VALUE!</v>
      </c>
      <c r="AA10" s="84" t="str">
        <f>CONCATENATE("M(",U8,")=")</f>
        <v>M(#NA)=</v>
      </c>
      <c r="AB10" s="84" t="e">
        <f>IF(U8=RisePerWLS,0,VLOOKUP(U8,STN_TABLE,4,FALSE))</f>
        <v>#VALUE!</v>
      </c>
      <c r="AC10" t="str">
        <f>CONCATENATE("M(",U9,")=")</f>
        <v>M(#NA)=</v>
      </c>
      <c r="AD10" t="e">
        <f>Z10+AB10</f>
        <v>#VALUE!</v>
      </c>
      <c r="AE10" s="66" t="str">
        <f t="shared" si="6"/>
        <v>3rd_UWL</v>
      </c>
      <c r="AF10" s="67" t="str">
        <f t="shared" si="6"/>
        <v>#NA</v>
      </c>
      <c r="AG10" s="82" t="e">
        <f>IF(AG8-AG9=AG9-AF12,AF12,IF(AG8-AG9=AG9-AF13,AF13,"-"))</f>
        <v>#VALUE!</v>
      </c>
      <c r="AH10" s="83" t="e">
        <f>VLOOKUP(AG10,STN_TABLE,2,FALSE)</f>
        <v>#VALUE!</v>
      </c>
      <c r="AI10" s="83">
        <v>-1</v>
      </c>
      <c r="AJ10" s="83" t="e">
        <f>AH10*AI10</f>
        <v>#VALUE!</v>
      </c>
      <c r="AK10" s="83">
        <v>-1</v>
      </c>
      <c r="AL10" s="83" t="e">
        <f>AH10*AK10</f>
        <v>#VALUE!</v>
      </c>
      <c r="AM10" s="84" t="str">
        <f>CONCATENATE("a'(",AG9,")=")</f>
        <v>a'(#NA)=</v>
      </c>
      <c r="AN10" s="84" t="e">
        <f>2*AN8/12*AJ11</f>
        <v>#VALUE!</v>
      </c>
      <c r="AO10" s="84" t="e">
        <f>CONCATENATE("A(",AG8,")=")</f>
        <v>#VALUE!</v>
      </c>
      <c r="AP10" s="84" t="e">
        <f>VLOOKUP(AG8,STN_TABLE,3,FALSE)</f>
        <v>#VALUE!</v>
      </c>
      <c r="AQ10" t="str">
        <f>CONCATENATE("A(",AG9,")=")</f>
        <v>A(#NA)=</v>
      </c>
      <c r="AR10" t="e">
        <f>AN10+AP10</f>
        <v>#VALUE!</v>
      </c>
    </row>
    <row r="11" spans="1:46" x14ac:dyDescent="0.25">
      <c r="A11">
        <v>8</v>
      </c>
      <c r="B11" s="80">
        <f t="shared" si="2"/>
        <v>4</v>
      </c>
      <c r="C11" s="81">
        <f t="shared" si="3"/>
        <v>5.5</v>
      </c>
      <c r="D11" s="81">
        <f t="shared" si="4"/>
        <v>46.239999999999995</v>
      </c>
      <c r="E11" s="77">
        <f t="shared" si="5"/>
        <v>231.97666666666663</v>
      </c>
      <c r="G11" t="s">
        <v>108</v>
      </c>
      <c r="H11" t="str">
        <f>VLOOKUP(Station_No,RISE_CALC,10,FALSE)</f>
        <v>#NA</v>
      </c>
      <c r="K11" t="str">
        <f>CONCATENATE("M(",H8,")=")</f>
        <v>M(#NA)=</v>
      </c>
      <c r="L11" t="e">
        <f>IFERROR(AR6,IFERROR(AL13,AR16))</f>
        <v>#VALUE!</v>
      </c>
      <c r="Q11" s="80"/>
      <c r="R11" s="81"/>
      <c r="AE11" s="66" t="str">
        <f t="shared" si="6"/>
        <v>4th_UWL</v>
      </c>
      <c r="AF11" s="67" t="str">
        <f t="shared" si="6"/>
        <v>#NA</v>
      </c>
      <c r="AJ11" s="89" t="e">
        <f>SUM(AJ8:AJ10)</f>
        <v>#VALUE!</v>
      </c>
      <c r="AL11" s="89" t="e">
        <f>SUM(AL8:AL10)</f>
        <v>#VALUE!</v>
      </c>
      <c r="AM11" s="84" t="str">
        <f>CONCATENATE("m'(",AG9,")=")</f>
        <v>m'(#NA)=</v>
      </c>
      <c r="AN11" s="84" t="e">
        <f>(2*(AN8^2)/24*AL11)+(AN10*AG8*WLS)</f>
        <v>#VALUE!</v>
      </c>
      <c r="AO11" s="84" t="e">
        <f>CONCATENATE("M(",AG8,")=")</f>
        <v>#VALUE!</v>
      </c>
      <c r="AP11" s="84" t="e">
        <f>VLOOKUP(AG8,STN_TABLE,4,FALSE)</f>
        <v>#VALUE!</v>
      </c>
      <c r="AQ11" t="str">
        <f>CONCATENATE("M(",AG9,")=")</f>
        <v>M(#NA)=</v>
      </c>
      <c r="AR11" t="e">
        <f>AN11+AP11</f>
        <v>#VALUE!</v>
      </c>
    </row>
    <row r="12" spans="1:46" x14ac:dyDescent="0.25">
      <c r="A12">
        <v>9</v>
      </c>
      <c r="B12" s="80">
        <f t="shared" si="2"/>
        <v>4.8499999999999996</v>
      </c>
      <c r="C12" s="81">
        <f t="shared" si="3"/>
        <v>6.82</v>
      </c>
      <c r="D12" s="81">
        <f t="shared" si="4"/>
        <v>67.183999999999983</v>
      </c>
      <c r="E12" s="77">
        <f t="shared" si="5"/>
        <v>417.96686666666653</v>
      </c>
      <c r="Q12" s="90" t="s">
        <v>109</v>
      </c>
      <c r="R12" s="81"/>
      <c r="AE12" s="66" t="str">
        <f t="shared" si="6"/>
        <v>5th_UWL</v>
      </c>
      <c r="AF12" s="67" t="str">
        <f t="shared" si="6"/>
        <v>#NA</v>
      </c>
      <c r="AI12" t="s">
        <v>103</v>
      </c>
      <c r="AK12" t="str">
        <f>CONCATENATE("A(",AG9,")=")</f>
        <v>A(#NA)=</v>
      </c>
      <c r="AL12" t="e">
        <f>IF(OR(AR10&lt;=0,AR11&lt;=0),AR15,AR10)</f>
        <v>#VALUE!</v>
      </c>
    </row>
    <row r="13" spans="1:46" x14ac:dyDescent="0.25">
      <c r="A13">
        <v>10</v>
      </c>
      <c r="B13" s="80">
        <f t="shared" si="2"/>
        <v>5</v>
      </c>
      <c r="C13" s="81">
        <f t="shared" si="3"/>
        <v>7.01</v>
      </c>
      <c r="D13" s="81">
        <f t="shared" si="4"/>
        <v>71.696666666666658</v>
      </c>
      <c r="E13" s="77">
        <f t="shared" si="5"/>
        <v>461</v>
      </c>
      <c r="G13" s="71" t="s">
        <v>110</v>
      </c>
      <c r="Q13" s="66" t="str">
        <f t="shared" ref="Q13:R16" si="7">G4</f>
        <v>Rise</v>
      </c>
      <c r="R13" s="67" t="e">
        <f t="shared" si="7"/>
        <v>#VALUE!</v>
      </c>
      <c r="S13" s="68" t="e">
        <f>IF(R16-R15=R15-R14,R14,IF(R16-R14=R14-R13,R13,"-"))</f>
        <v>#VALUE!</v>
      </c>
      <c r="T13" s="69" t="e">
        <f>IFERROR(VLOOKUP(S13,STN_TABLE,2,FALSE),IF(R13=RisePerWLS,0,"-"))</f>
        <v>#VALUE!</v>
      </c>
      <c r="U13" s="69">
        <v>1</v>
      </c>
      <c r="V13" s="69" t="e">
        <f>T13*U13</f>
        <v>#VALUE!</v>
      </c>
      <c r="W13" s="69" t="e">
        <f>S13</f>
        <v>#VALUE!</v>
      </c>
      <c r="X13" s="69" t="e">
        <f>V13*W13</f>
        <v>#VALUE!</v>
      </c>
      <c r="Y13" s="6" t="s">
        <v>93</v>
      </c>
      <c r="Z13" s="70" t="e">
        <f>IF(AND(T13=0,T14=0,T15=0),WLS*(S15-S14),IF(AND(S15-S14=S14-S13,S14&lt;&gt;S15,S13&lt;&gt;S14,S13&lt;&gt;S15,T15&lt;&gt;0,OR(T13&lt;&gt;0,T14&lt;&gt;0)),WLS*(S15-S14),"#NA"))</f>
        <v>#VALUE!</v>
      </c>
      <c r="AE13" s="66" t="str">
        <f t="shared" si="6"/>
        <v>6th_UWL</v>
      </c>
      <c r="AF13" s="67" t="str">
        <f t="shared" si="6"/>
        <v>#NA</v>
      </c>
      <c r="AK13" t="str">
        <f>CONCATENATE("M(",AG9,")=")</f>
        <v>M(#NA)=</v>
      </c>
      <c r="AL13" t="e">
        <f>IF(OR(AR10&lt;=0,AR11&lt;=0),AR16,AR11)</f>
        <v>#VALUE!</v>
      </c>
      <c r="AM13" s="6" t="s">
        <v>93</v>
      </c>
      <c r="AN13" s="70" t="e">
        <f>WLS*(AI15-AI14)</f>
        <v>#VALUE!</v>
      </c>
    </row>
    <row r="14" spans="1:46" x14ac:dyDescent="0.25">
      <c r="A14">
        <v>11</v>
      </c>
      <c r="B14" s="80">
        <f t="shared" si="2"/>
        <v>6</v>
      </c>
      <c r="C14" s="81">
        <f t="shared" si="3"/>
        <v>7.98</v>
      </c>
      <c r="D14" s="81">
        <f t="shared" si="4"/>
        <v>101.6</v>
      </c>
      <c r="E14" s="77">
        <f t="shared" si="5"/>
        <v>792.18999999999983</v>
      </c>
      <c r="G14" s="91" t="str">
        <f>G4</f>
        <v>Rise</v>
      </c>
      <c r="H14" s="91" t="e">
        <f>RisePerWLS</f>
        <v>#VALUE!</v>
      </c>
      <c r="I14" s="68" t="e">
        <f>H14</f>
        <v>#VALUE!</v>
      </c>
      <c r="J14" s="69">
        <v>0</v>
      </c>
      <c r="K14" s="69">
        <v>5</v>
      </c>
      <c r="L14" s="69">
        <f>J14*K14</f>
        <v>0</v>
      </c>
      <c r="M14" s="69">
        <v>3</v>
      </c>
      <c r="N14" s="69">
        <f>J14*M14</f>
        <v>0</v>
      </c>
      <c r="O14" t="s">
        <v>93</v>
      </c>
      <c r="P14" t="e">
        <f>IF(AND(NOT(AND(J14=0,J15=0)),I14&lt;&gt;I15,I15&lt;&gt;I16,I16-I15=I15-I14),(I16-I15)*WLS,"#NA")</f>
        <v>#N/A</v>
      </c>
      <c r="Q14" s="66" t="str">
        <f t="shared" si="7"/>
        <v>1st_UWL</v>
      </c>
      <c r="R14" s="67" t="str">
        <f t="shared" si="7"/>
        <v>#NA</v>
      </c>
      <c r="S14" s="76" t="e">
        <f>IF(R16-R15=R15-R14,R15,IF(R16-R14=R14-R13,R14,"-"))</f>
        <v>#VALUE!</v>
      </c>
      <c r="T14" s="77" t="e">
        <f>VLOOKUP(S14,STN_TABLE,2,FALSE)</f>
        <v>#VALUE!</v>
      </c>
      <c r="U14" s="77">
        <v>4</v>
      </c>
      <c r="V14" s="77" t="e">
        <f>T14*U14</f>
        <v>#VALUE!</v>
      </c>
      <c r="W14" s="77" t="e">
        <f>S14</f>
        <v>#VALUE!</v>
      </c>
      <c r="X14" s="77" t="e">
        <f>V14*W14</f>
        <v>#VALUE!</v>
      </c>
      <c r="Y14" s="78" t="s">
        <v>97</v>
      </c>
      <c r="Z14" s="78"/>
      <c r="AA14" s="78" t="s">
        <v>98</v>
      </c>
      <c r="AB14" s="78"/>
      <c r="AC14" s="7" t="s">
        <v>99</v>
      </c>
      <c r="AD14" s="7"/>
      <c r="AE14" s="66"/>
      <c r="AF14" s="67"/>
      <c r="AI14" s="79" t="str">
        <f>AF10</f>
        <v>#NA</v>
      </c>
      <c r="AJ14" s="68" t="e">
        <f>VLOOKUP(AI14,STN_TABLE,2,FALSE)</f>
        <v>#N/A</v>
      </c>
      <c r="AK14" s="68">
        <v>1</v>
      </c>
      <c r="AL14" s="69" t="e">
        <f>AJ14*AK14</f>
        <v>#N/A</v>
      </c>
      <c r="AM14" s="78" t="s">
        <v>97</v>
      </c>
      <c r="AN14" s="78"/>
      <c r="AO14" s="78" t="s">
        <v>98</v>
      </c>
      <c r="AP14" s="78"/>
      <c r="AQ14" s="7" t="s">
        <v>99</v>
      </c>
      <c r="AR14" s="7"/>
      <c r="AS14" s="7"/>
      <c r="AT14" s="7"/>
    </row>
    <row r="15" spans="1:46" x14ac:dyDescent="0.25">
      <c r="A15">
        <v>12</v>
      </c>
      <c r="B15" s="80">
        <f t="shared" si="2"/>
        <v>6.5</v>
      </c>
      <c r="C15" s="81">
        <f t="shared" si="3"/>
        <v>8.42</v>
      </c>
      <c r="D15" s="81">
        <f t="shared" si="4"/>
        <v>118</v>
      </c>
      <c r="E15" s="77">
        <f t="shared" si="5"/>
        <v>997.26333333333309</v>
      </c>
      <c r="G15" s="91" t="str">
        <f>G5</f>
        <v>1st_UWL</v>
      </c>
      <c r="H15" s="91" t="str">
        <f>H5</f>
        <v>#NA</v>
      </c>
      <c r="I15" s="76" t="str">
        <f>H15</f>
        <v>#NA</v>
      </c>
      <c r="J15" s="77" t="e">
        <f>VLOOKUP(I15,STN_TABLE,2,FALSE)</f>
        <v>#N/A</v>
      </c>
      <c r="K15" s="77">
        <v>8</v>
      </c>
      <c r="L15" s="77" t="e">
        <f>J15*K15</f>
        <v>#N/A</v>
      </c>
      <c r="M15" s="77">
        <v>10</v>
      </c>
      <c r="N15" s="77" t="e">
        <f>J15*M15</f>
        <v>#N/A</v>
      </c>
      <c r="O15" t="str">
        <f>CONCATENATE("A(",I15,")=")</f>
        <v>A(#NA)=</v>
      </c>
      <c r="P15" t="e">
        <f>2*P14/12*L17</f>
        <v>#N/A</v>
      </c>
      <c r="Q15" s="66" t="str">
        <f t="shared" si="7"/>
        <v>2nd_UWL</v>
      </c>
      <c r="R15" s="67" t="str">
        <f t="shared" si="7"/>
        <v>#NA</v>
      </c>
      <c r="S15" s="82" t="str">
        <f>R16</f>
        <v>#NA</v>
      </c>
      <c r="T15" s="83" t="e">
        <f>VLOOKUP(S15,STN_TABLE,2,FALSE)</f>
        <v>#N/A</v>
      </c>
      <c r="U15" s="83">
        <v>1</v>
      </c>
      <c r="V15" s="83" t="e">
        <f>T15*U15</f>
        <v>#N/A</v>
      </c>
      <c r="W15" s="83" t="str">
        <f>S15</f>
        <v>#NA</v>
      </c>
      <c r="X15" s="83" t="e">
        <f>V15*W15</f>
        <v>#N/A</v>
      </c>
      <c r="Y15" s="84" t="str">
        <f>CONCATENATE("a'(",S15,")=")</f>
        <v>a'(#NA)=</v>
      </c>
      <c r="Z15" s="84" t="e">
        <f>2*Z13/3*V16</f>
        <v>#VALUE!</v>
      </c>
      <c r="AA15" s="84" t="e">
        <f>CONCATENATE("A(",S13,")=")</f>
        <v>#VALUE!</v>
      </c>
      <c r="AB15" s="84" t="e">
        <f>IF(S13=RisePerWLS,0,VLOOKUP(S13,STN_TABLE,3,FALSE))</f>
        <v>#VALUE!</v>
      </c>
      <c r="AC15" t="str">
        <f>CONCATENATE("A(",S15,")=")</f>
        <v>A(#NA)=</v>
      </c>
      <c r="AD15" t="e">
        <f>Z15+AB15</f>
        <v>#VALUE!</v>
      </c>
      <c r="AE15" s="80"/>
      <c r="AI15" s="88" t="str">
        <f>AF11</f>
        <v>#NA</v>
      </c>
      <c r="AJ15" s="82" t="e">
        <f>VLOOKUP(AI15,STN_TABLE,2,FALSE)</f>
        <v>#N/A</v>
      </c>
      <c r="AK15" s="82">
        <v>2</v>
      </c>
      <c r="AL15" s="83" t="e">
        <f>AJ15*AK15</f>
        <v>#N/A</v>
      </c>
      <c r="AM15" s="84" t="str">
        <f>CONCATENATE("a'(",AI15,")=")</f>
        <v>a'(#NA)=</v>
      </c>
      <c r="AN15" s="84" t="e">
        <f>2*AN13/2*AJ16</f>
        <v>#VALUE!</v>
      </c>
      <c r="AO15" s="84" t="str">
        <f>CONCATENATE("A(",AI14,")=")</f>
        <v>A(#NA)=</v>
      </c>
      <c r="AP15" s="84" t="e">
        <f>IF(AI14=RisePerWLS,0,VLOOKUP(AI14,STN_TABLE,3,FALSE))</f>
        <v>#VALUE!</v>
      </c>
      <c r="AQ15" t="str">
        <f>CONCATENATE("A(",AI15,")=")</f>
        <v>A(#NA)=</v>
      </c>
      <c r="AR15" t="e">
        <f>AN15+AP15</f>
        <v>#VALUE!</v>
      </c>
    </row>
    <row r="16" spans="1:46" x14ac:dyDescent="0.25">
      <c r="A16">
        <v>13</v>
      </c>
      <c r="B16" s="80" t="str">
        <f t="shared" si="2"/>
        <v xml:space="preserve">  </v>
      </c>
      <c r="C16" s="81" t="str">
        <f t="shared" si="3"/>
        <v xml:space="preserve">  </v>
      </c>
      <c r="D16" s="81" t="str">
        <f t="shared" si="4"/>
        <v xml:space="preserve"> </v>
      </c>
      <c r="E16" s="77" t="str">
        <f t="shared" si="5"/>
        <v xml:space="preserve"> </v>
      </c>
      <c r="G16" s="91" t="str">
        <f>G6</f>
        <v>2nd_UWL</v>
      </c>
      <c r="H16" s="91" t="str">
        <f>H6</f>
        <v>#NA</v>
      </c>
      <c r="I16" s="82" t="e">
        <f>IF(H16-H15=H15-H14,H16,"#NA")</f>
        <v>#VALUE!</v>
      </c>
      <c r="J16" s="83" t="e">
        <f>VLOOKUP(I16,STN_TABLE,2,FALSE)</f>
        <v>#VALUE!</v>
      </c>
      <c r="K16" s="83">
        <v>-1</v>
      </c>
      <c r="L16" s="83" t="e">
        <f>J16*K16</f>
        <v>#VALUE!</v>
      </c>
      <c r="M16" s="83">
        <v>-1</v>
      </c>
      <c r="N16" s="83" t="e">
        <f>J16*M16</f>
        <v>#VALUE!</v>
      </c>
      <c r="O16" t="str">
        <f>CONCATENATE("M(",I15,")=")</f>
        <v>M(#NA)=</v>
      </c>
      <c r="P16" t="e">
        <f>(2*(P14^2)/24*N17)+P15*I14*WLS</f>
        <v>#N/A</v>
      </c>
      <c r="Q16" s="66" t="str">
        <f t="shared" si="7"/>
        <v>3rd_UWL</v>
      </c>
      <c r="R16" s="67" t="str">
        <f t="shared" si="7"/>
        <v>#NA</v>
      </c>
      <c r="V16" s="89" t="e">
        <f>SUM(V13:V15)</f>
        <v>#VALUE!</v>
      </c>
      <c r="X16" s="89" t="e">
        <f>SUM(X13:X15)</f>
        <v>#VALUE!</v>
      </c>
      <c r="Y16" s="84" t="str">
        <f>CONCATENATE("m'(",S15,")=")</f>
        <v>m'(#NA)=</v>
      </c>
      <c r="Z16" s="84" t="e">
        <f>2*(Z13*WLS)/3*X16</f>
        <v>#VALUE!</v>
      </c>
      <c r="AA16" s="84" t="e">
        <f>CONCATENATE("M(",S13,")=")</f>
        <v>#VALUE!</v>
      </c>
      <c r="AB16" s="84" t="e">
        <f>IF(S13=RisePerWLS,0,VLOOKUP(S13,STN_TABLE,4,FALSE))</f>
        <v>#VALUE!</v>
      </c>
      <c r="AC16" t="str">
        <f>CONCATENATE("M(",S15,")=")</f>
        <v>M(#NA)=</v>
      </c>
      <c r="AD16" t="e">
        <f>Z16+AB16</f>
        <v>#VALUE!</v>
      </c>
      <c r="AE16" s="80"/>
      <c r="AJ16" s="89" t="e">
        <f>SUM(AJ14:AJ15)</f>
        <v>#N/A</v>
      </c>
      <c r="AL16" s="89" t="e">
        <f>SUM(AL14:AL15)</f>
        <v>#N/A</v>
      </c>
      <c r="AM16" s="84" t="str">
        <f>CONCATENATE("m'(",AI15,")=")</f>
        <v>m'(#NA)=</v>
      </c>
      <c r="AN16" s="84" t="e">
        <f>(2*(AN13^2)/6*AL16)+(AN15*AI14*WLS)</f>
        <v>#VALUE!</v>
      </c>
      <c r="AO16" s="84" t="str">
        <f>CONCATENATE("M(",AI14,")=")</f>
        <v>M(#NA)=</v>
      </c>
      <c r="AP16" s="84" t="e">
        <f>IF(AI14=RisePerWLS,0,VLOOKUP(AI14,STN_TABLE,4,FALSE))</f>
        <v>#VALUE!</v>
      </c>
      <c r="AQ16" t="str">
        <f>CONCATENATE("M(",AI15,")=")</f>
        <v>M(#NA)=</v>
      </c>
      <c r="AR16" t="e">
        <f>AN16+AP16</f>
        <v>#VALUE!</v>
      </c>
    </row>
    <row r="17" spans="1:35" x14ac:dyDescent="0.25">
      <c r="A17">
        <v>14</v>
      </c>
      <c r="B17" s="80" t="str">
        <f t="shared" si="2"/>
        <v xml:space="preserve">  </v>
      </c>
      <c r="C17" s="81" t="str">
        <f t="shared" si="3"/>
        <v xml:space="preserve">  </v>
      </c>
      <c r="D17" s="81" t="str">
        <f t="shared" si="4"/>
        <v xml:space="preserve"> </v>
      </c>
      <c r="E17" s="77" t="str">
        <f t="shared" si="5"/>
        <v xml:space="preserve"> </v>
      </c>
      <c r="G17" s="91"/>
      <c r="H17" s="91"/>
      <c r="L17" s="89" t="e">
        <f>SUM(L14:L16)</f>
        <v>#N/A</v>
      </c>
      <c r="N17" s="89" t="e">
        <f>SUM(N14:N16)</f>
        <v>#N/A</v>
      </c>
      <c r="Q17" s="66"/>
      <c r="R17" s="67"/>
      <c r="AE17" s="90"/>
    </row>
    <row r="18" spans="1:35" x14ac:dyDescent="0.25">
      <c r="A18">
        <v>15</v>
      </c>
      <c r="B18" s="80" t="str">
        <f t="shared" si="2"/>
        <v xml:space="preserve">  </v>
      </c>
      <c r="C18" s="81" t="str">
        <f t="shared" si="3"/>
        <v xml:space="preserve">  </v>
      </c>
      <c r="D18" s="81" t="str">
        <f t="shared" si="4"/>
        <v xml:space="preserve"> </v>
      </c>
      <c r="E18" s="77" t="str">
        <f t="shared" si="5"/>
        <v xml:space="preserve"> </v>
      </c>
      <c r="G18" s="91"/>
      <c r="H18" s="91"/>
      <c r="K18" t="s">
        <v>103</v>
      </c>
      <c r="M18" t="str">
        <f>CONCATENATE("A(",I15,")=")</f>
        <v>A(#NA)=</v>
      </c>
      <c r="N18" t="e">
        <f>IF(OR(P15&lt;=0,P16&lt;=0),N22,P15)</f>
        <v>#N/A</v>
      </c>
      <c r="Q18" s="66"/>
      <c r="R18" s="67"/>
      <c r="AE18" s="80"/>
    </row>
    <row r="19" spans="1:35" x14ac:dyDescent="0.25">
      <c r="A19">
        <v>16</v>
      </c>
      <c r="B19" s="80" t="str">
        <f t="shared" si="2"/>
        <v xml:space="preserve">  </v>
      </c>
      <c r="C19" s="81" t="str">
        <f t="shared" si="3"/>
        <v xml:space="preserve">  </v>
      </c>
      <c r="D19" s="81" t="str">
        <f t="shared" si="4"/>
        <v xml:space="preserve"> </v>
      </c>
      <c r="E19" s="77" t="str">
        <f t="shared" si="5"/>
        <v xml:space="preserve"> </v>
      </c>
      <c r="G19" s="91"/>
      <c r="H19" s="91"/>
      <c r="M19" t="str">
        <f>CONCATENATE("M(",I15,")=")</f>
        <v>M(#NA)=</v>
      </c>
      <c r="N19" t="e">
        <f>IF(OR(P15&lt;=0,P16&lt;=0),N23,P16)</f>
        <v>#N/A</v>
      </c>
      <c r="Q19" s="66"/>
      <c r="R19" s="67"/>
      <c r="AE19" s="80"/>
    </row>
    <row r="20" spans="1:35" x14ac:dyDescent="0.25">
      <c r="A20">
        <v>17</v>
      </c>
      <c r="B20" s="80" t="str">
        <f t="shared" si="2"/>
        <v xml:space="preserve">  </v>
      </c>
      <c r="C20" s="81" t="str">
        <f t="shared" si="3"/>
        <v xml:space="preserve">  </v>
      </c>
      <c r="D20" s="81" t="str">
        <f t="shared" si="4"/>
        <v xml:space="preserve"> </v>
      </c>
      <c r="E20" s="77" t="str">
        <f t="shared" si="5"/>
        <v xml:space="preserve"> </v>
      </c>
      <c r="G20" s="91"/>
      <c r="H20" s="91"/>
      <c r="Q20" s="66"/>
      <c r="R20" s="67"/>
      <c r="S20" s="68" t="e">
        <f>IF(OR(R24-R23=R23-R22,R25-R23=R23-R22),R22,IF(OR(R24-R23=R23-R21,R25-R23=R23-R21),R21,"-"))</f>
        <v>#VALUE!</v>
      </c>
      <c r="T20" s="69" t="e">
        <f>IFERROR(VLOOKUP(S20,STN_TABLE,2,FALSE),IF(R20=RisePerWLS,0,"-"))</f>
        <v>#VALUE!</v>
      </c>
      <c r="U20" s="69">
        <v>5</v>
      </c>
      <c r="V20" s="69" t="e">
        <f>T20*U20</f>
        <v>#VALUE!</v>
      </c>
      <c r="W20" s="69">
        <v>3</v>
      </c>
      <c r="X20" s="69" t="e">
        <f>T20*W20</f>
        <v>#VALUE!</v>
      </c>
      <c r="Y20" s="6" t="s">
        <v>93</v>
      </c>
      <c r="Z20" s="70" t="e">
        <f>IF(AND(S22-S21=S21-S20,NOT(AND(S20=0,S21=0)),NOT(AND(S21=0,S22=0))),WLS*(S22-S21),"#NA")</f>
        <v>#VALUE!</v>
      </c>
      <c r="AE20" s="80"/>
    </row>
    <row r="21" spans="1:35" x14ac:dyDescent="0.25">
      <c r="A21">
        <v>18</v>
      </c>
      <c r="B21" s="80" t="str">
        <f t="shared" si="2"/>
        <v xml:space="preserve">  </v>
      </c>
      <c r="C21" s="81" t="str">
        <f t="shared" si="3"/>
        <v xml:space="preserve">  </v>
      </c>
      <c r="D21" s="81" t="str">
        <f t="shared" si="4"/>
        <v xml:space="preserve"> </v>
      </c>
      <c r="E21" s="77" t="str">
        <f t="shared" si="5"/>
        <v xml:space="preserve"> </v>
      </c>
      <c r="G21" s="91"/>
      <c r="H21" s="91" t="str">
        <f>G14</f>
        <v>Rise</v>
      </c>
      <c r="I21" s="79" t="e">
        <f>H14</f>
        <v>#VALUE!</v>
      </c>
      <c r="J21" s="68">
        <v>0</v>
      </c>
      <c r="K21" s="68">
        <v>1</v>
      </c>
      <c r="L21" s="69">
        <f>J21*K21</f>
        <v>0</v>
      </c>
      <c r="M21" t="s">
        <v>93</v>
      </c>
      <c r="N21" t="e">
        <f>(I22-I21)*WLS</f>
        <v>#VALUE!</v>
      </c>
      <c r="Q21" s="66" t="str">
        <f t="shared" ref="Q21:R25" si="8">G5</f>
        <v>1st_UWL</v>
      </c>
      <c r="R21" s="67" t="str">
        <f t="shared" si="8"/>
        <v>#NA</v>
      </c>
      <c r="S21" s="76" t="str">
        <f>R23</f>
        <v>#NA</v>
      </c>
      <c r="T21" s="77" t="e">
        <f>VLOOKUP(S21,STN_TABLE,2,FALSE)</f>
        <v>#N/A</v>
      </c>
      <c r="U21" s="77">
        <v>8</v>
      </c>
      <c r="V21" s="77" t="e">
        <f>T21*U21</f>
        <v>#N/A</v>
      </c>
      <c r="W21" s="77">
        <v>10</v>
      </c>
      <c r="X21" s="77" t="e">
        <f>T21*W21</f>
        <v>#N/A</v>
      </c>
      <c r="Y21" s="78" t="s">
        <v>97</v>
      </c>
      <c r="Z21" s="78"/>
      <c r="AA21" s="78" t="s">
        <v>98</v>
      </c>
      <c r="AB21" s="78"/>
      <c r="AC21" s="7" t="s">
        <v>99</v>
      </c>
      <c r="AD21" s="7"/>
      <c r="AE21" s="80"/>
    </row>
    <row r="22" spans="1:35" x14ac:dyDescent="0.25">
      <c r="A22">
        <v>19</v>
      </c>
      <c r="B22" s="80" t="str">
        <f t="shared" si="2"/>
        <v xml:space="preserve">  </v>
      </c>
      <c r="C22" s="81" t="str">
        <f t="shared" si="3"/>
        <v xml:space="preserve">  </v>
      </c>
      <c r="D22" s="81" t="str">
        <f t="shared" si="4"/>
        <v xml:space="preserve"> </v>
      </c>
      <c r="E22" s="77" t="str">
        <f t="shared" si="5"/>
        <v xml:space="preserve"> </v>
      </c>
      <c r="G22" s="91"/>
      <c r="H22" s="91" t="str">
        <f>G15</f>
        <v>1st_UWL</v>
      </c>
      <c r="I22" s="88" t="str">
        <f>H15</f>
        <v>#NA</v>
      </c>
      <c r="J22" s="82" t="e">
        <f>VLOOKUP(I22,STN_TABLE,2,FALSE)</f>
        <v>#N/A</v>
      </c>
      <c r="K22" s="82">
        <v>2</v>
      </c>
      <c r="L22" s="83" t="e">
        <f>J22*K22</f>
        <v>#N/A</v>
      </c>
      <c r="M22" t="str">
        <f>CONCATENATE("A(",I22,")=")</f>
        <v>A(#NA)=</v>
      </c>
      <c r="N22" t="e">
        <f>2*N21/2*J23</f>
        <v>#VALUE!</v>
      </c>
      <c r="Q22" s="66" t="str">
        <f t="shared" si="8"/>
        <v>2nd_UWL</v>
      </c>
      <c r="R22" s="67" t="str">
        <f t="shared" si="8"/>
        <v>#NA</v>
      </c>
      <c r="S22" s="82" t="e">
        <f>IF(S20-S21=S21-R24,R24,IF(S20-S21=S21-R25,R25,"-"))</f>
        <v>#VALUE!</v>
      </c>
      <c r="T22" s="83" t="e">
        <f>VLOOKUP(S22,STN_TABLE,2,FALSE)</f>
        <v>#VALUE!</v>
      </c>
      <c r="U22" s="83">
        <v>-1</v>
      </c>
      <c r="V22" s="83" t="e">
        <f>T22*U22</f>
        <v>#VALUE!</v>
      </c>
      <c r="W22" s="83">
        <v>-1</v>
      </c>
      <c r="X22" s="83" t="e">
        <f>T22*W22</f>
        <v>#VALUE!</v>
      </c>
      <c r="Y22" s="84" t="str">
        <f>CONCATENATE("a'(",S21,")=")</f>
        <v>a'(#NA)=</v>
      </c>
      <c r="Z22" s="84" t="e">
        <f>2*Z20/12*V23</f>
        <v>#VALUE!</v>
      </c>
      <c r="AA22" s="84" t="e">
        <f>CONCATENATE("A(",S20,")=")</f>
        <v>#VALUE!</v>
      </c>
      <c r="AB22" s="84" t="e">
        <f>IF(S20=RisePerWLS,0,VLOOKUP(S20,STN_TABLE,3,FALSE))</f>
        <v>#VALUE!</v>
      </c>
      <c r="AC22" t="str">
        <f>CONCATENATE("A(",S21,")=")</f>
        <v>A(#NA)=</v>
      </c>
      <c r="AD22" t="e">
        <f>Z22+AB22</f>
        <v>#VALUE!</v>
      </c>
      <c r="AE22" s="80"/>
    </row>
    <row r="23" spans="1:35" x14ac:dyDescent="0.25">
      <c r="A23">
        <v>20</v>
      </c>
      <c r="B23" s="80" t="str">
        <f t="shared" si="2"/>
        <v xml:space="preserve">  </v>
      </c>
      <c r="C23" s="81" t="str">
        <f t="shared" si="3"/>
        <v xml:space="preserve">  </v>
      </c>
      <c r="D23" s="81" t="str">
        <f t="shared" si="4"/>
        <v xml:space="preserve"> </v>
      </c>
      <c r="E23" s="77" t="str">
        <f t="shared" si="5"/>
        <v xml:space="preserve"> </v>
      </c>
      <c r="J23" s="89" t="e">
        <f>SUM(J21:J22)</f>
        <v>#N/A</v>
      </c>
      <c r="L23" s="89" t="e">
        <f>SUM(L21:L22)</f>
        <v>#N/A</v>
      </c>
      <c r="M23" t="str">
        <f>CONCATENATE("M(",I22,")=")</f>
        <v>M(#NA)=</v>
      </c>
      <c r="N23" t="e">
        <f>(2*(N21^2)/6*L23)+N22*I21*WLS</f>
        <v>#VALUE!</v>
      </c>
      <c r="Q23" s="66" t="str">
        <f t="shared" si="8"/>
        <v>3rd_UWL</v>
      </c>
      <c r="R23" s="67" t="str">
        <f t="shared" si="8"/>
        <v>#NA</v>
      </c>
      <c r="V23" s="89" t="e">
        <f>SUM(V20:V22)</f>
        <v>#VALUE!</v>
      </c>
      <c r="X23" s="89" t="e">
        <f>SUM(X20:X22)</f>
        <v>#VALUE!</v>
      </c>
      <c r="Y23" s="84" t="str">
        <f>CONCATENATE("m'(",S21,")=")</f>
        <v>m'(#NA)=</v>
      </c>
      <c r="Z23" s="84" t="e">
        <f>(2*(Z20^2)/24*X23)+(Z22*S20*WLS)</f>
        <v>#VALUE!</v>
      </c>
      <c r="AA23" s="84" t="e">
        <f>CONCATENATE("M(",S20,")=")</f>
        <v>#VALUE!</v>
      </c>
      <c r="AB23" s="84" t="e">
        <f>IF(S20=RisePerWLS,0,VLOOKUP(S20,STN_TABLE,4,FALSE))</f>
        <v>#VALUE!</v>
      </c>
      <c r="AC23" t="str">
        <f>CONCATENATE("M(",S21,")=")</f>
        <v>M(#NA)=</v>
      </c>
      <c r="AD23" t="e">
        <f>Z23+AB23</f>
        <v>#VALUE!</v>
      </c>
      <c r="AE23" s="80"/>
    </row>
    <row r="24" spans="1:35" x14ac:dyDescent="0.25">
      <c r="A24">
        <v>21</v>
      </c>
      <c r="B24" s="80" t="str">
        <f t="shared" si="2"/>
        <v xml:space="preserve">  </v>
      </c>
      <c r="C24" s="81" t="str">
        <f t="shared" si="3"/>
        <v xml:space="preserve">  </v>
      </c>
      <c r="D24" s="81" t="str">
        <f t="shared" si="4"/>
        <v xml:space="preserve"> </v>
      </c>
      <c r="E24" s="77" t="str">
        <f t="shared" si="5"/>
        <v xml:space="preserve"> </v>
      </c>
      <c r="Q24" s="66" t="str">
        <f t="shared" si="8"/>
        <v>4th_UWL</v>
      </c>
      <c r="R24" s="67" t="str">
        <f t="shared" si="8"/>
        <v>#NA</v>
      </c>
      <c r="U24" t="s">
        <v>103</v>
      </c>
      <c r="W24" t="str">
        <f>CONCATENATE("A(",S21,")=")</f>
        <v>A(#NA)=</v>
      </c>
      <c r="X24" t="e">
        <f>IF(OR(AD22&lt;=0,AD23&lt;=0),AD27,AD22)</f>
        <v>#VALUE!</v>
      </c>
      <c r="AE24" s="80"/>
    </row>
    <row r="25" spans="1:35" x14ac:dyDescent="0.25">
      <c r="A25">
        <v>22</v>
      </c>
      <c r="B25" s="80" t="str">
        <f t="shared" si="2"/>
        <v xml:space="preserve">  </v>
      </c>
      <c r="C25" s="81" t="str">
        <f t="shared" si="3"/>
        <v xml:space="preserve">  </v>
      </c>
      <c r="D25" s="81" t="str">
        <f t="shared" si="4"/>
        <v xml:space="preserve"> </v>
      </c>
      <c r="E25" s="77" t="str">
        <f t="shared" si="5"/>
        <v xml:space="preserve"> </v>
      </c>
      <c r="G25" s="71" t="s">
        <v>111</v>
      </c>
      <c r="Q25" s="66" t="str">
        <f t="shared" si="8"/>
        <v>5th_UWL</v>
      </c>
      <c r="R25" s="67" t="str">
        <f t="shared" si="8"/>
        <v>#NA</v>
      </c>
      <c r="W25" t="str">
        <f>CONCATENATE("M(",S21,")=")</f>
        <v>M(#NA)=</v>
      </c>
      <c r="X25" t="e">
        <f>IF(OR(AD22&lt;=0,AD23&lt;=0),AD28,AD23)</f>
        <v>#VALUE!</v>
      </c>
      <c r="Y25" s="6" t="s">
        <v>93</v>
      </c>
      <c r="Z25" s="70" t="e">
        <f>WLS*(U27-U26)</f>
        <v>#VALUE!</v>
      </c>
      <c r="AE25" s="80"/>
    </row>
    <row r="26" spans="1:35" x14ac:dyDescent="0.25">
      <c r="A26">
        <v>23</v>
      </c>
      <c r="B26" s="80" t="str">
        <f t="shared" si="2"/>
        <v xml:space="preserve">  </v>
      </c>
      <c r="C26" s="81" t="str">
        <f t="shared" si="3"/>
        <v xml:space="preserve">  </v>
      </c>
      <c r="D26" s="81" t="str">
        <f t="shared" si="4"/>
        <v xml:space="preserve"> </v>
      </c>
      <c r="E26" s="77" t="str">
        <f t="shared" si="5"/>
        <v xml:space="preserve"> </v>
      </c>
      <c r="G26" s="91" t="str">
        <f t="shared" ref="G26:H28" si="9">G4</f>
        <v>Rise</v>
      </c>
      <c r="H26" s="91" t="e">
        <f t="shared" si="9"/>
        <v>#VALUE!</v>
      </c>
      <c r="I26" s="68" t="e">
        <f>H26</f>
        <v>#VALUE!</v>
      </c>
      <c r="J26" s="69">
        <v>0</v>
      </c>
      <c r="K26" s="69">
        <v>1</v>
      </c>
      <c r="L26" s="69">
        <f>J26*K26</f>
        <v>0</v>
      </c>
      <c r="M26" s="69" t="e">
        <f>I26</f>
        <v>#VALUE!</v>
      </c>
      <c r="N26" s="69" t="e">
        <f>L26*M26</f>
        <v>#VALUE!</v>
      </c>
      <c r="O26" t="s">
        <v>93</v>
      </c>
      <c r="P26" t="e">
        <f>IF(OR(J26=0,J27=0,J28=0),"#NA",IF(I28-I27=I27-I26,WLS*(I27-I26),"#NA"))</f>
        <v>#VALUE!</v>
      </c>
      <c r="Q26" s="66"/>
      <c r="R26" s="67"/>
      <c r="U26" s="79" t="str">
        <f>R22</f>
        <v>#NA</v>
      </c>
      <c r="V26" s="68" t="e">
        <f>VLOOKUP(U26,STN_TABLE,2,FALSE)</f>
        <v>#N/A</v>
      </c>
      <c r="W26" s="68">
        <v>1</v>
      </c>
      <c r="X26" s="69" t="e">
        <f>V26*W26</f>
        <v>#N/A</v>
      </c>
      <c r="Y26" s="78" t="s">
        <v>97</v>
      </c>
      <c r="Z26" s="78"/>
      <c r="AA26" s="78" t="s">
        <v>98</v>
      </c>
      <c r="AB26" s="78"/>
      <c r="AC26" s="7" t="s">
        <v>99</v>
      </c>
      <c r="AD26" s="7"/>
      <c r="AE26" s="80"/>
    </row>
    <row r="27" spans="1:35" x14ac:dyDescent="0.25">
      <c r="A27">
        <v>24</v>
      </c>
      <c r="B27" s="80" t="str">
        <f t="shared" si="2"/>
        <v xml:space="preserve">  </v>
      </c>
      <c r="C27" s="81" t="str">
        <f t="shared" si="3"/>
        <v xml:space="preserve">  </v>
      </c>
      <c r="D27" s="81" t="str">
        <f t="shared" si="4"/>
        <v xml:space="preserve"> </v>
      </c>
      <c r="E27" s="77" t="str">
        <f t="shared" si="5"/>
        <v xml:space="preserve"> </v>
      </c>
      <c r="G27" s="91" t="str">
        <f t="shared" si="9"/>
        <v>1st_UWL</v>
      </c>
      <c r="H27" s="91" t="str">
        <f t="shared" si="9"/>
        <v>#NA</v>
      </c>
      <c r="I27" s="76" t="e">
        <f>IF(H28-H27=H27-H26,H28,"#NA")</f>
        <v>#VALUE!</v>
      </c>
      <c r="J27" s="77" t="e">
        <f>VLOOKUP(I27,STN_TABLE,2,FALSE)</f>
        <v>#VALUE!</v>
      </c>
      <c r="K27" s="77">
        <v>4</v>
      </c>
      <c r="L27" s="77" t="e">
        <f>J27*K27</f>
        <v>#VALUE!</v>
      </c>
      <c r="M27" s="77" t="e">
        <f>I27</f>
        <v>#VALUE!</v>
      </c>
      <c r="N27" s="77" t="e">
        <f>L27*M27</f>
        <v>#VALUE!</v>
      </c>
      <c r="O27" t="e">
        <f>CONCATENATE("A(",I28,")=")</f>
        <v>#VALUE!</v>
      </c>
      <c r="P27" t="e">
        <f>2*P26/3*L29</f>
        <v>#VALUE!</v>
      </c>
      <c r="Q27" s="80"/>
      <c r="R27" s="81"/>
      <c r="U27" s="88" t="str">
        <f>R23</f>
        <v>#NA</v>
      </c>
      <c r="V27" s="82" t="e">
        <f>VLOOKUP(U27,STN_TABLE,2,FALSE)</f>
        <v>#N/A</v>
      </c>
      <c r="W27" s="82">
        <v>2</v>
      </c>
      <c r="X27" s="83" t="e">
        <f>V27*W27</f>
        <v>#N/A</v>
      </c>
      <c r="Y27" s="84" t="str">
        <f>CONCATENATE("a'(",U27,")=")</f>
        <v>a'(#NA)=</v>
      </c>
      <c r="Z27" s="84" t="e">
        <f>2*Z25/2*V28</f>
        <v>#VALUE!</v>
      </c>
      <c r="AA27" s="84" t="str">
        <f>CONCATENATE("A(",U26,")=")</f>
        <v>A(#NA)=</v>
      </c>
      <c r="AB27" s="84" t="e">
        <f>IF(U26=RisePerWLS,0,VLOOKUP(U26,STN_TABLE,3,FALSE))</f>
        <v>#VALUE!</v>
      </c>
      <c r="AC27" t="str">
        <f>CONCATENATE("A(",U27,")=")</f>
        <v>A(#NA)=</v>
      </c>
      <c r="AD27" t="e">
        <f>Z27+AB27</f>
        <v>#VALUE!</v>
      </c>
      <c r="AE27" s="80"/>
    </row>
    <row r="28" spans="1:35" x14ac:dyDescent="0.25">
      <c r="A28">
        <v>25</v>
      </c>
      <c r="B28" s="88" t="str">
        <f t="shared" si="2"/>
        <v xml:space="preserve">  </v>
      </c>
      <c r="C28" s="92" t="str">
        <f t="shared" si="3"/>
        <v xml:space="preserve">  </v>
      </c>
      <c r="D28" s="81" t="str">
        <f t="shared" si="4"/>
        <v xml:space="preserve"> </v>
      </c>
      <c r="E28" s="77" t="str">
        <f t="shared" si="5"/>
        <v xml:space="preserve"> </v>
      </c>
      <c r="G28" s="91" t="str">
        <f t="shared" si="9"/>
        <v>2nd_UWL</v>
      </c>
      <c r="H28" s="91" t="str">
        <f t="shared" si="9"/>
        <v>#NA</v>
      </c>
      <c r="I28" s="82" t="e">
        <f>IF(H28-H27=H27-H26,H28,"#NA")</f>
        <v>#VALUE!</v>
      </c>
      <c r="J28" s="83" t="e">
        <f>VLOOKUP(I28,STN_TABLE,2,FALSE)</f>
        <v>#VALUE!</v>
      </c>
      <c r="K28" s="83">
        <v>1</v>
      </c>
      <c r="L28" s="83" t="e">
        <f>J28*K28</f>
        <v>#VALUE!</v>
      </c>
      <c r="M28" s="83" t="e">
        <f>I28</f>
        <v>#VALUE!</v>
      </c>
      <c r="N28" s="83" t="e">
        <f>L28*M28</f>
        <v>#VALUE!</v>
      </c>
      <c r="O28" t="e">
        <f>CONCATENATE("M(",I28,")=")</f>
        <v>#VALUE!</v>
      </c>
      <c r="P28" t="e">
        <f>2*(P26*WLS)/3*N29</f>
        <v>#VALUE!</v>
      </c>
      <c r="Q28" s="80"/>
      <c r="R28" s="81"/>
      <c r="V28" s="89" t="e">
        <f>SUM(V26:V27)</f>
        <v>#N/A</v>
      </c>
      <c r="X28" s="89" t="e">
        <f>SUM(X26:X27)</f>
        <v>#N/A</v>
      </c>
      <c r="Y28" s="84" t="str">
        <f>CONCATENATE("m'(",U27,")=")</f>
        <v>m'(#NA)=</v>
      </c>
      <c r="Z28" s="84" t="e">
        <f>(2*(Z25^2)/6*X28)+(Z27*U26*WLS)</f>
        <v>#VALUE!</v>
      </c>
      <c r="AA28" s="84" t="str">
        <f>CONCATENATE("M(",U26,")=")</f>
        <v>M(#NA)=</v>
      </c>
      <c r="AB28" s="84" t="e">
        <f>IF(U26=RisePerWLS,0,VLOOKUP(U26,STN_TABLE,4,FALSE))</f>
        <v>#VALUE!</v>
      </c>
      <c r="AC28" t="str">
        <f>CONCATENATE("M(",U27,")=")</f>
        <v>M(#NA)=</v>
      </c>
      <c r="AD28" t="e">
        <f>Z28+AB28</f>
        <v>#VALUE!</v>
      </c>
      <c r="AE28" s="80"/>
    </row>
    <row r="29" spans="1:35" x14ac:dyDescent="0.25">
      <c r="G29" s="91"/>
      <c r="H29" s="91"/>
      <c r="L29" s="89" t="e">
        <f>SUM(L26:L28)</f>
        <v>#VALUE!</v>
      </c>
      <c r="N29" s="89" t="e">
        <f>SUM(N26:N28)</f>
        <v>#VALUE!</v>
      </c>
      <c r="Q29" s="80"/>
      <c r="R29" s="81"/>
      <c r="AE29" s="80"/>
    </row>
    <row r="30" spans="1:35" x14ac:dyDescent="0.25">
      <c r="G30" s="91"/>
      <c r="H30" s="91"/>
    </row>
    <row r="31" spans="1:35" x14ac:dyDescent="0.25">
      <c r="G31" s="91"/>
      <c r="H31" s="91"/>
    </row>
    <row r="32" spans="1:35" x14ac:dyDescent="0.25">
      <c r="G32" s="91"/>
      <c r="H32" s="91"/>
      <c r="Q32" s="68">
        <f>B4</f>
        <v>0</v>
      </c>
      <c r="R32" s="69">
        <f>VLOOKUP(Q32,STN_TABLE,2,FALSE)</f>
        <v>0.5</v>
      </c>
      <c r="S32" s="69">
        <v>5</v>
      </c>
      <c r="T32" s="68">
        <f>R32*S32</f>
        <v>2.5</v>
      </c>
      <c r="U32" s="79">
        <v>3</v>
      </c>
      <c r="V32" s="68">
        <f>R32*U32</f>
        <v>1.5</v>
      </c>
      <c r="W32" t="s">
        <v>93</v>
      </c>
      <c r="X32" s="70">
        <f>IF(AND(Q34-Q33=Q33-Q32,NOT(AND(Q32=0,Q33=0)),NOT(AND(Q33=0,Q34=0))),WLS*(Q34-Q33),"#NA")</f>
        <v>0.5</v>
      </c>
      <c r="AD32" s="93"/>
      <c r="AH32" s="6" t="s">
        <v>93</v>
      </c>
      <c r="AI32" s="70">
        <f>WLS*(AD34-AD33)</f>
        <v>0.5</v>
      </c>
    </row>
    <row r="33" spans="1:47" x14ac:dyDescent="0.25">
      <c r="Q33" s="76">
        <f>B5</f>
        <v>0.25</v>
      </c>
      <c r="R33" s="77">
        <f>VLOOKUP(Q33,STN_TABLE,2,FALSE)</f>
        <v>0.99</v>
      </c>
      <c r="S33" s="77">
        <v>8</v>
      </c>
      <c r="T33" s="76">
        <f>R33*S33</f>
        <v>7.92</v>
      </c>
      <c r="U33" s="80">
        <v>10</v>
      </c>
      <c r="V33" s="76">
        <f>R33*U33</f>
        <v>9.9</v>
      </c>
      <c r="W33" s="495" t="s">
        <v>97</v>
      </c>
      <c r="X33" s="496"/>
      <c r="Y33" s="496" t="s">
        <v>98</v>
      </c>
      <c r="Z33" s="496"/>
      <c r="AA33" s="494" t="s">
        <v>99</v>
      </c>
      <c r="AB33" s="494"/>
      <c r="AC33" s="94">
        <v>1</v>
      </c>
      <c r="AD33" s="95">
        <f>VLOOKUP(AC33,STN_TABLE_2,2,FALSE)</f>
        <v>0</v>
      </c>
      <c r="AE33" s="68">
        <f>VLOOKUP(AD33,STN_TABLE,2,FALSE)</f>
        <v>0.5</v>
      </c>
      <c r="AF33" s="68">
        <v>1</v>
      </c>
      <c r="AG33" s="69">
        <f>AE33*AF33</f>
        <v>0.5</v>
      </c>
      <c r="AH33" s="496" t="s">
        <v>97</v>
      </c>
      <c r="AI33" s="496"/>
      <c r="AJ33" s="496" t="s">
        <v>98</v>
      </c>
      <c r="AK33" s="496"/>
      <c r="AL33" s="494" t="s">
        <v>99</v>
      </c>
      <c r="AM33" s="494"/>
      <c r="AP33" s="96" t="s">
        <v>112</v>
      </c>
      <c r="AQ33" s="89" t="s">
        <v>113</v>
      </c>
      <c r="AR33" s="89" t="s">
        <v>114</v>
      </c>
      <c r="AS33" s="89" t="s">
        <v>115</v>
      </c>
      <c r="AT33" s="97" t="s">
        <v>116</v>
      </c>
      <c r="AU33" s="98"/>
    </row>
    <row r="34" spans="1:47" x14ac:dyDescent="0.25">
      <c r="Q34" s="82">
        <f>B6</f>
        <v>0.5</v>
      </c>
      <c r="R34" s="83">
        <f>VLOOKUP(Q34,STN_TABLE,2,FALSE)</f>
        <v>1.35</v>
      </c>
      <c r="S34" s="83">
        <v>-1</v>
      </c>
      <c r="T34" s="82">
        <f>R34*S34</f>
        <v>-1.35</v>
      </c>
      <c r="U34" s="88">
        <v>-1</v>
      </c>
      <c r="V34" s="82">
        <f>R34*U34</f>
        <v>-1.35</v>
      </c>
      <c r="W34" s="84" t="str">
        <f>CONCATENATE("a'(",Q33,")=")</f>
        <v>a'(0.25)=</v>
      </c>
      <c r="X34" s="84">
        <f>2*X32/12*T35</f>
        <v>0.75583333333333336</v>
      </c>
      <c r="Y34" s="84" t="str">
        <f>CONCATENATE("A(",Q32,")=")</f>
        <v>A(0)=</v>
      </c>
      <c r="Z34" s="84">
        <f>VLOOKUP(Q32,STN_TABLE,3,FALSE)</f>
        <v>0</v>
      </c>
      <c r="AA34" t="str">
        <f>CONCATENATE("A(",Q33,")=")</f>
        <v>A(0.25)=</v>
      </c>
      <c r="AB34">
        <f>X34+Z34</f>
        <v>0.75583333333333336</v>
      </c>
      <c r="AC34" s="99">
        <f>AC33+1</f>
        <v>2</v>
      </c>
      <c r="AD34" s="100">
        <f>VLOOKUP(AC34,STN_TABLE_2,2,FALSE)</f>
        <v>0.25</v>
      </c>
      <c r="AE34" s="82">
        <f>VLOOKUP(AD34,STN_TABLE,2,FALSE)</f>
        <v>0.99</v>
      </c>
      <c r="AF34" s="82">
        <v>2</v>
      </c>
      <c r="AG34" s="83">
        <f>AE34*AF34</f>
        <v>1.98</v>
      </c>
      <c r="AH34" s="84" t="str">
        <f>CONCATENATE("a'(",AD34,")=")</f>
        <v>a'(0.25)=</v>
      </c>
      <c r="AI34" s="84">
        <f>2*AI32/2*AE35</f>
        <v>0.745</v>
      </c>
      <c r="AJ34" s="84" t="str">
        <f>CONCATENATE("A(",AD33,")=")</f>
        <v>A(0)=</v>
      </c>
      <c r="AK34" s="84">
        <f>VLOOKUP(AD33,STN_TABLE,3,FALSE)</f>
        <v>0</v>
      </c>
      <c r="AL34" t="str">
        <f>CONCATENATE("A(",AD34,")=")</f>
        <v>A(0.25)=</v>
      </c>
      <c r="AM34">
        <f>AI34+AK34</f>
        <v>0.745</v>
      </c>
      <c r="AO34" s="68" t="str">
        <f>AA34</f>
        <v>A(0.25)=</v>
      </c>
      <c r="AP34" s="79" t="e">
        <f>VLOOKUP(AO34,Rise_Results,2,FALSE)</f>
        <v>#N/A</v>
      </c>
      <c r="AQ34" s="76" t="s">
        <v>117</v>
      </c>
      <c r="AR34" s="76">
        <f>IF(OR(AB34&lt;=0,AB35&lt;=0),1/0,AB34)</f>
        <v>0.75583333333333336</v>
      </c>
      <c r="AS34" s="76">
        <f>AM34</f>
        <v>0.745</v>
      </c>
      <c r="AT34" s="80">
        <f>IFERROR(AP34,IFERROR(AR34,AS34))</f>
        <v>0.75583333333333336</v>
      </c>
    </row>
    <row r="35" spans="1:47" x14ac:dyDescent="0.25">
      <c r="A35" s="101"/>
      <c r="T35" s="89">
        <f>SUM(T32:T34)</f>
        <v>9.07</v>
      </c>
      <c r="V35" s="82">
        <f>SUM(V32:V34)</f>
        <v>10.050000000000001</v>
      </c>
      <c r="W35" s="84" t="str">
        <f>CONCATENATE("m'(",Q33,")=")</f>
        <v>m'(0.25)=</v>
      </c>
      <c r="X35" s="84">
        <f>(2*(X32^2)/24*V35)</f>
        <v>0.20937500000000001</v>
      </c>
      <c r="Y35" s="84" t="str">
        <f>CONCATENATE("M(",Q32,")=")</f>
        <v>M(0)=</v>
      </c>
      <c r="Z35" s="84">
        <f>VLOOKUP(Q32,STN_TABLE,4,FALSE)</f>
        <v>0</v>
      </c>
      <c r="AA35" t="str">
        <f>CONCATENATE("M(",Q33,")=")</f>
        <v>M(0.25)=</v>
      </c>
      <c r="AB35">
        <f>X35+Z35</f>
        <v>0.20937500000000001</v>
      </c>
      <c r="AE35" s="89">
        <f>SUM(AE33:AE34)</f>
        <v>1.49</v>
      </c>
      <c r="AG35" s="89">
        <f>SUM(AG33:AG34)</f>
        <v>2.48</v>
      </c>
      <c r="AH35" s="84" t="str">
        <f>CONCATENATE("m'(",AD34,")=")</f>
        <v>m'(0.25)=</v>
      </c>
      <c r="AI35" s="84">
        <f>(2*(AI32^2)/6*AG35)+(AI34*AD33*WLS)</f>
        <v>0.20666666666666667</v>
      </c>
      <c r="AJ35" s="84" t="str">
        <f>CONCATENATE("M(",AD33,")=")</f>
        <v>M(0)=</v>
      </c>
      <c r="AK35" s="84">
        <f>VLOOKUP(AD33,STN_TABLE,4,FALSE)</f>
        <v>0</v>
      </c>
      <c r="AL35" t="str">
        <f>CONCATENATE("M(",AD34,")=")</f>
        <v>M(0.25)=</v>
      </c>
      <c r="AM35">
        <f>AI35+AK35</f>
        <v>0.20666666666666667</v>
      </c>
      <c r="AO35" s="82" t="str">
        <f>AA35</f>
        <v>M(0.25)=</v>
      </c>
      <c r="AP35" s="88" t="e">
        <f>VLOOKUP(AO35,Rise_Results,2,FALSE)</f>
        <v>#N/A</v>
      </c>
      <c r="AQ35" s="82" t="s">
        <v>117</v>
      </c>
      <c r="AR35" s="82">
        <f>IF(OR(AB34&lt;=0,AB35&lt;=0),1/0,AB35)</f>
        <v>0.20937500000000001</v>
      </c>
      <c r="AS35" s="82">
        <f>AM35</f>
        <v>0.20666666666666667</v>
      </c>
      <c r="AT35" s="80">
        <f>IFERROR(AP35,IFERROR(AR35,AS35))</f>
        <v>0.20937500000000001</v>
      </c>
    </row>
    <row r="36" spans="1:47" x14ac:dyDescent="0.25">
      <c r="O36" s="94">
        <v>1</v>
      </c>
      <c r="P36" s="101">
        <f t="shared" ref="P36:P67" si="10">VLOOKUP(O36,STN_TABLE_2,2,FALSE)</f>
        <v>0</v>
      </c>
      <c r="AU36" s="81"/>
    </row>
    <row r="37" spans="1:47" x14ac:dyDescent="0.25">
      <c r="A37" s="94">
        <v>1</v>
      </c>
      <c r="B37" s="94">
        <f>VLOOKUP(A37,STN_TABLE_2,2,FALSE)</f>
        <v>0</v>
      </c>
      <c r="C37" s="79">
        <f>B37</f>
        <v>0</v>
      </c>
      <c r="D37" s="68">
        <f>VLOOKUP(C37,STN_TABLE,2,FALSE)</f>
        <v>0.5</v>
      </c>
      <c r="E37" s="102">
        <v>1</v>
      </c>
      <c r="F37" s="68">
        <f>D37*E37</f>
        <v>0.5</v>
      </c>
      <c r="G37" s="69">
        <f>C37</f>
        <v>0</v>
      </c>
      <c r="H37" s="69">
        <f>F37*G37</f>
        <v>0</v>
      </c>
      <c r="I37" s="6" t="s">
        <v>93</v>
      </c>
      <c r="J37" s="70">
        <f>IF(OR(D37=0,D38=0,D39=0),"#NA",IF(AND(C39-C38=C38-C37,C38&lt;&gt;C39,C37&lt;&gt;C38,C37&lt;&gt;C39,D39&lt;&gt;0,OR(D37&lt;&gt;0,D38&lt;&gt;0)),WLS*(C39-C38),"#NA"))</f>
        <v>0.5</v>
      </c>
      <c r="O37" s="99">
        <f>O36+1</f>
        <v>2</v>
      </c>
      <c r="P37" s="99">
        <f t="shared" si="10"/>
        <v>0.25</v>
      </c>
      <c r="Q37" s="68">
        <f>IF(OR(P39-P38=P38-P37,P40-P38=P38-P37),P37,IF(OR(P39-P38=P38-P36,P40-P38=P38-P36),P36,"-"))</f>
        <v>0.25</v>
      </c>
      <c r="R37" s="69">
        <f>VLOOKUP(Q37,STN_TABLE,2,FALSE)</f>
        <v>0.99</v>
      </c>
      <c r="S37" s="69">
        <v>5</v>
      </c>
      <c r="T37" s="68">
        <f>R37*S37</f>
        <v>4.95</v>
      </c>
      <c r="U37" s="79">
        <v>3</v>
      </c>
      <c r="V37" s="68">
        <f>R37*U37</f>
        <v>2.9699999999999998</v>
      </c>
      <c r="W37" s="6" t="s">
        <v>93</v>
      </c>
      <c r="X37" s="70">
        <f>IF(AND(Q39-Q38=Q38-Q37,NOT(AND(Q37=0,Q38=0)),NOT(AND(Q38=0,Q39=0))),WLS*(Q39-Q38),"#NA")</f>
        <v>0.5</v>
      </c>
      <c r="AD37" s="93"/>
      <c r="AH37" s="6" t="s">
        <v>93</v>
      </c>
      <c r="AI37" s="70">
        <f>WLS*(AD39-AD38)</f>
        <v>0.5</v>
      </c>
      <c r="AU37" s="81"/>
    </row>
    <row r="38" spans="1:47" x14ac:dyDescent="0.25">
      <c r="A38" s="94">
        <f>A37+1</f>
        <v>2</v>
      </c>
      <c r="B38" s="94">
        <f>VLOOKUP(A38,STN_TABLE_2,2,FALSE)</f>
        <v>0.25</v>
      </c>
      <c r="C38" s="80">
        <f>B38</f>
        <v>0.25</v>
      </c>
      <c r="D38" s="76">
        <f>VLOOKUP(C38,STN_TABLE,2,FALSE)</f>
        <v>0.99</v>
      </c>
      <c r="E38" s="81">
        <v>4</v>
      </c>
      <c r="F38" s="76">
        <f>D38*E38</f>
        <v>3.96</v>
      </c>
      <c r="G38" s="77">
        <f>C38</f>
        <v>0.25</v>
      </c>
      <c r="H38" s="77">
        <f>F38*G38</f>
        <v>0.99</v>
      </c>
      <c r="I38" s="496" t="s">
        <v>97</v>
      </c>
      <c r="J38" s="496"/>
      <c r="K38" s="78" t="s">
        <v>98</v>
      </c>
      <c r="L38" s="78"/>
      <c r="M38" s="7" t="s">
        <v>99</v>
      </c>
      <c r="N38" s="7"/>
      <c r="O38" s="99">
        <f>O37+1</f>
        <v>3</v>
      </c>
      <c r="P38" s="99">
        <f t="shared" si="10"/>
        <v>0.5</v>
      </c>
      <c r="Q38" s="76">
        <f>P38</f>
        <v>0.5</v>
      </c>
      <c r="R38" s="77">
        <f>VLOOKUP(Q38,STN_TABLE,2,FALSE)</f>
        <v>1.35</v>
      </c>
      <c r="S38" s="77">
        <v>8</v>
      </c>
      <c r="T38" s="76">
        <f>R38*S38</f>
        <v>10.8</v>
      </c>
      <c r="U38" s="80">
        <v>10</v>
      </c>
      <c r="V38" s="76">
        <f>R38*U38</f>
        <v>13.5</v>
      </c>
      <c r="W38" s="496" t="s">
        <v>97</v>
      </c>
      <c r="X38" s="496"/>
      <c r="Y38" s="496" t="s">
        <v>98</v>
      </c>
      <c r="Z38" s="496"/>
      <c r="AA38" s="494" t="s">
        <v>99</v>
      </c>
      <c r="AB38" s="494"/>
      <c r="AC38" s="99">
        <f>AC33+1</f>
        <v>2</v>
      </c>
      <c r="AD38" s="95">
        <f>VLOOKUP(AC38,STN_TABLE_2,2,FALSE)</f>
        <v>0.25</v>
      </c>
      <c r="AE38" s="68">
        <f>VLOOKUP(AD38,STN_TABLE,2,FALSE)</f>
        <v>0.99</v>
      </c>
      <c r="AF38" s="68">
        <v>1</v>
      </c>
      <c r="AG38" s="69">
        <f>AE38*AF38</f>
        <v>0.99</v>
      </c>
      <c r="AH38" s="496" t="s">
        <v>97</v>
      </c>
      <c r="AI38" s="496"/>
      <c r="AJ38" s="496" t="s">
        <v>98</v>
      </c>
      <c r="AK38" s="496"/>
      <c r="AL38" s="494" t="s">
        <v>99</v>
      </c>
      <c r="AM38" s="494"/>
      <c r="AP38" s="86" t="s">
        <v>112</v>
      </c>
      <c r="AQ38" s="89" t="s">
        <v>113</v>
      </c>
      <c r="AR38" s="89" t="s">
        <v>114</v>
      </c>
      <c r="AS38" s="89" t="s">
        <v>115</v>
      </c>
    </row>
    <row r="39" spans="1:47" x14ac:dyDescent="0.25">
      <c r="A39" s="94">
        <f>A38+1</f>
        <v>3</v>
      </c>
      <c r="B39" s="94">
        <f>VLOOKUP(A39,STN_TABLE_2,2,FALSE)</f>
        <v>0.5</v>
      </c>
      <c r="C39" s="88">
        <f>B39</f>
        <v>0.5</v>
      </c>
      <c r="D39" s="82">
        <f>VLOOKUP(C39,STN_TABLE,2,FALSE)</f>
        <v>1.35</v>
      </c>
      <c r="E39" s="92">
        <v>1</v>
      </c>
      <c r="F39" s="82">
        <f>D39*E39</f>
        <v>1.35</v>
      </c>
      <c r="G39" s="83">
        <f>C39</f>
        <v>0.5</v>
      </c>
      <c r="H39" s="83">
        <f>F39*G39</f>
        <v>0.67500000000000004</v>
      </c>
      <c r="I39" s="84" t="str">
        <f>CONCATENATE("a'(",C39,")=")</f>
        <v>a'(0.5)=</v>
      </c>
      <c r="J39" s="84">
        <f>2*J37/3*F40</f>
        <v>1.9366666666666668</v>
      </c>
      <c r="K39" s="84" t="str">
        <f>CONCATENATE("A(",C37,")=")</f>
        <v>A(0)=</v>
      </c>
      <c r="L39" s="84">
        <f>VLOOKUP(C37,STN_TABLE,3,FALSE)</f>
        <v>0</v>
      </c>
      <c r="M39" t="str">
        <f>CONCATENATE("A(",C39,")=")</f>
        <v>A(0.5)=</v>
      </c>
      <c r="N39">
        <f>J39+L39</f>
        <v>1.9366666666666668</v>
      </c>
      <c r="O39" s="99">
        <f>O38+1</f>
        <v>4</v>
      </c>
      <c r="P39" s="99">
        <f t="shared" si="10"/>
        <v>0.75</v>
      </c>
      <c r="Q39" s="82">
        <f>IF(P39-P38=P38-P37,P39,IF(P40-P38=P38-P37,P40,IF(P39-P38=P38-P36,P39,IF(P40-P38=P38-P36,P40,"-"))))</f>
        <v>0.75</v>
      </c>
      <c r="R39" s="83">
        <f>VLOOKUP(Q39,STN_TABLE,2,FALSE)</f>
        <v>1.65</v>
      </c>
      <c r="S39" s="83">
        <v>-1</v>
      </c>
      <c r="T39" s="82">
        <f>R39*S39</f>
        <v>-1.65</v>
      </c>
      <c r="U39" s="88">
        <v>-1</v>
      </c>
      <c r="V39" s="82">
        <f>R39*U39</f>
        <v>-1.65</v>
      </c>
      <c r="W39" s="84" t="str">
        <f>CONCATENATE("a'(",Q38,")=")</f>
        <v>a'(0.5)=</v>
      </c>
      <c r="X39" s="84">
        <f>2*X37/12*T40</f>
        <v>1.1749999999999998</v>
      </c>
      <c r="Y39" s="84" t="str">
        <f>CONCATENATE("A(",Q37,")=")</f>
        <v>A(0.25)=</v>
      </c>
      <c r="Z39" s="84">
        <f>VLOOKUP(Q37,STN_TABLE,3,FALSE)</f>
        <v>0.75583333333333336</v>
      </c>
      <c r="AA39" t="str">
        <f>CONCATENATE("A(",Q38,")=")</f>
        <v>A(0.5)=</v>
      </c>
      <c r="AB39">
        <f>X39+Z39</f>
        <v>1.9308333333333332</v>
      </c>
      <c r="AC39" s="99">
        <f>AC38+1</f>
        <v>3</v>
      </c>
      <c r="AD39" s="100">
        <f>VLOOKUP(AC39,STN_TABLE_2,2,FALSE)</f>
        <v>0.5</v>
      </c>
      <c r="AE39" s="82">
        <f>VLOOKUP(AD39,STN_TABLE,2,FALSE)</f>
        <v>1.35</v>
      </c>
      <c r="AF39" s="82">
        <v>2</v>
      </c>
      <c r="AG39" s="83">
        <f>AE39*AF39</f>
        <v>2.7</v>
      </c>
      <c r="AH39" s="84" t="str">
        <f>CONCATENATE("a'(",AD39,")=")</f>
        <v>a'(0.5)=</v>
      </c>
      <c r="AI39" s="84">
        <f>2*AI37/2*AE40</f>
        <v>1.17</v>
      </c>
      <c r="AJ39" s="84" t="str">
        <f>CONCATENATE("A(",AD38,")=")</f>
        <v>A(0.25)=</v>
      </c>
      <c r="AK39" s="84">
        <f>VLOOKUP(AD38,STN_TABLE,3,FALSE)</f>
        <v>0.75583333333333336</v>
      </c>
      <c r="AL39" t="str">
        <f>CONCATENATE("A(",AD39,")=")</f>
        <v>A(0.5)=</v>
      </c>
      <c r="AM39">
        <f>AI39+AK39</f>
        <v>1.9258333333333333</v>
      </c>
      <c r="AO39" s="68" t="str">
        <f>AA39</f>
        <v>A(0.5)=</v>
      </c>
      <c r="AP39" s="68" t="e">
        <f>VLOOKUP(AO39,Rise_Results,2,FALSE)</f>
        <v>#N/A</v>
      </c>
      <c r="AQ39" s="76">
        <f>N39</f>
        <v>1.9366666666666668</v>
      </c>
      <c r="AR39" s="76">
        <f>IF(OR(AB39&lt;=0,AB40&lt;=0),1/0,AB39)</f>
        <v>1.9308333333333332</v>
      </c>
      <c r="AS39" s="76">
        <f>AM39</f>
        <v>1.9258333333333333</v>
      </c>
      <c r="AT39">
        <f>IFERROR(AP39,IFERROR(AQ39,IFERROR(AR39,AS39)))</f>
        <v>1.9366666666666668</v>
      </c>
    </row>
    <row r="40" spans="1:47" x14ac:dyDescent="0.25">
      <c r="A40">
        <v>4</v>
      </c>
      <c r="F40" s="82">
        <f>SUM(F37:F39)</f>
        <v>5.8100000000000005</v>
      </c>
      <c r="H40" s="82">
        <f>SUM(H37:H39)</f>
        <v>1.665</v>
      </c>
      <c r="I40" s="84" t="str">
        <f>CONCATENATE("m'(",C39,")=")</f>
        <v>m'(0.5)=</v>
      </c>
      <c r="J40" s="84">
        <f>2*(J37*(WLS))/3*H40</f>
        <v>1.1099999999999999</v>
      </c>
      <c r="K40" s="84" t="str">
        <f>CONCATENATE("M(",C37,")=")</f>
        <v>M(0)=</v>
      </c>
      <c r="L40" s="84">
        <f>VLOOKUP(C37,STN_TABLE,4,FALSE)</f>
        <v>0</v>
      </c>
      <c r="M40" t="str">
        <f>CONCATENATE("M(",C39,")=")</f>
        <v>M(0.5)=</v>
      </c>
      <c r="N40">
        <f>J40+L40</f>
        <v>1.1099999999999999</v>
      </c>
      <c r="O40" s="99">
        <f>O39+1</f>
        <v>5</v>
      </c>
      <c r="P40" s="99">
        <f t="shared" si="10"/>
        <v>1</v>
      </c>
      <c r="T40" s="89">
        <f>SUM(T37:T39)</f>
        <v>14.1</v>
      </c>
      <c r="V40" s="82">
        <f>SUM(V37:V39)</f>
        <v>14.819999999999999</v>
      </c>
      <c r="W40" s="84" t="str">
        <f>CONCATENATE("m'(",Q38,")=")</f>
        <v>m'(0.5)=</v>
      </c>
      <c r="X40" s="84">
        <f>(2*(X37^2)/24*V40)+(X39*Q37*WLS)</f>
        <v>0.89624999999999988</v>
      </c>
      <c r="Y40" s="84" t="str">
        <f>CONCATENATE("M(",Q37,")=")</f>
        <v>M(0.25)=</v>
      </c>
      <c r="Z40" s="84">
        <f>VLOOKUP(Q37,STN_TABLE,4,FALSE)</f>
        <v>0.20937500000000001</v>
      </c>
      <c r="AA40" t="str">
        <f>CONCATENATE("M(",Q38,")=")</f>
        <v>M(0.5)=</v>
      </c>
      <c r="AB40">
        <f>X40+Z40</f>
        <v>1.1056249999999999</v>
      </c>
      <c r="AE40" s="89">
        <f>SUM(AE38:AE39)</f>
        <v>2.34</v>
      </c>
      <c r="AG40" s="89">
        <f>SUM(AG38:AG39)</f>
        <v>3.6900000000000004</v>
      </c>
      <c r="AH40" s="84" t="str">
        <f>CONCATENATE("m'(",AD39,")=")</f>
        <v>m'(0.5)=</v>
      </c>
      <c r="AI40" s="84">
        <f>(2*(AI37^2)/6*AG40)+(AI39*AD38*WLS)</f>
        <v>0.89249999999999996</v>
      </c>
      <c r="AJ40" s="84" t="str">
        <f>CONCATENATE("M(",AD38,")=")</f>
        <v>M(0.25)=</v>
      </c>
      <c r="AK40" s="84">
        <f>VLOOKUP(AD38,STN_TABLE,4,FALSE)</f>
        <v>0.20937500000000001</v>
      </c>
      <c r="AL40" t="str">
        <f>CONCATENATE("M(",AD39,")=")</f>
        <v>M(0.5)=</v>
      </c>
      <c r="AM40">
        <f>AI40+AK40</f>
        <v>1.1018749999999999</v>
      </c>
      <c r="AO40" s="82" t="str">
        <f>AA40</f>
        <v>M(0.5)=</v>
      </c>
      <c r="AP40" s="82" t="e">
        <f>VLOOKUP(AO40,Rise_Results,2,FALSE)</f>
        <v>#N/A</v>
      </c>
      <c r="AQ40" s="82">
        <f>N40</f>
        <v>1.1099999999999999</v>
      </c>
      <c r="AR40" s="82">
        <f>IF(OR(AB39&lt;=0,AB40&lt;=0),1/0,AB40)</f>
        <v>1.1056249999999999</v>
      </c>
      <c r="AS40" s="82">
        <f>AM40</f>
        <v>1.1018749999999999</v>
      </c>
      <c r="AT40">
        <f>IFERROR(AP40,IFERROR(AQ40,IFERROR(AR40,AS40)))</f>
        <v>1.1099999999999999</v>
      </c>
    </row>
    <row r="41" spans="1:47" x14ac:dyDescent="0.25">
      <c r="A41" s="94">
        <v>0</v>
      </c>
      <c r="O41" s="101">
        <f>O36+1</f>
        <v>2</v>
      </c>
      <c r="P41" s="101">
        <f t="shared" si="10"/>
        <v>0.25</v>
      </c>
    </row>
    <row r="42" spans="1:47" x14ac:dyDescent="0.25">
      <c r="A42" s="94">
        <f>A41+1</f>
        <v>1</v>
      </c>
      <c r="B42" s="94">
        <f t="shared" ref="B42:B73" si="11">VLOOKUP(A42,STN_TABLE_2,2,FALSE)</f>
        <v>0</v>
      </c>
      <c r="C42" s="79">
        <f>IF(C43=B43,B42,IF(C43=B44,IF(C44-C43=C43-B43,B43,IF(C44-C43=C43-B42,B42,"NA"))))</f>
        <v>0.25</v>
      </c>
      <c r="D42" s="68">
        <f>VLOOKUP(C42,STN_TABLE,2,FALSE)</f>
        <v>0.99</v>
      </c>
      <c r="E42" s="102">
        <v>1</v>
      </c>
      <c r="F42" s="68">
        <f>D42*E42</f>
        <v>0.99</v>
      </c>
      <c r="G42" s="69">
        <f>C42</f>
        <v>0.25</v>
      </c>
      <c r="H42" s="69">
        <f>F42*G42</f>
        <v>0.2475</v>
      </c>
      <c r="I42" s="6" t="s">
        <v>93</v>
      </c>
      <c r="J42" s="70">
        <f>IF(OR(D42=0,D43=0,D44=0),"#NA",IF(AND(C44-C43=C43-C42,C43&lt;&gt;C44,C42&lt;&gt;C43,C42&lt;&gt;C44,D44&lt;&gt;0,OR(D42&lt;&gt;0,D43&lt;&gt;0)),WLS*(C44-C43),"#NA"))</f>
        <v>0.5</v>
      </c>
      <c r="O42" s="99">
        <f>O41+1</f>
        <v>3</v>
      </c>
      <c r="P42" s="99">
        <f t="shared" si="10"/>
        <v>0.5</v>
      </c>
      <c r="Q42" s="68">
        <f>IF(OR(P44-P43=P43-P42,P45-P43=P43-P42),P42,IF(OR(P44-P43=P43-P41,P45-P43=P43-P41),P41,"-"))</f>
        <v>0.5</v>
      </c>
      <c r="R42" s="69">
        <f>VLOOKUP(Q42,STN_TABLE,2,FALSE)</f>
        <v>1.35</v>
      </c>
      <c r="S42" s="69">
        <v>5</v>
      </c>
      <c r="T42" s="68">
        <f>R42*S42</f>
        <v>6.75</v>
      </c>
      <c r="U42" s="79">
        <v>3</v>
      </c>
      <c r="V42" s="68">
        <f>R42*U42</f>
        <v>4.0500000000000007</v>
      </c>
      <c r="W42" s="6" t="s">
        <v>93</v>
      </c>
      <c r="X42" s="70">
        <f>IF(AND(Q44-Q43=Q43-Q42,NOT(AND(Q42=0,Q43=0)),NOT(AND(Q43=0,Q44=0))),WLS*(Q44-Q43),"#NA")</f>
        <v>0.5</v>
      </c>
      <c r="AD42" s="93"/>
      <c r="AH42" s="6" t="s">
        <v>93</v>
      </c>
      <c r="AI42" s="70">
        <f>WLS*(AD44-AD43)</f>
        <v>0.5</v>
      </c>
      <c r="AU42" s="81"/>
    </row>
    <row r="43" spans="1:47" x14ac:dyDescent="0.25">
      <c r="A43" s="94">
        <f>A42+1</f>
        <v>2</v>
      </c>
      <c r="B43" s="94">
        <f t="shared" si="11"/>
        <v>0.25</v>
      </c>
      <c r="C43" s="80">
        <f>IF(OR(B45-B44=B44-B43,B45-B44=B44-B42,),B44,IF(B45-B43=B43-B42,B43,"#NA"))</f>
        <v>0.5</v>
      </c>
      <c r="D43" s="76">
        <f>VLOOKUP(C43,STN_TABLE,2,FALSE)</f>
        <v>1.35</v>
      </c>
      <c r="E43" s="81">
        <v>4</v>
      </c>
      <c r="F43" s="76">
        <f>D43*E43</f>
        <v>5.4</v>
      </c>
      <c r="G43" s="77">
        <f>C43</f>
        <v>0.5</v>
      </c>
      <c r="H43" s="77">
        <f>F43*G43</f>
        <v>2.7</v>
      </c>
      <c r="I43" s="496" t="s">
        <v>97</v>
      </c>
      <c r="J43" s="496"/>
      <c r="K43" s="78" t="s">
        <v>98</v>
      </c>
      <c r="L43" s="78"/>
      <c r="M43" s="7" t="s">
        <v>99</v>
      </c>
      <c r="N43" s="7"/>
      <c r="O43" s="99">
        <f>O42+1</f>
        <v>4</v>
      </c>
      <c r="P43" s="99">
        <f t="shared" si="10"/>
        <v>0.75</v>
      </c>
      <c r="Q43" s="76">
        <f>P43</f>
        <v>0.75</v>
      </c>
      <c r="R43" s="77">
        <f>VLOOKUP(Q43,STN_TABLE,2,FALSE)</f>
        <v>1.65</v>
      </c>
      <c r="S43" s="77">
        <v>8</v>
      </c>
      <c r="T43" s="76">
        <f>R43*S43</f>
        <v>13.2</v>
      </c>
      <c r="U43" s="80">
        <v>10</v>
      </c>
      <c r="V43" s="76">
        <f>R43*U43</f>
        <v>16.5</v>
      </c>
      <c r="W43" s="496" t="s">
        <v>97</v>
      </c>
      <c r="X43" s="496"/>
      <c r="Y43" s="496" t="s">
        <v>98</v>
      </c>
      <c r="Z43" s="496"/>
      <c r="AA43" s="494" t="s">
        <v>99</v>
      </c>
      <c r="AB43" s="494"/>
      <c r="AC43" s="99">
        <f>AC38+1</f>
        <v>3</v>
      </c>
      <c r="AD43" s="95">
        <f>VLOOKUP(AC43,STN_TABLE_2,2,FALSE)</f>
        <v>0.5</v>
      </c>
      <c r="AE43" s="68">
        <f>VLOOKUP(AD43,STN_TABLE,2,FALSE)</f>
        <v>1.35</v>
      </c>
      <c r="AF43" s="68">
        <v>1</v>
      </c>
      <c r="AG43" s="69">
        <f>AE43*AF43</f>
        <v>1.35</v>
      </c>
      <c r="AH43" s="496" t="s">
        <v>97</v>
      </c>
      <c r="AI43" s="496"/>
      <c r="AJ43" s="496" t="s">
        <v>98</v>
      </c>
      <c r="AK43" s="496"/>
      <c r="AL43" s="494" t="s">
        <v>99</v>
      </c>
      <c r="AM43" s="494"/>
      <c r="AP43" s="86" t="s">
        <v>112</v>
      </c>
      <c r="AQ43" s="89" t="s">
        <v>113</v>
      </c>
      <c r="AR43" s="89" t="s">
        <v>114</v>
      </c>
      <c r="AS43" s="89" t="s">
        <v>115</v>
      </c>
      <c r="AU43" s="81"/>
    </row>
    <row r="44" spans="1:47" x14ac:dyDescent="0.25">
      <c r="A44" s="94">
        <f>A43+1</f>
        <v>3</v>
      </c>
      <c r="B44" s="94">
        <f t="shared" si="11"/>
        <v>0.5</v>
      </c>
      <c r="C44" s="88">
        <f>B45</f>
        <v>0.75</v>
      </c>
      <c r="D44" s="82">
        <f>VLOOKUP(C44,STN_TABLE,2,FALSE)</f>
        <v>1.65</v>
      </c>
      <c r="E44" s="92">
        <v>1</v>
      </c>
      <c r="F44" s="82">
        <f>D44*E44</f>
        <v>1.65</v>
      </c>
      <c r="G44" s="83">
        <f>C44</f>
        <v>0.75</v>
      </c>
      <c r="H44" s="83">
        <f>F44*G44</f>
        <v>1.2374999999999998</v>
      </c>
      <c r="I44" s="84" t="str">
        <f>CONCATENATE("a'(",C44,")=")</f>
        <v>a'(0.75)=</v>
      </c>
      <c r="J44" s="84">
        <f>2*J42/3*F45</f>
        <v>2.68</v>
      </c>
      <c r="K44" s="84" t="str">
        <f>CONCATENATE("A(",C42,")=")</f>
        <v>A(0.25)=</v>
      </c>
      <c r="L44" s="84">
        <f>VLOOKUP(C42,STN_TABLE,3,FALSE)</f>
        <v>0.75583333333333336</v>
      </c>
      <c r="M44" t="str">
        <f>CONCATENATE("A(",C44,")=")</f>
        <v>A(0.75)=</v>
      </c>
      <c r="N44">
        <f>J44+L44</f>
        <v>3.4358333333333335</v>
      </c>
      <c r="O44" s="99">
        <f>O43+1</f>
        <v>5</v>
      </c>
      <c r="P44" s="99">
        <f t="shared" si="10"/>
        <v>1</v>
      </c>
      <c r="Q44" s="82">
        <f>IF(P44-P43=P43-P42,P44,IF(P45-P43=P43-P42,P45,IF(P44-P43=P43-P41,P44,IF(P45-P43=P43-P41,P45,"-"))))</f>
        <v>1</v>
      </c>
      <c r="R44" s="83">
        <f>VLOOKUP(Q44,STN_TABLE,2,FALSE)</f>
        <v>1.89</v>
      </c>
      <c r="S44" s="83">
        <v>-1</v>
      </c>
      <c r="T44" s="82">
        <f>R44*S44</f>
        <v>-1.89</v>
      </c>
      <c r="U44" s="88">
        <v>-1</v>
      </c>
      <c r="V44" s="82">
        <f>R44*U44</f>
        <v>-1.89</v>
      </c>
      <c r="W44" s="84" t="str">
        <f>CONCATENATE("a'(",Q43,")=")</f>
        <v>a'(0.75)=</v>
      </c>
      <c r="X44" s="84">
        <f>2*X42/12*T45</f>
        <v>1.5049999999999999</v>
      </c>
      <c r="Y44" s="84" t="str">
        <f>CONCATENATE("A(",Q42,")=")</f>
        <v>A(0.5)=</v>
      </c>
      <c r="Z44" s="84">
        <f>VLOOKUP(Q42,STN_TABLE,3,FALSE)</f>
        <v>1.9366666666666668</v>
      </c>
      <c r="AA44" t="str">
        <f>CONCATENATE("A(",Q43,")=")</f>
        <v>A(0.75)=</v>
      </c>
      <c r="AB44">
        <f>X44+Z44</f>
        <v>3.4416666666666664</v>
      </c>
      <c r="AC44" s="99">
        <f>AC43+1</f>
        <v>4</v>
      </c>
      <c r="AD44" s="100">
        <f>VLOOKUP(AC44,STN_TABLE_2,2,FALSE)</f>
        <v>0.75</v>
      </c>
      <c r="AE44" s="82">
        <f>VLOOKUP(AD44,STN_TABLE,2,FALSE)</f>
        <v>1.65</v>
      </c>
      <c r="AF44" s="82">
        <v>2</v>
      </c>
      <c r="AG44" s="83">
        <f>AE44*AF44</f>
        <v>3.3</v>
      </c>
      <c r="AH44" s="84" t="str">
        <f>CONCATENATE("a'(",AD44,")=")</f>
        <v>a'(0.75)=</v>
      </c>
      <c r="AI44" s="84">
        <f>2*AI42/2*AE45</f>
        <v>1.5</v>
      </c>
      <c r="AJ44" s="84" t="str">
        <f>CONCATENATE("A(",AD43,")=")</f>
        <v>A(0.5)=</v>
      </c>
      <c r="AK44" s="84">
        <f>VLOOKUP(AD43,STN_TABLE,3,FALSE)</f>
        <v>1.9366666666666668</v>
      </c>
      <c r="AL44" t="str">
        <f>CONCATENATE("A(",AD44,")=")</f>
        <v>A(0.75)=</v>
      </c>
      <c r="AM44">
        <f>AI44+AK44</f>
        <v>3.4366666666666665</v>
      </c>
      <c r="AO44" s="68" t="str">
        <f>AA44</f>
        <v>A(0.75)=</v>
      </c>
      <c r="AP44" s="68" t="e">
        <f>VLOOKUP(AO44,Rise_Results,2,FALSE)</f>
        <v>#N/A</v>
      </c>
      <c r="AQ44" s="76">
        <f>N44</f>
        <v>3.4358333333333335</v>
      </c>
      <c r="AR44" s="76">
        <f>IF(OR(AB44&lt;=0,AB45&lt;=0),1/0,AB44)</f>
        <v>3.4416666666666664</v>
      </c>
      <c r="AS44" s="76">
        <f>AM44</f>
        <v>3.4366666666666665</v>
      </c>
      <c r="AT44">
        <f>IFERROR(AP44,IFERROR(AQ44,IFERROR(AR44,AS44)))</f>
        <v>3.4358333333333335</v>
      </c>
      <c r="AU44" s="81"/>
    </row>
    <row r="45" spans="1:47" x14ac:dyDescent="0.25">
      <c r="A45" s="94">
        <f>A44+1</f>
        <v>4</v>
      </c>
      <c r="B45" s="94">
        <f t="shared" si="11"/>
        <v>0.75</v>
      </c>
      <c r="F45" s="82">
        <f>SUM(F42:F44)</f>
        <v>8.0400000000000009</v>
      </c>
      <c r="H45" s="82">
        <f>SUM(H42:H44)</f>
        <v>4.1850000000000005</v>
      </c>
      <c r="I45" s="84" t="str">
        <f>CONCATENATE("m'(",C44,")=")</f>
        <v>m'(0.75)=</v>
      </c>
      <c r="J45" s="84">
        <f>2*(J42*(WLS))/3*H45</f>
        <v>2.79</v>
      </c>
      <c r="K45" s="84" t="str">
        <f>CONCATENATE("M(",C42,")=")</f>
        <v>M(0.25)=</v>
      </c>
      <c r="L45" s="84">
        <f>VLOOKUP(C42,STN_TABLE,4,FALSE)</f>
        <v>0.20937500000000001</v>
      </c>
      <c r="M45" t="str">
        <f>CONCATENATE("M(",C44,")=")</f>
        <v>M(0.75)=</v>
      </c>
      <c r="N45">
        <f>J45+L45</f>
        <v>2.9993750000000001</v>
      </c>
      <c r="O45" s="99">
        <f>O44+1</f>
        <v>6</v>
      </c>
      <c r="P45" s="99">
        <f t="shared" si="10"/>
        <v>2</v>
      </c>
      <c r="T45" s="89">
        <f>SUM(T42:T44)</f>
        <v>18.059999999999999</v>
      </c>
      <c r="V45" s="82">
        <f>SUM(V42:V44)</f>
        <v>18.66</v>
      </c>
      <c r="W45" s="84" t="str">
        <f>CONCATENATE("m'(",Q43,")=")</f>
        <v>m'(0.75)=</v>
      </c>
      <c r="X45" s="84">
        <f>(2*(X42^2)/24*V45)+(X44*Q42*WLS)</f>
        <v>1.8937499999999998</v>
      </c>
      <c r="Y45" s="84" t="str">
        <f>CONCATENATE("M(",Q42,")=")</f>
        <v>M(0.5)=</v>
      </c>
      <c r="Z45" s="84">
        <f>VLOOKUP(Q42,STN_TABLE,4,FALSE)</f>
        <v>1.1099999999999999</v>
      </c>
      <c r="AA45" t="str">
        <f>CONCATENATE("M(",Q43,")=")</f>
        <v>M(0.75)=</v>
      </c>
      <c r="AB45">
        <f>X45+Z45</f>
        <v>3.0037499999999997</v>
      </c>
      <c r="AE45" s="89">
        <f>SUM(AE43:AE44)</f>
        <v>3</v>
      </c>
      <c r="AG45" s="89">
        <f>SUM(AG43:AG44)</f>
        <v>4.6500000000000004</v>
      </c>
      <c r="AH45" s="84" t="str">
        <f>CONCATENATE("m'(",AD44,")=")</f>
        <v>m'(0.75)=</v>
      </c>
      <c r="AI45" s="84">
        <f>(2*(AI42^2)/6*AG45)+(AI44*AD43*WLS)</f>
        <v>1.8875</v>
      </c>
      <c r="AJ45" s="84" t="str">
        <f>CONCATENATE("M(",AD43,")=")</f>
        <v>M(0.5)=</v>
      </c>
      <c r="AK45" s="84">
        <f>VLOOKUP(AD43,STN_TABLE,4,FALSE)</f>
        <v>1.1099999999999999</v>
      </c>
      <c r="AL45" t="str">
        <f>CONCATENATE("M(",AD44,")=")</f>
        <v>M(0.75)=</v>
      </c>
      <c r="AM45">
        <f>AI45+AK45</f>
        <v>2.9974999999999996</v>
      </c>
      <c r="AO45" s="82" t="str">
        <f>AA45</f>
        <v>M(0.75)=</v>
      </c>
      <c r="AP45" s="82" t="e">
        <f>VLOOKUP(AO45,Rise_Results,2,FALSE)</f>
        <v>#N/A</v>
      </c>
      <c r="AQ45" s="82">
        <f>N45</f>
        <v>2.9993750000000001</v>
      </c>
      <c r="AR45" s="82">
        <f>IF(OR(AB44&lt;=0,AB45&lt;=0),1/0,AB45)</f>
        <v>3.0037499999999997</v>
      </c>
      <c r="AS45" s="82">
        <f>AM45</f>
        <v>2.9974999999999996</v>
      </c>
      <c r="AT45">
        <f>IFERROR(AP45,IFERROR(AQ45,IFERROR(AR45,AS45)))</f>
        <v>2.9993750000000001</v>
      </c>
      <c r="AU45" s="81"/>
    </row>
    <row r="46" spans="1:47" x14ac:dyDescent="0.25">
      <c r="A46" s="101">
        <f>A41+1</f>
        <v>1</v>
      </c>
      <c r="B46" s="101">
        <f t="shared" si="11"/>
        <v>0</v>
      </c>
      <c r="O46" s="101">
        <f>O41+1</f>
        <v>3</v>
      </c>
      <c r="P46" s="101">
        <f t="shared" si="10"/>
        <v>0.5</v>
      </c>
      <c r="AU46" s="81"/>
    </row>
    <row r="47" spans="1:47" x14ac:dyDescent="0.25">
      <c r="A47" s="84">
        <f>A46+1</f>
        <v>2</v>
      </c>
      <c r="B47" s="84">
        <f t="shared" si="11"/>
        <v>0.25</v>
      </c>
      <c r="C47" s="79">
        <f>IF(C48=B49,IF(C49-C48=C48-B48,B48,IF(C49-C48=C48-B47,B47,"#NA")),IF(C48=B48,IF(C49-C48=C48-B47,B47,IF(C49-C48=C48-B46,B46,"#NA")),"#NA"))</f>
        <v>0.5</v>
      </c>
      <c r="D47" s="68">
        <f>VLOOKUP(C47,STN_TABLE,2,FALSE)</f>
        <v>1.35</v>
      </c>
      <c r="E47" s="102">
        <v>1</v>
      </c>
      <c r="F47" s="68">
        <f>D47*E47</f>
        <v>1.35</v>
      </c>
      <c r="G47" s="69">
        <f>C47</f>
        <v>0.5</v>
      </c>
      <c r="H47" s="69">
        <f>F47*G47</f>
        <v>0.67500000000000004</v>
      </c>
      <c r="I47" s="6" t="s">
        <v>93</v>
      </c>
      <c r="J47" s="70">
        <f>IF(OR(D47=0,D48=0,D49=0),"#NA",IF(AND(C49-C48=C48-C47,C48&lt;&gt;C49,C47&lt;&gt;C48,C47&lt;&gt;C49,D49&lt;&gt;0,OR(D47&lt;&gt;0,D48&lt;&gt;0)),WLS*(C49-C48),"#NA"))</f>
        <v>0.5</v>
      </c>
      <c r="O47" s="99">
        <f>O46+1</f>
        <v>4</v>
      </c>
      <c r="P47" s="99">
        <f t="shared" si="10"/>
        <v>0.75</v>
      </c>
      <c r="Q47" s="68" t="str">
        <f>IF(OR(P49-P48=P48-P47,P50-P48=P48-P47),P47,IF(OR(P49-P48=P48-P46,P50-P48=P48-P46),P46,"-"))</f>
        <v>-</v>
      </c>
      <c r="R47" s="69" t="e">
        <f>VLOOKUP(Q47,STN_TABLE,2,FALSE)</f>
        <v>#N/A</v>
      </c>
      <c r="S47" s="69">
        <v>5</v>
      </c>
      <c r="T47" s="68" t="e">
        <f>R47*S47</f>
        <v>#N/A</v>
      </c>
      <c r="U47" s="79">
        <v>3</v>
      </c>
      <c r="V47" s="68" t="e">
        <f>R47*U47</f>
        <v>#N/A</v>
      </c>
      <c r="W47" s="6" t="s">
        <v>93</v>
      </c>
      <c r="X47" s="70" t="e">
        <f>IF(AND(Q49-Q48=Q48-Q47,NOT(AND(Q47=0,Q48=0)),NOT(AND(Q48=0,Q49=0))),WLS*(Q49-Q48),"#NA")</f>
        <v>#VALUE!</v>
      </c>
      <c r="AD47" s="93"/>
      <c r="AH47" s="6" t="s">
        <v>93</v>
      </c>
      <c r="AI47" s="70">
        <f>WLS*(AD49-AD48)</f>
        <v>0.5</v>
      </c>
      <c r="AU47" s="81"/>
    </row>
    <row r="48" spans="1:47" x14ac:dyDescent="0.25">
      <c r="A48" s="84">
        <f>A47+1</f>
        <v>3</v>
      </c>
      <c r="B48" s="84">
        <f t="shared" si="11"/>
        <v>0.5</v>
      </c>
      <c r="C48" s="80">
        <f>IF(OR(B50-B49=B49-B48,B50-B49=B49-B47,B50-B49=B49-B46),B49,IF(OR(B50-B48=B48-B47,B50-B48=B48-B46),B48,IF(B50-B47=B47-B46,B47,"#NA")))</f>
        <v>0.75</v>
      </c>
      <c r="D48" s="76">
        <f>VLOOKUP(C48,STN_TABLE,2,FALSE)</f>
        <v>1.65</v>
      </c>
      <c r="E48" s="81">
        <v>4</v>
      </c>
      <c r="F48" s="76">
        <f>D48*E48</f>
        <v>6.6</v>
      </c>
      <c r="G48" s="77">
        <f>C48</f>
        <v>0.75</v>
      </c>
      <c r="H48" s="77">
        <f>F48*G48</f>
        <v>4.9499999999999993</v>
      </c>
      <c r="I48" s="496" t="s">
        <v>97</v>
      </c>
      <c r="J48" s="496"/>
      <c r="K48" s="78" t="s">
        <v>98</v>
      </c>
      <c r="L48" s="78"/>
      <c r="M48" s="7" t="s">
        <v>99</v>
      </c>
      <c r="N48" s="7"/>
      <c r="O48" s="99">
        <f>O47+1</f>
        <v>5</v>
      </c>
      <c r="P48" s="99">
        <f t="shared" si="10"/>
        <v>1</v>
      </c>
      <c r="Q48" s="76">
        <f>P48</f>
        <v>1</v>
      </c>
      <c r="R48" s="77">
        <f>VLOOKUP(Q48,STN_TABLE,2,FALSE)</f>
        <v>1.89</v>
      </c>
      <c r="S48" s="77">
        <v>8</v>
      </c>
      <c r="T48" s="76">
        <f>R48*S48</f>
        <v>15.12</v>
      </c>
      <c r="U48" s="80">
        <v>10</v>
      </c>
      <c r="V48" s="76">
        <f>R48*U48</f>
        <v>18.899999999999999</v>
      </c>
      <c r="W48" s="496" t="s">
        <v>97</v>
      </c>
      <c r="X48" s="496"/>
      <c r="Y48" s="496" t="s">
        <v>98</v>
      </c>
      <c r="Z48" s="496"/>
      <c r="AA48" s="494" t="s">
        <v>99</v>
      </c>
      <c r="AB48" s="494"/>
      <c r="AC48" s="99">
        <f>AC43+1</f>
        <v>4</v>
      </c>
      <c r="AD48" s="95">
        <f>VLOOKUP(AC48,STN_TABLE_2,2,FALSE)</f>
        <v>0.75</v>
      </c>
      <c r="AE48" s="68">
        <f>VLOOKUP(AD48,STN_TABLE,2,FALSE)</f>
        <v>1.65</v>
      </c>
      <c r="AF48" s="68">
        <v>1</v>
      </c>
      <c r="AG48" s="69">
        <f>AE48*AF48</f>
        <v>1.65</v>
      </c>
      <c r="AH48" s="496" t="s">
        <v>97</v>
      </c>
      <c r="AI48" s="496"/>
      <c r="AJ48" s="496" t="s">
        <v>98</v>
      </c>
      <c r="AK48" s="496"/>
      <c r="AL48" s="494" t="s">
        <v>99</v>
      </c>
      <c r="AM48" s="494"/>
      <c r="AP48" s="86" t="s">
        <v>112</v>
      </c>
      <c r="AQ48" s="89" t="s">
        <v>113</v>
      </c>
      <c r="AR48" s="89" t="s">
        <v>114</v>
      </c>
      <c r="AS48" s="89" t="s">
        <v>115</v>
      </c>
      <c r="AU48" s="81"/>
    </row>
    <row r="49" spans="1:47" x14ac:dyDescent="0.25">
      <c r="A49" s="84">
        <f>A48+1</f>
        <v>4</v>
      </c>
      <c r="B49" s="84">
        <f t="shared" si="11"/>
        <v>0.75</v>
      </c>
      <c r="C49" s="88">
        <f>B50</f>
        <v>1</v>
      </c>
      <c r="D49" s="82">
        <f>VLOOKUP(C49,STN_TABLE,2,FALSE)</f>
        <v>1.89</v>
      </c>
      <c r="E49" s="92">
        <v>1</v>
      </c>
      <c r="F49" s="82">
        <f>D49*E49</f>
        <v>1.89</v>
      </c>
      <c r="G49" s="83">
        <f>C49</f>
        <v>1</v>
      </c>
      <c r="H49" s="83">
        <f>F49*G49</f>
        <v>1.89</v>
      </c>
      <c r="I49" s="84" t="str">
        <f>CONCATENATE("a'(",C49,")=")</f>
        <v>a'(1)=</v>
      </c>
      <c r="J49" s="84">
        <f>2*J47/3*F50</f>
        <v>3.28</v>
      </c>
      <c r="K49" s="84" t="str">
        <f>CONCATENATE("A(",C47,")=")</f>
        <v>A(0.5)=</v>
      </c>
      <c r="L49" s="84">
        <f>VLOOKUP(C47,STN_TABLE,3,FALSE)</f>
        <v>1.9366666666666668</v>
      </c>
      <c r="M49" t="str">
        <f>CONCATENATE("A(",C49,")=")</f>
        <v>A(1)=</v>
      </c>
      <c r="N49">
        <f>J49+L49</f>
        <v>5.2166666666666668</v>
      </c>
      <c r="O49" s="99">
        <f>O48+1</f>
        <v>6</v>
      </c>
      <c r="P49" s="99">
        <f t="shared" si="10"/>
        <v>2</v>
      </c>
      <c r="Q49" s="82" t="str">
        <f>IF(P49-P48=P48-P47,P49,IF(P50-P48=P48-P47,P50,IF(P49-P48=P48-P46,P49,IF(P50-P48=P48-P46,P50,"-"))))</f>
        <v>-</v>
      </c>
      <c r="R49" s="83" t="e">
        <f>VLOOKUP(Q49,STN_TABLE,2,FALSE)</f>
        <v>#N/A</v>
      </c>
      <c r="S49" s="83">
        <v>-1</v>
      </c>
      <c r="T49" s="82" t="e">
        <f>R49*S49</f>
        <v>#N/A</v>
      </c>
      <c r="U49" s="88">
        <v>-1</v>
      </c>
      <c r="V49" s="82" t="e">
        <f>R49*U49</f>
        <v>#N/A</v>
      </c>
      <c r="W49" s="84" t="str">
        <f>CONCATENATE("a'(",Q48,")=")</f>
        <v>a'(1)=</v>
      </c>
      <c r="X49" s="84" t="e">
        <f>2*X47/12*T50</f>
        <v>#VALUE!</v>
      </c>
      <c r="Y49" s="84" t="str">
        <f>CONCATENATE("A(",Q47,")=")</f>
        <v>A(-)=</v>
      </c>
      <c r="Z49" s="84" t="e">
        <f>VLOOKUP(Q47,STN_TABLE,3,FALSE)</f>
        <v>#N/A</v>
      </c>
      <c r="AA49" t="str">
        <f>CONCATENATE("A(",Q48,")=")</f>
        <v>A(1)=</v>
      </c>
      <c r="AB49" t="e">
        <f>X49+Z49</f>
        <v>#VALUE!</v>
      </c>
      <c r="AC49" s="99">
        <f>AC48+1</f>
        <v>5</v>
      </c>
      <c r="AD49" s="100">
        <f>VLOOKUP(AC49,STN_TABLE_2,2,FALSE)</f>
        <v>1</v>
      </c>
      <c r="AE49" s="82">
        <f>VLOOKUP(AD49,STN_TABLE,2,FALSE)</f>
        <v>1.89</v>
      </c>
      <c r="AF49" s="82">
        <v>2</v>
      </c>
      <c r="AG49" s="83">
        <f>AE49*AF49</f>
        <v>3.78</v>
      </c>
      <c r="AH49" s="84" t="str">
        <f>CONCATENATE("a'(",AD49,")=")</f>
        <v>a'(1)=</v>
      </c>
      <c r="AI49" s="84">
        <f>2*AI47/2*AE50</f>
        <v>1.77</v>
      </c>
      <c r="AJ49" s="84" t="str">
        <f>CONCATENATE("A(",AD48,")=")</f>
        <v>A(0.75)=</v>
      </c>
      <c r="AK49" s="84">
        <f>VLOOKUP(AD48,STN_TABLE,3,FALSE)</f>
        <v>3.4358333333333335</v>
      </c>
      <c r="AL49" t="str">
        <f>CONCATENATE("A(",AD49,")=")</f>
        <v>A(1)=</v>
      </c>
      <c r="AM49">
        <f>AI49+AK49</f>
        <v>5.2058333333333335</v>
      </c>
      <c r="AO49" s="68" t="str">
        <f>AA49</f>
        <v>A(1)=</v>
      </c>
      <c r="AP49" s="68" t="e">
        <f>VLOOKUP(AO49,Rise_Results,2,FALSE)</f>
        <v>#N/A</v>
      </c>
      <c r="AQ49" s="76">
        <f>N49</f>
        <v>5.2166666666666668</v>
      </c>
      <c r="AR49" s="76" t="e">
        <f>IF(OR(AB49&lt;=0,AB50&lt;=0),1/0,AB49)</f>
        <v>#VALUE!</v>
      </c>
      <c r="AS49" s="76">
        <f>AM49</f>
        <v>5.2058333333333335</v>
      </c>
      <c r="AT49">
        <f>IFERROR(AP49,IFERROR(AQ49,IFERROR(AR49,AS49)))</f>
        <v>5.2166666666666668</v>
      </c>
      <c r="AU49" s="81"/>
    </row>
    <row r="50" spans="1:47" x14ac:dyDescent="0.25">
      <c r="A50" s="84">
        <f>A49+1</f>
        <v>5</v>
      </c>
      <c r="B50" s="84">
        <f t="shared" si="11"/>
        <v>1</v>
      </c>
      <c r="F50" s="82">
        <f>SUM(F47:F49)</f>
        <v>9.84</v>
      </c>
      <c r="H50" s="82">
        <f>SUM(H47:H49)</f>
        <v>7.5149999999999988</v>
      </c>
      <c r="I50" s="84" t="str">
        <f>CONCATENATE("m'(",C49,")=")</f>
        <v>m'(1)=</v>
      </c>
      <c r="J50" s="84">
        <f>2*(J47*(WLS))/3*H50</f>
        <v>5.0099999999999989</v>
      </c>
      <c r="K50" s="84" t="str">
        <f>CONCATENATE("M(",C47,")=")</f>
        <v>M(0.5)=</v>
      </c>
      <c r="L50" s="84">
        <f>VLOOKUP(C47,STN_TABLE,4,FALSE)</f>
        <v>1.1099999999999999</v>
      </c>
      <c r="M50" t="str">
        <f>CONCATENATE("M(",C49,")=")</f>
        <v>M(1)=</v>
      </c>
      <c r="N50">
        <f>J50+L50</f>
        <v>6.1199999999999992</v>
      </c>
      <c r="O50" s="99">
        <f>O49+1</f>
        <v>7</v>
      </c>
      <c r="P50" s="99">
        <f t="shared" si="10"/>
        <v>3</v>
      </c>
      <c r="T50" s="89" t="e">
        <f>SUM(T47:T49)</f>
        <v>#N/A</v>
      </c>
      <c r="V50" s="82" t="e">
        <f>SUM(V47:V49)</f>
        <v>#N/A</v>
      </c>
      <c r="W50" s="84" t="str">
        <f>CONCATENATE("m'(",Q48,")=")</f>
        <v>m'(1)=</v>
      </c>
      <c r="X50" s="84" t="e">
        <f>(2*(X47^2)/24*V50)+(X49*Q47*WLS)</f>
        <v>#VALUE!</v>
      </c>
      <c r="Y50" s="84" t="str">
        <f>CONCATENATE("M(",Q47,")=")</f>
        <v>M(-)=</v>
      </c>
      <c r="Z50" s="84" t="e">
        <f>VLOOKUP(Q47,STN_TABLE,4,FALSE)</f>
        <v>#N/A</v>
      </c>
      <c r="AA50" t="str">
        <f>CONCATENATE("M(",Q48,")=")</f>
        <v>M(1)=</v>
      </c>
      <c r="AB50" t="e">
        <f>X50+Z50</f>
        <v>#VALUE!</v>
      </c>
      <c r="AE50" s="89">
        <f>SUM(AE48:AE49)</f>
        <v>3.54</v>
      </c>
      <c r="AG50" s="89">
        <f>SUM(AG48:AG49)</f>
        <v>5.43</v>
      </c>
      <c r="AH50" s="84" t="str">
        <f>CONCATENATE("m'(",AD49,")=")</f>
        <v>m'(1)=</v>
      </c>
      <c r="AI50" s="84">
        <f>(2*(AI47^2)/6*AG50)+(AI49*AD48*WLS)</f>
        <v>3.1075000000000004</v>
      </c>
      <c r="AJ50" s="84" t="str">
        <f>CONCATENATE("M(",AD48,")=")</f>
        <v>M(0.75)=</v>
      </c>
      <c r="AK50" s="84">
        <f>VLOOKUP(AD48,STN_TABLE,4,FALSE)</f>
        <v>2.9993750000000001</v>
      </c>
      <c r="AL50" t="str">
        <f>CONCATENATE("M(",AD49,")=")</f>
        <v>M(1)=</v>
      </c>
      <c r="AM50">
        <f>AI50+AK50</f>
        <v>6.1068750000000005</v>
      </c>
      <c r="AO50" s="82" t="str">
        <f>AA50</f>
        <v>M(1)=</v>
      </c>
      <c r="AP50" s="82" t="e">
        <f>VLOOKUP(AO50,Rise_Results,2,FALSE)</f>
        <v>#N/A</v>
      </c>
      <c r="AQ50" s="82">
        <f>N50</f>
        <v>6.1199999999999992</v>
      </c>
      <c r="AR50" s="82" t="e">
        <f>IF(OR(AB49&lt;=0,AB50&lt;=0),1/0,AB50)</f>
        <v>#VALUE!</v>
      </c>
      <c r="AS50" s="82">
        <f>AM50</f>
        <v>6.1068750000000005</v>
      </c>
      <c r="AT50">
        <f>IFERROR(AP50,IFERROR(AQ50,IFERROR(AR50,AS50)))</f>
        <v>6.1199999999999992</v>
      </c>
      <c r="AU50" s="81"/>
    </row>
    <row r="51" spans="1:47" x14ac:dyDescent="0.25">
      <c r="A51" s="101">
        <f>A46+1</f>
        <v>2</v>
      </c>
      <c r="B51" s="101">
        <f t="shared" si="11"/>
        <v>0.25</v>
      </c>
      <c r="O51" s="101">
        <f>O46+1</f>
        <v>4</v>
      </c>
      <c r="P51" s="101">
        <f t="shared" si="10"/>
        <v>0.75</v>
      </c>
      <c r="AU51" s="81"/>
    </row>
    <row r="52" spans="1:47" x14ac:dyDescent="0.25">
      <c r="A52" s="84">
        <f>A51+1</f>
        <v>3</v>
      </c>
      <c r="B52" s="84">
        <f t="shared" si="11"/>
        <v>0.5</v>
      </c>
      <c r="C52" s="79" t="str">
        <f t="shared" ref="C52" si="12">IF(C53=B54,IF(C54-C53=C53-B53,B53,IF(C54-C53=C53-B52,B52,"#NA")),IF(C53=B53,IF(C54-C53=C53-B52,B52,IF(C54-C53=C53-B51,B51,"#NA")),"#NA"))</f>
        <v>#NA</v>
      </c>
      <c r="D52" s="68" t="e">
        <f>VLOOKUP(C52,STN_TABLE,2,FALSE)</f>
        <v>#N/A</v>
      </c>
      <c r="E52" s="102">
        <v>1</v>
      </c>
      <c r="F52" s="68" t="e">
        <f>D52*E52</f>
        <v>#N/A</v>
      </c>
      <c r="G52" s="69" t="str">
        <f>C52</f>
        <v>#NA</v>
      </c>
      <c r="H52" s="69" t="e">
        <f>F52*G52</f>
        <v>#N/A</v>
      </c>
      <c r="I52" s="6" t="s">
        <v>93</v>
      </c>
      <c r="J52" s="70" t="e">
        <f>IF(OR(D52=0,D53=0,D54=0),"#NA",IF(AND(C54-C53=C53-C52,C53&lt;&gt;C54,C52&lt;&gt;C53,C52&lt;&gt;C54,D54&lt;&gt;0,OR(D52&lt;&gt;0,D53&lt;&gt;0)),WLS*(C54-C53),"#NA"))</f>
        <v>#N/A</v>
      </c>
      <c r="O52" s="99">
        <f>O51+1</f>
        <v>5</v>
      </c>
      <c r="P52" s="99">
        <f t="shared" si="10"/>
        <v>1</v>
      </c>
      <c r="Q52" s="68">
        <f>IF(OR(P54-P53=P53-P52,P55-P53=P53-P52),P52,IF(OR(P54-P53=P53-P51,P55-P53=P53-P51),P51,"-"))</f>
        <v>1</v>
      </c>
      <c r="R52" s="69">
        <f>VLOOKUP(Q52,STN_TABLE,2,FALSE)</f>
        <v>1.89</v>
      </c>
      <c r="S52" s="69">
        <v>5</v>
      </c>
      <c r="T52" s="68">
        <f>R52*S52</f>
        <v>9.4499999999999993</v>
      </c>
      <c r="U52" s="79">
        <v>3</v>
      </c>
      <c r="V52" s="68">
        <f>R52*U52</f>
        <v>5.67</v>
      </c>
      <c r="W52" s="6" t="s">
        <v>93</v>
      </c>
      <c r="X52" s="70">
        <f>IF(AND(Q54-Q53=Q53-Q52,NOT(AND(Q52=0,Q53=0)),NOT(AND(Q53=0,Q54=0))),WLS*(Q54-Q53),"#NA")</f>
        <v>2</v>
      </c>
      <c r="AD52" s="93"/>
      <c r="AH52" s="6" t="s">
        <v>93</v>
      </c>
      <c r="AI52" s="70">
        <f>WLS*(AD54-AD53)</f>
        <v>2</v>
      </c>
      <c r="AU52" s="81"/>
    </row>
    <row r="53" spans="1:47" x14ac:dyDescent="0.25">
      <c r="A53" s="84">
        <f>A52+1</f>
        <v>4</v>
      </c>
      <c r="B53" s="84">
        <f t="shared" si="11"/>
        <v>0.75</v>
      </c>
      <c r="C53" s="80" t="str">
        <f t="shared" ref="C53" si="13">IF(OR(B55-B54=B54-B53,B55-B54=B54-B52,B55-B54=B54-B51),B54,IF(OR(B55-B53=B53-B52,B55-B53=B53-B51),B53,IF(B55-B52=B52-B51,B52,"#NA")))</f>
        <v>#NA</v>
      </c>
      <c r="D53" s="76" t="e">
        <f>VLOOKUP(C53,STN_TABLE,2,FALSE)</f>
        <v>#N/A</v>
      </c>
      <c r="E53" s="81">
        <v>4</v>
      </c>
      <c r="F53" s="76" t="e">
        <f>D53*E53</f>
        <v>#N/A</v>
      </c>
      <c r="G53" s="77" t="str">
        <f>C53</f>
        <v>#NA</v>
      </c>
      <c r="H53" s="77" t="e">
        <f>F53*G53</f>
        <v>#N/A</v>
      </c>
      <c r="I53" s="495" t="s">
        <v>97</v>
      </c>
      <c r="J53" s="496"/>
      <c r="K53" s="78" t="s">
        <v>98</v>
      </c>
      <c r="L53" s="78"/>
      <c r="M53" s="7" t="s">
        <v>99</v>
      </c>
      <c r="N53" s="7"/>
      <c r="O53" s="99">
        <f>O52+1</f>
        <v>6</v>
      </c>
      <c r="P53" s="99">
        <f t="shared" si="10"/>
        <v>2</v>
      </c>
      <c r="Q53" s="76">
        <f>P53</f>
        <v>2</v>
      </c>
      <c r="R53" s="77">
        <f>VLOOKUP(Q53,STN_TABLE,2,FALSE)</f>
        <v>2.81</v>
      </c>
      <c r="S53" s="77">
        <v>8</v>
      </c>
      <c r="T53" s="76">
        <f>R53*S53</f>
        <v>22.48</v>
      </c>
      <c r="U53" s="80">
        <v>10</v>
      </c>
      <c r="V53" s="76">
        <f>R53*U53</f>
        <v>28.1</v>
      </c>
      <c r="W53" s="496" t="s">
        <v>97</v>
      </c>
      <c r="X53" s="496"/>
      <c r="Y53" s="496" t="s">
        <v>98</v>
      </c>
      <c r="Z53" s="496"/>
      <c r="AA53" s="494" t="s">
        <v>99</v>
      </c>
      <c r="AB53" s="494"/>
      <c r="AC53" s="99">
        <f>AC48+1</f>
        <v>5</v>
      </c>
      <c r="AD53" s="95">
        <f>VLOOKUP(AC53,STN_TABLE_2,2,FALSE)</f>
        <v>1</v>
      </c>
      <c r="AE53" s="68">
        <f>VLOOKUP(AD53,STN_TABLE,2,FALSE)</f>
        <v>1.89</v>
      </c>
      <c r="AF53" s="68">
        <v>1</v>
      </c>
      <c r="AG53" s="69">
        <f>AE53*AF53</f>
        <v>1.89</v>
      </c>
      <c r="AH53" s="496" t="s">
        <v>97</v>
      </c>
      <c r="AI53" s="496"/>
      <c r="AJ53" s="496" t="s">
        <v>98</v>
      </c>
      <c r="AK53" s="496"/>
      <c r="AL53" s="494" t="s">
        <v>99</v>
      </c>
      <c r="AM53" s="494"/>
      <c r="AP53" s="86" t="s">
        <v>112</v>
      </c>
      <c r="AQ53" s="89" t="s">
        <v>113</v>
      </c>
      <c r="AR53" s="89" t="s">
        <v>114</v>
      </c>
      <c r="AS53" s="89" t="s">
        <v>115</v>
      </c>
      <c r="AU53" s="81"/>
    </row>
    <row r="54" spans="1:47" x14ac:dyDescent="0.25">
      <c r="A54" s="84">
        <f>A53+1</f>
        <v>5</v>
      </c>
      <c r="B54" s="84">
        <f t="shared" si="11"/>
        <v>1</v>
      </c>
      <c r="C54" s="88">
        <f t="shared" ref="C54" si="14">B55</f>
        <v>2</v>
      </c>
      <c r="D54" s="82">
        <f>VLOOKUP(C54,STN_TABLE,2,FALSE)</f>
        <v>2.81</v>
      </c>
      <c r="E54" s="92">
        <v>1</v>
      </c>
      <c r="F54" s="82">
        <f>D54*E54</f>
        <v>2.81</v>
      </c>
      <c r="G54" s="83">
        <f>C54</f>
        <v>2</v>
      </c>
      <c r="H54" s="83">
        <f>F54*G54</f>
        <v>5.62</v>
      </c>
      <c r="I54" s="84" t="str">
        <f>CONCATENATE("a'(",C54,")=")</f>
        <v>a'(2)=</v>
      </c>
      <c r="J54" s="84" t="e">
        <f>2*J52/3*F55</f>
        <v>#N/A</v>
      </c>
      <c r="K54" s="84" t="str">
        <f>CONCATENATE("A(",C52,")=")</f>
        <v>A(#NA)=</v>
      </c>
      <c r="L54" s="84" t="e">
        <f>VLOOKUP(C52,STN_TABLE,3,FALSE)</f>
        <v>#N/A</v>
      </c>
      <c r="M54" t="str">
        <f>CONCATENATE("A(",C54,")=")</f>
        <v>A(2)=</v>
      </c>
      <c r="N54" t="e">
        <f>J54+L54</f>
        <v>#N/A</v>
      </c>
      <c r="O54" s="99">
        <f>O53+1</f>
        <v>7</v>
      </c>
      <c r="P54" s="99">
        <f t="shared" si="10"/>
        <v>3</v>
      </c>
      <c r="Q54" s="82">
        <f>IF(P54-P53=P53-P52,P54,IF(P55-P53=P53-P52,P55,IF(P54-P53=P53-P51,P54,IF(P55-P53=P53-P51,P55,"-"))))</f>
        <v>3</v>
      </c>
      <c r="R54" s="83">
        <f>VLOOKUP(Q54,STN_TABLE,2,FALSE)</f>
        <v>3.86</v>
      </c>
      <c r="S54" s="83">
        <v>-1</v>
      </c>
      <c r="T54" s="82">
        <f>R54*S54</f>
        <v>-3.86</v>
      </c>
      <c r="U54" s="88">
        <v>-1</v>
      </c>
      <c r="V54" s="82">
        <f>R54*U54</f>
        <v>-3.86</v>
      </c>
      <c r="W54" s="84" t="str">
        <f>CONCATENATE("a'(",Q53,")=")</f>
        <v>a'(2)=</v>
      </c>
      <c r="X54" s="84">
        <f>2*X52/12*T55</f>
        <v>9.3566666666666656</v>
      </c>
      <c r="Y54" s="84" t="str">
        <f>CONCATENATE("A(",Q52,")=")</f>
        <v>A(1)=</v>
      </c>
      <c r="Z54" s="84">
        <f>VLOOKUP(Q52,STN_TABLE,3,FALSE)</f>
        <v>5.2166666666666668</v>
      </c>
      <c r="AA54" t="str">
        <f>CONCATENATE("A(",Q53,")=")</f>
        <v>A(2)=</v>
      </c>
      <c r="AB54">
        <f>X54+Z54</f>
        <v>14.573333333333332</v>
      </c>
      <c r="AC54" s="99">
        <f>AC53+1</f>
        <v>6</v>
      </c>
      <c r="AD54" s="100">
        <f>VLOOKUP(AC54,STN_TABLE_2,2,FALSE)</f>
        <v>2</v>
      </c>
      <c r="AE54" s="82">
        <f>VLOOKUP(AD54,STN_TABLE,2,FALSE)</f>
        <v>2.81</v>
      </c>
      <c r="AF54" s="82">
        <v>2</v>
      </c>
      <c r="AG54" s="83">
        <f>AE54*AF54</f>
        <v>5.62</v>
      </c>
      <c r="AH54" s="84" t="str">
        <f>CONCATENATE("a'(",AD54,")=")</f>
        <v>a'(2)=</v>
      </c>
      <c r="AI54" s="84">
        <f>2*AI52/2*AE55</f>
        <v>9.4</v>
      </c>
      <c r="AJ54" s="84" t="str">
        <f>CONCATENATE("A(",AD53,")=")</f>
        <v>A(1)=</v>
      </c>
      <c r="AK54" s="84">
        <f>VLOOKUP(AD53,STN_TABLE,3,FALSE)</f>
        <v>5.2166666666666668</v>
      </c>
      <c r="AL54" t="str">
        <f>CONCATENATE("A(",AD54,")=")</f>
        <v>A(2)=</v>
      </c>
      <c r="AM54">
        <f>AI54+AK54</f>
        <v>14.616666666666667</v>
      </c>
      <c r="AO54" s="68" t="str">
        <f>AA54</f>
        <v>A(2)=</v>
      </c>
      <c r="AP54" s="68" t="e">
        <f>VLOOKUP(AO54,Rise_Results,2,FALSE)</f>
        <v>#N/A</v>
      </c>
      <c r="AQ54" s="76" t="e">
        <f>N54</f>
        <v>#N/A</v>
      </c>
      <c r="AR54" s="76">
        <f>IF(OR(AB54&lt;=0,AB55&lt;=0),1/0,AB54)</f>
        <v>14.573333333333332</v>
      </c>
      <c r="AS54" s="76">
        <f>AM54</f>
        <v>14.616666666666667</v>
      </c>
      <c r="AT54">
        <f>IFERROR(AP54,IFERROR(AQ54,IFERROR(AR54,AS54)))</f>
        <v>14.573333333333332</v>
      </c>
      <c r="AU54" s="81"/>
    </row>
    <row r="55" spans="1:47" x14ac:dyDescent="0.25">
      <c r="A55" s="84">
        <f>A54+1</f>
        <v>6</v>
      </c>
      <c r="B55" s="84">
        <f t="shared" si="11"/>
        <v>2</v>
      </c>
      <c r="F55" s="82" t="e">
        <f>SUM(F52:F54)</f>
        <v>#N/A</v>
      </c>
      <c r="H55" s="82" t="e">
        <f>SUM(H52:H54)</f>
        <v>#N/A</v>
      </c>
      <c r="I55" s="84" t="str">
        <f>CONCATENATE("m'(",C54,")=")</f>
        <v>m'(2)=</v>
      </c>
      <c r="J55" s="84" t="e">
        <f>2*(J52*(WLS))/3*H55</f>
        <v>#N/A</v>
      </c>
      <c r="K55" s="84" t="str">
        <f>CONCATENATE("M(",C52,")=")</f>
        <v>M(#NA)=</v>
      </c>
      <c r="L55" s="84" t="e">
        <f>VLOOKUP(C52,STN_TABLE,4,FALSE)</f>
        <v>#N/A</v>
      </c>
      <c r="M55" t="str">
        <f>CONCATENATE("M(",C54,")=")</f>
        <v>M(2)=</v>
      </c>
      <c r="N55" t="e">
        <f>J55+L55</f>
        <v>#N/A</v>
      </c>
      <c r="O55" s="99">
        <f>O54+1</f>
        <v>8</v>
      </c>
      <c r="P55" s="99">
        <f t="shared" si="10"/>
        <v>4</v>
      </c>
      <c r="T55" s="89">
        <f>SUM(T52:T54)</f>
        <v>28.07</v>
      </c>
      <c r="V55" s="82">
        <f>SUM(V52:V54)</f>
        <v>29.910000000000004</v>
      </c>
      <c r="W55" s="84" t="str">
        <f>CONCATENATE("m'(",Q53,")=")</f>
        <v>m'(2)=</v>
      </c>
      <c r="X55" s="84">
        <f>(2*(X52^2)/24*V55)+(X54*Q52*WLS)</f>
        <v>28.68333333333333</v>
      </c>
      <c r="Y55" s="84" t="str">
        <f>CONCATENATE("M(",Q52,")=")</f>
        <v>M(1)=</v>
      </c>
      <c r="Z55" s="84">
        <f>VLOOKUP(Q52,STN_TABLE,4,FALSE)</f>
        <v>6.1199999999999992</v>
      </c>
      <c r="AA55" t="str">
        <f>CONCATENATE("M(",Q53,")=")</f>
        <v>M(2)=</v>
      </c>
      <c r="AB55">
        <f>X55+Z55</f>
        <v>34.803333333333327</v>
      </c>
      <c r="AE55" s="89">
        <f>SUM(AE53:AE54)</f>
        <v>4.7</v>
      </c>
      <c r="AG55" s="89">
        <f>SUM(AG53:AG54)</f>
        <v>7.51</v>
      </c>
      <c r="AH55" s="84" t="str">
        <f>CONCATENATE("m'(",AD54,")=")</f>
        <v>m'(2)=</v>
      </c>
      <c r="AI55" s="84">
        <f>(2*(AI52^2)/6*AG55)+(AI54*AD53*WLS)</f>
        <v>28.813333333333333</v>
      </c>
      <c r="AJ55" s="84" t="str">
        <f>CONCATENATE("M(",AD53,")=")</f>
        <v>M(1)=</v>
      </c>
      <c r="AK55" s="84">
        <f>VLOOKUP(AD53,STN_TABLE,4,FALSE)</f>
        <v>6.1199999999999992</v>
      </c>
      <c r="AL55" t="str">
        <f>CONCATENATE("M(",AD54,")=")</f>
        <v>M(2)=</v>
      </c>
      <c r="AM55">
        <f>AI55+AK55</f>
        <v>34.93333333333333</v>
      </c>
      <c r="AO55" s="82" t="str">
        <f>AA55</f>
        <v>M(2)=</v>
      </c>
      <c r="AP55" s="82" t="e">
        <f>VLOOKUP(AO55,Rise_Results,2,FALSE)</f>
        <v>#N/A</v>
      </c>
      <c r="AQ55" s="82" t="e">
        <f>N55</f>
        <v>#N/A</v>
      </c>
      <c r="AR55" s="82">
        <f>IF(OR(AB54&lt;=0,AB55&lt;=0),1/0,AB55)</f>
        <v>34.803333333333327</v>
      </c>
      <c r="AS55" s="82">
        <f>AM55</f>
        <v>34.93333333333333</v>
      </c>
      <c r="AT55">
        <f>IFERROR(AP55,IFERROR(AQ55,IFERROR(AR55,AS55)))</f>
        <v>34.803333333333327</v>
      </c>
      <c r="AU55" s="81"/>
    </row>
    <row r="56" spans="1:47" x14ac:dyDescent="0.25">
      <c r="A56" s="101">
        <f>A51+1</f>
        <v>3</v>
      </c>
      <c r="B56" s="101">
        <f t="shared" si="11"/>
        <v>0.5</v>
      </c>
      <c r="O56" s="101">
        <f>O51+1</f>
        <v>5</v>
      </c>
      <c r="P56" s="101">
        <f t="shared" si="10"/>
        <v>1</v>
      </c>
      <c r="AU56" s="81"/>
    </row>
    <row r="57" spans="1:47" x14ac:dyDescent="0.25">
      <c r="A57" s="84">
        <f>A56+1</f>
        <v>4</v>
      </c>
      <c r="B57" s="84">
        <f t="shared" si="11"/>
        <v>0.75</v>
      </c>
      <c r="C57" s="79">
        <f t="shared" ref="C57" si="15">IF(C58=B59,IF(C59-C58=C58-B58,B58,IF(C59-C58=C58-B57,B57,"#NA")),IF(C58=B58,IF(C59-C58=C58-B57,B57,IF(C59-C58=C58-B56,B56,"#NA")),"#NA"))</f>
        <v>1</v>
      </c>
      <c r="D57" s="68">
        <f>VLOOKUP(C57,STN_TABLE,2,FALSE)</f>
        <v>1.89</v>
      </c>
      <c r="E57" s="102">
        <v>1</v>
      </c>
      <c r="F57" s="68">
        <f>D57*E57</f>
        <v>1.89</v>
      </c>
      <c r="G57" s="69">
        <f>C57</f>
        <v>1</v>
      </c>
      <c r="H57" s="69">
        <f>F57*G57</f>
        <v>1.89</v>
      </c>
      <c r="I57" s="6" t="s">
        <v>93</v>
      </c>
      <c r="J57" s="70">
        <f>IF(OR(D57=0,D58=0,D59=0),"#NA",IF(AND(C59-C58=C58-C57,C58&lt;&gt;C59,C57&lt;&gt;C58,C57&lt;&gt;C59,D59&lt;&gt;0,OR(D57&lt;&gt;0,D58&lt;&gt;0)),WLS*(C59-C58),"#NA"))</f>
        <v>2</v>
      </c>
      <c r="O57" s="99">
        <f>O56+1</f>
        <v>6</v>
      </c>
      <c r="P57" s="99">
        <f t="shared" si="10"/>
        <v>2</v>
      </c>
      <c r="Q57" s="68">
        <f>IF(OR(P59-P58=P58-P57,P60-P58=P58-P57),P57,IF(OR(P59-P58=P58-P56,P60-P58=P58-P56),P56,"-"))</f>
        <v>2</v>
      </c>
      <c r="R57" s="69">
        <f>VLOOKUP(Q57,STN_TABLE,2,FALSE)</f>
        <v>2.81</v>
      </c>
      <c r="S57" s="69">
        <v>5</v>
      </c>
      <c r="T57" s="68">
        <f>R57*S57</f>
        <v>14.05</v>
      </c>
      <c r="U57" s="79">
        <v>3</v>
      </c>
      <c r="V57" s="68">
        <f>R57*U57</f>
        <v>8.43</v>
      </c>
      <c r="W57" s="6" t="s">
        <v>93</v>
      </c>
      <c r="X57" s="70">
        <f>IF(AND(Q59-Q58=Q58-Q57,NOT(AND(Q57=0,Q58=0)),NOT(AND(Q58=0,Q59=0))),WLS*(Q59-Q58),"#NA")</f>
        <v>2</v>
      </c>
      <c r="AD57" s="93"/>
      <c r="AH57" s="6" t="s">
        <v>93</v>
      </c>
      <c r="AI57" s="70">
        <f>WLS*(AD59-AD58)</f>
        <v>2</v>
      </c>
      <c r="AU57" s="81"/>
    </row>
    <row r="58" spans="1:47" x14ac:dyDescent="0.25">
      <c r="A58" s="84">
        <f>A57+1</f>
        <v>5</v>
      </c>
      <c r="B58" s="84">
        <f t="shared" si="11"/>
        <v>1</v>
      </c>
      <c r="C58" s="80">
        <f t="shared" ref="C58" si="16">IF(OR(B60-B59=B59-B58,B60-B59=B59-B57,B60-B59=B59-B56),B59,IF(OR(B60-B58=B58-B57,B60-B58=B58-B56),B58,IF(B60-B57=B57-B56,B57,"#NA")))</f>
        <v>2</v>
      </c>
      <c r="D58" s="76">
        <f>VLOOKUP(C58,STN_TABLE,2,FALSE)</f>
        <v>2.81</v>
      </c>
      <c r="E58" s="81">
        <v>4</v>
      </c>
      <c r="F58" s="76">
        <f>D58*E58</f>
        <v>11.24</v>
      </c>
      <c r="G58" s="77">
        <f>C58</f>
        <v>2</v>
      </c>
      <c r="H58" s="77">
        <f>F58*G58</f>
        <v>22.48</v>
      </c>
      <c r="I58" s="495" t="s">
        <v>97</v>
      </c>
      <c r="J58" s="496"/>
      <c r="K58" s="78" t="s">
        <v>98</v>
      </c>
      <c r="L58" s="78"/>
      <c r="M58" s="7" t="s">
        <v>99</v>
      </c>
      <c r="N58" s="7"/>
      <c r="O58" s="99">
        <f>O57+1</f>
        <v>7</v>
      </c>
      <c r="P58" s="99">
        <f t="shared" si="10"/>
        <v>3</v>
      </c>
      <c r="Q58" s="76">
        <f>P58</f>
        <v>3</v>
      </c>
      <c r="R58" s="77">
        <f>VLOOKUP(Q58,STN_TABLE,2,FALSE)</f>
        <v>3.86</v>
      </c>
      <c r="S58" s="77">
        <v>8</v>
      </c>
      <c r="T58" s="76">
        <f>R58*S58</f>
        <v>30.88</v>
      </c>
      <c r="U58" s="80">
        <v>10</v>
      </c>
      <c r="V58" s="76">
        <f>R58*U58</f>
        <v>38.6</v>
      </c>
      <c r="W58" s="78" t="s">
        <v>97</v>
      </c>
      <c r="X58" s="78"/>
      <c r="Y58" s="78" t="s">
        <v>98</v>
      </c>
      <c r="Z58" s="78"/>
      <c r="AA58" s="7" t="s">
        <v>99</v>
      </c>
      <c r="AB58" s="7"/>
      <c r="AC58" s="99">
        <f>AC53+1</f>
        <v>6</v>
      </c>
      <c r="AD58" s="95">
        <f>VLOOKUP(AC58,STN_TABLE_2,2,FALSE)</f>
        <v>2</v>
      </c>
      <c r="AE58" s="68">
        <f>VLOOKUP(AD58,STN_TABLE,2,FALSE)</f>
        <v>2.81</v>
      </c>
      <c r="AF58" s="68">
        <v>1</v>
      </c>
      <c r="AG58" s="69">
        <f>AE58*AF58</f>
        <v>2.81</v>
      </c>
      <c r="AH58" s="496" t="s">
        <v>97</v>
      </c>
      <c r="AI58" s="496"/>
      <c r="AJ58" s="496" t="s">
        <v>98</v>
      </c>
      <c r="AK58" s="496"/>
      <c r="AL58" s="494" t="s">
        <v>99</v>
      </c>
      <c r="AM58" s="494"/>
      <c r="AP58" s="86" t="s">
        <v>112</v>
      </c>
      <c r="AQ58" s="89" t="s">
        <v>113</v>
      </c>
      <c r="AR58" s="89" t="s">
        <v>114</v>
      </c>
      <c r="AS58" s="89" t="s">
        <v>115</v>
      </c>
      <c r="AU58" s="81"/>
    </row>
    <row r="59" spans="1:47" x14ac:dyDescent="0.25">
      <c r="A59" s="84">
        <f>A58+1</f>
        <v>6</v>
      </c>
      <c r="B59" s="84">
        <f t="shared" si="11"/>
        <v>2</v>
      </c>
      <c r="C59" s="88">
        <f t="shared" ref="C59" si="17">B60</f>
        <v>3</v>
      </c>
      <c r="D59" s="82">
        <f>VLOOKUP(C59,STN_TABLE,2,FALSE)</f>
        <v>3.86</v>
      </c>
      <c r="E59" s="92">
        <v>1</v>
      </c>
      <c r="F59" s="82">
        <f>D59*E59</f>
        <v>3.86</v>
      </c>
      <c r="G59" s="83">
        <f>C59</f>
        <v>3</v>
      </c>
      <c r="H59" s="83">
        <f>F59*G59</f>
        <v>11.58</v>
      </c>
      <c r="I59" s="84" t="str">
        <f>CONCATENATE("a'(",C59,")=")</f>
        <v>a'(3)=</v>
      </c>
      <c r="J59" s="84">
        <f>2*J57/3*F60</f>
        <v>22.653333333333336</v>
      </c>
      <c r="K59" s="84" t="str">
        <f>CONCATENATE("A(",C57,")=")</f>
        <v>A(1)=</v>
      </c>
      <c r="L59" s="84">
        <f>VLOOKUP(C57,STN_TABLE,3,FALSE)</f>
        <v>5.2166666666666668</v>
      </c>
      <c r="M59" t="str">
        <f>CONCATENATE("A(",C59,")=")</f>
        <v>A(3)=</v>
      </c>
      <c r="N59">
        <f>J59+L59</f>
        <v>27.870000000000005</v>
      </c>
      <c r="O59" s="99">
        <f>O58+1</f>
        <v>8</v>
      </c>
      <c r="P59" s="99">
        <f t="shared" si="10"/>
        <v>4</v>
      </c>
      <c r="Q59" s="82">
        <f>IF(P59-P58=P58-P57,P59,IF(P60-P58=P58-P57,P60,IF(P59-P58=P58-P56,P59,IF(P60-P58=P58-P56,P60,"-"))))</f>
        <v>4</v>
      </c>
      <c r="R59" s="83">
        <f>VLOOKUP(Q59,STN_TABLE,2,FALSE)</f>
        <v>5.5</v>
      </c>
      <c r="S59" s="83">
        <v>-1</v>
      </c>
      <c r="T59" s="82">
        <f>R59*S59</f>
        <v>-5.5</v>
      </c>
      <c r="U59" s="88">
        <v>-1</v>
      </c>
      <c r="V59" s="82">
        <f>R59*U59</f>
        <v>-5.5</v>
      </c>
      <c r="W59" s="84" t="str">
        <f>CONCATENATE("a'(",Q58,")=")</f>
        <v>a'(3)=</v>
      </c>
      <c r="X59" s="84">
        <f>2*X57/12*T60</f>
        <v>13.143333333333333</v>
      </c>
      <c r="Y59" s="84" t="str">
        <f>CONCATENATE("A(",Q57,")=")</f>
        <v>A(2)=</v>
      </c>
      <c r="Z59" s="84">
        <f>VLOOKUP(Q57,STN_TABLE,3,FALSE)</f>
        <v>14.573333333333332</v>
      </c>
      <c r="AA59" t="str">
        <f>CONCATENATE("A(",Q58,")=")</f>
        <v>A(3)=</v>
      </c>
      <c r="AB59">
        <f>X59+Z59</f>
        <v>27.716666666666665</v>
      </c>
      <c r="AC59" s="99">
        <f>AC58+1</f>
        <v>7</v>
      </c>
      <c r="AD59" s="100">
        <f>VLOOKUP(AC59,STN_TABLE_2,2,FALSE)</f>
        <v>3</v>
      </c>
      <c r="AE59" s="82">
        <f>VLOOKUP(AD59,STN_TABLE,2,FALSE)</f>
        <v>3.86</v>
      </c>
      <c r="AF59" s="82">
        <v>2</v>
      </c>
      <c r="AG59" s="83">
        <f>AE59*AF59</f>
        <v>7.72</v>
      </c>
      <c r="AH59" s="84" t="str">
        <f>CONCATENATE("a'(",AD59,")=")</f>
        <v>a'(3)=</v>
      </c>
      <c r="AI59" s="84">
        <f>2*AI57/2*AE60</f>
        <v>13.34</v>
      </c>
      <c r="AJ59" s="84" t="str">
        <f>CONCATENATE("A(",AD58,")=")</f>
        <v>A(2)=</v>
      </c>
      <c r="AK59" s="84">
        <f>VLOOKUP(AD58,STN_TABLE,3,FALSE)</f>
        <v>14.573333333333332</v>
      </c>
      <c r="AL59" t="str">
        <f>CONCATENATE("A(",AD59,")=")</f>
        <v>A(3)=</v>
      </c>
      <c r="AM59">
        <f>AI59+AK59</f>
        <v>27.913333333333334</v>
      </c>
      <c r="AO59" s="68" t="str">
        <f>AA59</f>
        <v>A(3)=</v>
      </c>
      <c r="AP59" s="68" t="e">
        <f>VLOOKUP(AO59,Rise_Results,2,FALSE)</f>
        <v>#N/A</v>
      </c>
      <c r="AQ59" s="76">
        <f>N59</f>
        <v>27.870000000000005</v>
      </c>
      <c r="AR59" s="76">
        <f>IF(OR(AB59&lt;=0,AB60&lt;=0),1/0,AB59)</f>
        <v>27.716666666666665</v>
      </c>
      <c r="AS59" s="76">
        <f>AM59</f>
        <v>27.913333333333334</v>
      </c>
      <c r="AT59">
        <f>IFERROR(AP59,IFERROR(AQ59,IFERROR(AR59,AS59)))</f>
        <v>27.870000000000005</v>
      </c>
      <c r="AU59" s="81"/>
    </row>
    <row r="60" spans="1:47" x14ac:dyDescent="0.25">
      <c r="A60" s="84">
        <f>A59+1</f>
        <v>7</v>
      </c>
      <c r="B60" s="84">
        <f t="shared" si="11"/>
        <v>3</v>
      </c>
      <c r="F60" s="82">
        <f>SUM(F57:F59)</f>
        <v>16.990000000000002</v>
      </c>
      <c r="H60" s="82">
        <f>SUM(H57:H59)</f>
        <v>35.950000000000003</v>
      </c>
      <c r="I60" s="84" t="str">
        <f>CONCATENATE("m'(",C59,")=")</f>
        <v>m'(3)=</v>
      </c>
      <c r="J60" s="84">
        <f>2*(J57*(WLS))/3*H60</f>
        <v>95.866666666666674</v>
      </c>
      <c r="K60" s="84" t="str">
        <f>CONCATENATE("M(",C57,")=")</f>
        <v>M(1)=</v>
      </c>
      <c r="L60" s="84">
        <f>VLOOKUP(C57,STN_TABLE,4,FALSE)</f>
        <v>6.1199999999999992</v>
      </c>
      <c r="M60" t="str">
        <f>CONCATENATE("M(",C59,")=")</f>
        <v>M(3)=</v>
      </c>
      <c r="N60">
        <f>J60+L60</f>
        <v>101.98666666666668</v>
      </c>
      <c r="O60" s="99">
        <f>O59+1</f>
        <v>9</v>
      </c>
      <c r="P60" s="99">
        <f t="shared" si="10"/>
        <v>4.8499999999999996</v>
      </c>
      <c r="T60" s="89">
        <f>SUM(T57:T59)</f>
        <v>39.43</v>
      </c>
      <c r="V60" s="82">
        <f>SUM(V57:V59)</f>
        <v>41.53</v>
      </c>
      <c r="W60" s="84" t="str">
        <f>CONCATENATE("m'(",Q58,")=")</f>
        <v>m'(3)=</v>
      </c>
      <c r="X60" s="84">
        <f>(2*(X57^2)/24*V60)+(X59*Q57*WLS)</f>
        <v>66.416666666666657</v>
      </c>
      <c r="Y60" s="84" t="str">
        <f>CONCATENATE("M(",Q57,")=")</f>
        <v>M(2)=</v>
      </c>
      <c r="Z60" s="84">
        <f>VLOOKUP(Q57,STN_TABLE,4,FALSE)</f>
        <v>34.803333333333327</v>
      </c>
      <c r="AA60" t="str">
        <f>CONCATENATE("M(",Q58,")=")</f>
        <v>M(3)=</v>
      </c>
      <c r="AB60">
        <f>X60+Z60</f>
        <v>101.21999999999998</v>
      </c>
      <c r="AE60" s="89">
        <f>SUM(AE58:AE59)</f>
        <v>6.67</v>
      </c>
      <c r="AG60" s="89">
        <f>SUM(AG58:AG59)</f>
        <v>10.53</v>
      </c>
      <c r="AH60" s="84" t="str">
        <f>CONCATENATE("m'(",AD59,")=")</f>
        <v>m'(3)=</v>
      </c>
      <c r="AI60" s="84">
        <f>(2*(AI57^2)/6*AG60)+(AI59*AD58*WLS)</f>
        <v>67.400000000000006</v>
      </c>
      <c r="AJ60" s="84" t="str">
        <f>CONCATENATE("M(",AD58,")=")</f>
        <v>M(2)=</v>
      </c>
      <c r="AK60" s="84">
        <f>VLOOKUP(AD57,STN_TABLE,4,FALSE)</f>
        <v>0</v>
      </c>
      <c r="AL60" t="str">
        <f>CONCATENATE("M(",AD59,")=")</f>
        <v>M(3)=</v>
      </c>
      <c r="AM60">
        <f>AI60+AK60</f>
        <v>67.400000000000006</v>
      </c>
      <c r="AO60" s="82" t="str">
        <f>AA60</f>
        <v>M(3)=</v>
      </c>
      <c r="AP60" s="82" t="e">
        <f>VLOOKUP(AO60,Rise_Results,2,FALSE)</f>
        <v>#N/A</v>
      </c>
      <c r="AQ60" s="82">
        <f>N60</f>
        <v>101.98666666666668</v>
      </c>
      <c r="AR60" s="82">
        <f>IF(OR(AB59&lt;=0,AB60&lt;=0),1/0,AB60)</f>
        <v>101.21999999999998</v>
      </c>
      <c r="AS60" s="82">
        <f>AM60</f>
        <v>67.400000000000006</v>
      </c>
      <c r="AT60">
        <f>IFERROR(AP60,IFERROR(AQ60,IFERROR(AR60,AS60)))</f>
        <v>101.98666666666668</v>
      </c>
      <c r="AU60" s="81"/>
    </row>
    <row r="61" spans="1:47" x14ac:dyDescent="0.25">
      <c r="A61" s="101">
        <f>A56+1</f>
        <v>4</v>
      </c>
      <c r="B61" s="101">
        <f t="shared" si="11"/>
        <v>0.75</v>
      </c>
      <c r="O61" s="101">
        <f>O56+1</f>
        <v>6</v>
      </c>
      <c r="P61" s="101">
        <f t="shared" si="10"/>
        <v>2</v>
      </c>
      <c r="AU61" s="81"/>
    </row>
    <row r="62" spans="1:47" x14ac:dyDescent="0.25">
      <c r="A62" s="84">
        <f>A61+1</f>
        <v>5</v>
      </c>
      <c r="B62" s="84">
        <f t="shared" si="11"/>
        <v>1</v>
      </c>
      <c r="C62" s="79">
        <f t="shared" ref="C62" si="18">IF(C63=B64,IF(C64-C63=C63-B63,B63,IF(C64-C63=C63-B62,B62,"#NA")),IF(C63=B63,IF(C64-C63=C63-B62,B62,IF(C64-C63=C63-B61,B61,"#NA")),"#NA"))</f>
        <v>2</v>
      </c>
      <c r="D62" s="68">
        <f>VLOOKUP(C62,STN_TABLE,2,FALSE)</f>
        <v>2.81</v>
      </c>
      <c r="E62" s="102">
        <v>1</v>
      </c>
      <c r="F62" s="68">
        <f>D62*E62</f>
        <v>2.81</v>
      </c>
      <c r="G62" s="69">
        <f>C62</f>
        <v>2</v>
      </c>
      <c r="H62" s="69">
        <f>F62*G62</f>
        <v>5.62</v>
      </c>
      <c r="I62" s="6" t="s">
        <v>93</v>
      </c>
      <c r="J62" s="70">
        <f>IF(OR(D62=0,D63=0,D64=0),"#NA",IF(AND(C64-C63=C63-C62,C63&lt;&gt;C64,C62&lt;&gt;C63,C62&lt;&gt;C64,D64&lt;&gt;0,OR(D62&lt;&gt;0,D63&lt;&gt;0)),WLS*(C64-C63),"#NA"))</f>
        <v>2</v>
      </c>
      <c r="O62" s="99">
        <f>O61+1</f>
        <v>7</v>
      </c>
      <c r="P62" s="99">
        <f t="shared" si="10"/>
        <v>3</v>
      </c>
      <c r="Q62" s="68">
        <f>IF(OR(P64-P63=P63-P62,P65-P63=P63-P62),P62,IF(OR(P64-P63=P63-P61,P65-P63=P63-P61),P61,"-"))</f>
        <v>3</v>
      </c>
      <c r="R62" s="69">
        <f>VLOOKUP(Q62,STN_TABLE,2,FALSE)</f>
        <v>3.86</v>
      </c>
      <c r="S62" s="69">
        <v>5</v>
      </c>
      <c r="T62" s="68">
        <f>R62*S62</f>
        <v>19.3</v>
      </c>
      <c r="U62" s="79">
        <v>3</v>
      </c>
      <c r="V62" s="68">
        <f>R62*U62</f>
        <v>11.58</v>
      </c>
      <c r="W62" s="6" t="s">
        <v>93</v>
      </c>
      <c r="X62" s="70">
        <f>IF(AND(Q64-Q63=Q63-Q62,NOT(AND(Q62=0,Q63=0)),NOT(AND(Q63=0,Q64=0))),WLS*(Q64-Q63),"#NA")</f>
        <v>2</v>
      </c>
      <c r="AD62" s="93"/>
      <c r="AH62" s="6" t="s">
        <v>93</v>
      </c>
      <c r="AI62" s="70">
        <f>WLS*(AD64-AD63)</f>
        <v>2</v>
      </c>
      <c r="AU62" s="81"/>
    </row>
    <row r="63" spans="1:47" x14ac:dyDescent="0.25">
      <c r="A63" s="84">
        <f>A62+1</f>
        <v>6</v>
      </c>
      <c r="B63" s="84">
        <f t="shared" si="11"/>
        <v>2</v>
      </c>
      <c r="C63" s="80">
        <f t="shared" ref="C63" si="19">IF(OR(B65-B64=B64-B63,B65-B64=B64-B62,B65-B64=B64-B61),B64,IF(OR(B65-B63=B63-B62,B65-B63=B63-B61),B63,IF(B65-B62=B62-B61,B62,"#NA")))</f>
        <v>3</v>
      </c>
      <c r="D63" s="76">
        <f>VLOOKUP(C63,STN_TABLE,2,FALSE)</f>
        <v>3.86</v>
      </c>
      <c r="E63" s="81">
        <v>4</v>
      </c>
      <c r="F63" s="76">
        <f>D63*E63</f>
        <v>15.44</v>
      </c>
      <c r="G63" s="77">
        <f>C63</f>
        <v>3</v>
      </c>
      <c r="H63" s="77">
        <f>F63*G63</f>
        <v>46.32</v>
      </c>
      <c r="I63" s="495" t="s">
        <v>97</v>
      </c>
      <c r="J63" s="496"/>
      <c r="K63" s="78" t="s">
        <v>98</v>
      </c>
      <c r="L63" s="78"/>
      <c r="M63" s="7" t="s">
        <v>99</v>
      </c>
      <c r="N63" s="7"/>
      <c r="O63" s="99">
        <f>O62+1</f>
        <v>8</v>
      </c>
      <c r="P63" s="99">
        <f t="shared" si="10"/>
        <v>4</v>
      </c>
      <c r="Q63" s="76">
        <f>P63</f>
        <v>4</v>
      </c>
      <c r="R63" s="77">
        <f>VLOOKUP(Q63,STN_TABLE,2,FALSE)</f>
        <v>5.5</v>
      </c>
      <c r="S63" s="77">
        <v>8</v>
      </c>
      <c r="T63" s="76">
        <f>R63*S63</f>
        <v>44</v>
      </c>
      <c r="U63" s="80">
        <v>10</v>
      </c>
      <c r="V63" s="76">
        <f>R63*U63</f>
        <v>55</v>
      </c>
      <c r="W63" s="496" t="s">
        <v>97</v>
      </c>
      <c r="X63" s="496"/>
      <c r="Y63" s="496" t="s">
        <v>98</v>
      </c>
      <c r="Z63" s="496"/>
      <c r="AA63" s="494" t="s">
        <v>99</v>
      </c>
      <c r="AB63" s="494"/>
      <c r="AC63" s="99">
        <f>AC58+1</f>
        <v>7</v>
      </c>
      <c r="AD63" s="95">
        <f>VLOOKUP(AC63,STN_TABLE_2,2,FALSE)</f>
        <v>3</v>
      </c>
      <c r="AE63" s="68">
        <f>VLOOKUP(AD63,STN_TABLE,2,FALSE)</f>
        <v>3.86</v>
      </c>
      <c r="AF63" s="68">
        <v>1</v>
      </c>
      <c r="AG63" s="69">
        <f>AE63*AF63</f>
        <v>3.86</v>
      </c>
      <c r="AH63" s="496" t="s">
        <v>97</v>
      </c>
      <c r="AI63" s="496"/>
      <c r="AJ63" s="496" t="s">
        <v>98</v>
      </c>
      <c r="AK63" s="496"/>
      <c r="AL63" s="494" t="s">
        <v>99</v>
      </c>
      <c r="AM63" s="494"/>
      <c r="AP63" s="86" t="s">
        <v>112</v>
      </c>
      <c r="AQ63" s="89" t="s">
        <v>113</v>
      </c>
      <c r="AR63" s="89" t="s">
        <v>114</v>
      </c>
      <c r="AS63" s="89" t="s">
        <v>115</v>
      </c>
      <c r="AU63" s="81"/>
    </row>
    <row r="64" spans="1:47" x14ac:dyDescent="0.25">
      <c r="A64" s="84">
        <f>A63+1</f>
        <v>7</v>
      </c>
      <c r="B64" s="84">
        <f t="shared" si="11"/>
        <v>3</v>
      </c>
      <c r="C64" s="88">
        <f t="shared" ref="C64" si="20">B65</f>
        <v>4</v>
      </c>
      <c r="D64" s="82">
        <f>VLOOKUP(C64,STN_TABLE,2,FALSE)</f>
        <v>5.5</v>
      </c>
      <c r="E64" s="92">
        <v>1</v>
      </c>
      <c r="F64" s="82">
        <f>D64*E64</f>
        <v>5.5</v>
      </c>
      <c r="G64" s="83">
        <f>C64</f>
        <v>4</v>
      </c>
      <c r="H64" s="83">
        <f>F64*G64</f>
        <v>22</v>
      </c>
      <c r="I64" s="84" t="str">
        <f>CONCATENATE("a'(",C64,")=")</f>
        <v>a'(4)=</v>
      </c>
      <c r="J64" s="84">
        <f>2*J62/3*F65</f>
        <v>31.666666666666664</v>
      </c>
      <c r="K64" s="84" t="str">
        <f>CONCATENATE("A(",C62,")=")</f>
        <v>A(2)=</v>
      </c>
      <c r="L64" s="84">
        <f>VLOOKUP(C62,STN_TABLE,3,FALSE)</f>
        <v>14.573333333333332</v>
      </c>
      <c r="M64" t="str">
        <f>CONCATENATE("A(",C64,")=")</f>
        <v>A(4)=</v>
      </c>
      <c r="N64">
        <f>J64+L64</f>
        <v>46.239999999999995</v>
      </c>
      <c r="O64" s="99">
        <f>O63+1</f>
        <v>9</v>
      </c>
      <c r="P64" s="99">
        <f t="shared" si="10"/>
        <v>4.8499999999999996</v>
      </c>
      <c r="Q64" s="82">
        <f>IF(P64-P63=P63-P62,P64,IF(P65-P63=P63-P62,P65,IF(P64-P63=P63-P61,P64,IF(P65-P63=P63-P61,P65,"-"))))</f>
        <v>5</v>
      </c>
      <c r="R64" s="83">
        <f>VLOOKUP(Q64,STN_TABLE,2,FALSE)</f>
        <v>7.01</v>
      </c>
      <c r="S64" s="83">
        <v>-1</v>
      </c>
      <c r="T64" s="82">
        <f>R64*S64</f>
        <v>-7.01</v>
      </c>
      <c r="U64" s="88">
        <v>-1</v>
      </c>
      <c r="V64" s="82">
        <f>R64*U64</f>
        <v>-7.01</v>
      </c>
      <c r="W64" s="84" t="str">
        <f>CONCATENATE("a'(",Q63,")=")</f>
        <v>a'(4)=</v>
      </c>
      <c r="X64" s="84">
        <f>2*X62/12*T65</f>
        <v>18.763333333333332</v>
      </c>
      <c r="Y64" s="84" t="str">
        <f>CONCATENATE("A(",Q62,")=")</f>
        <v>A(3)=</v>
      </c>
      <c r="Z64" s="84">
        <f>VLOOKUP(Q62,STN_TABLE,3,FALSE)</f>
        <v>27.870000000000005</v>
      </c>
      <c r="AA64" t="str">
        <f>CONCATENATE("A(",Q63,")=")</f>
        <v>A(4)=</v>
      </c>
      <c r="AB64">
        <f>X64+Z64</f>
        <v>46.63333333333334</v>
      </c>
      <c r="AC64" s="99">
        <f>AC63+1</f>
        <v>8</v>
      </c>
      <c r="AD64" s="100">
        <f>VLOOKUP(AC64,STN_TABLE_2,2,FALSE)</f>
        <v>4</v>
      </c>
      <c r="AE64" s="82">
        <f>VLOOKUP(AD64,STN_TABLE,2,FALSE)</f>
        <v>5.5</v>
      </c>
      <c r="AF64" s="82">
        <v>2</v>
      </c>
      <c r="AG64" s="83">
        <f>AE64*AF64</f>
        <v>11</v>
      </c>
      <c r="AH64" s="84" t="str">
        <f>CONCATENATE("a'(",AD64,")=")</f>
        <v>a'(4)=</v>
      </c>
      <c r="AI64" s="84">
        <f>2*AI62/2*AE65</f>
        <v>18.72</v>
      </c>
      <c r="AJ64" s="84" t="str">
        <f>CONCATENATE("A(",AD63,")=")</f>
        <v>A(3)=</v>
      </c>
      <c r="AK64" s="84">
        <f>VLOOKUP(AD63,STN_TABLE,3,FALSE)</f>
        <v>27.870000000000005</v>
      </c>
      <c r="AL64" t="str">
        <f>CONCATENATE("A(",AD64,")=")</f>
        <v>A(4)=</v>
      </c>
      <c r="AM64">
        <f>AI64+AK64</f>
        <v>46.59</v>
      </c>
      <c r="AO64" s="68" t="str">
        <f>AA64</f>
        <v>A(4)=</v>
      </c>
      <c r="AP64" s="68" t="e">
        <f>VLOOKUP(AO64,Rise_Results,2,FALSE)</f>
        <v>#N/A</v>
      </c>
      <c r="AQ64" s="76">
        <f>N64</f>
        <v>46.239999999999995</v>
      </c>
      <c r="AR64" s="76">
        <f>IF(OR(AB64&lt;=0,AB65&lt;=0),1/0,AB64)</f>
        <v>46.63333333333334</v>
      </c>
      <c r="AS64" s="76">
        <f>AM64</f>
        <v>46.59</v>
      </c>
      <c r="AT64">
        <f>IFERROR(AP64,IFERROR(AQ64,IFERROR(AR64,AS64)))</f>
        <v>46.239999999999995</v>
      </c>
      <c r="AU64" s="81"/>
    </row>
    <row r="65" spans="1:47" x14ac:dyDescent="0.25">
      <c r="A65" s="84">
        <f>A64+1</f>
        <v>8</v>
      </c>
      <c r="B65" s="84">
        <f t="shared" si="11"/>
        <v>4</v>
      </c>
      <c r="F65" s="82">
        <f>SUM(F62:F64)</f>
        <v>23.75</v>
      </c>
      <c r="H65" s="82">
        <f>SUM(H62:H64)</f>
        <v>73.94</v>
      </c>
      <c r="I65" s="84" t="str">
        <f>CONCATENATE("m'(",C64,")=")</f>
        <v>m'(4)=</v>
      </c>
      <c r="J65" s="84">
        <f>2*(J62*(WLS))/3*H65</f>
        <v>197.17333333333332</v>
      </c>
      <c r="K65" s="84" t="str">
        <f>CONCATENATE("M(",C62,")=")</f>
        <v>M(2)=</v>
      </c>
      <c r="L65" s="84">
        <f>VLOOKUP(C62,STN_TABLE,4,FALSE)</f>
        <v>34.803333333333327</v>
      </c>
      <c r="M65" t="str">
        <f>CONCATENATE("M(",C64,")=")</f>
        <v>M(4)=</v>
      </c>
      <c r="N65">
        <f>J65+L65</f>
        <v>231.97666666666663</v>
      </c>
      <c r="O65" s="99">
        <f>O64+1</f>
        <v>10</v>
      </c>
      <c r="P65" s="99">
        <f t="shared" si="10"/>
        <v>5</v>
      </c>
      <c r="T65" s="89">
        <f>SUM(T62:T64)</f>
        <v>56.29</v>
      </c>
      <c r="V65" s="82">
        <f>SUM(V62:V64)</f>
        <v>59.57</v>
      </c>
      <c r="W65" s="84" t="str">
        <f>CONCATENATE("m'(",Q63,")=")</f>
        <v>m'(4)=</v>
      </c>
      <c r="X65" s="84">
        <f>(2*(X62^2)/24*V65)+(X64*Q62*WLS)</f>
        <v>132.43666666666664</v>
      </c>
      <c r="Y65" s="84" t="str">
        <f>CONCATENATE("M(",Q62,")=")</f>
        <v>M(3)=</v>
      </c>
      <c r="Z65" s="84">
        <f>VLOOKUP(Q62,STN_TABLE,4,FALSE)</f>
        <v>101.98666666666668</v>
      </c>
      <c r="AA65" t="str">
        <f>CONCATENATE("M(",Q63,")=")</f>
        <v>M(4)=</v>
      </c>
      <c r="AB65">
        <f>X65+Z65</f>
        <v>234.42333333333332</v>
      </c>
      <c r="AE65" s="89">
        <f>SUM(AE63:AE64)</f>
        <v>9.36</v>
      </c>
      <c r="AG65" s="89">
        <f>SUM(AG63:AG64)</f>
        <v>14.86</v>
      </c>
      <c r="AH65" s="84" t="str">
        <f>CONCATENATE("m'(",AD64,")=")</f>
        <v>m'(4)=</v>
      </c>
      <c r="AI65" s="84">
        <f>(2*(AI62^2)/6*AG65)+(AI64*AD63*WLS)</f>
        <v>132.13333333333333</v>
      </c>
      <c r="AJ65" s="84" t="str">
        <f>CONCATENATE("M(",AD63,")=")</f>
        <v>M(3)=</v>
      </c>
      <c r="AK65" s="84">
        <f>VLOOKUP(AD63,STN_TABLE,4,FALSE)</f>
        <v>101.98666666666668</v>
      </c>
      <c r="AL65" t="str">
        <f>CONCATENATE("M(",AD64,")=")</f>
        <v>M(4)=</v>
      </c>
      <c r="AM65">
        <f>AI65+AK65</f>
        <v>234.12</v>
      </c>
      <c r="AO65" s="82" t="str">
        <f>AA65</f>
        <v>M(4)=</v>
      </c>
      <c r="AP65" s="82" t="e">
        <f>VLOOKUP(AO65,Rise_Results,2,FALSE)</f>
        <v>#N/A</v>
      </c>
      <c r="AQ65" s="82">
        <f>N65</f>
        <v>231.97666666666663</v>
      </c>
      <c r="AR65" s="82">
        <f>IF(OR(AB64&lt;=0,AB65&lt;=0),1/0,AB65)</f>
        <v>234.42333333333332</v>
      </c>
      <c r="AS65" s="82">
        <f>AM65</f>
        <v>234.12</v>
      </c>
      <c r="AT65">
        <f>IFERROR(AP65,IFERROR(AQ65,IFERROR(AR65,AS65)))</f>
        <v>231.97666666666663</v>
      </c>
      <c r="AU65" s="81"/>
    </row>
    <row r="66" spans="1:47" x14ac:dyDescent="0.25">
      <c r="A66" s="101">
        <f>A61+1</f>
        <v>5</v>
      </c>
      <c r="B66" s="101">
        <f t="shared" si="11"/>
        <v>1</v>
      </c>
      <c r="O66" s="101">
        <f>O61+1</f>
        <v>7</v>
      </c>
      <c r="P66" s="101">
        <f t="shared" si="10"/>
        <v>3</v>
      </c>
      <c r="AU66" s="81"/>
    </row>
    <row r="67" spans="1:47" x14ac:dyDescent="0.25">
      <c r="A67" s="84">
        <f>A66+1</f>
        <v>6</v>
      </c>
      <c r="B67" s="84">
        <f t="shared" si="11"/>
        <v>2</v>
      </c>
      <c r="C67" s="79" t="str">
        <f t="shared" ref="C67" si="21">IF(C68=B69,IF(C69-C68=C68-B68,B68,IF(C69-C68=C68-B67,B67,"#NA")),IF(C68=B68,IF(C69-C68=C68-B67,B67,IF(C69-C68=C68-B66,B66,"#NA")),"#NA"))</f>
        <v>#NA</v>
      </c>
      <c r="D67" s="68" t="e">
        <f>VLOOKUP(C67,STN_TABLE,2,FALSE)</f>
        <v>#N/A</v>
      </c>
      <c r="E67" s="102">
        <v>1</v>
      </c>
      <c r="F67" s="68" t="e">
        <f>D67*E67</f>
        <v>#N/A</v>
      </c>
      <c r="G67" s="69" t="str">
        <f>C67</f>
        <v>#NA</v>
      </c>
      <c r="H67" s="69" t="e">
        <f>F67*G67</f>
        <v>#N/A</v>
      </c>
      <c r="I67" s="6" t="s">
        <v>93</v>
      </c>
      <c r="J67" s="70" t="e">
        <f>IF(OR(D67=0,D68=0,D69=0),"#NA",IF(AND(C69-C68=C68-C67,C68&lt;&gt;C69,C67&lt;&gt;C68,C67&lt;&gt;C69,D69&lt;&gt;0,OR(D67&lt;&gt;0,D68&lt;&gt;0)),WLS*(C69-C68),"#NA"))</f>
        <v>#N/A</v>
      </c>
      <c r="O67" s="99">
        <f>O66+1</f>
        <v>8</v>
      </c>
      <c r="P67" s="99">
        <f t="shared" si="10"/>
        <v>4</v>
      </c>
      <c r="Q67" s="68" t="str">
        <f>IF(OR(P69-P68=P68-P67,P70-P68=P68-P67),P67,IF(OR(P69-P68=P68-P66,P70-P68=P68-P66),P66,"-"))</f>
        <v>-</v>
      </c>
      <c r="R67" s="69" t="e">
        <f>VLOOKUP(Q67,STN_TABLE,2,FALSE)</f>
        <v>#N/A</v>
      </c>
      <c r="S67" s="69">
        <v>5</v>
      </c>
      <c r="T67" s="68" t="e">
        <f>R67*S67</f>
        <v>#N/A</v>
      </c>
      <c r="U67" s="79">
        <v>3</v>
      </c>
      <c r="V67" s="68" t="e">
        <f>R67*U67</f>
        <v>#N/A</v>
      </c>
      <c r="W67" s="6" t="s">
        <v>93</v>
      </c>
      <c r="X67" s="70" t="e">
        <f>IF(AND(Q69-Q68=Q68-Q67,NOT(AND(Q67=0,Q68=0)),NOT(AND(Q68=0,Q69=0))),WLS*(Q69-Q68),"#NA")</f>
        <v>#VALUE!</v>
      </c>
      <c r="AD67" s="93"/>
      <c r="AH67" s="6" t="s">
        <v>93</v>
      </c>
      <c r="AI67" s="70">
        <f>WLS*(AD69-AD68)</f>
        <v>1.6999999999999993</v>
      </c>
      <c r="AU67" s="81"/>
    </row>
    <row r="68" spans="1:47" x14ac:dyDescent="0.25">
      <c r="A68" s="84">
        <f>A67+1</f>
        <v>7</v>
      </c>
      <c r="B68" s="84">
        <f t="shared" si="11"/>
        <v>3</v>
      </c>
      <c r="C68" s="80" t="str">
        <f t="shared" ref="C68" si="22">IF(OR(B70-B69=B69-B68,B70-B69=B69-B67,B70-B69=B69-B66),B69,IF(OR(B70-B68=B68-B67,B70-B68=B68-B66),B68,IF(B70-B67=B67-B66,B67,"#NA")))</f>
        <v>#NA</v>
      </c>
      <c r="D68" s="76" t="e">
        <f>VLOOKUP(C68,STN_TABLE,2,FALSE)</f>
        <v>#N/A</v>
      </c>
      <c r="E68" s="81">
        <v>4</v>
      </c>
      <c r="F68" s="76" t="e">
        <f>D68*E68</f>
        <v>#N/A</v>
      </c>
      <c r="G68" s="77" t="str">
        <f>C68</f>
        <v>#NA</v>
      </c>
      <c r="H68" s="77" t="e">
        <f>F68*G68</f>
        <v>#N/A</v>
      </c>
      <c r="I68" s="495" t="s">
        <v>97</v>
      </c>
      <c r="J68" s="496"/>
      <c r="K68" s="78" t="s">
        <v>98</v>
      </c>
      <c r="L68" s="78"/>
      <c r="M68" s="7" t="s">
        <v>99</v>
      </c>
      <c r="N68" s="7"/>
      <c r="O68" s="99">
        <f>O67+1</f>
        <v>9</v>
      </c>
      <c r="P68" s="99">
        <f t="shared" ref="P68:P99" si="23">VLOOKUP(O68,STN_TABLE_2,2,FALSE)</f>
        <v>4.8499999999999996</v>
      </c>
      <c r="Q68" s="76">
        <f>P68</f>
        <v>4.8499999999999996</v>
      </c>
      <c r="R68" s="77">
        <f>VLOOKUP(Q68,STN_TABLE,2,FALSE)</f>
        <v>6.82</v>
      </c>
      <c r="S68" s="77">
        <v>8</v>
      </c>
      <c r="T68" s="76">
        <f>R68*S68</f>
        <v>54.56</v>
      </c>
      <c r="U68" s="80">
        <v>10</v>
      </c>
      <c r="V68" s="76">
        <f>R68*U68</f>
        <v>68.2</v>
      </c>
      <c r="W68" s="496" t="s">
        <v>97</v>
      </c>
      <c r="X68" s="496"/>
      <c r="Y68" s="496" t="s">
        <v>98</v>
      </c>
      <c r="Z68" s="496"/>
      <c r="AA68" s="494" t="s">
        <v>99</v>
      </c>
      <c r="AB68" s="494"/>
      <c r="AC68" s="99">
        <f>AC63+1</f>
        <v>8</v>
      </c>
      <c r="AD68" s="95">
        <f>VLOOKUP(AC68,STN_TABLE_2,2,FALSE)</f>
        <v>4</v>
      </c>
      <c r="AE68" s="68">
        <f>VLOOKUP(AD68,STN_TABLE,2,FALSE)</f>
        <v>5.5</v>
      </c>
      <c r="AF68" s="68">
        <v>1</v>
      </c>
      <c r="AG68" s="69">
        <f>AE68*AF68</f>
        <v>5.5</v>
      </c>
      <c r="AH68" s="496" t="s">
        <v>97</v>
      </c>
      <c r="AI68" s="496"/>
      <c r="AJ68" s="496" t="s">
        <v>98</v>
      </c>
      <c r="AK68" s="496"/>
      <c r="AL68" s="494" t="s">
        <v>99</v>
      </c>
      <c r="AM68" s="494"/>
      <c r="AP68" s="86" t="s">
        <v>112</v>
      </c>
      <c r="AQ68" s="89" t="s">
        <v>113</v>
      </c>
      <c r="AR68" s="89" t="s">
        <v>114</v>
      </c>
      <c r="AS68" s="89" t="s">
        <v>115</v>
      </c>
      <c r="AU68" s="81"/>
    </row>
    <row r="69" spans="1:47" x14ac:dyDescent="0.25">
      <c r="A69" s="84">
        <f>A68+1</f>
        <v>8</v>
      </c>
      <c r="B69" s="84">
        <f t="shared" si="11"/>
        <v>4</v>
      </c>
      <c r="C69" s="88">
        <f t="shared" ref="C69" si="24">B70</f>
        <v>4.8499999999999996</v>
      </c>
      <c r="D69" s="82">
        <f>VLOOKUP(C69,STN_TABLE,2,FALSE)</f>
        <v>6.82</v>
      </c>
      <c r="E69" s="92">
        <v>1</v>
      </c>
      <c r="F69" s="82">
        <f>D69*E69</f>
        <v>6.82</v>
      </c>
      <c r="G69" s="83">
        <f>C69</f>
        <v>4.8499999999999996</v>
      </c>
      <c r="H69" s="83">
        <f>F69*G69</f>
        <v>33.076999999999998</v>
      </c>
      <c r="I69" s="84" t="str">
        <f>CONCATENATE("a'(",C69,")=")</f>
        <v>a'(4.85)=</v>
      </c>
      <c r="J69" s="84" t="e">
        <f>2*J67/3*F70</f>
        <v>#N/A</v>
      </c>
      <c r="K69" s="84" t="str">
        <f>CONCATENATE("A(",C67,")=")</f>
        <v>A(#NA)=</v>
      </c>
      <c r="L69" s="84" t="e">
        <f>VLOOKUP(C67,STN_TABLE,3,FALSE)</f>
        <v>#N/A</v>
      </c>
      <c r="M69" t="str">
        <f>CONCATENATE("A(",C69,")=")</f>
        <v>A(4.85)=</v>
      </c>
      <c r="N69" t="e">
        <f>J69+L69</f>
        <v>#N/A</v>
      </c>
      <c r="O69" s="99">
        <f>O68+1</f>
        <v>10</v>
      </c>
      <c r="P69" s="99">
        <f t="shared" si="23"/>
        <v>5</v>
      </c>
      <c r="Q69" s="82" t="str">
        <f>IF(P69-P68=P68-P67,P69,IF(P70-P68=P68-P67,P70,IF(P69-P68=P68-P66,P69,IF(P70-P68=P68-P66,P70,"-"))))</f>
        <v>-</v>
      </c>
      <c r="R69" s="83" t="e">
        <f>VLOOKUP(Q69,STN_TABLE,2,FALSE)</f>
        <v>#N/A</v>
      </c>
      <c r="S69" s="83">
        <v>-1</v>
      </c>
      <c r="T69" s="82" t="e">
        <f>R69*S69</f>
        <v>#N/A</v>
      </c>
      <c r="U69" s="88">
        <v>-1</v>
      </c>
      <c r="V69" s="82" t="e">
        <f>R69*U69</f>
        <v>#N/A</v>
      </c>
      <c r="W69" s="84" t="str">
        <f>CONCATENATE("a'(",Q68,")=")</f>
        <v>a'(4.85)=</v>
      </c>
      <c r="X69" s="84" t="e">
        <f>2*X67/12*T70</f>
        <v>#VALUE!</v>
      </c>
      <c r="Y69" s="84" t="str">
        <f>CONCATENATE("A(",Q67,")=")</f>
        <v>A(-)=</v>
      </c>
      <c r="Z69" s="84" t="e">
        <f>VLOOKUP(Q67,STN_TABLE,3,FALSE)</f>
        <v>#N/A</v>
      </c>
      <c r="AA69" t="str">
        <f>CONCATENATE("A(",Q68,")=")</f>
        <v>A(4.85)=</v>
      </c>
      <c r="AB69" t="e">
        <f>X69+Z69</f>
        <v>#VALUE!</v>
      </c>
      <c r="AC69" s="99">
        <f>AC68+1</f>
        <v>9</v>
      </c>
      <c r="AD69" s="100">
        <f>VLOOKUP(AC69,STN_TABLE_2,2,FALSE)</f>
        <v>4.8499999999999996</v>
      </c>
      <c r="AE69" s="82">
        <f>VLOOKUP(AD69,STN_TABLE,2,FALSE)</f>
        <v>6.82</v>
      </c>
      <c r="AF69" s="82">
        <v>2</v>
      </c>
      <c r="AG69" s="83">
        <f>AE69*AF69</f>
        <v>13.64</v>
      </c>
      <c r="AH69" s="84" t="str">
        <f>CONCATENATE("a'(",AD69,")=")</f>
        <v>a'(4.85)=</v>
      </c>
      <c r="AI69" s="84">
        <f>2*AI67/2*AE70</f>
        <v>20.943999999999992</v>
      </c>
      <c r="AJ69" s="84" t="str">
        <f>CONCATENATE("A(",AD68,")=")</f>
        <v>A(4)=</v>
      </c>
      <c r="AK69" s="84">
        <f>VLOOKUP(AD68,STN_TABLE,3,FALSE)</f>
        <v>46.239999999999995</v>
      </c>
      <c r="AL69" t="str">
        <f>CONCATENATE("A(",AD69,")=")</f>
        <v>A(4.85)=</v>
      </c>
      <c r="AM69">
        <f>AI69+AK69</f>
        <v>67.183999999999983</v>
      </c>
      <c r="AO69" s="68" t="str">
        <f>AA69</f>
        <v>A(4.85)=</v>
      </c>
      <c r="AP69" s="68" t="e">
        <f>VLOOKUP(AO69,Rise_Results,2,FALSE)</f>
        <v>#N/A</v>
      </c>
      <c r="AQ69" s="76" t="e">
        <f>N69</f>
        <v>#N/A</v>
      </c>
      <c r="AR69" s="76" t="e">
        <f>IF(OR(AB69&lt;=0,AB70&lt;=0),1/0,AB69)</f>
        <v>#VALUE!</v>
      </c>
      <c r="AS69" s="76">
        <f>AM69</f>
        <v>67.183999999999983</v>
      </c>
      <c r="AT69">
        <f>IFERROR(AP69,IFERROR(AQ69,IFERROR(AR69,AS69)))</f>
        <v>67.183999999999983</v>
      </c>
      <c r="AU69" s="81"/>
    </row>
    <row r="70" spans="1:47" x14ac:dyDescent="0.25">
      <c r="A70" s="84">
        <f>A69+1</f>
        <v>9</v>
      </c>
      <c r="B70" s="84">
        <f t="shared" si="11"/>
        <v>4.8499999999999996</v>
      </c>
      <c r="F70" s="82" t="e">
        <f>SUM(F67:F69)</f>
        <v>#N/A</v>
      </c>
      <c r="H70" s="82" t="e">
        <f>SUM(H67:H69)</f>
        <v>#N/A</v>
      </c>
      <c r="I70" s="84" t="str">
        <f>CONCATENATE("m'(",C69,")=")</f>
        <v>m'(4.85)=</v>
      </c>
      <c r="J70" s="84" t="e">
        <f>2*(J67*(WLS))/3*H70</f>
        <v>#N/A</v>
      </c>
      <c r="K70" s="84" t="str">
        <f>CONCATENATE("M(",C67,")=")</f>
        <v>M(#NA)=</v>
      </c>
      <c r="L70" s="84" t="e">
        <f>VLOOKUP(C67,STN_TABLE,4,FALSE)</f>
        <v>#N/A</v>
      </c>
      <c r="M70" t="str">
        <f>CONCATENATE("M(",C69,")=")</f>
        <v>M(4.85)=</v>
      </c>
      <c r="N70" t="e">
        <f>J70+L70</f>
        <v>#N/A</v>
      </c>
      <c r="O70" s="99">
        <f>O69+1</f>
        <v>11</v>
      </c>
      <c r="P70" s="99">
        <f t="shared" si="23"/>
        <v>6</v>
      </c>
      <c r="T70" s="89" t="e">
        <f>SUM(T67:T69)</f>
        <v>#N/A</v>
      </c>
      <c r="V70" s="82" t="e">
        <f>SUM(V67:V69)</f>
        <v>#N/A</v>
      </c>
      <c r="W70" s="84" t="str">
        <f>CONCATENATE("m'(",Q68,")=")</f>
        <v>m'(4.85)=</v>
      </c>
      <c r="X70" s="84" t="e">
        <f>(2*(X67^2)/24*V70)+(X69*Q67*WLS)</f>
        <v>#VALUE!</v>
      </c>
      <c r="Y70" s="84" t="str">
        <f>CONCATENATE("M(",Q67,")=")</f>
        <v>M(-)=</v>
      </c>
      <c r="Z70" s="84" t="e">
        <f>VLOOKUP(Q67,STN_TABLE,4,FALSE)</f>
        <v>#N/A</v>
      </c>
      <c r="AA70" t="str">
        <f>CONCATENATE("M(",Q68,")=")</f>
        <v>M(4.85)=</v>
      </c>
      <c r="AB70" t="e">
        <f>X70+Z70</f>
        <v>#VALUE!</v>
      </c>
      <c r="AE70" s="89">
        <f>SUM(AE68:AE69)</f>
        <v>12.32</v>
      </c>
      <c r="AG70" s="89">
        <f>SUM(AG68:AG69)</f>
        <v>19.14</v>
      </c>
      <c r="AH70" s="84" t="str">
        <f>CONCATENATE("m'(",AD69,")=")</f>
        <v>m'(4.85)=</v>
      </c>
      <c r="AI70" s="84">
        <f>(2*(AI67^2)/6*AG70)+(AI69*AD68*WLS)</f>
        <v>185.99019999999993</v>
      </c>
      <c r="AJ70" s="84" t="str">
        <f>CONCATENATE("M(",AD68,")=")</f>
        <v>M(4)=</v>
      </c>
      <c r="AK70" s="84">
        <f>VLOOKUP(AD68,STN_TABLE,4,FALSE)</f>
        <v>231.97666666666663</v>
      </c>
      <c r="AL70" t="str">
        <f>CONCATENATE("M(",AD69,")=")</f>
        <v>M(4.85)=</v>
      </c>
      <c r="AM70">
        <f>AI70+AK70</f>
        <v>417.96686666666653</v>
      </c>
      <c r="AO70" s="82" t="str">
        <f>AA70</f>
        <v>M(4.85)=</v>
      </c>
      <c r="AP70" s="82" t="e">
        <f>VLOOKUP(AO70,Rise_Results,2,FALSE)</f>
        <v>#N/A</v>
      </c>
      <c r="AQ70" s="82" t="e">
        <f>N70</f>
        <v>#N/A</v>
      </c>
      <c r="AR70" s="82" t="e">
        <f>IF(OR(AB69&lt;=0,AB70&lt;=0),1/0,AB70)</f>
        <v>#VALUE!</v>
      </c>
      <c r="AS70" s="82">
        <f>AM70</f>
        <v>417.96686666666653</v>
      </c>
      <c r="AT70">
        <f>IFERROR(AP70,IFERROR(AQ70,IFERROR(AR70,AS70)))</f>
        <v>417.96686666666653</v>
      </c>
      <c r="AU70" s="81"/>
    </row>
    <row r="71" spans="1:47" x14ac:dyDescent="0.25">
      <c r="A71" s="101">
        <f>A66+1</f>
        <v>6</v>
      </c>
      <c r="B71" s="101">
        <f t="shared" si="11"/>
        <v>2</v>
      </c>
      <c r="O71" s="101">
        <f>O66+1</f>
        <v>8</v>
      </c>
      <c r="P71" s="101">
        <f t="shared" si="23"/>
        <v>4</v>
      </c>
      <c r="AU71" s="81"/>
    </row>
    <row r="72" spans="1:47" x14ac:dyDescent="0.25">
      <c r="A72" s="84">
        <f>A71+1</f>
        <v>7</v>
      </c>
      <c r="B72" s="84">
        <f t="shared" si="11"/>
        <v>3</v>
      </c>
      <c r="C72" s="79">
        <f t="shared" ref="C72" si="25">IF(C73=B74,IF(C74-C73=C73-B73,B73,IF(C74-C73=C73-B72,B72,"#NA")),IF(C73=B73,IF(C74-C73=C73-B72,B72,IF(C74-C73=C73-B71,B71,"#NA")),"#NA"))</f>
        <v>3</v>
      </c>
      <c r="D72" s="68">
        <f>VLOOKUP(C72,STN_TABLE,2,FALSE)</f>
        <v>3.86</v>
      </c>
      <c r="E72" s="102">
        <v>1</v>
      </c>
      <c r="F72" s="68">
        <f>D72*E72</f>
        <v>3.86</v>
      </c>
      <c r="G72" s="69">
        <f>C72</f>
        <v>3</v>
      </c>
      <c r="H72" s="69">
        <f>F72*G72</f>
        <v>11.58</v>
      </c>
      <c r="I72" s="6" t="s">
        <v>93</v>
      </c>
      <c r="J72" s="70">
        <f>IF(OR(D72=0,D73=0,D74=0),"#NA",IF(AND(C74-C73=C73-C72,C73&lt;&gt;C74,C72&lt;&gt;C73,C72&lt;&gt;C74,D74&lt;&gt;0,OR(D72&lt;&gt;0,D73&lt;&gt;0)),WLS*(C74-C73),"#NA"))</f>
        <v>2</v>
      </c>
      <c r="O72" s="99">
        <f>O71+1</f>
        <v>9</v>
      </c>
      <c r="P72" s="99">
        <f t="shared" si="23"/>
        <v>4.8499999999999996</v>
      </c>
      <c r="Q72" s="68">
        <f>IF(OR(P74-P73=P73-P72,P75-P73=P73-P72),P72,IF(OR(P74-P73=P73-P71,P75-P73=P73-P71),P71,"-"))</f>
        <v>4</v>
      </c>
      <c r="R72" s="69">
        <f>VLOOKUP(Q72,STN_TABLE,2,FALSE)</f>
        <v>5.5</v>
      </c>
      <c r="S72" s="69">
        <v>5</v>
      </c>
      <c r="T72" s="68">
        <f>R72*S72</f>
        <v>27.5</v>
      </c>
      <c r="U72" s="79">
        <v>3</v>
      </c>
      <c r="V72" s="68">
        <f>R72*U72</f>
        <v>16.5</v>
      </c>
      <c r="W72" s="6" t="s">
        <v>93</v>
      </c>
      <c r="X72" s="70">
        <f>IF(AND(Q74-Q73=Q73-Q72,NOT(AND(Q72=0,Q73=0)),NOT(AND(Q73=0,Q74=0))),WLS*(Q74-Q73),"#NA")</f>
        <v>2</v>
      </c>
      <c r="AD72" s="93"/>
      <c r="AH72" s="6" t="s">
        <v>93</v>
      </c>
      <c r="AI72" s="70">
        <f>WLS*(AD74-AD73)</f>
        <v>0.30000000000000071</v>
      </c>
      <c r="AU72" s="81"/>
    </row>
    <row r="73" spans="1:47" x14ac:dyDescent="0.25">
      <c r="A73" s="84">
        <f>A72+1</f>
        <v>8</v>
      </c>
      <c r="B73" s="84">
        <f t="shared" si="11"/>
        <v>4</v>
      </c>
      <c r="C73" s="80">
        <f t="shared" ref="C73" si="26">IF(OR(B75-B74=B74-B73,B75-B74=B74-B72,B75-B74=B74-B71),B74,IF(OR(B75-B73=B73-B72,B75-B73=B73-B71),B73,IF(B75-B72=B72-B71,B72,"#NA")))</f>
        <v>4</v>
      </c>
      <c r="D73" s="76">
        <f>VLOOKUP(C73,STN_TABLE,2,FALSE)</f>
        <v>5.5</v>
      </c>
      <c r="E73" s="81">
        <v>4</v>
      </c>
      <c r="F73" s="76">
        <f>D73*E73</f>
        <v>22</v>
      </c>
      <c r="G73" s="77">
        <f>C73</f>
        <v>4</v>
      </c>
      <c r="H73" s="77">
        <f>F73*G73</f>
        <v>88</v>
      </c>
      <c r="I73" s="495" t="s">
        <v>97</v>
      </c>
      <c r="J73" s="496"/>
      <c r="K73" s="78" t="s">
        <v>98</v>
      </c>
      <c r="L73" s="78"/>
      <c r="M73" s="7" t="s">
        <v>99</v>
      </c>
      <c r="N73" s="7"/>
      <c r="O73" s="99">
        <f>O72+1</f>
        <v>10</v>
      </c>
      <c r="P73" s="99">
        <f t="shared" si="23"/>
        <v>5</v>
      </c>
      <c r="Q73" s="76">
        <f>P73</f>
        <v>5</v>
      </c>
      <c r="R73" s="77">
        <f>VLOOKUP(Q73,STN_TABLE,2,FALSE)</f>
        <v>7.01</v>
      </c>
      <c r="S73" s="77">
        <v>8</v>
      </c>
      <c r="T73" s="76">
        <f>R73*S73</f>
        <v>56.08</v>
      </c>
      <c r="U73" s="80">
        <v>10</v>
      </c>
      <c r="V73" s="76">
        <f>R73*U73</f>
        <v>70.099999999999994</v>
      </c>
      <c r="W73" s="496" t="s">
        <v>97</v>
      </c>
      <c r="X73" s="496"/>
      <c r="Y73" s="496" t="s">
        <v>98</v>
      </c>
      <c r="Z73" s="496"/>
      <c r="AA73" s="494" t="s">
        <v>99</v>
      </c>
      <c r="AB73" s="494"/>
      <c r="AC73" s="99">
        <f>AC68+1</f>
        <v>9</v>
      </c>
      <c r="AD73" s="95">
        <f>VLOOKUP(AC73,STN_TABLE_2,2,FALSE)</f>
        <v>4.8499999999999996</v>
      </c>
      <c r="AE73" s="68">
        <f>VLOOKUP(AD73,STN_TABLE,2,FALSE)</f>
        <v>6.82</v>
      </c>
      <c r="AF73" s="68">
        <v>1</v>
      </c>
      <c r="AG73" s="69">
        <f>AE73*AF73</f>
        <v>6.82</v>
      </c>
      <c r="AH73" s="496" t="s">
        <v>97</v>
      </c>
      <c r="AI73" s="496"/>
      <c r="AJ73" s="496" t="s">
        <v>98</v>
      </c>
      <c r="AK73" s="496"/>
      <c r="AL73" s="494" t="s">
        <v>99</v>
      </c>
      <c r="AM73" s="494"/>
      <c r="AP73" s="86" t="s">
        <v>112</v>
      </c>
      <c r="AQ73" s="89" t="s">
        <v>113</v>
      </c>
      <c r="AR73" s="89" t="s">
        <v>114</v>
      </c>
      <c r="AS73" s="89" t="s">
        <v>115</v>
      </c>
      <c r="AU73" s="81"/>
    </row>
    <row r="74" spans="1:47" x14ac:dyDescent="0.25">
      <c r="A74" s="84">
        <f>A73+1</f>
        <v>9</v>
      </c>
      <c r="B74" s="84">
        <f t="shared" ref="B74:B105" si="27">VLOOKUP(A74,STN_TABLE_2,2,FALSE)</f>
        <v>4.8499999999999996</v>
      </c>
      <c r="C74" s="88">
        <f t="shared" ref="C74" si="28">B75</f>
        <v>5</v>
      </c>
      <c r="D74" s="82">
        <f>VLOOKUP(C74,STN_TABLE,2,FALSE)</f>
        <v>7.01</v>
      </c>
      <c r="E74" s="92">
        <v>1</v>
      </c>
      <c r="F74" s="82">
        <f>D74*E74</f>
        <v>7.01</v>
      </c>
      <c r="G74" s="83">
        <f>C74</f>
        <v>5</v>
      </c>
      <c r="H74" s="83">
        <f>F74*G74</f>
        <v>35.049999999999997</v>
      </c>
      <c r="I74" s="84" t="str">
        <f>CONCATENATE("a'(",C74,")=")</f>
        <v>a'(5)=</v>
      </c>
      <c r="J74" s="84">
        <f>2*J72/3*F75</f>
        <v>43.826666666666661</v>
      </c>
      <c r="K74" s="84" t="str">
        <f>CONCATENATE("A(",C72,")=")</f>
        <v>A(3)=</v>
      </c>
      <c r="L74" s="84">
        <f>VLOOKUP(C72,STN_TABLE,3,FALSE)</f>
        <v>27.870000000000005</v>
      </c>
      <c r="M74" t="str">
        <f>CONCATENATE("A(",C74,")=")</f>
        <v>A(5)=</v>
      </c>
      <c r="N74">
        <f>J74+L74</f>
        <v>71.696666666666658</v>
      </c>
      <c r="O74" s="99">
        <f>O73+1</f>
        <v>11</v>
      </c>
      <c r="P74" s="99">
        <f t="shared" si="23"/>
        <v>6</v>
      </c>
      <c r="Q74" s="82">
        <f>IF(P74-P73=P73-P72,P74,IF(P75-P73=P73-P72,P75,IF(P74-P73=P73-P71,P74,IF(P75-P73=P73-P71,P75,"-"))))</f>
        <v>6</v>
      </c>
      <c r="R74" s="83">
        <f>VLOOKUP(Q74,STN_TABLE,2,FALSE)</f>
        <v>7.98</v>
      </c>
      <c r="S74" s="83">
        <v>-1</v>
      </c>
      <c r="T74" s="82">
        <f>R74*S74</f>
        <v>-7.98</v>
      </c>
      <c r="U74" s="88">
        <v>-1</v>
      </c>
      <c r="V74" s="82">
        <f>R74*U74</f>
        <v>-7.98</v>
      </c>
      <c r="W74" s="84" t="str">
        <f>CONCATENATE("a'(",Q73,")=")</f>
        <v>a'(5)=</v>
      </c>
      <c r="X74" s="84">
        <f>2*X72/12*T75</f>
        <v>25.199999999999996</v>
      </c>
      <c r="Y74" s="84" t="str">
        <f>CONCATENATE("A(",Q72,")=")</f>
        <v>A(4)=</v>
      </c>
      <c r="Z74" s="84">
        <f>VLOOKUP(Q72,STN_TABLE,3,FALSE)</f>
        <v>46.239999999999995</v>
      </c>
      <c r="AA74" t="str">
        <f>CONCATENATE("A(",Q73,")=")</f>
        <v>A(5)=</v>
      </c>
      <c r="AB74">
        <f>X74+Z74</f>
        <v>71.44</v>
      </c>
      <c r="AC74" s="99">
        <f>AC73+1</f>
        <v>10</v>
      </c>
      <c r="AD74" s="100">
        <f>VLOOKUP(AC74,STN_TABLE_2,2,FALSE)</f>
        <v>5</v>
      </c>
      <c r="AE74" s="82">
        <f>VLOOKUP(AD74,STN_TABLE,2,FALSE)</f>
        <v>7.01</v>
      </c>
      <c r="AF74" s="82">
        <v>2</v>
      </c>
      <c r="AG74" s="83">
        <f>AE74*AF74</f>
        <v>14.02</v>
      </c>
      <c r="AH74" s="84" t="str">
        <f>CONCATENATE("a'(",AD74,")=")</f>
        <v>a'(5)=</v>
      </c>
      <c r="AI74" s="84">
        <f>2*AI72/2*AE75</f>
        <v>4.1490000000000098</v>
      </c>
      <c r="AJ74" s="84" t="str">
        <f>CONCATENATE("A(",AD73,")=")</f>
        <v>A(4.85)=</v>
      </c>
      <c r="AK74" s="84">
        <f>VLOOKUP(AD73,STN_TABLE,3,FALSE)</f>
        <v>67.183999999999983</v>
      </c>
      <c r="AL74" t="str">
        <f>CONCATENATE("A(",AD74,")=")</f>
        <v>A(5)=</v>
      </c>
      <c r="AM74">
        <f>AI74+AK74</f>
        <v>71.332999999999998</v>
      </c>
      <c r="AO74" s="68" t="str">
        <f>AA74</f>
        <v>A(5)=</v>
      </c>
      <c r="AP74" s="68" t="e">
        <f>VLOOKUP(AO74,Rise_Results,2,FALSE)</f>
        <v>#N/A</v>
      </c>
      <c r="AQ74" s="76">
        <f>N74</f>
        <v>71.696666666666658</v>
      </c>
      <c r="AR74" s="76">
        <f>IF(OR(AB74&lt;=0,AB75&lt;=0),1/0,AB74)</f>
        <v>71.44</v>
      </c>
      <c r="AS74" s="76">
        <f>AM74</f>
        <v>71.332999999999998</v>
      </c>
      <c r="AT74">
        <f>IFERROR(AP74,IFERROR(AQ74,IFERROR(AR74,AS74)))</f>
        <v>71.696666666666658</v>
      </c>
      <c r="AU74" s="81"/>
    </row>
    <row r="75" spans="1:47" x14ac:dyDescent="0.25">
      <c r="A75" s="84">
        <f>A74+1</f>
        <v>10</v>
      </c>
      <c r="B75" s="84">
        <f t="shared" si="27"/>
        <v>5</v>
      </c>
      <c r="F75" s="82">
        <f>SUM(F72:F74)</f>
        <v>32.869999999999997</v>
      </c>
      <c r="H75" s="82">
        <f>SUM(H72:H74)</f>
        <v>134.63</v>
      </c>
      <c r="I75" s="84" t="str">
        <f>CONCATENATE("m'(",C74,")=")</f>
        <v>m'(5)=</v>
      </c>
      <c r="J75" s="84">
        <f>2*(J72*(WLS))/3*H75</f>
        <v>359.01333333333332</v>
      </c>
      <c r="K75" s="84" t="str">
        <f>CONCATENATE("M(",C72,")=")</f>
        <v>M(3)=</v>
      </c>
      <c r="L75" s="84">
        <f>VLOOKUP(C72,STN_TABLE,4,FALSE)</f>
        <v>101.98666666666668</v>
      </c>
      <c r="M75" t="str">
        <f>CONCATENATE("M(",C74,")=")</f>
        <v>M(5)=</v>
      </c>
      <c r="N75">
        <f>J75+L75</f>
        <v>461</v>
      </c>
      <c r="O75" s="99">
        <f>O74+1</f>
        <v>12</v>
      </c>
      <c r="P75" s="99">
        <f t="shared" si="23"/>
        <v>6.5</v>
      </c>
      <c r="T75" s="89">
        <f>SUM(T72:T74)</f>
        <v>75.599999999999994</v>
      </c>
      <c r="V75" s="82">
        <f>SUM(V72:V74)</f>
        <v>78.61999999999999</v>
      </c>
      <c r="W75" s="84" t="str">
        <f>CONCATENATE("m'(",Q73,")=")</f>
        <v>m'(5)=</v>
      </c>
      <c r="X75" s="84">
        <f>(2*(X72^2)/24*V75)+(X74*Q72*WLS)</f>
        <v>227.80666666666662</v>
      </c>
      <c r="Y75" s="84" t="str">
        <f>CONCATENATE("M(",Q72,")=")</f>
        <v>M(4)=</v>
      </c>
      <c r="Z75" s="84">
        <f>VLOOKUP(Q72,STN_TABLE,4,FALSE)</f>
        <v>231.97666666666663</v>
      </c>
      <c r="AA75" t="str">
        <f>CONCATENATE("M(",Q73,")=")</f>
        <v>M(5)=</v>
      </c>
      <c r="AB75">
        <f>X75+Z75</f>
        <v>459.78333333333325</v>
      </c>
      <c r="AE75" s="89">
        <f>SUM(AE73:AE74)</f>
        <v>13.83</v>
      </c>
      <c r="AG75" s="89">
        <f>SUM(AG73:AG74)</f>
        <v>20.84</v>
      </c>
      <c r="AH75" s="84" t="str">
        <f>CONCATENATE("m'(",AD74,")=")</f>
        <v>m'(5)=</v>
      </c>
      <c r="AI75" s="84">
        <f>(2*(AI72^2)/6*AG75)+(AI74*AD73*WLS)</f>
        <v>40.870500000000092</v>
      </c>
      <c r="AJ75" s="84" t="str">
        <f>CONCATENATE("M(",AD73,")=")</f>
        <v>M(4.85)=</v>
      </c>
      <c r="AK75" s="84">
        <f>VLOOKUP(AD73,STN_TABLE,4,FALSE)</f>
        <v>417.96686666666653</v>
      </c>
      <c r="AL75" t="str">
        <f>CONCATENATE("M(",AD74,")=")</f>
        <v>M(5)=</v>
      </c>
      <c r="AM75">
        <f>AI75+AK75</f>
        <v>458.83736666666664</v>
      </c>
      <c r="AO75" s="82" t="str">
        <f>AA75</f>
        <v>M(5)=</v>
      </c>
      <c r="AP75" s="82" t="e">
        <f>VLOOKUP(AO75,Rise_Results,2,FALSE)</f>
        <v>#N/A</v>
      </c>
      <c r="AQ75" s="82">
        <f>N75</f>
        <v>461</v>
      </c>
      <c r="AR75" s="82">
        <f>IF(OR(AB74&lt;=0,AB75&lt;=0),1/0,AB75)</f>
        <v>459.78333333333325</v>
      </c>
      <c r="AS75" s="82">
        <f>AM75</f>
        <v>458.83736666666664</v>
      </c>
      <c r="AT75">
        <f>IFERROR(AP75,IFERROR(AQ75,IFERROR(AR75,AS75)))</f>
        <v>461</v>
      </c>
      <c r="AU75" s="81"/>
    </row>
    <row r="76" spans="1:47" x14ac:dyDescent="0.25">
      <c r="A76" s="101">
        <f>A71+1</f>
        <v>7</v>
      </c>
      <c r="B76" s="101">
        <f t="shared" si="27"/>
        <v>3</v>
      </c>
      <c r="O76" s="101">
        <f>O71+1</f>
        <v>9</v>
      </c>
      <c r="P76" s="101">
        <f t="shared" si="23"/>
        <v>4.8499999999999996</v>
      </c>
      <c r="AU76" s="81"/>
    </row>
    <row r="77" spans="1:47" x14ac:dyDescent="0.25">
      <c r="A77" s="84">
        <f>A76+1</f>
        <v>8</v>
      </c>
      <c r="B77" s="84">
        <f t="shared" si="27"/>
        <v>4</v>
      </c>
      <c r="C77" s="79">
        <f t="shared" ref="C77" si="29">IF(C78=B79,IF(C79-C78=C78-B78,B78,IF(C79-C78=C78-B77,B77,"#NA")),IF(C78=B78,IF(C79-C78=C78-B77,B77,IF(C79-C78=C78-B76,B76,"#NA")),"#NA"))</f>
        <v>4</v>
      </c>
      <c r="D77" s="68">
        <f>VLOOKUP(C77,STN_TABLE,2,FALSE)</f>
        <v>5.5</v>
      </c>
      <c r="E77" s="102">
        <v>1</v>
      </c>
      <c r="F77" s="68">
        <f>D77*E77</f>
        <v>5.5</v>
      </c>
      <c r="G77" s="69">
        <f>C77</f>
        <v>4</v>
      </c>
      <c r="H77" s="69">
        <f>F77*G77</f>
        <v>22</v>
      </c>
      <c r="I77" s="6" t="s">
        <v>93</v>
      </c>
      <c r="J77" s="70">
        <f>IF(OR(D77=0,D78=0,D79=0),"#NA",IF(AND(C79-C78=C78-C77,C78&lt;&gt;C79,C77&lt;&gt;C78,C77&lt;&gt;C79,D79&lt;&gt;0,OR(D77&lt;&gt;0,D78&lt;&gt;0)),WLS*(C79-C78),"#NA"))</f>
        <v>2</v>
      </c>
      <c r="O77" s="99">
        <f>O76+1</f>
        <v>10</v>
      </c>
      <c r="P77" s="99">
        <f t="shared" si="23"/>
        <v>5</v>
      </c>
      <c r="Q77" s="68" t="e">
        <f>IF(OR(P79-P78=P78-P77,P80-P78=P78-P77),P77,IF(OR(P79-P78=P78-P76,P80-P78=P78-P76),P76,"-"))</f>
        <v>#VALUE!</v>
      </c>
      <c r="R77" s="69" t="e">
        <f>VLOOKUP(Q77,STN_TABLE,2,FALSE)</f>
        <v>#VALUE!</v>
      </c>
      <c r="S77" s="69">
        <v>5</v>
      </c>
      <c r="T77" s="68" t="e">
        <f>R77*S77</f>
        <v>#VALUE!</v>
      </c>
      <c r="U77" s="79">
        <v>3</v>
      </c>
      <c r="V77" s="68" t="e">
        <f>R77*U77</f>
        <v>#VALUE!</v>
      </c>
      <c r="W77" s="6" t="s">
        <v>93</v>
      </c>
      <c r="X77" s="70" t="e">
        <f>IF(AND(Q79-Q78=Q78-Q77,NOT(AND(Q77=0,Q78=0)),NOT(AND(Q78=0,Q79=0))),WLS*(Q79-Q78),"#NA")</f>
        <v>#VALUE!</v>
      </c>
      <c r="AD77" s="93"/>
      <c r="AH77" s="6" t="s">
        <v>93</v>
      </c>
      <c r="AI77" s="70">
        <f>WLS*(AD79-AD78)</f>
        <v>2</v>
      </c>
      <c r="AU77" s="81"/>
    </row>
    <row r="78" spans="1:47" x14ac:dyDescent="0.25">
      <c r="A78" s="84">
        <f>A77+1</f>
        <v>9</v>
      </c>
      <c r="B78" s="84">
        <f t="shared" si="27"/>
        <v>4.8499999999999996</v>
      </c>
      <c r="C78" s="80">
        <f t="shared" ref="C78" si="30">IF(OR(B80-B79=B79-B78,B80-B79=B79-B77,B80-B79=B79-B76),B79,IF(OR(B80-B78=B78-B77,B80-B78=B78-B76),B78,IF(B80-B77=B77-B76,B77,"#NA")))</f>
        <v>5</v>
      </c>
      <c r="D78" s="76">
        <f>VLOOKUP(C78,STN_TABLE,2,FALSE)</f>
        <v>7.01</v>
      </c>
      <c r="E78" s="81">
        <v>4</v>
      </c>
      <c r="F78" s="76">
        <f>D78*E78</f>
        <v>28.04</v>
      </c>
      <c r="G78" s="77">
        <f>C78</f>
        <v>5</v>
      </c>
      <c r="H78" s="77">
        <f>F78*G78</f>
        <v>140.19999999999999</v>
      </c>
      <c r="I78" s="495" t="s">
        <v>97</v>
      </c>
      <c r="J78" s="496"/>
      <c r="K78" s="78" t="s">
        <v>98</v>
      </c>
      <c r="L78" s="78"/>
      <c r="M78" s="7" t="s">
        <v>99</v>
      </c>
      <c r="N78" s="7"/>
      <c r="O78" s="99">
        <f>O77+1</f>
        <v>11</v>
      </c>
      <c r="P78" s="99">
        <f t="shared" si="23"/>
        <v>6</v>
      </c>
      <c r="Q78" s="76">
        <f>P78</f>
        <v>6</v>
      </c>
      <c r="R78" s="77">
        <f>VLOOKUP(Q78,STN_TABLE,2,FALSE)</f>
        <v>7.98</v>
      </c>
      <c r="S78" s="77">
        <v>8</v>
      </c>
      <c r="T78" s="76">
        <f>R78*S78</f>
        <v>63.84</v>
      </c>
      <c r="U78" s="80">
        <v>10</v>
      </c>
      <c r="V78" s="76">
        <f>R78*U78</f>
        <v>79.800000000000011</v>
      </c>
      <c r="W78" s="496" t="s">
        <v>97</v>
      </c>
      <c r="X78" s="496"/>
      <c r="Y78" s="496" t="s">
        <v>98</v>
      </c>
      <c r="Z78" s="496"/>
      <c r="AA78" s="494" t="s">
        <v>99</v>
      </c>
      <c r="AB78" s="494"/>
      <c r="AC78" s="99">
        <f>AC73+1</f>
        <v>10</v>
      </c>
      <c r="AD78" s="95">
        <f>VLOOKUP(AC78,STN_TABLE_2,2,FALSE)</f>
        <v>5</v>
      </c>
      <c r="AE78" s="68">
        <f>VLOOKUP(AD78,STN_TABLE,2,FALSE)</f>
        <v>7.01</v>
      </c>
      <c r="AF78" s="68">
        <v>1</v>
      </c>
      <c r="AG78" s="69">
        <f>AE78*AF78</f>
        <v>7.01</v>
      </c>
      <c r="AH78" s="496" t="s">
        <v>97</v>
      </c>
      <c r="AI78" s="496"/>
      <c r="AJ78" s="496" t="s">
        <v>98</v>
      </c>
      <c r="AK78" s="496"/>
      <c r="AL78" s="494" t="s">
        <v>99</v>
      </c>
      <c r="AM78" s="494"/>
      <c r="AP78" s="86" t="s">
        <v>112</v>
      </c>
      <c r="AQ78" s="89" t="s">
        <v>113</v>
      </c>
      <c r="AR78" s="89" t="s">
        <v>114</v>
      </c>
      <c r="AS78" s="89" t="s">
        <v>115</v>
      </c>
      <c r="AU78" s="81"/>
    </row>
    <row r="79" spans="1:47" x14ac:dyDescent="0.25">
      <c r="A79" s="84">
        <f>A78+1</f>
        <v>10</v>
      </c>
      <c r="B79" s="84">
        <f t="shared" si="27"/>
        <v>5</v>
      </c>
      <c r="C79" s="88">
        <f t="shared" ref="C79" si="31">B80</f>
        <v>6</v>
      </c>
      <c r="D79" s="82">
        <f>VLOOKUP(C79,STN_TABLE,2,FALSE)</f>
        <v>7.98</v>
      </c>
      <c r="E79" s="92">
        <v>1</v>
      </c>
      <c r="F79" s="82">
        <f>D79*E79</f>
        <v>7.98</v>
      </c>
      <c r="G79" s="83">
        <f>C79</f>
        <v>6</v>
      </c>
      <c r="H79" s="83">
        <f>F79*G79</f>
        <v>47.88</v>
      </c>
      <c r="I79" s="84" t="str">
        <f>CONCATENATE("a'(",C79,")=")</f>
        <v>a'(6)=</v>
      </c>
      <c r="J79" s="84">
        <f>2*J77/3*F80</f>
        <v>55.359999999999992</v>
      </c>
      <c r="K79" s="84" t="str">
        <f>CONCATENATE("A(",C77,")=")</f>
        <v>A(4)=</v>
      </c>
      <c r="L79" s="84">
        <f>VLOOKUP(C77,STN_TABLE,3,FALSE)</f>
        <v>46.239999999999995</v>
      </c>
      <c r="M79" t="str">
        <f>CONCATENATE("A(",C79,")=")</f>
        <v>A(6)=</v>
      </c>
      <c r="N79">
        <f>J79+L79</f>
        <v>101.6</v>
      </c>
      <c r="O79" s="99">
        <f>O78+1</f>
        <v>12</v>
      </c>
      <c r="P79" s="99">
        <f t="shared" si="23"/>
        <v>6.5</v>
      </c>
      <c r="Q79" s="82" t="e">
        <f>IF(P79-P78=P78-P77,P79,IF(P80-P78=P78-P77,P80,IF(P79-P78=P78-P76,P79,IF(P80-P78=P78-P76,P80,"-"))))</f>
        <v>#VALUE!</v>
      </c>
      <c r="R79" s="83" t="e">
        <f>VLOOKUP(Q79,STN_TABLE,2,FALSE)</f>
        <v>#VALUE!</v>
      </c>
      <c r="S79" s="83">
        <v>-1</v>
      </c>
      <c r="T79" s="82" t="e">
        <f>R79*S79</f>
        <v>#VALUE!</v>
      </c>
      <c r="U79" s="88">
        <v>-1</v>
      </c>
      <c r="V79" s="82" t="e">
        <f>R79*U79</f>
        <v>#VALUE!</v>
      </c>
      <c r="W79" s="84" t="str">
        <f>CONCATENATE("a'(",Q78,")=")</f>
        <v>a'(6)=</v>
      </c>
      <c r="X79" s="84" t="e">
        <f>2*X77/12*T80</f>
        <v>#VALUE!</v>
      </c>
      <c r="Y79" s="84" t="e">
        <f>CONCATENATE("A(",Q77,")=")</f>
        <v>#VALUE!</v>
      </c>
      <c r="Z79" s="84" t="e">
        <f>VLOOKUP(Q77,STN_TABLE,3,FALSE)</f>
        <v>#VALUE!</v>
      </c>
      <c r="AA79" t="str">
        <f>CONCATENATE("A(",Q78,")=")</f>
        <v>A(6)=</v>
      </c>
      <c r="AB79" t="e">
        <f>X79+Z79</f>
        <v>#VALUE!</v>
      </c>
      <c r="AC79" s="99">
        <f>AC78+1</f>
        <v>11</v>
      </c>
      <c r="AD79" s="100">
        <f>VLOOKUP(AC79,STN_TABLE_2,2,FALSE)</f>
        <v>6</v>
      </c>
      <c r="AE79" s="82">
        <f>VLOOKUP(AD79,STN_TABLE,2,FALSE)</f>
        <v>7.98</v>
      </c>
      <c r="AF79" s="82">
        <v>2</v>
      </c>
      <c r="AG79" s="83">
        <f>AE79*AF79</f>
        <v>15.96</v>
      </c>
      <c r="AH79" s="84" t="str">
        <f>CONCATENATE("a'(",AD79,")=")</f>
        <v>a'(6)=</v>
      </c>
      <c r="AI79" s="84">
        <f>2*AI77/2*AE80</f>
        <v>29.98</v>
      </c>
      <c r="AJ79" s="84" t="str">
        <f>CONCATENATE("A(",AD78,")=")</f>
        <v>A(5)=</v>
      </c>
      <c r="AK79" s="84">
        <f>VLOOKUP(AD78,STN_TABLE,3,FALSE)</f>
        <v>71.696666666666658</v>
      </c>
      <c r="AL79" t="str">
        <f>CONCATENATE("A(",AD79,")=")</f>
        <v>A(6)=</v>
      </c>
      <c r="AM79">
        <f>AI79+AK79</f>
        <v>101.67666666666666</v>
      </c>
      <c r="AO79" s="68" t="str">
        <f>AA79</f>
        <v>A(6)=</v>
      </c>
      <c r="AP79" s="68" t="e">
        <f>VLOOKUP(AO79,Rise_Results,2,FALSE)</f>
        <v>#N/A</v>
      </c>
      <c r="AQ79" s="76">
        <f>N79</f>
        <v>101.6</v>
      </c>
      <c r="AR79" s="76" t="e">
        <f>IF(OR(AB79&lt;=0,AB80&lt;=0),1/0,AB79)</f>
        <v>#VALUE!</v>
      </c>
      <c r="AS79" s="76">
        <f>AM79</f>
        <v>101.67666666666666</v>
      </c>
      <c r="AT79">
        <f>IFERROR(AP79,IFERROR(AQ79,IFERROR(AR79,AS79)))</f>
        <v>101.6</v>
      </c>
      <c r="AU79" s="81"/>
    </row>
    <row r="80" spans="1:47" x14ac:dyDescent="0.25">
      <c r="A80" s="84">
        <f>A79+1</f>
        <v>11</v>
      </c>
      <c r="B80" s="84">
        <f t="shared" si="27"/>
        <v>6</v>
      </c>
      <c r="F80" s="82">
        <f>SUM(F77:F79)</f>
        <v>41.519999999999996</v>
      </c>
      <c r="H80" s="82">
        <f>SUM(H77:H79)</f>
        <v>210.07999999999998</v>
      </c>
      <c r="I80" s="84" t="str">
        <f>CONCATENATE("m'(",C79,")=")</f>
        <v>m'(6)=</v>
      </c>
      <c r="J80" s="84">
        <f>2*(J77*(WLS))/3*H80</f>
        <v>560.21333333333325</v>
      </c>
      <c r="K80" s="84" t="str">
        <f>CONCATENATE("M(",C77,")=")</f>
        <v>M(4)=</v>
      </c>
      <c r="L80" s="84">
        <f>VLOOKUP(C77,STN_TABLE,4,FALSE)</f>
        <v>231.97666666666663</v>
      </c>
      <c r="M80" t="str">
        <f>CONCATENATE("M(",C79,")=")</f>
        <v>M(6)=</v>
      </c>
      <c r="N80">
        <f>J80+L80</f>
        <v>792.18999999999983</v>
      </c>
      <c r="O80" s="99">
        <f>O79+1</f>
        <v>13</v>
      </c>
      <c r="P80" s="99" t="str">
        <f t="shared" si="23"/>
        <v xml:space="preserve">  </v>
      </c>
      <c r="T80" s="89" t="e">
        <f>SUM(T77:T79)</f>
        <v>#VALUE!</v>
      </c>
      <c r="V80" s="82" t="e">
        <f>SUM(V77:V79)</f>
        <v>#VALUE!</v>
      </c>
      <c r="W80" s="84" t="str">
        <f>CONCATENATE("m'(",Q78,")=")</f>
        <v>m'(6)=</v>
      </c>
      <c r="X80" s="84" t="e">
        <f>(2*(X77^2)/24*V80)+(X79*Q77*WLS)</f>
        <v>#VALUE!</v>
      </c>
      <c r="Y80" s="84" t="e">
        <f>CONCATENATE("M(",Q77,")=")</f>
        <v>#VALUE!</v>
      </c>
      <c r="Z80" s="84" t="e">
        <f>VLOOKUP(Q77,STN_TABLE,4,FALSE)</f>
        <v>#VALUE!</v>
      </c>
      <c r="AA80" t="str">
        <f>CONCATENATE("M(",Q78,")=")</f>
        <v>M(6)=</v>
      </c>
      <c r="AB80" t="e">
        <f>X80+Z80</f>
        <v>#VALUE!</v>
      </c>
      <c r="AE80" s="89">
        <f>SUM(AE78:AE79)</f>
        <v>14.99</v>
      </c>
      <c r="AG80" s="89">
        <f>SUM(AG78:AG79)</f>
        <v>22.97</v>
      </c>
      <c r="AH80" s="84" t="str">
        <f>CONCATENATE("m'(",AD79,")=")</f>
        <v>m'(6)=</v>
      </c>
      <c r="AI80" s="84">
        <f>(2*(AI77^2)/6*AG80)+(AI79*AD78*WLS)</f>
        <v>330.42666666666668</v>
      </c>
      <c r="AJ80" s="84" t="str">
        <f>CONCATENATE("M(",AD78,")=")</f>
        <v>M(5)=</v>
      </c>
      <c r="AK80" s="84">
        <f>VLOOKUP(AD78,STN_TABLE,4,FALSE)</f>
        <v>461</v>
      </c>
      <c r="AL80" t="str">
        <f>CONCATENATE("M(",AD79,")=")</f>
        <v>M(6)=</v>
      </c>
      <c r="AM80">
        <f>AI80+AK80</f>
        <v>791.42666666666673</v>
      </c>
      <c r="AO80" s="82" t="str">
        <f>AA80</f>
        <v>M(6)=</v>
      </c>
      <c r="AP80" s="82" t="e">
        <f>VLOOKUP(AO80,Rise_Results,2,FALSE)</f>
        <v>#N/A</v>
      </c>
      <c r="AQ80" s="82">
        <f>N80</f>
        <v>792.18999999999983</v>
      </c>
      <c r="AR80" s="82" t="e">
        <f>IF(OR(AB79&lt;=0,AB80&lt;=0),1/0,AB80)</f>
        <v>#VALUE!</v>
      </c>
      <c r="AS80" s="82">
        <f>AM80</f>
        <v>791.42666666666673</v>
      </c>
      <c r="AT80">
        <f>IFERROR(AP80,IFERROR(AQ80,IFERROR(AR80,AS80)))</f>
        <v>792.18999999999983</v>
      </c>
      <c r="AU80" s="81"/>
    </row>
    <row r="81" spans="1:47" x14ac:dyDescent="0.25">
      <c r="A81" s="101">
        <f>A76+1</f>
        <v>8</v>
      </c>
      <c r="B81" s="101">
        <f t="shared" si="27"/>
        <v>4</v>
      </c>
      <c r="O81" s="101">
        <f>O76+1</f>
        <v>10</v>
      </c>
      <c r="P81" s="101">
        <f t="shared" si="23"/>
        <v>5</v>
      </c>
      <c r="AU81" s="81"/>
    </row>
    <row r="82" spans="1:47" x14ac:dyDescent="0.25">
      <c r="A82" s="84">
        <f>A81+1</f>
        <v>9</v>
      </c>
      <c r="B82" s="84">
        <f t="shared" si="27"/>
        <v>4.8499999999999996</v>
      </c>
      <c r="C82" s="79" t="str">
        <f t="shared" ref="C82" si="32">IF(C83=B84,IF(C84-C83=C83-B83,B83,IF(C84-C83=C83-B82,B82,"#NA")),IF(C83=B83,IF(C84-C83=C83-B82,B82,IF(C84-C83=C83-B81,B81,"#NA")),"#NA"))</f>
        <v>#NA</v>
      </c>
      <c r="D82" s="68" t="e">
        <f>VLOOKUP(C82,STN_TABLE,2,FALSE)</f>
        <v>#N/A</v>
      </c>
      <c r="E82" s="102">
        <v>1</v>
      </c>
      <c r="F82" s="68" t="e">
        <f>D82*E82</f>
        <v>#N/A</v>
      </c>
      <c r="G82" s="69" t="str">
        <f>C82</f>
        <v>#NA</v>
      </c>
      <c r="H82" s="69" t="e">
        <f>F82*G82</f>
        <v>#N/A</v>
      </c>
      <c r="I82" s="6" t="s">
        <v>93</v>
      </c>
      <c r="J82" s="70" t="e">
        <f>IF(OR(D82=0,D83=0,D84=0),"#NA",IF(AND(C84-C83=C83-C82,C83&lt;&gt;C84,C82&lt;&gt;C83,C82&lt;&gt;C84,D84&lt;&gt;0,OR(D82&lt;&gt;0,D83&lt;&gt;0)),WLS*(C84-C83),"#NA"))</f>
        <v>#N/A</v>
      </c>
      <c r="O82" s="99">
        <f>O81+1</f>
        <v>11</v>
      </c>
      <c r="P82" s="99">
        <f t="shared" si="23"/>
        <v>6</v>
      </c>
      <c r="Q82" s="68" t="e">
        <f>IF(OR(P84-P83=P83-P82,P85-P83=P83-P82),P82,IF(OR(P84-P83=P83-P81,P85-P83=P83-P81),P81,"-"))</f>
        <v>#VALUE!</v>
      </c>
      <c r="R82" s="69" t="e">
        <f>VLOOKUP(Q82,STN_TABLE,2,FALSE)</f>
        <v>#VALUE!</v>
      </c>
      <c r="S82" s="69">
        <v>5</v>
      </c>
      <c r="T82" s="68" t="e">
        <f>R82*S82</f>
        <v>#VALUE!</v>
      </c>
      <c r="U82" s="79">
        <v>3</v>
      </c>
      <c r="V82" s="68" t="e">
        <f>R82*U82</f>
        <v>#VALUE!</v>
      </c>
      <c r="W82" s="6" t="s">
        <v>93</v>
      </c>
      <c r="X82" s="70" t="e">
        <f>IF(AND(Q84-Q83=Q83-Q82,NOT(AND(Q82=0,Q83=0)),NOT(AND(Q83=0,Q84=0))),WLS*(Q84-Q83),"#NA")</f>
        <v>#VALUE!</v>
      </c>
      <c r="AD82" s="93"/>
      <c r="AH82" s="6" t="s">
        <v>93</v>
      </c>
      <c r="AI82" s="70">
        <f>WLS*(AD84-AD83)</f>
        <v>1</v>
      </c>
      <c r="AU82" s="81"/>
    </row>
    <row r="83" spans="1:47" x14ac:dyDescent="0.25">
      <c r="A83" s="84">
        <f>A82+1</f>
        <v>10</v>
      </c>
      <c r="B83" s="84">
        <f t="shared" si="27"/>
        <v>5</v>
      </c>
      <c r="C83" s="80" t="str">
        <f t="shared" ref="C83" si="33">IF(OR(B85-B84=B84-B83,B85-B84=B84-B82,B85-B84=B84-B81),B84,IF(OR(B85-B83=B83-B82,B85-B83=B83-B81),B83,IF(B85-B82=B82-B81,B82,"#NA")))</f>
        <v>#NA</v>
      </c>
      <c r="D83" s="76" t="e">
        <f>VLOOKUP(C83,STN_TABLE,2,FALSE)</f>
        <v>#N/A</v>
      </c>
      <c r="E83" s="81">
        <v>4</v>
      </c>
      <c r="F83" s="76" t="e">
        <f>D83*E83</f>
        <v>#N/A</v>
      </c>
      <c r="G83" s="77" t="str">
        <f>C83</f>
        <v>#NA</v>
      </c>
      <c r="H83" s="77" t="e">
        <f>F83*G83</f>
        <v>#N/A</v>
      </c>
      <c r="I83" s="495" t="s">
        <v>97</v>
      </c>
      <c r="J83" s="496"/>
      <c r="K83" s="78" t="s">
        <v>98</v>
      </c>
      <c r="L83" s="78"/>
      <c r="M83" s="7" t="s">
        <v>99</v>
      </c>
      <c r="N83" s="7"/>
      <c r="O83" s="99">
        <f>O82+1</f>
        <v>12</v>
      </c>
      <c r="P83" s="99">
        <f t="shared" si="23"/>
        <v>6.5</v>
      </c>
      <c r="Q83" s="76">
        <f>P83</f>
        <v>6.5</v>
      </c>
      <c r="R83" s="77">
        <f>VLOOKUP(Q83,STN_TABLE,2,FALSE)</f>
        <v>8.42</v>
      </c>
      <c r="S83" s="77">
        <v>8</v>
      </c>
      <c r="T83" s="76">
        <f>R83*S83</f>
        <v>67.36</v>
      </c>
      <c r="U83" s="80">
        <v>10</v>
      </c>
      <c r="V83" s="76">
        <f>R83*U83</f>
        <v>84.2</v>
      </c>
      <c r="W83" s="496" t="s">
        <v>97</v>
      </c>
      <c r="X83" s="496"/>
      <c r="Y83" s="496" t="s">
        <v>98</v>
      </c>
      <c r="Z83" s="496"/>
      <c r="AA83" s="494" t="s">
        <v>99</v>
      </c>
      <c r="AB83" s="494"/>
      <c r="AC83" s="99">
        <f>AC78+1</f>
        <v>11</v>
      </c>
      <c r="AD83" s="95">
        <f>VLOOKUP(AC83,STN_TABLE_2,2,FALSE)</f>
        <v>6</v>
      </c>
      <c r="AE83" s="68">
        <f>VLOOKUP(AD83,STN_TABLE,2,FALSE)</f>
        <v>7.98</v>
      </c>
      <c r="AF83" s="68">
        <v>1</v>
      </c>
      <c r="AG83" s="69">
        <f>AE83*AF83</f>
        <v>7.98</v>
      </c>
      <c r="AH83" s="496" t="s">
        <v>97</v>
      </c>
      <c r="AI83" s="496"/>
      <c r="AJ83" s="496" t="s">
        <v>98</v>
      </c>
      <c r="AK83" s="496"/>
      <c r="AL83" s="494" t="s">
        <v>99</v>
      </c>
      <c r="AM83" s="494"/>
      <c r="AP83" s="86" t="s">
        <v>112</v>
      </c>
      <c r="AQ83" s="89" t="s">
        <v>113</v>
      </c>
      <c r="AR83" s="89" t="s">
        <v>114</v>
      </c>
      <c r="AS83" s="89" t="s">
        <v>115</v>
      </c>
      <c r="AU83" s="81"/>
    </row>
    <row r="84" spans="1:47" x14ac:dyDescent="0.25">
      <c r="A84" s="84">
        <f>A83+1</f>
        <v>11</v>
      </c>
      <c r="B84" s="84">
        <f t="shared" si="27"/>
        <v>6</v>
      </c>
      <c r="C84" s="88">
        <f t="shared" ref="C84" si="34">B85</f>
        <v>6.5</v>
      </c>
      <c r="D84" s="82">
        <f>VLOOKUP(C84,STN_TABLE,2,FALSE)</f>
        <v>8.42</v>
      </c>
      <c r="E84" s="92">
        <v>1</v>
      </c>
      <c r="F84" s="82">
        <f>D84*E84</f>
        <v>8.42</v>
      </c>
      <c r="G84" s="83">
        <f>C84</f>
        <v>6.5</v>
      </c>
      <c r="H84" s="83">
        <f>F84*G84</f>
        <v>54.73</v>
      </c>
      <c r="I84" s="84" t="str">
        <f>CONCATENATE("a'(",C84,")=")</f>
        <v>a'(6.5)=</v>
      </c>
      <c r="J84" s="84" t="e">
        <f>2*J82/3*F85</f>
        <v>#N/A</v>
      </c>
      <c r="K84" s="84" t="str">
        <f>CONCATENATE("A(",C82,")=")</f>
        <v>A(#NA)=</v>
      </c>
      <c r="L84" s="84" t="e">
        <f>VLOOKUP(C82,STN_TABLE,3,FALSE)</f>
        <v>#N/A</v>
      </c>
      <c r="M84" t="str">
        <f>CONCATENATE("A(",C84,")=")</f>
        <v>A(6.5)=</v>
      </c>
      <c r="N84" t="e">
        <f>J84+L84</f>
        <v>#N/A</v>
      </c>
      <c r="O84" s="99">
        <f>O83+1</f>
        <v>13</v>
      </c>
      <c r="P84" s="99" t="str">
        <f t="shared" si="23"/>
        <v xml:space="preserve">  </v>
      </c>
      <c r="Q84" s="82" t="e">
        <f>IF(P84-P83=P83-P82,P84,IF(P85-P83=P83-P82,P85,IF(P84-P83=P83-P81,P84,IF(P85-P83=P83-P81,P85,"-"))))</f>
        <v>#VALUE!</v>
      </c>
      <c r="R84" s="83" t="e">
        <f>VLOOKUP(Q84,STN_TABLE,2,FALSE)</f>
        <v>#VALUE!</v>
      </c>
      <c r="S84" s="83">
        <v>-1</v>
      </c>
      <c r="T84" s="82" t="e">
        <f>R84*S84</f>
        <v>#VALUE!</v>
      </c>
      <c r="U84" s="88">
        <v>-1</v>
      </c>
      <c r="V84" s="82" t="e">
        <f>R84*U84</f>
        <v>#VALUE!</v>
      </c>
      <c r="W84" s="84" t="str">
        <f>CONCATENATE("a'(",Q83,")=")</f>
        <v>a'(6.5)=</v>
      </c>
      <c r="X84" s="84" t="e">
        <f>2*X82/12*T85</f>
        <v>#VALUE!</v>
      </c>
      <c r="Y84" s="84" t="e">
        <f>CONCATENATE("A(",Q82,")=")</f>
        <v>#VALUE!</v>
      </c>
      <c r="Z84" s="84" t="e">
        <f>VLOOKUP(Q82,STN_TABLE,3,FALSE)</f>
        <v>#VALUE!</v>
      </c>
      <c r="AA84" t="str">
        <f>CONCATENATE("A(",Q83,")=")</f>
        <v>A(6.5)=</v>
      </c>
      <c r="AB84" t="e">
        <f>X84+Z84</f>
        <v>#VALUE!</v>
      </c>
      <c r="AC84" s="99">
        <f>AC83+1</f>
        <v>12</v>
      </c>
      <c r="AD84" s="100">
        <f>VLOOKUP(AC84,STN_TABLE_2,2,FALSE)</f>
        <v>6.5</v>
      </c>
      <c r="AE84" s="82">
        <f>VLOOKUP(AD84,STN_TABLE,2,FALSE)</f>
        <v>8.42</v>
      </c>
      <c r="AF84" s="82">
        <v>2</v>
      </c>
      <c r="AG84" s="83">
        <f>AE84*AF84</f>
        <v>16.84</v>
      </c>
      <c r="AH84" s="84" t="str">
        <f>CONCATENATE("a'(",AD84,")=")</f>
        <v>a'(6.5)=</v>
      </c>
      <c r="AI84" s="84">
        <f>2*AI82/2*AE85</f>
        <v>16.399999999999999</v>
      </c>
      <c r="AJ84" s="84" t="str">
        <f>CONCATENATE("A(",AD83,")=")</f>
        <v>A(6)=</v>
      </c>
      <c r="AK84" s="84">
        <f>VLOOKUP(AD83,STN_TABLE,3,FALSE)</f>
        <v>101.6</v>
      </c>
      <c r="AL84" t="str">
        <f>CONCATENATE("A(",AD84,")=")</f>
        <v>A(6.5)=</v>
      </c>
      <c r="AM84">
        <f>AI84+AK84</f>
        <v>118</v>
      </c>
      <c r="AO84" s="68" t="str">
        <f>AA84</f>
        <v>A(6.5)=</v>
      </c>
      <c r="AP84" s="68" t="e">
        <f>VLOOKUP(AO84,Rise_Results,2,FALSE)</f>
        <v>#N/A</v>
      </c>
      <c r="AQ84" s="76" t="e">
        <f>N84</f>
        <v>#N/A</v>
      </c>
      <c r="AR84" s="76" t="e">
        <f>IF(OR(AB84&lt;=0,AB85&lt;=0),1/0,AB84)</f>
        <v>#VALUE!</v>
      </c>
      <c r="AS84" s="76">
        <f>AM84</f>
        <v>118</v>
      </c>
      <c r="AT84">
        <f>IFERROR(AP84,IFERROR(AQ84,IFERROR(AR84,AS84)))</f>
        <v>118</v>
      </c>
      <c r="AU84" s="81"/>
    </row>
    <row r="85" spans="1:47" x14ac:dyDescent="0.25">
      <c r="A85" s="84">
        <f>A84+1</f>
        <v>12</v>
      </c>
      <c r="B85" s="84">
        <f t="shared" si="27"/>
        <v>6.5</v>
      </c>
      <c r="F85" s="82" t="e">
        <f>SUM(F82:F84)</f>
        <v>#N/A</v>
      </c>
      <c r="H85" s="82" t="e">
        <f>SUM(H82:H84)</f>
        <v>#N/A</v>
      </c>
      <c r="I85" s="84" t="str">
        <f>CONCATENATE("m'(",C84,")=")</f>
        <v>m'(6.5)=</v>
      </c>
      <c r="J85" s="84" t="e">
        <f>2*(J82*(WLS))/3*H85</f>
        <v>#N/A</v>
      </c>
      <c r="K85" s="84" t="str">
        <f>CONCATENATE("M(",C82,")=")</f>
        <v>M(#NA)=</v>
      </c>
      <c r="L85" s="84" t="e">
        <f>VLOOKUP(C82,STN_TABLE,4,FALSE)</f>
        <v>#N/A</v>
      </c>
      <c r="M85" t="str">
        <f>CONCATENATE("M(",C84,")=")</f>
        <v>M(6.5)=</v>
      </c>
      <c r="N85" t="e">
        <f>J85+L85</f>
        <v>#N/A</v>
      </c>
      <c r="O85" s="99">
        <f>O84+1</f>
        <v>14</v>
      </c>
      <c r="P85" s="99" t="str">
        <f t="shared" si="23"/>
        <v xml:space="preserve">  </v>
      </c>
      <c r="T85" s="89" t="e">
        <f>SUM(T82:T84)</f>
        <v>#VALUE!</v>
      </c>
      <c r="V85" s="82" t="e">
        <f>SUM(V82:V84)</f>
        <v>#VALUE!</v>
      </c>
      <c r="W85" s="84" t="str">
        <f>CONCATENATE("m'(",Q83,")=")</f>
        <v>m'(6.5)=</v>
      </c>
      <c r="X85" s="84" t="e">
        <f>(2*(X82^2)/24*V85)+(X84*Q82*WLS)</f>
        <v>#VALUE!</v>
      </c>
      <c r="Y85" s="84" t="e">
        <f>CONCATENATE("M(",Q82,")=")</f>
        <v>#VALUE!</v>
      </c>
      <c r="Z85" s="84" t="e">
        <f>VLOOKUP(Q82,STN_TABLE,4,FALSE)</f>
        <v>#VALUE!</v>
      </c>
      <c r="AA85" t="str">
        <f>CONCATENATE("M(",Q83,")=")</f>
        <v>M(6.5)=</v>
      </c>
      <c r="AB85" t="e">
        <f>X85+Z85</f>
        <v>#VALUE!</v>
      </c>
      <c r="AE85" s="89">
        <f>SUM(AE83:AE84)</f>
        <v>16.399999999999999</v>
      </c>
      <c r="AG85" s="89">
        <f>SUM(AG83:AG84)</f>
        <v>24.82</v>
      </c>
      <c r="AH85" s="84" t="str">
        <f>CONCATENATE("m'(",AD84,")=")</f>
        <v>m'(6.5)=</v>
      </c>
      <c r="AI85" s="84">
        <f>(2*(AI82^2)/6*AG85)+(AI84*AD83*WLS)</f>
        <v>205.07333333333332</v>
      </c>
      <c r="AJ85" s="84" t="str">
        <f>CONCATENATE("M(",AD83,")=")</f>
        <v>M(6)=</v>
      </c>
      <c r="AK85" s="84">
        <f>VLOOKUP(AD83,STN_TABLE,4,FALSE)</f>
        <v>792.18999999999983</v>
      </c>
      <c r="AL85" t="str">
        <f>CONCATENATE("M(",AD84,")=")</f>
        <v>M(6.5)=</v>
      </c>
      <c r="AM85">
        <f>AI85+AK85</f>
        <v>997.26333333333309</v>
      </c>
      <c r="AO85" s="82" t="str">
        <f>AA85</f>
        <v>M(6.5)=</v>
      </c>
      <c r="AP85" s="82" t="e">
        <f>VLOOKUP(AO85,Rise_Results,2,FALSE)</f>
        <v>#N/A</v>
      </c>
      <c r="AQ85" s="82" t="e">
        <f>N85</f>
        <v>#N/A</v>
      </c>
      <c r="AR85" s="82" t="e">
        <f>IF(OR(AB84&lt;=0,AB85&lt;=0),1/0,AB85)</f>
        <v>#VALUE!</v>
      </c>
      <c r="AS85" s="82">
        <f>AM85</f>
        <v>997.26333333333309</v>
      </c>
      <c r="AT85">
        <f>IFERROR(AP85,IFERROR(AQ85,IFERROR(AR85,AS85)))</f>
        <v>997.26333333333309</v>
      </c>
      <c r="AU85" s="81"/>
    </row>
    <row r="86" spans="1:47" x14ac:dyDescent="0.25">
      <c r="A86" s="101">
        <f>A81+1</f>
        <v>9</v>
      </c>
      <c r="B86" s="101">
        <f t="shared" si="27"/>
        <v>4.8499999999999996</v>
      </c>
      <c r="O86" s="101">
        <f>O81+1</f>
        <v>11</v>
      </c>
      <c r="P86" s="101">
        <f t="shared" si="23"/>
        <v>6</v>
      </c>
      <c r="AU86" s="81"/>
    </row>
    <row r="87" spans="1:47" x14ac:dyDescent="0.25">
      <c r="A87" s="84">
        <f>A86+1</f>
        <v>10</v>
      </c>
      <c r="B87" s="84">
        <f t="shared" si="27"/>
        <v>5</v>
      </c>
      <c r="C87" s="79" t="e">
        <f t="shared" ref="C87" si="35">IF(C88=B89,IF(C89-C88=C88-B88,B88,IF(C89-C88=C88-B87,B87,"#NA")),IF(C88=B88,IF(C89-C88=C88-B87,B87,IF(C89-C88=C88-B86,B86,"#NA")),"#NA"))</f>
        <v>#VALUE!</v>
      </c>
      <c r="D87" s="68" t="e">
        <f>VLOOKUP(C87,STN_TABLE,2,FALSE)</f>
        <v>#VALUE!</v>
      </c>
      <c r="E87" s="102">
        <v>1</v>
      </c>
      <c r="F87" s="68" t="e">
        <f>D87*E87</f>
        <v>#VALUE!</v>
      </c>
      <c r="G87" s="69" t="e">
        <f>C87</f>
        <v>#VALUE!</v>
      </c>
      <c r="H87" s="69" t="e">
        <f>F87*G87</f>
        <v>#VALUE!</v>
      </c>
      <c r="I87" s="6" t="s">
        <v>93</v>
      </c>
      <c r="J87" s="70" t="e">
        <f>IF(OR(D87=0,D88=0,D89=0),"#NA",IF(AND(C89-C88=C88-C87,C88&lt;&gt;C89,C87&lt;&gt;C88,C87&lt;&gt;C89,D89&lt;&gt;0,OR(D87&lt;&gt;0,D88&lt;&gt;0)),WLS*(C89-C88),"#NA"))</f>
        <v>#VALUE!</v>
      </c>
      <c r="O87" s="99">
        <f>O86+1</f>
        <v>12</v>
      </c>
      <c r="P87" s="99">
        <f t="shared" si="23"/>
        <v>6.5</v>
      </c>
      <c r="Q87" s="68" t="e">
        <f>IF(OR(P89-P88=P88-P87,P90-P88=P88-P87),P87,IF(OR(P89-P88=P88-P86,P90-P88=P88-P86),P86,"-"))</f>
        <v>#VALUE!</v>
      </c>
      <c r="R87" s="69" t="e">
        <f>VLOOKUP(Q87,STN_TABLE,2,FALSE)</f>
        <v>#VALUE!</v>
      </c>
      <c r="S87" s="69">
        <v>5</v>
      </c>
      <c r="T87" s="68" t="e">
        <f>R87*S87</f>
        <v>#VALUE!</v>
      </c>
      <c r="U87" s="79">
        <v>3</v>
      </c>
      <c r="V87" s="68" t="e">
        <f>R87*U87</f>
        <v>#VALUE!</v>
      </c>
      <c r="W87" s="6" t="s">
        <v>93</v>
      </c>
      <c r="X87" s="70" t="e">
        <f>IF(AND(Q89-Q88=Q88-Q87,NOT(AND(Q87=0,Q88=0)),NOT(AND(Q88=0,Q89=0))),WLS*(Q89-Q88),"#NA")</f>
        <v>#VALUE!</v>
      </c>
      <c r="AD87" s="93"/>
      <c r="AH87" s="6" t="s">
        <v>93</v>
      </c>
      <c r="AI87" s="70" t="e">
        <f>WLS*(AD89-AD88)</f>
        <v>#VALUE!</v>
      </c>
      <c r="AU87" s="81"/>
    </row>
    <row r="88" spans="1:47" x14ac:dyDescent="0.25">
      <c r="A88" s="84">
        <f>A87+1</f>
        <v>11</v>
      </c>
      <c r="B88" s="84">
        <f t="shared" si="27"/>
        <v>6</v>
      </c>
      <c r="C88" s="80" t="e">
        <f t="shared" ref="C88" si="36">IF(OR(B90-B89=B89-B88,B90-B89=B89-B87,B90-B89=B89-B86),B89,IF(OR(B90-B88=B88-B87,B90-B88=B88-B86),B88,IF(B90-B87=B87-B86,B87,"#NA")))</f>
        <v>#VALUE!</v>
      </c>
      <c r="D88" s="76" t="e">
        <f>VLOOKUP(C88,STN_TABLE,2,FALSE)</f>
        <v>#VALUE!</v>
      </c>
      <c r="E88" s="81">
        <v>4</v>
      </c>
      <c r="F88" s="76" t="e">
        <f>D88*E88</f>
        <v>#VALUE!</v>
      </c>
      <c r="G88" s="77" t="e">
        <f>C88</f>
        <v>#VALUE!</v>
      </c>
      <c r="H88" s="77" t="e">
        <f>F88*G88</f>
        <v>#VALUE!</v>
      </c>
      <c r="I88" s="495" t="s">
        <v>97</v>
      </c>
      <c r="J88" s="496"/>
      <c r="K88" s="78" t="s">
        <v>98</v>
      </c>
      <c r="L88" s="78"/>
      <c r="M88" s="7" t="s">
        <v>99</v>
      </c>
      <c r="N88" s="7"/>
      <c r="O88" s="99">
        <f>O87+1</f>
        <v>13</v>
      </c>
      <c r="P88" s="99" t="str">
        <f t="shared" si="23"/>
        <v xml:space="preserve">  </v>
      </c>
      <c r="Q88" s="76" t="str">
        <f>P88</f>
        <v xml:space="preserve">  </v>
      </c>
      <c r="R88" s="77" t="str">
        <f>VLOOKUP(Q88,STN_TABLE,2,FALSE)</f>
        <v xml:space="preserve">  </v>
      </c>
      <c r="S88" s="77">
        <v>8</v>
      </c>
      <c r="T88" s="76" t="e">
        <f>R88*S88</f>
        <v>#VALUE!</v>
      </c>
      <c r="U88" s="80">
        <v>10</v>
      </c>
      <c r="V88" s="76" t="e">
        <f>R88*U88</f>
        <v>#VALUE!</v>
      </c>
      <c r="W88" s="496" t="s">
        <v>97</v>
      </c>
      <c r="X88" s="496"/>
      <c r="Y88" s="496" t="s">
        <v>98</v>
      </c>
      <c r="Z88" s="496"/>
      <c r="AA88" s="494" t="s">
        <v>99</v>
      </c>
      <c r="AB88" s="494"/>
      <c r="AC88" s="99">
        <f>AC83+1</f>
        <v>12</v>
      </c>
      <c r="AD88" s="95">
        <f>VLOOKUP(AC88,STN_TABLE_2,2,FALSE)</f>
        <v>6.5</v>
      </c>
      <c r="AE88" s="68">
        <f>VLOOKUP(AD88,STN_TABLE,2,FALSE)</f>
        <v>8.42</v>
      </c>
      <c r="AF88" s="68">
        <v>1</v>
      </c>
      <c r="AG88" s="69">
        <f>AE88*AF88</f>
        <v>8.42</v>
      </c>
      <c r="AH88" s="496" t="s">
        <v>97</v>
      </c>
      <c r="AI88" s="496"/>
      <c r="AJ88" s="496" t="s">
        <v>98</v>
      </c>
      <c r="AK88" s="496"/>
      <c r="AL88" s="494" t="s">
        <v>99</v>
      </c>
      <c r="AM88" s="494"/>
      <c r="AP88" s="86" t="s">
        <v>112</v>
      </c>
      <c r="AQ88" s="89" t="s">
        <v>113</v>
      </c>
      <c r="AR88" s="89" t="s">
        <v>114</v>
      </c>
      <c r="AS88" s="89" t="s">
        <v>115</v>
      </c>
      <c r="AU88" s="81"/>
    </row>
    <row r="89" spans="1:47" x14ac:dyDescent="0.25">
      <c r="A89" s="84">
        <f>A88+1</f>
        <v>12</v>
      </c>
      <c r="B89" s="84">
        <f t="shared" si="27"/>
        <v>6.5</v>
      </c>
      <c r="C89" s="88" t="str">
        <f t="shared" ref="C89" si="37">B90</f>
        <v xml:space="preserve">  </v>
      </c>
      <c r="D89" s="82" t="str">
        <f>VLOOKUP(C89,STN_TABLE,2,FALSE)</f>
        <v xml:space="preserve">  </v>
      </c>
      <c r="E89" s="92">
        <v>1</v>
      </c>
      <c r="F89" s="82" t="e">
        <f>D89*E89</f>
        <v>#VALUE!</v>
      </c>
      <c r="G89" s="83" t="str">
        <f>C89</f>
        <v xml:space="preserve">  </v>
      </c>
      <c r="H89" s="83" t="e">
        <f>F89*G89</f>
        <v>#VALUE!</v>
      </c>
      <c r="I89" s="84" t="str">
        <f>CONCATENATE("a'(",C89,")=")</f>
        <v>a'(  )=</v>
      </c>
      <c r="J89" s="84" t="e">
        <f>2*J87/3*F90</f>
        <v>#VALUE!</v>
      </c>
      <c r="K89" s="84" t="e">
        <f>CONCATENATE("A(",C87,")=")</f>
        <v>#VALUE!</v>
      </c>
      <c r="L89" s="84" t="e">
        <f>VLOOKUP(C87,STN_TABLE,3,FALSE)</f>
        <v>#VALUE!</v>
      </c>
      <c r="M89" t="str">
        <f>CONCATENATE("A(",C89,")=")</f>
        <v>A(  )=</v>
      </c>
      <c r="N89" t="e">
        <f>J89+L89</f>
        <v>#VALUE!</v>
      </c>
      <c r="O89" s="99">
        <f>O88+1</f>
        <v>14</v>
      </c>
      <c r="P89" s="99" t="str">
        <f t="shared" si="23"/>
        <v xml:space="preserve">  </v>
      </c>
      <c r="Q89" s="82" t="e">
        <f>IF(P89-P88=P88-P87,P89,IF(P90-P88=P88-P87,P90,IF(P89-P88=P88-P86,P89,IF(P90-P88=P88-P86,P90,"-"))))</f>
        <v>#VALUE!</v>
      </c>
      <c r="R89" s="83" t="e">
        <f>VLOOKUP(Q89,STN_TABLE,2,FALSE)</f>
        <v>#VALUE!</v>
      </c>
      <c r="S89" s="83">
        <v>-1</v>
      </c>
      <c r="T89" s="82" t="e">
        <f>R89*S89</f>
        <v>#VALUE!</v>
      </c>
      <c r="U89" s="88">
        <v>-1</v>
      </c>
      <c r="V89" s="82" t="e">
        <f>R89*U89</f>
        <v>#VALUE!</v>
      </c>
      <c r="W89" s="84" t="str">
        <f>CONCATENATE("a'(",Q88,")=")</f>
        <v>a'(  )=</v>
      </c>
      <c r="X89" s="84" t="e">
        <f>2*X87/12*T90</f>
        <v>#VALUE!</v>
      </c>
      <c r="Y89" s="84" t="e">
        <f>CONCATENATE("A(",Q87,")=")</f>
        <v>#VALUE!</v>
      </c>
      <c r="Z89" s="84" t="e">
        <f>VLOOKUP(Q87,STN_TABLE,3,FALSE)</f>
        <v>#VALUE!</v>
      </c>
      <c r="AA89" t="str">
        <f>CONCATENATE("A(",Q88,")=")</f>
        <v>A(  )=</v>
      </c>
      <c r="AB89" t="e">
        <f>X89+Z89</f>
        <v>#VALUE!</v>
      </c>
      <c r="AC89" s="99">
        <f>AC88+1</f>
        <v>13</v>
      </c>
      <c r="AD89" s="100" t="str">
        <f>VLOOKUP(AC89,STN_TABLE_2,2,FALSE)</f>
        <v xml:space="preserve">  </v>
      </c>
      <c r="AE89" s="82" t="str">
        <f>VLOOKUP(AD89,STN_TABLE,2,FALSE)</f>
        <v xml:space="preserve">  </v>
      </c>
      <c r="AF89" s="82">
        <v>2</v>
      </c>
      <c r="AG89" s="83" t="e">
        <f>AE89*AF89</f>
        <v>#VALUE!</v>
      </c>
      <c r="AH89" s="84" t="str">
        <f>CONCATENATE("a'(",AD89,")=")</f>
        <v>a'(  )=</v>
      </c>
      <c r="AI89" s="84" t="e">
        <f>2*AI87/2*AE90</f>
        <v>#VALUE!</v>
      </c>
      <c r="AJ89" s="84" t="str">
        <f>CONCATENATE("A(",AD88,")=")</f>
        <v>A(6.5)=</v>
      </c>
      <c r="AK89" s="84">
        <f>VLOOKUP(AD88,STN_TABLE,3,FALSE)</f>
        <v>118</v>
      </c>
      <c r="AL89" t="str">
        <f>CONCATENATE("A(",AD89,")=")</f>
        <v>A(  )=</v>
      </c>
      <c r="AM89" t="e">
        <f>AI89+AK89</f>
        <v>#VALUE!</v>
      </c>
      <c r="AO89" s="68" t="str">
        <f>AA89</f>
        <v>A(  )=</v>
      </c>
      <c r="AP89" s="68" t="e">
        <f>VLOOKUP(AO89,Rise_Results,2,FALSE)</f>
        <v>#N/A</v>
      </c>
      <c r="AQ89" s="76" t="e">
        <f>N89</f>
        <v>#VALUE!</v>
      </c>
      <c r="AR89" s="76" t="e">
        <f>IF(OR(AB89&lt;=0,AB90&lt;=0),1/0,AB89)</f>
        <v>#VALUE!</v>
      </c>
      <c r="AS89" s="76" t="e">
        <f>AM89</f>
        <v>#VALUE!</v>
      </c>
      <c r="AT89" t="e">
        <f>IFERROR(AP89,IFERROR(AQ89,IFERROR(AR89,AS89)))</f>
        <v>#VALUE!</v>
      </c>
      <c r="AU89" s="81"/>
    </row>
    <row r="90" spans="1:47" x14ac:dyDescent="0.25">
      <c r="A90" s="84">
        <f>A89+1</f>
        <v>13</v>
      </c>
      <c r="B90" s="84" t="str">
        <f t="shared" si="27"/>
        <v xml:space="preserve">  </v>
      </c>
      <c r="F90" s="82" t="e">
        <f>SUM(F87:F89)</f>
        <v>#VALUE!</v>
      </c>
      <c r="H90" s="82" t="e">
        <f>SUM(H87:H89)</f>
        <v>#VALUE!</v>
      </c>
      <c r="I90" s="84" t="str">
        <f>CONCATENATE("m'(",C89,")=")</f>
        <v>m'(  )=</v>
      </c>
      <c r="J90" s="84" t="e">
        <f>2*(J87*(WLS))/3*H90</f>
        <v>#VALUE!</v>
      </c>
      <c r="K90" s="84" t="e">
        <f>CONCATENATE("M(",C87,")=")</f>
        <v>#VALUE!</v>
      </c>
      <c r="L90" s="84" t="e">
        <f>VLOOKUP(C87,STN_TABLE,4,FALSE)</f>
        <v>#VALUE!</v>
      </c>
      <c r="M90" t="str">
        <f>CONCATENATE("M(",C89,")=")</f>
        <v>M(  )=</v>
      </c>
      <c r="N90" t="e">
        <f>J90+L90</f>
        <v>#VALUE!</v>
      </c>
      <c r="O90" s="99">
        <f>O89+1</f>
        <v>15</v>
      </c>
      <c r="P90" s="99" t="str">
        <f t="shared" si="23"/>
        <v xml:space="preserve">  </v>
      </c>
      <c r="T90" s="89" t="e">
        <f>SUM(T87:T89)</f>
        <v>#VALUE!</v>
      </c>
      <c r="V90" s="82" t="e">
        <f>SUM(V87:V89)</f>
        <v>#VALUE!</v>
      </c>
      <c r="W90" s="84" t="str">
        <f>CONCATENATE("m'(",Q88,")=")</f>
        <v>m'(  )=</v>
      </c>
      <c r="X90" s="84" t="e">
        <f>(2*(X87^2)/24*V90)+(X89*Q87*WLS)</f>
        <v>#VALUE!</v>
      </c>
      <c r="Y90" s="84" t="e">
        <f>CONCATENATE("M(",Q87,")=")</f>
        <v>#VALUE!</v>
      </c>
      <c r="Z90" s="84" t="e">
        <f>VLOOKUP(Q87,STN_TABLE,4,FALSE)</f>
        <v>#VALUE!</v>
      </c>
      <c r="AA90" t="str">
        <f>CONCATENATE("M(",Q88,")=")</f>
        <v>M(  )=</v>
      </c>
      <c r="AB90" t="e">
        <f>X90+Z90</f>
        <v>#VALUE!</v>
      </c>
      <c r="AE90" s="89">
        <f>SUM(AE88:AE89)</f>
        <v>8.42</v>
      </c>
      <c r="AG90" s="89" t="e">
        <f>SUM(AG88:AG89)</f>
        <v>#VALUE!</v>
      </c>
      <c r="AH90" s="84" t="str">
        <f>CONCATENATE("m'(",AD89,")=")</f>
        <v>m'(  )=</v>
      </c>
      <c r="AI90" s="84" t="e">
        <f>(2*(AI87^2)/6*AG90)+(AI89*AD88*WLS)</f>
        <v>#VALUE!</v>
      </c>
      <c r="AJ90" s="84" t="str">
        <f>CONCATENATE("M(",AD88,")=")</f>
        <v>M(6.5)=</v>
      </c>
      <c r="AK90" s="84">
        <f>VLOOKUP(AD88,STN_TABLE,4,FALSE)</f>
        <v>997.26333333333309</v>
      </c>
      <c r="AL90" t="str">
        <f>CONCATENATE("M(",AD89,")=")</f>
        <v>M(  )=</v>
      </c>
      <c r="AM90" t="e">
        <f>AI90+AK90</f>
        <v>#VALUE!</v>
      </c>
      <c r="AO90" s="82" t="str">
        <f>AA90</f>
        <v>M(  )=</v>
      </c>
      <c r="AP90" s="82" t="e">
        <f>VLOOKUP(AO90,Rise_Results,2,FALSE)</f>
        <v>#N/A</v>
      </c>
      <c r="AQ90" s="82" t="e">
        <f>N90</f>
        <v>#VALUE!</v>
      </c>
      <c r="AR90" s="82" t="e">
        <f>IF(OR(AB89&lt;=0,AB90&lt;=0),1/0,AB90)</f>
        <v>#VALUE!</v>
      </c>
      <c r="AS90" s="82" t="e">
        <f>AM90</f>
        <v>#VALUE!</v>
      </c>
      <c r="AT90" t="e">
        <f>IFERROR(AP90,IFERROR(AQ90,IFERROR(AR90,AS90)))</f>
        <v>#VALUE!</v>
      </c>
      <c r="AU90" s="81"/>
    </row>
    <row r="91" spans="1:47" x14ac:dyDescent="0.25">
      <c r="A91" s="101">
        <f>A86+1</f>
        <v>10</v>
      </c>
      <c r="B91" s="101">
        <f t="shared" si="27"/>
        <v>5</v>
      </c>
      <c r="O91" s="101">
        <f>O86+1</f>
        <v>12</v>
      </c>
      <c r="P91" s="101">
        <f t="shared" si="23"/>
        <v>6.5</v>
      </c>
      <c r="AU91" s="81"/>
    </row>
    <row r="92" spans="1:47" x14ac:dyDescent="0.25">
      <c r="A92" s="84">
        <f>A91+1</f>
        <v>11</v>
      </c>
      <c r="B92" s="84">
        <f t="shared" si="27"/>
        <v>6</v>
      </c>
      <c r="C92" s="79" t="e">
        <f t="shared" ref="C92" si="38">IF(C93=B94,IF(C94-C93=C93-B93,B93,IF(C94-C93=C93-B92,B92,"#NA")),IF(C93=B93,IF(C94-C93=C93-B92,B92,IF(C94-C93=C93-B91,B91,"#NA")),"#NA"))</f>
        <v>#VALUE!</v>
      </c>
      <c r="D92" s="68" t="e">
        <f>VLOOKUP(C92,STN_TABLE,2,FALSE)</f>
        <v>#VALUE!</v>
      </c>
      <c r="E92" s="102">
        <v>1</v>
      </c>
      <c r="F92" s="68" t="e">
        <f>D92*E92</f>
        <v>#VALUE!</v>
      </c>
      <c r="G92" s="69" t="e">
        <f>C92</f>
        <v>#VALUE!</v>
      </c>
      <c r="H92" s="69" t="e">
        <f>F92*G92</f>
        <v>#VALUE!</v>
      </c>
      <c r="I92" s="6" t="s">
        <v>93</v>
      </c>
      <c r="J92" s="70" t="e">
        <f>IF(OR(D92=0,D93=0,D94=0),"#NA",IF(AND(C94-C93=C93-C92,C93&lt;&gt;C94,C92&lt;&gt;C93,C92&lt;&gt;C94,D94&lt;&gt;0,OR(D92&lt;&gt;0,D93&lt;&gt;0)),WLS*(C94-C93),"#NA"))</f>
        <v>#VALUE!</v>
      </c>
      <c r="O92" s="99">
        <f>O91+1</f>
        <v>13</v>
      </c>
      <c r="P92" s="99" t="str">
        <f t="shared" si="23"/>
        <v xml:space="preserve">  </v>
      </c>
      <c r="Q92" s="68" t="e">
        <f>IF(OR(P94-P93=P93-P92,P95-P93=P93-P92),P92,IF(OR(P94-P93=P93-P91,P95-P93=P93-P91),P91,"-"))</f>
        <v>#VALUE!</v>
      </c>
      <c r="R92" s="69" t="e">
        <f>VLOOKUP(Q92,STN_TABLE,2,FALSE)</f>
        <v>#VALUE!</v>
      </c>
      <c r="S92" s="69">
        <v>5</v>
      </c>
      <c r="T92" s="68" t="e">
        <f>R92*S92</f>
        <v>#VALUE!</v>
      </c>
      <c r="U92" s="79">
        <v>3</v>
      </c>
      <c r="V92" s="68" t="e">
        <f>R92*U92</f>
        <v>#VALUE!</v>
      </c>
      <c r="W92" s="6" t="s">
        <v>93</v>
      </c>
      <c r="X92" s="70" t="e">
        <f>IF(AND(Q94-Q93=Q93-Q92,NOT(AND(Q92=0,Q93=0)),NOT(AND(Q93=0,Q94=0))),WLS*(Q94-Q93),"#NA")</f>
        <v>#VALUE!</v>
      </c>
      <c r="AD92" s="93"/>
      <c r="AH92" s="6" t="s">
        <v>93</v>
      </c>
      <c r="AI92" s="70" t="e">
        <f>WLS*(AD94-AD93)</f>
        <v>#VALUE!</v>
      </c>
      <c r="AU92" s="81"/>
    </row>
    <row r="93" spans="1:47" x14ac:dyDescent="0.25">
      <c r="A93" s="84">
        <f>A92+1</f>
        <v>12</v>
      </c>
      <c r="B93" s="84">
        <f t="shared" si="27"/>
        <v>6.5</v>
      </c>
      <c r="C93" s="80" t="e">
        <f t="shared" ref="C93" si="39">IF(OR(B95-B94=B94-B93,B95-B94=B94-B92,B95-B94=B94-B91),B94,IF(OR(B95-B93=B93-B92,B95-B93=B93-B91),B93,IF(B95-B92=B92-B91,B92,"#NA")))</f>
        <v>#VALUE!</v>
      </c>
      <c r="D93" s="76" t="e">
        <f>VLOOKUP(C93,STN_TABLE,2,FALSE)</f>
        <v>#VALUE!</v>
      </c>
      <c r="E93" s="81">
        <v>4</v>
      </c>
      <c r="F93" s="76" t="e">
        <f>D93*E93</f>
        <v>#VALUE!</v>
      </c>
      <c r="G93" s="77" t="e">
        <f>C93</f>
        <v>#VALUE!</v>
      </c>
      <c r="H93" s="77" t="e">
        <f>F93*G93</f>
        <v>#VALUE!</v>
      </c>
      <c r="I93" s="495" t="s">
        <v>97</v>
      </c>
      <c r="J93" s="496"/>
      <c r="K93" s="78" t="s">
        <v>98</v>
      </c>
      <c r="L93" s="78"/>
      <c r="M93" s="7" t="s">
        <v>99</v>
      </c>
      <c r="N93" s="7"/>
      <c r="O93" s="99">
        <f>O92+1</f>
        <v>14</v>
      </c>
      <c r="P93" s="99" t="str">
        <f t="shared" si="23"/>
        <v xml:space="preserve">  </v>
      </c>
      <c r="Q93" s="76" t="str">
        <f>P93</f>
        <v xml:space="preserve">  </v>
      </c>
      <c r="R93" s="77" t="str">
        <f>VLOOKUP(Q93,STN_TABLE,2,FALSE)</f>
        <v xml:space="preserve">  </v>
      </c>
      <c r="S93" s="77">
        <v>8</v>
      </c>
      <c r="T93" s="76" t="e">
        <f>R93*S93</f>
        <v>#VALUE!</v>
      </c>
      <c r="U93" s="80">
        <v>10</v>
      </c>
      <c r="V93" s="76" t="e">
        <f>R93*U93</f>
        <v>#VALUE!</v>
      </c>
      <c r="W93" s="496" t="s">
        <v>97</v>
      </c>
      <c r="X93" s="496"/>
      <c r="Y93" s="496" t="s">
        <v>98</v>
      </c>
      <c r="Z93" s="496"/>
      <c r="AA93" s="494" t="s">
        <v>99</v>
      </c>
      <c r="AB93" s="494"/>
      <c r="AC93" s="99">
        <f>AC88+1</f>
        <v>13</v>
      </c>
      <c r="AD93" s="95" t="str">
        <f>VLOOKUP(AC93,STN_TABLE_2,2,FALSE)</f>
        <v xml:space="preserve">  </v>
      </c>
      <c r="AE93" s="68" t="str">
        <f>VLOOKUP(AD93,STN_TABLE,2,FALSE)</f>
        <v xml:space="preserve">  </v>
      </c>
      <c r="AF93" s="68">
        <v>1</v>
      </c>
      <c r="AG93" s="69" t="e">
        <f>AE93*AF93</f>
        <v>#VALUE!</v>
      </c>
      <c r="AH93" s="496" t="s">
        <v>97</v>
      </c>
      <c r="AI93" s="496"/>
      <c r="AJ93" s="496" t="s">
        <v>98</v>
      </c>
      <c r="AK93" s="496"/>
      <c r="AL93" s="494" t="s">
        <v>99</v>
      </c>
      <c r="AM93" s="494"/>
      <c r="AP93" s="86" t="s">
        <v>112</v>
      </c>
      <c r="AQ93" s="89" t="s">
        <v>113</v>
      </c>
      <c r="AR93" s="89" t="s">
        <v>114</v>
      </c>
      <c r="AS93" s="89" t="s">
        <v>115</v>
      </c>
      <c r="AU93" s="81"/>
    </row>
    <row r="94" spans="1:47" x14ac:dyDescent="0.25">
      <c r="A94" s="84">
        <f>A93+1</f>
        <v>13</v>
      </c>
      <c r="B94" s="84" t="str">
        <f t="shared" si="27"/>
        <v xml:space="preserve">  </v>
      </c>
      <c r="C94" s="88" t="str">
        <f t="shared" ref="C94" si="40">B95</f>
        <v xml:space="preserve">  </v>
      </c>
      <c r="D94" s="82" t="str">
        <f>VLOOKUP(C94,STN_TABLE,2,FALSE)</f>
        <v xml:space="preserve">  </v>
      </c>
      <c r="E94" s="92">
        <v>1</v>
      </c>
      <c r="F94" s="82" t="e">
        <f>D94*E94</f>
        <v>#VALUE!</v>
      </c>
      <c r="G94" s="83" t="str">
        <f>C94</f>
        <v xml:space="preserve">  </v>
      </c>
      <c r="H94" s="83" t="e">
        <f>F94*G94</f>
        <v>#VALUE!</v>
      </c>
      <c r="I94" s="84" t="str">
        <f>CONCATENATE("a'(",C94,")=")</f>
        <v>a'(  )=</v>
      </c>
      <c r="J94" s="84" t="e">
        <f>2*J92/3*F95</f>
        <v>#VALUE!</v>
      </c>
      <c r="K94" s="84" t="e">
        <f>CONCATENATE("A(",C92,")=")</f>
        <v>#VALUE!</v>
      </c>
      <c r="L94" s="84" t="e">
        <f>VLOOKUP(C92,STN_TABLE,3,FALSE)</f>
        <v>#VALUE!</v>
      </c>
      <c r="M94" t="str">
        <f>CONCATENATE("A(",C94,")=")</f>
        <v>A(  )=</v>
      </c>
      <c r="N94" t="e">
        <f>J94+L94</f>
        <v>#VALUE!</v>
      </c>
      <c r="O94" s="99">
        <f>O93+1</f>
        <v>15</v>
      </c>
      <c r="P94" s="99" t="str">
        <f t="shared" si="23"/>
        <v xml:space="preserve">  </v>
      </c>
      <c r="Q94" s="82" t="e">
        <f>IF(P94-P93=P93-P92,P94,IF(P95-P93=P93-P92,P95,IF(P94-P93=P93-P91,P94,IF(P95-P93=P93-P91,P95,"-"))))</f>
        <v>#VALUE!</v>
      </c>
      <c r="R94" s="83" t="e">
        <f>VLOOKUP(Q94,STN_TABLE,2,FALSE)</f>
        <v>#VALUE!</v>
      </c>
      <c r="S94" s="83">
        <v>-1</v>
      </c>
      <c r="T94" s="82" t="e">
        <f>R94*S94</f>
        <v>#VALUE!</v>
      </c>
      <c r="U94" s="88">
        <v>-1</v>
      </c>
      <c r="V94" s="82" t="e">
        <f>R94*U94</f>
        <v>#VALUE!</v>
      </c>
      <c r="W94" s="84" t="str">
        <f>CONCATENATE("a'(",Q93,")=")</f>
        <v>a'(  )=</v>
      </c>
      <c r="X94" s="84" t="e">
        <f>2*X92/12*T95</f>
        <v>#VALUE!</v>
      </c>
      <c r="Y94" s="84" t="e">
        <f>CONCATENATE("A(",Q92,")=")</f>
        <v>#VALUE!</v>
      </c>
      <c r="Z94" s="84" t="e">
        <f>VLOOKUP(Q92,STN_TABLE,3,FALSE)</f>
        <v>#VALUE!</v>
      </c>
      <c r="AA94" t="str">
        <f>CONCATENATE("A(",Q93,")=")</f>
        <v>A(  )=</v>
      </c>
      <c r="AB94" t="e">
        <f>X94+Z94</f>
        <v>#VALUE!</v>
      </c>
      <c r="AC94" s="99">
        <f>AC93+1</f>
        <v>14</v>
      </c>
      <c r="AD94" s="100" t="str">
        <f>VLOOKUP(AC94,STN_TABLE_2,2,FALSE)</f>
        <v xml:space="preserve">  </v>
      </c>
      <c r="AE94" s="82" t="str">
        <f>VLOOKUP(AD94,STN_TABLE,2,FALSE)</f>
        <v xml:space="preserve">  </v>
      </c>
      <c r="AF94" s="82">
        <v>2</v>
      </c>
      <c r="AG94" s="83" t="e">
        <f>AE94*AF94</f>
        <v>#VALUE!</v>
      </c>
      <c r="AH94" s="84" t="str">
        <f>CONCATENATE("a'(",AD94,")=")</f>
        <v>a'(  )=</v>
      </c>
      <c r="AI94" s="84" t="e">
        <f>2*AI92/2*AE95</f>
        <v>#VALUE!</v>
      </c>
      <c r="AJ94" s="84" t="str">
        <f>CONCATENATE("A(",AD93,")=")</f>
        <v>A(  )=</v>
      </c>
      <c r="AK94" s="84" t="str">
        <f>VLOOKUP(AD93,STN_TABLE,3,FALSE)</f>
        <v xml:space="preserve"> </v>
      </c>
      <c r="AL94" t="str">
        <f>CONCATENATE("A(",AD94,")=")</f>
        <v>A(  )=</v>
      </c>
      <c r="AM94" t="e">
        <f>AI94+AK94</f>
        <v>#VALUE!</v>
      </c>
      <c r="AO94" s="68" t="str">
        <f>AA94</f>
        <v>A(  )=</v>
      </c>
      <c r="AP94" s="68" t="e">
        <f>VLOOKUP(AO94,Rise_Results,2,FALSE)</f>
        <v>#N/A</v>
      </c>
      <c r="AQ94" s="76" t="e">
        <f>N94</f>
        <v>#VALUE!</v>
      </c>
      <c r="AR94" s="76" t="e">
        <f>IF(OR(AB94&lt;=0,AB95&lt;=0),1/0,AB94)</f>
        <v>#VALUE!</v>
      </c>
      <c r="AS94" s="76" t="e">
        <f>AM94</f>
        <v>#VALUE!</v>
      </c>
      <c r="AT94" t="e">
        <f>IFERROR(AP94,IFERROR(AQ94,IFERROR(AR94,AS94)))</f>
        <v>#VALUE!</v>
      </c>
      <c r="AU94" s="81"/>
    </row>
    <row r="95" spans="1:47" x14ac:dyDescent="0.25">
      <c r="A95" s="84">
        <f>A94+1</f>
        <v>14</v>
      </c>
      <c r="B95" s="84" t="str">
        <f t="shared" si="27"/>
        <v xml:space="preserve">  </v>
      </c>
      <c r="F95" s="82" t="e">
        <f>SUM(F92:F94)</f>
        <v>#VALUE!</v>
      </c>
      <c r="H95" s="82" t="e">
        <f>SUM(H92:H94)</f>
        <v>#VALUE!</v>
      </c>
      <c r="I95" s="84" t="str">
        <f>CONCATENATE("m'(",C94,")=")</f>
        <v>m'(  )=</v>
      </c>
      <c r="J95" s="84" t="e">
        <f>2*(J92*(WLS))/3*H95</f>
        <v>#VALUE!</v>
      </c>
      <c r="K95" s="84" t="e">
        <f>CONCATENATE("M(",C92,")=")</f>
        <v>#VALUE!</v>
      </c>
      <c r="L95" s="84" t="e">
        <f>VLOOKUP(C92,STN_TABLE,4,FALSE)</f>
        <v>#VALUE!</v>
      </c>
      <c r="M95" t="str">
        <f>CONCATENATE("M(",C94,")=")</f>
        <v>M(  )=</v>
      </c>
      <c r="N95" t="e">
        <f>J95+L95</f>
        <v>#VALUE!</v>
      </c>
      <c r="O95" s="99">
        <f>O94+1</f>
        <v>16</v>
      </c>
      <c r="P95" s="99" t="str">
        <f t="shared" si="23"/>
        <v xml:space="preserve">  </v>
      </c>
      <c r="T95" s="89" t="e">
        <f>SUM(T92:T94)</f>
        <v>#VALUE!</v>
      </c>
      <c r="V95" s="82" t="e">
        <f>SUM(V92:V94)</f>
        <v>#VALUE!</v>
      </c>
      <c r="W95" s="84" t="str">
        <f>CONCATENATE("m'(",Q93,")=")</f>
        <v>m'(  )=</v>
      </c>
      <c r="X95" s="84" t="e">
        <f>(2*(X92^2)/24*V95)+(X94*Q92*WLS)</f>
        <v>#VALUE!</v>
      </c>
      <c r="Y95" s="84" t="e">
        <f>CONCATENATE("M(",Q92,")=")</f>
        <v>#VALUE!</v>
      </c>
      <c r="Z95" s="84" t="e">
        <f>VLOOKUP(Q92,STN_TABLE,4,FALSE)</f>
        <v>#VALUE!</v>
      </c>
      <c r="AA95" t="str">
        <f>CONCATENATE("M(",Q93,")=")</f>
        <v>M(  )=</v>
      </c>
      <c r="AB95" t="e">
        <f>X95+Z95</f>
        <v>#VALUE!</v>
      </c>
      <c r="AE95" s="89">
        <f>SUM(AE93:AE94)</f>
        <v>0</v>
      </c>
      <c r="AG95" s="89" t="e">
        <f>SUM(AG93:AG94)</f>
        <v>#VALUE!</v>
      </c>
      <c r="AH95" s="84" t="str">
        <f>CONCATENATE("m'(",AD94,")=")</f>
        <v>m'(  )=</v>
      </c>
      <c r="AI95" s="84" t="e">
        <f>(2*(AI92^2)/6*AG95)+(AI94*AD93*WLS)</f>
        <v>#VALUE!</v>
      </c>
      <c r="AJ95" s="84" t="str">
        <f>CONCATENATE("M(",AD93,")=")</f>
        <v>M(  )=</v>
      </c>
      <c r="AK95" s="84" t="str">
        <f>VLOOKUP(AD93,STN_TABLE,4,FALSE)</f>
        <v xml:space="preserve"> </v>
      </c>
      <c r="AL95" t="str">
        <f>CONCATENATE("M(",AD94,")=")</f>
        <v>M(  )=</v>
      </c>
      <c r="AM95" t="e">
        <f>AI95+AK95</f>
        <v>#VALUE!</v>
      </c>
      <c r="AO95" s="82" t="str">
        <f>AA95</f>
        <v>M(  )=</v>
      </c>
      <c r="AP95" s="82" t="e">
        <f>VLOOKUP(AO95,Rise_Results,2,FALSE)</f>
        <v>#N/A</v>
      </c>
      <c r="AQ95" s="82" t="e">
        <f>N95</f>
        <v>#VALUE!</v>
      </c>
      <c r="AR95" s="82" t="e">
        <f>IF(OR(AB94&lt;=0,AB95&lt;=0),1/0,AB95)</f>
        <v>#VALUE!</v>
      </c>
      <c r="AS95" s="82" t="e">
        <f>AM95</f>
        <v>#VALUE!</v>
      </c>
      <c r="AT95" t="e">
        <f>IFERROR(AP95,IFERROR(AQ95,IFERROR(AR95,AS95)))</f>
        <v>#VALUE!</v>
      </c>
      <c r="AU95" s="81"/>
    </row>
    <row r="96" spans="1:47" x14ac:dyDescent="0.25">
      <c r="A96" s="101">
        <f>A91+1</f>
        <v>11</v>
      </c>
      <c r="B96" s="101">
        <f t="shared" si="27"/>
        <v>6</v>
      </c>
      <c r="O96" s="101">
        <f>O91+1</f>
        <v>13</v>
      </c>
      <c r="P96" s="101" t="str">
        <f t="shared" si="23"/>
        <v xml:space="preserve">  </v>
      </c>
      <c r="AU96" s="81"/>
    </row>
    <row r="97" spans="1:47" x14ac:dyDescent="0.25">
      <c r="A97" s="84">
        <f>A96+1</f>
        <v>12</v>
      </c>
      <c r="B97" s="84">
        <f t="shared" si="27"/>
        <v>6.5</v>
      </c>
      <c r="C97" s="79" t="e">
        <f t="shared" ref="C97" si="41">IF(C98=B99,IF(C99-C98=C98-B98,B98,IF(C99-C98=C98-B97,B97,"#NA")),IF(C98=B98,IF(C99-C98=C98-B97,B97,IF(C99-C98=C98-B96,B96,"#NA")),"#NA"))</f>
        <v>#VALUE!</v>
      </c>
      <c r="D97" s="68" t="e">
        <f>VLOOKUP(C97,STN_TABLE,2,FALSE)</f>
        <v>#VALUE!</v>
      </c>
      <c r="E97" s="102">
        <v>1</v>
      </c>
      <c r="F97" s="68" t="e">
        <f>D97*E97</f>
        <v>#VALUE!</v>
      </c>
      <c r="G97" s="69" t="e">
        <f>C97</f>
        <v>#VALUE!</v>
      </c>
      <c r="H97" s="69" t="e">
        <f>F97*G97</f>
        <v>#VALUE!</v>
      </c>
      <c r="I97" s="6" t="s">
        <v>93</v>
      </c>
      <c r="J97" s="70" t="e">
        <f>IF(OR(D97=0,D98=0,D99=0),"#NA",IF(AND(C99-C98=C98-C97,C98&lt;&gt;C99,C97&lt;&gt;C98,C97&lt;&gt;C99,D99&lt;&gt;0,OR(D97&lt;&gt;0,D98&lt;&gt;0)),WLS*(C99-C98),"#NA"))</f>
        <v>#VALUE!</v>
      </c>
      <c r="O97" s="99">
        <f>O96+1</f>
        <v>14</v>
      </c>
      <c r="P97" s="99" t="str">
        <f t="shared" si="23"/>
        <v xml:space="preserve">  </v>
      </c>
      <c r="Q97" s="68" t="e">
        <f>IF(OR(P99-P98=P98-P97,P100-P98=P98-P97),P97,IF(OR(P99-P98=P98-P96,P100-P98=P98-P96),P96,"-"))</f>
        <v>#VALUE!</v>
      </c>
      <c r="R97" s="69" t="e">
        <f>VLOOKUP(Q97,STN_TABLE,2,FALSE)</f>
        <v>#VALUE!</v>
      </c>
      <c r="S97" s="69">
        <v>5</v>
      </c>
      <c r="T97" s="68" t="e">
        <f>R97*S97</f>
        <v>#VALUE!</v>
      </c>
      <c r="U97" s="79">
        <v>3</v>
      </c>
      <c r="V97" s="68" t="e">
        <f>R97*U97</f>
        <v>#VALUE!</v>
      </c>
      <c r="W97" s="6" t="s">
        <v>93</v>
      </c>
      <c r="X97" s="70" t="e">
        <f>IF(AND(Q99-Q98=Q98-Q97,NOT(AND(Q97=0,Q98=0)),NOT(AND(Q98=0,Q99=0))),WLS*(Q99-Q98),"#NA")</f>
        <v>#VALUE!</v>
      </c>
      <c r="AD97" s="93"/>
      <c r="AH97" s="6" t="s">
        <v>93</v>
      </c>
      <c r="AI97" s="70" t="e">
        <f>WLS*(AD99-AD98)</f>
        <v>#VALUE!</v>
      </c>
      <c r="AU97" s="81"/>
    </row>
    <row r="98" spans="1:47" x14ac:dyDescent="0.25">
      <c r="A98" s="84">
        <f>A97+1</f>
        <v>13</v>
      </c>
      <c r="B98" s="84" t="str">
        <f t="shared" si="27"/>
        <v xml:space="preserve">  </v>
      </c>
      <c r="C98" s="80" t="e">
        <f t="shared" ref="C98" si="42">IF(OR(B100-B99=B99-B98,B100-B99=B99-B97,B100-B99=B99-B96),B99,IF(OR(B100-B98=B98-B97,B100-B98=B98-B96),B98,IF(B100-B97=B97-B96,B97,"#NA")))</f>
        <v>#VALUE!</v>
      </c>
      <c r="D98" s="76" t="e">
        <f>VLOOKUP(C98,STN_TABLE,2,FALSE)</f>
        <v>#VALUE!</v>
      </c>
      <c r="E98" s="81">
        <v>4</v>
      </c>
      <c r="F98" s="76" t="e">
        <f>D98*E98</f>
        <v>#VALUE!</v>
      </c>
      <c r="G98" s="77" t="e">
        <f>C98</f>
        <v>#VALUE!</v>
      </c>
      <c r="H98" s="77" t="e">
        <f>F98*G98</f>
        <v>#VALUE!</v>
      </c>
      <c r="I98" s="495" t="s">
        <v>97</v>
      </c>
      <c r="J98" s="496"/>
      <c r="K98" s="78" t="s">
        <v>98</v>
      </c>
      <c r="L98" s="78"/>
      <c r="M98" s="7" t="s">
        <v>99</v>
      </c>
      <c r="N98" s="7"/>
      <c r="O98" s="99">
        <f>O97+1</f>
        <v>15</v>
      </c>
      <c r="P98" s="99" t="str">
        <f t="shared" si="23"/>
        <v xml:space="preserve">  </v>
      </c>
      <c r="Q98" s="76" t="str">
        <f>P98</f>
        <v xml:space="preserve">  </v>
      </c>
      <c r="R98" s="77" t="str">
        <f>VLOOKUP(Q98,STN_TABLE,2,FALSE)</f>
        <v xml:space="preserve">  </v>
      </c>
      <c r="S98" s="77">
        <v>8</v>
      </c>
      <c r="T98" s="76" t="e">
        <f>R98*S98</f>
        <v>#VALUE!</v>
      </c>
      <c r="U98" s="80">
        <v>10</v>
      </c>
      <c r="V98" s="76" t="e">
        <f>R98*U98</f>
        <v>#VALUE!</v>
      </c>
      <c r="W98" s="496" t="s">
        <v>97</v>
      </c>
      <c r="X98" s="496"/>
      <c r="Y98" s="496" t="s">
        <v>98</v>
      </c>
      <c r="Z98" s="496"/>
      <c r="AA98" s="494" t="s">
        <v>99</v>
      </c>
      <c r="AB98" s="494"/>
      <c r="AC98" s="99">
        <f>AC93+1</f>
        <v>14</v>
      </c>
      <c r="AD98" s="95" t="str">
        <f>VLOOKUP(AC98,STN_TABLE_2,2,FALSE)</f>
        <v xml:space="preserve">  </v>
      </c>
      <c r="AE98" s="68" t="str">
        <f>VLOOKUP(AD98,STN_TABLE,2,FALSE)</f>
        <v xml:space="preserve">  </v>
      </c>
      <c r="AF98" s="68">
        <v>1</v>
      </c>
      <c r="AG98" s="69" t="e">
        <f>AE98*AF98</f>
        <v>#VALUE!</v>
      </c>
      <c r="AH98" s="496" t="s">
        <v>97</v>
      </c>
      <c r="AI98" s="496"/>
      <c r="AJ98" s="496" t="s">
        <v>98</v>
      </c>
      <c r="AK98" s="496"/>
      <c r="AL98" s="494" t="s">
        <v>99</v>
      </c>
      <c r="AM98" s="494"/>
      <c r="AP98" s="86" t="s">
        <v>112</v>
      </c>
      <c r="AQ98" s="89" t="s">
        <v>113</v>
      </c>
      <c r="AR98" s="89" t="s">
        <v>114</v>
      </c>
      <c r="AS98" s="89" t="s">
        <v>115</v>
      </c>
      <c r="AU98" s="81"/>
    </row>
    <row r="99" spans="1:47" x14ac:dyDescent="0.25">
      <c r="A99" s="84">
        <f>A98+1</f>
        <v>14</v>
      </c>
      <c r="B99" s="84" t="str">
        <f t="shared" si="27"/>
        <v xml:space="preserve">  </v>
      </c>
      <c r="C99" s="88" t="str">
        <f t="shared" ref="C99" si="43">B100</f>
        <v xml:space="preserve">  </v>
      </c>
      <c r="D99" s="82" t="str">
        <f>VLOOKUP(C99,STN_TABLE,2,FALSE)</f>
        <v xml:space="preserve">  </v>
      </c>
      <c r="E99" s="92">
        <v>1</v>
      </c>
      <c r="F99" s="82" t="e">
        <f>D99*E99</f>
        <v>#VALUE!</v>
      </c>
      <c r="G99" s="83" t="str">
        <f>C99</f>
        <v xml:space="preserve">  </v>
      </c>
      <c r="H99" s="83" t="e">
        <f>F99*G99</f>
        <v>#VALUE!</v>
      </c>
      <c r="I99" s="84" t="str">
        <f>CONCATENATE("a'(",C99,")=")</f>
        <v>a'(  )=</v>
      </c>
      <c r="J99" s="84" t="e">
        <f>2*J97/3*F100</f>
        <v>#VALUE!</v>
      </c>
      <c r="K99" s="84" t="e">
        <f>CONCATENATE("A(",C97,")=")</f>
        <v>#VALUE!</v>
      </c>
      <c r="L99" s="84" t="e">
        <f>VLOOKUP(C97,STN_TABLE,3,FALSE)</f>
        <v>#VALUE!</v>
      </c>
      <c r="M99" t="str">
        <f>CONCATENATE("A(",C99,")=")</f>
        <v>A(  )=</v>
      </c>
      <c r="N99" t="e">
        <f>J99+L99</f>
        <v>#VALUE!</v>
      </c>
      <c r="O99" s="99">
        <f>O98+1</f>
        <v>16</v>
      </c>
      <c r="P99" s="99" t="str">
        <f t="shared" si="23"/>
        <v xml:space="preserve">  </v>
      </c>
      <c r="Q99" s="82" t="e">
        <f>IF(P99-P98=P98-P97,P99,IF(P100-P98=P98-P97,P100,IF(P99-P98=P98-P96,P99,IF(P100-P98=P98-P96,P100,"-"))))</f>
        <v>#VALUE!</v>
      </c>
      <c r="R99" s="83" t="e">
        <f>VLOOKUP(Q99,STN_TABLE,2,FALSE)</f>
        <v>#VALUE!</v>
      </c>
      <c r="S99" s="83">
        <v>-1</v>
      </c>
      <c r="T99" s="82" t="e">
        <f>R99*S99</f>
        <v>#VALUE!</v>
      </c>
      <c r="U99" s="88">
        <v>-1</v>
      </c>
      <c r="V99" s="82" t="e">
        <f>R99*U99</f>
        <v>#VALUE!</v>
      </c>
      <c r="W99" s="84" t="str">
        <f>CONCATENATE("a'(",Q98,")=")</f>
        <v>a'(  )=</v>
      </c>
      <c r="X99" s="84" t="e">
        <f>2*X97/12*T100</f>
        <v>#VALUE!</v>
      </c>
      <c r="Y99" s="84" t="e">
        <f>CONCATENATE("A(",Q97,")=")</f>
        <v>#VALUE!</v>
      </c>
      <c r="Z99" s="84" t="e">
        <f>VLOOKUP(Q97,STN_TABLE,3,FALSE)</f>
        <v>#VALUE!</v>
      </c>
      <c r="AA99" t="str">
        <f>CONCATENATE("A(",Q98,")=")</f>
        <v>A(  )=</v>
      </c>
      <c r="AB99" t="e">
        <f>X99+Z99</f>
        <v>#VALUE!</v>
      </c>
      <c r="AC99" s="99">
        <f>AC98+1</f>
        <v>15</v>
      </c>
      <c r="AD99" s="100" t="str">
        <f>VLOOKUP(AC99,STN_TABLE_2,2,FALSE)</f>
        <v xml:space="preserve">  </v>
      </c>
      <c r="AE99" s="82" t="str">
        <f>VLOOKUP(AD99,STN_TABLE,2,FALSE)</f>
        <v xml:space="preserve">  </v>
      </c>
      <c r="AF99" s="82">
        <v>2</v>
      </c>
      <c r="AG99" s="83" t="e">
        <f>AE99*AF99</f>
        <v>#VALUE!</v>
      </c>
      <c r="AH99" s="84" t="str">
        <f>CONCATENATE("a'(",AD99,")=")</f>
        <v>a'(  )=</v>
      </c>
      <c r="AI99" s="84" t="e">
        <f>2*AI97/2*AE100</f>
        <v>#VALUE!</v>
      </c>
      <c r="AJ99" s="84" t="str">
        <f>CONCATENATE("A(",AD98,")=")</f>
        <v>A(  )=</v>
      </c>
      <c r="AK99" s="84" t="str">
        <f>VLOOKUP(AD98,STN_TABLE,3,FALSE)</f>
        <v xml:space="preserve"> </v>
      </c>
      <c r="AL99" t="str">
        <f>CONCATENATE("A(",AD99,")=")</f>
        <v>A(  )=</v>
      </c>
      <c r="AM99" t="e">
        <f>AI99+AK99</f>
        <v>#VALUE!</v>
      </c>
      <c r="AO99" s="68" t="str">
        <f>AA99</f>
        <v>A(  )=</v>
      </c>
      <c r="AP99" s="68" t="e">
        <f>VLOOKUP(AO99,Rise_Results,2,FALSE)</f>
        <v>#N/A</v>
      </c>
      <c r="AQ99" s="76" t="e">
        <f>N99</f>
        <v>#VALUE!</v>
      </c>
      <c r="AR99" s="76" t="e">
        <f>IF(OR(AB99&lt;=0,AB100&lt;=0),1/0,AB99)</f>
        <v>#VALUE!</v>
      </c>
      <c r="AS99" s="76" t="e">
        <f>AM99</f>
        <v>#VALUE!</v>
      </c>
      <c r="AT99" t="e">
        <f>IFERROR(AP99,IFERROR(AQ99,IFERROR(AR99,AS99)))</f>
        <v>#VALUE!</v>
      </c>
      <c r="AU99" s="81"/>
    </row>
    <row r="100" spans="1:47" x14ac:dyDescent="0.25">
      <c r="A100" s="84">
        <f>A99+1</f>
        <v>15</v>
      </c>
      <c r="B100" s="84" t="str">
        <f t="shared" si="27"/>
        <v xml:space="preserve">  </v>
      </c>
      <c r="F100" s="82" t="e">
        <f>SUM(F97:F99)</f>
        <v>#VALUE!</v>
      </c>
      <c r="H100" s="82" t="e">
        <f>SUM(H97:H99)</f>
        <v>#VALUE!</v>
      </c>
      <c r="I100" s="84" t="str">
        <f>CONCATENATE("m'(",C99,")=")</f>
        <v>m'(  )=</v>
      </c>
      <c r="J100" s="84" t="e">
        <f>2*(J97*(WLS))/3*H100</f>
        <v>#VALUE!</v>
      </c>
      <c r="K100" s="84" t="e">
        <f>CONCATENATE("M(",C97,")=")</f>
        <v>#VALUE!</v>
      </c>
      <c r="L100" s="84" t="e">
        <f>VLOOKUP(C97,STN_TABLE,4,FALSE)</f>
        <v>#VALUE!</v>
      </c>
      <c r="M100" t="str">
        <f>CONCATENATE("M(",C99,")=")</f>
        <v>M(  )=</v>
      </c>
      <c r="N100" t="e">
        <f>J100+L100</f>
        <v>#VALUE!</v>
      </c>
      <c r="O100" s="99">
        <f>O99+1</f>
        <v>17</v>
      </c>
      <c r="P100" s="99" t="str">
        <f t="shared" ref="P100:P131" si="44">VLOOKUP(O100,STN_TABLE_2,2,FALSE)</f>
        <v xml:space="preserve">  </v>
      </c>
      <c r="T100" s="89" t="e">
        <f>SUM(T97:T99)</f>
        <v>#VALUE!</v>
      </c>
      <c r="V100" s="82" t="e">
        <f>SUM(V97:V99)</f>
        <v>#VALUE!</v>
      </c>
      <c r="W100" s="84" t="str">
        <f>CONCATENATE("m'(",Q98,")=")</f>
        <v>m'(  )=</v>
      </c>
      <c r="X100" s="84" t="e">
        <f>(2*(X97^2)/24*V100)+(X99*Q97*WLS)</f>
        <v>#VALUE!</v>
      </c>
      <c r="Y100" s="84" t="e">
        <f>CONCATENATE("M(",Q97,")=")</f>
        <v>#VALUE!</v>
      </c>
      <c r="Z100" s="84" t="e">
        <f>VLOOKUP(Q97,STN_TABLE,4,FALSE)</f>
        <v>#VALUE!</v>
      </c>
      <c r="AA100" t="str">
        <f>CONCATENATE("M(",Q98,")=")</f>
        <v>M(  )=</v>
      </c>
      <c r="AB100" t="e">
        <f>X100+Z100</f>
        <v>#VALUE!</v>
      </c>
      <c r="AE100" s="89">
        <f>SUM(AE98:AE99)</f>
        <v>0</v>
      </c>
      <c r="AG100" s="89" t="e">
        <f>SUM(AG98:AG99)</f>
        <v>#VALUE!</v>
      </c>
      <c r="AH100" s="84" t="str">
        <f>CONCATENATE("m'(",AD99,")=")</f>
        <v>m'(  )=</v>
      </c>
      <c r="AI100" s="84" t="e">
        <f>(2*(AI97^2)/6*AG100)+(AI99*AD98*WLS)</f>
        <v>#VALUE!</v>
      </c>
      <c r="AJ100" s="84" t="str">
        <f>CONCATENATE("M(",AD98,")=")</f>
        <v>M(  )=</v>
      </c>
      <c r="AK100" s="84" t="str">
        <f>VLOOKUP(AD98,STN_TABLE,4,FALSE)</f>
        <v xml:space="preserve"> </v>
      </c>
      <c r="AL100" t="str">
        <f>CONCATENATE("M(",AD99,")=")</f>
        <v>M(  )=</v>
      </c>
      <c r="AM100" t="e">
        <f>AI100+AK100</f>
        <v>#VALUE!</v>
      </c>
      <c r="AO100" s="82" t="str">
        <f>AA100</f>
        <v>M(  )=</v>
      </c>
      <c r="AP100" s="82" t="e">
        <f>VLOOKUP(AO100,Rise_Results,2,FALSE)</f>
        <v>#N/A</v>
      </c>
      <c r="AQ100" s="82" t="e">
        <f>N100</f>
        <v>#VALUE!</v>
      </c>
      <c r="AR100" s="82" t="e">
        <f>IF(OR(AB99&lt;=0,AB100&lt;=0),1/0,AB100)</f>
        <v>#VALUE!</v>
      </c>
      <c r="AS100" s="82" t="e">
        <f>AM100</f>
        <v>#VALUE!</v>
      </c>
      <c r="AT100" t="e">
        <f>IFERROR(AP100,IFERROR(AQ100,IFERROR(AR100,AS100)))</f>
        <v>#VALUE!</v>
      </c>
      <c r="AU100" s="81"/>
    </row>
    <row r="101" spans="1:47" x14ac:dyDescent="0.25">
      <c r="A101" s="101">
        <f>A96+1</f>
        <v>12</v>
      </c>
      <c r="B101" s="101">
        <f t="shared" si="27"/>
        <v>6.5</v>
      </c>
      <c r="O101" s="101">
        <f>O96+1</f>
        <v>14</v>
      </c>
      <c r="P101" s="101" t="str">
        <f t="shared" si="44"/>
        <v xml:space="preserve">  </v>
      </c>
      <c r="AU101" s="81"/>
    </row>
    <row r="102" spans="1:47" x14ac:dyDescent="0.25">
      <c r="A102" s="84">
        <f>A101+1</f>
        <v>13</v>
      </c>
      <c r="B102" s="84" t="str">
        <f t="shared" si="27"/>
        <v xml:space="preserve">  </v>
      </c>
      <c r="C102" s="79" t="e">
        <f t="shared" ref="C102" si="45">IF(C103=B104,IF(C104-C103=C103-B103,B103,IF(C104-C103=C103-B102,B102,"#NA")),IF(C103=B103,IF(C104-C103=C103-B102,B102,IF(C104-C103=C103-B101,B101,"#NA")),"#NA"))</f>
        <v>#VALUE!</v>
      </c>
      <c r="D102" s="68" t="e">
        <f>VLOOKUP(C102,STN_TABLE,2,FALSE)</f>
        <v>#VALUE!</v>
      </c>
      <c r="E102" s="102">
        <v>1</v>
      </c>
      <c r="F102" s="68" t="e">
        <f>D102*E102</f>
        <v>#VALUE!</v>
      </c>
      <c r="G102" s="69" t="e">
        <f>C102</f>
        <v>#VALUE!</v>
      </c>
      <c r="H102" s="69" t="e">
        <f>F102*G102</f>
        <v>#VALUE!</v>
      </c>
      <c r="I102" s="6" t="s">
        <v>93</v>
      </c>
      <c r="J102" s="70" t="e">
        <f>IF(OR(D102=0,D103=0,D104=0),"#NA",IF(AND(C104-C103=C103-C102,C103&lt;&gt;C104,C102&lt;&gt;C103,C102&lt;&gt;C104,D104&lt;&gt;0,OR(D102&lt;&gt;0,D103&lt;&gt;0)),WLS*(C104-C103),"#NA"))</f>
        <v>#VALUE!</v>
      </c>
      <c r="O102" s="99">
        <f>O101+1</f>
        <v>15</v>
      </c>
      <c r="P102" s="99" t="str">
        <f t="shared" si="44"/>
        <v xml:space="preserve">  </v>
      </c>
      <c r="Q102" s="68" t="e">
        <f>IF(OR(P104-P103=P103-P102,P105-P103=P103-P102),P102,IF(OR(P104-P103=P103-P101,P105-P103=P103-P101),P101,"-"))</f>
        <v>#VALUE!</v>
      </c>
      <c r="R102" s="69" t="e">
        <f>VLOOKUP(Q102,STN_TABLE,2,FALSE)</f>
        <v>#VALUE!</v>
      </c>
      <c r="S102" s="69">
        <v>5</v>
      </c>
      <c r="T102" s="68" t="e">
        <f>R102*S102</f>
        <v>#VALUE!</v>
      </c>
      <c r="U102" s="79">
        <v>3</v>
      </c>
      <c r="V102" s="68" t="e">
        <f>R102*U102</f>
        <v>#VALUE!</v>
      </c>
      <c r="W102" s="6" t="s">
        <v>93</v>
      </c>
      <c r="X102" s="70" t="e">
        <f>IF(AND(Q104-Q103=Q103-Q102,NOT(AND(Q102=0,Q103=0)),NOT(AND(Q103=0,Q104=0))),WLS*(Q104-Q103),"#NA")</f>
        <v>#VALUE!</v>
      </c>
      <c r="AD102" s="93"/>
      <c r="AH102" s="6" t="s">
        <v>93</v>
      </c>
      <c r="AI102" s="70" t="e">
        <f>WLS*(AD104-AD103)</f>
        <v>#VALUE!</v>
      </c>
      <c r="AU102" s="81"/>
    </row>
    <row r="103" spans="1:47" x14ac:dyDescent="0.25">
      <c r="A103" s="84">
        <f>A102+1</f>
        <v>14</v>
      </c>
      <c r="B103" s="84" t="str">
        <f t="shared" si="27"/>
        <v xml:space="preserve">  </v>
      </c>
      <c r="C103" s="80" t="e">
        <f t="shared" ref="C103" si="46">IF(OR(B105-B104=B104-B103,B105-B104=B104-B102,B105-B104=B104-B101),B104,IF(OR(B105-B103=B103-B102,B105-B103=B103-B101),B103,IF(B105-B102=B102-B101,B102,"#NA")))</f>
        <v>#VALUE!</v>
      </c>
      <c r="D103" s="76" t="e">
        <f>VLOOKUP(C103,STN_TABLE,2,FALSE)</f>
        <v>#VALUE!</v>
      </c>
      <c r="E103" s="81">
        <v>4</v>
      </c>
      <c r="F103" s="76" t="e">
        <f>D103*E103</f>
        <v>#VALUE!</v>
      </c>
      <c r="G103" s="77" t="e">
        <f>C103</f>
        <v>#VALUE!</v>
      </c>
      <c r="H103" s="77" t="e">
        <f>F103*G103</f>
        <v>#VALUE!</v>
      </c>
      <c r="I103" s="495" t="s">
        <v>97</v>
      </c>
      <c r="J103" s="496"/>
      <c r="K103" s="78" t="s">
        <v>98</v>
      </c>
      <c r="L103" s="78"/>
      <c r="M103" s="7" t="s">
        <v>99</v>
      </c>
      <c r="N103" s="7"/>
      <c r="O103" s="99">
        <f>O102+1</f>
        <v>16</v>
      </c>
      <c r="P103" s="99" t="str">
        <f t="shared" si="44"/>
        <v xml:space="preserve">  </v>
      </c>
      <c r="Q103" s="76" t="str">
        <f>P103</f>
        <v xml:space="preserve">  </v>
      </c>
      <c r="R103" s="77" t="str">
        <f>VLOOKUP(Q103,STN_TABLE,2,FALSE)</f>
        <v xml:space="preserve">  </v>
      </c>
      <c r="S103" s="77">
        <v>8</v>
      </c>
      <c r="T103" s="76" t="e">
        <f>R103*S103</f>
        <v>#VALUE!</v>
      </c>
      <c r="U103" s="80">
        <v>10</v>
      </c>
      <c r="V103" s="76" t="e">
        <f>R103*U103</f>
        <v>#VALUE!</v>
      </c>
      <c r="W103" s="496" t="s">
        <v>97</v>
      </c>
      <c r="X103" s="496"/>
      <c r="Y103" s="496" t="s">
        <v>98</v>
      </c>
      <c r="Z103" s="496"/>
      <c r="AA103" s="494" t="s">
        <v>99</v>
      </c>
      <c r="AB103" s="494"/>
      <c r="AC103" s="99">
        <f>AC98+1</f>
        <v>15</v>
      </c>
      <c r="AD103" s="95" t="str">
        <f>VLOOKUP(AC103,STN_TABLE_2,2,FALSE)</f>
        <v xml:space="preserve">  </v>
      </c>
      <c r="AE103" s="68" t="str">
        <f>VLOOKUP(AD103,STN_TABLE,2,FALSE)</f>
        <v xml:space="preserve">  </v>
      </c>
      <c r="AF103" s="68">
        <v>1</v>
      </c>
      <c r="AG103" s="69" t="e">
        <f>AE103*AF103</f>
        <v>#VALUE!</v>
      </c>
      <c r="AH103" s="496" t="s">
        <v>97</v>
      </c>
      <c r="AI103" s="496"/>
      <c r="AJ103" s="496" t="s">
        <v>98</v>
      </c>
      <c r="AK103" s="496"/>
      <c r="AL103" s="494" t="s">
        <v>99</v>
      </c>
      <c r="AM103" s="494"/>
      <c r="AP103" s="86" t="s">
        <v>112</v>
      </c>
      <c r="AQ103" s="89" t="s">
        <v>113</v>
      </c>
      <c r="AR103" s="89" t="s">
        <v>114</v>
      </c>
      <c r="AS103" s="89" t="s">
        <v>115</v>
      </c>
      <c r="AU103" s="81"/>
    </row>
    <row r="104" spans="1:47" x14ac:dyDescent="0.25">
      <c r="A104" s="84">
        <f>A103+1</f>
        <v>15</v>
      </c>
      <c r="B104" s="84" t="str">
        <f t="shared" si="27"/>
        <v xml:space="preserve">  </v>
      </c>
      <c r="C104" s="88" t="str">
        <f t="shared" ref="C104" si="47">B105</f>
        <v xml:space="preserve">  </v>
      </c>
      <c r="D104" s="82" t="str">
        <f>VLOOKUP(C104,STN_TABLE,2,FALSE)</f>
        <v xml:space="preserve">  </v>
      </c>
      <c r="E104" s="92">
        <v>1</v>
      </c>
      <c r="F104" s="82" t="e">
        <f>D104*E104</f>
        <v>#VALUE!</v>
      </c>
      <c r="G104" s="83" t="str">
        <f>C104</f>
        <v xml:space="preserve">  </v>
      </c>
      <c r="H104" s="83" t="e">
        <f>F104*G104</f>
        <v>#VALUE!</v>
      </c>
      <c r="I104" s="84" t="str">
        <f>CONCATENATE("a'(",C104,")=")</f>
        <v>a'(  )=</v>
      </c>
      <c r="J104" s="84" t="e">
        <f>2*J102/3*F105</f>
        <v>#VALUE!</v>
      </c>
      <c r="K104" s="84" t="e">
        <f>CONCATENATE("A(",C102,")=")</f>
        <v>#VALUE!</v>
      </c>
      <c r="L104" s="84" t="e">
        <f>VLOOKUP(C102,STN_TABLE,3,FALSE)</f>
        <v>#VALUE!</v>
      </c>
      <c r="M104" t="str">
        <f>CONCATENATE("A(",C104,")=")</f>
        <v>A(  )=</v>
      </c>
      <c r="N104" t="e">
        <f>J104+L104</f>
        <v>#VALUE!</v>
      </c>
      <c r="O104" s="99">
        <f>O103+1</f>
        <v>17</v>
      </c>
      <c r="P104" s="99" t="str">
        <f t="shared" si="44"/>
        <v xml:space="preserve">  </v>
      </c>
      <c r="Q104" s="82" t="e">
        <f>IF(P104-P103=P103-P102,P104,IF(P105-P103=P103-P102,P105,IF(P104-P103=P103-P101,P104,IF(P105-P103=P103-P101,P105,"-"))))</f>
        <v>#VALUE!</v>
      </c>
      <c r="R104" s="83" t="e">
        <f>VLOOKUP(Q104,STN_TABLE,2,FALSE)</f>
        <v>#VALUE!</v>
      </c>
      <c r="S104" s="83">
        <v>-1</v>
      </c>
      <c r="T104" s="82" t="e">
        <f>R104*S104</f>
        <v>#VALUE!</v>
      </c>
      <c r="U104" s="88">
        <v>-1</v>
      </c>
      <c r="V104" s="82" t="e">
        <f>R104*U104</f>
        <v>#VALUE!</v>
      </c>
      <c r="W104" s="84" t="str">
        <f>CONCATENATE("a'(",Q103,")=")</f>
        <v>a'(  )=</v>
      </c>
      <c r="X104" s="84" t="e">
        <f>2*X102/12*T105</f>
        <v>#VALUE!</v>
      </c>
      <c r="Y104" s="84" t="e">
        <f>CONCATENATE("A(",Q102,")=")</f>
        <v>#VALUE!</v>
      </c>
      <c r="Z104" s="84" t="e">
        <f>VLOOKUP(Q102,STN_TABLE,3,FALSE)</f>
        <v>#VALUE!</v>
      </c>
      <c r="AA104" t="str">
        <f>CONCATENATE("A(",Q103,")=")</f>
        <v>A(  )=</v>
      </c>
      <c r="AB104" t="e">
        <f>X104+Z104</f>
        <v>#VALUE!</v>
      </c>
      <c r="AC104" s="99">
        <f>AC103+1</f>
        <v>16</v>
      </c>
      <c r="AD104" s="100" t="str">
        <f>VLOOKUP(AC104,STN_TABLE_2,2,FALSE)</f>
        <v xml:space="preserve">  </v>
      </c>
      <c r="AE104" s="82" t="str">
        <f>VLOOKUP(AD104,STN_TABLE,2,FALSE)</f>
        <v xml:space="preserve">  </v>
      </c>
      <c r="AF104" s="82">
        <v>2</v>
      </c>
      <c r="AG104" s="83" t="e">
        <f>AE104*AF104</f>
        <v>#VALUE!</v>
      </c>
      <c r="AH104" s="84" t="str">
        <f>CONCATENATE("a'(",AD104,")=")</f>
        <v>a'(  )=</v>
      </c>
      <c r="AI104" s="84" t="e">
        <f>2*AI102/2*AE105</f>
        <v>#VALUE!</v>
      </c>
      <c r="AJ104" s="84" t="str">
        <f>CONCATENATE("A(",AD103,")=")</f>
        <v>A(  )=</v>
      </c>
      <c r="AK104" s="84" t="str">
        <f>VLOOKUP(AD103,STN_TABLE,3,FALSE)</f>
        <v xml:space="preserve"> </v>
      </c>
      <c r="AL104" t="str">
        <f>CONCATENATE("A(",AD104,")=")</f>
        <v>A(  )=</v>
      </c>
      <c r="AM104" t="e">
        <f>AI104+AK104</f>
        <v>#VALUE!</v>
      </c>
      <c r="AO104" s="68" t="str">
        <f>AA104</f>
        <v>A(  )=</v>
      </c>
      <c r="AP104" s="68" t="e">
        <f>VLOOKUP(AO104,Rise_Results,2,FALSE)</f>
        <v>#N/A</v>
      </c>
      <c r="AQ104" s="76" t="e">
        <f>N104</f>
        <v>#VALUE!</v>
      </c>
      <c r="AR104" s="76" t="e">
        <f>IF(OR(AB104&lt;=0,AB105&lt;=0),1/0,AB104)</f>
        <v>#VALUE!</v>
      </c>
      <c r="AS104" s="76" t="e">
        <f>AM104</f>
        <v>#VALUE!</v>
      </c>
      <c r="AT104" t="e">
        <f>IFERROR(AP104,IFERROR(AQ104,IFERROR(AR104,AS104)))</f>
        <v>#VALUE!</v>
      </c>
      <c r="AU104" s="81"/>
    </row>
    <row r="105" spans="1:47" x14ac:dyDescent="0.25">
      <c r="A105" s="84">
        <f>A104+1</f>
        <v>16</v>
      </c>
      <c r="B105" s="84" t="str">
        <f t="shared" si="27"/>
        <v xml:space="preserve">  </v>
      </c>
      <c r="F105" s="82" t="e">
        <f>SUM(F102:F104)</f>
        <v>#VALUE!</v>
      </c>
      <c r="H105" s="82" t="e">
        <f>SUM(H102:H104)</f>
        <v>#VALUE!</v>
      </c>
      <c r="I105" s="84" t="str">
        <f>CONCATENATE("m'(",C104,")=")</f>
        <v>m'(  )=</v>
      </c>
      <c r="J105" s="84" t="e">
        <f>2*(J102*(WLS))/3*H105</f>
        <v>#VALUE!</v>
      </c>
      <c r="K105" s="84" t="e">
        <f>CONCATENATE("M(",C102,")=")</f>
        <v>#VALUE!</v>
      </c>
      <c r="L105" s="84" t="e">
        <f>VLOOKUP(C102,STN_TABLE,4,FALSE)</f>
        <v>#VALUE!</v>
      </c>
      <c r="M105" t="str">
        <f>CONCATENATE("M(",C104,")=")</f>
        <v>M(  )=</v>
      </c>
      <c r="N105" t="e">
        <f>J105+L105</f>
        <v>#VALUE!</v>
      </c>
      <c r="O105" s="99">
        <f>O104+1</f>
        <v>18</v>
      </c>
      <c r="P105" s="99" t="str">
        <f t="shared" si="44"/>
        <v xml:space="preserve">  </v>
      </c>
      <c r="T105" s="89" t="e">
        <f>SUM(T102:T104)</f>
        <v>#VALUE!</v>
      </c>
      <c r="V105" s="82" t="e">
        <f>SUM(V102:V104)</f>
        <v>#VALUE!</v>
      </c>
      <c r="W105" s="84" t="str">
        <f>CONCATENATE("m'(",Q103,")=")</f>
        <v>m'(  )=</v>
      </c>
      <c r="X105" s="84" t="e">
        <f>(2*(X102^2)/24*V105)+(X104*Q102*WLS)</f>
        <v>#VALUE!</v>
      </c>
      <c r="Y105" s="84" t="e">
        <f>CONCATENATE("M(",Q102,")=")</f>
        <v>#VALUE!</v>
      </c>
      <c r="Z105" s="84" t="e">
        <f>VLOOKUP(Q102,STN_TABLE,4,FALSE)</f>
        <v>#VALUE!</v>
      </c>
      <c r="AA105" t="str">
        <f>CONCATENATE("M(",Q103,")=")</f>
        <v>M(  )=</v>
      </c>
      <c r="AB105" t="e">
        <f>X105+Z105</f>
        <v>#VALUE!</v>
      </c>
      <c r="AE105" s="89">
        <f>SUM(AE103:AE104)</f>
        <v>0</v>
      </c>
      <c r="AG105" s="89" t="e">
        <f>SUM(AG103:AG104)</f>
        <v>#VALUE!</v>
      </c>
      <c r="AH105" s="84" t="str">
        <f>CONCATENATE("m'(",AD104,")=")</f>
        <v>m'(  )=</v>
      </c>
      <c r="AI105" s="84" t="e">
        <f>(2*(AI102^2)/6*AG105)+(AI104*AD103*WLS)</f>
        <v>#VALUE!</v>
      </c>
      <c r="AJ105" s="84" t="str">
        <f>CONCATENATE("M(",AD103,")=")</f>
        <v>M(  )=</v>
      </c>
      <c r="AK105" s="84" t="str">
        <f>VLOOKUP(AD103,STN_TABLE,4,FALSE)</f>
        <v xml:space="preserve"> </v>
      </c>
      <c r="AL105" t="str">
        <f>CONCATENATE("M(",AD104,")=")</f>
        <v>M(  )=</v>
      </c>
      <c r="AM105" t="e">
        <f>AI105+AK105</f>
        <v>#VALUE!</v>
      </c>
      <c r="AO105" s="82" t="str">
        <f>AA105</f>
        <v>M(  )=</v>
      </c>
      <c r="AP105" s="82" t="e">
        <f>VLOOKUP(AO105,Rise_Results,2,FALSE)</f>
        <v>#N/A</v>
      </c>
      <c r="AQ105" s="82" t="e">
        <f>N105</f>
        <v>#VALUE!</v>
      </c>
      <c r="AR105" s="82" t="e">
        <f>IF(OR(AB104&lt;=0,AB105&lt;=0),1/0,AB105)</f>
        <v>#VALUE!</v>
      </c>
      <c r="AS105" s="82" t="e">
        <f>AM105</f>
        <v>#VALUE!</v>
      </c>
      <c r="AT105" t="e">
        <f>IFERROR(AP105,IFERROR(AQ105,IFERROR(AR105,AS105)))</f>
        <v>#VALUE!</v>
      </c>
      <c r="AU105" s="81"/>
    </row>
    <row r="106" spans="1:47" x14ac:dyDescent="0.25">
      <c r="A106" s="101">
        <f>A101+1</f>
        <v>13</v>
      </c>
      <c r="B106" s="101" t="str">
        <f t="shared" ref="B106:B137" si="48">VLOOKUP(A106,STN_TABLE_2,2,FALSE)</f>
        <v xml:space="preserve">  </v>
      </c>
      <c r="O106" s="101">
        <f>O101+1</f>
        <v>15</v>
      </c>
      <c r="P106" s="101" t="str">
        <f t="shared" si="44"/>
        <v xml:space="preserve">  </v>
      </c>
      <c r="AU106" s="81"/>
    </row>
    <row r="107" spans="1:47" x14ac:dyDescent="0.25">
      <c r="A107" s="84">
        <f>A106+1</f>
        <v>14</v>
      </c>
      <c r="B107" s="84" t="str">
        <f t="shared" si="48"/>
        <v xml:space="preserve">  </v>
      </c>
      <c r="C107" s="79" t="e">
        <f t="shared" ref="C107" si="49">IF(C108=B109,IF(C109-C108=C108-B108,B108,IF(C109-C108=C108-B107,B107,"#NA")),IF(C108=B108,IF(C109-C108=C108-B107,B107,IF(C109-C108=C108-B106,B106,"#NA")),"#NA"))</f>
        <v>#VALUE!</v>
      </c>
      <c r="D107" s="68" t="e">
        <f>VLOOKUP(C107,STN_TABLE,2,FALSE)</f>
        <v>#VALUE!</v>
      </c>
      <c r="E107" s="102">
        <v>1</v>
      </c>
      <c r="F107" s="68" t="e">
        <f>D107*E107</f>
        <v>#VALUE!</v>
      </c>
      <c r="G107" s="69" t="e">
        <f>C107</f>
        <v>#VALUE!</v>
      </c>
      <c r="H107" s="69" t="e">
        <f>F107*G107</f>
        <v>#VALUE!</v>
      </c>
      <c r="I107" s="6" t="s">
        <v>93</v>
      </c>
      <c r="J107" s="70" t="e">
        <f>IF(OR(D107=0,D108=0,D109=0),"#NA",IF(AND(C109-C108=C108-C107,C108&lt;&gt;C109,C107&lt;&gt;C108,C107&lt;&gt;C109,D109&lt;&gt;0,OR(D107&lt;&gt;0,D108&lt;&gt;0)),WLS*(C109-C108),"#NA"))</f>
        <v>#VALUE!</v>
      </c>
      <c r="O107" s="99">
        <f>O106+1</f>
        <v>16</v>
      </c>
      <c r="P107" s="99" t="str">
        <f t="shared" si="44"/>
        <v xml:space="preserve">  </v>
      </c>
      <c r="Q107" s="68" t="e">
        <f>IF(OR(P109-P108=P108-P107,P110-P108=P108-P107),P107,IF(OR(P109-P108=P108-P106,P110-P108=P108-P106),P106,"-"))</f>
        <v>#VALUE!</v>
      </c>
      <c r="R107" s="69" t="e">
        <f>VLOOKUP(Q107,STN_TABLE,2,FALSE)</f>
        <v>#VALUE!</v>
      </c>
      <c r="S107" s="69">
        <v>5</v>
      </c>
      <c r="T107" s="68" t="e">
        <f>R107*S107</f>
        <v>#VALUE!</v>
      </c>
      <c r="U107" s="79">
        <v>3</v>
      </c>
      <c r="V107" s="68" t="e">
        <f>R107*U107</f>
        <v>#VALUE!</v>
      </c>
      <c r="W107" s="6" t="s">
        <v>93</v>
      </c>
      <c r="X107" s="70" t="e">
        <f>IF(AND(Q109-Q108=Q108-Q107,NOT(AND(Q107=0,Q108=0)),NOT(AND(Q108=0,Q109=0))),WLS*(Q109-Q108),"#NA")</f>
        <v>#VALUE!</v>
      </c>
      <c r="AD107" s="93"/>
      <c r="AH107" s="6" t="s">
        <v>93</v>
      </c>
      <c r="AI107" s="70" t="e">
        <f>WLS*(AD109-AD108)</f>
        <v>#VALUE!</v>
      </c>
      <c r="AU107" s="81"/>
    </row>
    <row r="108" spans="1:47" x14ac:dyDescent="0.25">
      <c r="A108" s="84">
        <f>A107+1</f>
        <v>15</v>
      </c>
      <c r="B108" s="84" t="str">
        <f t="shared" si="48"/>
        <v xml:space="preserve">  </v>
      </c>
      <c r="C108" s="80" t="e">
        <f t="shared" ref="C108" si="50">IF(OR(B110-B109=B109-B108,B110-B109=B109-B107,B110-B109=B109-B106),B109,IF(OR(B110-B108=B108-B107,B110-B108=B108-B106),B108,IF(B110-B107=B107-B106,B107,"#NA")))</f>
        <v>#VALUE!</v>
      </c>
      <c r="D108" s="76" t="e">
        <f>VLOOKUP(C108,STN_TABLE,2,FALSE)</f>
        <v>#VALUE!</v>
      </c>
      <c r="E108" s="81">
        <v>4</v>
      </c>
      <c r="F108" s="76" t="e">
        <f>D108*E108</f>
        <v>#VALUE!</v>
      </c>
      <c r="G108" s="77" t="e">
        <f>C108</f>
        <v>#VALUE!</v>
      </c>
      <c r="H108" s="77" t="e">
        <f>F108*G108</f>
        <v>#VALUE!</v>
      </c>
      <c r="I108" s="495" t="s">
        <v>97</v>
      </c>
      <c r="J108" s="496"/>
      <c r="K108" s="78" t="s">
        <v>98</v>
      </c>
      <c r="L108" s="78"/>
      <c r="M108" s="7" t="s">
        <v>99</v>
      </c>
      <c r="N108" s="7"/>
      <c r="O108" s="99">
        <f>O107+1</f>
        <v>17</v>
      </c>
      <c r="P108" s="99" t="str">
        <f t="shared" si="44"/>
        <v xml:space="preserve">  </v>
      </c>
      <c r="Q108" s="76" t="str">
        <f>P108</f>
        <v xml:space="preserve">  </v>
      </c>
      <c r="R108" s="77" t="str">
        <f>VLOOKUP(Q108,STN_TABLE,2,FALSE)</f>
        <v xml:space="preserve">  </v>
      </c>
      <c r="S108" s="77">
        <v>8</v>
      </c>
      <c r="T108" s="76" t="e">
        <f>R108*S108</f>
        <v>#VALUE!</v>
      </c>
      <c r="U108" s="80">
        <v>10</v>
      </c>
      <c r="V108" s="76" t="e">
        <f>R108*U108</f>
        <v>#VALUE!</v>
      </c>
      <c r="W108" s="496" t="s">
        <v>97</v>
      </c>
      <c r="X108" s="496"/>
      <c r="Y108" s="496" t="s">
        <v>98</v>
      </c>
      <c r="Z108" s="496"/>
      <c r="AA108" s="494" t="s">
        <v>99</v>
      </c>
      <c r="AB108" s="494"/>
      <c r="AC108" s="99">
        <f>AC103+1</f>
        <v>16</v>
      </c>
      <c r="AD108" s="95" t="str">
        <f>VLOOKUP(AC108,STN_TABLE_2,2,FALSE)</f>
        <v xml:space="preserve">  </v>
      </c>
      <c r="AE108" s="68" t="str">
        <f>VLOOKUP(AD108,STN_TABLE,2,FALSE)</f>
        <v xml:space="preserve">  </v>
      </c>
      <c r="AF108" s="68">
        <v>1</v>
      </c>
      <c r="AG108" s="69" t="e">
        <f>AE108*AF108</f>
        <v>#VALUE!</v>
      </c>
      <c r="AH108" s="496" t="s">
        <v>97</v>
      </c>
      <c r="AI108" s="496"/>
      <c r="AJ108" s="496" t="s">
        <v>98</v>
      </c>
      <c r="AK108" s="496"/>
      <c r="AL108" s="494" t="s">
        <v>99</v>
      </c>
      <c r="AM108" s="494"/>
      <c r="AP108" s="86" t="s">
        <v>112</v>
      </c>
      <c r="AQ108" s="89" t="s">
        <v>113</v>
      </c>
      <c r="AR108" s="89" t="s">
        <v>114</v>
      </c>
      <c r="AS108" s="89" t="s">
        <v>115</v>
      </c>
      <c r="AU108" s="81"/>
    </row>
    <row r="109" spans="1:47" x14ac:dyDescent="0.25">
      <c r="A109" s="84">
        <f>A108+1</f>
        <v>16</v>
      </c>
      <c r="B109" s="84" t="str">
        <f t="shared" si="48"/>
        <v xml:space="preserve">  </v>
      </c>
      <c r="C109" s="88" t="str">
        <f t="shared" ref="C109" si="51">B110</f>
        <v xml:space="preserve">  </v>
      </c>
      <c r="D109" s="82" t="str">
        <f>VLOOKUP(C109,STN_TABLE,2,FALSE)</f>
        <v xml:space="preserve">  </v>
      </c>
      <c r="E109" s="92">
        <v>1</v>
      </c>
      <c r="F109" s="82" t="e">
        <f>D109*E109</f>
        <v>#VALUE!</v>
      </c>
      <c r="G109" s="83" t="str">
        <f>C109</f>
        <v xml:space="preserve">  </v>
      </c>
      <c r="H109" s="83" t="e">
        <f>F109*G109</f>
        <v>#VALUE!</v>
      </c>
      <c r="I109" s="84" t="str">
        <f>CONCATENATE("a'(",C109,")=")</f>
        <v>a'(  )=</v>
      </c>
      <c r="J109" s="84" t="e">
        <f>2*J107/3*F110</f>
        <v>#VALUE!</v>
      </c>
      <c r="K109" s="84" t="e">
        <f>CONCATENATE("A(",C107,")=")</f>
        <v>#VALUE!</v>
      </c>
      <c r="L109" s="84" t="e">
        <f>VLOOKUP(C107,STN_TABLE,3,FALSE)</f>
        <v>#VALUE!</v>
      </c>
      <c r="M109" t="str">
        <f>CONCATENATE("A(",C109,")=")</f>
        <v>A(  )=</v>
      </c>
      <c r="N109" t="e">
        <f>J109+L109</f>
        <v>#VALUE!</v>
      </c>
      <c r="O109" s="99">
        <f>O108+1</f>
        <v>18</v>
      </c>
      <c r="P109" s="99" t="str">
        <f t="shared" si="44"/>
        <v xml:space="preserve">  </v>
      </c>
      <c r="Q109" s="82" t="e">
        <f>IF(P109-P108=P108-P107,P109,IF(P110-P108=P108-P107,P110,IF(P109-P108=P108-P106,P109,IF(P110-P108=P108-P106,P110,"-"))))</f>
        <v>#VALUE!</v>
      </c>
      <c r="R109" s="83" t="e">
        <f>VLOOKUP(Q109,STN_TABLE,2,FALSE)</f>
        <v>#VALUE!</v>
      </c>
      <c r="S109" s="83">
        <v>-1</v>
      </c>
      <c r="T109" s="82" t="e">
        <f>R109*S109</f>
        <v>#VALUE!</v>
      </c>
      <c r="U109" s="88">
        <v>-1</v>
      </c>
      <c r="V109" s="82" t="e">
        <f>R109*U109</f>
        <v>#VALUE!</v>
      </c>
      <c r="W109" s="84" t="str">
        <f>CONCATENATE("a'(",Q108,")=")</f>
        <v>a'(  )=</v>
      </c>
      <c r="X109" s="84" t="e">
        <f>2*X107/12*T110</f>
        <v>#VALUE!</v>
      </c>
      <c r="Y109" s="84" t="e">
        <f>CONCATENATE("A(",Q107,")=")</f>
        <v>#VALUE!</v>
      </c>
      <c r="Z109" s="84" t="e">
        <f>VLOOKUP(Q107,STN_TABLE,3,FALSE)</f>
        <v>#VALUE!</v>
      </c>
      <c r="AA109" t="str">
        <f>CONCATENATE("A(",Q108,")=")</f>
        <v>A(  )=</v>
      </c>
      <c r="AB109" t="e">
        <f>X109+Z109</f>
        <v>#VALUE!</v>
      </c>
      <c r="AC109" s="99">
        <f>AC108+1</f>
        <v>17</v>
      </c>
      <c r="AD109" s="100" t="str">
        <f>VLOOKUP(AC109,STN_TABLE_2,2,FALSE)</f>
        <v xml:space="preserve">  </v>
      </c>
      <c r="AE109" s="82" t="str">
        <f>VLOOKUP(AD109,STN_TABLE,2,FALSE)</f>
        <v xml:space="preserve">  </v>
      </c>
      <c r="AF109" s="82">
        <v>2</v>
      </c>
      <c r="AG109" s="83" t="e">
        <f>AE109*AF109</f>
        <v>#VALUE!</v>
      </c>
      <c r="AH109" s="84" t="str">
        <f>CONCATENATE("a'(",AD109,")=")</f>
        <v>a'(  )=</v>
      </c>
      <c r="AI109" s="84" t="e">
        <f>2*AI107/2*AE110</f>
        <v>#VALUE!</v>
      </c>
      <c r="AJ109" s="84" t="str">
        <f>CONCATENATE("A(",AD108,")=")</f>
        <v>A(  )=</v>
      </c>
      <c r="AK109" s="84" t="str">
        <f>VLOOKUP(AD108,STN_TABLE,3,FALSE)</f>
        <v xml:space="preserve"> </v>
      </c>
      <c r="AL109" t="str">
        <f>CONCATENATE("A(",AD109,")=")</f>
        <v>A(  )=</v>
      </c>
      <c r="AM109" t="e">
        <f>AI109+AK109</f>
        <v>#VALUE!</v>
      </c>
      <c r="AO109" s="68" t="str">
        <f>AA109</f>
        <v>A(  )=</v>
      </c>
      <c r="AP109" s="68" t="e">
        <f>VLOOKUP(AO109,Rise_Results,2,FALSE)</f>
        <v>#N/A</v>
      </c>
      <c r="AQ109" s="76" t="e">
        <f>N109</f>
        <v>#VALUE!</v>
      </c>
      <c r="AR109" s="76" t="e">
        <f>IF(OR(AB109&lt;=0,AB110&lt;=0),1/0,AB109)</f>
        <v>#VALUE!</v>
      </c>
      <c r="AS109" s="76" t="e">
        <f>AM109</f>
        <v>#VALUE!</v>
      </c>
      <c r="AT109" t="e">
        <f>IFERROR(AP109,IFERROR(AQ109,IFERROR(AR109,AS109)))</f>
        <v>#VALUE!</v>
      </c>
      <c r="AU109" s="81"/>
    </row>
    <row r="110" spans="1:47" x14ac:dyDescent="0.25">
      <c r="A110" s="84">
        <f>A109+1</f>
        <v>17</v>
      </c>
      <c r="B110" s="84" t="str">
        <f t="shared" si="48"/>
        <v xml:space="preserve">  </v>
      </c>
      <c r="F110" s="82" t="e">
        <f>SUM(F107:F109)</f>
        <v>#VALUE!</v>
      </c>
      <c r="H110" s="82" t="e">
        <f>SUM(H107:H109)</f>
        <v>#VALUE!</v>
      </c>
      <c r="I110" s="84" t="str">
        <f>CONCATENATE("m'(",C109,")=")</f>
        <v>m'(  )=</v>
      </c>
      <c r="J110" s="84" t="e">
        <f>2*(J107*(WLS))/3*H110</f>
        <v>#VALUE!</v>
      </c>
      <c r="K110" s="84" t="e">
        <f>CONCATENATE("M(",C107,")=")</f>
        <v>#VALUE!</v>
      </c>
      <c r="L110" s="84" t="e">
        <f>VLOOKUP(C107,STN_TABLE,4,FALSE)</f>
        <v>#VALUE!</v>
      </c>
      <c r="M110" t="str">
        <f>CONCATENATE("M(",C109,")=")</f>
        <v>M(  )=</v>
      </c>
      <c r="N110" t="e">
        <f>J110+L110</f>
        <v>#VALUE!</v>
      </c>
      <c r="O110" s="99">
        <f>O109+1</f>
        <v>19</v>
      </c>
      <c r="P110" s="99" t="str">
        <f t="shared" si="44"/>
        <v xml:space="preserve">  </v>
      </c>
      <c r="T110" s="89" t="e">
        <f>SUM(T107:T109)</f>
        <v>#VALUE!</v>
      </c>
      <c r="V110" s="82" t="e">
        <f>SUM(V107:V109)</f>
        <v>#VALUE!</v>
      </c>
      <c r="W110" s="84" t="str">
        <f>CONCATENATE("m'(",Q108,")=")</f>
        <v>m'(  )=</v>
      </c>
      <c r="X110" s="84" t="e">
        <f>(2*(X107^2)/24*V110)+(X109*Q107*WLS)</f>
        <v>#VALUE!</v>
      </c>
      <c r="Y110" s="84" t="e">
        <f>CONCATENATE("M(",Q107,")=")</f>
        <v>#VALUE!</v>
      </c>
      <c r="Z110" s="84" t="e">
        <f>VLOOKUP(Q107,STN_TABLE,4,FALSE)</f>
        <v>#VALUE!</v>
      </c>
      <c r="AA110" t="str">
        <f>CONCATENATE("M(",Q108,")=")</f>
        <v>M(  )=</v>
      </c>
      <c r="AB110" t="e">
        <f>X110+Z110</f>
        <v>#VALUE!</v>
      </c>
      <c r="AE110" s="89">
        <f>SUM(AE108:AE109)</f>
        <v>0</v>
      </c>
      <c r="AG110" s="89" t="e">
        <f>SUM(AG108:AG109)</f>
        <v>#VALUE!</v>
      </c>
      <c r="AH110" s="84" t="str">
        <f>CONCATENATE("m'(",AD109,")=")</f>
        <v>m'(  )=</v>
      </c>
      <c r="AI110" s="84" t="e">
        <f>(2*(AI107^2)/6*AG110)+(AI109*AD108*WLS)</f>
        <v>#VALUE!</v>
      </c>
      <c r="AJ110" s="84" t="str">
        <f>CONCATENATE("M(",AD108,")=")</f>
        <v>M(  )=</v>
      </c>
      <c r="AK110" s="84" t="str">
        <f>VLOOKUP(AD108,STN_TABLE,4,FALSE)</f>
        <v xml:space="preserve"> </v>
      </c>
      <c r="AL110" t="str">
        <f>CONCATENATE("M(",AD109,")=")</f>
        <v>M(  )=</v>
      </c>
      <c r="AM110" t="e">
        <f>AI110+AK110</f>
        <v>#VALUE!</v>
      </c>
      <c r="AO110" s="82" t="str">
        <f>AA110</f>
        <v>M(  )=</v>
      </c>
      <c r="AP110" s="82" t="e">
        <f>VLOOKUP(AO110,Rise_Results,2,FALSE)</f>
        <v>#N/A</v>
      </c>
      <c r="AQ110" s="82" t="e">
        <f>N110</f>
        <v>#VALUE!</v>
      </c>
      <c r="AR110" s="82" t="e">
        <f>IF(OR(AB109&lt;=0,AB110&lt;=0),1/0,AB110)</f>
        <v>#VALUE!</v>
      </c>
      <c r="AS110" s="82" t="e">
        <f>AM110</f>
        <v>#VALUE!</v>
      </c>
      <c r="AT110" t="e">
        <f>IFERROR(AP110,IFERROR(AQ110,IFERROR(AR110,AS110)))</f>
        <v>#VALUE!</v>
      </c>
      <c r="AU110" s="81"/>
    </row>
    <row r="111" spans="1:47" x14ac:dyDescent="0.25">
      <c r="A111" s="101">
        <f>A106+1</f>
        <v>14</v>
      </c>
      <c r="B111" s="101" t="str">
        <f t="shared" si="48"/>
        <v xml:space="preserve">  </v>
      </c>
      <c r="O111" s="101">
        <f>O106+1</f>
        <v>16</v>
      </c>
      <c r="P111" s="101" t="str">
        <f t="shared" si="44"/>
        <v xml:space="preserve">  </v>
      </c>
      <c r="AU111" s="81"/>
    </row>
    <row r="112" spans="1:47" x14ac:dyDescent="0.25">
      <c r="A112" s="84">
        <f>A111+1</f>
        <v>15</v>
      </c>
      <c r="B112" s="84" t="str">
        <f t="shared" si="48"/>
        <v xml:space="preserve">  </v>
      </c>
      <c r="C112" s="79" t="e">
        <f t="shared" ref="C112" si="52">IF(C113=B114,IF(C114-C113=C113-B113,B113,IF(C114-C113=C113-B112,B112,"#NA")),IF(C113=B113,IF(C114-C113=C113-B112,B112,IF(C114-C113=C113-B111,B111,"#NA")),"#NA"))</f>
        <v>#VALUE!</v>
      </c>
      <c r="D112" s="68" t="e">
        <f>VLOOKUP(C112,STN_TABLE,2,FALSE)</f>
        <v>#VALUE!</v>
      </c>
      <c r="E112" s="102">
        <v>1</v>
      </c>
      <c r="F112" s="68" t="e">
        <f>D112*E112</f>
        <v>#VALUE!</v>
      </c>
      <c r="G112" s="69" t="e">
        <f>C112</f>
        <v>#VALUE!</v>
      </c>
      <c r="H112" s="69" t="e">
        <f>F112*G112</f>
        <v>#VALUE!</v>
      </c>
      <c r="I112" s="6" t="s">
        <v>93</v>
      </c>
      <c r="J112" s="70" t="e">
        <f>IF(OR(D112=0,D113=0,D114=0),"#NA",IF(AND(C114-C113=C113-C112,C113&lt;&gt;C114,C112&lt;&gt;C113,C112&lt;&gt;C114,D114&lt;&gt;0,OR(D112&lt;&gt;0,D113&lt;&gt;0)),WLS*(C114-C113),"#NA"))</f>
        <v>#VALUE!</v>
      </c>
      <c r="O112" s="99">
        <f>O111+1</f>
        <v>17</v>
      </c>
      <c r="P112" s="99" t="str">
        <f t="shared" si="44"/>
        <v xml:space="preserve">  </v>
      </c>
      <c r="Q112" s="68" t="e">
        <f>IF(OR(P114-P113=P113-P112,P115-P113=P113-P112),P112,IF(OR(P114-P113=P113-P111,P115-P113=P113-P111),P111,"-"))</f>
        <v>#VALUE!</v>
      </c>
      <c r="R112" s="69" t="e">
        <f>VLOOKUP(Q112,STN_TABLE,2,FALSE)</f>
        <v>#VALUE!</v>
      </c>
      <c r="S112" s="69">
        <v>5</v>
      </c>
      <c r="T112" s="68" t="e">
        <f>R112*S112</f>
        <v>#VALUE!</v>
      </c>
      <c r="U112" s="79">
        <v>3</v>
      </c>
      <c r="V112" s="68" t="e">
        <f>R112*U112</f>
        <v>#VALUE!</v>
      </c>
      <c r="W112" s="6" t="s">
        <v>93</v>
      </c>
      <c r="X112" s="70" t="e">
        <f>IF(AND(Q114-Q113=Q113-Q112,NOT(AND(Q112=0,Q113=0)),NOT(AND(Q113=0,Q114=0))),WLS*(Q114-Q113),"#NA")</f>
        <v>#VALUE!</v>
      </c>
      <c r="AD112" s="93"/>
      <c r="AH112" s="6" t="s">
        <v>93</v>
      </c>
      <c r="AI112" s="70" t="e">
        <f>WLS*(AD114-AD113)</f>
        <v>#VALUE!</v>
      </c>
      <c r="AU112" s="81"/>
    </row>
    <row r="113" spans="1:47" x14ac:dyDescent="0.25">
      <c r="A113" s="84">
        <f>A112+1</f>
        <v>16</v>
      </c>
      <c r="B113" s="84" t="str">
        <f t="shared" si="48"/>
        <v xml:space="preserve">  </v>
      </c>
      <c r="C113" s="80" t="e">
        <f t="shared" ref="C113" si="53">IF(OR(B115-B114=B114-B113,B115-B114=B114-B112,B115-B114=B114-B111),B114,IF(OR(B115-B113=B113-B112,B115-B113=B113-B111),B113,IF(B115-B112=B112-B111,B112,"#NA")))</f>
        <v>#VALUE!</v>
      </c>
      <c r="D113" s="76" t="e">
        <f>VLOOKUP(C113,STN_TABLE,2,FALSE)</f>
        <v>#VALUE!</v>
      </c>
      <c r="E113" s="81">
        <v>4</v>
      </c>
      <c r="F113" s="76" t="e">
        <f>D113*E113</f>
        <v>#VALUE!</v>
      </c>
      <c r="G113" s="77" t="e">
        <f>C113</f>
        <v>#VALUE!</v>
      </c>
      <c r="H113" s="77" t="e">
        <f>F113*G113</f>
        <v>#VALUE!</v>
      </c>
      <c r="I113" s="495" t="s">
        <v>97</v>
      </c>
      <c r="J113" s="496"/>
      <c r="K113" s="78" t="s">
        <v>98</v>
      </c>
      <c r="L113" s="78"/>
      <c r="M113" s="7" t="s">
        <v>99</v>
      </c>
      <c r="N113" s="7"/>
      <c r="O113" s="99">
        <f>O112+1</f>
        <v>18</v>
      </c>
      <c r="P113" s="99" t="str">
        <f t="shared" si="44"/>
        <v xml:space="preserve">  </v>
      </c>
      <c r="Q113" s="76" t="str">
        <f>P113</f>
        <v xml:space="preserve">  </v>
      </c>
      <c r="R113" s="77" t="str">
        <f>VLOOKUP(Q113,STN_TABLE,2,FALSE)</f>
        <v xml:space="preserve">  </v>
      </c>
      <c r="S113" s="77">
        <v>8</v>
      </c>
      <c r="T113" s="76" t="e">
        <f>R113*S113</f>
        <v>#VALUE!</v>
      </c>
      <c r="U113" s="80">
        <v>10</v>
      </c>
      <c r="V113" s="76" t="e">
        <f>R113*U113</f>
        <v>#VALUE!</v>
      </c>
      <c r="W113" s="496" t="s">
        <v>97</v>
      </c>
      <c r="X113" s="496"/>
      <c r="Y113" s="496" t="s">
        <v>98</v>
      </c>
      <c r="Z113" s="496"/>
      <c r="AA113" s="494" t="s">
        <v>99</v>
      </c>
      <c r="AB113" s="494"/>
      <c r="AC113" s="99">
        <f>AC108+1</f>
        <v>17</v>
      </c>
      <c r="AD113" s="95" t="str">
        <f>VLOOKUP(AC113,STN_TABLE_2,2,FALSE)</f>
        <v xml:space="preserve">  </v>
      </c>
      <c r="AE113" s="68" t="str">
        <f>VLOOKUP(AD113,STN_TABLE,2,FALSE)</f>
        <v xml:space="preserve">  </v>
      </c>
      <c r="AF113" s="68">
        <v>1</v>
      </c>
      <c r="AG113" s="69" t="e">
        <f>AE113*AF113</f>
        <v>#VALUE!</v>
      </c>
      <c r="AH113" s="496" t="s">
        <v>97</v>
      </c>
      <c r="AI113" s="496"/>
      <c r="AJ113" s="496" t="s">
        <v>98</v>
      </c>
      <c r="AK113" s="496"/>
      <c r="AL113" s="494" t="s">
        <v>99</v>
      </c>
      <c r="AM113" s="494"/>
      <c r="AP113" s="86" t="s">
        <v>112</v>
      </c>
      <c r="AQ113" s="89" t="s">
        <v>113</v>
      </c>
      <c r="AR113" s="89" t="s">
        <v>114</v>
      </c>
      <c r="AS113" s="89" t="s">
        <v>115</v>
      </c>
      <c r="AU113" s="81"/>
    </row>
    <row r="114" spans="1:47" x14ac:dyDescent="0.25">
      <c r="A114" s="84">
        <f>A113+1</f>
        <v>17</v>
      </c>
      <c r="B114" s="84" t="str">
        <f t="shared" si="48"/>
        <v xml:space="preserve">  </v>
      </c>
      <c r="C114" s="88" t="str">
        <f t="shared" ref="C114" si="54">B115</f>
        <v xml:space="preserve">  </v>
      </c>
      <c r="D114" s="82" t="str">
        <f>VLOOKUP(C114,STN_TABLE,2,FALSE)</f>
        <v xml:space="preserve">  </v>
      </c>
      <c r="E114" s="92">
        <v>1</v>
      </c>
      <c r="F114" s="82" t="e">
        <f>D114*E114</f>
        <v>#VALUE!</v>
      </c>
      <c r="G114" s="83" t="str">
        <f>C114</f>
        <v xml:space="preserve">  </v>
      </c>
      <c r="H114" s="83" t="e">
        <f>F114*G114</f>
        <v>#VALUE!</v>
      </c>
      <c r="I114" s="84" t="str">
        <f>CONCATENATE("a'(",C114,")=")</f>
        <v>a'(  )=</v>
      </c>
      <c r="J114" s="84" t="e">
        <f>2*J112/3*F115</f>
        <v>#VALUE!</v>
      </c>
      <c r="K114" s="84" t="e">
        <f>CONCATENATE("A(",C112,")=")</f>
        <v>#VALUE!</v>
      </c>
      <c r="L114" s="84" t="e">
        <f>VLOOKUP(C112,STN_TABLE,3,FALSE)</f>
        <v>#VALUE!</v>
      </c>
      <c r="M114" t="str">
        <f>CONCATENATE("A(",C114,")=")</f>
        <v>A(  )=</v>
      </c>
      <c r="N114" t="e">
        <f>J114+L114</f>
        <v>#VALUE!</v>
      </c>
      <c r="O114" s="99">
        <f>O113+1</f>
        <v>19</v>
      </c>
      <c r="P114" s="99" t="str">
        <f t="shared" si="44"/>
        <v xml:space="preserve">  </v>
      </c>
      <c r="Q114" s="82" t="e">
        <f>IF(P114-P113=P113-P112,P114,IF(P115-P113=P113-P112,P115,IF(P114-P113=P113-P111,P114,IF(P115-P113=P113-P111,P115,"-"))))</f>
        <v>#VALUE!</v>
      </c>
      <c r="R114" s="83" t="e">
        <f>VLOOKUP(Q114,STN_TABLE,2,FALSE)</f>
        <v>#VALUE!</v>
      </c>
      <c r="S114" s="83">
        <v>-1</v>
      </c>
      <c r="T114" s="82" t="e">
        <f>R114*S114</f>
        <v>#VALUE!</v>
      </c>
      <c r="U114" s="88">
        <v>-1</v>
      </c>
      <c r="V114" s="82" t="e">
        <f>R114*U114</f>
        <v>#VALUE!</v>
      </c>
      <c r="W114" s="84" t="str">
        <f>CONCATENATE("a'(",Q113,")=")</f>
        <v>a'(  )=</v>
      </c>
      <c r="X114" s="84" t="e">
        <f>2*X112/12*T115</f>
        <v>#VALUE!</v>
      </c>
      <c r="Y114" s="84" t="e">
        <f>CONCATENATE("A(",Q112,")=")</f>
        <v>#VALUE!</v>
      </c>
      <c r="Z114" s="84" t="e">
        <f>VLOOKUP(Q112,STN_TABLE,3,FALSE)</f>
        <v>#VALUE!</v>
      </c>
      <c r="AA114" t="str">
        <f>CONCATENATE("A(",Q113,")=")</f>
        <v>A(  )=</v>
      </c>
      <c r="AB114" t="e">
        <f>X114+Z114</f>
        <v>#VALUE!</v>
      </c>
      <c r="AC114" s="99">
        <f>AC113+1</f>
        <v>18</v>
      </c>
      <c r="AD114" s="100" t="str">
        <f>VLOOKUP(AC114,STN_TABLE_2,2,FALSE)</f>
        <v xml:space="preserve">  </v>
      </c>
      <c r="AE114" s="82" t="str">
        <f>VLOOKUP(AD114,STN_TABLE,2,FALSE)</f>
        <v xml:space="preserve">  </v>
      </c>
      <c r="AF114" s="82">
        <v>2</v>
      </c>
      <c r="AG114" s="83" t="e">
        <f>AE114*AF114</f>
        <v>#VALUE!</v>
      </c>
      <c r="AH114" s="84" t="str">
        <f>CONCATENATE("a'(",AD114,")=")</f>
        <v>a'(  )=</v>
      </c>
      <c r="AI114" s="84" t="e">
        <f>2*AI112/2*AE115</f>
        <v>#VALUE!</v>
      </c>
      <c r="AJ114" s="84" t="str">
        <f>CONCATENATE("A(",AD113,")=")</f>
        <v>A(  )=</v>
      </c>
      <c r="AK114" s="84" t="str">
        <f>VLOOKUP(AD113,STN_TABLE,3,FALSE)</f>
        <v xml:space="preserve"> </v>
      </c>
      <c r="AL114" t="str">
        <f>CONCATENATE("A(",AD114,")=")</f>
        <v>A(  )=</v>
      </c>
      <c r="AM114" t="e">
        <f>AI114+AK114</f>
        <v>#VALUE!</v>
      </c>
      <c r="AO114" s="68" t="str">
        <f>AA114</f>
        <v>A(  )=</v>
      </c>
      <c r="AP114" s="68" t="e">
        <f>VLOOKUP(AO114,Rise_Results,2,FALSE)</f>
        <v>#N/A</v>
      </c>
      <c r="AQ114" s="76" t="e">
        <f>N114</f>
        <v>#VALUE!</v>
      </c>
      <c r="AR114" s="76" t="e">
        <f>IF(OR(AB114&lt;=0,AB115&lt;=0),1/0,AB114)</f>
        <v>#VALUE!</v>
      </c>
      <c r="AS114" s="76" t="e">
        <f>AM114</f>
        <v>#VALUE!</v>
      </c>
      <c r="AT114" t="e">
        <f>IFERROR(AP114,IFERROR(AQ114,IFERROR(AR114,AS114)))</f>
        <v>#VALUE!</v>
      </c>
      <c r="AU114" s="81"/>
    </row>
    <row r="115" spans="1:47" x14ac:dyDescent="0.25">
      <c r="A115" s="84">
        <f>A114+1</f>
        <v>18</v>
      </c>
      <c r="B115" s="84" t="str">
        <f t="shared" si="48"/>
        <v xml:space="preserve">  </v>
      </c>
      <c r="F115" s="82" t="e">
        <f>SUM(F112:F114)</f>
        <v>#VALUE!</v>
      </c>
      <c r="H115" s="82" t="e">
        <f>SUM(H112:H114)</f>
        <v>#VALUE!</v>
      </c>
      <c r="I115" s="84" t="str">
        <f>CONCATENATE("m'(",C114,")=")</f>
        <v>m'(  )=</v>
      </c>
      <c r="J115" s="84" t="e">
        <f>2*(J112*(WLS))/3*H115</f>
        <v>#VALUE!</v>
      </c>
      <c r="K115" s="84" t="e">
        <f>CONCATENATE("M(",C112,")=")</f>
        <v>#VALUE!</v>
      </c>
      <c r="L115" s="84" t="e">
        <f>VLOOKUP(C112,STN_TABLE,4,FALSE)</f>
        <v>#VALUE!</v>
      </c>
      <c r="M115" t="str">
        <f>CONCATENATE("M(",C114,")=")</f>
        <v>M(  )=</v>
      </c>
      <c r="N115" t="e">
        <f>J115+L115</f>
        <v>#VALUE!</v>
      </c>
      <c r="O115" s="99">
        <f>O114+1</f>
        <v>20</v>
      </c>
      <c r="P115" s="99" t="str">
        <f t="shared" si="44"/>
        <v xml:space="preserve">  </v>
      </c>
      <c r="T115" s="89" t="e">
        <f>SUM(T112:T114)</f>
        <v>#VALUE!</v>
      </c>
      <c r="V115" s="82" t="e">
        <f>SUM(V112:V114)</f>
        <v>#VALUE!</v>
      </c>
      <c r="W115" s="84" t="str">
        <f>CONCATENATE("m'(",Q113,")=")</f>
        <v>m'(  )=</v>
      </c>
      <c r="X115" s="84" t="e">
        <f>(2*(X112^2)/24*V115)+(X114*Q112*WLS)</f>
        <v>#VALUE!</v>
      </c>
      <c r="Y115" s="84" t="e">
        <f>CONCATENATE("M(",Q112,")=")</f>
        <v>#VALUE!</v>
      </c>
      <c r="Z115" s="84" t="e">
        <f>VLOOKUP(Q112,STN_TABLE,4,FALSE)</f>
        <v>#VALUE!</v>
      </c>
      <c r="AA115" t="str">
        <f>CONCATENATE("M(",Q113,")=")</f>
        <v>M(  )=</v>
      </c>
      <c r="AB115" t="e">
        <f>X115+Z115</f>
        <v>#VALUE!</v>
      </c>
      <c r="AE115" s="89">
        <f>SUM(AE113:AE114)</f>
        <v>0</v>
      </c>
      <c r="AG115" s="89" t="e">
        <f>SUM(AG113:AG114)</f>
        <v>#VALUE!</v>
      </c>
      <c r="AH115" s="84" t="str">
        <f>CONCATENATE("m'(",AD114,")=")</f>
        <v>m'(  )=</v>
      </c>
      <c r="AI115" s="84" t="e">
        <f>(2*(AI112^2)/6*AG115)+(AI114*AD113*WLS)</f>
        <v>#VALUE!</v>
      </c>
      <c r="AJ115" s="84" t="str">
        <f>CONCATENATE("M(",AD113,")=")</f>
        <v>M(  )=</v>
      </c>
      <c r="AK115" s="84" t="str">
        <f>VLOOKUP(AD113,STN_TABLE,4,FALSE)</f>
        <v xml:space="preserve"> </v>
      </c>
      <c r="AL115" t="str">
        <f>CONCATENATE("M(",AD114,")=")</f>
        <v>M(  )=</v>
      </c>
      <c r="AM115" t="e">
        <f>AI115+AK115</f>
        <v>#VALUE!</v>
      </c>
      <c r="AO115" s="82" t="str">
        <f>AA115</f>
        <v>M(  )=</v>
      </c>
      <c r="AP115" s="82" t="e">
        <f>VLOOKUP(AO115,Rise_Results,2,FALSE)</f>
        <v>#N/A</v>
      </c>
      <c r="AQ115" s="82" t="e">
        <f>N115</f>
        <v>#VALUE!</v>
      </c>
      <c r="AR115" s="82" t="e">
        <f>IF(OR(AB114&lt;=0,AB115&lt;=0),1/0,AB115)</f>
        <v>#VALUE!</v>
      </c>
      <c r="AS115" s="82" t="e">
        <f>AM115</f>
        <v>#VALUE!</v>
      </c>
      <c r="AT115" t="e">
        <f>IFERROR(AP115,IFERROR(AQ115,IFERROR(AR115,AS115)))</f>
        <v>#VALUE!</v>
      </c>
      <c r="AU115" s="81"/>
    </row>
    <row r="116" spans="1:47" x14ac:dyDescent="0.25">
      <c r="A116" s="101">
        <f>A111+1</f>
        <v>15</v>
      </c>
      <c r="B116" s="101" t="str">
        <f t="shared" si="48"/>
        <v xml:space="preserve">  </v>
      </c>
      <c r="O116" s="101">
        <f>O111+1</f>
        <v>17</v>
      </c>
      <c r="P116" s="101" t="str">
        <f t="shared" si="44"/>
        <v xml:space="preserve">  </v>
      </c>
      <c r="AU116" s="81"/>
    </row>
    <row r="117" spans="1:47" x14ac:dyDescent="0.25">
      <c r="A117" s="84">
        <f>A116+1</f>
        <v>16</v>
      </c>
      <c r="B117" s="84" t="str">
        <f t="shared" si="48"/>
        <v xml:space="preserve">  </v>
      </c>
      <c r="C117" s="79" t="e">
        <f t="shared" ref="C117" si="55">IF(C118=B119,IF(C119-C118=C118-B118,B118,IF(C119-C118=C118-B117,B117,"#NA")),IF(C118=B118,IF(C119-C118=C118-B117,B117,IF(C119-C118=C118-B116,B116,"#NA")),"#NA"))</f>
        <v>#VALUE!</v>
      </c>
      <c r="D117" s="68" t="e">
        <f>VLOOKUP(C117,STN_TABLE,2,FALSE)</f>
        <v>#VALUE!</v>
      </c>
      <c r="E117" s="102">
        <v>1</v>
      </c>
      <c r="F117" s="68" t="e">
        <f>D117*E117</f>
        <v>#VALUE!</v>
      </c>
      <c r="G117" s="69" t="e">
        <f>C117</f>
        <v>#VALUE!</v>
      </c>
      <c r="H117" s="69" t="e">
        <f>F117*G117</f>
        <v>#VALUE!</v>
      </c>
      <c r="I117" s="6" t="s">
        <v>93</v>
      </c>
      <c r="J117" s="70" t="e">
        <f>IF(OR(D117=0,D118=0,D119=0),"#NA",IF(AND(C119-C118=C118-C117,C118&lt;&gt;C119,C117&lt;&gt;C118,C117&lt;&gt;C119,D119&lt;&gt;0,OR(D117&lt;&gt;0,D118&lt;&gt;0)),WLS*(C119-C118),"#NA"))</f>
        <v>#VALUE!</v>
      </c>
      <c r="O117" s="99">
        <f>O116+1</f>
        <v>18</v>
      </c>
      <c r="P117" s="99" t="str">
        <f t="shared" si="44"/>
        <v xml:space="preserve">  </v>
      </c>
      <c r="Q117" s="68" t="e">
        <f>IF(OR(P119-P118=P118-P117,P120-P118=P118-P117),P117,IF(OR(P119-P118=P118-P116,P120-P118=P118-P116),P116,"-"))</f>
        <v>#VALUE!</v>
      </c>
      <c r="R117" s="69" t="e">
        <f>VLOOKUP(Q117,STN_TABLE,2,FALSE)</f>
        <v>#VALUE!</v>
      </c>
      <c r="S117" s="69">
        <v>5</v>
      </c>
      <c r="T117" s="68" t="e">
        <f>R117*S117</f>
        <v>#VALUE!</v>
      </c>
      <c r="U117" s="79">
        <v>3</v>
      </c>
      <c r="V117" s="68" t="e">
        <f>R117*U117</f>
        <v>#VALUE!</v>
      </c>
      <c r="W117" s="6" t="s">
        <v>93</v>
      </c>
      <c r="X117" s="70" t="e">
        <f>IF(AND(Q119-Q118=Q118-Q117,NOT(AND(Q117=0,Q118=0)),NOT(AND(Q118=0,Q119=0))),WLS*(Q119-Q118),"#NA")</f>
        <v>#VALUE!</v>
      </c>
      <c r="AD117" s="93"/>
      <c r="AH117" s="6" t="s">
        <v>93</v>
      </c>
      <c r="AI117" s="70" t="e">
        <f>WLS*(AD119-AD118)</f>
        <v>#VALUE!</v>
      </c>
      <c r="AU117" s="81"/>
    </row>
    <row r="118" spans="1:47" x14ac:dyDescent="0.25">
      <c r="A118" s="84">
        <f>A117+1</f>
        <v>17</v>
      </c>
      <c r="B118" s="84" t="str">
        <f t="shared" si="48"/>
        <v xml:space="preserve">  </v>
      </c>
      <c r="C118" s="80" t="e">
        <f t="shared" ref="C118" si="56">IF(OR(B120-B119=B119-B118,B120-B119=B119-B117,B120-B119=B119-B116),B119,IF(OR(B120-B118=B118-B117,B120-B118=B118-B116),B118,IF(B120-B117=B117-B116,B117,"#NA")))</f>
        <v>#VALUE!</v>
      </c>
      <c r="D118" s="76" t="e">
        <f>VLOOKUP(C118,STN_TABLE,2,FALSE)</f>
        <v>#VALUE!</v>
      </c>
      <c r="E118" s="81">
        <v>4</v>
      </c>
      <c r="F118" s="76" t="e">
        <f>D118*E118</f>
        <v>#VALUE!</v>
      </c>
      <c r="G118" s="77" t="e">
        <f>C118</f>
        <v>#VALUE!</v>
      </c>
      <c r="H118" s="77" t="e">
        <f>F118*G118</f>
        <v>#VALUE!</v>
      </c>
      <c r="I118" s="495" t="s">
        <v>97</v>
      </c>
      <c r="J118" s="496"/>
      <c r="K118" s="78" t="s">
        <v>98</v>
      </c>
      <c r="L118" s="78"/>
      <c r="M118" s="7" t="s">
        <v>99</v>
      </c>
      <c r="N118" s="7"/>
      <c r="O118" s="99">
        <f>O117+1</f>
        <v>19</v>
      </c>
      <c r="P118" s="99" t="str">
        <f t="shared" si="44"/>
        <v xml:space="preserve">  </v>
      </c>
      <c r="Q118" s="76" t="str">
        <f>P118</f>
        <v xml:space="preserve">  </v>
      </c>
      <c r="R118" s="77" t="str">
        <f>VLOOKUP(Q118,STN_TABLE,2,FALSE)</f>
        <v xml:space="preserve">  </v>
      </c>
      <c r="S118" s="77">
        <v>8</v>
      </c>
      <c r="T118" s="76" t="e">
        <f>R118*S118</f>
        <v>#VALUE!</v>
      </c>
      <c r="U118" s="80">
        <v>10</v>
      </c>
      <c r="V118" s="76" t="e">
        <f>R118*U118</f>
        <v>#VALUE!</v>
      </c>
      <c r="W118" s="496" t="s">
        <v>97</v>
      </c>
      <c r="X118" s="496"/>
      <c r="Y118" s="496" t="s">
        <v>98</v>
      </c>
      <c r="Z118" s="496"/>
      <c r="AA118" s="494" t="s">
        <v>99</v>
      </c>
      <c r="AB118" s="494"/>
      <c r="AC118" s="99">
        <f>AC113+1</f>
        <v>18</v>
      </c>
      <c r="AD118" s="95" t="str">
        <f>VLOOKUP(AC118,STN_TABLE_2,2,FALSE)</f>
        <v xml:space="preserve">  </v>
      </c>
      <c r="AE118" s="68" t="str">
        <f>VLOOKUP(AD118,STN_TABLE,2,FALSE)</f>
        <v xml:space="preserve">  </v>
      </c>
      <c r="AF118" s="68">
        <v>1</v>
      </c>
      <c r="AG118" s="69" t="e">
        <f>AE118*AF118</f>
        <v>#VALUE!</v>
      </c>
      <c r="AH118" s="496" t="s">
        <v>97</v>
      </c>
      <c r="AI118" s="496"/>
      <c r="AJ118" s="496" t="s">
        <v>98</v>
      </c>
      <c r="AK118" s="496"/>
      <c r="AL118" s="494" t="s">
        <v>99</v>
      </c>
      <c r="AM118" s="494"/>
      <c r="AP118" s="86" t="s">
        <v>112</v>
      </c>
      <c r="AQ118" s="89" t="s">
        <v>113</v>
      </c>
      <c r="AR118" s="89" t="s">
        <v>114</v>
      </c>
      <c r="AS118" s="89" t="s">
        <v>115</v>
      </c>
      <c r="AU118" s="81"/>
    </row>
    <row r="119" spans="1:47" x14ac:dyDescent="0.25">
      <c r="A119" s="84">
        <f>A118+1</f>
        <v>18</v>
      </c>
      <c r="B119" s="84" t="str">
        <f t="shared" si="48"/>
        <v xml:space="preserve">  </v>
      </c>
      <c r="C119" s="88" t="str">
        <f t="shared" ref="C119" si="57">B120</f>
        <v xml:space="preserve">  </v>
      </c>
      <c r="D119" s="82" t="str">
        <f>VLOOKUP(C119,STN_TABLE,2,FALSE)</f>
        <v xml:space="preserve">  </v>
      </c>
      <c r="E119" s="92">
        <v>1</v>
      </c>
      <c r="F119" s="82" t="e">
        <f>D119*E119</f>
        <v>#VALUE!</v>
      </c>
      <c r="G119" s="83" t="str">
        <f>C119</f>
        <v xml:space="preserve">  </v>
      </c>
      <c r="H119" s="83" t="e">
        <f>F119*G119</f>
        <v>#VALUE!</v>
      </c>
      <c r="I119" s="84" t="str">
        <f>CONCATENATE("a'(",C119,")=")</f>
        <v>a'(  )=</v>
      </c>
      <c r="J119" s="84" t="e">
        <f>2*J117/3*F120</f>
        <v>#VALUE!</v>
      </c>
      <c r="K119" s="84" t="e">
        <f>CONCATENATE("A(",C117,")=")</f>
        <v>#VALUE!</v>
      </c>
      <c r="L119" s="84" t="e">
        <f>VLOOKUP(C117,STN_TABLE,3,FALSE)</f>
        <v>#VALUE!</v>
      </c>
      <c r="M119" t="str">
        <f>CONCATENATE("A(",C119,")=")</f>
        <v>A(  )=</v>
      </c>
      <c r="N119" t="e">
        <f>J119+L119</f>
        <v>#VALUE!</v>
      </c>
      <c r="O119" s="99">
        <f>O118+1</f>
        <v>20</v>
      </c>
      <c r="P119" s="99" t="str">
        <f t="shared" si="44"/>
        <v xml:space="preserve">  </v>
      </c>
      <c r="Q119" s="82" t="e">
        <f>IF(P119-P118=P118-P117,P119,IF(P120-P118=P118-P117,P120,IF(P119-P118=P118-P116,P119,IF(P120-P118=P118-P116,P120,"-"))))</f>
        <v>#VALUE!</v>
      </c>
      <c r="R119" s="83" t="e">
        <f>VLOOKUP(Q119,STN_TABLE,2,FALSE)</f>
        <v>#VALUE!</v>
      </c>
      <c r="S119" s="83">
        <v>-1</v>
      </c>
      <c r="T119" s="82" t="e">
        <f>R119*S119</f>
        <v>#VALUE!</v>
      </c>
      <c r="U119" s="88">
        <v>-1</v>
      </c>
      <c r="V119" s="82" t="e">
        <f>R119*U119</f>
        <v>#VALUE!</v>
      </c>
      <c r="W119" s="84" t="str">
        <f>CONCATENATE("a'(",Q118,")=")</f>
        <v>a'(  )=</v>
      </c>
      <c r="X119" s="84" t="e">
        <f>2*X117/12*T120</f>
        <v>#VALUE!</v>
      </c>
      <c r="Y119" s="84" t="e">
        <f>CONCATENATE("A(",Q117,")=")</f>
        <v>#VALUE!</v>
      </c>
      <c r="Z119" s="84" t="e">
        <f>VLOOKUP(Q117,STN_TABLE,3,FALSE)</f>
        <v>#VALUE!</v>
      </c>
      <c r="AA119" t="str">
        <f>CONCATENATE("A(",Q118,")=")</f>
        <v>A(  )=</v>
      </c>
      <c r="AB119" t="e">
        <f>X119+Z119</f>
        <v>#VALUE!</v>
      </c>
      <c r="AC119" s="99">
        <f>AC118+1</f>
        <v>19</v>
      </c>
      <c r="AD119" s="100" t="str">
        <f>VLOOKUP(AC119,STN_TABLE_2,2,FALSE)</f>
        <v xml:space="preserve">  </v>
      </c>
      <c r="AE119" s="82" t="str">
        <f>VLOOKUP(AD119,STN_TABLE,2,FALSE)</f>
        <v xml:space="preserve">  </v>
      </c>
      <c r="AF119" s="82">
        <v>2</v>
      </c>
      <c r="AG119" s="83" t="e">
        <f>AE119*AF119</f>
        <v>#VALUE!</v>
      </c>
      <c r="AH119" s="84" t="str">
        <f>CONCATENATE("a'(",AD119,")=")</f>
        <v>a'(  )=</v>
      </c>
      <c r="AI119" s="84" t="e">
        <f>2*AI117/2*AE120</f>
        <v>#VALUE!</v>
      </c>
      <c r="AJ119" s="84" t="str">
        <f>CONCATENATE("A(",AD118,")=")</f>
        <v>A(  )=</v>
      </c>
      <c r="AK119" s="84" t="str">
        <f>VLOOKUP(AD118,STN_TABLE,3,FALSE)</f>
        <v xml:space="preserve"> </v>
      </c>
      <c r="AL119" t="str">
        <f>CONCATENATE("A(",AD119,")=")</f>
        <v>A(  )=</v>
      </c>
      <c r="AM119" t="e">
        <f>AI119+AK119</f>
        <v>#VALUE!</v>
      </c>
      <c r="AO119" s="68" t="str">
        <f>AA119</f>
        <v>A(  )=</v>
      </c>
      <c r="AP119" s="68" t="e">
        <f>VLOOKUP(AO119,Rise_Results,2,FALSE)</f>
        <v>#N/A</v>
      </c>
      <c r="AQ119" s="76" t="e">
        <f>N119</f>
        <v>#VALUE!</v>
      </c>
      <c r="AR119" s="76" t="e">
        <f>IF(OR(AB119&lt;=0,AB120&lt;=0),1/0,AB119)</f>
        <v>#VALUE!</v>
      </c>
      <c r="AS119" s="76" t="e">
        <f>AM119</f>
        <v>#VALUE!</v>
      </c>
      <c r="AT119" t="e">
        <f>IFERROR(AP119,IFERROR(AQ119,IFERROR(AR119,AS119)))</f>
        <v>#VALUE!</v>
      </c>
      <c r="AU119" s="81"/>
    </row>
    <row r="120" spans="1:47" x14ac:dyDescent="0.25">
      <c r="A120" s="84">
        <f>A119+1</f>
        <v>19</v>
      </c>
      <c r="B120" s="84" t="str">
        <f t="shared" si="48"/>
        <v xml:space="preserve">  </v>
      </c>
      <c r="F120" s="82" t="e">
        <f>SUM(F117:F119)</f>
        <v>#VALUE!</v>
      </c>
      <c r="H120" s="82" t="e">
        <f>SUM(H117:H119)</f>
        <v>#VALUE!</v>
      </c>
      <c r="I120" s="84" t="str">
        <f>CONCATENATE("m'(",C119,")=")</f>
        <v>m'(  )=</v>
      </c>
      <c r="J120" s="84" t="e">
        <f>2*(J117*(WLS))/3*H120</f>
        <v>#VALUE!</v>
      </c>
      <c r="K120" s="84" t="e">
        <f>CONCATENATE("M(",C117,")=")</f>
        <v>#VALUE!</v>
      </c>
      <c r="L120" s="84" t="e">
        <f>VLOOKUP(C117,STN_TABLE,4,FALSE)</f>
        <v>#VALUE!</v>
      </c>
      <c r="M120" t="str">
        <f>CONCATENATE("M(",C119,")=")</f>
        <v>M(  )=</v>
      </c>
      <c r="N120" t="e">
        <f>J120+L120</f>
        <v>#VALUE!</v>
      </c>
      <c r="O120" s="99">
        <f>O119+1</f>
        <v>21</v>
      </c>
      <c r="P120" s="99" t="str">
        <f t="shared" si="44"/>
        <v xml:space="preserve">  </v>
      </c>
      <c r="T120" s="89" t="e">
        <f>SUM(T117:T119)</f>
        <v>#VALUE!</v>
      </c>
      <c r="V120" s="82" t="e">
        <f>SUM(V117:V119)</f>
        <v>#VALUE!</v>
      </c>
      <c r="W120" s="84" t="str">
        <f>CONCATENATE("m'(",Q118,")=")</f>
        <v>m'(  )=</v>
      </c>
      <c r="X120" s="84" t="e">
        <f>(2*(X117^2)/24*V120)+(X119*Q117*WLS)</f>
        <v>#VALUE!</v>
      </c>
      <c r="Y120" s="84" t="e">
        <f>CONCATENATE("M(",Q117,")=")</f>
        <v>#VALUE!</v>
      </c>
      <c r="Z120" s="84" t="e">
        <f>VLOOKUP(Q117,STN_TABLE,4,FALSE)</f>
        <v>#VALUE!</v>
      </c>
      <c r="AA120" t="str">
        <f>CONCATENATE("M(",Q118,")=")</f>
        <v>M(  )=</v>
      </c>
      <c r="AB120" t="e">
        <f>X120+Z120</f>
        <v>#VALUE!</v>
      </c>
      <c r="AE120" s="89">
        <f>SUM(AE118:AE119)</f>
        <v>0</v>
      </c>
      <c r="AG120" s="89" t="e">
        <f>SUM(AG118:AG119)</f>
        <v>#VALUE!</v>
      </c>
      <c r="AH120" s="84" t="str">
        <f>CONCATENATE("m'(",AD119,")=")</f>
        <v>m'(  )=</v>
      </c>
      <c r="AI120" s="84" t="e">
        <f>(2*(AI117^2)/6*AG120)+(AI119*AD118*WLS)</f>
        <v>#VALUE!</v>
      </c>
      <c r="AJ120" s="84" t="str">
        <f>CONCATENATE("M(",AD118,")=")</f>
        <v>M(  )=</v>
      </c>
      <c r="AK120" s="84" t="str">
        <f>VLOOKUP(AD118,STN_TABLE,4,FALSE)</f>
        <v xml:space="preserve"> </v>
      </c>
      <c r="AL120" t="str">
        <f>CONCATENATE("M(",AD119,")=")</f>
        <v>M(  )=</v>
      </c>
      <c r="AM120" t="e">
        <f>AI120+AK120</f>
        <v>#VALUE!</v>
      </c>
      <c r="AO120" s="82" t="str">
        <f>AA120</f>
        <v>M(  )=</v>
      </c>
      <c r="AP120" s="82" t="e">
        <f>VLOOKUP(AO120,Rise_Results,2,FALSE)</f>
        <v>#N/A</v>
      </c>
      <c r="AQ120" s="82" t="e">
        <f>N120</f>
        <v>#VALUE!</v>
      </c>
      <c r="AR120" s="82" t="e">
        <f>IF(OR(AB119&lt;=0,AB120&lt;=0),1/0,AB120)</f>
        <v>#VALUE!</v>
      </c>
      <c r="AS120" s="82" t="e">
        <f>AM120</f>
        <v>#VALUE!</v>
      </c>
      <c r="AT120" t="e">
        <f>IFERROR(AP120,IFERROR(AQ120,IFERROR(AR120,AS120)))</f>
        <v>#VALUE!</v>
      </c>
      <c r="AU120" s="81"/>
    </row>
    <row r="121" spans="1:47" x14ac:dyDescent="0.25">
      <c r="A121" s="101">
        <f>A116+1</f>
        <v>16</v>
      </c>
      <c r="B121" s="101" t="str">
        <f t="shared" si="48"/>
        <v xml:space="preserve">  </v>
      </c>
      <c r="O121" s="101">
        <f>O116+1</f>
        <v>18</v>
      </c>
      <c r="P121" s="101" t="str">
        <f t="shared" si="44"/>
        <v xml:space="preserve">  </v>
      </c>
      <c r="AU121" s="81"/>
    </row>
    <row r="122" spans="1:47" x14ac:dyDescent="0.25">
      <c r="A122" s="84">
        <f>A121+1</f>
        <v>17</v>
      </c>
      <c r="B122" s="84" t="str">
        <f t="shared" si="48"/>
        <v xml:space="preserve">  </v>
      </c>
      <c r="C122" s="79" t="e">
        <f t="shared" ref="C122" si="58">IF(C123=B124,IF(C124-C123=C123-B123,B123,IF(C124-C123=C123-B122,B122,"#NA")),IF(C123=B123,IF(C124-C123=C123-B122,B122,IF(C124-C123=C123-B121,B121,"#NA")),"#NA"))</f>
        <v>#VALUE!</v>
      </c>
      <c r="D122" s="68" t="e">
        <f>VLOOKUP(C122,STN_TABLE,2,FALSE)</f>
        <v>#VALUE!</v>
      </c>
      <c r="E122" s="102">
        <v>1</v>
      </c>
      <c r="F122" s="68" t="e">
        <f>D122*E122</f>
        <v>#VALUE!</v>
      </c>
      <c r="G122" s="69" t="e">
        <f>C122</f>
        <v>#VALUE!</v>
      </c>
      <c r="H122" s="69" t="e">
        <f>F122*G122</f>
        <v>#VALUE!</v>
      </c>
      <c r="I122" s="6" t="s">
        <v>93</v>
      </c>
      <c r="J122" s="70" t="e">
        <f>IF(OR(D122=0,D123=0,D124=0),"#NA",IF(AND(C124-C123=C123-C122,C123&lt;&gt;C124,C122&lt;&gt;C123,C122&lt;&gt;C124,D124&lt;&gt;0,OR(D122&lt;&gt;0,D123&lt;&gt;0)),WLS*(C124-C123),"#NA"))</f>
        <v>#VALUE!</v>
      </c>
      <c r="O122" s="99">
        <f>O121+1</f>
        <v>19</v>
      </c>
      <c r="P122" s="99" t="str">
        <f t="shared" si="44"/>
        <v xml:space="preserve">  </v>
      </c>
      <c r="Q122" s="68" t="e">
        <f>IF(OR(P124-P123=P123-P122,P125-P123=P123-P122),P122,IF(OR(P124-P123=P123-P121,P125-P123=P123-P121),P121,"-"))</f>
        <v>#VALUE!</v>
      </c>
      <c r="R122" s="69" t="e">
        <f>VLOOKUP(Q122,STN_TABLE,2,FALSE)</f>
        <v>#VALUE!</v>
      </c>
      <c r="S122" s="69">
        <v>5</v>
      </c>
      <c r="T122" s="68" t="e">
        <f>R122*S122</f>
        <v>#VALUE!</v>
      </c>
      <c r="U122" s="79">
        <v>3</v>
      </c>
      <c r="V122" s="68" t="e">
        <f>R122*U122</f>
        <v>#VALUE!</v>
      </c>
      <c r="W122" s="6" t="s">
        <v>93</v>
      </c>
      <c r="X122" s="70" t="e">
        <f>IF(AND(Q124-Q123=Q123-Q122,NOT(AND(Q122=0,Q123=0)),NOT(AND(Q123=0,Q124=0))),WLS*(Q124-Q123),"#NA")</f>
        <v>#VALUE!</v>
      </c>
      <c r="AD122" s="93"/>
      <c r="AH122" s="6" t="s">
        <v>93</v>
      </c>
      <c r="AI122" s="70" t="e">
        <f>WLS*(AD124-AD123)</f>
        <v>#VALUE!</v>
      </c>
      <c r="AU122" s="81"/>
    </row>
    <row r="123" spans="1:47" x14ac:dyDescent="0.25">
      <c r="A123" s="84">
        <f>A122+1</f>
        <v>18</v>
      </c>
      <c r="B123" s="84" t="str">
        <f t="shared" si="48"/>
        <v xml:space="preserve">  </v>
      </c>
      <c r="C123" s="80" t="e">
        <f t="shared" ref="C123" si="59">IF(OR(B125-B124=B124-B123,B125-B124=B124-B122,B125-B124=B124-B121),B124,IF(OR(B125-B123=B123-B122,B125-B123=B123-B121),B123,IF(B125-B122=B122-B121,B122,"#NA")))</f>
        <v>#VALUE!</v>
      </c>
      <c r="D123" s="76" t="e">
        <f>VLOOKUP(C123,STN_TABLE,2,FALSE)</f>
        <v>#VALUE!</v>
      </c>
      <c r="E123" s="81">
        <v>4</v>
      </c>
      <c r="F123" s="76" t="e">
        <f>D123*E123</f>
        <v>#VALUE!</v>
      </c>
      <c r="G123" s="77" t="e">
        <f>C123</f>
        <v>#VALUE!</v>
      </c>
      <c r="H123" s="77" t="e">
        <f>F123*G123</f>
        <v>#VALUE!</v>
      </c>
      <c r="I123" s="495" t="s">
        <v>97</v>
      </c>
      <c r="J123" s="496"/>
      <c r="K123" s="78" t="s">
        <v>98</v>
      </c>
      <c r="L123" s="78"/>
      <c r="M123" s="7" t="s">
        <v>99</v>
      </c>
      <c r="N123" s="7"/>
      <c r="O123" s="99">
        <f>O122+1</f>
        <v>20</v>
      </c>
      <c r="P123" s="99" t="str">
        <f t="shared" si="44"/>
        <v xml:space="preserve">  </v>
      </c>
      <c r="Q123" s="76" t="str">
        <f>P123</f>
        <v xml:space="preserve">  </v>
      </c>
      <c r="R123" s="77" t="str">
        <f>VLOOKUP(Q123,STN_TABLE,2,FALSE)</f>
        <v xml:space="preserve">  </v>
      </c>
      <c r="S123" s="77">
        <v>8</v>
      </c>
      <c r="T123" s="76" t="e">
        <f>R123*S123</f>
        <v>#VALUE!</v>
      </c>
      <c r="U123" s="80">
        <v>10</v>
      </c>
      <c r="V123" s="76" t="e">
        <f>R123*U123</f>
        <v>#VALUE!</v>
      </c>
      <c r="W123" s="496" t="s">
        <v>97</v>
      </c>
      <c r="X123" s="496"/>
      <c r="Y123" s="496" t="s">
        <v>98</v>
      </c>
      <c r="Z123" s="496"/>
      <c r="AA123" s="494" t="s">
        <v>99</v>
      </c>
      <c r="AB123" s="494"/>
      <c r="AC123" s="99">
        <f>AC118+1</f>
        <v>19</v>
      </c>
      <c r="AD123" s="95" t="str">
        <f>VLOOKUP(AC123,STN_TABLE_2,2,FALSE)</f>
        <v xml:space="preserve">  </v>
      </c>
      <c r="AE123" s="68" t="str">
        <f>VLOOKUP(AD123,STN_TABLE,2,FALSE)</f>
        <v xml:space="preserve">  </v>
      </c>
      <c r="AF123" s="68">
        <v>1</v>
      </c>
      <c r="AG123" s="69" t="e">
        <f>AE123*AF123</f>
        <v>#VALUE!</v>
      </c>
      <c r="AH123" s="496" t="s">
        <v>97</v>
      </c>
      <c r="AI123" s="496"/>
      <c r="AJ123" s="496" t="s">
        <v>98</v>
      </c>
      <c r="AK123" s="496"/>
      <c r="AL123" s="494" t="s">
        <v>99</v>
      </c>
      <c r="AM123" s="494"/>
      <c r="AP123" s="86" t="s">
        <v>112</v>
      </c>
      <c r="AQ123" s="89" t="s">
        <v>113</v>
      </c>
      <c r="AR123" s="89" t="s">
        <v>114</v>
      </c>
      <c r="AS123" s="89" t="s">
        <v>115</v>
      </c>
      <c r="AU123" s="81"/>
    </row>
    <row r="124" spans="1:47" x14ac:dyDescent="0.25">
      <c r="A124" s="84">
        <f>A123+1</f>
        <v>19</v>
      </c>
      <c r="B124" s="84" t="str">
        <f t="shared" si="48"/>
        <v xml:space="preserve">  </v>
      </c>
      <c r="C124" s="88" t="str">
        <f t="shared" ref="C124" si="60">B125</f>
        <v xml:space="preserve">  </v>
      </c>
      <c r="D124" s="82" t="str">
        <f>VLOOKUP(C124,STN_TABLE,2,FALSE)</f>
        <v xml:space="preserve">  </v>
      </c>
      <c r="E124" s="92">
        <v>1</v>
      </c>
      <c r="F124" s="82" t="e">
        <f>D124*E124</f>
        <v>#VALUE!</v>
      </c>
      <c r="G124" s="83" t="str">
        <f>C124</f>
        <v xml:space="preserve">  </v>
      </c>
      <c r="H124" s="83" t="e">
        <f>F124*G124</f>
        <v>#VALUE!</v>
      </c>
      <c r="I124" s="84" t="str">
        <f>CONCATENATE("a'(",C124,")=")</f>
        <v>a'(  )=</v>
      </c>
      <c r="J124" s="84" t="e">
        <f>2*J122/3*F125</f>
        <v>#VALUE!</v>
      </c>
      <c r="K124" s="84" t="e">
        <f>CONCATENATE("A(",C122,")=")</f>
        <v>#VALUE!</v>
      </c>
      <c r="L124" s="84" t="e">
        <f>VLOOKUP(C122,STN_TABLE,3,FALSE)</f>
        <v>#VALUE!</v>
      </c>
      <c r="M124" t="str">
        <f>CONCATENATE("A(",C124,")=")</f>
        <v>A(  )=</v>
      </c>
      <c r="N124" t="e">
        <f>J124+L124</f>
        <v>#VALUE!</v>
      </c>
      <c r="O124" s="99">
        <f>O123+1</f>
        <v>21</v>
      </c>
      <c r="P124" s="99" t="str">
        <f t="shared" si="44"/>
        <v xml:space="preserve">  </v>
      </c>
      <c r="Q124" s="82" t="e">
        <f>IF(P124-P123=P123-P122,P124,IF(P125-P123=P123-P122,P125,IF(P124-P123=P123-P121,P124,IF(P125-P123=P123-P121,P125,"-"))))</f>
        <v>#VALUE!</v>
      </c>
      <c r="R124" s="83" t="e">
        <f>VLOOKUP(Q124,STN_TABLE,2,FALSE)</f>
        <v>#VALUE!</v>
      </c>
      <c r="S124" s="83">
        <v>-1</v>
      </c>
      <c r="T124" s="82" t="e">
        <f>R124*S124</f>
        <v>#VALUE!</v>
      </c>
      <c r="U124" s="88">
        <v>-1</v>
      </c>
      <c r="V124" s="82" t="e">
        <f>R124*U124</f>
        <v>#VALUE!</v>
      </c>
      <c r="W124" s="84" t="str">
        <f>CONCATENATE("a'(",Q123,")=")</f>
        <v>a'(  )=</v>
      </c>
      <c r="X124" s="84" t="e">
        <f>2*X122/12*T125</f>
        <v>#VALUE!</v>
      </c>
      <c r="Y124" s="84" t="e">
        <f>CONCATENATE("A(",Q122,")=")</f>
        <v>#VALUE!</v>
      </c>
      <c r="Z124" s="84" t="e">
        <f>VLOOKUP(Q122,STN_TABLE,3,FALSE)</f>
        <v>#VALUE!</v>
      </c>
      <c r="AA124" t="str">
        <f>CONCATENATE("A(",Q123,")=")</f>
        <v>A(  )=</v>
      </c>
      <c r="AB124" t="e">
        <f>X124+Z124</f>
        <v>#VALUE!</v>
      </c>
      <c r="AC124" s="99">
        <f>AC123+1</f>
        <v>20</v>
      </c>
      <c r="AD124" s="100" t="str">
        <f>VLOOKUP(AC124,STN_TABLE_2,2,FALSE)</f>
        <v xml:space="preserve">  </v>
      </c>
      <c r="AE124" s="82" t="str">
        <f>VLOOKUP(AD124,STN_TABLE,2,FALSE)</f>
        <v xml:space="preserve">  </v>
      </c>
      <c r="AF124" s="82">
        <v>2</v>
      </c>
      <c r="AG124" s="83" t="e">
        <f>AE124*AF124</f>
        <v>#VALUE!</v>
      </c>
      <c r="AH124" s="84" t="str">
        <f>CONCATENATE("a'(",AD124,")=")</f>
        <v>a'(  )=</v>
      </c>
      <c r="AI124" s="84" t="e">
        <f>2*AI122/2*AE125</f>
        <v>#VALUE!</v>
      </c>
      <c r="AJ124" s="84" t="str">
        <f>CONCATENATE("A(",AD123,")=")</f>
        <v>A(  )=</v>
      </c>
      <c r="AK124" s="84" t="str">
        <f>VLOOKUP(AD123,STN_TABLE,3,FALSE)</f>
        <v xml:space="preserve"> </v>
      </c>
      <c r="AL124" t="str">
        <f>CONCATENATE("A(",AD124,")=")</f>
        <v>A(  )=</v>
      </c>
      <c r="AM124" t="e">
        <f>AI124+AK124</f>
        <v>#VALUE!</v>
      </c>
      <c r="AO124" s="68" t="str">
        <f>AA124</f>
        <v>A(  )=</v>
      </c>
      <c r="AP124" s="68" t="e">
        <f>VLOOKUP(AO124,Rise_Results,2,FALSE)</f>
        <v>#N/A</v>
      </c>
      <c r="AQ124" s="76" t="e">
        <f>N124</f>
        <v>#VALUE!</v>
      </c>
      <c r="AR124" s="76" t="e">
        <f>IF(OR(AB124&lt;=0,AB125&lt;=0),1/0,AB124)</f>
        <v>#VALUE!</v>
      </c>
      <c r="AS124" s="76" t="e">
        <f>AM124</f>
        <v>#VALUE!</v>
      </c>
      <c r="AT124" t="e">
        <f>IFERROR(AP124,IFERROR(AQ124,IFERROR(AR124,AS124)))</f>
        <v>#VALUE!</v>
      </c>
      <c r="AU124" s="81"/>
    </row>
    <row r="125" spans="1:47" x14ac:dyDescent="0.25">
      <c r="A125" s="84">
        <f>A124+1</f>
        <v>20</v>
      </c>
      <c r="B125" s="84" t="str">
        <f t="shared" si="48"/>
        <v xml:space="preserve">  </v>
      </c>
      <c r="F125" s="82" t="e">
        <f>SUM(F122:F124)</f>
        <v>#VALUE!</v>
      </c>
      <c r="H125" s="82" t="e">
        <f>SUM(H122:H124)</f>
        <v>#VALUE!</v>
      </c>
      <c r="I125" s="84" t="str">
        <f>CONCATENATE("m'(",C124,")=")</f>
        <v>m'(  )=</v>
      </c>
      <c r="J125" s="84" t="e">
        <f>2*(J122*(WLS))/3*H125</f>
        <v>#VALUE!</v>
      </c>
      <c r="K125" s="84" t="e">
        <f>CONCATENATE("M(",C122,")=")</f>
        <v>#VALUE!</v>
      </c>
      <c r="L125" s="84" t="e">
        <f>VLOOKUP(C122,STN_TABLE,4,FALSE)</f>
        <v>#VALUE!</v>
      </c>
      <c r="M125" t="str">
        <f>CONCATENATE("M(",C124,")=")</f>
        <v>M(  )=</v>
      </c>
      <c r="N125" t="e">
        <f>J125+L125</f>
        <v>#VALUE!</v>
      </c>
      <c r="O125" s="99">
        <f>O124+1</f>
        <v>22</v>
      </c>
      <c r="P125" s="99" t="str">
        <f t="shared" si="44"/>
        <v xml:space="preserve">  </v>
      </c>
      <c r="T125" s="89" t="e">
        <f>SUM(T122:T124)</f>
        <v>#VALUE!</v>
      </c>
      <c r="V125" s="82" t="e">
        <f>SUM(V122:V124)</f>
        <v>#VALUE!</v>
      </c>
      <c r="W125" s="84" t="str">
        <f>CONCATENATE("m'(",Q123,")=")</f>
        <v>m'(  )=</v>
      </c>
      <c r="X125" s="84" t="e">
        <f>(2*(X122^2)/24*V125)+(X124*Q122*WLS)</f>
        <v>#VALUE!</v>
      </c>
      <c r="Y125" s="84" t="e">
        <f>CONCATENATE("M(",Q122,")=")</f>
        <v>#VALUE!</v>
      </c>
      <c r="Z125" s="84" t="e">
        <f>VLOOKUP(Q122,STN_TABLE,4,FALSE)</f>
        <v>#VALUE!</v>
      </c>
      <c r="AA125" t="str">
        <f>CONCATENATE("M(",Q123,")=")</f>
        <v>M(  )=</v>
      </c>
      <c r="AB125" t="e">
        <f>X125+Z125</f>
        <v>#VALUE!</v>
      </c>
      <c r="AE125" s="89">
        <f>SUM(AE123:AE124)</f>
        <v>0</v>
      </c>
      <c r="AG125" s="89" t="e">
        <f>SUM(AG123:AG124)</f>
        <v>#VALUE!</v>
      </c>
      <c r="AH125" s="84" t="str">
        <f>CONCATENATE("m'(",AD124,")=")</f>
        <v>m'(  )=</v>
      </c>
      <c r="AI125" s="84" t="e">
        <f>(2*(AI122^2)/6*AG125)+(AI124*AD123*WLS)</f>
        <v>#VALUE!</v>
      </c>
      <c r="AJ125" s="84" t="str">
        <f>CONCATENATE("M(",AD123,")=")</f>
        <v>M(  )=</v>
      </c>
      <c r="AK125" s="84" t="str">
        <f>VLOOKUP(AD123,STN_TABLE,4,FALSE)</f>
        <v xml:space="preserve"> </v>
      </c>
      <c r="AL125" t="str">
        <f>CONCATENATE("M(",AD124,")=")</f>
        <v>M(  )=</v>
      </c>
      <c r="AM125" t="e">
        <f>AI125+AK125</f>
        <v>#VALUE!</v>
      </c>
      <c r="AO125" s="82" t="str">
        <f>AA125</f>
        <v>M(  )=</v>
      </c>
      <c r="AP125" s="82" t="e">
        <f>VLOOKUP(AO125,Rise_Results,2,FALSE)</f>
        <v>#N/A</v>
      </c>
      <c r="AQ125" s="82" t="e">
        <f>N125</f>
        <v>#VALUE!</v>
      </c>
      <c r="AR125" s="82" t="e">
        <f>IF(OR(AB124&lt;=0,AB125&lt;=0),1/0,AB125)</f>
        <v>#VALUE!</v>
      </c>
      <c r="AS125" s="82" t="e">
        <f>AM125</f>
        <v>#VALUE!</v>
      </c>
      <c r="AT125" t="e">
        <f>IFERROR(AP125,IFERROR(AQ125,IFERROR(AR125,AS125)))</f>
        <v>#VALUE!</v>
      </c>
      <c r="AU125" s="81"/>
    </row>
    <row r="126" spans="1:47" x14ac:dyDescent="0.25">
      <c r="A126" s="101">
        <f>A121+1</f>
        <v>17</v>
      </c>
      <c r="B126" s="101" t="str">
        <f t="shared" si="48"/>
        <v xml:space="preserve">  </v>
      </c>
      <c r="O126" s="101">
        <f>O121+1</f>
        <v>19</v>
      </c>
      <c r="P126" s="101" t="str">
        <f t="shared" si="44"/>
        <v xml:space="preserve">  </v>
      </c>
      <c r="AU126" s="81"/>
    </row>
    <row r="127" spans="1:47" x14ac:dyDescent="0.25">
      <c r="A127" s="84">
        <f>A126+1</f>
        <v>18</v>
      </c>
      <c r="B127" s="84" t="str">
        <f t="shared" si="48"/>
        <v xml:space="preserve">  </v>
      </c>
      <c r="C127" s="79" t="e">
        <f t="shared" ref="C127" si="61">IF(C128=B129,IF(C129-C128=C128-B128,B128,IF(C129-C128=C128-B127,B127,"#NA")),IF(C128=B128,IF(C129-C128=C128-B127,B127,IF(C129-C128=C128-B126,B126,"#NA")),"#NA"))</f>
        <v>#VALUE!</v>
      </c>
      <c r="D127" s="68" t="e">
        <f>VLOOKUP(C127,STN_TABLE,2,FALSE)</f>
        <v>#VALUE!</v>
      </c>
      <c r="E127" s="102">
        <v>1</v>
      </c>
      <c r="F127" s="68" t="e">
        <f>D127*E127</f>
        <v>#VALUE!</v>
      </c>
      <c r="G127" s="69" t="e">
        <f>C127</f>
        <v>#VALUE!</v>
      </c>
      <c r="H127" s="69" t="e">
        <f>F127*G127</f>
        <v>#VALUE!</v>
      </c>
      <c r="I127" s="6" t="s">
        <v>93</v>
      </c>
      <c r="J127" s="70" t="e">
        <f>IF(OR(D127=0,D128=0,D129=0),"#NA",IF(AND(C129-C128=C128-C127,C128&lt;&gt;C129,C127&lt;&gt;C128,C127&lt;&gt;C129,D129&lt;&gt;0,OR(D127&lt;&gt;0,D128&lt;&gt;0)),WLS*(C129-C128),"#NA"))</f>
        <v>#VALUE!</v>
      </c>
      <c r="O127" s="99">
        <f>O126+1</f>
        <v>20</v>
      </c>
      <c r="P127" s="99" t="str">
        <f t="shared" si="44"/>
        <v xml:space="preserve">  </v>
      </c>
      <c r="Q127" s="68" t="e">
        <f>IF(OR(P129-P128=P128-P127,P130-P128=P128-P127),P127,IF(OR(P129-P128=P128-P126,P130-P128=P128-P126),P126,"-"))</f>
        <v>#VALUE!</v>
      </c>
      <c r="R127" s="69" t="e">
        <f>VLOOKUP(Q127,STN_TABLE,2,FALSE)</f>
        <v>#VALUE!</v>
      </c>
      <c r="S127" s="69">
        <v>5</v>
      </c>
      <c r="T127" s="68" t="e">
        <f>R127*S127</f>
        <v>#VALUE!</v>
      </c>
      <c r="U127" s="79">
        <v>3</v>
      </c>
      <c r="V127" s="68" t="e">
        <f>R127*U127</f>
        <v>#VALUE!</v>
      </c>
      <c r="W127" s="6" t="s">
        <v>93</v>
      </c>
      <c r="X127" s="70" t="e">
        <f>IF(AND(Q129-Q128=Q128-Q127,NOT(AND(Q127=0,Q128=0)),NOT(AND(Q128=0,Q129=0))),WLS*(Q129-Q128),"#NA")</f>
        <v>#VALUE!</v>
      </c>
      <c r="AD127" s="93"/>
      <c r="AH127" s="6" t="s">
        <v>93</v>
      </c>
      <c r="AI127" s="70" t="e">
        <f>WLS*(AD129-AD128)</f>
        <v>#VALUE!</v>
      </c>
      <c r="AU127" s="81"/>
    </row>
    <row r="128" spans="1:47" x14ac:dyDescent="0.25">
      <c r="A128" s="84">
        <f>A127+1</f>
        <v>19</v>
      </c>
      <c r="B128" s="84" t="str">
        <f t="shared" si="48"/>
        <v xml:space="preserve">  </v>
      </c>
      <c r="C128" s="80" t="e">
        <f t="shared" ref="C128" si="62">IF(OR(B130-B129=B129-B128,B130-B129=B129-B127,B130-B129=B129-B126),B129,IF(OR(B130-B128=B128-B127,B130-B128=B128-B126),B128,IF(B130-B127=B127-B126,B127,"#NA")))</f>
        <v>#VALUE!</v>
      </c>
      <c r="D128" s="76" t="e">
        <f>VLOOKUP(C128,STN_TABLE,2,FALSE)</f>
        <v>#VALUE!</v>
      </c>
      <c r="E128" s="81">
        <v>4</v>
      </c>
      <c r="F128" s="76" t="e">
        <f>D128*E128</f>
        <v>#VALUE!</v>
      </c>
      <c r="G128" s="77" t="e">
        <f>C128</f>
        <v>#VALUE!</v>
      </c>
      <c r="H128" s="77" t="e">
        <f>F128*G128</f>
        <v>#VALUE!</v>
      </c>
      <c r="I128" s="495" t="s">
        <v>97</v>
      </c>
      <c r="J128" s="496"/>
      <c r="K128" s="78" t="s">
        <v>98</v>
      </c>
      <c r="L128" s="78"/>
      <c r="M128" s="7" t="s">
        <v>99</v>
      </c>
      <c r="N128" s="7"/>
      <c r="O128" s="99">
        <f>O127+1</f>
        <v>21</v>
      </c>
      <c r="P128" s="99" t="str">
        <f t="shared" si="44"/>
        <v xml:space="preserve">  </v>
      </c>
      <c r="Q128" s="76" t="str">
        <f>P128</f>
        <v xml:space="preserve">  </v>
      </c>
      <c r="R128" s="77" t="str">
        <f>VLOOKUP(Q128,STN_TABLE,2,FALSE)</f>
        <v xml:space="preserve">  </v>
      </c>
      <c r="S128" s="77">
        <v>8</v>
      </c>
      <c r="T128" s="76" t="e">
        <f>R128*S128</f>
        <v>#VALUE!</v>
      </c>
      <c r="U128" s="80">
        <v>10</v>
      </c>
      <c r="V128" s="76" t="e">
        <f>R128*U128</f>
        <v>#VALUE!</v>
      </c>
      <c r="W128" s="496" t="s">
        <v>97</v>
      </c>
      <c r="X128" s="496"/>
      <c r="Y128" s="496" t="s">
        <v>98</v>
      </c>
      <c r="Z128" s="496"/>
      <c r="AA128" s="494" t="s">
        <v>99</v>
      </c>
      <c r="AB128" s="494"/>
      <c r="AC128" s="99">
        <f>AC123+1</f>
        <v>20</v>
      </c>
      <c r="AD128" s="95" t="str">
        <f>VLOOKUP(AC128,STN_TABLE_2,2,FALSE)</f>
        <v xml:space="preserve">  </v>
      </c>
      <c r="AE128" s="68" t="str">
        <f>VLOOKUP(AD128,STN_TABLE,2,FALSE)</f>
        <v xml:space="preserve">  </v>
      </c>
      <c r="AF128" s="68">
        <v>1</v>
      </c>
      <c r="AG128" s="69" t="e">
        <f>AE128*AF128</f>
        <v>#VALUE!</v>
      </c>
      <c r="AH128" s="496" t="s">
        <v>97</v>
      </c>
      <c r="AI128" s="496"/>
      <c r="AJ128" s="496" t="s">
        <v>98</v>
      </c>
      <c r="AK128" s="496"/>
      <c r="AL128" s="494" t="s">
        <v>99</v>
      </c>
      <c r="AM128" s="494"/>
      <c r="AP128" s="86" t="s">
        <v>112</v>
      </c>
      <c r="AQ128" s="89" t="s">
        <v>113</v>
      </c>
      <c r="AR128" s="89" t="s">
        <v>114</v>
      </c>
      <c r="AS128" s="89" t="s">
        <v>115</v>
      </c>
      <c r="AU128" s="81"/>
    </row>
    <row r="129" spans="1:47" x14ac:dyDescent="0.25">
      <c r="A129" s="84">
        <f>A128+1</f>
        <v>20</v>
      </c>
      <c r="B129" s="84" t="str">
        <f t="shared" si="48"/>
        <v xml:space="preserve">  </v>
      </c>
      <c r="C129" s="88" t="str">
        <f t="shared" ref="C129" si="63">B130</f>
        <v xml:space="preserve">  </v>
      </c>
      <c r="D129" s="82" t="str">
        <f>VLOOKUP(C129,STN_TABLE,2,FALSE)</f>
        <v xml:space="preserve">  </v>
      </c>
      <c r="E129" s="92">
        <v>1</v>
      </c>
      <c r="F129" s="82" t="e">
        <f>D129*E129</f>
        <v>#VALUE!</v>
      </c>
      <c r="G129" s="83" t="str">
        <f>C129</f>
        <v xml:space="preserve">  </v>
      </c>
      <c r="H129" s="83" t="e">
        <f>F129*G129</f>
        <v>#VALUE!</v>
      </c>
      <c r="I129" s="84" t="str">
        <f>CONCATENATE("a'(",C129,")=")</f>
        <v>a'(  )=</v>
      </c>
      <c r="J129" s="84" t="e">
        <f>2*J127/3*F130</f>
        <v>#VALUE!</v>
      </c>
      <c r="K129" s="84" t="e">
        <f>CONCATENATE("A(",C127,")=")</f>
        <v>#VALUE!</v>
      </c>
      <c r="L129" s="84" t="e">
        <f>VLOOKUP(C127,STN_TABLE,3,FALSE)</f>
        <v>#VALUE!</v>
      </c>
      <c r="M129" t="str">
        <f>CONCATENATE("A(",C129,")=")</f>
        <v>A(  )=</v>
      </c>
      <c r="N129" t="e">
        <f>J129+L129</f>
        <v>#VALUE!</v>
      </c>
      <c r="O129" s="99">
        <f>O128+1</f>
        <v>22</v>
      </c>
      <c r="P129" s="99" t="str">
        <f t="shared" si="44"/>
        <v xml:space="preserve">  </v>
      </c>
      <c r="Q129" s="82" t="e">
        <f>IF(P129-P128=P128-P127,P129,IF(P130-P128=P128-P127,P130,IF(P129-P128=P128-P126,P129,IF(P130-P128=P128-P126,P130,"-"))))</f>
        <v>#VALUE!</v>
      </c>
      <c r="R129" s="83" t="e">
        <f>VLOOKUP(Q129,STN_TABLE,2,FALSE)</f>
        <v>#VALUE!</v>
      </c>
      <c r="S129" s="83">
        <v>-1</v>
      </c>
      <c r="T129" s="82" t="e">
        <f>R129*S129</f>
        <v>#VALUE!</v>
      </c>
      <c r="U129" s="88">
        <v>-1</v>
      </c>
      <c r="V129" s="82" t="e">
        <f>R129*U129</f>
        <v>#VALUE!</v>
      </c>
      <c r="W129" s="84" t="str">
        <f>CONCATENATE("a'(",Q128,")=")</f>
        <v>a'(  )=</v>
      </c>
      <c r="X129" s="84" t="e">
        <f>2*X127/12*T130</f>
        <v>#VALUE!</v>
      </c>
      <c r="Y129" s="84" t="e">
        <f>CONCATENATE("A(",Q127,")=")</f>
        <v>#VALUE!</v>
      </c>
      <c r="Z129" s="84" t="e">
        <f>VLOOKUP(Q127,STN_TABLE,3,FALSE)</f>
        <v>#VALUE!</v>
      </c>
      <c r="AA129" t="str">
        <f>CONCATENATE("A(",Q128,")=")</f>
        <v>A(  )=</v>
      </c>
      <c r="AB129" t="e">
        <f>X129+Z129</f>
        <v>#VALUE!</v>
      </c>
      <c r="AC129" s="99">
        <f>AC128+1</f>
        <v>21</v>
      </c>
      <c r="AD129" s="100" t="str">
        <f>VLOOKUP(AC129,STN_TABLE_2,2,FALSE)</f>
        <v xml:space="preserve">  </v>
      </c>
      <c r="AE129" s="82" t="str">
        <f>VLOOKUP(AD129,STN_TABLE,2,FALSE)</f>
        <v xml:space="preserve">  </v>
      </c>
      <c r="AF129" s="82">
        <v>2</v>
      </c>
      <c r="AG129" s="83" t="e">
        <f>AE129*AF129</f>
        <v>#VALUE!</v>
      </c>
      <c r="AH129" s="84" t="str">
        <f>CONCATENATE("a'(",AD129,")=")</f>
        <v>a'(  )=</v>
      </c>
      <c r="AI129" s="84" t="e">
        <f>2*AI127/2*AE130</f>
        <v>#VALUE!</v>
      </c>
      <c r="AJ129" s="84" t="str">
        <f>CONCATENATE("A(",AD128,")=")</f>
        <v>A(  )=</v>
      </c>
      <c r="AK129" s="84" t="str">
        <f>VLOOKUP(AD128,STN_TABLE,3,FALSE)</f>
        <v xml:space="preserve"> </v>
      </c>
      <c r="AL129" t="str">
        <f>CONCATENATE("A(",AD129,")=")</f>
        <v>A(  )=</v>
      </c>
      <c r="AM129" t="e">
        <f>AI129+AK129</f>
        <v>#VALUE!</v>
      </c>
      <c r="AO129" s="68" t="str">
        <f>AA129</f>
        <v>A(  )=</v>
      </c>
      <c r="AP129" s="68" t="e">
        <f>VLOOKUP(AO129,Rise_Results,2,FALSE)</f>
        <v>#N/A</v>
      </c>
      <c r="AQ129" s="76" t="e">
        <f>N129</f>
        <v>#VALUE!</v>
      </c>
      <c r="AR129" s="76" t="e">
        <f>IF(OR(AB129&lt;=0,AB130&lt;=0),1/0,AB129)</f>
        <v>#VALUE!</v>
      </c>
      <c r="AS129" s="76" t="e">
        <f>AM129</f>
        <v>#VALUE!</v>
      </c>
      <c r="AT129" t="e">
        <f>IFERROR(AP129,IFERROR(AQ129,IFERROR(AR129,AS129)))</f>
        <v>#VALUE!</v>
      </c>
      <c r="AU129" s="81"/>
    </row>
    <row r="130" spans="1:47" x14ac:dyDescent="0.25">
      <c r="A130" s="84">
        <f>A129+1</f>
        <v>21</v>
      </c>
      <c r="B130" s="84" t="str">
        <f t="shared" si="48"/>
        <v xml:space="preserve">  </v>
      </c>
      <c r="F130" s="82" t="e">
        <f>SUM(F127:F129)</f>
        <v>#VALUE!</v>
      </c>
      <c r="H130" s="82" t="e">
        <f>SUM(H127:H129)</f>
        <v>#VALUE!</v>
      </c>
      <c r="I130" s="84" t="str">
        <f>CONCATENATE("m'(",C129,")=")</f>
        <v>m'(  )=</v>
      </c>
      <c r="J130" s="84" t="e">
        <f>2*(J127*(WLS))/3*H130</f>
        <v>#VALUE!</v>
      </c>
      <c r="K130" s="84" t="e">
        <f>CONCATENATE("M(",C127,")=")</f>
        <v>#VALUE!</v>
      </c>
      <c r="L130" s="84" t="e">
        <f>VLOOKUP(C127,STN_TABLE,4,FALSE)</f>
        <v>#VALUE!</v>
      </c>
      <c r="M130" t="str">
        <f>CONCATENATE("M(",C129,")=")</f>
        <v>M(  )=</v>
      </c>
      <c r="N130" t="e">
        <f>J130+L130</f>
        <v>#VALUE!</v>
      </c>
      <c r="O130" s="99">
        <f>O129+1</f>
        <v>23</v>
      </c>
      <c r="P130" s="99" t="str">
        <f t="shared" si="44"/>
        <v xml:space="preserve">  </v>
      </c>
      <c r="T130" s="89" t="e">
        <f>SUM(T127:T129)</f>
        <v>#VALUE!</v>
      </c>
      <c r="V130" s="82" t="e">
        <f>SUM(V127:V129)</f>
        <v>#VALUE!</v>
      </c>
      <c r="W130" s="84" t="str">
        <f>CONCATENATE("m'(",Q128,")=")</f>
        <v>m'(  )=</v>
      </c>
      <c r="X130" s="84" t="e">
        <f>(2*(X127^2)/24*V130)+(X129*Q127*WLS)</f>
        <v>#VALUE!</v>
      </c>
      <c r="Y130" s="84" t="e">
        <f>CONCATENATE("M(",Q127,")=")</f>
        <v>#VALUE!</v>
      </c>
      <c r="Z130" s="84" t="e">
        <f>VLOOKUP(Q127,STN_TABLE,4,FALSE)</f>
        <v>#VALUE!</v>
      </c>
      <c r="AA130" t="str">
        <f>CONCATENATE("M(",Q128,")=")</f>
        <v>M(  )=</v>
      </c>
      <c r="AB130" t="e">
        <f>X130+Z130</f>
        <v>#VALUE!</v>
      </c>
      <c r="AE130" s="89">
        <f>SUM(AE128:AE129)</f>
        <v>0</v>
      </c>
      <c r="AG130" s="89" t="e">
        <f>SUM(AG128:AG129)</f>
        <v>#VALUE!</v>
      </c>
      <c r="AH130" s="84" t="str">
        <f>CONCATENATE("m'(",AD129,")=")</f>
        <v>m'(  )=</v>
      </c>
      <c r="AI130" s="84" t="e">
        <f>(2*(AI127^2)/6*AG130)+(AI129*AD128*WLS)</f>
        <v>#VALUE!</v>
      </c>
      <c r="AJ130" s="84" t="str">
        <f>CONCATENATE("M(",AD128,")=")</f>
        <v>M(  )=</v>
      </c>
      <c r="AK130" s="84" t="str">
        <f>VLOOKUP(AD128,STN_TABLE,4,FALSE)</f>
        <v xml:space="preserve"> </v>
      </c>
      <c r="AL130" t="str">
        <f>CONCATENATE("M(",AD129,")=")</f>
        <v>M(  )=</v>
      </c>
      <c r="AM130" t="e">
        <f>AI130+AK130</f>
        <v>#VALUE!</v>
      </c>
      <c r="AO130" s="82" t="str">
        <f>AA130</f>
        <v>M(  )=</v>
      </c>
      <c r="AP130" s="82" t="e">
        <f>VLOOKUP(AO130,Rise_Results,2,FALSE)</f>
        <v>#N/A</v>
      </c>
      <c r="AQ130" s="82" t="e">
        <f>N130</f>
        <v>#VALUE!</v>
      </c>
      <c r="AR130" s="82" t="e">
        <f>IF(OR(AB129&lt;=0,AB130&lt;=0),1/0,AB130)</f>
        <v>#VALUE!</v>
      </c>
      <c r="AS130" s="82" t="e">
        <f>AM130</f>
        <v>#VALUE!</v>
      </c>
      <c r="AT130" t="e">
        <f>IFERROR(AP130,IFERROR(AQ130,IFERROR(AR130,AS130)))</f>
        <v>#VALUE!</v>
      </c>
      <c r="AU130" s="81"/>
    </row>
    <row r="131" spans="1:47" x14ac:dyDescent="0.25">
      <c r="A131" s="101">
        <f>A126+1</f>
        <v>18</v>
      </c>
      <c r="B131" s="101" t="str">
        <f t="shared" si="48"/>
        <v xml:space="preserve">  </v>
      </c>
      <c r="O131" s="101">
        <f>O126+1</f>
        <v>20</v>
      </c>
      <c r="P131" s="101" t="str">
        <f t="shared" si="44"/>
        <v xml:space="preserve">  </v>
      </c>
      <c r="AU131" s="81"/>
    </row>
    <row r="132" spans="1:47" x14ac:dyDescent="0.25">
      <c r="A132" s="84">
        <f>A131+1</f>
        <v>19</v>
      </c>
      <c r="B132" s="84" t="str">
        <f t="shared" si="48"/>
        <v xml:space="preserve">  </v>
      </c>
      <c r="C132" s="79" t="e">
        <f t="shared" ref="C132" si="64">IF(C133=B134,IF(C134-C133=C133-B133,B133,IF(C134-C133=C133-B132,B132,"#NA")),IF(C133=B133,IF(C134-C133=C133-B132,B132,IF(C134-C133=C133-B131,B131,"#NA")),"#NA"))</f>
        <v>#VALUE!</v>
      </c>
      <c r="D132" s="68" t="e">
        <f>VLOOKUP(C132,STN_TABLE,2,FALSE)</f>
        <v>#VALUE!</v>
      </c>
      <c r="E132" s="102">
        <v>1</v>
      </c>
      <c r="F132" s="68" t="e">
        <f>D132*E132</f>
        <v>#VALUE!</v>
      </c>
      <c r="G132" s="69" t="e">
        <f>C132</f>
        <v>#VALUE!</v>
      </c>
      <c r="H132" s="69" t="e">
        <f>F132*G132</f>
        <v>#VALUE!</v>
      </c>
      <c r="I132" s="6" t="s">
        <v>93</v>
      </c>
      <c r="J132" s="70" t="e">
        <f>IF(OR(D132=0,D133=0,D134=0),"#NA",IF(AND(C134-C133=C133-C132,C133&lt;&gt;C134,C132&lt;&gt;C133,C132&lt;&gt;C134,D134&lt;&gt;0,OR(D132&lt;&gt;0,D133&lt;&gt;0)),WLS*(C134-C133),"#NA"))</f>
        <v>#VALUE!</v>
      </c>
      <c r="O132" s="99">
        <f>O131+1</f>
        <v>21</v>
      </c>
      <c r="P132" s="99" t="str">
        <f t="shared" ref="P132:P150" si="65">VLOOKUP(O132,STN_TABLE_2,2,FALSE)</f>
        <v xml:space="preserve">  </v>
      </c>
      <c r="Q132" s="68" t="e">
        <f>IF(OR(P134-P133=P133-P132,P135-P133=P133-P132),P132,IF(OR(P134-P133=P133-P131,P135-P133=P133-P131),P131,"-"))</f>
        <v>#VALUE!</v>
      </c>
      <c r="R132" s="69" t="e">
        <f>VLOOKUP(Q132,STN_TABLE,2,FALSE)</f>
        <v>#VALUE!</v>
      </c>
      <c r="S132" s="69">
        <v>5</v>
      </c>
      <c r="T132" s="68" t="e">
        <f>R132*S132</f>
        <v>#VALUE!</v>
      </c>
      <c r="U132" s="79">
        <v>3</v>
      </c>
      <c r="V132" s="68" t="e">
        <f>R132*U132</f>
        <v>#VALUE!</v>
      </c>
      <c r="W132" s="6" t="s">
        <v>93</v>
      </c>
      <c r="X132" s="70" t="e">
        <f>IF(AND(Q134-Q133=Q133-Q132,NOT(AND(Q132=0,Q133=0)),NOT(AND(Q133=0,Q134=0))),WLS*(Q134-Q133),"#NA")</f>
        <v>#VALUE!</v>
      </c>
      <c r="AD132" s="93"/>
      <c r="AH132" s="6" t="s">
        <v>93</v>
      </c>
      <c r="AI132" s="70" t="e">
        <f>WLS*(AD134-AD133)</f>
        <v>#VALUE!</v>
      </c>
      <c r="AU132" s="81"/>
    </row>
    <row r="133" spans="1:47" x14ac:dyDescent="0.25">
      <c r="A133" s="84">
        <f>A132+1</f>
        <v>20</v>
      </c>
      <c r="B133" s="84" t="str">
        <f t="shared" si="48"/>
        <v xml:space="preserve">  </v>
      </c>
      <c r="C133" s="80" t="e">
        <f t="shared" ref="C133" si="66">IF(OR(B135-B134=B134-B133,B135-B134=B134-B132,B135-B134=B134-B131),B134,IF(OR(B135-B133=B133-B132,B135-B133=B133-B131),B133,IF(B135-B132=B132-B131,B132,"#NA")))</f>
        <v>#VALUE!</v>
      </c>
      <c r="D133" s="76" t="e">
        <f>VLOOKUP(C133,STN_TABLE,2,FALSE)</f>
        <v>#VALUE!</v>
      </c>
      <c r="E133" s="81">
        <v>4</v>
      </c>
      <c r="F133" s="76" t="e">
        <f>D133*E133</f>
        <v>#VALUE!</v>
      </c>
      <c r="G133" s="77" t="e">
        <f>C133</f>
        <v>#VALUE!</v>
      </c>
      <c r="H133" s="77" t="e">
        <f>F133*G133</f>
        <v>#VALUE!</v>
      </c>
      <c r="I133" s="495" t="s">
        <v>97</v>
      </c>
      <c r="J133" s="496"/>
      <c r="K133" s="78" t="s">
        <v>98</v>
      </c>
      <c r="L133" s="78"/>
      <c r="M133" s="7" t="s">
        <v>99</v>
      </c>
      <c r="N133" s="7"/>
      <c r="O133" s="99">
        <f>O132+1</f>
        <v>22</v>
      </c>
      <c r="P133" s="99" t="str">
        <f t="shared" si="65"/>
        <v xml:space="preserve">  </v>
      </c>
      <c r="Q133" s="76" t="str">
        <f>P133</f>
        <v xml:space="preserve">  </v>
      </c>
      <c r="R133" s="77" t="str">
        <f>VLOOKUP(Q133,STN_TABLE,2,FALSE)</f>
        <v xml:space="preserve">  </v>
      </c>
      <c r="S133" s="77">
        <v>8</v>
      </c>
      <c r="T133" s="76" t="e">
        <f>R133*S133</f>
        <v>#VALUE!</v>
      </c>
      <c r="U133" s="80">
        <v>10</v>
      </c>
      <c r="V133" s="76" t="e">
        <f>R133*U133</f>
        <v>#VALUE!</v>
      </c>
      <c r="W133" s="496" t="s">
        <v>97</v>
      </c>
      <c r="X133" s="496"/>
      <c r="Y133" s="496" t="s">
        <v>98</v>
      </c>
      <c r="Z133" s="496"/>
      <c r="AA133" s="494" t="s">
        <v>99</v>
      </c>
      <c r="AB133" s="494"/>
      <c r="AC133" s="99">
        <f>AC128+1</f>
        <v>21</v>
      </c>
      <c r="AD133" s="95" t="str">
        <f>VLOOKUP(AC133,STN_TABLE_2,2,FALSE)</f>
        <v xml:space="preserve">  </v>
      </c>
      <c r="AE133" s="68" t="str">
        <f>VLOOKUP(AD133,STN_TABLE,2,FALSE)</f>
        <v xml:space="preserve">  </v>
      </c>
      <c r="AF133" s="68">
        <v>1</v>
      </c>
      <c r="AG133" s="69" t="e">
        <f>AE133*AF133</f>
        <v>#VALUE!</v>
      </c>
      <c r="AH133" s="496" t="s">
        <v>97</v>
      </c>
      <c r="AI133" s="496"/>
      <c r="AJ133" s="496" t="s">
        <v>98</v>
      </c>
      <c r="AK133" s="496"/>
      <c r="AL133" s="494" t="s">
        <v>99</v>
      </c>
      <c r="AM133" s="494"/>
      <c r="AP133" s="86" t="s">
        <v>112</v>
      </c>
      <c r="AQ133" s="89" t="s">
        <v>113</v>
      </c>
      <c r="AR133" s="89" t="s">
        <v>114</v>
      </c>
      <c r="AS133" s="89" t="s">
        <v>115</v>
      </c>
      <c r="AU133" s="81"/>
    </row>
    <row r="134" spans="1:47" x14ac:dyDescent="0.25">
      <c r="A134" s="84">
        <f>A133+1</f>
        <v>21</v>
      </c>
      <c r="B134" s="84" t="str">
        <f t="shared" si="48"/>
        <v xml:space="preserve">  </v>
      </c>
      <c r="C134" s="88" t="str">
        <f t="shared" ref="C134" si="67">B135</f>
        <v xml:space="preserve">  </v>
      </c>
      <c r="D134" s="82" t="str">
        <f>VLOOKUP(C134,STN_TABLE,2,FALSE)</f>
        <v xml:space="preserve">  </v>
      </c>
      <c r="E134" s="92">
        <v>1</v>
      </c>
      <c r="F134" s="82" t="e">
        <f>D134*E134</f>
        <v>#VALUE!</v>
      </c>
      <c r="G134" s="83" t="str">
        <f>C134</f>
        <v xml:space="preserve">  </v>
      </c>
      <c r="H134" s="83" t="e">
        <f>F134*G134</f>
        <v>#VALUE!</v>
      </c>
      <c r="I134" s="84" t="str">
        <f>CONCATENATE("a'(",C134,")=")</f>
        <v>a'(  )=</v>
      </c>
      <c r="J134" s="84" t="e">
        <f>2*J132/3*F135</f>
        <v>#VALUE!</v>
      </c>
      <c r="K134" s="84" t="e">
        <f>CONCATENATE("A(",C132,")=")</f>
        <v>#VALUE!</v>
      </c>
      <c r="L134" s="84" t="e">
        <f>VLOOKUP(C132,STN_TABLE,3,FALSE)</f>
        <v>#VALUE!</v>
      </c>
      <c r="M134" t="str">
        <f>CONCATENATE("A(",C134,")=")</f>
        <v>A(  )=</v>
      </c>
      <c r="N134" t="e">
        <f>J134+L134</f>
        <v>#VALUE!</v>
      </c>
      <c r="O134" s="99">
        <f>O133+1</f>
        <v>23</v>
      </c>
      <c r="P134" s="99" t="str">
        <f t="shared" si="65"/>
        <v xml:space="preserve">  </v>
      </c>
      <c r="Q134" s="82" t="e">
        <f>IF(P134-P133=P133-P132,P134,IF(P135-P133=P133-P132,P135,IF(P134-P133=P133-P131,P134,IF(P135-P133=P133-P131,P135,"-"))))</f>
        <v>#VALUE!</v>
      </c>
      <c r="R134" s="83" t="e">
        <f>VLOOKUP(Q134,STN_TABLE,2,FALSE)</f>
        <v>#VALUE!</v>
      </c>
      <c r="S134" s="83">
        <v>-1</v>
      </c>
      <c r="T134" s="82" t="e">
        <f>R134*S134</f>
        <v>#VALUE!</v>
      </c>
      <c r="U134" s="88">
        <v>-1</v>
      </c>
      <c r="V134" s="82" t="e">
        <f>R134*U134</f>
        <v>#VALUE!</v>
      </c>
      <c r="W134" s="84" t="str">
        <f>CONCATENATE("a'(",Q133,")=")</f>
        <v>a'(  )=</v>
      </c>
      <c r="X134" s="84" t="e">
        <f>2*X132/12*T135</f>
        <v>#VALUE!</v>
      </c>
      <c r="Y134" s="84" t="e">
        <f>CONCATENATE("A(",Q132,")=")</f>
        <v>#VALUE!</v>
      </c>
      <c r="Z134" s="84" t="e">
        <f>VLOOKUP(Q132,STN_TABLE,3,FALSE)</f>
        <v>#VALUE!</v>
      </c>
      <c r="AA134" t="str">
        <f>CONCATENATE("A(",Q133,")=")</f>
        <v>A(  )=</v>
      </c>
      <c r="AB134" t="e">
        <f>X134+Z134</f>
        <v>#VALUE!</v>
      </c>
      <c r="AC134" s="99">
        <f>AC133+1</f>
        <v>22</v>
      </c>
      <c r="AD134" s="100" t="str">
        <f>VLOOKUP(AC134,STN_TABLE_2,2,FALSE)</f>
        <v xml:space="preserve">  </v>
      </c>
      <c r="AE134" s="82" t="str">
        <f>VLOOKUP(AD134,STN_TABLE,2,FALSE)</f>
        <v xml:space="preserve">  </v>
      </c>
      <c r="AF134" s="82">
        <v>2</v>
      </c>
      <c r="AG134" s="83" t="e">
        <f>AE134*AF134</f>
        <v>#VALUE!</v>
      </c>
      <c r="AH134" s="84" t="str">
        <f>CONCATENATE("a'(",AD134,")=")</f>
        <v>a'(  )=</v>
      </c>
      <c r="AI134" s="84" t="e">
        <f>2*AI132/2*AE135</f>
        <v>#VALUE!</v>
      </c>
      <c r="AJ134" s="84" t="str">
        <f>CONCATENATE("A(",AD133,")=")</f>
        <v>A(  )=</v>
      </c>
      <c r="AK134" s="84" t="str">
        <f>VLOOKUP(AD133,STN_TABLE,3,FALSE)</f>
        <v xml:space="preserve"> </v>
      </c>
      <c r="AL134" t="str">
        <f>CONCATENATE("A(",AD134,")=")</f>
        <v>A(  )=</v>
      </c>
      <c r="AM134" t="e">
        <f>AI134+AK134</f>
        <v>#VALUE!</v>
      </c>
      <c r="AO134" s="68" t="str">
        <f>AA134</f>
        <v>A(  )=</v>
      </c>
      <c r="AP134" s="68" t="e">
        <f>VLOOKUP(AO134,Rise_Results,2,FALSE)</f>
        <v>#N/A</v>
      </c>
      <c r="AQ134" s="76" t="e">
        <f>N134</f>
        <v>#VALUE!</v>
      </c>
      <c r="AR134" s="76" t="e">
        <f>IF(OR(AB134&lt;=0,AB135&lt;=0),1/0,AB134)</f>
        <v>#VALUE!</v>
      </c>
      <c r="AS134" s="76" t="e">
        <f>AM134</f>
        <v>#VALUE!</v>
      </c>
      <c r="AT134" t="e">
        <f>IFERROR(AP134,IFERROR(AQ134,IFERROR(AR134,AS134)))</f>
        <v>#VALUE!</v>
      </c>
      <c r="AU134" s="81"/>
    </row>
    <row r="135" spans="1:47" x14ac:dyDescent="0.25">
      <c r="A135" s="84">
        <f>A134+1</f>
        <v>22</v>
      </c>
      <c r="B135" s="84" t="str">
        <f t="shared" si="48"/>
        <v xml:space="preserve">  </v>
      </c>
      <c r="F135" s="82" t="e">
        <f>SUM(F132:F134)</f>
        <v>#VALUE!</v>
      </c>
      <c r="H135" s="82" t="e">
        <f>SUM(H132:H134)</f>
        <v>#VALUE!</v>
      </c>
      <c r="I135" s="84" t="str">
        <f>CONCATENATE("m'(",C134,")=")</f>
        <v>m'(  )=</v>
      </c>
      <c r="J135" s="84" t="e">
        <f>2*(J132*(WLS))/3*H135</f>
        <v>#VALUE!</v>
      </c>
      <c r="K135" s="84" t="e">
        <f>CONCATENATE("M(",C132,")=")</f>
        <v>#VALUE!</v>
      </c>
      <c r="L135" s="84" t="e">
        <f>VLOOKUP(C132,STN_TABLE,4,FALSE)</f>
        <v>#VALUE!</v>
      </c>
      <c r="M135" t="str">
        <f>CONCATENATE("M(",C134,")=")</f>
        <v>M(  )=</v>
      </c>
      <c r="N135" t="e">
        <f>J135+L135</f>
        <v>#VALUE!</v>
      </c>
      <c r="O135" s="99">
        <f>O134+1</f>
        <v>24</v>
      </c>
      <c r="P135" s="99" t="str">
        <f t="shared" si="65"/>
        <v xml:space="preserve">  </v>
      </c>
      <c r="T135" s="89" t="e">
        <f>SUM(T132:T134)</f>
        <v>#VALUE!</v>
      </c>
      <c r="V135" s="82" t="e">
        <f>SUM(V132:V134)</f>
        <v>#VALUE!</v>
      </c>
      <c r="W135" s="84" t="str">
        <f>CONCATENATE("m'(",Q133,")=")</f>
        <v>m'(  )=</v>
      </c>
      <c r="X135" s="84" t="e">
        <f>(2*(X132^2)/24*V135)+(X134*Q132*WLS)</f>
        <v>#VALUE!</v>
      </c>
      <c r="Y135" s="84" t="e">
        <f>CONCATENATE("M(",Q132,")=")</f>
        <v>#VALUE!</v>
      </c>
      <c r="Z135" s="84" t="e">
        <f>VLOOKUP(Q132,STN_TABLE,4,FALSE)</f>
        <v>#VALUE!</v>
      </c>
      <c r="AA135" t="str">
        <f>CONCATENATE("M(",Q133,")=")</f>
        <v>M(  )=</v>
      </c>
      <c r="AB135" t="e">
        <f>X135+Z135</f>
        <v>#VALUE!</v>
      </c>
      <c r="AE135" s="89">
        <f>SUM(AE133:AE134)</f>
        <v>0</v>
      </c>
      <c r="AG135" s="89" t="e">
        <f>SUM(AG133:AG134)</f>
        <v>#VALUE!</v>
      </c>
      <c r="AH135" s="84" t="str">
        <f>CONCATENATE("m'(",AD134,")=")</f>
        <v>m'(  )=</v>
      </c>
      <c r="AI135" s="84" t="e">
        <f>(2*(AI132^2)/6*AG135)+(AI134*AD133*WLS)</f>
        <v>#VALUE!</v>
      </c>
      <c r="AJ135" s="84" t="str">
        <f>CONCATENATE("M(",AD133,")=")</f>
        <v>M(  )=</v>
      </c>
      <c r="AK135" s="84" t="str">
        <f>VLOOKUP(AD133,STN_TABLE,4,FALSE)</f>
        <v xml:space="preserve"> </v>
      </c>
      <c r="AL135" t="str">
        <f>CONCATENATE("M(",AD134,")=")</f>
        <v>M(  )=</v>
      </c>
      <c r="AM135" t="e">
        <f>AI135+AK135</f>
        <v>#VALUE!</v>
      </c>
      <c r="AO135" s="82" t="str">
        <f>AA135</f>
        <v>M(  )=</v>
      </c>
      <c r="AP135" s="82" t="e">
        <f>VLOOKUP(AO135,Rise_Results,2,FALSE)</f>
        <v>#N/A</v>
      </c>
      <c r="AQ135" s="82" t="e">
        <f>N135</f>
        <v>#VALUE!</v>
      </c>
      <c r="AR135" s="82" t="e">
        <f>IF(OR(AB134&lt;=0,AB135&lt;=0),1/0,AB135)</f>
        <v>#VALUE!</v>
      </c>
      <c r="AS135" s="82" t="e">
        <f>AM135</f>
        <v>#VALUE!</v>
      </c>
      <c r="AT135" t="e">
        <f>IFERROR(AP135,IFERROR(AQ135,IFERROR(AR135,AS135)))</f>
        <v>#VALUE!</v>
      </c>
      <c r="AU135" s="81"/>
    </row>
    <row r="136" spans="1:47" x14ac:dyDescent="0.25">
      <c r="A136" s="101">
        <f>A131+1</f>
        <v>19</v>
      </c>
      <c r="B136" s="101" t="str">
        <f t="shared" si="48"/>
        <v xml:space="preserve">  </v>
      </c>
      <c r="O136" s="101">
        <f>O131+1</f>
        <v>21</v>
      </c>
      <c r="P136" s="101" t="str">
        <f t="shared" si="65"/>
        <v xml:space="preserve">  </v>
      </c>
      <c r="AU136" s="81"/>
    </row>
    <row r="137" spans="1:47" x14ac:dyDescent="0.25">
      <c r="A137" s="84">
        <f>A136+1</f>
        <v>20</v>
      </c>
      <c r="B137" s="84" t="str">
        <f t="shared" si="48"/>
        <v xml:space="preserve">  </v>
      </c>
      <c r="C137" s="79" t="e">
        <f t="shared" ref="C137" si="68">IF(C138=B139,IF(C139-C138=C138-B138,B138,IF(C139-C138=C138-B137,B137,"#NA")),IF(C138=B138,IF(C139-C138=C138-B137,B137,IF(C139-C138=C138-B136,B136,"#NA")),"#NA"))</f>
        <v>#VALUE!</v>
      </c>
      <c r="D137" s="68" t="e">
        <f>VLOOKUP(C137,STN_TABLE,2,FALSE)</f>
        <v>#VALUE!</v>
      </c>
      <c r="E137" s="102">
        <v>1</v>
      </c>
      <c r="F137" s="68" t="e">
        <f>D137*E137</f>
        <v>#VALUE!</v>
      </c>
      <c r="G137" s="69" t="e">
        <f>C137</f>
        <v>#VALUE!</v>
      </c>
      <c r="H137" s="69" t="e">
        <f>F137*G137</f>
        <v>#VALUE!</v>
      </c>
      <c r="I137" s="6" t="s">
        <v>93</v>
      </c>
      <c r="J137" s="70" t="e">
        <f>IF(OR(D137=0,D138=0,D139=0),"#NA",IF(AND(C139-C138=C138-C137,C138&lt;&gt;C139,C137&lt;&gt;C138,C137&lt;&gt;C139,D139&lt;&gt;0,OR(D137&lt;&gt;0,D138&lt;&gt;0)),WLS*(C139-C138),"#NA"))</f>
        <v>#VALUE!</v>
      </c>
      <c r="O137" s="99">
        <f>O136+1</f>
        <v>22</v>
      </c>
      <c r="P137" s="99" t="str">
        <f t="shared" si="65"/>
        <v xml:space="preserve">  </v>
      </c>
      <c r="Q137" s="68" t="e">
        <f>IF(OR(P139-P138=P138-P137,P140-P138=P138-P137),P137,IF(OR(P139-P138=P138-P136,P140-P138=P138-P136),P136,"-"))</f>
        <v>#VALUE!</v>
      </c>
      <c r="R137" s="69" t="e">
        <f>VLOOKUP(Q137,STN_TABLE,2,FALSE)</f>
        <v>#VALUE!</v>
      </c>
      <c r="S137" s="69">
        <v>5</v>
      </c>
      <c r="T137" s="68" t="e">
        <f>R137*S137</f>
        <v>#VALUE!</v>
      </c>
      <c r="U137" s="79">
        <v>3</v>
      </c>
      <c r="V137" s="68" t="e">
        <f>R137*U137</f>
        <v>#VALUE!</v>
      </c>
      <c r="W137" s="6" t="s">
        <v>93</v>
      </c>
      <c r="X137" s="70" t="e">
        <f>IF(AND(Q139-Q138=Q138-Q137,NOT(AND(Q137=0,Q138=0)),NOT(AND(Q138=0,Q139=0))),WLS*(Q139-Q138),"#NA")</f>
        <v>#VALUE!</v>
      </c>
      <c r="AD137" s="93"/>
      <c r="AH137" s="6" t="s">
        <v>93</v>
      </c>
      <c r="AI137" s="70" t="e">
        <f>WLS*(AD139-AD138)</f>
        <v>#VALUE!</v>
      </c>
      <c r="AU137" s="81"/>
    </row>
    <row r="138" spans="1:47" x14ac:dyDescent="0.25">
      <c r="A138" s="84">
        <f>A137+1</f>
        <v>21</v>
      </c>
      <c r="B138" s="84" t="str">
        <f t="shared" ref="B138:B150" si="69">VLOOKUP(A138,STN_TABLE_2,2,FALSE)</f>
        <v xml:space="preserve">  </v>
      </c>
      <c r="C138" s="80" t="e">
        <f t="shared" ref="C138" si="70">IF(OR(B140-B139=B139-B138,B140-B139=B139-B137,B140-B139=B139-B136),B139,IF(OR(B140-B138=B138-B137,B140-B138=B138-B136),B138,IF(B140-B137=B137-B136,B137,"#NA")))</f>
        <v>#VALUE!</v>
      </c>
      <c r="D138" s="76" t="e">
        <f>VLOOKUP(C138,STN_TABLE,2,FALSE)</f>
        <v>#VALUE!</v>
      </c>
      <c r="E138" s="81">
        <v>4</v>
      </c>
      <c r="F138" s="76" t="e">
        <f>D138*E138</f>
        <v>#VALUE!</v>
      </c>
      <c r="G138" s="77" t="e">
        <f>C138</f>
        <v>#VALUE!</v>
      </c>
      <c r="H138" s="77" t="e">
        <f>F138*G138</f>
        <v>#VALUE!</v>
      </c>
      <c r="I138" s="495" t="s">
        <v>97</v>
      </c>
      <c r="J138" s="496"/>
      <c r="K138" s="78" t="s">
        <v>98</v>
      </c>
      <c r="L138" s="78"/>
      <c r="M138" s="7" t="s">
        <v>99</v>
      </c>
      <c r="N138" s="7"/>
      <c r="O138" s="99">
        <f>O137+1</f>
        <v>23</v>
      </c>
      <c r="P138" s="99" t="str">
        <f t="shared" si="65"/>
        <v xml:space="preserve">  </v>
      </c>
      <c r="Q138" s="76" t="str">
        <f>P138</f>
        <v xml:space="preserve">  </v>
      </c>
      <c r="R138" s="77" t="str">
        <f>VLOOKUP(Q138,STN_TABLE,2,FALSE)</f>
        <v xml:space="preserve">  </v>
      </c>
      <c r="S138" s="77">
        <v>8</v>
      </c>
      <c r="T138" s="76" t="e">
        <f>R138*S138</f>
        <v>#VALUE!</v>
      </c>
      <c r="U138" s="80">
        <v>10</v>
      </c>
      <c r="V138" s="76" t="e">
        <f>R138*U138</f>
        <v>#VALUE!</v>
      </c>
      <c r="W138" s="496" t="s">
        <v>97</v>
      </c>
      <c r="X138" s="496"/>
      <c r="Y138" s="496" t="s">
        <v>98</v>
      </c>
      <c r="Z138" s="496"/>
      <c r="AA138" s="494" t="s">
        <v>99</v>
      </c>
      <c r="AB138" s="494"/>
      <c r="AC138" s="99">
        <f>AC133+1</f>
        <v>22</v>
      </c>
      <c r="AD138" s="95" t="str">
        <f>VLOOKUP(AC138,STN_TABLE_2,2,FALSE)</f>
        <v xml:space="preserve">  </v>
      </c>
      <c r="AE138" s="68" t="str">
        <f>VLOOKUP(AD138,STN_TABLE,2,FALSE)</f>
        <v xml:space="preserve">  </v>
      </c>
      <c r="AF138" s="68">
        <v>1</v>
      </c>
      <c r="AG138" s="69" t="e">
        <f>AE138*AF138</f>
        <v>#VALUE!</v>
      </c>
      <c r="AH138" s="496" t="s">
        <v>97</v>
      </c>
      <c r="AI138" s="496"/>
      <c r="AJ138" s="496" t="s">
        <v>98</v>
      </c>
      <c r="AK138" s="496"/>
      <c r="AL138" s="494" t="s">
        <v>99</v>
      </c>
      <c r="AM138" s="494"/>
      <c r="AP138" s="86" t="s">
        <v>112</v>
      </c>
      <c r="AQ138" s="89" t="s">
        <v>113</v>
      </c>
      <c r="AR138" s="89" t="s">
        <v>114</v>
      </c>
      <c r="AS138" s="89" t="s">
        <v>115</v>
      </c>
      <c r="AU138" s="81"/>
    </row>
    <row r="139" spans="1:47" x14ac:dyDescent="0.25">
      <c r="A139" s="84">
        <f>A138+1</f>
        <v>22</v>
      </c>
      <c r="B139" s="84" t="str">
        <f t="shared" si="69"/>
        <v xml:space="preserve">  </v>
      </c>
      <c r="C139" s="88" t="str">
        <f t="shared" ref="C139" si="71">B140</f>
        <v xml:space="preserve">  </v>
      </c>
      <c r="D139" s="82" t="str">
        <f>VLOOKUP(C139,STN_TABLE,2,FALSE)</f>
        <v xml:space="preserve">  </v>
      </c>
      <c r="E139" s="92">
        <v>1</v>
      </c>
      <c r="F139" s="82" t="e">
        <f>D139*E139</f>
        <v>#VALUE!</v>
      </c>
      <c r="G139" s="83" t="str">
        <f>C139</f>
        <v xml:space="preserve">  </v>
      </c>
      <c r="H139" s="83" t="e">
        <f>F139*G139</f>
        <v>#VALUE!</v>
      </c>
      <c r="I139" s="84" t="str">
        <f>CONCATENATE("a'(",C139,")=")</f>
        <v>a'(  )=</v>
      </c>
      <c r="J139" s="84" t="e">
        <f>2*J137/3*F140</f>
        <v>#VALUE!</v>
      </c>
      <c r="K139" s="84" t="e">
        <f>CONCATENATE("A(",C137,")=")</f>
        <v>#VALUE!</v>
      </c>
      <c r="L139" s="84" t="e">
        <f>VLOOKUP(C137,STN_TABLE,3,FALSE)</f>
        <v>#VALUE!</v>
      </c>
      <c r="M139" t="str">
        <f>CONCATENATE("A(",C139,")=")</f>
        <v>A(  )=</v>
      </c>
      <c r="N139" t="e">
        <f>J139+L139</f>
        <v>#VALUE!</v>
      </c>
      <c r="O139" s="99">
        <f>O138+1</f>
        <v>24</v>
      </c>
      <c r="P139" s="99" t="str">
        <f t="shared" si="65"/>
        <v xml:space="preserve">  </v>
      </c>
      <c r="Q139" s="82" t="e">
        <f>IF(P139-P138=P138-P137,P139,IF(P140-P138=P138-P137,P140,IF(P139-P138=P138-P136,P139,IF(P140-P138=P138-P136,P140,"-"))))</f>
        <v>#VALUE!</v>
      </c>
      <c r="R139" s="83" t="e">
        <f>VLOOKUP(Q139,STN_TABLE,2,FALSE)</f>
        <v>#VALUE!</v>
      </c>
      <c r="S139" s="83">
        <v>-1</v>
      </c>
      <c r="T139" s="82" t="e">
        <f>R139*S139</f>
        <v>#VALUE!</v>
      </c>
      <c r="U139" s="88">
        <v>-1</v>
      </c>
      <c r="V139" s="82" t="e">
        <f>R139*U139</f>
        <v>#VALUE!</v>
      </c>
      <c r="W139" s="84" t="str">
        <f>CONCATENATE("a'(",Q138,")=")</f>
        <v>a'(  )=</v>
      </c>
      <c r="X139" s="84" t="e">
        <f>2*X137/12*T140</f>
        <v>#VALUE!</v>
      </c>
      <c r="Y139" s="84" t="e">
        <f>CONCATENATE("A(",Q137,")=")</f>
        <v>#VALUE!</v>
      </c>
      <c r="Z139" s="84" t="e">
        <f>VLOOKUP(Q137,STN_TABLE,3,FALSE)</f>
        <v>#VALUE!</v>
      </c>
      <c r="AA139" t="str">
        <f>CONCATENATE("A(",Q138,")=")</f>
        <v>A(  )=</v>
      </c>
      <c r="AB139" t="e">
        <f>X139+Z139</f>
        <v>#VALUE!</v>
      </c>
      <c r="AC139" s="99">
        <f>AC138+1</f>
        <v>23</v>
      </c>
      <c r="AD139" s="100" t="str">
        <f>VLOOKUP(AC139,STN_TABLE_2,2,FALSE)</f>
        <v xml:space="preserve">  </v>
      </c>
      <c r="AE139" s="82" t="str">
        <f>VLOOKUP(AD139,STN_TABLE,2,FALSE)</f>
        <v xml:space="preserve">  </v>
      </c>
      <c r="AF139" s="82">
        <v>2</v>
      </c>
      <c r="AG139" s="83" t="e">
        <f>AE139*AF139</f>
        <v>#VALUE!</v>
      </c>
      <c r="AH139" s="84" t="str">
        <f>CONCATENATE("a'(",AD139,")=")</f>
        <v>a'(  )=</v>
      </c>
      <c r="AI139" s="84" t="e">
        <f>2*AI137/2*AE140</f>
        <v>#VALUE!</v>
      </c>
      <c r="AJ139" s="84" t="str">
        <f>CONCATENATE("A(",AD138,")=")</f>
        <v>A(  )=</v>
      </c>
      <c r="AK139" s="84" t="str">
        <f>VLOOKUP(AD138,STN_TABLE,3,FALSE)</f>
        <v xml:space="preserve"> </v>
      </c>
      <c r="AL139" t="str">
        <f>CONCATENATE("A(",AD139,")=")</f>
        <v>A(  )=</v>
      </c>
      <c r="AM139" t="e">
        <f>AI139+AK139</f>
        <v>#VALUE!</v>
      </c>
      <c r="AO139" s="68" t="str">
        <f>AA139</f>
        <v>A(  )=</v>
      </c>
      <c r="AP139" s="68" t="e">
        <f>VLOOKUP(AO139,Rise_Results,2,FALSE)</f>
        <v>#N/A</v>
      </c>
      <c r="AQ139" s="76" t="e">
        <f>N139</f>
        <v>#VALUE!</v>
      </c>
      <c r="AR139" s="76" t="e">
        <f>IF(OR(AB139&lt;=0,AB140&lt;=0),1/0,AB139)</f>
        <v>#VALUE!</v>
      </c>
      <c r="AS139" s="76" t="e">
        <f>AM139</f>
        <v>#VALUE!</v>
      </c>
      <c r="AT139" t="e">
        <f>IFERROR(AP139,IFERROR(AQ139,IFERROR(AR139,AS139)))</f>
        <v>#VALUE!</v>
      </c>
      <c r="AU139" s="81"/>
    </row>
    <row r="140" spans="1:47" x14ac:dyDescent="0.25">
      <c r="A140" s="84">
        <f>A139+1</f>
        <v>23</v>
      </c>
      <c r="B140" s="84" t="str">
        <f t="shared" si="69"/>
        <v xml:space="preserve">  </v>
      </c>
      <c r="F140" s="82" t="e">
        <f>SUM(F137:F139)</f>
        <v>#VALUE!</v>
      </c>
      <c r="H140" s="82" t="e">
        <f>SUM(H137:H139)</f>
        <v>#VALUE!</v>
      </c>
      <c r="I140" s="84" t="str">
        <f>CONCATENATE("m'(",C139,")=")</f>
        <v>m'(  )=</v>
      </c>
      <c r="J140" s="84" t="e">
        <f>2*(J137*(WLS))/3*H140</f>
        <v>#VALUE!</v>
      </c>
      <c r="K140" s="84" t="e">
        <f>CONCATENATE("M(",C137,")=")</f>
        <v>#VALUE!</v>
      </c>
      <c r="L140" s="84" t="e">
        <f>VLOOKUP(C137,STN_TABLE,4,FALSE)</f>
        <v>#VALUE!</v>
      </c>
      <c r="M140" t="str">
        <f>CONCATENATE("M(",C139,")=")</f>
        <v>M(  )=</v>
      </c>
      <c r="N140" t="e">
        <f>J140+L140</f>
        <v>#VALUE!</v>
      </c>
      <c r="O140" s="99">
        <f>O139+1</f>
        <v>25</v>
      </c>
      <c r="P140" s="99" t="str">
        <f t="shared" si="65"/>
        <v xml:space="preserve">  </v>
      </c>
      <c r="T140" s="89" t="e">
        <f>SUM(T137:T139)</f>
        <v>#VALUE!</v>
      </c>
      <c r="V140" s="82" t="e">
        <f>SUM(V137:V139)</f>
        <v>#VALUE!</v>
      </c>
      <c r="W140" s="84" t="str">
        <f>CONCATENATE("m'(",Q138,")=")</f>
        <v>m'(  )=</v>
      </c>
      <c r="X140" s="84" t="e">
        <f>(2*(X137^2)/24*V140)+(X139*Q137*WLS)</f>
        <v>#VALUE!</v>
      </c>
      <c r="Y140" s="84" t="e">
        <f>CONCATENATE("M(",Q137,")=")</f>
        <v>#VALUE!</v>
      </c>
      <c r="Z140" s="84" t="e">
        <f>VLOOKUP(Q137,STN_TABLE,4,FALSE)</f>
        <v>#VALUE!</v>
      </c>
      <c r="AA140" t="str">
        <f>CONCATENATE("M(",Q138,")=")</f>
        <v>M(  )=</v>
      </c>
      <c r="AB140" t="e">
        <f>X140+Z140</f>
        <v>#VALUE!</v>
      </c>
      <c r="AE140" s="89">
        <f>SUM(AE138:AE139)</f>
        <v>0</v>
      </c>
      <c r="AG140" s="89" t="e">
        <f>SUM(AG138:AG139)</f>
        <v>#VALUE!</v>
      </c>
      <c r="AH140" s="84" t="str">
        <f>CONCATENATE("m'(",AD139,")=")</f>
        <v>m'(  )=</v>
      </c>
      <c r="AI140" s="84" t="e">
        <f>(2*(AI137^2)/6*AG140)+(AI139*AD138*WLS)</f>
        <v>#VALUE!</v>
      </c>
      <c r="AJ140" s="84" t="str">
        <f>CONCATENATE("M(",AD138,")=")</f>
        <v>M(  )=</v>
      </c>
      <c r="AK140" s="84" t="str">
        <f>VLOOKUP(AD138,STN_TABLE,4,FALSE)</f>
        <v xml:space="preserve"> </v>
      </c>
      <c r="AL140" t="str">
        <f>CONCATENATE("M(",AD139,")=")</f>
        <v>M(  )=</v>
      </c>
      <c r="AM140" t="e">
        <f>AI140+AK140</f>
        <v>#VALUE!</v>
      </c>
      <c r="AO140" s="82" t="str">
        <f>AA140</f>
        <v>M(  )=</v>
      </c>
      <c r="AP140" s="82" t="e">
        <f>VLOOKUP(AO140,Rise_Results,2,FALSE)</f>
        <v>#N/A</v>
      </c>
      <c r="AQ140" s="82" t="e">
        <f>N140</f>
        <v>#VALUE!</v>
      </c>
      <c r="AR140" s="82" t="e">
        <f>IF(OR(AB139&lt;=0,AB140&lt;=0),1/0,AB140)</f>
        <v>#VALUE!</v>
      </c>
      <c r="AS140" s="82" t="e">
        <f>AM140</f>
        <v>#VALUE!</v>
      </c>
      <c r="AT140" t="e">
        <f>IFERROR(AP140,IFERROR(AQ140,IFERROR(AR140,AS140)))</f>
        <v>#VALUE!</v>
      </c>
      <c r="AU140" s="81"/>
    </row>
    <row r="141" spans="1:47" x14ac:dyDescent="0.25">
      <c r="A141" s="101">
        <f>A136+1</f>
        <v>20</v>
      </c>
      <c r="B141" s="101" t="str">
        <f t="shared" si="69"/>
        <v xml:space="preserve">  </v>
      </c>
      <c r="O141" s="101">
        <f>O136+1</f>
        <v>22</v>
      </c>
      <c r="P141" s="101" t="str">
        <f t="shared" si="65"/>
        <v xml:space="preserve">  </v>
      </c>
      <c r="AU141" s="81"/>
    </row>
    <row r="142" spans="1:47" x14ac:dyDescent="0.25">
      <c r="A142" s="84">
        <f>A141+1</f>
        <v>21</v>
      </c>
      <c r="B142" s="84" t="str">
        <f t="shared" si="69"/>
        <v xml:space="preserve">  </v>
      </c>
      <c r="C142" s="79" t="e">
        <f t="shared" ref="C142" si="72">IF(C143=B144,IF(C144-C143=C143-B143,B143,IF(C144-C143=C143-B142,B142,"#NA")),IF(C143=B143,IF(C144-C143=C143-B142,B142,IF(C144-C143=C143-B141,B141,"#NA")),"#NA"))</f>
        <v>#VALUE!</v>
      </c>
      <c r="D142" s="68" t="e">
        <f>VLOOKUP(C142,STN_TABLE,2,FALSE)</f>
        <v>#VALUE!</v>
      </c>
      <c r="E142" s="102">
        <v>1</v>
      </c>
      <c r="F142" s="68" t="e">
        <f>D142*E142</f>
        <v>#VALUE!</v>
      </c>
      <c r="G142" s="69" t="e">
        <f>C142</f>
        <v>#VALUE!</v>
      </c>
      <c r="H142" s="69" t="e">
        <f>F142*G142</f>
        <v>#VALUE!</v>
      </c>
      <c r="I142" s="6" t="s">
        <v>93</v>
      </c>
      <c r="J142" s="70" t="e">
        <f>IF(OR(D142=0,D143=0,D144=0),"#NA",IF(AND(C144-C143=C143-C142,C143&lt;&gt;C144,C142&lt;&gt;C143,C142&lt;&gt;C144,D144&lt;&gt;0,OR(D142&lt;&gt;0,D143&lt;&gt;0)),WLS*(C144-C143),"#NA"))</f>
        <v>#VALUE!</v>
      </c>
      <c r="O142" s="99">
        <f>O141+1</f>
        <v>23</v>
      </c>
      <c r="P142" s="99" t="str">
        <f t="shared" si="65"/>
        <v xml:space="preserve">  </v>
      </c>
      <c r="Q142" s="68" t="e">
        <f>IF(OR(P144-P143=P143-P142,P145-P143=P143-P142),P142,IF(OR(P144-P143=P143-P141,P145-P143=P143-P141),P141,"-"))</f>
        <v>#VALUE!</v>
      </c>
      <c r="R142" s="69" t="e">
        <f>VLOOKUP(Q142,STN_TABLE,2,FALSE)</f>
        <v>#VALUE!</v>
      </c>
      <c r="S142" s="69">
        <v>5</v>
      </c>
      <c r="T142" s="68" t="e">
        <f>R142*S142</f>
        <v>#VALUE!</v>
      </c>
      <c r="U142" s="79">
        <v>3</v>
      </c>
      <c r="V142" s="68" t="e">
        <f>R142*U142</f>
        <v>#VALUE!</v>
      </c>
      <c r="W142" s="6" t="s">
        <v>93</v>
      </c>
      <c r="X142" s="70" t="e">
        <f>IF(AND(Q144-Q143=Q143-Q142,NOT(AND(Q142=0,Q143=0)),NOT(AND(Q143=0,Q144=0))),WLS*(Q144-Q143),"#NA")</f>
        <v>#VALUE!</v>
      </c>
      <c r="AD142" s="93"/>
      <c r="AH142" s="6" t="s">
        <v>93</v>
      </c>
      <c r="AI142" s="70" t="e">
        <f>WLS*(AD144-AD143)</f>
        <v>#VALUE!</v>
      </c>
      <c r="AU142" s="81"/>
    </row>
    <row r="143" spans="1:47" x14ac:dyDescent="0.25">
      <c r="A143" s="84">
        <f>A142+1</f>
        <v>22</v>
      </c>
      <c r="B143" s="84" t="str">
        <f t="shared" si="69"/>
        <v xml:space="preserve">  </v>
      </c>
      <c r="C143" s="80" t="e">
        <f t="shared" ref="C143" si="73">IF(OR(B145-B144=B144-B143,B145-B144=B144-B142,B145-B144=B144-B141),B144,IF(OR(B145-B143=B143-B142,B145-B143=B143-B141),B143,IF(B145-B142=B142-B141,B142,"#NA")))</f>
        <v>#VALUE!</v>
      </c>
      <c r="D143" s="76" t="e">
        <f>VLOOKUP(C143,STN_TABLE,2,FALSE)</f>
        <v>#VALUE!</v>
      </c>
      <c r="E143" s="81">
        <v>4</v>
      </c>
      <c r="F143" s="76" t="e">
        <f>D143*E143</f>
        <v>#VALUE!</v>
      </c>
      <c r="G143" s="77" t="e">
        <f>C143</f>
        <v>#VALUE!</v>
      </c>
      <c r="H143" s="77" t="e">
        <f>F143*G143</f>
        <v>#VALUE!</v>
      </c>
      <c r="I143" s="495" t="s">
        <v>97</v>
      </c>
      <c r="J143" s="496"/>
      <c r="K143" s="78" t="s">
        <v>98</v>
      </c>
      <c r="L143" s="78"/>
      <c r="M143" s="7" t="s">
        <v>99</v>
      </c>
      <c r="N143" s="7"/>
      <c r="O143" s="99">
        <f>O142+1</f>
        <v>24</v>
      </c>
      <c r="P143" s="99" t="str">
        <f t="shared" si="65"/>
        <v xml:space="preserve">  </v>
      </c>
      <c r="Q143" s="76" t="str">
        <f>P143</f>
        <v xml:space="preserve">  </v>
      </c>
      <c r="R143" s="77" t="str">
        <f>VLOOKUP(Q143,STN_TABLE,2,FALSE)</f>
        <v xml:space="preserve">  </v>
      </c>
      <c r="S143" s="77">
        <v>8</v>
      </c>
      <c r="T143" s="76" t="e">
        <f>R143*S143</f>
        <v>#VALUE!</v>
      </c>
      <c r="U143" s="80">
        <v>10</v>
      </c>
      <c r="V143" s="76" t="e">
        <f>R143*U143</f>
        <v>#VALUE!</v>
      </c>
      <c r="W143" s="496" t="s">
        <v>97</v>
      </c>
      <c r="X143" s="496"/>
      <c r="Y143" s="496" t="s">
        <v>98</v>
      </c>
      <c r="Z143" s="496"/>
      <c r="AA143" s="494" t="s">
        <v>99</v>
      </c>
      <c r="AB143" s="494"/>
      <c r="AC143" s="99">
        <f>AC138+1</f>
        <v>23</v>
      </c>
      <c r="AD143" s="95" t="str">
        <f>VLOOKUP(AC143,STN_TABLE_2,2,FALSE)</f>
        <v xml:space="preserve">  </v>
      </c>
      <c r="AE143" s="68" t="str">
        <f>VLOOKUP(AD143,STN_TABLE,2,FALSE)</f>
        <v xml:space="preserve">  </v>
      </c>
      <c r="AF143" s="68">
        <v>1</v>
      </c>
      <c r="AG143" s="69" t="e">
        <f>AE143*AF143</f>
        <v>#VALUE!</v>
      </c>
      <c r="AH143" s="496" t="s">
        <v>97</v>
      </c>
      <c r="AI143" s="496"/>
      <c r="AJ143" s="496" t="s">
        <v>98</v>
      </c>
      <c r="AK143" s="496"/>
      <c r="AL143" s="494" t="s">
        <v>99</v>
      </c>
      <c r="AM143" s="494"/>
      <c r="AP143" s="86" t="s">
        <v>112</v>
      </c>
      <c r="AQ143" s="89" t="s">
        <v>113</v>
      </c>
      <c r="AR143" s="89" t="s">
        <v>114</v>
      </c>
      <c r="AS143" s="89" t="s">
        <v>115</v>
      </c>
      <c r="AU143" s="81"/>
    </row>
    <row r="144" spans="1:47" x14ac:dyDescent="0.25">
      <c r="A144" s="84">
        <f>A143+1</f>
        <v>23</v>
      </c>
      <c r="B144" s="84" t="str">
        <f t="shared" si="69"/>
        <v xml:space="preserve">  </v>
      </c>
      <c r="C144" s="88" t="str">
        <f t="shared" ref="C144" si="74">B145</f>
        <v xml:space="preserve">  </v>
      </c>
      <c r="D144" s="82" t="str">
        <f>VLOOKUP(C144,STN_TABLE,2,FALSE)</f>
        <v xml:space="preserve">  </v>
      </c>
      <c r="E144" s="92">
        <v>1</v>
      </c>
      <c r="F144" s="82" t="e">
        <f>D144*E144</f>
        <v>#VALUE!</v>
      </c>
      <c r="G144" s="83" t="str">
        <f>C144</f>
        <v xml:space="preserve">  </v>
      </c>
      <c r="H144" s="83" t="e">
        <f>F144*G144</f>
        <v>#VALUE!</v>
      </c>
      <c r="I144" s="84" t="str">
        <f>CONCATENATE("a'(",C144,")=")</f>
        <v>a'(  )=</v>
      </c>
      <c r="J144" s="84" t="e">
        <f>2*J142/3*F145</f>
        <v>#VALUE!</v>
      </c>
      <c r="K144" s="84" t="e">
        <f>CONCATENATE("A(",C142,")=")</f>
        <v>#VALUE!</v>
      </c>
      <c r="L144" s="84" t="e">
        <f>VLOOKUP(C142,STN_TABLE,3,FALSE)</f>
        <v>#VALUE!</v>
      </c>
      <c r="M144" t="str">
        <f>CONCATENATE("A(",C144,")=")</f>
        <v>A(  )=</v>
      </c>
      <c r="N144" t="e">
        <f>J144+L144</f>
        <v>#VALUE!</v>
      </c>
      <c r="O144" s="99">
        <f>O143+1</f>
        <v>25</v>
      </c>
      <c r="P144" s="99" t="str">
        <f t="shared" si="65"/>
        <v xml:space="preserve">  </v>
      </c>
      <c r="Q144" s="82" t="e">
        <f>IF(P144-P143=P143-P142,P144,IF(P145-P143=P143-P142,P145,IF(P144-P143=P143-P141,P144,IF(P145-P143=P143-P141,P145,"-"))))</f>
        <v>#VALUE!</v>
      </c>
      <c r="R144" s="83" t="e">
        <f>VLOOKUP(Q144,STN_TABLE,2,FALSE)</f>
        <v>#VALUE!</v>
      </c>
      <c r="S144" s="83">
        <v>-1</v>
      </c>
      <c r="T144" s="82" t="e">
        <f>R144*S144</f>
        <v>#VALUE!</v>
      </c>
      <c r="U144" s="88">
        <v>-1</v>
      </c>
      <c r="V144" s="82" t="e">
        <f>R144*U144</f>
        <v>#VALUE!</v>
      </c>
      <c r="W144" s="84" t="str">
        <f>CONCATENATE("a'(",Q143,")=")</f>
        <v>a'(  )=</v>
      </c>
      <c r="X144" s="84" t="e">
        <f>2*X142/12*T145</f>
        <v>#VALUE!</v>
      </c>
      <c r="Y144" s="84" t="e">
        <f>CONCATENATE("A(",Q142,")=")</f>
        <v>#VALUE!</v>
      </c>
      <c r="Z144" s="84" t="e">
        <f>VLOOKUP(Q142,STN_TABLE,3,FALSE)</f>
        <v>#VALUE!</v>
      </c>
      <c r="AA144" t="str">
        <f>CONCATENATE("A(",Q143,")=")</f>
        <v>A(  )=</v>
      </c>
      <c r="AB144" t="e">
        <f>X144+Z144</f>
        <v>#VALUE!</v>
      </c>
      <c r="AC144" s="99">
        <f>AC143+1</f>
        <v>24</v>
      </c>
      <c r="AD144" s="100" t="str">
        <f>VLOOKUP(AC144,STN_TABLE_2,2,FALSE)</f>
        <v xml:space="preserve">  </v>
      </c>
      <c r="AE144" s="82" t="str">
        <f>VLOOKUP(AD144,STN_TABLE,2,FALSE)</f>
        <v xml:space="preserve">  </v>
      </c>
      <c r="AF144" s="82">
        <v>2</v>
      </c>
      <c r="AG144" s="83" t="e">
        <f>AE144*AF144</f>
        <v>#VALUE!</v>
      </c>
      <c r="AH144" s="84" t="str">
        <f>CONCATENATE("a'(",AD144,")=")</f>
        <v>a'(  )=</v>
      </c>
      <c r="AI144" s="84" t="e">
        <f>2*AI142/2*AE145</f>
        <v>#VALUE!</v>
      </c>
      <c r="AJ144" s="84" t="str">
        <f>CONCATENATE("A(",AD143,")=")</f>
        <v>A(  )=</v>
      </c>
      <c r="AK144" s="84" t="str">
        <f>VLOOKUP(AD143,STN_TABLE,3,FALSE)</f>
        <v xml:space="preserve"> </v>
      </c>
      <c r="AL144" t="str">
        <f>CONCATENATE("A(",AD144,")=")</f>
        <v>A(  )=</v>
      </c>
      <c r="AM144" t="e">
        <f>AI144+AK144</f>
        <v>#VALUE!</v>
      </c>
      <c r="AO144" s="68" t="str">
        <f>AA144</f>
        <v>A(  )=</v>
      </c>
      <c r="AP144" s="68" t="e">
        <f>VLOOKUP(AO144,Rise_Results,2,FALSE)</f>
        <v>#N/A</v>
      </c>
      <c r="AQ144" s="76" t="e">
        <f>N144</f>
        <v>#VALUE!</v>
      </c>
      <c r="AR144" s="76" t="e">
        <f>IF(OR(AB144&lt;=0,AB145&lt;=0),1/0,AB144)</f>
        <v>#VALUE!</v>
      </c>
      <c r="AS144" s="76" t="e">
        <f>AM144</f>
        <v>#VALUE!</v>
      </c>
      <c r="AT144" t="e">
        <f>IFERROR(AP144,IFERROR(AQ144,IFERROR(AR144,AS144)))</f>
        <v>#VALUE!</v>
      </c>
      <c r="AU144" s="81"/>
    </row>
    <row r="145" spans="1:47" x14ac:dyDescent="0.25">
      <c r="A145" s="84">
        <f>A144+1</f>
        <v>24</v>
      </c>
      <c r="B145" s="84" t="str">
        <f t="shared" si="69"/>
        <v xml:space="preserve">  </v>
      </c>
      <c r="F145" s="82" t="e">
        <f>SUM(F142:F144)</f>
        <v>#VALUE!</v>
      </c>
      <c r="H145" s="82" t="e">
        <f>SUM(H142:H144)</f>
        <v>#VALUE!</v>
      </c>
      <c r="I145" s="84" t="str">
        <f>CONCATENATE("m'(",C144,")=")</f>
        <v>m'(  )=</v>
      </c>
      <c r="J145" s="84" t="e">
        <f>2*(J142*(WLS))/3*H145</f>
        <v>#VALUE!</v>
      </c>
      <c r="K145" s="84" t="e">
        <f>CONCATENATE("M(",C142,")=")</f>
        <v>#VALUE!</v>
      </c>
      <c r="L145" s="84" t="e">
        <f>VLOOKUP(C142,STN_TABLE,4,FALSE)</f>
        <v>#VALUE!</v>
      </c>
      <c r="M145" t="str">
        <f>CONCATENATE("M(",C144,")=")</f>
        <v>M(  )=</v>
      </c>
      <c r="N145" t="e">
        <f>J145+L145</f>
        <v>#VALUE!</v>
      </c>
      <c r="O145" s="99">
        <f>O144+1</f>
        <v>26</v>
      </c>
      <c r="P145" s="99" t="e">
        <f t="shared" si="65"/>
        <v>#N/A</v>
      </c>
      <c r="T145" s="89" t="e">
        <f>SUM(T142:T144)</f>
        <v>#VALUE!</v>
      </c>
      <c r="V145" s="82" t="e">
        <f>SUM(V142:V144)</f>
        <v>#VALUE!</v>
      </c>
      <c r="W145" s="84" t="str">
        <f>CONCATENATE("m'(",Q143,")=")</f>
        <v>m'(  )=</v>
      </c>
      <c r="X145" s="84" t="e">
        <f>(2*(X142^2)/24*V145)+(X144*Q142*WLS)</f>
        <v>#VALUE!</v>
      </c>
      <c r="Y145" s="84" t="e">
        <f>CONCATENATE("M(",Q142,")=")</f>
        <v>#VALUE!</v>
      </c>
      <c r="Z145" s="84" t="e">
        <f>VLOOKUP(Q142,STN_TABLE,4,FALSE)</f>
        <v>#VALUE!</v>
      </c>
      <c r="AA145" t="str">
        <f>CONCATENATE("M(",Q143,")=")</f>
        <v>M(  )=</v>
      </c>
      <c r="AB145" t="e">
        <f>X145+Z145</f>
        <v>#VALUE!</v>
      </c>
      <c r="AE145" s="89">
        <f>SUM(AE143:AE144)</f>
        <v>0</v>
      </c>
      <c r="AG145" s="89" t="e">
        <f>SUM(AG143:AG144)</f>
        <v>#VALUE!</v>
      </c>
      <c r="AH145" s="84" t="str">
        <f>CONCATENATE("m'(",AD144,")=")</f>
        <v>m'(  )=</v>
      </c>
      <c r="AI145" s="84" t="e">
        <f>(2*(AI142^2)/6*AG145)+(AI144*AD143*WLS)</f>
        <v>#VALUE!</v>
      </c>
      <c r="AJ145" s="84" t="str">
        <f>CONCATENATE("M(",AD143,")=")</f>
        <v>M(  )=</v>
      </c>
      <c r="AK145" s="84" t="str">
        <f>VLOOKUP(AD143,STN_TABLE,4,FALSE)</f>
        <v xml:space="preserve"> </v>
      </c>
      <c r="AL145" t="str">
        <f>CONCATENATE("M(",AD144,")=")</f>
        <v>M(  )=</v>
      </c>
      <c r="AM145" t="e">
        <f>AI145+AK145</f>
        <v>#VALUE!</v>
      </c>
      <c r="AO145" s="82" t="str">
        <f>AA145</f>
        <v>M(  )=</v>
      </c>
      <c r="AP145" s="82" t="e">
        <f>VLOOKUP(AO145,Rise_Results,2,FALSE)</f>
        <v>#N/A</v>
      </c>
      <c r="AQ145" s="82" t="e">
        <f>N145</f>
        <v>#VALUE!</v>
      </c>
      <c r="AR145" s="82" t="e">
        <f>IF(OR(AB144&lt;=0,AB145&lt;=0),1/0,AB145)</f>
        <v>#VALUE!</v>
      </c>
      <c r="AS145" s="82" t="e">
        <f>AM145</f>
        <v>#VALUE!</v>
      </c>
      <c r="AT145" t="e">
        <f>IFERROR(AP145,IFERROR(AQ145,IFERROR(AR145,AS145)))</f>
        <v>#VALUE!</v>
      </c>
      <c r="AU145" s="81"/>
    </row>
    <row r="146" spans="1:47" x14ac:dyDescent="0.25">
      <c r="A146" s="101">
        <f>A141+1</f>
        <v>21</v>
      </c>
      <c r="B146" s="101" t="str">
        <f t="shared" si="69"/>
        <v xml:space="preserve">  </v>
      </c>
      <c r="O146" s="101">
        <f>O141+1</f>
        <v>23</v>
      </c>
      <c r="P146" s="101" t="str">
        <f t="shared" si="65"/>
        <v xml:space="preserve">  </v>
      </c>
      <c r="AU146" s="81"/>
    </row>
    <row r="147" spans="1:47" x14ac:dyDescent="0.25">
      <c r="A147" s="84">
        <f>A146+1</f>
        <v>22</v>
      </c>
      <c r="B147" s="84" t="str">
        <f t="shared" si="69"/>
        <v xml:space="preserve">  </v>
      </c>
      <c r="C147" s="79" t="e">
        <f t="shared" ref="C147" si="75">IF(C148=B149,IF(C149-C148=C148-B148,B148,IF(C149-C148=C148-B147,B147,"#NA")),IF(C148=B148,IF(C149-C148=C148-B147,B147,IF(C149-C148=C148-B146,B146,"#NA")),"#NA"))</f>
        <v>#VALUE!</v>
      </c>
      <c r="D147" s="68" t="e">
        <f>VLOOKUP(C147,STN_TABLE,2,FALSE)</f>
        <v>#VALUE!</v>
      </c>
      <c r="E147" s="102">
        <v>1</v>
      </c>
      <c r="F147" s="68" t="e">
        <f>D147*E147</f>
        <v>#VALUE!</v>
      </c>
      <c r="G147" s="69" t="e">
        <f>C147</f>
        <v>#VALUE!</v>
      </c>
      <c r="H147" s="69" t="e">
        <f>F147*G147</f>
        <v>#VALUE!</v>
      </c>
      <c r="I147" s="6" t="s">
        <v>93</v>
      </c>
      <c r="J147" s="70" t="e">
        <f>IF(OR(D147=0,D148=0,D149=0),"#NA",IF(AND(C149-C148=C148-C147,C148&lt;&gt;C149,C147&lt;&gt;C148,C147&lt;&gt;C149,D149&lt;&gt;0,OR(D147&lt;&gt;0,D148&lt;&gt;0)),WLS*(C149-C148),"#NA"))</f>
        <v>#VALUE!</v>
      </c>
      <c r="O147" s="99">
        <f>O146+1</f>
        <v>24</v>
      </c>
      <c r="P147" s="99" t="str">
        <f t="shared" si="65"/>
        <v xml:space="preserve">  </v>
      </c>
      <c r="Q147" s="68" t="e">
        <f>IF(OR(P149-P148=P148-P147,P150-P148=P148-P147),P147,IF(OR(P149-P148=P148-P146,P150-P148=P148-P146),P146,"-"))</f>
        <v>#N/A</v>
      </c>
      <c r="R147" s="69" t="e">
        <f>VLOOKUP(Q147,STN_TABLE,2,FALSE)</f>
        <v>#N/A</v>
      </c>
      <c r="S147" s="69">
        <v>5</v>
      </c>
      <c r="T147" s="68" t="e">
        <f>R147*S147</f>
        <v>#N/A</v>
      </c>
      <c r="U147" s="79">
        <v>3</v>
      </c>
      <c r="V147" s="68" t="e">
        <f>R147*U147</f>
        <v>#N/A</v>
      </c>
      <c r="W147" s="6" t="s">
        <v>93</v>
      </c>
      <c r="X147" s="70" t="e">
        <f>IF(AND(Q149-Q148=Q148-Q147,NOT(AND(Q147=0,Q148=0)),NOT(AND(Q148=0,Q149=0))),WLS*(Q149-Q148),"#NA")</f>
        <v>#N/A</v>
      </c>
      <c r="AD147" s="93"/>
      <c r="AH147" s="6" t="s">
        <v>93</v>
      </c>
      <c r="AI147" s="70" t="e">
        <f>WLS*(AD149-AD148)</f>
        <v>#VALUE!</v>
      </c>
      <c r="AU147" s="81"/>
    </row>
    <row r="148" spans="1:47" x14ac:dyDescent="0.25">
      <c r="A148" s="84">
        <f>A147+1</f>
        <v>23</v>
      </c>
      <c r="B148" s="84" t="str">
        <f t="shared" si="69"/>
        <v xml:space="preserve">  </v>
      </c>
      <c r="C148" s="80" t="e">
        <f t="shared" ref="C148" si="76">IF(OR(B150-B149=B149-B148,B150-B149=B149-B147,B150-B149=B149-B146),B149,IF(OR(B150-B148=B148-B147,B150-B148=B148-B146),B148,IF(B150-B147=B147-B146,B147,"#NA")))</f>
        <v>#VALUE!</v>
      </c>
      <c r="D148" s="76" t="e">
        <f>VLOOKUP(C148,STN_TABLE,2,FALSE)</f>
        <v>#VALUE!</v>
      </c>
      <c r="E148" s="81">
        <v>4</v>
      </c>
      <c r="F148" s="76" t="e">
        <f>D148*E148</f>
        <v>#VALUE!</v>
      </c>
      <c r="G148" s="77" t="e">
        <f>C148</f>
        <v>#VALUE!</v>
      </c>
      <c r="H148" s="77" t="e">
        <f>F148*G148</f>
        <v>#VALUE!</v>
      </c>
      <c r="I148" s="495" t="s">
        <v>97</v>
      </c>
      <c r="J148" s="496"/>
      <c r="K148" s="78" t="s">
        <v>98</v>
      </c>
      <c r="L148" s="78"/>
      <c r="M148" s="7" t="s">
        <v>99</v>
      </c>
      <c r="N148" s="7"/>
      <c r="O148" s="99">
        <f>O147+1</f>
        <v>25</v>
      </c>
      <c r="P148" s="99" t="str">
        <f t="shared" si="65"/>
        <v xml:space="preserve">  </v>
      </c>
      <c r="Q148" s="76" t="str">
        <f>P148</f>
        <v xml:space="preserve">  </v>
      </c>
      <c r="R148" s="77" t="str">
        <f>VLOOKUP(Q148,STN_TABLE,2,FALSE)</f>
        <v xml:space="preserve">  </v>
      </c>
      <c r="S148" s="77">
        <v>8</v>
      </c>
      <c r="T148" s="76" t="e">
        <f>R148*S148</f>
        <v>#VALUE!</v>
      </c>
      <c r="U148" s="80">
        <v>10</v>
      </c>
      <c r="V148" s="76" t="e">
        <f>R148*U148</f>
        <v>#VALUE!</v>
      </c>
      <c r="W148" s="496" t="s">
        <v>97</v>
      </c>
      <c r="X148" s="496"/>
      <c r="Y148" s="496" t="s">
        <v>98</v>
      </c>
      <c r="Z148" s="496"/>
      <c r="AA148" s="494" t="s">
        <v>99</v>
      </c>
      <c r="AB148" s="494"/>
      <c r="AC148" s="99">
        <f>AC143+1</f>
        <v>24</v>
      </c>
      <c r="AD148" s="95" t="str">
        <f>VLOOKUP(AC148,STN_TABLE_2,2,FALSE)</f>
        <v xml:space="preserve">  </v>
      </c>
      <c r="AE148" s="68" t="str">
        <f>VLOOKUP(AD148,STN_TABLE,2,FALSE)</f>
        <v xml:space="preserve">  </v>
      </c>
      <c r="AF148" s="68">
        <v>1</v>
      </c>
      <c r="AG148" s="69" t="e">
        <f>AE148*AF148</f>
        <v>#VALUE!</v>
      </c>
      <c r="AH148" s="496" t="s">
        <v>97</v>
      </c>
      <c r="AI148" s="496"/>
      <c r="AJ148" s="496" t="s">
        <v>98</v>
      </c>
      <c r="AK148" s="496"/>
      <c r="AL148" s="494" t="s">
        <v>99</v>
      </c>
      <c r="AM148" s="494"/>
      <c r="AP148" s="86" t="s">
        <v>112</v>
      </c>
      <c r="AQ148" s="89" t="s">
        <v>113</v>
      </c>
      <c r="AR148" s="89" t="s">
        <v>114</v>
      </c>
      <c r="AS148" s="89" t="s">
        <v>115</v>
      </c>
      <c r="AU148" s="81"/>
    </row>
    <row r="149" spans="1:47" x14ac:dyDescent="0.25">
      <c r="A149" s="84">
        <f>A148+1</f>
        <v>24</v>
      </c>
      <c r="B149" s="84" t="str">
        <f t="shared" si="69"/>
        <v xml:space="preserve">  </v>
      </c>
      <c r="C149" s="88" t="str">
        <f t="shared" ref="C149" si="77">B150</f>
        <v xml:space="preserve">  </v>
      </c>
      <c r="D149" s="82" t="str">
        <f>VLOOKUP(C149,STN_TABLE,2,FALSE)</f>
        <v xml:space="preserve">  </v>
      </c>
      <c r="E149" s="92">
        <v>1</v>
      </c>
      <c r="F149" s="82" t="e">
        <f>D149*E149</f>
        <v>#VALUE!</v>
      </c>
      <c r="G149" s="83" t="str">
        <f>C149</f>
        <v xml:space="preserve">  </v>
      </c>
      <c r="H149" s="83" t="e">
        <f>F149*G149</f>
        <v>#VALUE!</v>
      </c>
      <c r="I149" s="84" t="str">
        <f>CONCATENATE("a'(",C149,")=")</f>
        <v>a'(  )=</v>
      </c>
      <c r="J149" s="84" t="e">
        <f>2*J147/3*F150</f>
        <v>#VALUE!</v>
      </c>
      <c r="K149" s="84" t="e">
        <f>CONCATENATE("A(",C147,")=")</f>
        <v>#VALUE!</v>
      </c>
      <c r="L149" s="84" t="e">
        <f>VLOOKUP(C147,STN_TABLE,3,FALSE)</f>
        <v>#VALUE!</v>
      </c>
      <c r="M149" t="str">
        <f>CONCATENATE("A(",C149,")=")</f>
        <v>A(  )=</v>
      </c>
      <c r="N149" t="e">
        <f>J149+L149</f>
        <v>#VALUE!</v>
      </c>
      <c r="O149" s="99">
        <f>O148+1</f>
        <v>26</v>
      </c>
      <c r="P149" s="99" t="e">
        <f t="shared" si="65"/>
        <v>#N/A</v>
      </c>
      <c r="Q149" s="82" t="e">
        <f>IF(P149-P148=P148-P147,P149,IF(P150-P148=P148-P147,P150,IF(P149-P148=P148-P146,P149,IF(P150-P148=P148-P146,P150,"-"))))</f>
        <v>#N/A</v>
      </c>
      <c r="R149" s="83" t="e">
        <f>VLOOKUP(Q149,STN_TABLE,2,FALSE)</f>
        <v>#N/A</v>
      </c>
      <c r="S149" s="83">
        <v>-1</v>
      </c>
      <c r="T149" s="82" t="e">
        <f>R149*S149</f>
        <v>#N/A</v>
      </c>
      <c r="U149" s="88">
        <v>-1</v>
      </c>
      <c r="V149" s="82" t="e">
        <f>R149*U149</f>
        <v>#N/A</v>
      </c>
      <c r="W149" s="84" t="str">
        <f>CONCATENATE("a'(",Q148,")=")</f>
        <v>a'(  )=</v>
      </c>
      <c r="X149" s="84" t="e">
        <f>2*X147/12*T150</f>
        <v>#N/A</v>
      </c>
      <c r="Y149" s="84" t="e">
        <f>CONCATENATE("A(",Q147,")=")</f>
        <v>#N/A</v>
      </c>
      <c r="Z149" s="84" t="e">
        <f>VLOOKUP(Q147,STN_TABLE,3,FALSE)</f>
        <v>#N/A</v>
      </c>
      <c r="AA149" t="str">
        <f>CONCATENATE("A(",Q148,")=")</f>
        <v>A(  )=</v>
      </c>
      <c r="AB149" t="e">
        <f>X149+Z149</f>
        <v>#N/A</v>
      </c>
      <c r="AC149" s="99">
        <f>AC148+1</f>
        <v>25</v>
      </c>
      <c r="AD149" s="100" t="str">
        <f>VLOOKUP(AC149,STN_TABLE_2,2,FALSE)</f>
        <v xml:space="preserve">  </v>
      </c>
      <c r="AE149" s="82" t="str">
        <f>VLOOKUP(AD149,STN_TABLE,2,FALSE)</f>
        <v xml:space="preserve">  </v>
      </c>
      <c r="AF149" s="82">
        <v>2</v>
      </c>
      <c r="AG149" s="83" t="e">
        <f>AE149*AF149</f>
        <v>#VALUE!</v>
      </c>
      <c r="AH149" s="84" t="str">
        <f>CONCATENATE("a'(",AD149,")=")</f>
        <v>a'(  )=</v>
      </c>
      <c r="AI149" s="84" t="e">
        <f>2*AI147/2*AE150</f>
        <v>#VALUE!</v>
      </c>
      <c r="AJ149" s="84" t="str">
        <f>CONCATENATE("A(",AD148,")=")</f>
        <v>A(  )=</v>
      </c>
      <c r="AK149" s="84" t="str">
        <f>VLOOKUP(AD148,STN_TABLE,3,FALSE)</f>
        <v xml:space="preserve"> </v>
      </c>
      <c r="AL149" t="str">
        <f>CONCATENATE("A(",AD149,")=")</f>
        <v>A(  )=</v>
      </c>
      <c r="AM149" t="e">
        <f>AI149+AK149</f>
        <v>#VALUE!</v>
      </c>
      <c r="AO149" s="68" t="str">
        <f>AA149</f>
        <v>A(  )=</v>
      </c>
      <c r="AP149" s="68" t="e">
        <f>VLOOKUP(AO149,Rise_Results,2,FALSE)</f>
        <v>#N/A</v>
      </c>
      <c r="AQ149" s="76" t="e">
        <f>N149</f>
        <v>#VALUE!</v>
      </c>
      <c r="AR149" s="76" t="e">
        <f>IF(OR(AB149&lt;=0,AB150&lt;=0),1/0,AB149)</f>
        <v>#N/A</v>
      </c>
      <c r="AS149" s="76" t="e">
        <f>AM149</f>
        <v>#VALUE!</v>
      </c>
      <c r="AT149" t="e">
        <f>IFERROR(AP149,IFERROR(AQ149,IFERROR(AR149,AS149)))</f>
        <v>#VALUE!</v>
      </c>
      <c r="AU149" s="81"/>
    </row>
    <row r="150" spans="1:47" x14ac:dyDescent="0.25">
      <c r="A150" s="84">
        <f>A149+1</f>
        <v>25</v>
      </c>
      <c r="B150" s="84" t="str">
        <f t="shared" si="69"/>
        <v xml:space="preserve">  </v>
      </c>
      <c r="F150" s="82" t="e">
        <f>SUM(F147:F149)</f>
        <v>#VALUE!</v>
      </c>
      <c r="H150" s="82" t="e">
        <f>SUM(H147:H149)</f>
        <v>#VALUE!</v>
      </c>
      <c r="I150" s="84" t="str">
        <f>CONCATENATE("m'(",C149,")=")</f>
        <v>m'(  )=</v>
      </c>
      <c r="J150" s="84" t="e">
        <f>2*(J147*(WLS))/3*H150</f>
        <v>#VALUE!</v>
      </c>
      <c r="K150" s="84" t="e">
        <f>CONCATENATE("M(",C147,")=")</f>
        <v>#VALUE!</v>
      </c>
      <c r="L150" s="84" t="e">
        <f>VLOOKUP(C147,STN_TABLE,4,FALSE)</f>
        <v>#VALUE!</v>
      </c>
      <c r="M150" t="str">
        <f>CONCATENATE("M(",C149,")=")</f>
        <v>M(  )=</v>
      </c>
      <c r="N150" t="e">
        <f>J150+L150</f>
        <v>#VALUE!</v>
      </c>
      <c r="O150" s="99">
        <f>O149+1</f>
        <v>27</v>
      </c>
      <c r="P150" s="99" t="e">
        <f t="shared" si="65"/>
        <v>#N/A</v>
      </c>
      <c r="T150" s="89" t="e">
        <f>SUM(T147:T149)</f>
        <v>#N/A</v>
      </c>
      <c r="V150" s="82" t="e">
        <f>SUM(V147:V149)</f>
        <v>#N/A</v>
      </c>
      <c r="W150" s="84" t="str">
        <f>CONCATENATE("m'(",Q148,")=")</f>
        <v>m'(  )=</v>
      </c>
      <c r="X150" s="84" t="e">
        <f>(2*(X147^2)/24*V150)+(X149*Q147*WLS)</f>
        <v>#N/A</v>
      </c>
      <c r="Y150" s="84" t="e">
        <f>CONCATENATE("M(",Q147,")=")</f>
        <v>#N/A</v>
      </c>
      <c r="Z150" s="84" t="e">
        <f>VLOOKUP(Q147,STN_TABLE,4,FALSE)</f>
        <v>#N/A</v>
      </c>
      <c r="AA150" t="str">
        <f>CONCATENATE("M(",Q148,")=")</f>
        <v>M(  )=</v>
      </c>
      <c r="AB150" t="e">
        <f>X150+Z150</f>
        <v>#N/A</v>
      </c>
      <c r="AE150" s="89">
        <f>SUM(AE148:AE149)</f>
        <v>0</v>
      </c>
      <c r="AG150" s="89" t="e">
        <f>SUM(AG148:AG149)</f>
        <v>#VALUE!</v>
      </c>
      <c r="AH150" s="84" t="str">
        <f>CONCATENATE("m'(",AD149,")=")</f>
        <v>m'(  )=</v>
      </c>
      <c r="AI150" s="84" t="e">
        <f>(2*(AI147^2)/6*AG150)+(AI149*AD148*WLS)</f>
        <v>#VALUE!</v>
      </c>
      <c r="AJ150" s="84" t="str">
        <f>CONCATENATE("M(",AD148,")=")</f>
        <v>M(  )=</v>
      </c>
      <c r="AK150" s="84" t="str">
        <f>VLOOKUP(AD148,STN_TABLE,4,FALSE)</f>
        <v xml:space="preserve"> </v>
      </c>
      <c r="AL150" t="str">
        <f>CONCATENATE("M(",AD149,")=")</f>
        <v>M(  )=</v>
      </c>
      <c r="AM150" t="e">
        <f>AI150+AK150</f>
        <v>#VALUE!</v>
      </c>
      <c r="AO150" s="82" t="str">
        <f>AA150</f>
        <v>M(  )=</v>
      </c>
      <c r="AP150" s="82" t="e">
        <f>VLOOKUP(AO150,Rise_Results,2,FALSE)</f>
        <v>#N/A</v>
      </c>
      <c r="AQ150" s="82" t="e">
        <f>N150</f>
        <v>#VALUE!</v>
      </c>
      <c r="AR150" s="82" t="e">
        <f>IF(OR(AB149&lt;=0,AB150&lt;=0),1/0,AB150)</f>
        <v>#N/A</v>
      </c>
      <c r="AS150" s="82" t="e">
        <f>AM150</f>
        <v>#VALUE!</v>
      </c>
      <c r="AT150" t="e">
        <f>IFERROR(AP150,IFERROR(AQ150,IFERROR(AR150,AS150)))</f>
        <v>#VALUE!</v>
      </c>
      <c r="AU150" s="81"/>
    </row>
    <row r="151" spans="1:47" x14ac:dyDescent="0.25">
      <c r="A151" s="101"/>
      <c r="B151" s="101"/>
      <c r="AU151" s="81"/>
    </row>
    <row r="152" spans="1:47" x14ac:dyDescent="0.25">
      <c r="A152" s="84"/>
      <c r="B152" s="84"/>
      <c r="E152" s="81"/>
      <c r="F152" s="81"/>
      <c r="G152" s="81"/>
      <c r="H152" s="81"/>
      <c r="I152" s="103"/>
      <c r="J152" s="70"/>
      <c r="AU152" s="81"/>
    </row>
    <row r="153" spans="1:47" x14ac:dyDescent="0.25">
      <c r="A153" s="84"/>
      <c r="B153" s="84"/>
      <c r="E153" s="81"/>
      <c r="F153" s="81"/>
      <c r="G153" s="81"/>
      <c r="H153" s="81"/>
      <c r="I153" s="104"/>
      <c r="J153" s="78"/>
      <c r="K153" s="78"/>
      <c r="L153" s="78"/>
      <c r="M153" s="7"/>
      <c r="N153" s="7"/>
      <c r="AO153" s="81"/>
      <c r="AP153" s="81"/>
      <c r="AQ153" s="81"/>
      <c r="AR153" s="81"/>
      <c r="AS153" s="81"/>
      <c r="AT153" s="81"/>
      <c r="AU153" s="81"/>
    </row>
    <row r="154" spans="1:47" x14ac:dyDescent="0.25">
      <c r="A154" s="84"/>
      <c r="B154" s="84"/>
      <c r="E154" s="81"/>
      <c r="F154" s="81"/>
      <c r="G154" s="81"/>
      <c r="H154" s="81"/>
      <c r="I154" s="105"/>
      <c r="J154" s="84"/>
      <c r="K154" s="84"/>
      <c r="L154" s="84"/>
      <c r="AO154" s="81"/>
      <c r="AP154" s="81"/>
      <c r="AQ154" s="81"/>
      <c r="AR154" s="81"/>
      <c r="AS154" s="81"/>
      <c r="AT154" s="81"/>
      <c r="AU154" s="81"/>
    </row>
    <row r="155" spans="1:47" x14ac:dyDescent="0.25">
      <c r="A155" s="84"/>
      <c r="B155" s="84"/>
      <c r="E155" s="81"/>
      <c r="F155" s="81"/>
      <c r="G155" s="81"/>
      <c r="H155" s="81"/>
      <c r="I155" s="105"/>
      <c r="J155" s="84"/>
      <c r="K155" s="84"/>
      <c r="L155" s="84"/>
      <c r="AO155" s="81"/>
      <c r="AP155" s="81"/>
      <c r="AQ155" s="81"/>
      <c r="AR155" s="81"/>
      <c r="AS155" s="81"/>
      <c r="AT155" s="81"/>
      <c r="AU155" s="81"/>
    </row>
    <row r="156" spans="1:47" x14ac:dyDescent="0.25">
      <c r="A156" s="101"/>
      <c r="B156" s="101"/>
      <c r="E156" s="81"/>
      <c r="F156" s="81"/>
      <c r="G156" s="81"/>
      <c r="H156" s="81"/>
      <c r="I156" s="81"/>
      <c r="AO156" s="81"/>
      <c r="AP156" s="81"/>
      <c r="AQ156" s="81"/>
      <c r="AR156" s="81"/>
      <c r="AS156" s="81"/>
      <c r="AT156" s="81"/>
      <c r="AU156" s="81"/>
    </row>
    <row r="157" spans="1:47" x14ac:dyDescent="0.25">
      <c r="A157" s="84"/>
      <c r="B157" s="84"/>
      <c r="E157" s="81"/>
      <c r="F157" s="81"/>
      <c r="G157" s="81"/>
      <c r="H157" s="81"/>
      <c r="I157" s="103"/>
      <c r="J157" s="70"/>
      <c r="AO157" s="81"/>
      <c r="AP157" s="81"/>
      <c r="AQ157" s="81"/>
      <c r="AR157" s="81"/>
      <c r="AS157" s="81"/>
      <c r="AT157" s="81"/>
      <c r="AU157" s="81"/>
    </row>
    <row r="158" spans="1:47" x14ac:dyDescent="0.25">
      <c r="A158" s="84"/>
      <c r="B158" s="84"/>
      <c r="E158" s="81"/>
      <c r="F158" s="81"/>
      <c r="G158" s="81"/>
      <c r="H158" s="81"/>
      <c r="I158" s="104"/>
      <c r="J158" s="78"/>
      <c r="K158" s="78"/>
      <c r="L158" s="78"/>
      <c r="M158" s="7"/>
      <c r="N158" s="7"/>
      <c r="AO158" s="81"/>
      <c r="AP158" s="81"/>
      <c r="AQ158" s="81"/>
      <c r="AR158" s="81"/>
      <c r="AS158" s="81"/>
      <c r="AT158" s="81"/>
      <c r="AU158" s="81"/>
    </row>
    <row r="159" spans="1:47" x14ac:dyDescent="0.25">
      <c r="A159" s="84"/>
      <c r="B159" s="84"/>
      <c r="E159" s="81"/>
      <c r="F159" s="81"/>
      <c r="G159" s="81"/>
      <c r="H159" s="81"/>
      <c r="I159" s="105"/>
      <c r="J159" s="84"/>
      <c r="K159" s="84"/>
      <c r="L159" s="84"/>
      <c r="AO159" s="81"/>
      <c r="AP159" s="81"/>
      <c r="AQ159" s="81"/>
      <c r="AR159" s="81"/>
      <c r="AS159" s="81"/>
      <c r="AT159" s="81"/>
      <c r="AU159" s="81"/>
    </row>
    <row r="160" spans="1:47" x14ac:dyDescent="0.25">
      <c r="A160" s="84"/>
      <c r="B160" s="84"/>
      <c r="E160" s="81"/>
      <c r="F160" s="81"/>
      <c r="G160" s="81"/>
      <c r="H160" s="81"/>
      <c r="I160" s="105"/>
      <c r="J160" s="84"/>
      <c r="K160" s="84"/>
      <c r="L160" s="84"/>
      <c r="AO160" s="81"/>
      <c r="AP160" s="81"/>
      <c r="AQ160" s="81"/>
      <c r="AR160" s="81"/>
      <c r="AS160" s="81"/>
      <c r="AT160" s="81"/>
      <c r="AU160" s="81"/>
    </row>
    <row r="161" spans="1:47" x14ac:dyDescent="0.25">
      <c r="A161" s="101"/>
      <c r="B161" s="101"/>
      <c r="E161" s="81"/>
      <c r="F161" s="81"/>
      <c r="G161" s="81"/>
      <c r="H161" s="81"/>
      <c r="I161" s="81"/>
      <c r="AO161" s="81"/>
      <c r="AP161" s="81"/>
      <c r="AQ161" s="81"/>
      <c r="AR161" s="81"/>
      <c r="AS161" s="81"/>
      <c r="AT161" s="81"/>
      <c r="AU161" s="81"/>
    </row>
    <row r="162" spans="1:47" x14ac:dyDescent="0.25">
      <c r="A162" s="84"/>
      <c r="B162" s="84"/>
      <c r="E162" s="81"/>
      <c r="F162" s="81"/>
      <c r="G162" s="81"/>
      <c r="H162" s="81"/>
      <c r="I162" s="103"/>
      <c r="J162" s="70"/>
      <c r="AO162" s="81"/>
      <c r="AP162" s="81"/>
      <c r="AQ162" s="81"/>
      <c r="AR162" s="81"/>
      <c r="AS162" s="81"/>
      <c r="AT162" s="81"/>
      <c r="AU162" s="81"/>
    </row>
    <row r="163" spans="1:47" x14ac:dyDescent="0.25">
      <c r="A163" s="84"/>
      <c r="B163" s="84"/>
      <c r="E163" s="81"/>
      <c r="F163" s="81"/>
      <c r="G163" s="81"/>
      <c r="H163" s="81"/>
      <c r="I163" s="104"/>
      <c r="J163" s="78"/>
      <c r="K163" s="78"/>
      <c r="L163" s="78"/>
      <c r="M163" s="7"/>
      <c r="N163" s="7"/>
      <c r="AO163" s="81"/>
      <c r="AP163" s="81"/>
      <c r="AQ163" s="81"/>
      <c r="AR163" s="81"/>
      <c r="AS163" s="81"/>
      <c r="AT163" s="81"/>
      <c r="AU163" s="81"/>
    </row>
    <row r="164" spans="1:47" x14ac:dyDescent="0.25">
      <c r="A164" s="84"/>
      <c r="B164" s="84"/>
      <c r="E164" s="81"/>
      <c r="F164" s="81"/>
      <c r="G164" s="81"/>
      <c r="H164" s="81"/>
      <c r="I164" s="105"/>
      <c r="J164" s="84"/>
      <c r="K164" s="84"/>
      <c r="L164" s="84"/>
    </row>
    <row r="165" spans="1:47" x14ac:dyDescent="0.25">
      <c r="A165" s="84"/>
      <c r="B165" s="84"/>
      <c r="E165" s="81"/>
      <c r="F165" s="81"/>
      <c r="G165" s="81"/>
      <c r="H165" s="81"/>
      <c r="I165" s="105"/>
      <c r="J165" s="84"/>
      <c r="K165" s="84"/>
      <c r="L165" s="84"/>
    </row>
    <row r="166" spans="1:47" x14ac:dyDescent="0.25">
      <c r="A166" s="101"/>
      <c r="B166" s="101"/>
      <c r="E166" s="81"/>
      <c r="F166" s="81"/>
      <c r="G166" s="81"/>
      <c r="H166" s="81"/>
      <c r="I166" s="81"/>
    </row>
    <row r="167" spans="1:47" x14ac:dyDescent="0.25">
      <c r="A167" s="84"/>
      <c r="B167" s="84"/>
      <c r="E167" s="81"/>
      <c r="F167" s="81"/>
      <c r="G167" s="81"/>
      <c r="H167" s="81"/>
      <c r="I167" s="103"/>
      <c r="J167" s="70"/>
    </row>
    <row r="168" spans="1:47" x14ac:dyDescent="0.25">
      <c r="A168" s="84"/>
      <c r="B168" s="84"/>
      <c r="E168" s="81"/>
      <c r="F168" s="81"/>
      <c r="G168" s="81"/>
      <c r="H168" s="81"/>
      <c r="I168" s="104"/>
      <c r="J168" s="78"/>
      <c r="K168" s="78"/>
      <c r="L168" s="78"/>
      <c r="M168" s="7"/>
      <c r="N168" s="7"/>
    </row>
    <row r="169" spans="1:47" x14ac:dyDescent="0.25">
      <c r="A169" s="84"/>
      <c r="B169" s="84"/>
      <c r="E169" s="81"/>
      <c r="F169" s="81"/>
      <c r="G169" s="81"/>
      <c r="H169" s="81"/>
      <c r="I169" s="105"/>
      <c r="J169" s="84"/>
      <c r="K169" s="84"/>
      <c r="L169" s="84"/>
    </row>
    <row r="170" spans="1:47" x14ac:dyDescent="0.25">
      <c r="A170" s="84"/>
      <c r="B170" s="84"/>
      <c r="E170" s="81"/>
      <c r="F170" s="81"/>
      <c r="G170" s="81"/>
      <c r="H170" s="81"/>
      <c r="I170" s="105"/>
      <c r="J170" s="84"/>
      <c r="K170" s="84"/>
      <c r="L170" s="84"/>
    </row>
    <row r="171" spans="1:47" x14ac:dyDescent="0.25">
      <c r="E171" s="81"/>
      <c r="F171" s="81"/>
      <c r="G171" s="81"/>
      <c r="H171" s="81"/>
      <c r="I171" s="81"/>
    </row>
  </sheetData>
  <sheetProtection selectLockedCells="1" selectUnlockedCells="1"/>
  <mergeCells count="167">
    <mergeCell ref="A1:B1"/>
    <mergeCell ref="E1:F1"/>
    <mergeCell ref="L1:M1"/>
    <mergeCell ref="W33:X33"/>
    <mergeCell ref="Y33:Z33"/>
    <mergeCell ref="AA33:AB33"/>
    <mergeCell ref="AH33:AI33"/>
    <mergeCell ref="AJ33:AK33"/>
    <mergeCell ref="AL33:AM33"/>
    <mergeCell ref="I38:J38"/>
    <mergeCell ref="W38:X38"/>
    <mergeCell ref="Y38:Z38"/>
    <mergeCell ref="AA38:AB38"/>
    <mergeCell ref="AH38:AI38"/>
    <mergeCell ref="AJ38:AK38"/>
    <mergeCell ref="AL38:AM38"/>
    <mergeCell ref="AL43:AM43"/>
    <mergeCell ref="I48:J48"/>
    <mergeCell ref="W48:X48"/>
    <mergeCell ref="Y48:Z48"/>
    <mergeCell ref="AA48:AB48"/>
    <mergeCell ref="AH48:AI48"/>
    <mergeCell ref="AJ48:AK48"/>
    <mergeCell ref="AL48:AM48"/>
    <mergeCell ref="I43:J43"/>
    <mergeCell ref="W43:X43"/>
    <mergeCell ref="Y43:Z43"/>
    <mergeCell ref="AA43:AB43"/>
    <mergeCell ref="AH43:AI43"/>
    <mergeCell ref="AJ43:AK43"/>
    <mergeCell ref="AL53:AM53"/>
    <mergeCell ref="I58:J58"/>
    <mergeCell ref="AH58:AI58"/>
    <mergeCell ref="AJ58:AK58"/>
    <mergeCell ref="AL58:AM58"/>
    <mergeCell ref="I63:J63"/>
    <mergeCell ref="W63:X63"/>
    <mergeCell ref="Y63:Z63"/>
    <mergeCell ref="AA63:AB63"/>
    <mergeCell ref="AH63:AI63"/>
    <mergeCell ref="I53:J53"/>
    <mergeCell ref="W53:X53"/>
    <mergeCell ref="Y53:Z53"/>
    <mergeCell ref="AA53:AB53"/>
    <mergeCell ref="AH53:AI53"/>
    <mergeCell ref="AJ53:AK53"/>
    <mergeCell ref="AJ63:AK63"/>
    <mergeCell ref="AL63:AM63"/>
    <mergeCell ref="I68:J68"/>
    <mergeCell ref="W68:X68"/>
    <mergeCell ref="Y68:Z68"/>
    <mergeCell ref="AA68:AB68"/>
    <mergeCell ref="AH68:AI68"/>
    <mergeCell ref="AJ68:AK68"/>
    <mergeCell ref="AL68:AM68"/>
    <mergeCell ref="AL73:AM73"/>
    <mergeCell ref="I78:J78"/>
    <mergeCell ref="W78:X78"/>
    <mergeCell ref="Y78:Z78"/>
    <mergeCell ref="AA78:AB78"/>
    <mergeCell ref="AH78:AI78"/>
    <mergeCell ref="AJ78:AK78"/>
    <mergeCell ref="AL78:AM78"/>
    <mergeCell ref="I73:J73"/>
    <mergeCell ref="W73:X73"/>
    <mergeCell ref="Y73:Z73"/>
    <mergeCell ref="AA73:AB73"/>
    <mergeCell ref="AH73:AI73"/>
    <mergeCell ref="AJ73:AK73"/>
    <mergeCell ref="AL83:AM83"/>
    <mergeCell ref="I88:J88"/>
    <mergeCell ref="W88:X88"/>
    <mergeCell ref="Y88:Z88"/>
    <mergeCell ref="AA88:AB88"/>
    <mergeCell ref="AH88:AI88"/>
    <mergeCell ref="AJ88:AK88"/>
    <mergeCell ref="AL88:AM88"/>
    <mergeCell ref="I83:J83"/>
    <mergeCell ref="W83:X83"/>
    <mergeCell ref="Y83:Z83"/>
    <mergeCell ref="AA83:AB83"/>
    <mergeCell ref="AH83:AI83"/>
    <mergeCell ref="AJ83:AK83"/>
    <mergeCell ref="AL93:AM93"/>
    <mergeCell ref="I98:J98"/>
    <mergeCell ref="W98:X98"/>
    <mergeCell ref="Y98:Z98"/>
    <mergeCell ref="AA98:AB98"/>
    <mergeCell ref="AH98:AI98"/>
    <mergeCell ref="AJ98:AK98"/>
    <mergeCell ref="AL98:AM98"/>
    <mergeCell ref="I93:J93"/>
    <mergeCell ref="W93:X93"/>
    <mergeCell ref="Y93:Z93"/>
    <mergeCell ref="AA93:AB93"/>
    <mergeCell ref="AH93:AI93"/>
    <mergeCell ref="AJ93:AK93"/>
    <mergeCell ref="AL103:AM103"/>
    <mergeCell ref="I108:J108"/>
    <mergeCell ref="W108:X108"/>
    <mergeCell ref="Y108:Z108"/>
    <mergeCell ref="AA108:AB108"/>
    <mergeCell ref="AH108:AI108"/>
    <mergeCell ref="AJ108:AK108"/>
    <mergeCell ref="AL108:AM108"/>
    <mergeCell ref="I103:J103"/>
    <mergeCell ref="W103:X103"/>
    <mergeCell ref="Y103:Z103"/>
    <mergeCell ref="AA103:AB103"/>
    <mergeCell ref="AH103:AI103"/>
    <mergeCell ref="AJ103:AK103"/>
    <mergeCell ref="AL113:AM113"/>
    <mergeCell ref="I118:J118"/>
    <mergeCell ref="W118:X118"/>
    <mergeCell ref="Y118:Z118"/>
    <mergeCell ref="AA118:AB118"/>
    <mergeCell ref="AH118:AI118"/>
    <mergeCell ref="AJ118:AK118"/>
    <mergeCell ref="AL118:AM118"/>
    <mergeCell ref="I113:J113"/>
    <mergeCell ref="W113:X113"/>
    <mergeCell ref="Y113:Z113"/>
    <mergeCell ref="AA113:AB113"/>
    <mergeCell ref="AH113:AI113"/>
    <mergeCell ref="AJ113:AK113"/>
    <mergeCell ref="AL123:AM123"/>
    <mergeCell ref="I128:J128"/>
    <mergeCell ref="W128:X128"/>
    <mergeCell ref="Y128:Z128"/>
    <mergeCell ref="AA128:AB128"/>
    <mergeCell ref="AH128:AI128"/>
    <mergeCell ref="AJ128:AK128"/>
    <mergeCell ref="AL128:AM128"/>
    <mergeCell ref="I123:J123"/>
    <mergeCell ref="W123:X123"/>
    <mergeCell ref="Y123:Z123"/>
    <mergeCell ref="AA123:AB123"/>
    <mergeCell ref="AH123:AI123"/>
    <mergeCell ref="AJ123:AK123"/>
    <mergeCell ref="AL133:AM133"/>
    <mergeCell ref="I138:J138"/>
    <mergeCell ref="W138:X138"/>
    <mergeCell ref="Y138:Z138"/>
    <mergeCell ref="AA138:AB138"/>
    <mergeCell ref="AH138:AI138"/>
    <mergeCell ref="AJ138:AK138"/>
    <mergeCell ref="AL138:AM138"/>
    <mergeCell ref="I133:J133"/>
    <mergeCell ref="W133:X133"/>
    <mergeCell ref="Y133:Z133"/>
    <mergeCell ref="AA133:AB133"/>
    <mergeCell ref="AH133:AI133"/>
    <mergeCell ref="AJ133:AK133"/>
    <mergeCell ref="AL143:AM143"/>
    <mergeCell ref="I148:J148"/>
    <mergeCell ref="W148:X148"/>
    <mergeCell ref="Y148:Z148"/>
    <mergeCell ref="AA148:AB148"/>
    <mergeCell ref="AH148:AI148"/>
    <mergeCell ref="AJ148:AK148"/>
    <mergeCell ref="AL148:AM148"/>
    <mergeCell ref="I143:J143"/>
    <mergeCell ref="W143:X143"/>
    <mergeCell ref="Y143:Z143"/>
    <mergeCell ref="AA143:AB143"/>
    <mergeCell ref="AH143:AI143"/>
    <mergeCell ref="AJ143:AK143"/>
  </mergeCells>
  <pageMargins left="0.7" right="0.7" top="0.75" bottom="0.75" header="0.3" footer="0.3"/>
  <pageSetup paperSize="9" orientation="portrait"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AU171"/>
  <sheetViews>
    <sheetView topLeftCell="N1" workbookViewId="0">
      <pane ySplit="1" topLeftCell="A2" activePane="bottomLeft" state="frozen"/>
      <selection activeCell="AG3" sqref="AG3:AG5"/>
      <selection pane="bottomLeft" activeCell="AG8" sqref="AG8:AG10"/>
    </sheetView>
  </sheetViews>
  <sheetFormatPr defaultRowHeight="15" x14ac:dyDescent="0.25"/>
  <sheetData>
    <row r="1" spans="1:46" x14ac:dyDescent="0.25">
      <c r="A1" s="494" t="s">
        <v>90</v>
      </c>
      <c r="B1" s="494"/>
      <c r="C1">
        <f>HLOOKUP(Stn_WL,OFFSET_A,Count_STN+1,FALSE)</f>
        <v>1</v>
      </c>
      <c r="E1" s="494" t="s">
        <v>91</v>
      </c>
      <c r="F1" s="494"/>
      <c r="G1" t="str">
        <f>VLOOKUP(Station_No,RISE_CALC,2,FALSE)</f>
        <v>-</v>
      </c>
      <c r="L1" s="494" t="s">
        <v>92</v>
      </c>
      <c r="M1" s="494"/>
      <c r="N1">
        <v>3</v>
      </c>
    </row>
    <row r="2" spans="1:46" x14ac:dyDescent="0.25">
      <c r="Q2" s="66" t="str">
        <f t="shared" ref="Q2:R6" si="0">G4</f>
        <v>Rise</v>
      </c>
      <c r="R2" s="67" t="e">
        <f t="shared" si="0"/>
        <v>#VALUE!</v>
      </c>
      <c r="S2" s="68" t="e">
        <f>IF(OR(R5-R4=R4-R3,R6-R4=R4-R3),R3,IF(OR(R5-R4=R4-R2,R6-R4=R4-R2),R2,"-"))</f>
        <v>#VALUE!</v>
      </c>
      <c r="T2" s="69" t="e">
        <f>IFERROR(VLOOKUP(S2,STN_TABLE,2,FALSE),IF(R2=RisePerWLS,0,"-"))</f>
        <v>#VALUE!</v>
      </c>
      <c r="U2" s="69">
        <v>5</v>
      </c>
      <c r="V2" s="69" t="e">
        <f>T2*U2</f>
        <v>#VALUE!</v>
      </c>
      <c r="W2" s="69">
        <v>3</v>
      </c>
      <c r="X2" s="69" t="e">
        <f>T2*W2</f>
        <v>#VALUE!</v>
      </c>
      <c r="Y2" s="6" t="s">
        <v>93</v>
      </c>
      <c r="Z2" s="70" t="e">
        <f>IF(AND(S4-S3=S3-S2,NOT(AND(S2=0,S3=0)),NOT(AND(S3=0,S4=0))),WLS*(S4-S3),"#NA")</f>
        <v>#VALUE!</v>
      </c>
      <c r="AE2" s="71" t="s">
        <v>94</v>
      </c>
    </row>
    <row r="3" spans="1:46" x14ac:dyDescent="0.25">
      <c r="B3" s="72" t="s">
        <v>0</v>
      </c>
      <c r="C3" s="73" t="s">
        <v>95</v>
      </c>
      <c r="D3" s="73" t="s">
        <v>18</v>
      </c>
      <c r="E3" s="74" t="s">
        <v>20</v>
      </c>
      <c r="H3" s="75" t="s">
        <v>96</v>
      </c>
      <c r="K3" t="str">
        <f>IF(Rise=0,"(Not considered)","(Considered)")</f>
        <v>(Considered)</v>
      </c>
      <c r="Q3" s="66" t="str">
        <f t="shared" si="0"/>
        <v>1st_UWL</v>
      </c>
      <c r="R3" s="67" t="str">
        <f t="shared" si="0"/>
        <v>#NA</v>
      </c>
      <c r="S3" s="76" t="str">
        <f>R4</f>
        <v>#NA</v>
      </c>
      <c r="T3" s="77" t="e">
        <f>VLOOKUP(S3,STN_TABLE,2,FALSE)</f>
        <v>#N/A</v>
      </c>
      <c r="U3" s="77">
        <v>8</v>
      </c>
      <c r="V3" s="77" t="e">
        <f>T3*U3</f>
        <v>#N/A</v>
      </c>
      <c r="W3" s="77">
        <v>10</v>
      </c>
      <c r="X3" s="77" t="e">
        <f>T3*W3</f>
        <v>#N/A</v>
      </c>
      <c r="Y3" s="78" t="s">
        <v>97</v>
      </c>
      <c r="Z3" s="78"/>
      <c r="AA3" s="78" t="s">
        <v>98</v>
      </c>
      <c r="AB3" s="78"/>
      <c r="AC3" s="7" t="s">
        <v>99</v>
      </c>
      <c r="AD3" s="7"/>
      <c r="AE3" s="66" t="str">
        <f t="shared" ref="AE3:AF7" si="1">G4</f>
        <v>Rise</v>
      </c>
      <c r="AF3" s="67" t="e">
        <f t="shared" si="1"/>
        <v>#VALUE!</v>
      </c>
      <c r="AG3" s="79" t="e">
        <f>IF(AF7-AF6=AF6-AF5,AF5,IF(OR(AF7-AF6=AF6-AF4,AF7-AF5=AF5-AF4),AF4,IF(OR(AF7-AF6=AF6-AF3,AF7-AF5=AF5-AF3,AF7-AF4=AF4-AF3),AF3,"#NA")))</f>
        <v>#VALUE!</v>
      </c>
      <c r="AH3" s="69" t="e">
        <f>IFERROR(VLOOKUP(AG3,STN_TABLE,2,FALSE),IF(AF3=RisePerWLS,0,"-"))</f>
        <v>#VALUE!</v>
      </c>
      <c r="AI3" s="69">
        <v>1</v>
      </c>
      <c r="AJ3" s="69" t="e">
        <f>AH3*AI3</f>
        <v>#VALUE!</v>
      </c>
      <c r="AK3" s="69" t="e">
        <f>AG3</f>
        <v>#VALUE!</v>
      </c>
      <c r="AL3" s="69" t="e">
        <f>AJ3*AK3</f>
        <v>#VALUE!</v>
      </c>
      <c r="AM3" s="6" t="s">
        <v>93</v>
      </c>
      <c r="AN3" s="70" t="e">
        <f>IF(AND(AH3=0,AH4=0,AH5=0),WLS*(AG5-AG4),IF(AND(AG5-AG4=AG4-AG3,AG4&lt;&gt;AG5,AG3&lt;&gt;AG4,AG3&lt;&gt;AG5,AH5&lt;&gt;0,OR(AH3&lt;&gt;0,AH4&lt;&gt;0)),WLS*(AG5-AG4),"#NA"))</f>
        <v>#VALUE!</v>
      </c>
    </row>
    <row r="4" spans="1:46" x14ac:dyDescent="0.25">
      <c r="A4">
        <v>1</v>
      </c>
      <c r="B4" s="80">
        <f t="shared" ref="B4:B28" si="2">VLOOKUP(Stn_WL,OFFSET_A,A4+1,FALSE)</f>
        <v>0</v>
      </c>
      <c r="C4" s="81">
        <f t="shared" ref="C4:C28" si="3">VLOOKUP(Station_No,OFFSET_A,A4+1,FALSE)</f>
        <v>0.3</v>
      </c>
      <c r="D4" s="81">
        <v>0</v>
      </c>
      <c r="E4" s="77">
        <v>0</v>
      </c>
      <c r="G4" t="s">
        <v>100</v>
      </c>
      <c r="H4" t="e">
        <f>Rise/WLS</f>
        <v>#VALUE!</v>
      </c>
      <c r="K4" t="str">
        <f>CONCATENATE("A(",H5,")=")</f>
        <v>A(#NA)=</v>
      </c>
      <c r="L4" t="e">
        <f>IFERROR(N18,N22)</f>
        <v>#VALUE!</v>
      </c>
      <c r="Q4" s="66" t="str">
        <f t="shared" si="0"/>
        <v>2nd_UWL</v>
      </c>
      <c r="R4" s="67" t="str">
        <f t="shared" si="0"/>
        <v>#NA</v>
      </c>
      <c r="S4" s="82" t="e">
        <f>IF((S2-S3)=S3-R5,R5,IF(S2-S3=S3-R6,R6,"-"))</f>
        <v>#VALUE!</v>
      </c>
      <c r="T4" s="83" t="e">
        <f>VLOOKUP(S4,STN_TABLE,2,FALSE)</f>
        <v>#VALUE!</v>
      </c>
      <c r="U4" s="83">
        <v>-1</v>
      </c>
      <c r="V4" s="83" t="e">
        <f>T4*U4</f>
        <v>#VALUE!</v>
      </c>
      <c r="W4" s="83">
        <v>-1</v>
      </c>
      <c r="X4" s="83" t="e">
        <f>T4*W4</f>
        <v>#VALUE!</v>
      </c>
      <c r="Y4" s="84" t="str">
        <f>CONCATENATE("a'(",S3,")=")</f>
        <v>a'(#NA)=</v>
      </c>
      <c r="Z4" s="85" t="e">
        <f>2*Z2/12*V5</f>
        <v>#VALUE!</v>
      </c>
      <c r="AA4" s="84" t="e">
        <f>CONCATENATE("A(",S2,")=")</f>
        <v>#VALUE!</v>
      </c>
      <c r="AB4" s="84" t="e">
        <f>IF(S2=RisePerWLS,0,VLOOKUP(S2,STN_TABLE,3,FALSE))</f>
        <v>#VALUE!</v>
      </c>
      <c r="AC4" t="str">
        <f>CONCATENATE("A(",S3,")=")</f>
        <v>A(#NA)=</v>
      </c>
      <c r="AD4" t="e">
        <f>Z4+AB4</f>
        <v>#VALUE!</v>
      </c>
      <c r="AE4" s="66" t="str">
        <f t="shared" si="1"/>
        <v>1st_UWL</v>
      </c>
      <c r="AF4" s="67" t="str">
        <f t="shared" si="1"/>
        <v>#NA</v>
      </c>
      <c r="AG4" s="80" t="e">
        <f>IF(OR(AF7-AF6=AF6-AF5,AF7-AF6=AF6-AF4,AF7-AF6=AF6-AF3),AF6,IF(OR(AF7-AF5=AF5-AF4,AF7-AF5=AF5-AF3),AF5,IF(AF7-AF4=AF4-AF3,AF4,"#NA")))</f>
        <v>#VALUE!</v>
      </c>
      <c r="AH4" s="77" t="e">
        <f>VLOOKUP(AG4,STN_TABLE,2,FALSE)</f>
        <v>#VALUE!</v>
      </c>
      <c r="AI4" s="77">
        <v>4</v>
      </c>
      <c r="AJ4" s="77" t="e">
        <f>AH4*AI4</f>
        <v>#VALUE!</v>
      </c>
      <c r="AK4" s="77" t="e">
        <f>AG4</f>
        <v>#VALUE!</v>
      </c>
      <c r="AL4" s="77" t="e">
        <f>AJ4*AK4</f>
        <v>#VALUE!</v>
      </c>
      <c r="AM4" s="78" t="s">
        <v>97</v>
      </c>
      <c r="AN4" s="78"/>
      <c r="AO4" s="78" t="s">
        <v>98</v>
      </c>
      <c r="AP4" s="78"/>
      <c r="AQ4" s="7" t="s">
        <v>99</v>
      </c>
      <c r="AR4" s="7"/>
      <c r="AS4" s="7"/>
      <c r="AT4" s="7"/>
    </row>
    <row r="5" spans="1:46" x14ac:dyDescent="0.25">
      <c r="A5">
        <v>2</v>
      </c>
      <c r="B5" s="80">
        <f t="shared" si="2"/>
        <v>0.25</v>
      </c>
      <c r="C5" s="81">
        <f t="shared" si="3"/>
        <v>0.5</v>
      </c>
      <c r="D5" s="81">
        <f t="shared" ref="D5:D28" si="4">IFERROR(VLOOKUP(CONCATENATE("A(",B5,")="),RESULT_TABLE,6,FALSE)," ")</f>
        <v>0.40166666666666667</v>
      </c>
      <c r="E5" s="77">
        <f t="shared" ref="E5:E28" si="5">IFERROR(VLOOKUP(CONCATENATE("M(",B5,")="),RESULT_TABLE,6,FALSE)," ")</f>
        <v>0.10875000000000001</v>
      </c>
      <c r="G5" t="s">
        <v>101</v>
      </c>
      <c r="H5" t="str">
        <f>VLOOKUP(Station_No,RISE_CALC,4,FALSE)</f>
        <v>#NA</v>
      </c>
      <c r="K5" t="str">
        <f>CONCATENATE("M(",H5,")=")</f>
        <v>M(#NA)=</v>
      </c>
      <c r="L5" t="e">
        <f>IFERROR(N19,N23)</f>
        <v>#VALUE!</v>
      </c>
      <c r="Q5" s="66" t="str">
        <f t="shared" si="0"/>
        <v>3rd_UWL</v>
      </c>
      <c r="R5" s="67" t="str">
        <f t="shared" si="0"/>
        <v>#NA</v>
      </c>
      <c r="V5" s="86" t="e">
        <f>SUM(V2:V4)</f>
        <v>#VALUE!</v>
      </c>
      <c r="X5" s="87" t="e">
        <f>SUM(X2:X4)</f>
        <v>#VALUE!</v>
      </c>
      <c r="Y5" s="84" t="str">
        <f>CONCATENATE("m'(",S3,")=")</f>
        <v>m'(#NA)=</v>
      </c>
      <c r="Z5" s="85" t="e">
        <f>(2*(Z2^2)/24*X5)+(Z4*S2*WLS)</f>
        <v>#VALUE!</v>
      </c>
      <c r="AA5" s="84" t="e">
        <f>CONCATENATE("M(",S2,")=")</f>
        <v>#VALUE!</v>
      </c>
      <c r="AB5" s="84" t="e">
        <f>IF(S2=RisePerWLS,0,VLOOKUP(S2,STN_TABLE,4,FALSE))</f>
        <v>#VALUE!</v>
      </c>
      <c r="AC5" t="str">
        <f>CONCATENATE("M(",S3,")=")</f>
        <v>M(#NA)=</v>
      </c>
      <c r="AD5" t="e">
        <f>Z5+AB5</f>
        <v>#VALUE!</v>
      </c>
      <c r="AE5" s="66" t="str">
        <f t="shared" si="1"/>
        <v>2nd_UWL</v>
      </c>
      <c r="AF5" s="67" t="str">
        <f t="shared" si="1"/>
        <v>#NA</v>
      </c>
      <c r="AG5" s="88" t="str">
        <f>AF7</f>
        <v>#NA</v>
      </c>
      <c r="AH5" s="83" t="e">
        <f>VLOOKUP(AG5,STN_TABLE,2,FALSE)</f>
        <v>#N/A</v>
      </c>
      <c r="AI5" s="83">
        <v>1</v>
      </c>
      <c r="AJ5" s="83" t="e">
        <f>AH5*AI5</f>
        <v>#N/A</v>
      </c>
      <c r="AK5" s="83" t="str">
        <f>AG5</f>
        <v>#NA</v>
      </c>
      <c r="AL5" s="83" t="e">
        <f>AJ5*AK5</f>
        <v>#N/A</v>
      </c>
      <c r="AM5" s="84" t="str">
        <f>CONCATENATE("a'(",AG5,")=")</f>
        <v>a'(#NA)=</v>
      </c>
      <c r="AN5" s="84" t="e">
        <f>2*AN3/3*AJ6</f>
        <v>#VALUE!</v>
      </c>
      <c r="AO5" s="84" t="e">
        <f>CONCATENATE("A(",AG3,")=")</f>
        <v>#VALUE!</v>
      </c>
      <c r="AP5" s="84" t="e">
        <f>IF(AG3=RisePerWLS,0,VLOOKUP(AG3,STN_TABLE,3,FALSE))</f>
        <v>#VALUE!</v>
      </c>
      <c r="AQ5" t="str">
        <f>CONCATENATE("A(",AG5,")=")</f>
        <v>A(#NA)=</v>
      </c>
      <c r="AR5" t="e">
        <f>AN5+AP5</f>
        <v>#VALUE!</v>
      </c>
    </row>
    <row r="6" spans="1:46" x14ac:dyDescent="0.25">
      <c r="A6">
        <v>3</v>
      </c>
      <c r="B6" s="80">
        <f t="shared" si="2"/>
        <v>0.5</v>
      </c>
      <c r="C6" s="81">
        <f t="shared" si="3"/>
        <v>0.68</v>
      </c>
      <c r="D6" s="81">
        <f t="shared" si="4"/>
        <v>0.99333333333333329</v>
      </c>
      <c r="E6" s="77">
        <f t="shared" si="5"/>
        <v>0.56000000000000005</v>
      </c>
      <c r="G6" t="s">
        <v>102</v>
      </c>
      <c r="H6" t="str">
        <f>VLOOKUP(Station_No,RISE_CALC,5,FALSE)</f>
        <v>#NA</v>
      </c>
      <c r="K6" t="str">
        <f>CONCATENATE("A(",H6,")=")</f>
        <v>A(#NA)=</v>
      </c>
      <c r="L6" t="e">
        <f>IFERROR(P27,IFERROR(X6,AD9))</f>
        <v>#VALUE!</v>
      </c>
      <c r="Q6" s="66" t="str">
        <f t="shared" si="0"/>
        <v>4th_UWL</v>
      </c>
      <c r="R6" s="67" t="str">
        <f t="shared" si="0"/>
        <v>#NA</v>
      </c>
      <c r="U6" t="s">
        <v>103</v>
      </c>
      <c r="W6" t="str">
        <f>CONCATENATE("A(",S3,")=")</f>
        <v>A(#NA)=</v>
      </c>
      <c r="X6" t="e">
        <f>IF(OR(AD4&lt;=0,AD5&lt;=0),AD9,AD4)</f>
        <v>#VALUE!</v>
      </c>
      <c r="AE6" s="66" t="str">
        <f t="shared" si="1"/>
        <v>3rd_UWL</v>
      </c>
      <c r="AF6" s="67" t="str">
        <f t="shared" si="1"/>
        <v>#NA</v>
      </c>
      <c r="AJ6" s="89" t="e">
        <f>SUM(AJ3:AJ5)</f>
        <v>#VALUE!</v>
      </c>
      <c r="AL6" s="89" t="e">
        <f>SUM(AL3:AL5)</f>
        <v>#VALUE!</v>
      </c>
      <c r="AM6" s="84" t="str">
        <f>CONCATENATE("m'(",AG5,")=")</f>
        <v>m'(#NA)=</v>
      </c>
      <c r="AN6" s="84" t="e">
        <f>2*(AN3*WLS)/3*AL6</f>
        <v>#VALUE!</v>
      </c>
      <c r="AO6" s="84" t="e">
        <f>CONCATENATE("M(",AG3,")=")</f>
        <v>#VALUE!</v>
      </c>
      <c r="AP6" s="84" t="e">
        <f>IF(AG3=RisePerWLS,0,VLOOKUP(AG3,STN_TABLE,4,FALSE))</f>
        <v>#VALUE!</v>
      </c>
      <c r="AQ6" t="str">
        <f>CONCATENATE("M(",AG5,")=")</f>
        <v>M(#NA)=</v>
      </c>
      <c r="AR6" t="e">
        <f>AN6+AP6</f>
        <v>#VALUE!</v>
      </c>
    </row>
    <row r="7" spans="1:46" x14ac:dyDescent="0.25">
      <c r="A7">
        <v>4</v>
      </c>
      <c r="B7" s="80">
        <f t="shared" si="2"/>
        <v>0.75</v>
      </c>
      <c r="C7" s="81">
        <f t="shared" si="3"/>
        <v>0.83</v>
      </c>
      <c r="D7" s="81">
        <f t="shared" si="4"/>
        <v>1.7516666666666665</v>
      </c>
      <c r="E7" s="77">
        <f t="shared" si="5"/>
        <v>1.5137499999999999</v>
      </c>
      <c r="G7" t="s">
        <v>104</v>
      </c>
      <c r="H7" t="str">
        <f>VLOOKUP(Station_No,RISE_CALC,6,FALSE)</f>
        <v>#NA</v>
      </c>
      <c r="K7" t="str">
        <f>CONCATENATE("M(",H6,")=")</f>
        <v>M(#NA)=</v>
      </c>
      <c r="L7" t="e">
        <f>IFERROR(P28,IFERROR(X7,AD10))</f>
        <v>#VALUE!</v>
      </c>
      <c r="Q7" s="66"/>
      <c r="R7" s="67"/>
      <c r="W7" t="str">
        <f>CONCATENATE("M(",S3,")=")</f>
        <v>M(#NA)=</v>
      </c>
      <c r="X7" t="e">
        <f>IF(OR(AD4&lt;=0,AD5&lt;=0),AD10,AD5)</f>
        <v>#VALUE!</v>
      </c>
      <c r="Y7" s="6" t="s">
        <v>93</v>
      </c>
      <c r="Z7" s="70" t="e">
        <f>WLS*(U9-U8)</f>
        <v>#VALUE!</v>
      </c>
      <c r="AE7" s="66" t="str">
        <f t="shared" si="1"/>
        <v>4th_UWL</v>
      </c>
      <c r="AF7" s="67" t="str">
        <f t="shared" si="1"/>
        <v>#NA</v>
      </c>
      <c r="AH7" s="81"/>
    </row>
    <row r="8" spans="1:46" x14ac:dyDescent="0.25">
      <c r="A8">
        <v>5</v>
      </c>
      <c r="B8" s="80">
        <f t="shared" si="2"/>
        <v>1</v>
      </c>
      <c r="C8" s="81">
        <f t="shared" si="3"/>
        <v>0.98</v>
      </c>
      <c r="D8" s="81">
        <f t="shared" si="4"/>
        <v>2.6533333333333333</v>
      </c>
      <c r="E8" s="77">
        <f t="shared" si="5"/>
        <v>3.0999999999999996</v>
      </c>
      <c r="G8" t="s">
        <v>105</v>
      </c>
      <c r="H8" t="str">
        <f>VLOOKUP(Station_No,RISE_CALC,7,FALSE)</f>
        <v>#NA</v>
      </c>
      <c r="K8" t="str">
        <f>CONCATENATE("A(",H7,")=")</f>
        <v>A(#NA)=</v>
      </c>
      <c r="L8" t="e">
        <f>IFERROR(AD15,IFERROR(X24,AD27))</f>
        <v>#VALUE!</v>
      </c>
      <c r="Q8" s="80"/>
      <c r="R8" s="81"/>
      <c r="U8" s="79" t="str">
        <f>R3</f>
        <v>#NA</v>
      </c>
      <c r="V8" s="68" t="e">
        <f>VLOOKUP(U8,STN_TABLE,2,FALSE)</f>
        <v>#N/A</v>
      </c>
      <c r="W8" s="68">
        <v>1</v>
      </c>
      <c r="X8" s="69" t="e">
        <f>V8*W8</f>
        <v>#N/A</v>
      </c>
      <c r="Y8" s="78" t="s">
        <v>97</v>
      </c>
      <c r="Z8" s="78"/>
      <c r="AA8" s="78" t="s">
        <v>98</v>
      </c>
      <c r="AB8" s="78"/>
      <c r="AC8" s="7" t="s">
        <v>99</v>
      </c>
      <c r="AD8" s="7"/>
      <c r="AE8" s="66"/>
      <c r="AF8" s="67"/>
      <c r="AG8" s="68" t="e">
        <f>IF(OR(AF12-AF11=AF11-AF10,AF13-AF11=AF11-AF10),AF10,IF(OR(AF12-AF11=AF11-AF9,AF13-AF11=AF11-AF9),AF9,"-"))</f>
        <v>#VALUE!</v>
      </c>
      <c r="AH8" s="69" t="e">
        <f>IFERROR(VLOOKUP(AG8,STN_TABLE,2,FALSE),IF(AF8=RisePerWLS,0,"-"))</f>
        <v>#VALUE!</v>
      </c>
      <c r="AI8" s="69">
        <v>5</v>
      </c>
      <c r="AJ8" s="69" t="e">
        <f>AH8*AI8</f>
        <v>#VALUE!</v>
      </c>
      <c r="AK8" s="69">
        <v>3</v>
      </c>
      <c r="AL8" s="69" t="e">
        <f>AH8*AK8</f>
        <v>#VALUE!</v>
      </c>
      <c r="AM8" s="6" t="s">
        <v>93</v>
      </c>
      <c r="AN8" s="70" t="e">
        <f>IF(AND(AG10-AG9=AG9-AG8,NOT(AND(AG8=0,AG9=0)),NOT(AND(AG9=0,AG10=0))),WLS*(AG10-AG9),"#NA")</f>
        <v>#VALUE!</v>
      </c>
    </row>
    <row r="9" spans="1:46" x14ac:dyDescent="0.25">
      <c r="A9">
        <v>6</v>
      </c>
      <c r="B9" s="80">
        <f t="shared" si="2"/>
        <v>2</v>
      </c>
      <c r="C9" s="81">
        <f t="shared" si="3"/>
        <v>1.44</v>
      </c>
      <c r="D9" s="81">
        <f t="shared" si="4"/>
        <v>7.37</v>
      </c>
      <c r="E9" s="77">
        <f t="shared" si="5"/>
        <v>17.556666666666665</v>
      </c>
      <c r="G9" t="s">
        <v>106</v>
      </c>
      <c r="H9" t="str">
        <f>VLOOKUP(Station_No,RISE_CALC,8,FALSE)</f>
        <v>#NA</v>
      </c>
      <c r="K9" t="str">
        <f>CONCATENATE("M(",H7,")=")</f>
        <v>M(#NA)=</v>
      </c>
      <c r="L9" t="e">
        <f>IFERROR(AD16,IFERROR(X25,AD28))</f>
        <v>#VALUE!</v>
      </c>
      <c r="Q9" s="80"/>
      <c r="R9" s="81"/>
      <c r="U9" s="88" t="str">
        <f>R4</f>
        <v>#NA</v>
      </c>
      <c r="V9" s="82" t="e">
        <f>VLOOKUP(U9,STN_TABLE,2,FALSE)</f>
        <v>#N/A</v>
      </c>
      <c r="W9" s="82">
        <v>2</v>
      </c>
      <c r="X9" s="83" t="e">
        <f>V9*W9</f>
        <v>#N/A</v>
      </c>
      <c r="Y9" s="84" t="str">
        <f>CONCATENATE("a'(",U9,")=")</f>
        <v>a'(#NA)=</v>
      </c>
      <c r="Z9" s="84" t="e">
        <f>2*Z7/2*V10</f>
        <v>#VALUE!</v>
      </c>
      <c r="AA9" s="84" t="str">
        <f>CONCATENATE("A(",U8,")=")</f>
        <v>A(#NA)=</v>
      </c>
      <c r="AB9" s="84" t="e">
        <f>IF(U8=RisePerWLS,0,VLOOKUP(U8,STN_TABLE,3,FALSE))</f>
        <v>#VALUE!</v>
      </c>
      <c r="AC9" t="str">
        <f>CONCATENATE("A(",U9,")=")</f>
        <v>A(#NA)=</v>
      </c>
      <c r="AD9" t="e">
        <f>Z9+AB9</f>
        <v>#VALUE!</v>
      </c>
      <c r="AE9" s="66" t="str">
        <f t="shared" ref="AE9:AF13" si="6">G6</f>
        <v>2nd_UWL</v>
      </c>
      <c r="AF9" s="67" t="str">
        <f t="shared" si="6"/>
        <v>#NA</v>
      </c>
      <c r="AG9" s="76" t="str">
        <f>AF11</f>
        <v>#NA</v>
      </c>
      <c r="AH9" s="77" t="e">
        <f>VLOOKUP(AG9,STN_TABLE,2,FALSE)</f>
        <v>#N/A</v>
      </c>
      <c r="AI9" s="77">
        <v>8</v>
      </c>
      <c r="AJ9" s="77" t="e">
        <f>AH9*AI9</f>
        <v>#N/A</v>
      </c>
      <c r="AK9" s="77">
        <v>10</v>
      </c>
      <c r="AL9" s="77" t="e">
        <f>AH9*AK9</f>
        <v>#N/A</v>
      </c>
      <c r="AM9" s="78" t="s">
        <v>97</v>
      </c>
      <c r="AN9" s="78"/>
      <c r="AO9" s="78" t="s">
        <v>98</v>
      </c>
      <c r="AP9" s="78"/>
      <c r="AQ9" s="7" t="s">
        <v>99</v>
      </c>
      <c r="AR9" s="7"/>
      <c r="AS9" s="7"/>
      <c r="AT9" s="7"/>
    </row>
    <row r="10" spans="1:46" x14ac:dyDescent="0.25">
      <c r="A10">
        <v>7</v>
      </c>
      <c r="B10" s="80">
        <f t="shared" si="2"/>
        <v>3</v>
      </c>
      <c r="C10" s="81">
        <f t="shared" si="3"/>
        <v>2.27</v>
      </c>
      <c r="D10" s="81">
        <f t="shared" si="4"/>
        <v>14.666666666666664</v>
      </c>
      <c r="E10" s="77">
        <f t="shared" si="5"/>
        <v>54.593333333333341</v>
      </c>
      <c r="G10" t="s">
        <v>107</v>
      </c>
      <c r="H10" t="str">
        <f>VLOOKUP(Station_No,RISE_CALC,9,FALSE)</f>
        <v>#NA</v>
      </c>
      <c r="K10" t="str">
        <f>CONCATENATE("A(",H8,")=")</f>
        <v>A(#NA)=</v>
      </c>
      <c r="L10" t="e">
        <f>IFERROR(AR5,IFERROR(AL12,AR15))</f>
        <v>#VALUE!</v>
      </c>
      <c r="Q10" s="80"/>
      <c r="R10" s="81"/>
      <c r="V10" s="89" t="e">
        <f>SUM(V8:V9)</f>
        <v>#N/A</v>
      </c>
      <c r="X10" s="89" t="e">
        <f>SUM(X8:X9)</f>
        <v>#N/A</v>
      </c>
      <c r="Y10" s="84" t="str">
        <f>CONCATENATE("m'(",U9,")=")</f>
        <v>m'(#NA)=</v>
      </c>
      <c r="Z10" s="84" t="e">
        <f>(2*(Z7^2)/6*X10)+(Z9*U8*WLS)</f>
        <v>#VALUE!</v>
      </c>
      <c r="AA10" s="84" t="str">
        <f>CONCATENATE("M(",U8,")=")</f>
        <v>M(#NA)=</v>
      </c>
      <c r="AB10" s="84" t="e">
        <f>IF(U8=RisePerWLS,0,VLOOKUP(U8,STN_TABLE,4,FALSE))</f>
        <v>#VALUE!</v>
      </c>
      <c r="AC10" t="str">
        <f>CONCATENATE("M(",U9,")=")</f>
        <v>M(#NA)=</v>
      </c>
      <c r="AD10" t="e">
        <f>Z10+AB10</f>
        <v>#VALUE!</v>
      </c>
      <c r="AE10" s="66" t="str">
        <f t="shared" si="6"/>
        <v>3rd_UWL</v>
      </c>
      <c r="AF10" s="67" t="str">
        <f t="shared" si="6"/>
        <v>#NA</v>
      </c>
      <c r="AG10" s="82" t="e">
        <f>IF(AG8-AG9=AG9-AF12,AF12,IF(AG8-AG9=AG9-AF13,AF13,"-"))</f>
        <v>#VALUE!</v>
      </c>
      <c r="AH10" s="83" t="e">
        <f>VLOOKUP(AG10,STN_TABLE,2,FALSE)</f>
        <v>#VALUE!</v>
      </c>
      <c r="AI10" s="83">
        <v>-1</v>
      </c>
      <c r="AJ10" s="83" t="e">
        <f>AH10*AI10</f>
        <v>#VALUE!</v>
      </c>
      <c r="AK10" s="83">
        <v>-1</v>
      </c>
      <c r="AL10" s="83" t="e">
        <f>AH10*AK10</f>
        <v>#VALUE!</v>
      </c>
      <c r="AM10" s="84" t="str">
        <f>CONCATENATE("a'(",AG9,")=")</f>
        <v>a'(#NA)=</v>
      </c>
      <c r="AN10" s="84" t="e">
        <f>2*AN8/12*AJ11</f>
        <v>#VALUE!</v>
      </c>
      <c r="AO10" s="84" t="e">
        <f>CONCATENATE("A(",AG8,")=")</f>
        <v>#VALUE!</v>
      </c>
      <c r="AP10" s="84" t="e">
        <f>VLOOKUP(AG8,STN_TABLE,3,FALSE)</f>
        <v>#VALUE!</v>
      </c>
      <c r="AQ10" t="str">
        <f>CONCATENATE("A(",AG9,")=")</f>
        <v>A(#NA)=</v>
      </c>
      <c r="AR10" t="e">
        <f>AN10+AP10</f>
        <v>#VALUE!</v>
      </c>
    </row>
    <row r="11" spans="1:46" x14ac:dyDescent="0.25">
      <c r="A11">
        <v>8</v>
      </c>
      <c r="B11" s="80">
        <f t="shared" si="2"/>
        <v>4</v>
      </c>
      <c r="C11" s="81">
        <f t="shared" si="3"/>
        <v>4.01</v>
      </c>
      <c r="D11" s="81">
        <f t="shared" si="4"/>
        <v>26.743333333333332</v>
      </c>
      <c r="E11" s="77">
        <f t="shared" si="5"/>
        <v>140.64999999999998</v>
      </c>
      <c r="G11" t="s">
        <v>108</v>
      </c>
      <c r="H11" t="str">
        <f>VLOOKUP(Station_No,RISE_CALC,10,FALSE)</f>
        <v>#NA</v>
      </c>
      <c r="K11" t="str">
        <f>CONCATENATE("M(",H8,")=")</f>
        <v>M(#NA)=</v>
      </c>
      <c r="L11" t="e">
        <f>IFERROR(AR6,IFERROR(AL13,AR16))</f>
        <v>#VALUE!</v>
      </c>
      <c r="Q11" s="80"/>
      <c r="R11" s="81"/>
      <c r="AE11" s="66" t="str">
        <f t="shared" si="6"/>
        <v>4th_UWL</v>
      </c>
      <c r="AF11" s="67" t="str">
        <f t="shared" si="6"/>
        <v>#NA</v>
      </c>
      <c r="AJ11" s="89" t="e">
        <f>SUM(AJ8:AJ10)</f>
        <v>#VALUE!</v>
      </c>
      <c r="AL11" s="89" t="e">
        <f>SUM(AL8:AL10)</f>
        <v>#VALUE!</v>
      </c>
      <c r="AM11" s="84" t="str">
        <f>CONCATENATE("m'(",AG9,")=")</f>
        <v>m'(#NA)=</v>
      </c>
      <c r="AN11" s="84" t="e">
        <f>(2*(AN8^2)/24*AL11)+(AN10*AG8*WLS)</f>
        <v>#VALUE!</v>
      </c>
      <c r="AO11" s="84" t="e">
        <f>CONCATENATE("M(",AG8,")=")</f>
        <v>#VALUE!</v>
      </c>
      <c r="AP11" s="84" t="e">
        <f>VLOOKUP(AG8,STN_TABLE,4,FALSE)</f>
        <v>#VALUE!</v>
      </c>
      <c r="AQ11" t="str">
        <f>CONCATENATE("M(",AG9,")=")</f>
        <v>M(#NA)=</v>
      </c>
      <c r="AR11" t="e">
        <f>AN11+AP11</f>
        <v>#VALUE!</v>
      </c>
    </row>
    <row r="12" spans="1:46" x14ac:dyDescent="0.25">
      <c r="A12">
        <v>9</v>
      </c>
      <c r="B12" s="80">
        <f t="shared" si="2"/>
        <v>4.8499999999999996</v>
      </c>
      <c r="C12" s="81">
        <f t="shared" si="3"/>
        <v>5.57</v>
      </c>
      <c r="D12" s="81">
        <f t="shared" si="4"/>
        <v>43.029333333333327</v>
      </c>
      <c r="E12" s="77">
        <f t="shared" si="5"/>
        <v>285.53249999999991</v>
      </c>
      <c r="Q12" s="90" t="s">
        <v>109</v>
      </c>
      <c r="R12" s="81"/>
      <c r="AE12" s="66" t="str">
        <f t="shared" si="6"/>
        <v>5th_UWL</v>
      </c>
      <c r="AF12" s="67" t="str">
        <f t="shared" si="6"/>
        <v>#NA</v>
      </c>
      <c r="AI12" t="s">
        <v>103</v>
      </c>
      <c r="AK12" t="str">
        <f>CONCATENATE("A(",AG9,")=")</f>
        <v>A(#NA)=</v>
      </c>
      <c r="AL12" t="e">
        <f>IF(OR(AR10&lt;=0,AR11&lt;=0),AR15,AR10)</f>
        <v>#VALUE!</v>
      </c>
    </row>
    <row r="13" spans="1:46" x14ac:dyDescent="0.25">
      <c r="A13">
        <v>10</v>
      </c>
      <c r="B13" s="80">
        <f t="shared" si="2"/>
        <v>5</v>
      </c>
      <c r="C13" s="81">
        <f t="shared" si="3"/>
        <v>5.78</v>
      </c>
      <c r="D13" s="81">
        <f t="shared" si="4"/>
        <v>46.786666666666662</v>
      </c>
      <c r="E13" s="77">
        <f t="shared" si="5"/>
        <v>320.91333333333336</v>
      </c>
      <c r="G13" s="71" t="s">
        <v>110</v>
      </c>
      <c r="Q13" s="66" t="str">
        <f t="shared" ref="Q13:R16" si="7">G4</f>
        <v>Rise</v>
      </c>
      <c r="R13" s="67" t="e">
        <f t="shared" si="7"/>
        <v>#VALUE!</v>
      </c>
      <c r="S13" s="68" t="e">
        <f>IF(R16-R15=R15-R14,R14,IF(R16-R14=R14-R13,R13,"-"))</f>
        <v>#VALUE!</v>
      </c>
      <c r="T13" s="69" t="e">
        <f>IFERROR(VLOOKUP(S13,STN_TABLE,2,FALSE),IF(R13=RisePerWLS,0,"-"))</f>
        <v>#VALUE!</v>
      </c>
      <c r="U13" s="69">
        <v>1</v>
      </c>
      <c r="V13" s="69" t="e">
        <f>T13*U13</f>
        <v>#VALUE!</v>
      </c>
      <c r="W13" s="69" t="e">
        <f>S13</f>
        <v>#VALUE!</v>
      </c>
      <c r="X13" s="69" t="e">
        <f>V13*W13</f>
        <v>#VALUE!</v>
      </c>
      <c r="Y13" s="6" t="s">
        <v>93</v>
      </c>
      <c r="Z13" s="70" t="e">
        <f>IF(AND(T13=0,T14=0,T15=0),WLS*(S15-S14),IF(AND(S15-S14=S14-S13,S14&lt;&gt;S15,S13&lt;&gt;S14,S13&lt;&gt;S15,T15&lt;&gt;0,OR(T13&lt;&gt;0,T14&lt;&gt;0)),WLS*(S15-S14),"#NA"))</f>
        <v>#VALUE!</v>
      </c>
      <c r="AE13" s="66" t="str">
        <f t="shared" si="6"/>
        <v>6th_UWL</v>
      </c>
      <c r="AF13" s="67" t="str">
        <f t="shared" si="6"/>
        <v>#NA</v>
      </c>
      <c r="AK13" t="str">
        <f>CONCATENATE("M(",AG9,")=")</f>
        <v>M(#NA)=</v>
      </c>
      <c r="AL13" t="e">
        <f>IF(OR(AR10&lt;=0,AR11&lt;=0),AR16,AR11)</f>
        <v>#VALUE!</v>
      </c>
      <c r="AM13" s="6" t="s">
        <v>93</v>
      </c>
      <c r="AN13" s="70" t="e">
        <f>WLS*(AI15-AI14)</f>
        <v>#VALUE!</v>
      </c>
    </row>
    <row r="14" spans="1:46" x14ac:dyDescent="0.25">
      <c r="A14">
        <v>11</v>
      </c>
      <c r="B14" s="80">
        <f t="shared" si="2"/>
        <v>6</v>
      </c>
      <c r="C14" s="81">
        <f t="shared" si="3"/>
        <v>6.8</v>
      </c>
      <c r="D14" s="81">
        <f t="shared" si="4"/>
        <v>71.98333333333332</v>
      </c>
      <c r="E14" s="77">
        <f t="shared" si="5"/>
        <v>600.49</v>
      </c>
      <c r="G14" s="91" t="str">
        <f>G4</f>
        <v>Rise</v>
      </c>
      <c r="H14" s="91" t="e">
        <f>RisePerWLS</f>
        <v>#VALUE!</v>
      </c>
      <c r="I14" s="68" t="e">
        <f>H14</f>
        <v>#VALUE!</v>
      </c>
      <c r="J14" s="69">
        <v>0</v>
      </c>
      <c r="K14" s="69">
        <v>5</v>
      </c>
      <c r="L14" s="69">
        <f>J14*K14</f>
        <v>0</v>
      </c>
      <c r="M14" s="69">
        <v>3</v>
      </c>
      <c r="N14" s="69">
        <f>J14*M14</f>
        <v>0</v>
      </c>
      <c r="O14" t="s">
        <v>93</v>
      </c>
      <c r="P14" t="e">
        <f>IF(AND(NOT(AND(J14=0,J15=0)),I14&lt;&gt;I15,I15&lt;&gt;I16,I16-I15=I15-I14),(I16-I15)*WLS,"#NA")</f>
        <v>#N/A</v>
      </c>
      <c r="Q14" s="66" t="str">
        <f t="shared" si="7"/>
        <v>1st_UWL</v>
      </c>
      <c r="R14" s="67" t="str">
        <f t="shared" si="7"/>
        <v>#NA</v>
      </c>
      <c r="S14" s="76" t="e">
        <f>IF(R16-R15=R15-R14,R15,IF(R16-R14=R14-R13,R14,"-"))</f>
        <v>#VALUE!</v>
      </c>
      <c r="T14" s="77" t="e">
        <f>VLOOKUP(S14,STN_TABLE,2,FALSE)</f>
        <v>#VALUE!</v>
      </c>
      <c r="U14" s="77">
        <v>4</v>
      </c>
      <c r="V14" s="77" t="e">
        <f>T14*U14</f>
        <v>#VALUE!</v>
      </c>
      <c r="W14" s="77" t="e">
        <f>S14</f>
        <v>#VALUE!</v>
      </c>
      <c r="X14" s="77" t="e">
        <f>V14*W14</f>
        <v>#VALUE!</v>
      </c>
      <c r="Y14" s="78" t="s">
        <v>97</v>
      </c>
      <c r="Z14" s="78"/>
      <c r="AA14" s="78" t="s">
        <v>98</v>
      </c>
      <c r="AB14" s="78"/>
      <c r="AC14" s="7" t="s">
        <v>99</v>
      </c>
      <c r="AD14" s="7"/>
      <c r="AE14" s="66"/>
      <c r="AF14" s="67"/>
      <c r="AI14" s="79" t="str">
        <f>AF10</f>
        <v>#NA</v>
      </c>
      <c r="AJ14" s="68" t="e">
        <f>VLOOKUP(AI14,STN_TABLE,2,FALSE)</f>
        <v>#N/A</v>
      </c>
      <c r="AK14" s="68">
        <v>1</v>
      </c>
      <c r="AL14" s="69" t="e">
        <f>AJ14*AK14</f>
        <v>#N/A</v>
      </c>
      <c r="AM14" s="78" t="s">
        <v>97</v>
      </c>
      <c r="AN14" s="78"/>
      <c r="AO14" s="78" t="s">
        <v>98</v>
      </c>
      <c r="AP14" s="78"/>
      <c r="AQ14" s="7" t="s">
        <v>99</v>
      </c>
      <c r="AR14" s="7"/>
      <c r="AS14" s="7"/>
      <c r="AT14" s="7"/>
    </row>
    <row r="15" spans="1:46" x14ac:dyDescent="0.25">
      <c r="A15">
        <v>12</v>
      </c>
      <c r="B15" s="80">
        <f t="shared" si="2"/>
        <v>6.5</v>
      </c>
      <c r="C15" s="81">
        <f t="shared" si="3"/>
        <v>7.27</v>
      </c>
      <c r="D15" s="81">
        <f t="shared" si="4"/>
        <v>86.053333333333313</v>
      </c>
      <c r="E15" s="77">
        <f t="shared" si="5"/>
        <v>776.44333333333338</v>
      </c>
      <c r="G15" s="91" t="str">
        <f>G5</f>
        <v>1st_UWL</v>
      </c>
      <c r="H15" s="91" t="str">
        <f>H5</f>
        <v>#NA</v>
      </c>
      <c r="I15" s="76" t="str">
        <f>H15</f>
        <v>#NA</v>
      </c>
      <c r="J15" s="77" t="e">
        <f>VLOOKUP(I15,STN_TABLE,2,FALSE)</f>
        <v>#N/A</v>
      </c>
      <c r="K15" s="77">
        <v>8</v>
      </c>
      <c r="L15" s="77" t="e">
        <f>J15*K15</f>
        <v>#N/A</v>
      </c>
      <c r="M15" s="77">
        <v>10</v>
      </c>
      <c r="N15" s="77" t="e">
        <f>J15*M15</f>
        <v>#N/A</v>
      </c>
      <c r="O15" t="str">
        <f>CONCATENATE("A(",I15,")=")</f>
        <v>A(#NA)=</v>
      </c>
      <c r="P15" t="e">
        <f>2*P14/12*L17</f>
        <v>#N/A</v>
      </c>
      <c r="Q15" s="66" t="str">
        <f t="shared" si="7"/>
        <v>2nd_UWL</v>
      </c>
      <c r="R15" s="67" t="str">
        <f t="shared" si="7"/>
        <v>#NA</v>
      </c>
      <c r="S15" s="82" t="str">
        <f>R16</f>
        <v>#NA</v>
      </c>
      <c r="T15" s="83" t="e">
        <f>VLOOKUP(S15,STN_TABLE,2,FALSE)</f>
        <v>#N/A</v>
      </c>
      <c r="U15" s="83">
        <v>1</v>
      </c>
      <c r="V15" s="83" t="e">
        <f>T15*U15</f>
        <v>#N/A</v>
      </c>
      <c r="W15" s="83" t="str">
        <f>S15</f>
        <v>#NA</v>
      </c>
      <c r="X15" s="83" t="e">
        <f>V15*W15</f>
        <v>#N/A</v>
      </c>
      <c r="Y15" s="84" t="str">
        <f>CONCATENATE("a'(",S15,")=")</f>
        <v>a'(#NA)=</v>
      </c>
      <c r="Z15" s="84" t="e">
        <f>2*Z13/3*V16</f>
        <v>#VALUE!</v>
      </c>
      <c r="AA15" s="84" t="e">
        <f>CONCATENATE("A(",S13,")=")</f>
        <v>#VALUE!</v>
      </c>
      <c r="AB15" s="84" t="e">
        <f>IF(S13=RisePerWLS,0,VLOOKUP(S13,STN_TABLE,3,FALSE))</f>
        <v>#VALUE!</v>
      </c>
      <c r="AC15" t="str">
        <f>CONCATENATE("A(",S15,")=")</f>
        <v>A(#NA)=</v>
      </c>
      <c r="AD15" t="e">
        <f>Z15+AB15</f>
        <v>#VALUE!</v>
      </c>
      <c r="AE15" s="80"/>
      <c r="AI15" s="88" t="str">
        <f>AF11</f>
        <v>#NA</v>
      </c>
      <c r="AJ15" s="82" t="e">
        <f>VLOOKUP(AI15,STN_TABLE,2,FALSE)</f>
        <v>#N/A</v>
      </c>
      <c r="AK15" s="82">
        <v>2</v>
      </c>
      <c r="AL15" s="83" t="e">
        <f>AJ15*AK15</f>
        <v>#N/A</v>
      </c>
      <c r="AM15" s="84" t="str">
        <f>CONCATENATE("a'(",AI15,")=")</f>
        <v>a'(#NA)=</v>
      </c>
      <c r="AN15" s="84" t="e">
        <f>2*AN13/2*AJ16</f>
        <v>#VALUE!</v>
      </c>
      <c r="AO15" s="84" t="str">
        <f>CONCATENATE("A(",AI14,")=")</f>
        <v>A(#NA)=</v>
      </c>
      <c r="AP15" s="84" t="e">
        <f>IF(AI14=RisePerWLS,0,VLOOKUP(AI14,STN_TABLE,3,FALSE))</f>
        <v>#VALUE!</v>
      </c>
      <c r="AQ15" t="str">
        <f>CONCATENATE("A(",AI15,")=")</f>
        <v>A(#NA)=</v>
      </c>
      <c r="AR15" t="e">
        <f>AN15+AP15</f>
        <v>#VALUE!</v>
      </c>
    </row>
    <row r="16" spans="1:46" x14ac:dyDescent="0.25">
      <c r="A16">
        <v>13</v>
      </c>
      <c r="B16" s="80" t="str">
        <f t="shared" si="2"/>
        <v xml:space="preserve">  </v>
      </c>
      <c r="C16" s="81" t="str">
        <f t="shared" si="3"/>
        <v xml:space="preserve">  </v>
      </c>
      <c r="D16" s="81" t="str">
        <f t="shared" si="4"/>
        <v xml:space="preserve"> </v>
      </c>
      <c r="E16" s="77" t="str">
        <f t="shared" si="5"/>
        <v xml:space="preserve"> </v>
      </c>
      <c r="G16" s="91" t="str">
        <f>G6</f>
        <v>2nd_UWL</v>
      </c>
      <c r="H16" s="91" t="str">
        <f>H6</f>
        <v>#NA</v>
      </c>
      <c r="I16" s="82" t="e">
        <f>IF(H16-H15=H15-H14,H16,"#NA")</f>
        <v>#VALUE!</v>
      </c>
      <c r="J16" s="83" t="e">
        <f>VLOOKUP(I16,STN_TABLE,2,FALSE)</f>
        <v>#VALUE!</v>
      </c>
      <c r="K16" s="83">
        <v>-1</v>
      </c>
      <c r="L16" s="83" t="e">
        <f>J16*K16</f>
        <v>#VALUE!</v>
      </c>
      <c r="M16" s="83">
        <v>-1</v>
      </c>
      <c r="N16" s="83" t="e">
        <f>J16*M16</f>
        <v>#VALUE!</v>
      </c>
      <c r="O16" t="str">
        <f>CONCATENATE("M(",I15,")=")</f>
        <v>M(#NA)=</v>
      </c>
      <c r="P16" t="e">
        <f>(2*(P14^2)/24*N17)+P15*I14*WLS</f>
        <v>#N/A</v>
      </c>
      <c r="Q16" s="66" t="str">
        <f t="shared" si="7"/>
        <v>3rd_UWL</v>
      </c>
      <c r="R16" s="67" t="str">
        <f t="shared" si="7"/>
        <v>#NA</v>
      </c>
      <c r="V16" s="89" t="e">
        <f>SUM(V13:V15)</f>
        <v>#VALUE!</v>
      </c>
      <c r="X16" s="89" t="e">
        <f>SUM(X13:X15)</f>
        <v>#VALUE!</v>
      </c>
      <c r="Y16" s="84" t="str">
        <f>CONCATENATE("m'(",S15,")=")</f>
        <v>m'(#NA)=</v>
      </c>
      <c r="Z16" s="84" t="e">
        <f>2*(Z13*WLS)/3*X16</f>
        <v>#VALUE!</v>
      </c>
      <c r="AA16" s="84" t="e">
        <f>CONCATENATE("M(",S13,")=")</f>
        <v>#VALUE!</v>
      </c>
      <c r="AB16" s="84" t="e">
        <f>IF(S13=RisePerWLS,0,VLOOKUP(S13,STN_TABLE,4,FALSE))</f>
        <v>#VALUE!</v>
      </c>
      <c r="AC16" t="str">
        <f>CONCATENATE("M(",S15,")=")</f>
        <v>M(#NA)=</v>
      </c>
      <c r="AD16" t="e">
        <f>Z16+AB16</f>
        <v>#VALUE!</v>
      </c>
      <c r="AE16" s="80"/>
      <c r="AJ16" s="89" t="e">
        <f>SUM(AJ14:AJ15)</f>
        <v>#N/A</v>
      </c>
      <c r="AL16" s="89" t="e">
        <f>SUM(AL14:AL15)</f>
        <v>#N/A</v>
      </c>
      <c r="AM16" s="84" t="str">
        <f>CONCATENATE("m'(",AI15,")=")</f>
        <v>m'(#NA)=</v>
      </c>
      <c r="AN16" s="84" t="e">
        <f>(2*(AN13^2)/6*AL16)+(AN15*AI14*WLS)</f>
        <v>#VALUE!</v>
      </c>
      <c r="AO16" s="84" t="str">
        <f>CONCATENATE("M(",AI14,")=")</f>
        <v>M(#NA)=</v>
      </c>
      <c r="AP16" s="84" t="e">
        <f>IF(AI14=RisePerWLS,0,VLOOKUP(AI14,STN_TABLE,4,FALSE))</f>
        <v>#VALUE!</v>
      </c>
      <c r="AQ16" t="str">
        <f>CONCATENATE("M(",AI15,")=")</f>
        <v>M(#NA)=</v>
      </c>
      <c r="AR16" t="e">
        <f>AN16+AP16</f>
        <v>#VALUE!</v>
      </c>
    </row>
    <row r="17" spans="1:35" x14ac:dyDescent="0.25">
      <c r="A17">
        <v>14</v>
      </c>
      <c r="B17" s="80" t="str">
        <f t="shared" si="2"/>
        <v xml:space="preserve">  </v>
      </c>
      <c r="C17" s="81" t="str">
        <f t="shared" si="3"/>
        <v xml:space="preserve">  </v>
      </c>
      <c r="D17" s="81" t="str">
        <f t="shared" si="4"/>
        <v xml:space="preserve"> </v>
      </c>
      <c r="E17" s="77" t="str">
        <f t="shared" si="5"/>
        <v xml:space="preserve"> </v>
      </c>
      <c r="G17" s="91"/>
      <c r="H17" s="91"/>
      <c r="L17" s="89" t="e">
        <f>SUM(L14:L16)</f>
        <v>#N/A</v>
      </c>
      <c r="N17" s="89" t="e">
        <f>SUM(N14:N16)</f>
        <v>#N/A</v>
      </c>
      <c r="Q17" s="66"/>
      <c r="R17" s="67"/>
      <c r="AE17" s="90"/>
    </row>
    <row r="18" spans="1:35" x14ac:dyDescent="0.25">
      <c r="A18">
        <v>15</v>
      </c>
      <c r="B18" s="80" t="str">
        <f t="shared" si="2"/>
        <v xml:space="preserve">  </v>
      </c>
      <c r="C18" s="81" t="str">
        <f t="shared" si="3"/>
        <v xml:space="preserve">  </v>
      </c>
      <c r="D18" s="81" t="str">
        <f t="shared" si="4"/>
        <v xml:space="preserve"> </v>
      </c>
      <c r="E18" s="77" t="str">
        <f t="shared" si="5"/>
        <v xml:space="preserve"> </v>
      </c>
      <c r="G18" s="91"/>
      <c r="H18" s="91"/>
      <c r="K18" t="s">
        <v>103</v>
      </c>
      <c r="M18" t="str">
        <f>CONCATENATE("A(",I15,")=")</f>
        <v>A(#NA)=</v>
      </c>
      <c r="N18" t="e">
        <f>IF(OR(P15&lt;=0,P16&lt;=0),N22,P15)</f>
        <v>#N/A</v>
      </c>
      <c r="Q18" s="66"/>
      <c r="R18" s="67"/>
      <c r="AE18" s="80"/>
    </row>
    <row r="19" spans="1:35" x14ac:dyDescent="0.25">
      <c r="A19">
        <v>16</v>
      </c>
      <c r="B19" s="80" t="str">
        <f t="shared" si="2"/>
        <v xml:space="preserve">  </v>
      </c>
      <c r="C19" s="81" t="str">
        <f t="shared" si="3"/>
        <v xml:space="preserve">  </v>
      </c>
      <c r="D19" s="81" t="str">
        <f t="shared" si="4"/>
        <v xml:space="preserve"> </v>
      </c>
      <c r="E19" s="77" t="str">
        <f t="shared" si="5"/>
        <v xml:space="preserve"> </v>
      </c>
      <c r="G19" s="91"/>
      <c r="H19" s="91"/>
      <c r="M19" t="str">
        <f>CONCATENATE("M(",I15,")=")</f>
        <v>M(#NA)=</v>
      </c>
      <c r="N19" t="e">
        <f>IF(OR(P15&lt;=0,P16&lt;=0),N23,P16)</f>
        <v>#N/A</v>
      </c>
      <c r="Q19" s="66"/>
      <c r="R19" s="67"/>
      <c r="AE19" s="80"/>
    </row>
    <row r="20" spans="1:35" x14ac:dyDescent="0.25">
      <c r="A20">
        <v>17</v>
      </c>
      <c r="B20" s="80" t="str">
        <f t="shared" si="2"/>
        <v xml:space="preserve">  </v>
      </c>
      <c r="C20" s="81" t="str">
        <f t="shared" si="3"/>
        <v xml:space="preserve">  </v>
      </c>
      <c r="D20" s="81" t="str">
        <f t="shared" si="4"/>
        <v xml:space="preserve"> </v>
      </c>
      <c r="E20" s="77" t="str">
        <f t="shared" si="5"/>
        <v xml:space="preserve"> </v>
      </c>
      <c r="G20" s="91"/>
      <c r="H20" s="91"/>
      <c r="Q20" s="66"/>
      <c r="R20" s="67"/>
      <c r="S20" s="68" t="e">
        <f>IF(OR(R24-R23=R23-R22,R25-R23=R23-R22),R22,IF(OR(R24-R23=R23-R21,R25-R23=R23-R21),R21,"-"))</f>
        <v>#VALUE!</v>
      </c>
      <c r="T20" s="69" t="e">
        <f>IFERROR(VLOOKUP(S20,STN_TABLE,2,FALSE),IF(R20=RisePerWLS,0,"-"))</f>
        <v>#VALUE!</v>
      </c>
      <c r="U20" s="69">
        <v>5</v>
      </c>
      <c r="V20" s="69" t="e">
        <f>T20*U20</f>
        <v>#VALUE!</v>
      </c>
      <c r="W20" s="69">
        <v>3</v>
      </c>
      <c r="X20" s="69" t="e">
        <f>T20*W20</f>
        <v>#VALUE!</v>
      </c>
      <c r="Y20" s="6" t="s">
        <v>93</v>
      </c>
      <c r="Z20" s="70" t="e">
        <f>IF(AND(S22-S21=S21-S20,NOT(AND(S20=0,S21=0)),NOT(AND(S21=0,S22=0))),WLS*(S22-S21),"#NA")</f>
        <v>#VALUE!</v>
      </c>
      <c r="AE20" s="80"/>
    </row>
    <row r="21" spans="1:35" x14ac:dyDescent="0.25">
      <c r="A21">
        <v>18</v>
      </c>
      <c r="B21" s="80" t="str">
        <f t="shared" si="2"/>
        <v xml:space="preserve">  </v>
      </c>
      <c r="C21" s="81" t="str">
        <f t="shared" si="3"/>
        <v xml:space="preserve">  </v>
      </c>
      <c r="D21" s="81" t="str">
        <f t="shared" si="4"/>
        <v xml:space="preserve"> </v>
      </c>
      <c r="E21" s="77" t="str">
        <f t="shared" si="5"/>
        <v xml:space="preserve"> </v>
      </c>
      <c r="G21" s="91"/>
      <c r="H21" s="91" t="str">
        <f>G14</f>
        <v>Rise</v>
      </c>
      <c r="I21" s="79" t="e">
        <f>H14</f>
        <v>#VALUE!</v>
      </c>
      <c r="J21" s="68">
        <v>0</v>
      </c>
      <c r="K21" s="68">
        <v>1</v>
      </c>
      <c r="L21" s="69">
        <f>J21*K21</f>
        <v>0</v>
      </c>
      <c r="M21" t="s">
        <v>93</v>
      </c>
      <c r="N21" t="e">
        <f>(I22-I21)*WLS</f>
        <v>#VALUE!</v>
      </c>
      <c r="Q21" s="66" t="str">
        <f t="shared" ref="Q21:R25" si="8">G5</f>
        <v>1st_UWL</v>
      </c>
      <c r="R21" s="67" t="str">
        <f t="shared" si="8"/>
        <v>#NA</v>
      </c>
      <c r="S21" s="76" t="str">
        <f>R23</f>
        <v>#NA</v>
      </c>
      <c r="T21" s="77" t="e">
        <f>VLOOKUP(S21,STN_TABLE,2,FALSE)</f>
        <v>#N/A</v>
      </c>
      <c r="U21" s="77">
        <v>8</v>
      </c>
      <c r="V21" s="77" t="e">
        <f>T21*U21</f>
        <v>#N/A</v>
      </c>
      <c r="W21" s="77">
        <v>10</v>
      </c>
      <c r="X21" s="77" t="e">
        <f>T21*W21</f>
        <v>#N/A</v>
      </c>
      <c r="Y21" s="78" t="s">
        <v>97</v>
      </c>
      <c r="Z21" s="78"/>
      <c r="AA21" s="78" t="s">
        <v>98</v>
      </c>
      <c r="AB21" s="78"/>
      <c r="AC21" s="7" t="s">
        <v>99</v>
      </c>
      <c r="AD21" s="7"/>
      <c r="AE21" s="80"/>
    </row>
    <row r="22" spans="1:35" x14ac:dyDescent="0.25">
      <c r="A22">
        <v>19</v>
      </c>
      <c r="B22" s="80" t="str">
        <f t="shared" si="2"/>
        <v xml:space="preserve">  </v>
      </c>
      <c r="C22" s="81" t="str">
        <f t="shared" si="3"/>
        <v xml:space="preserve">  </v>
      </c>
      <c r="D22" s="81" t="str">
        <f t="shared" si="4"/>
        <v xml:space="preserve"> </v>
      </c>
      <c r="E22" s="77" t="str">
        <f t="shared" si="5"/>
        <v xml:space="preserve"> </v>
      </c>
      <c r="G22" s="91"/>
      <c r="H22" s="91" t="str">
        <f>G15</f>
        <v>1st_UWL</v>
      </c>
      <c r="I22" s="88" t="str">
        <f>H15</f>
        <v>#NA</v>
      </c>
      <c r="J22" s="82" t="e">
        <f>VLOOKUP(I22,STN_TABLE,2,FALSE)</f>
        <v>#N/A</v>
      </c>
      <c r="K22" s="82">
        <v>2</v>
      </c>
      <c r="L22" s="83" t="e">
        <f>J22*K22</f>
        <v>#N/A</v>
      </c>
      <c r="M22" t="str">
        <f>CONCATENATE("A(",I22,")=")</f>
        <v>A(#NA)=</v>
      </c>
      <c r="N22" t="e">
        <f>2*N21/2*J23</f>
        <v>#VALUE!</v>
      </c>
      <c r="Q22" s="66" t="str">
        <f t="shared" si="8"/>
        <v>2nd_UWL</v>
      </c>
      <c r="R22" s="67" t="str">
        <f t="shared" si="8"/>
        <v>#NA</v>
      </c>
      <c r="S22" s="82" t="e">
        <f>IF(S20-S21=S21-R24,R24,IF(S20-S21=S21-R25,R25,"-"))</f>
        <v>#VALUE!</v>
      </c>
      <c r="T22" s="83" t="e">
        <f>VLOOKUP(S22,STN_TABLE,2,FALSE)</f>
        <v>#VALUE!</v>
      </c>
      <c r="U22" s="83">
        <v>-1</v>
      </c>
      <c r="V22" s="83" t="e">
        <f>T22*U22</f>
        <v>#VALUE!</v>
      </c>
      <c r="W22" s="83">
        <v>-1</v>
      </c>
      <c r="X22" s="83" t="e">
        <f>T22*W22</f>
        <v>#VALUE!</v>
      </c>
      <c r="Y22" s="84" t="str">
        <f>CONCATENATE("a'(",S21,")=")</f>
        <v>a'(#NA)=</v>
      </c>
      <c r="Z22" s="84" t="e">
        <f>2*Z20/12*V23</f>
        <v>#VALUE!</v>
      </c>
      <c r="AA22" s="84" t="e">
        <f>CONCATENATE("A(",S20,")=")</f>
        <v>#VALUE!</v>
      </c>
      <c r="AB22" s="84" t="e">
        <f>IF(S20=RisePerWLS,0,VLOOKUP(S20,STN_TABLE,3,FALSE))</f>
        <v>#VALUE!</v>
      </c>
      <c r="AC22" t="str">
        <f>CONCATENATE("A(",S21,")=")</f>
        <v>A(#NA)=</v>
      </c>
      <c r="AD22" t="e">
        <f>Z22+AB22</f>
        <v>#VALUE!</v>
      </c>
      <c r="AE22" s="80"/>
    </row>
    <row r="23" spans="1:35" x14ac:dyDescent="0.25">
      <c r="A23">
        <v>20</v>
      </c>
      <c r="B23" s="80" t="str">
        <f t="shared" si="2"/>
        <v xml:space="preserve">  </v>
      </c>
      <c r="C23" s="81" t="str">
        <f t="shared" si="3"/>
        <v xml:space="preserve">  </v>
      </c>
      <c r="D23" s="81" t="str">
        <f t="shared" si="4"/>
        <v xml:space="preserve"> </v>
      </c>
      <c r="E23" s="77" t="str">
        <f t="shared" si="5"/>
        <v xml:space="preserve"> </v>
      </c>
      <c r="J23" s="89" t="e">
        <f>SUM(J21:J22)</f>
        <v>#N/A</v>
      </c>
      <c r="L23" s="89" t="e">
        <f>SUM(L21:L22)</f>
        <v>#N/A</v>
      </c>
      <c r="M23" t="str">
        <f>CONCATENATE("M(",I22,")=")</f>
        <v>M(#NA)=</v>
      </c>
      <c r="N23" t="e">
        <f>(2*(N21^2)/6*L23)+N22*I21*WLS</f>
        <v>#VALUE!</v>
      </c>
      <c r="Q23" s="66" t="str">
        <f t="shared" si="8"/>
        <v>3rd_UWL</v>
      </c>
      <c r="R23" s="67" t="str">
        <f t="shared" si="8"/>
        <v>#NA</v>
      </c>
      <c r="V23" s="89" t="e">
        <f>SUM(V20:V22)</f>
        <v>#VALUE!</v>
      </c>
      <c r="X23" s="89" t="e">
        <f>SUM(X20:X22)</f>
        <v>#VALUE!</v>
      </c>
      <c r="Y23" s="84" t="str">
        <f>CONCATENATE("m'(",S21,")=")</f>
        <v>m'(#NA)=</v>
      </c>
      <c r="Z23" s="84" t="e">
        <f>(2*(Z20^2)/24*X23)+(Z22*S20*WLS)</f>
        <v>#VALUE!</v>
      </c>
      <c r="AA23" s="84" t="e">
        <f>CONCATENATE("M(",S20,")=")</f>
        <v>#VALUE!</v>
      </c>
      <c r="AB23" s="84" t="e">
        <f>IF(S20=RisePerWLS,0,VLOOKUP(S20,STN_TABLE,4,FALSE))</f>
        <v>#VALUE!</v>
      </c>
      <c r="AC23" t="str">
        <f>CONCATENATE("M(",S21,")=")</f>
        <v>M(#NA)=</v>
      </c>
      <c r="AD23" t="e">
        <f>Z23+AB23</f>
        <v>#VALUE!</v>
      </c>
      <c r="AE23" s="80"/>
    </row>
    <row r="24" spans="1:35" x14ac:dyDescent="0.25">
      <c r="A24">
        <v>21</v>
      </c>
      <c r="B24" s="80" t="str">
        <f t="shared" si="2"/>
        <v xml:space="preserve">  </v>
      </c>
      <c r="C24" s="81" t="str">
        <f t="shared" si="3"/>
        <v xml:space="preserve">  </v>
      </c>
      <c r="D24" s="81" t="str">
        <f t="shared" si="4"/>
        <v xml:space="preserve"> </v>
      </c>
      <c r="E24" s="77" t="str">
        <f t="shared" si="5"/>
        <v xml:space="preserve"> </v>
      </c>
      <c r="Q24" s="66" t="str">
        <f t="shared" si="8"/>
        <v>4th_UWL</v>
      </c>
      <c r="R24" s="67" t="str">
        <f t="shared" si="8"/>
        <v>#NA</v>
      </c>
      <c r="U24" t="s">
        <v>103</v>
      </c>
      <c r="W24" t="str">
        <f>CONCATENATE("A(",S21,")=")</f>
        <v>A(#NA)=</v>
      </c>
      <c r="X24" t="e">
        <f>IF(OR(AD22&lt;=0,AD23&lt;=0),AD27,AD22)</f>
        <v>#VALUE!</v>
      </c>
      <c r="AE24" s="80"/>
    </row>
    <row r="25" spans="1:35" x14ac:dyDescent="0.25">
      <c r="A25">
        <v>22</v>
      </c>
      <c r="B25" s="80" t="str">
        <f t="shared" si="2"/>
        <v xml:space="preserve">  </v>
      </c>
      <c r="C25" s="81" t="str">
        <f t="shared" si="3"/>
        <v xml:space="preserve">  </v>
      </c>
      <c r="D25" s="81" t="str">
        <f t="shared" si="4"/>
        <v xml:space="preserve"> </v>
      </c>
      <c r="E25" s="77" t="str">
        <f t="shared" si="5"/>
        <v xml:space="preserve"> </v>
      </c>
      <c r="G25" s="71" t="s">
        <v>111</v>
      </c>
      <c r="Q25" s="66" t="str">
        <f t="shared" si="8"/>
        <v>5th_UWL</v>
      </c>
      <c r="R25" s="67" t="str">
        <f t="shared" si="8"/>
        <v>#NA</v>
      </c>
      <c r="W25" t="str">
        <f>CONCATENATE("M(",S21,")=")</f>
        <v>M(#NA)=</v>
      </c>
      <c r="X25" t="e">
        <f>IF(OR(AD22&lt;=0,AD23&lt;=0),AD28,AD23)</f>
        <v>#VALUE!</v>
      </c>
      <c r="Y25" s="6" t="s">
        <v>93</v>
      </c>
      <c r="Z25" s="70" t="e">
        <f>WLS*(U27-U26)</f>
        <v>#VALUE!</v>
      </c>
      <c r="AE25" s="80"/>
    </row>
    <row r="26" spans="1:35" x14ac:dyDescent="0.25">
      <c r="A26">
        <v>23</v>
      </c>
      <c r="B26" s="80" t="str">
        <f t="shared" si="2"/>
        <v xml:space="preserve">  </v>
      </c>
      <c r="C26" s="81" t="str">
        <f t="shared" si="3"/>
        <v xml:space="preserve">  </v>
      </c>
      <c r="D26" s="81" t="str">
        <f t="shared" si="4"/>
        <v xml:space="preserve"> </v>
      </c>
      <c r="E26" s="77" t="str">
        <f t="shared" si="5"/>
        <v xml:space="preserve"> </v>
      </c>
      <c r="G26" s="91" t="str">
        <f t="shared" ref="G26:H28" si="9">G4</f>
        <v>Rise</v>
      </c>
      <c r="H26" s="91" t="e">
        <f t="shared" si="9"/>
        <v>#VALUE!</v>
      </c>
      <c r="I26" s="68" t="e">
        <f>H26</f>
        <v>#VALUE!</v>
      </c>
      <c r="J26" s="69">
        <v>0</v>
      </c>
      <c r="K26" s="69">
        <v>1</v>
      </c>
      <c r="L26" s="69">
        <f>J26*K26</f>
        <v>0</v>
      </c>
      <c r="M26" s="69" t="e">
        <f>I26</f>
        <v>#VALUE!</v>
      </c>
      <c r="N26" s="69" t="e">
        <f>L26*M26</f>
        <v>#VALUE!</v>
      </c>
      <c r="O26" t="s">
        <v>93</v>
      </c>
      <c r="P26" t="e">
        <f>IF(OR(J26=0,J27=0,J28=0),"#NA",IF(I28-I27=I27-I26,WLS*(I27-I26),"#NA"))</f>
        <v>#VALUE!</v>
      </c>
      <c r="Q26" s="66"/>
      <c r="R26" s="67"/>
      <c r="U26" s="79" t="str">
        <f>R22</f>
        <v>#NA</v>
      </c>
      <c r="V26" s="68" t="e">
        <f>VLOOKUP(U26,STN_TABLE,2,FALSE)</f>
        <v>#N/A</v>
      </c>
      <c r="W26" s="68">
        <v>1</v>
      </c>
      <c r="X26" s="69" t="e">
        <f>V26*W26</f>
        <v>#N/A</v>
      </c>
      <c r="Y26" s="78" t="s">
        <v>97</v>
      </c>
      <c r="Z26" s="78"/>
      <c r="AA26" s="78" t="s">
        <v>98</v>
      </c>
      <c r="AB26" s="78"/>
      <c r="AC26" s="7" t="s">
        <v>99</v>
      </c>
      <c r="AD26" s="7"/>
      <c r="AE26" s="80"/>
    </row>
    <row r="27" spans="1:35" x14ac:dyDescent="0.25">
      <c r="A27">
        <v>24</v>
      </c>
      <c r="B27" s="80" t="str">
        <f t="shared" si="2"/>
        <v xml:space="preserve">  </v>
      </c>
      <c r="C27" s="81" t="str">
        <f t="shared" si="3"/>
        <v xml:space="preserve">  </v>
      </c>
      <c r="D27" s="81" t="str">
        <f t="shared" si="4"/>
        <v xml:space="preserve"> </v>
      </c>
      <c r="E27" s="77" t="str">
        <f t="shared" si="5"/>
        <v xml:space="preserve"> </v>
      </c>
      <c r="G27" s="91" t="str">
        <f t="shared" si="9"/>
        <v>1st_UWL</v>
      </c>
      <c r="H27" s="91" t="str">
        <f t="shared" si="9"/>
        <v>#NA</v>
      </c>
      <c r="I27" s="76" t="e">
        <f>IF(H28-H27=H27-H26,H28,"#NA")</f>
        <v>#VALUE!</v>
      </c>
      <c r="J27" s="77" t="e">
        <f>VLOOKUP(I27,STN_TABLE,2,FALSE)</f>
        <v>#VALUE!</v>
      </c>
      <c r="K27" s="77">
        <v>4</v>
      </c>
      <c r="L27" s="77" t="e">
        <f>J27*K27</f>
        <v>#VALUE!</v>
      </c>
      <c r="M27" s="77" t="e">
        <f>I27</f>
        <v>#VALUE!</v>
      </c>
      <c r="N27" s="77" t="e">
        <f>L27*M27</f>
        <v>#VALUE!</v>
      </c>
      <c r="O27" t="e">
        <f>CONCATENATE("A(",I28,")=")</f>
        <v>#VALUE!</v>
      </c>
      <c r="P27" t="e">
        <f>2*P26/3*L29</f>
        <v>#VALUE!</v>
      </c>
      <c r="Q27" s="80"/>
      <c r="R27" s="81"/>
      <c r="U27" s="88" t="str">
        <f>R23</f>
        <v>#NA</v>
      </c>
      <c r="V27" s="82" t="e">
        <f>VLOOKUP(U27,STN_TABLE,2,FALSE)</f>
        <v>#N/A</v>
      </c>
      <c r="W27" s="82">
        <v>2</v>
      </c>
      <c r="X27" s="83" t="e">
        <f>V27*W27</f>
        <v>#N/A</v>
      </c>
      <c r="Y27" s="84" t="str">
        <f>CONCATENATE("a'(",U27,")=")</f>
        <v>a'(#NA)=</v>
      </c>
      <c r="Z27" s="84" t="e">
        <f>2*Z25/2*V28</f>
        <v>#VALUE!</v>
      </c>
      <c r="AA27" s="84" t="str">
        <f>CONCATENATE("A(",U26,")=")</f>
        <v>A(#NA)=</v>
      </c>
      <c r="AB27" s="84" t="e">
        <f>IF(U26=RisePerWLS,0,VLOOKUP(U26,STN_TABLE,3,FALSE))</f>
        <v>#VALUE!</v>
      </c>
      <c r="AC27" t="str">
        <f>CONCATENATE("A(",U27,")=")</f>
        <v>A(#NA)=</v>
      </c>
      <c r="AD27" t="e">
        <f>Z27+AB27</f>
        <v>#VALUE!</v>
      </c>
      <c r="AE27" s="80"/>
    </row>
    <row r="28" spans="1:35" x14ac:dyDescent="0.25">
      <c r="A28">
        <v>25</v>
      </c>
      <c r="B28" s="88" t="str">
        <f t="shared" si="2"/>
        <v xml:space="preserve">  </v>
      </c>
      <c r="C28" s="92" t="str">
        <f t="shared" si="3"/>
        <v xml:space="preserve">  </v>
      </c>
      <c r="D28" s="81" t="str">
        <f t="shared" si="4"/>
        <v xml:space="preserve"> </v>
      </c>
      <c r="E28" s="77" t="str">
        <f t="shared" si="5"/>
        <v xml:space="preserve"> </v>
      </c>
      <c r="G28" s="91" t="str">
        <f t="shared" si="9"/>
        <v>2nd_UWL</v>
      </c>
      <c r="H28" s="91" t="str">
        <f t="shared" si="9"/>
        <v>#NA</v>
      </c>
      <c r="I28" s="82" t="e">
        <f>IF(H28-H27=H27-H26,H28,"#NA")</f>
        <v>#VALUE!</v>
      </c>
      <c r="J28" s="83" t="e">
        <f>VLOOKUP(I28,STN_TABLE,2,FALSE)</f>
        <v>#VALUE!</v>
      </c>
      <c r="K28" s="83">
        <v>1</v>
      </c>
      <c r="L28" s="83" t="e">
        <f>J28*K28</f>
        <v>#VALUE!</v>
      </c>
      <c r="M28" s="83" t="e">
        <f>I28</f>
        <v>#VALUE!</v>
      </c>
      <c r="N28" s="83" t="e">
        <f>L28*M28</f>
        <v>#VALUE!</v>
      </c>
      <c r="O28" t="e">
        <f>CONCATENATE("M(",I28,")=")</f>
        <v>#VALUE!</v>
      </c>
      <c r="P28" t="e">
        <f>2*(P26*WLS)/3*N29</f>
        <v>#VALUE!</v>
      </c>
      <c r="Q28" s="80"/>
      <c r="R28" s="81"/>
      <c r="V28" s="89" t="e">
        <f>SUM(V26:V27)</f>
        <v>#N/A</v>
      </c>
      <c r="X28" s="89" t="e">
        <f>SUM(X26:X27)</f>
        <v>#N/A</v>
      </c>
      <c r="Y28" s="84" t="str">
        <f>CONCATENATE("m'(",U27,")=")</f>
        <v>m'(#NA)=</v>
      </c>
      <c r="Z28" s="84" t="e">
        <f>(2*(Z25^2)/6*X28)+(Z27*U26*WLS)</f>
        <v>#VALUE!</v>
      </c>
      <c r="AA28" s="84" t="str">
        <f>CONCATENATE("M(",U26,")=")</f>
        <v>M(#NA)=</v>
      </c>
      <c r="AB28" s="84" t="e">
        <f>IF(U26=RisePerWLS,0,VLOOKUP(U26,STN_TABLE,4,FALSE))</f>
        <v>#VALUE!</v>
      </c>
      <c r="AC28" t="str">
        <f>CONCATENATE("M(",U27,")=")</f>
        <v>M(#NA)=</v>
      </c>
      <c r="AD28" t="e">
        <f>Z28+AB28</f>
        <v>#VALUE!</v>
      </c>
      <c r="AE28" s="80"/>
    </row>
    <row r="29" spans="1:35" x14ac:dyDescent="0.25">
      <c r="G29" s="91"/>
      <c r="H29" s="91"/>
      <c r="L29" s="89" t="e">
        <f>SUM(L26:L28)</f>
        <v>#VALUE!</v>
      </c>
      <c r="N29" s="89" t="e">
        <f>SUM(N26:N28)</f>
        <v>#VALUE!</v>
      </c>
      <c r="Q29" s="80"/>
      <c r="R29" s="81"/>
      <c r="AE29" s="80"/>
    </row>
    <row r="30" spans="1:35" x14ac:dyDescent="0.25">
      <c r="G30" s="91"/>
      <c r="H30" s="91"/>
    </row>
    <row r="31" spans="1:35" x14ac:dyDescent="0.25">
      <c r="G31" s="91"/>
      <c r="H31" s="91"/>
    </row>
    <row r="32" spans="1:35" x14ac:dyDescent="0.25">
      <c r="G32" s="91"/>
      <c r="H32" s="91"/>
      <c r="Q32" s="68">
        <f>B4</f>
        <v>0</v>
      </c>
      <c r="R32" s="69">
        <f>VLOOKUP(Q32,STN_TABLE,2,FALSE)</f>
        <v>0.3</v>
      </c>
      <c r="S32" s="69">
        <v>5</v>
      </c>
      <c r="T32" s="68">
        <f>R32*S32</f>
        <v>1.5</v>
      </c>
      <c r="U32" s="79">
        <v>3</v>
      </c>
      <c r="V32" s="68">
        <f>R32*U32</f>
        <v>0.89999999999999991</v>
      </c>
      <c r="W32" t="s">
        <v>93</v>
      </c>
      <c r="X32" s="70">
        <f>IF(AND(Q34-Q33=Q33-Q32,NOT(AND(Q32=0,Q33=0)),NOT(AND(Q33=0,Q34=0))),WLS*(Q34-Q33),"#NA")</f>
        <v>0.5</v>
      </c>
      <c r="AD32" s="93"/>
      <c r="AH32" s="6" t="s">
        <v>93</v>
      </c>
      <c r="AI32" s="70">
        <f>WLS*(AD34-AD33)</f>
        <v>0.5</v>
      </c>
    </row>
    <row r="33" spans="1:47" x14ac:dyDescent="0.25">
      <c r="Q33" s="76">
        <f>B5</f>
        <v>0.25</v>
      </c>
      <c r="R33" s="77">
        <f>VLOOKUP(Q33,STN_TABLE,2,FALSE)</f>
        <v>0.5</v>
      </c>
      <c r="S33" s="77">
        <v>8</v>
      </c>
      <c r="T33" s="76">
        <f>R33*S33</f>
        <v>4</v>
      </c>
      <c r="U33" s="80">
        <v>10</v>
      </c>
      <c r="V33" s="76">
        <f>R33*U33</f>
        <v>5</v>
      </c>
      <c r="W33" s="495" t="s">
        <v>97</v>
      </c>
      <c r="X33" s="496"/>
      <c r="Y33" s="496" t="s">
        <v>98</v>
      </c>
      <c r="Z33" s="496"/>
      <c r="AA33" s="494" t="s">
        <v>99</v>
      </c>
      <c r="AB33" s="494"/>
      <c r="AC33" s="94">
        <v>1</v>
      </c>
      <c r="AD33" s="95">
        <f>VLOOKUP(AC33,STN_TABLE_2,2,FALSE)</f>
        <v>0</v>
      </c>
      <c r="AE33" s="68">
        <f>VLOOKUP(AD33,STN_TABLE,2,FALSE)</f>
        <v>0.3</v>
      </c>
      <c r="AF33" s="68">
        <v>1</v>
      </c>
      <c r="AG33" s="69">
        <f>AE33*AF33</f>
        <v>0.3</v>
      </c>
      <c r="AH33" s="496" t="s">
        <v>97</v>
      </c>
      <c r="AI33" s="496"/>
      <c r="AJ33" s="496" t="s">
        <v>98</v>
      </c>
      <c r="AK33" s="496"/>
      <c r="AL33" s="494" t="s">
        <v>99</v>
      </c>
      <c r="AM33" s="494"/>
      <c r="AP33" s="96" t="s">
        <v>112</v>
      </c>
      <c r="AQ33" s="89" t="s">
        <v>113</v>
      </c>
      <c r="AR33" s="89" t="s">
        <v>114</v>
      </c>
      <c r="AS33" s="89" t="s">
        <v>115</v>
      </c>
      <c r="AT33" s="97" t="s">
        <v>116</v>
      </c>
      <c r="AU33" s="98"/>
    </row>
    <row r="34" spans="1:47" x14ac:dyDescent="0.25">
      <c r="Q34" s="82">
        <f>B6</f>
        <v>0.5</v>
      </c>
      <c r="R34" s="83">
        <f>VLOOKUP(Q34,STN_TABLE,2,FALSE)</f>
        <v>0.68</v>
      </c>
      <c r="S34" s="83">
        <v>-1</v>
      </c>
      <c r="T34" s="82">
        <f>R34*S34</f>
        <v>-0.68</v>
      </c>
      <c r="U34" s="88">
        <v>-1</v>
      </c>
      <c r="V34" s="82">
        <f>R34*U34</f>
        <v>-0.68</v>
      </c>
      <c r="W34" s="84" t="str">
        <f>CONCATENATE("a'(",Q33,")=")</f>
        <v>a'(0.25)=</v>
      </c>
      <c r="X34" s="84">
        <f>2*X32/12*T35</f>
        <v>0.40166666666666667</v>
      </c>
      <c r="Y34" s="84" t="str">
        <f>CONCATENATE("A(",Q32,")=")</f>
        <v>A(0)=</v>
      </c>
      <c r="Z34" s="84">
        <f>VLOOKUP(Q32,STN_TABLE,3,FALSE)</f>
        <v>0</v>
      </c>
      <c r="AA34" t="str">
        <f>CONCATENATE("A(",Q33,")=")</f>
        <v>A(0.25)=</v>
      </c>
      <c r="AB34">
        <f>X34+Z34</f>
        <v>0.40166666666666667</v>
      </c>
      <c r="AC34" s="99">
        <f>AC33+1</f>
        <v>2</v>
      </c>
      <c r="AD34" s="100">
        <f>VLOOKUP(AC34,STN_TABLE_2,2,FALSE)</f>
        <v>0.25</v>
      </c>
      <c r="AE34" s="82">
        <f>VLOOKUP(AD34,STN_TABLE,2,FALSE)</f>
        <v>0.5</v>
      </c>
      <c r="AF34" s="82">
        <v>2</v>
      </c>
      <c r="AG34" s="83">
        <f>AE34*AF34</f>
        <v>1</v>
      </c>
      <c r="AH34" s="84" t="str">
        <f>CONCATENATE("a'(",AD34,")=")</f>
        <v>a'(0.25)=</v>
      </c>
      <c r="AI34" s="84">
        <f>2*AI32/2*AE35</f>
        <v>0.4</v>
      </c>
      <c r="AJ34" s="84" t="str">
        <f>CONCATENATE("A(",AD33,")=")</f>
        <v>A(0)=</v>
      </c>
      <c r="AK34" s="84">
        <f>VLOOKUP(AD33,STN_TABLE,3,FALSE)</f>
        <v>0</v>
      </c>
      <c r="AL34" t="str">
        <f>CONCATENATE("A(",AD34,")=")</f>
        <v>A(0.25)=</v>
      </c>
      <c r="AM34">
        <f>AI34+AK34</f>
        <v>0.4</v>
      </c>
      <c r="AO34" s="68" t="str">
        <f>AA34</f>
        <v>A(0.25)=</v>
      </c>
      <c r="AP34" s="79" t="e">
        <f>VLOOKUP(AO34,Rise_Results,2,FALSE)</f>
        <v>#N/A</v>
      </c>
      <c r="AQ34" s="76" t="s">
        <v>117</v>
      </c>
      <c r="AR34" s="76">
        <f>IF(OR(AB34&lt;=0,AB35&lt;=0),1/0,AB34)</f>
        <v>0.40166666666666667</v>
      </c>
      <c r="AS34" s="76">
        <f>AM34</f>
        <v>0.4</v>
      </c>
      <c r="AT34" s="80">
        <f>IFERROR(AP34,IFERROR(AR34,AS34))</f>
        <v>0.40166666666666667</v>
      </c>
    </row>
    <row r="35" spans="1:47" x14ac:dyDescent="0.25">
      <c r="A35" s="101"/>
      <c r="T35" s="89">
        <f>SUM(T32:T34)</f>
        <v>4.82</v>
      </c>
      <c r="V35" s="82">
        <f>SUM(V32:V34)</f>
        <v>5.2200000000000006</v>
      </c>
      <c r="W35" s="84" t="str">
        <f>CONCATENATE("m'(",Q33,")=")</f>
        <v>m'(0.25)=</v>
      </c>
      <c r="X35" s="84">
        <f>(2*(X32^2)/24*V35)</f>
        <v>0.10875000000000001</v>
      </c>
      <c r="Y35" s="84" t="str">
        <f>CONCATENATE("M(",Q32,")=")</f>
        <v>M(0)=</v>
      </c>
      <c r="Z35" s="84">
        <f>VLOOKUP(Q32,STN_TABLE,4,FALSE)</f>
        <v>0</v>
      </c>
      <c r="AA35" t="str">
        <f>CONCATENATE("M(",Q33,")=")</f>
        <v>M(0.25)=</v>
      </c>
      <c r="AB35">
        <f>X35+Z35</f>
        <v>0.10875000000000001</v>
      </c>
      <c r="AE35" s="89">
        <f>SUM(AE33:AE34)</f>
        <v>0.8</v>
      </c>
      <c r="AG35" s="89">
        <f>SUM(AG33:AG34)</f>
        <v>1.3</v>
      </c>
      <c r="AH35" s="84" t="str">
        <f>CONCATENATE("m'(",AD34,")=")</f>
        <v>m'(0.25)=</v>
      </c>
      <c r="AI35" s="84">
        <f>(2*(AI32^2)/6*AG35)+(AI34*AD33*WLS)</f>
        <v>0.10833333333333334</v>
      </c>
      <c r="AJ35" s="84" t="str">
        <f>CONCATENATE("M(",AD33,")=")</f>
        <v>M(0)=</v>
      </c>
      <c r="AK35" s="84">
        <f>VLOOKUP(AD33,STN_TABLE,4,FALSE)</f>
        <v>0</v>
      </c>
      <c r="AL35" t="str">
        <f>CONCATENATE("M(",AD34,")=")</f>
        <v>M(0.25)=</v>
      </c>
      <c r="AM35">
        <f>AI35+AK35</f>
        <v>0.10833333333333334</v>
      </c>
      <c r="AO35" s="82" t="str">
        <f>AA35</f>
        <v>M(0.25)=</v>
      </c>
      <c r="AP35" s="88" t="e">
        <f>VLOOKUP(AO35,Rise_Results,2,FALSE)</f>
        <v>#N/A</v>
      </c>
      <c r="AQ35" s="82" t="s">
        <v>117</v>
      </c>
      <c r="AR35" s="82">
        <f>IF(OR(AB34&lt;=0,AB35&lt;=0),1/0,AB35)</f>
        <v>0.10875000000000001</v>
      </c>
      <c r="AS35" s="82">
        <f>AM35</f>
        <v>0.10833333333333334</v>
      </c>
      <c r="AT35" s="80">
        <f>IFERROR(AP35,IFERROR(AR35,AS35))</f>
        <v>0.10875000000000001</v>
      </c>
    </row>
    <row r="36" spans="1:47" x14ac:dyDescent="0.25">
      <c r="O36" s="94">
        <v>1</v>
      </c>
      <c r="P36" s="101">
        <f t="shared" ref="P36:P67" si="10">VLOOKUP(O36,STN_TABLE_2,2,FALSE)</f>
        <v>0</v>
      </c>
      <c r="AU36" s="81"/>
    </row>
    <row r="37" spans="1:47" x14ac:dyDescent="0.25">
      <c r="A37" s="94">
        <v>1</v>
      </c>
      <c r="B37" s="94">
        <f>VLOOKUP(A37,STN_TABLE_2,2,FALSE)</f>
        <v>0</v>
      </c>
      <c r="C37" s="79">
        <f>B37</f>
        <v>0</v>
      </c>
      <c r="D37" s="68">
        <f>VLOOKUP(C37,STN_TABLE,2,FALSE)</f>
        <v>0.3</v>
      </c>
      <c r="E37" s="102">
        <v>1</v>
      </c>
      <c r="F37" s="68">
        <f>D37*E37</f>
        <v>0.3</v>
      </c>
      <c r="G37" s="69">
        <f>C37</f>
        <v>0</v>
      </c>
      <c r="H37" s="69">
        <f>F37*G37</f>
        <v>0</v>
      </c>
      <c r="I37" s="6" t="s">
        <v>93</v>
      </c>
      <c r="J37" s="70">
        <f>IF(OR(D37=0,D38=0,D39=0),"#NA",IF(AND(C39-C38=C38-C37,C38&lt;&gt;C39,C37&lt;&gt;C38,C37&lt;&gt;C39,D39&lt;&gt;0,OR(D37&lt;&gt;0,D38&lt;&gt;0)),WLS*(C39-C38),"#NA"))</f>
        <v>0.5</v>
      </c>
      <c r="O37" s="99">
        <f>O36+1</f>
        <v>2</v>
      </c>
      <c r="P37" s="99">
        <f t="shared" si="10"/>
        <v>0.25</v>
      </c>
      <c r="Q37" s="68">
        <f>IF(OR(P39-P38=P38-P37,P40-P38=P38-P37),P37,IF(OR(P39-P38=P38-P36,P40-P38=P38-P36),P36,"-"))</f>
        <v>0.25</v>
      </c>
      <c r="R37" s="69">
        <f>VLOOKUP(Q37,STN_TABLE,2,FALSE)</f>
        <v>0.5</v>
      </c>
      <c r="S37" s="69">
        <v>5</v>
      </c>
      <c r="T37" s="68">
        <f>R37*S37</f>
        <v>2.5</v>
      </c>
      <c r="U37" s="79">
        <v>3</v>
      </c>
      <c r="V37" s="68">
        <f>R37*U37</f>
        <v>1.5</v>
      </c>
      <c r="W37" s="6" t="s">
        <v>93</v>
      </c>
      <c r="X37" s="70">
        <f>IF(AND(Q39-Q38=Q38-Q37,NOT(AND(Q37=0,Q38=0)),NOT(AND(Q38=0,Q39=0))),WLS*(Q39-Q38),"#NA")</f>
        <v>0.5</v>
      </c>
      <c r="AD37" s="93"/>
      <c r="AH37" s="6" t="s">
        <v>93</v>
      </c>
      <c r="AI37" s="70">
        <f>WLS*(AD39-AD38)</f>
        <v>0.5</v>
      </c>
      <c r="AU37" s="81"/>
    </row>
    <row r="38" spans="1:47" x14ac:dyDescent="0.25">
      <c r="A38" s="94">
        <f>A37+1</f>
        <v>2</v>
      </c>
      <c r="B38" s="94">
        <f>VLOOKUP(A38,STN_TABLE_2,2,FALSE)</f>
        <v>0.25</v>
      </c>
      <c r="C38" s="80">
        <f>B38</f>
        <v>0.25</v>
      </c>
      <c r="D38" s="76">
        <f>VLOOKUP(C38,STN_TABLE,2,FALSE)</f>
        <v>0.5</v>
      </c>
      <c r="E38" s="81">
        <v>4</v>
      </c>
      <c r="F38" s="76">
        <f>D38*E38</f>
        <v>2</v>
      </c>
      <c r="G38" s="77">
        <f>C38</f>
        <v>0.25</v>
      </c>
      <c r="H38" s="77">
        <f>F38*G38</f>
        <v>0.5</v>
      </c>
      <c r="I38" s="496" t="s">
        <v>97</v>
      </c>
      <c r="J38" s="496"/>
      <c r="K38" s="78" t="s">
        <v>98</v>
      </c>
      <c r="L38" s="78"/>
      <c r="M38" s="7" t="s">
        <v>99</v>
      </c>
      <c r="N38" s="7"/>
      <c r="O38" s="99">
        <f>O37+1</f>
        <v>3</v>
      </c>
      <c r="P38" s="99">
        <f t="shared" si="10"/>
        <v>0.5</v>
      </c>
      <c r="Q38" s="76">
        <f>P38</f>
        <v>0.5</v>
      </c>
      <c r="R38" s="77">
        <f>VLOOKUP(Q38,STN_TABLE,2,FALSE)</f>
        <v>0.68</v>
      </c>
      <c r="S38" s="77">
        <v>8</v>
      </c>
      <c r="T38" s="76">
        <f>R38*S38</f>
        <v>5.44</v>
      </c>
      <c r="U38" s="80">
        <v>10</v>
      </c>
      <c r="V38" s="76">
        <f>R38*U38</f>
        <v>6.8000000000000007</v>
      </c>
      <c r="W38" s="496" t="s">
        <v>97</v>
      </c>
      <c r="X38" s="496"/>
      <c r="Y38" s="496" t="s">
        <v>98</v>
      </c>
      <c r="Z38" s="496"/>
      <c r="AA38" s="494" t="s">
        <v>99</v>
      </c>
      <c r="AB38" s="494"/>
      <c r="AC38" s="99">
        <f>AC33+1</f>
        <v>2</v>
      </c>
      <c r="AD38" s="95">
        <f>VLOOKUP(AC38,STN_TABLE_2,2,FALSE)</f>
        <v>0.25</v>
      </c>
      <c r="AE38" s="68">
        <f>VLOOKUP(AD38,STN_TABLE,2,FALSE)</f>
        <v>0.5</v>
      </c>
      <c r="AF38" s="68">
        <v>1</v>
      </c>
      <c r="AG38" s="69">
        <f>AE38*AF38</f>
        <v>0.5</v>
      </c>
      <c r="AH38" s="496" t="s">
        <v>97</v>
      </c>
      <c r="AI38" s="496"/>
      <c r="AJ38" s="496" t="s">
        <v>98</v>
      </c>
      <c r="AK38" s="496"/>
      <c r="AL38" s="494" t="s">
        <v>99</v>
      </c>
      <c r="AM38" s="494"/>
      <c r="AP38" s="86" t="s">
        <v>112</v>
      </c>
      <c r="AQ38" s="89" t="s">
        <v>113</v>
      </c>
      <c r="AR38" s="89" t="s">
        <v>114</v>
      </c>
      <c r="AS38" s="89" t="s">
        <v>115</v>
      </c>
    </row>
    <row r="39" spans="1:47" x14ac:dyDescent="0.25">
      <c r="A39" s="94">
        <f>A38+1</f>
        <v>3</v>
      </c>
      <c r="B39" s="94">
        <f>VLOOKUP(A39,STN_TABLE_2,2,FALSE)</f>
        <v>0.5</v>
      </c>
      <c r="C39" s="88">
        <f>B39</f>
        <v>0.5</v>
      </c>
      <c r="D39" s="82">
        <f>VLOOKUP(C39,STN_TABLE,2,FALSE)</f>
        <v>0.68</v>
      </c>
      <c r="E39" s="92">
        <v>1</v>
      </c>
      <c r="F39" s="82">
        <f>D39*E39</f>
        <v>0.68</v>
      </c>
      <c r="G39" s="83">
        <f>C39</f>
        <v>0.5</v>
      </c>
      <c r="H39" s="83">
        <f>F39*G39</f>
        <v>0.34</v>
      </c>
      <c r="I39" s="84" t="str">
        <f>CONCATENATE("a'(",C39,")=")</f>
        <v>a'(0.5)=</v>
      </c>
      <c r="J39" s="84">
        <f>2*J37/3*F40</f>
        <v>0.99333333333333329</v>
      </c>
      <c r="K39" s="84" t="str">
        <f>CONCATENATE("A(",C37,")=")</f>
        <v>A(0)=</v>
      </c>
      <c r="L39" s="84">
        <f>VLOOKUP(C37,STN_TABLE,3,FALSE)</f>
        <v>0</v>
      </c>
      <c r="M39" t="str">
        <f>CONCATENATE("A(",C39,")=")</f>
        <v>A(0.5)=</v>
      </c>
      <c r="N39">
        <f>J39+L39</f>
        <v>0.99333333333333329</v>
      </c>
      <c r="O39" s="99">
        <f>O38+1</f>
        <v>4</v>
      </c>
      <c r="P39" s="99">
        <f t="shared" si="10"/>
        <v>0.75</v>
      </c>
      <c r="Q39" s="82">
        <f>IF(P39-P38=P38-P37,P39,IF(P40-P38=P38-P37,P40,IF(P39-P38=P38-P36,P39,IF(P40-P38=P38-P36,P40,"-"))))</f>
        <v>0.75</v>
      </c>
      <c r="R39" s="83">
        <f>VLOOKUP(Q39,STN_TABLE,2,FALSE)</f>
        <v>0.83</v>
      </c>
      <c r="S39" s="83">
        <v>-1</v>
      </c>
      <c r="T39" s="82">
        <f>R39*S39</f>
        <v>-0.83</v>
      </c>
      <c r="U39" s="88">
        <v>-1</v>
      </c>
      <c r="V39" s="82">
        <f>R39*U39</f>
        <v>-0.83</v>
      </c>
      <c r="W39" s="84" t="str">
        <f>CONCATENATE("a'(",Q38,")=")</f>
        <v>a'(0.5)=</v>
      </c>
      <c r="X39" s="84">
        <f>2*X37/12*T40</f>
        <v>0.59250000000000003</v>
      </c>
      <c r="Y39" s="84" t="str">
        <f>CONCATENATE("A(",Q37,")=")</f>
        <v>A(0.25)=</v>
      </c>
      <c r="Z39" s="84">
        <f>VLOOKUP(Q37,STN_TABLE,3,FALSE)</f>
        <v>0.40166666666666667</v>
      </c>
      <c r="AA39" t="str">
        <f>CONCATENATE("A(",Q38,")=")</f>
        <v>A(0.5)=</v>
      </c>
      <c r="AB39">
        <f>X39+Z39</f>
        <v>0.99416666666666664</v>
      </c>
      <c r="AC39" s="99">
        <f>AC38+1</f>
        <v>3</v>
      </c>
      <c r="AD39" s="100">
        <f>VLOOKUP(AC39,STN_TABLE_2,2,FALSE)</f>
        <v>0.5</v>
      </c>
      <c r="AE39" s="82">
        <f>VLOOKUP(AD39,STN_TABLE,2,FALSE)</f>
        <v>0.68</v>
      </c>
      <c r="AF39" s="82">
        <v>2</v>
      </c>
      <c r="AG39" s="83">
        <f>AE39*AF39</f>
        <v>1.36</v>
      </c>
      <c r="AH39" s="84" t="str">
        <f>CONCATENATE("a'(",AD39,")=")</f>
        <v>a'(0.5)=</v>
      </c>
      <c r="AI39" s="84">
        <f>2*AI37/2*AE40</f>
        <v>0.59000000000000008</v>
      </c>
      <c r="AJ39" s="84" t="str">
        <f>CONCATENATE("A(",AD38,")=")</f>
        <v>A(0.25)=</v>
      </c>
      <c r="AK39" s="84">
        <f>VLOOKUP(AD38,STN_TABLE,3,FALSE)</f>
        <v>0.40166666666666667</v>
      </c>
      <c r="AL39" t="str">
        <f>CONCATENATE("A(",AD39,")=")</f>
        <v>A(0.5)=</v>
      </c>
      <c r="AM39">
        <f>AI39+AK39</f>
        <v>0.9916666666666667</v>
      </c>
      <c r="AO39" s="68" t="str">
        <f>AA39</f>
        <v>A(0.5)=</v>
      </c>
      <c r="AP39" s="68" t="e">
        <f>VLOOKUP(AO39,Rise_Results,2,FALSE)</f>
        <v>#N/A</v>
      </c>
      <c r="AQ39" s="76">
        <f>N39</f>
        <v>0.99333333333333329</v>
      </c>
      <c r="AR39" s="76">
        <f>IF(OR(AB39&lt;=0,AB40&lt;=0),1/0,AB39)</f>
        <v>0.99416666666666664</v>
      </c>
      <c r="AS39" s="76">
        <f>AM39</f>
        <v>0.9916666666666667</v>
      </c>
      <c r="AT39">
        <f>IFERROR(AP39,IFERROR(AQ39,IFERROR(AR39,AS39)))</f>
        <v>0.99333333333333329</v>
      </c>
    </row>
    <row r="40" spans="1:47" x14ac:dyDescent="0.25">
      <c r="A40">
        <v>4</v>
      </c>
      <c r="F40" s="82">
        <f>SUM(F37:F39)</f>
        <v>2.98</v>
      </c>
      <c r="H40" s="82">
        <f>SUM(H37:H39)</f>
        <v>0.84000000000000008</v>
      </c>
      <c r="I40" s="84" t="str">
        <f>CONCATENATE("m'(",C39,")=")</f>
        <v>m'(0.5)=</v>
      </c>
      <c r="J40" s="84">
        <f>2*(J37*(WLS))/3*H40</f>
        <v>0.56000000000000005</v>
      </c>
      <c r="K40" s="84" t="str">
        <f>CONCATENATE("M(",C37,")=")</f>
        <v>M(0)=</v>
      </c>
      <c r="L40" s="84">
        <f>VLOOKUP(C37,STN_TABLE,4,FALSE)</f>
        <v>0</v>
      </c>
      <c r="M40" t="str">
        <f>CONCATENATE("M(",C39,")=")</f>
        <v>M(0.5)=</v>
      </c>
      <c r="N40">
        <f>J40+L40</f>
        <v>0.56000000000000005</v>
      </c>
      <c r="O40" s="99">
        <f>O39+1</f>
        <v>5</v>
      </c>
      <c r="P40" s="99">
        <f t="shared" si="10"/>
        <v>1</v>
      </c>
      <c r="T40" s="89">
        <f>SUM(T37:T39)</f>
        <v>7.11</v>
      </c>
      <c r="V40" s="82">
        <f>SUM(V37:V39)</f>
        <v>7.4700000000000006</v>
      </c>
      <c r="W40" s="84" t="str">
        <f>CONCATENATE("m'(",Q38,")=")</f>
        <v>m'(0.5)=</v>
      </c>
      <c r="X40" s="84">
        <f>(2*(X37^2)/24*V40)+(X39*Q37*WLS)</f>
        <v>0.45187500000000003</v>
      </c>
      <c r="Y40" s="84" t="str">
        <f>CONCATENATE("M(",Q37,")=")</f>
        <v>M(0.25)=</v>
      </c>
      <c r="Z40" s="84">
        <f>VLOOKUP(Q37,STN_TABLE,4,FALSE)</f>
        <v>0.10875000000000001</v>
      </c>
      <c r="AA40" t="str">
        <f>CONCATENATE("M(",Q38,")=")</f>
        <v>M(0.5)=</v>
      </c>
      <c r="AB40">
        <f>X40+Z40</f>
        <v>0.56062500000000004</v>
      </c>
      <c r="AE40" s="89">
        <f>SUM(AE38:AE39)</f>
        <v>1.1800000000000002</v>
      </c>
      <c r="AG40" s="89">
        <f>SUM(AG38:AG39)</f>
        <v>1.86</v>
      </c>
      <c r="AH40" s="84" t="str">
        <f>CONCATENATE("m'(",AD39,")=")</f>
        <v>m'(0.5)=</v>
      </c>
      <c r="AI40" s="84">
        <f>(2*(AI37^2)/6*AG40)+(AI39*AD38*WLS)</f>
        <v>0.45000000000000007</v>
      </c>
      <c r="AJ40" s="84" t="str">
        <f>CONCATENATE("M(",AD38,")=")</f>
        <v>M(0.25)=</v>
      </c>
      <c r="AK40" s="84">
        <f>VLOOKUP(AD38,STN_TABLE,4,FALSE)</f>
        <v>0.10875000000000001</v>
      </c>
      <c r="AL40" t="str">
        <f>CONCATENATE("M(",AD39,")=")</f>
        <v>M(0.5)=</v>
      </c>
      <c r="AM40">
        <f>AI40+AK40</f>
        <v>0.55875000000000008</v>
      </c>
      <c r="AO40" s="82" t="str">
        <f>AA40</f>
        <v>M(0.5)=</v>
      </c>
      <c r="AP40" s="82" t="e">
        <f>VLOOKUP(AO40,Rise_Results,2,FALSE)</f>
        <v>#N/A</v>
      </c>
      <c r="AQ40" s="82">
        <f>N40</f>
        <v>0.56000000000000005</v>
      </c>
      <c r="AR40" s="82">
        <f>IF(OR(AB39&lt;=0,AB40&lt;=0),1/0,AB40)</f>
        <v>0.56062500000000004</v>
      </c>
      <c r="AS40" s="82">
        <f>AM40</f>
        <v>0.55875000000000008</v>
      </c>
      <c r="AT40">
        <f>IFERROR(AP40,IFERROR(AQ40,IFERROR(AR40,AS40)))</f>
        <v>0.56000000000000005</v>
      </c>
    </row>
    <row r="41" spans="1:47" x14ac:dyDescent="0.25">
      <c r="A41" s="94">
        <v>0</v>
      </c>
      <c r="O41" s="101">
        <f>O36+1</f>
        <v>2</v>
      </c>
      <c r="P41" s="101">
        <f t="shared" si="10"/>
        <v>0.25</v>
      </c>
    </row>
    <row r="42" spans="1:47" x14ac:dyDescent="0.25">
      <c r="A42" s="94">
        <f>A41+1</f>
        <v>1</v>
      </c>
      <c r="B42" s="94">
        <f t="shared" ref="B42:B73" si="11">VLOOKUP(A42,STN_TABLE_2,2,FALSE)</f>
        <v>0</v>
      </c>
      <c r="C42" s="79">
        <f>IF(C43=B43,B42,IF(C43=B44,IF(C44-C43=C43-B43,B43,IF(C44-C43=C43-B42,B42,"NA"))))</f>
        <v>0.25</v>
      </c>
      <c r="D42" s="68">
        <f>VLOOKUP(C42,STN_TABLE,2,FALSE)</f>
        <v>0.5</v>
      </c>
      <c r="E42" s="102">
        <v>1</v>
      </c>
      <c r="F42" s="68">
        <f>D42*E42</f>
        <v>0.5</v>
      </c>
      <c r="G42" s="69">
        <f>C42</f>
        <v>0.25</v>
      </c>
      <c r="H42" s="69">
        <f>F42*G42</f>
        <v>0.125</v>
      </c>
      <c r="I42" s="6" t="s">
        <v>93</v>
      </c>
      <c r="J42" s="70">
        <f>IF(OR(D42=0,D43=0,D44=0),"#NA",IF(AND(C44-C43=C43-C42,C43&lt;&gt;C44,C42&lt;&gt;C43,C42&lt;&gt;C44,D44&lt;&gt;0,OR(D42&lt;&gt;0,D43&lt;&gt;0)),WLS*(C44-C43),"#NA"))</f>
        <v>0.5</v>
      </c>
      <c r="O42" s="99">
        <f>O41+1</f>
        <v>3</v>
      </c>
      <c r="P42" s="99">
        <f t="shared" si="10"/>
        <v>0.5</v>
      </c>
      <c r="Q42" s="68">
        <f>IF(OR(P44-P43=P43-P42,P45-P43=P43-P42),P42,IF(OR(P44-P43=P43-P41,P45-P43=P43-P41),P41,"-"))</f>
        <v>0.5</v>
      </c>
      <c r="R42" s="69">
        <f>VLOOKUP(Q42,STN_TABLE,2,FALSE)</f>
        <v>0.68</v>
      </c>
      <c r="S42" s="69">
        <v>5</v>
      </c>
      <c r="T42" s="68">
        <f>R42*S42</f>
        <v>3.4000000000000004</v>
      </c>
      <c r="U42" s="79">
        <v>3</v>
      </c>
      <c r="V42" s="68">
        <f>R42*U42</f>
        <v>2.04</v>
      </c>
      <c r="W42" s="6" t="s">
        <v>93</v>
      </c>
      <c r="X42" s="70">
        <f>IF(AND(Q44-Q43=Q43-Q42,NOT(AND(Q42=0,Q43=0)),NOT(AND(Q43=0,Q44=0))),WLS*(Q44-Q43),"#NA")</f>
        <v>0.5</v>
      </c>
      <c r="AD42" s="93"/>
      <c r="AH42" s="6" t="s">
        <v>93</v>
      </c>
      <c r="AI42" s="70">
        <f>WLS*(AD44-AD43)</f>
        <v>0.5</v>
      </c>
      <c r="AU42" s="81"/>
    </row>
    <row r="43" spans="1:47" x14ac:dyDescent="0.25">
      <c r="A43" s="94">
        <f>A42+1</f>
        <v>2</v>
      </c>
      <c r="B43" s="94">
        <f t="shared" si="11"/>
        <v>0.25</v>
      </c>
      <c r="C43" s="80">
        <f>IF(OR(B45-B44=B44-B43,B45-B44=B44-B42,),B44,IF(B45-B43=B43-B42,B43,"#NA"))</f>
        <v>0.5</v>
      </c>
      <c r="D43" s="76">
        <f>VLOOKUP(C43,STN_TABLE,2,FALSE)</f>
        <v>0.68</v>
      </c>
      <c r="E43" s="81">
        <v>4</v>
      </c>
      <c r="F43" s="76">
        <f>D43*E43</f>
        <v>2.72</v>
      </c>
      <c r="G43" s="77">
        <f>C43</f>
        <v>0.5</v>
      </c>
      <c r="H43" s="77">
        <f>F43*G43</f>
        <v>1.36</v>
      </c>
      <c r="I43" s="496" t="s">
        <v>97</v>
      </c>
      <c r="J43" s="496"/>
      <c r="K43" s="78" t="s">
        <v>98</v>
      </c>
      <c r="L43" s="78"/>
      <c r="M43" s="7" t="s">
        <v>99</v>
      </c>
      <c r="N43" s="7"/>
      <c r="O43" s="99">
        <f>O42+1</f>
        <v>4</v>
      </c>
      <c r="P43" s="99">
        <f t="shared" si="10"/>
        <v>0.75</v>
      </c>
      <c r="Q43" s="76">
        <f>P43</f>
        <v>0.75</v>
      </c>
      <c r="R43" s="77">
        <f>VLOOKUP(Q43,STN_TABLE,2,FALSE)</f>
        <v>0.83</v>
      </c>
      <c r="S43" s="77">
        <v>8</v>
      </c>
      <c r="T43" s="76">
        <f>R43*S43</f>
        <v>6.64</v>
      </c>
      <c r="U43" s="80">
        <v>10</v>
      </c>
      <c r="V43" s="76">
        <f>R43*U43</f>
        <v>8.2999999999999989</v>
      </c>
      <c r="W43" s="496" t="s">
        <v>97</v>
      </c>
      <c r="X43" s="496"/>
      <c r="Y43" s="496" t="s">
        <v>98</v>
      </c>
      <c r="Z43" s="496"/>
      <c r="AA43" s="494" t="s">
        <v>99</v>
      </c>
      <c r="AB43" s="494"/>
      <c r="AC43" s="99">
        <f>AC38+1</f>
        <v>3</v>
      </c>
      <c r="AD43" s="95">
        <f>VLOOKUP(AC43,STN_TABLE_2,2,FALSE)</f>
        <v>0.5</v>
      </c>
      <c r="AE43" s="68">
        <f>VLOOKUP(AD43,STN_TABLE,2,FALSE)</f>
        <v>0.68</v>
      </c>
      <c r="AF43" s="68">
        <v>1</v>
      </c>
      <c r="AG43" s="69">
        <f>AE43*AF43</f>
        <v>0.68</v>
      </c>
      <c r="AH43" s="496" t="s">
        <v>97</v>
      </c>
      <c r="AI43" s="496"/>
      <c r="AJ43" s="496" t="s">
        <v>98</v>
      </c>
      <c r="AK43" s="496"/>
      <c r="AL43" s="494" t="s">
        <v>99</v>
      </c>
      <c r="AM43" s="494"/>
      <c r="AP43" s="86" t="s">
        <v>112</v>
      </c>
      <c r="AQ43" s="89" t="s">
        <v>113</v>
      </c>
      <c r="AR43" s="89" t="s">
        <v>114</v>
      </c>
      <c r="AS43" s="89" t="s">
        <v>115</v>
      </c>
      <c r="AU43" s="81"/>
    </row>
    <row r="44" spans="1:47" x14ac:dyDescent="0.25">
      <c r="A44" s="94">
        <f>A43+1</f>
        <v>3</v>
      </c>
      <c r="B44" s="94">
        <f t="shared" si="11"/>
        <v>0.5</v>
      </c>
      <c r="C44" s="88">
        <f>B45</f>
        <v>0.75</v>
      </c>
      <c r="D44" s="82">
        <f>VLOOKUP(C44,STN_TABLE,2,FALSE)</f>
        <v>0.83</v>
      </c>
      <c r="E44" s="92">
        <v>1</v>
      </c>
      <c r="F44" s="82">
        <f>D44*E44</f>
        <v>0.83</v>
      </c>
      <c r="G44" s="83">
        <f>C44</f>
        <v>0.75</v>
      </c>
      <c r="H44" s="83">
        <f>F44*G44</f>
        <v>0.62249999999999994</v>
      </c>
      <c r="I44" s="84" t="str">
        <f>CONCATENATE("a'(",C44,")=")</f>
        <v>a'(0.75)=</v>
      </c>
      <c r="J44" s="84">
        <f>2*J42/3*F45</f>
        <v>1.3499999999999999</v>
      </c>
      <c r="K44" s="84" t="str">
        <f>CONCATENATE("A(",C42,")=")</f>
        <v>A(0.25)=</v>
      </c>
      <c r="L44" s="84">
        <f>VLOOKUP(C42,STN_TABLE,3,FALSE)</f>
        <v>0.40166666666666667</v>
      </c>
      <c r="M44" t="str">
        <f>CONCATENATE("A(",C44,")=")</f>
        <v>A(0.75)=</v>
      </c>
      <c r="N44">
        <f>J44+L44</f>
        <v>1.7516666666666665</v>
      </c>
      <c r="O44" s="99">
        <f>O43+1</f>
        <v>5</v>
      </c>
      <c r="P44" s="99">
        <f t="shared" si="10"/>
        <v>1</v>
      </c>
      <c r="Q44" s="82">
        <f>IF(P44-P43=P43-P42,P44,IF(P45-P43=P43-P42,P45,IF(P44-P43=P43-P41,P44,IF(P45-P43=P43-P41,P45,"-"))))</f>
        <v>1</v>
      </c>
      <c r="R44" s="83">
        <f>VLOOKUP(Q44,STN_TABLE,2,FALSE)</f>
        <v>0.98</v>
      </c>
      <c r="S44" s="83">
        <v>-1</v>
      </c>
      <c r="T44" s="82">
        <f>R44*S44</f>
        <v>-0.98</v>
      </c>
      <c r="U44" s="88">
        <v>-1</v>
      </c>
      <c r="V44" s="82">
        <f>R44*U44</f>
        <v>-0.98</v>
      </c>
      <c r="W44" s="84" t="str">
        <f>CONCATENATE("a'(",Q43,")=")</f>
        <v>a'(0.75)=</v>
      </c>
      <c r="X44" s="84">
        <f>2*X42/12*T45</f>
        <v>0.75499999999999989</v>
      </c>
      <c r="Y44" s="84" t="str">
        <f>CONCATENATE("A(",Q42,")=")</f>
        <v>A(0.5)=</v>
      </c>
      <c r="Z44" s="84">
        <f>VLOOKUP(Q42,STN_TABLE,3,FALSE)</f>
        <v>0.99333333333333329</v>
      </c>
      <c r="AA44" t="str">
        <f>CONCATENATE("A(",Q43,")=")</f>
        <v>A(0.75)=</v>
      </c>
      <c r="AB44">
        <f>X44+Z44</f>
        <v>1.7483333333333331</v>
      </c>
      <c r="AC44" s="99">
        <f>AC43+1</f>
        <v>4</v>
      </c>
      <c r="AD44" s="100">
        <f>VLOOKUP(AC44,STN_TABLE_2,2,FALSE)</f>
        <v>0.75</v>
      </c>
      <c r="AE44" s="82">
        <f>VLOOKUP(AD44,STN_TABLE,2,FALSE)</f>
        <v>0.83</v>
      </c>
      <c r="AF44" s="82">
        <v>2</v>
      </c>
      <c r="AG44" s="83">
        <f>AE44*AF44</f>
        <v>1.66</v>
      </c>
      <c r="AH44" s="84" t="str">
        <f>CONCATENATE("a'(",AD44,")=")</f>
        <v>a'(0.75)=</v>
      </c>
      <c r="AI44" s="84">
        <f>2*AI42/2*AE45</f>
        <v>0.755</v>
      </c>
      <c r="AJ44" s="84" t="str">
        <f>CONCATENATE("A(",AD43,")=")</f>
        <v>A(0.5)=</v>
      </c>
      <c r="AK44" s="84">
        <f>VLOOKUP(AD43,STN_TABLE,3,FALSE)</f>
        <v>0.99333333333333329</v>
      </c>
      <c r="AL44" t="str">
        <f>CONCATENATE("A(",AD44,")=")</f>
        <v>A(0.75)=</v>
      </c>
      <c r="AM44">
        <f>AI44+AK44</f>
        <v>1.7483333333333333</v>
      </c>
      <c r="AO44" s="68" t="str">
        <f>AA44</f>
        <v>A(0.75)=</v>
      </c>
      <c r="AP44" s="68" t="e">
        <f>VLOOKUP(AO44,Rise_Results,2,FALSE)</f>
        <v>#N/A</v>
      </c>
      <c r="AQ44" s="76">
        <f>N44</f>
        <v>1.7516666666666665</v>
      </c>
      <c r="AR44" s="76">
        <f>IF(OR(AB44&lt;=0,AB45&lt;=0),1/0,AB44)</f>
        <v>1.7483333333333331</v>
      </c>
      <c r="AS44" s="76">
        <f>AM44</f>
        <v>1.7483333333333333</v>
      </c>
      <c r="AT44">
        <f>IFERROR(AP44,IFERROR(AQ44,IFERROR(AR44,AS44)))</f>
        <v>1.7516666666666665</v>
      </c>
      <c r="AU44" s="81"/>
    </row>
    <row r="45" spans="1:47" x14ac:dyDescent="0.25">
      <c r="A45" s="94">
        <f>A44+1</f>
        <v>4</v>
      </c>
      <c r="B45" s="94">
        <f t="shared" si="11"/>
        <v>0.75</v>
      </c>
      <c r="F45" s="82">
        <f>SUM(F42:F44)</f>
        <v>4.05</v>
      </c>
      <c r="H45" s="82">
        <f>SUM(H42:H44)</f>
        <v>2.1074999999999999</v>
      </c>
      <c r="I45" s="84" t="str">
        <f>CONCATENATE("m'(",C44,")=")</f>
        <v>m'(0.75)=</v>
      </c>
      <c r="J45" s="84">
        <f>2*(J42*(WLS))/3*H45</f>
        <v>1.4049999999999998</v>
      </c>
      <c r="K45" s="84" t="str">
        <f>CONCATENATE("M(",C42,")=")</f>
        <v>M(0.25)=</v>
      </c>
      <c r="L45" s="84">
        <f>VLOOKUP(C42,STN_TABLE,4,FALSE)</f>
        <v>0.10875000000000001</v>
      </c>
      <c r="M45" t="str">
        <f>CONCATENATE("M(",C44,")=")</f>
        <v>M(0.75)=</v>
      </c>
      <c r="N45">
        <f>J45+L45</f>
        <v>1.5137499999999999</v>
      </c>
      <c r="O45" s="99">
        <f>O44+1</f>
        <v>6</v>
      </c>
      <c r="P45" s="99">
        <f t="shared" si="10"/>
        <v>2</v>
      </c>
      <c r="T45" s="89">
        <f>SUM(T42:T44)</f>
        <v>9.0599999999999987</v>
      </c>
      <c r="V45" s="82">
        <f>SUM(V42:V44)</f>
        <v>9.36</v>
      </c>
      <c r="W45" s="84" t="str">
        <f>CONCATENATE("m'(",Q43,")=")</f>
        <v>m'(0.75)=</v>
      </c>
      <c r="X45" s="84">
        <f>(2*(X42^2)/24*V45)+(X44*Q42*WLS)</f>
        <v>0.94999999999999984</v>
      </c>
      <c r="Y45" s="84" t="str">
        <f>CONCATENATE("M(",Q42,")=")</f>
        <v>M(0.5)=</v>
      </c>
      <c r="Z45" s="84">
        <f>VLOOKUP(Q42,STN_TABLE,4,FALSE)</f>
        <v>0.56000000000000005</v>
      </c>
      <c r="AA45" t="str">
        <f>CONCATENATE("M(",Q43,")=")</f>
        <v>M(0.75)=</v>
      </c>
      <c r="AB45">
        <f>X45+Z45</f>
        <v>1.5099999999999998</v>
      </c>
      <c r="AE45" s="89">
        <f>SUM(AE43:AE44)</f>
        <v>1.51</v>
      </c>
      <c r="AG45" s="89">
        <f>SUM(AG43:AG44)</f>
        <v>2.34</v>
      </c>
      <c r="AH45" s="84" t="str">
        <f>CONCATENATE("m'(",AD44,")=")</f>
        <v>m'(0.75)=</v>
      </c>
      <c r="AI45" s="84">
        <f>(2*(AI42^2)/6*AG45)+(AI44*AD43*WLS)</f>
        <v>0.95</v>
      </c>
      <c r="AJ45" s="84" t="str">
        <f>CONCATENATE("M(",AD43,")=")</f>
        <v>M(0.5)=</v>
      </c>
      <c r="AK45" s="84">
        <f>VLOOKUP(AD43,STN_TABLE,4,FALSE)</f>
        <v>0.56000000000000005</v>
      </c>
      <c r="AL45" t="str">
        <f>CONCATENATE("M(",AD44,")=")</f>
        <v>M(0.75)=</v>
      </c>
      <c r="AM45">
        <f>AI45+AK45</f>
        <v>1.51</v>
      </c>
      <c r="AO45" s="82" t="str">
        <f>AA45</f>
        <v>M(0.75)=</v>
      </c>
      <c r="AP45" s="82" t="e">
        <f>VLOOKUP(AO45,Rise_Results,2,FALSE)</f>
        <v>#N/A</v>
      </c>
      <c r="AQ45" s="82">
        <f>N45</f>
        <v>1.5137499999999999</v>
      </c>
      <c r="AR45" s="82">
        <f>IF(OR(AB44&lt;=0,AB45&lt;=0),1/0,AB45)</f>
        <v>1.5099999999999998</v>
      </c>
      <c r="AS45" s="82">
        <f>AM45</f>
        <v>1.51</v>
      </c>
      <c r="AT45">
        <f>IFERROR(AP45,IFERROR(AQ45,IFERROR(AR45,AS45)))</f>
        <v>1.5137499999999999</v>
      </c>
      <c r="AU45" s="81"/>
    </row>
    <row r="46" spans="1:47" x14ac:dyDescent="0.25">
      <c r="A46" s="101">
        <f>A41+1</f>
        <v>1</v>
      </c>
      <c r="B46" s="101">
        <f t="shared" si="11"/>
        <v>0</v>
      </c>
      <c r="O46" s="101">
        <f>O41+1</f>
        <v>3</v>
      </c>
      <c r="P46" s="101">
        <f t="shared" si="10"/>
        <v>0.5</v>
      </c>
      <c r="AU46" s="81"/>
    </row>
    <row r="47" spans="1:47" x14ac:dyDescent="0.25">
      <c r="A47" s="84">
        <f>A46+1</f>
        <v>2</v>
      </c>
      <c r="B47" s="84">
        <f t="shared" si="11"/>
        <v>0.25</v>
      </c>
      <c r="C47" s="79">
        <f>IF(C48=B49,IF(C49-C48=C48-B48,B48,IF(C49-C48=C48-B47,B47,"#NA")),IF(C48=B48,IF(C49-C48=C48-B47,B47,IF(C49-C48=C48-B46,B46,"#NA")),"#NA"))</f>
        <v>0.5</v>
      </c>
      <c r="D47" s="68">
        <f>VLOOKUP(C47,STN_TABLE,2,FALSE)</f>
        <v>0.68</v>
      </c>
      <c r="E47" s="102">
        <v>1</v>
      </c>
      <c r="F47" s="68">
        <f>D47*E47</f>
        <v>0.68</v>
      </c>
      <c r="G47" s="69">
        <f>C47</f>
        <v>0.5</v>
      </c>
      <c r="H47" s="69">
        <f>F47*G47</f>
        <v>0.34</v>
      </c>
      <c r="I47" s="6" t="s">
        <v>93</v>
      </c>
      <c r="J47" s="70">
        <f>IF(OR(D47=0,D48=0,D49=0),"#NA",IF(AND(C49-C48=C48-C47,C48&lt;&gt;C49,C47&lt;&gt;C48,C47&lt;&gt;C49,D49&lt;&gt;0,OR(D47&lt;&gt;0,D48&lt;&gt;0)),WLS*(C49-C48),"#NA"))</f>
        <v>0.5</v>
      </c>
      <c r="O47" s="99">
        <f>O46+1</f>
        <v>4</v>
      </c>
      <c r="P47" s="99">
        <f t="shared" si="10"/>
        <v>0.75</v>
      </c>
      <c r="Q47" s="68" t="str">
        <f>IF(OR(P49-P48=P48-P47,P50-P48=P48-P47),P47,IF(OR(P49-P48=P48-P46,P50-P48=P48-P46),P46,"-"))</f>
        <v>-</v>
      </c>
      <c r="R47" s="69" t="e">
        <f>VLOOKUP(Q47,STN_TABLE,2,FALSE)</f>
        <v>#N/A</v>
      </c>
      <c r="S47" s="69">
        <v>5</v>
      </c>
      <c r="T47" s="68" t="e">
        <f>R47*S47</f>
        <v>#N/A</v>
      </c>
      <c r="U47" s="79">
        <v>3</v>
      </c>
      <c r="V47" s="68" t="e">
        <f>R47*U47</f>
        <v>#N/A</v>
      </c>
      <c r="W47" s="6" t="s">
        <v>93</v>
      </c>
      <c r="X47" s="70" t="e">
        <f>IF(AND(Q49-Q48=Q48-Q47,NOT(AND(Q47=0,Q48=0)),NOT(AND(Q48=0,Q49=0))),WLS*(Q49-Q48),"#NA")</f>
        <v>#VALUE!</v>
      </c>
      <c r="AD47" s="93"/>
      <c r="AH47" s="6" t="s">
        <v>93</v>
      </c>
      <c r="AI47" s="70">
        <f>WLS*(AD49-AD48)</f>
        <v>0.5</v>
      </c>
      <c r="AU47" s="81"/>
    </row>
    <row r="48" spans="1:47" x14ac:dyDescent="0.25">
      <c r="A48" s="84">
        <f>A47+1</f>
        <v>3</v>
      </c>
      <c r="B48" s="84">
        <f t="shared" si="11"/>
        <v>0.5</v>
      </c>
      <c r="C48" s="80">
        <f>IF(OR(B50-B49=B49-B48,B50-B49=B49-B47,B50-B49=B49-B46),B49,IF(OR(B50-B48=B48-B47,B50-B48=B48-B46),B48,IF(B50-B47=B47-B46,B47,"#NA")))</f>
        <v>0.75</v>
      </c>
      <c r="D48" s="76">
        <f>VLOOKUP(C48,STN_TABLE,2,FALSE)</f>
        <v>0.83</v>
      </c>
      <c r="E48" s="81">
        <v>4</v>
      </c>
      <c r="F48" s="76">
        <f>D48*E48</f>
        <v>3.32</v>
      </c>
      <c r="G48" s="77">
        <f>C48</f>
        <v>0.75</v>
      </c>
      <c r="H48" s="77">
        <f>F48*G48</f>
        <v>2.4899999999999998</v>
      </c>
      <c r="I48" s="496" t="s">
        <v>97</v>
      </c>
      <c r="J48" s="496"/>
      <c r="K48" s="78" t="s">
        <v>98</v>
      </c>
      <c r="L48" s="78"/>
      <c r="M48" s="7" t="s">
        <v>99</v>
      </c>
      <c r="N48" s="7"/>
      <c r="O48" s="99">
        <f>O47+1</f>
        <v>5</v>
      </c>
      <c r="P48" s="99">
        <f t="shared" si="10"/>
        <v>1</v>
      </c>
      <c r="Q48" s="76">
        <f>P48</f>
        <v>1</v>
      </c>
      <c r="R48" s="77">
        <f>VLOOKUP(Q48,STN_TABLE,2,FALSE)</f>
        <v>0.98</v>
      </c>
      <c r="S48" s="77">
        <v>8</v>
      </c>
      <c r="T48" s="76">
        <f>R48*S48</f>
        <v>7.84</v>
      </c>
      <c r="U48" s="80">
        <v>10</v>
      </c>
      <c r="V48" s="76">
        <f>R48*U48</f>
        <v>9.8000000000000007</v>
      </c>
      <c r="W48" s="496" t="s">
        <v>97</v>
      </c>
      <c r="X48" s="496"/>
      <c r="Y48" s="496" t="s">
        <v>98</v>
      </c>
      <c r="Z48" s="496"/>
      <c r="AA48" s="494" t="s">
        <v>99</v>
      </c>
      <c r="AB48" s="494"/>
      <c r="AC48" s="99">
        <f>AC43+1</f>
        <v>4</v>
      </c>
      <c r="AD48" s="95">
        <f>VLOOKUP(AC48,STN_TABLE_2,2,FALSE)</f>
        <v>0.75</v>
      </c>
      <c r="AE48" s="68">
        <f>VLOOKUP(AD48,STN_TABLE,2,FALSE)</f>
        <v>0.83</v>
      </c>
      <c r="AF48" s="68">
        <v>1</v>
      </c>
      <c r="AG48" s="69">
        <f>AE48*AF48</f>
        <v>0.83</v>
      </c>
      <c r="AH48" s="496" t="s">
        <v>97</v>
      </c>
      <c r="AI48" s="496"/>
      <c r="AJ48" s="496" t="s">
        <v>98</v>
      </c>
      <c r="AK48" s="496"/>
      <c r="AL48" s="494" t="s">
        <v>99</v>
      </c>
      <c r="AM48" s="494"/>
      <c r="AP48" s="86" t="s">
        <v>112</v>
      </c>
      <c r="AQ48" s="89" t="s">
        <v>113</v>
      </c>
      <c r="AR48" s="89" t="s">
        <v>114</v>
      </c>
      <c r="AS48" s="89" t="s">
        <v>115</v>
      </c>
      <c r="AU48" s="81"/>
    </row>
    <row r="49" spans="1:47" x14ac:dyDescent="0.25">
      <c r="A49" s="84">
        <f>A48+1</f>
        <v>4</v>
      </c>
      <c r="B49" s="84">
        <f t="shared" si="11"/>
        <v>0.75</v>
      </c>
      <c r="C49" s="88">
        <f>B50</f>
        <v>1</v>
      </c>
      <c r="D49" s="82">
        <f>VLOOKUP(C49,STN_TABLE,2,FALSE)</f>
        <v>0.98</v>
      </c>
      <c r="E49" s="92">
        <v>1</v>
      </c>
      <c r="F49" s="82">
        <f>D49*E49</f>
        <v>0.98</v>
      </c>
      <c r="G49" s="83">
        <f>C49</f>
        <v>1</v>
      </c>
      <c r="H49" s="83">
        <f>F49*G49</f>
        <v>0.98</v>
      </c>
      <c r="I49" s="84" t="str">
        <f>CONCATENATE("a'(",C49,")=")</f>
        <v>a'(1)=</v>
      </c>
      <c r="J49" s="84">
        <f>2*J47/3*F50</f>
        <v>1.6600000000000001</v>
      </c>
      <c r="K49" s="84" t="str">
        <f>CONCATENATE("A(",C47,")=")</f>
        <v>A(0.5)=</v>
      </c>
      <c r="L49" s="84">
        <f>VLOOKUP(C47,STN_TABLE,3,FALSE)</f>
        <v>0.99333333333333329</v>
      </c>
      <c r="M49" t="str">
        <f>CONCATENATE("A(",C49,")=")</f>
        <v>A(1)=</v>
      </c>
      <c r="N49">
        <f>J49+L49</f>
        <v>2.6533333333333333</v>
      </c>
      <c r="O49" s="99">
        <f>O48+1</f>
        <v>6</v>
      </c>
      <c r="P49" s="99">
        <f t="shared" si="10"/>
        <v>2</v>
      </c>
      <c r="Q49" s="82" t="str">
        <f>IF(P49-P48=P48-P47,P49,IF(P50-P48=P48-P47,P50,IF(P49-P48=P48-P46,P49,IF(P50-P48=P48-P46,P50,"-"))))</f>
        <v>-</v>
      </c>
      <c r="R49" s="83" t="e">
        <f>VLOOKUP(Q49,STN_TABLE,2,FALSE)</f>
        <v>#N/A</v>
      </c>
      <c r="S49" s="83">
        <v>-1</v>
      </c>
      <c r="T49" s="82" t="e">
        <f>R49*S49</f>
        <v>#N/A</v>
      </c>
      <c r="U49" s="88">
        <v>-1</v>
      </c>
      <c r="V49" s="82" t="e">
        <f>R49*U49</f>
        <v>#N/A</v>
      </c>
      <c r="W49" s="84" t="str">
        <f>CONCATENATE("a'(",Q48,")=")</f>
        <v>a'(1)=</v>
      </c>
      <c r="X49" s="84" t="e">
        <f>2*X47/12*T50</f>
        <v>#VALUE!</v>
      </c>
      <c r="Y49" s="84" t="str">
        <f>CONCATENATE("A(",Q47,")=")</f>
        <v>A(-)=</v>
      </c>
      <c r="Z49" s="84" t="e">
        <f>VLOOKUP(Q47,STN_TABLE,3,FALSE)</f>
        <v>#N/A</v>
      </c>
      <c r="AA49" t="str">
        <f>CONCATENATE("A(",Q48,")=")</f>
        <v>A(1)=</v>
      </c>
      <c r="AB49" t="e">
        <f>X49+Z49</f>
        <v>#VALUE!</v>
      </c>
      <c r="AC49" s="99">
        <f>AC48+1</f>
        <v>5</v>
      </c>
      <c r="AD49" s="100">
        <f>VLOOKUP(AC49,STN_TABLE_2,2,FALSE)</f>
        <v>1</v>
      </c>
      <c r="AE49" s="82">
        <f>VLOOKUP(AD49,STN_TABLE,2,FALSE)</f>
        <v>0.98</v>
      </c>
      <c r="AF49" s="82">
        <v>2</v>
      </c>
      <c r="AG49" s="83">
        <f>AE49*AF49</f>
        <v>1.96</v>
      </c>
      <c r="AH49" s="84" t="str">
        <f>CONCATENATE("a'(",AD49,")=")</f>
        <v>a'(1)=</v>
      </c>
      <c r="AI49" s="84">
        <f>2*AI47/2*AE50</f>
        <v>0.90500000000000003</v>
      </c>
      <c r="AJ49" s="84" t="str">
        <f>CONCATENATE("A(",AD48,")=")</f>
        <v>A(0.75)=</v>
      </c>
      <c r="AK49" s="84">
        <f>VLOOKUP(AD48,STN_TABLE,3,FALSE)</f>
        <v>1.7516666666666665</v>
      </c>
      <c r="AL49" t="str">
        <f>CONCATENATE("A(",AD49,")=")</f>
        <v>A(1)=</v>
      </c>
      <c r="AM49">
        <f>AI49+AK49</f>
        <v>2.6566666666666663</v>
      </c>
      <c r="AO49" s="68" t="str">
        <f>AA49</f>
        <v>A(1)=</v>
      </c>
      <c r="AP49" s="68" t="e">
        <f>VLOOKUP(AO49,Rise_Results,2,FALSE)</f>
        <v>#N/A</v>
      </c>
      <c r="AQ49" s="76">
        <f>N49</f>
        <v>2.6533333333333333</v>
      </c>
      <c r="AR49" s="76" t="e">
        <f>IF(OR(AB49&lt;=0,AB50&lt;=0),1/0,AB49)</f>
        <v>#VALUE!</v>
      </c>
      <c r="AS49" s="76">
        <f>AM49</f>
        <v>2.6566666666666663</v>
      </c>
      <c r="AT49">
        <f>IFERROR(AP49,IFERROR(AQ49,IFERROR(AR49,AS49)))</f>
        <v>2.6533333333333333</v>
      </c>
      <c r="AU49" s="81"/>
    </row>
    <row r="50" spans="1:47" x14ac:dyDescent="0.25">
      <c r="A50" s="84">
        <f>A49+1</f>
        <v>5</v>
      </c>
      <c r="B50" s="84">
        <f t="shared" si="11"/>
        <v>1</v>
      </c>
      <c r="F50" s="82">
        <f>SUM(F47:F49)</f>
        <v>4.9800000000000004</v>
      </c>
      <c r="H50" s="82">
        <f>SUM(H47:H49)</f>
        <v>3.8099999999999996</v>
      </c>
      <c r="I50" s="84" t="str">
        <f>CONCATENATE("m'(",C49,")=")</f>
        <v>m'(1)=</v>
      </c>
      <c r="J50" s="84">
        <f>2*(J47*(WLS))/3*H50</f>
        <v>2.5399999999999996</v>
      </c>
      <c r="K50" s="84" t="str">
        <f>CONCATENATE("M(",C47,")=")</f>
        <v>M(0.5)=</v>
      </c>
      <c r="L50" s="84">
        <f>VLOOKUP(C47,STN_TABLE,4,FALSE)</f>
        <v>0.56000000000000005</v>
      </c>
      <c r="M50" t="str">
        <f>CONCATENATE("M(",C49,")=")</f>
        <v>M(1)=</v>
      </c>
      <c r="N50">
        <f>J50+L50</f>
        <v>3.0999999999999996</v>
      </c>
      <c r="O50" s="99">
        <f>O49+1</f>
        <v>7</v>
      </c>
      <c r="P50" s="99">
        <f t="shared" si="10"/>
        <v>3</v>
      </c>
      <c r="T50" s="89" t="e">
        <f>SUM(T47:T49)</f>
        <v>#N/A</v>
      </c>
      <c r="V50" s="82" t="e">
        <f>SUM(V47:V49)</f>
        <v>#N/A</v>
      </c>
      <c r="W50" s="84" t="str">
        <f>CONCATENATE("m'(",Q48,")=")</f>
        <v>m'(1)=</v>
      </c>
      <c r="X50" s="84" t="e">
        <f>(2*(X47^2)/24*V50)+(X49*Q47*WLS)</f>
        <v>#VALUE!</v>
      </c>
      <c r="Y50" s="84" t="str">
        <f>CONCATENATE("M(",Q47,")=")</f>
        <v>M(-)=</v>
      </c>
      <c r="Z50" s="84" t="e">
        <f>VLOOKUP(Q47,STN_TABLE,4,FALSE)</f>
        <v>#N/A</v>
      </c>
      <c r="AA50" t="str">
        <f>CONCATENATE("M(",Q48,")=")</f>
        <v>M(1)=</v>
      </c>
      <c r="AB50" t="e">
        <f>X50+Z50</f>
        <v>#VALUE!</v>
      </c>
      <c r="AE50" s="89">
        <f>SUM(AE48:AE49)</f>
        <v>1.81</v>
      </c>
      <c r="AG50" s="89">
        <f>SUM(AG48:AG49)</f>
        <v>2.79</v>
      </c>
      <c r="AH50" s="84" t="str">
        <f>CONCATENATE("m'(",AD49,")=")</f>
        <v>m'(1)=</v>
      </c>
      <c r="AI50" s="84">
        <f>(2*(AI47^2)/6*AG50)+(AI49*AD48*WLS)</f>
        <v>1.5899999999999999</v>
      </c>
      <c r="AJ50" s="84" t="str">
        <f>CONCATENATE("M(",AD48,")=")</f>
        <v>M(0.75)=</v>
      </c>
      <c r="AK50" s="84">
        <f>VLOOKUP(AD48,STN_TABLE,4,FALSE)</f>
        <v>1.5137499999999999</v>
      </c>
      <c r="AL50" t="str">
        <f>CONCATENATE("M(",AD49,")=")</f>
        <v>M(1)=</v>
      </c>
      <c r="AM50">
        <f>AI50+AK50</f>
        <v>3.1037499999999998</v>
      </c>
      <c r="AO50" s="82" t="str">
        <f>AA50</f>
        <v>M(1)=</v>
      </c>
      <c r="AP50" s="82" t="e">
        <f>VLOOKUP(AO50,Rise_Results,2,FALSE)</f>
        <v>#N/A</v>
      </c>
      <c r="AQ50" s="82">
        <f>N50</f>
        <v>3.0999999999999996</v>
      </c>
      <c r="AR50" s="82" t="e">
        <f>IF(OR(AB49&lt;=0,AB50&lt;=0),1/0,AB50)</f>
        <v>#VALUE!</v>
      </c>
      <c r="AS50" s="82">
        <f>AM50</f>
        <v>3.1037499999999998</v>
      </c>
      <c r="AT50">
        <f>IFERROR(AP50,IFERROR(AQ50,IFERROR(AR50,AS50)))</f>
        <v>3.0999999999999996</v>
      </c>
      <c r="AU50" s="81"/>
    </row>
    <row r="51" spans="1:47" x14ac:dyDescent="0.25">
      <c r="A51" s="101">
        <f>A46+1</f>
        <v>2</v>
      </c>
      <c r="B51" s="101">
        <f t="shared" si="11"/>
        <v>0.25</v>
      </c>
      <c r="O51" s="101">
        <f>O46+1</f>
        <v>4</v>
      </c>
      <c r="P51" s="101">
        <f t="shared" si="10"/>
        <v>0.75</v>
      </c>
      <c r="AU51" s="81"/>
    </row>
    <row r="52" spans="1:47" x14ac:dyDescent="0.25">
      <c r="A52" s="84">
        <f>A51+1</f>
        <v>3</v>
      </c>
      <c r="B52" s="84">
        <f t="shared" si="11"/>
        <v>0.5</v>
      </c>
      <c r="C52" s="79" t="str">
        <f t="shared" ref="C52" si="12">IF(C53=B54,IF(C54-C53=C53-B53,B53,IF(C54-C53=C53-B52,B52,"#NA")),IF(C53=B53,IF(C54-C53=C53-B52,B52,IF(C54-C53=C53-B51,B51,"#NA")),"#NA"))</f>
        <v>#NA</v>
      </c>
      <c r="D52" s="68" t="e">
        <f>VLOOKUP(C52,STN_TABLE,2,FALSE)</f>
        <v>#N/A</v>
      </c>
      <c r="E52" s="102">
        <v>1</v>
      </c>
      <c r="F52" s="68" t="e">
        <f>D52*E52</f>
        <v>#N/A</v>
      </c>
      <c r="G52" s="69" t="str">
        <f>C52</f>
        <v>#NA</v>
      </c>
      <c r="H52" s="69" t="e">
        <f>F52*G52</f>
        <v>#N/A</v>
      </c>
      <c r="I52" s="6" t="s">
        <v>93</v>
      </c>
      <c r="J52" s="70" t="e">
        <f>IF(OR(D52=0,D53=0,D54=0),"#NA",IF(AND(C54-C53=C53-C52,C53&lt;&gt;C54,C52&lt;&gt;C53,C52&lt;&gt;C54,D54&lt;&gt;0,OR(D52&lt;&gt;0,D53&lt;&gt;0)),WLS*(C54-C53),"#NA"))</f>
        <v>#N/A</v>
      </c>
      <c r="O52" s="99">
        <f>O51+1</f>
        <v>5</v>
      </c>
      <c r="P52" s="99">
        <f t="shared" si="10"/>
        <v>1</v>
      </c>
      <c r="Q52" s="68">
        <f>IF(OR(P54-P53=P53-P52,P55-P53=P53-P52),P52,IF(OR(P54-P53=P53-P51,P55-P53=P53-P51),P51,"-"))</f>
        <v>1</v>
      </c>
      <c r="R52" s="69">
        <f>VLOOKUP(Q52,STN_TABLE,2,FALSE)</f>
        <v>0.98</v>
      </c>
      <c r="S52" s="69">
        <v>5</v>
      </c>
      <c r="T52" s="68">
        <f>R52*S52</f>
        <v>4.9000000000000004</v>
      </c>
      <c r="U52" s="79">
        <v>3</v>
      </c>
      <c r="V52" s="68">
        <f>R52*U52</f>
        <v>2.94</v>
      </c>
      <c r="W52" s="6" t="s">
        <v>93</v>
      </c>
      <c r="X52" s="70">
        <f>IF(AND(Q54-Q53=Q53-Q52,NOT(AND(Q52=0,Q53=0)),NOT(AND(Q53=0,Q54=0))),WLS*(Q54-Q53),"#NA")</f>
        <v>2</v>
      </c>
      <c r="AD52" s="93"/>
      <c r="AH52" s="6" t="s">
        <v>93</v>
      </c>
      <c r="AI52" s="70">
        <f>WLS*(AD54-AD53)</f>
        <v>2</v>
      </c>
      <c r="AU52" s="81"/>
    </row>
    <row r="53" spans="1:47" x14ac:dyDescent="0.25">
      <c r="A53" s="84">
        <f>A52+1</f>
        <v>4</v>
      </c>
      <c r="B53" s="84">
        <f t="shared" si="11"/>
        <v>0.75</v>
      </c>
      <c r="C53" s="80" t="str">
        <f t="shared" ref="C53" si="13">IF(OR(B55-B54=B54-B53,B55-B54=B54-B52,B55-B54=B54-B51),B54,IF(OR(B55-B53=B53-B52,B55-B53=B53-B51),B53,IF(B55-B52=B52-B51,B52,"#NA")))</f>
        <v>#NA</v>
      </c>
      <c r="D53" s="76" t="e">
        <f>VLOOKUP(C53,STN_TABLE,2,FALSE)</f>
        <v>#N/A</v>
      </c>
      <c r="E53" s="81">
        <v>4</v>
      </c>
      <c r="F53" s="76" t="e">
        <f>D53*E53</f>
        <v>#N/A</v>
      </c>
      <c r="G53" s="77" t="str">
        <f>C53</f>
        <v>#NA</v>
      </c>
      <c r="H53" s="77" t="e">
        <f>F53*G53</f>
        <v>#N/A</v>
      </c>
      <c r="I53" s="495" t="s">
        <v>97</v>
      </c>
      <c r="J53" s="496"/>
      <c r="K53" s="78" t="s">
        <v>98</v>
      </c>
      <c r="L53" s="78"/>
      <c r="M53" s="7" t="s">
        <v>99</v>
      </c>
      <c r="N53" s="7"/>
      <c r="O53" s="99">
        <f>O52+1</f>
        <v>6</v>
      </c>
      <c r="P53" s="99">
        <f t="shared" si="10"/>
        <v>2</v>
      </c>
      <c r="Q53" s="76">
        <f>P53</f>
        <v>2</v>
      </c>
      <c r="R53" s="77">
        <f>VLOOKUP(Q53,STN_TABLE,2,FALSE)</f>
        <v>1.44</v>
      </c>
      <c r="S53" s="77">
        <v>8</v>
      </c>
      <c r="T53" s="76">
        <f>R53*S53</f>
        <v>11.52</v>
      </c>
      <c r="U53" s="80">
        <v>10</v>
      </c>
      <c r="V53" s="76">
        <f>R53*U53</f>
        <v>14.399999999999999</v>
      </c>
      <c r="W53" s="496" t="s">
        <v>97</v>
      </c>
      <c r="X53" s="496"/>
      <c r="Y53" s="496" t="s">
        <v>98</v>
      </c>
      <c r="Z53" s="496"/>
      <c r="AA53" s="494" t="s">
        <v>99</v>
      </c>
      <c r="AB53" s="494"/>
      <c r="AC53" s="99">
        <f>AC48+1</f>
        <v>5</v>
      </c>
      <c r="AD53" s="95">
        <f>VLOOKUP(AC53,STN_TABLE_2,2,FALSE)</f>
        <v>1</v>
      </c>
      <c r="AE53" s="68">
        <f>VLOOKUP(AD53,STN_TABLE,2,FALSE)</f>
        <v>0.98</v>
      </c>
      <c r="AF53" s="68">
        <v>1</v>
      </c>
      <c r="AG53" s="69">
        <f>AE53*AF53</f>
        <v>0.98</v>
      </c>
      <c r="AH53" s="496" t="s">
        <v>97</v>
      </c>
      <c r="AI53" s="496"/>
      <c r="AJ53" s="496" t="s">
        <v>98</v>
      </c>
      <c r="AK53" s="496"/>
      <c r="AL53" s="494" t="s">
        <v>99</v>
      </c>
      <c r="AM53" s="494"/>
      <c r="AP53" s="86" t="s">
        <v>112</v>
      </c>
      <c r="AQ53" s="89" t="s">
        <v>113</v>
      </c>
      <c r="AR53" s="89" t="s">
        <v>114</v>
      </c>
      <c r="AS53" s="89" t="s">
        <v>115</v>
      </c>
      <c r="AU53" s="81"/>
    </row>
    <row r="54" spans="1:47" x14ac:dyDescent="0.25">
      <c r="A54" s="84">
        <f>A53+1</f>
        <v>5</v>
      </c>
      <c r="B54" s="84">
        <f t="shared" si="11"/>
        <v>1</v>
      </c>
      <c r="C54" s="88">
        <f t="shared" ref="C54" si="14">B55</f>
        <v>2</v>
      </c>
      <c r="D54" s="82">
        <f>VLOOKUP(C54,STN_TABLE,2,FALSE)</f>
        <v>1.44</v>
      </c>
      <c r="E54" s="92">
        <v>1</v>
      </c>
      <c r="F54" s="82">
        <f>D54*E54</f>
        <v>1.44</v>
      </c>
      <c r="G54" s="83">
        <f>C54</f>
        <v>2</v>
      </c>
      <c r="H54" s="83">
        <f>F54*G54</f>
        <v>2.88</v>
      </c>
      <c r="I54" s="84" t="str">
        <f>CONCATENATE("a'(",C54,")=")</f>
        <v>a'(2)=</v>
      </c>
      <c r="J54" s="84" t="e">
        <f>2*J52/3*F55</f>
        <v>#N/A</v>
      </c>
      <c r="K54" s="84" t="str">
        <f>CONCATENATE("A(",C52,")=")</f>
        <v>A(#NA)=</v>
      </c>
      <c r="L54" s="84" t="e">
        <f>VLOOKUP(C52,STN_TABLE,3,FALSE)</f>
        <v>#N/A</v>
      </c>
      <c r="M54" t="str">
        <f>CONCATENATE("A(",C54,")=")</f>
        <v>A(2)=</v>
      </c>
      <c r="N54" t="e">
        <f>J54+L54</f>
        <v>#N/A</v>
      </c>
      <c r="O54" s="99">
        <f>O53+1</f>
        <v>7</v>
      </c>
      <c r="P54" s="99">
        <f t="shared" si="10"/>
        <v>3</v>
      </c>
      <c r="Q54" s="82">
        <f>IF(P54-P53=P53-P52,P54,IF(P55-P53=P53-P52,P55,IF(P54-P53=P53-P51,P54,IF(P55-P53=P53-P51,P55,"-"))))</f>
        <v>3</v>
      </c>
      <c r="R54" s="83">
        <f>VLOOKUP(Q54,STN_TABLE,2,FALSE)</f>
        <v>2.27</v>
      </c>
      <c r="S54" s="83">
        <v>-1</v>
      </c>
      <c r="T54" s="82">
        <f>R54*S54</f>
        <v>-2.27</v>
      </c>
      <c r="U54" s="88">
        <v>-1</v>
      </c>
      <c r="V54" s="82">
        <f>R54*U54</f>
        <v>-2.27</v>
      </c>
      <c r="W54" s="84" t="str">
        <f>CONCATENATE("a'(",Q53,")=")</f>
        <v>a'(2)=</v>
      </c>
      <c r="X54" s="84">
        <f>2*X52/12*T55</f>
        <v>4.7166666666666668</v>
      </c>
      <c r="Y54" s="84" t="str">
        <f>CONCATENATE("A(",Q52,")=")</f>
        <v>A(1)=</v>
      </c>
      <c r="Z54" s="84">
        <f>VLOOKUP(Q52,STN_TABLE,3,FALSE)</f>
        <v>2.6533333333333333</v>
      </c>
      <c r="AA54" t="str">
        <f>CONCATENATE("A(",Q53,")=")</f>
        <v>A(2)=</v>
      </c>
      <c r="AB54">
        <f>X54+Z54</f>
        <v>7.37</v>
      </c>
      <c r="AC54" s="99">
        <f>AC53+1</f>
        <v>6</v>
      </c>
      <c r="AD54" s="100">
        <f>VLOOKUP(AC54,STN_TABLE_2,2,FALSE)</f>
        <v>2</v>
      </c>
      <c r="AE54" s="82">
        <f>VLOOKUP(AD54,STN_TABLE,2,FALSE)</f>
        <v>1.44</v>
      </c>
      <c r="AF54" s="82">
        <v>2</v>
      </c>
      <c r="AG54" s="83">
        <f>AE54*AF54</f>
        <v>2.88</v>
      </c>
      <c r="AH54" s="84" t="str">
        <f>CONCATENATE("a'(",AD54,")=")</f>
        <v>a'(2)=</v>
      </c>
      <c r="AI54" s="84">
        <f>2*AI52/2*AE55</f>
        <v>4.84</v>
      </c>
      <c r="AJ54" s="84" t="str">
        <f>CONCATENATE("A(",AD53,")=")</f>
        <v>A(1)=</v>
      </c>
      <c r="AK54" s="84">
        <f>VLOOKUP(AD53,STN_TABLE,3,FALSE)</f>
        <v>2.6533333333333333</v>
      </c>
      <c r="AL54" t="str">
        <f>CONCATENATE("A(",AD54,")=")</f>
        <v>A(2)=</v>
      </c>
      <c r="AM54">
        <f>AI54+AK54</f>
        <v>7.4933333333333332</v>
      </c>
      <c r="AO54" s="68" t="str">
        <f>AA54</f>
        <v>A(2)=</v>
      </c>
      <c r="AP54" s="68" t="e">
        <f>VLOOKUP(AO54,Rise_Results,2,FALSE)</f>
        <v>#N/A</v>
      </c>
      <c r="AQ54" s="76" t="e">
        <f>N54</f>
        <v>#N/A</v>
      </c>
      <c r="AR54" s="76">
        <f>IF(OR(AB54&lt;=0,AB55&lt;=0),1/0,AB54)</f>
        <v>7.37</v>
      </c>
      <c r="AS54" s="76">
        <f>AM54</f>
        <v>7.4933333333333332</v>
      </c>
      <c r="AT54">
        <f>IFERROR(AP54,IFERROR(AQ54,IFERROR(AR54,AS54)))</f>
        <v>7.37</v>
      </c>
      <c r="AU54" s="81"/>
    </row>
    <row r="55" spans="1:47" x14ac:dyDescent="0.25">
      <c r="A55" s="84">
        <f>A54+1</f>
        <v>6</v>
      </c>
      <c r="B55" s="84">
        <f t="shared" si="11"/>
        <v>2</v>
      </c>
      <c r="F55" s="82" t="e">
        <f>SUM(F52:F54)</f>
        <v>#N/A</v>
      </c>
      <c r="H55" s="82" t="e">
        <f>SUM(H52:H54)</f>
        <v>#N/A</v>
      </c>
      <c r="I55" s="84" t="str">
        <f>CONCATENATE("m'(",C54,")=")</f>
        <v>m'(2)=</v>
      </c>
      <c r="J55" s="84" t="e">
        <f>2*(J52*(WLS))/3*H55</f>
        <v>#N/A</v>
      </c>
      <c r="K55" s="84" t="str">
        <f>CONCATENATE("M(",C52,")=")</f>
        <v>M(#NA)=</v>
      </c>
      <c r="L55" s="84" t="e">
        <f>VLOOKUP(C52,STN_TABLE,4,FALSE)</f>
        <v>#N/A</v>
      </c>
      <c r="M55" t="str">
        <f>CONCATENATE("M(",C54,")=")</f>
        <v>M(2)=</v>
      </c>
      <c r="N55" t="e">
        <f>J55+L55</f>
        <v>#N/A</v>
      </c>
      <c r="O55" s="99">
        <f>O54+1</f>
        <v>8</v>
      </c>
      <c r="P55" s="99">
        <f t="shared" si="10"/>
        <v>4</v>
      </c>
      <c r="T55" s="89">
        <f>SUM(T52:T54)</f>
        <v>14.150000000000002</v>
      </c>
      <c r="V55" s="82">
        <f>SUM(V52:V54)</f>
        <v>15.07</v>
      </c>
      <c r="W55" s="84" t="str">
        <f>CONCATENATE("m'(",Q53,")=")</f>
        <v>m'(2)=</v>
      </c>
      <c r="X55" s="84">
        <f>(2*(X52^2)/24*V55)+(X54*Q52*WLS)</f>
        <v>14.456666666666667</v>
      </c>
      <c r="Y55" s="84" t="str">
        <f>CONCATENATE("M(",Q52,")=")</f>
        <v>M(1)=</v>
      </c>
      <c r="Z55" s="84">
        <f>VLOOKUP(Q52,STN_TABLE,4,FALSE)</f>
        <v>3.0999999999999996</v>
      </c>
      <c r="AA55" t="str">
        <f>CONCATENATE("M(",Q53,")=")</f>
        <v>M(2)=</v>
      </c>
      <c r="AB55">
        <f>X55+Z55</f>
        <v>17.556666666666665</v>
      </c>
      <c r="AE55" s="89">
        <f>SUM(AE53:AE54)</f>
        <v>2.42</v>
      </c>
      <c r="AG55" s="89">
        <f>SUM(AG53:AG54)</f>
        <v>3.86</v>
      </c>
      <c r="AH55" s="84" t="str">
        <f>CONCATENATE("m'(",AD54,")=")</f>
        <v>m'(2)=</v>
      </c>
      <c r="AI55" s="84">
        <f>(2*(AI52^2)/6*AG55)+(AI54*AD53*WLS)</f>
        <v>14.826666666666666</v>
      </c>
      <c r="AJ55" s="84" t="str">
        <f>CONCATENATE("M(",AD53,")=")</f>
        <v>M(1)=</v>
      </c>
      <c r="AK55" s="84">
        <f>VLOOKUP(AD53,STN_TABLE,4,FALSE)</f>
        <v>3.0999999999999996</v>
      </c>
      <c r="AL55" t="str">
        <f>CONCATENATE("M(",AD54,")=")</f>
        <v>M(2)=</v>
      </c>
      <c r="AM55">
        <f>AI55+AK55</f>
        <v>17.926666666666666</v>
      </c>
      <c r="AO55" s="82" t="str">
        <f>AA55</f>
        <v>M(2)=</v>
      </c>
      <c r="AP55" s="82" t="e">
        <f>VLOOKUP(AO55,Rise_Results,2,FALSE)</f>
        <v>#N/A</v>
      </c>
      <c r="AQ55" s="82" t="e">
        <f>N55</f>
        <v>#N/A</v>
      </c>
      <c r="AR55" s="82">
        <f>IF(OR(AB54&lt;=0,AB55&lt;=0),1/0,AB55)</f>
        <v>17.556666666666665</v>
      </c>
      <c r="AS55" s="82">
        <f>AM55</f>
        <v>17.926666666666666</v>
      </c>
      <c r="AT55">
        <f>IFERROR(AP55,IFERROR(AQ55,IFERROR(AR55,AS55)))</f>
        <v>17.556666666666665</v>
      </c>
      <c r="AU55" s="81"/>
    </row>
    <row r="56" spans="1:47" x14ac:dyDescent="0.25">
      <c r="A56" s="101">
        <f>A51+1</f>
        <v>3</v>
      </c>
      <c r="B56" s="101">
        <f t="shared" si="11"/>
        <v>0.5</v>
      </c>
      <c r="O56" s="101">
        <f>O51+1</f>
        <v>5</v>
      </c>
      <c r="P56" s="101">
        <f t="shared" si="10"/>
        <v>1</v>
      </c>
      <c r="AU56" s="81"/>
    </row>
    <row r="57" spans="1:47" x14ac:dyDescent="0.25">
      <c r="A57" s="84">
        <f>A56+1</f>
        <v>4</v>
      </c>
      <c r="B57" s="84">
        <f t="shared" si="11"/>
        <v>0.75</v>
      </c>
      <c r="C57" s="79">
        <f t="shared" ref="C57" si="15">IF(C58=B59,IF(C59-C58=C58-B58,B58,IF(C59-C58=C58-B57,B57,"#NA")),IF(C58=B58,IF(C59-C58=C58-B57,B57,IF(C59-C58=C58-B56,B56,"#NA")),"#NA"))</f>
        <v>1</v>
      </c>
      <c r="D57" s="68">
        <f>VLOOKUP(C57,STN_TABLE,2,FALSE)</f>
        <v>0.98</v>
      </c>
      <c r="E57" s="102">
        <v>1</v>
      </c>
      <c r="F57" s="68">
        <f>D57*E57</f>
        <v>0.98</v>
      </c>
      <c r="G57" s="69">
        <f>C57</f>
        <v>1</v>
      </c>
      <c r="H57" s="69">
        <f>F57*G57</f>
        <v>0.98</v>
      </c>
      <c r="I57" s="6" t="s">
        <v>93</v>
      </c>
      <c r="J57" s="70">
        <f>IF(OR(D57=0,D58=0,D59=0),"#NA",IF(AND(C59-C58=C58-C57,C58&lt;&gt;C59,C57&lt;&gt;C58,C57&lt;&gt;C59,D59&lt;&gt;0,OR(D57&lt;&gt;0,D58&lt;&gt;0)),WLS*(C59-C58),"#NA"))</f>
        <v>2</v>
      </c>
      <c r="O57" s="99">
        <f>O56+1</f>
        <v>6</v>
      </c>
      <c r="P57" s="99">
        <f t="shared" si="10"/>
        <v>2</v>
      </c>
      <c r="Q57" s="68">
        <f>IF(OR(P59-P58=P58-P57,P60-P58=P58-P57),P57,IF(OR(P59-P58=P58-P56,P60-P58=P58-P56),P56,"-"))</f>
        <v>2</v>
      </c>
      <c r="R57" s="69">
        <f>VLOOKUP(Q57,STN_TABLE,2,FALSE)</f>
        <v>1.44</v>
      </c>
      <c r="S57" s="69">
        <v>5</v>
      </c>
      <c r="T57" s="68">
        <f>R57*S57</f>
        <v>7.1999999999999993</v>
      </c>
      <c r="U57" s="79">
        <v>3</v>
      </c>
      <c r="V57" s="68">
        <f>R57*U57</f>
        <v>4.32</v>
      </c>
      <c r="W57" s="6" t="s">
        <v>93</v>
      </c>
      <c r="X57" s="70">
        <f>IF(AND(Q59-Q58=Q58-Q57,NOT(AND(Q57=0,Q58=0)),NOT(AND(Q58=0,Q59=0))),WLS*(Q59-Q58),"#NA")</f>
        <v>2</v>
      </c>
      <c r="AD57" s="93"/>
      <c r="AH57" s="6" t="s">
        <v>93</v>
      </c>
      <c r="AI57" s="70">
        <f>WLS*(AD59-AD58)</f>
        <v>2</v>
      </c>
      <c r="AU57" s="81"/>
    </row>
    <row r="58" spans="1:47" x14ac:dyDescent="0.25">
      <c r="A58" s="84">
        <f>A57+1</f>
        <v>5</v>
      </c>
      <c r="B58" s="84">
        <f t="shared" si="11"/>
        <v>1</v>
      </c>
      <c r="C58" s="80">
        <f t="shared" ref="C58" si="16">IF(OR(B60-B59=B59-B58,B60-B59=B59-B57,B60-B59=B59-B56),B59,IF(OR(B60-B58=B58-B57,B60-B58=B58-B56),B58,IF(B60-B57=B57-B56,B57,"#NA")))</f>
        <v>2</v>
      </c>
      <c r="D58" s="76">
        <f>VLOOKUP(C58,STN_TABLE,2,FALSE)</f>
        <v>1.44</v>
      </c>
      <c r="E58" s="81">
        <v>4</v>
      </c>
      <c r="F58" s="76">
        <f>D58*E58</f>
        <v>5.76</v>
      </c>
      <c r="G58" s="77">
        <f>C58</f>
        <v>2</v>
      </c>
      <c r="H58" s="77">
        <f>F58*G58</f>
        <v>11.52</v>
      </c>
      <c r="I58" s="495" t="s">
        <v>97</v>
      </c>
      <c r="J58" s="496"/>
      <c r="K58" s="78" t="s">
        <v>98</v>
      </c>
      <c r="L58" s="78"/>
      <c r="M58" s="7" t="s">
        <v>99</v>
      </c>
      <c r="N58" s="7"/>
      <c r="O58" s="99">
        <f>O57+1</f>
        <v>7</v>
      </c>
      <c r="P58" s="99">
        <f t="shared" si="10"/>
        <v>3</v>
      </c>
      <c r="Q58" s="76">
        <f>P58</f>
        <v>3</v>
      </c>
      <c r="R58" s="77">
        <f>VLOOKUP(Q58,STN_TABLE,2,FALSE)</f>
        <v>2.27</v>
      </c>
      <c r="S58" s="77">
        <v>8</v>
      </c>
      <c r="T58" s="76">
        <f>R58*S58</f>
        <v>18.16</v>
      </c>
      <c r="U58" s="80">
        <v>10</v>
      </c>
      <c r="V58" s="76">
        <f>R58*U58</f>
        <v>22.7</v>
      </c>
      <c r="W58" s="78" t="s">
        <v>97</v>
      </c>
      <c r="X58" s="78"/>
      <c r="Y58" s="78" t="s">
        <v>98</v>
      </c>
      <c r="Z58" s="78"/>
      <c r="AA58" s="7" t="s">
        <v>99</v>
      </c>
      <c r="AB58" s="7"/>
      <c r="AC58" s="99">
        <f>AC53+1</f>
        <v>6</v>
      </c>
      <c r="AD58" s="95">
        <f>VLOOKUP(AC58,STN_TABLE_2,2,FALSE)</f>
        <v>2</v>
      </c>
      <c r="AE58" s="68">
        <f>VLOOKUP(AD58,STN_TABLE,2,FALSE)</f>
        <v>1.44</v>
      </c>
      <c r="AF58" s="68">
        <v>1</v>
      </c>
      <c r="AG58" s="69">
        <f>AE58*AF58</f>
        <v>1.44</v>
      </c>
      <c r="AH58" s="496" t="s">
        <v>97</v>
      </c>
      <c r="AI58" s="496"/>
      <c r="AJ58" s="496" t="s">
        <v>98</v>
      </c>
      <c r="AK58" s="496"/>
      <c r="AL58" s="494" t="s">
        <v>99</v>
      </c>
      <c r="AM58" s="494"/>
      <c r="AP58" s="86" t="s">
        <v>112</v>
      </c>
      <c r="AQ58" s="89" t="s">
        <v>113</v>
      </c>
      <c r="AR58" s="89" t="s">
        <v>114</v>
      </c>
      <c r="AS58" s="89" t="s">
        <v>115</v>
      </c>
      <c r="AU58" s="81"/>
    </row>
    <row r="59" spans="1:47" x14ac:dyDescent="0.25">
      <c r="A59" s="84">
        <f>A58+1</f>
        <v>6</v>
      </c>
      <c r="B59" s="84">
        <f t="shared" si="11"/>
        <v>2</v>
      </c>
      <c r="C59" s="88">
        <f t="shared" ref="C59" si="17">B60</f>
        <v>3</v>
      </c>
      <c r="D59" s="82">
        <f>VLOOKUP(C59,STN_TABLE,2,FALSE)</f>
        <v>2.27</v>
      </c>
      <c r="E59" s="92">
        <v>1</v>
      </c>
      <c r="F59" s="82">
        <f>D59*E59</f>
        <v>2.27</v>
      </c>
      <c r="G59" s="83">
        <f>C59</f>
        <v>3</v>
      </c>
      <c r="H59" s="83">
        <f>F59*G59</f>
        <v>6.8100000000000005</v>
      </c>
      <c r="I59" s="84" t="str">
        <f>CONCATENATE("a'(",C59,")=")</f>
        <v>a'(3)=</v>
      </c>
      <c r="J59" s="84">
        <f>2*J57/3*F60</f>
        <v>12.013333333333332</v>
      </c>
      <c r="K59" s="84" t="str">
        <f>CONCATENATE("A(",C57,")=")</f>
        <v>A(1)=</v>
      </c>
      <c r="L59" s="84">
        <f>VLOOKUP(C57,STN_TABLE,3,FALSE)</f>
        <v>2.6533333333333333</v>
      </c>
      <c r="M59" t="str">
        <f>CONCATENATE("A(",C59,")=")</f>
        <v>A(3)=</v>
      </c>
      <c r="N59">
        <f>J59+L59</f>
        <v>14.666666666666664</v>
      </c>
      <c r="O59" s="99">
        <f>O58+1</f>
        <v>8</v>
      </c>
      <c r="P59" s="99">
        <f t="shared" si="10"/>
        <v>4</v>
      </c>
      <c r="Q59" s="82">
        <f>IF(P59-P58=P58-P57,P59,IF(P60-P58=P58-P57,P60,IF(P59-P58=P58-P56,P59,IF(P60-P58=P58-P56,P60,"-"))))</f>
        <v>4</v>
      </c>
      <c r="R59" s="83">
        <f>VLOOKUP(Q59,STN_TABLE,2,FALSE)</f>
        <v>4.01</v>
      </c>
      <c r="S59" s="83">
        <v>-1</v>
      </c>
      <c r="T59" s="82">
        <f>R59*S59</f>
        <v>-4.01</v>
      </c>
      <c r="U59" s="88">
        <v>-1</v>
      </c>
      <c r="V59" s="82">
        <f>R59*U59</f>
        <v>-4.01</v>
      </c>
      <c r="W59" s="84" t="str">
        <f>CONCATENATE("a'(",Q58,")=")</f>
        <v>a'(3)=</v>
      </c>
      <c r="X59" s="84">
        <f>2*X57/12*T60</f>
        <v>7.1166666666666671</v>
      </c>
      <c r="Y59" s="84" t="str">
        <f>CONCATENATE("A(",Q57,")=")</f>
        <v>A(2)=</v>
      </c>
      <c r="Z59" s="84">
        <f>VLOOKUP(Q57,STN_TABLE,3,FALSE)</f>
        <v>7.37</v>
      </c>
      <c r="AA59" t="str">
        <f>CONCATENATE("A(",Q58,")=")</f>
        <v>A(3)=</v>
      </c>
      <c r="AB59">
        <f>X59+Z59</f>
        <v>14.486666666666668</v>
      </c>
      <c r="AC59" s="99">
        <f>AC58+1</f>
        <v>7</v>
      </c>
      <c r="AD59" s="100">
        <f>VLOOKUP(AC59,STN_TABLE_2,2,FALSE)</f>
        <v>3</v>
      </c>
      <c r="AE59" s="82">
        <f>VLOOKUP(AD59,STN_TABLE,2,FALSE)</f>
        <v>2.27</v>
      </c>
      <c r="AF59" s="82">
        <v>2</v>
      </c>
      <c r="AG59" s="83">
        <f>AE59*AF59</f>
        <v>4.54</v>
      </c>
      <c r="AH59" s="84" t="str">
        <f>CONCATENATE("a'(",AD59,")=")</f>
        <v>a'(3)=</v>
      </c>
      <c r="AI59" s="84">
        <f>2*AI57/2*AE60</f>
        <v>7.42</v>
      </c>
      <c r="AJ59" s="84" t="str">
        <f>CONCATENATE("A(",AD58,")=")</f>
        <v>A(2)=</v>
      </c>
      <c r="AK59" s="84">
        <f>VLOOKUP(AD58,STN_TABLE,3,FALSE)</f>
        <v>7.37</v>
      </c>
      <c r="AL59" t="str">
        <f>CONCATENATE("A(",AD59,")=")</f>
        <v>A(3)=</v>
      </c>
      <c r="AM59">
        <f>AI59+AK59</f>
        <v>14.79</v>
      </c>
      <c r="AO59" s="68" t="str">
        <f>AA59</f>
        <v>A(3)=</v>
      </c>
      <c r="AP59" s="68" t="e">
        <f>VLOOKUP(AO59,Rise_Results,2,FALSE)</f>
        <v>#N/A</v>
      </c>
      <c r="AQ59" s="76">
        <f>N59</f>
        <v>14.666666666666664</v>
      </c>
      <c r="AR59" s="76">
        <f>IF(OR(AB59&lt;=0,AB60&lt;=0),1/0,AB59)</f>
        <v>14.486666666666668</v>
      </c>
      <c r="AS59" s="76">
        <f>AM59</f>
        <v>14.79</v>
      </c>
      <c r="AT59">
        <f>IFERROR(AP59,IFERROR(AQ59,IFERROR(AR59,AS59)))</f>
        <v>14.666666666666664</v>
      </c>
      <c r="AU59" s="81"/>
    </row>
    <row r="60" spans="1:47" x14ac:dyDescent="0.25">
      <c r="A60" s="84">
        <f>A59+1</f>
        <v>7</v>
      </c>
      <c r="B60" s="84">
        <f t="shared" si="11"/>
        <v>3</v>
      </c>
      <c r="F60" s="82">
        <f>SUM(F57:F59)</f>
        <v>9.01</v>
      </c>
      <c r="H60" s="82">
        <f>SUM(H57:H59)</f>
        <v>19.310000000000002</v>
      </c>
      <c r="I60" s="84" t="str">
        <f>CONCATENATE("m'(",C59,")=")</f>
        <v>m'(3)=</v>
      </c>
      <c r="J60" s="84">
        <f>2*(J57*(WLS))/3*H60</f>
        <v>51.493333333333339</v>
      </c>
      <c r="K60" s="84" t="str">
        <f>CONCATENATE("M(",C57,")=")</f>
        <v>M(1)=</v>
      </c>
      <c r="L60" s="84">
        <f>VLOOKUP(C57,STN_TABLE,4,FALSE)</f>
        <v>3.0999999999999996</v>
      </c>
      <c r="M60" t="str">
        <f>CONCATENATE("M(",C59,")=")</f>
        <v>M(3)=</v>
      </c>
      <c r="N60">
        <f>J60+L60</f>
        <v>54.593333333333341</v>
      </c>
      <c r="O60" s="99">
        <f>O59+1</f>
        <v>9</v>
      </c>
      <c r="P60" s="99">
        <f t="shared" si="10"/>
        <v>4.8499999999999996</v>
      </c>
      <c r="T60" s="89">
        <f>SUM(T57:T59)</f>
        <v>21.35</v>
      </c>
      <c r="V60" s="82">
        <f>SUM(V57:V59)</f>
        <v>23.009999999999998</v>
      </c>
      <c r="W60" s="84" t="str">
        <f>CONCATENATE("m'(",Q58,")=")</f>
        <v>m'(3)=</v>
      </c>
      <c r="X60" s="84">
        <f>(2*(X57^2)/24*V60)+(X59*Q57*WLS)</f>
        <v>36.13666666666667</v>
      </c>
      <c r="Y60" s="84" t="str">
        <f>CONCATENATE("M(",Q57,")=")</f>
        <v>M(2)=</v>
      </c>
      <c r="Z60" s="84">
        <f>VLOOKUP(Q57,STN_TABLE,4,FALSE)</f>
        <v>17.556666666666665</v>
      </c>
      <c r="AA60" t="str">
        <f>CONCATENATE("M(",Q58,")=")</f>
        <v>M(3)=</v>
      </c>
      <c r="AB60">
        <f>X60+Z60</f>
        <v>53.693333333333335</v>
      </c>
      <c r="AE60" s="89">
        <f>SUM(AE58:AE59)</f>
        <v>3.71</v>
      </c>
      <c r="AG60" s="89">
        <f>SUM(AG58:AG59)</f>
        <v>5.98</v>
      </c>
      <c r="AH60" s="84" t="str">
        <f>CONCATENATE("m'(",AD59,")=")</f>
        <v>m'(3)=</v>
      </c>
      <c r="AI60" s="84">
        <f>(2*(AI57^2)/6*AG60)+(AI59*AD58*WLS)</f>
        <v>37.653333333333336</v>
      </c>
      <c r="AJ60" s="84" t="str">
        <f>CONCATENATE("M(",AD58,")=")</f>
        <v>M(2)=</v>
      </c>
      <c r="AK60" s="84">
        <f>VLOOKUP(AD57,STN_TABLE,4,FALSE)</f>
        <v>0</v>
      </c>
      <c r="AL60" t="str">
        <f>CONCATENATE("M(",AD59,")=")</f>
        <v>M(3)=</v>
      </c>
      <c r="AM60">
        <f>AI60+AK60</f>
        <v>37.653333333333336</v>
      </c>
      <c r="AO60" s="82" t="str">
        <f>AA60</f>
        <v>M(3)=</v>
      </c>
      <c r="AP60" s="82" t="e">
        <f>VLOOKUP(AO60,Rise_Results,2,FALSE)</f>
        <v>#N/A</v>
      </c>
      <c r="AQ60" s="82">
        <f>N60</f>
        <v>54.593333333333341</v>
      </c>
      <c r="AR60" s="82">
        <f>IF(OR(AB59&lt;=0,AB60&lt;=0),1/0,AB60)</f>
        <v>53.693333333333335</v>
      </c>
      <c r="AS60" s="82">
        <f>AM60</f>
        <v>37.653333333333336</v>
      </c>
      <c r="AT60">
        <f>IFERROR(AP60,IFERROR(AQ60,IFERROR(AR60,AS60)))</f>
        <v>54.593333333333341</v>
      </c>
      <c r="AU60" s="81"/>
    </row>
    <row r="61" spans="1:47" x14ac:dyDescent="0.25">
      <c r="A61" s="101">
        <f>A56+1</f>
        <v>4</v>
      </c>
      <c r="B61" s="101">
        <f t="shared" si="11"/>
        <v>0.75</v>
      </c>
      <c r="O61" s="101">
        <f>O56+1</f>
        <v>6</v>
      </c>
      <c r="P61" s="101">
        <f t="shared" si="10"/>
        <v>2</v>
      </c>
      <c r="AU61" s="81"/>
    </row>
    <row r="62" spans="1:47" x14ac:dyDescent="0.25">
      <c r="A62" s="84">
        <f>A61+1</f>
        <v>5</v>
      </c>
      <c r="B62" s="84">
        <f t="shared" si="11"/>
        <v>1</v>
      </c>
      <c r="C62" s="79">
        <f t="shared" ref="C62" si="18">IF(C63=B64,IF(C64-C63=C63-B63,B63,IF(C64-C63=C63-B62,B62,"#NA")),IF(C63=B63,IF(C64-C63=C63-B62,B62,IF(C64-C63=C63-B61,B61,"#NA")),"#NA"))</f>
        <v>2</v>
      </c>
      <c r="D62" s="68">
        <f>VLOOKUP(C62,STN_TABLE,2,FALSE)</f>
        <v>1.44</v>
      </c>
      <c r="E62" s="102">
        <v>1</v>
      </c>
      <c r="F62" s="68">
        <f>D62*E62</f>
        <v>1.44</v>
      </c>
      <c r="G62" s="69">
        <f>C62</f>
        <v>2</v>
      </c>
      <c r="H62" s="69">
        <f>F62*G62</f>
        <v>2.88</v>
      </c>
      <c r="I62" s="6" t="s">
        <v>93</v>
      </c>
      <c r="J62" s="70">
        <f>IF(OR(D62=0,D63=0,D64=0),"#NA",IF(AND(C64-C63=C63-C62,C63&lt;&gt;C64,C62&lt;&gt;C63,C62&lt;&gt;C64,D64&lt;&gt;0,OR(D62&lt;&gt;0,D63&lt;&gt;0)),WLS*(C64-C63),"#NA"))</f>
        <v>2</v>
      </c>
      <c r="O62" s="99">
        <f>O61+1</f>
        <v>7</v>
      </c>
      <c r="P62" s="99">
        <f t="shared" si="10"/>
        <v>3</v>
      </c>
      <c r="Q62" s="68">
        <f>IF(OR(P64-P63=P63-P62,P65-P63=P63-P62),P62,IF(OR(P64-P63=P63-P61,P65-P63=P63-P61),P61,"-"))</f>
        <v>3</v>
      </c>
      <c r="R62" s="69">
        <f>VLOOKUP(Q62,STN_TABLE,2,FALSE)</f>
        <v>2.27</v>
      </c>
      <c r="S62" s="69">
        <v>5</v>
      </c>
      <c r="T62" s="68">
        <f>R62*S62</f>
        <v>11.35</v>
      </c>
      <c r="U62" s="79">
        <v>3</v>
      </c>
      <c r="V62" s="68">
        <f>R62*U62</f>
        <v>6.8100000000000005</v>
      </c>
      <c r="W62" s="6" t="s">
        <v>93</v>
      </c>
      <c r="X62" s="70">
        <f>IF(AND(Q64-Q63=Q63-Q62,NOT(AND(Q62=0,Q63=0)),NOT(AND(Q63=0,Q64=0))),WLS*(Q64-Q63),"#NA")</f>
        <v>2</v>
      </c>
      <c r="AD62" s="93"/>
      <c r="AH62" s="6" t="s">
        <v>93</v>
      </c>
      <c r="AI62" s="70">
        <f>WLS*(AD64-AD63)</f>
        <v>2</v>
      </c>
      <c r="AU62" s="81"/>
    </row>
    <row r="63" spans="1:47" x14ac:dyDescent="0.25">
      <c r="A63" s="84">
        <f>A62+1</f>
        <v>6</v>
      </c>
      <c r="B63" s="84">
        <f t="shared" si="11"/>
        <v>2</v>
      </c>
      <c r="C63" s="80">
        <f t="shared" ref="C63" si="19">IF(OR(B65-B64=B64-B63,B65-B64=B64-B62,B65-B64=B64-B61),B64,IF(OR(B65-B63=B63-B62,B65-B63=B63-B61),B63,IF(B65-B62=B62-B61,B62,"#NA")))</f>
        <v>3</v>
      </c>
      <c r="D63" s="76">
        <f>VLOOKUP(C63,STN_TABLE,2,FALSE)</f>
        <v>2.27</v>
      </c>
      <c r="E63" s="81">
        <v>4</v>
      </c>
      <c r="F63" s="76">
        <f>D63*E63</f>
        <v>9.08</v>
      </c>
      <c r="G63" s="77">
        <f>C63</f>
        <v>3</v>
      </c>
      <c r="H63" s="77">
        <f>F63*G63</f>
        <v>27.240000000000002</v>
      </c>
      <c r="I63" s="495" t="s">
        <v>97</v>
      </c>
      <c r="J63" s="496"/>
      <c r="K63" s="78" t="s">
        <v>98</v>
      </c>
      <c r="L63" s="78"/>
      <c r="M63" s="7" t="s">
        <v>99</v>
      </c>
      <c r="N63" s="7"/>
      <c r="O63" s="99">
        <f>O62+1</f>
        <v>8</v>
      </c>
      <c r="P63" s="99">
        <f t="shared" si="10"/>
        <v>4</v>
      </c>
      <c r="Q63" s="76">
        <f>P63</f>
        <v>4</v>
      </c>
      <c r="R63" s="77">
        <f>VLOOKUP(Q63,STN_TABLE,2,FALSE)</f>
        <v>4.01</v>
      </c>
      <c r="S63" s="77">
        <v>8</v>
      </c>
      <c r="T63" s="76">
        <f>R63*S63</f>
        <v>32.08</v>
      </c>
      <c r="U63" s="80">
        <v>10</v>
      </c>
      <c r="V63" s="76">
        <f>R63*U63</f>
        <v>40.099999999999994</v>
      </c>
      <c r="W63" s="496" t="s">
        <v>97</v>
      </c>
      <c r="X63" s="496"/>
      <c r="Y63" s="496" t="s">
        <v>98</v>
      </c>
      <c r="Z63" s="496"/>
      <c r="AA63" s="494" t="s">
        <v>99</v>
      </c>
      <c r="AB63" s="494"/>
      <c r="AC63" s="99">
        <f>AC58+1</f>
        <v>7</v>
      </c>
      <c r="AD63" s="95">
        <f>VLOOKUP(AC63,STN_TABLE_2,2,FALSE)</f>
        <v>3</v>
      </c>
      <c r="AE63" s="68">
        <f>VLOOKUP(AD63,STN_TABLE,2,FALSE)</f>
        <v>2.27</v>
      </c>
      <c r="AF63" s="68">
        <v>1</v>
      </c>
      <c r="AG63" s="69">
        <f>AE63*AF63</f>
        <v>2.27</v>
      </c>
      <c r="AH63" s="496" t="s">
        <v>97</v>
      </c>
      <c r="AI63" s="496"/>
      <c r="AJ63" s="496" t="s">
        <v>98</v>
      </c>
      <c r="AK63" s="496"/>
      <c r="AL63" s="494" t="s">
        <v>99</v>
      </c>
      <c r="AM63" s="494"/>
      <c r="AP63" s="86" t="s">
        <v>112</v>
      </c>
      <c r="AQ63" s="89" t="s">
        <v>113</v>
      </c>
      <c r="AR63" s="89" t="s">
        <v>114</v>
      </c>
      <c r="AS63" s="89" t="s">
        <v>115</v>
      </c>
      <c r="AU63" s="81"/>
    </row>
    <row r="64" spans="1:47" x14ac:dyDescent="0.25">
      <c r="A64" s="84">
        <f>A63+1</f>
        <v>7</v>
      </c>
      <c r="B64" s="84">
        <f t="shared" si="11"/>
        <v>3</v>
      </c>
      <c r="C64" s="88">
        <f t="shared" ref="C64" si="20">B65</f>
        <v>4</v>
      </c>
      <c r="D64" s="82">
        <f>VLOOKUP(C64,STN_TABLE,2,FALSE)</f>
        <v>4.01</v>
      </c>
      <c r="E64" s="92">
        <v>1</v>
      </c>
      <c r="F64" s="82">
        <f>D64*E64</f>
        <v>4.01</v>
      </c>
      <c r="G64" s="83">
        <f>C64</f>
        <v>4</v>
      </c>
      <c r="H64" s="83">
        <f>F64*G64</f>
        <v>16.04</v>
      </c>
      <c r="I64" s="84" t="str">
        <f>CONCATENATE("a'(",C64,")=")</f>
        <v>a'(4)=</v>
      </c>
      <c r="J64" s="84">
        <f>2*J62/3*F65</f>
        <v>19.373333333333331</v>
      </c>
      <c r="K64" s="84" t="str">
        <f>CONCATENATE("A(",C62,")=")</f>
        <v>A(2)=</v>
      </c>
      <c r="L64" s="84">
        <f>VLOOKUP(C62,STN_TABLE,3,FALSE)</f>
        <v>7.37</v>
      </c>
      <c r="M64" t="str">
        <f>CONCATENATE("A(",C64,")=")</f>
        <v>A(4)=</v>
      </c>
      <c r="N64">
        <f>J64+L64</f>
        <v>26.743333333333332</v>
      </c>
      <c r="O64" s="99">
        <f>O63+1</f>
        <v>9</v>
      </c>
      <c r="P64" s="99">
        <f t="shared" si="10"/>
        <v>4.8499999999999996</v>
      </c>
      <c r="Q64" s="82">
        <f>IF(P64-P63=P63-P62,P64,IF(P65-P63=P63-P62,P65,IF(P64-P63=P63-P61,P64,IF(P65-P63=P63-P61,P65,"-"))))</f>
        <v>5</v>
      </c>
      <c r="R64" s="83">
        <f>VLOOKUP(Q64,STN_TABLE,2,FALSE)</f>
        <v>5.78</v>
      </c>
      <c r="S64" s="83">
        <v>-1</v>
      </c>
      <c r="T64" s="82">
        <f>R64*S64</f>
        <v>-5.78</v>
      </c>
      <c r="U64" s="88">
        <v>-1</v>
      </c>
      <c r="V64" s="82">
        <f>R64*U64</f>
        <v>-5.78</v>
      </c>
      <c r="W64" s="84" t="str">
        <f>CONCATENATE("a'(",Q63,")=")</f>
        <v>a'(4)=</v>
      </c>
      <c r="X64" s="84">
        <f>2*X62/12*T65</f>
        <v>12.549999999999999</v>
      </c>
      <c r="Y64" s="84" t="str">
        <f>CONCATENATE("A(",Q62,")=")</f>
        <v>A(3)=</v>
      </c>
      <c r="Z64" s="84">
        <f>VLOOKUP(Q62,STN_TABLE,3,FALSE)</f>
        <v>14.666666666666664</v>
      </c>
      <c r="AA64" t="str">
        <f>CONCATENATE("A(",Q63,")=")</f>
        <v>A(4)=</v>
      </c>
      <c r="AB64">
        <f>X64+Z64</f>
        <v>27.216666666666661</v>
      </c>
      <c r="AC64" s="99">
        <f>AC63+1</f>
        <v>8</v>
      </c>
      <c r="AD64" s="100">
        <f>VLOOKUP(AC64,STN_TABLE_2,2,FALSE)</f>
        <v>4</v>
      </c>
      <c r="AE64" s="82">
        <f>VLOOKUP(AD64,STN_TABLE,2,FALSE)</f>
        <v>4.01</v>
      </c>
      <c r="AF64" s="82">
        <v>2</v>
      </c>
      <c r="AG64" s="83">
        <f>AE64*AF64</f>
        <v>8.02</v>
      </c>
      <c r="AH64" s="84" t="str">
        <f>CONCATENATE("a'(",AD64,")=")</f>
        <v>a'(4)=</v>
      </c>
      <c r="AI64" s="84">
        <f>2*AI62/2*AE65</f>
        <v>12.559999999999999</v>
      </c>
      <c r="AJ64" s="84" t="str">
        <f>CONCATENATE("A(",AD63,")=")</f>
        <v>A(3)=</v>
      </c>
      <c r="AK64" s="84">
        <f>VLOOKUP(AD63,STN_TABLE,3,FALSE)</f>
        <v>14.666666666666664</v>
      </c>
      <c r="AL64" t="str">
        <f>CONCATENATE("A(",AD64,")=")</f>
        <v>A(4)=</v>
      </c>
      <c r="AM64">
        <f>AI64+AK64</f>
        <v>27.226666666666663</v>
      </c>
      <c r="AO64" s="68" t="str">
        <f>AA64</f>
        <v>A(4)=</v>
      </c>
      <c r="AP64" s="68" t="e">
        <f>VLOOKUP(AO64,Rise_Results,2,FALSE)</f>
        <v>#N/A</v>
      </c>
      <c r="AQ64" s="76">
        <f>N64</f>
        <v>26.743333333333332</v>
      </c>
      <c r="AR64" s="76">
        <f>IF(OR(AB64&lt;=0,AB65&lt;=0),1/0,AB64)</f>
        <v>27.216666666666661</v>
      </c>
      <c r="AS64" s="76">
        <f>AM64</f>
        <v>27.226666666666663</v>
      </c>
      <c r="AT64">
        <f>IFERROR(AP64,IFERROR(AQ64,IFERROR(AR64,AS64)))</f>
        <v>26.743333333333332</v>
      </c>
      <c r="AU64" s="81"/>
    </row>
    <row r="65" spans="1:47" x14ac:dyDescent="0.25">
      <c r="A65" s="84">
        <f>A64+1</f>
        <v>8</v>
      </c>
      <c r="B65" s="84">
        <f t="shared" si="11"/>
        <v>4</v>
      </c>
      <c r="F65" s="82">
        <f>SUM(F62:F64)</f>
        <v>14.53</v>
      </c>
      <c r="H65" s="82">
        <f>SUM(H62:H64)</f>
        <v>46.16</v>
      </c>
      <c r="I65" s="84" t="str">
        <f>CONCATENATE("m'(",C64,")=")</f>
        <v>m'(4)=</v>
      </c>
      <c r="J65" s="84">
        <f>2*(J62*(WLS))/3*H65</f>
        <v>123.09333333333332</v>
      </c>
      <c r="K65" s="84" t="str">
        <f>CONCATENATE("M(",C62,")=")</f>
        <v>M(2)=</v>
      </c>
      <c r="L65" s="84">
        <f>VLOOKUP(C62,STN_TABLE,4,FALSE)</f>
        <v>17.556666666666665</v>
      </c>
      <c r="M65" t="str">
        <f>CONCATENATE("M(",C64,")=")</f>
        <v>M(4)=</v>
      </c>
      <c r="N65">
        <f>J65+L65</f>
        <v>140.64999999999998</v>
      </c>
      <c r="O65" s="99">
        <f>O64+1</f>
        <v>10</v>
      </c>
      <c r="P65" s="99">
        <f t="shared" si="10"/>
        <v>5</v>
      </c>
      <c r="T65" s="89">
        <f>SUM(T62:T64)</f>
        <v>37.65</v>
      </c>
      <c r="V65" s="82">
        <f>SUM(V62:V64)</f>
        <v>41.129999999999995</v>
      </c>
      <c r="W65" s="84" t="str">
        <f>CONCATENATE("m'(",Q63,")=")</f>
        <v>m'(4)=</v>
      </c>
      <c r="X65" s="84">
        <f>(2*(X62^2)/24*V65)+(X64*Q62*WLS)</f>
        <v>89.009999999999991</v>
      </c>
      <c r="Y65" s="84" t="str">
        <f>CONCATENATE("M(",Q62,")=")</f>
        <v>M(3)=</v>
      </c>
      <c r="Z65" s="84">
        <f>VLOOKUP(Q62,STN_TABLE,4,FALSE)</f>
        <v>54.593333333333341</v>
      </c>
      <c r="AA65" t="str">
        <f>CONCATENATE("M(",Q63,")=")</f>
        <v>M(4)=</v>
      </c>
      <c r="AB65">
        <f>X65+Z65</f>
        <v>143.60333333333332</v>
      </c>
      <c r="AE65" s="89">
        <f>SUM(AE63:AE64)</f>
        <v>6.2799999999999994</v>
      </c>
      <c r="AG65" s="89">
        <f>SUM(AG63:AG64)</f>
        <v>10.29</v>
      </c>
      <c r="AH65" s="84" t="str">
        <f>CONCATENATE("m'(",AD64,")=")</f>
        <v>m'(4)=</v>
      </c>
      <c r="AI65" s="84">
        <f>(2*(AI62^2)/6*AG65)+(AI64*AD63*WLS)</f>
        <v>89.079999999999984</v>
      </c>
      <c r="AJ65" s="84" t="str">
        <f>CONCATENATE("M(",AD63,")=")</f>
        <v>M(3)=</v>
      </c>
      <c r="AK65" s="84">
        <f>VLOOKUP(AD63,STN_TABLE,4,FALSE)</f>
        <v>54.593333333333341</v>
      </c>
      <c r="AL65" t="str">
        <f>CONCATENATE("M(",AD64,")=")</f>
        <v>M(4)=</v>
      </c>
      <c r="AM65">
        <f>AI65+AK65</f>
        <v>143.67333333333332</v>
      </c>
      <c r="AO65" s="82" t="str">
        <f>AA65</f>
        <v>M(4)=</v>
      </c>
      <c r="AP65" s="82" t="e">
        <f>VLOOKUP(AO65,Rise_Results,2,FALSE)</f>
        <v>#N/A</v>
      </c>
      <c r="AQ65" s="82">
        <f>N65</f>
        <v>140.64999999999998</v>
      </c>
      <c r="AR65" s="82">
        <f>IF(OR(AB64&lt;=0,AB65&lt;=0),1/0,AB65)</f>
        <v>143.60333333333332</v>
      </c>
      <c r="AS65" s="82">
        <f>AM65</f>
        <v>143.67333333333332</v>
      </c>
      <c r="AT65">
        <f>IFERROR(AP65,IFERROR(AQ65,IFERROR(AR65,AS65)))</f>
        <v>140.64999999999998</v>
      </c>
      <c r="AU65" s="81"/>
    </row>
    <row r="66" spans="1:47" x14ac:dyDescent="0.25">
      <c r="A66" s="101">
        <f>A61+1</f>
        <v>5</v>
      </c>
      <c r="B66" s="101">
        <f t="shared" si="11"/>
        <v>1</v>
      </c>
      <c r="O66" s="101">
        <f>O61+1</f>
        <v>7</v>
      </c>
      <c r="P66" s="101">
        <f t="shared" si="10"/>
        <v>3</v>
      </c>
      <c r="AU66" s="81"/>
    </row>
    <row r="67" spans="1:47" x14ac:dyDescent="0.25">
      <c r="A67" s="84">
        <f>A66+1</f>
        <v>6</v>
      </c>
      <c r="B67" s="84">
        <f t="shared" si="11"/>
        <v>2</v>
      </c>
      <c r="C67" s="79" t="str">
        <f t="shared" ref="C67" si="21">IF(C68=B69,IF(C69-C68=C68-B68,B68,IF(C69-C68=C68-B67,B67,"#NA")),IF(C68=B68,IF(C69-C68=C68-B67,B67,IF(C69-C68=C68-B66,B66,"#NA")),"#NA"))</f>
        <v>#NA</v>
      </c>
      <c r="D67" s="68" t="e">
        <f>VLOOKUP(C67,STN_TABLE,2,FALSE)</f>
        <v>#N/A</v>
      </c>
      <c r="E67" s="102">
        <v>1</v>
      </c>
      <c r="F67" s="68" t="e">
        <f>D67*E67</f>
        <v>#N/A</v>
      </c>
      <c r="G67" s="69" t="str">
        <f>C67</f>
        <v>#NA</v>
      </c>
      <c r="H67" s="69" t="e">
        <f>F67*G67</f>
        <v>#N/A</v>
      </c>
      <c r="I67" s="6" t="s">
        <v>93</v>
      </c>
      <c r="J67" s="70" t="e">
        <f>IF(OR(D67=0,D68=0,D69=0),"#NA",IF(AND(C69-C68=C68-C67,C68&lt;&gt;C69,C67&lt;&gt;C68,C67&lt;&gt;C69,D69&lt;&gt;0,OR(D67&lt;&gt;0,D68&lt;&gt;0)),WLS*(C69-C68),"#NA"))</f>
        <v>#N/A</v>
      </c>
      <c r="O67" s="99">
        <f>O66+1</f>
        <v>8</v>
      </c>
      <c r="P67" s="99">
        <f t="shared" si="10"/>
        <v>4</v>
      </c>
      <c r="Q67" s="68" t="str">
        <f>IF(OR(P69-P68=P68-P67,P70-P68=P68-P67),P67,IF(OR(P69-P68=P68-P66,P70-P68=P68-P66),P66,"-"))</f>
        <v>-</v>
      </c>
      <c r="R67" s="69" t="e">
        <f>VLOOKUP(Q67,STN_TABLE,2,FALSE)</f>
        <v>#N/A</v>
      </c>
      <c r="S67" s="69">
        <v>5</v>
      </c>
      <c r="T67" s="68" t="e">
        <f>R67*S67</f>
        <v>#N/A</v>
      </c>
      <c r="U67" s="79">
        <v>3</v>
      </c>
      <c r="V67" s="68" t="e">
        <f>R67*U67</f>
        <v>#N/A</v>
      </c>
      <c r="W67" s="6" t="s">
        <v>93</v>
      </c>
      <c r="X67" s="70" t="e">
        <f>IF(AND(Q69-Q68=Q68-Q67,NOT(AND(Q67=0,Q68=0)),NOT(AND(Q68=0,Q69=0))),WLS*(Q69-Q68),"#NA")</f>
        <v>#VALUE!</v>
      </c>
      <c r="AD67" s="93"/>
      <c r="AH67" s="6" t="s">
        <v>93</v>
      </c>
      <c r="AI67" s="70">
        <f>WLS*(AD69-AD68)</f>
        <v>1.6999999999999993</v>
      </c>
      <c r="AU67" s="81"/>
    </row>
    <row r="68" spans="1:47" x14ac:dyDescent="0.25">
      <c r="A68" s="84">
        <f>A67+1</f>
        <v>7</v>
      </c>
      <c r="B68" s="84">
        <f t="shared" si="11"/>
        <v>3</v>
      </c>
      <c r="C68" s="80" t="str">
        <f t="shared" ref="C68" si="22">IF(OR(B70-B69=B69-B68,B70-B69=B69-B67,B70-B69=B69-B66),B69,IF(OR(B70-B68=B68-B67,B70-B68=B68-B66),B68,IF(B70-B67=B67-B66,B67,"#NA")))</f>
        <v>#NA</v>
      </c>
      <c r="D68" s="76" t="e">
        <f>VLOOKUP(C68,STN_TABLE,2,FALSE)</f>
        <v>#N/A</v>
      </c>
      <c r="E68" s="81">
        <v>4</v>
      </c>
      <c r="F68" s="76" t="e">
        <f>D68*E68</f>
        <v>#N/A</v>
      </c>
      <c r="G68" s="77" t="str">
        <f>C68</f>
        <v>#NA</v>
      </c>
      <c r="H68" s="77" t="e">
        <f>F68*G68</f>
        <v>#N/A</v>
      </c>
      <c r="I68" s="495" t="s">
        <v>97</v>
      </c>
      <c r="J68" s="496"/>
      <c r="K68" s="78" t="s">
        <v>98</v>
      </c>
      <c r="L68" s="78"/>
      <c r="M68" s="7" t="s">
        <v>99</v>
      </c>
      <c r="N68" s="7"/>
      <c r="O68" s="99">
        <f>O67+1</f>
        <v>9</v>
      </c>
      <c r="P68" s="99">
        <f t="shared" ref="P68:P99" si="23">VLOOKUP(O68,STN_TABLE_2,2,FALSE)</f>
        <v>4.8499999999999996</v>
      </c>
      <c r="Q68" s="76">
        <f>P68</f>
        <v>4.8499999999999996</v>
      </c>
      <c r="R68" s="77">
        <f>VLOOKUP(Q68,STN_TABLE,2,FALSE)</f>
        <v>5.57</v>
      </c>
      <c r="S68" s="77">
        <v>8</v>
      </c>
      <c r="T68" s="76">
        <f>R68*S68</f>
        <v>44.56</v>
      </c>
      <c r="U68" s="80">
        <v>10</v>
      </c>
      <c r="V68" s="76">
        <f>R68*U68</f>
        <v>55.7</v>
      </c>
      <c r="W68" s="496" t="s">
        <v>97</v>
      </c>
      <c r="X68" s="496"/>
      <c r="Y68" s="496" t="s">
        <v>98</v>
      </c>
      <c r="Z68" s="496"/>
      <c r="AA68" s="494" t="s">
        <v>99</v>
      </c>
      <c r="AB68" s="494"/>
      <c r="AC68" s="99">
        <f>AC63+1</f>
        <v>8</v>
      </c>
      <c r="AD68" s="95">
        <f>VLOOKUP(AC68,STN_TABLE_2,2,FALSE)</f>
        <v>4</v>
      </c>
      <c r="AE68" s="68">
        <f>VLOOKUP(AD68,STN_TABLE,2,FALSE)</f>
        <v>4.01</v>
      </c>
      <c r="AF68" s="68">
        <v>1</v>
      </c>
      <c r="AG68" s="69">
        <f>AE68*AF68</f>
        <v>4.01</v>
      </c>
      <c r="AH68" s="496" t="s">
        <v>97</v>
      </c>
      <c r="AI68" s="496"/>
      <c r="AJ68" s="496" t="s">
        <v>98</v>
      </c>
      <c r="AK68" s="496"/>
      <c r="AL68" s="494" t="s">
        <v>99</v>
      </c>
      <c r="AM68" s="494"/>
      <c r="AP68" s="86" t="s">
        <v>112</v>
      </c>
      <c r="AQ68" s="89" t="s">
        <v>113</v>
      </c>
      <c r="AR68" s="89" t="s">
        <v>114</v>
      </c>
      <c r="AS68" s="89" t="s">
        <v>115</v>
      </c>
      <c r="AU68" s="81"/>
    </row>
    <row r="69" spans="1:47" x14ac:dyDescent="0.25">
      <c r="A69" s="84">
        <f>A68+1</f>
        <v>8</v>
      </c>
      <c r="B69" s="84">
        <f t="shared" si="11"/>
        <v>4</v>
      </c>
      <c r="C69" s="88">
        <f t="shared" ref="C69" si="24">B70</f>
        <v>4.8499999999999996</v>
      </c>
      <c r="D69" s="82">
        <f>VLOOKUP(C69,STN_TABLE,2,FALSE)</f>
        <v>5.57</v>
      </c>
      <c r="E69" s="92">
        <v>1</v>
      </c>
      <c r="F69" s="82">
        <f>D69*E69</f>
        <v>5.57</v>
      </c>
      <c r="G69" s="83">
        <f>C69</f>
        <v>4.8499999999999996</v>
      </c>
      <c r="H69" s="83">
        <f>F69*G69</f>
        <v>27.014499999999998</v>
      </c>
      <c r="I69" s="84" t="str">
        <f>CONCATENATE("a'(",C69,")=")</f>
        <v>a'(4.85)=</v>
      </c>
      <c r="J69" s="84" t="e">
        <f>2*J67/3*F70</f>
        <v>#N/A</v>
      </c>
      <c r="K69" s="84" t="str">
        <f>CONCATENATE("A(",C67,")=")</f>
        <v>A(#NA)=</v>
      </c>
      <c r="L69" s="84" t="e">
        <f>VLOOKUP(C67,STN_TABLE,3,FALSE)</f>
        <v>#N/A</v>
      </c>
      <c r="M69" t="str">
        <f>CONCATENATE("A(",C69,")=")</f>
        <v>A(4.85)=</v>
      </c>
      <c r="N69" t="e">
        <f>J69+L69</f>
        <v>#N/A</v>
      </c>
      <c r="O69" s="99">
        <f>O68+1</f>
        <v>10</v>
      </c>
      <c r="P69" s="99">
        <f t="shared" si="23"/>
        <v>5</v>
      </c>
      <c r="Q69" s="82" t="str">
        <f>IF(P69-P68=P68-P67,P69,IF(P70-P68=P68-P67,P70,IF(P69-P68=P68-P66,P69,IF(P70-P68=P68-P66,P70,"-"))))</f>
        <v>-</v>
      </c>
      <c r="R69" s="83" t="e">
        <f>VLOOKUP(Q69,STN_TABLE,2,FALSE)</f>
        <v>#N/A</v>
      </c>
      <c r="S69" s="83">
        <v>-1</v>
      </c>
      <c r="T69" s="82" t="e">
        <f>R69*S69</f>
        <v>#N/A</v>
      </c>
      <c r="U69" s="88">
        <v>-1</v>
      </c>
      <c r="V69" s="82" t="e">
        <f>R69*U69</f>
        <v>#N/A</v>
      </c>
      <c r="W69" s="84" t="str">
        <f>CONCATENATE("a'(",Q68,")=")</f>
        <v>a'(4.85)=</v>
      </c>
      <c r="X69" s="84" t="e">
        <f>2*X67/12*T70</f>
        <v>#VALUE!</v>
      </c>
      <c r="Y69" s="84" t="str">
        <f>CONCATENATE("A(",Q67,")=")</f>
        <v>A(-)=</v>
      </c>
      <c r="Z69" s="84" t="e">
        <f>VLOOKUP(Q67,STN_TABLE,3,FALSE)</f>
        <v>#N/A</v>
      </c>
      <c r="AA69" t="str">
        <f>CONCATENATE("A(",Q68,")=")</f>
        <v>A(4.85)=</v>
      </c>
      <c r="AB69" t="e">
        <f>X69+Z69</f>
        <v>#VALUE!</v>
      </c>
      <c r="AC69" s="99">
        <f>AC68+1</f>
        <v>9</v>
      </c>
      <c r="AD69" s="100">
        <f>VLOOKUP(AC69,STN_TABLE_2,2,FALSE)</f>
        <v>4.8499999999999996</v>
      </c>
      <c r="AE69" s="82">
        <f>VLOOKUP(AD69,STN_TABLE,2,FALSE)</f>
        <v>5.57</v>
      </c>
      <c r="AF69" s="82">
        <v>2</v>
      </c>
      <c r="AG69" s="83">
        <f>AE69*AF69</f>
        <v>11.14</v>
      </c>
      <c r="AH69" s="84" t="str">
        <f>CONCATENATE("a'(",AD69,")=")</f>
        <v>a'(4.85)=</v>
      </c>
      <c r="AI69" s="84">
        <f>2*AI67/2*AE70</f>
        <v>16.285999999999994</v>
      </c>
      <c r="AJ69" s="84" t="str">
        <f>CONCATENATE("A(",AD68,")=")</f>
        <v>A(4)=</v>
      </c>
      <c r="AK69" s="84">
        <f>VLOOKUP(AD68,STN_TABLE,3,FALSE)</f>
        <v>26.743333333333332</v>
      </c>
      <c r="AL69" t="str">
        <f>CONCATENATE("A(",AD69,")=")</f>
        <v>A(4.85)=</v>
      </c>
      <c r="AM69">
        <f>AI69+AK69</f>
        <v>43.029333333333327</v>
      </c>
      <c r="AO69" s="68" t="str">
        <f>AA69</f>
        <v>A(4.85)=</v>
      </c>
      <c r="AP69" s="68" t="e">
        <f>VLOOKUP(AO69,Rise_Results,2,FALSE)</f>
        <v>#N/A</v>
      </c>
      <c r="AQ69" s="76" t="e">
        <f>N69</f>
        <v>#N/A</v>
      </c>
      <c r="AR69" s="76" t="e">
        <f>IF(OR(AB69&lt;=0,AB70&lt;=0),1/0,AB69)</f>
        <v>#VALUE!</v>
      </c>
      <c r="AS69" s="76">
        <f>AM69</f>
        <v>43.029333333333327</v>
      </c>
      <c r="AT69">
        <f>IFERROR(AP69,IFERROR(AQ69,IFERROR(AR69,AS69)))</f>
        <v>43.029333333333327</v>
      </c>
      <c r="AU69" s="81"/>
    </row>
    <row r="70" spans="1:47" x14ac:dyDescent="0.25">
      <c r="A70" s="84">
        <f>A69+1</f>
        <v>9</v>
      </c>
      <c r="B70" s="84">
        <f t="shared" si="11"/>
        <v>4.8499999999999996</v>
      </c>
      <c r="F70" s="82" t="e">
        <f>SUM(F67:F69)</f>
        <v>#N/A</v>
      </c>
      <c r="H70" s="82" t="e">
        <f>SUM(H67:H69)</f>
        <v>#N/A</v>
      </c>
      <c r="I70" s="84" t="str">
        <f>CONCATENATE("m'(",C69,")=")</f>
        <v>m'(4.85)=</v>
      </c>
      <c r="J70" s="84" t="e">
        <f>2*(J67*(WLS))/3*H70</f>
        <v>#N/A</v>
      </c>
      <c r="K70" s="84" t="str">
        <f>CONCATENATE("M(",C67,")=")</f>
        <v>M(#NA)=</v>
      </c>
      <c r="L70" s="84" t="e">
        <f>VLOOKUP(C67,STN_TABLE,4,FALSE)</f>
        <v>#N/A</v>
      </c>
      <c r="M70" t="str">
        <f>CONCATENATE("M(",C69,")=")</f>
        <v>M(4.85)=</v>
      </c>
      <c r="N70" t="e">
        <f>J70+L70</f>
        <v>#N/A</v>
      </c>
      <c r="O70" s="99">
        <f>O69+1</f>
        <v>11</v>
      </c>
      <c r="P70" s="99">
        <f t="shared" si="23"/>
        <v>6</v>
      </c>
      <c r="T70" s="89" t="e">
        <f>SUM(T67:T69)</f>
        <v>#N/A</v>
      </c>
      <c r="V70" s="82" t="e">
        <f>SUM(V67:V69)</f>
        <v>#N/A</v>
      </c>
      <c r="W70" s="84" t="str">
        <f>CONCATENATE("m'(",Q68,")=")</f>
        <v>m'(4.85)=</v>
      </c>
      <c r="X70" s="84" t="e">
        <f>(2*(X67^2)/24*V70)+(X69*Q67*WLS)</f>
        <v>#VALUE!</v>
      </c>
      <c r="Y70" s="84" t="str">
        <f>CONCATENATE("M(",Q67,")=")</f>
        <v>M(-)=</v>
      </c>
      <c r="Z70" s="84" t="e">
        <f>VLOOKUP(Q67,STN_TABLE,4,FALSE)</f>
        <v>#N/A</v>
      </c>
      <c r="AA70" t="str">
        <f>CONCATENATE("M(",Q68,")=")</f>
        <v>M(4.85)=</v>
      </c>
      <c r="AB70" t="e">
        <f>X70+Z70</f>
        <v>#VALUE!</v>
      </c>
      <c r="AE70" s="89">
        <f>SUM(AE68:AE69)</f>
        <v>9.58</v>
      </c>
      <c r="AG70" s="89">
        <f>SUM(AG68:AG69)</f>
        <v>15.15</v>
      </c>
      <c r="AH70" s="84" t="str">
        <f>CONCATENATE("m'(",AD69,")=")</f>
        <v>m'(4.85)=</v>
      </c>
      <c r="AI70" s="84">
        <f>(2*(AI67^2)/6*AG70)+(AI69*AD68*WLS)</f>
        <v>144.88249999999994</v>
      </c>
      <c r="AJ70" s="84" t="str">
        <f>CONCATENATE("M(",AD68,")=")</f>
        <v>M(4)=</v>
      </c>
      <c r="AK70" s="84">
        <f>VLOOKUP(AD68,STN_TABLE,4,FALSE)</f>
        <v>140.64999999999998</v>
      </c>
      <c r="AL70" t="str">
        <f>CONCATENATE("M(",AD69,")=")</f>
        <v>M(4.85)=</v>
      </c>
      <c r="AM70">
        <f>AI70+AK70</f>
        <v>285.53249999999991</v>
      </c>
      <c r="AO70" s="82" t="str">
        <f>AA70</f>
        <v>M(4.85)=</v>
      </c>
      <c r="AP70" s="82" t="e">
        <f>VLOOKUP(AO70,Rise_Results,2,FALSE)</f>
        <v>#N/A</v>
      </c>
      <c r="AQ70" s="82" t="e">
        <f>N70</f>
        <v>#N/A</v>
      </c>
      <c r="AR70" s="82" t="e">
        <f>IF(OR(AB69&lt;=0,AB70&lt;=0),1/0,AB70)</f>
        <v>#VALUE!</v>
      </c>
      <c r="AS70" s="82">
        <f>AM70</f>
        <v>285.53249999999991</v>
      </c>
      <c r="AT70">
        <f>IFERROR(AP70,IFERROR(AQ70,IFERROR(AR70,AS70)))</f>
        <v>285.53249999999991</v>
      </c>
      <c r="AU70" s="81"/>
    </row>
    <row r="71" spans="1:47" x14ac:dyDescent="0.25">
      <c r="A71" s="101">
        <f>A66+1</f>
        <v>6</v>
      </c>
      <c r="B71" s="101">
        <f t="shared" si="11"/>
        <v>2</v>
      </c>
      <c r="O71" s="101">
        <f>O66+1</f>
        <v>8</v>
      </c>
      <c r="P71" s="101">
        <f t="shared" si="23"/>
        <v>4</v>
      </c>
      <c r="AU71" s="81"/>
    </row>
    <row r="72" spans="1:47" x14ac:dyDescent="0.25">
      <c r="A72" s="84">
        <f>A71+1</f>
        <v>7</v>
      </c>
      <c r="B72" s="84">
        <f t="shared" si="11"/>
        <v>3</v>
      </c>
      <c r="C72" s="79">
        <f t="shared" ref="C72" si="25">IF(C73=B74,IF(C74-C73=C73-B73,B73,IF(C74-C73=C73-B72,B72,"#NA")),IF(C73=B73,IF(C74-C73=C73-B72,B72,IF(C74-C73=C73-B71,B71,"#NA")),"#NA"))</f>
        <v>3</v>
      </c>
      <c r="D72" s="68">
        <f>VLOOKUP(C72,STN_TABLE,2,FALSE)</f>
        <v>2.27</v>
      </c>
      <c r="E72" s="102">
        <v>1</v>
      </c>
      <c r="F72" s="68">
        <f>D72*E72</f>
        <v>2.27</v>
      </c>
      <c r="G72" s="69">
        <f>C72</f>
        <v>3</v>
      </c>
      <c r="H72" s="69">
        <f>F72*G72</f>
        <v>6.8100000000000005</v>
      </c>
      <c r="I72" s="6" t="s">
        <v>93</v>
      </c>
      <c r="J72" s="70">
        <f>IF(OR(D72=0,D73=0,D74=0),"#NA",IF(AND(C74-C73=C73-C72,C73&lt;&gt;C74,C72&lt;&gt;C73,C72&lt;&gt;C74,D74&lt;&gt;0,OR(D72&lt;&gt;0,D73&lt;&gt;0)),WLS*(C74-C73),"#NA"))</f>
        <v>2</v>
      </c>
      <c r="O72" s="99">
        <f>O71+1</f>
        <v>9</v>
      </c>
      <c r="P72" s="99">
        <f t="shared" si="23"/>
        <v>4.8499999999999996</v>
      </c>
      <c r="Q72" s="68">
        <f>IF(OR(P74-P73=P73-P72,P75-P73=P73-P72),P72,IF(OR(P74-P73=P73-P71,P75-P73=P73-P71),P71,"-"))</f>
        <v>4</v>
      </c>
      <c r="R72" s="69">
        <f>VLOOKUP(Q72,STN_TABLE,2,FALSE)</f>
        <v>4.01</v>
      </c>
      <c r="S72" s="69">
        <v>5</v>
      </c>
      <c r="T72" s="68">
        <f>R72*S72</f>
        <v>20.049999999999997</v>
      </c>
      <c r="U72" s="79">
        <v>3</v>
      </c>
      <c r="V72" s="68">
        <f>R72*U72</f>
        <v>12.03</v>
      </c>
      <c r="W72" s="6" t="s">
        <v>93</v>
      </c>
      <c r="X72" s="70">
        <f>IF(AND(Q74-Q73=Q73-Q72,NOT(AND(Q72=0,Q73=0)),NOT(AND(Q73=0,Q74=0))),WLS*(Q74-Q73),"#NA")</f>
        <v>2</v>
      </c>
      <c r="AD72" s="93"/>
      <c r="AH72" s="6" t="s">
        <v>93</v>
      </c>
      <c r="AI72" s="70">
        <f>WLS*(AD74-AD73)</f>
        <v>0.30000000000000071</v>
      </c>
      <c r="AU72" s="81"/>
    </row>
    <row r="73" spans="1:47" x14ac:dyDescent="0.25">
      <c r="A73" s="84">
        <f>A72+1</f>
        <v>8</v>
      </c>
      <c r="B73" s="84">
        <f t="shared" si="11"/>
        <v>4</v>
      </c>
      <c r="C73" s="80">
        <f t="shared" ref="C73" si="26">IF(OR(B75-B74=B74-B73,B75-B74=B74-B72,B75-B74=B74-B71),B74,IF(OR(B75-B73=B73-B72,B75-B73=B73-B71),B73,IF(B75-B72=B72-B71,B72,"#NA")))</f>
        <v>4</v>
      </c>
      <c r="D73" s="76">
        <f>VLOOKUP(C73,STN_TABLE,2,FALSE)</f>
        <v>4.01</v>
      </c>
      <c r="E73" s="81">
        <v>4</v>
      </c>
      <c r="F73" s="76">
        <f>D73*E73</f>
        <v>16.04</v>
      </c>
      <c r="G73" s="77">
        <f>C73</f>
        <v>4</v>
      </c>
      <c r="H73" s="77">
        <f>F73*G73</f>
        <v>64.16</v>
      </c>
      <c r="I73" s="495" t="s">
        <v>97</v>
      </c>
      <c r="J73" s="496"/>
      <c r="K73" s="78" t="s">
        <v>98</v>
      </c>
      <c r="L73" s="78"/>
      <c r="M73" s="7" t="s">
        <v>99</v>
      </c>
      <c r="N73" s="7"/>
      <c r="O73" s="99">
        <f>O72+1</f>
        <v>10</v>
      </c>
      <c r="P73" s="99">
        <f t="shared" si="23"/>
        <v>5</v>
      </c>
      <c r="Q73" s="76">
        <f>P73</f>
        <v>5</v>
      </c>
      <c r="R73" s="77">
        <f>VLOOKUP(Q73,STN_TABLE,2,FALSE)</f>
        <v>5.78</v>
      </c>
      <c r="S73" s="77">
        <v>8</v>
      </c>
      <c r="T73" s="76">
        <f>R73*S73</f>
        <v>46.24</v>
      </c>
      <c r="U73" s="80">
        <v>10</v>
      </c>
      <c r="V73" s="76">
        <f>R73*U73</f>
        <v>57.800000000000004</v>
      </c>
      <c r="W73" s="496" t="s">
        <v>97</v>
      </c>
      <c r="X73" s="496"/>
      <c r="Y73" s="496" t="s">
        <v>98</v>
      </c>
      <c r="Z73" s="496"/>
      <c r="AA73" s="494" t="s">
        <v>99</v>
      </c>
      <c r="AB73" s="494"/>
      <c r="AC73" s="99">
        <f>AC68+1</f>
        <v>9</v>
      </c>
      <c r="AD73" s="95">
        <f>VLOOKUP(AC73,STN_TABLE_2,2,FALSE)</f>
        <v>4.8499999999999996</v>
      </c>
      <c r="AE73" s="68">
        <f>VLOOKUP(AD73,STN_TABLE,2,FALSE)</f>
        <v>5.57</v>
      </c>
      <c r="AF73" s="68">
        <v>1</v>
      </c>
      <c r="AG73" s="69">
        <f>AE73*AF73</f>
        <v>5.57</v>
      </c>
      <c r="AH73" s="496" t="s">
        <v>97</v>
      </c>
      <c r="AI73" s="496"/>
      <c r="AJ73" s="496" t="s">
        <v>98</v>
      </c>
      <c r="AK73" s="496"/>
      <c r="AL73" s="494" t="s">
        <v>99</v>
      </c>
      <c r="AM73" s="494"/>
      <c r="AP73" s="86" t="s">
        <v>112</v>
      </c>
      <c r="AQ73" s="89" t="s">
        <v>113</v>
      </c>
      <c r="AR73" s="89" t="s">
        <v>114</v>
      </c>
      <c r="AS73" s="89" t="s">
        <v>115</v>
      </c>
      <c r="AU73" s="81"/>
    </row>
    <row r="74" spans="1:47" x14ac:dyDescent="0.25">
      <c r="A74" s="84">
        <f>A73+1</f>
        <v>9</v>
      </c>
      <c r="B74" s="84">
        <f t="shared" ref="B74:B105" si="27">VLOOKUP(A74,STN_TABLE_2,2,FALSE)</f>
        <v>4.8499999999999996</v>
      </c>
      <c r="C74" s="88">
        <f t="shared" ref="C74" si="28">B75</f>
        <v>5</v>
      </c>
      <c r="D74" s="82">
        <f>VLOOKUP(C74,STN_TABLE,2,FALSE)</f>
        <v>5.78</v>
      </c>
      <c r="E74" s="92">
        <v>1</v>
      </c>
      <c r="F74" s="82">
        <f>D74*E74</f>
        <v>5.78</v>
      </c>
      <c r="G74" s="83">
        <f>C74</f>
        <v>5</v>
      </c>
      <c r="H74" s="83">
        <f>F74*G74</f>
        <v>28.900000000000002</v>
      </c>
      <c r="I74" s="84" t="str">
        <f>CONCATENATE("a'(",C74,")=")</f>
        <v>a'(5)=</v>
      </c>
      <c r="J74" s="84">
        <f>2*J72/3*F75</f>
        <v>32.119999999999997</v>
      </c>
      <c r="K74" s="84" t="str">
        <f>CONCATENATE("A(",C72,")=")</f>
        <v>A(3)=</v>
      </c>
      <c r="L74" s="84">
        <f>VLOOKUP(C72,STN_TABLE,3,FALSE)</f>
        <v>14.666666666666664</v>
      </c>
      <c r="M74" t="str">
        <f>CONCATENATE("A(",C74,")=")</f>
        <v>A(5)=</v>
      </c>
      <c r="N74">
        <f>J74+L74</f>
        <v>46.786666666666662</v>
      </c>
      <c r="O74" s="99">
        <f>O73+1</f>
        <v>11</v>
      </c>
      <c r="P74" s="99">
        <f t="shared" si="23"/>
        <v>6</v>
      </c>
      <c r="Q74" s="82">
        <f>IF(P74-P73=P73-P72,P74,IF(P75-P73=P73-P72,P75,IF(P74-P73=P73-P71,P74,IF(P75-P73=P73-P71,P75,"-"))))</f>
        <v>6</v>
      </c>
      <c r="R74" s="83">
        <f>VLOOKUP(Q74,STN_TABLE,2,FALSE)</f>
        <v>6.8</v>
      </c>
      <c r="S74" s="83">
        <v>-1</v>
      </c>
      <c r="T74" s="82">
        <f>R74*S74</f>
        <v>-6.8</v>
      </c>
      <c r="U74" s="88">
        <v>-1</v>
      </c>
      <c r="V74" s="82">
        <f>R74*U74</f>
        <v>-6.8</v>
      </c>
      <c r="W74" s="84" t="str">
        <f>CONCATENATE("a'(",Q73,")=")</f>
        <v>a'(5)=</v>
      </c>
      <c r="X74" s="84">
        <f>2*X72/12*T75</f>
        <v>19.829999999999998</v>
      </c>
      <c r="Y74" s="84" t="str">
        <f>CONCATENATE("A(",Q72,")=")</f>
        <v>A(4)=</v>
      </c>
      <c r="Z74" s="84">
        <f>VLOOKUP(Q72,STN_TABLE,3,FALSE)</f>
        <v>26.743333333333332</v>
      </c>
      <c r="AA74" t="str">
        <f>CONCATENATE("A(",Q73,")=")</f>
        <v>A(5)=</v>
      </c>
      <c r="AB74">
        <f>X74+Z74</f>
        <v>46.573333333333331</v>
      </c>
      <c r="AC74" s="99">
        <f>AC73+1</f>
        <v>10</v>
      </c>
      <c r="AD74" s="100">
        <f>VLOOKUP(AC74,STN_TABLE_2,2,FALSE)</f>
        <v>5</v>
      </c>
      <c r="AE74" s="82">
        <f>VLOOKUP(AD74,STN_TABLE,2,FALSE)</f>
        <v>5.78</v>
      </c>
      <c r="AF74" s="82">
        <v>2</v>
      </c>
      <c r="AG74" s="83">
        <f>AE74*AF74</f>
        <v>11.56</v>
      </c>
      <c r="AH74" s="84" t="str">
        <f>CONCATENATE("a'(",AD74,")=")</f>
        <v>a'(5)=</v>
      </c>
      <c r="AI74" s="84">
        <f>2*AI72/2*AE75</f>
        <v>3.4050000000000087</v>
      </c>
      <c r="AJ74" s="84" t="str">
        <f>CONCATENATE("A(",AD73,")=")</f>
        <v>A(4.85)=</v>
      </c>
      <c r="AK74" s="84">
        <f>VLOOKUP(AD73,STN_TABLE,3,FALSE)</f>
        <v>43.029333333333327</v>
      </c>
      <c r="AL74" t="str">
        <f>CONCATENATE("A(",AD74,")=")</f>
        <v>A(5)=</v>
      </c>
      <c r="AM74">
        <f>AI74+AK74</f>
        <v>46.434333333333335</v>
      </c>
      <c r="AO74" s="68" t="str">
        <f>AA74</f>
        <v>A(5)=</v>
      </c>
      <c r="AP74" s="68" t="e">
        <f>VLOOKUP(AO74,Rise_Results,2,FALSE)</f>
        <v>#N/A</v>
      </c>
      <c r="AQ74" s="76">
        <f>N74</f>
        <v>46.786666666666662</v>
      </c>
      <c r="AR74" s="76">
        <f>IF(OR(AB74&lt;=0,AB75&lt;=0),1/0,AB74)</f>
        <v>46.573333333333331</v>
      </c>
      <c r="AS74" s="76">
        <f>AM74</f>
        <v>46.434333333333335</v>
      </c>
      <c r="AT74">
        <f>IFERROR(AP74,IFERROR(AQ74,IFERROR(AR74,AS74)))</f>
        <v>46.786666666666662</v>
      </c>
      <c r="AU74" s="81"/>
    </row>
    <row r="75" spans="1:47" x14ac:dyDescent="0.25">
      <c r="A75" s="84">
        <f>A74+1</f>
        <v>10</v>
      </c>
      <c r="B75" s="84">
        <f t="shared" si="27"/>
        <v>5</v>
      </c>
      <c r="F75" s="82">
        <f>SUM(F72:F74)</f>
        <v>24.09</v>
      </c>
      <c r="H75" s="82">
        <f>SUM(H72:H74)</f>
        <v>99.87</v>
      </c>
      <c r="I75" s="84" t="str">
        <f>CONCATENATE("m'(",C74,")=")</f>
        <v>m'(5)=</v>
      </c>
      <c r="J75" s="84">
        <f>2*(J72*(WLS))/3*H75</f>
        <v>266.32</v>
      </c>
      <c r="K75" s="84" t="str">
        <f>CONCATENATE("M(",C72,")=")</f>
        <v>M(3)=</v>
      </c>
      <c r="L75" s="84">
        <f>VLOOKUP(C72,STN_TABLE,4,FALSE)</f>
        <v>54.593333333333341</v>
      </c>
      <c r="M75" t="str">
        <f>CONCATENATE("M(",C74,")=")</f>
        <v>M(5)=</v>
      </c>
      <c r="N75">
        <f>J75+L75</f>
        <v>320.91333333333336</v>
      </c>
      <c r="O75" s="99">
        <f>O74+1</f>
        <v>12</v>
      </c>
      <c r="P75" s="99">
        <f t="shared" si="23"/>
        <v>6.5</v>
      </c>
      <c r="T75" s="89">
        <f>SUM(T72:T74)</f>
        <v>59.489999999999995</v>
      </c>
      <c r="V75" s="82">
        <f>SUM(V72:V74)</f>
        <v>63.03</v>
      </c>
      <c r="W75" s="84" t="str">
        <f>CONCATENATE("m'(",Q73,")=")</f>
        <v>m'(5)=</v>
      </c>
      <c r="X75" s="84">
        <f>(2*(X72^2)/24*V75)+(X74*Q72*WLS)</f>
        <v>179.64999999999998</v>
      </c>
      <c r="Y75" s="84" t="str">
        <f>CONCATENATE("M(",Q72,")=")</f>
        <v>M(4)=</v>
      </c>
      <c r="Z75" s="84">
        <f>VLOOKUP(Q72,STN_TABLE,4,FALSE)</f>
        <v>140.64999999999998</v>
      </c>
      <c r="AA75" t="str">
        <f>CONCATENATE("M(",Q73,")=")</f>
        <v>M(5)=</v>
      </c>
      <c r="AB75">
        <f>X75+Z75</f>
        <v>320.29999999999995</v>
      </c>
      <c r="AE75" s="89">
        <f>SUM(AE73:AE74)</f>
        <v>11.350000000000001</v>
      </c>
      <c r="AG75" s="89">
        <f>SUM(AG73:AG74)</f>
        <v>17.130000000000003</v>
      </c>
      <c r="AH75" s="84" t="str">
        <f>CONCATENATE("m'(",AD74,")=")</f>
        <v>m'(5)=</v>
      </c>
      <c r="AI75" s="84">
        <f>(2*(AI72^2)/6*AG75)+(AI74*AD73*WLS)</f>
        <v>33.542400000000079</v>
      </c>
      <c r="AJ75" s="84" t="str">
        <f>CONCATENATE("M(",AD73,")=")</f>
        <v>M(4.85)=</v>
      </c>
      <c r="AK75" s="84">
        <f>VLOOKUP(AD73,STN_TABLE,4,FALSE)</f>
        <v>285.53249999999991</v>
      </c>
      <c r="AL75" t="str">
        <f>CONCATENATE("M(",AD74,")=")</f>
        <v>M(5)=</v>
      </c>
      <c r="AM75">
        <f>AI75+AK75</f>
        <v>319.07490000000001</v>
      </c>
      <c r="AO75" s="82" t="str">
        <f>AA75</f>
        <v>M(5)=</v>
      </c>
      <c r="AP75" s="82" t="e">
        <f>VLOOKUP(AO75,Rise_Results,2,FALSE)</f>
        <v>#N/A</v>
      </c>
      <c r="AQ75" s="82">
        <f>N75</f>
        <v>320.91333333333336</v>
      </c>
      <c r="AR75" s="82">
        <f>IF(OR(AB74&lt;=0,AB75&lt;=0),1/0,AB75)</f>
        <v>320.29999999999995</v>
      </c>
      <c r="AS75" s="82">
        <f>AM75</f>
        <v>319.07490000000001</v>
      </c>
      <c r="AT75">
        <f>IFERROR(AP75,IFERROR(AQ75,IFERROR(AR75,AS75)))</f>
        <v>320.91333333333336</v>
      </c>
      <c r="AU75" s="81"/>
    </row>
    <row r="76" spans="1:47" x14ac:dyDescent="0.25">
      <c r="A76" s="101">
        <f>A71+1</f>
        <v>7</v>
      </c>
      <c r="B76" s="101">
        <f t="shared" si="27"/>
        <v>3</v>
      </c>
      <c r="O76" s="101">
        <f>O71+1</f>
        <v>9</v>
      </c>
      <c r="P76" s="101">
        <f t="shared" si="23"/>
        <v>4.8499999999999996</v>
      </c>
      <c r="AU76" s="81"/>
    </row>
    <row r="77" spans="1:47" x14ac:dyDescent="0.25">
      <c r="A77" s="84">
        <f>A76+1</f>
        <v>8</v>
      </c>
      <c r="B77" s="84">
        <f t="shared" si="27"/>
        <v>4</v>
      </c>
      <c r="C77" s="79">
        <f t="shared" ref="C77" si="29">IF(C78=B79,IF(C79-C78=C78-B78,B78,IF(C79-C78=C78-B77,B77,"#NA")),IF(C78=B78,IF(C79-C78=C78-B77,B77,IF(C79-C78=C78-B76,B76,"#NA")),"#NA"))</f>
        <v>4</v>
      </c>
      <c r="D77" s="68">
        <f>VLOOKUP(C77,STN_TABLE,2,FALSE)</f>
        <v>4.01</v>
      </c>
      <c r="E77" s="102">
        <v>1</v>
      </c>
      <c r="F77" s="68">
        <f>D77*E77</f>
        <v>4.01</v>
      </c>
      <c r="G77" s="69">
        <f>C77</f>
        <v>4</v>
      </c>
      <c r="H77" s="69">
        <f>F77*G77</f>
        <v>16.04</v>
      </c>
      <c r="I77" s="6" t="s">
        <v>93</v>
      </c>
      <c r="J77" s="70">
        <f>IF(OR(D77=0,D78=0,D79=0),"#NA",IF(AND(C79-C78=C78-C77,C78&lt;&gt;C79,C77&lt;&gt;C78,C77&lt;&gt;C79,D79&lt;&gt;0,OR(D77&lt;&gt;0,D78&lt;&gt;0)),WLS*(C79-C78),"#NA"))</f>
        <v>2</v>
      </c>
      <c r="O77" s="99">
        <f>O76+1</f>
        <v>10</v>
      </c>
      <c r="P77" s="99">
        <f t="shared" si="23"/>
        <v>5</v>
      </c>
      <c r="Q77" s="68" t="e">
        <f>IF(OR(P79-P78=P78-P77,P80-P78=P78-P77),P77,IF(OR(P79-P78=P78-P76,P80-P78=P78-P76),P76,"-"))</f>
        <v>#VALUE!</v>
      </c>
      <c r="R77" s="69" t="e">
        <f>VLOOKUP(Q77,STN_TABLE,2,FALSE)</f>
        <v>#VALUE!</v>
      </c>
      <c r="S77" s="69">
        <v>5</v>
      </c>
      <c r="T77" s="68" t="e">
        <f>R77*S77</f>
        <v>#VALUE!</v>
      </c>
      <c r="U77" s="79">
        <v>3</v>
      </c>
      <c r="V77" s="68" t="e">
        <f>R77*U77</f>
        <v>#VALUE!</v>
      </c>
      <c r="W77" s="6" t="s">
        <v>93</v>
      </c>
      <c r="X77" s="70" t="e">
        <f>IF(AND(Q79-Q78=Q78-Q77,NOT(AND(Q77=0,Q78=0)),NOT(AND(Q78=0,Q79=0))),WLS*(Q79-Q78),"#NA")</f>
        <v>#VALUE!</v>
      </c>
      <c r="AD77" s="93"/>
      <c r="AH77" s="6" t="s">
        <v>93</v>
      </c>
      <c r="AI77" s="70">
        <f>WLS*(AD79-AD78)</f>
        <v>2</v>
      </c>
      <c r="AU77" s="81"/>
    </row>
    <row r="78" spans="1:47" x14ac:dyDescent="0.25">
      <c r="A78" s="84">
        <f>A77+1</f>
        <v>9</v>
      </c>
      <c r="B78" s="84">
        <f t="shared" si="27"/>
        <v>4.8499999999999996</v>
      </c>
      <c r="C78" s="80">
        <f t="shared" ref="C78" si="30">IF(OR(B80-B79=B79-B78,B80-B79=B79-B77,B80-B79=B79-B76),B79,IF(OR(B80-B78=B78-B77,B80-B78=B78-B76),B78,IF(B80-B77=B77-B76,B77,"#NA")))</f>
        <v>5</v>
      </c>
      <c r="D78" s="76">
        <f>VLOOKUP(C78,STN_TABLE,2,FALSE)</f>
        <v>5.78</v>
      </c>
      <c r="E78" s="81">
        <v>4</v>
      </c>
      <c r="F78" s="76">
        <f>D78*E78</f>
        <v>23.12</v>
      </c>
      <c r="G78" s="77">
        <f>C78</f>
        <v>5</v>
      </c>
      <c r="H78" s="77">
        <f>F78*G78</f>
        <v>115.60000000000001</v>
      </c>
      <c r="I78" s="495" t="s">
        <v>97</v>
      </c>
      <c r="J78" s="496"/>
      <c r="K78" s="78" t="s">
        <v>98</v>
      </c>
      <c r="L78" s="78"/>
      <c r="M78" s="7" t="s">
        <v>99</v>
      </c>
      <c r="N78" s="7"/>
      <c r="O78" s="99">
        <f>O77+1</f>
        <v>11</v>
      </c>
      <c r="P78" s="99">
        <f t="shared" si="23"/>
        <v>6</v>
      </c>
      <c r="Q78" s="76">
        <f>P78</f>
        <v>6</v>
      </c>
      <c r="R78" s="77">
        <f>VLOOKUP(Q78,STN_TABLE,2,FALSE)</f>
        <v>6.8</v>
      </c>
      <c r="S78" s="77">
        <v>8</v>
      </c>
      <c r="T78" s="76">
        <f>R78*S78</f>
        <v>54.4</v>
      </c>
      <c r="U78" s="80">
        <v>10</v>
      </c>
      <c r="V78" s="76">
        <f>R78*U78</f>
        <v>68</v>
      </c>
      <c r="W78" s="496" t="s">
        <v>97</v>
      </c>
      <c r="X78" s="496"/>
      <c r="Y78" s="496" t="s">
        <v>98</v>
      </c>
      <c r="Z78" s="496"/>
      <c r="AA78" s="494" t="s">
        <v>99</v>
      </c>
      <c r="AB78" s="494"/>
      <c r="AC78" s="99">
        <f>AC73+1</f>
        <v>10</v>
      </c>
      <c r="AD78" s="95">
        <f>VLOOKUP(AC78,STN_TABLE_2,2,FALSE)</f>
        <v>5</v>
      </c>
      <c r="AE78" s="68">
        <f>VLOOKUP(AD78,STN_TABLE,2,FALSE)</f>
        <v>5.78</v>
      </c>
      <c r="AF78" s="68">
        <v>1</v>
      </c>
      <c r="AG78" s="69">
        <f>AE78*AF78</f>
        <v>5.78</v>
      </c>
      <c r="AH78" s="496" t="s">
        <v>97</v>
      </c>
      <c r="AI78" s="496"/>
      <c r="AJ78" s="496" t="s">
        <v>98</v>
      </c>
      <c r="AK78" s="496"/>
      <c r="AL78" s="494" t="s">
        <v>99</v>
      </c>
      <c r="AM78" s="494"/>
      <c r="AP78" s="86" t="s">
        <v>112</v>
      </c>
      <c r="AQ78" s="89" t="s">
        <v>113</v>
      </c>
      <c r="AR78" s="89" t="s">
        <v>114</v>
      </c>
      <c r="AS78" s="89" t="s">
        <v>115</v>
      </c>
      <c r="AU78" s="81"/>
    </row>
    <row r="79" spans="1:47" x14ac:dyDescent="0.25">
      <c r="A79" s="84">
        <f>A78+1</f>
        <v>10</v>
      </c>
      <c r="B79" s="84">
        <f t="shared" si="27"/>
        <v>5</v>
      </c>
      <c r="C79" s="88">
        <f t="shared" ref="C79" si="31">B80</f>
        <v>6</v>
      </c>
      <c r="D79" s="82">
        <f>VLOOKUP(C79,STN_TABLE,2,FALSE)</f>
        <v>6.8</v>
      </c>
      <c r="E79" s="92">
        <v>1</v>
      </c>
      <c r="F79" s="82">
        <f>D79*E79</f>
        <v>6.8</v>
      </c>
      <c r="G79" s="83">
        <f>C79</f>
        <v>6</v>
      </c>
      <c r="H79" s="83">
        <f>F79*G79</f>
        <v>40.799999999999997</v>
      </c>
      <c r="I79" s="84" t="str">
        <f>CONCATENATE("a'(",C79,")=")</f>
        <v>a'(6)=</v>
      </c>
      <c r="J79" s="84">
        <f>2*J77/3*F80</f>
        <v>45.239999999999995</v>
      </c>
      <c r="K79" s="84" t="str">
        <f>CONCATENATE("A(",C77,")=")</f>
        <v>A(4)=</v>
      </c>
      <c r="L79" s="84">
        <f>VLOOKUP(C77,STN_TABLE,3,FALSE)</f>
        <v>26.743333333333332</v>
      </c>
      <c r="M79" t="str">
        <f>CONCATENATE("A(",C79,")=")</f>
        <v>A(6)=</v>
      </c>
      <c r="N79">
        <f>J79+L79</f>
        <v>71.98333333333332</v>
      </c>
      <c r="O79" s="99">
        <f>O78+1</f>
        <v>12</v>
      </c>
      <c r="P79" s="99">
        <f t="shared" si="23"/>
        <v>6.5</v>
      </c>
      <c r="Q79" s="82" t="e">
        <f>IF(P79-P78=P78-P77,P79,IF(P80-P78=P78-P77,P80,IF(P79-P78=P78-P76,P79,IF(P80-P78=P78-P76,P80,"-"))))</f>
        <v>#VALUE!</v>
      </c>
      <c r="R79" s="83" t="e">
        <f>VLOOKUP(Q79,STN_TABLE,2,FALSE)</f>
        <v>#VALUE!</v>
      </c>
      <c r="S79" s="83">
        <v>-1</v>
      </c>
      <c r="T79" s="82" t="e">
        <f>R79*S79</f>
        <v>#VALUE!</v>
      </c>
      <c r="U79" s="88">
        <v>-1</v>
      </c>
      <c r="V79" s="82" t="e">
        <f>R79*U79</f>
        <v>#VALUE!</v>
      </c>
      <c r="W79" s="84" t="str">
        <f>CONCATENATE("a'(",Q78,")=")</f>
        <v>a'(6)=</v>
      </c>
      <c r="X79" s="84" t="e">
        <f>2*X77/12*T80</f>
        <v>#VALUE!</v>
      </c>
      <c r="Y79" s="84" t="e">
        <f>CONCATENATE("A(",Q77,")=")</f>
        <v>#VALUE!</v>
      </c>
      <c r="Z79" s="84" t="e">
        <f>VLOOKUP(Q77,STN_TABLE,3,FALSE)</f>
        <v>#VALUE!</v>
      </c>
      <c r="AA79" t="str">
        <f>CONCATENATE("A(",Q78,")=")</f>
        <v>A(6)=</v>
      </c>
      <c r="AB79" t="e">
        <f>X79+Z79</f>
        <v>#VALUE!</v>
      </c>
      <c r="AC79" s="99">
        <f>AC78+1</f>
        <v>11</v>
      </c>
      <c r="AD79" s="100">
        <f>VLOOKUP(AC79,STN_TABLE_2,2,FALSE)</f>
        <v>6</v>
      </c>
      <c r="AE79" s="82">
        <f>VLOOKUP(AD79,STN_TABLE,2,FALSE)</f>
        <v>6.8</v>
      </c>
      <c r="AF79" s="82">
        <v>2</v>
      </c>
      <c r="AG79" s="83">
        <f>AE79*AF79</f>
        <v>13.6</v>
      </c>
      <c r="AH79" s="84" t="str">
        <f>CONCATENATE("a'(",AD79,")=")</f>
        <v>a'(6)=</v>
      </c>
      <c r="AI79" s="84">
        <f>2*AI77/2*AE80</f>
        <v>25.16</v>
      </c>
      <c r="AJ79" s="84" t="str">
        <f>CONCATENATE("A(",AD78,")=")</f>
        <v>A(5)=</v>
      </c>
      <c r="AK79" s="84">
        <f>VLOOKUP(AD78,STN_TABLE,3,FALSE)</f>
        <v>46.786666666666662</v>
      </c>
      <c r="AL79" t="str">
        <f>CONCATENATE("A(",AD79,")=")</f>
        <v>A(6)=</v>
      </c>
      <c r="AM79">
        <f>AI79+AK79</f>
        <v>71.946666666666658</v>
      </c>
      <c r="AO79" s="68" t="str">
        <f>AA79</f>
        <v>A(6)=</v>
      </c>
      <c r="AP79" s="68" t="e">
        <f>VLOOKUP(AO79,Rise_Results,2,FALSE)</f>
        <v>#N/A</v>
      </c>
      <c r="AQ79" s="76">
        <f>N79</f>
        <v>71.98333333333332</v>
      </c>
      <c r="AR79" s="76" t="e">
        <f>IF(OR(AB79&lt;=0,AB80&lt;=0),1/0,AB79)</f>
        <v>#VALUE!</v>
      </c>
      <c r="AS79" s="76">
        <f>AM79</f>
        <v>71.946666666666658</v>
      </c>
      <c r="AT79">
        <f>IFERROR(AP79,IFERROR(AQ79,IFERROR(AR79,AS79)))</f>
        <v>71.98333333333332</v>
      </c>
      <c r="AU79" s="81"/>
    </row>
    <row r="80" spans="1:47" x14ac:dyDescent="0.25">
      <c r="A80" s="84">
        <f>A79+1</f>
        <v>11</v>
      </c>
      <c r="B80" s="84">
        <f t="shared" si="27"/>
        <v>6</v>
      </c>
      <c r="F80" s="82">
        <f>SUM(F77:F79)</f>
        <v>33.93</v>
      </c>
      <c r="H80" s="82">
        <f>SUM(H77:H79)</f>
        <v>172.44</v>
      </c>
      <c r="I80" s="84" t="str">
        <f>CONCATENATE("m'(",C79,")=")</f>
        <v>m'(6)=</v>
      </c>
      <c r="J80" s="84">
        <f>2*(J77*(WLS))/3*H80</f>
        <v>459.84</v>
      </c>
      <c r="K80" s="84" t="str">
        <f>CONCATENATE("M(",C77,")=")</f>
        <v>M(4)=</v>
      </c>
      <c r="L80" s="84">
        <f>VLOOKUP(C77,STN_TABLE,4,FALSE)</f>
        <v>140.64999999999998</v>
      </c>
      <c r="M80" t="str">
        <f>CONCATENATE("M(",C79,")=")</f>
        <v>M(6)=</v>
      </c>
      <c r="N80">
        <f>J80+L80</f>
        <v>600.49</v>
      </c>
      <c r="O80" s="99">
        <f>O79+1</f>
        <v>13</v>
      </c>
      <c r="P80" s="99" t="str">
        <f t="shared" si="23"/>
        <v xml:space="preserve">  </v>
      </c>
      <c r="T80" s="89" t="e">
        <f>SUM(T77:T79)</f>
        <v>#VALUE!</v>
      </c>
      <c r="V80" s="82" t="e">
        <f>SUM(V77:V79)</f>
        <v>#VALUE!</v>
      </c>
      <c r="W80" s="84" t="str">
        <f>CONCATENATE("m'(",Q78,")=")</f>
        <v>m'(6)=</v>
      </c>
      <c r="X80" s="84" t="e">
        <f>(2*(X77^2)/24*V80)+(X79*Q77*WLS)</f>
        <v>#VALUE!</v>
      </c>
      <c r="Y80" s="84" t="e">
        <f>CONCATENATE("M(",Q77,")=")</f>
        <v>#VALUE!</v>
      </c>
      <c r="Z80" s="84" t="e">
        <f>VLOOKUP(Q77,STN_TABLE,4,FALSE)</f>
        <v>#VALUE!</v>
      </c>
      <c r="AA80" t="str">
        <f>CONCATENATE("M(",Q78,")=")</f>
        <v>M(6)=</v>
      </c>
      <c r="AB80" t="e">
        <f>X80+Z80</f>
        <v>#VALUE!</v>
      </c>
      <c r="AE80" s="89">
        <f>SUM(AE78:AE79)</f>
        <v>12.58</v>
      </c>
      <c r="AG80" s="89">
        <f>SUM(AG78:AG79)</f>
        <v>19.38</v>
      </c>
      <c r="AH80" s="84" t="str">
        <f>CONCATENATE("m'(",AD79,")=")</f>
        <v>m'(6)=</v>
      </c>
      <c r="AI80" s="84">
        <f>(2*(AI77^2)/6*AG80)+(AI79*AD78*WLS)</f>
        <v>277.44</v>
      </c>
      <c r="AJ80" s="84" t="str">
        <f>CONCATENATE("M(",AD78,")=")</f>
        <v>M(5)=</v>
      </c>
      <c r="AK80" s="84">
        <f>VLOOKUP(AD78,STN_TABLE,4,FALSE)</f>
        <v>320.91333333333336</v>
      </c>
      <c r="AL80" t="str">
        <f>CONCATENATE("M(",AD79,")=")</f>
        <v>M(6)=</v>
      </c>
      <c r="AM80">
        <f>AI80+AK80</f>
        <v>598.35333333333335</v>
      </c>
      <c r="AO80" s="82" t="str">
        <f>AA80</f>
        <v>M(6)=</v>
      </c>
      <c r="AP80" s="82" t="e">
        <f>VLOOKUP(AO80,Rise_Results,2,FALSE)</f>
        <v>#N/A</v>
      </c>
      <c r="AQ80" s="82">
        <f>N80</f>
        <v>600.49</v>
      </c>
      <c r="AR80" s="82" t="e">
        <f>IF(OR(AB79&lt;=0,AB80&lt;=0),1/0,AB80)</f>
        <v>#VALUE!</v>
      </c>
      <c r="AS80" s="82">
        <f>AM80</f>
        <v>598.35333333333335</v>
      </c>
      <c r="AT80">
        <f>IFERROR(AP80,IFERROR(AQ80,IFERROR(AR80,AS80)))</f>
        <v>600.49</v>
      </c>
      <c r="AU80" s="81"/>
    </row>
    <row r="81" spans="1:47" x14ac:dyDescent="0.25">
      <c r="A81" s="101">
        <f>A76+1</f>
        <v>8</v>
      </c>
      <c r="B81" s="101">
        <f t="shared" si="27"/>
        <v>4</v>
      </c>
      <c r="O81" s="101">
        <f>O76+1</f>
        <v>10</v>
      </c>
      <c r="P81" s="101">
        <f t="shared" si="23"/>
        <v>5</v>
      </c>
      <c r="AU81" s="81"/>
    </row>
    <row r="82" spans="1:47" x14ac:dyDescent="0.25">
      <c r="A82" s="84">
        <f>A81+1</f>
        <v>9</v>
      </c>
      <c r="B82" s="84">
        <f t="shared" si="27"/>
        <v>4.8499999999999996</v>
      </c>
      <c r="C82" s="79" t="str">
        <f t="shared" ref="C82" si="32">IF(C83=B84,IF(C84-C83=C83-B83,B83,IF(C84-C83=C83-B82,B82,"#NA")),IF(C83=B83,IF(C84-C83=C83-B82,B82,IF(C84-C83=C83-B81,B81,"#NA")),"#NA"))</f>
        <v>#NA</v>
      </c>
      <c r="D82" s="68" t="e">
        <f>VLOOKUP(C82,STN_TABLE,2,FALSE)</f>
        <v>#N/A</v>
      </c>
      <c r="E82" s="102">
        <v>1</v>
      </c>
      <c r="F82" s="68" t="e">
        <f>D82*E82</f>
        <v>#N/A</v>
      </c>
      <c r="G82" s="69" t="str">
        <f>C82</f>
        <v>#NA</v>
      </c>
      <c r="H82" s="69" t="e">
        <f>F82*G82</f>
        <v>#N/A</v>
      </c>
      <c r="I82" s="6" t="s">
        <v>93</v>
      </c>
      <c r="J82" s="70" t="e">
        <f>IF(OR(D82=0,D83=0,D84=0),"#NA",IF(AND(C84-C83=C83-C82,C83&lt;&gt;C84,C82&lt;&gt;C83,C82&lt;&gt;C84,D84&lt;&gt;0,OR(D82&lt;&gt;0,D83&lt;&gt;0)),WLS*(C84-C83),"#NA"))</f>
        <v>#N/A</v>
      </c>
      <c r="O82" s="99">
        <f>O81+1</f>
        <v>11</v>
      </c>
      <c r="P82" s="99">
        <f t="shared" si="23"/>
        <v>6</v>
      </c>
      <c r="Q82" s="68" t="e">
        <f>IF(OR(P84-P83=P83-P82,P85-P83=P83-P82),P82,IF(OR(P84-P83=P83-P81,P85-P83=P83-P81),P81,"-"))</f>
        <v>#VALUE!</v>
      </c>
      <c r="R82" s="69" t="e">
        <f>VLOOKUP(Q82,STN_TABLE,2,FALSE)</f>
        <v>#VALUE!</v>
      </c>
      <c r="S82" s="69">
        <v>5</v>
      </c>
      <c r="T82" s="68" t="e">
        <f>R82*S82</f>
        <v>#VALUE!</v>
      </c>
      <c r="U82" s="79">
        <v>3</v>
      </c>
      <c r="V82" s="68" t="e">
        <f>R82*U82</f>
        <v>#VALUE!</v>
      </c>
      <c r="W82" s="6" t="s">
        <v>93</v>
      </c>
      <c r="X82" s="70" t="e">
        <f>IF(AND(Q84-Q83=Q83-Q82,NOT(AND(Q82=0,Q83=0)),NOT(AND(Q83=0,Q84=0))),WLS*(Q84-Q83),"#NA")</f>
        <v>#VALUE!</v>
      </c>
      <c r="AD82" s="93"/>
      <c r="AH82" s="6" t="s">
        <v>93</v>
      </c>
      <c r="AI82" s="70">
        <f>WLS*(AD84-AD83)</f>
        <v>1</v>
      </c>
      <c r="AU82" s="81"/>
    </row>
    <row r="83" spans="1:47" x14ac:dyDescent="0.25">
      <c r="A83" s="84">
        <f>A82+1</f>
        <v>10</v>
      </c>
      <c r="B83" s="84">
        <f t="shared" si="27"/>
        <v>5</v>
      </c>
      <c r="C83" s="80" t="str">
        <f t="shared" ref="C83" si="33">IF(OR(B85-B84=B84-B83,B85-B84=B84-B82,B85-B84=B84-B81),B84,IF(OR(B85-B83=B83-B82,B85-B83=B83-B81),B83,IF(B85-B82=B82-B81,B82,"#NA")))</f>
        <v>#NA</v>
      </c>
      <c r="D83" s="76" t="e">
        <f>VLOOKUP(C83,STN_TABLE,2,FALSE)</f>
        <v>#N/A</v>
      </c>
      <c r="E83" s="81">
        <v>4</v>
      </c>
      <c r="F83" s="76" t="e">
        <f>D83*E83</f>
        <v>#N/A</v>
      </c>
      <c r="G83" s="77" t="str">
        <f>C83</f>
        <v>#NA</v>
      </c>
      <c r="H83" s="77" t="e">
        <f>F83*G83</f>
        <v>#N/A</v>
      </c>
      <c r="I83" s="495" t="s">
        <v>97</v>
      </c>
      <c r="J83" s="496"/>
      <c r="K83" s="78" t="s">
        <v>98</v>
      </c>
      <c r="L83" s="78"/>
      <c r="M83" s="7" t="s">
        <v>99</v>
      </c>
      <c r="N83" s="7"/>
      <c r="O83" s="99">
        <f>O82+1</f>
        <v>12</v>
      </c>
      <c r="P83" s="99">
        <f t="shared" si="23"/>
        <v>6.5</v>
      </c>
      <c r="Q83" s="76">
        <f>P83</f>
        <v>6.5</v>
      </c>
      <c r="R83" s="77">
        <f>VLOOKUP(Q83,STN_TABLE,2,FALSE)</f>
        <v>7.27</v>
      </c>
      <c r="S83" s="77">
        <v>8</v>
      </c>
      <c r="T83" s="76">
        <f>R83*S83</f>
        <v>58.16</v>
      </c>
      <c r="U83" s="80">
        <v>10</v>
      </c>
      <c r="V83" s="76">
        <f>R83*U83</f>
        <v>72.699999999999989</v>
      </c>
      <c r="W83" s="496" t="s">
        <v>97</v>
      </c>
      <c r="X83" s="496"/>
      <c r="Y83" s="496" t="s">
        <v>98</v>
      </c>
      <c r="Z83" s="496"/>
      <c r="AA83" s="494" t="s">
        <v>99</v>
      </c>
      <c r="AB83" s="494"/>
      <c r="AC83" s="99">
        <f>AC78+1</f>
        <v>11</v>
      </c>
      <c r="AD83" s="95">
        <f>VLOOKUP(AC83,STN_TABLE_2,2,FALSE)</f>
        <v>6</v>
      </c>
      <c r="AE83" s="68">
        <f>VLOOKUP(AD83,STN_TABLE,2,FALSE)</f>
        <v>6.8</v>
      </c>
      <c r="AF83" s="68">
        <v>1</v>
      </c>
      <c r="AG83" s="69">
        <f>AE83*AF83</f>
        <v>6.8</v>
      </c>
      <c r="AH83" s="496" t="s">
        <v>97</v>
      </c>
      <c r="AI83" s="496"/>
      <c r="AJ83" s="496" t="s">
        <v>98</v>
      </c>
      <c r="AK83" s="496"/>
      <c r="AL83" s="494" t="s">
        <v>99</v>
      </c>
      <c r="AM83" s="494"/>
      <c r="AP83" s="86" t="s">
        <v>112</v>
      </c>
      <c r="AQ83" s="89" t="s">
        <v>113</v>
      </c>
      <c r="AR83" s="89" t="s">
        <v>114</v>
      </c>
      <c r="AS83" s="89" t="s">
        <v>115</v>
      </c>
      <c r="AU83" s="81"/>
    </row>
    <row r="84" spans="1:47" x14ac:dyDescent="0.25">
      <c r="A84" s="84">
        <f>A83+1</f>
        <v>11</v>
      </c>
      <c r="B84" s="84">
        <f t="shared" si="27"/>
        <v>6</v>
      </c>
      <c r="C84" s="88">
        <f t="shared" ref="C84" si="34">B85</f>
        <v>6.5</v>
      </c>
      <c r="D84" s="82">
        <f>VLOOKUP(C84,STN_TABLE,2,FALSE)</f>
        <v>7.27</v>
      </c>
      <c r="E84" s="92">
        <v>1</v>
      </c>
      <c r="F84" s="82">
        <f>D84*E84</f>
        <v>7.27</v>
      </c>
      <c r="G84" s="83">
        <f>C84</f>
        <v>6.5</v>
      </c>
      <c r="H84" s="83">
        <f>F84*G84</f>
        <v>47.254999999999995</v>
      </c>
      <c r="I84" s="84" t="str">
        <f>CONCATENATE("a'(",C84,")=")</f>
        <v>a'(6.5)=</v>
      </c>
      <c r="J84" s="84" t="e">
        <f>2*J82/3*F85</f>
        <v>#N/A</v>
      </c>
      <c r="K84" s="84" t="str">
        <f>CONCATENATE("A(",C82,")=")</f>
        <v>A(#NA)=</v>
      </c>
      <c r="L84" s="84" t="e">
        <f>VLOOKUP(C82,STN_TABLE,3,FALSE)</f>
        <v>#N/A</v>
      </c>
      <c r="M84" t="str">
        <f>CONCATENATE("A(",C84,")=")</f>
        <v>A(6.5)=</v>
      </c>
      <c r="N84" t="e">
        <f>J84+L84</f>
        <v>#N/A</v>
      </c>
      <c r="O84" s="99">
        <f>O83+1</f>
        <v>13</v>
      </c>
      <c r="P84" s="99" t="str">
        <f t="shared" si="23"/>
        <v xml:space="preserve">  </v>
      </c>
      <c r="Q84" s="82" t="e">
        <f>IF(P84-P83=P83-P82,P84,IF(P85-P83=P83-P82,P85,IF(P84-P83=P83-P81,P84,IF(P85-P83=P83-P81,P85,"-"))))</f>
        <v>#VALUE!</v>
      </c>
      <c r="R84" s="83" t="e">
        <f>VLOOKUP(Q84,STN_TABLE,2,FALSE)</f>
        <v>#VALUE!</v>
      </c>
      <c r="S84" s="83">
        <v>-1</v>
      </c>
      <c r="T84" s="82" t="e">
        <f>R84*S84</f>
        <v>#VALUE!</v>
      </c>
      <c r="U84" s="88">
        <v>-1</v>
      </c>
      <c r="V84" s="82" t="e">
        <f>R84*U84</f>
        <v>#VALUE!</v>
      </c>
      <c r="W84" s="84" t="str">
        <f>CONCATENATE("a'(",Q83,")=")</f>
        <v>a'(6.5)=</v>
      </c>
      <c r="X84" s="84" t="e">
        <f>2*X82/12*T85</f>
        <v>#VALUE!</v>
      </c>
      <c r="Y84" s="84" t="e">
        <f>CONCATENATE("A(",Q82,")=")</f>
        <v>#VALUE!</v>
      </c>
      <c r="Z84" s="84" t="e">
        <f>VLOOKUP(Q82,STN_TABLE,3,FALSE)</f>
        <v>#VALUE!</v>
      </c>
      <c r="AA84" t="str">
        <f>CONCATENATE("A(",Q83,")=")</f>
        <v>A(6.5)=</v>
      </c>
      <c r="AB84" t="e">
        <f>X84+Z84</f>
        <v>#VALUE!</v>
      </c>
      <c r="AC84" s="99">
        <f>AC83+1</f>
        <v>12</v>
      </c>
      <c r="AD84" s="100">
        <f>VLOOKUP(AC84,STN_TABLE_2,2,FALSE)</f>
        <v>6.5</v>
      </c>
      <c r="AE84" s="82">
        <f>VLOOKUP(AD84,STN_TABLE,2,FALSE)</f>
        <v>7.27</v>
      </c>
      <c r="AF84" s="82">
        <v>2</v>
      </c>
      <c r="AG84" s="83">
        <f>AE84*AF84</f>
        <v>14.54</v>
      </c>
      <c r="AH84" s="84" t="str">
        <f>CONCATENATE("a'(",AD84,")=")</f>
        <v>a'(6.5)=</v>
      </c>
      <c r="AI84" s="84">
        <f>2*AI82/2*AE85</f>
        <v>14.07</v>
      </c>
      <c r="AJ84" s="84" t="str">
        <f>CONCATENATE("A(",AD83,")=")</f>
        <v>A(6)=</v>
      </c>
      <c r="AK84" s="84">
        <f>VLOOKUP(AD83,STN_TABLE,3,FALSE)</f>
        <v>71.98333333333332</v>
      </c>
      <c r="AL84" t="str">
        <f>CONCATENATE("A(",AD84,")=")</f>
        <v>A(6.5)=</v>
      </c>
      <c r="AM84">
        <f>AI84+AK84</f>
        <v>86.053333333333313</v>
      </c>
      <c r="AO84" s="68" t="str">
        <f>AA84</f>
        <v>A(6.5)=</v>
      </c>
      <c r="AP84" s="68" t="e">
        <f>VLOOKUP(AO84,Rise_Results,2,FALSE)</f>
        <v>#N/A</v>
      </c>
      <c r="AQ84" s="76" t="e">
        <f>N84</f>
        <v>#N/A</v>
      </c>
      <c r="AR84" s="76" t="e">
        <f>IF(OR(AB84&lt;=0,AB85&lt;=0),1/0,AB84)</f>
        <v>#VALUE!</v>
      </c>
      <c r="AS84" s="76">
        <f>AM84</f>
        <v>86.053333333333313</v>
      </c>
      <c r="AT84">
        <f>IFERROR(AP84,IFERROR(AQ84,IFERROR(AR84,AS84)))</f>
        <v>86.053333333333313</v>
      </c>
      <c r="AU84" s="81"/>
    </row>
    <row r="85" spans="1:47" x14ac:dyDescent="0.25">
      <c r="A85" s="84">
        <f>A84+1</f>
        <v>12</v>
      </c>
      <c r="B85" s="84">
        <f t="shared" si="27"/>
        <v>6.5</v>
      </c>
      <c r="F85" s="82" t="e">
        <f>SUM(F82:F84)</f>
        <v>#N/A</v>
      </c>
      <c r="H85" s="82" t="e">
        <f>SUM(H82:H84)</f>
        <v>#N/A</v>
      </c>
      <c r="I85" s="84" t="str">
        <f>CONCATENATE("m'(",C84,")=")</f>
        <v>m'(6.5)=</v>
      </c>
      <c r="J85" s="84" t="e">
        <f>2*(J82*(WLS))/3*H85</f>
        <v>#N/A</v>
      </c>
      <c r="K85" s="84" t="str">
        <f>CONCATENATE("M(",C82,")=")</f>
        <v>M(#NA)=</v>
      </c>
      <c r="L85" s="84" t="e">
        <f>VLOOKUP(C82,STN_TABLE,4,FALSE)</f>
        <v>#N/A</v>
      </c>
      <c r="M85" t="str">
        <f>CONCATENATE("M(",C84,")=")</f>
        <v>M(6.5)=</v>
      </c>
      <c r="N85" t="e">
        <f>J85+L85</f>
        <v>#N/A</v>
      </c>
      <c r="O85" s="99">
        <f>O84+1</f>
        <v>14</v>
      </c>
      <c r="P85" s="99" t="str">
        <f t="shared" si="23"/>
        <v xml:space="preserve">  </v>
      </c>
      <c r="T85" s="89" t="e">
        <f>SUM(T82:T84)</f>
        <v>#VALUE!</v>
      </c>
      <c r="V85" s="82" t="e">
        <f>SUM(V82:V84)</f>
        <v>#VALUE!</v>
      </c>
      <c r="W85" s="84" t="str">
        <f>CONCATENATE("m'(",Q83,")=")</f>
        <v>m'(6.5)=</v>
      </c>
      <c r="X85" s="84" t="e">
        <f>(2*(X82^2)/24*V85)+(X84*Q82*WLS)</f>
        <v>#VALUE!</v>
      </c>
      <c r="Y85" s="84" t="e">
        <f>CONCATENATE("M(",Q82,")=")</f>
        <v>#VALUE!</v>
      </c>
      <c r="Z85" s="84" t="e">
        <f>VLOOKUP(Q82,STN_TABLE,4,FALSE)</f>
        <v>#VALUE!</v>
      </c>
      <c r="AA85" t="str">
        <f>CONCATENATE("M(",Q83,")=")</f>
        <v>M(6.5)=</v>
      </c>
      <c r="AB85" t="e">
        <f>X85+Z85</f>
        <v>#VALUE!</v>
      </c>
      <c r="AE85" s="89">
        <f>SUM(AE83:AE84)</f>
        <v>14.07</v>
      </c>
      <c r="AG85" s="89">
        <f>SUM(AG83:AG84)</f>
        <v>21.34</v>
      </c>
      <c r="AH85" s="84" t="str">
        <f>CONCATENATE("m'(",AD84,")=")</f>
        <v>m'(6.5)=</v>
      </c>
      <c r="AI85" s="84">
        <f>(2*(AI82^2)/6*AG85)+(AI84*AD83*WLS)</f>
        <v>175.95333333333335</v>
      </c>
      <c r="AJ85" s="84" t="str">
        <f>CONCATENATE("M(",AD83,")=")</f>
        <v>M(6)=</v>
      </c>
      <c r="AK85" s="84">
        <f>VLOOKUP(AD83,STN_TABLE,4,FALSE)</f>
        <v>600.49</v>
      </c>
      <c r="AL85" t="str">
        <f>CONCATENATE("M(",AD84,")=")</f>
        <v>M(6.5)=</v>
      </c>
      <c r="AM85">
        <f>AI85+AK85</f>
        <v>776.44333333333338</v>
      </c>
      <c r="AO85" s="82" t="str">
        <f>AA85</f>
        <v>M(6.5)=</v>
      </c>
      <c r="AP85" s="82" t="e">
        <f>VLOOKUP(AO85,Rise_Results,2,FALSE)</f>
        <v>#N/A</v>
      </c>
      <c r="AQ85" s="82" t="e">
        <f>N85</f>
        <v>#N/A</v>
      </c>
      <c r="AR85" s="82" t="e">
        <f>IF(OR(AB84&lt;=0,AB85&lt;=0),1/0,AB85)</f>
        <v>#VALUE!</v>
      </c>
      <c r="AS85" s="82">
        <f>AM85</f>
        <v>776.44333333333338</v>
      </c>
      <c r="AT85">
        <f>IFERROR(AP85,IFERROR(AQ85,IFERROR(AR85,AS85)))</f>
        <v>776.44333333333338</v>
      </c>
      <c r="AU85" s="81"/>
    </row>
    <row r="86" spans="1:47" x14ac:dyDescent="0.25">
      <c r="A86" s="101">
        <f>A81+1</f>
        <v>9</v>
      </c>
      <c r="B86" s="101">
        <f t="shared" si="27"/>
        <v>4.8499999999999996</v>
      </c>
      <c r="O86" s="101">
        <f>O81+1</f>
        <v>11</v>
      </c>
      <c r="P86" s="101">
        <f t="shared" si="23"/>
        <v>6</v>
      </c>
      <c r="AU86" s="81"/>
    </row>
    <row r="87" spans="1:47" x14ac:dyDescent="0.25">
      <c r="A87" s="84">
        <f>A86+1</f>
        <v>10</v>
      </c>
      <c r="B87" s="84">
        <f t="shared" si="27"/>
        <v>5</v>
      </c>
      <c r="C87" s="79" t="e">
        <f t="shared" ref="C87" si="35">IF(C88=B89,IF(C89-C88=C88-B88,B88,IF(C89-C88=C88-B87,B87,"#NA")),IF(C88=B88,IF(C89-C88=C88-B87,B87,IF(C89-C88=C88-B86,B86,"#NA")),"#NA"))</f>
        <v>#VALUE!</v>
      </c>
      <c r="D87" s="68" t="e">
        <f>VLOOKUP(C87,STN_TABLE,2,FALSE)</f>
        <v>#VALUE!</v>
      </c>
      <c r="E87" s="102">
        <v>1</v>
      </c>
      <c r="F87" s="68" t="e">
        <f>D87*E87</f>
        <v>#VALUE!</v>
      </c>
      <c r="G87" s="69" t="e">
        <f>C87</f>
        <v>#VALUE!</v>
      </c>
      <c r="H87" s="69" t="e">
        <f>F87*G87</f>
        <v>#VALUE!</v>
      </c>
      <c r="I87" s="6" t="s">
        <v>93</v>
      </c>
      <c r="J87" s="70" t="e">
        <f>IF(OR(D87=0,D88=0,D89=0),"#NA",IF(AND(C89-C88=C88-C87,C88&lt;&gt;C89,C87&lt;&gt;C88,C87&lt;&gt;C89,D89&lt;&gt;0,OR(D87&lt;&gt;0,D88&lt;&gt;0)),WLS*(C89-C88),"#NA"))</f>
        <v>#VALUE!</v>
      </c>
      <c r="O87" s="99">
        <f>O86+1</f>
        <v>12</v>
      </c>
      <c r="P87" s="99">
        <f t="shared" si="23"/>
        <v>6.5</v>
      </c>
      <c r="Q87" s="68" t="e">
        <f>IF(OR(P89-P88=P88-P87,P90-P88=P88-P87),P87,IF(OR(P89-P88=P88-P86,P90-P88=P88-P86),P86,"-"))</f>
        <v>#VALUE!</v>
      </c>
      <c r="R87" s="69" t="e">
        <f>VLOOKUP(Q87,STN_TABLE,2,FALSE)</f>
        <v>#VALUE!</v>
      </c>
      <c r="S87" s="69">
        <v>5</v>
      </c>
      <c r="T87" s="68" t="e">
        <f>R87*S87</f>
        <v>#VALUE!</v>
      </c>
      <c r="U87" s="79">
        <v>3</v>
      </c>
      <c r="V87" s="68" t="e">
        <f>R87*U87</f>
        <v>#VALUE!</v>
      </c>
      <c r="W87" s="6" t="s">
        <v>93</v>
      </c>
      <c r="X87" s="70" t="e">
        <f>IF(AND(Q89-Q88=Q88-Q87,NOT(AND(Q87=0,Q88=0)),NOT(AND(Q88=0,Q89=0))),WLS*(Q89-Q88),"#NA")</f>
        <v>#VALUE!</v>
      </c>
      <c r="AD87" s="93"/>
      <c r="AH87" s="6" t="s">
        <v>93</v>
      </c>
      <c r="AI87" s="70" t="e">
        <f>WLS*(AD89-AD88)</f>
        <v>#VALUE!</v>
      </c>
      <c r="AU87" s="81"/>
    </row>
    <row r="88" spans="1:47" x14ac:dyDescent="0.25">
      <c r="A88" s="84">
        <f>A87+1</f>
        <v>11</v>
      </c>
      <c r="B88" s="84">
        <f t="shared" si="27"/>
        <v>6</v>
      </c>
      <c r="C88" s="80" t="e">
        <f t="shared" ref="C88" si="36">IF(OR(B90-B89=B89-B88,B90-B89=B89-B87,B90-B89=B89-B86),B89,IF(OR(B90-B88=B88-B87,B90-B88=B88-B86),B88,IF(B90-B87=B87-B86,B87,"#NA")))</f>
        <v>#VALUE!</v>
      </c>
      <c r="D88" s="76" t="e">
        <f>VLOOKUP(C88,STN_TABLE,2,FALSE)</f>
        <v>#VALUE!</v>
      </c>
      <c r="E88" s="81">
        <v>4</v>
      </c>
      <c r="F88" s="76" t="e">
        <f>D88*E88</f>
        <v>#VALUE!</v>
      </c>
      <c r="G88" s="77" t="e">
        <f>C88</f>
        <v>#VALUE!</v>
      </c>
      <c r="H88" s="77" t="e">
        <f>F88*G88</f>
        <v>#VALUE!</v>
      </c>
      <c r="I88" s="495" t="s">
        <v>97</v>
      </c>
      <c r="J88" s="496"/>
      <c r="K88" s="78" t="s">
        <v>98</v>
      </c>
      <c r="L88" s="78"/>
      <c r="M88" s="7" t="s">
        <v>99</v>
      </c>
      <c r="N88" s="7"/>
      <c r="O88" s="99">
        <f>O87+1</f>
        <v>13</v>
      </c>
      <c r="P88" s="99" t="str">
        <f t="shared" si="23"/>
        <v xml:space="preserve">  </v>
      </c>
      <c r="Q88" s="76" t="str">
        <f>P88</f>
        <v xml:space="preserve">  </v>
      </c>
      <c r="R88" s="77" t="str">
        <f>VLOOKUP(Q88,STN_TABLE,2,FALSE)</f>
        <v xml:space="preserve">  </v>
      </c>
      <c r="S88" s="77">
        <v>8</v>
      </c>
      <c r="T88" s="76" t="e">
        <f>R88*S88</f>
        <v>#VALUE!</v>
      </c>
      <c r="U88" s="80">
        <v>10</v>
      </c>
      <c r="V88" s="76" t="e">
        <f>R88*U88</f>
        <v>#VALUE!</v>
      </c>
      <c r="W88" s="496" t="s">
        <v>97</v>
      </c>
      <c r="X88" s="496"/>
      <c r="Y88" s="496" t="s">
        <v>98</v>
      </c>
      <c r="Z88" s="496"/>
      <c r="AA88" s="494" t="s">
        <v>99</v>
      </c>
      <c r="AB88" s="494"/>
      <c r="AC88" s="99">
        <f>AC83+1</f>
        <v>12</v>
      </c>
      <c r="AD88" s="95">
        <f>VLOOKUP(AC88,STN_TABLE_2,2,FALSE)</f>
        <v>6.5</v>
      </c>
      <c r="AE88" s="68">
        <f>VLOOKUP(AD88,STN_TABLE,2,FALSE)</f>
        <v>7.27</v>
      </c>
      <c r="AF88" s="68">
        <v>1</v>
      </c>
      <c r="AG88" s="69">
        <f>AE88*AF88</f>
        <v>7.27</v>
      </c>
      <c r="AH88" s="496" t="s">
        <v>97</v>
      </c>
      <c r="AI88" s="496"/>
      <c r="AJ88" s="496" t="s">
        <v>98</v>
      </c>
      <c r="AK88" s="496"/>
      <c r="AL88" s="494" t="s">
        <v>99</v>
      </c>
      <c r="AM88" s="494"/>
      <c r="AP88" s="86" t="s">
        <v>112</v>
      </c>
      <c r="AQ88" s="89" t="s">
        <v>113</v>
      </c>
      <c r="AR88" s="89" t="s">
        <v>114</v>
      </c>
      <c r="AS88" s="89" t="s">
        <v>115</v>
      </c>
      <c r="AU88" s="81"/>
    </row>
    <row r="89" spans="1:47" x14ac:dyDescent="0.25">
      <c r="A89" s="84">
        <f>A88+1</f>
        <v>12</v>
      </c>
      <c r="B89" s="84">
        <f t="shared" si="27"/>
        <v>6.5</v>
      </c>
      <c r="C89" s="88" t="str">
        <f t="shared" ref="C89" si="37">B90</f>
        <v xml:space="preserve">  </v>
      </c>
      <c r="D89" s="82" t="str">
        <f>VLOOKUP(C89,STN_TABLE,2,FALSE)</f>
        <v xml:space="preserve">  </v>
      </c>
      <c r="E89" s="92">
        <v>1</v>
      </c>
      <c r="F89" s="82" t="e">
        <f>D89*E89</f>
        <v>#VALUE!</v>
      </c>
      <c r="G89" s="83" t="str">
        <f>C89</f>
        <v xml:space="preserve">  </v>
      </c>
      <c r="H89" s="83" t="e">
        <f>F89*G89</f>
        <v>#VALUE!</v>
      </c>
      <c r="I89" s="84" t="str">
        <f>CONCATENATE("a'(",C89,")=")</f>
        <v>a'(  )=</v>
      </c>
      <c r="J89" s="84" t="e">
        <f>2*J87/3*F90</f>
        <v>#VALUE!</v>
      </c>
      <c r="K89" s="84" t="e">
        <f>CONCATENATE("A(",C87,")=")</f>
        <v>#VALUE!</v>
      </c>
      <c r="L89" s="84" t="e">
        <f>VLOOKUP(C87,STN_TABLE,3,FALSE)</f>
        <v>#VALUE!</v>
      </c>
      <c r="M89" t="str">
        <f>CONCATENATE("A(",C89,")=")</f>
        <v>A(  )=</v>
      </c>
      <c r="N89" t="e">
        <f>J89+L89</f>
        <v>#VALUE!</v>
      </c>
      <c r="O89" s="99">
        <f>O88+1</f>
        <v>14</v>
      </c>
      <c r="P89" s="99" t="str">
        <f t="shared" si="23"/>
        <v xml:space="preserve">  </v>
      </c>
      <c r="Q89" s="82" t="e">
        <f>IF(P89-P88=P88-P87,P89,IF(P90-P88=P88-P87,P90,IF(P89-P88=P88-P86,P89,IF(P90-P88=P88-P86,P90,"-"))))</f>
        <v>#VALUE!</v>
      </c>
      <c r="R89" s="83" t="e">
        <f>VLOOKUP(Q89,STN_TABLE,2,FALSE)</f>
        <v>#VALUE!</v>
      </c>
      <c r="S89" s="83">
        <v>-1</v>
      </c>
      <c r="T89" s="82" t="e">
        <f>R89*S89</f>
        <v>#VALUE!</v>
      </c>
      <c r="U89" s="88">
        <v>-1</v>
      </c>
      <c r="V89" s="82" t="e">
        <f>R89*U89</f>
        <v>#VALUE!</v>
      </c>
      <c r="W89" s="84" t="str">
        <f>CONCATENATE("a'(",Q88,")=")</f>
        <v>a'(  )=</v>
      </c>
      <c r="X89" s="84" t="e">
        <f>2*X87/12*T90</f>
        <v>#VALUE!</v>
      </c>
      <c r="Y89" s="84" t="e">
        <f>CONCATENATE("A(",Q87,")=")</f>
        <v>#VALUE!</v>
      </c>
      <c r="Z89" s="84" t="e">
        <f>VLOOKUP(Q87,STN_TABLE,3,FALSE)</f>
        <v>#VALUE!</v>
      </c>
      <c r="AA89" t="str">
        <f>CONCATENATE("A(",Q88,")=")</f>
        <v>A(  )=</v>
      </c>
      <c r="AB89" t="e">
        <f>X89+Z89</f>
        <v>#VALUE!</v>
      </c>
      <c r="AC89" s="99">
        <f>AC88+1</f>
        <v>13</v>
      </c>
      <c r="AD89" s="100" t="str">
        <f>VLOOKUP(AC89,STN_TABLE_2,2,FALSE)</f>
        <v xml:space="preserve">  </v>
      </c>
      <c r="AE89" s="82" t="str">
        <f>VLOOKUP(AD89,STN_TABLE,2,FALSE)</f>
        <v xml:space="preserve">  </v>
      </c>
      <c r="AF89" s="82">
        <v>2</v>
      </c>
      <c r="AG89" s="83" t="e">
        <f>AE89*AF89</f>
        <v>#VALUE!</v>
      </c>
      <c r="AH89" s="84" t="str">
        <f>CONCATENATE("a'(",AD89,")=")</f>
        <v>a'(  )=</v>
      </c>
      <c r="AI89" s="84" t="e">
        <f>2*AI87/2*AE90</f>
        <v>#VALUE!</v>
      </c>
      <c r="AJ89" s="84" t="str">
        <f>CONCATENATE("A(",AD88,")=")</f>
        <v>A(6.5)=</v>
      </c>
      <c r="AK89" s="84">
        <f>VLOOKUP(AD88,STN_TABLE,3,FALSE)</f>
        <v>86.053333333333313</v>
      </c>
      <c r="AL89" t="str">
        <f>CONCATENATE("A(",AD89,")=")</f>
        <v>A(  )=</v>
      </c>
      <c r="AM89" t="e">
        <f>AI89+AK89</f>
        <v>#VALUE!</v>
      </c>
      <c r="AO89" s="68" t="str">
        <f>AA89</f>
        <v>A(  )=</v>
      </c>
      <c r="AP89" s="68" t="e">
        <f>VLOOKUP(AO89,Rise_Results,2,FALSE)</f>
        <v>#N/A</v>
      </c>
      <c r="AQ89" s="76" t="e">
        <f>N89</f>
        <v>#VALUE!</v>
      </c>
      <c r="AR89" s="76" t="e">
        <f>IF(OR(AB89&lt;=0,AB90&lt;=0),1/0,AB89)</f>
        <v>#VALUE!</v>
      </c>
      <c r="AS89" s="76" t="e">
        <f>AM89</f>
        <v>#VALUE!</v>
      </c>
      <c r="AT89" t="e">
        <f>IFERROR(AP89,IFERROR(AQ89,IFERROR(AR89,AS89)))</f>
        <v>#VALUE!</v>
      </c>
      <c r="AU89" s="81"/>
    </row>
    <row r="90" spans="1:47" x14ac:dyDescent="0.25">
      <c r="A90" s="84">
        <f>A89+1</f>
        <v>13</v>
      </c>
      <c r="B90" s="84" t="str">
        <f t="shared" si="27"/>
        <v xml:space="preserve">  </v>
      </c>
      <c r="F90" s="82" t="e">
        <f>SUM(F87:F89)</f>
        <v>#VALUE!</v>
      </c>
      <c r="H90" s="82" t="e">
        <f>SUM(H87:H89)</f>
        <v>#VALUE!</v>
      </c>
      <c r="I90" s="84" t="str">
        <f>CONCATENATE("m'(",C89,")=")</f>
        <v>m'(  )=</v>
      </c>
      <c r="J90" s="84" t="e">
        <f>2*(J87*(WLS))/3*H90</f>
        <v>#VALUE!</v>
      </c>
      <c r="K90" s="84" t="e">
        <f>CONCATENATE("M(",C87,")=")</f>
        <v>#VALUE!</v>
      </c>
      <c r="L90" s="84" t="e">
        <f>VLOOKUP(C87,STN_TABLE,4,FALSE)</f>
        <v>#VALUE!</v>
      </c>
      <c r="M90" t="str">
        <f>CONCATENATE("M(",C89,")=")</f>
        <v>M(  )=</v>
      </c>
      <c r="N90" t="e">
        <f>J90+L90</f>
        <v>#VALUE!</v>
      </c>
      <c r="O90" s="99">
        <f>O89+1</f>
        <v>15</v>
      </c>
      <c r="P90" s="99" t="str">
        <f t="shared" si="23"/>
        <v xml:space="preserve">  </v>
      </c>
      <c r="T90" s="89" t="e">
        <f>SUM(T87:T89)</f>
        <v>#VALUE!</v>
      </c>
      <c r="V90" s="82" t="e">
        <f>SUM(V87:V89)</f>
        <v>#VALUE!</v>
      </c>
      <c r="W90" s="84" t="str">
        <f>CONCATENATE("m'(",Q88,")=")</f>
        <v>m'(  )=</v>
      </c>
      <c r="X90" s="84" t="e">
        <f>(2*(X87^2)/24*V90)+(X89*Q87*WLS)</f>
        <v>#VALUE!</v>
      </c>
      <c r="Y90" s="84" t="e">
        <f>CONCATENATE("M(",Q87,")=")</f>
        <v>#VALUE!</v>
      </c>
      <c r="Z90" s="84" t="e">
        <f>VLOOKUP(Q87,STN_TABLE,4,FALSE)</f>
        <v>#VALUE!</v>
      </c>
      <c r="AA90" t="str">
        <f>CONCATENATE("M(",Q88,")=")</f>
        <v>M(  )=</v>
      </c>
      <c r="AB90" t="e">
        <f>X90+Z90</f>
        <v>#VALUE!</v>
      </c>
      <c r="AE90" s="89">
        <f>SUM(AE88:AE89)</f>
        <v>7.27</v>
      </c>
      <c r="AG90" s="89" t="e">
        <f>SUM(AG88:AG89)</f>
        <v>#VALUE!</v>
      </c>
      <c r="AH90" s="84" t="str">
        <f>CONCATENATE("m'(",AD89,")=")</f>
        <v>m'(  )=</v>
      </c>
      <c r="AI90" s="84" t="e">
        <f>(2*(AI87^2)/6*AG90)+(AI89*AD88*WLS)</f>
        <v>#VALUE!</v>
      </c>
      <c r="AJ90" s="84" t="str">
        <f>CONCATENATE("M(",AD88,")=")</f>
        <v>M(6.5)=</v>
      </c>
      <c r="AK90" s="84">
        <f>VLOOKUP(AD88,STN_TABLE,4,FALSE)</f>
        <v>776.44333333333338</v>
      </c>
      <c r="AL90" t="str">
        <f>CONCATENATE("M(",AD89,")=")</f>
        <v>M(  )=</v>
      </c>
      <c r="AM90" t="e">
        <f>AI90+AK90</f>
        <v>#VALUE!</v>
      </c>
      <c r="AO90" s="82" t="str">
        <f>AA90</f>
        <v>M(  )=</v>
      </c>
      <c r="AP90" s="82" t="e">
        <f>VLOOKUP(AO90,Rise_Results,2,FALSE)</f>
        <v>#N/A</v>
      </c>
      <c r="AQ90" s="82" t="e">
        <f>N90</f>
        <v>#VALUE!</v>
      </c>
      <c r="AR90" s="82" t="e">
        <f>IF(OR(AB89&lt;=0,AB90&lt;=0),1/0,AB90)</f>
        <v>#VALUE!</v>
      </c>
      <c r="AS90" s="82" t="e">
        <f>AM90</f>
        <v>#VALUE!</v>
      </c>
      <c r="AT90" t="e">
        <f>IFERROR(AP90,IFERROR(AQ90,IFERROR(AR90,AS90)))</f>
        <v>#VALUE!</v>
      </c>
      <c r="AU90" s="81"/>
    </row>
    <row r="91" spans="1:47" x14ac:dyDescent="0.25">
      <c r="A91" s="101">
        <f>A86+1</f>
        <v>10</v>
      </c>
      <c r="B91" s="101">
        <f t="shared" si="27"/>
        <v>5</v>
      </c>
      <c r="O91" s="101">
        <f>O86+1</f>
        <v>12</v>
      </c>
      <c r="P91" s="101">
        <f t="shared" si="23"/>
        <v>6.5</v>
      </c>
      <c r="AU91" s="81"/>
    </row>
    <row r="92" spans="1:47" x14ac:dyDescent="0.25">
      <c r="A92" s="84">
        <f>A91+1</f>
        <v>11</v>
      </c>
      <c r="B92" s="84">
        <f t="shared" si="27"/>
        <v>6</v>
      </c>
      <c r="C92" s="79" t="e">
        <f t="shared" ref="C92" si="38">IF(C93=B94,IF(C94-C93=C93-B93,B93,IF(C94-C93=C93-B92,B92,"#NA")),IF(C93=B93,IF(C94-C93=C93-B92,B92,IF(C94-C93=C93-B91,B91,"#NA")),"#NA"))</f>
        <v>#VALUE!</v>
      </c>
      <c r="D92" s="68" t="e">
        <f>VLOOKUP(C92,STN_TABLE,2,FALSE)</f>
        <v>#VALUE!</v>
      </c>
      <c r="E92" s="102">
        <v>1</v>
      </c>
      <c r="F92" s="68" t="e">
        <f>D92*E92</f>
        <v>#VALUE!</v>
      </c>
      <c r="G92" s="69" t="e">
        <f>C92</f>
        <v>#VALUE!</v>
      </c>
      <c r="H92" s="69" t="e">
        <f>F92*G92</f>
        <v>#VALUE!</v>
      </c>
      <c r="I92" s="6" t="s">
        <v>93</v>
      </c>
      <c r="J92" s="70" t="e">
        <f>IF(OR(D92=0,D93=0,D94=0),"#NA",IF(AND(C94-C93=C93-C92,C93&lt;&gt;C94,C92&lt;&gt;C93,C92&lt;&gt;C94,D94&lt;&gt;0,OR(D92&lt;&gt;0,D93&lt;&gt;0)),WLS*(C94-C93),"#NA"))</f>
        <v>#VALUE!</v>
      </c>
      <c r="O92" s="99">
        <f>O91+1</f>
        <v>13</v>
      </c>
      <c r="P92" s="99" t="str">
        <f t="shared" si="23"/>
        <v xml:space="preserve">  </v>
      </c>
      <c r="Q92" s="68" t="e">
        <f>IF(OR(P94-P93=P93-P92,P95-P93=P93-P92),P92,IF(OR(P94-P93=P93-P91,P95-P93=P93-P91),P91,"-"))</f>
        <v>#VALUE!</v>
      </c>
      <c r="R92" s="69" t="e">
        <f>VLOOKUP(Q92,STN_TABLE,2,FALSE)</f>
        <v>#VALUE!</v>
      </c>
      <c r="S92" s="69">
        <v>5</v>
      </c>
      <c r="T92" s="68" t="e">
        <f>R92*S92</f>
        <v>#VALUE!</v>
      </c>
      <c r="U92" s="79">
        <v>3</v>
      </c>
      <c r="V92" s="68" t="e">
        <f>R92*U92</f>
        <v>#VALUE!</v>
      </c>
      <c r="W92" s="6" t="s">
        <v>93</v>
      </c>
      <c r="X92" s="70" t="e">
        <f>IF(AND(Q94-Q93=Q93-Q92,NOT(AND(Q92=0,Q93=0)),NOT(AND(Q93=0,Q94=0))),WLS*(Q94-Q93),"#NA")</f>
        <v>#VALUE!</v>
      </c>
      <c r="AD92" s="93"/>
      <c r="AH92" s="6" t="s">
        <v>93</v>
      </c>
      <c r="AI92" s="70" t="e">
        <f>WLS*(AD94-AD93)</f>
        <v>#VALUE!</v>
      </c>
      <c r="AU92" s="81"/>
    </row>
    <row r="93" spans="1:47" x14ac:dyDescent="0.25">
      <c r="A93" s="84">
        <f>A92+1</f>
        <v>12</v>
      </c>
      <c r="B93" s="84">
        <f t="shared" si="27"/>
        <v>6.5</v>
      </c>
      <c r="C93" s="80" t="e">
        <f t="shared" ref="C93" si="39">IF(OR(B95-B94=B94-B93,B95-B94=B94-B92,B95-B94=B94-B91),B94,IF(OR(B95-B93=B93-B92,B95-B93=B93-B91),B93,IF(B95-B92=B92-B91,B92,"#NA")))</f>
        <v>#VALUE!</v>
      </c>
      <c r="D93" s="76" t="e">
        <f>VLOOKUP(C93,STN_TABLE,2,FALSE)</f>
        <v>#VALUE!</v>
      </c>
      <c r="E93" s="81">
        <v>4</v>
      </c>
      <c r="F93" s="76" t="e">
        <f>D93*E93</f>
        <v>#VALUE!</v>
      </c>
      <c r="G93" s="77" t="e">
        <f>C93</f>
        <v>#VALUE!</v>
      </c>
      <c r="H93" s="77" t="e">
        <f>F93*G93</f>
        <v>#VALUE!</v>
      </c>
      <c r="I93" s="495" t="s">
        <v>97</v>
      </c>
      <c r="J93" s="496"/>
      <c r="K93" s="78" t="s">
        <v>98</v>
      </c>
      <c r="L93" s="78"/>
      <c r="M93" s="7" t="s">
        <v>99</v>
      </c>
      <c r="N93" s="7"/>
      <c r="O93" s="99">
        <f>O92+1</f>
        <v>14</v>
      </c>
      <c r="P93" s="99" t="str">
        <f t="shared" si="23"/>
        <v xml:space="preserve">  </v>
      </c>
      <c r="Q93" s="76" t="str">
        <f>P93</f>
        <v xml:space="preserve">  </v>
      </c>
      <c r="R93" s="77" t="str">
        <f>VLOOKUP(Q93,STN_TABLE,2,FALSE)</f>
        <v xml:space="preserve">  </v>
      </c>
      <c r="S93" s="77">
        <v>8</v>
      </c>
      <c r="T93" s="76" t="e">
        <f>R93*S93</f>
        <v>#VALUE!</v>
      </c>
      <c r="U93" s="80">
        <v>10</v>
      </c>
      <c r="V93" s="76" t="e">
        <f>R93*U93</f>
        <v>#VALUE!</v>
      </c>
      <c r="W93" s="496" t="s">
        <v>97</v>
      </c>
      <c r="X93" s="496"/>
      <c r="Y93" s="496" t="s">
        <v>98</v>
      </c>
      <c r="Z93" s="496"/>
      <c r="AA93" s="494" t="s">
        <v>99</v>
      </c>
      <c r="AB93" s="494"/>
      <c r="AC93" s="99">
        <f>AC88+1</f>
        <v>13</v>
      </c>
      <c r="AD93" s="95" t="str">
        <f>VLOOKUP(AC93,STN_TABLE_2,2,FALSE)</f>
        <v xml:space="preserve">  </v>
      </c>
      <c r="AE93" s="68" t="str">
        <f>VLOOKUP(AD93,STN_TABLE,2,FALSE)</f>
        <v xml:space="preserve">  </v>
      </c>
      <c r="AF93" s="68">
        <v>1</v>
      </c>
      <c r="AG93" s="69" t="e">
        <f>AE93*AF93</f>
        <v>#VALUE!</v>
      </c>
      <c r="AH93" s="496" t="s">
        <v>97</v>
      </c>
      <c r="AI93" s="496"/>
      <c r="AJ93" s="496" t="s">
        <v>98</v>
      </c>
      <c r="AK93" s="496"/>
      <c r="AL93" s="494" t="s">
        <v>99</v>
      </c>
      <c r="AM93" s="494"/>
      <c r="AP93" s="86" t="s">
        <v>112</v>
      </c>
      <c r="AQ93" s="89" t="s">
        <v>113</v>
      </c>
      <c r="AR93" s="89" t="s">
        <v>114</v>
      </c>
      <c r="AS93" s="89" t="s">
        <v>115</v>
      </c>
      <c r="AU93" s="81"/>
    </row>
    <row r="94" spans="1:47" x14ac:dyDescent="0.25">
      <c r="A94" s="84">
        <f>A93+1</f>
        <v>13</v>
      </c>
      <c r="B94" s="84" t="str">
        <f t="shared" si="27"/>
        <v xml:space="preserve">  </v>
      </c>
      <c r="C94" s="88" t="str">
        <f t="shared" ref="C94" si="40">B95</f>
        <v xml:space="preserve">  </v>
      </c>
      <c r="D94" s="82" t="str">
        <f>VLOOKUP(C94,STN_TABLE,2,FALSE)</f>
        <v xml:space="preserve">  </v>
      </c>
      <c r="E94" s="92">
        <v>1</v>
      </c>
      <c r="F94" s="82" t="e">
        <f>D94*E94</f>
        <v>#VALUE!</v>
      </c>
      <c r="G94" s="83" t="str">
        <f>C94</f>
        <v xml:space="preserve">  </v>
      </c>
      <c r="H94" s="83" t="e">
        <f>F94*G94</f>
        <v>#VALUE!</v>
      </c>
      <c r="I94" s="84" t="str">
        <f>CONCATENATE("a'(",C94,")=")</f>
        <v>a'(  )=</v>
      </c>
      <c r="J94" s="84" t="e">
        <f>2*J92/3*F95</f>
        <v>#VALUE!</v>
      </c>
      <c r="K94" s="84" t="e">
        <f>CONCATENATE("A(",C92,")=")</f>
        <v>#VALUE!</v>
      </c>
      <c r="L94" s="84" t="e">
        <f>VLOOKUP(C92,STN_TABLE,3,FALSE)</f>
        <v>#VALUE!</v>
      </c>
      <c r="M94" t="str">
        <f>CONCATENATE("A(",C94,")=")</f>
        <v>A(  )=</v>
      </c>
      <c r="N94" t="e">
        <f>J94+L94</f>
        <v>#VALUE!</v>
      </c>
      <c r="O94" s="99">
        <f>O93+1</f>
        <v>15</v>
      </c>
      <c r="P94" s="99" t="str">
        <f t="shared" si="23"/>
        <v xml:space="preserve">  </v>
      </c>
      <c r="Q94" s="82" t="e">
        <f>IF(P94-P93=P93-P92,P94,IF(P95-P93=P93-P92,P95,IF(P94-P93=P93-P91,P94,IF(P95-P93=P93-P91,P95,"-"))))</f>
        <v>#VALUE!</v>
      </c>
      <c r="R94" s="83" t="e">
        <f>VLOOKUP(Q94,STN_TABLE,2,FALSE)</f>
        <v>#VALUE!</v>
      </c>
      <c r="S94" s="83">
        <v>-1</v>
      </c>
      <c r="T94" s="82" t="e">
        <f>R94*S94</f>
        <v>#VALUE!</v>
      </c>
      <c r="U94" s="88">
        <v>-1</v>
      </c>
      <c r="V94" s="82" t="e">
        <f>R94*U94</f>
        <v>#VALUE!</v>
      </c>
      <c r="W94" s="84" t="str">
        <f>CONCATENATE("a'(",Q93,")=")</f>
        <v>a'(  )=</v>
      </c>
      <c r="X94" s="84" t="e">
        <f>2*X92/12*T95</f>
        <v>#VALUE!</v>
      </c>
      <c r="Y94" s="84" t="e">
        <f>CONCATENATE("A(",Q92,")=")</f>
        <v>#VALUE!</v>
      </c>
      <c r="Z94" s="84" t="e">
        <f>VLOOKUP(Q92,STN_TABLE,3,FALSE)</f>
        <v>#VALUE!</v>
      </c>
      <c r="AA94" t="str">
        <f>CONCATENATE("A(",Q93,")=")</f>
        <v>A(  )=</v>
      </c>
      <c r="AB94" t="e">
        <f>X94+Z94</f>
        <v>#VALUE!</v>
      </c>
      <c r="AC94" s="99">
        <f>AC93+1</f>
        <v>14</v>
      </c>
      <c r="AD94" s="100" t="str">
        <f>VLOOKUP(AC94,STN_TABLE_2,2,FALSE)</f>
        <v xml:space="preserve">  </v>
      </c>
      <c r="AE94" s="82" t="str">
        <f>VLOOKUP(AD94,STN_TABLE,2,FALSE)</f>
        <v xml:space="preserve">  </v>
      </c>
      <c r="AF94" s="82">
        <v>2</v>
      </c>
      <c r="AG94" s="83" t="e">
        <f>AE94*AF94</f>
        <v>#VALUE!</v>
      </c>
      <c r="AH94" s="84" t="str">
        <f>CONCATENATE("a'(",AD94,")=")</f>
        <v>a'(  )=</v>
      </c>
      <c r="AI94" s="84" t="e">
        <f>2*AI92/2*AE95</f>
        <v>#VALUE!</v>
      </c>
      <c r="AJ94" s="84" t="str">
        <f>CONCATENATE("A(",AD93,")=")</f>
        <v>A(  )=</v>
      </c>
      <c r="AK94" s="84" t="str">
        <f>VLOOKUP(AD93,STN_TABLE,3,FALSE)</f>
        <v xml:space="preserve"> </v>
      </c>
      <c r="AL94" t="str">
        <f>CONCATENATE("A(",AD94,")=")</f>
        <v>A(  )=</v>
      </c>
      <c r="AM94" t="e">
        <f>AI94+AK94</f>
        <v>#VALUE!</v>
      </c>
      <c r="AO94" s="68" t="str">
        <f>AA94</f>
        <v>A(  )=</v>
      </c>
      <c r="AP94" s="68" t="e">
        <f>VLOOKUP(AO94,Rise_Results,2,FALSE)</f>
        <v>#N/A</v>
      </c>
      <c r="AQ94" s="76" t="e">
        <f>N94</f>
        <v>#VALUE!</v>
      </c>
      <c r="AR94" s="76" t="e">
        <f>IF(OR(AB94&lt;=0,AB95&lt;=0),1/0,AB94)</f>
        <v>#VALUE!</v>
      </c>
      <c r="AS94" s="76" t="e">
        <f>AM94</f>
        <v>#VALUE!</v>
      </c>
      <c r="AT94" t="e">
        <f>IFERROR(AP94,IFERROR(AQ94,IFERROR(AR94,AS94)))</f>
        <v>#VALUE!</v>
      </c>
      <c r="AU94" s="81"/>
    </row>
    <row r="95" spans="1:47" x14ac:dyDescent="0.25">
      <c r="A95" s="84">
        <f>A94+1</f>
        <v>14</v>
      </c>
      <c r="B95" s="84" t="str">
        <f t="shared" si="27"/>
        <v xml:space="preserve">  </v>
      </c>
      <c r="F95" s="82" t="e">
        <f>SUM(F92:F94)</f>
        <v>#VALUE!</v>
      </c>
      <c r="H95" s="82" t="e">
        <f>SUM(H92:H94)</f>
        <v>#VALUE!</v>
      </c>
      <c r="I95" s="84" t="str">
        <f>CONCATENATE("m'(",C94,")=")</f>
        <v>m'(  )=</v>
      </c>
      <c r="J95" s="84" t="e">
        <f>2*(J92*(WLS))/3*H95</f>
        <v>#VALUE!</v>
      </c>
      <c r="K95" s="84" t="e">
        <f>CONCATENATE("M(",C92,")=")</f>
        <v>#VALUE!</v>
      </c>
      <c r="L95" s="84" t="e">
        <f>VLOOKUP(C92,STN_TABLE,4,FALSE)</f>
        <v>#VALUE!</v>
      </c>
      <c r="M95" t="str">
        <f>CONCATENATE("M(",C94,")=")</f>
        <v>M(  )=</v>
      </c>
      <c r="N95" t="e">
        <f>J95+L95</f>
        <v>#VALUE!</v>
      </c>
      <c r="O95" s="99">
        <f>O94+1</f>
        <v>16</v>
      </c>
      <c r="P95" s="99" t="str">
        <f t="shared" si="23"/>
        <v xml:space="preserve">  </v>
      </c>
      <c r="T95" s="89" t="e">
        <f>SUM(T92:T94)</f>
        <v>#VALUE!</v>
      </c>
      <c r="V95" s="82" t="e">
        <f>SUM(V92:V94)</f>
        <v>#VALUE!</v>
      </c>
      <c r="W95" s="84" t="str">
        <f>CONCATENATE("m'(",Q93,")=")</f>
        <v>m'(  )=</v>
      </c>
      <c r="X95" s="84" t="e">
        <f>(2*(X92^2)/24*V95)+(X94*Q92*WLS)</f>
        <v>#VALUE!</v>
      </c>
      <c r="Y95" s="84" t="e">
        <f>CONCATENATE("M(",Q92,")=")</f>
        <v>#VALUE!</v>
      </c>
      <c r="Z95" s="84" t="e">
        <f>VLOOKUP(Q92,STN_TABLE,4,FALSE)</f>
        <v>#VALUE!</v>
      </c>
      <c r="AA95" t="str">
        <f>CONCATENATE("M(",Q93,")=")</f>
        <v>M(  )=</v>
      </c>
      <c r="AB95" t="e">
        <f>X95+Z95</f>
        <v>#VALUE!</v>
      </c>
      <c r="AE95" s="89">
        <f>SUM(AE93:AE94)</f>
        <v>0</v>
      </c>
      <c r="AG95" s="89" t="e">
        <f>SUM(AG93:AG94)</f>
        <v>#VALUE!</v>
      </c>
      <c r="AH95" s="84" t="str">
        <f>CONCATENATE("m'(",AD94,")=")</f>
        <v>m'(  )=</v>
      </c>
      <c r="AI95" s="84" t="e">
        <f>(2*(AI92^2)/6*AG95)+(AI94*AD93*WLS)</f>
        <v>#VALUE!</v>
      </c>
      <c r="AJ95" s="84" t="str">
        <f>CONCATENATE("M(",AD93,")=")</f>
        <v>M(  )=</v>
      </c>
      <c r="AK95" s="84" t="str">
        <f>VLOOKUP(AD93,STN_TABLE,4,FALSE)</f>
        <v xml:space="preserve"> </v>
      </c>
      <c r="AL95" t="str">
        <f>CONCATENATE("M(",AD94,")=")</f>
        <v>M(  )=</v>
      </c>
      <c r="AM95" t="e">
        <f>AI95+AK95</f>
        <v>#VALUE!</v>
      </c>
      <c r="AO95" s="82" t="str">
        <f>AA95</f>
        <v>M(  )=</v>
      </c>
      <c r="AP95" s="82" t="e">
        <f>VLOOKUP(AO95,Rise_Results,2,FALSE)</f>
        <v>#N/A</v>
      </c>
      <c r="AQ95" s="82" t="e">
        <f>N95</f>
        <v>#VALUE!</v>
      </c>
      <c r="AR95" s="82" t="e">
        <f>IF(OR(AB94&lt;=0,AB95&lt;=0),1/0,AB95)</f>
        <v>#VALUE!</v>
      </c>
      <c r="AS95" s="82" t="e">
        <f>AM95</f>
        <v>#VALUE!</v>
      </c>
      <c r="AT95" t="e">
        <f>IFERROR(AP95,IFERROR(AQ95,IFERROR(AR95,AS95)))</f>
        <v>#VALUE!</v>
      </c>
      <c r="AU95" s="81"/>
    </row>
    <row r="96" spans="1:47" x14ac:dyDescent="0.25">
      <c r="A96" s="101">
        <f>A91+1</f>
        <v>11</v>
      </c>
      <c r="B96" s="101">
        <f t="shared" si="27"/>
        <v>6</v>
      </c>
      <c r="O96" s="101">
        <f>O91+1</f>
        <v>13</v>
      </c>
      <c r="P96" s="101" t="str">
        <f t="shared" si="23"/>
        <v xml:space="preserve">  </v>
      </c>
      <c r="AU96" s="81"/>
    </row>
    <row r="97" spans="1:47" x14ac:dyDescent="0.25">
      <c r="A97" s="84">
        <f>A96+1</f>
        <v>12</v>
      </c>
      <c r="B97" s="84">
        <f t="shared" si="27"/>
        <v>6.5</v>
      </c>
      <c r="C97" s="79" t="e">
        <f t="shared" ref="C97" si="41">IF(C98=B99,IF(C99-C98=C98-B98,B98,IF(C99-C98=C98-B97,B97,"#NA")),IF(C98=B98,IF(C99-C98=C98-B97,B97,IF(C99-C98=C98-B96,B96,"#NA")),"#NA"))</f>
        <v>#VALUE!</v>
      </c>
      <c r="D97" s="68" t="e">
        <f>VLOOKUP(C97,STN_TABLE,2,FALSE)</f>
        <v>#VALUE!</v>
      </c>
      <c r="E97" s="102">
        <v>1</v>
      </c>
      <c r="F97" s="68" t="e">
        <f>D97*E97</f>
        <v>#VALUE!</v>
      </c>
      <c r="G97" s="69" t="e">
        <f>C97</f>
        <v>#VALUE!</v>
      </c>
      <c r="H97" s="69" t="e">
        <f>F97*G97</f>
        <v>#VALUE!</v>
      </c>
      <c r="I97" s="6" t="s">
        <v>93</v>
      </c>
      <c r="J97" s="70" t="e">
        <f>IF(OR(D97=0,D98=0,D99=0),"#NA",IF(AND(C99-C98=C98-C97,C98&lt;&gt;C99,C97&lt;&gt;C98,C97&lt;&gt;C99,D99&lt;&gt;0,OR(D97&lt;&gt;0,D98&lt;&gt;0)),WLS*(C99-C98),"#NA"))</f>
        <v>#VALUE!</v>
      </c>
      <c r="O97" s="99">
        <f>O96+1</f>
        <v>14</v>
      </c>
      <c r="P97" s="99" t="str">
        <f t="shared" si="23"/>
        <v xml:space="preserve">  </v>
      </c>
      <c r="Q97" s="68" t="e">
        <f>IF(OR(P99-P98=P98-P97,P100-P98=P98-P97),P97,IF(OR(P99-P98=P98-P96,P100-P98=P98-P96),P96,"-"))</f>
        <v>#VALUE!</v>
      </c>
      <c r="R97" s="69" t="e">
        <f>VLOOKUP(Q97,STN_TABLE,2,FALSE)</f>
        <v>#VALUE!</v>
      </c>
      <c r="S97" s="69">
        <v>5</v>
      </c>
      <c r="T97" s="68" t="e">
        <f>R97*S97</f>
        <v>#VALUE!</v>
      </c>
      <c r="U97" s="79">
        <v>3</v>
      </c>
      <c r="V97" s="68" t="e">
        <f>R97*U97</f>
        <v>#VALUE!</v>
      </c>
      <c r="W97" s="6" t="s">
        <v>93</v>
      </c>
      <c r="X97" s="70" t="e">
        <f>IF(AND(Q99-Q98=Q98-Q97,NOT(AND(Q97=0,Q98=0)),NOT(AND(Q98=0,Q99=0))),WLS*(Q99-Q98),"#NA")</f>
        <v>#VALUE!</v>
      </c>
      <c r="AD97" s="93"/>
      <c r="AH97" s="6" t="s">
        <v>93</v>
      </c>
      <c r="AI97" s="70" t="e">
        <f>WLS*(AD99-AD98)</f>
        <v>#VALUE!</v>
      </c>
      <c r="AU97" s="81"/>
    </row>
    <row r="98" spans="1:47" x14ac:dyDescent="0.25">
      <c r="A98" s="84">
        <f>A97+1</f>
        <v>13</v>
      </c>
      <c r="B98" s="84" t="str">
        <f t="shared" si="27"/>
        <v xml:space="preserve">  </v>
      </c>
      <c r="C98" s="80" t="e">
        <f t="shared" ref="C98" si="42">IF(OR(B100-B99=B99-B98,B100-B99=B99-B97,B100-B99=B99-B96),B99,IF(OR(B100-B98=B98-B97,B100-B98=B98-B96),B98,IF(B100-B97=B97-B96,B97,"#NA")))</f>
        <v>#VALUE!</v>
      </c>
      <c r="D98" s="76" t="e">
        <f>VLOOKUP(C98,STN_TABLE,2,FALSE)</f>
        <v>#VALUE!</v>
      </c>
      <c r="E98" s="81">
        <v>4</v>
      </c>
      <c r="F98" s="76" t="e">
        <f>D98*E98</f>
        <v>#VALUE!</v>
      </c>
      <c r="G98" s="77" t="e">
        <f>C98</f>
        <v>#VALUE!</v>
      </c>
      <c r="H98" s="77" t="e">
        <f>F98*G98</f>
        <v>#VALUE!</v>
      </c>
      <c r="I98" s="495" t="s">
        <v>97</v>
      </c>
      <c r="J98" s="496"/>
      <c r="K98" s="78" t="s">
        <v>98</v>
      </c>
      <c r="L98" s="78"/>
      <c r="M98" s="7" t="s">
        <v>99</v>
      </c>
      <c r="N98" s="7"/>
      <c r="O98" s="99">
        <f>O97+1</f>
        <v>15</v>
      </c>
      <c r="P98" s="99" t="str">
        <f t="shared" si="23"/>
        <v xml:space="preserve">  </v>
      </c>
      <c r="Q98" s="76" t="str">
        <f>P98</f>
        <v xml:space="preserve">  </v>
      </c>
      <c r="R98" s="77" t="str">
        <f>VLOOKUP(Q98,STN_TABLE,2,FALSE)</f>
        <v xml:space="preserve">  </v>
      </c>
      <c r="S98" s="77">
        <v>8</v>
      </c>
      <c r="T98" s="76" t="e">
        <f>R98*S98</f>
        <v>#VALUE!</v>
      </c>
      <c r="U98" s="80">
        <v>10</v>
      </c>
      <c r="V98" s="76" t="e">
        <f>R98*U98</f>
        <v>#VALUE!</v>
      </c>
      <c r="W98" s="496" t="s">
        <v>97</v>
      </c>
      <c r="X98" s="496"/>
      <c r="Y98" s="496" t="s">
        <v>98</v>
      </c>
      <c r="Z98" s="496"/>
      <c r="AA98" s="494" t="s">
        <v>99</v>
      </c>
      <c r="AB98" s="494"/>
      <c r="AC98" s="99">
        <f>AC93+1</f>
        <v>14</v>
      </c>
      <c r="AD98" s="95" t="str">
        <f>VLOOKUP(AC98,STN_TABLE_2,2,FALSE)</f>
        <v xml:space="preserve">  </v>
      </c>
      <c r="AE98" s="68" t="str">
        <f>VLOOKUP(AD98,STN_TABLE,2,FALSE)</f>
        <v xml:space="preserve">  </v>
      </c>
      <c r="AF98" s="68">
        <v>1</v>
      </c>
      <c r="AG98" s="69" t="e">
        <f>AE98*AF98</f>
        <v>#VALUE!</v>
      </c>
      <c r="AH98" s="496" t="s">
        <v>97</v>
      </c>
      <c r="AI98" s="496"/>
      <c r="AJ98" s="496" t="s">
        <v>98</v>
      </c>
      <c r="AK98" s="496"/>
      <c r="AL98" s="494" t="s">
        <v>99</v>
      </c>
      <c r="AM98" s="494"/>
      <c r="AP98" s="86" t="s">
        <v>112</v>
      </c>
      <c r="AQ98" s="89" t="s">
        <v>113</v>
      </c>
      <c r="AR98" s="89" t="s">
        <v>114</v>
      </c>
      <c r="AS98" s="89" t="s">
        <v>115</v>
      </c>
      <c r="AU98" s="81"/>
    </row>
    <row r="99" spans="1:47" x14ac:dyDescent="0.25">
      <c r="A99" s="84">
        <f>A98+1</f>
        <v>14</v>
      </c>
      <c r="B99" s="84" t="str">
        <f t="shared" si="27"/>
        <v xml:space="preserve">  </v>
      </c>
      <c r="C99" s="88" t="str">
        <f t="shared" ref="C99" si="43">B100</f>
        <v xml:space="preserve">  </v>
      </c>
      <c r="D99" s="82" t="str">
        <f>VLOOKUP(C99,STN_TABLE,2,FALSE)</f>
        <v xml:space="preserve">  </v>
      </c>
      <c r="E99" s="92">
        <v>1</v>
      </c>
      <c r="F99" s="82" t="e">
        <f>D99*E99</f>
        <v>#VALUE!</v>
      </c>
      <c r="G99" s="83" t="str">
        <f>C99</f>
        <v xml:space="preserve">  </v>
      </c>
      <c r="H99" s="83" t="e">
        <f>F99*G99</f>
        <v>#VALUE!</v>
      </c>
      <c r="I99" s="84" t="str">
        <f>CONCATENATE("a'(",C99,")=")</f>
        <v>a'(  )=</v>
      </c>
      <c r="J99" s="84" t="e">
        <f>2*J97/3*F100</f>
        <v>#VALUE!</v>
      </c>
      <c r="K99" s="84" t="e">
        <f>CONCATENATE("A(",C97,")=")</f>
        <v>#VALUE!</v>
      </c>
      <c r="L99" s="84" t="e">
        <f>VLOOKUP(C97,STN_TABLE,3,FALSE)</f>
        <v>#VALUE!</v>
      </c>
      <c r="M99" t="str">
        <f>CONCATENATE("A(",C99,")=")</f>
        <v>A(  )=</v>
      </c>
      <c r="N99" t="e">
        <f>J99+L99</f>
        <v>#VALUE!</v>
      </c>
      <c r="O99" s="99">
        <f>O98+1</f>
        <v>16</v>
      </c>
      <c r="P99" s="99" t="str">
        <f t="shared" si="23"/>
        <v xml:space="preserve">  </v>
      </c>
      <c r="Q99" s="82" t="e">
        <f>IF(P99-P98=P98-P97,P99,IF(P100-P98=P98-P97,P100,IF(P99-P98=P98-P96,P99,IF(P100-P98=P98-P96,P100,"-"))))</f>
        <v>#VALUE!</v>
      </c>
      <c r="R99" s="83" t="e">
        <f>VLOOKUP(Q99,STN_TABLE,2,FALSE)</f>
        <v>#VALUE!</v>
      </c>
      <c r="S99" s="83">
        <v>-1</v>
      </c>
      <c r="T99" s="82" t="e">
        <f>R99*S99</f>
        <v>#VALUE!</v>
      </c>
      <c r="U99" s="88">
        <v>-1</v>
      </c>
      <c r="V99" s="82" t="e">
        <f>R99*U99</f>
        <v>#VALUE!</v>
      </c>
      <c r="W99" s="84" t="str">
        <f>CONCATENATE("a'(",Q98,")=")</f>
        <v>a'(  )=</v>
      </c>
      <c r="X99" s="84" t="e">
        <f>2*X97/12*T100</f>
        <v>#VALUE!</v>
      </c>
      <c r="Y99" s="84" t="e">
        <f>CONCATENATE("A(",Q97,")=")</f>
        <v>#VALUE!</v>
      </c>
      <c r="Z99" s="84" t="e">
        <f>VLOOKUP(Q97,STN_TABLE,3,FALSE)</f>
        <v>#VALUE!</v>
      </c>
      <c r="AA99" t="str">
        <f>CONCATENATE("A(",Q98,")=")</f>
        <v>A(  )=</v>
      </c>
      <c r="AB99" t="e">
        <f>X99+Z99</f>
        <v>#VALUE!</v>
      </c>
      <c r="AC99" s="99">
        <f>AC98+1</f>
        <v>15</v>
      </c>
      <c r="AD99" s="100" t="str">
        <f>VLOOKUP(AC99,STN_TABLE_2,2,FALSE)</f>
        <v xml:space="preserve">  </v>
      </c>
      <c r="AE99" s="82" t="str">
        <f>VLOOKUP(AD99,STN_TABLE,2,FALSE)</f>
        <v xml:space="preserve">  </v>
      </c>
      <c r="AF99" s="82">
        <v>2</v>
      </c>
      <c r="AG99" s="83" t="e">
        <f>AE99*AF99</f>
        <v>#VALUE!</v>
      </c>
      <c r="AH99" s="84" t="str">
        <f>CONCATENATE("a'(",AD99,")=")</f>
        <v>a'(  )=</v>
      </c>
      <c r="AI99" s="84" t="e">
        <f>2*AI97/2*AE100</f>
        <v>#VALUE!</v>
      </c>
      <c r="AJ99" s="84" t="str">
        <f>CONCATENATE("A(",AD98,")=")</f>
        <v>A(  )=</v>
      </c>
      <c r="AK99" s="84" t="str">
        <f>VLOOKUP(AD98,STN_TABLE,3,FALSE)</f>
        <v xml:space="preserve"> </v>
      </c>
      <c r="AL99" t="str">
        <f>CONCATENATE("A(",AD99,")=")</f>
        <v>A(  )=</v>
      </c>
      <c r="AM99" t="e">
        <f>AI99+AK99</f>
        <v>#VALUE!</v>
      </c>
      <c r="AO99" s="68" t="str">
        <f>AA99</f>
        <v>A(  )=</v>
      </c>
      <c r="AP99" s="68" t="e">
        <f>VLOOKUP(AO99,Rise_Results,2,FALSE)</f>
        <v>#N/A</v>
      </c>
      <c r="AQ99" s="76" t="e">
        <f>N99</f>
        <v>#VALUE!</v>
      </c>
      <c r="AR99" s="76" t="e">
        <f>IF(OR(AB99&lt;=0,AB100&lt;=0),1/0,AB99)</f>
        <v>#VALUE!</v>
      </c>
      <c r="AS99" s="76" t="e">
        <f>AM99</f>
        <v>#VALUE!</v>
      </c>
      <c r="AT99" t="e">
        <f>IFERROR(AP99,IFERROR(AQ99,IFERROR(AR99,AS99)))</f>
        <v>#VALUE!</v>
      </c>
      <c r="AU99" s="81"/>
    </row>
    <row r="100" spans="1:47" x14ac:dyDescent="0.25">
      <c r="A100" s="84">
        <f>A99+1</f>
        <v>15</v>
      </c>
      <c r="B100" s="84" t="str">
        <f t="shared" si="27"/>
        <v xml:space="preserve">  </v>
      </c>
      <c r="F100" s="82" t="e">
        <f>SUM(F97:F99)</f>
        <v>#VALUE!</v>
      </c>
      <c r="H100" s="82" t="e">
        <f>SUM(H97:H99)</f>
        <v>#VALUE!</v>
      </c>
      <c r="I100" s="84" t="str">
        <f>CONCATENATE("m'(",C99,")=")</f>
        <v>m'(  )=</v>
      </c>
      <c r="J100" s="84" t="e">
        <f>2*(J97*(WLS))/3*H100</f>
        <v>#VALUE!</v>
      </c>
      <c r="K100" s="84" t="e">
        <f>CONCATENATE("M(",C97,")=")</f>
        <v>#VALUE!</v>
      </c>
      <c r="L100" s="84" t="e">
        <f>VLOOKUP(C97,STN_TABLE,4,FALSE)</f>
        <v>#VALUE!</v>
      </c>
      <c r="M100" t="str">
        <f>CONCATENATE("M(",C99,")=")</f>
        <v>M(  )=</v>
      </c>
      <c r="N100" t="e">
        <f>J100+L100</f>
        <v>#VALUE!</v>
      </c>
      <c r="O100" s="99">
        <f>O99+1</f>
        <v>17</v>
      </c>
      <c r="P100" s="99" t="str">
        <f t="shared" ref="P100:P131" si="44">VLOOKUP(O100,STN_TABLE_2,2,FALSE)</f>
        <v xml:space="preserve">  </v>
      </c>
      <c r="T100" s="89" t="e">
        <f>SUM(T97:T99)</f>
        <v>#VALUE!</v>
      </c>
      <c r="V100" s="82" t="e">
        <f>SUM(V97:V99)</f>
        <v>#VALUE!</v>
      </c>
      <c r="W100" s="84" t="str">
        <f>CONCATENATE("m'(",Q98,")=")</f>
        <v>m'(  )=</v>
      </c>
      <c r="X100" s="84" t="e">
        <f>(2*(X97^2)/24*V100)+(X99*Q97*WLS)</f>
        <v>#VALUE!</v>
      </c>
      <c r="Y100" s="84" t="e">
        <f>CONCATENATE("M(",Q97,")=")</f>
        <v>#VALUE!</v>
      </c>
      <c r="Z100" s="84" t="e">
        <f>VLOOKUP(Q97,STN_TABLE,4,FALSE)</f>
        <v>#VALUE!</v>
      </c>
      <c r="AA100" t="str">
        <f>CONCATENATE("M(",Q98,")=")</f>
        <v>M(  )=</v>
      </c>
      <c r="AB100" t="e">
        <f>X100+Z100</f>
        <v>#VALUE!</v>
      </c>
      <c r="AE100" s="89">
        <f>SUM(AE98:AE99)</f>
        <v>0</v>
      </c>
      <c r="AG100" s="89" t="e">
        <f>SUM(AG98:AG99)</f>
        <v>#VALUE!</v>
      </c>
      <c r="AH100" s="84" t="str">
        <f>CONCATENATE("m'(",AD99,")=")</f>
        <v>m'(  )=</v>
      </c>
      <c r="AI100" s="84" t="e">
        <f>(2*(AI97^2)/6*AG100)+(AI99*AD98*WLS)</f>
        <v>#VALUE!</v>
      </c>
      <c r="AJ100" s="84" t="str">
        <f>CONCATENATE("M(",AD98,")=")</f>
        <v>M(  )=</v>
      </c>
      <c r="AK100" s="84" t="str">
        <f>VLOOKUP(AD98,STN_TABLE,4,FALSE)</f>
        <v xml:space="preserve"> </v>
      </c>
      <c r="AL100" t="str">
        <f>CONCATENATE("M(",AD99,")=")</f>
        <v>M(  )=</v>
      </c>
      <c r="AM100" t="e">
        <f>AI100+AK100</f>
        <v>#VALUE!</v>
      </c>
      <c r="AO100" s="82" t="str">
        <f>AA100</f>
        <v>M(  )=</v>
      </c>
      <c r="AP100" s="82" t="e">
        <f>VLOOKUP(AO100,Rise_Results,2,FALSE)</f>
        <v>#N/A</v>
      </c>
      <c r="AQ100" s="82" t="e">
        <f>N100</f>
        <v>#VALUE!</v>
      </c>
      <c r="AR100" s="82" t="e">
        <f>IF(OR(AB99&lt;=0,AB100&lt;=0),1/0,AB100)</f>
        <v>#VALUE!</v>
      </c>
      <c r="AS100" s="82" t="e">
        <f>AM100</f>
        <v>#VALUE!</v>
      </c>
      <c r="AT100" t="e">
        <f>IFERROR(AP100,IFERROR(AQ100,IFERROR(AR100,AS100)))</f>
        <v>#VALUE!</v>
      </c>
      <c r="AU100" s="81"/>
    </row>
    <row r="101" spans="1:47" x14ac:dyDescent="0.25">
      <c r="A101" s="101">
        <f>A96+1</f>
        <v>12</v>
      </c>
      <c r="B101" s="101">
        <f t="shared" si="27"/>
        <v>6.5</v>
      </c>
      <c r="O101" s="101">
        <f>O96+1</f>
        <v>14</v>
      </c>
      <c r="P101" s="101" t="str">
        <f t="shared" si="44"/>
        <v xml:space="preserve">  </v>
      </c>
      <c r="AU101" s="81"/>
    </row>
    <row r="102" spans="1:47" x14ac:dyDescent="0.25">
      <c r="A102" s="84">
        <f>A101+1</f>
        <v>13</v>
      </c>
      <c r="B102" s="84" t="str">
        <f t="shared" si="27"/>
        <v xml:space="preserve">  </v>
      </c>
      <c r="C102" s="79" t="e">
        <f t="shared" ref="C102" si="45">IF(C103=B104,IF(C104-C103=C103-B103,B103,IF(C104-C103=C103-B102,B102,"#NA")),IF(C103=B103,IF(C104-C103=C103-B102,B102,IF(C104-C103=C103-B101,B101,"#NA")),"#NA"))</f>
        <v>#VALUE!</v>
      </c>
      <c r="D102" s="68" t="e">
        <f>VLOOKUP(C102,STN_TABLE,2,FALSE)</f>
        <v>#VALUE!</v>
      </c>
      <c r="E102" s="102">
        <v>1</v>
      </c>
      <c r="F102" s="68" t="e">
        <f>D102*E102</f>
        <v>#VALUE!</v>
      </c>
      <c r="G102" s="69" t="e">
        <f>C102</f>
        <v>#VALUE!</v>
      </c>
      <c r="H102" s="69" t="e">
        <f>F102*G102</f>
        <v>#VALUE!</v>
      </c>
      <c r="I102" s="6" t="s">
        <v>93</v>
      </c>
      <c r="J102" s="70" t="e">
        <f>IF(OR(D102=0,D103=0,D104=0),"#NA",IF(AND(C104-C103=C103-C102,C103&lt;&gt;C104,C102&lt;&gt;C103,C102&lt;&gt;C104,D104&lt;&gt;0,OR(D102&lt;&gt;0,D103&lt;&gt;0)),WLS*(C104-C103),"#NA"))</f>
        <v>#VALUE!</v>
      </c>
      <c r="O102" s="99">
        <f>O101+1</f>
        <v>15</v>
      </c>
      <c r="P102" s="99" t="str">
        <f t="shared" si="44"/>
        <v xml:space="preserve">  </v>
      </c>
      <c r="Q102" s="68" t="e">
        <f>IF(OR(P104-P103=P103-P102,P105-P103=P103-P102),P102,IF(OR(P104-P103=P103-P101,P105-P103=P103-P101),P101,"-"))</f>
        <v>#VALUE!</v>
      </c>
      <c r="R102" s="69" t="e">
        <f>VLOOKUP(Q102,STN_TABLE,2,FALSE)</f>
        <v>#VALUE!</v>
      </c>
      <c r="S102" s="69">
        <v>5</v>
      </c>
      <c r="T102" s="68" t="e">
        <f>R102*S102</f>
        <v>#VALUE!</v>
      </c>
      <c r="U102" s="79">
        <v>3</v>
      </c>
      <c r="V102" s="68" t="e">
        <f>R102*U102</f>
        <v>#VALUE!</v>
      </c>
      <c r="W102" s="6" t="s">
        <v>93</v>
      </c>
      <c r="X102" s="70" t="e">
        <f>IF(AND(Q104-Q103=Q103-Q102,NOT(AND(Q102=0,Q103=0)),NOT(AND(Q103=0,Q104=0))),WLS*(Q104-Q103),"#NA")</f>
        <v>#VALUE!</v>
      </c>
      <c r="AD102" s="93"/>
      <c r="AH102" s="6" t="s">
        <v>93</v>
      </c>
      <c r="AI102" s="70" t="e">
        <f>WLS*(AD104-AD103)</f>
        <v>#VALUE!</v>
      </c>
      <c r="AU102" s="81"/>
    </row>
    <row r="103" spans="1:47" x14ac:dyDescent="0.25">
      <c r="A103" s="84">
        <f>A102+1</f>
        <v>14</v>
      </c>
      <c r="B103" s="84" t="str">
        <f t="shared" si="27"/>
        <v xml:space="preserve">  </v>
      </c>
      <c r="C103" s="80" t="e">
        <f t="shared" ref="C103" si="46">IF(OR(B105-B104=B104-B103,B105-B104=B104-B102,B105-B104=B104-B101),B104,IF(OR(B105-B103=B103-B102,B105-B103=B103-B101),B103,IF(B105-B102=B102-B101,B102,"#NA")))</f>
        <v>#VALUE!</v>
      </c>
      <c r="D103" s="76" t="e">
        <f>VLOOKUP(C103,STN_TABLE,2,FALSE)</f>
        <v>#VALUE!</v>
      </c>
      <c r="E103" s="81">
        <v>4</v>
      </c>
      <c r="F103" s="76" t="e">
        <f>D103*E103</f>
        <v>#VALUE!</v>
      </c>
      <c r="G103" s="77" t="e">
        <f>C103</f>
        <v>#VALUE!</v>
      </c>
      <c r="H103" s="77" t="e">
        <f>F103*G103</f>
        <v>#VALUE!</v>
      </c>
      <c r="I103" s="495" t="s">
        <v>97</v>
      </c>
      <c r="J103" s="496"/>
      <c r="K103" s="78" t="s">
        <v>98</v>
      </c>
      <c r="L103" s="78"/>
      <c r="M103" s="7" t="s">
        <v>99</v>
      </c>
      <c r="N103" s="7"/>
      <c r="O103" s="99">
        <f>O102+1</f>
        <v>16</v>
      </c>
      <c r="P103" s="99" t="str">
        <f t="shared" si="44"/>
        <v xml:space="preserve">  </v>
      </c>
      <c r="Q103" s="76" t="str">
        <f>P103</f>
        <v xml:space="preserve">  </v>
      </c>
      <c r="R103" s="77" t="str">
        <f>VLOOKUP(Q103,STN_TABLE,2,FALSE)</f>
        <v xml:space="preserve">  </v>
      </c>
      <c r="S103" s="77">
        <v>8</v>
      </c>
      <c r="T103" s="76" t="e">
        <f>R103*S103</f>
        <v>#VALUE!</v>
      </c>
      <c r="U103" s="80">
        <v>10</v>
      </c>
      <c r="V103" s="76" t="e">
        <f>R103*U103</f>
        <v>#VALUE!</v>
      </c>
      <c r="W103" s="496" t="s">
        <v>97</v>
      </c>
      <c r="X103" s="496"/>
      <c r="Y103" s="496" t="s">
        <v>98</v>
      </c>
      <c r="Z103" s="496"/>
      <c r="AA103" s="494" t="s">
        <v>99</v>
      </c>
      <c r="AB103" s="494"/>
      <c r="AC103" s="99">
        <f>AC98+1</f>
        <v>15</v>
      </c>
      <c r="AD103" s="95" t="str">
        <f>VLOOKUP(AC103,STN_TABLE_2,2,FALSE)</f>
        <v xml:space="preserve">  </v>
      </c>
      <c r="AE103" s="68" t="str">
        <f>VLOOKUP(AD103,STN_TABLE,2,FALSE)</f>
        <v xml:space="preserve">  </v>
      </c>
      <c r="AF103" s="68">
        <v>1</v>
      </c>
      <c r="AG103" s="69" t="e">
        <f>AE103*AF103</f>
        <v>#VALUE!</v>
      </c>
      <c r="AH103" s="496" t="s">
        <v>97</v>
      </c>
      <c r="AI103" s="496"/>
      <c r="AJ103" s="496" t="s">
        <v>98</v>
      </c>
      <c r="AK103" s="496"/>
      <c r="AL103" s="494" t="s">
        <v>99</v>
      </c>
      <c r="AM103" s="494"/>
      <c r="AP103" s="86" t="s">
        <v>112</v>
      </c>
      <c r="AQ103" s="89" t="s">
        <v>113</v>
      </c>
      <c r="AR103" s="89" t="s">
        <v>114</v>
      </c>
      <c r="AS103" s="89" t="s">
        <v>115</v>
      </c>
      <c r="AU103" s="81"/>
    </row>
    <row r="104" spans="1:47" x14ac:dyDescent="0.25">
      <c r="A104" s="84">
        <f>A103+1</f>
        <v>15</v>
      </c>
      <c r="B104" s="84" t="str">
        <f t="shared" si="27"/>
        <v xml:space="preserve">  </v>
      </c>
      <c r="C104" s="88" t="str">
        <f t="shared" ref="C104" si="47">B105</f>
        <v xml:space="preserve">  </v>
      </c>
      <c r="D104" s="82" t="str">
        <f>VLOOKUP(C104,STN_TABLE,2,FALSE)</f>
        <v xml:space="preserve">  </v>
      </c>
      <c r="E104" s="92">
        <v>1</v>
      </c>
      <c r="F104" s="82" t="e">
        <f>D104*E104</f>
        <v>#VALUE!</v>
      </c>
      <c r="G104" s="83" t="str">
        <f>C104</f>
        <v xml:space="preserve">  </v>
      </c>
      <c r="H104" s="83" t="e">
        <f>F104*G104</f>
        <v>#VALUE!</v>
      </c>
      <c r="I104" s="84" t="str">
        <f>CONCATENATE("a'(",C104,")=")</f>
        <v>a'(  )=</v>
      </c>
      <c r="J104" s="84" t="e">
        <f>2*J102/3*F105</f>
        <v>#VALUE!</v>
      </c>
      <c r="K104" s="84" t="e">
        <f>CONCATENATE("A(",C102,")=")</f>
        <v>#VALUE!</v>
      </c>
      <c r="L104" s="84" t="e">
        <f>VLOOKUP(C102,STN_TABLE,3,FALSE)</f>
        <v>#VALUE!</v>
      </c>
      <c r="M104" t="str">
        <f>CONCATENATE("A(",C104,")=")</f>
        <v>A(  )=</v>
      </c>
      <c r="N104" t="e">
        <f>J104+L104</f>
        <v>#VALUE!</v>
      </c>
      <c r="O104" s="99">
        <f>O103+1</f>
        <v>17</v>
      </c>
      <c r="P104" s="99" t="str">
        <f t="shared" si="44"/>
        <v xml:space="preserve">  </v>
      </c>
      <c r="Q104" s="82" t="e">
        <f>IF(P104-P103=P103-P102,P104,IF(P105-P103=P103-P102,P105,IF(P104-P103=P103-P101,P104,IF(P105-P103=P103-P101,P105,"-"))))</f>
        <v>#VALUE!</v>
      </c>
      <c r="R104" s="83" t="e">
        <f>VLOOKUP(Q104,STN_TABLE,2,FALSE)</f>
        <v>#VALUE!</v>
      </c>
      <c r="S104" s="83">
        <v>-1</v>
      </c>
      <c r="T104" s="82" t="e">
        <f>R104*S104</f>
        <v>#VALUE!</v>
      </c>
      <c r="U104" s="88">
        <v>-1</v>
      </c>
      <c r="V104" s="82" t="e">
        <f>R104*U104</f>
        <v>#VALUE!</v>
      </c>
      <c r="W104" s="84" t="str">
        <f>CONCATENATE("a'(",Q103,")=")</f>
        <v>a'(  )=</v>
      </c>
      <c r="X104" s="84" t="e">
        <f>2*X102/12*T105</f>
        <v>#VALUE!</v>
      </c>
      <c r="Y104" s="84" t="e">
        <f>CONCATENATE("A(",Q102,")=")</f>
        <v>#VALUE!</v>
      </c>
      <c r="Z104" s="84" t="e">
        <f>VLOOKUP(Q102,STN_TABLE,3,FALSE)</f>
        <v>#VALUE!</v>
      </c>
      <c r="AA104" t="str">
        <f>CONCATENATE("A(",Q103,")=")</f>
        <v>A(  )=</v>
      </c>
      <c r="AB104" t="e">
        <f>X104+Z104</f>
        <v>#VALUE!</v>
      </c>
      <c r="AC104" s="99">
        <f>AC103+1</f>
        <v>16</v>
      </c>
      <c r="AD104" s="100" t="str">
        <f>VLOOKUP(AC104,STN_TABLE_2,2,FALSE)</f>
        <v xml:space="preserve">  </v>
      </c>
      <c r="AE104" s="82" t="str">
        <f>VLOOKUP(AD104,STN_TABLE,2,FALSE)</f>
        <v xml:space="preserve">  </v>
      </c>
      <c r="AF104" s="82">
        <v>2</v>
      </c>
      <c r="AG104" s="83" t="e">
        <f>AE104*AF104</f>
        <v>#VALUE!</v>
      </c>
      <c r="AH104" s="84" t="str">
        <f>CONCATENATE("a'(",AD104,")=")</f>
        <v>a'(  )=</v>
      </c>
      <c r="AI104" s="84" t="e">
        <f>2*AI102/2*AE105</f>
        <v>#VALUE!</v>
      </c>
      <c r="AJ104" s="84" t="str">
        <f>CONCATENATE("A(",AD103,")=")</f>
        <v>A(  )=</v>
      </c>
      <c r="AK104" s="84" t="str">
        <f>VLOOKUP(AD103,STN_TABLE,3,FALSE)</f>
        <v xml:space="preserve"> </v>
      </c>
      <c r="AL104" t="str">
        <f>CONCATENATE("A(",AD104,")=")</f>
        <v>A(  )=</v>
      </c>
      <c r="AM104" t="e">
        <f>AI104+AK104</f>
        <v>#VALUE!</v>
      </c>
      <c r="AO104" s="68" t="str">
        <f>AA104</f>
        <v>A(  )=</v>
      </c>
      <c r="AP104" s="68" t="e">
        <f>VLOOKUP(AO104,Rise_Results,2,FALSE)</f>
        <v>#N/A</v>
      </c>
      <c r="AQ104" s="76" t="e">
        <f>N104</f>
        <v>#VALUE!</v>
      </c>
      <c r="AR104" s="76" t="e">
        <f>IF(OR(AB104&lt;=0,AB105&lt;=0),1/0,AB104)</f>
        <v>#VALUE!</v>
      </c>
      <c r="AS104" s="76" t="e">
        <f>AM104</f>
        <v>#VALUE!</v>
      </c>
      <c r="AT104" t="e">
        <f>IFERROR(AP104,IFERROR(AQ104,IFERROR(AR104,AS104)))</f>
        <v>#VALUE!</v>
      </c>
      <c r="AU104" s="81"/>
    </row>
    <row r="105" spans="1:47" x14ac:dyDescent="0.25">
      <c r="A105" s="84">
        <f>A104+1</f>
        <v>16</v>
      </c>
      <c r="B105" s="84" t="str">
        <f t="shared" si="27"/>
        <v xml:space="preserve">  </v>
      </c>
      <c r="F105" s="82" t="e">
        <f>SUM(F102:F104)</f>
        <v>#VALUE!</v>
      </c>
      <c r="H105" s="82" t="e">
        <f>SUM(H102:H104)</f>
        <v>#VALUE!</v>
      </c>
      <c r="I105" s="84" t="str">
        <f>CONCATENATE("m'(",C104,")=")</f>
        <v>m'(  )=</v>
      </c>
      <c r="J105" s="84" t="e">
        <f>2*(J102*(WLS))/3*H105</f>
        <v>#VALUE!</v>
      </c>
      <c r="K105" s="84" t="e">
        <f>CONCATENATE("M(",C102,")=")</f>
        <v>#VALUE!</v>
      </c>
      <c r="L105" s="84" t="e">
        <f>VLOOKUP(C102,STN_TABLE,4,FALSE)</f>
        <v>#VALUE!</v>
      </c>
      <c r="M105" t="str">
        <f>CONCATENATE("M(",C104,")=")</f>
        <v>M(  )=</v>
      </c>
      <c r="N105" t="e">
        <f>J105+L105</f>
        <v>#VALUE!</v>
      </c>
      <c r="O105" s="99">
        <f>O104+1</f>
        <v>18</v>
      </c>
      <c r="P105" s="99" t="str">
        <f t="shared" si="44"/>
        <v xml:space="preserve">  </v>
      </c>
      <c r="T105" s="89" t="e">
        <f>SUM(T102:T104)</f>
        <v>#VALUE!</v>
      </c>
      <c r="V105" s="82" t="e">
        <f>SUM(V102:V104)</f>
        <v>#VALUE!</v>
      </c>
      <c r="W105" s="84" t="str">
        <f>CONCATENATE("m'(",Q103,")=")</f>
        <v>m'(  )=</v>
      </c>
      <c r="X105" s="84" t="e">
        <f>(2*(X102^2)/24*V105)+(X104*Q102*WLS)</f>
        <v>#VALUE!</v>
      </c>
      <c r="Y105" s="84" t="e">
        <f>CONCATENATE("M(",Q102,")=")</f>
        <v>#VALUE!</v>
      </c>
      <c r="Z105" s="84" t="e">
        <f>VLOOKUP(Q102,STN_TABLE,4,FALSE)</f>
        <v>#VALUE!</v>
      </c>
      <c r="AA105" t="str">
        <f>CONCATENATE("M(",Q103,")=")</f>
        <v>M(  )=</v>
      </c>
      <c r="AB105" t="e">
        <f>X105+Z105</f>
        <v>#VALUE!</v>
      </c>
      <c r="AE105" s="89">
        <f>SUM(AE103:AE104)</f>
        <v>0</v>
      </c>
      <c r="AG105" s="89" t="e">
        <f>SUM(AG103:AG104)</f>
        <v>#VALUE!</v>
      </c>
      <c r="AH105" s="84" t="str">
        <f>CONCATENATE("m'(",AD104,")=")</f>
        <v>m'(  )=</v>
      </c>
      <c r="AI105" s="84" t="e">
        <f>(2*(AI102^2)/6*AG105)+(AI104*AD103*WLS)</f>
        <v>#VALUE!</v>
      </c>
      <c r="AJ105" s="84" t="str">
        <f>CONCATENATE("M(",AD103,")=")</f>
        <v>M(  )=</v>
      </c>
      <c r="AK105" s="84" t="str">
        <f>VLOOKUP(AD103,STN_TABLE,4,FALSE)</f>
        <v xml:space="preserve"> </v>
      </c>
      <c r="AL105" t="str">
        <f>CONCATENATE("M(",AD104,")=")</f>
        <v>M(  )=</v>
      </c>
      <c r="AM105" t="e">
        <f>AI105+AK105</f>
        <v>#VALUE!</v>
      </c>
      <c r="AO105" s="82" t="str">
        <f>AA105</f>
        <v>M(  )=</v>
      </c>
      <c r="AP105" s="82" t="e">
        <f>VLOOKUP(AO105,Rise_Results,2,FALSE)</f>
        <v>#N/A</v>
      </c>
      <c r="AQ105" s="82" t="e">
        <f>N105</f>
        <v>#VALUE!</v>
      </c>
      <c r="AR105" s="82" t="e">
        <f>IF(OR(AB104&lt;=0,AB105&lt;=0),1/0,AB105)</f>
        <v>#VALUE!</v>
      </c>
      <c r="AS105" s="82" t="e">
        <f>AM105</f>
        <v>#VALUE!</v>
      </c>
      <c r="AT105" t="e">
        <f>IFERROR(AP105,IFERROR(AQ105,IFERROR(AR105,AS105)))</f>
        <v>#VALUE!</v>
      </c>
      <c r="AU105" s="81"/>
    </row>
    <row r="106" spans="1:47" x14ac:dyDescent="0.25">
      <c r="A106" s="101">
        <f>A101+1</f>
        <v>13</v>
      </c>
      <c r="B106" s="101" t="str">
        <f t="shared" ref="B106:B137" si="48">VLOOKUP(A106,STN_TABLE_2,2,FALSE)</f>
        <v xml:space="preserve">  </v>
      </c>
      <c r="O106" s="101">
        <f>O101+1</f>
        <v>15</v>
      </c>
      <c r="P106" s="101" t="str">
        <f t="shared" si="44"/>
        <v xml:space="preserve">  </v>
      </c>
      <c r="AU106" s="81"/>
    </row>
    <row r="107" spans="1:47" x14ac:dyDescent="0.25">
      <c r="A107" s="84">
        <f>A106+1</f>
        <v>14</v>
      </c>
      <c r="B107" s="84" t="str">
        <f t="shared" si="48"/>
        <v xml:space="preserve">  </v>
      </c>
      <c r="C107" s="79" t="e">
        <f t="shared" ref="C107" si="49">IF(C108=B109,IF(C109-C108=C108-B108,B108,IF(C109-C108=C108-B107,B107,"#NA")),IF(C108=B108,IF(C109-C108=C108-B107,B107,IF(C109-C108=C108-B106,B106,"#NA")),"#NA"))</f>
        <v>#VALUE!</v>
      </c>
      <c r="D107" s="68" t="e">
        <f>VLOOKUP(C107,STN_TABLE,2,FALSE)</f>
        <v>#VALUE!</v>
      </c>
      <c r="E107" s="102">
        <v>1</v>
      </c>
      <c r="F107" s="68" t="e">
        <f>D107*E107</f>
        <v>#VALUE!</v>
      </c>
      <c r="G107" s="69" t="e">
        <f>C107</f>
        <v>#VALUE!</v>
      </c>
      <c r="H107" s="69" t="e">
        <f>F107*G107</f>
        <v>#VALUE!</v>
      </c>
      <c r="I107" s="6" t="s">
        <v>93</v>
      </c>
      <c r="J107" s="70" t="e">
        <f>IF(OR(D107=0,D108=0,D109=0),"#NA",IF(AND(C109-C108=C108-C107,C108&lt;&gt;C109,C107&lt;&gt;C108,C107&lt;&gt;C109,D109&lt;&gt;0,OR(D107&lt;&gt;0,D108&lt;&gt;0)),WLS*(C109-C108),"#NA"))</f>
        <v>#VALUE!</v>
      </c>
      <c r="O107" s="99">
        <f>O106+1</f>
        <v>16</v>
      </c>
      <c r="P107" s="99" t="str">
        <f t="shared" si="44"/>
        <v xml:space="preserve">  </v>
      </c>
      <c r="Q107" s="68" t="e">
        <f>IF(OR(P109-P108=P108-P107,P110-P108=P108-P107),P107,IF(OR(P109-P108=P108-P106,P110-P108=P108-P106),P106,"-"))</f>
        <v>#VALUE!</v>
      </c>
      <c r="R107" s="69" t="e">
        <f>VLOOKUP(Q107,STN_TABLE,2,FALSE)</f>
        <v>#VALUE!</v>
      </c>
      <c r="S107" s="69">
        <v>5</v>
      </c>
      <c r="T107" s="68" t="e">
        <f>R107*S107</f>
        <v>#VALUE!</v>
      </c>
      <c r="U107" s="79">
        <v>3</v>
      </c>
      <c r="V107" s="68" t="e">
        <f>R107*U107</f>
        <v>#VALUE!</v>
      </c>
      <c r="W107" s="6" t="s">
        <v>93</v>
      </c>
      <c r="X107" s="70" t="e">
        <f>IF(AND(Q109-Q108=Q108-Q107,NOT(AND(Q107=0,Q108=0)),NOT(AND(Q108=0,Q109=0))),WLS*(Q109-Q108),"#NA")</f>
        <v>#VALUE!</v>
      </c>
      <c r="AD107" s="93"/>
      <c r="AH107" s="6" t="s">
        <v>93</v>
      </c>
      <c r="AI107" s="70" t="e">
        <f>WLS*(AD109-AD108)</f>
        <v>#VALUE!</v>
      </c>
      <c r="AU107" s="81"/>
    </row>
    <row r="108" spans="1:47" x14ac:dyDescent="0.25">
      <c r="A108" s="84">
        <f>A107+1</f>
        <v>15</v>
      </c>
      <c r="B108" s="84" t="str">
        <f t="shared" si="48"/>
        <v xml:space="preserve">  </v>
      </c>
      <c r="C108" s="80" t="e">
        <f t="shared" ref="C108" si="50">IF(OR(B110-B109=B109-B108,B110-B109=B109-B107,B110-B109=B109-B106),B109,IF(OR(B110-B108=B108-B107,B110-B108=B108-B106),B108,IF(B110-B107=B107-B106,B107,"#NA")))</f>
        <v>#VALUE!</v>
      </c>
      <c r="D108" s="76" t="e">
        <f>VLOOKUP(C108,STN_TABLE,2,FALSE)</f>
        <v>#VALUE!</v>
      </c>
      <c r="E108" s="81">
        <v>4</v>
      </c>
      <c r="F108" s="76" t="e">
        <f>D108*E108</f>
        <v>#VALUE!</v>
      </c>
      <c r="G108" s="77" t="e">
        <f>C108</f>
        <v>#VALUE!</v>
      </c>
      <c r="H108" s="77" t="e">
        <f>F108*G108</f>
        <v>#VALUE!</v>
      </c>
      <c r="I108" s="495" t="s">
        <v>97</v>
      </c>
      <c r="J108" s="496"/>
      <c r="K108" s="78" t="s">
        <v>98</v>
      </c>
      <c r="L108" s="78"/>
      <c r="M108" s="7" t="s">
        <v>99</v>
      </c>
      <c r="N108" s="7"/>
      <c r="O108" s="99">
        <f>O107+1</f>
        <v>17</v>
      </c>
      <c r="P108" s="99" t="str">
        <f t="shared" si="44"/>
        <v xml:space="preserve">  </v>
      </c>
      <c r="Q108" s="76" t="str">
        <f>P108</f>
        <v xml:space="preserve">  </v>
      </c>
      <c r="R108" s="77" t="str">
        <f>VLOOKUP(Q108,STN_TABLE,2,FALSE)</f>
        <v xml:space="preserve">  </v>
      </c>
      <c r="S108" s="77">
        <v>8</v>
      </c>
      <c r="T108" s="76" t="e">
        <f>R108*S108</f>
        <v>#VALUE!</v>
      </c>
      <c r="U108" s="80">
        <v>10</v>
      </c>
      <c r="V108" s="76" t="e">
        <f>R108*U108</f>
        <v>#VALUE!</v>
      </c>
      <c r="W108" s="496" t="s">
        <v>97</v>
      </c>
      <c r="X108" s="496"/>
      <c r="Y108" s="496" t="s">
        <v>98</v>
      </c>
      <c r="Z108" s="496"/>
      <c r="AA108" s="494" t="s">
        <v>99</v>
      </c>
      <c r="AB108" s="494"/>
      <c r="AC108" s="99">
        <f>AC103+1</f>
        <v>16</v>
      </c>
      <c r="AD108" s="95" t="str">
        <f>VLOOKUP(AC108,STN_TABLE_2,2,FALSE)</f>
        <v xml:space="preserve">  </v>
      </c>
      <c r="AE108" s="68" t="str">
        <f>VLOOKUP(AD108,STN_TABLE,2,FALSE)</f>
        <v xml:space="preserve">  </v>
      </c>
      <c r="AF108" s="68">
        <v>1</v>
      </c>
      <c r="AG108" s="69" t="e">
        <f>AE108*AF108</f>
        <v>#VALUE!</v>
      </c>
      <c r="AH108" s="496" t="s">
        <v>97</v>
      </c>
      <c r="AI108" s="496"/>
      <c r="AJ108" s="496" t="s">
        <v>98</v>
      </c>
      <c r="AK108" s="496"/>
      <c r="AL108" s="494" t="s">
        <v>99</v>
      </c>
      <c r="AM108" s="494"/>
      <c r="AP108" s="86" t="s">
        <v>112</v>
      </c>
      <c r="AQ108" s="89" t="s">
        <v>113</v>
      </c>
      <c r="AR108" s="89" t="s">
        <v>114</v>
      </c>
      <c r="AS108" s="89" t="s">
        <v>115</v>
      </c>
      <c r="AU108" s="81"/>
    </row>
    <row r="109" spans="1:47" x14ac:dyDescent="0.25">
      <c r="A109" s="84">
        <f>A108+1</f>
        <v>16</v>
      </c>
      <c r="B109" s="84" t="str">
        <f t="shared" si="48"/>
        <v xml:space="preserve">  </v>
      </c>
      <c r="C109" s="88" t="str">
        <f t="shared" ref="C109" si="51">B110</f>
        <v xml:space="preserve">  </v>
      </c>
      <c r="D109" s="82" t="str">
        <f>VLOOKUP(C109,STN_TABLE,2,FALSE)</f>
        <v xml:space="preserve">  </v>
      </c>
      <c r="E109" s="92">
        <v>1</v>
      </c>
      <c r="F109" s="82" t="e">
        <f>D109*E109</f>
        <v>#VALUE!</v>
      </c>
      <c r="G109" s="83" t="str">
        <f>C109</f>
        <v xml:space="preserve">  </v>
      </c>
      <c r="H109" s="83" t="e">
        <f>F109*G109</f>
        <v>#VALUE!</v>
      </c>
      <c r="I109" s="84" t="str">
        <f>CONCATENATE("a'(",C109,")=")</f>
        <v>a'(  )=</v>
      </c>
      <c r="J109" s="84" t="e">
        <f>2*J107/3*F110</f>
        <v>#VALUE!</v>
      </c>
      <c r="K109" s="84" t="e">
        <f>CONCATENATE("A(",C107,")=")</f>
        <v>#VALUE!</v>
      </c>
      <c r="L109" s="84" t="e">
        <f>VLOOKUP(C107,STN_TABLE,3,FALSE)</f>
        <v>#VALUE!</v>
      </c>
      <c r="M109" t="str">
        <f>CONCATENATE("A(",C109,")=")</f>
        <v>A(  )=</v>
      </c>
      <c r="N109" t="e">
        <f>J109+L109</f>
        <v>#VALUE!</v>
      </c>
      <c r="O109" s="99">
        <f>O108+1</f>
        <v>18</v>
      </c>
      <c r="P109" s="99" t="str">
        <f t="shared" si="44"/>
        <v xml:space="preserve">  </v>
      </c>
      <c r="Q109" s="82" t="e">
        <f>IF(P109-P108=P108-P107,P109,IF(P110-P108=P108-P107,P110,IF(P109-P108=P108-P106,P109,IF(P110-P108=P108-P106,P110,"-"))))</f>
        <v>#VALUE!</v>
      </c>
      <c r="R109" s="83" t="e">
        <f>VLOOKUP(Q109,STN_TABLE,2,FALSE)</f>
        <v>#VALUE!</v>
      </c>
      <c r="S109" s="83">
        <v>-1</v>
      </c>
      <c r="T109" s="82" t="e">
        <f>R109*S109</f>
        <v>#VALUE!</v>
      </c>
      <c r="U109" s="88">
        <v>-1</v>
      </c>
      <c r="V109" s="82" t="e">
        <f>R109*U109</f>
        <v>#VALUE!</v>
      </c>
      <c r="W109" s="84" t="str">
        <f>CONCATENATE("a'(",Q108,")=")</f>
        <v>a'(  )=</v>
      </c>
      <c r="X109" s="84" t="e">
        <f>2*X107/12*T110</f>
        <v>#VALUE!</v>
      </c>
      <c r="Y109" s="84" t="e">
        <f>CONCATENATE("A(",Q107,")=")</f>
        <v>#VALUE!</v>
      </c>
      <c r="Z109" s="84" t="e">
        <f>VLOOKUP(Q107,STN_TABLE,3,FALSE)</f>
        <v>#VALUE!</v>
      </c>
      <c r="AA109" t="str">
        <f>CONCATENATE("A(",Q108,")=")</f>
        <v>A(  )=</v>
      </c>
      <c r="AB109" t="e">
        <f>X109+Z109</f>
        <v>#VALUE!</v>
      </c>
      <c r="AC109" s="99">
        <f>AC108+1</f>
        <v>17</v>
      </c>
      <c r="AD109" s="100" t="str">
        <f>VLOOKUP(AC109,STN_TABLE_2,2,FALSE)</f>
        <v xml:space="preserve">  </v>
      </c>
      <c r="AE109" s="82" t="str">
        <f>VLOOKUP(AD109,STN_TABLE,2,FALSE)</f>
        <v xml:space="preserve">  </v>
      </c>
      <c r="AF109" s="82">
        <v>2</v>
      </c>
      <c r="AG109" s="83" t="e">
        <f>AE109*AF109</f>
        <v>#VALUE!</v>
      </c>
      <c r="AH109" s="84" t="str">
        <f>CONCATENATE("a'(",AD109,")=")</f>
        <v>a'(  )=</v>
      </c>
      <c r="AI109" s="84" t="e">
        <f>2*AI107/2*AE110</f>
        <v>#VALUE!</v>
      </c>
      <c r="AJ109" s="84" t="str">
        <f>CONCATENATE("A(",AD108,")=")</f>
        <v>A(  )=</v>
      </c>
      <c r="AK109" s="84" t="str">
        <f>VLOOKUP(AD108,STN_TABLE,3,FALSE)</f>
        <v xml:space="preserve"> </v>
      </c>
      <c r="AL109" t="str">
        <f>CONCATENATE("A(",AD109,")=")</f>
        <v>A(  )=</v>
      </c>
      <c r="AM109" t="e">
        <f>AI109+AK109</f>
        <v>#VALUE!</v>
      </c>
      <c r="AO109" s="68" t="str">
        <f>AA109</f>
        <v>A(  )=</v>
      </c>
      <c r="AP109" s="68" t="e">
        <f>VLOOKUP(AO109,Rise_Results,2,FALSE)</f>
        <v>#N/A</v>
      </c>
      <c r="AQ109" s="76" t="e">
        <f>N109</f>
        <v>#VALUE!</v>
      </c>
      <c r="AR109" s="76" t="e">
        <f>IF(OR(AB109&lt;=0,AB110&lt;=0),1/0,AB109)</f>
        <v>#VALUE!</v>
      </c>
      <c r="AS109" s="76" t="e">
        <f>AM109</f>
        <v>#VALUE!</v>
      </c>
      <c r="AT109" t="e">
        <f>IFERROR(AP109,IFERROR(AQ109,IFERROR(AR109,AS109)))</f>
        <v>#VALUE!</v>
      </c>
      <c r="AU109" s="81"/>
    </row>
    <row r="110" spans="1:47" x14ac:dyDescent="0.25">
      <c r="A110" s="84">
        <f>A109+1</f>
        <v>17</v>
      </c>
      <c r="B110" s="84" t="str">
        <f t="shared" si="48"/>
        <v xml:space="preserve">  </v>
      </c>
      <c r="F110" s="82" t="e">
        <f>SUM(F107:F109)</f>
        <v>#VALUE!</v>
      </c>
      <c r="H110" s="82" t="e">
        <f>SUM(H107:H109)</f>
        <v>#VALUE!</v>
      </c>
      <c r="I110" s="84" t="str">
        <f>CONCATENATE("m'(",C109,")=")</f>
        <v>m'(  )=</v>
      </c>
      <c r="J110" s="84" t="e">
        <f>2*(J107*(WLS))/3*H110</f>
        <v>#VALUE!</v>
      </c>
      <c r="K110" s="84" t="e">
        <f>CONCATENATE("M(",C107,")=")</f>
        <v>#VALUE!</v>
      </c>
      <c r="L110" s="84" t="e">
        <f>VLOOKUP(C107,STN_TABLE,4,FALSE)</f>
        <v>#VALUE!</v>
      </c>
      <c r="M110" t="str">
        <f>CONCATENATE("M(",C109,")=")</f>
        <v>M(  )=</v>
      </c>
      <c r="N110" t="e">
        <f>J110+L110</f>
        <v>#VALUE!</v>
      </c>
      <c r="O110" s="99">
        <f>O109+1</f>
        <v>19</v>
      </c>
      <c r="P110" s="99" t="str">
        <f t="shared" si="44"/>
        <v xml:space="preserve">  </v>
      </c>
      <c r="T110" s="89" t="e">
        <f>SUM(T107:T109)</f>
        <v>#VALUE!</v>
      </c>
      <c r="V110" s="82" t="e">
        <f>SUM(V107:V109)</f>
        <v>#VALUE!</v>
      </c>
      <c r="W110" s="84" t="str">
        <f>CONCATENATE("m'(",Q108,")=")</f>
        <v>m'(  )=</v>
      </c>
      <c r="X110" s="84" t="e">
        <f>(2*(X107^2)/24*V110)+(X109*Q107*WLS)</f>
        <v>#VALUE!</v>
      </c>
      <c r="Y110" s="84" t="e">
        <f>CONCATENATE("M(",Q107,")=")</f>
        <v>#VALUE!</v>
      </c>
      <c r="Z110" s="84" t="e">
        <f>VLOOKUP(Q107,STN_TABLE,4,FALSE)</f>
        <v>#VALUE!</v>
      </c>
      <c r="AA110" t="str">
        <f>CONCATENATE("M(",Q108,")=")</f>
        <v>M(  )=</v>
      </c>
      <c r="AB110" t="e">
        <f>X110+Z110</f>
        <v>#VALUE!</v>
      </c>
      <c r="AE110" s="89">
        <f>SUM(AE108:AE109)</f>
        <v>0</v>
      </c>
      <c r="AG110" s="89" t="e">
        <f>SUM(AG108:AG109)</f>
        <v>#VALUE!</v>
      </c>
      <c r="AH110" s="84" t="str">
        <f>CONCATENATE("m'(",AD109,")=")</f>
        <v>m'(  )=</v>
      </c>
      <c r="AI110" s="84" t="e">
        <f>(2*(AI107^2)/6*AG110)+(AI109*AD108*WLS)</f>
        <v>#VALUE!</v>
      </c>
      <c r="AJ110" s="84" t="str">
        <f>CONCATENATE("M(",AD108,")=")</f>
        <v>M(  )=</v>
      </c>
      <c r="AK110" s="84" t="str">
        <f>VLOOKUP(AD108,STN_TABLE,4,FALSE)</f>
        <v xml:space="preserve"> </v>
      </c>
      <c r="AL110" t="str">
        <f>CONCATENATE("M(",AD109,")=")</f>
        <v>M(  )=</v>
      </c>
      <c r="AM110" t="e">
        <f>AI110+AK110</f>
        <v>#VALUE!</v>
      </c>
      <c r="AO110" s="82" t="str">
        <f>AA110</f>
        <v>M(  )=</v>
      </c>
      <c r="AP110" s="82" t="e">
        <f>VLOOKUP(AO110,Rise_Results,2,FALSE)</f>
        <v>#N/A</v>
      </c>
      <c r="AQ110" s="82" t="e">
        <f>N110</f>
        <v>#VALUE!</v>
      </c>
      <c r="AR110" s="82" t="e">
        <f>IF(OR(AB109&lt;=0,AB110&lt;=0),1/0,AB110)</f>
        <v>#VALUE!</v>
      </c>
      <c r="AS110" s="82" t="e">
        <f>AM110</f>
        <v>#VALUE!</v>
      </c>
      <c r="AT110" t="e">
        <f>IFERROR(AP110,IFERROR(AQ110,IFERROR(AR110,AS110)))</f>
        <v>#VALUE!</v>
      </c>
      <c r="AU110" s="81"/>
    </row>
    <row r="111" spans="1:47" x14ac:dyDescent="0.25">
      <c r="A111" s="101">
        <f>A106+1</f>
        <v>14</v>
      </c>
      <c r="B111" s="101" t="str">
        <f t="shared" si="48"/>
        <v xml:space="preserve">  </v>
      </c>
      <c r="O111" s="101">
        <f>O106+1</f>
        <v>16</v>
      </c>
      <c r="P111" s="101" t="str">
        <f t="shared" si="44"/>
        <v xml:space="preserve">  </v>
      </c>
      <c r="AU111" s="81"/>
    </row>
    <row r="112" spans="1:47" x14ac:dyDescent="0.25">
      <c r="A112" s="84">
        <f>A111+1</f>
        <v>15</v>
      </c>
      <c r="B112" s="84" t="str">
        <f t="shared" si="48"/>
        <v xml:space="preserve">  </v>
      </c>
      <c r="C112" s="79" t="e">
        <f t="shared" ref="C112" si="52">IF(C113=B114,IF(C114-C113=C113-B113,B113,IF(C114-C113=C113-B112,B112,"#NA")),IF(C113=B113,IF(C114-C113=C113-B112,B112,IF(C114-C113=C113-B111,B111,"#NA")),"#NA"))</f>
        <v>#VALUE!</v>
      </c>
      <c r="D112" s="68" t="e">
        <f>VLOOKUP(C112,STN_TABLE,2,FALSE)</f>
        <v>#VALUE!</v>
      </c>
      <c r="E112" s="102">
        <v>1</v>
      </c>
      <c r="F112" s="68" t="e">
        <f>D112*E112</f>
        <v>#VALUE!</v>
      </c>
      <c r="G112" s="69" t="e">
        <f>C112</f>
        <v>#VALUE!</v>
      </c>
      <c r="H112" s="69" t="e">
        <f>F112*G112</f>
        <v>#VALUE!</v>
      </c>
      <c r="I112" s="6" t="s">
        <v>93</v>
      </c>
      <c r="J112" s="70" t="e">
        <f>IF(OR(D112=0,D113=0,D114=0),"#NA",IF(AND(C114-C113=C113-C112,C113&lt;&gt;C114,C112&lt;&gt;C113,C112&lt;&gt;C114,D114&lt;&gt;0,OR(D112&lt;&gt;0,D113&lt;&gt;0)),WLS*(C114-C113),"#NA"))</f>
        <v>#VALUE!</v>
      </c>
      <c r="O112" s="99">
        <f>O111+1</f>
        <v>17</v>
      </c>
      <c r="P112" s="99" t="str">
        <f t="shared" si="44"/>
        <v xml:space="preserve">  </v>
      </c>
      <c r="Q112" s="68" t="e">
        <f>IF(OR(P114-P113=P113-P112,P115-P113=P113-P112),P112,IF(OR(P114-P113=P113-P111,P115-P113=P113-P111),P111,"-"))</f>
        <v>#VALUE!</v>
      </c>
      <c r="R112" s="69" t="e">
        <f>VLOOKUP(Q112,STN_TABLE,2,FALSE)</f>
        <v>#VALUE!</v>
      </c>
      <c r="S112" s="69">
        <v>5</v>
      </c>
      <c r="T112" s="68" t="e">
        <f>R112*S112</f>
        <v>#VALUE!</v>
      </c>
      <c r="U112" s="79">
        <v>3</v>
      </c>
      <c r="V112" s="68" t="e">
        <f>R112*U112</f>
        <v>#VALUE!</v>
      </c>
      <c r="W112" s="6" t="s">
        <v>93</v>
      </c>
      <c r="X112" s="70" t="e">
        <f>IF(AND(Q114-Q113=Q113-Q112,NOT(AND(Q112=0,Q113=0)),NOT(AND(Q113=0,Q114=0))),WLS*(Q114-Q113),"#NA")</f>
        <v>#VALUE!</v>
      </c>
      <c r="AD112" s="93"/>
      <c r="AH112" s="6" t="s">
        <v>93</v>
      </c>
      <c r="AI112" s="70" t="e">
        <f>WLS*(AD114-AD113)</f>
        <v>#VALUE!</v>
      </c>
      <c r="AU112" s="81"/>
    </row>
    <row r="113" spans="1:47" x14ac:dyDescent="0.25">
      <c r="A113" s="84">
        <f>A112+1</f>
        <v>16</v>
      </c>
      <c r="B113" s="84" t="str">
        <f t="shared" si="48"/>
        <v xml:space="preserve">  </v>
      </c>
      <c r="C113" s="80" t="e">
        <f t="shared" ref="C113" si="53">IF(OR(B115-B114=B114-B113,B115-B114=B114-B112,B115-B114=B114-B111),B114,IF(OR(B115-B113=B113-B112,B115-B113=B113-B111),B113,IF(B115-B112=B112-B111,B112,"#NA")))</f>
        <v>#VALUE!</v>
      </c>
      <c r="D113" s="76" t="e">
        <f>VLOOKUP(C113,STN_TABLE,2,FALSE)</f>
        <v>#VALUE!</v>
      </c>
      <c r="E113" s="81">
        <v>4</v>
      </c>
      <c r="F113" s="76" t="e">
        <f>D113*E113</f>
        <v>#VALUE!</v>
      </c>
      <c r="G113" s="77" t="e">
        <f>C113</f>
        <v>#VALUE!</v>
      </c>
      <c r="H113" s="77" t="e">
        <f>F113*G113</f>
        <v>#VALUE!</v>
      </c>
      <c r="I113" s="495" t="s">
        <v>97</v>
      </c>
      <c r="J113" s="496"/>
      <c r="K113" s="78" t="s">
        <v>98</v>
      </c>
      <c r="L113" s="78"/>
      <c r="M113" s="7" t="s">
        <v>99</v>
      </c>
      <c r="N113" s="7"/>
      <c r="O113" s="99">
        <f>O112+1</f>
        <v>18</v>
      </c>
      <c r="P113" s="99" t="str">
        <f t="shared" si="44"/>
        <v xml:space="preserve">  </v>
      </c>
      <c r="Q113" s="76" t="str">
        <f>P113</f>
        <v xml:space="preserve">  </v>
      </c>
      <c r="R113" s="77" t="str">
        <f>VLOOKUP(Q113,STN_TABLE,2,FALSE)</f>
        <v xml:space="preserve">  </v>
      </c>
      <c r="S113" s="77">
        <v>8</v>
      </c>
      <c r="T113" s="76" t="e">
        <f>R113*S113</f>
        <v>#VALUE!</v>
      </c>
      <c r="U113" s="80">
        <v>10</v>
      </c>
      <c r="V113" s="76" t="e">
        <f>R113*U113</f>
        <v>#VALUE!</v>
      </c>
      <c r="W113" s="496" t="s">
        <v>97</v>
      </c>
      <c r="X113" s="496"/>
      <c r="Y113" s="496" t="s">
        <v>98</v>
      </c>
      <c r="Z113" s="496"/>
      <c r="AA113" s="494" t="s">
        <v>99</v>
      </c>
      <c r="AB113" s="494"/>
      <c r="AC113" s="99">
        <f>AC108+1</f>
        <v>17</v>
      </c>
      <c r="AD113" s="95" t="str">
        <f>VLOOKUP(AC113,STN_TABLE_2,2,FALSE)</f>
        <v xml:space="preserve">  </v>
      </c>
      <c r="AE113" s="68" t="str">
        <f>VLOOKUP(AD113,STN_TABLE,2,FALSE)</f>
        <v xml:space="preserve">  </v>
      </c>
      <c r="AF113" s="68">
        <v>1</v>
      </c>
      <c r="AG113" s="69" t="e">
        <f>AE113*AF113</f>
        <v>#VALUE!</v>
      </c>
      <c r="AH113" s="496" t="s">
        <v>97</v>
      </c>
      <c r="AI113" s="496"/>
      <c r="AJ113" s="496" t="s">
        <v>98</v>
      </c>
      <c r="AK113" s="496"/>
      <c r="AL113" s="494" t="s">
        <v>99</v>
      </c>
      <c r="AM113" s="494"/>
      <c r="AP113" s="86" t="s">
        <v>112</v>
      </c>
      <c r="AQ113" s="89" t="s">
        <v>113</v>
      </c>
      <c r="AR113" s="89" t="s">
        <v>114</v>
      </c>
      <c r="AS113" s="89" t="s">
        <v>115</v>
      </c>
      <c r="AU113" s="81"/>
    </row>
    <row r="114" spans="1:47" x14ac:dyDescent="0.25">
      <c r="A114" s="84">
        <f>A113+1</f>
        <v>17</v>
      </c>
      <c r="B114" s="84" t="str">
        <f t="shared" si="48"/>
        <v xml:space="preserve">  </v>
      </c>
      <c r="C114" s="88" t="str">
        <f t="shared" ref="C114" si="54">B115</f>
        <v xml:space="preserve">  </v>
      </c>
      <c r="D114" s="82" t="str">
        <f>VLOOKUP(C114,STN_TABLE,2,FALSE)</f>
        <v xml:space="preserve">  </v>
      </c>
      <c r="E114" s="92">
        <v>1</v>
      </c>
      <c r="F114" s="82" t="e">
        <f>D114*E114</f>
        <v>#VALUE!</v>
      </c>
      <c r="G114" s="83" t="str">
        <f>C114</f>
        <v xml:space="preserve">  </v>
      </c>
      <c r="H114" s="83" t="e">
        <f>F114*G114</f>
        <v>#VALUE!</v>
      </c>
      <c r="I114" s="84" t="str">
        <f>CONCATENATE("a'(",C114,")=")</f>
        <v>a'(  )=</v>
      </c>
      <c r="J114" s="84" t="e">
        <f>2*J112/3*F115</f>
        <v>#VALUE!</v>
      </c>
      <c r="K114" s="84" t="e">
        <f>CONCATENATE("A(",C112,")=")</f>
        <v>#VALUE!</v>
      </c>
      <c r="L114" s="84" t="e">
        <f>VLOOKUP(C112,STN_TABLE,3,FALSE)</f>
        <v>#VALUE!</v>
      </c>
      <c r="M114" t="str">
        <f>CONCATENATE("A(",C114,")=")</f>
        <v>A(  )=</v>
      </c>
      <c r="N114" t="e">
        <f>J114+L114</f>
        <v>#VALUE!</v>
      </c>
      <c r="O114" s="99">
        <f>O113+1</f>
        <v>19</v>
      </c>
      <c r="P114" s="99" t="str">
        <f t="shared" si="44"/>
        <v xml:space="preserve">  </v>
      </c>
      <c r="Q114" s="82" t="e">
        <f>IF(P114-P113=P113-P112,P114,IF(P115-P113=P113-P112,P115,IF(P114-P113=P113-P111,P114,IF(P115-P113=P113-P111,P115,"-"))))</f>
        <v>#VALUE!</v>
      </c>
      <c r="R114" s="83" t="e">
        <f>VLOOKUP(Q114,STN_TABLE,2,FALSE)</f>
        <v>#VALUE!</v>
      </c>
      <c r="S114" s="83">
        <v>-1</v>
      </c>
      <c r="T114" s="82" t="e">
        <f>R114*S114</f>
        <v>#VALUE!</v>
      </c>
      <c r="U114" s="88">
        <v>-1</v>
      </c>
      <c r="V114" s="82" t="e">
        <f>R114*U114</f>
        <v>#VALUE!</v>
      </c>
      <c r="W114" s="84" t="str">
        <f>CONCATENATE("a'(",Q113,")=")</f>
        <v>a'(  )=</v>
      </c>
      <c r="X114" s="84" t="e">
        <f>2*X112/12*T115</f>
        <v>#VALUE!</v>
      </c>
      <c r="Y114" s="84" t="e">
        <f>CONCATENATE("A(",Q112,")=")</f>
        <v>#VALUE!</v>
      </c>
      <c r="Z114" s="84" t="e">
        <f>VLOOKUP(Q112,STN_TABLE,3,FALSE)</f>
        <v>#VALUE!</v>
      </c>
      <c r="AA114" t="str">
        <f>CONCATENATE("A(",Q113,")=")</f>
        <v>A(  )=</v>
      </c>
      <c r="AB114" t="e">
        <f>X114+Z114</f>
        <v>#VALUE!</v>
      </c>
      <c r="AC114" s="99">
        <f>AC113+1</f>
        <v>18</v>
      </c>
      <c r="AD114" s="100" t="str">
        <f>VLOOKUP(AC114,STN_TABLE_2,2,FALSE)</f>
        <v xml:space="preserve">  </v>
      </c>
      <c r="AE114" s="82" t="str">
        <f>VLOOKUP(AD114,STN_TABLE,2,FALSE)</f>
        <v xml:space="preserve">  </v>
      </c>
      <c r="AF114" s="82">
        <v>2</v>
      </c>
      <c r="AG114" s="83" t="e">
        <f>AE114*AF114</f>
        <v>#VALUE!</v>
      </c>
      <c r="AH114" s="84" t="str">
        <f>CONCATENATE("a'(",AD114,")=")</f>
        <v>a'(  )=</v>
      </c>
      <c r="AI114" s="84" t="e">
        <f>2*AI112/2*AE115</f>
        <v>#VALUE!</v>
      </c>
      <c r="AJ114" s="84" t="str">
        <f>CONCATENATE("A(",AD113,")=")</f>
        <v>A(  )=</v>
      </c>
      <c r="AK114" s="84" t="str">
        <f>VLOOKUP(AD113,STN_TABLE,3,FALSE)</f>
        <v xml:space="preserve"> </v>
      </c>
      <c r="AL114" t="str">
        <f>CONCATENATE("A(",AD114,")=")</f>
        <v>A(  )=</v>
      </c>
      <c r="AM114" t="e">
        <f>AI114+AK114</f>
        <v>#VALUE!</v>
      </c>
      <c r="AO114" s="68" t="str">
        <f>AA114</f>
        <v>A(  )=</v>
      </c>
      <c r="AP114" s="68" t="e">
        <f>VLOOKUP(AO114,Rise_Results,2,FALSE)</f>
        <v>#N/A</v>
      </c>
      <c r="AQ114" s="76" t="e">
        <f>N114</f>
        <v>#VALUE!</v>
      </c>
      <c r="AR114" s="76" t="e">
        <f>IF(OR(AB114&lt;=0,AB115&lt;=0),1/0,AB114)</f>
        <v>#VALUE!</v>
      </c>
      <c r="AS114" s="76" t="e">
        <f>AM114</f>
        <v>#VALUE!</v>
      </c>
      <c r="AT114" t="e">
        <f>IFERROR(AP114,IFERROR(AQ114,IFERROR(AR114,AS114)))</f>
        <v>#VALUE!</v>
      </c>
      <c r="AU114" s="81"/>
    </row>
    <row r="115" spans="1:47" x14ac:dyDescent="0.25">
      <c r="A115" s="84">
        <f>A114+1</f>
        <v>18</v>
      </c>
      <c r="B115" s="84" t="str">
        <f t="shared" si="48"/>
        <v xml:space="preserve">  </v>
      </c>
      <c r="F115" s="82" t="e">
        <f>SUM(F112:F114)</f>
        <v>#VALUE!</v>
      </c>
      <c r="H115" s="82" t="e">
        <f>SUM(H112:H114)</f>
        <v>#VALUE!</v>
      </c>
      <c r="I115" s="84" t="str">
        <f>CONCATENATE("m'(",C114,")=")</f>
        <v>m'(  )=</v>
      </c>
      <c r="J115" s="84" t="e">
        <f>2*(J112*(WLS))/3*H115</f>
        <v>#VALUE!</v>
      </c>
      <c r="K115" s="84" t="e">
        <f>CONCATENATE("M(",C112,")=")</f>
        <v>#VALUE!</v>
      </c>
      <c r="L115" s="84" t="e">
        <f>VLOOKUP(C112,STN_TABLE,4,FALSE)</f>
        <v>#VALUE!</v>
      </c>
      <c r="M115" t="str">
        <f>CONCATENATE("M(",C114,")=")</f>
        <v>M(  )=</v>
      </c>
      <c r="N115" t="e">
        <f>J115+L115</f>
        <v>#VALUE!</v>
      </c>
      <c r="O115" s="99">
        <f>O114+1</f>
        <v>20</v>
      </c>
      <c r="P115" s="99" t="str">
        <f t="shared" si="44"/>
        <v xml:space="preserve">  </v>
      </c>
      <c r="T115" s="89" t="e">
        <f>SUM(T112:T114)</f>
        <v>#VALUE!</v>
      </c>
      <c r="V115" s="82" t="e">
        <f>SUM(V112:V114)</f>
        <v>#VALUE!</v>
      </c>
      <c r="W115" s="84" t="str">
        <f>CONCATENATE("m'(",Q113,")=")</f>
        <v>m'(  )=</v>
      </c>
      <c r="X115" s="84" t="e">
        <f>(2*(X112^2)/24*V115)+(X114*Q112*WLS)</f>
        <v>#VALUE!</v>
      </c>
      <c r="Y115" s="84" t="e">
        <f>CONCATENATE("M(",Q112,")=")</f>
        <v>#VALUE!</v>
      </c>
      <c r="Z115" s="84" t="e">
        <f>VLOOKUP(Q112,STN_TABLE,4,FALSE)</f>
        <v>#VALUE!</v>
      </c>
      <c r="AA115" t="str">
        <f>CONCATENATE("M(",Q113,")=")</f>
        <v>M(  )=</v>
      </c>
      <c r="AB115" t="e">
        <f>X115+Z115</f>
        <v>#VALUE!</v>
      </c>
      <c r="AE115" s="89">
        <f>SUM(AE113:AE114)</f>
        <v>0</v>
      </c>
      <c r="AG115" s="89" t="e">
        <f>SUM(AG113:AG114)</f>
        <v>#VALUE!</v>
      </c>
      <c r="AH115" s="84" t="str">
        <f>CONCATENATE("m'(",AD114,")=")</f>
        <v>m'(  )=</v>
      </c>
      <c r="AI115" s="84" t="e">
        <f>(2*(AI112^2)/6*AG115)+(AI114*AD113*WLS)</f>
        <v>#VALUE!</v>
      </c>
      <c r="AJ115" s="84" t="str">
        <f>CONCATENATE("M(",AD113,")=")</f>
        <v>M(  )=</v>
      </c>
      <c r="AK115" s="84" t="str">
        <f>VLOOKUP(AD113,STN_TABLE,4,FALSE)</f>
        <v xml:space="preserve"> </v>
      </c>
      <c r="AL115" t="str">
        <f>CONCATENATE("M(",AD114,")=")</f>
        <v>M(  )=</v>
      </c>
      <c r="AM115" t="e">
        <f>AI115+AK115</f>
        <v>#VALUE!</v>
      </c>
      <c r="AO115" s="82" t="str">
        <f>AA115</f>
        <v>M(  )=</v>
      </c>
      <c r="AP115" s="82" t="e">
        <f>VLOOKUP(AO115,Rise_Results,2,FALSE)</f>
        <v>#N/A</v>
      </c>
      <c r="AQ115" s="82" t="e">
        <f>N115</f>
        <v>#VALUE!</v>
      </c>
      <c r="AR115" s="82" t="e">
        <f>IF(OR(AB114&lt;=0,AB115&lt;=0),1/0,AB115)</f>
        <v>#VALUE!</v>
      </c>
      <c r="AS115" s="82" t="e">
        <f>AM115</f>
        <v>#VALUE!</v>
      </c>
      <c r="AT115" t="e">
        <f>IFERROR(AP115,IFERROR(AQ115,IFERROR(AR115,AS115)))</f>
        <v>#VALUE!</v>
      </c>
      <c r="AU115" s="81"/>
    </row>
    <row r="116" spans="1:47" x14ac:dyDescent="0.25">
      <c r="A116" s="101">
        <f>A111+1</f>
        <v>15</v>
      </c>
      <c r="B116" s="101" t="str">
        <f t="shared" si="48"/>
        <v xml:space="preserve">  </v>
      </c>
      <c r="O116" s="101">
        <f>O111+1</f>
        <v>17</v>
      </c>
      <c r="P116" s="101" t="str">
        <f t="shared" si="44"/>
        <v xml:space="preserve">  </v>
      </c>
      <c r="AU116" s="81"/>
    </row>
    <row r="117" spans="1:47" x14ac:dyDescent="0.25">
      <c r="A117" s="84">
        <f>A116+1</f>
        <v>16</v>
      </c>
      <c r="B117" s="84" t="str">
        <f t="shared" si="48"/>
        <v xml:space="preserve">  </v>
      </c>
      <c r="C117" s="79" t="e">
        <f t="shared" ref="C117" si="55">IF(C118=B119,IF(C119-C118=C118-B118,B118,IF(C119-C118=C118-B117,B117,"#NA")),IF(C118=B118,IF(C119-C118=C118-B117,B117,IF(C119-C118=C118-B116,B116,"#NA")),"#NA"))</f>
        <v>#VALUE!</v>
      </c>
      <c r="D117" s="68" t="e">
        <f>VLOOKUP(C117,STN_TABLE,2,FALSE)</f>
        <v>#VALUE!</v>
      </c>
      <c r="E117" s="102">
        <v>1</v>
      </c>
      <c r="F117" s="68" t="e">
        <f>D117*E117</f>
        <v>#VALUE!</v>
      </c>
      <c r="G117" s="69" t="e">
        <f>C117</f>
        <v>#VALUE!</v>
      </c>
      <c r="H117" s="69" t="e">
        <f>F117*G117</f>
        <v>#VALUE!</v>
      </c>
      <c r="I117" s="6" t="s">
        <v>93</v>
      </c>
      <c r="J117" s="70" t="e">
        <f>IF(OR(D117=0,D118=0,D119=0),"#NA",IF(AND(C119-C118=C118-C117,C118&lt;&gt;C119,C117&lt;&gt;C118,C117&lt;&gt;C119,D119&lt;&gt;0,OR(D117&lt;&gt;0,D118&lt;&gt;0)),WLS*(C119-C118),"#NA"))</f>
        <v>#VALUE!</v>
      </c>
      <c r="O117" s="99">
        <f>O116+1</f>
        <v>18</v>
      </c>
      <c r="P117" s="99" t="str">
        <f t="shared" si="44"/>
        <v xml:space="preserve">  </v>
      </c>
      <c r="Q117" s="68" t="e">
        <f>IF(OR(P119-P118=P118-P117,P120-P118=P118-P117),P117,IF(OR(P119-P118=P118-P116,P120-P118=P118-P116),P116,"-"))</f>
        <v>#VALUE!</v>
      </c>
      <c r="R117" s="69" t="e">
        <f>VLOOKUP(Q117,STN_TABLE,2,FALSE)</f>
        <v>#VALUE!</v>
      </c>
      <c r="S117" s="69">
        <v>5</v>
      </c>
      <c r="T117" s="68" t="e">
        <f>R117*S117</f>
        <v>#VALUE!</v>
      </c>
      <c r="U117" s="79">
        <v>3</v>
      </c>
      <c r="V117" s="68" t="e">
        <f>R117*U117</f>
        <v>#VALUE!</v>
      </c>
      <c r="W117" s="6" t="s">
        <v>93</v>
      </c>
      <c r="X117" s="70" t="e">
        <f>IF(AND(Q119-Q118=Q118-Q117,NOT(AND(Q117=0,Q118=0)),NOT(AND(Q118=0,Q119=0))),WLS*(Q119-Q118),"#NA")</f>
        <v>#VALUE!</v>
      </c>
      <c r="AD117" s="93"/>
      <c r="AH117" s="6" t="s">
        <v>93</v>
      </c>
      <c r="AI117" s="70" t="e">
        <f>WLS*(AD119-AD118)</f>
        <v>#VALUE!</v>
      </c>
      <c r="AU117" s="81"/>
    </row>
    <row r="118" spans="1:47" x14ac:dyDescent="0.25">
      <c r="A118" s="84">
        <f>A117+1</f>
        <v>17</v>
      </c>
      <c r="B118" s="84" t="str">
        <f t="shared" si="48"/>
        <v xml:space="preserve">  </v>
      </c>
      <c r="C118" s="80" t="e">
        <f t="shared" ref="C118" si="56">IF(OR(B120-B119=B119-B118,B120-B119=B119-B117,B120-B119=B119-B116),B119,IF(OR(B120-B118=B118-B117,B120-B118=B118-B116),B118,IF(B120-B117=B117-B116,B117,"#NA")))</f>
        <v>#VALUE!</v>
      </c>
      <c r="D118" s="76" t="e">
        <f>VLOOKUP(C118,STN_TABLE,2,FALSE)</f>
        <v>#VALUE!</v>
      </c>
      <c r="E118" s="81">
        <v>4</v>
      </c>
      <c r="F118" s="76" t="e">
        <f>D118*E118</f>
        <v>#VALUE!</v>
      </c>
      <c r="G118" s="77" t="e">
        <f>C118</f>
        <v>#VALUE!</v>
      </c>
      <c r="H118" s="77" t="e">
        <f>F118*G118</f>
        <v>#VALUE!</v>
      </c>
      <c r="I118" s="495" t="s">
        <v>97</v>
      </c>
      <c r="J118" s="496"/>
      <c r="K118" s="78" t="s">
        <v>98</v>
      </c>
      <c r="L118" s="78"/>
      <c r="M118" s="7" t="s">
        <v>99</v>
      </c>
      <c r="N118" s="7"/>
      <c r="O118" s="99">
        <f>O117+1</f>
        <v>19</v>
      </c>
      <c r="P118" s="99" t="str">
        <f t="shared" si="44"/>
        <v xml:space="preserve">  </v>
      </c>
      <c r="Q118" s="76" t="str">
        <f>P118</f>
        <v xml:space="preserve">  </v>
      </c>
      <c r="R118" s="77" t="str">
        <f>VLOOKUP(Q118,STN_TABLE,2,FALSE)</f>
        <v xml:space="preserve">  </v>
      </c>
      <c r="S118" s="77">
        <v>8</v>
      </c>
      <c r="T118" s="76" t="e">
        <f>R118*S118</f>
        <v>#VALUE!</v>
      </c>
      <c r="U118" s="80">
        <v>10</v>
      </c>
      <c r="V118" s="76" t="e">
        <f>R118*U118</f>
        <v>#VALUE!</v>
      </c>
      <c r="W118" s="496" t="s">
        <v>97</v>
      </c>
      <c r="X118" s="496"/>
      <c r="Y118" s="496" t="s">
        <v>98</v>
      </c>
      <c r="Z118" s="496"/>
      <c r="AA118" s="494" t="s">
        <v>99</v>
      </c>
      <c r="AB118" s="494"/>
      <c r="AC118" s="99">
        <f>AC113+1</f>
        <v>18</v>
      </c>
      <c r="AD118" s="95" t="str">
        <f>VLOOKUP(AC118,STN_TABLE_2,2,FALSE)</f>
        <v xml:space="preserve">  </v>
      </c>
      <c r="AE118" s="68" t="str">
        <f>VLOOKUP(AD118,STN_TABLE,2,FALSE)</f>
        <v xml:space="preserve">  </v>
      </c>
      <c r="AF118" s="68">
        <v>1</v>
      </c>
      <c r="AG118" s="69" t="e">
        <f>AE118*AF118</f>
        <v>#VALUE!</v>
      </c>
      <c r="AH118" s="496" t="s">
        <v>97</v>
      </c>
      <c r="AI118" s="496"/>
      <c r="AJ118" s="496" t="s">
        <v>98</v>
      </c>
      <c r="AK118" s="496"/>
      <c r="AL118" s="494" t="s">
        <v>99</v>
      </c>
      <c r="AM118" s="494"/>
      <c r="AP118" s="86" t="s">
        <v>112</v>
      </c>
      <c r="AQ118" s="89" t="s">
        <v>113</v>
      </c>
      <c r="AR118" s="89" t="s">
        <v>114</v>
      </c>
      <c r="AS118" s="89" t="s">
        <v>115</v>
      </c>
      <c r="AU118" s="81"/>
    </row>
    <row r="119" spans="1:47" x14ac:dyDescent="0.25">
      <c r="A119" s="84">
        <f>A118+1</f>
        <v>18</v>
      </c>
      <c r="B119" s="84" t="str">
        <f t="shared" si="48"/>
        <v xml:space="preserve">  </v>
      </c>
      <c r="C119" s="88" t="str">
        <f t="shared" ref="C119" si="57">B120</f>
        <v xml:space="preserve">  </v>
      </c>
      <c r="D119" s="82" t="str">
        <f>VLOOKUP(C119,STN_TABLE,2,FALSE)</f>
        <v xml:space="preserve">  </v>
      </c>
      <c r="E119" s="92">
        <v>1</v>
      </c>
      <c r="F119" s="82" t="e">
        <f>D119*E119</f>
        <v>#VALUE!</v>
      </c>
      <c r="G119" s="83" t="str">
        <f>C119</f>
        <v xml:space="preserve">  </v>
      </c>
      <c r="H119" s="83" t="e">
        <f>F119*G119</f>
        <v>#VALUE!</v>
      </c>
      <c r="I119" s="84" t="str">
        <f>CONCATENATE("a'(",C119,")=")</f>
        <v>a'(  )=</v>
      </c>
      <c r="J119" s="84" t="e">
        <f>2*J117/3*F120</f>
        <v>#VALUE!</v>
      </c>
      <c r="K119" s="84" t="e">
        <f>CONCATENATE("A(",C117,")=")</f>
        <v>#VALUE!</v>
      </c>
      <c r="L119" s="84" t="e">
        <f>VLOOKUP(C117,STN_TABLE,3,FALSE)</f>
        <v>#VALUE!</v>
      </c>
      <c r="M119" t="str">
        <f>CONCATENATE("A(",C119,")=")</f>
        <v>A(  )=</v>
      </c>
      <c r="N119" t="e">
        <f>J119+L119</f>
        <v>#VALUE!</v>
      </c>
      <c r="O119" s="99">
        <f>O118+1</f>
        <v>20</v>
      </c>
      <c r="P119" s="99" t="str">
        <f t="shared" si="44"/>
        <v xml:space="preserve">  </v>
      </c>
      <c r="Q119" s="82" t="e">
        <f>IF(P119-P118=P118-P117,P119,IF(P120-P118=P118-P117,P120,IF(P119-P118=P118-P116,P119,IF(P120-P118=P118-P116,P120,"-"))))</f>
        <v>#VALUE!</v>
      </c>
      <c r="R119" s="83" t="e">
        <f>VLOOKUP(Q119,STN_TABLE,2,FALSE)</f>
        <v>#VALUE!</v>
      </c>
      <c r="S119" s="83">
        <v>-1</v>
      </c>
      <c r="T119" s="82" t="e">
        <f>R119*S119</f>
        <v>#VALUE!</v>
      </c>
      <c r="U119" s="88">
        <v>-1</v>
      </c>
      <c r="V119" s="82" t="e">
        <f>R119*U119</f>
        <v>#VALUE!</v>
      </c>
      <c r="W119" s="84" t="str">
        <f>CONCATENATE("a'(",Q118,")=")</f>
        <v>a'(  )=</v>
      </c>
      <c r="X119" s="84" t="e">
        <f>2*X117/12*T120</f>
        <v>#VALUE!</v>
      </c>
      <c r="Y119" s="84" t="e">
        <f>CONCATENATE("A(",Q117,")=")</f>
        <v>#VALUE!</v>
      </c>
      <c r="Z119" s="84" t="e">
        <f>VLOOKUP(Q117,STN_TABLE,3,FALSE)</f>
        <v>#VALUE!</v>
      </c>
      <c r="AA119" t="str">
        <f>CONCATENATE("A(",Q118,")=")</f>
        <v>A(  )=</v>
      </c>
      <c r="AB119" t="e">
        <f>X119+Z119</f>
        <v>#VALUE!</v>
      </c>
      <c r="AC119" s="99">
        <f>AC118+1</f>
        <v>19</v>
      </c>
      <c r="AD119" s="100" t="str">
        <f>VLOOKUP(AC119,STN_TABLE_2,2,FALSE)</f>
        <v xml:space="preserve">  </v>
      </c>
      <c r="AE119" s="82" t="str">
        <f>VLOOKUP(AD119,STN_TABLE,2,FALSE)</f>
        <v xml:space="preserve">  </v>
      </c>
      <c r="AF119" s="82">
        <v>2</v>
      </c>
      <c r="AG119" s="83" t="e">
        <f>AE119*AF119</f>
        <v>#VALUE!</v>
      </c>
      <c r="AH119" s="84" t="str">
        <f>CONCATENATE("a'(",AD119,")=")</f>
        <v>a'(  )=</v>
      </c>
      <c r="AI119" s="84" t="e">
        <f>2*AI117/2*AE120</f>
        <v>#VALUE!</v>
      </c>
      <c r="AJ119" s="84" t="str">
        <f>CONCATENATE("A(",AD118,")=")</f>
        <v>A(  )=</v>
      </c>
      <c r="AK119" s="84" t="str">
        <f>VLOOKUP(AD118,STN_TABLE,3,FALSE)</f>
        <v xml:space="preserve"> </v>
      </c>
      <c r="AL119" t="str">
        <f>CONCATENATE("A(",AD119,")=")</f>
        <v>A(  )=</v>
      </c>
      <c r="AM119" t="e">
        <f>AI119+AK119</f>
        <v>#VALUE!</v>
      </c>
      <c r="AO119" s="68" t="str">
        <f>AA119</f>
        <v>A(  )=</v>
      </c>
      <c r="AP119" s="68" t="e">
        <f>VLOOKUP(AO119,Rise_Results,2,FALSE)</f>
        <v>#N/A</v>
      </c>
      <c r="AQ119" s="76" t="e">
        <f>N119</f>
        <v>#VALUE!</v>
      </c>
      <c r="AR119" s="76" t="e">
        <f>IF(OR(AB119&lt;=0,AB120&lt;=0),1/0,AB119)</f>
        <v>#VALUE!</v>
      </c>
      <c r="AS119" s="76" t="e">
        <f>AM119</f>
        <v>#VALUE!</v>
      </c>
      <c r="AT119" t="e">
        <f>IFERROR(AP119,IFERROR(AQ119,IFERROR(AR119,AS119)))</f>
        <v>#VALUE!</v>
      </c>
      <c r="AU119" s="81"/>
    </row>
    <row r="120" spans="1:47" x14ac:dyDescent="0.25">
      <c r="A120" s="84">
        <f>A119+1</f>
        <v>19</v>
      </c>
      <c r="B120" s="84" t="str">
        <f t="shared" si="48"/>
        <v xml:space="preserve">  </v>
      </c>
      <c r="F120" s="82" t="e">
        <f>SUM(F117:F119)</f>
        <v>#VALUE!</v>
      </c>
      <c r="H120" s="82" t="e">
        <f>SUM(H117:H119)</f>
        <v>#VALUE!</v>
      </c>
      <c r="I120" s="84" t="str">
        <f>CONCATENATE("m'(",C119,")=")</f>
        <v>m'(  )=</v>
      </c>
      <c r="J120" s="84" t="e">
        <f>2*(J117*(WLS))/3*H120</f>
        <v>#VALUE!</v>
      </c>
      <c r="K120" s="84" t="e">
        <f>CONCATENATE("M(",C117,")=")</f>
        <v>#VALUE!</v>
      </c>
      <c r="L120" s="84" t="e">
        <f>VLOOKUP(C117,STN_TABLE,4,FALSE)</f>
        <v>#VALUE!</v>
      </c>
      <c r="M120" t="str">
        <f>CONCATENATE("M(",C119,")=")</f>
        <v>M(  )=</v>
      </c>
      <c r="N120" t="e">
        <f>J120+L120</f>
        <v>#VALUE!</v>
      </c>
      <c r="O120" s="99">
        <f>O119+1</f>
        <v>21</v>
      </c>
      <c r="P120" s="99" t="str">
        <f t="shared" si="44"/>
        <v xml:space="preserve">  </v>
      </c>
      <c r="T120" s="89" t="e">
        <f>SUM(T117:T119)</f>
        <v>#VALUE!</v>
      </c>
      <c r="V120" s="82" t="e">
        <f>SUM(V117:V119)</f>
        <v>#VALUE!</v>
      </c>
      <c r="W120" s="84" t="str">
        <f>CONCATENATE("m'(",Q118,")=")</f>
        <v>m'(  )=</v>
      </c>
      <c r="X120" s="84" t="e">
        <f>(2*(X117^2)/24*V120)+(X119*Q117*WLS)</f>
        <v>#VALUE!</v>
      </c>
      <c r="Y120" s="84" t="e">
        <f>CONCATENATE("M(",Q117,")=")</f>
        <v>#VALUE!</v>
      </c>
      <c r="Z120" s="84" t="e">
        <f>VLOOKUP(Q117,STN_TABLE,4,FALSE)</f>
        <v>#VALUE!</v>
      </c>
      <c r="AA120" t="str">
        <f>CONCATENATE("M(",Q118,")=")</f>
        <v>M(  )=</v>
      </c>
      <c r="AB120" t="e">
        <f>X120+Z120</f>
        <v>#VALUE!</v>
      </c>
      <c r="AE120" s="89">
        <f>SUM(AE118:AE119)</f>
        <v>0</v>
      </c>
      <c r="AG120" s="89" t="e">
        <f>SUM(AG118:AG119)</f>
        <v>#VALUE!</v>
      </c>
      <c r="AH120" s="84" t="str">
        <f>CONCATENATE("m'(",AD119,")=")</f>
        <v>m'(  )=</v>
      </c>
      <c r="AI120" s="84" t="e">
        <f>(2*(AI117^2)/6*AG120)+(AI119*AD118*WLS)</f>
        <v>#VALUE!</v>
      </c>
      <c r="AJ120" s="84" t="str">
        <f>CONCATENATE("M(",AD118,")=")</f>
        <v>M(  )=</v>
      </c>
      <c r="AK120" s="84" t="str">
        <f>VLOOKUP(AD118,STN_TABLE,4,FALSE)</f>
        <v xml:space="preserve"> </v>
      </c>
      <c r="AL120" t="str">
        <f>CONCATENATE("M(",AD119,")=")</f>
        <v>M(  )=</v>
      </c>
      <c r="AM120" t="e">
        <f>AI120+AK120</f>
        <v>#VALUE!</v>
      </c>
      <c r="AO120" s="82" t="str">
        <f>AA120</f>
        <v>M(  )=</v>
      </c>
      <c r="AP120" s="82" t="e">
        <f>VLOOKUP(AO120,Rise_Results,2,FALSE)</f>
        <v>#N/A</v>
      </c>
      <c r="AQ120" s="82" t="e">
        <f>N120</f>
        <v>#VALUE!</v>
      </c>
      <c r="AR120" s="82" t="e">
        <f>IF(OR(AB119&lt;=0,AB120&lt;=0),1/0,AB120)</f>
        <v>#VALUE!</v>
      </c>
      <c r="AS120" s="82" t="e">
        <f>AM120</f>
        <v>#VALUE!</v>
      </c>
      <c r="AT120" t="e">
        <f>IFERROR(AP120,IFERROR(AQ120,IFERROR(AR120,AS120)))</f>
        <v>#VALUE!</v>
      </c>
      <c r="AU120" s="81"/>
    </row>
    <row r="121" spans="1:47" x14ac:dyDescent="0.25">
      <c r="A121" s="101">
        <f>A116+1</f>
        <v>16</v>
      </c>
      <c r="B121" s="101" t="str">
        <f t="shared" si="48"/>
        <v xml:space="preserve">  </v>
      </c>
      <c r="O121" s="101">
        <f>O116+1</f>
        <v>18</v>
      </c>
      <c r="P121" s="101" t="str">
        <f t="shared" si="44"/>
        <v xml:space="preserve">  </v>
      </c>
      <c r="AU121" s="81"/>
    </row>
    <row r="122" spans="1:47" x14ac:dyDescent="0.25">
      <c r="A122" s="84">
        <f>A121+1</f>
        <v>17</v>
      </c>
      <c r="B122" s="84" t="str">
        <f t="shared" si="48"/>
        <v xml:space="preserve">  </v>
      </c>
      <c r="C122" s="79" t="e">
        <f t="shared" ref="C122" si="58">IF(C123=B124,IF(C124-C123=C123-B123,B123,IF(C124-C123=C123-B122,B122,"#NA")),IF(C123=B123,IF(C124-C123=C123-B122,B122,IF(C124-C123=C123-B121,B121,"#NA")),"#NA"))</f>
        <v>#VALUE!</v>
      </c>
      <c r="D122" s="68" t="e">
        <f>VLOOKUP(C122,STN_TABLE,2,FALSE)</f>
        <v>#VALUE!</v>
      </c>
      <c r="E122" s="102">
        <v>1</v>
      </c>
      <c r="F122" s="68" t="e">
        <f>D122*E122</f>
        <v>#VALUE!</v>
      </c>
      <c r="G122" s="69" t="e">
        <f>C122</f>
        <v>#VALUE!</v>
      </c>
      <c r="H122" s="69" t="e">
        <f>F122*G122</f>
        <v>#VALUE!</v>
      </c>
      <c r="I122" s="6" t="s">
        <v>93</v>
      </c>
      <c r="J122" s="70" t="e">
        <f>IF(OR(D122=0,D123=0,D124=0),"#NA",IF(AND(C124-C123=C123-C122,C123&lt;&gt;C124,C122&lt;&gt;C123,C122&lt;&gt;C124,D124&lt;&gt;0,OR(D122&lt;&gt;0,D123&lt;&gt;0)),WLS*(C124-C123),"#NA"))</f>
        <v>#VALUE!</v>
      </c>
      <c r="O122" s="99">
        <f>O121+1</f>
        <v>19</v>
      </c>
      <c r="P122" s="99" t="str">
        <f t="shared" si="44"/>
        <v xml:space="preserve">  </v>
      </c>
      <c r="Q122" s="68" t="e">
        <f>IF(OR(P124-P123=P123-P122,P125-P123=P123-P122),P122,IF(OR(P124-P123=P123-P121,P125-P123=P123-P121),P121,"-"))</f>
        <v>#VALUE!</v>
      </c>
      <c r="R122" s="69" t="e">
        <f>VLOOKUP(Q122,STN_TABLE,2,FALSE)</f>
        <v>#VALUE!</v>
      </c>
      <c r="S122" s="69">
        <v>5</v>
      </c>
      <c r="T122" s="68" t="e">
        <f>R122*S122</f>
        <v>#VALUE!</v>
      </c>
      <c r="U122" s="79">
        <v>3</v>
      </c>
      <c r="V122" s="68" t="e">
        <f>R122*U122</f>
        <v>#VALUE!</v>
      </c>
      <c r="W122" s="6" t="s">
        <v>93</v>
      </c>
      <c r="X122" s="70" t="e">
        <f>IF(AND(Q124-Q123=Q123-Q122,NOT(AND(Q122=0,Q123=0)),NOT(AND(Q123=0,Q124=0))),WLS*(Q124-Q123),"#NA")</f>
        <v>#VALUE!</v>
      </c>
      <c r="AD122" s="93"/>
      <c r="AH122" s="6" t="s">
        <v>93</v>
      </c>
      <c r="AI122" s="70" t="e">
        <f>WLS*(AD124-AD123)</f>
        <v>#VALUE!</v>
      </c>
      <c r="AU122" s="81"/>
    </row>
    <row r="123" spans="1:47" x14ac:dyDescent="0.25">
      <c r="A123" s="84">
        <f>A122+1</f>
        <v>18</v>
      </c>
      <c r="B123" s="84" t="str">
        <f t="shared" si="48"/>
        <v xml:space="preserve">  </v>
      </c>
      <c r="C123" s="80" t="e">
        <f t="shared" ref="C123" si="59">IF(OR(B125-B124=B124-B123,B125-B124=B124-B122,B125-B124=B124-B121),B124,IF(OR(B125-B123=B123-B122,B125-B123=B123-B121),B123,IF(B125-B122=B122-B121,B122,"#NA")))</f>
        <v>#VALUE!</v>
      </c>
      <c r="D123" s="76" t="e">
        <f>VLOOKUP(C123,STN_TABLE,2,FALSE)</f>
        <v>#VALUE!</v>
      </c>
      <c r="E123" s="81">
        <v>4</v>
      </c>
      <c r="F123" s="76" t="e">
        <f>D123*E123</f>
        <v>#VALUE!</v>
      </c>
      <c r="G123" s="77" t="e">
        <f>C123</f>
        <v>#VALUE!</v>
      </c>
      <c r="H123" s="77" t="e">
        <f>F123*G123</f>
        <v>#VALUE!</v>
      </c>
      <c r="I123" s="495" t="s">
        <v>97</v>
      </c>
      <c r="J123" s="496"/>
      <c r="K123" s="78" t="s">
        <v>98</v>
      </c>
      <c r="L123" s="78"/>
      <c r="M123" s="7" t="s">
        <v>99</v>
      </c>
      <c r="N123" s="7"/>
      <c r="O123" s="99">
        <f>O122+1</f>
        <v>20</v>
      </c>
      <c r="P123" s="99" t="str">
        <f t="shared" si="44"/>
        <v xml:space="preserve">  </v>
      </c>
      <c r="Q123" s="76" t="str">
        <f>P123</f>
        <v xml:space="preserve">  </v>
      </c>
      <c r="R123" s="77" t="str">
        <f>VLOOKUP(Q123,STN_TABLE,2,FALSE)</f>
        <v xml:space="preserve">  </v>
      </c>
      <c r="S123" s="77">
        <v>8</v>
      </c>
      <c r="T123" s="76" t="e">
        <f>R123*S123</f>
        <v>#VALUE!</v>
      </c>
      <c r="U123" s="80">
        <v>10</v>
      </c>
      <c r="V123" s="76" t="e">
        <f>R123*U123</f>
        <v>#VALUE!</v>
      </c>
      <c r="W123" s="496" t="s">
        <v>97</v>
      </c>
      <c r="X123" s="496"/>
      <c r="Y123" s="496" t="s">
        <v>98</v>
      </c>
      <c r="Z123" s="496"/>
      <c r="AA123" s="494" t="s">
        <v>99</v>
      </c>
      <c r="AB123" s="494"/>
      <c r="AC123" s="99">
        <f>AC118+1</f>
        <v>19</v>
      </c>
      <c r="AD123" s="95" t="str">
        <f>VLOOKUP(AC123,STN_TABLE_2,2,FALSE)</f>
        <v xml:space="preserve">  </v>
      </c>
      <c r="AE123" s="68" t="str">
        <f>VLOOKUP(AD123,STN_TABLE,2,FALSE)</f>
        <v xml:space="preserve">  </v>
      </c>
      <c r="AF123" s="68">
        <v>1</v>
      </c>
      <c r="AG123" s="69" t="e">
        <f>AE123*AF123</f>
        <v>#VALUE!</v>
      </c>
      <c r="AH123" s="496" t="s">
        <v>97</v>
      </c>
      <c r="AI123" s="496"/>
      <c r="AJ123" s="496" t="s">
        <v>98</v>
      </c>
      <c r="AK123" s="496"/>
      <c r="AL123" s="494" t="s">
        <v>99</v>
      </c>
      <c r="AM123" s="494"/>
      <c r="AP123" s="86" t="s">
        <v>112</v>
      </c>
      <c r="AQ123" s="89" t="s">
        <v>113</v>
      </c>
      <c r="AR123" s="89" t="s">
        <v>114</v>
      </c>
      <c r="AS123" s="89" t="s">
        <v>115</v>
      </c>
      <c r="AU123" s="81"/>
    </row>
    <row r="124" spans="1:47" x14ac:dyDescent="0.25">
      <c r="A124" s="84">
        <f>A123+1</f>
        <v>19</v>
      </c>
      <c r="B124" s="84" t="str">
        <f t="shared" si="48"/>
        <v xml:space="preserve">  </v>
      </c>
      <c r="C124" s="88" t="str">
        <f t="shared" ref="C124" si="60">B125</f>
        <v xml:space="preserve">  </v>
      </c>
      <c r="D124" s="82" t="str">
        <f>VLOOKUP(C124,STN_TABLE,2,FALSE)</f>
        <v xml:space="preserve">  </v>
      </c>
      <c r="E124" s="92">
        <v>1</v>
      </c>
      <c r="F124" s="82" t="e">
        <f>D124*E124</f>
        <v>#VALUE!</v>
      </c>
      <c r="G124" s="83" t="str">
        <f>C124</f>
        <v xml:space="preserve">  </v>
      </c>
      <c r="H124" s="83" t="e">
        <f>F124*G124</f>
        <v>#VALUE!</v>
      </c>
      <c r="I124" s="84" t="str">
        <f>CONCATENATE("a'(",C124,")=")</f>
        <v>a'(  )=</v>
      </c>
      <c r="J124" s="84" t="e">
        <f>2*J122/3*F125</f>
        <v>#VALUE!</v>
      </c>
      <c r="K124" s="84" t="e">
        <f>CONCATENATE("A(",C122,")=")</f>
        <v>#VALUE!</v>
      </c>
      <c r="L124" s="84" t="e">
        <f>VLOOKUP(C122,STN_TABLE,3,FALSE)</f>
        <v>#VALUE!</v>
      </c>
      <c r="M124" t="str">
        <f>CONCATENATE("A(",C124,")=")</f>
        <v>A(  )=</v>
      </c>
      <c r="N124" t="e">
        <f>J124+L124</f>
        <v>#VALUE!</v>
      </c>
      <c r="O124" s="99">
        <f>O123+1</f>
        <v>21</v>
      </c>
      <c r="P124" s="99" t="str">
        <f t="shared" si="44"/>
        <v xml:space="preserve">  </v>
      </c>
      <c r="Q124" s="82" t="e">
        <f>IF(P124-P123=P123-P122,P124,IF(P125-P123=P123-P122,P125,IF(P124-P123=P123-P121,P124,IF(P125-P123=P123-P121,P125,"-"))))</f>
        <v>#VALUE!</v>
      </c>
      <c r="R124" s="83" t="e">
        <f>VLOOKUP(Q124,STN_TABLE,2,FALSE)</f>
        <v>#VALUE!</v>
      </c>
      <c r="S124" s="83">
        <v>-1</v>
      </c>
      <c r="T124" s="82" t="e">
        <f>R124*S124</f>
        <v>#VALUE!</v>
      </c>
      <c r="U124" s="88">
        <v>-1</v>
      </c>
      <c r="V124" s="82" t="e">
        <f>R124*U124</f>
        <v>#VALUE!</v>
      </c>
      <c r="W124" s="84" t="str">
        <f>CONCATENATE("a'(",Q123,")=")</f>
        <v>a'(  )=</v>
      </c>
      <c r="X124" s="84" t="e">
        <f>2*X122/12*T125</f>
        <v>#VALUE!</v>
      </c>
      <c r="Y124" s="84" t="e">
        <f>CONCATENATE("A(",Q122,")=")</f>
        <v>#VALUE!</v>
      </c>
      <c r="Z124" s="84" t="e">
        <f>VLOOKUP(Q122,STN_TABLE,3,FALSE)</f>
        <v>#VALUE!</v>
      </c>
      <c r="AA124" t="str">
        <f>CONCATENATE("A(",Q123,")=")</f>
        <v>A(  )=</v>
      </c>
      <c r="AB124" t="e">
        <f>X124+Z124</f>
        <v>#VALUE!</v>
      </c>
      <c r="AC124" s="99">
        <f>AC123+1</f>
        <v>20</v>
      </c>
      <c r="AD124" s="100" t="str">
        <f>VLOOKUP(AC124,STN_TABLE_2,2,FALSE)</f>
        <v xml:space="preserve">  </v>
      </c>
      <c r="AE124" s="82" t="str">
        <f>VLOOKUP(AD124,STN_TABLE,2,FALSE)</f>
        <v xml:space="preserve">  </v>
      </c>
      <c r="AF124" s="82">
        <v>2</v>
      </c>
      <c r="AG124" s="83" t="e">
        <f>AE124*AF124</f>
        <v>#VALUE!</v>
      </c>
      <c r="AH124" s="84" t="str">
        <f>CONCATENATE("a'(",AD124,")=")</f>
        <v>a'(  )=</v>
      </c>
      <c r="AI124" s="84" t="e">
        <f>2*AI122/2*AE125</f>
        <v>#VALUE!</v>
      </c>
      <c r="AJ124" s="84" t="str">
        <f>CONCATENATE("A(",AD123,")=")</f>
        <v>A(  )=</v>
      </c>
      <c r="AK124" s="84" t="str">
        <f>VLOOKUP(AD123,STN_TABLE,3,FALSE)</f>
        <v xml:space="preserve"> </v>
      </c>
      <c r="AL124" t="str">
        <f>CONCATENATE("A(",AD124,")=")</f>
        <v>A(  )=</v>
      </c>
      <c r="AM124" t="e">
        <f>AI124+AK124</f>
        <v>#VALUE!</v>
      </c>
      <c r="AO124" s="68" t="str">
        <f>AA124</f>
        <v>A(  )=</v>
      </c>
      <c r="AP124" s="68" t="e">
        <f>VLOOKUP(AO124,Rise_Results,2,FALSE)</f>
        <v>#N/A</v>
      </c>
      <c r="AQ124" s="76" t="e">
        <f>N124</f>
        <v>#VALUE!</v>
      </c>
      <c r="AR124" s="76" t="e">
        <f>IF(OR(AB124&lt;=0,AB125&lt;=0),1/0,AB124)</f>
        <v>#VALUE!</v>
      </c>
      <c r="AS124" s="76" t="e">
        <f>AM124</f>
        <v>#VALUE!</v>
      </c>
      <c r="AT124" t="e">
        <f>IFERROR(AP124,IFERROR(AQ124,IFERROR(AR124,AS124)))</f>
        <v>#VALUE!</v>
      </c>
      <c r="AU124" s="81"/>
    </row>
    <row r="125" spans="1:47" x14ac:dyDescent="0.25">
      <c r="A125" s="84">
        <f>A124+1</f>
        <v>20</v>
      </c>
      <c r="B125" s="84" t="str">
        <f t="shared" si="48"/>
        <v xml:space="preserve">  </v>
      </c>
      <c r="F125" s="82" t="e">
        <f>SUM(F122:F124)</f>
        <v>#VALUE!</v>
      </c>
      <c r="H125" s="82" t="e">
        <f>SUM(H122:H124)</f>
        <v>#VALUE!</v>
      </c>
      <c r="I125" s="84" t="str">
        <f>CONCATENATE("m'(",C124,")=")</f>
        <v>m'(  )=</v>
      </c>
      <c r="J125" s="84" t="e">
        <f>2*(J122*(WLS))/3*H125</f>
        <v>#VALUE!</v>
      </c>
      <c r="K125" s="84" t="e">
        <f>CONCATENATE("M(",C122,")=")</f>
        <v>#VALUE!</v>
      </c>
      <c r="L125" s="84" t="e">
        <f>VLOOKUP(C122,STN_TABLE,4,FALSE)</f>
        <v>#VALUE!</v>
      </c>
      <c r="M125" t="str">
        <f>CONCATENATE("M(",C124,")=")</f>
        <v>M(  )=</v>
      </c>
      <c r="N125" t="e">
        <f>J125+L125</f>
        <v>#VALUE!</v>
      </c>
      <c r="O125" s="99">
        <f>O124+1</f>
        <v>22</v>
      </c>
      <c r="P125" s="99" t="str">
        <f t="shared" si="44"/>
        <v xml:space="preserve">  </v>
      </c>
      <c r="T125" s="89" t="e">
        <f>SUM(T122:T124)</f>
        <v>#VALUE!</v>
      </c>
      <c r="V125" s="82" t="e">
        <f>SUM(V122:V124)</f>
        <v>#VALUE!</v>
      </c>
      <c r="W125" s="84" t="str">
        <f>CONCATENATE("m'(",Q123,")=")</f>
        <v>m'(  )=</v>
      </c>
      <c r="X125" s="84" t="e">
        <f>(2*(X122^2)/24*V125)+(X124*Q122*WLS)</f>
        <v>#VALUE!</v>
      </c>
      <c r="Y125" s="84" t="e">
        <f>CONCATENATE("M(",Q122,")=")</f>
        <v>#VALUE!</v>
      </c>
      <c r="Z125" s="84" t="e">
        <f>VLOOKUP(Q122,STN_TABLE,4,FALSE)</f>
        <v>#VALUE!</v>
      </c>
      <c r="AA125" t="str">
        <f>CONCATENATE("M(",Q123,")=")</f>
        <v>M(  )=</v>
      </c>
      <c r="AB125" t="e">
        <f>X125+Z125</f>
        <v>#VALUE!</v>
      </c>
      <c r="AE125" s="89">
        <f>SUM(AE123:AE124)</f>
        <v>0</v>
      </c>
      <c r="AG125" s="89" t="e">
        <f>SUM(AG123:AG124)</f>
        <v>#VALUE!</v>
      </c>
      <c r="AH125" s="84" t="str">
        <f>CONCATENATE("m'(",AD124,")=")</f>
        <v>m'(  )=</v>
      </c>
      <c r="AI125" s="84" t="e">
        <f>(2*(AI122^2)/6*AG125)+(AI124*AD123*WLS)</f>
        <v>#VALUE!</v>
      </c>
      <c r="AJ125" s="84" t="str">
        <f>CONCATENATE("M(",AD123,")=")</f>
        <v>M(  )=</v>
      </c>
      <c r="AK125" s="84" t="str">
        <f>VLOOKUP(AD123,STN_TABLE,4,FALSE)</f>
        <v xml:space="preserve"> </v>
      </c>
      <c r="AL125" t="str">
        <f>CONCATENATE("M(",AD124,")=")</f>
        <v>M(  )=</v>
      </c>
      <c r="AM125" t="e">
        <f>AI125+AK125</f>
        <v>#VALUE!</v>
      </c>
      <c r="AO125" s="82" t="str">
        <f>AA125</f>
        <v>M(  )=</v>
      </c>
      <c r="AP125" s="82" t="e">
        <f>VLOOKUP(AO125,Rise_Results,2,FALSE)</f>
        <v>#N/A</v>
      </c>
      <c r="AQ125" s="82" t="e">
        <f>N125</f>
        <v>#VALUE!</v>
      </c>
      <c r="AR125" s="82" t="e">
        <f>IF(OR(AB124&lt;=0,AB125&lt;=0),1/0,AB125)</f>
        <v>#VALUE!</v>
      </c>
      <c r="AS125" s="82" t="e">
        <f>AM125</f>
        <v>#VALUE!</v>
      </c>
      <c r="AT125" t="e">
        <f>IFERROR(AP125,IFERROR(AQ125,IFERROR(AR125,AS125)))</f>
        <v>#VALUE!</v>
      </c>
      <c r="AU125" s="81"/>
    </row>
    <row r="126" spans="1:47" x14ac:dyDescent="0.25">
      <c r="A126" s="101">
        <f>A121+1</f>
        <v>17</v>
      </c>
      <c r="B126" s="101" t="str">
        <f t="shared" si="48"/>
        <v xml:space="preserve">  </v>
      </c>
      <c r="O126" s="101">
        <f>O121+1</f>
        <v>19</v>
      </c>
      <c r="P126" s="101" t="str">
        <f t="shared" si="44"/>
        <v xml:space="preserve">  </v>
      </c>
      <c r="AU126" s="81"/>
    </row>
    <row r="127" spans="1:47" x14ac:dyDescent="0.25">
      <c r="A127" s="84">
        <f>A126+1</f>
        <v>18</v>
      </c>
      <c r="B127" s="84" t="str">
        <f t="shared" si="48"/>
        <v xml:space="preserve">  </v>
      </c>
      <c r="C127" s="79" t="e">
        <f t="shared" ref="C127" si="61">IF(C128=B129,IF(C129-C128=C128-B128,B128,IF(C129-C128=C128-B127,B127,"#NA")),IF(C128=B128,IF(C129-C128=C128-B127,B127,IF(C129-C128=C128-B126,B126,"#NA")),"#NA"))</f>
        <v>#VALUE!</v>
      </c>
      <c r="D127" s="68" t="e">
        <f>VLOOKUP(C127,STN_TABLE,2,FALSE)</f>
        <v>#VALUE!</v>
      </c>
      <c r="E127" s="102">
        <v>1</v>
      </c>
      <c r="F127" s="68" t="e">
        <f>D127*E127</f>
        <v>#VALUE!</v>
      </c>
      <c r="G127" s="69" t="e">
        <f>C127</f>
        <v>#VALUE!</v>
      </c>
      <c r="H127" s="69" t="e">
        <f>F127*G127</f>
        <v>#VALUE!</v>
      </c>
      <c r="I127" s="6" t="s">
        <v>93</v>
      </c>
      <c r="J127" s="70" t="e">
        <f>IF(OR(D127=0,D128=0,D129=0),"#NA",IF(AND(C129-C128=C128-C127,C128&lt;&gt;C129,C127&lt;&gt;C128,C127&lt;&gt;C129,D129&lt;&gt;0,OR(D127&lt;&gt;0,D128&lt;&gt;0)),WLS*(C129-C128),"#NA"))</f>
        <v>#VALUE!</v>
      </c>
      <c r="O127" s="99">
        <f>O126+1</f>
        <v>20</v>
      </c>
      <c r="P127" s="99" t="str">
        <f t="shared" si="44"/>
        <v xml:space="preserve">  </v>
      </c>
      <c r="Q127" s="68" t="e">
        <f>IF(OR(P129-P128=P128-P127,P130-P128=P128-P127),P127,IF(OR(P129-P128=P128-P126,P130-P128=P128-P126),P126,"-"))</f>
        <v>#VALUE!</v>
      </c>
      <c r="R127" s="69" t="e">
        <f>VLOOKUP(Q127,STN_TABLE,2,FALSE)</f>
        <v>#VALUE!</v>
      </c>
      <c r="S127" s="69">
        <v>5</v>
      </c>
      <c r="T127" s="68" t="e">
        <f>R127*S127</f>
        <v>#VALUE!</v>
      </c>
      <c r="U127" s="79">
        <v>3</v>
      </c>
      <c r="V127" s="68" t="e">
        <f>R127*U127</f>
        <v>#VALUE!</v>
      </c>
      <c r="W127" s="6" t="s">
        <v>93</v>
      </c>
      <c r="X127" s="70" t="e">
        <f>IF(AND(Q129-Q128=Q128-Q127,NOT(AND(Q127=0,Q128=0)),NOT(AND(Q128=0,Q129=0))),WLS*(Q129-Q128),"#NA")</f>
        <v>#VALUE!</v>
      </c>
      <c r="AD127" s="93"/>
      <c r="AH127" s="6" t="s">
        <v>93</v>
      </c>
      <c r="AI127" s="70" t="e">
        <f>WLS*(AD129-AD128)</f>
        <v>#VALUE!</v>
      </c>
      <c r="AU127" s="81"/>
    </row>
    <row r="128" spans="1:47" x14ac:dyDescent="0.25">
      <c r="A128" s="84">
        <f>A127+1</f>
        <v>19</v>
      </c>
      <c r="B128" s="84" t="str">
        <f t="shared" si="48"/>
        <v xml:space="preserve">  </v>
      </c>
      <c r="C128" s="80" t="e">
        <f t="shared" ref="C128" si="62">IF(OR(B130-B129=B129-B128,B130-B129=B129-B127,B130-B129=B129-B126),B129,IF(OR(B130-B128=B128-B127,B130-B128=B128-B126),B128,IF(B130-B127=B127-B126,B127,"#NA")))</f>
        <v>#VALUE!</v>
      </c>
      <c r="D128" s="76" t="e">
        <f>VLOOKUP(C128,STN_TABLE,2,FALSE)</f>
        <v>#VALUE!</v>
      </c>
      <c r="E128" s="81">
        <v>4</v>
      </c>
      <c r="F128" s="76" t="e">
        <f>D128*E128</f>
        <v>#VALUE!</v>
      </c>
      <c r="G128" s="77" t="e">
        <f>C128</f>
        <v>#VALUE!</v>
      </c>
      <c r="H128" s="77" t="e">
        <f>F128*G128</f>
        <v>#VALUE!</v>
      </c>
      <c r="I128" s="495" t="s">
        <v>97</v>
      </c>
      <c r="J128" s="496"/>
      <c r="K128" s="78" t="s">
        <v>98</v>
      </c>
      <c r="L128" s="78"/>
      <c r="M128" s="7" t="s">
        <v>99</v>
      </c>
      <c r="N128" s="7"/>
      <c r="O128" s="99">
        <f>O127+1</f>
        <v>21</v>
      </c>
      <c r="P128" s="99" t="str">
        <f t="shared" si="44"/>
        <v xml:space="preserve">  </v>
      </c>
      <c r="Q128" s="76" t="str">
        <f>P128</f>
        <v xml:space="preserve">  </v>
      </c>
      <c r="R128" s="77" t="str">
        <f>VLOOKUP(Q128,STN_TABLE,2,FALSE)</f>
        <v xml:space="preserve">  </v>
      </c>
      <c r="S128" s="77">
        <v>8</v>
      </c>
      <c r="T128" s="76" t="e">
        <f>R128*S128</f>
        <v>#VALUE!</v>
      </c>
      <c r="U128" s="80">
        <v>10</v>
      </c>
      <c r="V128" s="76" t="e">
        <f>R128*U128</f>
        <v>#VALUE!</v>
      </c>
      <c r="W128" s="496" t="s">
        <v>97</v>
      </c>
      <c r="X128" s="496"/>
      <c r="Y128" s="496" t="s">
        <v>98</v>
      </c>
      <c r="Z128" s="496"/>
      <c r="AA128" s="494" t="s">
        <v>99</v>
      </c>
      <c r="AB128" s="494"/>
      <c r="AC128" s="99">
        <f>AC123+1</f>
        <v>20</v>
      </c>
      <c r="AD128" s="95" t="str">
        <f>VLOOKUP(AC128,STN_TABLE_2,2,FALSE)</f>
        <v xml:space="preserve">  </v>
      </c>
      <c r="AE128" s="68" t="str">
        <f>VLOOKUP(AD128,STN_TABLE,2,FALSE)</f>
        <v xml:space="preserve">  </v>
      </c>
      <c r="AF128" s="68">
        <v>1</v>
      </c>
      <c r="AG128" s="69" t="e">
        <f>AE128*AF128</f>
        <v>#VALUE!</v>
      </c>
      <c r="AH128" s="496" t="s">
        <v>97</v>
      </c>
      <c r="AI128" s="496"/>
      <c r="AJ128" s="496" t="s">
        <v>98</v>
      </c>
      <c r="AK128" s="496"/>
      <c r="AL128" s="494" t="s">
        <v>99</v>
      </c>
      <c r="AM128" s="494"/>
      <c r="AP128" s="86" t="s">
        <v>112</v>
      </c>
      <c r="AQ128" s="89" t="s">
        <v>113</v>
      </c>
      <c r="AR128" s="89" t="s">
        <v>114</v>
      </c>
      <c r="AS128" s="89" t="s">
        <v>115</v>
      </c>
      <c r="AU128" s="81"/>
    </row>
    <row r="129" spans="1:47" x14ac:dyDescent="0.25">
      <c r="A129" s="84">
        <f>A128+1</f>
        <v>20</v>
      </c>
      <c r="B129" s="84" t="str">
        <f t="shared" si="48"/>
        <v xml:space="preserve">  </v>
      </c>
      <c r="C129" s="88" t="str">
        <f t="shared" ref="C129" si="63">B130</f>
        <v xml:space="preserve">  </v>
      </c>
      <c r="D129" s="82" t="str">
        <f>VLOOKUP(C129,STN_TABLE,2,FALSE)</f>
        <v xml:space="preserve">  </v>
      </c>
      <c r="E129" s="92">
        <v>1</v>
      </c>
      <c r="F129" s="82" t="e">
        <f>D129*E129</f>
        <v>#VALUE!</v>
      </c>
      <c r="G129" s="83" t="str">
        <f>C129</f>
        <v xml:space="preserve">  </v>
      </c>
      <c r="H129" s="83" t="e">
        <f>F129*G129</f>
        <v>#VALUE!</v>
      </c>
      <c r="I129" s="84" t="str">
        <f>CONCATENATE("a'(",C129,")=")</f>
        <v>a'(  )=</v>
      </c>
      <c r="J129" s="84" t="e">
        <f>2*J127/3*F130</f>
        <v>#VALUE!</v>
      </c>
      <c r="K129" s="84" t="e">
        <f>CONCATENATE("A(",C127,")=")</f>
        <v>#VALUE!</v>
      </c>
      <c r="L129" s="84" t="e">
        <f>VLOOKUP(C127,STN_TABLE,3,FALSE)</f>
        <v>#VALUE!</v>
      </c>
      <c r="M129" t="str">
        <f>CONCATENATE("A(",C129,")=")</f>
        <v>A(  )=</v>
      </c>
      <c r="N129" t="e">
        <f>J129+L129</f>
        <v>#VALUE!</v>
      </c>
      <c r="O129" s="99">
        <f>O128+1</f>
        <v>22</v>
      </c>
      <c r="P129" s="99" t="str">
        <f t="shared" si="44"/>
        <v xml:space="preserve">  </v>
      </c>
      <c r="Q129" s="82" t="e">
        <f>IF(P129-P128=P128-P127,P129,IF(P130-P128=P128-P127,P130,IF(P129-P128=P128-P126,P129,IF(P130-P128=P128-P126,P130,"-"))))</f>
        <v>#VALUE!</v>
      </c>
      <c r="R129" s="83" t="e">
        <f>VLOOKUP(Q129,STN_TABLE,2,FALSE)</f>
        <v>#VALUE!</v>
      </c>
      <c r="S129" s="83">
        <v>-1</v>
      </c>
      <c r="T129" s="82" t="e">
        <f>R129*S129</f>
        <v>#VALUE!</v>
      </c>
      <c r="U129" s="88">
        <v>-1</v>
      </c>
      <c r="V129" s="82" t="e">
        <f>R129*U129</f>
        <v>#VALUE!</v>
      </c>
      <c r="W129" s="84" t="str">
        <f>CONCATENATE("a'(",Q128,")=")</f>
        <v>a'(  )=</v>
      </c>
      <c r="X129" s="84" t="e">
        <f>2*X127/12*T130</f>
        <v>#VALUE!</v>
      </c>
      <c r="Y129" s="84" t="e">
        <f>CONCATENATE("A(",Q127,")=")</f>
        <v>#VALUE!</v>
      </c>
      <c r="Z129" s="84" t="e">
        <f>VLOOKUP(Q127,STN_TABLE,3,FALSE)</f>
        <v>#VALUE!</v>
      </c>
      <c r="AA129" t="str">
        <f>CONCATENATE("A(",Q128,")=")</f>
        <v>A(  )=</v>
      </c>
      <c r="AB129" t="e">
        <f>X129+Z129</f>
        <v>#VALUE!</v>
      </c>
      <c r="AC129" s="99">
        <f>AC128+1</f>
        <v>21</v>
      </c>
      <c r="AD129" s="100" t="str">
        <f>VLOOKUP(AC129,STN_TABLE_2,2,FALSE)</f>
        <v xml:space="preserve">  </v>
      </c>
      <c r="AE129" s="82" t="str">
        <f>VLOOKUP(AD129,STN_TABLE,2,FALSE)</f>
        <v xml:space="preserve">  </v>
      </c>
      <c r="AF129" s="82">
        <v>2</v>
      </c>
      <c r="AG129" s="83" t="e">
        <f>AE129*AF129</f>
        <v>#VALUE!</v>
      </c>
      <c r="AH129" s="84" t="str">
        <f>CONCATENATE("a'(",AD129,")=")</f>
        <v>a'(  )=</v>
      </c>
      <c r="AI129" s="84" t="e">
        <f>2*AI127/2*AE130</f>
        <v>#VALUE!</v>
      </c>
      <c r="AJ129" s="84" t="str">
        <f>CONCATENATE("A(",AD128,")=")</f>
        <v>A(  )=</v>
      </c>
      <c r="AK129" s="84" t="str">
        <f>VLOOKUP(AD128,STN_TABLE,3,FALSE)</f>
        <v xml:space="preserve"> </v>
      </c>
      <c r="AL129" t="str">
        <f>CONCATENATE("A(",AD129,")=")</f>
        <v>A(  )=</v>
      </c>
      <c r="AM129" t="e">
        <f>AI129+AK129</f>
        <v>#VALUE!</v>
      </c>
      <c r="AO129" s="68" t="str">
        <f>AA129</f>
        <v>A(  )=</v>
      </c>
      <c r="AP129" s="68" t="e">
        <f>VLOOKUP(AO129,Rise_Results,2,FALSE)</f>
        <v>#N/A</v>
      </c>
      <c r="AQ129" s="76" t="e">
        <f>N129</f>
        <v>#VALUE!</v>
      </c>
      <c r="AR129" s="76" t="e">
        <f>IF(OR(AB129&lt;=0,AB130&lt;=0),1/0,AB129)</f>
        <v>#VALUE!</v>
      </c>
      <c r="AS129" s="76" t="e">
        <f>AM129</f>
        <v>#VALUE!</v>
      </c>
      <c r="AT129" t="e">
        <f>IFERROR(AP129,IFERROR(AQ129,IFERROR(AR129,AS129)))</f>
        <v>#VALUE!</v>
      </c>
      <c r="AU129" s="81"/>
    </row>
    <row r="130" spans="1:47" x14ac:dyDescent="0.25">
      <c r="A130" s="84">
        <f>A129+1</f>
        <v>21</v>
      </c>
      <c r="B130" s="84" t="str">
        <f t="shared" si="48"/>
        <v xml:space="preserve">  </v>
      </c>
      <c r="F130" s="82" t="e">
        <f>SUM(F127:F129)</f>
        <v>#VALUE!</v>
      </c>
      <c r="H130" s="82" t="e">
        <f>SUM(H127:H129)</f>
        <v>#VALUE!</v>
      </c>
      <c r="I130" s="84" t="str">
        <f>CONCATENATE("m'(",C129,")=")</f>
        <v>m'(  )=</v>
      </c>
      <c r="J130" s="84" t="e">
        <f>2*(J127*(WLS))/3*H130</f>
        <v>#VALUE!</v>
      </c>
      <c r="K130" s="84" t="e">
        <f>CONCATENATE("M(",C127,")=")</f>
        <v>#VALUE!</v>
      </c>
      <c r="L130" s="84" t="e">
        <f>VLOOKUP(C127,STN_TABLE,4,FALSE)</f>
        <v>#VALUE!</v>
      </c>
      <c r="M130" t="str">
        <f>CONCATENATE("M(",C129,")=")</f>
        <v>M(  )=</v>
      </c>
      <c r="N130" t="e">
        <f>J130+L130</f>
        <v>#VALUE!</v>
      </c>
      <c r="O130" s="99">
        <f>O129+1</f>
        <v>23</v>
      </c>
      <c r="P130" s="99" t="str">
        <f t="shared" si="44"/>
        <v xml:space="preserve">  </v>
      </c>
      <c r="T130" s="89" t="e">
        <f>SUM(T127:T129)</f>
        <v>#VALUE!</v>
      </c>
      <c r="V130" s="82" t="e">
        <f>SUM(V127:V129)</f>
        <v>#VALUE!</v>
      </c>
      <c r="W130" s="84" t="str">
        <f>CONCATENATE("m'(",Q128,")=")</f>
        <v>m'(  )=</v>
      </c>
      <c r="X130" s="84" t="e">
        <f>(2*(X127^2)/24*V130)+(X129*Q127*WLS)</f>
        <v>#VALUE!</v>
      </c>
      <c r="Y130" s="84" t="e">
        <f>CONCATENATE("M(",Q127,")=")</f>
        <v>#VALUE!</v>
      </c>
      <c r="Z130" s="84" t="e">
        <f>VLOOKUP(Q127,STN_TABLE,4,FALSE)</f>
        <v>#VALUE!</v>
      </c>
      <c r="AA130" t="str">
        <f>CONCATENATE("M(",Q128,")=")</f>
        <v>M(  )=</v>
      </c>
      <c r="AB130" t="e">
        <f>X130+Z130</f>
        <v>#VALUE!</v>
      </c>
      <c r="AE130" s="89">
        <f>SUM(AE128:AE129)</f>
        <v>0</v>
      </c>
      <c r="AG130" s="89" t="e">
        <f>SUM(AG128:AG129)</f>
        <v>#VALUE!</v>
      </c>
      <c r="AH130" s="84" t="str">
        <f>CONCATENATE("m'(",AD129,")=")</f>
        <v>m'(  )=</v>
      </c>
      <c r="AI130" s="84" t="e">
        <f>(2*(AI127^2)/6*AG130)+(AI129*AD128*WLS)</f>
        <v>#VALUE!</v>
      </c>
      <c r="AJ130" s="84" t="str">
        <f>CONCATENATE("M(",AD128,")=")</f>
        <v>M(  )=</v>
      </c>
      <c r="AK130" s="84" t="str">
        <f>VLOOKUP(AD128,STN_TABLE,4,FALSE)</f>
        <v xml:space="preserve"> </v>
      </c>
      <c r="AL130" t="str">
        <f>CONCATENATE("M(",AD129,")=")</f>
        <v>M(  )=</v>
      </c>
      <c r="AM130" t="e">
        <f>AI130+AK130</f>
        <v>#VALUE!</v>
      </c>
      <c r="AO130" s="82" t="str">
        <f>AA130</f>
        <v>M(  )=</v>
      </c>
      <c r="AP130" s="82" t="e">
        <f>VLOOKUP(AO130,Rise_Results,2,FALSE)</f>
        <v>#N/A</v>
      </c>
      <c r="AQ130" s="82" t="e">
        <f>N130</f>
        <v>#VALUE!</v>
      </c>
      <c r="AR130" s="82" t="e">
        <f>IF(OR(AB129&lt;=0,AB130&lt;=0),1/0,AB130)</f>
        <v>#VALUE!</v>
      </c>
      <c r="AS130" s="82" t="e">
        <f>AM130</f>
        <v>#VALUE!</v>
      </c>
      <c r="AT130" t="e">
        <f>IFERROR(AP130,IFERROR(AQ130,IFERROR(AR130,AS130)))</f>
        <v>#VALUE!</v>
      </c>
      <c r="AU130" s="81"/>
    </row>
    <row r="131" spans="1:47" x14ac:dyDescent="0.25">
      <c r="A131" s="101">
        <f>A126+1</f>
        <v>18</v>
      </c>
      <c r="B131" s="101" t="str">
        <f t="shared" si="48"/>
        <v xml:space="preserve">  </v>
      </c>
      <c r="O131" s="101">
        <f>O126+1</f>
        <v>20</v>
      </c>
      <c r="P131" s="101" t="str">
        <f t="shared" si="44"/>
        <v xml:space="preserve">  </v>
      </c>
      <c r="AU131" s="81"/>
    </row>
    <row r="132" spans="1:47" x14ac:dyDescent="0.25">
      <c r="A132" s="84">
        <f>A131+1</f>
        <v>19</v>
      </c>
      <c r="B132" s="84" t="str">
        <f t="shared" si="48"/>
        <v xml:space="preserve">  </v>
      </c>
      <c r="C132" s="79" t="e">
        <f t="shared" ref="C132" si="64">IF(C133=B134,IF(C134-C133=C133-B133,B133,IF(C134-C133=C133-B132,B132,"#NA")),IF(C133=B133,IF(C134-C133=C133-B132,B132,IF(C134-C133=C133-B131,B131,"#NA")),"#NA"))</f>
        <v>#VALUE!</v>
      </c>
      <c r="D132" s="68" t="e">
        <f>VLOOKUP(C132,STN_TABLE,2,FALSE)</f>
        <v>#VALUE!</v>
      </c>
      <c r="E132" s="102">
        <v>1</v>
      </c>
      <c r="F132" s="68" t="e">
        <f>D132*E132</f>
        <v>#VALUE!</v>
      </c>
      <c r="G132" s="69" t="e">
        <f>C132</f>
        <v>#VALUE!</v>
      </c>
      <c r="H132" s="69" t="e">
        <f>F132*G132</f>
        <v>#VALUE!</v>
      </c>
      <c r="I132" s="6" t="s">
        <v>93</v>
      </c>
      <c r="J132" s="70" t="e">
        <f>IF(OR(D132=0,D133=0,D134=0),"#NA",IF(AND(C134-C133=C133-C132,C133&lt;&gt;C134,C132&lt;&gt;C133,C132&lt;&gt;C134,D134&lt;&gt;0,OR(D132&lt;&gt;0,D133&lt;&gt;0)),WLS*(C134-C133),"#NA"))</f>
        <v>#VALUE!</v>
      </c>
      <c r="O132" s="99">
        <f>O131+1</f>
        <v>21</v>
      </c>
      <c r="P132" s="99" t="str">
        <f t="shared" ref="P132:P150" si="65">VLOOKUP(O132,STN_TABLE_2,2,FALSE)</f>
        <v xml:space="preserve">  </v>
      </c>
      <c r="Q132" s="68" t="e">
        <f>IF(OR(P134-P133=P133-P132,P135-P133=P133-P132),P132,IF(OR(P134-P133=P133-P131,P135-P133=P133-P131),P131,"-"))</f>
        <v>#VALUE!</v>
      </c>
      <c r="R132" s="69" t="e">
        <f>VLOOKUP(Q132,STN_TABLE,2,FALSE)</f>
        <v>#VALUE!</v>
      </c>
      <c r="S132" s="69">
        <v>5</v>
      </c>
      <c r="T132" s="68" t="e">
        <f>R132*S132</f>
        <v>#VALUE!</v>
      </c>
      <c r="U132" s="79">
        <v>3</v>
      </c>
      <c r="V132" s="68" t="e">
        <f>R132*U132</f>
        <v>#VALUE!</v>
      </c>
      <c r="W132" s="6" t="s">
        <v>93</v>
      </c>
      <c r="X132" s="70" t="e">
        <f>IF(AND(Q134-Q133=Q133-Q132,NOT(AND(Q132=0,Q133=0)),NOT(AND(Q133=0,Q134=0))),WLS*(Q134-Q133),"#NA")</f>
        <v>#VALUE!</v>
      </c>
      <c r="AD132" s="93"/>
      <c r="AH132" s="6" t="s">
        <v>93</v>
      </c>
      <c r="AI132" s="70" t="e">
        <f>WLS*(AD134-AD133)</f>
        <v>#VALUE!</v>
      </c>
      <c r="AU132" s="81"/>
    </row>
    <row r="133" spans="1:47" x14ac:dyDescent="0.25">
      <c r="A133" s="84">
        <f>A132+1</f>
        <v>20</v>
      </c>
      <c r="B133" s="84" t="str">
        <f t="shared" si="48"/>
        <v xml:space="preserve">  </v>
      </c>
      <c r="C133" s="80" t="e">
        <f t="shared" ref="C133" si="66">IF(OR(B135-B134=B134-B133,B135-B134=B134-B132,B135-B134=B134-B131),B134,IF(OR(B135-B133=B133-B132,B135-B133=B133-B131),B133,IF(B135-B132=B132-B131,B132,"#NA")))</f>
        <v>#VALUE!</v>
      </c>
      <c r="D133" s="76" t="e">
        <f>VLOOKUP(C133,STN_TABLE,2,FALSE)</f>
        <v>#VALUE!</v>
      </c>
      <c r="E133" s="81">
        <v>4</v>
      </c>
      <c r="F133" s="76" t="e">
        <f>D133*E133</f>
        <v>#VALUE!</v>
      </c>
      <c r="G133" s="77" t="e">
        <f>C133</f>
        <v>#VALUE!</v>
      </c>
      <c r="H133" s="77" t="e">
        <f>F133*G133</f>
        <v>#VALUE!</v>
      </c>
      <c r="I133" s="495" t="s">
        <v>97</v>
      </c>
      <c r="J133" s="496"/>
      <c r="K133" s="78" t="s">
        <v>98</v>
      </c>
      <c r="L133" s="78"/>
      <c r="M133" s="7" t="s">
        <v>99</v>
      </c>
      <c r="N133" s="7"/>
      <c r="O133" s="99">
        <f>O132+1</f>
        <v>22</v>
      </c>
      <c r="P133" s="99" t="str">
        <f t="shared" si="65"/>
        <v xml:space="preserve">  </v>
      </c>
      <c r="Q133" s="76" t="str">
        <f>P133</f>
        <v xml:space="preserve">  </v>
      </c>
      <c r="R133" s="77" t="str">
        <f>VLOOKUP(Q133,STN_TABLE,2,FALSE)</f>
        <v xml:space="preserve">  </v>
      </c>
      <c r="S133" s="77">
        <v>8</v>
      </c>
      <c r="T133" s="76" t="e">
        <f>R133*S133</f>
        <v>#VALUE!</v>
      </c>
      <c r="U133" s="80">
        <v>10</v>
      </c>
      <c r="V133" s="76" t="e">
        <f>R133*U133</f>
        <v>#VALUE!</v>
      </c>
      <c r="W133" s="496" t="s">
        <v>97</v>
      </c>
      <c r="X133" s="496"/>
      <c r="Y133" s="496" t="s">
        <v>98</v>
      </c>
      <c r="Z133" s="496"/>
      <c r="AA133" s="494" t="s">
        <v>99</v>
      </c>
      <c r="AB133" s="494"/>
      <c r="AC133" s="99">
        <f>AC128+1</f>
        <v>21</v>
      </c>
      <c r="AD133" s="95" t="str">
        <f>VLOOKUP(AC133,STN_TABLE_2,2,FALSE)</f>
        <v xml:space="preserve">  </v>
      </c>
      <c r="AE133" s="68" t="str">
        <f>VLOOKUP(AD133,STN_TABLE,2,FALSE)</f>
        <v xml:space="preserve">  </v>
      </c>
      <c r="AF133" s="68">
        <v>1</v>
      </c>
      <c r="AG133" s="69" t="e">
        <f>AE133*AF133</f>
        <v>#VALUE!</v>
      </c>
      <c r="AH133" s="496" t="s">
        <v>97</v>
      </c>
      <c r="AI133" s="496"/>
      <c r="AJ133" s="496" t="s">
        <v>98</v>
      </c>
      <c r="AK133" s="496"/>
      <c r="AL133" s="494" t="s">
        <v>99</v>
      </c>
      <c r="AM133" s="494"/>
      <c r="AP133" s="86" t="s">
        <v>112</v>
      </c>
      <c r="AQ133" s="89" t="s">
        <v>113</v>
      </c>
      <c r="AR133" s="89" t="s">
        <v>114</v>
      </c>
      <c r="AS133" s="89" t="s">
        <v>115</v>
      </c>
      <c r="AU133" s="81"/>
    </row>
    <row r="134" spans="1:47" x14ac:dyDescent="0.25">
      <c r="A134" s="84">
        <f>A133+1</f>
        <v>21</v>
      </c>
      <c r="B134" s="84" t="str">
        <f t="shared" si="48"/>
        <v xml:space="preserve">  </v>
      </c>
      <c r="C134" s="88" t="str">
        <f t="shared" ref="C134" si="67">B135</f>
        <v xml:space="preserve">  </v>
      </c>
      <c r="D134" s="82" t="str">
        <f>VLOOKUP(C134,STN_TABLE,2,FALSE)</f>
        <v xml:space="preserve">  </v>
      </c>
      <c r="E134" s="92">
        <v>1</v>
      </c>
      <c r="F134" s="82" t="e">
        <f>D134*E134</f>
        <v>#VALUE!</v>
      </c>
      <c r="G134" s="83" t="str">
        <f>C134</f>
        <v xml:space="preserve">  </v>
      </c>
      <c r="H134" s="83" t="e">
        <f>F134*G134</f>
        <v>#VALUE!</v>
      </c>
      <c r="I134" s="84" t="str">
        <f>CONCATENATE("a'(",C134,")=")</f>
        <v>a'(  )=</v>
      </c>
      <c r="J134" s="84" t="e">
        <f>2*J132/3*F135</f>
        <v>#VALUE!</v>
      </c>
      <c r="K134" s="84" t="e">
        <f>CONCATENATE("A(",C132,")=")</f>
        <v>#VALUE!</v>
      </c>
      <c r="L134" s="84" t="e">
        <f>VLOOKUP(C132,STN_TABLE,3,FALSE)</f>
        <v>#VALUE!</v>
      </c>
      <c r="M134" t="str">
        <f>CONCATENATE("A(",C134,")=")</f>
        <v>A(  )=</v>
      </c>
      <c r="N134" t="e">
        <f>J134+L134</f>
        <v>#VALUE!</v>
      </c>
      <c r="O134" s="99">
        <f>O133+1</f>
        <v>23</v>
      </c>
      <c r="P134" s="99" t="str">
        <f t="shared" si="65"/>
        <v xml:space="preserve">  </v>
      </c>
      <c r="Q134" s="82" t="e">
        <f>IF(P134-P133=P133-P132,P134,IF(P135-P133=P133-P132,P135,IF(P134-P133=P133-P131,P134,IF(P135-P133=P133-P131,P135,"-"))))</f>
        <v>#VALUE!</v>
      </c>
      <c r="R134" s="83" t="e">
        <f>VLOOKUP(Q134,STN_TABLE,2,FALSE)</f>
        <v>#VALUE!</v>
      </c>
      <c r="S134" s="83">
        <v>-1</v>
      </c>
      <c r="T134" s="82" t="e">
        <f>R134*S134</f>
        <v>#VALUE!</v>
      </c>
      <c r="U134" s="88">
        <v>-1</v>
      </c>
      <c r="V134" s="82" t="e">
        <f>R134*U134</f>
        <v>#VALUE!</v>
      </c>
      <c r="W134" s="84" t="str">
        <f>CONCATENATE("a'(",Q133,")=")</f>
        <v>a'(  )=</v>
      </c>
      <c r="X134" s="84" t="e">
        <f>2*X132/12*T135</f>
        <v>#VALUE!</v>
      </c>
      <c r="Y134" s="84" t="e">
        <f>CONCATENATE("A(",Q132,")=")</f>
        <v>#VALUE!</v>
      </c>
      <c r="Z134" s="84" t="e">
        <f>VLOOKUP(Q132,STN_TABLE,3,FALSE)</f>
        <v>#VALUE!</v>
      </c>
      <c r="AA134" t="str">
        <f>CONCATENATE("A(",Q133,")=")</f>
        <v>A(  )=</v>
      </c>
      <c r="AB134" t="e">
        <f>X134+Z134</f>
        <v>#VALUE!</v>
      </c>
      <c r="AC134" s="99">
        <f>AC133+1</f>
        <v>22</v>
      </c>
      <c r="AD134" s="100" t="str">
        <f>VLOOKUP(AC134,STN_TABLE_2,2,FALSE)</f>
        <v xml:space="preserve">  </v>
      </c>
      <c r="AE134" s="82" t="str">
        <f>VLOOKUP(AD134,STN_TABLE,2,FALSE)</f>
        <v xml:space="preserve">  </v>
      </c>
      <c r="AF134" s="82">
        <v>2</v>
      </c>
      <c r="AG134" s="83" t="e">
        <f>AE134*AF134</f>
        <v>#VALUE!</v>
      </c>
      <c r="AH134" s="84" t="str">
        <f>CONCATENATE("a'(",AD134,")=")</f>
        <v>a'(  )=</v>
      </c>
      <c r="AI134" s="84" t="e">
        <f>2*AI132/2*AE135</f>
        <v>#VALUE!</v>
      </c>
      <c r="AJ134" s="84" t="str">
        <f>CONCATENATE("A(",AD133,")=")</f>
        <v>A(  )=</v>
      </c>
      <c r="AK134" s="84" t="str">
        <f>VLOOKUP(AD133,STN_TABLE,3,FALSE)</f>
        <v xml:space="preserve"> </v>
      </c>
      <c r="AL134" t="str">
        <f>CONCATENATE("A(",AD134,")=")</f>
        <v>A(  )=</v>
      </c>
      <c r="AM134" t="e">
        <f>AI134+AK134</f>
        <v>#VALUE!</v>
      </c>
      <c r="AO134" s="68" t="str">
        <f>AA134</f>
        <v>A(  )=</v>
      </c>
      <c r="AP134" s="68" t="e">
        <f>VLOOKUP(AO134,Rise_Results,2,FALSE)</f>
        <v>#N/A</v>
      </c>
      <c r="AQ134" s="76" t="e">
        <f>N134</f>
        <v>#VALUE!</v>
      </c>
      <c r="AR134" s="76" t="e">
        <f>IF(OR(AB134&lt;=0,AB135&lt;=0),1/0,AB134)</f>
        <v>#VALUE!</v>
      </c>
      <c r="AS134" s="76" t="e">
        <f>AM134</f>
        <v>#VALUE!</v>
      </c>
      <c r="AT134" t="e">
        <f>IFERROR(AP134,IFERROR(AQ134,IFERROR(AR134,AS134)))</f>
        <v>#VALUE!</v>
      </c>
      <c r="AU134" s="81"/>
    </row>
    <row r="135" spans="1:47" x14ac:dyDescent="0.25">
      <c r="A135" s="84">
        <f>A134+1</f>
        <v>22</v>
      </c>
      <c r="B135" s="84" t="str">
        <f t="shared" si="48"/>
        <v xml:space="preserve">  </v>
      </c>
      <c r="F135" s="82" t="e">
        <f>SUM(F132:F134)</f>
        <v>#VALUE!</v>
      </c>
      <c r="H135" s="82" t="e">
        <f>SUM(H132:H134)</f>
        <v>#VALUE!</v>
      </c>
      <c r="I135" s="84" t="str">
        <f>CONCATENATE("m'(",C134,")=")</f>
        <v>m'(  )=</v>
      </c>
      <c r="J135" s="84" t="e">
        <f>2*(J132*(WLS))/3*H135</f>
        <v>#VALUE!</v>
      </c>
      <c r="K135" s="84" t="e">
        <f>CONCATENATE("M(",C132,")=")</f>
        <v>#VALUE!</v>
      </c>
      <c r="L135" s="84" t="e">
        <f>VLOOKUP(C132,STN_TABLE,4,FALSE)</f>
        <v>#VALUE!</v>
      </c>
      <c r="M135" t="str">
        <f>CONCATENATE("M(",C134,")=")</f>
        <v>M(  )=</v>
      </c>
      <c r="N135" t="e">
        <f>J135+L135</f>
        <v>#VALUE!</v>
      </c>
      <c r="O135" s="99">
        <f>O134+1</f>
        <v>24</v>
      </c>
      <c r="P135" s="99" t="str">
        <f t="shared" si="65"/>
        <v xml:space="preserve">  </v>
      </c>
      <c r="T135" s="89" t="e">
        <f>SUM(T132:T134)</f>
        <v>#VALUE!</v>
      </c>
      <c r="V135" s="82" t="e">
        <f>SUM(V132:V134)</f>
        <v>#VALUE!</v>
      </c>
      <c r="W135" s="84" t="str">
        <f>CONCATENATE("m'(",Q133,")=")</f>
        <v>m'(  )=</v>
      </c>
      <c r="X135" s="84" t="e">
        <f>(2*(X132^2)/24*V135)+(X134*Q132*WLS)</f>
        <v>#VALUE!</v>
      </c>
      <c r="Y135" s="84" t="e">
        <f>CONCATENATE("M(",Q132,")=")</f>
        <v>#VALUE!</v>
      </c>
      <c r="Z135" s="84" t="e">
        <f>VLOOKUP(Q132,STN_TABLE,4,FALSE)</f>
        <v>#VALUE!</v>
      </c>
      <c r="AA135" t="str">
        <f>CONCATENATE("M(",Q133,")=")</f>
        <v>M(  )=</v>
      </c>
      <c r="AB135" t="e">
        <f>X135+Z135</f>
        <v>#VALUE!</v>
      </c>
      <c r="AE135" s="89">
        <f>SUM(AE133:AE134)</f>
        <v>0</v>
      </c>
      <c r="AG135" s="89" t="e">
        <f>SUM(AG133:AG134)</f>
        <v>#VALUE!</v>
      </c>
      <c r="AH135" s="84" t="str">
        <f>CONCATENATE("m'(",AD134,")=")</f>
        <v>m'(  )=</v>
      </c>
      <c r="AI135" s="84" t="e">
        <f>(2*(AI132^2)/6*AG135)+(AI134*AD133*WLS)</f>
        <v>#VALUE!</v>
      </c>
      <c r="AJ135" s="84" t="str">
        <f>CONCATENATE("M(",AD133,")=")</f>
        <v>M(  )=</v>
      </c>
      <c r="AK135" s="84" t="str">
        <f>VLOOKUP(AD133,STN_TABLE,4,FALSE)</f>
        <v xml:space="preserve"> </v>
      </c>
      <c r="AL135" t="str">
        <f>CONCATENATE("M(",AD134,")=")</f>
        <v>M(  )=</v>
      </c>
      <c r="AM135" t="e">
        <f>AI135+AK135</f>
        <v>#VALUE!</v>
      </c>
      <c r="AO135" s="82" t="str">
        <f>AA135</f>
        <v>M(  )=</v>
      </c>
      <c r="AP135" s="82" t="e">
        <f>VLOOKUP(AO135,Rise_Results,2,FALSE)</f>
        <v>#N/A</v>
      </c>
      <c r="AQ135" s="82" t="e">
        <f>N135</f>
        <v>#VALUE!</v>
      </c>
      <c r="AR135" s="82" t="e">
        <f>IF(OR(AB134&lt;=0,AB135&lt;=0),1/0,AB135)</f>
        <v>#VALUE!</v>
      </c>
      <c r="AS135" s="82" t="e">
        <f>AM135</f>
        <v>#VALUE!</v>
      </c>
      <c r="AT135" t="e">
        <f>IFERROR(AP135,IFERROR(AQ135,IFERROR(AR135,AS135)))</f>
        <v>#VALUE!</v>
      </c>
      <c r="AU135" s="81"/>
    </row>
    <row r="136" spans="1:47" x14ac:dyDescent="0.25">
      <c r="A136" s="101">
        <f>A131+1</f>
        <v>19</v>
      </c>
      <c r="B136" s="101" t="str">
        <f t="shared" si="48"/>
        <v xml:space="preserve">  </v>
      </c>
      <c r="O136" s="101">
        <f>O131+1</f>
        <v>21</v>
      </c>
      <c r="P136" s="101" t="str">
        <f t="shared" si="65"/>
        <v xml:space="preserve">  </v>
      </c>
      <c r="AU136" s="81"/>
    </row>
    <row r="137" spans="1:47" x14ac:dyDescent="0.25">
      <c r="A137" s="84">
        <f>A136+1</f>
        <v>20</v>
      </c>
      <c r="B137" s="84" t="str">
        <f t="shared" si="48"/>
        <v xml:space="preserve">  </v>
      </c>
      <c r="C137" s="79" t="e">
        <f t="shared" ref="C137" si="68">IF(C138=B139,IF(C139-C138=C138-B138,B138,IF(C139-C138=C138-B137,B137,"#NA")),IF(C138=B138,IF(C139-C138=C138-B137,B137,IF(C139-C138=C138-B136,B136,"#NA")),"#NA"))</f>
        <v>#VALUE!</v>
      </c>
      <c r="D137" s="68" t="e">
        <f>VLOOKUP(C137,STN_TABLE,2,FALSE)</f>
        <v>#VALUE!</v>
      </c>
      <c r="E137" s="102">
        <v>1</v>
      </c>
      <c r="F137" s="68" t="e">
        <f>D137*E137</f>
        <v>#VALUE!</v>
      </c>
      <c r="G137" s="69" t="e">
        <f>C137</f>
        <v>#VALUE!</v>
      </c>
      <c r="H137" s="69" t="e">
        <f>F137*G137</f>
        <v>#VALUE!</v>
      </c>
      <c r="I137" s="6" t="s">
        <v>93</v>
      </c>
      <c r="J137" s="70" t="e">
        <f>IF(OR(D137=0,D138=0,D139=0),"#NA",IF(AND(C139-C138=C138-C137,C138&lt;&gt;C139,C137&lt;&gt;C138,C137&lt;&gt;C139,D139&lt;&gt;0,OR(D137&lt;&gt;0,D138&lt;&gt;0)),WLS*(C139-C138),"#NA"))</f>
        <v>#VALUE!</v>
      </c>
      <c r="O137" s="99">
        <f>O136+1</f>
        <v>22</v>
      </c>
      <c r="P137" s="99" t="str">
        <f t="shared" si="65"/>
        <v xml:space="preserve">  </v>
      </c>
      <c r="Q137" s="68" t="e">
        <f>IF(OR(P139-P138=P138-P137,P140-P138=P138-P137),P137,IF(OR(P139-P138=P138-P136,P140-P138=P138-P136),P136,"-"))</f>
        <v>#VALUE!</v>
      </c>
      <c r="R137" s="69" t="e">
        <f>VLOOKUP(Q137,STN_TABLE,2,FALSE)</f>
        <v>#VALUE!</v>
      </c>
      <c r="S137" s="69">
        <v>5</v>
      </c>
      <c r="T137" s="68" t="e">
        <f>R137*S137</f>
        <v>#VALUE!</v>
      </c>
      <c r="U137" s="79">
        <v>3</v>
      </c>
      <c r="V137" s="68" t="e">
        <f>R137*U137</f>
        <v>#VALUE!</v>
      </c>
      <c r="W137" s="6" t="s">
        <v>93</v>
      </c>
      <c r="X137" s="70" t="e">
        <f>IF(AND(Q139-Q138=Q138-Q137,NOT(AND(Q137=0,Q138=0)),NOT(AND(Q138=0,Q139=0))),WLS*(Q139-Q138),"#NA")</f>
        <v>#VALUE!</v>
      </c>
      <c r="AD137" s="93"/>
      <c r="AH137" s="6" t="s">
        <v>93</v>
      </c>
      <c r="AI137" s="70" t="e">
        <f>WLS*(AD139-AD138)</f>
        <v>#VALUE!</v>
      </c>
      <c r="AU137" s="81"/>
    </row>
    <row r="138" spans="1:47" x14ac:dyDescent="0.25">
      <c r="A138" s="84">
        <f>A137+1</f>
        <v>21</v>
      </c>
      <c r="B138" s="84" t="str">
        <f t="shared" ref="B138:B150" si="69">VLOOKUP(A138,STN_TABLE_2,2,FALSE)</f>
        <v xml:space="preserve">  </v>
      </c>
      <c r="C138" s="80" t="e">
        <f t="shared" ref="C138" si="70">IF(OR(B140-B139=B139-B138,B140-B139=B139-B137,B140-B139=B139-B136),B139,IF(OR(B140-B138=B138-B137,B140-B138=B138-B136),B138,IF(B140-B137=B137-B136,B137,"#NA")))</f>
        <v>#VALUE!</v>
      </c>
      <c r="D138" s="76" t="e">
        <f>VLOOKUP(C138,STN_TABLE,2,FALSE)</f>
        <v>#VALUE!</v>
      </c>
      <c r="E138" s="81">
        <v>4</v>
      </c>
      <c r="F138" s="76" t="e">
        <f>D138*E138</f>
        <v>#VALUE!</v>
      </c>
      <c r="G138" s="77" t="e">
        <f>C138</f>
        <v>#VALUE!</v>
      </c>
      <c r="H138" s="77" t="e">
        <f>F138*G138</f>
        <v>#VALUE!</v>
      </c>
      <c r="I138" s="495" t="s">
        <v>97</v>
      </c>
      <c r="J138" s="496"/>
      <c r="K138" s="78" t="s">
        <v>98</v>
      </c>
      <c r="L138" s="78"/>
      <c r="M138" s="7" t="s">
        <v>99</v>
      </c>
      <c r="N138" s="7"/>
      <c r="O138" s="99">
        <f>O137+1</f>
        <v>23</v>
      </c>
      <c r="P138" s="99" t="str">
        <f t="shared" si="65"/>
        <v xml:space="preserve">  </v>
      </c>
      <c r="Q138" s="76" t="str">
        <f>P138</f>
        <v xml:space="preserve">  </v>
      </c>
      <c r="R138" s="77" t="str">
        <f>VLOOKUP(Q138,STN_TABLE,2,FALSE)</f>
        <v xml:space="preserve">  </v>
      </c>
      <c r="S138" s="77">
        <v>8</v>
      </c>
      <c r="T138" s="76" t="e">
        <f>R138*S138</f>
        <v>#VALUE!</v>
      </c>
      <c r="U138" s="80">
        <v>10</v>
      </c>
      <c r="V138" s="76" t="e">
        <f>R138*U138</f>
        <v>#VALUE!</v>
      </c>
      <c r="W138" s="496" t="s">
        <v>97</v>
      </c>
      <c r="X138" s="496"/>
      <c r="Y138" s="496" t="s">
        <v>98</v>
      </c>
      <c r="Z138" s="496"/>
      <c r="AA138" s="494" t="s">
        <v>99</v>
      </c>
      <c r="AB138" s="494"/>
      <c r="AC138" s="99">
        <f>AC133+1</f>
        <v>22</v>
      </c>
      <c r="AD138" s="95" t="str">
        <f>VLOOKUP(AC138,STN_TABLE_2,2,FALSE)</f>
        <v xml:space="preserve">  </v>
      </c>
      <c r="AE138" s="68" t="str">
        <f>VLOOKUP(AD138,STN_TABLE,2,FALSE)</f>
        <v xml:space="preserve">  </v>
      </c>
      <c r="AF138" s="68">
        <v>1</v>
      </c>
      <c r="AG138" s="69" t="e">
        <f>AE138*AF138</f>
        <v>#VALUE!</v>
      </c>
      <c r="AH138" s="496" t="s">
        <v>97</v>
      </c>
      <c r="AI138" s="496"/>
      <c r="AJ138" s="496" t="s">
        <v>98</v>
      </c>
      <c r="AK138" s="496"/>
      <c r="AL138" s="494" t="s">
        <v>99</v>
      </c>
      <c r="AM138" s="494"/>
      <c r="AP138" s="86" t="s">
        <v>112</v>
      </c>
      <c r="AQ138" s="89" t="s">
        <v>113</v>
      </c>
      <c r="AR138" s="89" t="s">
        <v>114</v>
      </c>
      <c r="AS138" s="89" t="s">
        <v>115</v>
      </c>
      <c r="AU138" s="81"/>
    </row>
    <row r="139" spans="1:47" x14ac:dyDescent="0.25">
      <c r="A139" s="84">
        <f>A138+1</f>
        <v>22</v>
      </c>
      <c r="B139" s="84" t="str">
        <f t="shared" si="69"/>
        <v xml:space="preserve">  </v>
      </c>
      <c r="C139" s="88" t="str">
        <f t="shared" ref="C139" si="71">B140</f>
        <v xml:space="preserve">  </v>
      </c>
      <c r="D139" s="82" t="str">
        <f>VLOOKUP(C139,STN_TABLE,2,FALSE)</f>
        <v xml:space="preserve">  </v>
      </c>
      <c r="E139" s="92">
        <v>1</v>
      </c>
      <c r="F139" s="82" t="e">
        <f>D139*E139</f>
        <v>#VALUE!</v>
      </c>
      <c r="G139" s="83" t="str">
        <f>C139</f>
        <v xml:space="preserve">  </v>
      </c>
      <c r="H139" s="83" t="e">
        <f>F139*G139</f>
        <v>#VALUE!</v>
      </c>
      <c r="I139" s="84" t="str">
        <f>CONCATENATE("a'(",C139,")=")</f>
        <v>a'(  )=</v>
      </c>
      <c r="J139" s="84" t="e">
        <f>2*J137/3*F140</f>
        <v>#VALUE!</v>
      </c>
      <c r="K139" s="84" t="e">
        <f>CONCATENATE("A(",C137,")=")</f>
        <v>#VALUE!</v>
      </c>
      <c r="L139" s="84" t="e">
        <f>VLOOKUP(C137,STN_TABLE,3,FALSE)</f>
        <v>#VALUE!</v>
      </c>
      <c r="M139" t="str">
        <f>CONCATENATE("A(",C139,")=")</f>
        <v>A(  )=</v>
      </c>
      <c r="N139" t="e">
        <f>J139+L139</f>
        <v>#VALUE!</v>
      </c>
      <c r="O139" s="99">
        <f>O138+1</f>
        <v>24</v>
      </c>
      <c r="P139" s="99" t="str">
        <f t="shared" si="65"/>
        <v xml:space="preserve">  </v>
      </c>
      <c r="Q139" s="82" t="e">
        <f>IF(P139-P138=P138-P137,P139,IF(P140-P138=P138-P137,P140,IF(P139-P138=P138-P136,P139,IF(P140-P138=P138-P136,P140,"-"))))</f>
        <v>#VALUE!</v>
      </c>
      <c r="R139" s="83" t="e">
        <f>VLOOKUP(Q139,STN_TABLE,2,FALSE)</f>
        <v>#VALUE!</v>
      </c>
      <c r="S139" s="83">
        <v>-1</v>
      </c>
      <c r="T139" s="82" t="e">
        <f>R139*S139</f>
        <v>#VALUE!</v>
      </c>
      <c r="U139" s="88">
        <v>-1</v>
      </c>
      <c r="V139" s="82" t="e">
        <f>R139*U139</f>
        <v>#VALUE!</v>
      </c>
      <c r="W139" s="84" t="str">
        <f>CONCATENATE("a'(",Q138,")=")</f>
        <v>a'(  )=</v>
      </c>
      <c r="X139" s="84" t="e">
        <f>2*X137/12*T140</f>
        <v>#VALUE!</v>
      </c>
      <c r="Y139" s="84" t="e">
        <f>CONCATENATE("A(",Q137,")=")</f>
        <v>#VALUE!</v>
      </c>
      <c r="Z139" s="84" t="e">
        <f>VLOOKUP(Q137,STN_TABLE,3,FALSE)</f>
        <v>#VALUE!</v>
      </c>
      <c r="AA139" t="str">
        <f>CONCATENATE("A(",Q138,")=")</f>
        <v>A(  )=</v>
      </c>
      <c r="AB139" t="e">
        <f>X139+Z139</f>
        <v>#VALUE!</v>
      </c>
      <c r="AC139" s="99">
        <f>AC138+1</f>
        <v>23</v>
      </c>
      <c r="AD139" s="100" t="str">
        <f>VLOOKUP(AC139,STN_TABLE_2,2,FALSE)</f>
        <v xml:space="preserve">  </v>
      </c>
      <c r="AE139" s="82" t="str">
        <f>VLOOKUP(AD139,STN_TABLE,2,FALSE)</f>
        <v xml:space="preserve">  </v>
      </c>
      <c r="AF139" s="82">
        <v>2</v>
      </c>
      <c r="AG139" s="83" t="e">
        <f>AE139*AF139</f>
        <v>#VALUE!</v>
      </c>
      <c r="AH139" s="84" t="str">
        <f>CONCATENATE("a'(",AD139,")=")</f>
        <v>a'(  )=</v>
      </c>
      <c r="AI139" s="84" t="e">
        <f>2*AI137/2*AE140</f>
        <v>#VALUE!</v>
      </c>
      <c r="AJ139" s="84" t="str">
        <f>CONCATENATE("A(",AD138,")=")</f>
        <v>A(  )=</v>
      </c>
      <c r="AK139" s="84" t="str">
        <f>VLOOKUP(AD138,STN_TABLE,3,FALSE)</f>
        <v xml:space="preserve"> </v>
      </c>
      <c r="AL139" t="str">
        <f>CONCATENATE("A(",AD139,")=")</f>
        <v>A(  )=</v>
      </c>
      <c r="AM139" t="e">
        <f>AI139+AK139</f>
        <v>#VALUE!</v>
      </c>
      <c r="AO139" s="68" t="str">
        <f>AA139</f>
        <v>A(  )=</v>
      </c>
      <c r="AP139" s="68" t="e">
        <f>VLOOKUP(AO139,Rise_Results,2,FALSE)</f>
        <v>#N/A</v>
      </c>
      <c r="AQ139" s="76" t="e">
        <f>N139</f>
        <v>#VALUE!</v>
      </c>
      <c r="AR139" s="76" t="e">
        <f>IF(OR(AB139&lt;=0,AB140&lt;=0),1/0,AB139)</f>
        <v>#VALUE!</v>
      </c>
      <c r="AS139" s="76" t="e">
        <f>AM139</f>
        <v>#VALUE!</v>
      </c>
      <c r="AT139" t="e">
        <f>IFERROR(AP139,IFERROR(AQ139,IFERROR(AR139,AS139)))</f>
        <v>#VALUE!</v>
      </c>
      <c r="AU139" s="81"/>
    </row>
    <row r="140" spans="1:47" x14ac:dyDescent="0.25">
      <c r="A140" s="84">
        <f>A139+1</f>
        <v>23</v>
      </c>
      <c r="B140" s="84" t="str">
        <f t="shared" si="69"/>
        <v xml:space="preserve">  </v>
      </c>
      <c r="F140" s="82" t="e">
        <f>SUM(F137:F139)</f>
        <v>#VALUE!</v>
      </c>
      <c r="H140" s="82" t="e">
        <f>SUM(H137:H139)</f>
        <v>#VALUE!</v>
      </c>
      <c r="I140" s="84" t="str">
        <f>CONCATENATE("m'(",C139,")=")</f>
        <v>m'(  )=</v>
      </c>
      <c r="J140" s="84" t="e">
        <f>2*(J137*(WLS))/3*H140</f>
        <v>#VALUE!</v>
      </c>
      <c r="K140" s="84" t="e">
        <f>CONCATENATE("M(",C137,")=")</f>
        <v>#VALUE!</v>
      </c>
      <c r="L140" s="84" t="e">
        <f>VLOOKUP(C137,STN_TABLE,4,FALSE)</f>
        <v>#VALUE!</v>
      </c>
      <c r="M140" t="str">
        <f>CONCATENATE("M(",C139,")=")</f>
        <v>M(  )=</v>
      </c>
      <c r="N140" t="e">
        <f>J140+L140</f>
        <v>#VALUE!</v>
      </c>
      <c r="O140" s="99">
        <f>O139+1</f>
        <v>25</v>
      </c>
      <c r="P140" s="99" t="str">
        <f t="shared" si="65"/>
        <v xml:space="preserve">  </v>
      </c>
      <c r="T140" s="89" t="e">
        <f>SUM(T137:T139)</f>
        <v>#VALUE!</v>
      </c>
      <c r="V140" s="82" t="e">
        <f>SUM(V137:V139)</f>
        <v>#VALUE!</v>
      </c>
      <c r="W140" s="84" t="str">
        <f>CONCATENATE("m'(",Q138,")=")</f>
        <v>m'(  )=</v>
      </c>
      <c r="X140" s="84" t="e">
        <f>(2*(X137^2)/24*V140)+(X139*Q137*WLS)</f>
        <v>#VALUE!</v>
      </c>
      <c r="Y140" s="84" t="e">
        <f>CONCATENATE("M(",Q137,")=")</f>
        <v>#VALUE!</v>
      </c>
      <c r="Z140" s="84" t="e">
        <f>VLOOKUP(Q137,STN_TABLE,4,FALSE)</f>
        <v>#VALUE!</v>
      </c>
      <c r="AA140" t="str">
        <f>CONCATENATE("M(",Q138,")=")</f>
        <v>M(  )=</v>
      </c>
      <c r="AB140" t="e">
        <f>X140+Z140</f>
        <v>#VALUE!</v>
      </c>
      <c r="AE140" s="89">
        <f>SUM(AE138:AE139)</f>
        <v>0</v>
      </c>
      <c r="AG140" s="89" t="e">
        <f>SUM(AG138:AG139)</f>
        <v>#VALUE!</v>
      </c>
      <c r="AH140" s="84" t="str">
        <f>CONCATENATE("m'(",AD139,")=")</f>
        <v>m'(  )=</v>
      </c>
      <c r="AI140" s="84" t="e">
        <f>(2*(AI137^2)/6*AG140)+(AI139*AD138*WLS)</f>
        <v>#VALUE!</v>
      </c>
      <c r="AJ140" s="84" t="str">
        <f>CONCATENATE("M(",AD138,")=")</f>
        <v>M(  )=</v>
      </c>
      <c r="AK140" s="84" t="str">
        <f>VLOOKUP(AD138,STN_TABLE,4,FALSE)</f>
        <v xml:space="preserve"> </v>
      </c>
      <c r="AL140" t="str">
        <f>CONCATENATE("M(",AD139,")=")</f>
        <v>M(  )=</v>
      </c>
      <c r="AM140" t="e">
        <f>AI140+AK140</f>
        <v>#VALUE!</v>
      </c>
      <c r="AO140" s="82" t="str">
        <f>AA140</f>
        <v>M(  )=</v>
      </c>
      <c r="AP140" s="82" t="e">
        <f>VLOOKUP(AO140,Rise_Results,2,FALSE)</f>
        <v>#N/A</v>
      </c>
      <c r="AQ140" s="82" t="e">
        <f>N140</f>
        <v>#VALUE!</v>
      </c>
      <c r="AR140" s="82" t="e">
        <f>IF(OR(AB139&lt;=0,AB140&lt;=0),1/0,AB140)</f>
        <v>#VALUE!</v>
      </c>
      <c r="AS140" s="82" t="e">
        <f>AM140</f>
        <v>#VALUE!</v>
      </c>
      <c r="AT140" t="e">
        <f>IFERROR(AP140,IFERROR(AQ140,IFERROR(AR140,AS140)))</f>
        <v>#VALUE!</v>
      </c>
      <c r="AU140" s="81"/>
    </row>
    <row r="141" spans="1:47" x14ac:dyDescent="0.25">
      <c r="A141" s="101">
        <f>A136+1</f>
        <v>20</v>
      </c>
      <c r="B141" s="101" t="str">
        <f t="shared" si="69"/>
        <v xml:space="preserve">  </v>
      </c>
      <c r="O141" s="101">
        <f>O136+1</f>
        <v>22</v>
      </c>
      <c r="P141" s="101" t="str">
        <f t="shared" si="65"/>
        <v xml:space="preserve">  </v>
      </c>
      <c r="AU141" s="81"/>
    </row>
    <row r="142" spans="1:47" x14ac:dyDescent="0.25">
      <c r="A142" s="84">
        <f>A141+1</f>
        <v>21</v>
      </c>
      <c r="B142" s="84" t="str">
        <f t="shared" si="69"/>
        <v xml:space="preserve">  </v>
      </c>
      <c r="C142" s="79" t="e">
        <f t="shared" ref="C142" si="72">IF(C143=B144,IF(C144-C143=C143-B143,B143,IF(C144-C143=C143-B142,B142,"#NA")),IF(C143=B143,IF(C144-C143=C143-B142,B142,IF(C144-C143=C143-B141,B141,"#NA")),"#NA"))</f>
        <v>#VALUE!</v>
      </c>
      <c r="D142" s="68" t="e">
        <f>VLOOKUP(C142,STN_TABLE,2,FALSE)</f>
        <v>#VALUE!</v>
      </c>
      <c r="E142" s="102">
        <v>1</v>
      </c>
      <c r="F142" s="68" t="e">
        <f>D142*E142</f>
        <v>#VALUE!</v>
      </c>
      <c r="G142" s="69" t="e">
        <f>C142</f>
        <v>#VALUE!</v>
      </c>
      <c r="H142" s="69" t="e">
        <f>F142*G142</f>
        <v>#VALUE!</v>
      </c>
      <c r="I142" s="6" t="s">
        <v>93</v>
      </c>
      <c r="J142" s="70" t="e">
        <f>IF(OR(D142=0,D143=0,D144=0),"#NA",IF(AND(C144-C143=C143-C142,C143&lt;&gt;C144,C142&lt;&gt;C143,C142&lt;&gt;C144,D144&lt;&gt;0,OR(D142&lt;&gt;0,D143&lt;&gt;0)),WLS*(C144-C143),"#NA"))</f>
        <v>#VALUE!</v>
      </c>
      <c r="O142" s="99">
        <f>O141+1</f>
        <v>23</v>
      </c>
      <c r="P142" s="99" t="str">
        <f t="shared" si="65"/>
        <v xml:space="preserve">  </v>
      </c>
      <c r="Q142" s="68" t="e">
        <f>IF(OR(P144-P143=P143-P142,P145-P143=P143-P142),P142,IF(OR(P144-P143=P143-P141,P145-P143=P143-P141),P141,"-"))</f>
        <v>#VALUE!</v>
      </c>
      <c r="R142" s="69" t="e">
        <f>VLOOKUP(Q142,STN_TABLE,2,FALSE)</f>
        <v>#VALUE!</v>
      </c>
      <c r="S142" s="69">
        <v>5</v>
      </c>
      <c r="T142" s="68" t="e">
        <f>R142*S142</f>
        <v>#VALUE!</v>
      </c>
      <c r="U142" s="79">
        <v>3</v>
      </c>
      <c r="V142" s="68" t="e">
        <f>R142*U142</f>
        <v>#VALUE!</v>
      </c>
      <c r="W142" s="6" t="s">
        <v>93</v>
      </c>
      <c r="X142" s="70" t="e">
        <f>IF(AND(Q144-Q143=Q143-Q142,NOT(AND(Q142=0,Q143=0)),NOT(AND(Q143=0,Q144=0))),WLS*(Q144-Q143),"#NA")</f>
        <v>#VALUE!</v>
      </c>
      <c r="AD142" s="93"/>
      <c r="AH142" s="6" t="s">
        <v>93</v>
      </c>
      <c r="AI142" s="70" t="e">
        <f>WLS*(AD144-AD143)</f>
        <v>#VALUE!</v>
      </c>
      <c r="AU142" s="81"/>
    </row>
    <row r="143" spans="1:47" x14ac:dyDescent="0.25">
      <c r="A143" s="84">
        <f>A142+1</f>
        <v>22</v>
      </c>
      <c r="B143" s="84" t="str">
        <f t="shared" si="69"/>
        <v xml:space="preserve">  </v>
      </c>
      <c r="C143" s="80" t="e">
        <f t="shared" ref="C143" si="73">IF(OR(B145-B144=B144-B143,B145-B144=B144-B142,B145-B144=B144-B141),B144,IF(OR(B145-B143=B143-B142,B145-B143=B143-B141),B143,IF(B145-B142=B142-B141,B142,"#NA")))</f>
        <v>#VALUE!</v>
      </c>
      <c r="D143" s="76" t="e">
        <f>VLOOKUP(C143,STN_TABLE,2,FALSE)</f>
        <v>#VALUE!</v>
      </c>
      <c r="E143" s="81">
        <v>4</v>
      </c>
      <c r="F143" s="76" t="e">
        <f>D143*E143</f>
        <v>#VALUE!</v>
      </c>
      <c r="G143" s="77" t="e">
        <f>C143</f>
        <v>#VALUE!</v>
      </c>
      <c r="H143" s="77" t="e">
        <f>F143*G143</f>
        <v>#VALUE!</v>
      </c>
      <c r="I143" s="495" t="s">
        <v>97</v>
      </c>
      <c r="J143" s="496"/>
      <c r="K143" s="78" t="s">
        <v>98</v>
      </c>
      <c r="L143" s="78"/>
      <c r="M143" s="7" t="s">
        <v>99</v>
      </c>
      <c r="N143" s="7"/>
      <c r="O143" s="99">
        <f>O142+1</f>
        <v>24</v>
      </c>
      <c r="P143" s="99" t="str">
        <f t="shared" si="65"/>
        <v xml:space="preserve">  </v>
      </c>
      <c r="Q143" s="76" t="str">
        <f>P143</f>
        <v xml:space="preserve">  </v>
      </c>
      <c r="R143" s="77" t="str">
        <f>VLOOKUP(Q143,STN_TABLE,2,FALSE)</f>
        <v xml:space="preserve">  </v>
      </c>
      <c r="S143" s="77">
        <v>8</v>
      </c>
      <c r="T143" s="76" t="e">
        <f>R143*S143</f>
        <v>#VALUE!</v>
      </c>
      <c r="U143" s="80">
        <v>10</v>
      </c>
      <c r="V143" s="76" t="e">
        <f>R143*U143</f>
        <v>#VALUE!</v>
      </c>
      <c r="W143" s="496" t="s">
        <v>97</v>
      </c>
      <c r="X143" s="496"/>
      <c r="Y143" s="496" t="s">
        <v>98</v>
      </c>
      <c r="Z143" s="496"/>
      <c r="AA143" s="494" t="s">
        <v>99</v>
      </c>
      <c r="AB143" s="494"/>
      <c r="AC143" s="99">
        <f>AC138+1</f>
        <v>23</v>
      </c>
      <c r="AD143" s="95" t="str">
        <f>VLOOKUP(AC143,STN_TABLE_2,2,FALSE)</f>
        <v xml:space="preserve">  </v>
      </c>
      <c r="AE143" s="68" t="str">
        <f>VLOOKUP(AD143,STN_TABLE,2,FALSE)</f>
        <v xml:space="preserve">  </v>
      </c>
      <c r="AF143" s="68">
        <v>1</v>
      </c>
      <c r="AG143" s="69" t="e">
        <f>AE143*AF143</f>
        <v>#VALUE!</v>
      </c>
      <c r="AH143" s="496" t="s">
        <v>97</v>
      </c>
      <c r="AI143" s="496"/>
      <c r="AJ143" s="496" t="s">
        <v>98</v>
      </c>
      <c r="AK143" s="496"/>
      <c r="AL143" s="494" t="s">
        <v>99</v>
      </c>
      <c r="AM143" s="494"/>
      <c r="AP143" s="86" t="s">
        <v>112</v>
      </c>
      <c r="AQ143" s="89" t="s">
        <v>113</v>
      </c>
      <c r="AR143" s="89" t="s">
        <v>114</v>
      </c>
      <c r="AS143" s="89" t="s">
        <v>115</v>
      </c>
      <c r="AU143" s="81"/>
    </row>
    <row r="144" spans="1:47" x14ac:dyDescent="0.25">
      <c r="A144" s="84">
        <f>A143+1</f>
        <v>23</v>
      </c>
      <c r="B144" s="84" t="str">
        <f t="shared" si="69"/>
        <v xml:space="preserve">  </v>
      </c>
      <c r="C144" s="88" t="str">
        <f t="shared" ref="C144" si="74">B145</f>
        <v xml:space="preserve">  </v>
      </c>
      <c r="D144" s="82" t="str">
        <f>VLOOKUP(C144,STN_TABLE,2,FALSE)</f>
        <v xml:space="preserve">  </v>
      </c>
      <c r="E144" s="92">
        <v>1</v>
      </c>
      <c r="F144" s="82" t="e">
        <f>D144*E144</f>
        <v>#VALUE!</v>
      </c>
      <c r="G144" s="83" t="str">
        <f>C144</f>
        <v xml:space="preserve">  </v>
      </c>
      <c r="H144" s="83" t="e">
        <f>F144*G144</f>
        <v>#VALUE!</v>
      </c>
      <c r="I144" s="84" t="str">
        <f>CONCATENATE("a'(",C144,")=")</f>
        <v>a'(  )=</v>
      </c>
      <c r="J144" s="84" t="e">
        <f>2*J142/3*F145</f>
        <v>#VALUE!</v>
      </c>
      <c r="K144" s="84" t="e">
        <f>CONCATENATE("A(",C142,")=")</f>
        <v>#VALUE!</v>
      </c>
      <c r="L144" s="84" t="e">
        <f>VLOOKUP(C142,STN_TABLE,3,FALSE)</f>
        <v>#VALUE!</v>
      </c>
      <c r="M144" t="str">
        <f>CONCATENATE("A(",C144,")=")</f>
        <v>A(  )=</v>
      </c>
      <c r="N144" t="e">
        <f>J144+L144</f>
        <v>#VALUE!</v>
      </c>
      <c r="O144" s="99">
        <f>O143+1</f>
        <v>25</v>
      </c>
      <c r="P144" s="99" t="str">
        <f t="shared" si="65"/>
        <v xml:space="preserve">  </v>
      </c>
      <c r="Q144" s="82" t="e">
        <f>IF(P144-P143=P143-P142,P144,IF(P145-P143=P143-P142,P145,IF(P144-P143=P143-P141,P144,IF(P145-P143=P143-P141,P145,"-"))))</f>
        <v>#VALUE!</v>
      </c>
      <c r="R144" s="83" t="e">
        <f>VLOOKUP(Q144,STN_TABLE,2,FALSE)</f>
        <v>#VALUE!</v>
      </c>
      <c r="S144" s="83">
        <v>-1</v>
      </c>
      <c r="T144" s="82" t="e">
        <f>R144*S144</f>
        <v>#VALUE!</v>
      </c>
      <c r="U144" s="88">
        <v>-1</v>
      </c>
      <c r="V144" s="82" t="e">
        <f>R144*U144</f>
        <v>#VALUE!</v>
      </c>
      <c r="W144" s="84" t="str">
        <f>CONCATENATE("a'(",Q143,")=")</f>
        <v>a'(  )=</v>
      </c>
      <c r="X144" s="84" t="e">
        <f>2*X142/12*T145</f>
        <v>#VALUE!</v>
      </c>
      <c r="Y144" s="84" t="e">
        <f>CONCATENATE("A(",Q142,")=")</f>
        <v>#VALUE!</v>
      </c>
      <c r="Z144" s="84" t="e">
        <f>VLOOKUP(Q142,STN_TABLE,3,FALSE)</f>
        <v>#VALUE!</v>
      </c>
      <c r="AA144" t="str">
        <f>CONCATENATE("A(",Q143,")=")</f>
        <v>A(  )=</v>
      </c>
      <c r="AB144" t="e">
        <f>X144+Z144</f>
        <v>#VALUE!</v>
      </c>
      <c r="AC144" s="99">
        <f>AC143+1</f>
        <v>24</v>
      </c>
      <c r="AD144" s="100" t="str">
        <f>VLOOKUP(AC144,STN_TABLE_2,2,FALSE)</f>
        <v xml:space="preserve">  </v>
      </c>
      <c r="AE144" s="82" t="str">
        <f>VLOOKUP(AD144,STN_TABLE,2,FALSE)</f>
        <v xml:space="preserve">  </v>
      </c>
      <c r="AF144" s="82">
        <v>2</v>
      </c>
      <c r="AG144" s="83" t="e">
        <f>AE144*AF144</f>
        <v>#VALUE!</v>
      </c>
      <c r="AH144" s="84" t="str">
        <f>CONCATENATE("a'(",AD144,")=")</f>
        <v>a'(  )=</v>
      </c>
      <c r="AI144" s="84" t="e">
        <f>2*AI142/2*AE145</f>
        <v>#VALUE!</v>
      </c>
      <c r="AJ144" s="84" t="str">
        <f>CONCATENATE("A(",AD143,")=")</f>
        <v>A(  )=</v>
      </c>
      <c r="AK144" s="84" t="str">
        <f>VLOOKUP(AD143,STN_TABLE,3,FALSE)</f>
        <v xml:space="preserve"> </v>
      </c>
      <c r="AL144" t="str">
        <f>CONCATENATE("A(",AD144,")=")</f>
        <v>A(  )=</v>
      </c>
      <c r="AM144" t="e">
        <f>AI144+AK144</f>
        <v>#VALUE!</v>
      </c>
      <c r="AO144" s="68" t="str">
        <f>AA144</f>
        <v>A(  )=</v>
      </c>
      <c r="AP144" s="68" t="e">
        <f>VLOOKUP(AO144,Rise_Results,2,FALSE)</f>
        <v>#N/A</v>
      </c>
      <c r="AQ144" s="76" t="e">
        <f>N144</f>
        <v>#VALUE!</v>
      </c>
      <c r="AR144" s="76" t="e">
        <f>IF(OR(AB144&lt;=0,AB145&lt;=0),1/0,AB144)</f>
        <v>#VALUE!</v>
      </c>
      <c r="AS144" s="76" t="e">
        <f>AM144</f>
        <v>#VALUE!</v>
      </c>
      <c r="AT144" t="e">
        <f>IFERROR(AP144,IFERROR(AQ144,IFERROR(AR144,AS144)))</f>
        <v>#VALUE!</v>
      </c>
      <c r="AU144" s="81"/>
    </row>
    <row r="145" spans="1:47" x14ac:dyDescent="0.25">
      <c r="A145" s="84">
        <f>A144+1</f>
        <v>24</v>
      </c>
      <c r="B145" s="84" t="str">
        <f t="shared" si="69"/>
        <v xml:space="preserve">  </v>
      </c>
      <c r="F145" s="82" t="e">
        <f>SUM(F142:F144)</f>
        <v>#VALUE!</v>
      </c>
      <c r="H145" s="82" t="e">
        <f>SUM(H142:H144)</f>
        <v>#VALUE!</v>
      </c>
      <c r="I145" s="84" t="str">
        <f>CONCATENATE("m'(",C144,")=")</f>
        <v>m'(  )=</v>
      </c>
      <c r="J145" s="84" t="e">
        <f>2*(J142*(WLS))/3*H145</f>
        <v>#VALUE!</v>
      </c>
      <c r="K145" s="84" t="e">
        <f>CONCATENATE("M(",C142,")=")</f>
        <v>#VALUE!</v>
      </c>
      <c r="L145" s="84" t="e">
        <f>VLOOKUP(C142,STN_TABLE,4,FALSE)</f>
        <v>#VALUE!</v>
      </c>
      <c r="M145" t="str">
        <f>CONCATENATE("M(",C144,")=")</f>
        <v>M(  )=</v>
      </c>
      <c r="N145" t="e">
        <f>J145+L145</f>
        <v>#VALUE!</v>
      </c>
      <c r="O145" s="99">
        <f>O144+1</f>
        <v>26</v>
      </c>
      <c r="P145" s="99" t="e">
        <f t="shared" si="65"/>
        <v>#N/A</v>
      </c>
      <c r="T145" s="89" t="e">
        <f>SUM(T142:T144)</f>
        <v>#VALUE!</v>
      </c>
      <c r="V145" s="82" t="e">
        <f>SUM(V142:V144)</f>
        <v>#VALUE!</v>
      </c>
      <c r="W145" s="84" t="str">
        <f>CONCATENATE("m'(",Q143,")=")</f>
        <v>m'(  )=</v>
      </c>
      <c r="X145" s="84" t="e">
        <f>(2*(X142^2)/24*V145)+(X144*Q142*WLS)</f>
        <v>#VALUE!</v>
      </c>
      <c r="Y145" s="84" t="e">
        <f>CONCATENATE("M(",Q142,")=")</f>
        <v>#VALUE!</v>
      </c>
      <c r="Z145" s="84" t="e">
        <f>VLOOKUP(Q142,STN_TABLE,4,FALSE)</f>
        <v>#VALUE!</v>
      </c>
      <c r="AA145" t="str">
        <f>CONCATENATE("M(",Q143,")=")</f>
        <v>M(  )=</v>
      </c>
      <c r="AB145" t="e">
        <f>X145+Z145</f>
        <v>#VALUE!</v>
      </c>
      <c r="AE145" s="89">
        <f>SUM(AE143:AE144)</f>
        <v>0</v>
      </c>
      <c r="AG145" s="89" t="e">
        <f>SUM(AG143:AG144)</f>
        <v>#VALUE!</v>
      </c>
      <c r="AH145" s="84" t="str">
        <f>CONCATENATE("m'(",AD144,")=")</f>
        <v>m'(  )=</v>
      </c>
      <c r="AI145" s="84" t="e">
        <f>(2*(AI142^2)/6*AG145)+(AI144*AD143*WLS)</f>
        <v>#VALUE!</v>
      </c>
      <c r="AJ145" s="84" t="str">
        <f>CONCATENATE("M(",AD143,")=")</f>
        <v>M(  )=</v>
      </c>
      <c r="AK145" s="84" t="str">
        <f>VLOOKUP(AD143,STN_TABLE,4,FALSE)</f>
        <v xml:space="preserve"> </v>
      </c>
      <c r="AL145" t="str">
        <f>CONCATENATE("M(",AD144,")=")</f>
        <v>M(  )=</v>
      </c>
      <c r="AM145" t="e">
        <f>AI145+AK145</f>
        <v>#VALUE!</v>
      </c>
      <c r="AO145" s="82" t="str">
        <f>AA145</f>
        <v>M(  )=</v>
      </c>
      <c r="AP145" s="82" t="e">
        <f>VLOOKUP(AO145,Rise_Results,2,FALSE)</f>
        <v>#N/A</v>
      </c>
      <c r="AQ145" s="82" t="e">
        <f>N145</f>
        <v>#VALUE!</v>
      </c>
      <c r="AR145" s="82" t="e">
        <f>IF(OR(AB144&lt;=0,AB145&lt;=0),1/0,AB145)</f>
        <v>#VALUE!</v>
      </c>
      <c r="AS145" s="82" t="e">
        <f>AM145</f>
        <v>#VALUE!</v>
      </c>
      <c r="AT145" t="e">
        <f>IFERROR(AP145,IFERROR(AQ145,IFERROR(AR145,AS145)))</f>
        <v>#VALUE!</v>
      </c>
      <c r="AU145" s="81"/>
    </row>
    <row r="146" spans="1:47" x14ac:dyDescent="0.25">
      <c r="A146" s="101">
        <f>A141+1</f>
        <v>21</v>
      </c>
      <c r="B146" s="101" t="str">
        <f t="shared" si="69"/>
        <v xml:space="preserve">  </v>
      </c>
      <c r="O146" s="101">
        <f>O141+1</f>
        <v>23</v>
      </c>
      <c r="P146" s="101" t="str">
        <f t="shared" si="65"/>
        <v xml:space="preserve">  </v>
      </c>
      <c r="AU146" s="81"/>
    </row>
    <row r="147" spans="1:47" x14ac:dyDescent="0.25">
      <c r="A147" s="84">
        <f>A146+1</f>
        <v>22</v>
      </c>
      <c r="B147" s="84" t="str">
        <f t="shared" si="69"/>
        <v xml:space="preserve">  </v>
      </c>
      <c r="C147" s="79" t="e">
        <f t="shared" ref="C147" si="75">IF(C148=B149,IF(C149-C148=C148-B148,B148,IF(C149-C148=C148-B147,B147,"#NA")),IF(C148=B148,IF(C149-C148=C148-B147,B147,IF(C149-C148=C148-B146,B146,"#NA")),"#NA"))</f>
        <v>#VALUE!</v>
      </c>
      <c r="D147" s="68" t="e">
        <f>VLOOKUP(C147,STN_TABLE,2,FALSE)</f>
        <v>#VALUE!</v>
      </c>
      <c r="E147" s="102">
        <v>1</v>
      </c>
      <c r="F147" s="68" t="e">
        <f>D147*E147</f>
        <v>#VALUE!</v>
      </c>
      <c r="G147" s="69" t="e">
        <f>C147</f>
        <v>#VALUE!</v>
      </c>
      <c r="H147" s="69" t="e">
        <f>F147*G147</f>
        <v>#VALUE!</v>
      </c>
      <c r="I147" s="6" t="s">
        <v>93</v>
      </c>
      <c r="J147" s="70" t="e">
        <f>IF(OR(D147=0,D148=0,D149=0),"#NA",IF(AND(C149-C148=C148-C147,C148&lt;&gt;C149,C147&lt;&gt;C148,C147&lt;&gt;C149,D149&lt;&gt;0,OR(D147&lt;&gt;0,D148&lt;&gt;0)),WLS*(C149-C148),"#NA"))</f>
        <v>#VALUE!</v>
      </c>
      <c r="O147" s="99">
        <f>O146+1</f>
        <v>24</v>
      </c>
      <c r="P147" s="99" t="str">
        <f t="shared" si="65"/>
        <v xml:space="preserve">  </v>
      </c>
      <c r="Q147" s="68" t="e">
        <f>IF(OR(P149-P148=P148-P147,P150-P148=P148-P147),P147,IF(OR(P149-P148=P148-P146,P150-P148=P148-P146),P146,"-"))</f>
        <v>#N/A</v>
      </c>
      <c r="R147" s="69" t="e">
        <f>VLOOKUP(Q147,STN_TABLE,2,FALSE)</f>
        <v>#N/A</v>
      </c>
      <c r="S147" s="69">
        <v>5</v>
      </c>
      <c r="T147" s="68" t="e">
        <f>R147*S147</f>
        <v>#N/A</v>
      </c>
      <c r="U147" s="79">
        <v>3</v>
      </c>
      <c r="V147" s="68" t="e">
        <f>R147*U147</f>
        <v>#N/A</v>
      </c>
      <c r="W147" s="6" t="s">
        <v>93</v>
      </c>
      <c r="X147" s="70" t="e">
        <f>IF(AND(Q149-Q148=Q148-Q147,NOT(AND(Q147=0,Q148=0)),NOT(AND(Q148=0,Q149=0))),WLS*(Q149-Q148),"#NA")</f>
        <v>#N/A</v>
      </c>
      <c r="AD147" s="93"/>
      <c r="AH147" s="6" t="s">
        <v>93</v>
      </c>
      <c r="AI147" s="70" t="e">
        <f>WLS*(AD149-AD148)</f>
        <v>#VALUE!</v>
      </c>
      <c r="AU147" s="81"/>
    </row>
    <row r="148" spans="1:47" x14ac:dyDescent="0.25">
      <c r="A148" s="84">
        <f>A147+1</f>
        <v>23</v>
      </c>
      <c r="B148" s="84" t="str">
        <f t="shared" si="69"/>
        <v xml:space="preserve">  </v>
      </c>
      <c r="C148" s="80" t="e">
        <f t="shared" ref="C148" si="76">IF(OR(B150-B149=B149-B148,B150-B149=B149-B147,B150-B149=B149-B146),B149,IF(OR(B150-B148=B148-B147,B150-B148=B148-B146),B148,IF(B150-B147=B147-B146,B147,"#NA")))</f>
        <v>#VALUE!</v>
      </c>
      <c r="D148" s="76" t="e">
        <f>VLOOKUP(C148,STN_TABLE,2,FALSE)</f>
        <v>#VALUE!</v>
      </c>
      <c r="E148" s="81">
        <v>4</v>
      </c>
      <c r="F148" s="76" t="e">
        <f>D148*E148</f>
        <v>#VALUE!</v>
      </c>
      <c r="G148" s="77" t="e">
        <f>C148</f>
        <v>#VALUE!</v>
      </c>
      <c r="H148" s="77" t="e">
        <f>F148*G148</f>
        <v>#VALUE!</v>
      </c>
      <c r="I148" s="495" t="s">
        <v>97</v>
      </c>
      <c r="J148" s="496"/>
      <c r="K148" s="78" t="s">
        <v>98</v>
      </c>
      <c r="L148" s="78"/>
      <c r="M148" s="7" t="s">
        <v>99</v>
      </c>
      <c r="N148" s="7"/>
      <c r="O148" s="99">
        <f>O147+1</f>
        <v>25</v>
      </c>
      <c r="P148" s="99" t="str">
        <f t="shared" si="65"/>
        <v xml:space="preserve">  </v>
      </c>
      <c r="Q148" s="76" t="str">
        <f>P148</f>
        <v xml:space="preserve">  </v>
      </c>
      <c r="R148" s="77" t="str">
        <f>VLOOKUP(Q148,STN_TABLE,2,FALSE)</f>
        <v xml:space="preserve">  </v>
      </c>
      <c r="S148" s="77">
        <v>8</v>
      </c>
      <c r="T148" s="76" t="e">
        <f>R148*S148</f>
        <v>#VALUE!</v>
      </c>
      <c r="U148" s="80">
        <v>10</v>
      </c>
      <c r="V148" s="76" t="e">
        <f>R148*U148</f>
        <v>#VALUE!</v>
      </c>
      <c r="W148" s="496" t="s">
        <v>97</v>
      </c>
      <c r="X148" s="496"/>
      <c r="Y148" s="496" t="s">
        <v>98</v>
      </c>
      <c r="Z148" s="496"/>
      <c r="AA148" s="494" t="s">
        <v>99</v>
      </c>
      <c r="AB148" s="494"/>
      <c r="AC148" s="99">
        <f>AC143+1</f>
        <v>24</v>
      </c>
      <c r="AD148" s="95" t="str">
        <f>VLOOKUP(AC148,STN_TABLE_2,2,FALSE)</f>
        <v xml:space="preserve">  </v>
      </c>
      <c r="AE148" s="68" t="str">
        <f>VLOOKUP(AD148,STN_TABLE,2,FALSE)</f>
        <v xml:space="preserve">  </v>
      </c>
      <c r="AF148" s="68">
        <v>1</v>
      </c>
      <c r="AG148" s="69" t="e">
        <f>AE148*AF148</f>
        <v>#VALUE!</v>
      </c>
      <c r="AH148" s="496" t="s">
        <v>97</v>
      </c>
      <c r="AI148" s="496"/>
      <c r="AJ148" s="496" t="s">
        <v>98</v>
      </c>
      <c r="AK148" s="496"/>
      <c r="AL148" s="494" t="s">
        <v>99</v>
      </c>
      <c r="AM148" s="494"/>
      <c r="AP148" s="86" t="s">
        <v>112</v>
      </c>
      <c r="AQ148" s="89" t="s">
        <v>113</v>
      </c>
      <c r="AR148" s="89" t="s">
        <v>114</v>
      </c>
      <c r="AS148" s="89" t="s">
        <v>115</v>
      </c>
      <c r="AU148" s="81"/>
    </row>
    <row r="149" spans="1:47" x14ac:dyDescent="0.25">
      <c r="A149" s="84">
        <f>A148+1</f>
        <v>24</v>
      </c>
      <c r="B149" s="84" t="str">
        <f t="shared" si="69"/>
        <v xml:space="preserve">  </v>
      </c>
      <c r="C149" s="88" t="str">
        <f t="shared" ref="C149" si="77">B150</f>
        <v xml:space="preserve">  </v>
      </c>
      <c r="D149" s="82" t="str">
        <f>VLOOKUP(C149,STN_TABLE,2,FALSE)</f>
        <v xml:space="preserve">  </v>
      </c>
      <c r="E149" s="92">
        <v>1</v>
      </c>
      <c r="F149" s="82" t="e">
        <f>D149*E149</f>
        <v>#VALUE!</v>
      </c>
      <c r="G149" s="83" t="str">
        <f>C149</f>
        <v xml:space="preserve">  </v>
      </c>
      <c r="H149" s="83" t="e">
        <f>F149*G149</f>
        <v>#VALUE!</v>
      </c>
      <c r="I149" s="84" t="str">
        <f>CONCATENATE("a'(",C149,")=")</f>
        <v>a'(  )=</v>
      </c>
      <c r="J149" s="84" t="e">
        <f>2*J147/3*F150</f>
        <v>#VALUE!</v>
      </c>
      <c r="K149" s="84" t="e">
        <f>CONCATENATE("A(",C147,")=")</f>
        <v>#VALUE!</v>
      </c>
      <c r="L149" s="84" t="e">
        <f>VLOOKUP(C147,STN_TABLE,3,FALSE)</f>
        <v>#VALUE!</v>
      </c>
      <c r="M149" t="str">
        <f>CONCATENATE("A(",C149,")=")</f>
        <v>A(  )=</v>
      </c>
      <c r="N149" t="e">
        <f>J149+L149</f>
        <v>#VALUE!</v>
      </c>
      <c r="O149" s="99">
        <f>O148+1</f>
        <v>26</v>
      </c>
      <c r="P149" s="99" t="e">
        <f t="shared" si="65"/>
        <v>#N/A</v>
      </c>
      <c r="Q149" s="82" t="e">
        <f>IF(P149-P148=P148-P147,P149,IF(P150-P148=P148-P147,P150,IF(P149-P148=P148-P146,P149,IF(P150-P148=P148-P146,P150,"-"))))</f>
        <v>#N/A</v>
      </c>
      <c r="R149" s="83" t="e">
        <f>VLOOKUP(Q149,STN_TABLE,2,FALSE)</f>
        <v>#N/A</v>
      </c>
      <c r="S149" s="83">
        <v>-1</v>
      </c>
      <c r="T149" s="82" t="e">
        <f>R149*S149</f>
        <v>#N/A</v>
      </c>
      <c r="U149" s="88">
        <v>-1</v>
      </c>
      <c r="V149" s="82" t="e">
        <f>R149*U149</f>
        <v>#N/A</v>
      </c>
      <c r="W149" s="84" t="str">
        <f>CONCATENATE("a'(",Q148,")=")</f>
        <v>a'(  )=</v>
      </c>
      <c r="X149" s="84" t="e">
        <f>2*X147/12*T150</f>
        <v>#N/A</v>
      </c>
      <c r="Y149" s="84" t="e">
        <f>CONCATENATE("A(",Q147,")=")</f>
        <v>#N/A</v>
      </c>
      <c r="Z149" s="84" t="e">
        <f>VLOOKUP(Q147,STN_TABLE,3,FALSE)</f>
        <v>#N/A</v>
      </c>
      <c r="AA149" t="str">
        <f>CONCATENATE("A(",Q148,")=")</f>
        <v>A(  )=</v>
      </c>
      <c r="AB149" t="e">
        <f>X149+Z149</f>
        <v>#N/A</v>
      </c>
      <c r="AC149" s="99">
        <f>AC148+1</f>
        <v>25</v>
      </c>
      <c r="AD149" s="100" t="str">
        <f>VLOOKUP(AC149,STN_TABLE_2,2,FALSE)</f>
        <v xml:space="preserve">  </v>
      </c>
      <c r="AE149" s="82" t="str">
        <f>VLOOKUP(AD149,STN_TABLE,2,FALSE)</f>
        <v xml:space="preserve">  </v>
      </c>
      <c r="AF149" s="82">
        <v>2</v>
      </c>
      <c r="AG149" s="83" t="e">
        <f>AE149*AF149</f>
        <v>#VALUE!</v>
      </c>
      <c r="AH149" s="84" t="str">
        <f>CONCATENATE("a'(",AD149,")=")</f>
        <v>a'(  )=</v>
      </c>
      <c r="AI149" s="84" t="e">
        <f>2*AI147/2*AE150</f>
        <v>#VALUE!</v>
      </c>
      <c r="AJ149" s="84" t="str">
        <f>CONCATENATE("A(",AD148,")=")</f>
        <v>A(  )=</v>
      </c>
      <c r="AK149" s="84" t="str">
        <f>VLOOKUP(AD148,STN_TABLE,3,FALSE)</f>
        <v xml:space="preserve"> </v>
      </c>
      <c r="AL149" t="str">
        <f>CONCATENATE("A(",AD149,")=")</f>
        <v>A(  )=</v>
      </c>
      <c r="AM149" t="e">
        <f>AI149+AK149</f>
        <v>#VALUE!</v>
      </c>
      <c r="AO149" s="68" t="str">
        <f>AA149</f>
        <v>A(  )=</v>
      </c>
      <c r="AP149" s="68" t="e">
        <f>VLOOKUP(AO149,Rise_Results,2,FALSE)</f>
        <v>#N/A</v>
      </c>
      <c r="AQ149" s="76" t="e">
        <f>N149</f>
        <v>#VALUE!</v>
      </c>
      <c r="AR149" s="76" t="e">
        <f>IF(OR(AB149&lt;=0,AB150&lt;=0),1/0,AB149)</f>
        <v>#N/A</v>
      </c>
      <c r="AS149" s="76" t="e">
        <f>AM149</f>
        <v>#VALUE!</v>
      </c>
      <c r="AT149" t="e">
        <f>IFERROR(AP149,IFERROR(AQ149,IFERROR(AR149,AS149)))</f>
        <v>#VALUE!</v>
      </c>
      <c r="AU149" s="81"/>
    </row>
    <row r="150" spans="1:47" x14ac:dyDescent="0.25">
      <c r="A150" s="84">
        <f>A149+1</f>
        <v>25</v>
      </c>
      <c r="B150" s="84" t="str">
        <f t="shared" si="69"/>
        <v xml:space="preserve">  </v>
      </c>
      <c r="F150" s="82" t="e">
        <f>SUM(F147:F149)</f>
        <v>#VALUE!</v>
      </c>
      <c r="H150" s="82" t="e">
        <f>SUM(H147:H149)</f>
        <v>#VALUE!</v>
      </c>
      <c r="I150" s="84" t="str">
        <f>CONCATENATE("m'(",C149,")=")</f>
        <v>m'(  )=</v>
      </c>
      <c r="J150" s="84" t="e">
        <f>2*(J147*(WLS))/3*H150</f>
        <v>#VALUE!</v>
      </c>
      <c r="K150" s="84" t="e">
        <f>CONCATENATE("M(",C147,")=")</f>
        <v>#VALUE!</v>
      </c>
      <c r="L150" s="84" t="e">
        <f>VLOOKUP(C147,STN_TABLE,4,FALSE)</f>
        <v>#VALUE!</v>
      </c>
      <c r="M150" t="str">
        <f>CONCATENATE("M(",C149,")=")</f>
        <v>M(  )=</v>
      </c>
      <c r="N150" t="e">
        <f>J150+L150</f>
        <v>#VALUE!</v>
      </c>
      <c r="O150" s="99">
        <f>O149+1</f>
        <v>27</v>
      </c>
      <c r="P150" s="99" t="e">
        <f t="shared" si="65"/>
        <v>#N/A</v>
      </c>
      <c r="T150" s="89" t="e">
        <f>SUM(T147:T149)</f>
        <v>#N/A</v>
      </c>
      <c r="V150" s="82" t="e">
        <f>SUM(V147:V149)</f>
        <v>#N/A</v>
      </c>
      <c r="W150" s="84" t="str">
        <f>CONCATENATE("m'(",Q148,")=")</f>
        <v>m'(  )=</v>
      </c>
      <c r="X150" s="84" t="e">
        <f>(2*(X147^2)/24*V150)+(X149*Q147*WLS)</f>
        <v>#N/A</v>
      </c>
      <c r="Y150" s="84" t="e">
        <f>CONCATENATE("M(",Q147,")=")</f>
        <v>#N/A</v>
      </c>
      <c r="Z150" s="84" t="e">
        <f>VLOOKUP(Q147,STN_TABLE,4,FALSE)</f>
        <v>#N/A</v>
      </c>
      <c r="AA150" t="str">
        <f>CONCATENATE("M(",Q148,")=")</f>
        <v>M(  )=</v>
      </c>
      <c r="AB150" t="e">
        <f>X150+Z150</f>
        <v>#N/A</v>
      </c>
      <c r="AE150" s="89">
        <f>SUM(AE148:AE149)</f>
        <v>0</v>
      </c>
      <c r="AG150" s="89" t="e">
        <f>SUM(AG148:AG149)</f>
        <v>#VALUE!</v>
      </c>
      <c r="AH150" s="84" t="str">
        <f>CONCATENATE("m'(",AD149,")=")</f>
        <v>m'(  )=</v>
      </c>
      <c r="AI150" s="84" t="e">
        <f>(2*(AI147^2)/6*AG150)+(AI149*AD148*WLS)</f>
        <v>#VALUE!</v>
      </c>
      <c r="AJ150" s="84" t="str">
        <f>CONCATENATE("M(",AD148,")=")</f>
        <v>M(  )=</v>
      </c>
      <c r="AK150" s="84" t="str">
        <f>VLOOKUP(AD148,STN_TABLE,4,FALSE)</f>
        <v xml:space="preserve"> </v>
      </c>
      <c r="AL150" t="str">
        <f>CONCATENATE("M(",AD149,")=")</f>
        <v>M(  )=</v>
      </c>
      <c r="AM150" t="e">
        <f>AI150+AK150</f>
        <v>#VALUE!</v>
      </c>
      <c r="AO150" s="82" t="str">
        <f>AA150</f>
        <v>M(  )=</v>
      </c>
      <c r="AP150" s="82" t="e">
        <f>VLOOKUP(AO150,Rise_Results,2,FALSE)</f>
        <v>#N/A</v>
      </c>
      <c r="AQ150" s="82" t="e">
        <f>N150</f>
        <v>#VALUE!</v>
      </c>
      <c r="AR150" s="82" t="e">
        <f>IF(OR(AB149&lt;=0,AB150&lt;=0),1/0,AB150)</f>
        <v>#N/A</v>
      </c>
      <c r="AS150" s="82" t="e">
        <f>AM150</f>
        <v>#VALUE!</v>
      </c>
      <c r="AT150" t="e">
        <f>IFERROR(AP150,IFERROR(AQ150,IFERROR(AR150,AS150)))</f>
        <v>#VALUE!</v>
      </c>
      <c r="AU150" s="81"/>
    </row>
    <row r="151" spans="1:47" x14ac:dyDescent="0.25">
      <c r="A151" s="101"/>
      <c r="B151" s="101"/>
      <c r="AU151" s="81"/>
    </row>
    <row r="152" spans="1:47" x14ac:dyDescent="0.25">
      <c r="A152" s="84"/>
      <c r="B152" s="84"/>
      <c r="E152" s="81"/>
      <c r="F152" s="81"/>
      <c r="G152" s="81"/>
      <c r="H152" s="81"/>
      <c r="I152" s="103"/>
      <c r="J152" s="70"/>
      <c r="AU152" s="81"/>
    </row>
    <row r="153" spans="1:47" x14ac:dyDescent="0.25">
      <c r="A153" s="84"/>
      <c r="B153" s="84"/>
      <c r="E153" s="81"/>
      <c r="F153" s="81"/>
      <c r="G153" s="81"/>
      <c r="H153" s="81"/>
      <c r="I153" s="104"/>
      <c r="J153" s="78"/>
      <c r="K153" s="78"/>
      <c r="L153" s="78"/>
      <c r="M153" s="7"/>
      <c r="N153" s="7"/>
      <c r="AO153" s="81"/>
      <c r="AP153" s="81"/>
      <c r="AQ153" s="81"/>
      <c r="AR153" s="81"/>
      <c r="AS153" s="81"/>
      <c r="AT153" s="81"/>
      <c r="AU153" s="81"/>
    </row>
    <row r="154" spans="1:47" x14ac:dyDescent="0.25">
      <c r="A154" s="84"/>
      <c r="B154" s="84"/>
      <c r="E154" s="81"/>
      <c r="F154" s="81"/>
      <c r="G154" s="81"/>
      <c r="H154" s="81"/>
      <c r="I154" s="105"/>
      <c r="J154" s="84"/>
      <c r="K154" s="84"/>
      <c r="L154" s="84"/>
      <c r="AO154" s="81"/>
      <c r="AP154" s="81"/>
      <c r="AQ154" s="81"/>
      <c r="AR154" s="81"/>
      <c r="AS154" s="81"/>
      <c r="AT154" s="81"/>
      <c r="AU154" s="81"/>
    </row>
    <row r="155" spans="1:47" x14ac:dyDescent="0.25">
      <c r="A155" s="84"/>
      <c r="B155" s="84"/>
      <c r="E155" s="81"/>
      <c r="F155" s="81"/>
      <c r="G155" s="81"/>
      <c r="H155" s="81"/>
      <c r="I155" s="105"/>
      <c r="J155" s="84"/>
      <c r="K155" s="84"/>
      <c r="L155" s="84"/>
      <c r="AO155" s="81"/>
      <c r="AP155" s="81"/>
      <c r="AQ155" s="81"/>
      <c r="AR155" s="81"/>
      <c r="AS155" s="81"/>
      <c r="AT155" s="81"/>
      <c r="AU155" s="81"/>
    </row>
    <row r="156" spans="1:47" x14ac:dyDescent="0.25">
      <c r="A156" s="101"/>
      <c r="B156" s="101"/>
      <c r="E156" s="81"/>
      <c r="F156" s="81"/>
      <c r="G156" s="81"/>
      <c r="H156" s="81"/>
      <c r="I156" s="81"/>
      <c r="AO156" s="81"/>
      <c r="AP156" s="81"/>
      <c r="AQ156" s="81"/>
      <c r="AR156" s="81"/>
      <c r="AS156" s="81"/>
      <c r="AT156" s="81"/>
      <c r="AU156" s="81"/>
    </row>
    <row r="157" spans="1:47" x14ac:dyDescent="0.25">
      <c r="A157" s="84"/>
      <c r="B157" s="84"/>
      <c r="E157" s="81"/>
      <c r="F157" s="81"/>
      <c r="G157" s="81"/>
      <c r="H157" s="81"/>
      <c r="I157" s="103"/>
      <c r="J157" s="70"/>
      <c r="AO157" s="81"/>
      <c r="AP157" s="81"/>
      <c r="AQ157" s="81"/>
      <c r="AR157" s="81"/>
      <c r="AS157" s="81"/>
      <c r="AT157" s="81"/>
      <c r="AU157" s="81"/>
    </row>
    <row r="158" spans="1:47" x14ac:dyDescent="0.25">
      <c r="A158" s="84"/>
      <c r="B158" s="84"/>
      <c r="E158" s="81"/>
      <c r="F158" s="81"/>
      <c r="G158" s="81"/>
      <c r="H158" s="81"/>
      <c r="I158" s="104"/>
      <c r="J158" s="78"/>
      <c r="K158" s="78"/>
      <c r="L158" s="78"/>
      <c r="M158" s="7"/>
      <c r="N158" s="7"/>
      <c r="AO158" s="81"/>
      <c r="AP158" s="81"/>
      <c r="AQ158" s="81"/>
      <c r="AR158" s="81"/>
      <c r="AS158" s="81"/>
      <c r="AT158" s="81"/>
      <c r="AU158" s="81"/>
    </row>
    <row r="159" spans="1:47" x14ac:dyDescent="0.25">
      <c r="A159" s="84"/>
      <c r="B159" s="84"/>
      <c r="E159" s="81"/>
      <c r="F159" s="81"/>
      <c r="G159" s="81"/>
      <c r="H159" s="81"/>
      <c r="I159" s="105"/>
      <c r="J159" s="84"/>
      <c r="K159" s="84"/>
      <c r="L159" s="84"/>
      <c r="AO159" s="81"/>
      <c r="AP159" s="81"/>
      <c r="AQ159" s="81"/>
      <c r="AR159" s="81"/>
      <c r="AS159" s="81"/>
      <c r="AT159" s="81"/>
      <c r="AU159" s="81"/>
    </row>
    <row r="160" spans="1:47" x14ac:dyDescent="0.25">
      <c r="A160" s="84"/>
      <c r="B160" s="84"/>
      <c r="E160" s="81"/>
      <c r="F160" s="81"/>
      <c r="G160" s="81"/>
      <c r="H160" s="81"/>
      <c r="I160" s="105"/>
      <c r="J160" s="84"/>
      <c r="K160" s="84"/>
      <c r="L160" s="84"/>
      <c r="AO160" s="81"/>
      <c r="AP160" s="81"/>
      <c r="AQ160" s="81"/>
      <c r="AR160" s="81"/>
      <c r="AS160" s="81"/>
      <c r="AT160" s="81"/>
      <c r="AU160" s="81"/>
    </row>
    <row r="161" spans="1:47" x14ac:dyDescent="0.25">
      <c r="A161" s="101"/>
      <c r="B161" s="101"/>
      <c r="E161" s="81"/>
      <c r="F161" s="81"/>
      <c r="G161" s="81"/>
      <c r="H161" s="81"/>
      <c r="I161" s="81"/>
      <c r="AO161" s="81"/>
      <c r="AP161" s="81"/>
      <c r="AQ161" s="81"/>
      <c r="AR161" s="81"/>
      <c r="AS161" s="81"/>
      <c r="AT161" s="81"/>
      <c r="AU161" s="81"/>
    </row>
    <row r="162" spans="1:47" x14ac:dyDescent="0.25">
      <c r="A162" s="84"/>
      <c r="B162" s="84"/>
      <c r="E162" s="81"/>
      <c r="F162" s="81"/>
      <c r="G162" s="81"/>
      <c r="H162" s="81"/>
      <c r="I162" s="103"/>
      <c r="J162" s="70"/>
      <c r="AO162" s="81"/>
      <c r="AP162" s="81"/>
      <c r="AQ162" s="81"/>
      <c r="AR162" s="81"/>
      <c r="AS162" s="81"/>
      <c r="AT162" s="81"/>
      <c r="AU162" s="81"/>
    </row>
    <row r="163" spans="1:47" x14ac:dyDescent="0.25">
      <c r="A163" s="84"/>
      <c r="B163" s="84"/>
      <c r="E163" s="81"/>
      <c r="F163" s="81"/>
      <c r="G163" s="81"/>
      <c r="H163" s="81"/>
      <c r="I163" s="104"/>
      <c r="J163" s="78"/>
      <c r="K163" s="78"/>
      <c r="L163" s="78"/>
      <c r="M163" s="7"/>
      <c r="N163" s="7"/>
      <c r="AO163" s="81"/>
      <c r="AP163" s="81"/>
      <c r="AQ163" s="81"/>
      <c r="AR163" s="81"/>
      <c r="AS163" s="81"/>
      <c r="AT163" s="81"/>
      <c r="AU163" s="81"/>
    </row>
    <row r="164" spans="1:47" x14ac:dyDescent="0.25">
      <c r="A164" s="84"/>
      <c r="B164" s="84"/>
      <c r="E164" s="81"/>
      <c r="F164" s="81"/>
      <c r="G164" s="81"/>
      <c r="H164" s="81"/>
      <c r="I164" s="105"/>
      <c r="J164" s="84"/>
      <c r="K164" s="84"/>
      <c r="L164" s="84"/>
    </row>
    <row r="165" spans="1:47" x14ac:dyDescent="0.25">
      <c r="A165" s="84"/>
      <c r="B165" s="84"/>
      <c r="E165" s="81"/>
      <c r="F165" s="81"/>
      <c r="G165" s="81"/>
      <c r="H165" s="81"/>
      <c r="I165" s="105"/>
      <c r="J165" s="84"/>
      <c r="K165" s="84"/>
      <c r="L165" s="84"/>
    </row>
    <row r="166" spans="1:47" x14ac:dyDescent="0.25">
      <c r="A166" s="101"/>
      <c r="B166" s="101"/>
      <c r="E166" s="81"/>
      <c r="F166" s="81"/>
      <c r="G166" s="81"/>
      <c r="H166" s="81"/>
      <c r="I166" s="81"/>
    </row>
    <row r="167" spans="1:47" x14ac:dyDescent="0.25">
      <c r="A167" s="84"/>
      <c r="B167" s="84"/>
      <c r="E167" s="81"/>
      <c r="F167" s="81"/>
      <c r="G167" s="81"/>
      <c r="H167" s="81"/>
      <c r="I167" s="103"/>
      <c r="J167" s="70"/>
    </row>
    <row r="168" spans="1:47" x14ac:dyDescent="0.25">
      <c r="A168" s="84"/>
      <c r="B168" s="84"/>
      <c r="E168" s="81"/>
      <c r="F168" s="81"/>
      <c r="G168" s="81"/>
      <c r="H168" s="81"/>
      <c r="I168" s="104"/>
      <c r="J168" s="78"/>
      <c r="K168" s="78"/>
      <c r="L168" s="78"/>
      <c r="M168" s="7"/>
      <c r="N168" s="7"/>
    </row>
    <row r="169" spans="1:47" x14ac:dyDescent="0.25">
      <c r="A169" s="84"/>
      <c r="B169" s="84"/>
      <c r="E169" s="81"/>
      <c r="F169" s="81"/>
      <c r="G169" s="81"/>
      <c r="H169" s="81"/>
      <c r="I169" s="105"/>
      <c r="J169" s="84"/>
      <c r="K169" s="84"/>
      <c r="L169" s="84"/>
    </row>
    <row r="170" spans="1:47" x14ac:dyDescent="0.25">
      <c r="A170" s="84"/>
      <c r="B170" s="84"/>
      <c r="E170" s="81"/>
      <c r="F170" s="81"/>
      <c r="G170" s="81"/>
      <c r="H170" s="81"/>
      <c r="I170" s="105"/>
      <c r="J170" s="84"/>
      <c r="K170" s="84"/>
      <c r="L170" s="84"/>
    </row>
    <row r="171" spans="1:47" x14ac:dyDescent="0.25">
      <c r="E171" s="81"/>
      <c r="F171" s="81"/>
      <c r="G171" s="81"/>
      <c r="H171" s="81"/>
      <c r="I171" s="81"/>
    </row>
  </sheetData>
  <sheetProtection selectLockedCells="1" selectUnlockedCells="1"/>
  <mergeCells count="167">
    <mergeCell ref="A1:B1"/>
    <mergeCell ref="E1:F1"/>
    <mergeCell ref="L1:M1"/>
    <mergeCell ref="W33:X33"/>
    <mergeCell ref="Y33:Z33"/>
    <mergeCell ref="AA33:AB33"/>
    <mergeCell ref="AH33:AI33"/>
    <mergeCell ref="AJ33:AK33"/>
    <mergeCell ref="AL33:AM33"/>
    <mergeCell ref="I38:J38"/>
    <mergeCell ref="W38:X38"/>
    <mergeCell ref="Y38:Z38"/>
    <mergeCell ref="AA38:AB38"/>
    <mergeCell ref="AH38:AI38"/>
    <mergeCell ref="AJ38:AK38"/>
    <mergeCell ref="AL38:AM38"/>
    <mergeCell ref="AL43:AM43"/>
    <mergeCell ref="I48:J48"/>
    <mergeCell ref="W48:X48"/>
    <mergeCell ref="Y48:Z48"/>
    <mergeCell ref="AA48:AB48"/>
    <mergeCell ref="AH48:AI48"/>
    <mergeCell ref="AJ48:AK48"/>
    <mergeCell ref="AL48:AM48"/>
    <mergeCell ref="I43:J43"/>
    <mergeCell ref="W43:X43"/>
    <mergeCell ref="Y43:Z43"/>
    <mergeCell ref="AA43:AB43"/>
    <mergeCell ref="AH43:AI43"/>
    <mergeCell ref="AJ43:AK43"/>
    <mergeCell ref="AL53:AM53"/>
    <mergeCell ref="I58:J58"/>
    <mergeCell ref="AH58:AI58"/>
    <mergeCell ref="AJ58:AK58"/>
    <mergeCell ref="AL58:AM58"/>
    <mergeCell ref="I63:J63"/>
    <mergeCell ref="W63:X63"/>
    <mergeCell ref="Y63:Z63"/>
    <mergeCell ref="AA63:AB63"/>
    <mergeCell ref="AH63:AI63"/>
    <mergeCell ref="I53:J53"/>
    <mergeCell ref="W53:X53"/>
    <mergeCell ref="Y53:Z53"/>
    <mergeCell ref="AA53:AB53"/>
    <mergeCell ref="AH53:AI53"/>
    <mergeCell ref="AJ53:AK53"/>
    <mergeCell ref="AJ63:AK63"/>
    <mergeCell ref="AL63:AM63"/>
    <mergeCell ref="I68:J68"/>
    <mergeCell ref="W68:X68"/>
    <mergeCell ref="Y68:Z68"/>
    <mergeCell ref="AA68:AB68"/>
    <mergeCell ref="AH68:AI68"/>
    <mergeCell ref="AJ68:AK68"/>
    <mergeCell ref="AL68:AM68"/>
    <mergeCell ref="AL73:AM73"/>
    <mergeCell ref="I78:J78"/>
    <mergeCell ref="W78:X78"/>
    <mergeCell ref="Y78:Z78"/>
    <mergeCell ref="AA78:AB78"/>
    <mergeCell ref="AH78:AI78"/>
    <mergeCell ref="AJ78:AK78"/>
    <mergeCell ref="AL78:AM78"/>
    <mergeCell ref="I73:J73"/>
    <mergeCell ref="W73:X73"/>
    <mergeCell ref="Y73:Z73"/>
    <mergeCell ref="AA73:AB73"/>
    <mergeCell ref="AH73:AI73"/>
    <mergeCell ref="AJ73:AK73"/>
    <mergeCell ref="AL83:AM83"/>
    <mergeCell ref="I88:J88"/>
    <mergeCell ref="W88:X88"/>
    <mergeCell ref="Y88:Z88"/>
    <mergeCell ref="AA88:AB88"/>
    <mergeCell ref="AH88:AI88"/>
    <mergeCell ref="AJ88:AK88"/>
    <mergeCell ref="AL88:AM88"/>
    <mergeCell ref="I83:J83"/>
    <mergeCell ref="W83:X83"/>
    <mergeCell ref="Y83:Z83"/>
    <mergeCell ref="AA83:AB83"/>
    <mergeCell ref="AH83:AI83"/>
    <mergeCell ref="AJ83:AK83"/>
    <mergeCell ref="AL93:AM93"/>
    <mergeCell ref="I98:J98"/>
    <mergeCell ref="W98:X98"/>
    <mergeCell ref="Y98:Z98"/>
    <mergeCell ref="AA98:AB98"/>
    <mergeCell ref="AH98:AI98"/>
    <mergeCell ref="AJ98:AK98"/>
    <mergeCell ref="AL98:AM98"/>
    <mergeCell ref="I93:J93"/>
    <mergeCell ref="W93:X93"/>
    <mergeCell ref="Y93:Z93"/>
    <mergeCell ref="AA93:AB93"/>
    <mergeCell ref="AH93:AI93"/>
    <mergeCell ref="AJ93:AK93"/>
    <mergeCell ref="AL103:AM103"/>
    <mergeCell ref="I108:J108"/>
    <mergeCell ref="W108:X108"/>
    <mergeCell ref="Y108:Z108"/>
    <mergeCell ref="AA108:AB108"/>
    <mergeCell ref="AH108:AI108"/>
    <mergeCell ref="AJ108:AK108"/>
    <mergeCell ref="AL108:AM108"/>
    <mergeCell ref="I103:J103"/>
    <mergeCell ref="W103:X103"/>
    <mergeCell ref="Y103:Z103"/>
    <mergeCell ref="AA103:AB103"/>
    <mergeCell ref="AH103:AI103"/>
    <mergeCell ref="AJ103:AK103"/>
    <mergeCell ref="AL113:AM113"/>
    <mergeCell ref="I118:J118"/>
    <mergeCell ref="W118:X118"/>
    <mergeCell ref="Y118:Z118"/>
    <mergeCell ref="AA118:AB118"/>
    <mergeCell ref="AH118:AI118"/>
    <mergeCell ref="AJ118:AK118"/>
    <mergeCell ref="AL118:AM118"/>
    <mergeCell ref="I113:J113"/>
    <mergeCell ref="W113:X113"/>
    <mergeCell ref="Y113:Z113"/>
    <mergeCell ref="AA113:AB113"/>
    <mergeCell ref="AH113:AI113"/>
    <mergeCell ref="AJ113:AK113"/>
    <mergeCell ref="AL123:AM123"/>
    <mergeCell ref="I128:J128"/>
    <mergeCell ref="W128:X128"/>
    <mergeCell ref="Y128:Z128"/>
    <mergeCell ref="AA128:AB128"/>
    <mergeCell ref="AH128:AI128"/>
    <mergeCell ref="AJ128:AK128"/>
    <mergeCell ref="AL128:AM128"/>
    <mergeCell ref="I123:J123"/>
    <mergeCell ref="W123:X123"/>
    <mergeCell ref="Y123:Z123"/>
    <mergeCell ref="AA123:AB123"/>
    <mergeCell ref="AH123:AI123"/>
    <mergeCell ref="AJ123:AK123"/>
    <mergeCell ref="AL133:AM133"/>
    <mergeCell ref="I138:J138"/>
    <mergeCell ref="W138:X138"/>
    <mergeCell ref="Y138:Z138"/>
    <mergeCell ref="AA138:AB138"/>
    <mergeCell ref="AH138:AI138"/>
    <mergeCell ref="AJ138:AK138"/>
    <mergeCell ref="AL138:AM138"/>
    <mergeCell ref="I133:J133"/>
    <mergeCell ref="W133:X133"/>
    <mergeCell ref="Y133:Z133"/>
    <mergeCell ref="AA133:AB133"/>
    <mergeCell ref="AH133:AI133"/>
    <mergeCell ref="AJ133:AK133"/>
    <mergeCell ref="AL143:AM143"/>
    <mergeCell ref="I148:J148"/>
    <mergeCell ref="W148:X148"/>
    <mergeCell ref="Y148:Z148"/>
    <mergeCell ref="AA148:AB148"/>
    <mergeCell ref="AH148:AI148"/>
    <mergeCell ref="AJ148:AK148"/>
    <mergeCell ref="AL148:AM148"/>
    <mergeCell ref="I143:J143"/>
    <mergeCell ref="W143:X143"/>
    <mergeCell ref="Y143:Z143"/>
    <mergeCell ref="AA143:AB143"/>
    <mergeCell ref="AH143:AI143"/>
    <mergeCell ref="AJ143:AK143"/>
  </mergeCells>
  <pageMargins left="0.7" right="0.7" top="0.75" bottom="0.75" header="0.3" footer="0.3"/>
  <pageSetup paperSize="9" orientation="portrait"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AU171"/>
  <sheetViews>
    <sheetView topLeftCell="R1" zoomScale="90" zoomScaleNormal="90" workbookViewId="0">
      <pane ySplit="1" topLeftCell="A2" activePane="bottomLeft" state="frozen"/>
      <selection activeCell="AG8" sqref="AG8:AG10"/>
      <selection pane="bottomLeft" activeCell="AG8" sqref="AG8:AG10"/>
    </sheetView>
  </sheetViews>
  <sheetFormatPr defaultRowHeight="15" x14ac:dyDescent="0.25"/>
  <sheetData>
    <row r="1" spans="1:46" x14ac:dyDescent="0.25">
      <c r="A1" s="494" t="s">
        <v>90</v>
      </c>
      <c r="B1" s="494"/>
      <c r="C1">
        <f>HLOOKUP(Stn_WL,OFFSET_A,Count_STN+1,FALSE)</f>
        <v>0.5</v>
      </c>
      <c r="E1" s="494" t="s">
        <v>91</v>
      </c>
      <c r="F1" s="494"/>
      <c r="G1" t="str">
        <f>VLOOKUP(Station_No,RISE_CALC,2,FALSE)</f>
        <v>-</v>
      </c>
      <c r="L1" s="494" t="s">
        <v>92</v>
      </c>
      <c r="M1" s="494"/>
      <c r="N1">
        <v>2</v>
      </c>
    </row>
    <row r="2" spans="1:46" x14ac:dyDescent="0.25">
      <c r="Q2" s="66" t="str">
        <f t="shared" ref="Q2:R6" si="0">G4</f>
        <v>Rise</v>
      </c>
      <c r="R2" s="67" t="e">
        <f t="shared" si="0"/>
        <v>#VALUE!</v>
      </c>
      <c r="S2" s="68" t="e">
        <f>IF(OR(R5-R4=R4-R3,R6-R4=R4-R3),R3,IF(OR(R5-R4=R4-R2,R6-R4=R4-R2),R2,"-"))</f>
        <v>#VALUE!</v>
      </c>
      <c r="T2" s="69" t="e">
        <f>IFERROR(VLOOKUP(S2,STN_TABLE,2,FALSE),IF(R2=RisePerWLS,0,"-"))</f>
        <v>#VALUE!</v>
      </c>
      <c r="U2" s="69">
        <v>5</v>
      </c>
      <c r="V2" s="69" t="e">
        <f>T2*U2</f>
        <v>#VALUE!</v>
      </c>
      <c r="W2" s="69">
        <v>3</v>
      </c>
      <c r="X2" s="69" t="e">
        <f>T2*W2</f>
        <v>#VALUE!</v>
      </c>
      <c r="Y2" s="6" t="s">
        <v>93</v>
      </c>
      <c r="Z2" s="70" t="e">
        <f>IF(AND(S4-S3=S3-S2,NOT(AND(S2=0,S3=0)),NOT(AND(S3=0,S4=0))),WLS*(S4-S3),"#NA")</f>
        <v>#VALUE!</v>
      </c>
      <c r="AE2" s="71" t="s">
        <v>94</v>
      </c>
    </row>
    <row r="3" spans="1:46" x14ac:dyDescent="0.25">
      <c r="B3" s="72" t="s">
        <v>0</v>
      </c>
      <c r="C3" s="73" t="s">
        <v>95</v>
      </c>
      <c r="D3" s="73" t="s">
        <v>18</v>
      </c>
      <c r="E3" s="74" t="s">
        <v>20</v>
      </c>
      <c r="H3" s="75" t="s">
        <v>96</v>
      </c>
      <c r="K3" t="str">
        <f>IF(Rise=0,"(Not considered)","(Considered)")</f>
        <v>(Considered)</v>
      </c>
      <c r="Q3" s="66" t="str">
        <f t="shared" si="0"/>
        <v>1st_UWL</v>
      </c>
      <c r="R3" s="67" t="str">
        <f t="shared" si="0"/>
        <v>#NA</v>
      </c>
      <c r="S3" s="76" t="str">
        <f>R4</f>
        <v>#NA</v>
      </c>
      <c r="T3" s="77" t="e">
        <f>VLOOKUP(S3,STN_TABLE,2,FALSE)</f>
        <v>#N/A</v>
      </c>
      <c r="U3" s="77">
        <v>8</v>
      </c>
      <c r="V3" s="77" t="e">
        <f>T3*U3</f>
        <v>#N/A</v>
      </c>
      <c r="W3" s="77">
        <v>10</v>
      </c>
      <c r="X3" s="77" t="e">
        <f>T3*W3</f>
        <v>#N/A</v>
      </c>
      <c r="Y3" s="78" t="s">
        <v>97</v>
      </c>
      <c r="Z3" s="78"/>
      <c r="AA3" s="78" t="s">
        <v>98</v>
      </c>
      <c r="AB3" s="78"/>
      <c r="AC3" s="7" t="s">
        <v>99</v>
      </c>
      <c r="AD3" s="7"/>
      <c r="AE3" s="66" t="str">
        <f t="shared" ref="AE3:AF7" si="1">G4</f>
        <v>Rise</v>
      </c>
      <c r="AF3" s="67" t="e">
        <f t="shared" si="1"/>
        <v>#VALUE!</v>
      </c>
      <c r="AG3" s="79" t="e">
        <f>IF(AF7-AF6=AF6-AF5,AF5,IF(OR(AF7-AF6=AF6-AF4,AF7-AF5=AF5-AF4),AF4,IF(OR(AF7-AF6=AF6-AF3,AF7-AF5=AF5-AF3,AF7-AF4=AF4-AF3),AF3,"#NA")))</f>
        <v>#VALUE!</v>
      </c>
      <c r="AH3" s="69" t="e">
        <f>IFERROR(VLOOKUP(AG3,STN_TABLE,2,FALSE),IF(AF3=RisePerWLS,0,"-"))</f>
        <v>#VALUE!</v>
      </c>
      <c r="AI3" s="69">
        <v>1</v>
      </c>
      <c r="AJ3" s="69" t="e">
        <f>AH3*AI3</f>
        <v>#VALUE!</v>
      </c>
      <c r="AK3" s="69" t="e">
        <f>AG3</f>
        <v>#VALUE!</v>
      </c>
      <c r="AL3" s="69" t="e">
        <f>AJ3*AK3</f>
        <v>#VALUE!</v>
      </c>
      <c r="AM3" s="6" t="s">
        <v>93</v>
      </c>
      <c r="AN3" s="70" t="e">
        <f>IF(AND(AH3=0,AH4=0,AH5=0),WLS*(AG5-AG4),IF(AND(AG5-AG4=AG4-AG3,AG4&lt;&gt;AG5,AG3&lt;&gt;AG4,AG3&lt;&gt;AG5,AH5&lt;&gt;0,OR(AH3&lt;&gt;0,AH4&lt;&gt;0)),WLS*(AG5-AG4),"#NA"))</f>
        <v>#VALUE!</v>
      </c>
    </row>
    <row r="4" spans="1:46" x14ac:dyDescent="0.25">
      <c r="A4">
        <v>1</v>
      </c>
      <c r="B4" s="80">
        <f t="shared" ref="B4:B28" si="2">VLOOKUP(Stn_WL,OFFSET_A,A4+1,FALSE)</f>
        <v>0</v>
      </c>
      <c r="C4" s="81">
        <f t="shared" ref="C4:C28" si="3">VLOOKUP(Station_No,OFFSET_A,A4+1,FALSE)</f>
        <v>0.1</v>
      </c>
      <c r="D4" s="81">
        <v>0</v>
      </c>
      <c r="E4" s="77">
        <v>0</v>
      </c>
      <c r="G4" t="s">
        <v>100</v>
      </c>
      <c r="H4" t="e">
        <f>Rise/WLS</f>
        <v>#VALUE!</v>
      </c>
      <c r="K4" t="str">
        <f>CONCATENATE("A(",H5,")=")</f>
        <v>A(#NA)=</v>
      </c>
      <c r="L4" t="e">
        <f>IFERROR(N18,N22)</f>
        <v>#VALUE!</v>
      </c>
      <c r="Q4" s="66" t="str">
        <f t="shared" si="0"/>
        <v>2nd_UWL</v>
      </c>
      <c r="R4" s="67" t="str">
        <f t="shared" si="0"/>
        <v>#NA</v>
      </c>
      <c r="S4" s="82" t="e">
        <f>IF((S2-S3)=S3-R5,R5,IF(S2-S3=S3-R6,R6,"-"))</f>
        <v>#VALUE!</v>
      </c>
      <c r="T4" s="83" t="e">
        <f>VLOOKUP(S4,STN_TABLE,2,FALSE)</f>
        <v>#VALUE!</v>
      </c>
      <c r="U4" s="83">
        <v>-1</v>
      </c>
      <c r="V4" s="83" t="e">
        <f>T4*U4</f>
        <v>#VALUE!</v>
      </c>
      <c r="W4" s="83">
        <v>-1</v>
      </c>
      <c r="X4" s="83" t="e">
        <f>T4*W4</f>
        <v>#VALUE!</v>
      </c>
      <c r="Y4" s="84" t="str">
        <f>CONCATENATE("a'(",S3,")=")</f>
        <v>a'(#NA)=</v>
      </c>
      <c r="Z4" s="85" t="e">
        <f>2*Z2/12*V5</f>
        <v>#VALUE!</v>
      </c>
      <c r="AA4" s="84" t="e">
        <f>CONCATENATE("A(",S2,")=")</f>
        <v>#VALUE!</v>
      </c>
      <c r="AB4" s="84" t="e">
        <f>IF(S2=RisePerWLS,0,VLOOKUP(S2,STN_TABLE,3,FALSE))</f>
        <v>#VALUE!</v>
      </c>
      <c r="AC4" t="str">
        <f>CONCATENATE("A(",S3,")=")</f>
        <v>A(#NA)=</v>
      </c>
      <c r="AD4" t="e">
        <f>Z4+AB4</f>
        <v>#VALUE!</v>
      </c>
      <c r="AE4" s="66" t="str">
        <f t="shared" si="1"/>
        <v>1st_UWL</v>
      </c>
      <c r="AF4" s="67" t="str">
        <f t="shared" si="1"/>
        <v>#NA</v>
      </c>
      <c r="AG4" s="80" t="e">
        <f>IF(OR(AF7-AF6=AF6-AF5,AF7-AF6=AF6-AF4,AF7-AF6=AF6-AF3),AF6,IF(OR(AF7-AF5=AF5-AF4,AF7-AF5=AF5-AF3),AF5,IF(AF7-AF4=AF4-AF3,AF4,"#NA")))</f>
        <v>#VALUE!</v>
      </c>
      <c r="AH4" s="77" t="e">
        <f>VLOOKUP(AG4,STN_TABLE,2,FALSE)</f>
        <v>#VALUE!</v>
      </c>
      <c r="AI4" s="77">
        <v>4</v>
      </c>
      <c r="AJ4" s="77" t="e">
        <f>AH4*AI4</f>
        <v>#VALUE!</v>
      </c>
      <c r="AK4" s="77" t="e">
        <f>AG4</f>
        <v>#VALUE!</v>
      </c>
      <c r="AL4" s="77" t="e">
        <f>AJ4*AK4</f>
        <v>#VALUE!</v>
      </c>
      <c r="AM4" s="78" t="s">
        <v>97</v>
      </c>
      <c r="AN4" s="78"/>
      <c r="AO4" s="78" t="s">
        <v>98</v>
      </c>
      <c r="AP4" s="78"/>
      <c r="AQ4" s="7" t="s">
        <v>99</v>
      </c>
      <c r="AR4" s="7"/>
      <c r="AS4" s="7"/>
      <c r="AT4" s="7"/>
    </row>
    <row r="5" spans="1:46" x14ac:dyDescent="0.25">
      <c r="A5">
        <v>2</v>
      </c>
      <c r="B5" s="80">
        <f t="shared" si="2"/>
        <v>0.25</v>
      </c>
      <c r="C5" s="81">
        <f t="shared" si="3"/>
        <v>0.2</v>
      </c>
      <c r="D5" s="81">
        <f t="shared" ref="D5:D28" si="4">IFERROR(VLOOKUP(CONCATENATE("A(",B5,")="),RESULT_TABLE,6,FALSE)," ")</f>
        <v>0.15833333333333333</v>
      </c>
      <c r="E5" s="77">
        <f t="shared" ref="E5:E28" si="5">IFERROR(VLOOKUP(CONCATENATE("M(",B5,")="),RESULT_TABLE,6,FALSE)," ")</f>
        <v>4.374999999999999E-2</v>
      </c>
      <c r="G5" t="s">
        <v>101</v>
      </c>
      <c r="H5" t="str">
        <f>VLOOKUP(Station_No,RISE_CALC,4,FALSE)</f>
        <v>#NA</v>
      </c>
      <c r="K5" t="str">
        <f>CONCATENATE("M(",H5,")=")</f>
        <v>M(#NA)=</v>
      </c>
      <c r="L5" t="e">
        <f>IFERROR(N19,N23)</f>
        <v>#VALUE!</v>
      </c>
      <c r="Q5" s="66" t="str">
        <f t="shared" si="0"/>
        <v>3rd_UWL</v>
      </c>
      <c r="R5" s="67" t="str">
        <f t="shared" si="0"/>
        <v>#NA</v>
      </c>
      <c r="V5" s="86" t="e">
        <f>SUM(V2:V4)</f>
        <v>#VALUE!</v>
      </c>
      <c r="X5" s="87" t="e">
        <f>SUM(X2:X4)</f>
        <v>#VALUE!</v>
      </c>
      <c r="Y5" s="84" t="str">
        <f>CONCATENATE("m'(",S3,")=")</f>
        <v>m'(#NA)=</v>
      </c>
      <c r="Z5" s="85" t="e">
        <f>(2*(Z2^2)/24*X5)+(Z4*S2*WLS)</f>
        <v>#VALUE!</v>
      </c>
      <c r="AA5" s="84" t="e">
        <f>CONCATENATE("M(",S2,")=")</f>
        <v>#VALUE!</v>
      </c>
      <c r="AB5" s="84" t="e">
        <f>IF(S2=RisePerWLS,0,VLOOKUP(S2,STN_TABLE,4,FALSE))</f>
        <v>#VALUE!</v>
      </c>
      <c r="AC5" t="str">
        <f>CONCATENATE("M(",S3,")=")</f>
        <v>M(#NA)=</v>
      </c>
      <c r="AD5" t="e">
        <f>Z5+AB5</f>
        <v>#VALUE!</v>
      </c>
      <c r="AE5" s="66" t="str">
        <f t="shared" si="1"/>
        <v>2nd_UWL</v>
      </c>
      <c r="AF5" s="67" t="str">
        <f t="shared" si="1"/>
        <v>#NA</v>
      </c>
      <c r="AG5" s="88" t="str">
        <f>AF7</f>
        <v>#NA</v>
      </c>
      <c r="AH5" s="83" t="e">
        <f>VLOOKUP(AG5,STN_TABLE,2,FALSE)</f>
        <v>#N/A</v>
      </c>
      <c r="AI5" s="83">
        <v>1</v>
      </c>
      <c r="AJ5" s="83" t="e">
        <f>AH5*AI5</f>
        <v>#N/A</v>
      </c>
      <c r="AK5" s="83" t="str">
        <f>AG5</f>
        <v>#NA</v>
      </c>
      <c r="AL5" s="83" t="e">
        <f>AJ5*AK5</f>
        <v>#N/A</v>
      </c>
      <c r="AM5" s="84" t="str">
        <f>CONCATENATE("a'(",AG5,")=")</f>
        <v>a'(#NA)=</v>
      </c>
      <c r="AN5" s="84" t="e">
        <f>2*AN3/3*AJ6</f>
        <v>#VALUE!</v>
      </c>
      <c r="AO5" s="84" t="e">
        <f>CONCATENATE("A(",AG3,")=")</f>
        <v>#VALUE!</v>
      </c>
      <c r="AP5" s="84" t="e">
        <f>IF(AG3=RisePerWLS,0,VLOOKUP(AG3,STN_TABLE,3,FALSE))</f>
        <v>#VALUE!</v>
      </c>
      <c r="AQ5" t="str">
        <f>CONCATENATE("A(",AG5,")=")</f>
        <v>A(#NA)=</v>
      </c>
      <c r="AR5" t="e">
        <f>AN5+AP5</f>
        <v>#VALUE!</v>
      </c>
    </row>
    <row r="6" spans="1:46" x14ac:dyDescent="0.25">
      <c r="A6">
        <v>3</v>
      </c>
      <c r="B6" s="80">
        <f t="shared" si="2"/>
        <v>0.5</v>
      </c>
      <c r="C6" s="81">
        <f t="shared" si="3"/>
        <v>0.2</v>
      </c>
      <c r="D6" s="81">
        <f t="shared" si="4"/>
        <v>0.3666666666666667</v>
      </c>
      <c r="E6" s="77">
        <f t="shared" si="5"/>
        <v>0.2</v>
      </c>
      <c r="G6" t="s">
        <v>102</v>
      </c>
      <c r="H6" t="str">
        <f>VLOOKUP(Station_No,RISE_CALC,5,FALSE)</f>
        <v>#NA</v>
      </c>
      <c r="K6" t="str">
        <f>CONCATENATE("A(",H6,")=")</f>
        <v>A(#NA)=</v>
      </c>
      <c r="L6" t="e">
        <f>IFERROR(P27,IFERROR(X6,AD9))</f>
        <v>#VALUE!</v>
      </c>
      <c r="Q6" s="66" t="str">
        <f t="shared" si="0"/>
        <v>4th_UWL</v>
      </c>
      <c r="R6" s="67" t="str">
        <f t="shared" si="0"/>
        <v>#NA</v>
      </c>
      <c r="U6" t="s">
        <v>103</v>
      </c>
      <c r="W6" t="str">
        <f>CONCATENATE("A(",S3,")=")</f>
        <v>A(#NA)=</v>
      </c>
      <c r="X6" t="e">
        <f>IF(OR(AD4&lt;=0,AD5&lt;=0),AD9,AD4)</f>
        <v>#VALUE!</v>
      </c>
      <c r="AE6" s="66" t="str">
        <f t="shared" si="1"/>
        <v>3rd_UWL</v>
      </c>
      <c r="AF6" s="67" t="str">
        <f t="shared" si="1"/>
        <v>#NA</v>
      </c>
      <c r="AJ6" s="89" t="e">
        <f>SUM(AJ3:AJ5)</f>
        <v>#VALUE!</v>
      </c>
      <c r="AL6" s="89" t="e">
        <f>SUM(AL3:AL5)</f>
        <v>#VALUE!</v>
      </c>
      <c r="AM6" s="84" t="str">
        <f>CONCATENATE("m'(",AG5,")=")</f>
        <v>m'(#NA)=</v>
      </c>
      <c r="AN6" s="84" t="e">
        <f>2*(AN3*WLS)/3*AL6</f>
        <v>#VALUE!</v>
      </c>
      <c r="AO6" s="84" t="e">
        <f>CONCATENATE("M(",AG3,")=")</f>
        <v>#VALUE!</v>
      </c>
      <c r="AP6" s="84" t="e">
        <f>IF(AG3=RisePerWLS,0,VLOOKUP(AG3,STN_TABLE,4,FALSE))</f>
        <v>#VALUE!</v>
      </c>
      <c r="AQ6" t="str">
        <f>CONCATENATE("M(",AG5,")=")</f>
        <v>M(#NA)=</v>
      </c>
      <c r="AR6" t="e">
        <f>AN6+AP6</f>
        <v>#VALUE!</v>
      </c>
    </row>
    <row r="7" spans="1:46" x14ac:dyDescent="0.25">
      <c r="A7">
        <v>4</v>
      </c>
      <c r="B7" s="80">
        <f t="shared" si="2"/>
        <v>0.75</v>
      </c>
      <c r="C7" s="81">
        <f t="shared" si="3"/>
        <v>0.21</v>
      </c>
      <c r="D7" s="81">
        <f t="shared" si="4"/>
        <v>0.56166666666666665</v>
      </c>
      <c r="E7" s="77">
        <f t="shared" si="5"/>
        <v>0.44875000000000004</v>
      </c>
      <c r="G7" t="s">
        <v>104</v>
      </c>
      <c r="H7" t="str">
        <f>VLOOKUP(Station_No,RISE_CALC,6,FALSE)</f>
        <v>#NA</v>
      </c>
      <c r="K7" t="str">
        <f>CONCATENATE("M(",H6,")=")</f>
        <v>M(#NA)=</v>
      </c>
      <c r="L7" t="e">
        <f>IFERROR(P28,IFERROR(X7,AD10))</f>
        <v>#VALUE!</v>
      </c>
      <c r="Q7" s="66"/>
      <c r="R7" s="67"/>
      <c r="W7" t="str">
        <f>CONCATENATE("M(",S3,")=")</f>
        <v>M(#NA)=</v>
      </c>
      <c r="X7" t="e">
        <f>IF(OR(AD4&lt;=0,AD5&lt;=0),AD10,AD5)</f>
        <v>#VALUE!</v>
      </c>
      <c r="Y7" s="6" t="s">
        <v>93</v>
      </c>
      <c r="Z7" s="70" t="e">
        <f>WLS*(U9-U8)</f>
        <v>#VALUE!</v>
      </c>
      <c r="AE7" s="66" t="str">
        <f t="shared" si="1"/>
        <v>4th_UWL</v>
      </c>
      <c r="AF7" s="67" t="str">
        <f t="shared" si="1"/>
        <v>#NA</v>
      </c>
      <c r="AH7" s="81"/>
    </row>
    <row r="8" spans="1:46" x14ac:dyDescent="0.25">
      <c r="A8">
        <v>5</v>
      </c>
      <c r="B8" s="80">
        <f t="shared" si="2"/>
        <v>1</v>
      </c>
      <c r="C8" s="81">
        <f t="shared" si="3"/>
        <v>0.25</v>
      </c>
      <c r="D8" s="81">
        <f t="shared" si="4"/>
        <v>0.79666666666666663</v>
      </c>
      <c r="E8" s="77">
        <f t="shared" si="5"/>
        <v>0.85333333333333328</v>
      </c>
      <c r="G8" t="s">
        <v>105</v>
      </c>
      <c r="H8" t="str">
        <f>VLOOKUP(Station_No,RISE_CALC,7,FALSE)</f>
        <v>#NA</v>
      </c>
      <c r="K8" t="str">
        <f>CONCATENATE("A(",H7,")=")</f>
        <v>A(#NA)=</v>
      </c>
      <c r="L8" t="e">
        <f>IFERROR(AD15,IFERROR(X24,AD27))</f>
        <v>#VALUE!</v>
      </c>
      <c r="Q8" s="80"/>
      <c r="R8" s="81"/>
      <c r="U8" s="79" t="str">
        <f>R3</f>
        <v>#NA</v>
      </c>
      <c r="V8" s="68" t="e">
        <f>VLOOKUP(U8,STN_TABLE,2,FALSE)</f>
        <v>#N/A</v>
      </c>
      <c r="W8" s="68">
        <v>1</v>
      </c>
      <c r="X8" s="69" t="e">
        <f>V8*W8</f>
        <v>#N/A</v>
      </c>
      <c r="Y8" s="78" t="s">
        <v>97</v>
      </c>
      <c r="Z8" s="78"/>
      <c r="AA8" s="78" t="s">
        <v>98</v>
      </c>
      <c r="AB8" s="78"/>
      <c r="AC8" s="7" t="s">
        <v>99</v>
      </c>
      <c r="AD8" s="7"/>
      <c r="AE8" s="66"/>
      <c r="AF8" s="67"/>
      <c r="AG8" s="68" t="e">
        <f>IF(OR(AF12-AF11=AF11-AF10,AF13-AF11=AF11-AF10),AF10,IF(OR(AF12-AF11=AF11-AF9,AF13-AF11=AF11-AF9),AF9,"-"))</f>
        <v>#VALUE!</v>
      </c>
      <c r="AH8" s="69" t="e">
        <f>IFERROR(VLOOKUP(AG8,STN_TABLE,2,FALSE),IF(AF8=RisePerWLS,0,"-"))</f>
        <v>#VALUE!</v>
      </c>
      <c r="AI8" s="69">
        <v>5</v>
      </c>
      <c r="AJ8" s="69" t="e">
        <f>AH8*AI8</f>
        <v>#VALUE!</v>
      </c>
      <c r="AK8" s="69">
        <v>3</v>
      </c>
      <c r="AL8" s="69" t="e">
        <f>AH8*AK8</f>
        <v>#VALUE!</v>
      </c>
      <c r="AM8" s="6" t="s">
        <v>93</v>
      </c>
      <c r="AN8" s="70" t="e">
        <f>IF(AND(AG10-AG9=AG9-AG8,NOT(AND(AG8=0,AG9=0)),NOT(AND(AG9=0,AG10=0))),WLS*(AG10-AG9),"#NA")</f>
        <v>#VALUE!</v>
      </c>
    </row>
    <row r="9" spans="1:46" x14ac:dyDescent="0.25">
      <c r="A9">
        <v>6</v>
      </c>
      <c r="B9" s="80">
        <f t="shared" si="2"/>
        <v>2</v>
      </c>
      <c r="C9" s="81">
        <f t="shared" si="3"/>
        <v>0.33</v>
      </c>
      <c r="D9" s="81">
        <f t="shared" si="4"/>
        <v>1.8733333333333333</v>
      </c>
      <c r="E9" s="77">
        <f t="shared" si="5"/>
        <v>4.1366666666666667</v>
      </c>
      <c r="G9" t="s">
        <v>106</v>
      </c>
      <c r="H9" t="str">
        <f>VLOOKUP(Station_No,RISE_CALC,8,FALSE)</f>
        <v>#NA</v>
      </c>
      <c r="K9" t="str">
        <f>CONCATENATE("M(",H7,")=")</f>
        <v>M(#NA)=</v>
      </c>
      <c r="L9" t="e">
        <f>IFERROR(AD16,IFERROR(X25,AD28))</f>
        <v>#VALUE!</v>
      </c>
      <c r="Q9" s="80"/>
      <c r="R9" s="81"/>
      <c r="U9" s="88" t="str">
        <f>R4</f>
        <v>#NA</v>
      </c>
      <c r="V9" s="82" t="e">
        <f>VLOOKUP(U9,STN_TABLE,2,FALSE)</f>
        <v>#N/A</v>
      </c>
      <c r="W9" s="82">
        <v>2</v>
      </c>
      <c r="X9" s="83" t="e">
        <f>V9*W9</f>
        <v>#N/A</v>
      </c>
      <c r="Y9" s="84" t="str">
        <f>CONCATENATE("a'(",U9,")=")</f>
        <v>a'(#NA)=</v>
      </c>
      <c r="Z9" s="84" t="e">
        <f>2*Z7/2*V10</f>
        <v>#VALUE!</v>
      </c>
      <c r="AA9" s="84" t="str">
        <f>CONCATENATE("A(",U8,")=")</f>
        <v>A(#NA)=</v>
      </c>
      <c r="AB9" s="84" t="e">
        <f>IF(U8=RisePerWLS,0,VLOOKUP(U8,STN_TABLE,3,FALSE))</f>
        <v>#VALUE!</v>
      </c>
      <c r="AC9" t="str">
        <f>CONCATENATE("A(",U9,")=")</f>
        <v>A(#NA)=</v>
      </c>
      <c r="AD9" t="e">
        <f>Z9+AB9</f>
        <v>#VALUE!</v>
      </c>
      <c r="AE9" s="66" t="str">
        <f t="shared" ref="AE9:AF13" si="6">G6</f>
        <v>2nd_UWL</v>
      </c>
      <c r="AF9" s="67" t="str">
        <f t="shared" si="6"/>
        <v>#NA</v>
      </c>
      <c r="AG9" s="76" t="str">
        <f>AF11</f>
        <v>#NA</v>
      </c>
      <c r="AH9" s="77" t="e">
        <f>VLOOKUP(AG9,STN_TABLE,2,FALSE)</f>
        <v>#N/A</v>
      </c>
      <c r="AI9" s="77">
        <v>8</v>
      </c>
      <c r="AJ9" s="77" t="e">
        <f>AH9*AI9</f>
        <v>#N/A</v>
      </c>
      <c r="AK9" s="77">
        <v>10</v>
      </c>
      <c r="AL9" s="77" t="e">
        <f>AH9*AK9</f>
        <v>#N/A</v>
      </c>
      <c r="AM9" s="78" t="s">
        <v>97</v>
      </c>
      <c r="AN9" s="78"/>
      <c r="AO9" s="78" t="s">
        <v>98</v>
      </c>
      <c r="AP9" s="78"/>
      <c r="AQ9" s="7" t="s">
        <v>99</v>
      </c>
      <c r="AR9" s="7"/>
      <c r="AS9" s="7"/>
      <c r="AT9" s="7"/>
    </row>
    <row r="10" spans="1:46" x14ac:dyDescent="0.25">
      <c r="A10">
        <v>7</v>
      </c>
      <c r="B10" s="80">
        <f t="shared" si="2"/>
        <v>3</v>
      </c>
      <c r="C10" s="81">
        <f t="shared" si="3"/>
        <v>0.66</v>
      </c>
      <c r="D10" s="81">
        <f t="shared" si="4"/>
        <v>3.7699999999999996</v>
      </c>
      <c r="E10" s="77">
        <f t="shared" si="5"/>
        <v>13.84</v>
      </c>
      <c r="G10" t="s">
        <v>107</v>
      </c>
      <c r="H10" t="str">
        <f>VLOOKUP(Station_No,RISE_CALC,9,FALSE)</f>
        <v>#NA</v>
      </c>
      <c r="K10" t="str">
        <f>CONCATENATE("A(",H8,")=")</f>
        <v>A(#NA)=</v>
      </c>
      <c r="L10" t="e">
        <f>IFERROR(AR5,IFERROR(AL12,AR15))</f>
        <v>#VALUE!</v>
      </c>
      <c r="Q10" s="80"/>
      <c r="R10" s="81"/>
      <c r="V10" s="89" t="e">
        <f>SUM(V8:V9)</f>
        <v>#N/A</v>
      </c>
      <c r="X10" s="89" t="e">
        <f>SUM(X8:X9)</f>
        <v>#N/A</v>
      </c>
      <c r="Y10" s="84" t="str">
        <f>CONCATENATE("m'(",U9,")=")</f>
        <v>m'(#NA)=</v>
      </c>
      <c r="Z10" s="84" t="e">
        <f>(2*(Z7^2)/6*X10)+(Z9*U8*WLS)</f>
        <v>#VALUE!</v>
      </c>
      <c r="AA10" s="84" t="str">
        <f>CONCATENATE("M(",U8,")=")</f>
        <v>M(#NA)=</v>
      </c>
      <c r="AB10" s="84" t="e">
        <f>IF(U8=RisePerWLS,0,VLOOKUP(U8,STN_TABLE,4,FALSE))</f>
        <v>#VALUE!</v>
      </c>
      <c r="AC10" t="str">
        <f>CONCATENATE("M(",U9,")=")</f>
        <v>M(#NA)=</v>
      </c>
      <c r="AD10" t="e">
        <f>Z10+AB10</f>
        <v>#VALUE!</v>
      </c>
      <c r="AE10" s="66" t="str">
        <f t="shared" si="6"/>
        <v>3rd_UWL</v>
      </c>
      <c r="AF10" s="67" t="str">
        <f t="shared" si="6"/>
        <v>#NA</v>
      </c>
      <c r="AG10" s="82" t="e">
        <f>IF(AG8-AG9=AG9-AF12,AF12,IF(AG8-AG9=AG9-AF13,AF13,"-"))</f>
        <v>#VALUE!</v>
      </c>
      <c r="AH10" s="83" t="e">
        <f>VLOOKUP(AG10,STN_TABLE,2,FALSE)</f>
        <v>#VALUE!</v>
      </c>
      <c r="AI10" s="83">
        <v>-1</v>
      </c>
      <c r="AJ10" s="83" t="e">
        <f>AH10*AI10</f>
        <v>#VALUE!</v>
      </c>
      <c r="AK10" s="83">
        <v>-1</v>
      </c>
      <c r="AL10" s="83" t="e">
        <f>AH10*AK10</f>
        <v>#VALUE!</v>
      </c>
      <c r="AM10" s="84" t="str">
        <f>CONCATENATE("a'(",AG9,")=")</f>
        <v>a'(#NA)=</v>
      </c>
      <c r="AN10" s="84" t="e">
        <f>2*AN8/12*AJ11</f>
        <v>#VALUE!</v>
      </c>
      <c r="AO10" s="84" t="e">
        <f>CONCATENATE("A(",AG8,")=")</f>
        <v>#VALUE!</v>
      </c>
      <c r="AP10" s="84" t="e">
        <f>VLOOKUP(AG8,STN_TABLE,3,FALSE)</f>
        <v>#VALUE!</v>
      </c>
      <c r="AQ10" t="str">
        <f>CONCATENATE("A(",AG9,")=")</f>
        <v>A(#NA)=</v>
      </c>
      <c r="AR10" t="e">
        <f>AN10+AP10</f>
        <v>#VALUE!</v>
      </c>
    </row>
    <row r="11" spans="1:46" x14ac:dyDescent="0.25">
      <c r="A11">
        <v>8</v>
      </c>
      <c r="B11" s="80">
        <f t="shared" si="2"/>
        <v>4</v>
      </c>
      <c r="C11" s="81">
        <f t="shared" si="3"/>
        <v>2.4300000000000002</v>
      </c>
      <c r="D11" s="81">
        <f t="shared" si="4"/>
        <v>9.0733333333333341</v>
      </c>
      <c r="E11" s="77">
        <f t="shared" si="5"/>
        <v>52.936666666666667</v>
      </c>
      <c r="G11" t="s">
        <v>108</v>
      </c>
      <c r="H11" t="str">
        <f>VLOOKUP(Station_No,RISE_CALC,10,FALSE)</f>
        <v>#NA</v>
      </c>
      <c r="K11" t="str">
        <f>CONCATENATE("M(",H8,")=")</f>
        <v>M(#NA)=</v>
      </c>
      <c r="L11" t="e">
        <f>IFERROR(AR6,IFERROR(AL13,AR16))</f>
        <v>#VALUE!</v>
      </c>
      <c r="Q11" s="80"/>
      <c r="R11" s="81"/>
      <c r="AE11" s="66" t="str">
        <f t="shared" si="6"/>
        <v>4th_UWL</v>
      </c>
      <c r="AF11" s="67" t="str">
        <f t="shared" si="6"/>
        <v>#NA</v>
      </c>
      <c r="AJ11" s="89" t="e">
        <f>SUM(AJ8:AJ10)</f>
        <v>#VALUE!</v>
      </c>
      <c r="AL11" s="89" t="e">
        <f>SUM(AL8:AL10)</f>
        <v>#VALUE!</v>
      </c>
      <c r="AM11" s="84" t="str">
        <f>CONCATENATE("m'(",AG9,")=")</f>
        <v>m'(#NA)=</v>
      </c>
      <c r="AN11" s="84" t="e">
        <f>(2*(AN8^2)/24*AL11)+(AN10*AG8*WLS)</f>
        <v>#VALUE!</v>
      </c>
      <c r="AO11" s="84" t="e">
        <f>CONCATENATE("M(",AG8,")=")</f>
        <v>#VALUE!</v>
      </c>
      <c r="AP11" s="84" t="e">
        <f>VLOOKUP(AG8,STN_TABLE,4,FALSE)</f>
        <v>#VALUE!</v>
      </c>
      <c r="AQ11" t="str">
        <f>CONCATENATE("M(",AG9,")=")</f>
        <v>M(#NA)=</v>
      </c>
      <c r="AR11" t="e">
        <f>AN11+AP11</f>
        <v>#VALUE!</v>
      </c>
    </row>
    <row r="12" spans="1:46" x14ac:dyDescent="0.25">
      <c r="A12">
        <v>9</v>
      </c>
      <c r="B12" s="80">
        <f t="shared" si="2"/>
        <v>4.8499999999999996</v>
      </c>
      <c r="C12" s="81">
        <f t="shared" si="3"/>
        <v>4.18</v>
      </c>
      <c r="D12" s="81">
        <f t="shared" si="4"/>
        <v>20.310333333333329</v>
      </c>
      <c r="E12" s="77">
        <f t="shared" si="5"/>
        <v>153.22703333333328</v>
      </c>
      <c r="Q12" s="90" t="s">
        <v>109</v>
      </c>
      <c r="R12" s="81"/>
      <c r="AE12" s="66" t="str">
        <f t="shared" si="6"/>
        <v>5th_UWL</v>
      </c>
      <c r="AF12" s="67" t="str">
        <f t="shared" si="6"/>
        <v>#NA</v>
      </c>
      <c r="AI12" t="s">
        <v>103</v>
      </c>
      <c r="AK12" t="str">
        <f>CONCATENATE("A(",AG9,")=")</f>
        <v>A(#NA)=</v>
      </c>
      <c r="AL12" t="e">
        <f>IF(OR(AR10&lt;=0,AR11&lt;=0),AR15,AR10)</f>
        <v>#VALUE!</v>
      </c>
    </row>
    <row r="13" spans="1:46" x14ac:dyDescent="0.25">
      <c r="A13">
        <v>10</v>
      </c>
      <c r="B13" s="80">
        <f t="shared" si="2"/>
        <v>5</v>
      </c>
      <c r="C13" s="81">
        <f t="shared" si="3"/>
        <v>4.3899999999999997</v>
      </c>
      <c r="D13" s="81">
        <f t="shared" si="4"/>
        <v>23.463333333333331</v>
      </c>
      <c r="E13" s="77">
        <f t="shared" si="5"/>
        <v>181.33333333333334</v>
      </c>
      <c r="G13" s="71" t="s">
        <v>110</v>
      </c>
      <c r="Q13" s="66" t="str">
        <f t="shared" ref="Q13:R16" si="7">G4</f>
        <v>Rise</v>
      </c>
      <c r="R13" s="67" t="e">
        <f t="shared" si="7"/>
        <v>#VALUE!</v>
      </c>
      <c r="S13" s="68" t="e">
        <f>IF(R16-R15=R15-R14,R14,IF(R16-R14=R14-R13,R13,"-"))</f>
        <v>#VALUE!</v>
      </c>
      <c r="T13" s="69" t="e">
        <f>IFERROR(VLOOKUP(S13,STN_TABLE,2,FALSE),IF(R13=RisePerWLS,0,"-"))</f>
        <v>#VALUE!</v>
      </c>
      <c r="U13" s="69">
        <v>1</v>
      </c>
      <c r="V13" s="69" t="e">
        <f>T13*U13</f>
        <v>#VALUE!</v>
      </c>
      <c r="W13" s="69" t="e">
        <f>S13</f>
        <v>#VALUE!</v>
      </c>
      <c r="X13" s="69" t="e">
        <f>V13*W13</f>
        <v>#VALUE!</v>
      </c>
      <c r="Y13" s="6" t="s">
        <v>93</v>
      </c>
      <c r="Z13" s="70" t="e">
        <f>IF(AND(T13=0,T14=0,T15=0),WLS*(S15-S14),IF(AND(S15-S14=S14-S13,S14&lt;&gt;S15,S13&lt;&gt;S14,S13&lt;&gt;S15,T15&lt;&gt;0,OR(T13&lt;&gt;0,T14&lt;&gt;0)),WLS*(S15-S14),"#NA"))</f>
        <v>#VALUE!</v>
      </c>
      <c r="AE13" s="66" t="str">
        <f t="shared" si="6"/>
        <v>6th_UWL</v>
      </c>
      <c r="AF13" s="67" t="str">
        <f t="shared" si="6"/>
        <v>#NA</v>
      </c>
      <c r="AK13" t="str">
        <f>CONCATENATE("M(",AG9,")=")</f>
        <v>M(#NA)=</v>
      </c>
      <c r="AL13" t="e">
        <f>IF(OR(AR10&lt;=0,AR11&lt;=0),AR16,AR11)</f>
        <v>#VALUE!</v>
      </c>
      <c r="AM13" s="6" t="s">
        <v>93</v>
      </c>
      <c r="AN13" s="70" t="e">
        <f>WLS*(AI15-AI14)</f>
        <v>#VALUE!</v>
      </c>
    </row>
    <row r="14" spans="1:46" x14ac:dyDescent="0.25">
      <c r="A14">
        <v>11</v>
      </c>
      <c r="B14" s="80">
        <f t="shared" si="2"/>
        <v>6</v>
      </c>
      <c r="C14" s="81">
        <f t="shared" si="3"/>
        <v>5.43</v>
      </c>
      <c r="D14" s="81">
        <f t="shared" si="4"/>
        <v>42.966666666666669</v>
      </c>
      <c r="E14" s="77">
        <f t="shared" si="5"/>
        <v>399.86999999999995</v>
      </c>
      <c r="G14" s="91" t="str">
        <f>G4</f>
        <v>Rise</v>
      </c>
      <c r="H14" s="91" t="e">
        <f>RisePerWLS</f>
        <v>#VALUE!</v>
      </c>
      <c r="I14" s="68" t="e">
        <f>H14</f>
        <v>#VALUE!</v>
      </c>
      <c r="J14" s="69">
        <v>0</v>
      </c>
      <c r="K14" s="69">
        <v>5</v>
      </c>
      <c r="L14" s="69">
        <f>J14*K14</f>
        <v>0</v>
      </c>
      <c r="M14" s="69">
        <v>3</v>
      </c>
      <c r="N14" s="69">
        <f>J14*M14</f>
        <v>0</v>
      </c>
      <c r="O14" t="s">
        <v>93</v>
      </c>
      <c r="P14" t="e">
        <f>IF(AND(NOT(AND(J14=0,J15=0)),I14&lt;&gt;I15,I15&lt;&gt;I16,I16-I15=I15-I14),(I16-I15)*WLS,"#NA")</f>
        <v>#N/A</v>
      </c>
      <c r="Q14" s="66" t="str">
        <f t="shared" si="7"/>
        <v>1st_UWL</v>
      </c>
      <c r="R14" s="67" t="str">
        <f t="shared" si="7"/>
        <v>#NA</v>
      </c>
      <c r="S14" s="76" t="e">
        <f>IF(R16-R15=R15-R14,R15,IF(R16-R14=R14-R13,R14,"-"))</f>
        <v>#VALUE!</v>
      </c>
      <c r="T14" s="77" t="e">
        <f>VLOOKUP(S14,STN_TABLE,2,FALSE)</f>
        <v>#VALUE!</v>
      </c>
      <c r="U14" s="77">
        <v>4</v>
      </c>
      <c r="V14" s="77" t="e">
        <f>T14*U14</f>
        <v>#VALUE!</v>
      </c>
      <c r="W14" s="77" t="e">
        <f>S14</f>
        <v>#VALUE!</v>
      </c>
      <c r="X14" s="77" t="e">
        <f>V14*W14</f>
        <v>#VALUE!</v>
      </c>
      <c r="Y14" s="78" t="s">
        <v>97</v>
      </c>
      <c r="Z14" s="78"/>
      <c r="AA14" s="78" t="s">
        <v>98</v>
      </c>
      <c r="AB14" s="78"/>
      <c r="AC14" s="7" t="s">
        <v>99</v>
      </c>
      <c r="AD14" s="7"/>
      <c r="AE14" s="66"/>
      <c r="AF14" s="67"/>
      <c r="AI14" s="79" t="str">
        <f>AF10</f>
        <v>#NA</v>
      </c>
      <c r="AJ14" s="68" t="e">
        <f>VLOOKUP(AI14,STN_TABLE,2,FALSE)</f>
        <v>#N/A</v>
      </c>
      <c r="AK14" s="68">
        <v>1</v>
      </c>
      <c r="AL14" s="69" t="e">
        <f>AJ14*AK14</f>
        <v>#N/A</v>
      </c>
      <c r="AM14" s="78" t="s">
        <v>97</v>
      </c>
      <c r="AN14" s="78"/>
      <c r="AO14" s="78" t="s">
        <v>98</v>
      </c>
      <c r="AP14" s="78"/>
      <c r="AQ14" s="7" t="s">
        <v>99</v>
      </c>
      <c r="AR14" s="7"/>
      <c r="AS14" s="7"/>
      <c r="AT14" s="7"/>
    </row>
    <row r="15" spans="1:46" x14ac:dyDescent="0.25">
      <c r="A15">
        <v>12</v>
      </c>
      <c r="B15" s="80">
        <f t="shared" si="2"/>
        <v>6.5</v>
      </c>
      <c r="C15" s="81">
        <f t="shared" si="3"/>
        <v>5.85</v>
      </c>
      <c r="D15" s="81">
        <f t="shared" si="4"/>
        <v>54.24666666666667</v>
      </c>
      <c r="E15" s="77">
        <f t="shared" si="5"/>
        <v>540.93999999999994</v>
      </c>
      <c r="G15" s="91" t="str">
        <f>G5</f>
        <v>1st_UWL</v>
      </c>
      <c r="H15" s="91" t="str">
        <f>H5</f>
        <v>#NA</v>
      </c>
      <c r="I15" s="76" t="str">
        <f>H15</f>
        <v>#NA</v>
      </c>
      <c r="J15" s="77" t="e">
        <f>VLOOKUP(I15,STN_TABLE,2,FALSE)</f>
        <v>#N/A</v>
      </c>
      <c r="K15" s="77">
        <v>8</v>
      </c>
      <c r="L15" s="77" t="e">
        <f>J15*K15</f>
        <v>#N/A</v>
      </c>
      <c r="M15" s="77">
        <v>10</v>
      </c>
      <c r="N15" s="77" t="e">
        <f>J15*M15</f>
        <v>#N/A</v>
      </c>
      <c r="O15" t="str">
        <f>CONCATENATE("A(",I15,")=")</f>
        <v>A(#NA)=</v>
      </c>
      <c r="P15" t="e">
        <f>2*P14/12*L17</f>
        <v>#N/A</v>
      </c>
      <c r="Q15" s="66" t="str">
        <f t="shared" si="7"/>
        <v>2nd_UWL</v>
      </c>
      <c r="R15" s="67" t="str">
        <f t="shared" si="7"/>
        <v>#NA</v>
      </c>
      <c r="S15" s="82" t="str">
        <f>R16</f>
        <v>#NA</v>
      </c>
      <c r="T15" s="83" t="e">
        <f>VLOOKUP(S15,STN_TABLE,2,FALSE)</f>
        <v>#N/A</v>
      </c>
      <c r="U15" s="83">
        <v>1</v>
      </c>
      <c r="V15" s="83" t="e">
        <f>T15*U15</f>
        <v>#N/A</v>
      </c>
      <c r="W15" s="83" t="str">
        <f>S15</f>
        <v>#NA</v>
      </c>
      <c r="X15" s="83" t="e">
        <f>V15*W15</f>
        <v>#N/A</v>
      </c>
      <c r="Y15" s="84" t="str">
        <f>CONCATENATE("a'(",S15,")=")</f>
        <v>a'(#NA)=</v>
      </c>
      <c r="Z15" s="84" t="e">
        <f>2*Z13/3*V16</f>
        <v>#VALUE!</v>
      </c>
      <c r="AA15" s="84" t="e">
        <f>CONCATENATE("A(",S13,")=")</f>
        <v>#VALUE!</v>
      </c>
      <c r="AB15" s="84" t="e">
        <f>IF(S13=RisePerWLS,0,VLOOKUP(S13,STN_TABLE,3,FALSE))</f>
        <v>#VALUE!</v>
      </c>
      <c r="AC15" t="str">
        <f>CONCATENATE("A(",S15,")=")</f>
        <v>A(#NA)=</v>
      </c>
      <c r="AD15" t="e">
        <f>Z15+AB15</f>
        <v>#VALUE!</v>
      </c>
      <c r="AE15" s="80"/>
      <c r="AI15" s="88" t="str">
        <f>AF11</f>
        <v>#NA</v>
      </c>
      <c r="AJ15" s="82" t="e">
        <f>VLOOKUP(AI15,STN_TABLE,2,FALSE)</f>
        <v>#N/A</v>
      </c>
      <c r="AK15" s="82">
        <v>2</v>
      </c>
      <c r="AL15" s="83" t="e">
        <f>AJ15*AK15</f>
        <v>#N/A</v>
      </c>
      <c r="AM15" s="84" t="str">
        <f>CONCATENATE("a'(",AI15,")=")</f>
        <v>a'(#NA)=</v>
      </c>
      <c r="AN15" s="84" t="e">
        <f>2*AN13/2*AJ16</f>
        <v>#VALUE!</v>
      </c>
      <c r="AO15" s="84" t="str">
        <f>CONCATENATE("A(",AI14,")=")</f>
        <v>A(#NA)=</v>
      </c>
      <c r="AP15" s="84" t="e">
        <f>IF(AI14=RisePerWLS,0,VLOOKUP(AI14,STN_TABLE,3,FALSE))</f>
        <v>#VALUE!</v>
      </c>
      <c r="AQ15" t="str">
        <f>CONCATENATE("A(",AI15,")=")</f>
        <v>A(#NA)=</v>
      </c>
      <c r="AR15" t="e">
        <f>AN15+AP15</f>
        <v>#VALUE!</v>
      </c>
    </row>
    <row r="16" spans="1:46" x14ac:dyDescent="0.25">
      <c r="A16">
        <v>13</v>
      </c>
      <c r="B16" s="80" t="str">
        <f t="shared" si="2"/>
        <v xml:space="preserve">  </v>
      </c>
      <c r="C16" s="81" t="str">
        <f t="shared" si="3"/>
        <v xml:space="preserve">  </v>
      </c>
      <c r="D16" s="81" t="str">
        <f t="shared" si="4"/>
        <v xml:space="preserve"> </v>
      </c>
      <c r="E16" s="77" t="str">
        <f t="shared" si="5"/>
        <v xml:space="preserve"> </v>
      </c>
      <c r="G16" s="91" t="str">
        <f>G6</f>
        <v>2nd_UWL</v>
      </c>
      <c r="H16" s="91" t="str">
        <f>H6</f>
        <v>#NA</v>
      </c>
      <c r="I16" s="82" t="e">
        <f>IF(H16-H15=H15-H14,H16,"#NA")</f>
        <v>#VALUE!</v>
      </c>
      <c r="J16" s="83" t="e">
        <f>VLOOKUP(I16,STN_TABLE,2,FALSE)</f>
        <v>#VALUE!</v>
      </c>
      <c r="K16" s="83">
        <v>-1</v>
      </c>
      <c r="L16" s="83" t="e">
        <f>J16*K16</f>
        <v>#VALUE!</v>
      </c>
      <c r="M16" s="83">
        <v>-1</v>
      </c>
      <c r="N16" s="83" t="e">
        <f>J16*M16</f>
        <v>#VALUE!</v>
      </c>
      <c r="O16" t="str">
        <f>CONCATENATE("M(",I15,")=")</f>
        <v>M(#NA)=</v>
      </c>
      <c r="P16" t="e">
        <f>(2*(P14^2)/24*N17)+P15*I14*WLS</f>
        <v>#N/A</v>
      </c>
      <c r="Q16" s="66" t="str">
        <f t="shared" si="7"/>
        <v>3rd_UWL</v>
      </c>
      <c r="R16" s="67" t="str">
        <f t="shared" si="7"/>
        <v>#NA</v>
      </c>
      <c r="V16" s="89" t="e">
        <f>SUM(V13:V15)</f>
        <v>#VALUE!</v>
      </c>
      <c r="X16" s="89" t="e">
        <f>SUM(X13:X15)</f>
        <v>#VALUE!</v>
      </c>
      <c r="Y16" s="84" t="str">
        <f>CONCATENATE("m'(",S15,")=")</f>
        <v>m'(#NA)=</v>
      </c>
      <c r="Z16" s="84" t="e">
        <f>2*(Z13*WLS)/3*X16</f>
        <v>#VALUE!</v>
      </c>
      <c r="AA16" s="84" t="e">
        <f>CONCATENATE("M(",S13,")=")</f>
        <v>#VALUE!</v>
      </c>
      <c r="AB16" s="84" t="e">
        <f>IF(S13=RisePerWLS,0,VLOOKUP(S13,STN_TABLE,4,FALSE))</f>
        <v>#VALUE!</v>
      </c>
      <c r="AC16" t="str">
        <f>CONCATENATE("M(",S15,")=")</f>
        <v>M(#NA)=</v>
      </c>
      <c r="AD16" t="e">
        <f>Z16+AB16</f>
        <v>#VALUE!</v>
      </c>
      <c r="AE16" s="80"/>
      <c r="AJ16" s="89" t="e">
        <f>SUM(AJ14:AJ15)</f>
        <v>#N/A</v>
      </c>
      <c r="AL16" s="89" t="e">
        <f>SUM(AL14:AL15)</f>
        <v>#N/A</v>
      </c>
      <c r="AM16" s="84" t="str">
        <f>CONCATENATE("m'(",AI15,")=")</f>
        <v>m'(#NA)=</v>
      </c>
      <c r="AN16" s="84" t="e">
        <f>(2*(AN13^2)/6*AL16)+(AN15*AI14*WLS)</f>
        <v>#VALUE!</v>
      </c>
      <c r="AO16" s="84" t="str">
        <f>CONCATENATE("M(",AI14,")=")</f>
        <v>M(#NA)=</v>
      </c>
      <c r="AP16" s="84" t="e">
        <f>IF(AI14=RisePerWLS,0,VLOOKUP(AI14,STN_TABLE,4,FALSE))</f>
        <v>#VALUE!</v>
      </c>
      <c r="AQ16" t="str">
        <f>CONCATENATE("M(",AI15,")=")</f>
        <v>M(#NA)=</v>
      </c>
      <c r="AR16" t="e">
        <f>AN16+AP16</f>
        <v>#VALUE!</v>
      </c>
    </row>
    <row r="17" spans="1:35" x14ac:dyDescent="0.25">
      <c r="A17">
        <v>14</v>
      </c>
      <c r="B17" s="80" t="str">
        <f t="shared" si="2"/>
        <v xml:space="preserve">  </v>
      </c>
      <c r="C17" s="81" t="str">
        <f t="shared" si="3"/>
        <v xml:space="preserve">  </v>
      </c>
      <c r="D17" s="81" t="str">
        <f t="shared" si="4"/>
        <v xml:space="preserve"> </v>
      </c>
      <c r="E17" s="77" t="str">
        <f t="shared" si="5"/>
        <v xml:space="preserve"> </v>
      </c>
      <c r="G17" s="91"/>
      <c r="H17" s="91"/>
      <c r="L17" s="89" t="e">
        <f>SUM(L14:L16)</f>
        <v>#N/A</v>
      </c>
      <c r="N17" s="89" t="e">
        <f>SUM(N14:N16)</f>
        <v>#N/A</v>
      </c>
      <c r="Q17" s="66"/>
      <c r="R17" s="67"/>
      <c r="AE17" s="90"/>
    </row>
    <row r="18" spans="1:35" x14ac:dyDescent="0.25">
      <c r="A18">
        <v>15</v>
      </c>
      <c r="B18" s="80" t="str">
        <f t="shared" si="2"/>
        <v xml:space="preserve">  </v>
      </c>
      <c r="C18" s="81" t="str">
        <f t="shared" si="3"/>
        <v xml:space="preserve">  </v>
      </c>
      <c r="D18" s="81" t="str">
        <f t="shared" si="4"/>
        <v xml:space="preserve"> </v>
      </c>
      <c r="E18" s="77" t="str">
        <f t="shared" si="5"/>
        <v xml:space="preserve"> </v>
      </c>
      <c r="G18" s="91"/>
      <c r="H18" s="91"/>
      <c r="K18" t="s">
        <v>103</v>
      </c>
      <c r="M18" t="str">
        <f>CONCATENATE("A(",I15,")=")</f>
        <v>A(#NA)=</v>
      </c>
      <c r="N18" t="e">
        <f>IF(OR(P15&lt;=0,P16&lt;=0),N22,P15)</f>
        <v>#N/A</v>
      </c>
      <c r="Q18" s="66"/>
      <c r="R18" s="67"/>
      <c r="AE18" s="80"/>
    </row>
    <row r="19" spans="1:35" x14ac:dyDescent="0.25">
      <c r="A19">
        <v>16</v>
      </c>
      <c r="B19" s="80" t="str">
        <f t="shared" si="2"/>
        <v xml:space="preserve">  </v>
      </c>
      <c r="C19" s="81" t="str">
        <f t="shared" si="3"/>
        <v xml:space="preserve">  </v>
      </c>
      <c r="D19" s="81" t="str">
        <f t="shared" si="4"/>
        <v xml:space="preserve"> </v>
      </c>
      <c r="E19" s="77" t="str">
        <f t="shared" si="5"/>
        <v xml:space="preserve"> </v>
      </c>
      <c r="G19" s="91"/>
      <c r="H19" s="91"/>
      <c r="M19" t="str">
        <f>CONCATENATE("M(",I15,")=")</f>
        <v>M(#NA)=</v>
      </c>
      <c r="N19" t="e">
        <f>IF(OR(P15&lt;=0,P16&lt;=0),N23,P16)</f>
        <v>#N/A</v>
      </c>
      <c r="Q19" s="66"/>
      <c r="R19" s="67"/>
      <c r="AE19" s="80"/>
    </row>
    <row r="20" spans="1:35" x14ac:dyDescent="0.25">
      <c r="A20">
        <v>17</v>
      </c>
      <c r="B20" s="80" t="str">
        <f t="shared" si="2"/>
        <v xml:space="preserve">  </v>
      </c>
      <c r="C20" s="81" t="str">
        <f t="shared" si="3"/>
        <v xml:space="preserve">  </v>
      </c>
      <c r="D20" s="81" t="str">
        <f t="shared" si="4"/>
        <v xml:space="preserve"> </v>
      </c>
      <c r="E20" s="77" t="str">
        <f t="shared" si="5"/>
        <v xml:space="preserve"> </v>
      </c>
      <c r="G20" s="91"/>
      <c r="H20" s="91"/>
      <c r="Q20" s="66"/>
      <c r="R20" s="67"/>
      <c r="S20" s="68" t="e">
        <f>IF(OR(R24-R23=R23-R22,R25-R23=R23-R22),R22,IF(OR(R24-R23=R23-R21,R25-R23=R23-R21),R21,"-"))</f>
        <v>#VALUE!</v>
      </c>
      <c r="T20" s="69" t="e">
        <f>IFERROR(VLOOKUP(S20,STN_TABLE,2,FALSE),IF(R20=RisePerWLS,0,"-"))</f>
        <v>#VALUE!</v>
      </c>
      <c r="U20" s="69">
        <v>5</v>
      </c>
      <c r="V20" s="69" t="e">
        <f>T20*U20</f>
        <v>#VALUE!</v>
      </c>
      <c r="W20" s="69">
        <v>3</v>
      </c>
      <c r="X20" s="69" t="e">
        <f>T20*W20</f>
        <v>#VALUE!</v>
      </c>
      <c r="Y20" s="6" t="s">
        <v>93</v>
      </c>
      <c r="Z20" s="70" t="e">
        <f>IF(AND(S22-S21=S21-S20,NOT(AND(S20=0,S21=0)),NOT(AND(S21=0,S22=0))),WLS*(S22-S21),"#NA")</f>
        <v>#VALUE!</v>
      </c>
      <c r="AE20" s="80"/>
    </row>
    <row r="21" spans="1:35" x14ac:dyDescent="0.25">
      <c r="A21">
        <v>18</v>
      </c>
      <c r="B21" s="80" t="str">
        <f t="shared" si="2"/>
        <v xml:space="preserve">  </v>
      </c>
      <c r="C21" s="81" t="str">
        <f t="shared" si="3"/>
        <v xml:space="preserve">  </v>
      </c>
      <c r="D21" s="81" t="str">
        <f t="shared" si="4"/>
        <v xml:space="preserve"> </v>
      </c>
      <c r="E21" s="77" t="str">
        <f t="shared" si="5"/>
        <v xml:space="preserve"> </v>
      </c>
      <c r="G21" s="91"/>
      <c r="H21" s="91" t="str">
        <f>G14</f>
        <v>Rise</v>
      </c>
      <c r="I21" s="79" t="e">
        <f>H14</f>
        <v>#VALUE!</v>
      </c>
      <c r="J21" s="68">
        <v>0</v>
      </c>
      <c r="K21" s="68">
        <v>1</v>
      </c>
      <c r="L21" s="69">
        <f>J21*K21</f>
        <v>0</v>
      </c>
      <c r="M21" t="s">
        <v>93</v>
      </c>
      <c r="N21" t="e">
        <f>(I22-I21)*WLS</f>
        <v>#VALUE!</v>
      </c>
      <c r="Q21" s="66" t="str">
        <f t="shared" ref="Q21:R25" si="8">G5</f>
        <v>1st_UWL</v>
      </c>
      <c r="R21" s="67" t="str">
        <f t="shared" si="8"/>
        <v>#NA</v>
      </c>
      <c r="S21" s="76" t="str">
        <f>R23</f>
        <v>#NA</v>
      </c>
      <c r="T21" s="77" t="e">
        <f>VLOOKUP(S21,STN_TABLE,2,FALSE)</f>
        <v>#N/A</v>
      </c>
      <c r="U21" s="77">
        <v>8</v>
      </c>
      <c r="V21" s="77" t="e">
        <f>T21*U21</f>
        <v>#N/A</v>
      </c>
      <c r="W21" s="77">
        <v>10</v>
      </c>
      <c r="X21" s="77" t="e">
        <f>T21*W21</f>
        <v>#N/A</v>
      </c>
      <c r="Y21" s="78" t="s">
        <v>97</v>
      </c>
      <c r="Z21" s="78"/>
      <c r="AA21" s="78" t="s">
        <v>98</v>
      </c>
      <c r="AB21" s="78"/>
      <c r="AC21" s="7" t="s">
        <v>99</v>
      </c>
      <c r="AD21" s="7"/>
      <c r="AE21" s="80"/>
    </row>
    <row r="22" spans="1:35" x14ac:dyDescent="0.25">
      <c r="A22">
        <v>19</v>
      </c>
      <c r="B22" s="80" t="str">
        <f t="shared" si="2"/>
        <v xml:space="preserve">  </v>
      </c>
      <c r="C22" s="81" t="str">
        <f t="shared" si="3"/>
        <v xml:space="preserve">  </v>
      </c>
      <c r="D22" s="81" t="str">
        <f t="shared" si="4"/>
        <v xml:space="preserve"> </v>
      </c>
      <c r="E22" s="77" t="str">
        <f t="shared" si="5"/>
        <v xml:space="preserve"> </v>
      </c>
      <c r="G22" s="91"/>
      <c r="H22" s="91" t="str">
        <f>G15</f>
        <v>1st_UWL</v>
      </c>
      <c r="I22" s="88" t="str">
        <f>H15</f>
        <v>#NA</v>
      </c>
      <c r="J22" s="82" t="e">
        <f>VLOOKUP(I22,STN_TABLE,2,FALSE)</f>
        <v>#N/A</v>
      </c>
      <c r="K22" s="82">
        <v>2</v>
      </c>
      <c r="L22" s="83" t="e">
        <f>J22*K22</f>
        <v>#N/A</v>
      </c>
      <c r="M22" t="str">
        <f>CONCATENATE("A(",I22,")=")</f>
        <v>A(#NA)=</v>
      </c>
      <c r="N22" t="e">
        <f>2*N21/2*J23</f>
        <v>#VALUE!</v>
      </c>
      <c r="Q22" s="66" t="str">
        <f t="shared" si="8"/>
        <v>2nd_UWL</v>
      </c>
      <c r="R22" s="67" t="str">
        <f t="shared" si="8"/>
        <v>#NA</v>
      </c>
      <c r="S22" s="82" t="e">
        <f>IF(S20-S21=S21-R24,R24,IF(S20-S21=S21-R25,R25,"-"))</f>
        <v>#VALUE!</v>
      </c>
      <c r="T22" s="83" t="e">
        <f>VLOOKUP(S22,STN_TABLE,2,FALSE)</f>
        <v>#VALUE!</v>
      </c>
      <c r="U22" s="83">
        <v>-1</v>
      </c>
      <c r="V22" s="83" t="e">
        <f>T22*U22</f>
        <v>#VALUE!</v>
      </c>
      <c r="W22" s="83">
        <v>-1</v>
      </c>
      <c r="X22" s="83" t="e">
        <f>T22*W22</f>
        <v>#VALUE!</v>
      </c>
      <c r="Y22" s="84" t="str">
        <f>CONCATENATE("a'(",S21,")=")</f>
        <v>a'(#NA)=</v>
      </c>
      <c r="Z22" s="84" t="e">
        <f>2*Z20/12*V23</f>
        <v>#VALUE!</v>
      </c>
      <c r="AA22" s="84" t="e">
        <f>CONCATENATE("A(",S20,")=")</f>
        <v>#VALUE!</v>
      </c>
      <c r="AB22" s="84" t="e">
        <f>IF(S20=RisePerWLS,0,VLOOKUP(S20,STN_TABLE,3,FALSE))</f>
        <v>#VALUE!</v>
      </c>
      <c r="AC22" t="str">
        <f>CONCATENATE("A(",S21,")=")</f>
        <v>A(#NA)=</v>
      </c>
      <c r="AD22" t="e">
        <f>Z22+AB22</f>
        <v>#VALUE!</v>
      </c>
      <c r="AE22" s="80"/>
    </row>
    <row r="23" spans="1:35" x14ac:dyDescent="0.25">
      <c r="A23">
        <v>20</v>
      </c>
      <c r="B23" s="80" t="str">
        <f t="shared" si="2"/>
        <v xml:space="preserve">  </v>
      </c>
      <c r="C23" s="81" t="str">
        <f t="shared" si="3"/>
        <v xml:space="preserve">  </v>
      </c>
      <c r="D23" s="81" t="str">
        <f t="shared" si="4"/>
        <v xml:space="preserve"> </v>
      </c>
      <c r="E23" s="77" t="str">
        <f t="shared" si="5"/>
        <v xml:space="preserve"> </v>
      </c>
      <c r="J23" s="89" t="e">
        <f>SUM(J21:J22)</f>
        <v>#N/A</v>
      </c>
      <c r="L23" s="89" t="e">
        <f>SUM(L21:L22)</f>
        <v>#N/A</v>
      </c>
      <c r="M23" t="str">
        <f>CONCATENATE("M(",I22,")=")</f>
        <v>M(#NA)=</v>
      </c>
      <c r="N23" t="e">
        <f>(2*(N21^2)/6*L23)+N22*I21*WLS</f>
        <v>#VALUE!</v>
      </c>
      <c r="Q23" s="66" t="str">
        <f t="shared" si="8"/>
        <v>3rd_UWL</v>
      </c>
      <c r="R23" s="67" t="str">
        <f t="shared" si="8"/>
        <v>#NA</v>
      </c>
      <c r="V23" s="89" t="e">
        <f>SUM(V20:V22)</f>
        <v>#VALUE!</v>
      </c>
      <c r="X23" s="89" t="e">
        <f>SUM(X20:X22)</f>
        <v>#VALUE!</v>
      </c>
      <c r="Y23" s="84" t="str">
        <f>CONCATENATE("m'(",S21,")=")</f>
        <v>m'(#NA)=</v>
      </c>
      <c r="Z23" s="84" t="e">
        <f>(2*(Z20^2)/24*X23)+(Z22*S20*WLS)</f>
        <v>#VALUE!</v>
      </c>
      <c r="AA23" s="84" t="e">
        <f>CONCATENATE("M(",S20,")=")</f>
        <v>#VALUE!</v>
      </c>
      <c r="AB23" s="84" t="e">
        <f>IF(S20=RisePerWLS,0,VLOOKUP(S20,STN_TABLE,4,FALSE))</f>
        <v>#VALUE!</v>
      </c>
      <c r="AC23" t="str">
        <f>CONCATENATE("M(",S21,")=")</f>
        <v>M(#NA)=</v>
      </c>
      <c r="AD23" t="e">
        <f>Z23+AB23</f>
        <v>#VALUE!</v>
      </c>
      <c r="AE23" s="80"/>
    </row>
    <row r="24" spans="1:35" x14ac:dyDescent="0.25">
      <c r="A24">
        <v>21</v>
      </c>
      <c r="B24" s="80" t="str">
        <f t="shared" si="2"/>
        <v xml:space="preserve">  </v>
      </c>
      <c r="C24" s="81" t="str">
        <f t="shared" si="3"/>
        <v xml:space="preserve">  </v>
      </c>
      <c r="D24" s="81" t="str">
        <f t="shared" si="4"/>
        <v xml:space="preserve"> </v>
      </c>
      <c r="E24" s="77" t="str">
        <f t="shared" si="5"/>
        <v xml:space="preserve"> </v>
      </c>
      <c r="Q24" s="66" t="str">
        <f t="shared" si="8"/>
        <v>4th_UWL</v>
      </c>
      <c r="R24" s="67" t="str">
        <f t="shared" si="8"/>
        <v>#NA</v>
      </c>
      <c r="U24" t="s">
        <v>103</v>
      </c>
      <c r="W24" t="str">
        <f>CONCATENATE("A(",S21,")=")</f>
        <v>A(#NA)=</v>
      </c>
      <c r="X24" t="e">
        <f>IF(OR(AD22&lt;=0,AD23&lt;=0),AD27,AD22)</f>
        <v>#VALUE!</v>
      </c>
      <c r="AE24" s="80"/>
    </row>
    <row r="25" spans="1:35" x14ac:dyDescent="0.25">
      <c r="A25">
        <v>22</v>
      </c>
      <c r="B25" s="80" t="str">
        <f t="shared" si="2"/>
        <v xml:space="preserve">  </v>
      </c>
      <c r="C25" s="81" t="str">
        <f t="shared" si="3"/>
        <v xml:space="preserve">  </v>
      </c>
      <c r="D25" s="81" t="str">
        <f t="shared" si="4"/>
        <v xml:space="preserve"> </v>
      </c>
      <c r="E25" s="77" t="str">
        <f t="shared" si="5"/>
        <v xml:space="preserve"> </v>
      </c>
      <c r="G25" s="71" t="s">
        <v>111</v>
      </c>
      <c r="Q25" s="66" t="str">
        <f t="shared" si="8"/>
        <v>5th_UWL</v>
      </c>
      <c r="R25" s="67" t="str">
        <f t="shared" si="8"/>
        <v>#NA</v>
      </c>
      <c r="W25" t="str">
        <f>CONCATENATE("M(",S21,")=")</f>
        <v>M(#NA)=</v>
      </c>
      <c r="X25" t="e">
        <f>IF(OR(AD22&lt;=0,AD23&lt;=0),AD28,AD23)</f>
        <v>#VALUE!</v>
      </c>
      <c r="Y25" s="6" t="s">
        <v>93</v>
      </c>
      <c r="Z25" s="70" t="e">
        <f>WLS*(U27-U26)</f>
        <v>#VALUE!</v>
      </c>
      <c r="AE25" s="80"/>
    </row>
    <row r="26" spans="1:35" x14ac:dyDescent="0.25">
      <c r="A26">
        <v>23</v>
      </c>
      <c r="B26" s="80" t="str">
        <f t="shared" si="2"/>
        <v xml:space="preserve">  </v>
      </c>
      <c r="C26" s="81" t="str">
        <f t="shared" si="3"/>
        <v xml:space="preserve">  </v>
      </c>
      <c r="D26" s="81" t="str">
        <f t="shared" si="4"/>
        <v xml:space="preserve"> </v>
      </c>
      <c r="E26" s="77" t="str">
        <f t="shared" si="5"/>
        <v xml:space="preserve"> </v>
      </c>
      <c r="G26" s="91" t="str">
        <f t="shared" ref="G26:H28" si="9">G4</f>
        <v>Rise</v>
      </c>
      <c r="H26" s="91" t="e">
        <f t="shared" si="9"/>
        <v>#VALUE!</v>
      </c>
      <c r="I26" s="68" t="e">
        <f>H26</f>
        <v>#VALUE!</v>
      </c>
      <c r="J26" s="69">
        <v>0</v>
      </c>
      <c r="K26" s="69">
        <v>1</v>
      </c>
      <c r="L26" s="69">
        <f>J26*K26</f>
        <v>0</v>
      </c>
      <c r="M26" s="69" t="e">
        <f>I26</f>
        <v>#VALUE!</v>
      </c>
      <c r="N26" s="69" t="e">
        <f>L26*M26</f>
        <v>#VALUE!</v>
      </c>
      <c r="O26" t="s">
        <v>93</v>
      </c>
      <c r="P26" t="e">
        <f>IF(OR(J26=0,J27=0,J28=0),"#NA",IF(I28-I27=I27-I26,WLS*(I27-I26),"#NA"))</f>
        <v>#VALUE!</v>
      </c>
      <c r="Q26" s="66"/>
      <c r="R26" s="67"/>
      <c r="U26" s="79" t="str">
        <f>R22</f>
        <v>#NA</v>
      </c>
      <c r="V26" s="68" t="e">
        <f>VLOOKUP(U26,STN_TABLE,2,FALSE)</f>
        <v>#N/A</v>
      </c>
      <c r="W26" s="68">
        <v>1</v>
      </c>
      <c r="X26" s="69" t="e">
        <f>V26*W26</f>
        <v>#N/A</v>
      </c>
      <c r="Y26" s="78" t="s">
        <v>97</v>
      </c>
      <c r="Z26" s="78"/>
      <c r="AA26" s="78" t="s">
        <v>98</v>
      </c>
      <c r="AB26" s="78"/>
      <c r="AC26" s="7" t="s">
        <v>99</v>
      </c>
      <c r="AD26" s="7"/>
      <c r="AE26" s="80"/>
    </row>
    <row r="27" spans="1:35" x14ac:dyDescent="0.25">
      <c r="A27">
        <v>24</v>
      </c>
      <c r="B27" s="80" t="str">
        <f t="shared" si="2"/>
        <v xml:space="preserve">  </v>
      </c>
      <c r="C27" s="81" t="str">
        <f t="shared" si="3"/>
        <v xml:space="preserve">  </v>
      </c>
      <c r="D27" s="81" t="str">
        <f t="shared" si="4"/>
        <v xml:space="preserve"> </v>
      </c>
      <c r="E27" s="77" t="str">
        <f t="shared" si="5"/>
        <v xml:space="preserve"> </v>
      </c>
      <c r="G27" s="91" t="str">
        <f t="shared" si="9"/>
        <v>1st_UWL</v>
      </c>
      <c r="H27" s="91" t="str">
        <f t="shared" si="9"/>
        <v>#NA</v>
      </c>
      <c r="I27" s="76" t="e">
        <f>IF(H28-H27=H27-H26,H28,"#NA")</f>
        <v>#VALUE!</v>
      </c>
      <c r="J27" s="77" t="e">
        <f>VLOOKUP(I27,STN_TABLE,2,FALSE)</f>
        <v>#VALUE!</v>
      </c>
      <c r="K27" s="77">
        <v>4</v>
      </c>
      <c r="L27" s="77" t="e">
        <f>J27*K27</f>
        <v>#VALUE!</v>
      </c>
      <c r="M27" s="77" t="e">
        <f>I27</f>
        <v>#VALUE!</v>
      </c>
      <c r="N27" s="77" t="e">
        <f>L27*M27</f>
        <v>#VALUE!</v>
      </c>
      <c r="O27" t="e">
        <f>CONCATENATE("A(",I28,")=")</f>
        <v>#VALUE!</v>
      </c>
      <c r="P27" t="e">
        <f>2*P26/3*L29</f>
        <v>#VALUE!</v>
      </c>
      <c r="Q27" s="80"/>
      <c r="R27" s="81"/>
      <c r="U27" s="88" t="str">
        <f>R23</f>
        <v>#NA</v>
      </c>
      <c r="V27" s="82" t="e">
        <f>VLOOKUP(U27,STN_TABLE,2,FALSE)</f>
        <v>#N/A</v>
      </c>
      <c r="W27" s="82">
        <v>2</v>
      </c>
      <c r="X27" s="83" t="e">
        <f>V27*W27</f>
        <v>#N/A</v>
      </c>
      <c r="Y27" s="84" t="str">
        <f>CONCATENATE("a'(",U27,")=")</f>
        <v>a'(#NA)=</v>
      </c>
      <c r="Z27" s="84" t="e">
        <f>2*Z25/2*V28</f>
        <v>#VALUE!</v>
      </c>
      <c r="AA27" s="84" t="str">
        <f>CONCATENATE("A(",U26,")=")</f>
        <v>A(#NA)=</v>
      </c>
      <c r="AB27" s="84" t="e">
        <f>IF(U26=RisePerWLS,0,VLOOKUP(U26,STN_TABLE,3,FALSE))</f>
        <v>#VALUE!</v>
      </c>
      <c r="AC27" t="str">
        <f>CONCATENATE("A(",U27,")=")</f>
        <v>A(#NA)=</v>
      </c>
      <c r="AD27" t="e">
        <f>Z27+AB27</f>
        <v>#VALUE!</v>
      </c>
      <c r="AE27" s="80"/>
    </row>
    <row r="28" spans="1:35" x14ac:dyDescent="0.25">
      <c r="A28">
        <v>25</v>
      </c>
      <c r="B28" s="88" t="str">
        <f t="shared" si="2"/>
        <v xml:space="preserve">  </v>
      </c>
      <c r="C28" s="92" t="str">
        <f t="shared" si="3"/>
        <v xml:space="preserve">  </v>
      </c>
      <c r="D28" s="81" t="str">
        <f t="shared" si="4"/>
        <v xml:space="preserve"> </v>
      </c>
      <c r="E28" s="77" t="str">
        <f t="shared" si="5"/>
        <v xml:space="preserve"> </v>
      </c>
      <c r="G28" s="91" t="str">
        <f t="shared" si="9"/>
        <v>2nd_UWL</v>
      </c>
      <c r="H28" s="91" t="str">
        <f t="shared" si="9"/>
        <v>#NA</v>
      </c>
      <c r="I28" s="82" t="e">
        <f>IF(H28-H27=H27-H26,H28,"#NA")</f>
        <v>#VALUE!</v>
      </c>
      <c r="J28" s="83" t="e">
        <f>VLOOKUP(I28,STN_TABLE,2,FALSE)</f>
        <v>#VALUE!</v>
      </c>
      <c r="K28" s="83">
        <v>1</v>
      </c>
      <c r="L28" s="83" t="e">
        <f>J28*K28</f>
        <v>#VALUE!</v>
      </c>
      <c r="M28" s="83" t="e">
        <f>I28</f>
        <v>#VALUE!</v>
      </c>
      <c r="N28" s="83" t="e">
        <f>L28*M28</f>
        <v>#VALUE!</v>
      </c>
      <c r="O28" t="e">
        <f>CONCATENATE("M(",I28,")=")</f>
        <v>#VALUE!</v>
      </c>
      <c r="P28" t="e">
        <f>2*(P26*WLS)/3*N29</f>
        <v>#VALUE!</v>
      </c>
      <c r="Q28" s="80"/>
      <c r="R28" s="81"/>
      <c r="V28" s="89" t="e">
        <f>SUM(V26:V27)</f>
        <v>#N/A</v>
      </c>
      <c r="X28" s="89" t="e">
        <f>SUM(X26:X27)</f>
        <v>#N/A</v>
      </c>
      <c r="Y28" s="84" t="str">
        <f>CONCATENATE("m'(",U27,")=")</f>
        <v>m'(#NA)=</v>
      </c>
      <c r="Z28" s="84" t="e">
        <f>(2*(Z25^2)/6*X28)+(Z27*U26*WLS)</f>
        <v>#VALUE!</v>
      </c>
      <c r="AA28" s="84" t="str">
        <f>CONCATENATE("M(",U26,")=")</f>
        <v>M(#NA)=</v>
      </c>
      <c r="AB28" s="84" t="e">
        <f>IF(U26=RisePerWLS,0,VLOOKUP(U26,STN_TABLE,4,FALSE))</f>
        <v>#VALUE!</v>
      </c>
      <c r="AC28" t="str">
        <f>CONCATENATE("M(",U27,")=")</f>
        <v>M(#NA)=</v>
      </c>
      <c r="AD28" t="e">
        <f>Z28+AB28</f>
        <v>#VALUE!</v>
      </c>
      <c r="AE28" s="80"/>
    </row>
    <row r="29" spans="1:35" x14ac:dyDescent="0.25">
      <c r="G29" s="91"/>
      <c r="H29" s="91"/>
      <c r="L29" s="89" t="e">
        <f>SUM(L26:L28)</f>
        <v>#VALUE!</v>
      </c>
      <c r="N29" s="89" t="e">
        <f>SUM(N26:N28)</f>
        <v>#VALUE!</v>
      </c>
      <c r="Q29" s="80"/>
      <c r="R29" s="81"/>
      <c r="AE29" s="80"/>
    </row>
    <row r="30" spans="1:35" x14ac:dyDescent="0.25">
      <c r="G30" s="91"/>
      <c r="H30" s="91"/>
    </row>
    <row r="31" spans="1:35" x14ac:dyDescent="0.25">
      <c r="G31" s="91"/>
      <c r="H31" s="91"/>
    </row>
    <row r="32" spans="1:35" x14ac:dyDescent="0.25">
      <c r="G32" s="91"/>
      <c r="H32" s="91"/>
      <c r="Q32" s="68">
        <f>B4</f>
        <v>0</v>
      </c>
      <c r="R32" s="69">
        <f>VLOOKUP(Q32,STN_TABLE,2,FALSE)</f>
        <v>0.1</v>
      </c>
      <c r="S32" s="69">
        <v>5</v>
      </c>
      <c r="T32" s="68">
        <f>R32*S32</f>
        <v>0.5</v>
      </c>
      <c r="U32" s="79">
        <v>3</v>
      </c>
      <c r="V32" s="68">
        <f>R32*U32</f>
        <v>0.30000000000000004</v>
      </c>
      <c r="W32" t="s">
        <v>93</v>
      </c>
      <c r="X32" s="70">
        <f>IF(AND(Q34-Q33=Q33-Q32,NOT(AND(Q32=0,Q33=0)),NOT(AND(Q33=0,Q34=0))),WLS*(Q34-Q33),"#NA")</f>
        <v>0.5</v>
      </c>
      <c r="AD32" s="93"/>
      <c r="AH32" s="6" t="s">
        <v>93</v>
      </c>
      <c r="AI32" s="70">
        <f>WLS*(AD34-AD33)</f>
        <v>0.5</v>
      </c>
    </row>
    <row r="33" spans="1:47" x14ac:dyDescent="0.25">
      <c r="Q33" s="76">
        <f>B5</f>
        <v>0.25</v>
      </c>
      <c r="R33" s="77">
        <f>VLOOKUP(Q33,STN_TABLE,2,FALSE)</f>
        <v>0.2</v>
      </c>
      <c r="S33" s="77">
        <v>8</v>
      </c>
      <c r="T33" s="76">
        <f>R33*S33</f>
        <v>1.6</v>
      </c>
      <c r="U33" s="80">
        <v>10</v>
      </c>
      <c r="V33" s="76">
        <f>R33*U33</f>
        <v>2</v>
      </c>
      <c r="W33" s="495" t="s">
        <v>97</v>
      </c>
      <c r="X33" s="496"/>
      <c r="Y33" s="496" t="s">
        <v>98</v>
      </c>
      <c r="Z33" s="496"/>
      <c r="AA33" s="494" t="s">
        <v>99</v>
      </c>
      <c r="AB33" s="494"/>
      <c r="AC33" s="94">
        <v>1</v>
      </c>
      <c r="AD33" s="95">
        <f>VLOOKUP(AC33,STN_TABLE_2,2,FALSE)</f>
        <v>0</v>
      </c>
      <c r="AE33" s="68">
        <f>VLOOKUP(AD33,STN_TABLE,2,FALSE)</f>
        <v>0.1</v>
      </c>
      <c r="AF33" s="68">
        <v>1</v>
      </c>
      <c r="AG33" s="69">
        <f>AE33*AF33</f>
        <v>0.1</v>
      </c>
      <c r="AH33" s="496" t="s">
        <v>97</v>
      </c>
      <c r="AI33" s="496"/>
      <c r="AJ33" s="496" t="s">
        <v>98</v>
      </c>
      <c r="AK33" s="496"/>
      <c r="AL33" s="494" t="s">
        <v>99</v>
      </c>
      <c r="AM33" s="494"/>
      <c r="AP33" s="96" t="s">
        <v>112</v>
      </c>
      <c r="AQ33" s="89" t="s">
        <v>113</v>
      </c>
      <c r="AR33" s="89" t="s">
        <v>114</v>
      </c>
      <c r="AS33" s="89" t="s">
        <v>115</v>
      </c>
      <c r="AT33" s="97" t="s">
        <v>116</v>
      </c>
      <c r="AU33" s="98"/>
    </row>
    <row r="34" spans="1:47" x14ac:dyDescent="0.25">
      <c r="Q34" s="82">
        <f>B6</f>
        <v>0.5</v>
      </c>
      <c r="R34" s="83">
        <f>VLOOKUP(Q34,STN_TABLE,2,FALSE)</f>
        <v>0.2</v>
      </c>
      <c r="S34" s="83">
        <v>-1</v>
      </c>
      <c r="T34" s="82">
        <f>R34*S34</f>
        <v>-0.2</v>
      </c>
      <c r="U34" s="88">
        <v>-1</v>
      </c>
      <c r="V34" s="82">
        <f>R34*U34</f>
        <v>-0.2</v>
      </c>
      <c r="W34" s="84" t="str">
        <f>CONCATENATE("a'(",Q33,")=")</f>
        <v>a'(0.25)=</v>
      </c>
      <c r="X34" s="84">
        <f>2*X32/12*T35</f>
        <v>0.15833333333333333</v>
      </c>
      <c r="Y34" s="84" t="str">
        <f>CONCATENATE("A(",Q32,")=")</f>
        <v>A(0)=</v>
      </c>
      <c r="Z34" s="84">
        <f>VLOOKUP(Q32,STN_TABLE,3,FALSE)</f>
        <v>0</v>
      </c>
      <c r="AA34" t="str">
        <f>CONCATENATE("A(",Q33,")=")</f>
        <v>A(0.25)=</v>
      </c>
      <c r="AB34">
        <f>X34+Z34</f>
        <v>0.15833333333333333</v>
      </c>
      <c r="AC34" s="99">
        <f>AC33+1</f>
        <v>2</v>
      </c>
      <c r="AD34" s="100">
        <f>VLOOKUP(AC34,STN_TABLE_2,2,FALSE)</f>
        <v>0.25</v>
      </c>
      <c r="AE34" s="82">
        <f>VLOOKUP(AD34,STN_TABLE,2,FALSE)</f>
        <v>0.2</v>
      </c>
      <c r="AF34" s="82">
        <v>2</v>
      </c>
      <c r="AG34" s="83">
        <f>AE34*AF34</f>
        <v>0.4</v>
      </c>
      <c r="AH34" s="84" t="str">
        <f>CONCATENATE("a'(",AD34,")=")</f>
        <v>a'(0.25)=</v>
      </c>
      <c r="AI34" s="84">
        <f>2*AI32/2*AE35</f>
        <v>0.15000000000000002</v>
      </c>
      <c r="AJ34" s="84" t="str">
        <f>CONCATENATE("A(",AD33,")=")</f>
        <v>A(0)=</v>
      </c>
      <c r="AK34" s="84">
        <f>VLOOKUP(AD33,STN_TABLE,3,FALSE)</f>
        <v>0</v>
      </c>
      <c r="AL34" t="str">
        <f>CONCATENATE("A(",AD34,")=")</f>
        <v>A(0.25)=</v>
      </c>
      <c r="AM34">
        <f>AI34+AK34</f>
        <v>0.15000000000000002</v>
      </c>
      <c r="AO34" s="68" t="str">
        <f>AA34</f>
        <v>A(0.25)=</v>
      </c>
      <c r="AP34" s="79" t="e">
        <f>VLOOKUP(AO34,Rise_Results,2,FALSE)</f>
        <v>#N/A</v>
      </c>
      <c r="AQ34" s="76" t="s">
        <v>117</v>
      </c>
      <c r="AR34" s="76">
        <f>IF(OR(AB34&lt;=0,AB35&lt;=0),1/0,AB34)</f>
        <v>0.15833333333333333</v>
      </c>
      <c r="AS34" s="76">
        <f>AM34</f>
        <v>0.15000000000000002</v>
      </c>
      <c r="AT34" s="80">
        <f>IFERROR(AP34,IFERROR(AR34,AS34))</f>
        <v>0.15833333333333333</v>
      </c>
    </row>
    <row r="35" spans="1:47" x14ac:dyDescent="0.25">
      <c r="A35" s="101"/>
      <c r="T35" s="89">
        <f>SUM(T32:T34)</f>
        <v>1.9000000000000001</v>
      </c>
      <c r="V35" s="82">
        <f>SUM(V32:V34)</f>
        <v>2.0999999999999996</v>
      </c>
      <c r="W35" s="84" t="str">
        <f>CONCATENATE("m'(",Q33,")=")</f>
        <v>m'(0.25)=</v>
      </c>
      <c r="X35" s="84">
        <f>(2*(X32^2)/24*V35)</f>
        <v>4.374999999999999E-2</v>
      </c>
      <c r="Y35" s="84" t="str">
        <f>CONCATENATE("M(",Q32,")=")</f>
        <v>M(0)=</v>
      </c>
      <c r="Z35" s="84">
        <f>VLOOKUP(Q32,STN_TABLE,4,FALSE)</f>
        <v>0</v>
      </c>
      <c r="AA35" t="str">
        <f>CONCATENATE("M(",Q33,")=")</f>
        <v>M(0.25)=</v>
      </c>
      <c r="AB35">
        <f>X35+Z35</f>
        <v>4.374999999999999E-2</v>
      </c>
      <c r="AE35" s="89">
        <f>SUM(AE33:AE34)</f>
        <v>0.30000000000000004</v>
      </c>
      <c r="AG35" s="89">
        <f>SUM(AG33:AG34)</f>
        <v>0.5</v>
      </c>
      <c r="AH35" s="84" t="str">
        <f>CONCATENATE("m'(",AD34,")=")</f>
        <v>m'(0.25)=</v>
      </c>
      <c r="AI35" s="84">
        <f>(2*(AI32^2)/6*AG35)+(AI34*AD33*WLS)</f>
        <v>4.1666666666666664E-2</v>
      </c>
      <c r="AJ35" s="84" t="str">
        <f>CONCATENATE("M(",AD33,")=")</f>
        <v>M(0)=</v>
      </c>
      <c r="AK35" s="84">
        <f>VLOOKUP(AD33,STN_TABLE,4,FALSE)</f>
        <v>0</v>
      </c>
      <c r="AL35" t="str">
        <f>CONCATENATE("M(",AD34,")=")</f>
        <v>M(0.25)=</v>
      </c>
      <c r="AM35">
        <f>AI35+AK35</f>
        <v>4.1666666666666664E-2</v>
      </c>
      <c r="AO35" s="82" t="str">
        <f>AA35</f>
        <v>M(0.25)=</v>
      </c>
      <c r="AP35" s="88" t="e">
        <f>VLOOKUP(AO35,Rise_Results,2,FALSE)</f>
        <v>#N/A</v>
      </c>
      <c r="AQ35" s="82" t="s">
        <v>117</v>
      </c>
      <c r="AR35" s="82">
        <f>IF(OR(AB34&lt;=0,AB35&lt;=0),1/0,AB35)</f>
        <v>4.374999999999999E-2</v>
      </c>
      <c r="AS35" s="82">
        <f>AM35</f>
        <v>4.1666666666666664E-2</v>
      </c>
      <c r="AT35" s="80">
        <f>IFERROR(AP35,IFERROR(AR35,AS35))</f>
        <v>4.374999999999999E-2</v>
      </c>
    </row>
    <row r="36" spans="1:47" x14ac:dyDescent="0.25">
      <c r="O36" s="94">
        <v>1</v>
      </c>
      <c r="P36" s="101">
        <f t="shared" ref="P36:P67" si="10">VLOOKUP(O36,STN_TABLE_2,2,FALSE)</f>
        <v>0</v>
      </c>
      <c r="AU36" s="81"/>
    </row>
    <row r="37" spans="1:47" x14ac:dyDescent="0.25">
      <c r="A37" s="94">
        <v>1</v>
      </c>
      <c r="B37" s="94">
        <f>VLOOKUP(A37,STN_TABLE_2,2,FALSE)</f>
        <v>0</v>
      </c>
      <c r="C37" s="79">
        <f>B37</f>
        <v>0</v>
      </c>
      <c r="D37" s="68">
        <f>VLOOKUP(C37,STN_TABLE,2,FALSE)</f>
        <v>0.1</v>
      </c>
      <c r="E37" s="102">
        <v>1</v>
      </c>
      <c r="F37" s="68">
        <f>D37*E37</f>
        <v>0.1</v>
      </c>
      <c r="G37" s="69">
        <f>C37</f>
        <v>0</v>
      </c>
      <c r="H37" s="69">
        <f>F37*G37</f>
        <v>0</v>
      </c>
      <c r="I37" s="6" t="s">
        <v>93</v>
      </c>
      <c r="J37" s="70">
        <f>IF(OR(D37=0,D38=0,D39=0),"#NA",IF(AND(C39-C38=C38-C37,C38&lt;&gt;C39,C37&lt;&gt;C38,C37&lt;&gt;C39,D39&lt;&gt;0,OR(D37&lt;&gt;0,D38&lt;&gt;0)),WLS*(C39-C38),"#NA"))</f>
        <v>0.5</v>
      </c>
      <c r="O37" s="99">
        <f>O36+1</f>
        <v>2</v>
      </c>
      <c r="P37" s="99">
        <f t="shared" si="10"/>
        <v>0.25</v>
      </c>
      <c r="Q37" s="68">
        <f>IF(OR(P39-P38=P38-P37,P40-P38=P38-P37),P37,IF(OR(P39-P38=P38-P36,P40-P38=P38-P36),P36,"-"))</f>
        <v>0.25</v>
      </c>
      <c r="R37" s="69">
        <f>VLOOKUP(Q37,STN_TABLE,2,FALSE)</f>
        <v>0.2</v>
      </c>
      <c r="S37" s="69">
        <v>5</v>
      </c>
      <c r="T37" s="68">
        <f>R37*S37</f>
        <v>1</v>
      </c>
      <c r="U37" s="79">
        <v>3</v>
      </c>
      <c r="V37" s="68">
        <f>R37*U37</f>
        <v>0.60000000000000009</v>
      </c>
      <c r="W37" s="6" t="s">
        <v>93</v>
      </c>
      <c r="X37" s="70">
        <f>IF(AND(Q39-Q38=Q38-Q37,NOT(AND(Q37=0,Q38=0)),NOT(AND(Q38=0,Q39=0))),WLS*(Q39-Q38),"#NA")</f>
        <v>0.5</v>
      </c>
      <c r="AD37" s="93"/>
      <c r="AH37" s="6" t="s">
        <v>93</v>
      </c>
      <c r="AI37" s="70">
        <f>WLS*(AD39-AD38)</f>
        <v>0.5</v>
      </c>
      <c r="AU37" s="81"/>
    </row>
    <row r="38" spans="1:47" x14ac:dyDescent="0.25">
      <c r="A38" s="94">
        <f>A37+1</f>
        <v>2</v>
      </c>
      <c r="B38" s="94">
        <f>VLOOKUP(A38,STN_TABLE_2,2,FALSE)</f>
        <v>0.25</v>
      </c>
      <c r="C38" s="80">
        <f>B38</f>
        <v>0.25</v>
      </c>
      <c r="D38" s="76">
        <f>VLOOKUP(C38,STN_TABLE,2,FALSE)</f>
        <v>0.2</v>
      </c>
      <c r="E38" s="81">
        <v>4</v>
      </c>
      <c r="F38" s="76">
        <f>D38*E38</f>
        <v>0.8</v>
      </c>
      <c r="G38" s="77">
        <f>C38</f>
        <v>0.25</v>
      </c>
      <c r="H38" s="77">
        <f>F38*G38</f>
        <v>0.2</v>
      </c>
      <c r="I38" s="496" t="s">
        <v>97</v>
      </c>
      <c r="J38" s="496"/>
      <c r="K38" s="78" t="s">
        <v>98</v>
      </c>
      <c r="L38" s="78"/>
      <c r="M38" s="7" t="s">
        <v>99</v>
      </c>
      <c r="N38" s="7"/>
      <c r="O38" s="99">
        <f>O37+1</f>
        <v>3</v>
      </c>
      <c r="P38" s="99">
        <f t="shared" si="10"/>
        <v>0.5</v>
      </c>
      <c r="Q38" s="76">
        <f>P38</f>
        <v>0.5</v>
      </c>
      <c r="R38" s="77">
        <f>VLOOKUP(Q38,STN_TABLE,2,FALSE)</f>
        <v>0.2</v>
      </c>
      <c r="S38" s="77">
        <v>8</v>
      </c>
      <c r="T38" s="76">
        <f>R38*S38</f>
        <v>1.6</v>
      </c>
      <c r="U38" s="80">
        <v>10</v>
      </c>
      <c r="V38" s="76">
        <f>R38*U38</f>
        <v>2</v>
      </c>
      <c r="W38" s="496" t="s">
        <v>97</v>
      </c>
      <c r="X38" s="496"/>
      <c r="Y38" s="496" t="s">
        <v>98</v>
      </c>
      <c r="Z38" s="496"/>
      <c r="AA38" s="494" t="s">
        <v>99</v>
      </c>
      <c r="AB38" s="494"/>
      <c r="AC38" s="99">
        <f>AC33+1</f>
        <v>2</v>
      </c>
      <c r="AD38" s="95">
        <f>VLOOKUP(AC38,STN_TABLE_2,2,FALSE)</f>
        <v>0.25</v>
      </c>
      <c r="AE38" s="68">
        <f>VLOOKUP(AD38,STN_TABLE,2,FALSE)</f>
        <v>0.2</v>
      </c>
      <c r="AF38" s="68">
        <v>1</v>
      </c>
      <c r="AG38" s="69">
        <f>AE38*AF38</f>
        <v>0.2</v>
      </c>
      <c r="AH38" s="496" t="s">
        <v>97</v>
      </c>
      <c r="AI38" s="496"/>
      <c r="AJ38" s="496" t="s">
        <v>98</v>
      </c>
      <c r="AK38" s="496"/>
      <c r="AL38" s="494" t="s">
        <v>99</v>
      </c>
      <c r="AM38" s="494"/>
      <c r="AP38" s="86" t="s">
        <v>112</v>
      </c>
      <c r="AQ38" s="89" t="s">
        <v>113</v>
      </c>
      <c r="AR38" s="89" t="s">
        <v>114</v>
      </c>
      <c r="AS38" s="89" t="s">
        <v>115</v>
      </c>
    </row>
    <row r="39" spans="1:47" x14ac:dyDescent="0.25">
      <c r="A39" s="94">
        <f>A38+1</f>
        <v>3</v>
      </c>
      <c r="B39" s="94">
        <f>VLOOKUP(A39,STN_TABLE_2,2,FALSE)</f>
        <v>0.5</v>
      </c>
      <c r="C39" s="88">
        <f>B39</f>
        <v>0.5</v>
      </c>
      <c r="D39" s="82">
        <f>VLOOKUP(C39,STN_TABLE,2,FALSE)</f>
        <v>0.2</v>
      </c>
      <c r="E39" s="92">
        <v>1</v>
      </c>
      <c r="F39" s="82">
        <f>D39*E39</f>
        <v>0.2</v>
      </c>
      <c r="G39" s="83">
        <f>C39</f>
        <v>0.5</v>
      </c>
      <c r="H39" s="83">
        <f>F39*G39</f>
        <v>0.1</v>
      </c>
      <c r="I39" s="84" t="str">
        <f>CONCATENATE("a'(",C39,")=")</f>
        <v>a'(0.5)=</v>
      </c>
      <c r="J39" s="84">
        <f>2*J37/3*F40</f>
        <v>0.3666666666666667</v>
      </c>
      <c r="K39" s="84" t="str">
        <f>CONCATENATE("A(",C37,")=")</f>
        <v>A(0)=</v>
      </c>
      <c r="L39" s="84">
        <f>VLOOKUP(C37,STN_TABLE,3,FALSE)</f>
        <v>0</v>
      </c>
      <c r="M39" t="str">
        <f>CONCATENATE("A(",C39,")=")</f>
        <v>A(0.5)=</v>
      </c>
      <c r="N39">
        <f>J39+L39</f>
        <v>0.3666666666666667</v>
      </c>
      <c r="O39" s="99">
        <f>O38+1</f>
        <v>4</v>
      </c>
      <c r="P39" s="99">
        <f t="shared" si="10"/>
        <v>0.75</v>
      </c>
      <c r="Q39" s="82">
        <f>IF(P39-P38=P38-P37,P39,IF(P40-P38=P38-P37,P40,IF(P39-P38=P38-P36,P39,IF(P40-P38=P38-P36,P40,"-"))))</f>
        <v>0.75</v>
      </c>
      <c r="R39" s="83">
        <f>VLOOKUP(Q39,STN_TABLE,2,FALSE)</f>
        <v>0.21</v>
      </c>
      <c r="S39" s="83">
        <v>-1</v>
      </c>
      <c r="T39" s="82">
        <f>R39*S39</f>
        <v>-0.21</v>
      </c>
      <c r="U39" s="88">
        <v>-1</v>
      </c>
      <c r="V39" s="82">
        <f>R39*U39</f>
        <v>-0.21</v>
      </c>
      <c r="W39" s="84" t="str">
        <f>CONCATENATE("a'(",Q38,")=")</f>
        <v>a'(0.5)=</v>
      </c>
      <c r="X39" s="84">
        <f>2*X37/12*T40</f>
        <v>0.19916666666666666</v>
      </c>
      <c r="Y39" s="84" t="str">
        <f>CONCATENATE("A(",Q37,")=")</f>
        <v>A(0.25)=</v>
      </c>
      <c r="Z39" s="84">
        <f>VLOOKUP(Q37,STN_TABLE,3,FALSE)</f>
        <v>0.15833333333333333</v>
      </c>
      <c r="AA39" t="str">
        <f>CONCATENATE("A(",Q38,")=")</f>
        <v>A(0.5)=</v>
      </c>
      <c r="AB39">
        <f>X39+Z39</f>
        <v>0.35749999999999998</v>
      </c>
      <c r="AC39" s="99">
        <f>AC38+1</f>
        <v>3</v>
      </c>
      <c r="AD39" s="100">
        <f>VLOOKUP(AC39,STN_TABLE_2,2,FALSE)</f>
        <v>0.5</v>
      </c>
      <c r="AE39" s="82">
        <f>VLOOKUP(AD39,STN_TABLE,2,FALSE)</f>
        <v>0.2</v>
      </c>
      <c r="AF39" s="82">
        <v>2</v>
      </c>
      <c r="AG39" s="83">
        <f>AE39*AF39</f>
        <v>0.4</v>
      </c>
      <c r="AH39" s="84" t="str">
        <f>CONCATENATE("a'(",AD39,")=")</f>
        <v>a'(0.5)=</v>
      </c>
      <c r="AI39" s="84">
        <f>2*AI37/2*AE40</f>
        <v>0.2</v>
      </c>
      <c r="AJ39" s="84" t="str">
        <f>CONCATENATE("A(",AD38,")=")</f>
        <v>A(0.25)=</v>
      </c>
      <c r="AK39" s="84">
        <f>VLOOKUP(AD38,STN_TABLE,3,FALSE)</f>
        <v>0.15833333333333333</v>
      </c>
      <c r="AL39" t="str">
        <f>CONCATENATE("A(",AD39,")=")</f>
        <v>A(0.5)=</v>
      </c>
      <c r="AM39">
        <f>AI39+AK39</f>
        <v>0.35833333333333334</v>
      </c>
      <c r="AO39" s="68" t="str">
        <f>AA39</f>
        <v>A(0.5)=</v>
      </c>
      <c r="AP39" s="68" t="e">
        <f>VLOOKUP(AO39,Rise_Results,2,FALSE)</f>
        <v>#N/A</v>
      </c>
      <c r="AQ39" s="76">
        <f>N39</f>
        <v>0.3666666666666667</v>
      </c>
      <c r="AR39" s="76">
        <f>IF(OR(AB39&lt;=0,AB40&lt;=0),1/0,AB39)</f>
        <v>0.35749999999999998</v>
      </c>
      <c r="AS39" s="76">
        <f>AM39</f>
        <v>0.35833333333333334</v>
      </c>
      <c r="AT39">
        <f>IFERROR(AP39,IFERROR(AQ39,IFERROR(AR39,AS39)))</f>
        <v>0.3666666666666667</v>
      </c>
    </row>
    <row r="40" spans="1:47" x14ac:dyDescent="0.25">
      <c r="A40">
        <v>4</v>
      </c>
      <c r="F40" s="82">
        <f>SUM(F37:F39)</f>
        <v>1.1000000000000001</v>
      </c>
      <c r="H40" s="82">
        <f>SUM(H37:H39)</f>
        <v>0.30000000000000004</v>
      </c>
      <c r="I40" s="84" t="str">
        <f>CONCATENATE("m'(",C39,")=")</f>
        <v>m'(0.5)=</v>
      </c>
      <c r="J40" s="84">
        <f>2*(J37*(WLS))/3*H40</f>
        <v>0.2</v>
      </c>
      <c r="K40" s="84" t="str">
        <f>CONCATENATE("M(",C37,")=")</f>
        <v>M(0)=</v>
      </c>
      <c r="L40" s="84">
        <f>VLOOKUP(C37,STN_TABLE,4,FALSE)</f>
        <v>0</v>
      </c>
      <c r="M40" t="str">
        <f>CONCATENATE("M(",C39,")=")</f>
        <v>M(0.5)=</v>
      </c>
      <c r="N40">
        <f>J40+L40</f>
        <v>0.2</v>
      </c>
      <c r="O40" s="99">
        <f>O39+1</f>
        <v>5</v>
      </c>
      <c r="P40" s="99">
        <f t="shared" si="10"/>
        <v>1</v>
      </c>
      <c r="T40" s="89">
        <f>SUM(T37:T39)</f>
        <v>2.39</v>
      </c>
      <c r="V40" s="82">
        <f>SUM(V37:V39)</f>
        <v>2.39</v>
      </c>
      <c r="W40" s="84" t="str">
        <f>CONCATENATE("m'(",Q38,")=")</f>
        <v>m'(0.5)=</v>
      </c>
      <c r="X40" s="84">
        <f>(2*(X37^2)/24*V40)+(X39*Q37*WLS)</f>
        <v>0.14937499999999998</v>
      </c>
      <c r="Y40" s="84" t="str">
        <f>CONCATENATE("M(",Q37,")=")</f>
        <v>M(0.25)=</v>
      </c>
      <c r="Z40" s="84">
        <f>VLOOKUP(Q37,STN_TABLE,4,FALSE)</f>
        <v>4.374999999999999E-2</v>
      </c>
      <c r="AA40" t="str">
        <f>CONCATENATE("M(",Q38,")=")</f>
        <v>M(0.5)=</v>
      </c>
      <c r="AB40">
        <f>X40+Z40</f>
        <v>0.19312499999999996</v>
      </c>
      <c r="AE40" s="89">
        <f>SUM(AE38:AE39)</f>
        <v>0.4</v>
      </c>
      <c r="AG40" s="89">
        <f>SUM(AG38:AG39)</f>
        <v>0.60000000000000009</v>
      </c>
      <c r="AH40" s="84" t="str">
        <f>CONCATENATE("m'(",AD39,")=")</f>
        <v>m'(0.5)=</v>
      </c>
      <c r="AI40" s="84">
        <f>(2*(AI37^2)/6*AG40)+(AI39*AD38*WLS)</f>
        <v>0.15000000000000002</v>
      </c>
      <c r="AJ40" s="84" t="str">
        <f>CONCATENATE("M(",AD38,")=")</f>
        <v>M(0.25)=</v>
      </c>
      <c r="AK40" s="84">
        <f>VLOOKUP(AD38,STN_TABLE,4,FALSE)</f>
        <v>4.374999999999999E-2</v>
      </c>
      <c r="AL40" t="str">
        <f>CONCATENATE("M(",AD39,")=")</f>
        <v>M(0.5)=</v>
      </c>
      <c r="AM40">
        <f>AI40+AK40</f>
        <v>0.19375000000000001</v>
      </c>
      <c r="AO40" s="82" t="str">
        <f>AA40</f>
        <v>M(0.5)=</v>
      </c>
      <c r="AP40" s="82" t="e">
        <f>VLOOKUP(AO40,Rise_Results,2,FALSE)</f>
        <v>#N/A</v>
      </c>
      <c r="AQ40" s="82">
        <f>N40</f>
        <v>0.2</v>
      </c>
      <c r="AR40" s="82">
        <f>IF(OR(AB39&lt;=0,AB40&lt;=0),1/0,AB40)</f>
        <v>0.19312499999999996</v>
      </c>
      <c r="AS40" s="82">
        <f>AM40</f>
        <v>0.19375000000000001</v>
      </c>
      <c r="AT40">
        <f>IFERROR(AP40,IFERROR(AQ40,IFERROR(AR40,AS40)))</f>
        <v>0.2</v>
      </c>
    </row>
    <row r="41" spans="1:47" x14ac:dyDescent="0.25">
      <c r="A41" s="94">
        <v>0</v>
      </c>
      <c r="O41" s="101">
        <f>O36+1</f>
        <v>2</v>
      </c>
      <c r="P41" s="101">
        <f t="shared" si="10"/>
        <v>0.25</v>
      </c>
    </row>
    <row r="42" spans="1:47" x14ac:dyDescent="0.25">
      <c r="A42" s="94">
        <f>A41+1</f>
        <v>1</v>
      </c>
      <c r="B42" s="94">
        <f t="shared" ref="B42:B73" si="11">VLOOKUP(A42,STN_TABLE_2,2,FALSE)</f>
        <v>0</v>
      </c>
      <c r="C42" s="79">
        <f>IF(C43=B43,B42,IF(C43=B44,IF(C44-C43=C43-B43,B43,IF(C44-C43=C43-B42,B42,"NA"))))</f>
        <v>0.25</v>
      </c>
      <c r="D42" s="68">
        <f>VLOOKUP(C42,STN_TABLE,2,FALSE)</f>
        <v>0.2</v>
      </c>
      <c r="E42" s="102">
        <v>1</v>
      </c>
      <c r="F42" s="68">
        <f>D42*E42</f>
        <v>0.2</v>
      </c>
      <c r="G42" s="69">
        <f>C42</f>
        <v>0.25</v>
      </c>
      <c r="H42" s="69">
        <f>F42*G42</f>
        <v>0.05</v>
      </c>
      <c r="I42" s="6" t="s">
        <v>93</v>
      </c>
      <c r="J42" s="70">
        <f>IF(OR(D42=0,D43=0,D44=0),"#NA",IF(AND(C44-C43=C43-C42,C43&lt;&gt;C44,C42&lt;&gt;C43,C42&lt;&gt;C44,D44&lt;&gt;0,OR(D42&lt;&gt;0,D43&lt;&gt;0)),WLS*(C44-C43),"#NA"))</f>
        <v>0.5</v>
      </c>
      <c r="O42" s="99">
        <f>O41+1</f>
        <v>3</v>
      </c>
      <c r="P42" s="99">
        <f t="shared" si="10"/>
        <v>0.5</v>
      </c>
      <c r="Q42" s="68">
        <f>IF(OR(P44-P43=P43-P42,P45-P43=P43-P42),P42,IF(OR(P44-P43=P43-P41,P45-P43=P43-P41),P41,"-"))</f>
        <v>0.5</v>
      </c>
      <c r="R42" s="69">
        <f>VLOOKUP(Q42,STN_TABLE,2,FALSE)</f>
        <v>0.2</v>
      </c>
      <c r="S42" s="69">
        <v>5</v>
      </c>
      <c r="T42" s="68">
        <f>R42*S42</f>
        <v>1</v>
      </c>
      <c r="U42" s="79">
        <v>3</v>
      </c>
      <c r="V42" s="68">
        <f>R42*U42</f>
        <v>0.60000000000000009</v>
      </c>
      <c r="W42" s="6" t="s">
        <v>93</v>
      </c>
      <c r="X42" s="70">
        <f>IF(AND(Q44-Q43=Q43-Q42,NOT(AND(Q42=0,Q43=0)),NOT(AND(Q43=0,Q44=0))),WLS*(Q44-Q43),"#NA")</f>
        <v>0.5</v>
      </c>
      <c r="AD42" s="93"/>
      <c r="AH42" s="6" t="s">
        <v>93</v>
      </c>
      <c r="AI42" s="70">
        <f>WLS*(AD44-AD43)</f>
        <v>0.5</v>
      </c>
      <c r="AU42" s="81"/>
    </row>
    <row r="43" spans="1:47" x14ac:dyDescent="0.25">
      <c r="A43" s="94">
        <f>A42+1</f>
        <v>2</v>
      </c>
      <c r="B43" s="94">
        <f t="shared" si="11"/>
        <v>0.25</v>
      </c>
      <c r="C43" s="80">
        <f>IF(OR(B45-B44=B44-B43,B45-B44=B44-B42,),B44,IF(B45-B43=B43-B42,B43,"#NA"))</f>
        <v>0.5</v>
      </c>
      <c r="D43" s="76">
        <f>VLOOKUP(C43,STN_TABLE,2,FALSE)</f>
        <v>0.2</v>
      </c>
      <c r="E43" s="81">
        <v>4</v>
      </c>
      <c r="F43" s="76">
        <f>D43*E43</f>
        <v>0.8</v>
      </c>
      <c r="G43" s="77">
        <f>C43</f>
        <v>0.5</v>
      </c>
      <c r="H43" s="77">
        <f>F43*G43</f>
        <v>0.4</v>
      </c>
      <c r="I43" s="496" t="s">
        <v>97</v>
      </c>
      <c r="J43" s="496"/>
      <c r="K43" s="78" t="s">
        <v>98</v>
      </c>
      <c r="L43" s="78"/>
      <c r="M43" s="7" t="s">
        <v>99</v>
      </c>
      <c r="N43" s="7"/>
      <c r="O43" s="99">
        <f>O42+1</f>
        <v>4</v>
      </c>
      <c r="P43" s="99">
        <f t="shared" si="10"/>
        <v>0.75</v>
      </c>
      <c r="Q43" s="76">
        <f>P43</f>
        <v>0.75</v>
      </c>
      <c r="R43" s="77">
        <f>VLOOKUP(Q43,STN_TABLE,2,FALSE)</f>
        <v>0.21</v>
      </c>
      <c r="S43" s="77">
        <v>8</v>
      </c>
      <c r="T43" s="76">
        <f>R43*S43</f>
        <v>1.68</v>
      </c>
      <c r="U43" s="80">
        <v>10</v>
      </c>
      <c r="V43" s="76">
        <f>R43*U43</f>
        <v>2.1</v>
      </c>
      <c r="W43" s="496" t="s">
        <v>97</v>
      </c>
      <c r="X43" s="496"/>
      <c r="Y43" s="496" t="s">
        <v>98</v>
      </c>
      <c r="Z43" s="496"/>
      <c r="AA43" s="494" t="s">
        <v>99</v>
      </c>
      <c r="AB43" s="494"/>
      <c r="AC43" s="99">
        <f>AC38+1</f>
        <v>3</v>
      </c>
      <c r="AD43" s="95">
        <f>VLOOKUP(AC43,STN_TABLE_2,2,FALSE)</f>
        <v>0.5</v>
      </c>
      <c r="AE43" s="68">
        <f>VLOOKUP(AD43,STN_TABLE,2,FALSE)</f>
        <v>0.2</v>
      </c>
      <c r="AF43" s="68">
        <v>1</v>
      </c>
      <c r="AG43" s="69">
        <f>AE43*AF43</f>
        <v>0.2</v>
      </c>
      <c r="AH43" s="496" t="s">
        <v>97</v>
      </c>
      <c r="AI43" s="496"/>
      <c r="AJ43" s="496" t="s">
        <v>98</v>
      </c>
      <c r="AK43" s="496"/>
      <c r="AL43" s="494" t="s">
        <v>99</v>
      </c>
      <c r="AM43" s="494"/>
      <c r="AP43" s="86" t="s">
        <v>112</v>
      </c>
      <c r="AQ43" s="89" t="s">
        <v>113</v>
      </c>
      <c r="AR43" s="89" t="s">
        <v>114</v>
      </c>
      <c r="AS43" s="89" t="s">
        <v>115</v>
      </c>
      <c r="AU43" s="81"/>
    </row>
    <row r="44" spans="1:47" x14ac:dyDescent="0.25">
      <c r="A44" s="94">
        <f>A43+1</f>
        <v>3</v>
      </c>
      <c r="B44" s="94">
        <f t="shared" si="11"/>
        <v>0.5</v>
      </c>
      <c r="C44" s="88">
        <f>B45</f>
        <v>0.75</v>
      </c>
      <c r="D44" s="82">
        <f>VLOOKUP(C44,STN_TABLE,2,FALSE)</f>
        <v>0.21</v>
      </c>
      <c r="E44" s="92">
        <v>1</v>
      </c>
      <c r="F44" s="82">
        <f>D44*E44</f>
        <v>0.21</v>
      </c>
      <c r="G44" s="83">
        <f>C44</f>
        <v>0.75</v>
      </c>
      <c r="H44" s="83">
        <f>F44*G44</f>
        <v>0.1575</v>
      </c>
      <c r="I44" s="84" t="str">
        <f>CONCATENATE("a'(",C44,")=")</f>
        <v>a'(0.75)=</v>
      </c>
      <c r="J44" s="84">
        <f>2*J42/3*F45</f>
        <v>0.40333333333333332</v>
      </c>
      <c r="K44" s="84" t="str">
        <f>CONCATENATE("A(",C42,")=")</f>
        <v>A(0.25)=</v>
      </c>
      <c r="L44" s="84">
        <f>VLOOKUP(C42,STN_TABLE,3,FALSE)</f>
        <v>0.15833333333333333</v>
      </c>
      <c r="M44" t="str">
        <f>CONCATENATE("A(",C44,")=")</f>
        <v>A(0.75)=</v>
      </c>
      <c r="N44">
        <f>J44+L44</f>
        <v>0.56166666666666665</v>
      </c>
      <c r="O44" s="99">
        <f>O43+1</f>
        <v>5</v>
      </c>
      <c r="P44" s="99">
        <f t="shared" si="10"/>
        <v>1</v>
      </c>
      <c r="Q44" s="82">
        <f>IF(P44-P43=P43-P42,P44,IF(P45-P43=P43-P42,P45,IF(P44-P43=P43-P41,P44,IF(P45-P43=P43-P41,P45,"-"))))</f>
        <v>1</v>
      </c>
      <c r="R44" s="83">
        <f>VLOOKUP(Q44,STN_TABLE,2,FALSE)</f>
        <v>0.25</v>
      </c>
      <c r="S44" s="83">
        <v>-1</v>
      </c>
      <c r="T44" s="82">
        <f>R44*S44</f>
        <v>-0.25</v>
      </c>
      <c r="U44" s="88">
        <v>-1</v>
      </c>
      <c r="V44" s="82">
        <f>R44*U44</f>
        <v>-0.25</v>
      </c>
      <c r="W44" s="84" t="str">
        <f>CONCATENATE("a'(",Q43,")=")</f>
        <v>a'(0.75)=</v>
      </c>
      <c r="X44" s="84">
        <f>2*X42/12*T45</f>
        <v>0.20249999999999996</v>
      </c>
      <c r="Y44" s="84" t="str">
        <f>CONCATENATE("A(",Q42,")=")</f>
        <v>A(0.5)=</v>
      </c>
      <c r="Z44" s="84">
        <f>VLOOKUP(Q42,STN_TABLE,3,FALSE)</f>
        <v>0.3666666666666667</v>
      </c>
      <c r="AA44" t="str">
        <f>CONCATENATE("A(",Q43,")=")</f>
        <v>A(0.75)=</v>
      </c>
      <c r="AB44">
        <f>X44+Z44</f>
        <v>0.5691666666666666</v>
      </c>
      <c r="AC44" s="99">
        <f>AC43+1</f>
        <v>4</v>
      </c>
      <c r="AD44" s="100">
        <f>VLOOKUP(AC44,STN_TABLE_2,2,FALSE)</f>
        <v>0.75</v>
      </c>
      <c r="AE44" s="82">
        <f>VLOOKUP(AD44,STN_TABLE,2,FALSE)</f>
        <v>0.21</v>
      </c>
      <c r="AF44" s="82">
        <v>2</v>
      </c>
      <c r="AG44" s="83">
        <f>AE44*AF44</f>
        <v>0.42</v>
      </c>
      <c r="AH44" s="84" t="str">
        <f>CONCATENATE("a'(",AD44,")=")</f>
        <v>a'(0.75)=</v>
      </c>
      <c r="AI44" s="84">
        <f>2*AI42/2*AE45</f>
        <v>0.20500000000000002</v>
      </c>
      <c r="AJ44" s="84" t="str">
        <f>CONCATENATE("A(",AD43,")=")</f>
        <v>A(0.5)=</v>
      </c>
      <c r="AK44" s="84">
        <f>VLOOKUP(AD43,STN_TABLE,3,FALSE)</f>
        <v>0.3666666666666667</v>
      </c>
      <c r="AL44" t="str">
        <f>CONCATENATE("A(",AD44,")=")</f>
        <v>A(0.75)=</v>
      </c>
      <c r="AM44">
        <f>AI44+AK44</f>
        <v>0.57166666666666677</v>
      </c>
      <c r="AO44" s="68" t="str">
        <f>AA44</f>
        <v>A(0.75)=</v>
      </c>
      <c r="AP44" s="68" t="e">
        <f>VLOOKUP(AO44,Rise_Results,2,FALSE)</f>
        <v>#N/A</v>
      </c>
      <c r="AQ44" s="76">
        <f>N44</f>
        <v>0.56166666666666665</v>
      </c>
      <c r="AR44" s="76">
        <f>IF(OR(AB44&lt;=0,AB45&lt;=0),1/0,AB44)</f>
        <v>0.5691666666666666</v>
      </c>
      <c r="AS44" s="76">
        <f>AM44</f>
        <v>0.57166666666666677</v>
      </c>
      <c r="AT44">
        <f>IFERROR(AP44,IFERROR(AQ44,IFERROR(AR44,AS44)))</f>
        <v>0.56166666666666665</v>
      </c>
      <c r="AU44" s="81"/>
    </row>
    <row r="45" spans="1:47" x14ac:dyDescent="0.25">
      <c r="A45" s="94">
        <f>A44+1</f>
        <v>4</v>
      </c>
      <c r="B45" s="94">
        <f t="shared" si="11"/>
        <v>0.75</v>
      </c>
      <c r="F45" s="82">
        <f>SUM(F42:F44)</f>
        <v>1.21</v>
      </c>
      <c r="H45" s="82">
        <f>SUM(H42:H44)</f>
        <v>0.60750000000000004</v>
      </c>
      <c r="I45" s="84" t="str">
        <f>CONCATENATE("m'(",C44,")=")</f>
        <v>m'(0.75)=</v>
      </c>
      <c r="J45" s="84">
        <f>2*(J42*(WLS))/3*H45</f>
        <v>0.40500000000000003</v>
      </c>
      <c r="K45" s="84" t="str">
        <f>CONCATENATE("M(",C42,")=")</f>
        <v>M(0.25)=</v>
      </c>
      <c r="L45" s="84">
        <f>VLOOKUP(C42,STN_TABLE,4,FALSE)</f>
        <v>4.374999999999999E-2</v>
      </c>
      <c r="M45" t="str">
        <f>CONCATENATE("M(",C44,")=")</f>
        <v>M(0.75)=</v>
      </c>
      <c r="N45">
        <f>J45+L45</f>
        <v>0.44875000000000004</v>
      </c>
      <c r="O45" s="99">
        <f>O44+1</f>
        <v>6</v>
      </c>
      <c r="P45" s="99">
        <f t="shared" si="10"/>
        <v>2</v>
      </c>
      <c r="T45" s="89">
        <f>SUM(T42:T44)</f>
        <v>2.4299999999999997</v>
      </c>
      <c r="V45" s="82">
        <f>SUM(V42:V44)</f>
        <v>2.4500000000000002</v>
      </c>
      <c r="W45" s="84" t="str">
        <f>CONCATENATE("m'(",Q43,")=")</f>
        <v>m'(0.75)=</v>
      </c>
      <c r="X45" s="84">
        <f>(2*(X42^2)/24*V45)+(X44*Q42*WLS)</f>
        <v>0.25354166666666661</v>
      </c>
      <c r="Y45" s="84" t="str">
        <f>CONCATENATE("M(",Q42,")=")</f>
        <v>M(0.5)=</v>
      </c>
      <c r="Z45" s="84">
        <f>VLOOKUP(Q42,STN_TABLE,4,FALSE)</f>
        <v>0.2</v>
      </c>
      <c r="AA45" t="str">
        <f>CONCATENATE("M(",Q43,")=")</f>
        <v>M(0.75)=</v>
      </c>
      <c r="AB45">
        <f>X45+Z45</f>
        <v>0.45354166666666662</v>
      </c>
      <c r="AE45" s="89">
        <f>SUM(AE43:AE44)</f>
        <v>0.41000000000000003</v>
      </c>
      <c r="AG45" s="89">
        <f>SUM(AG43:AG44)</f>
        <v>0.62</v>
      </c>
      <c r="AH45" s="84" t="str">
        <f>CONCATENATE("m'(",AD44,")=")</f>
        <v>m'(0.75)=</v>
      </c>
      <c r="AI45" s="84">
        <f>(2*(AI42^2)/6*AG45)+(AI44*AD43*WLS)</f>
        <v>0.25666666666666671</v>
      </c>
      <c r="AJ45" s="84" t="str">
        <f>CONCATENATE("M(",AD43,")=")</f>
        <v>M(0.5)=</v>
      </c>
      <c r="AK45" s="84">
        <f>VLOOKUP(AD43,STN_TABLE,4,FALSE)</f>
        <v>0.2</v>
      </c>
      <c r="AL45" t="str">
        <f>CONCATENATE("M(",AD44,")=")</f>
        <v>M(0.75)=</v>
      </c>
      <c r="AM45">
        <f>AI45+AK45</f>
        <v>0.45666666666666672</v>
      </c>
      <c r="AO45" s="82" t="str">
        <f>AA45</f>
        <v>M(0.75)=</v>
      </c>
      <c r="AP45" s="82" t="e">
        <f>VLOOKUP(AO45,Rise_Results,2,FALSE)</f>
        <v>#N/A</v>
      </c>
      <c r="AQ45" s="82">
        <f>N45</f>
        <v>0.44875000000000004</v>
      </c>
      <c r="AR45" s="82">
        <f>IF(OR(AB44&lt;=0,AB45&lt;=0),1/0,AB45)</f>
        <v>0.45354166666666662</v>
      </c>
      <c r="AS45" s="82">
        <f>AM45</f>
        <v>0.45666666666666672</v>
      </c>
      <c r="AT45">
        <f>IFERROR(AP45,IFERROR(AQ45,IFERROR(AR45,AS45)))</f>
        <v>0.44875000000000004</v>
      </c>
      <c r="AU45" s="81"/>
    </row>
    <row r="46" spans="1:47" x14ac:dyDescent="0.25">
      <c r="A46" s="101">
        <f>A41+1</f>
        <v>1</v>
      </c>
      <c r="B46" s="101">
        <f t="shared" si="11"/>
        <v>0</v>
      </c>
      <c r="O46" s="101">
        <f>O41+1</f>
        <v>3</v>
      </c>
      <c r="P46" s="101">
        <f t="shared" si="10"/>
        <v>0.5</v>
      </c>
      <c r="AU46" s="81"/>
    </row>
    <row r="47" spans="1:47" x14ac:dyDescent="0.25">
      <c r="A47" s="84">
        <f>A46+1</f>
        <v>2</v>
      </c>
      <c r="B47" s="84">
        <f t="shared" si="11"/>
        <v>0.25</v>
      </c>
      <c r="C47" s="79">
        <f>IF(C48=B49,IF(C49-C48=C48-B48,B48,IF(C49-C48=C48-B47,B47,"#NA")),IF(C48=B48,IF(C49-C48=C48-B47,B47,IF(C49-C48=C48-B46,B46,"#NA")),"#NA"))</f>
        <v>0.5</v>
      </c>
      <c r="D47" s="68">
        <f>VLOOKUP(C47,STN_TABLE,2,FALSE)</f>
        <v>0.2</v>
      </c>
      <c r="E47" s="102">
        <v>1</v>
      </c>
      <c r="F47" s="68">
        <f>D47*E47</f>
        <v>0.2</v>
      </c>
      <c r="G47" s="69">
        <f>C47</f>
        <v>0.5</v>
      </c>
      <c r="H47" s="69">
        <f>F47*G47</f>
        <v>0.1</v>
      </c>
      <c r="I47" s="6" t="s">
        <v>93</v>
      </c>
      <c r="J47" s="70">
        <f>IF(OR(D47=0,D48=0,D49=0),"#NA",IF(AND(C49-C48=C48-C47,C48&lt;&gt;C49,C47&lt;&gt;C48,C47&lt;&gt;C49,D49&lt;&gt;0,OR(D47&lt;&gt;0,D48&lt;&gt;0)),WLS*(C49-C48),"#NA"))</f>
        <v>0.5</v>
      </c>
      <c r="O47" s="99">
        <f>O46+1</f>
        <v>4</v>
      </c>
      <c r="P47" s="99">
        <f t="shared" si="10"/>
        <v>0.75</v>
      </c>
      <c r="Q47" s="68" t="str">
        <f>IF(OR(P49-P48=P48-P47,P50-P48=P48-P47),P47,IF(OR(P49-P48=P48-P46,P50-P48=P48-P46),P46,"-"))</f>
        <v>-</v>
      </c>
      <c r="R47" s="69" t="e">
        <f>VLOOKUP(Q47,STN_TABLE,2,FALSE)</f>
        <v>#N/A</v>
      </c>
      <c r="S47" s="69">
        <v>5</v>
      </c>
      <c r="T47" s="68" t="e">
        <f>R47*S47</f>
        <v>#N/A</v>
      </c>
      <c r="U47" s="79">
        <v>3</v>
      </c>
      <c r="V47" s="68" t="e">
        <f>R47*U47</f>
        <v>#N/A</v>
      </c>
      <c r="W47" s="6" t="s">
        <v>93</v>
      </c>
      <c r="X47" s="70" t="e">
        <f>IF(AND(Q49-Q48=Q48-Q47,NOT(AND(Q47=0,Q48=0)),NOT(AND(Q48=0,Q49=0))),WLS*(Q49-Q48),"#NA")</f>
        <v>#VALUE!</v>
      </c>
      <c r="AD47" s="93"/>
      <c r="AH47" s="6" t="s">
        <v>93</v>
      </c>
      <c r="AI47" s="70">
        <f>WLS*(AD49-AD48)</f>
        <v>0.5</v>
      </c>
      <c r="AU47" s="81"/>
    </row>
    <row r="48" spans="1:47" x14ac:dyDescent="0.25">
      <c r="A48" s="84">
        <f>A47+1</f>
        <v>3</v>
      </c>
      <c r="B48" s="84">
        <f t="shared" si="11"/>
        <v>0.5</v>
      </c>
      <c r="C48" s="80">
        <f>IF(OR(B50-B49=B49-B48,B50-B49=B49-B47,B50-B49=B49-B46),B49,IF(OR(B50-B48=B48-B47,B50-B48=B48-B46),B48,IF(B50-B47=B47-B46,B47,"#NA")))</f>
        <v>0.75</v>
      </c>
      <c r="D48" s="76">
        <f>VLOOKUP(C48,STN_TABLE,2,FALSE)</f>
        <v>0.21</v>
      </c>
      <c r="E48" s="81">
        <v>4</v>
      </c>
      <c r="F48" s="76">
        <f>D48*E48</f>
        <v>0.84</v>
      </c>
      <c r="G48" s="77">
        <f>C48</f>
        <v>0.75</v>
      </c>
      <c r="H48" s="77">
        <f>F48*G48</f>
        <v>0.63</v>
      </c>
      <c r="I48" s="496" t="s">
        <v>97</v>
      </c>
      <c r="J48" s="496"/>
      <c r="K48" s="78" t="s">
        <v>98</v>
      </c>
      <c r="L48" s="78"/>
      <c r="M48" s="7" t="s">
        <v>99</v>
      </c>
      <c r="N48" s="7"/>
      <c r="O48" s="99">
        <f>O47+1</f>
        <v>5</v>
      </c>
      <c r="P48" s="99">
        <f t="shared" si="10"/>
        <v>1</v>
      </c>
      <c r="Q48" s="76">
        <f>P48</f>
        <v>1</v>
      </c>
      <c r="R48" s="77">
        <f>VLOOKUP(Q48,STN_TABLE,2,FALSE)</f>
        <v>0.25</v>
      </c>
      <c r="S48" s="77">
        <v>8</v>
      </c>
      <c r="T48" s="76">
        <f>R48*S48</f>
        <v>2</v>
      </c>
      <c r="U48" s="80">
        <v>10</v>
      </c>
      <c r="V48" s="76">
        <f>R48*U48</f>
        <v>2.5</v>
      </c>
      <c r="W48" s="496" t="s">
        <v>97</v>
      </c>
      <c r="X48" s="496"/>
      <c r="Y48" s="496" t="s">
        <v>98</v>
      </c>
      <c r="Z48" s="496"/>
      <c r="AA48" s="494" t="s">
        <v>99</v>
      </c>
      <c r="AB48" s="494"/>
      <c r="AC48" s="99">
        <f>AC43+1</f>
        <v>4</v>
      </c>
      <c r="AD48" s="95">
        <f>VLOOKUP(AC48,STN_TABLE_2,2,FALSE)</f>
        <v>0.75</v>
      </c>
      <c r="AE48" s="68">
        <f>VLOOKUP(AD48,STN_TABLE,2,FALSE)</f>
        <v>0.21</v>
      </c>
      <c r="AF48" s="68">
        <v>1</v>
      </c>
      <c r="AG48" s="69">
        <f>AE48*AF48</f>
        <v>0.21</v>
      </c>
      <c r="AH48" s="496" t="s">
        <v>97</v>
      </c>
      <c r="AI48" s="496"/>
      <c r="AJ48" s="496" t="s">
        <v>98</v>
      </c>
      <c r="AK48" s="496"/>
      <c r="AL48" s="494" t="s">
        <v>99</v>
      </c>
      <c r="AM48" s="494"/>
      <c r="AP48" s="86" t="s">
        <v>112</v>
      </c>
      <c r="AQ48" s="89" t="s">
        <v>113</v>
      </c>
      <c r="AR48" s="89" t="s">
        <v>114</v>
      </c>
      <c r="AS48" s="89" t="s">
        <v>115</v>
      </c>
      <c r="AU48" s="81"/>
    </row>
    <row r="49" spans="1:47" x14ac:dyDescent="0.25">
      <c r="A49" s="84">
        <f>A48+1</f>
        <v>4</v>
      </c>
      <c r="B49" s="84">
        <f t="shared" si="11"/>
        <v>0.75</v>
      </c>
      <c r="C49" s="88">
        <f>B50</f>
        <v>1</v>
      </c>
      <c r="D49" s="82">
        <f>VLOOKUP(C49,STN_TABLE,2,FALSE)</f>
        <v>0.25</v>
      </c>
      <c r="E49" s="92">
        <v>1</v>
      </c>
      <c r="F49" s="82">
        <f>D49*E49</f>
        <v>0.25</v>
      </c>
      <c r="G49" s="83">
        <f>C49</f>
        <v>1</v>
      </c>
      <c r="H49" s="83">
        <f>F49*G49</f>
        <v>0.25</v>
      </c>
      <c r="I49" s="84" t="str">
        <f>CONCATENATE("a'(",C49,")=")</f>
        <v>a'(1)=</v>
      </c>
      <c r="J49" s="84">
        <f>2*J47/3*F50</f>
        <v>0.43</v>
      </c>
      <c r="K49" s="84" t="str">
        <f>CONCATENATE("A(",C47,")=")</f>
        <v>A(0.5)=</v>
      </c>
      <c r="L49" s="84">
        <f>VLOOKUP(C47,STN_TABLE,3,FALSE)</f>
        <v>0.3666666666666667</v>
      </c>
      <c r="M49" t="str">
        <f>CONCATENATE("A(",C49,")=")</f>
        <v>A(1)=</v>
      </c>
      <c r="N49">
        <f>J49+L49</f>
        <v>0.79666666666666663</v>
      </c>
      <c r="O49" s="99">
        <f>O48+1</f>
        <v>6</v>
      </c>
      <c r="P49" s="99">
        <f t="shared" si="10"/>
        <v>2</v>
      </c>
      <c r="Q49" s="82" t="str">
        <f>IF(P49-P48=P48-P47,P49,IF(P50-P48=P48-P47,P50,IF(P49-P48=P48-P46,P49,IF(P50-P48=P48-P46,P50,"-"))))</f>
        <v>-</v>
      </c>
      <c r="R49" s="83" t="e">
        <f>VLOOKUP(Q49,STN_TABLE,2,FALSE)</f>
        <v>#N/A</v>
      </c>
      <c r="S49" s="83">
        <v>-1</v>
      </c>
      <c r="T49" s="82" t="e">
        <f>R49*S49</f>
        <v>#N/A</v>
      </c>
      <c r="U49" s="88">
        <v>-1</v>
      </c>
      <c r="V49" s="82" t="e">
        <f>R49*U49</f>
        <v>#N/A</v>
      </c>
      <c r="W49" s="84" t="str">
        <f>CONCATENATE("a'(",Q48,")=")</f>
        <v>a'(1)=</v>
      </c>
      <c r="X49" s="84" t="e">
        <f>2*X47/12*T50</f>
        <v>#VALUE!</v>
      </c>
      <c r="Y49" s="84" t="str">
        <f>CONCATENATE("A(",Q47,")=")</f>
        <v>A(-)=</v>
      </c>
      <c r="Z49" s="84" t="e">
        <f>VLOOKUP(Q47,STN_TABLE,3,FALSE)</f>
        <v>#N/A</v>
      </c>
      <c r="AA49" t="str">
        <f>CONCATENATE("A(",Q48,")=")</f>
        <v>A(1)=</v>
      </c>
      <c r="AB49" t="e">
        <f>X49+Z49</f>
        <v>#VALUE!</v>
      </c>
      <c r="AC49" s="99">
        <f>AC48+1</f>
        <v>5</v>
      </c>
      <c r="AD49" s="100">
        <f>VLOOKUP(AC49,STN_TABLE_2,2,FALSE)</f>
        <v>1</v>
      </c>
      <c r="AE49" s="82">
        <f>VLOOKUP(AD49,STN_TABLE,2,FALSE)</f>
        <v>0.25</v>
      </c>
      <c r="AF49" s="82">
        <v>2</v>
      </c>
      <c r="AG49" s="83">
        <f>AE49*AF49</f>
        <v>0.5</v>
      </c>
      <c r="AH49" s="84" t="str">
        <f>CONCATENATE("a'(",AD49,")=")</f>
        <v>a'(1)=</v>
      </c>
      <c r="AI49" s="84">
        <f>2*AI47/2*AE50</f>
        <v>0.22999999999999998</v>
      </c>
      <c r="AJ49" s="84" t="str">
        <f>CONCATENATE("A(",AD48,")=")</f>
        <v>A(0.75)=</v>
      </c>
      <c r="AK49" s="84">
        <f>VLOOKUP(AD48,STN_TABLE,3,FALSE)</f>
        <v>0.56166666666666665</v>
      </c>
      <c r="AL49" t="str">
        <f>CONCATENATE("A(",AD49,")=")</f>
        <v>A(1)=</v>
      </c>
      <c r="AM49">
        <f>AI49+AK49</f>
        <v>0.79166666666666663</v>
      </c>
      <c r="AO49" s="68" t="str">
        <f>AA49</f>
        <v>A(1)=</v>
      </c>
      <c r="AP49" s="68" t="e">
        <f>VLOOKUP(AO49,Rise_Results,2,FALSE)</f>
        <v>#N/A</v>
      </c>
      <c r="AQ49" s="76">
        <f>N49</f>
        <v>0.79666666666666663</v>
      </c>
      <c r="AR49" s="76" t="e">
        <f>IF(OR(AB49&lt;=0,AB50&lt;=0),1/0,AB49)</f>
        <v>#VALUE!</v>
      </c>
      <c r="AS49" s="76">
        <f>AM49</f>
        <v>0.79166666666666663</v>
      </c>
      <c r="AT49">
        <f>IFERROR(AP49,IFERROR(AQ49,IFERROR(AR49,AS49)))</f>
        <v>0.79666666666666663</v>
      </c>
      <c r="AU49" s="81"/>
    </row>
    <row r="50" spans="1:47" x14ac:dyDescent="0.25">
      <c r="A50" s="84">
        <f>A49+1</f>
        <v>5</v>
      </c>
      <c r="B50" s="84">
        <f t="shared" si="11"/>
        <v>1</v>
      </c>
      <c r="F50" s="82">
        <f>SUM(F47:F49)</f>
        <v>1.29</v>
      </c>
      <c r="H50" s="82">
        <f>SUM(H47:H49)</f>
        <v>0.98</v>
      </c>
      <c r="I50" s="84" t="str">
        <f>CONCATENATE("m'(",C49,")=")</f>
        <v>m'(1)=</v>
      </c>
      <c r="J50" s="84">
        <f>2*(J47*(WLS))/3*H50</f>
        <v>0.65333333333333332</v>
      </c>
      <c r="K50" s="84" t="str">
        <f>CONCATENATE("M(",C47,")=")</f>
        <v>M(0.5)=</v>
      </c>
      <c r="L50" s="84">
        <f>VLOOKUP(C47,STN_TABLE,4,FALSE)</f>
        <v>0.2</v>
      </c>
      <c r="M50" t="str">
        <f>CONCATENATE("M(",C49,")=")</f>
        <v>M(1)=</v>
      </c>
      <c r="N50">
        <f>J50+L50</f>
        <v>0.85333333333333328</v>
      </c>
      <c r="O50" s="99">
        <f>O49+1</f>
        <v>7</v>
      </c>
      <c r="P50" s="99">
        <f t="shared" si="10"/>
        <v>3</v>
      </c>
      <c r="T50" s="89" t="e">
        <f>SUM(T47:T49)</f>
        <v>#N/A</v>
      </c>
      <c r="V50" s="82" t="e">
        <f>SUM(V47:V49)</f>
        <v>#N/A</v>
      </c>
      <c r="W50" s="84" t="str">
        <f>CONCATENATE("m'(",Q48,")=")</f>
        <v>m'(1)=</v>
      </c>
      <c r="X50" s="84" t="e">
        <f>(2*(X47^2)/24*V50)+(X49*Q47*WLS)</f>
        <v>#VALUE!</v>
      </c>
      <c r="Y50" s="84" t="str">
        <f>CONCATENATE("M(",Q47,")=")</f>
        <v>M(-)=</v>
      </c>
      <c r="Z50" s="84" t="e">
        <f>VLOOKUP(Q47,STN_TABLE,4,FALSE)</f>
        <v>#N/A</v>
      </c>
      <c r="AA50" t="str">
        <f>CONCATENATE("M(",Q48,")=")</f>
        <v>M(1)=</v>
      </c>
      <c r="AB50" t="e">
        <f>X50+Z50</f>
        <v>#VALUE!</v>
      </c>
      <c r="AE50" s="89">
        <f>SUM(AE48:AE49)</f>
        <v>0.45999999999999996</v>
      </c>
      <c r="AG50" s="89">
        <f>SUM(AG48:AG49)</f>
        <v>0.71</v>
      </c>
      <c r="AH50" s="84" t="str">
        <f>CONCATENATE("m'(",AD49,")=")</f>
        <v>m'(1)=</v>
      </c>
      <c r="AI50" s="84">
        <f>(2*(AI47^2)/6*AG50)+(AI49*AD48*WLS)</f>
        <v>0.40416666666666662</v>
      </c>
      <c r="AJ50" s="84" t="str">
        <f>CONCATENATE("M(",AD48,")=")</f>
        <v>M(0.75)=</v>
      </c>
      <c r="AK50" s="84">
        <f>VLOOKUP(AD48,STN_TABLE,4,FALSE)</f>
        <v>0.44875000000000004</v>
      </c>
      <c r="AL50" t="str">
        <f>CONCATENATE("M(",AD49,")=")</f>
        <v>M(1)=</v>
      </c>
      <c r="AM50">
        <f>AI50+AK50</f>
        <v>0.85291666666666666</v>
      </c>
      <c r="AO50" s="82" t="str">
        <f>AA50</f>
        <v>M(1)=</v>
      </c>
      <c r="AP50" s="82" t="e">
        <f>VLOOKUP(AO50,Rise_Results,2,FALSE)</f>
        <v>#N/A</v>
      </c>
      <c r="AQ50" s="82">
        <f>N50</f>
        <v>0.85333333333333328</v>
      </c>
      <c r="AR50" s="82" t="e">
        <f>IF(OR(AB49&lt;=0,AB50&lt;=0),1/0,AB50)</f>
        <v>#VALUE!</v>
      </c>
      <c r="AS50" s="82">
        <f>AM50</f>
        <v>0.85291666666666666</v>
      </c>
      <c r="AT50">
        <f>IFERROR(AP50,IFERROR(AQ50,IFERROR(AR50,AS50)))</f>
        <v>0.85333333333333328</v>
      </c>
      <c r="AU50" s="81"/>
    </row>
    <row r="51" spans="1:47" x14ac:dyDescent="0.25">
      <c r="A51" s="101">
        <f>A46+1</f>
        <v>2</v>
      </c>
      <c r="B51" s="101">
        <f t="shared" si="11"/>
        <v>0.25</v>
      </c>
      <c r="O51" s="101">
        <f>O46+1</f>
        <v>4</v>
      </c>
      <c r="P51" s="101">
        <f t="shared" si="10"/>
        <v>0.75</v>
      </c>
      <c r="AU51" s="81"/>
    </row>
    <row r="52" spans="1:47" x14ac:dyDescent="0.25">
      <c r="A52" s="84">
        <f>A51+1</f>
        <v>3</v>
      </c>
      <c r="B52" s="84">
        <f t="shared" si="11"/>
        <v>0.5</v>
      </c>
      <c r="C52" s="79" t="str">
        <f t="shared" ref="C52" si="12">IF(C53=B54,IF(C54-C53=C53-B53,B53,IF(C54-C53=C53-B52,B52,"#NA")),IF(C53=B53,IF(C54-C53=C53-B52,B52,IF(C54-C53=C53-B51,B51,"#NA")),"#NA"))</f>
        <v>#NA</v>
      </c>
      <c r="D52" s="68" t="e">
        <f>VLOOKUP(C52,STN_TABLE,2,FALSE)</f>
        <v>#N/A</v>
      </c>
      <c r="E52" s="102">
        <v>1</v>
      </c>
      <c r="F52" s="68" t="e">
        <f>D52*E52</f>
        <v>#N/A</v>
      </c>
      <c r="G52" s="69" t="str">
        <f>C52</f>
        <v>#NA</v>
      </c>
      <c r="H52" s="69" t="e">
        <f>F52*G52</f>
        <v>#N/A</v>
      </c>
      <c r="I52" s="6" t="s">
        <v>93</v>
      </c>
      <c r="J52" s="70" t="e">
        <f>IF(OR(D52=0,D53=0,D54=0),"#NA",IF(AND(C54-C53=C53-C52,C53&lt;&gt;C54,C52&lt;&gt;C53,C52&lt;&gt;C54,D54&lt;&gt;0,OR(D52&lt;&gt;0,D53&lt;&gt;0)),WLS*(C54-C53),"#NA"))</f>
        <v>#N/A</v>
      </c>
      <c r="O52" s="99">
        <f>O51+1</f>
        <v>5</v>
      </c>
      <c r="P52" s="99">
        <f t="shared" si="10"/>
        <v>1</v>
      </c>
      <c r="Q52" s="68">
        <f>IF(OR(P54-P53=P53-P52,P55-P53=P53-P52),P52,IF(OR(P54-P53=P53-P51,P55-P53=P53-P51),P51,"-"))</f>
        <v>1</v>
      </c>
      <c r="R52" s="69">
        <f>VLOOKUP(Q52,STN_TABLE,2,FALSE)</f>
        <v>0.25</v>
      </c>
      <c r="S52" s="69">
        <v>5</v>
      </c>
      <c r="T52" s="68">
        <f>R52*S52</f>
        <v>1.25</v>
      </c>
      <c r="U52" s="79">
        <v>3</v>
      </c>
      <c r="V52" s="68">
        <f>R52*U52</f>
        <v>0.75</v>
      </c>
      <c r="W52" s="6" t="s">
        <v>93</v>
      </c>
      <c r="X52" s="70">
        <f>IF(AND(Q54-Q53=Q53-Q52,NOT(AND(Q52=0,Q53=0)),NOT(AND(Q53=0,Q54=0))),WLS*(Q54-Q53),"#NA")</f>
        <v>2</v>
      </c>
      <c r="AD52" s="93"/>
      <c r="AH52" s="6" t="s">
        <v>93</v>
      </c>
      <c r="AI52" s="70">
        <f>WLS*(AD54-AD53)</f>
        <v>2</v>
      </c>
      <c r="AU52" s="81"/>
    </row>
    <row r="53" spans="1:47" x14ac:dyDescent="0.25">
      <c r="A53" s="84">
        <f>A52+1</f>
        <v>4</v>
      </c>
      <c r="B53" s="84">
        <f t="shared" si="11"/>
        <v>0.75</v>
      </c>
      <c r="C53" s="80" t="str">
        <f t="shared" ref="C53" si="13">IF(OR(B55-B54=B54-B53,B55-B54=B54-B52,B55-B54=B54-B51),B54,IF(OR(B55-B53=B53-B52,B55-B53=B53-B51),B53,IF(B55-B52=B52-B51,B52,"#NA")))</f>
        <v>#NA</v>
      </c>
      <c r="D53" s="76" t="e">
        <f>VLOOKUP(C53,STN_TABLE,2,FALSE)</f>
        <v>#N/A</v>
      </c>
      <c r="E53" s="81">
        <v>4</v>
      </c>
      <c r="F53" s="76" t="e">
        <f>D53*E53</f>
        <v>#N/A</v>
      </c>
      <c r="G53" s="77" t="str">
        <f>C53</f>
        <v>#NA</v>
      </c>
      <c r="H53" s="77" t="e">
        <f>F53*G53</f>
        <v>#N/A</v>
      </c>
      <c r="I53" s="495" t="s">
        <v>97</v>
      </c>
      <c r="J53" s="496"/>
      <c r="K53" s="78" t="s">
        <v>98</v>
      </c>
      <c r="L53" s="78"/>
      <c r="M53" s="7" t="s">
        <v>99</v>
      </c>
      <c r="N53" s="7"/>
      <c r="O53" s="99">
        <f>O52+1</f>
        <v>6</v>
      </c>
      <c r="P53" s="99">
        <f t="shared" si="10"/>
        <v>2</v>
      </c>
      <c r="Q53" s="76">
        <f>P53</f>
        <v>2</v>
      </c>
      <c r="R53" s="77">
        <f>VLOOKUP(Q53,STN_TABLE,2,FALSE)</f>
        <v>0.33</v>
      </c>
      <c r="S53" s="77">
        <v>8</v>
      </c>
      <c r="T53" s="76">
        <f>R53*S53</f>
        <v>2.64</v>
      </c>
      <c r="U53" s="80">
        <v>10</v>
      </c>
      <c r="V53" s="76">
        <f>R53*U53</f>
        <v>3.3000000000000003</v>
      </c>
      <c r="W53" s="496" t="s">
        <v>97</v>
      </c>
      <c r="X53" s="496"/>
      <c r="Y53" s="496" t="s">
        <v>98</v>
      </c>
      <c r="Z53" s="496"/>
      <c r="AA53" s="494" t="s">
        <v>99</v>
      </c>
      <c r="AB53" s="494"/>
      <c r="AC53" s="99">
        <f>AC48+1</f>
        <v>5</v>
      </c>
      <c r="AD53" s="95">
        <f>VLOOKUP(AC53,STN_TABLE_2,2,FALSE)</f>
        <v>1</v>
      </c>
      <c r="AE53" s="68">
        <f>VLOOKUP(AD53,STN_TABLE,2,FALSE)</f>
        <v>0.25</v>
      </c>
      <c r="AF53" s="68">
        <v>1</v>
      </c>
      <c r="AG53" s="69">
        <f>AE53*AF53</f>
        <v>0.25</v>
      </c>
      <c r="AH53" s="496" t="s">
        <v>97</v>
      </c>
      <c r="AI53" s="496"/>
      <c r="AJ53" s="496" t="s">
        <v>98</v>
      </c>
      <c r="AK53" s="496"/>
      <c r="AL53" s="494" t="s">
        <v>99</v>
      </c>
      <c r="AM53" s="494"/>
      <c r="AP53" s="86" t="s">
        <v>112</v>
      </c>
      <c r="AQ53" s="89" t="s">
        <v>113</v>
      </c>
      <c r="AR53" s="89" t="s">
        <v>114</v>
      </c>
      <c r="AS53" s="89" t="s">
        <v>115</v>
      </c>
      <c r="AU53" s="81"/>
    </row>
    <row r="54" spans="1:47" x14ac:dyDescent="0.25">
      <c r="A54" s="84">
        <f>A53+1</f>
        <v>5</v>
      </c>
      <c r="B54" s="84">
        <f t="shared" si="11"/>
        <v>1</v>
      </c>
      <c r="C54" s="88">
        <f t="shared" ref="C54" si="14">B55</f>
        <v>2</v>
      </c>
      <c r="D54" s="82">
        <f>VLOOKUP(C54,STN_TABLE,2,FALSE)</f>
        <v>0.33</v>
      </c>
      <c r="E54" s="92">
        <v>1</v>
      </c>
      <c r="F54" s="82">
        <f>D54*E54</f>
        <v>0.33</v>
      </c>
      <c r="G54" s="83">
        <f>C54</f>
        <v>2</v>
      </c>
      <c r="H54" s="83">
        <f>F54*G54</f>
        <v>0.66</v>
      </c>
      <c r="I54" s="84" t="str">
        <f>CONCATENATE("a'(",C54,")=")</f>
        <v>a'(2)=</v>
      </c>
      <c r="J54" s="84" t="e">
        <f>2*J52/3*F55</f>
        <v>#N/A</v>
      </c>
      <c r="K54" s="84" t="str">
        <f>CONCATENATE("A(",C52,")=")</f>
        <v>A(#NA)=</v>
      </c>
      <c r="L54" s="84" t="e">
        <f>VLOOKUP(C52,STN_TABLE,3,FALSE)</f>
        <v>#N/A</v>
      </c>
      <c r="M54" t="str">
        <f>CONCATENATE("A(",C54,")=")</f>
        <v>A(2)=</v>
      </c>
      <c r="N54" t="e">
        <f>J54+L54</f>
        <v>#N/A</v>
      </c>
      <c r="O54" s="99">
        <f>O53+1</f>
        <v>7</v>
      </c>
      <c r="P54" s="99">
        <f t="shared" si="10"/>
        <v>3</v>
      </c>
      <c r="Q54" s="82">
        <f>IF(P54-P53=P53-P52,P54,IF(P55-P53=P53-P52,P55,IF(P54-P53=P53-P51,P54,IF(P55-P53=P53-P51,P55,"-"))))</f>
        <v>3</v>
      </c>
      <c r="R54" s="83">
        <f>VLOOKUP(Q54,STN_TABLE,2,FALSE)</f>
        <v>0.66</v>
      </c>
      <c r="S54" s="83">
        <v>-1</v>
      </c>
      <c r="T54" s="82">
        <f>R54*S54</f>
        <v>-0.66</v>
      </c>
      <c r="U54" s="88">
        <v>-1</v>
      </c>
      <c r="V54" s="82">
        <f>R54*U54</f>
        <v>-0.66</v>
      </c>
      <c r="W54" s="84" t="str">
        <f>CONCATENATE("a'(",Q53,")=")</f>
        <v>a'(2)=</v>
      </c>
      <c r="X54" s="84">
        <f>2*X52/12*T55</f>
        <v>1.0766666666666667</v>
      </c>
      <c r="Y54" s="84" t="str">
        <f>CONCATENATE("A(",Q52,")=")</f>
        <v>A(1)=</v>
      </c>
      <c r="Z54" s="84">
        <f>VLOOKUP(Q52,STN_TABLE,3,FALSE)</f>
        <v>0.79666666666666663</v>
      </c>
      <c r="AA54" t="str">
        <f>CONCATENATE("A(",Q53,")=")</f>
        <v>A(2)=</v>
      </c>
      <c r="AB54">
        <f>X54+Z54</f>
        <v>1.8733333333333333</v>
      </c>
      <c r="AC54" s="99">
        <f>AC53+1</f>
        <v>6</v>
      </c>
      <c r="AD54" s="100">
        <f>VLOOKUP(AC54,STN_TABLE_2,2,FALSE)</f>
        <v>2</v>
      </c>
      <c r="AE54" s="82">
        <f>VLOOKUP(AD54,STN_TABLE,2,FALSE)</f>
        <v>0.33</v>
      </c>
      <c r="AF54" s="82">
        <v>2</v>
      </c>
      <c r="AG54" s="83">
        <f>AE54*AF54</f>
        <v>0.66</v>
      </c>
      <c r="AH54" s="84" t="str">
        <f>CONCATENATE("a'(",AD54,")=")</f>
        <v>a'(2)=</v>
      </c>
      <c r="AI54" s="84">
        <f>2*AI52/2*AE55</f>
        <v>1.1600000000000001</v>
      </c>
      <c r="AJ54" s="84" t="str">
        <f>CONCATENATE("A(",AD53,")=")</f>
        <v>A(1)=</v>
      </c>
      <c r="AK54" s="84">
        <f>VLOOKUP(AD53,STN_TABLE,3,FALSE)</f>
        <v>0.79666666666666663</v>
      </c>
      <c r="AL54" t="str">
        <f>CONCATENATE("A(",AD54,")=")</f>
        <v>A(2)=</v>
      </c>
      <c r="AM54">
        <f>AI54+AK54</f>
        <v>1.9566666666666668</v>
      </c>
      <c r="AO54" s="68" t="str">
        <f>AA54</f>
        <v>A(2)=</v>
      </c>
      <c r="AP54" s="68" t="e">
        <f>VLOOKUP(AO54,Rise_Results,2,FALSE)</f>
        <v>#N/A</v>
      </c>
      <c r="AQ54" s="76" t="e">
        <f>N54</f>
        <v>#N/A</v>
      </c>
      <c r="AR54" s="76">
        <f>IF(OR(AB54&lt;=0,AB55&lt;=0),1/0,AB54)</f>
        <v>1.8733333333333333</v>
      </c>
      <c r="AS54" s="76">
        <f>AM54</f>
        <v>1.9566666666666668</v>
      </c>
      <c r="AT54">
        <f>IFERROR(AP54,IFERROR(AQ54,IFERROR(AR54,AS54)))</f>
        <v>1.8733333333333333</v>
      </c>
      <c r="AU54" s="81"/>
    </row>
    <row r="55" spans="1:47" x14ac:dyDescent="0.25">
      <c r="A55" s="84">
        <f>A54+1</f>
        <v>6</v>
      </c>
      <c r="B55" s="84">
        <f t="shared" si="11"/>
        <v>2</v>
      </c>
      <c r="F55" s="82" t="e">
        <f>SUM(F52:F54)</f>
        <v>#N/A</v>
      </c>
      <c r="H55" s="82" t="e">
        <f>SUM(H52:H54)</f>
        <v>#N/A</v>
      </c>
      <c r="I55" s="84" t="str">
        <f>CONCATENATE("m'(",C54,")=")</f>
        <v>m'(2)=</v>
      </c>
      <c r="J55" s="84" t="e">
        <f>2*(J52*(WLS))/3*H55</f>
        <v>#N/A</v>
      </c>
      <c r="K55" s="84" t="str">
        <f>CONCATENATE("M(",C52,")=")</f>
        <v>M(#NA)=</v>
      </c>
      <c r="L55" s="84" t="e">
        <f>VLOOKUP(C52,STN_TABLE,4,FALSE)</f>
        <v>#N/A</v>
      </c>
      <c r="M55" t="str">
        <f>CONCATENATE("M(",C54,")=")</f>
        <v>M(2)=</v>
      </c>
      <c r="N55" t="e">
        <f>J55+L55</f>
        <v>#N/A</v>
      </c>
      <c r="O55" s="99">
        <f>O54+1</f>
        <v>8</v>
      </c>
      <c r="P55" s="99">
        <f t="shared" si="10"/>
        <v>4</v>
      </c>
      <c r="T55" s="89">
        <f>SUM(T52:T54)</f>
        <v>3.23</v>
      </c>
      <c r="V55" s="82">
        <f>SUM(V52:V54)</f>
        <v>3.3900000000000006</v>
      </c>
      <c r="W55" s="84" t="str">
        <f>CONCATENATE("m'(",Q53,")=")</f>
        <v>m'(2)=</v>
      </c>
      <c r="X55" s="84">
        <f>(2*(X52^2)/24*V55)+(X54*Q52*WLS)</f>
        <v>3.2833333333333332</v>
      </c>
      <c r="Y55" s="84" t="str">
        <f>CONCATENATE("M(",Q52,")=")</f>
        <v>M(1)=</v>
      </c>
      <c r="Z55" s="84">
        <f>VLOOKUP(Q52,STN_TABLE,4,FALSE)</f>
        <v>0.85333333333333328</v>
      </c>
      <c r="AA55" t="str">
        <f>CONCATENATE("M(",Q53,")=")</f>
        <v>M(2)=</v>
      </c>
      <c r="AB55">
        <f>X55+Z55</f>
        <v>4.1366666666666667</v>
      </c>
      <c r="AE55" s="89">
        <f>SUM(AE53:AE54)</f>
        <v>0.58000000000000007</v>
      </c>
      <c r="AG55" s="89">
        <f>SUM(AG53:AG54)</f>
        <v>0.91</v>
      </c>
      <c r="AH55" s="84" t="str">
        <f>CONCATENATE("m'(",AD54,")=")</f>
        <v>m'(2)=</v>
      </c>
      <c r="AI55" s="84">
        <f>(2*(AI52^2)/6*AG55)+(AI54*AD53*WLS)</f>
        <v>3.5333333333333337</v>
      </c>
      <c r="AJ55" s="84" t="str">
        <f>CONCATENATE("M(",AD53,")=")</f>
        <v>M(1)=</v>
      </c>
      <c r="AK55" s="84">
        <f>VLOOKUP(AD53,STN_TABLE,4,FALSE)</f>
        <v>0.85333333333333328</v>
      </c>
      <c r="AL55" t="str">
        <f>CONCATENATE("M(",AD54,")=")</f>
        <v>M(2)=</v>
      </c>
      <c r="AM55">
        <f>AI55+AK55</f>
        <v>4.3866666666666667</v>
      </c>
      <c r="AO55" s="82" t="str">
        <f>AA55</f>
        <v>M(2)=</v>
      </c>
      <c r="AP55" s="82" t="e">
        <f>VLOOKUP(AO55,Rise_Results,2,FALSE)</f>
        <v>#N/A</v>
      </c>
      <c r="AQ55" s="82" t="e">
        <f>N55</f>
        <v>#N/A</v>
      </c>
      <c r="AR55" s="82">
        <f>IF(OR(AB54&lt;=0,AB55&lt;=0),1/0,AB55)</f>
        <v>4.1366666666666667</v>
      </c>
      <c r="AS55" s="82">
        <f>AM55</f>
        <v>4.3866666666666667</v>
      </c>
      <c r="AT55">
        <f>IFERROR(AP55,IFERROR(AQ55,IFERROR(AR55,AS55)))</f>
        <v>4.1366666666666667</v>
      </c>
      <c r="AU55" s="81"/>
    </row>
    <row r="56" spans="1:47" x14ac:dyDescent="0.25">
      <c r="A56" s="101">
        <f>A51+1</f>
        <v>3</v>
      </c>
      <c r="B56" s="101">
        <f t="shared" si="11"/>
        <v>0.5</v>
      </c>
      <c r="O56" s="101">
        <f>O51+1</f>
        <v>5</v>
      </c>
      <c r="P56" s="101">
        <f t="shared" si="10"/>
        <v>1</v>
      </c>
      <c r="AU56" s="81"/>
    </row>
    <row r="57" spans="1:47" x14ac:dyDescent="0.25">
      <c r="A57" s="84">
        <f>A56+1</f>
        <v>4</v>
      </c>
      <c r="B57" s="84">
        <f t="shared" si="11"/>
        <v>0.75</v>
      </c>
      <c r="C57" s="79">
        <f t="shared" ref="C57" si="15">IF(C58=B59,IF(C59-C58=C58-B58,B58,IF(C59-C58=C58-B57,B57,"#NA")),IF(C58=B58,IF(C59-C58=C58-B57,B57,IF(C59-C58=C58-B56,B56,"#NA")),"#NA"))</f>
        <v>1</v>
      </c>
      <c r="D57" s="68">
        <f>VLOOKUP(C57,STN_TABLE,2,FALSE)</f>
        <v>0.25</v>
      </c>
      <c r="E57" s="102">
        <v>1</v>
      </c>
      <c r="F57" s="68">
        <f>D57*E57</f>
        <v>0.25</v>
      </c>
      <c r="G57" s="69">
        <f>C57</f>
        <v>1</v>
      </c>
      <c r="H57" s="69">
        <f>F57*G57</f>
        <v>0.25</v>
      </c>
      <c r="I57" s="6" t="s">
        <v>93</v>
      </c>
      <c r="J57" s="70">
        <f>IF(OR(D57=0,D58=0,D59=0),"#NA",IF(AND(C59-C58=C58-C57,C58&lt;&gt;C59,C57&lt;&gt;C58,C57&lt;&gt;C59,D59&lt;&gt;0,OR(D57&lt;&gt;0,D58&lt;&gt;0)),WLS*(C59-C58),"#NA"))</f>
        <v>2</v>
      </c>
      <c r="O57" s="99">
        <f>O56+1</f>
        <v>6</v>
      </c>
      <c r="P57" s="99">
        <f t="shared" si="10"/>
        <v>2</v>
      </c>
      <c r="Q57" s="68">
        <f>IF(OR(P59-P58=P58-P57,P60-P58=P58-P57),P57,IF(OR(P59-P58=P58-P56,P60-P58=P58-P56),P56,"-"))</f>
        <v>2</v>
      </c>
      <c r="R57" s="69">
        <f>VLOOKUP(Q57,STN_TABLE,2,FALSE)</f>
        <v>0.33</v>
      </c>
      <c r="S57" s="69">
        <v>5</v>
      </c>
      <c r="T57" s="68">
        <f>R57*S57</f>
        <v>1.6500000000000001</v>
      </c>
      <c r="U57" s="79">
        <v>3</v>
      </c>
      <c r="V57" s="68">
        <f>R57*U57</f>
        <v>0.99</v>
      </c>
      <c r="W57" s="6" t="s">
        <v>93</v>
      </c>
      <c r="X57" s="70">
        <f>IF(AND(Q59-Q58=Q58-Q57,NOT(AND(Q57=0,Q58=0)),NOT(AND(Q58=0,Q59=0))),WLS*(Q59-Q58),"#NA")</f>
        <v>2</v>
      </c>
      <c r="AD57" s="93"/>
      <c r="AH57" s="6" t="s">
        <v>93</v>
      </c>
      <c r="AI57" s="70">
        <f>WLS*(AD59-AD58)</f>
        <v>2</v>
      </c>
      <c r="AU57" s="81"/>
    </row>
    <row r="58" spans="1:47" x14ac:dyDescent="0.25">
      <c r="A58" s="84">
        <f>A57+1</f>
        <v>5</v>
      </c>
      <c r="B58" s="84">
        <f t="shared" si="11"/>
        <v>1</v>
      </c>
      <c r="C58" s="80">
        <f t="shared" ref="C58" si="16">IF(OR(B60-B59=B59-B58,B60-B59=B59-B57,B60-B59=B59-B56),B59,IF(OR(B60-B58=B58-B57,B60-B58=B58-B56),B58,IF(B60-B57=B57-B56,B57,"#NA")))</f>
        <v>2</v>
      </c>
      <c r="D58" s="76">
        <f>VLOOKUP(C58,STN_TABLE,2,FALSE)</f>
        <v>0.33</v>
      </c>
      <c r="E58" s="81">
        <v>4</v>
      </c>
      <c r="F58" s="76">
        <f>D58*E58</f>
        <v>1.32</v>
      </c>
      <c r="G58" s="77">
        <f>C58</f>
        <v>2</v>
      </c>
      <c r="H58" s="77">
        <f>F58*G58</f>
        <v>2.64</v>
      </c>
      <c r="I58" s="495" t="s">
        <v>97</v>
      </c>
      <c r="J58" s="496"/>
      <c r="K58" s="78" t="s">
        <v>98</v>
      </c>
      <c r="L58" s="78"/>
      <c r="M58" s="7" t="s">
        <v>99</v>
      </c>
      <c r="N58" s="7"/>
      <c r="O58" s="99">
        <f>O57+1</f>
        <v>7</v>
      </c>
      <c r="P58" s="99">
        <f t="shared" si="10"/>
        <v>3</v>
      </c>
      <c r="Q58" s="76">
        <f>P58</f>
        <v>3</v>
      </c>
      <c r="R58" s="77">
        <f>VLOOKUP(Q58,STN_TABLE,2,FALSE)</f>
        <v>0.66</v>
      </c>
      <c r="S58" s="77">
        <v>8</v>
      </c>
      <c r="T58" s="76">
        <f>R58*S58</f>
        <v>5.28</v>
      </c>
      <c r="U58" s="80">
        <v>10</v>
      </c>
      <c r="V58" s="76">
        <f>R58*U58</f>
        <v>6.6000000000000005</v>
      </c>
      <c r="W58" s="78" t="s">
        <v>97</v>
      </c>
      <c r="X58" s="78"/>
      <c r="Y58" s="78" t="s">
        <v>98</v>
      </c>
      <c r="Z58" s="78"/>
      <c r="AA58" s="7" t="s">
        <v>99</v>
      </c>
      <c r="AB58" s="7"/>
      <c r="AC58" s="99">
        <f>AC53+1</f>
        <v>6</v>
      </c>
      <c r="AD58" s="95">
        <f>VLOOKUP(AC58,STN_TABLE_2,2,FALSE)</f>
        <v>2</v>
      </c>
      <c r="AE58" s="68">
        <f>VLOOKUP(AD58,STN_TABLE,2,FALSE)</f>
        <v>0.33</v>
      </c>
      <c r="AF58" s="68">
        <v>1</v>
      </c>
      <c r="AG58" s="69">
        <f>AE58*AF58</f>
        <v>0.33</v>
      </c>
      <c r="AH58" s="496" t="s">
        <v>97</v>
      </c>
      <c r="AI58" s="496"/>
      <c r="AJ58" s="496" t="s">
        <v>98</v>
      </c>
      <c r="AK58" s="496"/>
      <c r="AL58" s="494" t="s">
        <v>99</v>
      </c>
      <c r="AM58" s="494"/>
      <c r="AP58" s="86" t="s">
        <v>112</v>
      </c>
      <c r="AQ58" s="89" t="s">
        <v>113</v>
      </c>
      <c r="AR58" s="89" t="s">
        <v>114</v>
      </c>
      <c r="AS58" s="89" t="s">
        <v>115</v>
      </c>
      <c r="AU58" s="81"/>
    </row>
    <row r="59" spans="1:47" x14ac:dyDescent="0.25">
      <c r="A59" s="84">
        <f>A58+1</f>
        <v>6</v>
      </c>
      <c r="B59" s="84">
        <f t="shared" si="11"/>
        <v>2</v>
      </c>
      <c r="C59" s="88">
        <f t="shared" ref="C59" si="17">B60</f>
        <v>3</v>
      </c>
      <c r="D59" s="82">
        <f>VLOOKUP(C59,STN_TABLE,2,FALSE)</f>
        <v>0.66</v>
      </c>
      <c r="E59" s="92">
        <v>1</v>
      </c>
      <c r="F59" s="82">
        <f>D59*E59</f>
        <v>0.66</v>
      </c>
      <c r="G59" s="83">
        <f>C59</f>
        <v>3</v>
      </c>
      <c r="H59" s="83">
        <f>F59*G59</f>
        <v>1.98</v>
      </c>
      <c r="I59" s="84" t="str">
        <f>CONCATENATE("a'(",C59,")=")</f>
        <v>a'(3)=</v>
      </c>
      <c r="J59" s="84">
        <f>2*J57/3*F60</f>
        <v>2.9733333333333332</v>
      </c>
      <c r="K59" s="84" t="str">
        <f>CONCATENATE("A(",C57,")=")</f>
        <v>A(1)=</v>
      </c>
      <c r="L59" s="84">
        <f>VLOOKUP(C57,STN_TABLE,3,FALSE)</f>
        <v>0.79666666666666663</v>
      </c>
      <c r="M59" t="str">
        <f>CONCATENATE("A(",C59,")=")</f>
        <v>A(3)=</v>
      </c>
      <c r="N59">
        <f>J59+L59</f>
        <v>3.7699999999999996</v>
      </c>
      <c r="O59" s="99">
        <f>O58+1</f>
        <v>8</v>
      </c>
      <c r="P59" s="99">
        <f t="shared" si="10"/>
        <v>4</v>
      </c>
      <c r="Q59" s="82">
        <f>IF(P59-P58=P58-P57,P59,IF(P60-P58=P58-P57,P60,IF(P59-P58=P58-P56,P59,IF(P60-P58=P58-P56,P60,"-"))))</f>
        <v>4</v>
      </c>
      <c r="R59" s="83">
        <f>VLOOKUP(Q59,STN_TABLE,2,FALSE)</f>
        <v>2.4300000000000002</v>
      </c>
      <c r="S59" s="83">
        <v>-1</v>
      </c>
      <c r="T59" s="82">
        <f>R59*S59</f>
        <v>-2.4300000000000002</v>
      </c>
      <c r="U59" s="88">
        <v>-1</v>
      </c>
      <c r="V59" s="82">
        <f>R59*U59</f>
        <v>-2.4300000000000002</v>
      </c>
      <c r="W59" s="84" t="str">
        <f>CONCATENATE("a'(",Q58,")=")</f>
        <v>a'(3)=</v>
      </c>
      <c r="X59" s="84">
        <f>2*X57/12*T60</f>
        <v>1.5</v>
      </c>
      <c r="Y59" s="84" t="str">
        <f>CONCATENATE("A(",Q57,")=")</f>
        <v>A(2)=</v>
      </c>
      <c r="Z59" s="84">
        <f>VLOOKUP(Q57,STN_TABLE,3,FALSE)</f>
        <v>1.8733333333333333</v>
      </c>
      <c r="AA59" t="str">
        <f>CONCATENATE("A(",Q58,")=")</f>
        <v>A(3)=</v>
      </c>
      <c r="AB59">
        <f>X59+Z59</f>
        <v>3.3733333333333331</v>
      </c>
      <c r="AC59" s="99">
        <f>AC58+1</f>
        <v>7</v>
      </c>
      <c r="AD59" s="100">
        <f>VLOOKUP(AC59,STN_TABLE_2,2,FALSE)</f>
        <v>3</v>
      </c>
      <c r="AE59" s="82">
        <f>VLOOKUP(AD59,STN_TABLE,2,FALSE)</f>
        <v>0.66</v>
      </c>
      <c r="AF59" s="82">
        <v>2</v>
      </c>
      <c r="AG59" s="83">
        <f>AE59*AF59</f>
        <v>1.32</v>
      </c>
      <c r="AH59" s="84" t="str">
        <f>CONCATENATE("a'(",AD59,")=")</f>
        <v>a'(3)=</v>
      </c>
      <c r="AI59" s="84">
        <f>2*AI57/2*AE60</f>
        <v>1.98</v>
      </c>
      <c r="AJ59" s="84" t="str">
        <f>CONCATENATE("A(",AD58,")=")</f>
        <v>A(2)=</v>
      </c>
      <c r="AK59" s="84">
        <f>VLOOKUP(AD58,STN_TABLE,3,FALSE)</f>
        <v>1.8733333333333333</v>
      </c>
      <c r="AL59" t="str">
        <f>CONCATENATE("A(",AD59,")=")</f>
        <v>A(3)=</v>
      </c>
      <c r="AM59">
        <f>AI59+AK59</f>
        <v>3.8533333333333335</v>
      </c>
      <c r="AO59" s="68" t="str">
        <f>AA59</f>
        <v>A(3)=</v>
      </c>
      <c r="AP59" s="68" t="e">
        <f>VLOOKUP(AO59,Rise_Results,2,FALSE)</f>
        <v>#N/A</v>
      </c>
      <c r="AQ59" s="76">
        <f>N59</f>
        <v>3.7699999999999996</v>
      </c>
      <c r="AR59" s="76">
        <f>IF(OR(AB59&lt;=0,AB60&lt;=0),1/0,AB59)</f>
        <v>3.3733333333333331</v>
      </c>
      <c r="AS59" s="76">
        <f>AM59</f>
        <v>3.8533333333333335</v>
      </c>
      <c r="AT59">
        <f>IFERROR(AP59,IFERROR(AQ59,IFERROR(AR59,AS59)))</f>
        <v>3.7699999999999996</v>
      </c>
      <c r="AU59" s="81"/>
    </row>
    <row r="60" spans="1:47" x14ac:dyDescent="0.25">
      <c r="A60" s="84">
        <f>A59+1</f>
        <v>7</v>
      </c>
      <c r="B60" s="84">
        <f t="shared" si="11"/>
        <v>3</v>
      </c>
      <c r="F60" s="82">
        <f>SUM(F57:F59)</f>
        <v>2.23</v>
      </c>
      <c r="H60" s="82">
        <f>SUM(H57:H59)</f>
        <v>4.87</v>
      </c>
      <c r="I60" s="84" t="str">
        <f>CONCATENATE("m'(",C59,")=")</f>
        <v>m'(3)=</v>
      </c>
      <c r="J60" s="84">
        <f>2*(J57*(WLS))/3*H60</f>
        <v>12.986666666666666</v>
      </c>
      <c r="K60" s="84" t="str">
        <f>CONCATENATE("M(",C57,")=")</f>
        <v>M(1)=</v>
      </c>
      <c r="L60" s="84">
        <f>VLOOKUP(C57,STN_TABLE,4,FALSE)</f>
        <v>0.85333333333333328</v>
      </c>
      <c r="M60" t="str">
        <f>CONCATENATE("M(",C59,")=")</f>
        <v>M(3)=</v>
      </c>
      <c r="N60">
        <f>J60+L60</f>
        <v>13.84</v>
      </c>
      <c r="O60" s="99">
        <f>O59+1</f>
        <v>9</v>
      </c>
      <c r="P60" s="99">
        <f t="shared" si="10"/>
        <v>4.8499999999999996</v>
      </c>
      <c r="T60" s="89">
        <f>SUM(T57:T59)</f>
        <v>4.5</v>
      </c>
      <c r="V60" s="82">
        <f>SUM(V57:V59)</f>
        <v>5.16</v>
      </c>
      <c r="W60" s="84" t="str">
        <f>CONCATENATE("m'(",Q58,")=")</f>
        <v>m'(3)=</v>
      </c>
      <c r="X60" s="84">
        <f>(2*(X57^2)/24*V60)+(X59*Q57*WLS)</f>
        <v>7.72</v>
      </c>
      <c r="Y60" s="84" t="str">
        <f>CONCATENATE("M(",Q57,")=")</f>
        <v>M(2)=</v>
      </c>
      <c r="Z60" s="84">
        <f>VLOOKUP(Q57,STN_TABLE,4,FALSE)</f>
        <v>4.1366666666666667</v>
      </c>
      <c r="AA60" t="str">
        <f>CONCATENATE("M(",Q58,")=")</f>
        <v>M(3)=</v>
      </c>
      <c r="AB60">
        <f>X60+Z60</f>
        <v>11.856666666666666</v>
      </c>
      <c r="AE60" s="89">
        <f>SUM(AE58:AE59)</f>
        <v>0.99</v>
      </c>
      <c r="AG60" s="89">
        <f>SUM(AG58:AG59)</f>
        <v>1.6500000000000001</v>
      </c>
      <c r="AH60" s="84" t="str">
        <f>CONCATENATE("m'(",AD59,")=")</f>
        <v>m'(3)=</v>
      </c>
      <c r="AI60" s="84">
        <f>(2*(AI57^2)/6*AG60)+(AI59*AD58*WLS)</f>
        <v>10.120000000000001</v>
      </c>
      <c r="AJ60" s="84" t="str">
        <f>CONCATENATE("M(",AD58,")=")</f>
        <v>M(2)=</v>
      </c>
      <c r="AK60" s="84">
        <f>VLOOKUP(AD57,STN_TABLE,4,FALSE)</f>
        <v>0</v>
      </c>
      <c r="AL60" t="str">
        <f>CONCATENATE("M(",AD59,")=")</f>
        <v>M(3)=</v>
      </c>
      <c r="AM60">
        <f>AI60+AK60</f>
        <v>10.120000000000001</v>
      </c>
      <c r="AO60" s="82" t="str">
        <f>AA60</f>
        <v>M(3)=</v>
      </c>
      <c r="AP60" s="82" t="e">
        <f>VLOOKUP(AO60,Rise_Results,2,FALSE)</f>
        <v>#N/A</v>
      </c>
      <c r="AQ60" s="82">
        <f>N60</f>
        <v>13.84</v>
      </c>
      <c r="AR60" s="82">
        <f>IF(OR(AB59&lt;=0,AB60&lt;=0),1/0,AB60)</f>
        <v>11.856666666666666</v>
      </c>
      <c r="AS60" s="82">
        <f>AM60</f>
        <v>10.120000000000001</v>
      </c>
      <c r="AT60">
        <f>IFERROR(AP60,IFERROR(AQ60,IFERROR(AR60,AS60)))</f>
        <v>13.84</v>
      </c>
      <c r="AU60" s="81"/>
    </row>
    <row r="61" spans="1:47" x14ac:dyDescent="0.25">
      <c r="A61" s="101">
        <f>A56+1</f>
        <v>4</v>
      </c>
      <c r="B61" s="101">
        <f t="shared" si="11"/>
        <v>0.75</v>
      </c>
      <c r="O61" s="101">
        <f>O56+1</f>
        <v>6</v>
      </c>
      <c r="P61" s="101">
        <f t="shared" si="10"/>
        <v>2</v>
      </c>
      <c r="AU61" s="81"/>
    </row>
    <row r="62" spans="1:47" x14ac:dyDescent="0.25">
      <c r="A62" s="84">
        <f>A61+1</f>
        <v>5</v>
      </c>
      <c r="B62" s="84">
        <f t="shared" si="11"/>
        <v>1</v>
      </c>
      <c r="C62" s="79">
        <f t="shared" ref="C62" si="18">IF(C63=B64,IF(C64-C63=C63-B63,B63,IF(C64-C63=C63-B62,B62,"#NA")),IF(C63=B63,IF(C64-C63=C63-B62,B62,IF(C64-C63=C63-B61,B61,"#NA")),"#NA"))</f>
        <v>2</v>
      </c>
      <c r="D62" s="68">
        <f>VLOOKUP(C62,STN_TABLE,2,FALSE)</f>
        <v>0.33</v>
      </c>
      <c r="E62" s="102">
        <v>1</v>
      </c>
      <c r="F62" s="68">
        <f>D62*E62</f>
        <v>0.33</v>
      </c>
      <c r="G62" s="69">
        <f>C62</f>
        <v>2</v>
      </c>
      <c r="H62" s="69">
        <f>F62*G62</f>
        <v>0.66</v>
      </c>
      <c r="I62" s="6" t="s">
        <v>93</v>
      </c>
      <c r="J62" s="70">
        <f>IF(OR(D62=0,D63=0,D64=0),"#NA",IF(AND(C64-C63=C63-C62,C63&lt;&gt;C64,C62&lt;&gt;C63,C62&lt;&gt;C64,D64&lt;&gt;0,OR(D62&lt;&gt;0,D63&lt;&gt;0)),WLS*(C64-C63),"#NA"))</f>
        <v>2</v>
      </c>
      <c r="O62" s="99">
        <f>O61+1</f>
        <v>7</v>
      </c>
      <c r="P62" s="99">
        <f t="shared" si="10"/>
        <v>3</v>
      </c>
      <c r="Q62" s="68">
        <f>IF(OR(P64-P63=P63-P62,P65-P63=P63-P62),P62,IF(OR(P64-P63=P63-P61,P65-P63=P63-P61),P61,"-"))</f>
        <v>3</v>
      </c>
      <c r="R62" s="69">
        <f>VLOOKUP(Q62,STN_TABLE,2,FALSE)</f>
        <v>0.66</v>
      </c>
      <c r="S62" s="69">
        <v>5</v>
      </c>
      <c r="T62" s="68">
        <f>R62*S62</f>
        <v>3.3000000000000003</v>
      </c>
      <c r="U62" s="79">
        <v>3</v>
      </c>
      <c r="V62" s="68">
        <f>R62*U62</f>
        <v>1.98</v>
      </c>
      <c r="W62" s="6" t="s">
        <v>93</v>
      </c>
      <c r="X62" s="70">
        <f>IF(AND(Q64-Q63=Q63-Q62,NOT(AND(Q62=0,Q63=0)),NOT(AND(Q63=0,Q64=0))),WLS*(Q64-Q63),"#NA")</f>
        <v>2</v>
      </c>
      <c r="AD62" s="93"/>
      <c r="AH62" s="6" t="s">
        <v>93</v>
      </c>
      <c r="AI62" s="70">
        <f>WLS*(AD64-AD63)</f>
        <v>2</v>
      </c>
      <c r="AU62" s="81"/>
    </row>
    <row r="63" spans="1:47" x14ac:dyDescent="0.25">
      <c r="A63" s="84">
        <f>A62+1</f>
        <v>6</v>
      </c>
      <c r="B63" s="84">
        <f t="shared" si="11"/>
        <v>2</v>
      </c>
      <c r="C63" s="80">
        <f t="shared" ref="C63" si="19">IF(OR(B65-B64=B64-B63,B65-B64=B64-B62,B65-B64=B64-B61),B64,IF(OR(B65-B63=B63-B62,B65-B63=B63-B61),B63,IF(B65-B62=B62-B61,B62,"#NA")))</f>
        <v>3</v>
      </c>
      <c r="D63" s="76">
        <f>VLOOKUP(C63,STN_TABLE,2,FALSE)</f>
        <v>0.66</v>
      </c>
      <c r="E63" s="81">
        <v>4</v>
      </c>
      <c r="F63" s="76">
        <f>D63*E63</f>
        <v>2.64</v>
      </c>
      <c r="G63" s="77">
        <f>C63</f>
        <v>3</v>
      </c>
      <c r="H63" s="77">
        <f>F63*G63</f>
        <v>7.92</v>
      </c>
      <c r="I63" s="495" t="s">
        <v>97</v>
      </c>
      <c r="J63" s="496"/>
      <c r="K63" s="78" t="s">
        <v>98</v>
      </c>
      <c r="L63" s="78"/>
      <c r="M63" s="7" t="s">
        <v>99</v>
      </c>
      <c r="N63" s="7"/>
      <c r="O63" s="99">
        <f>O62+1</f>
        <v>8</v>
      </c>
      <c r="P63" s="99">
        <f t="shared" si="10"/>
        <v>4</v>
      </c>
      <c r="Q63" s="76">
        <f>P63</f>
        <v>4</v>
      </c>
      <c r="R63" s="77">
        <f>VLOOKUP(Q63,STN_TABLE,2,FALSE)</f>
        <v>2.4300000000000002</v>
      </c>
      <c r="S63" s="77">
        <v>8</v>
      </c>
      <c r="T63" s="76">
        <f>R63*S63</f>
        <v>19.440000000000001</v>
      </c>
      <c r="U63" s="80">
        <v>10</v>
      </c>
      <c r="V63" s="76">
        <f>R63*U63</f>
        <v>24.3</v>
      </c>
      <c r="W63" s="496" t="s">
        <v>97</v>
      </c>
      <c r="X63" s="496"/>
      <c r="Y63" s="496" t="s">
        <v>98</v>
      </c>
      <c r="Z63" s="496"/>
      <c r="AA63" s="494" t="s">
        <v>99</v>
      </c>
      <c r="AB63" s="494"/>
      <c r="AC63" s="99">
        <f>AC58+1</f>
        <v>7</v>
      </c>
      <c r="AD63" s="95">
        <f>VLOOKUP(AC63,STN_TABLE_2,2,FALSE)</f>
        <v>3</v>
      </c>
      <c r="AE63" s="68">
        <f>VLOOKUP(AD63,STN_TABLE,2,FALSE)</f>
        <v>0.66</v>
      </c>
      <c r="AF63" s="68">
        <v>1</v>
      </c>
      <c r="AG63" s="69">
        <f>AE63*AF63</f>
        <v>0.66</v>
      </c>
      <c r="AH63" s="496" t="s">
        <v>97</v>
      </c>
      <c r="AI63" s="496"/>
      <c r="AJ63" s="496" t="s">
        <v>98</v>
      </c>
      <c r="AK63" s="496"/>
      <c r="AL63" s="494" t="s">
        <v>99</v>
      </c>
      <c r="AM63" s="494"/>
      <c r="AP63" s="86" t="s">
        <v>112</v>
      </c>
      <c r="AQ63" s="89" t="s">
        <v>113</v>
      </c>
      <c r="AR63" s="89" t="s">
        <v>114</v>
      </c>
      <c r="AS63" s="89" t="s">
        <v>115</v>
      </c>
      <c r="AU63" s="81"/>
    </row>
    <row r="64" spans="1:47" x14ac:dyDescent="0.25">
      <c r="A64" s="84">
        <f>A63+1</f>
        <v>7</v>
      </c>
      <c r="B64" s="84">
        <f t="shared" si="11"/>
        <v>3</v>
      </c>
      <c r="C64" s="88">
        <f t="shared" ref="C64" si="20">B65</f>
        <v>4</v>
      </c>
      <c r="D64" s="82">
        <f>VLOOKUP(C64,STN_TABLE,2,FALSE)</f>
        <v>2.4300000000000002</v>
      </c>
      <c r="E64" s="92">
        <v>1</v>
      </c>
      <c r="F64" s="82">
        <f>D64*E64</f>
        <v>2.4300000000000002</v>
      </c>
      <c r="G64" s="83">
        <f>C64</f>
        <v>4</v>
      </c>
      <c r="H64" s="83">
        <f>F64*G64</f>
        <v>9.7200000000000006</v>
      </c>
      <c r="I64" s="84" t="str">
        <f>CONCATENATE("a'(",C64,")=")</f>
        <v>a'(4)=</v>
      </c>
      <c r="J64" s="84">
        <f>2*J62/3*F65</f>
        <v>7.2</v>
      </c>
      <c r="K64" s="84" t="str">
        <f>CONCATENATE("A(",C62,")=")</f>
        <v>A(2)=</v>
      </c>
      <c r="L64" s="84">
        <f>VLOOKUP(C62,STN_TABLE,3,FALSE)</f>
        <v>1.8733333333333333</v>
      </c>
      <c r="M64" t="str">
        <f>CONCATENATE("A(",C64,")=")</f>
        <v>A(4)=</v>
      </c>
      <c r="N64">
        <f>J64+L64</f>
        <v>9.0733333333333341</v>
      </c>
      <c r="O64" s="99">
        <f>O63+1</f>
        <v>9</v>
      </c>
      <c r="P64" s="99">
        <f t="shared" si="10"/>
        <v>4.8499999999999996</v>
      </c>
      <c r="Q64" s="82">
        <f>IF(P64-P63=P63-P62,P64,IF(P65-P63=P63-P62,P65,IF(P64-P63=P63-P61,P64,IF(P65-P63=P63-P61,P65,"-"))))</f>
        <v>5</v>
      </c>
      <c r="R64" s="83">
        <f>VLOOKUP(Q64,STN_TABLE,2,FALSE)</f>
        <v>4.3899999999999997</v>
      </c>
      <c r="S64" s="83">
        <v>-1</v>
      </c>
      <c r="T64" s="82">
        <f>R64*S64</f>
        <v>-4.3899999999999997</v>
      </c>
      <c r="U64" s="88">
        <v>-1</v>
      </c>
      <c r="V64" s="82">
        <f>R64*U64</f>
        <v>-4.3899999999999997</v>
      </c>
      <c r="W64" s="84" t="str">
        <f>CONCATENATE("a'(",Q63,")=")</f>
        <v>a'(4)=</v>
      </c>
      <c r="X64" s="84">
        <f>2*X62/12*T65</f>
        <v>6.1166666666666671</v>
      </c>
      <c r="Y64" s="84" t="str">
        <f>CONCATENATE("A(",Q62,")=")</f>
        <v>A(3)=</v>
      </c>
      <c r="Z64" s="84">
        <f>VLOOKUP(Q62,STN_TABLE,3,FALSE)</f>
        <v>3.7699999999999996</v>
      </c>
      <c r="AA64" t="str">
        <f>CONCATENATE("A(",Q63,")=")</f>
        <v>A(4)=</v>
      </c>
      <c r="AB64">
        <f>X64+Z64</f>
        <v>9.8866666666666667</v>
      </c>
      <c r="AC64" s="99">
        <f>AC63+1</f>
        <v>8</v>
      </c>
      <c r="AD64" s="100">
        <f>VLOOKUP(AC64,STN_TABLE_2,2,FALSE)</f>
        <v>4</v>
      </c>
      <c r="AE64" s="82">
        <f>VLOOKUP(AD64,STN_TABLE,2,FALSE)</f>
        <v>2.4300000000000002</v>
      </c>
      <c r="AF64" s="82">
        <v>2</v>
      </c>
      <c r="AG64" s="83">
        <f>AE64*AF64</f>
        <v>4.8600000000000003</v>
      </c>
      <c r="AH64" s="84" t="str">
        <f>CONCATENATE("a'(",AD64,")=")</f>
        <v>a'(4)=</v>
      </c>
      <c r="AI64" s="84">
        <f>2*AI62/2*AE65</f>
        <v>6.1800000000000006</v>
      </c>
      <c r="AJ64" s="84" t="str">
        <f>CONCATENATE("A(",AD63,")=")</f>
        <v>A(3)=</v>
      </c>
      <c r="AK64" s="84">
        <f>VLOOKUP(AD63,STN_TABLE,3,FALSE)</f>
        <v>3.7699999999999996</v>
      </c>
      <c r="AL64" t="str">
        <f>CONCATENATE("A(",AD64,")=")</f>
        <v>A(4)=</v>
      </c>
      <c r="AM64">
        <f>AI64+AK64</f>
        <v>9.9499999999999993</v>
      </c>
      <c r="AO64" s="68" t="str">
        <f>AA64</f>
        <v>A(4)=</v>
      </c>
      <c r="AP64" s="68" t="e">
        <f>VLOOKUP(AO64,Rise_Results,2,FALSE)</f>
        <v>#N/A</v>
      </c>
      <c r="AQ64" s="76">
        <f>N64</f>
        <v>9.0733333333333341</v>
      </c>
      <c r="AR64" s="76">
        <f>IF(OR(AB64&lt;=0,AB65&lt;=0),1/0,AB64)</f>
        <v>9.8866666666666667</v>
      </c>
      <c r="AS64" s="76">
        <f>AM64</f>
        <v>9.9499999999999993</v>
      </c>
      <c r="AT64">
        <f>IFERROR(AP64,IFERROR(AQ64,IFERROR(AR64,AS64)))</f>
        <v>9.0733333333333341</v>
      </c>
      <c r="AU64" s="81"/>
    </row>
    <row r="65" spans="1:47" x14ac:dyDescent="0.25">
      <c r="A65" s="84">
        <f>A64+1</f>
        <v>8</v>
      </c>
      <c r="B65" s="84">
        <f t="shared" si="11"/>
        <v>4</v>
      </c>
      <c r="F65" s="82">
        <f>SUM(F62:F64)</f>
        <v>5.4</v>
      </c>
      <c r="H65" s="82">
        <f>SUM(H62:H64)</f>
        <v>18.3</v>
      </c>
      <c r="I65" s="84" t="str">
        <f>CONCATENATE("m'(",C64,")=")</f>
        <v>m'(4)=</v>
      </c>
      <c r="J65" s="84">
        <f>2*(J62*(WLS))/3*H65</f>
        <v>48.8</v>
      </c>
      <c r="K65" s="84" t="str">
        <f>CONCATENATE("M(",C62,")=")</f>
        <v>M(2)=</v>
      </c>
      <c r="L65" s="84">
        <f>VLOOKUP(C62,STN_TABLE,4,FALSE)</f>
        <v>4.1366666666666667</v>
      </c>
      <c r="M65" t="str">
        <f>CONCATENATE("M(",C64,")=")</f>
        <v>M(4)=</v>
      </c>
      <c r="N65">
        <f>J65+L65</f>
        <v>52.936666666666667</v>
      </c>
      <c r="O65" s="99">
        <f>O64+1</f>
        <v>10</v>
      </c>
      <c r="P65" s="99">
        <f t="shared" si="10"/>
        <v>5</v>
      </c>
      <c r="T65" s="89">
        <f>SUM(T62:T64)</f>
        <v>18.350000000000001</v>
      </c>
      <c r="V65" s="82">
        <f>SUM(V62:V64)</f>
        <v>21.89</v>
      </c>
      <c r="W65" s="84" t="str">
        <f>CONCATENATE("m'(",Q63,")=")</f>
        <v>m'(4)=</v>
      </c>
      <c r="X65" s="84">
        <f>(2*(X62^2)/24*V65)+(X64*Q62*WLS)</f>
        <v>43.99666666666667</v>
      </c>
      <c r="Y65" s="84" t="str">
        <f>CONCATENATE("M(",Q62,")=")</f>
        <v>M(3)=</v>
      </c>
      <c r="Z65" s="84">
        <f>VLOOKUP(Q62,STN_TABLE,4,FALSE)</f>
        <v>13.84</v>
      </c>
      <c r="AA65" t="str">
        <f>CONCATENATE("M(",Q63,")=")</f>
        <v>M(4)=</v>
      </c>
      <c r="AB65">
        <f>X65+Z65</f>
        <v>57.836666666666673</v>
      </c>
      <c r="AE65" s="89">
        <f>SUM(AE63:AE64)</f>
        <v>3.0900000000000003</v>
      </c>
      <c r="AG65" s="89">
        <f>SUM(AG63:AG64)</f>
        <v>5.5200000000000005</v>
      </c>
      <c r="AH65" s="84" t="str">
        <f>CONCATENATE("m'(",AD64,")=")</f>
        <v>m'(4)=</v>
      </c>
      <c r="AI65" s="84">
        <f>(2*(AI62^2)/6*AG65)+(AI64*AD63*WLS)</f>
        <v>44.440000000000005</v>
      </c>
      <c r="AJ65" s="84" t="str">
        <f>CONCATENATE("M(",AD63,")=")</f>
        <v>M(3)=</v>
      </c>
      <c r="AK65" s="84">
        <f>VLOOKUP(AD63,STN_TABLE,4,FALSE)</f>
        <v>13.84</v>
      </c>
      <c r="AL65" t="str">
        <f>CONCATENATE("M(",AD64,")=")</f>
        <v>M(4)=</v>
      </c>
      <c r="AM65">
        <f>AI65+AK65</f>
        <v>58.28</v>
      </c>
      <c r="AO65" s="82" t="str">
        <f>AA65</f>
        <v>M(4)=</v>
      </c>
      <c r="AP65" s="82" t="e">
        <f>VLOOKUP(AO65,Rise_Results,2,FALSE)</f>
        <v>#N/A</v>
      </c>
      <c r="AQ65" s="82">
        <f>N65</f>
        <v>52.936666666666667</v>
      </c>
      <c r="AR65" s="82">
        <f>IF(OR(AB64&lt;=0,AB65&lt;=0),1/0,AB65)</f>
        <v>57.836666666666673</v>
      </c>
      <c r="AS65" s="82">
        <f>AM65</f>
        <v>58.28</v>
      </c>
      <c r="AT65">
        <f>IFERROR(AP65,IFERROR(AQ65,IFERROR(AR65,AS65)))</f>
        <v>52.936666666666667</v>
      </c>
      <c r="AU65" s="81"/>
    </row>
    <row r="66" spans="1:47" x14ac:dyDescent="0.25">
      <c r="A66" s="101">
        <f>A61+1</f>
        <v>5</v>
      </c>
      <c r="B66" s="101">
        <f t="shared" si="11"/>
        <v>1</v>
      </c>
      <c r="O66" s="101">
        <f>O61+1</f>
        <v>7</v>
      </c>
      <c r="P66" s="101">
        <f t="shared" si="10"/>
        <v>3</v>
      </c>
      <c r="AU66" s="81"/>
    </row>
    <row r="67" spans="1:47" x14ac:dyDescent="0.25">
      <c r="A67" s="84">
        <f>A66+1</f>
        <v>6</v>
      </c>
      <c r="B67" s="84">
        <f t="shared" si="11"/>
        <v>2</v>
      </c>
      <c r="C67" s="79" t="str">
        <f t="shared" ref="C67" si="21">IF(C68=B69,IF(C69-C68=C68-B68,B68,IF(C69-C68=C68-B67,B67,"#NA")),IF(C68=B68,IF(C69-C68=C68-B67,B67,IF(C69-C68=C68-B66,B66,"#NA")),"#NA"))</f>
        <v>#NA</v>
      </c>
      <c r="D67" s="68" t="e">
        <f>VLOOKUP(C67,STN_TABLE,2,FALSE)</f>
        <v>#N/A</v>
      </c>
      <c r="E67" s="102">
        <v>1</v>
      </c>
      <c r="F67" s="68" t="e">
        <f>D67*E67</f>
        <v>#N/A</v>
      </c>
      <c r="G67" s="69" t="str">
        <f>C67</f>
        <v>#NA</v>
      </c>
      <c r="H67" s="69" t="e">
        <f>F67*G67</f>
        <v>#N/A</v>
      </c>
      <c r="I67" s="6" t="s">
        <v>93</v>
      </c>
      <c r="J67" s="70" t="e">
        <f>IF(OR(D67=0,D68=0,D69=0),"#NA",IF(AND(C69-C68=C68-C67,C68&lt;&gt;C69,C67&lt;&gt;C68,C67&lt;&gt;C69,D69&lt;&gt;0,OR(D67&lt;&gt;0,D68&lt;&gt;0)),WLS*(C69-C68),"#NA"))</f>
        <v>#N/A</v>
      </c>
      <c r="O67" s="99">
        <f>O66+1</f>
        <v>8</v>
      </c>
      <c r="P67" s="99">
        <f t="shared" si="10"/>
        <v>4</v>
      </c>
      <c r="Q67" s="68" t="str">
        <f>IF(OR(P69-P68=P68-P67,P70-P68=P68-P67),P67,IF(OR(P69-P68=P68-P66,P70-P68=P68-P66),P66,"-"))</f>
        <v>-</v>
      </c>
      <c r="R67" s="69" t="e">
        <f>VLOOKUP(Q67,STN_TABLE,2,FALSE)</f>
        <v>#N/A</v>
      </c>
      <c r="S67" s="69">
        <v>5</v>
      </c>
      <c r="T67" s="68" t="e">
        <f>R67*S67</f>
        <v>#N/A</v>
      </c>
      <c r="U67" s="79">
        <v>3</v>
      </c>
      <c r="V67" s="68" t="e">
        <f>R67*U67</f>
        <v>#N/A</v>
      </c>
      <c r="W67" s="6" t="s">
        <v>93</v>
      </c>
      <c r="X67" s="70" t="e">
        <f>IF(AND(Q69-Q68=Q68-Q67,NOT(AND(Q67=0,Q68=0)),NOT(AND(Q68=0,Q69=0))),WLS*(Q69-Q68),"#NA")</f>
        <v>#VALUE!</v>
      </c>
      <c r="AD67" s="93"/>
      <c r="AH67" s="6" t="s">
        <v>93</v>
      </c>
      <c r="AI67" s="70">
        <f>WLS*(AD69-AD68)</f>
        <v>1.6999999999999993</v>
      </c>
      <c r="AU67" s="81"/>
    </row>
    <row r="68" spans="1:47" x14ac:dyDescent="0.25">
      <c r="A68" s="84">
        <f>A67+1</f>
        <v>7</v>
      </c>
      <c r="B68" s="84">
        <f t="shared" si="11"/>
        <v>3</v>
      </c>
      <c r="C68" s="80" t="str">
        <f t="shared" ref="C68" si="22">IF(OR(B70-B69=B69-B68,B70-B69=B69-B67,B70-B69=B69-B66),B69,IF(OR(B70-B68=B68-B67,B70-B68=B68-B66),B68,IF(B70-B67=B67-B66,B67,"#NA")))</f>
        <v>#NA</v>
      </c>
      <c r="D68" s="76" t="e">
        <f>VLOOKUP(C68,STN_TABLE,2,FALSE)</f>
        <v>#N/A</v>
      </c>
      <c r="E68" s="81">
        <v>4</v>
      </c>
      <c r="F68" s="76" t="e">
        <f>D68*E68</f>
        <v>#N/A</v>
      </c>
      <c r="G68" s="77" t="str">
        <f>C68</f>
        <v>#NA</v>
      </c>
      <c r="H68" s="77" t="e">
        <f>F68*G68</f>
        <v>#N/A</v>
      </c>
      <c r="I68" s="495" t="s">
        <v>97</v>
      </c>
      <c r="J68" s="496"/>
      <c r="K68" s="78" t="s">
        <v>98</v>
      </c>
      <c r="L68" s="78"/>
      <c r="M68" s="7" t="s">
        <v>99</v>
      </c>
      <c r="N68" s="7"/>
      <c r="O68" s="99">
        <f>O67+1</f>
        <v>9</v>
      </c>
      <c r="P68" s="99">
        <f t="shared" ref="P68:P99" si="23">VLOOKUP(O68,STN_TABLE_2,2,FALSE)</f>
        <v>4.8499999999999996</v>
      </c>
      <c r="Q68" s="76">
        <f>P68</f>
        <v>4.8499999999999996</v>
      </c>
      <c r="R68" s="77">
        <f>VLOOKUP(Q68,STN_TABLE,2,FALSE)</f>
        <v>4.18</v>
      </c>
      <c r="S68" s="77">
        <v>8</v>
      </c>
      <c r="T68" s="76">
        <f>R68*S68</f>
        <v>33.44</v>
      </c>
      <c r="U68" s="80">
        <v>10</v>
      </c>
      <c r="V68" s="76">
        <f>R68*U68</f>
        <v>41.8</v>
      </c>
      <c r="W68" s="496" t="s">
        <v>97</v>
      </c>
      <c r="X68" s="496"/>
      <c r="Y68" s="496" t="s">
        <v>98</v>
      </c>
      <c r="Z68" s="496"/>
      <c r="AA68" s="494" t="s">
        <v>99</v>
      </c>
      <c r="AB68" s="494"/>
      <c r="AC68" s="99">
        <f>AC63+1</f>
        <v>8</v>
      </c>
      <c r="AD68" s="95">
        <f>VLOOKUP(AC68,STN_TABLE_2,2,FALSE)</f>
        <v>4</v>
      </c>
      <c r="AE68" s="68">
        <f>VLOOKUP(AD68,STN_TABLE,2,FALSE)</f>
        <v>2.4300000000000002</v>
      </c>
      <c r="AF68" s="68">
        <v>1</v>
      </c>
      <c r="AG68" s="69">
        <f>AE68*AF68</f>
        <v>2.4300000000000002</v>
      </c>
      <c r="AH68" s="496" t="s">
        <v>97</v>
      </c>
      <c r="AI68" s="496"/>
      <c r="AJ68" s="496" t="s">
        <v>98</v>
      </c>
      <c r="AK68" s="496"/>
      <c r="AL68" s="494" t="s">
        <v>99</v>
      </c>
      <c r="AM68" s="494"/>
      <c r="AP68" s="86" t="s">
        <v>112</v>
      </c>
      <c r="AQ68" s="89" t="s">
        <v>113</v>
      </c>
      <c r="AR68" s="89" t="s">
        <v>114</v>
      </c>
      <c r="AS68" s="89" t="s">
        <v>115</v>
      </c>
      <c r="AU68" s="81"/>
    </row>
    <row r="69" spans="1:47" x14ac:dyDescent="0.25">
      <c r="A69" s="84">
        <f>A68+1</f>
        <v>8</v>
      </c>
      <c r="B69" s="84">
        <f t="shared" si="11"/>
        <v>4</v>
      </c>
      <c r="C69" s="88">
        <f t="shared" ref="C69" si="24">B70</f>
        <v>4.8499999999999996</v>
      </c>
      <c r="D69" s="82">
        <f>VLOOKUP(C69,STN_TABLE,2,FALSE)</f>
        <v>4.18</v>
      </c>
      <c r="E69" s="92">
        <v>1</v>
      </c>
      <c r="F69" s="82">
        <f>D69*E69</f>
        <v>4.18</v>
      </c>
      <c r="G69" s="83">
        <f>C69</f>
        <v>4.8499999999999996</v>
      </c>
      <c r="H69" s="83">
        <f>F69*G69</f>
        <v>20.272999999999996</v>
      </c>
      <c r="I69" s="84" t="str">
        <f>CONCATENATE("a'(",C69,")=")</f>
        <v>a'(4.85)=</v>
      </c>
      <c r="J69" s="84" t="e">
        <f>2*J67/3*F70</f>
        <v>#N/A</v>
      </c>
      <c r="K69" s="84" t="str">
        <f>CONCATENATE("A(",C67,")=")</f>
        <v>A(#NA)=</v>
      </c>
      <c r="L69" s="84" t="e">
        <f>VLOOKUP(C67,STN_TABLE,3,FALSE)</f>
        <v>#N/A</v>
      </c>
      <c r="M69" t="str">
        <f>CONCATENATE("A(",C69,")=")</f>
        <v>A(4.85)=</v>
      </c>
      <c r="N69" t="e">
        <f>J69+L69</f>
        <v>#N/A</v>
      </c>
      <c r="O69" s="99">
        <f>O68+1</f>
        <v>10</v>
      </c>
      <c r="P69" s="99">
        <f t="shared" si="23"/>
        <v>5</v>
      </c>
      <c r="Q69" s="82" t="str">
        <f>IF(P69-P68=P68-P67,P69,IF(P70-P68=P68-P67,P70,IF(P69-P68=P68-P66,P69,IF(P70-P68=P68-P66,P70,"-"))))</f>
        <v>-</v>
      </c>
      <c r="R69" s="83" t="e">
        <f>VLOOKUP(Q69,STN_TABLE,2,FALSE)</f>
        <v>#N/A</v>
      </c>
      <c r="S69" s="83">
        <v>-1</v>
      </c>
      <c r="T69" s="82" t="e">
        <f>R69*S69</f>
        <v>#N/A</v>
      </c>
      <c r="U69" s="88">
        <v>-1</v>
      </c>
      <c r="V69" s="82" t="e">
        <f>R69*U69</f>
        <v>#N/A</v>
      </c>
      <c r="W69" s="84" t="str">
        <f>CONCATENATE("a'(",Q68,")=")</f>
        <v>a'(4.85)=</v>
      </c>
      <c r="X69" s="84" t="e">
        <f>2*X67/12*T70</f>
        <v>#VALUE!</v>
      </c>
      <c r="Y69" s="84" t="str">
        <f>CONCATENATE("A(",Q67,")=")</f>
        <v>A(-)=</v>
      </c>
      <c r="Z69" s="84" t="e">
        <f>VLOOKUP(Q67,STN_TABLE,3,FALSE)</f>
        <v>#N/A</v>
      </c>
      <c r="AA69" t="str">
        <f>CONCATENATE("A(",Q68,")=")</f>
        <v>A(4.85)=</v>
      </c>
      <c r="AB69" t="e">
        <f>X69+Z69</f>
        <v>#VALUE!</v>
      </c>
      <c r="AC69" s="99">
        <f>AC68+1</f>
        <v>9</v>
      </c>
      <c r="AD69" s="100">
        <f>VLOOKUP(AC69,STN_TABLE_2,2,FALSE)</f>
        <v>4.8499999999999996</v>
      </c>
      <c r="AE69" s="82">
        <f>VLOOKUP(AD69,STN_TABLE,2,FALSE)</f>
        <v>4.18</v>
      </c>
      <c r="AF69" s="82">
        <v>2</v>
      </c>
      <c r="AG69" s="83">
        <f>AE69*AF69</f>
        <v>8.36</v>
      </c>
      <c r="AH69" s="84" t="str">
        <f>CONCATENATE("a'(",AD69,")=")</f>
        <v>a'(4.85)=</v>
      </c>
      <c r="AI69" s="84">
        <f>2*AI67/2*AE70</f>
        <v>11.236999999999995</v>
      </c>
      <c r="AJ69" s="84" t="str">
        <f>CONCATENATE("A(",AD68,")=")</f>
        <v>A(4)=</v>
      </c>
      <c r="AK69" s="84">
        <f>VLOOKUP(AD68,STN_TABLE,3,FALSE)</f>
        <v>9.0733333333333341</v>
      </c>
      <c r="AL69" t="str">
        <f>CONCATENATE("A(",AD69,")=")</f>
        <v>A(4.85)=</v>
      </c>
      <c r="AM69">
        <f>AI69+AK69</f>
        <v>20.310333333333329</v>
      </c>
      <c r="AO69" s="68" t="str">
        <f>AA69</f>
        <v>A(4.85)=</v>
      </c>
      <c r="AP69" s="68" t="e">
        <f>VLOOKUP(AO69,Rise_Results,2,FALSE)</f>
        <v>#N/A</v>
      </c>
      <c r="AQ69" s="76" t="e">
        <f>N69</f>
        <v>#N/A</v>
      </c>
      <c r="AR69" s="76" t="e">
        <f>IF(OR(AB69&lt;=0,AB70&lt;=0),1/0,AB69)</f>
        <v>#VALUE!</v>
      </c>
      <c r="AS69" s="76">
        <f>AM69</f>
        <v>20.310333333333329</v>
      </c>
      <c r="AT69">
        <f>IFERROR(AP69,IFERROR(AQ69,IFERROR(AR69,AS69)))</f>
        <v>20.310333333333329</v>
      </c>
      <c r="AU69" s="81"/>
    </row>
    <row r="70" spans="1:47" x14ac:dyDescent="0.25">
      <c r="A70" s="84">
        <f>A69+1</f>
        <v>9</v>
      </c>
      <c r="B70" s="84">
        <f t="shared" si="11"/>
        <v>4.8499999999999996</v>
      </c>
      <c r="F70" s="82" t="e">
        <f>SUM(F67:F69)</f>
        <v>#N/A</v>
      </c>
      <c r="H70" s="82" t="e">
        <f>SUM(H67:H69)</f>
        <v>#N/A</v>
      </c>
      <c r="I70" s="84" t="str">
        <f>CONCATENATE("m'(",C69,")=")</f>
        <v>m'(4.85)=</v>
      </c>
      <c r="J70" s="84" t="e">
        <f>2*(J67*(WLS))/3*H70</f>
        <v>#N/A</v>
      </c>
      <c r="K70" s="84" t="str">
        <f>CONCATENATE("M(",C67,")=")</f>
        <v>M(#NA)=</v>
      </c>
      <c r="L70" s="84" t="e">
        <f>VLOOKUP(C67,STN_TABLE,4,FALSE)</f>
        <v>#N/A</v>
      </c>
      <c r="M70" t="str">
        <f>CONCATENATE("M(",C69,")=")</f>
        <v>M(4.85)=</v>
      </c>
      <c r="N70" t="e">
        <f>J70+L70</f>
        <v>#N/A</v>
      </c>
      <c r="O70" s="99">
        <f>O69+1</f>
        <v>11</v>
      </c>
      <c r="P70" s="99">
        <f t="shared" si="23"/>
        <v>6</v>
      </c>
      <c r="T70" s="89" t="e">
        <f>SUM(T67:T69)</f>
        <v>#N/A</v>
      </c>
      <c r="V70" s="82" t="e">
        <f>SUM(V67:V69)</f>
        <v>#N/A</v>
      </c>
      <c r="W70" s="84" t="str">
        <f>CONCATENATE("m'(",Q68,")=")</f>
        <v>m'(4.85)=</v>
      </c>
      <c r="X70" s="84" t="e">
        <f>(2*(X67^2)/24*V70)+(X69*Q67*WLS)</f>
        <v>#VALUE!</v>
      </c>
      <c r="Y70" s="84" t="str">
        <f>CONCATENATE("M(",Q67,")=")</f>
        <v>M(-)=</v>
      </c>
      <c r="Z70" s="84" t="e">
        <f>VLOOKUP(Q67,STN_TABLE,4,FALSE)</f>
        <v>#N/A</v>
      </c>
      <c r="AA70" t="str">
        <f>CONCATENATE("M(",Q68,")=")</f>
        <v>M(4.85)=</v>
      </c>
      <c r="AB70" t="e">
        <f>X70+Z70</f>
        <v>#VALUE!</v>
      </c>
      <c r="AE70" s="89">
        <f>SUM(AE68:AE69)</f>
        <v>6.6099999999999994</v>
      </c>
      <c r="AG70" s="89">
        <f>SUM(AG68:AG69)</f>
        <v>10.79</v>
      </c>
      <c r="AH70" s="84" t="str">
        <f>CONCATENATE("m'(",AD69,")=")</f>
        <v>m'(4.85)=</v>
      </c>
      <c r="AI70" s="84">
        <f>(2*(AI67^2)/6*AG70)+(AI69*AD68*WLS)</f>
        <v>100.29036666666661</v>
      </c>
      <c r="AJ70" s="84" t="str">
        <f>CONCATENATE("M(",AD68,")=")</f>
        <v>M(4)=</v>
      </c>
      <c r="AK70" s="84">
        <f>VLOOKUP(AD68,STN_TABLE,4,FALSE)</f>
        <v>52.936666666666667</v>
      </c>
      <c r="AL70" t="str">
        <f>CONCATENATE("M(",AD69,")=")</f>
        <v>M(4.85)=</v>
      </c>
      <c r="AM70">
        <f>AI70+AK70</f>
        <v>153.22703333333328</v>
      </c>
      <c r="AO70" s="82" t="str">
        <f>AA70</f>
        <v>M(4.85)=</v>
      </c>
      <c r="AP70" s="82" t="e">
        <f>VLOOKUP(AO70,Rise_Results,2,FALSE)</f>
        <v>#N/A</v>
      </c>
      <c r="AQ70" s="82" t="e">
        <f>N70</f>
        <v>#N/A</v>
      </c>
      <c r="AR70" s="82" t="e">
        <f>IF(OR(AB69&lt;=0,AB70&lt;=0),1/0,AB70)</f>
        <v>#VALUE!</v>
      </c>
      <c r="AS70" s="82">
        <f>AM70</f>
        <v>153.22703333333328</v>
      </c>
      <c r="AT70">
        <f>IFERROR(AP70,IFERROR(AQ70,IFERROR(AR70,AS70)))</f>
        <v>153.22703333333328</v>
      </c>
      <c r="AU70" s="81"/>
    </row>
    <row r="71" spans="1:47" x14ac:dyDescent="0.25">
      <c r="A71" s="101">
        <f>A66+1</f>
        <v>6</v>
      </c>
      <c r="B71" s="101">
        <f t="shared" si="11"/>
        <v>2</v>
      </c>
      <c r="O71" s="101">
        <f>O66+1</f>
        <v>8</v>
      </c>
      <c r="P71" s="101">
        <f t="shared" si="23"/>
        <v>4</v>
      </c>
      <c r="AU71" s="81"/>
    </row>
    <row r="72" spans="1:47" x14ac:dyDescent="0.25">
      <c r="A72" s="84">
        <f>A71+1</f>
        <v>7</v>
      </c>
      <c r="B72" s="84">
        <f t="shared" si="11"/>
        <v>3</v>
      </c>
      <c r="C72" s="79">
        <f t="shared" ref="C72" si="25">IF(C73=B74,IF(C74-C73=C73-B73,B73,IF(C74-C73=C73-B72,B72,"#NA")),IF(C73=B73,IF(C74-C73=C73-B72,B72,IF(C74-C73=C73-B71,B71,"#NA")),"#NA"))</f>
        <v>3</v>
      </c>
      <c r="D72" s="68">
        <f>VLOOKUP(C72,STN_TABLE,2,FALSE)</f>
        <v>0.66</v>
      </c>
      <c r="E72" s="102">
        <v>1</v>
      </c>
      <c r="F72" s="68">
        <f>D72*E72</f>
        <v>0.66</v>
      </c>
      <c r="G72" s="69">
        <f>C72</f>
        <v>3</v>
      </c>
      <c r="H72" s="69">
        <f>F72*G72</f>
        <v>1.98</v>
      </c>
      <c r="I72" s="6" t="s">
        <v>93</v>
      </c>
      <c r="J72" s="70">
        <f>IF(OR(D72=0,D73=0,D74=0),"#NA",IF(AND(C74-C73=C73-C72,C73&lt;&gt;C74,C72&lt;&gt;C73,C72&lt;&gt;C74,D74&lt;&gt;0,OR(D72&lt;&gt;0,D73&lt;&gt;0)),WLS*(C74-C73),"#NA"))</f>
        <v>2</v>
      </c>
      <c r="O72" s="99">
        <f>O71+1</f>
        <v>9</v>
      </c>
      <c r="P72" s="99">
        <f t="shared" si="23"/>
        <v>4.8499999999999996</v>
      </c>
      <c r="Q72" s="68">
        <f>IF(OR(P74-P73=P73-P72,P75-P73=P73-P72),P72,IF(OR(P74-P73=P73-P71,P75-P73=P73-P71),P71,"-"))</f>
        <v>4</v>
      </c>
      <c r="R72" s="69">
        <f>VLOOKUP(Q72,STN_TABLE,2,FALSE)</f>
        <v>2.4300000000000002</v>
      </c>
      <c r="S72" s="69">
        <v>5</v>
      </c>
      <c r="T72" s="68">
        <f>R72*S72</f>
        <v>12.15</v>
      </c>
      <c r="U72" s="79">
        <v>3</v>
      </c>
      <c r="V72" s="68">
        <f>R72*U72</f>
        <v>7.2900000000000009</v>
      </c>
      <c r="W72" s="6" t="s">
        <v>93</v>
      </c>
      <c r="X72" s="70">
        <f>IF(AND(Q74-Q73=Q73-Q72,NOT(AND(Q72=0,Q73=0)),NOT(AND(Q73=0,Q74=0))),WLS*(Q74-Q73),"#NA")</f>
        <v>2</v>
      </c>
      <c r="AD72" s="93"/>
      <c r="AH72" s="6" t="s">
        <v>93</v>
      </c>
      <c r="AI72" s="70">
        <f>WLS*(AD74-AD73)</f>
        <v>0.30000000000000071</v>
      </c>
      <c r="AU72" s="81"/>
    </row>
    <row r="73" spans="1:47" x14ac:dyDescent="0.25">
      <c r="A73" s="84">
        <f>A72+1</f>
        <v>8</v>
      </c>
      <c r="B73" s="84">
        <f t="shared" si="11"/>
        <v>4</v>
      </c>
      <c r="C73" s="80">
        <f t="shared" ref="C73" si="26">IF(OR(B75-B74=B74-B73,B75-B74=B74-B72,B75-B74=B74-B71),B74,IF(OR(B75-B73=B73-B72,B75-B73=B73-B71),B73,IF(B75-B72=B72-B71,B72,"#NA")))</f>
        <v>4</v>
      </c>
      <c r="D73" s="76">
        <f>VLOOKUP(C73,STN_TABLE,2,FALSE)</f>
        <v>2.4300000000000002</v>
      </c>
      <c r="E73" s="81">
        <v>4</v>
      </c>
      <c r="F73" s="76">
        <f>D73*E73</f>
        <v>9.7200000000000006</v>
      </c>
      <c r="G73" s="77">
        <f>C73</f>
        <v>4</v>
      </c>
      <c r="H73" s="77">
        <f>F73*G73</f>
        <v>38.880000000000003</v>
      </c>
      <c r="I73" s="495" t="s">
        <v>97</v>
      </c>
      <c r="J73" s="496"/>
      <c r="K73" s="78" t="s">
        <v>98</v>
      </c>
      <c r="L73" s="78"/>
      <c r="M73" s="7" t="s">
        <v>99</v>
      </c>
      <c r="N73" s="7"/>
      <c r="O73" s="99">
        <f>O72+1</f>
        <v>10</v>
      </c>
      <c r="P73" s="99">
        <f t="shared" si="23"/>
        <v>5</v>
      </c>
      <c r="Q73" s="76">
        <f>P73</f>
        <v>5</v>
      </c>
      <c r="R73" s="77">
        <f>VLOOKUP(Q73,STN_TABLE,2,FALSE)</f>
        <v>4.3899999999999997</v>
      </c>
      <c r="S73" s="77">
        <v>8</v>
      </c>
      <c r="T73" s="76">
        <f>R73*S73</f>
        <v>35.119999999999997</v>
      </c>
      <c r="U73" s="80">
        <v>10</v>
      </c>
      <c r="V73" s="76">
        <f>R73*U73</f>
        <v>43.9</v>
      </c>
      <c r="W73" s="496" t="s">
        <v>97</v>
      </c>
      <c r="X73" s="496"/>
      <c r="Y73" s="496" t="s">
        <v>98</v>
      </c>
      <c r="Z73" s="496"/>
      <c r="AA73" s="494" t="s">
        <v>99</v>
      </c>
      <c r="AB73" s="494"/>
      <c r="AC73" s="99">
        <f>AC68+1</f>
        <v>9</v>
      </c>
      <c r="AD73" s="95">
        <f>VLOOKUP(AC73,STN_TABLE_2,2,FALSE)</f>
        <v>4.8499999999999996</v>
      </c>
      <c r="AE73" s="68">
        <f>VLOOKUP(AD73,STN_TABLE,2,FALSE)</f>
        <v>4.18</v>
      </c>
      <c r="AF73" s="68">
        <v>1</v>
      </c>
      <c r="AG73" s="69">
        <f>AE73*AF73</f>
        <v>4.18</v>
      </c>
      <c r="AH73" s="496" t="s">
        <v>97</v>
      </c>
      <c r="AI73" s="496"/>
      <c r="AJ73" s="496" t="s">
        <v>98</v>
      </c>
      <c r="AK73" s="496"/>
      <c r="AL73" s="494" t="s">
        <v>99</v>
      </c>
      <c r="AM73" s="494"/>
      <c r="AP73" s="86" t="s">
        <v>112</v>
      </c>
      <c r="AQ73" s="89" t="s">
        <v>113</v>
      </c>
      <c r="AR73" s="89" t="s">
        <v>114</v>
      </c>
      <c r="AS73" s="89" t="s">
        <v>115</v>
      </c>
      <c r="AU73" s="81"/>
    </row>
    <row r="74" spans="1:47" x14ac:dyDescent="0.25">
      <c r="A74" s="84">
        <f>A73+1</f>
        <v>9</v>
      </c>
      <c r="B74" s="84">
        <f t="shared" ref="B74:B105" si="27">VLOOKUP(A74,STN_TABLE_2,2,FALSE)</f>
        <v>4.8499999999999996</v>
      </c>
      <c r="C74" s="88">
        <f t="shared" ref="C74" si="28">B75</f>
        <v>5</v>
      </c>
      <c r="D74" s="82">
        <f>VLOOKUP(C74,STN_TABLE,2,FALSE)</f>
        <v>4.3899999999999997</v>
      </c>
      <c r="E74" s="92">
        <v>1</v>
      </c>
      <c r="F74" s="82">
        <f>D74*E74</f>
        <v>4.3899999999999997</v>
      </c>
      <c r="G74" s="83">
        <f>C74</f>
        <v>5</v>
      </c>
      <c r="H74" s="83">
        <f>F74*G74</f>
        <v>21.95</v>
      </c>
      <c r="I74" s="84" t="str">
        <f>CONCATENATE("a'(",C74,")=")</f>
        <v>a'(5)=</v>
      </c>
      <c r="J74" s="84">
        <f>2*J72/3*F75</f>
        <v>19.693333333333332</v>
      </c>
      <c r="K74" s="84" t="str">
        <f>CONCATENATE("A(",C72,")=")</f>
        <v>A(3)=</v>
      </c>
      <c r="L74" s="84">
        <f>VLOOKUP(C72,STN_TABLE,3,FALSE)</f>
        <v>3.7699999999999996</v>
      </c>
      <c r="M74" t="str">
        <f>CONCATENATE("A(",C74,")=")</f>
        <v>A(5)=</v>
      </c>
      <c r="N74">
        <f>J74+L74</f>
        <v>23.463333333333331</v>
      </c>
      <c r="O74" s="99">
        <f>O73+1</f>
        <v>11</v>
      </c>
      <c r="P74" s="99">
        <f t="shared" si="23"/>
        <v>6</v>
      </c>
      <c r="Q74" s="82">
        <f>IF(P74-P73=P73-P72,P74,IF(P75-P73=P73-P72,P75,IF(P74-P73=P73-P71,P74,IF(P75-P73=P73-P71,P75,"-"))))</f>
        <v>6</v>
      </c>
      <c r="R74" s="83">
        <f>VLOOKUP(Q74,STN_TABLE,2,FALSE)</f>
        <v>5.43</v>
      </c>
      <c r="S74" s="83">
        <v>-1</v>
      </c>
      <c r="T74" s="82">
        <f>R74*S74</f>
        <v>-5.43</v>
      </c>
      <c r="U74" s="88">
        <v>-1</v>
      </c>
      <c r="V74" s="82">
        <f>R74*U74</f>
        <v>-5.43</v>
      </c>
      <c r="W74" s="84" t="str">
        <f>CONCATENATE("a'(",Q73,")=")</f>
        <v>a'(5)=</v>
      </c>
      <c r="X74" s="84">
        <f>2*X72/12*T75</f>
        <v>13.946666666666665</v>
      </c>
      <c r="Y74" s="84" t="str">
        <f>CONCATENATE("A(",Q72,")=")</f>
        <v>A(4)=</v>
      </c>
      <c r="Z74" s="84">
        <f>VLOOKUP(Q72,STN_TABLE,3,FALSE)</f>
        <v>9.0733333333333341</v>
      </c>
      <c r="AA74" t="str">
        <f>CONCATENATE("A(",Q73,")=")</f>
        <v>A(5)=</v>
      </c>
      <c r="AB74">
        <f>X74+Z74</f>
        <v>23.02</v>
      </c>
      <c r="AC74" s="99">
        <f>AC73+1</f>
        <v>10</v>
      </c>
      <c r="AD74" s="100">
        <f>VLOOKUP(AC74,STN_TABLE_2,2,FALSE)</f>
        <v>5</v>
      </c>
      <c r="AE74" s="82">
        <f>VLOOKUP(AD74,STN_TABLE,2,FALSE)</f>
        <v>4.3899999999999997</v>
      </c>
      <c r="AF74" s="82">
        <v>2</v>
      </c>
      <c r="AG74" s="83">
        <f>AE74*AF74</f>
        <v>8.7799999999999994</v>
      </c>
      <c r="AH74" s="84" t="str">
        <f>CONCATENATE("a'(",AD74,")=")</f>
        <v>a'(5)=</v>
      </c>
      <c r="AI74" s="84">
        <f>2*AI72/2*AE75</f>
        <v>2.5710000000000064</v>
      </c>
      <c r="AJ74" s="84" t="str">
        <f>CONCATENATE("A(",AD73,")=")</f>
        <v>A(4.85)=</v>
      </c>
      <c r="AK74" s="84">
        <f>VLOOKUP(AD73,STN_TABLE,3,FALSE)</f>
        <v>20.310333333333329</v>
      </c>
      <c r="AL74" t="str">
        <f>CONCATENATE("A(",AD74,")=")</f>
        <v>A(5)=</v>
      </c>
      <c r="AM74">
        <f>AI74+AK74</f>
        <v>22.881333333333334</v>
      </c>
      <c r="AO74" s="68" t="str">
        <f>AA74</f>
        <v>A(5)=</v>
      </c>
      <c r="AP74" s="68" t="e">
        <f>VLOOKUP(AO74,Rise_Results,2,FALSE)</f>
        <v>#N/A</v>
      </c>
      <c r="AQ74" s="76">
        <f>N74</f>
        <v>23.463333333333331</v>
      </c>
      <c r="AR74" s="76">
        <f>IF(OR(AB74&lt;=0,AB75&lt;=0),1/0,AB74)</f>
        <v>23.02</v>
      </c>
      <c r="AS74" s="76">
        <f>AM74</f>
        <v>22.881333333333334</v>
      </c>
      <c r="AT74">
        <f>IFERROR(AP74,IFERROR(AQ74,IFERROR(AR74,AS74)))</f>
        <v>23.463333333333331</v>
      </c>
      <c r="AU74" s="81"/>
    </row>
    <row r="75" spans="1:47" x14ac:dyDescent="0.25">
      <c r="A75" s="84">
        <f>A74+1</f>
        <v>10</v>
      </c>
      <c r="B75" s="84">
        <f t="shared" si="27"/>
        <v>5</v>
      </c>
      <c r="F75" s="82">
        <f>SUM(F72:F74)</f>
        <v>14.77</v>
      </c>
      <c r="H75" s="82">
        <f>SUM(H72:H74)</f>
        <v>62.81</v>
      </c>
      <c r="I75" s="84" t="str">
        <f>CONCATENATE("m'(",C74,")=")</f>
        <v>m'(5)=</v>
      </c>
      <c r="J75" s="84">
        <f>2*(J72*(WLS))/3*H75</f>
        <v>167.49333333333334</v>
      </c>
      <c r="K75" s="84" t="str">
        <f>CONCATENATE("M(",C72,")=")</f>
        <v>M(3)=</v>
      </c>
      <c r="L75" s="84">
        <f>VLOOKUP(C72,STN_TABLE,4,FALSE)</f>
        <v>13.84</v>
      </c>
      <c r="M75" t="str">
        <f>CONCATENATE("M(",C74,")=")</f>
        <v>M(5)=</v>
      </c>
      <c r="N75">
        <f>J75+L75</f>
        <v>181.33333333333334</v>
      </c>
      <c r="O75" s="99">
        <f>O74+1</f>
        <v>12</v>
      </c>
      <c r="P75" s="99">
        <f t="shared" si="23"/>
        <v>6.5</v>
      </c>
      <c r="T75" s="89">
        <f>SUM(T72:T74)</f>
        <v>41.839999999999996</v>
      </c>
      <c r="V75" s="82">
        <f>SUM(V72:V74)</f>
        <v>45.76</v>
      </c>
      <c r="W75" s="84" t="str">
        <f>CONCATENATE("m'(",Q73,")=")</f>
        <v>m'(5)=</v>
      </c>
      <c r="X75" s="84">
        <f>(2*(X72^2)/24*V75)+(X74*Q72*WLS)</f>
        <v>126.82666666666665</v>
      </c>
      <c r="Y75" s="84" t="str">
        <f>CONCATENATE("M(",Q72,")=")</f>
        <v>M(4)=</v>
      </c>
      <c r="Z75" s="84">
        <f>VLOOKUP(Q72,STN_TABLE,4,FALSE)</f>
        <v>52.936666666666667</v>
      </c>
      <c r="AA75" t="str">
        <f>CONCATENATE("M(",Q73,")=")</f>
        <v>M(5)=</v>
      </c>
      <c r="AB75">
        <f>X75+Z75</f>
        <v>179.76333333333332</v>
      </c>
      <c r="AE75" s="89">
        <f>SUM(AE73:AE74)</f>
        <v>8.57</v>
      </c>
      <c r="AG75" s="89">
        <f>SUM(AG73:AG74)</f>
        <v>12.959999999999999</v>
      </c>
      <c r="AH75" s="84" t="str">
        <f>CONCATENATE("m'(",AD74,")=")</f>
        <v>m'(5)=</v>
      </c>
      <c r="AI75" s="84">
        <f>(2*(AI72^2)/6*AG75)+(AI74*AD73*WLS)</f>
        <v>25.327500000000065</v>
      </c>
      <c r="AJ75" s="84" t="str">
        <f>CONCATENATE("M(",AD73,")=")</f>
        <v>M(4.85)=</v>
      </c>
      <c r="AK75" s="84">
        <f>VLOOKUP(AD73,STN_TABLE,4,FALSE)</f>
        <v>153.22703333333328</v>
      </c>
      <c r="AL75" t="str">
        <f>CONCATENATE("M(",AD74,")=")</f>
        <v>M(5)=</v>
      </c>
      <c r="AM75">
        <f>AI75+AK75</f>
        <v>178.55453333333335</v>
      </c>
      <c r="AO75" s="82" t="str">
        <f>AA75</f>
        <v>M(5)=</v>
      </c>
      <c r="AP75" s="82" t="e">
        <f>VLOOKUP(AO75,Rise_Results,2,FALSE)</f>
        <v>#N/A</v>
      </c>
      <c r="AQ75" s="82">
        <f>N75</f>
        <v>181.33333333333334</v>
      </c>
      <c r="AR75" s="82">
        <f>IF(OR(AB74&lt;=0,AB75&lt;=0),1/0,AB75)</f>
        <v>179.76333333333332</v>
      </c>
      <c r="AS75" s="82">
        <f>AM75</f>
        <v>178.55453333333335</v>
      </c>
      <c r="AT75">
        <f>IFERROR(AP75,IFERROR(AQ75,IFERROR(AR75,AS75)))</f>
        <v>181.33333333333334</v>
      </c>
      <c r="AU75" s="81"/>
    </row>
    <row r="76" spans="1:47" x14ac:dyDescent="0.25">
      <c r="A76" s="101">
        <f>A71+1</f>
        <v>7</v>
      </c>
      <c r="B76" s="101">
        <f t="shared" si="27"/>
        <v>3</v>
      </c>
      <c r="O76" s="101">
        <f>O71+1</f>
        <v>9</v>
      </c>
      <c r="P76" s="101">
        <f t="shared" si="23"/>
        <v>4.8499999999999996</v>
      </c>
      <c r="AU76" s="81"/>
    </row>
    <row r="77" spans="1:47" x14ac:dyDescent="0.25">
      <c r="A77" s="84">
        <f>A76+1</f>
        <v>8</v>
      </c>
      <c r="B77" s="84">
        <f t="shared" si="27"/>
        <v>4</v>
      </c>
      <c r="C77" s="79">
        <f t="shared" ref="C77" si="29">IF(C78=B79,IF(C79-C78=C78-B78,B78,IF(C79-C78=C78-B77,B77,"#NA")),IF(C78=B78,IF(C79-C78=C78-B77,B77,IF(C79-C78=C78-B76,B76,"#NA")),"#NA"))</f>
        <v>4</v>
      </c>
      <c r="D77" s="68">
        <f>VLOOKUP(C77,STN_TABLE,2,FALSE)</f>
        <v>2.4300000000000002</v>
      </c>
      <c r="E77" s="102">
        <v>1</v>
      </c>
      <c r="F77" s="68">
        <f>D77*E77</f>
        <v>2.4300000000000002</v>
      </c>
      <c r="G77" s="69">
        <f>C77</f>
        <v>4</v>
      </c>
      <c r="H77" s="69">
        <f>F77*G77</f>
        <v>9.7200000000000006</v>
      </c>
      <c r="I77" s="6" t="s">
        <v>93</v>
      </c>
      <c r="J77" s="70">
        <f>IF(OR(D77=0,D78=0,D79=0),"#NA",IF(AND(C79-C78=C78-C77,C78&lt;&gt;C79,C77&lt;&gt;C78,C77&lt;&gt;C79,D79&lt;&gt;0,OR(D77&lt;&gt;0,D78&lt;&gt;0)),WLS*(C79-C78),"#NA"))</f>
        <v>2</v>
      </c>
      <c r="O77" s="99">
        <f>O76+1</f>
        <v>10</v>
      </c>
      <c r="P77" s="99">
        <f t="shared" si="23"/>
        <v>5</v>
      </c>
      <c r="Q77" s="68" t="e">
        <f>IF(OR(P79-P78=P78-P77,P80-P78=P78-P77),P77,IF(OR(P79-P78=P78-P76,P80-P78=P78-P76),P76,"-"))</f>
        <v>#VALUE!</v>
      </c>
      <c r="R77" s="69" t="e">
        <f>VLOOKUP(Q77,STN_TABLE,2,FALSE)</f>
        <v>#VALUE!</v>
      </c>
      <c r="S77" s="69">
        <v>5</v>
      </c>
      <c r="T77" s="68" t="e">
        <f>R77*S77</f>
        <v>#VALUE!</v>
      </c>
      <c r="U77" s="79">
        <v>3</v>
      </c>
      <c r="V77" s="68" t="e">
        <f>R77*U77</f>
        <v>#VALUE!</v>
      </c>
      <c r="W77" s="6" t="s">
        <v>93</v>
      </c>
      <c r="X77" s="70" t="e">
        <f>IF(AND(Q79-Q78=Q78-Q77,NOT(AND(Q77=0,Q78=0)),NOT(AND(Q78=0,Q79=0))),WLS*(Q79-Q78),"#NA")</f>
        <v>#VALUE!</v>
      </c>
      <c r="AD77" s="93"/>
      <c r="AH77" s="6" t="s">
        <v>93</v>
      </c>
      <c r="AI77" s="70">
        <f>WLS*(AD79-AD78)</f>
        <v>2</v>
      </c>
      <c r="AU77" s="81"/>
    </row>
    <row r="78" spans="1:47" x14ac:dyDescent="0.25">
      <c r="A78" s="84">
        <f>A77+1</f>
        <v>9</v>
      </c>
      <c r="B78" s="84">
        <f t="shared" si="27"/>
        <v>4.8499999999999996</v>
      </c>
      <c r="C78" s="80">
        <f t="shared" ref="C78" si="30">IF(OR(B80-B79=B79-B78,B80-B79=B79-B77,B80-B79=B79-B76),B79,IF(OR(B80-B78=B78-B77,B80-B78=B78-B76),B78,IF(B80-B77=B77-B76,B77,"#NA")))</f>
        <v>5</v>
      </c>
      <c r="D78" s="76">
        <f>VLOOKUP(C78,STN_TABLE,2,FALSE)</f>
        <v>4.3899999999999997</v>
      </c>
      <c r="E78" s="81">
        <v>4</v>
      </c>
      <c r="F78" s="76">
        <f>D78*E78</f>
        <v>17.559999999999999</v>
      </c>
      <c r="G78" s="77">
        <f>C78</f>
        <v>5</v>
      </c>
      <c r="H78" s="77">
        <f>F78*G78</f>
        <v>87.8</v>
      </c>
      <c r="I78" s="495" t="s">
        <v>97</v>
      </c>
      <c r="J78" s="496"/>
      <c r="K78" s="78" t="s">
        <v>98</v>
      </c>
      <c r="L78" s="78"/>
      <c r="M78" s="7" t="s">
        <v>99</v>
      </c>
      <c r="N78" s="7"/>
      <c r="O78" s="99">
        <f>O77+1</f>
        <v>11</v>
      </c>
      <c r="P78" s="99">
        <f t="shared" si="23"/>
        <v>6</v>
      </c>
      <c r="Q78" s="76">
        <f>P78</f>
        <v>6</v>
      </c>
      <c r="R78" s="77">
        <f>VLOOKUP(Q78,STN_TABLE,2,FALSE)</f>
        <v>5.43</v>
      </c>
      <c r="S78" s="77">
        <v>8</v>
      </c>
      <c r="T78" s="76">
        <f>R78*S78</f>
        <v>43.44</v>
      </c>
      <c r="U78" s="80">
        <v>10</v>
      </c>
      <c r="V78" s="76">
        <f>R78*U78</f>
        <v>54.3</v>
      </c>
      <c r="W78" s="496" t="s">
        <v>97</v>
      </c>
      <c r="X78" s="496"/>
      <c r="Y78" s="496" t="s">
        <v>98</v>
      </c>
      <c r="Z78" s="496"/>
      <c r="AA78" s="494" t="s">
        <v>99</v>
      </c>
      <c r="AB78" s="494"/>
      <c r="AC78" s="99">
        <f>AC73+1</f>
        <v>10</v>
      </c>
      <c r="AD78" s="95">
        <f>VLOOKUP(AC78,STN_TABLE_2,2,FALSE)</f>
        <v>5</v>
      </c>
      <c r="AE78" s="68">
        <f>VLOOKUP(AD78,STN_TABLE,2,FALSE)</f>
        <v>4.3899999999999997</v>
      </c>
      <c r="AF78" s="68">
        <v>1</v>
      </c>
      <c r="AG78" s="69">
        <f>AE78*AF78</f>
        <v>4.3899999999999997</v>
      </c>
      <c r="AH78" s="496" t="s">
        <v>97</v>
      </c>
      <c r="AI78" s="496"/>
      <c r="AJ78" s="496" t="s">
        <v>98</v>
      </c>
      <c r="AK78" s="496"/>
      <c r="AL78" s="494" t="s">
        <v>99</v>
      </c>
      <c r="AM78" s="494"/>
      <c r="AP78" s="86" t="s">
        <v>112</v>
      </c>
      <c r="AQ78" s="89" t="s">
        <v>113</v>
      </c>
      <c r="AR78" s="89" t="s">
        <v>114</v>
      </c>
      <c r="AS78" s="89" t="s">
        <v>115</v>
      </c>
      <c r="AU78" s="81"/>
    </row>
    <row r="79" spans="1:47" x14ac:dyDescent="0.25">
      <c r="A79" s="84">
        <f>A78+1</f>
        <v>10</v>
      </c>
      <c r="B79" s="84">
        <f t="shared" si="27"/>
        <v>5</v>
      </c>
      <c r="C79" s="88">
        <f t="shared" ref="C79" si="31">B80</f>
        <v>6</v>
      </c>
      <c r="D79" s="82">
        <f>VLOOKUP(C79,STN_TABLE,2,FALSE)</f>
        <v>5.43</v>
      </c>
      <c r="E79" s="92">
        <v>1</v>
      </c>
      <c r="F79" s="82">
        <f>D79*E79</f>
        <v>5.43</v>
      </c>
      <c r="G79" s="83">
        <f>C79</f>
        <v>6</v>
      </c>
      <c r="H79" s="83">
        <f>F79*G79</f>
        <v>32.58</v>
      </c>
      <c r="I79" s="84" t="str">
        <f>CONCATENATE("a'(",C79,")=")</f>
        <v>a'(6)=</v>
      </c>
      <c r="J79" s="84">
        <f>2*J77/3*F80</f>
        <v>33.893333333333331</v>
      </c>
      <c r="K79" s="84" t="str">
        <f>CONCATENATE("A(",C77,")=")</f>
        <v>A(4)=</v>
      </c>
      <c r="L79" s="84">
        <f>VLOOKUP(C77,STN_TABLE,3,FALSE)</f>
        <v>9.0733333333333341</v>
      </c>
      <c r="M79" t="str">
        <f>CONCATENATE("A(",C79,")=")</f>
        <v>A(6)=</v>
      </c>
      <c r="N79">
        <f>J79+L79</f>
        <v>42.966666666666669</v>
      </c>
      <c r="O79" s="99">
        <f>O78+1</f>
        <v>12</v>
      </c>
      <c r="P79" s="99">
        <f t="shared" si="23"/>
        <v>6.5</v>
      </c>
      <c r="Q79" s="82" t="e">
        <f>IF(P79-P78=P78-P77,P79,IF(P80-P78=P78-P77,P80,IF(P79-P78=P78-P76,P79,IF(P80-P78=P78-P76,P80,"-"))))</f>
        <v>#VALUE!</v>
      </c>
      <c r="R79" s="83" t="e">
        <f>VLOOKUP(Q79,STN_TABLE,2,FALSE)</f>
        <v>#VALUE!</v>
      </c>
      <c r="S79" s="83">
        <v>-1</v>
      </c>
      <c r="T79" s="82" t="e">
        <f>R79*S79</f>
        <v>#VALUE!</v>
      </c>
      <c r="U79" s="88">
        <v>-1</v>
      </c>
      <c r="V79" s="82" t="e">
        <f>R79*U79</f>
        <v>#VALUE!</v>
      </c>
      <c r="W79" s="84" t="str">
        <f>CONCATENATE("a'(",Q78,")=")</f>
        <v>a'(6)=</v>
      </c>
      <c r="X79" s="84" t="e">
        <f>2*X77/12*T80</f>
        <v>#VALUE!</v>
      </c>
      <c r="Y79" s="84" t="e">
        <f>CONCATENATE("A(",Q77,")=")</f>
        <v>#VALUE!</v>
      </c>
      <c r="Z79" s="84" t="e">
        <f>VLOOKUP(Q77,STN_TABLE,3,FALSE)</f>
        <v>#VALUE!</v>
      </c>
      <c r="AA79" t="str">
        <f>CONCATENATE("A(",Q78,")=")</f>
        <v>A(6)=</v>
      </c>
      <c r="AB79" t="e">
        <f>X79+Z79</f>
        <v>#VALUE!</v>
      </c>
      <c r="AC79" s="99">
        <f>AC78+1</f>
        <v>11</v>
      </c>
      <c r="AD79" s="100">
        <f>VLOOKUP(AC79,STN_TABLE_2,2,FALSE)</f>
        <v>6</v>
      </c>
      <c r="AE79" s="82">
        <f>VLOOKUP(AD79,STN_TABLE,2,FALSE)</f>
        <v>5.43</v>
      </c>
      <c r="AF79" s="82">
        <v>2</v>
      </c>
      <c r="AG79" s="83">
        <f>AE79*AF79</f>
        <v>10.86</v>
      </c>
      <c r="AH79" s="84" t="str">
        <f>CONCATENATE("a'(",AD79,")=")</f>
        <v>a'(6)=</v>
      </c>
      <c r="AI79" s="84">
        <f>2*AI77/2*AE80</f>
        <v>19.64</v>
      </c>
      <c r="AJ79" s="84" t="str">
        <f>CONCATENATE("A(",AD78,")=")</f>
        <v>A(5)=</v>
      </c>
      <c r="AK79" s="84">
        <f>VLOOKUP(AD78,STN_TABLE,3,FALSE)</f>
        <v>23.463333333333331</v>
      </c>
      <c r="AL79" t="str">
        <f>CONCATENATE("A(",AD79,")=")</f>
        <v>A(6)=</v>
      </c>
      <c r="AM79">
        <f>AI79+AK79</f>
        <v>43.103333333333332</v>
      </c>
      <c r="AO79" s="68" t="str">
        <f>AA79</f>
        <v>A(6)=</v>
      </c>
      <c r="AP79" s="68" t="e">
        <f>VLOOKUP(AO79,Rise_Results,2,FALSE)</f>
        <v>#N/A</v>
      </c>
      <c r="AQ79" s="76">
        <f>N79</f>
        <v>42.966666666666669</v>
      </c>
      <c r="AR79" s="76" t="e">
        <f>IF(OR(AB79&lt;=0,AB80&lt;=0),1/0,AB79)</f>
        <v>#VALUE!</v>
      </c>
      <c r="AS79" s="76">
        <f>AM79</f>
        <v>43.103333333333332</v>
      </c>
      <c r="AT79">
        <f>IFERROR(AP79,IFERROR(AQ79,IFERROR(AR79,AS79)))</f>
        <v>42.966666666666669</v>
      </c>
      <c r="AU79" s="81"/>
    </row>
    <row r="80" spans="1:47" x14ac:dyDescent="0.25">
      <c r="A80" s="84">
        <f>A79+1</f>
        <v>11</v>
      </c>
      <c r="B80" s="84">
        <f t="shared" si="27"/>
        <v>6</v>
      </c>
      <c r="F80" s="82">
        <f>SUM(F77:F79)</f>
        <v>25.419999999999998</v>
      </c>
      <c r="H80" s="82">
        <f>SUM(H77:H79)</f>
        <v>130.1</v>
      </c>
      <c r="I80" s="84" t="str">
        <f>CONCATENATE("m'(",C79,")=")</f>
        <v>m'(6)=</v>
      </c>
      <c r="J80" s="84">
        <f>2*(J77*(WLS))/3*H80</f>
        <v>346.93333333333328</v>
      </c>
      <c r="K80" s="84" t="str">
        <f>CONCATENATE("M(",C77,")=")</f>
        <v>M(4)=</v>
      </c>
      <c r="L80" s="84">
        <f>VLOOKUP(C77,STN_TABLE,4,FALSE)</f>
        <v>52.936666666666667</v>
      </c>
      <c r="M80" t="str">
        <f>CONCATENATE("M(",C79,")=")</f>
        <v>M(6)=</v>
      </c>
      <c r="N80">
        <f>J80+L80</f>
        <v>399.86999999999995</v>
      </c>
      <c r="O80" s="99">
        <f>O79+1</f>
        <v>13</v>
      </c>
      <c r="P80" s="99" t="str">
        <f t="shared" si="23"/>
        <v xml:space="preserve">  </v>
      </c>
      <c r="T80" s="89" t="e">
        <f>SUM(T77:T79)</f>
        <v>#VALUE!</v>
      </c>
      <c r="V80" s="82" t="e">
        <f>SUM(V77:V79)</f>
        <v>#VALUE!</v>
      </c>
      <c r="W80" s="84" t="str">
        <f>CONCATENATE("m'(",Q78,")=")</f>
        <v>m'(6)=</v>
      </c>
      <c r="X80" s="84" t="e">
        <f>(2*(X77^2)/24*V80)+(X79*Q77*WLS)</f>
        <v>#VALUE!</v>
      </c>
      <c r="Y80" s="84" t="e">
        <f>CONCATENATE("M(",Q77,")=")</f>
        <v>#VALUE!</v>
      </c>
      <c r="Z80" s="84" t="e">
        <f>VLOOKUP(Q77,STN_TABLE,4,FALSE)</f>
        <v>#VALUE!</v>
      </c>
      <c r="AA80" t="str">
        <f>CONCATENATE("M(",Q78,")=")</f>
        <v>M(6)=</v>
      </c>
      <c r="AB80" t="e">
        <f>X80+Z80</f>
        <v>#VALUE!</v>
      </c>
      <c r="AE80" s="89">
        <f>SUM(AE78:AE79)</f>
        <v>9.82</v>
      </c>
      <c r="AG80" s="89">
        <f>SUM(AG78:AG79)</f>
        <v>15.25</v>
      </c>
      <c r="AH80" s="84" t="str">
        <f>CONCATENATE("m'(",AD79,")=")</f>
        <v>m'(6)=</v>
      </c>
      <c r="AI80" s="84">
        <f>(2*(AI77^2)/6*AG80)+(AI79*AD78*WLS)</f>
        <v>216.73333333333335</v>
      </c>
      <c r="AJ80" s="84" t="str">
        <f>CONCATENATE("M(",AD78,")=")</f>
        <v>M(5)=</v>
      </c>
      <c r="AK80" s="84">
        <f>VLOOKUP(AD78,STN_TABLE,4,FALSE)</f>
        <v>181.33333333333334</v>
      </c>
      <c r="AL80" t="str">
        <f>CONCATENATE("M(",AD79,")=")</f>
        <v>M(6)=</v>
      </c>
      <c r="AM80">
        <f>AI80+AK80</f>
        <v>398.06666666666672</v>
      </c>
      <c r="AO80" s="82" t="str">
        <f>AA80</f>
        <v>M(6)=</v>
      </c>
      <c r="AP80" s="82" t="e">
        <f>VLOOKUP(AO80,Rise_Results,2,FALSE)</f>
        <v>#N/A</v>
      </c>
      <c r="AQ80" s="82">
        <f>N80</f>
        <v>399.86999999999995</v>
      </c>
      <c r="AR80" s="82" t="e">
        <f>IF(OR(AB79&lt;=0,AB80&lt;=0),1/0,AB80)</f>
        <v>#VALUE!</v>
      </c>
      <c r="AS80" s="82">
        <f>AM80</f>
        <v>398.06666666666672</v>
      </c>
      <c r="AT80">
        <f>IFERROR(AP80,IFERROR(AQ80,IFERROR(AR80,AS80)))</f>
        <v>399.86999999999995</v>
      </c>
      <c r="AU80" s="81"/>
    </row>
    <row r="81" spans="1:47" x14ac:dyDescent="0.25">
      <c r="A81" s="101">
        <f>A76+1</f>
        <v>8</v>
      </c>
      <c r="B81" s="101">
        <f t="shared" si="27"/>
        <v>4</v>
      </c>
      <c r="O81" s="101">
        <f>O76+1</f>
        <v>10</v>
      </c>
      <c r="P81" s="101">
        <f t="shared" si="23"/>
        <v>5</v>
      </c>
      <c r="AU81" s="81"/>
    </row>
    <row r="82" spans="1:47" x14ac:dyDescent="0.25">
      <c r="A82" s="84">
        <f>A81+1</f>
        <v>9</v>
      </c>
      <c r="B82" s="84">
        <f t="shared" si="27"/>
        <v>4.8499999999999996</v>
      </c>
      <c r="C82" s="79" t="str">
        <f t="shared" ref="C82" si="32">IF(C83=B84,IF(C84-C83=C83-B83,B83,IF(C84-C83=C83-B82,B82,"#NA")),IF(C83=B83,IF(C84-C83=C83-B82,B82,IF(C84-C83=C83-B81,B81,"#NA")),"#NA"))</f>
        <v>#NA</v>
      </c>
      <c r="D82" s="68" t="e">
        <f>VLOOKUP(C82,STN_TABLE,2,FALSE)</f>
        <v>#N/A</v>
      </c>
      <c r="E82" s="102">
        <v>1</v>
      </c>
      <c r="F82" s="68" t="e">
        <f>D82*E82</f>
        <v>#N/A</v>
      </c>
      <c r="G82" s="69" t="str">
        <f>C82</f>
        <v>#NA</v>
      </c>
      <c r="H82" s="69" t="e">
        <f>F82*G82</f>
        <v>#N/A</v>
      </c>
      <c r="I82" s="6" t="s">
        <v>93</v>
      </c>
      <c r="J82" s="70" t="e">
        <f>IF(OR(D82=0,D83=0,D84=0),"#NA",IF(AND(C84-C83=C83-C82,C83&lt;&gt;C84,C82&lt;&gt;C83,C82&lt;&gt;C84,D84&lt;&gt;0,OR(D82&lt;&gt;0,D83&lt;&gt;0)),WLS*(C84-C83),"#NA"))</f>
        <v>#N/A</v>
      </c>
      <c r="O82" s="99">
        <f>O81+1</f>
        <v>11</v>
      </c>
      <c r="P82" s="99">
        <f t="shared" si="23"/>
        <v>6</v>
      </c>
      <c r="Q82" s="68" t="e">
        <f>IF(OR(P84-P83=P83-P82,P85-P83=P83-P82),P82,IF(OR(P84-P83=P83-P81,P85-P83=P83-P81),P81,"-"))</f>
        <v>#VALUE!</v>
      </c>
      <c r="R82" s="69" t="e">
        <f>VLOOKUP(Q82,STN_TABLE,2,FALSE)</f>
        <v>#VALUE!</v>
      </c>
      <c r="S82" s="69">
        <v>5</v>
      </c>
      <c r="T82" s="68" t="e">
        <f>R82*S82</f>
        <v>#VALUE!</v>
      </c>
      <c r="U82" s="79">
        <v>3</v>
      </c>
      <c r="V82" s="68" t="e">
        <f>R82*U82</f>
        <v>#VALUE!</v>
      </c>
      <c r="W82" s="6" t="s">
        <v>93</v>
      </c>
      <c r="X82" s="70" t="e">
        <f>IF(AND(Q84-Q83=Q83-Q82,NOT(AND(Q82=0,Q83=0)),NOT(AND(Q83=0,Q84=0))),WLS*(Q84-Q83),"#NA")</f>
        <v>#VALUE!</v>
      </c>
      <c r="AD82" s="93"/>
      <c r="AH82" s="6" t="s">
        <v>93</v>
      </c>
      <c r="AI82" s="70">
        <f>WLS*(AD84-AD83)</f>
        <v>1</v>
      </c>
      <c r="AU82" s="81"/>
    </row>
    <row r="83" spans="1:47" x14ac:dyDescent="0.25">
      <c r="A83" s="84">
        <f>A82+1</f>
        <v>10</v>
      </c>
      <c r="B83" s="84">
        <f t="shared" si="27"/>
        <v>5</v>
      </c>
      <c r="C83" s="80" t="str">
        <f t="shared" ref="C83" si="33">IF(OR(B85-B84=B84-B83,B85-B84=B84-B82,B85-B84=B84-B81),B84,IF(OR(B85-B83=B83-B82,B85-B83=B83-B81),B83,IF(B85-B82=B82-B81,B82,"#NA")))</f>
        <v>#NA</v>
      </c>
      <c r="D83" s="76" t="e">
        <f>VLOOKUP(C83,STN_TABLE,2,FALSE)</f>
        <v>#N/A</v>
      </c>
      <c r="E83" s="81">
        <v>4</v>
      </c>
      <c r="F83" s="76" t="e">
        <f>D83*E83</f>
        <v>#N/A</v>
      </c>
      <c r="G83" s="77" t="str">
        <f>C83</f>
        <v>#NA</v>
      </c>
      <c r="H83" s="77" t="e">
        <f>F83*G83</f>
        <v>#N/A</v>
      </c>
      <c r="I83" s="495" t="s">
        <v>97</v>
      </c>
      <c r="J83" s="496"/>
      <c r="K83" s="78" t="s">
        <v>98</v>
      </c>
      <c r="L83" s="78"/>
      <c r="M83" s="7" t="s">
        <v>99</v>
      </c>
      <c r="N83" s="7"/>
      <c r="O83" s="99">
        <f>O82+1</f>
        <v>12</v>
      </c>
      <c r="P83" s="99">
        <f t="shared" si="23"/>
        <v>6.5</v>
      </c>
      <c r="Q83" s="76">
        <f>P83</f>
        <v>6.5</v>
      </c>
      <c r="R83" s="77">
        <f>VLOOKUP(Q83,STN_TABLE,2,FALSE)</f>
        <v>5.85</v>
      </c>
      <c r="S83" s="77">
        <v>8</v>
      </c>
      <c r="T83" s="76">
        <f>R83*S83</f>
        <v>46.8</v>
      </c>
      <c r="U83" s="80">
        <v>10</v>
      </c>
      <c r="V83" s="76">
        <f>R83*U83</f>
        <v>58.5</v>
      </c>
      <c r="W83" s="496" t="s">
        <v>97</v>
      </c>
      <c r="X83" s="496"/>
      <c r="Y83" s="496" t="s">
        <v>98</v>
      </c>
      <c r="Z83" s="496"/>
      <c r="AA83" s="494" t="s">
        <v>99</v>
      </c>
      <c r="AB83" s="494"/>
      <c r="AC83" s="99">
        <f>AC78+1</f>
        <v>11</v>
      </c>
      <c r="AD83" s="95">
        <f>VLOOKUP(AC83,STN_TABLE_2,2,FALSE)</f>
        <v>6</v>
      </c>
      <c r="AE83" s="68">
        <f>VLOOKUP(AD83,STN_TABLE,2,FALSE)</f>
        <v>5.43</v>
      </c>
      <c r="AF83" s="68">
        <v>1</v>
      </c>
      <c r="AG83" s="69">
        <f>AE83*AF83</f>
        <v>5.43</v>
      </c>
      <c r="AH83" s="496" t="s">
        <v>97</v>
      </c>
      <c r="AI83" s="496"/>
      <c r="AJ83" s="496" t="s">
        <v>98</v>
      </c>
      <c r="AK83" s="496"/>
      <c r="AL83" s="494" t="s">
        <v>99</v>
      </c>
      <c r="AM83" s="494"/>
      <c r="AP83" s="86" t="s">
        <v>112</v>
      </c>
      <c r="AQ83" s="89" t="s">
        <v>113</v>
      </c>
      <c r="AR83" s="89" t="s">
        <v>114</v>
      </c>
      <c r="AS83" s="89" t="s">
        <v>115</v>
      </c>
      <c r="AU83" s="81"/>
    </row>
    <row r="84" spans="1:47" x14ac:dyDescent="0.25">
      <c r="A84" s="84">
        <f>A83+1</f>
        <v>11</v>
      </c>
      <c r="B84" s="84">
        <f t="shared" si="27"/>
        <v>6</v>
      </c>
      <c r="C84" s="88">
        <f t="shared" ref="C84" si="34">B85</f>
        <v>6.5</v>
      </c>
      <c r="D84" s="82">
        <f>VLOOKUP(C84,STN_TABLE,2,FALSE)</f>
        <v>5.85</v>
      </c>
      <c r="E84" s="92">
        <v>1</v>
      </c>
      <c r="F84" s="82">
        <f>D84*E84</f>
        <v>5.85</v>
      </c>
      <c r="G84" s="83">
        <f>C84</f>
        <v>6.5</v>
      </c>
      <c r="H84" s="83">
        <f>F84*G84</f>
        <v>38.024999999999999</v>
      </c>
      <c r="I84" s="84" t="str">
        <f>CONCATENATE("a'(",C84,")=")</f>
        <v>a'(6.5)=</v>
      </c>
      <c r="J84" s="84" t="e">
        <f>2*J82/3*F85</f>
        <v>#N/A</v>
      </c>
      <c r="K84" s="84" t="str">
        <f>CONCATENATE("A(",C82,")=")</f>
        <v>A(#NA)=</v>
      </c>
      <c r="L84" s="84" t="e">
        <f>VLOOKUP(C82,STN_TABLE,3,FALSE)</f>
        <v>#N/A</v>
      </c>
      <c r="M84" t="str">
        <f>CONCATENATE("A(",C84,")=")</f>
        <v>A(6.5)=</v>
      </c>
      <c r="N84" t="e">
        <f>J84+L84</f>
        <v>#N/A</v>
      </c>
      <c r="O84" s="99">
        <f>O83+1</f>
        <v>13</v>
      </c>
      <c r="P84" s="99" t="str">
        <f t="shared" si="23"/>
        <v xml:space="preserve">  </v>
      </c>
      <c r="Q84" s="82" t="e">
        <f>IF(P84-P83=P83-P82,P84,IF(P85-P83=P83-P82,P85,IF(P84-P83=P83-P81,P84,IF(P85-P83=P83-P81,P85,"-"))))</f>
        <v>#VALUE!</v>
      </c>
      <c r="R84" s="83" t="e">
        <f>VLOOKUP(Q84,STN_TABLE,2,FALSE)</f>
        <v>#VALUE!</v>
      </c>
      <c r="S84" s="83">
        <v>-1</v>
      </c>
      <c r="T84" s="82" t="e">
        <f>R84*S84</f>
        <v>#VALUE!</v>
      </c>
      <c r="U84" s="88">
        <v>-1</v>
      </c>
      <c r="V84" s="82" t="e">
        <f>R84*U84</f>
        <v>#VALUE!</v>
      </c>
      <c r="W84" s="84" t="str">
        <f>CONCATENATE("a'(",Q83,")=")</f>
        <v>a'(6.5)=</v>
      </c>
      <c r="X84" s="84" t="e">
        <f>2*X82/12*T85</f>
        <v>#VALUE!</v>
      </c>
      <c r="Y84" s="84" t="e">
        <f>CONCATENATE("A(",Q82,")=")</f>
        <v>#VALUE!</v>
      </c>
      <c r="Z84" s="84" t="e">
        <f>VLOOKUP(Q82,STN_TABLE,3,FALSE)</f>
        <v>#VALUE!</v>
      </c>
      <c r="AA84" t="str">
        <f>CONCATENATE("A(",Q83,")=")</f>
        <v>A(6.5)=</v>
      </c>
      <c r="AB84" t="e">
        <f>X84+Z84</f>
        <v>#VALUE!</v>
      </c>
      <c r="AC84" s="99">
        <f>AC83+1</f>
        <v>12</v>
      </c>
      <c r="AD84" s="100">
        <f>VLOOKUP(AC84,STN_TABLE_2,2,FALSE)</f>
        <v>6.5</v>
      </c>
      <c r="AE84" s="82">
        <f>VLOOKUP(AD84,STN_TABLE,2,FALSE)</f>
        <v>5.85</v>
      </c>
      <c r="AF84" s="82">
        <v>2</v>
      </c>
      <c r="AG84" s="83">
        <f>AE84*AF84</f>
        <v>11.7</v>
      </c>
      <c r="AH84" s="84" t="str">
        <f>CONCATENATE("a'(",AD84,")=")</f>
        <v>a'(6.5)=</v>
      </c>
      <c r="AI84" s="84">
        <f>2*AI82/2*AE85</f>
        <v>11.28</v>
      </c>
      <c r="AJ84" s="84" t="str">
        <f>CONCATENATE("A(",AD83,")=")</f>
        <v>A(6)=</v>
      </c>
      <c r="AK84" s="84">
        <f>VLOOKUP(AD83,STN_TABLE,3,FALSE)</f>
        <v>42.966666666666669</v>
      </c>
      <c r="AL84" t="str">
        <f>CONCATENATE("A(",AD84,")=")</f>
        <v>A(6.5)=</v>
      </c>
      <c r="AM84">
        <f>AI84+AK84</f>
        <v>54.24666666666667</v>
      </c>
      <c r="AO84" s="68" t="str">
        <f>AA84</f>
        <v>A(6.5)=</v>
      </c>
      <c r="AP84" s="68" t="e">
        <f>VLOOKUP(AO84,Rise_Results,2,FALSE)</f>
        <v>#N/A</v>
      </c>
      <c r="AQ84" s="76" t="e">
        <f>N84</f>
        <v>#N/A</v>
      </c>
      <c r="AR84" s="76" t="e">
        <f>IF(OR(AB84&lt;=0,AB85&lt;=0),1/0,AB84)</f>
        <v>#VALUE!</v>
      </c>
      <c r="AS84" s="76">
        <f>AM84</f>
        <v>54.24666666666667</v>
      </c>
      <c r="AT84">
        <f>IFERROR(AP84,IFERROR(AQ84,IFERROR(AR84,AS84)))</f>
        <v>54.24666666666667</v>
      </c>
      <c r="AU84" s="81"/>
    </row>
    <row r="85" spans="1:47" x14ac:dyDescent="0.25">
      <c r="A85" s="84">
        <f>A84+1</f>
        <v>12</v>
      </c>
      <c r="B85" s="84">
        <f t="shared" si="27"/>
        <v>6.5</v>
      </c>
      <c r="F85" s="82" t="e">
        <f>SUM(F82:F84)</f>
        <v>#N/A</v>
      </c>
      <c r="H85" s="82" t="e">
        <f>SUM(H82:H84)</f>
        <v>#N/A</v>
      </c>
      <c r="I85" s="84" t="str">
        <f>CONCATENATE("m'(",C84,")=")</f>
        <v>m'(6.5)=</v>
      </c>
      <c r="J85" s="84" t="e">
        <f>2*(J82*(WLS))/3*H85</f>
        <v>#N/A</v>
      </c>
      <c r="K85" s="84" t="str">
        <f>CONCATENATE("M(",C82,")=")</f>
        <v>M(#NA)=</v>
      </c>
      <c r="L85" s="84" t="e">
        <f>VLOOKUP(C82,STN_TABLE,4,FALSE)</f>
        <v>#N/A</v>
      </c>
      <c r="M85" t="str">
        <f>CONCATENATE("M(",C84,")=")</f>
        <v>M(6.5)=</v>
      </c>
      <c r="N85" t="e">
        <f>J85+L85</f>
        <v>#N/A</v>
      </c>
      <c r="O85" s="99">
        <f>O84+1</f>
        <v>14</v>
      </c>
      <c r="P85" s="99" t="str">
        <f t="shared" si="23"/>
        <v xml:space="preserve">  </v>
      </c>
      <c r="T85" s="89" t="e">
        <f>SUM(T82:T84)</f>
        <v>#VALUE!</v>
      </c>
      <c r="V85" s="82" t="e">
        <f>SUM(V82:V84)</f>
        <v>#VALUE!</v>
      </c>
      <c r="W85" s="84" t="str">
        <f>CONCATENATE("m'(",Q83,")=")</f>
        <v>m'(6.5)=</v>
      </c>
      <c r="X85" s="84" t="e">
        <f>(2*(X82^2)/24*V85)+(X84*Q82*WLS)</f>
        <v>#VALUE!</v>
      </c>
      <c r="Y85" s="84" t="e">
        <f>CONCATENATE("M(",Q82,")=")</f>
        <v>#VALUE!</v>
      </c>
      <c r="Z85" s="84" t="e">
        <f>VLOOKUP(Q82,STN_TABLE,4,FALSE)</f>
        <v>#VALUE!</v>
      </c>
      <c r="AA85" t="str">
        <f>CONCATENATE("M(",Q83,")=")</f>
        <v>M(6.5)=</v>
      </c>
      <c r="AB85" t="e">
        <f>X85+Z85</f>
        <v>#VALUE!</v>
      </c>
      <c r="AE85" s="89">
        <f>SUM(AE83:AE84)</f>
        <v>11.28</v>
      </c>
      <c r="AG85" s="89">
        <f>SUM(AG83:AG84)</f>
        <v>17.13</v>
      </c>
      <c r="AH85" s="84" t="str">
        <f>CONCATENATE("m'(",AD84,")=")</f>
        <v>m'(6.5)=</v>
      </c>
      <c r="AI85" s="84">
        <f>(2*(AI82^2)/6*AG85)+(AI84*AD83*WLS)</f>
        <v>141.07</v>
      </c>
      <c r="AJ85" s="84" t="str">
        <f>CONCATENATE("M(",AD83,")=")</f>
        <v>M(6)=</v>
      </c>
      <c r="AK85" s="84">
        <f>VLOOKUP(AD83,STN_TABLE,4,FALSE)</f>
        <v>399.86999999999995</v>
      </c>
      <c r="AL85" t="str">
        <f>CONCATENATE("M(",AD84,")=")</f>
        <v>M(6.5)=</v>
      </c>
      <c r="AM85">
        <f>AI85+AK85</f>
        <v>540.93999999999994</v>
      </c>
      <c r="AO85" s="82" t="str">
        <f>AA85</f>
        <v>M(6.5)=</v>
      </c>
      <c r="AP85" s="82" t="e">
        <f>VLOOKUP(AO85,Rise_Results,2,FALSE)</f>
        <v>#N/A</v>
      </c>
      <c r="AQ85" s="82" t="e">
        <f>N85</f>
        <v>#N/A</v>
      </c>
      <c r="AR85" s="82" t="e">
        <f>IF(OR(AB84&lt;=0,AB85&lt;=0),1/0,AB85)</f>
        <v>#VALUE!</v>
      </c>
      <c r="AS85" s="82">
        <f>AM85</f>
        <v>540.93999999999994</v>
      </c>
      <c r="AT85">
        <f>IFERROR(AP85,IFERROR(AQ85,IFERROR(AR85,AS85)))</f>
        <v>540.93999999999994</v>
      </c>
      <c r="AU85" s="81"/>
    </row>
    <row r="86" spans="1:47" x14ac:dyDescent="0.25">
      <c r="A86" s="101">
        <f>A81+1</f>
        <v>9</v>
      </c>
      <c r="B86" s="101">
        <f t="shared" si="27"/>
        <v>4.8499999999999996</v>
      </c>
      <c r="O86" s="101">
        <f>O81+1</f>
        <v>11</v>
      </c>
      <c r="P86" s="101">
        <f t="shared" si="23"/>
        <v>6</v>
      </c>
      <c r="AU86" s="81"/>
    </row>
    <row r="87" spans="1:47" x14ac:dyDescent="0.25">
      <c r="A87" s="84">
        <f>A86+1</f>
        <v>10</v>
      </c>
      <c r="B87" s="84">
        <f t="shared" si="27"/>
        <v>5</v>
      </c>
      <c r="C87" s="79" t="e">
        <f t="shared" ref="C87" si="35">IF(C88=B89,IF(C89-C88=C88-B88,B88,IF(C89-C88=C88-B87,B87,"#NA")),IF(C88=B88,IF(C89-C88=C88-B87,B87,IF(C89-C88=C88-B86,B86,"#NA")),"#NA"))</f>
        <v>#VALUE!</v>
      </c>
      <c r="D87" s="68" t="e">
        <f>VLOOKUP(C87,STN_TABLE,2,FALSE)</f>
        <v>#VALUE!</v>
      </c>
      <c r="E87" s="102">
        <v>1</v>
      </c>
      <c r="F87" s="68" t="e">
        <f>D87*E87</f>
        <v>#VALUE!</v>
      </c>
      <c r="G87" s="69" t="e">
        <f>C87</f>
        <v>#VALUE!</v>
      </c>
      <c r="H87" s="69" t="e">
        <f>F87*G87</f>
        <v>#VALUE!</v>
      </c>
      <c r="I87" s="6" t="s">
        <v>93</v>
      </c>
      <c r="J87" s="70" t="e">
        <f>IF(OR(D87=0,D88=0,D89=0),"#NA",IF(AND(C89-C88=C88-C87,C88&lt;&gt;C89,C87&lt;&gt;C88,C87&lt;&gt;C89,D89&lt;&gt;0,OR(D87&lt;&gt;0,D88&lt;&gt;0)),WLS*(C89-C88),"#NA"))</f>
        <v>#VALUE!</v>
      </c>
      <c r="O87" s="99">
        <f>O86+1</f>
        <v>12</v>
      </c>
      <c r="P87" s="99">
        <f t="shared" si="23"/>
        <v>6.5</v>
      </c>
      <c r="Q87" s="68" t="e">
        <f>IF(OR(P89-P88=P88-P87,P90-P88=P88-P87),P87,IF(OR(P89-P88=P88-P86,P90-P88=P88-P86),P86,"-"))</f>
        <v>#VALUE!</v>
      </c>
      <c r="R87" s="69" t="e">
        <f>VLOOKUP(Q87,STN_TABLE,2,FALSE)</f>
        <v>#VALUE!</v>
      </c>
      <c r="S87" s="69">
        <v>5</v>
      </c>
      <c r="T87" s="68" t="e">
        <f>R87*S87</f>
        <v>#VALUE!</v>
      </c>
      <c r="U87" s="79">
        <v>3</v>
      </c>
      <c r="V87" s="68" t="e">
        <f>R87*U87</f>
        <v>#VALUE!</v>
      </c>
      <c r="W87" s="6" t="s">
        <v>93</v>
      </c>
      <c r="X87" s="70" t="e">
        <f>IF(AND(Q89-Q88=Q88-Q87,NOT(AND(Q87=0,Q88=0)),NOT(AND(Q88=0,Q89=0))),WLS*(Q89-Q88),"#NA")</f>
        <v>#VALUE!</v>
      </c>
      <c r="AD87" s="93"/>
      <c r="AH87" s="6" t="s">
        <v>93</v>
      </c>
      <c r="AI87" s="70" t="e">
        <f>WLS*(AD89-AD88)</f>
        <v>#VALUE!</v>
      </c>
      <c r="AU87" s="81"/>
    </row>
    <row r="88" spans="1:47" x14ac:dyDescent="0.25">
      <c r="A88" s="84">
        <f>A87+1</f>
        <v>11</v>
      </c>
      <c r="B88" s="84">
        <f t="shared" si="27"/>
        <v>6</v>
      </c>
      <c r="C88" s="80" t="e">
        <f t="shared" ref="C88" si="36">IF(OR(B90-B89=B89-B88,B90-B89=B89-B87,B90-B89=B89-B86),B89,IF(OR(B90-B88=B88-B87,B90-B88=B88-B86),B88,IF(B90-B87=B87-B86,B87,"#NA")))</f>
        <v>#VALUE!</v>
      </c>
      <c r="D88" s="76" t="e">
        <f>VLOOKUP(C88,STN_TABLE,2,FALSE)</f>
        <v>#VALUE!</v>
      </c>
      <c r="E88" s="81">
        <v>4</v>
      </c>
      <c r="F88" s="76" t="e">
        <f>D88*E88</f>
        <v>#VALUE!</v>
      </c>
      <c r="G88" s="77" t="e">
        <f>C88</f>
        <v>#VALUE!</v>
      </c>
      <c r="H88" s="77" t="e">
        <f>F88*G88</f>
        <v>#VALUE!</v>
      </c>
      <c r="I88" s="495" t="s">
        <v>97</v>
      </c>
      <c r="J88" s="496"/>
      <c r="K88" s="78" t="s">
        <v>98</v>
      </c>
      <c r="L88" s="78"/>
      <c r="M88" s="7" t="s">
        <v>99</v>
      </c>
      <c r="N88" s="7"/>
      <c r="O88" s="99">
        <f>O87+1</f>
        <v>13</v>
      </c>
      <c r="P88" s="99" t="str">
        <f t="shared" si="23"/>
        <v xml:space="preserve">  </v>
      </c>
      <c r="Q88" s="76" t="str">
        <f>P88</f>
        <v xml:space="preserve">  </v>
      </c>
      <c r="R88" s="77" t="str">
        <f>VLOOKUP(Q88,STN_TABLE,2,FALSE)</f>
        <v xml:space="preserve">  </v>
      </c>
      <c r="S88" s="77">
        <v>8</v>
      </c>
      <c r="T88" s="76" t="e">
        <f>R88*S88</f>
        <v>#VALUE!</v>
      </c>
      <c r="U88" s="80">
        <v>10</v>
      </c>
      <c r="V88" s="76" t="e">
        <f>R88*U88</f>
        <v>#VALUE!</v>
      </c>
      <c r="W88" s="496" t="s">
        <v>97</v>
      </c>
      <c r="X88" s="496"/>
      <c r="Y88" s="496" t="s">
        <v>98</v>
      </c>
      <c r="Z88" s="496"/>
      <c r="AA88" s="494" t="s">
        <v>99</v>
      </c>
      <c r="AB88" s="494"/>
      <c r="AC88" s="99">
        <f>AC83+1</f>
        <v>12</v>
      </c>
      <c r="AD88" s="95">
        <f>VLOOKUP(AC88,STN_TABLE_2,2,FALSE)</f>
        <v>6.5</v>
      </c>
      <c r="AE88" s="68">
        <f>VLOOKUP(AD88,STN_TABLE,2,FALSE)</f>
        <v>5.85</v>
      </c>
      <c r="AF88" s="68">
        <v>1</v>
      </c>
      <c r="AG88" s="69">
        <f>AE88*AF88</f>
        <v>5.85</v>
      </c>
      <c r="AH88" s="496" t="s">
        <v>97</v>
      </c>
      <c r="AI88" s="496"/>
      <c r="AJ88" s="496" t="s">
        <v>98</v>
      </c>
      <c r="AK88" s="496"/>
      <c r="AL88" s="494" t="s">
        <v>99</v>
      </c>
      <c r="AM88" s="494"/>
      <c r="AP88" s="86" t="s">
        <v>112</v>
      </c>
      <c r="AQ88" s="89" t="s">
        <v>113</v>
      </c>
      <c r="AR88" s="89" t="s">
        <v>114</v>
      </c>
      <c r="AS88" s="89" t="s">
        <v>115</v>
      </c>
      <c r="AU88" s="81"/>
    </row>
    <row r="89" spans="1:47" x14ac:dyDescent="0.25">
      <c r="A89" s="84">
        <f>A88+1</f>
        <v>12</v>
      </c>
      <c r="B89" s="84">
        <f t="shared" si="27"/>
        <v>6.5</v>
      </c>
      <c r="C89" s="88" t="str">
        <f t="shared" ref="C89" si="37">B90</f>
        <v xml:space="preserve">  </v>
      </c>
      <c r="D89" s="82" t="str">
        <f>VLOOKUP(C89,STN_TABLE,2,FALSE)</f>
        <v xml:space="preserve">  </v>
      </c>
      <c r="E89" s="92">
        <v>1</v>
      </c>
      <c r="F89" s="82" t="e">
        <f>D89*E89</f>
        <v>#VALUE!</v>
      </c>
      <c r="G89" s="83" t="str">
        <f>C89</f>
        <v xml:space="preserve">  </v>
      </c>
      <c r="H89" s="83" t="e">
        <f>F89*G89</f>
        <v>#VALUE!</v>
      </c>
      <c r="I89" s="84" t="str">
        <f>CONCATENATE("a'(",C89,")=")</f>
        <v>a'(  )=</v>
      </c>
      <c r="J89" s="84" t="e">
        <f>2*J87/3*F90</f>
        <v>#VALUE!</v>
      </c>
      <c r="K89" s="84" t="e">
        <f>CONCATENATE("A(",C87,")=")</f>
        <v>#VALUE!</v>
      </c>
      <c r="L89" s="84" t="e">
        <f>VLOOKUP(C87,STN_TABLE,3,FALSE)</f>
        <v>#VALUE!</v>
      </c>
      <c r="M89" t="str">
        <f>CONCATENATE("A(",C89,")=")</f>
        <v>A(  )=</v>
      </c>
      <c r="N89" t="e">
        <f>J89+L89</f>
        <v>#VALUE!</v>
      </c>
      <c r="O89" s="99">
        <f>O88+1</f>
        <v>14</v>
      </c>
      <c r="P89" s="99" t="str">
        <f t="shared" si="23"/>
        <v xml:space="preserve">  </v>
      </c>
      <c r="Q89" s="82" t="e">
        <f>IF(P89-P88=P88-P87,P89,IF(P90-P88=P88-P87,P90,IF(P89-P88=P88-P86,P89,IF(P90-P88=P88-P86,P90,"-"))))</f>
        <v>#VALUE!</v>
      </c>
      <c r="R89" s="83" t="e">
        <f>VLOOKUP(Q89,STN_TABLE,2,FALSE)</f>
        <v>#VALUE!</v>
      </c>
      <c r="S89" s="83">
        <v>-1</v>
      </c>
      <c r="T89" s="82" t="e">
        <f>R89*S89</f>
        <v>#VALUE!</v>
      </c>
      <c r="U89" s="88">
        <v>-1</v>
      </c>
      <c r="V89" s="82" t="e">
        <f>R89*U89</f>
        <v>#VALUE!</v>
      </c>
      <c r="W89" s="84" t="str">
        <f>CONCATENATE("a'(",Q88,")=")</f>
        <v>a'(  )=</v>
      </c>
      <c r="X89" s="84" t="e">
        <f>2*X87/12*T90</f>
        <v>#VALUE!</v>
      </c>
      <c r="Y89" s="84" t="e">
        <f>CONCATENATE("A(",Q87,")=")</f>
        <v>#VALUE!</v>
      </c>
      <c r="Z89" s="84" t="e">
        <f>VLOOKUP(Q87,STN_TABLE,3,FALSE)</f>
        <v>#VALUE!</v>
      </c>
      <c r="AA89" t="str">
        <f>CONCATENATE("A(",Q88,")=")</f>
        <v>A(  )=</v>
      </c>
      <c r="AB89" t="e">
        <f>X89+Z89</f>
        <v>#VALUE!</v>
      </c>
      <c r="AC89" s="99">
        <f>AC88+1</f>
        <v>13</v>
      </c>
      <c r="AD89" s="100" t="str">
        <f>VLOOKUP(AC89,STN_TABLE_2,2,FALSE)</f>
        <v xml:space="preserve">  </v>
      </c>
      <c r="AE89" s="82" t="str">
        <f>VLOOKUP(AD89,STN_TABLE,2,FALSE)</f>
        <v xml:space="preserve">  </v>
      </c>
      <c r="AF89" s="82">
        <v>2</v>
      </c>
      <c r="AG89" s="83" t="e">
        <f>AE89*AF89</f>
        <v>#VALUE!</v>
      </c>
      <c r="AH89" s="84" t="str">
        <f>CONCATENATE("a'(",AD89,")=")</f>
        <v>a'(  )=</v>
      </c>
      <c r="AI89" s="84" t="e">
        <f>2*AI87/2*AE90</f>
        <v>#VALUE!</v>
      </c>
      <c r="AJ89" s="84" t="str">
        <f>CONCATENATE("A(",AD88,")=")</f>
        <v>A(6.5)=</v>
      </c>
      <c r="AK89" s="84">
        <f>VLOOKUP(AD88,STN_TABLE,3,FALSE)</f>
        <v>54.24666666666667</v>
      </c>
      <c r="AL89" t="str">
        <f>CONCATENATE("A(",AD89,")=")</f>
        <v>A(  )=</v>
      </c>
      <c r="AM89" t="e">
        <f>AI89+AK89</f>
        <v>#VALUE!</v>
      </c>
      <c r="AO89" s="68" t="str">
        <f>AA89</f>
        <v>A(  )=</v>
      </c>
      <c r="AP89" s="68" t="e">
        <f>VLOOKUP(AO89,Rise_Results,2,FALSE)</f>
        <v>#N/A</v>
      </c>
      <c r="AQ89" s="76" t="e">
        <f>N89</f>
        <v>#VALUE!</v>
      </c>
      <c r="AR89" s="76" t="e">
        <f>IF(OR(AB89&lt;=0,AB90&lt;=0),1/0,AB89)</f>
        <v>#VALUE!</v>
      </c>
      <c r="AS89" s="76" t="e">
        <f>AM89</f>
        <v>#VALUE!</v>
      </c>
      <c r="AT89" t="e">
        <f>IFERROR(AP89,IFERROR(AQ89,IFERROR(AR89,AS89)))</f>
        <v>#VALUE!</v>
      </c>
      <c r="AU89" s="81"/>
    </row>
    <row r="90" spans="1:47" x14ac:dyDescent="0.25">
      <c r="A90" s="84">
        <f>A89+1</f>
        <v>13</v>
      </c>
      <c r="B90" s="84" t="str">
        <f t="shared" si="27"/>
        <v xml:space="preserve">  </v>
      </c>
      <c r="F90" s="82" t="e">
        <f>SUM(F87:F89)</f>
        <v>#VALUE!</v>
      </c>
      <c r="H90" s="82" t="e">
        <f>SUM(H87:H89)</f>
        <v>#VALUE!</v>
      </c>
      <c r="I90" s="84" t="str">
        <f>CONCATENATE("m'(",C89,")=")</f>
        <v>m'(  )=</v>
      </c>
      <c r="J90" s="84" t="e">
        <f>2*(J87*(WLS))/3*H90</f>
        <v>#VALUE!</v>
      </c>
      <c r="K90" s="84" t="e">
        <f>CONCATENATE("M(",C87,")=")</f>
        <v>#VALUE!</v>
      </c>
      <c r="L90" s="84" t="e">
        <f>VLOOKUP(C87,STN_TABLE,4,FALSE)</f>
        <v>#VALUE!</v>
      </c>
      <c r="M90" t="str">
        <f>CONCATENATE("M(",C89,")=")</f>
        <v>M(  )=</v>
      </c>
      <c r="N90" t="e">
        <f>J90+L90</f>
        <v>#VALUE!</v>
      </c>
      <c r="O90" s="99">
        <f>O89+1</f>
        <v>15</v>
      </c>
      <c r="P90" s="99" t="str">
        <f t="shared" si="23"/>
        <v xml:space="preserve">  </v>
      </c>
      <c r="T90" s="89" t="e">
        <f>SUM(T87:T89)</f>
        <v>#VALUE!</v>
      </c>
      <c r="V90" s="82" t="e">
        <f>SUM(V87:V89)</f>
        <v>#VALUE!</v>
      </c>
      <c r="W90" s="84" t="str">
        <f>CONCATENATE("m'(",Q88,")=")</f>
        <v>m'(  )=</v>
      </c>
      <c r="X90" s="84" t="e">
        <f>(2*(X87^2)/24*V90)+(X89*Q87*WLS)</f>
        <v>#VALUE!</v>
      </c>
      <c r="Y90" s="84" t="e">
        <f>CONCATENATE("M(",Q87,")=")</f>
        <v>#VALUE!</v>
      </c>
      <c r="Z90" s="84" t="e">
        <f>VLOOKUP(Q87,STN_TABLE,4,FALSE)</f>
        <v>#VALUE!</v>
      </c>
      <c r="AA90" t="str">
        <f>CONCATENATE("M(",Q88,")=")</f>
        <v>M(  )=</v>
      </c>
      <c r="AB90" t="e">
        <f>X90+Z90</f>
        <v>#VALUE!</v>
      </c>
      <c r="AE90" s="89">
        <f>SUM(AE88:AE89)</f>
        <v>5.85</v>
      </c>
      <c r="AG90" s="89" t="e">
        <f>SUM(AG88:AG89)</f>
        <v>#VALUE!</v>
      </c>
      <c r="AH90" s="84" t="str">
        <f>CONCATENATE("m'(",AD89,")=")</f>
        <v>m'(  )=</v>
      </c>
      <c r="AI90" s="84" t="e">
        <f>(2*(AI87^2)/6*AG90)+(AI89*AD88*WLS)</f>
        <v>#VALUE!</v>
      </c>
      <c r="AJ90" s="84" t="str">
        <f>CONCATENATE("M(",AD88,")=")</f>
        <v>M(6.5)=</v>
      </c>
      <c r="AK90" s="84">
        <f>VLOOKUP(AD88,STN_TABLE,4,FALSE)</f>
        <v>540.93999999999994</v>
      </c>
      <c r="AL90" t="str">
        <f>CONCATENATE("M(",AD89,")=")</f>
        <v>M(  )=</v>
      </c>
      <c r="AM90" t="e">
        <f>AI90+AK90</f>
        <v>#VALUE!</v>
      </c>
      <c r="AO90" s="82" t="str">
        <f>AA90</f>
        <v>M(  )=</v>
      </c>
      <c r="AP90" s="82" t="e">
        <f>VLOOKUP(AO90,Rise_Results,2,FALSE)</f>
        <v>#N/A</v>
      </c>
      <c r="AQ90" s="82" t="e">
        <f>N90</f>
        <v>#VALUE!</v>
      </c>
      <c r="AR90" s="82" t="e">
        <f>IF(OR(AB89&lt;=0,AB90&lt;=0),1/0,AB90)</f>
        <v>#VALUE!</v>
      </c>
      <c r="AS90" s="82" t="e">
        <f>AM90</f>
        <v>#VALUE!</v>
      </c>
      <c r="AT90" t="e">
        <f>IFERROR(AP90,IFERROR(AQ90,IFERROR(AR90,AS90)))</f>
        <v>#VALUE!</v>
      </c>
      <c r="AU90" s="81"/>
    </row>
    <row r="91" spans="1:47" x14ac:dyDescent="0.25">
      <c r="A91" s="101">
        <f>A86+1</f>
        <v>10</v>
      </c>
      <c r="B91" s="101">
        <f t="shared" si="27"/>
        <v>5</v>
      </c>
      <c r="O91" s="101">
        <f>O86+1</f>
        <v>12</v>
      </c>
      <c r="P91" s="101">
        <f t="shared" si="23"/>
        <v>6.5</v>
      </c>
      <c r="AU91" s="81"/>
    </row>
    <row r="92" spans="1:47" x14ac:dyDescent="0.25">
      <c r="A92" s="84">
        <f>A91+1</f>
        <v>11</v>
      </c>
      <c r="B92" s="84">
        <f t="shared" si="27"/>
        <v>6</v>
      </c>
      <c r="C92" s="79" t="e">
        <f t="shared" ref="C92" si="38">IF(C93=B94,IF(C94-C93=C93-B93,B93,IF(C94-C93=C93-B92,B92,"#NA")),IF(C93=B93,IF(C94-C93=C93-B92,B92,IF(C94-C93=C93-B91,B91,"#NA")),"#NA"))</f>
        <v>#VALUE!</v>
      </c>
      <c r="D92" s="68" t="e">
        <f>VLOOKUP(C92,STN_TABLE,2,FALSE)</f>
        <v>#VALUE!</v>
      </c>
      <c r="E92" s="102">
        <v>1</v>
      </c>
      <c r="F92" s="68" t="e">
        <f>D92*E92</f>
        <v>#VALUE!</v>
      </c>
      <c r="G92" s="69" t="e">
        <f>C92</f>
        <v>#VALUE!</v>
      </c>
      <c r="H92" s="69" t="e">
        <f>F92*G92</f>
        <v>#VALUE!</v>
      </c>
      <c r="I92" s="6" t="s">
        <v>93</v>
      </c>
      <c r="J92" s="70" t="e">
        <f>IF(OR(D92=0,D93=0,D94=0),"#NA",IF(AND(C94-C93=C93-C92,C93&lt;&gt;C94,C92&lt;&gt;C93,C92&lt;&gt;C94,D94&lt;&gt;0,OR(D92&lt;&gt;0,D93&lt;&gt;0)),WLS*(C94-C93),"#NA"))</f>
        <v>#VALUE!</v>
      </c>
      <c r="O92" s="99">
        <f>O91+1</f>
        <v>13</v>
      </c>
      <c r="P92" s="99" t="str">
        <f t="shared" si="23"/>
        <v xml:space="preserve">  </v>
      </c>
      <c r="Q92" s="68" t="e">
        <f>IF(OR(P94-P93=P93-P92,P95-P93=P93-P92),P92,IF(OR(P94-P93=P93-P91,P95-P93=P93-P91),P91,"-"))</f>
        <v>#VALUE!</v>
      </c>
      <c r="R92" s="69" t="e">
        <f>VLOOKUP(Q92,STN_TABLE,2,FALSE)</f>
        <v>#VALUE!</v>
      </c>
      <c r="S92" s="69">
        <v>5</v>
      </c>
      <c r="T92" s="68" t="e">
        <f>R92*S92</f>
        <v>#VALUE!</v>
      </c>
      <c r="U92" s="79">
        <v>3</v>
      </c>
      <c r="V92" s="68" t="e">
        <f>R92*U92</f>
        <v>#VALUE!</v>
      </c>
      <c r="W92" s="6" t="s">
        <v>93</v>
      </c>
      <c r="X92" s="70" t="e">
        <f>IF(AND(Q94-Q93=Q93-Q92,NOT(AND(Q92=0,Q93=0)),NOT(AND(Q93=0,Q94=0))),WLS*(Q94-Q93),"#NA")</f>
        <v>#VALUE!</v>
      </c>
      <c r="AD92" s="93"/>
      <c r="AH92" s="6" t="s">
        <v>93</v>
      </c>
      <c r="AI92" s="70" t="e">
        <f>WLS*(AD94-AD93)</f>
        <v>#VALUE!</v>
      </c>
      <c r="AU92" s="81"/>
    </row>
    <row r="93" spans="1:47" x14ac:dyDescent="0.25">
      <c r="A93" s="84">
        <f>A92+1</f>
        <v>12</v>
      </c>
      <c r="B93" s="84">
        <f t="shared" si="27"/>
        <v>6.5</v>
      </c>
      <c r="C93" s="80" t="e">
        <f t="shared" ref="C93" si="39">IF(OR(B95-B94=B94-B93,B95-B94=B94-B92,B95-B94=B94-B91),B94,IF(OR(B95-B93=B93-B92,B95-B93=B93-B91),B93,IF(B95-B92=B92-B91,B92,"#NA")))</f>
        <v>#VALUE!</v>
      </c>
      <c r="D93" s="76" t="e">
        <f>VLOOKUP(C93,STN_TABLE,2,FALSE)</f>
        <v>#VALUE!</v>
      </c>
      <c r="E93" s="81">
        <v>4</v>
      </c>
      <c r="F93" s="76" t="e">
        <f>D93*E93</f>
        <v>#VALUE!</v>
      </c>
      <c r="G93" s="77" t="e">
        <f>C93</f>
        <v>#VALUE!</v>
      </c>
      <c r="H93" s="77" t="e">
        <f>F93*G93</f>
        <v>#VALUE!</v>
      </c>
      <c r="I93" s="495" t="s">
        <v>97</v>
      </c>
      <c r="J93" s="496"/>
      <c r="K93" s="78" t="s">
        <v>98</v>
      </c>
      <c r="L93" s="78"/>
      <c r="M93" s="7" t="s">
        <v>99</v>
      </c>
      <c r="N93" s="7"/>
      <c r="O93" s="99">
        <f>O92+1</f>
        <v>14</v>
      </c>
      <c r="P93" s="99" t="str">
        <f t="shared" si="23"/>
        <v xml:space="preserve">  </v>
      </c>
      <c r="Q93" s="76" t="str">
        <f>P93</f>
        <v xml:space="preserve">  </v>
      </c>
      <c r="R93" s="77" t="str">
        <f>VLOOKUP(Q93,STN_TABLE,2,FALSE)</f>
        <v xml:space="preserve">  </v>
      </c>
      <c r="S93" s="77">
        <v>8</v>
      </c>
      <c r="T93" s="76" t="e">
        <f>R93*S93</f>
        <v>#VALUE!</v>
      </c>
      <c r="U93" s="80">
        <v>10</v>
      </c>
      <c r="V93" s="76" t="e">
        <f>R93*U93</f>
        <v>#VALUE!</v>
      </c>
      <c r="W93" s="496" t="s">
        <v>97</v>
      </c>
      <c r="X93" s="496"/>
      <c r="Y93" s="496" t="s">
        <v>98</v>
      </c>
      <c r="Z93" s="496"/>
      <c r="AA93" s="494" t="s">
        <v>99</v>
      </c>
      <c r="AB93" s="494"/>
      <c r="AC93" s="99">
        <f>AC88+1</f>
        <v>13</v>
      </c>
      <c r="AD93" s="95" t="str">
        <f>VLOOKUP(AC93,STN_TABLE_2,2,FALSE)</f>
        <v xml:space="preserve">  </v>
      </c>
      <c r="AE93" s="68" t="str">
        <f>VLOOKUP(AD93,STN_TABLE,2,FALSE)</f>
        <v xml:space="preserve">  </v>
      </c>
      <c r="AF93" s="68">
        <v>1</v>
      </c>
      <c r="AG93" s="69" t="e">
        <f>AE93*AF93</f>
        <v>#VALUE!</v>
      </c>
      <c r="AH93" s="496" t="s">
        <v>97</v>
      </c>
      <c r="AI93" s="496"/>
      <c r="AJ93" s="496" t="s">
        <v>98</v>
      </c>
      <c r="AK93" s="496"/>
      <c r="AL93" s="494" t="s">
        <v>99</v>
      </c>
      <c r="AM93" s="494"/>
      <c r="AP93" s="86" t="s">
        <v>112</v>
      </c>
      <c r="AQ93" s="89" t="s">
        <v>113</v>
      </c>
      <c r="AR93" s="89" t="s">
        <v>114</v>
      </c>
      <c r="AS93" s="89" t="s">
        <v>115</v>
      </c>
      <c r="AU93" s="81"/>
    </row>
    <row r="94" spans="1:47" x14ac:dyDescent="0.25">
      <c r="A94" s="84">
        <f>A93+1</f>
        <v>13</v>
      </c>
      <c r="B94" s="84" t="str">
        <f t="shared" si="27"/>
        <v xml:space="preserve">  </v>
      </c>
      <c r="C94" s="88" t="str">
        <f t="shared" ref="C94" si="40">B95</f>
        <v xml:space="preserve">  </v>
      </c>
      <c r="D94" s="82" t="str">
        <f>VLOOKUP(C94,STN_TABLE,2,FALSE)</f>
        <v xml:space="preserve">  </v>
      </c>
      <c r="E94" s="92">
        <v>1</v>
      </c>
      <c r="F94" s="82" t="e">
        <f>D94*E94</f>
        <v>#VALUE!</v>
      </c>
      <c r="G94" s="83" t="str">
        <f>C94</f>
        <v xml:space="preserve">  </v>
      </c>
      <c r="H94" s="83" t="e">
        <f>F94*G94</f>
        <v>#VALUE!</v>
      </c>
      <c r="I94" s="84" t="str">
        <f>CONCATENATE("a'(",C94,")=")</f>
        <v>a'(  )=</v>
      </c>
      <c r="J94" s="84" t="e">
        <f>2*J92/3*F95</f>
        <v>#VALUE!</v>
      </c>
      <c r="K94" s="84" t="e">
        <f>CONCATENATE("A(",C92,")=")</f>
        <v>#VALUE!</v>
      </c>
      <c r="L94" s="84" t="e">
        <f>VLOOKUP(C92,STN_TABLE,3,FALSE)</f>
        <v>#VALUE!</v>
      </c>
      <c r="M94" t="str">
        <f>CONCATENATE("A(",C94,")=")</f>
        <v>A(  )=</v>
      </c>
      <c r="N94" t="e">
        <f>J94+L94</f>
        <v>#VALUE!</v>
      </c>
      <c r="O94" s="99">
        <f>O93+1</f>
        <v>15</v>
      </c>
      <c r="P94" s="99" t="str">
        <f t="shared" si="23"/>
        <v xml:space="preserve">  </v>
      </c>
      <c r="Q94" s="82" t="e">
        <f>IF(P94-P93=P93-P92,P94,IF(P95-P93=P93-P92,P95,IF(P94-P93=P93-P91,P94,IF(P95-P93=P93-P91,P95,"-"))))</f>
        <v>#VALUE!</v>
      </c>
      <c r="R94" s="83" t="e">
        <f>VLOOKUP(Q94,STN_TABLE,2,FALSE)</f>
        <v>#VALUE!</v>
      </c>
      <c r="S94" s="83">
        <v>-1</v>
      </c>
      <c r="T94" s="82" t="e">
        <f>R94*S94</f>
        <v>#VALUE!</v>
      </c>
      <c r="U94" s="88">
        <v>-1</v>
      </c>
      <c r="V94" s="82" t="e">
        <f>R94*U94</f>
        <v>#VALUE!</v>
      </c>
      <c r="W94" s="84" t="str">
        <f>CONCATENATE("a'(",Q93,")=")</f>
        <v>a'(  )=</v>
      </c>
      <c r="X94" s="84" t="e">
        <f>2*X92/12*T95</f>
        <v>#VALUE!</v>
      </c>
      <c r="Y94" s="84" t="e">
        <f>CONCATENATE("A(",Q92,")=")</f>
        <v>#VALUE!</v>
      </c>
      <c r="Z94" s="84" t="e">
        <f>VLOOKUP(Q92,STN_TABLE,3,FALSE)</f>
        <v>#VALUE!</v>
      </c>
      <c r="AA94" t="str">
        <f>CONCATENATE("A(",Q93,")=")</f>
        <v>A(  )=</v>
      </c>
      <c r="AB94" t="e">
        <f>X94+Z94</f>
        <v>#VALUE!</v>
      </c>
      <c r="AC94" s="99">
        <f>AC93+1</f>
        <v>14</v>
      </c>
      <c r="AD94" s="100" t="str">
        <f>VLOOKUP(AC94,STN_TABLE_2,2,FALSE)</f>
        <v xml:space="preserve">  </v>
      </c>
      <c r="AE94" s="82" t="str">
        <f>VLOOKUP(AD94,STN_TABLE,2,FALSE)</f>
        <v xml:space="preserve">  </v>
      </c>
      <c r="AF94" s="82">
        <v>2</v>
      </c>
      <c r="AG94" s="83" t="e">
        <f>AE94*AF94</f>
        <v>#VALUE!</v>
      </c>
      <c r="AH94" s="84" t="str">
        <f>CONCATENATE("a'(",AD94,")=")</f>
        <v>a'(  )=</v>
      </c>
      <c r="AI94" s="84" t="e">
        <f>2*AI92/2*AE95</f>
        <v>#VALUE!</v>
      </c>
      <c r="AJ94" s="84" t="str">
        <f>CONCATENATE("A(",AD93,")=")</f>
        <v>A(  )=</v>
      </c>
      <c r="AK94" s="84" t="str">
        <f>VLOOKUP(AD93,STN_TABLE,3,FALSE)</f>
        <v xml:space="preserve"> </v>
      </c>
      <c r="AL94" t="str">
        <f>CONCATENATE("A(",AD94,")=")</f>
        <v>A(  )=</v>
      </c>
      <c r="AM94" t="e">
        <f>AI94+AK94</f>
        <v>#VALUE!</v>
      </c>
      <c r="AO94" s="68" t="str">
        <f>AA94</f>
        <v>A(  )=</v>
      </c>
      <c r="AP94" s="68" t="e">
        <f>VLOOKUP(AO94,Rise_Results,2,FALSE)</f>
        <v>#N/A</v>
      </c>
      <c r="AQ94" s="76" t="e">
        <f>N94</f>
        <v>#VALUE!</v>
      </c>
      <c r="AR94" s="76" t="e">
        <f>IF(OR(AB94&lt;=0,AB95&lt;=0),1/0,AB94)</f>
        <v>#VALUE!</v>
      </c>
      <c r="AS94" s="76" t="e">
        <f>AM94</f>
        <v>#VALUE!</v>
      </c>
      <c r="AT94" t="e">
        <f>IFERROR(AP94,IFERROR(AQ94,IFERROR(AR94,AS94)))</f>
        <v>#VALUE!</v>
      </c>
      <c r="AU94" s="81"/>
    </row>
    <row r="95" spans="1:47" x14ac:dyDescent="0.25">
      <c r="A95" s="84">
        <f>A94+1</f>
        <v>14</v>
      </c>
      <c r="B95" s="84" t="str">
        <f t="shared" si="27"/>
        <v xml:space="preserve">  </v>
      </c>
      <c r="F95" s="82" t="e">
        <f>SUM(F92:F94)</f>
        <v>#VALUE!</v>
      </c>
      <c r="H95" s="82" t="e">
        <f>SUM(H92:H94)</f>
        <v>#VALUE!</v>
      </c>
      <c r="I95" s="84" t="str">
        <f>CONCATENATE("m'(",C94,")=")</f>
        <v>m'(  )=</v>
      </c>
      <c r="J95" s="84" t="e">
        <f>2*(J92*(WLS))/3*H95</f>
        <v>#VALUE!</v>
      </c>
      <c r="K95" s="84" t="e">
        <f>CONCATENATE("M(",C92,")=")</f>
        <v>#VALUE!</v>
      </c>
      <c r="L95" s="84" t="e">
        <f>VLOOKUP(C92,STN_TABLE,4,FALSE)</f>
        <v>#VALUE!</v>
      </c>
      <c r="M95" t="str">
        <f>CONCATENATE("M(",C94,")=")</f>
        <v>M(  )=</v>
      </c>
      <c r="N95" t="e">
        <f>J95+L95</f>
        <v>#VALUE!</v>
      </c>
      <c r="O95" s="99">
        <f>O94+1</f>
        <v>16</v>
      </c>
      <c r="P95" s="99" t="str">
        <f t="shared" si="23"/>
        <v xml:space="preserve">  </v>
      </c>
      <c r="T95" s="89" t="e">
        <f>SUM(T92:T94)</f>
        <v>#VALUE!</v>
      </c>
      <c r="V95" s="82" t="e">
        <f>SUM(V92:V94)</f>
        <v>#VALUE!</v>
      </c>
      <c r="W95" s="84" t="str">
        <f>CONCATENATE("m'(",Q93,")=")</f>
        <v>m'(  )=</v>
      </c>
      <c r="X95" s="84" t="e">
        <f>(2*(X92^2)/24*V95)+(X94*Q92*WLS)</f>
        <v>#VALUE!</v>
      </c>
      <c r="Y95" s="84" t="e">
        <f>CONCATENATE("M(",Q92,")=")</f>
        <v>#VALUE!</v>
      </c>
      <c r="Z95" s="84" t="e">
        <f>VLOOKUP(Q92,STN_TABLE,4,FALSE)</f>
        <v>#VALUE!</v>
      </c>
      <c r="AA95" t="str">
        <f>CONCATENATE("M(",Q93,")=")</f>
        <v>M(  )=</v>
      </c>
      <c r="AB95" t="e">
        <f>X95+Z95</f>
        <v>#VALUE!</v>
      </c>
      <c r="AE95" s="89">
        <f>SUM(AE93:AE94)</f>
        <v>0</v>
      </c>
      <c r="AG95" s="89" t="e">
        <f>SUM(AG93:AG94)</f>
        <v>#VALUE!</v>
      </c>
      <c r="AH95" s="84" t="str">
        <f>CONCATENATE("m'(",AD94,")=")</f>
        <v>m'(  )=</v>
      </c>
      <c r="AI95" s="84" t="e">
        <f>(2*(AI92^2)/6*AG95)+(AI94*AD93*WLS)</f>
        <v>#VALUE!</v>
      </c>
      <c r="AJ95" s="84" t="str">
        <f>CONCATENATE("M(",AD93,")=")</f>
        <v>M(  )=</v>
      </c>
      <c r="AK95" s="84" t="str">
        <f>VLOOKUP(AD93,STN_TABLE,4,FALSE)</f>
        <v xml:space="preserve"> </v>
      </c>
      <c r="AL95" t="str">
        <f>CONCATENATE("M(",AD94,")=")</f>
        <v>M(  )=</v>
      </c>
      <c r="AM95" t="e">
        <f>AI95+AK95</f>
        <v>#VALUE!</v>
      </c>
      <c r="AO95" s="82" t="str">
        <f>AA95</f>
        <v>M(  )=</v>
      </c>
      <c r="AP95" s="82" t="e">
        <f>VLOOKUP(AO95,Rise_Results,2,FALSE)</f>
        <v>#N/A</v>
      </c>
      <c r="AQ95" s="82" t="e">
        <f>N95</f>
        <v>#VALUE!</v>
      </c>
      <c r="AR95" s="82" t="e">
        <f>IF(OR(AB94&lt;=0,AB95&lt;=0),1/0,AB95)</f>
        <v>#VALUE!</v>
      </c>
      <c r="AS95" s="82" t="e">
        <f>AM95</f>
        <v>#VALUE!</v>
      </c>
      <c r="AT95" t="e">
        <f>IFERROR(AP95,IFERROR(AQ95,IFERROR(AR95,AS95)))</f>
        <v>#VALUE!</v>
      </c>
      <c r="AU95" s="81"/>
    </row>
    <row r="96" spans="1:47" x14ac:dyDescent="0.25">
      <c r="A96" s="101">
        <f>A91+1</f>
        <v>11</v>
      </c>
      <c r="B96" s="101">
        <f t="shared" si="27"/>
        <v>6</v>
      </c>
      <c r="O96" s="101">
        <f>O91+1</f>
        <v>13</v>
      </c>
      <c r="P96" s="101" t="str">
        <f t="shared" si="23"/>
        <v xml:space="preserve">  </v>
      </c>
      <c r="AU96" s="81"/>
    </row>
    <row r="97" spans="1:47" x14ac:dyDescent="0.25">
      <c r="A97" s="84">
        <f>A96+1</f>
        <v>12</v>
      </c>
      <c r="B97" s="84">
        <f t="shared" si="27"/>
        <v>6.5</v>
      </c>
      <c r="C97" s="79" t="e">
        <f t="shared" ref="C97" si="41">IF(C98=B99,IF(C99-C98=C98-B98,B98,IF(C99-C98=C98-B97,B97,"#NA")),IF(C98=B98,IF(C99-C98=C98-B97,B97,IF(C99-C98=C98-B96,B96,"#NA")),"#NA"))</f>
        <v>#VALUE!</v>
      </c>
      <c r="D97" s="68" t="e">
        <f>VLOOKUP(C97,STN_TABLE,2,FALSE)</f>
        <v>#VALUE!</v>
      </c>
      <c r="E97" s="102">
        <v>1</v>
      </c>
      <c r="F97" s="68" t="e">
        <f>D97*E97</f>
        <v>#VALUE!</v>
      </c>
      <c r="G97" s="69" t="e">
        <f>C97</f>
        <v>#VALUE!</v>
      </c>
      <c r="H97" s="69" t="e">
        <f>F97*G97</f>
        <v>#VALUE!</v>
      </c>
      <c r="I97" s="6" t="s">
        <v>93</v>
      </c>
      <c r="J97" s="70" t="e">
        <f>IF(OR(D97=0,D98=0,D99=0),"#NA",IF(AND(C99-C98=C98-C97,C98&lt;&gt;C99,C97&lt;&gt;C98,C97&lt;&gt;C99,D99&lt;&gt;0,OR(D97&lt;&gt;0,D98&lt;&gt;0)),WLS*(C99-C98),"#NA"))</f>
        <v>#VALUE!</v>
      </c>
      <c r="O97" s="99">
        <f>O96+1</f>
        <v>14</v>
      </c>
      <c r="P97" s="99" t="str">
        <f t="shared" si="23"/>
        <v xml:space="preserve">  </v>
      </c>
      <c r="Q97" s="68" t="e">
        <f>IF(OR(P99-P98=P98-P97,P100-P98=P98-P97),P97,IF(OR(P99-P98=P98-P96,P100-P98=P98-P96),P96,"-"))</f>
        <v>#VALUE!</v>
      </c>
      <c r="R97" s="69" t="e">
        <f>VLOOKUP(Q97,STN_TABLE,2,FALSE)</f>
        <v>#VALUE!</v>
      </c>
      <c r="S97" s="69">
        <v>5</v>
      </c>
      <c r="T97" s="68" t="e">
        <f>R97*S97</f>
        <v>#VALUE!</v>
      </c>
      <c r="U97" s="79">
        <v>3</v>
      </c>
      <c r="V97" s="68" t="e">
        <f>R97*U97</f>
        <v>#VALUE!</v>
      </c>
      <c r="W97" s="6" t="s">
        <v>93</v>
      </c>
      <c r="X97" s="70" t="e">
        <f>IF(AND(Q99-Q98=Q98-Q97,NOT(AND(Q97=0,Q98=0)),NOT(AND(Q98=0,Q99=0))),WLS*(Q99-Q98),"#NA")</f>
        <v>#VALUE!</v>
      </c>
      <c r="AD97" s="93"/>
      <c r="AH97" s="6" t="s">
        <v>93</v>
      </c>
      <c r="AI97" s="70" t="e">
        <f>WLS*(AD99-AD98)</f>
        <v>#VALUE!</v>
      </c>
      <c r="AU97" s="81"/>
    </row>
    <row r="98" spans="1:47" x14ac:dyDescent="0.25">
      <c r="A98" s="84">
        <f>A97+1</f>
        <v>13</v>
      </c>
      <c r="B98" s="84" t="str">
        <f t="shared" si="27"/>
        <v xml:space="preserve">  </v>
      </c>
      <c r="C98" s="80" t="e">
        <f t="shared" ref="C98" si="42">IF(OR(B100-B99=B99-B98,B100-B99=B99-B97,B100-B99=B99-B96),B99,IF(OR(B100-B98=B98-B97,B100-B98=B98-B96),B98,IF(B100-B97=B97-B96,B97,"#NA")))</f>
        <v>#VALUE!</v>
      </c>
      <c r="D98" s="76" t="e">
        <f>VLOOKUP(C98,STN_TABLE,2,FALSE)</f>
        <v>#VALUE!</v>
      </c>
      <c r="E98" s="81">
        <v>4</v>
      </c>
      <c r="F98" s="76" t="e">
        <f>D98*E98</f>
        <v>#VALUE!</v>
      </c>
      <c r="G98" s="77" t="e">
        <f>C98</f>
        <v>#VALUE!</v>
      </c>
      <c r="H98" s="77" t="e">
        <f>F98*G98</f>
        <v>#VALUE!</v>
      </c>
      <c r="I98" s="495" t="s">
        <v>97</v>
      </c>
      <c r="J98" s="496"/>
      <c r="K98" s="78" t="s">
        <v>98</v>
      </c>
      <c r="L98" s="78"/>
      <c r="M98" s="7" t="s">
        <v>99</v>
      </c>
      <c r="N98" s="7"/>
      <c r="O98" s="99">
        <f>O97+1</f>
        <v>15</v>
      </c>
      <c r="P98" s="99" t="str">
        <f t="shared" si="23"/>
        <v xml:space="preserve">  </v>
      </c>
      <c r="Q98" s="76" t="str">
        <f>P98</f>
        <v xml:space="preserve">  </v>
      </c>
      <c r="R98" s="77" t="str">
        <f>VLOOKUP(Q98,STN_TABLE,2,FALSE)</f>
        <v xml:space="preserve">  </v>
      </c>
      <c r="S98" s="77">
        <v>8</v>
      </c>
      <c r="T98" s="76" t="e">
        <f>R98*S98</f>
        <v>#VALUE!</v>
      </c>
      <c r="U98" s="80">
        <v>10</v>
      </c>
      <c r="V98" s="76" t="e">
        <f>R98*U98</f>
        <v>#VALUE!</v>
      </c>
      <c r="W98" s="496" t="s">
        <v>97</v>
      </c>
      <c r="X98" s="496"/>
      <c r="Y98" s="496" t="s">
        <v>98</v>
      </c>
      <c r="Z98" s="496"/>
      <c r="AA98" s="494" t="s">
        <v>99</v>
      </c>
      <c r="AB98" s="494"/>
      <c r="AC98" s="99">
        <f>AC93+1</f>
        <v>14</v>
      </c>
      <c r="AD98" s="95" t="str">
        <f>VLOOKUP(AC98,STN_TABLE_2,2,FALSE)</f>
        <v xml:space="preserve">  </v>
      </c>
      <c r="AE98" s="68" t="str">
        <f>VLOOKUP(AD98,STN_TABLE,2,FALSE)</f>
        <v xml:space="preserve">  </v>
      </c>
      <c r="AF98" s="68">
        <v>1</v>
      </c>
      <c r="AG98" s="69" t="e">
        <f>AE98*AF98</f>
        <v>#VALUE!</v>
      </c>
      <c r="AH98" s="496" t="s">
        <v>97</v>
      </c>
      <c r="AI98" s="496"/>
      <c r="AJ98" s="496" t="s">
        <v>98</v>
      </c>
      <c r="AK98" s="496"/>
      <c r="AL98" s="494" t="s">
        <v>99</v>
      </c>
      <c r="AM98" s="494"/>
      <c r="AP98" s="86" t="s">
        <v>112</v>
      </c>
      <c r="AQ98" s="89" t="s">
        <v>113</v>
      </c>
      <c r="AR98" s="89" t="s">
        <v>114</v>
      </c>
      <c r="AS98" s="89" t="s">
        <v>115</v>
      </c>
      <c r="AU98" s="81"/>
    </row>
    <row r="99" spans="1:47" x14ac:dyDescent="0.25">
      <c r="A99" s="84">
        <f>A98+1</f>
        <v>14</v>
      </c>
      <c r="B99" s="84" t="str">
        <f t="shared" si="27"/>
        <v xml:space="preserve">  </v>
      </c>
      <c r="C99" s="88" t="str">
        <f t="shared" ref="C99" si="43">B100</f>
        <v xml:space="preserve">  </v>
      </c>
      <c r="D99" s="82" t="str">
        <f>VLOOKUP(C99,STN_TABLE,2,FALSE)</f>
        <v xml:space="preserve">  </v>
      </c>
      <c r="E99" s="92">
        <v>1</v>
      </c>
      <c r="F99" s="82" t="e">
        <f>D99*E99</f>
        <v>#VALUE!</v>
      </c>
      <c r="G99" s="83" t="str">
        <f>C99</f>
        <v xml:space="preserve">  </v>
      </c>
      <c r="H99" s="83" t="e">
        <f>F99*G99</f>
        <v>#VALUE!</v>
      </c>
      <c r="I99" s="84" t="str">
        <f>CONCATENATE("a'(",C99,")=")</f>
        <v>a'(  )=</v>
      </c>
      <c r="J99" s="84" t="e">
        <f>2*J97/3*F100</f>
        <v>#VALUE!</v>
      </c>
      <c r="K99" s="84" t="e">
        <f>CONCATENATE("A(",C97,")=")</f>
        <v>#VALUE!</v>
      </c>
      <c r="L99" s="84" t="e">
        <f>VLOOKUP(C97,STN_TABLE,3,FALSE)</f>
        <v>#VALUE!</v>
      </c>
      <c r="M99" t="str">
        <f>CONCATENATE("A(",C99,")=")</f>
        <v>A(  )=</v>
      </c>
      <c r="N99" t="e">
        <f>J99+L99</f>
        <v>#VALUE!</v>
      </c>
      <c r="O99" s="99">
        <f>O98+1</f>
        <v>16</v>
      </c>
      <c r="P99" s="99" t="str">
        <f t="shared" si="23"/>
        <v xml:space="preserve">  </v>
      </c>
      <c r="Q99" s="82" t="e">
        <f>IF(P99-P98=P98-P97,P99,IF(P100-P98=P98-P97,P100,IF(P99-P98=P98-P96,P99,IF(P100-P98=P98-P96,P100,"-"))))</f>
        <v>#VALUE!</v>
      </c>
      <c r="R99" s="83" t="e">
        <f>VLOOKUP(Q99,STN_TABLE,2,FALSE)</f>
        <v>#VALUE!</v>
      </c>
      <c r="S99" s="83">
        <v>-1</v>
      </c>
      <c r="T99" s="82" t="e">
        <f>R99*S99</f>
        <v>#VALUE!</v>
      </c>
      <c r="U99" s="88">
        <v>-1</v>
      </c>
      <c r="V99" s="82" t="e">
        <f>R99*U99</f>
        <v>#VALUE!</v>
      </c>
      <c r="W99" s="84" t="str">
        <f>CONCATENATE("a'(",Q98,")=")</f>
        <v>a'(  )=</v>
      </c>
      <c r="X99" s="84" t="e">
        <f>2*X97/12*T100</f>
        <v>#VALUE!</v>
      </c>
      <c r="Y99" s="84" t="e">
        <f>CONCATENATE("A(",Q97,")=")</f>
        <v>#VALUE!</v>
      </c>
      <c r="Z99" s="84" t="e">
        <f>VLOOKUP(Q97,STN_TABLE,3,FALSE)</f>
        <v>#VALUE!</v>
      </c>
      <c r="AA99" t="str">
        <f>CONCATENATE("A(",Q98,")=")</f>
        <v>A(  )=</v>
      </c>
      <c r="AB99" t="e">
        <f>X99+Z99</f>
        <v>#VALUE!</v>
      </c>
      <c r="AC99" s="99">
        <f>AC98+1</f>
        <v>15</v>
      </c>
      <c r="AD99" s="100" t="str">
        <f>VLOOKUP(AC99,STN_TABLE_2,2,FALSE)</f>
        <v xml:space="preserve">  </v>
      </c>
      <c r="AE99" s="82" t="str">
        <f>VLOOKUP(AD99,STN_TABLE,2,FALSE)</f>
        <v xml:space="preserve">  </v>
      </c>
      <c r="AF99" s="82">
        <v>2</v>
      </c>
      <c r="AG99" s="83" t="e">
        <f>AE99*AF99</f>
        <v>#VALUE!</v>
      </c>
      <c r="AH99" s="84" t="str">
        <f>CONCATENATE("a'(",AD99,")=")</f>
        <v>a'(  )=</v>
      </c>
      <c r="AI99" s="84" t="e">
        <f>2*AI97/2*AE100</f>
        <v>#VALUE!</v>
      </c>
      <c r="AJ99" s="84" t="str">
        <f>CONCATENATE("A(",AD98,")=")</f>
        <v>A(  )=</v>
      </c>
      <c r="AK99" s="84" t="str">
        <f>VLOOKUP(AD98,STN_TABLE,3,FALSE)</f>
        <v xml:space="preserve"> </v>
      </c>
      <c r="AL99" t="str">
        <f>CONCATENATE("A(",AD99,")=")</f>
        <v>A(  )=</v>
      </c>
      <c r="AM99" t="e">
        <f>AI99+AK99</f>
        <v>#VALUE!</v>
      </c>
      <c r="AO99" s="68" t="str">
        <f>AA99</f>
        <v>A(  )=</v>
      </c>
      <c r="AP99" s="68" t="e">
        <f>VLOOKUP(AO99,Rise_Results,2,FALSE)</f>
        <v>#N/A</v>
      </c>
      <c r="AQ99" s="76" t="e">
        <f>N99</f>
        <v>#VALUE!</v>
      </c>
      <c r="AR99" s="76" t="e">
        <f>IF(OR(AB99&lt;=0,AB100&lt;=0),1/0,AB99)</f>
        <v>#VALUE!</v>
      </c>
      <c r="AS99" s="76" t="e">
        <f>AM99</f>
        <v>#VALUE!</v>
      </c>
      <c r="AT99" t="e">
        <f>IFERROR(AP99,IFERROR(AQ99,IFERROR(AR99,AS99)))</f>
        <v>#VALUE!</v>
      </c>
      <c r="AU99" s="81"/>
    </row>
    <row r="100" spans="1:47" x14ac:dyDescent="0.25">
      <c r="A100" s="84">
        <f>A99+1</f>
        <v>15</v>
      </c>
      <c r="B100" s="84" t="str">
        <f t="shared" si="27"/>
        <v xml:space="preserve">  </v>
      </c>
      <c r="F100" s="82" t="e">
        <f>SUM(F97:F99)</f>
        <v>#VALUE!</v>
      </c>
      <c r="H100" s="82" t="e">
        <f>SUM(H97:H99)</f>
        <v>#VALUE!</v>
      </c>
      <c r="I100" s="84" t="str">
        <f>CONCATENATE("m'(",C99,")=")</f>
        <v>m'(  )=</v>
      </c>
      <c r="J100" s="84" t="e">
        <f>2*(J97*(WLS))/3*H100</f>
        <v>#VALUE!</v>
      </c>
      <c r="K100" s="84" t="e">
        <f>CONCATENATE("M(",C97,")=")</f>
        <v>#VALUE!</v>
      </c>
      <c r="L100" s="84" t="e">
        <f>VLOOKUP(C97,STN_TABLE,4,FALSE)</f>
        <v>#VALUE!</v>
      </c>
      <c r="M100" t="str">
        <f>CONCATENATE("M(",C99,")=")</f>
        <v>M(  )=</v>
      </c>
      <c r="N100" t="e">
        <f>J100+L100</f>
        <v>#VALUE!</v>
      </c>
      <c r="O100" s="99">
        <f>O99+1</f>
        <v>17</v>
      </c>
      <c r="P100" s="99" t="str">
        <f t="shared" ref="P100:P131" si="44">VLOOKUP(O100,STN_TABLE_2,2,FALSE)</f>
        <v xml:space="preserve">  </v>
      </c>
      <c r="T100" s="89" t="e">
        <f>SUM(T97:T99)</f>
        <v>#VALUE!</v>
      </c>
      <c r="V100" s="82" t="e">
        <f>SUM(V97:V99)</f>
        <v>#VALUE!</v>
      </c>
      <c r="W100" s="84" t="str">
        <f>CONCATENATE("m'(",Q98,")=")</f>
        <v>m'(  )=</v>
      </c>
      <c r="X100" s="84" t="e">
        <f>(2*(X97^2)/24*V100)+(X99*Q97*WLS)</f>
        <v>#VALUE!</v>
      </c>
      <c r="Y100" s="84" t="e">
        <f>CONCATENATE("M(",Q97,")=")</f>
        <v>#VALUE!</v>
      </c>
      <c r="Z100" s="84" t="e">
        <f>VLOOKUP(Q97,STN_TABLE,4,FALSE)</f>
        <v>#VALUE!</v>
      </c>
      <c r="AA100" t="str">
        <f>CONCATENATE("M(",Q98,")=")</f>
        <v>M(  )=</v>
      </c>
      <c r="AB100" t="e">
        <f>X100+Z100</f>
        <v>#VALUE!</v>
      </c>
      <c r="AE100" s="89">
        <f>SUM(AE98:AE99)</f>
        <v>0</v>
      </c>
      <c r="AG100" s="89" t="e">
        <f>SUM(AG98:AG99)</f>
        <v>#VALUE!</v>
      </c>
      <c r="AH100" s="84" t="str">
        <f>CONCATENATE("m'(",AD99,")=")</f>
        <v>m'(  )=</v>
      </c>
      <c r="AI100" s="84" t="e">
        <f>(2*(AI97^2)/6*AG100)+(AI99*AD98*WLS)</f>
        <v>#VALUE!</v>
      </c>
      <c r="AJ100" s="84" t="str">
        <f>CONCATENATE("M(",AD98,")=")</f>
        <v>M(  )=</v>
      </c>
      <c r="AK100" s="84" t="str">
        <f>VLOOKUP(AD98,STN_TABLE,4,FALSE)</f>
        <v xml:space="preserve"> </v>
      </c>
      <c r="AL100" t="str">
        <f>CONCATENATE("M(",AD99,")=")</f>
        <v>M(  )=</v>
      </c>
      <c r="AM100" t="e">
        <f>AI100+AK100</f>
        <v>#VALUE!</v>
      </c>
      <c r="AO100" s="82" t="str">
        <f>AA100</f>
        <v>M(  )=</v>
      </c>
      <c r="AP100" s="82" t="e">
        <f>VLOOKUP(AO100,Rise_Results,2,FALSE)</f>
        <v>#N/A</v>
      </c>
      <c r="AQ100" s="82" t="e">
        <f>N100</f>
        <v>#VALUE!</v>
      </c>
      <c r="AR100" s="82" t="e">
        <f>IF(OR(AB99&lt;=0,AB100&lt;=0),1/0,AB100)</f>
        <v>#VALUE!</v>
      </c>
      <c r="AS100" s="82" t="e">
        <f>AM100</f>
        <v>#VALUE!</v>
      </c>
      <c r="AT100" t="e">
        <f>IFERROR(AP100,IFERROR(AQ100,IFERROR(AR100,AS100)))</f>
        <v>#VALUE!</v>
      </c>
      <c r="AU100" s="81"/>
    </row>
    <row r="101" spans="1:47" x14ac:dyDescent="0.25">
      <c r="A101" s="101">
        <f>A96+1</f>
        <v>12</v>
      </c>
      <c r="B101" s="101">
        <f t="shared" si="27"/>
        <v>6.5</v>
      </c>
      <c r="O101" s="101">
        <f>O96+1</f>
        <v>14</v>
      </c>
      <c r="P101" s="101" t="str">
        <f t="shared" si="44"/>
        <v xml:space="preserve">  </v>
      </c>
      <c r="AU101" s="81"/>
    </row>
    <row r="102" spans="1:47" x14ac:dyDescent="0.25">
      <c r="A102" s="84">
        <f>A101+1</f>
        <v>13</v>
      </c>
      <c r="B102" s="84" t="str">
        <f t="shared" si="27"/>
        <v xml:space="preserve">  </v>
      </c>
      <c r="C102" s="79" t="e">
        <f t="shared" ref="C102" si="45">IF(C103=B104,IF(C104-C103=C103-B103,B103,IF(C104-C103=C103-B102,B102,"#NA")),IF(C103=B103,IF(C104-C103=C103-B102,B102,IF(C104-C103=C103-B101,B101,"#NA")),"#NA"))</f>
        <v>#VALUE!</v>
      </c>
      <c r="D102" s="68" t="e">
        <f>VLOOKUP(C102,STN_TABLE,2,FALSE)</f>
        <v>#VALUE!</v>
      </c>
      <c r="E102" s="102">
        <v>1</v>
      </c>
      <c r="F102" s="68" t="e">
        <f>D102*E102</f>
        <v>#VALUE!</v>
      </c>
      <c r="G102" s="69" t="e">
        <f>C102</f>
        <v>#VALUE!</v>
      </c>
      <c r="H102" s="69" t="e">
        <f>F102*G102</f>
        <v>#VALUE!</v>
      </c>
      <c r="I102" s="6" t="s">
        <v>93</v>
      </c>
      <c r="J102" s="70" t="e">
        <f>IF(OR(D102=0,D103=0,D104=0),"#NA",IF(AND(C104-C103=C103-C102,C103&lt;&gt;C104,C102&lt;&gt;C103,C102&lt;&gt;C104,D104&lt;&gt;0,OR(D102&lt;&gt;0,D103&lt;&gt;0)),WLS*(C104-C103),"#NA"))</f>
        <v>#VALUE!</v>
      </c>
      <c r="O102" s="99">
        <f>O101+1</f>
        <v>15</v>
      </c>
      <c r="P102" s="99" t="str">
        <f t="shared" si="44"/>
        <v xml:space="preserve">  </v>
      </c>
      <c r="Q102" s="68" t="e">
        <f>IF(OR(P104-P103=P103-P102,P105-P103=P103-P102),P102,IF(OR(P104-P103=P103-P101,P105-P103=P103-P101),P101,"-"))</f>
        <v>#VALUE!</v>
      </c>
      <c r="R102" s="69" t="e">
        <f>VLOOKUP(Q102,STN_TABLE,2,FALSE)</f>
        <v>#VALUE!</v>
      </c>
      <c r="S102" s="69">
        <v>5</v>
      </c>
      <c r="T102" s="68" t="e">
        <f>R102*S102</f>
        <v>#VALUE!</v>
      </c>
      <c r="U102" s="79">
        <v>3</v>
      </c>
      <c r="V102" s="68" t="e">
        <f>R102*U102</f>
        <v>#VALUE!</v>
      </c>
      <c r="W102" s="6" t="s">
        <v>93</v>
      </c>
      <c r="X102" s="70" t="e">
        <f>IF(AND(Q104-Q103=Q103-Q102,NOT(AND(Q102=0,Q103=0)),NOT(AND(Q103=0,Q104=0))),WLS*(Q104-Q103),"#NA")</f>
        <v>#VALUE!</v>
      </c>
      <c r="AD102" s="93"/>
      <c r="AH102" s="6" t="s">
        <v>93</v>
      </c>
      <c r="AI102" s="70" t="e">
        <f>WLS*(AD104-AD103)</f>
        <v>#VALUE!</v>
      </c>
      <c r="AU102" s="81"/>
    </row>
    <row r="103" spans="1:47" x14ac:dyDescent="0.25">
      <c r="A103" s="84">
        <f>A102+1</f>
        <v>14</v>
      </c>
      <c r="B103" s="84" t="str">
        <f t="shared" si="27"/>
        <v xml:space="preserve">  </v>
      </c>
      <c r="C103" s="80" t="e">
        <f t="shared" ref="C103" si="46">IF(OR(B105-B104=B104-B103,B105-B104=B104-B102,B105-B104=B104-B101),B104,IF(OR(B105-B103=B103-B102,B105-B103=B103-B101),B103,IF(B105-B102=B102-B101,B102,"#NA")))</f>
        <v>#VALUE!</v>
      </c>
      <c r="D103" s="76" t="e">
        <f>VLOOKUP(C103,STN_TABLE,2,FALSE)</f>
        <v>#VALUE!</v>
      </c>
      <c r="E103" s="81">
        <v>4</v>
      </c>
      <c r="F103" s="76" t="e">
        <f>D103*E103</f>
        <v>#VALUE!</v>
      </c>
      <c r="G103" s="77" t="e">
        <f>C103</f>
        <v>#VALUE!</v>
      </c>
      <c r="H103" s="77" t="e">
        <f>F103*G103</f>
        <v>#VALUE!</v>
      </c>
      <c r="I103" s="495" t="s">
        <v>97</v>
      </c>
      <c r="J103" s="496"/>
      <c r="K103" s="78" t="s">
        <v>98</v>
      </c>
      <c r="L103" s="78"/>
      <c r="M103" s="7" t="s">
        <v>99</v>
      </c>
      <c r="N103" s="7"/>
      <c r="O103" s="99">
        <f>O102+1</f>
        <v>16</v>
      </c>
      <c r="P103" s="99" t="str">
        <f t="shared" si="44"/>
        <v xml:space="preserve">  </v>
      </c>
      <c r="Q103" s="76" t="str">
        <f>P103</f>
        <v xml:space="preserve">  </v>
      </c>
      <c r="R103" s="77" t="str">
        <f>VLOOKUP(Q103,STN_TABLE,2,FALSE)</f>
        <v xml:space="preserve">  </v>
      </c>
      <c r="S103" s="77">
        <v>8</v>
      </c>
      <c r="T103" s="76" t="e">
        <f>R103*S103</f>
        <v>#VALUE!</v>
      </c>
      <c r="U103" s="80">
        <v>10</v>
      </c>
      <c r="V103" s="76" t="e">
        <f>R103*U103</f>
        <v>#VALUE!</v>
      </c>
      <c r="W103" s="496" t="s">
        <v>97</v>
      </c>
      <c r="X103" s="496"/>
      <c r="Y103" s="496" t="s">
        <v>98</v>
      </c>
      <c r="Z103" s="496"/>
      <c r="AA103" s="494" t="s">
        <v>99</v>
      </c>
      <c r="AB103" s="494"/>
      <c r="AC103" s="99">
        <f>AC98+1</f>
        <v>15</v>
      </c>
      <c r="AD103" s="95" t="str">
        <f>VLOOKUP(AC103,STN_TABLE_2,2,FALSE)</f>
        <v xml:space="preserve">  </v>
      </c>
      <c r="AE103" s="68" t="str">
        <f>VLOOKUP(AD103,STN_TABLE,2,FALSE)</f>
        <v xml:space="preserve">  </v>
      </c>
      <c r="AF103" s="68">
        <v>1</v>
      </c>
      <c r="AG103" s="69" t="e">
        <f>AE103*AF103</f>
        <v>#VALUE!</v>
      </c>
      <c r="AH103" s="496" t="s">
        <v>97</v>
      </c>
      <c r="AI103" s="496"/>
      <c r="AJ103" s="496" t="s">
        <v>98</v>
      </c>
      <c r="AK103" s="496"/>
      <c r="AL103" s="494" t="s">
        <v>99</v>
      </c>
      <c r="AM103" s="494"/>
      <c r="AP103" s="86" t="s">
        <v>112</v>
      </c>
      <c r="AQ103" s="89" t="s">
        <v>113</v>
      </c>
      <c r="AR103" s="89" t="s">
        <v>114</v>
      </c>
      <c r="AS103" s="89" t="s">
        <v>115</v>
      </c>
      <c r="AU103" s="81"/>
    </row>
    <row r="104" spans="1:47" x14ac:dyDescent="0.25">
      <c r="A104" s="84">
        <f>A103+1</f>
        <v>15</v>
      </c>
      <c r="B104" s="84" t="str">
        <f t="shared" si="27"/>
        <v xml:space="preserve">  </v>
      </c>
      <c r="C104" s="88" t="str">
        <f t="shared" ref="C104" si="47">B105</f>
        <v xml:space="preserve">  </v>
      </c>
      <c r="D104" s="82" t="str">
        <f>VLOOKUP(C104,STN_TABLE,2,FALSE)</f>
        <v xml:space="preserve">  </v>
      </c>
      <c r="E104" s="92">
        <v>1</v>
      </c>
      <c r="F104" s="82" t="e">
        <f>D104*E104</f>
        <v>#VALUE!</v>
      </c>
      <c r="G104" s="83" t="str">
        <f>C104</f>
        <v xml:space="preserve">  </v>
      </c>
      <c r="H104" s="83" t="e">
        <f>F104*G104</f>
        <v>#VALUE!</v>
      </c>
      <c r="I104" s="84" t="str">
        <f>CONCATENATE("a'(",C104,")=")</f>
        <v>a'(  )=</v>
      </c>
      <c r="J104" s="84" t="e">
        <f>2*J102/3*F105</f>
        <v>#VALUE!</v>
      </c>
      <c r="K104" s="84" t="e">
        <f>CONCATENATE("A(",C102,")=")</f>
        <v>#VALUE!</v>
      </c>
      <c r="L104" s="84" t="e">
        <f>VLOOKUP(C102,STN_TABLE,3,FALSE)</f>
        <v>#VALUE!</v>
      </c>
      <c r="M104" t="str">
        <f>CONCATENATE("A(",C104,")=")</f>
        <v>A(  )=</v>
      </c>
      <c r="N104" t="e">
        <f>J104+L104</f>
        <v>#VALUE!</v>
      </c>
      <c r="O104" s="99">
        <f>O103+1</f>
        <v>17</v>
      </c>
      <c r="P104" s="99" t="str">
        <f t="shared" si="44"/>
        <v xml:space="preserve">  </v>
      </c>
      <c r="Q104" s="82" t="e">
        <f>IF(P104-P103=P103-P102,P104,IF(P105-P103=P103-P102,P105,IF(P104-P103=P103-P101,P104,IF(P105-P103=P103-P101,P105,"-"))))</f>
        <v>#VALUE!</v>
      </c>
      <c r="R104" s="83" t="e">
        <f>VLOOKUP(Q104,STN_TABLE,2,FALSE)</f>
        <v>#VALUE!</v>
      </c>
      <c r="S104" s="83">
        <v>-1</v>
      </c>
      <c r="T104" s="82" t="e">
        <f>R104*S104</f>
        <v>#VALUE!</v>
      </c>
      <c r="U104" s="88">
        <v>-1</v>
      </c>
      <c r="V104" s="82" t="e">
        <f>R104*U104</f>
        <v>#VALUE!</v>
      </c>
      <c r="W104" s="84" t="str">
        <f>CONCATENATE("a'(",Q103,")=")</f>
        <v>a'(  )=</v>
      </c>
      <c r="X104" s="84" t="e">
        <f>2*X102/12*T105</f>
        <v>#VALUE!</v>
      </c>
      <c r="Y104" s="84" t="e">
        <f>CONCATENATE("A(",Q102,")=")</f>
        <v>#VALUE!</v>
      </c>
      <c r="Z104" s="84" t="e">
        <f>VLOOKUP(Q102,STN_TABLE,3,FALSE)</f>
        <v>#VALUE!</v>
      </c>
      <c r="AA104" t="str">
        <f>CONCATENATE("A(",Q103,")=")</f>
        <v>A(  )=</v>
      </c>
      <c r="AB104" t="e">
        <f>X104+Z104</f>
        <v>#VALUE!</v>
      </c>
      <c r="AC104" s="99">
        <f>AC103+1</f>
        <v>16</v>
      </c>
      <c r="AD104" s="100" t="str">
        <f>VLOOKUP(AC104,STN_TABLE_2,2,FALSE)</f>
        <v xml:space="preserve">  </v>
      </c>
      <c r="AE104" s="82" t="str">
        <f>VLOOKUP(AD104,STN_TABLE,2,FALSE)</f>
        <v xml:space="preserve">  </v>
      </c>
      <c r="AF104" s="82">
        <v>2</v>
      </c>
      <c r="AG104" s="83" t="e">
        <f>AE104*AF104</f>
        <v>#VALUE!</v>
      </c>
      <c r="AH104" s="84" t="str">
        <f>CONCATENATE("a'(",AD104,")=")</f>
        <v>a'(  )=</v>
      </c>
      <c r="AI104" s="84" t="e">
        <f>2*AI102/2*AE105</f>
        <v>#VALUE!</v>
      </c>
      <c r="AJ104" s="84" t="str">
        <f>CONCATENATE("A(",AD103,")=")</f>
        <v>A(  )=</v>
      </c>
      <c r="AK104" s="84" t="str">
        <f>VLOOKUP(AD103,STN_TABLE,3,FALSE)</f>
        <v xml:space="preserve"> </v>
      </c>
      <c r="AL104" t="str">
        <f>CONCATENATE("A(",AD104,")=")</f>
        <v>A(  )=</v>
      </c>
      <c r="AM104" t="e">
        <f>AI104+AK104</f>
        <v>#VALUE!</v>
      </c>
      <c r="AO104" s="68" t="str">
        <f>AA104</f>
        <v>A(  )=</v>
      </c>
      <c r="AP104" s="68" t="e">
        <f>VLOOKUP(AO104,Rise_Results,2,FALSE)</f>
        <v>#N/A</v>
      </c>
      <c r="AQ104" s="76" t="e">
        <f>N104</f>
        <v>#VALUE!</v>
      </c>
      <c r="AR104" s="76" t="e">
        <f>IF(OR(AB104&lt;=0,AB105&lt;=0),1/0,AB104)</f>
        <v>#VALUE!</v>
      </c>
      <c r="AS104" s="76" t="e">
        <f>AM104</f>
        <v>#VALUE!</v>
      </c>
      <c r="AT104" t="e">
        <f>IFERROR(AP104,IFERROR(AQ104,IFERROR(AR104,AS104)))</f>
        <v>#VALUE!</v>
      </c>
      <c r="AU104" s="81"/>
    </row>
    <row r="105" spans="1:47" x14ac:dyDescent="0.25">
      <c r="A105" s="84">
        <f>A104+1</f>
        <v>16</v>
      </c>
      <c r="B105" s="84" t="str">
        <f t="shared" si="27"/>
        <v xml:space="preserve">  </v>
      </c>
      <c r="F105" s="82" t="e">
        <f>SUM(F102:F104)</f>
        <v>#VALUE!</v>
      </c>
      <c r="H105" s="82" t="e">
        <f>SUM(H102:H104)</f>
        <v>#VALUE!</v>
      </c>
      <c r="I105" s="84" t="str">
        <f>CONCATENATE("m'(",C104,")=")</f>
        <v>m'(  )=</v>
      </c>
      <c r="J105" s="84" t="e">
        <f>2*(J102*(WLS))/3*H105</f>
        <v>#VALUE!</v>
      </c>
      <c r="K105" s="84" t="e">
        <f>CONCATENATE("M(",C102,")=")</f>
        <v>#VALUE!</v>
      </c>
      <c r="L105" s="84" t="e">
        <f>VLOOKUP(C102,STN_TABLE,4,FALSE)</f>
        <v>#VALUE!</v>
      </c>
      <c r="M105" t="str">
        <f>CONCATENATE("M(",C104,")=")</f>
        <v>M(  )=</v>
      </c>
      <c r="N105" t="e">
        <f>J105+L105</f>
        <v>#VALUE!</v>
      </c>
      <c r="O105" s="99">
        <f>O104+1</f>
        <v>18</v>
      </c>
      <c r="P105" s="99" t="str">
        <f t="shared" si="44"/>
        <v xml:space="preserve">  </v>
      </c>
      <c r="T105" s="89" t="e">
        <f>SUM(T102:T104)</f>
        <v>#VALUE!</v>
      </c>
      <c r="V105" s="82" t="e">
        <f>SUM(V102:V104)</f>
        <v>#VALUE!</v>
      </c>
      <c r="W105" s="84" t="str">
        <f>CONCATENATE("m'(",Q103,")=")</f>
        <v>m'(  )=</v>
      </c>
      <c r="X105" s="84" t="e">
        <f>(2*(X102^2)/24*V105)+(X104*Q102*WLS)</f>
        <v>#VALUE!</v>
      </c>
      <c r="Y105" s="84" t="e">
        <f>CONCATENATE("M(",Q102,")=")</f>
        <v>#VALUE!</v>
      </c>
      <c r="Z105" s="84" t="e">
        <f>VLOOKUP(Q102,STN_TABLE,4,FALSE)</f>
        <v>#VALUE!</v>
      </c>
      <c r="AA105" t="str">
        <f>CONCATENATE("M(",Q103,")=")</f>
        <v>M(  )=</v>
      </c>
      <c r="AB105" t="e">
        <f>X105+Z105</f>
        <v>#VALUE!</v>
      </c>
      <c r="AE105" s="89">
        <f>SUM(AE103:AE104)</f>
        <v>0</v>
      </c>
      <c r="AG105" s="89" t="e">
        <f>SUM(AG103:AG104)</f>
        <v>#VALUE!</v>
      </c>
      <c r="AH105" s="84" t="str">
        <f>CONCATENATE("m'(",AD104,")=")</f>
        <v>m'(  )=</v>
      </c>
      <c r="AI105" s="84" t="e">
        <f>(2*(AI102^2)/6*AG105)+(AI104*AD103*WLS)</f>
        <v>#VALUE!</v>
      </c>
      <c r="AJ105" s="84" t="str">
        <f>CONCATENATE("M(",AD103,")=")</f>
        <v>M(  )=</v>
      </c>
      <c r="AK105" s="84" t="str">
        <f>VLOOKUP(AD103,STN_TABLE,4,FALSE)</f>
        <v xml:space="preserve"> </v>
      </c>
      <c r="AL105" t="str">
        <f>CONCATENATE("M(",AD104,")=")</f>
        <v>M(  )=</v>
      </c>
      <c r="AM105" t="e">
        <f>AI105+AK105</f>
        <v>#VALUE!</v>
      </c>
      <c r="AO105" s="82" t="str">
        <f>AA105</f>
        <v>M(  )=</v>
      </c>
      <c r="AP105" s="82" t="e">
        <f>VLOOKUP(AO105,Rise_Results,2,FALSE)</f>
        <v>#N/A</v>
      </c>
      <c r="AQ105" s="82" t="e">
        <f>N105</f>
        <v>#VALUE!</v>
      </c>
      <c r="AR105" s="82" t="e">
        <f>IF(OR(AB104&lt;=0,AB105&lt;=0),1/0,AB105)</f>
        <v>#VALUE!</v>
      </c>
      <c r="AS105" s="82" t="e">
        <f>AM105</f>
        <v>#VALUE!</v>
      </c>
      <c r="AT105" t="e">
        <f>IFERROR(AP105,IFERROR(AQ105,IFERROR(AR105,AS105)))</f>
        <v>#VALUE!</v>
      </c>
      <c r="AU105" s="81"/>
    </row>
    <row r="106" spans="1:47" x14ac:dyDescent="0.25">
      <c r="A106" s="101">
        <f>A101+1</f>
        <v>13</v>
      </c>
      <c r="B106" s="101" t="str">
        <f t="shared" ref="B106:B137" si="48">VLOOKUP(A106,STN_TABLE_2,2,FALSE)</f>
        <v xml:space="preserve">  </v>
      </c>
      <c r="O106" s="101">
        <f>O101+1</f>
        <v>15</v>
      </c>
      <c r="P106" s="101" t="str">
        <f t="shared" si="44"/>
        <v xml:space="preserve">  </v>
      </c>
      <c r="AU106" s="81"/>
    </row>
    <row r="107" spans="1:47" x14ac:dyDescent="0.25">
      <c r="A107" s="84">
        <f>A106+1</f>
        <v>14</v>
      </c>
      <c r="B107" s="84" t="str">
        <f t="shared" si="48"/>
        <v xml:space="preserve">  </v>
      </c>
      <c r="C107" s="79" t="e">
        <f t="shared" ref="C107" si="49">IF(C108=B109,IF(C109-C108=C108-B108,B108,IF(C109-C108=C108-B107,B107,"#NA")),IF(C108=B108,IF(C109-C108=C108-B107,B107,IF(C109-C108=C108-B106,B106,"#NA")),"#NA"))</f>
        <v>#VALUE!</v>
      </c>
      <c r="D107" s="68" t="e">
        <f>VLOOKUP(C107,STN_TABLE,2,FALSE)</f>
        <v>#VALUE!</v>
      </c>
      <c r="E107" s="102">
        <v>1</v>
      </c>
      <c r="F107" s="68" t="e">
        <f>D107*E107</f>
        <v>#VALUE!</v>
      </c>
      <c r="G107" s="69" t="e">
        <f>C107</f>
        <v>#VALUE!</v>
      </c>
      <c r="H107" s="69" t="e">
        <f>F107*G107</f>
        <v>#VALUE!</v>
      </c>
      <c r="I107" s="6" t="s">
        <v>93</v>
      </c>
      <c r="J107" s="70" t="e">
        <f>IF(OR(D107=0,D108=0,D109=0),"#NA",IF(AND(C109-C108=C108-C107,C108&lt;&gt;C109,C107&lt;&gt;C108,C107&lt;&gt;C109,D109&lt;&gt;0,OR(D107&lt;&gt;0,D108&lt;&gt;0)),WLS*(C109-C108),"#NA"))</f>
        <v>#VALUE!</v>
      </c>
      <c r="O107" s="99">
        <f>O106+1</f>
        <v>16</v>
      </c>
      <c r="P107" s="99" t="str">
        <f t="shared" si="44"/>
        <v xml:space="preserve">  </v>
      </c>
      <c r="Q107" s="68" t="e">
        <f>IF(OR(P109-P108=P108-P107,P110-P108=P108-P107),P107,IF(OR(P109-P108=P108-P106,P110-P108=P108-P106),P106,"-"))</f>
        <v>#VALUE!</v>
      </c>
      <c r="R107" s="69" t="e">
        <f>VLOOKUP(Q107,STN_TABLE,2,FALSE)</f>
        <v>#VALUE!</v>
      </c>
      <c r="S107" s="69">
        <v>5</v>
      </c>
      <c r="T107" s="68" t="e">
        <f>R107*S107</f>
        <v>#VALUE!</v>
      </c>
      <c r="U107" s="79">
        <v>3</v>
      </c>
      <c r="V107" s="68" t="e">
        <f>R107*U107</f>
        <v>#VALUE!</v>
      </c>
      <c r="W107" s="6" t="s">
        <v>93</v>
      </c>
      <c r="X107" s="70" t="e">
        <f>IF(AND(Q109-Q108=Q108-Q107,NOT(AND(Q107=0,Q108=0)),NOT(AND(Q108=0,Q109=0))),WLS*(Q109-Q108),"#NA")</f>
        <v>#VALUE!</v>
      </c>
      <c r="AD107" s="93"/>
      <c r="AH107" s="6" t="s">
        <v>93</v>
      </c>
      <c r="AI107" s="70" t="e">
        <f>WLS*(AD109-AD108)</f>
        <v>#VALUE!</v>
      </c>
      <c r="AU107" s="81"/>
    </row>
    <row r="108" spans="1:47" x14ac:dyDescent="0.25">
      <c r="A108" s="84">
        <f>A107+1</f>
        <v>15</v>
      </c>
      <c r="B108" s="84" t="str">
        <f t="shared" si="48"/>
        <v xml:space="preserve">  </v>
      </c>
      <c r="C108" s="80" t="e">
        <f t="shared" ref="C108" si="50">IF(OR(B110-B109=B109-B108,B110-B109=B109-B107,B110-B109=B109-B106),B109,IF(OR(B110-B108=B108-B107,B110-B108=B108-B106),B108,IF(B110-B107=B107-B106,B107,"#NA")))</f>
        <v>#VALUE!</v>
      </c>
      <c r="D108" s="76" t="e">
        <f>VLOOKUP(C108,STN_TABLE,2,FALSE)</f>
        <v>#VALUE!</v>
      </c>
      <c r="E108" s="81">
        <v>4</v>
      </c>
      <c r="F108" s="76" t="e">
        <f>D108*E108</f>
        <v>#VALUE!</v>
      </c>
      <c r="G108" s="77" t="e">
        <f>C108</f>
        <v>#VALUE!</v>
      </c>
      <c r="H108" s="77" t="e">
        <f>F108*G108</f>
        <v>#VALUE!</v>
      </c>
      <c r="I108" s="495" t="s">
        <v>97</v>
      </c>
      <c r="J108" s="496"/>
      <c r="K108" s="78" t="s">
        <v>98</v>
      </c>
      <c r="L108" s="78"/>
      <c r="M108" s="7" t="s">
        <v>99</v>
      </c>
      <c r="N108" s="7"/>
      <c r="O108" s="99">
        <f>O107+1</f>
        <v>17</v>
      </c>
      <c r="P108" s="99" t="str">
        <f t="shared" si="44"/>
        <v xml:space="preserve">  </v>
      </c>
      <c r="Q108" s="76" t="str">
        <f>P108</f>
        <v xml:space="preserve">  </v>
      </c>
      <c r="R108" s="77" t="str">
        <f>VLOOKUP(Q108,STN_TABLE,2,FALSE)</f>
        <v xml:space="preserve">  </v>
      </c>
      <c r="S108" s="77">
        <v>8</v>
      </c>
      <c r="T108" s="76" t="e">
        <f>R108*S108</f>
        <v>#VALUE!</v>
      </c>
      <c r="U108" s="80">
        <v>10</v>
      </c>
      <c r="V108" s="76" t="e">
        <f>R108*U108</f>
        <v>#VALUE!</v>
      </c>
      <c r="W108" s="496" t="s">
        <v>97</v>
      </c>
      <c r="X108" s="496"/>
      <c r="Y108" s="496" t="s">
        <v>98</v>
      </c>
      <c r="Z108" s="496"/>
      <c r="AA108" s="494" t="s">
        <v>99</v>
      </c>
      <c r="AB108" s="494"/>
      <c r="AC108" s="99">
        <f>AC103+1</f>
        <v>16</v>
      </c>
      <c r="AD108" s="95" t="str">
        <f>VLOOKUP(AC108,STN_TABLE_2,2,FALSE)</f>
        <v xml:space="preserve">  </v>
      </c>
      <c r="AE108" s="68" t="str">
        <f>VLOOKUP(AD108,STN_TABLE,2,FALSE)</f>
        <v xml:space="preserve">  </v>
      </c>
      <c r="AF108" s="68">
        <v>1</v>
      </c>
      <c r="AG108" s="69" t="e">
        <f>AE108*AF108</f>
        <v>#VALUE!</v>
      </c>
      <c r="AH108" s="496" t="s">
        <v>97</v>
      </c>
      <c r="AI108" s="496"/>
      <c r="AJ108" s="496" t="s">
        <v>98</v>
      </c>
      <c r="AK108" s="496"/>
      <c r="AL108" s="494" t="s">
        <v>99</v>
      </c>
      <c r="AM108" s="494"/>
      <c r="AP108" s="86" t="s">
        <v>112</v>
      </c>
      <c r="AQ108" s="89" t="s">
        <v>113</v>
      </c>
      <c r="AR108" s="89" t="s">
        <v>114</v>
      </c>
      <c r="AS108" s="89" t="s">
        <v>115</v>
      </c>
      <c r="AU108" s="81"/>
    </row>
    <row r="109" spans="1:47" x14ac:dyDescent="0.25">
      <c r="A109" s="84">
        <f>A108+1</f>
        <v>16</v>
      </c>
      <c r="B109" s="84" t="str">
        <f t="shared" si="48"/>
        <v xml:space="preserve">  </v>
      </c>
      <c r="C109" s="88" t="str">
        <f t="shared" ref="C109" si="51">B110</f>
        <v xml:space="preserve">  </v>
      </c>
      <c r="D109" s="82" t="str">
        <f>VLOOKUP(C109,STN_TABLE,2,FALSE)</f>
        <v xml:space="preserve">  </v>
      </c>
      <c r="E109" s="92">
        <v>1</v>
      </c>
      <c r="F109" s="82" t="e">
        <f>D109*E109</f>
        <v>#VALUE!</v>
      </c>
      <c r="G109" s="83" t="str">
        <f>C109</f>
        <v xml:space="preserve">  </v>
      </c>
      <c r="H109" s="83" t="e">
        <f>F109*G109</f>
        <v>#VALUE!</v>
      </c>
      <c r="I109" s="84" t="str">
        <f>CONCATENATE("a'(",C109,")=")</f>
        <v>a'(  )=</v>
      </c>
      <c r="J109" s="84" t="e">
        <f>2*J107/3*F110</f>
        <v>#VALUE!</v>
      </c>
      <c r="K109" s="84" t="e">
        <f>CONCATENATE("A(",C107,")=")</f>
        <v>#VALUE!</v>
      </c>
      <c r="L109" s="84" t="e">
        <f>VLOOKUP(C107,STN_TABLE,3,FALSE)</f>
        <v>#VALUE!</v>
      </c>
      <c r="M109" t="str">
        <f>CONCATENATE("A(",C109,")=")</f>
        <v>A(  )=</v>
      </c>
      <c r="N109" t="e">
        <f>J109+L109</f>
        <v>#VALUE!</v>
      </c>
      <c r="O109" s="99">
        <f>O108+1</f>
        <v>18</v>
      </c>
      <c r="P109" s="99" t="str">
        <f t="shared" si="44"/>
        <v xml:space="preserve">  </v>
      </c>
      <c r="Q109" s="82" t="e">
        <f>IF(P109-P108=P108-P107,P109,IF(P110-P108=P108-P107,P110,IF(P109-P108=P108-P106,P109,IF(P110-P108=P108-P106,P110,"-"))))</f>
        <v>#VALUE!</v>
      </c>
      <c r="R109" s="83" t="e">
        <f>VLOOKUP(Q109,STN_TABLE,2,FALSE)</f>
        <v>#VALUE!</v>
      </c>
      <c r="S109" s="83">
        <v>-1</v>
      </c>
      <c r="T109" s="82" t="e">
        <f>R109*S109</f>
        <v>#VALUE!</v>
      </c>
      <c r="U109" s="88">
        <v>-1</v>
      </c>
      <c r="V109" s="82" t="e">
        <f>R109*U109</f>
        <v>#VALUE!</v>
      </c>
      <c r="W109" s="84" t="str">
        <f>CONCATENATE("a'(",Q108,")=")</f>
        <v>a'(  )=</v>
      </c>
      <c r="X109" s="84" t="e">
        <f>2*X107/12*T110</f>
        <v>#VALUE!</v>
      </c>
      <c r="Y109" s="84" t="e">
        <f>CONCATENATE("A(",Q107,")=")</f>
        <v>#VALUE!</v>
      </c>
      <c r="Z109" s="84" t="e">
        <f>VLOOKUP(Q107,STN_TABLE,3,FALSE)</f>
        <v>#VALUE!</v>
      </c>
      <c r="AA109" t="str">
        <f>CONCATENATE("A(",Q108,")=")</f>
        <v>A(  )=</v>
      </c>
      <c r="AB109" t="e">
        <f>X109+Z109</f>
        <v>#VALUE!</v>
      </c>
      <c r="AC109" s="99">
        <f>AC108+1</f>
        <v>17</v>
      </c>
      <c r="AD109" s="100" t="str">
        <f>VLOOKUP(AC109,STN_TABLE_2,2,FALSE)</f>
        <v xml:space="preserve">  </v>
      </c>
      <c r="AE109" s="82" t="str">
        <f>VLOOKUP(AD109,STN_TABLE,2,FALSE)</f>
        <v xml:space="preserve">  </v>
      </c>
      <c r="AF109" s="82">
        <v>2</v>
      </c>
      <c r="AG109" s="83" t="e">
        <f>AE109*AF109</f>
        <v>#VALUE!</v>
      </c>
      <c r="AH109" s="84" t="str">
        <f>CONCATENATE("a'(",AD109,")=")</f>
        <v>a'(  )=</v>
      </c>
      <c r="AI109" s="84" t="e">
        <f>2*AI107/2*AE110</f>
        <v>#VALUE!</v>
      </c>
      <c r="AJ109" s="84" t="str">
        <f>CONCATENATE("A(",AD108,")=")</f>
        <v>A(  )=</v>
      </c>
      <c r="AK109" s="84" t="str">
        <f>VLOOKUP(AD108,STN_TABLE,3,FALSE)</f>
        <v xml:space="preserve"> </v>
      </c>
      <c r="AL109" t="str">
        <f>CONCATENATE("A(",AD109,")=")</f>
        <v>A(  )=</v>
      </c>
      <c r="AM109" t="e">
        <f>AI109+AK109</f>
        <v>#VALUE!</v>
      </c>
      <c r="AO109" s="68" t="str">
        <f>AA109</f>
        <v>A(  )=</v>
      </c>
      <c r="AP109" s="68" t="e">
        <f>VLOOKUP(AO109,Rise_Results,2,FALSE)</f>
        <v>#N/A</v>
      </c>
      <c r="AQ109" s="76" t="e">
        <f>N109</f>
        <v>#VALUE!</v>
      </c>
      <c r="AR109" s="76" t="e">
        <f>IF(OR(AB109&lt;=0,AB110&lt;=0),1/0,AB109)</f>
        <v>#VALUE!</v>
      </c>
      <c r="AS109" s="76" t="e">
        <f>AM109</f>
        <v>#VALUE!</v>
      </c>
      <c r="AT109" t="e">
        <f>IFERROR(AP109,IFERROR(AQ109,IFERROR(AR109,AS109)))</f>
        <v>#VALUE!</v>
      </c>
      <c r="AU109" s="81"/>
    </row>
    <row r="110" spans="1:47" x14ac:dyDescent="0.25">
      <c r="A110" s="84">
        <f>A109+1</f>
        <v>17</v>
      </c>
      <c r="B110" s="84" t="str">
        <f t="shared" si="48"/>
        <v xml:space="preserve">  </v>
      </c>
      <c r="F110" s="82" t="e">
        <f>SUM(F107:F109)</f>
        <v>#VALUE!</v>
      </c>
      <c r="H110" s="82" t="e">
        <f>SUM(H107:H109)</f>
        <v>#VALUE!</v>
      </c>
      <c r="I110" s="84" t="str">
        <f>CONCATENATE("m'(",C109,")=")</f>
        <v>m'(  )=</v>
      </c>
      <c r="J110" s="84" t="e">
        <f>2*(J107*(WLS))/3*H110</f>
        <v>#VALUE!</v>
      </c>
      <c r="K110" s="84" t="e">
        <f>CONCATENATE("M(",C107,")=")</f>
        <v>#VALUE!</v>
      </c>
      <c r="L110" s="84" t="e">
        <f>VLOOKUP(C107,STN_TABLE,4,FALSE)</f>
        <v>#VALUE!</v>
      </c>
      <c r="M110" t="str">
        <f>CONCATENATE("M(",C109,")=")</f>
        <v>M(  )=</v>
      </c>
      <c r="N110" t="e">
        <f>J110+L110</f>
        <v>#VALUE!</v>
      </c>
      <c r="O110" s="99">
        <f>O109+1</f>
        <v>19</v>
      </c>
      <c r="P110" s="99" t="str">
        <f t="shared" si="44"/>
        <v xml:space="preserve">  </v>
      </c>
      <c r="T110" s="89" t="e">
        <f>SUM(T107:T109)</f>
        <v>#VALUE!</v>
      </c>
      <c r="V110" s="82" t="e">
        <f>SUM(V107:V109)</f>
        <v>#VALUE!</v>
      </c>
      <c r="W110" s="84" t="str">
        <f>CONCATENATE("m'(",Q108,")=")</f>
        <v>m'(  )=</v>
      </c>
      <c r="X110" s="84" t="e">
        <f>(2*(X107^2)/24*V110)+(X109*Q107*WLS)</f>
        <v>#VALUE!</v>
      </c>
      <c r="Y110" s="84" t="e">
        <f>CONCATENATE("M(",Q107,")=")</f>
        <v>#VALUE!</v>
      </c>
      <c r="Z110" s="84" t="e">
        <f>VLOOKUP(Q107,STN_TABLE,4,FALSE)</f>
        <v>#VALUE!</v>
      </c>
      <c r="AA110" t="str">
        <f>CONCATENATE("M(",Q108,")=")</f>
        <v>M(  )=</v>
      </c>
      <c r="AB110" t="e">
        <f>X110+Z110</f>
        <v>#VALUE!</v>
      </c>
      <c r="AE110" s="89">
        <f>SUM(AE108:AE109)</f>
        <v>0</v>
      </c>
      <c r="AG110" s="89" t="e">
        <f>SUM(AG108:AG109)</f>
        <v>#VALUE!</v>
      </c>
      <c r="AH110" s="84" t="str">
        <f>CONCATENATE("m'(",AD109,")=")</f>
        <v>m'(  )=</v>
      </c>
      <c r="AI110" s="84" t="e">
        <f>(2*(AI107^2)/6*AG110)+(AI109*AD108*WLS)</f>
        <v>#VALUE!</v>
      </c>
      <c r="AJ110" s="84" t="str">
        <f>CONCATENATE("M(",AD108,")=")</f>
        <v>M(  )=</v>
      </c>
      <c r="AK110" s="84" t="str">
        <f>VLOOKUP(AD108,STN_TABLE,4,FALSE)</f>
        <v xml:space="preserve"> </v>
      </c>
      <c r="AL110" t="str">
        <f>CONCATENATE("M(",AD109,")=")</f>
        <v>M(  )=</v>
      </c>
      <c r="AM110" t="e">
        <f>AI110+AK110</f>
        <v>#VALUE!</v>
      </c>
      <c r="AO110" s="82" t="str">
        <f>AA110</f>
        <v>M(  )=</v>
      </c>
      <c r="AP110" s="82" t="e">
        <f>VLOOKUP(AO110,Rise_Results,2,FALSE)</f>
        <v>#N/A</v>
      </c>
      <c r="AQ110" s="82" t="e">
        <f>N110</f>
        <v>#VALUE!</v>
      </c>
      <c r="AR110" s="82" t="e">
        <f>IF(OR(AB109&lt;=0,AB110&lt;=0),1/0,AB110)</f>
        <v>#VALUE!</v>
      </c>
      <c r="AS110" s="82" t="e">
        <f>AM110</f>
        <v>#VALUE!</v>
      </c>
      <c r="AT110" t="e">
        <f>IFERROR(AP110,IFERROR(AQ110,IFERROR(AR110,AS110)))</f>
        <v>#VALUE!</v>
      </c>
      <c r="AU110" s="81"/>
    </row>
    <row r="111" spans="1:47" x14ac:dyDescent="0.25">
      <c r="A111" s="101">
        <f>A106+1</f>
        <v>14</v>
      </c>
      <c r="B111" s="101" t="str">
        <f t="shared" si="48"/>
        <v xml:space="preserve">  </v>
      </c>
      <c r="O111" s="101">
        <f>O106+1</f>
        <v>16</v>
      </c>
      <c r="P111" s="101" t="str">
        <f t="shared" si="44"/>
        <v xml:space="preserve">  </v>
      </c>
      <c r="AU111" s="81"/>
    </row>
    <row r="112" spans="1:47" x14ac:dyDescent="0.25">
      <c r="A112" s="84">
        <f>A111+1</f>
        <v>15</v>
      </c>
      <c r="B112" s="84" t="str">
        <f t="shared" si="48"/>
        <v xml:space="preserve">  </v>
      </c>
      <c r="C112" s="79" t="e">
        <f t="shared" ref="C112" si="52">IF(C113=B114,IF(C114-C113=C113-B113,B113,IF(C114-C113=C113-B112,B112,"#NA")),IF(C113=B113,IF(C114-C113=C113-B112,B112,IF(C114-C113=C113-B111,B111,"#NA")),"#NA"))</f>
        <v>#VALUE!</v>
      </c>
      <c r="D112" s="68" t="e">
        <f>VLOOKUP(C112,STN_TABLE,2,FALSE)</f>
        <v>#VALUE!</v>
      </c>
      <c r="E112" s="102">
        <v>1</v>
      </c>
      <c r="F112" s="68" t="e">
        <f>D112*E112</f>
        <v>#VALUE!</v>
      </c>
      <c r="G112" s="69" t="e">
        <f>C112</f>
        <v>#VALUE!</v>
      </c>
      <c r="H112" s="69" t="e">
        <f>F112*G112</f>
        <v>#VALUE!</v>
      </c>
      <c r="I112" s="6" t="s">
        <v>93</v>
      </c>
      <c r="J112" s="70" t="e">
        <f>IF(OR(D112=0,D113=0,D114=0),"#NA",IF(AND(C114-C113=C113-C112,C113&lt;&gt;C114,C112&lt;&gt;C113,C112&lt;&gt;C114,D114&lt;&gt;0,OR(D112&lt;&gt;0,D113&lt;&gt;0)),WLS*(C114-C113),"#NA"))</f>
        <v>#VALUE!</v>
      </c>
      <c r="O112" s="99">
        <f>O111+1</f>
        <v>17</v>
      </c>
      <c r="P112" s="99" t="str">
        <f t="shared" si="44"/>
        <v xml:space="preserve">  </v>
      </c>
      <c r="Q112" s="68" t="e">
        <f>IF(OR(P114-P113=P113-P112,P115-P113=P113-P112),P112,IF(OR(P114-P113=P113-P111,P115-P113=P113-P111),P111,"-"))</f>
        <v>#VALUE!</v>
      </c>
      <c r="R112" s="69" t="e">
        <f>VLOOKUP(Q112,STN_TABLE,2,FALSE)</f>
        <v>#VALUE!</v>
      </c>
      <c r="S112" s="69">
        <v>5</v>
      </c>
      <c r="T112" s="68" t="e">
        <f>R112*S112</f>
        <v>#VALUE!</v>
      </c>
      <c r="U112" s="79">
        <v>3</v>
      </c>
      <c r="V112" s="68" t="e">
        <f>R112*U112</f>
        <v>#VALUE!</v>
      </c>
      <c r="W112" s="6" t="s">
        <v>93</v>
      </c>
      <c r="X112" s="70" t="e">
        <f>IF(AND(Q114-Q113=Q113-Q112,NOT(AND(Q112=0,Q113=0)),NOT(AND(Q113=0,Q114=0))),WLS*(Q114-Q113),"#NA")</f>
        <v>#VALUE!</v>
      </c>
      <c r="AD112" s="93"/>
      <c r="AH112" s="6" t="s">
        <v>93</v>
      </c>
      <c r="AI112" s="70" t="e">
        <f>WLS*(AD114-AD113)</f>
        <v>#VALUE!</v>
      </c>
      <c r="AU112" s="81"/>
    </row>
    <row r="113" spans="1:47" x14ac:dyDescent="0.25">
      <c r="A113" s="84">
        <f>A112+1</f>
        <v>16</v>
      </c>
      <c r="B113" s="84" t="str">
        <f t="shared" si="48"/>
        <v xml:space="preserve">  </v>
      </c>
      <c r="C113" s="80" t="e">
        <f t="shared" ref="C113" si="53">IF(OR(B115-B114=B114-B113,B115-B114=B114-B112,B115-B114=B114-B111),B114,IF(OR(B115-B113=B113-B112,B115-B113=B113-B111),B113,IF(B115-B112=B112-B111,B112,"#NA")))</f>
        <v>#VALUE!</v>
      </c>
      <c r="D113" s="76" t="e">
        <f>VLOOKUP(C113,STN_TABLE,2,FALSE)</f>
        <v>#VALUE!</v>
      </c>
      <c r="E113" s="81">
        <v>4</v>
      </c>
      <c r="F113" s="76" t="e">
        <f>D113*E113</f>
        <v>#VALUE!</v>
      </c>
      <c r="G113" s="77" t="e">
        <f>C113</f>
        <v>#VALUE!</v>
      </c>
      <c r="H113" s="77" t="e">
        <f>F113*G113</f>
        <v>#VALUE!</v>
      </c>
      <c r="I113" s="495" t="s">
        <v>97</v>
      </c>
      <c r="J113" s="496"/>
      <c r="K113" s="78" t="s">
        <v>98</v>
      </c>
      <c r="L113" s="78"/>
      <c r="M113" s="7" t="s">
        <v>99</v>
      </c>
      <c r="N113" s="7"/>
      <c r="O113" s="99">
        <f>O112+1</f>
        <v>18</v>
      </c>
      <c r="P113" s="99" t="str">
        <f t="shared" si="44"/>
        <v xml:space="preserve">  </v>
      </c>
      <c r="Q113" s="76" t="str">
        <f>P113</f>
        <v xml:space="preserve">  </v>
      </c>
      <c r="R113" s="77" t="str">
        <f>VLOOKUP(Q113,STN_TABLE,2,FALSE)</f>
        <v xml:space="preserve">  </v>
      </c>
      <c r="S113" s="77">
        <v>8</v>
      </c>
      <c r="T113" s="76" t="e">
        <f>R113*S113</f>
        <v>#VALUE!</v>
      </c>
      <c r="U113" s="80">
        <v>10</v>
      </c>
      <c r="V113" s="76" t="e">
        <f>R113*U113</f>
        <v>#VALUE!</v>
      </c>
      <c r="W113" s="496" t="s">
        <v>97</v>
      </c>
      <c r="X113" s="496"/>
      <c r="Y113" s="496" t="s">
        <v>98</v>
      </c>
      <c r="Z113" s="496"/>
      <c r="AA113" s="494" t="s">
        <v>99</v>
      </c>
      <c r="AB113" s="494"/>
      <c r="AC113" s="99">
        <f>AC108+1</f>
        <v>17</v>
      </c>
      <c r="AD113" s="95" t="str">
        <f>VLOOKUP(AC113,STN_TABLE_2,2,FALSE)</f>
        <v xml:space="preserve">  </v>
      </c>
      <c r="AE113" s="68" t="str">
        <f>VLOOKUP(AD113,STN_TABLE,2,FALSE)</f>
        <v xml:space="preserve">  </v>
      </c>
      <c r="AF113" s="68">
        <v>1</v>
      </c>
      <c r="AG113" s="69" t="e">
        <f>AE113*AF113</f>
        <v>#VALUE!</v>
      </c>
      <c r="AH113" s="496" t="s">
        <v>97</v>
      </c>
      <c r="AI113" s="496"/>
      <c r="AJ113" s="496" t="s">
        <v>98</v>
      </c>
      <c r="AK113" s="496"/>
      <c r="AL113" s="494" t="s">
        <v>99</v>
      </c>
      <c r="AM113" s="494"/>
      <c r="AP113" s="86" t="s">
        <v>112</v>
      </c>
      <c r="AQ113" s="89" t="s">
        <v>113</v>
      </c>
      <c r="AR113" s="89" t="s">
        <v>114</v>
      </c>
      <c r="AS113" s="89" t="s">
        <v>115</v>
      </c>
      <c r="AU113" s="81"/>
    </row>
    <row r="114" spans="1:47" x14ac:dyDescent="0.25">
      <c r="A114" s="84">
        <f>A113+1</f>
        <v>17</v>
      </c>
      <c r="B114" s="84" t="str">
        <f t="shared" si="48"/>
        <v xml:space="preserve">  </v>
      </c>
      <c r="C114" s="88" t="str">
        <f t="shared" ref="C114" si="54">B115</f>
        <v xml:space="preserve">  </v>
      </c>
      <c r="D114" s="82" t="str">
        <f>VLOOKUP(C114,STN_TABLE,2,FALSE)</f>
        <v xml:space="preserve">  </v>
      </c>
      <c r="E114" s="92">
        <v>1</v>
      </c>
      <c r="F114" s="82" t="e">
        <f>D114*E114</f>
        <v>#VALUE!</v>
      </c>
      <c r="G114" s="83" t="str">
        <f>C114</f>
        <v xml:space="preserve">  </v>
      </c>
      <c r="H114" s="83" t="e">
        <f>F114*G114</f>
        <v>#VALUE!</v>
      </c>
      <c r="I114" s="84" t="str">
        <f>CONCATENATE("a'(",C114,")=")</f>
        <v>a'(  )=</v>
      </c>
      <c r="J114" s="84" t="e">
        <f>2*J112/3*F115</f>
        <v>#VALUE!</v>
      </c>
      <c r="K114" s="84" t="e">
        <f>CONCATENATE("A(",C112,")=")</f>
        <v>#VALUE!</v>
      </c>
      <c r="L114" s="84" t="e">
        <f>VLOOKUP(C112,STN_TABLE,3,FALSE)</f>
        <v>#VALUE!</v>
      </c>
      <c r="M114" t="str">
        <f>CONCATENATE("A(",C114,")=")</f>
        <v>A(  )=</v>
      </c>
      <c r="N114" t="e">
        <f>J114+L114</f>
        <v>#VALUE!</v>
      </c>
      <c r="O114" s="99">
        <f>O113+1</f>
        <v>19</v>
      </c>
      <c r="P114" s="99" t="str">
        <f t="shared" si="44"/>
        <v xml:space="preserve">  </v>
      </c>
      <c r="Q114" s="82" t="e">
        <f>IF(P114-P113=P113-P112,P114,IF(P115-P113=P113-P112,P115,IF(P114-P113=P113-P111,P114,IF(P115-P113=P113-P111,P115,"-"))))</f>
        <v>#VALUE!</v>
      </c>
      <c r="R114" s="83" t="e">
        <f>VLOOKUP(Q114,STN_TABLE,2,FALSE)</f>
        <v>#VALUE!</v>
      </c>
      <c r="S114" s="83">
        <v>-1</v>
      </c>
      <c r="T114" s="82" t="e">
        <f>R114*S114</f>
        <v>#VALUE!</v>
      </c>
      <c r="U114" s="88">
        <v>-1</v>
      </c>
      <c r="V114" s="82" t="e">
        <f>R114*U114</f>
        <v>#VALUE!</v>
      </c>
      <c r="W114" s="84" t="str">
        <f>CONCATENATE("a'(",Q113,")=")</f>
        <v>a'(  )=</v>
      </c>
      <c r="X114" s="84" t="e">
        <f>2*X112/12*T115</f>
        <v>#VALUE!</v>
      </c>
      <c r="Y114" s="84" t="e">
        <f>CONCATENATE("A(",Q112,")=")</f>
        <v>#VALUE!</v>
      </c>
      <c r="Z114" s="84" t="e">
        <f>VLOOKUP(Q112,STN_TABLE,3,FALSE)</f>
        <v>#VALUE!</v>
      </c>
      <c r="AA114" t="str">
        <f>CONCATENATE("A(",Q113,")=")</f>
        <v>A(  )=</v>
      </c>
      <c r="AB114" t="e">
        <f>X114+Z114</f>
        <v>#VALUE!</v>
      </c>
      <c r="AC114" s="99">
        <f>AC113+1</f>
        <v>18</v>
      </c>
      <c r="AD114" s="100" t="str">
        <f>VLOOKUP(AC114,STN_TABLE_2,2,FALSE)</f>
        <v xml:space="preserve">  </v>
      </c>
      <c r="AE114" s="82" t="str">
        <f>VLOOKUP(AD114,STN_TABLE,2,FALSE)</f>
        <v xml:space="preserve">  </v>
      </c>
      <c r="AF114" s="82">
        <v>2</v>
      </c>
      <c r="AG114" s="83" t="e">
        <f>AE114*AF114</f>
        <v>#VALUE!</v>
      </c>
      <c r="AH114" s="84" t="str">
        <f>CONCATENATE("a'(",AD114,")=")</f>
        <v>a'(  )=</v>
      </c>
      <c r="AI114" s="84" t="e">
        <f>2*AI112/2*AE115</f>
        <v>#VALUE!</v>
      </c>
      <c r="AJ114" s="84" t="str">
        <f>CONCATENATE("A(",AD113,")=")</f>
        <v>A(  )=</v>
      </c>
      <c r="AK114" s="84" t="str">
        <f>VLOOKUP(AD113,STN_TABLE,3,FALSE)</f>
        <v xml:space="preserve"> </v>
      </c>
      <c r="AL114" t="str">
        <f>CONCATENATE("A(",AD114,")=")</f>
        <v>A(  )=</v>
      </c>
      <c r="AM114" t="e">
        <f>AI114+AK114</f>
        <v>#VALUE!</v>
      </c>
      <c r="AO114" s="68" t="str">
        <f>AA114</f>
        <v>A(  )=</v>
      </c>
      <c r="AP114" s="68" t="e">
        <f>VLOOKUP(AO114,Rise_Results,2,FALSE)</f>
        <v>#N/A</v>
      </c>
      <c r="AQ114" s="76" t="e">
        <f>N114</f>
        <v>#VALUE!</v>
      </c>
      <c r="AR114" s="76" t="e">
        <f>IF(OR(AB114&lt;=0,AB115&lt;=0),1/0,AB114)</f>
        <v>#VALUE!</v>
      </c>
      <c r="AS114" s="76" t="e">
        <f>AM114</f>
        <v>#VALUE!</v>
      </c>
      <c r="AT114" t="e">
        <f>IFERROR(AP114,IFERROR(AQ114,IFERROR(AR114,AS114)))</f>
        <v>#VALUE!</v>
      </c>
      <c r="AU114" s="81"/>
    </row>
    <row r="115" spans="1:47" x14ac:dyDescent="0.25">
      <c r="A115" s="84">
        <f>A114+1</f>
        <v>18</v>
      </c>
      <c r="B115" s="84" t="str">
        <f t="shared" si="48"/>
        <v xml:space="preserve">  </v>
      </c>
      <c r="F115" s="82" t="e">
        <f>SUM(F112:F114)</f>
        <v>#VALUE!</v>
      </c>
      <c r="H115" s="82" t="e">
        <f>SUM(H112:H114)</f>
        <v>#VALUE!</v>
      </c>
      <c r="I115" s="84" t="str">
        <f>CONCATENATE("m'(",C114,")=")</f>
        <v>m'(  )=</v>
      </c>
      <c r="J115" s="84" t="e">
        <f>2*(J112*(WLS))/3*H115</f>
        <v>#VALUE!</v>
      </c>
      <c r="K115" s="84" t="e">
        <f>CONCATENATE("M(",C112,")=")</f>
        <v>#VALUE!</v>
      </c>
      <c r="L115" s="84" t="e">
        <f>VLOOKUP(C112,STN_TABLE,4,FALSE)</f>
        <v>#VALUE!</v>
      </c>
      <c r="M115" t="str">
        <f>CONCATENATE("M(",C114,")=")</f>
        <v>M(  )=</v>
      </c>
      <c r="N115" t="e">
        <f>J115+L115</f>
        <v>#VALUE!</v>
      </c>
      <c r="O115" s="99">
        <f>O114+1</f>
        <v>20</v>
      </c>
      <c r="P115" s="99" t="str">
        <f t="shared" si="44"/>
        <v xml:space="preserve">  </v>
      </c>
      <c r="T115" s="89" t="e">
        <f>SUM(T112:T114)</f>
        <v>#VALUE!</v>
      </c>
      <c r="V115" s="82" t="e">
        <f>SUM(V112:V114)</f>
        <v>#VALUE!</v>
      </c>
      <c r="W115" s="84" t="str">
        <f>CONCATENATE("m'(",Q113,")=")</f>
        <v>m'(  )=</v>
      </c>
      <c r="X115" s="84" t="e">
        <f>(2*(X112^2)/24*V115)+(X114*Q112*WLS)</f>
        <v>#VALUE!</v>
      </c>
      <c r="Y115" s="84" t="e">
        <f>CONCATENATE("M(",Q112,")=")</f>
        <v>#VALUE!</v>
      </c>
      <c r="Z115" s="84" t="e">
        <f>VLOOKUP(Q112,STN_TABLE,4,FALSE)</f>
        <v>#VALUE!</v>
      </c>
      <c r="AA115" t="str">
        <f>CONCATENATE("M(",Q113,")=")</f>
        <v>M(  )=</v>
      </c>
      <c r="AB115" t="e">
        <f>X115+Z115</f>
        <v>#VALUE!</v>
      </c>
      <c r="AE115" s="89">
        <f>SUM(AE113:AE114)</f>
        <v>0</v>
      </c>
      <c r="AG115" s="89" t="e">
        <f>SUM(AG113:AG114)</f>
        <v>#VALUE!</v>
      </c>
      <c r="AH115" s="84" t="str">
        <f>CONCATENATE("m'(",AD114,")=")</f>
        <v>m'(  )=</v>
      </c>
      <c r="AI115" s="84" t="e">
        <f>(2*(AI112^2)/6*AG115)+(AI114*AD113*WLS)</f>
        <v>#VALUE!</v>
      </c>
      <c r="AJ115" s="84" t="str">
        <f>CONCATENATE("M(",AD113,")=")</f>
        <v>M(  )=</v>
      </c>
      <c r="AK115" s="84" t="str">
        <f>VLOOKUP(AD113,STN_TABLE,4,FALSE)</f>
        <v xml:space="preserve"> </v>
      </c>
      <c r="AL115" t="str">
        <f>CONCATENATE("M(",AD114,")=")</f>
        <v>M(  )=</v>
      </c>
      <c r="AM115" t="e">
        <f>AI115+AK115</f>
        <v>#VALUE!</v>
      </c>
      <c r="AO115" s="82" t="str">
        <f>AA115</f>
        <v>M(  )=</v>
      </c>
      <c r="AP115" s="82" t="e">
        <f>VLOOKUP(AO115,Rise_Results,2,FALSE)</f>
        <v>#N/A</v>
      </c>
      <c r="AQ115" s="82" t="e">
        <f>N115</f>
        <v>#VALUE!</v>
      </c>
      <c r="AR115" s="82" t="e">
        <f>IF(OR(AB114&lt;=0,AB115&lt;=0),1/0,AB115)</f>
        <v>#VALUE!</v>
      </c>
      <c r="AS115" s="82" t="e">
        <f>AM115</f>
        <v>#VALUE!</v>
      </c>
      <c r="AT115" t="e">
        <f>IFERROR(AP115,IFERROR(AQ115,IFERROR(AR115,AS115)))</f>
        <v>#VALUE!</v>
      </c>
      <c r="AU115" s="81"/>
    </row>
    <row r="116" spans="1:47" x14ac:dyDescent="0.25">
      <c r="A116" s="101">
        <f>A111+1</f>
        <v>15</v>
      </c>
      <c r="B116" s="101" t="str">
        <f t="shared" si="48"/>
        <v xml:space="preserve">  </v>
      </c>
      <c r="O116" s="101">
        <f>O111+1</f>
        <v>17</v>
      </c>
      <c r="P116" s="101" t="str">
        <f t="shared" si="44"/>
        <v xml:space="preserve">  </v>
      </c>
      <c r="AU116" s="81"/>
    </row>
    <row r="117" spans="1:47" x14ac:dyDescent="0.25">
      <c r="A117" s="84">
        <f>A116+1</f>
        <v>16</v>
      </c>
      <c r="B117" s="84" t="str">
        <f t="shared" si="48"/>
        <v xml:space="preserve">  </v>
      </c>
      <c r="C117" s="79" t="e">
        <f t="shared" ref="C117" si="55">IF(C118=B119,IF(C119-C118=C118-B118,B118,IF(C119-C118=C118-B117,B117,"#NA")),IF(C118=B118,IF(C119-C118=C118-B117,B117,IF(C119-C118=C118-B116,B116,"#NA")),"#NA"))</f>
        <v>#VALUE!</v>
      </c>
      <c r="D117" s="68" t="e">
        <f>VLOOKUP(C117,STN_TABLE,2,FALSE)</f>
        <v>#VALUE!</v>
      </c>
      <c r="E117" s="102">
        <v>1</v>
      </c>
      <c r="F117" s="68" t="e">
        <f>D117*E117</f>
        <v>#VALUE!</v>
      </c>
      <c r="G117" s="69" t="e">
        <f>C117</f>
        <v>#VALUE!</v>
      </c>
      <c r="H117" s="69" t="e">
        <f>F117*G117</f>
        <v>#VALUE!</v>
      </c>
      <c r="I117" s="6" t="s">
        <v>93</v>
      </c>
      <c r="J117" s="70" t="e">
        <f>IF(OR(D117=0,D118=0,D119=0),"#NA",IF(AND(C119-C118=C118-C117,C118&lt;&gt;C119,C117&lt;&gt;C118,C117&lt;&gt;C119,D119&lt;&gt;0,OR(D117&lt;&gt;0,D118&lt;&gt;0)),WLS*(C119-C118),"#NA"))</f>
        <v>#VALUE!</v>
      </c>
      <c r="O117" s="99">
        <f>O116+1</f>
        <v>18</v>
      </c>
      <c r="P117" s="99" t="str">
        <f t="shared" si="44"/>
        <v xml:space="preserve">  </v>
      </c>
      <c r="Q117" s="68" t="e">
        <f>IF(OR(P119-P118=P118-P117,P120-P118=P118-P117),P117,IF(OR(P119-P118=P118-P116,P120-P118=P118-P116),P116,"-"))</f>
        <v>#VALUE!</v>
      </c>
      <c r="R117" s="69" t="e">
        <f>VLOOKUP(Q117,STN_TABLE,2,FALSE)</f>
        <v>#VALUE!</v>
      </c>
      <c r="S117" s="69">
        <v>5</v>
      </c>
      <c r="T117" s="68" t="e">
        <f>R117*S117</f>
        <v>#VALUE!</v>
      </c>
      <c r="U117" s="79">
        <v>3</v>
      </c>
      <c r="V117" s="68" t="e">
        <f>R117*U117</f>
        <v>#VALUE!</v>
      </c>
      <c r="W117" s="6" t="s">
        <v>93</v>
      </c>
      <c r="X117" s="70" t="e">
        <f>IF(AND(Q119-Q118=Q118-Q117,NOT(AND(Q117=0,Q118=0)),NOT(AND(Q118=0,Q119=0))),WLS*(Q119-Q118),"#NA")</f>
        <v>#VALUE!</v>
      </c>
      <c r="AD117" s="93"/>
      <c r="AH117" s="6" t="s">
        <v>93</v>
      </c>
      <c r="AI117" s="70" t="e">
        <f>WLS*(AD119-AD118)</f>
        <v>#VALUE!</v>
      </c>
      <c r="AU117" s="81"/>
    </row>
    <row r="118" spans="1:47" x14ac:dyDescent="0.25">
      <c r="A118" s="84">
        <f>A117+1</f>
        <v>17</v>
      </c>
      <c r="B118" s="84" t="str">
        <f t="shared" si="48"/>
        <v xml:space="preserve">  </v>
      </c>
      <c r="C118" s="80" t="e">
        <f t="shared" ref="C118" si="56">IF(OR(B120-B119=B119-B118,B120-B119=B119-B117,B120-B119=B119-B116),B119,IF(OR(B120-B118=B118-B117,B120-B118=B118-B116),B118,IF(B120-B117=B117-B116,B117,"#NA")))</f>
        <v>#VALUE!</v>
      </c>
      <c r="D118" s="76" t="e">
        <f>VLOOKUP(C118,STN_TABLE,2,FALSE)</f>
        <v>#VALUE!</v>
      </c>
      <c r="E118" s="81">
        <v>4</v>
      </c>
      <c r="F118" s="76" t="e">
        <f>D118*E118</f>
        <v>#VALUE!</v>
      </c>
      <c r="G118" s="77" t="e">
        <f>C118</f>
        <v>#VALUE!</v>
      </c>
      <c r="H118" s="77" t="e">
        <f>F118*G118</f>
        <v>#VALUE!</v>
      </c>
      <c r="I118" s="495" t="s">
        <v>97</v>
      </c>
      <c r="J118" s="496"/>
      <c r="K118" s="78" t="s">
        <v>98</v>
      </c>
      <c r="L118" s="78"/>
      <c r="M118" s="7" t="s">
        <v>99</v>
      </c>
      <c r="N118" s="7"/>
      <c r="O118" s="99">
        <f>O117+1</f>
        <v>19</v>
      </c>
      <c r="P118" s="99" t="str">
        <f t="shared" si="44"/>
        <v xml:space="preserve">  </v>
      </c>
      <c r="Q118" s="76" t="str">
        <f>P118</f>
        <v xml:space="preserve">  </v>
      </c>
      <c r="R118" s="77" t="str">
        <f>VLOOKUP(Q118,STN_TABLE,2,FALSE)</f>
        <v xml:space="preserve">  </v>
      </c>
      <c r="S118" s="77">
        <v>8</v>
      </c>
      <c r="T118" s="76" t="e">
        <f>R118*S118</f>
        <v>#VALUE!</v>
      </c>
      <c r="U118" s="80">
        <v>10</v>
      </c>
      <c r="V118" s="76" t="e">
        <f>R118*U118</f>
        <v>#VALUE!</v>
      </c>
      <c r="W118" s="496" t="s">
        <v>97</v>
      </c>
      <c r="X118" s="496"/>
      <c r="Y118" s="496" t="s">
        <v>98</v>
      </c>
      <c r="Z118" s="496"/>
      <c r="AA118" s="494" t="s">
        <v>99</v>
      </c>
      <c r="AB118" s="494"/>
      <c r="AC118" s="99">
        <f>AC113+1</f>
        <v>18</v>
      </c>
      <c r="AD118" s="95" t="str">
        <f>VLOOKUP(AC118,STN_TABLE_2,2,FALSE)</f>
        <v xml:space="preserve">  </v>
      </c>
      <c r="AE118" s="68" t="str">
        <f>VLOOKUP(AD118,STN_TABLE,2,FALSE)</f>
        <v xml:space="preserve">  </v>
      </c>
      <c r="AF118" s="68">
        <v>1</v>
      </c>
      <c r="AG118" s="69" t="e">
        <f>AE118*AF118</f>
        <v>#VALUE!</v>
      </c>
      <c r="AH118" s="496" t="s">
        <v>97</v>
      </c>
      <c r="AI118" s="496"/>
      <c r="AJ118" s="496" t="s">
        <v>98</v>
      </c>
      <c r="AK118" s="496"/>
      <c r="AL118" s="494" t="s">
        <v>99</v>
      </c>
      <c r="AM118" s="494"/>
      <c r="AP118" s="86" t="s">
        <v>112</v>
      </c>
      <c r="AQ118" s="89" t="s">
        <v>113</v>
      </c>
      <c r="AR118" s="89" t="s">
        <v>114</v>
      </c>
      <c r="AS118" s="89" t="s">
        <v>115</v>
      </c>
      <c r="AU118" s="81"/>
    </row>
    <row r="119" spans="1:47" x14ac:dyDescent="0.25">
      <c r="A119" s="84">
        <f>A118+1</f>
        <v>18</v>
      </c>
      <c r="B119" s="84" t="str">
        <f t="shared" si="48"/>
        <v xml:space="preserve">  </v>
      </c>
      <c r="C119" s="88" t="str">
        <f t="shared" ref="C119" si="57">B120</f>
        <v xml:space="preserve">  </v>
      </c>
      <c r="D119" s="82" t="str">
        <f>VLOOKUP(C119,STN_TABLE,2,FALSE)</f>
        <v xml:space="preserve">  </v>
      </c>
      <c r="E119" s="92">
        <v>1</v>
      </c>
      <c r="F119" s="82" t="e">
        <f>D119*E119</f>
        <v>#VALUE!</v>
      </c>
      <c r="G119" s="83" t="str">
        <f>C119</f>
        <v xml:space="preserve">  </v>
      </c>
      <c r="H119" s="83" t="e">
        <f>F119*G119</f>
        <v>#VALUE!</v>
      </c>
      <c r="I119" s="84" t="str">
        <f>CONCATENATE("a'(",C119,")=")</f>
        <v>a'(  )=</v>
      </c>
      <c r="J119" s="84" t="e">
        <f>2*J117/3*F120</f>
        <v>#VALUE!</v>
      </c>
      <c r="K119" s="84" t="e">
        <f>CONCATENATE("A(",C117,")=")</f>
        <v>#VALUE!</v>
      </c>
      <c r="L119" s="84" t="e">
        <f>VLOOKUP(C117,STN_TABLE,3,FALSE)</f>
        <v>#VALUE!</v>
      </c>
      <c r="M119" t="str">
        <f>CONCATENATE("A(",C119,")=")</f>
        <v>A(  )=</v>
      </c>
      <c r="N119" t="e">
        <f>J119+L119</f>
        <v>#VALUE!</v>
      </c>
      <c r="O119" s="99">
        <f>O118+1</f>
        <v>20</v>
      </c>
      <c r="P119" s="99" t="str">
        <f t="shared" si="44"/>
        <v xml:space="preserve">  </v>
      </c>
      <c r="Q119" s="82" t="e">
        <f>IF(P119-P118=P118-P117,P119,IF(P120-P118=P118-P117,P120,IF(P119-P118=P118-P116,P119,IF(P120-P118=P118-P116,P120,"-"))))</f>
        <v>#VALUE!</v>
      </c>
      <c r="R119" s="83" t="e">
        <f>VLOOKUP(Q119,STN_TABLE,2,FALSE)</f>
        <v>#VALUE!</v>
      </c>
      <c r="S119" s="83">
        <v>-1</v>
      </c>
      <c r="T119" s="82" t="e">
        <f>R119*S119</f>
        <v>#VALUE!</v>
      </c>
      <c r="U119" s="88">
        <v>-1</v>
      </c>
      <c r="V119" s="82" t="e">
        <f>R119*U119</f>
        <v>#VALUE!</v>
      </c>
      <c r="W119" s="84" t="str">
        <f>CONCATENATE("a'(",Q118,")=")</f>
        <v>a'(  )=</v>
      </c>
      <c r="X119" s="84" t="e">
        <f>2*X117/12*T120</f>
        <v>#VALUE!</v>
      </c>
      <c r="Y119" s="84" t="e">
        <f>CONCATENATE("A(",Q117,")=")</f>
        <v>#VALUE!</v>
      </c>
      <c r="Z119" s="84" t="e">
        <f>VLOOKUP(Q117,STN_TABLE,3,FALSE)</f>
        <v>#VALUE!</v>
      </c>
      <c r="AA119" t="str">
        <f>CONCATENATE("A(",Q118,")=")</f>
        <v>A(  )=</v>
      </c>
      <c r="AB119" t="e">
        <f>X119+Z119</f>
        <v>#VALUE!</v>
      </c>
      <c r="AC119" s="99">
        <f>AC118+1</f>
        <v>19</v>
      </c>
      <c r="AD119" s="100" t="str">
        <f>VLOOKUP(AC119,STN_TABLE_2,2,FALSE)</f>
        <v xml:space="preserve">  </v>
      </c>
      <c r="AE119" s="82" t="str">
        <f>VLOOKUP(AD119,STN_TABLE,2,FALSE)</f>
        <v xml:space="preserve">  </v>
      </c>
      <c r="AF119" s="82">
        <v>2</v>
      </c>
      <c r="AG119" s="83" t="e">
        <f>AE119*AF119</f>
        <v>#VALUE!</v>
      </c>
      <c r="AH119" s="84" t="str">
        <f>CONCATENATE("a'(",AD119,")=")</f>
        <v>a'(  )=</v>
      </c>
      <c r="AI119" s="84" t="e">
        <f>2*AI117/2*AE120</f>
        <v>#VALUE!</v>
      </c>
      <c r="AJ119" s="84" t="str">
        <f>CONCATENATE("A(",AD118,")=")</f>
        <v>A(  )=</v>
      </c>
      <c r="AK119" s="84" t="str">
        <f>VLOOKUP(AD118,STN_TABLE,3,FALSE)</f>
        <v xml:space="preserve"> </v>
      </c>
      <c r="AL119" t="str">
        <f>CONCATENATE("A(",AD119,")=")</f>
        <v>A(  )=</v>
      </c>
      <c r="AM119" t="e">
        <f>AI119+AK119</f>
        <v>#VALUE!</v>
      </c>
      <c r="AO119" s="68" t="str">
        <f>AA119</f>
        <v>A(  )=</v>
      </c>
      <c r="AP119" s="68" t="e">
        <f>VLOOKUP(AO119,Rise_Results,2,FALSE)</f>
        <v>#N/A</v>
      </c>
      <c r="AQ119" s="76" t="e">
        <f>N119</f>
        <v>#VALUE!</v>
      </c>
      <c r="AR119" s="76" t="e">
        <f>IF(OR(AB119&lt;=0,AB120&lt;=0),1/0,AB119)</f>
        <v>#VALUE!</v>
      </c>
      <c r="AS119" s="76" t="e">
        <f>AM119</f>
        <v>#VALUE!</v>
      </c>
      <c r="AT119" t="e">
        <f>IFERROR(AP119,IFERROR(AQ119,IFERROR(AR119,AS119)))</f>
        <v>#VALUE!</v>
      </c>
      <c r="AU119" s="81"/>
    </row>
    <row r="120" spans="1:47" x14ac:dyDescent="0.25">
      <c r="A120" s="84">
        <f>A119+1</f>
        <v>19</v>
      </c>
      <c r="B120" s="84" t="str">
        <f t="shared" si="48"/>
        <v xml:space="preserve">  </v>
      </c>
      <c r="F120" s="82" t="e">
        <f>SUM(F117:F119)</f>
        <v>#VALUE!</v>
      </c>
      <c r="H120" s="82" t="e">
        <f>SUM(H117:H119)</f>
        <v>#VALUE!</v>
      </c>
      <c r="I120" s="84" t="str">
        <f>CONCATENATE("m'(",C119,")=")</f>
        <v>m'(  )=</v>
      </c>
      <c r="J120" s="84" t="e">
        <f>2*(J117*(WLS))/3*H120</f>
        <v>#VALUE!</v>
      </c>
      <c r="K120" s="84" t="e">
        <f>CONCATENATE("M(",C117,")=")</f>
        <v>#VALUE!</v>
      </c>
      <c r="L120" s="84" t="e">
        <f>VLOOKUP(C117,STN_TABLE,4,FALSE)</f>
        <v>#VALUE!</v>
      </c>
      <c r="M120" t="str">
        <f>CONCATENATE("M(",C119,")=")</f>
        <v>M(  )=</v>
      </c>
      <c r="N120" t="e">
        <f>J120+L120</f>
        <v>#VALUE!</v>
      </c>
      <c r="O120" s="99">
        <f>O119+1</f>
        <v>21</v>
      </c>
      <c r="P120" s="99" t="str">
        <f t="shared" si="44"/>
        <v xml:space="preserve">  </v>
      </c>
      <c r="T120" s="89" t="e">
        <f>SUM(T117:T119)</f>
        <v>#VALUE!</v>
      </c>
      <c r="V120" s="82" t="e">
        <f>SUM(V117:V119)</f>
        <v>#VALUE!</v>
      </c>
      <c r="W120" s="84" t="str">
        <f>CONCATENATE("m'(",Q118,")=")</f>
        <v>m'(  )=</v>
      </c>
      <c r="X120" s="84" t="e">
        <f>(2*(X117^2)/24*V120)+(X119*Q117*WLS)</f>
        <v>#VALUE!</v>
      </c>
      <c r="Y120" s="84" t="e">
        <f>CONCATENATE("M(",Q117,")=")</f>
        <v>#VALUE!</v>
      </c>
      <c r="Z120" s="84" t="e">
        <f>VLOOKUP(Q117,STN_TABLE,4,FALSE)</f>
        <v>#VALUE!</v>
      </c>
      <c r="AA120" t="str">
        <f>CONCATENATE("M(",Q118,")=")</f>
        <v>M(  )=</v>
      </c>
      <c r="AB120" t="e">
        <f>X120+Z120</f>
        <v>#VALUE!</v>
      </c>
      <c r="AE120" s="89">
        <f>SUM(AE118:AE119)</f>
        <v>0</v>
      </c>
      <c r="AG120" s="89" t="e">
        <f>SUM(AG118:AG119)</f>
        <v>#VALUE!</v>
      </c>
      <c r="AH120" s="84" t="str">
        <f>CONCATENATE("m'(",AD119,")=")</f>
        <v>m'(  )=</v>
      </c>
      <c r="AI120" s="84" t="e">
        <f>(2*(AI117^2)/6*AG120)+(AI119*AD118*WLS)</f>
        <v>#VALUE!</v>
      </c>
      <c r="AJ120" s="84" t="str">
        <f>CONCATENATE("M(",AD118,")=")</f>
        <v>M(  )=</v>
      </c>
      <c r="AK120" s="84" t="str">
        <f>VLOOKUP(AD118,STN_TABLE,4,FALSE)</f>
        <v xml:space="preserve"> </v>
      </c>
      <c r="AL120" t="str">
        <f>CONCATENATE("M(",AD119,")=")</f>
        <v>M(  )=</v>
      </c>
      <c r="AM120" t="e">
        <f>AI120+AK120</f>
        <v>#VALUE!</v>
      </c>
      <c r="AO120" s="82" t="str">
        <f>AA120</f>
        <v>M(  )=</v>
      </c>
      <c r="AP120" s="82" t="e">
        <f>VLOOKUP(AO120,Rise_Results,2,FALSE)</f>
        <v>#N/A</v>
      </c>
      <c r="AQ120" s="82" t="e">
        <f>N120</f>
        <v>#VALUE!</v>
      </c>
      <c r="AR120" s="82" t="e">
        <f>IF(OR(AB119&lt;=0,AB120&lt;=0),1/0,AB120)</f>
        <v>#VALUE!</v>
      </c>
      <c r="AS120" s="82" t="e">
        <f>AM120</f>
        <v>#VALUE!</v>
      </c>
      <c r="AT120" t="e">
        <f>IFERROR(AP120,IFERROR(AQ120,IFERROR(AR120,AS120)))</f>
        <v>#VALUE!</v>
      </c>
      <c r="AU120" s="81"/>
    </row>
    <row r="121" spans="1:47" x14ac:dyDescent="0.25">
      <c r="A121" s="101">
        <f>A116+1</f>
        <v>16</v>
      </c>
      <c r="B121" s="101" t="str">
        <f t="shared" si="48"/>
        <v xml:space="preserve">  </v>
      </c>
      <c r="O121" s="101">
        <f>O116+1</f>
        <v>18</v>
      </c>
      <c r="P121" s="101" t="str">
        <f t="shared" si="44"/>
        <v xml:space="preserve">  </v>
      </c>
      <c r="AU121" s="81"/>
    </row>
    <row r="122" spans="1:47" x14ac:dyDescent="0.25">
      <c r="A122" s="84">
        <f>A121+1</f>
        <v>17</v>
      </c>
      <c r="B122" s="84" t="str">
        <f t="shared" si="48"/>
        <v xml:space="preserve">  </v>
      </c>
      <c r="C122" s="79" t="e">
        <f t="shared" ref="C122" si="58">IF(C123=B124,IF(C124-C123=C123-B123,B123,IF(C124-C123=C123-B122,B122,"#NA")),IF(C123=B123,IF(C124-C123=C123-B122,B122,IF(C124-C123=C123-B121,B121,"#NA")),"#NA"))</f>
        <v>#VALUE!</v>
      </c>
      <c r="D122" s="68" t="e">
        <f>VLOOKUP(C122,STN_TABLE,2,FALSE)</f>
        <v>#VALUE!</v>
      </c>
      <c r="E122" s="102">
        <v>1</v>
      </c>
      <c r="F122" s="68" t="e">
        <f>D122*E122</f>
        <v>#VALUE!</v>
      </c>
      <c r="G122" s="69" t="e">
        <f>C122</f>
        <v>#VALUE!</v>
      </c>
      <c r="H122" s="69" t="e">
        <f>F122*G122</f>
        <v>#VALUE!</v>
      </c>
      <c r="I122" s="6" t="s">
        <v>93</v>
      </c>
      <c r="J122" s="70" t="e">
        <f>IF(OR(D122=0,D123=0,D124=0),"#NA",IF(AND(C124-C123=C123-C122,C123&lt;&gt;C124,C122&lt;&gt;C123,C122&lt;&gt;C124,D124&lt;&gt;0,OR(D122&lt;&gt;0,D123&lt;&gt;0)),WLS*(C124-C123),"#NA"))</f>
        <v>#VALUE!</v>
      </c>
      <c r="O122" s="99">
        <f>O121+1</f>
        <v>19</v>
      </c>
      <c r="P122" s="99" t="str">
        <f t="shared" si="44"/>
        <v xml:space="preserve">  </v>
      </c>
      <c r="Q122" s="68" t="e">
        <f>IF(OR(P124-P123=P123-P122,P125-P123=P123-P122),P122,IF(OR(P124-P123=P123-P121,P125-P123=P123-P121),P121,"-"))</f>
        <v>#VALUE!</v>
      </c>
      <c r="R122" s="69" t="e">
        <f>VLOOKUP(Q122,STN_TABLE,2,FALSE)</f>
        <v>#VALUE!</v>
      </c>
      <c r="S122" s="69">
        <v>5</v>
      </c>
      <c r="T122" s="68" t="e">
        <f>R122*S122</f>
        <v>#VALUE!</v>
      </c>
      <c r="U122" s="79">
        <v>3</v>
      </c>
      <c r="V122" s="68" t="e">
        <f>R122*U122</f>
        <v>#VALUE!</v>
      </c>
      <c r="W122" s="6" t="s">
        <v>93</v>
      </c>
      <c r="X122" s="70" t="e">
        <f>IF(AND(Q124-Q123=Q123-Q122,NOT(AND(Q122=0,Q123=0)),NOT(AND(Q123=0,Q124=0))),WLS*(Q124-Q123),"#NA")</f>
        <v>#VALUE!</v>
      </c>
      <c r="AD122" s="93"/>
      <c r="AH122" s="6" t="s">
        <v>93</v>
      </c>
      <c r="AI122" s="70" t="e">
        <f>WLS*(AD124-AD123)</f>
        <v>#VALUE!</v>
      </c>
      <c r="AU122" s="81"/>
    </row>
    <row r="123" spans="1:47" x14ac:dyDescent="0.25">
      <c r="A123" s="84">
        <f>A122+1</f>
        <v>18</v>
      </c>
      <c r="B123" s="84" t="str">
        <f t="shared" si="48"/>
        <v xml:space="preserve">  </v>
      </c>
      <c r="C123" s="80" t="e">
        <f t="shared" ref="C123" si="59">IF(OR(B125-B124=B124-B123,B125-B124=B124-B122,B125-B124=B124-B121),B124,IF(OR(B125-B123=B123-B122,B125-B123=B123-B121),B123,IF(B125-B122=B122-B121,B122,"#NA")))</f>
        <v>#VALUE!</v>
      </c>
      <c r="D123" s="76" t="e">
        <f>VLOOKUP(C123,STN_TABLE,2,FALSE)</f>
        <v>#VALUE!</v>
      </c>
      <c r="E123" s="81">
        <v>4</v>
      </c>
      <c r="F123" s="76" t="e">
        <f>D123*E123</f>
        <v>#VALUE!</v>
      </c>
      <c r="G123" s="77" t="e">
        <f>C123</f>
        <v>#VALUE!</v>
      </c>
      <c r="H123" s="77" t="e">
        <f>F123*G123</f>
        <v>#VALUE!</v>
      </c>
      <c r="I123" s="495" t="s">
        <v>97</v>
      </c>
      <c r="J123" s="496"/>
      <c r="K123" s="78" t="s">
        <v>98</v>
      </c>
      <c r="L123" s="78"/>
      <c r="M123" s="7" t="s">
        <v>99</v>
      </c>
      <c r="N123" s="7"/>
      <c r="O123" s="99">
        <f>O122+1</f>
        <v>20</v>
      </c>
      <c r="P123" s="99" t="str">
        <f t="shared" si="44"/>
        <v xml:space="preserve">  </v>
      </c>
      <c r="Q123" s="76" t="str">
        <f>P123</f>
        <v xml:space="preserve">  </v>
      </c>
      <c r="R123" s="77" t="str">
        <f>VLOOKUP(Q123,STN_TABLE,2,FALSE)</f>
        <v xml:space="preserve">  </v>
      </c>
      <c r="S123" s="77">
        <v>8</v>
      </c>
      <c r="T123" s="76" t="e">
        <f>R123*S123</f>
        <v>#VALUE!</v>
      </c>
      <c r="U123" s="80">
        <v>10</v>
      </c>
      <c r="V123" s="76" t="e">
        <f>R123*U123</f>
        <v>#VALUE!</v>
      </c>
      <c r="W123" s="496" t="s">
        <v>97</v>
      </c>
      <c r="X123" s="496"/>
      <c r="Y123" s="496" t="s">
        <v>98</v>
      </c>
      <c r="Z123" s="496"/>
      <c r="AA123" s="494" t="s">
        <v>99</v>
      </c>
      <c r="AB123" s="494"/>
      <c r="AC123" s="99">
        <f>AC118+1</f>
        <v>19</v>
      </c>
      <c r="AD123" s="95" t="str">
        <f>VLOOKUP(AC123,STN_TABLE_2,2,FALSE)</f>
        <v xml:space="preserve">  </v>
      </c>
      <c r="AE123" s="68" t="str">
        <f>VLOOKUP(AD123,STN_TABLE,2,FALSE)</f>
        <v xml:space="preserve">  </v>
      </c>
      <c r="AF123" s="68">
        <v>1</v>
      </c>
      <c r="AG123" s="69" t="e">
        <f>AE123*AF123</f>
        <v>#VALUE!</v>
      </c>
      <c r="AH123" s="496" t="s">
        <v>97</v>
      </c>
      <c r="AI123" s="496"/>
      <c r="AJ123" s="496" t="s">
        <v>98</v>
      </c>
      <c r="AK123" s="496"/>
      <c r="AL123" s="494" t="s">
        <v>99</v>
      </c>
      <c r="AM123" s="494"/>
      <c r="AP123" s="86" t="s">
        <v>112</v>
      </c>
      <c r="AQ123" s="89" t="s">
        <v>113</v>
      </c>
      <c r="AR123" s="89" t="s">
        <v>114</v>
      </c>
      <c r="AS123" s="89" t="s">
        <v>115</v>
      </c>
      <c r="AU123" s="81"/>
    </row>
    <row r="124" spans="1:47" x14ac:dyDescent="0.25">
      <c r="A124" s="84">
        <f>A123+1</f>
        <v>19</v>
      </c>
      <c r="B124" s="84" t="str">
        <f t="shared" si="48"/>
        <v xml:space="preserve">  </v>
      </c>
      <c r="C124" s="88" t="str">
        <f t="shared" ref="C124" si="60">B125</f>
        <v xml:space="preserve">  </v>
      </c>
      <c r="D124" s="82" t="str">
        <f>VLOOKUP(C124,STN_TABLE,2,FALSE)</f>
        <v xml:space="preserve">  </v>
      </c>
      <c r="E124" s="92">
        <v>1</v>
      </c>
      <c r="F124" s="82" t="e">
        <f>D124*E124</f>
        <v>#VALUE!</v>
      </c>
      <c r="G124" s="83" t="str">
        <f>C124</f>
        <v xml:space="preserve">  </v>
      </c>
      <c r="H124" s="83" t="e">
        <f>F124*G124</f>
        <v>#VALUE!</v>
      </c>
      <c r="I124" s="84" t="str">
        <f>CONCATENATE("a'(",C124,")=")</f>
        <v>a'(  )=</v>
      </c>
      <c r="J124" s="84" t="e">
        <f>2*J122/3*F125</f>
        <v>#VALUE!</v>
      </c>
      <c r="K124" s="84" t="e">
        <f>CONCATENATE("A(",C122,")=")</f>
        <v>#VALUE!</v>
      </c>
      <c r="L124" s="84" t="e">
        <f>VLOOKUP(C122,STN_TABLE,3,FALSE)</f>
        <v>#VALUE!</v>
      </c>
      <c r="M124" t="str">
        <f>CONCATENATE("A(",C124,")=")</f>
        <v>A(  )=</v>
      </c>
      <c r="N124" t="e">
        <f>J124+L124</f>
        <v>#VALUE!</v>
      </c>
      <c r="O124" s="99">
        <f>O123+1</f>
        <v>21</v>
      </c>
      <c r="P124" s="99" t="str">
        <f t="shared" si="44"/>
        <v xml:space="preserve">  </v>
      </c>
      <c r="Q124" s="82" t="e">
        <f>IF(P124-P123=P123-P122,P124,IF(P125-P123=P123-P122,P125,IF(P124-P123=P123-P121,P124,IF(P125-P123=P123-P121,P125,"-"))))</f>
        <v>#VALUE!</v>
      </c>
      <c r="R124" s="83" t="e">
        <f>VLOOKUP(Q124,STN_TABLE,2,FALSE)</f>
        <v>#VALUE!</v>
      </c>
      <c r="S124" s="83">
        <v>-1</v>
      </c>
      <c r="T124" s="82" t="e">
        <f>R124*S124</f>
        <v>#VALUE!</v>
      </c>
      <c r="U124" s="88">
        <v>-1</v>
      </c>
      <c r="V124" s="82" t="e">
        <f>R124*U124</f>
        <v>#VALUE!</v>
      </c>
      <c r="W124" s="84" t="str">
        <f>CONCATENATE("a'(",Q123,")=")</f>
        <v>a'(  )=</v>
      </c>
      <c r="X124" s="84" t="e">
        <f>2*X122/12*T125</f>
        <v>#VALUE!</v>
      </c>
      <c r="Y124" s="84" t="e">
        <f>CONCATENATE("A(",Q122,")=")</f>
        <v>#VALUE!</v>
      </c>
      <c r="Z124" s="84" t="e">
        <f>VLOOKUP(Q122,STN_TABLE,3,FALSE)</f>
        <v>#VALUE!</v>
      </c>
      <c r="AA124" t="str">
        <f>CONCATENATE("A(",Q123,")=")</f>
        <v>A(  )=</v>
      </c>
      <c r="AB124" t="e">
        <f>X124+Z124</f>
        <v>#VALUE!</v>
      </c>
      <c r="AC124" s="99">
        <f>AC123+1</f>
        <v>20</v>
      </c>
      <c r="AD124" s="100" t="str">
        <f>VLOOKUP(AC124,STN_TABLE_2,2,FALSE)</f>
        <v xml:space="preserve">  </v>
      </c>
      <c r="AE124" s="82" t="str">
        <f>VLOOKUP(AD124,STN_TABLE,2,FALSE)</f>
        <v xml:space="preserve">  </v>
      </c>
      <c r="AF124" s="82">
        <v>2</v>
      </c>
      <c r="AG124" s="83" t="e">
        <f>AE124*AF124</f>
        <v>#VALUE!</v>
      </c>
      <c r="AH124" s="84" t="str">
        <f>CONCATENATE("a'(",AD124,")=")</f>
        <v>a'(  )=</v>
      </c>
      <c r="AI124" s="84" t="e">
        <f>2*AI122/2*AE125</f>
        <v>#VALUE!</v>
      </c>
      <c r="AJ124" s="84" t="str">
        <f>CONCATENATE("A(",AD123,")=")</f>
        <v>A(  )=</v>
      </c>
      <c r="AK124" s="84" t="str">
        <f>VLOOKUP(AD123,STN_TABLE,3,FALSE)</f>
        <v xml:space="preserve"> </v>
      </c>
      <c r="AL124" t="str">
        <f>CONCATENATE("A(",AD124,")=")</f>
        <v>A(  )=</v>
      </c>
      <c r="AM124" t="e">
        <f>AI124+AK124</f>
        <v>#VALUE!</v>
      </c>
      <c r="AO124" s="68" t="str">
        <f>AA124</f>
        <v>A(  )=</v>
      </c>
      <c r="AP124" s="68" t="e">
        <f>VLOOKUP(AO124,Rise_Results,2,FALSE)</f>
        <v>#N/A</v>
      </c>
      <c r="AQ124" s="76" t="e">
        <f>N124</f>
        <v>#VALUE!</v>
      </c>
      <c r="AR124" s="76" t="e">
        <f>IF(OR(AB124&lt;=0,AB125&lt;=0),1/0,AB124)</f>
        <v>#VALUE!</v>
      </c>
      <c r="AS124" s="76" t="e">
        <f>AM124</f>
        <v>#VALUE!</v>
      </c>
      <c r="AT124" t="e">
        <f>IFERROR(AP124,IFERROR(AQ124,IFERROR(AR124,AS124)))</f>
        <v>#VALUE!</v>
      </c>
      <c r="AU124" s="81"/>
    </row>
    <row r="125" spans="1:47" x14ac:dyDescent="0.25">
      <c r="A125" s="84">
        <f>A124+1</f>
        <v>20</v>
      </c>
      <c r="B125" s="84" t="str">
        <f t="shared" si="48"/>
        <v xml:space="preserve">  </v>
      </c>
      <c r="F125" s="82" t="e">
        <f>SUM(F122:F124)</f>
        <v>#VALUE!</v>
      </c>
      <c r="H125" s="82" t="e">
        <f>SUM(H122:H124)</f>
        <v>#VALUE!</v>
      </c>
      <c r="I125" s="84" t="str">
        <f>CONCATENATE("m'(",C124,")=")</f>
        <v>m'(  )=</v>
      </c>
      <c r="J125" s="84" t="e">
        <f>2*(J122*(WLS))/3*H125</f>
        <v>#VALUE!</v>
      </c>
      <c r="K125" s="84" t="e">
        <f>CONCATENATE("M(",C122,")=")</f>
        <v>#VALUE!</v>
      </c>
      <c r="L125" s="84" t="e">
        <f>VLOOKUP(C122,STN_TABLE,4,FALSE)</f>
        <v>#VALUE!</v>
      </c>
      <c r="M125" t="str">
        <f>CONCATENATE("M(",C124,")=")</f>
        <v>M(  )=</v>
      </c>
      <c r="N125" t="e">
        <f>J125+L125</f>
        <v>#VALUE!</v>
      </c>
      <c r="O125" s="99">
        <f>O124+1</f>
        <v>22</v>
      </c>
      <c r="P125" s="99" t="str">
        <f t="shared" si="44"/>
        <v xml:space="preserve">  </v>
      </c>
      <c r="T125" s="89" t="e">
        <f>SUM(T122:T124)</f>
        <v>#VALUE!</v>
      </c>
      <c r="V125" s="82" t="e">
        <f>SUM(V122:V124)</f>
        <v>#VALUE!</v>
      </c>
      <c r="W125" s="84" t="str">
        <f>CONCATENATE("m'(",Q123,")=")</f>
        <v>m'(  )=</v>
      </c>
      <c r="X125" s="84" t="e">
        <f>(2*(X122^2)/24*V125)+(X124*Q122*WLS)</f>
        <v>#VALUE!</v>
      </c>
      <c r="Y125" s="84" t="e">
        <f>CONCATENATE("M(",Q122,")=")</f>
        <v>#VALUE!</v>
      </c>
      <c r="Z125" s="84" t="e">
        <f>VLOOKUP(Q122,STN_TABLE,4,FALSE)</f>
        <v>#VALUE!</v>
      </c>
      <c r="AA125" t="str">
        <f>CONCATENATE("M(",Q123,")=")</f>
        <v>M(  )=</v>
      </c>
      <c r="AB125" t="e">
        <f>X125+Z125</f>
        <v>#VALUE!</v>
      </c>
      <c r="AE125" s="89">
        <f>SUM(AE123:AE124)</f>
        <v>0</v>
      </c>
      <c r="AG125" s="89" t="e">
        <f>SUM(AG123:AG124)</f>
        <v>#VALUE!</v>
      </c>
      <c r="AH125" s="84" t="str">
        <f>CONCATENATE("m'(",AD124,")=")</f>
        <v>m'(  )=</v>
      </c>
      <c r="AI125" s="84" t="e">
        <f>(2*(AI122^2)/6*AG125)+(AI124*AD123*WLS)</f>
        <v>#VALUE!</v>
      </c>
      <c r="AJ125" s="84" t="str">
        <f>CONCATENATE("M(",AD123,")=")</f>
        <v>M(  )=</v>
      </c>
      <c r="AK125" s="84" t="str">
        <f>VLOOKUP(AD123,STN_TABLE,4,FALSE)</f>
        <v xml:space="preserve"> </v>
      </c>
      <c r="AL125" t="str">
        <f>CONCATENATE("M(",AD124,")=")</f>
        <v>M(  )=</v>
      </c>
      <c r="AM125" t="e">
        <f>AI125+AK125</f>
        <v>#VALUE!</v>
      </c>
      <c r="AO125" s="82" t="str">
        <f>AA125</f>
        <v>M(  )=</v>
      </c>
      <c r="AP125" s="82" t="e">
        <f>VLOOKUP(AO125,Rise_Results,2,FALSE)</f>
        <v>#N/A</v>
      </c>
      <c r="AQ125" s="82" t="e">
        <f>N125</f>
        <v>#VALUE!</v>
      </c>
      <c r="AR125" s="82" t="e">
        <f>IF(OR(AB124&lt;=0,AB125&lt;=0),1/0,AB125)</f>
        <v>#VALUE!</v>
      </c>
      <c r="AS125" s="82" t="e">
        <f>AM125</f>
        <v>#VALUE!</v>
      </c>
      <c r="AT125" t="e">
        <f>IFERROR(AP125,IFERROR(AQ125,IFERROR(AR125,AS125)))</f>
        <v>#VALUE!</v>
      </c>
      <c r="AU125" s="81"/>
    </row>
    <row r="126" spans="1:47" x14ac:dyDescent="0.25">
      <c r="A126" s="101">
        <f>A121+1</f>
        <v>17</v>
      </c>
      <c r="B126" s="101" t="str">
        <f t="shared" si="48"/>
        <v xml:space="preserve">  </v>
      </c>
      <c r="O126" s="101">
        <f>O121+1</f>
        <v>19</v>
      </c>
      <c r="P126" s="101" t="str">
        <f t="shared" si="44"/>
        <v xml:space="preserve">  </v>
      </c>
      <c r="AU126" s="81"/>
    </row>
    <row r="127" spans="1:47" x14ac:dyDescent="0.25">
      <c r="A127" s="84">
        <f>A126+1</f>
        <v>18</v>
      </c>
      <c r="B127" s="84" t="str">
        <f t="shared" si="48"/>
        <v xml:space="preserve">  </v>
      </c>
      <c r="C127" s="79" t="e">
        <f t="shared" ref="C127" si="61">IF(C128=B129,IF(C129-C128=C128-B128,B128,IF(C129-C128=C128-B127,B127,"#NA")),IF(C128=B128,IF(C129-C128=C128-B127,B127,IF(C129-C128=C128-B126,B126,"#NA")),"#NA"))</f>
        <v>#VALUE!</v>
      </c>
      <c r="D127" s="68" t="e">
        <f>VLOOKUP(C127,STN_TABLE,2,FALSE)</f>
        <v>#VALUE!</v>
      </c>
      <c r="E127" s="102">
        <v>1</v>
      </c>
      <c r="F127" s="68" t="e">
        <f>D127*E127</f>
        <v>#VALUE!</v>
      </c>
      <c r="G127" s="69" t="e">
        <f>C127</f>
        <v>#VALUE!</v>
      </c>
      <c r="H127" s="69" t="e">
        <f>F127*G127</f>
        <v>#VALUE!</v>
      </c>
      <c r="I127" s="6" t="s">
        <v>93</v>
      </c>
      <c r="J127" s="70" t="e">
        <f>IF(OR(D127=0,D128=0,D129=0),"#NA",IF(AND(C129-C128=C128-C127,C128&lt;&gt;C129,C127&lt;&gt;C128,C127&lt;&gt;C129,D129&lt;&gt;0,OR(D127&lt;&gt;0,D128&lt;&gt;0)),WLS*(C129-C128),"#NA"))</f>
        <v>#VALUE!</v>
      </c>
      <c r="O127" s="99">
        <f>O126+1</f>
        <v>20</v>
      </c>
      <c r="P127" s="99" t="str">
        <f t="shared" si="44"/>
        <v xml:space="preserve">  </v>
      </c>
      <c r="Q127" s="68" t="e">
        <f>IF(OR(P129-P128=P128-P127,P130-P128=P128-P127),P127,IF(OR(P129-P128=P128-P126,P130-P128=P128-P126),P126,"-"))</f>
        <v>#VALUE!</v>
      </c>
      <c r="R127" s="69" t="e">
        <f>VLOOKUP(Q127,STN_TABLE,2,FALSE)</f>
        <v>#VALUE!</v>
      </c>
      <c r="S127" s="69">
        <v>5</v>
      </c>
      <c r="T127" s="68" t="e">
        <f>R127*S127</f>
        <v>#VALUE!</v>
      </c>
      <c r="U127" s="79">
        <v>3</v>
      </c>
      <c r="V127" s="68" t="e">
        <f>R127*U127</f>
        <v>#VALUE!</v>
      </c>
      <c r="W127" s="6" t="s">
        <v>93</v>
      </c>
      <c r="X127" s="70" t="e">
        <f>IF(AND(Q129-Q128=Q128-Q127,NOT(AND(Q127=0,Q128=0)),NOT(AND(Q128=0,Q129=0))),WLS*(Q129-Q128),"#NA")</f>
        <v>#VALUE!</v>
      </c>
      <c r="AD127" s="93"/>
      <c r="AH127" s="6" t="s">
        <v>93</v>
      </c>
      <c r="AI127" s="70" t="e">
        <f>WLS*(AD129-AD128)</f>
        <v>#VALUE!</v>
      </c>
      <c r="AU127" s="81"/>
    </row>
    <row r="128" spans="1:47" x14ac:dyDescent="0.25">
      <c r="A128" s="84">
        <f>A127+1</f>
        <v>19</v>
      </c>
      <c r="B128" s="84" t="str">
        <f t="shared" si="48"/>
        <v xml:space="preserve">  </v>
      </c>
      <c r="C128" s="80" t="e">
        <f t="shared" ref="C128" si="62">IF(OR(B130-B129=B129-B128,B130-B129=B129-B127,B130-B129=B129-B126),B129,IF(OR(B130-B128=B128-B127,B130-B128=B128-B126),B128,IF(B130-B127=B127-B126,B127,"#NA")))</f>
        <v>#VALUE!</v>
      </c>
      <c r="D128" s="76" t="e">
        <f>VLOOKUP(C128,STN_TABLE,2,FALSE)</f>
        <v>#VALUE!</v>
      </c>
      <c r="E128" s="81">
        <v>4</v>
      </c>
      <c r="F128" s="76" t="e">
        <f>D128*E128</f>
        <v>#VALUE!</v>
      </c>
      <c r="G128" s="77" t="e">
        <f>C128</f>
        <v>#VALUE!</v>
      </c>
      <c r="H128" s="77" t="e">
        <f>F128*G128</f>
        <v>#VALUE!</v>
      </c>
      <c r="I128" s="495" t="s">
        <v>97</v>
      </c>
      <c r="J128" s="496"/>
      <c r="K128" s="78" t="s">
        <v>98</v>
      </c>
      <c r="L128" s="78"/>
      <c r="M128" s="7" t="s">
        <v>99</v>
      </c>
      <c r="N128" s="7"/>
      <c r="O128" s="99">
        <f>O127+1</f>
        <v>21</v>
      </c>
      <c r="P128" s="99" t="str">
        <f t="shared" si="44"/>
        <v xml:space="preserve">  </v>
      </c>
      <c r="Q128" s="76" t="str">
        <f>P128</f>
        <v xml:space="preserve">  </v>
      </c>
      <c r="R128" s="77" t="str">
        <f>VLOOKUP(Q128,STN_TABLE,2,FALSE)</f>
        <v xml:space="preserve">  </v>
      </c>
      <c r="S128" s="77">
        <v>8</v>
      </c>
      <c r="T128" s="76" t="e">
        <f>R128*S128</f>
        <v>#VALUE!</v>
      </c>
      <c r="U128" s="80">
        <v>10</v>
      </c>
      <c r="V128" s="76" t="e">
        <f>R128*U128</f>
        <v>#VALUE!</v>
      </c>
      <c r="W128" s="496" t="s">
        <v>97</v>
      </c>
      <c r="X128" s="496"/>
      <c r="Y128" s="496" t="s">
        <v>98</v>
      </c>
      <c r="Z128" s="496"/>
      <c r="AA128" s="494" t="s">
        <v>99</v>
      </c>
      <c r="AB128" s="494"/>
      <c r="AC128" s="99">
        <f>AC123+1</f>
        <v>20</v>
      </c>
      <c r="AD128" s="95" t="str">
        <f>VLOOKUP(AC128,STN_TABLE_2,2,FALSE)</f>
        <v xml:space="preserve">  </v>
      </c>
      <c r="AE128" s="68" t="str">
        <f>VLOOKUP(AD128,STN_TABLE,2,FALSE)</f>
        <v xml:space="preserve">  </v>
      </c>
      <c r="AF128" s="68">
        <v>1</v>
      </c>
      <c r="AG128" s="69" t="e">
        <f>AE128*AF128</f>
        <v>#VALUE!</v>
      </c>
      <c r="AH128" s="496" t="s">
        <v>97</v>
      </c>
      <c r="AI128" s="496"/>
      <c r="AJ128" s="496" t="s">
        <v>98</v>
      </c>
      <c r="AK128" s="496"/>
      <c r="AL128" s="494" t="s">
        <v>99</v>
      </c>
      <c r="AM128" s="494"/>
      <c r="AP128" s="86" t="s">
        <v>112</v>
      </c>
      <c r="AQ128" s="89" t="s">
        <v>113</v>
      </c>
      <c r="AR128" s="89" t="s">
        <v>114</v>
      </c>
      <c r="AS128" s="89" t="s">
        <v>115</v>
      </c>
      <c r="AU128" s="81"/>
    </row>
    <row r="129" spans="1:47" x14ac:dyDescent="0.25">
      <c r="A129" s="84">
        <f>A128+1</f>
        <v>20</v>
      </c>
      <c r="B129" s="84" t="str">
        <f t="shared" si="48"/>
        <v xml:space="preserve">  </v>
      </c>
      <c r="C129" s="88" t="str">
        <f t="shared" ref="C129" si="63">B130</f>
        <v xml:space="preserve">  </v>
      </c>
      <c r="D129" s="82" t="str">
        <f>VLOOKUP(C129,STN_TABLE,2,FALSE)</f>
        <v xml:space="preserve">  </v>
      </c>
      <c r="E129" s="92">
        <v>1</v>
      </c>
      <c r="F129" s="82" t="e">
        <f>D129*E129</f>
        <v>#VALUE!</v>
      </c>
      <c r="G129" s="83" t="str">
        <f>C129</f>
        <v xml:space="preserve">  </v>
      </c>
      <c r="H129" s="83" t="e">
        <f>F129*G129</f>
        <v>#VALUE!</v>
      </c>
      <c r="I129" s="84" t="str">
        <f>CONCATENATE("a'(",C129,")=")</f>
        <v>a'(  )=</v>
      </c>
      <c r="J129" s="84" t="e">
        <f>2*J127/3*F130</f>
        <v>#VALUE!</v>
      </c>
      <c r="K129" s="84" t="e">
        <f>CONCATENATE("A(",C127,")=")</f>
        <v>#VALUE!</v>
      </c>
      <c r="L129" s="84" t="e">
        <f>VLOOKUP(C127,STN_TABLE,3,FALSE)</f>
        <v>#VALUE!</v>
      </c>
      <c r="M129" t="str">
        <f>CONCATENATE("A(",C129,")=")</f>
        <v>A(  )=</v>
      </c>
      <c r="N129" t="e">
        <f>J129+L129</f>
        <v>#VALUE!</v>
      </c>
      <c r="O129" s="99">
        <f>O128+1</f>
        <v>22</v>
      </c>
      <c r="P129" s="99" t="str">
        <f t="shared" si="44"/>
        <v xml:space="preserve">  </v>
      </c>
      <c r="Q129" s="82" t="e">
        <f>IF(P129-P128=P128-P127,P129,IF(P130-P128=P128-P127,P130,IF(P129-P128=P128-P126,P129,IF(P130-P128=P128-P126,P130,"-"))))</f>
        <v>#VALUE!</v>
      </c>
      <c r="R129" s="83" t="e">
        <f>VLOOKUP(Q129,STN_TABLE,2,FALSE)</f>
        <v>#VALUE!</v>
      </c>
      <c r="S129" s="83">
        <v>-1</v>
      </c>
      <c r="T129" s="82" t="e">
        <f>R129*S129</f>
        <v>#VALUE!</v>
      </c>
      <c r="U129" s="88">
        <v>-1</v>
      </c>
      <c r="V129" s="82" t="e">
        <f>R129*U129</f>
        <v>#VALUE!</v>
      </c>
      <c r="W129" s="84" t="str">
        <f>CONCATENATE("a'(",Q128,")=")</f>
        <v>a'(  )=</v>
      </c>
      <c r="X129" s="84" t="e">
        <f>2*X127/12*T130</f>
        <v>#VALUE!</v>
      </c>
      <c r="Y129" s="84" t="e">
        <f>CONCATENATE("A(",Q127,")=")</f>
        <v>#VALUE!</v>
      </c>
      <c r="Z129" s="84" t="e">
        <f>VLOOKUP(Q127,STN_TABLE,3,FALSE)</f>
        <v>#VALUE!</v>
      </c>
      <c r="AA129" t="str">
        <f>CONCATENATE("A(",Q128,")=")</f>
        <v>A(  )=</v>
      </c>
      <c r="AB129" t="e">
        <f>X129+Z129</f>
        <v>#VALUE!</v>
      </c>
      <c r="AC129" s="99">
        <f>AC128+1</f>
        <v>21</v>
      </c>
      <c r="AD129" s="100" t="str">
        <f>VLOOKUP(AC129,STN_TABLE_2,2,FALSE)</f>
        <v xml:space="preserve">  </v>
      </c>
      <c r="AE129" s="82" t="str">
        <f>VLOOKUP(AD129,STN_TABLE,2,FALSE)</f>
        <v xml:space="preserve">  </v>
      </c>
      <c r="AF129" s="82">
        <v>2</v>
      </c>
      <c r="AG129" s="83" t="e">
        <f>AE129*AF129</f>
        <v>#VALUE!</v>
      </c>
      <c r="AH129" s="84" t="str">
        <f>CONCATENATE("a'(",AD129,")=")</f>
        <v>a'(  )=</v>
      </c>
      <c r="AI129" s="84" t="e">
        <f>2*AI127/2*AE130</f>
        <v>#VALUE!</v>
      </c>
      <c r="AJ129" s="84" t="str">
        <f>CONCATENATE("A(",AD128,")=")</f>
        <v>A(  )=</v>
      </c>
      <c r="AK129" s="84" t="str">
        <f>VLOOKUP(AD128,STN_TABLE,3,FALSE)</f>
        <v xml:space="preserve"> </v>
      </c>
      <c r="AL129" t="str">
        <f>CONCATENATE("A(",AD129,")=")</f>
        <v>A(  )=</v>
      </c>
      <c r="AM129" t="e">
        <f>AI129+AK129</f>
        <v>#VALUE!</v>
      </c>
      <c r="AO129" s="68" t="str">
        <f>AA129</f>
        <v>A(  )=</v>
      </c>
      <c r="AP129" s="68" t="e">
        <f>VLOOKUP(AO129,Rise_Results,2,FALSE)</f>
        <v>#N/A</v>
      </c>
      <c r="AQ129" s="76" t="e">
        <f>N129</f>
        <v>#VALUE!</v>
      </c>
      <c r="AR129" s="76" t="e">
        <f>IF(OR(AB129&lt;=0,AB130&lt;=0),1/0,AB129)</f>
        <v>#VALUE!</v>
      </c>
      <c r="AS129" s="76" t="e">
        <f>AM129</f>
        <v>#VALUE!</v>
      </c>
      <c r="AT129" t="e">
        <f>IFERROR(AP129,IFERROR(AQ129,IFERROR(AR129,AS129)))</f>
        <v>#VALUE!</v>
      </c>
      <c r="AU129" s="81"/>
    </row>
    <row r="130" spans="1:47" x14ac:dyDescent="0.25">
      <c r="A130" s="84">
        <f>A129+1</f>
        <v>21</v>
      </c>
      <c r="B130" s="84" t="str">
        <f t="shared" si="48"/>
        <v xml:space="preserve">  </v>
      </c>
      <c r="F130" s="82" t="e">
        <f>SUM(F127:F129)</f>
        <v>#VALUE!</v>
      </c>
      <c r="H130" s="82" t="e">
        <f>SUM(H127:H129)</f>
        <v>#VALUE!</v>
      </c>
      <c r="I130" s="84" t="str">
        <f>CONCATENATE("m'(",C129,")=")</f>
        <v>m'(  )=</v>
      </c>
      <c r="J130" s="84" t="e">
        <f>2*(J127*(WLS))/3*H130</f>
        <v>#VALUE!</v>
      </c>
      <c r="K130" s="84" t="e">
        <f>CONCATENATE("M(",C127,")=")</f>
        <v>#VALUE!</v>
      </c>
      <c r="L130" s="84" t="e">
        <f>VLOOKUP(C127,STN_TABLE,4,FALSE)</f>
        <v>#VALUE!</v>
      </c>
      <c r="M130" t="str">
        <f>CONCATENATE("M(",C129,")=")</f>
        <v>M(  )=</v>
      </c>
      <c r="N130" t="e">
        <f>J130+L130</f>
        <v>#VALUE!</v>
      </c>
      <c r="O130" s="99">
        <f>O129+1</f>
        <v>23</v>
      </c>
      <c r="P130" s="99" t="str">
        <f t="shared" si="44"/>
        <v xml:space="preserve">  </v>
      </c>
      <c r="T130" s="89" t="e">
        <f>SUM(T127:T129)</f>
        <v>#VALUE!</v>
      </c>
      <c r="V130" s="82" t="e">
        <f>SUM(V127:V129)</f>
        <v>#VALUE!</v>
      </c>
      <c r="W130" s="84" t="str">
        <f>CONCATENATE("m'(",Q128,")=")</f>
        <v>m'(  )=</v>
      </c>
      <c r="X130" s="84" t="e">
        <f>(2*(X127^2)/24*V130)+(X129*Q127*WLS)</f>
        <v>#VALUE!</v>
      </c>
      <c r="Y130" s="84" t="e">
        <f>CONCATENATE("M(",Q127,")=")</f>
        <v>#VALUE!</v>
      </c>
      <c r="Z130" s="84" t="e">
        <f>VLOOKUP(Q127,STN_TABLE,4,FALSE)</f>
        <v>#VALUE!</v>
      </c>
      <c r="AA130" t="str">
        <f>CONCATENATE("M(",Q128,")=")</f>
        <v>M(  )=</v>
      </c>
      <c r="AB130" t="e">
        <f>X130+Z130</f>
        <v>#VALUE!</v>
      </c>
      <c r="AE130" s="89">
        <f>SUM(AE128:AE129)</f>
        <v>0</v>
      </c>
      <c r="AG130" s="89" t="e">
        <f>SUM(AG128:AG129)</f>
        <v>#VALUE!</v>
      </c>
      <c r="AH130" s="84" t="str">
        <f>CONCATENATE("m'(",AD129,")=")</f>
        <v>m'(  )=</v>
      </c>
      <c r="AI130" s="84" t="e">
        <f>(2*(AI127^2)/6*AG130)+(AI129*AD128*WLS)</f>
        <v>#VALUE!</v>
      </c>
      <c r="AJ130" s="84" t="str">
        <f>CONCATENATE("M(",AD128,")=")</f>
        <v>M(  )=</v>
      </c>
      <c r="AK130" s="84" t="str">
        <f>VLOOKUP(AD128,STN_TABLE,4,FALSE)</f>
        <v xml:space="preserve"> </v>
      </c>
      <c r="AL130" t="str">
        <f>CONCATENATE("M(",AD129,")=")</f>
        <v>M(  )=</v>
      </c>
      <c r="AM130" t="e">
        <f>AI130+AK130</f>
        <v>#VALUE!</v>
      </c>
      <c r="AO130" s="82" t="str">
        <f>AA130</f>
        <v>M(  )=</v>
      </c>
      <c r="AP130" s="82" t="e">
        <f>VLOOKUP(AO130,Rise_Results,2,FALSE)</f>
        <v>#N/A</v>
      </c>
      <c r="AQ130" s="82" t="e">
        <f>N130</f>
        <v>#VALUE!</v>
      </c>
      <c r="AR130" s="82" t="e">
        <f>IF(OR(AB129&lt;=0,AB130&lt;=0),1/0,AB130)</f>
        <v>#VALUE!</v>
      </c>
      <c r="AS130" s="82" t="e">
        <f>AM130</f>
        <v>#VALUE!</v>
      </c>
      <c r="AT130" t="e">
        <f>IFERROR(AP130,IFERROR(AQ130,IFERROR(AR130,AS130)))</f>
        <v>#VALUE!</v>
      </c>
      <c r="AU130" s="81"/>
    </row>
    <row r="131" spans="1:47" x14ac:dyDescent="0.25">
      <c r="A131" s="101">
        <f>A126+1</f>
        <v>18</v>
      </c>
      <c r="B131" s="101" t="str">
        <f t="shared" si="48"/>
        <v xml:space="preserve">  </v>
      </c>
      <c r="O131" s="101">
        <f>O126+1</f>
        <v>20</v>
      </c>
      <c r="P131" s="101" t="str">
        <f t="shared" si="44"/>
        <v xml:space="preserve">  </v>
      </c>
      <c r="AU131" s="81"/>
    </row>
    <row r="132" spans="1:47" x14ac:dyDescent="0.25">
      <c r="A132" s="84">
        <f>A131+1</f>
        <v>19</v>
      </c>
      <c r="B132" s="84" t="str">
        <f t="shared" si="48"/>
        <v xml:space="preserve">  </v>
      </c>
      <c r="C132" s="79" t="e">
        <f t="shared" ref="C132" si="64">IF(C133=B134,IF(C134-C133=C133-B133,B133,IF(C134-C133=C133-B132,B132,"#NA")),IF(C133=B133,IF(C134-C133=C133-B132,B132,IF(C134-C133=C133-B131,B131,"#NA")),"#NA"))</f>
        <v>#VALUE!</v>
      </c>
      <c r="D132" s="68" t="e">
        <f>VLOOKUP(C132,STN_TABLE,2,FALSE)</f>
        <v>#VALUE!</v>
      </c>
      <c r="E132" s="102">
        <v>1</v>
      </c>
      <c r="F132" s="68" t="e">
        <f>D132*E132</f>
        <v>#VALUE!</v>
      </c>
      <c r="G132" s="69" t="e">
        <f>C132</f>
        <v>#VALUE!</v>
      </c>
      <c r="H132" s="69" t="e">
        <f>F132*G132</f>
        <v>#VALUE!</v>
      </c>
      <c r="I132" s="6" t="s">
        <v>93</v>
      </c>
      <c r="J132" s="70" t="e">
        <f>IF(OR(D132=0,D133=0,D134=0),"#NA",IF(AND(C134-C133=C133-C132,C133&lt;&gt;C134,C132&lt;&gt;C133,C132&lt;&gt;C134,D134&lt;&gt;0,OR(D132&lt;&gt;0,D133&lt;&gt;0)),WLS*(C134-C133),"#NA"))</f>
        <v>#VALUE!</v>
      </c>
      <c r="O132" s="99">
        <f>O131+1</f>
        <v>21</v>
      </c>
      <c r="P132" s="99" t="str">
        <f t="shared" ref="P132:P150" si="65">VLOOKUP(O132,STN_TABLE_2,2,FALSE)</f>
        <v xml:space="preserve">  </v>
      </c>
      <c r="Q132" s="68" t="e">
        <f>IF(OR(P134-P133=P133-P132,P135-P133=P133-P132),P132,IF(OR(P134-P133=P133-P131,P135-P133=P133-P131),P131,"-"))</f>
        <v>#VALUE!</v>
      </c>
      <c r="R132" s="69" t="e">
        <f>VLOOKUP(Q132,STN_TABLE,2,FALSE)</f>
        <v>#VALUE!</v>
      </c>
      <c r="S132" s="69">
        <v>5</v>
      </c>
      <c r="T132" s="68" t="e">
        <f>R132*S132</f>
        <v>#VALUE!</v>
      </c>
      <c r="U132" s="79">
        <v>3</v>
      </c>
      <c r="V132" s="68" t="e">
        <f>R132*U132</f>
        <v>#VALUE!</v>
      </c>
      <c r="W132" s="6" t="s">
        <v>93</v>
      </c>
      <c r="X132" s="70" t="e">
        <f>IF(AND(Q134-Q133=Q133-Q132,NOT(AND(Q132=0,Q133=0)),NOT(AND(Q133=0,Q134=0))),WLS*(Q134-Q133),"#NA")</f>
        <v>#VALUE!</v>
      </c>
      <c r="AD132" s="93"/>
      <c r="AH132" s="6" t="s">
        <v>93</v>
      </c>
      <c r="AI132" s="70" t="e">
        <f>WLS*(AD134-AD133)</f>
        <v>#VALUE!</v>
      </c>
      <c r="AU132" s="81"/>
    </row>
    <row r="133" spans="1:47" x14ac:dyDescent="0.25">
      <c r="A133" s="84">
        <f>A132+1</f>
        <v>20</v>
      </c>
      <c r="B133" s="84" t="str">
        <f t="shared" si="48"/>
        <v xml:space="preserve">  </v>
      </c>
      <c r="C133" s="80" t="e">
        <f t="shared" ref="C133" si="66">IF(OR(B135-B134=B134-B133,B135-B134=B134-B132,B135-B134=B134-B131),B134,IF(OR(B135-B133=B133-B132,B135-B133=B133-B131),B133,IF(B135-B132=B132-B131,B132,"#NA")))</f>
        <v>#VALUE!</v>
      </c>
      <c r="D133" s="76" t="e">
        <f>VLOOKUP(C133,STN_TABLE,2,FALSE)</f>
        <v>#VALUE!</v>
      </c>
      <c r="E133" s="81">
        <v>4</v>
      </c>
      <c r="F133" s="76" t="e">
        <f>D133*E133</f>
        <v>#VALUE!</v>
      </c>
      <c r="G133" s="77" t="e">
        <f>C133</f>
        <v>#VALUE!</v>
      </c>
      <c r="H133" s="77" t="e">
        <f>F133*G133</f>
        <v>#VALUE!</v>
      </c>
      <c r="I133" s="495" t="s">
        <v>97</v>
      </c>
      <c r="J133" s="496"/>
      <c r="K133" s="78" t="s">
        <v>98</v>
      </c>
      <c r="L133" s="78"/>
      <c r="M133" s="7" t="s">
        <v>99</v>
      </c>
      <c r="N133" s="7"/>
      <c r="O133" s="99">
        <f>O132+1</f>
        <v>22</v>
      </c>
      <c r="P133" s="99" t="str">
        <f t="shared" si="65"/>
        <v xml:space="preserve">  </v>
      </c>
      <c r="Q133" s="76" t="str">
        <f>P133</f>
        <v xml:space="preserve">  </v>
      </c>
      <c r="R133" s="77" t="str">
        <f>VLOOKUP(Q133,STN_TABLE,2,FALSE)</f>
        <v xml:space="preserve">  </v>
      </c>
      <c r="S133" s="77">
        <v>8</v>
      </c>
      <c r="T133" s="76" t="e">
        <f>R133*S133</f>
        <v>#VALUE!</v>
      </c>
      <c r="U133" s="80">
        <v>10</v>
      </c>
      <c r="V133" s="76" t="e">
        <f>R133*U133</f>
        <v>#VALUE!</v>
      </c>
      <c r="W133" s="496" t="s">
        <v>97</v>
      </c>
      <c r="X133" s="496"/>
      <c r="Y133" s="496" t="s">
        <v>98</v>
      </c>
      <c r="Z133" s="496"/>
      <c r="AA133" s="494" t="s">
        <v>99</v>
      </c>
      <c r="AB133" s="494"/>
      <c r="AC133" s="99">
        <f>AC128+1</f>
        <v>21</v>
      </c>
      <c r="AD133" s="95" t="str">
        <f>VLOOKUP(AC133,STN_TABLE_2,2,FALSE)</f>
        <v xml:space="preserve">  </v>
      </c>
      <c r="AE133" s="68" t="str">
        <f>VLOOKUP(AD133,STN_TABLE,2,FALSE)</f>
        <v xml:space="preserve">  </v>
      </c>
      <c r="AF133" s="68">
        <v>1</v>
      </c>
      <c r="AG133" s="69" t="e">
        <f>AE133*AF133</f>
        <v>#VALUE!</v>
      </c>
      <c r="AH133" s="496" t="s">
        <v>97</v>
      </c>
      <c r="AI133" s="496"/>
      <c r="AJ133" s="496" t="s">
        <v>98</v>
      </c>
      <c r="AK133" s="496"/>
      <c r="AL133" s="494" t="s">
        <v>99</v>
      </c>
      <c r="AM133" s="494"/>
      <c r="AP133" s="86" t="s">
        <v>112</v>
      </c>
      <c r="AQ133" s="89" t="s">
        <v>113</v>
      </c>
      <c r="AR133" s="89" t="s">
        <v>114</v>
      </c>
      <c r="AS133" s="89" t="s">
        <v>115</v>
      </c>
      <c r="AU133" s="81"/>
    </row>
    <row r="134" spans="1:47" x14ac:dyDescent="0.25">
      <c r="A134" s="84">
        <f>A133+1</f>
        <v>21</v>
      </c>
      <c r="B134" s="84" t="str">
        <f t="shared" si="48"/>
        <v xml:space="preserve">  </v>
      </c>
      <c r="C134" s="88" t="str">
        <f t="shared" ref="C134" si="67">B135</f>
        <v xml:space="preserve">  </v>
      </c>
      <c r="D134" s="82" t="str">
        <f>VLOOKUP(C134,STN_TABLE,2,FALSE)</f>
        <v xml:space="preserve">  </v>
      </c>
      <c r="E134" s="92">
        <v>1</v>
      </c>
      <c r="F134" s="82" t="e">
        <f>D134*E134</f>
        <v>#VALUE!</v>
      </c>
      <c r="G134" s="83" t="str">
        <f>C134</f>
        <v xml:space="preserve">  </v>
      </c>
      <c r="H134" s="83" t="e">
        <f>F134*G134</f>
        <v>#VALUE!</v>
      </c>
      <c r="I134" s="84" t="str">
        <f>CONCATENATE("a'(",C134,")=")</f>
        <v>a'(  )=</v>
      </c>
      <c r="J134" s="84" t="e">
        <f>2*J132/3*F135</f>
        <v>#VALUE!</v>
      </c>
      <c r="K134" s="84" t="e">
        <f>CONCATENATE("A(",C132,")=")</f>
        <v>#VALUE!</v>
      </c>
      <c r="L134" s="84" t="e">
        <f>VLOOKUP(C132,STN_TABLE,3,FALSE)</f>
        <v>#VALUE!</v>
      </c>
      <c r="M134" t="str">
        <f>CONCATENATE("A(",C134,")=")</f>
        <v>A(  )=</v>
      </c>
      <c r="N134" t="e">
        <f>J134+L134</f>
        <v>#VALUE!</v>
      </c>
      <c r="O134" s="99">
        <f>O133+1</f>
        <v>23</v>
      </c>
      <c r="P134" s="99" t="str">
        <f t="shared" si="65"/>
        <v xml:space="preserve">  </v>
      </c>
      <c r="Q134" s="82" t="e">
        <f>IF(P134-P133=P133-P132,P134,IF(P135-P133=P133-P132,P135,IF(P134-P133=P133-P131,P134,IF(P135-P133=P133-P131,P135,"-"))))</f>
        <v>#VALUE!</v>
      </c>
      <c r="R134" s="83" t="e">
        <f>VLOOKUP(Q134,STN_TABLE,2,FALSE)</f>
        <v>#VALUE!</v>
      </c>
      <c r="S134" s="83">
        <v>-1</v>
      </c>
      <c r="T134" s="82" t="e">
        <f>R134*S134</f>
        <v>#VALUE!</v>
      </c>
      <c r="U134" s="88">
        <v>-1</v>
      </c>
      <c r="V134" s="82" t="e">
        <f>R134*U134</f>
        <v>#VALUE!</v>
      </c>
      <c r="W134" s="84" t="str">
        <f>CONCATENATE("a'(",Q133,")=")</f>
        <v>a'(  )=</v>
      </c>
      <c r="X134" s="84" t="e">
        <f>2*X132/12*T135</f>
        <v>#VALUE!</v>
      </c>
      <c r="Y134" s="84" t="e">
        <f>CONCATENATE("A(",Q132,")=")</f>
        <v>#VALUE!</v>
      </c>
      <c r="Z134" s="84" t="e">
        <f>VLOOKUP(Q132,STN_TABLE,3,FALSE)</f>
        <v>#VALUE!</v>
      </c>
      <c r="AA134" t="str">
        <f>CONCATENATE("A(",Q133,")=")</f>
        <v>A(  )=</v>
      </c>
      <c r="AB134" t="e">
        <f>X134+Z134</f>
        <v>#VALUE!</v>
      </c>
      <c r="AC134" s="99">
        <f>AC133+1</f>
        <v>22</v>
      </c>
      <c r="AD134" s="100" t="str">
        <f>VLOOKUP(AC134,STN_TABLE_2,2,FALSE)</f>
        <v xml:space="preserve">  </v>
      </c>
      <c r="AE134" s="82" t="str">
        <f>VLOOKUP(AD134,STN_TABLE,2,FALSE)</f>
        <v xml:space="preserve">  </v>
      </c>
      <c r="AF134" s="82">
        <v>2</v>
      </c>
      <c r="AG134" s="83" t="e">
        <f>AE134*AF134</f>
        <v>#VALUE!</v>
      </c>
      <c r="AH134" s="84" t="str">
        <f>CONCATENATE("a'(",AD134,")=")</f>
        <v>a'(  )=</v>
      </c>
      <c r="AI134" s="84" t="e">
        <f>2*AI132/2*AE135</f>
        <v>#VALUE!</v>
      </c>
      <c r="AJ134" s="84" t="str">
        <f>CONCATENATE("A(",AD133,")=")</f>
        <v>A(  )=</v>
      </c>
      <c r="AK134" s="84" t="str">
        <f>VLOOKUP(AD133,STN_TABLE,3,FALSE)</f>
        <v xml:space="preserve"> </v>
      </c>
      <c r="AL134" t="str">
        <f>CONCATENATE("A(",AD134,")=")</f>
        <v>A(  )=</v>
      </c>
      <c r="AM134" t="e">
        <f>AI134+AK134</f>
        <v>#VALUE!</v>
      </c>
      <c r="AO134" s="68" t="str">
        <f>AA134</f>
        <v>A(  )=</v>
      </c>
      <c r="AP134" s="68" t="e">
        <f>VLOOKUP(AO134,Rise_Results,2,FALSE)</f>
        <v>#N/A</v>
      </c>
      <c r="AQ134" s="76" t="e">
        <f>N134</f>
        <v>#VALUE!</v>
      </c>
      <c r="AR134" s="76" t="e">
        <f>IF(OR(AB134&lt;=0,AB135&lt;=0),1/0,AB134)</f>
        <v>#VALUE!</v>
      </c>
      <c r="AS134" s="76" t="e">
        <f>AM134</f>
        <v>#VALUE!</v>
      </c>
      <c r="AT134" t="e">
        <f>IFERROR(AP134,IFERROR(AQ134,IFERROR(AR134,AS134)))</f>
        <v>#VALUE!</v>
      </c>
      <c r="AU134" s="81"/>
    </row>
    <row r="135" spans="1:47" x14ac:dyDescent="0.25">
      <c r="A135" s="84">
        <f>A134+1</f>
        <v>22</v>
      </c>
      <c r="B135" s="84" t="str">
        <f t="shared" si="48"/>
        <v xml:space="preserve">  </v>
      </c>
      <c r="F135" s="82" t="e">
        <f>SUM(F132:F134)</f>
        <v>#VALUE!</v>
      </c>
      <c r="H135" s="82" t="e">
        <f>SUM(H132:H134)</f>
        <v>#VALUE!</v>
      </c>
      <c r="I135" s="84" t="str">
        <f>CONCATENATE("m'(",C134,")=")</f>
        <v>m'(  )=</v>
      </c>
      <c r="J135" s="84" t="e">
        <f>2*(J132*(WLS))/3*H135</f>
        <v>#VALUE!</v>
      </c>
      <c r="K135" s="84" t="e">
        <f>CONCATENATE("M(",C132,")=")</f>
        <v>#VALUE!</v>
      </c>
      <c r="L135" s="84" t="e">
        <f>VLOOKUP(C132,STN_TABLE,4,FALSE)</f>
        <v>#VALUE!</v>
      </c>
      <c r="M135" t="str">
        <f>CONCATENATE("M(",C134,")=")</f>
        <v>M(  )=</v>
      </c>
      <c r="N135" t="e">
        <f>J135+L135</f>
        <v>#VALUE!</v>
      </c>
      <c r="O135" s="99">
        <f>O134+1</f>
        <v>24</v>
      </c>
      <c r="P135" s="99" t="str">
        <f t="shared" si="65"/>
        <v xml:space="preserve">  </v>
      </c>
      <c r="T135" s="89" t="e">
        <f>SUM(T132:T134)</f>
        <v>#VALUE!</v>
      </c>
      <c r="V135" s="82" t="e">
        <f>SUM(V132:V134)</f>
        <v>#VALUE!</v>
      </c>
      <c r="W135" s="84" t="str">
        <f>CONCATENATE("m'(",Q133,")=")</f>
        <v>m'(  )=</v>
      </c>
      <c r="X135" s="84" t="e">
        <f>(2*(X132^2)/24*V135)+(X134*Q132*WLS)</f>
        <v>#VALUE!</v>
      </c>
      <c r="Y135" s="84" t="e">
        <f>CONCATENATE("M(",Q132,")=")</f>
        <v>#VALUE!</v>
      </c>
      <c r="Z135" s="84" t="e">
        <f>VLOOKUP(Q132,STN_TABLE,4,FALSE)</f>
        <v>#VALUE!</v>
      </c>
      <c r="AA135" t="str">
        <f>CONCATENATE("M(",Q133,")=")</f>
        <v>M(  )=</v>
      </c>
      <c r="AB135" t="e">
        <f>X135+Z135</f>
        <v>#VALUE!</v>
      </c>
      <c r="AE135" s="89">
        <f>SUM(AE133:AE134)</f>
        <v>0</v>
      </c>
      <c r="AG135" s="89" t="e">
        <f>SUM(AG133:AG134)</f>
        <v>#VALUE!</v>
      </c>
      <c r="AH135" s="84" t="str">
        <f>CONCATENATE("m'(",AD134,")=")</f>
        <v>m'(  )=</v>
      </c>
      <c r="AI135" s="84" t="e">
        <f>(2*(AI132^2)/6*AG135)+(AI134*AD133*WLS)</f>
        <v>#VALUE!</v>
      </c>
      <c r="AJ135" s="84" t="str">
        <f>CONCATENATE("M(",AD133,")=")</f>
        <v>M(  )=</v>
      </c>
      <c r="AK135" s="84" t="str">
        <f>VLOOKUP(AD133,STN_TABLE,4,FALSE)</f>
        <v xml:space="preserve"> </v>
      </c>
      <c r="AL135" t="str">
        <f>CONCATENATE("M(",AD134,")=")</f>
        <v>M(  )=</v>
      </c>
      <c r="AM135" t="e">
        <f>AI135+AK135</f>
        <v>#VALUE!</v>
      </c>
      <c r="AO135" s="82" t="str">
        <f>AA135</f>
        <v>M(  )=</v>
      </c>
      <c r="AP135" s="82" t="e">
        <f>VLOOKUP(AO135,Rise_Results,2,FALSE)</f>
        <v>#N/A</v>
      </c>
      <c r="AQ135" s="82" t="e">
        <f>N135</f>
        <v>#VALUE!</v>
      </c>
      <c r="AR135" s="82" t="e">
        <f>IF(OR(AB134&lt;=0,AB135&lt;=0),1/0,AB135)</f>
        <v>#VALUE!</v>
      </c>
      <c r="AS135" s="82" t="e">
        <f>AM135</f>
        <v>#VALUE!</v>
      </c>
      <c r="AT135" t="e">
        <f>IFERROR(AP135,IFERROR(AQ135,IFERROR(AR135,AS135)))</f>
        <v>#VALUE!</v>
      </c>
      <c r="AU135" s="81"/>
    </row>
    <row r="136" spans="1:47" x14ac:dyDescent="0.25">
      <c r="A136" s="101">
        <f>A131+1</f>
        <v>19</v>
      </c>
      <c r="B136" s="101" t="str">
        <f t="shared" si="48"/>
        <v xml:space="preserve">  </v>
      </c>
      <c r="O136" s="101">
        <f>O131+1</f>
        <v>21</v>
      </c>
      <c r="P136" s="101" t="str">
        <f t="shared" si="65"/>
        <v xml:space="preserve">  </v>
      </c>
      <c r="AU136" s="81"/>
    </row>
    <row r="137" spans="1:47" x14ac:dyDescent="0.25">
      <c r="A137" s="84">
        <f>A136+1</f>
        <v>20</v>
      </c>
      <c r="B137" s="84" t="str">
        <f t="shared" si="48"/>
        <v xml:space="preserve">  </v>
      </c>
      <c r="C137" s="79" t="e">
        <f t="shared" ref="C137" si="68">IF(C138=B139,IF(C139-C138=C138-B138,B138,IF(C139-C138=C138-B137,B137,"#NA")),IF(C138=B138,IF(C139-C138=C138-B137,B137,IF(C139-C138=C138-B136,B136,"#NA")),"#NA"))</f>
        <v>#VALUE!</v>
      </c>
      <c r="D137" s="68" t="e">
        <f>VLOOKUP(C137,STN_TABLE,2,FALSE)</f>
        <v>#VALUE!</v>
      </c>
      <c r="E137" s="102">
        <v>1</v>
      </c>
      <c r="F137" s="68" t="e">
        <f>D137*E137</f>
        <v>#VALUE!</v>
      </c>
      <c r="G137" s="69" t="e">
        <f>C137</f>
        <v>#VALUE!</v>
      </c>
      <c r="H137" s="69" t="e">
        <f>F137*G137</f>
        <v>#VALUE!</v>
      </c>
      <c r="I137" s="6" t="s">
        <v>93</v>
      </c>
      <c r="J137" s="70" t="e">
        <f>IF(OR(D137=0,D138=0,D139=0),"#NA",IF(AND(C139-C138=C138-C137,C138&lt;&gt;C139,C137&lt;&gt;C138,C137&lt;&gt;C139,D139&lt;&gt;0,OR(D137&lt;&gt;0,D138&lt;&gt;0)),WLS*(C139-C138),"#NA"))</f>
        <v>#VALUE!</v>
      </c>
      <c r="O137" s="99">
        <f>O136+1</f>
        <v>22</v>
      </c>
      <c r="P137" s="99" t="str">
        <f t="shared" si="65"/>
        <v xml:space="preserve">  </v>
      </c>
      <c r="Q137" s="68" t="e">
        <f>IF(OR(P139-P138=P138-P137,P140-P138=P138-P137),P137,IF(OR(P139-P138=P138-P136,P140-P138=P138-P136),P136,"-"))</f>
        <v>#VALUE!</v>
      </c>
      <c r="R137" s="69" t="e">
        <f>VLOOKUP(Q137,STN_TABLE,2,FALSE)</f>
        <v>#VALUE!</v>
      </c>
      <c r="S137" s="69">
        <v>5</v>
      </c>
      <c r="T137" s="68" t="e">
        <f>R137*S137</f>
        <v>#VALUE!</v>
      </c>
      <c r="U137" s="79">
        <v>3</v>
      </c>
      <c r="V137" s="68" t="e">
        <f>R137*U137</f>
        <v>#VALUE!</v>
      </c>
      <c r="W137" s="6" t="s">
        <v>93</v>
      </c>
      <c r="X137" s="70" t="e">
        <f>IF(AND(Q139-Q138=Q138-Q137,NOT(AND(Q137=0,Q138=0)),NOT(AND(Q138=0,Q139=0))),WLS*(Q139-Q138),"#NA")</f>
        <v>#VALUE!</v>
      </c>
      <c r="AD137" s="93"/>
      <c r="AH137" s="6" t="s">
        <v>93</v>
      </c>
      <c r="AI137" s="70" t="e">
        <f>WLS*(AD139-AD138)</f>
        <v>#VALUE!</v>
      </c>
      <c r="AU137" s="81"/>
    </row>
    <row r="138" spans="1:47" x14ac:dyDescent="0.25">
      <c r="A138" s="84">
        <f>A137+1</f>
        <v>21</v>
      </c>
      <c r="B138" s="84" t="str">
        <f t="shared" ref="B138:B150" si="69">VLOOKUP(A138,STN_TABLE_2,2,FALSE)</f>
        <v xml:space="preserve">  </v>
      </c>
      <c r="C138" s="80" t="e">
        <f t="shared" ref="C138" si="70">IF(OR(B140-B139=B139-B138,B140-B139=B139-B137,B140-B139=B139-B136),B139,IF(OR(B140-B138=B138-B137,B140-B138=B138-B136),B138,IF(B140-B137=B137-B136,B137,"#NA")))</f>
        <v>#VALUE!</v>
      </c>
      <c r="D138" s="76" t="e">
        <f>VLOOKUP(C138,STN_TABLE,2,FALSE)</f>
        <v>#VALUE!</v>
      </c>
      <c r="E138" s="81">
        <v>4</v>
      </c>
      <c r="F138" s="76" t="e">
        <f>D138*E138</f>
        <v>#VALUE!</v>
      </c>
      <c r="G138" s="77" t="e">
        <f>C138</f>
        <v>#VALUE!</v>
      </c>
      <c r="H138" s="77" t="e">
        <f>F138*G138</f>
        <v>#VALUE!</v>
      </c>
      <c r="I138" s="495" t="s">
        <v>97</v>
      </c>
      <c r="J138" s="496"/>
      <c r="K138" s="78" t="s">
        <v>98</v>
      </c>
      <c r="L138" s="78"/>
      <c r="M138" s="7" t="s">
        <v>99</v>
      </c>
      <c r="N138" s="7"/>
      <c r="O138" s="99">
        <f>O137+1</f>
        <v>23</v>
      </c>
      <c r="P138" s="99" t="str">
        <f t="shared" si="65"/>
        <v xml:space="preserve">  </v>
      </c>
      <c r="Q138" s="76" t="str">
        <f>P138</f>
        <v xml:space="preserve">  </v>
      </c>
      <c r="R138" s="77" t="str">
        <f>VLOOKUP(Q138,STN_TABLE,2,FALSE)</f>
        <v xml:space="preserve">  </v>
      </c>
      <c r="S138" s="77">
        <v>8</v>
      </c>
      <c r="T138" s="76" t="e">
        <f>R138*S138</f>
        <v>#VALUE!</v>
      </c>
      <c r="U138" s="80">
        <v>10</v>
      </c>
      <c r="V138" s="76" t="e">
        <f>R138*U138</f>
        <v>#VALUE!</v>
      </c>
      <c r="W138" s="496" t="s">
        <v>97</v>
      </c>
      <c r="X138" s="496"/>
      <c r="Y138" s="496" t="s">
        <v>98</v>
      </c>
      <c r="Z138" s="496"/>
      <c r="AA138" s="494" t="s">
        <v>99</v>
      </c>
      <c r="AB138" s="494"/>
      <c r="AC138" s="99">
        <f>AC133+1</f>
        <v>22</v>
      </c>
      <c r="AD138" s="95" t="str">
        <f>VLOOKUP(AC138,STN_TABLE_2,2,FALSE)</f>
        <v xml:space="preserve">  </v>
      </c>
      <c r="AE138" s="68" t="str">
        <f>VLOOKUP(AD138,STN_TABLE,2,FALSE)</f>
        <v xml:space="preserve">  </v>
      </c>
      <c r="AF138" s="68">
        <v>1</v>
      </c>
      <c r="AG138" s="69" t="e">
        <f>AE138*AF138</f>
        <v>#VALUE!</v>
      </c>
      <c r="AH138" s="496" t="s">
        <v>97</v>
      </c>
      <c r="AI138" s="496"/>
      <c r="AJ138" s="496" t="s">
        <v>98</v>
      </c>
      <c r="AK138" s="496"/>
      <c r="AL138" s="494" t="s">
        <v>99</v>
      </c>
      <c r="AM138" s="494"/>
      <c r="AP138" s="86" t="s">
        <v>112</v>
      </c>
      <c r="AQ138" s="89" t="s">
        <v>113</v>
      </c>
      <c r="AR138" s="89" t="s">
        <v>114</v>
      </c>
      <c r="AS138" s="89" t="s">
        <v>115</v>
      </c>
      <c r="AU138" s="81"/>
    </row>
    <row r="139" spans="1:47" x14ac:dyDescent="0.25">
      <c r="A139" s="84">
        <f>A138+1</f>
        <v>22</v>
      </c>
      <c r="B139" s="84" t="str">
        <f t="shared" si="69"/>
        <v xml:space="preserve">  </v>
      </c>
      <c r="C139" s="88" t="str">
        <f t="shared" ref="C139" si="71">B140</f>
        <v xml:space="preserve">  </v>
      </c>
      <c r="D139" s="82" t="str">
        <f>VLOOKUP(C139,STN_TABLE,2,FALSE)</f>
        <v xml:space="preserve">  </v>
      </c>
      <c r="E139" s="92">
        <v>1</v>
      </c>
      <c r="F139" s="82" t="e">
        <f>D139*E139</f>
        <v>#VALUE!</v>
      </c>
      <c r="G139" s="83" t="str">
        <f>C139</f>
        <v xml:space="preserve">  </v>
      </c>
      <c r="H139" s="83" t="e">
        <f>F139*G139</f>
        <v>#VALUE!</v>
      </c>
      <c r="I139" s="84" t="str">
        <f>CONCATENATE("a'(",C139,")=")</f>
        <v>a'(  )=</v>
      </c>
      <c r="J139" s="84" t="e">
        <f>2*J137/3*F140</f>
        <v>#VALUE!</v>
      </c>
      <c r="K139" s="84" t="e">
        <f>CONCATENATE("A(",C137,")=")</f>
        <v>#VALUE!</v>
      </c>
      <c r="L139" s="84" t="e">
        <f>VLOOKUP(C137,STN_TABLE,3,FALSE)</f>
        <v>#VALUE!</v>
      </c>
      <c r="M139" t="str">
        <f>CONCATENATE("A(",C139,")=")</f>
        <v>A(  )=</v>
      </c>
      <c r="N139" t="e">
        <f>J139+L139</f>
        <v>#VALUE!</v>
      </c>
      <c r="O139" s="99">
        <f>O138+1</f>
        <v>24</v>
      </c>
      <c r="P139" s="99" t="str">
        <f t="shared" si="65"/>
        <v xml:space="preserve">  </v>
      </c>
      <c r="Q139" s="82" t="e">
        <f>IF(P139-P138=P138-P137,P139,IF(P140-P138=P138-P137,P140,IF(P139-P138=P138-P136,P139,IF(P140-P138=P138-P136,P140,"-"))))</f>
        <v>#VALUE!</v>
      </c>
      <c r="R139" s="83" t="e">
        <f>VLOOKUP(Q139,STN_TABLE,2,FALSE)</f>
        <v>#VALUE!</v>
      </c>
      <c r="S139" s="83">
        <v>-1</v>
      </c>
      <c r="T139" s="82" t="e">
        <f>R139*S139</f>
        <v>#VALUE!</v>
      </c>
      <c r="U139" s="88">
        <v>-1</v>
      </c>
      <c r="V139" s="82" t="e">
        <f>R139*U139</f>
        <v>#VALUE!</v>
      </c>
      <c r="W139" s="84" t="str">
        <f>CONCATENATE("a'(",Q138,")=")</f>
        <v>a'(  )=</v>
      </c>
      <c r="X139" s="84" t="e">
        <f>2*X137/12*T140</f>
        <v>#VALUE!</v>
      </c>
      <c r="Y139" s="84" t="e">
        <f>CONCATENATE("A(",Q137,")=")</f>
        <v>#VALUE!</v>
      </c>
      <c r="Z139" s="84" t="e">
        <f>VLOOKUP(Q137,STN_TABLE,3,FALSE)</f>
        <v>#VALUE!</v>
      </c>
      <c r="AA139" t="str">
        <f>CONCATENATE("A(",Q138,")=")</f>
        <v>A(  )=</v>
      </c>
      <c r="AB139" t="e">
        <f>X139+Z139</f>
        <v>#VALUE!</v>
      </c>
      <c r="AC139" s="99">
        <f>AC138+1</f>
        <v>23</v>
      </c>
      <c r="AD139" s="100" t="str">
        <f>VLOOKUP(AC139,STN_TABLE_2,2,FALSE)</f>
        <v xml:space="preserve">  </v>
      </c>
      <c r="AE139" s="82" t="str">
        <f>VLOOKUP(AD139,STN_TABLE,2,FALSE)</f>
        <v xml:space="preserve">  </v>
      </c>
      <c r="AF139" s="82">
        <v>2</v>
      </c>
      <c r="AG139" s="83" t="e">
        <f>AE139*AF139</f>
        <v>#VALUE!</v>
      </c>
      <c r="AH139" s="84" t="str">
        <f>CONCATENATE("a'(",AD139,")=")</f>
        <v>a'(  )=</v>
      </c>
      <c r="AI139" s="84" t="e">
        <f>2*AI137/2*AE140</f>
        <v>#VALUE!</v>
      </c>
      <c r="AJ139" s="84" t="str">
        <f>CONCATENATE("A(",AD138,")=")</f>
        <v>A(  )=</v>
      </c>
      <c r="AK139" s="84" t="str">
        <f>VLOOKUP(AD138,STN_TABLE,3,FALSE)</f>
        <v xml:space="preserve"> </v>
      </c>
      <c r="AL139" t="str">
        <f>CONCATENATE("A(",AD139,")=")</f>
        <v>A(  )=</v>
      </c>
      <c r="AM139" t="e">
        <f>AI139+AK139</f>
        <v>#VALUE!</v>
      </c>
      <c r="AO139" s="68" t="str">
        <f>AA139</f>
        <v>A(  )=</v>
      </c>
      <c r="AP139" s="68" t="e">
        <f>VLOOKUP(AO139,Rise_Results,2,FALSE)</f>
        <v>#N/A</v>
      </c>
      <c r="AQ139" s="76" t="e">
        <f>N139</f>
        <v>#VALUE!</v>
      </c>
      <c r="AR139" s="76" t="e">
        <f>IF(OR(AB139&lt;=0,AB140&lt;=0),1/0,AB139)</f>
        <v>#VALUE!</v>
      </c>
      <c r="AS139" s="76" t="e">
        <f>AM139</f>
        <v>#VALUE!</v>
      </c>
      <c r="AT139" t="e">
        <f>IFERROR(AP139,IFERROR(AQ139,IFERROR(AR139,AS139)))</f>
        <v>#VALUE!</v>
      </c>
      <c r="AU139" s="81"/>
    </row>
    <row r="140" spans="1:47" x14ac:dyDescent="0.25">
      <c r="A140" s="84">
        <f>A139+1</f>
        <v>23</v>
      </c>
      <c r="B140" s="84" t="str">
        <f t="shared" si="69"/>
        <v xml:space="preserve">  </v>
      </c>
      <c r="F140" s="82" t="e">
        <f>SUM(F137:F139)</f>
        <v>#VALUE!</v>
      </c>
      <c r="H140" s="82" t="e">
        <f>SUM(H137:H139)</f>
        <v>#VALUE!</v>
      </c>
      <c r="I140" s="84" t="str">
        <f>CONCATENATE("m'(",C139,")=")</f>
        <v>m'(  )=</v>
      </c>
      <c r="J140" s="84" t="e">
        <f>2*(J137*(WLS))/3*H140</f>
        <v>#VALUE!</v>
      </c>
      <c r="K140" s="84" t="e">
        <f>CONCATENATE("M(",C137,")=")</f>
        <v>#VALUE!</v>
      </c>
      <c r="L140" s="84" t="e">
        <f>VLOOKUP(C137,STN_TABLE,4,FALSE)</f>
        <v>#VALUE!</v>
      </c>
      <c r="M140" t="str">
        <f>CONCATENATE("M(",C139,")=")</f>
        <v>M(  )=</v>
      </c>
      <c r="N140" t="e">
        <f>J140+L140</f>
        <v>#VALUE!</v>
      </c>
      <c r="O140" s="99">
        <f>O139+1</f>
        <v>25</v>
      </c>
      <c r="P140" s="99" t="str">
        <f t="shared" si="65"/>
        <v xml:space="preserve">  </v>
      </c>
      <c r="T140" s="89" t="e">
        <f>SUM(T137:T139)</f>
        <v>#VALUE!</v>
      </c>
      <c r="V140" s="82" t="e">
        <f>SUM(V137:V139)</f>
        <v>#VALUE!</v>
      </c>
      <c r="W140" s="84" t="str">
        <f>CONCATENATE("m'(",Q138,")=")</f>
        <v>m'(  )=</v>
      </c>
      <c r="X140" s="84" t="e">
        <f>(2*(X137^2)/24*V140)+(X139*Q137*WLS)</f>
        <v>#VALUE!</v>
      </c>
      <c r="Y140" s="84" t="e">
        <f>CONCATENATE("M(",Q137,")=")</f>
        <v>#VALUE!</v>
      </c>
      <c r="Z140" s="84" t="e">
        <f>VLOOKUP(Q137,STN_TABLE,4,FALSE)</f>
        <v>#VALUE!</v>
      </c>
      <c r="AA140" t="str">
        <f>CONCATENATE("M(",Q138,")=")</f>
        <v>M(  )=</v>
      </c>
      <c r="AB140" t="e">
        <f>X140+Z140</f>
        <v>#VALUE!</v>
      </c>
      <c r="AE140" s="89">
        <f>SUM(AE138:AE139)</f>
        <v>0</v>
      </c>
      <c r="AG140" s="89" t="e">
        <f>SUM(AG138:AG139)</f>
        <v>#VALUE!</v>
      </c>
      <c r="AH140" s="84" t="str">
        <f>CONCATENATE("m'(",AD139,")=")</f>
        <v>m'(  )=</v>
      </c>
      <c r="AI140" s="84" t="e">
        <f>(2*(AI137^2)/6*AG140)+(AI139*AD138*WLS)</f>
        <v>#VALUE!</v>
      </c>
      <c r="AJ140" s="84" t="str">
        <f>CONCATENATE("M(",AD138,")=")</f>
        <v>M(  )=</v>
      </c>
      <c r="AK140" s="84" t="str">
        <f>VLOOKUP(AD138,STN_TABLE,4,FALSE)</f>
        <v xml:space="preserve"> </v>
      </c>
      <c r="AL140" t="str">
        <f>CONCATENATE("M(",AD139,")=")</f>
        <v>M(  )=</v>
      </c>
      <c r="AM140" t="e">
        <f>AI140+AK140</f>
        <v>#VALUE!</v>
      </c>
      <c r="AO140" s="82" t="str">
        <f>AA140</f>
        <v>M(  )=</v>
      </c>
      <c r="AP140" s="82" t="e">
        <f>VLOOKUP(AO140,Rise_Results,2,FALSE)</f>
        <v>#N/A</v>
      </c>
      <c r="AQ140" s="82" t="e">
        <f>N140</f>
        <v>#VALUE!</v>
      </c>
      <c r="AR140" s="82" t="e">
        <f>IF(OR(AB139&lt;=0,AB140&lt;=0),1/0,AB140)</f>
        <v>#VALUE!</v>
      </c>
      <c r="AS140" s="82" t="e">
        <f>AM140</f>
        <v>#VALUE!</v>
      </c>
      <c r="AT140" t="e">
        <f>IFERROR(AP140,IFERROR(AQ140,IFERROR(AR140,AS140)))</f>
        <v>#VALUE!</v>
      </c>
      <c r="AU140" s="81"/>
    </row>
    <row r="141" spans="1:47" x14ac:dyDescent="0.25">
      <c r="A141" s="101">
        <f>A136+1</f>
        <v>20</v>
      </c>
      <c r="B141" s="101" t="str">
        <f t="shared" si="69"/>
        <v xml:space="preserve">  </v>
      </c>
      <c r="O141" s="101">
        <f>O136+1</f>
        <v>22</v>
      </c>
      <c r="P141" s="101" t="str">
        <f t="shared" si="65"/>
        <v xml:space="preserve">  </v>
      </c>
      <c r="AU141" s="81"/>
    </row>
    <row r="142" spans="1:47" x14ac:dyDescent="0.25">
      <c r="A142" s="84">
        <f>A141+1</f>
        <v>21</v>
      </c>
      <c r="B142" s="84" t="str">
        <f t="shared" si="69"/>
        <v xml:space="preserve">  </v>
      </c>
      <c r="C142" s="79" t="e">
        <f t="shared" ref="C142" si="72">IF(C143=B144,IF(C144-C143=C143-B143,B143,IF(C144-C143=C143-B142,B142,"#NA")),IF(C143=B143,IF(C144-C143=C143-B142,B142,IF(C144-C143=C143-B141,B141,"#NA")),"#NA"))</f>
        <v>#VALUE!</v>
      </c>
      <c r="D142" s="68" t="e">
        <f>VLOOKUP(C142,STN_TABLE,2,FALSE)</f>
        <v>#VALUE!</v>
      </c>
      <c r="E142" s="102">
        <v>1</v>
      </c>
      <c r="F142" s="68" t="e">
        <f>D142*E142</f>
        <v>#VALUE!</v>
      </c>
      <c r="G142" s="69" t="e">
        <f>C142</f>
        <v>#VALUE!</v>
      </c>
      <c r="H142" s="69" t="e">
        <f>F142*G142</f>
        <v>#VALUE!</v>
      </c>
      <c r="I142" s="6" t="s">
        <v>93</v>
      </c>
      <c r="J142" s="70" t="e">
        <f>IF(OR(D142=0,D143=0,D144=0),"#NA",IF(AND(C144-C143=C143-C142,C143&lt;&gt;C144,C142&lt;&gt;C143,C142&lt;&gt;C144,D144&lt;&gt;0,OR(D142&lt;&gt;0,D143&lt;&gt;0)),WLS*(C144-C143),"#NA"))</f>
        <v>#VALUE!</v>
      </c>
      <c r="O142" s="99">
        <f>O141+1</f>
        <v>23</v>
      </c>
      <c r="P142" s="99" t="str">
        <f t="shared" si="65"/>
        <v xml:space="preserve">  </v>
      </c>
      <c r="Q142" s="68" t="e">
        <f>IF(OR(P144-P143=P143-P142,P145-P143=P143-P142),P142,IF(OR(P144-P143=P143-P141,P145-P143=P143-P141),P141,"-"))</f>
        <v>#VALUE!</v>
      </c>
      <c r="R142" s="69" t="e">
        <f>VLOOKUP(Q142,STN_TABLE,2,FALSE)</f>
        <v>#VALUE!</v>
      </c>
      <c r="S142" s="69">
        <v>5</v>
      </c>
      <c r="T142" s="68" t="e">
        <f>R142*S142</f>
        <v>#VALUE!</v>
      </c>
      <c r="U142" s="79">
        <v>3</v>
      </c>
      <c r="V142" s="68" t="e">
        <f>R142*U142</f>
        <v>#VALUE!</v>
      </c>
      <c r="W142" s="6" t="s">
        <v>93</v>
      </c>
      <c r="X142" s="70" t="e">
        <f>IF(AND(Q144-Q143=Q143-Q142,NOT(AND(Q142=0,Q143=0)),NOT(AND(Q143=0,Q144=0))),WLS*(Q144-Q143),"#NA")</f>
        <v>#VALUE!</v>
      </c>
      <c r="AD142" s="93"/>
      <c r="AH142" s="6" t="s">
        <v>93</v>
      </c>
      <c r="AI142" s="70" t="e">
        <f>WLS*(AD144-AD143)</f>
        <v>#VALUE!</v>
      </c>
      <c r="AU142" s="81"/>
    </row>
    <row r="143" spans="1:47" x14ac:dyDescent="0.25">
      <c r="A143" s="84">
        <f>A142+1</f>
        <v>22</v>
      </c>
      <c r="B143" s="84" t="str">
        <f t="shared" si="69"/>
        <v xml:space="preserve">  </v>
      </c>
      <c r="C143" s="80" t="e">
        <f t="shared" ref="C143" si="73">IF(OR(B145-B144=B144-B143,B145-B144=B144-B142,B145-B144=B144-B141),B144,IF(OR(B145-B143=B143-B142,B145-B143=B143-B141),B143,IF(B145-B142=B142-B141,B142,"#NA")))</f>
        <v>#VALUE!</v>
      </c>
      <c r="D143" s="76" t="e">
        <f>VLOOKUP(C143,STN_TABLE,2,FALSE)</f>
        <v>#VALUE!</v>
      </c>
      <c r="E143" s="81">
        <v>4</v>
      </c>
      <c r="F143" s="76" t="e">
        <f>D143*E143</f>
        <v>#VALUE!</v>
      </c>
      <c r="G143" s="77" t="e">
        <f>C143</f>
        <v>#VALUE!</v>
      </c>
      <c r="H143" s="77" t="e">
        <f>F143*G143</f>
        <v>#VALUE!</v>
      </c>
      <c r="I143" s="495" t="s">
        <v>97</v>
      </c>
      <c r="J143" s="496"/>
      <c r="K143" s="78" t="s">
        <v>98</v>
      </c>
      <c r="L143" s="78"/>
      <c r="M143" s="7" t="s">
        <v>99</v>
      </c>
      <c r="N143" s="7"/>
      <c r="O143" s="99">
        <f>O142+1</f>
        <v>24</v>
      </c>
      <c r="P143" s="99" t="str">
        <f t="shared" si="65"/>
        <v xml:space="preserve">  </v>
      </c>
      <c r="Q143" s="76" t="str">
        <f>P143</f>
        <v xml:space="preserve">  </v>
      </c>
      <c r="R143" s="77" t="str">
        <f>VLOOKUP(Q143,STN_TABLE,2,FALSE)</f>
        <v xml:space="preserve">  </v>
      </c>
      <c r="S143" s="77">
        <v>8</v>
      </c>
      <c r="T143" s="76" t="e">
        <f>R143*S143</f>
        <v>#VALUE!</v>
      </c>
      <c r="U143" s="80">
        <v>10</v>
      </c>
      <c r="V143" s="76" t="e">
        <f>R143*U143</f>
        <v>#VALUE!</v>
      </c>
      <c r="W143" s="496" t="s">
        <v>97</v>
      </c>
      <c r="X143" s="496"/>
      <c r="Y143" s="496" t="s">
        <v>98</v>
      </c>
      <c r="Z143" s="496"/>
      <c r="AA143" s="494" t="s">
        <v>99</v>
      </c>
      <c r="AB143" s="494"/>
      <c r="AC143" s="99">
        <f>AC138+1</f>
        <v>23</v>
      </c>
      <c r="AD143" s="95" t="str">
        <f>VLOOKUP(AC143,STN_TABLE_2,2,FALSE)</f>
        <v xml:space="preserve">  </v>
      </c>
      <c r="AE143" s="68" t="str">
        <f>VLOOKUP(AD143,STN_TABLE,2,FALSE)</f>
        <v xml:space="preserve">  </v>
      </c>
      <c r="AF143" s="68">
        <v>1</v>
      </c>
      <c r="AG143" s="69" t="e">
        <f>AE143*AF143</f>
        <v>#VALUE!</v>
      </c>
      <c r="AH143" s="496" t="s">
        <v>97</v>
      </c>
      <c r="AI143" s="496"/>
      <c r="AJ143" s="496" t="s">
        <v>98</v>
      </c>
      <c r="AK143" s="496"/>
      <c r="AL143" s="494" t="s">
        <v>99</v>
      </c>
      <c r="AM143" s="494"/>
      <c r="AP143" s="86" t="s">
        <v>112</v>
      </c>
      <c r="AQ143" s="89" t="s">
        <v>113</v>
      </c>
      <c r="AR143" s="89" t="s">
        <v>114</v>
      </c>
      <c r="AS143" s="89" t="s">
        <v>115</v>
      </c>
      <c r="AU143" s="81"/>
    </row>
    <row r="144" spans="1:47" x14ac:dyDescent="0.25">
      <c r="A144" s="84">
        <f>A143+1</f>
        <v>23</v>
      </c>
      <c r="B144" s="84" t="str">
        <f t="shared" si="69"/>
        <v xml:space="preserve">  </v>
      </c>
      <c r="C144" s="88" t="str">
        <f t="shared" ref="C144" si="74">B145</f>
        <v xml:space="preserve">  </v>
      </c>
      <c r="D144" s="82" t="str">
        <f>VLOOKUP(C144,STN_TABLE,2,FALSE)</f>
        <v xml:space="preserve">  </v>
      </c>
      <c r="E144" s="92">
        <v>1</v>
      </c>
      <c r="F144" s="82" t="e">
        <f>D144*E144</f>
        <v>#VALUE!</v>
      </c>
      <c r="G144" s="83" t="str">
        <f>C144</f>
        <v xml:space="preserve">  </v>
      </c>
      <c r="H144" s="83" t="e">
        <f>F144*G144</f>
        <v>#VALUE!</v>
      </c>
      <c r="I144" s="84" t="str">
        <f>CONCATENATE("a'(",C144,")=")</f>
        <v>a'(  )=</v>
      </c>
      <c r="J144" s="84" t="e">
        <f>2*J142/3*F145</f>
        <v>#VALUE!</v>
      </c>
      <c r="K144" s="84" t="e">
        <f>CONCATENATE("A(",C142,")=")</f>
        <v>#VALUE!</v>
      </c>
      <c r="L144" s="84" t="e">
        <f>VLOOKUP(C142,STN_TABLE,3,FALSE)</f>
        <v>#VALUE!</v>
      </c>
      <c r="M144" t="str">
        <f>CONCATENATE("A(",C144,")=")</f>
        <v>A(  )=</v>
      </c>
      <c r="N144" t="e">
        <f>J144+L144</f>
        <v>#VALUE!</v>
      </c>
      <c r="O144" s="99">
        <f>O143+1</f>
        <v>25</v>
      </c>
      <c r="P144" s="99" t="str">
        <f t="shared" si="65"/>
        <v xml:space="preserve">  </v>
      </c>
      <c r="Q144" s="82" t="e">
        <f>IF(P144-P143=P143-P142,P144,IF(P145-P143=P143-P142,P145,IF(P144-P143=P143-P141,P144,IF(P145-P143=P143-P141,P145,"-"))))</f>
        <v>#VALUE!</v>
      </c>
      <c r="R144" s="83" t="e">
        <f>VLOOKUP(Q144,STN_TABLE,2,FALSE)</f>
        <v>#VALUE!</v>
      </c>
      <c r="S144" s="83">
        <v>-1</v>
      </c>
      <c r="T144" s="82" t="e">
        <f>R144*S144</f>
        <v>#VALUE!</v>
      </c>
      <c r="U144" s="88">
        <v>-1</v>
      </c>
      <c r="V144" s="82" t="e">
        <f>R144*U144</f>
        <v>#VALUE!</v>
      </c>
      <c r="W144" s="84" t="str">
        <f>CONCATENATE("a'(",Q143,")=")</f>
        <v>a'(  )=</v>
      </c>
      <c r="X144" s="84" t="e">
        <f>2*X142/12*T145</f>
        <v>#VALUE!</v>
      </c>
      <c r="Y144" s="84" t="e">
        <f>CONCATENATE("A(",Q142,")=")</f>
        <v>#VALUE!</v>
      </c>
      <c r="Z144" s="84" t="e">
        <f>VLOOKUP(Q142,STN_TABLE,3,FALSE)</f>
        <v>#VALUE!</v>
      </c>
      <c r="AA144" t="str">
        <f>CONCATENATE("A(",Q143,")=")</f>
        <v>A(  )=</v>
      </c>
      <c r="AB144" t="e">
        <f>X144+Z144</f>
        <v>#VALUE!</v>
      </c>
      <c r="AC144" s="99">
        <f>AC143+1</f>
        <v>24</v>
      </c>
      <c r="AD144" s="100" t="str">
        <f>VLOOKUP(AC144,STN_TABLE_2,2,FALSE)</f>
        <v xml:space="preserve">  </v>
      </c>
      <c r="AE144" s="82" t="str">
        <f>VLOOKUP(AD144,STN_TABLE,2,FALSE)</f>
        <v xml:space="preserve">  </v>
      </c>
      <c r="AF144" s="82">
        <v>2</v>
      </c>
      <c r="AG144" s="83" t="e">
        <f>AE144*AF144</f>
        <v>#VALUE!</v>
      </c>
      <c r="AH144" s="84" t="str">
        <f>CONCATENATE("a'(",AD144,")=")</f>
        <v>a'(  )=</v>
      </c>
      <c r="AI144" s="84" t="e">
        <f>2*AI142/2*AE145</f>
        <v>#VALUE!</v>
      </c>
      <c r="AJ144" s="84" t="str">
        <f>CONCATENATE("A(",AD143,")=")</f>
        <v>A(  )=</v>
      </c>
      <c r="AK144" s="84" t="str">
        <f>VLOOKUP(AD143,STN_TABLE,3,FALSE)</f>
        <v xml:space="preserve"> </v>
      </c>
      <c r="AL144" t="str">
        <f>CONCATENATE("A(",AD144,")=")</f>
        <v>A(  )=</v>
      </c>
      <c r="AM144" t="e">
        <f>AI144+AK144</f>
        <v>#VALUE!</v>
      </c>
      <c r="AO144" s="68" t="str">
        <f>AA144</f>
        <v>A(  )=</v>
      </c>
      <c r="AP144" s="68" t="e">
        <f>VLOOKUP(AO144,Rise_Results,2,FALSE)</f>
        <v>#N/A</v>
      </c>
      <c r="AQ144" s="76" t="e">
        <f>N144</f>
        <v>#VALUE!</v>
      </c>
      <c r="AR144" s="76" t="e">
        <f>IF(OR(AB144&lt;=0,AB145&lt;=0),1/0,AB144)</f>
        <v>#VALUE!</v>
      </c>
      <c r="AS144" s="76" t="e">
        <f>AM144</f>
        <v>#VALUE!</v>
      </c>
      <c r="AT144" t="e">
        <f>IFERROR(AP144,IFERROR(AQ144,IFERROR(AR144,AS144)))</f>
        <v>#VALUE!</v>
      </c>
      <c r="AU144" s="81"/>
    </row>
    <row r="145" spans="1:47" x14ac:dyDescent="0.25">
      <c r="A145" s="84">
        <f>A144+1</f>
        <v>24</v>
      </c>
      <c r="B145" s="84" t="str">
        <f t="shared" si="69"/>
        <v xml:space="preserve">  </v>
      </c>
      <c r="F145" s="82" t="e">
        <f>SUM(F142:F144)</f>
        <v>#VALUE!</v>
      </c>
      <c r="H145" s="82" t="e">
        <f>SUM(H142:H144)</f>
        <v>#VALUE!</v>
      </c>
      <c r="I145" s="84" t="str">
        <f>CONCATENATE("m'(",C144,")=")</f>
        <v>m'(  )=</v>
      </c>
      <c r="J145" s="84" t="e">
        <f>2*(J142*(WLS))/3*H145</f>
        <v>#VALUE!</v>
      </c>
      <c r="K145" s="84" t="e">
        <f>CONCATENATE("M(",C142,")=")</f>
        <v>#VALUE!</v>
      </c>
      <c r="L145" s="84" t="e">
        <f>VLOOKUP(C142,STN_TABLE,4,FALSE)</f>
        <v>#VALUE!</v>
      </c>
      <c r="M145" t="str">
        <f>CONCATENATE("M(",C144,")=")</f>
        <v>M(  )=</v>
      </c>
      <c r="N145" t="e">
        <f>J145+L145</f>
        <v>#VALUE!</v>
      </c>
      <c r="O145" s="99">
        <f>O144+1</f>
        <v>26</v>
      </c>
      <c r="P145" s="99" t="e">
        <f t="shared" si="65"/>
        <v>#N/A</v>
      </c>
      <c r="T145" s="89" t="e">
        <f>SUM(T142:T144)</f>
        <v>#VALUE!</v>
      </c>
      <c r="V145" s="82" t="e">
        <f>SUM(V142:V144)</f>
        <v>#VALUE!</v>
      </c>
      <c r="W145" s="84" t="str">
        <f>CONCATENATE("m'(",Q143,")=")</f>
        <v>m'(  )=</v>
      </c>
      <c r="X145" s="84" t="e">
        <f>(2*(X142^2)/24*V145)+(X144*Q142*WLS)</f>
        <v>#VALUE!</v>
      </c>
      <c r="Y145" s="84" t="e">
        <f>CONCATENATE("M(",Q142,")=")</f>
        <v>#VALUE!</v>
      </c>
      <c r="Z145" s="84" t="e">
        <f>VLOOKUP(Q142,STN_TABLE,4,FALSE)</f>
        <v>#VALUE!</v>
      </c>
      <c r="AA145" t="str">
        <f>CONCATENATE("M(",Q143,")=")</f>
        <v>M(  )=</v>
      </c>
      <c r="AB145" t="e">
        <f>X145+Z145</f>
        <v>#VALUE!</v>
      </c>
      <c r="AE145" s="89">
        <f>SUM(AE143:AE144)</f>
        <v>0</v>
      </c>
      <c r="AG145" s="89" t="e">
        <f>SUM(AG143:AG144)</f>
        <v>#VALUE!</v>
      </c>
      <c r="AH145" s="84" t="str">
        <f>CONCATENATE("m'(",AD144,")=")</f>
        <v>m'(  )=</v>
      </c>
      <c r="AI145" s="84" t="e">
        <f>(2*(AI142^2)/6*AG145)+(AI144*AD143*WLS)</f>
        <v>#VALUE!</v>
      </c>
      <c r="AJ145" s="84" t="str">
        <f>CONCATENATE("M(",AD143,")=")</f>
        <v>M(  )=</v>
      </c>
      <c r="AK145" s="84" t="str">
        <f>VLOOKUP(AD143,STN_TABLE,4,FALSE)</f>
        <v xml:space="preserve"> </v>
      </c>
      <c r="AL145" t="str">
        <f>CONCATENATE("M(",AD144,")=")</f>
        <v>M(  )=</v>
      </c>
      <c r="AM145" t="e">
        <f>AI145+AK145</f>
        <v>#VALUE!</v>
      </c>
      <c r="AO145" s="82" t="str">
        <f>AA145</f>
        <v>M(  )=</v>
      </c>
      <c r="AP145" s="82" t="e">
        <f>VLOOKUP(AO145,Rise_Results,2,FALSE)</f>
        <v>#N/A</v>
      </c>
      <c r="AQ145" s="82" t="e">
        <f>N145</f>
        <v>#VALUE!</v>
      </c>
      <c r="AR145" s="82" t="e">
        <f>IF(OR(AB144&lt;=0,AB145&lt;=0),1/0,AB145)</f>
        <v>#VALUE!</v>
      </c>
      <c r="AS145" s="82" t="e">
        <f>AM145</f>
        <v>#VALUE!</v>
      </c>
      <c r="AT145" t="e">
        <f>IFERROR(AP145,IFERROR(AQ145,IFERROR(AR145,AS145)))</f>
        <v>#VALUE!</v>
      </c>
      <c r="AU145" s="81"/>
    </row>
    <row r="146" spans="1:47" x14ac:dyDescent="0.25">
      <c r="A146" s="101">
        <f>A141+1</f>
        <v>21</v>
      </c>
      <c r="B146" s="101" t="str">
        <f t="shared" si="69"/>
        <v xml:space="preserve">  </v>
      </c>
      <c r="O146" s="101">
        <f>O141+1</f>
        <v>23</v>
      </c>
      <c r="P146" s="101" t="str">
        <f t="shared" si="65"/>
        <v xml:space="preserve">  </v>
      </c>
      <c r="AU146" s="81"/>
    </row>
    <row r="147" spans="1:47" x14ac:dyDescent="0.25">
      <c r="A147" s="84">
        <f>A146+1</f>
        <v>22</v>
      </c>
      <c r="B147" s="84" t="str">
        <f t="shared" si="69"/>
        <v xml:space="preserve">  </v>
      </c>
      <c r="C147" s="79" t="e">
        <f t="shared" ref="C147" si="75">IF(C148=B149,IF(C149-C148=C148-B148,B148,IF(C149-C148=C148-B147,B147,"#NA")),IF(C148=B148,IF(C149-C148=C148-B147,B147,IF(C149-C148=C148-B146,B146,"#NA")),"#NA"))</f>
        <v>#VALUE!</v>
      </c>
      <c r="D147" s="68" t="e">
        <f>VLOOKUP(C147,STN_TABLE,2,FALSE)</f>
        <v>#VALUE!</v>
      </c>
      <c r="E147" s="102">
        <v>1</v>
      </c>
      <c r="F147" s="68" t="e">
        <f>D147*E147</f>
        <v>#VALUE!</v>
      </c>
      <c r="G147" s="69" t="e">
        <f>C147</f>
        <v>#VALUE!</v>
      </c>
      <c r="H147" s="69" t="e">
        <f>F147*G147</f>
        <v>#VALUE!</v>
      </c>
      <c r="I147" s="6" t="s">
        <v>93</v>
      </c>
      <c r="J147" s="70" t="e">
        <f>IF(OR(D147=0,D148=0,D149=0),"#NA",IF(AND(C149-C148=C148-C147,C148&lt;&gt;C149,C147&lt;&gt;C148,C147&lt;&gt;C149,D149&lt;&gt;0,OR(D147&lt;&gt;0,D148&lt;&gt;0)),WLS*(C149-C148),"#NA"))</f>
        <v>#VALUE!</v>
      </c>
      <c r="O147" s="99">
        <f>O146+1</f>
        <v>24</v>
      </c>
      <c r="P147" s="99" t="str">
        <f t="shared" si="65"/>
        <v xml:space="preserve">  </v>
      </c>
      <c r="Q147" s="68" t="e">
        <f>IF(OR(P149-P148=P148-P147,P150-P148=P148-P147),P147,IF(OR(P149-P148=P148-P146,P150-P148=P148-P146),P146,"-"))</f>
        <v>#N/A</v>
      </c>
      <c r="R147" s="69" t="e">
        <f>VLOOKUP(Q147,STN_TABLE,2,FALSE)</f>
        <v>#N/A</v>
      </c>
      <c r="S147" s="69">
        <v>5</v>
      </c>
      <c r="T147" s="68" t="e">
        <f>R147*S147</f>
        <v>#N/A</v>
      </c>
      <c r="U147" s="79">
        <v>3</v>
      </c>
      <c r="V147" s="68" t="e">
        <f>R147*U147</f>
        <v>#N/A</v>
      </c>
      <c r="W147" s="6" t="s">
        <v>93</v>
      </c>
      <c r="X147" s="70" t="e">
        <f>IF(AND(Q149-Q148=Q148-Q147,NOT(AND(Q147=0,Q148=0)),NOT(AND(Q148=0,Q149=0))),WLS*(Q149-Q148),"#NA")</f>
        <v>#N/A</v>
      </c>
      <c r="AD147" s="93"/>
      <c r="AH147" s="6" t="s">
        <v>93</v>
      </c>
      <c r="AI147" s="70" t="e">
        <f>WLS*(AD149-AD148)</f>
        <v>#VALUE!</v>
      </c>
      <c r="AU147" s="81"/>
    </row>
    <row r="148" spans="1:47" x14ac:dyDescent="0.25">
      <c r="A148" s="84">
        <f>A147+1</f>
        <v>23</v>
      </c>
      <c r="B148" s="84" t="str">
        <f t="shared" si="69"/>
        <v xml:space="preserve">  </v>
      </c>
      <c r="C148" s="80" t="e">
        <f t="shared" ref="C148" si="76">IF(OR(B150-B149=B149-B148,B150-B149=B149-B147,B150-B149=B149-B146),B149,IF(OR(B150-B148=B148-B147,B150-B148=B148-B146),B148,IF(B150-B147=B147-B146,B147,"#NA")))</f>
        <v>#VALUE!</v>
      </c>
      <c r="D148" s="76" t="e">
        <f>VLOOKUP(C148,STN_TABLE,2,FALSE)</f>
        <v>#VALUE!</v>
      </c>
      <c r="E148" s="81">
        <v>4</v>
      </c>
      <c r="F148" s="76" t="e">
        <f>D148*E148</f>
        <v>#VALUE!</v>
      </c>
      <c r="G148" s="77" t="e">
        <f>C148</f>
        <v>#VALUE!</v>
      </c>
      <c r="H148" s="77" t="e">
        <f>F148*G148</f>
        <v>#VALUE!</v>
      </c>
      <c r="I148" s="495" t="s">
        <v>97</v>
      </c>
      <c r="J148" s="496"/>
      <c r="K148" s="78" t="s">
        <v>98</v>
      </c>
      <c r="L148" s="78"/>
      <c r="M148" s="7" t="s">
        <v>99</v>
      </c>
      <c r="N148" s="7"/>
      <c r="O148" s="99">
        <f>O147+1</f>
        <v>25</v>
      </c>
      <c r="P148" s="99" t="str">
        <f t="shared" si="65"/>
        <v xml:space="preserve">  </v>
      </c>
      <c r="Q148" s="76" t="str">
        <f>P148</f>
        <v xml:space="preserve">  </v>
      </c>
      <c r="R148" s="77" t="str">
        <f>VLOOKUP(Q148,STN_TABLE,2,FALSE)</f>
        <v xml:space="preserve">  </v>
      </c>
      <c r="S148" s="77">
        <v>8</v>
      </c>
      <c r="T148" s="76" t="e">
        <f>R148*S148</f>
        <v>#VALUE!</v>
      </c>
      <c r="U148" s="80">
        <v>10</v>
      </c>
      <c r="V148" s="76" t="e">
        <f>R148*U148</f>
        <v>#VALUE!</v>
      </c>
      <c r="W148" s="496" t="s">
        <v>97</v>
      </c>
      <c r="X148" s="496"/>
      <c r="Y148" s="496" t="s">
        <v>98</v>
      </c>
      <c r="Z148" s="496"/>
      <c r="AA148" s="494" t="s">
        <v>99</v>
      </c>
      <c r="AB148" s="494"/>
      <c r="AC148" s="99">
        <f>AC143+1</f>
        <v>24</v>
      </c>
      <c r="AD148" s="95" t="str">
        <f>VLOOKUP(AC148,STN_TABLE_2,2,FALSE)</f>
        <v xml:space="preserve">  </v>
      </c>
      <c r="AE148" s="68" t="str">
        <f>VLOOKUP(AD148,STN_TABLE,2,FALSE)</f>
        <v xml:space="preserve">  </v>
      </c>
      <c r="AF148" s="68">
        <v>1</v>
      </c>
      <c r="AG148" s="69" t="e">
        <f>AE148*AF148</f>
        <v>#VALUE!</v>
      </c>
      <c r="AH148" s="496" t="s">
        <v>97</v>
      </c>
      <c r="AI148" s="496"/>
      <c r="AJ148" s="496" t="s">
        <v>98</v>
      </c>
      <c r="AK148" s="496"/>
      <c r="AL148" s="494" t="s">
        <v>99</v>
      </c>
      <c r="AM148" s="494"/>
      <c r="AP148" s="86" t="s">
        <v>112</v>
      </c>
      <c r="AQ148" s="89" t="s">
        <v>113</v>
      </c>
      <c r="AR148" s="89" t="s">
        <v>114</v>
      </c>
      <c r="AS148" s="89" t="s">
        <v>115</v>
      </c>
      <c r="AU148" s="81"/>
    </row>
    <row r="149" spans="1:47" x14ac:dyDescent="0.25">
      <c r="A149" s="84">
        <f>A148+1</f>
        <v>24</v>
      </c>
      <c r="B149" s="84" t="str">
        <f t="shared" si="69"/>
        <v xml:space="preserve">  </v>
      </c>
      <c r="C149" s="88" t="str">
        <f t="shared" ref="C149" si="77">B150</f>
        <v xml:space="preserve">  </v>
      </c>
      <c r="D149" s="82" t="str">
        <f>VLOOKUP(C149,STN_TABLE,2,FALSE)</f>
        <v xml:space="preserve">  </v>
      </c>
      <c r="E149" s="92">
        <v>1</v>
      </c>
      <c r="F149" s="82" t="e">
        <f>D149*E149</f>
        <v>#VALUE!</v>
      </c>
      <c r="G149" s="83" t="str">
        <f>C149</f>
        <v xml:space="preserve">  </v>
      </c>
      <c r="H149" s="83" t="e">
        <f>F149*G149</f>
        <v>#VALUE!</v>
      </c>
      <c r="I149" s="84" t="str">
        <f>CONCATENATE("a'(",C149,")=")</f>
        <v>a'(  )=</v>
      </c>
      <c r="J149" s="84" t="e">
        <f>2*J147/3*F150</f>
        <v>#VALUE!</v>
      </c>
      <c r="K149" s="84" t="e">
        <f>CONCATENATE("A(",C147,")=")</f>
        <v>#VALUE!</v>
      </c>
      <c r="L149" s="84" t="e">
        <f>VLOOKUP(C147,STN_TABLE,3,FALSE)</f>
        <v>#VALUE!</v>
      </c>
      <c r="M149" t="str">
        <f>CONCATENATE("A(",C149,")=")</f>
        <v>A(  )=</v>
      </c>
      <c r="N149" t="e">
        <f>J149+L149</f>
        <v>#VALUE!</v>
      </c>
      <c r="O149" s="99">
        <f>O148+1</f>
        <v>26</v>
      </c>
      <c r="P149" s="99" t="e">
        <f t="shared" si="65"/>
        <v>#N/A</v>
      </c>
      <c r="Q149" s="82" t="e">
        <f>IF(P149-P148=P148-P147,P149,IF(P150-P148=P148-P147,P150,IF(P149-P148=P148-P146,P149,IF(P150-P148=P148-P146,P150,"-"))))</f>
        <v>#N/A</v>
      </c>
      <c r="R149" s="83" t="e">
        <f>VLOOKUP(Q149,STN_TABLE,2,FALSE)</f>
        <v>#N/A</v>
      </c>
      <c r="S149" s="83">
        <v>-1</v>
      </c>
      <c r="T149" s="82" t="e">
        <f>R149*S149</f>
        <v>#N/A</v>
      </c>
      <c r="U149" s="88">
        <v>-1</v>
      </c>
      <c r="V149" s="82" t="e">
        <f>R149*U149</f>
        <v>#N/A</v>
      </c>
      <c r="W149" s="84" t="str">
        <f>CONCATENATE("a'(",Q148,")=")</f>
        <v>a'(  )=</v>
      </c>
      <c r="X149" s="84" t="e">
        <f>2*X147/12*T150</f>
        <v>#N/A</v>
      </c>
      <c r="Y149" s="84" t="e">
        <f>CONCATENATE("A(",Q147,")=")</f>
        <v>#N/A</v>
      </c>
      <c r="Z149" s="84" t="e">
        <f>VLOOKUP(Q147,STN_TABLE,3,FALSE)</f>
        <v>#N/A</v>
      </c>
      <c r="AA149" t="str">
        <f>CONCATENATE("A(",Q148,")=")</f>
        <v>A(  )=</v>
      </c>
      <c r="AB149" t="e">
        <f>X149+Z149</f>
        <v>#N/A</v>
      </c>
      <c r="AC149" s="99">
        <f>AC148+1</f>
        <v>25</v>
      </c>
      <c r="AD149" s="100" t="str">
        <f>VLOOKUP(AC149,STN_TABLE_2,2,FALSE)</f>
        <v xml:space="preserve">  </v>
      </c>
      <c r="AE149" s="82" t="str">
        <f>VLOOKUP(AD149,STN_TABLE,2,FALSE)</f>
        <v xml:space="preserve">  </v>
      </c>
      <c r="AF149" s="82">
        <v>2</v>
      </c>
      <c r="AG149" s="83" t="e">
        <f>AE149*AF149</f>
        <v>#VALUE!</v>
      </c>
      <c r="AH149" s="84" t="str">
        <f>CONCATENATE("a'(",AD149,")=")</f>
        <v>a'(  )=</v>
      </c>
      <c r="AI149" s="84" t="e">
        <f>2*AI147/2*AE150</f>
        <v>#VALUE!</v>
      </c>
      <c r="AJ149" s="84" t="str">
        <f>CONCATENATE("A(",AD148,")=")</f>
        <v>A(  )=</v>
      </c>
      <c r="AK149" s="84" t="str">
        <f>VLOOKUP(AD148,STN_TABLE,3,FALSE)</f>
        <v xml:space="preserve"> </v>
      </c>
      <c r="AL149" t="str">
        <f>CONCATENATE("A(",AD149,")=")</f>
        <v>A(  )=</v>
      </c>
      <c r="AM149" t="e">
        <f>AI149+AK149</f>
        <v>#VALUE!</v>
      </c>
      <c r="AO149" s="68" t="str">
        <f>AA149</f>
        <v>A(  )=</v>
      </c>
      <c r="AP149" s="68" t="e">
        <f>VLOOKUP(AO149,Rise_Results,2,FALSE)</f>
        <v>#N/A</v>
      </c>
      <c r="AQ149" s="76" t="e">
        <f>N149</f>
        <v>#VALUE!</v>
      </c>
      <c r="AR149" s="76" t="e">
        <f>IF(OR(AB149&lt;=0,AB150&lt;=0),1/0,AB149)</f>
        <v>#N/A</v>
      </c>
      <c r="AS149" s="76" t="e">
        <f>AM149</f>
        <v>#VALUE!</v>
      </c>
      <c r="AT149" t="e">
        <f>IFERROR(AP149,IFERROR(AQ149,IFERROR(AR149,AS149)))</f>
        <v>#VALUE!</v>
      </c>
      <c r="AU149" s="81"/>
    </row>
    <row r="150" spans="1:47" x14ac:dyDescent="0.25">
      <c r="A150" s="84">
        <f>A149+1</f>
        <v>25</v>
      </c>
      <c r="B150" s="84" t="str">
        <f t="shared" si="69"/>
        <v xml:space="preserve">  </v>
      </c>
      <c r="F150" s="82" t="e">
        <f>SUM(F147:F149)</f>
        <v>#VALUE!</v>
      </c>
      <c r="H150" s="82" t="e">
        <f>SUM(H147:H149)</f>
        <v>#VALUE!</v>
      </c>
      <c r="I150" s="84" t="str">
        <f>CONCATENATE("m'(",C149,")=")</f>
        <v>m'(  )=</v>
      </c>
      <c r="J150" s="84" t="e">
        <f>2*(J147*(WLS))/3*H150</f>
        <v>#VALUE!</v>
      </c>
      <c r="K150" s="84" t="e">
        <f>CONCATENATE("M(",C147,")=")</f>
        <v>#VALUE!</v>
      </c>
      <c r="L150" s="84" t="e">
        <f>VLOOKUP(C147,STN_TABLE,4,FALSE)</f>
        <v>#VALUE!</v>
      </c>
      <c r="M150" t="str">
        <f>CONCATENATE("M(",C149,")=")</f>
        <v>M(  )=</v>
      </c>
      <c r="N150" t="e">
        <f>J150+L150</f>
        <v>#VALUE!</v>
      </c>
      <c r="O150" s="99">
        <f>O149+1</f>
        <v>27</v>
      </c>
      <c r="P150" s="99" t="e">
        <f t="shared" si="65"/>
        <v>#N/A</v>
      </c>
      <c r="T150" s="89" t="e">
        <f>SUM(T147:T149)</f>
        <v>#N/A</v>
      </c>
      <c r="V150" s="82" t="e">
        <f>SUM(V147:V149)</f>
        <v>#N/A</v>
      </c>
      <c r="W150" s="84" t="str">
        <f>CONCATENATE("m'(",Q148,")=")</f>
        <v>m'(  )=</v>
      </c>
      <c r="X150" s="84" t="e">
        <f>(2*(X147^2)/24*V150)+(X149*Q147*WLS)</f>
        <v>#N/A</v>
      </c>
      <c r="Y150" s="84" t="e">
        <f>CONCATENATE("M(",Q147,")=")</f>
        <v>#N/A</v>
      </c>
      <c r="Z150" s="84" t="e">
        <f>VLOOKUP(Q147,STN_TABLE,4,FALSE)</f>
        <v>#N/A</v>
      </c>
      <c r="AA150" t="str">
        <f>CONCATENATE("M(",Q148,")=")</f>
        <v>M(  )=</v>
      </c>
      <c r="AB150" t="e">
        <f>X150+Z150</f>
        <v>#N/A</v>
      </c>
      <c r="AE150" s="89">
        <f>SUM(AE148:AE149)</f>
        <v>0</v>
      </c>
      <c r="AG150" s="89" t="e">
        <f>SUM(AG148:AG149)</f>
        <v>#VALUE!</v>
      </c>
      <c r="AH150" s="84" t="str">
        <f>CONCATENATE("m'(",AD149,")=")</f>
        <v>m'(  )=</v>
      </c>
      <c r="AI150" s="84" t="e">
        <f>(2*(AI147^2)/6*AG150)+(AI149*AD148*WLS)</f>
        <v>#VALUE!</v>
      </c>
      <c r="AJ150" s="84" t="str">
        <f>CONCATENATE("M(",AD148,")=")</f>
        <v>M(  )=</v>
      </c>
      <c r="AK150" s="84" t="str">
        <f>VLOOKUP(AD148,STN_TABLE,4,FALSE)</f>
        <v xml:space="preserve"> </v>
      </c>
      <c r="AL150" t="str">
        <f>CONCATENATE("M(",AD149,")=")</f>
        <v>M(  )=</v>
      </c>
      <c r="AM150" t="e">
        <f>AI150+AK150</f>
        <v>#VALUE!</v>
      </c>
      <c r="AO150" s="82" t="str">
        <f>AA150</f>
        <v>M(  )=</v>
      </c>
      <c r="AP150" s="82" t="e">
        <f>VLOOKUP(AO150,Rise_Results,2,FALSE)</f>
        <v>#N/A</v>
      </c>
      <c r="AQ150" s="82" t="e">
        <f>N150</f>
        <v>#VALUE!</v>
      </c>
      <c r="AR150" s="82" t="e">
        <f>IF(OR(AB149&lt;=0,AB150&lt;=0),1/0,AB150)</f>
        <v>#N/A</v>
      </c>
      <c r="AS150" s="82" t="e">
        <f>AM150</f>
        <v>#VALUE!</v>
      </c>
      <c r="AT150" t="e">
        <f>IFERROR(AP150,IFERROR(AQ150,IFERROR(AR150,AS150)))</f>
        <v>#VALUE!</v>
      </c>
      <c r="AU150" s="81"/>
    </row>
    <row r="151" spans="1:47" x14ac:dyDescent="0.25">
      <c r="A151" s="101"/>
      <c r="B151" s="101"/>
      <c r="AU151" s="81"/>
    </row>
    <row r="152" spans="1:47" x14ac:dyDescent="0.25">
      <c r="A152" s="84"/>
      <c r="B152" s="84"/>
      <c r="E152" s="81"/>
      <c r="F152" s="81"/>
      <c r="G152" s="81"/>
      <c r="H152" s="81"/>
      <c r="I152" s="103"/>
      <c r="J152" s="70"/>
      <c r="AU152" s="81"/>
    </row>
    <row r="153" spans="1:47" x14ac:dyDescent="0.25">
      <c r="A153" s="84"/>
      <c r="B153" s="84"/>
      <c r="E153" s="81"/>
      <c r="F153" s="81"/>
      <c r="G153" s="81"/>
      <c r="H153" s="81"/>
      <c r="I153" s="104"/>
      <c r="J153" s="78"/>
      <c r="K153" s="78"/>
      <c r="L153" s="78"/>
      <c r="M153" s="7"/>
      <c r="N153" s="7"/>
      <c r="AO153" s="81"/>
      <c r="AP153" s="81"/>
      <c r="AQ153" s="81"/>
      <c r="AR153" s="81"/>
      <c r="AS153" s="81"/>
      <c r="AT153" s="81"/>
      <c r="AU153" s="81"/>
    </row>
    <row r="154" spans="1:47" x14ac:dyDescent="0.25">
      <c r="A154" s="84"/>
      <c r="B154" s="84"/>
      <c r="E154" s="81"/>
      <c r="F154" s="81"/>
      <c r="G154" s="81"/>
      <c r="H154" s="81"/>
      <c r="I154" s="105"/>
      <c r="J154" s="84"/>
      <c r="K154" s="84"/>
      <c r="L154" s="84"/>
      <c r="AO154" s="81"/>
      <c r="AP154" s="81"/>
      <c r="AQ154" s="81"/>
      <c r="AR154" s="81"/>
      <c r="AS154" s="81"/>
      <c r="AT154" s="81"/>
      <c r="AU154" s="81"/>
    </row>
    <row r="155" spans="1:47" x14ac:dyDescent="0.25">
      <c r="A155" s="84"/>
      <c r="B155" s="84"/>
      <c r="E155" s="81"/>
      <c r="F155" s="81"/>
      <c r="G155" s="81"/>
      <c r="H155" s="81"/>
      <c r="I155" s="105"/>
      <c r="J155" s="84"/>
      <c r="K155" s="84"/>
      <c r="L155" s="84"/>
      <c r="AO155" s="81"/>
      <c r="AP155" s="81"/>
      <c r="AQ155" s="81"/>
      <c r="AR155" s="81"/>
      <c r="AS155" s="81"/>
      <c r="AT155" s="81"/>
      <c r="AU155" s="81"/>
    </row>
    <row r="156" spans="1:47" x14ac:dyDescent="0.25">
      <c r="A156" s="101"/>
      <c r="B156" s="101"/>
      <c r="E156" s="81"/>
      <c r="F156" s="81"/>
      <c r="G156" s="81"/>
      <c r="H156" s="81"/>
      <c r="I156" s="81"/>
      <c r="AO156" s="81"/>
      <c r="AP156" s="81"/>
      <c r="AQ156" s="81"/>
      <c r="AR156" s="81"/>
      <c r="AS156" s="81"/>
      <c r="AT156" s="81"/>
      <c r="AU156" s="81"/>
    </row>
    <row r="157" spans="1:47" x14ac:dyDescent="0.25">
      <c r="A157" s="84"/>
      <c r="B157" s="84"/>
      <c r="E157" s="81"/>
      <c r="F157" s="81"/>
      <c r="G157" s="81"/>
      <c r="H157" s="81"/>
      <c r="I157" s="103"/>
      <c r="J157" s="70"/>
      <c r="AO157" s="81"/>
      <c r="AP157" s="81"/>
      <c r="AQ157" s="81"/>
      <c r="AR157" s="81"/>
      <c r="AS157" s="81"/>
      <c r="AT157" s="81"/>
      <c r="AU157" s="81"/>
    </row>
    <row r="158" spans="1:47" x14ac:dyDescent="0.25">
      <c r="A158" s="84"/>
      <c r="B158" s="84"/>
      <c r="E158" s="81"/>
      <c r="F158" s="81"/>
      <c r="G158" s="81"/>
      <c r="H158" s="81"/>
      <c r="I158" s="104"/>
      <c r="J158" s="78"/>
      <c r="K158" s="78"/>
      <c r="L158" s="78"/>
      <c r="M158" s="7"/>
      <c r="N158" s="7"/>
      <c r="AO158" s="81"/>
      <c r="AP158" s="81"/>
      <c r="AQ158" s="81"/>
      <c r="AR158" s="81"/>
      <c r="AS158" s="81"/>
      <c r="AT158" s="81"/>
      <c r="AU158" s="81"/>
    </row>
    <row r="159" spans="1:47" x14ac:dyDescent="0.25">
      <c r="A159" s="84"/>
      <c r="B159" s="84"/>
      <c r="E159" s="81"/>
      <c r="F159" s="81"/>
      <c r="G159" s="81"/>
      <c r="H159" s="81"/>
      <c r="I159" s="105"/>
      <c r="J159" s="84"/>
      <c r="K159" s="84"/>
      <c r="L159" s="84"/>
      <c r="AO159" s="81"/>
      <c r="AP159" s="81"/>
      <c r="AQ159" s="81"/>
      <c r="AR159" s="81"/>
      <c r="AS159" s="81"/>
      <c r="AT159" s="81"/>
      <c r="AU159" s="81"/>
    </row>
    <row r="160" spans="1:47" x14ac:dyDescent="0.25">
      <c r="A160" s="84"/>
      <c r="B160" s="84"/>
      <c r="E160" s="81"/>
      <c r="F160" s="81"/>
      <c r="G160" s="81"/>
      <c r="H160" s="81"/>
      <c r="I160" s="105"/>
      <c r="J160" s="84"/>
      <c r="K160" s="84"/>
      <c r="L160" s="84"/>
      <c r="AO160" s="81"/>
      <c r="AP160" s="81"/>
      <c r="AQ160" s="81"/>
      <c r="AR160" s="81"/>
      <c r="AS160" s="81"/>
      <c r="AT160" s="81"/>
      <c r="AU160" s="81"/>
    </row>
    <row r="161" spans="1:47" x14ac:dyDescent="0.25">
      <c r="A161" s="101"/>
      <c r="B161" s="101"/>
      <c r="E161" s="81"/>
      <c r="F161" s="81"/>
      <c r="G161" s="81"/>
      <c r="H161" s="81"/>
      <c r="I161" s="81"/>
      <c r="AO161" s="81"/>
      <c r="AP161" s="81"/>
      <c r="AQ161" s="81"/>
      <c r="AR161" s="81"/>
      <c r="AS161" s="81"/>
      <c r="AT161" s="81"/>
      <c r="AU161" s="81"/>
    </row>
    <row r="162" spans="1:47" x14ac:dyDescent="0.25">
      <c r="A162" s="84"/>
      <c r="B162" s="84"/>
      <c r="E162" s="81"/>
      <c r="F162" s="81"/>
      <c r="G162" s="81"/>
      <c r="H162" s="81"/>
      <c r="I162" s="103"/>
      <c r="J162" s="70"/>
      <c r="AO162" s="81"/>
      <c r="AP162" s="81"/>
      <c r="AQ162" s="81"/>
      <c r="AR162" s="81"/>
      <c r="AS162" s="81"/>
      <c r="AT162" s="81"/>
      <c r="AU162" s="81"/>
    </row>
    <row r="163" spans="1:47" x14ac:dyDescent="0.25">
      <c r="A163" s="84"/>
      <c r="B163" s="84"/>
      <c r="E163" s="81"/>
      <c r="F163" s="81"/>
      <c r="G163" s="81"/>
      <c r="H163" s="81"/>
      <c r="I163" s="104"/>
      <c r="J163" s="78"/>
      <c r="K163" s="78"/>
      <c r="L163" s="78"/>
      <c r="M163" s="7"/>
      <c r="N163" s="7"/>
      <c r="AO163" s="81"/>
      <c r="AP163" s="81"/>
      <c r="AQ163" s="81"/>
      <c r="AR163" s="81"/>
      <c r="AS163" s="81"/>
      <c r="AT163" s="81"/>
      <c r="AU163" s="81"/>
    </row>
    <row r="164" spans="1:47" x14ac:dyDescent="0.25">
      <c r="A164" s="84"/>
      <c r="B164" s="84"/>
      <c r="E164" s="81"/>
      <c r="F164" s="81"/>
      <c r="G164" s="81"/>
      <c r="H164" s="81"/>
      <c r="I164" s="105"/>
      <c r="J164" s="84"/>
      <c r="K164" s="84"/>
      <c r="L164" s="84"/>
    </row>
    <row r="165" spans="1:47" x14ac:dyDescent="0.25">
      <c r="A165" s="84"/>
      <c r="B165" s="84"/>
      <c r="E165" s="81"/>
      <c r="F165" s="81"/>
      <c r="G165" s="81"/>
      <c r="H165" s="81"/>
      <c r="I165" s="105"/>
      <c r="J165" s="84"/>
      <c r="K165" s="84"/>
      <c r="L165" s="84"/>
    </row>
    <row r="166" spans="1:47" x14ac:dyDescent="0.25">
      <c r="A166" s="101"/>
      <c r="B166" s="101"/>
      <c r="E166" s="81"/>
      <c r="F166" s="81"/>
      <c r="G166" s="81"/>
      <c r="H166" s="81"/>
      <c r="I166" s="81"/>
    </row>
    <row r="167" spans="1:47" x14ac:dyDescent="0.25">
      <c r="A167" s="84"/>
      <c r="B167" s="84"/>
      <c r="E167" s="81"/>
      <c r="F167" s="81"/>
      <c r="G167" s="81"/>
      <c r="H167" s="81"/>
      <c r="I167" s="103"/>
      <c r="J167" s="70"/>
    </row>
    <row r="168" spans="1:47" x14ac:dyDescent="0.25">
      <c r="A168" s="84"/>
      <c r="B168" s="84"/>
      <c r="E168" s="81"/>
      <c r="F168" s="81"/>
      <c r="G168" s="81"/>
      <c r="H168" s="81"/>
      <c r="I168" s="104"/>
      <c r="J168" s="78"/>
      <c r="K168" s="78"/>
      <c r="L168" s="78"/>
      <c r="M168" s="7"/>
      <c r="N168" s="7"/>
    </row>
    <row r="169" spans="1:47" x14ac:dyDescent="0.25">
      <c r="A169" s="84"/>
      <c r="B169" s="84"/>
      <c r="E169" s="81"/>
      <c r="F169" s="81"/>
      <c r="G169" s="81"/>
      <c r="H169" s="81"/>
      <c r="I169" s="105"/>
      <c r="J169" s="84"/>
      <c r="K169" s="84"/>
      <c r="L169" s="84"/>
    </row>
    <row r="170" spans="1:47" x14ac:dyDescent="0.25">
      <c r="A170" s="84"/>
      <c r="B170" s="84"/>
      <c r="E170" s="81"/>
      <c r="F170" s="81"/>
      <c r="G170" s="81"/>
      <c r="H170" s="81"/>
      <c r="I170" s="105"/>
      <c r="J170" s="84"/>
      <c r="K170" s="84"/>
      <c r="L170" s="84"/>
    </row>
    <row r="171" spans="1:47" x14ac:dyDescent="0.25">
      <c r="E171" s="81"/>
      <c r="F171" s="81"/>
      <c r="G171" s="81"/>
      <c r="H171" s="81"/>
      <c r="I171" s="81"/>
    </row>
  </sheetData>
  <sheetProtection selectLockedCells="1" selectUnlockedCells="1"/>
  <mergeCells count="167">
    <mergeCell ref="A1:B1"/>
    <mergeCell ref="E1:F1"/>
    <mergeCell ref="L1:M1"/>
    <mergeCell ref="W33:X33"/>
    <mergeCell ref="Y33:Z33"/>
    <mergeCell ref="AA33:AB33"/>
    <mergeCell ref="AH33:AI33"/>
    <mergeCell ref="AJ33:AK33"/>
    <mergeCell ref="AL33:AM33"/>
    <mergeCell ref="I38:J38"/>
    <mergeCell ref="W38:X38"/>
    <mergeCell ref="Y38:Z38"/>
    <mergeCell ref="AA38:AB38"/>
    <mergeCell ref="AH38:AI38"/>
    <mergeCell ref="AJ38:AK38"/>
    <mergeCell ref="AL38:AM38"/>
    <mergeCell ref="AL43:AM43"/>
    <mergeCell ref="I48:J48"/>
    <mergeCell ref="W48:X48"/>
    <mergeCell ref="Y48:Z48"/>
    <mergeCell ref="AA48:AB48"/>
    <mergeCell ref="AH48:AI48"/>
    <mergeCell ref="AJ48:AK48"/>
    <mergeCell ref="AL48:AM48"/>
    <mergeCell ref="I43:J43"/>
    <mergeCell ref="W43:X43"/>
    <mergeCell ref="Y43:Z43"/>
    <mergeCell ref="AA43:AB43"/>
    <mergeCell ref="AH43:AI43"/>
    <mergeCell ref="AJ43:AK43"/>
    <mergeCell ref="AL53:AM53"/>
    <mergeCell ref="I58:J58"/>
    <mergeCell ref="AH58:AI58"/>
    <mergeCell ref="AJ58:AK58"/>
    <mergeCell ref="AL58:AM58"/>
    <mergeCell ref="I63:J63"/>
    <mergeCell ref="W63:X63"/>
    <mergeCell ref="Y63:Z63"/>
    <mergeCell ref="AA63:AB63"/>
    <mergeCell ref="AH63:AI63"/>
    <mergeCell ref="I53:J53"/>
    <mergeCell ref="W53:X53"/>
    <mergeCell ref="Y53:Z53"/>
    <mergeCell ref="AA53:AB53"/>
    <mergeCell ref="AH53:AI53"/>
    <mergeCell ref="AJ53:AK53"/>
    <mergeCell ref="AJ63:AK63"/>
    <mergeCell ref="AL63:AM63"/>
    <mergeCell ref="I68:J68"/>
    <mergeCell ref="W68:X68"/>
    <mergeCell ref="Y68:Z68"/>
    <mergeCell ref="AA68:AB68"/>
    <mergeCell ref="AH68:AI68"/>
    <mergeCell ref="AJ68:AK68"/>
    <mergeCell ref="AL68:AM68"/>
    <mergeCell ref="AL73:AM73"/>
    <mergeCell ref="I78:J78"/>
    <mergeCell ref="W78:X78"/>
    <mergeCell ref="Y78:Z78"/>
    <mergeCell ref="AA78:AB78"/>
    <mergeCell ref="AH78:AI78"/>
    <mergeCell ref="AJ78:AK78"/>
    <mergeCell ref="AL78:AM78"/>
    <mergeCell ref="I73:J73"/>
    <mergeCell ref="W73:X73"/>
    <mergeCell ref="Y73:Z73"/>
    <mergeCell ref="AA73:AB73"/>
    <mergeCell ref="AH73:AI73"/>
    <mergeCell ref="AJ73:AK73"/>
    <mergeCell ref="AL83:AM83"/>
    <mergeCell ref="I88:J88"/>
    <mergeCell ref="W88:X88"/>
    <mergeCell ref="Y88:Z88"/>
    <mergeCell ref="AA88:AB88"/>
    <mergeCell ref="AH88:AI88"/>
    <mergeCell ref="AJ88:AK88"/>
    <mergeCell ref="AL88:AM88"/>
    <mergeCell ref="I83:J83"/>
    <mergeCell ref="W83:X83"/>
    <mergeCell ref="Y83:Z83"/>
    <mergeCell ref="AA83:AB83"/>
    <mergeCell ref="AH83:AI83"/>
    <mergeCell ref="AJ83:AK83"/>
    <mergeCell ref="AL93:AM93"/>
    <mergeCell ref="I98:J98"/>
    <mergeCell ref="W98:X98"/>
    <mergeCell ref="Y98:Z98"/>
    <mergeCell ref="AA98:AB98"/>
    <mergeCell ref="AH98:AI98"/>
    <mergeCell ref="AJ98:AK98"/>
    <mergeCell ref="AL98:AM98"/>
    <mergeCell ref="I93:J93"/>
    <mergeCell ref="W93:X93"/>
    <mergeCell ref="Y93:Z93"/>
    <mergeCell ref="AA93:AB93"/>
    <mergeCell ref="AH93:AI93"/>
    <mergeCell ref="AJ93:AK93"/>
    <mergeCell ref="AL103:AM103"/>
    <mergeCell ref="I108:J108"/>
    <mergeCell ref="W108:X108"/>
    <mergeCell ref="Y108:Z108"/>
    <mergeCell ref="AA108:AB108"/>
    <mergeCell ref="AH108:AI108"/>
    <mergeCell ref="AJ108:AK108"/>
    <mergeCell ref="AL108:AM108"/>
    <mergeCell ref="I103:J103"/>
    <mergeCell ref="W103:X103"/>
    <mergeCell ref="Y103:Z103"/>
    <mergeCell ref="AA103:AB103"/>
    <mergeCell ref="AH103:AI103"/>
    <mergeCell ref="AJ103:AK103"/>
    <mergeCell ref="AL113:AM113"/>
    <mergeCell ref="I118:J118"/>
    <mergeCell ref="W118:X118"/>
    <mergeCell ref="Y118:Z118"/>
    <mergeCell ref="AA118:AB118"/>
    <mergeCell ref="AH118:AI118"/>
    <mergeCell ref="AJ118:AK118"/>
    <mergeCell ref="AL118:AM118"/>
    <mergeCell ref="I113:J113"/>
    <mergeCell ref="W113:X113"/>
    <mergeCell ref="Y113:Z113"/>
    <mergeCell ref="AA113:AB113"/>
    <mergeCell ref="AH113:AI113"/>
    <mergeCell ref="AJ113:AK113"/>
    <mergeCell ref="AL123:AM123"/>
    <mergeCell ref="I128:J128"/>
    <mergeCell ref="W128:X128"/>
    <mergeCell ref="Y128:Z128"/>
    <mergeCell ref="AA128:AB128"/>
    <mergeCell ref="AH128:AI128"/>
    <mergeCell ref="AJ128:AK128"/>
    <mergeCell ref="AL128:AM128"/>
    <mergeCell ref="I123:J123"/>
    <mergeCell ref="W123:X123"/>
    <mergeCell ref="Y123:Z123"/>
    <mergeCell ref="AA123:AB123"/>
    <mergeCell ref="AH123:AI123"/>
    <mergeCell ref="AJ123:AK123"/>
    <mergeCell ref="AL133:AM133"/>
    <mergeCell ref="I138:J138"/>
    <mergeCell ref="W138:X138"/>
    <mergeCell ref="Y138:Z138"/>
    <mergeCell ref="AA138:AB138"/>
    <mergeCell ref="AH138:AI138"/>
    <mergeCell ref="AJ138:AK138"/>
    <mergeCell ref="AL138:AM138"/>
    <mergeCell ref="I133:J133"/>
    <mergeCell ref="W133:X133"/>
    <mergeCell ref="Y133:Z133"/>
    <mergeCell ref="AA133:AB133"/>
    <mergeCell ref="AH133:AI133"/>
    <mergeCell ref="AJ133:AK133"/>
    <mergeCell ref="AL143:AM143"/>
    <mergeCell ref="I148:J148"/>
    <mergeCell ref="W148:X148"/>
    <mergeCell ref="Y148:Z148"/>
    <mergeCell ref="AA148:AB148"/>
    <mergeCell ref="AH148:AI148"/>
    <mergeCell ref="AJ148:AK148"/>
    <mergeCell ref="AL148:AM148"/>
    <mergeCell ref="I143:J143"/>
    <mergeCell ref="W143:X143"/>
    <mergeCell ref="Y143:Z143"/>
    <mergeCell ref="AA143:AB143"/>
    <mergeCell ref="AH143:AI143"/>
    <mergeCell ref="AJ143:AK143"/>
  </mergeCells>
  <pageMargins left="0.7" right="0.7" top="0.75" bottom="0.75" header="0.3" footer="0.3"/>
  <pageSetup paperSize="9" orientation="portrait"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AU171"/>
  <sheetViews>
    <sheetView topLeftCell="O1" zoomScale="90" zoomScaleNormal="90" workbookViewId="0">
      <pane ySplit="1" topLeftCell="A2" activePane="bottomLeft" state="frozen"/>
      <selection activeCell="AG8" sqref="AG8:AG10"/>
      <selection pane="bottomLeft" activeCell="AG8" sqref="AG8:AG10"/>
    </sheetView>
  </sheetViews>
  <sheetFormatPr defaultRowHeight="15" x14ac:dyDescent="0.25"/>
  <sheetData>
    <row r="1" spans="1:46" x14ac:dyDescent="0.25">
      <c r="A1" s="494" t="s">
        <v>90</v>
      </c>
      <c r="B1" s="494"/>
      <c r="C1">
        <f>HLOOKUP(Stn_WL,OFFSET_A,Count_STN+1,FALSE)</f>
        <v>0</v>
      </c>
      <c r="E1" s="494" t="s">
        <v>91</v>
      </c>
      <c r="F1" s="494"/>
      <c r="G1">
        <f>VLOOKUP(Station_No,RISE_CALC,2,FALSE)</f>
        <v>7</v>
      </c>
      <c r="L1" s="494" t="s">
        <v>92</v>
      </c>
      <c r="M1" s="494"/>
      <c r="N1">
        <v>1</v>
      </c>
    </row>
    <row r="2" spans="1:46" x14ac:dyDescent="0.25">
      <c r="Q2" s="66" t="str">
        <f t="shared" ref="Q2:R6" si="0">G4</f>
        <v>Rise</v>
      </c>
      <c r="R2" s="67">
        <f t="shared" si="0"/>
        <v>3.5</v>
      </c>
      <c r="S2" s="68" t="str">
        <f>IF(OR(R5-R4=R4-R3,R6-R4=R4-R3),R3,IF(OR(R5-R4=R4-R2,R6-R4=R4-R2),R2,"-"))</f>
        <v>-</v>
      </c>
      <c r="T2" s="69">
        <f>IFERROR(VLOOKUP(S2,STN_TABLE,2,FALSE),IF(R2=RisePerWLS,0,"-"))</f>
        <v>0</v>
      </c>
      <c r="U2" s="69">
        <v>5</v>
      </c>
      <c r="V2" s="69">
        <f>T2*U2</f>
        <v>0</v>
      </c>
      <c r="W2" s="69">
        <v>3</v>
      </c>
      <c r="X2" s="69">
        <f>T2*W2</f>
        <v>0</v>
      </c>
      <c r="Y2" s="6" t="s">
        <v>93</v>
      </c>
      <c r="Z2" s="70" t="e">
        <f>IF(AND(S4-S3=S3-S2,NOT(AND(S2=0,S3=0)),NOT(AND(S3=0,S4=0))),WLS*(S4-S3),"#NA")</f>
        <v>#VALUE!</v>
      </c>
      <c r="AE2" s="71" t="s">
        <v>94</v>
      </c>
    </row>
    <row r="3" spans="1:46" x14ac:dyDescent="0.25">
      <c r="B3" s="72" t="s">
        <v>0</v>
      </c>
      <c r="C3" s="73" t="s">
        <v>95</v>
      </c>
      <c r="D3" s="73" t="s">
        <v>18</v>
      </c>
      <c r="E3" s="74" t="s">
        <v>20</v>
      </c>
      <c r="H3" s="75" t="s">
        <v>96</v>
      </c>
      <c r="K3" t="str">
        <f>IF(Rise=0,"(Not considered)","(Considered)")</f>
        <v>(Considered)</v>
      </c>
      <c r="Q3" s="66" t="str">
        <f t="shared" si="0"/>
        <v>1st_UWL</v>
      </c>
      <c r="R3" s="67">
        <f t="shared" si="0"/>
        <v>4</v>
      </c>
      <c r="S3" s="76">
        <f>R4</f>
        <v>4.8499999999999996</v>
      </c>
      <c r="T3" s="77">
        <f>VLOOKUP(S3,STN_TABLE,2,FALSE)</f>
        <v>2.59</v>
      </c>
      <c r="U3" s="77">
        <v>8</v>
      </c>
      <c r="V3" s="77">
        <f>T3*U3</f>
        <v>20.72</v>
      </c>
      <c r="W3" s="77">
        <v>10</v>
      </c>
      <c r="X3" s="77">
        <f>T3*W3</f>
        <v>25.9</v>
      </c>
      <c r="Y3" s="78" t="s">
        <v>97</v>
      </c>
      <c r="Z3" s="78"/>
      <c r="AA3" s="78" t="s">
        <v>98</v>
      </c>
      <c r="AB3" s="78"/>
      <c r="AC3" s="7" t="s">
        <v>99</v>
      </c>
      <c r="AD3" s="7"/>
      <c r="AE3" s="66" t="str">
        <f t="shared" ref="AE3:AF7" si="1">G4</f>
        <v>Rise</v>
      </c>
      <c r="AF3" s="67">
        <f t="shared" si="1"/>
        <v>3.5</v>
      </c>
      <c r="AG3" s="79">
        <f>IF(AF7-AF6=AF6-AF5,AF5,IF(OR(AF7-AF6=AF6-AF4,AF7-AF5=AF5-AF4),AF4,IF(OR(AF7-AF6=AF6-AF3,AF7-AF5=AF5-AF3,AF7-AF4=AF4-AF3),AF3,"#NA")))</f>
        <v>4</v>
      </c>
      <c r="AH3" s="69">
        <f>IFERROR(VLOOKUP(AG3,STN_TABLE,2,FALSE),IF(AF3=RisePerWLS,0,"-"))</f>
        <v>0.9</v>
      </c>
      <c r="AI3" s="69">
        <v>1</v>
      </c>
      <c r="AJ3" s="69">
        <f>AH3*AI3</f>
        <v>0.9</v>
      </c>
      <c r="AK3" s="69">
        <f>AG3</f>
        <v>4</v>
      </c>
      <c r="AL3" s="69">
        <f>AJ3*AK3</f>
        <v>3.6</v>
      </c>
      <c r="AM3" s="6" t="s">
        <v>93</v>
      </c>
      <c r="AN3" s="70">
        <f>IF(AND(AH3=0,AH4=0,AH5=0),WLS*(AG5-AG4),IF(AND(AG5-AG4=AG4-AG3,AG4&lt;&gt;AG5,AG3&lt;&gt;AG4,AG3&lt;&gt;AG5,AH5&lt;&gt;0,OR(AH3&lt;&gt;0,AH4&lt;&gt;0)),WLS*(AG5-AG4),"#NA"))</f>
        <v>2</v>
      </c>
    </row>
    <row r="4" spans="1:46" x14ac:dyDescent="0.25">
      <c r="A4">
        <v>1</v>
      </c>
      <c r="B4" s="80">
        <f t="shared" ref="B4:B28" si="2">VLOOKUP(Stn_WL,OFFSET_A,A4+1,FALSE)</f>
        <v>0</v>
      </c>
      <c r="C4" s="81">
        <f t="shared" ref="C4:C28" si="3">VLOOKUP(Station_No,OFFSET_A,A4+1,FALSE)</f>
        <v>0</v>
      </c>
      <c r="D4" s="81">
        <v>0</v>
      </c>
      <c r="E4" s="77">
        <v>0</v>
      </c>
      <c r="G4" t="s">
        <v>100</v>
      </c>
      <c r="H4">
        <f>Rise/WLS</f>
        <v>3.5</v>
      </c>
      <c r="K4" t="str">
        <f>CONCATENATE("A(",H5,")=")</f>
        <v>A(4)=</v>
      </c>
      <c r="L4">
        <f>IFERROR(N18,N22)</f>
        <v>0.9</v>
      </c>
      <c r="Q4" s="66" t="str">
        <f t="shared" si="0"/>
        <v>2nd_UWL</v>
      </c>
      <c r="R4" s="67">
        <f t="shared" si="0"/>
        <v>4.8499999999999996</v>
      </c>
      <c r="S4" s="82" t="e">
        <f>IF((S2-S3)=S3-R5,R5,IF(S2-S3=S3-R6,R6,"-"))</f>
        <v>#VALUE!</v>
      </c>
      <c r="T4" s="83" t="e">
        <f>VLOOKUP(S4,STN_TABLE,2,FALSE)</f>
        <v>#VALUE!</v>
      </c>
      <c r="U4" s="83">
        <v>-1</v>
      </c>
      <c r="V4" s="83" t="e">
        <f>T4*U4</f>
        <v>#VALUE!</v>
      </c>
      <c r="W4" s="83">
        <v>-1</v>
      </c>
      <c r="X4" s="83" t="e">
        <f>T4*W4</f>
        <v>#VALUE!</v>
      </c>
      <c r="Y4" s="84" t="str">
        <f>CONCATENATE("a'(",S3,")=")</f>
        <v>a'(4.85)=</v>
      </c>
      <c r="Z4" s="85" t="e">
        <f>2*Z2/12*V5</f>
        <v>#VALUE!</v>
      </c>
      <c r="AA4" s="84" t="str">
        <f>CONCATENATE("A(",S2,")=")</f>
        <v>A(-)=</v>
      </c>
      <c r="AB4" s="84" t="e">
        <f>IF(S2=RisePerWLS,0,VLOOKUP(S2,STN_TABLE,3,FALSE))</f>
        <v>#N/A</v>
      </c>
      <c r="AC4" t="str">
        <f>CONCATENATE("A(",S3,")=")</f>
        <v>A(4.85)=</v>
      </c>
      <c r="AD4" t="e">
        <f>Z4+AB4</f>
        <v>#VALUE!</v>
      </c>
      <c r="AE4" s="66" t="str">
        <f t="shared" si="1"/>
        <v>1st_UWL</v>
      </c>
      <c r="AF4" s="67">
        <f t="shared" si="1"/>
        <v>4</v>
      </c>
      <c r="AG4" s="80">
        <f>IF(OR(AF7-AF6=AF6-AF5,AF7-AF6=AF6-AF4,AF7-AF6=AF6-AF3),AF6,IF(OR(AF7-AF5=AF5-AF4,AF7-AF5=AF5-AF3),AF5,IF(AF7-AF4=AF4-AF3,AF4,"#NA")))</f>
        <v>5</v>
      </c>
      <c r="AH4" s="77">
        <f>VLOOKUP(AG4,STN_TABLE,2,FALSE)</f>
        <v>2.82</v>
      </c>
      <c r="AI4" s="77">
        <v>4</v>
      </c>
      <c r="AJ4" s="77">
        <f>AH4*AI4</f>
        <v>11.28</v>
      </c>
      <c r="AK4" s="77">
        <f>AG4</f>
        <v>5</v>
      </c>
      <c r="AL4" s="77">
        <f>AJ4*AK4</f>
        <v>56.4</v>
      </c>
      <c r="AM4" s="78" t="s">
        <v>97</v>
      </c>
      <c r="AN4" s="78"/>
      <c r="AO4" s="78" t="s">
        <v>98</v>
      </c>
      <c r="AP4" s="78"/>
      <c r="AQ4" s="7" t="s">
        <v>99</v>
      </c>
      <c r="AR4" s="7"/>
      <c r="AS4" s="7"/>
      <c r="AT4" s="7"/>
    </row>
    <row r="5" spans="1:46" x14ac:dyDescent="0.25">
      <c r="A5">
        <v>2</v>
      </c>
      <c r="B5" s="80">
        <f t="shared" si="2"/>
        <v>0.25</v>
      </c>
      <c r="C5" s="81">
        <f t="shared" si="3"/>
        <v>0</v>
      </c>
      <c r="D5" s="81">
        <f t="shared" ref="D5:D28" si="4">IFERROR(VLOOKUP(CONCATENATE("A(",B5,")="),RESULT_TABLE,6,FALSE)," ")</f>
        <v>0</v>
      </c>
      <c r="E5" s="77">
        <f t="shared" ref="E5:E28" si="5">IFERROR(VLOOKUP(CONCATENATE("M(",B5,")="),RESULT_TABLE,6,FALSE)," ")</f>
        <v>0</v>
      </c>
      <c r="G5" t="s">
        <v>101</v>
      </c>
      <c r="H5">
        <f>VLOOKUP(Station_No,RISE_CALC,4,FALSE)</f>
        <v>4</v>
      </c>
      <c r="K5" t="str">
        <f>CONCATENATE("M(",H5,")=")</f>
        <v>M(4)=</v>
      </c>
      <c r="L5">
        <f>IFERROR(N19,N23)</f>
        <v>6.8999999999999995</v>
      </c>
      <c r="Q5" s="66" t="str">
        <f t="shared" si="0"/>
        <v>3rd_UWL</v>
      </c>
      <c r="R5" s="67">
        <f t="shared" si="0"/>
        <v>5</v>
      </c>
      <c r="V5" s="86" t="e">
        <f>SUM(V2:V4)</f>
        <v>#VALUE!</v>
      </c>
      <c r="X5" s="87" t="e">
        <f>SUM(X2:X4)</f>
        <v>#VALUE!</v>
      </c>
      <c r="Y5" s="84" t="str">
        <f>CONCATENATE("m'(",S3,")=")</f>
        <v>m'(4.85)=</v>
      </c>
      <c r="Z5" s="85" t="e">
        <f>(2*(Z2^2)/24*X5)+(Z4*S2*WLS)</f>
        <v>#VALUE!</v>
      </c>
      <c r="AA5" s="84" t="str">
        <f>CONCATENATE("M(",S2,")=")</f>
        <v>M(-)=</v>
      </c>
      <c r="AB5" s="84" t="e">
        <f>IF(S2=RisePerWLS,0,VLOOKUP(S2,STN_TABLE,4,FALSE))</f>
        <v>#N/A</v>
      </c>
      <c r="AC5" t="str">
        <f>CONCATENATE("M(",S3,")=")</f>
        <v>M(4.85)=</v>
      </c>
      <c r="AD5" t="e">
        <f>Z5+AB5</f>
        <v>#VALUE!</v>
      </c>
      <c r="AE5" s="66" t="str">
        <f t="shared" si="1"/>
        <v>2nd_UWL</v>
      </c>
      <c r="AF5" s="67">
        <f t="shared" si="1"/>
        <v>4.8499999999999996</v>
      </c>
      <c r="AG5" s="88">
        <f>AF7</f>
        <v>6</v>
      </c>
      <c r="AH5" s="83">
        <f>VLOOKUP(AG5,STN_TABLE,2,FALSE)</f>
        <v>3.82</v>
      </c>
      <c r="AI5" s="83">
        <v>1</v>
      </c>
      <c r="AJ5" s="83">
        <f>AH5*AI5</f>
        <v>3.82</v>
      </c>
      <c r="AK5" s="83">
        <f>AG5</f>
        <v>6</v>
      </c>
      <c r="AL5" s="83">
        <f>AJ5*AK5</f>
        <v>22.919999999999998</v>
      </c>
      <c r="AM5" s="84" t="str">
        <f>CONCATENATE("a'(",AG5,")=")</f>
        <v>a'(6)=</v>
      </c>
      <c r="AN5" s="84">
        <f>2*AN3/3*AJ6</f>
        <v>21.333333333333332</v>
      </c>
      <c r="AO5" s="84" t="str">
        <f>CONCATENATE("A(",AG3,")=")</f>
        <v>A(4)=</v>
      </c>
      <c r="AP5" s="84">
        <f>IF(AG3=RisePerWLS,0,VLOOKUP(AG3,STN_TABLE,3,FALSE))</f>
        <v>0.9</v>
      </c>
      <c r="AQ5" t="str">
        <f>CONCATENATE("A(",AG5,")=")</f>
        <v>A(6)=</v>
      </c>
      <c r="AR5">
        <f>AN5+AP5</f>
        <v>22.233333333333331</v>
      </c>
    </row>
    <row r="6" spans="1:46" x14ac:dyDescent="0.25">
      <c r="A6">
        <v>3</v>
      </c>
      <c r="B6" s="80">
        <f t="shared" si="2"/>
        <v>0.5</v>
      </c>
      <c r="C6" s="81">
        <f t="shared" si="3"/>
        <v>0</v>
      </c>
      <c r="D6" s="81">
        <f t="shared" si="4"/>
        <v>0</v>
      </c>
      <c r="E6" s="77">
        <f t="shared" si="5"/>
        <v>0</v>
      </c>
      <c r="G6" t="s">
        <v>102</v>
      </c>
      <c r="H6">
        <f>VLOOKUP(Station_No,RISE_CALC,5,FALSE)</f>
        <v>4.8499999999999996</v>
      </c>
      <c r="K6" t="str">
        <f>CONCATENATE("A(",H6,")=")</f>
        <v>A(4.85)=</v>
      </c>
      <c r="L6">
        <f>IFERROR(P27,IFERROR(X6,AD9))</f>
        <v>6.8329999999999975</v>
      </c>
      <c r="Q6" s="66" t="str">
        <f t="shared" si="0"/>
        <v>4th_UWL</v>
      </c>
      <c r="R6" s="67">
        <f t="shared" si="0"/>
        <v>6</v>
      </c>
      <c r="U6" t="s">
        <v>103</v>
      </c>
      <c r="W6" t="str">
        <f>CONCATENATE("A(",S3,")=")</f>
        <v>A(4.85)=</v>
      </c>
      <c r="X6" t="e">
        <f>IF(OR(AD4&lt;=0,AD5&lt;=0),AD9,AD4)</f>
        <v>#VALUE!</v>
      </c>
      <c r="AE6" s="66" t="str">
        <f t="shared" si="1"/>
        <v>3rd_UWL</v>
      </c>
      <c r="AF6" s="67">
        <f t="shared" si="1"/>
        <v>5</v>
      </c>
      <c r="AJ6" s="89">
        <f>SUM(AJ3:AJ5)</f>
        <v>16</v>
      </c>
      <c r="AL6" s="89">
        <f>SUM(AL3:AL5)</f>
        <v>82.92</v>
      </c>
      <c r="AM6" s="84" t="str">
        <f>CONCATENATE("m'(",AG5,")=")</f>
        <v>m'(6)=</v>
      </c>
      <c r="AN6" s="84">
        <f>2*(AN3*WLS)/3*AL6</f>
        <v>221.12</v>
      </c>
      <c r="AO6" s="84" t="str">
        <f>CONCATENATE("M(",AG3,")=")</f>
        <v>M(4)=</v>
      </c>
      <c r="AP6" s="84">
        <f>IF(AG3=RisePerWLS,0,VLOOKUP(AG3,STN_TABLE,4,FALSE))</f>
        <v>6.8999999999999995</v>
      </c>
      <c r="AQ6" t="str">
        <f>CONCATENATE("M(",AG5,")=")</f>
        <v>M(6)=</v>
      </c>
      <c r="AR6">
        <f>AN6+AP6</f>
        <v>228.02</v>
      </c>
    </row>
    <row r="7" spans="1:46" x14ac:dyDescent="0.25">
      <c r="A7">
        <v>4</v>
      </c>
      <c r="B7" s="80">
        <f t="shared" si="2"/>
        <v>0.75</v>
      </c>
      <c r="C7" s="81">
        <f t="shared" si="3"/>
        <v>0</v>
      </c>
      <c r="D7" s="81">
        <f t="shared" si="4"/>
        <v>0</v>
      </c>
      <c r="E7" s="77">
        <f t="shared" si="5"/>
        <v>0</v>
      </c>
      <c r="G7" t="s">
        <v>104</v>
      </c>
      <c r="H7">
        <f>VLOOKUP(Station_No,RISE_CALC,6,FALSE)</f>
        <v>5</v>
      </c>
      <c r="K7" t="str">
        <f>CONCATENATE("M(",H6,")=")</f>
        <v>M(4.85)=</v>
      </c>
      <c r="L7">
        <f>IFERROR(P28,IFERROR(X7,AD10))</f>
        <v>60.221066666666637</v>
      </c>
      <c r="Q7" s="66"/>
      <c r="R7" s="67"/>
      <c r="W7" t="str">
        <f>CONCATENATE("M(",S3,")=")</f>
        <v>M(4.85)=</v>
      </c>
      <c r="X7" t="e">
        <f>IF(OR(AD4&lt;=0,AD5&lt;=0),AD10,AD5)</f>
        <v>#VALUE!</v>
      </c>
      <c r="Y7" s="6" t="s">
        <v>93</v>
      </c>
      <c r="Z7" s="70">
        <f>WLS*(U9-U8)</f>
        <v>1.6999999999999993</v>
      </c>
      <c r="AE7" s="66" t="str">
        <f t="shared" si="1"/>
        <v>4th_UWL</v>
      </c>
      <c r="AF7" s="67">
        <f t="shared" si="1"/>
        <v>6</v>
      </c>
      <c r="AH7" s="81"/>
    </row>
    <row r="8" spans="1:46" x14ac:dyDescent="0.25">
      <c r="A8">
        <v>5</v>
      </c>
      <c r="B8" s="80">
        <f t="shared" si="2"/>
        <v>1</v>
      </c>
      <c r="C8" s="81">
        <f t="shared" si="3"/>
        <v>0</v>
      </c>
      <c r="D8" s="81">
        <f t="shared" si="4"/>
        <v>0</v>
      </c>
      <c r="E8" s="77">
        <f t="shared" si="5"/>
        <v>0</v>
      </c>
      <c r="G8" t="s">
        <v>105</v>
      </c>
      <c r="H8">
        <f>VLOOKUP(Station_No,RISE_CALC,7,FALSE)</f>
        <v>6</v>
      </c>
      <c r="K8" t="str">
        <f>CONCATENATE("A(",H7,")=")</f>
        <v>A(5)=</v>
      </c>
      <c r="L8">
        <f>IFERROR(AD15,IFERROR(X24,AD27))</f>
        <v>8.6466666666666665</v>
      </c>
      <c r="Q8" s="80"/>
      <c r="R8" s="81"/>
      <c r="U8" s="79">
        <f>R3</f>
        <v>4</v>
      </c>
      <c r="V8" s="68">
        <f>VLOOKUP(U8,STN_TABLE,2,FALSE)</f>
        <v>0.9</v>
      </c>
      <c r="W8" s="68">
        <v>1</v>
      </c>
      <c r="X8" s="69">
        <f>V8*W8</f>
        <v>0.9</v>
      </c>
      <c r="Y8" s="78" t="s">
        <v>97</v>
      </c>
      <c r="Z8" s="78"/>
      <c r="AA8" s="78" t="s">
        <v>98</v>
      </c>
      <c r="AB8" s="78"/>
      <c r="AC8" s="7" t="s">
        <v>99</v>
      </c>
      <c r="AD8" s="7"/>
      <c r="AE8" s="66"/>
      <c r="AF8" s="67"/>
      <c r="AG8" s="68" t="e">
        <f>IF(OR(AF12-AF11=AF11-AF10,AF13-AF11=AF11-AF10),AF10,IF(OR(AF12-AF11=AF11-AF9,AF13-AF11=AF11-AF9),AF9,"-"))</f>
        <v>#VALUE!</v>
      </c>
      <c r="AH8" s="69" t="str">
        <f>IFERROR(VLOOKUP(AG8,STN_TABLE,2,FALSE),IF(AF8=RisePerWLS,0,"-"))</f>
        <v>-</v>
      </c>
      <c r="AI8" s="69">
        <v>5</v>
      </c>
      <c r="AJ8" s="69" t="e">
        <f>AH8*AI8</f>
        <v>#VALUE!</v>
      </c>
      <c r="AK8" s="69">
        <v>3</v>
      </c>
      <c r="AL8" s="69" t="e">
        <f>AH8*AK8</f>
        <v>#VALUE!</v>
      </c>
      <c r="AM8" s="6" t="s">
        <v>93</v>
      </c>
      <c r="AN8" s="70" t="e">
        <f>IF(AND(AG10-AG9=AG9-AG8,NOT(AND(AG8=0,AG9=0)),NOT(AND(AG9=0,AG10=0))),WLS*(AG10-AG9),"#NA")</f>
        <v>#VALUE!</v>
      </c>
    </row>
    <row r="9" spans="1:46" x14ac:dyDescent="0.25">
      <c r="A9">
        <v>6</v>
      </c>
      <c r="B9" s="80">
        <f t="shared" si="2"/>
        <v>2</v>
      </c>
      <c r="C9" s="81">
        <f t="shared" si="3"/>
        <v>0</v>
      </c>
      <c r="D9" s="81">
        <f t="shared" si="4"/>
        <v>0</v>
      </c>
      <c r="E9" s="77">
        <f t="shared" si="5"/>
        <v>0</v>
      </c>
      <c r="G9" t="s">
        <v>106</v>
      </c>
      <c r="H9">
        <f>VLOOKUP(Station_No,RISE_CALC,8,FALSE)</f>
        <v>6.5</v>
      </c>
      <c r="K9" t="str">
        <f>CONCATENATE("M(",H7,")=")</f>
        <v>M(5)=</v>
      </c>
      <c r="L9">
        <f>IFERROR(AD16,IFERROR(X25,AD28))</f>
        <v>77.900000000000006</v>
      </c>
      <c r="Q9" s="80"/>
      <c r="R9" s="81"/>
      <c r="U9" s="88">
        <f>R4</f>
        <v>4.8499999999999996</v>
      </c>
      <c r="V9" s="82">
        <f>VLOOKUP(U9,STN_TABLE,2,FALSE)</f>
        <v>2.59</v>
      </c>
      <c r="W9" s="82">
        <v>2</v>
      </c>
      <c r="X9" s="83">
        <f>V9*W9</f>
        <v>5.18</v>
      </c>
      <c r="Y9" s="84" t="str">
        <f>CONCATENATE("a'(",U9,")=")</f>
        <v>a'(4.85)=</v>
      </c>
      <c r="Z9" s="84">
        <f>2*Z7/2*V10</f>
        <v>5.9329999999999972</v>
      </c>
      <c r="AA9" s="84" t="str">
        <f>CONCATENATE("A(",U8,")=")</f>
        <v>A(4)=</v>
      </c>
      <c r="AB9" s="84">
        <f>IF(U8=RisePerWLS,0,VLOOKUP(U8,STN_TABLE,3,FALSE))</f>
        <v>0.9</v>
      </c>
      <c r="AC9" t="str">
        <f>CONCATENATE("A(",U9,")=")</f>
        <v>A(4.85)=</v>
      </c>
      <c r="AD9">
        <f>Z9+AB9</f>
        <v>6.8329999999999975</v>
      </c>
      <c r="AE9" s="66" t="str">
        <f t="shared" ref="AE9:AF13" si="6">G6</f>
        <v>2nd_UWL</v>
      </c>
      <c r="AF9" s="67">
        <f t="shared" si="6"/>
        <v>4.8499999999999996</v>
      </c>
      <c r="AG9" s="76">
        <f>AF11</f>
        <v>6</v>
      </c>
      <c r="AH9" s="77">
        <f>VLOOKUP(AG9,STN_TABLE,2,FALSE)</f>
        <v>3.82</v>
      </c>
      <c r="AI9" s="77">
        <v>8</v>
      </c>
      <c r="AJ9" s="77">
        <f>AH9*AI9</f>
        <v>30.56</v>
      </c>
      <c r="AK9" s="77">
        <v>10</v>
      </c>
      <c r="AL9" s="77">
        <f>AH9*AK9</f>
        <v>38.199999999999996</v>
      </c>
      <c r="AM9" s="78" t="s">
        <v>97</v>
      </c>
      <c r="AN9" s="78"/>
      <c r="AO9" s="78" t="s">
        <v>98</v>
      </c>
      <c r="AP9" s="78"/>
      <c r="AQ9" s="7" t="s">
        <v>99</v>
      </c>
      <c r="AR9" s="7"/>
      <c r="AS9" s="7"/>
      <c r="AT9" s="7"/>
    </row>
    <row r="10" spans="1:46" x14ac:dyDescent="0.25">
      <c r="A10">
        <v>7</v>
      </c>
      <c r="B10" s="80">
        <f t="shared" si="2"/>
        <v>3</v>
      </c>
      <c r="C10" s="81">
        <f t="shared" si="3"/>
        <v>0</v>
      </c>
      <c r="D10" s="81">
        <f t="shared" si="4"/>
        <v>0</v>
      </c>
      <c r="E10" s="77">
        <f t="shared" si="5"/>
        <v>0</v>
      </c>
      <c r="G10" t="s">
        <v>107</v>
      </c>
      <c r="H10" t="str">
        <f>VLOOKUP(Station_No,RISE_CALC,9,FALSE)</f>
        <v xml:space="preserve">  </v>
      </c>
      <c r="K10" t="str">
        <f>CONCATENATE("A(",H8,")=")</f>
        <v>A(6)=</v>
      </c>
      <c r="L10">
        <f>IFERROR(AR5,IFERROR(AL12,AR15))</f>
        <v>22.233333333333331</v>
      </c>
      <c r="Q10" s="80"/>
      <c r="R10" s="81"/>
      <c r="V10" s="89">
        <f>SUM(V8:V9)</f>
        <v>3.4899999999999998</v>
      </c>
      <c r="X10" s="89">
        <f>SUM(X8:X9)</f>
        <v>6.08</v>
      </c>
      <c r="Y10" s="84" t="str">
        <f>CONCATENATE("m'(",U9,")=")</f>
        <v>m'(4.85)=</v>
      </c>
      <c r="Z10" s="84">
        <f>(2*(Z7^2)/6*X10)+(Z9*U8*WLS)</f>
        <v>53.321066666666638</v>
      </c>
      <c r="AA10" s="84" t="str">
        <f>CONCATENATE("M(",U8,")=")</f>
        <v>M(4)=</v>
      </c>
      <c r="AB10" s="84">
        <f>IF(U8=RisePerWLS,0,VLOOKUP(U8,STN_TABLE,4,FALSE))</f>
        <v>6.8999999999999995</v>
      </c>
      <c r="AC10" t="str">
        <f>CONCATENATE("M(",U9,")=")</f>
        <v>M(4.85)=</v>
      </c>
      <c r="AD10">
        <f>Z10+AB10</f>
        <v>60.221066666666637</v>
      </c>
      <c r="AE10" s="66" t="str">
        <f t="shared" si="6"/>
        <v>3rd_UWL</v>
      </c>
      <c r="AF10" s="67">
        <f t="shared" si="6"/>
        <v>5</v>
      </c>
      <c r="AG10" s="82" t="e">
        <f>IF(AG8-AG9=AG9-AF12,AF12,IF(AG8-AG9=AG9-AF13,AF13,"-"))</f>
        <v>#VALUE!</v>
      </c>
      <c r="AH10" s="83" t="e">
        <f>VLOOKUP(AG10,STN_TABLE,2,FALSE)</f>
        <v>#VALUE!</v>
      </c>
      <c r="AI10" s="83">
        <v>-1</v>
      </c>
      <c r="AJ10" s="83" t="e">
        <f>AH10*AI10</f>
        <v>#VALUE!</v>
      </c>
      <c r="AK10" s="83">
        <v>-1</v>
      </c>
      <c r="AL10" s="83" t="e">
        <f>AH10*AK10</f>
        <v>#VALUE!</v>
      </c>
      <c r="AM10" s="84" t="str">
        <f>CONCATENATE("a'(",AG9,")=")</f>
        <v>a'(6)=</v>
      </c>
      <c r="AN10" s="84" t="e">
        <f>2*AN8/12*AJ11</f>
        <v>#VALUE!</v>
      </c>
      <c r="AO10" s="84" t="e">
        <f>CONCATENATE("A(",AG8,")=")</f>
        <v>#VALUE!</v>
      </c>
      <c r="AP10" s="84" t="e">
        <f>VLOOKUP(AG8,STN_TABLE,3,FALSE)</f>
        <v>#VALUE!</v>
      </c>
      <c r="AQ10" t="str">
        <f>CONCATENATE("A(",AG9,")=")</f>
        <v>A(6)=</v>
      </c>
      <c r="AR10" t="e">
        <f>AN10+AP10</f>
        <v>#VALUE!</v>
      </c>
    </row>
    <row r="11" spans="1:46" x14ac:dyDescent="0.25">
      <c r="A11">
        <v>8</v>
      </c>
      <c r="B11" s="80">
        <f t="shared" si="2"/>
        <v>4</v>
      </c>
      <c r="C11" s="81">
        <f t="shared" si="3"/>
        <v>0.9</v>
      </c>
      <c r="D11" s="81">
        <f t="shared" si="4"/>
        <v>0.9</v>
      </c>
      <c r="E11" s="77">
        <f t="shared" si="5"/>
        <v>6.8999999999999995</v>
      </c>
      <c r="G11" t="s">
        <v>108</v>
      </c>
      <c r="H11" t="str">
        <f>VLOOKUP(Station_No,RISE_CALC,10,FALSE)</f>
        <v xml:space="preserve">  </v>
      </c>
      <c r="K11" t="str">
        <f>CONCATENATE("M(",H8,")=")</f>
        <v>M(6)=</v>
      </c>
      <c r="L11">
        <f>IFERROR(AR6,IFERROR(AL13,AR16))</f>
        <v>228.02</v>
      </c>
      <c r="Q11" s="80"/>
      <c r="R11" s="81"/>
      <c r="AE11" s="66" t="str">
        <f t="shared" si="6"/>
        <v>4th_UWL</v>
      </c>
      <c r="AF11" s="67">
        <f t="shared" si="6"/>
        <v>6</v>
      </c>
      <c r="AJ11" s="89" t="e">
        <f>SUM(AJ8:AJ10)</f>
        <v>#VALUE!</v>
      </c>
      <c r="AL11" s="89" t="e">
        <f>SUM(AL8:AL10)</f>
        <v>#VALUE!</v>
      </c>
      <c r="AM11" s="84" t="str">
        <f>CONCATENATE("m'(",AG9,")=")</f>
        <v>m'(6)=</v>
      </c>
      <c r="AN11" s="84" t="e">
        <f>(2*(AN8^2)/24*AL11)+(AN10*AG8*WLS)</f>
        <v>#VALUE!</v>
      </c>
      <c r="AO11" s="84" t="e">
        <f>CONCATENATE("M(",AG8,")=")</f>
        <v>#VALUE!</v>
      </c>
      <c r="AP11" s="84" t="e">
        <f>VLOOKUP(AG8,STN_TABLE,4,FALSE)</f>
        <v>#VALUE!</v>
      </c>
      <c r="AQ11" t="str">
        <f>CONCATENATE("M(",AG9,")=")</f>
        <v>M(6)=</v>
      </c>
      <c r="AR11" t="e">
        <f>AN11+AP11</f>
        <v>#VALUE!</v>
      </c>
    </row>
    <row r="12" spans="1:46" x14ac:dyDescent="0.25">
      <c r="A12">
        <v>9</v>
      </c>
      <c r="B12" s="80">
        <f t="shared" si="2"/>
        <v>4.8499999999999996</v>
      </c>
      <c r="C12" s="81">
        <f t="shared" si="3"/>
        <v>2.59</v>
      </c>
      <c r="D12" s="81">
        <f t="shared" si="4"/>
        <v>6.8329999999999975</v>
      </c>
      <c r="E12" s="77">
        <f t="shared" si="5"/>
        <v>60.221066666666637</v>
      </c>
      <c r="Q12" s="90" t="s">
        <v>109</v>
      </c>
      <c r="R12" s="81"/>
      <c r="AE12" s="66" t="str">
        <f t="shared" si="6"/>
        <v>5th_UWL</v>
      </c>
      <c r="AF12" s="67">
        <f t="shared" si="6"/>
        <v>6.5</v>
      </c>
      <c r="AI12" t="s">
        <v>103</v>
      </c>
      <c r="AK12" t="str">
        <f>CONCATENATE("A(",AG9,")=")</f>
        <v>A(6)=</v>
      </c>
      <c r="AL12" t="e">
        <f>IF(OR(AR10&lt;=0,AR11&lt;=0),AR15,AR10)</f>
        <v>#VALUE!</v>
      </c>
    </row>
    <row r="13" spans="1:46" x14ac:dyDescent="0.25">
      <c r="A13">
        <v>10</v>
      </c>
      <c r="B13" s="80">
        <f t="shared" si="2"/>
        <v>5</v>
      </c>
      <c r="C13" s="81">
        <f t="shared" si="3"/>
        <v>2.82</v>
      </c>
      <c r="D13" s="81">
        <f t="shared" si="4"/>
        <v>8.6466666666666665</v>
      </c>
      <c r="E13" s="77">
        <f t="shared" si="5"/>
        <v>77.900000000000006</v>
      </c>
      <c r="G13" s="71" t="s">
        <v>110</v>
      </c>
      <c r="Q13" s="66" t="str">
        <f t="shared" ref="Q13:R16" si="7">G4</f>
        <v>Rise</v>
      </c>
      <c r="R13" s="67">
        <f t="shared" si="7"/>
        <v>3.5</v>
      </c>
      <c r="S13" s="68" t="str">
        <f>IF(R16-R15=R15-R14,R14,IF(R16-R14=R14-R13,R13,"-"))</f>
        <v>-</v>
      </c>
      <c r="T13" s="69">
        <f>IFERROR(VLOOKUP(S13,STN_TABLE,2,FALSE),IF(R13=RisePerWLS,0,"-"))</f>
        <v>0</v>
      </c>
      <c r="U13" s="69">
        <v>1</v>
      </c>
      <c r="V13" s="69">
        <f>T13*U13</f>
        <v>0</v>
      </c>
      <c r="W13" s="69" t="str">
        <f>S13</f>
        <v>-</v>
      </c>
      <c r="X13" s="69" t="e">
        <f>V13*W13</f>
        <v>#VALUE!</v>
      </c>
      <c r="Y13" s="6" t="s">
        <v>93</v>
      </c>
      <c r="Z13" s="70" t="e">
        <f>IF(AND(T13=0,T14=0,T15=0),WLS*(S15-S14),IF(AND(S15-S14=S14-S13,S14&lt;&gt;S15,S13&lt;&gt;S14,S13&lt;&gt;S15,T15&lt;&gt;0,OR(T13&lt;&gt;0,T14&lt;&gt;0)),WLS*(S15-S14),"#NA"))</f>
        <v>#N/A</v>
      </c>
      <c r="AE13" s="66" t="str">
        <f t="shared" si="6"/>
        <v>6th_UWL</v>
      </c>
      <c r="AF13" s="67" t="str">
        <f t="shared" si="6"/>
        <v xml:space="preserve">  </v>
      </c>
      <c r="AK13" t="str">
        <f>CONCATENATE("M(",AG9,")=")</f>
        <v>M(6)=</v>
      </c>
      <c r="AL13" t="e">
        <f>IF(OR(AR10&lt;=0,AR11&lt;=0),AR16,AR11)</f>
        <v>#VALUE!</v>
      </c>
      <c r="AM13" s="6" t="s">
        <v>93</v>
      </c>
      <c r="AN13" s="70">
        <f>WLS*(AI15-AI14)</f>
        <v>2</v>
      </c>
    </row>
    <row r="14" spans="1:46" x14ac:dyDescent="0.25">
      <c r="A14">
        <v>11</v>
      </c>
      <c r="B14" s="80">
        <f t="shared" si="2"/>
        <v>6</v>
      </c>
      <c r="C14" s="81">
        <f t="shared" si="3"/>
        <v>3.82</v>
      </c>
      <c r="D14" s="81">
        <f t="shared" si="4"/>
        <v>22.233333333333331</v>
      </c>
      <c r="E14" s="77">
        <f t="shared" si="5"/>
        <v>228.02</v>
      </c>
      <c r="G14" s="91" t="str">
        <f>G4</f>
        <v>Rise</v>
      </c>
      <c r="H14" s="91">
        <f>RisePerWLS</f>
        <v>3.5</v>
      </c>
      <c r="I14" s="68">
        <f>H14</f>
        <v>3.5</v>
      </c>
      <c r="J14" s="69">
        <v>0</v>
      </c>
      <c r="K14" s="69">
        <v>5</v>
      </c>
      <c r="L14" s="69">
        <f>J14*K14</f>
        <v>0</v>
      </c>
      <c r="M14" s="69">
        <v>3</v>
      </c>
      <c r="N14" s="69">
        <f>J14*M14</f>
        <v>0</v>
      </c>
      <c r="O14" t="s">
        <v>93</v>
      </c>
      <c r="P14" t="e">
        <f>IF(AND(NOT(AND(J14=0,J15=0)),I14&lt;&gt;I15,I15&lt;&gt;I16,I16-I15=I15-I14),(I16-I15)*WLS,"#NA")</f>
        <v>#VALUE!</v>
      </c>
      <c r="Q14" s="66" t="str">
        <f t="shared" si="7"/>
        <v>1st_UWL</v>
      </c>
      <c r="R14" s="67">
        <f t="shared" si="7"/>
        <v>4</v>
      </c>
      <c r="S14" s="76" t="str">
        <f>IF(R16-R15=R15-R14,R15,IF(R16-R14=R14-R13,R14,"-"))</f>
        <v>-</v>
      </c>
      <c r="T14" s="77" t="e">
        <f>VLOOKUP(S14,STN_TABLE,2,FALSE)</f>
        <v>#N/A</v>
      </c>
      <c r="U14" s="77">
        <v>4</v>
      </c>
      <c r="V14" s="77" t="e">
        <f>T14*U14</f>
        <v>#N/A</v>
      </c>
      <c r="W14" s="77" t="str">
        <f>S14</f>
        <v>-</v>
      </c>
      <c r="X14" s="77" t="e">
        <f>V14*W14</f>
        <v>#N/A</v>
      </c>
      <c r="Y14" s="78" t="s">
        <v>97</v>
      </c>
      <c r="Z14" s="78"/>
      <c r="AA14" s="78" t="s">
        <v>98</v>
      </c>
      <c r="AB14" s="78"/>
      <c r="AC14" s="7" t="s">
        <v>99</v>
      </c>
      <c r="AD14" s="7"/>
      <c r="AE14" s="66"/>
      <c r="AF14" s="67"/>
      <c r="AI14" s="79">
        <f>AF10</f>
        <v>5</v>
      </c>
      <c r="AJ14" s="68">
        <f>VLOOKUP(AI14,STN_TABLE,2,FALSE)</f>
        <v>2.82</v>
      </c>
      <c r="AK14" s="68">
        <v>1</v>
      </c>
      <c r="AL14" s="69">
        <f>AJ14*AK14</f>
        <v>2.82</v>
      </c>
      <c r="AM14" s="78" t="s">
        <v>97</v>
      </c>
      <c r="AN14" s="78"/>
      <c r="AO14" s="78" t="s">
        <v>98</v>
      </c>
      <c r="AP14" s="78"/>
      <c r="AQ14" s="7" t="s">
        <v>99</v>
      </c>
      <c r="AR14" s="7"/>
      <c r="AS14" s="7"/>
      <c r="AT14" s="7"/>
    </row>
    <row r="15" spans="1:46" x14ac:dyDescent="0.25">
      <c r="A15">
        <v>12</v>
      </c>
      <c r="B15" s="80">
        <f t="shared" si="2"/>
        <v>6.5</v>
      </c>
      <c r="C15" s="81">
        <f t="shared" si="3"/>
        <v>4.24</v>
      </c>
      <c r="D15" s="81">
        <f t="shared" si="4"/>
        <v>30.293333333333329</v>
      </c>
      <c r="E15" s="77">
        <f t="shared" si="5"/>
        <v>328.84000000000003</v>
      </c>
      <c r="G15" s="91" t="str">
        <f>G5</f>
        <v>1st_UWL</v>
      </c>
      <c r="H15" s="91">
        <f>H5</f>
        <v>4</v>
      </c>
      <c r="I15" s="76">
        <f>H15</f>
        <v>4</v>
      </c>
      <c r="J15" s="77">
        <f>VLOOKUP(I15,STN_TABLE,2,FALSE)</f>
        <v>0.9</v>
      </c>
      <c r="K15" s="77">
        <v>8</v>
      </c>
      <c r="L15" s="77">
        <f>J15*K15</f>
        <v>7.2</v>
      </c>
      <c r="M15" s="77">
        <v>10</v>
      </c>
      <c r="N15" s="77">
        <f>J15*M15</f>
        <v>9</v>
      </c>
      <c r="O15" t="str">
        <f>CONCATENATE("A(",I15,")=")</f>
        <v>A(4)=</v>
      </c>
      <c r="P15" t="e">
        <f>2*P14/12*L17</f>
        <v>#VALUE!</v>
      </c>
      <c r="Q15" s="66" t="str">
        <f t="shared" si="7"/>
        <v>2nd_UWL</v>
      </c>
      <c r="R15" s="67">
        <f t="shared" si="7"/>
        <v>4.8499999999999996</v>
      </c>
      <c r="S15" s="82">
        <f>R16</f>
        <v>5</v>
      </c>
      <c r="T15" s="83">
        <f>VLOOKUP(S15,STN_TABLE,2,FALSE)</f>
        <v>2.82</v>
      </c>
      <c r="U15" s="83">
        <v>1</v>
      </c>
      <c r="V15" s="83">
        <f>T15*U15</f>
        <v>2.82</v>
      </c>
      <c r="W15" s="83">
        <f>S15</f>
        <v>5</v>
      </c>
      <c r="X15" s="83">
        <f>V15*W15</f>
        <v>14.1</v>
      </c>
      <c r="Y15" s="84" t="str">
        <f>CONCATENATE("a'(",S15,")=")</f>
        <v>a'(5)=</v>
      </c>
      <c r="Z15" s="84" t="e">
        <f>2*Z13/3*V16</f>
        <v>#N/A</v>
      </c>
      <c r="AA15" s="84" t="str">
        <f>CONCATENATE("A(",S13,")=")</f>
        <v>A(-)=</v>
      </c>
      <c r="AB15" s="84" t="e">
        <f>IF(S13=RisePerWLS,0,VLOOKUP(S13,STN_TABLE,3,FALSE))</f>
        <v>#N/A</v>
      </c>
      <c r="AC15" t="str">
        <f>CONCATENATE("A(",S15,")=")</f>
        <v>A(5)=</v>
      </c>
      <c r="AD15" t="e">
        <f>Z15+AB15</f>
        <v>#N/A</v>
      </c>
      <c r="AE15" s="80"/>
      <c r="AI15" s="88">
        <f>AF11</f>
        <v>6</v>
      </c>
      <c r="AJ15" s="82">
        <f>VLOOKUP(AI15,STN_TABLE,2,FALSE)</f>
        <v>3.82</v>
      </c>
      <c r="AK15" s="82">
        <v>2</v>
      </c>
      <c r="AL15" s="83">
        <f>AJ15*AK15</f>
        <v>7.64</v>
      </c>
      <c r="AM15" s="84" t="str">
        <f>CONCATENATE("a'(",AI15,")=")</f>
        <v>a'(6)=</v>
      </c>
      <c r="AN15" s="84">
        <f>2*AN13/2*AJ16</f>
        <v>13.28</v>
      </c>
      <c r="AO15" s="84" t="str">
        <f>CONCATENATE("A(",AI14,")=")</f>
        <v>A(5)=</v>
      </c>
      <c r="AP15" s="84">
        <f>IF(AI14=RisePerWLS,0,VLOOKUP(AI14,STN_TABLE,3,FALSE))</f>
        <v>8.6466666666666665</v>
      </c>
      <c r="AQ15" t="str">
        <f>CONCATENATE("A(",AI15,")=")</f>
        <v>A(6)=</v>
      </c>
      <c r="AR15">
        <f>AN15+AP15</f>
        <v>21.926666666666666</v>
      </c>
    </row>
    <row r="16" spans="1:46" x14ac:dyDescent="0.25">
      <c r="A16">
        <v>13</v>
      </c>
      <c r="B16" s="80" t="str">
        <f t="shared" si="2"/>
        <v xml:space="preserve">  </v>
      </c>
      <c r="C16" s="81" t="str">
        <f t="shared" si="3"/>
        <v xml:space="preserve">  </v>
      </c>
      <c r="D16" s="81" t="str">
        <f t="shared" si="4"/>
        <v xml:space="preserve"> </v>
      </c>
      <c r="E16" s="77" t="str">
        <f t="shared" si="5"/>
        <v xml:space="preserve"> </v>
      </c>
      <c r="G16" s="91" t="str">
        <f>G6</f>
        <v>2nd_UWL</v>
      </c>
      <c r="H16" s="91">
        <f>H6</f>
        <v>4.8499999999999996</v>
      </c>
      <c r="I16" s="82" t="str">
        <f>IF(H16-H15=H15-H14,H16,"#NA")</f>
        <v>#NA</v>
      </c>
      <c r="J16" s="83" t="e">
        <f>VLOOKUP(I16,STN_TABLE,2,FALSE)</f>
        <v>#N/A</v>
      </c>
      <c r="K16" s="83">
        <v>-1</v>
      </c>
      <c r="L16" s="83" t="e">
        <f>J16*K16</f>
        <v>#N/A</v>
      </c>
      <c r="M16" s="83">
        <v>-1</v>
      </c>
      <c r="N16" s="83" t="e">
        <f>J16*M16</f>
        <v>#N/A</v>
      </c>
      <c r="O16" t="str">
        <f>CONCATENATE("M(",I15,")=")</f>
        <v>M(4)=</v>
      </c>
      <c r="P16" t="e">
        <f>(2*(P14^2)/24*N17)+P15*I14*WLS</f>
        <v>#VALUE!</v>
      </c>
      <c r="Q16" s="66" t="str">
        <f t="shared" si="7"/>
        <v>3rd_UWL</v>
      </c>
      <c r="R16" s="67">
        <f t="shared" si="7"/>
        <v>5</v>
      </c>
      <c r="V16" s="89" t="e">
        <f>SUM(V13:V15)</f>
        <v>#N/A</v>
      </c>
      <c r="X16" s="89" t="e">
        <f>SUM(X13:X15)</f>
        <v>#VALUE!</v>
      </c>
      <c r="Y16" s="84" t="str">
        <f>CONCATENATE("m'(",S15,")=")</f>
        <v>m'(5)=</v>
      </c>
      <c r="Z16" s="84" t="e">
        <f>2*(Z13*WLS)/3*X16</f>
        <v>#N/A</v>
      </c>
      <c r="AA16" s="84" t="str">
        <f>CONCATENATE("M(",S13,")=")</f>
        <v>M(-)=</v>
      </c>
      <c r="AB16" s="84" t="e">
        <f>IF(S13=RisePerWLS,0,VLOOKUP(S13,STN_TABLE,4,FALSE))</f>
        <v>#N/A</v>
      </c>
      <c r="AC16" t="str">
        <f>CONCATENATE("M(",S15,")=")</f>
        <v>M(5)=</v>
      </c>
      <c r="AD16" t="e">
        <f>Z16+AB16</f>
        <v>#N/A</v>
      </c>
      <c r="AE16" s="80"/>
      <c r="AJ16" s="89">
        <f>SUM(AJ14:AJ15)</f>
        <v>6.64</v>
      </c>
      <c r="AL16" s="89">
        <f>SUM(AL14:AL15)</f>
        <v>10.459999999999999</v>
      </c>
      <c r="AM16" s="84" t="str">
        <f>CONCATENATE("m'(",AI15,")=")</f>
        <v>m'(6)=</v>
      </c>
      <c r="AN16" s="84">
        <f>(2*(AN13^2)/6*AL16)+(AN15*AI14*WLS)</f>
        <v>146.74666666666664</v>
      </c>
      <c r="AO16" s="84" t="str">
        <f>CONCATENATE("M(",AI14,")=")</f>
        <v>M(5)=</v>
      </c>
      <c r="AP16" s="84">
        <f>IF(AI14=RisePerWLS,0,VLOOKUP(AI14,STN_TABLE,4,FALSE))</f>
        <v>77.900000000000006</v>
      </c>
      <c r="AQ16" t="str">
        <f>CONCATENATE("M(",AI15,")=")</f>
        <v>M(6)=</v>
      </c>
      <c r="AR16">
        <f>AN16+AP16</f>
        <v>224.64666666666665</v>
      </c>
    </row>
    <row r="17" spans="1:35" x14ac:dyDescent="0.25">
      <c r="A17">
        <v>14</v>
      </c>
      <c r="B17" s="80" t="str">
        <f t="shared" si="2"/>
        <v xml:space="preserve">  </v>
      </c>
      <c r="C17" s="81" t="str">
        <f t="shared" si="3"/>
        <v xml:space="preserve">  </v>
      </c>
      <c r="D17" s="81" t="str">
        <f t="shared" si="4"/>
        <v xml:space="preserve"> </v>
      </c>
      <c r="E17" s="77" t="str">
        <f t="shared" si="5"/>
        <v xml:space="preserve"> </v>
      </c>
      <c r="G17" s="91"/>
      <c r="H17" s="91"/>
      <c r="L17" s="89" t="e">
        <f>SUM(L14:L16)</f>
        <v>#N/A</v>
      </c>
      <c r="N17" s="89" t="e">
        <f>SUM(N14:N16)</f>
        <v>#N/A</v>
      </c>
      <c r="Q17" s="66"/>
      <c r="R17" s="67"/>
      <c r="AE17" s="90"/>
    </row>
    <row r="18" spans="1:35" x14ac:dyDescent="0.25">
      <c r="A18">
        <v>15</v>
      </c>
      <c r="B18" s="80" t="str">
        <f t="shared" si="2"/>
        <v xml:space="preserve">  </v>
      </c>
      <c r="C18" s="81" t="str">
        <f t="shared" si="3"/>
        <v xml:space="preserve">  </v>
      </c>
      <c r="D18" s="81" t="str">
        <f t="shared" si="4"/>
        <v xml:space="preserve"> </v>
      </c>
      <c r="E18" s="77" t="str">
        <f t="shared" si="5"/>
        <v xml:space="preserve"> </v>
      </c>
      <c r="G18" s="91"/>
      <c r="H18" s="91"/>
      <c r="K18" t="s">
        <v>103</v>
      </c>
      <c r="M18" t="str">
        <f>CONCATENATE("A(",I15,")=")</f>
        <v>A(4)=</v>
      </c>
      <c r="N18" t="e">
        <f>IF(OR(P15&lt;=0,P16&lt;=0),N22,P15)</f>
        <v>#VALUE!</v>
      </c>
      <c r="Q18" s="66"/>
      <c r="R18" s="67"/>
      <c r="AE18" s="80"/>
    </row>
    <row r="19" spans="1:35" x14ac:dyDescent="0.25">
      <c r="A19">
        <v>16</v>
      </c>
      <c r="B19" s="80" t="str">
        <f t="shared" si="2"/>
        <v xml:space="preserve">  </v>
      </c>
      <c r="C19" s="81" t="str">
        <f t="shared" si="3"/>
        <v xml:space="preserve">  </v>
      </c>
      <c r="D19" s="81" t="str">
        <f t="shared" si="4"/>
        <v xml:space="preserve"> </v>
      </c>
      <c r="E19" s="77" t="str">
        <f t="shared" si="5"/>
        <v xml:space="preserve"> </v>
      </c>
      <c r="G19" s="91"/>
      <c r="H19" s="91"/>
      <c r="M19" t="str">
        <f>CONCATENATE("M(",I15,")=")</f>
        <v>M(4)=</v>
      </c>
      <c r="N19" t="e">
        <f>IF(OR(P15&lt;=0,P16&lt;=0),N23,P16)</f>
        <v>#VALUE!</v>
      </c>
      <c r="Q19" s="66"/>
      <c r="AE19" s="80"/>
    </row>
    <row r="20" spans="1:35" x14ac:dyDescent="0.25">
      <c r="A20">
        <v>17</v>
      </c>
      <c r="B20" s="80" t="str">
        <f t="shared" si="2"/>
        <v xml:space="preserve">  </v>
      </c>
      <c r="C20" s="81" t="str">
        <f t="shared" si="3"/>
        <v xml:space="preserve">  </v>
      </c>
      <c r="D20" s="81" t="str">
        <f t="shared" si="4"/>
        <v xml:space="preserve"> </v>
      </c>
      <c r="E20" s="77" t="str">
        <f t="shared" si="5"/>
        <v xml:space="preserve"> </v>
      </c>
      <c r="G20" s="91"/>
      <c r="H20" s="91"/>
      <c r="Q20" s="66"/>
      <c r="R20" s="67"/>
      <c r="S20" s="68">
        <f>IF(OR(R24-R23=R23-R22,R25-R23=R23-R22),R22,IF(OR(R24-R23=R23-R21,R25-R23=R23-R21),R21,"-"))</f>
        <v>4</v>
      </c>
      <c r="T20" s="69">
        <f>IFERROR(VLOOKUP(S20,STN_TABLE,2,FALSE),IF(#REF!=RisePerWLS,0,"-"))</f>
        <v>0.9</v>
      </c>
      <c r="U20" s="69">
        <v>5</v>
      </c>
      <c r="V20" s="69">
        <f>T20*U20</f>
        <v>4.5</v>
      </c>
      <c r="W20" s="69">
        <v>3</v>
      </c>
      <c r="X20" s="69">
        <f>T20*W20</f>
        <v>2.7</v>
      </c>
      <c r="Y20" s="6" t="s">
        <v>93</v>
      </c>
      <c r="Z20" s="70">
        <f>IF(AND(S22-S21=S21-S20,NOT(AND(S20=0,S21=0)),NOT(AND(S21=0,S22=0))),WLS*(S22-S21),"#NA")</f>
        <v>2</v>
      </c>
      <c r="AE20" s="80"/>
    </row>
    <row r="21" spans="1:35" x14ac:dyDescent="0.25">
      <c r="A21">
        <v>18</v>
      </c>
      <c r="B21" s="80" t="str">
        <f t="shared" si="2"/>
        <v xml:space="preserve">  </v>
      </c>
      <c r="C21" s="81" t="str">
        <f t="shared" si="3"/>
        <v xml:space="preserve">  </v>
      </c>
      <c r="D21" s="81" t="str">
        <f t="shared" si="4"/>
        <v xml:space="preserve"> </v>
      </c>
      <c r="E21" s="77" t="str">
        <f t="shared" si="5"/>
        <v xml:space="preserve"> </v>
      </c>
      <c r="G21" s="91"/>
      <c r="H21" s="91" t="str">
        <f>G14</f>
        <v>Rise</v>
      </c>
      <c r="I21" s="79">
        <f>H14</f>
        <v>3.5</v>
      </c>
      <c r="J21" s="68">
        <v>0</v>
      </c>
      <c r="K21" s="68">
        <v>1</v>
      </c>
      <c r="L21" s="69">
        <f>J21*K21</f>
        <v>0</v>
      </c>
      <c r="M21" t="s">
        <v>93</v>
      </c>
      <c r="N21">
        <f>(I22-I21)*WLS</f>
        <v>1</v>
      </c>
      <c r="Q21" s="66" t="str">
        <f t="shared" ref="Q21:R25" si="8">G5</f>
        <v>1st_UWL</v>
      </c>
      <c r="R21" s="67">
        <f t="shared" si="8"/>
        <v>4</v>
      </c>
      <c r="S21" s="76">
        <f>R23</f>
        <v>5</v>
      </c>
      <c r="T21" s="77">
        <f>VLOOKUP(S21,STN_TABLE,2,FALSE)</f>
        <v>2.82</v>
      </c>
      <c r="U21" s="77">
        <v>8</v>
      </c>
      <c r="V21" s="77">
        <f>T21*U21</f>
        <v>22.56</v>
      </c>
      <c r="W21" s="77">
        <v>10</v>
      </c>
      <c r="X21" s="77">
        <f>T21*W21</f>
        <v>28.2</v>
      </c>
      <c r="Y21" s="78" t="s">
        <v>97</v>
      </c>
      <c r="Z21" s="78"/>
      <c r="AA21" s="78" t="s">
        <v>98</v>
      </c>
      <c r="AB21" s="78"/>
      <c r="AC21" s="7" t="s">
        <v>99</v>
      </c>
      <c r="AD21" s="7"/>
      <c r="AE21" s="80"/>
    </row>
    <row r="22" spans="1:35" x14ac:dyDescent="0.25">
      <c r="A22">
        <v>19</v>
      </c>
      <c r="B22" s="80" t="str">
        <f t="shared" si="2"/>
        <v xml:space="preserve">  </v>
      </c>
      <c r="C22" s="81" t="str">
        <f t="shared" si="3"/>
        <v xml:space="preserve">  </v>
      </c>
      <c r="D22" s="81" t="str">
        <f t="shared" si="4"/>
        <v xml:space="preserve"> </v>
      </c>
      <c r="E22" s="77" t="str">
        <f t="shared" si="5"/>
        <v xml:space="preserve"> </v>
      </c>
      <c r="G22" s="91"/>
      <c r="H22" s="91" t="str">
        <f>G15</f>
        <v>1st_UWL</v>
      </c>
      <c r="I22" s="88">
        <f>H15</f>
        <v>4</v>
      </c>
      <c r="J22" s="82">
        <f>VLOOKUP(I22,STN_TABLE,2,FALSE)</f>
        <v>0.9</v>
      </c>
      <c r="K22" s="82">
        <v>2</v>
      </c>
      <c r="L22" s="83">
        <f>J22*K22</f>
        <v>1.8</v>
      </c>
      <c r="M22" t="str">
        <f>CONCATENATE("A(",I22,")=")</f>
        <v>A(4)=</v>
      </c>
      <c r="N22">
        <f>2*N21/2*J23</f>
        <v>0.9</v>
      </c>
      <c r="Q22" s="66" t="str">
        <f t="shared" si="8"/>
        <v>2nd_UWL</v>
      </c>
      <c r="R22" s="67">
        <f t="shared" si="8"/>
        <v>4.8499999999999996</v>
      </c>
      <c r="S22" s="82">
        <f>IF(S20-S21=S21-R24,R24,IF(S20-S21=S21-R25,R25,"-"))</f>
        <v>6</v>
      </c>
      <c r="T22" s="83">
        <f>VLOOKUP(S22,STN_TABLE,2,FALSE)</f>
        <v>3.82</v>
      </c>
      <c r="U22" s="83">
        <v>-1</v>
      </c>
      <c r="V22" s="83">
        <f>T22*U22</f>
        <v>-3.82</v>
      </c>
      <c r="W22" s="83">
        <v>-1</v>
      </c>
      <c r="X22" s="83">
        <f>T22*W22</f>
        <v>-3.82</v>
      </c>
      <c r="Y22" s="84" t="str">
        <f>CONCATENATE("a'(",S21,")=")</f>
        <v>a'(5)=</v>
      </c>
      <c r="Z22" s="84">
        <f>2*Z20/12*V23</f>
        <v>7.7466666666666661</v>
      </c>
      <c r="AA22" s="84" t="str">
        <f>CONCATENATE("A(",S20,")=")</f>
        <v>A(4)=</v>
      </c>
      <c r="AB22" s="84">
        <f>IF(S20=RisePerWLS,0,VLOOKUP(S20,STN_TABLE,3,FALSE))</f>
        <v>0.9</v>
      </c>
      <c r="AC22" t="str">
        <f>CONCATENATE("A(",S21,")=")</f>
        <v>A(5)=</v>
      </c>
      <c r="AD22">
        <f>Z22+AB22</f>
        <v>8.6466666666666665</v>
      </c>
      <c r="AE22" s="80"/>
    </row>
    <row r="23" spans="1:35" x14ac:dyDescent="0.25">
      <c r="A23">
        <v>20</v>
      </c>
      <c r="B23" s="80" t="str">
        <f t="shared" si="2"/>
        <v xml:space="preserve">  </v>
      </c>
      <c r="C23" s="81" t="str">
        <f t="shared" si="3"/>
        <v xml:space="preserve">  </v>
      </c>
      <c r="D23" s="81" t="str">
        <f t="shared" si="4"/>
        <v xml:space="preserve"> </v>
      </c>
      <c r="E23" s="77" t="str">
        <f t="shared" si="5"/>
        <v xml:space="preserve"> </v>
      </c>
      <c r="J23" s="89">
        <f>SUM(J21:J22)</f>
        <v>0.9</v>
      </c>
      <c r="L23" s="89">
        <f>SUM(L21:L22)</f>
        <v>1.8</v>
      </c>
      <c r="M23" t="str">
        <f>CONCATENATE("M(",I22,")=")</f>
        <v>M(4)=</v>
      </c>
      <c r="N23">
        <f>(2*(N21^2)/6*L23)+N22*I21*WLS</f>
        <v>6.8999999999999995</v>
      </c>
      <c r="Q23" s="66" t="str">
        <f t="shared" si="8"/>
        <v>3rd_UWL</v>
      </c>
      <c r="R23" s="67">
        <f t="shared" si="8"/>
        <v>5</v>
      </c>
      <c r="V23" s="89">
        <f>SUM(V20:V22)</f>
        <v>23.24</v>
      </c>
      <c r="X23" s="89">
        <f>SUM(X20:X22)</f>
        <v>27.08</v>
      </c>
      <c r="Y23" s="84" t="str">
        <f>CONCATENATE("m'(",S21,")=")</f>
        <v>m'(5)=</v>
      </c>
      <c r="Z23" s="84">
        <f>(2*(Z20^2)/24*X23)+(Z22*S20*WLS)</f>
        <v>71</v>
      </c>
      <c r="AA23" s="84" t="str">
        <f>CONCATENATE("M(",S20,")=")</f>
        <v>M(4)=</v>
      </c>
      <c r="AB23" s="84">
        <f>IF(S20=RisePerWLS,0,VLOOKUP(S20,STN_TABLE,4,FALSE))</f>
        <v>6.8999999999999995</v>
      </c>
      <c r="AC23" t="str">
        <f>CONCATENATE("M(",S21,")=")</f>
        <v>M(5)=</v>
      </c>
      <c r="AD23">
        <f>Z23+AB23</f>
        <v>77.900000000000006</v>
      </c>
      <c r="AE23" s="80"/>
    </row>
    <row r="24" spans="1:35" x14ac:dyDescent="0.25">
      <c r="A24">
        <v>21</v>
      </c>
      <c r="B24" s="80" t="str">
        <f t="shared" si="2"/>
        <v xml:space="preserve">  </v>
      </c>
      <c r="C24" s="81" t="str">
        <f t="shared" si="3"/>
        <v xml:space="preserve">  </v>
      </c>
      <c r="D24" s="81" t="str">
        <f t="shared" si="4"/>
        <v xml:space="preserve"> </v>
      </c>
      <c r="E24" s="77" t="str">
        <f t="shared" si="5"/>
        <v xml:space="preserve"> </v>
      </c>
      <c r="Q24" s="66" t="str">
        <f t="shared" si="8"/>
        <v>4th_UWL</v>
      </c>
      <c r="R24" s="67">
        <f t="shared" si="8"/>
        <v>6</v>
      </c>
      <c r="U24" t="s">
        <v>103</v>
      </c>
      <c r="W24" t="str">
        <f>CONCATENATE("A(",S21,")=")</f>
        <v>A(5)=</v>
      </c>
      <c r="X24">
        <f>IF(OR(AD22&lt;=0,AD23&lt;=0),AD27,AD22)</f>
        <v>8.6466666666666665</v>
      </c>
      <c r="AE24" s="80"/>
    </row>
    <row r="25" spans="1:35" x14ac:dyDescent="0.25">
      <c r="A25">
        <v>22</v>
      </c>
      <c r="B25" s="80" t="str">
        <f t="shared" si="2"/>
        <v xml:space="preserve">  </v>
      </c>
      <c r="C25" s="81" t="str">
        <f t="shared" si="3"/>
        <v xml:space="preserve">  </v>
      </c>
      <c r="D25" s="81" t="str">
        <f t="shared" si="4"/>
        <v xml:space="preserve"> </v>
      </c>
      <c r="E25" s="77" t="str">
        <f t="shared" si="5"/>
        <v xml:space="preserve"> </v>
      </c>
      <c r="G25" s="71" t="s">
        <v>111</v>
      </c>
      <c r="Q25" s="66" t="str">
        <f t="shared" si="8"/>
        <v>5th_UWL</v>
      </c>
      <c r="R25" s="67">
        <f t="shared" si="8"/>
        <v>6.5</v>
      </c>
      <c r="W25" t="str">
        <f>CONCATENATE("M(",S21,")=")</f>
        <v>M(5)=</v>
      </c>
      <c r="X25">
        <f>IF(OR(AD22&lt;=0,AD23&lt;=0),AD28,AD23)</f>
        <v>77.900000000000006</v>
      </c>
      <c r="Y25" s="6" t="s">
        <v>93</v>
      </c>
      <c r="Z25" s="70">
        <f>WLS*(U27-U26)</f>
        <v>0.30000000000000071</v>
      </c>
      <c r="AE25" s="80"/>
    </row>
    <row r="26" spans="1:35" x14ac:dyDescent="0.25">
      <c r="A26">
        <v>23</v>
      </c>
      <c r="B26" s="80" t="str">
        <f t="shared" si="2"/>
        <v xml:space="preserve">  </v>
      </c>
      <c r="C26" s="81" t="str">
        <f t="shared" si="3"/>
        <v xml:space="preserve">  </v>
      </c>
      <c r="D26" s="81" t="str">
        <f t="shared" si="4"/>
        <v xml:space="preserve"> </v>
      </c>
      <c r="E26" s="77" t="str">
        <f t="shared" si="5"/>
        <v xml:space="preserve"> </v>
      </c>
      <c r="G26" s="91" t="str">
        <f t="shared" ref="G26:H28" si="9">G4</f>
        <v>Rise</v>
      </c>
      <c r="H26" s="91">
        <f t="shared" si="9"/>
        <v>3.5</v>
      </c>
      <c r="I26" s="68">
        <f>H26</f>
        <v>3.5</v>
      </c>
      <c r="J26" s="69">
        <v>0</v>
      </c>
      <c r="K26" s="69">
        <v>1</v>
      </c>
      <c r="L26" s="69">
        <f>J26*K26</f>
        <v>0</v>
      </c>
      <c r="M26" s="69">
        <f>I26</f>
        <v>3.5</v>
      </c>
      <c r="N26" s="69">
        <f>L26*M26</f>
        <v>0</v>
      </c>
      <c r="O26" t="s">
        <v>93</v>
      </c>
      <c r="P26" t="e">
        <f>IF(OR(J26=0,J27=0,J28=0),"#NA",IF(I28-I27=I27-I26,WLS*(I27-I26),"#NA"))</f>
        <v>#N/A</v>
      </c>
      <c r="Q26" s="66"/>
      <c r="R26" s="67"/>
      <c r="U26" s="79">
        <f>R22</f>
        <v>4.8499999999999996</v>
      </c>
      <c r="V26" s="68">
        <f>VLOOKUP(U26,STN_TABLE,2,FALSE)</f>
        <v>2.59</v>
      </c>
      <c r="W26" s="68">
        <v>1</v>
      </c>
      <c r="X26" s="69">
        <f>V26*W26</f>
        <v>2.59</v>
      </c>
      <c r="Y26" s="78" t="s">
        <v>97</v>
      </c>
      <c r="Z26" s="78"/>
      <c r="AA26" s="78" t="s">
        <v>98</v>
      </c>
      <c r="AB26" s="78"/>
      <c r="AC26" s="7" t="s">
        <v>99</v>
      </c>
      <c r="AD26" s="7"/>
      <c r="AE26" s="80"/>
    </row>
    <row r="27" spans="1:35" x14ac:dyDescent="0.25">
      <c r="A27">
        <v>24</v>
      </c>
      <c r="B27" s="80" t="str">
        <f t="shared" si="2"/>
        <v xml:space="preserve">  </v>
      </c>
      <c r="C27" s="81" t="str">
        <f t="shared" si="3"/>
        <v xml:space="preserve">  </v>
      </c>
      <c r="D27" s="81" t="str">
        <f t="shared" si="4"/>
        <v xml:space="preserve"> </v>
      </c>
      <c r="E27" s="77" t="str">
        <f t="shared" si="5"/>
        <v xml:space="preserve"> </v>
      </c>
      <c r="G27" s="91" t="str">
        <f t="shared" si="9"/>
        <v>1st_UWL</v>
      </c>
      <c r="H27" s="91">
        <f t="shared" si="9"/>
        <v>4</v>
      </c>
      <c r="I27" s="76" t="str">
        <f>IF(H28-H27=H27-H26,H28,"#NA")</f>
        <v>#NA</v>
      </c>
      <c r="J27" s="77" t="e">
        <f>VLOOKUP(I27,STN_TABLE,2,FALSE)</f>
        <v>#N/A</v>
      </c>
      <c r="K27" s="77">
        <v>4</v>
      </c>
      <c r="L27" s="77" t="e">
        <f>J27*K27</f>
        <v>#N/A</v>
      </c>
      <c r="M27" s="77" t="str">
        <f>I27</f>
        <v>#NA</v>
      </c>
      <c r="N27" s="77" t="e">
        <f>L27*M27</f>
        <v>#N/A</v>
      </c>
      <c r="O27" t="str">
        <f>CONCATENATE("A(",I28,")=")</f>
        <v>A(#NA)=</v>
      </c>
      <c r="P27" t="e">
        <f>2*P26/3*L29</f>
        <v>#N/A</v>
      </c>
      <c r="Q27" s="80"/>
      <c r="R27" s="81"/>
      <c r="U27" s="88">
        <f>R23</f>
        <v>5</v>
      </c>
      <c r="V27" s="82">
        <f>VLOOKUP(U27,STN_TABLE,2,FALSE)</f>
        <v>2.82</v>
      </c>
      <c r="W27" s="82">
        <v>2</v>
      </c>
      <c r="X27" s="83">
        <f>V27*W27</f>
        <v>5.64</v>
      </c>
      <c r="Y27" s="84" t="str">
        <f>CONCATENATE("a'(",U27,")=")</f>
        <v>a'(5)=</v>
      </c>
      <c r="Z27" s="84">
        <f>2*Z25/2*V28</f>
        <v>1.623000000000004</v>
      </c>
      <c r="AA27" s="84" t="str">
        <f>CONCATENATE("A(",U26,")=")</f>
        <v>A(4.85)=</v>
      </c>
      <c r="AB27" s="84">
        <f>IF(U26=RisePerWLS,0,VLOOKUP(U26,STN_TABLE,3,FALSE))</f>
        <v>6.8329999999999975</v>
      </c>
      <c r="AC27" t="str">
        <f>CONCATENATE("A(",U27,")=")</f>
        <v>A(5)=</v>
      </c>
      <c r="AD27">
        <f>Z27+AB27</f>
        <v>8.4560000000000013</v>
      </c>
      <c r="AE27" s="80"/>
    </row>
    <row r="28" spans="1:35" x14ac:dyDescent="0.25">
      <c r="A28">
        <v>25</v>
      </c>
      <c r="B28" s="88" t="str">
        <f t="shared" si="2"/>
        <v xml:space="preserve">  </v>
      </c>
      <c r="C28" s="92" t="str">
        <f t="shared" si="3"/>
        <v xml:space="preserve">  </v>
      </c>
      <c r="D28" s="81" t="str">
        <f t="shared" si="4"/>
        <v xml:space="preserve"> </v>
      </c>
      <c r="E28" s="77" t="str">
        <f t="shared" si="5"/>
        <v xml:space="preserve"> </v>
      </c>
      <c r="G28" s="91" t="str">
        <f t="shared" si="9"/>
        <v>2nd_UWL</v>
      </c>
      <c r="H28" s="91">
        <f t="shared" si="9"/>
        <v>4.8499999999999996</v>
      </c>
      <c r="I28" s="82" t="str">
        <f>IF(H28-H27=H27-H26,H28,"#NA")</f>
        <v>#NA</v>
      </c>
      <c r="J28" s="83" t="e">
        <f>VLOOKUP(I28,STN_TABLE,2,FALSE)</f>
        <v>#N/A</v>
      </c>
      <c r="K28" s="83">
        <v>1</v>
      </c>
      <c r="L28" s="83" t="e">
        <f>J28*K28</f>
        <v>#N/A</v>
      </c>
      <c r="M28" s="83" t="str">
        <f>I28</f>
        <v>#NA</v>
      </c>
      <c r="N28" s="83" t="e">
        <f>L28*M28</f>
        <v>#N/A</v>
      </c>
      <c r="O28" t="str">
        <f>CONCATENATE("M(",I28,")=")</f>
        <v>M(#NA)=</v>
      </c>
      <c r="P28" t="e">
        <f>2*(P26*WLS)/3*N29</f>
        <v>#N/A</v>
      </c>
      <c r="Q28" s="80"/>
      <c r="R28" s="81"/>
      <c r="V28" s="89">
        <f>SUM(V26:V27)</f>
        <v>5.41</v>
      </c>
      <c r="X28" s="89">
        <f>SUM(X26:X27)</f>
        <v>8.23</v>
      </c>
      <c r="Y28" s="84" t="str">
        <f>CONCATENATE("m'(",U27,")=")</f>
        <v>m'(5)=</v>
      </c>
      <c r="Z28" s="84">
        <f>(2*(Z25^2)/6*X28)+(Z27*U26*WLS)</f>
        <v>15.990000000000039</v>
      </c>
      <c r="AA28" s="84" t="str">
        <f>CONCATENATE("M(",U26,")=")</f>
        <v>M(4.85)=</v>
      </c>
      <c r="AB28" s="84">
        <f>IF(U26=RisePerWLS,0,VLOOKUP(U26,STN_TABLE,4,FALSE))</f>
        <v>60.221066666666637</v>
      </c>
      <c r="AC28" t="str">
        <f>CONCATENATE("M(",U27,")=")</f>
        <v>M(5)=</v>
      </c>
      <c r="AD28">
        <f>Z28+AB28</f>
        <v>76.211066666666682</v>
      </c>
      <c r="AE28" s="80"/>
    </row>
    <row r="29" spans="1:35" x14ac:dyDescent="0.25">
      <c r="G29" s="91"/>
      <c r="H29" s="91"/>
      <c r="L29" s="89" t="e">
        <f>SUM(L26:L28)</f>
        <v>#N/A</v>
      </c>
      <c r="N29" s="89" t="e">
        <f>SUM(N26:N28)</f>
        <v>#N/A</v>
      </c>
      <c r="Q29" s="80"/>
      <c r="R29" s="81"/>
      <c r="AE29" s="80"/>
    </row>
    <row r="30" spans="1:35" x14ac:dyDescent="0.25">
      <c r="G30" s="91"/>
      <c r="H30" s="91"/>
    </row>
    <row r="31" spans="1:35" x14ac:dyDescent="0.25">
      <c r="G31" s="91"/>
      <c r="H31" s="91"/>
    </row>
    <row r="32" spans="1:35" x14ac:dyDescent="0.25">
      <c r="G32" s="91"/>
      <c r="H32" s="91"/>
      <c r="Q32" s="68">
        <f>B4</f>
        <v>0</v>
      </c>
      <c r="R32" s="69">
        <f>VLOOKUP(Q32,STN_TABLE,2,FALSE)</f>
        <v>0</v>
      </c>
      <c r="S32" s="69">
        <v>5</v>
      </c>
      <c r="T32" s="68">
        <f>R32*S32</f>
        <v>0</v>
      </c>
      <c r="U32" s="79">
        <v>3</v>
      </c>
      <c r="V32" s="68">
        <f>R32*U32</f>
        <v>0</v>
      </c>
      <c r="W32" t="s">
        <v>93</v>
      </c>
      <c r="X32" s="70">
        <f>IF(AND(Q34-Q33=Q33-Q32,NOT(AND(Q32=0,Q33=0)),NOT(AND(Q33=0,Q34=0))),WLS*(Q34-Q33),"#NA")</f>
        <v>0.5</v>
      </c>
      <c r="AD32" s="93"/>
      <c r="AH32" s="6" t="s">
        <v>93</v>
      </c>
      <c r="AI32" s="70">
        <f>WLS*(AD34-AD33)</f>
        <v>0.5</v>
      </c>
    </row>
    <row r="33" spans="1:47" x14ac:dyDescent="0.25">
      <c r="Q33" s="76">
        <f>B5</f>
        <v>0.25</v>
      </c>
      <c r="R33" s="77">
        <f>VLOOKUP(Q33,STN_TABLE,2,FALSE)</f>
        <v>0</v>
      </c>
      <c r="S33" s="77">
        <v>8</v>
      </c>
      <c r="T33" s="76">
        <f>R33*S33</f>
        <v>0</v>
      </c>
      <c r="U33" s="80">
        <v>10</v>
      </c>
      <c r="V33" s="76">
        <f>R33*U33</f>
        <v>0</v>
      </c>
      <c r="W33" s="495" t="s">
        <v>97</v>
      </c>
      <c r="X33" s="496"/>
      <c r="Y33" s="496" t="s">
        <v>98</v>
      </c>
      <c r="Z33" s="496"/>
      <c r="AA33" s="494" t="s">
        <v>99</v>
      </c>
      <c r="AB33" s="494"/>
      <c r="AC33" s="94">
        <v>1</v>
      </c>
      <c r="AD33" s="95">
        <f>VLOOKUP(AC33,STN_TABLE_2,2,FALSE)</f>
        <v>0</v>
      </c>
      <c r="AE33" s="68">
        <f>VLOOKUP(AD33,STN_TABLE,2,FALSE)</f>
        <v>0</v>
      </c>
      <c r="AF33" s="68">
        <v>1</v>
      </c>
      <c r="AG33" s="69">
        <f>AE33*AF33</f>
        <v>0</v>
      </c>
      <c r="AH33" s="496" t="s">
        <v>97</v>
      </c>
      <c r="AI33" s="496"/>
      <c r="AJ33" s="496" t="s">
        <v>98</v>
      </c>
      <c r="AK33" s="496"/>
      <c r="AL33" s="494" t="s">
        <v>99</v>
      </c>
      <c r="AM33" s="494"/>
      <c r="AP33" s="96" t="s">
        <v>112</v>
      </c>
      <c r="AQ33" s="89" t="s">
        <v>113</v>
      </c>
      <c r="AR33" s="89" t="s">
        <v>114</v>
      </c>
      <c r="AS33" s="89" t="s">
        <v>115</v>
      </c>
      <c r="AT33" s="97" t="s">
        <v>116</v>
      </c>
      <c r="AU33" s="98"/>
    </row>
    <row r="34" spans="1:47" x14ac:dyDescent="0.25">
      <c r="Q34" s="82">
        <f>B6</f>
        <v>0.5</v>
      </c>
      <c r="R34" s="83">
        <f>VLOOKUP(Q34,STN_TABLE,2,FALSE)</f>
        <v>0</v>
      </c>
      <c r="S34" s="83">
        <v>-1</v>
      </c>
      <c r="T34" s="82">
        <f>R34*S34</f>
        <v>0</v>
      </c>
      <c r="U34" s="88">
        <v>-1</v>
      </c>
      <c r="V34" s="82">
        <f>R34*U34</f>
        <v>0</v>
      </c>
      <c r="W34" s="84" t="str">
        <f>CONCATENATE("a'(",Q33,")=")</f>
        <v>a'(0.25)=</v>
      </c>
      <c r="X34" s="84">
        <f>2*X32/12*T35</f>
        <v>0</v>
      </c>
      <c r="Y34" s="84" t="str">
        <f>CONCATENATE("A(",Q32,")=")</f>
        <v>A(0)=</v>
      </c>
      <c r="Z34" s="84">
        <f>VLOOKUP(Q32,STN_TABLE,3,FALSE)</f>
        <v>0</v>
      </c>
      <c r="AA34" t="str">
        <f>CONCATENATE("A(",Q33,")=")</f>
        <v>A(0.25)=</v>
      </c>
      <c r="AB34">
        <f>X34+Z34</f>
        <v>0</v>
      </c>
      <c r="AC34" s="99">
        <f>AC33+1</f>
        <v>2</v>
      </c>
      <c r="AD34" s="100">
        <f>VLOOKUP(AC34,STN_TABLE_2,2,FALSE)</f>
        <v>0.25</v>
      </c>
      <c r="AE34" s="82">
        <f>VLOOKUP(AD34,STN_TABLE,2,FALSE)</f>
        <v>0</v>
      </c>
      <c r="AF34" s="82">
        <v>2</v>
      </c>
      <c r="AG34" s="83">
        <f>AE34*AF34</f>
        <v>0</v>
      </c>
      <c r="AH34" s="84" t="str">
        <f>CONCATENATE("a'(",AD34,")=")</f>
        <v>a'(0.25)=</v>
      </c>
      <c r="AI34" s="84">
        <f>2*AI32/2*AE35</f>
        <v>0</v>
      </c>
      <c r="AJ34" s="84" t="str">
        <f>CONCATENATE("A(",AD33,")=")</f>
        <v>A(0)=</v>
      </c>
      <c r="AK34" s="84">
        <f>VLOOKUP(AD33,STN_TABLE,3,FALSE)</f>
        <v>0</v>
      </c>
      <c r="AL34" t="str">
        <f>CONCATENATE("A(",AD34,")=")</f>
        <v>A(0.25)=</v>
      </c>
      <c r="AM34">
        <f>AI34+AK34</f>
        <v>0</v>
      </c>
      <c r="AO34" s="68" t="str">
        <f>AA34</f>
        <v>A(0.25)=</v>
      </c>
      <c r="AP34" s="79" t="e">
        <f>VLOOKUP(AO34,Rise_Results,2,FALSE)</f>
        <v>#N/A</v>
      </c>
      <c r="AQ34" s="76" t="s">
        <v>117</v>
      </c>
      <c r="AR34" s="76" t="e">
        <f>IF(OR(AB34&lt;=0,AB35&lt;=0),1/0,AB34)</f>
        <v>#DIV/0!</v>
      </c>
      <c r="AS34" s="76">
        <f>AM34</f>
        <v>0</v>
      </c>
      <c r="AT34" s="80">
        <f>IFERROR(AP34,IFERROR(AR34,AS34))</f>
        <v>0</v>
      </c>
    </row>
    <row r="35" spans="1:47" x14ac:dyDescent="0.25">
      <c r="A35" s="101"/>
      <c r="T35" s="89">
        <f>SUM(T32:T34)</f>
        <v>0</v>
      </c>
      <c r="V35" s="82">
        <f>SUM(V32:V34)</f>
        <v>0</v>
      </c>
      <c r="W35" s="84" t="str">
        <f>CONCATENATE("m'(",Q33,")=")</f>
        <v>m'(0.25)=</v>
      </c>
      <c r="X35" s="84">
        <f>(2*(X32^2)/24*V35)</f>
        <v>0</v>
      </c>
      <c r="Y35" s="84" t="str">
        <f>CONCATENATE("M(",Q32,")=")</f>
        <v>M(0)=</v>
      </c>
      <c r="Z35" s="84">
        <f>VLOOKUP(Q32,STN_TABLE,4,FALSE)</f>
        <v>0</v>
      </c>
      <c r="AA35" t="str">
        <f>CONCATENATE("M(",Q33,")=")</f>
        <v>M(0.25)=</v>
      </c>
      <c r="AB35">
        <f>X35+Z35</f>
        <v>0</v>
      </c>
      <c r="AE35" s="89">
        <f>SUM(AE33:AE34)</f>
        <v>0</v>
      </c>
      <c r="AG35" s="89">
        <f>SUM(AG33:AG34)</f>
        <v>0</v>
      </c>
      <c r="AH35" s="84" t="str">
        <f>CONCATENATE("m'(",AD34,")=")</f>
        <v>m'(0.25)=</v>
      </c>
      <c r="AI35" s="84">
        <f>(2*(AI32^2)/6*AG35)+(AI34*AD33*WLS)</f>
        <v>0</v>
      </c>
      <c r="AJ35" s="84" t="str">
        <f>CONCATENATE("M(",AD33,")=")</f>
        <v>M(0)=</v>
      </c>
      <c r="AK35" s="84">
        <f>VLOOKUP(AD33,STN_TABLE,4,FALSE)</f>
        <v>0</v>
      </c>
      <c r="AL35" t="str">
        <f>CONCATENATE("M(",AD34,")=")</f>
        <v>M(0.25)=</v>
      </c>
      <c r="AM35">
        <f>AI35+AK35</f>
        <v>0</v>
      </c>
      <c r="AO35" s="82" t="str">
        <f>AA35</f>
        <v>M(0.25)=</v>
      </c>
      <c r="AP35" s="88" t="e">
        <f>VLOOKUP(AO35,Rise_Results,2,FALSE)</f>
        <v>#N/A</v>
      </c>
      <c r="AQ35" s="82" t="s">
        <v>117</v>
      </c>
      <c r="AR35" s="82" t="e">
        <f>IF(OR(AB34&lt;=0,AB35&lt;=0),1/0,AB35)</f>
        <v>#DIV/0!</v>
      </c>
      <c r="AS35" s="82">
        <f>AM35</f>
        <v>0</v>
      </c>
      <c r="AT35" s="80">
        <f>IFERROR(AP35,IFERROR(AR35,AS35))</f>
        <v>0</v>
      </c>
    </row>
    <row r="36" spans="1:47" x14ac:dyDescent="0.25">
      <c r="O36" s="94">
        <v>1</v>
      </c>
      <c r="P36" s="101">
        <f t="shared" ref="P36:P67" si="10">VLOOKUP(O36,STN_TABLE_2,2,FALSE)</f>
        <v>0</v>
      </c>
      <c r="AU36" s="81"/>
    </row>
    <row r="37" spans="1:47" x14ac:dyDescent="0.25">
      <c r="A37" s="94">
        <v>1</v>
      </c>
      <c r="B37" s="94">
        <f>VLOOKUP(A37,STN_TABLE_2,2,FALSE)</f>
        <v>0</v>
      </c>
      <c r="C37" s="79">
        <f>B37</f>
        <v>0</v>
      </c>
      <c r="D37" s="68">
        <f>VLOOKUP(C37,STN_TABLE,2,FALSE)</f>
        <v>0</v>
      </c>
      <c r="E37" s="102">
        <v>1</v>
      </c>
      <c r="F37" s="68">
        <f>D37*E37</f>
        <v>0</v>
      </c>
      <c r="G37" s="69">
        <f>C37</f>
        <v>0</v>
      </c>
      <c r="H37" s="69">
        <f>F37*G37</f>
        <v>0</v>
      </c>
      <c r="I37" s="6" t="s">
        <v>93</v>
      </c>
      <c r="J37" s="70" t="str">
        <f>IF(OR(D37=0,D38=0,D39=0),"#NA",IF(AND(C39-C38=C38-C37,C38&lt;&gt;C39,C37&lt;&gt;C38,C37&lt;&gt;C39,D39&lt;&gt;0,OR(D37&lt;&gt;0,D38&lt;&gt;0)),WLS*(C39-C38),"#NA"))</f>
        <v>#NA</v>
      </c>
      <c r="O37" s="99">
        <f>O36+1</f>
        <v>2</v>
      </c>
      <c r="P37" s="99">
        <f t="shared" si="10"/>
        <v>0.25</v>
      </c>
      <c r="Q37" s="68">
        <f>IF(OR(P39-P38=P38-P37,P40-P38=P38-P37),P37,IF(OR(P39-P38=P38-P36,P40-P38=P38-P36),P36,"-"))</f>
        <v>0.25</v>
      </c>
      <c r="R37" s="69">
        <f>VLOOKUP(Q37,STN_TABLE,2,FALSE)</f>
        <v>0</v>
      </c>
      <c r="S37" s="69">
        <v>5</v>
      </c>
      <c r="T37" s="68">
        <f>R37*S37</f>
        <v>0</v>
      </c>
      <c r="U37" s="79">
        <v>3</v>
      </c>
      <c r="V37" s="68">
        <f>R37*U37</f>
        <v>0</v>
      </c>
      <c r="W37" s="6" t="s">
        <v>93</v>
      </c>
      <c r="X37" s="70">
        <f>IF(AND(Q39-Q38=Q38-Q37,NOT(AND(Q37=0,Q38=0)),NOT(AND(Q38=0,Q39=0))),WLS*(Q39-Q38),"#NA")</f>
        <v>0.5</v>
      </c>
      <c r="AD37" s="93"/>
      <c r="AH37" s="6" t="s">
        <v>93</v>
      </c>
      <c r="AI37" s="70">
        <f>WLS*(AD39-AD38)</f>
        <v>0.5</v>
      </c>
      <c r="AU37" s="81"/>
    </row>
    <row r="38" spans="1:47" x14ac:dyDescent="0.25">
      <c r="A38" s="94">
        <f>A37+1</f>
        <v>2</v>
      </c>
      <c r="B38" s="94">
        <f>VLOOKUP(A38,STN_TABLE_2,2,FALSE)</f>
        <v>0.25</v>
      </c>
      <c r="C38" s="80">
        <f>B38</f>
        <v>0.25</v>
      </c>
      <c r="D38" s="76">
        <f>VLOOKUP(C38,STN_TABLE,2,FALSE)</f>
        <v>0</v>
      </c>
      <c r="E38" s="81">
        <v>4</v>
      </c>
      <c r="F38" s="76">
        <f>D38*E38</f>
        <v>0</v>
      </c>
      <c r="G38" s="77">
        <f>C38</f>
        <v>0.25</v>
      </c>
      <c r="H38" s="77">
        <f>F38*G38</f>
        <v>0</v>
      </c>
      <c r="I38" s="496" t="s">
        <v>97</v>
      </c>
      <c r="J38" s="496"/>
      <c r="K38" s="78" t="s">
        <v>98</v>
      </c>
      <c r="L38" s="78"/>
      <c r="M38" s="7" t="s">
        <v>99</v>
      </c>
      <c r="N38" s="7"/>
      <c r="O38" s="99">
        <f>O37+1</f>
        <v>3</v>
      </c>
      <c r="P38" s="99">
        <f t="shared" si="10"/>
        <v>0.5</v>
      </c>
      <c r="Q38" s="76">
        <f>P38</f>
        <v>0.5</v>
      </c>
      <c r="R38" s="77">
        <f>VLOOKUP(Q38,STN_TABLE,2,FALSE)</f>
        <v>0</v>
      </c>
      <c r="S38" s="77">
        <v>8</v>
      </c>
      <c r="T38" s="76">
        <f>R38*S38</f>
        <v>0</v>
      </c>
      <c r="U38" s="80">
        <v>10</v>
      </c>
      <c r="V38" s="76">
        <f>R38*U38</f>
        <v>0</v>
      </c>
      <c r="W38" s="496" t="s">
        <v>97</v>
      </c>
      <c r="X38" s="496"/>
      <c r="Y38" s="496" t="s">
        <v>98</v>
      </c>
      <c r="Z38" s="496"/>
      <c r="AA38" s="494" t="s">
        <v>99</v>
      </c>
      <c r="AB38" s="494"/>
      <c r="AC38" s="99">
        <f>AC33+1</f>
        <v>2</v>
      </c>
      <c r="AD38" s="95">
        <f>VLOOKUP(AC38,STN_TABLE_2,2,FALSE)</f>
        <v>0.25</v>
      </c>
      <c r="AE38" s="68">
        <f>VLOOKUP(AD38,STN_TABLE,2,FALSE)</f>
        <v>0</v>
      </c>
      <c r="AF38" s="68">
        <v>1</v>
      </c>
      <c r="AG38" s="69">
        <f>AE38*AF38</f>
        <v>0</v>
      </c>
      <c r="AH38" s="496" t="s">
        <v>97</v>
      </c>
      <c r="AI38" s="496"/>
      <c r="AJ38" s="496" t="s">
        <v>98</v>
      </c>
      <c r="AK38" s="496"/>
      <c r="AL38" s="494" t="s">
        <v>99</v>
      </c>
      <c r="AM38" s="494"/>
      <c r="AP38" s="86" t="s">
        <v>112</v>
      </c>
      <c r="AQ38" s="89" t="s">
        <v>113</v>
      </c>
      <c r="AR38" s="89" t="s">
        <v>114</v>
      </c>
      <c r="AS38" s="89" t="s">
        <v>115</v>
      </c>
    </row>
    <row r="39" spans="1:47" x14ac:dyDescent="0.25">
      <c r="A39" s="94">
        <f>A38+1</f>
        <v>3</v>
      </c>
      <c r="B39" s="94">
        <f>VLOOKUP(A39,STN_TABLE_2,2,FALSE)</f>
        <v>0.5</v>
      </c>
      <c r="C39" s="88">
        <f>B39</f>
        <v>0.5</v>
      </c>
      <c r="D39" s="82">
        <f>VLOOKUP(C39,STN_TABLE,2,FALSE)</f>
        <v>0</v>
      </c>
      <c r="E39" s="92">
        <v>1</v>
      </c>
      <c r="F39" s="82">
        <f>D39*E39</f>
        <v>0</v>
      </c>
      <c r="G39" s="83">
        <f>C39</f>
        <v>0.5</v>
      </c>
      <c r="H39" s="83">
        <f>F39*G39</f>
        <v>0</v>
      </c>
      <c r="I39" s="84" t="str">
        <f>CONCATENATE("a'(",C39,")=")</f>
        <v>a'(0.5)=</v>
      </c>
      <c r="J39" s="84" t="e">
        <f>2*J37/3*F40</f>
        <v>#VALUE!</v>
      </c>
      <c r="K39" s="84" t="str">
        <f>CONCATENATE("A(",C37,")=")</f>
        <v>A(0)=</v>
      </c>
      <c r="L39" s="84">
        <f>VLOOKUP(C37,STN_TABLE,3,FALSE)</f>
        <v>0</v>
      </c>
      <c r="M39" t="str">
        <f>CONCATENATE("A(",C39,")=")</f>
        <v>A(0.5)=</v>
      </c>
      <c r="N39" t="e">
        <f>J39+L39</f>
        <v>#VALUE!</v>
      </c>
      <c r="O39" s="99">
        <f>O38+1</f>
        <v>4</v>
      </c>
      <c r="P39" s="99">
        <f t="shared" si="10"/>
        <v>0.75</v>
      </c>
      <c r="Q39" s="82">
        <f>IF(P39-P38=P38-P37,P39,IF(P40-P38=P38-P37,P40,IF(P39-P38=P38-P36,P39,IF(P40-P38=P38-P36,P40,"-"))))</f>
        <v>0.75</v>
      </c>
      <c r="R39" s="83">
        <f>VLOOKUP(Q39,STN_TABLE,2,FALSE)</f>
        <v>0</v>
      </c>
      <c r="S39" s="83">
        <v>-1</v>
      </c>
      <c r="T39" s="82">
        <f>R39*S39</f>
        <v>0</v>
      </c>
      <c r="U39" s="88">
        <v>-1</v>
      </c>
      <c r="V39" s="82">
        <f>R39*U39</f>
        <v>0</v>
      </c>
      <c r="W39" s="84" t="str">
        <f>CONCATENATE("a'(",Q38,")=")</f>
        <v>a'(0.5)=</v>
      </c>
      <c r="X39" s="84">
        <f>2*X37/12*T40</f>
        <v>0</v>
      </c>
      <c r="Y39" s="84" t="str">
        <f>CONCATENATE("A(",Q37,")=")</f>
        <v>A(0.25)=</v>
      </c>
      <c r="Z39" s="84">
        <f>VLOOKUP(Q37,STN_TABLE,3,FALSE)</f>
        <v>0</v>
      </c>
      <c r="AA39" t="str">
        <f>CONCATENATE("A(",Q38,")=")</f>
        <v>A(0.5)=</v>
      </c>
      <c r="AB39">
        <f>X39+Z39</f>
        <v>0</v>
      </c>
      <c r="AC39" s="99">
        <f>AC38+1</f>
        <v>3</v>
      </c>
      <c r="AD39" s="100">
        <f>VLOOKUP(AC39,STN_TABLE_2,2,FALSE)</f>
        <v>0.5</v>
      </c>
      <c r="AE39" s="82">
        <f>VLOOKUP(AD39,STN_TABLE,2,FALSE)</f>
        <v>0</v>
      </c>
      <c r="AF39" s="82">
        <v>2</v>
      </c>
      <c r="AG39" s="83">
        <f>AE39*AF39</f>
        <v>0</v>
      </c>
      <c r="AH39" s="84" t="str">
        <f>CONCATENATE("a'(",AD39,")=")</f>
        <v>a'(0.5)=</v>
      </c>
      <c r="AI39" s="84">
        <f>2*AI37/2*AE40</f>
        <v>0</v>
      </c>
      <c r="AJ39" s="84" t="str">
        <f>CONCATENATE("A(",AD38,")=")</f>
        <v>A(0.25)=</v>
      </c>
      <c r="AK39" s="84">
        <f>VLOOKUP(AD38,STN_TABLE,3,FALSE)</f>
        <v>0</v>
      </c>
      <c r="AL39" t="str">
        <f>CONCATENATE("A(",AD39,")=")</f>
        <v>A(0.5)=</v>
      </c>
      <c r="AM39">
        <f>AI39+AK39</f>
        <v>0</v>
      </c>
      <c r="AO39" s="68" t="str">
        <f>AA39</f>
        <v>A(0.5)=</v>
      </c>
      <c r="AP39" s="68" t="e">
        <f>VLOOKUP(AO39,Rise_Results,2,FALSE)</f>
        <v>#N/A</v>
      </c>
      <c r="AQ39" s="76" t="e">
        <f>N39</f>
        <v>#VALUE!</v>
      </c>
      <c r="AR39" s="76" t="e">
        <f>IF(OR(AB39&lt;=0,AB40&lt;=0),1/0,AB39)</f>
        <v>#DIV/0!</v>
      </c>
      <c r="AS39" s="76">
        <f>AM39</f>
        <v>0</v>
      </c>
      <c r="AT39">
        <f>IFERROR(AP39,IFERROR(AQ39,IFERROR(AR39,AS39)))</f>
        <v>0</v>
      </c>
    </row>
    <row r="40" spans="1:47" x14ac:dyDescent="0.25">
      <c r="A40">
        <v>4</v>
      </c>
      <c r="F40" s="82">
        <f>SUM(F37:F39)</f>
        <v>0</v>
      </c>
      <c r="H40" s="82">
        <f>SUM(H37:H39)</f>
        <v>0</v>
      </c>
      <c r="I40" s="84" t="str">
        <f>CONCATENATE("m'(",C39,")=")</f>
        <v>m'(0.5)=</v>
      </c>
      <c r="J40" s="84" t="e">
        <f>2*(J37*(WLS))/3*H40</f>
        <v>#VALUE!</v>
      </c>
      <c r="K40" s="84" t="str">
        <f>CONCATENATE("M(",C37,")=")</f>
        <v>M(0)=</v>
      </c>
      <c r="L40" s="84">
        <f>VLOOKUP(C37,STN_TABLE,4,FALSE)</f>
        <v>0</v>
      </c>
      <c r="M40" t="str">
        <f>CONCATENATE("M(",C39,")=")</f>
        <v>M(0.5)=</v>
      </c>
      <c r="N40" t="e">
        <f>J40+L40</f>
        <v>#VALUE!</v>
      </c>
      <c r="O40" s="99">
        <f>O39+1</f>
        <v>5</v>
      </c>
      <c r="P40" s="99">
        <f t="shared" si="10"/>
        <v>1</v>
      </c>
      <c r="T40" s="89">
        <f>SUM(T37:T39)</f>
        <v>0</v>
      </c>
      <c r="V40" s="82">
        <f>SUM(V37:V39)</f>
        <v>0</v>
      </c>
      <c r="W40" s="84" t="str">
        <f>CONCATENATE("m'(",Q38,")=")</f>
        <v>m'(0.5)=</v>
      </c>
      <c r="X40" s="84">
        <f>(2*(X37^2)/24*V40)+(X39*Q37*WLS)</f>
        <v>0</v>
      </c>
      <c r="Y40" s="84" t="str">
        <f>CONCATENATE("M(",Q37,")=")</f>
        <v>M(0.25)=</v>
      </c>
      <c r="Z40" s="84">
        <f>VLOOKUP(Q37,STN_TABLE,4,FALSE)</f>
        <v>0</v>
      </c>
      <c r="AA40" t="str">
        <f>CONCATENATE("M(",Q38,")=")</f>
        <v>M(0.5)=</v>
      </c>
      <c r="AB40">
        <f>X40+Z40</f>
        <v>0</v>
      </c>
      <c r="AE40" s="89">
        <f>SUM(AE38:AE39)</f>
        <v>0</v>
      </c>
      <c r="AG40" s="89">
        <f>SUM(AG38:AG39)</f>
        <v>0</v>
      </c>
      <c r="AH40" s="84" t="str">
        <f>CONCATENATE("m'(",AD39,")=")</f>
        <v>m'(0.5)=</v>
      </c>
      <c r="AI40" s="84">
        <f>(2*(AI37^2)/6*AG40)+(AI39*AD38*WLS)</f>
        <v>0</v>
      </c>
      <c r="AJ40" s="84" t="str">
        <f>CONCATENATE("M(",AD38,")=")</f>
        <v>M(0.25)=</v>
      </c>
      <c r="AK40" s="84">
        <f>VLOOKUP(AD38,STN_TABLE,4,FALSE)</f>
        <v>0</v>
      </c>
      <c r="AL40" t="str">
        <f>CONCATENATE("M(",AD39,")=")</f>
        <v>M(0.5)=</v>
      </c>
      <c r="AM40">
        <f>AI40+AK40</f>
        <v>0</v>
      </c>
      <c r="AO40" s="82" t="str">
        <f>AA40</f>
        <v>M(0.5)=</v>
      </c>
      <c r="AP40" s="82" t="e">
        <f>VLOOKUP(AO40,Rise_Results,2,FALSE)</f>
        <v>#N/A</v>
      </c>
      <c r="AQ40" s="82" t="e">
        <f>N40</f>
        <v>#VALUE!</v>
      </c>
      <c r="AR40" s="82" t="e">
        <f>IF(OR(AB39&lt;=0,AB40&lt;=0),1/0,AB40)</f>
        <v>#DIV/0!</v>
      </c>
      <c r="AS40" s="82">
        <f>AM40</f>
        <v>0</v>
      </c>
      <c r="AT40">
        <f>IFERROR(AP40,IFERROR(AQ40,IFERROR(AR40,AS40)))</f>
        <v>0</v>
      </c>
    </row>
    <row r="41" spans="1:47" x14ac:dyDescent="0.25">
      <c r="A41" s="106">
        <v>0</v>
      </c>
      <c r="O41" s="101">
        <f>O36+1</f>
        <v>2</v>
      </c>
      <c r="P41" s="101">
        <f t="shared" si="10"/>
        <v>0.25</v>
      </c>
    </row>
    <row r="42" spans="1:47" x14ac:dyDescent="0.25">
      <c r="A42" s="94">
        <f>A41+1</f>
        <v>1</v>
      </c>
      <c r="B42" s="94">
        <f t="shared" ref="B42:B73" si="11">VLOOKUP(A42,STN_TABLE_2,2,FALSE)</f>
        <v>0</v>
      </c>
      <c r="C42" s="79">
        <f>IF(C43=B43,B42,IF(C43=B44,IF(C44-C43=C43-B43,B43,IF(C44-C43=C43-B42,B42,"NA"))))</f>
        <v>0.25</v>
      </c>
      <c r="D42" s="68">
        <f>VLOOKUP(C42,STN_TABLE,2,FALSE)</f>
        <v>0</v>
      </c>
      <c r="E42" s="102">
        <v>1</v>
      </c>
      <c r="F42" s="68">
        <f>D42*E42</f>
        <v>0</v>
      </c>
      <c r="G42" s="69">
        <f>C42</f>
        <v>0.25</v>
      </c>
      <c r="H42" s="69">
        <f>F42*G42</f>
        <v>0</v>
      </c>
      <c r="I42" s="6" t="s">
        <v>93</v>
      </c>
      <c r="J42" s="70" t="str">
        <f>IF(OR(D42=0,D43=0,D44=0),"#NA",IF(AND(C44-C43=C43-C42,C43&lt;&gt;C44,C42&lt;&gt;C43,C42&lt;&gt;C44,D44&lt;&gt;0,OR(D42&lt;&gt;0,D43&lt;&gt;0)),WLS*(C44-C43),"#NA"))</f>
        <v>#NA</v>
      </c>
      <c r="O42" s="99">
        <f>O41+1</f>
        <v>3</v>
      </c>
      <c r="P42" s="99">
        <f t="shared" si="10"/>
        <v>0.5</v>
      </c>
      <c r="Q42" s="68">
        <f>IF(OR(P44-P43=P43-P42,P45-P43=P43-P42),P42,IF(OR(P44-P43=P43-P41,P45-P43=P43-P41),P41,"-"))</f>
        <v>0.5</v>
      </c>
      <c r="R42" s="69">
        <f>VLOOKUP(Q42,STN_TABLE,2,FALSE)</f>
        <v>0</v>
      </c>
      <c r="S42" s="69">
        <v>5</v>
      </c>
      <c r="T42" s="68">
        <f>R42*S42</f>
        <v>0</v>
      </c>
      <c r="U42" s="79">
        <v>3</v>
      </c>
      <c r="V42" s="68">
        <f>R42*U42</f>
        <v>0</v>
      </c>
      <c r="W42" s="6" t="s">
        <v>93</v>
      </c>
      <c r="X42" s="70">
        <f>IF(AND(Q44-Q43=Q43-Q42,NOT(AND(Q42=0,Q43=0)),NOT(AND(Q43=0,Q44=0))),WLS*(Q44-Q43),"#NA")</f>
        <v>0.5</v>
      </c>
      <c r="AD42" s="93"/>
      <c r="AH42" s="6" t="s">
        <v>93</v>
      </c>
      <c r="AI42" s="70">
        <f>WLS*(AD44-AD43)</f>
        <v>0.5</v>
      </c>
      <c r="AU42" s="81"/>
    </row>
    <row r="43" spans="1:47" x14ac:dyDescent="0.25">
      <c r="A43" s="94">
        <f>A42+1</f>
        <v>2</v>
      </c>
      <c r="B43" s="94">
        <f t="shared" si="11"/>
        <v>0.25</v>
      </c>
      <c r="C43" s="80">
        <f>IF(OR(B45-B44=B44-B43,B45-B44=B44-B42,),B44,IF(B45-B43=B43-B42,B43,"#NA"))</f>
        <v>0.5</v>
      </c>
      <c r="D43" s="76">
        <f>VLOOKUP(C43,STN_TABLE,2,FALSE)</f>
        <v>0</v>
      </c>
      <c r="E43" s="81">
        <v>4</v>
      </c>
      <c r="F43" s="76">
        <f>D43*E43</f>
        <v>0</v>
      </c>
      <c r="G43" s="77">
        <f>C43</f>
        <v>0.5</v>
      </c>
      <c r="H43" s="77">
        <f>F43*G43</f>
        <v>0</v>
      </c>
      <c r="I43" s="496" t="s">
        <v>97</v>
      </c>
      <c r="J43" s="496"/>
      <c r="K43" s="78" t="s">
        <v>98</v>
      </c>
      <c r="L43" s="78"/>
      <c r="M43" s="7" t="s">
        <v>99</v>
      </c>
      <c r="N43" s="7"/>
      <c r="O43" s="99">
        <f>O42+1</f>
        <v>4</v>
      </c>
      <c r="P43" s="99">
        <f t="shared" si="10"/>
        <v>0.75</v>
      </c>
      <c r="Q43" s="76">
        <f>P43</f>
        <v>0.75</v>
      </c>
      <c r="R43" s="77">
        <f>VLOOKUP(Q43,STN_TABLE,2,FALSE)</f>
        <v>0</v>
      </c>
      <c r="S43" s="77">
        <v>8</v>
      </c>
      <c r="T43" s="76">
        <f>R43*S43</f>
        <v>0</v>
      </c>
      <c r="U43" s="80">
        <v>10</v>
      </c>
      <c r="V43" s="76">
        <f>R43*U43</f>
        <v>0</v>
      </c>
      <c r="W43" s="496" t="s">
        <v>97</v>
      </c>
      <c r="X43" s="496"/>
      <c r="Y43" s="496" t="s">
        <v>98</v>
      </c>
      <c r="Z43" s="496"/>
      <c r="AA43" s="494" t="s">
        <v>99</v>
      </c>
      <c r="AB43" s="494"/>
      <c r="AC43" s="99">
        <f>AC38+1</f>
        <v>3</v>
      </c>
      <c r="AD43" s="95">
        <f>VLOOKUP(AC43,STN_TABLE_2,2,FALSE)</f>
        <v>0.5</v>
      </c>
      <c r="AE43" s="68">
        <f>VLOOKUP(AD43,STN_TABLE,2,FALSE)</f>
        <v>0</v>
      </c>
      <c r="AF43" s="68">
        <v>1</v>
      </c>
      <c r="AG43" s="69">
        <f>AE43*AF43</f>
        <v>0</v>
      </c>
      <c r="AH43" s="496" t="s">
        <v>97</v>
      </c>
      <c r="AI43" s="496"/>
      <c r="AJ43" s="496" t="s">
        <v>98</v>
      </c>
      <c r="AK43" s="496"/>
      <c r="AL43" s="494" t="s">
        <v>99</v>
      </c>
      <c r="AM43" s="494"/>
      <c r="AP43" s="86" t="s">
        <v>112</v>
      </c>
      <c r="AQ43" s="89" t="s">
        <v>113</v>
      </c>
      <c r="AR43" s="89" t="s">
        <v>114</v>
      </c>
      <c r="AS43" s="89" t="s">
        <v>115</v>
      </c>
      <c r="AU43" s="81"/>
    </row>
    <row r="44" spans="1:47" x14ac:dyDescent="0.25">
      <c r="A44" s="94">
        <f>A43+1</f>
        <v>3</v>
      </c>
      <c r="B44" s="94">
        <f t="shared" si="11"/>
        <v>0.5</v>
      </c>
      <c r="C44" s="88">
        <f>B45</f>
        <v>0.75</v>
      </c>
      <c r="D44" s="82">
        <f>VLOOKUP(C44,STN_TABLE,2,FALSE)</f>
        <v>0</v>
      </c>
      <c r="E44" s="92">
        <v>1</v>
      </c>
      <c r="F44" s="82">
        <f>D44*E44</f>
        <v>0</v>
      </c>
      <c r="G44" s="83">
        <f>C44</f>
        <v>0.75</v>
      </c>
      <c r="H44" s="83">
        <f>F44*G44</f>
        <v>0</v>
      </c>
      <c r="I44" s="84" t="str">
        <f>CONCATENATE("a'(",C44,")=")</f>
        <v>a'(0.75)=</v>
      </c>
      <c r="J44" s="84" t="e">
        <f>2*J42/3*F45</f>
        <v>#VALUE!</v>
      </c>
      <c r="K44" s="84" t="str">
        <f>CONCATENATE("A(",C42,")=")</f>
        <v>A(0.25)=</v>
      </c>
      <c r="L44" s="84">
        <f>VLOOKUP(C42,STN_TABLE,3,FALSE)</f>
        <v>0</v>
      </c>
      <c r="M44" t="str">
        <f>CONCATENATE("A(",C44,")=")</f>
        <v>A(0.75)=</v>
      </c>
      <c r="N44" t="e">
        <f>J44+L44</f>
        <v>#VALUE!</v>
      </c>
      <c r="O44" s="99">
        <f>O43+1</f>
        <v>5</v>
      </c>
      <c r="P44" s="99">
        <f t="shared" si="10"/>
        <v>1</v>
      </c>
      <c r="Q44" s="82">
        <f>IF(P44-P43=P43-P42,P44,IF(P45-P43=P43-P42,P45,IF(P44-P43=P43-P41,P44,IF(P45-P43=P43-P41,P45,"-"))))</f>
        <v>1</v>
      </c>
      <c r="R44" s="83">
        <f>VLOOKUP(Q44,STN_TABLE,2,FALSE)</f>
        <v>0</v>
      </c>
      <c r="S44" s="83">
        <v>-1</v>
      </c>
      <c r="T44" s="82">
        <f>R44*S44</f>
        <v>0</v>
      </c>
      <c r="U44" s="88">
        <v>-1</v>
      </c>
      <c r="V44" s="82">
        <f>R44*U44</f>
        <v>0</v>
      </c>
      <c r="W44" s="84" t="str">
        <f>CONCATENATE("a'(",Q43,")=")</f>
        <v>a'(0.75)=</v>
      </c>
      <c r="X44" s="84">
        <f>2*X42/12*T45</f>
        <v>0</v>
      </c>
      <c r="Y44" s="84" t="str">
        <f>CONCATENATE("A(",Q42,")=")</f>
        <v>A(0.5)=</v>
      </c>
      <c r="Z44" s="84">
        <f>VLOOKUP(Q42,STN_TABLE,3,FALSE)</f>
        <v>0</v>
      </c>
      <c r="AA44" t="str">
        <f>CONCATENATE("A(",Q43,")=")</f>
        <v>A(0.75)=</v>
      </c>
      <c r="AB44">
        <f>X44+Z44</f>
        <v>0</v>
      </c>
      <c r="AC44" s="99">
        <f>AC43+1</f>
        <v>4</v>
      </c>
      <c r="AD44" s="100">
        <f>VLOOKUP(AC44,STN_TABLE_2,2,FALSE)</f>
        <v>0.75</v>
      </c>
      <c r="AE44" s="82">
        <f>VLOOKUP(AD44,STN_TABLE,2,FALSE)</f>
        <v>0</v>
      </c>
      <c r="AF44" s="82">
        <v>2</v>
      </c>
      <c r="AG44" s="83">
        <f>AE44*AF44</f>
        <v>0</v>
      </c>
      <c r="AH44" s="84" t="str">
        <f>CONCATENATE("a'(",AD44,")=")</f>
        <v>a'(0.75)=</v>
      </c>
      <c r="AI44" s="84">
        <f>2*AI42/2*AE45</f>
        <v>0</v>
      </c>
      <c r="AJ44" s="84" t="str">
        <f>CONCATENATE("A(",AD43,")=")</f>
        <v>A(0.5)=</v>
      </c>
      <c r="AK44" s="84">
        <f>VLOOKUP(AD43,STN_TABLE,3,FALSE)</f>
        <v>0</v>
      </c>
      <c r="AL44" t="str">
        <f>CONCATENATE("A(",AD44,")=")</f>
        <v>A(0.75)=</v>
      </c>
      <c r="AM44">
        <f>AI44+AK44</f>
        <v>0</v>
      </c>
      <c r="AO44" s="68" t="str">
        <f>AA44</f>
        <v>A(0.75)=</v>
      </c>
      <c r="AP44" s="68" t="e">
        <f>VLOOKUP(AO44,Rise_Results,2,FALSE)</f>
        <v>#N/A</v>
      </c>
      <c r="AQ44" s="76" t="e">
        <f>N44</f>
        <v>#VALUE!</v>
      </c>
      <c r="AR44" s="76" t="e">
        <f>IF(OR(AB44&lt;=0,AB45&lt;=0),1/0,AB44)</f>
        <v>#DIV/0!</v>
      </c>
      <c r="AS44" s="76">
        <f>AM44</f>
        <v>0</v>
      </c>
      <c r="AT44">
        <f>IFERROR(AP44,IFERROR(AQ44,IFERROR(AR44,AS44)))</f>
        <v>0</v>
      </c>
      <c r="AU44" s="81"/>
    </row>
    <row r="45" spans="1:47" x14ac:dyDescent="0.25">
      <c r="A45" s="94">
        <f>A44+1</f>
        <v>4</v>
      </c>
      <c r="B45" s="94">
        <f t="shared" si="11"/>
        <v>0.75</v>
      </c>
      <c r="F45" s="82">
        <f>SUM(F42:F44)</f>
        <v>0</v>
      </c>
      <c r="H45" s="82">
        <f>SUM(H42:H44)</f>
        <v>0</v>
      </c>
      <c r="I45" s="84" t="str">
        <f>CONCATENATE("m'(",C44,")=")</f>
        <v>m'(0.75)=</v>
      </c>
      <c r="J45" s="84" t="e">
        <f>2*(J42*(WLS))/3*H45</f>
        <v>#VALUE!</v>
      </c>
      <c r="K45" s="84" t="str">
        <f>CONCATENATE("M(",C42,")=")</f>
        <v>M(0.25)=</v>
      </c>
      <c r="L45" s="84">
        <f>VLOOKUP(C42,STN_TABLE,4,FALSE)</f>
        <v>0</v>
      </c>
      <c r="M45" t="str">
        <f>CONCATENATE("M(",C44,")=")</f>
        <v>M(0.75)=</v>
      </c>
      <c r="N45" t="e">
        <f>J45+L45</f>
        <v>#VALUE!</v>
      </c>
      <c r="O45" s="99">
        <f>O44+1</f>
        <v>6</v>
      </c>
      <c r="P45" s="99">
        <f t="shared" si="10"/>
        <v>2</v>
      </c>
      <c r="T45" s="89">
        <f>SUM(T42:T44)</f>
        <v>0</v>
      </c>
      <c r="V45" s="82">
        <f>SUM(V42:V44)</f>
        <v>0</v>
      </c>
      <c r="W45" s="84" t="str">
        <f>CONCATENATE("m'(",Q43,")=")</f>
        <v>m'(0.75)=</v>
      </c>
      <c r="X45" s="84">
        <f>(2*(X42^2)/24*V45)+(X44*Q42*WLS)</f>
        <v>0</v>
      </c>
      <c r="Y45" s="84" t="str">
        <f>CONCATENATE("M(",Q42,")=")</f>
        <v>M(0.5)=</v>
      </c>
      <c r="Z45" s="84">
        <f>VLOOKUP(Q42,STN_TABLE,4,FALSE)</f>
        <v>0</v>
      </c>
      <c r="AA45" t="str">
        <f>CONCATENATE("M(",Q43,")=")</f>
        <v>M(0.75)=</v>
      </c>
      <c r="AB45">
        <f>X45+Z45</f>
        <v>0</v>
      </c>
      <c r="AE45" s="89">
        <f>SUM(AE43:AE44)</f>
        <v>0</v>
      </c>
      <c r="AG45" s="89">
        <f>SUM(AG43:AG44)</f>
        <v>0</v>
      </c>
      <c r="AH45" s="84" t="str">
        <f>CONCATENATE("m'(",AD44,")=")</f>
        <v>m'(0.75)=</v>
      </c>
      <c r="AI45" s="84">
        <f>(2*(AI42^2)/6*AG45)+(AI44*AD43*WLS)</f>
        <v>0</v>
      </c>
      <c r="AJ45" s="84" t="str">
        <f>CONCATENATE("M(",AD43,")=")</f>
        <v>M(0.5)=</v>
      </c>
      <c r="AK45" s="84">
        <f>VLOOKUP(AD43,STN_TABLE,4,FALSE)</f>
        <v>0</v>
      </c>
      <c r="AL45" t="str">
        <f>CONCATENATE("M(",AD44,")=")</f>
        <v>M(0.75)=</v>
      </c>
      <c r="AM45">
        <f>AI45+AK45</f>
        <v>0</v>
      </c>
      <c r="AO45" s="82" t="str">
        <f>AA45</f>
        <v>M(0.75)=</v>
      </c>
      <c r="AP45" s="82" t="e">
        <f>VLOOKUP(AO45,Rise_Results,2,FALSE)</f>
        <v>#N/A</v>
      </c>
      <c r="AQ45" s="82" t="e">
        <f>N45</f>
        <v>#VALUE!</v>
      </c>
      <c r="AR45" s="82" t="e">
        <f>IF(OR(AB44&lt;=0,AB45&lt;=0),1/0,AB45)</f>
        <v>#DIV/0!</v>
      </c>
      <c r="AS45" s="82">
        <f>AM45</f>
        <v>0</v>
      </c>
      <c r="AT45">
        <f>IFERROR(AP45,IFERROR(AQ45,IFERROR(AR45,AS45)))</f>
        <v>0</v>
      </c>
      <c r="AU45" s="81"/>
    </row>
    <row r="46" spans="1:47" x14ac:dyDescent="0.25">
      <c r="A46" s="101">
        <f>A41+1</f>
        <v>1</v>
      </c>
      <c r="B46" s="101">
        <f t="shared" si="11"/>
        <v>0</v>
      </c>
      <c r="O46" s="101">
        <f>O41+1</f>
        <v>3</v>
      </c>
      <c r="P46" s="101">
        <f t="shared" si="10"/>
        <v>0.5</v>
      </c>
      <c r="AU46" s="81"/>
    </row>
    <row r="47" spans="1:47" x14ac:dyDescent="0.25">
      <c r="A47" s="84">
        <f>A46+1</f>
        <v>2</v>
      </c>
      <c r="B47" s="84">
        <f t="shared" si="11"/>
        <v>0.25</v>
      </c>
      <c r="C47" s="79">
        <f>IF(C48=B49,IF(C49-C48=C48-B48,B48,IF(C49-C48=C48-B47,B47,"#NA")),IF(C48=B48,IF(C49-C48=C48-B47,B47,IF(C49-C48=C48-B46,B46,"#NA")),"#NA"))</f>
        <v>0.5</v>
      </c>
      <c r="D47" s="68">
        <f>VLOOKUP(C47,STN_TABLE,2,FALSE)</f>
        <v>0</v>
      </c>
      <c r="E47" s="102">
        <v>1</v>
      </c>
      <c r="F47" s="68">
        <f>D47*E47</f>
        <v>0</v>
      </c>
      <c r="G47" s="69">
        <f>C47</f>
        <v>0.5</v>
      </c>
      <c r="H47" s="69">
        <f>F47*G47</f>
        <v>0</v>
      </c>
      <c r="I47" s="6" t="s">
        <v>93</v>
      </c>
      <c r="J47" s="70" t="str">
        <f>IF(OR(D47=0,D48=0,D49=0),"#NA",IF(AND(C49-C48=C48-C47,C48&lt;&gt;C49,C47&lt;&gt;C48,C47&lt;&gt;C49,D49&lt;&gt;0,OR(D47&lt;&gt;0,D48&lt;&gt;0)),WLS*(C49-C48),"#NA"))</f>
        <v>#NA</v>
      </c>
      <c r="O47" s="99">
        <f>O46+1</f>
        <v>4</v>
      </c>
      <c r="P47" s="99">
        <f t="shared" si="10"/>
        <v>0.75</v>
      </c>
      <c r="Q47" s="68" t="str">
        <f>IF(OR(P49-P48=P48-P47,P50-P48=P48-P47),P47,IF(OR(P49-P48=P48-P46,P50-P48=P48-P46),P46,"-"))</f>
        <v>-</v>
      </c>
      <c r="R47" s="69" t="e">
        <f>VLOOKUP(Q47,STN_TABLE,2,FALSE)</f>
        <v>#N/A</v>
      </c>
      <c r="S47" s="69">
        <v>5</v>
      </c>
      <c r="T47" s="68" t="e">
        <f>R47*S47</f>
        <v>#N/A</v>
      </c>
      <c r="U47" s="79">
        <v>3</v>
      </c>
      <c r="V47" s="68" t="e">
        <f>R47*U47</f>
        <v>#N/A</v>
      </c>
      <c r="W47" s="6" t="s">
        <v>93</v>
      </c>
      <c r="X47" s="70" t="e">
        <f>IF(AND(Q49-Q48=Q48-Q47,NOT(AND(Q47=0,Q48=0)),NOT(AND(Q48=0,Q49=0))),WLS*(Q49-Q48),"#NA")</f>
        <v>#VALUE!</v>
      </c>
      <c r="AD47" s="93"/>
      <c r="AH47" s="6" t="s">
        <v>93</v>
      </c>
      <c r="AI47" s="70">
        <f>WLS*(AD49-AD48)</f>
        <v>0.5</v>
      </c>
      <c r="AU47" s="81"/>
    </row>
    <row r="48" spans="1:47" x14ac:dyDescent="0.25">
      <c r="A48" s="84">
        <f>A47+1</f>
        <v>3</v>
      </c>
      <c r="B48" s="84">
        <f t="shared" si="11"/>
        <v>0.5</v>
      </c>
      <c r="C48" s="80">
        <f>IF(OR(B50-B49=B49-B48,B50-B49=B49-B47,B50-B49=B49-B46),B49,IF(OR(B50-B48=B48-B47,B50-B48=B48-B46),B48,IF(B50-B47=B47-B46,B47,"#NA")))</f>
        <v>0.75</v>
      </c>
      <c r="D48" s="76">
        <f>VLOOKUP(C48,STN_TABLE,2,FALSE)</f>
        <v>0</v>
      </c>
      <c r="E48" s="81">
        <v>4</v>
      </c>
      <c r="F48" s="76">
        <f>D48*E48</f>
        <v>0</v>
      </c>
      <c r="G48" s="77">
        <f>C48</f>
        <v>0.75</v>
      </c>
      <c r="H48" s="77">
        <f>F48*G48</f>
        <v>0</v>
      </c>
      <c r="I48" s="496" t="s">
        <v>97</v>
      </c>
      <c r="J48" s="496"/>
      <c r="K48" s="78" t="s">
        <v>98</v>
      </c>
      <c r="L48" s="78"/>
      <c r="M48" s="7" t="s">
        <v>99</v>
      </c>
      <c r="N48" s="7"/>
      <c r="O48" s="99">
        <f>O47+1</f>
        <v>5</v>
      </c>
      <c r="P48" s="99">
        <f t="shared" si="10"/>
        <v>1</v>
      </c>
      <c r="Q48" s="76">
        <f>P48</f>
        <v>1</v>
      </c>
      <c r="R48" s="77">
        <f>VLOOKUP(Q48,STN_TABLE,2,FALSE)</f>
        <v>0</v>
      </c>
      <c r="S48" s="77">
        <v>8</v>
      </c>
      <c r="T48" s="76">
        <f>R48*S48</f>
        <v>0</v>
      </c>
      <c r="U48" s="80">
        <v>10</v>
      </c>
      <c r="V48" s="76">
        <f>R48*U48</f>
        <v>0</v>
      </c>
      <c r="W48" s="496" t="s">
        <v>97</v>
      </c>
      <c r="X48" s="496"/>
      <c r="Y48" s="496" t="s">
        <v>98</v>
      </c>
      <c r="Z48" s="496"/>
      <c r="AA48" s="494" t="s">
        <v>99</v>
      </c>
      <c r="AB48" s="494"/>
      <c r="AC48" s="99">
        <f>AC43+1</f>
        <v>4</v>
      </c>
      <c r="AD48" s="95">
        <f>VLOOKUP(AC48,STN_TABLE_2,2,FALSE)</f>
        <v>0.75</v>
      </c>
      <c r="AE48" s="68">
        <f>VLOOKUP(AD48,STN_TABLE,2,FALSE)</f>
        <v>0</v>
      </c>
      <c r="AF48" s="68">
        <v>1</v>
      </c>
      <c r="AG48" s="69">
        <f>AE48*AF48</f>
        <v>0</v>
      </c>
      <c r="AH48" s="496" t="s">
        <v>97</v>
      </c>
      <c r="AI48" s="496"/>
      <c r="AJ48" s="496" t="s">
        <v>98</v>
      </c>
      <c r="AK48" s="496"/>
      <c r="AL48" s="494" t="s">
        <v>99</v>
      </c>
      <c r="AM48" s="494"/>
      <c r="AP48" s="86" t="s">
        <v>112</v>
      </c>
      <c r="AQ48" s="89" t="s">
        <v>113</v>
      </c>
      <c r="AR48" s="89" t="s">
        <v>114</v>
      </c>
      <c r="AS48" s="89" t="s">
        <v>115</v>
      </c>
      <c r="AU48" s="81"/>
    </row>
    <row r="49" spans="1:47" x14ac:dyDescent="0.25">
      <c r="A49" s="84">
        <f>A48+1</f>
        <v>4</v>
      </c>
      <c r="B49" s="84">
        <f t="shared" si="11"/>
        <v>0.75</v>
      </c>
      <c r="C49" s="88">
        <f>B50</f>
        <v>1</v>
      </c>
      <c r="D49" s="82">
        <f>VLOOKUP(C49,STN_TABLE,2,FALSE)</f>
        <v>0</v>
      </c>
      <c r="E49" s="92">
        <v>1</v>
      </c>
      <c r="F49" s="82">
        <f>D49*E49</f>
        <v>0</v>
      </c>
      <c r="G49" s="83">
        <f>C49</f>
        <v>1</v>
      </c>
      <c r="H49" s="83">
        <f>F49*G49</f>
        <v>0</v>
      </c>
      <c r="I49" s="84" t="str">
        <f>CONCATENATE("a'(",C49,")=")</f>
        <v>a'(1)=</v>
      </c>
      <c r="J49" s="84" t="e">
        <f>2*J47/3*F50</f>
        <v>#VALUE!</v>
      </c>
      <c r="K49" s="84" t="str">
        <f>CONCATENATE("A(",C47,")=")</f>
        <v>A(0.5)=</v>
      </c>
      <c r="L49" s="84">
        <f>VLOOKUP(C47,STN_TABLE,3,FALSE)</f>
        <v>0</v>
      </c>
      <c r="M49" t="str">
        <f>CONCATENATE("A(",C49,")=")</f>
        <v>A(1)=</v>
      </c>
      <c r="N49" t="e">
        <f>J49+L49</f>
        <v>#VALUE!</v>
      </c>
      <c r="O49" s="99">
        <f>O48+1</f>
        <v>6</v>
      </c>
      <c r="P49" s="99">
        <f t="shared" si="10"/>
        <v>2</v>
      </c>
      <c r="Q49" s="82" t="str">
        <f>IF(P49-P48=P48-P47,P49,IF(P50-P48=P48-P47,P50,IF(P49-P48=P48-P46,P49,IF(P50-P48=P48-P46,P50,"-"))))</f>
        <v>-</v>
      </c>
      <c r="R49" s="83" t="e">
        <f>VLOOKUP(Q49,STN_TABLE,2,FALSE)</f>
        <v>#N/A</v>
      </c>
      <c r="S49" s="83">
        <v>-1</v>
      </c>
      <c r="T49" s="82" t="e">
        <f>R49*S49</f>
        <v>#N/A</v>
      </c>
      <c r="U49" s="88">
        <v>-1</v>
      </c>
      <c r="V49" s="82" t="e">
        <f>R49*U49</f>
        <v>#N/A</v>
      </c>
      <c r="W49" s="84" t="str">
        <f>CONCATENATE("a'(",Q48,")=")</f>
        <v>a'(1)=</v>
      </c>
      <c r="X49" s="84" t="e">
        <f>2*X47/12*T50</f>
        <v>#VALUE!</v>
      </c>
      <c r="Y49" s="84" t="str">
        <f>CONCATENATE("A(",Q47,")=")</f>
        <v>A(-)=</v>
      </c>
      <c r="Z49" s="84" t="e">
        <f>VLOOKUP(Q47,STN_TABLE,3,FALSE)</f>
        <v>#N/A</v>
      </c>
      <c r="AA49" t="str">
        <f>CONCATENATE("A(",Q48,")=")</f>
        <v>A(1)=</v>
      </c>
      <c r="AB49" t="e">
        <f>X49+Z49</f>
        <v>#VALUE!</v>
      </c>
      <c r="AC49" s="99">
        <f>AC48+1</f>
        <v>5</v>
      </c>
      <c r="AD49" s="100">
        <f>VLOOKUP(AC49,STN_TABLE_2,2,FALSE)</f>
        <v>1</v>
      </c>
      <c r="AE49" s="82">
        <f>VLOOKUP(AD49,STN_TABLE,2,FALSE)</f>
        <v>0</v>
      </c>
      <c r="AF49" s="82">
        <v>2</v>
      </c>
      <c r="AG49" s="83">
        <f>AE49*AF49</f>
        <v>0</v>
      </c>
      <c r="AH49" s="84" t="str">
        <f>CONCATENATE("a'(",AD49,")=")</f>
        <v>a'(1)=</v>
      </c>
      <c r="AI49" s="84">
        <f>2*AI47/2*AE50</f>
        <v>0</v>
      </c>
      <c r="AJ49" s="84" t="str">
        <f>CONCATENATE("A(",AD48,")=")</f>
        <v>A(0.75)=</v>
      </c>
      <c r="AK49" s="84">
        <f>VLOOKUP(AD48,STN_TABLE,3,FALSE)</f>
        <v>0</v>
      </c>
      <c r="AL49" t="str">
        <f>CONCATENATE("A(",AD49,")=")</f>
        <v>A(1)=</v>
      </c>
      <c r="AM49">
        <f>AI49+AK49</f>
        <v>0</v>
      </c>
      <c r="AO49" s="68" t="str">
        <f>AA49</f>
        <v>A(1)=</v>
      </c>
      <c r="AP49" s="68" t="e">
        <f>VLOOKUP(AO49,Rise_Results,2,FALSE)</f>
        <v>#N/A</v>
      </c>
      <c r="AQ49" s="76" t="e">
        <f>N49</f>
        <v>#VALUE!</v>
      </c>
      <c r="AR49" s="76" t="e">
        <f>IF(OR(AB49&lt;=0,AB50&lt;=0),1/0,AB49)</f>
        <v>#VALUE!</v>
      </c>
      <c r="AS49" s="76">
        <f>AM49</f>
        <v>0</v>
      </c>
      <c r="AT49">
        <f>IFERROR(AP49,IFERROR(AQ49,IFERROR(AR49,AS49)))</f>
        <v>0</v>
      </c>
      <c r="AU49" s="81"/>
    </row>
    <row r="50" spans="1:47" x14ac:dyDescent="0.25">
      <c r="A50" s="84">
        <f>A49+1</f>
        <v>5</v>
      </c>
      <c r="B50" s="84">
        <f t="shared" si="11"/>
        <v>1</v>
      </c>
      <c r="F50" s="82">
        <f>SUM(F47:F49)</f>
        <v>0</v>
      </c>
      <c r="H50" s="82">
        <f>SUM(H47:H49)</f>
        <v>0</v>
      </c>
      <c r="I50" s="84" t="str">
        <f>CONCATENATE("m'(",C49,")=")</f>
        <v>m'(1)=</v>
      </c>
      <c r="J50" s="84" t="e">
        <f>2*(J47*(WLS))/3*H50</f>
        <v>#VALUE!</v>
      </c>
      <c r="K50" s="84" t="str">
        <f>CONCATENATE("M(",C47,")=")</f>
        <v>M(0.5)=</v>
      </c>
      <c r="L50" s="84">
        <f>VLOOKUP(C47,STN_TABLE,4,FALSE)</f>
        <v>0</v>
      </c>
      <c r="M50" t="str">
        <f>CONCATENATE("M(",C49,")=")</f>
        <v>M(1)=</v>
      </c>
      <c r="N50" t="e">
        <f>J50+L50</f>
        <v>#VALUE!</v>
      </c>
      <c r="O50" s="99">
        <f>O49+1</f>
        <v>7</v>
      </c>
      <c r="P50" s="99">
        <f t="shared" si="10"/>
        <v>3</v>
      </c>
      <c r="T50" s="89" t="e">
        <f>SUM(T47:T49)</f>
        <v>#N/A</v>
      </c>
      <c r="V50" s="82" t="e">
        <f>SUM(V47:V49)</f>
        <v>#N/A</v>
      </c>
      <c r="W50" s="84" t="str">
        <f>CONCATENATE("m'(",Q48,")=")</f>
        <v>m'(1)=</v>
      </c>
      <c r="X50" s="84" t="e">
        <f>(2*(X47^2)/24*V50)+(X49*Q47*WLS)</f>
        <v>#VALUE!</v>
      </c>
      <c r="Y50" s="84" t="str">
        <f>CONCATENATE("M(",Q47,")=")</f>
        <v>M(-)=</v>
      </c>
      <c r="Z50" s="84" t="e">
        <f>VLOOKUP(Q47,STN_TABLE,4,FALSE)</f>
        <v>#N/A</v>
      </c>
      <c r="AA50" t="str">
        <f>CONCATENATE("M(",Q48,")=")</f>
        <v>M(1)=</v>
      </c>
      <c r="AB50" t="e">
        <f>X50+Z50</f>
        <v>#VALUE!</v>
      </c>
      <c r="AE50" s="89">
        <f>SUM(AE48:AE49)</f>
        <v>0</v>
      </c>
      <c r="AG50" s="89">
        <f>SUM(AG48:AG49)</f>
        <v>0</v>
      </c>
      <c r="AH50" s="84" t="str">
        <f>CONCATENATE("m'(",AD49,")=")</f>
        <v>m'(1)=</v>
      </c>
      <c r="AI50" s="84">
        <f>(2*(AI47^2)/6*AG50)+(AI49*AD48*WLS)</f>
        <v>0</v>
      </c>
      <c r="AJ50" s="84" t="str">
        <f>CONCATENATE("M(",AD48,")=")</f>
        <v>M(0.75)=</v>
      </c>
      <c r="AK50" s="84">
        <f>VLOOKUP(AD48,STN_TABLE,4,FALSE)</f>
        <v>0</v>
      </c>
      <c r="AL50" t="str">
        <f>CONCATENATE("M(",AD49,")=")</f>
        <v>M(1)=</v>
      </c>
      <c r="AM50">
        <f>AI50+AK50</f>
        <v>0</v>
      </c>
      <c r="AO50" s="82" t="str">
        <f>AA50</f>
        <v>M(1)=</v>
      </c>
      <c r="AP50" s="82" t="e">
        <f>VLOOKUP(AO50,Rise_Results,2,FALSE)</f>
        <v>#N/A</v>
      </c>
      <c r="AQ50" s="82" t="e">
        <f>N50</f>
        <v>#VALUE!</v>
      </c>
      <c r="AR50" s="82" t="e">
        <f>IF(OR(AB49&lt;=0,AB50&lt;=0),1/0,AB50)</f>
        <v>#VALUE!</v>
      </c>
      <c r="AS50" s="82">
        <f>AM50</f>
        <v>0</v>
      </c>
      <c r="AT50">
        <f>IFERROR(AP50,IFERROR(AQ50,IFERROR(AR50,AS50)))</f>
        <v>0</v>
      </c>
      <c r="AU50" s="81"/>
    </row>
    <row r="51" spans="1:47" x14ac:dyDescent="0.25">
      <c r="A51" s="101">
        <f>A46+1</f>
        <v>2</v>
      </c>
      <c r="B51" s="101">
        <f t="shared" si="11"/>
        <v>0.25</v>
      </c>
      <c r="O51" s="101">
        <f>O46+1</f>
        <v>4</v>
      </c>
      <c r="P51" s="101">
        <f t="shared" si="10"/>
        <v>0.75</v>
      </c>
      <c r="AU51" s="81"/>
    </row>
    <row r="52" spans="1:47" x14ac:dyDescent="0.25">
      <c r="A52" s="84">
        <f>A51+1</f>
        <v>3</v>
      </c>
      <c r="B52" s="84">
        <f t="shared" si="11"/>
        <v>0.5</v>
      </c>
      <c r="C52" s="79" t="str">
        <f t="shared" ref="C52" si="12">IF(C53=B54,IF(C54-C53=C53-B53,B53,IF(C54-C53=C53-B52,B52,"#NA")),IF(C53=B53,IF(C54-C53=C53-B52,B52,IF(C54-C53=C53-B51,B51,"#NA")),"#NA"))</f>
        <v>#NA</v>
      </c>
      <c r="D52" s="68" t="e">
        <f>VLOOKUP(C52,STN_TABLE,2,FALSE)</f>
        <v>#N/A</v>
      </c>
      <c r="E52" s="102">
        <v>1</v>
      </c>
      <c r="F52" s="68" t="e">
        <f>D52*E52</f>
        <v>#N/A</v>
      </c>
      <c r="G52" s="69" t="str">
        <f>C52</f>
        <v>#NA</v>
      </c>
      <c r="H52" s="69" t="e">
        <f>F52*G52</f>
        <v>#N/A</v>
      </c>
      <c r="I52" s="6" t="s">
        <v>93</v>
      </c>
      <c r="J52" s="70" t="e">
        <f>IF(OR(D52=0,D53=0,D54=0),"#NA",IF(AND(C54-C53=C53-C52,C53&lt;&gt;C54,C52&lt;&gt;C53,C52&lt;&gt;C54,D54&lt;&gt;0,OR(D52&lt;&gt;0,D53&lt;&gt;0)),WLS*(C54-C53),"#NA"))</f>
        <v>#N/A</v>
      </c>
      <c r="O52" s="99">
        <f>O51+1</f>
        <v>5</v>
      </c>
      <c r="P52" s="99">
        <f t="shared" si="10"/>
        <v>1</v>
      </c>
      <c r="Q52" s="68">
        <f>IF(OR(P54-P53=P53-P52,P55-P53=P53-P52),P52,IF(OR(P54-P53=P53-P51,P55-P53=P53-P51),P51,"-"))</f>
        <v>1</v>
      </c>
      <c r="R52" s="69">
        <f>VLOOKUP(Q52,STN_TABLE,2,FALSE)</f>
        <v>0</v>
      </c>
      <c r="S52" s="69">
        <v>5</v>
      </c>
      <c r="T52" s="68">
        <f>R52*S52</f>
        <v>0</v>
      </c>
      <c r="U52" s="79">
        <v>3</v>
      </c>
      <c r="V52" s="68">
        <f>R52*U52</f>
        <v>0</v>
      </c>
      <c r="W52" s="6" t="s">
        <v>93</v>
      </c>
      <c r="X52" s="70">
        <f>IF(AND(Q54-Q53=Q53-Q52,NOT(AND(Q52=0,Q53=0)),NOT(AND(Q53=0,Q54=0))),WLS*(Q54-Q53),"#NA")</f>
        <v>2</v>
      </c>
      <c r="AD52" s="93"/>
      <c r="AH52" s="6" t="s">
        <v>93</v>
      </c>
      <c r="AI52" s="70">
        <f>WLS*(AD54-AD53)</f>
        <v>2</v>
      </c>
      <c r="AU52" s="81"/>
    </row>
    <row r="53" spans="1:47" x14ac:dyDescent="0.25">
      <c r="A53" s="84">
        <f>A52+1</f>
        <v>4</v>
      </c>
      <c r="B53" s="84">
        <f t="shared" si="11"/>
        <v>0.75</v>
      </c>
      <c r="C53" s="80" t="str">
        <f t="shared" ref="C53" si="13">IF(OR(B55-B54=B54-B53,B55-B54=B54-B52,B55-B54=B54-B51),B54,IF(OR(B55-B53=B53-B52,B55-B53=B53-B51),B53,IF(B55-B52=B52-B51,B52,"#NA")))</f>
        <v>#NA</v>
      </c>
      <c r="D53" s="76" t="e">
        <f>VLOOKUP(C53,STN_TABLE,2,FALSE)</f>
        <v>#N/A</v>
      </c>
      <c r="E53" s="81">
        <v>4</v>
      </c>
      <c r="F53" s="76" t="e">
        <f>D53*E53</f>
        <v>#N/A</v>
      </c>
      <c r="G53" s="77" t="str">
        <f>C53</f>
        <v>#NA</v>
      </c>
      <c r="H53" s="77" t="e">
        <f>F53*G53</f>
        <v>#N/A</v>
      </c>
      <c r="I53" s="495" t="s">
        <v>97</v>
      </c>
      <c r="J53" s="496"/>
      <c r="K53" s="78" t="s">
        <v>98</v>
      </c>
      <c r="L53" s="78"/>
      <c r="M53" s="7" t="s">
        <v>99</v>
      </c>
      <c r="N53" s="7"/>
      <c r="O53" s="99">
        <f>O52+1</f>
        <v>6</v>
      </c>
      <c r="P53" s="99">
        <f t="shared" si="10"/>
        <v>2</v>
      </c>
      <c r="Q53" s="76">
        <f>P53</f>
        <v>2</v>
      </c>
      <c r="R53" s="77">
        <f>VLOOKUP(Q53,STN_TABLE,2,FALSE)</f>
        <v>0</v>
      </c>
      <c r="S53" s="77">
        <v>8</v>
      </c>
      <c r="T53" s="76">
        <f>R53*S53</f>
        <v>0</v>
      </c>
      <c r="U53" s="80">
        <v>10</v>
      </c>
      <c r="V53" s="76">
        <f>R53*U53</f>
        <v>0</v>
      </c>
      <c r="W53" s="496" t="s">
        <v>97</v>
      </c>
      <c r="X53" s="496"/>
      <c r="Y53" s="496" t="s">
        <v>98</v>
      </c>
      <c r="Z53" s="496"/>
      <c r="AA53" s="494" t="s">
        <v>99</v>
      </c>
      <c r="AB53" s="494"/>
      <c r="AC53" s="99">
        <f>AC48+1</f>
        <v>5</v>
      </c>
      <c r="AD53" s="95">
        <f>VLOOKUP(AC53,STN_TABLE_2,2,FALSE)</f>
        <v>1</v>
      </c>
      <c r="AE53" s="68">
        <f>VLOOKUP(AD53,STN_TABLE,2,FALSE)</f>
        <v>0</v>
      </c>
      <c r="AF53" s="68">
        <v>1</v>
      </c>
      <c r="AG53" s="69">
        <f>AE53*AF53</f>
        <v>0</v>
      </c>
      <c r="AH53" s="496" t="s">
        <v>97</v>
      </c>
      <c r="AI53" s="496"/>
      <c r="AJ53" s="496" t="s">
        <v>98</v>
      </c>
      <c r="AK53" s="496"/>
      <c r="AL53" s="494" t="s">
        <v>99</v>
      </c>
      <c r="AM53" s="494"/>
      <c r="AP53" s="86" t="s">
        <v>112</v>
      </c>
      <c r="AQ53" s="89" t="s">
        <v>113</v>
      </c>
      <c r="AR53" s="89" t="s">
        <v>114</v>
      </c>
      <c r="AS53" s="89" t="s">
        <v>115</v>
      </c>
      <c r="AU53" s="81"/>
    </row>
    <row r="54" spans="1:47" x14ac:dyDescent="0.25">
      <c r="A54" s="84">
        <f>A53+1</f>
        <v>5</v>
      </c>
      <c r="B54" s="84">
        <f t="shared" si="11"/>
        <v>1</v>
      </c>
      <c r="C54" s="88">
        <f t="shared" ref="C54" si="14">B55</f>
        <v>2</v>
      </c>
      <c r="D54" s="82">
        <f>VLOOKUP(C54,STN_TABLE,2,FALSE)</f>
        <v>0</v>
      </c>
      <c r="E54" s="92">
        <v>1</v>
      </c>
      <c r="F54" s="82">
        <f>D54*E54</f>
        <v>0</v>
      </c>
      <c r="G54" s="83">
        <f>C54</f>
        <v>2</v>
      </c>
      <c r="H54" s="83">
        <f>F54*G54</f>
        <v>0</v>
      </c>
      <c r="I54" s="84" t="str">
        <f>CONCATENATE("a'(",C54,")=")</f>
        <v>a'(2)=</v>
      </c>
      <c r="J54" s="84" t="e">
        <f>2*J52/3*F55</f>
        <v>#N/A</v>
      </c>
      <c r="K54" s="84" t="str">
        <f>CONCATENATE("A(",C52,")=")</f>
        <v>A(#NA)=</v>
      </c>
      <c r="L54" s="84" t="e">
        <f>VLOOKUP(C52,STN_TABLE,3,FALSE)</f>
        <v>#N/A</v>
      </c>
      <c r="M54" t="str">
        <f>CONCATENATE("A(",C54,")=")</f>
        <v>A(2)=</v>
      </c>
      <c r="N54" t="e">
        <f>J54+L54</f>
        <v>#N/A</v>
      </c>
      <c r="O54" s="99">
        <f>O53+1</f>
        <v>7</v>
      </c>
      <c r="P54" s="99">
        <f t="shared" si="10"/>
        <v>3</v>
      </c>
      <c r="Q54" s="82">
        <f>IF(P54-P53=P53-P52,P54,IF(P55-P53=P53-P52,P55,IF(P54-P53=P53-P51,P54,IF(P55-P53=P53-P51,P55,"-"))))</f>
        <v>3</v>
      </c>
      <c r="R54" s="83">
        <f>VLOOKUP(Q54,STN_TABLE,2,FALSE)</f>
        <v>0</v>
      </c>
      <c r="S54" s="83">
        <v>-1</v>
      </c>
      <c r="T54" s="82">
        <f>R54*S54</f>
        <v>0</v>
      </c>
      <c r="U54" s="88">
        <v>-1</v>
      </c>
      <c r="V54" s="82">
        <f>R54*U54</f>
        <v>0</v>
      </c>
      <c r="W54" s="84" t="str">
        <f>CONCATENATE("a'(",Q53,")=")</f>
        <v>a'(2)=</v>
      </c>
      <c r="X54" s="84">
        <f>2*X52/12*T55</f>
        <v>0</v>
      </c>
      <c r="Y54" s="84" t="str">
        <f>CONCATENATE("A(",Q52,")=")</f>
        <v>A(1)=</v>
      </c>
      <c r="Z54" s="84">
        <f>VLOOKUP(Q52,STN_TABLE,3,FALSE)</f>
        <v>0</v>
      </c>
      <c r="AA54" t="str">
        <f>CONCATENATE("A(",Q53,")=")</f>
        <v>A(2)=</v>
      </c>
      <c r="AB54">
        <f>X54+Z54</f>
        <v>0</v>
      </c>
      <c r="AC54" s="99">
        <f>AC53+1</f>
        <v>6</v>
      </c>
      <c r="AD54" s="100">
        <f>VLOOKUP(AC54,STN_TABLE_2,2,FALSE)</f>
        <v>2</v>
      </c>
      <c r="AE54" s="82">
        <f>VLOOKUP(AD54,STN_TABLE,2,FALSE)</f>
        <v>0</v>
      </c>
      <c r="AF54" s="82">
        <v>2</v>
      </c>
      <c r="AG54" s="83">
        <f>AE54*AF54</f>
        <v>0</v>
      </c>
      <c r="AH54" s="84" t="str">
        <f>CONCATENATE("a'(",AD54,")=")</f>
        <v>a'(2)=</v>
      </c>
      <c r="AI54" s="84">
        <f>2*AI52/2*AE55</f>
        <v>0</v>
      </c>
      <c r="AJ54" s="84" t="str">
        <f>CONCATENATE("A(",AD53,")=")</f>
        <v>A(1)=</v>
      </c>
      <c r="AK54" s="84">
        <f>VLOOKUP(AD53,STN_TABLE,3,FALSE)</f>
        <v>0</v>
      </c>
      <c r="AL54" t="str">
        <f>CONCATENATE("A(",AD54,")=")</f>
        <v>A(2)=</v>
      </c>
      <c r="AM54">
        <f>AI54+AK54</f>
        <v>0</v>
      </c>
      <c r="AO54" s="68" t="str">
        <f>AA54</f>
        <v>A(2)=</v>
      </c>
      <c r="AP54" s="68" t="e">
        <f>VLOOKUP(AO54,Rise_Results,2,FALSE)</f>
        <v>#N/A</v>
      </c>
      <c r="AQ54" s="76" t="e">
        <f>N54</f>
        <v>#N/A</v>
      </c>
      <c r="AR54" s="76" t="e">
        <f>IF(OR(AB54&lt;=0,AB55&lt;=0),1/0,AB54)</f>
        <v>#DIV/0!</v>
      </c>
      <c r="AS54" s="76">
        <f>AM54</f>
        <v>0</v>
      </c>
      <c r="AT54">
        <f>IFERROR(AP54,IFERROR(AQ54,IFERROR(AR54,AS54)))</f>
        <v>0</v>
      </c>
      <c r="AU54" s="81"/>
    </row>
    <row r="55" spans="1:47" x14ac:dyDescent="0.25">
      <c r="A55" s="84">
        <f>A54+1</f>
        <v>6</v>
      </c>
      <c r="B55" s="84">
        <f t="shared" si="11"/>
        <v>2</v>
      </c>
      <c r="F55" s="82" t="e">
        <f>SUM(F52:F54)</f>
        <v>#N/A</v>
      </c>
      <c r="H55" s="82" t="e">
        <f>SUM(H52:H54)</f>
        <v>#N/A</v>
      </c>
      <c r="I55" s="84" t="str">
        <f>CONCATENATE("m'(",C54,")=")</f>
        <v>m'(2)=</v>
      </c>
      <c r="J55" s="84" t="e">
        <f>2*(J52*(WLS))/3*H55</f>
        <v>#N/A</v>
      </c>
      <c r="K55" s="84" t="str">
        <f>CONCATENATE("M(",C52,")=")</f>
        <v>M(#NA)=</v>
      </c>
      <c r="L55" s="84" t="e">
        <f>VLOOKUP(C52,STN_TABLE,4,FALSE)</f>
        <v>#N/A</v>
      </c>
      <c r="M55" t="str">
        <f>CONCATENATE("M(",C54,")=")</f>
        <v>M(2)=</v>
      </c>
      <c r="N55" t="e">
        <f>J55+L55</f>
        <v>#N/A</v>
      </c>
      <c r="O55" s="99">
        <f>O54+1</f>
        <v>8</v>
      </c>
      <c r="P55" s="99">
        <f t="shared" si="10"/>
        <v>4</v>
      </c>
      <c r="T55" s="89">
        <f>SUM(T52:T54)</f>
        <v>0</v>
      </c>
      <c r="V55" s="82">
        <f>SUM(V52:V54)</f>
        <v>0</v>
      </c>
      <c r="W55" s="84" t="str">
        <f>CONCATENATE("m'(",Q53,")=")</f>
        <v>m'(2)=</v>
      </c>
      <c r="X55" s="84">
        <f>(2*(X52^2)/24*V55)+(X54*Q52*WLS)</f>
        <v>0</v>
      </c>
      <c r="Y55" s="84" t="str">
        <f>CONCATENATE("M(",Q52,")=")</f>
        <v>M(1)=</v>
      </c>
      <c r="Z55" s="84">
        <f>VLOOKUP(Q52,STN_TABLE,4,FALSE)</f>
        <v>0</v>
      </c>
      <c r="AA55" t="str">
        <f>CONCATENATE("M(",Q53,")=")</f>
        <v>M(2)=</v>
      </c>
      <c r="AB55">
        <f>X55+Z55</f>
        <v>0</v>
      </c>
      <c r="AE55" s="89">
        <f>SUM(AE53:AE54)</f>
        <v>0</v>
      </c>
      <c r="AG55" s="89">
        <f>SUM(AG53:AG54)</f>
        <v>0</v>
      </c>
      <c r="AH55" s="84" t="str">
        <f>CONCATENATE("m'(",AD54,")=")</f>
        <v>m'(2)=</v>
      </c>
      <c r="AI55" s="84">
        <f>(2*(AI52^2)/6*AG55)+(AI54*AD53*WLS)</f>
        <v>0</v>
      </c>
      <c r="AJ55" s="84" t="str">
        <f>CONCATENATE("M(",AD53,")=")</f>
        <v>M(1)=</v>
      </c>
      <c r="AK55" s="84">
        <f>VLOOKUP(AD53,STN_TABLE,4,FALSE)</f>
        <v>0</v>
      </c>
      <c r="AL55" t="str">
        <f>CONCATENATE("M(",AD54,")=")</f>
        <v>M(2)=</v>
      </c>
      <c r="AM55">
        <f>AI55+AK55</f>
        <v>0</v>
      </c>
      <c r="AO55" s="82" t="str">
        <f>AA55</f>
        <v>M(2)=</v>
      </c>
      <c r="AP55" s="82" t="e">
        <f>VLOOKUP(AO55,Rise_Results,2,FALSE)</f>
        <v>#N/A</v>
      </c>
      <c r="AQ55" s="82" t="e">
        <f>N55</f>
        <v>#N/A</v>
      </c>
      <c r="AR55" s="82" t="e">
        <f>IF(OR(AB54&lt;=0,AB55&lt;=0),1/0,AB55)</f>
        <v>#DIV/0!</v>
      </c>
      <c r="AS55" s="82">
        <f>AM55</f>
        <v>0</v>
      </c>
      <c r="AT55">
        <f>IFERROR(AP55,IFERROR(AQ55,IFERROR(AR55,AS55)))</f>
        <v>0</v>
      </c>
      <c r="AU55" s="81"/>
    </row>
    <row r="56" spans="1:47" x14ac:dyDescent="0.25">
      <c r="A56" s="101">
        <f>A51+1</f>
        <v>3</v>
      </c>
      <c r="B56" s="101">
        <f t="shared" si="11"/>
        <v>0.5</v>
      </c>
      <c r="O56" s="101">
        <f>O51+1</f>
        <v>5</v>
      </c>
      <c r="P56" s="101">
        <f t="shared" si="10"/>
        <v>1</v>
      </c>
      <c r="AU56" s="81"/>
    </row>
    <row r="57" spans="1:47" x14ac:dyDescent="0.25">
      <c r="A57" s="84">
        <f>A56+1</f>
        <v>4</v>
      </c>
      <c r="B57" s="84">
        <f t="shared" si="11"/>
        <v>0.75</v>
      </c>
      <c r="C57" s="79">
        <f t="shared" ref="C57" si="15">IF(C58=B59,IF(C59-C58=C58-B58,B58,IF(C59-C58=C58-B57,B57,"#NA")),IF(C58=B58,IF(C59-C58=C58-B57,B57,IF(C59-C58=C58-B56,B56,"#NA")),"#NA"))</f>
        <v>1</v>
      </c>
      <c r="D57" s="68">
        <f>VLOOKUP(C57,STN_TABLE,2,FALSE)</f>
        <v>0</v>
      </c>
      <c r="E57" s="102">
        <v>1</v>
      </c>
      <c r="F57" s="68">
        <f>D57*E57</f>
        <v>0</v>
      </c>
      <c r="G57" s="69">
        <f>C57</f>
        <v>1</v>
      </c>
      <c r="H57" s="69">
        <f>F57*G57</f>
        <v>0</v>
      </c>
      <c r="I57" s="6" t="s">
        <v>93</v>
      </c>
      <c r="J57" s="70" t="str">
        <f>IF(OR(D57=0,D58=0,D59=0),"#NA",IF(AND(C59-C58=C58-C57,C58&lt;&gt;C59,C57&lt;&gt;C58,C57&lt;&gt;C59,D59&lt;&gt;0,OR(D57&lt;&gt;0,D58&lt;&gt;0)),WLS*(C59-C58),"#NA"))</f>
        <v>#NA</v>
      </c>
      <c r="O57" s="99">
        <f>O56+1</f>
        <v>6</v>
      </c>
      <c r="P57" s="99">
        <f t="shared" si="10"/>
        <v>2</v>
      </c>
      <c r="Q57" s="68">
        <f>IF(OR(P59-P58=P58-P57,P60-P58=P58-P57),P57,IF(OR(P59-P58=P58-P56,P60-P58=P58-P56),P56,"-"))</f>
        <v>2</v>
      </c>
      <c r="R57" s="69">
        <f>VLOOKUP(Q57,STN_TABLE,2,FALSE)</f>
        <v>0</v>
      </c>
      <c r="S57" s="69">
        <v>5</v>
      </c>
      <c r="T57" s="68">
        <f>R57*S57</f>
        <v>0</v>
      </c>
      <c r="U57" s="79">
        <v>3</v>
      </c>
      <c r="V57" s="68">
        <f>R57*U57</f>
        <v>0</v>
      </c>
      <c r="W57" s="6" t="s">
        <v>93</v>
      </c>
      <c r="X57" s="70">
        <f>IF(AND(Q59-Q58=Q58-Q57,NOT(AND(Q57=0,Q58=0)),NOT(AND(Q58=0,Q59=0))),WLS*(Q59-Q58),"#NA")</f>
        <v>2</v>
      </c>
      <c r="AD57" s="93"/>
      <c r="AH57" s="6" t="s">
        <v>93</v>
      </c>
      <c r="AI57" s="70">
        <f>WLS*(AD59-AD58)</f>
        <v>2</v>
      </c>
      <c r="AU57" s="81"/>
    </row>
    <row r="58" spans="1:47" x14ac:dyDescent="0.25">
      <c r="A58" s="84">
        <f>A57+1</f>
        <v>5</v>
      </c>
      <c r="B58" s="84">
        <f t="shared" si="11"/>
        <v>1</v>
      </c>
      <c r="C58" s="80">
        <f t="shared" ref="C58" si="16">IF(OR(B60-B59=B59-B58,B60-B59=B59-B57,B60-B59=B59-B56),B59,IF(OR(B60-B58=B58-B57,B60-B58=B58-B56),B58,IF(B60-B57=B57-B56,B57,"#NA")))</f>
        <v>2</v>
      </c>
      <c r="D58" s="76">
        <f>VLOOKUP(C58,STN_TABLE,2,FALSE)</f>
        <v>0</v>
      </c>
      <c r="E58" s="81">
        <v>4</v>
      </c>
      <c r="F58" s="76">
        <f>D58*E58</f>
        <v>0</v>
      </c>
      <c r="G58" s="77">
        <f>C58</f>
        <v>2</v>
      </c>
      <c r="H58" s="77">
        <f>F58*G58</f>
        <v>0</v>
      </c>
      <c r="I58" s="495" t="s">
        <v>97</v>
      </c>
      <c r="J58" s="496"/>
      <c r="K58" s="78" t="s">
        <v>98</v>
      </c>
      <c r="L58" s="78"/>
      <c r="M58" s="7" t="s">
        <v>99</v>
      </c>
      <c r="N58" s="7"/>
      <c r="O58" s="99">
        <f>O57+1</f>
        <v>7</v>
      </c>
      <c r="P58" s="99">
        <f t="shared" si="10"/>
        <v>3</v>
      </c>
      <c r="Q58" s="76">
        <f>P58</f>
        <v>3</v>
      </c>
      <c r="R58" s="77">
        <f>VLOOKUP(Q58,STN_TABLE,2,FALSE)</f>
        <v>0</v>
      </c>
      <c r="S58" s="77">
        <v>8</v>
      </c>
      <c r="T58" s="76">
        <f>R58*S58</f>
        <v>0</v>
      </c>
      <c r="U58" s="80">
        <v>10</v>
      </c>
      <c r="V58" s="76">
        <f>R58*U58</f>
        <v>0</v>
      </c>
      <c r="W58" s="78" t="s">
        <v>97</v>
      </c>
      <c r="X58" s="78"/>
      <c r="Y58" s="78" t="s">
        <v>98</v>
      </c>
      <c r="Z58" s="78"/>
      <c r="AA58" s="7" t="s">
        <v>99</v>
      </c>
      <c r="AB58" s="7"/>
      <c r="AC58" s="99">
        <f>AC53+1</f>
        <v>6</v>
      </c>
      <c r="AD58" s="95">
        <f>VLOOKUP(AC58,STN_TABLE_2,2,FALSE)</f>
        <v>2</v>
      </c>
      <c r="AE58" s="68">
        <f>VLOOKUP(AD58,STN_TABLE,2,FALSE)</f>
        <v>0</v>
      </c>
      <c r="AF58" s="68">
        <v>1</v>
      </c>
      <c r="AG58" s="69">
        <f>AE58*AF58</f>
        <v>0</v>
      </c>
      <c r="AH58" s="496" t="s">
        <v>97</v>
      </c>
      <c r="AI58" s="496"/>
      <c r="AJ58" s="496" t="s">
        <v>98</v>
      </c>
      <c r="AK58" s="496"/>
      <c r="AL58" s="494" t="s">
        <v>99</v>
      </c>
      <c r="AM58" s="494"/>
      <c r="AP58" s="86" t="s">
        <v>112</v>
      </c>
      <c r="AQ58" s="89" t="s">
        <v>113</v>
      </c>
      <c r="AR58" s="89" t="s">
        <v>114</v>
      </c>
      <c r="AS58" s="89" t="s">
        <v>115</v>
      </c>
      <c r="AU58" s="81"/>
    </row>
    <row r="59" spans="1:47" x14ac:dyDescent="0.25">
      <c r="A59" s="84">
        <f>A58+1</f>
        <v>6</v>
      </c>
      <c r="B59" s="84">
        <f t="shared" si="11"/>
        <v>2</v>
      </c>
      <c r="C59" s="88">
        <f t="shared" ref="C59" si="17">B60</f>
        <v>3</v>
      </c>
      <c r="D59" s="82">
        <f>VLOOKUP(C59,STN_TABLE,2,FALSE)</f>
        <v>0</v>
      </c>
      <c r="E59" s="92">
        <v>1</v>
      </c>
      <c r="F59" s="82">
        <f>D59*E59</f>
        <v>0</v>
      </c>
      <c r="G59" s="83">
        <f>C59</f>
        <v>3</v>
      </c>
      <c r="H59" s="83">
        <f>F59*G59</f>
        <v>0</v>
      </c>
      <c r="I59" s="84" t="str">
        <f>CONCATENATE("a'(",C59,")=")</f>
        <v>a'(3)=</v>
      </c>
      <c r="J59" s="84" t="e">
        <f>2*J57/3*F60</f>
        <v>#VALUE!</v>
      </c>
      <c r="K59" s="84" t="str">
        <f>CONCATENATE("A(",C57,")=")</f>
        <v>A(1)=</v>
      </c>
      <c r="L59" s="84">
        <f>VLOOKUP(C57,STN_TABLE,3,FALSE)</f>
        <v>0</v>
      </c>
      <c r="M59" t="str">
        <f>CONCATENATE("A(",C59,")=")</f>
        <v>A(3)=</v>
      </c>
      <c r="N59" t="e">
        <f>J59+L59</f>
        <v>#VALUE!</v>
      </c>
      <c r="O59" s="99">
        <f>O58+1</f>
        <v>8</v>
      </c>
      <c r="P59" s="99">
        <f t="shared" si="10"/>
        <v>4</v>
      </c>
      <c r="Q59" s="82">
        <f>IF(P59-P58=P58-P57,P59,IF(P60-P58=P58-P57,P60,IF(P59-P58=P58-P56,P59,IF(P60-P58=P58-P56,P60,"-"))))</f>
        <v>4</v>
      </c>
      <c r="R59" s="83">
        <f>VLOOKUP(Q59,STN_TABLE,2,FALSE)</f>
        <v>0.9</v>
      </c>
      <c r="S59" s="83">
        <v>-1</v>
      </c>
      <c r="T59" s="82">
        <f>R59*S59</f>
        <v>-0.9</v>
      </c>
      <c r="U59" s="88">
        <v>-1</v>
      </c>
      <c r="V59" s="82">
        <f>R59*U59</f>
        <v>-0.9</v>
      </c>
      <c r="W59" s="84" t="str">
        <f>CONCATENATE("a'(",Q58,")=")</f>
        <v>a'(3)=</v>
      </c>
      <c r="X59" s="84">
        <f>2*X57/12*T60</f>
        <v>-0.3</v>
      </c>
      <c r="Y59" s="84" t="str">
        <f>CONCATENATE("A(",Q57,")=")</f>
        <v>A(2)=</v>
      </c>
      <c r="Z59" s="84">
        <f>VLOOKUP(Q57,STN_TABLE,3,FALSE)</f>
        <v>0</v>
      </c>
      <c r="AA59" t="str">
        <f>CONCATENATE("A(",Q58,")=")</f>
        <v>A(3)=</v>
      </c>
      <c r="AB59">
        <f>X59+Z59</f>
        <v>-0.3</v>
      </c>
      <c r="AC59" s="99">
        <f>AC58+1</f>
        <v>7</v>
      </c>
      <c r="AD59" s="100">
        <f>VLOOKUP(AC59,STN_TABLE_2,2,FALSE)</f>
        <v>3</v>
      </c>
      <c r="AE59" s="82">
        <f>VLOOKUP(AD59,STN_TABLE,2,FALSE)</f>
        <v>0</v>
      </c>
      <c r="AF59" s="82">
        <v>2</v>
      </c>
      <c r="AG59" s="83">
        <f>AE59*AF59</f>
        <v>0</v>
      </c>
      <c r="AH59" s="84" t="str">
        <f>CONCATENATE("a'(",AD59,")=")</f>
        <v>a'(3)=</v>
      </c>
      <c r="AI59" s="84">
        <f>2*AI57/2*AE60</f>
        <v>0</v>
      </c>
      <c r="AJ59" s="84" t="str">
        <f>CONCATENATE("A(",AD58,")=")</f>
        <v>A(2)=</v>
      </c>
      <c r="AK59" s="84">
        <f>VLOOKUP(AD58,STN_TABLE,3,FALSE)</f>
        <v>0</v>
      </c>
      <c r="AL59" t="str">
        <f>CONCATENATE("A(",AD59,")=")</f>
        <v>A(3)=</v>
      </c>
      <c r="AM59">
        <f>AI59+AK59</f>
        <v>0</v>
      </c>
      <c r="AO59" s="68" t="str">
        <f>AA59</f>
        <v>A(3)=</v>
      </c>
      <c r="AP59" s="68" t="e">
        <f>VLOOKUP(AO59,Rise_Results,2,FALSE)</f>
        <v>#N/A</v>
      </c>
      <c r="AQ59" s="76" t="e">
        <f>N59</f>
        <v>#VALUE!</v>
      </c>
      <c r="AR59" s="76" t="e">
        <f>IF(OR(AB59&lt;=0,AB60&lt;=0),1/0,AB59)</f>
        <v>#DIV/0!</v>
      </c>
      <c r="AS59" s="76">
        <f>AM59</f>
        <v>0</v>
      </c>
      <c r="AT59">
        <f>IFERROR(AP59,IFERROR(AQ59,IFERROR(AR59,AS59)))</f>
        <v>0</v>
      </c>
      <c r="AU59" s="81"/>
    </row>
    <row r="60" spans="1:47" x14ac:dyDescent="0.25">
      <c r="A60" s="84">
        <f>A59+1</f>
        <v>7</v>
      </c>
      <c r="B60" s="84">
        <f t="shared" si="11"/>
        <v>3</v>
      </c>
      <c r="F60" s="82">
        <f>SUM(F57:F59)</f>
        <v>0</v>
      </c>
      <c r="H60" s="82">
        <f>SUM(H57:H59)</f>
        <v>0</v>
      </c>
      <c r="I60" s="84" t="str">
        <f>CONCATENATE("m'(",C59,")=")</f>
        <v>m'(3)=</v>
      </c>
      <c r="J60" s="84" t="e">
        <f>2*(J57*(WLS))/3*H60</f>
        <v>#VALUE!</v>
      </c>
      <c r="K60" s="84" t="str">
        <f>CONCATENATE("M(",C57,")=")</f>
        <v>M(1)=</v>
      </c>
      <c r="L60" s="84">
        <f>VLOOKUP(C57,STN_TABLE,4,FALSE)</f>
        <v>0</v>
      </c>
      <c r="M60" t="str">
        <f>CONCATENATE("M(",C59,")=")</f>
        <v>M(3)=</v>
      </c>
      <c r="N60" t="e">
        <f>J60+L60</f>
        <v>#VALUE!</v>
      </c>
      <c r="O60" s="99">
        <f>O59+1</f>
        <v>9</v>
      </c>
      <c r="P60" s="99">
        <f t="shared" si="10"/>
        <v>4.8499999999999996</v>
      </c>
      <c r="T60" s="89">
        <f>SUM(T57:T59)</f>
        <v>-0.9</v>
      </c>
      <c r="V60" s="82">
        <f>SUM(V57:V59)</f>
        <v>-0.9</v>
      </c>
      <c r="W60" s="84" t="str">
        <f>CONCATENATE("m'(",Q58,")=")</f>
        <v>m'(3)=</v>
      </c>
      <c r="X60" s="84">
        <f>(2*(X57^2)/24*V60)+(X59*Q57*WLS)</f>
        <v>-1.5</v>
      </c>
      <c r="Y60" s="84" t="str">
        <f>CONCATENATE("M(",Q57,")=")</f>
        <v>M(2)=</v>
      </c>
      <c r="Z60" s="84">
        <f>VLOOKUP(Q57,STN_TABLE,4,FALSE)</f>
        <v>0</v>
      </c>
      <c r="AA60" t="str">
        <f>CONCATENATE("M(",Q58,")=")</f>
        <v>M(3)=</v>
      </c>
      <c r="AB60">
        <f>X60+Z60</f>
        <v>-1.5</v>
      </c>
      <c r="AE60" s="89">
        <f>SUM(AE58:AE59)</f>
        <v>0</v>
      </c>
      <c r="AG60" s="89">
        <f>SUM(AG58:AG59)</f>
        <v>0</v>
      </c>
      <c r="AH60" s="84" t="str">
        <f>CONCATENATE("m'(",AD59,")=")</f>
        <v>m'(3)=</v>
      </c>
      <c r="AI60" s="84">
        <f>(2*(AI57^2)/6*AG60)+(AI59*AD58*WLS)</f>
        <v>0</v>
      </c>
      <c r="AJ60" s="84" t="str">
        <f>CONCATENATE("M(",AD58,")=")</f>
        <v>M(2)=</v>
      </c>
      <c r="AK60" s="84">
        <f>VLOOKUP(AD57,STN_TABLE,4,FALSE)</f>
        <v>0</v>
      </c>
      <c r="AL60" t="str">
        <f>CONCATENATE("M(",AD59,")=")</f>
        <v>M(3)=</v>
      </c>
      <c r="AM60">
        <f>AI60+AK60</f>
        <v>0</v>
      </c>
      <c r="AO60" s="82" t="str">
        <f>AA60</f>
        <v>M(3)=</v>
      </c>
      <c r="AP60" s="82" t="e">
        <f>VLOOKUP(AO60,Rise_Results,2,FALSE)</f>
        <v>#N/A</v>
      </c>
      <c r="AQ60" s="82" t="e">
        <f>N60</f>
        <v>#VALUE!</v>
      </c>
      <c r="AR60" s="82" t="e">
        <f>IF(OR(AB59&lt;=0,AB60&lt;=0),1/0,AB60)</f>
        <v>#DIV/0!</v>
      </c>
      <c r="AS60" s="82">
        <f>AM60</f>
        <v>0</v>
      </c>
      <c r="AT60">
        <f>IFERROR(AP60,IFERROR(AQ60,IFERROR(AR60,AS60)))</f>
        <v>0</v>
      </c>
      <c r="AU60" s="81"/>
    </row>
    <row r="61" spans="1:47" x14ac:dyDescent="0.25">
      <c r="A61" s="101">
        <f>A56+1</f>
        <v>4</v>
      </c>
      <c r="B61" s="101">
        <f t="shared" si="11"/>
        <v>0.75</v>
      </c>
      <c r="O61" s="101">
        <f>O56+1</f>
        <v>6</v>
      </c>
      <c r="P61" s="101">
        <f t="shared" si="10"/>
        <v>2</v>
      </c>
      <c r="AU61" s="81"/>
    </row>
    <row r="62" spans="1:47" x14ac:dyDescent="0.25">
      <c r="A62" s="84">
        <f>A61+1</f>
        <v>5</v>
      </c>
      <c r="B62" s="84">
        <f t="shared" si="11"/>
        <v>1</v>
      </c>
      <c r="C62" s="79">
        <f t="shared" ref="C62" si="18">IF(C63=B64,IF(C64-C63=C63-B63,B63,IF(C64-C63=C63-B62,B62,"#NA")),IF(C63=B63,IF(C64-C63=C63-B62,B62,IF(C64-C63=C63-B61,B61,"#NA")),"#NA"))</f>
        <v>2</v>
      </c>
      <c r="D62" s="68">
        <f>VLOOKUP(C62,STN_TABLE,2,FALSE)</f>
        <v>0</v>
      </c>
      <c r="E62" s="102">
        <v>1</v>
      </c>
      <c r="F62" s="68">
        <f>D62*E62</f>
        <v>0</v>
      </c>
      <c r="G62" s="69">
        <f>C62</f>
        <v>2</v>
      </c>
      <c r="H62" s="69">
        <f>F62*G62</f>
        <v>0</v>
      </c>
      <c r="I62" s="6" t="s">
        <v>93</v>
      </c>
      <c r="J62" s="70" t="str">
        <f>IF(OR(D62=0,D63=0,D64=0),"#NA",IF(AND(C64-C63=C63-C62,C63&lt;&gt;C64,C62&lt;&gt;C63,C62&lt;&gt;C64,D64&lt;&gt;0,OR(D62&lt;&gt;0,D63&lt;&gt;0)),WLS*(C64-C63),"#NA"))</f>
        <v>#NA</v>
      </c>
      <c r="O62" s="99">
        <f>O61+1</f>
        <v>7</v>
      </c>
      <c r="P62" s="99">
        <f t="shared" si="10"/>
        <v>3</v>
      </c>
      <c r="Q62" s="68">
        <f>IF(OR(P64-P63=P63-P62,P65-P63=P63-P62),P62,IF(OR(P64-P63=P63-P61,P65-P63=P63-P61),P61,"-"))</f>
        <v>3</v>
      </c>
      <c r="R62" s="69">
        <f>VLOOKUP(Q62,STN_TABLE,2,FALSE)</f>
        <v>0</v>
      </c>
      <c r="S62" s="69">
        <v>5</v>
      </c>
      <c r="T62" s="68">
        <f>R62*S62</f>
        <v>0</v>
      </c>
      <c r="U62" s="79">
        <v>3</v>
      </c>
      <c r="V62" s="68">
        <f>R62*U62</f>
        <v>0</v>
      </c>
      <c r="W62" s="6" t="s">
        <v>93</v>
      </c>
      <c r="X62" s="70">
        <f>IF(AND(Q64-Q63=Q63-Q62,NOT(AND(Q62=0,Q63=0)),NOT(AND(Q63=0,Q64=0))),WLS*(Q64-Q63),"#NA")</f>
        <v>2</v>
      </c>
      <c r="AD62" s="93"/>
      <c r="AH62" s="6" t="s">
        <v>93</v>
      </c>
      <c r="AI62" s="70">
        <f>WLS*(AD64-AD63)</f>
        <v>2</v>
      </c>
      <c r="AU62" s="81"/>
    </row>
    <row r="63" spans="1:47" x14ac:dyDescent="0.25">
      <c r="A63" s="84">
        <f>A62+1</f>
        <v>6</v>
      </c>
      <c r="B63" s="84">
        <f t="shared" si="11"/>
        <v>2</v>
      </c>
      <c r="C63" s="80">
        <f t="shared" ref="C63" si="19">IF(OR(B65-B64=B64-B63,B65-B64=B64-B62,B65-B64=B64-B61),B64,IF(OR(B65-B63=B63-B62,B65-B63=B63-B61),B63,IF(B65-B62=B62-B61,B62,"#NA")))</f>
        <v>3</v>
      </c>
      <c r="D63" s="76">
        <f>VLOOKUP(C63,STN_TABLE,2,FALSE)</f>
        <v>0</v>
      </c>
      <c r="E63" s="81">
        <v>4</v>
      </c>
      <c r="F63" s="76">
        <f>D63*E63</f>
        <v>0</v>
      </c>
      <c r="G63" s="77">
        <f>C63</f>
        <v>3</v>
      </c>
      <c r="H63" s="77">
        <f>F63*G63</f>
        <v>0</v>
      </c>
      <c r="I63" s="495" t="s">
        <v>97</v>
      </c>
      <c r="J63" s="496"/>
      <c r="K63" s="78" t="s">
        <v>98</v>
      </c>
      <c r="L63" s="78"/>
      <c r="M63" s="7" t="s">
        <v>99</v>
      </c>
      <c r="N63" s="7"/>
      <c r="O63" s="99">
        <f>O62+1</f>
        <v>8</v>
      </c>
      <c r="P63" s="99">
        <f t="shared" si="10"/>
        <v>4</v>
      </c>
      <c r="Q63" s="76">
        <f>P63</f>
        <v>4</v>
      </c>
      <c r="R63" s="77">
        <f>VLOOKUP(Q63,STN_TABLE,2,FALSE)</f>
        <v>0.9</v>
      </c>
      <c r="S63" s="77">
        <v>8</v>
      </c>
      <c r="T63" s="76">
        <f>R63*S63</f>
        <v>7.2</v>
      </c>
      <c r="U63" s="80">
        <v>10</v>
      </c>
      <c r="V63" s="76">
        <f>R63*U63</f>
        <v>9</v>
      </c>
      <c r="W63" s="496" t="s">
        <v>97</v>
      </c>
      <c r="X63" s="496"/>
      <c r="Y63" s="496" t="s">
        <v>98</v>
      </c>
      <c r="Z63" s="496"/>
      <c r="AA63" s="494" t="s">
        <v>99</v>
      </c>
      <c r="AB63" s="494"/>
      <c r="AC63" s="99">
        <f>AC58+1</f>
        <v>7</v>
      </c>
      <c r="AD63" s="95">
        <f>VLOOKUP(AC63,STN_TABLE_2,2,FALSE)</f>
        <v>3</v>
      </c>
      <c r="AE63" s="68">
        <f>VLOOKUP(AD63,STN_TABLE,2,FALSE)</f>
        <v>0</v>
      </c>
      <c r="AF63" s="68">
        <v>1</v>
      </c>
      <c r="AG63" s="69">
        <f>AE63*AF63</f>
        <v>0</v>
      </c>
      <c r="AH63" s="496" t="s">
        <v>97</v>
      </c>
      <c r="AI63" s="496"/>
      <c r="AJ63" s="496" t="s">
        <v>98</v>
      </c>
      <c r="AK63" s="496"/>
      <c r="AL63" s="494" t="s">
        <v>99</v>
      </c>
      <c r="AM63" s="494"/>
      <c r="AP63" s="86" t="s">
        <v>112</v>
      </c>
      <c r="AQ63" s="89" t="s">
        <v>113</v>
      </c>
      <c r="AR63" s="89" t="s">
        <v>114</v>
      </c>
      <c r="AS63" s="89" t="s">
        <v>115</v>
      </c>
      <c r="AU63" s="81"/>
    </row>
    <row r="64" spans="1:47" x14ac:dyDescent="0.25">
      <c r="A64" s="84">
        <f>A63+1</f>
        <v>7</v>
      </c>
      <c r="B64" s="84">
        <f t="shared" si="11"/>
        <v>3</v>
      </c>
      <c r="C64" s="88">
        <f t="shared" ref="C64" si="20">B65</f>
        <v>4</v>
      </c>
      <c r="D64" s="82">
        <f>VLOOKUP(C64,STN_TABLE,2,FALSE)</f>
        <v>0.9</v>
      </c>
      <c r="E64" s="92">
        <v>1</v>
      </c>
      <c r="F64" s="82">
        <f>D64*E64</f>
        <v>0.9</v>
      </c>
      <c r="G64" s="83">
        <f>C64</f>
        <v>4</v>
      </c>
      <c r="H64" s="83">
        <f>F64*G64</f>
        <v>3.6</v>
      </c>
      <c r="I64" s="84" t="str">
        <f>CONCATENATE("a'(",C64,")=")</f>
        <v>a'(4)=</v>
      </c>
      <c r="J64" s="84" t="e">
        <f>2*J62/3*F65</f>
        <v>#VALUE!</v>
      </c>
      <c r="K64" s="84" t="str">
        <f>CONCATENATE("A(",C62,")=")</f>
        <v>A(2)=</v>
      </c>
      <c r="L64" s="84">
        <f>VLOOKUP(C62,STN_TABLE,3,FALSE)</f>
        <v>0</v>
      </c>
      <c r="M64" t="str">
        <f>CONCATENATE("A(",C64,")=")</f>
        <v>A(4)=</v>
      </c>
      <c r="N64" t="e">
        <f>J64+L64</f>
        <v>#VALUE!</v>
      </c>
      <c r="O64" s="99">
        <f>O63+1</f>
        <v>9</v>
      </c>
      <c r="P64" s="99">
        <f t="shared" si="10"/>
        <v>4.8499999999999996</v>
      </c>
      <c r="Q64" s="82">
        <f>IF(P64-P63=P63-P62,P64,IF(P65-P63=P63-P62,P65,IF(P64-P63=P63-P61,P64,IF(P65-P63=P63-P61,P65,"-"))))</f>
        <v>5</v>
      </c>
      <c r="R64" s="83">
        <f>VLOOKUP(Q64,STN_TABLE,2,FALSE)</f>
        <v>2.82</v>
      </c>
      <c r="S64" s="83">
        <v>-1</v>
      </c>
      <c r="T64" s="82">
        <f>R64*S64</f>
        <v>-2.82</v>
      </c>
      <c r="U64" s="88">
        <v>-1</v>
      </c>
      <c r="V64" s="82">
        <f>R64*U64</f>
        <v>-2.82</v>
      </c>
      <c r="W64" s="84" t="str">
        <f>CONCATENATE("a'(",Q63,")=")</f>
        <v>a'(4)=</v>
      </c>
      <c r="X64" s="84">
        <f>2*X62/12*T65</f>
        <v>1.4600000000000002</v>
      </c>
      <c r="Y64" s="84" t="str">
        <f>CONCATENATE("A(",Q62,")=")</f>
        <v>A(3)=</v>
      </c>
      <c r="Z64" s="84">
        <f>VLOOKUP(Q62,STN_TABLE,3,FALSE)</f>
        <v>0</v>
      </c>
      <c r="AA64" t="str">
        <f>CONCATENATE("A(",Q63,")=")</f>
        <v>A(4)=</v>
      </c>
      <c r="AB64">
        <f>X64+Z64</f>
        <v>1.4600000000000002</v>
      </c>
      <c r="AC64" s="99">
        <f>AC63+1</f>
        <v>8</v>
      </c>
      <c r="AD64" s="100">
        <f>VLOOKUP(AC64,STN_TABLE_2,2,FALSE)</f>
        <v>4</v>
      </c>
      <c r="AE64" s="82">
        <f>VLOOKUP(AD64,STN_TABLE,2,FALSE)</f>
        <v>0.9</v>
      </c>
      <c r="AF64" s="82">
        <v>2</v>
      </c>
      <c r="AG64" s="83">
        <f>AE64*AF64</f>
        <v>1.8</v>
      </c>
      <c r="AH64" s="84" t="str">
        <f>CONCATENATE("a'(",AD64,")=")</f>
        <v>a'(4)=</v>
      </c>
      <c r="AI64" s="84">
        <f>2*AI62/2*AE65</f>
        <v>1.8</v>
      </c>
      <c r="AJ64" s="84" t="str">
        <f>CONCATENATE("A(",AD63,")=")</f>
        <v>A(3)=</v>
      </c>
      <c r="AK64" s="84">
        <f>VLOOKUP(AD63,STN_TABLE,3,FALSE)</f>
        <v>0</v>
      </c>
      <c r="AL64" t="str">
        <f>CONCATENATE("A(",AD64,")=")</f>
        <v>A(4)=</v>
      </c>
      <c r="AM64">
        <f>AI64+AK64</f>
        <v>1.8</v>
      </c>
      <c r="AO64" s="68" t="str">
        <f>AA64</f>
        <v>A(4)=</v>
      </c>
      <c r="AP64" s="68">
        <f>VLOOKUP(AO64,Rise_Results,2,FALSE)</f>
        <v>0.9</v>
      </c>
      <c r="AQ64" s="76" t="e">
        <f>N64</f>
        <v>#VALUE!</v>
      </c>
      <c r="AR64" s="76">
        <f>IF(OR(AB64&lt;=0,AB65&lt;=0),1/0,AB64)</f>
        <v>1.4600000000000002</v>
      </c>
      <c r="AS64" s="76">
        <f>AM64</f>
        <v>1.8</v>
      </c>
      <c r="AT64">
        <f>IFERROR(AP64,IFERROR(AQ64,IFERROR(AR64,AS64)))</f>
        <v>0.9</v>
      </c>
      <c r="AU64" s="81"/>
    </row>
    <row r="65" spans="1:47" x14ac:dyDescent="0.25">
      <c r="A65" s="84">
        <f>A64+1</f>
        <v>8</v>
      </c>
      <c r="B65" s="84">
        <f t="shared" si="11"/>
        <v>4</v>
      </c>
      <c r="F65" s="82">
        <f>SUM(F62:F64)</f>
        <v>0.9</v>
      </c>
      <c r="H65" s="82">
        <f>SUM(H62:H64)</f>
        <v>3.6</v>
      </c>
      <c r="I65" s="84" t="str">
        <f>CONCATENATE("m'(",C64,")=")</f>
        <v>m'(4)=</v>
      </c>
      <c r="J65" s="84" t="e">
        <f>2*(J62*(WLS))/3*H65</f>
        <v>#VALUE!</v>
      </c>
      <c r="K65" s="84" t="str">
        <f>CONCATENATE("M(",C62,")=")</f>
        <v>M(2)=</v>
      </c>
      <c r="L65" s="84">
        <f>VLOOKUP(C62,STN_TABLE,4,FALSE)</f>
        <v>0</v>
      </c>
      <c r="M65" t="str">
        <f>CONCATENATE("M(",C64,")=")</f>
        <v>M(4)=</v>
      </c>
      <c r="N65" t="e">
        <f>J65+L65</f>
        <v>#VALUE!</v>
      </c>
      <c r="O65" s="99">
        <f>O64+1</f>
        <v>10</v>
      </c>
      <c r="P65" s="99">
        <f t="shared" si="10"/>
        <v>5</v>
      </c>
      <c r="T65" s="89">
        <f>SUM(T62:T64)</f>
        <v>4.3800000000000008</v>
      </c>
      <c r="V65" s="82">
        <f>SUM(V62:V64)</f>
        <v>6.18</v>
      </c>
      <c r="W65" s="84" t="str">
        <f>CONCATENATE("m'(",Q63,")=")</f>
        <v>m'(4)=</v>
      </c>
      <c r="X65" s="84">
        <f>(2*(X62^2)/24*V65)+(X64*Q62*WLS)</f>
        <v>10.82</v>
      </c>
      <c r="Y65" s="84" t="str">
        <f>CONCATENATE("M(",Q62,")=")</f>
        <v>M(3)=</v>
      </c>
      <c r="Z65" s="84">
        <f>VLOOKUP(Q62,STN_TABLE,4,FALSE)</f>
        <v>0</v>
      </c>
      <c r="AA65" t="str">
        <f>CONCATENATE("M(",Q63,")=")</f>
        <v>M(4)=</v>
      </c>
      <c r="AB65">
        <f>X65+Z65</f>
        <v>10.82</v>
      </c>
      <c r="AE65" s="89">
        <f>SUM(AE63:AE64)</f>
        <v>0.9</v>
      </c>
      <c r="AG65" s="89">
        <f>SUM(AG63:AG64)</f>
        <v>1.8</v>
      </c>
      <c r="AH65" s="84" t="str">
        <f>CONCATENATE("m'(",AD64,")=")</f>
        <v>m'(4)=</v>
      </c>
      <c r="AI65" s="84">
        <f>(2*(AI62^2)/6*AG65)+(AI64*AD63*WLS)</f>
        <v>13.200000000000001</v>
      </c>
      <c r="AJ65" s="84" t="str">
        <f>CONCATENATE("M(",AD63,")=")</f>
        <v>M(3)=</v>
      </c>
      <c r="AK65" s="84">
        <f>VLOOKUP(AD63,STN_TABLE,4,FALSE)</f>
        <v>0</v>
      </c>
      <c r="AL65" t="str">
        <f>CONCATENATE("M(",AD64,")=")</f>
        <v>M(4)=</v>
      </c>
      <c r="AM65">
        <f>AI65+AK65</f>
        <v>13.200000000000001</v>
      </c>
      <c r="AO65" s="82" t="str">
        <f>AA65</f>
        <v>M(4)=</v>
      </c>
      <c r="AP65" s="82">
        <f>VLOOKUP(AO65,Rise_Results,2,FALSE)</f>
        <v>6.8999999999999995</v>
      </c>
      <c r="AQ65" s="82" t="e">
        <f>N65</f>
        <v>#VALUE!</v>
      </c>
      <c r="AR65" s="82">
        <f>IF(OR(AB64&lt;=0,AB65&lt;=0),1/0,AB65)</f>
        <v>10.82</v>
      </c>
      <c r="AS65" s="82">
        <f>AM65</f>
        <v>13.200000000000001</v>
      </c>
      <c r="AT65">
        <f>IFERROR(AP65,IFERROR(AQ65,IFERROR(AR65,AS65)))</f>
        <v>6.8999999999999995</v>
      </c>
      <c r="AU65" s="81"/>
    </row>
    <row r="66" spans="1:47" x14ac:dyDescent="0.25">
      <c r="A66" s="101">
        <f>A61+1</f>
        <v>5</v>
      </c>
      <c r="B66" s="101">
        <f t="shared" si="11"/>
        <v>1</v>
      </c>
      <c r="O66" s="101">
        <f>O61+1</f>
        <v>7</v>
      </c>
      <c r="P66" s="101">
        <f t="shared" si="10"/>
        <v>3</v>
      </c>
      <c r="AU66" s="81"/>
    </row>
    <row r="67" spans="1:47" x14ac:dyDescent="0.25">
      <c r="A67" s="84">
        <f>A66+1</f>
        <v>6</v>
      </c>
      <c r="B67" s="84">
        <f t="shared" si="11"/>
        <v>2</v>
      </c>
      <c r="C67" s="79" t="str">
        <f t="shared" ref="C67" si="21">IF(C68=B69,IF(C69-C68=C68-B68,B68,IF(C69-C68=C68-B67,B67,"#NA")),IF(C68=B68,IF(C69-C68=C68-B67,B67,IF(C69-C68=C68-B66,B66,"#NA")),"#NA"))</f>
        <v>#NA</v>
      </c>
      <c r="D67" s="68" t="e">
        <f>VLOOKUP(C67,STN_TABLE,2,FALSE)</f>
        <v>#N/A</v>
      </c>
      <c r="E67" s="102">
        <v>1</v>
      </c>
      <c r="F67" s="68" t="e">
        <f>D67*E67</f>
        <v>#N/A</v>
      </c>
      <c r="G67" s="69" t="str">
        <f>C67</f>
        <v>#NA</v>
      </c>
      <c r="H67" s="69" t="e">
        <f>F67*G67</f>
        <v>#N/A</v>
      </c>
      <c r="I67" s="6" t="s">
        <v>93</v>
      </c>
      <c r="J67" s="70" t="e">
        <f>IF(OR(D67=0,D68=0,D69=0),"#NA",IF(AND(C69-C68=C68-C67,C68&lt;&gt;C69,C67&lt;&gt;C68,C67&lt;&gt;C69,D69&lt;&gt;0,OR(D67&lt;&gt;0,D68&lt;&gt;0)),WLS*(C69-C68),"#NA"))</f>
        <v>#N/A</v>
      </c>
      <c r="O67" s="99">
        <f>O66+1</f>
        <v>8</v>
      </c>
      <c r="P67" s="99">
        <f t="shared" si="10"/>
        <v>4</v>
      </c>
      <c r="Q67" s="68" t="str">
        <f>IF(OR(P69-P68=P68-P67,P70-P68=P68-P67),P67,IF(OR(P69-P68=P68-P66,P70-P68=P68-P66),P66,"-"))</f>
        <v>-</v>
      </c>
      <c r="R67" s="69" t="e">
        <f>VLOOKUP(Q67,STN_TABLE,2,FALSE)</f>
        <v>#N/A</v>
      </c>
      <c r="S67" s="69">
        <v>5</v>
      </c>
      <c r="T67" s="68" t="e">
        <f>R67*S67</f>
        <v>#N/A</v>
      </c>
      <c r="U67" s="79">
        <v>3</v>
      </c>
      <c r="V67" s="68" t="e">
        <f>R67*U67</f>
        <v>#N/A</v>
      </c>
      <c r="W67" s="6" t="s">
        <v>93</v>
      </c>
      <c r="X67" s="70" t="e">
        <f>IF(AND(Q69-Q68=Q68-Q67,NOT(AND(Q67=0,Q68=0)),NOT(AND(Q68=0,Q69=0))),WLS*(Q69-Q68),"#NA")</f>
        <v>#VALUE!</v>
      </c>
      <c r="AD67" s="93"/>
      <c r="AH67" s="6" t="s">
        <v>93</v>
      </c>
      <c r="AI67" s="70">
        <f>WLS*(AD69-AD68)</f>
        <v>1.6999999999999993</v>
      </c>
      <c r="AU67" s="81"/>
    </row>
    <row r="68" spans="1:47" x14ac:dyDescent="0.25">
      <c r="A68" s="84">
        <f>A67+1</f>
        <v>7</v>
      </c>
      <c r="B68" s="84">
        <f t="shared" si="11"/>
        <v>3</v>
      </c>
      <c r="C68" s="80" t="str">
        <f t="shared" ref="C68" si="22">IF(OR(B70-B69=B69-B68,B70-B69=B69-B67,B70-B69=B69-B66),B69,IF(OR(B70-B68=B68-B67,B70-B68=B68-B66),B68,IF(B70-B67=B67-B66,B67,"#NA")))</f>
        <v>#NA</v>
      </c>
      <c r="D68" s="76" t="e">
        <f>VLOOKUP(C68,STN_TABLE,2,FALSE)</f>
        <v>#N/A</v>
      </c>
      <c r="E68" s="81">
        <v>4</v>
      </c>
      <c r="F68" s="76" t="e">
        <f>D68*E68</f>
        <v>#N/A</v>
      </c>
      <c r="G68" s="77" t="str">
        <f>C68</f>
        <v>#NA</v>
      </c>
      <c r="H68" s="77" t="e">
        <f>F68*G68</f>
        <v>#N/A</v>
      </c>
      <c r="I68" s="495" t="s">
        <v>97</v>
      </c>
      <c r="J68" s="496"/>
      <c r="K68" s="78" t="s">
        <v>98</v>
      </c>
      <c r="L68" s="78"/>
      <c r="M68" s="7" t="s">
        <v>99</v>
      </c>
      <c r="N68" s="7"/>
      <c r="O68" s="99">
        <f>O67+1</f>
        <v>9</v>
      </c>
      <c r="P68" s="99">
        <f t="shared" ref="P68:P99" si="23">VLOOKUP(O68,STN_TABLE_2,2,FALSE)</f>
        <v>4.8499999999999996</v>
      </c>
      <c r="Q68" s="76">
        <f>P68</f>
        <v>4.8499999999999996</v>
      </c>
      <c r="R68" s="77">
        <f>VLOOKUP(Q68,STN_TABLE,2,FALSE)</f>
        <v>2.59</v>
      </c>
      <c r="S68" s="77">
        <v>8</v>
      </c>
      <c r="T68" s="76">
        <f>R68*S68</f>
        <v>20.72</v>
      </c>
      <c r="U68" s="80">
        <v>10</v>
      </c>
      <c r="V68" s="76">
        <f>R68*U68</f>
        <v>25.9</v>
      </c>
      <c r="W68" s="496" t="s">
        <v>97</v>
      </c>
      <c r="X68" s="496"/>
      <c r="Y68" s="496" t="s">
        <v>98</v>
      </c>
      <c r="Z68" s="496"/>
      <c r="AA68" s="494" t="s">
        <v>99</v>
      </c>
      <c r="AB68" s="494"/>
      <c r="AC68" s="99">
        <f>AC63+1</f>
        <v>8</v>
      </c>
      <c r="AD68" s="95">
        <f>VLOOKUP(AC68,STN_TABLE_2,2,FALSE)</f>
        <v>4</v>
      </c>
      <c r="AE68" s="68">
        <f>VLOOKUP(AD68,STN_TABLE,2,FALSE)</f>
        <v>0.9</v>
      </c>
      <c r="AF68" s="68">
        <v>1</v>
      </c>
      <c r="AG68" s="69">
        <f>AE68*AF68</f>
        <v>0.9</v>
      </c>
      <c r="AH68" s="496" t="s">
        <v>97</v>
      </c>
      <c r="AI68" s="496"/>
      <c r="AJ68" s="496" t="s">
        <v>98</v>
      </c>
      <c r="AK68" s="496"/>
      <c r="AL68" s="494" t="s">
        <v>99</v>
      </c>
      <c r="AM68" s="494"/>
      <c r="AP68" s="86" t="s">
        <v>112</v>
      </c>
      <c r="AQ68" s="89" t="s">
        <v>113</v>
      </c>
      <c r="AR68" s="89" t="s">
        <v>114</v>
      </c>
      <c r="AS68" s="89" t="s">
        <v>115</v>
      </c>
      <c r="AU68" s="81"/>
    </row>
    <row r="69" spans="1:47" x14ac:dyDescent="0.25">
      <c r="A69" s="84">
        <f>A68+1</f>
        <v>8</v>
      </c>
      <c r="B69" s="84">
        <f t="shared" si="11"/>
        <v>4</v>
      </c>
      <c r="C69" s="88">
        <f t="shared" ref="C69" si="24">B70</f>
        <v>4.8499999999999996</v>
      </c>
      <c r="D69" s="82">
        <f>VLOOKUP(C69,STN_TABLE,2,FALSE)</f>
        <v>2.59</v>
      </c>
      <c r="E69" s="92">
        <v>1</v>
      </c>
      <c r="F69" s="82">
        <f>D69*E69</f>
        <v>2.59</v>
      </c>
      <c r="G69" s="83">
        <f>C69</f>
        <v>4.8499999999999996</v>
      </c>
      <c r="H69" s="83">
        <f>F69*G69</f>
        <v>12.561499999999999</v>
      </c>
      <c r="I69" s="84" t="str">
        <f>CONCATENATE("a'(",C69,")=")</f>
        <v>a'(4.85)=</v>
      </c>
      <c r="J69" s="84" t="e">
        <f>2*J67/3*F70</f>
        <v>#N/A</v>
      </c>
      <c r="K69" s="84" t="str">
        <f>CONCATENATE("A(",C67,")=")</f>
        <v>A(#NA)=</v>
      </c>
      <c r="L69" s="84" t="e">
        <f>VLOOKUP(C67,STN_TABLE,3,FALSE)</f>
        <v>#N/A</v>
      </c>
      <c r="M69" t="str">
        <f>CONCATENATE("A(",C69,")=")</f>
        <v>A(4.85)=</v>
      </c>
      <c r="N69" t="e">
        <f>J69+L69</f>
        <v>#N/A</v>
      </c>
      <c r="O69" s="99">
        <f>O68+1</f>
        <v>10</v>
      </c>
      <c r="P69" s="99">
        <f t="shared" si="23"/>
        <v>5</v>
      </c>
      <c r="Q69" s="82" t="str">
        <f>IF(P69-P68=P68-P67,P69,IF(P70-P68=P68-P67,P70,IF(P69-P68=P68-P66,P69,IF(P70-P68=P68-P66,P70,"-"))))</f>
        <v>-</v>
      </c>
      <c r="R69" s="83" t="e">
        <f>VLOOKUP(Q69,STN_TABLE,2,FALSE)</f>
        <v>#N/A</v>
      </c>
      <c r="S69" s="83">
        <v>-1</v>
      </c>
      <c r="T69" s="82" t="e">
        <f>R69*S69</f>
        <v>#N/A</v>
      </c>
      <c r="U69" s="88">
        <v>-1</v>
      </c>
      <c r="V69" s="82" t="e">
        <f>R69*U69</f>
        <v>#N/A</v>
      </c>
      <c r="W69" s="84" t="str">
        <f>CONCATENATE("a'(",Q68,")=")</f>
        <v>a'(4.85)=</v>
      </c>
      <c r="X69" s="84" t="e">
        <f>2*X67/12*T70</f>
        <v>#VALUE!</v>
      </c>
      <c r="Y69" s="84" t="str">
        <f>CONCATENATE("A(",Q67,")=")</f>
        <v>A(-)=</v>
      </c>
      <c r="Z69" s="84" t="e">
        <f>VLOOKUP(Q67,STN_TABLE,3,FALSE)</f>
        <v>#N/A</v>
      </c>
      <c r="AA69" t="str">
        <f>CONCATENATE("A(",Q68,")=")</f>
        <v>A(4.85)=</v>
      </c>
      <c r="AB69" t="e">
        <f>X69+Z69</f>
        <v>#VALUE!</v>
      </c>
      <c r="AC69" s="99">
        <f>AC68+1</f>
        <v>9</v>
      </c>
      <c r="AD69" s="100">
        <f>VLOOKUP(AC69,STN_TABLE_2,2,FALSE)</f>
        <v>4.8499999999999996</v>
      </c>
      <c r="AE69" s="82">
        <f>VLOOKUP(AD69,STN_TABLE,2,FALSE)</f>
        <v>2.59</v>
      </c>
      <c r="AF69" s="82">
        <v>2</v>
      </c>
      <c r="AG69" s="83">
        <f>AE69*AF69</f>
        <v>5.18</v>
      </c>
      <c r="AH69" s="84" t="str">
        <f>CONCATENATE("a'(",AD69,")=")</f>
        <v>a'(4.85)=</v>
      </c>
      <c r="AI69" s="84">
        <f>2*AI67/2*AE70</f>
        <v>5.9329999999999972</v>
      </c>
      <c r="AJ69" s="84" t="str">
        <f>CONCATENATE("A(",AD68,")=")</f>
        <v>A(4)=</v>
      </c>
      <c r="AK69" s="84">
        <f>VLOOKUP(AD68,STN_TABLE,3,FALSE)</f>
        <v>0.9</v>
      </c>
      <c r="AL69" t="str">
        <f>CONCATENATE("A(",AD69,")=")</f>
        <v>A(4.85)=</v>
      </c>
      <c r="AM69">
        <f>AI69+AK69</f>
        <v>6.8329999999999975</v>
      </c>
      <c r="AO69" s="68" t="str">
        <f>AA69</f>
        <v>A(4.85)=</v>
      </c>
      <c r="AP69" s="68">
        <f>VLOOKUP(AO69,Rise_Results,2,FALSE)</f>
        <v>6.8329999999999975</v>
      </c>
      <c r="AQ69" s="76" t="e">
        <f>N69</f>
        <v>#N/A</v>
      </c>
      <c r="AR69" s="76" t="e">
        <f>IF(OR(AB69&lt;=0,AB70&lt;=0),1/0,AB69)</f>
        <v>#VALUE!</v>
      </c>
      <c r="AS69" s="76">
        <f>AM69</f>
        <v>6.8329999999999975</v>
      </c>
      <c r="AT69">
        <f>IFERROR(AP69,IFERROR(AQ69,IFERROR(AR69,AS69)))</f>
        <v>6.8329999999999975</v>
      </c>
      <c r="AU69" s="81"/>
    </row>
    <row r="70" spans="1:47" x14ac:dyDescent="0.25">
      <c r="A70" s="84">
        <f>A69+1</f>
        <v>9</v>
      </c>
      <c r="B70" s="84">
        <f t="shared" si="11"/>
        <v>4.8499999999999996</v>
      </c>
      <c r="F70" s="82" t="e">
        <f>SUM(F67:F69)</f>
        <v>#N/A</v>
      </c>
      <c r="H70" s="82" t="e">
        <f>SUM(H67:H69)</f>
        <v>#N/A</v>
      </c>
      <c r="I70" s="84" t="str">
        <f>CONCATENATE("m'(",C69,")=")</f>
        <v>m'(4.85)=</v>
      </c>
      <c r="J70" s="84" t="e">
        <f>2*(J67*(WLS))/3*H70</f>
        <v>#N/A</v>
      </c>
      <c r="K70" s="84" t="str">
        <f>CONCATENATE("M(",C67,")=")</f>
        <v>M(#NA)=</v>
      </c>
      <c r="L70" s="84" t="e">
        <f>VLOOKUP(C67,STN_TABLE,4,FALSE)</f>
        <v>#N/A</v>
      </c>
      <c r="M70" t="str">
        <f>CONCATENATE("M(",C69,")=")</f>
        <v>M(4.85)=</v>
      </c>
      <c r="N70" t="e">
        <f>J70+L70</f>
        <v>#N/A</v>
      </c>
      <c r="O70" s="99">
        <f>O69+1</f>
        <v>11</v>
      </c>
      <c r="P70" s="99">
        <f t="shared" si="23"/>
        <v>6</v>
      </c>
      <c r="T70" s="89" t="e">
        <f>SUM(T67:T69)</f>
        <v>#N/A</v>
      </c>
      <c r="V70" s="82" t="e">
        <f>SUM(V67:V69)</f>
        <v>#N/A</v>
      </c>
      <c r="W70" s="84" t="str">
        <f>CONCATENATE("m'(",Q68,")=")</f>
        <v>m'(4.85)=</v>
      </c>
      <c r="X70" s="84" t="e">
        <f>(2*(X67^2)/24*V70)+(X69*Q67*WLS)</f>
        <v>#VALUE!</v>
      </c>
      <c r="Y70" s="84" t="str">
        <f>CONCATENATE("M(",Q67,")=")</f>
        <v>M(-)=</v>
      </c>
      <c r="Z70" s="84" t="e">
        <f>VLOOKUP(Q67,STN_TABLE,4,FALSE)</f>
        <v>#N/A</v>
      </c>
      <c r="AA70" t="str">
        <f>CONCATENATE("M(",Q68,")=")</f>
        <v>M(4.85)=</v>
      </c>
      <c r="AB70" t="e">
        <f>X70+Z70</f>
        <v>#VALUE!</v>
      </c>
      <c r="AE70" s="89">
        <f>SUM(AE68:AE69)</f>
        <v>3.4899999999999998</v>
      </c>
      <c r="AG70" s="89">
        <f>SUM(AG68:AG69)</f>
        <v>6.08</v>
      </c>
      <c r="AH70" s="84" t="str">
        <f>CONCATENATE("m'(",AD69,")=")</f>
        <v>m'(4.85)=</v>
      </c>
      <c r="AI70" s="84">
        <f>(2*(AI67^2)/6*AG70)+(AI69*AD68*WLS)</f>
        <v>53.321066666666638</v>
      </c>
      <c r="AJ70" s="84" t="str">
        <f>CONCATENATE("M(",AD68,")=")</f>
        <v>M(4)=</v>
      </c>
      <c r="AK70" s="84">
        <f>VLOOKUP(AD68,STN_TABLE,4,FALSE)</f>
        <v>6.8999999999999995</v>
      </c>
      <c r="AL70" t="str">
        <f>CONCATENATE("M(",AD69,")=")</f>
        <v>M(4.85)=</v>
      </c>
      <c r="AM70">
        <f>AI70+AK70</f>
        <v>60.221066666666637</v>
      </c>
      <c r="AO70" s="82" t="str">
        <f>AA70</f>
        <v>M(4.85)=</v>
      </c>
      <c r="AP70" s="82">
        <f>VLOOKUP(AO70,Rise_Results,2,FALSE)</f>
        <v>60.221066666666637</v>
      </c>
      <c r="AQ70" s="82" t="e">
        <f>N70</f>
        <v>#N/A</v>
      </c>
      <c r="AR70" s="82" t="e">
        <f>IF(OR(AB69&lt;=0,AB70&lt;=0),1/0,AB70)</f>
        <v>#VALUE!</v>
      </c>
      <c r="AS70" s="82">
        <f>AM70</f>
        <v>60.221066666666637</v>
      </c>
      <c r="AT70">
        <f>IFERROR(AP70,IFERROR(AQ70,IFERROR(AR70,AS70)))</f>
        <v>60.221066666666637</v>
      </c>
      <c r="AU70" s="81"/>
    </row>
    <row r="71" spans="1:47" x14ac:dyDescent="0.25">
      <c r="A71" s="101">
        <f>A66+1</f>
        <v>6</v>
      </c>
      <c r="B71" s="101">
        <f t="shared" si="11"/>
        <v>2</v>
      </c>
      <c r="O71" s="101">
        <f>O66+1</f>
        <v>8</v>
      </c>
      <c r="P71" s="101">
        <f t="shared" si="23"/>
        <v>4</v>
      </c>
      <c r="AU71" s="81"/>
    </row>
    <row r="72" spans="1:47" x14ac:dyDescent="0.25">
      <c r="A72" s="84">
        <f>A71+1</f>
        <v>7</v>
      </c>
      <c r="B72" s="84">
        <f t="shared" si="11"/>
        <v>3</v>
      </c>
      <c r="C72" s="79">
        <f t="shared" ref="C72" si="25">IF(C73=B74,IF(C74-C73=C73-B73,B73,IF(C74-C73=C73-B72,B72,"#NA")),IF(C73=B73,IF(C74-C73=C73-B72,B72,IF(C74-C73=C73-B71,B71,"#NA")),"#NA"))</f>
        <v>3</v>
      </c>
      <c r="D72" s="68">
        <f>VLOOKUP(C72,STN_TABLE,2,FALSE)</f>
        <v>0</v>
      </c>
      <c r="E72" s="102">
        <v>1</v>
      </c>
      <c r="F72" s="68">
        <f>D72*E72</f>
        <v>0</v>
      </c>
      <c r="G72" s="69">
        <f>C72</f>
        <v>3</v>
      </c>
      <c r="H72" s="69">
        <f>F72*G72</f>
        <v>0</v>
      </c>
      <c r="I72" s="6" t="s">
        <v>93</v>
      </c>
      <c r="J72" s="70" t="str">
        <f>IF(OR(D72=0,D73=0,D74=0),"#NA",IF(AND(C74-C73=C73-C72,C73&lt;&gt;C74,C72&lt;&gt;C73,C72&lt;&gt;C74,D74&lt;&gt;0,OR(D72&lt;&gt;0,D73&lt;&gt;0)),WLS*(C74-C73),"#NA"))</f>
        <v>#NA</v>
      </c>
      <c r="O72" s="99">
        <f>O71+1</f>
        <v>9</v>
      </c>
      <c r="P72" s="99">
        <f t="shared" si="23"/>
        <v>4.8499999999999996</v>
      </c>
      <c r="Q72" s="68">
        <f>IF(OR(P74-P73=P73-P72,P75-P73=P73-P72),P72,IF(OR(P74-P73=P73-P71,P75-P73=P73-P71),P71,"-"))</f>
        <v>4</v>
      </c>
      <c r="R72" s="69">
        <f>VLOOKUP(Q72,STN_TABLE,2,FALSE)</f>
        <v>0.9</v>
      </c>
      <c r="S72" s="69">
        <v>5</v>
      </c>
      <c r="T72" s="68">
        <f>R72*S72</f>
        <v>4.5</v>
      </c>
      <c r="U72" s="79">
        <v>3</v>
      </c>
      <c r="V72" s="68">
        <f>R72*U72</f>
        <v>2.7</v>
      </c>
      <c r="W72" s="6" t="s">
        <v>93</v>
      </c>
      <c r="X72" s="70">
        <f>IF(AND(Q74-Q73=Q73-Q72,NOT(AND(Q72=0,Q73=0)),NOT(AND(Q73=0,Q74=0))),WLS*(Q74-Q73),"#NA")</f>
        <v>2</v>
      </c>
      <c r="AD72" s="93"/>
      <c r="AH72" s="6" t="s">
        <v>93</v>
      </c>
      <c r="AI72" s="70">
        <f>WLS*(AD74-AD73)</f>
        <v>0.30000000000000071</v>
      </c>
      <c r="AU72" s="81"/>
    </row>
    <row r="73" spans="1:47" x14ac:dyDescent="0.25">
      <c r="A73" s="84">
        <f>A72+1</f>
        <v>8</v>
      </c>
      <c r="B73" s="84">
        <f t="shared" si="11"/>
        <v>4</v>
      </c>
      <c r="C73" s="80">
        <f t="shared" ref="C73" si="26">IF(OR(B75-B74=B74-B73,B75-B74=B74-B72,B75-B74=B74-B71),B74,IF(OR(B75-B73=B73-B72,B75-B73=B73-B71),B73,IF(B75-B72=B72-B71,B72,"#NA")))</f>
        <v>4</v>
      </c>
      <c r="D73" s="76">
        <f>VLOOKUP(C73,STN_TABLE,2,FALSE)</f>
        <v>0.9</v>
      </c>
      <c r="E73" s="81">
        <v>4</v>
      </c>
      <c r="F73" s="76">
        <f>D73*E73</f>
        <v>3.6</v>
      </c>
      <c r="G73" s="77">
        <f>C73</f>
        <v>4</v>
      </c>
      <c r="H73" s="77">
        <f>F73*G73</f>
        <v>14.4</v>
      </c>
      <c r="I73" s="495" t="s">
        <v>97</v>
      </c>
      <c r="J73" s="496"/>
      <c r="K73" s="78" t="s">
        <v>98</v>
      </c>
      <c r="L73" s="78"/>
      <c r="M73" s="7" t="s">
        <v>99</v>
      </c>
      <c r="N73" s="7"/>
      <c r="O73" s="99">
        <f>O72+1</f>
        <v>10</v>
      </c>
      <c r="P73" s="99">
        <f t="shared" si="23"/>
        <v>5</v>
      </c>
      <c r="Q73" s="76">
        <f>P73</f>
        <v>5</v>
      </c>
      <c r="R73" s="77">
        <f>VLOOKUP(Q73,STN_TABLE,2,FALSE)</f>
        <v>2.82</v>
      </c>
      <c r="S73" s="77">
        <v>8</v>
      </c>
      <c r="T73" s="76">
        <f>R73*S73</f>
        <v>22.56</v>
      </c>
      <c r="U73" s="80">
        <v>10</v>
      </c>
      <c r="V73" s="76">
        <f>R73*U73</f>
        <v>28.2</v>
      </c>
      <c r="W73" s="496" t="s">
        <v>97</v>
      </c>
      <c r="X73" s="496"/>
      <c r="Y73" s="496" t="s">
        <v>98</v>
      </c>
      <c r="Z73" s="496"/>
      <c r="AA73" s="494" t="s">
        <v>99</v>
      </c>
      <c r="AB73" s="494"/>
      <c r="AC73" s="99">
        <f>AC68+1</f>
        <v>9</v>
      </c>
      <c r="AD73" s="95">
        <f>VLOOKUP(AC73,STN_TABLE_2,2,FALSE)</f>
        <v>4.8499999999999996</v>
      </c>
      <c r="AE73" s="68">
        <f>VLOOKUP(AD73,STN_TABLE,2,FALSE)</f>
        <v>2.59</v>
      </c>
      <c r="AF73" s="68">
        <v>1</v>
      </c>
      <c r="AG73" s="69">
        <f>AE73*AF73</f>
        <v>2.59</v>
      </c>
      <c r="AH73" s="496" t="s">
        <v>97</v>
      </c>
      <c r="AI73" s="496"/>
      <c r="AJ73" s="496" t="s">
        <v>98</v>
      </c>
      <c r="AK73" s="496"/>
      <c r="AL73" s="494" t="s">
        <v>99</v>
      </c>
      <c r="AM73" s="494"/>
      <c r="AP73" s="86" t="s">
        <v>112</v>
      </c>
      <c r="AQ73" s="89" t="s">
        <v>113</v>
      </c>
      <c r="AR73" s="89" t="s">
        <v>114</v>
      </c>
      <c r="AS73" s="89" t="s">
        <v>115</v>
      </c>
      <c r="AU73" s="81"/>
    </row>
    <row r="74" spans="1:47" x14ac:dyDescent="0.25">
      <c r="A74" s="84">
        <f>A73+1</f>
        <v>9</v>
      </c>
      <c r="B74" s="84">
        <f t="shared" ref="B74:B105" si="27">VLOOKUP(A74,STN_TABLE_2,2,FALSE)</f>
        <v>4.8499999999999996</v>
      </c>
      <c r="C74" s="88">
        <f t="shared" ref="C74" si="28">B75</f>
        <v>5</v>
      </c>
      <c r="D74" s="82">
        <f>VLOOKUP(C74,STN_TABLE,2,FALSE)</f>
        <v>2.82</v>
      </c>
      <c r="E74" s="92">
        <v>1</v>
      </c>
      <c r="F74" s="82">
        <f>D74*E74</f>
        <v>2.82</v>
      </c>
      <c r="G74" s="83">
        <f>C74</f>
        <v>5</v>
      </c>
      <c r="H74" s="83">
        <f>F74*G74</f>
        <v>14.1</v>
      </c>
      <c r="I74" s="84" t="str">
        <f>CONCATENATE("a'(",C74,")=")</f>
        <v>a'(5)=</v>
      </c>
      <c r="J74" s="84" t="e">
        <f>2*J72/3*F75</f>
        <v>#VALUE!</v>
      </c>
      <c r="K74" s="84" t="str">
        <f>CONCATENATE("A(",C72,")=")</f>
        <v>A(3)=</v>
      </c>
      <c r="L74" s="84">
        <f>VLOOKUP(C72,STN_TABLE,3,FALSE)</f>
        <v>0</v>
      </c>
      <c r="M74" t="str">
        <f>CONCATENATE("A(",C74,")=")</f>
        <v>A(5)=</v>
      </c>
      <c r="N74" t="e">
        <f>J74+L74</f>
        <v>#VALUE!</v>
      </c>
      <c r="O74" s="99">
        <f>O73+1</f>
        <v>11</v>
      </c>
      <c r="P74" s="99">
        <f t="shared" si="23"/>
        <v>6</v>
      </c>
      <c r="Q74" s="82">
        <f>IF(P74-P73=P73-P72,P74,IF(P75-P73=P73-P72,P75,IF(P74-P73=P73-P71,P74,IF(P75-P73=P73-P71,P75,"-"))))</f>
        <v>6</v>
      </c>
      <c r="R74" s="83">
        <f>VLOOKUP(Q74,STN_TABLE,2,FALSE)</f>
        <v>3.82</v>
      </c>
      <c r="S74" s="83">
        <v>-1</v>
      </c>
      <c r="T74" s="82">
        <f>R74*S74</f>
        <v>-3.82</v>
      </c>
      <c r="U74" s="88">
        <v>-1</v>
      </c>
      <c r="V74" s="82">
        <f>R74*U74</f>
        <v>-3.82</v>
      </c>
      <c r="W74" s="84" t="str">
        <f>CONCATENATE("a'(",Q73,")=")</f>
        <v>a'(5)=</v>
      </c>
      <c r="X74" s="84">
        <f>2*X72/12*T75</f>
        <v>7.7466666666666661</v>
      </c>
      <c r="Y74" s="84" t="str">
        <f>CONCATENATE("A(",Q72,")=")</f>
        <v>A(4)=</v>
      </c>
      <c r="Z74" s="84">
        <f>VLOOKUP(Q72,STN_TABLE,3,FALSE)</f>
        <v>0.9</v>
      </c>
      <c r="AA74" t="str">
        <f>CONCATENATE("A(",Q73,")=")</f>
        <v>A(5)=</v>
      </c>
      <c r="AB74">
        <f>X74+Z74</f>
        <v>8.6466666666666665</v>
      </c>
      <c r="AC74" s="99">
        <f>AC73+1</f>
        <v>10</v>
      </c>
      <c r="AD74" s="100">
        <f>VLOOKUP(AC74,STN_TABLE_2,2,FALSE)</f>
        <v>5</v>
      </c>
      <c r="AE74" s="82">
        <f>VLOOKUP(AD74,STN_TABLE,2,FALSE)</f>
        <v>2.82</v>
      </c>
      <c r="AF74" s="82">
        <v>2</v>
      </c>
      <c r="AG74" s="83">
        <f>AE74*AF74</f>
        <v>5.64</v>
      </c>
      <c r="AH74" s="84" t="str">
        <f>CONCATENATE("a'(",AD74,")=")</f>
        <v>a'(5)=</v>
      </c>
      <c r="AI74" s="84">
        <f>2*AI72/2*AE75</f>
        <v>1.623000000000004</v>
      </c>
      <c r="AJ74" s="84" t="str">
        <f>CONCATENATE("A(",AD73,")=")</f>
        <v>A(4.85)=</v>
      </c>
      <c r="AK74" s="84">
        <f>VLOOKUP(AD73,STN_TABLE,3,FALSE)</f>
        <v>6.8329999999999975</v>
      </c>
      <c r="AL74" t="str">
        <f>CONCATENATE("A(",AD74,")=")</f>
        <v>A(5)=</v>
      </c>
      <c r="AM74">
        <f>AI74+AK74</f>
        <v>8.4560000000000013</v>
      </c>
      <c r="AO74" s="68" t="str">
        <f>AA74</f>
        <v>A(5)=</v>
      </c>
      <c r="AP74" s="68">
        <f>VLOOKUP(AO74,Rise_Results,2,FALSE)</f>
        <v>8.6466666666666665</v>
      </c>
      <c r="AQ74" s="76" t="e">
        <f>N74</f>
        <v>#VALUE!</v>
      </c>
      <c r="AR74" s="76">
        <f>IF(OR(AB74&lt;=0,AB75&lt;=0),1/0,AB74)</f>
        <v>8.6466666666666665</v>
      </c>
      <c r="AS74" s="76">
        <f>AM74</f>
        <v>8.4560000000000013</v>
      </c>
      <c r="AT74">
        <f>IFERROR(AP74,IFERROR(AQ74,IFERROR(AR74,AS74)))</f>
        <v>8.6466666666666665</v>
      </c>
      <c r="AU74" s="81"/>
    </row>
    <row r="75" spans="1:47" x14ac:dyDescent="0.25">
      <c r="A75" s="84">
        <f>A74+1</f>
        <v>10</v>
      </c>
      <c r="B75" s="84">
        <f t="shared" si="27"/>
        <v>5</v>
      </c>
      <c r="F75" s="82">
        <f>SUM(F72:F74)</f>
        <v>6.42</v>
      </c>
      <c r="H75" s="82">
        <f>SUM(H72:H74)</f>
        <v>28.5</v>
      </c>
      <c r="I75" s="84" t="str">
        <f>CONCATENATE("m'(",C74,")=")</f>
        <v>m'(5)=</v>
      </c>
      <c r="J75" s="84" t="e">
        <f>2*(J72*(WLS))/3*H75</f>
        <v>#VALUE!</v>
      </c>
      <c r="K75" s="84" t="str">
        <f>CONCATENATE("M(",C72,")=")</f>
        <v>M(3)=</v>
      </c>
      <c r="L75" s="84">
        <f>VLOOKUP(C72,STN_TABLE,4,FALSE)</f>
        <v>0</v>
      </c>
      <c r="M75" t="str">
        <f>CONCATENATE("M(",C74,")=")</f>
        <v>M(5)=</v>
      </c>
      <c r="N75" t="e">
        <f>J75+L75</f>
        <v>#VALUE!</v>
      </c>
      <c r="O75" s="99">
        <f>O74+1</f>
        <v>12</v>
      </c>
      <c r="P75" s="99">
        <f t="shared" si="23"/>
        <v>6.5</v>
      </c>
      <c r="T75" s="89">
        <f>SUM(T72:T74)</f>
        <v>23.24</v>
      </c>
      <c r="V75" s="82">
        <f>SUM(V72:V74)</f>
        <v>27.08</v>
      </c>
      <c r="W75" s="84" t="str">
        <f>CONCATENATE("m'(",Q73,")=")</f>
        <v>m'(5)=</v>
      </c>
      <c r="X75" s="84">
        <f>(2*(X72^2)/24*V75)+(X74*Q72*WLS)</f>
        <v>71</v>
      </c>
      <c r="Y75" s="84" t="str">
        <f>CONCATENATE("M(",Q72,")=")</f>
        <v>M(4)=</v>
      </c>
      <c r="Z75" s="84">
        <f>VLOOKUP(Q72,STN_TABLE,4,FALSE)</f>
        <v>6.8999999999999995</v>
      </c>
      <c r="AA75" t="str">
        <f>CONCATENATE("M(",Q73,")=")</f>
        <v>M(5)=</v>
      </c>
      <c r="AB75">
        <f>X75+Z75</f>
        <v>77.900000000000006</v>
      </c>
      <c r="AE75" s="89">
        <f>SUM(AE73:AE74)</f>
        <v>5.41</v>
      </c>
      <c r="AG75" s="89">
        <f>SUM(AG73:AG74)</f>
        <v>8.23</v>
      </c>
      <c r="AH75" s="84" t="str">
        <f>CONCATENATE("m'(",AD74,")=")</f>
        <v>m'(5)=</v>
      </c>
      <c r="AI75" s="84">
        <f>(2*(AI72^2)/6*AG75)+(AI74*AD73*WLS)</f>
        <v>15.990000000000039</v>
      </c>
      <c r="AJ75" s="84" t="str">
        <f>CONCATENATE("M(",AD73,")=")</f>
        <v>M(4.85)=</v>
      </c>
      <c r="AK75" s="84">
        <f>VLOOKUP(AD73,STN_TABLE,4,FALSE)</f>
        <v>60.221066666666637</v>
      </c>
      <c r="AL75" t="str">
        <f>CONCATENATE("M(",AD74,")=")</f>
        <v>M(5)=</v>
      </c>
      <c r="AM75">
        <f>AI75+AK75</f>
        <v>76.211066666666682</v>
      </c>
      <c r="AO75" s="82" t="str">
        <f>AA75</f>
        <v>M(5)=</v>
      </c>
      <c r="AP75" s="82">
        <f>VLOOKUP(AO75,Rise_Results,2,FALSE)</f>
        <v>77.900000000000006</v>
      </c>
      <c r="AQ75" s="82" t="e">
        <f>N75</f>
        <v>#VALUE!</v>
      </c>
      <c r="AR75" s="82">
        <f>IF(OR(AB74&lt;=0,AB75&lt;=0),1/0,AB75)</f>
        <v>77.900000000000006</v>
      </c>
      <c r="AS75" s="82">
        <f>AM75</f>
        <v>76.211066666666682</v>
      </c>
      <c r="AT75">
        <f>IFERROR(AP75,IFERROR(AQ75,IFERROR(AR75,AS75)))</f>
        <v>77.900000000000006</v>
      </c>
      <c r="AU75" s="81"/>
    </row>
    <row r="76" spans="1:47" x14ac:dyDescent="0.25">
      <c r="A76" s="101">
        <f>A71+1</f>
        <v>7</v>
      </c>
      <c r="B76" s="101">
        <f t="shared" si="27"/>
        <v>3</v>
      </c>
      <c r="O76" s="101">
        <f>O71+1</f>
        <v>9</v>
      </c>
      <c r="P76" s="101">
        <f t="shared" si="23"/>
        <v>4.8499999999999996</v>
      </c>
      <c r="AU76" s="81"/>
    </row>
    <row r="77" spans="1:47" x14ac:dyDescent="0.25">
      <c r="A77" s="84">
        <f>A76+1</f>
        <v>8</v>
      </c>
      <c r="B77" s="84">
        <f t="shared" si="27"/>
        <v>4</v>
      </c>
      <c r="C77" s="79">
        <f t="shared" ref="C77" si="29">IF(C78=B79,IF(C79-C78=C78-B78,B78,IF(C79-C78=C78-B77,B77,"#NA")),IF(C78=B78,IF(C79-C78=C78-B77,B77,IF(C79-C78=C78-B76,B76,"#NA")),"#NA"))</f>
        <v>4</v>
      </c>
      <c r="D77" s="68">
        <f>VLOOKUP(C77,STN_TABLE,2,FALSE)</f>
        <v>0.9</v>
      </c>
      <c r="E77" s="102">
        <v>1</v>
      </c>
      <c r="F77" s="68">
        <f>D77*E77</f>
        <v>0.9</v>
      </c>
      <c r="G77" s="69">
        <f>C77</f>
        <v>4</v>
      </c>
      <c r="H77" s="69">
        <f>F77*G77</f>
        <v>3.6</v>
      </c>
      <c r="I77" s="6" t="s">
        <v>93</v>
      </c>
      <c r="J77" s="70">
        <f>IF(OR(D77=0,D78=0,D79=0),"#NA",IF(AND(C79-C78=C78-C77,C78&lt;&gt;C79,C77&lt;&gt;C78,C77&lt;&gt;C79,D79&lt;&gt;0,OR(D77&lt;&gt;0,D78&lt;&gt;0)),WLS*(C79-C78),"#NA"))</f>
        <v>2</v>
      </c>
      <c r="O77" s="99">
        <f>O76+1</f>
        <v>10</v>
      </c>
      <c r="P77" s="99">
        <f t="shared" si="23"/>
        <v>5</v>
      </c>
      <c r="Q77" s="68" t="e">
        <f>IF(OR(P79-P78=P78-P77,P80-P78=P78-P77),P77,IF(OR(P79-P78=P78-P76,P80-P78=P78-P76),P76,"-"))</f>
        <v>#VALUE!</v>
      </c>
      <c r="R77" s="69" t="e">
        <f>VLOOKUP(Q77,STN_TABLE,2,FALSE)</f>
        <v>#VALUE!</v>
      </c>
      <c r="S77" s="69">
        <v>5</v>
      </c>
      <c r="T77" s="68" t="e">
        <f>R77*S77</f>
        <v>#VALUE!</v>
      </c>
      <c r="U77" s="79">
        <v>3</v>
      </c>
      <c r="V77" s="68" t="e">
        <f>R77*U77</f>
        <v>#VALUE!</v>
      </c>
      <c r="W77" s="6" t="s">
        <v>93</v>
      </c>
      <c r="X77" s="70" t="e">
        <f>IF(AND(Q79-Q78=Q78-Q77,NOT(AND(Q77=0,Q78=0)),NOT(AND(Q78=0,Q79=0))),WLS*(Q79-Q78),"#NA")</f>
        <v>#VALUE!</v>
      </c>
      <c r="AD77" s="93"/>
      <c r="AH77" s="6" t="s">
        <v>93</v>
      </c>
      <c r="AI77" s="70">
        <f>WLS*(AD79-AD78)</f>
        <v>2</v>
      </c>
      <c r="AU77" s="81"/>
    </row>
    <row r="78" spans="1:47" x14ac:dyDescent="0.25">
      <c r="A78" s="84">
        <f>A77+1</f>
        <v>9</v>
      </c>
      <c r="B78" s="84">
        <f t="shared" si="27"/>
        <v>4.8499999999999996</v>
      </c>
      <c r="C78" s="80">
        <f t="shared" ref="C78" si="30">IF(OR(B80-B79=B79-B78,B80-B79=B79-B77,B80-B79=B79-B76),B79,IF(OR(B80-B78=B78-B77,B80-B78=B78-B76),B78,IF(B80-B77=B77-B76,B77,"#NA")))</f>
        <v>5</v>
      </c>
      <c r="D78" s="76">
        <f>VLOOKUP(C78,STN_TABLE,2,FALSE)</f>
        <v>2.82</v>
      </c>
      <c r="E78" s="81">
        <v>4</v>
      </c>
      <c r="F78" s="76">
        <f>D78*E78</f>
        <v>11.28</v>
      </c>
      <c r="G78" s="77">
        <f>C78</f>
        <v>5</v>
      </c>
      <c r="H78" s="77">
        <f>F78*G78</f>
        <v>56.4</v>
      </c>
      <c r="I78" s="495" t="s">
        <v>97</v>
      </c>
      <c r="J78" s="496"/>
      <c r="K78" s="78" t="s">
        <v>98</v>
      </c>
      <c r="L78" s="78"/>
      <c r="M78" s="7" t="s">
        <v>99</v>
      </c>
      <c r="N78" s="7"/>
      <c r="O78" s="99">
        <f>O77+1</f>
        <v>11</v>
      </c>
      <c r="P78" s="99">
        <f t="shared" si="23"/>
        <v>6</v>
      </c>
      <c r="Q78" s="76">
        <f>P78</f>
        <v>6</v>
      </c>
      <c r="R78" s="77">
        <f>VLOOKUP(Q78,STN_TABLE,2,FALSE)</f>
        <v>3.82</v>
      </c>
      <c r="S78" s="77">
        <v>8</v>
      </c>
      <c r="T78" s="76">
        <f>R78*S78</f>
        <v>30.56</v>
      </c>
      <c r="U78" s="80">
        <v>10</v>
      </c>
      <c r="V78" s="76">
        <f>R78*U78</f>
        <v>38.199999999999996</v>
      </c>
      <c r="W78" s="496" t="s">
        <v>97</v>
      </c>
      <c r="X78" s="496"/>
      <c r="Y78" s="496" t="s">
        <v>98</v>
      </c>
      <c r="Z78" s="496"/>
      <c r="AA78" s="494" t="s">
        <v>99</v>
      </c>
      <c r="AB78" s="494"/>
      <c r="AC78" s="99">
        <f>AC73+1</f>
        <v>10</v>
      </c>
      <c r="AD78" s="95">
        <f>VLOOKUP(AC78,STN_TABLE_2,2,FALSE)</f>
        <v>5</v>
      </c>
      <c r="AE78" s="68">
        <f>VLOOKUP(AD78,STN_TABLE,2,FALSE)</f>
        <v>2.82</v>
      </c>
      <c r="AF78" s="68">
        <v>1</v>
      </c>
      <c r="AG78" s="69">
        <f>AE78*AF78</f>
        <v>2.82</v>
      </c>
      <c r="AH78" s="496" t="s">
        <v>97</v>
      </c>
      <c r="AI78" s="496"/>
      <c r="AJ78" s="496" t="s">
        <v>98</v>
      </c>
      <c r="AK78" s="496"/>
      <c r="AL78" s="494" t="s">
        <v>99</v>
      </c>
      <c r="AM78" s="494"/>
      <c r="AP78" s="86" t="s">
        <v>112</v>
      </c>
      <c r="AQ78" s="89" t="s">
        <v>113</v>
      </c>
      <c r="AR78" s="89" t="s">
        <v>114</v>
      </c>
      <c r="AS78" s="89" t="s">
        <v>115</v>
      </c>
      <c r="AU78" s="81"/>
    </row>
    <row r="79" spans="1:47" x14ac:dyDescent="0.25">
      <c r="A79" s="84">
        <f>A78+1</f>
        <v>10</v>
      </c>
      <c r="B79" s="84">
        <f t="shared" si="27"/>
        <v>5</v>
      </c>
      <c r="C79" s="88">
        <f t="shared" ref="C79" si="31">B80</f>
        <v>6</v>
      </c>
      <c r="D79" s="82">
        <f>VLOOKUP(C79,STN_TABLE,2,FALSE)</f>
        <v>3.82</v>
      </c>
      <c r="E79" s="92">
        <v>1</v>
      </c>
      <c r="F79" s="82">
        <f>D79*E79</f>
        <v>3.82</v>
      </c>
      <c r="G79" s="83">
        <f>C79</f>
        <v>6</v>
      </c>
      <c r="H79" s="83">
        <f>F79*G79</f>
        <v>22.919999999999998</v>
      </c>
      <c r="I79" s="84" t="str">
        <f>CONCATENATE("a'(",C79,")=")</f>
        <v>a'(6)=</v>
      </c>
      <c r="J79" s="84">
        <f>2*J77/3*F80</f>
        <v>21.333333333333332</v>
      </c>
      <c r="K79" s="84" t="str">
        <f>CONCATENATE("A(",C77,")=")</f>
        <v>A(4)=</v>
      </c>
      <c r="L79" s="84">
        <f>VLOOKUP(C77,STN_TABLE,3,FALSE)</f>
        <v>0.9</v>
      </c>
      <c r="M79" t="str">
        <f>CONCATENATE("A(",C79,")=")</f>
        <v>A(6)=</v>
      </c>
      <c r="N79">
        <f>J79+L79</f>
        <v>22.233333333333331</v>
      </c>
      <c r="O79" s="99">
        <f>O78+1</f>
        <v>12</v>
      </c>
      <c r="P79" s="99">
        <f t="shared" si="23"/>
        <v>6.5</v>
      </c>
      <c r="Q79" s="82" t="e">
        <f>IF(P79-P78=P78-P77,P79,IF(P80-P78=P78-P77,P80,IF(P79-P78=P78-P76,P79,IF(P80-P78=P78-P76,P80,"-"))))</f>
        <v>#VALUE!</v>
      </c>
      <c r="R79" s="83" t="e">
        <f>VLOOKUP(Q79,STN_TABLE,2,FALSE)</f>
        <v>#VALUE!</v>
      </c>
      <c r="S79" s="83">
        <v>-1</v>
      </c>
      <c r="T79" s="82" t="e">
        <f>R79*S79</f>
        <v>#VALUE!</v>
      </c>
      <c r="U79" s="88">
        <v>-1</v>
      </c>
      <c r="V79" s="82" t="e">
        <f>R79*U79</f>
        <v>#VALUE!</v>
      </c>
      <c r="W79" s="84" t="str">
        <f>CONCATENATE("a'(",Q78,")=")</f>
        <v>a'(6)=</v>
      </c>
      <c r="X79" s="84" t="e">
        <f>2*X77/12*T80</f>
        <v>#VALUE!</v>
      </c>
      <c r="Y79" s="84" t="e">
        <f>CONCATENATE("A(",Q77,")=")</f>
        <v>#VALUE!</v>
      </c>
      <c r="Z79" s="84" t="e">
        <f>VLOOKUP(Q77,STN_TABLE,3,FALSE)</f>
        <v>#VALUE!</v>
      </c>
      <c r="AA79" t="str">
        <f>CONCATENATE("A(",Q78,")=")</f>
        <v>A(6)=</v>
      </c>
      <c r="AB79" t="e">
        <f>X79+Z79</f>
        <v>#VALUE!</v>
      </c>
      <c r="AC79" s="99">
        <f>AC78+1</f>
        <v>11</v>
      </c>
      <c r="AD79" s="100">
        <f>VLOOKUP(AC79,STN_TABLE_2,2,FALSE)</f>
        <v>6</v>
      </c>
      <c r="AE79" s="82">
        <f>VLOOKUP(AD79,STN_TABLE,2,FALSE)</f>
        <v>3.82</v>
      </c>
      <c r="AF79" s="82">
        <v>2</v>
      </c>
      <c r="AG79" s="83">
        <f>AE79*AF79</f>
        <v>7.64</v>
      </c>
      <c r="AH79" s="84" t="str">
        <f>CONCATENATE("a'(",AD79,")=")</f>
        <v>a'(6)=</v>
      </c>
      <c r="AI79" s="84">
        <f>2*AI77/2*AE80</f>
        <v>13.28</v>
      </c>
      <c r="AJ79" s="84" t="str">
        <f>CONCATENATE("A(",AD78,")=")</f>
        <v>A(5)=</v>
      </c>
      <c r="AK79" s="84">
        <f>VLOOKUP(AD78,STN_TABLE,3,FALSE)</f>
        <v>8.6466666666666665</v>
      </c>
      <c r="AL79" t="str">
        <f>CONCATENATE("A(",AD79,")=")</f>
        <v>A(6)=</v>
      </c>
      <c r="AM79">
        <f>AI79+AK79</f>
        <v>21.926666666666666</v>
      </c>
      <c r="AO79" s="68" t="str">
        <f>AA79</f>
        <v>A(6)=</v>
      </c>
      <c r="AP79" s="68">
        <f>VLOOKUP(AO79,Rise_Results,2,FALSE)</f>
        <v>22.233333333333331</v>
      </c>
      <c r="AQ79" s="76">
        <f>N79</f>
        <v>22.233333333333331</v>
      </c>
      <c r="AR79" s="76" t="e">
        <f>IF(OR(AB79&lt;=0,AB80&lt;=0),1/0,AB79)</f>
        <v>#VALUE!</v>
      </c>
      <c r="AS79" s="76">
        <f>AM79</f>
        <v>21.926666666666666</v>
      </c>
      <c r="AT79">
        <f>IFERROR(AP79,IFERROR(AQ79,IFERROR(AR79,AS79)))</f>
        <v>22.233333333333331</v>
      </c>
      <c r="AU79" s="81"/>
    </row>
    <row r="80" spans="1:47" x14ac:dyDescent="0.25">
      <c r="A80" s="84">
        <f>A79+1</f>
        <v>11</v>
      </c>
      <c r="B80" s="84">
        <f t="shared" si="27"/>
        <v>6</v>
      </c>
      <c r="F80" s="82">
        <f>SUM(F77:F79)</f>
        <v>16</v>
      </c>
      <c r="H80" s="82">
        <f>SUM(H77:H79)</f>
        <v>82.92</v>
      </c>
      <c r="I80" s="84" t="str">
        <f>CONCATENATE("m'(",C79,")=")</f>
        <v>m'(6)=</v>
      </c>
      <c r="J80" s="84">
        <f>2*(J77*(WLS))/3*H80</f>
        <v>221.12</v>
      </c>
      <c r="K80" s="84" t="str">
        <f>CONCATENATE("M(",C77,")=")</f>
        <v>M(4)=</v>
      </c>
      <c r="L80" s="84">
        <f>VLOOKUP(C77,STN_TABLE,4,FALSE)</f>
        <v>6.8999999999999995</v>
      </c>
      <c r="M80" t="str">
        <f>CONCATENATE("M(",C79,")=")</f>
        <v>M(6)=</v>
      </c>
      <c r="N80">
        <f>J80+L80</f>
        <v>228.02</v>
      </c>
      <c r="O80" s="99">
        <f>O79+1</f>
        <v>13</v>
      </c>
      <c r="P80" s="99" t="str">
        <f t="shared" si="23"/>
        <v xml:space="preserve">  </v>
      </c>
      <c r="T80" s="89" t="e">
        <f>SUM(T77:T79)</f>
        <v>#VALUE!</v>
      </c>
      <c r="V80" s="82" t="e">
        <f>SUM(V77:V79)</f>
        <v>#VALUE!</v>
      </c>
      <c r="W80" s="84" t="str">
        <f>CONCATENATE("m'(",Q78,")=")</f>
        <v>m'(6)=</v>
      </c>
      <c r="X80" s="84" t="e">
        <f>(2*(X77^2)/24*V80)+(X79*Q77*WLS)</f>
        <v>#VALUE!</v>
      </c>
      <c r="Y80" s="84" t="e">
        <f>CONCATENATE("M(",Q77,")=")</f>
        <v>#VALUE!</v>
      </c>
      <c r="Z80" s="84" t="e">
        <f>VLOOKUP(Q77,STN_TABLE,4,FALSE)</f>
        <v>#VALUE!</v>
      </c>
      <c r="AA80" t="str">
        <f>CONCATENATE("M(",Q78,")=")</f>
        <v>M(6)=</v>
      </c>
      <c r="AB80" t="e">
        <f>X80+Z80</f>
        <v>#VALUE!</v>
      </c>
      <c r="AE80" s="89">
        <f>SUM(AE78:AE79)</f>
        <v>6.64</v>
      </c>
      <c r="AG80" s="89">
        <f>SUM(AG78:AG79)</f>
        <v>10.459999999999999</v>
      </c>
      <c r="AH80" s="84" t="str">
        <f>CONCATENATE("m'(",AD79,")=")</f>
        <v>m'(6)=</v>
      </c>
      <c r="AI80" s="84">
        <f>(2*(AI77^2)/6*AG80)+(AI79*AD78*WLS)</f>
        <v>146.74666666666664</v>
      </c>
      <c r="AJ80" s="84" t="str">
        <f>CONCATENATE("M(",AD78,")=")</f>
        <v>M(5)=</v>
      </c>
      <c r="AK80" s="84">
        <f>VLOOKUP(AD78,STN_TABLE,4,FALSE)</f>
        <v>77.900000000000006</v>
      </c>
      <c r="AL80" t="str">
        <f>CONCATENATE("M(",AD79,")=")</f>
        <v>M(6)=</v>
      </c>
      <c r="AM80">
        <f>AI80+AK80</f>
        <v>224.64666666666665</v>
      </c>
      <c r="AO80" s="82" t="str">
        <f>AA80</f>
        <v>M(6)=</v>
      </c>
      <c r="AP80" s="82">
        <f>VLOOKUP(AO80,Rise_Results,2,FALSE)</f>
        <v>228.02</v>
      </c>
      <c r="AQ80" s="82">
        <f>N80</f>
        <v>228.02</v>
      </c>
      <c r="AR80" s="82" t="e">
        <f>IF(OR(AB79&lt;=0,AB80&lt;=0),1/0,AB80)</f>
        <v>#VALUE!</v>
      </c>
      <c r="AS80" s="82">
        <f>AM80</f>
        <v>224.64666666666665</v>
      </c>
      <c r="AT80">
        <f>IFERROR(AP80,IFERROR(AQ80,IFERROR(AR80,AS80)))</f>
        <v>228.02</v>
      </c>
      <c r="AU80" s="81"/>
    </row>
    <row r="81" spans="1:47" x14ac:dyDescent="0.25">
      <c r="A81" s="101">
        <f>A76+1</f>
        <v>8</v>
      </c>
      <c r="B81" s="101">
        <f t="shared" si="27"/>
        <v>4</v>
      </c>
      <c r="O81" s="101">
        <f>O76+1</f>
        <v>10</v>
      </c>
      <c r="P81" s="101">
        <f t="shared" si="23"/>
        <v>5</v>
      </c>
      <c r="AU81" s="81"/>
    </row>
    <row r="82" spans="1:47" x14ac:dyDescent="0.25">
      <c r="A82" s="84">
        <f>A81+1</f>
        <v>9</v>
      </c>
      <c r="B82" s="84">
        <f t="shared" si="27"/>
        <v>4.8499999999999996</v>
      </c>
      <c r="C82" s="79" t="str">
        <f t="shared" ref="C82" si="32">IF(C83=B84,IF(C84-C83=C83-B83,B83,IF(C84-C83=C83-B82,B82,"#NA")),IF(C83=B83,IF(C84-C83=C83-B82,B82,IF(C84-C83=C83-B81,B81,"#NA")),"#NA"))</f>
        <v>#NA</v>
      </c>
      <c r="D82" s="68" t="e">
        <f>VLOOKUP(C82,STN_TABLE,2,FALSE)</f>
        <v>#N/A</v>
      </c>
      <c r="E82" s="102">
        <v>1</v>
      </c>
      <c r="F82" s="68" t="e">
        <f>D82*E82</f>
        <v>#N/A</v>
      </c>
      <c r="G82" s="69" t="str">
        <f>C82</f>
        <v>#NA</v>
      </c>
      <c r="H82" s="69" t="e">
        <f>F82*G82</f>
        <v>#N/A</v>
      </c>
      <c r="I82" s="6" t="s">
        <v>93</v>
      </c>
      <c r="J82" s="70" t="e">
        <f>IF(OR(D82=0,D83=0,D84=0),"#NA",IF(AND(C84-C83=C83-C82,C83&lt;&gt;C84,C82&lt;&gt;C83,C82&lt;&gt;C84,D84&lt;&gt;0,OR(D82&lt;&gt;0,D83&lt;&gt;0)),WLS*(C84-C83),"#NA"))</f>
        <v>#N/A</v>
      </c>
      <c r="O82" s="99">
        <f>O81+1</f>
        <v>11</v>
      </c>
      <c r="P82" s="99">
        <f t="shared" si="23"/>
        <v>6</v>
      </c>
      <c r="Q82" s="68" t="e">
        <f>IF(OR(P84-P83=P83-P82,P85-P83=P83-P82),P82,IF(OR(P84-P83=P83-P81,P85-P83=P83-P81),P81,"-"))</f>
        <v>#VALUE!</v>
      </c>
      <c r="R82" s="69" t="e">
        <f>VLOOKUP(Q82,STN_TABLE,2,FALSE)</f>
        <v>#VALUE!</v>
      </c>
      <c r="S82" s="69">
        <v>5</v>
      </c>
      <c r="T82" s="68" t="e">
        <f>R82*S82</f>
        <v>#VALUE!</v>
      </c>
      <c r="U82" s="79">
        <v>3</v>
      </c>
      <c r="V82" s="68" t="e">
        <f>R82*U82</f>
        <v>#VALUE!</v>
      </c>
      <c r="W82" s="6" t="s">
        <v>93</v>
      </c>
      <c r="X82" s="70" t="e">
        <f>IF(AND(Q84-Q83=Q83-Q82,NOT(AND(Q82=0,Q83=0)),NOT(AND(Q83=0,Q84=0))),WLS*(Q84-Q83),"#NA")</f>
        <v>#VALUE!</v>
      </c>
      <c r="AD82" s="93"/>
      <c r="AH82" s="6" t="s">
        <v>93</v>
      </c>
      <c r="AI82" s="70">
        <f>WLS*(AD84-AD83)</f>
        <v>1</v>
      </c>
      <c r="AU82" s="81"/>
    </row>
    <row r="83" spans="1:47" x14ac:dyDescent="0.25">
      <c r="A83" s="84">
        <f>A82+1</f>
        <v>10</v>
      </c>
      <c r="B83" s="84">
        <f t="shared" si="27"/>
        <v>5</v>
      </c>
      <c r="C83" s="80" t="str">
        <f t="shared" ref="C83" si="33">IF(OR(B85-B84=B84-B83,B85-B84=B84-B82,B85-B84=B84-B81),B84,IF(OR(B85-B83=B83-B82,B85-B83=B83-B81),B83,IF(B85-B82=B82-B81,B82,"#NA")))</f>
        <v>#NA</v>
      </c>
      <c r="D83" s="76" t="e">
        <f>VLOOKUP(C83,STN_TABLE,2,FALSE)</f>
        <v>#N/A</v>
      </c>
      <c r="E83" s="81">
        <v>4</v>
      </c>
      <c r="F83" s="76" t="e">
        <f>D83*E83</f>
        <v>#N/A</v>
      </c>
      <c r="G83" s="77" t="str">
        <f>C83</f>
        <v>#NA</v>
      </c>
      <c r="H83" s="77" t="e">
        <f>F83*G83</f>
        <v>#N/A</v>
      </c>
      <c r="I83" s="495" t="s">
        <v>97</v>
      </c>
      <c r="J83" s="496"/>
      <c r="K83" s="78" t="s">
        <v>98</v>
      </c>
      <c r="L83" s="78"/>
      <c r="M83" s="7" t="s">
        <v>99</v>
      </c>
      <c r="N83" s="7"/>
      <c r="O83" s="99">
        <f>O82+1</f>
        <v>12</v>
      </c>
      <c r="P83" s="99">
        <f t="shared" si="23"/>
        <v>6.5</v>
      </c>
      <c r="Q83" s="76">
        <f>P83</f>
        <v>6.5</v>
      </c>
      <c r="R83" s="77">
        <f>VLOOKUP(Q83,STN_TABLE,2,FALSE)</f>
        <v>4.24</v>
      </c>
      <c r="S83" s="77">
        <v>8</v>
      </c>
      <c r="T83" s="76">
        <f>R83*S83</f>
        <v>33.92</v>
      </c>
      <c r="U83" s="80">
        <v>10</v>
      </c>
      <c r="V83" s="76">
        <f>R83*U83</f>
        <v>42.400000000000006</v>
      </c>
      <c r="W83" s="496" t="s">
        <v>97</v>
      </c>
      <c r="X83" s="496"/>
      <c r="Y83" s="496" t="s">
        <v>98</v>
      </c>
      <c r="Z83" s="496"/>
      <c r="AA83" s="494" t="s">
        <v>99</v>
      </c>
      <c r="AB83" s="494"/>
      <c r="AC83" s="99">
        <f>AC78+1</f>
        <v>11</v>
      </c>
      <c r="AD83" s="95">
        <f>VLOOKUP(AC83,STN_TABLE_2,2,FALSE)</f>
        <v>6</v>
      </c>
      <c r="AE83" s="68">
        <f>VLOOKUP(AD83,STN_TABLE,2,FALSE)</f>
        <v>3.82</v>
      </c>
      <c r="AF83" s="68">
        <v>1</v>
      </c>
      <c r="AG83" s="69">
        <f>AE83*AF83</f>
        <v>3.82</v>
      </c>
      <c r="AH83" s="496" t="s">
        <v>97</v>
      </c>
      <c r="AI83" s="496"/>
      <c r="AJ83" s="496" t="s">
        <v>98</v>
      </c>
      <c r="AK83" s="496"/>
      <c r="AL83" s="494" t="s">
        <v>99</v>
      </c>
      <c r="AM83" s="494"/>
      <c r="AP83" s="86" t="s">
        <v>112</v>
      </c>
      <c r="AQ83" s="89" t="s">
        <v>113</v>
      </c>
      <c r="AR83" s="89" t="s">
        <v>114</v>
      </c>
      <c r="AS83" s="89" t="s">
        <v>115</v>
      </c>
      <c r="AU83" s="81"/>
    </row>
    <row r="84" spans="1:47" x14ac:dyDescent="0.25">
      <c r="A84" s="84">
        <f>A83+1</f>
        <v>11</v>
      </c>
      <c r="B84" s="84">
        <f t="shared" si="27"/>
        <v>6</v>
      </c>
      <c r="C84" s="88">
        <f t="shared" ref="C84" si="34">B85</f>
        <v>6.5</v>
      </c>
      <c r="D84" s="82">
        <f>VLOOKUP(C84,STN_TABLE,2,FALSE)</f>
        <v>4.24</v>
      </c>
      <c r="E84" s="92">
        <v>1</v>
      </c>
      <c r="F84" s="82">
        <f>D84*E84</f>
        <v>4.24</v>
      </c>
      <c r="G84" s="83">
        <f>C84</f>
        <v>6.5</v>
      </c>
      <c r="H84" s="83">
        <f>F84*G84</f>
        <v>27.560000000000002</v>
      </c>
      <c r="I84" s="84" t="str">
        <f>CONCATENATE("a'(",C84,")=")</f>
        <v>a'(6.5)=</v>
      </c>
      <c r="J84" s="84" t="e">
        <f>2*J82/3*F85</f>
        <v>#N/A</v>
      </c>
      <c r="K84" s="84" t="str">
        <f>CONCATENATE("A(",C82,")=")</f>
        <v>A(#NA)=</v>
      </c>
      <c r="L84" s="84" t="e">
        <f>VLOOKUP(C82,STN_TABLE,3,FALSE)</f>
        <v>#N/A</v>
      </c>
      <c r="M84" t="str">
        <f>CONCATENATE("A(",C84,")=")</f>
        <v>A(6.5)=</v>
      </c>
      <c r="N84" t="e">
        <f>J84+L84</f>
        <v>#N/A</v>
      </c>
      <c r="O84" s="99">
        <f>O83+1</f>
        <v>13</v>
      </c>
      <c r="P84" s="99" t="str">
        <f t="shared" si="23"/>
        <v xml:space="preserve">  </v>
      </c>
      <c r="Q84" s="82" t="e">
        <f>IF(P84-P83=P83-P82,P84,IF(P85-P83=P83-P82,P85,IF(P84-P83=P83-P81,P84,IF(P85-P83=P83-P81,P85,"-"))))</f>
        <v>#VALUE!</v>
      </c>
      <c r="R84" s="83" t="e">
        <f>VLOOKUP(Q84,STN_TABLE,2,FALSE)</f>
        <v>#VALUE!</v>
      </c>
      <c r="S84" s="83">
        <v>-1</v>
      </c>
      <c r="T84" s="82" t="e">
        <f>R84*S84</f>
        <v>#VALUE!</v>
      </c>
      <c r="U84" s="88">
        <v>-1</v>
      </c>
      <c r="V84" s="82" t="e">
        <f>R84*U84</f>
        <v>#VALUE!</v>
      </c>
      <c r="W84" s="84" t="str">
        <f>CONCATENATE("a'(",Q83,")=")</f>
        <v>a'(6.5)=</v>
      </c>
      <c r="X84" s="84" t="e">
        <f>2*X82/12*T85</f>
        <v>#VALUE!</v>
      </c>
      <c r="Y84" s="84" t="e">
        <f>CONCATENATE("A(",Q82,")=")</f>
        <v>#VALUE!</v>
      </c>
      <c r="Z84" s="84" t="e">
        <f>VLOOKUP(Q82,STN_TABLE,3,FALSE)</f>
        <v>#VALUE!</v>
      </c>
      <c r="AA84" t="str">
        <f>CONCATENATE("A(",Q83,")=")</f>
        <v>A(6.5)=</v>
      </c>
      <c r="AB84" t="e">
        <f>X84+Z84</f>
        <v>#VALUE!</v>
      </c>
      <c r="AC84" s="99">
        <f>AC83+1</f>
        <v>12</v>
      </c>
      <c r="AD84" s="100">
        <f>VLOOKUP(AC84,STN_TABLE_2,2,FALSE)</f>
        <v>6.5</v>
      </c>
      <c r="AE84" s="82">
        <f>VLOOKUP(AD84,STN_TABLE,2,FALSE)</f>
        <v>4.24</v>
      </c>
      <c r="AF84" s="82">
        <v>2</v>
      </c>
      <c r="AG84" s="83">
        <f>AE84*AF84</f>
        <v>8.48</v>
      </c>
      <c r="AH84" s="84" t="str">
        <f>CONCATENATE("a'(",AD84,")=")</f>
        <v>a'(6.5)=</v>
      </c>
      <c r="AI84" s="84">
        <f>2*AI82/2*AE85</f>
        <v>8.06</v>
      </c>
      <c r="AJ84" s="84" t="str">
        <f>CONCATENATE("A(",AD83,")=")</f>
        <v>A(6)=</v>
      </c>
      <c r="AK84" s="84">
        <f>VLOOKUP(AD83,STN_TABLE,3,FALSE)</f>
        <v>22.233333333333331</v>
      </c>
      <c r="AL84" t="str">
        <f>CONCATENATE("A(",AD84,")=")</f>
        <v>A(6.5)=</v>
      </c>
      <c r="AM84">
        <f>AI84+AK84</f>
        <v>30.293333333333329</v>
      </c>
      <c r="AO84" s="68" t="str">
        <f>AA84</f>
        <v>A(6.5)=</v>
      </c>
      <c r="AP84" s="68" t="e">
        <f>VLOOKUP(AO84,Rise_Results,2,FALSE)</f>
        <v>#N/A</v>
      </c>
      <c r="AQ84" s="76" t="e">
        <f>N84</f>
        <v>#N/A</v>
      </c>
      <c r="AR84" s="76" t="e">
        <f>IF(OR(AB84&lt;=0,AB85&lt;=0),1/0,AB84)</f>
        <v>#VALUE!</v>
      </c>
      <c r="AS84" s="76">
        <f>AM84</f>
        <v>30.293333333333329</v>
      </c>
      <c r="AT84">
        <f>IFERROR(AP84,IFERROR(AQ84,IFERROR(AR84,AS84)))</f>
        <v>30.293333333333329</v>
      </c>
      <c r="AU84" s="81"/>
    </row>
    <row r="85" spans="1:47" x14ac:dyDescent="0.25">
      <c r="A85" s="84">
        <f>A84+1</f>
        <v>12</v>
      </c>
      <c r="B85" s="84">
        <f t="shared" si="27"/>
        <v>6.5</v>
      </c>
      <c r="F85" s="82" t="e">
        <f>SUM(F82:F84)</f>
        <v>#N/A</v>
      </c>
      <c r="H85" s="82" t="e">
        <f>SUM(H82:H84)</f>
        <v>#N/A</v>
      </c>
      <c r="I85" s="84" t="str">
        <f>CONCATENATE("m'(",C84,")=")</f>
        <v>m'(6.5)=</v>
      </c>
      <c r="J85" s="84" t="e">
        <f>2*(J82*(WLS))/3*H85</f>
        <v>#N/A</v>
      </c>
      <c r="K85" s="84" t="str">
        <f>CONCATENATE("M(",C82,")=")</f>
        <v>M(#NA)=</v>
      </c>
      <c r="L85" s="84" t="e">
        <f>VLOOKUP(C82,STN_TABLE,4,FALSE)</f>
        <v>#N/A</v>
      </c>
      <c r="M85" t="str">
        <f>CONCATENATE("M(",C84,")=")</f>
        <v>M(6.5)=</v>
      </c>
      <c r="N85" t="e">
        <f>J85+L85</f>
        <v>#N/A</v>
      </c>
      <c r="O85" s="99">
        <f>O84+1</f>
        <v>14</v>
      </c>
      <c r="P85" s="99" t="str">
        <f t="shared" si="23"/>
        <v xml:space="preserve">  </v>
      </c>
      <c r="T85" s="89" t="e">
        <f>SUM(T82:T84)</f>
        <v>#VALUE!</v>
      </c>
      <c r="V85" s="82" t="e">
        <f>SUM(V82:V84)</f>
        <v>#VALUE!</v>
      </c>
      <c r="W85" s="84" t="str">
        <f>CONCATENATE("m'(",Q83,")=")</f>
        <v>m'(6.5)=</v>
      </c>
      <c r="X85" s="84" t="e">
        <f>(2*(X82^2)/24*V85)+(X84*Q82*WLS)</f>
        <v>#VALUE!</v>
      </c>
      <c r="Y85" s="84" t="e">
        <f>CONCATENATE("M(",Q82,")=")</f>
        <v>#VALUE!</v>
      </c>
      <c r="Z85" s="84" t="e">
        <f>VLOOKUP(Q82,STN_TABLE,4,FALSE)</f>
        <v>#VALUE!</v>
      </c>
      <c r="AA85" t="str">
        <f>CONCATENATE("M(",Q83,")=")</f>
        <v>M(6.5)=</v>
      </c>
      <c r="AB85" t="e">
        <f>X85+Z85</f>
        <v>#VALUE!</v>
      </c>
      <c r="AE85" s="89">
        <f>SUM(AE83:AE84)</f>
        <v>8.06</v>
      </c>
      <c r="AG85" s="89">
        <f>SUM(AG83:AG84)</f>
        <v>12.3</v>
      </c>
      <c r="AH85" s="84" t="str">
        <f>CONCATENATE("m'(",AD84,")=")</f>
        <v>m'(6.5)=</v>
      </c>
      <c r="AI85" s="84">
        <f>(2*(AI82^2)/6*AG85)+(AI84*AD83*WLS)</f>
        <v>100.82</v>
      </c>
      <c r="AJ85" s="84" t="str">
        <f>CONCATENATE("M(",AD83,")=")</f>
        <v>M(6)=</v>
      </c>
      <c r="AK85" s="84">
        <f>VLOOKUP(AD83,STN_TABLE,4,FALSE)</f>
        <v>228.02</v>
      </c>
      <c r="AL85" t="str">
        <f>CONCATENATE("M(",AD84,")=")</f>
        <v>M(6.5)=</v>
      </c>
      <c r="AM85">
        <f>AI85+AK85</f>
        <v>328.84000000000003</v>
      </c>
      <c r="AO85" s="82" t="str">
        <f>AA85</f>
        <v>M(6.5)=</v>
      </c>
      <c r="AP85" s="82" t="e">
        <f>VLOOKUP(AO85,Rise_Results,2,FALSE)</f>
        <v>#N/A</v>
      </c>
      <c r="AQ85" s="82" t="e">
        <f>N85</f>
        <v>#N/A</v>
      </c>
      <c r="AR85" s="82" t="e">
        <f>IF(OR(AB84&lt;=0,AB85&lt;=0),1/0,AB85)</f>
        <v>#VALUE!</v>
      </c>
      <c r="AS85" s="82">
        <f>AM85</f>
        <v>328.84000000000003</v>
      </c>
      <c r="AT85">
        <f>IFERROR(AP85,IFERROR(AQ85,IFERROR(AR85,AS85)))</f>
        <v>328.84000000000003</v>
      </c>
      <c r="AU85" s="81"/>
    </row>
    <row r="86" spans="1:47" x14ac:dyDescent="0.25">
      <c r="A86" s="101">
        <f>A81+1</f>
        <v>9</v>
      </c>
      <c r="B86" s="101">
        <f t="shared" si="27"/>
        <v>4.8499999999999996</v>
      </c>
      <c r="O86" s="101">
        <f>O81+1</f>
        <v>11</v>
      </c>
      <c r="P86" s="101">
        <f t="shared" si="23"/>
        <v>6</v>
      </c>
      <c r="AU86" s="81"/>
    </row>
    <row r="87" spans="1:47" x14ac:dyDescent="0.25">
      <c r="A87" s="84">
        <f>A86+1</f>
        <v>10</v>
      </c>
      <c r="B87" s="84">
        <f t="shared" si="27"/>
        <v>5</v>
      </c>
      <c r="C87" s="79" t="e">
        <f t="shared" ref="C87" si="35">IF(C88=B89,IF(C89-C88=C88-B88,B88,IF(C89-C88=C88-B87,B87,"#NA")),IF(C88=B88,IF(C89-C88=C88-B87,B87,IF(C89-C88=C88-B86,B86,"#NA")),"#NA"))</f>
        <v>#VALUE!</v>
      </c>
      <c r="D87" s="68" t="e">
        <f>VLOOKUP(C87,STN_TABLE,2,FALSE)</f>
        <v>#VALUE!</v>
      </c>
      <c r="E87" s="102">
        <v>1</v>
      </c>
      <c r="F87" s="68" t="e">
        <f>D87*E87</f>
        <v>#VALUE!</v>
      </c>
      <c r="G87" s="69" t="e">
        <f>C87</f>
        <v>#VALUE!</v>
      </c>
      <c r="H87" s="69" t="e">
        <f>F87*G87</f>
        <v>#VALUE!</v>
      </c>
      <c r="I87" s="6" t="s">
        <v>93</v>
      </c>
      <c r="J87" s="70" t="e">
        <f>IF(OR(D87=0,D88=0,D89=0),"#NA",IF(AND(C89-C88=C88-C87,C88&lt;&gt;C89,C87&lt;&gt;C88,C87&lt;&gt;C89,D89&lt;&gt;0,OR(D87&lt;&gt;0,D88&lt;&gt;0)),WLS*(C89-C88),"#NA"))</f>
        <v>#VALUE!</v>
      </c>
      <c r="O87" s="99">
        <f>O86+1</f>
        <v>12</v>
      </c>
      <c r="P87" s="99">
        <f t="shared" si="23"/>
        <v>6.5</v>
      </c>
      <c r="Q87" s="68" t="e">
        <f>IF(OR(P89-P88=P88-P87,P90-P88=P88-P87),P87,IF(OR(P89-P88=P88-P86,P90-P88=P88-P86),P86,"-"))</f>
        <v>#VALUE!</v>
      </c>
      <c r="R87" s="69" t="e">
        <f>VLOOKUP(Q87,STN_TABLE,2,FALSE)</f>
        <v>#VALUE!</v>
      </c>
      <c r="S87" s="69">
        <v>5</v>
      </c>
      <c r="T87" s="68" t="e">
        <f>R87*S87</f>
        <v>#VALUE!</v>
      </c>
      <c r="U87" s="79">
        <v>3</v>
      </c>
      <c r="V87" s="68" t="e">
        <f>R87*U87</f>
        <v>#VALUE!</v>
      </c>
      <c r="W87" s="6" t="s">
        <v>93</v>
      </c>
      <c r="X87" s="70" t="e">
        <f>IF(AND(Q89-Q88=Q88-Q87,NOT(AND(Q87=0,Q88=0)),NOT(AND(Q88=0,Q89=0))),WLS*(Q89-Q88),"#NA")</f>
        <v>#VALUE!</v>
      </c>
      <c r="AD87" s="93"/>
      <c r="AH87" s="6" t="s">
        <v>93</v>
      </c>
      <c r="AI87" s="70" t="e">
        <f>WLS*(AD89-AD88)</f>
        <v>#VALUE!</v>
      </c>
      <c r="AU87" s="81"/>
    </row>
    <row r="88" spans="1:47" x14ac:dyDescent="0.25">
      <c r="A88" s="84">
        <f>A87+1</f>
        <v>11</v>
      </c>
      <c r="B88" s="84">
        <f t="shared" si="27"/>
        <v>6</v>
      </c>
      <c r="C88" s="80" t="e">
        <f t="shared" ref="C88" si="36">IF(OR(B90-B89=B89-B88,B90-B89=B89-B87,B90-B89=B89-B86),B89,IF(OR(B90-B88=B88-B87,B90-B88=B88-B86),B88,IF(B90-B87=B87-B86,B87,"#NA")))</f>
        <v>#VALUE!</v>
      </c>
      <c r="D88" s="76" t="e">
        <f>VLOOKUP(C88,STN_TABLE,2,FALSE)</f>
        <v>#VALUE!</v>
      </c>
      <c r="E88" s="81">
        <v>4</v>
      </c>
      <c r="F88" s="76" t="e">
        <f>D88*E88</f>
        <v>#VALUE!</v>
      </c>
      <c r="G88" s="77" t="e">
        <f>C88</f>
        <v>#VALUE!</v>
      </c>
      <c r="H88" s="77" t="e">
        <f>F88*G88</f>
        <v>#VALUE!</v>
      </c>
      <c r="I88" s="495" t="s">
        <v>97</v>
      </c>
      <c r="J88" s="496"/>
      <c r="K88" s="78" t="s">
        <v>98</v>
      </c>
      <c r="L88" s="78"/>
      <c r="M88" s="7" t="s">
        <v>99</v>
      </c>
      <c r="N88" s="7"/>
      <c r="O88" s="99">
        <f>O87+1</f>
        <v>13</v>
      </c>
      <c r="P88" s="99" t="str">
        <f t="shared" si="23"/>
        <v xml:space="preserve">  </v>
      </c>
      <c r="Q88" s="76" t="str">
        <f>P88</f>
        <v xml:space="preserve">  </v>
      </c>
      <c r="R88" s="77" t="str">
        <f>VLOOKUP(Q88,STN_TABLE,2,FALSE)</f>
        <v xml:space="preserve">  </v>
      </c>
      <c r="S88" s="77">
        <v>8</v>
      </c>
      <c r="T88" s="76" t="e">
        <f>R88*S88</f>
        <v>#VALUE!</v>
      </c>
      <c r="U88" s="80">
        <v>10</v>
      </c>
      <c r="V88" s="76" t="e">
        <f>R88*U88</f>
        <v>#VALUE!</v>
      </c>
      <c r="W88" s="496" t="s">
        <v>97</v>
      </c>
      <c r="X88" s="496"/>
      <c r="Y88" s="496" t="s">
        <v>98</v>
      </c>
      <c r="Z88" s="496"/>
      <c r="AA88" s="494" t="s">
        <v>99</v>
      </c>
      <c r="AB88" s="494"/>
      <c r="AC88" s="99">
        <f>AC83+1</f>
        <v>12</v>
      </c>
      <c r="AD88" s="95">
        <f>VLOOKUP(AC88,STN_TABLE_2,2,FALSE)</f>
        <v>6.5</v>
      </c>
      <c r="AE88" s="68">
        <f>VLOOKUP(AD88,STN_TABLE,2,FALSE)</f>
        <v>4.24</v>
      </c>
      <c r="AF88" s="68">
        <v>1</v>
      </c>
      <c r="AG88" s="69">
        <f>AE88*AF88</f>
        <v>4.24</v>
      </c>
      <c r="AH88" s="496" t="s">
        <v>97</v>
      </c>
      <c r="AI88" s="496"/>
      <c r="AJ88" s="496" t="s">
        <v>98</v>
      </c>
      <c r="AK88" s="496"/>
      <c r="AL88" s="494" t="s">
        <v>99</v>
      </c>
      <c r="AM88" s="494"/>
      <c r="AP88" s="86" t="s">
        <v>112</v>
      </c>
      <c r="AQ88" s="89" t="s">
        <v>113</v>
      </c>
      <c r="AR88" s="89" t="s">
        <v>114</v>
      </c>
      <c r="AS88" s="89" t="s">
        <v>115</v>
      </c>
      <c r="AU88" s="81"/>
    </row>
    <row r="89" spans="1:47" x14ac:dyDescent="0.25">
      <c r="A89" s="84">
        <f>A88+1</f>
        <v>12</v>
      </c>
      <c r="B89" s="84">
        <f t="shared" si="27"/>
        <v>6.5</v>
      </c>
      <c r="C89" s="88" t="str">
        <f t="shared" ref="C89" si="37">B90</f>
        <v xml:space="preserve">  </v>
      </c>
      <c r="D89" s="82" t="str">
        <f>VLOOKUP(C89,STN_TABLE,2,FALSE)</f>
        <v xml:space="preserve">  </v>
      </c>
      <c r="E89" s="92">
        <v>1</v>
      </c>
      <c r="F89" s="82" t="e">
        <f>D89*E89</f>
        <v>#VALUE!</v>
      </c>
      <c r="G89" s="83" t="str">
        <f>C89</f>
        <v xml:space="preserve">  </v>
      </c>
      <c r="H89" s="83" t="e">
        <f>F89*G89</f>
        <v>#VALUE!</v>
      </c>
      <c r="I89" s="84" t="str">
        <f>CONCATENATE("a'(",C89,")=")</f>
        <v>a'(  )=</v>
      </c>
      <c r="J89" s="84" t="e">
        <f>2*J87/3*F90</f>
        <v>#VALUE!</v>
      </c>
      <c r="K89" s="84" t="e">
        <f>CONCATENATE("A(",C87,")=")</f>
        <v>#VALUE!</v>
      </c>
      <c r="L89" s="84" t="e">
        <f>VLOOKUP(C87,STN_TABLE,3,FALSE)</f>
        <v>#VALUE!</v>
      </c>
      <c r="M89" t="str">
        <f>CONCATENATE("A(",C89,")=")</f>
        <v>A(  )=</v>
      </c>
      <c r="N89" t="e">
        <f>J89+L89</f>
        <v>#VALUE!</v>
      </c>
      <c r="O89" s="99">
        <f>O88+1</f>
        <v>14</v>
      </c>
      <c r="P89" s="99" t="str">
        <f t="shared" si="23"/>
        <v xml:space="preserve">  </v>
      </c>
      <c r="Q89" s="82" t="e">
        <f>IF(P89-P88=P88-P87,P89,IF(P90-P88=P88-P87,P90,IF(P89-P88=P88-P86,P89,IF(P90-P88=P88-P86,P90,"-"))))</f>
        <v>#VALUE!</v>
      </c>
      <c r="R89" s="83" t="e">
        <f>VLOOKUP(Q89,STN_TABLE,2,FALSE)</f>
        <v>#VALUE!</v>
      </c>
      <c r="S89" s="83">
        <v>-1</v>
      </c>
      <c r="T89" s="82" t="e">
        <f>R89*S89</f>
        <v>#VALUE!</v>
      </c>
      <c r="U89" s="88">
        <v>-1</v>
      </c>
      <c r="V89" s="82" t="e">
        <f>R89*U89</f>
        <v>#VALUE!</v>
      </c>
      <c r="W89" s="84" t="str">
        <f>CONCATENATE("a'(",Q88,")=")</f>
        <v>a'(  )=</v>
      </c>
      <c r="X89" s="84" t="e">
        <f>2*X87/12*T90</f>
        <v>#VALUE!</v>
      </c>
      <c r="Y89" s="84" t="e">
        <f>CONCATENATE("A(",Q87,")=")</f>
        <v>#VALUE!</v>
      </c>
      <c r="Z89" s="84" t="e">
        <f>VLOOKUP(Q87,STN_TABLE,3,FALSE)</f>
        <v>#VALUE!</v>
      </c>
      <c r="AA89" t="str">
        <f>CONCATENATE("A(",Q88,")=")</f>
        <v>A(  )=</v>
      </c>
      <c r="AB89" t="e">
        <f>X89+Z89</f>
        <v>#VALUE!</v>
      </c>
      <c r="AC89" s="99">
        <f>AC88+1</f>
        <v>13</v>
      </c>
      <c r="AD89" s="100" t="str">
        <f>VLOOKUP(AC89,STN_TABLE_2,2,FALSE)</f>
        <v xml:space="preserve">  </v>
      </c>
      <c r="AE89" s="82" t="str">
        <f>VLOOKUP(AD89,STN_TABLE,2,FALSE)</f>
        <v xml:space="preserve">  </v>
      </c>
      <c r="AF89" s="82">
        <v>2</v>
      </c>
      <c r="AG89" s="83" t="e">
        <f>AE89*AF89</f>
        <v>#VALUE!</v>
      </c>
      <c r="AH89" s="84" t="str">
        <f>CONCATENATE("a'(",AD89,")=")</f>
        <v>a'(  )=</v>
      </c>
      <c r="AI89" s="84" t="e">
        <f>2*AI87/2*AE90</f>
        <v>#VALUE!</v>
      </c>
      <c r="AJ89" s="84" t="str">
        <f>CONCATENATE("A(",AD88,")=")</f>
        <v>A(6.5)=</v>
      </c>
      <c r="AK89" s="84">
        <f>VLOOKUP(AD88,STN_TABLE,3,FALSE)</f>
        <v>30.293333333333329</v>
      </c>
      <c r="AL89" t="str">
        <f>CONCATENATE("A(",AD89,")=")</f>
        <v>A(  )=</v>
      </c>
      <c r="AM89" t="e">
        <f>AI89+AK89</f>
        <v>#VALUE!</v>
      </c>
      <c r="AO89" s="68" t="str">
        <f>AA89</f>
        <v>A(  )=</v>
      </c>
      <c r="AP89" s="68" t="e">
        <f>VLOOKUP(AO89,Rise_Results,2,FALSE)</f>
        <v>#N/A</v>
      </c>
      <c r="AQ89" s="76" t="e">
        <f>N89</f>
        <v>#VALUE!</v>
      </c>
      <c r="AR89" s="76" t="e">
        <f>IF(OR(AB89&lt;=0,AB90&lt;=0),1/0,AB89)</f>
        <v>#VALUE!</v>
      </c>
      <c r="AS89" s="76" t="e">
        <f>AM89</f>
        <v>#VALUE!</v>
      </c>
      <c r="AT89" t="e">
        <f>IFERROR(AP89,IFERROR(AQ89,IFERROR(AR89,AS89)))</f>
        <v>#VALUE!</v>
      </c>
      <c r="AU89" s="81"/>
    </row>
    <row r="90" spans="1:47" x14ac:dyDescent="0.25">
      <c r="A90" s="84">
        <f>A89+1</f>
        <v>13</v>
      </c>
      <c r="B90" s="84" t="str">
        <f t="shared" si="27"/>
        <v xml:space="preserve">  </v>
      </c>
      <c r="F90" s="82" t="e">
        <f>SUM(F87:F89)</f>
        <v>#VALUE!</v>
      </c>
      <c r="H90" s="82" t="e">
        <f>SUM(H87:H89)</f>
        <v>#VALUE!</v>
      </c>
      <c r="I90" s="84" t="str">
        <f>CONCATENATE("m'(",C89,")=")</f>
        <v>m'(  )=</v>
      </c>
      <c r="J90" s="84" t="e">
        <f>2*(J87*(WLS))/3*H90</f>
        <v>#VALUE!</v>
      </c>
      <c r="K90" s="84" t="e">
        <f>CONCATENATE("M(",C87,")=")</f>
        <v>#VALUE!</v>
      </c>
      <c r="L90" s="84" t="e">
        <f>VLOOKUP(C87,STN_TABLE,4,FALSE)</f>
        <v>#VALUE!</v>
      </c>
      <c r="M90" t="str">
        <f>CONCATENATE("M(",C89,")=")</f>
        <v>M(  )=</v>
      </c>
      <c r="N90" t="e">
        <f>J90+L90</f>
        <v>#VALUE!</v>
      </c>
      <c r="O90" s="99">
        <f>O89+1</f>
        <v>15</v>
      </c>
      <c r="P90" s="99" t="str">
        <f t="shared" si="23"/>
        <v xml:space="preserve">  </v>
      </c>
      <c r="T90" s="89" t="e">
        <f>SUM(T87:T89)</f>
        <v>#VALUE!</v>
      </c>
      <c r="V90" s="82" t="e">
        <f>SUM(V87:V89)</f>
        <v>#VALUE!</v>
      </c>
      <c r="W90" s="84" t="str">
        <f>CONCATENATE("m'(",Q88,")=")</f>
        <v>m'(  )=</v>
      </c>
      <c r="X90" s="84" t="e">
        <f>(2*(X87^2)/24*V90)+(X89*Q87*WLS)</f>
        <v>#VALUE!</v>
      </c>
      <c r="Y90" s="84" t="e">
        <f>CONCATENATE("M(",Q87,")=")</f>
        <v>#VALUE!</v>
      </c>
      <c r="Z90" s="84" t="e">
        <f>VLOOKUP(Q87,STN_TABLE,4,FALSE)</f>
        <v>#VALUE!</v>
      </c>
      <c r="AA90" t="str">
        <f>CONCATENATE("M(",Q88,")=")</f>
        <v>M(  )=</v>
      </c>
      <c r="AB90" t="e">
        <f>X90+Z90</f>
        <v>#VALUE!</v>
      </c>
      <c r="AE90" s="89">
        <f>SUM(AE88:AE89)</f>
        <v>4.24</v>
      </c>
      <c r="AG90" s="89" t="e">
        <f>SUM(AG88:AG89)</f>
        <v>#VALUE!</v>
      </c>
      <c r="AH90" s="84" t="str">
        <f>CONCATENATE("m'(",AD89,")=")</f>
        <v>m'(  )=</v>
      </c>
      <c r="AI90" s="84" t="e">
        <f>(2*(AI87^2)/6*AG90)+(AI89*AD88*WLS)</f>
        <v>#VALUE!</v>
      </c>
      <c r="AJ90" s="84" t="str">
        <f>CONCATENATE("M(",AD88,")=")</f>
        <v>M(6.5)=</v>
      </c>
      <c r="AK90" s="84">
        <f>VLOOKUP(AD88,STN_TABLE,4,FALSE)</f>
        <v>328.84000000000003</v>
      </c>
      <c r="AL90" t="str">
        <f>CONCATENATE("M(",AD89,")=")</f>
        <v>M(  )=</v>
      </c>
      <c r="AM90" t="e">
        <f>AI90+AK90</f>
        <v>#VALUE!</v>
      </c>
      <c r="AO90" s="82" t="str">
        <f>AA90</f>
        <v>M(  )=</v>
      </c>
      <c r="AP90" s="82" t="e">
        <f>VLOOKUP(AO90,Rise_Results,2,FALSE)</f>
        <v>#N/A</v>
      </c>
      <c r="AQ90" s="82" t="e">
        <f>N90</f>
        <v>#VALUE!</v>
      </c>
      <c r="AR90" s="82" t="e">
        <f>IF(OR(AB89&lt;=0,AB90&lt;=0),1/0,AB90)</f>
        <v>#VALUE!</v>
      </c>
      <c r="AS90" s="82" t="e">
        <f>AM90</f>
        <v>#VALUE!</v>
      </c>
      <c r="AT90" t="e">
        <f>IFERROR(AP90,IFERROR(AQ90,IFERROR(AR90,AS90)))</f>
        <v>#VALUE!</v>
      </c>
      <c r="AU90" s="81"/>
    </row>
    <row r="91" spans="1:47" x14ac:dyDescent="0.25">
      <c r="A91" s="101">
        <f>A86+1</f>
        <v>10</v>
      </c>
      <c r="B91" s="101">
        <f t="shared" si="27"/>
        <v>5</v>
      </c>
      <c r="O91" s="101">
        <f>O86+1</f>
        <v>12</v>
      </c>
      <c r="P91" s="101">
        <f t="shared" si="23"/>
        <v>6.5</v>
      </c>
      <c r="AU91" s="81"/>
    </row>
    <row r="92" spans="1:47" x14ac:dyDescent="0.25">
      <c r="A92" s="84">
        <f>A91+1</f>
        <v>11</v>
      </c>
      <c r="B92" s="84">
        <f t="shared" si="27"/>
        <v>6</v>
      </c>
      <c r="C92" s="79" t="e">
        <f t="shared" ref="C92" si="38">IF(C93=B94,IF(C94-C93=C93-B93,B93,IF(C94-C93=C93-B92,B92,"#NA")),IF(C93=B93,IF(C94-C93=C93-B92,B92,IF(C94-C93=C93-B91,B91,"#NA")),"#NA"))</f>
        <v>#VALUE!</v>
      </c>
      <c r="D92" s="68" t="e">
        <f>VLOOKUP(C92,STN_TABLE,2,FALSE)</f>
        <v>#VALUE!</v>
      </c>
      <c r="E92" s="102">
        <v>1</v>
      </c>
      <c r="F92" s="68" t="e">
        <f>D92*E92</f>
        <v>#VALUE!</v>
      </c>
      <c r="G92" s="69" t="e">
        <f>C92</f>
        <v>#VALUE!</v>
      </c>
      <c r="H92" s="69" t="e">
        <f>F92*G92</f>
        <v>#VALUE!</v>
      </c>
      <c r="I92" s="6" t="s">
        <v>93</v>
      </c>
      <c r="J92" s="70" t="e">
        <f>IF(OR(D92=0,D93=0,D94=0),"#NA",IF(AND(C94-C93=C93-C92,C93&lt;&gt;C94,C92&lt;&gt;C93,C92&lt;&gt;C94,D94&lt;&gt;0,OR(D92&lt;&gt;0,D93&lt;&gt;0)),WLS*(C94-C93),"#NA"))</f>
        <v>#VALUE!</v>
      </c>
      <c r="O92" s="99">
        <f>O91+1</f>
        <v>13</v>
      </c>
      <c r="P92" s="99" t="str">
        <f t="shared" si="23"/>
        <v xml:space="preserve">  </v>
      </c>
      <c r="Q92" s="68" t="e">
        <f>IF(OR(P94-P93=P93-P92,P95-P93=P93-P92),P92,IF(OR(P94-P93=P93-P91,P95-P93=P93-P91),P91,"-"))</f>
        <v>#VALUE!</v>
      </c>
      <c r="R92" s="69" t="e">
        <f>VLOOKUP(Q92,STN_TABLE,2,FALSE)</f>
        <v>#VALUE!</v>
      </c>
      <c r="S92" s="69">
        <v>5</v>
      </c>
      <c r="T92" s="68" t="e">
        <f>R92*S92</f>
        <v>#VALUE!</v>
      </c>
      <c r="U92" s="79">
        <v>3</v>
      </c>
      <c r="V92" s="68" t="e">
        <f>R92*U92</f>
        <v>#VALUE!</v>
      </c>
      <c r="W92" s="6" t="s">
        <v>93</v>
      </c>
      <c r="X92" s="70" t="e">
        <f>IF(AND(Q94-Q93=Q93-Q92,NOT(AND(Q92=0,Q93=0)),NOT(AND(Q93=0,Q94=0))),WLS*(Q94-Q93),"#NA")</f>
        <v>#VALUE!</v>
      </c>
      <c r="AD92" s="93"/>
      <c r="AH92" s="6" t="s">
        <v>93</v>
      </c>
      <c r="AI92" s="70" t="e">
        <f>WLS*(AD94-AD93)</f>
        <v>#VALUE!</v>
      </c>
      <c r="AU92" s="81"/>
    </row>
    <row r="93" spans="1:47" x14ac:dyDescent="0.25">
      <c r="A93" s="84">
        <f>A92+1</f>
        <v>12</v>
      </c>
      <c r="B93" s="84">
        <f t="shared" si="27"/>
        <v>6.5</v>
      </c>
      <c r="C93" s="80" t="e">
        <f t="shared" ref="C93" si="39">IF(OR(B95-B94=B94-B93,B95-B94=B94-B92,B95-B94=B94-B91),B94,IF(OR(B95-B93=B93-B92,B95-B93=B93-B91),B93,IF(B95-B92=B92-B91,B92,"#NA")))</f>
        <v>#VALUE!</v>
      </c>
      <c r="D93" s="76" t="e">
        <f>VLOOKUP(C93,STN_TABLE,2,FALSE)</f>
        <v>#VALUE!</v>
      </c>
      <c r="E93" s="81">
        <v>4</v>
      </c>
      <c r="F93" s="76" t="e">
        <f>D93*E93</f>
        <v>#VALUE!</v>
      </c>
      <c r="G93" s="77" t="e">
        <f>C93</f>
        <v>#VALUE!</v>
      </c>
      <c r="H93" s="77" t="e">
        <f>F93*G93</f>
        <v>#VALUE!</v>
      </c>
      <c r="I93" s="495" t="s">
        <v>97</v>
      </c>
      <c r="J93" s="496"/>
      <c r="K93" s="78" t="s">
        <v>98</v>
      </c>
      <c r="L93" s="78"/>
      <c r="M93" s="7" t="s">
        <v>99</v>
      </c>
      <c r="N93" s="7"/>
      <c r="O93" s="99">
        <f>O92+1</f>
        <v>14</v>
      </c>
      <c r="P93" s="99" t="str">
        <f t="shared" si="23"/>
        <v xml:space="preserve">  </v>
      </c>
      <c r="Q93" s="76" t="str">
        <f>P93</f>
        <v xml:space="preserve">  </v>
      </c>
      <c r="R93" s="77" t="str">
        <f>VLOOKUP(Q93,STN_TABLE,2,FALSE)</f>
        <v xml:space="preserve">  </v>
      </c>
      <c r="S93" s="77">
        <v>8</v>
      </c>
      <c r="T93" s="76" t="e">
        <f>R93*S93</f>
        <v>#VALUE!</v>
      </c>
      <c r="U93" s="80">
        <v>10</v>
      </c>
      <c r="V93" s="76" t="e">
        <f>R93*U93</f>
        <v>#VALUE!</v>
      </c>
      <c r="W93" s="496" t="s">
        <v>97</v>
      </c>
      <c r="X93" s="496"/>
      <c r="Y93" s="496" t="s">
        <v>98</v>
      </c>
      <c r="Z93" s="496"/>
      <c r="AA93" s="494" t="s">
        <v>99</v>
      </c>
      <c r="AB93" s="494"/>
      <c r="AC93" s="99">
        <f>AC88+1</f>
        <v>13</v>
      </c>
      <c r="AD93" s="95" t="str">
        <f>VLOOKUP(AC93,STN_TABLE_2,2,FALSE)</f>
        <v xml:space="preserve">  </v>
      </c>
      <c r="AE93" s="68" t="str">
        <f>VLOOKUP(AD93,STN_TABLE,2,FALSE)</f>
        <v xml:space="preserve">  </v>
      </c>
      <c r="AF93" s="68">
        <v>1</v>
      </c>
      <c r="AG93" s="69" t="e">
        <f>AE93*AF93</f>
        <v>#VALUE!</v>
      </c>
      <c r="AH93" s="496" t="s">
        <v>97</v>
      </c>
      <c r="AI93" s="496"/>
      <c r="AJ93" s="496" t="s">
        <v>98</v>
      </c>
      <c r="AK93" s="496"/>
      <c r="AL93" s="494" t="s">
        <v>99</v>
      </c>
      <c r="AM93" s="494"/>
      <c r="AP93" s="86" t="s">
        <v>112</v>
      </c>
      <c r="AQ93" s="89" t="s">
        <v>113</v>
      </c>
      <c r="AR93" s="89" t="s">
        <v>114</v>
      </c>
      <c r="AS93" s="89" t="s">
        <v>115</v>
      </c>
      <c r="AU93" s="81"/>
    </row>
    <row r="94" spans="1:47" x14ac:dyDescent="0.25">
      <c r="A94" s="84">
        <f>A93+1</f>
        <v>13</v>
      </c>
      <c r="B94" s="84" t="str">
        <f t="shared" si="27"/>
        <v xml:space="preserve">  </v>
      </c>
      <c r="C94" s="88" t="str">
        <f t="shared" ref="C94" si="40">B95</f>
        <v xml:space="preserve">  </v>
      </c>
      <c r="D94" s="82" t="str">
        <f>VLOOKUP(C94,STN_TABLE,2,FALSE)</f>
        <v xml:space="preserve">  </v>
      </c>
      <c r="E94" s="92">
        <v>1</v>
      </c>
      <c r="F94" s="82" t="e">
        <f>D94*E94</f>
        <v>#VALUE!</v>
      </c>
      <c r="G94" s="83" t="str">
        <f>C94</f>
        <v xml:space="preserve">  </v>
      </c>
      <c r="H94" s="83" t="e">
        <f>F94*G94</f>
        <v>#VALUE!</v>
      </c>
      <c r="I94" s="84" t="str">
        <f>CONCATENATE("a'(",C94,")=")</f>
        <v>a'(  )=</v>
      </c>
      <c r="J94" s="84" t="e">
        <f>2*J92/3*F95</f>
        <v>#VALUE!</v>
      </c>
      <c r="K94" s="84" t="e">
        <f>CONCATENATE("A(",C92,")=")</f>
        <v>#VALUE!</v>
      </c>
      <c r="L94" s="84" t="e">
        <f>VLOOKUP(C92,STN_TABLE,3,FALSE)</f>
        <v>#VALUE!</v>
      </c>
      <c r="M94" t="str">
        <f>CONCATENATE("A(",C94,")=")</f>
        <v>A(  )=</v>
      </c>
      <c r="N94" t="e">
        <f>J94+L94</f>
        <v>#VALUE!</v>
      </c>
      <c r="O94" s="99">
        <f>O93+1</f>
        <v>15</v>
      </c>
      <c r="P94" s="99" t="str">
        <f t="shared" si="23"/>
        <v xml:space="preserve">  </v>
      </c>
      <c r="Q94" s="82" t="e">
        <f>IF(P94-P93=P93-P92,P94,IF(P95-P93=P93-P92,P95,IF(P94-P93=P93-P91,P94,IF(P95-P93=P93-P91,P95,"-"))))</f>
        <v>#VALUE!</v>
      </c>
      <c r="R94" s="83" t="e">
        <f>VLOOKUP(Q94,STN_TABLE,2,FALSE)</f>
        <v>#VALUE!</v>
      </c>
      <c r="S94" s="83">
        <v>-1</v>
      </c>
      <c r="T94" s="82" t="e">
        <f>R94*S94</f>
        <v>#VALUE!</v>
      </c>
      <c r="U94" s="88">
        <v>-1</v>
      </c>
      <c r="V94" s="82" t="e">
        <f>R94*U94</f>
        <v>#VALUE!</v>
      </c>
      <c r="W94" s="84" t="str">
        <f>CONCATENATE("a'(",Q93,")=")</f>
        <v>a'(  )=</v>
      </c>
      <c r="X94" s="84" t="e">
        <f>2*X92/12*T95</f>
        <v>#VALUE!</v>
      </c>
      <c r="Y94" s="84" t="e">
        <f>CONCATENATE("A(",Q92,")=")</f>
        <v>#VALUE!</v>
      </c>
      <c r="Z94" s="84" t="e">
        <f>VLOOKUP(Q92,STN_TABLE,3,FALSE)</f>
        <v>#VALUE!</v>
      </c>
      <c r="AA94" t="str">
        <f>CONCATENATE("A(",Q93,")=")</f>
        <v>A(  )=</v>
      </c>
      <c r="AB94" t="e">
        <f>X94+Z94</f>
        <v>#VALUE!</v>
      </c>
      <c r="AC94" s="99">
        <f>AC93+1</f>
        <v>14</v>
      </c>
      <c r="AD94" s="100" t="str">
        <f>VLOOKUP(AC94,STN_TABLE_2,2,FALSE)</f>
        <v xml:space="preserve">  </v>
      </c>
      <c r="AE94" s="82" t="str">
        <f>VLOOKUP(AD94,STN_TABLE,2,FALSE)</f>
        <v xml:space="preserve">  </v>
      </c>
      <c r="AF94" s="82">
        <v>2</v>
      </c>
      <c r="AG94" s="83" t="e">
        <f>AE94*AF94</f>
        <v>#VALUE!</v>
      </c>
      <c r="AH94" s="84" t="str">
        <f>CONCATENATE("a'(",AD94,")=")</f>
        <v>a'(  )=</v>
      </c>
      <c r="AI94" s="84" t="e">
        <f>2*AI92/2*AE95</f>
        <v>#VALUE!</v>
      </c>
      <c r="AJ94" s="84" t="str">
        <f>CONCATENATE("A(",AD93,")=")</f>
        <v>A(  )=</v>
      </c>
      <c r="AK94" s="84" t="str">
        <f>VLOOKUP(AD93,STN_TABLE,3,FALSE)</f>
        <v xml:space="preserve"> </v>
      </c>
      <c r="AL94" t="str">
        <f>CONCATENATE("A(",AD94,")=")</f>
        <v>A(  )=</v>
      </c>
      <c r="AM94" t="e">
        <f>AI94+AK94</f>
        <v>#VALUE!</v>
      </c>
      <c r="AO94" s="68" t="str">
        <f>AA94</f>
        <v>A(  )=</v>
      </c>
      <c r="AP94" s="68" t="e">
        <f>VLOOKUP(AO94,Rise_Results,2,FALSE)</f>
        <v>#N/A</v>
      </c>
      <c r="AQ94" s="76" t="e">
        <f>N94</f>
        <v>#VALUE!</v>
      </c>
      <c r="AR94" s="76" t="e">
        <f>IF(OR(AB94&lt;=0,AB95&lt;=0),1/0,AB94)</f>
        <v>#VALUE!</v>
      </c>
      <c r="AS94" s="76" t="e">
        <f>AM94</f>
        <v>#VALUE!</v>
      </c>
      <c r="AT94" t="e">
        <f>IFERROR(AP94,IFERROR(AQ94,IFERROR(AR94,AS94)))</f>
        <v>#VALUE!</v>
      </c>
      <c r="AU94" s="81"/>
    </row>
    <row r="95" spans="1:47" x14ac:dyDescent="0.25">
      <c r="A95" s="84">
        <f>A94+1</f>
        <v>14</v>
      </c>
      <c r="B95" s="84" t="str">
        <f t="shared" si="27"/>
        <v xml:space="preserve">  </v>
      </c>
      <c r="F95" s="82" t="e">
        <f>SUM(F92:F94)</f>
        <v>#VALUE!</v>
      </c>
      <c r="H95" s="82" t="e">
        <f>SUM(H92:H94)</f>
        <v>#VALUE!</v>
      </c>
      <c r="I95" s="84" t="str">
        <f>CONCATENATE("m'(",C94,")=")</f>
        <v>m'(  )=</v>
      </c>
      <c r="J95" s="84" t="e">
        <f>2*(J92*(WLS))/3*H95</f>
        <v>#VALUE!</v>
      </c>
      <c r="K95" s="84" t="e">
        <f>CONCATENATE("M(",C92,")=")</f>
        <v>#VALUE!</v>
      </c>
      <c r="L95" s="84" t="e">
        <f>VLOOKUP(C92,STN_TABLE,4,FALSE)</f>
        <v>#VALUE!</v>
      </c>
      <c r="M95" t="str">
        <f>CONCATENATE("M(",C94,")=")</f>
        <v>M(  )=</v>
      </c>
      <c r="N95" t="e">
        <f>J95+L95</f>
        <v>#VALUE!</v>
      </c>
      <c r="O95" s="99">
        <f>O94+1</f>
        <v>16</v>
      </c>
      <c r="P95" s="99" t="str">
        <f t="shared" si="23"/>
        <v xml:space="preserve">  </v>
      </c>
      <c r="T95" s="89" t="e">
        <f>SUM(T92:T94)</f>
        <v>#VALUE!</v>
      </c>
      <c r="V95" s="82" t="e">
        <f>SUM(V92:V94)</f>
        <v>#VALUE!</v>
      </c>
      <c r="W95" s="84" t="str">
        <f>CONCATENATE("m'(",Q93,")=")</f>
        <v>m'(  )=</v>
      </c>
      <c r="X95" s="84" t="e">
        <f>(2*(X92^2)/24*V95)+(X94*Q92*WLS)</f>
        <v>#VALUE!</v>
      </c>
      <c r="Y95" s="84" t="e">
        <f>CONCATENATE("M(",Q92,")=")</f>
        <v>#VALUE!</v>
      </c>
      <c r="Z95" s="84" t="e">
        <f>VLOOKUP(Q92,STN_TABLE,4,FALSE)</f>
        <v>#VALUE!</v>
      </c>
      <c r="AA95" t="str">
        <f>CONCATENATE("M(",Q93,")=")</f>
        <v>M(  )=</v>
      </c>
      <c r="AB95" t="e">
        <f>X95+Z95</f>
        <v>#VALUE!</v>
      </c>
      <c r="AE95" s="89">
        <f>SUM(AE93:AE94)</f>
        <v>0</v>
      </c>
      <c r="AG95" s="89" t="e">
        <f>SUM(AG93:AG94)</f>
        <v>#VALUE!</v>
      </c>
      <c r="AH95" s="84" t="str">
        <f>CONCATENATE("m'(",AD94,")=")</f>
        <v>m'(  )=</v>
      </c>
      <c r="AI95" s="84" t="e">
        <f>(2*(AI92^2)/6*AG95)+(AI94*AD93*WLS)</f>
        <v>#VALUE!</v>
      </c>
      <c r="AJ95" s="84" t="str">
        <f>CONCATENATE("M(",AD93,")=")</f>
        <v>M(  )=</v>
      </c>
      <c r="AK95" s="84" t="str">
        <f>VLOOKUP(AD93,STN_TABLE,4,FALSE)</f>
        <v xml:space="preserve"> </v>
      </c>
      <c r="AL95" t="str">
        <f>CONCATENATE("M(",AD94,")=")</f>
        <v>M(  )=</v>
      </c>
      <c r="AM95" t="e">
        <f>AI95+AK95</f>
        <v>#VALUE!</v>
      </c>
      <c r="AO95" s="82" t="str">
        <f>AA95</f>
        <v>M(  )=</v>
      </c>
      <c r="AP95" s="82" t="e">
        <f>VLOOKUP(AO95,Rise_Results,2,FALSE)</f>
        <v>#N/A</v>
      </c>
      <c r="AQ95" s="82" t="e">
        <f>N95</f>
        <v>#VALUE!</v>
      </c>
      <c r="AR95" s="82" t="e">
        <f>IF(OR(AB94&lt;=0,AB95&lt;=0),1/0,AB95)</f>
        <v>#VALUE!</v>
      </c>
      <c r="AS95" s="82" t="e">
        <f>AM95</f>
        <v>#VALUE!</v>
      </c>
      <c r="AT95" t="e">
        <f>IFERROR(AP95,IFERROR(AQ95,IFERROR(AR95,AS95)))</f>
        <v>#VALUE!</v>
      </c>
      <c r="AU95" s="81"/>
    </row>
    <row r="96" spans="1:47" x14ac:dyDescent="0.25">
      <c r="A96" s="101">
        <f>A91+1</f>
        <v>11</v>
      </c>
      <c r="B96" s="101">
        <f t="shared" si="27"/>
        <v>6</v>
      </c>
      <c r="O96" s="101">
        <f>O91+1</f>
        <v>13</v>
      </c>
      <c r="P96" s="101" t="str">
        <f t="shared" si="23"/>
        <v xml:space="preserve">  </v>
      </c>
      <c r="AU96" s="81"/>
    </row>
    <row r="97" spans="1:47" x14ac:dyDescent="0.25">
      <c r="A97" s="84">
        <f>A96+1</f>
        <v>12</v>
      </c>
      <c r="B97" s="84">
        <f t="shared" si="27"/>
        <v>6.5</v>
      </c>
      <c r="C97" s="79" t="e">
        <f t="shared" ref="C97" si="41">IF(C98=B99,IF(C99-C98=C98-B98,B98,IF(C99-C98=C98-B97,B97,"#NA")),IF(C98=B98,IF(C99-C98=C98-B97,B97,IF(C99-C98=C98-B96,B96,"#NA")),"#NA"))</f>
        <v>#VALUE!</v>
      </c>
      <c r="D97" s="68" t="e">
        <f>VLOOKUP(C97,STN_TABLE,2,FALSE)</f>
        <v>#VALUE!</v>
      </c>
      <c r="E97" s="102">
        <v>1</v>
      </c>
      <c r="F97" s="68" t="e">
        <f>D97*E97</f>
        <v>#VALUE!</v>
      </c>
      <c r="G97" s="69" t="e">
        <f>C97</f>
        <v>#VALUE!</v>
      </c>
      <c r="H97" s="69" t="e">
        <f>F97*G97</f>
        <v>#VALUE!</v>
      </c>
      <c r="I97" s="6" t="s">
        <v>93</v>
      </c>
      <c r="J97" s="70" t="e">
        <f>IF(OR(D97=0,D98=0,D99=0),"#NA",IF(AND(C99-C98=C98-C97,C98&lt;&gt;C99,C97&lt;&gt;C98,C97&lt;&gt;C99,D99&lt;&gt;0,OR(D97&lt;&gt;0,D98&lt;&gt;0)),WLS*(C99-C98),"#NA"))</f>
        <v>#VALUE!</v>
      </c>
      <c r="O97" s="99">
        <f>O96+1</f>
        <v>14</v>
      </c>
      <c r="P97" s="99" t="str">
        <f t="shared" si="23"/>
        <v xml:space="preserve">  </v>
      </c>
      <c r="Q97" s="68" t="e">
        <f>IF(OR(P99-P98=P98-P97,P100-P98=P98-P97),P97,IF(OR(P99-P98=P98-P96,P100-P98=P98-P96),P96,"-"))</f>
        <v>#VALUE!</v>
      </c>
      <c r="R97" s="69" t="e">
        <f>VLOOKUP(Q97,STN_TABLE,2,FALSE)</f>
        <v>#VALUE!</v>
      </c>
      <c r="S97" s="69">
        <v>5</v>
      </c>
      <c r="T97" s="68" t="e">
        <f>R97*S97</f>
        <v>#VALUE!</v>
      </c>
      <c r="U97" s="79">
        <v>3</v>
      </c>
      <c r="V97" s="68" t="e">
        <f>R97*U97</f>
        <v>#VALUE!</v>
      </c>
      <c r="W97" s="6" t="s">
        <v>93</v>
      </c>
      <c r="X97" s="70" t="e">
        <f>IF(AND(Q99-Q98=Q98-Q97,NOT(AND(Q97=0,Q98=0)),NOT(AND(Q98=0,Q99=0))),WLS*(Q99-Q98),"#NA")</f>
        <v>#VALUE!</v>
      </c>
      <c r="AD97" s="93"/>
      <c r="AH97" s="6" t="s">
        <v>93</v>
      </c>
      <c r="AI97" s="70" t="e">
        <f>WLS*(AD99-AD98)</f>
        <v>#VALUE!</v>
      </c>
      <c r="AU97" s="81"/>
    </row>
    <row r="98" spans="1:47" x14ac:dyDescent="0.25">
      <c r="A98" s="84">
        <f>A97+1</f>
        <v>13</v>
      </c>
      <c r="B98" s="84" t="str">
        <f t="shared" si="27"/>
        <v xml:space="preserve">  </v>
      </c>
      <c r="C98" s="80" t="e">
        <f t="shared" ref="C98" si="42">IF(OR(B100-B99=B99-B98,B100-B99=B99-B97,B100-B99=B99-B96),B99,IF(OR(B100-B98=B98-B97,B100-B98=B98-B96),B98,IF(B100-B97=B97-B96,B97,"#NA")))</f>
        <v>#VALUE!</v>
      </c>
      <c r="D98" s="76" t="e">
        <f>VLOOKUP(C98,STN_TABLE,2,FALSE)</f>
        <v>#VALUE!</v>
      </c>
      <c r="E98" s="81">
        <v>4</v>
      </c>
      <c r="F98" s="76" t="e">
        <f>D98*E98</f>
        <v>#VALUE!</v>
      </c>
      <c r="G98" s="77" t="e">
        <f>C98</f>
        <v>#VALUE!</v>
      </c>
      <c r="H98" s="77" t="e">
        <f>F98*G98</f>
        <v>#VALUE!</v>
      </c>
      <c r="I98" s="495" t="s">
        <v>97</v>
      </c>
      <c r="J98" s="496"/>
      <c r="K98" s="78" t="s">
        <v>98</v>
      </c>
      <c r="L98" s="78"/>
      <c r="M98" s="7" t="s">
        <v>99</v>
      </c>
      <c r="N98" s="7"/>
      <c r="O98" s="99">
        <f>O97+1</f>
        <v>15</v>
      </c>
      <c r="P98" s="99" t="str">
        <f t="shared" si="23"/>
        <v xml:space="preserve">  </v>
      </c>
      <c r="Q98" s="76" t="str">
        <f>P98</f>
        <v xml:space="preserve">  </v>
      </c>
      <c r="R98" s="77" t="str">
        <f>VLOOKUP(Q98,STN_TABLE,2,FALSE)</f>
        <v xml:space="preserve">  </v>
      </c>
      <c r="S98" s="77">
        <v>8</v>
      </c>
      <c r="T98" s="76" t="e">
        <f>R98*S98</f>
        <v>#VALUE!</v>
      </c>
      <c r="U98" s="80">
        <v>10</v>
      </c>
      <c r="V98" s="76" t="e">
        <f>R98*U98</f>
        <v>#VALUE!</v>
      </c>
      <c r="W98" s="496" t="s">
        <v>97</v>
      </c>
      <c r="X98" s="496"/>
      <c r="Y98" s="496" t="s">
        <v>98</v>
      </c>
      <c r="Z98" s="496"/>
      <c r="AA98" s="494" t="s">
        <v>99</v>
      </c>
      <c r="AB98" s="494"/>
      <c r="AC98" s="99">
        <f>AC93+1</f>
        <v>14</v>
      </c>
      <c r="AD98" s="95" t="str">
        <f>VLOOKUP(AC98,STN_TABLE_2,2,FALSE)</f>
        <v xml:space="preserve">  </v>
      </c>
      <c r="AE98" s="68" t="str">
        <f>VLOOKUP(AD98,STN_TABLE,2,FALSE)</f>
        <v xml:space="preserve">  </v>
      </c>
      <c r="AF98" s="68">
        <v>1</v>
      </c>
      <c r="AG98" s="69" t="e">
        <f>AE98*AF98</f>
        <v>#VALUE!</v>
      </c>
      <c r="AH98" s="496" t="s">
        <v>97</v>
      </c>
      <c r="AI98" s="496"/>
      <c r="AJ98" s="496" t="s">
        <v>98</v>
      </c>
      <c r="AK98" s="496"/>
      <c r="AL98" s="494" t="s">
        <v>99</v>
      </c>
      <c r="AM98" s="494"/>
      <c r="AP98" s="86" t="s">
        <v>112</v>
      </c>
      <c r="AQ98" s="89" t="s">
        <v>113</v>
      </c>
      <c r="AR98" s="89" t="s">
        <v>114</v>
      </c>
      <c r="AS98" s="89" t="s">
        <v>115</v>
      </c>
      <c r="AU98" s="81"/>
    </row>
    <row r="99" spans="1:47" x14ac:dyDescent="0.25">
      <c r="A99" s="84">
        <f>A98+1</f>
        <v>14</v>
      </c>
      <c r="B99" s="84" t="str">
        <f t="shared" si="27"/>
        <v xml:space="preserve">  </v>
      </c>
      <c r="C99" s="88" t="str">
        <f t="shared" ref="C99" si="43">B100</f>
        <v xml:space="preserve">  </v>
      </c>
      <c r="D99" s="82" t="str">
        <f>VLOOKUP(C99,STN_TABLE,2,FALSE)</f>
        <v xml:space="preserve">  </v>
      </c>
      <c r="E99" s="92">
        <v>1</v>
      </c>
      <c r="F99" s="82" t="e">
        <f>D99*E99</f>
        <v>#VALUE!</v>
      </c>
      <c r="G99" s="83" t="str">
        <f>C99</f>
        <v xml:space="preserve">  </v>
      </c>
      <c r="H99" s="83" t="e">
        <f>F99*G99</f>
        <v>#VALUE!</v>
      </c>
      <c r="I99" s="84" t="str">
        <f>CONCATENATE("a'(",C99,")=")</f>
        <v>a'(  )=</v>
      </c>
      <c r="J99" s="84" t="e">
        <f>2*J97/3*F100</f>
        <v>#VALUE!</v>
      </c>
      <c r="K99" s="84" t="e">
        <f>CONCATENATE("A(",C97,")=")</f>
        <v>#VALUE!</v>
      </c>
      <c r="L99" s="84" t="e">
        <f>VLOOKUP(C97,STN_TABLE,3,FALSE)</f>
        <v>#VALUE!</v>
      </c>
      <c r="M99" t="str">
        <f>CONCATENATE("A(",C99,")=")</f>
        <v>A(  )=</v>
      </c>
      <c r="N99" t="e">
        <f>J99+L99</f>
        <v>#VALUE!</v>
      </c>
      <c r="O99" s="99">
        <f>O98+1</f>
        <v>16</v>
      </c>
      <c r="P99" s="99" t="str">
        <f t="shared" si="23"/>
        <v xml:space="preserve">  </v>
      </c>
      <c r="Q99" s="82" t="e">
        <f>IF(P99-P98=P98-P97,P99,IF(P100-P98=P98-P97,P100,IF(P99-P98=P98-P96,P99,IF(P100-P98=P98-P96,P100,"-"))))</f>
        <v>#VALUE!</v>
      </c>
      <c r="R99" s="83" t="e">
        <f>VLOOKUP(Q99,STN_TABLE,2,FALSE)</f>
        <v>#VALUE!</v>
      </c>
      <c r="S99" s="83">
        <v>-1</v>
      </c>
      <c r="T99" s="82" t="e">
        <f>R99*S99</f>
        <v>#VALUE!</v>
      </c>
      <c r="U99" s="88">
        <v>-1</v>
      </c>
      <c r="V99" s="82" t="e">
        <f>R99*U99</f>
        <v>#VALUE!</v>
      </c>
      <c r="W99" s="84" t="str">
        <f>CONCATENATE("a'(",Q98,")=")</f>
        <v>a'(  )=</v>
      </c>
      <c r="X99" s="84" t="e">
        <f>2*X97/12*T100</f>
        <v>#VALUE!</v>
      </c>
      <c r="Y99" s="84" t="e">
        <f>CONCATENATE("A(",Q97,")=")</f>
        <v>#VALUE!</v>
      </c>
      <c r="Z99" s="84" t="e">
        <f>VLOOKUP(Q97,STN_TABLE,3,FALSE)</f>
        <v>#VALUE!</v>
      </c>
      <c r="AA99" t="str">
        <f>CONCATENATE("A(",Q98,")=")</f>
        <v>A(  )=</v>
      </c>
      <c r="AB99" t="e">
        <f>X99+Z99</f>
        <v>#VALUE!</v>
      </c>
      <c r="AC99" s="99">
        <f>AC98+1</f>
        <v>15</v>
      </c>
      <c r="AD99" s="100" t="str">
        <f>VLOOKUP(AC99,STN_TABLE_2,2,FALSE)</f>
        <v xml:space="preserve">  </v>
      </c>
      <c r="AE99" s="82" t="str">
        <f>VLOOKUP(AD99,STN_TABLE,2,FALSE)</f>
        <v xml:space="preserve">  </v>
      </c>
      <c r="AF99" s="82">
        <v>2</v>
      </c>
      <c r="AG99" s="83" t="e">
        <f>AE99*AF99</f>
        <v>#VALUE!</v>
      </c>
      <c r="AH99" s="84" t="str">
        <f>CONCATENATE("a'(",AD99,")=")</f>
        <v>a'(  )=</v>
      </c>
      <c r="AI99" s="84" t="e">
        <f>2*AI97/2*AE100</f>
        <v>#VALUE!</v>
      </c>
      <c r="AJ99" s="84" t="str">
        <f>CONCATENATE("A(",AD98,")=")</f>
        <v>A(  )=</v>
      </c>
      <c r="AK99" s="84" t="str">
        <f>VLOOKUP(AD98,STN_TABLE,3,FALSE)</f>
        <v xml:space="preserve"> </v>
      </c>
      <c r="AL99" t="str">
        <f>CONCATENATE("A(",AD99,")=")</f>
        <v>A(  )=</v>
      </c>
      <c r="AM99" t="e">
        <f>AI99+AK99</f>
        <v>#VALUE!</v>
      </c>
      <c r="AO99" s="68" t="str">
        <f>AA99</f>
        <v>A(  )=</v>
      </c>
      <c r="AP99" s="68" t="e">
        <f>VLOOKUP(AO99,Rise_Results,2,FALSE)</f>
        <v>#N/A</v>
      </c>
      <c r="AQ99" s="76" t="e">
        <f>N99</f>
        <v>#VALUE!</v>
      </c>
      <c r="AR99" s="76" t="e">
        <f>IF(OR(AB99&lt;=0,AB100&lt;=0),1/0,AB99)</f>
        <v>#VALUE!</v>
      </c>
      <c r="AS99" s="76" t="e">
        <f>AM99</f>
        <v>#VALUE!</v>
      </c>
      <c r="AT99" t="e">
        <f>IFERROR(AP99,IFERROR(AQ99,IFERROR(AR99,AS99)))</f>
        <v>#VALUE!</v>
      </c>
      <c r="AU99" s="81"/>
    </row>
    <row r="100" spans="1:47" x14ac:dyDescent="0.25">
      <c r="A100" s="84">
        <f>A99+1</f>
        <v>15</v>
      </c>
      <c r="B100" s="84" t="str">
        <f t="shared" si="27"/>
        <v xml:space="preserve">  </v>
      </c>
      <c r="F100" s="82" t="e">
        <f>SUM(F97:F99)</f>
        <v>#VALUE!</v>
      </c>
      <c r="H100" s="82" t="e">
        <f>SUM(H97:H99)</f>
        <v>#VALUE!</v>
      </c>
      <c r="I100" s="84" t="str">
        <f>CONCATENATE("m'(",C99,")=")</f>
        <v>m'(  )=</v>
      </c>
      <c r="J100" s="84" t="e">
        <f>2*(J97*(WLS))/3*H100</f>
        <v>#VALUE!</v>
      </c>
      <c r="K100" s="84" t="e">
        <f>CONCATENATE("M(",C97,")=")</f>
        <v>#VALUE!</v>
      </c>
      <c r="L100" s="84" t="e">
        <f>VLOOKUP(C97,STN_TABLE,4,FALSE)</f>
        <v>#VALUE!</v>
      </c>
      <c r="M100" t="str">
        <f>CONCATENATE("M(",C99,")=")</f>
        <v>M(  )=</v>
      </c>
      <c r="N100" t="e">
        <f>J100+L100</f>
        <v>#VALUE!</v>
      </c>
      <c r="O100" s="99">
        <f>O99+1</f>
        <v>17</v>
      </c>
      <c r="P100" s="99" t="str">
        <f t="shared" ref="P100:P131" si="44">VLOOKUP(O100,STN_TABLE_2,2,FALSE)</f>
        <v xml:space="preserve">  </v>
      </c>
      <c r="T100" s="89" t="e">
        <f>SUM(T97:T99)</f>
        <v>#VALUE!</v>
      </c>
      <c r="V100" s="82" t="e">
        <f>SUM(V97:V99)</f>
        <v>#VALUE!</v>
      </c>
      <c r="W100" s="84" t="str">
        <f>CONCATENATE("m'(",Q98,")=")</f>
        <v>m'(  )=</v>
      </c>
      <c r="X100" s="84" t="e">
        <f>(2*(X97^2)/24*V100)+(X99*Q97*WLS)</f>
        <v>#VALUE!</v>
      </c>
      <c r="Y100" s="84" t="e">
        <f>CONCATENATE("M(",Q97,")=")</f>
        <v>#VALUE!</v>
      </c>
      <c r="Z100" s="84" t="e">
        <f>VLOOKUP(Q97,STN_TABLE,4,FALSE)</f>
        <v>#VALUE!</v>
      </c>
      <c r="AA100" t="str">
        <f>CONCATENATE("M(",Q98,")=")</f>
        <v>M(  )=</v>
      </c>
      <c r="AB100" t="e">
        <f>X100+Z100</f>
        <v>#VALUE!</v>
      </c>
      <c r="AE100" s="89">
        <f>SUM(AE98:AE99)</f>
        <v>0</v>
      </c>
      <c r="AG100" s="89" t="e">
        <f>SUM(AG98:AG99)</f>
        <v>#VALUE!</v>
      </c>
      <c r="AH100" s="84" t="str">
        <f>CONCATENATE("m'(",AD99,")=")</f>
        <v>m'(  )=</v>
      </c>
      <c r="AI100" s="84" t="e">
        <f>(2*(AI97^2)/6*AG100)+(AI99*AD98*WLS)</f>
        <v>#VALUE!</v>
      </c>
      <c r="AJ100" s="84" t="str">
        <f>CONCATENATE("M(",AD98,")=")</f>
        <v>M(  )=</v>
      </c>
      <c r="AK100" s="84" t="str">
        <f>VLOOKUP(AD98,STN_TABLE,4,FALSE)</f>
        <v xml:space="preserve"> </v>
      </c>
      <c r="AL100" t="str">
        <f>CONCATENATE("M(",AD99,")=")</f>
        <v>M(  )=</v>
      </c>
      <c r="AM100" t="e">
        <f>AI100+AK100</f>
        <v>#VALUE!</v>
      </c>
      <c r="AO100" s="82" t="str">
        <f>AA100</f>
        <v>M(  )=</v>
      </c>
      <c r="AP100" s="82" t="e">
        <f>VLOOKUP(AO100,Rise_Results,2,FALSE)</f>
        <v>#N/A</v>
      </c>
      <c r="AQ100" s="82" t="e">
        <f>N100</f>
        <v>#VALUE!</v>
      </c>
      <c r="AR100" s="82" t="e">
        <f>IF(OR(AB99&lt;=0,AB100&lt;=0),1/0,AB100)</f>
        <v>#VALUE!</v>
      </c>
      <c r="AS100" s="82" t="e">
        <f>AM100</f>
        <v>#VALUE!</v>
      </c>
      <c r="AT100" t="e">
        <f>IFERROR(AP100,IFERROR(AQ100,IFERROR(AR100,AS100)))</f>
        <v>#VALUE!</v>
      </c>
      <c r="AU100" s="81"/>
    </row>
    <row r="101" spans="1:47" x14ac:dyDescent="0.25">
      <c r="A101" s="101">
        <f>A96+1</f>
        <v>12</v>
      </c>
      <c r="B101" s="101">
        <f t="shared" si="27"/>
        <v>6.5</v>
      </c>
      <c r="O101" s="101">
        <f>O96+1</f>
        <v>14</v>
      </c>
      <c r="P101" s="101" t="str">
        <f t="shared" si="44"/>
        <v xml:space="preserve">  </v>
      </c>
      <c r="AU101" s="81"/>
    </row>
    <row r="102" spans="1:47" x14ac:dyDescent="0.25">
      <c r="A102" s="84">
        <f>A101+1</f>
        <v>13</v>
      </c>
      <c r="B102" s="84" t="str">
        <f t="shared" si="27"/>
        <v xml:space="preserve">  </v>
      </c>
      <c r="C102" s="79" t="e">
        <f t="shared" ref="C102" si="45">IF(C103=B104,IF(C104-C103=C103-B103,B103,IF(C104-C103=C103-B102,B102,"#NA")),IF(C103=B103,IF(C104-C103=C103-B102,B102,IF(C104-C103=C103-B101,B101,"#NA")),"#NA"))</f>
        <v>#VALUE!</v>
      </c>
      <c r="D102" s="68" t="e">
        <f>VLOOKUP(C102,STN_TABLE,2,FALSE)</f>
        <v>#VALUE!</v>
      </c>
      <c r="E102" s="102">
        <v>1</v>
      </c>
      <c r="F102" s="68" t="e">
        <f>D102*E102</f>
        <v>#VALUE!</v>
      </c>
      <c r="G102" s="69" t="e">
        <f>C102</f>
        <v>#VALUE!</v>
      </c>
      <c r="H102" s="69" t="e">
        <f>F102*G102</f>
        <v>#VALUE!</v>
      </c>
      <c r="I102" s="6" t="s">
        <v>93</v>
      </c>
      <c r="J102" s="70" t="e">
        <f>IF(OR(D102=0,D103=0,D104=0),"#NA",IF(AND(C104-C103=C103-C102,C103&lt;&gt;C104,C102&lt;&gt;C103,C102&lt;&gt;C104,D104&lt;&gt;0,OR(D102&lt;&gt;0,D103&lt;&gt;0)),WLS*(C104-C103),"#NA"))</f>
        <v>#VALUE!</v>
      </c>
      <c r="O102" s="99">
        <f>O101+1</f>
        <v>15</v>
      </c>
      <c r="P102" s="99" t="str">
        <f t="shared" si="44"/>
        <v xml:space="preserve">  </v>
      </c>
      <c r="Q102" s="68" t="e">
        <f>IF(OR(P104-P103=P103-P102,P105-P103=P103-P102),P102,IF(OR(P104-P103=P103-P101,P105-P103=P103-P101),P101,"-"))</f>
        <v>#VALUE!</v>
      </c>
      <c r="R102" s="69" t="e">
        <f>VLOOKUP(Q102,STN_TABLE,2,FALSE)</f>
        <v>#VALUE!</v>
      </c>
      <c r="S102" s="69">
        <v>5</v>
      </c>
      <c r="T102" s="68" t="e">
        <f>R102*S102</f>
        <v>#VALUE!</v>
      </c>
      <c r="U102" s="79">
        <v>3</v>
      </c>
      <c r="V102" s="68" t="e">
        <f>R102*U102</f>
        <v>#VALUE!</v>
      </c>
      <c r="W102" s="6" t="s">
        <v>93</v>
      </c>
      <c r="X102" s="70" t="e">
        <f>IF(AND(Q104-Q103=Q103-Q102,NOT(AND(Q102=0,Q103=0)),NOT(AND(Q103=0,Q104=0))),WLS*(Q104-Q103),"#NA")</f>
        <v>#VALUE!</v>
      </c>
      <c r="AD102" s="93"/>
      <c r="AH102" s="6" t="s">
        <v>93</v>
      </c>
      <c r="AI102" s="70" t="e">
        <f>WLS*(AD104-AD103)</f>
        <v>#VALUE!</v>
      </c>
      <c r="AU102" s="81"/>
    </row>
    <row r="103" spans="1:47" x14ac:dyDescent="0.25">
      <c r="A103" s="84">
        <f>A102+1</f>
        <v>14</v>
      </c>
      <c r="B103" s="84" t="str">
        <f t="shared" si="27"/>
        <v xml:space="preserve">  </v>
      </c>
      <c r="C103" s="80" t="e">
        <f t="shared" ref="C103" si="46">IF(OR(B105-B104=B104-B103,B105-B104=B104-B102,B105-B104=B104-B101),B104,IF(OR(B105-B103=B103-B102,B105-B103=B103-B101),B103,IF(B105-B102=B102-B101,B102,"#NA")))</f>
        <v>#VALUE!</v>
      </c>
      <c r="D103" s="76" t="e">
        <f>VLOOKUP(C103,STN_TABLE,2,FALSE)</f>
        <v>#VALUE!</v>
      </c>
      <c r="E103" s="81">
        <v>4</v>
      </c>
      <c r="F103" s="76" t="e">
        <f>D103*E103</f>
        <v>#VALUE!</v>
      </c>
      <c r="G103" s="77" t="e">
        <f>C103</f>
        <v>#VALUE!</v>
      </c>
      <c r="H103" s="77" t="e">
        <f>F103*G103</f>
        <v>#VALUE!</v>
      </c>
      <c r="I103" s="495" t="s">
        <v>97</v>
      </c>
      <c r="J103" s="496"/>
      <c r="K103" s="78" t="s">
        <v>98</v>
      </c>
      <c r="L103" s="78"/>
      <c r="M103" s="7" t="s">
        <v>99</v>
      </c>
      <c r="N103" s="7"/>
      <c r="O103" s="99">
        <f>O102+1</f>
        <v>16</v>
      </c>
      <c r="P103" s="99" t="str">
        <f t="shared" si="44"/>
        <v xml:space="preserve">  </v>
      </c>
      <c r="Q103" s="76" t="str">
        <f>P103</f>
        <v xml:space="preserve">  </v>
      </c>
      <c r="R103" s="77" t="str">
        <f>VLOOKUP(Q103,STN_TABLE,2,FALSE)</f>
        <v xml:space="preserve">  </v>
      </c>
      <c r="S103" s="77">
        <v>8</v>
      </c>
      <c r="T103" s="76" t="e">
        <f>R103*S103</f>
        <v>#VALUE!</v>
      </c>
      <c r="U103" s="80">
        <v>10</v>
      </c>
      <c r="V103" s="76" t="e">
        <f>R103*U103</f>
        <v>#VALUE!</v>
      </c>
      <c r="W103" s="496" t="s">
        <v>97</v>
      </c>
      <c r="X103" s="496"/>
      <c r="Y103" s="496" t="s">
        <v>98</v>
      </c>
      <c r="Z103" s="496"/>
      <c r="AA103" s="494" t="s">
        <v>99</v>
      </c>
      <c r="AB103" s="494"/>
      <c r="AC103" s="99">
        <f>AC98+1</f>
        <v>15</v>
      </c>
      <c r="AD103" s="95" t="str">
        <f>VLOOKUP(AC103,STN_TABLE_2,2,FALSE)</f>
        <v xml:space="preserve">  </v>
      </c>
      <c r="AE103" s="68" t="str">
        <f>VLOOKUP(AD103,STN_TABLE,2,FALSE)</f>
        <v xml:space="preserve">  </v>
      </c>
      <c r="AF103" s="68">
        <v>1</v>
      </c>
      <c r="AG103" s="69" t="e">
        <f>AE103*AF103</f>
        <v>#VALUE!</v>
      </c>
      <c r="AH103" s="496" t="s">
        <v>97</v>
      </c>
      <c r="AI103" s="496"/>
      <c r="AJ103" s="496" t="s">
        <v>98</v>
      </c>
      <c r="AK103" s="496"/>
      <c r="AL103" s="494" t="s">
        <v>99</v>
      </c>
      <c r="AM103" s="494"/>
      <c r="AP103" s="86" t="s">
        <v>112</v>
      </c>
      <c r="AQ103" s="89" t="s">
        <v>113</v>
      </c>
      <c r="AR103" s="89" t="s">
        <v>114</v>
      </c>
      <c r="AS103" s="89" t="s">
        <v>115</v>
      </c>
      <c r="AU103" s="81"/>
    </row>
    <row r="104" spans="1:47" x14ac:dyDescent="0.25">
      <c r="A104" s="84">
        <f>A103+1</f>
        <v>15</v>
      </c>
      <c r="B104" s="84" t="str">
        <f t="shared" si="27"/>
        <v xml:space="preserve">  </v>
      </c>
      <c r="C104" s="88" t="str">
        <f t="shared" ref="C104" si="47">B105</f>
        <v xml:space="preserve">  </v>
      </c>
      <c r="D104" s="82" t="str">
        <f>VLOOKUP(C104,STN_TABLE,2,FALSE)</f>
        <v xml:space="preserve">  </v>
      </c>
      <c r="E104" s="92">
        <v>1</v>
      </c>
      <c r="F104" s="82" t="e">
        <f>D104*E104</f>
        <v>#VALUE!</v>
      </c>
      <c r="G104" s="83" t="str">
        <f>C104</f>
        <v xml:space="preserve">  </v>
      </c>
      <c r="H104" s="83" t="e">
        <f>F104*G104</f>
        <v>#VALUE!</v>
      </c>
      <c r="I104" s="84" t="str">
        <f>CONCATENATE("a'(",C104,")=")</f>
        <v>a'(  )=</v>
      </c>
      <c r="J104" s="84" t="e">
        <f>2*J102/3*F105</f>
        <v>#VALUE!</v>
      </c>
      <c r="K104" s="84" t="e">
        <f>CONCATENATE("A(",C102,")=")</f>
        <v>#VALUE!</v>
      </c>
      <c r="L104" s="84" t="e">
        <f>VLOOKUP(C102,STN_TABLE,3,FALSE)</f>
        <v>#VALUE!</v>
      </c>
      <c r="M104" t="str">
        <f>CONCATENATE("A(",C104,")=")</f>
        <v>A(  )=</v>
      </c>
      <c r="N104" t="e">
        <f>J104+L104</f>
        <v>#VALUE!</v>
      </c>
      <c r="O104" s="99">
        <f>O103+1</f>
        <v>17</v>
      </c>
      <c r="P104" s="99" t="str">
        <f t="shared" si="44"/>
        <v xml:space="preserve">  </v>
      </c>
      <c r="Q104" s="82" t="e">
        <f>IF(P104-P103=P103-P102,P104,IF(P105-P103=P103-P102,P105,IF(P104-P103=P103-P101,P104,IF(P105-P103=P103-P101,P105,"-"))))</f>
        <v>#VALUE!</v>
      </c>
      <c r="R104" s="83" t="e">
        <f>VLOOKUP(Q104,STN_TABLE,2,FALSE)</f>
        <v>#VALUE!</v>
      </c>
      <c r="S104" s="83">
        <v>-1</v>
      </c>
      <c r="T104" s="82" t="e">
        <f>R104*S104</f>
        <v>#VALUE!</v>
      </c>
      <c r="U104" s="88">
        <v>-1</v>
      </c>
      <c r="V104" s="82" t="e">
        <f>R104*U104</f>
        <v>#VALUE!</v>
      </c>
      <c r="W104" s="84" t="str">
        <f>CONCATENATE("a'(",Q103,")=")</f>
        <v>a'(  )=</v>
      </c>
      <c r="X104" s="84" t="e">
        <f>2*X102/12*T105</f>
        <v>#VALUE!</v>
      </c>
      <c r="Y104" s="84" t="e">
        <f>CONCATENATE("A(",Q102,")=")</f>
        <v>#VALUE!</v>
      </c>
      <c r="Z104" s="84" t="e">
        <f>VLOOKUP(Q102,STN_TABLE,3,FALSE)</f>
        <v>#VALUE!</v>
      </c>
      <c r="AA104" t="str">
        <f>CONCATENATE("A(",Q103,")=")</f>
        <v>A(  )=</v>
      </c>
      <c r="AB104" t="e">
        <f>X104+Z104</f>
        <v>#VALUE!</v>
      </c>
      <c r="AC104" s="99">
        <f>AC103+1</f>
        <v>16</v>
      </c>
      <c r="AD104" s="100" t="str">
        <f>VLOOKUP(AC104,STN_TABLE_2,2,FALSE)</f>
        <v xml:space="preserve">  </v>
      </c>
      <c r="AE104" s="82" t="str">
        <f>VLOOKUP(AD104,STN_TABLE,2,FALSE)</f>
        <v xml:space="preserve">  </v>
      </c>
      <c r="AF104" s="82">
        <v>2</v>
      </c>
      <c r="AG104" s="83" t="e">
        <f>AE104*AF104</f>
        <v>#VALUE!</v>
      </c>
      <c r="AH104" s="84" t="str">
        <f>CONCATENATE("a'(",AD104,")=")</f>
        <v>a'(  )=</v>
      </c>
      <c r="AI104" s="84" t="e">
        <f>2*AI102/2*AE105</f>
        <v>#VALUE!</v>
      </c>
      <c r="AJ104" s="84" t="str">
        <f>CONCATENATE("A(",AD103,")=")</f>
        <v>A(  )=</v>
      </c>
      <c r="AK104" s="84" t="str">
        <f>VLOOKUP(AD103,STN_TABLE,3,FALSE)</f>
        <v xml:space="preserve"> </v>
      </c>
      <c r="AL104" t="str">
        <f>CONCATENATE("A(",AD104,")=")</f>
        <v>A(  )=</v>
      </c>
      <c r="AM104" t="e">
        <f>AI104+AK104</f>
        <v>#VALUE!</v>
      </c>
      <c r="AO104" s="68" t="str">
        <f>AA104</f>
        <v>A(  )=</v>
      </c>
      <c r="AP104" s="68" t="e">
        <f>VLOOKUP(AO104,Rise_Results,2,FALSE)</f>
        <v>#N/A</v>
      </c>
      <c r="AQ104" s="76" t="e">
        <f>N104</f>
        <v>#VALUE!</v>
      </c>
      <c r="AR104" s="76" t="e">
        <f>IF(OR(AB104&lt;=0,AB105&lt;=0),1/0,AB104)</f>
        <v>#VALUE!</v>
      </c>
      <c r="AS104" s="76" t="e">
        <f>AM104</f>
        <v>#VALUE!</v>
      </c>
      <c r="AT104" t="e">
        <f>IFERROR(AP104,IFERROR(AQ104,IFERROR(AR104,AS104)))</f>
        <v>#VALUE!</v>
      </c>
      <c r="AU104" s="81"/>
    </row>
    <row r="105" spans="1:47" x14ac:dyDescent="0.25">
      <c r="A105" s="84">
        <f>A104+1</f>
        <v>16</v>
      </c>
      <c r="B105" s="84" t="str">
        <f t="shared" si="27"/>
        <v xml:space="preserve">  </v>
      </c>
      <c r="F105" s="82" t="e">
        <f>SUM(F102:F104)</f>
        <v>#VALUE!</v>
      </c>
      <c r="H105" s="82" t="e">
        <f>SUM(H102:H104)</f>
        <v>#VALUE!</v>
      </c>
      <c r="I105" s="84" t="str">
        <f>CONCATENATE("m'(",C104,")=")</f>
        <v>m'(  )=</v>
      </c>
      <c r="J105" s="84" t="e">
        <f>2*(J102*(WLS))/3*H105</f>
        <v>#VALUE!</v>
      </c>
      <c r="K105" s="84" t="e">
        <f>CONCATENATE("M(",C102,")=")</f>
        <v>#VALUE!</v>
      </c>
      <c r="L105" s="84" t="e">
        <f>VLOOKUP(C102,STN_TABLE,4,FALSE)</f>
        <v>#VALUE!</v>
      </c>
      <c r="M105" t="str">
        <f>CONCATENATE("M(",C104,")=")</f>
        <v>M(  )=</v>
      </c>
      <c r="N105" t="e">
        <f>J105+L105</f>
        <v>#VALUE!</v>
      </c>
      <c r="O105" s="99">
        <f>O104+1</f>
        <v>18</v>
      </c>
      <c r="P105" s="99" t="str">
        <f t="shared" si="44"/>
        <v xml:space="preserve">  </v>
      </c>
      <c r="T105" s="89" t="e">
        <f>SUM(T102:T104)</f>
        <v>#VALUE!</v>
      </c>
      <c r="V105" s="82" t="e">
        <f>SUM(V102:V104)</f>
        <v>#VALUE!</v>
      </c>
      <c r="W105" s="84" t="str">
        <f>CONCATENATE("m'(",Q103,")=")</f>
        <v>m'(  )=</v>
      </c>
      <c r="X105" s="84" t="e">
        <f>(2*(X102^2)/24*V105)+(X104*Q102*WLS)</f>
        <v>#VALUE!</v>
      </c>
      <c r="Y105" s="84" t="e">
        <f>CONCATENATE("M(",Q102,")=")</f>
        <v>#VALUE!</v>
      </c>
      <c r="Z105" s="84" t="e">
        <f>VLOOKUP(Q102,STN_TABLE,4,FALSE)</f>
        <v>#VALUE!</v>
      </c>
      <c r="AA105" t="str">
        <f>CONCATENATE("M(",Q103,")=")</f>
        <v>M(  )=</v>
      </c>
      <c r="AB105" t="e">
        <f>X105+Z105</f>
        <v>#VALUE!</v>
      </c>
      <c r="AE105" s="89">
        <f>SUM(AE103:AE104)</f>
        <v>0</v>
      </c>
      <c r="AG105" s="89" t="e">
        <f>SUM(AG103:AG104)</f>
        <v>#VALUE!</v>
      </c>
      <c r="AH105" s="84" t="str">
        <f>CONCATENATE("m'(",AD104,")=")</f>
        <v>m'(  )=</v>
      </c>
      <c r="AI105" s="84" t="e">
        <f>(2*(AI102^2)/6*AG105)+(AI104*AD103*WLS)</f>
        <v>#VALUE!</v>
      </c>
      <c r="AJ105" s="84" t="str">
        <f>CONCATENATE("M(",AD103,")=")</f>
        <v>M(  )=</v>
      </c>
      <c r="AK105" s="84" t="str">
        <f>VLOOKUP(AD103,STN_TABLE,4,FALSE)</f>
        <v xml:space="preserve"> </v>
      </c>
      <c r="AL105" t="str">
        <f>CONCATENATE("M(",AD104,")=")</f>
        <v>M(  )=</v>
      </c>
      <c r="AM105" t="e">
        <f>AI105+AK105</f>
        <v>#VALUE!</v>
      </c>
      <c r="AO105" s="82" t="str">
        <f>AA105</f>
        <v>M(  )=</v>
      </c>
      <c r="AP105" s="82" t="e">
        <f>VLOOKUP(AO105,Rise_Results,2,FALSE)</f>
        <v>#N/A</v>
      </c>
      <c r="AQ105" s="82" t="e">
        <f>N105</f>
        <v>#VALUE!</v>
      </c>
      <c r="AR105" s="82" t="e">
        <f>IF(OR(AB104&lt;=0,AB105&lt;=0),1/0,AB105)</f>
        <v>#VALUE!</v>
      </c>
      <c r="AS105" s="82" t="e">
        <f>AM105</f>
        <v>#VALUE!</v>
      </c>
      <c r="AT105" t="e">
        <f>IFERROR(AP105,IFERROR(AQ105,IFERROR(AR105,AS105)))</f>
        <v>#VALUE!</v>
      </c>
      <c r="AU105" s="81"/>
    </row>
    <row r="106" spans="1:47" x14ac:dyDescent="0.25">
      <c r="A106" s="101">
        <f>A101+1</f>
        <v>13</v>
      </c>
      <c r="B106" s="101" t="str">
        <f t="shared" ref="B106:B137" si="48">VLOOKUP(A106,STN_TABLE_2,2,FALSE)</f>
        <v xml:space="preserve">  </v>
      </c>
      <c r="O106" s="101">
        <f>O101+1</f>
        <v>15</v>
      </c>
      <c r="P106" s="101" t="str">
        <f t="shared" si="44"/>
        <v xml:space="preserve">  </v>
      </c>
      <c r="AU106" s="81"/>
    </row>
    <row r="107" spans="1:47" x14ac:dyDescent="0.25">
      <c r="A107" s="84">
        <f>A106+1</f>
        <v>14</v>
      </c>
      <c r="B107" s="84" t="str">
        <f t="shared" si="48"/>
        <v xml:space="preserve">  </v>
      </c>
      <c r="C107" s="79" t="e">
        <f t="shared" ref="C107" si="49">IF(C108=B109,IF(C109-C108=C108-B108,B108,IF(C109-C108=C108-B107,B107,"#NA")),IF(C108=B108,IF(C109-C108=C108-B107,B107,IF(C109-C108=C108-B106,B106,"#NA")),"#NA"))</f>
        <v>#VALUE!</v>
      </c>
      <c r="D107" s="68" t="e">
        <f>VLOOKUP(C107,STN_TABLE,2,FALSE)</f>
        <v>#VALUE!</v>
      </c>
      <c r="E107" s="102">
        <v>1</v>
      </c>
      <c r="F107" s="68" t="e">
        <f>D107*E107</f>
        <v>#VALUE!</v>
      </c>
      <c r="G107" s="69" t="e">
        <f>C107</f>
        <v>#VALUE!</v>
      </c>
      <c r="H107" s="69" t="e">
        <f>F107*G107</f>
        <v>#VALUE!</v>
      </c>
      <c r="I107" s="6" t="s">
        <v>93</v>
      </c>
      <c r="J107" s="70" t="e">
        <f>IF(OR(D107=0,D108=0,D109=0),"#NA",IF(AND(C109-C108=C108-C107,C108&lt;&gt;C109,C107&lt;&gt;C108,C107&lt;&gt;C109,D109&lt;&gt;0,OR(D107&lt;&gt;0,D108&lt;&gt;0)),WLS*(C109-C108),"#NA"))</f>
        <v>#VALUE!</v>
      </c>
      <c r="O107" s="99">
        <f>O106+1</f>
        <v>16</v>
      </c>
      <c r="P107" s="99" t="str">
        <f t="shared" si="44"/>
        <v xml:space="preserve">  </v>
      </c>
      <c r="Q107" s="68" t="e">
        <f>IF(OR(P109-P108=P108-P107,P110-P108=P108-P107),P107,IF(OR(P109-P108=P108-P106,P110-P108=P108-P106),P106,"-"))</f>
        <v>#VALUE!</v>
      </c>
      <c r="R107" s="69" t="e">
        <f>VLOOKUP(Q107,STN_TABLE,2,FALSE)</f>
        <v>#VALUE!</v>
      </c>
      <c r="S107" s="69">
        <v>5</v>
      </c>
      <c r="T107" s="68" t="e">
        <f>R107*S107</f>
        <v>#VALUE!</v>
      </c>
      <c r="U107" s="79">
        <v>3</v>
      </c>
      <c r="V107" s="68" t="e">
        <f>R107*U107</f>
        <v>#VALUE!</v>
      </c>
      <c r="W107" s="6" t="s">
        <v>93</v>
      </c>
      <c r="X107" s="70" t="e">
        <f>IF(AND(Q109-Q108=Q108-Q107,NOT(AND(Q107=0,Q108=0)),NOT(AND(Q108=0,Q109=0))),WLS*(Q109-Q108),"#NA")</f>
        <v>#VALUE!</v>
      </c>
      <c r="AD107" s="93"/>
      <c r="AH107" s="6" t="s">
        <v>93</v>
      </c>
      <c r="AI107" s="70" t="e">
        <f>WLS*(AD109-AD108)</f>
        <v>#VALUE!</v>
      </c>
      <c r="AU107" s="81"/>
    </row>
    <row r="108" spans="1:47" x14ac:dyDescent="0.25">
      <c r="A108" s="84">
        <f>A107+1</f>
        <v>15</v>
      </c>
      <c r="B108" s="84" t="str">
        <f t="shared" si="48"/>
        <v xml:space="preserve">  </v>
      </c>
      <c r="C108" s="80" t="e">
        <f t="shared" ref="C108" si="50">IF(OR(B110-B109=B109-B108,B110-B109=B109-B107,B110-B109=B109-B106),B109,IF(OR(B110-B108=B108-B107,B110-B108=B108-B106),B108,IF(B110-B107=B107-B106,B107,"#NA")))</f>
        <v>#VALUE!</v>
      </c>
      <c r="D108" s="76" t="e">
        <f>VLOOKUP(C108,STN_TABLE,2,FALSE)</f>
        <v>#VALUE!</v>
      </c>
      <c r="E108" s="81">
        <v>4</v>
      </c>
      <c r="F108" s="76" t="e">
        <f>D108*E108</f>
        <v>#VALUE!</v>
      </c>
      <c r="G108" s="77" t="e">
        <f>C108</f>
        <v>#VALUE!</v>
      </c>
      <c r="H108" s="77" t="e">
        <f>F108*G108</f>
        <v>#VALUE!</v>
      </c>
      <c r="I108" s="495" t="s">
        <v>97</v>
      </c>
      <c r="J108" s="496"/>
      <c r="K108" s="78" t="s">
        <v>98</v>
      </c>
      <c r="L108" s="78"/>
      <c r="M108" s="7" t="s">
        <v>99</v>
      </c>
      <c r="N108" s="7"/>
      <c r="O108" s="99">
        <f>O107+1</f>
        <v>17</v>
      </c>
      <c r="P108" s="99" t="str">
        <f t="shared" si="44"/>
        <v xml:space="preserve">  </v>
      </c>
      <c r="Q108" s="76" t="str">
        <f>P108</f>
        <v xml:space="preserve">  </v>
      </c>
      <c r="R108" s="77" t="str">
        <f>VLOOKUP(Q108,STN_TABLE,2,FALSE)</f>
        <v xml:space="preserve">  </v>
      </c>
      <c r="S108" s="77">
        <v>8</v>
      </c>
      <c r="T108" s="76" t="e">
        <f>R108*S108</f>
        <v>#VALUE!</v>
      </c>
      <c r="U108" s="80">
        <v>10</v>
      </c>
      <c r="V108" s="76" t="e">
        <f>R108*U108</f>
        <v>#VALUE!</v>
      </c>
      <c r="W108" s="496" t="s">
        <v>97</v>
      </c>
      <c r="X108" s="496"/>
      <c r="Y108" s="496" t="s">
        <v>98</v>
      </c>
      <c r="Z108" s="496"/>
      <c r="AA108" s="494" t="s">
        <v>99</v>
      </c>
      <c r="AB108" s="494"/>
      <c r="AC108" s="99">
        <f>AC103+1</f>
        <v>16</v>
      </c>
      <c r="AD108" s="95" t="str">
        <f>VLOOKUP(AC108,STN_TABLE_2,2,FALSE)</f>
        <v xml:space="preserve">  </v>
      </c>
      <c r="AE108" s="68" t="str">
        <f>VLOOKUP(AD108,STN_TABLE,2,FALSE)</f>
        <v xml:space="preserve">  </v>
      </c>
      <c r="AF108" s="68">
        <v>1</v>
      </c>
      <c r="AG108" s="69" t="e">
        <f>AE108*AF108</f>
        <v>#VALUE!</v>
      </c>
      <c r="AH108" s="496" t="s">
        <v>97</v>
      </c>
      <c r="AI108" s="496"/>
      <c r="AJ108" s="496" t="s">
        <v>98</v>
      </c>
      <c r="AK108" s="496"/>
      <c r="AL108" s="494" t="s">
        <v>99</v>
      </c>
      <c r="AM108" s="494"/>
      <c r="AP108" s="86" t="s">
        <v>112</v>
      </c>
      <c r="AQ108" s="89" t="s">
        <v>113</v>
      </c>
      <c r="AR108" s="89" t="s">
        <v>114</v>
      </c>
      <c r="AS108" s="89" t="s">
        <v>115</v>
      </c>
      <c r="AU108" s="81"/>
    </row>
    <row r="109" spans="1:47" x14ac:dyDescent="0.25">
      <c r="A109" s="84">
        <f>A108+1</f>
        <v>16</v>
      </c>
      <c r="B109" s="84" t="str">
        <f t="shared" si="48"/>
        <v xml:space="preserve">  </v>
      </c>
      <c r="C109" s="88" t="str">
        <f t="shared" ref="C109" si="51">B110</f>
        <v xml:space="preserve">  </v>
      </c>
      <c r="D109" s="82" t="str">
        <f>VLOOKUP(C109,STN_TABLE,2,FALSE)</f>
        <v xml:space="preserve">  </v>
      </c>
      <c r="E109" s="92">
        <v>1</v>
      </c>
      <c r="F109" s="82" t="e">
        <f>D109*E109</f>
        <v>#VALUE!</v>
      </c>
      <c r="G109" s="83" t="str">
        <f>C109</f>
        <v xml:space="preserve">  </v>
      </c>
      <c r="H109" s="83" t="e">
        <f>F109*G109</f>
        <v>#VALUE!</v>
      </c>
      <c r="I109" s="84" t="str">
        <f>CONCATENATE("a'(",C109,")=")</f>
        <v>a'(  )=</v>
      </c>
      <c r="J109" s="84" t="e">
        <f>2*J107/3*F110</f>
        <v>#VALUE!</v>
      </c>
      <c r="K109" s="84" t="e">
        <f>CONCATENATE("A(",C107,")=")</f>
        <v>#VALUE!</v>
      </c>
      <c r="L109" s="84" t="e">
        <f>VLOOKUP(C107,STN_TABLE,3,FALSE)</f>
        <v>#VALUE!</v>
      </c>
      <c r="M109" t="str">
        <f>CONCATENATE("A(",C109,")=")</f>
        <v>A(  )=</v>
      </c>
      <c r="N109" t="e">
        <f>J109+L109</f>
        <v>#VALUE!</v>
      </c>
      <c r="O109" s="99">
        <f>O108+1</f>
        <v>18</v>
      </c>
      <c r="P109" s="99" t="str">
        <f t="shared" si="44"/>
        <v xml:space="preserve">  </v>
      </c>
      <c r="Q109" s="82" t="e">
        <f>IF(P109-P108=P108-P107,P109,IF(P110-P108=P108-P107,P110,IF(P109-P108=P108-P106,P109,IF(P110-P108=P108-P106,P110,"-"))))</f>
        <v>#VALUE!</v>
      </c>
      <c r="R109" s="83" t="e">
        <f>VLOOKUP(Q109,STN_TABLE,2,FALSE)</f>
        <v>#VALUE!</v>
      </c>
      <c r="S109" s="83">
        <v>-1</v>
      </c>
      <c r="T109" s="82" t="e">
        <f>R109*S109</f>
        <v>#VALUE!</v>
      </c>
      <c r="U109" s="88">
        <v>-1</v>
      </c>
      <c r="V109" s="82" t="e">
        <f>R109*U109</f>
        <v>#VALUE!</v>
      </c>
      <c r="W109" s="84" t="str">
        <f>CONCATENATE("a'(",Q108,")=")</f>
        <v>a'(  )=</v>
      </c>
      <c r="X109" s="84" t="e">
        <f>2*X107/12*T110</f>
        <v>#VALUE!</v>
      </c>
      <c r="Y109" s="84" t="e">
        <f>CONCATENATE("A(",Q107,")=")</f>
        <v>#VALUE!</v>
      </c>
      <c r="Z109" s="84" t="e">
        <f>VLOOKUP(Q107,STN_TABLE,3,FALSE)</f>
        <v>#VALUE!</v>
      </c>
      <c r="AA109" t="str">
        <f>CONCATENATE("A(",Q108,")=")</f>
        <v>A(  )=</v>
      </c>
      <c r="AB109" t="e">
        <f>X109+Z109</f>
        <v>#VALUE!</v>
      </c>
      <c r="AC109" s="99">
        <f>AC108+1</f>
        <v>17</v>
      </c>
      <c r="AD109" s="100" t="str">
        <f>VLOOKUP(AC109,STN_TABLE_2,2,FALSE)</f>
        <v xml:space="preserve">  </v>
      </c>
      <c r="AE109" s="82" t="str">
        <f>VLOOKUP(AD109,STN_TABLE,2,FALSE)</f>
        <v xml:space="preserve">  </v>
      </c>
      <c r="AF109" s="82">
        <v>2</v>
      </c>
      <c r="AG109" s="83" t="e">
        <f>AE109*AF109</f>
        <v>#VALUE!</v>
      </c>
      <c r="AH109" s="84" t="str">
        <f>CONCATENATE("a'(",AD109,")=")</f>
        <v>a'(  )=</v>
      </c>
      <c r="AI109" s="84" t="e">
        <f>2*AI107/2*AE110</f>
        <v>#VALUE!</v>
      </c>
      <c r="AJ109" s="84" t="str">
        <f>CONCATENATE("A(",AD108,")=")</f>
        <v>A(  )=</v>
      </c>
      <c r="AK109" s="84" t="str">
        <f>VLOOKUP(AD108,STN_TABLE,3,FALSE)</f>
        <v xml:space="preserve"> </v>
      </c>
      <c r="AL109" t="str">
        <f>CONCATENATE("A(",AD109,")=")</f>
        <v>A(  )=</v>
      </c>
      <c r="AM109" t="e">
        <f>AI109+AK109</f>
        <v>#VALUE!</v>
      </c>
      <c r="AO109" s="68" t="str">
        <f>AA109</f>
        <v>A(  )=</v>
      </c>
      <c r="AP109" s="68" t="e">
        <f>VLOOKUP(AO109,Rise_Results,2,FALSE)</f>
        <v>#N/A</v>
      </c>
      <c r="AQ109" s="76" t="e">
        <f>N109</f>
        <v>#VALUE!</v>
      </c>
      <c r="AR109" s="76" t="e">
        <f>IF(OR(AB109&lt;=0,AB110&lt;=0),1/0,AB109)</f>
        <v>#VALUE!</v>
      </c>
      <c r="AS109" s="76" t="e">
        <f>AM109</f>
        <v>#VALUE!</v>
      </c>
      <c r="AT109" t="e">
        <f>IFERROR(AP109,IFERROR(AQ109,IFERROR(AR109,AS109)))</f>
        <v>#VALUE!</v>
      </c>
      <c r="AU109" s="81"/>
    </row>
    <row r="110" spans="1:47" x14ac:dyDescent="0.25">
      <c r="A110" s="84">
        <f>A109+1</f>
        <v>17</v>
      </c>
      <c r="B110" s="84" t="str">
        <f t="shared" si="48"/>
        <v xml:space="preserve">  </v>
      </c>
      <c r="F110" s="82" t="e">
        <f>SUM(F107:F109)</f>
        <v>#VALUE!</v>
      </c>
      <c r="H110" s="82" t="e">
        <f>SUM(H107:H109)</f>
        <v>#VALUE!</v>
      </c>
      <c r="I110" s="84" t="str">
        <f>CONCATENATE("m'(",C109,")=")</f>
        <v>m'(  )=</v>
      </c>
      <c r="J110" s="84" t="e">
        <f>2*(J107*(WLS))/3*H110</f>
        <v>#VALUE!</v>
      </c>
      <c r="K110" s="84" t="e">
        <f>CONCATENATE("M(",C107,")=")</f>
        <v>#VALUE!</v>
      </c>
      <c r="L110" s="84" t="e">
        <f>VLOOKUP(C107,STN_TABLE,4,FALSE)</f>
        <v>#VALUE!</v>
      </c>
      <c r="M110" t="str">
        <f>CONCATENATE("M(",C109,")=")</f>
        <v>M(  )=</v>
      </c>
      <c r="N110" t="e">
        <f>J110+L110</f>
        <v>#VALUE!</v>
      </c>
      <c r="O110" s="99">
        <f>O109+1</f>
        <v>19</v>
      </c>
      <c r="P110" s="99" t="str">
        <f t="shared" si="44"/>
        <v xml:space="preserve">  </v>
      </c>
      <c r="T110" s="89" t="e">
        <f>SUM(T107:T109)</f>
        <v>#VALUE!</v>
      </c>
      <c r="V110" s="82" t="e">
        <f>SUM(V107:V109)</f>
        <v>#VALUE!</v>
      </c>
      <c r="W110" s="84" t="str">
        <f>CONCATENATE("m'(",Q108,")=")</f>
        <v>m'(  )=</v>
      </c>
      <c r="X110" s="84" t="e">
        <f>(2*(X107^2)/24*V110)+(X109*Q107*WLS)</f>
        <v>#VALUE!</v>
      </c>
      <c r="Y110" s="84" t="e">
        <f>CONCATENATE("M(",Q107,")=")</f>
        <v>#VALUE!</v>
      </c>
      <c r="Z110" s="84" t="e">
        <f>VLOOKUP(Q107,STN_TABLE,4,FALSE)</f>
        <v>#VALUE!</v>
      </c>
      <c r="AA110" t="str">
        <f>CONCATENATE("M(",Q108,")=")</f>
        <v>M(  )=</v>
      </c>
      <c r="AB110" t="e">
        <f>X110+Z110</f>
        <v>#VALUE!</v>
      </c>
      <c r="AE110" s="89">
        <f>SUM(AE108:AE109)</f>
        <v>0</v>
      </c>
      <c r="AG110" s="89" t="e">
        <f>SUM(AG108:AG109)</f>
        <v>#VALUE!</v>
      </c>
      <c r="AH110" s="84" t="str">
        <f>CONCATENATE("m'(",AD109,")=")</f>
        <v>m'(  )=</v>
      </c>
      <c r="AI110" s="84" t="e">
        <f>(2*(AI107^2)/6*AG110)+(AI109*AD108*WLS)</f>
        <v>#VALUE!</v>
      </c>
      <c r="AJ110" s="84" t="str">
        <f>CONCATENATE("M(",AD108,")=")</f>
        <v>M(  )=</v>
      </c>
      <c r="AK110" s="84" t="str">
        <f>VLOOKUP(AD108,STN_TABLE,4,FALSE)</f>
        <v xml:space="preserve"> </v>
      </c>
      <c r="AL110" t="str">
        <f>CONCATENATE("M(",AD109,")=")</f>
        <v>M(  )=</v>
      </c>
      <c r="AM110" t="e">
        <f>AI110+AK110</f>
        <v>#VALUE!</v>
      </c>
      <c r="AO110" s="82" t="str">
        <f>AA110</f>
        <v>M(  )=</v>
      </c>
      <c r="AP110" s="82" t="e">
        <f>VLOOKUP(AO110,Rise_Results,2,FALSE)</f>
        <v>#N/A</v>
      </c>
      <c r="AQ110" s="82" t="e">
        <f>N110</f>
        <v>#VALUE!</v>
      </c>
      <c r="AR110" s="82" t="e">
        <f>IF(OR(AB109&lt;=0,AB110&lt;=0),1/0,AB110)</f>
        <v>#VALUE!</v>
      </c>
      <c r="AS110" s="82" t="e">
        <f>AM110</f>
        <v>#VALUE!</v>
      </c>
      <c r="AT110" t="e">
        <f>IFERROR(AP110,IFERROR(AQ110,IFERROR(AR110,AS110)))</f>
        <v>#VALUE!</v>
      </c>
      <c r="AU110" s="81"/>
    </row>
    <row r="111" spans="1:47" x14ac:dyDescent="0.25">
      <c r="A111" s="101">
        <f>A106+1</f>
        <v>14</v>
      </c>
      <c r="B111" s="101" t="str">
        <f t="shared" si="48"/>
        <v xml:space="preserve">  </v>
      </c>
      <c r="O111" s="101">
        <f>O106+1</f>
        <v>16</v>
      </c>
      <c r="P111" s="101" t="str">
        <f t="shared" si="44"/>
        <v xml:space="preserve">  </v>
      </c>
      <c r="AU111" s="81"/>
    </row>
    <row r="112" spans="1:47" x14ac:dyDescent="0.25">
      <c r="A112" s="84">
        <f>A111+1</f>
        <v>15</v>
      </c>
      <c r="B112" s="84" t="str">
        <f t="shared" si="48"/>
        <v xml:space="preserve">  </v>
      </c>
      <c r="C112" s="79" t="e">
        <f t="shared" ref="C112" si="52">IF(C113=B114,IF(C114-C113=C113-B113,B113,IF(C114-C113=C113-B112,B112,"#NA")),IF(C113=B113,IF(C114-C113=C113-B112,B112,IF(C114-C113=C113-B111,B111,"#NA")),"#NA"))</f>
        <v>#VALUE!</v>
      </c>
      <c r="D112" s="68" t="e">
        <f>VLOOKUP(C112,STN_TABLE,2,FALSE)</f>
        <v>#VALUE!</v>
      </c>
      <c r="E112" s="102">
        <v>1</v>
      </c>
      <c r="F112" s="68" t="e">
        <f>D112*E112</f>
        <v>#VALUE!</v>
      </c>
      <c r="G112" s="69" t="e">
        <f>C112</f>
        <v>#VALUE!</v>
      </c>
      <c r="H112" s="69" t="e">
        <f>F112*G112</f>
        <v>#VALUE!</v>
      </c>
      <c r="I112" s="6" t="s">
        <v>93</v>
      </c>
      <c r="J112" s="70" t="e">
        <f>IF(OR(D112=0,D113=0,D114=0),"#NA",IF(AND(C114-C113=C113-C112,C113&lt;&gt;C114,C112&lt;&gt;C113,C112&lt;&gt;C114,D114&lt;&gt;0,OR(D112&lt;&gt;0,D113&lt;&gt;0)),WLS*(C114-C113),"#NA"))</f>
        <v>#VALUE!</v>
      </c>
      <c r="O112" s="99">
        <f>O111+1</f>
        <v>17</v>
      </c>
      <c r="P112" s="99" t="str">
        <f t="shared" si="44"/>
        <v xml:space="preserve">  </v>
      </c>
      <c r="Q112" s="68" t="e">
        <f>IF(OR(P114-P113=P113-P112,P115-P113=P113-P112),P112,IF(OR(P114-P113=P113-P111,P115-P113=P113-P111),P111,"-"))</f>
        <v>#VALUE!</v>
      </c>
      <c r="R112" s="69" t="e">
        <f>VLOOKUP(Q112,STN_TABLE,2,FALSE)</f>
        <v>#VALUE!</v>
      </c>
      <c r="S112" s="69">
        <v>5</v>
      </c>
      <c r="T112" s="68" t="e">
        <f>R112*S112</f>
        <v>#VALUE!</v>
      </c>
      <c r="U112" s="79">
        <v>3</v>
      </c>
      <c r="V112" s="68" t="e">
        <f>R112*U112</f>
        <v>#VALUE!</v>
      </c>
      <c r="W112" s="6" t="s">
        <v>93</v>
      </c>
      <c r="X112" s="70" t="e">
        <f>IF(AND(Q114-Q113=Q113-Q112,NOT(AND(Q112=0,Q113=0)),NOT(AND(Q113=0,Q114=0))),WLS*(Q114-Q113),"#NA")</f>
        <v>#VALUE!</v>
      </c>
      <c r="AD112" s="93"/>
      <c r="AH112" s="6" t="s">
        <v>93</v>
      </c>
      <c r="AI112" s="70" t="e">
        <f>WLS*(AD114-AD113)</f>
        <v>#VALUE!</v>
      </c>
      <c r="AU112" s="81"/>
    </row>
    <row r="113" spans="1:47" x14ac:dyDescent="0.25">
      <c r="A113" s="84">
        <f>A112+1</f>
        <v>16</v>
      </c>
      <c r="B113" s="84" t="str">
        <f t="shared" si="48"/>
        <v xml:space="preserve">  </v>
      </c>
      <c r="C113" s="80" t="e">
        <f t="shared" ref="C113" si="53">IF(OR(B115-B114=B114-B113,B115-B114=B114-B112,B115-B114=B114-B111),B114,IF(OR(B115-B113=B113-B112,B115-B113=B113-B111),B113,IF(B115-B112=B112-B111,B112,"#NA")))</f>
        <v>#VALUE!</v>
      </c>
      <c r="D113" s="76" t="e">
        <f>VLOOKUP(C113,STN_TABLE,2,FALSE)</f>
        <v>#VALUE!</v>
      </c>
      <c r="E113" s="81">
        <v>4</v>
      </c>
      <c r="F113" s="76" t="e">
        <f>D113*E113</f>
        <v>#VALUE!</v>
      </c>
      <c r="G113" s="77" t="e">
        <f>C113</f>
        <v>#VALUE!</v>
      </c>
      <c r="H113" s="77" t="e">
        <f>F113*G113</f>
        <v>#VALUE!</v>
      </c>
      <c r="I113" s="495" t="s">
        <v>97</v>
      </c>
      <c r="J113" s="496"/>
      <c r="K113" s="78" t="s">
        <v>98</v>
      </c>
      <c r="L113" s="78"/>
      <c r="M113" s="7" t="s">
        <v>99</v>
      </c>
      <c r="N113" s="7"/>
      <c r="O113" s="99">
        <f>O112+1</f>
        <v>18</v>
      </c>
      <c r="P113" s="99" t="str">
        <f t="shared" si="44"/>
        <v xml:space="preserve">  </v>
      </c>
      <c r="Q113" s="76" t="str">
        <f>P113</f>
        <v xml:space="preserve">  </v>
      </c>
      <c r="R113" s="77" t="str">
        <f>VLOOKUP(Q113,STN_TABLE,2,FALSE)</f>
        <v xml:space="preserve">  </v>
      </c>
      <c r="S113" s="77">
        <v>8</v>
      </c>
      <c r="T113" s="76" t="e">
        <f>R113*S113</f>
        <v>#VALUE!</v>
      </c>
      <c r="U113" s="80">
        <v>10</v>
      </c>
      <c r="V113" s="76" t="e">
        <f>R113*U113</f>
        <v>#VALUE!</v>
      </c>
      <c r="W113" s="496" t="s">
        <v>97</v>
      </c>
      <c r="X113" s="496"/>
      <c r="Y113" s="496" t="s">
        <v>98</v>
      </c>
      <c r="Z113" s="496"/>
      <c r="AA113" s="494" t="s">
        <v>99</v>
      </c>
      <c r="AB113" s="494"/>
      <c r="AC113" s="99">
        <f>AC108+1</f>
        <v>17</v>
      </c>
      <c r="AD113" s="95" t="str">
        <f>VLOOKUP(AC113,STN_TABLE_2,2,FALSE)</f>
        <v xml:space="preserve">  </v>
      </c>
      <c r="AE113" s="68" t="str">
        <f>VLOOKUP(AD113,STN_TABLE,2,FALSE)</f>
        <v xml:space="preserve">  </v>
      </c>
      <c r="AF113" s="68">
        <v>1</v>
      </c>
      <c r="AG113" s="69" t="e">
        <f>AE113*AF113</f>
        <v>#VALUE!</v>
      </c>
      <c r="AH113" s="496" t="s">
        <v>97</v>
      </c>
      <c r="AI113" s="496"/>
      <c r="AJ113" s="496" t="s">
        <v>98</v>
      </c>
      <c r="AK113" s="496"/>
      <c r="AL113" s="494" t="s">
        <v>99</v>
      </c>
      <c r="AM113" s="494"/>
      <c r="AP113" s="86" t="s">
        <v>112</v>
      </c>
      <c r="AQ113" s="89" t="s">
        <v>113</v>
      </c>
      <c r="AR113" s="89" t="s">
        <v>114</v>
      </c>
      <c r="AS113" s="89" t="s">
        <v>115</v>
      </c>
      <c r="AU113" s="81"/>
    </row>
    <row r="114" spans="1:47" x14ac:dyDescent="0.25">
      <c r="A114" s="84">
        <f>A113+1</f>
        <v>17</v>
      </c>
      <c r="B114" s="84" t="str">
        <f t="shared" si="48"/>
        <v xml:space="preserve">  </v>
      </c>
      <c r="C114" s="88" t="str">
        <f t="shared" ref="C114" si="54">B115</f>
        <v xml:space="preserve">  </v>
      </c>
      <c r="D114" s="82" t="str">
        <f>VLOOKUP(C114,STN_TABLE,2,FALSE)</f>
        <v xml:space="preserve">  </v>
      </c>
      <c r="E114" s="92">
        <v>1</v>
      </c>
      <c r="F114" s="82" t="e">
        <f>D114*E114</f>
        <v>#VALUE!</v>
      </c>
      <c r="G114" s="83" t="str">
        <f>C114</f>
        <v xml:space="preserve">  </v>
      </c>
      <c r="H114" s="83" t="e">
        <f>F114*G114</f>
        <v>#VALUE!</v>
      </c>
      <c r="I114" s="84" t="str">
        <f>CONCATENATE("a'(",C114,")=")</f>
        <v>a'(  )=</v>
      </c>
      <c r="J114" s="84" t="e">
        <f>2*J112/3*F115</f>
        <v>#VALUE!</v>
      </c>
      <c r="K114" s="84" t="e">
        <f>CONCATENATE("A(",C112,")=")</f>
        <v>#VALUE!</v>
      </c>
      <c r="L114" s="84" t="e">
        <f>VLOOKUP(C112,STN_TABLE,3,FALSE)</f>
        <v>#VALUE!</v>
      </c>
      <c r="M114" t="str">
        <f>CONCATENATE("A(",C114,")=")</f>
        <v>A(  )=</v>
      </c>
      <c r="N114" t="e">
        <f>J114+L114</f>
        <v>#VALUE!</v>
      </c>
      <c r="O114" s="99">
        <f>O113+1</f>
        <v>19</v>
      </c>
      <c r="P114" s="99" t="str">
        <f t="shared" si="44"/>
        <v xml:space="preserve">  </v>
      </c>
      <c r="Q114" s="82" t="e">
        <f>IF(P114-P113=P113-P112,P114,IF(P115-P113=P113-P112,P115,IF(P114-P113=P113-P111,P114,IF(P115-P113=P113-P111,P115,"-"))))</f>
        <v>#VALUE!</v>
      </c>
      <c r="R114" s="83" t="e">
        <f>VLOOKUP(Q114,STN_TABLE,2,FALSE)</f>
        <v>#VALUE!</v>
      </c>
      <c r="S114" s="83">
        <v>-1</v>
      </c>
      <c r="T114" s="82" t="e">
        <f>R114*S114</f>
        <v>#VALUE!</v>
      </c>
      <c r="U114" s="88">
        <v>-1</v>
      </c>
      <c r="V114" s="82" t="e">
        <f>R114*U114</f>
        <v>#VALUE!</v>
      </c>
      <c r="W114" s="84" t="str">
        <f>CONCATENATE("a'(",Q113,")=")</f>
        <v>a'(  )=</v>
      </c>
      <c r="X114" s="84" t="e">
        <f>2*X112/12*T115</f>
        <v>#VALUE!</v>
      </c>
      <c r="Y114" s="84" t="e">
        <f>CONCATENATE("A(",Q112,")=")</f>
        <v>#VALUE!</v>
      </c>
      <c r="Z114" s="84" t="e">
        <f>VLOOKUP(Q112,STN_TABLE,3,FALSE)</f>
        <v>#VALUE!</v>
      </c>
      <c r="AA114" t="str">
        <f>CONCATENATE("A(",Q113,")=")</f>
        <v>A(  )=</v>
      </c>
      <c r="AB114" t="e">
        <f>X114+Z114</f>
        <v>#VALUE!</v>
      </c>
      <c r="AC114" s="99">
        <f>AC113+1</f>
        <v>18</v>
      </c>
      <c r="AD114" s="100" t="str">
        <f>VLOOKUP(AC114,STN_TABLE_2,2,FALSE)</f>
        <v xml:space="preserve">  </v>
      </c>
      <c r="AE114" s="82" t="str">
        <f>VLOOKUP(AD114,STN_TABLE,2,FALSE)</f>
        <v xml:space="preserve">  </v>
      </c>
      <c r="AF114" s="82">
        <v>2</v>
      </c>
      <c r="AG114" s="83" t="e">
        <f>AE114*AF114</f>
        <v>#VALUE!</v>
      </c>
      <c r="AH114" s="84" t="str">
        <f>CONCATENATE("a'(",AD114,")=")</f>
        <v>a'(  )=</v>
      </c>
      <c r="AI114" s="84" t="e">
        <f>2*AI112/2*AE115</f>
        <v>#VALUE!</v>
      </c>
      <c r="AJ114" s="84" t="str">
        <f>CONCATENATE("A(",AD113,")=")</f>
        <v>A(  )=</v>
      </c>
      <c r="AK114" s="84" t="str">
        <f>VLOOKUP(AD113,STN_TABLE,3,FALSE)</f>
        <v xml:space="preserve"> </v>
      </c>
      <c r="AL114" t="str">
        <f>CONCATENATE("A(",AD114,")=")</f>
        <v>A(  )=</v>
      </c>
      <c r="AM114" t="e">
        <f>AI114+AK114</f>
        <v>#VALUE!</v>
      </c>
      <c r="AO114" s="68" t="str">
        <f>AA114</f>
        <v>A(  )=</v>
      </c>
      <c r="AP114" s="68" t="e">
        <f>VLOOKUP(AO114,Rise_Results,2,FALSE)</f>
        <v>#N/A</v>
      </c>
      <c r="AQ114" s="76" t="e">
        <f>N114</f>
        <v>#VALUE!</v>
      </c>
      <c r="AR114" s="76" t="e">
        <f>IF(OR(AB114&lt;=0,AB115&lt;=0),1/0,AB114)</f>
        <v>#VALUE!</v>
      </c>
      <c r="AS114" s="76" t="e">
        <f>AM114</f>
        <v>#VALUE!</v>
      </c>
      <c r="AT114" t="e">
        <f>IFERROR(AP114,IFERROR(AQ114,IFERROR(AR114,AS114)))</f>
        <v>#VALUE!</v>
      </c>
      <c r="AU114" s="81"/>
    </row>
    <row r="115" spans="1:47" x14ac:dyDescent="0.25">
      <c r="A115" s="84">
        <f>A114+1</f>
        <v>18</v>
      </c>
      <c r="B115" s="84" t="str">
        <f t="shared" si="48"/>
        <v xml:space="preserve">  </v>
      </c>
      <c r="F115" s="82" t="e">
        <f>SUM(F112:F114)</f>
        <v>#VALUE!</v>
      </c>
      <c r="H115" s="82" t="e">
        <f>SUM(H112:H114)</f>
        <v>#VALUE!</v>
      </c>
      <c r="I115" s="84" t="str">
        <f>CONCATENATE("m'(",C114,")=")</f>
        <v>m'(  )=</v>
      </c>
      <c r="J115" s="84" t="e">
        <f>2*(J112*(WLS))/3*H115</f>
        <v>#VALUE!</v>
      </c>
      <c r="K115" s="84" t="e">
        <f>CONCATENATE("M(",C112,")=")</f>
        <v>#VALUE!</v>
      </c>
      <c r="L115" s="84" t="e">
        <f>VLOOKUP(C112,STN_TABLE,4,FALSE)</f>
        <v>#VALUE!</v>
      </c>
      <c r="M115" t="str">
        <f>CONCATENATE("M(",C114,")=")</f>
        <v>M(  )=</v>
      </c>
      <c r="N115" t="e">
        <f>J115+L115</f>
        <v>#VALUE!</v>
      </c>
      <c r="O115" s="99">
        <f>O114+1</f>
        <v>20</v>
      </c>
      <c r="P115" s="99" t="str">
        <f t="shared" si="44"/>
        <v xml:space="preserve">  </v>
      </c>
      <c r="T115" s="89" t="e">
        <f>SUM(T112:T114)</f>
        <v>#VALUE!</v>
      </c>
      <c r="V115" s="82" t="e">
        <f>SUM(V112:V114)</f>
        <v>#VALUE!</v>
      </c>
      <c r="W115" s="84" t="str">
        <f>CONCATENATE("m'(",Q113,")=")</f>
        <v>m'(  )=</v>
      </c>
      <c r="X115" s="84" t="e">
        <f>(2*(X112^2)/24*V115)+(X114*Q112*WLS)</f>
        <v>#VALUE!</v>
      </c>
      <c r="Y115" s="84" t="e">
        <f>CONCATENATE("M(",Q112,")=")</f>
        <v>#VALUE!</v>
      </c>
      <c r="Z115" s="84" t="e">
        <f>VLOOKUP(Q112,STN_TABLE,4,FALSE)</f>
        <v>#VALUE!</v>
      </c>
      <c r="AA115" t="str">
        <f>CONCATENATE("M(",Q113,")=")</f>
        <v>M(  )=</v>
      </c>
      <c r="AB115" t="e">
        <f>X115+Z115</f>
        <v>#VALUE!</v>
      </c>
      <c r="AE115" s="89">
        <f>SUM(AE113:AE114)</f>
        <v>0</v>
      </c>
      <c r="AG115" s="89" t="e">
        <f>SUM(AG113:AG114)</f>
        <v>#VALUE!</v>
      </c>
      <c r="AH115" s="84" t="str">
        <f>CONCATENATE("m'(",AD114,")=")</f>
        <v>m'(  )=</v>
      </c>
      <c r="AI115" s="84" t="e">
        <f>(2*(AI112^2)/6*AG115)+(AI114*AD113*WLS)</f>
        <v>#VALUE!</v>
      </c>
      <c r="AJ115" s="84" t="str">
        <f>CONCATENATE("M(",AD113,")=")</f>
        <v>M(  )=</v>
      </c>
      <c r="AK115" s="84" t="str">
        <f>VLOOKUP(AD113,STN_TABLE,4,FALSE)</f>
        <v xml:space="preserve"> </v>
      </c>
      <c r="AL115" t="str">
        <f>CONCATENATE("M(",AD114,")=")</f>
        <v>M(  )=</v>
      </c>
      <c r="AM115" t="e">
        <f>AI115+AK115</f>
        <v>#VALUE!</v>
      </c>
      <c r="AO115" s="82" t="str">
        <f>AA115</f>
        <v>M(  )=</v>
      </c>
      <c r="AP115" s="82" t="e">
        <f>VLOOKUP(AO115,Rise_Results,2,FALSE)</f>
        <v>#N/A</v>
      </c>
      <c r="AQ115" s="82" t="e">
        <f>N115</f>
        <v>#VALUE!</v>
      </c>
      <c r="AR115" s="82" t="e">
        <f>IF(OR(AB114&lt;=0,AB115&lt;=0),1/0,AB115)</f>
        <v>#VALUE!</v>
      </c>
      <c r="AS115" s="82" t="e">
        <f>AM115</f>
        <v>#VALUE!</v>
      </c>
      <c r="AT115" t="e">
        <f>IFERROR(AP115,IFERROR(AQ115,IFERROR(AR115,AS115)))</f>
        <v>#VALUE!</v>
      </c>
      <c r="AU115" s="81"/>
    </row>
    <row r="116" spans="1:47" x14ac:dyDescent="0.25">
      <c r="A116" s="101">
        <f>A111+1</f>
        <v>15</v>
      </c>
      <c r="B116" s="101" t="str">
        <f t="shared" si="48"/>
        <v xml:space="preserve">  </v>
      </c>
      <c r="O116" s="101">
        <f>O111+1</f>
        <v>17</v>
      </c>
      <c r="P116" s="101" t="str">
        <f t="shared" si="44"/>
        <v xml:space="preserve">  </v>
      </c>
      <c r="AU116" s="81"/>
    </row>
    <row r="117" spans="1:47" x14ac:dyDescent="0.25">
      <c r="A117" s="84">
        <f>A116+1</f>
        <v>16</v>
      </c>
      <c r="B117" s="84" t="str">
        <f t="shared" si="48"/>
        <v xml:space="preserve">  </v>
      </c>
      <c r="C117" s="79" t="e">
        <f t="shared" ref="C117" si="55">IF(C118=B119,IF(C119-C118=C118-B118,B118,IF(C119-C118=C118-B117,B117,"#NA")),IF(C118=B118,IF(C119-C118=C118-B117,B117,IF(C119-C118=C118-B116,B116,"#NA")),"#NA"))</f>
        <v>#VALUE!</v>
      </c>
      <c r="D117" s="68" t="e">
        <f>VLOOKUP(C117,STN_TABLE,2,FALSE)</f>
        <v>#VALUE!</v>
      </c>
      <c r="E117" s="102">
        <v>1</v>
      </c>
      <c r="F117" s="68" t="e">
        <f>D117*E117</f>
        <v>#VALUE!</v>
      </c>
      <c r="G117" s="69" t="e">
        <f>C117</f>
        <v>#VALUE!</v>
      </c>
      <c r="H117" s="69" t="e">
        <f>F117*G117</f>
        <v>#VALUE!</v>
      </c>
      <c r="I117" s="6" t="s">
        <v>93</v>
      </c>
      <c r="J117" s="70" t="e">
        <f>IF(OR(D117=0,D118=0,D119=0),"#NA",IF(AND(C119-C118=C118-C117,C118&lt;&gt;C119,C117&lt;&gt;C118,C117&lt;&gt;C119,D119&lt;&gt;0,OR(D117&lt;&gt;0,D118&lt;&gt;0)),WLS*(C119-C118),"#NA"))</f>
        <v>#VALUE!</v>
      </c>
      <c r="O117" s="99">
        <f>O116+1</f>
        <v>18</v>
      </c>
      <c r="P117" s="99" t="str">
        <f t="shared" si="44"/>
        <v xml:space="preserve">  </v>
      </c>
      <c r="Q117" s="68" t="e">
        <f>IF(OR(P119-P118=P118-P117,P120-P118=P118-P117),P117,IF(OR(P119-P118=P118-P116,P120-P118=P118-P116),P116,"-"))</f>
        <v>#VALUE!</v>
      </c>
      <c r="R117" s="69" t="e">
        <f>VLOOKUP(Q117,STN_TABLE,2,FALSE)</f>
        <v>#VALUE!</v>
      </c>
      <c r="S117" s="69">
        <v>5</v>
      </c>
      <c r="T117" s="68" t="e">
        <f>R117*S117</f>
        <v>#VALUE!</v>
      </c>
      <c r="U117" s="79">
        <v>3</v>
      </c>
      <c r="V117" s="68" t="e">
        <f>R117*U117</f>
        <v>#VALUE!</v>
      </c>
      <c r="W117" s="6" t="s">
        <v>93</v>
      </c>
      <c r="X117" s="70" t="e">
        <f>IF(AND(Q119-Q118=Q118-Q117,NOT(AND(Q117=0,Q118=0)),NOT(AND(Q118=0,Q119=0))),WLS*(Q119-Q118),"#NA")</f>
        <v>#VALUE!</v>
      </c>
      <c r="AD117" s="93"/>
      <c r="AH117" s="6" t="s">
        <v>93</v>
      </c>
      <c r="AI117" s="70" t="e">
        <f>WLS*(AD119-AD118)</f>
        <v>#VALUE!</v>
      </c>
      <c r="AU117" s="81"/>
    </row>
    <row r="118" spans="1:47" x14ac:dyDescent="0.25">
      <c r="A118" s="84">
        <f>A117+1</f>
        <v>17</v>
      </c>
      <c r="B118" s="84" t="str">
        <f t="shared" si="48"/>
        <v xml:space="preserve">  </v>
      </c>
      <c r="C118" s="80" t="e">
        <f t="shared" ref="C118" si="56">IF(OR(B120-B119=B119-B118,B120-B119=B119-B117,B120-B119=B119-B116),B119,IF(OR(B120-B118=B118-B117,B120-B118=B118-B116),B118,IF(B120-B117=B117-B116,B117,"#NA")))</f>
        <v>#VALUE!</v>
      </c>
      <c r="D118" s="76" t="e">
        <f>VLOOKUP(C118,STN_TABLE,2,FALSE)</f>
        <v>#VALUE!</v>
      </c>
      <c r="E118" s="81">
        <v>4</v>
      </c>
      <c r="F118" s="76" t="e">
        <f>D118*E118</f>
        <v>#VALUE!</v>
      </c>
      <c r="G118" s="77" t="e">
        <f>C118</f>
        <v>#VALUE!</v>
      </c>
      <c r="H118" s="77" t="e">
        <f>F118*G118</f>
        <v>#VALUE!</v>
      </c>
      <c r="I118" s="495" t="s">
        <v>97</v>
      </c>
      <c r="J118" s="496"/>
      <c r="K118" s="78" t="s">
        <v>98</v>
      </c>
      <c r="L118" s="78"/>
      <c r="M118" s="7" t="s">
        <v>99</v>
      </c>
      <c r="N118" s="7"/>
      <c r="O118" s="99">
        <f>O117+1</f>
        <v>19</v>
      </c>
      <c r="P118" s="99" t="str">
        <f t="shared" si="44"/>
        <v xml:space="preserve">  </v>
      </c>
      <c r="Q118" s="76" t="str">
        <f>P118</f>
        <v xml:space="preserve">  </v>
      </c>
      <c r="R118" s="77" t="str">
        <f>VLOOKUP(Q118,STN_TABLE,2,FALSE)</f>
        <v xml:space="preserve">  </v>
      </c>
      <c r="S118" s="77">
        <v>8</v>
      </c>
      <c r="T118" s="76" t="e">
        <f>R118*S118</f>
        <v>#VALUE!</v>
      </c>
      <c r="U118" s="80">
        <v>10</v>
      </c>
      <c r="V118" s="76" t="e">
        <f>R118*U118</f>
        <v>#VALUE!</v>
      </c>
      <c r="W118" s="496" t="s">
        <v>97</v>
      </c>
      <c r="X118" s="496"/>
      <c r="Y118" s="496" t="s">
        <v>98</v>
      </c>
      <c r="Z118" s="496"/>
      <c r="AA118" s="494" t="s">
        <v>99</v>
      </c>
      <c r="AB118" s="494"/>
      <c r="AC118" s="99">
        <f>AC113+1</f>
        <v>18</v>
      </c>
      <c r="AD118" s="95" t="str">
        <f>VLOOKUP(AC118,STN_TABLE_2,2,FALSE)</f>
        <v xml:space="preserve">  </v>
      </c>
      <c r="AE118" s="68" t="str">
        <f>VLOOKUP(AD118,STN_TABLE,2,FALSE)</f>
        <v xml:space="preserve">  </v>
      </c>
      <c r="AF118" s="68">
        <v>1</v>
      </c>
      <c r="AG118" s="69" t="e">
        <f>AE118*AF118</f>
        <v>#VALUE!</v>
      </c>
      <c r="AH118" s="496" t="s">
        <v>97</v>
      </c>
      <c r="AI118" s="496"/>
      <c r="AJ118" s="496" t="s">
        <v>98</v>
      </c>
      <c r="AK118" s="496"/>
      <c r="AL118" s="494" t="s">
        <v>99</v>
      </c>
      <c r="AM118" s="494"/>
      <c r="AP118" s="86" t="s">
        <v>112</v>
      </c>
      <c r="AQ118" s="89" t="s">
        <v>113</v>
      </c>
      <c r="AR118" s="89" t="s">
        <v>114</v>
      </c>
      <c r="AS118" s="89" t="s">
        <v>115</v>
      </c>
      <c r="AU118" s="81"/>
    </row>
    <row r="119" spans="1:47" x14ac:dyDescent="0.25">
      <c r="A119" s="84">
        <f>A118+1</f>
        <v>18</v>
      </c>
      <c r="B119" s="84" t="str">
        <f t="shared" si="48"/>
        <v xml:space="preserve">  </v>
      </c>
      <c r="C119" s="88" t="str">
        <f t="shared" ref="C119" si="57">B120</f>
        <v xml:space="preserve">  </v>
      </c>
      <c r="D119" s="82" t="str">
        <f>VLOOKUP(C119,STN_TABLE,2,FALSE)</f>
        <v xml:space="preserve">  </v>
      </c>
      <c r="E119" s="92">
        <v>1</v>
      </c>
      <c r="F119" s="82" t="e">
        <f>D119*E119</f>
        <v>#VALUE!</v>
      </c>
      <c r="G119" s="83" t="str">
        <f>C119</f>
        <v xml:space="preserve">  </v>
      </c>
      <c r="H119" s="83" t="e">
        <f>F119*G119</f>
        <v>#VALUE!</v>
      </c>
      <c r="I119" s="84" t="str">
        <f>CONCATENATE("a'(",C119,")=")</f>
        <v>a'(  )=</v>
      </c>
      <c r="J119" s="84" t="e">
        <f>2*J117/3*F120</f>
        <v>#VALUE!</v>
      </c>
      <c r="K119" s="84" t="e">
        <f>CONCATENATE("A(",C117,")=")</f>
        <v>#VALUE!</v>
      </c>
      <c r="L119" s="84" t="e">
        <f>VLOOKUP(C117,STN_TABLE,3,FALSE)</f>
        <v>#VALUE!</v>
      </c>
      <c r="M119" t="str">
        <f>CONCATENATE("A(",C119,")=")</f>
        <v>A(  )=</v>
      </c>
      <c r="N119" t="e">
        <f>J119+L119</f>
        <v>#VALUE!</v>
      </c>
      <c r="O119" s="99">
        <f>O118+1</f>
        <v>20</v>
      </c>
      <c r="P119" s="99" t="str">
        <f t="shared" si="44"/>
        <v xml:space="preserve">  </v>
      </c>
      <c r="Q119" s="82" t="e">
        <f>IF(P119-P118=P118-P117,P119,IF(P120-P118=P118-P117,P120,IF(P119-P118=P118-P116,P119,IF(P120-P118=P118-P116,P120,"-"))))</f>
        <v>#VALUE!</v>
      </c>
      <c r="R119" s="83" t="e">
        <f>VLOOKUP(Q119,STN_TABLE,2,FALSE)</f>
        <v>#VALUE!</v>
      </c>
      <c r="S119" s="83">
        <v>-1</v>
      </c>
      <c r="T119" s="82" t="e">
        <f>R119*S119</f>
        <v>#VALUE!</v>
      </c>
      <c r="U119" s="88">
        <v>-1</v>
      </c>
      <c r="V119" s="82" t="e">
        <f>R119*U119</f>
        <v>#VALUE!</v>
      </c>
      <c r="W119" s="84" t="str">
        <f>CONCATENATE("a'(",Q118,")=")</f>
        <v>a'(  )=</v>
      </c>
      <c r="X119" s="84" t="e">
        <f>2*X117/12*T120</f>
        <v>#VALUE!</v>
      </c>
      <c r="Y119" s="84" t="e">
        <f>CONCATENATE("A(",Q117,")=")</f>
        <v>#VALUE!</v>
      </c>
      <c r="Z119" s="84" t="e">
        <f>VLOOKUP(Q117,STN_TABLE,3,FALSE)</f>
        <v>#VALUE!</v>
      </c>
      <c r="AA119" t="str">
        <f>CONCATENATE("A(",Q118,")=")</f>
        <v>A(  )=</v>
      </c>
      <c r="AB119" t="e">
        <f>X119+Z119</f>
        <v>#VALUE!</v>
      </c>
      <c r="AC119" s="99">
        <f>AC118+1</f>
        <v>19</v>
      </c>
      <c r="AD119" s="100" t="str">
        <f>VLOOKUP(AC119,STN_TABLE_2,2,FALSE)</f>
        <v xml:space="preserve">  </v>
      </c>
      <c r="AE119" s="82" t="str">
        <f>VLOOKUP(AD119,STN_TABLE,2,FALSE)</f>
        <v xml:space="preserve">  </v>
      </c>
      <c r="AF119" s="82">
        <v>2</v>
      </c>
      <c r="AG119" s="83" t="e">
        <f>AE119*AF119</f>
        <v>#VALUE!</v>
      </c>
      <c r="AH119" s="84" t="str">
        <f>CONCATENATE("a'(",AD119,")=")</f>
        <v>a'(  )=</v>
      </c>
      <c r="AI119" s="84" t="e">
        <f>2*AI117/2*AE120</f>
        <v>#VALUE!</v>
      </c>
      <c r="AJ119" s="84" t="str">
        <f>CONCATENATE("A(",AD118,")=")</f>
        <v>A(  )=</v>
      </c>
      <c r="AK119" s="84" t="str">
        <f>VLOOKUP(AD118,STN_TABLE,3,FALSE)</f>
        <v xml:space="preserve"> </v>
      </c>
      <c r="AL119" t="str">
        <f>CONCATENATE("A(",AD119,")=")</f>
        <v>A(  )=</v>
      </c>
      <c r="AM119" t="e">
        <f>AI119+AK119</f>
        <v>#VALUE!</v>
      </c>
      <c r="AO119" s="68" t="str">
        <f>AA119</f>
        <v>A(  )=</v>
      </c>
      <c r="AP119" s="68" t="e">
        <f>VLOOKUP(AO119,Rise_Results,2,FALSE)</f>
        <v>#N/A</v>
      </c>
      <c r="AQ119" s="76" t="e">
        <f>N119</f>
        <v>#VALUE!</v>
      </c>
      <c r="AR119" s="76" t="e">
        <f>IF(OR(AB119&lt;=0,AB120&lt;=0),1/0,AB119)</f>
        <v>#VALUE!</v>
      </c>
      <c r="AS119" s="76" t="e">
        <f>AM119</f>
        <v>#VALUE!</v>
      </c>
      <c r="AT119" t="e">
        <f>IFERROR(AP119,IFERROR(AQ119,IFERROR(AR119,AS119)))</f>
        <v>#VALUE!</v>
      </c>
      <c r="AU119" s="81"/>
    </row>
    <row r="120" spans="1:47" x14ac:dyDescent="0.25">
      <c r="A120" s="84">
        <f>A119+1</f>
        <v>19</v>
      </c>
      <c r="B120" s="84" t="str">
        <f t="shared" si="48"/>
        <v xml:space="preserve">  </v>
      </c>
      <c r="F120" s="82" t="e">
        <f>SUM(F117:F119)</f>
        <v>#VALUE!</v>
      </c>
      <c r="H120" s="82" t="e">
        <f>SUM(H117:H119)</f>
        <v>#VALUE!</v>
      </c>
      <c r="I120" s="84" t="str">
        <f>CONCATENATE("m'(",C119,")=")</f>
        <v>m'(  )=</v>
      </c>
      <c r="J120" s="84" t="e">
        <f>2*(J117*(WLS))/3*H120</f>
        <v>#VALUE!</v>
      </c>
      <c r="K120" s="84" t="e">
        <f>CONCATENATE("M(",C117,")=")</f>
        <v>#VALUE!</v>
      </c>
      <c r="L120" s="84" t="e">
        <f>VLOOKUP(C117,STN_TABLE,4,FALSE)</f>
        <v>#VALUE!</v>
      </c>
      <c r="M120" t="str">
        <f>CONCATENATE("M(",C119,")=")</f>
        <v>M(  )=</v>
      </c>
      <c r="N120" t="e">
        <f>J120+L120</f>
        <v>#VALUE!</v>
      </c>
      <c r="O120" s="99">
        <f>O119+1</f>
        <v>21</v>
      </c>
      <c r="P120" s="99" t="str">
        <f t="shared" si="44"/>
        <v xml:space="preserve">  </v>
      </c>
      <c r="T120" s="89" t="e">
        <f>SUM(T117:T119)</f>
        <v>#VALUE!</v>
      </c>
      <c r="V120" s="82" t="e">
        <f>SUM(V117:V119)</f>
        <v>#VALUE!</v>
      </c>
      <c r="W120" s="84" t="str">
        <f>CONCATENATE("m'(",Q118,")=")</f>
        <v>m'(  )=</v>
      </c>
      <c r="X120" s="84" t="e">
        <f>(2*(X117^2)/24*V120)+(X119*Q117*WLS)</f>
        <v>#VALUE!</v>
      </c>
      <c r="Y120" s="84" t="e">
        <f>CONCATENATE("M(",Q117,")=")</f>
        <v>#VALUE!</v>
      </c>
      <c r="Z120" s="84" t="e">
        <f>VLOOKUP(Q117,STN_TABLE,4,FALSE)</f>
        <v>#VALUE!</v>
      </c>
      <c r="AA120" t="str">
        <f>CONCATENATE("M(",Q118,")=")</f>
        <v>M(  )=</v>
      </c>
      <c r="AB120" t="e">
        <f>X120+Z120</f>
        <v>#VALUE!</v>
      </c>
      <c r="AE120" s="89">
        <f>SUM(AE118:AE119)</f>
        <v>0</v>
      </c>
      <c r="AG120" s="89" t="e">
        <f>SUM(AG118:AG119)</f>
        <v>#VALUE!</v>
      </c>
      <c r="AH120" s="84" t="str">
        <f>CONCATENATE("m'(",AD119,")=")</f>
        <v>m'(  )=</v>
      </c>
      <c r="AI120" s="84" t="e">
        <f>(2*(AI117^2)/6*AG120)+(AI119*AD118*WLS)</f>
        <v>#VALUE!</v>
      </c>
      <c r="AJ120" s="84" t="str">
        <f>CONCATENATE("M(",AD118,")=")</f>
        <v>M(  )=</v>
      </c>
      <c r="AK120" s="84" t="str">
        <f>VLOOKUP(AD118,STN_TABLE,4,FALSE)</f>
        <v xml:space="preserve"> </v>
      </c>
      <c r="AL120" t="str">
        <f>CONCATENATE("M(",AD119,")=")</f>
        <v>M(  )=</v>
      </c>
      <c r="AM120" t="e">
        <f>AI120+AK120</f>
        <v>#VALUE!</v>
      </c>
      <c r="AO120" s="82" t="str">
        <f>AA120</f>
        <v>M(  )=</v>
      </c>
      <c r="AP120" s="82" t="e">
        <f>VLOOKUP(AO120,Rise_Results,2,FALSE)</f>
        <v>#N/A</v>
      </c>
      <c r="AQ120" s="82" t="e">
        <f>N120</f>
        <v>#VALUE!</v>
      </c>
      <c r="AR120" s="82" t="e">
        <f>IF(OR(AB119&lt;=0,AB120&lt;=0),1/0,AB120)</f>
        <v>#VALUE!</v>
      </c>
      <c r="AS120" s="82" t="e">
        <f>AM120</f>
        <v>#VALUE!</v>
      </c>
      <c r="AT120" t="e">
        <f>IFERROR(AP120,IFERROR(AQ120,IFERROR(AR120,AS120)))</f>
        <v>#VALUE!</v>
      </c>
      <c r="AU120" s="81"/>
    </row>
    <row r="121" spans="1:47" x14ac:dyDescent="0.25">
      <c r="A121" s="101">
        <f>A116+1</f>
        <v>16</v>
      </c>
      <c r="B121" s="101" t="str">
        <f t="shared" si="48"/>
        <v xml:space="preserve">  </v>
      </c>
      <c r="O121" s="101">
        <f>O116+1</f>
        <v>18</v>
      </c>
      <c r="P121" s="101" t="str">
        <f t="shared" si="44"/>
        <v xml:space="preserve">  </v>
      </c>
      <c r="AU121" s="81"/>
    </row>
    <row r="122" spans="1:47" x14ac:dyDescent="0.25">
      <c r="A122" s="84">
        <f>A121+1</f>
        <v>17</v>
      </c>
      <c r="B122" s="84" t="str">
        <f t="shared" si="48"/>
        <v xml:space="preserve">  </v>
      </c>
      <c r="C122" s="79" t="e">
        <f t="shared" ref="C122" si="58">IF(C123=B124,IF(C124-C123=C123-B123,B123,IF(C124-C123=C123-B122,B122,"#NA")),IF(C123=B123,IF(C124-C123=C123-B122,B122,IF(C124-C123=C123-B121,B121,"#NA")),"#NA"))</f>
        <v>#VALUE!</v>
      </c>
      <c r="D122" s="68" t="e">
        <f>VLOOKUP(C122,STN_TABLE,2,FALSE)</f>
        <v>#VALUE!</v>
      </c>
      <c r="E122" s="102">
        <v>1</v>
      </c>
      <c r="F122" s="68" t="e">
        <f>D122*E122</f>
        <v>#VALUE!</v>
      </c>
      <c r="G122" s="69" t="e">
        <f>C122</f>
        <v>#VALUE!</v>
      </c>
      <c r="H122" s="69" t="e">
        <f>F122*G122</f>
        <v>#VALUE!</v>
      </c>
      <c r="I122" s="6" t="s">
        <v>93</v>
      </c>
      <c r="J122" s="70" t="e">
        <f>IF(OR(D122=0,D123=0,D124=0),"#NA",IF(AND(C124-C123=C123-C122,C123&lt;&gt;C124,C122&lt;&gt;C123,C122&lt;&gt;C124,D124&lt;&gt;0,OR(D122&lt;&gt;0,D123&lt;&gt;0)),WLS*(C124-C123),"#NA"))</f>
        <v>#VALUE!</v>
      </c>
      <c r="O122" s="99">
        <f>O121+1</f>
        <v>19</v>
      </c>
      <c r="P122" s="99" t="str">
        <f t="shared" si="44"/>
        <v xml:space="preserve">  </v>
      </c>
      <c r="Q122" s="68" t="e">
        <f>IF(OR(P124-P123=P123-P122,P125-P123=P123-P122),P122,IF(OR(P124-P123=P123-P121,P125-P123=P123-P121),P121,"-"))</f>
        <v>#VALUE!</v>
      </c>
      <c r="R122" s="69" t="e">
        <f>VLOOKUP(Q122,STN_TABLE,2,FALSE)</f>
        <v>#VALUE!</v>
      </c>
      <c r="S122" s="69">
        <v>5</v>
      </c>
      <c r="T122" s="68" t="e">
        <f>R122*S122</f>
        <v>#VALUE!</v>
      </c>
      <c r="U122" s="79">
        <v>3</v>
      </c>
      <c r="V122" s="68" t="e">
        <f>R122*U122</f>
        <v>#VALUE!</v>
      </c>
      <c r="W122" s="6" t="s">
        <v>93</v>
      </c>
      <c r="X122" s="70" t="e">
        <f>IF(AND(Q124-Q123=Q123-Q122,NOT(AND(Q122=0,Q123=0)),NOT(AND(Q123=0,Q124=0))),WLS*(Q124-Q123),"#NA")</f>
        <v>#VALUE!</v>
      </c>
      <c r="AD122" s="93"/>
      <c r="AH122" s="6" t="s">
        <v>93</v>
      </c>
      <c r="AI122" s="70" t="e">
        <f>WLS*(AD124-AD123)</f>
        <v>#VALUE!</v>
      </c>
      <c r="AU122" s="81"/>
    </row>
    <row r="123" spans="1:47" x14ac:dyDescent="0.25">
      <c r="A123" s="84">
        <f>A122+1</f>
        <v>18</v>
      </c>
      <c r="B123" s="84" t="str">
        <f t="shared" si="48"/>
        <v xml:space="preserve">  </v>
      </c>
      <c r="C123" s="80" t="e">
        <f t="shared" ref="C123" si="59">IF(OR(B125-B124=B124-B123,B125-B124=B124-B122,B125-B124=B124-B121),B124,IF(OR(B125-B123=B123-B122,B125-B123=B123-B121),B123,IF(B125-B122=B122-B121,B122,"#NA")))</f>
        <v>#VALUE!</v>
      </c>
      <c r="D123" s="76" t="e">
        <f>VLOOKUP(C123,STN_TABLE,2,FALSE)</f>
        <v>#VALUE!</v>
      </c>
      <c r="E123" s="81">
        <v>4</v>
      </c>
      <c r="F123" s="76" t="e">
        <f>D123*E123</f>
        <v>#VALUE!</v>
      </c>
      <c r="G123" s="77" t="e">
        <f>C123</f>
        <v>#VALUE!</v>
      </c>
      <c r="H123" s="77" t="e">
        <f>F123*G123</f>
        <v>#VALUE!</v>
      </c>
      <c r="I123" s="495" t="s">
        <v>97</v>
      </c>
      <c r="J123" s="496"/>
      <c r="K123" s="78" t="s">
        <v>98</v>
      </c>
      <c r="L123" s="78"/>
      <c r="M123" s="7" t="s">
        <v>99</v>
      </c>
      <c r="N123" s="7"/>
      <c r="O123" s="99">
        <f>O122+1</f>
        <v>20</v>
      </c>
      <c r="P123" s="99" t="str">
        <f t="shared" si="44"/>
        <v xml:space="preserve">  </v>
      </c>
      <c r="Q123" s="76" t="str">
        <f>P123</f>
        <v xml:space="preserve">  </v>
      </c>
      <c r="R123" s="77" t="str">
        <f>VLOOKUP(Q123,STN_TABLE,2,FALSE)</f>
        <v xml:space="preserve">  </v>
      </c>
      <c r="S123" s="77">
        <v>8</v>
      </c>
      <c r="T123" s="76" t="e">
        <f>R123*S123</f>
        <v>#VALUE!</v>
      </c>
      <c r="U123" s="80">
        <v>10</v>
      </c>
      <c r="V123" s="76" t="e">
        <f>R123*U123</f>
        <v>#VALUE!</v>
      </c>
      <c r="W123" s="496" t="s">
        <v>97</v>
      </c>
      <c r="X123" s="496"/>
      <c r="Y123" s="496" t="s">
        <v>98</v>
      </c>
      <c r="Z123" s="496"/>
      <c r="AA123" s="494" t="s">
        <v>99</v>
      </c>
      <c r="AB123" s="494"/>
      <c r="AC123" s="99">
        <f>AC118+1</f>
        <v>19</v>
      </c>
      <c r="AD123" s="95" t="str">
        <f>VLOOKUP(AC123,STN_TABLE_2,2,FALSE)</f>
        <v xml:space="preserve">  </v>
      </c>
      <c r="AE123" s="68" t="str">
        <f>VLOOKUP(AD123,STN_TABLE,2,FALSE)</f>
        <v xml:space="preserve">  </v>
      </c>
      <c r="AF123" s="68">
        <v>1</v>
      </c>
      <c r="AG123" s="69" t="e">
        <f>AE123*AF123</f>
        <v>#VALUE!</v>
      </c>
      <c r="AH123" s="496" t="s">
        <v>97</v>
      </c>
      <c r="AI123" s="496"/>
      <c r="AJ123" s="496" t="s">
        <v>98</v>
      </c>
      <c r="AK123" s="496"/>
      <c r="AL123" s="494" t="s">
        <v>99</v>
      </c>
      <c r="AM123" s="494"/>
      <c r="AP123" s="86" t="s">
        <v>112</v>
      </c>
      <c r="AQ123" s="89" t="s">
        <v>113</v>
      </c>
      <c r="AR123" s="89" t="s">
        <v>114</v>
      </c>
      <c r="AS123" s="89" t="s">
        <v>115</v>
      </c>
      <c r="AU123" s="81"/>
    </row>
    <row r="124" spans="1:47" x14ac:dyDescent="0.25">
      <c r="A124" s="84">
        <f>A123+1</f>
        <v>19</v>
      </c>
      <c r="B124" s="84" t="str">
        <f t="shared" si="48"/>
        <v xml:space="preserve">  </v>
      </c>
      <c r="C124" s="88" t="str">
        <f t="shared" ref="C124" si="60">B125</f>
        <v xml:space="preserve">  </v>
      </c>
      <c r="D124" s="82" t="str">
        <f>VLOOKUP(C124,STN_TABLE,2,FALSE)</f>
        <v xml:space="preserve">  </v>
      </c>
      <c r="E124" s="92">
        <v>1</v>
      </c>
      <c r="F124" s="82" t="e">
        <f>D124*E124</f>
        <v>#VALUE!</v>
      </c>
      <c r="G124" s="83" t="str">
        <f>C124</f>
        <v xml:space="preserve">  </v>
      </c>
      <c r="H124" s="83" t="e">
        <f>F124*G124</f>
        <v>#VALUE!</v>
      </c>
      <c r="I124" s="84" t="str">
        <f>CONCATENATE("a'(",C124,")=")</f>
        <v>a'(  )=</v>
      </c>
      <c r="J124" s="84" t="e">
        <f>2*J122/3*F125</f>
        <v>#VALUE!</v>
      </c>
      <c r="K124" s="84" t="e">
        <f>CONCATENATE("A(",C122,")=")</f>
        <v>#VALUE!</v>
      </c>
      <c r="L124" s="84" t="e">
        <f>VLOOKUP(C122,STN_TABLE,3,FALSE)</f>
        <v>#VALUE!</v>
      </c>
      <c r="M124" t="str">
        <f>CONCATENATE("A(",C124,")=")</f>
        <v>A(  )=</v>
      </c>
      <c r="N124" t="e">
        <f>J124+L124</f>
        <v>#VALUE!</v>
      </c>
      <c r="O124" s="99">
        <f>O123+1</f>
        <v>21</v>
      </c>
      <c r="P124" s="99" t="str">
        <f t="shared" si="44"/>
        <v xml:space="preserve">  </v>
      </c>
      <c r="Q124" s="82" t="e">
        <f>IF(P124-P123=P123-P122,P124,IF(P125-P123=P123-P122,P125,IF(P124-P123=P123-P121,P124,IF(P125-P123=P123-P121,P125,"-"))))</f>
        <v>#VALUE!</v>
      </c>
      <c r="R124" s="83" t="e">
        <f>VLOOKUP(Q124,STN_TABLE,2,FALSE)</f>
        <v>#VALUE!</v>
      </c>
      <c r="S124" s="83">
        <v>-1</v>
      </c>
      <c r="T124" s="82" t="e">
        <f>R124*S124</f>
        <v>#VALUE!</v>
      </c>
      <c r="U124" s="88">
        <v>-1</v>
      </c>
      <c r="V124" s="82" t="e">
        <f>R124*U124</f>
        <v>#VALUE!</v>
      </c>
      <c r="W124" s="84" t="str">
        <f>CONCATENATE("a'(",Q123,")=")</f>
        <v>a'(  )=</v>
      </c>
      <c r="X124" s="84" t="e">
        <f>2*X122/12*T125</f>
        <v>#VALUE!</v>
      </c>
      <c r="Y124" s="84" t="e">
        <f>CONCATENATE("A(",Q122,")=")</f>
        <v>#VALUE!</v>
      </c>
      <c r="Z124" s="84" t="e">
        <f>VLOOKUP(Q122,STN_TABLE,3,FALSE)</f>
        <v>#VALUE!</v>
      </c>
      <c r="AA124" t="str">
        <f>CONCATENATE("A(",Q123,")=")</f>
        <v>A(  )=</v>
      </c>
      <c r="AB124" t="e">
        <f>X124+Z124</f>
        <v>#VALUE!</v>
      </c>
      <c r="AC124" s="99">
        <f>AC123+1</f>
        <v>20</v>
      </c>
      <c r="AD124" s="100" t="str">
        <f>VLOOKUP(AC124,STN_TABLE_2,2,FALSE)</f>
        <v xml:space="preserve">  </v>
      </c>
      <c r="AE124" s="82" t="str">
        <f>VLOOKUP(AD124,STN_TABLE,2,FALSE)</f>
        <v xml:space="preserve">  </v>
      </c>
      <c r="AF124" s="82">
        <v>2</v>
      </c>
      <c r="AG124" s="83" t="e">
        <f>AE124*AF124</f>
        <v>#VALUE!</v>
      </c>
      <c r="AH124" s="84" t="str">
        <f>CONCATENATE("a'(",AD124,")=")</f>
        <v>a'(  )=</v>
      </c>
      <c r="AI124" s="84" t="e">
        <f>2*AI122/2*AE125</f>
        <v>#VALUE!</v>
      </c>
      <c r="AJ124" s="84" t="str">
        <f>CONCATENATE("A(",AD123,")=")</f>
        <v>A(  )=</v>
      </c>
      <c r="AK124" s="84" t="str">
        <f>VLOOKUP(AD123,STN_TABLE,3,FALSE)</f>
        <v xml:space="preserve"> </v>
      </c>
      <c r="AL124" t="str">
        <f>CONCATENATE("A(",AD124,")=")</f>
        <v>A(  )=</v>
      </c>
      <c r="AM124" t="e">
        <f>AI124+AK124</f>
        <v>#VALUE!</v>
      </c>
      <c r="AO124" s="68" t="str">
        <f>AA124</f>
        <v>A(  )=</v>
      </c>
      <c r="AP124" s="68" t="e">
        <f>VLOOKUP(AO124,Rise_Results,2,FALSE)</f>
        <v>#N/A</v>
      </c>
      <c r="AQ124" s="76" t="e">
        <f>N124</f>
        <v>#VALUE!</v>
      </c>
      <c r="AR124" s="76" t="e">
        <f>IF(OR(AB124&lt;=0,AB125&lt;=0),1/0,AB124)</f>
        <v>#VALUE!</v>
      </c>
      <c r="AS124" s="76" t="e">
        <f>AM124</f>
        <v>#VALUE!</v>
      </c>
      <c r="AT124" t="e">
        <f>IFERROR(AP124,IFERROR(AQ124,IFERROR(AR124,AS124)))</f>
        <v>#VALUE!</v>
      </c>
      <c r="AU124" s="81"/>
    </row>
    <row r="125" spans="1:47" x14ac:dyDescent="0.25">
      <c r="A125" s="84">
        <f>A124+1</f>
        <v>20</v>
      </c>
      <c r="B125" s="84" t="str">
        <f t="shared" si="48"/>
        <v xml:space="preserve">  </v>
      </c>
      <c r="F125" s="82" t="e">
        <f>SUM(F122:F124)</f>
        <v>#VALUE!</v>
      </c>
      <c r="H125" s="82" t="e">
        <f>SUM(H122:H124)</f>
        <v>#VALUE!</v>
      </c>
      <c r="I125" s="84" t="str">
        <f>CONCATENATE("m'(",C124,")=")</f>
        <v>m'(  )=</v>
      </c>
      <c r="J125" s="84" t="e">
        <f>2*(J122*(WLS))/3*H125</f>
        <v>#VALUE!</v>
      </c>
      <c r="K125" s="84" t="e">
        <f>CONCATENATE("M(",C122,")=")</f>
        <v>#VALUE!</v>
      </c>
      <c r="L125" s="84" t="e">
        <f>VLOOKUP(C122,STN_TABLE,4,FALSE)</f>
        <v>#VALUE!</v>
      </c>
      <c r="M125" t="str">
        <f>CONCATENATE("M(",C124,")=")</f>
        <v>M(  )=</v>
      </c>
      <c r="N125" t="e">
        <f>J125+L125</f>
        <v>#VALUE!</v>
      </c>
      <c r="O125" s="99">
        <f>O124+1</f>
        <v>22</v>
      </c>
      <c r="P125" s="99" t="str">
        <f t="shared" si="44"/>
        <v xml:space="preserve">  </v>
      </c>
      <c r="T125" s="89" t="e">
        <f>SUM(T122:T124)</f>
        <v>#VALUE!</v>
      </c>
      <c r="V125" s="82" t="e">
        <f>SUM(V122:V124)</f>
        <v>#VALUE!</v>
      </c>
      <c r="W125" s="84" t="str">
        <f>CONCATENATE("m'(",Q123,")=")</f>
        <v>m'(  )=</v>
      </c>
      <c r="X125" s="84" t="e">
        <f>(2*(X122^2)/24*V125)+(X124*Q122*WLS)</f>
        <v>#VALUE!</v>
      </c>
      <c r="Y125" s="84" t="e">
        <f>CONCATENATE("M(",Q122,")=")</f>
        <v>#VALUE!</v>
      </c>
      <c r="Z125" s="84" t="e">
        <f>VLOOKUP(Q122,STN_TABLE,4,FALSE)</f>
        <v>#VALUE!</v>
      </c>
      <c r="AA125" t="str">
        <f>CONCATENATE("M(",Q123,")=")</f>
        <v>M(  )=</v>
      </c>
      <c r="AB125" t="e">
        <f>X125+Z125</f>
        <v>#VALUE!</v>
      </c>
      <c r="AE125" s="89">
        <f>SUM(AE123:AE124)</f>
        <v>0</v>
      </c>
      <c r="AG125" s="89" t="e">
        <f>SUM(AG123:AG124)</f>
        <v>#VALUE!</v>
      </c>
      <c r="AH125" s="84" t="str">
        <f>CONCATENATE("m'(",AD124,")=")</f>
        <v>m'(  )=</v>
      </c>
      <c r="AI125" s="84" t="e">
        <f>(2*(AI122^2)/6*AG125)+(AI124*AD123*WLS)</f>
        <v>#VALUE!</v>
      </c>
      <c r="AJ125" s="84" t="str">
        <f>CONCATENATE("M(",AD123,")=")</f>
        <v>M(  )=</v>
      </c>
      <c r="AK125" s="84" t="str">
        <f>VLOOKUP(AD123,STN_TABLE,4,FALSE)</f>
        <v xml:space="preserve"> </v>
      </c>
      <c r="AL125" t="str">
        <f>CONCATENATE("M(",AD124,")=")</f>
        <v>M(  )=</v>
      </c>
      <c r="AM125" t="e">
        <f>AI125+AK125</f>
        <v>#VALUE!</v>
      </c>
      <c r="AO125" s="82" t="str">
        <f>AA125</f>
        <v>M(  )=</v>
      </c>
      <c r="AP125" s="82" t="e">
        <f>VLOOKUP(AO125,Rise_Results,2,FALSE)</f>
        <v>#N/A</v>
      </c>
      <c r="AQ125" s="82" t="e">
        <f>N125</f>
        <v>#VALUE!</v>
      </c>
      <c r="AR125" s="82" t="e">
        <f>IF(OR(AB124&lt;=0,AB125&lt;=0),1/0,AB125)</f>
        <v>#VALUE!</v>
      </c>
      <c r="AS125" s="82" t="e">
        <f>AM125</f>
        <v>#VALUE!</v>
      </c>
      <c r="AT125" t="e">
        <f>IFERROR(AP125,IFERROR(AQ125,IFERROR(AR125,AS125)))</f>
        <v>#VALUE!</v>
      </c>
      <c r="AU125" s="81"/>
    </row>
    <row r="126" spans="1:47" x14ac:dyDescent="0.25">
      <c r="A126" s="101">
        <f>A121+1</f>
        <v>17</v>
      </c>
      <c r="B126" s="101" t="str">
        <f t="shared" si="48"/>
        <v xml:space="preserve">  </v>
      </c>
      <c r="O126" s="101">
        <f>O121+1</f>
        <v>19</v>
      </c>
      <c r="P126" s="101" t="str">
        <f t="shared" si="44"/>
        <v xml:space="preserve">  </v>
      </c>
      <c r="AU126" s="81"/>
    </row>
    <row r="127" spans="1:47" x14ac:dyDescent="0.25">
      <c r="A127" s="84">
        <f>A126+1</f>
        <v>18</v>
      </c>
      <c r="B127" s="84" t="str">
        <f t="shared" si="48"/>
        <v xml:space="preserve">  </v>
      </c>
      <c r="C127" s="79" t="e">
        <f t="shared" ref="C127" si="61">IF(C128=B129,IF(C129-C128=C128-B128,B128,IF(C129-C128=C128-B127,B127,"#NA")),IF(C128=B128,IF(C129-C128=C128-B127,B127,IF(C129-C128=C128-B126,B126,"#NA")),"#NA"))</f>
        <v>#VALUE!</v>
      </c>
      <c r="D127" s="68" t="e">
        <f>VLOOKUP(C127,STN_TABLE,2,FALSE)</f>
        <v>#VALUE!</v>
      </c>
      <c r="E127" s="102">
        <v>1</v>
      </c>
      <c r="F127" s="68" t="e">
        <f>D127*E127</f>
        <v>#VALUE!</v>
      </c>
      <c r="G127" s="69" t="e">
        <f>C127</f>
        <v>#VALUE!</v>
      </c>
      <c r="H127" s="69" t="e">
        <f>F127*G127</f>
        <v>#VALUE!</v>
      </c>
      <c r="I127" s="6" t="s">
        <v>93</v>
      </c>
      <c r="J127" s="70" t="e">
        <f>IF(OR(D127=0,D128=0,D129=0),"#NA",IF(AND(C129-C128=C128-C127,C128&lt;&gt;C129,C127&lt;&gt;C128,C127&lt;&gt;C129,D129&lt;&gt;0,OR(D127&lt;&gt;0,D128&lt;&gt;0)),WLS*(C129-C128),"#NA"))</f>
        <v>#VALUE!</v>
      </c>
      <c r="O127" s="99">
        <f>O126+1</f>
        <v>20</v>
      </c>
      <c r="P127" s="99" t="str">
        <f t="shared" si="44"/>
        <v xml:space="preserve">  </v>
      </c>
      <c r="Q127" s="68" t="e">
        <f>IF(OR(P129-P128=P128-P127,P130-P128=P128-P127),P127,IF(OR(P129-P128=P128-P126,P130-P128=P128-P126),P126,"-"))</f>
        <v>#VALUE!</v>
      </c>
      <c r="R127" s="69" t="e">
        <f>VLOOKUP(Q127,STN_TABLE,2,FALSE)</f>
        <v>#VALUE!</v>
      </c>
      <c r="S127" s="69">
        <v>5</v>
      </c>
      <c r="T127" s="68" t="e">
        <f>R127*S127</f>
        <v>#VALUE!</v>
      </c>
      <c r="U127" s="79">
        <v>3</v>
      </c>
      <c r="V127" s="68" t="e">
        <f>R127*U127</f>
        <v>#VALUE!</v>
      </c>
      <c r="W127" s="6" t="s">
        <v>93</v>
      </c>
      <c r="X127" s="70" t="e">
        <f>IF(AND(Q129-Q128=Q128-Q127,NOT(AND(Q127=0,Q128=0)),NOT(AND(Q128=0,Q129=0))),WLS*(Q129-Q128),"#NA")</f>
        <v>#VALUE!</v>
      </c>
      <c r="AD127" s="93"/>
      <c r="AH127" s="6" t="s">
        <v>93</v>
      </c>
      <c r="AI127" s="70" t="e">
        <f>WLS*(AD129-AD128)</f>
        <v>#VALUE!</v>
      </c>
      <c r="AU127" s="81"/>
    </row>
    <row r="128" spans="1:47" x14ac:dyDescent="0.25">
      <c r="A128" s="84">
        <f>A127+1</f>
        <v>19</v>
      </c>
      <c r="B128" s="84" t="str">
        <f t="shared" si="48"/>
        <v xml:space="preserve">  </v>
      </c>
      <c r="C128" s="80" t="e">
        <f t="shared" ref="C128" si="62">IF(OR(B130-B129=B129-B128,B130-B129=B129-B127,B130-B129=B129-B126),B129,IF(OR(B130-B128=B128-B127,B130-B128=B128-B126),B128,IF(B130-B127=B127-B126,B127,"#NA")))</f>
        <v>#VALUE!</v>
      </c>
      <c r="D128" s="76" t="e">
        <f>VLOOKUP(C128,STN_TABLE,2,FALSE)</f>
        <v>#VALUE!</v>
      </c>
      <c r="E128" s="81">
        <v>4</v>
      </c>
      <c r="F128" s="76" t="e">
        <f>D128*E128</f>
        <v>#VALUE!</v>
      </c>
      <c r="G128" s="77" t="e">
        <f>C128</f>
        <v>#VALUE!</v>
      </c>
      <c r="H128" s="77" t="e">
        <f>F128*G128</f>
        <v>#VALUE!</v>
      </c>
      <c r="I128" s="495" t="s">
        <v>97</v>
      </c>
      <c r="J128" s="496"/>
      <c r="K128" s="78" t="s">
        <v>98</v>
      </c>
      <c r="L128" s="78"/>
      <c r="M128" s="7" t="s">
        <v>99</v>
      </c>
      <c r="N128" s="7"/>
      <c r="O128" s="99">
        <f>O127+1</f>
        <v>21</v>
      </c>
      <c r="P128" s="99" t="str">
        <f t="shared" si="44"/>
        <v xml:space="preserve">  </v>
      </c>
      <c r="Q128" s="76" t="str">
        <f>P128</f>
        <v xml:space="preserve">  </v>
      </c>
      <c r="R128" s="77" t="str">
        <f>VLOOKUP(Q128,STN_TABLE,2,FALSE)</f>
        <v xml:space="preserve">  </v>
      </c>
      <c r="S128" s="77">
        <v>8</v>
      </c>
      <c r="T128" s="76" t="e">
        <f>R128*S128</f>
        <v>#VALUE!</v>
      </c>
      <c r="U128" s="80">
        <v>10</v>
      </c>
      <c r="V128" s="76" t="e">
        <f>R128*U128</f>
        <v>#VALUE!</v>
      </c>
      <c r="W128" s="496" t="s">
        <v>97</v>
      </c>
      <c r="X128" s="496"/>
      <c r="Y128" s="496" t="s">
        <v>98</v>
      </c>
      <c r="Z128" s="496"/>
      <c r="AA128" s="494" t="s">
        <v>99</v>
      </c>
      <c r="AB128" s="494"/>
      <c r="AC128" s="99">
        <f>AC123+1</f>
        <v>20</v>
      </c>
      <c r="AD128" s="95" t="str">
        <f>VLOOKUP(AC128,STN_TABLE_2,2,FALSE)</f>
        <v xml:space="preserve">  </v>
      </c>
      <c r="AE128" s="68" t="str">
        <f>VLOOKUP(AD128,STN_TABLE,2,FALSE)</f>
        <v xml:space="preserve">  </v>
      </c>
      <c r="AF128" s="68">
        <v>1</v>
      </c>
      <c r="AG128" s="69" t="e">
        <f>AE128*AF128</f>
        <v>#VALUE!</v>
      </c>
      <c r="AH128" s="496" t="s">
        <v>97</v>
      </c>
      <c r="AI128" s="496"/>
      <c r="AJ128" s="496" t="s">
        <v>98</v>
      </c>
      <c r="AK128" s="496"/>
      <c r="AL128" s="494" t="s">
        <v>99</v>
      </c>
      <c r="AM128" s="494"/>
      <c r="AP128" s="86" t="s">
        <v>112</v>
      </c>
      <c r="AQ128" s="89" t="s">
        <v>113</v>
      </c>
      <c r="AR128" s="89" t="s">
        <v>114</v>
      </c>
      <c r="AS128" s="89" t="s">
        <v>115</v>
      </c>
      <c r="AU128" s="81"/>
    </row>
    <row r="129" spans="1:47" x14ac:dyDescent="0.25">
      <c r="A129" s="84">
        <f>A128+1</f>
        <v>20</v>
      </c>
      <c r="B129" s="84" t="str">
        <f t="shared" si="48"/>
        <v xml:space="preserve">  </v>
      </c>
      <c r="C129" s="88" t="str">
        <f t="shared" ref="C129" si="63">B130</f>
        <v xml:space="preserve">  </v>
      </c>
      <c r="D129" s="82" t="str">
        <f>VLOOKUP(C129,STN_TABLE,2,FALSE)</f>
        <v xml:space="preserve">  </v>
      </c>
      <c r="E129" s="92">
        <v>1</v>
      </c>
      <c r="F129" s="82" t="e">
        <f>D129*E129</f>
        <v>#VALUE!</v>
      </c>
      <c r="G129" s="83" t="str">
        <f>C129</f>
        <v xml:space="preserve">  </v>
      </c>
      <c r="H129" s="83" t="e">
        <f>F129*G129</f>
        <v>#VALUE!</v>
      </c>
      <c r="I129" s="84" t="str">
        <f>CONCATENATE("a'(",C129,")=")</f>
        <v>a'(  )=</v>
      </c>
      <c r="J129" s="84" t="e">
        <f>2*J127/3*F130</f>
        <v>#VALUE!</v>
      </c>
      <c r="K129" s="84" t="e">
        <f>CONCATENATE("A(",C127,")=")</f>
        <v>#VALUE!</v>
      </c>
      <c r="L129" s="84" t="e">
        <f>VLOOKUP(C127,STN_TABLE,3,FALSE)</f>
        <v>#VALUE!</v>
      </c>
      <c r="M129" t="str">
        <f>CONCATENATE("A(",C129,")=")</f>
        <v>A(  )=</v>
      </c>
      <c r="N129" t="e">
        <f>J129+L129</f>
        <v>#VALUE!</v>
      </c>
      <c r="O129" s="99">
        <f>O128+1</f>
        <v>22</v>
      </c>
      <c r="P129" s="99" t="str">
        <f t="shared" si="44"/>
        <v xml:space="preserve">  </v>
      </c>
      <c r="Q129" s="82" t="e">
        <f>IF(P129-P128=P128-P127,P129,IF(P130-P128=P128-P127,P130,IF(P129-P128=P128-P126,P129,IF(P130-P128=P128-P126,P130,"-"))))</f>
        <v>#VALUE!</v>
      </c>
      <c r="R129" s="83" t="e">
        <f>VLOOKUP(Q129,STN_TABLE,2,FALSE)</f>
        <v>#VALUE!</v>
      </c>
      <c r="S129" s="83">
        <v>-1</v>
      </c>
      <c r="T129" s="82" t="e">
        <f>R129*S129</f>
        <v>#VALUE!</v>
      </c>
      <c r="U129" s="88">
        <v>-1</v>
      </c>
      <c r="V129" s="82" t="e">
        <f>R129*U129</f>
        <v>#VALUE!</v>
      </c>
      <c r="W129" s="84" t="str">
        <f>CONCATENATE("a'(",Q128,")=")</f>
        <v>a'(  )=</v>
      </c>
      <c r="X129" s="84" t="e">
        <f>2*X127/12*T130</f>
        <v>#VALUE!</v>
      </c>
      <c r="Y129" s="84" t="e">
        <f>CONCATENATE("A(",Q127,")=")</f>
        <v>#VALUE!</v>
      </c>
      <c r="Z129" s="84" t="e">
        <f>VLOOKUP(Q127,STN_TABLE,3,FALSE)</f>
        <v>#VALUE!</v>
      </c>
      <c r="AA129" t="str">
        <f>CONCATENATE("A(",Q128,")=")</f>
        <v>A(  )=</v>
      </c>
      <c r="AB129" t="e">
        <f>X129+Z129</f>
        <v>#VALUE!</v>
      </c>
      <c r="AC129" s="99">
        <f>AC128+1</f>
        <v>21</v>
      </c>
      <c r="AD129" s="100" t="str">
        <f>VLOOKUP(AC129,STN_TABLE_2,2,FALSE)</f>
        <v xml:space="preserve">  </v>
      </c>
      <c r="AE129" s="82" t="str">
        <f>VLOOKUP(AD129,STN_TABLE,2,FALSE)</f>
        <v xml:space="preserve">  </v>
      </c>
      <c r="AF129" s="82">
        <v>2</v>
      </c>
      <c r="AG129" s="83" t="e">
        <f>AE129*AF129</f>
        <v>#VALUE!</v>
      </c>
      <c r="AH129" s="84" t="str">
        <f>CONCATENATE("a'(",AD129,")=")</f>
        <v>a'(  )=</v>
      </c>
      <c r="AI129" s="84" t="e">
        <f>2*AI127/2*AE130</f>
        <v>#VALUE!</v>
      </c>
      <c r="AJ129" s="84" t="str">
        <f>CONCATENATE("A(",AD128,")=")</f>
        <v>A(  )=</v>
      </c>
      <c r="AK129" s="84" t="str">
        <f>VLOOKUP(AD128,STN_TABLE,3,FALSE)</f>
        <v xml:space="preserve"> </v>
      </c>
      <c r="AL129" t="str">
        <f>CONCATENATE("A(",AD129,")=")</f>
        <v>A(  )=</v>
      </c>
      <c r="AM129" t="e">
        <f>AI129+AK129</f>
        <v>#VALUE!</v>
      </c>
      <c r="AO129" s="68" t="str">
        <f>AA129</f>
        <v>A(  )=</v>
      </c>
      <c r="AP129" s="68" t="e">
        <f>VLOOKUP(AO129,Rise_Results,2,FALSE)</f>
        <v>#N/A</v>
      </c>
      <c r="AQ129" s="76" t="e">
        <f>N129</f>
        <v>#VALUE!</v>
      </c>
      <c r="AR129" s="76" t="e">
        <f>IF(OR(AB129&lt;=0,AB130&lt;=0),1/0,AB129)</f>
        <v>#VALUE!</v>
      </c>
      <c r="AS129" s="76" t="e">
        <f>AM129</f>
        <v>#VALUE!</v>
      </c>
      <c r="AT129" t="e">
        <f>IFERROR(AP129,IFERROR(AQ129,IFERROR(AR129,AS129)))</f>
        <v>#VALUE!</v>
      </c>
      <c r="AU129" s="81"/>
    </row>
    <row r="130" spans="1:47" x14ac:dyDescent="0.25">
      <c r="A130" s="84">
        <f>A129+1</f>
        <v>21</v>
      </c>
      <c r="B130" s="84" t="str">
        <f t="shared" si="48"/>
        <v xml:space="preserve">  </v>
      </c>
      <c r="F130" s="82" t="e">
        <f>SUM(F127:F129)</f>
        <v>#VALUE!</v>
      </c>
      <c r="H130" s="82" t="e">
        <f>SUM(H127:H129)</f>
        <v>#VALUE!</v>
      </c>
      <c r="I130" s="84" t="str">
        <f>CONCATENATE("m'(",C129,")=")</f>
        <v>m'(  )=</v>
      </c>
      <c r="J130" s="84" t="e">
        <f>2*(J127*(WLS))/3*H130</f>
        <v>#VALUE!</v>
      </c>
      <c r="K130" s="84" t="e">
        <f>CONCATENATE("M(",C127,")=")</f>
        <v>#VALUE!</v>
      </c>
      <c r="L130" s="84" t="e">
        <f>VLOOKUP(C127,STN_TABLE,4,FALSE)</f>
        <v>#VALUE!</v>
      </c>
      <c r="M130" t="str">
        <f>CONCATENATE("M(",C129,")=")</f>
        <v>M(  )=</v>
      </c>
      <c r="N130" t="e">
        <f>J130+L130</f>
        <v>#VALUE!</v>
      </c>
      <c r="O130" s="99">
        <f>O129+1</f>
        <v>23</v>
      </c>
      <c r="P130" s="99" t="str">
        <f t="shared" si="44"/>
        <v xml:space="preserve">  </v>
      </c>
      <c r="T130" s="89" t="e">
        <f>SUM(T127:T129)</f>
        <v>#VALUE!</v>
      </c>
      <c r="V130" s="82" t="e">
        <f>SUM(V127:V129)</f>
        <v>#VALUE!</v>
      </c>
      <c r="W130" s="84" t="str">
        <f>CONCATENATE("m'(",Q128,")=")</f>
        <v>m'(  )=</v>
      </c>
      <c r="X130" s="84" t="e">
        <f>(2*(X127^2)/24*V130)+(X129*Q127*WLS)</f>
        <v>#VALUE!</v>
      </c>
      <c r="Y130" s="84" t="e">
        <f>CONCATENATE("M(",Q127,")=")</f>
        <v>#VALUE!</v>
      </c>
      <c r="Z130" s="84" t="e">
        <f>VLOOKUP(Q127,STN_TABLE,4,FALSE)</f>
        <v>#VALUE!</v>
      </c>
      <c r="AA130" t="str">
        <f>CONCATENATE("M(",Q128,")=")</f>
        <v>M(  )=</v>
      </c>
      <c r="AB130" t="e">
        <f>X130+Z130</f>
        <v>#VALUE!</v>
      </c>
      <c r="AE130" s="89">
        <f>SUM(AE128:AE129)</f>
        <v>0</v>
      </c>
      <c r="AG130" s="89" t="e">
        <f>SUM(AG128:AG129)</f>
        <v>#VALUE!</v>
      </c>
      <c r="AH130" s="84" t="str">
        <f>CONCATENATE("m'(",AD129,")=")</f>
        <v>m'(  )=</v>
      </c>
      <c r="AI130" s="84" t="e">
        <f>(2*(AI127^2)/6*AG130)+(AI129*AD128*WLS)</f>
        <v>#VALUE!</v>
      </c>
      <c r="AJ130" s="84" t="str">
        <f>CONCATENATE("M(",AD128,")=")</f>
        <v>M(  )=</v>
      </c>
      <c r="AK130" s="84" t="str">
        <f>VLOOKUP(AD128,STN_TABLE,4,FALSE)</f>
        <v xml:space="preserve"> </v>
      </c>
      <c r="AL130" t="str">
        <f>CONCATENATE("M(",AD129,")=")</f>
        <v>M(  )=</v>
      </c>
      <c r="AM130" t="e">
        <f>AI130+AK130</f>
        <v>#VALUE!</v>
      </c>
      <c r="AO130" s="82" t="str">
        <f>AA130</f>
        <v>M(  )=</v>
      </c>
      <c r="AP130" s="82" t="e">
        <f>VLOOKUP(AO130,Rise_Results,2,FALSE)</f>
        <v>#N/A</v>
      </c>
      <c r="AQ130" s="82" t="e">
        <f>N130</f>
        <v>#VALUE!</v>
      </c>
      <c r="AR130" s="82" t="e">
        <f>IF(OR(AB129&lt;=0,AB130&lt;=0),1/0,AB130)</f>
        <v>#VALUE!</v>
      </c>
      <c r="AS130" s="82" t="e">
        <f>AM130</f>
        <v>#VALUE!</v>
      </c>
      <c r="AT130" t="e">
        <f>IFERROR(AP130,IFERROR(AQ130,IFERROR(AR130,AS130)))</f>
        <v>#VALUE!</v>
      </c>
      <c r="AU130" s="81"/>
    </row>
    <row r="131" spans="1:47" x14ac:dyDescent="0.25">
      <c r="A131" s="101">
        <f>A126+1</f>
        <v>18</v>
      </c>
      <c r="B131" s="101" t="str">
        <f t="shared" si="48"/>
        <v xml:space="preserve">  </v>
      </c>
      <c r="O131" s="101">
        <f>O126+1</f>
        <v>20</v>
      </c>
      <c r="P131" s="101" t="str">
        <f t="shared" si="44"/>
        <v xml:space="preserve">  </v>
      </c>
      <c r="AU131" s="81"/>
    </row>
    <row r="132" spans="1:47" x14ac:dyDescent="0.25">
      <c r="A132" s="84">
        <f>A131+1</f>
        <v>19</v>
      </c>
      <c r="B132" s="84" t="str">
        <f t="shared" si="48"/>
        <v xml:space="preserve">  </v>
      </c>
      <c r="C132" s="79" t="e">
        <f t="shared" ref="C132" si="64">IF(C133=B134,IF(C134-C133=C133-B133,B133,IF(C134-C133=C133-B132,B132,"#NA")),IF(C133=B133,IF(C134-C133=C133-B132,B132,IF(C134-C133=C133-B131,B131,"#NA")),"#NA"))</f>
        <v>#VALUE!</v>
      </c>
      <c r="D132" s="68" t="e">
        <f>VLOOKUP(C132,STN_TABLE,2,FALSE)</f>
        <v>#VALUE!</v>
      </c>
      <c r="E132" s="102">
        <v>1</v>
      </c>
      <c r="F132" s="68" t="e">
        <f>D132*E132</f>
        <v>#VALUE!</v>
      </c>
      <c r="G132" s="69" t="e">
        <f>C132</f>
        <v>#VALUE!</v>
      </c>
      <c r="H132" s="69" t="e">
        <f>F132*G132</f>
        <v>#VALUE!</v>
      </c>
      <c r="I132" s="6" t="s">
        <v>93</v>
      </c>
      <c r="J132" s="70" t="e">
        <f>IF(OR(D132=0,D133=0,D134=0),"#NA",IF(AND(C134-C133=C133-C132,C133&lt;&gt;C134,C132&lt;&gt;C133,C132&lt;&gt;C134,D134&lt;&gt;0,OR(D132&lt;&gt;0,D133&lt;&gt;0)),WLS*(C134-C133),"#NA"))</f>
        <v>#VALUE!</v>
      </c>
      <c r="O132" s="99">
        <f>O131+1</f>
        <v>21</v>
      </c>
      <c r="P132" s="99" t="str">
        <f t="shared" ref="P132:P150" si="65">VLOOKUP(O132,STN_TABLE_2,2,FALSE)</f>
        <v xml:space="preserve">  </v>
      </c>
      <c r="Q132" s="68" t="e">
        <f>IF(OR(P134-P133=P133-P132,P135-P133=P133-P132),P132,IF(OR(P134-P133=P133-P131,P135-P133=P133-P131),P131,"-"))</f>
        <v>#VALUE!</v>
      </c>
      <c r="R132" s="69" t="e">
        <f>VLOOKUP(Q132,STN_TABLE,2,FALSE)</f>
        <v>#VALUE!</v>
      </c>
      <c r="S132" s="69">
        <v>5</v>
      </c>
      <c r="T132" s="68" t="e">
        <f>R132*S132</f>
        <v>#VALUE!</v>
      </c>
      <c r="U132" s="79">
        <v>3</v>
      </c>
      <c r="V132" s="68" t="e">
        <f>R132*U132</f>
        <v>#VALUE!</v>
      </c>
      <c r="W132" s="6" t="s">
        <v>93</v>
      </c>
      <c r="X132" s="70" t="e">
        <f>IF(AND(Q134-Q133=Q133-Q132,NOT(AND(Q132=0,Q133=0)),NOT(AND(Q133=0,Q134=0))),WLS*(Q134-Q133),"#NA")</f>
        <v>#VALUE!</v>
      </c>
      <c r="AD132" s="93"/>
      <c r="AH132" s="6" t="s">
        <v>93</v>
      </c>
      <c r="AI132" s="70" t="e">
        <f>WLS*(AD134-AD133)</f>
        <v>#VALUE!</v>
      </c>
      <c r="AU132" s="81"/>
    </row>
    <row r="133" spans="1:47" x14ac:dyDescent="0.25">
      <c r="A133" s="84">
        <f>A132+1</f>
        <v>20</v>
      </c>
      <c r="B133" s="84" t="str">
        <f t="shared" si="48"/>
        <v xml:space="preserve">  </v>
      </c>
      <c r="C133" s="80" t="e">
        <f t="shared" ref="C133" si="66">IF(OR(B135-B134=B134-B133,B135-B134=B134-B132,B135-B134=B134-B131),B134,IF(OR(B135-B133=B133-B132,B135-B133=B133-B131),B133,IF(B135-B132=B132-B131,B132,"#NA")))</f>
        <v>#VALUE!</v>
      </c>
      <c r="D133" s="76" t="e">
        <f>VLOOKUP(C133,STN_TABLE,2,FALSE)</f>
        <v>#VALUE!</v>
      </c>
      <c r="E133" s="81">
        <v>4</v>
      </c>
      <c r="F133" s="76" t="e">
        <f>D133*E133</f>
        <v>#VALUE!</v>
      </c>
      <c r="G133" s="77" t="e">
        <f>C133</f>
        <v>#VALUE!</v>
      </c>
      <c r="H133" s="77" t="e">
        <f>F133*G133</f>
        <v>#VALUE!</v>
      </c>
      <c r="I133" s="495" t="s">
        <v>97</v>
      </c>
      <c r="J133" s="496"/>
      <c r="K133" s="78" t="s">
        <v>98</v>
      </c>
      <c r="L133" s="78"/>
      <c r="M133" s="7" t="s">
        <v>99</v>
      </c>
      <c r="N133" s="7"/>
      <c r="O133" s="99">
        <f>O132+1</f>
        <v>22</v>
      </c>
      <c r="P133" s="99" t="str">
        <f t="shared" si="65"/>
        <v xml:space="preserve">  </v>
      </c>
      <c r="Q133" s="76" t="str">
        <f>P133</f>
        <v xml:space="preserve">  </v>
      </c>
      <c r="R133" s="77" t="str">
        <f>VLOOKUP(Q133,STN_TABLE,2,FALSE)</f>
        <v xml:space="preserve">  </v>
      </c>
      <c r="S133" s="77">
        <v>8</v>
      </c>
      <c r="T133" s="76" t="e">
        <f>R133*S133</f>
        <v>#VALUE!</v>
      </c>
      <c r="U133" s="80">
        <v>10</v>
      </c>
      <c r="V133" s="76" t="e">
        <f>R133*U133</f>
        <v>#VALUE!</v>
      </c>
      <c r="W133" s="496" t="s">
        <v>97</v>
      </c>
      <c r="X133" s="496"/>
      <c r="Y133" s="496" t="s">
        <v>98</v>
      </c>
      <c r="Z133" s="496"/>
      <c r="AA133" s="494" t="s">
        <v>99</v>
      </c>
      <c r="AB133" s="494"/>
      <c r="AC133" s="99">
        <f>AC128+1</f>
        <v>21</v>
      </c>
      <c r="AD133" s="95" t="str">
        <f>VLOOKUP(AC133,STN_TABLE_2,2,FALSE)</f>
        <v xml:space="preserve">  </v>
      </c>
      <c r="AE133" s="68" t="str">
        <f>VLOOKUP(AD133,STN_TABLE,2,FALSE)</f>
        <v xml:space="preserve">  </v>
      </c>
      <c r="AF133" s="68">
        <v>1</v>
      </c>
      <c r="AG133" s="69" t="e">
        <f>AE133*AF133</f>
        <v>#VALUE!</v>
      </c>
      <c r="AH133" s="496" t="s">
        <v>97</v>
      </c>
      <c r="AI133" s="496"/>
      <c r="AJ133" s="496" t="s">
        <v>98</v>
      </c>
      <c r="AK133" s="496"/>
      <c r="AL133" s="494" t="s">
        <v>99</v>
      </c>
      <c r="AM133" s="494"/>
      <c r="AP133" s="86" t="s">
        <v>112</v>
      </c>
      <c r="AQ133" s="89" t="s">
        <v>113</v>
      </c>
      <c r="AR133" s="89" t="s">
        <v>114</v>
      </c>
      <c r="AS133" s="89" t="s">
        <v>115</v>
      </c>
      <c r="AU133" s="81"/>
    </row>
    <row r="134" spans="1:47" x14ac:dyDescent="0.25">
      <c r="A134" s="84">
        <f>A133+1</f>
        <v>21</v>
      </c>
      <c r="B134" s="84" t="str">
        <f t="shared" si="48"/>
        <v xml:space="preserve">  </v>
      </c>
      <c r="C134" s="88" t="str">
        <f t="shared" ref="C134" si="67">B135</f>
        <v xml:space="preserve">  </v>
      </c>
      <c r="D134" s="82" t="str">
        <f>VLOOKUP(C134,STN_TABLE,2,FALSE)</f>
        <v xml:space="preserve">  </v>
      </c>
      <c r="E134" s="92">
        <v>1</v>
      </c>
      <c r="F134" s="82" t="e">
        <f>D134*E134</f>
        <v>#VALUE!</v>
      </c>
      <c r="G134" s="83" t="str">
        <f>C134</f>
        <v xml:space="preserve">  </v>
      </c>
      <c r="H134" s="83" t="e">
        <f>F134*G134</f>
        <v>#VALUE!</v>
      </c>
      <c r="I134" s="84" t="str">
        <f>CONCATENATE("a'(",C134,")=")</f>
        <v>a'(  )=</v>
      </c>
      <c r="J134" s="84" t="e">
        <f>2*J132/3*F135</f>
        <v>#VALUE!</v>
      </c>
      <c r="K134" s="84" t="e">
        <f>CONCATENATE("A(",C132,")=")</f>
        <v>#VALUE!</v>
      </c>
      <c r="L134" s="84" t="e">
        <f>VLOOKUP(C132,STN_TABLE,3,FALSE)</f>
        <v>#VALUE!</v>
      </c>
      <c r="M134" t="str">
        <f>CONCATENATE("A(",C134,")=")</f>
        <v>A(  )=</v>
      </c>
      <c r="N134" t="e">
        <f>J134+L134</f>
        <v>#VALUE!</v>
      </c>
      <c r="O134" s="99">
        <f>O133+1</f>
        <v>23</v>
      </c>
      <c r="P134" s="99" t="str">
        <f t="shared" si="65"/>
        <v xml:space="preserve">  </v>
      </c>
      <c r="Q134" s="82" t="e">
        <f>IF(P134-P133=P133-P132,P134,IF(P135-P133=P133-P132,P135,IF(P134-P133=P133-P131,P134,IF(P135-P133=P133-P131,P135,"-"))))</f>
        <v>#VALUE!</v>
      </c>
      <c r="R134" s="83" t="e">
        <f>VLOOKUP(Q134,STN_TABLE,2,FALSE)</f>
        <v>#VALUE!</v>
      </c>
      <c r="S134" s="83">
        <v>-1</v>
      </c>
      <c r="T134" s="82" t="e">
        <f>R134*S134</f>
        <v>#VALUE!</v>
      </c>
      <c r="U134" s="88">
        <v>-1</v>
      </c>
      <c r="V134" s="82" t="e">
        <f>R134*U134</f>
        <v>#VALUE!</v>
      </c>
      <c r="W134" s="84" t="str">
        <f>CONCATENATE("a'(",Q133,")=")</f>
        <v>a'(  )=</v>
      </c>
      <c r="X134" s="84" t="e">
        <f>2*X132/12*T135</f>
        <v>#VALUE!</v>
      </c>
      <c r="Y134" s="84" t="e">
        <f>CONCATENATE("A(",Q132,")=")</f>
        <v>#VALUE!</v>
      </c>
      <c r="Z134" s="84" t="e">
        <f>VLOOKUP(Q132,STN_TABLE,3,FALSE)</f>
        <v>#VALUE!</v>
      </c>
      <c r="AA134" t="str">
        <f>CONCATENATE("A(",Q133,")=")</f>
        <v>A(  )=</v>
      </c>
      <c r="AB134" t="e">
        <f>X134+Z134</f>
        <v>#VALUE!</v>
      </c>
      <c r="AC134" s="99">
        <f>AC133+1</f>
        <v>22</v>
      </c>
      <c r="AD134" s="100" t="str">
        <f>VLOOKUP(AC134,STN_TABLE_2,2,FALSE)</f>
        <v xml:space="preserve">  </v>
      </c>
      <c r="AE134" s="82" t="str">
        <f>VLOOKUP(AD134,STN_TABLE,2,FALSE)</f>
        <v xml:space="preserve">  </v>
      </c>
      <c r="AF134" s="82">
        <v>2</v>
      </c>
      <c r="AG134" s="83" t="e">
        <f>AE134*AF134</f>
        <v>#VALUE!</v>
      </c>
      <c r="AH134" s="84" t="str">
        <f>CONCATENATE("a'(",AD134,")=")</f>
        <v>a'(  )=</v>
      </c>
      <c r="AI134" s="84" t="e">
        <f>2*AI132/2*AE135</f>
        <v>#VALUE!</v>
      </c>
      <c r="AJ134" s="84" t="str">
        <f>CONCATENATE("A(",AD133,")=")</f>
        <v>A(  )=</v>
      </c>
      <c r="AK134" s="84" t="str">
        <f>VLOOKUP(AD133,STN_TABLE,3,FALSE)</f>
        <v xml:space="preserve"> </v>
      </c>
      <c r="AL134" t="str">
        <f>CONCATENATE("A(",AD134,")=")</f>
        <v>A(  )=</v>
      </c>
      <c r="AM134" t="e">
        <f>AI134+AK134</f>
        <v>#VALUE!</v>
      </c>
      <c r="AO134" s="68" t="str">
        <f>AA134</f>
        <v>A(  )=</v>
      </c>
      <c r="AP134" s="68" t="e">
        <f>VLOOKUP(AO134,Rise_Results,2,FALSE)</f>
        <v>#N/A</v>
      </c>
      <c r="AQ134" s="76" t="e">
        <f>N134</f>
        <v>#VALUE!</v>
      </c>
      <c r="AR134" s="76" t="e">
        <f>IF(OR(AB134&lt;=0,AB135&lt;=0),1/0,AB134)</f>
        <v>#VALUE!</v>
      </c>
      <c r="AS134" s="76" t="e">
        <f>AM134</f>
        <v>#VALUE!</v>
      </c>
      <c r="AT134" t="e">
        <f>IFERROR(AP134,IFERROR(AQ134,IFERROR(AR134,AS134)))</f>
        <v>#VALUE!</v>
      </c>
      <c r="AU134" s="81"/>
    </row>
    <row r="135" spans="1:47" x14ac:dyDescent="0.25">
      <c r="A135" s="84">
        <f>A134+1</f>
        <v>22</v>
      </c>
      <c r="B135" s="84" t="str">
        <f t="shared" si="48"/>
        <v xml:space="preserve">  </v>
      </c>
      <c r="F135" s="82" t="e">
        <f>SUM(F132:F134)</f>
        <v>#VALUE!</v>
      </c>
      <c r="H135" s="82" t="e">
        <f>SUM(H132:H134)</f>
        <v>#VALUE!</v>
      </c>
      <c r="I135" s="84" t="str">
        <f>CONCATENATE("m'(",C134,")=")</f>
        <v>m'(  )=</v>
      </c>
      <c r="J135" s="84" t="e">
        <f>2*(J132*(WLS))/3*H135</f>
        <v>#VALUE!</v>
      </c>
      <c r="K135" s="84" t="e">
        <f>CONCATENATE("M(",C132,")=")</f>
        <v>#VALUE!</v>
      </c>
      <c r="L135" s="84" t="e">
        <f>VLOOKUP(C132,STN_TABLE,4,FALSE)</f>
        <v>#VALUE!</v>
      </c>
      <c r="M135" t="str">
        <f>CONCATENATE("M(",C134,")=")</f>
        <v>M(  )=</v>
      </c>
      <c r="N135" t="e">
        <f>J135+L135</f>
        <v>#VALUE!</v>
      </c>
      <c r="O135" s="99">
        <f>O134+1</f>
        <v>24</v>
      </c>
      <c r="P135" s="99" t="str">
        <f t="shared" si="65"/>
        <v xml:space="preserve">  </v>
      </c>
      <c r="T135" s="89" t="e">
        <f>SUM(T132:T134)</f>
        <v>#VALUE!</v>
      </c>
      <c r="V135" s="82" t="e">
        <f>SUM(V132:V134)</f>
        <v>#VALUE!</v>
      </c>
      <c r="W135" s="84" t="str">
        <f>CONCATENATE("m'(",Q133,")=")</f>
        <v>m'(  )=</v>
      </c>
      <c r="X135" s="84" t="e">
        <f>(2*(X132^2)/24*V135)+(X134*Q132*WLS)</f>
        <v>#VALUE!</v>
      </c>
      <c r="Y135" s="84" t="e">
        <f>CONCATENATE("M(",Q132,")=")</f>
        <v>#VALUE!</v>
      </c>
      <c r="Z135" s="84" t="e">
        <f>VLOOKUP(Q132,STN_TABLE,4,FALSE)</f>
        <v>#VALUE!</v>
      </c>
      <c r="AA135" t="str">
        <f>CONCATENATE("M(",Q133,")=")</f>
        <v>M(  )=</v>
      </c>
      <c r="AB135" t="e">
        <f>X135+Z135</f>
        <v>#VALUE!</v>
      </c>
      <c r="AE135" s="89">
        <f>SUM(AE133:AE134)</f>
        <v>0</v>
      </c>
      <c r="AG135" s="89" t="e">
        <f>SUM(AG133:AG134)</f>
        <v>#VALUE!</v>
      </c>
      <c r="AH135" s="84" t="str">
        <f>CONCATENATE("m'(",AD134,")=")</f>
        <v>m'(  )=</v>
      </c>
      <c r="AI135" s="84" t="e">
        <f>(2*(AI132^2)/6*AG135)+(AI134*AD133*WLS)</f>
        <v>#VALUE!</v>
      </c>
      <c r="AJ135" s="84" t="str">
        <f>CONCATENATE("M(",AD133,")=")</f>
        <v>M(  )=</v>
      </c>
      <c r="AK135" s="84" t="str">
        <f>VLOOKUP(AD133,STN_TABLE,4,FALSE)</f>
        <v xml:space="preserve"> </v>
      </c>
      <c r="AL135" t="str">
        <f>CONCATENATE("M(",AD134,")=")</f>
        <v>M(  )=</v>
      </c>
      <c r="AM135" t="e">
        <f>AI135+AK135</f>
        <v>#VALUE!</v>
      </c>
      <c r="AO135" s="82" t="str">
        <f>AA135</f>
        <v>M(  )=</v>
      </c>
      <c r="AP135" s="82" t="e">
        <f>VLOOKUP(AO135,Rise_Results,2,FALSE)</f>
        <v>#N/A</v>
      </c>
      <c r="AQ135" s="82" t="e">
        <f>N135</f>
        <v>#VALUE!</v>
      </c>
      <c r="AR135" s="82" t="e">
        <f>IF(OR(AB134&lt;=0,AB135&lt;=0),1/0,AB135)</f>
        <v>#VALUE!</v>
      </c>
      <c r="AS135" s="82" t="e">
        <f>AM135</f>
        <v>#VALUE!</v>
      </c>
      <c r="AT135" t="e">
        <f>IFERROR(AP135,IFERROR(AQ135,IFERROR(AR135,AS135)))</f>
        <v>#VALUE!</v>
      </c>
      <c r="AU135" s="81"/>
    </row>
    <row r="136" spans="1:47" x14ac:dyDescent="0.25">
      <c r="A136" s="101">
        <f>A131+1</f>
        <v>19</v>
      </c>
      <c r="B136" s="101" t="str">
        <f t="shared" si="48"/>
        <v xml:space="preserve">  </v>
      </c>
      <c r="O136" s="101">
        <f>O131+1</f>
        <v>21</v>
      </c>
      <c r="P136" s="101" t="str">
        <f t="shared" si="65"/>
        <v xml:space="preserve">  </v>
      </c>
      <c r="AU136" s="81"/>
    </row>
    <row r="137" spans="1:47" x14ac:dyDescent="0.25">
      <c r="A137" s="84">
        <f>A136+1</f>
        <v>20</v>
      </c>
      <c r="B137" s="84" t="str">
        <f t="shared" si="48"/>
        <v xml:space="preserve">  </v>
      </c>
      <c r="C137" s="79" t="e">
        <f t="shared" ref="C137" si="68">IF(C138=B139,IF(C139-C138=C138-B138,B138,IF(C139-C138=C138-B137,B137,"#NA")),IF(C138=B138,IF(C139-C138=C138-B137,B137,IF(C139-C138=C138-B136,B136,"#NA")),"#NA"))</f>
        <v>#VALUE!</v>
      </c>
      <c r="D137" s="68" t="e">
        <f>VLOOKUP(C137,STN_TABLE,2,FALSE)</f>
        <v>#VALUE!</v>
      </c>
      <c r="E137" s="102">
        <v>1</v>
      </c>
      <c r="F137" s="68" t="e">
        <f>D137*E137</f>
        <v>#VALUE!</v>
      </c>
      <c r="G137" s="69" t="e">
        <f>C137</f>
        <v>#VALUE!</v>
      </c>
      <c r="H137" s="69" t="e">
        <f>F137*G137</f>
        <v>#VALUE!</v>
      </c>
      <c r="I137" s="6" t="s">
        <v>93</v>
      </c>
      <c r="J137" s="70" t="e">
        <f>IF(OR(D137=0,D138=0,D139=0),"#NA",IF(AND(C139-C138=C138-C137,C138&lt;&gt;C139,C137&lt;&gt;C138,C137&lt;&gt;C139,D139&lt;&gt;0,OR(D137&lt;&gt;0,D138&lt;&gt;0)),WLS*(C139-C138),"#NA"))</f>
        <v>#VALUE!</v>
      </c>
      <c r="O137" s="99">
        <f>O136+1</f>
        <v>22</v>
      </c>
      <c r="P137" s="99" t="str">
        <f t="shared" si="65"/>
        <v xml:space="preserve">  </v>
      </c>
      <c r="Q137" s="68" t="e">
        <f>IF(OR(P139-P138=P138-P137,P140-P138=P138-P137),P137,IF(OR(P139-P138=P138-P136,P140-P138=P138-P136),P136,"-"))</f>
        <v>#VALUE!</v>
      </c>
      <c r="R137" s="69" t="e">
        <f>VLOOKUP(Q137,STN_TABLE,2,FALSE)</f>
        <v>#VALUE!</v>
      </c>
      <c r="S137" s="69">
        <v>5</v>
      </c>
      <c r="T137" s="68" t="e">
        <f>R137*S137</f>
        <v>#VALUE!</v>
      </c>
      <c r="U137" s="79">
        <v>3</v>
      </c>
      <c r="V137" s="68" t="e">
        <f>R137*U137</f>
        <v>#VALUE!</v>
      </c>
      <c r="W137" s="6" t="s">
        <v>93</v>
      </c>
      <c r="X137" s="70" t="e">
        <f>IF(AND(Q139-Q138=Q138-Q137,NOT(AND(Q137=0,Q138=0)),NOT(AND(Q138=0,Q139=0))),WLS*(Q139-Q138),"#NA")</f>
        <v>#VALUE!</v>
      </c>
      <c r="AD137" s="93"/>
      <c r="AH137" s="6" t="s">
        <v>93</v>
      </c>
      <c r="AI137" s="70" t="e">
        <f>WLS*(AD139-AD138)</f>
        <v>#VALUE!</v>
      </c>
      <c r="AU137" s="81"/>
    </row>
    <row r="138" spans="1:47" x14ac:dyDescent="0.25">
      <c r="A138" s="84">
        <f>A137+1</f>
        <v>21</v>
      </c>
      <c r="B138" s="84" t="str">
        <f t="shared" ref="B138:B150" si="69">VLOOKUP(A138,STN_TABLE_2,2,FALSE)</f>
        <v xml:space="preserve">  </v>
      </c>
      <c r="C138" s="80" t="e">
        <f t="shared" ref="C138" si="70">IF(OR(B140-B139=B139-B138,B140-B139=B139-B137,B140-B139=B139-B136),B139,IF(OR(B140-B138=B138-B137,B140-B138=B138-B136),B138,IF(B140-B137=B137-B136,B137,"#NA")))</f>
        <v>#VALUE!</v>
      </c>
      <c r="D138" s="76" t="e">
        <f>VLOOKUP(C138,STN_TABLE,2,FALSE)</f>
        <v>#VALUE!</v>
      </c>
      <c r="E138" s="81">
        <v>4</v>
      </c>
      <c r="F138" s="76" t="e">
        <f>D138*E138</f>
        <v>#VALUE!</v>
      </c>
      <c r="G138" s="77" t="e">
        <f>C138</f>
        <v>#VALUE!</v>
      </c>
      <c r="H138" s="77" t="e">
        <f>F138*G138</f>
        <v>#VALUE!</v>
      </c>
      <c r="I138" s="495" t="s">
        <v>97</v>
      </c>
      <c r="J138" s="496"/>
      <c r="K138" s="78" t="s">
        <v>98</v>
      </c>
      <c r="L138" s="78"/>
      <c r="M138" s="7" t="s">
        <v>99</v>
      </c>
      <c r="N138" s="7"/>
      <c r="O138" s="99">
        <f>O137+1</f>
        <v>23</v>
      </c>
      <c r="P138" s="99" t="str">
        <f t="shared" si="65"/>
        <v xml:space="preserve">  </v>
      </c>
      <c r="Q138" s="76" t="str">
        <f>P138</f>
        <v xml:space="preserve">  </v>
      </c>
      <c r="R138" s="77" t="str">
        <f>VLOOKUP(Q138,STN_TABLE,2,FALSE)</f>
        <v xml:space="preserve">  </v>
      </c>
      <c r="S138" s="77">
        <v>8</v>
      </c>
      <c r="T138" s="76" t="e">
        <f>R138*S138</f>
        <v>#VALUE!</v>
      </c>
      <c r="U138" s="80">
        <v>10</v>
      </c>
      <c r="V138" s="76" t="e">
        <f>R138*U138</f>
        <v>#VALUE!</v>
      </c>
      <c r="W138" s="496" t="s">
        <v>97</v>
      </c>
      <c r="X138" s="496"/>
      <c r="Y138" s="496" t="s">
        <v>98</v>
      </c>
      <c r="Z138" s="496"/>
      <c r="AA138" s="494" t="s">
        <v>99</v>
      </c>
      <c r="AB138" s="494"/>
      <c r="AC138" s="99">
        <f>AC133+1</f>
        <v>22</v>
      </c>
      <c r="AD138" s="95" t="str">
        <f>VLOOKUP(AC138,STN_TABLE_2,2,FALSE)</f>
        <v xml:space="preserve">  </v>
      </c>
      <c r="AE138" s="68" t="str">
        <f>VLOOKUP(AD138,STN_TABLE,2,FALSE)</f>
        <v xml:space="preserve">  </v>
      </c>
      <c r="AF138" s="68">
        <v>1</v>
      </c>
      <c r="AG138" s="69" t="e">
        <f>AE138*AF138</f>
        <v>#VALUE!</v>
      </c>
      <c r="AH138" s="496" t="s">
        <v>97</v>
      </c>
      <c r="AI138" s="496"/>
      <c r="AJ138" s="496" t="s">
        <v>98</v>
      </c>
      <c r="AK138" s="496"/>
      <c r="AL138" s="494" t="s">
        <v>99</v>
      </c>
      <c r="AM138" s="494"/>
      <c r="AP138" s="86" t="s">
        <v>112</v>
      </c>
      <c r="AQ138" s="89" t="s">
        <v>113</v>
      </c>
      <c r="AR138" s="89" t="s">
        <v>114</v>
      </c>
      <c r="AS138" s="89" t="s">
        <v>115</v>
      </c>
      <c r="AU138" s="81"/>
    </row>
    <row r="139" spans="1:47" x14ac:dyDescent="0.25">
      <c r="A139" s="84">
        <f>A138+1</f>
        <v>22</v>
      </c>
      <c r="B139" s="84" t="str">
        <f t="shared" si="69"/>
        <v xml:space="preserve">  </v>
      </c>
      <c r="C139" s="88" t="str">
        <f t="shared" ref="C139" si="71">B140</f>
        <v xml:space="preserve">  </v>
      </c>
      <c r="D139" s="82" t="str">
        <f>VLOOKUP(C139,STN_TABLE,2,FALSE)</f>
        <v xml:space="preserve">  </v>
      </c>
      <c r="E139" s="92">
        <v>1</v>
      </c>
      <c r="F139" s="82" t="e">
        <f>D139*E139</f>
        <v>#VALUE!</v>
      </c>
      <c r="G139" s="83" t="str">
        <f>C139</f>
        <v xml:space="preserve">  </v>
      </c>
      <c r="H139" s="83" t="e">
        <f>F139*G139</f>
        <v>#VALUE!</v>
      </c>
      <c r="I139" s="84" t="str">
        <f>CONCATENATE("a'(",C139,")=")</f>
        <v>a'(  )=</v>
      </c>
      <c r="J139" s="84" t="e">
        <f>2*J137/3*F140</f>
        <v>#VALUE!</v>
      </c>
      <c r="K139" s="84" t="e">
        <f>CONCATENATE("A(",C137,")=")</f>
        <v>#VALUE!</v>
      </c>
      <c r="L139" s="84" t="e">
        <f>VLOOKUP(C137,STN_TABLE,3,FALSE)</f>
        <v>#VALUE!</v>
      </c>
      <c r="M139" t="str">
        <f>CONCATENATE("A(",C139,")=")</f>
        <v>A(  )=</v>
      </c>
      <c r="N139" t="e">
        <f>J139+L139</f>
        <v>#VALUE!</v>
      </c>
      <c r="O139" s="99">
        <f>O138+1</f>
        <v>24</v>
      </c>
      <c r="P139" s="99" t="str">
        <f t="shared" si="65"/>
        <v xml:space="preserve">  </v>
      </c>
      <c r="Q139" s="82" t="e">
        <f>IF(P139-P138=P138-P137,P139,IF(P140-P138=P138-P137,P140,IF(P139-P138=P138-P136,P139,IF(P140-P138=P138-P136,P140,"-"))))</f>
        <v>#VALUE!</v>
      </c>
      <c r="R139" s="83" t="e">
        <f>VLOOKUP(Q139,STN_TABLE,2,FALSE)</f>
        <v>#VALUE!</v>
      </c>
      <c r="S139" s="83">
        <v>-1</v>
      </c>
      <c r="T139" s="82" t="e">
        <f>R139*S139</f>
        <v>#VALUE!</v>
      </c>
      <c r="U139" s="88">
        <v>-1</v>
      </c>
      <c r="V139" s="82" t="e">
        <f>R139*U139</f>
        <v>#VALUE!</v>
      </c>
      <c r="W139" s="84" t="str">
        <f>CONCATENATE("a'(",Q138,")=")</f>
        <v>a'(  )=</v>
      </c>
      <c r="X139" s="84" t="e">
        <f>2*X137/12*T140</f>
        <v>#VALUE!</v>
      </c>
      <c r="Y139" s="84" t="e">
        <f>CONCATENATE("A(",Q137,")=")</f>
        <v>#VALUE!</v>
      </c>
      <c r="Z139" s="84" t="e">
        <f>VLOOKUP(Q137,STN_TABLE,3,FALSE)</f>
        <v>#VALUE!</v>
      </c>
      <c r="AA139" t="str">
        <f>CONCATENATE("A(",Q138,")=")</f>
        <v>A(  )=</v>
      </c>
      <c r="AB139" t="e">
        <f>X139+Z139</f>
        <v>#VALUE!</v>
      </c>
      <c r="AC139" s="99">
        <f>AC138+1</f>
        <v>23</v>
      </c>
      <c r="AD139" s="100" t="str">
        <f>VLOOKUP(AC139,STN_TABLE_2,2,FALSE)</f>
        <v xml:space="preserve">  </v>
      </c>
      <c r="AE139" s="82" t="str">
        <f>VLOOKUP(AD139,STN_TABLE,2,FALSE)</f>
        <v xml:space="preserve">  </v>
      </c>
      <c r="AF139" s="82">
        <v>2</v>
      </c>
      <c r="AG139" s="83" t="e">
        <f>AE139*AF139</f>
        <v>#VALUE!</v>
      </c>
      <c r="AH139" s="84" t="str">
        <f>CONCATENATE("a'(",AD139,")=")</f>
        <v>a'(  )=</v>
      </c>
      <c r="AI139" s="84" t="e">
        <f>2*AI137/2*AE140</f>
        <v>#VALUE!</v>
      </c>
      <c r="AJ139" s="84" t="str">
        <f>CONCATENATE("A(",AD138,")=")</f>
        <v>A(  )=</v>
      </c>
      <c r="AK139" s="84" t="str">
        <f>VLOOKUP(AD138,STN_TABLE,3,FALSE)</f>
        <v xml:space="preserve"> </v>
      </c>
      <c r="AL139" t="str">
        <f>CONCATENATE("A(",AD139,")=")</f>
        <v>A(  )=</v>
      </c>
      <c r="AM139" t="e">
        <f>AI139+AK139</f>
        <v>#VALUE!</v>
      </c>
      <c r="AO139" s="68" t="str">
        <f>AA139</f>
        <v>A(  )=</v>
      </c>
      <c r="AP139" s="68" t="e">
        <f>VLOOKUP(AO139,Rise_Results,2,FALSE)</f>
        <v>#N/A</v>
      </c>
      <c r="AQ139" s="76" t="e">
        <f>N139</f>
        <v>#VALUE!</v>
      </c>
      <c r="AR139" s="76" t="e">
        <f>IF(OR(AB139&lt;=0,AB140&lt;=0),1/0,AB139)</f>
        <v>#VALUE!</v>
      </c>
      <c r="AS139" s="76" t="e">
        <f>AM139</f>
        <v>#VALUE!</v>
      </c>
      <c r="AT139" t="e">
        <f>IFERROR(AP139,IFERROR(AQ139,IFERROR(AR139,AS139)))</f>
        <v>#VALUE!</v>
      </c>
      <c r="AU139" s="81"/>
    </row>
    <row r="140" spans="1:47" x14ac:dyDescent="0.25">
      <c r="A140" s="84">
        <f>A139+1</f>
        <v>23</v>
      </c>
      <c r="B140" s="84" t="str">
        <f t="shared" si="69"/>
        <v xml:space="preserve">  </v>
      </c>
      <c r="F140" s="82" t="e">
        <f>SUM(F137:F139)</f>
        <v>#VALUE!</v>
      </c>
      <c r="H140" s="82" t="e">
        <f>SUM(H137:H139)</f>
        <v>#VALUE!</v>
      </c>
      <c r="I140" s="84" t="str">
        <f>CONCATENATE("m'(",C139,")=")</f>
        <v>m'(  )=</v>
      </c>
      <c r="J140" s="84" t="e">
        <f>2*(J137*(WLS))/3*H140</f>
        <v>#VALUE!</v>
      </c>
      <c r="K140" s="84" t="e">
        <f>CONCATENATE("M(",C137,")=")</f>
        <v>#VALUE!</v>
      </c>
      <c r="L140" s="84" t="e">
        <f>VLOOKUP(C137,STN_TABLE,4,FALSE)</f>
        <v>#VALUE!</v>
      </c>
      <c r="M140" t="str">
        <f>CONCATENATE("M(",C139,")=")</f>
        <v>M(  )=</v>
      </c>
      <c r="N140" t="e">
        <f>J140+L140</f>
        <v>#VALUE!</v>
      </c>
      <c r="O140" s="99">
        <f>O139+1</f>
        <v>25</v>
      </c>
      <c r="P140" s="99" t="str">
        <f t="shared" si="65"/>
        <v xml:space="preserve">  </v>
      </c>
      <c r="T140" s="89" t="e">
        <f>SUM(T137:T139)</f>
        <v>#VALUE!</v>
      </c>
      <c r="V140" s="82" t="e">
        <f>SUM(V137:V139)</f>
        <v>#VALUE!</v>
      </c>
      <c r="W140" s="84" t="str">
        <f>CONCATENATE("m'(",Q138,")=")</f>
        <v>m'(  )=</v>
      </c>
      <c r="X140" s="84" t="e">
        <f>(2*(X137^2)/24*V140)+(X139*Q137*WLS)</f>
        <v>#VALUE!</v>
      </c>
      <c r="Y140" s="84" t="e">
        <f>CONCATENATE("M(",Q137,")=")</f>
        <v>#VALUE!</v>
      </c>
      <c r="Z140" s="84" t="e">
        <f>VLOOKUP(Q137,STN_TABLE,4,FALSE)</f>
        <v>#VALUE!</v>
      </c>
      <c r="AA140" t="str">
        <f>CONCATENATE("M(",Q138,")=")</f>
        <v>M(  )=</v>
      </c>
      <c r="AB140" t="e">
        <f>X140+Z140</f>
        <v>#VALUE!</v>
      </c>
      <c r="AE140" s="89">
        <f>SUM(AE138:AE139)</f>
        <v>0</v>
      </c>
      <c r="AG140" s="89" t="e">
        <f>SUM(AG138:AG139)</f>
        <v>#VALUE!</v>
      </c>
      <c r="AH140" s="84" t="str">
        <f>CONCATENATE("m'(",AD139,")=")</f>
        <v>m'(  )=</v>
      </c>
      <c r="AI140" s="84" t="e">
        <f>(2*(AI137^2)/6*AG140)+(AI139*AD138*WLS)</f>
        <v>#VALUE!</v>
      </c>
      <c r="AJ140" s="84" t="str">
        <f>CONCATENATE("M(",AD138,")=")</f>
        <v>M(  )=</v>
      </c>
      <c r="AK140" s="84" t="str">
        <f>VLOOKUP(AD138,STN_TABLE,4,FALSE)</f>
        <v xml:space="preserve"> </v>
      </c>
      <c r="AL140" t="str">
        <f>CONCATENATE("M(",AD139,")=")</f>
        <v>M(  )=</v>
      </c>
      <c r="AM140" t="e">
        <f>AI140+AK140</f>
        <v>#VALUE!</v>
      </c>
      <c r="AO140" s="82" t="str">
        <f>AA140</f>
        <v>M(  )=</v>
      </c>
      <c r="AP140" s="82" t="e">
        <f>VLOOKUP(AO140,Rise_Results,2,FALSE)</f>
        <v>#N/A</v>
      </c>
      <c r="AQ140" s="82" t="e">
        <f>N140</f>
        <v>#VALUE!</v>
      </c>
      <c r="AR140" s="82" t="e">
        <f>IF(OR(AB139&lt;=0,AB140&lt;=0),1/0,AB140)</f>
        <v>#VALUE!</v>
      </c>
      <c r="AS140" s="82" t="e">
        <f>AM140</f>
        <v>#VALUE!</v>
      </c>
      <c r="AT140" t="e">
        <f>IFERROR(AP140,IFERROR(AQ140,IFERROR(AR140,AS140)))</f>
        <v>#VALUE!</v>
      </c>
      <c r="AU140" s="81"/>
    </row>
    <row r="141" spans="1:47" x14ac:dyDescent="0.25">
      <c r="A141" s="101">
        <f>A136+1</f>
        <v>20</v>
      </c>
      <c r="B141" s="101" t="str">
        <f t="shared" si="69"/>
        <v xml:space="preserve">  </v>
      </c>
      <c r="O141" s="101">
        <f>O136+1</f>
        <v>22</v>
      </c>
      <c r="P141" s="101" t="str">
        <f t="shared" si="65"/>
        <v xml:space="preserve">  </v>
      </c>
      <c r="AU141" s="81"/>
    </row>
    <row r="142" spans="1:47" x14ac:dyDescent="0.25">
      <c r="A142" s="84">
        <f>A141+1</f>
        <v>21</v>
      </c>
      <c r="B142" s="84" t="str">
        <f t="shared" si="69"/>
        <v xml:space="preserve">  </v>
      </c>
      <c r="C142" s="79" t="e">
        <f t="shared" ref="C142" si="72">IF(C143=B144,IF(C144-C143=C143-B143,B143,IF(C144-C143=C143-B142,B142,"#NA")),IF(C143=B143,IF(C144-C143=C143-B142,B142,IF(C144-C143=C143-B141,B141,"#NA")),"#NA"))</f>
        <v>#VALUE!</v>
      </c>
      <c r="D142" s="68" t="e">
        <f>VLOOKUP(C142,STN_TABLE,2,FALSE)</f>
        <v>#VALUE!</v>
      </c>
      <c r="E142" s="102">
        <v>1</v>
      </c>
      <c r="F142" s="68" t="e">
        <f>D142*E142</f>
        <v>#VALUE!</v>
      </c>
      <c r="G142" s="69" t="e">
        <f>C142</f>
        <v>#VALUE!</v>
      </c>
      <c r="H142" s="69" t="e">
        <f>F142*G142</f>
        <v>#VALUE!</v>
      </c>
      <c r="I142" s="6" t="s">
        <v>93</v>
      </c>
      <c r="J142" s="70" t="e">
        <f>IF(OR(D142=0,D143=0,D144=0),"#NA",IF(AND(C144-C143=C143-C142,C143&lt;&gt;C144,C142&lt;&gt;C143,C142&lt;&gt;C144,D144&lt;&gt;0,OR(D142&lt;&gt;0,D143&lt;&gt;0)),WLS*(C144-C143),"#NA"))</f>
        <v>#VALUE!</v>
      </c>
      <c r="O142" s="99">
        <f>O141+1</f>
        <v>23</v>
      </c>
      <c r="P142" s="99" t="str">
        <f t="shared" si="65"/>
        <v xml:space="preserve">  </v>
      </c>
      <c r="Q142" s="68" t="e">
        <f>IF(OR(P144-P143=P143-P142,P145-P143=P143-P142),P142,IF(OR(P144-P143=P143-P141,P145-P143=P143-P141),P141,"-"))</f>
        <v>#VALUE!</v>
      </c>
      <c r="R142" s="69" t="e">
        <f>VLOOKUP(Q142,STN_TABLE,2,FALSE)</f>
        <v>#VALUE!</v>
      </c>
      <c r="S142" s="69">
        <v>5</v>
      </c>
      <c r="T142" s="68" t="e">
        <f>R142*S142</f>
        <v>#VALUE!</v>
      </c>
      <c r="U142" s="79">
        <v>3</v>
      </c>
      <c r="V142" s="68" t="e">
        <f>R142*U142</f>
        <v>#VALUE!</v>
      </c>
      <c r="W142" s="6" t="s">
        <v>93</v>
      </c>
      <c r="X142" s="70" t="e">
        <f>IF(AND(Q144-Q143=Q143-Q142,NOT(AND(Q142=0,Q143=0)),NOT(AND(Q143=0,Q144=0))),WLS*(Q144-Q143),"#NA")</f>
        <v>#VALUE!</v>
      </c>
      <c r="AD142" s="93"/>
      <c r="AH142" s="6" t="s">
        <v>93</v>
      </c>
      <c r="AI142" s="70" t="e">
        <f>WLS*(AD144-AD143)</f>
        <v>#VALUE!</v>
      </c>
      <c r="AU142" s="81"/>
    </row>
    <row r="143" spans="1:47" x14ac:dyDescent="0.25">
      <c r="A143" s="84">
        <f>A142+1</f>
        <v>22</v>
      </c>
      <c r="B143" s="84" t="str">
        <f t="shared" si="69"/>
        <v xml:space="preserve">  </v>
      </c>
      <c r="C143" s="80" t="e">
        <f t="shared" ref="C143" si="73">IF(OR(B145-B144=B144-B143,B145-B144=B144-B142,B145-B144=B144-B141),B144,IF(OR(B145-B143=B143-B142,B145-B143=B143-B141),B143,IF(B145-B142=B142-B141,B142,"#NA")))</f>
        <v>#VALUE!</v>
      </c>
      <c r="D143" s="76" t="e">
        <f>VLOOKUP(C143,STN_TABLE,2,FALSE)</f>
        <v>#VALUE!</v>
      </c>
      <c r="E143" s="81">
        <v>4</v>
      </c>
      <c r="F143" s="76" t="e">
        <f>D143*E143</f>
        <v>#VALUE!</v>
      </c>
      <c r="G143" s="77" t="e">
        <f>C143</f>
        <v>#VALUE!</v>
      </c>
      <c r="H143" s="77" t="e">
        <f>F143*G143</f>
        <v>#VALUE!</v>
      </c>
      <c r="I143" s="495" t="s">
        <v>97</v>
      </c>
      <c r="J143" s="496"/>
      <c r="K143" s="78" t="s">
        <v>98</v>
      </c>
      <c r="L143" s="78"/>
      <c r="M143" s="7" t="s">
        <v>99</v>
      </c>
      <c r="N143" s="7"/>
      <c r="O143" s="99">
        <f>O142+1</f>
        <v>24</v>
      </c>
      <c r="P143" s="99" t="str">
        <f t="shared" si="65"/>
        <v xml:space="preserve">  </v>
      </c>
      <c r="Q143" s="76" t="str">
        <f>P143</f>
        <v xml:space="preserve">  </v>
      </c>
      <c r="R143" s="77" t="str">
        <f>VLOOKUP(Q143,STN_TABLE,2,FALSE)</f>
        <v xml:space="preserve">  </v>
      </c>
      <c r="S143" s="77">
        <v>8</v>
      </c>
      <c r="T143" s="76" t="e">
        <f>R143*S143</f>
        <v>#VALUE!</v>
      </c>
      <c r="U143" s="80">
        <v>10</v>
      </c>
      <c r="V143" s="76" t="e">
        <f>R143*U143</f>
        <v>#VALUE!</v>
      </c>
      <c r="W143" s="496" t="s">
        <v>97</v>
      </c>
      <c r="X143" s="496"/>
      <c r="Y143" s="496" t="s">
        <v>98</v>
      </c>
      <c r="Z143" s="496"/>
      <c r="AA143" s="494" t="s">
        <v>99</v>
      </c>
      <c r="AB143" s="494"/>
      <c r="AC143" s="99">
        <f>AC138+1</f>
        <v>23</v>
      </c>
      <c r="AD143" s="95" t="str">
        <f>VLOOKUP(AC143,STN_TABLE_2,2,FALSE)</f>
        <v xml:space="preserve">  </v>
      </c>
      <c r="AE143" s="68" t="str">
        <f>VLOOKUP(AD143,STN_TABLE,2,FALSE)</f>
        <v xml:space="preserve">  </v>
      </c>
      <c r="AF143" s="68">
        <v>1</v>
      </c>
      <c r="AG143" s="69" t="e">
        <f>AE143*AF143</f>
        <v>#VALUE!</v>
      </c>
      <c r="AH143" s="496" t="s">
        <v>97</v>
      </c>
      <c r="AI143" s="496"/>
      <c r="AJ143" s="496" t="s">
        <v>98</v>
      </c>
      <c r="AK143" s="496"/>
      <c r="AL143" s="494" t="s">
        <v>99</v>
      </c>
      <c r="AM143" s="494"/>
      <c r="AP143" s="86" t="s">
        <v>112</v>
      </c>
      <c r="AQ143" s="89" t="s">
        <v>113</v>
      </c>
      <c r="AR143" s="89" t="s">
        <v>114</v>
      </c>
      <c r="AS143" s="89" t="s">
        <v>115</v>
      </c>
      <c r="AU143" s="81"/>
    </row>
    <row r="144" spans="1:47" x14ac:dyDescent="0.25">
      <c r="A144" s="84">
        <f>A143+1</f>
        <v>23</v>
      </c>
      <c r="B144" s="84" t="str">
        <f t="shared" si="69"/>
        <v xml:space="preserve">  </v>
      </c>
      <c r="C144" s="88" t="str">
        <f t="shared" ref="C144" si="74">B145</f>
        <v xml:space="preserve">  </v>
      </c>
      <c r="D144" s="82" t="str">
        <f>VLOOKUP(C144,STN_TABLE,2,FALSE)</f>
        <v xml:space="preserve">  </v>
      </c>
      <c r="E144" s="92">
        <v>1</v>
      </c>
      <c r="F144" s="82" t="e">
        <f>D144*E144</f>
        <v>#VALUE!</v>
      </c>
      <c r="G144" s="83" t="str">
        <f>C144</f>
        <v xml:space="preserve">  </v>
      </c>
      <c r="H144" s="83" t="e">
        <f>F144*G144</f>
        <v>#VALUE!</v>
      </c>
      <c r="I144" s="84" t="str">
        <f>CONCATENATE("a'(",C144,")=")</f>
        <v>a'(  )=</v>
      </c>
      <c r="J144" s="84" t="e">
        <f>2*J142/3*F145</f>
        <v>#VALUE!</v>
      </c>
      <c r="K144" s="84" t="e">
        <f>CONCATENATE("A(",C142,")=")</f>
        <v>#VALUE!</v>
      </c>
      <c r="L144" s="84" t="e">
        <f>VLOOKUP(C142,STN_TABLE,3,FALSE)</f>
        <v>#VALUE!</v>
      </c>
      <c r="M144" t="str">
        <f>CONCATENATE("A(",C144,")=")</f>
        <v>A(  )=</v>
      </c>
      <c r="N144" t="e">
        <f>J144+L144</f>
        <v>#VALUE!</v>
      </c>
      <c r="O144" s="99">
        <f>O143+1</f>
        <v>25</v>
      </c>
      <c r="P144" s="99" t="str">
        <f t="shared" si="65"/>
        <v xml:space="preserve">  </v>
      </c>
      <c r="Q144" s="82" t="e">
        <f>IF(P144-P143=P143-P142,P144,IF(P145-P143=P143-P142,P145,IF(P144-P143=P143-P141,P144,IF(P145-P143=P143-P141,P145,"-"))))</f>
        <v>#VALUE!</v>
      </c>
      <c r="R144" s="83" t="e">
        <f>VLOOKUP(Q144,STN_TABLE,2,FALSE)</f>
        <v>#VALUE!</v>
      </c>
      <c r="S144" s="83">
        <v>-1</v>
      </c>
      <c r="T144" s="82" t="e">
        <f>R144*S144</f>
        <v>#VALUE!</v>
      </c>
      <c r="U144" s="88">
        <v>-1</v>
      </c>
      <c r="V144" s="82" t="e">
        <f>R144*U144</f>
        <v>#VALUE!</v>
      </c>
      <c r="W144" s="84" t="str">
        <f>CONCATENATE("a'(",Q143,")=")</f>
        <v>a'(  )=</v>
      </c>
      <c r="X144" s="84" t="e">
        <f>2*X142/12*T145</f>
        <v>#VALUE!</v>
      </c>
      <c r="Y144" s="84" t="e">
        <f>CONCATENATE("A(",Q142,")=")</f>
        <v>#VALUE!</v>
      </c>
      <c r="Z144" s="84" t="e">
        <f>VLOOKUP(Q142,STN_TABLE,3,FALSE)</f>
        <v>#VALUE!</v>
      </c>
      <c r="AA144" t="str">
        <f>CONCATENATE("A(",Q143,")=")</f>
        <v>A(  )=</v>
      </c>
      <c r="AB144" t="e">
        <f>X144+Z144</f>
        <v>#VALUE!</v>
      </c>
      <c r="AC144" s="99">
        <f>AC143+1</f>
        <v>24</v>
      </c>
      <c r="AD144" s="100" t="str">
        <f>VLOOKUP(AC144,STN_TABLE_2,2,FALSE)</f>
        <v xml:space="preserve">  </v>
      </c>
      <c r="AE144" s="82" t="str">
        <f>VLOOKUP(AD144,STN_TABLE,2,FALSE)</f>
        <v xml:space="preserve">  </v>
      </c>
      <c r="AF144" s="82">
        <v>2</v>
      </c>
      <c r="AG144" s="83" t="e">
        <f>AE144*AF144</f>
        <v>#VALUE!</v>
      </c>
      <c r="AH144" s="84" t="str">
        <f>CONCATENATE("a'(",AD144,")=")</f>
        <v>a'(  )=</v>
      </c>
      <c r="AI144" s="84" t="e">
        <f>2*AI142/2*AE145</f>
        <v>#VALUE!</v>
      </c>
      <c r="AJ144" s="84" t="str">
        <f>CONCATENATE("A(",AD143,")=")</f>
        <v>A(  )=</v>
      </c>
      <c r="AK144" s="84" t="str">
        <f>VLOOKUP(AD143,STN_TABLE,3,FALSE)</f>
        <v xml:space="preserve"> </v>
      </c>
      <c r="AL144" t="str">
        <f>CONCATENATE("A(",AD144,")=")</f>
        <v>A(  )=</v>
      </c>
      <c r="AM144" t="e">
        <f>AI144+AK144</f>
        <v>#VALUE!</v>
      </c>
      <c r="AO144" s="68" t="str">
        <f>AA144</f>
        <v>A(  )=</v>
      </c>
      <c r="AP144" s="68" t="e">
        <f>VLOOKUP(AO144,Rise_Results,2,FALSE)</f>
        <v>#N/A</v>
      </c>
      <c r="AQ144" s="76" t="e">
        <f>N144</f>
        <v>#VALUE!</v>
      </c>
      <c r="AR144" s="76" t="e">
        <f>IF(OR(AB144&lt;=0,AB145&lt;=0),1/0,AB144)</f>
        <v>#VALUE!</v>
      </c>
      <c r="AS144" s="76" t="e">
        <f>AM144</f>
        <v>#VALUE!</v>
      </c>
      <c r="AT144" t="e">
        <f>IFERROR(AP144,IFERROR(AQ144,IFERROR(AR144,AS144)))</f>
        <v>#VALUE!</v>
      </c>
      <c r="AU144" s="81"/>
    </row>
    <row r="145" spans="1:47" x14ac:dyDescent="0.25">
      <c r="A145" s="84">
        <f>A144+1</f>
        <v>24</v>
      </c>
      <c r="B145" s="84" t="str">
        <f t="shared" si="69"/>
        <v xml:space="preserve">  </v>
      </c>
      <c r="F145" s="82" t="e">
        <f>SUM(F142:F144)</f>
        <v>#VALUE!</v>
      </c>
      <c r="H145" s="82" t="e">
        <f>SUM(H142:H144)</f>
        <v>#VALUE!</v>
      </c>
      <c r="I145" s="84" t="str">
        <f>CONCATENATE("m'(",C144,")=")</f>
        <v>m'(  )=</v>
      </c>
      <c r="J145" s="84" t="e">
        <f>2*(J142*(WLS))/3*H145</f>
        <v>#VALUE!</v>
      </c>
      <c r="K145" s="84" t="e">
        <f>CONCATENATE("M(",C142,")=")</f>
        <v>#VALUE!</v>
      </c>
      <c r="L145" s="84" t="e">
        <f>VLOOKUP(C142,STN_TABLE,4,FALSE)</f>
        <v>#VALUE!</v>
      </c>
      <c r="M145" t="str">
        <f>CONCATENATE("M(",C144,")=")</f>
        <v>M(  )=</v>
      </c>
      <c r="N145" t="e">
        <f>J145+L145</f>
        <v>#VALUE!</v>
      </c>
      <c r="O145" s="99">
        <f>O144+1</f>
        <v>26</v>
      </c>
      <c r="P145" s="99" t="e">
        <f t="shared" si="65"/>
        <v>#N/A</v>
      </c>
      <c r="T145" s="89" t="e">
        <f>SUM(T142:T144)</f>
        <v>#VALUE!</v>
      </c>
      <c r="V145" s="82" t="e">
        <f>SUM(V142:V144)</f>
        <v>#VALUE!</v>
      </c>
      <c r="W145" s="84" t="str">
        <f>CONCATENATE("m'(",Q143,")=")</f>
        <v>m'(  )=</v>
      </c>
      <c r="X145" s="84" t="e">
        <f>(2*(X142^2)/24*V145)+(X144*Q142*WLS)</f>
        <v>#VALUE!</v>
      </c>
      <c r="Y145" s="84" t="e">
        <f>CONCATENATE("M(",Q142,")=")</f>
        <v>#VALUE!</v>
      </c>
      <c r="Z145" s="84" t="e">
        <f>VLOOKUP(Q142,STN_TABLE,4,FALSE)</f>
        <v>#VALUE!</v>
      </c>
      <c r="AA145" t="str">
        <f>CONCATENATE("M(",Q143,")=")</f>
        <v>M(  )=</v>
      </c>
      <c r="AB145" t="e">
        <f>X145+Z145</f>
        <v>#VALUE!</v>
      </c>
      <c r="AE145" s="89">
        <f>SUM(AE143:AE144)</f>
        <v>0</v>
      </c>
      <c r="AG145" s="89" t="e">
        <f>SUM(AG143:AG144)</f>
        <v>#VALUE!</v>
      </c>
      <c r="AH145" s="84" t="str">
        <f>CONCATENATE("m'(",AD144,")=")</f>
        <v>m'(  )=</v>
      </c>
      <c r="AI145" s="84" t="e">
        <f>(2*(AI142^2)/6*AG145)+(AI144*AD143*WLS)</f>
        <v>#VALUE!</v>
      </c>
      <c r="AJ145" s="84" t="str">
        <f>CONCATENATE("M(",AD143,")=")</f>
        <v>M(  )=</v>
      </c>
      <c r="AK145" s="84" t="str">
        <f>VLOOKUP(AD143,STN_TABLE,4,FALSE)</f>
        <v xml:space="preserve"> </v>
      </c>
      <c r="AL145" t="str">
        <f>CONCATENATE("M(",AD144,")=")</f>
        <v>M(  )=</v>
      </c>
      <c r="AM145" t="e">
        <f>AI145+AK145</f>
        <v>#VALUE!</v>
      </c>
      <c r="AO145" s="82" t="str">
        <f>AA145</f>
        <v>M(  )=</v>
      </c>
      <c r="AP145" s="82" t="e">
        <f>VLOOKUP(AO145,Rise_Results,2,FALSE)</f>
        <v>#N/A</v>
      </c>
      <c r="AQ145" s="82" t="e">
        <f>N145</f>
        <v>#VALUE!</v>
      </c>
      <c r="AR145" s="82" t="e">
        <f>IF(OR(AB144&lt;=0,AB145&lt;=0),1/0,AB145)</f>
        <v>#VALUE!</v>
      </c>
      <c r="AS145" s="82" t="e">
        <f>AM145</f>
        <v>#VALUE!</v>
      </c>
      <c r="AT145" t="e">
        <f>IFERROR(AP145,IFERROR(AQ145,IFERROR(AR145,AS145)))</f>
        <v>#VALUE!</v>
      </c>
      <c r="AU145" s="81"/>
    </row>
    <row r="146" spans="1:47" x14ac:dyDescent="0.25">
      <c r="A146" s="101">
        <f>A141+1</f>
        <v>21</v>
      </c>
      <c r="B146" s="101" t="str">
        <f t="shared" si="69"/>
        <v xml:space="preserve">  </v>
      </c>
      <c r="O146" s="101">
        <f>O141+1</f>
        <v>23</v>
      </c>
      <c r="P146" s="101" t="str">
        <f t="shared" si="65"/>
        <v xml:space="preserve">  </v>
      </c>
      <c r="AU146" s="81"/>
    </row>
    <row r="147" spans="1:47" x14ac:dyDescent="0.25">
      <c r="A147" s="84">
        <f>A146+1</f>
        <v>22</v>
      </c>
      <c r="B147" s="84" t="str">
        <f t="shared" si="69"/>
        <v xml:space="preserve">  </v>
      </c>
      <c r="C147" s="79" t="e">
        <f t="shared" ref="C147" si="75">IF(C148=B149,IF(C149-C148=C148-B148,B148,IF(C149-C148=C148-B147,B147,"#NA")),IF(C148=B148,IF(C149-C148=C148-B147,B147,IF(C149-C148=C148-B146,B146,"#NA")),"#NA"))</f>
        <v>#VALUE!</v>
      </c>
      <c r="D147" s="68" t="e">
        <f>VLOOKUP(C147,STN_TABLE,2,FALSE)</f>
        <v>#VALUE!</v>
      </c>
      <c r="E147" s="102">
        <v>1</v>
      </c>
      <c r="F147" s="68" t="e">
        <f>D147*E147</f>
        <v>#VALUE!</v>
      </c>
      <c r="G147" s="69" t="e">
        <f>C147</f>
        <v>#VALUE!</v>
      </c>
      <c r="H147" s="69" t="e">
        <f>F147*G147</f>
        <v>#VALUE!</v>
      </c>
      <c r="I147" s="6" t="s">
        <v>93</v>
      </c>
      <c r="J147" s="70" t="e">
        <f>IF(OR(D147=0,D148=0,D149=0),"#NA",IF(AND(C149-C148=C148-C147,C148&lt;&gt;C149,C147&lt;&gt;C148,C147&lt;&gt;C149,D149&lt;&gt;0,OR(D147&lt;&gt;0,D148&lt;&gt;0)),WLS*(C149-C148),"#NA"))</f>
        <v>#VALUE!</v>
      </c>
      <c r="O147" s="99">
        <f>O146+1</f>
        <v>24</v>
      </c>
      <c r="P147" s="99" t="str">
        <f t="shared" si="65"/>
        <v xml:space="preserve">  </v>
      </c>
      <c r="Q147" s="68" t="e">
        <f>IF(OR(P149-P148=P148-P147,P150-P148=P148-P147),P147,IF(OR(P149-P148=P148-P146,P150-P148=P148-P146),P146,"-"))</f>
        <v>#N/A</v>
      </c>
      <c r="R147" s="69" t="e">
        <f>VLOOKUP(Q147,STN_TABLE,2,FALSE)</f>
        <v>#N/A</v>
      </c>
      <c r="S147" s="69">
        <v>5</v>
      </c>
      <c r="T147" s="68" t="e">
        <f>R147*S147</f>
        <v>#N/A</v>
      </c>
      <c r="U147" s="79">
        <v>3</v>
      </c>
      <c r="V147" s="68" t="e">
        <f>R147*U147</f>
        <v>#N/A</v>
      </c>
      <c r="W147" s="6" t="s">
        <v>93</v>
      </c>
      <c r="X147" s="70" t="e">
        <f>IF(AND(Q149-Q148=Q148-Q147,NOT(AND(Q147=0,Q148=0)),NOT(AND(Q148=0,Q149=0))),WLS*(Q149-Q148),"#NA")</f>
        <v>#N/A</v>
      </c>
      <c r="AD147" s="93"/>
      <c r="AH147" s="6" t="s">
        <v>93</v>
      </c>
      <c r="AI147" s="70" t="e">
        <f>WLS*(AD149-AD148)</f>
        <v>#VALUE!</v>
      </c>
      <c r="AU147" s="81"/>
    </row>
    <row r="148" spans="1:47" x14ac:dyDescent="0.25">
      <c r="A148" s="84">
        <f>A147+1</f>
        <v>23</v>
      </c>
      <c r="B148" s="84" t="str">
        <f t="shared" si="69"/>
        <v xml:space="preserve">  </v>
      </c>
      <c r="C148" s="80" t="e">
        <f t="shared" ref="C148" si="76">IF(OR(B150-B149=B149-B148,B150-B149=B149-B147,B150-B149=B149-B146),B149,IF(OR(B150-B148=B148-B147,B150-B148=B148-B146),B148,IF(B150-B147=B147-B146,B147,"#NA")))</f>
        <v>#VALUE!</v>
      </c>
      <c r="D148" s="76" t="e">
        <f>VLOOKUP(C148,STN_TABLE,2,FALSE)</f>
        <v>#VALUE!</v>
      </c>
      <c r="E148" s="81">
        <v>4</v>
      </c>
      <c r="F148" s="76" t="e">
        <f>D148*E148</f>
        <v>#VALUE!</v>
      </c>
      <c r="G148" s="77" t="e">
        <f>C148</f>
        <v>#VALUE!</v>
      </c>
      <c r="H148" s="77" t="e">
        <f>F148*G148</f>
        <v>#VALUE!</v>
      </c>
      <c r="I148" s="495" t="s">
        <v>97</v>
      </c>
      <c r="J148" s="496"/>
      <c r="K148" s="78" t="s">
        <v>98</v>
      </c>
      <c r="L148" s="78"/>
      <c r="M148" s="7" t="s">
        <v>99</v>
      </c>
      <c r="N148" s="7"/>
      <c r="O148" s="99">
        <f>O147+1</f>
        <v>25</v>
      </c>
      <c r="P148" s="99" t="str">
        <f t="shared" si="65"/>
        <v xml:space="preserve">  </v>
      </c>
      <c r="Q148" s="76" t="str">
        <f>P148</f>
        <v xml:space="preserve">  </v>
      </c>
      <c r="R148" s="77" t="str">
        <f>VLOOKUP(Q148,STN_TABLE,2,FALSE)</f>
        <v xml:space="preserve">  </v>
      </c>
      <c r="S148" s="77">
        <v>8</v>
      </c>
      <c r="T148" s="76" t="e">
        <f>R148*S148</f>
        <v>#VALUE!</v>
      </c>
      <c r="U148" s="80">
        <v>10</v>
      </c>
      <c r="V148" s="76" t="e">
        <f>R148*U148</f>
        <v>#VALUE!</v>
      </c>
      <c r="W148" s="496" t="s">
        <v>97</v>
      </c>
      <c r="X148" s="496"/>
      <c r="Y148" s="496" t="s">
        <v>98</v>
      </c>
      <c r="Z148" s="496"/>
      <c r="AA148" s="494" t="s">
        <v>99</v>
      </c>
      <c r="AB148" s="494"/>
      <c r="AC148" s="99">
        <f>AC143+1</f>
        <v>24</v>
      </c>
      <c r="AD148" s="95" t="str">
        <f>VLOOKUP(AC148,STN_TABLE_2,2,FALSE)</f>
        <v xml:space="preserve">  </v>
      </c>
      <c r="AE148" s="68" t="str">
        <f>VLOOKUP(AD148,STN_TABLE,2,FALSE)</f>
        <v xml:space="preserve">  </v>
      </c>
      <c r="AF148" s="68">
        <v>1</v>
      </c>
      <c r="AG148" s="69" t="e">
        <f>AE148*AF148</f>
        <v>#VALUE!</v>
      </c>
      <c r="AH148" s="496" t="s">
        <v>97</v>
      </c>
      <c r="AI148" s="496"/>
      <c r="AJ148" s="496" t="s">
        <v>98</v>
      </c>
      <c r="AK148" s="496"/>
      <c r="AL148" s="494" t="s">
        <v>99</v>
      </c>
      <c r="AM148" s="494"/>
      <c r="AP148" s="86" t="s">
        <v>112</v>
      </c>
      <c r="AQ148" s="89" t="s">
        <v>113</v>
      </c>
      <c r="AR148" s="89" t="s">
        <v>114</v>
      </c>
      <c r="AS148" s="89" t="s">
        <v>115</v>
      </c>
      <c r="AU148" s="81"/>
    </row>
    <row r="149" spans="1:47" x14ac:dyDescent="0.25">
      <c r="A149" s="84">
        <f>A148+1</f>
        <v>24</v>
      </c>
      <c r="B149" s="84" t="str">
        <f t="shared" si="69"/>
        <v xml:space="preserve">  </v>
      </c>
      <c r="C149" s="88" t="str">
        <f t="shared" ref="C149" si="77">B150</f>
        <v xml:space="preserve">  </v>
      </c>
      <c r="D149" s="82" t="str">
        <f>VLOOKUP(C149,STN_TABLE,2,FALSE)</f>
        <v xml:space="preserve">  </v>
      </c>
      <c r="E149" s="92">
        <v>1</v>
      </c>
      <c r="F149" s="82" t="e">
        <f>D149*E149</f>
        <v>#VALUE!</v>
      </c>
      <c r="G149" s="83" t="str">
        <f>C149</f>
        <v xml:space="preserve">  </v>
      </c>
      <c r="H149" s="83" t="e">
        <f>F149*G149</f>
        <v>#VALUE!</v>
      </c>
      <c r="I149" s="84" t="str">
        <f>CONCATENATE("a'(",C149,")=")</f>
        <v>a'(  )=</v>
      </c>
      <c r="J149" s="84" t="e">
        <f>2*J147/3*F150</f>
        <v>#VALUE!</v>
      </c>
      <c r="K149" s="84" t="e">
        <f>CONCATENATE("A(",C147,")=")</f>
        <v>#VALUE!</v>
      </c>
      <c r="L149" s="84" t="e">
        <f>VLOOKUP(C147,STN_TABLE,3,FALSE)</f>
        <v>#VALUE!</v>
      </c>
      <c r="M149" t="str">
        <f>CONCATENATE("A(",C149,")=")</f>
        <v>A(  )=</v>
      </c>
      <c r="N149" t="e">
        <f>J149+L149</f>
        <v>#VALUE!</v>
      </c>
      <c r="O149" s="99">
        <f>O148+1</f>
        <v>26</v>
      </c>
      <c r="P149" s="99" t="e">
        <f t="shared" si="65"/>
        <v>#N/A</v>
      </c>
      <c r="Q149" s="82" t="e">
        <f>IF(P149-P148=P148-P147,P149,IF(P150-P148=P148-P147,P150,IF(P149-P148=P148-P146,P149,IF(P150-P148=P148-P146,P150,"-"))))</f>
        <v>#N/A</v>
      </c>
      <c r="R149" s="83" t="e">
        <f>VLOOKUP(Q149,STN_TABLE,2,FALSE)</f>
        <v>#N/A</v>
      </c>
      <c r="S149" s="83">
        <v>-1</v>
      </c>
      <c r="T149" s="82" t="e">
        <f>R149*S149</f>
        <v>#N/A</v>
      </c>
      <c r="U149" s="88">
        <v>-1</v>
      </c>
      <c r="V149" s="82" t="e">
        <f>R149*U149</f>
        <v>#N/A</v>
      </c>
      <c r="W149" s="84" t="str">
        <f>CONCATENATE("a'(",Q148,")=")</f>
        <v>a'(  )=</v>
      </c>
      <c r="X149" s="84" t="e">
        <f>2*X147/12*T150</f>
        <v>#N/A</v>
      </c>
      <c r="Y149" s="84" t="e">
        <f>CONCATENATE("A(",Q147,")=")</f>
        <v>#N/A</v>
      </c>
      <c r="Z149" s="84" t="e">
        <f>VLOOKUP(Q147,STN_TABLE,3,FALSE)</f>
        <v>#N/A</v>
      </c>
      <c r="AA149" t="str">
        <f>CONCATENATE("A(",Q148,")=")</f>
        <v>A(  )=</v>
      </c>
      <c r="AB149" t="e">
        <f>X149+Z149</f>
        <v>#N/A</v>
      </c>
      <c r="AC149" s="99">
        <f>AC148+1</f>
        <v>25</v>
      </c>
      <c r="AD149" s="100" t="str">
        <f>VLOOKUP(AC149,STN_TABLE_2,2,FALSE)</f>
        <v xml:space="preserve">  </v>
      </c>
      <c r="AE149" s="82" t="str">
        <f>VLOOKUP(AD149,STN_TABLE,2,FALSE)</f>
        <v xml:space="preserve">  </v>
      </c>
      <c r="AF149" s="82">
        <v>2</v>
      </c>
      <c r="AG149" s="83" t="e">
        <f>AE149*AF149</f>
        <v>#VALUE!</v>
      </c>
      <c r="AH149" s="84" t="str">
        <f>CONCATENATE("a'(",AD149,")=")</f>
        <v>a'(  )=</v>
      </c>
      <c r="AI149" s="84" t="e">
        <f>2*AI147/2*AE150</f>
        <v>#VALUE!</v>
      </c>
      <c r="AJ149" s="84" t="str">
        <f>CONCATENATE("A(",AD148,")=")</f>
        <v>A(  )=</v>
      </c>
      <c r="AK149" s="84" t="str">
        <f>VLOOKUP(AD148,STN_TABLE,3,FALSE)</f>
        <v xml:space="preserve"> </v>
      </c>
      <c r="AL149" t="str">
        <f>CONCATENATE("A(",AD149,")=")</f>
        <v>A(  )=</v>
      </c>
      <c r="AM149" t="e">
        <f>AI149+AK149</f>
        <v>#VALUE!</v>
      </c>
      <c r="AO149" s="68" t="str">
        <f>AA149</f>
        <v>A(  )=</v>
      </c>
      <c r="AP149" s="68" t="e">
        <f>VLOOKUP(AO149,Rise_Results,2,FALSE)</f>
        <v>#N/A</v>
      </c>
      <c r="AQ149" s="76" t="e">
        <f>N149</f>
        <v>#VALUE!</v>
      </c>
      <c r="AR149" s="76" t="e">
        <f>IF(OR(AB149&lt;=0,AB150&lt;=0),1/0,AB149)</f>
        <v>#N/A</v>
      </c>
      <c r="AS149" s="76" t="e">
        <f>AM149</f>
        <v>#VALUE!</v>
      </c>
      <c r="AT149" t="e">
        <f>IFERROR(AP149,IFERROR(AQ149,IFERROR(AR149,AS149)))</f>
        <v>#VALUE!</v>
      </c>
      <c r="AU149" s="81"/>
    </row>
    <row r="150" spans="1:47" x14ac:dyDescent="0.25">
      <c r="A150" s="84">
        <f>A149+1</f>
        <v>25</v>
      </c>
      <c r="B150" s="84" t="str">
        <f t="shared" si="69"/>
        <v xml:space="preserve">  </v>
      </c>
      <c r="F150" s="82" t="e">
        <f>SUM(F147:F149)</f>
        <v>#VALUE!</v>
      </c>
      <c r="H150" s="82" t="e">
        <f>SUM(H147:H149)</f>
        <v>#VALUE!</v>
      </c>
      <c r="I150" s="84" t="str">
        <f>CONCATENATE("m'(",C149,")=")</f>
        <v>m'(  )=</v>
      </c>
      <c r="J150" s="84" t="e">
        <f>2*(J147*(WLS))/3*H150</f>
        <v>#VALUE!</v>
      </c>
      <c r="K150" s="84" t="e">
        <f>CONCATENATE("M(",C147,")=")</f>
        <v>#VALUE!</v>
      </c>
      <c r="L150" s="84" t="e">
        <f>VLOOKUP(C147,STN_TABLE,4,FALSE)</f>
        <v>#VALUE!</v>
      </c>
      <c r="M150" t="str">
        <f>CONCATENATE("M(",C149,")=")</f>
        <v>M(  )=</v>
      </c>
      <c r="N150" t="e">
        <f>J150+L150</f>
        <v>#VALUE!</v>
      </c>
      <c r="O150" s="99">
        <f>O149+1</f>
        <v>27</v>
      </c>
      <c r="P150" s="99" t="e">
        <f t="shared" si="65"/>
        <v>#N/A</v>
      </c>
      <c r="T150" s="89" t="e">
        <f>SUM(T147:T149)</f>
        <v>#N/A</v>
      </c>
      <c r="V150" s="82" t="e">
        <f>SUM(V147:V149)</f>
        <v>#N/A</v>
      </c>
      <c r="W150" s="84" t="str">
        <f>CONCATENATE("m'(",Q148,")=")</f>
        <v>m'(  )=</v>
      </c>
      <c r="X150" s="84" t="e">
        <f>(2*(X147^2)/24*V150)+(X149*Q147*WLS)</f>
        <v>#N/A</v>
      </c>
      <c r="Y150" s="84" t="e">
        <f>CONCATENATE("M(",Q147,")=")</f>
        <v>#N/A</v>
      </c>
      <c r="Z150" s="84" t="e">
        <f>VLOOKUP(Q147,STN_TABLE,4,FALSE)</f>
        <v>#N/A</v>
      </c>
      <c r="AA150" t="str">
        <f>CONCATENATE("M(",Q148,")=")</f>
        <v>M(  )=</v>
      </c>
      <c r="AB150" t="e">
        <f>X150+Z150</f>
        <v>#N/A</v>
      </c>
      <c r="AE150" s="89">
        <f>SUM(AE148:AE149)</f>
        <v>0</v>
      </c>
      <c r="AG150" s="89" t="e">
        <f>SUM(AG148:AG149)</f>
        <v>#VALUE!</v>
      </c>
      <c r="AH150" s="84" t="str">
        <f>CONCATENATE("m'(",AD149,")=")</f>
        <v>m'(  )=</v>
      </c>
      <c r="AI150" s="84" t="e">
        <f>(2*(AI147^2)/6*AG150)+(AI149*AD148*WLS)</f>
        <v>#VALUE!</v>
      </c>
      <c r="AJ150" s="84" t="str">
        <f>CONCATENATE("M(",AD148,")=")</f>
        <v>M(  )=</v>
      </c>
      <c r="AK150" s="84" t="str">
        <f>VLOOKUP(AD148,STN_TABLE,4,FALSE)</f>
        <v xml:space="preserve"> </v>
      </c>
      <c r="AL150" t="str">
        <f>CONCATENATE("M(",AD149,")=")</f>
        <v>M(  )=</v>
      </c>
      <c r="AM150" t="e">
        <f>AI150+AK150</f>
        <v>#VALUE!</v>
      </c>
      <c r="AO150" s="82" t="str">
        <f>AA150</f>
        <v>M(  )=</v>
      </c>
      <c r="AP150" s="82" t="e">
        <f>VLOOKUP(AO150,Rise_Results,2,FALSE)</f>
        <v>#N/A</v>
      </c>
      <c r="AQ150" s="82" t="e">
        <f>N150</f>
        <v>#VALUE!</v>
      </c>
      <c r="AR150" s="82" t="e">
        <f>IF(OR(AB149&lt;=0,AB150&lt;=0),1/0,AB150)</f>
        <v>#N/A</v>
      </c>
      <c r="AS150" s="82" t="e">
        <f>AM150</f>
        <v>#VALUE!</v>
      </c>
      <c r="AT150" t="e">
        <f>IFERROR(AP150,IFERROR(AQ150,IFERROR(AR150,AS150)))</f>
        <v>#VALUE!</v>
      </c>
      <c r="AU150" s="81"/>
    </row>
    <row r="151" spans="1:47" x14ac:dyDescent="0.25">
      <c r="A151" s="101"/>
      <c r="B151" s="101"/>
      <c r="AU151" s="81"/>
    </row>
    <row r="152" spans="1:47" x14ac:dyDescent="0.25">
      <c r="A152" s="84"/>
      <c r="B152" s="84"/>
      <c r="E152" s="81"/>
      <c r="F152" s="81"/>
      <c r="G152" s="81"/>
      <c r="H152" s="81"/>
      <c r="I152" s="103"/>
      <c r="J152" s="70"/>
      <c r="AU152" s="81"/>
    </row>
    <row r="153" spans="1:47" x14ac:dyDescent="0.25">
      <c r="A153" s="84"/>
      <c r="B153" s="84"/>
      <c r="E153" s="81"/>
      <c r="F153" s="81"/>
      <c r="G153" s="81"/>
      <c r="H153" s="81"/>
      <c r="I153" s="104"/>
      <c r="J153" s="78"/>
      <c r="K153" s="78"/>
      <c r="L153" s="78"/>
      <c r="M153" s="7"/>
      <c r="N153" s="7"/>
      <c r="AO153" s="81"/>
      <c r="AP153" s="81"/>
      <c r="AQ153" s="81"/>
      <c r="AR153" s="81"/>
      <c r="AS153" s="81"/>
      <c r="AT153" s="81"/>
      <c r="AU153" s="81"/>
    </row>
    <row r="154" spans="1:47" x14ac:dyDescent="0.25">
      <c r="A154" s="84"/>
      <c r="B154" s="84"/>
      <c r="E154" s="81"/>
      <c r="F154" s="81"/>
      <c r="G154" s="81"/>
      <c r="H154" s="81"/>
      <c r="I154" s="105"/>
      <c r="J154" s="84"/>
      <c r="K154" s="84"/>
      <c r="L154" s="84"/>
      <c r="AO154" s="81"/>
      <c r="AP154" s="81"/>
      <c r="AQ154" s="81"/>
      <c r="AR154" s="81"/>
      <c r="AS154" s="81"/>
      <c r="AT154" s="81"/>
      <c r="AU154" s="81"/>
    </row>
    <row r="155" spans="1:47" x14ac:dyDescent="0.25">
      <c r="A155" s="84"/>
      <c r="B155" s="84"/>
      <c r="E155" s="81"/>
      <c r="F155" s="81"/>
      <c r="G155" s="81"/>
      <c r="H155" s="81"/>
      <c r="I155" s="105"/>
      <c r="J155" s="84"/>
      <c r="K155" s="84"/>
      <c r="L155" s="84"/>
      <c r="AO155" s="81"/>
      <c r="AP155" s="81"/>
      <c r="AQ155" s="81"/>
      <c r="AR155" s="81"/>
      <c r="AS155" s="81"/>
      <c r="AT155" s="81"/>
      <c r="AU155" s="81"/>
    </row>
    <row r="156" spans="1:47" x14ac:dyDescent="0.25">
      <c r="A156" s="101"/>
      <c r="B156" s="101"/>
      <c r="E156" s="81"/>
      <c r="F156" s="81"/>
      <c r="G156" s="81"/>
      <c r="H156" s="81"/>
      <c r="I156" s="81"/>
      <c r="AO156" s="81"/>
      <c r="AP156" s="81"/>
      <c r="AQ156" s="81"/>
      <c r="AR156" s="81"/>
      <c r="AS156" s="81"/>
      <c r="AT156" s="81"/>
      <c r="AU156" s="81"/>
    </row>
    <row r="157" spans="1:47" x14ac:dyDescent="0.25">
      <c r="A157" s="84"/>
      <c r="B157" s="84"/>
      <c r="E157" s="81"/>
      <c r="F157" s="81"/>
      <c r="G157" s="81"/>
      <c r="H157" s="81"/>
      <c r="I157" s="103"/>
      <c r="J157" s="70"/>
      <c r="AO157" s="81"/>
      <c r="AP157" s="81"/>
      <c r="AQ157" s="81"/>
      <c r="AR157" s="81"/>
      <c r="AS157" s="81"/>
      <c r="AT157" s="81"/>
      <c r="AU157" s="81"/>
    </row>
    <row r="158" spans="1:47" x14ac:dyDescent="0.25">
      <c r="A158" s="84"/>
      <c r="B158" s="84"/>
      <c r="E158" s="81"/>
      <c r="F158" s="81"/>
      <c r="G158" s="81"/>
      <c r="H158" s="81"/>
      <c r="I158" s="104"/>
      <c r="J158" s="78"/>
      <c r="K158" s="78"/>
      <c r="L158" s="78"/>
      <c r="M158" s="7"/>
      <c r="N158" s="7"/>
      <c r="AO158" s="81"/>
      <c r="AP158" s="81"/>
      <c r="AQ158" s="81"/>
      <c r="AR158" s="81"/>
      <c r="AS158" s="81"/>
      <c r="AT158" s="81"/>
      <c r="AU158" s="81"/>
    </row>
    <row r="159" spans="1:47" x14ac:dyDescent="0.25">
      <c r="A159" s="84"/>
      <c r="B159" s="84"/>
      <c r="E159" s="81"/>
      <c r="F159" s="81"/>
      <c r="G159" s="81"/>
      <c r="H159" s="81"/>
      <c r="I159" s="105"/>
      <c r="J159" s="84"/>
      <c r="K159" s="84"/>
      <c r="L159" s="84"/>
      <c r="AO159" s="81"/>
      <c r="AP159" s="81"/>
      <c r="AQ159" s="81"/>
      <c r="AR159" s="81"/>
      <c r="AS159" s="81"/>
      <c r="AT159" s="81"/>
      <c r="AU159" s="81"/>
    </row>
    <row r="160" spans="1:47" x14ac:dyDescent="0.25">
      <c r="A160" s="84"/>
      <c r="B160" s="84"/>
      <c r="E160" s="81"/>
      <c r="F160" s="81"/>
      <c r="G160" s="81"/>
      <c r="H160" s="81"/>
      <c r="I160" s="105"/>
      <c r="J160" s="84"/>
      <c r="K160" s="84"/>
      <c r="L160" s="84"/>
      <c r="AO160" s="81"/>
      <c r="AP160" s="81"/>
      <c r="AQ160" s="81"/>
      <c r="AR160" s="81"/>
      <c r="AS160" s="81"/>
      <c r="AT160" s="81"/>
      <c r="AU160" s="81"/>
    </row>
    <row r="161" spans="1:47" x14ac:dyDescent="0.25">
      <c r="A161" s="101"/>
      <c r="B161" s="101"/>
      <c r="E161" s="81"/>
      <c r="F161" s="81"/>
      <c r="G161" s="81"/>
      <c r="H161" s="81"/>
      <c r="I161" s="81"/>
      <c r="AO161" s="81"/>
      <c r="AP161" s="81"/>
      <c r="AQ161" s="81"/>
      <c r="AR161" s="81"/>
      <c r="AS161" s="81"/>
      <c r="AT161" s="81"/>
      <c r="AU161" s="81"/>
    </row>
    <row r="162" spans="1:47" x14ac:dyDescent="0.25">
      <c r="A162" s="84"/>
      <c r="B162" s="84"/>
      <c r="E162" s="81"/>
      <c r="F162" s="81"/>
      <c r="G162" s="81"/>
      <c r="H162" s="81"/>
      <c r="I162" s="103"/>
      <c r="J162" s="70"/>
      <c r="AO162" s="81"/>
      <c r="AP162" s="81"/>
      <c r="AQ162" s="81"/>
      <c r="AR162" s="81"/>
      <c r="AS162" s="81"/>
      <c r="AT162" s="81"/>
      <c r="AU162" s="81"/>
    </row>
    <row r="163" spans="1:47" x14ac:dyDescent="0.25">
      <c r="A163" s="84"/>
      <c r="B163" s="84"/>
      <c r="E163" s="81"/>
      <c r="F163" s="81"/>
      <c r="G163" s="81"/>
      <c r="H163" s="81"/>
      <c r="I163" s="104"/>
      <c r="J163" s="78"/>
      <c r="K163" s="78"/>
      <c r="L163" s="78"/>
      <c r="M163" s="7"/>
      <c r="N163" s="7"/>
      <c r="AO163" s="81"/>
      <c r="AP163" s="81"/>
      <c r="AQ163" s="81"/>
      <c r="AR163" s="81"/>
      <c r="AS163" s="81"/>
      <c r="AT163" s="81"/>
      <c r="AU163" s="81"/>
    </row>
    <row r="164" spans="1:47" x14ac:dyDescent="0.25">
      <c r="A164" s="84"/>
      <c r="B164" s="84"/>
      <c r="E164" s="81"/>
      <c r="F164" s="81"/>
      <c r="G164" s="81"/>
      <c r="H164" s="81"/>
      <c r="I164" s="105"/>
      <c r="J164" s="84"/>
      <c r="K164" s="84"/>
      <c r="L164" s="84"/>
    </row>
    <row r="165" spans="1:47" x14ac:dyDescent="0.25">
      <c r="A165" s="84"/>
      <c r="B165" s="84"/>
      <c r="E165" s="81"/>
      <c r="F165" s="81"/>
      <c r="G165" s="81"/>
      <c r="H165" s="81"/>
      <c r="I165" s="105"/>
      <c r="J165" s="84"/>
      <c r="K165" s="84"/>
      <c r="L165" s="84"/>
    </row>
    <row r="166" spans="1:47" x14ac:dyDescent="0.25">
      <c r="A166" s="101"/>
      <c r="B166" s="101"/>
      <c r="E166" s="81"/>
      <c r="F166" s="81"/>
      <c r="G166" s="81"/>
      <c r="H166" s="81"/>
      <c r="I166" s="81"/>
    </row>
    <row r="167" spans="1:47" x14ac:dyDescent="0.25">
      <c r="A167" s="84"/>
      <c r="B167" s="84"/>
      <c r="E167" s="81"/>
      <c r="F167" s="81"/>
      <c r="G167" s="81"/>
      <c r="H167" s="81"/>
      <c r="I167" s="103"/>
      <c r="J167" s="70"/>
    </row>
    <row r="168" spans="1:47" x14ac:dyDescent="0.25">
      <c r="A168" s="84"/>
      <c r="B168" s="84"/>
      <c r="E168" s="81"/>
      <c r="F168" s="81"/>
      <c r="G168" s="81"/>
      <c r="H168" s="81"/>
      <c r="I168" s="104"/>
      <c r="J168" s="78"/>
      <c r="K168" s="78"/>
      <c r="L168" s="78"/>
      <c r="M168" s="7"/>
      <c r="N168" s="7"/>
    </row>
    <row r="169" spans="1:47" x14ac:dyDescent="0.25">
      <c r="A169" s="84"/>
      <c r="B169" s="84"/>
      <c r="E169" s="81"/>
      <c r="F169" s="81"/>
      <c r="G169" s="81"/>
      <c r="H169" s="81"/>
      <c r="I169" s="105"/>
      <c r="J169" s="84"/>
      <c r="K169" s="84"/>
      <c r="L169" s="84"/>
    </row>
    <row r="170" spans="1:47" x14ac:dyDescent="0.25">
      <c r="A170" s="84"/>
      <c r="B170" s="84"/>
      <c r="E170" s="81"/>
      <c r="F170" s="81"/>
      <c r="G170" s="81"/>
      <c r="H170" s="81"/>
      <c r="I170" s="105"/>
      <c r="J170" s="84"/>
      <c r="K170" s="84"/>
      <c r="L170" s="84"/>
    </row>
    <row r="171" spans="1:47" x14ac:dyDescent="0.25">
      <c r="E171" s="81"/>
      <c r="F171" s="81"/>
      <c r="G171" s="81"/>
      <c r="H171" s="81"/>
      <c r="I171" s="81"/>
    </row>
  </sheetData>
  <sheetProtection selectLockedCells="1" selectUnlockedCells="1"/>
  <mergeCells count="167">
    <mergeCell ref="A1:B1"/>
    <mergeCell ref="E1:F1"/>
    <mergeCell ref="L1:M1"/>
    <mergeCell ref="W33:X33"/>
    <mergeCell ref="Y33:Z33"/>
    <mergeCell ref="AA33:AB33"/>
    <mergeCell ref="AH33:AI33"/>
    <mergeCell ref="AJ33:AK33"/>
    <mergeCell ref="AL33:AM33"/>
    <mergeCell ref="I38:J38"/>
    <mergeCell ref="W38:X38"/>
    <mergeCell ref="Y38:Z38"/>
    <mergeCell ref="AA38:AB38"/>
    <mergeCell ref="AH38:AI38"/>
    <mergeCell ref="AJ38:AK38"/>
    <mergeCell ref="AL38:AM38"/>
    <mergeCell ref="AL43:AM43"/>
    <mergeCell ref="I48:J48"/>
    <mergeCell ref="W48:X48"/>
    <mergeCell ref="Y48:Z48"/>
    <mergeCell ref="AA48:AB48"/>
    <mergeCell ref="AH48:AI48"/>
    <mergeCell ref="AJ48:AK48"/>
    <mergeCell ref="AL48:AM48"/>
    <mergeCell ref="I43:J43"/>
    <mergeCell ref="W43:X43"/>
    <mergeCell ref="Y43:Z43"/>
    <mergeCell ref="AA43:AB43"/>
    <mergeCell ref="AH43:AI43"/>
    <mergeCell ref="AJ43:AK43"/>
    <mergeCell ref="AL53:AM53"/>
    <mergeCell ref="I58:J58"/>
    <mergeCell ref="AH58:AI58"/>
    <mergeCell ref="AJ58:AK58"/>
    <mergeCell ref="AL58:AM58"/>
    <mergeCell ref="I63:J63"/>
    <mergeCell ref="W63:X63"/>
    <mergeCell ref="Y63:Z63"/>
    <mergeCell ref="AA63:AB63"/>
    <mergeCell ref="AH63:AI63"/>
    <mergeCell ref="I53:J53"/>
    <mergeCell ref="W53:X53"/>
    <mergeCell ref="Y53:Z53"/>
    <mergeCell ref="AA53:AB53"/>
    <mergeCell ref="AH53:AI53"/>
    <mergeCell ref="AJ53:AK53"/>
    <mergeCell ref="AJ63:AK63"/>
    <mergeCell ref="AL63:AM63"/>
    <mergeCell ref="I68:J68"/>
    <mergeCell ref="W68:X68"/>
    <mergeCell ref="Y68:Z68"/>
    <mergeCell ref="AA68:AB68"/>
    <mergeCell ref="AH68:AI68"/>
    <mergeCell ref="AJ68:AK68"/>
    <mergeCell ref="AL68:AM68"/>
    <mergeCell ref="AL73:AM73"/>
    <mergeCell ref="I78:J78"/>
    <mergeCell ref="W78:X78"/>
    <mergeCell ref="Y78:Z78"/>
    <mergeCell ref="AA78:AB78"/>
    <mergeCell ref="AH78:AI78"/>
    <mergeCell ref="AJ78:AK78"/>
    <mergeCell ref="AL78:AM78"/>
    <mergeCell ref="I73:J73"/>
    <mergeCell ref="W73:X73"/>
    <mergeCell ref="Y73:Z73"/>
    <mergeCell ref="AA73:AB73"/>
    <mergeCell ref="AH73:AI73"/>
    <mergeCell ref="AJ73:AK73"/>
    <mergeCell ref="AL83:AM83"/>
    <mergeCell ref="I88:J88"/>
    <mergeCell ref="W88:X88"/>
    <mergeCell ref="Y88:Z88"/>
    <mergeCell ref="AA88:AB88"/>
    <mergeCell ref="AH88:AI88"/>
    <mergeCell ref="AJ88:AK88"/>
    <mergeCell ref="AL88:AM88"/>
    <mergeCell ref="I83:J83"/>
    <mergeCell ref="W83:X83"/>
    <mergeCell ref="Y83:Z83"/>
    <mergeCell ref="AA83:AB83"/>
    <mergeCell ref="AH83:AI83"/>
    <mergeCell ref="AJ83:AK83"/>
    <mergeCell ref="AL93:AM93"/>
    <mergeCell ref="I98:J98"/>
    <mergeCell ref="W98:X98"/>
    <mergeCell ref="Y98:Z98"/>
    <mergeCell ref="AA98:AB98"/>
    <mergeCell ref="AH98:AI98"/>
    <mergeCell ref="AJ98:AK98"/>
    <mergeCell ref="AL98:AM98"/>
    <mergeCell ref="I93:J93"/>
    <mergeCell ref="W93:X93"/>
    <mergeCell ref="Y93:Z93"/>
    <mergeCell ref="AA93:AB93"/>
    <mergeCell ref="AH93:AI93"/>
    <mergeCell ref="AJ93:AK93"/>
    <mergeCell ref="AL103:AM103"/>
    <mergeCell ref="I108:J108"/>
    <mergeCell ref="W108:X108"/>
    <mergeCell ref="Y108:Z108"/>
    <mergeCell ref="AA108:AB108"/>
    <mergeCell ref="AH108:AI108"/>
    <mergeCell ref="AJ108:AK108"/>
    <mergeCell ref="AL108:AM108"/>
    <mergeCell ref="I103:J103"/>
    <mergeCell ref="W103:X103"/>
    <mergeCell ref="Y103:Z103"/>
    <mergeCell ref="AA103:AB103"/>
    <mergeCell ref="AH103:AI103"/>
    <mergeCell ref="AJ103:AK103"/>
    <mergeCell ref="AL113:AM113"/>
    <mergeCell ref="I118:J118"/>
    <mergeCell ref="W118:X118"/>
    <mergeCell ref="Y118:Z118"/>
    <mergeCell ref="AA118:AB118"/>
    <mergeCell ref="AH118:AI118"/>
    <mergeCell ref="AJ118:AK118"/>
    <mergeCell ref="AL118:AM118"/>
    <mergeCell ref="I113:J113"/>
    <mergeCell ref="W113:X113"/>
    <mergeCell ref="Y113:Z113"/>
    <mergeCell ref="AA113:AB113"/>
    <mergeCell ref="AH113:AI113"/>
    <mergeCell ref="AJ113:AK113"/>
    <mergeCell ref="AL123:AM123"/>
    <mergeCell ref="I128:J128"/>
    <mergeCell ref="W128:X128"/>
    <mergeCell ref="Y128:Z128"/>
    <mergeCell ref="AA128:AB128"/>
    <mergeCell ref="AH128:AI128"/>
    <mergeCell ref="AJ128:AK128"/>
    <mergeCell ref="AL128:AM128"/>
    <mergeCell ref="I123:J123"/>
    <mergeCell ref="W123:X123"/>
    <mergeCell ref="Y123:Z123"/>
    <mergeCell ref="AA123:AB123"/>
    <mergeCell ref="AH123:AI123"/>
    <mergeCell ref="AJ123:AK123"/>
    <mergeCell ref="AL133:AM133"/>
    <mergeCell ref="I138:J138"/>
    <mergeCell ref="W138:X138"/>
    <mergeCell ref="Y138:Z138"/>
    <mergeCell ref="AA138:AB138"/>
    <mergeCell ref="AH138:AI138"/>
    <mergeCell ref="AJ138:AK138"/>
    <mergeCell ref="AL138:AM138"/>
    <mergeCell ref="I133:J133"/>
    <mergeCell ref="W133:X133"/>
    <mergeCell ref="Y133:Z133"/>
    <mergeCell ref="AA133:AB133"/>
    <mergeCell ref="AH133:AI133"/>
    <mergeCell ref="AJ133:AK133"/>
    <mergeCell ref="AL143:AM143"/>
    <mergeCell ref="I148:J148"/>
    <mergeCell ref="W148:X148"/>
    <mergeCell ref="Y148:Z148"/>
    <mergeCell ref="AA148:AB148"/>
    <mergeCell ref="AH148:AI148"/>
    <mergeCell ref="AJ148:AK148"/>
    <mergeCell ref="AL148:AM148"/>
    <mergeCell ref="I143:J143"/>
    <mergeCell ref="W143:X143"/>
    <mergeCell ref="Y143:Z143"/>
    <mergeCell ref="AA143:AB143"/>
    <mergeCell ref="AH143:AI143"/>
    <mergeCell ref="AJ143:AK143"/>
  </mergeCells>
  <pageMargins left="0.7" right="0.7" top="0.75" bottom="0.75" header="0.3" footer="0.3"/>
  <pageSetup paperSize="9" orientation="portrait" r:id="rId1"/>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tabColor theme="5" tint="-0.249977111117893"/>
  </sheetPr>
  <dimension ref="Q1:AS27"/>
  <sheetViews>
    <sheetView showRowColHeaders="0" zoomScale="70" zoomScaleNormal="70" workbookViewId="0">
      <selection activeCell="R3" sqref="R3"/>
    </sheetView>
  </sheetViews>
  <sheetFormatPr defaultRowHeight="15" x14ac:dyDescent="0.25"/>
  <cols>
    <col min="1" max="1" width="12.42578125" style="126" customWidth="1"/>
    <col min="2" max="2" width="12" style="126" customWidth="1"/>
    <col min="3" max="3" width="9.140625" style="126"/>
    <col min="4" max="4" width="7.28515625" style="126" customWidth="1"/>
    <col min="5" max="5" width="7" style="126" customWidth="1"/>
    <col min="6" max="6" width="7.28515625" style="126" customWidth="1"/>
    <col min="7" max="7" width="7.42578125" style="126" customWidth="1"/>
    <col min="8" max="8" width="6.85546875" style="126" customWidth="1"/>
    <col min="9" max="9" width="6.5703125" style="126" customWidth="1"/>
    <col min="10" max="11" width="7" style="126" customWidth="1"/>
    <col min="12" max="12" width="6.85546875" style="126" customWidth="1"/>
    <col min="13" max="13" width="6.5703125" style="126" customWidth="1"/>
    <col min="14" max="14" width="6.85546875" style="126" customWidth="1"/>
    <col min="15" max="15" width="7" style="126" customWidth="1"/>
    <col min="16" max="16" width="10.42578125" style="126" customWidth="1"/>
    <col min="17" max="17" width="9.140625" style="126"/>
    <col min="18" max="18" width="12.42578125" style="126" customWidth="1"/>
    <col min="19" max="19" width="3" style="126" customWidth="1"/>
    <col min="20" max="16384" width="9.140625" style="126"/>
  </cols>
  <sheetData>
    <row r="1" spans="17:45" ht="18.75" x14ac:dyDescent="0.3">
      <c r="Q1" s="497" t="s">
        <v>119</v>
      </c>
      <c r="R1" s="497"/>
      <c r="S1" s="438"/>
      <c r="T1" s="439" t="s">
        <v>303</v>
      </c>
      <c r="U1" s="438"/>
    </row>
    <row r="2" spans="17:45" ht="30" x14ac:dyDescent="0.25">
      <c r="Q2" s="110" t="s">
        <v>120</v>
      </c>
      <c r="R2" s="111" t="s">
        <v>121</v>
      </c>
      <c r="T2" s="416" t="s">
        <v>133</v>
      </c>
      <c r="U2" s="416">
        <v>0</v>
      </c>
      <c r="V2" s="416">
        <v>0.25</v>
      </c>
      <c r="W2" s="416">
        <v>0.5</v>
      </c>
      <c r="X2" s="416">
        <v>0.75</v>
      </c>
      <c r="Y2" s="416">
        <v>1</v>
      </c>
      <c r="Z2" s="416">
        <v>2</v>
      </c>
      <c r="AA2" s="416">
        <v>3</v>
      </c>
      <c r="AB2" s="416">
        <v>4</v>
      </c>
      <c r="AC2" s="416">
        <v>4.8499999999999996</v>
      </c>
      <c r="AD2" s="416">
        <v>5</v>
      </c>
      <c r="AE2" s="416">
        <v>6</v>
      </c>
      <c r="AF2" s="416">
        <v>6.5</v>
      </c>
      <c r="AG2" s="416"/>
      <c r="AH2" s="416"/>
      <c r="AI2" s="125"/>
      <c r="AJ2" s="125"/>
      <c r="AK2" s="125"/>
      <c r="AL2" s="125"/>
      <c r="AM2" s="125"/>
      <c r="AN2" s="125"/>
      <c r="AO2" s="125"/>
      <c r="AP2" s="125"/>
      <c r="AQ2" s="125"/>
      <c r="AR2" s="125"/>
      <c r="AS2" s="125"/>
    </row>
    <row r="3" spans="17:45" x14ac:dyDescent="0.25">
      <c r="Q3" s="113">
        <f>Tools!AD3</f>
        <v>0</v>
      </c>
      <c r="R3" s="109">
        <v>7</v>
      </c>
      <c r="T3" s="416">
        <v>0</v>
      </c>
      <c r="U3" s="127">
        <v>0</v>
      </c>
      <c r="V3" s="127">
        <v>0</v>
      </c>
      <c r="W3" s="127">
        <v>0</v>
      </c>
      <c r="X3" s="127">
        <v>0</v>
      </c>
      <c r="Y3" s="127">
        <v>0</v>
      </c>
      <c r="Z3" s="127">
        <v>0</v>
      </c>
      <c r="AA3" s="127">
        <v>0</v>
      </c>
      <c r="AB3" s="127">
        <v>0.9</v>
      </c>
      <c r="AC3" s="127">
        <v>2.59</v>
      </c>
      <c r="AD3" s="127">
        <v>2.82</v>
      </c>
      <c r="AE3" s="127">
        <v>3.82</v>
      </c>
      <c r="AF3" s="127">
        <v>4.24</v>
      </c>
      <c r="AG3" s="127"/>
      <c r="AH3" s="127"/>
      <c r="AI3" s="128"/>
      <c r="AJ3" s="128"/>
      <c r="AK3" s="128"/>
      <c r="AL3" s="128"/>
      <c r="AM3" s="128"/>
      <c r="AN3" s="128"/>
      <c r="AO3" s="128"/>
      <c r="AP3" s="128"/>
      <c r="AQ3" s="128"/>
      <c r="AR3" s="128"/>
      <c r="AS3" s="128"/>
    </row>
    <row r="4" spans="17:45" x14ac:dyDescent="0.25">
      <c r="Q4" s="113">
        <f>Tools!AD4</f>
        <v>0.5</v>
      </c>
      <c r="R4" s="109"/>
      <c r="T4" s="416">
        <v>0.5</v>
      </c>
      <c r="U4" s="127">
        <v>0.1</v>
      </c>
      <c r="V4" s="127">
        <v>0.2</v>
      </c>
      <c r="W4" s="127">
        <v>0.2</v>
      </c>
      <c r="X4" s="127">
        <v>0.21</v>
      </c>
      <c r="Y4" s="127">
        <v>0.25</v>
      </c>
      <c r="Z4" s="127">
        <v>0.33</v>
      </c>
      <c r="AA4" s="127">
        <v>0.66</v>
      </c>
      <c r="AB4" s="127">
        <v>2.4300000000000002</v>
      </c>
      <c r="AC4" s="127">
        <v>4.18</v>
      </c>
      <c r="AD4" s="127">
        <v>4.3899999999999997</v>
      </c>
      <c r="AE4" s="127">
        <v>5.43</v>
      </c>
      <c r="AF4" s="127">
        <v>5.85</v>
      </c>
      <c r="AG4" s="127"/>
      <c r="AH4" s="127"/>
      <c r="AI4" s="128"/>
      <c r="AJ4" s="128"/>
      <c r="AK4" s="128"/>
      <c r="AL4" s="128"/>
      <c r="AM4" s="128"/>
      <c r="AN4" s="128"/>
      <c r="AO4" s="128"/>
      <c r="AP4" s="128"/>
      <c r="AQ4" s="128"/>
      <c r="AR4" s="128"/>
      <c r="AS4" s="128"/>
    </row>
    <row r="5" spans="17:45" x14ac:dyDescent="0.25">
      <c r="Q5" s="113">
        <f>Tools!AD5</f>
        <v>1</v>
      </c>
      <c r="R5" s="109"/>
      <c r="T5" s="416">
        <v>1</v>
      </c>
      <c r="U5" s="127">
        <v>0.3</v>
      </c>
      <c r="V5" s="127">
        <v>0.5</v>
      </c>
      <c r="W5" s="127">
        <v>0.68</v>
      </c>
      <c r="X5" s="127">
        <v>0.83</v>
      </c>
      <c r="Y5" s="127">
        <v>0.98</v>
      </c>
      <c r="Z5" s="127">
        <v>1.44</v>
      </c>
      <c r="AA5" s="127">
        <v>2.27</v>
      </c>
      <c r="AB5" s="127">
        <v>4.01</v>
      </c>
      <c r="AC5" s="127">
        <v>5.57</v>
      </c>
      <c r="AD5" s="127">
        <v>5.78</v>
      </c>
      <c r="AE5" s="127">
        <v>6.8</v>
      </c>
      <c r="AF5" s="127">
        <v>7.27</v>
      </c>
      <c r="AG5" s="127"/>
      <c r="AH5" s="127"/>
      <c r="AI5" s="128"/>
      <c r="AJ5" s="128"/>
      <c r="AK5" s="128"/>
      <c r="AL5" s="128"/>
      <c r="AM5" s="128"/>
      <c r="AN5" s="128"/>
      <c r="AO5" s="128"/>
      <c r="AP5" s="128"/>
      <c r="AQ5" s="128"/>
      <c r="AR5" s="128"/>
      <c r="AS5" s="128"/>
    </row>
    <row r="6" spans="17:45" x14ac:dyDescent="0.25">
      <c r="Q6" s="113">
        <f>Tools!AD6</f>
        <v>1.5</v>
      </c>
      <c r="R6" s="109"/>
      <c r="T6" s="416">
        <v>1.5</v>
      </c>
      <c r="U6" s="127">
        <v>0.5</v>
      </c>
      <c r="V6" s="127">
        <v>0.99</v>
      </c>
      <c r="W6" s="127">
        <v>1.35</v>
      </c>
      <c r="X6" s="127">
        <v>1.65</v>
      </c>
      <c r="Y6" s="127">
        <v>1.89</v>
      </c>
      <c r="Z6" s="127">
        <v>2.81</v>
      </c>
      <c r="AA6" s="127">
        <v>3.86</v>
      </c>
      <c r="AB6" s="127">
        <v>5.5</v>
      </c>
      <c r="AC6" s="127">
        <v>6.82</v>
      </c>
      <c r="AD6" s="127">
        <v>7.01</v>
      </c>
      <c r="AE6" s="127">
        <v>7.98</v>
      </c>
      <c r="AF6" s="127">
        <v>8.42</v>
      </c>
      <c r="AG6" s="127"/>
      <c r="AH6" s="127"/>
      <c r="AI6" s="128"/>
      <c r="AJ6" s="128"/>
      <c r="AK6" s="128"/>
      <c r="AL6" s="128"/>
      <c r="AM6" s="128"/>
      <c r="AN6" s="128"/>
      <c r="AO6" s="128"/>
      <c r="AP6" s="128"/>
      <c r="AQ6" s="128"/>
      <c r="AR6" s="128"/>
      <c r="AS6" s="128"/>
    </row>
    <row r="7" spans="17:45" x14ac:dyDescent="0.25">
      <c r="Q7" s="113">
        <f>Tools!AD7</f>
        <v>2</v>
      </c>
      <c r="R7" s="109"/>
      <c r="T7" s="416">
        <v>2</v>
      </c>
      <c r="U7" s="127">
        <v>0.9</v>
      </c>
      <c r="V7" s="127">
        <v>1.59</v>
      </c>
      <c r="W7" s="127">
        <v>2.14</v>
      </c>
      <c r="X7" s="127">
        <v>2.59</v>
      </c>
      <c r="Y7" s="127">
        <v>2.93</v>
      </c>
      <c r="Z7" s="127">
        <v>4.17</v>
      </c>
      <c r="AA7" s="127">
        <v>5.28</v>
      </c>
      <c r="AB7" s="127">
        <v>6.7</v>
      </c>
      <c r="AC7" s="127">
        <v>7.89</v>
      </c>
      <c r="AD7" s="127">
        <v>8.0399999999999991</v>
      </c>
      <c r="AE7" s="127">
        <v>8.94</v>
      </c>
      <c r="AF7" s="127">
        <v>9.3000000000000007</v>
      </c>
      <c r="AG7" s="127"/>
      <c r="AH7" s="127"/>
      <c r="AI7" s="128"/>
      <c r="AJ7" s="128"/>
      <c r="AK7" s="128"/>
      <c r="AL7" s="128"/>
      <c r="AM7" s="128"/>
      <c r="AN7" s="128"/>
      <c r="AO7" s="128"/>
      <c r="AP7" s="128"/>
      <c r="AQ7" s="128"/>
      <c r="AR7" s="128"/>
      <c r="AS7" s="128"/>
    </row>
    <row r="8" spans="17:45" x14ac:dyDescent="0.25">
      <c r="Q8" s="113">
        <f>Tools!AD8</f>
        <v>3</v>
      </c>
      <c r="R8" s="109"/>
      <c r="T8" s="416">
        <v>3</v>
      </c>
      <c r="U8" s="127">
        <v>1.9</v>
      </c>
      <c r="V8" s="127">
        <v>3.32</v>
      </c>
      <c r="W8" s="127">
        <v>4.17</v>
      </c>
      <c r="X8" s="127">
        <v>4.72</v>
      </c>
      <c r="Y8" s="127">
        <v>5.15</v>
      </c>
      <c r="Z8" s="127">
        <v>6.67</v>
      </c>
      <c r="AA8" s="127">
        <v>7.76</v>
      </c>
      <c r="AB8" s="127">
        <v>8.65</v>
      </c>
      <c r="AC8" s="127">
        <v>9.43</v>
      </c>
      <c r="AD8" s="127">
        <v>9.5399999999999991</v>
      </c>
      <c r="AE8" s="127">
        <v>10.1</v>
      </c>
      <c r="AF8" s="127">
        <v>10.44</v>
      </c>
      <c r="AG8" s="127"/>
      <c r="AH8" s="127"/>
      <c r="AI8" s="128"/>
      <c r="AJ8" s="128"/>
      <c r="AK8" s="128"/>
      <c r="AL8" s="128"/>
      <c r="AM8" s="128"/>
      <c r="AN8" s="128"/>
      <c r="AO8" s="128"/>
      <c r="AP8" s="128"/>
      <c r="AQ8" s="128"/>
      <c r="AR8" s="128"/>
      <c r="AS8" s="128"/>
    </row>
    <row r="9" spans="17:45" x14ac:dyDescent="0.25">
      <c r="Q9" s="113">
        <f>Tools!AD9</f>
        <v>4</v>
      </c>
      <c r="R9" s="109"/>
      <c r="T9" s="416">
        <v>4</v>
      </c>
      <c r="U9" s="127">
        <v>3.8</v>
      </c>
      <c r="V9" s="127">
        <v>5.33</v>
      </c>
      <c r="W9" s="127">
        <v>6.26</v>
      </c>
      <c r="X9" s="127">
        <v>6.83</v>
      </c>
      <c r="Y9" s="127">
        <v>7.29</v>
      </c>
      <c r="Z9" s="127">
        <v>8.61</v>
      </c>
      <c r="AA9" s="127">
        <v>9.4499999999999993</v>
      </c>
      <c r="AB9" s="127">
        <v>10.1</v>
      </c>
      <c r="AC9" s="127">
        <v>10.45</v>
      </c>
      <c r="AD9" s="127">
        <v>10.5</v>
      </c>
      <c r="AE9" s="127">
        <v>10.8</v>
      </c>
      <c r="AF9" s="127">
        <v>10.87</v>
      </c>
      <c r="AG9" s="127"/>
      <c r="AH9" s="127"/>
      <c r="AI9" s="128"/>
      <c r="AJ9" s="128"/>
      <c r="AK9" s="128"/>
      <c r="AL9" s="128"/>
      <c r="AM9" s="128"/>
      <c r="AN9" s="128"/>
      <c r="AO9" s="128"/>
      <c r="AP9" s="128"/>
      <c r="AQ9" s="128"/>
      <c r="AR9" s="128"/>
      <c r="AS9" s="128"/>
    </row>
    <row r="10" spans="17:45" x14ac:dyDescent="0.25">
      <c r="Q10" s="113">
        <f>Tools!AD10</f>
        <v>5</v>
      </c>
      <c r="R10" s="109"/>
      <c r="T10" s="416">
        <v>5</v>
      </c>
      <c r="U10" s="127">
        <v>5.9</v>
      </c>
      <c r="V10" s="127">
        <v>7.26</v>
      </c>
      <c r="W10" s="127">
        <v>8.1199999999999992</v>
      </c>
      <c r="X10" s="127">
        <v>8.6999999999999993</v>
      </c>
      <c r="Y10" s="127">
        <v>9.07</v>
      </c>
      <c r="Z10" s="127">
        <v>9.9499999999999993</v>
      </c>
      <c r="AA10" s="127">
        <v>10.3</v>
      </c>
      <c r="AB10" s="127">
        <v>10.58</v>
      </c>
      <c r="AC10" s="127">
        <v>10.72</v>
      </c>
      <c r="AD10" s="127">
        <v>10.74</v>
      </c>
      <c r="AE10" s="127">
        <v>10.9</v>
      </c>
      <c r="AF10" s="127">
        <v>11</v>
      </c>
      <c r="AG10" s="127"/>
      <c r="AH10" s="127"/>
      <c r="AI10" s="128"/>
      <c r="AJ10" s="128"/>
      <c r="AK10" s="128"/>
      <c r="AL10" s="128"/>
      <c r="AM10" s="128"/>
      <c r="AN10" s="128"/>
      <c r="AO10" s="128"/>
      <c r="AP10" s="128"/>
      <c r="AQ10" s="128"/>
      <c r="AR10" s="128"/>
      <c r="AS10" s="128"/>
    </row>
    <row r="11" spans="17:45" x14ac:dyDescent="0.25">
      <c r="Q11" s="113">
        <f>Tools!AD11</f>
        <v>6</v>
      </c>
      <c r="R11" s="109"/>
      <c r="T11" s="416">
        <v>6</v>
      </c>
      <c r="U11" s="127">
        <v>7.9</v>
      </c>
      <c r="V11" s="127">
        <v>8.9</v>
      </c>
      <c r="W11" s="127">
        <v>9.5</v>
      </c>
      <c r="X11" s="127">
        <v>9.94</v>
      </c>
      <c r="Y11" s="127">
        <v>10.199999999999999</v>
      </c>
      <c r="Z11" s="127">
        <v>10.8</v>
      </c>
      <c r="AA11" s="127">
        <v>10.9</v>
      </c>
      <c r="AB11" s="127">
        <v>11</v>
      </c>
      <c r="AC11" s="127">
        <v>11</v>
      </c>
      <c r="AD11" s="127">
        <v>11</v>
      </c>
      <c r="AE11" s="127">
        <v>11</v>
      </c>
      <c r="AF11" s="127">
        <v>11</v>
      </c>
      <c r="AG11" s="127"/>
      <c r="AH11" s="127"/>
      <c r="AI11" s="128"/>
      <c r="AJ11" s="128"/>
      <c r="AK11" s="128"/>
      <c r="AL11" s="128"/>
      <c r="AM11" s="128"/>
      <c r="AN11" s="128"/>
      <c r="AO11" s="128"/>
      <c r="AP11" s="128"/>
      <c r="AQ11" s="128"/>
      <c r="AR11" s="128"/>
      <c r="AS11" s="128"/>
    </row>
    <row r="12" spans="17:45" x14ac:dyDescent="0.25">
      <c r="Q12" s="113">
        <f>Tools!AD12</f>
        <v>7</v>
      </c>
      <c r="R12" s="109"/>
      <c r="T12" s="416">
        <v>7</v>
      </c>
      <c r="U12" s="127">
        <v>9</v>
      </c>
      <c r="V12" s="127">
        <v>9.83</v>
      </c>
      <c r="W12" s="127">
        <v>10.3</v>
      </c>
      <c r="X12" s="127">
        <v>10.6</v>
      </c>
      <c r="Y12" s="127">
        <v>10.8</v>
      </c>
      <c r="Z12" s="127">
        <v>11</v>
      </c>
      <c r="AA12" s="127">
        <v>11</v>
      </c>
      <c r="AB12" s="127">
        <v>11</v>
      </c>
      <c r="AC12" s="127">
        <v>11</v>
      </c>
      <c r="AD12" s="127">
        <v>11</v>
      </c>
      <c r="AE12" s="127">
        <v>11</v>
      </c>
      <c r="AF12" s="127">
        <v>11</v>
      </c>
      <c r="AG12" s="127"/>
      <c r="AH12" s="127"/>
      <c r="AI12" s="128"/>
      <c r="AJ12" s="128"/>
      <c r="AK12" s="128"/>
      <c r="AL12" s="128"/>
      <c r="AM12" s="128"/>
      <c r="AN12" s="128"/>
      <c r="AO12" s="128"/>
      <c r="AP12" s="128"/>
      <c r="AQ12" s="128"/>
      <c r="AR12" s="128"/>
      <c r="AS12" s="128"/>
    </row>
    <row r="13" spans="17:45" x14ac:dyDescent="0.25">
      <c r="Q13" s="113">
        <f>Tools!AD13</f>
        <v>8</v>
      </c>
      <c r="R13" s="109"/>
      <c r="T13" s="416">
        <v>8</v>
      </c>
      <c r="U13" s="127">
        <v>9.5</v>
      </c>
      <c r="V13" s="127">
        <v>10.33</v>
      </c>
      <c r="W13" s="127">
        <v>10.67</v>
      </c>
      <c r="X13" s="127">
        <v>10.9</v>
      </c>
      <c r="Y13" s="127">
        <v>11</v>
      </c>
      <c r="Z13" s="127">
        <v>11</v>
      </c>
      <c r="AA13" s="127">
        <v>11</v>
      </c>
      <c r="AB13" s="127">
        <v>11</v>
      </c>
      <c r="AC13" s="127">
        <v>11</v>
      </c>
      <c r="AD13" s="127">
        <v>11</v>
      </c>
      <c r="AE13" s="127">
        <v>11</v>
      </c>
      <c r="AF13" s="127">
        <v>11</v>
      </c>
      <c r="AG13" s="127"/>
      <c r="AH13" s="127"/>
      <c r="AI13" s="128"/>
      <c r="AJ13" s="128"/>
      <c r="AK13" s="128"/>
      <c r="AL13" s="128"/>
      <c r="AM13" s="128"/>
      <c r="AN13" s="128"/>
      <c r="AO13" s="128"/>
      <c r="AP13" s="128"/>
      <c r="AQ13" s="128"/>
      <c r="AR13" s="128"/>
      <c r="AS13" s="128"/>
    </row>
    <row r="14" spans="17:45" x14ac:dyDescent="0.25">
      <c r="Q14" s="113">
        <f>Tools!AD14</f>
        <v>9</v>
      </c>
      <c r="R14" s="109"/>
      <c r="T14" s="416">
        <v>9</v>
      </c>
      <c r="U14" s="127">
        <v>9.6999999999999993</v>
      </c>
      <c r="V14" s="127">
        <v>10.45</v>
      </c>
      <c r="W14" s="127">
        <v>10.75</v>
      </c>
      <c r="X14" s="127">
        <v>10.93</v>
      </c>
      <c r="Y14" s="127">
        <v>11</v>
      </c>
      <c r="Z14" s="127">
        <v>11</v>
      </c>
      <c r="AA14" s="127">
        <v>11</v>
      </c>
      <c r="AB14" s="127">
        <v>11</v>
      </c>
      <c r="AC14" s="127">
        <v>11</v>
      </c>
      <c r="AD14" s="127">
        <v>11</v>
      </c>
      <c r="AE14" s="127">
        <v>11</v>
      </c>
      <c r="AF14" s="127">
        <v>11</v>
      </c>
      <c r="AG14" s="127"/>
      <c r="AH14" s="127"/>
      <c r="AI14" s="128"/>
      <c r="AJ14" s="128"/>
      <c r="AK14" s="128"/>
      <c r="AL14" s="128"/>
      <c r="AM14" s="128"/>
      <c r="AN14" s="128"/>
      <c r="AO14" s="128"/>
      <c r="AP14" s="128"/>
      <c r="AQ14" s="128"/>
      <c r="AR14" s="128"/>
      <c r="AS14" s="128"/>
    </row>
    <row r="15" spans="17:45" x14ac:dyDescent="0.25">
      <c r="Q15" s="113">
        <f>Tools!AD15</f>
        <v>10</v>
      </c>
      <c r="R15" s="109"/>
      <c r="T15" s="416">
        <v>10</v>
      </c>
      <c r="U15" s="127">
        <v>9.6999999999999993</v>
      </c>
      <c r="V15" s="127">
        <v>10.45</v>
      </c>
      <c r="W15" s="127">
        <v>10.75</v>
      </c>
      <c r="X15" s="127">
        <v>10.93</v>
      </c>
      <c r="Y15" s="127">
        <v>11</v>
      </c>
      <c r="Z15" s="127">
        <v>11</v>
      </c>
      <c r="AA15" s="127">
        <v>11</v>
      </c>
      <c r="AB15" s="127">
        <v>11</v>
      </c>
      <c r="AC15" s="127">
        <v>11</v>
      </c>
      <c r="AD15" s="127">
        <v>11</v>
      </c>
      <c r="AE15" s="127">
        <v>11</v>
      </c>
      <c r="AF15" s="127">
        <v>11</v>
      </c>
      <c r="AG15" s="127"/>
      <c r="AH15" s="127"/>
      <c r="AI15" s="128"/>
      <c r="AJ15" s="128"/>
      <c r="AK15" s="128"/>
      <c r="AL15" s="128"/>
      <c r="AM15" s="128"/>
      <c r="AN15" s="128"/>
      <c r="AO15" s="128"/>
      <c r="AP15" s="128"/>
      <c r="AQ15" s="128"/>
      <c r="AR15" s="128"/>
      <c r="AS15" s="128"/>
    </row>
    <row r="16" spans="17:45" x14ac:dyDescent="0.25">
      <c r="Q16" s="113">
        <f>Tools!AD16</f>
        <v>11</v>
      </c>
      <c r="R16" s="109"/>
      <c r="T16" s="416">
        <v>11</v>
      </c>
      <c r="U16" s="127">
        <v>9.6999999999999993</v>
      </c>
      <c r="V16" s="127">
        <v>10.45</v>
      </c>
      <c r="W16" s="127">
        <v>10.75</v>
      </c>
      <c r="X16" s="127">
        <v>10.93</v>
      </c>
      <c r="Y16" s="127">
        <v>11</v>
      </c>
      <c r="Z16" s="127">
        <v>11</v>
      </c>
      <c r="AA16" s="127">
        <v>11</v>
      </c>
      <c r="AB16" s="127">
        <v>11</v>
      </c>
      <c r="AC16" s="127">
        <v>11</v>
      </c>
      <c r="AD16" s="127">
        <v>11</v>
      </c>
      <c r="AE16" s="127">
        <v>11</v>
      </c>
      <c r="AF16" s="127">
        <v>11</v>
      </c>
      <c r="AG16" s="127"/>
      <c r="AH16" s="127"/>
      <c r="AI16" s="128"/>
      <c r="AJ16" s="128"/>
      <c r="AK16" s="128"/>
      <c r="AL16" s="128"/>
      <c r="AM16" s="128"/>
      <c r="AN16" s="128"/>
      <c r="AO16" s="128"/>
      <c r="AP16" s="128"/>
      <c r="AQ16" s="128"/>
      <c r="AR16" s="128"/>
      <c r="AS16" s="128"/>
    </row>
    <row r="17" spans="17:45" x14ac:dyDescent="0.25">
      <c r="Q17" s="113">
        <f>Tools!AD17</f>
        <v>12</v>
      </c>
      <c r="R17" s="109"/>
      <c r="T17" s="416">
        <v>12</v>
      </c>
      <c r="U17" s="127">
        <v>9.6999999999999993</v>
      </c>
      <c r="V17" s="127">
        <v>10.45</v>
      </c>
      <c r="W17" s="127">
        <v>10.75</v>
      </c>
      <c r="X17" s="127">
        <v>10.93</v>
      </c>
      <c r="Y17" s="127">
        <v>11</v>
      </c>
      <c r="Z17" s="127">
        <v>11</v>
      </c>
      <c r="AA17" s="127">
        <v>11</v>
      </c>
      <c r="AB17" s="127">
        <v>11</v>
      </c>
      <c r="AC17" s="127">
        <v>11</v>
      </c>
      <c r="AD17" s="127">
        <v>11</v>
      </c>
      <c r="AE17" s="127">
        <v>11</v>
      </c>
      <c r="AF17" s="127">
        <v>11</v>
      </c>
      <c r="AG17" s="127"/>
      <c r="AH17" s="127"/>
      <c r="AI17" s="128"/>
      <c r="AJ17" s="128"/>
      <c r="AK17" s="128"/>
      <c r="AL17" s="128"/>
      <c r="AM17" s="128"/>
      <c r="AN17" s="128"/>
      <c r="AO17" s="128"/>
      <c r="AP17" s="128"/>
      <c r="AQ17" s="128"/>
      <c r="AR17" s="128"/>
      <c r="AS17" s="128"/>
    </row>
    <row r="18" spans="17:45" x14ac:dyDescent="0.25">
      <c r="Q18" s="113">
        <f>Tools!AD18</f>
        <v>13</v>
      </c>
      <c r="R18" s="109"/>
      <c r="T18" s="416">
        <v>13</v>
      </c>
      <c r="U18" s="127">
        <v>9.6999999999999993</v>
      </c>
      <c r="V18" s="127">
        <v>10.45</v>
      </c>
      <c r="W18" s="127">
        <v>10.75</v>
      </c>
      <c r="X18" s="127">
        <v>10.93</v>
      </c>
      <c r="Y18" s="127">
        <v>11</v>
      </c>
      <c r="Z18" s="127">
        <v>11</v>
      </c>
      <c r="AA18" s="127">
        <v>11</v>
      </c>
      <c r="AB18" s="127">
        <v>11</v>
      </c>
      <c r="AC18" s="127">
        <v>11</v>
      </c>
      <c r="AD18" s="127">
        <v>11</v>
      </c>
      <c r="AE18" s="127">
        <v>11</v>
      </c>
      <c r="AF18" s="127">
        <v>11</v>
      </c>
      <c r="AG18" s="127"/>
      <c r="AH18" s="127"/>
      <c r="AI18" s="128"/>
      <c r="AJ18" s="128"/>
      <c r="AK18" s="128"/>
      <c r="AL18" s="128"/>
      <c r="AM18" s="128"/>
      <c r="AN18" s="128"/>
      <c r="AO18" s="128"/>
      <c r="AP18" s="128"/>
      <c r="AQ18" s="128"/>
      <c r="AR18" s="128"/>
      <c r="AS18" s="128"/>
    </row>
    <row r="19" spans="17:45" x14ac:dyDescent="0.25">
      <c r="Q19" s="113">
        <f>Tools!AD19</f>
        <v>14</v>
      </c>
      <c r="R19" s="109"/>
      <c r="T19" s="416">
        <v>14</v>
      </c>
      <c r="U19" s="127">
        <v>9.5</v>
      </c>
      <c r="V19" s="127">
        <v>10.32</v>
      </c>
      <c r="W19" s="127">
        <v>10.66</v>
      </c>
      <c r="X19" s="127">
        <v>10.87</v>
      </c>
      <c r="Y19" s="127">
        <v>11</v>
      </c>
      <c r="Z19" s="127">
        <v>11</v>
      </c>
      <c r="AA19" s="127">
        <v>11</v>
      </c>
      <c r="AB19" s="127">
        <v>11</v>
      </c>
      <c r="AC19" s="127">
        <v>11</v>
      </c>
      <c r="AD19" s="127">
        <v>11</v>
      </c>
      <c r="AE19" s="127">
        <v>11</v>
      </c>
      <c r="AF19" s="127">
        <v>11</v>
      </c>
      <c r="AG19" s="127"/>
      <c r="AH19" s="127"/>
      <c r="AI19" s="128"/>
      <c r="AJ19" s="128"/>
      <c r="AK19" s="128"/>
      <c r="AL19" s="128"/>
      <c r="AM19" s="128"/>
      <c r="AN19" s="128"/>
      <c r="AO19" s="128"/>
      <c r="AP19" s="128"/>
      <c r="AQ19" s="128"/>
      <c r="AR19" s="128"/>
      <c r="AS19" s="128"/>
    </row>
    <row r="20" spans="17:45" x14ac:dyDescent="0.25">
      <c r="Q20" s="113">
        <f>Tools!AD20</f>
        <v>15</v>
      </c>
      <c r="R20" s="109"/>
      <c r="T20" s="416">
        <v>15</v>
      </c>
      <c r="U20" s="127">
        <v>8.9</v>
      </c>
      <c r="V20" s="127">
        <v>9.76</v>
      </c>
      <c r="W20" s="127">
        <v>10.199999999999999</v>
      </c>
      <c r="X20" s="127">
        <v>10.5</v>
      </c>
      <c r="Y20" s="127">
        <v>10.7</v>
      </c>
      <c r="Z20" s="127">
        <v>11</v>
      </c>
      <c r="AA20" s="127">
        <v>11</v>
      </c>
      <c r="AB20" s="127">
        <v>11</v>
      </c>
      <c r="AC20" s="127">
        <v>11</v>
      </c>
      <c r="AD20" s="127">
        <v>11</v>
      </c>
      <c r="AE20" s="127">
        <v>11</v>
      </c>
      <c r="AF20" s="127">
        <v>11</v>
      </c>
      <c r="AG20" s="127"/>
      <c r="AH20" s="127"/>
      <c r="AI20" s="128"/>
      <c r="AJ20" s="128"/>
      <c r="AK20" s="128"/>
      <c r="AL20" s="128"/>
      <c r="AM20" s="128"/>
      <c r="AN20" s="128"/>
      <c r="AO20" s="128"/>
      <c r="AP20" s="128"/>
      <c r="AQ20" s="128"/>
      <c r="AR20" s="128"/>
      <c r="AS20" s="128"/>
    </row>
    <row r="21" spans="17:45" x14ac:dyDescent="0.25">
      <c r="Q21" s="113">
        <f>Tools!AD21</f>
        <v>16</v>
      </c>
      <c r="R21" s="109"/>
      <c r="T21" s="416">
        <v>16</v>
      </c>
      <c r="U21" s="127">
        <v>7.6</v>
      </c>
      <c r="V21" s="127">
        <v>8.64</v>
      </c>
      <c r="W21" s="127">
        <v>9.27</v>
      </c>
      <c r="X21" s="127">
        <v>9.66</v>
      </c>
      <c r="Y21" s="127">
        <v>9.91</v>
      </c>
      <c r="Z21" s="127">
        <v>10.5</v>
      </c>
      <c r="AA21" s="127">
        <v>10.7</v>
      </c>
      <c r="AB21" s="127">
        <v>10.8</v>
      </c>
      <c r="AC21" s="127">
        <v>10.89</v>
      </c>
      <c r="AD21" s="127">
        <v>10.9</v>
      </c>
      <c r="AE21" s="127">
        <v>11</v>
      </c>
      <c r="AF21" s="127">
        <v>11</v>
      </c>
      <c r="AG21" s="127"/>
      <c r="AH21" s="127"/>
      <c r="AI21" s="128"/>
      <c r="AJ21" s="128"/>
      <c r="AK21" s="128"/>
      <c r="AL21" s="128"/>
      <c r="AM21" s="128"/>
      <c r="AN21" s="128"/>
      <c r="AO21" s="128"/>
      <c r="AP21" s="128"/>
      <c r="AQ21" s="128"/>
      <c r="AR21" s="128"/>
      <c r="AS21" s="128"/>
    </row>
    <row r="22" spans="17:45" x14ac:dyDescent="0.25">
      <c r="Q22" s="113">
        <f>Tools!AD22</f>
        <v>17</v>
      </c>
      <c r="R22" s="109"/>
      <c r="T22" s="416">
        <v>17</v>
      </c>
      <c r="U22" s="127">
        <v>5.6</v>
      </c>
      <c r="V22" s="127">
        <v>6.89</v>
      </c>
      <c r="W22" s="127">
        <v>7.56</v>
      </c>
      <c r="X22" s="127">
        <v>8.0399999999999991</v>
      </c>
      <c r="Y22" s="127">
        <v>8.42</v>
      </c>
      <c r="Z22" s="127">
        <v>9.32</v>
      </c>
      <c r="AA22" s="127">
        <v>9.69</v>
      </c>
      <c r="AB22" s="127">
        <v>9.99</v>
      </c>
      <c r="AC22" s="127">
        <v>10.23</v>
      </c>
      <c r="AD22" s="127">
        <v>10.27</v>
      </c>
      <c r="AE22" s="127">
        <v>10.5</v>
      </c>
      <c r="AF22" s="127">
        <v>10.62</v>
      </c>
      <c r="AG22" s="127"/>
      <c r="AH22" s="127"/>
      <c r="AI22" s="128"/>
      <c r="AJ22" s="128"/>
      <c r="AK22" s="128"/>
      <c r="AL22" s="128"/>
      <c r="AM22" s="128"/>
      <c r="AN22" s="128"/>
      <c r="AO22" s="128"/>
      <c r="AP22" s="128"/>
      <c r="AQ22" s="128"/>
      <c r="AR22" s="128"/>
      <c r="AS22" s="128"/>
    </row>
    <row r="23" spans="17:45" x14ac:dyDescent="0.25">
      <c r="Q23" s="113">
        <f>Tools!AD23</f>
        <v>18</v>
      </c>
      <c r="R23" s="109"/>
      <c r="T23" s="416">
        <v>18</v>
      </c>
      <c r="U23" s="127">
        <v>3.5</v>
      </c>
      <c r="V23" s="127">
        <v>4.6500000000000004</v>
      </c>
      <c r="W23" s="127">
        <v>5.35</v>
      </c>
      <c r="X23" s="127">
        <v>5.87</v>
      </c>
      <c r="Y23" s="127">
        <v>6.21</v>
      </c>
      <c r="Z23" s="127">
        <v>7.08</v>
      </c>
      <c r="AA23" s="127">
        <v>7.57</v>
      </c>
      <c r="AB23" s="127">
        <v>7.9291999999999998</v>
      </c>
      <c r="AC23" s="127">
        <v>8.3511000000000006</v>
      </c>
      <c r="AD23" s="127">
        <v>8.43</v>
      </c>
      <c r="AE23" s="127">
        <v>8.92</v>
      </c>
      <c r="AF23" s="127">
        <v>9.16</v>
      </c>
      <c r="AG23" s="127"/>
      <c r="AH23" s="127"/>
      <c r="AI23" s="128"/>
      <c r="AJ23" s="128"/>
      <c r="AK23" s="128"/>
      <c r="AL23" s="128"/>
      <c r="AM23" s="128"/>
      <c r="AN23" s="128"/>
      <c r="AO23" s="128"/>
      <c r="AP23" s="128"/>
      <c r="AQ23" s="128"/>
      <c r="AR23" s="128"/>
      <c r="AS23" s="128"/>
    </row>
    <row r="24" spans="17:45" x14ac:dyDescent="0.25">
      <c r="Q24" s="122">
        <f>Tools!AD24</f>
        <v>18.5</v>
      </c>
      <c r="R24" s="109"/>
      <c r="T24" s="416">
        <v>18.5</v>
      </c>
      <c r="U24" s="127">
        <v>2.2999999999999998</v>
      </c>
      <c r="V24" s="127">
        <v>3.43</v>
      </c>
      <c r="W24" s="127">
        <v>4.13</v>
      </c>
      <c r="X24" s="127">
        <v>4.58</v>
      </c>
      <c r="Y24" s="127">
        <v>4.91</v>
      </c>
      <c r="Z24" s="127">
        <v>5.63</v>
      </c>
      <c r="AA24" s="127">
        <v>6.05</v>
      </c>
      <c r="AB24" s="127">
        <v>6.39</v>
      </c>
      <c r="AC24" s="127">
        <v>6.82</v>
      </c>
      <c r="AD24" s="127">
        <v>6.91</v>
      </c>
      <c r="AE24" s="127">
        <v>7.5</v>
      </c>
      <c r="AF24" s="127">
        <v>7.8</v>
      </c>
      <c r="AG24" s="127"/>
      <c r="AH24" s="127"/>
      <c r="AI24" s="128"/>
      <c r="AJ24" s="128"/>
      <c r="AK24" s="128"/>
      <c r="AL24" s="128"/>
      <c r="AM24" s="128"/>
      <c r="AN24" s="128"/>
      <c r="AO24" s="128"/>
      <c r="AP24" s="128"/>
      <c r="AQ24" s="128"/>
      <c r="AR24" s="128"/>
      <c r="AS24" s="128"/>
    </row>
    <row r="25" spans="17:45" x14ac:dyDescent="0.25">
      <c r="Q25" s="122">
        <f>Tools!AD25</f>
        <v>19</v>
      </c>
      <c r="R25" s="109"/>
      <c r="T25" s="416">
        <v>19</v>
      </c>
      <c r="U25" s="127">
        <v>1.3</v>
      </c>
      <c r="V25" s="127">
        <v>2.2999999999999998</v>
      </c>
      <c r="W25" s="127">
        <v>2.84</v>
      </c>
      <c r="X25" s="127">
        <v>3.25</v>
      </c>
      <c r="Y25" s="127">
        <v>3.53</v>
      </c>
      <c r="Z25" s="127">
        <v>4.1100000000000003</v>
      </c>
      <c r="AA25" s="127">
        <v>4.2300000000000004</v>
      </c>
      <c r="AB25" s="127">
        <v>4.47</v>
      </c>
      <c r="AC25" s="127">
        <v>4.87</v>
      </c>
      <c r="AD25" s="127">
        <v>4.9399999999999995</v>
      </c>
      <c r="AE25" s="127">
        <v>5.59</v>
      </c>
      <c r="AF25" s="127">
        <v>5.94</v>
      </c>
      <c r="AG25" s="127"/>
      <c r="AH25" s="127"/>
      <c r="AI25" s="128"/>
      <c r="AJ25" s="128"/>
      <c r="AK25" s="128"/>
      <c r="AL25" s="128"/>
      <c r="AM25" s="128"/>
      <c r="AN25" s="128"/>
      <c r="AO25" s="128"/>
      <c r="AP25" s="128"/>
      <c r="AQ25" s="128"/>
      <c r="AR25" s="128"/>
      <c r="AS25" s="128"/>
    </row>
    <row r="26" spans="17:45" x14ac:dyDescent="0.25">
      <c r="Q26" s="122">
        <f>Tools!AD26</f>
        <v>19.5</v>
      </c>
      <c r="R26" s="109"/>
      <c r="T26" s="416">
        <v>19.5</v>
      </c>
      <c r="U26" s="127">
        <v>0.4</v>
      </c>
      <c r="V26" s="127">
        <v>1.21</v>
      </c>
      <c r="W26" s="127">
        <v>1.69</v>
      </c>
      <c r="X26" s="127">
        <v>2.02</v>
      </c>
      <c r="Y26" s="127">
        <v>2.29</v>
      </c>
      <c r="Z26" s="127">
        <v>2.63</v>
      </c>
      <c r="AA26" s="127">
        <v>2.38</v>
      </c>
      <c r="AB26" s="127">
        <v>2.25</v>
      </c>
      <c r="AC26" s="127">
        <v>2.42</v>
      </c>
      <c r="AD26" s="127">
        <v>2.4962</v>
      </c>
      <c r="AE26" s="127">
        <v>3.19</v>
      </c>
      <c r="AF26" s="127">
        <v>3.63</v>
      </c>
      <c r="AG26" s="127"/>
      <c r="AH26" s="127"/>
      <c r="AI26" s="128"/>
      <c r="AJ26" s="128"/>
      <c r="AK26" s="128"/>
      <c r="AL26" s="128"/>
      <c r="AM26" s="128"/>
      <c r="AN26" s="128"/>
      <c r="AO26" s="128"/>
      <c r="AP26" s="128"/>
      <c r="AQ26" s="128"/>
      <c r="AR26" s="128"/>
      <c r="AS26" s="128"/>
    </row>
    <row r="27" spans="17:45" x14ac:dyDescent="0.25">
      <c r="Q27" s="122">
        <f>Tools!AD27</f>
        <v>20</v>
      </c>
      <c r="R27" s="109"/>
      <c r="T27" s="416">
        <v>20</v>
      </c>
      <c r="U27" s="127">
        <v>0.1</v>
      </c>
      <c r="V27" s="127">
        <v>0.8</v>
      </c>
      <c r="W27" s="127">
        <v>1.2</v>
      </c>
      <c r="X27" s="127">
        <v>1.43</v>
      </c>
      <c r="Y27" s="127">
        <v>1.53</v>
      </c>
      <c r="Z27" s="127">
        <v>1.1200000000000001</v>
      </c>
      <c r="AA27" s="127">
        <v>0.5</v>
      </c>
      <c r="AB27" s="127">
        <v>0.08</v>
      </c>
      <c r="AC27" s="127">
        <v>0</v>
      </c>
      <c r="AD27" s="127">
        <v>0.03</v>
      </c>
      <c r="AE27" s="127">
        <v>0.8</v>
      </c>
      <c r="AF27" s="127">
        <v>1.63</v>
      </c>
      <c r="AG27" s="127"/>
      <c r="AH27" s="127"/>
      <c r="AI27" s="128"/>
      <c r="AJ27" s="128"/>
      <c r="AK27" s="128"/>
      <c r="AL27" s="128"/>
      <c r="AM27" s="128"/>
      <c r="AN27" s="128"/>
      <c r="AO27" s="128"/>
      <c r="AP27" s="128"/>
      <c r="AQ27" s="128"/>
      <c r="AR27" s="128"/>
      <c r="AS27" s="128"/>
    </row>
  </sheetData>
  <sheetProtection password="CC2F" sheet="1" objects="1" scenarios="1"/>
  <mergeCells count="1">
    <mergeCell ref="Q1:R1"/>
  </mergeCells>
  <conditionalFormatting sqref="U3:AS27">
    <cfRule type="notContainsBlanks" dxfId="117" priority="9">
      <formula>LEN(TRIM(U3))&gt;0</formula>
    </cfRule>
  </conditionalFormatting>
  <conditionalFormatting sqref="T2:AS2 T3:T27">
    <cfRule type="notContainsBlanks" dxfId="116" priority="8">
      <formula>LEN(TRIM(T2))&gt;0</formula>
    </cfRule>
  </conditionalFormatting>
  <conditionalFormatting sqref="T2:AS27">
    <cfRule type="containsBlanks" dxfId="115" priority="1">
      <formula>LEN(TRIM(T2))=0</formula>
    </cfRule>
  </conditionalFormatting>
  <dataValidations count="3">
    <dataValidation type="decimal" operator="greaterThanOrEqual" allowBlank="1" showInputMessage="1" showErrorMessage="1" errorTitle="Offset" error="No -ve values allowed" promptTitle="Offset" sqref="T3:AS27">
      <formula1>0</formula1>
    </dataValidation>
    <dataValidation type="whole" operator="equal" allowBlank="1" showInputMessage="1" showErrorMessage="1" errorTitle="Offset" error="Offset should have Waterline 0" sqref="U2">
      <formula1>0</formula1>
    </dataValidation>
    <dataValidation type="decimal" allowBlank="1" showInputMessage="1" showErrorMessage="1" errorTitle="Rise of keel" error="Value should not be lesser than depth" sqref="R3:R27">
      <formula1>0</formula1>
      <formula2>DEPTH</formula2>
    </dataValidation>
  </dataValidations>
  <pageMargins left="0.7" right="0.7" top="0.75" bottom="0.75" header="0.3" footer="0.3"/>
  <pageSetup paperSize="9" orientation="portrait" r:id="rId1"/>
  <drawing r:id="rId2"/>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tabColor theme="4" tint="0.79998168889431442"/>
  </sheetPr>
  <dimension ref="A1:BG62"/>
  <sheetViews>
    <sheetView topLeftCell="AP1" zoomScale="85" zoomScaleNormal="85" workbookViewId="0">
      <pane ySplit="1" topLeftCell="A2" activePane="bottomLeft" state="frozen"/>
      <selection activeCell="AG8" sqref="AG8:AG10"/>
      <selection pane="bottomLeft" activeCell="AG8" sqref="AG8:AG10"/>
    </sheetView>
  </sheetViews>
  <sheetFormatPr defaultRowHeight="15" x14ac:dyDescent="0.25"/>
  <cols>
    <col min="1" max="1" width="8.28515625" customWidth="1"/>
    <col min="2" max="2" width="7.28515625" customWidth="1"/>
    <col min="4" max="4" width="6.5703125" customWidth="1"/>
    <col min="7" max="7" width="24" customWidth="1"/>
    <col min="8" max="8" width="30.5703125" customWidth="1"/>
    <col min="9" max="9" width="26.5703125" customWidth="1"/>
    <col min="10" max="10" width="10.5703125" bestFit="1" customWidth="1"/>
    <col min="11" max="11" width="9.140625" customWidth="1"/>
    <col min="13" max="13" width="7.85546875" customWidth="1"/>
    <col min="17" max="17" width="19.5703125" customWidth="1"/>
    <col min="18" max="18" width="11.85546875" customWidth="1"/>
    <col min="19" max="19" width="16.5703125" customWidth="1"/>
    <col min="20" max="20" width="14.140625" customWidth="1"/>
    <col min="35" max="35" width="14" customWidth="1"/>
    <col min="36" max="37" width="12" customWidth="1"/>
    <col min="39" max="39" width="19" customWidth="1"/>
    <col min="43" max="43" width="18" style="7" customWidth="1"/>
    <col min="49" max="49" width="11.28515625" customWidth="1"/>
    <col min="52" max="52" width="12" customWidth="1"/>
    <col min="54" max="54" width="10.7109375" bestFit="1" customWidth="1"/>
    <col min="56" max="56" width="4.5703125" customWidth="1"/>
    <col min="57" max="57" width="21.28515625" customWidth="1"/>
    <col min="58" max="58" width="15.42578125" customWidth="1"/>
    <col min="59" max="59" width="19.28515625" customWidth="1"/>
    <col min="61" max="61" width="5.7109375" customWidth="1"/>
    <col min="62" max="62" width="13" customWidth="1"/>
    <col min="63" max="63" width="17.42578125" customWidth="1"/>
  </cols>
  <sheetData>
    <row r="1" spans="1:59" x14ac:dyDescent="0.25">
      <c r="A1" s="1" t="s">
        <v>0</v>
      </c>
      <c r="B1" s="2">
        <f>VLOOKUP(Stn_WL,OFFSET_A,Count_WL+1,FALSE)</f>
        <v>3</v>
      </c>
      <c r="C1" s="3"/>
      <c r="D1" s="4"/>
      <c r="E1" s="4" t="s">
        <v>1</v>
      </c>
      <c r="F1" s="5">
        <f>HLOOKUP('Hydros Calc'!D2,OFFSET_A,27,FALSE)</f>
        <v>7</v>
      </c>
      <c r="G1" s="4"/>
      <c r="H1" s="4"/>
      <c r="I1" s="4"/>
      <c r="J1" s="4"/>
      <c r="K1" s="4"/>
      <c r="L1" s="4"/>
      <c r="M1" s="4"/>
      <c r="N1" s="4"/>
      <c r="O1" s="4"/>
      <c r="P1" s="4"/>
      <c r="Q1" s="4"/>
      <c r="R1" s="4"/>
      <c r="S1" s="4"/>
      <c r="V1" t="s">
        <v>2</v>
      </c>
      <c r="W1">
        <f ca="1">COUNTIF(OFFSET(Z4,,,ROUNDDOWN(Max_STN_count/2+1,0),1),TRUE)</f>
        <v>5</v>
      </c>
      <c r="X1">
        <f ca="1">COUNTIF(OFFSET(AA4,,,ROUNDDOWN(Max_STN_count/2+1,0),1),TRUE)</f>
        <v>5</v>
      </c>
      <c r="Y1">
        <f ca="1">W1-X1</f>
        <v>0</v>
      </c>
      <c r="AB1" s="6" t="s">
        <v>3</v>
      </c>
      <c r="AC1">
        <f ca="1">COUNTIF(OFFSET(Z4,ROUNDUP(Max_STN_count/2,0),,ROUNDDOWN(Max_STN_count/2,0),1),TRUE)</f>
        <v>5</v>
      </c>
      <c r="AD1">
        <f ca="1">COUNTIF(OFFSET(AA4,ROUNDUP(Max_STN_count/2,0),,ROUNDDOWN(Max_STN_count/2,0),1),TRUE)</f>
        <v>5</v>
      </c>
      <c r="AE1">
        <f ca="1">AC1-AD1</f>
        <v>0</v>
      </c>
      <c r="AG1" t="s">
        <v>4</v>
      </c>
      <c r="AH1">
        <f>COUNTIF(AG4:AG28,TRUE)</f>
        <v>17</v>
      </c>
      <c r="AI1">
        <f ca="1">COUNTIF(OFFSET(AG4,,,ROUNDUP(Max_STN_count/2,0),1),FALSE)</f>
        <v>4</v>
      </c>
      <c r="AW1">
        <f ca="1">COUNTIF(OFFSET(AG4,,,Max_STN_count,1),TRUE)</f>
        <v>17</v>
      </c>
    </row>
    <row r="2" spans="1:59" x14ac:dyDescent="0.25">
      <c r="A2" s="491" t="s">
        <v>5</v>
      </c>
      <c r="B2" s="492"/>
      <c r="C2" s="492"/>
      <c r="D2" s="492"/>
      <c r="E2" s="492"/>
      <c r="F2" s="492"/>
      <c r="G2" s="492"/>
      <c r="H2" s="492"/>
      <c r="I2" s="493"/>
      <c r="J2" s="15" t="s">
        <v>136</v>
      </c>
      <c r="K2" s="491" t="s">
        <v>6</v>
      </c>
      <c r="L2" s="492"/>
      <c r="M2" s="492"/>
      <c r="N2" s="492"/>
      <c r="O2" s="493"/>
      <c r="P2" s="15" t="s">
        <v>136</v>
      </c>
      <c r="Q2" s="15" t="s">
        <v>136</v>
      </c>
      <c r="R2" s="15" t="s">
        <v>136</v>
      </c>
      <c r="S2" s="15" t="s">
        <v>136</v>
      </c>
      <c r="V2" s="11"/>
      <c r="W2" s="11"/>
      <c r="X2" s="11"/>
      <c r="Y2" s="11"/>
      <c r="Z2" s="11"/>
      <c r="AA2" s="11"/>
      <c r="AB2" s="11"/>
      <c r="AC2" s="11"/>
      <c r="AD2" s="11"/>
      <c r="AE2" s="11"/>
      <c r="AF2" s="11"/>
      <c r="AG2" s="11"/>
      <c r="AH2" s="11"/>
      <c r="AI2" s="11"/>
      <c r="AJ2" s="11"/>
      <c r="AK2" s="11"/>
      <c r="AL2" s="11"/>
      <c r="AM2" s="11"/>
      <c r="AN2" s="11"/>
      <c r="AO2" s="491" t="s">
        <v>5</v>
      </c>
      <c r="AP2" s="492"/>
      <c r="AQ2" s="492"/>
      <c r="AR2" s="492"/>
      <c r="AS2" s="492"/>
      <c r="AT2" s="492"/>
      <c r="AU2" s="492"/>
      <c r="AV2" s="492"/>
      <c r="AW2" s="493"/>
      <c r="AX2" s="15" t="s">
        <v>136</v>
      </c>
      <c r="AY2" s="491" t="s">
        <v>6</v>
      </c>
      <c r="AZ2" s="492"/>
      <c r="BA2" s="492"/>
      <c r="BB2" s="492"/>
      <c r="BC2" s="493"/>
      <c r="BD2" s="15" t="s">
        <v>136</v>
      </c>
      <c r="BE2" s="15" t="s">
        <v>136</v>
      </c>
      <c r="BF2" s="15" t="s">
        <v>136</v>
      </c>
      <c r="BG2" s="15" t="s">
        <v>136</v>
      </c>
    </row>
    <row r="3" spans="1:59" x14ac:dyDescent="0.25">
      <c r="A3" s="12" t="s">
        <v>9</v>
      </c>
      <c r="B3" s="13" t="s">
        <v>10</v>
      </c>
      <c r="C3" s="14" t="s">
        <v>11</v>
      </c>
      <c r="D3" s="14" t="s">
        <v>12</v>
      </c>
      <c r="E3" s="14" t="s">
        <v>13</v>
      </c>
      <c r="F3" s="14" t="s">
        <v>14</v>
      </c>
      <c r="G3" s="14" t="s">
        <v>15</v>
      </c>
      <c r="H3" s="14" t="s">
        <v>16</v>
      </c>
      <c r="I3" s="14" t="s">
        <v>17</v>
      </c>
      <c r="J3" s="15" t="s">
        <v>136</v>
      </c>
      <c r="K3" s="14" t="s">
        <v>18</v>
      </c>
      <c r="L3" s="14" t="s">
        <v>19</v>
      </c>
      <c r="M3" s="14" t="s">
        <v>20</v>
      </c>
      <c r="N3" s="14" t="s">
        <v>21</v>
      </c>
      <c r="O3" s="14" t="s">
        <v>22</v>
      </c>
      <c r="P3" s="15" t="s">
        <v>136</v>
      </c>
      <c r="Q3" s="8" t="s">
        <v>7</v>
      </c>
      <c r="R3" s="9" t="s">
        <v>8</v>
      </c>
      <c r="S3" s="10">
        <f>WLS</f>
        <v>2</v>
      </c>
      <c r="W3" s="17" t="s">
        <v>11</v>
      </c>
      <c r="X3" s="17"/>
      <c r="Y3" s="17"/>
      <c r="Z3" s="17" t="s">
        <v>24</v>
      </c>
      <c r="AA3" s="17"/>
      <c r="AB3" s="17"/>
      <c r="AC3" s="17"/>
      <c r="AD3" s="17"/>
      <c r="AE3" s="17"/>
      <c r="AF3" s="17"/>
      <c r="AG3" s="17" t="s">
        <v>4</v>
      </c>
      <c r="AH3" s="17"/>
      <c r="AI3" s="17" t="s">
        <v>25</v>
      </c>
      <c r="AJ3" s="17"/>
      <c r="AK3" s="17"/>
      <c r="AL3" s="17"/>
      <c r="AM3" s="18" t="s">
        <v>11</v>
      </c>
      <c r="AO3" s="12" t="s">
        <v>9</v>
      </c>
      <c r="AP3" s="13" t="s">
        <v>10</v>
      </c>
      <c r="AQ3" s="19" t="s">
        <v>11</v>
      </c>
      <c r="AR3" s="14" t="s">
        <v>12</v>
      </c>
      <c r="AS3" s="14" t="s">
        <v>13</v>
      </c>
      <c r="AT3" s="14" t="s">
        <v>14</v>
      </c>
      <c r="AU3" s="14" t="s">
        <v>15</v>
      </c>
      <c r="AV3" s="14" t="s">
        <v>16</v>
      </c>
      <c r="AW3" s="14" t="s">
        <v>17</v>
      </c>
      <c r="AX3" s="15" t="s">
        <v>136</v>
      </c>
      <c r="AY3" s="14" t="s">
        <v>18</v>
      </c>
      <c r="AZ3" s="14" t="s">
        <v>19</v>
      </c>
      <c r="BA3" s="14" t="s">
        <v>20</v>
      </c>
      <c r="BB3" s="14" t="s">
        <v>21</v>
      </c>
      <c r="BC3" s="14" t="s">
        <v>22</v>
      </c>
      <c r="BD3" s="15" t="s">
        <v>136</v>
      </c>
      <c r="BE3" s="8" t="s">
        <v>7</v>
      </c>
      <c r="BF3" s="9" t="s">
        <v>8</v>
      </c>
      <c r="BG3" s="10">
        <f>WLS</f>
        <v>2</v>
      </c>
    </row>
    <row r="4" spans="1:59" x14ac:dyDescent="0.25">
      <c r="A4" s="20">
        <f>Tools!$AD3</f>
        <v>0</v>
      </c>
      <c r="B4" s="21">
        <f t="shared" ref="B4:B28" si="0">VLOOKUP(A4,OFFSET_A,Count_WL+1,FALSE)</f>
        <v>0</v>
      </c>
      <c r="C4" s="22">
        <f>IF(A4="  ","  ",IF(A5="  ","?",1*(A5-A4)))</f>
        <v>0.5</v>
      </c>
      <c r="D4" s="23">
        <f>IFERROR(B4*C4,"  ")</f>
        <v>0</v>
      </c>
      <c r="E4" s="24">
        <f t="shared" ref="E4:E28" si="1">IFERROR(A4-(Long_Div/2),"  ")</f>
        <v>-10</v>
      </c>
      <c r="F4" s="23">
        <f>IFERROR(D4*E4,"  ")</f>
        <v>0</v>
      </c>
      <c r="G4" s="23">
        <f>IFERROR(F4*E4,"  ")</f>
        <v>0</v>
      </c>
      <c r="H4" s="23">
        <f>IFERROR(B4^3,"  ")</f>
        <v>0</v>
      </c>
      <c r="I4" s="23">
        <f>IFERROR(H4*C4,"  ")</f>
        <v>0</v>
      </c>
      <c r="J4" s="15" t="s">
        <v>136</v>
      </c>
      <c r="K4" s="25">
        <f t="shared" ref="K4:K28" si="2">VLOOKUP(A4,AREA_TABLE,Count_WL+1,FALSE)</f>
        <v>0</v>
      </c>
      <c r="L4" s="23">
        <f>IFERROR(K4*C4,"  ")</f>
        <v>0</v>
      </c>
      <c r="M4" s="26">
        <f t="shared" ref="M4:M28" si="3">VLOOKUP(A4,MOMENT_TABLE,Count_WL+1,FALSE)</f>
        <v>0</v>
      </c>
      <c r="N4" s="27">
        <f>IFERROR(M4*C4,"  ")</f>
        <v>0</v>
      </c>
      <c r="O4" s="23">
        <f>IFERROR(L4*E4,"  ")</f>
        <v>0</v>
      </c>
      <c r="P4" s="15" t="s">
        <v>136</v>
      </c>
      <c r="Q4" s="16" t="s">
        <v>23</v>
      </c>
      <c r="R4" s="9" t="s">
        <v>8</v>
      </c>
      <c r="S4" s="10">
        <f>STN_GAP</f>
        <v>7.31</v>
      </c>
      <c r="W4" s="29">
        <f>IF(AO4="  ","  ",IF(AO5="  ","?",1*(AO5-AO4)))</f>
        <v>0.5</v>
      </c>
      <c r="X4" s="30" t="str">
        <f t="shared" ref="X4:X28" si="4">IF(Y4=0,"--",CONCATENATE(IF(AO4=0,"-",IF(Y3=0,"-",IF(AO4-AO3=0.5,"D",IF(AO4-AO3=1,"W","-")))),IF(AO4=Long_Div,"-",IF(Y5=0,"-",IF(AO5-AO4=0.5,"D",IF(AO5-AO4=1,"W","-"))))))</f>
        <v>-D</v>
      </c>
      <c r="Y4" s="30" t="str">
        <f t="shared" ref="Y4:Y28" si="5">IF(ISNUMBER(AO4),IF(AO4=Long_Div/2,"-",IF(AND(AO4=Long_Div,$AP4=0,$AP3=0),0,IF(AND(AO4=0,$AP4=0,$AP5=0),0,IF($AO4&lt;Long_Div/2,IF(AND(Y3=0,$AP4=0,$AP5=0),0,"-"),IF(AND(Y5=0,$AP4=0,$AP3=0),0,"-")))))," ")</f>
        <v>-</v>
      </c>
      <c r="Z4" s="29" t="b">
        <f t="shared" ref="Z4:Z28" si="6">IF(ISNUMBER(AO4),IF(AO4=0,IF(AO5=0.5,TRUE,FALSE),IF(AO4=Long_Div,IF(AO3=Long_Div-0.5,TRUE,FALSE),IF(OR(AO5-AO4=0.5,AO4-AO3=0.5),TRUE,FALSE)))," ")</f>
        <v>1</v>
      </c>
      <c r="AA4" s="29" t="b">
        <f t="shared" ref="AA4:AA28" si="7">IF(ISNUMBER(AO4),IF(Y4=0," ",IF(AO4=0,IF(AO5=0.5,TRUE,"-"),IF(AO4=Long_Div,IF(AO3=Long_Div-0.5,TRUE,"-"),IF(OR(AO5-AO4=0.5,AO4-AO3=0.5),TRUE,FALSE))))," ")</f>
        <v>1</v>
      </c>
      <c r="AB4" s="29" t="str">
        <f t="shared" ref="AB4:AB28" ca="1" si="8">IF(AO4&lt;=Long_Div/2,IF(ISNUMBER(AO4),IF($X$1=0,"---",IF($X$1=1,"##",IF($X$1=2,IF(AD4=1,"141-4",IF(OR(AD4=0,AD4=2),"141-1","**")),IF(AC4&lt;=($Y$1),"--",IF(AC4&gt;$W$1,"++",IF(ISODD($X$1),IF(OR(AD4=1,AD4=$X$1),"141-1",IF(ISODD(AD4),"141-2",IF(ISEVEN(AD4),"141-4","+"))),IF(ISEVEN($X$1),IF(AD4=1,"1331-1",IF(OR(AD4=2,AD4=3),"1331-3",IF(AD4=4,IF($X$1=4,"1331-1","1331-1,141-1"),IF(AD4=$X$1,"141-1",IF(AD4&lt;=4,"??",IF(ISODD(AD4),"141-4",IF(ISEVEN(AD4),"141-2","SS"))))))))))))))," "),IF(AO4&gt;Long_Div/2,IF(ISNUMBER(AO4),IF($AD$1=0,"---",IF($AD$1=1,"##",IF($AD$1=2,IF(AD4=1,"141-4",IF(OR(AD4=0,AD4=2),"141-1","**")),IF(AC4&lt;=($AE$1),"--",IF(AC4&gt;$AC$1,"++",IF(ISODD($AD$1),IF(OR(AD4=1,AD4=$AD$1),"141-1",IF(ISODD(AD4),"141-2",IF(ISEVEN(AD4),"141-4","+"))),IF(ISEVEN($AD$1),IF(AD4=1,"1331-1",IF(OR(AD4=2,AD4=3),"1331-3",IF(AD4=4,IF($AD$1=4,"1331-1","1331-1,141-1"),IF(AD4=$AD$1,"141-1",IF(AD4&lt;=4,"??",IF(ISODD(AD4),"141-4",IF(ISEVEN(AD4),"141-2","SS"))))))))))))))," "),"@"))</f>
        <v>141-1</v>
      </c>
      <c r="AC4" s="29">
        <f>IF(ISNUMBER(AO4),IF(ISNUMBER(AO4),IF(OR(AO4=0,AO4=Long_Div),1,IF(AO4&gt;Long_Div/2,AC5+1,IF(AO4&lt;=Long_Div/2,AE3+1,"?")))," --")," ")</f>
        <v>1</v>
      </c>
      <c r="AD4" s="29">
        <f t="shared" ref="AD4:AD28" ca="1" si="9">IF(ISNUMBER(AO4),IF(AO4&gt;Long_Div/2,4-ROW(AD4)+Max_STN_count-$AE$1,ROW(AD4)-3-$Y$1)," ")</f>
        <v>1</v>
      </c>
      <c r="AE4" s="29">
        <v>1</v>
      </c>
      <c r="AF4" s="31" t="str">
        <f t="shared" ref="AF4:AF8" si="10">IF(AND(AG4=TRUE,OR(NOT(AG3=TRUE),AG3="Full")),1,IF(ISNUMBER(AF3),AF3+1," "))</f>
        <v xml:space="preserve"> </v>
      </c>
      <c r="AG4" s="29" t="b">
        <f t="shared" ref="AG4:AG28" si="11">IF(ISNUMBER(AO4),IF(AA4=" "," ",IF(AO4=0,IF(AO5-AO4=1,TRUE,FALSE),IF(AO4=Long_Div,IF(AO4-AO3=1,TRUE,FALSE),IF(OR(AO5-AO4=1,AO4-AO3=1),TRUE,FALSE))))," ")</f>
        <v>0</v>
      </c>
      <c r="AH4" s="30" t="str">
        <f t="shared" ref="AH4:AH13" si="12">IF(AND(AG4=TRUE,$AH$1=1),"141-4",IF(AG4=" ",IF(AND($AH$1=2,AF4=3),"141-1","-"),IF(OR(AG4=FALSE,AG4=" "),"-",IF(AG4=TRUE,IF(AND($AH$1=2,AF4=1),"141-1",IF(AND($AH$1=2,AF4=2),"141-4",IF(OR(ISODD($AH$1),AF4&gt;4),IF(AF4=1,"141-1",IF(OR(AB4="141-1",AB4="1331-1",AB4="1331-1,141-1"),"141-1",IF(AG5=" ","141-1",IF(OR(AH3="141-1",AH3="141-2",AH3="1331-1,141-1"),"141-4",IF(AH3="141-4","141-2","$$"))))),IF(ISEVEN($AH$1),IF(AF4=1,"1331-1",IF(OR(AF4=2,AF4=3),"1331-3",IF(AF4=4,IF($AH$1=4,"1331-1","1331-1,141-1"),"")))))))))))</f>
        <v>-</v>
      </c>
      <c r="AI4" s="30" t="str">
        <f t="shared" ref="AI4:AI28" ca="1" si="13">IF(OR(AB4="1331-1",AB4="1331-1,141-1"),"(1/2)*(3/8)",IF(AB4="1331-3","(1/2)*(9/8)",IF(AB4="141-1","(1/2)*(1/3)",IF(AB4="141-2","(1/2)*(2/3)",IF(AB4="141-4","(1/2)*(4/3)","")))))</f>
        <v>(1/2)*(1/3)</v>
      </c>
      <c r="AJ4" s="29">
        <f t="shared" ref="AJ4:AJ28" ca="1" si="14">IF(OR(AB4="1331-1",AB4="1331-1,141-1"),(1/2)*(3/8),IF(AB4="1331-3",(1/2)*(9/8),IF(AB4="141-1",(1/2)*(1/3),IF(AB4="141-2",(1/2)*(2/3),IF(AB4="141-4",(1/2)*(4/3),0)))))</f>
        <v>0.16666666666666666</v>
      </c>
      <c r="AK4" s="29" t="str">
        <f t="shared" ref="AK4:AK28" si="15">IF(AH4="1331-1,141-1","(1*3/8)+(1/3)",IF(LEFT(AH4,4)="141-",CONCATENATE(RIGHT(AH4,1),"/3"),IF(LEFT(AH4,4)="1331",CONCATENATE(RIGHT(AH4,1),"*3/8"),"")))</f>
        <v/>
      </c>
      <c r="AL4" s="29">
        <f t="shared" ref="AL4:AL28" si="16">IF(AH4="1331-1,141-1",(1*3/8)+(1/3),IF(LEFT(AH4,4)="141-",(RIGHT(AH4,1)/3),IF(LEFT(AH4,4)="1331",RIGHT(AH4,1)*3/8,0)))</f>
        <v>0</v>
      </c>
      <c r="AM4" s="32">
        <f ca="1">IF(AQ4=""," ",AJ4+AL4)</f>
        <v>0.16666666666666666</v>
      </c>
      <c r="AO4" s="20">
        <f>Tools!$AD3</f>
        <v>0</v>
      </c>
      <c r="AP4" s="33">
        <f t="shared" ref="AP4" si="17">VLOOKUP(AO4,OFFSET_A,Count_WL+1,FALSE)</f>
        <v>0</v>
      </c>
      <c r="AQ4" s="34" t="str">
        <f t="shared" ref="AQ4:AQ28" ca="1" si="18">CONCATENATE(AI4,IF(NOT(OR(AI4="",AK4="")),"+",""),AK4)</f>
        <v>(1/2)*(1/3)</v>
      </c>
      <c r="AR4" s="23">
        <f t="shared" ref="AR4:AR28" ca="1" si="19">IFERROR(AP4*AM4,"  ")</f>
        <v>0</v>
      </c>
      <c r="AS4" s="24">
        <f t="shared" ref="AS4:AS28" si="20">IFERROR(AO4-(Long_Div/2),"  ")</f>
        <v>-10</v>
      </c>
      <c r="AT4" s="23">
        <f ca="1">IFERROR(AR4*AS4,"  ")</f>
        <v>0</v>
      </c>
      <c r="AU4" s="23">
        <f ca="1">IFERROR(AT4*AS4,"  ")</f>
        <v>0</v>
      </c>
      <c r="AV4" s="23">
        <f t="shared" ref="AV4:AV28" si="21">IFERROR(AP4^3,"  ")</f>
        <v>0</v>
      </c>
      <c r="AW4" s="23">
        <f t="shared" ref="AW4:AW28" ca="1" si="22">IFERROR(AV4*AM4,"  ")</f>
        <v>0</v>
      </c>
      <c r="AX4" s="15" t="s">
        <v>136</v>
      </c>
      <c r="AY4" s="35">
        <f t="shared" ref="AY4:AY28" si="23">IF(ROW(AY4)-3&gt;Max_STN_count," ",VLOOKUP(AO4,AREA_TABLE,Count_WL+1,FALSE))</f>
        <v>0</v>
      </c>
      <c r="AZ4" s="23">
        <f t="shared" ref="AZ4:AZ7" ca="1" si="24">IFERROR(AY4*AM4,"  ")</f>
        <v>0</v>
      </c>
      <c r="BA4" s="36">
        <f t="shared" ref="BA4:BA28" si="25">IF(ROW(AY4)-3&gt;Max_STN_count," ",VLOOKUP(AO4,MOMENT_TABLE,Count_WL+1,FALSE))</f>
        <v>0</v>
      </c>
      <c r="BB4" s="27">
        <f ca="1">IFERROR(BA4*AM4,"  ")</f>
        <v>0</v>
      </c>
      <c r="BC4" s="23">
        <f ca="1">IFERROR(AZ4*AS4,"  ")</f>
        <v>0</v>
      </c>
      <c r="BD4" s="15" t="s">
        <v>136</v>
      </c>
      <c r="BE4" s="16" t="s">
        <v>23</v>
      </c>
      <c r="BF4" s="9" t="s">
        <v>8</v>
      </c>
      <c r="BG4" s="10">
        <f>STN_GAP</f>
        <v>7.31</v>
      </c>
    </row>
    <row r="5" spans="1:59" x14ac:dyDescent="0.25">
      <c r="A5" s="20">
        <f>Tools!$AD4</f>
        <v>0.5</v>
      </c>
      <c r="B5" s="33">
        <f t="shared" si="0"/>
        <v>0.66</v>
      </c>
      <c r="C5" s="22">
        <f>IF(A5="  ","  ",IF(AND(A4="  ",A6="  "),"?",IF(A4="  ",2*(A6-A5),IF(A6="  ",2*(A5-A4),2*(A6-A4)))))</f>
        <v>2</v>
      </c>
      <c r="D5" s="23">
        <f t="shared" ref="D5:D28" si="26">IFERROR(B5*C5,"  ")</f>
        <v>1.32</v>
      </c>
      <c r="E5" s="24">
        <f t="shared" si="1"/>
        <v>-9.5</v>
      </c>
      <c r="F5" s="23">
        <f t="shared" ref="F5:F28" si="27">IFERROR(D5*E5,"  ")</f>
        <v>-12.540000000000001</v>
      </c>
      <c r="G5" s="23">
        <f t="shared" ref="G5:G28" si="28">IFERROR(F5*E5,"  ")</f>
        <v>119.13000000000001</v>
      </c>
      <c r="H5" s="23">
        <f t="shared" ref="H5:H28" si="29">IFERROR(B5^3,"  ")</f>
        <v>0.28749600000000003</v>
      </c>
      <c r="I5" s="23">
        <f t="shared" ref="I5:I28" si="30">IFERROR(H5*C5,"  ")</f>
        <v>0.57499200000000006</v>
      </c>
      <c r="J5" s="15" t="s">
        <v>136</v>
      </c>
      <c r="K5" s="37">
        <f t="shared" si="2"/>
        <v>3.7699999999999996</v>
      </c>
      <c r="L5" s="23">
        <f t="shared" ref="L5:L28" si="31">IFERROR(K5*C5,"  ")</f>
        <v>7.5399999999999991</v>
      </c>
      <c r="M5" s="38">
        <f t="shared" si="3"/>
        <v>13.84</v>
      </c>
      <c r="N5" s="27">
        <f t="shared" ref="N5:N28" si="32">IFERROR(M5*C5,"  ")</f>
        <v>27.68</v>
      </c>
      <c r="O5" s="23">
        <f t="shared" ref="O5:O28" si="33">IFERROR(L5*E5,"  ")</f>
        <v>-71.63</v>
      </c>
      <c r="P5" s="15" t="s">
        <v>136</v>
      </c>
      <c r="Q5" s="16" t="s">
        <v>26</v>
      </c>
      <c r="R5" s="9" t="s">
        <v>8</v>
      </c>
      <c r="S5" s="28">
        <f>LBP</f>
        <v>146.19999999999999</v>
      </c>
      <c r="W5" s="29">
        <f>IF(AO5="  ","  ",IF(AND(AO4="  ",AO6="  "),"?",IF(AO4="  ",2*(AO6-AO5),IF(AO6="  ",2*(AO5-AO4),2*(AO6-AO4)))))</f>
        <v>2</v>
      </c>
      <c r="X5" s="30" t="str">
        <f t="shared" si="4"/>
        <v>DD</v>
      </c>
      <c r="Y5" s="30" t="str">
        <f t="shared" si="5"/>
        <v>-</v>
      </c>
      <c r="Z5" s="29" t="b">
        <f t="shared" si="6"/>
        <v>1</v>
      </c>
      <c r="AA5" s="29" t="b">
        <f t="shared" si="7"/>
        <v>1</v>
      </c>
      <c r="AB5" s="29" t="str">
        <f t="shared" ca="1" si="8"/>
        <v>141-4</v>
      </c>
      <c r="AC5" s="29">
        <f t="shared" ref="AC5:AC27" si="34">IF(ISNUMBER(AO5),IF(ISNUMBER(AO5),IF(OR(AO5=0,AO5=Long_Div),1,IF(AO5&gt;Long_Div/2,AC6+1,IF(AO5&lt;=Long_Div/2,AC4+1,"?")))," --")," ")</f>
        <v>2</v>
      </c>
      <c r="AD5" s="29">
        <f t="shared" ca="1" si="9"/>
        <v>2</v>
      </c>
      <c r="AE5" s="29">
        <v>2</v>
      </c>
      <c r="AF5" s="31" t="str">
        <f t="shared" si="10"/>
        <v xml:space="preserve"> </v>
      </c>
      <c r="AG5" s="29" t="b">
        <f t="shared" si="11"/>
        <v>0</v>
      </c>
      <c r="AH5" s="30" t="str">
        <f t="shared" si="12"/>
        <v>-</v>
      </c>
      <c r="AI5" s="30" t="str">
        <f t="shared" ca="1" si="13"/>
        <v>(1/2)*(4/3)</v>
      </c>
      <c r="AJ5" s="29">
        <f t="shared" ca="1" si="14"/>
        <v>0.66666666666666663</v>
      </c>
      <c r="AK5" s="29" t="str">
        <f t="shared" si="15"/>
        <v/>
      </c>
      <c r="AL5" s="29">
        <f t="shared" si="16"/>
        <v>0</v>
      </c>
      <c r="AM5" s="32">
        <f t="shared" ref="AM5:AM28" ca="1" si="35">IF(AQ5=""," ",AJ5+AL5)</f>
        <v>0.66666666666666663</v>
      </c>
      <c r="AO5" s="20">
        <f>Tools!$AD4</f>
        <v>0.5</v>
      </c>
      <c r="AP5" s="33">
        <f t="shared" ref="AP5:AP28" si="36">VLOOKUP(AO5,OFFSET_A,Count_WL+1,FALSE)</f>
        <v>0.66</v>
      </c>
      <c r="AQ5" s="34" t="str">
        <f t="shared" ca="1" si="18"/>
        <v>(1/2)*(4/3)</v>
      </c>
      <c r="AR5" s="23">
        <f t="shared" ca="1" si="19"/>
        <v>0.44</v>
      </c>
      <c r="AS5" s="24">
        <f t="shared" si="20"/>
        <v>-9.5</v>
      </c>
      <c r="AT5" s="23">
        <f t="shared" ref="AT5:AT28" ca="1" si="37">IFERROR(AR5*AS5,"  ")</f>
        <v>-4.18</v>
      </c>
      <c r="AU5" s="23">
        <f ca="1">IFERROR(AT5*AS5,"  ")</f>
        <v>39.709999999999994</v>
      </c>
      <c r="AV5" s="23">
        <f t="shared" si="21"/>
        <v>0.28749600000000003</v>
      </c>
      <c r="AW5" s="23">
        <f t="shared" ca="1" si="22"/>
        <v>0.191664</v>
      </c>
      <c r="AX5" s="15" t="s">
        <v>136</v>
      </c>
      <c r="AY5" s="35">
        <f t="shared" si="23"/>
        <v>3.7699999999999996</v>
      </c>
      <c r="AZ5" s="23">
        <f t="shared" ca="1" si="24"/>
        <v>2.5133333333333328</v>
      </c>
      <c r="BA5" s="36">
        <f t="shared" si="25"/>
        <v>13.84</v>
      </c>
      <c r="BB5" s="27">
        <f t="shared" ref="BB5:BB28" ca="1" si="38">IFERROR(BA5*AM5,"  ")</f>
        <v>9.2266666666666666</v>
      </c>
      <c r="BC5" s="23">
        <f t="shared" ref="BC5:BC28" ca="1" si="39">IFERROR(AZ5*AS5,"  ")</f>
        <v>-23.876666666666662</v>
      </c>
      <c r="BD5" s="15" t="s">
        <v>136</v>
      </c>
      <c r="BE5" s="16" t="s">
        <v>26</v>
      </c>
      <c r="BF5" s="9" t="s">
        <v>8</v>
      </c>
      <c r="BG5" s="28">
        <f>LBP</f>
        <v>146.19999999999999</v>
      </c>
    </row>
    <row r="6" spans="1:59" x14ac:dyDescent="0.25">
      <c r="A6" s="20">
        <f>Tools!$AD5</f>
        <v>1</v>
      </c>
      <c r="B6" s="33">
        <f t="shared" si="0"/>
        <v>2.27</v>
      </c>
      <c r="C6" s="22">
        <f>IF(A6="  ","  ",IF(AND(A5="  ",A7="  "),"?",IF(A5="  ",1*(A7-A6),IF(A7="  ",1*(A6-A5),1*(A7-A5)))))</f>
        <v>1</v>
      </c>
      <c r="D6" s="23">
        <f t="shared" si="26"/>
        <v>2.27</v>
      </c>
      <c r="E6" s="24">
        <f t="shared" si="1"/>
        <v>-9</v>
      </c>
      <c r="F6" s="23">
        <f t="shared" si="27"/>
        <v>-20.43</v>
      </c>
      <c r="G6" s="23">
        <f t="shared" si="28"/>
        <v>183.87</v>
      </c>
      <c r="H6" s="23">
        <f t="shared" si="29"/>
        <v>11.697082999999999</v>
      </c>
      <c r="I6" s="23">
        <f t="shared" si="30"/>
        <v>11.697082999999999</v>
      </c>
      <c r="J6" s="15" t="s">
        <v>136</v>
      </c>
      <c r="K6" s="37">
        <f t="shared" si="2"/>
        <v>14.666666666666664</v>
      </c>
      <c r="L6" s="23">
        <f t="shared" si="31"/>
        <v>14.666666666666664</v>
      </c>
      <c r="M6" s="38">
        <f t="shared" si="3"/>
        <v>54.593333333333341</v>
      </c>
      <c r="N6" s="27">
        <f t="shared" si="32"/>
        <v>54.593333333333341</v>
      </c>
      <c r="O6" s="23">
        <f t="shared" si="33"/>
        <v>-131.99999999999997</v>
      </c>
      <c r="P6" s="15" t="s">
        <v>136</v>
      </c>
      <c r="Q6" s="8" t="s">
        <v>27</v>
      </c>
      <c r="R6" s="9" t="s">
        <v>8</v>
      </c>
      <c r="S6" s="10">
        <f>BREADTH</f>
        <v>22</v>
      </c>
      <c r="W6" s="29">
        <f>IF(AO6="  ","  ",IF(AND(AO5="  ",AO7="  "),"?",IF(AO5="  ",1*(AO7-AO6),IF(AO7="  ",1*(AO6-AO5),1*(AO7-AO5)))))</f>
        <v>1</v>
      </c>
      <c r="X6" s="30" t="str">
        <f t="shared" si="4"/>
        <v>DD</v>
      </c>
      <c r="Y6" s="30" t="str">
        <f t="shared" si="5"/>
        <v>-</v>
      </c>
      <c r="Z6" s="29" t="b">
        <f t="shared" si="6"/>
        <v>1</v>
      </c>
      <c r="AA6" s="29" t="b">
        <f t="shared" si="7"/>
        <v>1</v>
      </c>
      <c r="AB6" s="29" t="str">
        <f t="shared" ca="1" si="8"/>
        <v>141-2</v>
      </c>
      <c r="AC6" s="29">
        <f t="shared" si="34"/>
        <v>3</v>
      </c>
      <c r="AD6" s="29">
        <f t="shared" ca="1" si="9"/>
        <v>3</v>
      </c>
      <c r="AE6" s="29">
        <v>3</v>
      </c>
      <c r="AF6" s="31" t="str">
        <f t="shared" si="10"/>
        <v xml:space="preserve"> </v>
      </c>
      <c r="AG6" s="29" t="b">
        <f t="shared" si="11"/>
        <v>0</v>
      </c>
      <c r="AH6" s="30" t="str">
        <f t="shared" si="12"/>
        <v>-</v>
      </c>
      <c r="AI6" s="30" t="str">
        <f t="shared" ca="1" si="13"/>
        <v>(1/2)*(2/3)</v>
      </c>
      <c r="AJ6" s="29">
        <f t="shared" ca="1" si="14"/>
        <v>0.33333333333333331</v>
      </c>
      <c r="AK6" s="29" t="str">
        <f t="shared" si="15"/>
        <v/>
      </c>
      <c r="AL6" s="29">
        <f t="shared" si="16"/>
        <v>0</v>
      </c>
      <c r="AM6" s="32">
        <f t="shared" ca="1" si="35"/>
        <v>0.33333333333333331</v>
      </c>
      <c r="AO6" s="20">
        <f>Tools!$AD5</f>
        <v>1</v>
      </c>
      <c r="AP6" s="33">
        <f t="shared" si="36"/>
        <v>2.27</v>
      </c>
      <c r="AQ6" s="34" t="str">
        <f t="shared" ca="1" si="18"/>
        <v>(1/2)*(2/3)</v>
      </c>
      <c r="AR6" s="23">
        <f t="shared" ca="1" si="19"/>
        <v>0.7566666666666666</v>
      </c>
      <c r="AS6" s="24">
        <f t="shared" si="20"/>
        <v>-9</v>
      </c>
      <c r="AT6" s="23">
        <f t="shared" ca="1" si="37"/>
        <v>-6.81</v>
      </c>
      <c r="AU6" s="23">
        <f ca="1">IFERROR(AT6*AS6,"  ")</f>
        <v>61.29</v>
      </c>
      <c r="AV6" s="23">
        <f t="shared" si="21"/>
        <v>11.697082999999999</v>
      </c>
      <c r="AW6" s="23">
        <f t="shared" ca="1" si="22"/>
        <v>3.8990276666666661</v>
      </c>
      <c r="AX6" s="15" t="s">
        <v>136</v>
      </c>
      <c r="AY6" s="35">
        <f t="shared" si="23"/>
        <v>14.666666666666664</v>
      </c>
      <c r="AZ6" s="23">
        <f t="shared" ca="1" si="24"/>
        <v>4.8888888888888875</v>
      </c>
      <c r="BA6" s="36">
        <f t="shared" si="25"/>
        <v>54.593333333333341</v>
      </c>
      <c r="BB6" s="27">
        <f t="shared" ca="1" si="38"/>
        <v>18.19777777777778</v>
      </c>
      <c r="BC6" s="23">
        <f t="shared" ca="1" si="39"/>
        <v>-43.999999999999986</v>
      </c>
      <c r="BD6" s="15" t="s">
        <v>136</v>
      </c>
      <c r="BE6" s="8" t="s">
        <v>27</v>
      </c>
      <c r="BF6" s="9" t="s">
        <v>8</v>
      </c>
      <c r="BG6" s="10">
        <f>BREADTH</f>
        <v>22</v>
      </c>
    </row>
    <row r="7" spans="1:59" x14ac:dyDescent="0.25">
      <c r="A7" s="20">
        <f>Tools!$AD6</f>
        <v>1.5</v>
      </c>
      <c r="B7" s="33">
        <f t="shared" si="0"/>
        <v>3.86</v>
      </c>
      <c r="C7" s="22">
        <f>IF(A7="  ","  ",IF(AND(A6="  ",A8="  "),"?",IF(A6="  ",2*(A8-A7),IF(A8="  ",2*(A7-A6),2*(A8-A6)))))</f>
        <v>2</v>
      </c>
      <c r="D7" s="23">
        <f t="shared" si="26"/>
        <v>7.72</v>
      </c>
      <c r="E7" s="24">
        <f t="shared" si="1"/>
        <v>-8.5</v>
      </c>
      <c r="F7" s="23">
        <f t="shared" si="27"/>
        <v>-65.62</v>
      </c>
      <c r="G7" s="23">
        <f t="shared" si="28"/>
        <v>557.77</v>
      </c>
      <c r="H7" s="23">
        <f t="shared" si="29"/>
        <v>57.512455999999993</v>
      </c>
      <c r="I7" s="23">
        <f t="shared" si="30"/>
        <v>115.02491199999999</v>
      </c>
      <c r="J7" s="15" t="s">
        <v>136</v>
      </c>
      <c r="K7" s="37">
        <f t="shared" si="2"/>
        <v>27.870000000000005</v>
      </c>
      <c r="L7" s="23">
        <f t="shared" si="31"/>
        <v>55.740000000000009</v>
      </c>
      <c r="M7" s="38">
        <f t="shared" si="3"/>
        <v>101.98666666666668</v>
      </c>
      <c r="N7" s="27">
        <f t="shared" si="32"/>
        <v>203.97333333333336</v>
      </c>
      <c r="O7" s="23">
        <f t="shared" si="33"/>
        <v>-473.79000000000008</v>
      </c>
      <c r="P7" s="15" t="s">
        <v>136</v>
      </c>
      <c r="Q7" s="8" t="s">
        <v>28</v>
      </c>
      <c r="R7" s="9" t="s">
        <v>8</v>
      </c>
      <c r="S7" s="10">
        <f>DEPTH</f>
        <v>13</v>
      </c>
      <c r="W7" s="29">
        <f>IF(AO7="  ","  ",IF(AND(AO6="  ",AO8="  "),"?",IF(AO6="  ",2*(AO8-AO7),IF(AO8="  ",2*(AO7-AO6),2*(AO8-AO6)))))</f>
        <v>2</v>
      </c>
      <c r="X7" s="30" t="str">
        <f t="shared" si="4"/>
        <v>DD</v>
      </c>
      <c r="Y7" s="30" t="str">
        <f t="shared" si="5"/>
        <v>-</v>
      </c>
      <c r="Z7" s="29" t="b">
        <f t="shared" si="6"/>
        <v>1</v>
      </c>
      <c r="AA7" s="29" t="b">
        <f t="shared" si="7"/>
        <v>1</v>
      </c>
      <c r="AB7" s="29" t="str">
        <f t="shared" ca="1" si="8"/>
        <v>141-4</v>
      </c>
      <c r="AC7" s="29">
        <f t="shared" si="34"/>
        <v>4</v>
      </c>
      <c r="AD7" s="29">
        <f t="shared" ca="1" si="9"/>
        <v>4</v>
      </c>
      <c r="AE7" s="29">
        <v>4</v>
      </c>
      <c r="AF7" s="31" t="str">
        <f t="shared" si="10"/>
        <v xml:space="preserve"> </v>
      </c>
      <c r="AG7" s="29" t="b">
        <f t="shared" si="11"/>
        <v>0</v>
      </c>
      <c r="AH7" s="30" t="str">
        <f t="shared" si="12"/>
        <v>-</v>
      </c>
      <c r="AI7" s="30" t="str">
        <f t="shared" ca="1" si="13"/>
        <v>(1/2)*(4/3)</v>
      </c>
      <c r="AJ7" s="29">
        <f t="shared" ca="1" si="14"/>
        <v>0.66666666666666663</v>
      </c>
      <c r="AK7" s="29" t="str">
        <f t="shared" si="15"/>
        <v/>
      </c>
      <c r="AL7" s="29">
        <f t="shared" si="16"/>
        <v>0</v>
      </c>
      <c r="AM7" s="32">
        <f t="shared" ca="1" si="35"/>
        <v>0.66666666666666663</v>
      </c>
      <c r="AO7" s="20">
        <f>Tools!$AD6</f>
        <v>1.5</v>
      </c>
      <c r="AP7" s="33">
        <f t="shared" si="36"/>
        <v>3.86</v>
      </c>
      <c r="AQ7" s="34" t="str">
        <f t="shared" ca="1" si="18"/>
        <v>(1/2)*(4/3)</v>
      </c>
      <c r="AR7" s="23">
        <f t="shared" ca="1" si="19"/>
        <v>2.5733333333333333</v>
      </c>
      <c r="AS7" s="24">
        <f t="shared" si="20"/>
        <v>-8.5</v>
      </c>
      <c r="AT7" s="23">
        <f t="shared" ca="1" si="37"/>
        <v>-21.873333333333331</v>
      </c>
      <c r="AU7" s="23">
        <f t="shared" ref="AU7:AU28" ca="1" si="40">IFERROR(AT7*AS7,"  ")</f>
        <v>185.92333333333332</v>
      </c>
      <c r="AV7" s="23">
        <f t="shared" si="21"/>
        <v>57.512455999999993</v>
      </c>
      <c r="AW7" s="23">
        <f t="shared" ca="1" si="22"/>
        <v>38.341637333333324</v>
      </c>
      <c r="AX7" s="15" t="s">
        <v>136</v>
      </c>
      <c r="AY7" s="35">
        <f t="shared" si="23"/>
        <v>27.870000000000005</v>
      </c>
      <c r="AZ7" s="23">
        <f t="shared" ca="1" si="24"/>
        <v>18.580000000000002</v>
      </c>
      <c r="BA7" s="36">
        <f t="shared" si="25"/>
        <v>101.98666666666668</v>
      </c>
      <c r="BB7" s="27">
        <f t="shared" ca="1" si="38"/>
        <v>67.99111111111111</v>
      </c>
      <c r="BC7" s="23">
        <f t="shared" ca="1" si="39"/>
        <v>-157.93</v>
      </c>
      <c r="BD7" s="15" t="s">
        <v>136</v>
      </c>
      <c r="BE7" s="8" t="s">
        <v>28</v>
      </c>
      <c r="BF7" s="9" t="s">
        <v>8</v>
      </c>
      <c r="BG7" s="10">
        <f>DEPTH</f>
        <v>13</v>
      </c>
    </row>
    <row r="8" spans="1:59" x14ac:dyDescent="0.25">
      <c r="A8" s="20">
        <f>Tools!$AD7</f>
        <v>2</v>
      </c>
      <c r="B8" s="33">
        <f t="shared" si="0"/>
        <v>5.28</v>
      </c>
      <c r="C8" s="22">
        <f>IF(A8="  ","  ",IF(AND(A7="  ",A9="  "),"?",IF(A7="  ",1*(A9-A8),IF(A9="  ",1*(A8-A7),1*(A9-A7)))))</f>
        <v>1.5</v>
      </c>
      <c r="D8" s="23">
        <f t="shared" si="26"/>
        <v>7.92</v>
      </c>
      <c r="E8" s="24">
        <f t="shared" si="1"/>
        <v>-8</v>
      </c>
      <c r="F8" s="23">
        <f t="shared" si="27"/>
        <v>-63.36</v>
      </c>
      <c r="G8" s="23">
        <f t="shared" si="28"/>
        <v>506.88</v>
      </c>
      <c r="H8" s="23">
        <f t="shared" si="29"/>
        <v>147.19795200000002</v>
      </c>
      <c r="I8" s="23">
        <f t="shared" si="30"/>
        <v>220.79692800000004</v>
      </c>
      <c r="J8" s="15" t="s">
        <v>136</v>
      </c>
      <c r="K8" s="37">
        <f t="shared" si="2"/>
        <v>41.463333333333331</v>
      </c>
      <c r="L8" s="23">
        <f t="shared" si="31"/>
        <v>62.194999999999993</v>
      </c>
      <c r="M8" s="38">
        <f t="shared" si="3"/>
        <v>148.63333333333333</v>
      </c>
      <c r="N8" s="27">
        <f t="shared" si="32"/>
        <v>222.95</v>
      </c>
      <c r="O8" s="23">
        <f t="shared" si="33"/>
        <v>-497.55999999999995</v>
      </c>
      <c r="P8" s="15" t="s">
        <v>136</v>
      </c>
      <c r="Q8" s="39" t="s">
        <v>29</v>
      </c>
      <c r="R8" s="40" t="s">
        <v>8</v>
      </c>
      <c r="S8" s="41">
        <f>IF(MAX(B4:B28)=0," ",2*MAX(B4:B28))</f>
        <v>22</v>
      </c>
      <c r="W8" s="29">
        <f>IF(AO8="  ","  ",IF(AND(AO7="  ",AO9="  "),"?",IF(AO7="  ",1*(AO9-AO8),IF(AO9="  ",1*(AO8-AO7),1*(AO9-AO7)))))</f>
        <v>1.5</v>
      </c>
      <c r="X8" s="30" t="str">
        <f t="shared" si="4"/>
        <v>DW</v>
      </c>
      <c r="Y8" s="30" t="str">
        <f t="shared" si="5"/>
        <v>-</v>
      </c>
      <c r="Z8" s="29" t="b">
        <f t="shared" si="6"/>
        <v>1</v>
      </c>
      <c r="AA8" s="29" t="b">
        <f t="shared" si="7"/>
        <v>1</v>
      </c>
      <c r="AB8" s="29" t="str">
        <f t="shared" ca="1" si="8"/>
        <v>141-1</v>
      </c>
      <c r="AC8" s="29">
        <f t="shared" si="34"/>
        <v>5</v>
      </c>
      <c r="AD8" s="29">
        <f t="shared" ca="1" si="9"/>
        <v>5</v>
      </c>
      <c r="AE8" s="29">
        <v>5</v>
      </c>
      <c r="AF8" s="31">
        <f t="shared" si="10"/>
        <v>1</v>
      </c>
      <c r="AG8" s="29" t="b">
        <f t="shared" si="11"/>
        <v>1</v>
      </c>
      <c r="AH8" s="30" t="str">
        <f t="shared" si="12"/>
        <v>141-1</v>
      </c>
      <c r="AI8" s="30" t="str">
        <f t="shared" ca="1" si="13"/>
        <v>(1/2)*(1/3)</v>
      </c>
      <c r="AJ8" s="29">
        <f t="shared" ca="1" si="14"/>
        <v>0.16666666666666666</v>
      </c>
      <c r="AK8" s="29" t="str">
        <f t="shared" si="15"/>
        <v>1/3</v>
      </c>
      <c r="AL8" s="29">
        <f t="shared" si="16"/>
        <v>0.33333333333333331</v>
      </c>
      <c r="AM8" s="32">
        <f t="shared" ca="1" si="35"/>
        <v>0.5</v>
      </c>
      <c r="AO8" s="20">
        <f>Tools!$AD7</f>
        <v>2</v>
      </c>
      <c r="AP8" s="33">
        <f t="shared" si="36"/>
        <v>5.28</v>
      </c>
      <c r="AQ8" s="34" t="str">
        <f t="shared" ca="1" si="18"/>
        <v>(1/2)*(1/3)+1/3</v>
      </c>
      <c r="AR8" s="23">
        <f t="shared" ca="1" si="19"/>
        <v>2.64</v>
      </c>
      <c r="AS8" s="24">
        <f t="shared" si="20"/>
        <v>-8</v>
      </c>
      <c r="AT8" s="23">
        <f t="shared" ca="1" si="37"/>
        <v>-21.12</v>
      </c>
      <c r="AU8" s="23">
        <f t="shared" ca="1" si="40"/>
        <v>168.96</v>
      </c>
      <c r="AV8" s="23">
        <f t="shared" si="21"/>
        <v>147.19795200000002</v>
      </c>
      <c r="AW8" s="23">
        <f t="shared" ca="1" si="22"/>
        <v>73.598976000000008</v>
      </c>
      <c r="AX8" s="15" t="s">
        <v>136</v>
      </c>
      <c r="AY8" s="35">
        <f t="shared" si="23"/>
        <v>41.463333333333331</v>
      </c>
      <c r="AZ8" s="23">
        <f ca="1">IFERROR(AY8*AM8,"  ")</f>
        <v>20.731666666666666</v>
      </c>
      <c r="BA8" s="36">
        <f t="shared" si="25"/>
        <v>148.63333333333333</v>
      </c>
      <c r="BB8" s="27">
        <f t="shared" ca="1" si="38"/>
        <v>74.316666666666663</v>
      </c>
      <c r="BC8" s="23">
        <f t="shared" ca="1" si="39"/>
        <v>-165.85333333333332</v>
      </c>
      <c r="BD8" s="15" t="s">
        <v>136</v>
      </c>
      <c r="BE8" s="8" t="s">
        <v>29</v>
      </c>
      <c r="BF8" s="9" t="s">
        <v>8</v>
      </c>
      <c r="BG8" s="10">
        <f>IF(MAX(AP4:AP28)=0," ",2*MAX(AP4:AP28))</f>
        <v>22</v>
      </c>
    </row>
    <row r="9" spans="1:59" x14ac:dyDescent="0.25">
      <c r="A9" s="20">
        <f>Tools!$AD8</f>
        <v>3</v>
      </c>
      <c r="B9" s="33">
        <f t="shared" si="0"/>
        <v>7.76</v>
      </c>
      <c r="C9" s="22">
        <f>IF(A9="  ","  ",IF(AND(A8="  ",A10="  "),"?",IF(A8="  ",2*(A10-A9),IF(A10="  ",2*(A9-A8),2*(A10-A8)))))</f>
        <v>4</v>
      </c>
      <c r="D9" s="23">
        <f t="shared" si="26"/>
        <v>31.04</v>
      </c>
      <c r="E9" s="24">
        <f t="shared" si="1"/>
        <v>-7</v>
      </c>
      <c r="F9" s="23">
        <f t="shared" si="27"/>
        <v>-217.28</v>
      </c>
      <c r="G9" s="23">
        <f t="shared" si="28"/>
        <v>1520.96</v>
      </c>
      <c r="H9" s="23">
        <f t="shared" si="29"/>
        <v>467.28857599999998</v>
      </c>
      <c r="I9" s="23">
        <f t="shared" si="30"/>
        <v>1869.1543039999999</v>
      </c>
      <c r="J9" s="15" t="s">
        <v>136</v>
      </c>
      <c r="K9" s="37">
        <f t="shared" si="2"/>
        <v>68.636666666666656</v>
      </c>
      <c r="L9" s="23">
        <f t="shared" si="31"/>
        <v>274.54666666666662</v>
      </c>
      <c r="M9" s="38">
        <f t="shared" si="3"/>
        <v>235.9733333333333</v>
      </c>
      <c r="N9" s="27">
        <f t="shared" si="32"/>
        <v>943.8933333333332</v>
      </c>
      <c r="O9" s="23">
        <f t="shared" si="33"/>
        <v>-1921.8266666666664</v>
      </c>
      <c r="P9" s="15" t="s">
        <v>136</v>
      </c>
      <c r="Q9" s="15" t="s">
        <v>136</v>
      </c>
      <c r="R9" s="15" t="s">
        <v>136</v>
      </c>
      <c r="S9" s="15" t="s">
        <v>136</v>
      </c>
      <c r="W9" s="29">
        <f>IF(AO9="  ","  ",IF(AND(AO8="  ",AO10="  "),"?",IF(AO8="  ",2*(AO10-AO9),IF(AO10="  ",2*(AO9-AO8),2*(AO10-AO8)))))</f>
        <v>4</v>
      </c>
      <c r="X9" s="30" t="str">
        <f t="shared" si="4"/>
        <v>WW</v>
      </c>
      <c r="Y9" s="30" t="str">
        <f t="shared" si="5"/>
        <v>-</v>
      </c>
      <c r="Z9" s="29" t="b">
        <f t="shared" si="6"/>
        <v>0</v>
      </c>
      <c r="AA9" s="29" t="b">
        <f t="shared" si="7"/>
        <v>0</v>
      </c>
      <c r="AB9" s="29" t="str">
        <f t="shared" ca="1" si="8"/>
        <v>++</v>
      </c>
      <c r="AC9" s="29">
        <f t="shared" si="34"/>
        <v>6</v>
      </c>
      <c r="AD9" s="29">
        <f t="shared" ca="1" si="9"/>
        <v>6</v>
      </c>
      <c r="AE9" s="29">
        <v>6</v>
      </c>
      <c r="AF9" s="31">
        <f>IF(AND(AG9=TRUE,OR(NOT(AG8=TRUE),AG8="Full")),1,IF(ISNUMBER(AF8),AF8+1," "))</f>
        <v>2</v>
      </c>
      <c r="AG9" s="29" t="b">
        <f t="shared" si="11"/>
        <v>1</v>
      </c>
      <c r="AH9" s="30" t="str">
        <f t="shared" ca="1" si="12"/>
        <v>141-4</v>
      </c>
      <c r="AI9" s="30" t="str">
        <f t="shared" ca="1" si="13"/>
        <v/>
      </c>
      <c r="AJ9" s="29">
        <f t="shared" ca="1" si="14"/>
        <v>0</v>
      </c>
      <c r="AK9" s="29" t="str">
        <f t="shared" ca="1" si="15"/>
        <v>4/3</v>
      </c>
      <c r="AL9" s="29">
        <f t="shared" ca="1" si="16"/>
        <v>1.3333333333333333</v>
      </c>
      <c r="AM9" s="32">
        <f t="shared" ca="1" si="35"/>
        <v>1.3333333333333333</v>
      </c>
      <c r="AO9" s="20">
        <f>Tools!$AD8</f>
        <v>3</v>
      </c>
      <c r="AP9" s="33">
        <f t="shared" si="36"/>
        <v>7.76</v>
      </c>
      <c r="AQ9" s="34" t="str">
        <f t="shared" ca="1" si="18"/>
        <v>4/3</v>
      </c>
      <c r="AR9" s="23">
        <f t="shared" ca="1" si="19"/>
        <v>10.346666666666666</v>
      </c>
      <c r="AS9" s="24">
        <f t="shared" si="20"/>
        <v>-7</v>
      </c>
      <c r="AT9" s="23">
        <f t="shared" ca="1" si="37"/>
        <v>-72.426666666666662</v>
      </c>
      <c r="AU9" s="23">
        <f t="shared" ca="1" si="40"/>
        <v>506.98666666666662</v>
      </c>
      <c r="AV9" s="23">
        <f t="shared" si="21"/>
        <v>467.28857599999998</v>
      </c>
      <c r="AW9" s="23">
        <f t="shared" ca="1" si="22"/>
        <v>623.05143466666664</v>
      </c>
      <c r="AX9" s="15" t="s">
        <v>136</v>
      </c>
      <c r="AY9" s="35">
        <f t="shared" si="23"/>
        <v>68.636666666666656</v>
      </c>
      <c r="AZ9" s="23">
        <f t="shared" ref="AZ9:AZ28" ca="1" si="41">IFERROR(AY9*AM9,"  ")</f>
        <v>91.515555555555537</v>
      </c>
      <c r="BA9" s="36">
        <f t="shared" si="25"/>
        <v>235.9733333333333</v>
      </c>
      <c r="BB9" s="27">
        <f t="shared" ca="1" si="38"/>
        <v>314.63111111111107</v>
      </c>
      <c r="BC9" s="23">
        <f t="shared" ca="1" si="39"/>
        <v>-640.60888888888871</v>
      </c>
      <c r="BD9" s="15" t="s">
        <v>136</v>
      </c>
      <c r="BE9" s="8" t="s">
        <v>30</v>
      </c>
      <c r="BF9" s="9" t="s">
        <v>8</v>
      </c>
      <c r="BG9" s="10">
        <f ca="1">LBP-AJ33</f>
        <v>146.19999999999999</v>
      </c>
    </row>
    <row r="10" spans="1:59" x14ac:dyDescent="0.25">
      <c r="A10" s="20">
        <f>Tools!$AD9</f>
        <v>4</v>
      </c>
      <c r="B10" s="33">
        <f t="shared" si="0"/>
        <v>9.4499999999999993</v>
      </c>
      <c r="C10" s="22">
        <f>IF(A10="  ","  ",IF(AND(A9="  ",A11="  "),"?",IF(A9="  ",1*(A11-A10),IF(A11="  ",1*(A10-A9),1*(A11-A9)))))</f>
        <v>2</v>
      </c>
      <c r="D10" s="23">
        <f t="shared" si="26"/>
        <v>18.899999999999999</v>
      </c>
      <c r="E10" s="24">
        <f t="shared" si="1"/>
        <v>-6</v>
      </c>
      <c r="F10" s="23">
        <f t="shared" si="27"/>
        <v>-113.39999999999999</v>
      </c>
      <c r="G10" s="23">
        <f t="shared" si="28"/>
        <v>680.4</v>
      </c>
      <c r="H10" s="23">
        <f t="shared" si="29"/>
        <v>843.9086249999998</v>
      </c>
      <c r="I10" s="23">
        <f>IFERROR(H10*C10,"  ")</f>
        <v>1687.8172499999996</v>
      </c>
      <c r="J10" s="15" t="s">
        <v>136</v>
      </c>
      <c r="K10" s="37">
        <f t="shared" si="2"/>
        <v>92.323333333333309</v>
      </c>
      <c r="L10" s="23">
        <f t="shared" si="31"/>
        <v>184.64666666666662</v>
      </c>
      <c r="M10" s="38">
        <f t="shared" si="3"/>
        <v>304.96666666666664</v>
      </c>
      <c r="N10" s="27">
        <f t="shared" si="32"/>
        <v>609.93333333333328</v>
      </c>
      <c r="O10" s="23">
        <f t="shared" si="33"/>
        <v>-1107.8799999999997</v>
      </c>
      <c r="P10" s="15" t="s">
        <v>136</v>
      </c>
      <c r="Q10" s="15" t="s">
        <v>136</v>
      </c>
      <c r="R10" s="15" t="s">
        <v>136</v>
      </c>
      <c r="S10" s="15" t="s">
        <v>136</v>
      </c>
      <c r="W10" s="29">
        <f>IF(AO10="  ","  ",IF(AND(AO9="  ",AO11="  "),"?",IF(AO9="  ",1*(AO11-AO10),IF(AO11="  ",1*(AO10-AO9),1*(AO11-AO9)))))</f>
        <v>2</v>
      </c>
      <c r="X10" s="30" t="str">
        <f t="shared" si="4"/>
        <v>WW</v>
      </c>
      <c r="Y10" s="30" t="str">
        <f t="shared" si="5"/>
        <v>-</v>
      </c>
      <c r="Z10" s="29" t="b">
        <f t="shared" si="6"/>
        <v>0</v>
      </c>
      <c r="AA10" s="29" t="b">
        <f t="shared" si="7"/>
        <v>0</v>
      </c>
      <c r="AB10" s="29" t="str">
        <f t="shared" ca="1" si="8"/>
        <v>++</v>
      </c>
      <c r="AC10" s="29">
        <f t="shared" si="34"/>
        <v>7</v>
      </c>
      <c r="AD10" s="29">
        <f t="shared" ca="1" si="9"/>
        <v>7</v>
      </c>
      <c r="AE10" s="29">
        <v>7</v>
      </c>
      <c r="AF10" s="31">
        <f t="shared" ref="AF10:AF28" si="42">IF(AND(AG10=TRUE,OR(NOT(AG9=TRUE),AG9="Full")),1,IF(ISNUMBER(AF9),AF9+1," "))</f>
        <v>3</v>
      </c>
      <c r="AG10" s="29" t="b">
        <f t="shared" si="11"/>
        <v>1</v>
      </c>
      <c r="AH10" s="30" t="str">
        <f t="shared" ca="1" si="12"/>
        <v>141-2</v>
      </c>
      <c r="AI10" s="30" t="str">
        <f t="shared" ca="1" si="13"/>
        <v/>
      </c>
      <c r="AJ10" s="29">
        <f t="shared" ca="1" si="14"/>
        <v>0</v>
      </c>
      <c r="AK10" s="29" t="str">
        <f t="shared" ca="1" si="15"/>
        <v>2/3</v>
      </c>
      <c r="AL10" s="29">
        <f t="shared" ca="1" si="16"/>
        <v>0.66666666666666663</v>
      </c>
      <c r="AM10" s="32">
        <f t="shared" ca="1" si="35"/>
        <v>0.66666666666666663</v>
      </c>
      <c r="AO10" s="20">
        <f>Tools!$AD9</f>
        <v>4</v>
      </c>
      <c r="AP10" s="33">
        <f t="shared" si="36"/>
        <v>9.4499999999999993</v>
      </c>
      <c r="AQ10" s="34" t="str">
        <f t="shared" ca="1" si="18"/>
        <v>2/3</v>
      </c>
      <c r="AR10" s="23">
        <f t="shared" ca="1" si="19"/>
        <v>6.2999999999999989</v>
      </c>
      <c r="AS10" s="24">
        <f t="shared" si="20"/>
        <v>-6</v>
      </c>
      <c r="AT10" s="23">
        <f t="shared" ca="1" si="37"/>
        <v>-37.799999999999997</v>
      </c>
      <c r="AU10" s="23">
        <f ca="1">IFERROR(AT10*AS10,"  ")</f>
        <v>226.79999999999998</v>
      </c>
      <c r="AV10" s="23">
        <f t="shared" si="21"/>
        <v>843.9086249999998</v>
      </c>
      <c r="AW10" s="23">
        <f t="shared" ca="1" si="22"/>
        <v>562.60574999999983</v>
      </c>
      <c r="AX10" s="15" t="s">
        <v>136</v>
      </c>
      <c r="AY10" s="35">
        <f t="shared" si="23"/>
        <v>92.323333333333309</v>
      </c>
      <c r="AZ10" s="23">
        <f t="shared" ca="1" si="41"/>
        <v>61.548888888888868</v>
      </c>
      <c r="BA10" s="36">
        <f t="shared" si="25"/>
        <v>304.96666666666664</v>
      </c>
      <c r="BB10" s="27">
        <f t="shared" ca="1" si="38"/>
        <v>203.31111111111107</v>
      </c>
      <c r="BC10" s="23">
        <f t="shared" ca="1" si="39"/>
        <v>-369.29333333333318</v>
      </c>
      <c r="BD10" s="15" t="s">
        <v>136</v>
      </c>
      <c r="BE10" s="15" t="s">
        <v>136</v>
      </c>
      <c r="BF10" s="15" t="s">
        <v>136</v>
      </c>
      <c r="BG10" t="str">
        <f ca="1">IF(AJ33&gt;0,CONCATENATE("(LWL is assumed between stations ",$AH$31," and ",$AH$33," as offset values extreme to these stations are zeros.)"),"")</f>
        <v/>
      </c>
    </row>
    <row r="11" spans="1:59" x14ac:dyDescent="0.25">
      <c r="A11" s="20">
        <f>Tools!$AD10</f>
        <v>5</v>
      </c>
      <c r="B11" s="33">
        <f t="shared" si="0"/>
        <v>10.3</v>
      </c>
      <c r="C11" s="22">
        <f>IF(A11="  ","  ",IF(AND(A10="  ",A12="  "),"?",IF(A10="  ",2*(A12-A11),IF(A12="  ",2*(A11-A10),2*(A12-A10)))))</f>
        <v>4</v>
      </c>
      <c r="D11" s="23">
        <f t="shared" si="26"/>
        <v>41.2</v>
      </c>
      <c r="E11" s="24">
        <f t="shared" si="1"/>
        <v>-5</v>
      </c>
      <c r="F11" s="23">
        <f t="shared" si="27"/>
        <v>-206</v>
      </c>
      <c r="G11" s="23">
        <f t="shared" si="28"/>
        <v>1030</v>
      </c>
      <c r="H11" s="23">
        <f t="shared" si="29"/>
        <v>1092.7270000000003</v>
      </c>
      <c r="I11" s="23">
        <f t="shared" si="30"/>
        <v>4370.9080000000013</v>
      </c>
      <c r="J11" s="15" t="s">
        <v>136</v>
      </c>
      <c r="K11" s="37">
        <f t="shared" si="2"/>
        <v>110.57666666666665</v>
      </c>
      <c r="L11" s="23">
        <f t="shared" si="31"/>
        <v>442.30666666666662</v>
      </c>
      <c r="M11" s="38">
        <f t="shared" si="3"/>
        <v>352.55333333333328</v>
      </c>
      <c r="N11" s="27">
        <f t="shared" si="32"/>
        <v>1410.2133333333331</v>
      </c>
      <c r="O11" s="23">
        <f t="shared" si="33"/>
        <v>-2211.5333333333328</v>
      </c>
      <c r="P11" s="15" t="s">
        <v>136</v>
      </c>
      <c r="Q11" s="15" t="s">
        <v>136</v>
      </c>
      <c r="R11" s="15" t="s">
        <v>136</v>
      </c>
      <c r="S11" s="15" t="s">
        <v>136</v>
      </c>
      <c r="W11" s="29">
        <f>IF(AO11="  ","  ",IF(AND(AO10="  ",AO12="  "),"?",IF(AO10="  ",2*(AO12-AO11),IF(AO12="  ",2*(AO11-AO10),2*(AO12-AO10)))))</f>
        <v>4</v>
      </c>
      <c r="X11" s="30" t="str">
        <f t="shared" si="4"/>
        <v>WW</v>
      </c>
      <c r="Y11" s="30" t="str">
        <f t="shared" si="5"/>
        <v>-</v>
      </c>
      <c r="Z11" s="29" t="b">
        <f t="shared" si="6"/>
        <v>0</v>
      </c>
      <c r="AA11" s="29" t="b">
        <f t="shared" si="7"/>
        <v>0</v>
      </c>
      <c r="AB11" s="29" t="str">
        <f t="shared" ca="1" si="8"/>
        <v>++</v>
      </c>
      <c r="AC11" s="29">
        <f t="shared" si="34"/>
        <v>8</v>
      </c>
      <c r="AD11" s="29">
        <f t="shared" ca="1" si="9"/>
        <v>8</v>
      </c>
      <c r="AE11" s="29">
        <v>8</v>
      </c>
      <c r="AF11" s="31">
        <f t="shared" si="42"/>
        <v>4</v>
      </c>
      <c r="AG11" s="29" t="b">
        <f t="shared" si="11"/>
        <v>1</v>
      </c>
      <c r="AH11" s="30" t="str">
        <f t="shared" ca="1" si="12"/>
        <v>141-4</v>
      </c>
      <c r="AI11" s="30" t="str">
        <f t="shared" ca="1" si="13"/>
        <v/>
      </c>
      <c r="AJ11" s="29">
        <f t="shared" ca="1" si="14"/>
        <v>0</v>
      </c>
      <c r="AK11" s="29" t="str">
        <f t="shared" ca="1" si="15"/>
        <v>4/3</v>
      </c>
      <c r="AL11" s="29">
        <f t="shared" ca="1" si="16"/>
        <v>1.3333333333333333</v>
      </c>
      <c r="AM11" s="32">
        <f t="shared" ca="1" si="35"/>
        <v>1.3333333333333333</v>
      </c>
      <c r="AO11" s="20">
        <f>Tools!$AD10</f>
        <v>5</v>
      </c>
      <c r="AP11" s="33">
        <f t="shared" si="36"/>
        <v>10.3</v>
      </c>
      <c r="AQ11" s="34" t="str">
        <f t="shared" ca="1" si="18"/>
        <v>4/3</v>
      </c>
      <c r="AR11" s="23">
        <f t="shared" ca="1" si="19"/>
        <v>13.733333333333334</v>
      </c>
      <c r="AS11" s="24">
        <f t="shared" si="20"/>
        <v>-5</v>
      </c>
      <c r="AT11" s="23">
        <f t="shared" ca="1" si="37"/>
        <v>-68.666666666666671</v>
      </c>
      <c r="AU11" s="23">
        <f t="shared" ca="1" si="40"/>
        <v>343.33333333333337</v>
      </c>
      <c r="AV11" s="23">
        <f t="shared" si="21"/>
        <v>1092.7270000000003</v>
      </c>
      <c r="AW11" s="23">
        <f t="shared" ca="1" si="22"/>
        <v>1456.9693333333337</v>
      </c>
      <c r="AX11" s="15" t="s">
        <v>136</v>
      </c>
      <c r="AY11" s="35">
        <f t="shared" si="23"/>
        <v>110.57666666666665</v>
      </c>
      <c r="AZ11" s="23">
        <f t="shared" ca="1" si="41"/>
        <v>147.43555555555554</v>
      </c>
      <c r="BA11" s="36">
        <f t="shared" si="25"/>
        <v>352.55333333333328</v>
      </c>
      <c r="BB11" s="27">
        <f t="shared" ca="1" si="38"/>
        <v>470.07111111111101</v>
      </c>
      <c r="BC11" s="23">
        <f ca="1">IFERROR(AZ11*AS11,"  ")</f>
        <v>-737.17777777777769</v>
      </c>
      <c r="BD11" s="15" t="s">
        <v>136</v>
      </c>
      <c r="BE11" s="15" t="s">
        <v>136</v>
      </c>
      <c r="BF11" s="15" t="s">
        <v>136</v>
      </c>
      <c r="BG11" s="15" t="s">
        <v>136</v>
      </c>
    </row>
    <row r="12" spans="1:59" x14ac:dyDescent="0.25">
      <c r="A12" s="20">
        <f>Tools!$AD11</f>
        <v>6</v>
      </c>
      <c r="B12" s="33">
        <f t="shared" si="0"/>
        <v>10.9</v>
      </c>
      <c r="C12" s="22">
        <f>IF(A12="  ","  ",IF(AND(A11="  ",A13="  "),"?",IF(A11="  ",1*(A13-A12),IF(A13="  ",1*(A12-A11),1*(A13-A11)))))</f>
        <v>2</v>
      </c>
      <c r="D12" s="23">
        <f t="shared" si="26"/>
        <v>21.8</v>
      </c>
      <c r="E12" s="24">
        <f t="shared" si="1"/>
        <v>-4</v>
      </c>
      <c r="F12" s="23">
        <f t="shared" si="27"/>
        <v>-87.2</v>
      </c>
      <c r="G12" s="23">
        <f t="shared" si="28"/>
        <v>348.8</v>
      </c>
      <c r="H12" s="23">
        <f t="shared" si="29"/>
        <v>1295.029</v>
      </c>
      <c r="I12" s="23">
        <f t="shared" si="30"/>
        <v>2590.058</v>
      </c>
      <c r="J12" s="15" t="s">
        <v>136</v>
      </c>
      <c r="K12" s="37">
        <f t="shared" si="2"/>
        <v>123.22000000000001</v>
      </c>
      <c r="L12" s="23">
        <f t="shared" si="31"/>
        <v>246.44000000000003</v>
      </c>
      <c r="M12" s="38">
        <f t="shared" si="3"/>
        <v>383.74666666666667</v>
      </c>
      <c r="N12" s="27">
        <f t="shared" si="32"/>
        <v>767.49333333333334</v>
      </c>
      <c r="O12" s="23">
        <f t="shared" si="33"/>
        <v>-985.7600000000001</v>
      </c>
      <c r="P12" s="15" t="s">
        <v>136</v>
      </c>
      <c r="Q12" s="43" t="s">
        <v>31</v>
      </c>
      <c r="R12" s="44" t="s">
        <v>32</v>
      </c>
      <c r="S12" s="129" t="s">
        <v>33</v>
      </c>
      <c r="W12" s="29">
        <f>IF(AO12="  ","  ",IF(AND(AO11="  ",AO13="  "),"?",IF(AO11="  ",1*(AO13-AO12),IF(AO13="  ",1*(AO12-AO11),1*(AO13-AO11)))))</f>
        <v>2</v>
      </c>
      <c r="X12" s="30" t="str">
        <f t="shared" si="4"/>
        <v>WW</v>
      </c>
      <c r="Y12" s="30" t="str">
        <f t="shared" si="5"/>
        <v>-</v>
      </c>
      <c r="Z12" s="29" t="b">
        <f t="shared" si="6"/>
        <v>0</v>
      </c>
      <c r="AA12" s="29" t="b">
        <f t="shared" si="7"/>
        <v>0</v>
      </c>
      <c r="AB12" s="29" t="str">
        <f t="shared" ca="1" si="8"/>
        <v>++</v>
      </c>
      <c r="AC12" s="29">
        <f t="shared" si="34"/>
        <v>9</v>
      </c>
      <c r="AD12" s="29">
        <f t="shared" ca="1" si="9"/>
        <v>9</v>
      </c>
      <c r="AE12" s="29">
        <v>9</v>
      </c>
      <c r="AF12" s="31">
        <f t="shared" si="42"/>
        <v>5</v>
      </c>
      <c r="AG12" s="29" t="b">
        <f t="shared" si="11"/>
        <v>1</v>
      </c>
      <c r="AH12" s="30" t="str">
        <f t="shared" ca="1" si="12"/>
        <v>141-2</v>
      </c>
      <c r="AI12" s="30" t="str">
        <f t="shared" ca="1" si="13"/>
        <v/>
      </c>
      <c r="AJ12" s="29">
        <f t="shared" ca="1" si="14"/>
        <v>0</v>
      </c>
      <c r="AK12" s="29" t="str">
        <f t="shared" ca="1" si="15"/>
        <v>2/3</v>
      </c>
      <c r="AL12" s="29">
        <f t="shared" ca="1" si="16"/>
        <v>0.66666666666666663</v>
      </c>
      <c r="AM12" s="32">
        <f t="shared" ca="1" si="35"/>
        <v>0.66666666666666663</v>
      </c>
      <c r="AO12" s="20">
        <f>Tools!$AD11</f>
        <v>6</v>
      </c>
      <c r="AP12" s="33">
        <f t="shared" si="36"/>
        <v>10.9</v>
      </c>
      <c r="AQ12" s="34" t="str">
        <f t="shared" ca="1" si="18"/>
        <v>2/3</v>
      </c>
      <c r="AR12" s="23">
        <f t="shared" ca="1" si="19"/>
        <v>7.2666666666666666</v>
      </c>
      <c r="AS12" s="24">
        <f t="shared" si="20"/>
        <v>-4</v>
      </c>
      <c r="AT12" s="23">
        <f t="shared" ca="1" si="37"/>
        <v>-29.066666666666666</v>
      </c>
      <c r="AU12" s="23">
        <f t="shared" ca="1" si="40"/>
        <v>116.26666666666667</v>
      </c>
      <c r="AV12" s="23">
        <f t="shared" si="21"/>
        <v>1295.029</v>
      </c>
      <c r="AW12" s="23">
        <f t="shared" ca="1" si="22"/>
        <v>863.35266666666666</v>
      </c>
      <c r="AX12" s="15" t="s">
        <v>136</v>
      </c>
      <c r="AY12" s="35">
        <f t="shared" si="23"/>
        <v>123.22000000000001</v>
      </c>
      <c r="AZ12" s="23">
        <f t="shared" ca="1" si="41"/>
        <v>82.146666666666675</v>
      </c>
      <c r="BA12" s="36">
        <f t="shared" si="25"/>
        <v>383.74666666666667</v>
      </c>
      <c r="BB12" s="27">
        <f t="shared" ca="1" si="38"/>
        <v>255.83111111111111</v>
      </c>
      <c r="BC12" s="23">
        <f t="shared" ca="1" si="39"/>
        <v>-328.5866666666667</v>
      </c>
      <c r="BD12" s="15" t="s">
        <v>136</v>
      </c>
      <c r="BE12" s="43" t="s">
        <v>31</v>
      </c>
      <c r="BF12" s="44" t="s">
        <v>32</v>
      </c>
      <c r="BG12" s="129" t="s">
        <v>33</v>
      </c>
    </row>
    <row r="13" spans="1:59" x14ac:dyDescent="0.25">
      <c r="A13" s="20">
        <f>Tools!$AD12</f>
        <v>7</v>
      </c>
      <c r="B13" s="33">
        <f t="shared" si="0"/>
        <v>11</v>
      </c>
      <c r="C13" s="22">
        <f>IF(A13="  ","  ",IF(AND(A12="  ",A14="  "),"?",IF(A12="  ",2*(A14-A13),IF(A14="  ",2*(A13-A12),2*(A14-A12)))))</f>
        <v>4</v>
      </c>
      <c r="D13" s="23">
        <f t="shared" si="26"/>
        <v>44</v>
      </c>
      <c r="E13" s="24">
        <f t="shared" si="1"/>
        <v>-3</v>
      </c>
      <c r="F13" s="23">
        <f t="shared" si="27"/>
        <v>-132</v>
      </c>
      <c r="G13" s="23">
        <f t="shared" si="28"/>
        <v>396</v>
      </c>
      <c r="H13" s="23">
        <f t="shared" si="29"/>
        <v>1331</v>
      </c>
      <c r="I13" s="23">
        <f t="shared" si="30"/>
        <v>5324</v>
      </c>
      <c r="J13" s="15" t="s">
        <v>136</v>
      </c>
      <c r="K13" s="37">
        <f t="shared" si="2"/>
        <v>128.44</v>
      </c>
      <c r="L13" s="23">
        <f t="shared" si="31"/>
        <v>513.76</v>
      </c>
      <c r="M13" s="38">
        <f t="shared" si="3"/>
        <v>393.28666666666669</v>
      </c>
      <c r="N13" s="27">
        <f t="shared" si="32"/>
        <v>1573.1466666666668</v>
      </c>
      <c r="O13" s="23">
        <f t="shared" si="33"/>
        <v>-1541.28</v>
      </c>
      <c r="P13" s="15" t="s">
        <v>136</v>
      </c>
      <c r="Q13" s="47" t="s">
        <v>34</v>
      </c>
      <c r="R13" s="48" t="s">
        <v>35</v>
      </c>
      <c r="S13" s="49">
        <f>IFERROR(IF(WL_No="  ","  ",2/3*h*$D$29),"-")</f>
        <v>2597.6084999999998</v>
      </c>
      <c r="W13" s="29">
        <f>IF(AO13="  ","  ",IF(AND(AO12="  ",AO14="  "),"?",IF(AO12="  ",2*(AO14-AO13),IF(AO14="  ",2*(AO13-AO12),2*(AO14-AO12)))))</f>
        <v>4</v>
      </c>
      <c r="X13" s="30" t="str">
        <f t="shared" si="4"/>
        <v>WW</v>
      </c>
      <c r="Y13" s="30" t="str">
        <f t="shared" si="5"/>
        <v>-</v>
      </c>
      <c r="Z13" s="29" t="b">
        <f t="shared" si="6"/>
        <v>0</v>
      </c>
      <c r="AA13" s="29" t="b">
        <f t="shared" si="7"/>
        <v>0</v>
      </c>
      <c r="AB13" s="29" t="str">
        <f t="shared" ca="1" si="8"/>
        <v>++</v>
      </c>
      <c r="AC13" s="29">
        <f t="shared" si="34"/>
        <v>10</v>
      </c>
      <c r="AD13" s="29">
        <f t="shared" ca="1" si="9"/>
        <v>10</v>
      </c>
      <c r="AE13" s="29">
        <v>10</v>
      </c>
      <c r="AF13" s="31">
        <f t="shared" si="42"/>
        <v>6</v>
      </c>
      <c r="AG13" s="29" t="b">
        <f t="shared" si="11"/>
        <v>1</v>
      </c>
      <c r="AH13" s="30" t="str">
        <f t="shared" ca="1" si="12"/>
        <v>141-4</v>
      </c>
      <c r="AI13" s="30" t="str">
        <f t="shared" ca="1" si="13"/>
        <v/>
      </c>
      <c r="AJ13" s="29">
        <f t="shared" ca="1" si="14"/>
        <v>0</v>
      </c>
      <c r="AK13" s="29" t="str">
        <f t="shared" ca="1" si="15"/>
        <v>4/3</v>
      </c>
      <c r="AL13" s="29">
        <f t="shared" ca="1" si="16"/>
        <v>1.3333333333333333</v>
      </c>
      <c r="AM13" s="32">
        <f t="shared" ca="1" si="35"/>
        <v>1.3333333333333333</v>
      </c>
      <c r="AO13" s="20">
        <f>Tools!$AD12</f>
        <v>7</v>
      </c>
      <c r="AP13" s="33">
        <f t="shared" si="36"/>
        <v>11</v>
      </c>
      <c r="AQ13" s="34" t="str">
        <f t="shared" ca="1" si="18"/>
        <v>4/3</v>
      </c>
      <c r="AR13" s="23">
        <f t="shared" ca="1" si="19"/>
        <v>14.666666666666666</v>
      </c>
      <c r="AS13" s="24">
        <f t="shared" si="20"/>
        <v>-3</v>
      </c>
      <c r="AT13" s="23">
        <f t="shared" ca="1" si="37"/>
        <v>-44</v>
      </c>
      <c r="AU13" s="23">
        <f t="shared" ca="1" si="40"/>
        <v>132</v>
      </c>
      <c r="AV13" s="23">
        <f t="shared" si="21"/>
        <v>1331</v>
      </c>
      <c r="AW13" s="23">
        <f t="shared" ca="1" si="22"/>
        <v>1774.6666666666665</v>
      </c>
      <c r="AX13" s="15" t="s">
        <v>136</v>
      </c>
      <c r="AY13" s="35">
        <f t="shared" si="23"/>
        <v>128.44</v>
      </c>
      <c r="AZ13" s="23">
        <f t="shared" ca="1" si="41"/>
        <v>171.25333333333333</v>
      </c>
      <c r="BA13" s="36">
        <f t="shared" si="25"/>
        <v>393.28666666666669</v>
      </c>
      <c r="BB13" s="27">
        <f t="shared" ca="1" si="38"/>
        <v>524.38222222222225</v>
      </c>
      <c r="BC13" s="23">
        <f t="shared" ca="1" si="39"/>
        <v>-513.76</v>
      </c>
      <c r="BD13" s="15" t="s">
        <v>136</v>
      </c>
      <c r="BE13" s="47" t="s">
        <v>34</v>
      </c>
      <c r="BF13" s="48" t="s">
        <v>38</v>
      </c>
      <c r="BG13" s="49">
        <f ca="1">IF(WL_No="  ","  ",2*h*$AR$29)</f>
        <v>2597.6084999999998</v>
      </c>
    </row>
    <row r="14" spans="1:59" x14ac:dyDescent="0.25">
      <c r="A14" s="20">
        <f>Tools!$AD13</f>
        <v>8</v>
      </c>
      <c r="B14" s="33">
        <f t="shared" si="0"/>
        <v>11</v>
      </c>
      <c r="C14" s="22">
        <f>IF(A14="  ","  ",IF(AND(A13="  ",A15="  "),"?",IF(A13="  ",1*(A15-A14),IF(A15="  ",1*(A14-A13),1*(A15-A13)))))</f>
        <v>2</v>
      </c>
      <c r="D14" s="23">
        <f t="shared" si="26"/>
        <v>22</v>
      </c>
      <c r="E14" s="24">
        <f t="shared" si="1"/>
        <v>-2</v>
      </c>
      <c r="F14" s="23">
        <f t="shared" si="27"/>
        <v>-44</v>
      </c>
      <c r="G14" s="23">
        <f t="shared" si="28"/>
        <v>88</v>
      </c>
      <c r="H14" s="23">
        <f t="shared" si="29"/>
        <v>1331</v>
      </c>
      <c r="I14" s="23">
        <f t="shared" si="30"/>
        <v>2662</v>
      </c>
      <c r="J14" s="15" t="s">
        <v>136</v>
      </c>
      <c r="K14" s="37">
        <f t="shared" si="2"/>
        <v>130.25333333333333</v>
      </c>
      <c r="L14" s="23">
        <f t="shared" si="31"/>
        <v>260.50666666666666</v>
      </c>
      <c r="M14" s="38">
        <f t="shared" si="3"/>
        <v>395.13333333333333</v>
      </c>
      <c r="N14" s="27">
        <f t="shared" si="32"/>
        <v>790.26666666666665</v>
      </c>
      <c r="O14" s="23">
        <f t="shared" si="33"/>
        <v>-521.01333333333332</v>
      </c>
      <c r="P14" s="15" t="s">
        <v>136</v>
      </c>
      <c r="Q14" s="47" t="s">
        <v>36</v>
      </c>
      <c r="R14" s="48" t="s">
        <v>37</v>
      </c>
      <c r="S14" s="49">
        <f>IFERROR(IF(WL_No="  ","  ",2/3*(h^2)*$F$29),"-")</f>
        <v>7173.6183046666629</v>
      </c>
      <c r="W14" s="29">
        <f>IF(AO14="  ","  ",IF(AND(AO13="  ",AO15="  "),"?",IF(AO13="  ",1*(AO15-AO14),IF(AO15="  ",1*(AO14-AO13),1*(AO15-AO13)))))</f>
        <v>2</v>
      </c>
      <c r="X14" s="30" t="str">
        <f t="shared" si="4"/>
        <v>WW</v>
      </c>
      <c r="Y14" s="30" t="str">
        <f t="shared" si="5"/>
        <v>-</v>
      </c>
      <c r="Z14" s="29" t="b">
        <f t="shared" si="6"/>
        <v>0</v>
      </c>
      <c r="AA14" s="29" t="b">
        <f t="shared" si="7"/>
        <v>0</v>
      </c>
      <c r="AB14" s="29" t="str">
        <f t="shared" ca="1" si="8"/>
        <v>++</v>
      </c>
      <c r="AC14" s="29">
        <f t="shared" si="34"/>
        <v>11</v>
      </c>
      <c r="AD14" s="29">
        <f t="shared" ca="1" si="9"/>
        <v>11</v>
      </c>
      <c r="AE14" s="29">
        <v>11</v>
      </c>
      <c r="AF14" s="31">
        <f t="shared" si="42"/>
        <v>7</v>
      </c>
      <c r="AG14" s="29" t="b">
        <f t="shared" si="11"/>
        <v>1</v>
      </c>
      <c r="AH14" s="30" t="str">
        <f ca="1">IF(AND(AG14=TRUE,$AH$1=1),"141-4",IF(AG14=" ",IF(AND($AH$1=2,AF14=3),"141-1","-"),IF(OR(AG14=FALSE,AG14=" "),"-",IF(AG14=TRUE,IF(AND($AH$1=2,AF14=1),"141-1",IF(AND($AH$1=2,AF14=2),"141-4",IF(OR(ISODD($AH$1),AF14&gt;4),IF(AF14=1,"141-1",IF(OR(AB14="141-1",AB14="1331-1",AB14="1331-1,141-1"),"141-1",IF(AG15=" ","141-1",IF(OR(AH13="141-1",AH13="141-2",AH13="1331-1,141-1"),"141-4",IF(AH13="141-4","141-2","$$"))))),IF(ISEVEN($AH$1),IF(AF14=1,"1331-1",IF(OR(AF14=2,AF14=3),"1331-3",IF(AF14=4,IF($AH$1=4,"1331-1","1331-1,141-1"),"")))))))))))</f>
        <v>141-2</v>
      </c>
      <c r="AI14" s="30" t="str">
        <f t="shared" ca="1" si="13"/>
        <v/>
      </c>
      <c r="AJ14" s="29">
        <f t="shared" ca="1" si="14"/>
        <v>0</v>
      </c>
      <c r="AK14" s="29" t="str">
        <f t="shared" ca="1" si="15"/>
        <v>2/3</v>
      </c>
      <c r="AL14" s="29">
        <f t="shared" ca="1" si="16"/>
        <v>0.66666666666666663</v>
      </c>
      <c r="AM14" s="32">
        <f t="shared" ca="1" si="35"/>
        <v>0.66666666666666663</v>
      </c>
      <c r="AO14" s="20">
        <f>Tools!$AD13</f>
        <v>8</v>
      </c>
      <c r="AP14" s="33">
        <f t="shared" si="36"/>
        <v>11</v>
      </c>
      <c r="AQ14" s="34" t="str">
        <f t="shared" ca="1" si="18"/>
        <v>2/3</v>
      </c>
      <c r="AR14" s="23">
        <f t="shared" ca="1" si="19"/>
        <v>7.333333333333333</v>
      </c>
      <c r="AS14" s="24">
        <f t="shared" si="20"/>
        <v>-2</v>
      </c>
      <c r="AT14" s="23">
        <f t="shared" ca="1" si="37"/>
        <v>-14.666666666666666</v>
      </c>
      <c r="AU14" s="23">
        <f t="shared" ca="1" si="40"/>
        <v>29.333333333333332</v>
      </c>
      <c r="AV14" s="23">
        <f t="shared" si="21"/>
        <v>1331</v>
      </c>
      <c r="AW14" s="23">
        <f t="shared" ca="1" si="22"/>
        <v>887.33333333333326</v>
      </c>
      <c r="AX14" s="15" t="s">
        <v>136</v>
      </c>
      <c r="AY14" s="35">
        <f t="shared" si="23"/>
        <v>130.25333333333333</v>
      </c>
      <c r="AZ14" s="23">
        <f t="shared" ca="1" si="41"/>
        <v>86.835555555555544</v>
      </c>
      <c r="BA14" s="36">
        <f t="shared" si="25"/>
        <v>395.13333333333333</v>
      </c>
      <c r="BB14" s="27">
        <f t="shared" ca="1" si="38"/>
        <v>263.42222222222222</v>
      </c>
      <c r="BC14" s="23">
        <f t="shared" ca="1" si="39"/>
        <v>-173.67111111111109</v>
      </c>
      <c r="BD14" s="15" t="s">
        <v>136</v>
      </c>
      <c r="BE14" s="47" t="s">
        <v>36</v>
      </c>
      <c r="BF14" s="48" t="s">
        <v>41</v>
      </c>
      <c r="BG14" s="49">
        <f ca="1">IF(WL_No="  ","  ",2*(h^2)*$AT$29)</f>
        <v>7173.6183046666647</v>
      </c>
    </row>
    <row r="15" spans="1:59" x14ac:dyDescent="0.25">
      <c r="A15" s="20">
        <f>Tools!$AD14</f>
        <v>9</v>
      </c>
      <c r="B15" s="33">
        <f t="shared" si="0"/>
        <v>11</v>
      </c>
      <c r="C15" s="22">
        <f>IF(A15="  ","  ",IF(AND(A14="  ",A16="  "),"?",IF(A14="  ",2*(A16-A15),IF(A16="  ",2*(A15-A14),2*(A16-A14)))))</f>
        <v>4</v>
      </c>
      <c r="D15" s="23">
        <f t="shared" si="26"/>
        <v>44</v>
      </c>
      <c r="E15" s="24">
        <f t="shared" si="1"/>
        <v>-1</v>
      </c>
      <c r="F15" s="23">
        <f t="shared" si="27"/>
        <v>-44</v>
      </c>
      <c r="G15" s="23">
        <f t="shared" si="28"/>
        <v>44</v>
      </c>
      <c r="H15" s="23">
        <f t="shared" si="29"/>
        <v>1331</v>
      </c>
      <c r="I15" s="23">
        <f t="shared" si="30"/>
        <v>5324</v>
      </c>
      <c r="J15" s="15" t="s">
        <v>136</v>
      </c>
      <c r="K15" s="37">
        <f t="shared" si="2"/>
        <v>130.57333333333332</v>
      </c>
      <c r="L15" s="23">
        <f t="shared" si="31"/>
        <v>522.29333333333329</v>
      </c>
      <c r="M15" s="38">
        <f t="shared" si="3"/>
        <v>395.32666666666665</v>
      </c>
      <c r="N15" s="27">
        <f t="shared" si="32"/>
        <v>1581.3066666666666</v>
      </c>
      <c r="O15" s="23">
        <f t="shared" si="33"/>
        <v>-522.29333333333329</v>
      </c>
      <c r="P15" s="15" t="s">
        <v>136</v>
      </c>
      <c r="Q15" s="50" t="s">
        <v>39</v>
      </c>
      <c r="R15" s="48" t="s">
        <v>40</v>
      </c>
      <c r="S15" s="49">
        <f>IFERROR(IF(WL_No="  ","  ",Mmid/AWP),"-")</f>
        <v>2.7616241264481016</v>
      </c>
      <c r="W15" s="29">
        <f>IF(AO15="  ","  ",IF(AND(AO14="  ",AO16="  "),"?",IF(AO14="  ",2*(AO16-AO15),IF(AO16="  ",2*(AO15-AO14),2*(AO16-AO14)))))</f>
        <v>4</v>
      </c>
      <c r="X15" s="30" t="str">
        <f t="shared" si="4"/>
        <v>WW</v>
      </c>
      <c r="Y15" s="30" t="str">
        <f t="shared" si="5"/>
        <v>-</v>
      </c>
      <c r="Z15" s="29" t="b">
        <f t="shared" si="6"/>
        <v>0</v>
      </c>
      <c r="AA15" s="29" t="b">
        <f t="shared" si="7"/>
        <v>0</v>
      </c>
      <c r="AB15" s="29" t="str">
        <f t="shared" ca="1" si="8"/>
        <v>++</v>
      </c>
      <c r="AC15" s="29">
        <f t="shared" si="34"/>
        <v>12</v>
      </c>
      <c r="AD15" s="29">
        <f t="shared" ca="1" si="9"/>
        <v>12</v>
      </c>
      <c r="AE15" s="29">
        <v>12</v>
      </c>
      <c r="AF15" s="31">
        <f t="shared" si="42"/>
        <v>8</v>
      </c>
      <c r="AG15" s="29" t="b">
        <f t="shared" si="11"/>
        <v>1</v>
      </c>
      <c r="AH15" s="30" t="str">
        <f t="shared" ref="AH15:AH28" ca="1" si="43">IF(AND(AG15=TRUE,$AH$1=1),"141-4",IF(AG15=" ",IF(AND($AH$1=2,AF15=3),"141-1","-"),IF(OR(AG15=FALSE,AG15=" "),"-",IF(AG15=TRUE,IF(AND($AH$1=2,AF15=1),"141-1",IF(AND($AH$1=2,AF15=2),"141-4",IF(OR(ISODD($AH$1),AF15&gt;4),IF(AF15=1,"141-1",IF(OR(AB15="141-1",AB15="1331-1",AB15="1331-1,141-1"),"141-1",IF(AG16=" ","141-1",IF(OR(AH14="141-1",AH14="141-2",AH14="1331-1,141-1"),"141-4",IF(AH14="141-4","141-2","$$"))))),IF(ISEVEN($AH$1),IF(AF15=1,"1331-1",IF(OR(AF15=2,AF15=3),"1331-3",IF(AF15=4,IF($AH$1=4,"1331-1","1331-1,141-1"),"")))))))))))</f>
        <v>141-4</v>
      </c>
      <c r="AI15" s="30" t="str">
        <f t="shared" ca="1" si="13"/>
        <v/>
      </c>
      <c r="AJ15" s="29">
        <f t="shared" ca="1" si="14"/>
        <v>0</v>
      </c>
      <c r="AK15" s="29" t="str">
        <f t="shared" ca="1" si="15"/>
        <v>4/3</v>
      </c>
      <c r="AL15" s="29">
        <f t="shared" ca="1" si="16"/>
        <v>1.3333333333333333</v>
      </c>
      <c r="AM15" s="32">
        <f t="shared" ca="1" si="35"/>
        <v>1.3333333333333333</v>
      </c>
      <c r="AO15" s="20">
        <f>Tools!$AD14</f>
        <v>9</v>
      </c>
      <c r="AP15" s="33">
        <f t="shared" si="36"/>
        <v>11</v>
      </c>
      <c r="AQ15" s="34" t="str">
        <f t="shared" ca="1" si="18"/>
        <v>4/3</v>
      </c>
      <c r="AR15" s="23">
        <f t="shared" ca="1" si="19"/>
        <v>14.666666666666666</v>
      </c>
      <c r="AS15" s="24">
        <f t="shared" si="20"/>
        <v>-1</v>
      </c>
      <c r="AT15" s="23">
        <f t="shared" ca="1" si="37"/>
        <v>-14.666666666666666</v>
      </c>
      <c r="AU15" s="23">
        <f t="shared" ca="1" si="40"/>
        <v>14.666666666666666</v>
      </c>
      <c r="AV15" s="23">
        <f t="shared" si="21"/>
        <v>1331</v>
      </c>
      <c r="AW15" s="23">
        <f t="shared" ca="1" si="22"/>
        <v>1774.6666666666665</v>
      </c>
      <c r="AX15" s="15" t="s">
        <v>136</v>
      </c>
      <c r="AY15" s="35">
        <f t="shared" si="23"/>
        <v>130.57333333333332</v>
      </c>
      <c r="AZ15" s="23">
        <f t="shared" ca="1" si="41"/>
        <v>174.09777777777776</v>
      </c>
      <c r="BA15" s="36">
        <f t="shared" si="25"/>
        <v>395.32666666666665</v>
      </c>
      <c r="BB15" s="27">
        <f ca="1">IFERROR(BA15*AM15,"  ")</f>
        <v>527.10222222222217</v>
      </c>
      <c r="BC15" s="23">
        <f t="shared" ca="1" si="39"/>
        <v>-174.09777777777776</v>
      </c>
      <c r="BD15" s="15" t="s">
        <v>136</v>
      </c>
      <c r="BE15" s="50" t="s">
        <v>39</v>
      </c>
      <c r="BF15" s="48" t="s">
        <v>40</v>
      </c>
      <c r="BG15" s="49">
        <f>IF(WL_No="  ","  ",Mmid/AWP)</f>
        <v>2.7616241264481016</v>
      </c>
    </row>
    <row r="16" spans="1:59" x14ac:dyDescent="0.25">
      <c r="A16" s="20">
        <f>Tools!$AD15</f>
        <v>10</v>
      </c>
      <c r="B16" s="33">
        <f t="shared" si="0"/>
        <v>11</v>
      </c>
      <c r="C16" s="22">
        <f>IF(A16="  ","  ",IF(AND(A15="  ",A17="  "),"?",IF(A15="  ",1*(A17-A16),IF(A17="  ",1*(A16-A15),1*(A17-A15)))))</f>
        <v>2</v>
      </c>
      <c r="D16" s="23">
        <f t="shared" si="26"/>
        <v>22</v>
      </c>
      <c r="E16" s="24">
        <f t="shared" si="1"/>
        <v>0</v>
      </c>
      <c r="F16" s="23">
        <f t="shared" si="27"/>
        <v>0</v>
      </c>
      <c r="G16" s="23">
        <f t="shared" si="28"/>
        <v>0</v>
      </c>
      <c r="H16" s="23">
        <f t="shared" si="29"/>
        <v>1331</v>
      </c>
      <c r="I16" s="23">
        <f t="shared" si="30"/>
        <v>2662</v>
      </c>
      <c r="J16" s="15" t="s">
        <v>136</v>
      </c>
      <c r="K16" s="37">
        <f t="shared" si="2"/>
        <v>130.57333333333332</v>
      </c>
      <c r="L16" s="23">
        <f t="shared" si="31"/>
        <v>261.14666666666665</v>
      </c>
      <c r="M16" s="38">
        <f t="shared" si="3"/>
        <v>395.32666666666665</v>
      </c>
      <c r="N16" s="27">
        <f t="shared" si="32"/>
        <v>790.65333333333331</v>
      </c>
      <c r="O16" s="23">
        <f t="shared" si="33"/>
        <v>0</v>
      </c>
      <c r="P16" s="15" t="s">
        <v>136</v>
      </c>
      <c r="Q16" s="50" t="s">
        <v>42</v>
      </c>
      <c r="R16" s="48" t="s">
        <v>43</v>
      </c>
      <c r="S16" s="49">
        <f>IFERROR(IF(WL_No="  ","  ",2/3*(h^3)*$G$29),"-")</f>
        <v>3261298.7193306424</v>
      </c>
      <c r="W16" s="29">
        <f>IF(AO16="  ","  ",IF(AND(AO15="  ",AO17="  "),"?",IF(AO15="  ",1*(AO17-AO16),IF(AO17="  ",1*(AO16-AO15),1*(AO17-AO15)))))</f>
        <v>2</v>
      </c>
      <c r="X16" s="30" t="str">
        <f t="shared" si="4"/>
        <v>WW</v>
      </c>
      <c r="Y16" s="30" t="str">
        <f t="shared" si="5"/>
        <v>-</v>
      </c>
      <c r="Z16" s="29" t="b">
        <f t="shared" si="6"/>
        <v>0</v>
      </c>
      <c r="AA16" s="29" t="b">
        <f t="shared" si="7"/>
        <v>0</v>
      </c>
      <c r="AB16" s="29" t="str">
        <f t="shared" ca="1" si="8"/>
        <v>++</v>
      </c>
      <c r="AC16" s="29">
        <f t="shared" si="34"/>
        <v>13</v>
      </c>
      <c r="AD16" s="29">
        <f t="shared" ca="1" si="9"/>
        <v>13</v>
      </c>
      <c r="AE16" s="29">
        <v>13</v>
      </c>
      <c r="AF16" s="31">
        <f t="shared" si="42"/>
        <v>9</v>
      </c>
      <c r="AG16" s="29" t="b">
        <f t="shared" si="11"/>
        <v>1</v>
      </c>
      <c r="AH16" s="30" t="str">
        <f t="shared" ca="1" si="43"/>
        <v>141-2</v>
      </c>
      <c r="AI16" s="30" t="str">
        <f t="shared" ca="1" si="13"/>
        <v/>
      </c>
      <c r="AJ16" s="29">
        <f t="shared" ca="1" si="14"/>
        <v>0</v>
      </c>
      <c r="AK16" s="29" t="str">
        <f t="shared" ca="1" si="15"/>
        <v>2/3</v>
      </c>
      <c r="AL16" s="29">
        <f t="shared" ca="1" si="16"/>
        <v>0.66666666666666663</v>
      </c>
      <c r="AM16" s="32">
        <f t="shared" ca="1" si="35"/>
        <v>0.66666666666666663</v>
      </c>
      <c r="AO16" s="20">
        <f>Tools!$AD15</f>
        <v>10</v>
      </c>
      <c r="AP16" s="33">
        <f t="shared" si="36"/>
        <v>11</v>
      </c>
      <c r="AQ16" s="34" t="str">
        <f t="shared" ca="1" si="18"/>
        <v>2/3</v>
      </c>
      <c r="AR16" s="23">
        <f t="shared" ca="1" si="19"/>
        <v>7.333333333333333</v>
      </c>
      <c r="AS16" s="24">
        <f t="shared" si="20"/>
        <v>0</v>
      </c>
      <c r="AT16" s="23">
        <f t="shared" ca="1" si="37"/>
        <v>0</v>
      </c>
      <c r="AU16" s="23">
        <f t="shared" ca="1" si="40"/>
        <v>0</v>
      </c>
      <c r="AV16" s="23">
        <f t="shared" si="21"/>
        <v>1331</v>
      </c>
      <c r="AW16" s="23">
        <f t="shared" ca="1" si="22"/>
        <v>887.33333333333326</v>
      </c>
      <c r="AX16" s="15" t="s">
        <v>136</v>
      </c>
      <c r="AY16" s="35">
        <f t="shared" si="23"/>
        <v>130.57333333333332</v>
      </c>
      <c r="AZ16" s="23">
        <f t="shared" ca="1" si="41"/>
        <v>87.048888888888882</v>
      </c>
      <c r="BA16" s="36">
        <f t="shared" si="25"/>
        <v>395.32666666666665</v>
      </c>
      <c r="BB16" s="27">
        <f t="shared" ca="1" si="38"/>
        <v>263.55111111111108</v>
      </c>
      <c r="BC16" s="23">
        <f ca="1">IFERROR(AZ16*AS16,"  ")</f>
        <v>0</v>
      </c>
      <c r="BD16" s="15" t="s">
        <v>136</v>
      </c>
      <c r="BE16" s="50" t="s">
        <v>42</v>
      </c>
      <c r="BF16" s="48" t="s">
        <v>46</v>
      </c>
      <c r="BG16" s="49">
        <f ca="1">IF(WL_No="  ","  ",2*(h^3)*$AU$29)</f>
        <v>3261298.7193306419</v>
      </c>
    </row>
    <row r="17" spans="1:59" x14ac:dyDescent="0.25">
      <c r="A17" s="20">
        <f>Tools!$AD16</f>
        <v>11</v>
      </c>
      <c r="B17" s="33">
        <f t="shared" si="0"/>
        <v>11</v>
      </c>
      <c r="C17" s="22">
        <f>IF(A17="  ","  ",IF(AND(A16="  ",A18="  "),"?",IF(A16="  ",2*(A18-A17),IF(A18="  ",2*(A17-A16),2*(A18-A16)))))</f>
        <v>4</v>
      </c>
      <c r="D17" s="23">
        <f t="shared" si="26"/>
        <v>44</v>
      </c>
      <c r="E17" s="24">
        <f t="shared" si="1"/>
        <v>1</v>
      </c>
      <c r="F17" s="23">
        <f t="shared" si="27"/>
        <v>44</v>
      </c>
      <c r="G17" s="23">
        <f t="shared" si="28"/>
        <v>44</v>
      </c>
      <c r="H17" s="23">
        <f t="shared" si="29"/>
        <v>1331</v>
      </c>
      <c r="I17" s="23">
        <f t="shared" si="30"/>
        <v>5324</v>
      </c>
      <c r="J17" s="15" t="s">
        <v>136</v>
      </c>
      <c r="K17" s="37">
        <f t="shared" si="2"/>
        <v>130.57333333333332</v>
      </c>
      <c r="L17" s="23">
        <f t="shared" si="31"/>
        <v>522.29333333333329</v>
      </c>
      <c r="M17" s="38">
        <f t="shared" si="3"/>
        <v>395.32666666666665</v>
      </c>
      <c r="N17" s="27">
        <f t="shared" si="32"/>
        <v>1581.3066666666666</v>
      </c>
      <c r="O17" s="23">
        <f t="shared" si="33"/>
        <v>522.29333333333329</v>
      </c>
      <c r="P17" s="15" t="s">
        <v>136</v>
      </c>
      <c r="Q17" s="51" t="s">
        <v>44</v>
      </c>
      <c r="R17" s="48" t="s">
        <v>45</v>
      </c>
      <c r="S17" s="49">
        <f>IFERROR(IF(WL_No="  ","  ",2/9*h*$I$29),"-")</f>
        <v>90026.434477156668</v>
      </c>
      <c r="W17" s="29">
        <f>IF(AO17="  ","  ",IF(AND(AO16="  ",AO18="  "),"?",IF(AO16="  ",2*(AO18-AO17),IF(AO18="  ",2*(AO17-AO16),2*(AO18-AO16)))))</f>
        <v>4</v>
      </c>
      <c r="X17" s="30" t="str">
        <f t="shared" si="4"/>
        <v>WW</v>
      </c>
      <c r="Y17" s="30" t="str">
        <f t="shared" si="5"/>
        <v>-</v>
      </c>
      <c r="Z17" s="29" t="b">
        <f t="shared" si="6"/>
        <v>0</v>
      </c>
      <c r="AA17" s="29" t="b">
        <f t="shared" si="7"/>
        <v>0</v>
      </c>
      <c r="AB17" s="29" t="str">
        <f t="shared" ca="1" si="8"/>
        <v>++</v>
      </c>
      <c r="AC17" s="29">
        <f t="shared" si="34"/>
        <v>12</v>
      </c>
      <c r="AD17" s="29">
        <f t="shared" ca="1" si="9"/>
        <v>12</v>
      </c>
      <c r="AE17" s="29">
        <v>14</v>
      </c>
      <c r="AF17" s="31">
        <f t="shared" si="42"/>
        <v>10</v>
      </c>
      <c r="AG17" s="29" t="b">
        <f t="shared" si="11"/>
        <v>1</v>
      </c>
      <c r="AH17" s="30" t="str">
        <f t="shared" ca="1" si="43"/>
        <v>141-4</v>
      </c>
      <c r="AI17" s="30" t="str">
        <f t="shared" ca="1" si="13"/>
        <v/>
      </c>
      <c r="AJ17" s="29">
        <f t="shared" ca="1" si="14"/>
        <v>0</v>
      </c>
      <c r="AK17" s="29" t="str">
        <f t="shared" ca="1" si="15"/>
        <v>4/3</v>
      </c>
      <c r="AL17" s="29">
        <f t="shared" ca="1" si="16"/>
        <v>1.3333333333333333</v>
      </c>
      <c r="AM17" s="32">
        <f t="shared" ca="1" si="35"/>
        <v>1.3333333333333333</v>
      </c>
      <c r="AO17" s="20">
        <f>Tools!$AD16</f>
        <v>11</v>
      </c>
      <c r="AP17" s="33">
        <f t="shared" si="36"/>
        <v>11</v>
      </c>
      <c r="AQ17" s="34" t="str">
        <f t="shared" ca="1" si="18"/>
        <v>4/3</v>
      </c>
      <c r="AR17" s="23">
        <f t="shared" ca="1" si="19"/>
        <v>14.666666666666666</v>
      </c>
      <c r="AS17" s="24">
        <f t="shared" si="20"/>
        <v>1</v>
      </c>
      <c r="AT17" s="23">
        <f t="shared" ca="1" si="37"/>
        <v>14.666666666666666</v>
      </c>
      <c r="AU17" s="23">
        <f t="shared" ca="1" si="40"/>
        <v>14.666666666666666</v>
      </c>
      <c r="AV17" s="23">
        <f t="shared" si="21"/>
        <v>1331</v>
      </c>
      <c r="AW17" s="23">
        <f t="shared" ca="1" si="22"/>
        <v>1774.6666666666665</v>
      </c>
      <c r="AX17" s="15" t="s">
        <v>136</v>
      </c>
      <c r="AY17" s="35">
        <f t="shared" si="23"/>
        <v>130.57333333333332</v>
      </c>
      <c r="AZ17" s="23">
        <f t="shared" ca="1" si="41"/>
        <v>174.09777777777776</v>
      </c>
      <c r="BA17" s="36">
        <f t="shared" si="25"/>
        <v>395.32666666666665</v>
      </c>
      <c r="BB17" s="27">
        <f t="shared" ca="1" si="38"/>
        <v>527.10222222222217</v>
      </c>
      <c r="BC17" s="23">
        <f t="shared" ca="1" si="39"/>
        <v>174.09777777777776</v>
      </c>
      <c r="BD17" s="15" t="s">
        <v>136</v>
      </c>
      <c r="BE17" s="51" t="s">
        <v>44</v>
      </c>
      <c r="BF17" s="48" t="s">
        <v>49</v>
      </c>
      <c r="BG17" s="49">
        <f ca="1">IF(WL_No="  ","  ",2/3*h*$AW$29)</f>
        <v>90026.434477156654</v>
      </c>
    </row>
    <row r="18" spans="1:59" x14ac:dyDescent="0.25">
      <c r="A18" s="20">
        <f>Tools!$AD17</f>
        <v>12</v>
      </c>
      <c r="B18" s="33">
        <f t="shared" si="0"/>
        <v>11</v>
      </c>
      <c r="C18" s="22">
        <f>IF(A18="  ","  ",IF(AND(A17="  ",A19="  "),"?",IF(A17="  ",1*(A19-A18),IF(A19="  ",1*(A18-A17),1*(A19-A17)))))</f>
        <v>2</v>
      </c>
      <c r="D18" s="23">
        <f t="shared" si="26"/>
        <v>22</v>
      </c>
      <c r="E18" s="24">
        <f t="shared" si="1"/>
        <v>2</v>
      </c>
      <c r="F18" s="23">
        <f t="shared" si="27"/>
        <v>44</v>
      </c>
      <c r="G18" s="23">
        <f t="shared" si="28"/>
        <v>88</v>
      </c>
      <c r="H18" s="23">
        <f t="shared" si="29"/>
        <v>1331</v>
      </c>
      <c r="I18" s="23">
        <f t="shared" si="30"/>
        <v>2662</v>
      </c>
      <c r="J18" s="15" t="s">
        <v>136</v>
      </c>
      <c r="K18" s="37">
        <f t="shared" si="2"/>
        <v>130.57333333333332</v>
      </c>
      <c r="L18" s="23">
        <f t="shared" si="31"/>
        <v>261.14666666666665</v>
      </c>
      <c r="M18" s="38">
        <f t="shared" si="3"/>
        <v>395.32666666666665</v>
      </c>
      <c r="N18" s="27">
        <f t="shared" si="32"/>
        <v>790.65333333333331</v>
      </c>
      <c r="O18" s="23">
        <f t="shared" si="33"/>
        <v>522.29333333333329</v>
      </c>
      <c r="P18" s="15" t="s">
        <v>136</v>
      </c>
      <c r="Q18" s="50" t="s">
        <v>47</v>
      </c>
      <c r="R18" s="48" t="s">
        <v>48</v>
      </c>
      <c r="S18" s="49">
        <f>IFERROR(IF(WL_No="  ","  ",IL-AWP*(LCF^2)),"-")</f>
        <v>3241487.8819465451</v>
      </c>
      <c r="W18" s="29">
        <f>IF(AO18="  ","  ",IF(AND(AO17="  ",AO19="  "),"?",IF(AO17="  ",1*(AO19-AO18),IF(AO19="  ",1*(AO18-AO17),1*(AO19-AO17)))))</f>
        <v>2</v>
      </c>
      <c r="X18" s="30" t="str">
        <f t="shared" si="4"/>
        <v>WW</v>
      </c>
      <c r="Y18" s="30" t="str">
        <f t="shared" si="5"/>
        <v>-</v>
      </c>
      <c r="Z18" s="29" t="b">
        <f t="shared" si="6"/>
        <v>0</v>
      </c>
      <c r="AA18" s="29" t="b">
        <f t="shared" si="7"/>
        <v>0</v>
      </c>
      <c r="AB18" s="29" t="str">
        <f t="shared" ca="1" si="8"/>
        <v>++</v>
      </c>
      <c r="AC18" s="29">
        <f t="shared" si="34"/>
        <v>11</v>
      </c>
      <c r="AD18" s="29">
        <f t="shared" ca="1" si="9"/>
        <v>11</v>
      </c>
      <c r="AE18" s="29">
        <v>15</v>
      </c>
      <c r="AF18" s="31">
        <f t="shared" si="42"/>
        <v>11</v>
      </c>
      <c r="AG18" s="29" t="b">
        <f t="shared" si="11"/>
        <v>1</v>
      </c>
      <c r="AH18" s="30" t="str">
        <f t="shared" ca="1" si="43"/>
        <v>141-2</v>
      </c>
      <c r="AI18" s="30" t="str">
        <f t="shared" ca="1" si="13"/>
        <v/>
      </c>
      <c r="AJ18" s="29">
        <f t="shared" ca="1" si="14"/>
        <v>0</v>
      </c>
      <c r="AK18" s="29" t="str">
        <f t="shared" ca="1" si="15"/>
        <v>2/3</v>
      </c>
      <c r="AL18" s="29">
        <f t="shared" ca="1" si="16"/>
        <v>0.66666666666666663</v>
      </c>
      <c r="AM18" s="32">
        <f t="shared" ca="1" si="35"/>
        <v>0.66666666666666663</v>
      </c>
      <c r="AO18" s="20">
        <f>Tools!$AD17</f>
        <v>12</v>
      </c>
      <c r="AP18" s="33">
        <f t="shared" si="36"/>
        <v>11</v>
      </c>
      <c r="AQ18" s="34" t="str">
        <f t="shared" ca="1" si="18"/>
        <v>2/3</v>
      </c>
      <c r="AR18" s="23">
        <f t="shared" ca="1" si="19"/>
        <v>7.333333333333333</v>
      </c>
      <c r="AS18" s="24">
        <f t="shared" si="20"/>
        <v>2</v>
      </c>
      <c r="AT18" s="23">
        <f t="shared" ca="1" si="37"/>
        <v>14.666666666666666</v>
      </c>
      <c r="AU18" s="23">
        <f t="shared" ca="1" si="40"/>
        <v>29.333333333333332</v>
      </c>
      <c r="AV18" s="23">
        <f t="shared" si="21"/>
        <v>1331</v>
      </c>
      <c r="AW18" s="23">
        <f t="shared" ca="1" si="22"/>
        <v>887.33333333333326</v>
      </c>
      <c r="AX18" s="15" t="s">
        <v>136</v>
      </c>
      <c r="AY18" s="35">
        <f t="shared" si="23"/>
        <v>130.57333333333332</v>
      </c>
      <c r="AZ18" s="23">
        <f t="shared" ca="1" si="41"/>
        <v>87.048888888888882</v>
      </c>
      <c r="BA18" s="36">
        <f t="shared" si="25"/>
        <v>395.32666666666665</v>
      </c>
      <c r="BB18" s="27">
        <f t="shared" ca="1" si="38"/>
        <v>263.55111111111108</v>
      </c>
      <c r="BC18" s="23">
        <f t="shared" ca="1" si="39"/>
        <v>174.09777777777776</v>
      </c>
      <c r="BD18" s="15" t="s">
        <v>136</v>
      </c>
      <c r="BE18" s="50" t="s">
        <v>47</v>
      </c>
      <c r="BF18" s="48" t="s">
        <v>48</v>
      </c>
      <c r="BG18" s="49">
        <f>IF(WL_No="  ","  ",IL-AWP*(LCF^2))</f>
        <v>3241487.8819465451</v>
      </c>
    </row>
    <row r="19" spans="1:59" x14ac:dyDescent="0.25">
      <c r="A19" s="20">
        <f>Tools!$AD18</f>
        <v>13</v>
      </c>
      <c r="B19" s="33">
        <f t="shared" si="0"/>
        <v>11</v>
      </c>
      <c r="C19" s="22">
        <f>IF(A19="  ","  ",IF(AND(A18="  ",A20="  "),"?",IF(A18="  ",2*(A20-A19),IF(A20="  ",2*(A19-A18),2*(A20-A18)))))</f>
        <v>4</v>
      </c>
      <c r="D19" s="23">
        <f t="shared" si="26"/>
        <v>44</v>
      </c>
      <c r="E19" s="24">
        <f t="shared" si="1"/>
        <v>3</v>
      </c>
      <c r="F19" s="23">
        <f t="shared" si="27"/>
        <v>132</v>
      </c>
      <c r="G19" s="23">
        <f t="shared" si="28"/>
        <v>396</v>
      </c>
      <c r="H19" s="23">
        <f t="shared" si="29"/>
        <v>1331</v>
      </c>
      <c r="I19" s="23">
        <f t="shared" si="30"/>
        <v>5324</v>
      </c>
      <c r="J19" s="15" t="s">
        <v>136</v>
      </c>
      <c r="K19" s="37">
        <f t="shared" si="2"/>
        <v>130.57333333333332</v>
      </c>
      <c r="L19" s="23">
        <f t="shared" si="31"/>
        <v>522.29333333333329</v>
      </c>
      <c r="M19" s="38">
        <f t="shared" si="3"/>
        <v>395.32666666666665</v>
      </c>
      <c r="N19" s="27">
        <f t="shared" si="32"/>
        <v>1581.3066666666666</v>
      </c>
      <c r="O19" s="23">
        <f t="shared" si="33"/>
        <v>1566.8799999999999</v>
      </c>
      <c r="P19" s="15" t="s">
        <v>136</v>
      </c>
      <c r="Q19" s="50" t="s">
        <v>50</v>
      </c>
      <c r="R19" s="48" t="s">
        <v>51</v>
      </c>
      <c r="S19" s="49">
        <f>IFERROR(IF(WL_No="  ","  ",h/3*$L$29),"-")</f>
        <v>14416.818549999995</v>
      </c>
      <c r="W19" s="29">
        <f>IF(AO19="  ","  ",IF(AND(AO18="  ",AO20="  "),"?",IF(AO18="  ",2*(AO20-AO19),IF(AO20="  ",2*(AO19-AO18),2*(AO20-AO18)))))</f>
        <v>4</v>
      </c>
      <c r="X19" s="30" t="str">
        <f t="shared" si="4"/>
        <v>WW</v>
      </c>
      <c r="Y19" s="30" t="str">
        <f t="shared" si="5"/>
        <v>-</v>
      </c>
      <c r="Z19" s="29" t="b">
        <f t="shared" si="6"/>
        <v>0</v>
      </c>
      <c r="AA19" s="29" t="b">
        <f t="shared" si="7"/>
        <v>0</v>
      </c>
      <c r="AB19" s="29" t="str">
        <f t="shared" ca="1" si="8"/>
        <v>++</v>
      </c>
      <c r="AC19" s="29">
        <f t="shared" si="34"/>
        <v>10</v>
      </c>
      <c r="AD19" s="29">
        <f t="shared" ca="1" si="9"/>
        <v>10</v>
      </c>
      <c r="AE19" s="29">
        <v>16</v>
      </c>
      <c r="AF19" s="31">
        <f t="shared" si="42"/>
        <v>12</v>
      </c>
      <c r="AG19" s="29" t="b">
        <f t="shared" si="11"/>
        <v>1</v>
      </c>
      <c r="AH19" s="30" t="str">
        <f t="shared" ca="1" si="43"/>
        <v>141-4</v>
      </c>
      <c r="AI19" s="30" t="str">
        <f t="shared" ca="1" si="13"/>
        <v/>
      </c>
      <c r="AJ19" s="29">
        <f t="shared" ca="1" si="14"/>
        <v>0</v>
      </c>
      <c r="AK19" s="29" t="str">
        <f t="shared" ca="1" si="15"/>
        <v>4/3</v>
      </c>
      <c r="AL19" s="29">
        <f t="shared" ca="1" si="16"/>
        <v>1.3333333333333333</v>
      </c>
      <c r="AM19" s="32">
        <f t="shared" ca="1" si="35"/>
        <v>1.3333333333333333</v>
      </c>
      <c r="AO19" s="20">
        <f>Tools!$AD18</f>
        <v>13</v>
      </c>
      <c r="AP19" s="33">
        <f t="shared" si="36"/>
        <v>11</v>
      </c>
      <c r="AQ19" s="34" t="str">
        <f t="shared" ca="1" si="18"/>
        <v>4/3</v>
      </c>
      <c r="AR19" s="23">
        <f t="shared" ca="1" si="19"/>
        <v>14.666666666666666</v>
      </c>
      <c r="AS19" s="24">
        <f t="shared" si="20"/>
        <v>3</v>
      </c>
      <c r="AT19" s="23">
        <f t="shared" ca="1" si="37"/>
        <v>44</v>
      </c>
      <c r="AU19" s="23">
        <f t="shared" ca="1" si="40"/>
        <v>132</v>
      </c>
      <c r="AV19" s="23">
        <f t="shared" si="21"/>
        <v>1331</v>
      </c>
      <c r="AW19" s="23">
        <f t="shared" ca="1" si="22"/>
        <v>1774.6666666666665</v>
      </c>
      <c r="AX19" s="15" t="s">
        <v>136</v>
      </c>
      <c r="AY19" s="35">
        <f t="shared" si="23"/>
        <v>130.57333333333332</v>
      </c>
      <c r="AZ19" s="23">
        <f t="shared" ca="1" si="41"/>
        <v>174.09777777777776</v>
      </c>
      <c r="BA19" s="36">
        <f t="shared" si="25"/>
        <v>395.32666666666665</v>
      </c>
      <c r="BB19" s="27">
        <f t="shared" ca="1" si="38"/>
        <v>527.10222222222217</v>
      </c>
      <c r="BC19" s="23">
        <f t="shared" ca="1" si="39"/>
        <v>522.29333333333329</v>
      </c>
      <c r="BD19" s="15" t="s">
        <v>136</v>
      </c>
      <c r="BE19" s="50" t="s">
        <v>50</v>
      </c>
      <c r="BF19" s="48" t="s">
        <v>54</v>
      </c>
      <c r="BG19" s="49">
        <f ca="1">IF(WL_No="  ","  ",h*$AZ$29)</f>
        <v>14416.818549999996</v>
      </c>
    </row>
    <row r="20" spans="1:59" x14ac:dyDescent="0.25">
      <c r="A20" s="20">
        <f>Tools!$AD19</f>
        <v>14</v>
      </c>
      <c r="B20" s="33">
        <f t="shared" si="0"/>
        <v>11</v>
      </c>
      <c r="C20" s="22">
        <f>IF(A20="  ","  ",IF(AND(A19="  ",A21="  "),"?",IF(A19="  ",1*(A21-A20),IF(A21="  ",1*(A20-A19),1*(A21-A19)))))</f>
        <v>2</v>
      </c>
      <c r="D20" s="23">
        <f t="shared" si="26"/>
        <v>22</v>
      </c>
      <c r="E20" s="24">
        <f t="shared" si="1"/>
        <v>4</v>
      </c>
      <c r="F20" s="23">
        <f t="shared" si="27"/>
        <v>88</v>
      </c>
      <c r="G20" s="23">
        <f t="shared" si="28"/>
        <v>352</v>
      </c>
      <c r="H20" s="23">
        <f t="shared" si="29"/>
        <v>1331</v>
      </c>
      <c r="I20" s="23">
        <f t="shared" si="30"/>
        <v>2662</v>
      </c>
      <c r="J20" s="15" t="s">
        <v>136</v>
      </c>
      <c r="K20" s="37">
        <f t="shared" si="2"/>
        <v>130.19333333333333</v>
      </c>
      <c r="L20" s="23">
        <f t="shared" si="31"/>
        <v>260.38666666666666</v>
      </c>
      <c r="M20" s="38">
        <f t="shared" si="3"/>
        <v>395.06</v>
      </c>
      <c r="N20" s="27">
        <f t="shared" si="32"/>
        <v>790.12</v>
      </c>
      <c r="O20" s="23">
        <f t="shared" si="33"/>
        <v>1041.5466666666666</v>
      </c>
      <c r="P20" s="15" t="s">
        <v>136</v>
      </c>
      <c r="Q20" s="50" t="s">
        <v>52</v>
      </c>
      <c r="R20" s="48" t="s">
        <v>53</v>
      </c>
      <c r="S20" s="49">
        <f>IFERROR(IF(WL_No="  ","  ",V_Disp*1.025*1.006),"-")</f>
        <v>14865.902447832494</v>
      </c>
      <c r="W20" s="29">
        <f>IF(AO20="  ","  ",IF(AND(AO19="  ",AO21="  "),"?",IF(AO19="  ",1*(AO21-AO20),IF(AO21="  ",1*(AO20-AO19),1*(AO21-AO19)))))</f>
        <v>2</v>
      </c>
      <c r="X20" s="30" t="str">
        <f t="shared" si="4"/>
        <v>WW</v>
      </c>
      <c r="Y20" s="30" t="str">
        <f t="shared" si="5"/>
        <v>-</v>
      </c>
      <c r="Z20" s="29" t="b">
        <f t="shared" si="6"/>
        <v>0</v>
      </c>
      <c r="AA20" s="29" t="b">
        <f t="shared" si="7"/>
        <v>0</v>
      </c>
      <c r="AB20" s="29" t="str">
        <f t="shared" ca="1" si="8"/>
        <v>++</v>
      </c>
      <c r="AC20" s="29">
        <f t="shared" si="34"/>
        <v>9</v>
      </c>
      <c r="AD20" s="29">
        <f t="shared" ca="1" si="9"/>
        <v>9</v>
      </c>
      <c r="AE20" s="29">
        <v>17</v>
      </c>
      <c r="AF20" s="31">
        <f t="shared" si="42"/>
        <v>13</v>
      </c>
      <c r="AG20" s="29" t="b">
        <f t="shared" si="11"/>
        <v>1</v>
      </c>
      <c r="AH20" s="30" t="str">
        <f t="shared" ca="1" si="43"/>
        <v>141-2</v>
      </c>
      <c r="AI20" s="30" t="str">
        <f t="shared" ca="1" si="13"/>
        <v/>
      </c>
      <c r="AJ20" s="29">
        <f t="shared" ca="1" si="14"/>
        <v>0</v>
      </c>
      <c r="AK20" s="29" t="str">
        <f t="shared" ca="1" si="15"/>
        <v>2/3</v>
      </c>
      <c r="AL20" s="29">
        <f t="shared" ca="1" si="16"/>
        <v>0.66666666666666663</v>
      </c>
      <c r="AM20" s="32">
        <f t="shared" ca="1" si="35"/>
        <v>0.66666666666666663</v>
      </c>
      <c r="AO20" s="20">
        <f>Tools!$AD19</f>
        <v>14</v>
      </c>
      <c r="AP20" s="33">
        <f t="shared" si="36"/>
        <v>11</v>
      </c>
      <c r="AQ20" s="34" t="str">
        <f t="shared" ca="1" si="18"/>
        <v>2/3</v>
      </c>
      <c r="AR20" s="23">
        <f t="shared" ca="1" si="19"/>
        <v>7.333333333333333</v>
      </c>
      <c r="AS20" s="24">
        <f t="shared" si="20"/>
        <v>4</v>
      </c>
      <c r="AT20" s="23">
        <f t="shared" ca="1" si="37"/>
        <v>29.333333333333332</v>
      </c>
      <c r="AU20" s="23">
        <f t="shared" ca="1" si="40"/>
        <v>117.33333333333333</v>
      </c>
      <c r="AV20" s="23">
        <f t="shared" si="21"/>
        <v>1331</v>
      </c>
      <c r="AW20" s="23">
        <f t="shared" ca="1" si="22"/>
        <v>887.33333333333326</v>
      </c>
      <c r="AX20" s="15" t="s">
        <v>136</v>
      </c>
      <c r="AY20" s="35">
        <f t="shared" si="23"/>
        <v>130.19333333333333</v>
      </c>
      <c r="AZ20" s="23">
        <f t="shared" ca="1" si="41"/>
        <v>86.795555555555552</v>
      </c>
      <c r="BA20" s="36">
        <f t="shared" si="25"/>
        <v>395.06</v>
      </c>
      <c r="BB20" s="27">
        <f t="shared" ca="1" si="38"/>
        <v>263.37333333333333</v>
      </c>
      <c r="BC20" s="23">
        <f t="shared" ca="1" si="39"/>
        <v>347.18222222222221</v>
      </c>
      <c r="BD20" s="15" t="s">
        <v>136</v>
      </c>
      <c r="BE20" s="50" t="s">
        <v>52</v>
      </c>
      <c r="BF20" s="48" t="s">
        <v>53</v>
      </c>
      <c r="BG20" s="49">
        <f>IF(WL_No="  ","  ",V_Disp*1.025*1.006)</f>
        <v>14865.902447832494</v>
      </c>
    </row>
    <row r="21" spans="1:59" x14ac:dyDescent="0.25">
      <c r="A21" s="20">
        <f>Tools!$AD20</f>
        <v>15</v>
      </c>
      <c r="B21" s="33">
        <f t="shared" si="0"/>
        <v>11</v>
      </c>
      <c r="C21" s="22">
        <f>IF(A21="  ","  ",IF(AND(A20="  ",A22="  "),"?",IF(A20="  ",2*(A22-A21),IF(A22="  ",2*(A21-A20),2*(A22-A20)))))</f>
        <v>4</v>
      </c>
      <c r="D21" s="23">
        <f t="shared" si="26"/>
        <v>44</v>
      </c>
      <c r="E21" s="24">
        <f t="shared" si="1"/>
        <v>5</v>
      </c>
      <c r="F21" s="23">
        <f t="shared" si="27"/>
        <v>220</v>
      </c>
      <c r="G21" s="23">
        <f t="shared" si="28"/>
        <v>1100</v>
      </c>
      <c r="H21" s="23">
        <f t="shared" si="29"/>
        <v>1331</v>
      </c>
      <c r="I21" s="23">
        <f t="shared" si="30"/>
        <v>5324</v>
      </c>
      <c r="J21" s="15" t="s">
        <v>136</v>
      </c>
      <c r="K21" s="37">
        <f t="shared" si="2"/>
        <v>127.94666666666666</v>
      </c>
      <c r="L21" s="23">
        <f t="shared" si="31"/>
        <v>511.78666666666663</v>
      </c>
      <c r="M21" s="38">
        <f t="shared" si="3"/>
        <v>392.63999999999993</v>
      </c>
      <c r="N21" s="27">
        <f t="shared" si="32"/>
        <v>1570.5599999999997</v>
      </c>
      <c r="O21" s="23">
        <f t="shared" si="33"/>
        <v>2558.9333333333334</v>
      </c>
      <c r="P21" s="15" t="s">
        <v>136</v>
      </c>
      <c r="Q21" s="50" t="s">
        <v>55</v>
      </c>
      <c r="R21" s="48" t="s">
        <v>56</v>
      </c>
      <c r="S21" s="49">
        <f>IFERROR(IF(WL_No="  ","  ",h/3*$N$29),"-")</f>
        <v>45009.773655555568</v>
      </c>
      <c r="W21" s="29">
        <f>IF(AO21="  ","  ",IF(AND(AO20="  ",AO22="  "),"?",IF(AO20="  ",2*(AO22-AO21),IF(AO22="  ",2*(AO21-AO20),2*(AO22-AO20)))))</f>
        <v>4</v>
      </c>
      <c r="X21" s="30" t="str">
        <f t="shared" si="4"/>
        <v>WW</v>
      </c>
      <c r="Y21" s="30" t="str">
        <f t="shared" si="5"/>
        <v>-</v>
      </c>
      <c r="Z21" s="29" t="b">
        <f t="shared" si="6"/>
        <v>0</v>
      </c>
      <c r="AA21" s="29" t="b">
        <f t="shared" si="7"/>
        <v>0</v>
      </c>
      <c r="AB21" s="29" t="str">
        <f t="shared" ca="1" si="8"/>
        <v>++</v>
      </c>
      <c r="AC21" s="29">
        <f t="shared" si="34"/>
        <v>8</v>
      </c>
      <c r="AD21" s="29">
        <f t="shared" ca="1" si="9"/>
        <v>8</v>
      </c>
      <c r="AE21" s="29">
        <v>18</v>
      </c>
      <c r="AF21" s="31">
        <f t="shared" si="42"/>
        <v>14</v>
      </c>
      <c r="AG21" s="29" t="b">
        <f t="shared" si="11"/>
        <v>1</v>
      </c>
      <c r="AH21" s="30" t="str">
        <f t="shared" ca="1" si="43"/>
        <v>141-4</v>
      </c>
      <c r="AI21" s="30" t="str">
        <f t="shared" ca="1" si="13"/>
        <v/>
      </c>
      <c r="AJ21" s="29">
        <f t="shared" ca="1" si="14"/>
        <v>0</v>
      </c>
      <c r="AK21" s="29" t="str">
        <f t="shared" ca="1" si="15"/>
        <v>4/3</v>
      </c>
      <c r="AL21" s="29">
        <f t="shared" ca="1" si="16"/>
        <v>1.3333333333333333</v>
      </c>
      <c r="AM21" s="32">
        <f t="shared" ca="1" si="35"/>
        <v>1.3333333333333333</v>
      </c>
      <c r="AO21" s="20">
        <f>Tools!$AD20</f>
        <v>15</v>
      </c>
      <c r="AP21" s="33">
        <f t="shared" si="36"/>
        <v>11</v>
      </c>
      <c r="AQ21" s="34" t="str">
        <f t="shared" ca="1" si="18"/>
        <v>4/3</v>
      </c>
      <c r="AR21" s="23">
        <f t="shared" ca="1" si="19"/>
        <v>14.666666666666666</v>
      </c>
      <c r="AS21" s="24">
        <f t="shared" si="20"/>
        <v>5</v>
      </c>
      <c r="AT21" s="23">
        <f t="shared" ca="1" si="37"/>
        <v>73.333333333333329</v>
      </c>
      <c r="AU21" s="23">
        <f t="shared" ca="1" si="40"/>
        <v>366.66666666666663</v>
      </c>
      <c r="AV21" s="23">
        <f t="shared" si="21"/>
        <v>1331</v>
      </c>
      <c r="AW21" s="23">
        <f t="shared" ca="1" si="22"/>
        <v>1774.6666666666665</v>
      </c>
      <c r="AX21" s="15" t="s">
        <v>136</v>
      </c>
      <c r="AY21" s="35">
        <f t="shared" si="23"/>
        <v>127.94666666666666</v>
      </c>
      <c r="AZ21" s="23">
        <f t="shared" ca="1" si="41"/>
        <v>170.59555555555553</v>
      </c>
      <c r="BA21" s="36">
        <f t="shared" si="25"/>
        <v>392.63999999999993</v>
      </c>
      <c r="BB21" s="27">
        <f t="shared" ca="1" si="38"/>
        <v>523.51999999999987</v>
      </c>
      <c r="BC21" s="23">
        <f t="shared" ca="1" si="39"/>
        <v>852.97777777777765</v>
      </c>
      <c r="BD21" s="15" t="s">
        <v>136</v>
      </c>
      <c r="BE21" s="50" t="s">
        <v>55</v>
      </c>
      <c r="BF21" s="48" t="s">
        <v>59</v>
      </c>
      <c r="BG21" s="49">
        <f ca="1">IF(WL_No="  ","  ",h*$BB$29)</f>
        <v>45009.773655555538</v>
      </c>
    </row>
    <row r="22" spans="1:59" x14ac:dyDescent="0.25">
      <c r="A22" s="20">
        <f>Tools!$AD21</f>
        <v>16</v>
      </c>
      <c r="B22" s="33">
        <f t="shared" si="0"/>
        <v>10.7</v>
      </c>
      <c r="C22" s="22">
        <f>IF(A22="  ","  ",IF(AND(A21="  ",A23="  "),"?",IF(A21="  ",1*(A23-A22),IF(A23="  ",1*(A22-A21),1*(A23-A21)))))</f>
        <v>2</v>
      </c>
      <c r="D22" s="23">
        <f t="shared" si="26"/>
        <v>21.4</v>
      </c>
      <c r="E22" s="24">
        <f t="shared" si="1"/>
        <v>6</v>
      </c>
      <c r="F22" s="23">
        <f t="shared" si="27"/>
        <v>128.39999999999998</v>
      </c>
      <c r="G22" s="23">
        <f t="shared" si="28"/>
        <v>770.39999999999986</v>
      </c>
      <c r="H22" s="23">
        <f t="shared" si="29"/>
        <v>1225.0429999999997</v>
      </c>
      <c r="I22" s="23">
        <f t="shared" si="30"/>
        <v>2450.0859999999993</v>
      </c>
      <c r="J22" s="15" t="s">
        <v>136</v>
      </c>
      <c r="K22" s="37">
        <f t="shared" si="2"/>
        <v>119.89666666666665</v>
      </c>
      <c r="L22" s="23">
        <f t="shared" si="31"/>
        <v>239.79333333333329</v>
      </c>
      <c r="M22" s="38">
        <f t="shared" si="3"/>
        <v>373.89333333333332</v>
      </c>
      <c r="N22" s="27">
        <f t="shared" si="32"/>
        <v>747.78666666666663</v>
      </c>
      <c r="O22" s="23">
        <f t="shared" si="33"/>
        <v>1438.7599999999998</v>
      </c>
      <c r="P22" s="15" t="s">
        <v>136</v>
      </c>
      <c r="Q22" s="50" t="s">
        <v>57</v>
      </c>
      <c r="R22" s="48" t="s">
        <v>58</v>
      </c>
      <c r="S22" s="49">
        <f>IFERROR(IF(WL_No="  ","  ",(h^2)/3*$O$29),"-")</f>
        <v>61837.20489511107</v>
      </c>
      <c r="W22" s="29">
        <f>IF(AO22="  ","  ",IF(AND(AO21="  ",AO23="  "),"?",IF(AO21="  ",1*(AO23-AO22),IF(AO23="  ",1*(AO22-AO21),1*(AO23-AO21)))))</f>
        <v>2</v>
      </c>
      <c r="X22" s="30" t="str">
        <f t="shared" si="4"/>
        <v>WW</v>
      </c>
      <c r="Y22" s="30" t="str">
        <f t="shared" si="5"/>
        <v>-</v>
      </c>
      <c r="Z22" s="29" t="b">
        <f t="shared" si="6"/>
        <v>0</v>
      </c>
      <c r="AA22" s="29" t="b">
        <f t="shared" si="7"/>
        <v>0</v>
      </c>
      <c r="AB22" s="29" t="str">
        <f t="shared" ca="1" si="8"/>
        <v>++</v>
      </c>
      <c r="AC22" s="29">
        <f t="shared" si="34"/>
        <v>7</v>
      </c>
      <c r="AD22" s="29">
        <f t="shared" ca="1" si="9"/>
        <v>7</v>
      </c>
      <c r="AE22" s="29">
        <v>19</v>
      </c>
      <c r="AF22" s="31">
        <f t="shared" si="42"/>
        <v>15</v>
      </c>
      <c r="AG22" s="29" t="b">
        <f t="shared" si="11"/>
        <v>1</v>
      </c>
      <c r="AH22" s="30" t="str">
        <f t="shared" ca="1" si="43"/>
        <v>141-2</v>
      </c>
      <c r="AI22" s="30" t="str">
        <f t="shared" ca="1" si="13"/>
        <v/>
      </c>
      <c r="AJ22" s="29">
        <f t="shared" ca="1" si="14"/>
        <v>0</v>
      </c>
      <c r="AK22" s="29" t="str">
        <f t="shared" ca="1" si="15"/>
        <v>2/3</v>
      </c>
      <c r="AL22" s="29">
        <f t="shared" ca="1" si="16"/>
        <v>0.66666666666666663</v>
      </c>
      <c r="AM22" s="32">
        <f t="shared" ca="1" si="35"/>
        <v>0.66666666666666663</v>
      </c>
      <c r="AO22" s="20">
        <f>Tools!$AD21</f>
        <v>16</v>
      </c>
      <c r="AP22" s="33">
        <f t="shared" si="36"/>
        <v>10.7</v>
      </c>
      <c r="AQ22" s="34" t="str">
        <f t="shared" ca="1" si="18"/>
        <v>2/3</v>
      </c>
      <c r="AR22" s="23">
        <f t="shared" ca="1" si="19"/>
        <v>7.1333333333333329</v>
      </c>
      <c r="AS22" s="24">
        <f t="shared" si="20"/>
        <v>6</v>
      </c>
      <c r="AT22" s="23">
        <f t="shared" ca="1" si="37"/>
        <v>42.8</v>
      </c>
      <c r="AU22" s="23">
        <f t="shared" ca="1" si="40"/>
        <v>256.79999999999995</v>
      </c>
      <c r="AV22" s="23">
        <f t="shared" si="21"/>
        <v>1225.0429999999997</v>
      </c>
      <c r="AW22" s="23">
        <f t="shared" ca="1" si="22"/>
        <v>816.69533333333311</v>
      </c>
      <c r="AX22" s="15" t="s">
        <v>136</v>
      </c>
      <c r="AY22" s="35">
        <f t="shared" si="23"/>
        <v>119.89666666666665</v>
      </c>
      <c r="AZ22" s="23">
        <f t="shared" ca="1" si="41"/>
        <v>79.931111111111093</v>
      </c>
      <c r="BA22" s="36">
        <f t="shared" si="25"/>
        <v>373.89333333333332</v>
      </c>
      <c r="BB22" s="27">
        <f t="shared" ca="1" si="38"/>
        <v>249.26222222222219</v>
      </c>
      <c r="BC22" s="23">
        <f t="shared" ca="1" si="39"/>
        <v>479.58666666666659</v>
      </c>
      <c r="BD22" s="15" t="s">
        <v>136</v>
      </c>
      <c r="BE22" s="50" t="s">
        <v>57</v>
      </c>
      <c r="BF22" s="48" t="s">
        <v>62</v>
      </c>
      <c r="BG22" s="49">
        <f ca="1">IF(WL_No="  ","  ",(h^2)*$BC$29)</f>
        <v>61837.204895111121</v>
      </c>
    </row>
    <row r="23" spans="1:59" x14ac:dyDescent="0.25">
      <c r="A23" s="20">
        <f>Tools!$AD22</f>
        <v>17</v>
      </c>
      <c r="B23" s="33">
        <f t="shared" si="0"/>
        <v>9.69</v>
      </c>
      <c r="C23" s="22">
        <f>IF(A23="  ","  ",IF(AND(A22="  ",A24="  "),"?",IF(A22="  ",2*(A24-A23),IF(A24="  ",2*(A23-A22),2*(A24-A22)))))</f>
        <v>4</v>
      </c>
      <c r="D23" s="23">
        <f t="shared" si="26"/>
        <v>38.76</v>
      </c>
      <c r="E23" s="24">
        <f t="shared" si="1"/>
        <v>7</v>
      </c>
      <c r="F23" s="23">
        <f t="shared" si="27"/>
        <v>271.32</v>
      </c>
      <c r="G23" s="23">
        <f t="shared" si="28"/>
        <v>1899.24</v>
      </c>
      <c r="H23" s="23">
        <f t="shared" si="29"/>
        <v>909.85320899999988</v>
      </c>
      <c r="I23" s="23">
        <f t="shared" si="30"/>
        <v>3639.4128359999995</v>
      </c>
      <c r="J23" s="15" t="s">
        <v>136</v>
      </c>
      <c r="K23" s="37">
        <f t="shared" si="2"/>
        <v>103.47333333333333</v>
      </c>
      <c r="L23" s="23">
        <f t="shared" si="31"/>
        <v>413.89333333333332</v>
      </c>
      <c r="M23" s="38">
        <f t="shared" si="3"/>
        <v>330.12666666666667</v>
      </c>
      <c r="N23" s="27">
        <f t="shared" si="32"/>
        <v>1320.5066666666667</v>
      </c>
      <c r="O23" s="23">
        <f t="shared" si="33"/>
        <v>2897.2533333333331</v>
      </c>
      <c r="P23" s="15" t="s">
        <v>136</v>
      </c>
      <c r="Q23" s="50" t="s">
        <v>60</v>
      </c>
      <c r="R23" s="48" t="s">
        <v>61</v>
      </c>
      <c r="S23" s="49">
        <f>IFERROR(IF(WL_No="  ","  ",IF/V_Disp),"-")</f>
        <v>224.84072132173338</v>
      </c>
      <c r="W23" s="29">
        <f>IF(AO23="  ","  ",IF(AND(AO22="  ",AO24="  "),"?",IF(AO22="  ",2*(AO24-AO23),IF(AO24="  ",2*(AO23-AO22),2*(AO24-AO22)))))</f>
        <v>4</v>
      </c>
      <c r="X23" s="30" t="str">
        <f t="shared" si="4"/>
        <v>WW</v>
      </c>
      <c r="Y23" s="30" t="str">
        <f t="shared" si="5"/>
        <v>-</v>
      </c>
      <c r="Z23" s="29" t="b">
        <f t="shared" si="6"/>
        <v>0</v>
      </c>
      <c r="AA23" s="29" t="b">
        <f t="shared" si="7"/>
        <v>0</v>
      </c>
      <c r="AB23" s="29" t="str">
        <f t="shared" ca="1" si="8"/>
        <v>++</v>
      </c>
      <c r="AC23" s="29">
        <f t="shared" si="34"/>
        <v>6</v>
      </c>
      <c r="AD23" s="29">
        <f t="shared" ca="1" si="9"/>
        <v>6</v>
      </c>
      <c r="AE23" s="29">
        <v>20</v>
      </c>
      <c r="AF23" s="31">
        <f t="shared" si="42"/>
        <v>16</v>
      </c>
      <c r="AG23" s="29" t="b">
        <f t="shared" si="11"/>
        <v>1</v>
      </c>
      <c r="AH23" s="30" t="str">
        <f t="shared" ca="1" si="43"/>
        <v>141-4</v>
      </c>
      <c r="AI23" s="30" t="str">
        <f t="shared" ca="1" si="13"/>
        <v/>
      </c>
      <c r="AJ23" s="29">
        <f t="shared" ca="1" si="14"/>
        <v>0</v>
      </c>
      <c r="AK23" s="29" t="str">
        <f t="shared" ca="1" si="15"/>
        <v>4/3</v>
      </c>
      <c r="AL23" s="29">
        <f t="shared" ca="1" si="16"/>
        <v>1.3333333333333333</v>
      </c>
      <c r="AM23" s="32">
        <f t="shared" ca="1" si="35"/>
        <v>1.3333333333333333</v>
      </c>
      <c r="AO23" s="20">
        <f>Tools!$AD22</f>
        <v>17</v>
      </c>
      <c r="AP23" s="33">
        <f t="shared" si="36"/>
        <v>9.69</v>
      </c>
      <c r="AQ23" s="34" t="str">
        <f t="shared" ca="1" si="18"/>
        <v>4/3</v>
      </c>
      <c r="AR23" s="23">
        <f t="shared" ca="1" si="19"/>
        <v>12.919999999999998</v>
      </c>
      <c r="AS23" s="24">
        <f t="shared" si="20"/>
        <v>7</v>
      </c>
      <c r="AT23" s="23">
        <f t="shared" ca="1" si="37"/>
        <v>90.439999999999984</v>
      </c>
      <c r="AU23" s="23">
        <f t="shared" ca="1" si="40"/>
        <v>633.07999999999993</v>
      </c>
      <c r="AV23" s="23">
        <f t="shared" si="21"/>
        <v>909.85320899999988</v>
      </c>
      <c r="AW23" s="23">
        <f t="shared" ca="1" si="22"/>
        <v>1213.1376119999998</v>
      </c>
      <c r="AX23" s="15" t="s">
        <v>136</v>
      </c>
      <c r="AY23" s="35">
        <f t="shared" si="23"/>
        <v>103.47333333333333</v>
      </c>
      <c r="AZ23" s="23">
        <f t="shared" ca="1" si="41"/>
        <v>137.96444444444444</v>
      </c>
      <c r="BA23" s="36">
        <f t="shared" si="25"/>
        <v>330.12666666666667</v>
      </c>
      <c r="BB23" s="27">
        <f t="shared" ca="1" si="38"/>
        <v>440.16888888888889</v>
      </c>
      <c r="BC23" s="23">
        <f t="shared" ca="1" si="39"/>
        <v>965.75111111111107</v>
      </c>
      <c r="BD23" s="15" t="s">
        <v>136</v>
      </c>
      <c r="BE23" s="50" t="s">
        <v>60</v>
      </c>
      <c r="BF23" s="48" t="s">
        <v>61</v>
      </c>
      <c r="BG23" s="49">
        <f>IF(WL_No="  ","  ",IF/V_Disp)</f>
        <v>224.84072132173338</v>
      </c>
    </row>
    <row r="24" spans="1:59" x14ac:dyDescent="0.25">
      <c r="A24" s="20">
        <f>Tools!$AD23</f>
        <v>18</v>
      </c>
      <c r="B24" s="33">
        <f t="shared" si="0"/>
        <v>7.57</v>
      </c>
      <c r="C24" s="22">
        <f>IF(A24="  ","  ",IF(AND(A23="  ",A25="  "),"?",IF(A23="  ",1*(A25-A24),IF(A25="  ",1*(A24-A23),1*(A25-A23)))))</f>
        <v>1.5</v>
      </c>
      <c r="D24" s="23">
        <f t="shared" si="26"/>
        <v>11.355</v>
      </c>
      <c r="E24" s="24">
        <f t="shared" si="1"/>
        <v>8</v>
      </c>
      <c r="F24" s="23">
        <f t="shared" si="27"/>
        <v>90.84</v>
      </c>
      <c r="G24" s="23">
        <f t="shared" si="28"/>
        <v>726.72</v>
      </c>
      <c r="H24" s="23">
        <f t="shared" si="29"/>
        <v>433.79809300000005</v>
      </c>
      <c r="I24" s="23">
        <f t="shared" si="30"/>
        <v>650.69713950000005</v>
      </c>
      <c r="J24" s="15" t="s">
        <v>136</v>
      </c>
      <c r="K24" s="37">
        <f t="shared" si="2"/>
        <v>76.963333333333338</v>
      </c>
      <c r="L24" s="23">
        <f t="shared" si="31"/>
        <v>115.44500000000001</v>
      </c>
      <c r="M24" s="38">
        <f t="shared" si="3"/>
        <v>250.70666666666665</v>
      </c>
      <c r="N24" s="27">
        <f t="shared" si="32"/>
        <v>376.05999999999995</v>
      </c>
      <c r="O24" s="23">
        <f t="shared" si="33"/>
        <v>923.56000000000006</v>
      </c>
      <c r="P24" s="15" t="s">
        <v>136</v>
      </c>
      <c r="Q24" s="50" t="s">
        <v>63</v>
      </c>
      <c r="R24" s="48" t="s">
        <v>64</v>
      </c>
      <c r="S24" s="49">
        <f>IFERROR(IF(WL_No="  ","  ",IT/V_Disp),"-")</f>
        <v>6.2445423839475804</v>
      </c>
      <c r="W24" s="29">
        <f>IF(AO24="  ","  ",IF(AND(AO23="  ",AO25="  "),"?",IF(AO23="  ",1*(AO25-AO24),IF(AO25="  ",1*(AO24-AO23),1*(AO25-AO23)))))</f>
        <v>1.5</v>
      </c>
      <c r="X24" s="30" t="str">
        <f t="shared" si="4"/>
        <v>WD</v>
      </c>
      <c r="Y24" s="30" t="str">
        <f t="shared" si="5"/>
        <v>-</v>
      </c>
      <c r="Z24" s="29" t="b">
        <f t="shared" si="6"/>
        <v>1</v>
      </c>
      <c r="AA24" s="29" t="b">
        <f t="shared" si="7"/>
        <v>1</v>
      </c>
      <c r="AB24" s="29" t="str">
        <f t="shared" ca="1" si="8"/>
        <v>141-1</v>
      </c>
      <c r="AC24" s="29">
        <f t="shared" si="34"/>
        <v>5</v>
      </c>
      <c r="AD24" s="29">
        <f t="shared" ca="1" si="9"/>
        <v>5</v>
      </c>
      <c r="AE24" s="29">
        <v>21</v>
      </c>
      <c r="AF24" s="31">
        <f t="shared" si="42"/>
        <v>17</v>
      </c>
      <c r="AG24" s="29" t="b">
        <f t="shared" si="11"/>
        <v>1</v>
      </c>
      <c r="AH24" s="30" t="str">
        <f t="shared" ca="1" si="43"/>
        <v>141-1</v>
      </c>
      <c r="AI24" s="30" t="str">
        <f t="shared" ca="1" si="13"/>
        <v>(1/2)*(1/3)</v>
      </c>
      <c r="AJ24" s="29">
        <f t="shared" ca="1" si="14"/>
        <v>0.16666666666666666</v>
      </c>
      <c r="AK24" s="29" t="str">
        <f t="shared" ca="1" si="15"/>
        <v>1/3</v>
      </c>
      <c r="AL24" s="29">
        <f t="shared" ca="1" si="16"/>
        <v>0.33333333333333331</v>
      </c>
      <c r="AM24" s="32">
        <f t="shared" ca="1" si="35"/>
        <v>0.5</v>
      </c>
      <c r="AO24" s="20">
        <f>Tools!$AD23</f>
        <v>18</v>
      </c>
      <c r="AP24" s="33">
        <f t="shared" si="36"/>
        <v>7.57</v>
      </c>
      <c r="AQ24" s="34" t="str">
        <f t="shared" ca="1" si="18"/>
        <v>(1/2)*(1/3)+1/3</v>
      </c>
      <c r="AR24" s="23">
        <f t="shared" ca="1" si="19"/>
        <v>3.7850000000000001</v>
      </c>
      <c r="AS24" s="24">
        <f t="shared" si="20"/>
        <v>8</v>
      </c>
      <c r="AT24" s="23">
        <f t="shared" ca="1" si="37"/>
        <v>30.28</v>
      </c>
      <c r="AU24" s="23">
        <f t="shared" ca="1" si="40"/>
        <v>242.24</v>
      </c>
      <c r="AV24" s="23">
        <f t="shared" si="21"/>
        <v>433.79809300000005</v>
      </c>
      <c r="AW24" s="23">
        <f t="shared" ca="1" si="22"/>
        <v>216.89904650000003</v>
      </c>
      <c r="AX24" s="15" t="s">
        <v>136</v>
      </c>
      <c r="AY24" s="35">
        <f t="shared" si="23"/>
        <v>76.963333333333338</v>
      </c>
      <c r="AZ24" s="23">
        <f t="shared" ca="1" si="41"/>
        <v>38.481666666666669</v>
      </c>
      <c r="BA24" s="36">
        <f t="shared" si="25"/>
        <v>250.70666666666665</v>
      </c>
      <c r="BB24" s="27">
        <f t="shared" ca="1" si="38"/>
        <v>125.35333333333332</v>
      </c>
      <c r="BC24" s="23">
        <f t="shared" ca="1" si="39"/>
        <v>307.85333333333335</v>
      </c>
      <c r="BD24" s="15" t="s">
        <v>136</v>
      </c>
      <c r="BE24" s="50" t="s">
        <v>63</v>
      </c>
      <c r="BF24" s="48" t="s">
        <v>64</v>
      </c>
      <c r="BG24" s="49">
        <f>IF(WL_No="  ","  ",IT/V_Disp)</f>
        <v>6.2445423839475804</v>
      </c>
    </row>
    <row r="25" spans="1:59" x14ac:dyDescent="0.25">
      <c r="A25" s="20">
        <f>Tools!$AD24</f>
        <v>18.5</v>
      </c>
      <c r="B25" s="33">
        <f t="shared" si="0"/>
        <v>6.05</v>
      </c>
      <c r="C25" s="22">
        <f>IF(A25="  ","  ",IF(AND(A24="  ",A26="  "),"?",IF(A24="  ",2*(A26-A25),IF(A26="  ",2*(A25-A24),2*(A26-A24)))))</f>
        <v>2</v>
      </c>
      <c r="D25" s="23">
        <f t="shared" si="26"/>
        <v>12.1</v>
      </c>
      <c r="E25" s="24">
        <f t="shared" si="1"/>
        <v>8.5</v>
      </c>
      <c r="F25" s="23">
        <f t="shared" si="27"/>
        <v>102.85</v>
      </c>
      <c r="G25" s="23">
        <f t="shared" si="28"/>
        <v>874.22499999999991</v>
      </c>
      <c r="H25" s="23">
        <f t="shared" si="29"/>
        <v>221.44512499999999</v>
      </c>
      <c r="I25" s="23">
        <f t="shared" si="30"/>
        <v>442.89024999999998</v>
      </c>
      <c r="J25" s="15" t="s">
        <v>136</v>
      </c>
      <c r="K25" s="37">
        <f t="shared" si="2"/>
        <v>60.476666666666659</v>
      </c>
      <c r="L25" s="23">
        <f t="shared" si="31"/>
        <v>120.95333333333332</v>
      </c>
      <c r="M25" s="38">
        <f t="shared" si="3"/>
        <v>199.0733333333333</v>
      </c>
      <c r="N25" s="27">
        <f t="shared" si="32"/>
        <v>398.14666666666659</v>
      </c>
      <c r="O25" s="23">
        <f t="shared" si="33"/>
        <v>1028.1033333333332</v>
      </c>
      <c r="P25" s="15" t="s">
        <v>136</v>
      </c>
      <c r="Q25" s="50" t="s">
        <v>65</v>
      </c>
      <c r="R25" s="48" t="s">
        <v>66</v>
      </c>
      <c r="S25" s="49">
        <f>IFERROR(IF(WL_No="  ","  ",MT/V_Disp),"-")</f>
        <v>3.122032333240095</v>
      </c>
      <c r="W25" s="29">
        <f>IF(AO25="  ","  ",IF(AND(AO24="  ",AO26="  "),"?",IF(AO24="  ",2*(AO26-AO25),IF(AO26="  ",2*(AO25-AO24),2*(AO26-AO24)))))</f>
        <v>2</v>
      </c>
      <c r="X25" s="30" t="str">
        <f t="shared" si="4"/>
        <v>DD</v>
      </c>
      <c r="Y25" s="30" t="str">
        <f t="shared" si="5"/>
        <v>-</v>
      </c>
      <c r="Z25" s="29" t="b">
        <f t="shared" si="6"/>
        <v>1</v>
      </c>
      <c r="AA25" s="29" t="b">
        <f t="shared" si="7"/>
        <v>1</v>
      </c>
      <c r="AB25" s="29" t="str">
        <f t="shared" ca="1" si="8"/>
        <v>141-4</v>
      </c>
      <c r="AC25" s="29">
        <f t="shared" si="34"/>
        <v>4</v>
      </c>
      <c r="AD25" s="29">
        <f t="shared" ca="1" si="9"/>
        <v>4</v>
      </c>
      <c r="AE25" s="29">
        <v>22</v>
      </c>
      <c r="AF25" s="31">
        <f t="shared" si="42"/>
        <v>18</v>
      </c>
      <c r="AG25" s="29" t="b">
        <f t="shared" si="11"/>
        <v>0</v>
      </c>
      <c r="AH25" s="30" t="str">
        <f t="shared" si="43"/>
        <v>-</v>
      </c>
      <c r="AI25" s="30" t="str">
        <f t="shared" ca="1" si="13"/>
        <v>(1/2)*(4/3)</v>
      </c>
      <c r="AJ25" s="29">
        <f t="shared" ca="1" si="14"/>
        <v>0.66666666666666663</v>
      </c>
      <c r="AK25" s="29" t="str">
        <f t="shared" si="15"/>
        <v/>
      </c>
      <c r="AL25" s="29">
        <f t="shared" si="16"/>
        <v>0</v>
      </c>
      <c r="AM25" s="32">
        <f t="shared" ca="1" si="35"/>
        <v>0.66666666666666663</v>
      </c>
      <c r="AO25" s="20">
        <f>Tools!$AD24</f>
        <v>18.5</v>
      </c>
      <c r="AP25" s="33">
        <f t="shared" si="36"/>
        <v>6.05</v>
      </c>
      <c r="AQ25" s="34" t="str">
        <f t="shared" ca="1" si="18"/>
        <v>(1/2)*(4/3)</v>
      </c>
      <c r="AR25" s="23">
        <f t="shared" ca="1" si="19"/>
        <v>4.0333333333333332</v>
      </c>
      <c r="AS25" s="24">
        <f t="shared" si="20"/>
        <v>8.5</v>
      </c>
      <c r="AT25" s="23">
        <f t="shared" ca="1" si="37"/>
        <v>34.283333333333331</v>
      </c>
      <c r="AU25" s="23">
        <f t="shared" ca="1" si="40"/>
        <v>291.4083333333333</v>
      </c>
      <c r="AV25" s="23">
        <f t="shared" si="21"/>
        <v>221.44512499999999</v>
      </c>
      <c r="AW25" s="23">
        <f t="shared" ca="1" si="22"/>
        <v>147.63008333333332</v>
      </c>
      <c r="AX25" s="15" t="s">
        <v>136</v>
      </c>
      <c r="AY25" s="35">
        <f t="shared" si="23"/>
        <v>60.476666666666659</v>
      </c>
      <c r="AZ25" s="23">
        <f t="shared" ca="1" si="41"/>
        <v>40.317777777777771</v>
      </c>
      <c r="BA25" s="36">
        <f t="shared" si="25"/>
        <v>199.0733333333333</v>
      </c>
      <c r="BB25" s="27">
        <f t="shared" ca="1" si="38"/>
        <v>132.71555555555551</v>
      </c>
      <c r="BC25" s="23">
        <f t="shared" ca="1" si="39"/>
        <v>342.70111111111106</v>
      </c>
      <c r="BD25" s="15" t="s">
        <v>136</v>
      </c>
      <c r="BE25" s="50" t="s">
        <v>65</v>
      </c>
      <c r="BF25" s="48" t="s">
        <v>66</v>
      </c>
      <c r="BG25" s="49">
        <f>IF(WL_No="  ","  ",MT/V_Disp)</f>
        <v>3.122032333240095</v>
      </c>
    </row>
    <row r="26" spans="1:59" x14ac:dyDescent="0.25">
      <c r="A26" s="20">
        <f>Tools!$AD25</f>
        <v>19</v>
      </c>
      <c r="B26" s="33">
        <f t="shared" si="0"/>
        <v>4.2300000000000004</v>
      </c>
      <c r="C26" s="22">
        <f>IF(A26="  ","  ",IF(AND(A25="  ",A27="  "),"?",IF(A25="  ",1*(A27-A26),IF(A27="  ",1*(A26-A25),1*(A27-A25)))))</f>
        <v>1</v>
      </c>
      <c r="D26" s="23">
        <f t="shared" si="26"/>
        <v>4.2300000000000004</v>
      </c>
      <c r="E26" s="24">
        <f t="shared" si="1"/>
        <v>9</v>
      </c>
      <c r="F26" s="23">
        <f t="shared" si="27"/>
        <v>38.070000000000007</v>
      </c>
      <c r="G26" s="23">
        <f t="shared" si="28"/>
        <v>342.63000000000005</v>
      </c>
      <c r="H26" s="23">
        <f t="shared" si="29"/>
        <v>75.686967000000024</v>
      </c>
      <c r="I26" s="23">
        <f t="shared" si="30"/>
        <v>75.686967000000024</v>
      </c>
      <c r="J26" s="15" t="s">
        <v>136</v>
      </c>
      <c r="K26" s="37">
        <f t="shared" si="2"/>
        <v>43.17</v>
      </c>
      <c r="L26" s="23">
        <f t="shared" si="31"/>
        <v>43.17</v>
      </c>
      <c r="M26" s="38">
        <f t="shared" si="3"/>
        <v>143.21333333333334</v>
      </c>
      <c r="N26" s="27">
        <f t="shared" si="32"/>
        <v>143.21333333333334</v>
      </c>
      <c r="O26" s="23">
        <f t="shared" si="33"/>
        <v>388.53000000000003</v>
      </c>
      <c r="P26" s="15" t="s">
        <v>136</v>
      </c>
      <c r="Q26" s="50" t="s">
        <v>67</v>
      </c>
      <c r="R26" s="48" t="s">
        <v>68</v>
      </c>
      <c r="S26" s="49">
        <f>IFERROR(IF(WL_No="  ","  ",KB+BMT),"-")</f>
        <v>9.3665747171876745</v>
      </c>
      <c r="W26" s="29">
        <f>IF(AO26="  ","  ",IF(AND(AO25="  ",AO27="  "),"?",IF(AO25="  ",1*(AO27-AO26),IF(AO27="  ",1*(AO26-AO25),1*(AO27-AO25)))))</f>
        <v>1</v>
      </c>
      <c r="X26" s="30" t="str">
        <f t="shared" si="4"/>
        <v>DD</v>
      </c>
      <c r="Y26" s="30" t="str">
        <f t="shared" si="5"/>
        <v>-</v>
      </c>
      <c r="Z26" s="29" t="b">
        <f t="shared" si="6"/>
        <v>1</v>
      </c>
      <c r="AA26" s="29" t="b">
        <f t="shared" si="7"/>
        <v>1</v>
      </c>
      <c r="AB26" s="29" t="str">
        <f t="shared" ca="1" si="8"/>
        <v>141-2</v>
      </c>
      <c r="AC26" s="29">
        <f t="shared" si="34"/>
        <v>3</v>
      </c>
      <c r="AD26" s="29">
        <f t="shared" ca="1" si="9"/>
        <v>3</v>
      </c>
      <c r="AE26" s="29">
        <v>23</v>
      </c>
      <c r="AF26" s="31">
        <f t="shared" si="42"/>
        <v>19</v>
      </c>
      <c r="AG26" s="29" t="b">
        <f t="shared" si="11"/>
        <v>0</v>
      </c>
      <c r="AH26" s="30" t="str">
        <f t="shared" si="43"/>
        <v>-</v>
      </c>
      <c r="AI26" s="30" t="str">
        <f t="shared" ca="1" si="13"/>
        <v>(1/2)*(2/3)</v>
      </c>
      <c r="AJ26" s="29">
        <f t="shared" ca="1" si="14"/>
        <v>0.33333333333333331</v>
      </c>
      <c r="AK26" s="29" t="str">
        <f t="shared" si="15"/>
        <v/>
      </c>
      <c r="AL26" s="29">
        <f t="shared" si="16"/>
        <v>0</v>
      </c>
      <c r="AM26" s="32">
        <f t="shared" ca="1" si="35"/>
        <v>0.33333333333333331</v>
      </c>
      <c r="AO26" s="20">
        <f>Tools!$AD25</f>
        <v>19</v>
      </c>
      <c r="AP26" s="33">
        <f t="shared" si="36"/>
        <v>4.2300000000000004</v>
      </c>
      <c r="AQ26" s="34" t="str">
        <f t="shared" ca="1" si="18"/>
        <v>(1/2)*(2/3)</v>
      </c>
      <c r="AR26" s="23">
        <f t="shared" ca="1" si="19"/>
        <v>1.4100000000000001</v>
      </c>
      <c r="AS26" s="24">
        <f t="shared" si="20"/>
        <v>9</v>
      </c>
      <c r="AT26" s="23">
        <f t="shared" ca="1" si="37"/>
        <v>12.690000000000001</v>
      </c>
      <c r="AU26" s="23">
        <f t="shared" ca="1" si="40"/>
        <v>114.21000000000001</v>
      </c>
      <c r="AV26" s="23">
        <f t="shared" si="21"/>
        <v>75.686967000000024</v>
      </c>
      <c r="AW26" s="23">
        <f t="shared" ca="1" si="22"/>
        <v>25.228989000000006</v>
      </c>
      <c r="AX26" s="15" t="s">
        <v>136</v>
      </c>
      <c r="AY26" s="35">
        <f t="shared" si="23"/>
        <v>43.17</v>
      </c>
      <c r="AZ26" s="23">
        <f t="shared" ca="1" si="41"/>
        <v>14.39</v>
      </c>
      <c r="BA26" s="36">
        <f t="shared" si="25"/>
        <v>143.21333333333334</v>
      </c>
      <c r="BB26" s="27">
        <f t="shared" ca="1" si="38"/>
        <v>47.737777777777779</v>
      </c>
      <c r="BC26" s="23">
        <f t="shared" ca="1" si="39"/>
        <v>129.51</v>
      </c>
      <c r="BD26" s="15" t="s">
        <v>136</v>
      </c>
      <c r="BE26" s="50" t="s">
        <v>67</v>
      </c>
      <c r="BF26" s="48" t="s">
        <v>68</v>
      </c>
      <c r="BG26" s="49">
        <f>IF(WL_No="  ","  ",KB+BMT)</f>
        <v>9.3665747171876745</v>
      </c>
    </row>
    <row r="27" spans="1:59" x14ac:dyDescent="0.25">
      <c r="A27" s="20">
        <f>Tools!$AD26</f>
        <v>19.5</v>
      </c>
      <c r="B27" s="33">
        <f t="shared" si="0"/>
        <v>2.38</v>
      </c>
      <c r="C27" s="22">
        <f>IF(A27="  ","  ",IF(AND(A26="  ",A28="  "),"?",IF(A26="  ",2*(A28-A27),IF(A28="  ",2*(A27-A26),2*(A28-A26)))))</f>
        <v>2</v>
      </c>
      <c r="D27" s="23">
        <f t="shared" si="26"/>
        <v>4.76</v>
      </c>
      <c r="E27" s="24">
        <f t="shared" si="1"/>
        <v>9.5</v>
      </c>
      <c r="F27" s="23">
        <f t="shared" si="27"/>
        <v>45.22</v>
      </c>
      <c r="G27" s="23">
        <f t="shared" si="28"/>
        <v>429.59</v>
      </c>
      <c r="H27" s="23">
        <f t="shared" si="29"/>
        <v>13.481271999999999</v>
      </c>
      <c r="I27" s="23">
        <f t="shared" si="30"/>
        <v>26.962543999999998</v>
      </c>
      <c r="J27" s="15" t="s">
        <v>136</v>
      </c>
      <c r="K27" s="37">
        <f t="shared" si="2"/>
        <v>26.583333333333329</v>
      </c>
      <c r="L27" s="23">
        <f t="shared" si="31"/>
        <v>53.166666666666657</v>
      </c>
      <c r="M27" s="38">
        <f t="shared" si="3"/>
        <v>88.75333333333333</v>
      </c>
      <c r="N27" s="27">
        <f t="shared" si="32"/>
        <v>177.50666666666666</v>
      </c>
      <c r="O27" s="23">
        <f t="shared" si="33"/>
        <v>505.08333333333326</v>
      </c>
      <c r="P27" s="15" t="s">
        <v>136</v>
      </c>
      <c r="Q27" s="50" t="s">
        <v>69</v>
      </c>
      <c r="R27" s="48" t="s">
        <v>70</v>
      </c>
      <c r="S27" s="49">
        <f>IFERROR(IF(WL_No="  ","  ",KB+BML),"-")</f>
        <v>227.96275365497348</v>
      </c>
      <c r="W27" s="29">
        <f>IF(AO27="  ","  ",IF(AND(AO26="  ",AO28="  "),"?",IF(AO26="  ",2*(AO28-AO27),IF(AO28="  ",2*(AO27-AO26),2*(AO28-AO26)))))</f>
        <v>2</v>
      </c>
      <c r="X27" s="30" t="str">
        <f t="shared" si="4"/>
        <v>DD</v>
      </c>
      <c r="Y27" s="30" t="str">
        <f t="shared" si="5"/>
        <v>-</v>
      </c>
      <c r="Z27" s="29" t="b">
        <f t="shared" si="6"/>
        <v>1</v>
      </c>
      <c r="AA27" s="29" t="b">
        <f t="shared" si="7"/>
        <v>1</v>
      </c>
      <c r="AB27" s="29" t="str">
        <f t="shared" ca="1" si="8"/>
        <v>141-4</v>
      </c>
      <c r="AC27" s="29">
        <f t="shared" si="34"/>
        <v>2</v>
      </c>
      <c r="AD27" s="29">
        <f t="shared" ca="1" si="9"/>
        <v>2</v>
      </c>
      <c r="AE27" s="29">
        <v>24</v>
      </c>
      <c r="AF27" s="31">
        <f t="shared" si="42"/>
        <v>20</v>
      </c>
      <c r="AG27" s="29" t="b">
        <f t="shared" si="11"/>
        <v>0</v>
      </c>
      <c r="AH27" s="30" t="str">
        <f t="shared" si="43"/>
        <v>-</v>
      </c>
      <c r="AI27" s="30" t="str">
        <f t="shared" ca="1" si="13"/>
        <v>(1/2)*(4/3)</v>
      </c>
      <c r="AJ27" s="29">
        <f t="shared" ca="1" si="14"/>
        <v>0.66666666666666663</v>
      </c>
      <c r="AK27" s="29" t="str">
        <f t="shared" si="15"/>
        <v/>
      </c>
      <c r="AL27" s="29">
        <f t="shared" si="16"/>
        <v>0</v>
      </c>
      <c r="AM27" s="32">
        <f t="shared" ca="1" si="35"/>
        <v>0.66666666666666663</v>
      </c>
      <c r="AO27" s="20">
        <f>Tools!$AD26</f>
        <v>19.5</v>
      </c>
      <c r="AP27" s="33">
        <f t="shared" si="36"/>
        <v>2.38</v>
      </c>
      <c r="AQ27" s="34" t="str">
        <f t="shared" ca="1" si="18"/>
        <v>(1/2)*(4/3)</v>
      </c>
      <c r="AR27" s="23">
        <f t="shared" ca="1" si="19"/>
        <v>1.5866666666666664</v>
      </c>
      <c r="AS27" s="24">
        <f t="shared" si="20"/>
        <v>9.5</v>
      </c>
      <c r="AT27" s="23">
        <f t="shared" ca="1" si="37"/>
        <v>15.073333333333331</v>
      </c>
      <c r="AU27" s="23">
        <f t="shared" ca="1" si="40"/>
        <v>143.19666666666663</v>
      </c>
      <c r="AV27" s="23">
        <f t="shared" si="21"/>
        <v>13.481271999999999</v>
      </c>
      <c r="AW27" s="23">
        <f t="shared" ca="1" si="22"/>
        <v>8.9875146666666659</v>
      </c>
      <c r="AX27" s="15" t="s">
        <v>136</v>
      </c>
      <c r="AY27" s="35">
        <f t="shared" si="23"/>
        <v>26.583333333333329</v>
      </c>
      <c r="AZ27" s="23">
        <f t="shared" ca="1" si="41"/>
        <v>17.722222222222218</v>
      </c>
      <c r="BA27" s="36">
        <f t="shared" si="25"/>
        <v>88.75333333333333</v>
      </c>
      <c r="BB27" s="27">
        <f t="shared" ca="1" si="38"/>
        <v>59.168888888888887</v>
      </c>
      <c r="BC27" s="23">
        <f t="shared" ca="1" si="39"/>
        <v>168.36111111111106</v>
      </c>
      <c r="BD27" s="15" t="s">
        <v>136</v>
      </c>
      <c r="BE27" s="50" t="s">
        <v>69</v>
      </c>
      <c r="BF27" s="48" t="s">
        <v>70</v>
      </c>
      <c r="BG27" s="49">
        <f>IF(WL_No="  ","  ",KB+BML)</f>
        <v>227.96275365497348</v>
      </c>
    </row>
    <row r="28" spans="1:59" ht="15.75" thickBot="1" x14ac:dyDescent="0.3">
      <c r="A28" s="20">
        <f>Tools!$AD27</f>
        <v>20</v>
      </c>
      <c r="B28" s="52">
        <f t="shared" si="0"/>
        <v>0.5</v>
      </c>
      <c r="C28" s="22">
        <f>IF(A28="  ","  ",IF(A27="  ","?",1*(A28-A27)))</f>
        <v>0.5</v>
      </c>
      <c r="D28" s="53">
        <f t="shared" si="26"/>
        <v>0.25</v>
      </c>
      <c r="E28" s="24">
        <f t="shared" si="1"/>
        <v>10</v>
      </c>
      <c r="F28" s="53">
        <f t="shared" si="27"/>
        <v>2.5</v>
      </c>
      <c r="G28" s="53">
        <f t="shared" si="28"/>
        <v>25</v>
      </c>
      <c r="H28" s="23">
        <f t="shared" si="29"/>
        <v>0.125</v>
      </c>
      <c r="I28" s="53">
        <f t="shared" si="30"/>
        <v>6.25E-2</v>
      </c>
      <c r="J28" s="15" t="s">
        <v>136</v>
      </c>
      <c r="K28" s="35">
        <f t="shared" si="2"/>
        <v>12.996666666666666</v>
      </c>
      <c r="L28" s="53">
        <f t="shared" si="31"/>
        <v>6.4983333333333331</v>
      </c>
      <c r="M28" s="36">
        <f t="shared" si="3"/>
        <v>37.186666666666667</v>
      </c>
      <c r="N28" s="54">
        <f t="shared" si="32"/>
        <v>18.593333333333334</v>
      </c>
      <c r="O28" s="53">
        <f t="shared" si="33"/>
        <v>64.983333333333334</v>
      </c>
      <c r="P28" s="15" t="s">
        <v>136</v>
      </c>
      <c r="Q28" s="50" t="s">
        <v>71</v>
      </c>
      <c r="R28" s="48" t="s">
        <v>72</v>
      </c>
      <c r="S28" s="49">
        <f>IFERROR(IF(WL_No="  ","  ",AWP*1.025/100),"-")</f>
        <v>26.625487124999996</v>
      </c>
      <c r="W28" s="29">
        <f>IF(AO28="  ","  ",IF(AO27="  ","?",1*(AO28-AO27)))</f>
        <v>0.5</v>
      </c>
      <c r="X28" s="30" t="str">
        <f t="shared" si="4"/>
        <v>D-</v>
      </c>
      <c r="Y28" s="30" t="str">
        <f t="shared" si="5"/>
        <v>-</v>
      </c>
      <c r="Z28" s="29" t="b">
        <f t="shared" si="6"/>
        <v>1</v>
      </c>
      <c r="AA28" s="29" t="b">
        <f t="shared" si="7"/>
        <v>1</v>
      </c>
      <c r="AB28" s="29" t="str">
        <f t="shared" ca="1" si="8"/>
        <v>141-1</v>
      </c>
      <c r="AC28" s="29">
        <f>IF(ISNUMBER(AO28),IF(ISNUMBER(AO28),IF(OR(AO28=0,AO28=Long_Div),1,IF(AO28&gt;Long_Div/2,AF29+1,IF(AO28&lt;=Long_Div/2,AC27+1,"?")))," --")," ")</f>
        <v>1</v>
      </c>
      <c r="AD28" s="29">
        <f t="shared" ca="1" si="9"/>
        <v>1</v>
      </c>
      <c r="AE28" s="29">
        <v>25</v>
      </c>
      <c r="AF28" s="31">
        <f t="shared" si="42"/>
        <v>21</v>
      </c>
      <c r="AG28" s="29" t="b">
        <f t="shared" si="11"/>
        <v>0</v>
      </c>
      <c r="AH28" s="30" t="str">
        <f t="shared" si="43"/>
        <v>-</v>
      </c>
      <c r="AI28" s="30" t="str">
        <f t="shared" ca="1" si="13"/>
        <v>(1/2)*(1/3)</v>
      </c>
      <c r="AJ28" s="29">
        <f t="shared" ca="1" si="14"/>
        <v>0.16666666666666666</v>
      </c>
      <c r="AK28" s="29" t="str">
        <f t="shared" si="15"/>
        <v/>
      </c>
      <c r="AL28" s="29">
        <f t="shared" si="16"/>
        <v>0</v>
      </c>
      <c r="AM28" s="32">
        <f t="shared" ca="1" si="35"/>
        <v>0.16666666666666666</v>
      </c>
      <c r="AO28" s="20">
        <f>Tools!$AD27</f>
        <v>20</v>
      </c>
      <c r="AP28" s="33">
        <f t="shared" si="36"/>
        <v>0.5</v>
      </c>
      <c r="AQ28" s="34" t="str">
        <f t="shared" ca="1" si="18"/>
        <v>(1/2)*(1/3)</v>
      </c>
      <c r="AR28" s="23">
        <f t="shared" ca="1" si="19"/>
        <v>8.3333333333333329E-2</v>
      </c>
      <c r="AS28" s="24">
        <f t="shared" si="20"/>
        <v>10</v>
      </c>
      <c r="AT28" s="53">
        <f t="shared" ca="1" si="37"/>
        <v>0.83333333333333326</v>
      </c>
      <c r="AU28" s="53">
        <f t="shared" ca="1" si="40"/>
        <v>8.3333333333333321</v>
      </c>
      <c r="AV28" s="23">
        <f t="shared" si="21"/>
        <v>0.125</v>
      </c>
      <c r="AW28" s="23">
        <f t="shared" ca="1" si="22"/>
        <v>2.0833333333333332E-2</v>
      </c>
      <c r="AX28" s="15" t="s">
        <v>136</v>
      </c>
      <c r="AY28" s="35">
        <f t="shared" si="23"/>
        <v>12.996666666666666</v>
      </c>
      <c r="AZ28" s="23">
        <f t="shared" ca="1" si="41"/>
        <v>2.1661111111111109</v>
      </c>
      <c r="BA28" s="36">
        <f t="shared" si="25"/>
        <v>37.186666666666667</v>
      </c>
      <c r="BB28" s="27">
        <f t="shared" ca="1" si="38"/>
        <v>6.1977777777777776</v>
      </c>
      <c r="BC28" s="53">
        <f t="shared" ca="1" si="39"/>
        <v>21.661111111111108</v>
      </c>
      <c r="BD28" s="15" t="s">
        <v>136</v>
      </c>
      <c r="BE28" s="50" t="s">
        <v>71</v>
      </c>
      <c r="BF28" s="48" t="s">
        <v>72</v>
      </c>
      <c r="BG28" s="49">
        <f>IF(WL_No="  ","  ",AWP*1.025/100)</f>
        <v>26.625487124999996</v>
      </c>
    </row>
    <row r="29" spans="1:59" ht="15.75" thickBot="1" x14ac:dyDescent="0.3">
      <c r="A29" s="56" t="s">
        <v>77</v>
      </c>
      <c r="B29" s="15" t="s">
        <v>136</v>
      </c>
      <c r="C29" s="15" t="s">
        <v>136</v>
      </c>
      <c r="D29" s="57">
        <f>SUM(D4:D28)</f>
        <v>533.02499999999998</v>
      </c>
      <c r="E29" s="15" t="s">
        <v>136</v>
      </c>
      <c r="F29" s="58">
        <f>SUM(F4:F28)</f>
        <v>201.36999999999992</v>
      </c>
      <c r="G29" s="58">
        <f>SUM(G4:G28)</f>
        <v>12523.615</v>
      </c>
      <c r="H29" s="15" t="s">
        <v>136</v>
      </c>
      <c r="I29" s="58">
        <f>SUM(I4:I28)</f>
        <v>55419.829705500008</v>
      </c>
      <c r="J29" s="15" t="s">
        <v>136</v>
      </c>
      <c r="K29" s="15" t="s">
        <v>136</v>
      </c>
      <c r="L29" s="58">
        <f>SUM(L4:L28)</f>
        <v>5916.614999999998</v>
      </c>
      <c r="M29" s="15" t="s">
        <v>136</v>
      </c>
      <c r="N29" s="58">
        <f>SUM(N4:N28)</f>
        <v>18471.863333333338</v>
      </c>
      <c r="O29" s="58">
        <f>SUM(O4:O28)</f>
        <v>3471.6533333333314</v>
      </c>
      <c r="P29" s="15" t="s">
        <v>136</v>
      </c>
      <c r="Q29" s="50" t="s">
        <v>73</v>
      </c>
      <c r="R29" s="48" t="s">
        <v>74</v>
      </c>
      <c r="S29" s="49">
        <f>IFERROR(IF(WL_No="  ","  ",ML/V_Disp),"-")</f>
        <v>4.2892407004117485</v>
      </c>
      <c r="W29" s="56"/>
      <c r="X29" s="56"/>
      <c r="Y29" s="56"/>
      <c r="Z29" s="56"/>
      <c r="AA29" s="56"/>
      <c r="AB29" s="56"/>
      <c r="AC29" s="56"/>
      <c r="AD29" s="56"/>
      <c r="AE29" s="56"/>
      <c r="AF29" s="56"/>
      <c r="AG29" s="56"/>
      <c r="AH29" s="56"/>
      <c r="AI29" s="56"/>
      <c r="AJ29" s="56"/>
      <c r="AK29" s="56"/>
      <c r="AL29" s="56"/>
      <c r="AM29" s="56"/>
      <c r="AN29" s="56"/>
      <c r="AO29" s="56" t="s">
        <v>77</v>
      </c>
      <c r="AP29" s="15" t="s">
        <v>136</v>
      </c>
      <c r="AQ29" s="15" t="s">
        <v>136</v>
      </c>
      <c r="AR29" s="57">
        <f ca="1">SUM(AR4:AR28)</f>
        <v>177.67499999999998</v>
      </c>
      <c r="AS29" s="15" t="s">
        <v>136</v>
      </c>
      <c r="AT29" s="58">
        <f ca="1">SUM(AT4:AT28)</f>
        <v>67.123333333333321</v>
      </c>
      <c r="AU29" s="58">
        <f ca="1">SUM(AU4:AU28)</f>
        <v>4174.538333333332</v>
      </c>
      <c r="AV29" s="15" t="s">
        <v>136</v>
      </c>
      <c r="AW29" s="58">
        <f ca="1">SUM(AW4:AW28)</f>
        <v>18473.276568499998</v>
      </c>
      <c r="AX29" s="15" t="s">
        <v>136</v>
      </c>
      <c r="AY29" s="15" t="s">
        <v>136</v>
      </c>
      <c r="AZ29" s="58">
        <f ca="1">SUM(AZ4:AZ28)</f>
        <v>1972.2049999999997</v>
      </c>
      <c r="BA29" s="15" t="s">
        <v>136</v>
      </c>
      <c r="BB29" s="58">
        <f ca="1">SUM(BB4:BB28)</f>
        <v>6157.2877777777758</v>
      </c>
      <c r="BC29" s="58">
        <f ca="1">SUM(BC4:BC28)</f>
        <v>1157.2177777777781</v>
      </c>
      <c r="BD29" s="15" t="s">
        <v>136</v>
      </c>
      <c r="BE29" s="50" t="s">
        <v>73</v>
      </c>
      <c r="BF29" s="48" t="s">
        <v>74</v>
      </c>
      <c r="BG29" s="49">
        <f>IF(WL_No="  ","  ",ML/V_Disp)</f>
        <v>4.2892407004117485</v>
      </c>
    </row>
    <row r="30" spans="1:59" x14ac:dyDescent="0.25">
      <c r="A30" s="15" t="s">
        <v>136</v>
      </c>
      <c r="B30" s="15" t="s">
        <v>136</v>
      </c>
      <c r="C30" s="15" t="s">
        <v>136</v>
      </c>
      <c r="D30" s="15" t="s">
        <v>136</v>
      </c>
      <c r="E30" s="15" t="s">
        <v>136</v>
      </c>
      <c r="F30" s="15" t="s">
        <v>136</v>
      </c>
      <c r="G30" s="15" t="s">
        <v>136</v>
      </c>
      <c r="H30" s="15" t="s">
        <v>136</v>
      </c>
      <c r="I30" s="15" t="s">
        <v>136</v>
      </c>
      <c r="J30" s="15" t="s">
        <v>136</v>
      </c>
      <c r="K30" s="15" t="s">
        <v>136</v>
      </c>
      <c r="L30" s="15" t="s">
        <v>136</v>
      </c>
      <c r="M30" s="15" t="s">
        <v>136</v>
      </c>
      <c r="N30" s="15" t="s">
        <v>136</v>
      </c>
      <c r="O30" s="15" t="s">
        <v>136</v>
      </c>
      <c r="P30" s="15" t="s">
        <v>136</v>
      </c>
      <c r="Q30" s="50" t="s">
        <v>75</v>
      </c>
      <c r="R30" s="55" t="s">
        <v>76</v>
      </c>
      <c r="S30" s="49">
        <f>IFERROR(IF(WL_No="  ","  ",M_Disp*BML/100/LBP),"-")</f>
        <v>228.62245071608618</v>
      </c>
      <c r="AA30" s="60"/>
      <c r="AB30" s="60"/>
      <c r="AO30" s="15" t="s">
        <v>136</v>
      </c>
      <c r="AP30" s="15" t="s">
        <v>136</v>
      </c>
      <c r="AQ30" s="15" t="s">
        <v>136</v>
      </c>
      <c r="AR30" s="15" t="s">
        <v>136</v>
      </c>
      <c r="AS30" s="15" t="s">
        <v>136</v>
      </c>
      <c r="AT30" s="15" t="s">
        <v>136</v>
      </c>
      <c r="AU30" s="15" t="s">
        <v>136</v>
      </c>
      <c r="AV30" s="15" t="s">
        <v>136</v>
      </c>
      <c r="AW30" s="15" t="s">
        <v>136</v>
      </c>
      <c r="AX30" s="15" t="s">
        <v>136</v>
      </c>
      <c r="AY30" s="15" t="s">
        <v>136</v>
      </c>
      <c r="AZ30" s="15" t="s">
        <v>136</v>
      </c>
      <c r="BA30" s="15" t="s">
        <v>136</v>
      </c>
      <c r="BB30" s="15" t="s">
        <v>136</v>
      </c>
      <c r="BC30" s="15" t="s">
        <v>136</v>
      </c>
      <c r="BD30" s="15" t="s">
        <v>136</v>
      </c>
      <c r="BE30" s="50" t="s">
        <v>75</v>
      </c>
      <c r="BF30" s="55" t="s">
        <v>76</v>
      </c>
      <c r="BG30" s="49">
        <f ca="1">IF(WL_No="  ","  ",M_Disp*BML/100/LWL)</f>
        <v>228.62245071608618</v>
      </c>
    </row>
    <row r="31" spans="1:59" x14ac:dyDescent="0.25">
      <c r="A31" s="15" t="s">
        <v>136</v>
      </c>
      <c r="B31" s="15" t="s">
        <v>136</v>
      </c>
      <c r="C31" s="15" t="s">
        <v>136</v>
      </c>
      <c r="D31" s="15" t="s">
        <v>136</v>
      </c>
      <c r="E31" s="15" t="s">
        <v>136</v>
      </c>
      <c r="F31" s="15" t="s">
        <v>136</v>
      </c>
      <c r="G31" s="15" t="s">
        <v>136</v>
      </c>
      <c r="H31" s="15" t="s">
        <v>136</v>
      </c>
      <c r="I31" s="15" t="s">
        <v>136</v>
      </c>
      <c r="J31" s="15" t="s">
        <v>136</v>
      </c>
      <c r="K31" s="15" t="s">
        <v>136</v>
      </c>
      <c r="L31" s="15" t="s">
        <v>136</v>
      </c>
      <c r="M31" s="15" t="s">
        <v>136</v>
      </c>
      <c r="N31" s="15" t="s">
        <v>136</v>
      </c>
      <c r="O31" s="15" t="s">
        <v>136</v>
      </c>
      <c r="P31" s="15" t="s">
        <v>136</v>
      </c>
      <c r="Q31" s="50" t="s">
        <v>78</v>
      </c>
      <c r="R31" s="48" t="s">
        <v>79</v>
      </c>
      <c r="S31" s="49">
        <f>IFERROR(IF(WL_No="  ","  ",WLS*WL_No),"-")</f>
        <v>6</v>
      </c>
      <c r="AF31" s="61" t="s">
        <v>84</v>
      </c>
      <c r="AG31" s="62">
        <f ca="1">COUNTIF(OFFSET(AQ4,,,ROUNDUP(Max_STN_count/2,0),1),"")</f>
        <v>0</v>
      </c>
      <c r="AH31" s="63">
        <f ca="1">HLOOKUP(Stn_WL,AREA_TABLE,AG31+2,FALSE)</f>
        <v>0</v>
      </c>
      <c r="AI31" s="63">
        <f ca="1">IF(AH31&gt;Long_Div/2,Long_Div/2,AH31)</f>
        <v>0</v>
      </c>
      <c r="AJ31" s="63">
        <f ca="1">AI31*STN_GAP</f>
        <v>0</v>
      </c>
      <c r="AO31" s="15" t="s">
        <v>136</v>
      </c>
      <c r="AP31" s="15" t="s">
        <v>136</v>
      </c>
      <c r="AQ31" s="15" t="s">
        <v>136</v>
      </c>
      <c r="AR31" s="15" t="s">
        <v>136</v>
      </c>
      <c r="AS31" s="15" t="s">
        <v>136</v>
      </c>
      <c r="AT31" s="15" t="s">
        <v>136</v>
      </c>
      <c r="AU31" s="15" t="s">
        <v>136</v>
      </c>
      <c r="AV31" s="15" t="s">
        <v>136</v>
      </c>
      <c r="AW31" s="15" t="s">
        <v>136</v>
      </c>
      <c r="AX31" s="15" t="s">
        <v>136</v>
      </c>
      <c r="AY31" s="15" t="s">
        <v>136</v>
      </c>
      <c r="AZ31" s="15" t="s">
        <v>136</v>
      </c>
      <c r="BA31" s="15" t="s">
        <v>136</v>
      </c>
      <c r="BB31" s="15" t="s">
        <v>136</v>
      </c>
      <c r="BC31" s="15" t="s">
        <v>136</v>
      </c>
      <c r="BD31" s="15" t="s">
        <v>136</v>
      </c>
      <c r="BE31" s="50" t="s">
        <v>78</v>
      </c>
      <c r="BF31" s="48" t="s">
        <v>79</v>
      </c>
      <c r="BG31" s="49">
        <f>IF(WL_No="  ","  ",WLS*WL_No)</f>
        <v>6</v>
      </c>
    </row>
    <row r="32" spans="1:59" x14ac:dyDescent="0.25">
      <c r="A32" s="15" t="s">
        <v>136</v>
      </c>
      <c r="B32" s="15" t="s">
        <v>136</v>
      </c>
      <c r="C32" s="15" t="s">
        <v>136</v>
      </c>
      <c r="D32" s="15" t="s">
        <v>136</v>
      </c>
      <c r="E32" s="15" t="s">
        <v>136</v>
      </c>
      <c r="F32" s="15" t="s">
        <v>136</v>
      </c>
      <c r="G32" s="15" t="s">
        <v>136</v>
      </c>
      <c r="H32" s="15" t="s">
        <v>136</v>
      </c>
      <c r="I32" s="15" t="s">
        <v>136</v>
      </c>
      <c r="J32" s="15" t="s">
        <v>136</v>
      </c>
      <c r="K32" s="15" t="s">
        <v>136</v>
      </c>
      <c r="L32" s="15" t="s">
        <v>136</v>
      </c>
      <c r="M32" s="15" t="s">
        <v>136</v>
      </c>
      <c r="N32" s="15" t="s">
        <v>136</v>
      </c>
      <c r="O32" s="15" t="s">
        <v>136</v>
      </c>
      <c r="P32" s="15" t="s">
        <v>136</v>
      </c>
      <c r="Q32" s="50" t="s">
        <v>80</v>
      </c>
      <c r="R32" s="48" t="s">
        <v>81</v>
      </c>
      <c r="S32" s="49">
        <f>IFERROR(IF(WL_No="  ","  ",AWP/(LBP*B_current)),"-")</f>
        <v>0.80761363636363637</v>
      </c>
      <c r="AF32" s="61" t="s">
        <v>87</v>
      </c>
      <c r="AG32" s="62">
        <f ca="1">COUNTIF(OFFSET(AQ4,ROUNDUP(Max_STN_count/2,0),,ROUNDDOWN(Max_STN_count/2,0),1),"")</f>
        <v>0</v>
      </c>
      <c r="AH32" s="63">
        <f ca="1">HLOOKUP(Stn_WL,AREA_TABLE,AG32+2,FALSE)</f>
        <v>0</v>
      </c>
      <c r="AI32" s="63">
        <f ca="1">IF(AH32&gt;Long_Div/2,Long_Div/2,AH32)</f>
        <v>0</v>
      </c>
      <c r="AJ32" s="63">
        <f ca="1">AI32*STN_GAP</f>
        <v>0</v>
      </c>
      <c r="AO32" s="15" t="s">
        <v>136</v>
      </c>
      <c r="AP32" s="15" t="s">
        <v>136</v>
      </c>
      <c r="AQ32" s="15" t="s">
        <v>136</v>
      </c>
      <c r="AR32" s="15" t="s">
        <v>136</v>
      </c>
      <c r="AS32" s="15" t="s">
        <v>136</v>
      </c>
      <c r="AT32" s="15" t="s">
        <v>136</v>
      </c>
      <c r="AU32" s="15" t="s">
        <v>136</v>
      </c>
      <c r="AV32" s="15" t="s">
        <v>136</v>
      </c>
      <c r="AW32" s="15" t="s">
        <v>136</v>
      </c>
      <c r="AX32" s="15" t="s">
        <v>136</v>
      </c>
      <c r="AY32" s="15" t="s">
        <v>136</v>
      </c>
      <c r="AZ32" s="15" t="s">
        <v>136</v>
      </c>
      <c r="BA32" s="15" t="s">
        <v>136</v>
      </c>
      <c r="BB32" s="15" t="s">
        <v>136</v>
      </c>
      <c r="BC32" s="15" t="s">
        <v>136</v>
      </c>
      <c r="BD32" s="15" t="s">
        <v>136</v>
      </c>
      <c r="BE32" s="50" t="s">
        <v>80</v>
      </c>
      <c r="BF32" s="48" t="s">
        <v>81</v>
      </c>
      <c r="BG32" s="49">
        <f ca="1">IF(WL_No="  ","  ",AWP/(LWL*B_current))</f>
        <v>0.80761363636363637</v>
      </c>
    </row>
    <row r="33" spans="1:59" x14ac:dyDescent="0.25">
      <c r="A33" s="15" t="s">
        <v>136</v>
      </c>
      <c r="B33" s="15" t="s">
        <v>136</v>
      </c>
      <c r="C33" s="15" t="s">
        <v>136</v>
      </c>
      <c r="D33" s="15" t="s">
        <v>136</v>
      </c>
      <c r="E33" s="15" t="s">
        <v>136</v>
      </c>
      <c r="F33" s="15" t="s">
        <v>136</v>
      </c>
      <c r="G33" s="15" t="s">
        <v>136</v>
      </c>
      <c r="H33" s="15" t="s">
        <v>136</v>
      </c>
      <c r="I33" s="15" t="s">
        <v>136</v>
      </c>
      <c r="J33" s="15" t="s">
        <v>136</v>
      </c>
      <c r="K33" s="15" t="s">
        <v>136</v>
      </c>
      <c r="L33" s="15" t="s">
        <v>136</v>
      </c>
      <c r="M33" s="15" t="s">
        <v>136</v>
      </c>
      <c r="N33" s="15" t="s">
        <v>136</v>
      </c>
      <c r="O33" s="15" t="s">
        <v>136</v>
      </c>
      <c r="P33" s="15" t="s">
        <v>136</v>
      </c>
      <c r="Q33" s="50" t="s">
        <v>82</v>
      </c>
      <c r="R33" s="48" t="s">
        <v>83</v>
      </c>
      <c r="S33" s="49">
        <f>IFERROR(IF(WL_No="  ","  ",V_Disp/(LBP*B_current*T)),"-")</f>
        <v>0.74704734848484833</v>
      </c>
      <c r="AF33" s="63"/>
      <c r="AG33" s="63"/>
      <c r="AH33" s="63">
        <f ca="1">Long_Div-AH32</f>
        <v>20</v>
      </c>
      <c r="AI33" s="63"/>
      <c r="AJ33" s="63">
        <f ca="1">AJ32+AJ31</f>
        <v>0</v>
      </c>
      <c r="AO33" s="15" t="s">
        <v>136</v>
      </c>
      <c r="AP33" s="15" t="s">
        <v>136</v>
      </c>
      <c r="AQ33" s="15" t="s">
        <v>136</v>
      </c>
      <c r="AR33" s="15" t="s">
        <v>136</v>
      </c>
      <c r="AS33" s="15" t="s">
        <v>136</v>
      </c>
      <c r="AT33" s="15" t="s">
        <v>136</v>
      </c>
      <c r="AU33" s="15" t="s">
        <v>136</v>
      </c>
      <c r="AV33" s="15" t="s">
        <v>136</v>
      </c>
      <c r="AW33" s="15" t="s">
        <v>136</v>
      </c>
      <c r="AX33" s="15" t="s">
        <v>136</v>
      </c>
      <c r="AY33" s="15" t="s">
        <v>136</v>
      </c>
      <c r="AZ33" s="15" t="s">
        <v>136</v>
      </c>
      <c r="BA33" s="15" t="s">
        <v>136</v>
      </c>
      <c r="BB33" s="15" t="s">
        <v>136</v>
      </c>
      <c r="BC33" s="15" t="s">
        <v>136</v>
      </c>
      <c r="BD33" s="15" t="s">
        <v>136</v>
      </c>
      <c r="BE33" s="50" t="s">
        <v>82</v>
      </c>
      <c r="BF33" s="48" t="s">
        <v>83</v>
      </c>
      <c r="BG33" s="49">
        <f ca="1">IF(WL_No="  ","  ",V_Disp/(LWL*B_current*T))</f>
        <v>0.74704734848484833</v>
      </c>
    </row>
    <row r="34" spans="1:59" x14ac:dyDescent="0.25">
      <c r="A34" s="15" t="s">
        <v>136</v>
      </c>
      <c r="B34" s="15" t="s">
        <v>136</v>
      </c>
      <c r="C34" s="15" t="s">
        <v>136</v>
      </c>
      <c r="D34" s="15" t="s">
        <v>136</v>
      </c>
      <c r="E34" s="15" t="s">
        <v>136</v>
      </c>
      <c r="F34" s="15" t="s">
        <v>136</v>
      </c>
      <c r="G34" s="15" t="s">
        <v>136</v>
      </c>
      <c r="H34" s="15" t="s">
        <v>136</v>
      </c>
      <c r="I34" s="15" t="s">
        <v>136</v>
      </c>
      <c r="J34" s="15" t="s">
        <v>136</v>
      </c>
      <c r="K34" s="15" t="s">
        <v>136</v>
      </c>
      <c r="L34" s="15" t="s">
        <v>136</v>
      </c>
      <c r="M34" s="15" t="s">
        <v>136</v>
      </c>
      <c r="N34" s="15" t="s">
        <v>136</v>
      </c>
      <c r="O34" s="15" t="s">
        <v>136</v>
      </c>
      <c r="P34" s="15" t="s">
        <v>136</v>
      </c>
      <c r="Q34" s="50" t="s">
        <v>85</v>
      </c>
      <c r="R34" s="48" t="s">
        <v>86</v>
      </c>
      <c r="S34" s="65">
        <f>IFERROR(IF(WL_No="  ","  ",(VLOOKUP(Long_Div/2,AREA_TABLE,Count_WL+1,FALSE))/(B_current*T)),"-")</f>
        <v>0.98919191919191907</v>
      </c>
      <c r="AO34" s="15" t="s">
        <v>136</v>
      </c>
      <c r="AP34" s="15" t="s">
        <v>136</v>
      </c>
      <c r="AQ34" s="15" t="s">
        <v>136</v>
      </c>
      <c r="AR34" s="15" t="s">
        <v>136</v>
      </c>
      <c r="AS34" s="15" t="s">
        <v>136</v>
      </c>
      <c r="AT34" s="15" t="s">
        <v>136</v>
      </c>
      <c r="AU34" s="15" t="s">
        <v>136</v>
      </c>
      <c r="AV34" s="15" t="s">
        <v>136</v>
      </c>
      <c r="AW34" s="15" t="s">
        <v>136</v>
      </c>
      <c r="AX34" s="15" t="s">
        <v>136</v>
      </c>
      <c r="AY34" s="15" t="s">
        <v>136</v>
      </c>
      <c r="AZ34" s="15" t="s">
        <v>136</v>
      </c>
      <c r="BA34" s="15" t="s">
        <v>136</v>
      </c>
      <c r="BB34" s="15" t="s">
        <v>136</v>
      </c>
      <c r="BC34" s="15" t="s">
        <v>136</v>
      </c>
      <c r="BD34" s="15" t="s">
        <v>136</v>
      </c>
      <c r="BE34" s="50" t="s">
        <v>85</v>
      </c>
      <c r="BF34" s="48" t="s">
        <v>86</v>
      </c>
      <c r="BG34" s="65">
        <f>IFERROR(IF(WL_No="  ","  ",(VLOOKUP(Long_Div/2,AREA_TABLE,Count_WL+1,FALSE))/(B_current*T)),"-")</f>
        <v>0.98919191919191907</v>
      </c>
    </row>
    <row r="35" spans="1:59" x14ac:dyDescent="0.25">
      <c r="A35" s="15" t="s">
        <v>136</v>
      </c>
      <c r="B35" s="15" t="s">
        <v>136</v>
      </c>
      <c r="C35" s="15" t="s">
        <v>136</v>
      </c>
      <c r="D35" s="15" t="s">
        <v>136</v>
      </c>
      <c r="E35" s="15" t="s">
        <v>136</v>
      </c>
      <c r="F35" s="15" t="s">
        <v>136</v>
      </c>
      <c r="G35" s="15" t="s">
        <v>136</v>
      </c>
      <c r="H35" s="15" t="s">
        <v>136</v>
      </c>
      <c r="I35" s="15" t="s">
        <v>136</v>
      </c>
      <c r="J35" s="15" t="s">
        <v>136</v>
      </c>
      <c r="K35" s="15" t="s">
        <v>136</v>
      </c>
      <c r="L35" s="15" t="s">
        <v>136</v>
      </c>
      <c r="M35" s="15" t="s">
        <v>136</v>
      </c>
      <c r="N35" s="15" t="s">
        <v>136</v>
      </c>
      <c r="O35" s="15" t="s">
        <v>136</v>
      </c>
      <c r="P35" s="15" t="s">
        <v>136</v>
      </c>
      <c r="Q35" s="50" t="s">
        <v>88</v>
      </c>
      <c r="R35" s="48" t="s">
        <v>89</v>
      </c>
      <c r="S35" s="49">
        <f>IFERROR(IF(WL_No="  ","  ",CB/CM),"-")</f>
        <v>0.75520971612376175</v>
      </c>
      <c r="AO35" s="15" t="s">
        <v>136</v>
      </c>
      <c r="AP35" s="15" t="s">
        <v>136</v>
      </c>
      <c r="AQ35" s="15" t="s">
        <v>136</v>
      </c>
      <c r="AR35" s="15" t="s">
        <v>136</v>
      </c>
      <c r="AS35" s="15" t="s">
        <v>136</v>
      </c>
      <c r="AT35" s="15" t="s">
        <v>136</v>
      </c>
      <c r="AU35" s="15" t="s">
        <v>136</v>
      </c>
      <c r="AV35" s="15" t="s">
        <v>136</v>
      </c>
      <c r="AW35" s="15" t="s">
        <v>136</v>
      </c>
      <c r="AX35" s="15" t="s">
        <v>136</v>
      </c>
      <c r="AY35" s="15" t="s">
        <v>136</v>
      </c>
      <c r="AZ35" s="15" t="s">
        <v>136</v>
      </c>
      <c r="BA35" s="15" t="s">
        <v>136</v>
      </c>
      <c r="BB35" s="15" t="s">
        <v>136</v>
      </c>
      <c r="BC35" s="15" t="s">
        <v>136</v>
      </c>
      <c r="BD35" s="15" t="s">
        <v>136</v>
      </c>
      <c r="BE35" s="50" t="s">
        <v>88</v>
      </c>
      <c r="BF35" s="48" t="s">
        <v>89</v>
      </c>
      <c r="BG35" s="49">
        <f>IF(WL_No="  ","  ",CB/CM)</f>
        <v>0.75520971612376175</v>
      </c>
    </row>
    <row r="38" spans="1:59" x14ac:dyDescent="0.25">
      <c r="Q38" s="43" t="s">
        <v>31</v>
      </c>
      <c r="R38" s="44" t="s">
        <v>32</v>
      </c>
      <c r="S38" s="489" t="s">
        <v>33</v>
      </c>
    </row>
    <row r="39" spans="1:59" x14ac:dyDescent="0.25">
      <c r="Q39" s="45"/>
      <c r="R39" s="46"/>
      <c r="S39" s="490"/>
    </row>
    <row r="40" spans="1:59" x14ac:dyDescent="0.25">
      <c r="Q40" s="47" t="s">
        <v>34</v>
      </c>
      <c r="R40" s="48" t="s">
        <v>35</v>
      </c>
      <c r="S40">
        <f>IF(Tools!$L$49="Use 141 rule only",S13,IF(Tools!$L$49="Use 141 and 1331 rules",BG13," "))</f>
        <v>2597.6084999999998</v>
      </c>
    </row>
    <row r="41" spans="1:59" x14ac:dyDescent="0.25">
      <c r="Q41" s="47" t="s">
        <v>36</v>
      </c>
      <c r="R41" s="48" t="s">
        <v>37</v>
      </c>
      <c r="S41">
        <f>IF(Tools!$L$49="Use 141 rule only",S14,IF(Tools!$L$49="Use 141 and 1331 rules",BG14," "))</f>
        <v>7173.6183046666629</v>
      </c>
    </row>
    <row r="42" spans="1:59" x14ac:dyDescent="0.25">
      <c r="Q42" s="50" t="s">
        <v>39</v>
      </c>
      <c r="R42" s="48" t="s">
        <v>40</v>
      </c>
      <c r="S42">
        <f>IF(Tools!$L$49="Use 141 rule only",S15,IF(Tools!$L$49="Use 141 and 1331 rules",BG15," "))</f>
        <v>2.7616241264481016</v>
      </c>
    </row>
    <row r="43" spans="1:59" x14ac:dyDescent="0.25">
      <c r="Q43" s="50" t="s">
        <v>42</v>
      </c>
      <c r="R43" s="48" t="s">
        <v>43</v>
      </c>
      <c r="S43">
        <f>IF(Tools!$L$49="Use 141 rule only",S16,IF(Tools!$L$49="Use 141 and 1331 rules",BG16," "))</f>
        <v>3261298.7193306424</v>
      </c>
    </row>
    <row r="44" spans="1:59" x14ac:dyDescent="0.25">
      <c r="Q44" s="51" t="s">
        <v>44</v>
      </c>
      <c r="R44" s="48" t="s">
        <v>45</v>
      </c>
      <c r="S44">
        <f>IF(Tools!$L$49="Use 141 rule only",S17,IF(Tools!$L$49="Use 141 and 1331 rules",BG17," "))</f>
        <v>90026.434477156668</v>
      </c>
    </row>
    <row r="45" spans="1:59" x14ac:dyDescent="0.25">
      <c r="Q45" s="50" t="s">
        <v>47</v>
      </c>
      <c r="R45" s="48" t="s">
        <v>48</v>
      </c>
      <c r="S45">
        <f>IF(Tools!$L$49="Use 141 rule only",S18,IF(Tools!$L$49="Use 141 and 1331 rules",BG18," "))</f>
        <v>3241487.8819465451</v>
      </c>
    </row>
    <row r="46" spans="1:59" x14ac:dyDescent="0.25">
      <c r="Q46" s="50" t="s">
        <v>50</v>
      </c>
      <c r="R46" s="48" t="s">
        <v>51</v>
      </c>
      <c r="S46">
        <f>IF(Tools!$L$49="Use 141 rule only",S19,IF(Tools!$L$49="Use 141 and 1331 rules",BG19," "))</f>
        <v>14416.818549999995</v>
      </c>
    </row>
    <row r="47" spans="1:59" x14ac:dyDescent="0.25">
      <c r="Q47" s="50" t="s">
        <v>52</v>
      </c>
      <c r="R47" s="48" t="s">
        <v>53</v>
      </c>
      <c r="S47">
        <f>IF(Tools!$L$49="Use 141 rule only",S20,IF(Tools!$L$49="Use 141 and 1331 rules",BG20," "))</f>
        <v>14865.902447832494</v>
      </c>
    </row>
    <row r="48" spans="1:59" x14ac:dyDescent="0.25">
      <c r="Q48" s="50" t="s">
        <v>55</v>
      </c>
      <c r="R48" s="48" t="s">
        <v>56</v>
      </c>
      <c r="S48">
        <f>IF(Tools!$L$49="Use 141 rule only",S21,IF(Tools!$L$49="Use 141 and 1331 rules",BG21," "))</f>
        <v>45009.773655555568</v>
      </c>
    </row>
    <row r="49" spans="17:19" x14ac:dyDescent="0.25">
      <c r="Q49" s="50" t="s">
        <v>57</v>
      </c>
      <c r="R49" s="48" t="s">
        <v>58</v>
      </c>
      <c r="S49">
        <f>IF(Tools!$L$49="Use 141 rule only",S22,IF(Tools!$L$49="Use 141 and 1331 rules",BG22," "))</f>
        <v>61837.20489511107</v>
      </c>
    </row>
    <row r="50" spans="17:19" x14ac:dyDescent="0.25">
      <c r="Q50" s="50" t="s">
        <v>60</v>
      </c>
      <c r="R50" s="48" t="s">
        <v>61</v>
      </c>
      <c r="S50">
        <f>IF(Tools!$L$49="Use 141 rule only",S23,IF(Tools!$L$49="Use 141 and 1331 rules",BG23," "))</f>
        <v>224.84072132173338</v>
      </c>
    </row>
    <row r="51" spans="17:19" x14ac:dyDescent="0.25">
      <c r="Q51" s="50" t="s">
        <v>63</v>
      </c>
      <c r="R51" s="48" t="s">
        <v>64</v>
      </c>
      <c r="S51">
        <f>IF(Tools!$L$49="Use 141 rule only",S24,IF(Tools!$L$49="Use 141 and 1331 rules",BG24," "))</f>
        <v>6.2445423839475804</v>
      </c>
    </row>
    <row r="52" spans="17:19" x14ac:dyDescent="0.25">
      <c r="Q52" s="50" t="s">
        <v>65</v>
      </c>
      <c r="R52" s="48" t="s">
        <v>66</v>
      </c>
      <c r="S52">
        <f>IF(Tools!$L$49="Use 141 rule only",S25,IF(Tools!$L$49="Use 141 and 1331 rules",BG25," "))</f>
        <v>3.122032333240095</v>
      </c>
    </row>
    <row r="53" spans="17:19" x14ac:dyDescent="0.25">
      <c r="Q53" s="50" t="s">
        <v>67</v>
      </c>
      <c r="R53" s="48" t="s">
        <v>68</v>
      </c>
      <c r="S53">
        <f>IF(Tools!$L$49="Use 141 rule only",S26,IF(Tools!$L$49="Use 141 and 1331 rules",BG26," "))</f>
        <v>9.3665747171876745</v>
      </c>
    </row>
    <row r="54" spans="17:19" x14ac:dyDescent="0.25">
      <c r="Q54" s="50" t="s">
        <v>69</v>
      </c>
      <c r="R54" s="48" t="s">
        <v>70</v>
      </c>
      <c r="S54">
        <f>IF(Tools!$L$49="Use 141 rule only",S27,IF(Tools!$L$49="Use 141 and 1331 rules",BG27," "))</f>
        <v>227.96275365497348</v>
      </c>
    </row>
    <row r="55" spans="17:19" x14ac:dyDescent="0.25">
      <c r="Q55" s="50" t="s">
        <v>71</v>
      </c>
      <c r="R55" s="48" t="s">
        <v>72</v>
      </c>
      <c r="S55">
        <f>IF(Tools!$L$49="Use 141 rule only",S28,IF(Tools!$L$49="Use 141 and 1331 rules",BG28," "))</f>
        <v>26.625487124999996</v>
      </c>
    </row>
    <row r="56" spans="17:19" x14ac:dyDescent="0.25">
      <c r="Q56" s="50" t="s">
        <v>73</v>
      </c>
      <c r="R56" s="48" t="s">
        <v>74</v>
      </c>
      <c r="S56">
        <f>IF(Tools!$L$49="Use 141 rule only",S29,IF(Tools!$L$49="Use 141 and 1331 rules",BG29," "))</f>
        <v>4.2892407004117485</v>
      </c>
    </row>
    <row r="57" spans="17:19" x14ac:dyDescent="0.25">
      <c r="Q57" s="50" t="s">
        <v>75</v>
      </c>
      <c r="R57" s="55" t="s">
        <v>76</v>
      </c>
      <c r="S57">
        <f>IF(Tools!$L$49="Use 141 rule only",S30,IF(Tools!$L$49="Use 141 and 1331 rules",BG30," "))</f>
        <v>228.62245071608618</v>
      </c>
    </row>
    <row r="58" spans="17:19" x14ac:dyDescent="0.25">
      <c r="Q58" s="50" t="s">
        <v>78</v>
      </c>
      <c r="R58" s="48" t="s">
        <v>79</v>
      </c>
      <c r="S58">
        <f>IF(Tools!$L$49="Use 141 rule only",S31,IF(Tools!$L$49="Use 141 and 1331 rules",BG31," "))</f>
        <v>6</v>
      </c>
    </row>
    <row r="59" spans="17:19" x14ac:dyDescent="0.25">
      <c r="Q59" s="50" t="s">
        <v>80</v>
      </c>
      <c r="R59" s="48" t="s">
        <v>81</v>
      </c>
      <c r="S59">
        <f>IF(Tools!$L$49="Use 141 rule only",S32,IF(Tools!$L$49="Use 141 and 1331 rules",BG32," "))</f>
        <v>0.80761363636363637</v>
      </c>
    </row>
    <row r="60" spans="17:19" x14ac:dyDescent="0.25">
      <c r="Q60" s="50" t="s">
        <v>82</v>
      </c>
      <c r="R60" s="48" t="s">
        <v>83</v>
      </c>
      <c r="S60">
        <f>IF(Tools!$L$49="Use 141 rule only",S33,IF(Tools!$L$49="Use 141 and 1331 rules",BG33," "))</f>
        <v>0.74704734848484833</v>
      </c>
    </row>
    <row r="61" spans="17:19" x14ac:dyDescent="0.25">
      <c r="Q61" s="50" t="s">
        <v>85</v>
      </c>
      <c r="R61" s="48" t="s">
        <v>86</v>
      </c>
      <c r="S61">
        <f>IF(Tools!$L$49="Use 141 rule only",S34,IF(Tools!$L$49="Use 141 and 1331 rules",BG34," "))</f>
        <v>0.98919191919191907</v>
      </c>
    </row>
    <row r="62" spans="17:19" x14ac:dyDescent="0.25">
      <c r="Q62" s="50" t="s">
        <v>88</v>
      </c>
      <c r="R62" s="48" t="s">
        <v>89</v>
      </c>
      <c r="S62">
        <f>IF(Tools!$L$49="Use 141 rule only",S35,IF(Tools!$L$49="Use 141 and 1331 rules",BG35," "))</f>
        <v>0.75520971612376175</v>
      </c>
    </row>
  </sheetData>
  <sheetProtection password="C89D" sheet="1" objects="1" scenarios="1"/>
  <mergeCells count="5">
    <mergeCell ref="A2:I2"/>
    <mergeCell ref="K2:O2"/>
    <mergeCell ref="AO2:AW2"/>
    <mergeCell ref="AY2:BC2"/>
    <mergeCell ref="S38:S39"/>
  </mergeCells>
  <conditionalFormatting sqref="CB4:XFD30 BW4:BW28 BS4:BT28 W29:AN29 V2:AO2 BP29:BW29 A74:XFD1048576 BM31:XFD33 BM30:BW30 BH29:BI33 BH2:XFD3 U30:AN30 W3:AM28 BH38:XFD40 J36:T37 A1:AN1 AV1:XFD1 AM31 U31:AG31 AK32:AN32 O38:P62 J38:K62 T57:V62 Q40:R62 Q38:S39 T38:T56 X32:AG32 X33:AN33 Z36:XFD37 Z38:BD62 A63:V66 Z63:BF66 T2:T10 Q3:S8 T12:T35 A67:BF73 BJ41:XFD73 Z34:AN35 BH34:XFD35 A2:F62 G2:P35 BD2:BD28 Q12:S12 AO3:AW28">
    <cfRule type="containsErrors" dxfId="114" priority="65">
      <formula>ISERROR(A1)</formula>
    </cfRule>
  </conditionalFormatting>
  <conditionalFormatting sqref="Q13:R35">
    <cfRule type="containsErrors" dxfId="113" priority="64">
      <formula>ISERROR(Q13)</formula>
    </cfRule>
  </conditionalFormatting>
  <conditionalFormatting sqref="T12:T33">
    <cfRule type="containsErrors" dxfId="112" priority="63">
      <formula>ISERROR(T12)</formula>
    </cfRule>
  </conditionalFormatting>
  <conditionalFormatting sqref="S13:S35">
    <cfRule type="containsErrors" dxfId="111" priority="62">
      <formula>ISERROR(S13)</formula>
    </cfRule>
  </conditionalFormatting>
  <conditionalFormatting sqref="AY2:BC28">
    <cfRule type="containsErrors" dxfId="110" priority="59">
      <formula>ISERROR(AY2)</formula>
    </cfRule>
  </conditionalFormatting>
  <conditionalFormatting sqref="BE13:BF35">
    <cfRule type="containsErrors" dxfId="109" priority="61">
      <formula>ISERROR(BE13)</formula>
    </cfRule>
  </conditionalFormatting>
  <conditionalFormatting sqref="BG13:BG33 BG35">
    <cfRule type="containsErrors" dxfId="108" priority="60">
      <formula>ISERROR(BG13)</formula>
    </cfRule>
  </conditionalFormatting>
  <conditionalFormatting sqref="BE3:BG7">
    <cfRule type="containsErrors" dxfId="107" priority="58">
      <formula>ISERROR(BE3)</formula>
    </cfRule>
  </conditionalFormatting>
  <conditionalFormatting sqref="BF8:BG9">
    <cfRule type="containsErrors" dxfId="106" priority="56">
      <formula>ISERROR(BF8)</formula>
    </cfRule>
  </conditionalFormatting>
  <conditionalFormatting sqref="BE8:BE9">
    <cfRule type="containsErrors" dxfId="105" priority="57">
      <formula>ISERROR(BE8)</formula>
    </cfRule>
  </conditionalFormatting>
  <conditionalFormatting sqref="S59:S62">
    <cfRule type="containsErrors" dxfId="104" priority="55">
      <formula>ISERROR(S59)</formula>
    </cfRule>
  </conditionalFormatting>
  <conditionalFormatting sqref="A30:P35">
    <cfRule type="containsText" dxfId="103" priority="54" operator="containsText" text="     ">
      <formula>NOT(ISERROR(SEARCH("     ",A30)))</formula>
    </cfRule>
  </conditionalFormatting>
  <conditionalFormatting sqref="B29">
    <cfRule type="containsText" dxfId="102" priority="53" operator="containsText" text="     ">
      <formula>NOT(ISERROR(SEARCH("     ",B29)))</formula>
    </cfRule>
  </conditionalFormatting>
  <conditionalFormatting sqref="C29">
    <cfRule type="containsText" dxfId="101" priority="52" operator="containsText" text="     ">
      <formula>NOT(ISERROR(SEARCH("     ",C29)))</formula>
    </cfRule>
  </conditionalFormatting>
  <conditionalFormatting sqref="E29">
    <cfRule type="containsText" dxfId="100" priority="51" operator="containsText" text="     ">
      <formula>NOT(ISERROR(SEARCH("     ",E29)))</formula>
    </cfRule>
  </conditionalFormatting>
  <conditionalFormatting sqref="H29">
    <cfRule type="containsText" dxfId="99" priority="50" operator="containsText" text="     ">
      <formula>NOT(ISERROR(SEARCH("     ",H29)))</formula>
    </cfRule>
  </conditionalFormatting>
  <conditionalFormatting sqref="B30:I30">
    <cfRule type="containsText" dxfId="98" priority="49" operator="containsText" text="     ">
      <formula>NOT(ISERROR(SEARCH("     ",B30)))</formula>
    </cfRule>
  </conditionalFormatting>
  <conditionalFormatting sqref="K29">
    <cfRule type="containsText" dxfId="97" priority="48" operator="containsText" text="     ">
      <formula>NOT(ISERROR(SEARCH("     ",K29)))</formula>
    </cfRule>
  </conditionalFormatting>
  <conditionalFormatting sqref="M29">
    <cfRule type="containsText" dxfId="96" priority="47" operator="containsText" text="     ">
      <formula>NOT(ISERROR(SEARCH("     ",M29)))</formula>
    </cfRule>
  </conditionalFormatting>
  <conditionalFormatting sqref="P2:P29">
    <cfRule type="containsText" dxfId="95" priority="46" operator="containsText" text="     ">
      <formula>NOT(ISERROR(SEARCH("     ",P2)))</formula>
    </cfRule>
  </conditionalFormatting>
  <conditionalFormatting sqref="J2:J29">
    <cfRule type="containsText" dxfId="94" priority="45" operator="containsText" text="     ">
      <formula>NOT(ISERROR(SEARCH("     ",J2)))</formula>
    </cfRule>
  </conditionalFormatting>
  <conditionalFormatting sqref="Q9:S10">
    <cfRule type="containsErrors" dxfId="93" priority="44">
      <formula>ISERROR(Q9)</formula>
    </cfRule>
  </conditionalFormatting>
  <conditionalFormatting sqref="Q9:S10">
    <cfRule type="containsText" dxfId="92" priority="43" operator="containsText" text="     ">
      <formula>NOT(ISERROR(SEARCH("     ",Q9)))</formula>
    </cfRule>
  </conditionalFormatting>
  <conditionalFormatting sqref="AO29:BD35">
    <cfRule type="containsErrors" dxfId="91" priority="42">
      <formula>ISERROR(AO29)</formula>
    </cfRule>
  </conditionalFormatting>
  <conditionalFormatting sqref="AO30:BD35">
    <cfRule type="containsText" dxfId="90" priority="41" operator="containsText" text="     ">
      <formula>NOT(ISERROR(SEARCH("     ",AO30)))</formula>
    </cfRule>
  </conditionalFormatting>
  <conditionalFormatting sqref="AP29">
    <cfRule type="containsText" dxfId="89" priority="40" operator="containsText" text="     ">
      <formula>NOT(ISERROR(SEARCH("     ",AP29)))</formula>
    </cfRule>
  </conditionalFormatting>
  <conditionalFormatting sqref="AQ29">
    <cfRule type="containsText" dxfId="88" priority="39" operator="containsText" text="     ">
      <formula>NOT(ISERROR(SEARCH("     ",AQ29)))</formula>
    </cfRule>
  </conditionalFormatting>
  <conditionalFormatting sqref="AS29">
    <cfRule type="containsText" dxfId="87" priority="38" operator="containsText" text="     ">
      <formula>NOT(ISERROR(SEARCH("     ",AS29)))</formula>
    </cfRule>
  </conditionalFormatting>
  <conditionalFormatting sqref="AV29">
    <cfRule type="containsText" dxfId="86" priority="37" operator="containsText" text="     ">
      <formula>NOT(ISERROR(SEARCH("     ",AV29)))</formula>
    </cfRule>
  </conditionalFormatting>
  <conditionalFormatting sqref="AP30:AW30">
    <cfRule type="containsText" dxfId="85" priority="36" operator="containsText" text="     ">
      <formula>NOT(ISERROR(SEARCH("     ",AP30)))</formula>
    </cfRule>
  </conditionalFormatting>
  <conditionalFormatting sqref="AY29">
    <cfRule type="containsText" dxfId="84" priority="35" operator="containsText" text="     ">
      <formula>NOT(ISERROR(SEARCH("     ",AY29)))</formula>
    </cfRule>
  </conditionalFormatting>
  <conditionalFormatting sqref="BA29">
    <cfRule type="containsText" dxfId="83" priority="34" operator="containsText" text="     ">
      <formula>NOT(ISERROR(SEARCH("     ",BA29)))</formula>
    </cfRule>
  </conditionalFormatting>
  <conditionalFormatting sqref="BD29">
    <cfRule type="containsText" dxfId="82" priority="33" operator="containsText" text="     ">
      <formula>NOT(ISERROR(SEARCH("     ",BD29)))</formula>
    </cfRule>
  </conditionalFormatting>
  <conditionalFormatting sqref="AX29">
    <cfRule type="containsText" dxfId="81" priority="32" operator="containsText" text="     ">
      <formula>NOT(ISERROR(SEARCH("     ",AX29)))</formula>
    </cfRule>
  </conditionalFormatting>
  <conditionalFormatting sqref="AX2:AX28">
    <cfRule type="containsErrors" dxfId="80" priority="31">
      <formula>ISERROR(AX2)</formula>
    </cfRule>
  </conditionalFormatting>
  <conditionalFormatting sqref="AX2:AX28">
    <cfRule type="containsText" dxfId="79" priority="30" operator="containsText" text="     ">
      <formula>NOT(ISERROR(SEARCH("     ",AX2)))</formula>
    </cfRule>
  </conditionalFormatting>
  <conditionalFormatting sqref="BD2:BD28">
    <cfRule type="containsText" dxfId="78" priority="29" operator="containsText" text="     ">
      <formula>NOT(ISERROR(SEARCH("     ",BD2)))</formula>
    </cfRule>
  </conditionalFormatting>
  <conditionalFormatting sqref="BD2:BD28">
    <cfRule type="containsText" dxfId="77" priority="28" operator="containsText" text="     ">
      <formula>NOT(ISERROR(SEARCH("     ",BD2)))</formula>
    </cfRule>
  </conditionalFormatting>
  <conditionalFormatting sqref="BE2">
    <cfRule type="containsErrors" dxfId="76" priority="27">
      <formula>ISERROR(BE2)</formula>
    </cfRule>
  </conditionalFormatting>
  <conditionalFormatting sqref="BE2">
    <cfRule type="containsText" dxfId="75" priority="26" operator="containsText" text="     ">
      <formula>NOT(ISERROR(SEARCH("     ",BE2)))</formula>
    </cfRule>
  </conditionalFormatting>
  <conditionalFormatting sqref="BE2">
    <cfRule type="containsText" dxfId="74" priority="25" operator="containsText" text="     ">
      <formula>NOT(ISERROR(SEARCH("     ",BE2)))</formula>
    </cfRule>
  </conditionalFormatting>
  <conditionalFormatting sqref="BF2">
    <cfRule type="containsErrors" dxfId="73" priority="24">
      <formula>ISERROR(BF2)</formula>
    </cfRule>
  </conditionalFormatting>
  <conditionalFormatting sqref="BF2">
    <cfRule type="containsText" dxfId="72" priority="23" operator="containsText" text="     ">
      <formula>NOT(ISERROR(SEARCH("     ",BF2)))</formula>
    </cfRule>
  </conditionalFormatting>
  <conditionalFormatting sqref="BF2">
    <cfRule type="containsText" dxfId="71" priority="22" operator="containsText" text="     ">
      <formula>NOT(ISERROR(SEARCH("     ",BF2)))</formula>
    </cfRule>
  </conditionalFormatting>
  <conditionalFormatting sqref="BG2">
    <cfRule type="containsErrors" dxfId="70" priority="21">
      <formula>ISERROR(BG2)</formula>
    </cfRule>
  </conditionalFormatting>
  <conditionalFormatting sqref="BG2">
    <cfRule type="containsText" dxfId="69" priority="20" operator="containsText" text="     ">
      <formula>NOT(ISERROR(SEARCH("     ",BG2)))</formula>
    </cfRule>
  </conditionalFormatting>
  <conditionalFormatting sqref="BG2">
    <cfRule type="containsText" dxfId="68" priority="19" operator="containsText" text="     ">
      <formula>NOT(ISERROR(SEARCH("     ",BG2)))</formula>
    </cfRule>
  </conditionalFormatting>
  <conditionalFormatting sqref="BF10">
    <cfRule type="containsErrors" dxfId="67" priority="18">
      <formula>ISERROR(BF10)</formula>
    </cfRule>
  </conditionalFormatting>
  <conditionalFormatting sqref="BF10">
    <cfRule type="containsText" dxfId="66" priority="17" operator="containsText" text="     ">
      <formula>NOT(ISERROR(SEARCH("     ",BF10)))</formula>
    </cfRule>
  </conditionalFormatting>
  <conditionalFormatting sqref="BF10">
    <cfRule type="containsText" dxfId="65" priority="16" operator="containsText" text="     ">
      <formula>NOT(ISERROR(SEARCH("     ",BF10)))</formula>
    </cfRule>
  </conditionalFormatting>
  <conditionalFormatting sqref="BE10">
    <cfRule type="containsErrors" dxfId="64" priority="15">
      <formula>ISERROR(BE10)</formula>
    </cfRule>
  </conditionalFormatting>
  <conditionalFormatting sqref="BE10">
    <cfRule type="containsText" dxfId="63" priority="14" operator="containsText" text="     ">
      <formula>NOT(ISERROR(SEARCH("     ",BE10)))</formula>
    </cfRule>
  </conditionalFormatting>
  <conditionalFormatting sqref="BE10">
    <cfRule type="containsText" dxfId="62" priority="13" operator="containsText" text="     ">
      <formula>NOT(ISERROR(SEARCH("     ",BE10)))</formula>
    </cfRule>
  </conditionalFormatting>
  <conditionalFormatting sqref="Q2">
    <cfRule type="containsErrors" dxfId="61" priority="12">
      <formula>ISERROR(Q2)</formula>
    </cfRule>
  </conditionalFormatting>
  <conditionalFormatting sqref="Q2">
    <cfRule type="containsText" dxfId="60" priority="11" operator="containsText" text="     ">
      <formula>NOT(ISERROR(SEARCH("     ",Q2)))</formula>
    </cfRule>
  </conditionalFormatting>
  <conditionalFormatting sqref="R2">
    <cfRule type="containsErrors" dxfId="59" priority="10">
      <formula>ISERROR(R2)</formula>
    </cfRule>
  </conditionalFormatting>
  <conditionalFormatting sqref="R2">
    <cfRule type="containsText" dxfId="58" priority="9" operator="containsText" text="     ">
      <formula>NOT(ISERROR(SEARCH("     ",R2)))</formula>
    </cfRule>
  </conditionalFormatting>
  <conditionalFormatting sqref="S2">
    <cfRule type="containsErrors" dxfId="57" priority="8">
      <formula>ISERROR(S2)</formula>
    </cfRule>
  </conditionalFormatting>
  <conditionalFormatting sqref="S2">
    <cfRule type="containsText" dxfId="56" priority="7" operator="containsText" text="     ">
      <formula>NOT(ISERROR(SEARCH("     ",S2)))</formula>
    </cfRule>
  </conditionalFormatting>
  <conditionalFormatting sqref="Q11:S11">
    <cfRule type="containsErrors" dxfId="55" priority="6">
      <formula>ISERROR(Q11)</formula>
    </cfRule>
  </conditionalFormatting>
  <conditionalFormatting sqref="Q11:S11">
    <cfRule type="containsText" dxfId="54" priority="5" operator="containsText" text="     ">
      <formula>NOT(ISERROR(SEARCH("     ",Q11)))</formula>
    </cfRule>
  </conditionalFormatting>
  <conditionalFormatting sqref="BE12:BG12">
    <cfRule type="containsErrors" dxfId="53" priority="4">
      <formula>ISERROR(BE12)</formula>
    </cfRule>
  </conditionalFormatting>
  <conditionalFormatting sqref="BE11:BG11">
    <cfRule type="containsErrors" dxfId="52" priority="3">
      <formula>ISERROR(BE11)</formula>
    </cfRule>
  </conditionalFormatting>
  <conditionalFormatting sqref="BE11:BG11">
    <cfRule type="containsText" dxfId="51" priority="2" operator="containsText" text="     ">
      <formula>NOT(ISERROR(SEARCH("     ",BE11)))</formula>
    </cfRule>
  </conditionalFormatting>
  <conditionalFormatting sqref="BG34">
    <cfRule type="containsErrors" dxfId="50" priority="1">
      <formula>ISERROR(BG34)</formula>
    </cfRule>
  </conditionalFormatting>
  <pageMargins left="0.7" right="0.7" top="0.75" bottom="0.75" header="0.3" footer="0.3"/>
  <pageSetup paperSize="9" orientation="portrait" r:id="rId1"/>
</worksheet>
</file>

<file path=xl/worksheets/sheet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tabColor theme="5" tint="-0.499984740745262"/>
  </sheetPr>
  <dimension ref="A1:P43"/>
  <sheetViews>
    <sheetView showGridLines="0" showRowColHeaders="0" zoomScale="115" zoomScaleNormal="115" workbookViewId="0">
      <selection activeCell="E7" sqref="E7"/>
    </sheetView>
  </sheetViews>
  <sheetFormatPr defaultRowHeight="15" x14ac:dyDescent="0.25"/>
  <cols>
    <col min="1" max="2" width="9.140625" style="108"/>
    <col min="3" max="3" width="10.42578125" style="108" bestFit="1" customWidth="1"/>
    <col min="4" max="7" width="9.140625" style="108"/>
    <col min="8" max="8" width="15" style="108" customWidth="1"/>
    <col min="9" max="9" width="15.7109375" style="108" customWidth="1"/>
    <col min="10" max="10" width="9.140625" style="108"/>
    <col min="11" max="12" width="9.140625" style="108" customWidth="1"/>
    <col min="13" max="13" width="9.140625" style="108"/>
    <col min="14" max="14" width="12.85546875" style="108" customWidth="1"/>
    <col min="15" max="16384" width="9.140625" style="108"/>
  </cols>
  <sheetData>
    <row r="1" spans="1:15" ht="20.100000000000001" customHeight="1" x14ac:dyDescent="0.25">
      <c r="A1" s="107"/>
    </row>
    <row r="2" spans="1:15" ht="24.95" customHeight="1" x14ac:dyDescent="0.4">
      <c r="C2" s="499" t="s">
        <v>118</v>
      </c>
      <c r="D2" s="499"/>
      <c r="E2" s="499"/>
      <c r="I2" s="498" t="s">
        <v>122</v>
      </c>
      <c r="J2" s="498"/>
      <c r="K2" s="112">
        <f>IFERROR(STN_GAP,"-")</f>
        <v>7.31</v>
      </c>
    </row>
    <row r="3" spans="1:15" ht="17.25" customHeight="1" x14ac:dyDescent="0.25">
      <c r="C3" s="498" t="s">
        <v>26</v>
      </c>
      <c r="D3" s="498"/>
      <c r="E3" s="109">
        <v>146.19999999999999</v>
      </c>
      <c r="F3" s="108" t="str">
        <f>IF(E3=0,"","m")</f>
        <v>m</v>
      </c>
      <c r="J3" s="108" t="s">
        <v>123</v>
      </c>
      <c r="K3" s="108">
        <f>IFERROR(Tools!D60,"  ")</f>
        <v>5043.6260912332318</v>
      </c>
    </row>
    <row r="4" spans="1:15" ht="18" x14ac:dyDescent="0.35">
      <c r="C4" s="498" t="s">
        <v>27</v>
      </c>
      <c r="D4" s="498"/>
      <c r="E4" s="418">
        <f>MAX(Tools!B2:Z26)*2</f>
        <v>22</v>
      </c>
      <c r="F4" s="108" t="str">
        <f t="shared" ref="F4:F7" si="0">IF(E4=0,"","m")</f>
        <v>m</v>
      </c>
      <c r="J4" s="108" t="s">
        <v>124</v>
      </c>
      <c r="K4" s="112">
        <f>IFERROR(Tools!D49,"-")</f>
        <v>211.9733333333333</v>
      </c>
    </row>
    <row r="5" spans="1:15" ht="18" x14ac:dyDescent="0.35">
      <c r="C5" s="498" t="s">
        <v>28</v>
      </c>
      <c r="D5" s="498"/>
      <c r="E5" s="109">
        <v>13</v>
      </c>
      <c r="F5" s="108" t="str">
        <f>IF(E5=0,"",IF(E5&lt;Tools!F45,"(invalid)","m"))</f>
        <v>m</v>
      </c>
      <c r="J5" s="108" t="s">
        <v>125</v>
      </c>
      <c r="K5" s="112">
        <f>IFERROR(Tools!D50,"  ")</f>
        <v>14.089333333333332</v>
      </c>
    </row>
    <row r="6" spans="1:15" x14ac:dyDescent="0.25">
      <c r="C6" s="498" t="s">
        <v>78</v>
      </c>
      <c r="D6" s="498"/>
      <c r="E6" s="109">
        <v>9.6999999999999993</v>
      </c>
      <c r="F6" s="108" t="str">
        <f>IF(E6=0,"",IF(E6&gt;E5,"(invalid)","m"))</f>
        <v>m</v>
      </c>
      <c r="J6" s="108" t="s">
        <v>50</v>
      </c>
      <c r="K6" s="114">
        <f>IFERROR(Tools!D51,"  ")</f>
        <v>24344.796360938886</v>
      </c>
    </row>
    <row r="7" spans="1:15" x14ac:dyDescent="0.25">
      <c r="C7" s="498" t="s">
        <v>126</v>
      </c>
      <c r="D7" s="498"/>
      <c r="E7" s="109">
        <v>2</v>
      </c>
      <c r="F7" s="108" t="str">
        <f t="shared" si="0"/>
        <v>m</v>
      </c>
      <c r="I7" s="115"/>
      <c r="J7" s="108" t="s">
        <v>52</v>
      </c>
      <c r="K7" s="114">
        <f>IFERROR(Tools!D52," ")</f>
        <v>25103.136767582131</v>
      </c>
    </row>
    <row r="8" spans="1:15" x14ac:dyDescent="0.25">
      <c r="I8" s="115"/>
      <c r="J8" s="108" t="s">
        <v>65</v>
      </c>
      <c r="K8" s="112">
        <f>IFERROR(Tools!D53,"  ")</f>
        <v>5.0604272432822768</v>
      </c>
    </row>
    <row r="9" spans="1:15" x14ac:dyDescent="0.25">
      <c r="C9" s="415" t="s">
        <v>324</v>
      </c>
      <c r="I9" s="115"/>
      <c r="J9" s="108" t="s">
        <v>71</v>
      </c>
      <c r="K9" s="112">
        <f>IFERROR(Tools!D54,"  ")</f>
        <v>28.511244961916663</v>
      </c>
    </row>
    <row r="10" spans="1:15" x14ac:dyDescent="0.25">
      <c r="C10" s="415" t="s">
        <v>325</v>
      </c>
      <c r="I10" s="115"/>
      <c r="J10" s="108" t="s">
        <v>73</v>
      </c>
      <c r="K10" s="112">
        <f>IFERROR(Tools!D55,"  ")</f>
        <v>3.0536921401426662</v>
      </c>
    </row>
    <row r="11" spans="1:15" x14ac:dyDescent="0.25">
      <c r="C11" s="415" t="s">
        <v>323</v>
      </c>
      <c r="I11" s="115"/>
      <c r="J11" s="108" t="s">
        <v>127</v>
      </c>
      <c r="K11" s="112">
        <f>IFERROR(Tools!D56,"  ")</f>
        <v>275.83502946859755</v>
      </c>
    </row>
    <row r="12" spans="1:15" ht="18" x14ac:dyDescent="0.35">
      <c r="C12" s="415" t="s">
        <v>326</v>
      </c>
      <c r="J12" s="108" t="s">
        <v>128</v>
      </c>
      <c r="K12" s="112">
        <f>IFERROR(Tools!D57,"  ")</f>
        <v>0.78030494363740499</v>
      </c>
      <c r="L12" s="108" t="str">
        <f>"=δ"</f>
        <v>=δ</v>
      </c>
    </row>
    <row r="13" spans="1:15" ht="18" x14ac:dyDescent="0.35">
      <c r="A13" s="116"/>
      <c r="B13" s="116"/>
      <c r="C13" s="116"/>
      <c r="D13" s="116"/>
      <c r="J13" s="108" t="s">
        <v>129</v>
      </c>
      <c r="K13" s="112">
        <f>IFERROR(Tools!D58,"  ")</f>
        <v>0.99331458919087778</v>
      </c>
    </row>
    <row r="14" spans="1:15" ht="18" x14ac:dyDescent="0.35">
      <c r="A14" s="116"/>
      <c r="B14" s="118" t="str">
        <f>Tools!C37</f>
        <v xml:space="preserve"> </v>
      </c>
      <c r="C14" s="116"/>
      <c r="D14" s="116"/>
      <c r="J14" s="108" t="s">
        <v>130</v>
      </c>
      <c r="K14" s="112">
        <f>IFERROR(Tools!D59,"  ")</f>
        <v>0.7855567129775235</v>
      </c>
      <c r="L14" s="117" t="str">
        <f>"=ϕ"</f>
        <v>=ϕ</v>
      </c>
    </row>
    <row r="15" spans="1:15" x14ac:dyDescent="0.25">
      <c r="A15" s="116"/>
      <c r="B15" s="118" t="str">
        <f>Tools!C38</f>
        <v/>
      </c>
      <c r="C15" s="116"/>
      <c r="D15" s="116"/>
    </row>
    <row r="16" spans="1:15" x14ac:dyDescent="0.25">
      <c r="A16" s="440" t="s">
        <v>131</v>
      </c>
      <c r="B16" s="116"/>
      <c r="C16" s="116"/>
      <c r="D16" s="116"/>
      <c r="O16" s="115"/>
    </row>
    <row r="17" spans="1:16" x14ac:dyDescent="0.25">
      <c r="A17" s="440" t="s">
        <v>132</v>
      </c>
      <c r="B17" s="116"/>
      <c r="C17" s="116"/>
      <c r="D17" s="116"/>
      <c r="N17" s="115"/>
      <c r="O17" s="115"/>
    </row>
    <row r="18" spans="1:16" x14ac:dyDescent="0.25">
      <c r="A18" s="456" t="s">
        <v>343</v>
      </c>
      <c r="B18" s="116"/>
      <c r="C18" s="116"/>
      <c r="D18" s="116"/>
      <c r="N18" s="115"/>
      <c r="O18" s="115"/>
    </row>
    <row r="19" spans="1:16" x14ac:dyDescent="0.25">
      <c r="A19" s="441" t="s">
        <v>336</v>
      </c>
      <c r="C19" s="116"/>
      <c r="D19" s="116"/>
      <c r="L19" s="115"/>
      <c r="M19" s="115"/>
      <c r="N19" s="115"/>
      <c r="P19" s="320"/>
    </row>
    <row r="20" spans="1:16" x14ac:dyDescent="0.25">
      <c r="L20" s="115"/>
      <c r="M20" s="115"/>
      <c r="N20" s="115"/>
      <c r="P20" s="320"/>
    </row>
    <row r="21" spans="1:16" ht="15.75" customHeight="1" x14ac:dyDescent="0.25">
      <c r="A21" s="442" t="s">
        <v>304</v>
      </c>
      <c r="L21" s="115"/>
      <c r="M21" s="115"/>
      <c r="N21" s="119"/>
      <c r="O21" s="118"/>
      <c r="P21" s="320"/>
    </row>
    <row r="22" spans="1:16" x14ac:dyDescent="0.25">
      <c r="A22" s="442" t="s">
        <v>305</v>
      </c>
      <c r="B22" s="115"/>
      <c r="L22" s="115"/>
      <c r="M22" s="115"/>
      <c r="N22" s="115"/>
      <c r="O22" s="115"/>
      <c r="P22" s="419"/>
    </row>
    <row r="23" spans="1:16" x14ac:dyDescent="0.25">
      <c r="B23" s="115"/>
      <c r="L23" s="115"/>
      <c r="M23" s="115"/>
      <c r="O23" s="115"/>
      <c r="P23" s="420"/>
    </row>
    <row r="24" spans="1:16" x14ac:dyDescent="0.25">
      <c r="B24" s="120"/>
      <c r="C24" s="121"/>
      <c r="O24" s="423"/>
    </row>
    <row r="25" spans="1:16" x14ac:dyDescent="0.25">
      <c r="B25" s="115"/>
      <c r="N25" s="115"/>
      <c r="O25" s="424"/>
    </row>
    <row r="26" spans="1:16" x14ac:dyDescent="0.25">
      <c r="N26" s="115"/>
    </row>
    <row r="27" spans="1:16" ht="14.25" customHeight="1" x14ac:dyDescent="0.3">
      <c r="B27" s="417"/>
      <c r="N27" s="123"/>
    </row>
    <row r="28" spans="1:16" x14ac:dyDescent="0.25">
      <c r="B28" s="417"/>
    </row>
    <row r="32" spans="1:16" x14ac:dyDescent="0.25">
      <c r="L32" s="119"/>
    </row>
    <row r="33" spans="7:12" x14ac:dyDescent="0.25">
      <c r="L33" s="119"/>
    </row>
    <row r="34" spans="7:12" x14ac:dyDescent="0.25">
      <c r="L34" s="119"/>
    </row>
    <row r="43" spans="7:12" x14ac:dyDescent="0.25">
      <c r="G43" s="124"/>
    </row>
  </sheetData>
  <sheetProtection password="81E2" sheet="1" objects="1" scenarios="1"/>
  <dataConsolidate/>
  <mergeCells count="7">
    <mergeCell ref="C6:D6"/>
    <mergeCell ref="C7:D7"/>
    <mergeCell ref="C2:E2"/>
    <mergeCell ref="C3:D3"/>
    <mergeCell ref="I2:J2"/>
    <mergeCell ref="C4:D4"/>
    <mergeCell ref="C5:D5"/>
  </mergeCells>
  <dataValidations count="14">
    <dataValidation allowBlank="1" showInputMessage="1" showErrorMessage="1" promptTitle="Prismatic coeficient" prompt=" " sqref="K14"/>
    <dataValidation allowBlank="1" showInputMessage="1" showErrorMessage="1" promptTitle="Wetted surface area (WSA)" prompt="S" sqref="K3"/>
    <dataValidation allowBlank="1" showInputMessage="1" showErrorMessage="1" promptTitle="Midship Section Coefficient" prompt=" " sqref="K13"/>
    <dataValidation allowBlank="1" showInputMessage="1" showErrorMessage="1" promptTitle="Block coefficient" prompt="δ" sqref="K12"/>
    <dataValidation allowBlank="1" showInputMessage="1" showErrorMessage="1" promptTitle="Moment to change trim by 1cm" prompt="MCT1cm" sqref="K11"/>
    <dataValidation allowBlank="1" showInputMessage="1" showErrorMessage="1" promptTitle="Longitudinal Center of Buoyancy" prompt="LCB" sqref="K10"/>
    <dataValidation allowBlank="1" showInputMessage="1" showErrorMessage="1" promptTitle="Tonnes per cm immersion" prompt="TPC" sqref="K9"/>
    <dataValidation allowBlank="1" showInputMessage="1" showErrorMessage="1" promptTitle="Mass Displacement" prompt="(tonnes)" sqref="K7"/>
    <dataValidation allowBlank="1" showInputMessage="1" showErrorMessage="1" promptTitle="Volume Displacement" prompt="(in meter cubes)" sqref="K6"/>
    <dataValidation allowBlank="1" showInputMessage="1" showErrorMessage="1" promptTitle="Bulbous bow" prompt="Transverse area" sqref="K5"/>
    <dataValidation allowBlank="1" showInputMessage="1" showErrorMessage="1" promptTitle="Area of midship" prompt="(Area upto LWL)" sqref="K4 K2"/>
    <dataValidation type="decimal" allowBlank="1" showInputMessage="1" showErrorMessage="1" errorTitle="Draft" error="Solutions:_x000a_&gt; Enter positive number._x000a_&gt; Should not be greater than depth._x000a_Press Esc" prompt="Draft" sqref="E6">
      <formula1>1E-32</formula1>
      <formula2>DEPTH</formula2>
    </dataValidation>
    <dataValidation type="decimal" operator="greaterThan" allowBlank="1" showInputMessage="1" showErrorMessage="1" errorTitle="Length between Perpendiculars" error="Enter positive number" promptTitle="Length between perpendiculars" prompt=" " sqref="E3">
      <formula1>0</formula1>
    </dataValidation>
    <dataValidation type="decimal" allowBlank="1" showInputMessage="1" showErrorMessage="1" errorTitle="Waterline Spacing" error="Solutions:_x000a_&gt; Enter positive number._x000a_&gt; Should not be greater than depth" promptTitle="Waterline Spacing" prompt=" " sqref="E7">
      <formula1>1E-31</formula1>
      <formula2>DEPTH</formula2>
    </dataValidation>
  </dataValidations>
  <hyperlinks>
    <hyperlink ref="A16:A17" r:id="rId1" display="This workbook may contain errors"/>
    <hyperlink ref="A18" r:id="rId2"/>
  </hyperlinks>
  <pageMargins left="0.7" right="0.7" top="0.75" bottom="0.75" header="0.3" footer="0.3"/>
  <pageSetup paperSize="9" orientation="portrait" r:id="rId3"/>
  <legacyDrawing r:id="rId4"/>
  <extLst>
    <ext xmlns:x14="http://schemas.microsoft.com/office/spreadsheetml/2009/9/main" uri="{CCE6A557-97BC-4b89-ADB6-D9C93CAAB3DF}">
      <x14:dataValidations xmlns:xm="http://schemas.microsoft.com/office/excel/2006/main" count="2">
        <x14:dataValidation type="decimal" operator="equal" allowBlank="1" showInputMessage="1" showErrorMessage="1" errorTitle="Breadth" error="Reasons_x000a_1. Enter positive  number._x000a_2. Not matching with offset._x000a_Press Esc." prompt="Breadth">
          <x14:formula1>
            <xm:f>MAX(Offset!U3:AS27)*2</xm:f>
          </x14:formula1>
          <xm:sqref>E4</xm:sqref>
        </x14:dataValidation>
        <x14:dataValidation type="decimal" operator="greaterThanOrEqual" allowBlank="1" showInputMessage="1" showErrorMessage="1" errorTitle="Depth" error="Reasons:_x000a_1. Enter positive number. _x000a_2. Dont match with the offset. _x000a_3. Enter correct Waterline Spacing first" prompt="Depth">
          <x14:formula1>
            <xm:f>Tools!F45</xm:f>
          </x14:formula1>
          <xm:sqref>E5</xm:sqref>
        </x14:dataValidation>
      </x14:dataValidations>
    </ext>
  </extLst>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tabColor theme="5" tint="0.39997558519241921"/>
  </sheetPr>
  <dimension ref="C1:AN69"/>
  <sheetViews>
    <sheetView showGridLines="0" showRowColHeaders="0" zoomScale="70" zoomScaleNormal="70" workbookViewId="0">
      <selection activeCell="AE12" sqref="AE12"/>
    </sheetView>
  </sheetViews>
  <sheetFormatPr defaultRowHeight="15" x14ac:dyDescent="0.25"/>
  <cols>
    <col min="1" max="1" width="9.140625" style="130" customWidth="1"/>
    <col min="2" max="2" width="9.28515625" style="130" customWidth="1"/>
    <col min="3" max="16384" width="9.140625" style="130"/>
  </cols>
  <sheetData>
    <row r="1" spans="15:40" ht="23.25" x14ac:dyDescent="0.35">
      <c r="O1" s="500" t="s">
        <v>18</v>
      </c>
      <c r="P1" s="500"/>
      <c r="Q1" s="500"/>
      <c r="R1" s="501"/>
      <c r="S1" s="501"/>
      <c r="T1" s="501"/>
      <c r="U1" s="501"/>
      <c r="V1" s="501"/>
      <c r="W1" s="501"/>
    </row>
    <row r="2" spans="15:40" x14ac:dyDescent="0.25">
      <c r="O2" s="131" t="str">
        <f t="array" ref="O2:AN27">Tools!A69:Z94</f>
        <v>STN/WL</v>
      </c>
      <c r="P2" s="131">
        <v>0</v>
      </c>
      <c r="Q2" s="131">
        <v>0.25</v>
      </c>
      <c r="R2" s="131">
        <v>0.5</v>
      </c>
      <c r="S2" s="131">
        <v>0.75</v>
      </c>
      <c r="T2" s="131">
        <v>1</v>
      </c>
      <c r="U2" s="131">
        <v>2</v>
      </c>
      <c r="V2" s="131">
        <v>3</v>
      </c>
      <c r="W2" s="131">
        <v>4</v>
      </c>
      <c r="X2" s="131">
        <v>4.8499999999999996</v>
      </c>
      <c r="Y2" s="131">
        <v>5</v>
      </c>
      <c r="Z2" s="131">
        <v>6</v>
      </c>
      <c r="AA2" s="131">
        <v>6.5</v>
      </c>
      <c r="AB2" s="131" t="str">
        <v xml:space="preserve">  </v>
      </c>
      <c r="AC2" s="131" t="str">
        <v xml:space="preserve">  </v>
      </c>
      <c r="AD2" s="131" t="str">
        <v xml:space="preserve">  </v>
      </c>
      <c r="AE2" s="131" t="str">
        <v xml:space="preserve">  </v>
      </c>
      <c r="AF2" s="131" t="str">
        <v xml:space="preserve">  </v>
      </c>
      <c r="AG2" s="131" t="str">
        <v xml:space="preserve">  </v>
      </c>
      <c r="AH2" s="131" t="str">
        <v xml:space="preserve">  </v>
      </c>
      <c r="AI2" s="131" t="str">
        <v xml:space="preserve">  </v>
      </c>
      <c r="AJ2" s="131" t="str">
        <v xml:space="preserve">  </v>
      </c>
      <c r="AK2" s="131" t="str">
        <v xml:space="preserve">  </v>
      </c>
      <c r="AL2" s="131" t="str">
        <v xml:space="preserve">  </v>
      </c>
      <c r="AM2" s="131" t="str">
        <v xml:space="preserve">  </v>
      </c>
      <c r="AN2" s="131" t="str">
        <v xml:space="preserve">  </v>
      </c>
    </row>
    <row r="3" spans="15:40" x14ac:dyDescent="0.25">
      <c r="O3" s="131">
        <v>0</v>
      </c>
      <c r="P3" s="130">
        <v>0</v>
      </c>
      <c r="Q3" s="130">
        <v>0</v>
      </c>
      <c r="R3" s="130">
        <v>0</v>
      </c>
      <c r="S3" s="130">
        <v>0</v>
      </c>
      <c r="T3" s="130">
        <v>0</v>
      </c>
      <c r="U3" s="130">
        <v>0</v>
      </c>
      <c r="V3" s="130">
        <v>0</v>
      </c>
      <c r="W3" s="130">
        <v>0.9</v>
      </c>
      <c r="X3" s="130">
        <v>6.8329999999999975</v>
      </c>
      <c r="Y3" s="130">
        <v>8.6466666666666665</v>
      </c>
      <c r="Z3" s="130">
        <v>22.233333333333331</v>
      </c>
      <c r="AA3" s="130">
        <v>30.293333333333329</v>
      </c>
      <c r="AB3" s="130" t="str">
        <v xml:space="preserve"> </v>
      </c>
      <c r="AC3" s="130" t="str">
        <v xml:space="preserve"> </v>
      </c>
      <c r="AD3" s="130" t="str">
        <v xml:space="preserve"> </v>
      </c>
      <c r="AE3" s="130" t="str">
        <v xml:space="preserve"> </v>
      </c>
      <c r="AF3" s="130" t="str">
        <v xml:space="preserve"> </v>
      </c>
      <c r="AG3" s="130" t="str">
        <v xml:space="preserve"> </v>
      </c>
      <c r="AH3" s="130" t="str">
        <v xml:space="preserve"> </v>
      </c>
      <c r="AI3" s="130" t="str">
        <v xml:space="preserve"> </v>
      </c>
      <c r="AJ3" s="130" t="str">
        <v xml:space="preserve"> </v>
      </c>
      <c r="AK3" s="130" t="str">
        <v xml:space="preserve"> </v>
      </c>
      <c r="AL3" s="130" t="str">
        <v xml:space="preserve"> </v>
      </c>
      <c r="AM3" s="130" t="str">
        <v xml:space="preserve"> </v>
      </c>
      <c r="AN3" s="130" t="str">
        <v xml:space="preserve"> </v>
      </c>
    </row>
    <row r="4" spans="15:40" x14ac:dyDescent="0.25">
      <c r="O4" s="131">
        <v>0.5</v>
      </c>
      <c r="P4" s="130">
        <v>0</v>
      </c>
      <c r="Q4" s="130">
        <v>0.15833333333333333</v>
      </c>
      <c r="R4" s="130">
        <v>0.3666666666666667</v>
      </c>
      <c r="S4" s="130">
        <v>0.56166666666666665</v>
      </c>
      <c r="T4" s="130">
        <v>0.79666666666666663</v>
      </c>
      <c r="U4" s="130">
        <v>1.8733333333333333</v>
      </c>
      <c r="V4" s="130">
        <v>3.7699999999999996</v>
      </c>
      <c r="W4" s="130">
        <v>9.0733333333333341</v>
      </c>
      <c r="X4" s="130">
        <v>20.310333333333329</v>
      </c>
      <c r="Y4" s="130">
        <v>23.463333333333331</v>
      </c>
      <c r="Z4" s="130">
        <v>42.966666666666669</v>
      </c>
      <c r="AA4" s="130">
        <v>54.24666666666667</v>
      </c>
      <c r="AB4" s="130" t="str">
        <v xml:space="preserve"> </v>
      </c>
      <c r="AC4" s="130" t="str">
        <v xml:space="preserve"> </v>
      </c>
      <c r="AD4" s="130" t="str">
        <v xml:space="preserve"> </v>
      </c>
      <c r="AE4" s="130" t="str">
        <v xml:space="preserve"> </v>
      </c>
      <c r="AF4" s="130" t="str">
        <v xml:space="preserve"> </v>
      </c>
      <c r="AG4" s="130" t="str">
        <v xml:space="preserve"> </v>
      </c>
      <c r="AH4" s="130" t="str">
        <v xml:space="preserve"> </v>
      </c>
      <c r="AI4" s="130" t="str">
        <v xml:space="preserve"> </v>
      </c>
      <c r="AJ4" s="130" t="str">
        <v xml:space="preserve"> </v>
      </c>
      <c r="AK4" s="130" t="str">
        <v xml:space="preserve"> </v>
      </c>
      <c r="AL4" s="130" t="str">
        <v xml:space="preserve"> </v>
      </c>
      <c r="AM4" s="130" t="str">
        <v xml:space="preserve"> </v>
      </c>
      <c r="AN4" s="130" t="str">
        <v xml:space="preserve"> </v>
      </c>
    </row>
    <row r="5" spans="15:40" x14ac:dyDescent="0.25">
      <c r="O5" s="131">
        <v>1</v>
      </c>
      <c r="P5" s="130">
        <v>0</v>
      </c>
      <c r="Q5" s="130">
        <v>0.40166666666666667</v>
      </c>
      <c r="R5" s="130">
        <v>0.99333333333333329</v>
      </c>
      <c r="S5" s="130">
        <v>1.7516666666666665</v>
      </c>
      <c r="T5" s="130">
        <v>2.6533333333333333</v>
      </c>
      <c r="U5" s="130">
        <v>7.37</v>
      </c>
      <c r="V5" s="130">
        <v>14.666666666666664</v>
      </c>
      <c r="W5" s="130">
        <v>26.743333333333332</v>
      </c>
      <c r="X5" s="130">
        <v>43.029333333333327</v>
      </c>
      <c r="Y5" s="130">
        <v>46.786666666666662</v>
      </c>
      <c r="Z5" s="130">
        <v>71.98333333333332</v>
      </c>
      <c r="AA5" s="130">
        <v>86.053333333333313</v>
      </c>
      <c r="AB5" s="130" t="str">
        <v xml:space="preserve"> </v>
      </c>
      <c r="AC5" s="130" t="str">
        <v xml:space="preserve"> </v>
      </c>
      <c r="AD5" s="130" t="str">
        <v xml:space="preserve"> </v>
      </c>
      <c r="AE5" s="130" t="str">
        <v xml:space="preserve"> </v>
      </c>
      <c r="AF5" s="130" t="str">
        <v xml:space="preserve"> </v>
      </c>
      <c r="AG5" s="130" t="str">
        <v xml:space="preserve"> </v>
      </c>
      <c r="AH5" s="130" t="str">
        <v xml:space="preserve"> </v>
      </c>
      <c r="AI5" s="130" t="str">
        <v xml:space="preserve"> </v>
      </c>
      <c r="AJ5" s="130" t="str">
        <v xml:space="preserve"> </v>
      </c>
      <c r="AK5" s="130" t="str">
        <v xml:space="preserve"> </v>
      </c>
      <c r="AL5" s="130" t="str">
        <v xml:space="preserve"> </v>
      </c>
      <c r="AM5" s="130" t="str">
        <v xml:space="preserve"> </v>
      </c>
      <c r="AN5" s="130" t="str">
        <v xml:space="preserve"> </v>
      </c>
    </row>
    <row r="6" spans="15:40" x14ac:dyDescent="0.25">
      <c r="O6" s="131">
        <v>1.5</v>
      </c>
      <c r="P6" s="130">
        <v>0</v>
      </c>
      <c r="Q6" s="130">
        <v>0.75583333333333336</v>
      </c>
      <c r="R6" s="130">
        <v>1.9366666666666668</v>
      </c>
      <c r="S6" s="130">
        <v>3.4358333333333335</v>
      </c>
      <c r="T6" s="130">
        <v>5.2166666666666668</v>
      </c>
      <c r="U6" s="130">
        <v>14.573333333333332</v>
      </c>
      <c r="V6" s="130">
        <v>27.870000000000005</v>
      </c>
      <c r="W6" s="130">
        <v>46.239999999999995</v>
      </c>
      <c r="X6" s="130">
        <v>67.183999999999983</v>
      </c>
      <c r="Y6" s="130">
        <v>71.696666666666658</v>
      </c>
      <c r="Z6" s="130">
        <v>101.6</v>
      </c>
      <c r="AA6" s="130">
        <v>118</v>
      </c>
      <c r="AB6" s="130" t="str">
        <v xml:space="preserve"> </v>
      </c>
      <c r="AC6" s="130" t="str">
        <v xml:space="preserve"> </v>
      </c>
      <c r="AD6" s="130" t="str">
        <v xml:space="preserve"> </v>
      </c>
      <c r="AE6" s="130" t="str">
        <v xml:space="preserve"> </v>
      </c>
      <c r="AF6" s="130" t="str">
        <v xml:space="preserve"> </v>
      </c>
      <c r="AG6" s="130" t="str">
        <v xml:space="preserve"> </v>
      </c>
      <c r="AH6" s="130" t="str">
        <v xml:space="preserve"> </v>
      </c>
      <c r="AI6" s="130" t="str">
        <v xml:space="preserve"> </v>
      </c>
      <c r="AJ6" s="130" t="str">
        <v xml:space="preserve"> </v>
      </c>
      <c r="AK6" s="130" t="str">
        <v xml:space="preserve"> </v>
      </c>
      <c r="AL6" s="130" t="str">
        <v xml:space="preserve"> </v>
      </c>
      <c r="AM6" s="130" t="str">
        <v xml:space="preserve"> </v>
      </c>
      <c r="AN6" s="130" t="str">
        <v xml:space="preserve"> </v>
      </c>
    </row>
    <row r="7" spans="15:40" x14ac:dyDescent="0.25">
      <c r="O7" s="131">
        <v>2</v>
      </c>
      <c r="P7" s="130">
        <v>0</v>
      </c>
      <c r="Q7" s="130">
        <v>1.2566666666666664</v>
      </c>
      <c r="R7" s="130">
        <v>3.1333333333333333</v>
      </c>
      <c r="S7" s="130">
        <v>5.5033333333333321</v>
      </c>
      <c r="T7" s="130">
        <v>8.2766666666666655</v>
      </c>
      <c r="U7" s="130">
        <v>22.519999999999996</v>
      </c>
      <c r="V7" s="130">
        <v>41.463333333333331</v>
      </c>
      <c r="W7" s="130">
        <v>65.173333333333318</v>
      </c>
      <c r="X7" s="130">
        <v>89.976333333333315</v>
      </c>
      <c r="Y7" s="130">
        <v>94.956666666666649</v>
      </c>
      <c r="Z7" s="130">
        <v>128.90666666666664</v>
      </c>
      <c r="AA7" s="130">
        <v>147.14666666666665</v>
      </c>
      <c r="AB7" s="130" t="str">
        <v xml:space="preserve"> </v>
      </c>
      <c r="AC7" s="130" t="str">
        <v xml:space="preserve"> </v>
      </c>
      <c r="AD7" s="130" t="str">
        <v xml:space="preserve"> </v>
      </c>
      <c r="AE7" s="130" t="str">
        <v xml:space="preserve"> </v>
      </c>
      <c r="AF7" s="130" t="str">
        <v xml:space="preserve"> </v>
      </c>
      <c r="AG7" s="130" t="str">
        <v xml:space="preserve"> </v>
      </c>
      <c r="AH7" s="130" t="str">
        <v xml:space="preserve"> </v>
      </c>
      <c r="AI7" s="130" t="str">
        <v xml:space="preserve"> </v>
      </c>
      <c r="AJ7" s="130" t="str">
        <v xml:space="preserve"> </v>
      </c>
      <c r="AK7" s="130" t="str">
        <v xml:space="preserve"> </v>
      </c>
      <c r="AL7" s="130" t="str">
        <v xml:space="preserve"> </v>
      </c>
      <c r="AM7" s="130" t="str">
        <v xml:space="preserve"> </v>
      </c>
      <c r="AN7" s="130" t="str">
        <v xml:space="preserve"> </v>
      </c>
    </row>
    <row r="8" spans="15:40" x14ac:dyDescent="0.25">
      <c r="O8" s="131">
        <v>3</v>
      </c>
      <c r="P8" s="130">
        <v>0</v>
      </c>
      <c r="Q8" s="130">
        <v>2.6574999999999998</v>
      </c>
      <c r="R8" s="130">
        <v>6.45</v>
      </c>
      <c r="S8" s="130">
        <v>10.897499999999997</v>
      </c>
      <c r="T8" s="130">
        <v>15.849999999999998</v>
      </c>
      <c r="U8" s="130">
        <v>39.633333333333326</v>
      </c>
      <c r="V8" s="130">
        <v>68.636666666666656</v>
      </c>
      <c r="W8" s="130">
        <v>101.44666666666666</v>
      </c>
      <c r="X8" s="130">
        <v>132.18266666666665</v>
      </c>
      <c r="Y8" s="130">
        <v>137.83666666666664</v>
      </c>
      <c r="Z8" s="130">
        <v>177.32666666666665</v>
      </c>
      <c r="AA8" s="130">
        <v>197.86666666666665</v>
      </c>
      <c r="AB8" s="130" t="str">
        <v xml:space="preserve"> </v>
      </c>
      <c r="AC8" s="130" t="str">
        <v xml:space="preserve"> </v>
      </c>
      <c r="AD8" s="130" t="str">
        <v xml:space="preserve"> </v>
      </c>
      <c r="AE8" s="130" t="str">
        <v xml:space="preserve"> </v>
      </c>
      <c r="AF8" s="130" t="str">
        <v xml:space="preserve"> </v>
      </c>
      <c r="AG8" s="130" t="str">
        <v xml:space="preserve"> </v>
      </c>
      <c r="AH8" s="130" t="str">
        <v xml:space="preserve"> </v>
      </c>
      <c r="AI8" s="130" t="str">
        <v xml:space="preserve"> </v>
      </c>
      <c r="AJ8" s="130" t="str">
        <v xml:space="preserve"> </v>
      </c>
      <c r="AK8" s="130" t="str">
        <v xml:space="preserve"> </v>
      </c>
      <c r="AL8" s="130" t="str">
        <v xml:space="preserve"> </v>
      </c>
      <c r="AM8" s="130" t="str">
        <v xml:space="preserve"> </v>
      </c>
      <c r="AN8" s="130" t="str">
        <v xml:space="preserve"> </v>
      </c>
    </row>
    <row r="9" spans="15:40" x14ac:dyDescent="0.25">
      <c r="O9" s="131">
        <v>4</v>
      </c>
      <c r="P9" s="130">
        <v>0</v>
      </c>
      <c r="Q9" s="130">
        <v>4.6150000000000002</v>
      </c>
      <c r="R9" s="130">
        <v>10.46</v>
      </c>
      <c r="S9" s="130">
        <v>17.015000000000001</v>
      </c>
      <c r="T9" s="130">
        <v>24.083333333333332</v>
      </c>
      <c r="U9" s="130">
        <v>56.043333333333329</v>
      </c>
      <c r="V9" s="130">
        <v>92.323333333333309</v>
      </c>
      <c r="W9" s="130">
        <v>131.38999999999999</v>
      </c>
      <c r="X9" s="130">
        <v>166.32499999999996</v>
      </c>
      <c r="Y9" s="130">
        <v>172.78999999999996</v>
      </c>
      <c r="Z9" s="130">
        <v>215.25666666666666</v>
      </c>
      <c r="AA9" s="130">
        <v>236.92666666666668</v>
      </c>
      <c r="AB9" s="130" t="str">
        <v xml:space="preserve"> </v>
      </c>
      <c r="AC9" s="130" t="str">
        <v xml:space="preserve"> </v>
      </c>
      <c r="AD9" s="130" t="str">
        <v xml:space="preserve"> </v>
      </c>
      <c r="AE9" s="130" t="str">
        <v xml:space="preserve"> </v>
      </c>
      <c r="AF9" s="130" t="str">
        <v xml:space="preserve"> </v>
      </c>
      <c r="AG9" s="130" t="str">
        <v xml:space="preserve"> </v>
      </c>
      <c r="AH9" s="130" t="str">
        <v xml:space="preserve"> </v>
      </c>
      <c r="AI9" s="130" t="str">
        <v xml:space="preserve"> </v>
      </c>
      <c r="AJ9" s="130" t="str">
        <v xml:space="preserve"> </v>
      </c>
      <c r="AK9" s="130" t="str">
        <v xml:space="preserve"> </v>
      </c>
      <c r="AL9" s="130" t="str">
        <v xml:space="preserve"> </v>
      </c>
      <c r="AM9" s="130" t="str">
        <v xml:space="preserve"> </v>
      </c>
      <c r="AN9" s="130" t="str">
        <v xml:space="preserve"> </v>
      </c>
    </row>
    <row r="10" spans="15:40" x14ac:dyDescent="0.25">
      <c r="O10" s="131">
        <v>5</v>
      </c>
      <c r="P10" s="130">
        <v>0</v>
      </c>
      <c r="Q10" s="130">
        <v>6.6216666666666661</v>
      </c>
      <c r="R10" s="130">
        <v>14.353333333333332</v>
      </c>
      <c r="S10" s="130">
        <v>22.768333333333331</v>
      </c>
      <c r="T10" s="130">
        <v>31.68333333333333</v>
      </c>
      <c r="U10" s="130">
        <v>69.899999999999991</v>
      </c>
      <c r="V10" s="130">
        <v>110.57666666666665</v>
      </c>
      <c r="W10" s="130">
        <v>152.20666666666665</v>
      </c>
      <c r="X10" s="130">
        <v>188.41666666666663</v>
      </c>
      <c r="Y10" s="130">
        <v>195.05666666666667</v>
      </c>
      <c r="Z10" s="130">
        <v>238.12666666666664</v>
      </c>
      <c r="AA10" s="130">
        <v>260.02666666666664</v>
      </c>
      <c r="AB10" s="130" t="str">
        <v xml:space="preserve"> </v>
      </c>
      <c r="AC10" s="130" t="str">
        <v xml:space="preserve"> </v>
      </c>
      <c r="AD10" s="130" t="str">
        <v xml:space="preserve"> </v>
      </c>
      <c r="AE10" s="130" t="str">
        <v xml:space="preserve"> </v>
      </c>
      <c r="AF10" s="130" t="str">
        <v xml:space="preserve"> </v>
      </c>
      <c r="AG10" s="130" t="str">
        <v xml:space="preserve"> </v>
      </c>
      <c r="AH10" s="130" t="str">
        <v xml:space="preserve"> </v>
      </c>
      <c r="AI10" s="130" t="str">
        <v xml:space="preserve"> </v>
      </c>
      <c r="AJ10" s="130" t="str">
        <v xml:space="preserve"> </v>
      </c>
      <c r="AK10" s="130" t="str">
        <v xml:space="preserve"> </v>
      </c>
      <c r="AL10" s="130" t="str">
        <v xml:space="preserve"> </v>
      </c>
      <c r="AM10" s="130" t="str">
        <v xml:space="preserve"> </v>
      </c>
      <c r="AN10" s="130" t="str">
        <v xml:space="preserve"> </v>
      </c>
    </row>
    <row r="11" spans="15:40" x14ac:dyDescent="0.25">
      <c r="O11" s="131">
        <v>6</v>
      </c>
      <c r="P11" s="130">
        <v>0</v>
      </c>
      <c r="Q11" s="130">
        <v>8.4333333333333336</v>
      </c>
      <c r="R11" s="130">
        <v>17.666666666666664</v>
      </c>
      <c r="S11" s="130">
        <v>27.38</v>
      </c>
      <c r="T11" s="130">
        <v>37.486666666666665</v>
      </c>
      <c r="U11" s="130">
        <v>79.653333333333336</v>
      </c>
      <c r="V11" s="130">
        <v>123.22000000000001</v>
      </c>
      <c r="W11" s="130">
        <v>166.85333333333335</v>
      </c>
      <c r="X11" s="130">
        <v>204.25333333333333</v>
      </c>
      <c r="Y11" s="130">
        <v>211.0866666666667</v>
      </c>
      <c r="Z11" s="130">
        <v>254.85333333333335</v>
      </c>
      <c r="AA11" s="130">
        <v>276.85333333333335</v>
      </c>
      <c r="AB11" s="130" t="str">
        <v xml:space="preserve"> </v>
      </c>
      <c r="AC11" s="130" t="str">
        <v xml:space="preserve"> </v>
      </c>
      <c r="AD11" s="130" t="str">
        <v xml:space="preserve"> </v>
      </c>
      <c r="AE11" s="130" t="str">
        <v xml:space="preserve"> </v>
      </c>
      <c r="AF11" s="130" t="str">
        <v xml:space="preserve"> </v>
      </c>
      <c r="AG11" s="130" t="str">
        <v xml:space="preserve"> </v>
      </c>
      <c r="AH11" s="130" t="str">
        <v xml:space="preserve"> </v>
      </c>
      <c r="AI11" s="130" t="str">
        <v xml:space="preserve"> </v>
      </c>
      <c r="AJ11" s="130" t="str">
        <v xml:space="preserve"> </v>
      </c>
      <c r="AK11" s="130" t="str">
        <v xml:space="preserve"> </v>
      </c>
      <c r="AL11" s="130" t="str">
        <v xml:space="preserve"> </v>
      </c>
      <c r="AM11" s="130" t="str">
        <v xml:space="preserve"> </v>
      </c>
      <c r="AN11" s="130" t="str">
        <v xml:space="preserve"> </v>
      </c>
    </row>
    <row r="12" spans="15:40" x14ac:dyDescent="0.25">
      <c r="O12" s="131">
        <v>7</v>
      </c>
      <c r="P12" s="130">
        <v>0</v>
      </c>
      <c r="Q12" s="130">
        <v>9.4450000000000003</v>
      </c>
      <c r="R12" s="130">
        <v>19.54</v>
      </c>
      <c r="S12" s="130">
        <v>29.988333333333333</v>
      </c>
      <c r="T12" s="130">
        <v>40.706666666666663</v>
      </c>
      <c r="U12" s="130">
        <v>84.373333333333335</v>
      </c>
      <c r="V12" s="130">
        <v>128.44</v>
      </c>
      <c r="W12" s="130">
        <v>172.37333333333333</v>
      </c>
      <c r="X12" s="130">
        <v>209.77333333333331</v>
      </c>
      <c r="Y12" s="130">
        <v>216.44</v>
      </c>
      <c r="Z12" s="130">
        <v>260.37333333333333</v>
      </c>
      <c r="AA12" s="130">
        <v>282.37333333333333</v>
      </c>
      <c r="AB12" s="130" t="str">
        <v xml:space="preserve"> </v>
      </c>
      <c r="AC12" s="130" t="str">
        <v xml:space="preserve"> </v>
      </c>
      <c r="AD12" s="130" t="str">
        <v xml:space="preserve"> </v>
      </c>
      <c r="AE12" s="130" t="str">
        <v xml:space="preserve"> </v>
      </c>
      <c r="AF12" s="130" t="str">
        <v xml:space="preserve"> </v>
      </c>
      <c r="AG12" s="130" t="str">
        <v xml:space="preserve"> </v>
      </c>
      <c r="AH12" s="130" t="str">
        <v xml:space="preserve"> </v>
      </c>
      <c r="AI12" s="130" t="str">
        <v xml:space="preserve"> </v>
      </c>
      <c r="AJ12" s="130" t="str">
        <v xml:space="preserve"> </v>
      </c>
      <c r="AK12" s="130" t="str">
        <v xml:space="preserve"> </v>
      </c>
      <c r="AL12" s="130" t="str">
        <v xml:space="preserve"> </v>
      </c>
      <c r="AM12" s="130" t="str">
        <v xml:space="preserve"> </v>
      </c>
      <c r="AN12" s="130" t="str">
        <v xml:space="preserve"> </v>
      </c>
    </row>
    <row r="13" spans="15:40" x14ac:dyDescent="0.25">
      <c r="O13" s="131">
        <v>8</v>
      </c>
      <c r="P13" s="130">
        <v>0</v>
      </c>
      <c r="Q13" s="130">
        <v>9.9558333333333309</v>
      </c>
      <c r="R13" s="130">
        <v>20.496666666666666</v>
      </c>
      <c r="S13" s="130">
        <v>31.259166666666662</v>
      </c>
      <c r="T13" s="130">
        <v>42.25333333333333</v>
      </c>
      <c r="U13" s="130">
        <v>86.25333333333333</v>
      </c>
      <c r="V13" s="130">
        <v>130.25333333333333</v>
      </c>
      <c r="W13" s="130">
        <v>174.25333333333333</v>
      </c>
      <c r="X13" s="130">
        <v>211.65333333333331</v>
      </c>
      <c r="Y13" s="130">
        <v>218.25333333333333</v>
      </c>
      <c r="Z13" s="130">
        <v>262.25333333333333</v>
      </c>
      <c r="AA13" s="130">
        <v>284.25333333333333</v>
      </c>
      <c r="AB13" s="130" t="str">
        <v xml:space="preserve"> </v>
      </c>
      <c r="AC13" s="130" t="str">
        <v xml:space="preserve"> </v>
      </c>
      <c r="AD13" s="130" t="str">
        <v xml:space="preserve"> </v>
      </c>
      <c r="AE13" s="130" t="str">
        <v xml:space="preserve"> </v>
      </c>
      <c r="AF13" s="130" t="str">
        <v xml:space="preserve"> </v>
      </c>
      <c r="AG13" s="130" t="str">
        <v xml:space="preserve"> </v>
      </c>
      <c r="AH13" s="130" t="str">
        <v xml:space="preserve"> </v>
      </c>
      <c r="AI13" s="130" t="str">
        <v xml:space="preserve"> </v>
      </c>
      <c r="AJ13" s="130" t="str">
        <v xml:space="preserve"> </v>
      </c>
      <c r="AK13" s="130" t="str">
        <v xml:space="preserve"> </v>
      </c>
      <c r="AL13" s="130" t="str">
        <v xml:space="preserve"> </v>
      </c>
      <c r="AM13" s="130" t="str">
        <v xml:space="preserve"> </v>
      </c>
      <c r="AN13" s="130" t="str">
        <v xml:space="preserve"> </v>
      </c>
    </row>
    <row r="14" spans="15:40" x14ac:dyDescent="0.25">
      <c r="O14" s="131">
        <v>9</v>
      </c>
      <c r="P14" s="130">
        <v>0</v>
      </c>
      <c r="Q14" s="130">
        <v>10.112499999999999</v>
      </c>
      <c r="R14" s="130">
        <v>20.75</v>
      </c>
      <c r="S14" s="130">
        <v>31.572499999999998</v>
      </c>
      <c r="T14" s="130">
        <v>42.573333333333331</v>
      </c>
      <c r="U14" s="130">
        <v>86.573333333333323</v>
      </c>
      <c r="V14" s="130">
        <v>130.57333333333332</v>
      </c>
      <c r="W14" s="130">
        <v>174.57333333333332</v>
      </c>
      <c r="X14" s="130">
        <v>211.9733333333333</v>
      </c>
      <c r="Y14" s="130">
        <v>218.57333333333332</v>
      </c>
      <c r="Z14" s="130">
        <v>262.57333333333332</v>
      </c>
      <c r="AA14" s="130">
        <v>284.57333333333332</v>
      </c>
      <c r="AB14" s="130" t="str">
        <v xml:space="preserve"> </v>
      </c>
      <c r="AC14" s="130" t="str">
        <v xml:space="preserve"> </v>
      </c>
      <c r="AD14" s="130" t="str">
        <v xml:space="preserve"> </v>
      </c>
      <c r="AE14" s="130" t="str">
        <v xml:space="preserve"> </v>
      </c>
      <c r="AF14" s="130" t="str">
        <v xml:space="preserve"> </v>
      </c>
      <c r="AG14" s="130" t="str">
        <v xml:space="preserve"> </v>
      </c>
      <c r="AH14" s="130" t="str">
        <v xml:space="preserve"> </v>
      </c>
      <c r="AI14" s="130" t="str">
        <v xml:space="preserve"> </v>
      </c>
      <c r="AJ14" s="130" t="str">
        <v xml:space="preserve"> </v>
      </c>
      <c r="AK14" s="130" t="str">
        <v xml:space="preserve"> </v>
      </c>
      <c r="AL14" s="130" t="str">
        <v xml:space="preserve"> </v>
      </c>
      <c r="AM14" s="130" t="str">
        <v xml:space="preserve"> </v>
      </c>
      <c r="AN14" s="130" t="str">
        <v xml:space="preserve"> </v>
      </c>
    </row>
    <row r="15" spans="15:40" x14ac:dyDescent="0.25">
      <c r="O15" s="131">
        <v>10</v>
      </c>
      <c r="P15" s="130">
        <v>0</v>
      </c>
      <c r="Q15" s="130">
        <v>10.112499999999999</v>
      </c>
      <c r="R15" s="130">
        <v>20.75</v>
      </c>
      <c r="S15" s="130">
        <v>31.572499999999998</v>
      </c>
      <c r="T15" s="130">
        <v>42.573333333333331</v>
      </c>
      <c r="U15" s="130">
        <v>86.573333333333323</v>
      </c>
      <c r="V15" s="130">
        <v>130.57333333333332</v>
      </c>
      <c r="W15" s="130">
        <v>174.57333333333332</v>
      </c>
      <c r="X15" s="130">
        <v>211.9733333333333</v>
      </c>
      <c r="Y15" s="130">
        <v>218.57333333333332</v>
      </c>
      <c r="Z15" s="130">
        <v>262.57333333333332</v>
      </c>
      <c r="AA15" s="130">
        <v>284.57333333333332</v>
      </c>
      <c r="AB15" s="130" t="str">
        <v xml:space="preserve"> </v>
      </c>
      <c r="AC15" s="130" t="str">
        <v xml:space="preserve"> </v>
      </c>
      <c r="AD15" s="130" t="str">
        <v xml:space="preserve"> </v>
      </c>
      <c r="AE15" s="130" t="str">
        <v xml:space="preserve"> </v>
      </c>
      <c r="AF15" s="130" t="str">
        <v xml:space="preserve"> </v>
      </c>
      <c r="AG15" s="130" t="str">
        <v xml:space="preserve"> </v>
      </c>
      <c r="AH15" s="130" t="str">
        <v xml:space="preserve"> </v>
      </c>
      <c r="AI15" s="130" t="str">
        <v xml:space="preserve"> </v>
      </c>
      <c r="AJ15" s="130" t="str">
        <v xml:space="preserve"> </v>
      </c>
      <c r="AK15" s="130" t="str">
        <v xml:space="preserve"> </v>
      </c>
      <c r="AL15" s="130" t="str">
        <v xml:space="preserve"> </v>
      </c>
      <c r="AM15" s="130" t="str">
        <v xml:space="preserve"> </v>
      </c>
      <c r="AN15" s="130" t="str">
        <v xml:space="preserve"> </v>
      </c>
    </row>
    <row r="16" spans="15:40" x14ac:dyDescent="0.25">
      <c r="O16" s="131">
        <v>11</v>
      </c>
      <c r="P16" s="130">
        <v>0</v>
      </c>
      <c r="Q16" s="130">
        <v>10.112499999999999</v>
      </c>
      <c r="R16" s="130">
        <v>20.75</v>
      </c>
      <c r="S16" s="130">
        <v>31.572499999999998</v>
      </c>
      <c r="T16" s="130">
        <v>42.573333333333331</v>
      </c>
      <c r="U16" s="130">
        <v>86.573333333333323</v>
      </c>
      <c r="V16" s="130">
        <v>130.57333333333332</v>
      </c>
      <c r="W16" s="130">
        <v>174.57333333333332</v>
      </c>
      <c r="X16" s="130">
        <v>211.9733333333333</v>
      </c>
      <c r="Y16" s="130">
        <v>218.57333333333332</v>
      </c>
      <c r="Z16" s="130">
        <v>262.57333333333332</v>
      </c>
      <c r="AA16" s="130">
        <v>284.57333333333332</v>
      </c>
      <c r="AB16" s="130" t="str">
        <v xml:space="preserve"> </v>
      </c>
      <c r="AC16" s="130" t="str">
        <v xml:space="preserve"> </v>
      </c>
      <c r="AD16" s="130" t="str">
        <v xml:space="preserve"> </v>
      </c>
      <c r="AE16" s="130" t="str">
        <v xml:space="preserve"> </v>
      </c>
      <c r="AF16" s="130" t="str">
        <v xml:space="preserve"> </v>
      </c>
      <c r="AG16" s="130" t="str">
        <v xml:space="preserve"> </v>
      </c>
      <c r="AH16" s="130" t="str">
        <v xml:space="preserve"> </v>
      </c>
      <c r="AI16" s="130" t="str">
        <v xml:space="preserve"> </v>
      </c>
      <c r="AJ16" s="130" t="str">
        <v xml:space="preserve"> </v>
      </c>
      <c r="AK16" s="130" t="str">
        <v xml:space="preserve"> </v>
      </c>
      <c r="AL16" s="130" t="str">
        <v xml:space="preserve"> </v>
      </c>
      <c r="AM16" s="130" t="str">
        <v xml:space="preserve"> </v>
      </c>
      <c r="AN16" s="130" t="str">
        <v xml:space="preserve"> </v>
      </c>
    </row>
    <row r="17" spans="15:40" x14ac:dyDescent="0.25">
      <c r="O17" s="131">
        <v>12</v>
      </c>
      <c r="P17" s="130">
        <v>0</v>
      </c>
      <c r="Q17" s="130">
        <v>10.112499999999999</v>
      </c>
      <c r="R17" s="130">
        <v>20.75</v>
      </c>
      <c r="S17" s="130">
        <v>31.572499999999998</v>
      </c>
      <c r="T17" s="130">
        <v>42.573333333333331</v>
      </c>
      <c r="U17" s="130">
        <v>86.573333333333323</v>
      </c>
      <c r="V17" s="130">
        <v>130.57333333333332</v>
      </c>
      <c r="W17" s="130">
        <v>174.57333333333332</v>
      </c>
      <c r="X17" s="130">
        <v>211.9733333333333</v>
      </c>
      <c r="Y17" s="130">
        <v>218.57333333333332</v>
      </c>
      <c r="Z17" s="130">
        <v>262.57333333333332</v>
      </c>
      <c r="AA17" s="130">
        <v>284.57333333333332</v>
      </c>
      <c r="AB17" s="130" t="str">
        <v xml:space="preserve"> </v>
      </c>
      <c r="AC17" s="130" t="str">
        <v xml:space="preserve"> </v>
      </c>
      <c r="AD17" s="130" t="str">
        <v xml:space="preserve"> </v>
      </c>
      <c r="AE17" s="130" t="str">
        <v xml:space="preserve"> </v>
      </c>
      <c r="AF17" s="130" t="str">
        <v xml:space="preserve"> </v>
      </c>
      <c r="AG17" s="130" t="str">
        <v xml:space="preserve"> </v>
      </c>
      <c r="AH17" s="130" t="str">
        <v xml:space="preserve"> </v>
      </c>
      <c r="AI17" s="130" t="str">
        <v xml:space="preserve"> </v>
      </c>
      <c r="AJ17" s="130" t="str">
        <v xml:space="preserve"> </v>
      </c>
      <c r="AK17" s="130" t="str">
        <v xml:space="preserve"> </v>
      </c>
      <c r="AL17" s="130" t="str">
        <v xml:space="preserve"> </v>
      </c>
      <c r="AM17" s="130" t="str">
        <v xml:space="preserve"> </v>
      </c>
      <c r="AN17" s="130" t="str">
        <v xml:space="preserve"> </v>
      </c>
    </row>
    <row r="18" spans="15:40" x14ac:dyDescent="0.25">
      <c r="O18" s="131">
        <v>13</v>
      </c>
      <c r="P18" s="130">
        <v>0</v>
      </c>
      <c r="Q18" s="130">
        <v>10.112499999999999</v>
      </c>
      <c r="R18" s="130">
        <v>20.75</v>
      </c>
      <c r="S18" s="130">
        <v>31.572499999999998</v>
      </c>
      <c r="T18" s="130">
        <v>42.573333333333331</v>
      </c>
      <c r="U18" s="130">
        <v>86.573333333333323</v>
      </c>
      <c r="V18" s="130">
        <v>130.57333333333332</v>
      </c>
      <c r="W18" s="130">
        <v>174.57333333333332</v>
      </c>
      <c r="X18" s="130">
        <v>211.9733333333333</v>
      </c>
      <c r="Y18" s="130">
        <v>218.57333333333332</v>
      </c>
      <c r="Z18" s="130">
        <v>262.57333333333332</v>
      </c>
      <c r="AA18" s="130">
        <v>284.57333333333332</v>
      </c>
      <c r="AB18" s="130" t="str">
        <v xml:space="preserve"> </v>
      </c>
      <c r="AC18" s="130" t="str">
        <v xml:space="preserve"> </v>
      </c>
      <c r="AD18" s="130" t="str">
        <v xml:space="preserve"> </v>
      </c>
      <c r="AE18" s="130" t="str">
        <v xml:space="preserve"> </v>
      </c>
      <c r="AF18" s="130" t="str">
        <v xml:space="preserve"> </v>
      </c>
      <c r="AG18" s="130" t="str">
        <v xml:space="preserve"> </v>
      </c>
      <c r="AH18" s="130" t="str">
        <v xml:space="preserve"> </v>
      </c>
      <c r="AI18" s="130" t="str">
        <v xml:space="preserve"> </v>
      </c>
      <c r="AJ18" s="130" t="str">
        <v xml:space="preserve"> </v>
      </c>
      <c r="AK18" s="130" t="str">
        <v xml:space="preserve"> </v>
      </c>
      <c r="AL18" s="130" t="str">
        <v xml:space="preserve"> </v>
      </c>
      <c r="AM18" s="130" t="str">
        <v xml:space="preserve"> </v>
      </c>
      <c r="AN18" s="130" t="str">
        <v xml:space="preserve"> </v>
      </c>
    </row>
    <row r="19" spans="15:40" x14ac:dyDescent="0.25">
      <c r="O19" s="131">
        <v>14</v>
      </c>
      <c r="P19" s="130">
        <v>0</v>
      </c>
      <c r="Q19" s="130">
        <v>9.9499999999999993</v>
      </c>
      <c r="R19" s="130">
        <v>20.479999999999997</v>
      </c>
      <c r="S19" s="130">
        <v>31.226666666666663</v>
      </c>
      <c r="T19" s="130">
        <v>42.193333333333328</v>
      </c>
      <c r="U19" s="130">
        <v>86.193333333333328</v>
      </c>
      <c r="V19" s="130">
        <v>130.19333333333333</v>
      </c>
      <c r="W19" s="130">
        <v>174.19333333333333</v>
      </c>
      <c r="X19" s="130">
        <v>211.59333333333331</v>
      </c>
      <c r="Y19" s="130">
        <v>218.19333333333333</v>
      </c>
      <c r="Z19" s="130">
        <v>262.19333333333333</v>
      </c>
      <c r="AA19" s="130">
        <v>284.19333333333333</v>
      </c>
      <c r="AB19" s="130" t="str">
        <v xml:space="preserve"> </v>
      </c>
      <c r="AC19" s="130" t="str">
        <v xml:space="preserve"> </v>
      </c>
      <c r="AD19" s="130" t="str">
        <v xml:space="preserve"> </v>
      </c>
      <c r="AE19" s="130" t="str">
        <v xml:space="preserve"> </v>
      </c>
      <c r="AF19" s="130" t="str">
        <v xml:space="preserve"> </v>
      </c>
      <c r="AG19" s="130" t="str">
        <v xml:space="preserve"> </v>
      </c>
      <c r="AH19" s="130" t="str">
        <v xml:space="preserve"> </v>
      </c>
      <c r="AI19" s="130" t="str">
        <v xml:space="preserve"> </v>
      </c>
      <c r="AJ19" s="130" t="str">
        <v xml:space="preserve"> </v>
      </c>
      <c r="AK19" s="130" t="str">
        <v xml:space="preserve"> </v>
      </c>
      <c r="AL19" s="130" t="str">
        <v xml:space="preserve"> </v>
      </c>
      <c r="AM19" s="130" t="str">
        <v xml:space="preserve"> </v>
      </c>
      <c r="AN19" s="130" t="str">
        <v xml:space="preserve"> </v>
      </c>
    </row>
    <row r="20" spans="15:40" x14ac:dyDescent="0.25">
      <c r="O20" s="131">
        <v>15</v>
      </c>
      <c r="P20" s="130">
        <v>0</v>
      </c>
      <c r="Q20" s="130">
        <v>9.3649999999999984</v>
      </c>
      <c r="R20" s="130">
        <v>19.38</v>
      </c>
      <c r="S20" s="130">
        <v>29.71833333333333</v>
      </c>
      <c r="T20" s="130">
        <v>40.346666666666664</v>
      </c>
      <c r="U20" s="130">
        <v>83.846666666666664</v>
      </c>
      <c r="V20" s="130">
        <v>127.94666666666666</v>
      </c>
      <c r="W20" s="130">
        <v>171.84666666666666</v>
      </c>
      <c r="X20" s="130">
        <v>209.24666666666664</v>
      </c>
      <c r="Y20" s="130">
        <v>215.94666666666666</v>
      </c>
      <c r="Z20" s="130">
        <v>259.84666666666669</v>
      </c>
      <c r="AA20" s="130">
        <v>281.84666666666669</v>
      </c>
      <c r="AB20" s="130" t="str">
        <v xml:space="preserve"> </v>
      </c>
      <c r="AC20" s="130" t="str">
        <v xml:space="preserve"> </v>
      </c>
      <c r="AD20" s="130" t="str">
        <v xml:space="preserve"> </v>
      </c>
      <c r="AE20" s="130" t="str">
        <v xml:space="preserve"> </v>
      </c>
      <c r="AF20" s="130" t="str">
        <v xml:space="preserve"> </v>
      </c>
      <c r="AG20" s="130" t="str">
        <v xml:space="preserve"> </v>
      </c>
      <c r="AH20" s="130" t="str">
        <v xml:space="preserve"> </v>
      </c>
      <c r="AI20" s="130" t="str">
        <v xml:space="preserve"> </v>
      </c>
      <c r="AJ20" s="130" t="str">
        <v xml:space="preserve"> </v>
      </c>
      <c r="AK20" s="130" t="str">
        <v xml:space="preserve"> </v>
      </c>
      <c r="AL20" s="130" t="str">
        <v xml:space="preserve"> </v>
      </c>
      <c r="AM20" s="130" t="str">
        <v xml:space="preserve"> </v>
      </c>
      <c r="AN20" s="130" t="str">
        <v xml:space="preserve"> </v>
      </c>
    </row>
    <row r="21" spans="15:40" x14ac:dyDescent="0.25">
      <c r="O21" s="131">
        <v>16</v>
      </c>
      <c r="P21" s="130">
        <v>0</v>
      </c>
      <c r="Q21" s="130">
        <v>8.1541666666666668</v>
      </c>
      <c r="R21" s="130">
        <v>17.143333333333334</v>
      </c>
      <c r="S21" s="130">
        <v>26.614166666666662</v>
      </c>
      <c r="T21" s="130">
        <v>36.416666666666664</v>
      </c>
      <c r="U21" s="130">
        <v>77.366666666666674</v>
      </c>
      <c r="V21" s="130">
        <v>119.89666666666665</v>
      </c>
      <c r="W21" s="130">
        <v>162.83333333333331</v>
      </c>
      <c r="X21" s="130">
        <v>199.7063333333333</v>
      </c>
      <c r="Y21" s="130">
        <v>206.29666666666665</v>
      </c>
      <c r="Z21" s="130">
        <v>250.0333333333333</v>
      </c>
      <c r="AA21" s="130">
        <v>272.0333333333333</v>
      </c>
      <c r="AB21" s="130" t="str">
        <v xml:space="preserve"> </v>
      </c>
      <c r="AC21" s="130" t="str">
        <v xml:space="preserve"> </v>
      </c>
      <c r="AD21" s="130" t="str">
        <v xml:space="preserve"> </v>
      </c>
      <c r="AE21" s="130" t="str">
        <v xml:space="preserve"> </v>
      </c>
      <c r="AF21" s="130" t="str">
        <v xml:space="preserve"> </v>
      </c>
      <c r="AG21" s="130" t="str">
        <v xml:space="preserve"> </v>
      </c>
      <c r="AH21" s="130" t="str">
        <v xml:space="preserve"> </v>
      </c>
      <c r="AI21" s="130" t="str">
        <v xml:space="preserve"> </v>
      </c>
      <c r="AJ21" s="130" t="str">
        <v xml:space="preserve"> </v>
      </c>
      <c r="AK21" s="130" t="str">
        <v xml:space="preserve"> </v>
      </c>
      <c r="AL21" s="130" t="str">
        <v xml:space="preserve"> </v>
      </c>
      <c r="AM21" s="130" t="str">
        <v xml:space="preserve"> </v>
      </c>
      <c r="AN21" s="130" t="str">
        <v xml:space="preserve"> </v>
      </c>
    </row>
    <row r="22" spans="15:40" x14ac:dyDescent="0.25">
      <c r="O22" s="131">
        <v>17</v>
      </c>
      <c r="P22" s="130">
        <v>0</v>
      </c>
      <c r="Q22" s="130">
        <v>6.2966666666666669</v>
      </c>
      <c r="R22" s="130">
        <v>13.573333333333332</v>
      </c>
      <c r="S22" s="130">
        <v>21.353333333333332</v>
      </c>
      <c r="T22" s="130">
        <v>29.619999999999997</v>
      </c>
      <c r="U22" s="130">
        <v>65.276666666666671</v>
      </c>
      <c r="V22" s="130">
        <v>103.47333333333333</v>
      </c>
      <c r="W22" s="130">
        <v>142.70333333333332</v>
      </c>
      <c r="X22" s="130">
        <v>177.07733333333329</v>
      </c>
      <c r="Y22" s="130">
        <v>183.36666666666667</v>
      </c>
      <c r="Z22" s="130">
        <v>224.79666666666665</v>
      </c>
      <c r="AA22" s="130">
        <v>245.91666666666666</v>
      </c>
      <c r="AB22" s="130" t="str">
        <v xml:space="preserve"> </v>
      </c>
      <c r="AC22" s="130" t="str">
        <v xml:space="preserve"> </v>
      </c>
      <c r="AD22" s="130" t="str">
        <v xml:space="preserve"> </v>
      </c>
      <c r="AE22" s="130" t="str">
        <v xml:space="preserve"> </v>
      </c>
      <c r="AF22" s="130" t="str">
        <v xml:space="preserve"> </v>
      </c>
      <c r="AG22" s="130" t="str">
        <v xml:space="preserve"> </v>
      </c>
      <c r="AH22" s="130" t="str">
        <v xml:space="preserve"> </v>
      </c>
      <c r="AI22" s="130" t="str">
        <v xml:space="preserve"> </v>
      </c>
      <c r="AJ22" s="130" t="str">
        <v xml:space="preserve"> </v>
      </c>
      <c r="AK22" s="130" t="str">
        <v xml:space="preserve"> </v>
      </c>
      <c r="AL22" s="130" t="str">
        <v xml:space="preserve"> </v>
      </c>
      <c r="AM22" s="130" t="str">
        <v xml:space="preserve"> </v>
      </c>
      <c r="AN22" s="130" t="str">
        <v xml:space="preserve"> </v>
      </c>
    </row>
    <row r="23" spans="15:40" x14ac:dyDescent="0.25">
      <c r="O23" s="131">
        <v>18</v>
      </c>
      <c r="P23" s="130">
        <v>0</v>
      </c>
      <c r="Q23" s="130">
        <v>4.1124999999999998</v>
      </c>
      <c r="R23" s="130">
        <v>9.15</v>
      </c>
      <c r="S23" s="130">
        <v>14.752499999999998</v>
      </c>
      <c r="T23" s="130">
        <v>20.83</v>
      </c>
      <c r="U23" s="130">
        <v>47.536666666666662</v>
      </c>
      <c r="V23" s="130">
        <v>76.963333333333338</v>
      </c>
      <c r="W23" s="130">
        <v>107.92226666666666</v>
      </c>
      <c r="X23" s="130">
        <v>135.59877666666665</v>
      </c>
      <c r="Y23" s="130">
        <v>140.58573333333334</v>
      </c>
      <c r="Z23" s="130">
        <v>175.34786666666668</v>
      </c>
      <c r="AA23" s="130">
        <v>193.42786666666666</v>
      </c>
      <c r="AB23" s="130" t="str">
        <v xml:space="preserve"> </v>
      </c>
      <c r="AC23" s="130" t="str">
        <v xml:space="preserve"> </v>
      </c>
      <c r="AD23" s="130" t="str">
        <v xml:space="preserve"> </v>
      </c>
      <c r="AE23" s="130" t="str">
        <v xml:space="preserve"> </v>
      </c>
      <c r="AF23" s="130" t="str">
        <v xml:space="preserve"> </v>
      </c>
      <c r="AG23" s="130" t="str">
        <v xml:space="preserve"> </v>
      </c>
      <c r="AH23" s="130" t="str">
        <v xml:space="preserve"> </v>
      </c>
      <c r="AI23" s="130" t="str">
        <v xml:space="preserve"> </v>
      </c>
      <c r="AJ23" s="130" t="str">
        <v xml:space="preserve"> </v>
      </c>
      <c r="AK23" s="130" t="str">
        <v xml:space="preserve"> </v>
      </c>
      <c r="AL23" s="130" t="str">
        <v xml:space="preserve"> </v>
      </c>
      <c r="AM23" s="130" t="str">
        <v xml:space="preserve"> </v>
      </c>
      <c r="AN23" s="130" t="str">
        <v xml:space="preserve"> </v>
      </c>
    </row>
    <row r="24" spans="15:40" x14ac:dyDescent="0.25">
      <c r="O24" s="131">
        <v>18.5</v>
      </c>
      <c r="P24" s="130">
        <v>0</v>
      </c>
      <c r="Q24" s="130">
        <v>2.9008333333333329</v>
      </c>
      <c r="R24" s="130">
        <v>6.7166666666666659</v>
      </c>
      <c r="S24" s="130">
        <v>11.077499999999999</v>
      </c>
      <c r="T24" s="130">
        <v>15.836666666666666</v>
      </c>
      <c r="U24" s="130">
        <v>37.016666666666666</v>
      </c>
      <c r="V24" s="130">
        <v>60.476666666666659</v>
      </c>
      <c r="W24" s="130">
        <v>85.31</v>
      </c>
      <c r="X24" s="130">
        <v>107.767</v>
      </c>
      <c r="Y24" s="130">
        <v>111.83666666666664</v>
      </c>
      <c r="Z24" s="130">
        <v>140.68333333333334</v>
      </c>
      <c r="AA24" s="130">
        <v>155.98333333333335</v>
      </c>
      <c r="AB24" s="130" t="str">
        <v xml:space="preserve"> </v>
      </c>
      <c r="AC24" s="130" t="str">
        <v xml:space="preserve"> </v>
      </c>
      <c r="AD24" s="130" t="str">
        <v xml:space="preserve"> </v>
      </c>
      <c r="AE24" s="130" t="str">
        <v xml:space="preserve"> </v>
      </c>
      <c r="AF24" s="130" t="str">
        <v xml:space="preserve"> </v>
      </c>
      <c r="AG24" s="130" t="str">
        <v xml:space="preserve"> </v>
      </c>
      <c r="AH24" s="130" t="str">
        <v xml:space="preserve"> </v>
      </c>
      <c r="AI24" s="130" t="str">
        <v xml:space="preserve"> </v>
      </c>
      <c r="AJ24" s="130" t="str">
        <v xml:space="preserve"> </v>
      </c>
      <c r="AK24" s="130" t="str">
        <v xml:space="preserve"> </v>
      </c>
      <c r="AL24" s="130" t="str">
        <v xml:space="preserve"> </v>
      </c>
      <c r="AM24" s="130" t="str">
        <v xml:space="preserve"> </v>
      </c>
      <c r="AN24" s="130" t="str">
        <v xml:space="preserve"> </v>
      </c>
    </row>
    <row r="25" spans="15:40" x14ac:dyDescent="0.25">
      <c r="O25" s="131">
        <v>19</v>
      </c>
      <c r="P25" s="130">
        <v>0</v>
      </c>
      <c r="Q25" s="130">
        <v>1.8383333333333332</v>
      </c>
      <c r="R25" s="130">
        <v>4.4466666666666663</v>
      </c>
      <c r="S25" s="130">
        <v>7.4749999999999996</v>
      </c>
      <c r="T25" s="130">
        <v>10.903333333333332</v>
      </c>
      <c r="U25" s="130">
        <v>26.336666666666666</v>
      </c>
      <c r="V25" s="130">
        <v>43.17</v>
      </c>
      <c r="W25" s="130">
        <v>60.336666666666666</v>
      </c>
      <c r="X25" s="130">
        <v>76.214666666666659</v>
      </c>
      <c r="Y25" s="130">
        <v>79.236666666666665</v>
      </c>
      <c r="Z25" s="130">
        <v>100.09666666666666</v>
      </c>
      <c r="AA25" s="130">
        <v>111.62666666666667</v>
      </c>
      <c r="AB25" s="130" t="str">
        <v xml:space="preserve"> </v>
      </c>
      <c r="AC25" s="130" t="str">
        <v xml:space="preserve"> </v>
      </c>
      <c r="AD25" s="130" t="str">
        <v xml:space="preserve"> </v>
      </c>
      <c r="AE25" s="130" t="str">
        <v xml:space="preserve"> </v>
      </c>
      <c r="AF25" s="130" t="str">
        <v xml:space="preserve"> </v>
      </c>
      <c r="AG25" s="130" t="str">
        <v xml:space="preserve"> </v>
      </c>
      <c r="AH25" s="130" t="str">
        <v xml:space="preserve"> </v>
      </c>
      <c r="AI25" s="130" t="str">
        <v xml:space="preserve"> </v>
      </c>
      <c r="AJ25" s="130" t="str">
        <v xml:space="preserve"> </v>
      </c>
      <c r="AK25" s="130" t="str">
        <v xml:space="preserve"> </v>
      </c>
      <c r="AL25" s="130" t="str">
        <v xml:space="preserve"> </v>
      </c>
      <c r="AM25" s="130" t="str">
        <v xml:space="preserve"> </v>
      </c>
      <c r="AN25" s="130" t="str">
        <v xml:space="preserve"> </v>
      </c>
    </row>
    <row r="26" spans="15:40" x14ac:dyDescent="0.25">
      <c r="O26" s="131">
        <v>19.5</v>
      </c>
      <c r="P26" s="130">
        <v>0</v>
      </c>
      <c r="Q26" s="130">
        <v>0.83250000000000002</v>
      </c>
      <c r="R26" s="130">
        <v>2.3099999999999996</v>
      </c>
      <c r="S26" s="130">
        <v>4.1624999999999996</v>
      </c>
      <c r="T26" s="130">
        <v>6.3299999999999992</v>
      </c>
      <c r="U26" s="130">
        <v>16.366666666666664</v>
      </c>
      <c r="V26" s="130">
        <v>26.583333333333329</v>
      </c>
      <c r="W26" s="130">
        <v>35.566666666666663</v>
      </c>
      <c r="X26" s="130">
        <v>43.505666666666656</v>
      </c>
      <c r="Y26" s="130">
        <v>45.084933333333325</v>
      </c>
      <c r="Z26" s="130">
        <v>56.133066666666664</v>
      </c>
      <c r="AA26" s="130">
        <v>62.953066666666665</v>
      </c>
      <c r="AB26" s="130" t="str">
        <v xml:space="preserve"> </v>
      </c>
      <c r="AC26" s="130" t="str">
        <v xml:space="preserve"> </v>
      </c>
      <c r="AD26" s="130" t="str">
        <v xml:space="preserve"> </v>
      </c>
      <c r="AE26" s="130" t="str">
        <v xml:space="preserve"> </v>
      </c>
      <c r="AF26" s="130" t="str">
        <v xml:space="preserve"> </v>
      </c>
      <c r="AG26" s="130" t="str">
        <v xml:space="preserve"> </v>
      </c>
      <c r="AH26" s="130" t="str">
        <v xml:space="preserve"> </v>
      </c>
      <c r="AI26" s="130" t="str">
        <v xml:space="preserve"> </v>
      </c>
      <c r="AJ26" s="130" t="str">
        <v xml:space="preserve"> </v>
      </c>
      <c r="AK26" s="130" t="str">
        <v xml:space="preserve"> </v>
      </c>
      <c r="AL26" s="130" t="str">
        <v xml:space="preserve"> </v>
      </c>
      <c r="AM26" s="130" t="str">
        <v xml:space="preserve"> </v>
      </c>
      <c r="AN26" s="130" t="str">
        <v xml:space="preserve"> </v>
      </c>
    </row>
    <row r="27" spans="15:40" x14ac:dyDescent="0.25">
      <c r="O27" s="131">
        <v>20</v>
      </c>
      <c r="P27" s="130">
        <v>0</v>
      </c>
      <c r="Q27" s="130">
        <v>0.47499999999999998</v>
      </c>
      <c r="R27" s="130">
        <v>1.5</v>
      </c>
      <c r="S27" s="130">
        <v>2.8183333333333329</v>
      </c>
      <c r="T27" s="130">
        <v>4.3166666666666664</v>
      </c>
      <c r="U27" s="130">
        <v>9.6866666666666656</v>
      </c>
      <c r="V27" s="130">
        <v>12.996666666666666</v>
      </c>
      <c r="W27" s="130">
        <v>13.953333333333333</v>
      </c>
      <c r="X27" s="130">
        <v>14.089333333333332</v>
      </c>
      <c r="Y27" s="130">
        <v>14.129999999999999</v>
      </c>
      <c r="Z27" s="130">
        <v>15.286666666666667</v>
      </c>
      <c r="AA27" s="130">
        <v>17.716666666666669</v>
      </c>
      <c r="AB27" s="130" t="str">
        <v xml:space="preserve"> </v>
      </c>
      <c r="AC27" s="130" t="str">
        <v xml:space="preserve"> </v>
      </c>
      <c r="AD27" s="130" t="str">
        <v xml:space="preserve"> </v>
      </c>
      <c r="AE27" s="130" t="str">
        <v xml:space="preserve"> </v>
      </c>
      <c r="AF27" s="130" t="str">
        <v xml:space="preserve"> </v>
      </c>
      <c r="AG27" s="130" t="str">
        <v xml:space="preserve"> </v>
      </c>
      <c r="AH27" s="130" t="str">
        <v xml:space="preserve"> </v>
      </c>
      <c r="AI27" s="130" t="str">
        <v xml:space="preserve"> </v>
      </c>
      <c r="AJ27" s="130" t="str">
        <v xml:space="preserve"> </v>
      </c>
      <c r="AK27" s="130" t="str">
        <v xml:space="preserve"> </v>
      </c>
      <c r="AL27" s="130" t="str">
        <v xml:space="preserve"> </v>
      </c>
      <c r="AM27" s="130" t="str">
        <v xml:space="preserve"> </v>
      </c>
      <c r="AN27" s="130" t="str">
        <v xml:space="preserve"> </v>
      </c>
    </row>
    <row r="47" spans="3:5" x14ac:dyDescent="0.25">
      <c r="C47" s="502"/>
      <c r="D47" s="502"/>
      <c r="E47" s="502"/>
    </row>
    <row r="48" spans="3:5" x14ac:dyDescent="0.25">
      <c r="C48" s="502"/>
      <c r="D48" s="502"/>
      <c r="E48" s="502"/>
    </row>
    <row r="69" spans="16:16" x14ac:dyDescent="0.25">
      <c r="P69" s="130" t="s">
        <v>18</v>
      </c>
    </row>
  </sheetData>
  <sheetProtection password="C89D" sheet="1" objects="1" scenarios="1"/>
  <mergeCells count="3">
    <mergeCell ref="O1:Q1"/>
    <mergeCell ref="R1:W1"/>
    <mergeCell ref="C47:E48"/>
  </mergeCells>
  <conditionalFormatting sqref="A47:B48 F47:XFD48 A28:XFD46 AT1:XFD27 O2:AN27 O1 X1:AN1 A82:XFD1048576 A81:O81 Q81:XFD81 A49:XFD80">
    <cfRule type="containsBlanks" dxfId="49" priority="5">
      <formula>LEN(TRIM(A1))=0</formula>
    </cfRule>
  </conditionalFormatting>
  <conditionalFormatting sqref="O2:AN2">
    <cfRule type="notContainsBlanks" dxfId="48" priority="4">
      <formula>LEN(TRIM(O2))&gt;0</formula>
    </cfRule>
  </conditionalFormatting>
  <conditionalFormatting sqref="O3:O27">
    <cfRule type="notContainsBlanks" dxfId="47" priority="3">
      <formula>LEN(TRIM(O3))&gt;0</formula>
    </cfRule>
  </conditionalFormatting>
  <conditionalFormatting sqref="P3:AN27">
    <cfRule type="notContainsBlanks" dxfId="46" priority="2">
      <formula>LEN(TRIM(P3))&gt;0</formula>
    </cfRule>
  </conditionalFormatting>
  <conditionalFormatting sqref="R1">
    <cfRule type="containsBlanks" dxfId="45" priority="1">
      <formula>LEN(TRIM(R1))=0</formula>
    </cfRule>
  </conditionalFormatting>
  <pageMargins left="0.7" right="0.7" top="0.75" bottom="0.75" header="0.3" footer="0.3"/>
  <pageSetup paperSize="9" orientation="portrait" r:id="rId1"/>
  <drawing r:id="rId2"/>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tabColor theme="5" tint="0.59999389629810485"/>
  </sheetPr>
  <dimension ref="A1:AN77"/>
  <sheetViews>
    <sheetView showGridLines="0" showRowColHeaders="0" zoomScale="70" zoomScaleNormal="70" workbookViewId="0">
      <selection activeCell="Q28" sqref="Q28"/>
    </sheetView>
  </sheetViews>
  <sheetFormatPr defaultRowHeight="15" x14ac:dyDescent="0.25"/>
  <cols>
    <col min="1" max="16384" width="9.140625" style="132"/>
  </cols>
  <sheetData>
    <row r="1" spans="1:40" ht="23.25" x14ac:dyDescent="0.35">
      <c r="A1" s="130"/>
      <c r="O1" s="500" t="s">
        <v>20</v>
      </c>
      <c r="P1" s="500"/>
      <c r="Q1" s="500"/>
      <c r="R1" s="501" t="str">
        <f>IF(DEPTH="EXPIRED","WORKBOOK EXPIRED!","")</f>
        <v/>
      </c>
      <c r="S1" s="501"/>
      <c r="T1" s="501"/>
      <c r="U1" s="501"/>
      <c r="V1" s="501"/>
      <c r="W1" s="501"/>
      <c r="X1" s="130"/>
      <c r="Y1" s="130"/>
      <c r="Z1" s="130"/>
      <c r="AA1" s="130"/>
      <c r="AB1" s="130"/>
      <c r="AC1" s="130"/>
      <c r="AD1" s="130"/>
      <c r="AE1" s="130"/>
      <c r="AF1" s="130"/>
      <c r="AG1" s="130"/>
      <c r="AH1" s="130"/>
      <c r="AI1" s="130"/>
      <c r="AJ1" s="130"/>
      <c r="AK1" s="130"/>
      <c r="AL1" s="130"/>
      <c r="AM1" s="130"/>
      <c r="AN1" s="130"/>
    </row>
    <row r="2" spans="1:40" x14ac:dyDescent="0.25">
      <c r="O2" s="133" t="str">
        <f t="array" ref="O2:AN27">Tools!AB69:BA94</f>
        <v>STN/WL</v>
      </c>
      <c r="P2" s="134">
        <v>0</v>
      </c>
      <c r="Q2" s="134">
        <v>0.25</v>
      </c>
      <c r="R2" s="134">
        <v>0.5</v>
      </c>
      <c r="S2" s="134">
        <v>0.75</v>
      </c>
      <c r="T2" s="134">
        <v>1</v>
      </c>
      <c r="U2" s="134">
        <v>2</v>
      </c>
      <c r="V2" s="134">
        <v>3</v>
      </c>
      <c r="W2" s="134">
        <v>4</v>
      </c>
      <c r="X2" s="134">
        <v>4.8499999999999996</v>
      </c>
      <c r="Y2" s="134">
        <v>5</v>
      </c>
      <c r="Z2" s="134">
        <v>6</v>
      </c>
      <c r="AA2" s="134">
        <v>6.5</v>
      </c>
      <c r="AB2" s="134" t="str">
        <v xml:space="preserve">  </v>
      </c>
      <c r="AC2" s="134" t="str">
        <v xml:space="preserve">  </v>
      </c>
      <c r="AD2" s="134" t="str">
        <v xml:space="preserve">  </v>
      </c>
      <c r="AE2" s="134" t="str">
        <v xml:space="preserve">  </v>
      </c>
      <c r="AF2" s="134" t="str">
        <v xml:space="preserve">  </v>
      </c>
      <c r="AG2" s="134" t="str">
        <v xml:space="preserve">  </v>
      </c>
      <c r="AH2" s="134" t="str">
        <v xml:space="preserve">  </v>
      </c>
      <c r="AI2" s="134" t="str">
        <v xml:space="preserve">  </v>
      </c>
      <c r="AJ2" s="134" t="str">
        <v xml:space="preserve">  </v>
      </c>
      <c r="AK2" s="134" t="str">
        <v xml:space="preserve">  </v>
      </c>
      <c r="AL2" s="134" t="str">
        <v xml:space="preserve">  </v>
      </c>
      <c r="AM2" s="134" t="str">
        <v xml:space="preserve">  </v>
      </c>
      <c r="AN2" s="134" t="str">
        <v xml:space="preserve">  </v>
      </c>
    </row>
    <row r="3" spans="1:40" x14ac:dyDescent="0.25">
      <c r="O3" s="133">
        <v>0</v>
      </c>
      <c r="P3" s="132">
        <v>0</v>
      </c>
      <c r="Q3" s="132">
        <v>0</v>
      </c>
      <c r="R3" s="132">
        <v>0</v>
      </c>
      <c r="S3" s="132">
        <v>0</v>
      </c>
      <c r="T3" s="132">
        <v>0</v>
      </c>
      <c r="U3" s="132">
        <v>0</v>
      </c>
      <c r="V3" s="132">
        <v>0</v>
      </c>
      <c r="W3" s="132">
        <v>6.8999999999999995</v>
      </c>
      <c r="X3" s="132">
        <v>60.221066666666637</v>
      </c>
      <c r="Y3" s="132">
        <v>77.900000000000006</v>
      </c>
      <c r="Z3" s="132">
        <v>228.02</v>
      </c>
      <c r="AA3" s="132">
        <v>328.84000000000003</v>
      </c>
      <c r="AB3" s="132" t="str">
        <v xml:space="preserve"> </v>
      </c>
      <c r="AC3" s="132" t="str">
        <v xml:space="preserve"> </v>
      </c>
      <c r="AD3" s="132" t="str">
        <v xml:space="preserve"> </v>
      </c>
      <c r="AE3" s="132" t="str">
        <v xml:space="preserve"> </v>
      </c>
      <c r="AF3" s="132" t="str">
        <v xml:space="preserve"> </v>
      </c>
      <c r="AG3" s="132" t="str">
        <v xml:space="preserve"> </v>
      </c>
      <c r="AH3" s="132" t="str">
        <v xml:space="preserve"> </v>
      </c>
      <c r="AI3" s="132" t="str">
        <v xml:space="preserve"> </v>
      </c>
      <c r="AJ3" s="132" t="str">
        <v xml:space="preserve"> </v>
      </c>
      <c r="AK3" s="132" t="str">
        <v xml:space="preserve"> </v>
      </c>
      <c r="AL3" s="132" t="str">
        <v xml:space="preserve"> </v>
      </c>
      <c r="AM3" s="132" t="str">
        <v xml:space="preserve"> </v>
      </c>
      <c r="AN3" s="132" t="str">
        <v xml:space="preserve"> </v>
      </c>
    </row>
    <row r="4" spans="1:40" x14ac:dyDescent="0.25">
      <c r="O4" s="133">
        <v>0.5</v>
      </c>
      <c r="P4" s="132">
        <v>0</v>
      </c>
      <c r="Q4" s="132">
        <v>4.374999999999999E-2</v>
      </c>
      <c r="R4" s="132">
        <v>0.2</v>
      </c>
      <c r="S4" s="132">
        <v>0.44875000000000004</v>
      </c>
      <c r="T4" s="132">
        <v>0.85333333333333328</v>
      </c>
      <c r="U4" s="132">
        <v>4.1366666666666667</v>
      </c>
      <c r="V4" s="132">
        <v>13.84</v>
      </c>
      <c r="W4" s="132">
        <v>52.936666666666667</v>
      </c>
      <c r="X4" s="132">
        <v>153.22703333333328</v>
      </c>
      <c r="Y4" s="132">
        <v>181.33333333333334</v>
      </c>
      <c r="Z4" s="132">
        <v>399.86999999999995</v>
      </c>
      <c r="AA4" s="132">
        <v>540.93999999999994</v>
      </c>
      <c r="AB4" s="132" t="str">
        <v xml:space="preserve"> </v>
      </c>
      <c r="AC4" s="132" t="str">
        <v xml:space="preserve"> </v>
      </c>
      <c r="AD4" s="132" t="str">
        <v xml:space="preserve"> </v>
      </c>
      <c r="AE4" s="132" t="str">
        <v xml:space="preserve"> </v>
      </c>
      <c r="AF4" s="132" t="str">
        <v xml:space="preserve"> </v>
      </c>
      <c r="AG4" s="132" t="str">
        <v xml:space="preserve"> </v>
      </c>
      <c r="AH4" s="132" t="str">
        <v xml:space="preserve"> </v>
      </c>
      <c r="AI4" s="132" t="str">
        <v xml:space="preserve"> </v>
      </c>
      <c r="AJ4" s="132" t="str">
        <v xml:space="preserve"> </v>
      </c>
      <c r="AK4" s="132" t="str">
        <v xml:space="preserve"> </v>
      </c>
      <c r="AL4" s="132" t="str">
        <v xml:space="preserve"> </v>
      </c>
      <c r="AM4" s="132" t="str">
        <v xml:space="preserve"> </v>
      </c>
      <c r="AN4" s="132" t="str">
        <v xml:space="preserve"> </v>
      </c>
    </row>
    <row r="5" spans="1:40" x14ac:dyDescent="0.25">
      <c r="O5" s="133">
        <v>1</v>
      </c>
      <c r="P5" s="132">
        <v>0</v>
      </c>
      <c r="Q5" s="132">
        <v>0.10875000000000001</v>
      </c>
      <c r="R5" s="132">
        <v>0.56000000000000005</v>
      </c>
      <c r="S5" s="132">
        <v>1.5137499999999999</v>
      </c>
      <c r="T5" s="132">
        <v>3.0999999999999996</v>
      </c>
      <c r="U5" s="132">
        <v>17.556666666666665</v>
      </c>
      <c r="V5" s="132">
        <v>54.593333333333341</v>
      </c>
      <c r="W5" s="132">
        <v>140.64999999999998</v>
      </c>
      <c r="X5" s="132">
        <v>285.53249999999991</v>
      </c>
      <c r="Y5" s="132">
        <v>320.91333333333336</v>
      </c>
      <c r="Z5" s="132">
        <v>600.49</v>
      </c>
      <c r="AA5" s="132">
        <v>776.44333333333338</v>
      </c>
      <c r="AB5" s="132" t="str">
        <v xml:space="preserve"> </v>
      </c>
      <c r="AC5" s="132" t="str">
        <v xml:space="preserve"> </v>
      </c>
      <c r="AD5" s="132" t="str">
        <v xml:space="preserve"> </v>
      </c>
      <c r="AE5" s="132" t="str">
        <v xml:space="preserve"> </v>
      </c>
      <c r="AF5" s="132" t="str">
        <v xml:space="preserve"> </v>
      </c>
      <c r="AG5" s="132" t="str">
        <v xml:space="preserve"> </v>
      </c>
      <c r="AH5" s="132" t="str">
        <v xml:space="preserve"> </v>
      </c>
      <c r="AI5" s="132" t="str">
        <v xml:space="preserve"> </v>
      </c>
      <c r="AJ5" s="132" t="str">
        <v xml:space="preserve"> </v>
      </c>
      <c r="AK5" s="132" t="str">
        <v xml:space="preserve"> </v>
      </c>
      <c r="AL5" s="132" t="str">
        <v xml:space="preserve"> </v>
      </c>
      <c r="AM5" s="132" t="str">
        <v xml:space="preserve"> </v>
      </c>
      <c r="AN5" s="132" t="str">
        <v xml:space="preserve"> </v>
      </c>
    </row>
    <row r="6" spans="1:40" x14ac:dyDescent="0.25">
      <c r="O6" s="133">
        <v>1.5</v>
      </c>
      <c r="P6" s="132">
        <v>0</v>
      </c>
      <c r="Q6" s="132">
        <v>0.20937500000000001</v>
      </c>
      <c r="R6" s="132">
        <v>1.1099999999999999</v>
      </c>
      <c r="S6" s="132">
        <v>2.9993750000000001</v>
      </c>
      <c r="T6" s="132">
        <v>6.1199999999999992</v>
      </c>
      <c r="U6" s="132">
        <v>34.803333333333327</v>
      </c>
      <c r="V6" s="132">
        <v>101.98666666666668</v>
      </c>
      <c r="W6" s="132">
        <v>231.97666666666663</v>
      </c>
      <c r="X6" s="132">
        <v>417.96686666666653</v>
      </c>
      <c r="Y6" s="132">
        <v>461</v>
      </c>
      <c r="Z6" s="132">
        <v>792.18999999999983</v>
      </c>
      <c r="AA6" s="132">
        <v>997.26333333333309</v>
      </c>
      <c r="AB6" s="132" t="str">
        <v xml:space="preserve"> </v>
      </c>
      <c r="AC6" s="132" t="str">
        <v xml:space="preserve"> </v>
      </c>
      <c r="AD6" s="132" t="str">
        <v xml:space="preserve"> </v>
      </c>
      <c r="AE6" s="132" t="str">
        <v xml:space="preserve"> </v>
      </c>
      <c r="AF6" s="132" t="str">
        <v xml:space="preserve"> </v>
      </c>
      <c r="AG6" s="132" t="str">
        <v xml:space="preserve"> </v>
      </c>
      <c r="AH6" s="132" t="str">
        <v xml:space="preserve"> </v>
      </c>
      <c r="AI6" s="132" t="str">
        <v xml:space="preserve"> </v>
      </c>
      <c r="AJ6" s="132" t="str">
        <v xml:space="preserve"> </v>
      </c>
      <c r="AK6" s="132" t="str">
        <v xml:space="preserve"> </v>
      </c>
      <c r="AL6" s="132" t="str">
        <v xml:space="preserve"> </v>
      </c>
      <c r="AM6" s="132" t="str">
        <v xml:space="preserve"> </v>
      </c>
      <c r="AN6" s="132" t="str">
        <v xml:space="preserve"> </v>
      </c>
    </row>
    <row r="7" spans="1:40" x14ac:dyDescent="0.25">
      <c r="O7" s="133">
        <v>2</v>
      </c>
      <c r="P7" s="132">
        <v>0</v>
      </c>
      <c r="Q7" s="132">
        <v>0.34291666666666665</v>
      </c>
      <c r="R7" s="132">
        <v>1.7733333333333334</v>
      </c>
      <c r="S7" s="132">
        <v>4.7562499999999996</v>
      </c>
      <c r="T7" s="132">
        <v>9.6199999999999992</v>
      </c>
      <c r="U7" s="132">
        <v>53.176666666666662</v>
      </c>
      <c r="V7" s="132">
        <v>148.63333333333333</v>
      </c>
      <c r="W7" s="132">
        <v>315.84333333333331</v>
      </c>
      <c r="X7" s="132">
        <v>535.9230666666665</v>
      </c>
      <c r="Y7" s="132">
        <v>583.94000000000005</v>
      </c>
      <c r="Z7" s="132">
        <v>959.14999999999986</v>
      </c>
      <c r="AA7" s="132">
        <v>1187.2099999999998</v>
      </c>
      <c r="AB7" s="132" t="str">
        <v xml:space="preserve"> </v>
      </c>
      <c r="AC7" s="132" t="str">
        <v xml:space="preserve"> </v>
      </c>
      <c r="AD7" s="132" t="str">
        <v xml:space="preserve"> </v>
      </c>
      <c r="AE7" s="132" t="str">
        <v xml:space="preserve"> </v>
      </c>
      <c r="AF7" s="132" t="str">
        <v xml:space="preserve"> </v>
      </c>
      <c r="AG7" s="132" t="str">
        <v xml:space="preserve"> </v>
      </c>
      <c r="AH7" s="132" t="str">
        <v xml:space="preserve"> </v>
      </c>
      <c r="AI7" s="132" t="str">
        <v xml:space="preserve"> </v>
      </c>
      <c r="AJ7" s="132" t="str">
        <v xml:space="preserve"> </v>
      </c>
      <c r="AK7" s="132" t="str">
        <v xml:space="preserve"> </v>
      </c>
      <c r="AL7" s="132" t="str">
        <v xml:space="preserve"> </v>
      </c>
      <c r="AM7" s="132" t="str">
        <v xml:space="preserve"> </v>
      </c>
      <c r="AN7" s="132" t="str">
        <v xml:space="preserve"> </v>
      </c>
    </row>
    <row r="8" spans="1:40" x14ac:dyDescent="0.25">
      <c r="O8" s="133">
        <v>3</v>
      </c>
      <c r="P8" s="132">
        <v>0</v>
      </c>
      <c r="Q8" s="132">
        <v>0.72354166666666642</v>
      </c>
      <c r="R8" s="132">
        <v>3.6033333333333326</v>
      </c>
      <c r="S8" s="132">
        <v>9.1968749999999986</v>
      </c>
      <c r="T8" s="132">
        <v>17.866666666666667</v>
      </c>
      <c r="U8" s="132">
        <v>90.22999999999999</v>
      </c>
      <c r="V8" s="132">
        <v>235.9733333333333</v>
      </c>
      <c r="W8" s="132">
        <v>466.39</v>
      </c>
      <c r="X8" s="132">
        <v>738.77929999999981</v>
      </c>
      <c r="Y8" s="132">
        <v>794.31999999999994</v>
      </c>
      <c r="Z8" s="132">
        <v>1229.0566666666666</v>
      </c>
      <c r="AA8" s="132">
        <v>1485.8633333333332</v>
      </c>
      <c r="AB8" s="132" t="str">
        <v xml:space="preserve"> </v>
      </c>
      <c r="AC8" s="132" t="str">
        <v xml:space="preserve"> </v>
      </c>
      <c r="AD8" s="132" t="str">
        <v xml:space="preserve"> </v>
      </c>
      <c r="AE8" s="132" t="str">
        <v xml:space="preserve"> </v>
      </c>
      <c r="AF8" s="132" t="str">
        <v xml:space="preserve"> </v>
      </c>
      <c r="AG8" s="132" t="str">
        <v xml:space="preserve"> </v>
      </c>
      <c r="AH8" s="132" t="str">
        <v xml:space="preserve"> </v>
      </c>
      <c r="AI8" s="132" t="str">
        <v xml:space="preserve"> </v>
      </c>
      <c r="AJ8" s="132" t="str">
        <v xml:space="preserve"> </v>
      </c>
      <c r="AK8" s="132" t="str">
        <v xml:space="preserve"> </v>
      </c>
      <c r="AL8" s="132" t="str">
        <v xml:space="preserve"> </v>
      </c>
      <c r="AM8" s="132" t="str">
        <v xml:space="preserve"> </v>
      </c>
      <c r="AN8" s="132" t="str">
        <v xml:space="preserve"> </v>
      </c>
    </row>
    <row r="9" spans="1:40" x14ac:dyDescent="0.25">
      <c r="O9" s="133">
        <v>4</v>
      </c>
      <c r="P9" s="132">
        <v>0</v>
      </c>
      <c r="Q9" s="132">
        <v>1.2174999999999998</v>
      </c>
      <c r="R9" s="132">
        <v>5.6400000000000006</v>
      </c>
      <c r="S9" s="132">
        <v>13.8675</v>
      </c>
      <c r="T9" s="132">
        <v>26.246666666666666</v>
      </c>
      <c r="U9" s="132">
        <v>123.00666666666666</v>
      </c>
      <c r="V9" s="132">
        <v>304.96666666666664</v>
      </c>
      <c r="W9" s="132">
        <v>579.05999999999995</v>
      </c>
      <c r="X9" s="132">
        <v>888.40333333333308</v>
      </c>
      <c r="Y9" s="132">
        <v>951.5</v>
      </c>
      <c r="Z9" s="132">
        <v>1419.5933333333332</v>
      </c>
      <c r="AA9" s="132">
        <v>1690.48</v>
      </c>
      <c r="AB9" s="132" t="str">
        <v xml:space="preserve"> </v>
      </c>
      <c r="AC9" s="132" t="str">
        <v xml:space="preserve"> </v>
      </c>
      <c r="AD9" s="132" t="str">
        <v xml:space="preserve"> </v>
      </c>
      <c r="AE9" s="132" t="str">
        <v xml:space="preserve"> </v>
      </c>
      <c r="AF9" s="132" t="str">
        <v xml:space="preserve"> </v>
      </c>
      <c r="AG9" s="132" t="str">
        <v xml:space="preserve"> </v>
      </c>
      <c r="AH9" s="132" t="str">
        <v xml:space="preserve"> </v>
      </c>
      <c r="AI9" s="132" t="str">
        <v xml:space="preserve"> </v>
      </c>
      <c r="AJ9" s="132" t="str">
        <v xml:space="preserve"> </v>
      </c>
      <c r="AK9" s="132" t="str">
        <v xml:space="preserve"> </v>
      </c>
      <c r="AL9" s="132" t="str">
        <v xml:space="preserve"> </v>
      </c>
      <c r="AM9" s="132" t="str">
        <v xml:space="preserve"> </v>
      </c>
      <c r="AN9" s="132" t="str">
        <v xml:space="preserve"> </v>
      </c>
    </row>
    <row r="10" spans="1:40" x14ac:dyDescent="0.25">
      <c r="O10" s="133">
        <v>5</v>
      </c>
      <c r="P10" s="132">
        <v>0</v>
      </c>
      <c r="Q10" s="132">
        <v>1.7120833333333332</v>
      </c>
      <c r="R10" s="132">
        <v>7.5466666666666669</v>
      </c>
      <c r="S10" s="132">
        <v>18.098749999999995</v>
      </c>
      <c r="T10" s="132">
        <v>33.699999999999996</v>
      </c>
      <c r="U10" s="132">
        <v>148.93666666666664</v>
      </c>
      <c r="V10" s="132">
        <v>352.55333333333328</v>
      </c>
      <c r="W10" s="132">
        <v>644.45666666666659</v>
      </c>
      <c r="X10" s="132">
        <v>964.98259999999982</v>
      </c>
      <c r="Y10" s="132">
        <v>1029.5666666666666</v>
      </c>
      <c r="Z10" s="132">
        <v>1504.5099999999998</v>
      </c>
      <c r="AA10" s="132">
        <v>1778.2766666666664</v>
      </c>
      <c r="AB10" s="132" t="str">
        <v xml:space="preserve"> </v>
      </c>
      <c r="AC10" s="132" t="str">
        <v xml:space="preserve"> </v>
      </c>
      <c r="AD10" s="132" t="str">
        <v xml:space="preserve"> </v>
      </c>
      <c r="AE10" s="132" t="str">
        <v xml:space="preserve"> </v>
      </c>
      <c r="AF10" s="132" t="str">
        <v xml:space="preserve"> </v>
      </c>
      <c r="AG10" s="132" t="str">
        <v xml:space="preserve"> </v>
      </c>
      <c r="AH10" s="132" t="str">
        <v xml:space="preserve"> </v>
      </c>
      <c r="AI10" s="132" t="str">
        <v xml:space="preserve"> </v>
      </c>
      <c r="AJ10" s="132" t="str">
        <v xml:space="preserve"> </v>
      </c>
      <c r="AK10" s="132" t="str">
        <v xml:space="preserve"> </v>
      </c>
      <c r="AL10" s="132" t="str">
        <v xml:space="preserve"> </v>
      </c>
      <c r="AM10" s="132" t="str">
        <v xml:space="preserve"> </v>
      </c>
      <c r="AN10" s="132" t="str">
        <v xml:space="preserve"> </v>
      </c>
    </row>
    <row r="11" spans="1:40" x14ac:dyDescent="0.25">
      <c r="O11" s="133">
        <v>6</v>
      </c>
      <c r="P11" s="132">
        <v>0</v>
      </c>
      <c r="Q11" s="132">
        <v>2.15</v>
      </c>
      <c r="R11" s="132">
        <v>9.1</v>
      </c>
      <c r="S11" s="132">
        <v>21.269999999999996</v>
      </c>
      <c r="T11" s="132">
        <v>38.946666666666665</v>
      </c>
      <c r="U11" s="132">
        <v>165.84666666666666</v>
      </c>
      <c r="V11" s="132">
        <v>383.74666666666667</v>
      </c>
      <c r="W11" s="132">
        <v>689.58</v>
      </c>
      <c r="X11" s="132">
        <v>1020.5699999999999</v>
      </c>
      <c r="Y11" s="132">
        <v>1086.9466666666667</v>
      </c>
      <c r="Z11" s="132">
        <v>1569.58</v>
      </c>
      <c r="AA11" s="132">
        <v>1844.58</v>
      </c>
      <c r="AB11" s="132" t="str">
        <v xml:space="preserve"> </v>
      </c>
      <c r="AC11" s="132" t="str">
        <v xml:space="preserve"> </v>
      </c>
      <c r="AD11" s="132" t="str">
        <v xml:space="preserve"> </v>
      </c>
      <c r="AE11" s="132" t="str">
        <v xml:space="preserve"> </v>
      </c>
      <c r="AF11" s="132" t="str">
        <v xml:space="preserve"> </v>
      </c>
      <c r="AG11" s="132" t="str">
        <v xml:space="preserve"> </v>
      </c>
      <c r="AH11" s="132" t="str">
        <v xml:space="preserve"> </v>
      </c>
      <c r="AI11" s="132" t="str">
        <v xml:space="preserve"> </v>
      </c>
      <c r="AJ11" s="132" t="str">
        <v xml:space="preserve"> </v>
      </c>
      <c r="AK11" s="132" t="str">
        <v xml:space="preserve"> </v>
      </c>
      <c r="AL11" s="132" t="str">
        <v xml:space="preserve"> </v>
      </c>
      <c r="AM11" s="132" t="str">
        <v xml:space="preserve"> </v>
      </c>
      <c r="AN11" s="132" t="str">
        <v xml:space="preserve"> </v>
      </c>
    </row>
    <row r="12" spans="1:40" x14ac:dyDescent="0.25">
      <c r="O12" s="133">
        <v>7</v>
      </c>
      <c r="P12" s="132">
        <v>0</v>
      </c>
      <c r="Q12" s="132">
        <v>2.395833333333333</v>
      </c>
      <c r="R12" s="132">
        <v>9.9866666666666664</v>
      </c>
      <c r="S12" s="132">
        <v>23.067499999999999</v>
      </c>
      <c r="T12" s="132">
        <v>41.82</v>
      </c>
      <c r="U12" s="132">
        <v>172.95333333333332</v>
      </c>
      <c r="V12" s="132">
        <v>393.28666666666669</v>
      </c>
      <c r="W12" s="132">
        <v>700.95333333333338</v>
      </c>
      <c r="X12" s="132">
        <v>1031.9433333333332</v>
      </c>
      <c r="Y12" s="132">
        <v>1097.2866666666666</v>
      </c>
      <c r="Z12" s="132">
        <v>1580.9533333333334</v>
      </c>
      <c r="AA12" s="132">
        <v>1855.9533333333334</v>
      </c>
      <c r="AB12" s="132" t="str">
        <v xml:space="preserve"> </v>
      </c>
      <c r="AC12" s="132" t="str">
        <v xml:space="preserve"> </v>
      </c>
      <c r="AD12" s="132" t="str">
        <v xml:space="preserve"> </v>
      </c>
      <c r="AE12" s="132" t="str">
        <v xml:space="preserve"> </v>
      </c>
      <c r="AF12" s="132" t="str">
        <v xml:space="preserve"> </v>
      </c>
      <c r="AG12" s="132" t="str">
        <v xml:space="preserve"> </v>
      </c>
      <c r="AH12" s="132" t="str">
        <v xml:space="preserve"> </v>
      </c>
      <c r="AI12" s="132" t="str">
        <v xml:space="preserve"> </v>
      </c>
      <c r="AJ12" s="132" t="str">
        <v xml:space="preserve"> </v>
      </c>
      <c r="AK12" s="132" t="str">
        <v xml:space="preserve"> </v>
      </c>
      <c r="AL12" s="132" t="str">
        <v xml:space="preserve"> </v>
      </c>
      <c r="AM12" s="132" t="str">
        <v xml:space="preserve"> </v>
      </c>
      <c r="AN12" s="132" t="str">
        <v xml:space="preserve"> </v>
      </c>
    </row>
    <row r="13" spans="1:40" x14ac:dyDescent="0.25">
      <c r="O13" s="133">
        <v>8</v>
      </c>
      <c r="P13" s="132">
        <v>0</v>
      </c>
      <c r="Q13" s="132">
        <v>2.5235416666666666</v>
      </c>
      <c r="R13" s="132">
        <v>10.443333333333332</v>
      </c>
      <c r="S13" s="132">
        <v>23.921874999999996</v>
      </c>
      <c r="T13" s="132">
        <v>43.133333333333326</v>
      </c>
      <c r="U13" s="132">
        <v>175.13333333333333</v>
      </c>
      <c r="V13" s="132">
        <v>395.13333333333333</v>
      </c>
      <c r="W13" s="132">
        <v>703.13333333333333</v>
      </c>
      <c r="X13" s="132">
        <v>1034.1233333333332</v>
      </c>
      <c r="Y13" s="132">
        <v>1099.1333333333332</v>
      </c>
      <c r="Z13" s="132">
        <v>1583.1333333333332</v>
      </c>
      <c r="AA13" s="132">
        <v>1858.1333333333332</v>
      </c>
      <c r="AB13" s="132" t="str">
        <v xml:space="preserve"> </v>
      </c>
      <c r="AC13" s="132" t="str">
        <v xml:space="preserve"> </v>
      </c>
      <c r="AD13" s="132" t="str">
        <v xml:space="preserve"> </v>
      </c>
      <c r="AE13" s="132" t="str">
        <v xml:space="preserve"> </v>
      </c>
      <c r="AF13" s="132" t="str">
        <v xml:space="preserve"> </v>
      </c>
      <c r="AG13" s="132" t="str">
        <v xml:space="preserve"> </v>
      </c>
      <c r="AH13" s="132" t="str">
        <v xml:space="preserve"> </v>
      </c>
      <c r="AI13" s="132" t="str">
        <v xml:space="preserve"> </v>
      </c>
      <c r="AJ13" s="132" t="str">
        <v xml:space="preserve"> </v>
      </c>
      <c r="AK13" s="132" t="str">
        <v xml:space="preserve"> </v>
      </c>
      <c r="AL13" s="132" t="str">
        <v xml:space="preserve"> </v>
      </c>
      <c r="AM13" s="132" t="str">
        <v xml:space="preserve"> </v>
      </c>
      <c r="AN13" s="132" t="str">
        <v xml:space="preserve"> </v>
      </c>
    </row>
    <row r="14" spans="1:40" x14ac:dyDescent="0.25">
      <c r="O14" s="133">
        <v>9</v>
      </c>
      <c r="P14" s="132">
        <v>0</v>
      </c>
      <c r="Q14" s="132">
        <v>2.5593749999999997</v>
      </c>
      <c r="R14" s="132">
        <v>10.549999999999999</v>
      </c>
      <c r="S14" s="132">
        <v>24.099374999999998</v>
      </c>
      <c r="T14" s="132">
        <v>43.326666666666661</v>
      </c>
      <c r="U14" s="132">
        <v>175.32666666666665</v>
      </c>
      <c r="V14" s="132">
        <v>395.32666666666665</v>
      </c>
      <c r="W14" s="132">
        <v>703.3266666666666</v>
      </c>
      <c r="X14" s="132">
        <v>1034.3166666666664</v>
      </c>
      <c r="Y14" s="132">
        <v>1099.3266666666666</v>
      </c>
      <c r="Z14" s="132">
        <v>1583.3266666666666</v>
      </c>
      <c r="AA14" s="132">
        <v>1858.3266666666666</v>
      </c>
      <c r="AB14" s="132" t="str">
        <v xml:space="preserve"> </v>
      </c>
      <c r="AC14" s="132" t="str">
        <v xml:space="preserve"> </v>
      </c>
      <c r="AD14" s="132" t="str">
        <v xml:space="preserve"> </v>
      </c>
      <c r="AE14" s="132" t="str">
        <v xml:space="preserve"> </v>
      </c>
      <c r="AF14" s="132" t="str">
        <v xml:space="preserve"> </v>
      </c>
      <c r="AG14" s="132" t="str">
        <v xml:space="preserve"> </v>
      </c>
      <c r="AH14" s="132" t="str">
        <v xml:space="preserve"> </v>
      </c>
      <c r="AI14" s="132" t="str">
        <v xml:space="preserve"> </v>
      </c>
      <c r="AJ14" s="132" t="str">
        <v xml:space="preserve"> </v>
      </c>
      <c r="AK14" s="132" t="str">
        <v xml:space="preserve"> </v>
      </c>
      <c r="AL14" s="132" t="str">
        <v xml:space="preserve"> </v>
      </c>
      <c r="AM14" s="132" t="str">
        <v xml:space="preserve"> </v>
      </c>
      <c r="AN14" s="132" t="str">
        <v xml:space="preserve"> </v>
      </c>
    </row>
    <row r="15" spans="1:40" x14ac:dyDescent="0.25">
      <c r="O15" s="133">
        <v>10</v>
      </c>
      <c r="P15" s="132">
        <v>0</v>
      </c>
      <c r="Q15" s="132">
        <v>2.5593749999999997</v>
      </c>
      <c r="R15" s="132">
        <v>10.549999999999999</v>
      </c>
      <c r="S15" s="132">
        <v>24.099374999999998</v>
      </c>
      <c r="T15" s="132">
        <v>43.326666666666661</v>
      </c>
      <c r="U15" s="132">
        <v>175.32666666666665</v>
      </c>
      <c r="V15" s="132">
        <v>395.32666666666665</v>
      </c>
      <c r="W15" s="132">
        <v>703.3266666666666</v>
      </c>
      <c r="X15" s="132">
        <v>1034.3166666666664</v>
      </c>
      <c r="Y15" s="132">
        <v>1099.3266666666666</v>
      </c>
      <c r="Z15" s="132">
        <v>1583.3266666666666</v>
      </c>
      <c r="AA15" s="132">
        <v>1858.3266666666666</v>
      </c>
      <c r="AB15" s="132" t="str">
        <v xml:space="preserve"> </v>
      </c>
      <c r="AC15" s="132" t="str">
        <v xml:space="preserve"> </v>
      </c>
      <c r="AD15" s="132" t="str">
        <v xml:space="preserve"> </v>
      </c>
      <c r="AE15" s="132" t="str">
        <v xml:space="preserve"> </v>
      </c>
      <c r="AF15" s="132" t="str">
        <v xml:space="preserve"> </v>
      </c>
      <c r="AG15" s="132" t="str">
        <v xml:space="preserve"> </v>
      </c>
      <c r="AH15" s="132" t="str">
        <v xml:space="preserve"> </v>
      </c>
      <c r="AI15" s="132" t="str">
        <v xml:space="preserve"> </v>
      </c>
      <c r="AJ15" s="132" t="str">
        <v xml:space="preserve"> </v>
      </c>
      <c r="AK15" s="132" t="str">
        <v xml:space="preserve"> </v>
      </c>
      <c r="AL15" s="132" t="str">
        <v xml:space="preserve"> </v>
      </c>
      <c r="AM15" s="132" t="str">
        <v xml:space="preserve"> </v>
      </c>
      <c r="AN15" s="132" t="str">
        <v xml:space="preserve"> </v>
      </c>
    </row>
    <row r="16" spans="1:40" x14ac:dyDescent="0.25">
      <c r="O16" s="133">
        <v>11</v>
      </c>
      <c r="P16" s="132">
        <v>0</v>
      </c>
      <c r="Q16" s="132">
        <v>2.5593749999999997</v>
      </c>
      <c r="R16" s="132">
        <v>10.549999999999999</v>
      </c>
      <c r="S16" s="132">
        <v>24.099374999999998</v>
      </c>
      <c r="T16" s="132">
        <v>43.326666666666661</v>
      </c>
      <c r="U16" s="132">
        <v>175.32666666666665</v>
      </c>
      <c r="V16" s="132">
        <v>395.32666666666665</v>
      </c>
      <c r="W16" s="132">
        <v>703.3266666666666</v>
      </c>
      <c r="X16" s="132">
        <v>1034.3166666666664</v>
      </c>
      <c r="Y16" s="132">
        <v>1099.3266666666666</v>
      </c>
      <c r="Z16" s="132">
        <v>1583.3266666666666</v>
      </c>
      <c r="AA16" s="132">
        <v>1858.3266666666666</v>
      </c>
      <c r="AB16" s="132" t="str">
        <v xml:space="preserve"> </v>
      </c>
      <c r="AC16" s="132" t="str">
        <v xml:space="preserve"> </v>
      </c>
      <c r="AD16" s="132" t="str">
        <v xml:space="preserve"> </v>
      </c>
      <c r="AE16" s="132" t="str">
        <v xml:space="preserve"> </v>
      </c>
      <c r="AF16" s="132" t="str">
        <v xml:space="preserve"> </v>
      </c>
      <c r="AG16" s="132" t="str">
        <v xml:space="preserve"> </v>
      </c>
      <c r="AH16" s="132" t="str">
        <v xml:space="preserve"> </v>
      </c>
      <c r="AI16" s="132" t="str">
        <v xml:space="preserve"> </v>
      </c>
      <c r="AJ16" s="132" t="str">
        <v xml:space="preserve"> </v>
      </c>
      <c r="AK16" s="132" t="str">
        <v xml:space="preserve"> </v>
      </c>
      <c r="AL16" s="132" t="str">
        <v xml:space="preserve"> </v>
      </c>
      <c r="AM16" s="132" t="str">
        <v xml:space="preserve"> </v>
      </c>
      <c r="AN16" s="132" t="str">
        <v xml:space="preserve"> </v>
      </c>
    </row>
    <row r="17" spans="15:40" x14ac:dyDescent="0.25">
      <c r="O17" s="133">
        <v>12</v>
      </c>
      <c r="P17" s="132">
        <v>0</v>
      </c>
      <c r="Q17" s="132">
        <v>2.5593749999999997</v>
      </c>
      <c r="R17" s="132">
        <v>10.549999999999999</v>
      </c>
      <c r="S17" s="132">
        <v>24.099374999999998</v>
      </c>
      <c r="T17" s="132">
        <v>43.326666666666661</v>
      </c>
      <c r="U17" s="132">
        <v>175.32666666666665</v>
      </c>
      <c r="V17" s="132">
        <v>395.32666666666665</v>
      </c>
      <c r="W17" s="132">
        <v>703.3266666666666</v>
      </c>
      <c r="X17" s="132">
        <v>1034.3166666666664</v>
      </c>
      <c r="Y17" s="132">
        <v>1099.3266666666666</v>
      </c>
      <c r="Z17" s="132">
        <v>1583.3266666666666</v>
      </c>
      <c r="AA17" s="132">
        <v>1858.3266666666666</v>
      </c>
      <c r="AB17" s="132" t="str">
        <v xml:space="preserve"> </v>
      </c>
      <c r="AC17" s="132" t="str">
        <v xml:space="preserve"> </v>
      </c>
      <c r="AD17" s="132" t="str">
        <v xml:space="preserve"> </v>
      </c>
      <c r="AE17" s="132" t="str">
        <v xml:space="preserve"> </v>
      </c>
      <c r="AF17" s="132" t="str">
        <v xml:space="preserve"> </v>
      </c>
      <c r="AG17" s="132" t="str">
        <v xml:space="preserve"> </v>
      </c>
      <c r="AH17" s="132" t="str">
        <v xml:space="preserve"> </v>
      </c>
      <c r="AI17" s="132" t="str">
        <v xml:space="preserve"> </v>
      </c>
      <c r="AJ17" s="132" t="str">
        <v xml:space="preserve"> </v>
      </c>
      <c r="AK17" s="132" t="str">
        <v xml:space="preserve"> </v>
      </c>
      <c r="AL17" s="132" t="str">
        <v xml:space="preserve"> </v>
      </c>
      <c r="AM17" s="132" t="str">
        <v xml:space="preserve"> </v>
      </c>
      <c r="AN17" s="132" t="str">
        <v xml:space="preserve"> </v>
      </c>
    </row>
    <row r="18" spans="15:40" x14ac:dyDescent="0.25">
      <c r="O18" s="133">
        <v>13</v>
      </c>
      <c r="P18" s="132">
        <v>0</v>
      </c>
      <c r="Q18" s="132">
        <v>2.5593749999999997</v>
      </c>
      <c r="R18" s="132">
        <v>10.549999999999999</v>
      </c>
      <c r="S18" s="132">
        <v>24.099374999999998</v>
      </c>
      <c r="T18" s="132">
        <v>43.326666666666661</v>
      </c>
      <c r="U18" s="132">
        <v>175.32666666666665</v>
      </c>
      <c r="V18" s="132">
        <v>395.32666666666665</v>
      </c>
      <c r="W18" s="132">
        <v>703.3266666666666</v>
      </c>
      <c r="X18" s="132">
        <v>1034.3166666666664</v>
      </c>
      <c r="Y18" s="132">
        <v>1099.3266666666666</v>
      </c>
      <c r="Z18" s="132">
        <v>1583.3266666666666</v>
      </c>
      <c r="AA18" s="132">
        <v>1858.3266666666666</v>
      </c>
      <c r="AB18" s="132" t="str">
        <v xml:space="preserve"> </v>
      </c>
      <c r="AC18" s="132" t="str">
        <v xml:space="preserve"> </v>
      </c>
      <c r="AD18" s="132" t="str">
        <v xml:space="preserve"> </v>
      </c>
      <c r="AE18" s="132" t="str">
        <v xml:space="preserve"> </v>
      </c>
      <c r="AF18" s="132" t="str">
        <v xml:space="preserve"> </v>
      </c>
      <c r="AG18" s="132" t="str">
        <v xml:space="preserve"> </v>
      </c>
      <c r="AH18" s="132" t="str">
        <v xml:space="preserve"> </v>
      </c>
      <c r="AI18" s="132" t="str">
        <v xml:space="preserve"> </v>
      </c>
      <c r="AJ18" s="132" t="str">
        <v xml:space="preserve"> </v>
      </c>
      <c r="AK18" s="132" t="str">
        <v xml:space="preserve"> </v>
      </c>
      <c r="AL18" s="132" t="str">
        <v xml:space="preserve"> </v>
      </c>
      <c r="AM18" s="132" t="str">
        <v xml:space="preserve"> </v>
      </c>
      <c r="AN18" s="132" t="str">
        <v xml:space="preserve"> </v>
      </c>
    </row>
    <row r="19" spans="15:40" x14ac:dyDescent="0.25">
      <c r="O19" s="133">
        <v>14</v>
      </c>
      <c r="P19" s="132">
        <v>0</v>
      </c>
      <c r="Q19" s="132">
        <v>2.5216666666666665</v>
      </c>
      <c r="R19" s="132">
        <v>10.433333333333334</v>
      </c>
      <c r="S19" s="132">
        <v>23.889999999999993</v>
      </c>
      <c r="T19" s="132">
        <v>43.06</v>
      </c>
      <c r="U19" s="132">
        <v>175.06</v>
      </c>
      <c r="V19" s="132">
        <v>395.06</v>
      </c>
      <c r="W19" s="132">
        <v>703.06</v>
      </c>
      <c r="X19" s="132">
        <v>1034.0499999999997</v>
      </c>
      <c r="Y19" s="132">
        <v>1099.06</v>
      </c>
      <c r="Z19" s="132">
        <v>1583.06</v>
      </c>
      <c r="AA19" s="132">
        <v>1858.06</v>
      </c>
      <c r="AB19" s="132" t="str">
        <v xml:space="preserve"> </v>
      </c>
      <c r="AC19" s="132" t="str">
        <v xml:space="preserve"> </v>
      </c>
      <c r="AD19" s="132" t="str">
        <v xml:space="preserve"> </v>
      </c>
      <c r="AE19" s="132" t="str">
        <v xml:space="preserve"> </v>
      </c>
      <c r="AF19" s="132" t="str">
        <v xml:space="preserve"> </v>
      </c>
      <c r="AG19" s="132" t="str">
        <v xml:space="preserve"> </v>
      </c>
      <c r="AH19" s="132" t="str">
        <v xml:space="preserve"> </v>
      </c>
      <c r="AI19" s="132" t="str">
        <v xml:space="preserve"> </v>
      </c>
      <c r="AJ19" s="132" t="str">
        <v xml:space="preserve"> </v>
      </c>
      <c r="AK19" s="132" t="str">
        <v xml:space="preserve"> </v>
      </c>
      <c r="AL19" s="132" t="str">
        <v xml:space="preserve"> </v>
      </c>
      <c r="AM19" s="132" t="str">
        <v xml:space="preserve"> </v>
      </c>
      <c r="AN19" s="132" t="str">
        <v xml:space="preserve"> </v>
      </c>
    </row>
    <row r="20" spans="15:40" x14ac:dyDescent="0.25">
      <c r="O20" s="133">
        <v>15</v>
      </c>
      <c r="P20" s="132">
        <v>0</v>
      </c>
      <c r="Q20" s="132">
        <v>2.3770833333333332</v>
      </c>
      <c r="R20" s="132">
        <v>9.9066666666666663</v>
      </c>
      <c r="S20" s="132">
        <v>22.853749999999998</v>
      </c>
      <c r="T20" s="132">
        <v>41.44</v>
      </c>
      <c r="U20" s="132">
        <v>172.14</v>
      </c>
      <c r="V20" s="132">
        <v>392.63999999999993</v>
      </c>
      <c r="W20" s="132">
        <v>700.14</v>
      </c>
      <c r="X20" s="132">
        <v>1031.1299999999999</v>
      </c>
      <c r="Y20" s="132">
        <v>1096.6399999999999</v>
      </c>
      <c r="Z20" s="132">
        <v>1580.1399999999999</v>
      </c>
      <c r="AA20" s="132">
        <v>1855.1399999999999</v>
      </c>
      <c r="AB20" s="132" t="str">
        <v xml:space="preserve"> </v>
      </c>
      <c r="AC20" s="132" t="str">
        <v xml:space="preserve"> </v>
      </c>
      <c r="AD20" s="132" t="str">
        <v xml:space="preserve"> </v>
      </c>
      <c r="AE20" s="132" t="str">
        <v xml:space="preserve"> </v>
      </c>
      <c r="AF20" s="132" t="str">
        <v xml:space="preserve"> </v>
      </c>
      <c r="AG20" s="132" t="str">
        <v xml:space="preserve"> </v>
      </c>
      <c r="AH20" s="132" t="str">
        <v xml:space="preserve"> </v>
      </c>
      <c r="AI20" s="132" t="str">
        <v xml:space="preserve"> </v>
      </c>
      <c r="AJ20" s="132" t="str">
        <v xml:space="preserve"> </v>
      </c>
      <c r="AK20" s="132" t="str">
        <v xml:space="preserve"> </v>
      </c>
      <c r="AL20" s="132" t="str">
        <v xml:space="preserve"> </v>
      </c>
      <c r="AM20" s="132" t="str">
        <v xml:space="preserve"> </v>
      </c>
      <c r="AN20" s="132" t="str">
        <v xml:space="preserve"> </v>
      </c>
    </row>
    <row r="21" spans="15:40" x14ac:dyDescent="0.25">
      <c r="O21" s="133">
        <v>16</v>
      </c>
      <c r="P21" s="132">
        <v>0</v>
      </c>
      <c r="Q21" s="132">
        <v>2.0818750000000001</v>
      </c>
      <c r="R21" s="132">
        <v>8.85</v>
      </c>
      <c r="S21" s="132">
        <v>20.711874999999999</v>
      </c>
      <c r="T21" s="132">
        <v>37.866666666666667</v>
      </c>
      <c r="U21" s="132">
        <v>161.11000000000001</v>
      </c>
      <c r="V21" s="132">
        <v>373.89333333333332</v>
      </c>
      <c r="W21" s="132">
        <v>674.70999999999992</v>
      </c>
      <c r="X21" s="132">
        <v>1001.0793999999997</v>
      </c>
      <c r="Y21" s="132">
        <v>1065.6266666666666</v>
      </c>
      <c r="Z21" s="132">
        <v>1547.2433333333333</v>
      </c>
      <c r="AA21" s="132">
        <v>1822.2433333333333</v>
      </c>
      <c r="AB21" s="132" t="str">
        <v xml:space="preserve"> </v>
      </c>
      <c r="AC21" s="132" t="str">
        <v xml:space="preserve"> </v>
      </c>
      <c r="AD21" s="132" t="str">
        <v xml:space="preserve"> </v>
      </c>
      <c r="AE21" s="132" t="str">
        <v xml:space="preserve"> </v>
      </c>
      <c r="AF21" s="132" t="str">
        <v xml:space="preserve"> </v>
      </c>
      <c r="AG21" s="132" t="str">
        <v xml:space="preserve"> </v>
      </c>
      <c r="AH21" s="132" t="str">
        <v xml:space="preserve"> </v>
      </c>
      <c r="AI21" s="132" t="str">
        <v xml:space="preserve"> </v>
      </c>
      <c r="AJ21" s="132" t="str">
        <v xml:space="preserve"> </v>
      </c>
      <c r="AK21" s="132" t="str">
        <v xml:space="preserve"> </v>
      </c>
      <c r="AL21" s="132" t="str">
        <v xml:space="preserve"> </v>
      </c>
      <c r="AM21" s="132" t="str">
        <v xml:space="preserve"> </v>
      </c>
      <c r="AN21" s="132" t="str">
        <v xml:space="preserve"> </v>
      </c>
    </row>
    <row r="22" spans="15:40" x14ac:dyDescent="0.25">
      <c r="O22" s="133">
        <v>17</v>
      </c>
      <c r="P22" s="132">
        <v>0</v>
      </c>
      <c r="Q22" s="132">
        <v>1.6279166666666662</v>
      </c>
      <c r="R22" s="132">
        <v>7.1133333333333333</v>
      </c>
      <c r="S22" s="132">
        <v>16.876249999999995</v>
      </c>
      <c r="T22" s="132">
        <v>31.326666666666664</v>
      </c>
      <c r="U22" s="132">
        <v>138.89666666666665</v>
      </c>
      <c r="V22" s="132">
        <v>330.12666666666667</v>
      </c>
      <c r="W22" s="132">
        <v>605.24333333333334</v>
      </c>
      <c r="X22" s="132">
        <v>909.56883333333315</v>
      </c>
      <c r="Y22" s="132">
        <v>970.81999999999994</v>
      </c>
      <c r="Z22" s="132">
        <v>1427.5366666666666</v>
      </c>
      <c r="AA22" s="132">
        <v>1691.5566666666666</v>
      </c>
      <c r="AB22" s="132" t="str">
        <v xml:space="preserve"> </v>
      </c>
      <c r="AC22" s="132" t="str">
        <v xml:space="preserve"> </v>
      </c>
      <c r="AD22" s="132" t="str">
        <v xml:space="preserve"> </v>
      </c>
      <c r="AE22" s="132" t="str">
        <v xml:space="preserve"> </v>
      </c>
      <c r="AF22" s="132" t="str">
        <v xml:space="preserve"> </v>
      </c>
      <c r="AG22" s="132" t="str">
        <v xml:space="preserve"> </v>
      </c>
      <c r="AH22" s="132" t="str">
        <v xml:space="preserve"> </v>
      </c>
      <c r="AI22" s="132" t="str">
        <v xml:space="preserve"> </v>
      </c>
      <c r="AJ22" s="132" t="str">
        <v xml:space="preserve"> </v>
      </c>
      <c r="AK22" s="132" t="str">
        <v xml:space="preserve"> </v>
      </c>
      <c r="AL22" s="132" t="str">
        <v xml:space="preserve"> </v>
      </c>
      <c r="AM22" s="132" t="str">
        <v xml:space="preserve"> </v>
      </c>
      <c r="AN22" s="132" t="str">
        <v xml:space="preserve"> </v>
      </c>
    </row>
    <row r="23" spans="15:40" x14ac:dyDescent="0.25">
      <c r="O23" s="133">
        <v>18</v>
      </c>
      <c r="P23" s="132">
        <v>0</v>
      </c>
      <c r="Q23" s="132">
        <v>1.0760416666666666</v>
      </c>
      <c r="R23" s="132">
        <v>4.8833333333333329</v>
      </c>
      <c r="S23" s="132">
        <v>11.919375</v>
      </c>
      <c r="T23" s="132">
        <v>22.546666666666667</v>
      </c>
      <c r="U23" s="132">
        <v>103.24666666666666</v>
      </c>
      <c r="V23" s="132">
        <v>250.70666666666665</v>
      </c>
      <c r="W23" s="132">
        <v>467.82479999999998</v>
      </c>
      <c r="X23" s="132">
        <v>712.96512866666649</v>
      </c>
      <c r="Y23" s="132">
        <v>761.97919999999999</v>
      </c>
      <c r="Z23" s="132">
        <v>1144.7229333333332</v>
      </c>
      <c r="AA23" s="132">
        <v>1370.7629333333332</v>
      </c>
      <c r="AB23" s="132" t="str">
        <v xml:space="preserve"> </v>
      </c>
      <c r="AC23" s="132" t="str">
        <v xml:space="preserve"> </v>
      </c>
      <c r="AD23" s="132" t="str">
        <v xml:space="preserve"> </v>
      </c>
      <c r="AE23" s="132" t="str">
        <v xml:space="preserve"> </v>
      </c>
      <c r="AF23" s="132" t="str">
        <v xml:space="preserve"> </v>
      </c>
      <c r="AG23" s="132" t="str">
        <v xml:space="preserve"> </v>
      </c>
      <c r="AH23" s="132" t="str">
        <v xml:space="preserve"> </v>
      </c>
      <c r="AI23" s="132" t="str">
        <v xml:space="preserve"> </v>
      </c>
      <c r="AJ23" s="132" t="str">
        <v xml:space="preserve"> </v>
      </c>
      <c r="AK23" s="132" t="str">
        <v xml:space="preserve"> </v>
      </c>
      <c r="AL23" s="132" t="str">
        <v xml:space="preserve"> </v>
      </c>
      <c r="AM23" s="132" t="str">
        <v xml:space="preserve"> </v>
      </c>
      <c r="AN23" s="132" t="str">
        <v xml:space="preserve"> </v>
      </c>
    </row>
    <row r="24" spans="15:40" x14ac:dyDescent="0.25">
      <c r="O24" s="134">
        <v>18.5</v>
      </c>
      <c r="P24" s="132">
        <v>0</v>
      </c>
      <c r="Q24" s="132">
        <v>0.7722916666666666</v>
      </c>
      <c r="R24" s="132">
        <v>3.6633333333333331</v>
      </c>
      <c r="S24" s="132">
        <v>9.1406249999999982</v>
      </c>
      <c r="T24" s="132">
        <v>17.473333333333333</v>
      </c>
      <c r="U24" s="132">
        <v>81.493333333333325</v>
      </c>
      <c r="V24" s="132">
        <v>199.0733333333333</v>
      </c>
      <c r="W24" s="132">
        <v>373.28</v>
      </c>
      <c r="X24" s="132">
        <v>572.23156666666659</v>
      </c>
      <c r="Y24" s="132">
        <v>612.24666666666656</v>
      </c>
      <c r="Z24" s="132">
        <v>929.97333333333324</v>
      </c>
      <c r="AA24" s="132">
        <v>1121.2733333333333</v>
      </c>
      <c r="AB24" s="132" t="str">
        <v xml:space="preserve"> </v>
      </c>
      <c r="AC24" s="132" t="str">
        <v xml:space="preserve"> </v>
      </c>
      <c r="AD24" s="132" t="str">
        <v xml:space="preserve"> </v>
      </c>
      <c r="AE24" s="132" t="str">
        <v xml:space="preserve"> </v>
      </c>
      <c r="AF24" s="132" t="str">
        <v xml:space="preserve"> </v>
      </c>
      <c r="AG24" s="132" t="str">
        <v xml:space="preserve"> </v>
      </c>
      <c r="AH24" s="132" t="str">
        <v xml:space="preserve"> </v>
      </c>
      <c r="AI24" s="132" t="str">
        <v xml:space="preserve"> </v>
      </c>
      <c r="AJ24" s="132" t="str">
        <v xml:space="preserve"> </v>
      </c>
      <c r="AK24" s="132" t="str">
        <v xml:space="preserve"> </v>
      </c>
      <c r="AL24" s="132" t="str">
        <v xml:space="preserve"> </v>
      </c>
      <c r="AM24" s="132" t="str">
        <v xml:space="preserve"> </v>
      </c>
      <c r="AN24" s="132" t="str">
        <v xml:space="preserve"> </v>
      </c>
    </row>
    <row r="25" spans="15:40" x14ac:dyDescent="0.25">
      <c r="O25" s="134">
        <v>19</v>
      </c>
      <c r="P25" s="132">
        <v>0</v>
      </c>
      <c r="Q25" s="132">
        <v>0.50124999999999997</v>
      </c>
      <c r="R25" s="132">
        <v>2.4799999999999995</v>
      </c>
      <c r="S25" s="132">
        <v>6.2962499999999988</v>
      </c>
      <c r="T25" s="132">
        <v>12.279999999999998</v>
      </c>
      <c r="U25" s="132">
        <v>58.966666666666654</v>
      </c>
      <c r="V25" s="132">
        <v>143.21333333333334</v>
      </c>
      <c r="W25" s="132">
        <v>263.92666666666662</v>
      </c>
      <c r="X25" s="132">
        <v>404.63963333333322</v>
      </c>
      <c r="Y25" s="132">
        <v>433.64</v>
      </c>
      <c r="Z25" s="132">
        <v>664.51333333333321</v>
      </c>
      <c r="AA25" s="132">
        <v>808.69666666666649</v>
      </c>
      <c r="AB25" s="132" t="str">
        <v xml:space="preserve"> </v>
      </c>
      <c r="AC25" s="132" t="str">
        <v xml:space="preserve"> </v>
      </c>
      <c r="AD25" s="132" t="str">
        <v xml:space="preserve"> </v>
      </c>
      <c r="AE25" s="132" t="str">
        <v xml:space="preserve"> </v>
      </c>
      <c r="AF25" s="132" t="str">
        <v xml:space="preserve"> </v>
      </c>
      <c r="AG25" s="132" t="str">
        <v xml:space="preserve"> </v>
      </c>
      <c r="AH25" s="132" t="str">
        <v xml:space="preserve"> </v>
      </c>
      <c r="AI25" s="132" t="str">
        <v xml:space="preserve"> </v>
      </c>
      <c r="AJ25" s="132" t="str">
        <v xml:space="preserve"> </v>
      </c>
      <c r="AK25" s="132" t="str">
        <v xml:space="preserve"> </v>
      </c>
      <c r="AL25" s="132" t="str">
        <v xml:space="preserve"> </v>
      </c>
      <c r="AM25" s="132" t="str">
        <v xml:space="preserve"> </v>
      </c>
      <c r="AN25" s="132" t="str">
        <v xml:space="preserve"> </v>
      </c>
    </row>
    <row r="26" spans="15:40" x14ac:dyDescent="0.25">
      <c r="O26" s="134">
        <v>19.5</v>
      </c>
      <c r="P26" s="132">
        <v>0</v>
      </c>
      <c r="Q26" s="132">
        <v>0.24187500000000001</v>
      </c>
      <c r="R26" s="132">
        <v>1.3699999999999997</v>
      </c>
      <c r="S26" s="132">
        <v>3.7068749999999997</v>
      </c>
      <c r="T26" s="132">
        <v>7.5</v>
      </c>
      <c r="U26" s="132">
        <v>37.836666666666659</v>
      </c>
      <c r="V26" s="132">
        <v>88.75333333333333</v>
      </c>
      <c r="W26" s="132">
        <v>152.02333333333331</v>
      </c>
      <c r="X26" s="132">
        <v>222.3653666666666</v>
      </c>
      <c r="Y26" s="132">
        <v>237.07599999999999</v>
      </c>
      <c r="Z26" s="132">
        <v>360.19399999999996</v>
      </c>
      <c r="AA26" s="132">
        <v>445.51733333333328</v>
      </c>
      <c r="AB26" s="132" t="str">
        <v xml:space="preserve"> </v>
      </c>
      <c r="AC26" s="132" t="str">
        <v xml:space="preserve"> </v>
      </c>
      <c r="AD26" s="132" t="str">
        <v xml:space="preserve"> </v>
      </c>
      <c r="AE26" s="132" t="str">
        <v xml:space="preserve"> </v>
      </c>
      <c r="AF26" s="132" t="str">
        <v xml:space="preserve"> </v>
      </c>
      <c r="AG26" s="132" t="str">
        <v xml:space="preserve"> </v>
      </c>
      <c r="AH26" s="132" t="str">
        <v xml:space="preserve"> </v>
      </c>
      <c r="AI26" s="132" t="str">
        <v xml:space="preserve"> </v>
      </c>
      <c r="AJ26" s="132" t="str">
        <v xml:space="preserve"> </v>
      </c>
      <c r="AK26" s="132" t="str">
        <v xml:space="preserve"> </v>
      </c>
      <c r="AL26" s="132" t="str">
        <v xml:space="preserve"> </v>
      </c>
      <c r="AM26" s="132" t="str">
        <v xml:space="preserve"> </v>
      </c>
      <c r="AN26" s="132" t="str">
        <v xml:space="preserve"> </v>
      </c>
    </row>
    <row r="27" spans="15:40" x14ac:dyDescent="0.25">
      <c r="O27" s="134">
        <v>20</v>
      </c>
      <c r="P27" s="132">
        <v>0</v>
      </c>
      <c r="Q27" s="132">
        <v>0.14791666666666667</v>
      </c>
      <c r="R27" s="132">
        <v>0.93333333333333324</v>
      </c>
      <c r="S27" s="132">
        <v>2.5962499999999999</v>
      </c>
      <c r="T27" s="132">
        <v>5.2133333333333329</v>
      </c>
      <c r="U27" s="132">
        <v>21.049999999999997</v>
      </c>
      <c r="V27" s="132">
        <v>37.186666666666667</v>
      </c>
      <c r="W27" s="132">
        <v>43.876666666666665</v>
      </c>
      <c r="X27" s="132">
        <v>45.041733333333333</v>
      </c>
      <c r="Y27" s="132">
        <v>45</v>
      </c>
      <c r="Z27" s="132">
        <v>59.129999999999995</v>
      </c>
      <c r="AA27" s="132">
        <v>89.643333333333317</v>
      </c>
      <c r="AB27" s="132" t="str">
        <v xml:space="preserve"> </v>
      </c>
      <c r="AC27" s="132" t="str">
        <v xml:space="preserve"> </v>
      </c>
      <c r="AD27" s="132" t="str">
        <v xml:space="preserve"> </v>
      </c>
      <c r="AE27" s="132" t="str">
        <v xml:space="preserve"> </v>
      </c>
      <c r="AF27" s="132" t="str">
        <v xml:space="preserve"> </v>
      </c>
      <c r="AG27" s="132" t="str">
        <v xml:space="preserve"> </v>
      </c>
      <c r="AH27" s="132" t="str">
        <v xml:space="preserve"> </v>
      </c>
      <c r="AI27" s="132" t="str">
        <v xml:space="preserve"> </v>
      </c>
      <c r="AJ27" s="132" t="str">
        <v xml:space="preserve"> </v>
      </c>
      <c r="AK27" s="132" t="str">
        <v xml:space="preserve"> </v>
      </c>
      <c r="AL27" s="132" t="str">
        <v xml:space="preserve"> </v>
      </c>
      <c r="AM27" s="132" t="str">
        <v xml:space="preserve"> </v>
      </c>
      <c r="AN27" s="132" t="str">
        <v xml:space="preserve"> </v>
      </c>
    </row>
    <row r="77" spans="16:16" x14ac:dyDescent="0.25">
      <c r="P77" s="132" t="s">
        <v>20</v>
      </c>
    </row>
  </sheetData>
  <sheetProtection password="C89D" sheet="1" objects="1" scenarios="1"/>
  <mergeCells count="2">
    <mergeCell ref="O1:Q1"/>
    <mergeCell ref="R1:W1"/>
  </mergeCells>
  <conditionalFormatting sqref="O2:AN2">
    <cfRule type="notContainsBlanks" dxfId="44" priority="5">
      <formula>LEN(TRIM(O2))&gt;0</formula>
    </cfRule>
  </conditionalFormatting>
  <conditionalFormatting sqref="O2:AN27 O1 X1:AN1">
    <cfRule type="containsBlanks" dxfId="43" priority="4">
      <formula>LEN(TRIM(O1))=0</formula>
    </cfRule>
  </conditionalFormatting>
  <conditionalFormatting sqref="O3:O27">
    <cfRule type="notContainsBlanks" dxfId="42" priority="6">
      <formula>LEN(TRIM(O3))&gt;0</formula>
    </cfRule>
  </conditionalFormatting>
  <conditionalFormatting sqref="P3:AN27">
    <cfRule type="notContainsBlanks" dxfId="41" priority="3">
      <formula>LEN(TRIM(P3))&gt;0</formula>
    </cfRule>
  </conditionalFormatting>
  <conditionalFormatting sqref="A28:XFD1048576 O2:XFD27 O1 X1:XFD1">
    <cfRule type="containsBlanks" dxfId="40" priority="2">
      <formula>LEN(TRIM(A1))=0</formula>
    </cfRule>
  </conditionalFormatting>
  <conditionalFormatting sqref="R1">
    <cfRule type="containsBlanks" dxfId="39" priority="1">
      <formula>LEN(TRIM(R1))=0</formula>
    </cfRule>
  </conditionalFormatting>
  <pageMargins left="0.7" right="0.7" top="0.75" bottom="0.75" header="0.3" footer="0.3"/>
  <pageSetup paperSize="9" orientation="portrait" r:id="rId1"/>
  <drawing r:id="rId2"/>
</worksheet>
</file>

<file path=xl/worksheets/sheet5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6">
    <tabColor theme="5" tint="0.79998168889431442"/>
  </sheetPr>
  <dimension ref="A1:Z38"/>
  <sheetViews>
    <sheetView showGridLines="0" showRowColHeaders="0" zoomScaleNormal="100" workbookViewId="0">
      <selection activeCell="N1" sqref="N1"/>
    </sheetView>
  </sheetViews>
  <sheetFormatPr defaultRowHeight="15" x14ac:dyDescent="0.25"/>
  <cols>
    <col min="1" max="1" width="10.7109375" style="132" customWidth="1"/>
    <col min="2" max="26" width="9.7109375" style="132" customWidth="1"/>
    <col min="27" max="16384" width="9.140625" style="132"/>
  </cols>
  <sheetData>
    <row r="1" spans="1:26" x14ac:dyDescent="0.25">
      <c r="A1" s="503" t="s">
        <v>137</v>
      </c>
      <c r="B1" s="503"/>
      <c r="C1" s="503"/>
      <c r="D1" s="503"/>
      <c r="E1" s="135"/>
      <c r="F1" s="135"/>
      <c r="G1" s="136"/>
      <c r="H1" s="135"/>
      <c r="I1" s="137" t="s">
        <v>138</v>
      </c>
      <c r="M1" s="138"/>
      <c r="N1" s="466" t="str">
        <f>'Hydros Calc'!L3</f>
        <v>Note: LWL is taken as LBP for every waterline.</v>
      </c>
      <c r="O1" s="138"/>
      <c r="P1" s="138"/>
      <c r="Q1" s="138"/>
      <c r="R1" s="138"/>
      <c r="S1" s="138"/>
      <c r="T1" s="138"/>
      <c r="U1" s="138"/>
      <c r="V1" s="138"/>
      <c r="W1" s="138"/>
      <c r="X1" s="138"/>
      <c r="Y1" s="138"/>
      <c r="Z1" s="138"/>
    </row>
    <row r="2" spans="1:26" ht="9.9499999999999993" customHeight="1" x14ac:dyDescent="0.25">
      <c r="A2" s="139"/>
      <c r="B2" s="140">
        <f>IFERROR(Tools!AE2*1,"")</f>
        <v>0</v>
      </c>
      <c r="C2" s="140">
        <f>IFERROR(Tools!AF2*1,"")</f>
        <v>0.25</v>
      </c>
      <c r="D2" s="140">
        <f>IFERROR(Tools!AG2*1,"")</f>
        <v>0.5</v>
      </c>
      <c r="E2" s="140">
        <f>IFERROR(Tools!AH2*1,"")</f>
        <v>0.75</v>
      </c>
      <c r="F2" s="140">
        <f>IFERROR(Tools!AI2*1,"")</f>
        <v>1</v>
      </c>
      <c r="G2" s="140">
        <f>IFERROR(Tools!AJ2*1,"")</f>
        <v>2</v>
      </c>
      <c r="H2" s="140">
        <f>IFERROR(Tools!AK2*1,"")</f>
        <v>3</v>
      </c>
      <c r="I2" s="140">
        <f>IFERROR(Tools!AL2*1,"")</f>
        <v>4</v>
      </c>
      <c r="J2" s="140">
        <f>IFERROR(Tools!AM2*1,"")</f>
        <v>4.8499999999999996</v>
      </c>
      <c r="K2" s="140">
        <f>IFERROR(Tools!AN2*1,"")</f>
        <v>5</v>
      </c>
      <c r="L2" s="140">
        <f>IFERROR(Tools!AO2*1,"")</f>
        <v>6</v>
      </c>
      <c r="M2" s="140">
        <f>IFERROR(Tools!AP2*1,"")</f>
        <v>6.5</v>
      </c>
      <c r="N2" s="140" t="str">
        <f>IFERROR(Tools!AQ2*1,"")</f>
        <v/>
      </c>
      <c r="O2" s="140" t="str">
        <f>IFERROR(Tools!AR2*1,"")</f>
        <v/>
      </c>
      <c r="P2" s="140" t="str">
        <f>IFERROR(Tools!AS2*1,"")</f>
        <v/>
      </c>
      <c r="Q2" s="140" t="str">
        <f>IFERROR(Tools!AT2*1,"")</f>
        <v/>
      </c>
      <c r="R2" s="140" t="str">
        <f>IFERROR(Tools!AU2*1,"")</f>
        <v/>
      </c>
      <c r="S2" s="140" t="str">
        <f>IFERROR(Tools!AV2*1,"")</f>
        <v/>
      </c>
      <c r="T2" s="140" t="str">
        <f>IFERROR(Tools!AW2*1,"")</f>
        <v/>
      </c>
      <c r="U2" s="140" t="str">
        <f>IFERROR(Tools!AX2*1,"")</f>
        <v/>
      </c>
      <c r="V2" s="140" t="str">
        <f>IFERROR(Tools!AY2*1,"")</f>
        <v/>
      </c>
      <c r="W2" s="140" t="str">
        <f>IFERROR(Tools!AZ2*1,"")</f>
        <v/>
      </c>
      <c r="X2" s="140" t="str">
        <f>IFERROR(Tools!BA2*1,"")</f>
        <v/>
      </c>
      <c r="Y2" s="140" t="str">
        <f>IFERROR(Tools!BB2*1,"")</f>
        <v/>
      </c>
      <c r="Z2" s="140" t="str">
        <f>IFERROR(Tools!BC2*1,"")</f>
        <v/>
      </c>
    </row>
    <row r="3" spans="1:26" ht="9.9499999999999993" customHeight="1" x14ac:dyDescent="0.25">
      <c r="A3" s="141" t="str">
        <f t="array" ref="A3:Z25">Tools!BC70:CB92</f>
        <v>AWP</v>
      </c>
      <c r="B3" s="142">
        <v>1812.1490000000001</v>
      </c>
      <c r="C3" s="142">
        <v>2079.451333333333</v>
      </c>
      <c r="D3" s="142">
        <v>2223.2877666666668</v>
      </c>
      <c r="E3" s="142">
        <v>2319.341166666667</v>
      </c>
      <c r="F3" s="142">
        <v>2383.1818333333331</v>
      </c>
      <c r="G3" s="142">
        <v>2521.2920999999992</v>
      </c>
      <c r="H3" s="142">
        <v>2597.6084999999998</v>
      </c>
      <c r="I3" s="142">
        <v>2693.6560519999998</v>
      </c>
      <c r="J3" s="142">
        <v>2781.5848743333331</v>
      </c>
      <c r="K3" s="142">
        <v>2794.6734293333334</v>
      </c>
      <c r="L3" s="142">
        <v>2871.8065999999999</v>
      </c>
      <c r="M3" s="142">
        <v>2910.4277666666671</v>
      </c>
      <c r="N3" s="142" t="str">
        <v xml:space="preserve">  </v>
      </c>
      <c r="O3" s="142" t="str">
        <v xml:space="preserve">  </v>
      </c>
      <c r="P3" s="142" t="str">
        <v xml:space="preserve">  </v>
      </c>
      <c r="Q3" s="142" t="str">
        <v xml:space="preserve">  </v>
      </c>
      <c r="R3" s="142" t="str">
        <v xml:space="preserve">  </v>
      </c>
      <c r="S3" s="142" t="str">
        <v xml:space="preserve">  </v>
      </c>
      <c r="T3" s="142" t="str">
        <v xml:space="preserve">  </v>
      </c>
      <c r="U3" s="142" t="str">
        <v xml:space="preserve">  </v>
      </c>
      <c r="V3" s="142" t="str">
        <v xml:space="preserve">  </v>
      </c>
      <c r="W3" s="142" t="str">
        <v xml:space="preserve">  </v>
      </c>
      <c r="X3" s="142" t="str">
        <v xml:space="preserve">  </v>
      </c>
      <c r="Y3" s="142" t="str">
        <v xml:space="preserve">  </v>
      </c>
      <c r="Z3" s="142" t="str">
        <v xml:space="preserve">  </v>
      </c>
    </row>
    <row r="4" spans="1:26" ht="9.9499999999999993" customHeight="1" x14ac:dyDescent="0.25">
      <c r="A4" s="141" t="str">
        <v>Mmid</v>
      </c>
      <c r="B4" s="142">
        <v>10979.337346666665</v>
      </c>
      <c r="C4" s="142">
        <v>11633.038969999996</v>
      </c>
      <c r="D4" s="142">
        <v>11655.125891333333</v>
      </c>
      <c r="E4" s="142">
        <v>11646.576115333326</v>
      </c>
      <c r="F4" s="142">
        <v>11558.584670666662</v>
      </c>
      <c r="G4" s="142">
        <v>9820.4864580000067</v>
      </c>
      <c r="H4" s="142">
        <v>7173.6183046666629</v>
      </c>
      <c r="I4" s="142">
        <v>2879.1513176266726</v>
      </c>
      <c r="J4" s="142">
        <v>-494.34804831999929</v>
      </c>
      <c r="K4" s="142">
        <v>-857.5496576133321</v>
      </c>
      <c r="L4" s="142">
        <v>-2185.536489999999</v>
      </c>
      <c r="M4" s="142">
        <v>-2594.1445346666665</v>
      </c>
      <c r="N4" s="142" t="str">
        <v xml:space="preserve">  </v>
      </c>
      <c r="O4" s="142" t="str">
        <v xml:space="preserve">  </v>
      </c>
      <c r="P4" s="142" t="str">
        <v xml:space="preserve">  </v>
      </c>
      <c r="Q4" s="142" t="str">
        <v xml:space="preserve">  </v>
      </c>
      <c r="R4" s="142" t="str">
        <v xml:space="preserve">  </v>
      </c>
      <c r="S4" s="142" t="str">
        <v xml:space="preserve">  </v>
      </c>
      <c r="T4" s="142" t="str">
        <v xml:space="preserve">  </v>
      </c>
      <c r="U4" s="142" t="str">
        <v xml:space="preserve">  </v>
      </c>
      <c r="V4" s="142" t="str">
        <v xml:space="preserve">  </v>
      </c>
      <c r="W4" s="142" t="str">
        <v xml:space="preserve">  </v>
      </c>
      <c r="X4" s="142" t="str">
        <v xml:space="preserve">  </v>
      </c>
      <c r="Y4" s="142" t="str">
        <v xml:space="preserve">  </v>
      </c>
      <c r="Z4" s="142" t="str">
        <v xml:space="preserve">  </v>
      </c>
    </row>
    <row r="5" spans="1:26" ht="9.9499999999999993" customHeight="1" x14ac:dyDescent="0.25">
      <c r="A5" s="143" t="str">
        <v>LCF (FROM MIDSHIP)</v>
      </c>
      <c r="B5" s="142">
        <v>6.0587387387387377</v>
      </c>
      <c r="C5" s="142">
        <v>5.5942828685258954</v>
      </c>
      <c r="D5" s="142">
        <v>5.2422929978190105</v>
      </c>
      <c r="E5" s="142">
        <v>5.0215019173189015</v>
      </c>
      <c r="F5" s="142">
        <v>4.8500641071519848</v>
      </c>
      <c r="G5" s="142">
        <v>3.895021309906936</v>
      </c>
      <c r="H5" s="142">
        <v>2.7616241264481016</v>
      </c>
      <c r="I5" s="142">
        <v>1.0688637532208112</v>
      </c>
      <c r="J5" s="142">
        <v>-0.17772172004583556</v>
      </c>
      <c r="K5" s="142">
        <v>-0.30685147273822966</v>
      </c>
      <c r="L5" s="142">
        <v>-0.76103191976785589</v>
      </c>
      <c r="M5" s="142">
        <v>-0.89132757884513936</v>
      </c>
      <c r="N5" s="142" t="str">
        <v xml:space="preserve">  </v>
      </c>
      <c r="O5" s="142" t="str">
        <v xml:space="preserve">  </v>
      </c>
      <c r="P5" s="142" t="str">
        <v xml:space="preserve">  </v>
      </c>
      <c r="Q5" s="142" t="str">
        <v xml:space="preserve">  </v>
      </c>
      <c r="R5" s="142" t="str">
        <v xml:space="preserve">  </v>
      </c>
      <c r="S5" s="142" t="str">
        <v xml:space="preserve">  </v>
      </c>
      <c r="T5" s="142" t="str">
        <v xml:space="preserve">  </v>
      </c>
      <c r="U5" s="142" t="str">
        <v xml:space="preserve">  </v>
      </c>
      <c r="V5" s="142" t="str">
        <v xml:space="preserve">  </v>
      </c>
      <c r="W5" s="142" t="str">
        <v xml:space="preserve">  </v>
      </c>
      <c r="X5" s="142" t="str">
        <v xml:space="preserve">  </v>
      </c>
      <c r="Y5" s="142" t="str">
        <v xml:space="preserve">  </v>
      </c>
      <c r="Z5" s="142" t="str">
        <v xml:space="preserve">  </v>
      </c>
    </row>
    <row r="6" spans="1:26" ht="9.9499999999999993" customHeight="1" x14ac:dyDescent="0.25">
      <c r="A6" s="143" t="str">
        <v>IL</v>
      </c>
      <c r="B6" s="142">
        <v>1636389.4895735662</v>
      </c>
      <c r="C6" s="142">
        <v>2099700.0680290293</v>
      </c>
      <c r="D6" s="142">
        <v>2371489.3924675565</v>
      </c>
      <c r="E6" s="142">
        <v>2559383.1083367397</v>
      </c>
      <c r="F6" s="142">
        <v>2698555.0546614928</v>
      </c>
      <c r="G6" s="142">
        <v>3046290.9135875129</v>
      </c>
      <c r="H6" s="142">
        <v>3261298.7193306424</v>
      </c>
      <c r="I6" s="142">
        <v>3588311.8303976436</v>
      </c>
      <c r="J6" s="142">
        <v>3910971.9477697243</v>
      </c>
      <c r="K6" s="142">
        <v>3959276.6676125312</v>
      </c>
      <c r="L6" s="142">
        <v>4244485.2530372795</v>
      </c>
      <c r="M6" s="142">
        <v>4388722.2113486659</v>
      </c>
      <c r="N6" s="142" t="str">
        <v xml:space="preserve">  </v>
      </c>
      <c r="O6" s="142" t="str">
        <v xml:space="preserve">  </v>
      </c>
      <c r="P6" s="142" t="str">
        <v xml:space="preserve">  </v>
      </c>
      <c r="Q6" s="142" t="str">
        <v xml:space="preserve">  </v>
      </c>
      <c r="R6" s="142" t="str">
        <v xml:space="preserve">  </v>
      </c>
      <c r="S6" s="142" t="str">
        <v xml:space="preserve">  </v>
      </c>
      <c r="T6" s="142" t="str">
        <v xml:space="preserve">  </v>
      </c>
      <c r="U6" s="142" t="str">
        <v xml:space="preserve">  </v>
      </c>
      <c r="V6" s="142" t="str">
        <v xml:space="preserve">  </v>
      </c>
      <c r="W6" s="142" t="str">
        <v xml:space="preserve">  </v>
      </c>
      <c r="X6" s="142" t="str">
        <v xml:space="preserve">  </v>
      </c>
      <c r="Y6" s="142" t="str">
        <v xml:space="preserve">  </v>
      </c>
      <c r="Z6" s="142" t="str">
        <v xml:space="preserve">  </v>
      </c>
    </row>
    <row r="7" spans="1:26" ht="9.9499999999999993" customHeight="1" x14ac:dyDescent="0.25">
      <c r="A7" s="143" t="str">
        <v>IT</v>
      </c>
      <c r="B7" s="142">
        <v>44486.513296666657</v>
      </c>
      <c r="C7" s="142">
        <v>59167.853238324453</v>
      </c>
      <c r="D7" s="142">
        <v>67783.507566678876</v>
      </c>
      <c r="E7" s="142">
        <v>74020.444498812212</v>
      </c>
      <c r="F7" s="142">
        <v>78037.423898847788</v>
      </c>
      <c r="G7" s="142">
        <v>85927.726478203331</v>
      </c>
      <c r="H7" s="142">
        <v>90026.434477156668</v>
      </c>
      <c r="I7" s="142">
        <v>94352.936183106591</v>
      </c>
      <c r="J7" s="142">
        <v>98620.437529870091</v>
      </c>
      <c r="K7" s="142">
        <v>99332.618196645271</v>
      </c>
      <c r="L7" s="142">
        <v>103870.34522999333</v>
      </c>
      <c r="M7" s="142">
        <v>106336.05774874554</v>
      </c>
      <c r="N7" s="142" t="str">
        <v xml:space="preserve">  </v>
      </c>
      <c r="O7" s="142" t="str">
        <v xml:space="preserve">  </v>
      </c>
      <c r="P7" s="142" t="str">
        <v xml:space="preserve">  </v>
      </c>
      <c r="Q7" s="142" t="str">
        <v xml:space="preserve">  </v>
      </c>
      <c r="R7" s="142" t="str">
        <v xml:space="preserve">  </v>
      </c>
      <c r="S7" s="142" t="str">
        <v xml:space="preserve">  </v>
      </c>
      <c r="T7" s="142" t="str">
        <v xml:space="preserve">  </v>
      </c>
      <c r="U7" s="142" t="str">
        <v xml:space="preserve">  </v>
      </c>
      <c r="V7" s="142" t="str">
        <v xml:space="preserve">  </v>
      </c>
      <c r="W7" s="142" t="str">
        <v xml:space="preserve">  </v>
      </c>
      <c r="X7" s="142" t="str">
        <v xml:space="preserve">  </v>
      </c>
      <c r="Y7" s="142" t="str">
        <v xml:space="preserve">  </v>
      </c>
      <c r="Z7" s="142" t="str">
        <v xml:space="preserve">  </v>
      </c>
    </row>
    <row r="8" spans="1:26" ht="9.9499999999999993" customHeight="1" x14ac:dyDescent="0.25">
      <c r="A8" s="143" t="str">
        <v>IF</v>
      </c>
      <c r="B8" s="142">
        <v>1569868.553065636</v>
      </c>
      <c r="C8" s="142">
        <v>2034621.5574102642</v>
      </c>
      <c r="D8" s="142">
        <v>2310389.8076187209</v>
      </c>
      <c r="E8" s="142">
        <v>2500899.8040433931</v>
      </c>
      <c r="F8" s="142">
        <v>2642495.1780208154</v>
      </c>
      <c r="G8" s="142">
        <v>3008039.9095599502</v>
      </c>
      <c r="H8" s="142">
        <v>3241487.8819465451</v>
      </c>
      <c r="I8" s="142">
        <v>3585234.4099141946</v>
      </c>
      <c r="J8" s="142">
        <v>3910884.0913842754</v>
      </c>
      <c r="K8" s="142">
        <v>3959013.5272371466</v>
      </c>
      <c r="L8" s="142">
        <v>4242821.9900065716</v>
      </c>
      <c r="M8" s="142">
        <v>4386409.9787814068</v>
      </c>
      <c r="N8" s="142" t="str">
        <v xml:space="preserve">  </v>
      </c>
      <c r="O8" s="142" t="str">
        <v xml:space="preserve">  </v>
      </c>
      <c r="P8" s="142" t="str">
        <v xml:space="preserve">  </v>
      </c>
      <c r="Q8" s="142" t="str">
        <v xml:space="preserve">  </v>
      </c>
      <c r="R8" s="142" t="str">
        <v xml:space="preserve">  </v>
      </c>
      <c r="S8" s="142" t="str">
        <v xml:space="preserve">  </v>
      </c>
      <c r="T8" s="142" t="str">
        <v xml:space="preserve">  </v>
      </c>
      <c r="U8" s="142" t="str">
        <v xml:space="preserve">  </v>
      </c>
      <c r="V8" s="142" t="str">
        <v xml:space="preserve">  </v>
      </c>
      <c r="W8" s="142" t="str">
        <v xml:space="preserve">  </v>
      </c>
      <c r="X8" s="142" t="str">
        <v xml:space="preserve">  </v>
      </c>
      <c r="Y8" s="142" t="str">
        <v xml:space="preserve">  </v>
      </c>
      <c r="Z8" s="142" t="str">
        <v xml:space="preserve">  </v>
      </c>
    </row>
    <row r="9" spans="1:26" ht="9.9499999999999993" customHeight="1" x14ac:dyDescent="0.25">
      <c r="A9" s="143" t="str">
        <v>▼</v>
      </c>
      <c r="B9" s="142">
        <v>0</v>
      </c>
      <c r="C9" s="142">
        <v>978.04449583333303</v>
      </c>
      <c r="D9" s="142">
        <v>2058.8736833333332</v>
      </c>
      <c r="E9" s="142">
        <v>3193.3684236111103</v>
      </c>
      <c r="F9" s="142">
        <v>4372.8460611111104</v>
      </c>
      <c r="G9" s="142">
        <v>9287.6189722222207</v>
      </c>
      <c r="H9" s="142">
        <v>14416.818549999995</v>
      </c>
      <c r="I9" s="142">
        <v>19690.84157355555</v>
      </c>
      <c r="J9" s="142">
        <v>24344.796360938886</v>
      </c>
      <c r="K9" s="142">
        <v>25194.861563777777</v>
      </c>
      <c r="L9" s="142">
        <v>30853.612486444439</v>
      </c>
      <c r="M9" s="142">
        <v>33744.729669777771</v>
      </c>
      <c r="N9" s="142" t="str">
        <v xml:space="preserve">  </v>
      </c>
      <c r="O9" s="142" t="str">
        <v xml:space="preserve">  </v>
      </c>
      <c r="P9" s="142" t="str">
        <v xml:space="preserve">  </v>
      </c>
      <c r="Q9" s="142" t="str">
        <v xml:space="preserve">  </v>
      </c>
      <c r="R9" s="142" t="str">
        <v xml:space="preserve">  </v>
      </c>
      <c r="S9" s="142" t="str">
        <v xml:space="preserve">  </v>
      </c>
      <c r="T9" s="142" t="str">
        <v xml:space="preserve">  </v>
      </c>
      <c r="U9" s="142" t="str">
        <v xml:space="preserve">  </v>
      </c>
      <c r="V9" s="142" t="str">
        <v xml:space="preserve">  </v>
      </c>
      <c r="W9" s="142" t="str">
        <v xml:space="preserve">  </v>
      </c>
      <c r="X9" s="142" t="str">
        <v xml:space="preserve">  </v>
      </c>
      <c r="Y9" s="142" t="str">
        <v xml:space="preserve">  </v>
      </c>
      <c r="Z9" s="142" t="str">
        <v xml:space="preserve">  </v>
      </c>
    </row>
    <row r="10" spans="1:26" ht="9.9499999999999993" customHeight="1" x14ac:dyDescent="0.25">
      <c r="A10" s="143" t="str">
        <v>▲</v>
      </c>
      <c r="B10" s="142">
        <v>0</v>
      </c>
      <c r="C10" s="142">
        <v>1008.5105818785412</v>
      </c>
      <c r="D10" s="142">
        <v>2123.0075985691665</v>
      </c>
      <c r="E10" s="142">
        <v>3292.8418500065964</v>
      </c>
      <c r="F10" s="142">
        <v>4509.0602159147211</v>
      </c>
      <c r="G10" s="142">
        <v>9576.9283032069416</v>
      </c>
      <c r="H10" s="142">
        <v>14865.902447832494</v>
      </c>
      <c r="I10" s="142">
        <v>20304.211288571805</v>
      </c>
      <c r="J10" s="142">
        <v>25103.136767582131</v>
      </c>
      <c r="K10" s="142">
        <v>25979.681501489453</v>
      </c>
      <c r="L10" s="142">
        <v>31814.702515397181</v>
      </c>
      <c r="M10" s="142">
        <v>34795.877998991346</v>
      </c>
      <c r="N10" s="142" t="str">
        <v xml:space="preserve">  </v>
      </c>
      <c r="O10" s="142" t="str">
        <v xml:space="preserve">  </v>
      </c>
      <c r="P10" s="142" t="str">
        <v xml:space="preserve">  </v>
      </c>
      <c r="Q10" s="142" t="str">
        <v xml:space="preserve">  </v>
      </c>
      <c r="R10" s="142" t="str">
        <v xml:space="preserve">  </v>
      </c>
      <c r="S10" s="142" t="str">
        <v xml:space="preserve">  </v>
      </c>
      <c r="T10" s="142" t="str">
        <v xml:space="preserve">  </v>
      </c>
      <c r="U10" s="142" t="str">
        <v xml:space="preserve">  </v>
      </c>
      <c r="V10" s="142" t="str">
        <v xml:space="preserve">  </v>
      </c>
      <c r="W10" s="142" t="str">
        <v xml:space="preserve">  </v>
      </c>
      <c r="X10" s="142" t="str">
        <v xml:space="preserve">  </v>
      </c>
      <c r="Y10" s="142" t="str">
        <v xml:space="preserve">  </v>
      </c>
      <c r="Z10" s="142" t="str">
        <v xml:space="preserve">  </v>
      </c>
    </row>
    <row r="11" spans="1:26" ht="9.9499999999999993" customHeight="1" x14ac:dyDescent="0.25">
      <c r="A11" s="143" t="str">
        <v>MT</v>
      </c>
      <c r="B11" s="142">
        <v>0</v>
      </c>
      <c r="C11" s="142">
        <v>250.07992256944442</v>
      </c>
      <c r="D11" s="142">
        <v>1063.6984055555554</v>
      </c>
      <c r="E11" s="142">
        <v>2485.3946697916667</v>
      </c>
      <c r="F11" s="142">
        <v>4547.9814777777765</v>
      </c>
      <c r="G11" s="142">
        <v>19338.336966666666</v>
      </c>
      <c r="H11" s="142">
        <v>45009.773655555568</v>
      </c>
      <c r="I11" s="142">
        <v>81986.394677333315</v>
      </c>
      <c r="J11" s="142">
        <v>123195.07073705437</v>
      </c>
      <c r="K11" s="142">
        <v>131498.34112711111</v>
      </c>
      <c r="L11" s="142">
        <v>193851.63787022224</v>
      </c>
      <c r="M11" s="142">
        <v>229993.82109244447</v>
      </c>
      <c r="N11" s="142" t="str">
        <v xml:space="preserve">  </v>
      </c>
      <c r="O11" s="142" t="str">
        <v xml:space="preserve">  </v>
      </c>
      <c r="P11" s="142" t="str">
        <v xml:space="preserve">  </v>
      </c>
      <c r="Q11" s="142" t="str">
        <v xml:space="preserve">  </v>
      </c>
      <c r="R11" s="142" t="str">
        <v xml:space="preserve">  </v>
      </c>
      <c r="S11" s="142" t="str">
        <v xml:space="preserve">  </v>
      </c>
      <c r="T11" s="142" t="str">
        <v xml:space="preserve">  </v>
      </c>
      <c r="U11" s="142" t="str">
        <v xml:space="preserve">  </v>
      </c>
      <c r="V11" s="142" t="str">
        <v xml:space="preserve">  </v>
      </c>
      <c r="W11" s="142" t="str">
        <v xml:space="preserve">  </v>
      </c>
      <c r="X11" s="142" t="str">
        <v xml:space="preserve">  </v>
      </c>
      <c r="Y11" s="142" t="str">
        <v xml:space="preserve">  </v>
      </c>
      <c r="Z11" s="142" t="str">
        <v xml:space="preserve">  </v>
      </c>
    </row>
    <row r="12" spans="1:26" ht="9.9499999999999993" customHeight="1" x14ac:dyDescent="0.25">
      <c r="A12" s="143" t="str">
        <v>ML</v>
      </c>
      <c r="B12" s="142">
        <v>0</v>
      </c>
      <c r="C12" s="142">
        <v>5679.4113584166626</v>
      </c>
      <c r="D12" s="142">
        <v>11527.769852999998</v>
      </c>
      <c r="E12" s="142">
        <v>17329.431133527782</v>
      </c>
      <c r="F12" s="142">
        <v>23161.105690222219</v>
      </c>
      <c r="G12" s="142">
        <v>44691.638475666688</v>
      </c>
      <c r="H12" s="142">
        <v>61837.20489511107</v>
      </c>
      <c r="I12" s="142">
        <v>72314.430521862218</v>
      </c>
      <c r="J12" s="142">
        <v>74341.513300772858</v>
      </c>
      <c r="K12" s="142">
        <v>73717.935625706727</v>
      </c>
      <c r="L12" s="142">
        <v>70490.041319977769</v>
      </c>
      <c r="M12" s="142">
        <v>68100.200807644505</v>
      </c>
      <c r="N12" s="142" t="str">
        <v xml:space="preserve">  </v>
      </c>
      <c r="O12" s="142" t="str">
        <v xml:space="preserve">  </v>
      </c>
      <c r="P12" s="142" t="str">
        <v xml:space="preserve">  </v>
      </c>
      <c r="Q12" s="142" t="str">
        <v xml:space="preserve">  </v>
      </c>
      <c r="R12" s="142" t="str">
        <v xml:space="preserve">  </v>
      </c>
      <c r="S12" s="142" t="str">
        <v xml:space="preserve">  </v>
      </c>
      <c r="T12" s="142" t="str">
        <v xml:space="preserve">  </v>
      </c>
      <c r="U12" s="142" t="str">
        <v xml:space="preserve">  </v>
      </c>
      <c r="V12" s="142" t="str">
        <v xml:space="preserve">  </v>
      </c>
      <c r="W12" s="142" t="str">
        <v xml:space="preserve">  </v>
      </c>
      <c r="X12" s="142" t="str">
        <v xml:space="preserve">  </v>
      </c>
      <c r="Y12" s="142" t="str">
        <v xml:space="preserve">  </v>
      </c>
      <c r="Z12" s="142" t="str">
        <v xml:space="preserve">  </v>
      </c>
    </row>
    <row r="13" spans="1:26" ht="9.9499999999999993" customHeight="1" x14ac:dyDescent="0.25">
      <c r="A13" s="143" t="str">
        <v>BML</v>
      </c>
      <c r="B13" s="142" t="str">
        <v>-</v>
      </c>
      <c r="C13" s="142">
        <v>2080.2954937921154</v>
      </c>
      <c r="D13" s="142">
        <v>1122.1619987284412</v>
      </c>
      <c r="E13" s="142">
        <v>783.15417211251088</v>
      </c>
      <c r="F13" s="142">
        <v>604.29641041362777</v>
      </c>
      <c r="G13" s="142">
        <v>323.87632595141071</v>
      </c>
      <c r="H13" s="142">
        <v>224.84072132173338</v>
      </c>
      <c r="I13" s="142">
        <v>182.07624069908218</v>
      </c>
      <c r="J13" s="142">
        <v>160.64558657222005</v>
      </c>
      <c r="K13" s="142">
        <v>157.13575235233492</v>
      </c>
      <c r="L13" s="142">
        <v>137.51459385414461</v>
      </c>
      <c r="M13" s="142">
        <v>129.98800173260639</v>
      </c>
      <c r="N13" s="142" t="str">
        <v xml:space="preserve">  </v>
      </c>
      <c r="O13" s="142" t="str">
        <v xml:space="preserve">  </v>
      </c>
      <c r="P13" s="142" t="str">
        <v xml:space="preserve">  </v>
      </c>
      <c r="Q13" s="142" t="str">
        <v xml:space="preserve">  </v>
      </c>
      <c r="R13" s="142" t="str">
        <v xml:space="preserve">  </v>
      </c>
      <c r="S13" s="142" t="str">
        <v xml:space="preserve">  </v>
      </c>
      <c r="T13" s="142" t="str">
        <v xml:space="preserve">  </v>
      </c>
      <c r="U13" s="142" t="str">
        <v xml:space="preserve">  </v>
      </c>
      <c r="V13" s="142" t="str">
        <v xml:space="preserve">  </v>
      </c>
      <c r="W13" s="142" t="str">
        <v xml:space="preserve">  </v>
      </c>
      <c r="X13" s="142" t="str">
        <v xml:space="preserve">  </v>
      </c>
      <c r="Y13" s="142" t="str">
        <v xml:space="preserve">  </v>
      </c>
      <c r="Z13" s="142" t="str">
        <v xml:space="preserve">  </v>
      </c>
    </row>
    <row r="14" spans="1:26" ht="9.9499999999999993" customHeight="1" x14ac:dyDescent="0.25">
      <c r="A14" s="143" t="str">
        <v>BMT</v>
      </c>
      <c r="B14" s="142" t="str">
        <v>-</v>
      </c>
      <c r="C14" s="142">
        <v>60.496075066514308</v>
      </c>
      <c r="D14" s="142">
        <v>32.922615950356324</v>
      </c>
      <c r="E14" s="142">
        <v>23.179425196140929</v>
      </c>
      <c r="F14" s="142">
        <v>17.845911520383822</v>
      </c>
      <c r="G14" s="142">
        <v>9.2518574174069137</v>
      </c>
      <c r="H14" s="142">
        <v>6.2445423839475804</v>
      </c>
      <c r="I14" s="142">
        <v>4.7917167902981301</v>
      </c>
      <c r="J14" s="142">
        <v>4.0509863408882785</v>
      </c>
      <c r="K14" s="142">
        <v>3.9425744787363342</v>
      </c>
      <c r="L14" s="142">
        <v>3.3665537633762934</v>
      </c>
      <c r="M14" s="142">
        <v>3.1511900906997496</v>
      </c>
      <c r="N14" s="142" t="str">
        <v xml:space="preserve">  </v>
      </c>
      <c r="O14" s="142" t="str">
        <v xml:space="preserve">  </v>
      </c>
      <c r="P14" s="142" t="str">
        <v xml:space="preserve">  </v>
      </c>
      <c r="Q14" s="142" t="str">
        <v xml:space="preserve">  </v>
      </c>
      <c r="R14" s="142" t="str">
        <v xml:space="preserve">  </v>
      </c>
      <c r="S14" s="142" t="str">
        <v xml:space="preserve">  </v>
      </c>
      <c r="T14" s="142" t="str">
        <v xml:space="preserve">  </v>
      </c>
      <c r="U14" s="142" t="str">
        <v xml:space="preserve">  </v>
      </c>
      <c r="V14" s="142" t="str">
        <v xml:space="preserve">  </v>
      </c>
      <c r="W14" s="142" t="str">
        <v xml:space="preserve">  </v>
      </c>
      <c r="X14" s="142" t="str">
        <v xml:space="preserve">  </v>
      </c>
      <c r="Y14" s="142" t="str">
        <v xml:space="preserve">  </v>
      </c>
      <c r="Z14" s="142" t="str">
        <v xml:space="preserve">  </v>
      </c>
    </row>
    <row r="15" spans="1:26" ht="9.9499999999999993" customHeight="1" x14ac:dyDescent="0.25">
      <c r="A15" s="143" t="str">
        <v xml:space="preserve">KB </v>
      </c>
      <c r="B15" s="142" t="str">
        <v>-</v>
      </c>
      <c r="C15" s="142">
        <v>0.25569380905964439</v>
      </c>
      <c r="D15" s="142">
        <v>0.51664092565087283</v>
      </c>
      <c r="E15" s="142">
        <v>0.77829875545056715</v>
      </c>
      <c r="F15" s="142">
        <v>1.0400506704830503</v>
      </c>
      <c r="G15" s="142">
        <v>2.0821630414107783</v>
      </c>
      <c r="H15" s="142">
        <v>3.122032333240095</v>
      </c>
      <c r="I15" s="142">
        <v>4.1636815963945182</v>
      </c>
      <c r="J15" s="142">
        <v>5.0604272432822768</v>
      </c>
      <c r="K15" s="142">
        <v>5.2192523778802595</v>
      </c>
      <c r="L15" s="142">
        <v>6.2829478381304984</v>
      </c>
      <c r="M15" s="142">
        <v>6.8156960610779462</v>
      </c>
      <c r="N15" s="142" t="str">
        <v xml:space="preserve">  </v>
      </c>
      <c r="O15" s="142" t="str">
        <v xml:space="preserve">  </v>
      </c>
      <c r="P15" s="142" t="str">
        <v xml:space="preserve">  </v>
      </c>
      <c r="Q15" s="142" t="str">
        <v xml:space="preserve">  </v>
      </c>
      <c r="R15" s="142" t="str">
        <v xml:space="preserve">  </v>
      </c>
      <c r="S15" s="142" t="str">
        <v xml:space="preserve">  </v>
      </c>
      <c r="T15" s="142" t="str">
        <v xml:space="preserve">  </v>
      </c>
      <c r="U15" s="142" t="str">
        <v xml:space="preserve">  </v>
      </c>
      <c r="V15" s="142" t="str">
        <v xml:space="preserve">  </v>
      </c>
      <c r="W15" s="142" t="str">
        <v xml:space="preserve">  </v>
      </c>
      <c r="X15" s="142" t="str">
        <v xml:space="preserve">  </v>
      </c>
      <c r="Y15" s="142" t="str">
        <v xml:space="preserve">  </v>
      </c>
      <c r="Z15" s="142" t="str">
        <v xml:space="preserve">  </v>
      </c>
    </row>
    <row r="16" spans="1:26" ht="9.9499999999999993" customHeight="1" x14ac:dyDescent="0.25">
      <c r="A16" s="143" t="str">
        <v>KMT</v>
      </c>
      <c r="B16" s="142" t="str">
        <v>-</v>
      </c>
      <c r="C16" s="142">
        <v>60.751768875573951</v>
      </c>
      <c r="D16" s="142">
        <v>33.4392568760072</v>
      </c>
      <c r="E16" s="142">
        <v>23.957723951591497</v>
      </c>
      <c r="F16" s="142">
        <v>18.885962190866874</v>
      </c>
      <c r="G16" s="142">
        <v>11.334020458817692</v>
      </c>
      <c r="H16" s="142">
        <v>9.3665747171876745</v>
      </c>
      <c r="I16" s="142">
        <v>8.9553983866926483</v>
      </c>
      <c r="J16" s="142">
        <v>9.1114135841705561</v>
      </c>
      <c r="K16" s="142">
        <v>9.1618268566165941</v>
      </c>
      <c r="L16" s="142">
        <v>9.6495016015067918</v>
      </c>
      <c r="M16" s="142">
        <v>9.9668861517776968</v>
      </c>
      <c r="N16" s="142" t="str">
        <v xml:space="preserve">  </v>
      </c>
      <c r="O16" s="142" t="str">
        <v xml:space="preserve">  </v>
      </c>
      <c r="P16" s="142" t="str">
        <v xml:space="preserve">  </v>
      </c>
      <c r="Q16" s="142" t="str">
        <v xml:space="preserve">  </v>
      </c>
      <c r="R16" s="142" t="str">
        <v xml:space="preserve">  </v>
      </c>
      <c r="S16" s="142" t="str">
        <v xml:space="preserve">  </v>
      </c>
      <c r="T16" s="142" t="str">
        <v xml:space="preserve">  </v>
      </c>
      <c r="U16" s="142" t="str">
        <v xml:space="preserve">  </v>
      </c>
      <c r="V16" s="142" t="str">
        <v xml:space="preserve">  </v>
      </c>
      <c r="W16" s="142" t="str">
        <v xml:space="preserve">  </v>
      </c>
      <c r="X16" s="142" t="str">
        <v xml:space="preserve">  </v>
      </c>
      <c r="Y16" s="142" t="str">
        <v xml:space="preserve">  </v>
      </c>
      <c r="Z16" s="142" t="str">
        <v xml:space="preserve">  </v>
      </c>
    </row>
    <row r="17" spans="1:26" ht="9.9499999999999993" customHeight="1" x14ac:dyDescent="0.25">
      <c r="A17" s="143" t="str">
        <v>KML</v>
      </c>
      <c r="B17" s="142" t="str">
        <v>-</v>
      </c>
      <c r="C17" s="142">
        <v>2080.5511876011751</v>
      </c>
      <c r="D17" s="142">
        <v>1122.678639654092</v>
      </c>
      <c r="E17" s="142">
        <v>783.93247086796146</v>
      </c>
      <c r="F17" s="142">
        <v>605.33646108411085</v>
      </c>
      <c r="G17" s="142">
        <v>325.95848899282146</v>
      </c>
      <c r="H17" s="142">
        <v>227.96275365497348</v>
      </c>
      <c r="I17" s="142">
        <v>186.2399222954767</v>
      </c>
      <c r="J17" s="142">
        <v>165.70601381550233</v>
      </c>
      <c r="K17" s="142">
        <v>162.35500473021517</v>
      </c>
      <c r="L17" s="142">
        <v>143.7975416922751</v>
      </c>
      <c r="M17" s="142">
        <v>136.80369779368434</v>
      </c>
      <c r="N17" s="142" t="str">
        <v xml:space="preserve">  </v>
      </c>
      <c r="O17" s="142" t="str">
        <v xml:space="preserve">  </v>
      </c>
      <c r="P17" s="142" t="str">
        <v xml:space="preserve">  </v>
      </c>
      <c r="Q17" s="142" t="str">
        <v xml:space="preserve">  </v>
      </c>
      <c r="R17" s="142" t="str">
        <v xml:space="preserve">  </v>
      </c>
      <c r="S17" s="142" t="str">
        <v xml:space="preserve">  </v>
      </c>
      <c r="T17" s="142" t="str">
        <v xml:space="preserve">  </v>
      </c>
      <c r="U17" s="142" t="str">
        <v xml:space="preserve">  </v>
      </c>
      <c r="V17" s="142" t="str">
        <v xml:space="preserve">  </v>
      </c>
      <c r="W17" s="142" t="str">
        <v xml:space="preserve">  </v>
      </c>
      <c r="X17" s="142" t="str">
        <v xml:space="preserve">  </v>
      </c>
      <c r="Y17" s="142" t="str">
        <v xml:space="preserve">  </v>
      </c>
      <c r="Z17" s="142" t="str">
        <v xml:space="preserve">  </v>
      </c>
    </row>
    <row r="18" spans="1:26" ht="9.9499999999999993" customHeight="1" x14ac:dyDescent="0.25">
      <c r="A18" s="143" t="str">
        <v>TPC</v>
      </c>
      <c r="B18" s="142">
        <v>18.574527249999999</v>
      </c>
      <c r="C18" s="142">
        <v>21.314376166666662</v>
      </c>
      <c r="D18" s="142">
        <v>22.788699608333332</v>
      </c>
      <c r="E18" s="142">
        <v>23.773246958333335</v>
      </c>
      <c r="F18" s="142">
        <v>24.427613791666662</v>
      </c>
      <c r="G18" s="142">
        <v>25.84324402499999</v>
      </c>
      <c r="H18" s="142">
        <v>26.625487124999996</v>
      </c>
      <c r="I18" s="142">
        <v>27.609974532999995</v>
      </c>
      <c r="J18" s="142">
        <v>28.511244961916663</v>
      </c>
      <c r="K18" s="142">
        <v>28.645402650666664</v>
      </c>
      <c r="L18" s="142">
        <v>29.436017649999993</v>
      </c>
      <c r="M18" s="142">
        <v>29.831884608333336</v>
      </c>
      <c r="N18" s="142" t="str">
        <v xml:space="preserve">  </v>
      </c>
      <c r="O18" s="142" t="str">
        <v xml:space="preserve">  </v>
      </c>
      <c r="P18" s="142" t="str">
        <v xml:space="preserve">  </v>
      </c>
      <c r="Q18" s="142" t="str">
        <v xml:space="preserve">  </v>
      </c>
      <c r="R18" s="142" t="str">
        <v xml:space="preserve">  </v>
      </c>
      <c r="S18" s="142" t="str">
        <v xml:space="preserve">  </v>
      </c>
      <c r="T18" s="142" t="str">
        <v xml:space="preserve">  </v>
      </c>
      <c r="U18" s="142" t="str">
        <v xml:space="preserve">  </v>
      </c>
      <c r="V18" s="142" t="str">
        <v xml:space="preserve">  </v>
      </c>
      <c r="W18" s="142" t="str">
        <v xml:space="preserve">  </v>
      </c>
      <c r="X18" s="142" t="str">
        <v xml:space="preserve">  </v>
      </c>
      <c r="Y18" s="142" t="str">
        <v xml:space="preserve">  </v>
      </c>
      <c r="Z18" s="142" t="str">
        <v xml:space="preserve">  </v>
      </c>
    </row>
    <row r="19" spans="1:26" ht="9.9499999999999993" customHeight="1" x14ac:dyDescent="0.25">
      <c r="A19" s="143" t="str">
        <v>LCB</v>
      </c>
      <c r="B19" s="142" t="str">
        <v>-</v>
      </c>
      <c r="C19" s="142">
        <v>5.8069048827656626</v>
      </c>
      <c r="D19" s="142">
        <v>5.5990661041120529</v>
      </c>
      <c r="E19" s="142">
        <v>5.4266933327822517</v>
      </c>
      <c r="F19" s="142">
        <v>5.2965746716309381</v>
      </c>
      <c r="G19" s="142">
        <v>4.81195865262477</v>
      </c>
      <c r="H19" s="142">
        <v>4.2892407004117485</v>
      </c>
      <c r="I19" s="142">
        <v>3.6724905967949693</v>
      </c>
      <c r="J19" s="142">
        <v>3.0536921401426662</v>
      </c>
      <c r="K19" s="142">
        <v>2.9259115172789736</v>
      </c>
      <c r="L19" s="142">
        <v>2.2846608756413089</v>
      </c>
      <c r="M19" s="142">
        <v>2.018098869781018</v>
      </c>
      <c r="N19" s="142" t="str">
        <v xml:space="preserve">  </v>
      </c>
      <c r="O19" s="142" t="str">
        <v xml:space="preserve">  </v>
      </c>
      <c r="P19" s="142" t="str">
        <v xml:space="preserve">  </v>
      </c>
      <c r="Q19" s="142" t="str">
        <v xml:space="preserve">  </v>
      </c>
      <c r="R19" s="142" t="str">
        <v xml:space="preserve">  </v>
      </c>
      <c r="S19" s="142" t="str">
        <v xml:space="preserve">  </v>
      </c>
      <c r="T19" s="142" t="str">
        <v xml:space="preserve">  </v>
      </c>
      <c r="U19" s="142" t="str">
        <v xml:space="preserve">  </v>
      </c>
      <c r="V19" s="142" t="str">
        <v xml:space="preserve">  </v>
      </c>
      <c r="W19" s="142" t="str">
        <v xml:space="preserve">  </v>
      </c>
      <c r="X19" s="142" t="str">
        <v xml:space="preserve">  </v>
      </c>
      <c r="Y19" s="142" t="str">
        <v xml:space="preserve">  </v>
      </c>
      <c r="Z19" s="142" t="str">
        <v xml:space="preserve">  </v>
      </c>
    </row>
    <row r="20" spans="1:26" ht="9.9499999999999993" customHeight="1" x14ac:dyDescent="0.25">
      <c r="A20" s="143" t="str">
        <v>MCT1cm</v>
      </c>
      <c r="B20" s="142" t="str">
        <v>-</v>
      </c>
      <c r="C20" s="142">
        <v>143.5020532779476</v>
      </c>
      <c r="D20" s="142">
        <v>162.95201437250645</v>
      </c>
      <c r="E20" s="142">
        <v>176.38870266342988</v>
      </c>
      <c r="F20" s="142">
        <v>186.37543794912199</v>
      </c>
      <c r="G20" s="142">
        <v>212.15734286886064</v>
      </c>
      <c r="H20" s="142">
        <v>228.62245071608618</v>
      </c>
      <c r="I20" s="142">
        <v>252.86692625054869</v>
      </c>
      <c r="J20" s="142">
        <v>275.83502946859755</v>
      </c>
      <c r="K20" s="142">
        <v>279.22960318813841</v>
      </c>
      <c r="L20" s="142">
        <v>299.24664124454694</v>
      </c>
      <c r="M20" s="142">
        <v>309.37391584271188</v>
      </c>
      <c r="N20" s="142" t="str">
        <v xml:space="preserve">  </v>
      </c>
      <c r="O20" s="142" t="str">
        <v xml:space="preserve">  </v>
      </c>
      <c r="P20" s="142" t="str">
        <v xml:space="preserve">  </v>
      </c>
      <c r="Q20" s="142" t="str">
        <v xml:space="preserve">  </v>
      </c>
      <c r="R20" s="142" t="str">
        <v xml:space="preserve">  </v>
      </c>
      <c r="S20" s="142" t="str">
        <v xml:space="preserve">  </v>
      </c>
      <c r="T20" s="142" t="str">
        <v xml:space="preserve">  </v>
      </c>
      <c r="U20" s="142" t="str">
        <v xml:space="preserve">  </v>
      </c>
      <c r="V20" s="142" t="str">
        <v xml:space="preserve">  </v>
      </c>
      <c r="W20" s="142" t="str">
        <v xml:space="preserve">  </v>
      </c>
      <c r="X20" s="142" t="str">
        <v xml:space="preserve">  </v>
      </c>
      <c r="Y20" s="142" t="str">
        <v xml:space="preserve">  </v>
      </c>
      <c r="Z20" s="142" t="str">
        <v xml:space="preserve">  </v>
      </c>
    </row>
    <row r="21" spans="1:26" ht="9.9499999999999993" customHeight="1" x14ac:dyDescent="0.25">
      <c r="A21" s="143" t="str">
        <v>T</v>
      </c>
      <c r="B21" s="142">
        <v>0</v>
      </c>
      <c r="C21" s="142">
        <v>0.5</v>
      </c>
      <c r="D21" s="142">
        <v>1</v>
      </c>
      <c r="E21" s="142">
        <v>1.5</v>
      </c>
      <c r="F21" s="142">
        <v>2</v>
      </c>
      <c r="G21" s="142">
        <v>4</v>
      </c>
      <c r="H21" s="142">
        <v>6</v>
      </c>
      <c r="I21" s="142">
        <v>8</v>
      </c>
      <c r="J21" s="142">
        <v>9.6999999999999993</v>
      </c>
      <c r="K21" s="142">
        <v>10</v>
      </c>
      <c r="L21" s="142">
        <v>12</v>
      </c>
      <c r="M21" s="142">
        <v>13</v>
      </c>
      <c r="N21" s="142" t="str">
        <v xml:space="preserve">  </v>
      </c>
      <c r="O21" s="142" t="str">
        <v xml:space="preserve">  </v>
      </c>
      <c r="P21" s="142" t="str">
        <v xml:space="preserve">  </v>
      </c>
      <c r="Q21" s="142" t="str">
        <v xml:space="preserve">  </v>
      </c>
      <c r="R21" s="142" t="str">
        <v xml:space="preserve">  </v>
      </c>
      <c r="S21" s="142" t="str">
        <v xml:space="preserve">  </v>
      </c>
      <c r="T21" s="142" t="str">
        <v xml:space="preserve">  </v>
      </c>
      <c r="U21" s="142" t="str">
        <v xml:space="preserve">  </v>
      </c>
      <c r="V21" s="142" t="str">
        <v xml:space="preserve">  </v>
      </c>
      <c r="W21" s="142" t="str">
        <v xml:space="preserve">  </v>
      </c>
      <c r="X21" s="142" t="str">
        <v xml:space="preserve">  </v>
      </c>
      <c r="Y21" s="142" t="str">
        <v xml:space="preserve">  </v>
      </c>
      <c r="Z21" s="142" t="str">
        <v xml:space="preserve">  </v>
      </c>
    </row>
    <row r="22" spans="1:26" ht="9.9499999999999993" customHeight="1" x14ac:dyDescent="0.25">
      <c r="A22" s="143" t="str">
        <v>CW</v>
      </c>
      <c r="B22" s="142">
        <v>0.63891752577319594</v>
      </c>
      <c r="C22" s="142">
        <v>0.68054226475279112</v>
      </c>
      <c r="D22" s="142">
        <v>0.70731007751937991</v>
      </c>
      <c r="E22" s="142">
        <v>0.72571668191521821</v>
      </c>
      <c r="F22" s="142">
        <v>0.74094696969696972</v>
      </c>
      <c r="G22" s="142">
        <v>0.78388636363636344</v>
      </c>
      <c r="H22" s="142">
        <v>0.80761363636363637</v>
      </c>
      <c r="I22" s="142">
        <v>0.83747545454545458</v>
      </c>
      <c r="J22" s="142">
        <v>0.86481310606060613</v>
      </c>
      <c r="K22" s="142">
        <v>0.86888242424242434</v>
      </c>
      <c r="L22" s="142">
        <v>0.89286363636363641</v>
      </c>
      <c r="M22" s="142">
        <v>0.90487121212121235</v>
      </c>
      <c r="N22" s="142" t="str">
        <v xml:space="preserve">  </v>
      </c>
      <c r="O22" s="142" t="str">
        <v xml:space="preserve">  </v>
      </c>
      <c r="P22" s="142" t="str">
        <v xml:space="preserve">  </v>
      </c>
      <c r="Q22" s="142" t="str">
        <v xml:space="preserve">  </v>
      </c>
      <c r="R22" s="142" t="str">
        <v xml:space="preserve">  </v>
      </c>
      <c r="S22" s="142" t="str">
        <v xml:space="preserve">  </v>
      </c>
      <c r="T22" s="142" t="str">
        <v xml:space="preserve">  </v>
      </c>
      <c r="U22" s="142" t="str">
        <v xml:space="preserve">  </v>
      </c>
      <c r="V22" s="142" t="str">
        <v xml:space="preserve">  </v>
      </c>
      <c r="W22" s="142" t="str">
        <v xml:space="preserve">  </v>
      </c>
      <c r="X22" s="142" t="str">
        <v xml:space="preserve">  </v>
      </c>
      <c r="Y22" s="142" t="str">
        <v xml:space="preserve">  </v>
      </c>
      <c r="Z22" s="142" t="str">
        <v xml:space="preserve">  </v>
      </c>
    </row>
    <row r="23" spans="1:26" ht="9.9499999999999993" customHeight="1" x14ac:dyDescent="0.25">
      <c r="A23" s="143" t="str">
        <v>CB</v>
      </c>
      <c r="B23" s="142" t="str">
        <v>-</v>
      </c>
      <c r="C23" s="142">
        <v>0.64016945773524714</v>
      </c>
      <c r="D23" s="142">
        <v>0.65500387596899223</v>
      </c>
      <c r="E23" s="142">
        <v>0.6661319084409203</v>
      </c>
      <c r="F23" s="142">
        <v>0.67977335858585852</v>
      </c>
      <c r="G23" s="142">
        <v>0.72189551767676763</v>
      </c>
      <c r="H23" s="142">
        <v>0.74704734848484833</v>
      </c>
      <c r="I23" s="142">
        <v>0.76525158459595943</v>
      </c>
      <c r="J23" s="142">
        <v>0.78030494363740499</v>
      </c>
      <c r="K23" s="142">
        <v>0.78332488383838395</v>
      </c>
      <c r="L23" s="142">
        <v>0.79938265572390566</v>
      </c>
      <c r="M23" s="142">
        <v>0.80703533022533014</v>
      </c>
      <c r="N23" s="142" t="str">
        <v xml:space="preserve">  </v>
      </c>
      <c r="O23" s="142" t="str">
        <v xml:space="preserve">  </v>
      </c>
      <c r="P23" s="142" t="str">
        <v xml:space="preserve">  </v>
      </c>
      <c r="Q23" s="142" t="str">
        <v xml:space="preserve">  </v>
      </c>
      <c r="R23" s="142" t="str">
        <v xml:space="preserve">  </v>
      </c>
      <c r="S23" s="142" t="str">
        <v xml:space="preserve">  </v>
      </c>
      <c r="T23" s="142" t="str">
        <v xml:space="preserve">  </v>
      </c>
      <c r="U23" s="142" t="str">
        <v xml:space="preserve">  </v>
      </c>
      <c r="V23" s="142" t="str">
        <v xml:space="preserve">  </v>
      </c>
      <c r="W23" s="142" t="str">
        <v xml:space="preserve">  </v>
      </c>
      <c r="X23" s="142" t="str">
        <v xml:space="preserve">  </v>
      </c>
      <c r="Y23" s="142" t="str">
        <v xml:space="preserve">  </v>
      </c>
      <c r="Z23" s="142" t="str">
        <v xml:space="preserve">  </v>
      </c>
    </row>
    <row r="24" spans="1:26" ht="9.9499999999999993" customHeight="1" x14ac:dyDescent="0.25">
      <c r="A24" s="143" t="str">
        <v>CM</v>
      </c>
      <c r="B24" s="142" t="str">
        <v>-</v>
      </c>
      <c r="C24" s="142">
        <v>0.96770334928229662</v>
      </c>
      <c r="D24" s="142">
        <v>0.96511627906976749</v>
      </c>
      <c r="E24" s="142">
        <v>0.96286977737114976</v>
      </c>
      <c r="F24" s="142">
        <v>0.96757575757575753</v>
      </c>
      <c r="G24" s="142">
        <v>0.98378787878787866</v>
      </c>
      <c r="H24" s="142">
        <v>0.98919191919191907</v>
      </c>
      <c r="I24" s="142">
        <v>0.99189393939393933</v>
      </c>
      <c r="J24" s="142">
        <v>0.99331458919087778</v>
      </c>
      <c r="K24" s="142">
        <v>0.99351515151515146</v>
      </c>
      <c r="L24" s="142">
        <v>0.99459595959595959</v>
      </c>
      <c r="M24" s="142">
        <v>0.99501165501165501</v>
      </c>
      <c r="N24" s="142" t="str">
        <v xml:space="preserve">  </v>
      </c>
      <c r="O24" s="142" t="str">
        <v xml:space="preserve">  </v>
      </c>
      <c r="P24" s="142" t="str">
        <v xml:space="preserve">  </v>
      </c>
      <c r="Q24" s="142" t="str">
        <v xml:space="preserve">  </v>
      </c>
      <c r="R24" s="142" t="str">
        <v xml:space="preserve">  </v>
      </c>
      <c r="S24" s="142" t="str">
        <v xml:space="preserve">  </v>
      </c>
      <c r="T24" s="142" t="str">
        <v xml:space="preserve">  </v>
      </c>
      <c r="U24" s="142" t="str">
        <v xml:space="preserve">  </v>
      </c>
      <c r="V24" s="142" t="str">
        <v xml:space="preserve">  </v>
      </c>
      <c r="W24" s="142" t="str">
        <v xml:space="preserve">  </v>
      </c>
      <c r="X24" s="142" t="str">
        <v xml:space="preserve">  </v>
      </c>
      <c r="Y24" s="142" t="str">
        <v xml:space="preserve">  </v>
      </c>
      <c r="Z24" s="142" t="str">
        <v xml:space="preserve">  </v>
      </c>
    </row>
    <row r="25" spans="1:26" ht="9.9499999999999993" customHeight="1" x14ac:dyDescent="0.25">
      <c r="A25" s="143" t="str">
        <v>CP</v>
      </c>
      <c r="B25" s="142" t="str">
        <v>-</v>
      </c>
      <c r="C25" s="142">
        <v>0.66153481664606506</v>
      </c>
      <c r="D25" s="142">
        <v>0.67867871485943765</v>
      </c>
      <c r="E25" s="142">
        <v>0.69181931357281734</v>
      </c>
      <c r="F25" s="142">
        <v>0.70255311097191775</v>
      </c>
      <c r="G25" s="142">
        <v>0.73379183993018127</v>
      </c>
      <c r="H25" s="142">
        <v>0.75520971612376175</v>
      </c>
      <c r="I25" s="142">
        <v>0.77150545456859887</v>
      </c>
      <c r="J25" s="142">
        <v>0.7855567129775235</v>
      </c>
      <c r="K25" s="142">
        <v>0.78843778340348536</v>
      </c>
      <c r="L25" s="142">
        <v>0.80372602362937751</v>
      </c>
      <c r="M25" s="142">
        <v>0.81108128348092268</v>
      </c>
      <c r="N25" s="142" t="str">
        <v xml:space="preserve">  </v>
      </c>
      <c r="O25" s="142" t="str">
        <v xml:space="preserve">  </v>
      </c>
      <c r="P25" s="142" t="str">
        <v xml:space="preserve">  </v>
      </c>
      <c r="Q25" s="142" t="str">
        <v xml:space="preserve">  </v>
      </c>
      <c r="R25" s="142" t="str">
        <v xml:space="preserve">  </v>
      </c>
      <c r="S25" s="142" t="str">
        <v xml:space="preserve">  </v>
      </c>
      <c r="T25" s="142" t="str">
        <v xml:space="preserve">  </v>
      </c>
      <c r="U25" s="142" t="str">
        <v xml:space="preserve">  </v>
      </c>
      <c r="V25" s="142" t="str">
        <v xml:space="preserve">  </v>
      </c>
      <c r="W25" s="142" t="str">
        <v xml:space="preserve">  </v>
      </c>
      <c r="X25" s="142" t="str">
        <v xml:space="preserve">  </v>
      </c>
      <c r="Y25" s="142" t="str">
        <v xml:space="preserve">  </v>
      </c>
      <c r="Z25" s="142" t="str">
        <v xml:space="preserve">  </v>
      </c>
    </row>
    <row r="27" spans="1:26" ht="9.9499999999999993" customHeight="1" x14ac:dyDescent="0.25"/>
    <row r="28" spans="1:26" ht="9.9499999999999993" customHeight="1" x14ac:dyDescent="0.25"/>
    <row r="29" spans="1:26" ht="9.9499999999999993" customHeight="1" x14ac:dyDescent="0.25"/>
    <row r="30" spans="1:26" ht="9.9499999999999993" customHeight="1" x14ac:dyDescent="0.25"/>
    <row r="31" spans="1:26" ht="9.9499999999999993" customHeight="1" x14ac:dyDescent="0.25"/>
    <row r="32" spans="1:26" ht="9.9499999999999993" customHeight="1" x14ac:dyDescent="0.25"/>
    <row r="33" spans="2:2" ht="9.9499999999999993" customHeight="1" x14ac:dyDescent="0.25"/>
    <row r="34" spans="2:2" ht="9.9499999999999993" customHeight="1" x14ac:dyDescent="0.25"/>
    <row r="35" spans="2:2" ht="9.9499999999999993" customHeight="1" x14ac:dyDescent="0.25"/>
    <row r="36" spans="2:2" ht="9.9499999999999993" customHeight="1" x14ac:dyDescent="0.25"/>
    <row r="37" spans="2:2" ht="9.9499999999999993" customHeight="1" x14ac:dyDescent="0.25"/>
    <row r="38" spans="2:2" ht="9.9499999999999993" customHeight="1" x14ac:dyDescent="0.25">
      <c r="B38" s="130"/>
    </row>
  </sheetData>
  <sheetProtection password="CC2F" sheet="1" objects="1" scenarios="1"/>
  <mergeCells count="1">
    <mergeCell ref="A1:D1"/>
  </mergeCells>
  <conditionalFormatting sqref="A26:XFD26 B3:XFD25 A2:XFD2 A57:XFD1048576 D27:XFD38 D45:XFD56 A1 M1:XFD1 C40:XFD44 A27:B31 A51:A56 B39:XFD39 A32:A37 B38">
    <cfRule type="containsBlanks" dxfId="38" priority="1">
      <formula>LEN(TRIM(A1))=0</formula>
    </cfRule>
    <cfRule type="containsBlanks" dxfId="37" priority="3">
      <formula>LEN(TRIM(A1))=0</formula>
    </cfRule>
  </conditionalFormatting>
  <conditionalFormatting sqref="A2:Z2">
    <cfRule type="notContainsBlanks" dxfId="36" priority="2">
      <formula>LEN(TRIM(A2))&gt;0</formula>
    </cfRule>
  </conditionalFormatting>
  <conditionalFormatting sqref="B3:Z25">
    <cfRule type="notContainsBlanks" dxfId="35" priority="4">
      <formula>LEN(TRIM(B3))&gt;0</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9" r:id="rId4" name="Drop Down 3">
              <controlPr defaultSize="0" autoLine="0" autoPict="0">
                <anchor moveWithCells="1">
                  <from>
                    <xdr:col>9</xdr:col>
                    <xdr:colOff>0</xdr:colOff>
                    <xdr:row>0</xdr:row>
                    <xdr:rowOff>0</xdr:rowOff>
                  </from>
                  <to>
                    <xdr:col>12</xdr:col>
                    <xdr:colOff>247650</xdr:colOff>
                    <xdr:row>0</xdr:row>
                    <xdr:rowOff>180975</xdr:rowOff>
                  </to>
                </anchor>
              </controlPr>
            </control>
          </mc:Choice>
        </mc:AlternateContent>
      </controls>
    </mc:Choice>
  </mc:AlternateContent>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tabColor theme="6" tint="0.79998168889431442"/>
  </sheetPr>
  <dimension ref="A1:M161"/>
  <sheetViews>
    <sheetView showGridLines="0" showRowColHeaders="0" workbookViewId="0">
      <selection activeCell="J15" sqref="J15"/>
    </sheetView>
  </sheetViews>
  <sheetFormatPr defaultRowHeight="15" x14ac:dyDescent="0.25"/>
  <cols>
    <col min="1" max="3" width="9.140625" style="130"/>
    <col min="4" max="4" width="9.140625" style="164"/>
    <col min="5" max="5" width="12.7109375" style="130" customWidth="1"/>
    <col min="6" max="6" width="9.140625" style="164"/>
    <col min="7" max="8" width="12.7109375" style="130" customWidth="1"/>
    <col min="9" max="9" width="9.140625" style="130"/>
    <col min="10" max="10" width="9.140625" style="164"/>
    <col min="11" max="11" width="9.140625" style="181"/>
    <col min="12" max="12" width="9.140625" style="164"/>
    <col min="13" max="16384" width="9.140625" style="130"/>
  </cols>
  <sheetData>
    <row r="1" spans="1:6" x14ac:dyDescent="0.25">
      <c r="D1" s="130"/>
      <c r="F1" s="130"/>
    </row>
    <row r="2" spans="1:6" x14ac:dyDescent="0.25">
      <c r="A2" s="164"/>
      <c r="B2" s="164"/>
      <c r="C2" s="190"/>
      <c r="D2" s="130"/>
      <c r="F2" s="130"/>
    </row>
    <row r="3" spans="1:6" x14ac:dyDescent="0.25">
      <c r="A3" s="164"/>
      <c r="B3" s="164"/>
      <c r="C3" s="190"/>
      <c r="D3" s="130"/>
      <c r="F3" s="130"/>
    </row>
    <row r="4" spans="1:6" x14ac:dyDescent="0.25">
      <c r="A4" s="164"/>
      <c r="B4" s="164"/>
      <c r="C4" s="190"/>
      <c r="D4" s="130"/>
      <c r="F4" s="130"/>
    </row>
    <row r="5" spans="1:6" x14ac:dyDescent="0.25">
      <c r="A5" s="164"/>
      <c r="B5" s="164"/>
      <c r="C5" s="190"/>
      <c r="D5" s="130"/>
      <c r="F5" s="130"/>
    </row>
    <row r="6" spans="1:6" x14ac:dyDescent="0.25">
      <c r="A6" s="164"/>
      <c r="B6" s="164"/>
      <c r="C6" s="190"/>
      <c r="D6" s="130"/>
      <c r="F6" s="130"/>
    </row>
    <row r="7" spans="1:6" x14ac:dyDescent="0.25">
      <c r="A7" s="164"/>
      <c r="B7" s="164"/>
      <c r="C7" s="190"/>
      <c r="D7" s="130"/>
      <c r="F7" s="130"/>
    </row>
    <row r="8" spans="1:6" x14ac:dyDescent="0.25">
      <c r="A8" s="164"/>
      <c r="B8" s="164"/>
      <c r="C8" s="190"/>
      <c r="D8" s="130"/>
      <c r="F8" s="130"/>
    </row>
    <row r="9" spans="1:6" x14ac:dyDescent="0.25">
      <c r="A9" s="164"/>
      <c r="B9" s="164"/>
      <c r="C9" s="190"/>
      <c r="D9" s="130"/>
      <c r="F9" s="130"/>
    </row>
    <row r="10" spans="1:6" x14ac:dyDescent="0.25">
      <c r="A10" s="164"/>
      <c r="B10" s="164"/>
      <c r="C10" s="190"/>
      <c r="D10" s="130"/>
      <c r="F10" s="130"/>
    </row>
    <row r="11" spans="1:6" x14ac:dyDescent="0.25">
      <c r="A11" s="164"/>
      <c r="B11" s="164"/>
      <c r="C11" s="190"/>
      <c r="D11" s="130"/>
      <c r="F11" s="130"/>
    </row>
    <row r="12" spans="1:6" x14ac:dyDescent="0.25">
      <c r="A12" s="164"/>
      <c r="B12" s="164"/>
      <c r="C12" s="190"/>
      <c r="D12" s="130"/>
      <c r="F12" s="130"/>
    </row>
    <row r="13" spans="1:6" x14ac:dyDescent="0.25">
      <c r="A13" s="164"/>
      <c r="B13" s="164"/>
      <c r="C13" s="190"/>
      <c r="D13" s="130"/>
      <c r="F13" s="130"/>
    </row>
    <row r="14" spans="1:6" x14ac:dyDescent="0.25">
      <c r="A14" s="164"/>
      <c r="B14" s="164"/>
      <c r="C14" s="190"/>
      <c r="D14" s="130"/>
      <c r="F14" s="130"/>
    </row>
    <row r="15" spans="1:6" x14ac:dyDescent="0.25">
      <c r="A15" s="164"/>
      <c r="B15" s="164"/>
      <c r="C15" s="190"/>
      <c r="D15" s="130"/>
      <c r="F15" s="130"/>
    </row>
    <row r="16" spans="1:6" ht="18.75" x14ac:dyDescent="0.3">
      <c r="C16" s="504" t="s">
        <v>162</v>
      </c>
      <c r="D16" s="504"/>
      <c r="E16" s="191">
        <v>8</v>
      </c>
      <c r="F16" s="426" t="s">
        <v>321</v>
      </c>
    </row>
    <row r="18" spans="2:13" x14ac:dyDescent="0.25">
      <c r="B18" s="192" t="str">
        <f t="array" ref="B18:M22">IF('View Bonjean'!$AV34='View Bonjean'!$AR34,IF('View Bonjean'!$AV35='View Bonjean'!$P$4,'View Bonjean'!$BA$4:$BL$8,IF('View Bonjean'!$AV35='View Bonjean'!$P$6,'View Bonjean'!$BA$10:$BL$14,IF('View Bonjean'!$AV35='View Bonjean'!$P$8,'View Bonjean'!$BA$17:$BL$21,IF('View Bonjean'!$AV35='View Bonjean'!$P$10,'View Bonjean'!$BA$24:$BL$28)))),IF('View Bonjean'!$AV34='View Bonjean'!$AS34,'View Bonjean'!$C32:$N36,IF('View Bonjean'!$AV34='View Bonjean'!$AT34,'View Bonjean'!$Q32:$AB36,IF('View Bonjean'!$AV34='View Bonjean'!$AU34,'View Bonjean'!$AD33:$AO37,1/0))))</f>
        <v>WL</v>
      </c>
      <c r="C18" s="192" t="str">
        <v>y</v>
      </c>
      <c r="D18" s="192" t="str">
        <v>SM1</v>
      </c>
      <c r="E18" s="192" t="str">
        <v>f(a)=y*SM1</v>
      </c>
      <c r="F18" s="192" t="str">
        <v>SM2</v>
      </c>
      <c r="G18" s="192" t="str">
        <v>f(m)=y*SM2</v>
      </c>
      <c r="H18" s="164" t="str">
        <v xml:space="preserve">    </v>
      </c>
      <c r="I18" s="181" t="str">
        <v xml:space="preserve">    </v>
      </c>
      <c r="J18" s="164" t="str">
        <v xml:space="preserve">    </v>
      </c>
      <c r="K18" s="181" t="str">
        <v xml:space="preserve">    </v>
      </c>
      <c r="L18" s="164" t="str">
        <v xml:space="preserve">    </v>
      </c>
      <c r="M18" s="130" t="str">
        <v xml:space="preserve">    </v>
      </c>
    </row>
    <row r="19" spans="2:13" x14ac:dyDescent="0.25">
      <c r="B19" s="130">
        <v>0</v>
      </c>
      <c r="C19" s="130">
        <v>9.5</v>
      </c>
      <c r="D19" s="164">
        <v>5</v>
      </c>
      <c r="E19" s="130">
        <v>47.5</v>
      </c>
      <c r="F19" s="164">
        <v>3</v>
      </c>
      <c r="G19" s="130">
        <v>28.5</v>
      </c>
      <c r="H19" s="164" t="str">
        <v>h=</v>
      </c>
      <c r="I19" s="181">
        <v>0.5</v>
      </c>
      <c r="J19" s="164" t="str">
        <v xml:space="preserve">    </v>
      </c>
      <c r="K19" s="181" t="str">
        <v xml:space="preserve">    </v>
      </c>
      <c r="L19" s="164" t="str">
        <v xml:space="preserve">    </v>
      </c>
      <c r="M19" s="130" t="str">
        <v xml:space="preserve">    </v>
      </c>
    </row>
    <row r="20" spans="2:13" x14ac:dyDescent="0.25">
      <c r="B20" s="130">
        <v>0.25</v>
      </c>
      <c r="C20" s="130">
        <v>10.33</v>
      </c>
      <c r="D20" s="164">
        <v>8</v>
      </c>
      <c r="E20" s="130">
        <v>82.64</v>
      </c>
      <c r="F20" s="164">
        <v>10</v>
      </c>
      <c r="G20" s="130">
        <v>103.3</v>
      </c>
      <c r="H20" s="164" t="str">
        <v xml:space="preserve">    </v>
      </c>
      <c r="I20" s="181" t="str">
        <v xml:space="preserve">    </v>
      </c>
      <c r="J20" s="164" t="str">
        <v xml:space="preserve">    </v>
      </c>
      <c r="K20" s="181" t="str">
        <v xml:space="preserve">    </v>
      </c>
      <c r="L20" s="164" t="str">
        <v>Total</v>
      </c>
      <c r="M20" s="130" t="str">
        <v xml:space="preserve">    </v>
      </c>
    </row>
    <row r="21" spans="2:13" x14ac:dyDescent="0.25">
      <c r="B21" s="130">
        <v>0.5</v>
      </c>
      <c r="C21" s="130">
        <v>10.67</v>
      </c>
      <c r="D21" s="164">
        <v>-1</v>
      </c>
      <c r="E21" s="130">
        <v>-10.67</v>
      </c>
      <c r="F21" s="164">
        <v>-1</v>
      </c>
      <c r="G21" s="130">
        <v>-10.67</v>
      </c>
      <c r="H21" s="164" t="str">
        <v xml:space="preserve">    </v>
      </c>
      <c r="I21" s="181" t="str">
        <v xml:space="preserve">    </v>
      </c>
      <c r="J21" s="164" t="str">
        <v xml:space="preserve">    </v>
      </c>
      <c r="K21" s="181" t="str">
        <v xml:space="preserve">    </v>
      </c>
      <c r="L21" s="164" t="str">
        <v>A(0.25)=</v>
      </c>
      <c r="M21" s="130">
        <v>9.9558333333333309</v>
      </c>
    </row>
    <row r="22" spans="2:13" x14ac:dyDescent="0.25">
      <c r="B22" s="130" t="str">
        <v xml:space="preserve">    </v>
      </c>
      <c r="C22" s="130" t="str">
        <v xml:space="preserve">    </v>
      </c>
      <c r="D22" s="164" t="str">
        <v>Σ=</v>
      </c>
      <c r="E22" s="130">
        <v>119.46999999999998</v>
      </c>
      <c r="F22" s="164" t="str">
        <v>Σ=</v>
      </c>
      <c r="G22" s="130">
        <v>121.13000000000001</v>
      </c>
      <c r="H22" s="164" t="str">
        <v xml:space="preserve">    </v>
      </c>
      <c r="I22" s="181" t="str">
        <v xml:space="preserve">    </v>
      </c>
      <c r="J22" s="164" t="str">
        <v xml:space="preserve">    </v>
      </c>
      <c r="K22" s="181" t="str">
        <v xml:space="preserve">    </v>
      </c>
      <c r="L22" s="164" t="str">
        <v>M(0.25)=</v>
      </c>
      <c r="M22" s="130">
        <v>2.5235416666666666</v>
      </c>
    </row>
    <row r="23" spans="2:13" x14ac:dyDescent="0.25">
      <c r="H23" s="164"/>
      <c r="I23" s="181"/>
    </row>
    <row r="24" spans="2:13" x14ac:dyDescent="0.25">
      <c r="B24" s="192" t="str">
        <f t="array" ref="B24:M28">IF('View Bonjean'!$AV40='View Bonjean'!$AR40,IF('View Bonjean'!$AV41='View Bonjean'!$P$4,'View Bonjean'!$BA$4:$BL$8,IF('View Bonjean'!$AV41='View Bonjean'!$P$6,'View Bonjean'!$BA$10:$BL$14,IF('View Bonjean'!$AV41='View Bonjean'!$P$8,'View Bonjean'!$BA$17:$BL$21,IF('View Bonjean'!$AV41='View Bonjean'!$P$10,'View Bonjean'!$BA$24:$BL$28)))),IF('View Bonjean'!$AV40='View Bonjean'!$AS40,'View Bonjean'!$C38:$N42,IF('View Bonjean'!$AV40='View Bonjean'!$AT40,'View Bonjean'!$Q38:$AB42,IF('View Bonjean'!$AV40='View Bonjean'!$AU40,'View Bonjean'!$AD39:$AO43,1/0))))</f>
        <v>WL</v>
      </c>
      <c r="C24" s="192" t="str">
        <v>y</v>
      </c>
      <c r="D24" s="192" t="str">
        <v>SM1</v>
      </c>
      <c r="E24" s="192" t="str">
        <v>f(a)=y*SM1</v>
      </c>
      <c r="F24" s="192" t="str">
        <v>Lever</v>
      </c>
      <c r="G24" s="192" t="str">
        <v>f(a)*lever</v>
      </c>
      <c r="H24" s="164" t="str">
        <v xml:space="preserve">    </v>
      </c>
      <c r="I24" s="181" t="str">
        <v xml:space="preserve">    </v>
      </c>
      <c r="J24" s="164" t="str">
        <v xml:space="preserve">    </v>
      </c>
      <c r="K24" s="181" t="str">
        <v xml:space="preserve">    </v>
      </c>
      <c r="L24" s="164" t="str">
        <v xml:space="preserve">    </v>
      </c>
      <c r="M24" s="130" t="str">
        <v xml:space="preserve">    </v>
      </c>
    </row>
    <row r="25" spans="2:13" x14ac:dyDescent="0.25">
      <c r="B25" s="130">
        <v>0</v>
      </c>
      <c r="C25" s="130">
        <v>9.5</v>
      </c>
      <c r="D25" s="164">
        <v>1</v>
      </c>
      <c r="E25" s="130">
        <v>9.5</v>
      </c>
      <c r="F25" s="164">
        <v>0</v>
      </c>
      <c r="G25" s="130">
        <v>0</v>
      </c>
      <c r="H25" s="164" t="str">
        <v>h=</v>
      </c>
      <c r="I25" s="181">
        <v>0.5</v>
      </c>
      <c r="J25" s="164" t="str">
        <v xml:space="preserve">    </v>
      </c>
      <c r="K25" s="181" t="str">
        <v xml:space="preserve">    </v>
      </c>
      <c r="L25" s="164" t="str">
        <v xml:space="preserve">    </v>
      </c>
      <c r="M25" s="130" t="str">
        <v xml:space="preserve">    </v>
      </c>
    </row>
    <row r="26" spans="2:13" x14ac:dyDescent="0.25">
      <c r="B26" s="130">
        <v>0.25</v>
      </c>
      <c r="C26" s="130">
        <v>10.33</v>
      </c>
      <c r="D26" s="164">
        <v>4</v>
      </c>
      <c r="E26" s="130">
        <v>41.32</v>
      </c>
      <c r="F26" s="164">
        <v>0.25</v>
      </c>
      <c r="G26" s="130">
        <v>10.33</v>
      </c>
      <c r="H26" s="164" t="str">
        <v xml:space="preserve">    </v>
      </c>
      <c r="I26" s="181" t="str">
        <v xml:space="preserve">    </v>
      </c>
      <c r="J26" s="164" t="str">
        <v xml:space="preserve">    </v>
      </c>
      <c r="K26" s="181" t="str">
        <v xml:space="preserve">    </v>
      </c>
      <c r="L26" s="164" t="str">
        <v>Total</v>
      </c>
      <c r="M26" s="130" t="str">
        <v xml:space="preserve">    </v>
      </c>
    </row>
    <row r="27" spans="2:13" x14ac:dyDescent="0.25">
      <c r="B27" s="130">
        <v>0.5</v>
      </c>
      <c r="C27" s="130">
        <v>10.67</v>
      </c>
      <c r="D27" s="164">
        <v>1</v>
      </c>
      <c r="E27" s="130">
        <v>10.67</v>
      </c>
      <c r="F27" s="164">
        <v>0.5</v>
      </c>
      <c r="G27" s="130">
        <v>5.335</v>
      </c>
      <c r="H27" s="164" t="str">
        <v xml:space="preserve">    </v>
      </c>
      <c r="I27" s="181" t="str">
        <v xml:space="preserve">    </v>
      </c>
      <c r="J27" s="164" t="str">
        <v xml:space="preserve">    </v>
      </c>
      <c r="K27" s="181" t="str">
        <v xml:space="preserve">    </v>
      </c>
      <c r="L27" s="164" t="str">
        <v>A(0.5)=</v>
      </c>
      <c r="M27" s="130">
        <v>20.496666666666666</v>
      </c>
    </row>
    <row r="28" spans="2:13" x14ac:dyDescent="0.25">
      <c r="B28" s="130" t="str">
        <v xml:space="preserve">    </v>
      </c>
      <c r="C28" s="130" t="str">
        <v xml:space="preserve">    </v>
      </c>
      <c r="D28" s="164" t="str">
        <v>Σ=</v>
      </c>
      <c r="E28" s="130">
        <v>61.49</v>
      </c>
      <c r="F28" s="164" t="str">
        <v>Σ=</v>
      </c>
      <c r="G28" s="130">
        <v>15.664999999999999</v>
      </c>
      <c r="H28" s="164" t="str">
        <v xml:space="preserve">    </v>
      </c>
      <c r="I28" s="181" t="str">
        <v xml:space="preserve">    </v>
      </c>
      <c r="J28" s="164" t="str">
        <v xml:space="preserve">    </v>
      </c>
      <c r="K28" s="181" t="str">
        <v xml:space="preserve">    </v>
      </c>
      <c r="L28" s="164" t="str">
        <v>M(0.5)=</v>
      </c>
      <c r="M28" s="130">
        <v>10.443333333333332</v>
      </c>
    </row>
    <row r="29" spans="2:13" x14ac:dyDescent="0.25">
      <c r="H29" s="164"/>
      <c r="I29" s="181"/>
    </row>
    <row r="30" spans="2:13" x14ac:dyDescent="0.25">
      <c r="B30" s="192" t="str">
        <f t="array" ref="B30:M34">IF('View Bonjean'!$AV46='View Bonjean'!$AR46,IF('View Bonjean'!$AV47='View Bonjean'!$P$4,'View Bonjean'!$BA$4:$BL$8,IF('View Bonjean'!$AV47='View Bonjean'!$P$6,'View Bonjean'!$BA$10:$BL$14,IF('View Bonjean'!$AV47='View Bonjean'!$P$8,'View Bonjean'!$BA$17:$BL$21,IF('View Bonjean'!$AV47='View Bonjean'!$P$10,'View Bonjean'!$BA$24:$BL$28)))),IF('View Bonjean'!$AV46='View Bonjean'!$AS46,'View Bonjean'!$C44:$N48,IF('View Bonjean'!$AV46='View Bonjean'!$AT46,'View Bonjean'!$Q44:$AB48,IF('View Bonjean'!$AV46='View Bonjean'!$AU46,'View Bonjean'!$AD45:$AO49,1/0))))</f>
        <v>WL</v>
      </c>
      <c r="C30" s="192" t="str">
        <v>y</v>
      </c>
      <c r="D30" s="192" t="str">
        <v>SM1</v>
      </c>
      <c r="E30" s="192" t="str">
        <v>f(a)=y*SM1</v>
      </c>
      <c r="F30" s="192" t="str">
        <v>Lever</v>
      </c>
      <c r="G30" s="192" t="str">
        <v>f(a)*lever</v>
      </c>
      <c r="H30" s="164" t="str">
        <v xml:space="preserve">    </v>
      </c>
      <c r="I30" s="181" t="str">
        <v xml:space="preserve">    </v>
      </c>
      <c r="J30" s="164" t="str">
        <v xml:space="preserve">    </v>
      </c>
      <c r="K30" s="181" t="str">
        <v xml:space="preserve">    </v>
      </c>
      <c r="L30" s="164" t="str">
        <v xml:space="preserve">    </v>
      </c>
      <c r="M30" s="130" t="str">
        <v xml:space="preserve">    </v>
      </c>
    </row>
    <row r="31" spans="2:13" x14ac:dyDescent="0.25">
      <c r="B31" s="130">
        <v>0.25</v>
      </c>
      <c r="C31" s="130">
        <v>10.33</v>
      </c>
      <c r="D31" s="164">
        <v>1</v>
      </c>
      <c r="E31" s="130">
        <v>10.33</v>
      </c>
      <c r="F31" s="164">
        <v>0.25</v>
      </c>
      <c r="G31" s="130">
        <v>2.5825</v>
      </c>
      <c r="H31" s="164" t="str">
        <v>h=</v>
      </c>
      <c r="I31" s="181">
        <v>0.5</v>
      </c>
      <c r="J31" s="164" t="str">
        <v xml:space="preserve">    </v>
      </c>
      <c r="K31" s="181" t="str">
        <v xml:space="preserve">    </v>
      </c>
      <c r="L31" s="164" t="str">
        <v xml:space="preserve">    </v>
      </c>
      <c r="M31" s="130" t="str">
        <v xml:space="preserve">    </v>
      </c>
    </row>
    <row r="32" spans="2:13" x14ac:dyDescent="0.25">
      <c r="B32" s="130">
        <v>0.5</v>
      </c>
      <c r="C32" s="130">
        <v>10.67</v>
      </c>
      <c r="D32" s="164">
        <v>4</v>
      </c>
      <c r="E32" s="130">
        <v>42.68</v>
      </c>
      <c r="F32" s="164">
        <v>0.5</v>
      </c>
      <c r="G32" s="130">
        <v>21.34</v>
      </c>
      <c r="H32" s="164" t="str">
        <v>Current</v>
      </c>
      <c r="I32" s="181" t="str">
        <v xml:space="preserve">    </v>
      </c>
      <c r="J32" s="164" t="str">
        <v>Previous</v>
      </c>
      <c r="K32" s="181" t="str">
        <v xml:space="preserve">    </v>
      </c>
      <c r="L32" s="164" t="str">
        <v>Total</v>
      </c>
      <c r="M32" s="130" t="str">
        <v xml:space="preserve">    </v>
      </c>
    </row>
    <row r="33" spans="2:13" x14ac:dyDescent="0.25">
      <c r="B33" s="130">
        <v>0.75</v>
      </c>
      <c r="C33" s="130">
        <v>10.9</v>
      </c>
      <c r="D33" s="164">
        <v>1</v>
      </c>
      <c r="E33" s="130">
        <v>10.9</v>
      </c>
      <c r="F33" s="164">
        <v>0.75</v>
      </c>
      <c r="G33" s="130">
        <v>8.1750000000000007</v>
      </c>
      <c r="H33" s="164" t="str">
        <v>a'(0.25~0.75)=</v>
      </c>
      <c r="I33" s="181">
        <v>21.303333333333331</v>
      </c>
      <c r="J33" s="164" t="str">
        <v>A(0.25)=</v>
      </c>
      <c r="K33" s="181">
        <v>9.9558333333333309</v>
      </c>
      <c r="L33" s="164" t="str">
        <v>A(0.75)=</v>
      </c>
      <c r="M33" s="130">
        <v>31.259166666666662</v>
      </c>
    </row>
    <row r="34" spans="2:13" x14ac:dyDescent="0.25">
      <c r="B34" s="130" t="e">
        <v>#DIV/0!</v>
      </c>
      <c r="C34" s="130" t="e">
        <v>#DIV/0!</v>
      </c>
      <c r="D34" s="164" t="str">
        <v>Σ=</v>
      </c>
      <c r="E34" s="130">
        <v>63.91</v>
      </c>
      <c r="F34" s="164" t="str">
        <v>Σ=</v>
      </c>
      <c r="G34" s="130">
        <v>32.097499999999997</v>
      </c>
      <c r="H34" s="164" t="str">
        <v>m'(0.25~0.75)=</v>
      </c>
      <c r="I34" s="181">
        <v>21.39833333333333</v>
      </c>
      <c r="J34" s="164" t="str">
        <v>M(0.25)=</v>
      </c>
      <c r="K34" s="181">
        <v>2.5235416666666666</v>
      </c>
      <c r="L34" s="164" t="str">
        <v>M(0.75)=</v>
      </c>
      <c r="M34" s="130">
        <v>23.921874999999996</v>
      </c>
    </row>
    <row r="35" spans="2:13" x14ac:dyDescent="0.25">
      <c r="H35" s="164"/>
      <c r="I35" s="181"/>
    </row>
    <row r="36" spans="2:13" x14ac:dyDescent="0.25">
      <c r="B36" s="192" t="str">
        <f t="array" ref="B36:M40">IF('View Bonjean'!$AV52='View Bonjean'!$AR52,IF('View Bonjean'!$AV53='View Bonjean'!$P$4,'View Bonjean'!$BA$4:$BL$8,IF('View Bonjean'!$AV53='View Bonjean'!$P$6,'View Bonjean'!$BA$10:$BL$14,IF('View Bonjean'!$AV53='View Bonjean'!$P$8,'View Bonjean'!$BA$17:$BL$21,IF('View Bonjean'!$AV53='View Bonjean'!$P$10,'View Bonjean'!$BA$24:$BL$28)))),IF('View Bonjean'!$AV52='View Bonjean'!$AS52,'View Bonjean'!$C50:$N54,IF('View Bonjean'!$AV52='View Bonjean'!$AT52,'View Bonjean'!$Q50:$AB54,IF('View Bonjean'!$AV52='View Bonjean'!$AU52,'View Bonjean'!$AD51:$AO55,1/0))))</f>
        <v>WL</v>
      </c>
      <c r="C36" s="192" t="str">
        <v>y</v>
      </c>
      <c r="D36" s="192" t="str">
        <v>SM1</v>
      </c>
      <c r="E36" s="192" t="str">
        <v>f(a)=y*SM1</v>
      </c>
      <c r="F36" s="192" t="str">
        <v>Lever</v>
      </c>
      <c r="G36" s="192" t="str">
        <v>f(a)*lever</v>
      </c>
      <c r="H36" s="164" t="str">
        <v xml:space="preserve">    </v>
      </c>
      <c r="I36" s="181" t="str">
        <v xml:space="preserve">    </v>
      </c>
      <c r="J36" s="164" t="str">
        <v xml:space="preserve">    </v>
      </c>
      <c r="K36" s="181" t="str">
        <v xml:space="preserve">    </v>
      </c>
      <c r="L36" s="164" t="str">
        <v xml:space="preserve">    </v>
      </c>
      <c r="M36" s="130" t="str">
        <v xml:space="preserve">    </v>
      </c>
    </row>
    <row r="37" spans="2:13" x14ac:dyDescent="0.25">
      <c r="B37" s="130">
        <v>0.5</v>
      </c>
      <c r="C37" s="130">
        <v>10.67</v>
      </c>
      <c r="D37" s="164">
        <v>1</v>
      </c>
      <c r="E37" s="130">
        <v>10.67</v>
      </c>
      <c r="F37" s="164">
        <v>0.5</v>
      </c>
      <c r="G37" s="130">
        <v>5.335</v>
      </c>
      <c r="H37" s="164" t="str">
        <v>h=</v>
      </c>
      <c r="I37" s="181">
        <v>0.5</v>
      </c>
      <c r="J37" s="164" t="str">
        <v xml:space="preserve">    </v>
      </c>
      <c r="K37" s="181" t="str">
        <v xml:space="preserve">    </v>
      </c>
      <c r="L37" s="164" t="str">
        <v xml:space="preserve">    </v>
      </c>
      <c r="M37" s="130" t="str">
        <v xml:space="preserve">    </v>
      </c>
    </row>
    <row r="38" spans="2:13" x14ac:dyDescent="0.25">
      <c r="B38" s="130">
        <v>0.75</v>
      </c>
      <c r="C38" s="130">
        <v>10.9</v>
      </c>
      <c r="D38" s="164">
        <v>4</v>
      </c>
      <c r="E38" s="130">
        <v>43.6</v>
      </c>
      <c r="F38" s="164">
        <v>0.75</v>
      </c>
      <c r="G38" s="130">
        <v>32.700000000000003</v>
      </c>
      <c r="H38" s="164" t="str">
        <v>Current</v>
      </c>
      <c r="I38" s="181" t="str">
        <v xml:space="preserve">    </v>
      </c>
      <c r="J38" s="164" t="str">
        <v>Previous</v>
      </c>
      <c r="K38" s="181" t="str">
        <v xml:space="preserve">    </v>
      </c>
      <c r="L38" s="164" t="str">
        <v>Total</v>
      </c>
      <c r="M38" s="130" t="str">
        <v xml:space="preserve">    </v>
      </c>
    </row>
    <row r="39" spans="2:13" x14ac:dyDescent="0.25">
      <c r="B39" s="130">
        <v>1</v>
      </c>
      <c r="C39" s="130">
        <v>11</v>
      </c>
      <c r="D39" s="164">
        <v>1</v>
      </c>
      <c r="E39" s="130">
        <v>11</v>
      </c>
      <c r="F39" s="164">
        <v>1</v>
      </c>
      <c r="G39" s="130">
        <v>11</v>
      </c>
      <c r="H39" s="164" t="str">
        <v>a'(0.5~1)=</v>
      </c>
      <c r="I39" s="181">
        <v>21.756666666666668</v>
      </c>
      <c r="J39" s="164" t="str">
        <v>A(0.5)=</v>
      </c>
      <c r="K39" s="181">
        <v>20.496666666666666</v>
      </c>
      <c r="L39" s="164" t="str">
        <v>A(1)=</v>
      </c>
      <c r="M39" s="130">
        <v>42.25333333333333</v>
      </c>
    </row>
    <row r="40" spans="2:13" x14ac:dyDescent="0.25">
      <c r="B40" s="130" t="e">
        <v>#DIV/0!</v>
      </c>
      <c r="C40" s="130" t="e">
        <v>#DIV/0!</v>
      </c>
      <c r="D40" s="164" t="str">
        <v>Σ=</v>
      </c>
      <c r="E40" s="130">
        <v>65.27000000000001</v>
      </c>
      <c r="F40" s="164" t="str">
        <v>Σ=</v>
      </c>
      <c r="G40" s="130">
        <v>49.035000000000004</v>
      </c>
      <c r="H40" s="164" t="str">
        <v>m'(0.5~1)=</v>
      </c>
      <c r="I40" s="181">
        <v>32.69</v>
      </c>
      <c r="J40" s="164" t="str">
        <v>M(0.5)=</v>
      </c>
      <c r="K40" s="181">
        <v>10.443333333333332</v>
      </c>
      <c r="L40" s="164" t="str">
        <v>M(1)=</v>
      </c>
      <c r="M40" s="130">
        <v>43.133333333333326</v>
      </c>
    </row>
    <row r="41" spans="2:13" x14ac:dyDescent="0.25">
      <c r="H41" s="164"/>
      <c r="I41" s="181"/>
    </row>
    <row r="42" spans="2:13" x14ac:dyDescent="0.25">
      <c r="B42" s="192" t="str">
        <f t="array" ref="B42:M46">IF('View Bonjean'!$AV58='View Bonjean'!$AR58,IF('View Bonjean'!$AV59='View Bonjean'!$P$4,'View Bonjean'!$BA$4:$BL$8,IF('View Bonjean'!$AV59='View Bonjean'!$P$6,'View Bonjean'!$BA$10:$BL$14,IF('View Bonjean'!$AV59='View Bonjean'!$P$8,'View Bonjean'!$BA$17:$BL$21,IF('View Bonjean'!$AV59='View Bonjean'!$P$10,'View Bonjean'!$BA$24:$BL$28)))),IF('View Bonjean'!$AV58='View Bonjean'!$AS58,'View Bonjean'!$C56:$N60,IF('View Bonjean'!$AV58='View Bonjean'!$AT58,'View Bonjean'!$Q56:$AB60,IF('View Bonjean'!$AV58='View Bonjean'!$AU58,'View Bonjean'!$AD57:$AO61,1/0))))</f>
        <v>WL</v>
      </c>
      <c r="C42" s="192" t="str">
        <v>y</v>
      </c>
      <c r="D42" s="192" t="str">
        <v>SM1</v>
      </c>
      <c r="E42" s="192" t="str">
        <v>f(a)=y*SM1</v>
      </c>
      <c r="F42" s="192" t="str">
        <v>SM2</v>
      </c>
      <c r="G42" s="192" t="str">
        <v>f(m)=y*SM2</v>
      </c>
      <c r="H42" s="164" t="str">
        <v xml:space="preserve">    </v>
      </c>
      <c r="I42" s="181" t="str">
        <v xml:space="preserve">    </v>
      </c>
      <c r="J42" s="164" t="str">
        <v xml:space="preserve">    </v>
      </c>
      <c r="K42" s="181" t="str">
        <v xml:space="preserve">    </v>
      </c>
      <c r="L42" s="164" t="str">
        <v xml:space="preserve">    </v>
      </c>
      <c r="M42" s="130" t="str">
        <v xml:space="preserve">    </v>
      </c>
    </row>
    <row r="43" spans="2:13" x14ac:dyDescent="0.25">
      <c r="B43" s="130">
        <v>1</v>
      </c>
      <c r="C43" s="130">
        <v>11</v>
      </c>
      <c r="D43" s="164">
        <v>5</v>
      </c>
      <c r="E43" s="130">
        <v>55</v>
      </c>
      <c r="F43" s="164">
        <v>3</v>
      </c>
      <c r="G43" s="130">
        <v>33</v>
      </c>
      <c r="H43" s="164" t="str">
        <v>h=</v>
      </c>
      <c r="I43" s="181">
        <v>2</v>
      </c>
      <c r="J43" s="164" t="str">
        <v xml:space="preserve">    </v>
      </c>
      <c r="K43" s="181" t="str">
        <v xml:space="preserve">    </v>
      </c>
      <c r="L43" s="164" t="str">
        <v xml:space="preserve">    </v>
      </c>
      <c r="M43" s="130" t="str">
        <v xml:space="preserve">    </v>
      </c>
    </row>
    <row r="44" spans="2:13" x14ac:dyDescent="0.25">
      <c r="B44" s="130">
        <v>2</v>
      </c>
      <c r="C44" s="130">
        <v>11</v>
      </c>
      <c r="D44" s="164">
        <v>8</v>
      </c>
      <c r="E44" s="130">
        <v>88</v>
      </c>
      <c r="F44" s="164">
        <v>10</v>
      </c>
      <c r="G44" s="130">
        <v>110</v>
      </c>
      <c r="H44" s="164" t="str">
        <v>Current</v>
      </c>
      <c r="I44" s="181" t="str">
        <v xml:space="preserve">    </v>
      </c>
      <c r="J44" s="164" t="str">
        <v>Previous</v>
      </c>
      <c r="K44" s="181" t="str">
        <v xml:space="preserve">    </v>
      </c>
      <c r="L44" s="164" t="str">
        <v>Total</v>
      </c>
      <c r="M44" s="130" t="str">
        <v xml:space="preserve">    </v>
      </c>
    </row>
    <row r="45" spans="2:13" x14ac:dyDescent="0.25">
      <c r="B45" s="130">
        <v>3</v>
      </c>
      <c r="C45" s="130">
        <v>11</v>
      </c>
      <c r="D45" s="164">
        <v>-1</v>
      </c>
      <c r="E45" s="130">
        <v>-11</v>
      </c>
      <c r="F45" s="164">
        <v>-1</v>
      </c>
      <c r="G45" s="130">
        <v>-11</v>
      </c>
      <c r="H45" s="164" t="str">
        <v>a'(1~2)=</v>
      </c>
      <c r="I45" s="181">
        <v>44</v>
      </c>
      <c r="J45" s="164" t="str">
        <v>A(1)=</v>
      </c>
      <c r="K45" s="181">
        <v>42.25333333333333</v>
      </c>
      <c r="L45" s="164" t="str">
        <v>A(2)=</v>
      </c>
      <c r="M45" s="130">
        <v>86.25333333333333</v>
      </c>
    </row>
    <row r="46" spans="2:13" x14ac:dyDescent="0.25">
      <c r="B46" s="130" t="str">
        <v xml:space="preserve">    </v>
      </c>
      <c r="C46" s="130" t="str">
        <v xml:space="preserve">    </v>
      </c>
      <c r="D46" s="164" t="str">
        <v>Σ=</v>
      </c>
      <c r="E46" s="130">
        <v>132</v>
      </c>
      <c r="F46" s="164" t="str">
        <v>Σ=</v>
      </c>
      <c r="G46" s="130">
        <v>132</v>
      </c>
      <c r="H46" s="164" t="str">
        <v>m'(1~2)=</v>
      </c>
      <c r="I46" s="181">
        <v>132</v>
      </c>
      <c r="J46" s="164" t="str">
        <v>M(1)=</v>
      </c>
      <c r="K46" s="181">
        <v>43.133333333333326</v>
      </c>
      <c r="L46" s="164" t="str">
        <v>M(2)=</v>
      </c>
      <c r="M46" s="130">
        <v>175.13333333333333</v>
      </c>
    </row>
    <row r="47" spans="2:13" x14ac:dyDescent="0.25">
      <c r="H47" s="164"/>
      <c r="I47" s="181"/>
    </row>
    <row r="48" spans="2:13" x14ac:dyDescent="0.25">
      <c r="B48" s="192" t="str">
        <f t="array" ref="B48:M52">IF('View Bonjean'!$AV64='View Bonjean'!$AR64,IF('View Bonjean'!$AV65='View Bonjean'!$P$4,'View Bonjean'!$BA$4:$BL$8,IF('View Bonjean'!$AV65='View Bonjean'!$P$6,'View Bonjean'!$BA$10:$BL$14,IF('View Bonjean'!$AV65='View Bonjean'!$P$8,'View Bonjean'!$BA$17:$BL$21,IF('View Bonjean'!$AV65='View Bonjean'!$P$10,'View Bonjean'!$BA$24:$BL$28)))),IF('View Bonjean'!$AV64='View Bonjean'!$AS64,'View Bonjean'!$C62:$N66,IF('View Bonjean'!$AV64='View Bonjean'!$AT64,'View Bonjean'!$Q62:$AB66,IF('View Bonjean'!$AV64='View Bonjean'!$AU64,'View Bonjean'!$AD63:$AO67,1/0))))</f>
        <v>WL</v>
      </c>
      <c r="C48" s="192" t="str">
        <v>y</v>
      </c>
      <c r="D48" s="192" t="str">
        <v>SM1</v>
      </c>
      <c r="E48" s="192" t="str">
        <v>f(a)=y*SM1</v>
      </c>
      <c r="F48" s="192" t="str">
        <v>Lever</v>
      </c>
      <c r="G48" s="192" t="str">
        <v>f(a)*lever</v>
      </c>
      <c r="H48" s="164" t="str">
        <v xml:space="preserve">    </v>
      </c>
      <c r="I48" s="181" t="str">
        <v xml:space="preserve">    </v>
      </c>
      <c r="J48" s="164" t="str">
        <v xml:space="preserve">    </v>
      </c>
      <c r="K48" s="181" t="str">
        <v xml:space="preserve">    </v>
      </c>
      <c r="L48" s="164" t="str">
        <v xml:space="preserve">    </v>
      </c>
      <c r="M48" s="130" t="str">
        <v xml:space="preserve">    </v>
      </c>
    </row>
    <row r="49" spans="2:13" x14ac:dyDescent="0.25">
      <c r="B49" s="130">
        <v>1</v>
      </c>
      <c r="C49" s="130">
        <v>11</v>
      </c>
      <c r="D49" s="164">
        <v>1</v>
      </c>
      <c r="E49" s="130">
        <v>11</v>
      </c>
      <c r="F49" s="164">
        <v>1</v>
      </c>
      <c r="G49" s="130">
        <v>11</v>
      </c>
      <c r="H49" s="164" t="str">
        <v>h=</v>
      </c>
      <c r="I49" s="181">
        <v>2</v>
      </c>
      <c r="J49" s="164" t="str">
        <v xml:space="preserve">    </v>
      </c>
      <c r="K49" s="181" t="str">
        <v xml:space="preserve">    </v>
      </c>
      <c r="L49" s="164" t="str">
        <v xml:space="preserve">    </v>
      </c>
      <c r="M49" s="130" t="str">
        <v xml:space="preserve">    </v>
      </c>
    </row>
    <row r="50" spans="2:13" x14ac:dyDescent="0.25">
      <c r="B50" s="130">
        <v>2</v>
      </c>
      <c r="C50" s="130">
        <v>11</v>
      </c>
      <c r="D50" s="164">
        <v>4</v>
      </c>
      <c r="E50" s="130">
        <v>44</v>
      </c>
      <c r="F50" s="164">
        <v>2</v>
      </c>
      <c r="G50" s="130">
        <v>88</v>
      </c>
      <c r="H50" s="164" t="str">
        <v>Current</v>
      </c>
      <c r="I50" s="181" t="str">
        <v xml:space="preserve">    </v>
      </c>
      <c r="J50" s="164" t="str">
        <v>Previous</v>
      </c>
      <c r="K50" s="181" t="str">
        <v xml:space="preserve">    </v>
      </c>
      <c r="L50" s="164" t="str">
        <v>Total</v>
      </c>
      <c r="M50" s="130" t="str">
        <v xml:space="preserve">    </v>
      </c>
    </row>
    <row r="51" spans="2:13" x14ac:dyDescent="0.25">
      <c r="B51" s="130">
        <v>3</v>
      </c>
      <c r="C51" s="130">
        <v>11</v>
      </c>
      <c r="D51" s="164">
        <v>1</v>
      </c>
      <c r="E51" s="130">
        <v>11</v>
      </c>
      <c r="F51" s="164">
        <v>3</v>
      </c>
      <c r="G51" s="130">
        <v>33</v>
      </c>
      <c r="H51" s="164" t="str">
        <v>a'(1~3)=</v>
      </c>
      <c r="I51" s="181">
        <v>88</v>
      </c>
      <c r="J51" s="164" t="str">
        <v>A(1)=</v>
      </c>
      <c r="K51" s="181">
        <v>42.25333333333333</v>
      </c>
      <c r="L51" s="164" t="str">
        <v>A(3)=</v>
      </c>
      <c r="M51" s="130">
        <v>130.25333333333333</v>
      </c>
    </row>
    <row r="52" spans="2:13" x14ac:dyDescent="0.25">
      <c r="B52" s="130" t="str">
        <v xml:space="preserve">    </v>
      </c>
      <c r="C52" s="130" t="str">
        <v xml:space="preserve">    </v>
      </c>
      <c r="D52" s="164" t="str">
        <v>Σ=</v>
      </c>
      <c r="E52" s="130">
        <v>66</v>
      </c>
      <c r="F52" s="164" t="str">
        <v>Σ=</v>
      </c>
      <c r="G52" s="130">
        <v>132</v>
      </c>
      <c r="H52" s="164" t="str">
        <v>m'(1~3)=</v>
      </c>
      <c r="I52" s="181">
        <v>352</v>
      </c>
      <c r="J52" s="164" t="str">
        <v>M(1)=</v>
      </c>
      <c r="K52" s="181">
        <v>43.133333333333326</v>
      </c>
      <c r="L52" s="164" t="str">
        <v>M(3)=</v>
      </c>
      <c r="M52" s="130">
        <v>395.13333333333333</v>
      </c>
    </row>
    <row r="53" spans="2:13" x14ac:dyDescent="0.25">
      <c r="H53" s="164"/>
      <c r="I53" s="181"/>
    </row>
    <row r="54" spans="2:13" x14ac:dyDescent="0.25">
      <c r="B54" s="192" t="str">
        <f t="array" ref="B54:M58">IF('View Bonjean'!$AV70='View Bonjean'!$AR70,IF('View Bonjean'!$AV71='View Bonjean'!$P$4,'View Bonjean'!$BA$4:$BL$8,IF('View Bonjean'!$AV71='View Bonjean'!$P$6,'View Bonjean'!$BA$10:$BL$14,IF('View Bonjean'!$AV71='View Bonjean'!$P$8,'View Bonjean'!$BA$17:$BL$21,IF('View Bonjean'!$AV71='View Bonjean'!$P$10,'View Bonjean'!$BA$24:$BL$28)))),IF('View Bonjean'!$AV70='View Bonjean'!$AS70,'View Bonjean'!$C68:$N72,IF('View Bonjean'!$AV70='View Bonjean'!$AT70,'View Bonjean'!$Q68:$AB72,IF('View Bonjean'!$AV70='View Bonjean'!$AU70,'View Bonjean'!$AD69:$AO73,1/0))))</f>
        <v>WL</v>
      </c>
      <c r="C54" s="192" t="str">
        <v>y</v>
      </c>
      <c r="D54" s="192" t="str">
        <v>SM1</v>
      </c>
      <c r="E54" s="192" t="str">
        <v>f(a)=y*SM1</v>
      </c>
      <c r="F54" s="192" t="str">
        <v>Lever</v>
      </c>
      <c r="G54" s="192" t="str">
        <v>f(a)*lever</v>
      </c>
      <c r="H54" s="164" t="str">
        <v xml:space="preserve">    </v>
      </c>
      <c r="I54" s="181" t="str">
        <v xml:space="preserve">    </v>
      </c>
      <c r="J54" s="164" t="str">
        <v xml:space="preserve">    </v>
      </c>
      <c r="K54" s="181" t="str">
        <v xml:space="preserve">    </v>
      </c>
      <c r="L54" s="164" t="str">
        <v xml:space="preserve">    </v>
      </c>
      <c r="M54" s="130" t="str">
        <v xml:space="preserve">    </v>
      </c>
    </row>
    <row r="55" spans="2:13" x14ac:dyDescent="0.25">
      <c r="B55" s="130">
        <v>2</v>
      </c>
      <c r="C55" s="130">
        <v>11</v>
      </c>
      <c r="D55" s="164">
        <v>1</v>
      </c>
      <c r="E55" s="130">
        <v>11</v>
      </c>
      <c r="F55" s="164">
        <v>2</v>
      </c>
      <c r="G55" s="130">
        <v>22</v>
      </c>
      <c r="H55" s="164" t="str">
        <v>h=</v>
      </c>
      <c r="I55" s="181">
        <v>2</v>
      </c>
      <c r="J55" s="164" t="str">
        <v xml:space="preserve">    </v>
      </c>
      <c r="K55" s="181" t="str">
        <v xml:space="preserve">    </v>
      </c>
      <c r="L55" s="164" t="str">
        <v xml:space="preserve">    </v>
      </c>
      <c r="M55" s="130" t="str">
        <v xml:space="preserve">    </v>
      </c>
    </row>
    <row r="56" spans="2:13" x14ac:dyDescent="0.25">
      <c r="B56" s="130">
        <v>3</v>
      </c>
      <c r="C56" s="130">
        <v>11</v>
      </c>
      <c r="D56" s="164">
        <v>4</v>
      </c>
      <c r="E56" s="130">
        <v>44</v>
      </c>
      <c r="F56" s="164">
        <v>3</v>
      </c>
      <c r="G56" s="130">
        <v>132</v>
      </c>
      <c r="H56" s="164" t="str">
        <v>Current</v>
      </c>
      <c r="I56" s="181" t="str">
        <v xml:space="preserve">    </v>
      </c>
      <c r="J56" s="164" t="str">
        <v>Previous</v>
      </c>
      <c r="K56" s="181" t="str">
        <v xml:space="preserve">    </v>
      </c>
      <c r="L56" s="164" t="str">
        <v>Total</v>
      </c>
      <c r="M56" s="130" t="str">
        <v xml:space="preserve">    </v>
      </c>
    </row>
    <row r="57" spans="2:13" x14ac:dyDescent="0.25">
      <c r="B57" s="130">
        <v>4</v>
      </c>
      <c r="C57" s="130">
        <v>11</v>
      </c>
      <c r="D57" s="164">
        <v>1</v>
      </c>
      <c r="E57" s="130">
        <v>11</v>
      </c>
      <c r="F57" s="164">
        <v>4</v>
      </c>
      <c r="G57" s="130">
        <v>44</v>
      </c>
      <c r="H57" s="164" t="str">
        <v>a'(2~4)=</v>
      </c>
      <c r="I57" s="181">
        <v>88</v>
      </c>
      <c r="J57" s="164" t="str">
        <v>A(2)=</v>
      </c>
      <c r="K57" s="181">
        <v>86.25333333333333</v>
      </c>
      <c r="L57" s="164" t="str">
        <v>A(4)=</v>
      </c>
      <c r="M57" s="130">
        <v>174.25333333333333</v>
      </c>
    </row>
    <row r="58" spans="2:13" x14ac:dyDescent="0.25">
      <c r="B58" s="130" t="str">
        <v xml:space="preserve">    </v>
      </c>
      <c r="C58" s="130" t="str">
        <v xml:space="preserve">    </v>
      </c>
      <c r="D58" s="164" t="str">
        <v>Σ=</v>
      </c>
      <c r="E58" s="130">
        <v>66</v>
      </c>
      <c r="F58" s="164" t="str">
        <v>Σ=</v>
      </c>
      <c r="G58" s="130">
        <v>198</v>
      </c>
      <c r="H58" s="164" t="str">
        <v>m'(2~4)=</v>
      </c>
      <c r="I58" s="181">
        <v>528</v>
      </c>
      <c r="J58" s="164" t="str">
        <v>M(2)=</v>
      </c>
      <c r="K58" s="181">
        <v>175.13333333333333</v>
      </c>
      <c r="L58" s="164" t="str">
        <v>M(4)=</v>
      </c>
      <c r="M58" s="130">
        <v>703.13333333333333</v>
      </c>
    </row>
    <row r="59" spans="2:13" x14ac:dyDescent="0.25">
      <c r="H59" s="164"/>
      <c r="I59" s="181"/>
    </row>
    <row r="60" spans="2:13" x14ac:dyDescent="0.25">
      <c r="B60" s="192" t="str">
        <f t="array" ref="B60:M64">IF('View Bonjean'!$AV76='View Bonjean'!$AR76,IF('View Bonjean'!$AV77='View Bonjean'!$P$4,'View Bonjean'!$BA$4:$BL$8,IF('View Bonjean'!$AV77='View Bonjean'!$P$6,'View Bonjean'!$BA$10:$BL$14,IF('View Bonjean'!$AV77='View Bonjean'!$P$8,'View Bonjean'!$BA$17:$BL$21,IF('View Bonjean'!$AV77='View Bonjean'!$P$10,'View Bonjean'!$BA$24:$BL$28)))),IF('View Bonjean'!$AV76='View Bonjean'!$AS76,'View Bonjean'!$C74:$N78,IF('View Bonjean'!$AV76='View Bonjean'!$AT76,'View Bonjean'!$Q74:$AB78,IF('View Bonjean'!$AV76='View Bonjean'!$AU76,'View Bonjean'!$AD75:$AO79,1/0))))</f>
        <v>WL</v>
      </c>
      <c r="C60" s="192" t="str">
        <v>y</v>
      </c>
      <c r="D60" s="192" t="str">
        <v>TM1</v>
      </c>
      <c r="E60" s="192" t="str">
        <v>f(a)=y*TM1</v>
      </c>
      <c r="F60" s="192" t="str">
        <v>TM2</v>
      </c>
      <c r="G60" s="192" t="str">
        <v>f(m)=y*TM2</v>
      </c>
      <c r="H60" s="164" t="str">
        <v>h=</v>
      </c>
      <c r="I60" s="181">
        <v>1.6999999999999993</v>
      </c>
      <c r="J60" s="164" t="str">
        <v xml:space="preserve">    </v>
      </c>
      <c r="K60" s="181" t="str">
        <v xml:space="preserve">    </v>
      </c>
      <c r="L60" s="164" t="str">
        <v xml:space="preserve">    </v>
      </c>
      <c r="M60" s="130" t="str">
        <v xml:space="preserve">    </v>
      </c>
    </row>
    <row r="61" spans="2:13" x14ac:dyDescent="0.25">
      <c r="B61" s="130">
        <v>4</v>
      </c>
      <c r="C61" s="130">
        <v>11</v>
      </c>
      <c r="D61" s="164">
        <v>1</v>
      </c>
      <c r="E61" s="130">
        <v>11</v>
      </c>
      <c r="F61" s="164">
        <v>1</v>
      </c>
      <c r="G61" s="130">
        <v>11</v>
      </c>
      <c r="H61" s="164" t="str">
        <v>Current</v>
      </c>
      <c r="I61" s="181" t="str">
        <v xml:space="preserve">    </v>
      </c>
      <c r="J61" s="164" t="str">
        <v>Previous</v>
      </c>
      <c r="K61" s="181" t="str">
        <v xml:space="preserve">    </v>
      </c>
      <c r="L61" s="164" t="str">
        <v>Total</v>
      </c>
      <c r="M61" s="130" t="str">
        <v xml:space="preserve">    </v>
      </c>
    </row>
    <row r="62" spans="2:13" x14ac:dyDescent="0.25">
      <c r="B62" s="130">
        <v>4.8499999999999996</v>
      </c>
      <c r="C62" s="130">
        <v>11</v>
      </c>
      <c r="D62" s="164">
        <v>1</v>
      </c>
      <c r="E62" s="130">
        <v>11</v>
      </c>
      <c r="F62" s="164">
        <v>2</v>
      </c>
      <c r="G62" s="130">
        <v>22</v>
      </c>
      <c r="H62" s="164" t="str">
        <v>a'(4.85)=</v>
      </c>
      <c r="I62" s="181">
        <v>37.399999999999984</v>
      </c>
      <c r="J62" s="164" t="str">
        <v>A(4)=</v>
      </c>
      <c r="K62" s="181">
        <v>174.25333333333333</v>
      </c>
      <c r="L62" s="164" t="str">
        <v>A(4.85)=</v>
      </c>
      <c r="M62" s="130">
        <v>211.65333333333331</v>
      </c>
    </row>
    <row r="63" spans="2:13" x14ac:dyDescent="0.25">
      <c r="B63" s="130" t="str">
        <v xml:space="preserve">    </v>
      </c>
      <c r="C63" s="130" t="str">
        <v xml:space="preserve">    </v>
      </c>
      <c r="D63" s="164" t="str">
        <v>Σ=</v>
      </c>
      <c r="E63" s="130">
        <v>22</v>
      </c>
      <c r="F63" s="164" t="str">
        <v>Σ=</v>
      </c>
      <c r="G63" s="130">
        <v>33</v>
      </c>
      <c r="H63" s="164" t="str">
        <v>m'(4.85)=</v>
      </c>
      <c r="I63" s="181">
        <v>330.98999999999984</v>
      </c>
      <c r="J63" s="164" t="str">
        <v>M(4)=</v>
      </c>
      <c r="K63" s="181">
        <v>703.13333333333333</v>
      </c>
      <c r="L63" s="164" t="str">
        <v>M(4.85)=</v>
      </c>
      <c r="M63" s="130">
        <v>1034.1233333333332</v>
      </c>
    </row>
    <row r="64" spans="2:13" x14ac:dyDescent="0.25">
      <c r="B64" s="130" t="str">
        <v xml:space="preserve">    </v>
      </c>
      <c r="C64" s="130" t="str">
        <v xml:space="preserve">    </v>
      </c>
      <c r="D64" s="164" t="str">
        <v xml:space="preserve">    </v>
      </c>
      <c r="E64" s="130" t="str">
        <v xml:space="preserve">    </v>
      </c>
      <c r="F64" s="164" t="str">
        <v xml:space="preserve">    </v>
      </c>
      <c r="G64" s="130" t="str">
        <v xml:space="preserve">    </v>
      </c>
      <c r="H64" s="164" t="str">
        <v xml:space="preserve">    </v>
      </c>
      <c r="I64" s="181" t="str">
        <v xml:space="preserve">    </v>
      </c>
      <c r="J64" s="164" t="str">
        <v xml:space="preserve">    </v>
      </c>
      <c r="K64" s="181" t="str">
        <v xml:space="preserve">    </v>
      </c>
      <c r="L64" s="164" t="str">
        <v xml:space="preserve">    </v>
      </c>
      <c r="M64" s="130" t="str">
        <v xml:space="preserve">    </v>
      </c>
    </row>
    <row r="65" spans="2:13" x14ac:dyDescent="0.25">
      <c r="H65" s="164"/>
      <c r="I65" s="181"/>
    </row>
    <row r="66" spans="2:13" x14ac:dyDescent="0.25">
      <c r="B66" s="192" t="str">
        <f t="array" ref="B66:M70">IF('View Bonjean'!$AV82='View Bonjean'!$AR82,IF('View Bonjean'!$AV83='View Bonjean'!$P$4,'View Bonjean'!$BA$4:$BL$8,IF('View Bonjean'!$AV83='View Bonjean'!$P$6,'View Bonjean'!$BA$10:$BL$14,IF('View Bonjean'!$AV83='View Bonjean'!$P$8,'View Bonjean'!$BA$17:$BL$21,IF('View Bonjean'!$AV83='View Bonjean'!$P$10,'View Bonjean'!$BA$24:$BL$28)))),IF('View Bonjean'!$AV82='View Bonjean'!$AS82,'View Bonjean'!$C80:$N84,IF('View Bonjean'!$AV82='View Bonjean'!$AT82,'View Bonjean'!$Q80:$AB84,IF('View Bonjean'!$AV82='View Bonjean'!$AU82,'View Bonjean'!$AD81:$AO85,1/0))))</f>
        <v>WL</v>
      </c>
      <c r="C66" s="192" t="str">
        <v>y</v>
      </c>
      <c r="D66" s="192" t="str">
        <v>SM1</v>
      </c>
      <c r="E66" s="192" t="str">
        <v>f(a)=y*SM1</v>
      </c>
      <c r="F66" s="192" t="str">
        <v>Lever</v>
      </c>
      <c r="G66" s="192" t="str">
        <v>f(a)*lever</v>
      </c>
      <c r="H66" s="164" t="str">
        <v xml:space="preserve">    </v>
      </c>
      <c r="I66" s="181" t="str">
        <v xml:space="preserve">    </v>
      </c>
      <c r="J66" s="164" t="str">
        <v xml:space="preserve">    </v>
      </c>
      <c r="K66" s="181" t="str">
        <v xml:space="preserve">    </v>
      </c>
      <c r="L66" s="164" t="str">
        <v xml:space="preserve">    </v>
      </c>
      <c r="M66" s="130" t="str">
        <v xml:space="preserve">    </v>
      </c>
    </row>
    <row r="67" spans="2:13" x14ac:dyDescent="0.25">
      <c r="B67" s="130">
        <v>3</v>
      </c>
      <c r="C67" s="130">
        <v>11</v>
      </c>
      <c r="D67" s="164">
        <v>1</v>
      </c>
      <c r="E67" s="130">
        <v>11</v>
      </c>
      <c r="F67" s="164">
        <v>3</v>
      </c>
      <c r="G67" s="130">
        <v>33</v>
      </c>
      <c r="H67" s="164" t="str">
        <v>h=</v>
      </c>
      <c r="I67" s="181">
        <v>2</v>
      </c>
      <c r="J67" s="164" t="str">
        <v xml:space="preserve">    </v>
      </c>
      <c r="K67" s="181" t="str">
        <v xml:space="preserve">    </v>
      </c>
      <c r="L67" s="164" t="str">
        <v xml:space="preserve">    </v>
      </c>
      <c r="M67" s="130" t="str">
        <v xml:space="preserve">    </v>
      </c>
    </row>
    <row r="68" spans="2:13" x14ac:dyDescent="0.25">
      <c r="B68" s="130">
        <v>4</v>
      </c>
      <c r="C68" s="130">
        <v>11</v>
      </c>
      <c r="D68" s="164">
        <v>4</v>
      </c>
      <c r="E68" s="130">
        <v>44</v>
      </c>
      <c r="F68" s="164">
        <v>4</v>
      </c>
      <c r="G68" s="130">
        <v>176</v>
      </c>
      <c r="H68" s="164" t="str">
        <v>Current</v>
      </c>
      <c r="I68" s="181" t="str">
        <v xml:space="preserve">    </v>
      </c>
      <c r="J68" s="164" t="str">
        <v>Previous</v>
      </c>
      <c r="K68" s="181" t="str">
        <v xml:space="preserve">    </v>
      </c>
      <c r="L68" s="164" t="str">
        <v>Total</v>
      </c>
      <c r="M68" s="130" t="str">
        <v xml:space="preserve">    </v>
      </c>
    </row>
    <row r="69" spans="2:13" x14ac:dyDescent="0.25">
      <c r="B69" s="130">
        <v>5</v>
      </c>
      <c r="C69" s="130">
        <v>11</v>
      </c>
      <c r="D69" s="164">
        <v>1</v>
      </c>
      <c r="E69" s="130">
        <v>11</v>
      </c>
      <c r="F69" s="164">
        <v>5</v>
      </c>
      <c r="G69" s="130">
        <v>55</v>
      </c>
      <c r="H69" s="164" t="str">
        <v>a'(3~5)=</v>
      </c>
      <c r="I69" s="181">
        <v>88</v>
      </c>
      <c r="J69" s="164" t="str">
        <v>A(3)=</v>
      </c>
      <c r="K69" s="181">
        <v>130.25333333333333</v>
      </c>
      <c r="L69" s="164" t="str">
        <v>A(5)=</v>
      </c>
      <c r="M69" s="130">
        <v>218.25333333333333</v>
      </c>
    </row>
    <row r="70" spans="2:13" x14ac:dyDescent="0.25">
      <c r="B70" s="130" t="str">
        <v xml:space="preserve">    </v>
      </c>
      <c r="C70" s="130" t="str">
        <v xml:space="preserve">    </v>
      </c>
      <c r="D70" s="164" t="str">
        <v>Σ=</v>
      </c>
      <c r="E70" s="130">
        <v>66</v>
      </c>
      <c r="F70" s="164" t="str">
        <v>Σ=</v>
      </c>
      <c r="G70" s="130">
        <v>264</v>
      </c>
      <c r="H70" s="164" t="str">
        <v>m'(3~5)=</v>
      </c>
      <c r="I70" s="181">
        <v>704</v>
      </c>
      <c r="J70" s="164" t="str">
        <v>M(3)=</v>
      </c>
      <c r="K70" s="181">
        <v>395.13333333333333</v>
      </c>
      <c r="L70" s="164" t="str">
        <v>M(5)=</v>
      </c>
      <c r="M70" s="130">
        <v>1099.1333333333332</v>
      </c>
    </row>
    <row r="71" spans="2:13" x14ac:dyDescent="0.25">
      <c r="H71" s="164"/>
      <c r="I71" s="181"/>
    </row>
    <row r="72" spans="2:13" x14ac:dyDescent="0.25">
      <c r="B72" s="192" t="str">
        <f t="array" ref="B72:M76">IF('View Bonjean'!$AV88='View Bonjean'!$AR88,IF('View Bonjean'!$AV89='View Bonjean'!$P$4,'View Bonjean'!$BA$4:$BL$8,IF('View Bonjean'!$AV89='View Bonjean'!$P$6,'View Bonjean'!$BA$10:$BL$14,IF('View Bonjean'!$AV89='View Bonjean'!$P$8,'View Bonjean'!$BA$17:$BL$21,IF('View Bonjean'!$AV89='View Bonjean'!$P$10,'View Bonjean'!$BA$24:$BL$28)))),IF('View Bonjean'!$AV88='View Bonjean'!$AS88,'View Bonjean'!$C86:$N90,IF('View Bonjean'!$AV88='View Bonjean'!$AT88,'View Bonjean'!$Q86:$AB90,IF('View Bonjean'!$AV88='View Bonjean'!$AU88,'View Bonjean'!$AD87:$AO91,1/0))))</f>
        <v>WL</v>
      </c>
      <c r="C72" s="192" t="str">
        <v>y</v>
      </c>
      <c r="D72" s="192" t="str">
        <v>SM1</v>
      </c>
      <c r="E72" s="192" t="str">
        <v>f(a)=y*SM1</v>
      </c>
      <c r="F72" s="192" t="str">
        <v>Lever</v>
      </c>
      <c r="G72" s="192" t="str">
        <v>f(a)*lever</v>
      </c>
      <c r="H72" s="164" t="str">
        <v xml:space="preserve">    </v>
      </c>
      <c r="I72" s="181" t="str">
        <v xml:space="preserve">    </v>
      </c>
      <c r="J72" s="164" t="str">
        <v xml:space="preserve">    </v>
      </c>
      <c r="K72" s="181" t="str">
        <v xml:space="preserve">    </v>
      </c>
      <c r="L72" s="164" t="str">
        <v xml:space="preserve">    </v>
      </c>
      <c r="M72" s="130" t="str">
        <v xml:space="preserve">    </v>
      </c>
    </row>
    <row r="73" spans="2:13" x14ac:dyDescent="0.25">
      <c r="B73" s="130">
        <v>4</v>
      </c>
      <c r="C73" s="130">
        <v>11</v>
      </c>
      <c r="D73" s="164">
        <v>1</v>
      </c>
      <c r="E73" s="130">
        <v>11</v>
      </c>
      <c r="F73" s="164">
        <v>4</v>
      </c>
      <c r="G73" s="130">
        <v>44</v>
      </c>
      <c r="H73" s="164" t="str">
        <v>h=</v>
      </c>
      <c r="I73" s="181">
        <v>2</v>
      </c>
      <c r="J73" s="164" t="str">
        <v xml:space="preserve">    </v>
      </c>
      <c r="K73" s="181" t="str">
        <v xml:space="preserve">    </v>
      </c>
      <c r="L73" s="164" t="str">
        <v xml:space="preserve">    </v>
      </c>
      <c r="M73" s="130" t="str">
        <v xml:space="preserve">    </v>
      </c>
    </row>
    <row r="74" spans="2:13" x14ac:dyDescent="0.25">
      <c r="B74" s="130">
        <v>5</v>
      </c>
      <c r="C74" s="130">
        <v>11</v>
      </c>
      <c r="D74" s="164">
        <v>4</v>
      </c>
      <c r="E74" s="130">
        <v>44</v>
      </c>
      <c r="F74" s="164">
        <v>5</v>
      </c>
      <c r="G74" s="130">
        <v>220</v>
      </c>
      <c r="H74" s="164" t="str">
        <v>Current</v>
      </c>
      <c r="I74" s="181" t="str">
        <v xml:space="preserve">    </v>
      </c>
      <c r="J74" s="164" t="str">
        <v>Previous</v>
      </c>
      <c r="K74" s="181" t="str">
        <v xml:space="preserve">    </v>
      </c>
      <c r="L74" s="164" t="str">
        <v>Total</v>
      </c>
      <c r="M74" s="130" t="str">
        <v xml:space="preserve">    </v>
      </c>
    </row>
    <row r="75" spans="2:13" x14ac:dyDescent="0.25">
      <c r="B75" s="130">
        <v>6</v>
      </c>
      <c r="C75" s="130">
        <v>11</v>
      </c>
      <c r="D75" s="164">
        <v>1</v>
      </c>
      <c r="E75" s="130">
        <v>11</v>
      </c>
      <c r="F75" s="164">
        <v>6</v>
      </c>
      <c r="G75" s="130">
        <v>66</v>
      </c>
      <c r="H75" s="164" t="str">
        <v>a'(4~6)=</v>
      </c>
      <c r="I75" s="181">
        <v>88</v>
      </c>
      <c r="J75" s="164" t="str">
        <v>A(4)=</v>
      </c>
      <c r="K75" s="181">
        <v>174.25333333333333</v>
      </c>
      <c r="L75" s="164" t="str">
        <v>A(6)=</v>
      </c>
      <c r="M75" s="130">
        <v>262.25333333333333</v>
      </c>
    </row>
    <row r="76" spans="2:13" x14ac:dyDescent="0.25">
      <c r="B76" s="130" t="str">
        <v xml:space="preserve">    </v>
      </c>
      <c r="C76" s="130" t="str">
        <v xml:space="preserve">    </v>
      </c>
      <c r="D76" s="164" t="str">
        <v>Σ=</v>
      </c>
      <c r="E76" s="130">
        <v>66</v>
      </c>
      <c r="F76" s="164" t="str">
        <v>Σ=</v>
      </c>
      <c r="G76" s="130">
        <v>330</v>
      </c>
      <c r="H76" s="164" t="str">
        <v>m'(4~6)=</v>
      </c>
      <c r="I76" s="181">
        <v>880</v>
      </c>
      <c r="J76" s="164" t="str">
        <v>M(4)=</v>
      </c>
      <c r="K76" s="181">
        <v>703.13333333333333</v>
      </c>
      <c r="L76" s="164" t="str">
        <v>M(6)=</v>
      </c>
      <c r="M76" s="130">
        <v>1583.1333333333332</v>
      </c>
    </row>
    <row r="77" spans="2:13" x14ac:dyDescent="0.25">
      <c r="H77" s="164"/>
      <c r="I77" s="181"/>
    </row>
    <row r="78" spans="2:13" x14ac:dyDescent="0.25">
      <c r="B78" s="192" t="str">
        <f t="array" ref="B78:M82">IF('View Bonjean'!$AV94='View Bonjean'!$AR94,IF('View Bonjean'!$AV95='View Bonjean'!$P$4,'View Bonjean'!$BA$4:$BL$8,IF('View Bonjean'!$AV95='View Bonjean'!$P$6,'View Bonjean'!$BA$10:$BL$14,IF('View Bonjean'!$AV95='View Bonjean'!$P$8,'View Bonjean'!$BA$17:$BL$21,IF('View Bonjean'!$AV95='View Bonjean'!$P$10,'View Bonjean'!$BA$24:$BL$28)))),IF('View Bonjean'!$AV94='View Bonjean'!$AS94,'View Bonjean'!$C92:$N96,IF('View Bonjean'!$AV94='View Bonjean'!$AT94,'View Bonjean'!$Q92:$AB96,IF('View Bonjean'!$AV94='View Bonjean'!$AU94,'View Bonjean'!$AD93:$AO97,1/0))))</f>
        <v>WL</v>
      </c>
      <c r="C78" s="192" t="str">
        <v>y</v>
      </c>
      <c r="D78" s="192" t="str">
        <v>TM1</v>
      </c>
      <c r="E78" s="192" t="str">
        <v>f(a)=y*TM1</v>
      </c>
      <c r="F78" s="192" t="str">
        <v>TM2</v>
      </c>
      <c r="G78" s="192" t="str">
        <v>f(m)=y*TM2</v>
      </c>
      <c r="H78" s="164" t="str">
        <v>h=</v>
      </c>
      <c r="I78" s="181">
        <v>1</v>
      </c>
      <c r="J78" s="164" t="str">
        <v xml:space="preserve">    </v>
      </c>
      <c r="K78" s="181" t="str">
        <v xml:space="preserve">    </v>
      </c>
      <c r="L78" s="164" t="str">
        <v xml:space="preserve">    </v>
      </c>
      <c r="M78" s="130" t="str">
        <v xml:space="preserve">    </v>
      </c>
    </row>
    <row r="79" spans="2:13" x14ac:dyDescent="0.25">
      <c r="B79" s="130">
        <v>6</v>
      </c>
      <c r="C79" s="130">
        <v>11</v>
      </c>
      <c r="D79" s="164">
        <v>1</v>
      </c>
      <c r="E79" s="130">
        <v>11</v>
      </c>
      <c r="F79" s="164">
        <v>1</v>
      </c>
      <c r="G79" s="130">
        <v>11</v>
      </c>
      <c r="H79" s="164" t="str">
        <v>Current</v>
      </c>
      <c r="I79" s="181" t="str">
        <v xml:space="preserve">    </v>
      </c>
      <c r="J79" s="164" t="str">
        <v>Previous</v>
      </c>
      <c r="K79" s="181" t="str">
        <v xml:space="preserve">    </v>
      </c>
      <c r="L79" s="164" t="str">
        <v>Total</v>
      </c>
      <c r="M79" s="130" t="str">
        <v xml:space="preserve">    </v>
      </c>
    </row>
    <row r="80" spans="2:13" x14ac:dyDescent="0.25">
      <c r="B80" s="130">
        <v>6.5</v>
      </c>
      <c r="C80" s="130">
        <v>11</v>
      </c>
      <c r="D80" s="164">
        <v>1</v>
      </c>
      <c r="E80" s="130">
        <v>11</v>
      </c>
      <c r="F80" s="164">
        <v>2</v>
      </c>
      <c r="G80" s="130">
        <v>22</v>
      </c>
      <c r="H80" s="164" t="str">
        <v>a'(6.5)=</v>
      </c>
      <c r="I80" s="181">
        <v>22</v>
      </c>
      <c r="J80" s="164" t="str">
        <v>A(6)=</v>
      </c>
      <c r="K80" s="181">
        <v>262.25333333333333</v>
      </c>
      <c r="L80" s="164" t="str">
        <v>A(6.5)=</v>
      </c>
      <c r="M80" s="130">
        <v>284.25333333333333</v>
      </c>
    </row>
    <row r="81" spans="2:13" x14ac:dyDescent="0.25">
      <c r="B81" s="130" t="str">
        <v xml:space="preserve">    </v>
      </c>
      <c r="C81" s="130" t="str">
        <v xml:space="preserve">    </v>
      </c>
      <c r="D81" s="164" t="str">
        <v>Σ=</v>
      </c>
      <c r="E81" s="130">
        <v>22</v>
      </c>
      <c r="F81" s="164" t="str">
        <v>Σ=</v>
      </c>
      <c r="G81" s="130">
        <v>33</v>
      </c>
      <c r="H81" s="164" t="str">
        <v>m'(6.5)=</v>
      </c>
      <c r="I81" s="181">
        <v>275</v>
      </c>
      <c r="J81" s="164" t="str">
        <v>M(6)=</v>
      </c>
      <c r="K81" s="181">
        <v>1583.1333333333332</v>
      </c>
      <c r="L81" s="164" t="str">
        <v>M(6.5)=</v>
      </c>
      <c r="M81" s="130">
        <v>1858.1333333333332</v>
      </c>
    </row>
    <row r="82" spans="2:13" x14ac:dyDescent="0.25">
      <c r="B82" s="130" t="str">
        <v xml:space="preserve">    </v>
      </c>
      <c r="C82" s="130" t="str">
        <v xml:space="preserve">    </v>
      </c>
      <c r="D82" s="164" t="str">
        <v xml:space="preserve">    </v>
      </c>
      <c r="E82" s="130" t="str">
        <v xml:space="preserve">    </v>
      </c>
      <c r="F82" s="164" t="str">
        <v xml:space="preserve">    </v>
      </c>
      <c r="G82" s="130" t="str">
        <v xml:space="preserve">    </v>
      </c>
      <c r="H82" s="164" t="str">
        <v xml:space="preserve">    </v>
      </c>
      <c r="I82" s="181" t="str">
        <v xml:space="preserve">    </v>
      </c>
      <c r="J82" s="164" t="str">
        <v xml:space="preserve">    </v>
      </c>
      <c r="K82" s="181" t="str">
        <v xml:space="preserve">    </v>
      </c>
      <c r="L82" s="164" t="str">
        <v xml:space="preserve">    </v>
      </c>
      <c r="M82" s="130" t="str">
        <v xml:space="preserve">    </v>
      </c>
    </row>
    <row r="83" spans="2:13" x14ac:dyDescent="0.25">
      <c r="H83" s="164"/>
      <c r="I83" s="181"/>
    </row>
    <row r="84" spans="2:13" x14ac:dyDescent="0.25">
      <c r="B84" s="192" t="e">
        <f t="array" ref="B84:M88">IF('View Bonjean'!$AV100='View Bonjean'!$AR100,IF('View Bonjean'!$AV101='View Bonjean'!$P$4,'View Bonjean'!$BA$4:$BL$8,IF('View Bonjean'!$AV101='View Bonjean'!$P$6,'View Bonjean'!$BA$10:$BL$14,IF('View Bonjean'!$AV101='View Bonjean'!$P$8,'View Bonjean'!$BA$17:$BL$21,IF('View Bonjean'!$AV101='View Bonjean'!$P$10,'View Bonjean'!$BA$24:$BL$28)))),IF('View Bonjean'!$AV100='View Bonjean'!$AS100,'View Bonjean'!$C98:$N102,IF('View Bonjean'!$AV100='View Bonjean'!$AT100,'View Bonjean'!$Q98:$AB102,IF('View Bonjean'!$AV100='View Bonjean'!$AU100,'View Bonjean'!$AD99:$AO103,1/0))))</f>
        <v>#VALUE!</v>
      </c>
      <c r="C84" s="192" t="e">
        <v>#VALUE!</v>
      </c>
      <c r="D84" s="192" t="e">
        <v>#VALUE!</v>
      </c>
      <c r="E84" s="192" t="e">
        <v>#VALUE!</v>
      </c>
      <c r="F84" s="192" t="e">
        <v>#VALUE!</v>
      </c>
      <c r="G84" s="192" t="e">
        <v>#VALUE!</v>
      </c>
      <c r="H84" s="164" t="e">
        <v>#VALUE!</v>
      </c>
      <c r="I84" s="181" t="e">
        <v>#VALUE!</v>
      </c>
      <c r="J84" s="164" t="e">
        <v>#VALUE!</v>
      </c>
      <c r="K84" s="181" t="e">
        <v>#VALUE!</v>
      </c>
      <c r="L84" s="164" t="e">
        <v>#VALUE!</v>
      </c>
      <c r="M84" s="130" t="e">
        <v>#VALUE!</v>
      </c>
    </row>
    <row r="85" spans="2:13" x14ac:dyDescent="0.25">
      <c r="B85" s="130" t="e">
        <v>#VALUE!</v>
      </c>
      <c r="C85" s="130" t="e">
        <v>#VALUE!</v>
      </c>
      <c r="D85" s="164" t="e">
        <v>#VALUE!</v>
      </c>
      <c r="E85" s="130" t="e">
        <v>#VALUE!</v>
      </c>
      <c r="F85" s="164" t="e">
        <v>#VALUE!</v>
      </c>
      <c r="G85" s="130" t="e">
        <v>#VALUE!</v>
      </c>
      <c r="H85" s="164" t="e">
        <v>#VALUE!</v>
      </c>
      <c r="I85" s="181" t="e">
        <v>#VALUE!</v>
      </c>
      <c r="J85" s="164" t="e">
        <v>#VALUE!</v>
      </c>
      <c r="K85" s="181" t="e">
        <v>#VALUE!</v>
      </c>
      <c r="L85" s="164" t="e">
        <v>#VALUE!</v>
      </c>
      <c r="M85" s="130" t="e">
        <v>#VALUE!</v>
      </c>
    </row>
    <row r="86" spans="2:13" x14ac:dyDescent="0.25">
      <c r="B86" s="130" t="e">
        <v>#VALUE!</v>
      </c>
      <c r="C86" s="130" t="e">
        <v>#VALUE!</v>
      </c>
      <c r="D86" s="164" t="e">
        <v>#VALUE!</v>
      </c>
      <c r="E86" s="130" t="e">
        <v>#VALUE!</v>
      </c>
      <c r="F86" s="164" t="e">
        <v>#VALUE!</v>
      </c>
      <c r="G86" s="130" t="e">
        <v>#VALUE!</v>
      </c>
      <c r="H86" s="164" t="e">
        <v>#VALUE!</v>
      </c>
      <c r="I86" s="181" t="e">
        <v>#VALUE!</v>
      </c>
      <c r="J86" s="164" t="e">
        <v>#VALUE!</v>
      </c>
      <c r="K86" s="181" t="e">
        <v>#VALUE!</v>
      </c>
      <c r="L86" s="164" t="e">
        <v>#VALUE!</v>
      </c>
      <c r="M86" s="130" t="e">
        <v>#VALUE!</v>
      </c>
    </row>
    <row r="87" spans="2:13" x14ac:dyDescent="0.25">
      <c r="B87" s="130" t="e">
        <v>#VALUE!</v>
      </c>
      <c r="C87" s="130" t="e">
        <v>#VALUE!</v>
      </c>
      <c r="D87" s="164" t="e">
        <v>#VALUE!</v>
      </c>
      <c r="E87" s="130" t="e">
        <v>#VALUE!</v>
      </c>
      <c r="F87" s="164" t="e">
        <v>#VALUE!</v>
      </c>
      <c r="G87" s="130" t="e">
        <v>#VALUE!</v>
      </c>
      <c r="H87" s="164" t="e">
        <v>#VALUE!</v>
      </c>
      <c r="I87" s="181" t="e">
        <v>#VALUE!</v>
      </c>
      <c r="J87" s="164" t="e">
        <v>#VALUE!</v>
      </c>
      <c r="K87" s="181" t="e">
        <v>#VALUE!</v>
      </c>
      <c r="L87" s="164" t="e">
        <v>#VALUE!</v>
      </c>
      <c r="M87" s="130" t="e">
        <v>#VALUE!</v>
      </c>
    </row>
    <row r="88" spans="2:13" x14ac:dyDescent="0.25">
      <c r="B88" s="130" t="e">
        <v>#VALUE!</v>
      </c>
      <c r="C88" s="130" t="e">
        <v>#VALUE!</v>
      </c>
      <c r="D88" s="164" t="e">
        <v>#VALUE!</v>
      </c>
      <c r="E88" s="130" t="e">
        <v>#VALUE!</v>
      </c>
      <c r="F88" s="164" t="e">
        <v>#VALUE!</v>
      </c>
      <c r="G88" s="130" t="e">
        <v>#VALUE!</v>
      </c>
      <c r="H88" s="164" t="e">
        <v>#VALUE!</v>
      </c>
      <c r="I88" s="181" t="e">
        <v>#VALUE!</v>
      </c>
      <c r="J88" s="164" t="e">
        <v>#VALUE!</v>
      </c>
      <c r="K88" s="181" t="e">
        <v>#VALUE!</v>
      </c>
      <c r="L88" s="164" t="e">
        <v>#VALUE!</v>
      </c>
      <c r="M88" s="130" t="e">
        <v>#VALUE!</v>
      </c>
    </row>
    <row r="89" spans="2:13" x14ac:dyDescent="0.25">
      <c r="H89" s="164"/>
      <c r="I89" s="181"/>
    </row>
    <row r="90" spans="2:13" x14ac:dyDescent="0.25">
      <c r="B90" s="192" t="e">
        <f t="array" ref="B90:M94">IF('View Bonjean'!$AV106='View Bonjean'!$AR106,IF('View Bonjean'!$AV107='View Bonjean'!$P$4,'View Bonjean'!$BA$4:$BL$8,IF('View Bonjean'!$AV107='View Bonjean'!$P$6,'View Bonjean'!$BA$10:$BL$14,IF('View Bonjean'!$AV107='View Bonjean'!$P$8,'View Bonjean'!$BA$17:$BL$21,IF('View Bonjean'!$AV107='View Bonjean'!$P$10,'View Bonjean'!$BA$24:$BL$28)))),IF('View Bonjean'!$AV106='View Bonjean'!$AS106,'View Bonjean'!$C104:$N108,IF('View Bonjean'!$AV106='View Bonjean'!$AT106,'View Bonjean'!$Q104:$AB108,IF('View Bonjean'!$AV106='View Bonjean'!$AU106,'View Bonjean'!$AD105:$AO109,1/0))))</f>
        <v>#VALUE!</v>
      </c>
      <c r="C90" s="192" t="e">
        <v>#VALUE!</v>
      </c>
      <c r="D90" s="192" t="e">
        <v>#VALUE!</v>
      </c>
      <c r="E90" s="192" t="e">
        <v>#VALUE!</v>
      </c>
      <c r="F90" s="192" t="e">
        <v>#VALUE!</v>
      </c>
      <c r="G90" s="192" t="e">
        <v>#VALUE!</v>
      </c>
      <c r="H90" s="164" t="e">
        <v>#VALUE!</v>
      </c>
      <c r="I90" s="181" t="e">
        <v>#VALUE!</v>
      </c>
      <c r="J90" s="164" t="e">
        <v>#VALUE!</v>
      </c>
      <c r="K90" s="181" t="e">
        <v>#VALUE!</v>
      </c>
      <c r="L90" s="164" t="e">
        <v>#VALUE!</v>
      </c>
      <c r="M90" s="130" t="e">
        <v>#VALUE!</v>
      </c>
    </row>
    <row r="91" spans="2:13" x14ac:dyDescent="0.25">
      <c r="B91" s="130" t="e">
        <v>#VALUE!</v>
      </c>
      <c r="C91" s="130" t="e">
        <v>#VALUE!</v>
      </c>
      <c r="D91" s="164" t="e">
        <v>#VALUE!</v>
      </c>
      <c r="E91" s="130" t="e">
        <v>#VALUE!</v>
      </c>
      <c r="F91" s="164" t="e">
        <v>#VALUE!</v>
      </c>
      <c r="G91" s="130" t="e">
        <v>#VALUE!</v>
      </c>
      <c r="H91" s="164" t="e">
        <v>#VALUE!</v>
      </c>
      <c r="I91" s="181" t="e">
        <v>#VALUE!</v>
      </c>
      <c r="J91" s="164" t="e">
        <v>#VALUE!</v>
      </c>
      <c r="K91" s="181" t="e">
        <v>#VALUE!</v>
      </c>
      <c r="L91" s="164" t="e">
        <v>#VALUE!</v>
      </c>
      <c r="M91" s="130" t="e">
        <v>#VALUE!</v>
      </c>
    </row>
    <row r="92" spans="2:13" x14ac:dyDescent="0.25">
      <c r="B92" s="130" t="e">
        <v>#VALUE!</v>
      </c>
      <c r="C92" s="130" t="e">
        <v>#VALUE!</v>
      </c>
      <c r="D92" s="164" t="e">
        <v>#VALUE!</v>
      </c>
      <c r="E92" s="130" t="e">
        <v>#VALUE!</v>
      </c>
      <c r="F92" s="164" t="e">
        <v>#VALUE!</v>
      </c>
      <c r="G92" s="130" t="e">
        <v>#VALUE!</v>
      </c>
      <c r="H92" s="164" t="e">
        <v>#VALUE!</v>
      </c>
      <c r="I92" s="181" t="e">
        <v>#VALUE!</v>
      </c>
      <c r="J92" s="164" t="e">
        <v>#VALUE!</v>
      </c>
      <c r="K92" s="181" t="e">
        <v>#VALUE!</v>
      </c>
      <c r="L92" s="164" t="e">
        <v>#VALUE!</v>
      </c>
      <c r="M92" s="130" t="e">
        <v>#VALUE!</v>
      </c>
    </row>
    <row r="93" spans="2:13" x14ac:dyDescent="0.25">
      <c r="B93" s="130" t="e">
        <v>#VALUE!</v>
      </c>
      <c r="C93" s="130" t="e">
        <v>#VALUE!</v>
      </c>
      <c r="D93" s="164" t="e">
        <v>#VALUE!</v>
      </c>
      <c r="E93" s="130" t="e">
        <v>#VALUE!</v>
      </c>
      <c r="F93" s="164" t="e">
        <v>#VALUE!</v>
      </c>
      <c r="G93" s="130" t="e">
        <v>#VALUE!</v>
      </c>
      <c r="H93" s="164" t="e">
        <v>#VALUE!</v>
      </c>
      <c r="I93" s="181" t="e">
        <v>#VALUE!</v>
      </c>
      <c r="J93" s="164" t="e">
        <v>#VALUE!</v>
      </c>
      <c r="K93" s="181" t="e">
        <v>#VALUE!</v>
      </c>
      <c r="L93" s="164" t="e">
        <v>#VALUE!</v>
      </c>
      <c r="M93" s="130" t="e">
        <v>#VALUE!</v>
      </c>
    </row>
    <row r="94" spans="2:13" x14ac:dyDescent="0.25">
      <c r="B94" s="130" t="e">
        <v>#VALUE!</v>
      </c>
      <c r="C94" s="130" t="e">
        <v>#VALUE!</v>
      </c>
      <c r="D94" s="164" t="e">
        <v>#VALUE!</v>
      </c>
      <c r="E94" s="130" t="e">
        <v>#VALUE!</v>
      </c>
      <c r="F94" s="164" t="e">
        <v>#VALUE!</v>
      </c>
      <c r="G94" s="130" t="e">
        <v>#VALUE!</v>
      </c>
      <c r="H94" s="164" t="e">
        <v>#VALUE!</v>
      </c>
      <c r="I94" s="181" t="e">
        <v>#VALUE!</v>
      </c>
      <c r="J94" s="164" t="e">
        <v>#VALUE!</v>
      </c>
      <c r="K94" s="181" t="e">
        <v>#VALUE!</v>
      </c>
      <c r="L94" s="164" t="e">
        <v>#VALUE!</v>
      </c>
      <c r="M94" s="130" t="e">
        <v>#VALUE!</v>
      </c>
    </row>
    <row r="95" spans="2:13" x14ac:dyDescent="0.25">
      <c r="H95" s="164"/>
      <c r="I95" s="181"/>
    </row>
    <row r="96" spans="2:13" x14ac:dyDescent="0.25">
      <c r="B96" s="192" t="e">
        <f t="array" ref="B96:M100">IF('View Bonjean'!$AV112='View Bonjean'!$AR112,IF('View Bonjean'!$AV113='View Bonjean'!$P$4,'View Bonjean'!$BA$4:$BL$8,IF('View Bonjean'!$AV113='View Bonjean'!$P$6,'View Bonjean'!$BA$10:$BL$14,IF('View Bonjean'!$AV113='View Bonjean'!$P$8,'View Bonjean'!$BA$17:$BL$21,IF('View Bonjean'!$AV113='View Bonjean'!$P$10,'View Bonjean'!$BA$24:$BL$28)))),IF('View Bonjean'!$AV112='View Bonjean'!$AS112,'View Bonjean'!$C110:$N114,IF('View Bonjean'!$AV112='View Bonjean'!$AT112,'View Bonjean'!$Q110:$AB114,IF('View Bonjean'!$AV112='View Bonjean'!$AU112,'View Bonjean'!$AD111:$AO115,1/0))))</f>
        <v>#VALUE!</v>
      </c>
      <c r="C96" s="192" t="e">
        <v>#VALUE!</v>
      </c>
      <c r="D96" s="192" t="e">
        <v>#VALUE!</v>
      </c>
      <c r="E96" s="192" t="e">
        <v>#VALUE!</v>
      </c>
      <c r="F96" s="192" t="e">
        <v>#VALUE!</v>
      </c>
      <c r="G96" s="192" t="e">
        <v>#VALUE!</v>
      </c>
      <c r="H96" s="164" t="e">
        <v>#VALUE!</v>
      </c>
      <c r="I96" s="181" t="e">
        <v>#VALUE!</v>
      </c>
      <c r="J96" s="164" t="e">
        <v>#VALUE!</v>
      </c>
      <c r="K96" s="181" t="e">
        <v>#VALUE!</v>
      </c>
      <c r="L96" s="164" t="e">
        <v>#VALUE!</v>
      </c>
      <c r="M96" s="130" t="e">
        <v>#VALUE!</v>
      </c>
    </row>
    <row r="97" spans="2:13" x14ac:dyDescent="0.25">
      <c r="B97" s="130" t="e">
        <v>#VALUE!</v>
      </c>
      <c r="C97" s="130" t="e">
        <v>#VALUE!</v>
      </c>
      <c r="D97" s="164" t="e">
        <v>#VALUE!</v>
      </c>
      <c r="E97" s="130" t="e">
        <v>#VALUE!</v>
      </c>
      <c r="F97" s="164" t="e">
        <v>#VALUE!</v>
      </c>
      <c r="G97" s="130" t="e">
        <v>#VALUE!</v>
      </c>
      <c r="H97" s="164" t="e">
        <v>#VALUE!</v>
      </c>
      <c r="I97" s="181" t="e">
        <v>#VALUE!</v>
      </c>
      <c r="J97" s="164" t="e">
        <v>#VALUE!</v>
      </c>
      <c r="K97" s="181" t="e">
        <v>#VALUE!</v>
      </c>
      <c r="L97" s="164" t="e">
        <v>#VALUE!</v>
      </c>
      <c r="M97" s="130" t="e">
        <v>#VALUE!</v>
      </c>
    </row>
    <row r="98" spans="2:13" x14ac:dyDescent="0.25">
      <c r="B98" s="130" t="e">
        <v>#VALUE!</v>
      </c>
      <c r="C98" s="130" t="e">
        <v>#VALUE!</v>
      </c>
      <c r="D98" s="164" t="e">
        <v>#VALUE!</v>
      </c>
      <c r="E98" s="130" t="e">
        <v>#VALUE!</v>
      </c>
      <c r="F98" s="164" t="e">
        <v>#VALUE!</v>
      </c>
      <c r="G98" s="130" t="e">
        <v>#VALUE!</v>
      </c>
      <c r="H98" s="164" t="e">
        <v>#VALUE!</v>
      </c>
      <c r="I98" s="181" t="e">
        <v>#VALUE!</v>
      </c>
      <c r="J98" s="164" t="e">
        <v>#VALUE!</v>
      </c>
      <c r="K98" s="181" t="e">
        <v>#VALUE!</v>
      </c>
      <c r="L98" s="164" t="e">
        <v>#VALUE!</v>
      </c>
      <c r="M98" s="130" t="e">
        <v>#VALUE!</v>
      </c>
    </row>
    <row r="99" spans="2:13" x14ac:dyDescent="0.25">
      <c r="B99" s="130" t="e">
        <v>#VALUE!</v>
      </c>
      <c r="C99" s="130" t="e">
        <v>#VALUE!</v>
      </c>
      <c r="D99" s="164" t="e">
        <v>#VALUE!</v>
      </c>
      <c r="E99" s="130" t="e">
        <v>#VALUE!</v>
      </c>
      <c r="F99" s="164" t="e">
        <v>#VALUE!</v>
      </c>
      <c r="G99" s="130" t="e">
        <v>#VALUE!</v>
      </c>
      <c r="H99" s="164" t="e">
        <v>#VALUE!</v>
      </c>
      <c r="I99" s="181" t="e">
        <v>#VALUE!</v>
      </c>
      <c r="J99" s="164" t="e">
        <v>#VALUE!</v>
      </c>
      <c r="K99" s="181" t="e">
        <v>#VALUE!</v>
      </c>
      <c r="L99" s="164" t="e">
        <v>#VALUE!</v>
      </c>
      <c r="M99" s="130" t="e">
        <v>#VALUE!</v>
      </c>
    </row>
    <row r="100" spans="2:13" x14ac:dyDescent="0.25">
      <c r="B100" s="130" t="e">
        <v>#VALUE!</v>
      </c>
      <c r="C100" s="130" t="e">
        <v>#VALUE!</v>
      </c>
      <c r="D100" s="164" t="e">
        <v>#VALUE!</v>
      </c>
      <c r="E100" s="130" t="e">
        <v>#VALUE!</v>
      </c>
      <c r="F100" s="164" t="e">
        <v>#VALUE!</v>
      </c>
      <c r="G100" s="130" t="e">
        <v>#VALUE!</v>
      </c>
      <c r="H100" s="164" t="e">
        <v>#VALUE!</v>
      </c>
      <c r="I100" s="181" t="e">
        <v>#VALUE!</v>
      </c>
      <c r="J100" s="164" t="e">
        <v>#VALUE!</v>
      </c>
      <c r="K100" s="181" t="e">
        <v>#VALUE!</v>
      </c>
      <c r="L100" s="164" t="e">
        <v>#VALUE!</v>
      </c>
      <c r="M100" s="130" t="e">
        <v>#VALUE!</v>
      </c>
    </row>
    <row r="101" spans="2:13" x14ac:dyDescent="0.25">
      <c r="H101" s="164"/>
      <c r="I101" s="181"/>
    </row>
    <row r="102" spans="2:13" x14ac:dyDescent="0.25">
      <c r="B102" s="192" t="e">
        <f t="array" ref="B102:M106">IF('View Bonjean'!$AV118='View Bonjean'!$AR118,IF('View Bonjean'!$AV119='View Bonjean'!$P$4,'View Bonjean'!$BA$4:$BL$8,IF('View Bonjean'!$AV119='View Bonjean'!$P$6,'View Bonjean'!$BA$10:$BL$14,IF('View Bonjean'!$AV119='View Bonjean'!$P$8,'View Bonjean'!$BA$17:$BL$21,IF('View Bonjean'!$AV119='View Bonjean'!$P$10,'View Bonjean'!$BA$24:$BL$28)))),IF('View Bonjean'!$AV118='View Bonjean'!$AS118,'View Bonjean'!$C116:$N120,IF('View Bonjean'!$AV118='View Bonjean'!$AT118,'View Bonjean'!$Q116:$AB120,IF('View Bonjean'!$AV118='View Bonjean'!$AU118,'View Bonjean'!$AD117:$AO121,1/0))))</f>
        <v>#VALUE!</v>
      </c>
      <c r="C102" s="192" t="e">
        <v>#VALUE!</v>
      </c>
      <c r="D102" s="192" t="e">
        <v>#VALUE!</v>
      </c>
      <c r="E102" s="192" t="e">
        <v>#VALUE!</v>
      </c>
      <c r="F102" s="192" t="e">
        <v>#VALUE!</v>
      </c>
      <c r="G102" s="192" t="e">
        <v>#VALUE!</v>
      </c>
      <c r="H102" s="164" t="e">
        <v>#VALUE!</v>
      </c>
      <c r="I102" s="181" t="e">
        <v>#VALUE!</v>
      </c>
      <c r="J102" s="164" t="e">
        <v>#VALUE!</v>
      </c>
      <c r="K102" s="181" t="e">
        <v>#VALUE!</v>
      </c>
      <c r="L102" s="164" t="e">
        <v>#VALUE!</v>
      </c>
      <c r="M102" s="130" t="e">
        <v>#VALUE!</v>
      </c>
    </row>
    <row r="103" spans="2:13" x14ac:dyDescent="0.25">
      <c r="B103" s="130" t="e">
        <v>#VALUE!</v>
      </c>
      <c r="C103" s="130" t="e">
        <v>#VALUE!</v>
      </c>
      <c r="D103" s="164" t="e">
        <v>#VALUE!</v>
      </c>
      <c r="E103" s="130" t="e">
        <v>#VALUE!</v>
      </c>
      <c r="F103" s="164" t="e">
        <v>#VALUE!</v>
      </c>
      <c r="G103" s="130" t="e">
        <v>#VALUE!</v>
      </c>
      <c r="H103" s="164" t="e">
        <v>#VALUE!</v>
      </c>
      <c r="I103" s="181" t="e">
        <v>#VALUE!</v>
      </c>
      <c r="J103" s="164" t="e">
        <v>#VALUE!</v>
      </c>
      <c r="K103" s="181" t="e">
        <v>#VALUE!</v>
      </c>
      <c r="L103" s="164" t="e">
        <v>#VALUE!</v>
      </c>
      <c r="M103" s="130" t="e">
        <v>#VALUE!</v>
      </c>
    </row>
    <row r="104" spans="2:13" x14ac:dyDescent="0.25">
      <c r="B104" s="130" t="e">
        <v>#VALUE!</v>
      </c>
      <c r="C104" s="130" t="e">
        <v>#VALUE!</v>
      </c>
      <c r="D104" s="164" t="e">
        <v>#VALUE!</v>
      </c>
      <c r="E104" s="130" t="e">
        <v>#VALUE!</v>
      </c>
      <c r="F104" s="164" t="e">
        <v>#VALUE!</v>
      </c>
      <c r="G104" s="130" t="e">
        <v>#VALUE!</v>
      </c>
      <c r="H104" s="164" t="e">
        <v>#VALUE!</v>
      </c>
      <c r="I104" s="181" t="e">
        <v>#VALUE!</v>
      </c>
      <c r="J104" s="164" t="e">
        <v>#VALUE!</v>
      </c>
      <c r="K104" s="181" t="e">
        <v>#VALUE!</v>
      </c>
      <c r="L104" s="164" t="e">
        <v>#VALUE!</v>
      </c>
      <c r="M104" s="130" t="e">
        <v>#VALUE!</v>
      </c>
    </row>
    <row r="105" spans="2:13" x14ac:dyDescent="0.25">
      <c r="B105" s="130" t="e">
        <v>#VALUE!</v>
      </c>
      <c r="C105" s="130" t="e">
        <v>#VALUE!</v>
      </c>
      <c r="D105" s="164" t="e">
        <v>#VALUE!</v>
      </c>
      <c r="E105" s="130" t="e">
        <v>#VALUE!</v>
      </c>
      <c r="F105" s="164" t="e">
        <v>#VALUE!</v>
      </c>
      <c r="G105" s="130" t="e">
        <v>#VALUE!</v>
      </c>
      <c r="H105" s="164" t="e">
        <v>#VALUE!</v>
      </c>
      <c r="I105" s="181" t="e">
        <v>#VALUE!</v>
      </c>
      <c r="J105" s="164" t="e">
        <v>#VALUE!</v>
      </c>
      <c r="K105" s="181" t="e">
        <v>#VALUE!</v>
      </c>
      <c r="L105" s="164" t="e">
        <v>#VALUE!</v>
      </c>
      <c r="M105" s="130" t="e">
        <v>#VALUE!</v>
      </c>
    </row>
    <row r="106" spans="2:13" x14ac:dyDescent="0.25">
      <c r="B106" s="130" t="e">
        <v>#VALUE!</v>
      </c>
      <c r="C106" s="130" t="e">
        <v>#VALUE!</v>
      </c>
      <c r="D106" s="164" t="e">
        <v>#VALUE!</v>
      </c>
      <c r="E106" s="130" t="e">
        <v>#VALUE!</v>
      </c>
      <c r="F106" s="164" t="e">
        <v>#VALUE!</v>
      </c>
      <c r="G106" s="130" t="e">
        <v>#VALUE!</v>
      </c>
      <c r="H106" s="164" t="e">
        <v>#VALUE!</v>
      </c>
      <c r="I106" s="181" t="e">
        <v>#VALUE!</v>
      </c>
      <c r="J106" s="164" t="e">
        <v>#VALUE!</v>
      </c>
      <c r="K106" s="181" t="e">
        <v>#VALUE!</v>
      </c>
      <c r="L106" s="164" t="e">
        <v>#VALUE!</v>
      </c>
      <c r="M106" s="130" t="e">
        <v>#VALUE!</v>
      </c>
    </row>
    <row r="107" spans="2:13" x14ac:dyDescent="0.25">
      <c r="H107" s="164"/>
      <c r="I107" s="181"/>
    </row>
    <row r="108" spans="2:13" x14ac:dyDescent="0.25">
      <c r="B108" s="192" t="e">
        <f t="array" ref="B108:M112">IF('View Bonjean'!$AV124='View Bonjean'!$AR124,IF('View Bonjean'!$AV125='View Bonjean'!$P$4,'View Bonjean'!$BA$4:$BL$8,IF('View Bonjean'!$AV125='View Bonjean'!$P$6,'View Bonjean'!$BA$10:$BL$14,IF('View Bonjean'!$AV125='View Bonjean'!$P$8,'View Bonjean'!$BA$17:$BL$21,IF('View Bonjean'!$AV125='View Bonjean'!$P$10,'View Bonjean'!$BA$24:$BL$28)))),IF('View Bonjean'!$AV124='View Bonjean'!$AS124,'View Bonjean'!$C122:$N126,IF('View Bonjean'!$AV124='View Bonjean'!$AT124,'View Bonjean'!$Q122:$AB126,IF('View Bonjean'!$AV124='View Bonjean'!$AU124,'View Bonjean'!$AD123:$AO127,1/0))))</f>
        <v>#VALUE!</v>
      </c>
      <c r="C108" s="192" t="e">
        <v>#VALUE!</v>
      </c>
      <c r="D108" s="192" t="e">
        <v>#VALUE!</v>
      </c>
      <c r="E108" s="192" t="e">
        <v>#VALUE!</v>
      </c>
      <c r="F108" s="192" t="e">
        <v>#VALUE!</v>
      </c>
      <c r="G108" s="192" t="e">
        <v>#VALUE!</v>
      </c>
      <c r="H108" s="164" t="e">
        <v>#VALUE!</v>
      </c>
      <c r="I108" s="181" t="e">
        <v>#VALUE!</v>
      </c>
      <c r="J108" s="164" t="e">
        <v>#VALUE!</v>
      </c>
      <c r="K108" s="181" t="e">
        <v>#VALUE!</v>
      </c>
      <c r="L108" s="164" t="e">
        <v>#VALUE!</v>
      </c>
      <c r="M108" s="130" t="e">
        <v>#VALUE!</v>
      </c>
    </row>
    <row r="109" spans="2:13" x14ac:dyDescent="0.25">
      <c r="B109" s="130" t="e">
        <v>#VALUE!</v>
      </c>
      <c r="C109" s="130" t="e">
        <v>#VALUE!</v>
      </c>
      <c r="D109" s="164" t="e">
        <v>#VALUE!</v>
      </c>
      <c r="E109" s="130" t="e">
        <v>#VALUE!</v>
      </c>
      <c r="F109" s="164" t="e">
        <v>#VALUE!</v>
      </c>
      <c r="G109" s="130" t="e">
        <v>#VALUE!</v>
      </c>
      <c r="H109" s="164" t="e">
        <v>#VALUE!</v>
      </c>
      <c r="I109" s="181" t="e">
        <v>#VALUE!</v>
      </c>
      <c r="J109" s="164" t="e">
        <v>#VALUE!</v>
      </c>
      <c r="K109" s="181" t="e">
        <v>#VALUE!</v>
      </c>
      <c r="L109" s="164" t="e">
        <v>#VALUE!</v>
      </c>
      <c r="M109" s="130" t="e">
        <v>#VALUE!</v>
      </c>
    </row>
    <row r="110" spans="2:13" x14ac:dyDescent="0.25">
      <c r="B110" s="130" t="e">
        <v>#VALUE!</v>
      </c>
      <c r="C110" s="130" t="e">
        <v>#VALUE!</v>
      </c>
      <c r="D110" s="164" t="e">
        <v>#VALUE!</v>
      </c>
      <c r="E110" s="130" t="e">
        <v>#VALUE!</v>
      </c>
      <c r="F110" s="164" t="e">
        <v>#VALUE!</v>
      </c>
      <c r="G110" s="130" t="e">
        <v>#VALUE!</v>
      </c>
      <c r="H110" s="164" t="e">
        <v>#VALUE!</v>
      </c>
      <c r="I110" s="181" t="e">
        <v>#VALUE!</v>
      </c>
      <c r="J110" s="164" t="e">
        <v>#VALUE!</v>
      </c>
      <c r="K110" s="181" t="e">
        <v>#VALUE!</v>
      </c>
      <c r="L110" s="164" t="e">
        <v>#VALUE!</v>
      </c>
      <c r="M110" s="130" t="e">
        <v>#VALUE!</v>
      </c>
    </row>
    <row r="111" spans="2:13" x14ac:dyDescent="0.25">
      <c r="B111" s="130" t="e">
        <v>#VALUE!</v>
      </c>
      <c r="C111" s="130" t="e">
        <v>#VALUE!</v>
      </c>
      <c r="D111" s="164" t="e">
        <v>#VALUE!</v>
      </c>
      <c r="E111" s="130" t="e">
        <v>#VALUE!</v>
      </c>
      <c r="F111" s="164" t="e">
        <v>#VALUE!</v>
      </c>
      <c r="G111" s="130" t="e">
        <v>#VALUE!</v>
      </c>
      <c r="H111" s="164" t="e">
        <v>#VALUE!</v>
      </c>
      <c r="I111" s="181" t="e">
        <v>#VALUE!</v>
      </c>
      <c r="J111" s="164" t="e">
        <v>#VALUE!</v>
      </c>
      <c r="K111" s="181" t="e">
        <v>#VALUE!</v>
      </c>
      <c r="L111" s="164" t="e">
        <v>#VALUE!</v>
      </c>
      <c r="M111" s="130" t="e">
        <v>#VALUE!</v>
      </c>
    </row>
    <row r="112" spans="2:13" x14ac:dyDescent="0.25">
      <c r="B112" s="130" t="e">
        <v>#VALUE!</v>
      </c>
      <c r="C112" s="130" t="e">
        <v>#VALUE!</v>
      </c>
      <c r="D112" s="164" t="e">
        <v>#VALUE!</v>
      </c>
      <c r="E112" s="130" t="e">
        <v>#VALUE!</v>
      </c>
      <c r="F112" s="164" t="e">
        <v>#VALUE!</v>
      </c>
      <c r="G112" s="130" t="e">
        <v>#VALUE!</v>
      </c>
      <c r="H112" s="164" t="e">
        <v>#VALUE!</v>
      </c>
      <c r="I112" s="181" t="e">
        <v>#VALUE!</v>
      </c>
      <c r="J112" s="164" t="e">
        <v>#VALUE!</v>
      </c>
      <c r="K112" s="181" t="e">
        <v>#VALUE!</v>
      </c>
      <c r="L112" s="164" t="e">
        <v>#VALUE!</v>
      </c>
      <c r="M112" s="130" t="e">
        <v>#VALUE!</v>
      </c>
    </row>
    <row r="113" spans="2:13" x14ac:dyDescent="0.25">
      <c r="H113" s="164"/>
      <c r="I113" s="181"/>
    </row>
    <row r="114" spans="2:13" x14ac:dyDescent="0.25">
      <c r="B114" s="192" t="e">
        <f t="array" ref="B114:M118">IF('View Bonjean'!$AV130='View Bonjean'!$AR130,IF('View Bonjean'!$AV131='View Bonjean'!$P$4,'View Bonjean'!$BA$4:$BL$8,IF('View Bonjean'!$AV131='View Bonjean'!$P$6,'View Bonjean'!$BA$10:$BL$14,IF('View Bonjean'!$AV131='View Bonjean'!$P$8,'View Bonjean'!$BA$17:$BL$21,IF('View Bonjean'!$AV131='View Bonjean'!$P$10,'View Bonjean'!$BA$24:$BL$28)))),IF('View Bonjean'!$AV130='View Bonjean'!$AS130,'View Bonjean'!$C128:$N132,IF('View Bonjean'!$AV130='View Bonjean'!$AT130,'View Bonjean'!$Q128:$AB132,IF('View Bonjean'!$AV130='View Bonjean'!$AU130,'View Bonjean'!$AD129:$AO133,1/0))))</f>
        <v>#VALUE!</v>
      </c>
      <c r="C114" s="192" t="e">
        <v>#VALUE!</v>
      </c>
      <c r="D114" s="192" t="e">
        <v>#VALUE!</v>
      </c>
      <c r="E114" s="192" t="e">
        <v>#VALUE!</v>
      </c>
      <c r="F114" s="192" t="e">
        <v>#VALUE!</v>
      </c>
      <c r="G114" s="192" t="e">
        <v>#VALUE!</v>
      </c>
      <c r="H114" s="164" t="e">
        <v>#VALUE!</v>
      </c>
      <c r="I114" s="181" t="e">
        <v>#VALUE!</v>
      </c>
      <c r="J114" s="164" t="e">
        <v>#VALUE!</v>
      </c>
      <c r="K114" s="181" t="e">
        <v>#VALUE!</v>
      </c>
      <c r="L114" s="164" t="e">
        <v>#VALUE!</v>
      </c>
      <c r="M114" s="130" t="e">
        <v>#VALUE!</v>
      </c>
    </row>
    <row r="115" spans="2:13" x14ac:dyDescent="0.25">
      <c r="B115" s="130" t="e">
        <v>#VALUE!</v>
      </c>
      <c r="C115" s="130" t="e">
        <v>#VALUE!</v>
      </c>
      <c r="D115" s="164" t="e">
        <v>#VALUE!</v>
      </c>
      <c r="E115" s="130" t="e">
        <v>#VALUE!</v>
      </c>
      <c r="F115" s="164" t="e">
        <v>#VALUE!</v>
      </c>
      <c r="G115" s="130" t="e">
        <v>#VALUE!</v>
      </c>
      <c r="H115" s="164" t="e">
        <v>#VALUE!</v>
      </c>
      <c r="I115" s="181" t="e">
        <v>#VALUE!</v>
      </c>
      <c r="J115" s="164" t="e">
        <v>#VALUE!</v>
      </c>
      <c r="K115" s="181" t="e">
        <v>#VALUE!</v>
      </c>
      <c r="L115" s="164" t="e">
        <v>#VALUE!</v>
      </c>
      <c r="M115" s="130" t="e">
        <v>#VALUE!</v>
      </c>
    </row>
    <row r="116" spans="2:13" x14ac:dyDescent="0.25">
      <c r="B116" s="130" t="e">
        <v>#VALUE!</v>
      </c>
      <c r="C116" s="130" t="e">
        <v>#VALUE!</v>
      </c>
      <c r="D116" s="164" t="e">
        <v>#VALUE!</v>
      </c>
      <c r="E116" s="130" t="e">
        <v>#VALUE!</v>
      </c>
      <c r="F116" s="164" t="e">
        <v>#VALUE!</v>
      </c>
      <c r="G116" s="130" t="e">
        <v>#VALUE!</v>
      </c>
      <c r="H116" s="164" t="e">
        <v>#VALUE!</v>
      </c>
      <c r="I116" s="181" t="e">
        <v>#VALUE!</v>
      </c>
      <c r="J116" s="164" t="e">
        <v>#VALUE!</v>
      </c>
      <c r="K116" s="181" t="e">
        <v>#VALUE!</v>
      </c>
      <c r="L116" s="164" t="e">
        <v>#VALUE!</v>
      </c>
      <c r="M116" s="130" t="e">
        <v>#VALUE!</v>
      </c>
    </row>
    <row r="117" spans="2:13" x14ac:dyDescent="0.25">
      <c r="B117" s="130" t="e">
        <v>#VALUE!</v>
      </c>
      <c r="C117" s="130" t="e">
        <v>#VALUE!</v>
      </c>
      <c r="D117" s="164" t="e">
        <v>#VALUE!</v>
      </c>
      <c r="E117" s="130" t="e">
        <v>#VALUE!</v>
      </c>
      <c r="F117" s="164" t="e">
        <v>#VALUE!</v>
      </c>
      <c r="G117" s="130" t="e">
        <v>#VALUE!</v>
      </c>
      <c r="H117" s="164" t="e">
        <v>#VALUE!</v>
      </c>
      <c r="I117" s="181" t="e">
        <v>#VALUE!</v>
      </c>
      <c r="J117" s="164" t="e">
        <v>#VALUE!</v>
      </c>
      <c r="K117" s="181" t="e">
        <v>#VALUE!</v>
      </c>
      <c r="L117" s="164" t="e">
        <v>#VALUE!</v>
      </c>
      <c r="M117" s="130" t="e">
        <v>#VALUE!</v>
      </c>
    </row>
    <row r="118" spans="2:13" x14ac:dyDescent="0.25">
      <c r="B118" s="130" t="e">
        <v>#VALUE!</v>
      </c>
      <c r="C118" s="130" t="e">
        <v>#VALUE!</v>
      </c>
      <c r="D118" s="164" t="e">
        <v>#VALUE!</v>
      </c>
      <c r="E118" s="130" t="e">
        <v>#VALUE!</v>
      </c>
      <c r="F118" s="164" t="e">
        <v>#VALUE!</v>
      </c>
      <c r="G118" s="130" t="e">
        <v>#VALUE!</v>
      </c>
      <c r="H118" s="164" t="e">
        <v>#VALUE!</v>
      </c>
      <c r="I118" s="181" t="e">
        <v>#VALUE!</v>
      </c>
      <c r="J118" s="164" t="e">
        <v>#VALUE!</v>
      </c>
      <c r="K118" s="181" t="e">
        <v>#VALUE!</v>
      </c>
      <c r="L118" s="164" t="e">
        <v>#VALUE!</v>
      </c>
      <c r="M118" s="130" t="e">
        <v>#VALUE!</v>
      </c>
    </row>
    <row r="119" spans="2:13" x14ac:dyDescent="0.25">
      <c r="H119" s="164"/>
      <c r="I119" s="181"/>
    </row>
    <row r="120" spans="2:13" x14ac:dyDescent="0.25">
      <c r="B120" s="192" t="e">
        <f t="array" ref="B120:M124">IF('View Bonjean'!$AV136='View Bonjean'!$AR136,IF('View Bonjean'!$AV137='View Bonjean'!$P$4,'View Bonjean'!$BA$4:$BL$8,IF('View Bonjean'!$AV137='View Bonjean'!$P$6,'View Bonjean'!$BA$10:$BL$14,IF('View Bonjean'!$AV137='View Bonjean'!$P$8,'View Bonjean'!$BA$17:$BL$21,IF('View Bonjean'!$AV137='View Bonjean'!$P$10,'View Bonjean'!$BA$24:$BL$28)))),IF('View Bonjean'!$AV136='View Bonjean'!$AS136,'View Bonjean'!$C134:$N138,IF('View Bonjean'!$AV136='View Bonjean'!$AT136,'View Bonjean'!$Q134:$AB138,IF('View Bonjean'!$AV136='View Bonjean'!$AU136,'View Bonjean'!$AD135:$AO139,1/0))))</f>
        <v>#VALUE!</v>
      </c>
      <c r="C120" s="192" t="e">
        <v>#VALUE!</v>
      </c>
      <c r="D120" s="192" t="e">
        <v>#VALUE!</v>
      </c>
      <c r="E120" s="192" t="e">
        <v>#VALUE!</v>
      </c>
      <c r="F120" s="192" t="e">
        <v>#VALUE!</v>
      </c>
      <c r="G120" s="192" t="e">
        <v>#VALUE!</v>
      </c>
      <c r="H120" s="164" t="e">
        <v>#VALUE!</v>
      </c>
      <c r="I120" s="181" t="e">
        <v>#VALUE!</v>
      </c>
      <c r="J120" s="164" t="e">
        <v>#VALUE!</v>
      </c>
      <c r="K120" s="181" t="e">
        <v>#VALUE!</v>
      </c>
      <c r="L120" s="164" t="e">
        <v>#VALUE!</v>
      </c>
      <c r="M120" s="130" t="e">
        <v>#VALUE!</v>
      </c>
    </row>
    <row r="121" spans="2:13" x14ac:dyDescent="0.25">
      <c r="B121" s="130" t="e">
        <v>#VALUE!</v>
      </c>
      <c r="C121" s="130" t="e">
        <v>#VALUE!</v>
      </c>
      <c r="D121" s="164" t="e">
        <v>#VALUE!</v>
      </c>
      <c r="E121" s="130" t="e">
        <v>#VALUE!</v>
      </c>
      <c r="F121" s="164" t="e">
        <v>#VALUE!</v>
      </c>
      <c r="G121" s="130" t="e">
        <v>#VALUE!</v>
      </c>
      <c r="H121" s="164" t="e">
        <v>#VALUE!</v>
      </c>
      <c r="I121" s="181" t="e">
        <v>#VALUE!</v>
      </c>
      <c r="J121" s="164" t="e">
        <v>#VALUE!</v>
      </c>
      <c r="K121" s="181" t="e">
        <v>#VALUE!</v>
      </c>
      <c r="L121" s="164" t="e">
        <v>#VALUE!</v>
      </c>
      <c r="M121" s="130" t="e">
        <v>#VALUE!</v>
      </c>
    </row>
    <row r="122" spans="2:13" x14ac:dyDescent="0.25">
      <c r="B122" s="130" t="e">
        <v>#VALUE!</v>
      </c>
      <c r="C122" s="130" t="e">
        <v>#VALUE!</v>
      </c>
      <c r="D122" s="164" t="e">
        <v>#VALUE!</v>
      </c>
      <c r="E122" s="130" t="e">
        <v>#VALUE!</v>
      </c>
      <c r="F122" s="164" t="e">
        <v>#VALUE!</v>
      </c>
      <c r="G122" s="130" t="e">
        <v>#VALUE!</v>
      </c>
      <c r="H122" s="164" t="e">
        <v>#VALUE!</v>
      </c>
      <c r="I122" s="181" t="e">
        <v>#VALUE!</v>
      </c>
      <c r="J122" s="164" t="e">
        <v>#VALUE!</v>
      </c>
      <c r="K122" s="181" t="e">
        <v>#VALUE!</v>
      </c>
      <c r="L122" s="164" t="e">
        <v>#VALUE!</v>
      </c>
      <c r="M122" s="130" t="e">
        <v>#VALUE!</v>
      </c>
    </row>
    <row r="123" spans="2:13" x14ac:dyDescent="0.25">
      <c r="B123" s="130" t="e">
        <v>#VALUE!</v>
      </c>
      <c r="C123" s="130" t="e">
        <v>#VALUE!</v>
      </c>
      <c r="D123" s="164" t="e">
        <v>#VALUE!</v>
      </c>
      <c r="E123" s="130" t="e">
        <v>#VALUE!</v>
      </c>
      <c r="F123" s="164" t="e">
        <v>#VALUE!</v>
      </c>
      <c r="G123" s="130" t="e">
        <v>#VALUE!</v>
      </c>
      <c r="H123" s="164" t="e">
        <v>#VALUE!</v>
      </c>
      <c r="I123" s="181" t="e">
        <v>#VALUE!</v>
      </c>
      <c r="J123" s="164" t="e">
        <v>#VALUE!</v>
      </c>
      <c r="K123" s="181" t="e">
        <v>#VALUE!</v>
      </c>
      <c r="L123" s="164" t="e">
        <v>#VALUE!</v>
      </c>
      <c r="M123" s="130" t="e">
        <v>#VALUE!</v>
      </c>
    </row>
    <row r="124" spans="2:13" x14ac:dyDescent="0.25">
      <c r="B124" s="130" t="e">
        <v>#VALUE!</v>
      </c>
      <c r="C124" s="130" t="e">
        <v>#VALUE!</v>
      </c>
      <c r="D124" s="164" t="e">
        <v>#VALUE!</v>
      </c>
      <c r="E124" s="130" t="e">
        <v>#VALUE!</v>
      </c>
      <c r="F124" s="164" t="e">
        <v>#VALUE!</v>
      </c>
      <c r="G124" s="130" t="e">
        <v>#VALUE!</v>
      </c>
      <c r="H124" s="164" t="e">
        <v>#VALUE!</v>
      </c>
      <c r="I124" s="181" t="e">
        <v>#VALUE!</v>
      </c>
      <c r="J124" s="164" t="e">
        <v>#VALUE!</v>
      </c>
      <c r="K124" s="181" t="e">
        <v>#VALUE!</v>
      </c>
      <c r="L124" s="164" t="e">
        <v>#VALUE!</v>
      </c>
      <c r="M124" s="130" t="e">
        <v>#VALUE!</v>
      </c>
    </row>
    <row r="125" spans="2:13" x14ac:dyDescent="0.25">
      <c r="H125" s="164"/>
      <c r="I125" s="181"/>
    </row>
    <row r="126" spans="2:13" x14ac:dyDescent="0.25">
      <c r="B126" s="192" t="e">
        <f t="array" ref="B126:M130">IF('View Bonjean'!$AV142='View Bonjean'!$AR142,IF('View Bonjean'!$AV143='View Bonjean'!$P$4,'View Bonjean'!$BA$4:$BL$8,IF('View Bonjean'!$AV143='View Bonjean'!$P$6,'View Bonjean'!$BA$10:$BL$14,IF('View Bonjean'!$AV143='View Bonjean'!$P$8,'View Bonjean'!$BA$17:$BL$21,IF('View Bonjean'!$AV143='View Bonjean'!$P$10,'View Bonjean'!$BA$24:$BL$28)))),IF('View Bonjean'!$AV142='View Bonjean'!$AS142,'View Bonjean'!$C140:$N144,IF('View Bonjean'!$AV142='View Bonjean'!$AT142,'View Bonjean'!$Q140:$AB144,IF('View Bonjean'!$AV142='View Bonjean'!$AU142,'View Bonjean'!$AD141:$AO145,1/0))))</f>
        <v>#VALUE!</v>
      </c>
      <c r="C126" s="192" t="e">
        <v>#VALUE!</v>
      </c>
      <c r="D126" s="192" t="e">
        <v>#VALUE!</v>
      </c>
      <c r="E126" s="192" t="e">
        <v>#VALUE!</v>
      </c>
      <c r="F126" s="192" t="e">
        <v>#VALUE!</v>
      </c>
      <c r="G126" s="192" t="e">
        <v>#VALUE!</v>
      </c>
      <c r="H126" s="164" t="e">
        <v>#VALUE!</v>
      </c>
      <c r="I126" s="181" t="e">
        <v>#VALUE!</v>
      </c>
      <c r="J126" s="164" t="e">
        <v>#VALUE!</v>
      </c>
      <c r="K126" s="181" t="e">
        <v>#VALUE!</v>
      </c>
      <c r="L126" s="164" t="e">
        <v>#VALUE!</v>
      </c>
      <c r="M126" s="130" t="e">
        <v>#VALUE!</v>
      </c>
    </row>
    <row r="127" spans="2:13" x14ac:dyDescent="0.25">
      <c r="B127" s="130" t="e">
        <v>#VALUE!</v>
      </c>
      <c r="C127" s="130" t="e">
        <v>#VALUE!</v>
      </c>
      <c r="D127" s="164" t="e">
        <v>#VALUE!</v>
      </c>
      <c r="E127" s="130" t="e">
        <v>#VALUE!</v>
      </c>
      <c r="F127" s="164" t="e">
        <v>#VALUE!</v>
      </c>
      <c r="G127" s="130" t="e">
        <v>#VALUE!</v>
      </c>
      <c r="H127" s="164" t="e">
        <v>#VALUE!</v>
      </c>
      <c r="I127" s="181" t="e">
        <v>#VALUE!</v>
      </c>
      <c r="J127" s="164" t="e">
        <v>#VALUE!</v>
      </c>
      <c r="K127" s="181" t="e">
        <v>#VALUE!</v>
      </c>
      <c r="L127" s="164" t="e">
        <v>#VALUE!</v>
      </c>
      <c r="M127" s="130" t="e">
        <v>#VALUE!</v>
      </c>
    </row>
    <row r="128" spans="2:13" x14ac:dyDescent="0.25">
      <c r="B128" s="130" t="e">
        <v>#VALUE!</v>
      </c>
      <c r="C128" s="130" t="e">
        <v>#VALUE!</v>
      </c>
      <c r="D128" s="164" t="e">
        <v>#VALUE!</v>
      </c>
      <c r="E128" s="130" t="e">
        <v>#VALUE!</v>
      </c>
      <c r="F128" s="164" t="e">
        <v>#VALUE!</v>
      </c>
      <c r="G128" s="130" t="e">
        <v>#VALUE!</v>
      </c>
      <c r="H128" s="164" t="e">
        <v>#VALUE!</v>
      </c>
      <c r="I128" s="181" t="e">
        <v>#VALUE!</v>
      </c>
      <c r="J128" s="164" t="e">
        <v>#VALUE!</v>
      </c>
      <c r="K128" s="181" t="e">
        <v>#VALUE!</v>
      </c>
      <c r="L128" s="164" t="e">
        <v>#VALUE!</v>
      </c>
      <c r="M128" s="130" t="e">
        <v>#VALUE!</v>
      </c>
    </row>
    <row r="129" spans="2:13" x14ac:dyDescent="0.25">
      <c r="B129" s="130" t="e">
        <v>#VALUE!</v>
      </c>
      <c r="C129" s="130" t="e">
        <v>#VALUE!</v>
      </c>
      <c r="D129" s="164" t="e">
        <v>#VALUE!</v>
      </c>
      <c r="E129" s="130" t="e">
        <v>#VALUE!</v>
      </c>
      <c r="F129" s="164" t="e">
        <v>#VALUE!</v>
      </c>
      <c r="G129" s="130" t="e">
        <v>#VALUE!</v>
      </c>
      <c r="H129" s="164" t="e">
        <v>#VALUE!</v>
      </c>
      <c r="I129" s="181" t="e">
        <v>#VALUE!</v>
      </c>
      <c r="J129" s="164" t="e">
        <v>#VALUE!</v>
      </c>
      <c r="K129" s="181" t="e">
        <v>#VALUE!</v>
      </c>
      <c r="L129" s="164" t="e">
        <v>#VALUE!</v>
      </c>
      <c r="M129" s="130" t="e">
        <v>#VALUE!</v>
      </c>
    </row>
    <row r="130" spans="2:13" x14ac:dyDescent="0.25">
      <c r="B130" s="130" t="e">
        <v>#VALUE!</v>
      </c>
      <c r="C130" s="130" t="e">
        <v>#VALUE!</v>
      </c>
      <c r="D130" s="164" t="e">
        <v>#VALUE!</v>
      </c>
      <c r="E130" s="130" t="e">
        <v>#VALUE!</v>
      </c>
      <c r="F130" s="164" t="e">
        <v>#VALUE!</v>
      </c>
      <c r="G130" s="130" t="e">
        <v>#VALUE!</v>
      </c>
      <c r="H130" s="164" t="e">
        <v>#VALUE!</v>
      </c>
      <c r="I130" s="181" t="e">
        <v>#VALUE!</v>
      </c>
      <c r="J130" s="164" t="e">
        <v>#VALUE!</v>
      </c>
      <c r="K130" s="181" t="e">
        <v>#VALUE!</v>
      </c>
      <c r="L130" s="164" t="e">
        <v>#VALUE!</v>
      </c>
      <c r="M130" s="130" t="e">
        <v>#VALUE!</v>
      </c>
    </row>
    <row r="131" spans="2:13" x14ac:dyDescent="0.25">
      <c r="H131" s="164"/>
      <c r="I131" s="181"/>
    </row>
    <row r="132" spans="2:13" x14ac:dyDescent="0.25">
      <c r="B132" s="192" t="e">
        <f t="array" ref="B132:M136">IF('View Bonjean'!$AV148='View Bonjean'!$AR148,IF('View Bonjean'!$AV149='View Bonjean'!$P$4,'View Bonjean'!$BA$4:$BL$8,IF('View Bonjean'!$AV149='View Bonjean'!$P$6,'View Bonjean'!$BA$10:$BL$14,IF('View Bonjean'!$AV149='View Bonjean'!$P$8,'View Bonjean'!$BA$17:$BL$21,IF('View Bonjean'!$AV149='View Bonjean'!$P$10,'View Bonjean'!$BA$24:$BL$28)))),IF('View Bonjean'!$AV148='View Bonjean'!$AS148,'View Bonjean'!$C146:$N150,IF('View Bonjean'!$AV148='View Bonjean'!$AT148,'View Bonjean'!$Q146:$AB150,IF('View Bonjean'!$AV148='View Bonjean'!$AU148,'View Bonjean'!$AD147:$AO151,1/0))))</f>
        <v>#VALUE!</v>
      </c>
      <c r="C132" s="192" t="e">
        <v>#VALUE!</v>
      </c>
      <c r="D132" s="192" t="e">
        <v>#VALUE!</v>
      </c>
      <c r="E132" s="192" t="e">
        <v>#VALUE!</v>
      </c>
      <c r="F132" s="192" t="e">
        <v>#VALUE!</v>
      </c>
      <c r="G132" s="192" t="e">
        <v>#VALUE!</v>
      </c>
      <c r="H132" s="164" t="e">
        <v>#VALUE!</v>
      </c>
      <c r="I132" s="181" t="e">
        <v>#VALUE!</v>
      </c>
      <c r="J132" s="164" t="e">
        <v>#VALUE!</v>
      </c>
      <c r="K132" s="181" t="e">
        <v>#VALUE!</v>
      </c>
      <c r="L132" s="164" t="e">
        <v>#VALUE!</v>
      </c>
      <c r="M132" s="130" t="e">
        <v>#VALUE!</v>
      </c>
    </row>
    <row r="133" spans="2:13" x14ac:dyDescent="0.25">
      <c r="B133" s="130" t="e">
        <v>#VALUE!</v>
      </c>
      <c r="C133" s="130" t="e">
        <v>#VALUE!</v>
      </c>
      <c r="D133" s="164" t="e">
        <v>#VALUE!</v>
      </c>
      <c r="E133" s="130" t="e">
        <v>#VALUE!</v>
      </c>
      <c r="F133" s="164" t="e">
        <v>#VALUE!</v>
      </c>
      <c r="G133" s="130" t="e">
        <v>#VALUE!</v>
      </c>
      <c r="H133" s="164" t="e">
        <v>#VALUE!</v>
      </c>
      <c r="I133" s="181" t="e">
        <v>#VALUE!</v>
      </c>
      <c r="J133" s="164" t="e">
        <v>#VALUE!</v>
      </c>
      <c r="K133" s="181" t="e">
        <v>#VALUE!</v>
      </c>
      <c r="L133" s="164" t="e">
        <v>#VALUE!</v>
      </c>
      <c r="M133" s="130" t="e">
        <v>#VALUE!</v>
      </c>
    </row>
    <row r="134" spans="2:13" x14ac:dyDescent="0.25">
      <c r="B134" s="130" t="e">
        <v>#VALUE!</v>
      </c>
      <c r="C134" s="130" t="e">
        <v>#VALUE!</v>
      </c>
      <c r="D134" s="164" t="e">
        <v>#VALUE!</v>
      </c>
      <c r="E134" s="130" t="e">
        <v>#VALUE!</v>
      </c>
      <c r="F134" s="164" t="e">
        <v>#VALUE!</v>
      </c>
      <c r="G134" s="130" t="e">
        <v>#VALUE!</v>
      </c>
      <c r="H134" s="164" t="e">
        <v>#VALUE!</v>
      </c>
      <c r="I134" s="181" t="e">
        <v>#VALUE!</v>
      </c>
      <c r="J134" s="164" t="e">
        <v>#VALUE!</v>
      </c>
      <c r="K134" s="181" t="e">
        <v>#VALUE!</v>
      </c>
      <c r="L134" s="164" t="e">
        <v>#VALUE!</v>
      </c>
      <c r="M134" s="130" t="e">
        <v>#VALUE!</v>
      </c>
    </row>
    <row r="135" spans="2:13" x14ac:dyDescent="0.25">
      <c r="B135" s="130" t="e">
        <v>#VALUE!</v>
      </c>
      <c r="C135" s="130" t="e">
        <v>#VALUE!</v>
      </c>
      <c r="D135" s="164" t="e">
        <v>#VALUE!</v>
      </c>
      <c r="E135" s="130" t="e">
        <v>#VALUE!</v>
      </c>
      <c r="F135" s="164" t="e">
        <v>#VALUE!</v>
      </c>
      <c r="G135" s="130" t="e">
        <v>#VALUE!</v>
      </c>
      <c r="H135" s="164" t="e">
        <v>#VALUE!</v>
      </c>
      <c r="I135" s="181" t="e">
        <v>#VALUE!</v>
      </c>
      <c r="J135" s="164" t="e">
        <v>#VALUE!</v>
      </c>
      <c r="K135" s="181" t="e">
        <v>#VALUE!</v>
      </c>
      <c r="L135" s="164" t="e">
        <v>#VALUE!</v>
      </c>
      <c r="M135" s="130" t="e">
        <v>#VALUE!</v>
      </c>
    </row>
    <row r="136" spans="2:13" x14ac:dyDescent="0.25">
      <c r="B136" s="130" t="e">
        <v>#VALUE!</v>
      </c>
      <c r="C136" s="130" t="e">
        <v>#VALUE!</v>
      </c>
      <c r="D136" s="164" t="e">
        <v>#VALUE!</v>
      </c>
      <c r="E136" s="130" t="e">
        <v>#VALUE!</v>
      </c>
      <c r="F136" s="164" t="e">
        <v>#VALUE!</v>
      </c>
      <c r="G136" s="130" t="e">
        <v>#VALUE!</v>
      </c>
      <c r="H136" s="164" t="e">
        <v>#VALUE!</v>
      </c>
      <c r="I136" s="181" t="e">
        <v>#VALUE!</v>
      </c>
      <c r="J136" s="164" t="e">
        <v>#VALUE!</v>
      </c>
      <c r="K136" s="181" t="e">
        <v>#VALUE!</v>
      </c>
      <c r="L136" s="164" t="e">
        <v>#VALUE!</v>
      </c>
      <c r="M136" s="130" t="e">
        <v>#VALUE!</v>
      </c>
    </row>
    <row r="137" spans="2:13" x14ac:dyDescent="0.25">
      <c r="H137" s="164"/>
      <c r="I137" s="181"/>
    </row>
    <row r="138" spans="2:13" x14ac:dyDescent="0.25">
      <c r="B138" s="192" t="e">
        <f t="array" ref="B138:M142">IF('View Bonjean'!$AV154='View Bonjean'!$AR154,IF('View Bonjean'!$AV155='View Bonjean'!$P$4,'View Bonjean'!$BA$4:$BL$8,IF('View Bonjean'!$AV155='View Bonjean'!$P$6,'View Bonjean'!$BA$10:$BL$14,IF('View Bonjean'!$AV155='View Bonjean'!$P$8,'View Bonjean'!$BA$17:$BL$21,IF('View Bonjean'!$AV155='View Bonjean'!$P$10,'View Bonjean'!$BA$24:$BL$28)))),IF('View Bonjean'!$AV154='View Bonjean'!$AS154,'View Bonjean'!$C152:$N156,IF('View Bonjean'!$AV154='View Bonjean'!$AT154,'View Bonjean'!$Q152:$AB156,IF('View Bonjean'!$AV154='View Bonjean'!$AU154,'View Bonjean'!$AD153:$AO157,1/0))))</f>
        <v>#VALUE!</v>
      </c>
      <c r="C138" s="192" t="e">
        <v>#VALUE!</v>
      </c>
      <c r="D138" s="192" t="e">
        <v>#VALUE!</v>
      </c>
      <c r="E138" s="192" t="e">
        <v>#VALUE!</v>
      </c>
      <c r="F138" s="192" t="e">
        <v>#VALUE!</v>
      </c>
      <c r="G138" s="192" t="e">
        <v>#VALUE!</v>
      </c>
      <c r="H138" s="164" t="e">
        <v>#VALUE!</v>
      </c>
      <c r="I138" s="181" t="e">
        <v>#VALUE!</v>
      </c>
      <c r="J138" s="164" t="e">
        <v>#VALUE!</v>
      </c>
      <c r="K138" s="181" t="e">
        <v>#VALUE!</v>
      </c>
      <c r="L138" s="164" t="e">
        <v>#VALUE!</v>
      </c>
      <c r="M138" s="130" t="e">
        <v>#VALUE!</v>
      </c>
    </row>
    <row r="139" spans="2:13" x14ac:dyDescent="0.25">
      <c r="B139" s="130" t="e">
        <v>#VALUE!</v>
      </c>
      <c r="C139" s="130" t="e">
        <v>#VALUE!</v>
      </c>
      <c r="D139" s="164" t="e">
        <v>#VALUE!</v>
      </c>
      <c r="E139" s="130" t="e">
        <v>#VALUE!</v>
      </c>
      <c r="F139" s="164" t="e">
        <v>#VALUE!</v>
      </c>
      <c r="G139" s="130" t="e">
        <v>#VALUE!</v>
      </c>
      <c r="H139" s="164" t="e">
        <v>#VALUE!</v>
      </c>
      <c r="I139" s="181" t="e">
        <v>#VALUE!</v>
      </c>
      <c r="J139" s="164" t="e">
        <v>#VALUE!</v>
      </c>
      <c r="K139" s="181" t="e">
        <v>#VALUE!</v>
      </c>
      <c r="L139" s="164" t="e">
        <v>#VALUE!</v>
      </c>
      <c r="M139" s="130" t="e">
        <v>#VALUE!</v>
      </c>
    </row>
    <row r="140" spans="2:13" x14ac:dyDescent="0.25">
      <c r="B140" s="130" t="e">
        <v>#VALUE!</v>
      </c>
      <c r="C140" s="130" t="e">
        <v>#VALUE!</v>
      </c>
      <c r="D140" s="164" t="e">
        <v>#VALUE!</v>
      </c>
      <c r="E140" s="130" t="e">
        <v>#VALUE!</v>
      </c>
      <c r="F140" s="164" t="e">
        <v>#VALUE!</v>
      </c>
      <c r="G140" s="130" t="e">
        <v>#VALUE!</v>
      </c>
      <c r="H140" s="164" t="e">
        <v>#VALUE!</v>
      </c>
      <c r="I140" s="181" t="e">
        <v>#VALUE!</v>
      </c>
      <c r="J140" s="164" t="e">
        <v>#VALUE!</v>
      </c>
      <c r="K140" s="181" t="e">
        <v>#VALUE!</v>
      </c>
      <c r="L140" s="164" t="e">
        <v>#VALUE!</v>
      </c>
      <c r="M140" s="130" t="e">
        <v>#VALUE!</v>
      </c>
    </row>
    <row r="141" spans="2:13" x14ac:dyDescent="0.25">
      <c r="B141" s="130" t="e">
        <v>#VALUE!</v>
      </c>
      <c r="C141" s="130" t="e">
        <v>#VALUE!</v>
      </c>
      <c r="D141" s="164" t="e">
        <v>#VALUE!</v>
      </c>
      <c r="E141" s="130" t="e">
        <v>#VALUE!</v>
      </c>
      <c r="F141" s="164" t="e">
        <v>#VALUE!</v>
      </c>
      <c r="G141" s="130" t="e">
        <v>#VALUE!</v>
      </c>
      <c r="H141" s="164" t="e">
        <v>#VALUE!</v>
      </c>
      <c r="I141" s="181" t="e">
        <v>#VALUE!</v>
      </c>
      <c r="J141" s="164" t="e">
        <v>#VALUE!</v>
      </c>
      <c r="K141" s="181" t="e">
        <v>#VALUE!</v>
      </c>
      <c r="L141" s="164" t="e">
        <v>#VALUE!</v>
      </c>
      <c r="M141" s="130" t="e">
        <v>#VALUE!</v>
      </c>
    </row>
    <row r="142" spans="2:13" x14ac:dyDescent="0.25">
      <c r="B142" s="130" t="e">
        <v>#VALUE!</v>
      </c>
      <c r="C142" s="130" t="e">
        <v>#VALUE!</v>
      </c>
      <c r="D142" s="164" t="e">
        <v>#VALUE!</v>
      </c>
      <c r="E142" s="130" t="e">
        <v>#VALUE!</v>
      </c>
      <c r="F142" s="164" t="e">
        <v>#VALUE!</v>
      </c>
      <c r="G142" s="130" t="e">
        <v>#VALUE!</v>
      </c>
      <c r="H142" s="164" t="e">
        <v>#VALUE!</v>
      </c>
      <c r="I142" s="181" t="e">
        <v>#VALUE!</v>
      </c>
      <c r="J142" s="164" t="e">
        <v>#VALUE!</v>
      </c>
      <c r="K142" s="181" t="e">
        <v>#VALUE!</v>
      </c>
      <c r="L142" s="164" t="e">
        <v>#VALUE!</v>
      </c>
      <c r="M142" s="130" t="e">
        <v>#VALUE!</v>
      </c>
    </row>
    <row r="143" spans="2:13" x14ac:dyDescent="0.25">
      <c r="H143" s="164"/>
      <c r="I143" s="181"/>
    </row>
    <row r="144" spans="2:13" x14ac:dyDescent="0.25">
      <c r="B144" s="192" t="e">
        <f t="array" ref="B144:M148">IF('View Bonjean'!$AV160='View Bonjean'!$AR160,IF('View Bonjean'!$AV161='View Bonjean'!$P$4,'View Bonjean'!$BA$4:$BL$8,IF('View Bonjean'!$AV161='View Bonjean'!$P$6,'View Bonjean'!$BA$10:$BL$14,IF('View Bonjean'!$AV161='View Bonjean'!$P$8,'View Bonjean'!$BA$17:$BL$21,IF('View Bonjean'!$AV161='View Bonjean'!$P$10,'View Bonjean'!$BA$24:$BL$28)))),IF('View Bonjean'!$AV160='View Bonjean'!$AS160,'View Bonjean'!$C158:$N162,IF('View Bonjean'!$AV160='View Bonjean'!$AT160,'View Bonjean'!$Q158:$AB162,IF('View Bonjean'!$AV160='View Bonjean'!$AU160,'View Bonjean'!$AD159:$AO163,1/0))))</f>
        <v>#VALUE!</v>
      </c>
      <c r="C144" s="192" t="e">
        <v>#VALUE!</v>
      </c>
      <c r="D144" s="192" t="e">
        <v>#VALUE!</v>
      </c>
      <c r="E144" s="192" t="e">
        <v>#VALUE!</v>
      </c>
      <c r="F144" s="192" t="e">
        <v>#VALUE!</v>
      </c>
      <c r="G144" s="192" t="e">
        <v>#VALUE!</v>
      </c>
      <c r="H144" s="164" t="e">
        <v>#VALUE!</v>
      </c>
      <c r="I144" s="181" t="e">
        <v>#VALUE!</v>
      </c>
      <c r="J144" s="164" t="e">
        <v>#VALUE!</v>
      </c>
      <c r="K144" s="181" t="e">
        <v>#VALUE!</v>
      </c>
      <c r="L144" s="164" t="e">
        <v>#VALUE!</v>
      </c>
      <c r="M144" s="130" t="e">
        <v>#VALUE!</v>
      </c>
    </row>
    <row r="145" spans="2:13" x14ac:dyDescent="0.25">
      <c r="B145" s="130" t="e">
        <v>#VALUE!</v>
      </c>
      <c r="C145" s="130" t="e">
        <v>#VALUE!</v>
      </c>
      <c r="D145" s="164" t="e">
        <v>#VALUE!</v>
      </c>
      <c r="E145" s="130" t="e">
        <v>#VALUE!</v>
      </c>
      <c r="F145" s="164" t="e">
        <v>#VALUE!</v>
      </c>
      <c r="G145" s="130" t="e">
        <v>#VALUE!</v>
      </c>
      <c r="H145" s="164" t="e">
        <v>#VALUE!</v>
      </c>
      <c r="I145" s="181" t="e">
        <v>#VALUE!</v>
      </c>
      <c r="J145" s="164" t="e">
        <v>#VALUE!</v>
      </c>
      <c r="K145" s="181" t="e">
        <v>#VALUE!</v>
      </c>
      <c r="L145" s="164" t="e">
        <v>#VALUE!</v>
      </c>
      <c r="M145" s="130" t="e">
        <v>#VALUE!</v>
      </c>
    </row>
    <row r="146" spans="2:13" x14ac:dyDescent="0.25">
      <c r="B146" s="130" t="e">
        <v>#VALUE!</v>
      </c>
      <c r="C146" s="130" t="e">
        <v>#VALUE!</v>
      </c>
      <c r="D146" s="164" t="e">
        <v>#VALUE!</v>
      </c>
      <c r="E146" s="130" t="e">
        <v>#VALUE!</v>
      </c>
      <c r="F146" s="164" t="e">
        <v>#VALUE!</v>
      </c>
      <c r="G146" s="130" t="e">
        <v>#VALUE!</v>
      </c>
      <c r="H146" s="164" t="e">
        <v>#VALUE!</v>
      </c>
      <c r="I146" s="181" t="e">
        <v>#VALUE!</v>
      </c>
      <c r="J146" s="164" t="e">
        <v>#VALUE!</v>
      </c>
      <c r="K146" s="181" t="e">
        <v>#VALUE!</v>
      </c>
      <c r="L146" s="164" t="e">
        <v>#VALUE!</v>
      </c>
      <c r="M146" s="130" t="e">
        <v>#VALUE!</v>
      </c>
    </row>
    <row r="147" spans="2:13" x14ac:dyDescent="0.25">
      <c r="B147" s="130" t="e">
        <v>#VALUE!</v>
      </c>
      <c r="C147" s="130" t="e">
        <v>#VALUE!</v>
      </c>
      <c r="D147" s="164" t="e">
        <v>#VALUE!</v>
      </c>
      <c r="E147" s="130" t="e">
        <v>#VALUE!</v>
      </c>
      <c r="F147" s="164" t="e">
        <v>#VALUE!</v>
      </c>
      <c r="G147" s="130" t="e">
        <v>#VALUE!</v>
      </c>
      <c r="H147" s="164" t="e">
        <v>#VALUE!</v>
      </c>
      <c r="I147" s="181" t="e">
        <v>#VALUE!</v>
      </c>
      <c r="J147" s="164" t="e">
        <v>#VALUE!</v>
      </c>
      <c r="K147" s="181" t="e">
        <v>#VALUE!</v>
      </c>
      <c r="L147" s="164" t="e">
        <v>#VALUE!</v>
      </c>
      <c r="M147" s="130" t="e">
        <v>#VALUE!</v>
      </c>
    </row>
    <row r="148" spans="2:13" x14ac:dyDescent="0.25">
      <c r="B148" s="130" t="e">
        <v>#VALUE!</v>
      </c>
      <c r="C148" s="130" t="e">
        <v>#VALUE!</v>
      </c>
      <c r="D148" s="164" t="e">
        <v>#VALUE!</v>
      </c>
      <c r="E148" s="130" t="e">
        <v>#VALUE!</v>
      </c>
      <c r="F148" s="164" t="e">
        <v>#VALUE!</v>
      </c>
      <c r="G148" s="130" t="e">
        <v>#VALUE!</v>
      </c>
      <c r="H148" s="164" t="e">
        <v>#VALUE!</v>
      </c>
      <c r="I148" s="181" t="e">
        <v>#VALUE!</v>
      </c>
      <c r="J148" s="164" t="e">
        <v>#VALUE!</v>
      </c>
      <c r="K148" s="181" t="e">
        <v>#VALUE!</v>
      </c>
      <c r="L148" s="164" t="e">
        <v>#VALUE!</v>
      </c>
      <c r="M148" s="130" t="e">
        <v>#VALUE!</v>
      </c>
    </row>
    <row r="149" spans="2:13" x14ac:dyDescent="0.25">
      <c r="H149" s="164"/>
      <c r="I149" s="181"/>
    </row>
    <row r="150" spans="2:13" x14ac:dyDescent="0.25">
      <c r="B150" s="192" t="e">
        <f t="array" ref="B150:M154">IF('View Bonjean'!$AV166='View Bonjean'!$AR166,IF('View Bonjean'!$AV167='View Bonjean'!$P$4,'View Bonjean'!$BA$4:$BL$8,IF('View Bonjean'!$AV167='View Bonjean'!$P$6,'View Bonjean'!$BA$10:$BL$14,IF('View Bonjean'!$AV167='View Bonjean'!$P$8,'View Bonjean'!$BA$17:$BL$21,IF('View Bonjean'!$AV167='View Bonjean'!$P$10,'View Bonjean'!$BA$24:$BL$28)))),IF('View Bonjean'!$AV166='View Bonjean'!$AS166,'View Bonjean'!$C164:$N168,IF('View Bonjean'!$AV166='View Bonjean'!$AT166,'View Bonjean'!$Q164:$AB168,IF('View Bonjean'!$AV166='View Bonjean'!$AU166,'View Bonjean'!$AD165:$AO169,1/0))))</f>
        <v>#VALUE!</v>
      </c>
      <c r="C150" s="192" t="e">
        <v>#VALUE!</v>
      </c>
      <c r="D150" s="192" t="e">
        <v>#VALUE!</v>
      </c>
      <c r="E150" s="192" t="e">
        <v>#VALUE!</v>
      </c>
      <c r="F150" s="192" t="e">
        <v>#VALUE!</v>
      </c>
      <c r="G150" s="192" t="e">
        <v>#VALUE!</v>
      </c>
      <c r="H150" s="164" t="e">
        <v>#VALUE!</v>
      </c>
      <c r="I150" s="181" t="e">
        <v>#VALUE!</v>
      </c>
      <c r="J150" s="164" t="e">
        <v>#VALUE!</v>
      </c>
      <c r="K150" s="181" t="e">
        <v>#VALUE!</v>
      </c>
      <c r="L150" s="164" t="e">
        <v>#VALUE!</v>
      </c>
      <c r="M150" s="130" t="e">
        <v>#VALUE!</v>
      </c>
    </row>
    <row r="151" spans="2:13" x14ac:dyDescent="0.25">
      <c r="B151" s="130" t="e">
        <v>#VALUE!</v>
      </c>
      <c r="C151" s="130" t="e">
        <v>#VALUE!</v>
      </c>
      <c r="D151" s="164" t="e">
        <v>#VALUE!</v>
      </c>
      <c r="E151" s="130" t="e">
        <v>#VALUE!</v>
      </c>
      <c r="F151" s="164" t="e">
        <v>#VALUE!</v>
      </c>
      <c r="G151" s="130" t="e">
        <v>#VALUE!</v>
      </c>
      <c r="H151" s="164" t="e">
        <v>#VALUE!</v>
      </c>
      <c r="I151" s="181" t="e">
        <v>#VALUE!</v>
      </c>
      <c r="J151" s="164" t="e">
        <v>#VALUE!</v>
      </c>
      <c r="K151" s="181" t="e">
        <v>#VALUE!</v>
      </c>
      <c r="L151" s="164" t="e">
        <v>#VALUE!</v>
      </c>
      <c r="M151" s="130" t="e">
        <v>#VALUE!</v>
      </c>
    </row>
    <row r="152" spans="2:13" x14ac:dyDescent="0.25">
      <c r="B152" s="130" t="e">
        <v>#VALUE!</v>
      </c>
      <c r="C152" s="130" t="e">
        <v>#VALUE!</v>
      </c>
      <c r="D152" s="164" t="e">
        <v>#VALUE!</v>
      </c>
      <c r="E152" s="130" t="e">
        <v>#VALUE!</v>
      </c>
      <c r="F152" s="164" t="e">
        <v>#VALUE!</v>
      </c>
      <c r="G152" s="130" t="e">
        <v>#VALUE!</v>
      </c>
      <c r="H152" s="164" t="e">
        <v>#VALUE!</v>
      </c>
      <c r="I152" s="181" t="e">
        <v>#VALUE!</v>
      </c>
      <c r="J152" s="164" t="e">
        <v>#VALUE!</v>
      </c>
      <c r="K152" s="181" t="e">
        <v>#VALUE!</v>
      </c>
      <c r="L152" s="164" t="e">
        <v>#VALUE!</v>
      </c>
      <c r="M152" s="130" t="e">
        <v>#VALUE!</v>
      </c>
    </row>
    <row r="153" spans="2:13" x14ac:dyDescent="0.25">
      <c r="B153" s="130" t="e">
        <v>#VALUE!</v>
      </c>
      <c r="C153" s="130" t="e">
        <v>#VALUE!</v>
      </c>
      <c r="D153" s="164" t="e">
        <v>#VALUE!</v>
      </c>
      <c r="E153" s="130" t="e">
        <v>#VALUE!</v>
      </c>
      <c r="F153" s="164" t="e">
        <v>#VALUE!</v>
      </c>
      <c r="G153" s="130" t="e">
        <v>#VALUE!</v>
      </c>
      <c r="H153" s="164" t="e">
        <v>#VALUE!</v>
      </c>
      <c r="I153" s="181" t="e">
        <v>#VALUE!</v>
      </c>
      <c r="J153" s="164" t="e">
        <v>#VALUE!</v>
      </c>
      <c r="K153" s="181" t="e">
        <v>#VALUE!</v>
      </c>
      <c r="L153" s="164" t="e">
        <v>#VALUE!</v>
      </c>
      <c r="M153" s="130" t="e">
        <v>#VALUE!</v>
      </c>
    </row>
    <row r="154" spans="2:13" x14ac:dyDescent="0.25">
      <c r="B154" s="130" t="e">
        <v>#VALUE!</v>
      </c>
      <c r="C154" s="130" t="e">
        <v>#VALUE!</v>
      </c>
      <c r="D154" s="164" t="e">
        <v>#VALUE!</v>
      </c>
      <c r="E154" s="130" t="e">
        <v>#VALUE!</v>
      </c>
      <c r="F154" s="164" t="e">
        <v>#VALUE!</v>
      </c>
      <c r="G154" s="130" t="e">
        <v>#VALUE!</v>
      </c>
      <c r="H154" s="164" t="e">
        <v>#VALUE!</v>
      </c>
      <c r="I154" s="181" t="e">
        <v>#VALUE!</v>
      </c>
      <c r="J154" s="164" t="e">
        <v>#VALUE!</v>
      </c>
      <c r="K154" s="181" t="e">
        <v>#VALUE!</v>
      </c>
      <c r="L154" s="164" t="e">
        <v>#VALUE!</v>
      </c>
      <c r="M154" s="130" t="e">
        <v>#VALUE!</v>
      </c>
    </row>
    <row r="155" spans="2:13" x14ac:dyDescent="0.25">
      <c r="H155" s="164"/>
      <c r="I155" s="181"/>
    </row>
    <row r="156" spans="2:13" x14ac:dyDescent="0.25">
      <c r="B156" s="192" t="e">
        <f t="array" ref="B156:M160">IF('View Bonjean'!$AV172='View Bonjean'!$AR172,IF('View Bonjean'!$AV173='View Bonjean'!$P$4,'View Bonjean'!$BA$4:$BL$8,IF('View Bonjean'!$AV173='View Bonjean'!$P$6,'View Bonjean'!$BA$10:$BL$14,IF('View Bonjean'!$AV173='View Bonjean'!$P$8,'View Bonjean'!$BA$17:$BL$21,IF('View Bonjean'!$AV173='View Bonjean'!$P$10,'View Bonjean'!$BA$24:$BL$28)))),IF('View Bonjean'!$AV172='View Bonjean'!$AS172,'View Bonjean'!$C170:$N174,IF('View Bonjean'!$AV172='View Bonjean'!$AT172,'View Bonjean'!$Q170:$AB174,IF('View Bonjean'!$AV172='View Bonjean'!$AU172,'View Bonjean'!$AD171:$AO175,1/0))))</f>
        <v>#VALUE!</v>
      </c>
      <c r="C156" s="192" t="e">
        <v>#VALUE!</v>
      </c>
      <c r="D156" s="192" t="e">
        <v>#VALUE!</v>
      </c>
      <c r="E156" s="192" t="e">
        <v>#VALUE!</v>
      </c>
      <c r="F156" s="192" t="e">
        <v>#VALUE!</v>
      </c>
      <c r="G156" s="192" t="e">
        <v>#VALUE!</v>
      </c>
      <c r="H156" s="164" t="e">
        <v>#VALUE!</v>
      </c>
      <c r="I156" s="181" t="e">
        <v>#VALUE!</v>
      </c>
      <c r="J156" s="164" t="e">
        <v>#VALUE!</v>
      </c>
      <c r="K156" s="181" t="e">
        <v>#VALUE!</v>
      </c>
      <c r="L156" s="164" t="e">
        <v>#VALUE!</v>
      </c>
      <c r="M156" s="130" t="e">
        <v>#VALUE!</v>
      </c>
    </row>
    <row r="157" spans="2:13" x14ac:dyDescent="0.25">
      <c r="B157" s="130" t="e">
        <v>#VALUE!</v>
      </c>
      <c r="C157" s="130" t="e">
        <v>#VALUE!</v>
      </c>
      <c r="D157" s="164" t="e">
        <v>#VALUE!</v>
      </c>
      <c r="E157" s="130" t="e">
        <v>#VALUE!</v>
      </c>
      <c r="F157" s="164" t="e">
        <v>#VALUE!</v>
      </c>
      <c r="G157" s="130" t="e">
        <v>#VALUE!</v>
      </c>
      <c r="H157" s="164" t="e">
        <v>#VALUE!</v>
      </c>
      <c r="I157" s="181" t="e">
        <v>#VALUE!</v>
      </c>
      <c r="J157" s="164" t="e">
        <v>#VALUE!</v>
      </c>
      <c r="K157" s="181" t="e">
        <v>#VALUE!</v>
      </c>
      <c r="L157" s="164" t="e">
        <v>#VALUE!</v>
      </c>
      <c r="M157" s="130" t="e">
        <v>#VALUE!</v>
      </c>
    </row>
    <row r="158" spans="2:13" x14ac:dyDescent="0.25">
      <c r="B158" s="130" t="e">
        <v>#VALUE!</v>
      </c>
      <c r="C158" s="130" t="e">
        <v>#VALUE!</v>
      </c>
      <c r="D158" s="164" t="e">
        <v>#VALUE!</v>
      </c>
      <c r="E158" s="130" t="e">
        <v>#VALUE!</v>
      </c>
      <c r="F158" s="164" t="e">
        <v>#VALUE!</v>
      </c>
      <c r="G158" s="130" t="e">
        <v>#VALUE!</v>
      </c>
      <c r="H158" s="164" t="e">
        <v>#VALUE!</v>
      </c>
      <c r="I158" s="181" t="e">
        <v>#VALUE!</v>
      </c>
      <c r="J158" s="164" t="e">
        <v>#VALUE!</v>
      </c>
      <c r="K158" s="181" t="e">
        <v>#VALUE!</v>
      </c>
      <c r="L158" s="164" t="e">
        <v>#VALUE!</v>
      </c>
      <c r="M158" s="130" t="e">
        <v>#VALUE!</v>
      </c>
    </row>
    <row r="159" spans="2:13" x14ac:dyDescent="0.25">
      <c r="B159" s="130" t="e">
        <v>#VALUE!</v>
      </c>
      <c r="C159" s="130" t="e">
        <v>#VALUE!</v>
      </c>
      <c r="D159" s="164" t="e">
        <v>#VALUE!</v>
      </c>
      <c r="E159" s="130" t="e">
        <v>#VALUE!</v>
      </c>
      <c r="F159" s="164" t="e">
        <v>#VALUE!</v>
      </c>
      <c r="G159" s="130" t="e">
        <v>#VALUE!</v>
      </c>
      <c r="H159" s="164" t="e">
        <v>#VALUE!</v>
      </c>
      <c r="I159" s="181" t="e">
        <v>#VALUE!</v>
      </c>
      <c r="J159" s="164" t="e">
        <v>#VALUE!</v>
      </c>
      <c r="K159" s="181" t="e">
        <v>#VALUE!</v>
      </c>
      <c r="L159" s="164" t="e">
        <v>#VALUE!</v>
      </c>
      <c r="M159" s="130" t="e">
        <v>#VALUE!</v>
      </c>
    </row>
    <row r="160" spans="2:13" x14ac:dyDescent="0.25">
      <c r="B160" s="130" t="e">
        <v>#VALUE!</v>
      </c>
      <c r="C160" s="130" t="e">
        <v>#VALUE!</v>
      </c>
      <c r="D160" s="164" t="e">
        <v>#VALUE!</v>
      </c>
      <c r="E160" s="130" t="e">
        <v>#VALUE!</v>
      </c>
      <c r="F160" s="164" t="e">
        <v>#VALUE!</v>
      </c>
      <c r="G160" s="130" t="e">
        <v>#VALUE!</v>
      </c>
      <c r="H160" s="164" t="e">
        <v>#VALUE!</v>
      </c>
      <c r="I160" s="181" t="e">
        <v>#VALUE!</v>
      </c>
      <c r="J160" s="164" t="e">
        <v>#VALUE!</v>
      </c>
      <c r="K160" s="181" t="e">
        <v>#VALUE!</v>
      </c>
      <c r="L160" s="164" t="e">
        <v>#VALUE!</v>
      </c>
      <c r="M160" s="130" t="e">
        <v>#VALUE!</v>
      </c>
    </row>
    <row r="161" spans="8:9" x14ac:dyDescent="0.25">
      <c r="H161" s="164"/>
      <c r="I161" s="181"/>
    </row>
  </sheetData>
  <sheetProtection password="CC2F" sheet="1" objects="1" scenarios="1"/>
  <mergeCells count="1">
    <mergeCell ref="C16:D16"/>
  </mergeCells>
  <conditionalFormatting sqref="B18:M161">
    <cfRule type="containsErrors" dxfId="34" priority="2">
      <formula>ISERROR(B18)</formula>
    </cfRule>
  </conditionalFormatting>
  <conditionalFormatting sqref="B18:G18 B24:G24 B30:G30 B36:G36 B42:G42 B48:G48 B54:G54 B60:G60 B66:G66 B72:G72 B78:G78 B84:G84 B90:G90 B96:G96 B102:G102 B108:G108 B114:G114 B120:G120 B126:G126 B132:G132 B138:G138 B144:G144 B150:G150 B156:G156">
    <cfRule type="notContainsErrors" dxfId="33" priority="3">
      <formula>NOT(ISERROR(B18))</formula>
    </cfRule>
  </conditionalFormatting>
  <conditionalFormatting sqref="B18:G160">
    <cfRule type="containsText" dxfId="32" priority="1" operator="containsText" text="Σ=">
      <formula>NOT(ISERROR(SEARCH("Σ=",B18)))</formula>
    </cfRule>
  </conditionalFormatting>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OFFSET(Tools!$AD$3,,,Max_STN_count,1)</xm:f>
          </x14:formula1>
          <xm:sqref>C2:C15 E16</xm:sqref>
        </x14:dataValidation>
      </x14:dataValidations>
    </ext>
  </extLst>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tabColor theme="0"/>
  </sheetPr>
  <dimension ref="A1:BL195"/>
  <sheetViews>
    <sheetView zoomScale="85" zoomScaleNormal="85" workbookViewId="0">
      <pane ySplit="1" topLeftCell="A2" activePane="bottomLeft" state="frozen"/>
      <selection activeCell="AG8" sqref="AG8:AG10"/>
      <selection pane="bottomLeft" activeCell="AG8" sqref="AG8:AG10"/>
    </sheetView>
  </sheetViews>
  <sheetFormatPr defaultRowHeight="15" x14ac:dyDescent="0.25"/>
  <cols>
    <col min="13" max="13" width="11.85546875" customWidth="1"/>
    <col min="18" max="18" width="9.140625" customWidth="1"/>
    <col min="59" max="59" width="9.140625" style="6"/>
    <col min="60" max="60" width="9.140625" style="70"/>
  </cols>
  <sheetData>
    <row r="1" spans="1:64" ht="15.75" thickBot="1" x14ac:dyDescent="0.3">
      <c r="A1" s="494" t="s">
        <v>90</v>
      </c>
      <c r="B1" s="494"/>
      <c r="C1" s="193">
        <f>'Bonj Calc'!E16</f>
        <v>8</v>
      </c>
      <c r="E1" s="494" t="s">
        <v>91</v>
      </c>
      <c r="F1" s="494"/>
      <c r="G1" t="str">
        <f>VLOOKUP(Station_No,RISE_CALC,2,FALSE)</f>
        <v>-</v>
      </c>
      <c r="L1" s="494"/>
      <c r="M1" s="494"/>
    </row>
    <row r="2" spans="1:64" ht="18" x14ac:dyDescent="0.35">
      <c r="A2" s="101" t="s">
        <v>163</v>
      </c>
      <c r="U2" s="80"/>
      <c r="X2" t="s">
        <v>0</v>
      </c>
      <c r="Y2" t="s">
        <v>95</v>
      </c>
      <c r="Z2" t="s">
        <v>164</v>
      </c>
      <c r="AA2" t="s">
        <v>165</v>
      </c>
      <c r="AB2" t="s">
        <v>166</v>
      </c>
      <c r="AC2" t="s">
        <v>167</v>
      </c>
      <c r="AD2" s="194" t="s">
        <v>168</v>
      </c>
      <c r="AE2" s="194" t="s">
        <v>168</v>
      </c>
      <c r="AF2" s="194" t="s">
        <v>168</v>
      </c>
      <c r="AG2" s="194" t="s">
        <v>168</v>
      </c>
      <c r="AH2" s="194" t="s">
        <v>168</v>
      </c>
      <c r="AI2" s="194" t="s">
        <v>168</v>
      </c>
      <c r="AJ2" s="90" t="s">
        <v>94</v>
      </c>
      <c r="AM2" t="s">
        <v>0</v>
      </c>
      <c r="AN2" t="s">
        <v>95</v>
      </c>
      <c r="AO2" t="s">
        <v>164</v>
      </c>
      <c r="AP2" t="s">
        <v>165</v>
      </c>
      <c r="AQ2" t="s">
        <v>13</v>
      </c>
      <c r="AR2" t="s">
        <v>169</v>
      </c>
      <c r="AS2" s="194" t="s">
        <v>168</v>
      </c>
      <c r="AT2" s="194" t="s">
        <v>168</v>
      </c>
      <c r="AU2" s="194" t="s">
        <v>168</v>
      </c>
      <c r="AV2" s="194" t="s">
        <v>168</v>
      </c>
      <c r="AW2" s="194" t="s">
        <v>168</v>
      </c>
      <c r="AX2" s="194" t="s">
        <v>168</v>
      </c>
    </row>
    <row r="3" spans="1:64" x14ac:dyDescent="0.25">
      <c r="B3" s="72" t="s">
        <v>0</v>
      </c>
      <c r="C3" s="73" t="s">
        <v>95</v>
      </c>
      <c r="D3" s="73" t="s">
        <v>18</v>
      </c>
      <c r="E3" s="74" t="s">
        <v>20</v>
      </c>
      <c r="L3" s="75" t="s">
        <v>96</v>
      </c>
      <c r="O3" t="str">
        <f>IF(Rise=0,"(Not considered)","(Considered)")</f>
        <v>(Considered)</v>
      </c>
      <c r="U3" s="66" t="str">
        <f t="shared" ref="U3:V7" si="0">K4</f>
        <v>Rise</v>
      </c>
      <c r="V3" s="67" t="e">
        <f t="shared" si="0"/>
        <v>#VALUE!</v>
      </c>
      <c r="W3" s="68" t="e">
        <f>IF(OR(V6-V5=V5-V4,V7-V5=V5-V4),V4,IF(OR(V6-V5=V5-V3,V7-V5=V5-V3),V3,"-"))</f>
        <v>#VALUE!</v>
      </c>
      <c r="X3" t="e">
        <f>IF(V3=W3,CONCATENATE(V3,"(Rise)"),W3)</f>
        <v>#VALUE!</v>
      </c>
      <c r="Y3" s="69" t="e">
        <f>IFERROR(VLOOKUP(W3,STN_TABLE,2,FALSE),IF(V3=RisePerWLS,0,"-"))</f>
        <v>#VALUE!</v>
      </c>
      <c r="Z3" s="69">
        <v>5</v>
      </c>
      <c r="AA3" s="69" t="e">
        <f>Y3*Z3</f>
        <v>#VALUE!</v>
      </c>
      <c r="AB3" s="69">
        <v>3</v>
      </c>
      <c r="AC3" s="69" t="e">
        <f>Y3*AB3</f>
        <v>#VALUE!</v>
      </c>
      <c r="AD3" s="6" t="s">
        <v>93</v>
      </c>
      <c r="AE3" s="70" t="e">
        <f>IF(AND(W5-W4=W4-W3,NOT(AND(W3=0,W4=0)),NOT(AND(W4=0,W5=0))),WLS*(W5-W4),"#NA")</f>
        <v>#VALUE!</v>
      </c>
      <c r="AF3" s="194" t="s">
        <v>168</v>
      </c>
      <c r="AG3" s="194" t="s">
        <v>168</v>
      </c>
      <c r="AH3" s="194" t="s">
        <v>168</v>
      </c>
      <c r="AI3" s="194" t="s">
        <v>168</v>
      </c>
      <c r="AJ3" s="66" t="str">
        <f t="shared" ref="AJ3:AK7" si="1">K4</f>
        <v>Rise</v>
      </c>
      <c r="AK3" s="67" t="e">
        <f t="shared" si="1"/>
        <v>#VALUE!</v>
      </c>
      <c r="AL3" s="79" t="e">
        <f>IF(AK7-AK6=AK6-AK5,AK5,IF(OR(AK7-AK6=AK6-AK4,AK7-AK5=AK5-AK4),AK4,IF(OR(AK7-AK6=AK6-AK3,AK7-AK5=AK5-AK3,AK7-AK4=AK4-AK3),AK3,"#NA")))</f>
        <v>#VALUE!</v>
      </c>
      <c r="AM3" t="e">
        <f>IF(AK3=AL3,CONCATENATE(AK3,"(Rise)"),AL3)</f>
        <v>#VALUE!</v>
      </c>
      <c r="AN3" s="69" t="e">
        <f>IFERROR(VLOOKUP(AL3,STN_TABLE,2,FALSE),IF(AK3=RisePerWLS,0,"-"))</f>
        <v>#VALUE!</v>
      </c>
      <c r="AO3" s="69">
        <v>1</v>
      </c>
      <c r="AP3" s="69" t="e">
        <f>AN3*AO3</f>
        <v>#VALUE!</v>
      </c>
      <c r="AQ3" s="69" t="e">
        <f>AL3</f>
        <v>#VALUE!</v>
      </c>
      <c r="AR3" s="69" t="e">
        <f>AP3*AQ3</f>
        <v>#VALUE!</v>
      </c>
      <c r="AS3" s="6" t="s">
        <v>93</v>
      </c>
      <c r="AT3" s="70" t="e">
        <f>IF(AND(AN3=0,AN4=0,AN5=0),WLS*(AL5-AL4),IF(AND(AL5-AL4=AL4-AL3,AL4&lt;&gt;AL5,AL3&lt;&gt;AL4,AL3&lt;&gt;AL5,AN5&lt;&gt;0,OR(AN3&lt;&gt;0,AN4&lt;&gt;0)),WLS*(AL5-AL4),"#NA"))</f>
        <v>#VALUE!</v>
      </c>
      <c r="AU3" s="194" t="s">
        <v>168</v>
      </c>
      <c r="AV3" s="194" t="s">
        <v>168</v>
      </c>
      <c r="AW3" s="194" t="s">
        <v>168</v>
      </c>
      <c r="AX3" s="194" t="s">
        <v>168</v>
      </c>
      <c r="BA3" t="s">
        <v>170</v>
      </c>
    </row>
    <row r="4" spans="1:64" x14ac:dyDescent="0.25">
      <c r="A4">
        <v>1</v>
      </c>
      <c r="B4" s="80">
        <f t="shared" ref="B4" si="2">VLOOKUP(Stn_WL,OFFSET_A,A4+1,FALSE)</f>
        <v>0</v>
      </c>
      <c r="C4" s="81">
        <f t="shared" ref="C4" si="3">VLOOKUP(Station_No,OFFSET_A,A4+1,FALSE)</f>
        <v>9.5</v>
      </c>
      <c r="D4" s="81">
        <v>0</v>
      </c>
      <c r="E4" s="77">
        <v>0</v>
      </c>
      <c r="K4" t="s">
        <v>100</v>
      </c>
      <c r="L4" t="e">
        <f>Rise/WLS</f>
        <v>#VALUE!</v>
      </c>
      <c r="O4" t="str">
        <f>CONCATENATE("A(",L5,")=")</f>
        <v>A(#NA)=</v>
      </c>
      <c r="P4" t="e">
        <f>IFERROR(R18,T22)</f>
        <v>#VALUE!</v>
      </c>
      <c r="U4" s="66" t="str">
        <f t="shared" si="0"/>
        <v>1st_UWL</v>
      </c>
      <c r="V4" s="67" t="str">
        <f t="shared" si="0"/>
        <v>#NA</v>
      </c>
      <c r="W4" s="76" t="str">
        <f>V5</f>
        <v>#NA</v>
      </c>
      <c r="X4" t="str">
        <f>W4</f>
        <v>#NA</v>
      </c>
      <c r="Y4" s="77" t="e">
        <f>VLOOKUP(W4,STN_TABLE,2,FALSE)</f>
        <v>#N/A</v>
      </c>
      <c r="Z4" s="77">
        <v>8</v>
      </c>
      <c r="AA4" s="77" t="e">
        <f>Y4*Z4</f>
        <v>#N/A</v>
      </c>
      <c r="AB4" s="77">
        <v>10</v>
      </c>
      <c r="AC4" s="77" t="e">
        <f>Y4*AB4</f>
        <v>#N/A</v>
      </c>
      <c r="AD4" s="78" t="s">
        <v>171</v>
      </c>
      <c r="AE4" s="194" t="s">
        <v>168</v>
      </c>
      <c r="AF4" s="78" t="s">
        <v>98</v>
      </c>
      <c r="AG4" s="194" t="s">
        <v>168</v>
      </c>
      <c r="AH4" s="7" t="s">
        <v>77</v>
      </c>
      <c r="AI4" s="194" t="s">
        <v>168</v>
      </c>
      <c r="AJ4" s="66" t="str">
        <f t="shared" si="1"/>
        <v>1st_UWL</v>
      </c>
      <c r="AK4" s="67" t="str">
        <f t="shared" si="1"/>
        <v>#NA</v>
      </c>
      <c r="AL4" s="80" t="e">
        <f>IF(OR(AK7-AK6=AK6-AK5,AK7-AK6=AK6-AK4,AK7-AK6=AK6-AK3),AK6,IF(OR(AK7-AK5=AK5-AK4,AK7-AK5=AK5-AK3),AK5,IF(AK7-AK4=AK4-AK3,AK4,"#NA")))</f>
        <v>#VALUE!</v>
      </c>
      <c r="AM4" t="e">
        <f>AL4</f>
        <v>#VALUE!</v>
      </c>
      <c r="AN4" s="77" t="e">
        <f>VLOOKUP(AL4,STN_TABLE,2,FALSE)</f>
        <v>#VALUE!</v>
      </c>
      <c r="AO4" s="77">
        <v>4</v>
      </c>
      <c r="AP4" s="77" t="e">
        <f>AN4*AO4</f>
        <v>#VALUE!</v>
      </c>
      <c r="AQ4" s="77" t="e">
        <f>AL4</f>
        <v>#VALUE!</v>
      </c>
      <c r="AR4" s="77" t="e">
        <f>AP4*AQ4</f>
        <v>#VALUE!</v>
      </c>
      <c r="AS4" s="78" t="s">
        <v>171</v>
      </c>
      <c r="AT4" s="194" t="s">
        <v>168</v>
      </c>
      <c r="AU4" s="78" t="s">
        <v>98</v>
      </c>
      <c r="AV4" s="194" t="s">
        <v>168</v>
      </c>
      <c r="AW4" s="7" t="s">
        <v>77</v>
      </c>
      <c r="AX4" s="194" t="s">
        <v>168</v>
      </c>
      <c r="BA4" t="e">
        <f t="array" aca="1" ref="BA4:BH8" ca="1">IF(ISNUMBER(R18),OFFSET(M13,,,5,8),IF(ISNUMBER(T22),OFFSET(M20,,,5,8),1/0))</f>
        <v>#DIV/0!</v>
      </c>
      <c r="BB4" t="e">
        <f ca="1"/>
        <v>#DIV/0!</v>
      </c>
      <c r="BC4" t="e">
        <f ca="1"/>
        <v>#DIV/0!</v>
      </c>
      <c r="BD4" t="e">
        <f ca="1"/>
        <v>#DIV/0!</v>
      </c>
      <c r="BE4" t="e">
        <f ca="1"/>
        <v>#DIV/0!</v>
      </c>
      <c r="BF4" s="6" t="e">
        <f ca="1"/>
        <v>#DIV/0!</v>
      </c>
      <c r="BG4" s="6" t="e">
        <f ca="1"/>
        <v>#DIV/0!</v>
      </c>
      <c r="BH4" s="70" t="e">
        <f ca="1"/>
        <v>#DIV/0!</v>
      </c>
      <c r="BI4" t="s">
        <v>168</v>
      </c>
      <c r="BJ4" t="s">
        <v>168</v>
      </c>
      <c r="BK4" t="s">
        <v>168</v>
      </c>
      <c r="BL4" t="s">
        <v>168</v>
      </c>
    </row>
    <row r="5" spans="1:64" x14ac:dyDescent="0.25">
      <c r="A5">
        <v>2</v>
      </c>
      <c r="B5" s="80">
        <f t="shared" ref="B5:B10" si="4">VLOOKUP(Stn_WL,OFFSET_A,A5+1,FALSE)</f>
        <v>0.25</v>
      </c>
      <c r="C5" s="81">
        <f t="shared" ref="C5:C10" si="5">VLOOKUP(Station_No,OFFSET_A,A5+1,FALSE)</f>
        <v>10.33</v>
      </c>
      <c r="D5" s="81">
        <f t="shared" ref="D5:D10" si="6">IFERROR(VLOOKUP(CONCATENATE("A(",B5,")="),RESULT_TABLE,6,FALSE)," ")</f>
        <v>9.9558333333333309</v>
      </c>
      <c r="E5" s="77">
        <f t="shared" ref="E5:E10" si="7">IFERROR(VLOOKUP(CONCATENATE("M(",B5,")="),RESULT_TABLE,6,FALSE)," ")</f>
        <v>2.5235416666666666</v>
      </c>
      <c r="F5">
        <f>VLOOKUP(CONCATENATE("A(",B5,")="),RESULT_TABLE,6,FALSE)</f>
        <v>9.9558333333333309</v>
      </c>
      <c r="K5" t="s">
        <v>101</v>
      </c>
      <c r="L5" t="str">
        <f>VLOOKUP(Station_No,RISE_CALC,4,FALSE)</f>
        <v>#NA</v>
      </c>
      <c r="O5" t="str">
        <f>CONCATENATE("M(",L5,")=")</f>
        <v>M(#NA)=</v>
      </c>
      <c r="P5" t="e">
        <f>IFERROR(R19,T23)</f>
        <v>#VALUE!</v>
      </c>
      <c r="U5" s="66" t="str">
        <f t="shared" si="0"/>
        <v>2nd_UWL</v>
      </c>
      <c r="V5" s="67" t="str">
        <f t="shared" si="0"/>
        <v>#NA</v>
      </c>
      <c r="W5" s="82" t="e">
        <f>IF((W3-W4)=W4-V6,V6,IF(W3-W4=W4-V7,V7,"-"))</f>
        <v>#VALUE!</v>
      </c>
      <c r="X5" t="e">
        <f>W5</f>
        <v>#VALUE!</v>
      </c>
      <c r="Y5" s="83" t="e">
        <f>VLOOKUP(W5,STN_TABLE,2,FALSE)</f>
        <v>#VALUE!</v>
      </c>
      <c r="Z5" s="83">
        <v>-1</v>
      </c>
      <c r="AA5" s="83" t="e">
        <f>Y5*Z5</f>
        <v>#VALUE!</v>
      </c>
      <c r="AB5" s="83">
        <v>-1</v>
      </c>
      <c r="AC5" s="83" t="e">
        <f>Y5*AB5</f>
        <v>#VALUE!</v>
      </c>
      <c r="AD5" s="84" t="e">
        <f>CONCATENATE("a'(",W3,"~",W4,")=")</f>
        <v>#VALUE!</v>
      </c>
      <c r="AE5" s="85" t="e">
        <f>2*AE3/12*AA6</f>
        <v>#VALUE!</v>
      </c>
      <c r="AF5" s="84" t="e">
        <f>CONCATENATE("A(",W3,")=")</f>
        <v>#VALUE!</v>
      </c>
      <c r="AG5" s="84" t="e">
        <f>IF(W3=RisePerWLS,0,VLOOKUP(W3,STN_TABLE,3,FALSE))</f>
        <v>#VALUE!</v>
      </c>
      <c r="AH5" t="str">
        <f>CONCATENATE("A(",W4,")=")</f>
        <v>A(#NA)=</v>
      </c>
      <c r="AI5" t="e">
        <f>AE5+AG5</f>
        <v>#VALUE!</v>
      </c>
      <c r="AJ5" s="66" t="str">
        <f t="shared" si="1"/>
        <v>2nd_UWL</v>
      </c>
      <c r="AK5" s="67" t="str">
        <f t="shared" si="1"/>
        <v>#NA</v>
      </c>
      <c r="AL5" s="88" t="str">
        <f>AK7</f>
        <v>#NA</v>
      </c>
      <c r="AM5" t="str">
        <f>AL5</f>
        <v>#NA</v>
      </c>
      <c r="AN5" s="83" t="e">
        <f>VLOOKUP(AL5,STN_TABLE,2,FALSE)</f>
        <v>#N/A</v>
      </c>
      <c r="AO5" s="83">
        <v>1</v>
      </c>
      <c r="AP5" s="83" t="e">
        <f>AN5*AO5</f>
        <v>#N/A</v>
      </c>
      <c r="AQ5" s="83" t="str">
        <f>AL5</f>
        <v>#NA</v>
      </c>
      <c r="AR5" s="83" t="e">
        <f>AP5*AQ5</f>
        <v>#N/A</v>
      </c>
      <c r="AS5" s="84" t="e">
        <f>CONCATENATE("a'(",AL3,"~",AL5,")=")</f>
        <v>#VALUE!</v>
      </c>
      <c r="AT5" s="84" t="e">
        <f>2*AT3/3*AP6</f>
        <v>#VALUE!</v>
      </c>
      <c r="AU5" s="84" t="e">
        <f>CONCATENATE("A(",AL3,")=")</f>
        <v>#VALUE!</v>
      </c>
      <c r="AV5" s="84" t="e">
        <f>IF(AL3=RisePerWLS,0,VLOOKUP(AL3,STN_TABLE,3,FALSE))</f>
        <v>#VALUE!</v>
      </c>
      <c r="AW5" t="str">
        <f>CONCATENATE("A(",AL5,")=")</f>
        <v>A(#NA)=</v>
      </c>
      <c r="AX5" t="e">
        <f>AT5+AV5</f>
        <v>#VALUE!</v>
      </c>
      <c r="BA5" t="e">
        <f ca="1"/>
        <v>#DIV/0!</v>
      </c>
      <c r="BB5" t="e">
        <f ca="1"/>
        <v>#DIV/0!</v>
      </c>
      <c r="BC5" t="e">
        <f ca="1"/>
        <v>#DIV/0!</v>
      </c>
      <c r="BD5" t="e">
        <f ca="1"/>
        <v>#DIV/0!</v>
      </c>
      <c r="BE5" t="e">
        <f ca="1"/>
        <v>#DIV/0!</v>
      </c>
      <c r="BF5" s="6" t="e">
        <f ca="1"/>
        <v>#DIV/0!</v>
      </c>
      <c r="BG5" s="6" t="e">
        <f ca="1"/>
        <v>#DIV/0!</v>
      </c>
      <c r="BH5" s="70" t="e">
        <f ca="1"/>
        <v>#DIV/0!</v>
      </c>
      <c r="BI5" t="s">
        <v>168</v>
      </c>
      <c r="BJ5" t="s">
        <v>168</v>
      </c>
      <c r="BK5" t="s">
        <v>168</v>
      </c>
      <c r="BL5" t="s">
        <v>168</v>
      </c>
    </row>
    <row r="6" spans="1:64" x14ac:dyDescent="0.25">
      <c r="A6">
        <v>3</v>
      </c>
      <c r="B6" s="80">
        <f t="shared" si="4"/>
        <v>0.5</v>
      </c>
      <c r="C6" s="81">
        <f t="shared" si="5"/>
        <v>10.67</v>
      </c>
      <c r="D6" s="81">
        <f t="shared" si="6"/>
        <v>20.496666666666666</v>
      </c>
      <c r="E6" s="77">
        <f t="shared" si="7"/>
        <v>10.443333333333332</v>
      </c>
      <c r="K6" t="s">
        <v>102</v>
      </c>
      <c r="L6" t="str">
        <f>VLOOKUP(Station_No,RISE_CALC,5,FALSE)</f>
        <v>#NA</v>
      </c>
      <c r="O6" t="str">
        <f>CONCATENATE("A(",L6,")=")</f>
        <v>A(#NA)=</v>
      </c>
      <c r="P6" t="e">
        <f>IFERROR(T27,IFERROR(AC7,AI11))</f>
        <v>#VALUE!</v>
      </c>
      <c r="U6" s="66" t="str">
        <f t="shared" si="0"/>
        <v>3rd_UWL</v>
      </c>
      <c r="V6" s="67" t="str">
        <f t="shared" si="0"/>
        <v>#NA</v>
      </c>
      <c r="X6" s="194" t="s">
        <v>168</v>
      </c>
      <c r="Y6" s="194" t="s">
        <v>168</v>
      </c>
      <c r="Z6" s="6" t="s">
        <v>172</v>
      </c>
      <c r="AA6" s="89" t="e">
        <f>SUM(AA3:AA5)</f>
        <v>#VALUE!</v>
      </c>
      <c r="AB6" s="6" t="s">
        <v>172</v>
      </c>
      <c r="AC6" s="87" t="e">
        <f>SUM(AC3:AC5)</f>
        <v>#VALUE!</v>
      </c>
      <c r="AD6" s="84" t="e">
        <f>CONCATENATE("m'(",W3,"~",W4,")=")</f>
        <v>#VALUE!</v>
      </c>
      <c r="AE6" s="85" t="e">
        <f>(2*(AE3^2)/24*AC6)+(AE5*W3*WLS)</f>
        <v>#VALUE!</v>
      </c>
      <c r="AF6" s="84" t="e">
        <f>CONCATENATE("M(",W3,")=")</f>
        <v>#VALUE!</v>
      </c>
      <c r="AG6" s="84" t="e">
        <f>IF(W3=RisePerWLS,0,VLOOKUP(W3,STN_TABLE,4,FALSE))</f>
        <v>#VALUE!</v>
      </c>
      <c r="AH6" t="str">
        <f>CONCATENATE("M(",W4,")=")</f>
        <v>M(#NA)=</v>
      </c>
      <c r="AI6" t="e">
        <f>AE6+AG6</f>
        <v>#VALUE!</v>
      </c>
      <c r="AJ6" s="66" t="str">
        <f t="shared" si="1"/>
        <v>3rd_UWL</v>
      </c>
      <c r="AK6" s="67" t="str">
        <f t="shared" si="1"/>
        <v>#NA</v>
      </c>
      <c r="AM6" s="194" t="s">
        <v>168</v>
      </c>
      <c r="AN6" s="194" t="s">
        <v>168</v>
      </c>
      <c r="AO6" s="6" t="s">
        <v>172</v>
      </c>
      <c r="AP6" s="89" t="e">
        <f>SUM(AP3:AP5)</f>
        <v>#VALUE!</v>
      </c>
      <c r="AQ6" s="6" t="s">
        <v>172</v>
      </c>
      <c r="AR6" s="89" t="e">
        <f>SUM(AR3:AR5)</f>
        <v>#VALUE!</v>
      </c>
      <c r="AS6" s="84" t="e">
        <f>CONCATENATE("m'(",AL3,"~",AL5,")=")</f>
        <v>#VALUE!</v>
      </c>
      <c r="AT6" s="84" t="e">
        <f>2*(AT3*WLS)/3*AR6</f>
        <v>#VALUE!</v>
      </c>
      <c r="AU6" s="84" t="e">
        <f>CONCATENATE("M(",AL3,")=")</f>
        <v>#VALUE!</v>
      </c>
      <c r="AV6" s="84" t="e">
        <f>IF(AL3=RisePerWLS,0,VLOOKUP(AL3,STN_TABLE,4,FALSE))</f>
        <v>#VALUE!</v>
      </c>
      <c r="AW6" t="str">
        <f>CONCATENATE("M(",AL5,")=")</f>
        <v>M(#NA)=</v>
      </c>
      <c r="AX6" t="e">
        <f>AT6+AV6</f>
        <v>#VALUE!</v>
      </c>
      <c r="BA6" t="e">
        <f ca="1"/>
        <v>#DIV/0!</v>
      </c>
      <c r="BB6" t="e">
        <f ca="1"/>
        <v>#DIV/0!</v>
      </c>
      <c r="BC6" t="e">
        <f ca="1"/>
        <v>#DIV/0!</v>
      </c>
      <c r="BD6" t="e">
        <f ca="1"/>
        <v>#DIV/0!</v>
      </c>
      <c r="BE6" t="e">
        <f ca="1"/>
        <v>#DIV/0!</v>
      </c>
      <c r="BF6" s="6" t="e">
        <f ca="1"/>
        <v>#DIV/0!</v>
      </c>
      <c r="BG6" s="6" t="e">
        <f ca="1"/>
        <v>#DIV/0!</v>
      </c>
      <c r="BH6" s="70" t="e">
        <f ca="1"/>
        <v>#DIV/0!</v>
      </c>
      <c r="BI6" t="s">
        <v>168</v>
      </c>
      <c r="BJ6" t="s">
        <v>168</v>
      </c>
      <c r="BK6" t="s">
        <v>168</v>
      </c>
      <c r="BL6" t="s">
        <v>168</v>
      </c>
    </row>
    <row r="7" spans="1:64" ht="18" x14ac:dyDescent="0.35">
      <c r="A7">
        <v>4</v>
      </c>
      <c r="B7" s="80">
        <f t="shared" si="4"/>
        <v>0.75</v>
      </c>
      <c r="C7" s="81">
        <f t="shared" si="5"/>
        <v>10.9</v>
      </c>
      <c r="D7" s="81">
        <f t="shared" si="6"/>
        <v>31.259166666666662</v>
      </c>
      <c r="E7" s="77">
        <f t="shared" si="7"/>
        <v>23.921874999999996</v>
      </c>
      <c r="K7" t="s">
        <v>104</v>
      </c>
      <c r="L7" t="str">
        <f>VLOOKUP(Station_No,RISE_CALC,6,FALSE)</f>
        <v>#NA</v>
      </c>
      <c r="O7" t="str">
        <f>CONCATENATE("M(",L6,")=")</f>
        <v>M(#NA)=</v>
      </c>
      <c r="P7" t="e">
        <f>IFERROR(T28,IFERROR(AC8,AI12))</f>
        <v>#VALUE!</v>
      </c>
      <c r="U7" s="66" t="str">
        <f t="shared" si="0"/>
        <v>4th_UWL</v>
      </c>
      <c r="V7" s="67" t="str">
        <f t="shared" si="0"/>
        <v>#NA</v>
      </c>
      <c r="Z7" t="s">
        <v>103</v>
      </c>
      <c r="AB7" t="str">
        <f>CONCATENATE("A(",W4,")=")</f>
        <v>A(#NA)=</v>
      </c>
      <c r="AC7" t="e">
        <f>IF(OR(AI5&lt;=0,AI6&lt;=0),1/0,AI5)</f>
        <v>#VALUE!</v>
      </c>
      <c r="AJ7" s="66" t="str">
        <f t="shared" si="1"/>
        <v>4th_UWL</v>
      </c>
      <c r="AK7" s="67" t="str">
        <f t="shared" si="1"/>
        <v>#NA</v>
      </c>
      <c r="AM7" t="s">
        <v>0</v>
      </c>
      <c r="AN7" t="s">
        <v>95</v>
      </c>
      <c r="AO7" t="s">
        <v>164</v>
      </c>
      <c r="AP7" t="s">
        <v>165</v>
      </c>
      <c r="AQ7" t="s">
        <v>166</v>
      </c>
      <c r="AR7" t="s">
        <v>167</v>
      </c>
      <c r="AS7" s="194" t="s">
        <v>168</v>
      </c>
      <c r="AT7" s="194" t="s">
        <v>168</v>
      </c>
      <c r="AU7" s="194" t="s">
        <v>168</v>
      </c>
      <c r="AV7" s="194" t="s">
        <v>168</v>
      </c>
      <c r="AW7" s="194" t="s">
        <v>168</v>
      </c>
      <c r="AX7" s="194" t="s">
        <v>168</v>
      </c>
      <c r="BA7" t="e">
        <f ca="1"/>
        <v>#DIV/0!</v>
      </c>
      <c r="BB7" t="e">
        <f ca="1"/>
        <v>#DIV/0!</v>
      </c>
      <c r="BC7" t="e">
        <f ca="1"/>
        <v>#DIV/0!</v>
      </c>
      <c r="BD7" t="e">
        <f ca="1"/>
        <v>#DIV/0!</v>
      </c>
      <c r="BE7" t="e">
        <f ca="1"/>
        <v>#DIV/0!</v>
      </c>
      <c r="BF7" s="6" t="e">
        <f ca="1"/>
        <v>#DIV/0!</v>
      </c>
      <c r="BG7" s="6" t="e">
        <f ca="1"/>
        <v>#DIV/0!</v>
      </c>
      <c r="BH7" s="70" t="e">
        <f ca="1"/>
        <v>#DIV/0!</v>
      </c>
      <c r="BI7" t="s">
        <v>168</v>
      </c>
      <c r="BJ7" t="s">
        <v>168</v>
      </c>
      <c r="BK7" t="s">
        <v>168</v>
      </c>
      <c r="BL7" t="s">
        <v>168</v>
      </c>
    </row>
    <row r="8" spans="1:64" x14ac:dyDescent="0.25">
      <c r="A8">
        <v>5</v>
      </c>
      <c r="B8" s="80">
        <f t="shared" si="4"/>
        <v>1</v>
      </c>
      <c r="C8" s="81">
        <f t="shared" si="5"/>
        <v>11</v>
      </c>
      <c r="D8" s="81">
        <f t="shared" si="6"/>
        <v>42.25333333333333</v>
      </c>
      <c r="E8" s="77">
        <f t="shared" si="7"/>
        <v>43.133333333333326</v>
      </c>
      <c r="K8" t="s">
        <v>105</v>
      </c>
      <c r="L8" t="str">
        <f>VLOOKUP(Station_No,RISE_CALC,7,FALSE)</f>
        <v>#NA</v>
      </c>
      <c r="O8" t="str">
        <f>CONCATENATE("A(",L7,")=")</f>
        <v>A(#NA)=</v>
      </c>
      <c r="P8" t="e">
        <f>IFERROR(AI16,IFERROR(AC25,AI29))</f>
        <v>#VALUE!</v>
      </c>
      <c r="U8" s="66"/>
      <c r="V8" s="67"/>
      <c r="AB8" t="str">
        <f>CONCATENATE("M(",W4,")=")</f>
        <v>M(#NA)=</v>
      </c>
      <c r="AC8" t="e">
        <f>IF(OR(AI5&lt;=0,AI6&lt;=0),1/0,AI6)</f>
        <v>#VALUE!</v>
      </c>
      <c r="AJ8" s="66"/>
      <c r="AK8" s="67"/>
      <c r="AL8" s="68" t="e">
        <f>IF(OR(AK12-AK11=AK11-AK10,AK13-AK11=AK11-AK10),AK10,IF(OR(AK12-AK11=AK11-AK9,AK13-AK11=AK11-AK9),AK9,"-"))</f>
        <v>#VALUE!</v>
      </c>
      <c r="AM8" t="e">
        <f>AL8</f>
        <v>#VALUE!</v>
      </c>
      <c r="AN8" s="69" t="e">
        <f>IFERROR(VLOOKUP(AL8,STN_TABLE,2,FALSE),IF(AK8=RisePerWLS,0,"-"))</f>
        <v>#VALUE!</v>
      </c>
      <c r="AO8" s="69">
        <v>5</v>
      </c>
      <c r="AP8" s="69" t="e">
        <f>AN8*AO8</f>
        <v>#VALUE!</v>
      </c>
      <c r="AQ8" s="69">
        <v>3</v>
      </c>
      <c r="AR8" s="69" t="e">
        <f>AN8*AQ8</f>
        <v>#VALUE!</v>
      </c>
      <c r="AS8" s="6" t="s">
        <v>93</v>
      </c>
      <c r="AT8" s="70" t="e">
        <f>IF(AND(AL10-AL9=AL9-AL8,NOT(AND(AL8=0,AL9=0)),NOT(AND(AL9=0,AL10=0))),WLS*(AL10-AL9),"#NA")</f>
        <v>#VALUE!</v>
      </c>
      <c r="AU8" s="194" t="s">
        <v>168</v>
      </c>
      <c r="AV8" s="194" t="s">
        <v>168</v>
      </c>
      <c r="AW8" s="194" t="s">
        <v>168</v>
      </c>
      <c r="AX8" s="194" t="s">
        <v>168</v>
      </c>
      <c r="BA8" t="e">
        <f ca="1"/>
        <v>#DIV/0!</v>
      </c>
      <c r="BB8" t="e">
        <f ca="1"/>
        <v>#DIV/0!</v>
      </c>
      <c r="BC8" t="e">
        <f ca="1"/>
        <v>#DIV/0!</v>
      </c>
      <c r="BD8" t="e">
        <f ca="1"/>
        <v>#DIV/0!</v>
      </c>
      <c r="BE8" t="e">
        <f ca="1"/>
        <v>#DIV/0!</v>
      </c>
      <c r="BF8" t="e">
        <f ca="1"/>
        <v>#DIV/0!</v>
      </c>
      <c r="BG8" s="6" t="e">
        <f ca="1"/>
        <v>#DIV/0!</v>
      </c>
      <c r="BH8" s="70" t="e">
        <f ca="1"/>
        <v>#DIV/0!</v>
      </c>
      <c r="BI8" t="s">
        <v>168</v>
      </c>
      <c r="BJ8" t="s">
        <v>168</v>
      </c>
      <c r="BK8" t="s">
        <v>168</v>
      </c>
      <c r="BL8" t="s">
        <v>168</v>
      </c>
    </row>
    <row r="9" spans="1:64" ht="18" x14ac:dyDescent="0.35">
      <c r="A9">
        <v>6</v>
      </c>
      <c r="B9" s="80">
        <f t="shared" si="4"/>
        <v>2</v>
      </c>
      <c r="C9" s="81">
        <f t="shared" si="5"/>
        <v>11</v>
      </c>
      <c r="D9" s="81">
        <f t="shared" si="6"/>
        <v>86.25333333333333</v>
      </c>
      <c r="E9" s="77">
        <f t="shared" si="7"/>
        <v>175.13333333333333</v>
      </c>
      <c r="K9" t="s">
        <v>106</v>
      </c>
      <c r="L9" t="str">
        <f>VLOOKUP(Station_No,RISE_CALC,8,FALSE)</f>
        <v>#NA</v>
      </c>
      <c r="O9" t="str">
        <f>CONCATENATE("M(",L7,")=")</f>
        <v>M(#NA)=</v>
      </c>
      <c r="P9" t="e">
        <f>IFERROR(AI17,IFERROR(AC26,AI30))</f>
        <v>#VALUE!</v>
      </c>
      <c r="U9" s="80"/>
      <c r="V9" s="81"/>
      <c r="X9" t="s">
        <v>0</v>
      </c>
      <c r="Y9" t="s">
        <v>95</v>
      </c>
      <c r="Z9" t="s">
        <v>173</v>
      </c>
      <c r="AA9" t="s">
        <v>174</v>
      </c>
      <c r="AB9" t="s">
        <v>175</v>
      </c>
      <c r="AC9" t="s">
        <v>176</v>
      </c>
      <c r="AD9" s="6" t="s">
        <v>93</v>
      </c>
      <c r="AE9" s="70" t="e">
        <f>WLS*(Z11-Z10)</f>
        <v>#VALUE!</v>
      </c>
      <c r="AF9" s="194" t="s">
        <v>168</v>
      </c>
      <c r="AG9" s="194" t="s">
        <v>168</v>
      </c>
      <c r="AH9" s="194" t="s">
        <v>168</v>
      </c>
      <c r="AI9" s="194" t="s">
        <v>168</v>
      </c>
      <c r="AJ9" s="66" t="str">
        <f t="shared" ref="AJ9:AK13" si="8">K6</f>
        <v>2nd_UWL</v>
      </c>
      <c r="AK9" s="67" t="str">
        <f t="shared" si="8"/>
        <v>#NA</v>
      </c>
      <c r="AL9" s="76" t="str">
        <f>AK11</f>
        <v>#NA</v>
      </c>
      <c r="AM9" t="str">
        <f>AL9</f>
        <v>#NA</v>
      </c>
      <c r="AN9" s="77" t="e">
        <f>VLOOKUP(AL9,STN_TABLE,2,FALSE)</f>
        <v>#N/A</v>
      </c>
      <c r="AO9" s="77">
        <v>8</v>
      </c>
      <c r="AP9" s="77" t="e">
        <f>AN9*AO9</f>
        <v>#N/A</v>
      </c>
      <c r="AQ9" s="77">
        <v>10</v>
      </c>
      <c r="AR9" s="77" t="e">
        <f>AN9*AQ9</f>
        <v>#N/A</v>
      </c>
      <c r="AS9" s="78" t="s">
        <v>171</v>
      </c>
      <c r="AT9" s="194" t="s">
        <v>168</v>
      </c>
      <c r="AU9" s="78" t="s">
        <v>98</v>
      </c>
      <c r="AV9" s="194" t="s">
        <v>168</v>
      </c>
      <c r="AW9" s="7" t="s">
        <v>77</v>
      </c>
      <c r="AX9" s="194" t="s">
        <v>168</v>
      </c>
      <c r="BA9" t="s">
        <v>177</v>
      </c>
    </row>
    <row r="10" spans="1:64" x14ac:dyDescent="0.25">
      <c r="A10">
        <v>7</v>
      </c>
      <c r="B10" s="80">
        <f t="shared" si="4"/>
        <v>3</v>
      </c>
      <c r="C10" s="81">
        <f t="shared" si="5"/>
        <v>11</v>
      </c>
      <c r="D10" s="81">
        <f t="shared" si="6"/>
        <v>130.25333333333333</v>
      </c>
      <c r="E10" s="77">
        <f t="shared" si="7"/>
        <v>395.13333333333333</v>
      </c>
      <c r="K10" t="s">
        <v>107</v>
      </c>
      <c r="L10" t="str">
        <f>VLOOKUP(Station_No,RISE_CALC,9,FALSE)</f>
        <v>#NA</v>
      </c>
      <c r="O10" t="str">
        <f>CONCATENATE("A(",L8,")=")</f>
        <v>A(#NA)=</v>
      </c>
      <c r="P10" t="e">
        <f>IFERROR(AX5,IFERROR(AR12,AX16))</f>
        <v>#VALUE!</v>
      </c>
      <c r="U10" s="80"/>
      <c r="V10" s="81"/>
      <c r="X10" s="194" t="s">
        <v>168</v>
      </c>
      <c r="Y10" s="194" t="s">
        <v>168</v>
      </c>
      <c r="Z10" s="79" t="str">
        <f>V4</f>
        <v>#NA</v>
      </c>
      <c r="AA10" s="68" t="e">
        <f>VLOOKUP(Z10,STN_TABLE,2,FALSE)</f>
        <v>#N/A</v>
      </c>
      <c r="AB10" s="68">
        <v>1</v>
      </c>
      <c r="AC10" s="69" t="e">
        <f>AA10*AB10</f>
        <v>#N/A</v>
      </c>
      <c r="AD10" s="78" t="s">
        <v>171</v>
      </c>
      <c r="AE10" s="194" t="s">
        <v>168</v>
      </c>
      <c r="AF10" s="78" t="s">
        <v>98</v>
      </c>
      <c r="AG10" s="194" t="s">
        <v>168</v>
      </c>
      <c r="AH10" s="7" t="s">
        <v>77</v>
      </c>
      <c r="AI10" s="194" t="s">
        <v>168</v>
      </c>
      <c r="AJ10" s="66" t="str">
        <f t="shared" si="8"/>
        <v>3rd_UWL</v>
      </c>
      <c r="AK10" s="67" t="str">
        <f t="shared" si="8"/>
        <v>#NA</v>
      </c>
      <c r="AL10" s="82" t="e">
        <f>IF(AL8-AL9=AL9-AK12,AK12,IF(AL8-AL9=AL9-AK13,AK13,"-"))</f>
        <v>#VALUE!</v>
      </c>
      <c r="AM10" t="e">
        <f>AL10</f>
        <v>#VALUE!</v>
      </c>
      <c r="AN10" s="83" t="e">
        <f>VLOOKUP(AL10,STN_TABLE,2,FALSE)</f>
        <v>#VALUE!</v>
      </c>
      <c r="AO10" s="83">
        <v>-1</v>
      </c>
      <c r="AP10" s="83" t="e">
        <f>AN10*AO10</f>
        <v>#VALUE!</v>
      </c>
      <c r="AQ10" s="83">
        <v>-1</v>
      </c>
      <c r="AR10" s="83" t="e">
        <f>AN10*AQ10</f>
        <v>#VALUE!</v>
      </c>
      <c r="AS10" s="84" t="e">
        <f>CONCATENATE("a'(",AL8,"~",AL9,")=")</f>
        <v>#VALUE!</v>
      </c>
      <c r="AT10" s="84" t="e">
        <f>2*AT8/12*AP11</f>
        <v>#VALUE!</v>
      </c>
      <c r="AU10" s="84" t="e">
        <f>CONCATENATE("A(",AL8,")=")</f>
        <v>#VALUE!</v>
      </c>
      <c r="AV10" s="84" t="e">
        <f>VLOOKUP(AL8,STN_TABLE,3,FALSE)</f>
        <v>#VALUE!</v>
      </c>
      <c r="AW10" t="str">
        <f>CONCATENATE("A(",AL9,")=")</f>
        <v>A(#NA)=</v>
      </c>
      <c r="AX10" t="e">
        <f>AT10+AV10</f>
        <v>#VALUE!</v>
      </c>
      <c r="BA10" t="e">
        <f t="array" aca="1" ref="BA10:BL14" ca="1">IF(ISNUMBER(T27),OFFSET(M25,,,5,8),IF(ISNUMBER(AC7),OFFSET(X2,,,5,12),IF(ISNUMBER(AI11),OFFSET(X9,,,4,12),1/0)))</f>
        <v>#DIV/0!</v>
      </c>
      <c r="BB10" t="e">
        <f ca="1"/>
        <v>#DIV/0!</v>
      </c>
      <c r="BC10" t="e">
        <f ca="1"/>
        <v>#DIV/0!</v>
      </c>
      <c r="BD10" t="e">
        <f ca="1"/>
        <v>#DIV/0!</v>
      </c>
      <c r="BE10" t="e">
        <f ca="1"/>
        <v>#DIV/0!</v>
      </c>
      <c r="BF10" t="e">
        <f ca="1"/>
        <v>#DIV/0!</v>
      </c>
      <c r="BG10" s="6" t="e">
        <f ca="1"/>
        <v>#DIV/0!</v>
      </c>
      <c r="BH10" s="70" t="e">
        <f ca="1"/>
        <v>#DIV/0!</v>
      </c>
      <c r="BI10" t="e">
        <f ca="1"/>
        <v>#DIV/0!</v>
      </c>
      <c r="BJ10" t="e">
        <f ca="1"/>
        <v>#DIV/0!</v>
      </c>
      <c r="BK10" t="e">
        <f ca="1"/>
        <v>#DIV/0!</v>
      </c>
      <c r="BL10" t="e">
        <f ca="1"/>
        <v>#DIV/0!</v>
      </c>
    </row>
    <row r="11" spans="1:64" x14ac:dyDescent="0.25">
      <c r="A11">
        <v>8</v>
      </c>
      <c r="B11" s="80">
        <f t="shared" ref="B11:B17" si="9">VLOOKUP(Stn_WL,OFFSET_A,A11+1,FALSE)</f>
        <v>4</v>
      </c>
      <c r="C11" s="81">
        <f t="shared" ref="C11:C17" si="10">VLOOKUP(Station_No,OFFSET_A,A11+1,FALSE)</f>
        <v>11</v>
      </c>
      <c r="D11" s="81">
        <f t="shared" ref="D11:D17" si="11">IFERROR(VLOOKUP(CONCATENATE("A(",B11,")="),RESULT_TABLE,6,FALSE)," ")</f>
        <v>174.25333333333333</v>
      </c>
      <c r="E11" s="77">
        <f t="shared" ref="E11:E17" si="12">IFERROR(VLOOKUP(CONCATENATE("M(",B11,")="),RESULT_TABLE,6,FALSE)," ")</f>
        <v>703.13333333333333</v>
      </c>
      <c r="K11" t="s">
        <v>108</v>
      </c>
      <c r="L11" t="str">
        <f>VLOOKUP(Station_No,RISE_CALC,10,FALSE)</f>
        <v>#NA</v>
      </c>
      <c r="O11" t="str">
        <f>CONCATENATE("M(",L8,")=")</f>
        <v>M(#NA)=</v>
      </c>
      <c r="P11" t="e">
        <f>IFERROR(AX6,IFERROR(AR13,AX17))</f>
        <v>#VALUE!</v>
      </c>
      <c r="U11" s="80"/>
      <c r="V11" s="81"/>
      <c r="X11" s="194" t="s">
        <v>168</v>
      </c>
      <c r="Y11" s="194" t="s">
        <v>168</v>
      </c>
      <c r="Z11" s="88" t="str">
        <f>V5</f>
        <v>#NA</v>
      </c>
      <c r="AA11" s="82" t="e">
        <f>VLOOKUP(Z11,STN_TABLE,2,FALSE)</f>
        <v>#N/A</v>
      </c>
      <c r="AB11" s="82">
        <v>2</v>
      </c>
      <c r="AC11" s="83" t="e">
        <f>AA11*AB11</f>
        <v>#N/A</v>
      </c>
      <c r="AD11" s="84" t="str">
        <f>CONCATENATE("a'(",Z10,"~",Z11,")=")</f>
        <v>a'(#NA~#NA)=</v>
      </c>
      <c r="AE11" s="84" t="e">
        <f>2*AE9/2*AA12</f>
        <v>#VALUE!</v>
      </c>
      <c r="AF11" s="84" t="str">
        <f>CONCATENATE("A(",Z10,")=")</f>
        <v>A(#NA)=</v>
      </c>
      <c r="AG11" s="84" t="e">
        <f>IF(Z10=RisePerWLS,0,VLOOKUP(Z10,STN_TABLE,3,FALSE))</f>
        <v>#VALUE!</v>
      </c>
      <c r="AH11" t="str">
        <f>CONCATENATE("A(",Z11,")=")</f>
        <v>A(#NA)=</v>
      </c>
      <c r="AI11" t="e">
        <f>AE11+AG11</f>
        <v>#VALUE!</v>
      </c>
      <c r="AJ11" s="66" t="str">
        <f t="shared" si="8"/>
        <v>4th_UWL</v>
      </c>
      <c r="AK11" s="67" t="str">
        <f t="shared" si="8"/>
        <v>#NA</v>
      </c>
      <c r="AM11" s="194" t="s">
        <v>168</v>
      </c>
      <c r="AN11" s="194" t="s">
        <v>168</v>
      </c>
      <c r="AO11" s="6" t="s">
        <v>172</v>
      </c>
      <c r="AP11" s="89" t="e">
        <f>SUM(AP8:AP10)</f>
        <v>#VALUE!</v>
      </c>
      <c r="AQ11" s="6" t="s">
        <v>172</v>
      </c>
      <c r="AR11" s="89" t="e">
        <f>SUM(AR8:AR10)</f>
        <v>#VALUE!</v>
      </c>
      <c r="AS11" s="84" t="e">
        <f>CONCATENATE("m'(",AL8,"~",AL9,")=")</f>
        <v>#VALUE!</v>
      </c>
      <c r="AT11" s="84" t="e">
        <f>(2*(AT8^2)/24*AR11)+(AT10*AL8*WLS)</f>
        <v>#VALUE!</v>
      </c>
      <c r="AU11" s="84" t="e">
        <f>CONCATENATE("M(",AL8,")=")</f>
        <v>#VALUE!</v>
      </c>
      <c r="AV11" s="84" t="e">
        <f>VLOOKUP(AL8,STN_TABLE,4,FALSE)</f>
        <v>#VALUE!</v>
      </c>
      <c r="AW11" t="str">
        <f>CONCATENATE("M(",AL9,")=")</f>
        <v>M(#NA)=</v>
      </c>
      <c r="AX11" t="e">
        <f>AT11+AV11</f>
        <v>#VALUE!</v>
      </c>
      <c r="BA11" t="e">
        <f ca="1"/>
        <v>#DIV/0!</v>
      </c>
      <c r="BB11" t="e">
        <f ca="1"/>
        <v>#DIV/0!</v>
      </c>
      <c r="BC11" t="e">
        <f ca="1"/>
        <v>#DIV/0!</v>
      </c>
      <c r="BD11" t="e">
        <f ca="1"/>
        <v>#DIV/0!</v>
      </c>
      <c r="BE11" t="e">
        <f ca="1"/>
        <v>#DIV/0!</v>
      </c>
      <c r="BF11" t="e">
        <f ca="1"/>
        <v>#DIV/0!</v>
      </c>
      <c r="BG11" s="6" t="e">
        <f ca="1"/>
        <v>#DIV/0!</v>
      </c>
      <c r="BH11" s="70" t="e">
        <f ca="1"/>
        <v>#DIV/0!</v>
      </c>
      <c r="BI11" t="e">
        <f ca="1"/>
        <v>#DIV/0!</v>
      </c>
      <c r="BJ11" t="e">
        <f ca="1"/>
        <v>#DIV/0!</v>
      </c>
      <c r="BK11" t="e">
        <f ca="1"/>
        <v>#DIV/0!</v>
      </c>
      <c r="BL11" t="e">
        <f ca="1"/>
        <v>#DIV/0!</v>
      </c>
    </row>
    <row r="12" spans="1:64" x14ac:dyDescent="0.25">
      <c r="A12">
        <v>9</v>
      </c>
      <c r="B12" s="80">
        <f t="shared" si="9"/>
        <v>4.8499999999999996</v>
      </c>
      <c r="C12" s="81">
        <f t="shared" si="10"/>
        <v>11</v>
      </c>
      <c r="D12" s="81">
        <f t="shared" si="11"/>
        <v>211.65333333333331</v>
      </c>
      <c r="E12" s="77">
        <f t="shared" si="12"/>
        <v>1034.1233333333332</v>
      </c>
      <c r="U12" s="80"/>
      <c r="V12" s="81"/>
      <c r="X12" s="194" t="s">
        <v>168</v>
      </c>
      <c r="Y12" s="194" t="s">
        <v>168</v>
      </c>
      <c r="Z12" s="6" t="s">
        <v>172</v>
      </c>
      <c r="AA12" s="89" t="e">
        <f>SUM(AA10:AA11)</f>
        <v>#N/A</v>
      </c>
      <c r="AB12" s="6" t="s">
        <v>172</v>
      </c>
      <c r="AC12" s="89" t="e">
        <f>SUM(AC10:AC11)</f>
        <v>#N/A</v>
      </c>
      <c r="AD12" s="84" t="str">
        <f>CONCATENATE("m'(",Z10,"~",Z11,")=")</f>
        <v>m'(#NA~#NA)=</v>
      </c>
      <c r="AE12" s="84" t="e">
        <f>(2*(AE9^2)/6*AC12)+(AE11*Z10*WLS)</f>
        <v>#VALUE!</v>
      </c>
      <c r="AF12" s="84" t="str">
        <f>CONCATENATE("M(",Z10,")=")</f>
        <v>M(#NA)=</v>
      </c>
      <c r="AG12" s="84" t="e">
        <f>IF(Z10=RisePerWLS,0,VLOOKUP(Z10,STN_TABLE,4,FALSE))</f>
        <v>#VALUE!</v>
      </c>
      <c r="AH12" t="str">
        <f>CONCATENATE("M(",Z11,")=")</f>
        <v>M(#NA)=</v>
      </c>
      <c r="AI12" t="e">
        <f>AE12+AG12</f>
        <v>#VALUE!</v>
      </c>
      <c r="AJ12" s="66" t="str">
        <f t="shared" si="8"/>
        <v>5th_UWL</v>
      </c>
      <c r="AK12" s="67" t="str">
        <f t="shared" si="8"/>
        <v>#NA</v>
      </c>
      <c r="AO12" t="s">
        <v>103</v>
      </c>
      <c r="AQ12" t="str">
        <f>CONCATENATE("A(",AL9,")=")</f>
        <v>A(#NA)=</v>
      </c>
      <c r="AR12" t="e">
        <f>IF(OR(AX10&lt;=0,AX11&lt;=0),1/0,AX10)</f>
        <v>#VALUE!</v>
      </c>
      <c r="BA12" t="e">
        <f ca="1"/>
        <v>#DIV/0!</v>
      </c>
      <c r="BB12" t="e">
        <f ca="1"/>
        <v>#DIV/0!</v>
      </c>
      <c r="BC12" t="e">
        <f ca="1"/>
        <v>#DIV/0!</v>
      </c>
      <c r="BD12" t="e">
        <f ca="1"/>
        <v>#DIV/0!</v>
      </c>
      <c r="BE12" t="e">
        <f ca="1"/>
        <v>#DIV/0!</v>
      </c>
      <c r="BF12" t="e">
        <f ca="1"/>
        <v>#DIV/0!</v>
      </c>
      <c r="BG12" s="6" t="e">
        <f ca="1"/>
        <v>#DIV/0!</v>
      </c>
      <c r="BH12" s="70" t="e">
        <f ca="1"/>
        <v>#DIV/0!</v>
      </c>
      <c r="BI12" t="e">
        <f ca="1"/>
        <v>#DIV/0!</v>
      </c>
      <c r="BJ12" t="e">
        <f ca="1"/>
        <v>#DIV/0!</v>
      </c>
      <c r="BK12" t="e">
        <f ca="1"/>
        <v>#DIV/0!</v>
      </c>
      <c r="BL12" t="e">
        <f ca="1"/>
        <v>#DIV/0!</v>
      </c>
    </row>
    <row r="13" spans="1:64" ht="18" x14ac:dyDescent="0.35">
      <c r="A13">
        <v>10</v>
      </c>
      <c r="B13" s="80">
        <f t="shared" si="9"/>
        <v>5</v>
      </c>
      <c r="C13" s="81">
        <f t="shared" si="10"/>
        <v>11</v>
      </c>
      <c r="D13" s="81">
        <f t="shared" si="11"/>
        <v>218.25333333333333</v>
      </c>
      <c r="E13" s="77">
        <f t="shared" si="12"/>
        <v>1099.1333333333332</v>
      </c>
      <c r="J13" s="71" t="s">
        <v>110</v>
      </c>
      <c r="M13" t="s">
        <v>0</v>
      </c>
      <c r="N13" t="s">
        <v>95</v>
      </c>
      <c r="O13" t="s">
        <v>164</v>
      </c>
      <c r="P13" t="s">
        <v>165</v>
      </c>
      <c r="Q13" t="s">
        <v>166</v>
      </c>
      <c r="R13" t="s">
        <v>167</v>
      </c>
      <c r="S13" t="s">
        <v>93</v>
      </c>
      <c r="T13" t="e">
        <f>IF(AND(NOT(AND(N14=0,N15=0)),L14&lt;&gt;L15,L15&lt;&gt;L16,L16-L15=L15-L14),(L16-L15)*WLS,"#NA")</f>
        <v>#N/A</v>
      </c>
      <c r="U13" s="90" t="s">
        <v>109</v>
      </c>
      <c r="V13" s="81"/>
      <c r="X13" t="s">
        <v>0</v>
      </c>
      <c r="Y13" t="s">
        <v>95</v>
      </c>
      <c r="Z13" t="s">
        <v>164</v>
      </c>
      <c r="AA13" t="s">
        <v>165</v>
      </c>
      <c r="AB13" t="s">
        <v>13</v>
      </c>
      <c r="AC13" t="s">
        <v>169</v>
      </c>
      <c r="AD13" s="194" t="s">
        <v>168</v>
      </c>
      <c r="AE13" s="194" t="s">
        <v>168</v>
      </c>
      <c r="AF13" s="194" t="s">
        <v>168</v>
      </c>
      <c r="AG13" s="194" t="s">
        <v>168</v>
      </c>
      <c r="AH13" s="194" t="s">
        <v>168</v>
      </c>
      <c r="AI13" s="194" t="s">
        <v>168</v>
      </c>
      <c r="AJ13" s="66" t="str">
        <f t="shared" si="8"/>
        <v>6th_UWL</v>
      </c>
      <c r="AK13" s="67" t="str">
        <f t="shared" si="8"/>
        <v>#NA</v>
      </c>
      <c r="AQ13" t="str">
        <f>CONCATENATE("M(",AL9,")=")</f>
        <v>M(#NA)=</v>
      </c>
      <c r="AR13" t="e">
        <f>IF(OR(AX10&lt;=0,AX11&lt;=0),1/0,AX11)</f>
        <v>#VALUE!</v>
      </c>
      <c r="BA13" t="e">
        <f ca="1"/>
        <v>#DIV/0!</v>
      </c>
      <c r="BB13" t="e">
        <f ca="1"/>
        <v>#DIV/0!</v>
      </c>
      <c r="BC13" t="e">
        <f ca="1"/>
        <v>#DIV/0!</v>
      </c>
      <c r="BD13" t="e">
        <f ca="1"/>
        <v>#DIV/0!</v>
      </c>
      <c r="BE13" t="e">
        <f ca="1"/>
        <v>#DIV/0!</v>
      </c>
      <c r="BF13" t="e">
        <f ca="1"/>
        <v>#DIV/0!</v>
      </c>
      <c r="BG13" s="6" t="e">
        <f ca="1"/>
        <v>#DIV/0!</v>
      </c>
      <c r="BH13" s="70" t="e">
        <f ca="1"/>
        <v>#DIV/0!</v>
      </c>
      <c r="BI13" t="e">
        <f ca="1"/>
        <v>#DIV/0!</v>
      </c>
      <c r="BJ13" t="e">
        <f ca="1"/>
        <v>#DIV/0!</v>
      </c>
      <c r="BK13" t="e">
        <f ca="1"/>
        <v>#DIV/0!</v>
      </c>
      <c r="BL13" t="e">
        <f ca="1"/>
        <v>#DIV/0!</v>
      </c>
    </row>
    <row r="14" spans="1:64" ht="18" x14ac:dyDescent="0.35">
      <c r="A14">
        <v>11</v>
      </c>
      <c r="B14" s="80">
        <f t="shared" si="9"/>
        <v>6</v>
      </c>
      <c r="C14" s="81">
        <f t="shared" si="10"/>
        <v>11</v>
      </c>
      <c r="D14" s="81">
        <f t="shared" si="11"/>
        <v>262.25333333333333</v>
      </c>
      <c r="E14" s="77">
        <f t="shared" si="12"/>
        <v>1583.1333333333332</v>
      </c>
      <c r="J14" s="91" t="str">
        <f>K4</f>
        <v>Rise</v>
      </c>
      <c r="K14" s="91" t="e">
        <f>RisePerWLS</f>
        <v>#VALUE!</v>
      </c>
      <c r="L14" s="68" t="e">
        <f>K14</f>
        <v>#VALUE!</v>
      </c>
      <c r="M14" t="e">
        <f>CONCATENATE(L14,"(Rise)")</f>
        <v>#VALUE!</v>
      </c>
      <c r="N14" s="69">
        <v>0</v>
      </c>
      <c r="O14" s="69">
        <v>5</v>
      </c>
      <c r="P14" s="69">
        <f>N14*O14</f>
        <v>0</v>
      </c>
      <c r="Q14" s="69">
        <v>3</v>
      </c>
      <c r="R14" s="69">
        <f>N14*Q14</f>
        <v>0</v>
      </c>
      <c r="S14" s="194" t="s">
        <v>168</v>
      </c>
      <c r="T14" s="194" t="s">
        <v>168</v>
      </c>
      <c r="U14" s="66" t="str">
        <f t="shared" ref="U14:V17" si="13">K4</f>
        <v>Rise</v>
      </c>
      <c r="V14" s="67" t="e">
        <f t="shared" si="13"/>
        <v>#VALUE!</v>
      </c>
      <c r="W14" s="68" t="e">
        <f>IF(V17-V16=V16-V15,V15,IF(V17-V15=V15-V14,V14,"-"))</f>
        <v>#VALUE!</v>
      </c>
      <c r="X14" t="e">
        <f>IF(V14=W14,CONCATENATE(V14,"(Rise)"),W14)</f>
        <v>#VALUE!</v>
      </c>
      <c r="Y14" s="69" t="e">
        <f>IFERROR(VLOOKUP(W14,STN_TABLE,2,FALSE),IF(V14=RisePerWLS,0,"-"))</f>
        <v>#VALUE!</v>
      </c>
      <c r="Z14" s="69">
        <v>1</v>
      </c>
      <c r="AA14" s="69" t="e">
        <f>Y14*Z14</f>
        <v>#VALUE!</v>
      </c>
      <c r="AB14" s="69" t="e">
        <f>W14</f>
        <v>#VALUE!</v>
      </c>
      <c r="AC14" s="69" t="e">
        <f>AA14*AB14</f>
        <v>#VALUE!</v>
      </c>
      <c r="AD14" s="6" t="s">
        <v>93</v>
      </c>
      <c r="AE14" s="70" t="e">
        <f>IF(AND(Y14=0,Y15=0,Y16=0),WLS*(W16-W15),IF(AND(W16-W15=W15-W14,W15&lt;&gt;W16,W14&lt;&gt;W15,W14&lt;&gt;W16,Y16&lt;&gt;0,OR(Y14&lt;&gt;0,Y15&lt;&gt;0)),WLS*(W16-W15),"#NA"))</f>
        <v>#VALUE!</v>
      </c>
      <c r="AF14" s="194" t="s">
        <v>168</v>
      </c>
      <c r="AG14" s="194" t="s">
        <v>168</v>
      </c>
      <c r="AH14" s="194" t="s">
        <v>168</v>
      </c>
      <c r="AI14" s="194" t="s">
        <v>168</v>
      </c>
      <c r="AJ14" s="66"/>
      <c r="AK14" s="67"/>
      <c r="AM14" t="s">
        <v>0</v>
      </c>
      <c r="AN14" t="s">
        <v>95</v>
      </c>
      <c r="AO14" t="s">
        <v>173</v>
      </c>
      <c r="AP14" t="s">
        <v>174</v>
      </c>
      <c r="AQ14" t="s">
        <v>175</v>
      </c>
      <c r="AR14" t="s">
        <v>176</v>
      </c>
      <c r="AS14" s="6" t="s">
        <v>93</v>
      </c>
      <c r="AT14" s="70" t="e">
        <f>WLS*(AO16-AO15)</f>
        <v>#VALUE!</v>
      </c>
      <c r="AU14" s="194" t="s">
        <v>168</v>
      </c>
      <c r="AV14" s="194" t="s">
        <v>168</v>
      </c>
      <c r="AW14" s="194" t="s">
        <v>168</v>
      </c>
      <c r="AX14" s="194" t="s">
        <v>168</v>
      </c>
      <c r="BA14" t="e">
        <f ca="1"/>
        <v>#DIV/0!</v>
      </c>
      <c r="BB14" t="e">
        <f ca="1"/>
        <v>#DIV/0!</v>
      </c>
      <c r="BC14" t="e">
        <f ca="1"/>
        <v>#DIV/0!</v>
      </c>
      <c r="BD14" t="e">
        <f ca="1"/>
        <v>#DIV/0!</v>
      </c>
      <c r="BE14" t="e">
        <f ca="1"/>
        <v>#DIV/0!</v>
      </c>
      <c r="BF14" t="e">
        <f ca="1"/>
        <v>#DIV/0!</v>
      </c>
      <c r="BG14" s="6" t="e">
        <f ca="1"/>
        <v>#DIV/0!</v>
      </c>
      <c r="BH14" s="70" t="e">
        <f ca="1"/>
        <v>#DIV/0!</v>
      </c>
      <c r="BI14" t="e">
        <f ca="1"/>
        <v>#DIV/0!</v>
      </c>
      <c r="BJ14" t="e">
        <f ca="1"/>
        <v>#DIV/0!</v>
      </c>
      <c r="BK14" t="e">
        <f ca="1"/>
        <v>#DIV/0!</v>
      </c>
      <c r="BL14" t="e">
        <f ca="1"/>
        <v>#DIV/0!</v>
      </c>
    </row>
    <row r="15" spans="1:64" x14ac:dyDescent="0.25">
      <c r="A15">
        <v>12</v>
      </c>
      <c r="B15" s="80">
        <f t="shared" si="9"/>
        <v>6.5</v>
      </c>
      <c r="C15" s="81">
        <f t="shared" si="10"/>
        <v>11</v>
      </c>
      <c r="D15" s="81">
        <f t="shared" si="11"/>
        <v>284.25333333333333</v>
      </c>
      <c r="E15" s="77">
        <f t="shared" si="12"/>
        <v>1858.1333333333332</v>
      </c>
      <c r="J15" s="91" t="str">
        <f>K5</f>
        <v>1st_UWL</v>
      </c>
      <c r="K15" s="91" t="str">
        <f>L5</f>
        <v>#NA</v>
      </c>
      <c r="L15" s="76" t="str">
        <f>K15</f>
        <v>#NA</v>
      </c>
      <c r="M15" t="str">
        <f>L15</f>
        <v>#NA</v>
      </c>
      <c r="N15" s="77" t="e">
        <f>VLOOKUP(L15,STN_TABLE,2,FALSE)</f>
        <v>#N/A</v>
      </c>
      <c r="O15" s="77">
        <v>8</v>
      </c>
      <c r="P15" s="77" t="e">
        <f>N15*O15</f>
        <v>#N/A</v>
      </c>
      <c r="Q15" s="77">
        <v>10</v>
      </c>
      <c r="R15" s="77" t="e">
        <f>N15*Q15</f>
        <v>#N/A</v>
      </c>
      <c r="S15" t="str">
        <f>CONCATENATE("A(",L15,")=")</f>
        <v>A(#NA)=</v>
      </c>
      <c r="T15" t="e">
        <f>2*T13/12*P17</f>
        <v>#N/A</v>
      </c>
      <c r="U15" s="66" t="str">
        <f t="shared" si="13"/>
        <v>1st_UWL</v>
      </c>
      <c r="V15" s="67" t="str">
        <f t="shared" si="13"/>
        <v>#NA</v>
      </c>
      <c r="W15" s="76" t="e">
        <f>IF(V17-V16=V16-V15,V16,IF(V17-V15=V15-V14,V15,"-"))</f>
        <v>#VALUE!</v>
      </c>
      <c r="X15" t="e">
        <f>W15</f>
        <v>#VALUE!</v>
      </c>
      <c r="Y15" s="77" t="e">
        <f>VLOOKUP(W15,STN_TABLE,2,FALSE)</f>
        <v>#VALUE!</v>
      </c>
      <c r="Z15" s="77">
        <v>4</v>
      </c>
      <c r="AA15" s="77" t="e">
        <f>Y15*Z15</f>
        <v>#VALUE!</v>
      </c>
      <c r="AB15" s="77" t="e">
        <f>W15</f>
        <v>#VALUE!</v>
      </c>
      <c r="AC15" s="77" t="e">
        <f>AA15*AB15</f>
        <v>#VALUE!</v>
      </c>
      <c r="AD15" s="78" t="s">
        <v>171</v>
      </c>
      <c r="AE15" s="194" t="s">
        <v>168</v>
      </c>
      <c r="AF15" s="78" t="s">
        <v>98</v>
      </c>
      <c r="AG15" s="194" t="s">
        <v>168</v>
      </c>
      <c r="AH15" s="7" t="s">
        <v>77</v>
      </c>
      <c r="AI15" s="194" t="s">
        <v>168</v>
      </c>
      <c r="AJ15" s="80"/>
      <c r="AM15" s="194" t="s">
        <v>168</v>
      </c>
      <c r="AN15" s="194" t="s">
        <v>168</v>
      </c>
      <c r="AO15" s="79" t="str">
        <f>AK10</f>
        <v>#NA</v>
      </c>
      <c r="AP15" s="68" t="e">
        <f>VLOOKUP(AO15,STN_TABLE,2,FALSE)</f>
        <v>#N/A</v>
      </c>
      <c r="AQ15" s="68">
        <v>1</v>
      </c>
      <c r="AR15" s="69" t="e">
        <f>AP15*AQ15</f>
        <v>#N/A</v>
      </c>
      <c r="AS15" s="78" t="s">
        <v>171</v>
      </c>
      <c r="AT15" s="194" t="s">
        <v>168</v>
      </c>
      <c r="AU15" s="78" t="s">
        <v>98</v>
      </c>
      <c r="AV15" s="194" t="s">
        <v>168</v>
      </c>
      <c r="AW15" s="7" t="s">
        <v>77</v>
      </c>
      <c r="AX15" s="194" t="s">
        <v>168</v>
      </c>
    </row>
    <row r="16" spans="1:64" x14ac:dyDescent="0.25">
      <c r="A16">
        <v>13</v>
      </c>
      <c r="B16" s="80" t="str">
        <f t="shared" si="9"/>
        <v xml:space="preserve">  </v>
      </c>
      <c r="C16" s="81" t="str">
        <f t="shared" si="10"/>
        <v xml:space="preserve">  </v>
      </c>
      <c r="D16" s="81" t="str">
        <f t="shared" si="11"/>
        <v xml:space="preserve"> </v>
      </c>
      <c r="E16" s="77" t="str">
        <f t="shared" si="12"/>
        <v xml:space="preserve"> </v>
      </c>
      <c r="J16" s="91" t="str">
        <f>K6</f>
        <v>2nd_UWL</v>
      </c>
      <c r="K16" s="91" t="str">
        <f>L6</f>
        <v>#NA</v>
      </c>
      <c r="L16" s="82" t="e">
        <f>IF(K16-K15=K15-K14,K16,"#NA")</f>
        <v>#VALUE!</v>
      </c>
      <c r="M16" t="e">
        <f>L16</f>
        <v>#VALUE!</v>
      </c>
      <c r="N16" s="83" t="e">
        <f>VLOOKUP(L16,STN_TABLE,2,FALSE)</f>
        <v>#VALUE!</v>
      </c>
      <c r="O16" s="83">
        <v>-1</v>
      </c>
      <c r="P16" s="83" t="e">
        <f>N16*O16</f>
        <v>#VALUE!</v>
      </c>
      <c r="Q16" s="83">
        <v>-1</v>
      </c>
      <c r="R16" s="83" t="e">
        <f>N16*Q16</f>
        <v>#VALUE!</v>
      </c>
      <c r="S16" t="str">
        <f>CONCATENATE("M(",L15,")=")</f>
        <v>M(#NA)=</v>
      </c>
      <c r="T16" t="e">
        <f>(2*(T13^2)/24*R17)+T15*L14*WLS</f>
        <v>#N/A</v>
      </c>
      <c r="U16" s="66" t="str">
        <f t="shared" si="13"/>
        <v>2nd_UWL</v>
      </c>
      <c r="V16" s="67" t="str">
        <f t="shared" si="13"/>
        <v>#NA</v>
      </c>
      <c r="W16" s="82" t="str">
        <f>V17</f>
        <v>#NA</v>
      </c>
      <c r="X16" t="str">
        <f>W16</f>
        <v>#NA</v>
      </c>
      <c r="Y16" s="83" t="e">
        <f>VLOOKUP(W16,STN_TABLE,2,FALSE)</f>
        <v>#N/A</v>
      </c>
      <c r="Z16" s="83">
        <v>1</v>
      </c>
      <c r="AA16" s="83" t="e">
        <f>Y16*Z16</f>
        <v>#N/A</v>
      </c>
      <c r="AB16" s="83" t="str">
        <f>W16</f>
        <v>#NA</v>
      </c>
      <c r="AC16" s="83" t="e">
        <f>AA16*AB16</f>
        <v>#N/A</v>
      </c>
      <c r="AD16" s="84" t="e">
        <f>CONCATENATE("a'(",W14,"~",W16,")=")</f>
        <v>#VALUE!</v>
      </c>
      <c r="AE16" s="84" t="e">
        <f>2*AE14/3*AA17</f>
        <v>#VALUE!</v>
      </c>
      <c r="AF16" s="84" t="e">
        <f>CONCATENATE("A(",W14,")=")</f>
        <v>#VALUE!</v>
      </c>
      <c r="AG16" s="84" t="e">
        <f>IF(W14=RisePerWLS,0,VLOOKUP(W14,STN_TABLE,3,FALSE))</f>
        <v>#VALUE!</v>
      </c>
      <c r="AH16" t="str">
        <f>CONCATENATE("A(",W16,")=")</f>
        <v>A(#NA)=</v>
      </c>
      <c r="AI16" t="e">
        <f>AE16+AG16</f>
        <v>#VALUE!</v>
      </c>
      <c r="AJ16" s="80"/>
      <c r="AM16" s="194" t="s">
        <v>168</v>
      </c>
      <c r="AN16" s="194" t="s">
        <v>168</v>
      </c>
      <c r="AO16" s="88" t="str">
        <f>AK11</f>
        <v>#NA</v>
      </c>
      <c r="AP16" s="82" t="e">
        <f>VLOOKUP(AO16,STN_TABLE,2,FALSE)</f>
        <v>#N/A</v>
      </c>
      <c r="AQ16" s="82">
        <v>2</v>
      </c>
      <c r="AR16" s="83" t="e">
        <f>AP16*AQ16</f>
        <v>#N/A</v>
      </c>
      <c r="AS16" s="84" t="str">
        <f>CONCATENATE("a'(",AO15,"~",AO16,")=")</f>
        <v>a'(#NA~#NA)=</v>
      </c>
      <c r="AT16" s="84" t="e">
        <f>2*AT14/2*AP17</f>
        <v>#VALUE!</v>
      </c>
      <c r="AU16" s="84" t="str">
        <f>CONCATENATE("A(",AO15,")=")</f>
        <v>A(#NA)=</v>
      </c>
      <c r="AV16" s="84" t="e">
        <f>IF(AO15=RisePerWLS,0,VLOOKUP(AO15,STN_TABLE,3,FALSE))</f>
        <v>#VALUE!</v>
      </c>
      <c r="AW16" t="str">
        <f>CONCATENATE("A(",AO16,")=")</f>
        <v>A(#NA)=</v>
      </c>
      <c r="AX16" t="e">
        <f>AT16+AV16</f>
        <v>#VALUE!</v>
      </c>
      <c r="BA16" t="s">
        <v>178</v>
      </c>
    </row>
    <row r="17" spans="1:64" x14ac:dyDescent="0.25">
      <c r="A17">
        <v>14</v>
      </c>
      <c r="B17" s="80" t="str">
        <f t="shared" si="9"/>
        <v xml:space="preserve">  </v>
      </c>
      <c r="C17" s="81" t="str">
        <f t="shared" si="10"/>
        <v xml:space="preserve">  </v>
      </c>
      <c r="D17" s="81" t="str">
        <f t="shared" si="11"/>
        <v xml:space="preserve"> </v>
      </c>
      <c r="E17" s="77" t="str">
        <f t="shared" si="12"/>
        <v xml:space="preserve"> </v>
      </c>
      <c r="K17" s="91"/>
      <c r="L17" s="91"/>
      <c r="M17" s="194" t="s">
        <v>168</v>
      </c>
      <c r="N17" s="194" t="s">
        <v>168</v>
      </c>
      <c r="O17" s="6" t="s">
        <v>172</v>
      </c>
      <c r="P17" s="89" t="e">
        <f>SUM(P14:P16)</f>
        <v>#N/A</v>
      </c>
      <c r="Q17" s="6" t="s">
        <v>172</v>
      </c>
      <c r="R17" s="89" t="e">
        <f>SUM(R14:R16)</f>
        <v>#N/A</v>
      </c>
      <c r="S17" s="194" t="s">
        <v>168</v>
      </c>
      <c r="T17" s="194" t="s">
        <v>168</v>
      </c>
      <c r="U17" s="66" t="str">
        <f t="shared" si="13"/>
        <v>3rd_UWL</v>
      </c>
      <c r="V17" s="67" t="str">
        <f t="shared" si="13"/>
        <v>#NA</v>
      </c>
      <c r="X17" s="194" t="s">
        <v>168</v>
      </c>
      <c r="Y17" s="194" t="s">
        <v>168</v>
      </c>
      <c r="Z17" s="6" t="s">
        <v>172</v>
      </c>
      <c r="AA17" s="89" t="e">
        <f>SUM(AA14:AA16)</f>
        <v>#VALUE!</v>
      </c>
      <c r="AB17" s="6" t="s">
        <v>172</v>
      </c>
      <c r="AC17" s="89" t="e">
        <f>SUM(AC14:AC16)</f>
        <v>#VALUE!</v>
      </c>
      <c r="AD17" s="84" t="e">
        <f>CONCATENATE("m'(",W14,"~",W16,")=")</f>
        <v>#VALUE!</v>
      </c>
      <c r="AE17" s="84" t="e">
        <f>2*(AE14*WLS)/3*AC17</f>
        <v>#VALUE!</v>
      </c>
      <c r="AF17" s="84" t="e">
        <f>CONCATENATE("M(",W14,")=")</f>
        <v>#VALUE!</v>
      </c>
      <c r="AG17" s="84" t="e">
        <f>IF(W14=RisePerWLS,0,VLOOKUP(W14,STN_TABLE,4,FALSE))</f>
        <v>#VALUE!</v>
      </c>
      <c r="AH17" t="str">
        <f>CONCATENATE("M(",W16,")=")</f>
        <v>M(#NA)=</v>
      </c>
      <c r="AI17" t="e">
        <f>AE17+AG17</f>
        <v>#VALUE!</v>
      </c>
      <c r="AJ17" s="90"/>
      <c r="AM17" s="194" t="s">
        <v>168</v>
      </c>
      <c r="AN17" s="194" t="s">
        <v>168</v>
      </c>
      <c r="AO17" s="6" t="s">
        <v>172</v>
      </c>
      <c r="AP17" s="89" t="e">
        <f>SUM(AP15:AP16)</f>
        <v>#N/A</v>
      </c>
      <c r="AQ17" s="6" t="s">
        <v>172</v>
      </c>
      <c r="AR17" s="89" t="e">
        <f>SUM(AR15:AR16)</f>
        <v>#N/A</v>
      </c>
      <c r="AS17" s="84" t="str">
        <f>CONCATENATE("m'(",AO15,"~",AO16,")=")</f>
        <v>m'(#NA~#NA)=</v>
      </c>
      <c r="AT17" s="84" t="e">
        <f>(2*(AT14^2)/6*AR17)+(AT16*AO15*WLS)</f>
        <v>#VALUE!</v>
      </c>
      <c r="AU17" s="84" t="str">
        <f>CONCATENATE("M(",AO15,")=")</f>
        <v>M(#NA)=</v>
      </c>
      <c r="AV17" s="84" t="e">
        <f>IF(AO15=RisePerWLS,0,VLOOKUP(AO15,STN_TABLE,4,FALSE))</f>
        <v>#VALUE!</v>
      </c>
      <c r="AW17" t="str">
        <f>CONCATENATE("M(",AO16,")=")</f>
        <v>M(#NA)=</v>
      </c>
      <c r="AX17" t="e">
        <f>AT17+AV17</f>
        <v>#VALUE!</v>
      </c>
      <c r="BA17" t="e">
        <f t="array" aca="1" ref="BA17:BL21" ca="1">IF(ISNUMBER(AI16),OFFSET(X13,,,5,12),IF(ISNUMBER(AI23),OFFSET(X20,,,5,12),IF(ISNUMBER(AI29),OFFSET(X27,,,4,12),1/0)))</f>
        <v>#DIV/0!</v>
      </c>
      <c r="BB17" t="e">
        <f ca="1"/>
        <v>#DIV/0!</v>
      </c>
      <c r="BC17" t="e">
        <f ca="1"/>
        <v>#DIV/0!</v>
      </c>
      <c r="BD17" t="e">
        <f ca="1"/>
        <v>#DIV/0!</v>
      </c>
      <c r="BE17" t="e">
        <f ca="1"/>
        <v>#DIV/0!</v>
      </c>
      <c r="BF17" t="e">
        <f ca="1"/>
        <v>#DIV/0!</v>
      </c>
      <c r="BG17" s="6" t="e">
        <f ca="1"/>
        <v>#DIV/0!</v>
      </c>
      <c r="BH17" s="70" t="e">
        <f ca="1"/>
        <v>#DIV/0!</v>
      </c>
      <c r="BI17" t="e">
        <f ca="1"/>
        <v>#DIV/0!</v>
      </c>
      <c r="BJ17" t="e">
        <f ca="1"/>
        <v>#DIV/0!</v>
      </c>
      <c r="BK17" t="e">
        <f ca="1"/>
        <v>#DIV/0!</v>
      </c>
      <c r="BL17" t="e">
        <f ca="1"/>
        <v>#DIV/0!</v>
      </c>
    </row>
    <row r="18" spans="1:64" x14ac:dyDescent="0.25">
      <c r="A18">
        <v>15</v>
      </c>
      <c r="B18" s="80" t="str">
        <f t="shared" ref="B18:B24" si="14">VLOOKUP(Stn_WL,OFFSET_A,A18+1,FALSE)</f>
        <v xml:space="preserve">  </v>
      </c>
      <c r="C18" s="81" t="str">
        <f t="shared" ref="C18:C24" si="15">VLOOKUP(Station_No,OFFSET_A,A18+1,FALSE)</f>
        <v xml:space="preserve">  </v>
      </c>
      <c r="D18" s="81" t="str">
        <f t="shared" ref="D18:D24" si="16">IFERROR(VLOOKUP(CONCATENATE("A(",B18,")="),RESULT_TABLE,6,FALSE)," ")</f>
        <v xml:space="preserve"> </v>
      </c>
      <c r="E18" s="77" t="str">
        <f t="shared" ref="E18:E24" si="17">IFERROR(VLOOKUP(CONCATENATE("M(",B18,")="),RESULT_TABLE,6,FALSE)," ")</f>
        <v xml:space="preserve"> </v>
      </c>
      <c r="K18" s="91"/>
      <c r="L18" s="91"/>
      <c r="O18" t="s">
        <v>103</v>
      </c>
      <c r="Q18" t="str">
        <f>CONCATENATE("A(",L15,")=")</f>
        <v>A(#NA)=</v>
      </c>
      <c r="R18" t="e">
        <f>IF(OR(T15&lt;=0,T16&lt;=0),1/0,T15)</f>
        <v>#N/A</v>
      </c>
      <c r="U18" s="66"/>
      <c r="V18" s="67"/>
      <c r="AJ18" s="80"/>
      <c r="BA18" t="e">
        <f ca="1"/>
        <v>#DIV/0!</v>
      </c>
      <c r="BB18" t="e">
        <f ca="1"/>
        <v>#DIV/0!</v>
      </c>
      <c r="BC18" t="e">
        <f ca="1"/>
        <v>#DIV/0!</v>
      </c>
      <c r="BD18" t="e">
        <f ca="1"/>
        <v>#DIV/0!</v>
      </c>
      <c r="BE18" t="e">
        <f ca="1"/>
        <v>#DIV/0!</v>
      </c>
      <c r="BF18" t="e">
        <f ca="1"/>
        <v>#DIV/0!</v>
      </c>
      <c r="BG18" s="6" t="e">
        <f ca="1"/>
        <v>#DIV/0!</v>
      </c>
      <c r="BH18" s="70" t="e">
        <f ca="1"/>
        <v>#DIV/0!</v>
      </c>
      <c r="BI18" t="e">
        <f ca="1"/>
        <v>#DIV/0!</v>
      </c>
      <c r="BJ18" t="e">
        <f ca="1"/>
        <v>#DIV/0!</v>
      </c>
      <c r="BK18" t="e">
        <f ca="1"/>
        <v>#DIV/0!</v>
      </c>
      <c r="BL18" t="e">
        <f ca="1"/>
        <v>#DIV/0!</v>
      </c>
    </row>
    <row r="19" spans="1:64" x14ac:dyDescent="0.25">
      <c r="A19">
        <v>16</v>
      </c>
      <c r="B19" s="80" t="str">
        <f t="shared" si="14"/>
        <v xml:space="preserve">  </v>
      </c>
      <c r="C19" s="81" t="str">
        <f t="shared" si="15"/>
        <v xml:space="preserve">  </v>
      </c>
      <c r="D19" s="81" t="str">
        <f t="shared" si="16"/>
        <v xml:space="preserve"> </v>
      </c>
      <c r="E19" s="77" t="str">
        <f t="shared" si="17"/>
        <v xml:space="preserve"> </v>
      </c>
      <c r="K19" s="91"/>
      <c r="L19" s="91"/>
      <c r="Q19" t="str">
        <f>CONCATENATE("M(",L15,")=")</f>
        <v>M(#NA)=</v>
      </c>
      <c r="R19" t="e">
        <f>IF(OR(T15&lt;=0,T16&lt;=0),1/0,T16)</f>
        <v>#N/A</v>
      </c>
      <c r="U19" s="66"/>
      <c r="V19" s="67"/>
      <c r="AJ19" s="80"/>
      <c r="BA19" t="e">
        <f ca="1"/>
        <v>#DIV/0!</v>
      </c>
      <c r="BB19" t="e">
        <f ca="1"/>
        <v>#DIV/0!</v>
      </c>
      <c r="BC19" t="e">
        <f ca="1"/>
        <v>#DIV/0!</v>
      </c>
      <c r="BD19" t="e">
        <f ca="1"/>
        <v>#DIV/0!</v>
      </c>
      <c r="BE19" t="e">
        <f ca="1"/>
        <v>#DIV/0!</v>
      </c>
      <c r="BF19" t="e">
        <f ca="1"/>
        <v>#DIV/0!</v>
      </c>
      <c r="BG19" s="6" t="e">
        <f ca="1"/>
        <v>#DIV/0!</v>
      </c>
      <c r="BH19" s="70" t="e">
        <f ca="1"/>
        <v>#DIV/0!</v>
      </c>
      <c r="BI19" t="e">
        <f ca="1"/>
        <v>#DIV/0!</v>
      </c>
      <c r="BJ19" t="e">
        <f ca="1"/>
        <v>#DIV/0!</v>
      </c>
      <c r="BK19" t="e">
        <f ca="1"/>
        <v>#DIV/0!</v>
      </c>
      <c r="BL19" t="e">
        <f ca="1"/>
        <v>#DIV/0!</v>
      </c>
    </row>
    <row r="20" spans="1:64" ht="18" x14ac:dyDescent="0.35">
      <c r="A20">
        <v>17</v>
      </c>
      <c r="B20" s="80" t="str">
        <f t="shared" si="14"/>
        <v xml:space="preserve">  </v>
      </c>
      <c r="C20" s="81" t="str">
        <f t="shared" si="15"/>
        <v xml:space="preserve">  </v>
      </c>
      <c r="D20" s="81" t="str">
        <f t="shared" si="16"/>
        <v xml:space="preserve"> </v>
      </c>
      <c r="E20" s="77" t="str">
        <f t="shared" si="17"/>
        <v xml:space="preserve"> </v>
      </c>
      <c r="K20" s="91"/>
      <c r="L20" s="91"/>
      <c r="M20" t="s">
        <v>0</v>
      </c>
      <c r="N20" t="s">
        <v>95</v>
      </c>
      <c r="O20" t="s">
        <v>173</v>
      </c>
      <c r="P20" t="s">
        <v>174</v>
      </c>
      <c r="Q20" t="s">
        <v>175</v>
      </c>
      <c r="R20" t="s">
        <v>176</v>
      </c>
      <c r="S20" t="s">
        <v>93</v>
      </c>
      <c r="T20" t="e">
        <f>(L22-L21)*WLS</f>
        <v>#VALUE!</v>
      </c>
      <c r="U20" s="66"/>
      <c r="V20" s="67"/>
      <c r="X20" t="s">
        <v>0</v>
      </c>
      <c r="Y20" t="s">
        <v>95</v>
      </c>
      <c r="Z20" t="s">
        <v>164</v>
      </c>
      <c r="AA20" t="s">
        <v>165</v>
      </c>
      <c r="AB20" t="s">
        <v>166</v>
      </c>
      <c r="AC20" t="s">
        <v>167</v>
      </c>
      <c r="AD20" s="194" t="s">
        <v>168</v>
      </c>
      <c r="AE20" s="194" t="s">
        <v>168</v>
      </c>
      <c r="AF20" s="194" t="s">
        <v>168</v>
      </c>
      <c r="AG20" s="194" t="s">
        <v>168</v>
      </c>
      <c r="AH20" s="194" t="s">
        <v>168</v>
      </c>
      <c r="AI20" s="194" t="s">
        <v>168</v>
      </c>
      <c r="AJ20" s="80"/>
      <c r="BA20" t="e">
        <f ca="1"/>
        <v>#DIV/0!</v>
      </c>
      <c r="BB20" t="e">
        <f ca="1"/>
        <v>#DIV/0!</v>
      </c>
      <c r="BC20" t="e">
        <f ca="1"/>
        <v>#DIV/0!</v>
      </c>
      <c r="BD20" t="e">
        <f ca="1"/>
        <v>#DIV/0!</v>
      </c>
      <c r="BE20" t="e">
        <f ca="1"/>
        <v>#DIV/0!</v>
      </c>
      <c r="BF20" t="e">
        <f ca="1"/>
        <v>#DIV/0!</v>
      </c>
      <c r="BG20" s="6" t="e">
        <f ca="1"/>
        <v>#DIV/0!</v>
      </c>
      <c r="BH20" s="70" t="e">
        <f ca="1"/>
        <v>#DIV/0!</v>
      </c>
      <c r="BI20" t="e">
        <f ca="1"/>
        <v>#DIV/0!</v>
      </c>
      <c r="BJ20" t="e">
        <f ca="1"/>
        <v>#DIV/0!</v>
      </c>
      <c r="BK20" t="e">
        <f ca="1"/>
        <v>#DIV/0!</v>
      </c>
      <c r="BL20" t="e">
        <f ca="1"/>
        <v>#DIV/0!</v>
      </c>
    </row>
    <row r="21" spans="1:64" x14ac:dyDescent="0.25">
      <c r="A21">
        <v>18</v>
      </c>
      <c r="B21" s="80" t="str">
        <f t="shared" si="14"/>
        <v xml:space="preserve">  </v>
      </c>
      <c r="C21" s="81" t="str">
        <f t="shared" si="15"/>
        <v xml:space="preserve">  </v>
      </c>
      <c r="D21" s="81" t="str">
        <f t="shared" si="16"/>
        <v xml:space="preserve"> </v>
      </c>
      <c r="E21" s="77" t="str">
        <f t="shared" si="17"/>
        <v xml:space="preserve"> </v>
      </c>
      <c r="K21" s="91" t="str">
        <f>J14</f>
        <v>Rise</v>
      </c>
      <c r="L21" s="79" t="e">
        <f>K14</f>
        <v>#VALUE!</v>
      </c>
      <c r="M21" t="e">
        <f>CONCATENATE(L21,"(Rise)")</f>
        <v>#VALUE!</v>
      </c>
      <c r="N21" s="82">
        <f>P21</f>
        <v>0</v>
      </c>
      <c r="O21">
        <v>1</v>
      </c>
      <c r="P21" s="68">
        <v>0</v>
      </c>
      <c r="Q21" s="68">
        <v>1</v>
      </c>
      <c r="R21" s="69">
        <f>P21*Q21</f>
        <v>0</v>
      </c>
      <c r="S21" s="194" t="s">
        <v>168</v>
      </c>
      <c r="T21" s="194" t="s">
        <v>168</v>
      </c>
      <c r="U21" s="66"/>
      <c r="V21" s="67"/>
      <c r="W21" s="68" t="e">
        <f>IF(OR(V25-V24=V24-V23,V26-V24=V24-V23),V23,IF(OR(V25-V24=V24-V22,V26-V24=V24-V22),V22,"-"))</f>
        <v>#VALUE!</v>
      </c>
      <c r="X21" t="e">
        <f>IF(V14=W21,CONCATENATE(V21,"(Rise)"),W21)</f>
        <v>#VALUE!</v>
      </c>
      <c r="Y21" s="69" t="e">
        <f>IFERROR(VLOOKUP(W21,STN_TABLE,2,FALSE),IF(V21=RisePerWLS,0,"-"))</f>
        <v>#VALUE!</v>
      </c>
      <c r="Z21" s="69">
        <v>5</v>
      </c>
      <c r="AA21" s="69" t="e">
        <f>Y21*Z21</f>
        <v>#VALUE!</v>
      </c>
      <c r="AB21" s="69">
        <v>3</v>
      </c>
      <c r="AC21" s="69" t="e">
        <f>Y21*AB21</f>
        <v>#VALUE!</v>
      </c>
      <c r="AD21" s="6" t="s">
        <v>93</v>
      </c>
      <c r="AE21" s="70" t="e">
        <f>IF(AND(W23-W22=W22-W21,NOT(AND(W21=0,W22=0)),NOT(AND(W22=0,W23=0))),WLS*(W23-W22),"#NA")</f>
        <v>#VALUE!</v>
      </c>
      <c r="AF21" s="194" t="s">
        <v>168</v>
      </c>
      <c r="AG21" s="194" t="s">
        <v>168</v>
      </c>
      <c r="AH21" s="194" t="s">
        <v>168</v>
      </c>
      <c r="AI21" s="194" t="s">
        <v>168</v>
      </c>
      <c r="AJ21" s="80"/>
      <c r="BA21" t="e">
        <f ca="1"/>
        <v>#DIV/0!</v>
      </c>
      <c r="BB21" t="e">
        <f ca="1"/>
        <v>#DIV/0!</v>
      </c>
      <c r="BC21" t="e">
        <f ca="1"/>
        <v>#DIV/0!</v>
      </c>
      <c r="BD21" t="e">
        <f ca="1"/>
        <v>#DIV/0!</v>
      </c>
      <c r="BE21" t="e">
        <f ca="1"/>
        <v>#DIV/0!</v>
      </c>
      <c r="BF21" t="e">
        <f ca="1"/>
        <v>#DIV/0!</v>
      </c>
      <c r="BG21" s="6" t="e">
        <f ca="1"/>
        <v>#DIV/0!</v>
      </c>
      <c r="BH21" s="70" t="e">
        <f ca="1"/>
        <v>#DIV/0!</v>
      </c>
      <c r="BI21" t="e">
        <f ca="1"/>
        <v>#DIV/0!</v>
      </c>
      <c r="BJ21" t="e">
        <f ca="1"/>
        <v>#DIV/0!</v>
      </c>
      <c r="BK21" t="e">
        <f ca="1"/>
        <v>#DIV/0!</v>
      </c>
      <c r="BL21" t="e">
        <f ca="1"/>
        <v>#DIV/0!</v>
      </c>
    </row>
    <row r="22" spans="1:64" x14ac:dyDescent="0.25">
      <c r="A22">
        <v>19</v>
      </c>
      <c r="B22" s="80" t="str">
        <f t="shared" si="14"/>
        <v xml:space="preserve">  </v>
      </c>
      <c r="C22" s="81" t="str">
        <f t="shared" si="15"/>
        <v xml:space="preserve">  </v>
      </c>
      <c r="D22" s="81" t="str">
        <f t="shared" si="16"/>
        <v xml:space="preserve"> </v>
      </c>
      <c r="E22" s="77" t="str">
        <f t="shared" si="17"/>
        <v xml:space="preserve"> </v>
      </c>
      <c r="K22" s="91" t="str">
        <f>J15</f>
        <v>1st_UWL</v>
      </c>
      <c r="L22" s="88" t="str">
        <f>K15</f>
        <v>#NA</v>
      </c>
      <c r="M22" t="str">
        <f>L22</f>
        <v>#NA</v>
      </c>
      <c r="N22" s="82" t="e">
        <f>P22</f>
        <v>#N/A</v>
      </c>
      <c r="O22">
        <v>1</v>
      </c>
      <c r="P22" s="82" t="e">
        <f>VLOOKUP(L22,STN_TABLE,2,FALSE)</f>
        <v>#N/A</v>
      </c>
      <c r="Q22" s="82">
        <v>2</v>
      </c>
      <c r="R22" s="83" t="e">
        <f>P22*Q22</f>
        <v>#N/A</v>
      </c>
      <c r="S22" t="str">
        <f>CONCATENATE("A(",,L22,")=")</f>
        <v>A(#NA)=</v>
      </c>
      <c r="T22" t="e">
        <f>2*T20/2*P23</f>
        <v>#VALUE!</v>
      </c>
      <c r="U22" s="66" t="str">
        <f t="shared" ref="U22:V26" si="18">K5</f>
        <v>1st_UWL</v>
      </c>
      <c r="V22" s="67" t="str">
        <f t="shared" si="18"/>
        <v>#NA</v>
      </c>
      <c r="W22" s="76" t="str">
        <f>V24</f>
        <v>#NA</v>
      </c>
      <c r="X22" t="str">
        <f>W22</f>
        <v>#NA</v>
      </c>
      <c r="Y22" s="77" t="e">
        <f>VLOOKUP(W22,STN_TABLE,2,FALSE)</f>
        <v>#N/A</v>
      </c>
      <c r="Z22" s="77">
        <v>8</v>
      </c>
      <c r="AA22" s="77" t="e">
        <f>Y22*Z22</f>
        <v>#N/A</v>
      </c>
      <c r="AB22" s="77">
        <v>10</v>
      </c>
      <c r="AC22" s="77" t="e">
        <f>Y22*AB22</f>
        <v>#N/A</v>
      </c>
      <c r="AD22" s="78" t="s">
        <v>171</v>
      </c>
      <c r="AE22" s="194" t="s">
        <v>168</v>
      </c>
      <c r="AF22" s="78" t="s">
        <v>98</v>
      </c>
      <c r="AG22" s="194" t="s">
        <v>168</v>
      </c>
      <c r="AH22" s="7" t="s">
        <v>77</v>
      </c>
      <c r="AI22" s="194" t="s">
        <v>168</v>
      </c>
      <c r="AJ22" s="80"/>
    </row>
    <row r="23" spans="1:64" x14ac:dyDescent="0.25">
      <c r="A23">
        <v>20</v>
      </c>
      <c r="B23" s="80" t="str">
        <f t="shared" si="14"/>
        <v xml:space="preserve">  </v>
      </c>
      <c r="C23" s="81" t="str">
        <f t="shared" si="15"/>
        <v xml:space="preserve">  </v>
      </c>
      <c r="D23" s="81" t="str">
        <f t="shared" si="16"/>
        <v xml:space="preserve"> </v>
      </c>
      <c r="E23" s="77" t="str">
        <f t="shared" si="17"/>
        <v xml:space="preserve"> </v>
      </c>
      <c r="M23" s="194" t="s">
        <v>168</v>
      </c>
      <c r="N23" s="194" t="s">
        <v>168</v>
      </c>
      <c r="O23" s="6" t="s">
        <v>172</v>
      </c>
      <c r="P23" s="89" t="e">
        <f>SUM(P21:P22)</f>
        <v>#N/A</v>
      </c>
      <c r="Q23" s="6" t="s">
        <v>172</v>
      </c>
      <c r="R23" s="89" t="e">
        <f>SUM(R21:R22)</f>
        <v>#N/A</v>
      </c>
      <c r="S23" t="str">
        <f>CONCATENATE("M(",L22,")=")</f>
        <v>M(#NA)=</v>
      </c>
      <c r="T23" t="e">
        <f>(2*(T20^2)/6*R23)+T22*L21*WLS</f>
        <v>#VALUE!</v>
      </c>
      <c r="U23" s="66" t="str">
        <f t="shared" si="18"/>
        <v>2nd_UWL</v>
      </c>
      <c r="V23" s="67" t="str">
        <f t="shared" si="18"/>
        <v>#NA</v>
      </c>
      <c r="W23" s="82" t="e">
        <f>IF(W21-W22=W22-V25,V25,IF(W21-W22=W22-V26,V26,"-"))</f>
        <v>#VALUE!</v>
      </c>
      <c r="X23" t="e">
        <f>W23</f>
        <v>#VALUE!</v>
      </c>
      <c r="Y23" s="83" t="e">
        <f>VLOOKUP(W23,STN_TABLE,2,FALSE)</f>
        <v>#VALUE!</v>
      </c>
      <c r="Z23" s="83">
        <v>-1</v>
      </c>
      <c r="AA23" s="83" t="e">
        <f>Y23*Z23</f>
        <v>#VALUE!</v>
      </c>
      <c r="AB23" s="83">
        <v>-1</v>
      </c>
      <c r="AC23" s="83" t="e">
        <f>Y23*AB23</f>
        <v>#VALUE!</v>
      </c>
      <c r="AD23" s="84" t="e">
        <f>CONCATENATE("a'(",W21,"~",W22,")=")</f>
        <v>#VALUE!</v>
      </c>
      <c r="AE23" s="84" t="e">
        <f>2*AE21/12*AA24</f>
        <v>#VALUE!</v>
      </c>
      <c r="AF23" s="84" t="e">
        <f>CONCATENATE("A(",W21,")=")</f>
        <v>#VALUE!</v>
      </c>
      <c r="AG23" s="84" t="e">
        <f>IF(W21=RisePerWLS,0,VLOOKUP(W21,STN_TABLE,3,FALSE))</f>
        <v>#VALUE!</v>
      </c>
      <c r="AH23" t="str">
        <f>CONCATENATE("A(",W22,")=")</f>
        <v>A(#NA)=</v>
      </c>
      <c r="AI23" t="e">
        <f>AE23+AG23</f>
        <v>#VALUE!</v>
      </c>
      <c r="AJ23" s="80"/>
      <c r="BA23" t="s">
        <v>179</v>
      </c>
    </row>
    <row r="24" spans="1:64" x14ac:dyDescent="0.25">
      <c r="A24">
        <v>21</v>
      </c>
      <c r="B24" s="80" t="str">
        <f t="shared" si="14"/>
        <v xml:space="preserve">  </v>
      </c>
      <c r="C24" s="81" t="str">
        <f t="shared" si="15"/>
        <v xml:space="preserve">  </v>
      </c>
      <c r="D24" s="81" t="str">
        <f t="shared" si="16"/>
        <v xml:space="preserve"> </v>
      </c>
      <c r="E24" s="77" t="str">
        <f t="shared" si="17"/>
        <v xml:space="preserve"> </v>
      </c>
      <c r="M24" s="194" t="s">
        <v>168</v>
      </c>
      <c r="N24" s="194" t="s">
        <v>168</v>
      </c>
      <c r="O24" s="194" t="s">
        <v>168</v>
      </c>
      <c r="P24" s="194" t="s">
        <v>168</v>
      </c>
      <c r="Q24" s="194" t="s">
        <v>168</v>
      </c>
      <c r="R24" s="194" t="s">
        <v>168</v>
      </c>
      <c r="S24" s="194" t="s">
        <v>168</v>
      </c>
      <c r="T24" s="194" t="s">
        <v>168</v>
      </c>
      <c r="U24" s="66" t="str">
        <f t="shared" si="18"/>
        <v>3rd_UWL</v>
      </c>
      <c r="V24" s="67" t="str">
        <f t="shared" si="18"/>
        <v>#NA</v>
      </c>
      <c r="X24" s="194" t="s">
        <v>168</v>
      </c>
      <c r="Y24" s="194" t="s">
        <v>168</v>
      </c>
      <c r="Z24" s="6" t="s">
        <v>172</v>
      </c>
      <c r="AA24" s="89" t="e">
        <f>SUM(AA21:AA23)</f>
        <v>#VALUE!</v>
      </c>
      <c r="AB24" s="6" t="s">
        <v>172</v>
      </c>
      <c r="AC24" s="89" t="e">
        <f>SUM(AC21:AC23)</f>
        <v>#VALUE!</v>
      </c>
      <c r="AD24" s="84" t="e">
        <f>CONCATENATE("m'(",W21,"~",W22,")=")</f>
        <v>#VALUE!</v>
      </c>
      <c r="AE24" s="84" t="e">
        <f>(2*(AE21^2)/24*AC24)+(AE23*W21*WLS)</f>
        <v>#VALUE!</v>
      </c>
      <c r="AF24" s="84" t="e">
        <f>CONCATENATE("M(",W21,")=")</f>
        <v>#VALUE!</v>
      </c>
      <c r="AG24" s="84" t="e">
        <f>IF(W21=RisePerWLS,0,VLOOKUP(W21,STN_TABLE,4,FALSE))</f>
        <v>#VALUE!</v>
      </c>
      <c r="AH24" t="str">
        <f>CONCATENATE("M(",W22,")=")</f>
        <v>M(#NA)=</v>
      </c>
      <c r="AI24" t="e">
        <f>AE24+AG24</f>
        <v>#VALUE!</v>
      </c>
      <c r="AJ24" s="80"/>
      <c r="BA24" t="e">
        <f t="array" aca="1" ref="BA24:BL28" ca="1">IF(ISNUMBER(AX5),OFFSET(AM2,,,5,12),IF(ISNUMBER(AR12),OFFSET(AM7,,,5,12),IF(ISNUMBER(AX16),OFFSET(AM14,,,4,12),1/0)))</f>
        <v>#DIV/0!</v>
      </c>
      <c r="BB24" t="e">
        <f ca="1"/>
        <v>#DIV/0!</v>
      </c>
      <c r="BC24" t="e">
        <f ca="1"/>
        <v>#DIV/0!</v>
      </c>
      <c r="BD24" t="e">
        <f ca="1"/>
        <v>#DIV/0!</v>
      </c>
      <c r="BE24" t="e">
        <f ca="1"/>
        <v>#DIV/0!</v>
      </c>
      <c r="BF24" t="e">
        <f ca="1"/>
        <v>#DIV/0!</v>
      </c>
      <c r="BG24" s="6" t="e">
        <f ca="1"/>
        <v>#DIV/0!</v>
      </c>
      <c r="BH24" s="70" t="e">
        <f ca="1"/>
        <v>#DIV/0!</v>
      </c>
      <c r="BI24" t="e">
        <f ca="1"/>
        <v>#DIV/0!</v>
      </c>
      <c r="BJ24" t="e">
        <f ca="1"/>
        <v>#DIV/0!</v>
      </c>
      <c r="BK24" t="e">
        <f ca="1"/>
        <v>#DIV/0!</v>
      </c>
      <c r="BL24" t="e">
        <f ca="1"/>
        <v>#DIV/0!</v>
      </c>
    </row>
    <row r="25" spans="1:64" ht="18" x14ac:dyDescent="0.35">
      <c r="A25">
        <v>22</v>
      </c>
      <c r="B25" s="80" t="str">
        <f t="shared" ref="B25:B28" si="19">VLOOKUP(Stn_WL,OFFSET_A,A25+1,FALSE)</f>
        <v xml:space="preserve">  </v>
      </c>
      <c r="C25" s="81" t="str">
        <f t="shared" ref="C25:C28" si="20">VLOOKUP(Station_No,OFFSET_A,A25+1,FALSE)</f>
        <v xml:space="preserve">  </v>
      </c>
      <c r="D25" s="81" t="str">
        <f t="shared" ref="D25:D28" si="21">IFERROR(VLOOKUP(CONCATENATE("A(",B25,")="),RESULT_TABLE,6,FALSE)," ")</f>
        <v xml:space="preserve"> </v>
      </c>
      <c r="E25" s="77" t="str">
        <f t="shared" ref="E25:E28" si="22">IFERROR(VLOOKUP(CONCATENATE("M(",B25,")="),RESULT_TABLE,6,FALSE)," ")</f>
        <v xml:space="preserve"> </v>
      </c>
      <c r="J25" s="71" t="s">
        <v>111</v>
      </c>
      <c r="M25" t="s">
        <v>0</v>
      </c>
      <c r="N25" t="s">
        <v>95</v>
      </c>
      <c r="O25" t="s">
        <v>164</v>
      </c>
      <c r="P25" t="s">
        <v>165</v>
      </c>
      <c r="Q25" t="s">
        <v>13</v>
      </c>
      <c r="R25" t="s">
        <v>169</v>
      </c>
      <c r="S25" t="s">
        <v>93</v>
      </c>
      <c r="T25" t="e">
        <f>IF(OR(N26=0,N27=0,N28=0),"#NA",IF(L28-L27=L27-L26,WLS*(L27-L26),"#NA"))</f>
        <v>#VALUE!</v>
      </c>
      <c r="U25" s="66" t="str">
        <f t="shared" si="18"/>
        <v>4th_UWL</v>
      </c>
      <c r="V25" s="67" t="str">
        <f t="shared" si="18"/>
        <v>#NA</v>
      </c>
      <c r="Z25" t="s">
        <v>103</v>
      </c>
      <c r="AB25" t="str">
        <f>CONCATENATE("A(",W22,")=")</f>
        <v>A(#NA)=</v>
      </c>
      <c r="AC25" t="e">
        <f>IF(OR(AI23&lt;=0,AI24&lt;=0),1/0,AI23)</f>
        <v>#VALUE!</v>
      </c>
      <c r="AJ25" s="80"/>
      <c r="BA25" t="e">
        <f ca="1"/>
        <v>#DIV/0!</v>
      </c>
      <c r="BB25" t="e">
        <f ca="1"/>
        <v>#DIV/0!</v>
      </c>
      <c r="BC25" t="e">
        <f ca="1"/>
        <v>#DIV/0!</v>
      </c>
      <c r="BD25" t="e">
        <f ca="1"/>
        <v>#DIV/0!</v>
      </c>
      <c r="BE25" t="e">
        <f ca="1"/>
        <v>#DIV/0!</v>
      </c>
      <c r="BF25" t="e">
        <f ca="1"/>
        <v>#DIV/0!</v>
      </c>
      <c r="BG25" s="6" t="e">
        <f ca="1"/>
        <v>#DIV/0!</v>
      </c>
      <c r="BH25" s="70" t="e">
        <f ca="1"/>
        <v>#DIV/0!</v>
      </c>
      <c r="BI25" t="e">
        <f ca="1"/>
        <v>#DIV/0!</v>
      </c>
      <c r="BJ25" t="e">
        <f ca="1"/>
        <v>#DIV/0!</v>
      </c>
      <c r="BK25" t="e">
        <f ca="1"/>
        <v>#DIV/0!</v>
      </c>
      <c r="BL25" t="e">
        <f ca="1"/>
        <v>#DIV/0!</v>
      </c>
    </row>
    <row r="26" spans="1:64" x14ac:dyDescent="0.25">
      <c r="A26">
        <v>23</v>
      </c>
      <c r="B26" s="80" t="str">
        <f t="shared" si="19"/>
        <v xml:space="preserve">  </v>
      </c>
      <c r="C26" s="81" t="str">
        <f t="shared" si="20"/>
        <v xml:space="preserve">  </v>
      </c>
      <c r="D26" s="81" t="str">
        <f t="shared" si="21"/>
        <v xml:space="preserve"> </v>
      </c>
      <c r="E26" s="77" t="str">
        <f t="shared" si="22"/>
        <v xml:space="preserve"> </v>
      </c>
      <c r="J26" s="91" t="str">
        <f t="shared" ref="J26:K28" si="23">K4</f>
        <v>Rise</v>
      </c>
      <c r="K26" s="91" t="e">
        <f t="shared" si="23"/>
        <v>#VALUE!</v>
      </c>
      <c r="L26" s="68" t="e">
        <f>K26</f>
        <v>#VALUE!</v>
      </c>
      <c r="M26" t="e">
        <f>CONCATENATE(L26,"(Rise)")</f>
        <v>#VALUE!</v>
      </c>
      <c r="N26" s="69">
        <v>0</v>
      </c>
      <c r="O26" s="69">
        <v>1</v>
      </c>
      <c r="P26" s="69">
        <f>N26*O26</f>
        <v>0</v>
      </c>
      <c r="Q26" s="69" t="e">
        <f>L26</f>
        <v>#VALUE!</v>
      </c>
      <c r="R26" s="69" t="e">
        <f>P26*Q26</f>
        <v>#VALUE!</v>
      </c>
      <c r="S26" s="194" t="s">
        <v>168</v>
      </c>
      <c r="T26" s="194" t="s">
        <v>168</v>
      </c>
      <c r="U26" s="66" t="str">
        <f t="shared" si="18"/>
        <v>5th_UWL</v>
      </c>
      <c r="V26" s="67" t="str">
        <f t="shared" si="18"/>
        <v>#NA</v>
      </c>
      <c r="AB26" t="str">
        <f>CONCATENATE("M(",W22,")=")</f>
        <v>M(#NA)=</v>
      </c>
      <c r="AC26" t="e">
        <f>IF(OR(AI23&lt;=0,AI24&lt;=0),1/0,AI24)</f>
        <v>#VALUE!</v>
      </c>
      <c r="AJ26" s="80"/>
      <c r="BA26" t="e">
        <f ca="1"/>
        <v>#DIV/0!</v>
      </c>
      <c r="BB26" t="e">
        <f ca="1"/>
        <v>#DIV/0!</v>
      </c>
      <c r="BC26" t="e">
        <f ca="1"/>
        <v>#DIV/0!</v>
      </c>
      <c r="BD26" t="e">
        <f ca="1"/>
        <v>#DIV/0!</v>
      </c>
      <c r="BE26" t="e">
        <f ca="1"/>
        <v>#DIV/0!</v>
      </c>
      <c r="BF26" t="e">
        <f ca="1"/>
        <v>#DIV/0!</v>
      </c>
      <c r="BG26" s="6" t="e">
        <f ca="1"/>
        <v>#DIV/0!</v>
      </c>
      <c r="BH26" s="70" t="e">
        <f ca="1"/>
        <v>#DIV/0!</v>
      </c>
      <c r="BI26" t="e">
        <f ca="1"/>
        <v>#DIV/0!</v>
      </c>
      <c r="BJ26" t="e">
        <f ca="1"/>
        <v>#DIV/0!</v>
      </c>
      <c r="BK26" t="e">
        <f ca="1"/>
        <v>#DIV/0!</v>
      </c>
      <c r="BL26" t="e">
        <f ca="1"/>
        <v>#DIV/0!</v>
      </c>
    </row>
    <row r="27" spans="1:64" ht="18" x14ac:dyDescent="0.35">
      <c r="A27">
        <v>24</v>
      </c>
      <c r="B27" s="80" t="str">
        <f t="shared" si="19"/>
        <v xml:space="preserve">  </v>
      </c>
      <c r="C27" s="81" t="str">
        <f t="shared" si="20"/>
        <v xml:space="preserve">  </v>
      </c>
      <c r="D27" s="81" t="str">
        <f t="shared" si="21"/>
        <v xml:space="preserve"> </v>
      </c>
      <c r="E27" s="77" t="str">
        <f t="shared" si="22"/>
        <v xml:space="preserve"> </v>
      </c>
      <c r="J27" s="91" t="str">
        <f t="shared" si="23"/>
        <v>1st_UWL</v>
      </c>
      <c r="K27" s="91" t="str">
        <f t="shared" si="23"/>
        <v>#NA</v>
      </c>
      <c r="L27" s="76" t="e">
        <f>IF(K28-K27=K27-K26,K28,"#NA")</f>
        <v>#VALUE!</v>
      </c>
      <c r="M27" t="e">
        <f>L27</f>
        <v>#VALUE!</v>
      </c>
      <c r="N27" s="77" t="e">
        <f>VLOOKUP(L27,STN_TABLE,2,FALSE)</f>
        <v>#VALUE!</v>
      </c>
      <c r="O27" s="77">
        <v>4</v>
      </c>
      <c r="P27" s="77" t="e">
        <f>N27*O27</f>
        <v>#VALUE!</v>
      </c>
      <c r="Q27" s="77" t="e">
        <f>L27</f>
        <v>#VALUE!</v>
      </c>
      <c r="R27" s="77" t="e">
        <f>P27*Q27</f>
        <v>#VALUE!</v>
      </c>
      <c r="S27" t="e">
        <f>CONCATENATE("A(",L28,")=")</f>
        <v>#VALUE!</v>
      </c>
      <c r="T27" t="e">
        <f>2*T25/3*P29</f>
        <v>#VALUE!</v>
      </c>
      <c r="U27" s="66"/>
      <c r="V27" s="67"/>
      <c r="X27" t="s">
        <v>0</v>
      </c>
      <c r="Y27" t="s">
        <v>95</v>
      </c>
      <c r="Z27" t="s">
        <v>173</v>
      </c>
      <c r="AA27" t="s">
        <v>174</v>
      </c>
      <c r="AB27" t="s">
        <v>175</v>
      </c>
      <c r="AC27" t="s">
        <v>176</v>
      </c>
      <c r="AD27" s="6" t="s">
        <v>93</v>
      </c>
      <c r="AE27" s="70" t="e">
        <f>WLS*(Z29-Z28)</f>
        <v>#VALUE!</v>
      </c>
      <c r="AF27" s="194" t="s">
        <v>168</v>
      </c>
      <c r="AG27" s="194" t="s">
        <v>168</v>
      </c>
      <c r="AH27" s="194" t="s">
        <v>168</v>
      </c>
      <c r="AI27" s="194" t="s">
        <v>168</v>
      </c>
      <c r="AJ27" s="80"/>
      <c r="BA27" t="e">
        <f ca="1"/>
        <v>#DIV/0!</v>
      </c>
      <c r="BB27" t="e">
        <f ca="1"/>
        <v>#DIV/0!</v>
      </c>
      <c r="BC27" t="e">
        <f ca="1"/>
        <v>#DIV/0!</v>
      </c>
      <c r="BD27" t="e">
        <f ca="1"/>
        <v>#DIV/0!</v>
      </c>
      <c r="BE27" t="e">
        <f ca="1"/>
        <v>#DIV/0!</v>
      </c>
      <c r="BF27" t="e">
        <f ca="1"/>
        <v>#DIV/0!</v>
      </c>
      <c r="BG27" s="6" t="e">
        <f ca="1"/>
        <v>#DIV/0!</v>
      </c>
      <c r="BH27" s="70" t="e">
        <f ca="1"/>
        <v>#DIV/0!</v>
      </c>
      <c r="BI27" t="e">
        <f ca="1"/>
        <v>#DIV/0!</v>
      </c>
      <c r="BJ27" t="e">
        <f ca="1"/>
        <v>#DIV/0!</v>
      </c>
      <c r="BK27" t="e">
        <f ca="1"/>
        <v>#DIV/0!</v>
      </c>
      <c r="BL27" t="e">
        <f ca="1"/>
        <v>#DIV/0!</v>
      </c>
    </row>
    <row r="28" spans="1:64" x14ac:dyDescent="0.25">
      <c r="A28">
        <v>25</v>
      </c>
      <c r="B28" s="88" t="str">
        <f t="shared" si="19"/>
        <v xml:space="preserve">  </v>
      </c>
      <c r="C28" s="92" t="str">
        <f t="shared" si="20"/>
        <v xml:space="preserve">  </v>
      </c>
      <c r="D28" s="81" t="str">
        <f t="shared" si="21"/>
        <v xml:space="preserve"> </v>
      </c>
      <c r="E28" s="77" t="str">
        <f t="shared" si="22"/>
        <v xml:space="preserve"> </v>
      </c>
      <c r="J28" s="91" t="str">
        <f t="shared" si="23"/>
        <v>2nd_UWL</v>
      </c>
      <c r="K28" s="91" t="str">
        <f t="shared" si="23"/>
        <v>#NA</v>
      </c>
      <c r="L28" s="82" t="e">
        <f>IF(K28-K27=K27-K26,K28,"#NA")</f>
        <v>#VALUE!</v>
      </c>
      <c r="M28" t="e">
        <f>L28</f>
        <v>#VALUE!</v>
      </c>
      <c r="N28" s="83" t="e">
        <f>VLOOKUP(L28,STN_TABLE,2,FALSE)</f>
        <v>#VALUE!</v>
      </c>
      <c r="O28" s="83">
        <v>1</v>
      </c>
      <c r="P28" s="83" t="e">
        <f>N28*O28</f>
        <v>#VALUE!</v>
      </c>
      <c r="Q28" s="83" t="e">
        <f>L28</f>
        <v>#VALUE!</v>
      </c>
      <c r="R28" s="83" t="e">
        <f>P28*Q28</f>
        <v>#VALUE!</v>
      </c>
      <c r="S28" t="e">
        <f>CONCATENATE("M(",L28,")=")</f>
        <v>#VALUE!</v>
      </c>
      <c r="T28" t="e">
        <f>2*(T25*WLS)/3*R29</f>
        <v>#VALUE!</v>
      </c>
      <c r="U28" s="80"/>
      <c r="V28" s="81"/>
      <c r="X28" s="194" t="s">
        <v>168</v>
      </c>
      <c r="Y28" s="194" t="s">
        <v>168</v>
      </c>
      <c r="Z28" s="79" t="str">
        <f>V23</f>
        <v>#NA</v>
      </c>
      <c r="AA28" s="68" t="e">
        <f>VLOOKUP(Z28,STN_TABLE,2,FALSE)</f>
        <v>#N/A</v>
      </c>
      <c r="AB28" s="68">
        <v>1</v>
      </c>
      <c r="AC28" s="69" t="e">
        <f>AA28*AB28</f>
        <v>#N/A</v>
      </c>
      <c r="AD28" s="78" t="s">
        <v>171</v>
      </c>
      <c r="AE28" s="194" t="s">
        <v>168</v>
      </c>
      <c r="AF28" s="78" t="s">
        <v>98</v>
      </c>
      <c r="AG28" s="194" t="s">
        <v>168</v>
      </c>
      <c r="AH28" s="7" t="s">
        <v>77</v>
      </c>
      <c r="AI28" s="194" t="s">
        <v>168</v>
      </c>
      <c r="AJ28" s="80"/>
      <c r="BA28" t="e">
        <f ca="1"/>
        <v>#DIV/0!</v>
      </c>
      <c r="BB28" t="e">
        <f ca="1"/>
        <v>#DIV/0!</v>
      </c>
      <c r="BC28" t="e">
        <f ca="1"/>
        <v>#DIV/0!</v>
      </c>
      <c r="BD28" t="e">
        <f ca="1"/>
        <v>#DIV/0!</v>
      </c>
      <c r="BE28" t="e">
        <f ca="1"/>
        <v>#DIV/0!</v>
      </c>
      <c r="BF28" t="e">
        <f ca="1"/>
        <v>#DIV/0!</v>
      </c>
      <c r="BG28" s="6" t="e">
        <f ca="1"/>
        <v>#DIV/0!</v>
      </c>
      <c r="BH28" s="70" t="e">
        <f ca="1"/>
        <v>#DIV/0!</v>
      </c>
      <c r="BI28" t="e">
        <f ca="1"/>
        <v>#DIV/0!</v>
      </c>
      <c r="BJ28" t="e">
        <f ca="1"/>
        <v>#DIV/0!</v>
      </c>
      <c r="BK28" t="e">
        <f ca="1"/>
        <v>#DIV/0!</v>
      </c>
      <c r="BL28" t="e">
        <f ca="1"/>
        <v>#DIV/0!</v>
      </c>
    </row>
    <row r="29" spans="1:64" x14ac:dyDescent="0.25">
      <c r="K29" s="91"/>
      <c r="L29" s="91"/>
      <c r="M29" s="194" t="s">
        <v>168</v>
      </c>
      <c r="N29" s="194" t="s">
        <v>168</v>
      </c>
      <c r="O29" s="6" t="s">
        <v>172</v>
      </c>
      <c r="P29" s="89" t="e">
        <f>SUM(P26:P28)</f>
        <v>#VALUE!</v>
      </c>
      <c r="Q29" s="6" t="s">
        <v>172</v>
      </c>
      <c r="R29" s="89" t="e">
        <f>SUM(R26:R28)</f>
        <v>#VALUE!</v>
      </c>
      <c r="S29" s="194" t="s">
        <v>168</v>
      </c>
      <c r="T29" s="194" t="s">
        <v>168</v>
      </c>
      <c r="U29" s="80"/>
      <c r="V29" s="81"/>
      <c r="X29" s="194" t="s">
        <v>168</v>
      </c>
      <c r="Y29" s="194" t="s">
        <v>168</v>
      </c>
      <c r="Z29" s="88" t="str">
        <f>V24</f>
        <v>#NA</v>
      </c>
      <c r="AA29" s="82" t="e">
        <f>VLOOKUP(Z29,STN_TABLE,2,FALSE)</f>
        <v>#N/A</v>
      </c>
      <c r="AB29" s="82">
        <v>2</v>
      </c>
      <c r="AC29" s="83" t="e">
        <f>AA29*AB29</f>
        <v>#N/A</v>
      </c>
      <c r="AD29" s="84" t="str">
        <f>CONCATENATE("a'(",Z28,"~",Z29,")=")</f>
        <v>a'(#NA~#NA)=</v>
      </c>
      <c r="AE29" s="84" t="e">
        <f>2*AE27/2*AA30</f>
        <v>#VALUE!</v>
      </c>
      <c r="AF29" s="84" t="str">
        <f>CONCATENATE("A(",Z28,")=")</f>
        <v>A(#NA)=</v>
      </c>
      <c r="AG29" s="84" t="e">
        <f>IF(Z28=RisePerWLS,0,VLOOKUP(Z28,STN_TABLE,3,FALSE))</f>
        <v>#VALUE!</v>
      </c>
      <c r="AH29" t="str">
        <f>CONCATENATE("A(",Z29,")=")</f>
        <v>A(#NA)=</v>
      </c>
      <c r="AI29" t="e">
        <f>AE29+AG29</f>
        <v>#VALUE!</v>
      </c>
      <c r="AJ29" s="80"/>
    </row>
    <row r="30" spans="1:64" x14ac:dyDescent="0.25">
      <c r="K30" s="91"/>
      <c r="L30" s="91"/>
      <c r="U30" s="80"/>
      <c r="V30" s="81"/>
      <c r="X30" s="194" t="s">
        <v>168</v>
      </c>
      <c r="Y30" s="194" t="s">
        <v>168</v>
      </c>
      <c r="Z30" s="6" t="s">
        <v>172</v>
      </c>
      <c r="AA30" s="89" t="e">
        <f>SUM(AA28:AA29)</f>
        <v>#N/A</v>
      </c>
      <c r="AB30" s="6" t="s">
        <v>172</v>
      </c>
      <c r="AC30" s="89" t="e">
        <f>SUM(AC28:AC29)</f>
        <v>#N/A</v>
      </c>
      <c r="AD30" s="84" t="str">
        <f>CONCATENATE("m'(",Z28,"~",Z29,")=")</f>
        <v>m'(#NA~#NA)=</v>
      </c>
      <c r="AE30" s="84" t="e">
        <f>(2*(AE27^2)/6*AC30)+(AE29*Z28*WLS)</f>
        <v>#VALUE!</v>
      </c>
      <c r="AF30" s="84" t="str">
        <f>CONCATENATE("M(",Z28,")=")</f>
        <v>M(#NA)=</v>
      </c>
      <c r="AG30" s="84" t="e">
        <f>IF(Z28=RisePerWLS,0,VLOOKUP(Z28,STN_TABLE,4,FALSE))</f>
        <v>#VALUE!</v>
      </c>
      <c r="AH30" t="str">
        <f>CONCATENATE("M(",Z29,")=")</f>
        <v>M(#NA)=</v>
      </c>
      <c r="AI30" t="e">
        <f>AE30+AG30</f>
        <v>#VALUE!</v>
      </c>
    </row>
    <row r="31" spans="1:64" x14ac:dyDescent="0.25">
      <c r="K31" s="91"/>
      <c r="L31" s="91"/>
      <c r="U31" s="81"/>
      <c r="V31" s="81"/>
      <c r="X31" s="194"/>
      <c r="Y31" s="194"/>
      <c r="Z31" s="194"/>
      <c r="AA31" s="81"/>
      <c r="AB31" s="194"/>
      <c r="AC31" s="81"/>
      <c r="AD31" s="84"/>
      <c r="AE31" s="84"/>
      <c r="AF31" s="84"/>
      <c r="AG31" s="84"/>
    </row>
    <row r="32" spans="1:64" ht="18" x14ac:dyDescent="0.35">
      <c r="B32" t="s">
        <v>180</v>
      </c>
      <c r="C32" s="194"/>
      <c r="G32" s="91" t="s">
        <v>181</v>
      </c>
      <c r="H32" s="91"/>
      <c r="L32" t="s">
        <v>182</v>
      </c>
      <c r="Q32" t="s">
        <v>0</v>
      </c>
      <c r="R32" t="s">
        <v>95</v>
      </c>
      <c r="S32" t="s">
        <v>164</v>
      </c>
      <c r="T32" t="s">
        <v>165</v>
      </c>
      <c r="U32" t="s">
        <v>166</v>
      </c>
      <c r="V32" t="s">
        <v>167</v>
      </c>
      <c r="W32" s="194" t="s">
        <v>168</v>
      </c>
      <c r="X32" s="194" t="s">
        <v>168</v>
      </c>
      <c r="Y32" s="194" t="s">
        <v>168</v>
      </c>
      <c r="Z32" s="194" t="s">
        <v>168</v>
      </c>
      <c r="AA32" s="194" t="s">
        <v>168</v>
      </c>
      <c r="AB32" s="194" t="s">
        <v>168</v>
      </c>
    </row>
    <row r="33" spans="1:60" ht="18" x14ac:dyDescent="0.35">
      <c r="B33" s="195" t="s">
        <v>171</v>
      </c>
      <c r="C33" s="196" t="e">
        <v>#DIV/0!</v>
      </c>
      <c r="D33" s="197" t="s">
        <v>98</v>
      </c>
      <c r="E33" s="198" t="e">
        <v>#DIV/0!</v>
      </c>
      <c r="G33" s="195" t="s">
        <v>171</v>
      </c>
      <c r="H33" s="196" t="e">
        <v>#DIV/0!</v>
      </c>
      <c r="I33" s="197" t="s">
        <v>98</v>
      </c>
      <c r="J33" s="198" t="e">
        <v>#DIV/0!</v>
      </c>
      <c r="L33" s="195" t="s">
        <v>171</v>
      </c>
      <c r="M33" s="196" t="e">
        <v>#DIV/0!</v>
      </c>
      <c r="N33" s="197" t="s">
        <v>98</v>
      </c>
      <c r="O33" s="198" t="e">
        <v>#DIV/0!</v>
      </c>
      <c r="Q33" s="68">
        <f>B4</f>
        <v>0</v>
      </c>
      <c r="R33" s="69">
        <f>VLOOKUP(Q33,STN_TABLE,2,FALSE)</f>
        <v>9.5</v>
      </c>
      <c r="S33" s="69">
        <v>5</v>
      </c>
      <c r="T33" s="68">
        <f>R33*S33</f>
        <v>47.5</v>
      </c>
      <c r="U33" s="79">
        <v>3</v>
      </c>
      <c r="V33" s="68">
        <f>R33*U33</f>
        <v>28.5</v>
      </c>
      <c r="W33" t="s">
        <v>93</v>
      </c>
      <c r="X33" s="70">
        <f>IF(AND(Q35-Q34=Q34-Q33,NOT(AND(Q33=0,Q34=0)),NOT(AND(Q34=0,Q35=0))),WLS*(Q35-Q34),"#NA")</f>
        <v>0.5</v>
      </c>
      <c r="Y33" s="194" t="s">
        <v>168</v>
      </c>
      <c r="Z33" s="194" t="s">
        <v>168</v>
      </c>
      <c r="AA33" s="194" t="s">
        <v>168</v>
      </c>
      <c r="AB33" s="194" t="s">
        <v>168</v>
      </c>
      <c r="AD33" t="s">
        <v>0</v>
      </c>
      <c r="AE33" t="s">
        <v>95</v>
      </c>
      <c r="AF33" t="s">
        <v>173</v>
      </c>
      <c r="AG33" t="s">
        <v>183</v>
      </c>
      <c r="AH33" t="s">
        <v>175</v>
      </c>
      <c r="AI33" t="s">
        <v>184</v>
      </c>
      <c r="AJ33" s="6" t="s">
        <v>93</v>
      </c>
      <c r="AK33" s="70">
        <f>WLS*(AD35-AD34)</f>
        <v>0.5</v>
      </c>
      <c r="AL33" s="194" t="s">
        <v>168</v>
      </c>
      <c r="AM33" s="194" t="s">
        <v>168</v>
      </c>
      <c r="AN33" s="194" t="s">
        <v>168</v>
      </c>
      <c r="AO33" s="194" t="s">
        <v>168</v>
      </c>
      <c r="AV33" s="97" t="s">
        <v>116</v>
      </c>
    </row>
    <row r="34" spans="1:60" x14ac:dyDescent="0.25">
      <c r="B34" s="199" t="str">
        <f>CONCATENATE("a'(",C39,"~",C41,")=")</f>
        <v>a'(0~0.5)=</v>
      </c>
      <c r="C34" s="105">
        <f>2*J39/3*F42</f>
        <v>20.496666666666666</v>
      </c>
      <c r="D34" s="105" t="str">
        <f>CONCATENATE("A(",C39,")=")</f>
        <v>A(0)=</v>
      </c>
      <c r="E34" s="200">
        <f>VLOOKUP(C39,STN_TABLE,3,FALSE)</f>
        <v>0</v>
      </c>
      <c r="G34" s="199" t="str">
        <f>CONCATENATE("a'(",Q33,"~",Q34,")=")</f>
        <v>a'(0~0.25)=</v>
      </c>
      <c r="H34" s="105">
        <f>2*X33/12*T36</f>
        <v>9.9558333333333309</v>
      </c>
      <c r="I34" s="105" t="str">
        <f>CONCATENATE("A(",Q33,")=")</f>
        <v>A(0)=</v>
      </c>
      <c r="J34" s="200">
        <f>VLOOKUP(Q33,STN_TABLE,3,FALSE)</f>
        <v>0</v>
      </c>
      <c r="L34" s="199" t="str">
        <f>CONCATENATE("a'(",AD35,")=")</f>
        <v>a'(0.25)=</v>
      </c>
      <c r="M34" s="105">
        <f>2*AK33/2*AG36</f>
        <v>9.9149999999999991</v>
      </c>
      <c r="N34" s="105" t="str">
        <f>CONCATENATE("A(",AD34,")=")</f>
        <v>A(0)=</v>
      </c>
      <c r="O34" s="200">
        <f>VLOOKUP(AD34,STN_TABLE,3,FALSE)</f>
        <v>0</v>
      </c>
      <c r="Q34" s="76">
        <f>B5</f>
        <v>0.25</v>
      </c>
      <c r="R34" s="77">
        <f>VLOOKUP(Q34,STN_TABLE,2,FALSE)</f>
        <v>10.33</v>
      </c>
      <c r="S34" s="77">
        <v>8</v>
      </c>
      <c r="T34" s="76">
        <f>R34*S34</f>
        <v>82.64</v>
      </c>
      <c r="U34" s="80">
        <v>10</v>
      </c>
      <c r="V34" s="76">
        <f>R34*U34</f>
        <v>103.3</v>
      </c>
      <c r="W34" s="194" t="s">
        <v>168</v>
      </c>
      <c r="X34" s="194" t="s">
        <v>168</v>
      </c>
      <c r="Y34" s="194" t="s">
        <v>168</v>
      </c>
      <c r="Z34" s="194" t="s">
        <v>168</v>
      </c>
      <c r="AA34" s="7" t="s">
        <v>77</v>
      </c>
      <c r="AB34" s="194" t="s">
        <v>168</v>
      </c>
      <c r="AC34" s="94">
        <v>1</v>
      </c>
      <c r="AD34" s="95">
        <f>VLOOKUP(AC34,STN_TABLE_2,2,FALSE)</f>
        <v>0</v>
      </c>
      <c r="AE34">
        <f>AG34</f>
        <v>9.5</v>
      </c>
      <c r="AF34">
        <v>1</v>
      </c>
      <c r="AG34" s="68">
        <f>VLOOKUP(AD34,STN_TABLE,2,FALSE)</f>
        <v>9.5</v>
      </c>
      <c r="AH34" s="68">
        <v>1</v>
      </c>
      <c r="AI34" s="69">
        <f>AG34*AH34</f>
        <v>9.5</v>
      </c>
      <c r="AJ34" s="194" t="s">
        <v>168</v>
      </c>
      <c r="AK34" s="194" t="s">
        <v>168</v>
      </c>
      <c r="AL34" s="194" t="s">
        <v>168</v>
      </c>
      <c r="AM34" s="194" t="s">
        <v>168</v>
      </c>
      <c r="AN34" s="7" t="s">
        <v>77</v>
      </c>
      <c r="AO34" s="194" t="s">
        <v>168</v>
      </c>
      <c r="AR34" s="86" t="s">
        <v>112</v>
      </c>
      <c r="AS34" s="89" t="s">
        <v>113</v>
      </c>
      <c r="AT34" s="89" t="s">
        <v>114</v>
      </c>
      <c r="AU34" s="89" t="s">
        <v>115</v>
      </c>
      <c r="AV34" s="71" t="str">
        <f>IF(AV35=AR35,AR34,IF(AV35=AS35,AS34,IF(AV35=AT35,AT34,AU34)))</f>
        <v>5,8,-1 rule</v>
      </c>
      <c r="BG34"/>
      <c r="BH34"/>
    </row>
    <row r="35" spans="1:60" x14ac:dyDescent="0.25">
      <c r="B35" s="201" t="str">
        <f>CONCATENATE("m'(",C39,"~",C41,")=")</f>
        <v>m'(0~0.5)=</v>
      </c>
      <c r="C35" s="202">
        <f>2*(J39*(WLS))/3*H42</f>
        <v>10.443333333333332</v>
      </c>
      <c r="D35" s="202" t="str">
        <f>CONCATENATE("M(",C39,")=")</f>
        <v>M(0)=</v>
      </c>
      <c r="E35" s="203">
        <f>VLOOKUP(C39,STN_TABLE,4,FALSE)</f>
        <v>0</v>
      </c>
      <c r="G35" s="201" t="str">
        <f>CONCATENATE("m'(",Q33,"~",Q34,")=")</f>
        <v>m'(0~0.25)=</v>
      </c>
      <c r="H35" s="202">
        <f>(2*(X33^2)/24*V36)</f>
        <v>2.5235416666666666</v>
      </c>
      <c r="I35" s="202" t="str">
        <f>CONCATENATE("M(",Q33,")=")</f>
        <v>M(0)=</v>
      </c>
      <c r="J35" s="203">
        <f>VLOOKUP(Q33,STN_TABLE,4,FALSE)</f>
        <v>0</v>
      </c>
      <c r="L35" s="201" t="str">
        <f>CONCATENATE("m'(",AD35,")=")</f>
        <v>m'(0.25)=</v>
      </c>
      <c r="M35" s="202">
        <f>(2*(AK33^2)/6*AI36)+(M34*AD34*WLS)</f>
        <v>2.5133333333333332</v>
      </c>
      <c r="N35" s="202" t="str">
        <f>CONCATENATE("M(",AD34,")=")</f>
        <v>M(0)=</v>
      </c>
      <c r="O35" s="203">
        <f>VLOOKUP(AD34,STN_TABLE,4,FALSE)</f>
        <v>0</v>
      </c>
      <c r="Q35" s="82">
        <f>B6</f>
        <v>0.5</v>
      </c>
      <c r="R35" s="83">
        <f>VLOOKUP(Q35,STN_TABLE,2,FALSE)</f>
        <v>10.67</v>
      </c>
      <c r="S35" s="83">
        <v>-1</v>
      </c>
      <c r="T35" s="82">
        <f>R35*S35</f>
        <v>-10.67</v>
      </c>
      <c r="U35" s="88">
        <v>-1</v>
      </c>
      <c r="V35" s="82">
        <f>R35*U35</f>
        <v>-10.67</v>
      </c>
      <c r="W35" s="194" t="s">
        <v>168</v>
      </c>
      <c r="X35" s="194" t="s">
        <v>168</v>
      </c>
      <c r="Y35" s="194" t="s">
        <v>168</v>
      </c>
      <c r="Z35" s="194" t="s">
        <v>168</v>
      </c>
      <c r="AA35" t="str">
        <f>CONCATENATE("A(",Q34,")=")</f>
        <v>A(0.25)=</v>
      </c>
      <c r="AB35">
        <f>H34+J34</f>
        <v>9.9558333333333309</v>
      </c>
      <c r="AC35" s="99">
        <f>AC34+1</f>
        <v>2</v>
      </c>
      <c r="AD35" s="100">
        <f>VLOOKUP(AC35,STN_TABLE_2,2,FALSE)</f>
        <v>0.25</v>
      </c>
      <c r="AE35">
        <f>AG35</f>
        <v>10.33</v>
      </c>
      <c r="AF35">
        <v>1</v>
      </c>
      <c r="AG35" s="82">
        <f>VLOOKUP(AD35,STN_TABLE,2,FALSE)</f>
        <v>10.33</v>
      </c>
      <c r="AH35" s="82">
        <v>2</v>
      </c>
      <c r="AI35" s="83">
        <f>AG35*AH35</f>
        <v>20.66</v>
      </c>
      <c r="AJ35" s="194" t="s">
        <v>168</v>
      </c>
      <c r="AK35" s="194" t="s">
        <v>168</v>
      </c>
      <c r="AL35" s="194" t="s">
        <v>168</v>
      </c>
      <c r="AM35" s="194" t="s">
        <v>168</v>
      </c>
      <c r="AN35" t="str">
        <f>CONCATENATE("A(",AD35,")=")</f>
        <v>A(0.25)=</v>
      </c>
      <c r="AO35">
        <f>M34+O34</f>
        <v>9.9149999999999991</v>
      </c>
      <c r="AQ35" s="68" t="str">
        <f>AA35</f>
        <v>A(0.25)=</v>
      </c>
      <c r="AR35" s="68" t="str">
        <f>IFERROR(VLOOKUP(AQ35,Rise_Results,2,FALSE),"-")</f>
        <v>-</v>
      </c>
      <c r="AS35" s="76" t="s">
        <v>117</v>
      </c>
      <c r="AT35" s="76">
        <f>IFERROR(IF(OR(AB35&lt;=0,AB36&lt;=0),1/0,AB35),"-")</f>
        <v>9.9558333333333309</v>
      </c>
      <c r="AU35" s="76">
        <f>AO35</f>
        <v>9.9149999999999991</v>
      </c>
      <c r="AV35">
        <f>IF(ISNUMBER(AR35),AR35,IF(ISNUMBER(AS35),AS35,IF(ISNUMBER(AT35),AT35,AU35)))</f>
        <v>9.9558333333333309</v>
      </c>
      <c r="BG35"/>
      <c r="BH35"/>
    </row>
    <row r="36" spans="1:60" x14ac:dyDescent="0.25">
      <c r="A36" s="101"/>
      <c r="Q36" s="194" t="s">
        <v>168</v>
      </c>
      <c r="R36" s="194" t="s">
        <v>168</v>
      </c>
      <c r="S36" s="6" t="s">
        <v>172</v>
      </c>
      <c r="T36" s="89">
        <f>SUM(T33:T35)</f>
        <v>119.46999999999998</v>
      </c>
      <c r="U36" s="6" t="s">
        <v>172</v>
      </c>
      <c r="V36" s="82">
        <f>SUM(V33:V35)</f>
        <v>121.13000000000001</v>
      </c>
      <c r="W36" s="194" t="s">
        <v>168</v>
      </c>
      <c r="X36" s="194" t="s">
        <v>168</v>
      </c>
      <c r="Y36" s="194" t="s">
        <v>168</v>
      </c>
      <c r="Z36" s="194" t="s">
        <v>168</v>
      </c>
      <c r="AA36" t="str">
        <f>CONCATENATE("M(",Q34,")=")</f>
        <v>M(0.25)=</v>
      </c>
      <c r="AB36">
        <f>H35+J35</f>
        <v>2.5235416666666666</v>
      </c>
      <c r="AD36" s="194" t="s">
        <v>168</v>
      </c>
      <c r="AE36" s="194" t="s">
        <v>168</v>
      </c>
      <c r="AF36" s="6" t="s">
        <v>172</v>
      </c>
      <c r="AG36" s="89">
        <f>SUM(AG34:AG35)</f>
        <v>19.829999999999998</v>
      </c>
      <c r="AH36" s="6" t="s">
        <v>172</v>
      </c>
      <c r="AI36" s="89">
        <f>SUM(AI34:AI35)</f>
        <v>30.16</v>
      </c>
      <c r="AJ36" s="194" t="s">
        <v>168</v>
      </c>
      <c r="AK36" s="194" t="s">
        <v>168</v>
      </c>
      <c r="AL36" s="194" t="s">
        <v>168</v>
      </c>
      <c r="AM36" s="194" t="s">
        <v>168</v>
      </c>
      <c r="AN36" t="str">
        <f>CONCATENATE("M(",AD35,")=")</f>
        <v>M(0.25)=</v>
      </c>
      <c r="AO36">
        <f>M35+O35</f>
        <v>2.5133333333333332</v>
      </c>
      <c r="AQ36" s="82" t="str">
        <f>AA36</f>
        <v>M(0.25)=</v>
      </c>
      <c r="AR36" s="82" t="str">
        <f>IFERROR(VLOOKUP(AQ36,Rise_Results,2,FALSE),"-")</f>
        <v>-</v>
      </c>
      <c r="AS36" s="82" t="s">
        <v>117</v>
      </c>
      <c r="AT36" s="82">
        <f>IFERROR(IF(OR(AB35&lt;=0,AB36&lt;=0),1/0,AB36),"-")</f>
        <v>2.5235416666666666</v>
      </c>
      <c r="AU36" s="82">
        <f>AO36</f>
        <v>2.5133333333333332</v>
      </c>
      <c r="AV36">
        <f>IF(ISNUMBER(AR36),AR36,IF(ISNUMBER(AS36),AS36,IF(ISNUMBER(AT36),AT36,AU36)))</f>
        <v>2.5235416666666666</v>
      </c>
      <c r="BG36"/>
      <c r="BH36"/>
    </row>
    <row r="37" spans="1:60" x14ac:dyDescent="0.25">
      <c r="A37" s="101"/>
      <c r="T37" s="81"/>
      <c r="V37" s="81"/>
      <c r="W37" s="84"/>
      <c r="X37" s="84"/>
      <c r="Y37" s="84"/>
      <c r="Z37" s="84"/>
      <c r="AD37" s="194" t="s">
        <v>168</v>
      </c>
      <c r="AE37" s="194" t="s">
        <v>168</v>
      </c>
      <c r="AF37" s="194" t="s">
        <v>168</v>
      </c>
      <c r="AG37" s="194" t="s">
        <v>168</v>
      </c>
      <c r="AH37" s="194" t="s">
        <v>168</v>
      </c>
      <c r="AI37" s="194" t="s">
        <v>168</v>
      </c>
      <c r="AJ37" s="194" t="s">
        <v>168</v>
      </c>
      <c r="AK37" s="194" t="s">
        <v>168</v>
      </c>
      <c r="AL37" s="194" t="s">
        <v>168</v>
      </c>
      <c r="AM37" s="194" t="s">
        <v>168</v>
      </c>
      <c r="AN37" s="194" t="s">
        <v>168</v>
      </c>
      <c r="AO37" s="194" t="s">
        <v>168</v>
      </c>
      <c r="AQ37" s="81"/>
      <c r="AR37" s="81"/>
      <c r="AS37" s="81"/>
      <c r="AT37" s="81"/>
      <c r="AU37" s="81"/>
      <c r="BG37"/>
      <c r="BH37"/>
    </row>
    <row r="38" spans="1:60" ht="18" x14ac:dyDescent="0.35">
      <c r="C38" t="s">
        <v>0</v>
      </c>
      <c r="D38" t="s">
        <v>95</v>
      </c>
      <c r="E38" t="s">
        <v>164</v>
      </c>
      <c r="F38" t="s">
        <v>165</v>
      </c>
      <c r="G38" t="s">
        <v>13</v>
      </c>
      <c r="H38" t="s">
        <v>169</v>
      </c>
      <c r="I38" s="194" t="s">
        <v>168</v>
      </c>
      <c r="J38" s="194" t="s">
        <v>168</v>
      </c>
      <c r="K38" s="194" t="s">
        <v>168</v>
      </c>
      <c r="L38" s="194" t="s">
        <v>168</v>
      </c>
      <c r="M38" s="194" t="s">
        <v>168</v>
      </c>
      <c r="N38" s="194" t="s">
        <v>168</v>
      </c>
      <c r="O38" s="94">
        <v>1</v>
      </c>
      <c r="P38" s="101">
        <f t="shared" ref="P38:P75" si="24">VLOOKUP(O38,STN_TABLE_2,2,FALSE)</f>
        <v>0</v>
      </c>
      <c r="Q38" t="s">
        <v>0</v>
      </c>
      <c r="R38" t="s">
        <v>95</v>
      </c>
      <c r="S38" t="s">
        <v>164</v>
      </c>
      <c r="T38" t="s">
        <v>165</v>
      </c>
      <c r="U38" t="s">
        <v>166</v>
      </c>
      <c r="V38" t="s">
        <v>167</v>
      </c>
      <c r="W38" s="194" t="s">
        <v>168</v>
      </c>
      <c r="X38" s="194" t="s">
        <v>168</v>
      </c>
      <c r="Y38" s="194" t="s">
        <v>168</v>
      </c>
      <c r="Z38" s="194" t="s">
        <v>168</v>
      </c>
      <c r="AA38" s="194" t="s">
        <v>168</v>
      </c>
      <c r="AB38" s="194" t="s">
        <v>168</v>
      </c>
      <c r="BG38"/>
      <c r="BH38"/>
    </row>
    <row r="39" spans="1:60" ht="18" x14ac:dyDescent="0.35">
      <c r="A39" s="94">
        <v>1</v>
      </c>
      <c r="B39" s="94">
        <f>VLOOKUP(A39,STN_TABLE_2,2,FALSE)</f>
        <v>0</v>
      </c>
      <c r="C39" s="79">
        <f>B39</f>
        <v>0</v>
      </c>
      <c r="D39" s="68">
        <f>VLOOKUP(C39,STN_TABLE,2,FALSE)</f>
        <v>9.5</v>
      </c>
      <c r="E39" s="102">
        <v>1</v>
      </c>
      <c r="F39" s="68">
        <f>D39*E39</f>
        <v>9.5</v>
      </c>
      <c r="G39" s="69">
        <f>C39</f>
        <v>0</v>
      </c>
      <c r="H39" s="69">
        <f>F39*G39</f>
        <v>0</v>
      </c>
      <c r="I39" s="6" t="s">
        <v>93</v>
      </c>
      <c r="J39" s="70">
        <f>IF(OR(D39=0,D40=0,D41=0),"#NA",IF(AND(C41-C40=C40-C39,C40&lt;&gt;C41,C39&lt;&gt;C40,C39&lt;&gt;C41,D41&lt;&gt;0,OR(D39&lt;&gt;0,D40&lt;&gt;0)),WLS*(C41-C40),"#NA"))</f>
        <v>0.5</v>
      </c>
      <c r="K39" s="194" t="s">
        <v>168</v>
      </c>
      <c r="L39" s="194" t="s">
        <v>168</v>
      </c>
      <c r="M39" s="194" t="s">
        <v>168</v>
      </c>
      <c r="N39" s="194" t="s">
        <v>168</v>
      </c>
      <c r="O39" s="99">
        <f>O38+1</f>
        <v>2</v>
      </c>
      <c r="P39" s="99">
        <f t="shared" si="24"/>
        <v>0.25</v>
      </c>
      <c r="Q39" s="68">
        <f>IF(OR(P41-P40=P40-P39,P42-P40=P40-P39),P39,IF(OR(P41-P40=P40-P38,P42-P40=P40-P38),P38,"-"))</f>
        <v>0.25</v>
      </c>
      <c r="R39" s="69">
        <f>VLOOKUP(Q39,STN_TABLE,2,FALSE)</f>
        <v>10.33</v>
      </c>
      <c r="S39" s="69">
        <v>5</v>
      </c>
      <c r="T39" s="68">
        <f>R39*S39</f>
        <v>51.65</v>
      </c>
      <c r="U39" s="79">
        <v>3</v>
      </c>
      <c r="V39" s="68">
        <f>R39*U39</f>
        <v>30.990000000000002</v>
      </c>
      <c r="W39" s="6" t="s">
        <v>93</v>
      </c>
      <c r="X39" s="70">
        <f>IF(AND(Q41-Q40=Q40-Q39,NOT(AND(Q39=0,Q40=0)),NOT(AND(Q40=0,Q41=0))),WLS*(Q41-Q40),"#NA")</f>
        <v>0.5</v>
      </c>
      <c r="Y39" s="194" t="s">
        <v>168</v>
      </c>
      <c r="Z39" s="194" t="s">
        <v>168</v>
      </c>
      <c r="AA39" s="194" t="s">
        <v>168</v>
      </c>
      <c r="AB39" s="194" t="s">
        <v>168</v>
      </c>
      <c r="AD39" t="s">
        <v>0</v>
      </c>
      <c r="AE39" t="s">
        <v>95</v>
      </c>
      <c r="AF39" t="s">
        <v>173</v>
      </c>
      <c r="AG39" t="s">
        <v>183</v>
      </c>
      <c r="AH39" t="s">
        <v>175</v>
      </c>
      <c r="AI39" t="s">
        <v>184</v>
      </c>
      <c r="AJ39" s="6" t="s">
        <v>93</v>
      </c>
      <c r="AK39" s="70">
        <f>WLS*(AD41-AD40)</f>
        <v>0.5</v>
      </c>
      <c r="AL39" s="194" t="s">
        <v>168</v>
      </c>
      <c r="AM39" s="194" t="s">
        <v>168</v>
      </c>
      <c r="AN39" s="194" t="s">
        <v>168</v>
      </c>
      <c r="AO39" s="194" t="s">
        <v>168</v>
      </c>
      <c r="BG39"/>
      <c r="BH39"/>
    </row>
    <row r="40" spans="1:60" x14ac:dyDescent="0.25">
      <c r="A40" s="94">
        <f>A39+1</f>
        <v>2</v>
      </c>
      <c r="B40" s="94">
        <f>VLOOKUP(A40,STN_TABLE_2,2,FALSE)</f>
        <v>0.25</v>
      </c>
      <c r="C40" s="80">
        <f>B40</f>
        <v>0.25</v>
      </c>
      <c r="D40" s="76">
        <f>VLOOKUP(C40,STN_TABLE,2,FALSE)</f>
        <v>10.33</v>
      </c>
      <c r="E40" s="81">
        <v>4</v>
      </c>
      <c r="F40" s="76">
        <f>D40*E40</f>
        <v>41.32</v>
      </c>
      <c r="G40" s="77">
        <f>C40</f>
        <v>0.25</v>
      </c>
      <c r="H40" s="77">
        <f>F40*G40</f>
        <v>10.33</v>
      </c>
      <c r="I40" s="194" t="s">
        <v>168</v>
      </c>
      <c r="J40" s="194" t="s">
        <v>168</v>
      </c>
      <c r="K40" s="194" t="s">
        <v>168</v>
      </c>
      <c r="L40" s="194" t="s">
        <v>168</v>
      </c>
      <c r="M40" s="7" t="s">
        <v>77</v>
      </c>
      <c r="N40" s="194" t="s">
        <v>168</v>
      </c>
      <c r="O40" s="99">
        <f>O39+1</f>
        <v>3</v>
      </c>
      <c r="P40" s="99">
        <f t="shared" si="24"/>
        <v>0.5</v>
      </c>
      <c r="Q40" s="76">
        <f>P40</f>
        <v>0.5</v>
      </c>
      <c r="R40" s="77">
        <f>VLOOKUP(Q40,STN_TABLE,2,FALSE)</f>
        <v>10.67</v>
      </c>
      <c r="S40" s="77">
        <v>8</v>
      </c>
      <c r="T40" s="76">
        <f>R40*S40</f>
        <v>85.36</v>
      </c>
      <c r="U40" s="80">
        <v>10</v>
      </c>
      <c r="V40" s="76">
        <f>R40*U40</f>
        <v>106.7</v>
      </c>
      <c r="W40" s="204" t="s">
        <v>171</v>
      </c>
      <c r="X40" s="194" t="s">
        <v>168</v>
      </c>
      <c r="Y40" s="78" t="s">
        <v>98</v>
      </c>
      <c r="Z40" s="194" t="s">
        <v>168</v>
      </c>
      <c r="AA40" s="7" t="s">
        <v>77</v>
      </c>
      <c r="AB40" s="194" t="s">
        <v>168</v>
      </c>
      <c r="AC40" s="99">
        <f>AC34+1</f>
        <v>2</v>
      </c>
      <c r="AD40" s="95">
        <f>VLOOKUP(AC40,STN_TABLE_2,2,FALSE)</f>
        <v>0.25</v>
      </c>
      <c r="AE40">
        <f>AG40</f>
        <v>10.33</v>
      </c>
      <c r="AF40">
        <v>1</v>
      </c>
      <c r="AG40" s="68">
        <f>VLOOKUP(AD40,STN_TABLE,2,FALSE)</f>
        <v>10.33</v>
      </c>
      <c r="AH40" s="68">
        <v>1</v>
      </c>
      <c r="AI40" s="69">
        <f>AG40*AH40</f>
        <v>10.33</v>
      </c>
      <c r="AJ40" s="204" t="s">
        <v>171</v>
      </c>
      <c r="AK40" s="194" t="s">
        <v>168</v>
      </c>
      <c r="AL40" s="78" t="s">
        <v>98</v>
      </c>
      <c r="AM40" s="194" t="s">
        <v>168</v>
      </c>
      <c r="AN40" s="7" t="s">
        <v>77</v>
      </c>
      <c r="AO40" s="194" t="s">
        <v>168</v>
      </c>
      <c r="AR40" s="86" t="s">
        <v>112</v>
      </c>
      <c r="AS40" s="89" t="s">
        <v>113</v>
      </c>
      <c r="AT40" s="89" t="s">
        <v>114</v>
      </c>
      <c r="AU40" s="89" t="s">
        <v>115</v>
      </c>
      <c r="AV40" s="71" t="str">
        <f>IF(AV41=AR41,AR40,IF(AV41=AS41,AS40,IF(AV41=AT41,AT40,AU40)))</f>
        <v>1,4,1 rule</v>
      </c>
      <c r="BG40"/>
      <c r="BH40"/>
    </row>
    <row r="41" spans="1:60" x14ac:dyDescent="0.25">
      <c r="A41" s="94">
        <f>A40+1</f>
        <v>3</v>
      </c>
      <c r="B41" s="94">
        <f>VLOOKUP(A41,STN_TABLE_2,2,FALSE)</f>
        <v>0.5</v>
      </c>
      <c r="C41" s="88">
        <f>B41</f>
        <v>0.5</v>
      </c>
      <c r="D41" s="82">
        <f>VLOOKUP(C41,STN_TABLE,2,FALSE)</f>
        <v>10.67</v>
      </c>
      <c r="E41" s="92">
        <v>1</v>
      </c>
      <c r="F41" s="82">
        <f>D41*E41</f>
        <v>10.67</v>
      </c>
      <c r="G41" s="83">
        <f>C41</f>
        <v>0.5</v>
      </c>
      <c r="H41" s="83">
        <f>F41*G41</f>
        <v>5.335</v>
      </c>
      <c r="I41" s="194" t="s">
        <v>168</v>
      </c>
      <c r="J41" s="194" t="s">
        <v>168</v>
      </c>
      <c r="K41" s="194" t="s">
        <v>168</v>
      </c>
      <c r="L41" s="194" t="s">
        <v>168</v>
      </c>
      <c r="M41" t="str">
        <f>CONCATENATE("A(",C41,")=")</f>
        <v>A(0.5)=</v>
      </c>
      <c r="N41">
        <f>C34+E34</f>
        <v>20.496666666666666</v>
      </c>
      <c r="O41" s="99">
        <f>O40+1</f>
        <v>4</v>
      </c>
      <c r="P41" s="99">
        <f t="shared" si="24"/>
        <v>0.75</v>
      </c>
      <c r="Q41" s="82">
        <f>IF(P41-P40=P40-P39,P41,IF(P42-P40=P40-P39,P42,IF(P41-P40=P40-P38,P41,IF(P42-P40=P40-P38,P42,"-"))))</f>
        <v>0.75</v>
      </c>
      <c r="R41" s="83">
        <f>VLOOKUP(Q41,STN_TABLE,2,FALSE)</f>
        <v>10.9</v>
      </c>
      <c r="S41" s="83">
        <v>-1</v>
      </c>
      <c r="T41" s="82">
        <f>R41*S41</f>
        <v>-10.9</v>
      </c>
      <c r="U41" s="88">
        <v>-1</v>
      </c>
      <c r="V41" s="82">
        <f>R41*U41</f>
        <v>-10.9</v>
      </c>
      <c r="W41" s="84" t="str">
        <f>CONCATENATE("a'(",Q39,"~",Q40,")=")</f>
        <v>a'(0.25~0.5)=</v>
      </c>
      <c r="X41" s="84">
        <f>2*X39/12*T42</f>
        <v>10.509166666666665</v>
      </c>
      <c r="Y41" s="84" t="str">
        <f>CONCATENATE("A(",Q39,")=")</f>
        <v>A(0.25)=</v>
      </c>
      <c r="Z41" s="84">
        <f>VLOOKUP(Q39,STN_TABLE,3,FALSE)</f>
        <v>9.9558333333333309</v>
      </c>
      <c r="AA41" t="str">
        <f>CONCATENATE("A(",Q40,")=")</f>
        <v>A(0.5)=</v>
      </c>
      <c r="AB41">
        <f>X41+Z41</f>
        <v>20.464999999999996</v>
      </c>
      <c r="AC41" s="99">
        <f>AC40+1</f>
        <v>3</v>
      </c>
      <c r="AD41" s="100">
        <f>VLOOKUP(AC41,STN_TABLE_2,2,FALSE)</f>
        <v>0.5</v>
      </c>
      <c r="AE41">
        <f>AG41</f>
        <v>10.67</v>
      </c>
      <c r="AF41">
        <v>1</v>
      </c>
      <c r="AG41" s="82">
        <f>VLOOKUP(AD41,STN_TABLE,2,FALSE)</f>
        <v>10.67</v>
      </c>
      <c r="AH41" s="82">
        <v>2</v>
      </c>
      <c r="AI41" s="83">
        <f>AG41*AH41</f>
        <v>21.34</v>
      </c>
      <c r="AJ41" s="84" t="str">
        <f>CONCATENATE("a'(",AD41,")=")</f>
        <v>a'(0.5)=</v>
      </c>
      <c r="AK41" s="84">
        <f>2*AK39/2*AG42</f>
        <v>10.5</v>
      </c>
      <c r="AL41" s="84" t="str">
        <f>CONCATENATE("A(",AD40,")=")</f>
        <v>A(0.25)=</v>
      </c>
      <c r="AM41" s="84">
        <f>VLOOKUP(AD40,STN_TABLE,3,FALSE)</f>
        <v>9.9558333333333309</v>
      </c>
      <c r="AN41" t="str">
        <f>CONCATENATE("A(",AD41,")=")</f>
        <v>A(0.5)=</v>
      </c>
      <c r="AO41">
        <f>AK41+AM41</f>
        <v>20.455833333333331</v>
      </c>
      <c r="AQ41" s="68" t="str">
        <f>AA41</f>
        <v>A(0.5)=</v>
      </c>
      <c r="AR41" s="68" t="str">
        <f>IFERROR(VLOOKUP(AQ41,Rise_Results,2,FALSE),"-")</f>
        <v>-</v>
      </c>
      <c r="AS41" s="76">
        <f>IFERROR(N41,"-")</f>
        <v>20.496666666666666</v>
      </c>
      <c r="AT41" s="76">
        <f>IFERROR(IF(OR(AB41&lt;=0,AB42&lt;=0),1/0,AB41),"-")</f>
        <v>20.464999999999996</v>
      </c>
      <c r="AU41" s="76">
        <f>AO41</f>
        <v>20.455833333333331</v>
      </c>
      <c r="AV41">
        <f>IF(ISNUMBER(AR41),AR41,IF(ISNUMBER(AS41),AS41,IF(ISNUMBER(AT41),AT41,AU41)))</f>
        <v>20.496666666666666</v>
      </c>
      <c r="BG41"/>
      <c r="BH41"/>
    </row>
    <row r="42" spans="1:60" x14ac:dyDescent="0.25">
      <c r="A42">
        <v>4</v>
      </c>
      <c r="C42" s="194" t="s">
        <v>168</v>
      </c>
      <c r="D42" s="194" t="s">
        <v>168</v>
      </c>
      <c r="E42" s="6" t="s">
        <v>172</v>
      </c>
      <c r="F42" s="89">
        <f>SUM(F39:F41)</f>
        <v>61.49</v>
      </c>
      <c r="G42" s="6" t="s">
        <v>172</v>
      </c>
      <c r="H42" s="82">
        <f>SUM(H39:H41)</f>
        <v>15.664999999999999</v>
      </c>
      <c r="I42" s="194" t="s">
        <v>168</v>
      </c>
      <c r="J42" s="194" t="s">
        <v>168</v>
      </c>
      <c r="K42" s="194" t="s">
        <v>168</v>
      </c>
      <c r="L42" s="194" t="s">
        <v>168</v>
      </c>
      <c r="M42" t="str">
        <f>CONCATENATE("M(",C41,")=")</f>
        <v>M(0.5)=</v>
      </c>
      <c r="N42">
        <f>C35+E35</f>
        <v>10.443333333333332</v>
      </c>
      <c r="O42" s="99">
        <f>O41+1</f>
        <v>5</v>
      </c>
      <c r="P42" s="99">
        <f t="shared" si="24"/>
        <v>1</v>
      </c>
      <c r="Q42" s="194" t="s">
        <v>168</v>
      </c>
      <c r="R42" s="194" t="s">
        <v>168</v>
      </c>
      <c r="S42" s="6" t="s">
        <v>172</v>
      </c>
      <c r="T42" s="89">
        <f>SUM(T39:T41)</f>
        <v>126.10999999999999</v>
      </c>
      <c r="U42" s="6" t="s">
        <v>172</v>
      </c>
      <c r="V42" s="82">
        <f>SUM(V39:V41)</f>
        <v>126.78999999999999</v>
      </c>
      <c r="W42" s="84" t="str">
        <f>CONCATENATE("m'(",Q39,"~",Q40,")=")</f>
        <v>m'(0.25~0.5)=</v>
      </c>
      <c r="X42" s="84">
        <f>(2*(X39^2)/24*V42)+(X41*Q39*WLS)</f>
        <v>7.8960416666666653</v>
      </c>
      <c r="Y42" s="84" t="str">
        <f>CONCATENATE("M(",Q39,")=")</f>
        <v>M(0.25)=</v>
      </c>
      <c r="Z42" s="84">
        <f>VLOOKUP(Q39,STN_TABLE,4,FALSE)</f>
        <v>2.5235416666666666</v>
      </c>
      <c r="AA42" t="str">
        <f>CONCATENATE("M(",Q40,")=")</f>
        <v>M(0.5)=</v>
      </c>
      <c r="AB42">
        <f>X42+Z42</f>
        <v>10.419583333333332</v>
      </c>
      <c r="AD42" s="194" t="s">
        <v>168</v>
      </c>
      <c r="AE42" s="194" t="s">
        <v>168</v>
      </c>
      <c r="AF42" s="6" t="s">
        <v>172</v>
      </c>
      <c r="AG42" s="89">
        <f>SUM(AG40:AG41)</f>
        <v>21</v>
      </c>
      <c r="AH42" s="6" t="s">
        <v>172</v>
      </c>
      <c r="AI42" s="89">
        <f>SUM(AI40:AI41)</f>
        <v>31.67</v>
      </c>
      <c r="AJ42" s="84" t="str">
        <f>CONCATENATE("m'(",AD41,")=")</f>
        <v>m'(0.5)=</v>
      </c>
      <c r="AK42" s="84">
        <f>(2*(AK39^2)/6*AI42)+(AK41*AD40*WLS)</f>
        <v>7.8891666666666662</v>
      </c>
      <c r="AL42" s="84" t="str">
        <f>CONCATENATE("M(",AD40,")=")</f>
        <v>M(0.25)=</v>
      </c>
      <c r="AM42" s="84">
        <f>VLOOKUP(AD40,STN_TABLE,4,FALSE)</f>
        <v>2.5235416666666666</v>
      </c>
      <c r="AN42" t="str">
        <f>CONCATENATE("M(",AD41,")=")</f>
        <v>M(0.5)=</v>
      </c>
      <c r="AO42">
        <f>AK42+AM42</f>
        <v>10.412708333333333</v>
      </c>
      <c r="AQ42" s="82" t="str">
        <f>AA42</f>
        <v>M(0.5)=</v>
      </c>
      <c r="AR42" s="82" t="str">
        <f>IFERROR(VLOOKUP(AQ42,Rise_Results,2,FALSE),"-")</f>
        <v>-</v>
      </c>
      <c r="AS42" s="82">
        <f>IFERROR(N42,"-")</f>
        <v>10.443333333333332</v>
      </c>
      <c r="AT42" s="82">
        <f>IFERROR(IF(OR(AB41&lt;=0,AB42&lt;=0),1/0,AB42),"-")</f>
        <v>10.419583333333332</v>
      </c>
      <c r="AU42" s="82">
        <f>AO42</f>
        <v>10.412708333333333</v>
      </c>
      <c r="AV42">
        <f>IF(ISNUMBER(AR42),AR42,IF(ISNUMBER(AS42),AS42,IF(ISNUMBER(AT42),AT42,AU42)))</f>
        <v>10.443333333333332</v>
      </c>
      <c r="BG42"/>
      <c r="BH42"/>
    </row>
    <row r="43" spans="1:60" x14ac:dyDescent="0.25">
      <c r="F43" s="81"/>
      <c r="H43" s="81"/>
      <c r="I43" s="84"/>
      <c r="J43" s="84"/>
      <c r="K43" s="84"/>
      <c r="L43" s="84"/>
      <c r="O43" s="99"/>
      <c r="P43" s="99"/>
      <c r="T43" s="81"/>
      <c r="V43" s="81"/>
      <c r="W43" s="84"/>
      <c r="X43" s="84"/>
      <c r="Y43" s="84"/>
      <c r="Z43" s="84"/>
      <c r="AD43" s="194" t="s">
        <v>168</v>
      </c>
      <c r="AE43" s="194" t="s">
        <v>168</v>
      </c>
      <c r="AF43" s="194" t="s">
        <v>168</v>
      </c>
      <c r="AG43" s="194" t="s">
        <v>168</v>
      </c>
      <c r="AH43" s="194" t="s">
        <v>168</v>
      </c>
      <c r="AI43" s="194" t="s">
        <v>168</v>
      </c>
      <c r="AJ43" s="194" t="s">
        <v>168</v>
      </c>
      <c r="AK43" s="194" t="s">
        <v>168</v>
      </c>
      <c r="AL43" s="194" t="s">
        <v>168</v>
      </c>
      <c r="AM43" s="194" t="s">
        <v>168</v>
      </c>
      <c r="AN43" s="194" t="s">
        <v>168</v>
      </c>
      <c r="AO43" s="194" t="s">
        <v>168</v>
      </c>
      <c r="AQ43" s="81"/>
      <c r="AR43" s="81"/>
      <c r="AS43" s="81"/>
      <c r="AT43" s="81"/>
      <c r="AU43" s="81"/>
      <c r="BG43"/>
      <c r="BH43"/>
    </row>
    <row r="44" spans="1:60" ht="18" x14ac:dyDescent="0.35">
      <c r="A44" s="94">
        <v>0</v>
      </c>
      <c r="C44" t="s">
        <v>0</v>
      </c>
      <c r="D44" t="s">
        <v>95</v>
      </c>
      <c r="E44" t="s">
        <v>164</v>
      </c>
      <c r="F44" t="s">
        <v>165</v>
      </c>
      <c r="G44" t="s">
        <v>13</v>
      </c>
      <c r="H44" t="s">
        <v>169</v>
      </c>
      <c r="I44" s="194" t="s">
        <v>168</v>
      </c>
      <c r="J44" s="194" t="s">
        <v>168</v>
      </c>
      <c r="K44" s="194" t="s">
        <v>168</v>
      </c>
      <c r="L44" s="194" t="s">
        <v>168</v>
      </c>
      <c r="M44" s="194" t="s">
        <v>168</v>
      </c>
      <c r="N44" s="194" t="s">
        <v>168</v>
      </c>
      <c r="O44" s="101">
        <f>O38+1</f>
        <v>2</v>
      </c>
      <c r="P44" s="101">
        <f t="shared" si="24"/>
        <v>0.25</v>
      </c>
      <c r="Q44" t="s">
        <v>0</v>
      </c>
      <c r="R44" t="s">
        <v>95</v>
      </c>
      <c r="S44" t="s">
        <v>164</v>
      </c>
      <c r="T44" t="s">
        <v>165</v>
      </c>
      <c r="U44" t="s">
        <v>166</v>
      </c>
      <c r="V44" t="s">
        <v>167</v>
      </c>
      <c r="W44" s="194" t="e">
        <v>#DIV/0!</v>
      </c>
      <c r="X44" s="194" t="e">
        <v>#DIV/0!</v>
      </c>
      <c r="Y44" s="194" t="s">
        <v>168</v>
      </c>
      <c r="Z44" s="194" t="s">
        <v>168</v>
      </c>
      <c r="AA44" s="194" t="s">
        <v>168</v>
      </c>
      <c r="AB44" s="194" t="s">
        <v>168</v>
      </c>
      <c r="BG44"/>
      <c r="BH44"/>
    </row>
    <row r="45" spans="1:60" ht="18" x14ac:dyDescent="0.35">
      <c r="A45" s="94">
        <f>A44+1</f>
        <v>1</v>
      </c>
      <c r="B45" s="94">
        <f>VLOOKUP(A45,STN_TABLE_2,2,FALSE)</f>
        <v>0</v>
      </c>
      <c r="C45" s="79">
        <f>IF(C46=B46,B45,IF(C46=B47,IF(C47-C46=C46-B46,B46,IF(C47-C46=C46-B45,B45,"NA"))))</f>
        <v>0.25</v>
      </c>
      <c r="D45" s="68">
        <f>VLOOKUP(C45,STN_TABLE,2,FALSE)</f>
        <v>10.33</v>
      </c>
      <c r="E45" s="102">
        <v>1</v>
      </c>
      <c r="F45" s="68">
        <f>D45*E45</f>
        <v>10.33</v>
      </c>
      <c r="G45" s="69">
        <f>C45</f>
        <v>0.25</v>
      </c>
      <c r="H45" s="69">
        <f>F45*G45</f>
        <v>2.5825</v>
      </c>
      <c r="I45" s="6" t="s">
        <v>93</v>
      </c>
      <c r="J45" s="70">
        <f>IF(OR(D45=0,D46=0,D47=0),"#NA",IF(AND(C47-C46=C46-C45,C46&lt;&gt;C47,C45&lt;&gt;C46,C45&lt;&gt;C47,D47&lt;&gt;0,OR(D45&lt;&gt;0,D46&lt;&gt;0)),WLS*(C47-C46),"#NA"))</f>
        <v>0.5</v>
      </c>
      <c r="K45" s="194" t="s">
        <v>168</v>
      </c>
      <c r="L45" s="194" t="s">
        <v>168</v>
      </c>
      <c r="M45" s="194" t="s">
        <v>168</v>
      </c>
      <c r="N45" s="194" t="s">
        <v>168</v>
      </c>
      <c r="O45" s="99">
        <f>O44+1</f>
        <v>3</v>
      </c>
      <c r="P45" s="99">
        <f t="shared" si="24"/>
        <v>0.5</v>
      </c>
      <c r="Q45" s="68">
        <f>IF(OR(P47-P46=P46-P45,P48-P46=P46-P45),P45,IF(OR(P47-P46=P46-P44,P48-P46=P46-P44),P44,"-"))</f>
        <v>0.5</v>
      </c>
      <c r="R45" s="69">
        <f>VLOOKUP(Q45,STN_TABLE,2,FALSE)</f>
        <v>10.67</v>
      </c>
      <c r="S45" s="69">
        <v>5</v>
      </c>
      <c r="T45" s="68">
        <f>R45*S45</f>
        <v>53.35</v>
      </c>
      <c r="U45" s="79">
        <v>3</v>
      </c>
      <c r="V45" s="68">
        <f>R45*U45</f>
        <v>32.01</v>
      </c>
      <c r="W45" s="6" t="s">
        <v>93</v>
      </c>
      <c r="X45" s="70">
        <f>IF(AND(Q47-Q46=Q46-Q45,NOT(AND(Q45=0,Q46=0)),NOT(AND(Q46=0,Q47=0))),WLS*(Q47-Q46),"#NA")</f>
        <v>0.5</v>
      </c>
      <c r="Y45" s="194" t="s">
        <v>168</v>
      </c>
      <c r="Z45" s="194" t="s">
        <v>168</v>
      </c>
      <c r="AA45" s="194" t="s">
        <v>168</v>
      </c>
      <c r="AB45" s="194" t="s">
        <v>168</v>
      </c>
      <c r="AD45" t="s">
        <v>0</v>
      </c>
      <c r="AE45" t="s">
        <v>95</v>
      </c>
      <c r="AF45" t="s">
        <v>173</v>
      </c>
      <c r="AG45" t="s">
        <v>183</v>
      </c>
      <c r="AH45" t="s">
        <v>175</v>
      </c>
      <c r="AI45" t="s">
        <v>184</v>
      </c>
      <c r="AJ45" s="6" t="s">
        <v>93</v>
      </c>
      <c r="AK45" s="70">
        <f>WLS*(AD47-AD46)</f>
        <v>0.5</v>
      </c>
      <c r="AL45" s="194" t="s">
        <v>168</v>
      </c>
      <c r="AM45" s="194" t="s">
        <v>168</v>
      </c>
      <c r="AN45" s="194" t="s">
        <v>168</v>
      </c>
      <c r="AO45" s="194" t="s">
        <v>168</v>
      </c>
      <c r="BG45"/>
      <c r="BH45"/>
    </row>
    <row r="46" spans="1:60" x14ac:dyDescent="0.25">
      <c r="A46" s="94">
        <f>A45+1</f>
        <v>2</v>
      </c>
      <c r="B46" s="94">
        <f>VLOOKUP(A46,STN_TABLE_2,2,FALSE)</f>
        <v>0.25</v>
      </c>
      <c r="C46" s="80">
        <f>IF(OR(B48-B47=B47-B46,B48-B47=B47-B45,),B47,IF(B48-B46=B46-B45,B46,"#NA"))</f>
        <v>0.5</v>
      </c>
      <c r="D46" s="76">
        <f>VLOOKUP(C46,STN_TABLE,2,FALSE)</f>
        <v>10.67</v>
      </c>
      <c r="E46" s="81">
        <v>4</v>
      </c>
      <c r="F46" s="76">
        <f>D46*E46</f>
        <v>42.68</v>
      </c>
      <c r="G46" s="77">
        <f>C46</f>
        <v>0.5</v>
      </c>
      <c r="H46" s="77">
        <f>F46*G46</f>
        <v>21.34</v>
      </c>
      <c r="I46" s="204" t="s">
        <v>171</v>
      </c>
      <c r="J46" s="194" t="s">
        <v>168</v>
      </c>
      <c r="K46" s="78" t="s">
        <v>98</v>
      </c>
      <c r="L46" s="194" t="s">
        <v>168</v>
      </c>
      <c r="M46" s="7" t="s">
        <v>77</v>
      </c>
      <c r="N46" s="194" t="s">
        <v>168</v>
      </c>
      <c r="O46" s="99">
        <f>O45+1</f>
        <v>4</v>
      </c>
      <c r="P46" s="99">
        <f t="shared" si="24"/>
        <v>0.75</v>
      </c>
      <c r="Q46" s="76">
        <f>P46</f>
        <v>0.75</v>
      </c>
      <c r="R46" s="77">
        <f>VLOOKUP(Q46,STN_TABLE,2,FALSE)</f>
        <v>10.9</v>
      </c>
      <c r="S46" s="77">
        <v>8</v>
      </c>
      <c r="T46" s="76">
        <f>R46*S46</f>
        <v>87.2</v>
      </c>
      <c r="U46" s="80">
        <v>10</v>
      </c>
      <c r="V46" s="76">
        <f>R46*U46</f>
        <v>109</v>
      </c>
      <c r="W46" s="204" t="s">
        <v>171</v>
      </c>
      <c r="X46" s="194" t="s">
        <v>168</v>
      </c>
      <c r="Y46" s="78" t="s">
        <v>98</v>
      </c>
      <c r="Z46" s="194" t="s">
        <v>168</v>
      </c>
      <c r="AA46" s="7" t="s">
        <v>77</v>
      </c>
      <c r="AB46" s="194" t="s">
        <v>168</v>
      </c>
      <c r="AC46" s="99">
        <f>AC40+1</f>
        <v>3</v>
      </c>
      <c r="AD46" s="95">
        <f>VLOOKUP(AC46,STN_TABLE_2,2,FALSE)</f>
        <v>0.5</v>
      </c>
      <c r="AE46">
        <f t="shared" ref="AE46:AE47" si="25">AG46</f>
        <v>10.67</v>
      </c>
      <c r="AF46">
        <v>1</v>
      </c>
      <c r="AG46" s="68">
        <f>VLOOKUP(AD46,STN_TABLE,2,FALSE)</f>
        <v>10.67</v>
      </c>
      <c r="AH46" s="68">
        <v>1</v>
      </c>
      <c r="AI46" s="69">
        <f>AG46*AH46</f>
        <v>10.67</v>
      </c>
      <c r="AJ46" s="204" t="s">
        <v>171</v>
      </c>
      <c r="AK46" s="194" t="s">
        <v>168</v>
      </c>
      <c r="AL46" s="78" t="s">
        <v>98</v>
      </c>
      <c r="AM46" s="194" t="s">
        <v>168</v>
      </c>
      <c r="AN46" s="7" t="s">
        <v>77</v>
      </c>
      <c r="AO46" s="194" t="s">
        <v>168</v>
      </c>
      <c r="AR46" s="86" t="s">
        <v>112</v>
      </c>
      <c r="AS46" s="89" t="s">
        <v>113</v>
      </c>
      <c r="AT46" s="89" t="s">
        <v>114</v>
      </c>
      <c r="AU46" s="89" t="s">
        <v>115</v>
      </c>
      <c r="AV46" s="71" t="str">
        <f t="shared" ref="AV46" si="26">IF(AV47=AR47,AR46,IF(AV47=AS47,AS46,IF(AV47=AT47,AT46,AU46)))</f>
        <v>1,4,1 rule</v>
      </c>
      <c r="BG46"/>
      <c r="BH46"/>
    </row>
    <row r="47" spans="1:60" x14ac:dyDescent="0.25">
      <c r="A47" s="94">
        <f>A46+1</f>
        <v>3</v>
      </c>
      <c r="B47" s="94">
        <f>VLOOKUP(A47,STN_TABLE_2,2,FALSE)</f>
        <v>0.5</v>
      </c>
      <c r="C47" s="88">
        <f>B48</f>
        <v>0.75</v>
      </c>
      <c r="D47" s="82">
        <f>VLOOKUP(C47,STN_TABLE,2,FALSE)</f>
        <v>10.9</v>
      </c>
      <c r="E47" s="92">
        <v>1</v>
      </c>
      <c r="F47" s="82">
        <f>D47*E47</f>
        <v>10.9</v>
      </c>
      <c r="G47" s="83">
        <f>C47</f>
        <v>0.75</v>
      </c>
      <c r="H47" s="83">
        <f>F47*G47</f>
        <v>8.1750000000000007</v>
      </c>
      <c r="I47" s="84" t="str">
        <f>CONCATENATE("a'(",C45,"~",C47,")=")</f>
        <v>a'(0.25~0.75)=</v>
      </c>
      <c r="J47" s="84">
        <f>2*J45/3*F48</f>
        <v>21.303333333333331</v>
      </c>
      <c r="K47" s="84" t="str">
        <f>CONCATENATE("A(",C45,")=")</f>
        <v>A(0.25)=</v>
      </c>
      <c r="L47" s="84">
        <f>VLOOKUP(C45,STN_TABLE,3,FALSE)</f>
        <v>9.9558333333333309</v>
      </c>
      <c r="M47" t="str">
        <f>CONCATENATE("A(",C47,")=")</f>
        <v>A(0.75)=</v>
      </c>
      <c r="N47">
        <f>J47+L47</f>
        <v>31.259166666666662</v>
      </c>
      <c r="O47" s="99">
        <f>O46+1</f>
        <v>5</v>
      </c>
      <c r="P47" s="99">
        <f t="shared" si="24"/>
        <v>1</v>
      </c>
      <c r="Q47" s="82">
        <f>IF(P47-P46=P46-P45,P47,IF(P48-P46=P46-P45,P48,IF(P47-P46=P46-P44,P47,IF(P48-P46=P46-P44,P48,"-"))))</f>
        <v>1</v>
      </c>
      <c r="R47" s="83">
        <f>VLOOKUP(Q47,STN_TABLE,2,FALSE)</f>
        <v>11</v>
      </c>
      <c r="S47" s="83">
        <v>-1</v>
      </c>
      <c r="T47" s="82">
        <f>R47*S47</f>
        <v>-11</v>
      </c>
      <c r="U47" s="88">
        <v>-1</v>
      </c>
      <c r="V47" s="82">
        <f>R47*U47</f>
        <v>-11</v>
      </c>
      <c r="W47" s="84" t="str">
        <f>CONCATENATE("a'(",Q45,"~",Q46,")=")</f>
        <v>a'(0.5~0.75)=</v>
      </c>
      <c r="X47" s="84">
        <f>2*X45/12*T48</f>
        <v>10.795833333333334</v>
      </c>
      <c r="Y47" s="84" t="str">
        <f>CONCATENATE("A(",Q45,")=")</f>
        <v>A(0.5)=</v>
      </c>
      <c r="Z47" s="84">
        <f>VLOOKUP(Q45,STN_TABLE,3,FALSE)</f>
        <v>20.496666666666666</v>
      </c>
      <c r="AA47" t="str">
        <f>CONCATENATE("A(",Q46,")=")</f>
        <v>A(0.75)=</v>
      </c>
      <c r="AB47">
        <f>X47+Z47</f>
        <v>31.2925</v>
      </c>
      <c r="AC47" s="99">
        <f>AC46+1</f>
        <v>4</v>
      </c>
      <c r="AD47" s="100">
        <f>VLOOKUP(AC47,STN_TABLE_2,2,FALSE)</f>
        <v>0.75</v>
      </c>
      <c r="AE47">
        <f t="shared" si="25"/>
        <v>10.9</v>
      </c>
      <c r="AF47">
        <v>1</v>
      </c>
      <c r="AG47" s="82">
        <f>VLOOKUP(AD47,STN_TABLE,2,FALSE)</f>
        <v>10.9</v>
      </c>
      <c r="AH47" s="82">
        <v>2</v>
      </c>
      <c r="AI47" s="83">
        <f>AG47*AH47</f>
        <v>21.8</v>
      </c>
      <c r="AJ47" s="84" t="str">
        <f>CONCATENATE("a'(",AD47,")=")</f>
        <v>a'(0.75)=</v>
      </c>
      <c r="AK47" s="84">
        <f>2*AK45/2*AG48</f>
        <v>10.785</v>
      </c>
      <c r="AL47" s="84" t="str">
        <f>CONCATENATE("A(",AD46,")=")</f>
        <v>A(0.5)=</v>
      </c>
      <c r="AM47" s="84">
        <f>VLOOKUP(AD46,STN_TABLE,3,FALSE)</f>
        <v>20.496666666666666</v>
      </c>
      <c r="AN47" t="str">
        <f>CONCATENATE("A(",AD47,")=")</f>
        <v>A(0.75)=</v>
      </c>
      <c r="AO47">
        <f>AK47+AM47</f>
        <v>31.281666666666666</v>
      </c>
      <c r="AQ47" s="68" t="str">
        <f>AA47</f>
        <v>A(0.75)=</v>
      </c>
      <c r="AR47" s="68" t="str">
        <f>IFERROR(VLOOKUP(AQ47,Rise_Results,2,FALSE),"-")</f>
        <v>-</v>
      </c>
      <c r="AS47" s="76">
        <f>IFERROR(N47,"-")</f>
        <v>31.259166666666662</v>
      </c>
      <c r="AT47" s="76">
        <f>IFERROR(IF(OR(AB47&lt;=0,AB48&lt;=0),1/0,AB47),"-")</f>
        <v>31.2925</v>
      </c>
      <c r="AU47" s="76">
        <f t="shared" ref="AU47:AU48" si="27">AO47</f>
        <v>31.281666666666666</v>
      </c>
      <c r="AV47">
        <f t="shared" ref="AV47:AV48" si="28">IF(ISNUMBER(AR47),AR47,IF(ISNUMBER(AS47),AS47,IF(ISNUMBER(AT47),AT47,AU47)))</f>
        <v>31.259166666666662</v>
      </c>
      <c r="BG47"/>
      <c r="BH47"/>
    </row>
    <row r="48" spans="1:60" x14ac:dyDescent="0.25">
      <c r="A48" s="94">
        <f>A47+1</f>
        <v>4</v>
      </c>
      <c r="B48" s="94">
        <f>VLOOKUP(A48,STN_TABLE_2,2,FALSE)</f>
        <v>0.75</v>
      </c>
      <c r="C48" s="194" t="e">
        <v>#DIV/0!</v>
      </c>
      <c r="D48" s="194" t="e">
        <v>#DIV/0!</v>
      </c>
      <c r="E48" s="6" t="s">
        <v>172</v>
      </c>
      <c r="F48" s="89">
        <f>SUM(F45:F47)</f>
        <v>63.91</v>
      </c>
      <c r="G48" s="6" t="s">
        <v>172</v>
      </c>
      <c r="H48" s="82">
        <f>SUM(H45:H47)</f>
        <v>32.097499999999997</v>
      </c>
      <c r="I48" s="84" t="str">
        <f>CONCATENATE("m'(",C45,"~",C47,")=")</f>
        <v>m'(0.25~0.75)=</v>
      </c>
      <c r="J48" s="84">
        <f>2*(J45*(WLS))/3*H48</f>
        <v>21.39833333333333</v>
      </c>
      <c r="K48" s="84" t="str">
        <f>CONCATENATE("M(",C45,")=")</f>
        <v>M(0.25)=</v>
      </c>
      <c r="L48" s="84">
        <f>VLOOKUP(C45,STN_TABLE,4,FALSE)</f>
        <v>2.5235416666666666</v>
      </c>
      <c r="M48" t="str">
        <f>CONCATENATE("M(",C47,")=")</f>
        <v>M(0.75)=</v>
      </c>
      <c r="N48">
        <f>J48+L48</f>
        <v>23.921874999999996</v>
      </c>
      <c r="O48" s="99">
        <f>O47+1</f>
        <v>6</v>
      </c>
      <c r="P48" s="99">
        <f t="shared" si="24"/>
        <v>2</v>
      </c>
      <c r="Q48" s="194" t="s">
        <v>168</v>
      </c>
      <c r="R48" s="194" t="s">
        <v>168</v>
      </c>
      <c r="S48" s="6" t="s">
        <v>172</v>
      </c>
      <c r="T48" s="89">
        <f>SUM(T45:T47)</f>
        <v>129.55000000000001</v>
      </c>
      <c r="U48" s="6" t="s">
        <v>172</v>
      </c>
      <c r="V48" s="82">
        <f>SUM(V45:V47)</f>
        <v>130.01</v>
      </c>
      <c r="W48" s="84" t="str">
        <f>CONCATENATE("m'(",Q45,"~",Q46,")=")</f>
        <v>m'(0.5~0.75)=</v>
      </c>
      <c r="X48" s="84">
        <f>(2*(X45^2)/24*V48)+(X47*Q45*WLS)</f>
        <v>13.504375</v>
      </c>
      <c r="Y48" s="84" t="str">
        <f>CONCATENATE("M(",Q45,")=")</f>
        <v>M(0.5)=</v>
      </c>
      <c r="Z48" s="84">
        <f>VLOOKUP(Q45,STN_TABLE,4,FALSE)</f>
        <v>10.443333333333332</v>
      </c>
      <c r="AA48" t="str">
        <f>CONCATENATE("M(",Q46,")=")</f>
        <v>M(0.75)=</v>
      </c>
      <c r="AB48">
        <f>X48+Z48</f>
        <v>23.947708333333331</v>
      </c>
      <c r="AD48" s="194" t="s">
        <v>168</v>
      </c>
      <c r="AE48" s="194" t="s">
        <v>168</v>
      </c>
      <c r="AF48" s="6" t="s">
        <v>172</v>
      </c>
      <c r="AG48" s="89">
        <f>SUM(AG46:AG47)</f>
        <v>21.57</v>
      </c>
      <c r="AH48" s="6" t="s">
        <v>172</v>
      </c>
      <c r="AI48" s="89">
        <f>SUM(AI46:AI47)</f>
        <v>32.47</v>
      </c>
      <c r="AJ48" s="84" t="str">
        <f>CONCATENATE("m'(",AD47,")=")</f>
        <v>m'(0.75)=</v>
      </c>
      <c r="AK48" s="84">
        <f>(2*(AK45^2)/6*AI48)+(AK47*AD46*WLS)</f>
        <v>13.490833333333333</v>
      </c>
      <c r="AL48" s="84" t="str">
        <f>CONCATENATE("M(",AD46,")=")</f>
        <v>M(0.5)=</v>
      </c>
      <c r="AM48" s="84">
        <f>VLOOKUP(AD46,STN_TABLE,4,FALSE)</f>
        <v>10.443333333333332</v>
      </c>
      <c r="AN48" t="str">
        <f>CONCATENATE("M(",AD47,")=")</f>
        <v>M(0.75)=</v>
      </c>
      <c r="AO48">
        <f>AK48+AM48</f>
        <v>23.934166666666663</v>
      </c>
      <c r="AQ48" s="82" t="str">
        <f>AA48</f>
        <v>M(0.75)=</v>
      </c>
      <c r="AR48" s="82" t="str">
        <f>IFERROR(VLOOKUP(AQ48,Rise_Results,2,FALSE),"-")</f>
        <v>-</v>
      </c>
      <c r="AS48" s="82">
        <f>IFERROR(N48,"-")</f>
        <v>23.921874999999996</v>
      </c>
      <c r="AT48" s="82">
        <f>IFERROR(IF(OR(AB47&lt;=0,AB48&lt;=0),1/0,AB48),"-")</f>
        <v>23.947708333333331</v>
      </c>
      <c r="AU48" s="82">
        <f t="shared" si="27"/>
        <v>23.934166666666663</v>
      </c>
      <c r="AV48">
        <f t="shared" si="28"/>
        <v>23.921874999999996</v>
      </c>
      <c r="BG48"/>
      <c r="BH48"/>
    </row>
    <row r="49" spans="1:60" x14ac:dyDescent="0.25">
      <c r="A49" s="94"/>
      <c r="B49" s="94"/>
      <c r="F49" s="81"/>
      <c r="H49" s="81"/>
      <c r="I49" s="84"/>
      <c r="J49" s="84"/>
      <c r="K49" s="84"/>
      <c r="L49" s="84"/>
      <c r="O49" s="99"/>
      <c r="P49" s="99"/>
      <c r="T49" s="81"/>
      <c r="V49" s="81"/>
      <c r="W49" s="84"/>
      <c r="X49" s="84"/>
      <c r="Y49" s="84"/>
      <c r="Z49" s="84"/>
      <c r="AD49" s="194" t="s">
        <v>168</v>
      </c>
      <c r="AE49" s="194" t="s">
        <v>168</v>
      </c>
      <c r="AF49" s="194" t="s">
        <v>168</v>
      </c>
      <c r="AG49" s="194" t="s">
        <v>168</v>
      </c>
      <c r="AH49" s="194" t="s">
        <v>168</v>
      </c>
      <c r="AI49" s="194" t="s">
        <v>168</v>
      </c>
      <c r="AJ49" s="194" t="s">
        <v>168</v>
      </c>
      <c r="AK49" s="194" t="s">
        <v>168</v>
      </c>
      <c r="AL49" s="194" t="s">
        <v>168</v>
      </c>
      <c r="AM49" s="194" t="s">
        <v>168</v>
      </c>
      <c r="AN49" s="194" t="s">
        <v>168</v>
      </c>
      <c r="AO49" s="194" t="s">
        <v>168</v>
      </c>
      <c r="AQ49" s="81"/>
      <c r="AR49" s="81"/>
      <c r="AS49" s="81"/>
      <c r="AT49" s="81"/>
      <c r="AU49" s="81"/>
      <c r="BG49"/>
      <c r="BH49"/>
    </row>
    <row r="50" spans="1:60" ht="18" x14ac:dyDescent="0.35">
      <c r="A50" s="101">
        <f>A44+1</f>
        <v>1</v>
      </c>
      <c r="B50" s="101">
        <f>VLOOKUP(A50,STN_TABLE_2,2,FALSE)</f>
        <v>0</v>
      </c>
      <c r="C50" t="s">
        <v>0</v>
      </c>
      <c r="D50" t="s">
        <v>95</v>
      </c>
      <c r="E50" t="s">
        <v>164</v>
      </c>
      <c r="F50" t="s">
        <v>165</v>
      </c>
      <c r="G50" t="s">
        <v>13</v>
      </c>
      <c r="H50" t="s">
        <v>169</v>
      </c>
      <c r="I50" s="194" t="s">
        <v>168</v>
      </c>
      <c r="J50" s="194" t="s">
        <v>168</v>
      </c>
      <c r="K50" s="194" t="s">
        <v>168</v>
      </c>
      <c r="L50" s="194" t="s">
        <v>168</v>
      </c>
      <c r="M50" s="194" t="s">
        <v>168</v>
      </c>
      <c r="N50" s="194" t="s">
        <v>168</v>
      </c>
      <c r="O50" s="101">
        <f>O44+1</f>
        <v>3</v>
      </c>
      <c r="P50" s="101">
        <f t="shared" si="24"/>
        <v>0.5</v>
      </c>
      <c r="Q50" t="s">
        <v>0</v>
      </c>
      <c r="R50" t="s">
        <v>95</v>
      </c>
      <c r="S50" t="s">
        <v>164</v>
      </c>
      <c r="T50" t="s">
        <v>165</v>
      </c>
      <c r="U50" t="s">
        <v>166</v>
      </c>
      <c r="V50" t="s">
        <v>167</v>
      </c>
      <c r="W50" s="194" t="s">
        <v>168</v>
      </c>
      <c r="X50" s="194" t="s">
        <v>168</v>
      </c>
      <c r="Y50" s="194" t="s">
        <v>168</v>
      </c>
      <c r="Z50" s="194" t="s">
        <v>168</v>
      </c>
      <c r="AA50" s="194" t="s">
        <v>168</v>
      </c>
      <c r="AB50" s="194" t="s">
        <v>168</v>
      </c>
      <c r="BG50"/>
      <c r="BH50"/>
    </row>
    <row r="51" spans="1:60" ht="18" x14ac:dyDescent="0.35">
      <c r="A51" s="84">
        <f>A50+1</f>
        <v>2</v>
      </c>
      <c r="B51" s="84">
        <f>VLOOKUP(A51,STN_TABLE_2,2,FALSE)</f>
        <v>0.25</v>
      </c>
      <c r="C51" s="79">
        <f>IF(C52=B53,IF(C53-C52=C52-B52,B52,IF(C53-C52=C52-B51,B51,"#NA")),IF(C52=B52,IF(C53-C52=C52-B51,B51,IF(C53-C52=C52-B50,B50,"#NA")),"#NA"))</f>
        <v>0.5</v>
      </c>
      <c r="D51" s="68">
        <f>VLOOKUP(C51,STN_TABLE,2,FALSE)</f>
        <v>10.67</v>
      </c>
      <c r="E51" s="102">
        <v>1</v>
      </c>
      <c r="F51" s="68">
        <f>D51*E51</f>
        <v>10.67</v>
      </c>
      <c r="G51" s="69">
        <f>C51</f>
        <v>0.5</v>
      </c>
      <c r="H51" s="69">
        <f>F51*G51</f>
        <v>5.335</v>
      </c>
      <c r="I51" s="6" t="s">
        <v>93</v>
      </c>
      <c r="J51" s="70">
        <f>IF(OR(D51=0,D52=0,D53=0),"#NA",IF(AND(C53-C52=C52-C51,C52&lt;&gt;C53,C51&lt;&gt;C52,C51&lt;&gt;C53,D53&lt;&gt;0,OR(D51&lt;&gt;0,D52&lt;&gt;0)),WLS*(C53-C52),"#NA"))</f>
        <v>0.5</v>
      </c>
      <c r="K51" s="194" t="s">
        <v>168</v>
      </c>
      <c r="L51" s="194" t="s">
        <v>168</v>
      </c>
      <c r="M51" s="194" t="s">
        <v>168</v>
      </c>
      <c r="N51" s="194" t="s">
        <v>168</v>
      </c>
      <c r="O51" s="99">
        <f>O50+1</f>
        <v>4</v>
      </c>
      <c r="P51" s="99">
        <f t="shared" si="24"/>
        <v>0.75</v>
      </c>
      <c r="Q51" s="68" t="str">
        <f>IF(OR(P53-P52=P52-P51,P54-P52=P52-P51),P51,IF(OR(P53-P52=P52-P50,P54-P52=P52-P50),P50,"-"))</f>
        <v>-</v>
      </c>
      <c r="R51" s="69" t="e">
        <f>VLOOKUP(Q51,STN_TABLE,2,FALSE)</f>
        <v>#N/A</v>
      </c>
      <c r="S51" s="69">
        <v>5</v>
      </c>
      <c r="T51" s="68" t="e">
        <f>R51*S51</f>
        <v>#N/A</v>
      </c>
      <c r="U51" s="79">
        <v>3</v>
      </c>
      <c r="V51" s="68" t="e">
        <f>R51*U51</f>
        <v>#N/A</v>
      </c>
      <c r="W51" s="6" t="s">
        <v>93</v>
      </c>
      <c r="X51" s="70" t="e">
        <f>IF(AND(Q53-Q52=Q52-Q51,NOT(AND(Q51=0,Q52=0)),NOT(AND(Q52=0,Q53=0))),WLS*(Q53-Q52),"#NA")</f>
        <v>#VALUE!</v>
      </c>
      <c r="Y51" s="194" t="s">
        <v>168</v>
      </c>
      <c r="Z51" s="194" t="s">
        <v>168</v>
      </c>
      <c r="AA51" s="194" t="s">
        <v>168</v>
      </c>
      <c r="AB51" s="194" t="s">
        <v>168</v>
      </c>
      <c r="AD51" t="s">
        <v>0</v>
      </c>
      <c r="AE51" t="s">
        <v>95</v>
      </c>
      <c r="AF51" t="s">
        <v>173</v>
      </c>
      <c r="AG51" t="s">
        <v>183</v>
      </c>
      <c r="AH51" t="s">
        <v>175</v>
      </c>
      <c r="AI51" t="s">
        <v>184</v>
      </c>
      <c r="AJ51" s="6" t="s">
        <v>93</v>
      </c>
      <c r="AK51" s="70">
        <f>WLS*(AD53-AD52)</f>
        <v>0.5</v>
      </c>
      <c r="AL51" s="194" t="s">
        <v>168</v>
      </c>
      <c r="AM51" s="194" t="s">
        <v>168</v>
      </c>
      <c r="AN51" s="194" t="s">
        <v>168</v>
      </c>
      <c r="AO51" s="194" t="s">
        <v>168</v>
      </c>
      <c r="BG51"/>
      <c r="BH51"/>
    </row>
    <row r="52" spans="1:60" x14ac:dyDescent="0.25">
      <c r="A52" s="84">
        <f>A51+1</f>
        <v>3</v>
      </c>
      <c r="B52" s="84">
        <f>VLOOKUP(A52,STN_TABLE_2,2,FALSE)</f>
        <v>0.5</v>
      </c>
      <c r="C52" s="80">
        <f>IF(OR(B54-B53=B53-B52,B54-B53=B53-B51,B54-B53=B53-B50),B53,IF(OR(B54-B52=B52-B51,B54-B52=B52-B50),B52,IF(B54-B51=B51-B50,B51,"#NA")))</f>
        <v>0.75</v>
      </c>
      <c r="D52" s="76">
        <f>VLOOKUP(C52,STN_TABLE,2,FALSE)</f>
        <v>10.9</v>
      </c>
      <c r="E52" s="81">
        <v>4</v>
      </c>
      <c r="F52" s="76">
        <f>D52*E52</f>
        <v>43.6</v>
      </c>
      <c r="G52" s="77">
        <f>C52</f>
        <v>0.75</v>
      </c>
      <c r="H52" s="77">
        <f>F52*G52</f>
        <v>32.700000000000003</v>
      </c>
      <c r="I52" s="204" t="s">
        <v>171</v>
      </c>
      <c r="J52" s="194" t="s">
        <v>168</v>
      </c>
      <c r="K52" s="78" t="s">
        <v>98</v>
      </c>
      <c r="L52" s="194" t="s">
        <v>168</v>
      </c>
      <c r="M52" s="7" t="s">
        <v>77</v>
      </c>
      <c r="N52" s="194" t="s">
        <v>168</v>
      </c>
      <c r="O52" s="99">
        <f>O51+1</f>
        <v>5</v>
      </c>
      <c r="P52" s="99">
        <f t="shared" si="24"/>
        <v>1</v>
      </c>
      <c r="Q52" s="76">
        <f>P52</f>
        <v>1</v>
      </c>
      <c r="R52" s="77">
        <f>VLOOKUP(Q52,STN_TABLE,2,FALSE)</f>
        <v>11</v>
      </c>
      <c r="S52" s="77">
        <v>8</v>
      </c>
      <c r="T52" s="76">
        <f>R52*S52</f>
        <v>88</v>
      </c>
      <c r="U52" s="80">
        <v>10</v>
      </c>
      <c r="V52" s="76">
        <f>R52*U52</f>
        <v>110</v>
      </c>
      <c r="W52" s="204" t="s">
        <v>171</v>
      </c>
      <c r="X52" s="194" t="s">
        <v>168</v>
      </c>
      <c r="Y52" s="78" t="s">
        <v>98</v>
      </c>
      <c r="Z52" s="194" t="s">
        <v>168</v>
      </c>
      <c r="AA52" s="7" t="s">
        <v>77</v>
      </c>
      <c r="AB52" s="194" t="s">
        <v>168</v>
      </c>
      <c r="AC52" s="99">
        <f>AC46+1</f>
        <v>4</v>
      </c>
      <c r="AD52" s="95">
        <f>VLOOKUP(AC52,STN_TABLE_2,2,FALSE)</f>
        <v>0.75</v>
      </c>
      <c r="AE52">
        <f t="shared" ref="AE52:AE53" si="29">AG52</f>
        <v>10.9</v>
      </c>
      <c r="AF52">
        <v>1</v>
      </c>
      <c r="AG52" s="68">
        <f>VLOOKUP(AD52,STN_TABLE,2,FALSE)</f>
        <v>10.9</v>
      </c>
      <c r="AH52" s="68">
        <v>1</v>
      </c>
      <c r="AI52" s="69">
        <f>AG52*AH52</f>
        <v>10.9</v>
      </c>
      <c r="AJ52" s="204" t="s">
        <v>171</v>
      </c>
      <c r="AK52" s="194" t="s">
        <v>168</v>
      </c>
      <c r="AL52" s="78" t="s">
        <v>98</v>
      </c>
      <c r="AM52" s="194" t="s">
        <v>168</v>
      </c>
      <c r="AN52" s="7" t="s">
        <v>77</v>
      </c>
      <c r="AO52" s="194" t="s">
        <v>168</v>
      </c>
      <c r="AR52" s="86" t="s">
        <v>112</v>
      </c>
      <c r="AS52" s="89" t="s">
        <v>113</v>
      </c>
      <c r="AT52" s="89" t="s">
        <v>114</v>
      </c>
      <c r="AU52" s="89" t="s">
        <v>115</v>
      </c>
      <c r="AV52" s="71" t="str">
        <f t="shared" ref="AV52" si="30">IF(AV53=AR53,AR52,IF(AV53=AS53,AS52,IF(AV53=AT53,AT52,AU52)))</f>
        <v>1,4,1 rule</v>
      </c>
    </row>
    <row r="53" spans="1:60" x14ac:dyDescent="0.25">
      <c r="A53" s="84">
        <f>A52+1</f>
        <v>4</v>
      </c>
      <c r="B53" s="84">
        <f>VLOOKUP(A53,STN_TABLE_2,2,FALSE)</f>
        <v>0.75</v>
      </c>
      <c r="C53" s="88">
        <f>B54</f>
        <v>1</v>
      </c>
      <c r="D53" s="82">
        <f>VLOOKUP(C53,STN_TABLE,2,FALSE)</f>
        <v>11</v>
      </c>
      <c r="E53" s="92">
        <v>1</v>
      </c>
      <c r="F53" s="82">
        <f>D53*E53</f>
        <v>11</v>
      </c>
      <c r="G53" s="83">
        <f>C53</f>
        <v>1</v>
      </c>
      <c r="H53" s="83">
        <f>F53*G53</f>
        <v>11</v>
      </c>
      <c r="I53" s="84" t="str">
        <f>CONCATENATE("a'(",C51,"~",C53,")=")</f>
        <v>a'(0.5~1)=</v>
      </c>
      <c r="J53" s="84">
        <f>2*J51/3*F54</f>
        <v>21.756666666666668</v>
      </c>
      <c r="K53" s="84" t="str">
        <f>CONCATENATE("A(",C51,")=")</f>
        <v>A(0.5)=</v>
      </c>
      <c r="L53" s="84">
        <f>VLOOKUP(C51,STN_TABLE,3,FALSE)</f>
        <v>20.496666666666666</v>
      </c>
      <c r="M53" t="str">
        <f>CONCATENATE("A(",C53,")=")</f>
        <v>A(1)=</v>
      </c>
      <c r="N53">
        <f>J53+L53</f>
        <v>42.25333333333333</v>
      </c>
      <c r="O53" s="99">
        <f>O52+1</f>
        <v>6</v>
      </c>
      <c r="P53" s="99">
        <f t="shared" si="24"/>
        <v>2</v>
      </c>
      <c r="Q53" s="82" t="str">
        <f>IF(P53-P52=P52-P51,P53,IF(P54-P52=P52-P51,P54,IF(P53-P52=P52-P50,P53,IF(P54-P52=P52-P50,P54,"-"))))</f>
        <v>-</v>
      </c>
      <c r="R53" s="83" t="e">
        <f>VLOOKUP(Q53,STN_TABLE,2,FALSE)</f>
        <v>#N/A</v>
      </c>
      <c r="S53" s="83">
        <v>-1</v>
      </c>
      <c r="T53" s="82" t="e">
        <f>R53*S53</f>
        <v>#N/A</v>
      </c>
      <c r="U53" s="88">
        <v>-1</v>
      </c>
      <c r="V53" s="82" t="e">
        <f>R53*U53</f>
        <v>#N/A</v>
      </c>
      <c r="W53" s="84" t="str">
        <f>CONCATENATE("a'(",Q51,"~",Q52,")=")</f>
        <v>a'(-~1)=</v>
      </c>
      <c r="X53" s="84" t="e">
        <f>2*X51/12*T54</f>
        <v>#VALUE!</v>
      </c>
      <c r="Y53" s="84" t="str">
        <f>CONCATENATE("A(",Q51,")=")</f>
        <v>A(-)=</v>
      </c>
      <c r="Z53" s="84" t="e">
        <f>VLOOKUP(Q51,STN_TABLE,3,FALSE)</f>
        <v>#N/A</v>
      </c>
      <c r="AA53" t="str">
        <f>CONCATENATE("A(",Q52,")=")</f>
        <v>A(1)=</v>
      </c>
      <c r="AB53" t="e">
        <f>X53+Z53</f>
        <v>#VALUE!</v>
      </c>
      <c r="AC53" s="99">
        <f>AC52+1</f>
        <v>5</v>
      </c>
      <c r="AD53" s="100">
        <f>VLOOKUP(AC53,STN_TABLE_2,2,FALSE)</f>
        <v>1</v>
      </c>
      <c r="AE53">
        <f t="shared" si="29"/>
        <v>11</v>
      </c>
      <c r="AF53">
        <v>1</v>
      </c>
      <c r="AG53" s="82">
        <f>VLOOKUP(AD53,STN_TABLE,2,FALSE)</f>
        <v>11</v>
      </c>
      <c r="AH53" s="82">
        <v>2</v>
      </c>
      <c r="AI53" s="83">
        <f>AG53*AH53</f>
        <v>22</v>
      </c>
      <c r="AJ53" s="84" t="str">
        <f>CONCATENATE("a'(",AD53,")=")</f>
        <v>a'(1)=</v>
      </c>
      <c r="AK53" s="84">
        <f>2*AK51/2*AG54</f>
        <v>10.95</v>
      </c>
      <c r="AL53" s="84" t="str">
        <f>CONCATENATE("A(",AD52,")=")</f>
        <v>A(0.75)=</v>
      </c>
      <c r="AM53" s="84">
        <f>VLOOKUP(AD52,STN_TABLE,3,FALSE)</f>
        <v>31.259166666666662</v>
      </c>
      <c r="AN53" t="str">
        <f>CONCATENATE("A(",AD53,")=")</f>
        <v>A(1)=</v>
      </c>
      <c r="AO53">
        <f>AK53+AM53</f>
        <v>42.209166666666661</v>
      </c>
      <c r="AQ53" s="68" t="str">
        <f>AA53</f>
        <v>A(1)=</v>
      </c>
      <c r="AR53" s="68" t="str">
        <f>IFERROR(VLOOKUP(AQ53,Rise_Results,2,FALSE),"-")</f>
        <v>-</v>
      </c>
      <c r="AS53" s="76">
        <f>IFERROR(N53,"-")</f>
        <v>42.25333333333333</v>
      </c>
      <c r="AT53" s="76" t="str">
        <f>IFERROR(IF(OR(AB53&lt;=0,AB54&lt;=0),1/0,AB53),"-")</f>
        <v>-</v>
      </c>
      <c r="AU53" s="76">
        <f t="shared" ref="AU53:AU54" si="31">AO53</f>
        <v>42.209166666666661</v>
      </c>
      <c r="AV53">
        <f t="shared" ref="AV53:AV54" si="32">IF(ISNUMBER(AR53),AR53,IF(ISNUMBER(AS53),AS53,IF(ISNUMBER(AT53),AT53,AU53)))</f>
        <v>42.25333333333333</v>
      </c>
    </row>
    <row r="54" spans="1:60" x14ac:dyDescent="0.25">
      <c r="A54" s="84">
        <f>A53+1</f>
        <v>5</v>
      </c>
      <c r="B54" s="84">
        <f>VLOOKUP(A54,STN_TABLE_2,2,FALSE)</f>
        <v>1</v>
      </c>
      <c r="C54" s="194" t="e">
        <v>#DIV/0!</v>
      </c>
      <c r="D54" s="194" t="e">
        <v>#DIV/0!</v>
      </c>
      <c r="E54" s="6" t="s">
        <v>172</v>
      </c>
      <c r="F54" s="89">
        <f>SUM(F51:F53)</f>
        <v>65.27000000000001</v>
      </c>
      <c r="G54" s="6" t="s">
        <v>172</v>
      </c>
      <c r="H54" s="82">
        <f>SUM(H51:H53)</f>
        <v>49.035000000000004</v>
      </c>
      <c r="I54" s="84" t="str">
        <f>CONCATENATE("m'(",C51,"~",C53,")=")</f>
        <v>m'(0.5~1)=</v>
      </c>
      <c r="J54" s="84">
        <f>2*(J51*(WLS))/3*H54</f>
        <v>32.69</v>
      </c>
      <c r="K54" s="84" t="str">
        <f>CONCATENATE("M(",C51,")=")</f>
        <v>M(0.5)=</v>
      </c>
      <c r="L54" s="84">
        <f>VLOOKUP(C51,STN_TABLE,4,FALSE)</f>
        <v>10.443333333333332</v>
      </c>
      <c r="M54" t="str">
        <f>CONCATENATE("M(",C53,")=")</f>
        <v>M(1)=</v>
      </c>
      <c r="N54">
        <f>J54+L54</f>
        <v>43.133333333333326</v>
      </c>
      <c r="O54" s="99">
        <f>O53+1</f>
        <v>7</v>
      </c>
      <c r="P54" s="99">
        <f t="shared" si="24"/>
        <v>3</v>
      </c>
      <c r="Q54" s="194" t="s">
        <v>168</v>
      </c>
      <c r="R54" s="194" t="s">
        <v>168</v>
      </c>
      <c r="S54" s="6" t="s">
        <v>172</v>
      </c>
      <c r="T54" s="89" t="e">
        <f>SUM(T51:T53)</f>
        <v>#N/A</v>
      </c>
      <c r="U54" s="6" t="s">
        <v>172</v>
      </c>
      <c r="V54" s="82" t="e">
        <f>SUM(V51:V53)</f>
        <v>#N/A</v>
      </c>
      <c r="W54" s="84" t="str">
        <f>CONCATENATE("m'(",Q51,"~",Q52,")=")</f>
        <v>m'(-~1)=</v>
      </c>
      <c r="X54" s="84" t="e">
        <f>(2*(X51^2)/24*V54)+(X53*Q51*WLS)</f>
        <v>#VALUE!</v>
      </c>
      <c r="Y54" s="84" t="str">
        <f>CONCATENATE("M(",Q51,")=")</f>
        <v>M(-)=</v>
      </c>
      <c r="Z54" s="84" t="e">
        <f>VLOOKUP(Q51,STN_TABLE,4,FALSE)</f>
        <v>#N/A</v>
      </c>
      <c r="AA54" t="str">
        <f>CONCATENATE("M(",Q52,")=")</f>
        <v>M(1)=</v>
      </c>
      <c r="AB54" t="e">
        <f>X54+Z54</f>
        <v>#VALUE!</v>
      </c>
      <c r="AD54" s="194" t="s">
        <v>168</v>
      </c>
      <c r="AE54" s="194" t="s">
        <v>168</v>
      </c>
      <c r="AF54" s="6" t="s">
        <v>172</v>
      </c>
      <c r="AG54" s="89">
        <f>SUM(AG52:AG53)</f>
        <v>21.9</v>
      </c>
      <c r="AH54" s="6" t="s">
        <v>172</v>
      </c>
      <c r="AI54" s="89">
        <f>SUM(AI52:AI53)</f>
        <v>32.9</v>
      </c>
      <c r="AJ54" s="84" t="str">
        <f>CONCATENATE("m'(",AD53,")=")</f>
        <v>m'(1)=</v>
      </c>
      <c r="AK54" s="84">
        <f>(2*(AK51^2)/6*AI54)+(AK53*AD52*WLS)</f>
        <v>19.166666666666664</v>
      </c>
      <c r="AL54" s="84" t="str">
        <f>CONCATENATE("M(",AD52,")=")</f>
        <v>M(0.75)=</v>
      </c>
      <c r="AM54" s="84">
        <f>VLOOKUP(AD52,STN_TABLE,4,FALSE)</f>
        <v>23.921874999999996</v>
      </c>
      <c r="AN54" t="str">
        <f>CONCATENATE("M(",AD53,")=")</f>
        <v>M(1)=</v>
      </c>
      <c r="AO54">
        <f>AK54+AM54</f>
        <v>43.088541666666657</v>
      </c>
      <c r="AQ54" s="82" t="str">
        <f>AA54</f>
        <v>M(1)=</v>
      </c>
      <c r="AR54" s="82" t="str">
        <f>IFERROR(VLOOKUP(AQ54,Rise_Results,2,FALSE),"-")</f>
        <v>-</v>
      </c>
      <c r="AS54" s="82">
        <f>IFERROR(N54,"-")</f>
        <v>43.133333333333326</v>
      </c>
      <c r="AT54" s="82" t="str">
        <f>IFERROR(IF(OR(AB53&lt;=0,AB54&lt;=0),1/0,AB54),"-")</f>
        <v>-</v>
      </c>
      <c r="AU54" s="82">
        <f t="shared" si="31"/>
        <v>43.088541666666657</v>
      </c>
      <c r="AV54">
        <f t="shared" si="32"/>
        <v>43.133333333333326</v>
      </c>
    </row>
    <row r="55" spans="1:60" x14ac:dyDescent="0.25">
      <c r="A55" s="84"/>
      <c r="B55" s="84"/>
      <c r="F55" s="81"/>
      <c r="H55" s="81"/>
      <c r="I55" s="84"/>
      <c r="J55" s="84"/>
      <c r="K55" s="84"/>
      <c r="L55" s="84"/>
      <c r="O55" s="99"/>
      <c r="P55" s="99"/>
      <c r="T55" s="81"/>
      <c r="V55" s="81"/>
      <c r="W55" s="84"/>
      <c r="X55" s="84"/>
      <c r="Y55" s="84"/>
      <c r="Z55" s="84"/>
      <c r="AD55" s="194" t="s">
        <v>168</v>
      </c>
      <c r="AE55" s="194" t="s">
        <v>168</v>
      </c>
      <c r="AF55" s="194" t="s">
        <v>168</v>
      </c>
      <c r="AG55" s="194" t="s">
        <v>168</v>
      </c>
      <c r="AH55" s="194" t="s">
        <v>168</v>
      </c>
      <c r="AI55" s="194" t="s">
        <v>168</v>
      </c>
      <c r="AJ55" s="194" t="s">
        <v>168</v>
      </c>
      <c r="AK55" s="194" t="s">
        <v>168</v>
      </c>
      <c r="AL55" s="194" t="s">
        <v>168</v>
      </c>
      <c r="AM55" s="194" t="s">
        <v>168</v>
      </c>
      <c r="AN55" s="194" t="s">
        <v>168</v>
      </c>
      <c r="AO55" s="194" t="s">
        <v>168</v>
      </c>
      <c r="AQ55" s="81"/>
      <c r="AR55" s="81"/>
      <c r="AS55" s="81"/>
      <c r="AT55" s="81"/>
      <c r="AU55" s="81"/>
    </row>
    <row r="56" spans="1:60" ht="18" x14ac:dyDescent="0.35">
      <c r="A56" s="101">
        <f>A50+1</f>
        <v>2</v>
      </c>
      <c r="B56" s="101">
        <f>VLOOKUP(A56,STN_TABLE_2,2,FALSE)</f>
        <v>0.25</v>
      </c>
      <c r="C56" t="s">
        <v>0</v>
      </c>
      <c r="D56" t="s">
        <v>95</v>
      </c>
      <c r="E56" t="s">
        <v>164</v>
      </c>
      <c r="F56" t="s">
        <v>165</v>
      </c>
      <c r="G56" t="s">
        <v>13</v>
      </c>
      <c r="H56" t="s">
        <v>169</v>
      </c>
      <c r="I56" s="194" t="s">
        <v>168</v>
      </c>
      <c r="J56" s="194" t="s">
        <v>168</v>
      </c>
      <c r="K56" s="194" t="s">
        <v>168</v>
      </c>
      <c r="L56" s="194" t="s">
        <v>168</v>
      </c>
      <c r="M56" s="194" t="s">
        <v>168</v>
      </c>
      <c r="N56" s="194" t="s">
        <v>168</v>
      </c>
      <c r="O56" s="101">
        <f>O50+1</f>
        <v>4</v>
      </c>
      <c r="P56" s="101">
        <f t="shared" si="24"/>
        <v>0.75</v>
      </c>
      <c r="Q56" t="s">
        <v>0</v>
      </c>
      <c r="R56" t="s">
        <v>95</v>
      </c>
      <c r="S56" t="s">
        <v>164</v>
      </c>
      <c r="T56" t="s">
        <v>165</v>
      </c>
      <c r="U56" t="s">
        <v>166</v>
      </c>
      <c r="V56" t="s">
        <v>167</v>
      </c>
      <c r="W56" s="194" t="s">
        <v>168</v>
      </c>
      <c r="X56" s="194" t="s">
        <v>168</v>
      </c>
      <c r="Y56" s="194" t="s">
        <v>168</v>
      </c>
      <c r="Z56" s="194" t="s">
        <v>168</v>
      </c>
      <c r="AA56" s="194" t="s">
        <v>168</v>
      </c>
      <c r="AB56" s="194" t="s">
        <v>168</v>
      </c>
    </row>
    <row r="57" spans="1:60" ht="18" x14ac:dyDescent="0.35">
      <c r="A57" s="84">
        <f>A56+1</f>
        <v>3</v>
      </c>
      <c r="B57" s="84">
        <f>VLOOKUP(A57,STN_TABLE_2,2,FALSE)</f>
        <v>0.5</v>
      </c>
      <c r="C57" s="79" t="str">
        <f>IF(C58=B59,IF(C59-C58=C58-B58,B58,IF(C59-C58=C58-B57,B57,"#NA")),IF(C58=B58,IF(C59-C58=C58-B57,B57,IF(C59-C58=C58-B56,B56,"#NA")),"#NA"))</f>
        <v>#NA</v>
      </c>
      <c r="D57" s="68" t="e">
        <f>VLOOKUP(C57,STN_TABLE,2,FALSE)</f>
        <v>#N/A</v>
      </c>
      <c r="E57" s="102">
        <v>1</v>
      </c>
      <c r="F57" s="68" t="e">
        <f>D57*E57</f>
        <v>#N/A</v>
      </c>
      <c r="G57" s="69" t="str">
        <f>C57</f>
        <v>#NA</v>
      </c>
      <c r="H57" s="69" t="e">
        <f>F57*G57</f>
        <v>#N/A</v>
      </c>
      <c r="I57" s="6" t="s">
        <v>93</v>
      </c>
      <c r="J57" s="70" t="e">
        <f>IF(OR(D57=0,D58=0,D59=0),"#NA",IF(AND(C59-C58=C58-C57,C58&lt;&gt;C59,C57&lt;&gt;C58,C57&lt;&gt;C59,D59&lt;&gt;0,OR(D57&lt;&gt;0,D58&lt;&gt;0)),WLS*(C59-C58),"#NA"))</f>
        <v>#N/A</v>
      </c>
      <c r="K57" s="194" t="s">
        <v>168</v>
      </c>
      <c r="L57" s="194" t="s">
        <v>168</v>
      </c>
      <c r="M57" s="194" t="s">
        <v>168</v>
      </c>
      <c r="N57" s="194" t="s">
        <v>168</v>
      </c>
      <c r="O57" s="99">
        <f>O56+1</f>
        <v>5</v>
      </c>
      <c r="P57" s="99">
        <f t="shared" si="24"/>
        <v>1</v>
      </c>
      <c r="Q57" s="68">
        <f>IF(OR(P59-P58=P58-P57,P60-P58=P58-P57),P57,IF(OR(P59-P58=P58-P56,P60-P58=P58-P56),P56,"-"))</f>
        <v>1</v>
      </c>
      <c r="R57" s="69">
        <f>VLOOKUP(Q57,STN_TABLE,2,FALSE)</f>
        <v>11</v>
      </c>
      <c r="S57" s="69">
        <v>5</v>
      </c>
      <c r="T57" s="68">
        <f>R57*S57</f>
        <v>55</v>
      </c>
      <c r="U57" s="79">
        <v>3</v>
      </c>
      <c r="V57" s="68">
        <f>R57*U57</f>
        <v>33</v>
      </c>
      <c r="W57" s="6" t="s">
        <v>93</v>
      </c>
      <c r="X57" s="70">
        <f>IF(AND(Q59-Q58=Q58-Q57,NOT(AND(Q57=0,Q58=0)),NOT(AND(Q58=0,Q59=0))),WLS*(Q59-Q58),"#NA")</f>
        <v>2</v>
      </c>
      <c r="Y57" s="194" t="s">
        <v>168</v>
      </c>
      <c r="Z57" s="194" t="s">
        <v>168</v>
      </c>
      <c r="AA57" s="194" t="s">
        <v>168</v>
      </c>
      <c r="AB57" s="194" t="s">
        <v>168</v>
      </c>
      <c r="AD57" t="s">
        <v>0</v>
      </c>
      <c r="AE57" t="s">
        <v>95</v>
      </c>
      <c r="AF57" t="s">
        <v>173</v>
      </c>
      <c r="AG57" t="s">
        <v>183</v>
      </c>
      <c r="AH57" t="s">
        <v>175</v>
      </c>
      <c r="AI57" t="s">
        <v>184</v>
      </c>
      <c r="AJ57" s="6" t="s">
        <v>93</v>
      </c>
      <c r="AK57" s="70">
        <f>WLS*(AD59-AD58)</f>
        <v>2</v>
      </c>
      <c r="AL57" s="194" t="s">
        <v>168</v>
      </c>
      <c r="AM57" s="194" t="s">
        <v>168</v>
      </c>
      <c r="AN57" s="194" t="s">
        <v>168</v>
      </c>
      <c r="AO57" s="194" t="s">
        <v>168</v>
      </c>
      <c r="BG57"/>
      <c r="BH57"/>
    </row>
    <row r="58" spans="1:60" x14ac:dyDescent="0.25">
      <c r="A58" s="84">
        <f>A57+1</f>
        <v>4</v>
      </c>
      <c r="B58" s="84">
        <f>VLOOKUP(A58,STN_TABLE_2,2,FALSE)</f>
        <v>0.75</v>
      </c>
      <c r="C58" s="80" t="str">
        <f>IF(OR(B60-B59=B59-B58,B60-B59=B59-B57,B60-B59=B59-B56),B59,IF(OR(B60-B58=B58-B57,B60-B58=B58-B56),B58,IF(B60-B57=B57-B56,B57,"#NA")))</f>
        <v>#NA</v>
      </c>
      <c r="D58" s="76" t="e">
        <f>VLOOKUP(C58,STN_TABLE,2,FALSE)</f>
        <v>#N/A</v>
      </c>
      <c r="E58" s="81">
        <v>4</v>
      </c>
      <c r="F58" s="76" t="e">
        <f>D58*E58</f>
        <v>#N/A</v>
      </c>
      <c r="G58" s="77" t="str">
        <f>C58</f>
        <v>#NA</v>
      </c>
      <c r="H58" s="77" t="e">
        <f>F58*G58</f>
        <v>#N/A</v>
      </c>
      <c r="I58" s="204" t="s">
        <v>171</v>
      </c>
      <c r="J58" s="194" t="s">
        <v>168</v>
      </c>
      <c r="K58" s="78" t="s">
        <v>98</v>
      </c>
      <c r="L58" s="194" t="s">
        <v>168</v>
      </c>
      <c r="M58" s="7" t="s">
        <v>77</v>
      </c>
      <c r="N58" s="194" t="s">
        <v>168</v>
      </c>
      <c r="O58" s="99">
        <f>O57+1</f>
        <v>6</v>
      </c>
      <c r="P58" s="99">
        <f t="shared" si="24"/>
        <v>2</v>
      </c>
      <c r="Q58" s="76">
        <f>P58</f>
        <v>2</v>
      </c>
      <c r="R58" s="77">
        <f>VLOOKUP(Q58,STN_TABLE,2,FALSE)</f>
        <v>11</v>
      </c>
      <c r="S58" s="77">
        <v>8</v>
      </c>
      <c r="T58" s="76">
        <f>R58*S58</f>
        <v>88</v>
      </c>
      <c r="U58" s="80">
        <v>10</v>
      </c>
      <c r="V58" s="76">
        <f>R58*U58</f>
        <v>110</v>
      </c>
      <c r="W58" s="204" t="s">
        <v>171</v>
      </c>
      <c r="X58" s="194" t="s">
        <v>168</v>
      </c>
      <c r="Y58" s="78" t="s">
        <v>98</v>
      </c>
      <c r="Z58" s="194" t="s">
        <v>168</v>
      </c>
      <c r="AA58" s="7" t="s">
        <v>77</v>
      </c>
      <c r="AB58" s="194" t="s">
        <v>168</v>
      </c>
      <c r="AC58" s="99">
        <f>AC52+1</f>
        <v>5</v>
      </c>
      <c r="AD58" s="95">
        <f>VLOOKUP(AC58,STN_TABLE_2,2,FALSE)</f>
        <v>1</v>
      </c>
      <c r="AE58">
        <f t="shared" ref="AE58:AE59" si="33">AG58</f>
        <v>11</v>
      </c>
      <c r="AF58">
        <v>1</v>
      </c>
      <c r="AG58" s="68">
        <f>VLOOKUP(AD58,STN_TABLE,2,FALSE)</f>
        <v>11</v>
      </c>
      <c r="AH58" s="68">
        <v>1</v>
      </c>
      <c r="AI58" s="69">
        <f t="shared" ref="AI58:AI59" si="34">AG58*AH58</f>
        <v>11</v>
      </c>
      <c r="AJ58" s="204" t="s">
        <v>171</v>
      </c>
      <c r="AK58" s="194" t="s">
        <v>168</v>
      </c>
      <c r="AL58" s="78" t="s">
        <v>98</v>
      </c>
      <c r="AM58" s="194" t="s">
        <v>168</v>
      </c>
      <c r="AN58" s="7" t="s">
        <v>77</v>
      </c>
      <c r="AO58" s="194" t="s">
        <v>168</v>
      </c>
      <c r="AR58" s="86" t="s">
        <v>112</v>
      </c>
      <c r="AS58" s="89" t="s">
        <v>113</v>
      </c>
      <c r="AT58" s="89" t="s">
        <v>114</v>
      </c>
      <c r="AU58" s="89" t="s">
        <v>115</v>
      </c>
      <c r="AV58" s="71" t="str">
        <f t="shared" ref="AV58" si="35">IF(AV59=AR59,AR58,IF(AV59=AS59,AS58,IF(AV59=AT59,AT58,AU58)))</f>
        <v>5,8,-1 rule</v>
      </c>
      <c r="BG58"/>
      <c r="BH58"/>
    </row>
    <row r="59" spans="1:60" x14ac:dyDescent="0.25">
      <c r="A59" s="84">
        <f>A58+1</f>
        <v>5</v>
      </c>
      <c r="B59" s="84">
        <f>VLOOKUP(A59,STN_TABLE_2,2,FALSE)</f>
        <v>1</v>
      </c>
      <c r="C59" s="88">
        <f>B60</f>
        <v>2</v>
      </c>
      <c r="D59" s="82">
        <f>VLOOKUP(C59,STN_TABLE,2,FALSE)</f>
        <v>11</v>
      </c>
      <c r="E59" s="92">
        <v>1</v>
      </c>
      <c r="F59" s="82">
        <f>D59*E59</f>
        <v>11</v>
      </c>
      <c r="G59" s="83">
        <f>C59</f>
        <v>2</v>
      </c>
      <c r="H59" s="83">
        <f>F59*G59</f>
        <v>22</v>
      </c>
      <c r="I59" s="84" t="str">
        <f>CONCATENATE("a'(",C57,"~",C59,")=")</f>
        <v>a'(#NA~2)=</v>
      </c>
      <c r="J59" s="84" t="e">
        <f>2*J57/3*F60</f>
        <v>#N/A</v>
      </c>
      <c r="K59" s="84" t="str">
        <f>CONCATENATE("A(",C57,")=")</f>
        <v>A(#NA)=</v>
      </c>
      <c r="L59" s="84" t="e">
        <f>VLOOKUP(C57,STN_TABLE,3,FALSE)</f>
        <v>#N/A</v>
      </c>
      <c r="M59" t="str">
        <f>CONCATENATE("A(",C59,")=")</f>
        <v>A(2)=</v>
      </c>
      <c r="N59" t="e">
        <f>J59+L59</f>
        <v>#N/A</v>
      </c>
      <c r="O59" s="99">
        <f>O58+1</f>
        <v>7</v>
      </c>
      <c r="P59" s="99">
        <f t="shared" si="24"/>
        <v>3</v>
      </c>
      <c r="Q59" s="82">
        <f>IF(P59-P58=P58-P57,P59,IF(P60-P58=P58-P57,P60,IF(P59-P58=P58-P56,P59,IF(P60-P58=P58-P56,P60,"-"))))</f>
        <v>3</v>
      </c>
      <c r="R59" s="83">
        <f>VLOOKUP(Q59,STN_TABLE,2,FALSE)</f>
        <v>11</v>
      </c>
      <c r="S59" s="83">
        <v>-1</v>
      </c>
      <c r="T59" s="82">
        <f>R59*S59</f>
        <v>-11</v>
      </c>
      <c r="U59" s="88">
        <v>-1</v>
      </c>
      <c r="V59" s="82">
        <f>R59*U59</f>
        <v>-11</v>
      </c>
      <c r="W59" s="84" t="str">
        <f>CONCATENATE("a'(",Q57,"~",Q58,")=")</f>
        <v>a'(1~2)=</v>
      </c>
      <c r="X59" s="84">
        <f>2*X57/12*T60</f>
        <v>44</v>
      </c>
      <c r="Y59" s="84" t="str">
        <f>CONCATENATE("A(",Q57,")=")</f>
        <v>A(1)=</v>
      </c>
      <c r="Z59" s="84">
        <f>VLOOKUP(Q57,STN_TABLE,3,FALSE)</f>
        <v>42.25333333333333</v>
      </c>
      <c r="AA59" t="str">
        <f>CONCATENATE("A(",Q58,")=")</f>
        <v>A(2)=</v>
      </c>
      <c r="AB59">
        <f>X59+Z59</f>
        <v>86.25333333333333</v>
      </c>
      <c r="AC59" s="99">
        <f>AC58+1</f>
        <v>6</v>
      </c>
      <c r="AD59" s="100">
        <f>VLOOKUP(AC59,STN_TABLE_2,2,FALSE)</f>
        <v>2</v>
      </c>
      <c r="AE59">
        <f t="shared" si="33"/>
        <v>11</v>
      </c>
      <c r="AF59">
        <v>1</v>
      </c>
      <c r="AG59" s="82">
        <f>VLOOKUP(AD59,STN_TABLE,2,FALSE)</f>
        <v>11</v>
      </c>
      <c r="AH59" s="82">
        <v>2</v>
      </c>
      <c r="AI59" s="83">
        <f t="shared" si="34"/>
        <v>22</v>
      </c>
      <c r="AJ59" s="84" t="str">
        <f t="shared" ref="AJ59" si="36">CONCATENATE("a'(",AD59,")=")</f>
        <v>a'(2)=</v>
      </c>
      <c r="AK59" s="84">
        <f t="shared" ref="AK59" si="37">2*AK57/2*AG60</f>
        <v>44</v>
      </c>
      <c r="AL59" s="84" t="str">
        <f t="shared" ref="AL59" si="38">CONCATENATE("A(",AD58,")=")</f>
        <v>A(1)=</v>
      </c>
      <c r="AM59" s="84">
        <f>VLOOKUP(AD58,STN_TABLE,3,FALSE)</f>
        <v>42.25333333333333</v>
      </c>
      <c r="AN59" t="str">
        <f t="shared" ref="AN59" si="39">CONCATENATE("A(",AD59,")=")</f>
        <v>A(2)=</v>
      </c>
      <c r="AO59">
        <f t="shared" ref="AO59:AO60" si="40">AK59+AM59</f>
        <v>86.25333333333333</v>
      </c>
      <c r="AQ59" s="68" t="str">
        <f>AA59</f>
        <v>A(2)=</v>
      </c>
      <c r="AR59" s="68" t="str">
        <f>IFERROR(VLOOKUP(AQ59,Rise_Results,2,FALSE),"-")</f>
        <v>-</v>
      </c>
      <c r="AS59" s="76" t="str">
        <f>IFERROR(N59,"-")</f>
        <v>-</v>
      </c>
      <c r="AT59" s="76">
        <f>IFERROR(IF(OR(AB59&lt;=0,AB60&lt;=0),1/0,AB59),"-")</f>
        <v>86.25333333333333</v>
      </c>
      <c r="AU59" s="76">
        <f t="shared" ref="AU59:AU60" si="41">AO59</f>
        <v>86.25333333333333</v>
      </c>
      <c r="AV59">
        <f t="shared" ref="AV59:AV60" si="42">IF(ISNUMBER(AR59),AR59,IF(ISNUMBER(AS59),AS59,IF(ISNUMBER(AT59),AT59,AU59)))</f>
        <v>86.25333333333333</v>
      </c>
      <c r="BG59"/>
      <c r="BH59"/>
    </row>
    <row r="60" spans="1:60" x14ac:dyDescent="0.25">
      <c r="A60" s="84">
        <f>A59+1</f>
        <v>6</v>
      </c>
      <c r="B60" s="84">
        <f>VLOOKUP(A60,STN_TABLE_2,2,FALSE)</f>
        <v>2</v>
      </c>
      <c r="C60" s="194" t="s">
        <v>168</v>
      </c>
      <c r="D60" s="194" t="s">
        <v>168</v>
      </c>
      <c r="E60" s="6" t="s">
        <v>172</v>
      </c>
      <c r="F60" s="89" t="e">
        <f>SUM(F57:F59)</f>
        <v>#N/A</v>
      </c>
      <c r="G60" s="6" t="s">
        <v>172</v>
      </c>
      <c r="H60" s="82" t="e">
        <f>SUM(H57:H59)</f>
        <v>#N/A</v>
      </c>
      <c r="I60" s="84" t="str">
        <f>CONCATENATE("m'(",C57,"~",C59,")=")</f>
        <v>m'(#NA~2)=</v>
      </c>
      <c r="J60" s="84" t="e">
        <f>2*(J57*(WLS))/3*H60</f>
        <v>#N/A</v>
      </c>
      <c r="K60" s="84" t="str">
        <f>CONCATENATE("M(",C57,")=")</f>
        <v>M(#NA)=</v>
      </c>
      <c r="L60" s="84" t="e">
        <f>VLOOKUP(C57,STN_TABLE,4,FALSE)</f>
        <v>#N/A</v>
      </c>
      <c r="M60" t="str">
        <f>CONCATENATE("M(",C59,")=")</f>
        <v>M(2)=</v>
      </c>
      <c r="N60" t="e">
        <f>J60+L60</f>
        <v>#N/A</v>
      </c>
      <c r="O60" s="99">
        <f>O59+1</f>
        <v>8</v>
      </c>
      <c r="P60" s="99">
        <f t="shared" si="24"/>
        <v>4</v>
      </c>
      <c r="Q60" s="194" t="s">
        <v>168</v>
      </c>
      <c r="R60" s="194" t="s">
        <v>168</v>
      </c>
      <c r="S60" s="6" t="s">
        <v>172</v>
      </c>
      <c r="T60" s="89">
        <f>SUM(T57:T59)</f>
        <v>132</v>
      </c>
      <c r="U60" s="6" t="s">
        <v>172</v>
      </c>
      <c r="V60" s="82">
        <f>SUM(V57:V59)</f>
        <v>132</v>
      </c>
      <c r="W60" s="84" t="str">
        <f>CONCATENATE("m'(",Q57,"~",Q58,")=")</f>
        <v>m'(1~2)=</v>
      </c>
      <c r="X60" s="84">
        <f>(2*(X57^2)/24*V60)+(X59*Q57*WLS)</f>
        <v>132</v>
      </c>
      <c r="Y60" s="84" t="str">
        <f>CONCATENATE("M(",Q57,")=")</f>
        <v>M(1)=</v>
      </c>
      <c r="Z60" s="84">
        <f>VLOOKUP(Q57,STN_TABLE,4,FALSE)</f>
        <v>43.133333333333326</v>
      </c>
      <c r="AA60" t="str">
        <f>CONCATENATE("M(",Q58,")=")</f>
        <v>M(2)=</v>
      </c>
      <c r="AB60">
        <f>X60+Z60</f>
        <v>175.13333333333333</v>
      </c>
      <c r="AD60" s="194" t="s">
        <v>168</v>
      </c>
      <c r="AE60" s="194" t="s">
        <v>168</v>
      </c>
      <c r="AF60" s="6" t="s">
        <v>172</v>
      </c>
      <c r="AG60" s="89">
        <f>SUM(AG58:AG59)</f>
        <v>22</v>
      </c>
      <c r="AH60" s="6" t="s">
        <v>172</v>
      </c>
      <c r="AI60" s="89">
        <f t="shared" ref="AI60" si="43">SUM(AI58:AI59)</f>
        <v>33</v>
      </c>
      <c r="AJ60" s="84" t="str">
        <f t="shared" ref="AJ60" si="44">CONCATENATE("m'(",AD59,")=")</f>
        <v>m'(2)=</v>
      </c>
      <c r="AK60" s="84">
        <f>(2*(AK57^2)/6*AI60)+(AK59*AD58*WLS)</f>
        <v>132</v>
      </c>
      <c r="AL60" s="84" t="str">
        <f t="shared" ref="AL60" si="45">CONCATENATE("M(",AD58,")=")</f>
        <v>M(1)=</v>
      </c>
      <c r="AM60" s="84">
        <f>VLOOKUP(AD58,STN_TABLE,4,FALSE)</f>
        <v>43.133333333333326</v>
      </c>
      <c r="AN60" t="str">
        <f t="shared" ref="AN60" si="46">CONCATENATE("M(",AD59,")=")</f>
        <v>M(2)=</v>
      </c>
      <c r="AO60">
        <f t="shared" si="40"/>
        <v>175.13333333333333</v>
      </c>
      <c r="AQ60" s="82" t="str">
        <f>AA60</f>
        <v>M(2)=</v>
      </c>
      <c r="AR60" s="82" t="str">
        <f>IFERROR(VLOOKUP(AQ60,Rise_Results,2,FALSE),"-")</f>
        <v>-</v>
      </c>
      <c r="AS60" s="82" t="str">
        <f>IFERROR(N60,"-")</f>
        <v>-</v>
      </c>
      <c r="AT60" s="82">
        <f>IFERROR(IF(OR(AB59&lt;=0,AB60&lt;=0),1/0,AB60),"-")</f>
        <v>175.13333333333333</v>
      </c>
      <c r="AU60" s="82">
        <f t="shared" si="41"/>
        <v>175.13333333333333</v>
      </c>
      <c r="AV60">
        <f t="shared" si="42"/>
        <v>175.13333333333333</v>
      </c>
      <c r="BG60"/>
      <c r="BH60"/>
    </row>
    <row r="61" spans="1:60" x14ac:dyDescent="0.25">
      <c r="A61" s="84"/>
      <c r="B61" s="84"/>
      <c r="F61" s="81"/>
      <c r="H61" s="81"/>
      <c r="I61" s="84"/>
      <c r="J61" s="84"/>
      <c r="K61" s="84"/>
      <c r="L61" s="84"/>
      <c r="O61" s="99"/>
      <c r="P61" s="99"/>
      <c r="T61" s="81"/>
      <c r="V61" s="81"/>
      <c r="W61" s="84"/>
      <c r="X61" s="84"/>
      <c r="Y61" s="84"/>
      <c r="Z61" s="84"/>
      <c r="AD61" s="194" t="s">
        <v>168</v>
      </c>
      <c r="AE61" s="194" t="s">
        <v>168</v>
      </c>
      <c r="AF61" s="194" t="s">
        <v>168</v>
      </c>
      <c r="AG61" s="194" t="s">
        <v>168</v>
      </c>
      <c r="AH61" s="194" t="s">
        <v>168</v>
      </c>
      <c r="AI61" s="194" t="s">
        <v>168</v>
      </c>
      <c r="AJ61" s="194" t="s">
        <v>168</v>
      </c>
      <c r="AK61" s="194" t="s">
        <v>168</v>
      </c>
      <c r="AL61" s="194" t="s">
        <v>168</v>
      </c>
      <c r="AM61" s="194" t="s">
        <v>168</v>
      </c>
      <c r="AN61" s="194" t="s">
        <v>168</v>
      </c>
      <c r="AO61" s="194" t="s">
        <v>168</v>
      </c>
      <c r="AQ61" s="81"/>
      <c r="AR61" s="81"/>
      <c r="AS61" s="81"/>
      <c r="AT61" s="81"/>
      <c r="AU61" s="81"/>
      <c r="BG61"/>
      <c r="BH61"/>
    </row>
    <row r="62" spans="1:60" ht="18" x14ac:dyDescent="0.35">
      <c r="A62" s="101">
        <f>A56+1</f>
        <v>3</v>
      </c>
      <c r="B62" s="101">
        <f>VLOOKUP(A62,STN_TABLE_2,2,FALSE)</f>
        <v>0.5</v>
      </c>
      <c r="C62" t="s">
        <v>0</v>
      </c>
      <c r="D62" t="s">
        <v>95</v>
      </c>
      <c r="E62" t="s">
        <v>164</v>
      </c>
      <c r="F62" t="s">
        <v>165</v>
      </c>
      <c r="G62" t="s">
        <v>13</v>
      </c>
      <c r="H62" t="s">
        <v>169</v>
      </c>
      <c r="I62" s="194" t="s">
        <v>168</v>
      </c>
      <c r="J62" s="194" t="s">
        <v>168</v>
      </c>
      <c r="K62" s="194" t="s">
        <v>168</v>
      </c>
      <c r="L62" s="194" t="s">
        <v>168</v>
      </c>
      <c r="M62" s="194" t="s">
        <v>168</v>
      </c>
      <c r="N62" s="194" t="s">
        <v>168</v>
      </c>
      <c r="O62" s="101">
        <f>O56+1</f>
        <v>5</v>
      </c>
      <c r="P62" s="101">
        <f t="shared" ref="P62" si="47">VLOOKUP(O62,STN_TABLE_2,2,FALSE)</f>
        <v>1</v>
      </c>
      <c r="Q62" t="s">
        <v>0</v>
      </c>
      <c r="R62" t="s">
        <v>95</v>
      </c>
      <c r="S62" t="s">
        <v>164</v>
      </c>
      <c r="T62" t="s">
        <v>165</v>
      </c>
      <c r="U62" t="s">
        <v>166</v>
      </c>
      <c r="V62" t="s">
        <v>167</v>
      </c>
      <c r="W62" s="194" t="s">
        <v>168</v>
      </c>
      <c r="X62" s="194" t="s">
        <v>168</v>
      </c>
      <c r="Y62" s="194" t="s">
        <v>168</v>
      </c>
      <c r="Z62" s="194" t="s">
        <v>168</v>
      </c>
      <c r="AA62" s="194" t="s">
        <v>168</v>
      </c>
      <c r="AB62" s="194" t="s">
        <v>168</v>
      </c>
      <c r="BG62"/>
      <c r="BH62"/>
    </row>
    <row r="63" spans="1:60" ht="18" x14ac:dyDescent="0.35">
      <c r="A63" s="84">
        <f>A62+1</f>
        <v>4</v>
      </c>
      <c r="B63" s="84">
        <f>VLOOKUP(A63,STN_TABLE_2,2,FALSE)</f>
        <v>0.75</v>
      </c>
      <c r="C63" s="79">
        <f>IF(C64=B65,IF(C65-C64=C64-B64,B64,IF(C65-C64=C64-B63,B63,"#NA")),IF(C64=B64,IF(C65-C64=C64-B63,B63,IF(C65-C64=C64-B62,B62,"#NA")),"#NA"))</f>
        <v>1</v>
      </c>
      <c r="D63" s="68">
        <f>VLOOKUP(C63,STN_TABLE,2,FALSE)</f>
        <v>11</v>
      </c>
      <c r="E63" s="102">
        <v>1</v>
      </c>
      <c r="F63" s="68">
        <f>D63*E63</f>
        <v>11</v>
      </c>
      <c r="G63" s="69">
        <f>C63</f>
        <v>1</v>
      </c>
      <c r="H63" s="69">
        <f>F63*G63</f>
        <v>11</v>
      </c>
      <c r="I63" s="6" t="s">
        <v>93</v>
      </c>
      <c r="J63" s="70">
        <f>IF(OR(D63=0,D64=0,D65=0),"#NA",IF(AND(C65-C64=C64-C63,C64&lt;&gt;C65,C63&lt;&gt;C64,C63&lt;&gt;C65,D65&lt;&gt;0,OR(D63&lt;&gt;0,D64&lt;&gt;0)),WLS*(C65-C64),"#NA"))</f>
        <v>2</v>
      </c>
      <c r="K63" s="194" t="s">
        <v>168</v>
      </c>
      <c r="L63" s="194" t="s">
        <v>168</v>
      </c>
      <c r="M63" s="194" t="s">
        <v>168</v>
      </c>
      <c r="N63" s="194" t="s">
        <v>168</v>
      </c>
      <c r="O63" s="99">
        <f>O62+1</f>
        <v>6</v>
      </c>
      <c r="P63" s="99">
        <f t="shared" si="24"/>
        <v>2</v>
      </c>
      <c r="Q63" s="68">
        <f>IF(OR(P65-P64=P64-P63,P66-P64=P64-P63),P63,IF(OR(P65-P64=P64-P62,P66-P64=P64-P62),P62,"-"))</f>
        <v>2</v>
      </c>
      <c r="R63" s="69">
        <f>VLOOKUP(Q63,STN_TABLE,2,FALSE)</f>
        <v>11</v>
      </c>
      <c r="S63" s="69">
        <v>5</v>
      </c>
      <c r="T63" s="68">
        <f>R63*S63</f>
        <v>55</v>
      </c>
      <c r="U63" s="79">
        <v>3</v>
      </c>
      <c r="V63" s="68">
        <f>R63*U63</f>
        <v>33</v>
      </c>
      <c r="W63" s="6" t="s">
        <v>93</v>
      </c>
      <c r="X63" s="70">
        <f>IF(AND(Q65-Q64=Q64-Q63,NOT(AND(Q63=0,Q64=0)),NOT(AND(Q64=0,Q65=0))),WLS*(Q65-Q64),"#NA")</f>
        <v>2</v>
      </c>
      <c r="Y63" s="194" t="s">
        <v>168</v>
      </c>
      <c r="Z63" s="194" t="s">
        <v>168</v>
      </c>
      <c r="AA63" s="194" t="s">
        <v>168</v>
      </c>
      <c r="AB63" s="194" t="s">
        <v>168</v>
      </c>
      <c r="AD63" t="s">
        <v>0</v>
      </c>
      <c r="AE63" t="s">
        <v>95</v>
      </c>
      <c r="AF63" t="s">
        <v>173</v>
      </c>
      <c r="AG63" t="s">
        <v>183</v>
      </c>
      <c r="AH63" t="s">
        <v>175</v>
      </c>
      <c r="AI63" t="s">
        <v>184</v>
      </c>
      <c r="AJ63" s="6" t="s">
        <v>93</v>
      </c>
      <c r="AK63" s="70">
        <f>WLS*(AD65-AD64)</f>
        <v>2</v>
      </c>
      <c r="AL63" s="194" t="s">
        <v>168</v>
      </c>
      <c r="AM63" s="194" t="s">
        <v>168</v>
      </c>
      <c r="AN63" s="194" t="s">
        <v>168</v>
      </c>
      <c r="AO63" s="194" t="s">
        <v>168</v>
      </c>
      <c r="BG63"/>
      <c r="BH63"/>
    </row>
    <row r="64" spans="1:60" x14ac:dyDescent="0.25">
      <c r="A64" s="84">
        <f>A63+1</f>
        <v>5</v>
      </c>
      <c r="B64" s="84">
        <f>VLOOKUP(A64,STN_TABLE_2,2,FALSE)</f>
        <v>1</v>
      </c>
      <c r="C64" s="80">
        <f>IF(OR(B66-B65=B65-B64,B66-B65=B65-B63,B66-B65=B65-B62),B65,IF(OR(B66-B64=B64-B63,B66-B64=B64-B62),B64,IF(B66-B63=B63-B62,B63,"#NA")))</f>
        <v>2</v>
      </c>
      <c r="D64" s="76">
        <f>VLOOKUP(C64,STN_TABLE,2,FALSE)</f>
        <v>11</v>
      </c>
      <c r="E64" s="81">
        <v>4</v>
      </c>
      <c r="F64" s="76">
        <f>D64*E64</f>
        <v>44</v>
      </c>
      <c r="G64" s="77">
        <f>C64</f>
        <v>2</v>
      </c>
      <c r="H64" s="77">
        <f>F64*G64</f>
        <v>88</v>
      </c>
      <c r="I64" s="204" t="s">
        <v>171</v>
      </c>
      <c r="J64" s="194" t="s">
        <v>168</v>
      </c>
      <c r="K64" s="78" t="s">
        <v>98</v>
      </c>
      <c r="L64" s="194" t="s">
        <v>168</v>
      </c>
      <c r="M64" s="7" t="s">
        <v>77</v>
      </c>
      <c r="N64" s="194" t="s">
        <v>168</v>
      </c>
      <c r="O64" s="99">
        <f>O63+1</f>
        <v>7</v>
      </c>
      <c r="P64" s="99">
        <f t="shared" si="24"/>
        <v>3</v>
      </c>
      <c r="Q64" s="76">
        <f>P64</f>
        <v>3</v>
      </c>
      <c r="R64" s="77">
        <f>VLOOKUP(Q64,STN_TABLE,2,FALSE)</f>
        <v>11</v>
      </c>
      <c r="S64" s="77">
        <v>8</v>
      </c>
      <c r="T64" s="76">
        <f>R64*S64</f>
        <v>88</v>
      </c>
      <c r="U64" s="80">
        <v>10</v>
      </c>
      <c r="V64" s="76">
        <f>R64*U64</f>
        <v>110</v>
      </c>
      <c r="W64" s="204" t="s">
        <v>171</v>
      </c>
      <c r="X64" s="194" t="s">
        <v>168</v>
      </c>
      <c r="Y64" s="78" t="s">
        <v>98</v>
      </c>
      <c r="Z64" s="194" t="s">
        <v>168</v>
      </c>
      <c r="AA64" s="7" t="s">
        <v>77</v>
      </c>
      <c r="AB64" s="194" t="s">
        <v>168</v>
      </c>
      <c r="AC64" s="99">
        <f>AC58+1</f>
        <v>6</v>
      </c>
      <c r="AD64" s="95">
        <f>VLOOKUP(AC64,STN_TABLE_2,2,FALSE)</f>
        <v>2</v>
      </c>
      <c r="AE64">
        <f t="shared" ref="AE64:AE65" si="48">AG64</f>
        <v>11</v>
      </c>
      <c r="AF64">
        <v>1</v>
      </c>
      <c r="AG64" s="68">
        <f>VLOOKUP(AD64,STN_TABLE,2,FALSE)</f>
        <v>11</v>
      </c>
      <c r="AH64" s="68">
        <v>1</v>
      </c>
      <c r="AI64" s="69">
        <f t="shared" ref="AI64:AI65" si="49">AG64*AH64</f>
        <v>11</v>
      </c>
      <c r="AJ64" s="204" t="s">
        <v>171</v>
      </c>
      <c r="AK64" s="194" t="s">
        <v>168</v>
      </c>
      <c r="AL64" s="78" t="s">
        <v>98</v>
      </c>
      <c r="AM64" s="194" t="s">
        <v>168</v>
      </c>
      <c r="AN64" s="7" t="s">
        <v>77</v>
      </c>
      <c r="AO64" s="194" t="s">
        <v>168</v>
      </c>
      <c r="AR64" s="86" t="s">
        <v>112</v>
      </c>
      <c r="AS64" s="89" t="s">
        <v>113</v>
      </c>
      <c r="AT64" s="89" t="s">
        <v>114</v>
      </c>
      <c r="AU64" s="89" t="s">
        <v>115</v>
      </c>
      <c r="AV64" s="71" t="str">
        <f t="shared" ref="AV64" si="50">IF(AV65=AR65,AR64,IF(AV65=AS65,AS64,IF(AV65=AT65,AT64,AU64)))</f>
        <v>1,4,1 rule</v>
      </c>
      <c r="BG64"/>
      <c r="BH64"/>
    </row>
    <row r="65" spans="1:60" x14ac:dyDescent="0.25">
      <c r="A65" s="84">
        <f>A64+1</f>
        <v>6</v>
      </c>
      <c r="B65" s="84">
        <f>VLOOKUP(A65,STN_TABLE_2,2,FALSE)</f>
        <v>2</v>
      </c>
      <c r="C65" s="88">
        <f>B66</f>
        <v>3</v>
      </c>
      <c r="D65" s="82">
        <f>VLOOKUP(C65,STN_TABLE,2,FALSE)</f>
        <v>11</v>
      </c>
      <c r="E65" s="92">
        <v>1</v>
      </c>
      <c r="F65" s="82">
        <f>D65*E65</f>
        <v>11</v>
      </c>
      <c r="G65" s="83">
        <f>C65</f>
        <v>3</v>
      </c>
      <c r="H65" s="83">
        <f>F65*G65</f>
        <v>33</v>
      </c>
      <c r="I65" s="84" t="str">
        <f>CONCATENATE("a'(",C63,"~",C65,")=")</f>
        <v>a'(1~3)=</v>
      </c>
      <c r="J65" s="84">
        <f>2*J63/3*F66</f>
        <v>88</v>
      </c>
      <c r="K65" s="84" t="str">
        <f>CONCATENATE("A(",C63,")=")</f>
        <v>A(1)=</v>
      </c>
      <c r="L65" s="84">
        <f>VLOOKUP(C63,STN_TABLE,3,FALSE)</f>
        <v>42.25333333333333</v>
      </c>
      <c r="M65" t="str">
        <f>CONCATENATE("A(",C65,")=")</f>
        <v>A(3)=</v>
      </c>
      <c r="N65">
        <f>J65+L65</f>
        <v>130.25333333333333</v>
      </c>
      <c r="O65" s="99">
        <f>O64+1</f>
        <v>8</v>
      </c>
      <c r="P65" s="99">
        <f t="shared" si="24"/>
        <v>4</v>
      </c>
      <c r="Q65" s="82">
        <f>IF(P65-P64=P64-P63,P65,IF(P66-P64=P64-P63,P66,IF(P65-P64=P64-P62,P65,IF(P66-P64=P64-P62,P66,"-"))))</f>
        <v>4</v>
      </c>
      <c r="R65" s="83">
        <f>VLOOKUP(Q65,STN_TABLE,2,FALSE)</f>
        <v>11</v>
      </c>
      <c r="S65" s="83">
        <v>-1</v>
      </c>
      <c r="T65" s="82">
        <f>R65*S65</f>
        <v>-11</v>
      </c>
      <c r="U65" s="88">
        <v>-1</v>
      </c>
      <c r="V65" s="82">
        <f>R65*U65</f>
        <v>-11</v>
      </c>
      <c r="W65" s="84" t="str">
        <f>CONCATENATE("a'(",Q63,"~",Q64,")=")</f>
        <v>a'(2~3)=</v>
      </c>
      <c r="X65" s="84">
        <f>2*X63/12*T66</f>
        <v>44</v>
      </c>
      <c r="Y65" s="84" t="str">
        <f>CONCATENATE("A(",Q63,")=")</f>
        <v>A(2)=</v>
      </c>
      <c r="Z65" s="84">
        <f>VLOOKUP(Q63,STN_TABLE,3,FALSE)</f>
        <v>86.25333333333333</v>
      </c>
      <c r="AA65" t="str">
        <f>CONCATENATE("A(",Q64,")=")</f>
        <v>A(3)=</v>
      </c>
      <c r="AB65">
        <f>X65+Z65</f>
        <v>130.25333333333333</v>
      </c>
      <c r="AC65" s="99">
        <f>AC64+1</f>
        <v>7</v>
      </c>
      <c r="AD65" s="100">
        <f>VLOOKUP(AC65,STN_TABLE_2,2,FALSE)</f>
        <v>3</v>
      </c>
      <c r="AE65">
        <f t="shared" si="48"/>
        <v>11</v>
      </c>
      <c r="AF65">
        <v>1</v>
      </c>
      <c r="AG65" s="82">
        <f>VLOOKUP(AD65,STN_TABLE,2,FALSE)</f>
        <v>11</v>
      </c>
      <c r="AH65" s="82">
        <v>2</v>
      </c>
      <c r="AI65" s="83">
        <f t="shared" si="49"/>
        <v>22</v>
      </c>
      <c r="AJ65" s="84" t="str">
        <f t="shared" ref="AJ65" si="51">CONCATENATE("a'(",AD65,")=")</f>
        <v>a'(3)=</v>
      </c>
      <c r="AK65" s="84">
        <f t="shared" ref="AK65" si="52">2*AK63/2*AG66</f>
        <v>44</v>
      </c>
      <c r="AL65" s="84" t="str">
        <f t="shared" ref="AL65" si="53">CONCATENATE("A(",AD64,")=")</f>
        <v>A(2)=</v>
      </c>
      <c r="AM65" s="84">
        <f>VLOOKUP(AD64,STN_TABLE,3,FALSE)</f>
        <v>86.25333333333333</v>
      </c>
      <c r="AN65" t="str">
        <f t="shared" ref="AN65" si="54">CONCATENATE("A(",AD65,")=")</f>
        <v>A(3)=</v>
      </c>
      <c r="AO65">
        <f t="shared" ref="AO65:AO66" si="55">AK65+AM65</f>
        <v>130.25333333333333</v>
      </c>
      <c r="AQ65" s="68" t="str">
        <f>AA65</f>
        <v>A(3)=</v>
      </c>
      <c r="AR65" s="68" t="str">
        <f>IFERROR(VLOOKUP(AQ65,Rise_Results,2,FALSE),"-")</f>
        <v>-</v>
      </c>
      <c r="AS65" s="76">
        <f>IFERROR(N65,"-")</f>
        <v>130.25333333333333</v>
      </c>
      <c r="AT65" s="76">
        <f>IFERROR(IF(OR(AB65&lt;=0,AB66&lt;=0),1/0,AB65),"-")</f>
        <v>130.25333333333333</v>
      </c>
      <c r="AU65" s="76">
        <f t="shared" ref="AU65:AU66" si="56">AO65</f>
        <v>130.25333333333333</v>
      </c>
      <c r="AV65">
        <f t="shared" ref="AV65:AV66" si="57">IF(ISNUMBER(AR65),AR65,IF(ISNUMBER(AS65),AS65,IF(ISNUMBER(AT65),AT65,AU65)))</f>
        <v>130.25333333333333</v>
      </c>
      <c r="BG65"/>
      <c r="BH65"/>
    </row>
    <row r="66" spans="1:60" x14ac:dyDescent="0.25">
      <c r="A66" s="84">
        <f>A65+1</f>
        <v>7</v>
      </c>
      <c r="B66" s="84">
        <f>VLOOKUP(A66,STN_TABLE_2,2,FALSE)</f>
        <v>3</v>
      </c>
      <c r="C66" s="194" t="s">
        <v>168</v>
      </c>
      <c r="D66" s="194" t="s">
        <v>168</v>
      </c>
      <c r="E66" s="6" t="s">
        <v>172</v>
      </c>
      <c r="F66" s="89">
        <f>SUM(F63:F65)</f>
        <v>66</v>
      </c>
      <c r="G66" s="6" t="s">
        <v>172</v>
      </c>
      <c r="H66" s="82">
        <f>SUM(H63:H65)</f>
        <v>132</v>
      </c>
      <c r="I66" s="84" t="str">
        <f>CONCATENATE("m'(",C63,"~",C65,")=")</f>
        <v>m'(1~3)=</v>
      </c>
      <c r="J66" s="84">
        <f>2*(J63*(WLS))/3*H66</f>
        <v>352</v>
      </c>
      <c r="K66" s="84" t="str">
        <f>CONCATENATE("M(",C63,")=")</f>
        <v>M(1)=</v>
      </c>
      <c r="L66" s="84">
        <f>VLOOKUP(C63,STN_TABLE,4,FALSE)</f>
        <v>43.133333333333326</v>
      </c>
      <c r="M66" t="str">
        <f>CONCATENATE("M(",C65,")=")</f>
        <v>M(3)=</v>
      </c>
      <c r="N66">
        <f>J66+L66</f>
        <v>395.13333333333333</v>
      </c>
      <c r="O66" s="99">
        <f>O65+1</f>
        <v>9</v>
      </c>
      <c r="P66" s="99">
        <f t="shared" si="24"/>
        <v>4.8499999999999996</v>
      </c>
      <c r="Q66" s="194" t="s">
        <v>168</v>
      </c>
      <c r="R66" s="194" t="s">
        <v>168</v>
      </c>
      <c r="S66" s="6" t="s">
        <v>172</v>
      </c>
      <c r="T66" s="89">
        <f>SUM(T63:T65)</f>
        <v>132</v>
      </c>
      <c r="U66" s="6" t="s">
        <v>172</v>
      </c>
      <c r="V66" s="82">
        <f>SUM(V63:V65)</f>
        <v>132</v>
      </c>
      <c r="W66" s="84" t="str">
        <f>CONCATENATE("m'(",Q63,"~",Q64,")=")</f>
        <v>m'(2~3)=</v>
      </c>
      <c r="X66" s="84">
        <f>(2*(X63^2)/24*V66)+(X65*Q63*WLS)</f>
        <v>220</v>
      </c>
      <c r="Y66" s="84" t="str">
        <f>CONCATENATE("M(",Q63,")=")</f>
        <v>M(2)=</v>
      </c>
      <c r="Z66" s="84">
        <f>VLOOKUP(Q63,STN_TABLE,4,FALSE)</f>
        <v>175.13333333333333</v>
      </c>
      <c r="AA66" t="str">
        <f>CONCATENATE("M(",Q64,")=")</f>
        <v>M(3)=</v>
      </c>
      <c r="AB66">
        <f>X66+Z66</f>
        <v>395.13333333333333</v>
      </c>
      <c r="AD66" s="194" t="s">
        <v>168</v>
      </c>
      <c r="AE66" s="194" t="s">
        <v>168</v>
      </c>
      <c r="AF66" s="6" t="s">
        <v>172</v>
      </c>
      <c r="AG66" s="89">
        <f>SUM(AG64:AG65)</f>
        <v>22</v>
      </c>
      <c r="AH66" s="6" t="s">
        <v>172</v>
      </c>
      <c r="AI66" s="89">
        <f t="shared" ref="AI66" si="58">SUM(AI64:AI65)</f>
        <v>33</v>
      </c>
      <c r="AJ66" s="84" t="str">
        <f t="shared" ref="AJ66" si="59">CONCATENATE("m'(",AD65,")=")</f>
        <v>m'(3)=</v>
      </c>
      <c r="AK66" s="84">
        <f>(2*(AK63^2)/6*AI66)+(AK65*AD64*WLS)</f>
        <v>220</v>
      </c>
      <c r="AL66" s="84" t="str">
        <f t="shared" ref="AL66" si="60">CONCATENATE("M(",AD64,")=")</f>
        <v>M(2)=</v>
      </c>
      <c r="AM66" s="84">
        <f>VLOOKUP(AD64,STN_TABLE,4,FALSE)</f>
        <v>175.13333333333333</v>
      </c>
      <c r="AN66" t="str">
        <f t="shared" ref="AN66" si="61">CONCATENATE("M(",AD65,")=")</f>
        <v>M(3)=</v>
      </c>
      <c r="AO66">
        <f t="shared" si="55"/>
        <v>395.13333333333333</v>
      </c>
      <c r="AQ66" s="82" t="str">
        <f>AA66</f>
        <v>M(3)=</v>
      </c>
      <c r="AR66" s="82" t="str">
        <f>IFERROR(VLOOKUP(AQ66,Rise_Results,2,FALSE),"-")</f>
        <v>-</v>
      </c>
      <c r="AS66" s="82">
        <f>IFERROR(N66,"-")</f>
        <v>395.13333333333333</v>
      </c>
      <c r="AT66" s="82">
        <f>IFERROR(IF(OR(AB65&lt;=0,AB66&lt;=0),1/0,AB66),"-")</f>
        <v>395.13333333333333</v>
      </c>
      <c r="AU66" s="82">
        <f t="shared" si="56"/>
        <v>395.13333333333333</v>
      </c>
      <c r="AV66">
        <f t="shared" si="57"/>
        <v>395.13333333333333</v>
      </c>
      <c r="BG66"/>
      <c r="BH66"/>
    </row>
    <row r="67" spans="1:60" x14ac:dyDescent="0.25">
      <c r="A67" s="84"/>
      <c r="B67" s="84"/>
      <c r="F67" s="81"/>
      <c r="H67" s="81"/>
      <c r="I67" s="84"/>
      <c r="J67" s="84"/>
      <c r="K67" s="84"/>
      <c r="L67" s="84"/>
      <c r="O67" s="99"/>
      <c r="P67" s="99"/>
      <c r="T67" s="81"/>
      <c r="V67" s="81"/>
      <c r="W67" s="84"/>
      <c r="X67" s="84"/>
      <c r="Y67" s="84"/>
      <c r="Z67" s="84"/>
      <c r="AD67" s="194" t="s">
        <v>168</v>
      </c>
      <c r="AE67" s="194" t="s">
        <v>168</v>
      </c>
      <c r="AF67" s="194" t="s">
        <v>168</v>
      </c>
      <c r="AG67" s="194" t="s">
        <v>168</v>
      </c>
      <c r="AH67" s="194" t="s">
        <v>168</v>
      </c>
      <c r="AI67" s="194" t="s">
        <v>168</v>
      </c>
      <c r="AJ67" s="194" t="s">
        <v>168</v>
      </c>
      <c r="AK67" s="194" t="s">
        <v>168</v>
      </c>
      <c r="AL67" s="194" t="s">
        <v>168</v>
      </c>
      <c r="AM67" s="194" t="s">
        <v>168</v>
      </c>
      <c r="AN67" s="194" t="s">
        <v>168</v>
      </c>
      <c r="AO67" s="194" t="s">
        <v>168</v>
      </c>
      <c r="AQ67" s="81"/>
      <c r="AR67" s="81"/>
      <c r="AS67" s="81"/>
      <c r="AT67" s="81"/>
      <c r="AU67" s="81"/>
      <c r="BG67"/>
      <c r="BH67"/>
    </row>
    <row r="68" spans="1:60" ht="18" x14ac:dyDescent="0.35">
      <c r="A68" s="101">
        <f>A62+1</f>
        <v>4</v>
      </c>
      <c r="B68" s="101">
        <f>VLOOKUP(A68,STN_TABLE_2,2,FALSE)</f>
        <v>0.75</v>
      </c>
      <c r="C68" t="s">
        <v>0</v>
      </c>
      <c r="D68" t="s">
        <v>95</v>
      </c>
      <c r="E68" t="s">
        <v>164</v>
      </c>
      <c r="F68" t="s">
        <v>165</v>
      </c>
      <c r="G68" t="s">
        <v>13</v>
      </c>
      <c r="H68" t="s">
        <v>169</v>
      </c>
      <c r="I68" s="194" t="s">
        <v>168</v>
      </c>
      <c r="J68" s="194" t="s">
        <v>168</v>
      </c>
      <c r="K68" s="194" t="s">
        <v>168</v>
      </c>
      <c r="L68" s="194" t="s">
        <v>168</v>
      </c>
      <c r="M68" s="194" t="s">
        <v>168</v>
      </c>
      <c r="N68" s="194" t="s">
        <v>168</v>
      </c>
      <c r="O68" s="101">
        <f>O62+1</f>
        <v>6</v>
      </c>
      <c r="P68" s="101">
        <f t="shared" ref="P68" si="62">VLOOKUP(O68,STN_TABLE_2,2,FALSE)</f>
        <v>2</v>
      </c>
      <c r="Q68" t="s">
        <v>0</v>
      </c>
      <c r="R68" t="s">
        <v>95</v>
      </c>
      <c r="S68" t="s">
        <v>164</v>
      </c>
      <c r="T68" t="s">
        <v>165</v>
      </c>
      <c r="U68" t="s">
        <v>166</v>
      </c>
      <c r="V68" t="s">
        <v>167</v>
      </c>
      <c r="W68" s="194" t="s">
        <v>168</v>
      </c>
      <c r="X68" s="194" t="s">
        <v>168</v>
      </c>
      <c r="Y68" s="194" t="s">
        <v>168</v>
      </c>
      <c r="Z68" s="194" t="s">
        <v>168</v>
      </c>
      <c r="AA68" s="194" t="s">
        <v>168</v>
      </c>
      <c r="AB68" s="194" t="s">
        <v>168</v>
      </c>
      <c r="BG68"/>
      <c r="BH68"/>
    </row>
    <row r="69" spans="1:60" ht="18" x14ac:dyDescent="0.35">
      <c r="A69" s="84">
        <f>A68+1</f>
        <v>5</v>
      </c>
      <c r="B69" s="84">
        <f>VLOOKUP(A69,STN_TABLE_2,2,FALSE)</f>
        <v>1</v>
      </c>
      <c r="C69" s="79">
        <f>IF(C70=B71,IF(C71-C70=C70-B70,B70,IF(C71-C70=C70-B69,B69,"#NA")),IF(C70=B70,IF(C71-C70=C70-B69,B69,IF(C71-C70=C70-B68,B68,"#NA")),"#NA"))</f>
        <v>2</v>
      </c>
      <c r="D69" s="68">
        <f>VLOOKUP(C69,STN_TABLE,2,FALSE)</f>
        <v>11</v>
      </c>
      <c r="E69" s="102">
        <v>1</v>
      </c>
      <c r="F69" s="68">
        <f>D69*E69</f>
        <v>11</v>
      </c>
      <c r="G69" s="69">
        <f>C69</f>
        <v>2</v>
      </c>
      <c r="H69" s="69">
        <f>F69*G69</f>
        <v>22</v>
      </c>
      <c r="I69" s="6" t="s">
        <v>93</v>
      </c>
      <c r="J69" s="70">
        <f>IF(OR(D69=0,D70=0,D71=0),"#NA",IF(AND(C71-C70=C70-C69,C70&lt;&gt;C71,C69&lt;&gt;C70,C69&lt;&gt;C71,D71&lt;&gt;0,OR(D69&lt;&gt;0,D70&lt;&gt;0)),WLS*(C71-C70),"#NA"))</f>
        <v>2</v>
      </c>
      <c r="K69" s="194" t="s">
        <v>168</v>
      </c>
      <c r="L69" s="194" t="s">
        <v>168</v>
      </c>
      <c r="M69" s="194" t="s">
        <v>168</v>
      </c>
      <c r="N69" s="194" t="s">
        <v>168</v>
      </c>
      <c r="O69" s="99">
        <f>O68+1</f>
        <v>7</v>
      </c>
      <c r="P69" s="99">
        <f t="shared" si="24"/>
        <v>3</v>
      </c>
      <c r="Q69" s="68">
        <f t="shared" ref="Q69" si="63">IF(OR(P71-P70=P70-P69,P72-P70=P70-P69),P69,IF(OR(P71-P70=P70-P68,P72-P70=P70-P68),P68,"-"))</f>
        <v>3</v>
      </c>
      <c r="R69" s="69">
        <f>VLOOKUP(Q69,STN_TABLE,2,FALSE)</f>
        <v>11</v>
      </c>
      <c r="S69" s="69">
        <v>5</v>
      </c>
      <c r="T69" s="68">
        <f t="shared" ref="T69:T71" si="64">R69*S69</f>
        <v>55</v>
      </c>
      <c r="U69" s="79">
        <v>3</v>
      </c>
      <c r="V69" s="68">
        <f t="shared" ref="V69:V71" si="65">R69*U69</f>
        <v>33</v>
      </c>
      <c r="W69" s="6" t="s">
        <v>93</v>
      </c>
      <c r="X69" s="70">
        <f>IF(AND(Q71-Q70=Q70-Q69,NOT(AND(Q69=0,Q70=0)),NOT(AND(Q70=0,Q71=0))),WLS*(Q71-Q70),"#NA")</f>
        <v>2</v>
      </c>
      <c r="Y69" s="194" t="s">
        <v>168</v>
      </c>
      <c r="Z69" s="194" t="s">
        <v>168</v>
      </c>
      <c r="AA69" s="194" t="s">
        <v>168</v>
      </c>
      <c r="AB69" s="194" t="s">
        <v>168</v>
      </c>
      <c r="AD69" t="s">
        <v>0</v>
      </c>
      <c r="AE69" t="s">
        <v>95</v>
      </c>
      <c r="AF69" t="s">
        <v>173</v>
      </c>
      <c r="AG69" t="s">
        <v>183</v>
      </c>
      <c r="AH69" t="s">
        <v>175</v>
      </c>
      <c r="AI69" t="s">
        <v>184</v>
      </c>
      <c r="AJ69" s="6" t="s">
        <v>93</v>
      </c>
      <c r="AK69" s="70">
        <f>WLS*(AD71-AD70)</f>
        <v>2</v>
      </c>
      <c r="AL69" s="194" t="s">
        <v>168</v>
      </c>
      <c r="AM69" s="194" t="s">
        <v>168</v>
      </c>
      <c r="AN69" s="194" t="s">
        <v>168</v>
      </c>
      <c r="AO69" s="194" t="s">
        <v>168</v>
      </c>
      <c r="BG69"/>
      <c r="BH69"/>
    </row>
    <row r="70" spans="1:60" x14ac:dyDescent="0.25">
      <c r="A70" s="84">
        <f>A69+1</f>
        <v>6</v>
      </c>
      <c r="B70" s="84">
        <f>VLOOKUP(A70,STN_TABLE_2,2,FALSE)</f>
        <v>2</v>
      </c>
      <c r="C70" s="80">
        <f>IF(OR(B72-B71=B71-B70,B72-B71=B71-B69,B72-B71=B71-B68),B71,IF(OR(B72-B70=B70-B69,B72-B70=B70-B68),B70,IF(B72-B69=B69-B68,B69,"#NA")))</f>
        <v>3</v>
      </c>
      <c r="D70" s="76">
        <f>VLOOKUP(C70,STN_TABLE,2,FALSE)</f>
        <v>11</v>
      </c>
      <c r="E70" s="81">
        <v>4</v>
      </c>
      <c r="F70" s="76">
        <f>D70*E70</f>
        <v>44</v>
      </c>
      <c r="G70" s="77">
        <f>C70</f>
        <v>3</v>
      </c>
      <c r="H70" s="77">
        <f>F70*G70</f>
        <v>132</v>
      </c>
      <c r="I70" s="204" t="s">
        <v>171</v>
      </c>
      <c r="J70" s="194" t="s">
        <v>168</v>
      </c>
      <c r="K70" s="78" t="s">
        <v>98</v>
      </c>
      <c r="L70" s="194" t="s">
        <v>168</v>
      </c>
      <c r="M70" s="7" t="s">
        <v>77</v>
      </c>
      <c r="N70" s="194" t="s">
        <v>168</v>
      </c>
      <c r="O70" s="99">
        <f>O69+1</f>
        <v>8</v>
      </c>
      <c r="P70" s="99">
        <f t="shared" si="24"/>
        <v>4</v>
      </c>
      <c r="Q70" s="76">
        <f t="shared" ref="Q70" si="66">P70</f>
        <v>4</v>
      </c>
      <c r="R70" s="77">
        <f>VLOOKUP(Q70,STN_TABLE,2,FALSE)</f>
        <v>11</v>
      </c>
      <c r="S70" s="77">
        <v>8</v>
      </c>
      <c r="T70" s="76">
        <f t="shared" si="64"/>
        <v>88</v>
      </c>
      <c r="U70" s="80">
        <v>10</v>
      </c>
      <c r="V70" s="76">
        <f t="shared" si="65"/>
        <v>110</v>
      </c>
      <c r="W70" s="204" t="s">
        <v>171</v>
      </c>
      <c r="X70" s="194" t="s">
        <v>168</v>
      </c>
      <c r="Y70" s="78" t="s">
        <v>98</v>
      </c>
      <c r="Z70" s="194" t="s">
        <v>168</v>
      </c>
      <c r="AA70" s="7" t="s">
        <v>77</v>
      </c>
      <c r="AB70" s="194" t="s">
        <v>168</v>
      </c>
      <c r="AC70" s="99">
        <f>AC64+1</f>
        <v>7</v>
      </c>
      <c r="AD70" s="95">
        <f>VLOOKUP(AC70,STN_TABLE_2,2,FALSE)</f>
        <v>3</v>
      </c>
      <c r="AE70">
        <f t="shared" ref="AE70:AE71" si="67">AG70</f>
        <v>11</v>
      </c>
      <c r="AF70">
        <v>1</v>
      </c>
      <c r="AG70" s="68">
        <f>VLOOKUP(AD70,STN_TABLE,2,FALSE)</f>
        <v>11</v>
      </c>
      <c r="AH70" s="68">
        <v>1</v>
      </c>
      <c r="AI70" s="69">
        <f t="shared" ref="AI70:AI71" si="68">AG70*AH70</f>
        <v>11</v>
      </c>
      <c r="AJ70" s="204" t="s">
        <v>171</v>
      </c>
      <c r="AK70" s="194" t="s">
        <v>168</v>
      </c>
      <c r="AL70" s="78" t="s">
        <v>98</v>
      </c>
      <c r="AM70" s="194" t="s">
        <v>168</v>
      </c>
      <c r="AN70" s="7" t="s">
        <v>77</v>
      </c>
      <c r="AO70" s="194" t="s">
        <v>168</v>
      </c>
      <c r="AR70" s="86" t="s">
        <v>112</v>
      </c>
      <c r="AS70" s="89" t="s">
        <v>113</v>
      </c>
      <c r="AT70" s="89" t="s">
        <v>114</v>
      </c>
      <c r="AU70" s="89" t="s">
        <v>115</v>
      </c>
      <c r="AV70" s="71" t="str">
        <f t="shared" ref="AV70" si="69">IF(AV71=AR71,AR70,IF(AV71=AS71,AS70,IF(AV71=AT71,AT70,AU70)))</f>
        <v>1,4,1 rule</v>
      </c>
      <c r="BG70"/>
      <c r="BH70"/>
    </row>
    <row r="71" spans="1:60" x14ac:dyDescent="0.25">
      <c r="A71" s="84">
        <f>A70+1</f>
        <v>7</v>
      </c>
      <c r="B71" s="84">
        <f>VLOOKUP(A71,STN_TABLE_2,2,FALSE)</f>
        <v>3</v>
      </c>
      <c r="C71" s="88">
        <f>B72</f>
        <v>4</v>
      </c>
      <c r="D71" s="82">
        <f>VLOOKUP(C71,STN_TABLE,2,FALSE)</f>
        <v>11</v>
      </c>
      <c r="E71" s="92">
        <v>1</v>
      </c>
      <c r="F71" s="82">
        <f>D71*E71</f>
        <v>11</v>
      </c>
      <c r="G71" s="83">
        <f>C71</f>
        <v>4</v>
      </c>
      <c r="H71" s="83">
        <f>F71*G71</f>
        <v>44</v>
      </c>
      <c r="I71" s="84" t="str">
        <f>CONCATENATE("a'(",C69,"~",C71,")=")</f>
        <v>a'(2~4)=</v>
      </c>
      <c r="J71" s="84">
        <f>2*J69/3*F72</f>
        <v>88</v>
      </c>
      <c r="K71" s="84" t="str">
        <f>CONCATENATE("A(",C69,")=")</f>
        <v>A(2)=</v>
      </c>
      <c r="L71" s="84">
        <f>VLOOKUP(C69,STN_TABLE,3,FALSE)</f>
        <v>86.25333333333333</v>
      </c>
      <c r="M71" t="str">
        <f>CONCATENATE("A(",C71,")=")</f>
        <v>A(4)=</v>
      </c>
      <c r="N71">
        <f>J71+L71</f>
        <v>174.25333333333333</v>
      </c>
      <c r="O71" s="99">
        <f>O70+1</f>
        <v>9</v>
      </c>
      <c r="P71" s="99">
        <f t="shared" si="24"/>
        <v>4.8499999999999996</v>
      </c>
      <c r="Q71" s="82">
        <f t="shared" ref="Q71" si="70">IF(P71-P70=P70-P69,P71,IF(P72-P70=P70-P69,P72,IF(P71-P70=P70-P68,P71,IF(P72-P70=P70-P68,P72,"-"))))</f>
        <v>5</v>
      </c>
      <c r="R71" s="83">
        <f>VLOOKUP(Q71,STN_TABLE,2,FALSE)</f>
        <v>11</v>
      </c>
      <c r="S71" s="83">
        <v>-1</v>
      </c>
      <c r="T71" s="82">
        <f t="shared" si="64"/>
        <v>-11</v>
      </c>
      <c r="U71" s="88">
        <v>-1</v>
      </c>
      <c r="V71" s="82">
        <f t="shared" si="65"/>
        <v>-11</v>
      </c>
      <c r="W71" s="84" t="str">
        <f t="shared" ref="W71" si="71">CONCATENATE("a'(",Q69,"~",Q70,")=")</f>
        <v>a'(3~4)=</v>
      </c>
      <c r="X71" s="84">
        <f t="shared" ref="X71" si="72">2*X69/12*T72</f>
        <v>44</v>
      </c>
      <c r="Y71" s="84" t="str">
        <f t="shared" ref="Y71" si="73">CONCATENATE("A(",Q69,")=")</f>
        <v>A(3)=</v>
      </c>
      <c r="Z71" s="84">
        <f>VLOOKUP(Q69,STN_TABLE,3,FALSE)</f>
        <v>130.25333333333333</v>
      </c>
      <c r="AA71" t="str">
        <f t="shared" ref="AA71" si="74">CONCATENATE("A(",Q70,")=")</f>
        <v>A(4)=</v>
      </c>
      <c r="AB71">
        <f t="shared" ref="AB71:AB72" si="75">X71+Z71</f>
        <v>174.25333333333333</v>
      </c>
      <c r="AC71" s="99">
        <f>AC70+1</f>
        <v>8</v>
      </c>
      <c r="AD71" s="100">
        <f>VLOOKUP(AC71,STN_TABLE_2,2,FALSE)</f>
        <v>4</v>
      </c>
      <c r="AE71">
        <f t="shared" si="67"/>
        <v>11</v>
      </c>
      <c r="AF71">
        <v>1</v>
      </c>
      <c r="AG71" s="82">
        <f>VLOOKUP(AD71,STN_TABLE,2,FALSE)</f>
        <v>11</v>
      </c>
      <c r="AH71" s="82">
        <v>2</v>
      </c>
      <c r="AI71" s="83">
        <f t="shared" si="68"/>
        <v>22</v>
      </c>
      <c r="AJ71" s="84" t="str">
        <f t="shared" ref="AJ71" si="76">CONCATENATE("a'(",AD71,")=")</f>
        <v>a'(4)=</v>
      </c>
      <c r="AK71" s="84">
        <f t="shared" ref="AK71" si="77">2*AK69/2*AG72</f>
        <v>44</v>
      </c>
      <c r="AL71" s="84" t="str">
        <f t="shared" ref="AL71" si="78">CONCATENATE("A(",AD70,")=")</f>
        <v>A(3)=</v>
      </c>
      <c r="AM71" s="84">
        <f>VLOOKUP(AD70,STN_TABLE,3,FALSE)</f>
        <v>130.25333333333333</v>
      </c>
      <c r="AN71" t="str">
        <f t="shared" ref="AN71" si="79">CONCATENATE("A(",AD71,")=")</f>
        <v>A(4)=</v>
      </c>
      <c r="AO71">
        <f t="shared" ref="AO71:AO72" si="80">AK71+AM71</f>
        <v>174.25333333333333</v>
      </c>
      <c r="AQ71" s="68" t="str">
        <f>AA71</f>
        <v>A(4)=</v>
      </c>
      <c r="AR71" s="68" t="str">
        <f>IFERROR(VLOOKUP(AQ71,Rise_Results,2,FALSE),"-")</f>
        <v>-</v>
      </c>
      <c r="AS71" s="76">
        <f>IFERROR(N71,"-")</f>
        <v>174.25333333333333</v>
      </c>
      <c r="AT71" s="76">
        <f>IFERROR(IF(OR(AB71&lt;=0,AB72&lt;=0),1/0,AB71),"-")</f>
        <v>174.25333333333333</v>
      </c>
      <c r="AU71" s="76">
        <f t="shared" ref="AU71:AU72" si="81">AO71</f>
        <v>174.25333333333333</v>
      </c>
      <c r="AV71">
        <f t="shared" ref="AV71:AV72" si="82">IF(ISNUMBER(AR71),AR71,IF(ISNUMBER(AS71),AS71,IF(ISNUMBER(AT71),AT71,AU71)))</f>
        <v>174.25333333333333</v>
      </c>
      <c r="BG71"/>
      <c r="BH71"/>
    </row>
    <row r="72" spans="1:60" x14ac:dyDescent="0.25">
      <c r="A72" s="84">
        <f>A71+1</f>
        <v>8</v>
      </c>
      <c r="B72" s="84">
        <f>VLOOKUP(A72,STN_TABLE_2,2,FALSE)</f>
        <v>4</v>
      </c>
      <c r="C72" s="194" t="s">
        <v>168</v>
      </c>
      <c r="D72" s="194" t="s">
        <v>168</v>
      </c>
      <c r="E72" s="6" t="s">
        <v>172</v>
      </c>
      <c r="F72" s="89">
        <f>SUM(F69:F71)</f>
        <v>66</v>
      </c>
      <c r="G72" s="6" t="s">
        <v>172</v>
      </c>
      <c r="H72" s="82">
        <f>SUM(H69:H71)</f>
        <v>198</v>
      </c>
      <c r="I72" s="84" t="str">
        <f>CONCATENATE("m'(",C69,"~",C71,")=")</f>
        <v>m'(2~4)=</v>
      </c>
      <c r="J72" s="84">
        <f>2*(J69*(WLS))/3*H72</f>
        <v>528</v>
      </c>
      <c r="K72" s="84" t="str">
        <f>CONCATENATE("M(",C69,")=")</f>
        <v>M(2)=</v>
      </c>
      <c r="L72" s="84">
        <f>VLOOKUP(C69,STN_TABLE,4,FALSE)</f>
        <v>175.13333333333333</v>
      </c>
      <c r="M72" t="str">
        <f>CONCATENATE("M(",C71,")=")</f>
        <v>M(4)=</v>
      </c>
      <c r="N72">
        <f>J72+L72</f>
        <v>703.13333333333333</v>
      </c>
      <c r="O72" s="99">
        <f>O71+1</f>
        <v>10</v>
      </c>
      <c r="P72" s="99">
        <f t="shared" si="24"/>
        <v>5</v>
      </c>
      <c r="Q72" s="194" t="s">
        <v>168</v>
      </c>
      <c r="R72" s="194" t="s">
        <v>168</v>
      </c>
      <c r="S72" s="6" t="s">
        <v>172</v>
      </c>
      <c r="T72" s="89">
        <f t="shared" ref="T72" si="83">SUM(T69:T71)</f>
        <v>132</v>
      </c>
      <c r="U72" s="6" t="s">
        <v>172</v>
      </c>
      <c r="V72" s="82">
        <f t="shared" ref="V72" si="84">SUM(V69:V71)</f>
        <v>132</v>
      </c>
      <c r="W72" s="84" t="str">
        <f t="shared" ref="W72" si="85">CONCATENATE("m'(",Q69,"~",Q70,")=")</f>
        <v>m'(3~4)=</v>
      </c>
      <c r="X72" s="84">
        <f>(2*(X69^2)/24*V72)+(X71*Q69*WLS)</f>
        <v>308</v>
      </c>
      <c r="Y72" s="84" t="str">
        <f t="shared" ref="Y72" si="86">CONCATENATE("M(",Q69,")=")</f>
        <v>M(3)=</v>
      </c>
      <c r="Z72" s="84">
        <f>VLOOKUP(Q69,STN_TABLE,4,FALSE)</f>
        <v>395.13333333333333</v>
      </c>
      <c r="AA72" t="str">
        <f t="shared" ref="AA72" si="87">CONCATENATE("M(",Q70,")=")</f>
        <v>M(4)=</v>
      </c>
      <c r="AB72">
        <f t="shared" si="75"/>
        <v>703.13333333333333</v>
      </c>
      <c r="AD72" s="194" t="s">
        <v>168</v>
      </c>
      <c r="AE72" s="194" t="s">
        <v>168</v>
      </c>
      <c r="AF72" s="6" t="s">
        <v>172</v>
      </c>
      <c r="AG72" s="89">
        <f t="shared" ref="AG72" si="88">SUM(AG70:AG71)</f>
        <v>22</v>
      </c>
      <c r="AH72" s="6" t="s">
        <v>172</v>
      </c>
      <c r="AI72" s="89">
        <f t="shared" ref="AI72" si="89">SUM(AI70:AI71)</f>
        <v>33</v>
      </c>
      <c r="AJ72" s="84" t="str">
        <f t="shared" ref="AJ72" si="90">CONCATENATE("m'(",AD71,")=")</f>
        <v>m'(4)=</v>
      </c>
      <c r="AK72" s="84">
        <f>(2*(AK69^2)/6*AI72)+(AK71*AD70*WLS)</f>
        <v>308</v>
      </c>
      <c r="AL72" s="84" t="str">
        <f t="shared" ref="AL72" si="91">CONCATENATE("M(",AD70,")=")</f>
        <v>M(3)=</v>
      </c>
      <c r="AM72" s="84">
        <f>VLOOKUP(AD70,STN_TABLE,4,FALSE)</f>
        <v>395.13333333333333</v>
      </c>
      <c r="AN72" t="str">
        <f t="shared" ref="AN72" si="92">CONCATENATE("M(",AD71,")=")</f>
        <v>M(4)=</v>
      </c>
      <c r="AO72">
        <f t="shared" si="80"/>
        <v>703.13333333333333</v>
      </c>
      <c r="AQ72" s="82" t="str">
        <f>AA72</f>
        <v>M(4)=</v>
      </c>
      <c r="AR72" s="82" t="str">
        <f>IFERROR(VLOOKUP(AQ72,Rise_Results,2,FALSE),"-")</f>
        <v>-</v>
      </c>
      <c r="AS72" s="82">
        <f>IFERROR(N72,"-")</f>
        <v>703.13333333333333</v>
      </c>
      <c r="AT72" s="82">
        <f>IFERROR(IF(OR(AB71&lt;=0,AB72&lt;=0),1/0,AB72),"-")</f>
        <v>703.13333333333333</v>
      </c>
      <c r="AU72" s="82">
        <f t="shared" si="81"/>
        <v>703.13333333333333</v>
      </c>
      <c r="AV72">
        <f t="shared" si="82"/>
        <v>703.13333333333333</v>
      </c>
      <c r="BG72"/>
      <c r="BH72"/>
    </row>
    <row r="73" spans="1:60" x14ac:dyDescent="0.25">
      <c r="A73" s="84"/>
      <c r="B73" s="84"/>
      <c r="F73" s="81"/>
      <c r="H73" s="81"/>
      <c r="I73" s="84"/>
      <c r="J73" s="84"/>
      <c r="K73" s="84"/>
      <c r="L73" s="84"/>
      <c r="O73" s="99"/>
      <c r="P73" s="99"/>
      <c r="T73" s="81"/>
      <c r="V73" s="81"/>
      <c r="W73" s="84"/>
      <c r="X73" s="84"/>
      <c r="Y73" s="84"/>
      <c r="Z73" s="84"/>
      <c r="AD73" s="194" t="s">
        <v>168</v>
      </c>
      <c r="AE73" s="194" t="s">
        <v>168</v>
      </c>
      <c r="AF73" s="194" t="s">
        <v>168</v>
      </c>
      <c r="AG73" s="194" t="s">
        <v>168</v>
      </c>
      <c r="AH73" s="194" t="s">
        <v>168</v>
      </c>
      <c r="AI73" s="194" t="s">
        <v>168</v>
      </c>
      <c r="AJ73" s="194" t="s">
        <v>168</v>
      </c>
      <c r="AK73" s="194" t="s">
        <v>168</v>
      </c>
      <c r="AL73" s="194" t="s">
        <v>168</v>
      </c>
      <c r="AM73" s="194" t="s">
        <v>168</v>
      </c>
      <c r="AN73" s="194" t="s">
        <v>168</v>
      </c>
      <c r="AO73" s="194" t="s">
        <v>168</v>
      </c>
      <c r="AQ73" s="81"/>
      <c r="AR73" s="81"/>
      <c r="AS73" s="81"/>
      <c r="AT73" s="81"/>
      <c r="AU73" s="81"/>
      <c r="BG73"/>
      <c r="BH73"/>
    </row>
    <row r="74" spans="1:60" ht="18" x14ac:dyDescent="0.35">
      <c r="A74" s="101">
        <f>A68+1</f>
        <v>5</v>
      </c>
      <c r="B74" s="101">
        <f>VLOOKUP(A74,STN_TABLE_2,2,FALSE)</f>
        <v>1</v>
      </c>
      <c r="C74" t="s">
        <v>0</v>
      </c>
      <c r="D74" t="s">
        <v>95</v>
      </c>
      <c r="E74" t="s">
        <v>164</v>
      </c>
      <c r="F74" t="s">
        <v>165</v>
      </c>
      <c r="G74" t="s">
        <v>13</v>
      </c>
      <c r="H74" t="s">
        <v>169</v>
      </c>
      <c r="I74" s="194" t="s">
        <v>168</v>
      </c>
      <c r="J74" s="194" t="s">
        <v>168</v>
      </c>
      <c r="K74" s="194" t="s">
        <v>168</v>
      </c>
      <c r="L74" s="194" t="s">
        <v>168</v>
      </c>
      <c r="M74" s="194" t="s">
        <v>168</v>
      </c>
      <c r="N74" s="194" t="s">
        <v>168</v>
      </c>
      <c r="O74" s="101">
        <f>O68+1</f>
        <v>7</v>
      </c>
      <c r="P74" s="101">
        <f t="shared" ref="P74" si="93">VLOOKUP(O74,STN_TABLE_2,2,FALSE)</f>
        <v>3</v>
      </c>
      <c r="Q74" t="s">
        <v>0</v>
      </c>
      <c r="R74" t="s">
        <v>95</v>
      </c>
      <c r="S74" t="s">
        <v>164</v>
      </c>
      <c r="T74" t="s">
        <v>165</v>
      </c>
      <c r="U74" t="s">
        <v>166</v>
      </c>
      <c r="V74" t="s">
        <v>167</v>
      </c>
      <c r="W74" s="194" t="s">
        <v>168</v>
      </c>
      <c r="X74" s="194" t="s">
        <v>168</v>
      </c>
      <c r="Y74" s="194" t="s">
        <v>168</v>
      </c>
      <c r="Z74" s="194" t="s">
        <v>168</v>
      </c>
      <c r="AA74" s="194" t="s">
        <v>168</v>
      </c>
      <c r="AB74" s="194" t="s">
        <v>168</v>
      </c>
      <c r="BG74"/>
      <c r="BH74"/>
    </row>
    <row r="75" spans="1:60" ht="18" x14ac:dyDescent="0.35">
      <c r="A75" s="84">
        <f>A74+1</f>
        <v>6</v>
      </c>
      <c r="B75" s="84">
        <f>VLOOKUP(A75,STN_TABLE_2,2,FALSE)</f>
        <v>2</v>
      </c>
      <c r="C75" s="79" t="str">
        <f>IF(C76=B77,IF(C77-C76=C76-B76,B76,IF(C77-C76=C76-B75,B75,"#NA")),IF(C76=B76,IF(C77-C76=C76-B75,B75,IF(C77-C76=C76-B74,B74,"#NA")),"#NA"))</f>
        <v>#NA</v>
      </c>
      <c r="D75" s="68" t="e">
        <f>VLOOKUP(C75,STN_TABLE,2,FALSE)</f>
        <v>#N/A</v>
      </c>
      <c r="E75" s="102">
        <v>1</v>
      </c>
      <c r="F75" s="68" t="e">
        <f>D75*E75</f>
        <v>#N/A</v>
      </c>
      <c r="G75" s="69" t="str">
        <f>C75</f>
        <v>#NA</v>
      </c>
      <c r="H75" s="69" t="e">
        <f>F75*G75</f>
        <v>#N/A</v>
      </c>
      <c r="I75" s="6" t="s">
        <v>93</v>
      </c>
      <c r="J75" s="70" t="e">
        <f>IF(OR(D75=0,D76=0,D77=0),"#NA",IF(AND(C77-C76=C76-C75,C76&lt;&gt;C77,C75&lt;&gt;C76,C75&lt;&gt;C77,D77&lt;&gt;0,OR(D75&lt;&gt;0,D76&lt;&gt;0)),WLS*(C77-C76),"#NA"))</f>
        <v>#N/A</v>
      </c>
      <c r="K75" s="194" t="s">
        <v>168</v>
      </c>
      <c r="L75" s="194" t="s">
        <v>168</v>
      </c>
      <c r="M75" s="194" t="s">
        <v>168</v>
      </c>
      <c r="N75" s="194" t="s">
        <v>168</v>
      </c>
      <c r="O75" s="99">
        <f>O74+1</f>
        <v>8</v>
      </c>
      <c r="P75" s="99">
        <f t="shared" si="24"/>
        <v>4</v>
      </c>
      <c r="Q75" s="68" t="str">
        <f t="shared" ref="Q75" si="94">IF(OR(P77-P76=P76-P75,P78-P76=P76-P75),P75,IF(OR(P77-P76=P76-P74,P78-P76=P76-P74),P74,"-"))</f>
        <v>-</v>
      </c>
      <c r="R75" s="69" t="e">
        <f>VLOOKUP(Q75,STN_TABLE,2,FALSE)</f>
        <v>#N/A</v>
      </c>
      <c r="S75" s="69">
        <v>5</v>
      </c>
      <c r="T75" s="68" t="e">
        <f t="shared" ref="T75:T77" si="95">R75*S75</f>
        <v>#N/A</v>
      </c>
      <c r="U75" s="79">
        <v>3</v>
      </c>
      <c r="V75" s="68" t="e">
        <f t="shared" ref="V75:V77" si="96">R75*U75</f>
        <v>#N/A</v>
      </c>
      <c r="W75" s="6" t="s">
        <v>93</v>
      </c>
      <c r="X75" s="70" t="e">
        <f>IF(AND(Q77-Q76=Q76-Q75,NOT(AND(Q75=0,Q76=0)),NOT(AND(Q76=0,Q77=0))),WLS*(Q77-Q76),"#NA")</f>
        <v>#VALUE!</v>
      </c>
      <c r="Y75" s="194" t="s">
        <v>168</v>
      </c>
      <c r="Z75" s="194" t="s">
        <v>168</v>
      </c>
      <c r="AA75" s="194" t="s">
        <v>168</v>
      </c>
      <c r="AB75" s="194" t="s">
        <v>168</v>
      </c>
      <c r="AD75" t="s">
        <v>0</v>
      </c>
      <c r="AE75" t="s">
        <v>95</v>
      </c>
      <c r="AF75" t="s">
        <v>173</v>
      </c>
      <c r="AG75" t="s">
        <v>183</v>
      </c>
      <c r="AH75" t="s">
        <v>175</v>
      </c>
      <c r="AI75" t="s">
        <v>184</v>
      </c>
      <c r="AJ75" s="6" t="s">
        <v>93</v>
      </c>
      <c r="AK75" s="70">
        <f>WLS*(AD77-AD76)</f>
        <v>1.6999999999999993</v>
      </c>
      <c r="AL75" s="194" t="s">
        <v>168</v>
      </c>
      <c r="AM75" s="194" t="s">
        <v>168</v>
      </c>
      <c r="AN75" s="194" t="s">
        <v>168</v>
      </c>
      <c r="AO75" s="194" t="s">
        <v>168</v>
      </c>
      <c r="BG75"/>
      <c r="BH75"/>
    </row>
    <row r="76" spans="1:60" x14ac:dyDescent="0.25">
      <c r="A76" s="84">
        <f>A75+1</f>
        <v>7</v>
      </c>
      <c r="B76" s="84">
        <f>VLOOKUP(A76,STN_TABLE_2,2,FALSE)</f>
        <v>3</v>
      </c>
      <c r="C76" s="80" t="str">
        <f>IF(OR(B78-B77=B77-B76,B78-B77=B77-B75,B78-B77=B77-B74),B77,IF(OR(B78-B76=B76-B75,B78-B76=B76-B74),B76,IF(B78-B75=B75-B74,B75,"#NA")))</f>
        <v>#NA</v>
      </c>
      <c r="D76" s="76" t="e">
        <f>VLOOKUP(C76,STN_TABLE,2,FALSE)</f>
        <v>#N/A</v>
      </c>
      <c r="E76" s="81">
        <v>4</v>
      </c>
      <c r="F76" s="76" t="e">
        <f>D76*E76</f>
        <v>#N/A</v>
      </c>
      <c r="G76" s="77" t="str">
        <f>C76</f>
        <v>#NA</v>
      </c>
      <c r="H76" s="77" t="e">
        <f>F76*G76</f>
        <v>#N/A</v>
      </c>
      <c r="I76" s="204" t="s">
        <v>171</v>
      </c>
      <c r="J76" s="194" t="s">
        <v>168</v>
      </c>
      <c r="K76" s="78" t="s">
        <v>98</v>
      </c>
      <c r="L76" s="194" t="s">
        <v>168</v>
      </c>
      <c r="M76" s="7" t="s">
        <v>77</v>
      </c>
      <c r="N76" s="194" t="s">
        <v>168</v>
      </c>
      <c r="O76" s="99">
        <f>O75+1</f>
        <v>9</v>
      </c>
      <c r="P76" s="99">
        <f t="shared" ref="P76:P113" si="97">VLOOKUP(O76,STN_TABLE_2,2,FALSE)</f>
        <v>4.8499999999999996</v>
      </c>
      <c r="Q76" s="76">
        <f t="shared" ref="Q76" si="98">P76</f>
        <v>4.8499999999999996</v>
      </c>
      <c r="R76" s="77">
        <f>VLOOKUP(Q76,STN_TABLE,2,FALSE)</f>
        <v>11</v>
      </c>
      <c r="S76" s="77">
        <v>8</v>
      </c>
      <c r="T76" s="76">
        <f t="shared" si="95"/>
        <v>88</v>
      </c>
      <c r="U76" s="80">
        <v>10</v>
      </c>
      <c r="V76" s="76">
        <f t="shared" si="96"/>
        <v>110</v>
      </c>
      <c r="W76" s="204" t="s">
        <v>171</v>
      </c>
      <c r="X76" s="194" t="s">
        <v>168</v>
      </c>
      <c r="Y76" s="78" t="s">
        <v>98</v>
      </c>
      <c r="Z76" s="194" t="s">
        <v>168</v>
      </c>
      <c r="AA76" s="7" t="s">
        <v>77</v>
      </c>
      <c r="AB76" s="194" t="s">
        <v>168</v>
      </c>
      <c r="AC76" s="99">
        <f>AC70+1</f>
        <v>8</v>
      </c>
      <c r="AD76" s="95">
        <f>VLOOKUP(AC76,STN_TABLE_2,2,FALSE)</f>
        <v>4</v>
      </c>
      <c r="AE76">
        <f t="shared" ref="AE76:AE77" si="99">AG76</f>
        <v>11</v>
      </c>
      <c r="AF76">
        <v>1</v>
      </c>
      <c r="AG76" s="68">
        <f>VLOOKUP(AD76,STN_TABLE,2,FALSE)</f>
        <v>11</v>
      </c>
      <c r="AH76" s="68">
        <v>1</v>
      </c>
      <c r="AI76" s="69">
        <f t="shared" ref="AI76:AI77" si="100">AG76*AH76</f>
        <v>11</v>
      </c>
      <c r="AJ76" s="204" t="s">
        <v>171</v>
      </c>
      <c r="AK76" s="194" t="s">
        <v>168</v>
      </c>
      <c r="AL76" s="78" t="s">
        <v>98</v>
      </c>
      <c r="AM76" s="194" t="s">
        <v>168</v>
      </c>
      <c r="AN76" s="7" t="s">
        <v>77</v>
      </c>
      <c r="AO76" s="194" t="s">
        <v>168</v>
      </c>
      <c r="AR76" s="86" t="s">
        <v>112</v>
      </c>
      <c r="AS76" s="89" t="s">
        <v>113</v>
      </c>
      <c r="AT76" s="89" t="s">
        <v>114</v>
      </c>
      <c r="AU76" s="89" t="s">
        <v>115</v>
      </c>
      <c r="AV76" s="71" t="str">
        <f t="shared" ref="AV76" si="101">IF(AV77=AR77,AR76,IF(AV77=AS77,AS76,IF(AV77=AT77,AT76,AU76)))</f>
        <v>Trapezoid</v>
      </c>
      <c r="BG76"/>
      <c r="BH76"/>
    </row>
    <row r="77" spans="1:60" x14ac:dyDescent="0.25">
      <c r="A77" s="84">
        <f>A76+1</f>
        <v>8</v>
      </c>
      <c r="B77" s="84">
        <f>VLOOKUP(A77,STN_TABLE_2,2,FALSE)</f>
        <v>4</v>
      </c>
      <c r="C77" s="88">
        <f>B78</f>
        <v>4.8499999999999996</v>
      </c>
      <c r="D77" s="82">
        <f>VLOOKUP(C77,STN_TABLE,2,FALSE)</f>
        <v>11</v>
      </c>
      <c r="E77" s="92">
        <v>1</v>
      </c>
      <c r="F77" s="82">
        <f>D77*E77</f>
        <v>11</v>
      </c>
      <c r="G77" s="83">
        <f>C77</f>
        <v>4.8499999999999996</v>
      </c>
      <c r="H77" s="83">
        <f>F77*G77</f>
        <v>53.349999999999994</v>
      </c>
      <c r="I77" s="84" t="str">
        <f>CONCATENATE("a'(",C75,"~",C77,")=")</f>
        <v>a'(#NA~4.85)=</v>
      </c>
      <c r="J77" s="84" t="e">
        <f>2*J75/3*F78</f>
        <v>#N/A</v>
      </c>
      <c r="K77" s="84" t="str">
        <f>CONCATENATE("A(",C75,")=")</f>
        <v>A(#NA)=</v>
      </c>
      <c r="L77" s="84" t="e">
        <f>VLOOKUP(C75,STN_TABLE,3,FALSE)</f>
        <v>#N/A</v>
      </c>
      <c r="M77" t="str">
        <f>CONCATENATE("A(",C77,")=")</f>
        <v>A(4.85)=</v>
      </c>
      <c r="N77" t="e">
        <f>J77+L77</f>
        <v>#N/A</v>
      </c>
      <c r="O77" s="99">
        <f>O76+1</f>
        <v>10</v>
      </c>
      <c r="P77" s="99">
        <f t="shared" si="97"/>
        <v>5</v>
      </c>
      <c r="Q77" s="82" t="str">
        <f t="shared" ref="Q77" si="102">IF(P77-P76=P76-P75,P77,IF(P78-P76=P76-P75,P78,IF(P77-P76=P76-P74,P77,IF(P78-P76=P76-P74,P78,"-"))))</f>
        <v>-</v>
      </c>
      <c r="R77" s="83" t="e">
        <f>VLOOKUP(Q77,STN_TABLE,2,FALSE)</f>
        <v>#N/A</v>
      </c>
      <c r="S77" s="83">
        <v>-1</v>
      </c>
      <c r="T77" s="82" t="e">
        <f t="shared" si="95"/>
        <v>#N/A</v>
      </c>
      <c r="U77" s="88">
        <v>-1</v>
      </c>
      <c r="V77" s="82" t="e">
        <f t="shared" si="96"/>
        <v>#N/A</v>
      </c>
      <c r="W77" s="84" t="str">
        <f t="shared" ref="W77" si="103">CONCATENATE("a'(",Q75,"~",Q76,")=")</f>
        <v>a'(-~4.85)=</v>
      </c>
      <c r="X77" s="84" t="e">
        <f t="shared" ref="X77" si="104">2*X75/12*T78</f>
        <v>#VALUE!</v>
      </c>
      <c r="Y77" s="84" t="str">
        <f t="shared" ref="Y77" si="105">CONCATENATE("A(",Q75,")=")</f>
        <v>A(-)=</v>
      </c>
      <c r="Z77" s="84" t="e">
        <f>VLOOKUP(Q75,STN_TABLE,3,FALSE)</f>
        <v>#N/A</v>
      </c>
      <c r="AA77" t="str">
        <f t="shared" ref="AA77" si="106">CONCATENATE("A(",Q76,")=")</f>
        <v>A(4.85)=</v>
      </c>
      <c r="AB77" t="e">
        <f t="shared" ref="AB77:AB78" si="107">X77+Z77</f>
        <v>#VALUE!</v>
      </c>
      <c r="AC77" s="99">
        <f>AC76+1</f>
        <v>9</v>
      </c>
      <c r="AD77" s="100">
        <f>VLOOKUP(AC77,STN_TABLE_2,2,FALSE)</f>
        <v>4.8499999999999996</v>
      </c>
      <c r="AE77">
        <f t="shared" si="99"/>
        <v>11</v>
      </c>
      <c r="AF77">
        <v>1</v>
      </c>
      <c r="AG77" s="82">
        <f>VLOOKUP(AD77,STN_TABLE,2,FALSE)</f>
        <v>11</v>
      </c>
      <c r="AH77" s="82">
        <v>2</v>
      </c>
      <c r="AI77" s="83">
        <f t="shared" si="100"/>
        <v>22</v>
      </c>
      <c r="AJ77" s="84" t="str">
        <f t="shared" ref="AJ77" si="108">CONCATENATE("a'(",AD77,")=")</f>
        <v>a'(4.85)=</v>
      </c>
      <c r="AK77" s="84">
        <f t="shared" ref="AK77" si="109">2*AK75/2*AG78</f>
        <v>37.399999999999984</v>
      </c>
      <c r="AL77" s="84" t="str">
        <f t="shared" ref="AL77" si="110">CONCATENATE("A(",AD76,")=")</f>
        <v>A(4)=</v>
      </c>
      <c r="AM77" s="84">
        <f>VLOOKUP(AD76,STN_TABLE,3,FALSE)</f>
        <v>174.25333333333333</v>
      </c>
      <c r="AN77" t="str">
        <f t="shared" ref="AN77" si="111">CONCATENATE("A(",AD77,")=")</f>
        <v>A(4.85)=</v>
      </c>
      <c r="AO77">
        <f t="shared" ref="AO77:AO78" si="112">AK77+AM77</f>
        <v>211.65333333333331</v>
      </c>
      <c r="AQ77" s="68" t="str">
        <f>AA77</f>
        <v>A(4.85)=</v>
      </c>
      <c r="AR77" s="68" t="str">
        <f>IFERROR(VLOOKUP(AQ77,Rise_Results,2,FALSE),"-")</f>
        <v>-</v>
      </c>
      <c r="AS77" s="76" t="str">
        <f>IFERROR(N77,"-")</f>
        <v>-</v>
      </c>
      <c r="AT77" s="76" t="str">
        <f>IFERROR(IF(OR(AB77&lt;=0,AB78&lt;=0),1/0,AB77),"-")</f>
        <v>-</v>
      </c>
      <c r="AU77" s="76">
        <f t="shared" ref="AU77:AU78" si="113">AO77</f>
        <v>211.65333333333331</v>
      </c>
      <c r="AV77">
        <f t="shared" ref="AV77:AV78" si="114">IF(ISNUMBER(AR77),AR77,IF(ISNUMBER(AS77),AS77,IF(ISNUMBER(AT77),AT77,AU77)))</f>
        <v>211.65333333333331</v>
      </c>
      <c r="BG77"/>
      <c r="BH77"/>
    </row>
    <row r="78" spans="1:60" x14ac:dyDescent="0.25">
      <c r="A78" s="84">
        <f>A77+1</f>
        <v>9</v>
      </c>
      <c r="B78" s="84">
        <f>VLOOKUP(A78,STN_TABLE_2,2,FALSE)</f>
        <v>4.8499999999999996</v>
      </c>
      <c r="C78" s="194" t="s">
        <v>168</v>
      </c>
      <c r="D78" s="194" t="s">
        <v>168</v>
      </c>
      <c r="E78" s="6" t="s">
        <v>172</v>
      </c>
      <c r="F78" s="89" t="e">
        <f>SUM(F75:F77)</f>
        <v>#N/A</v>
      </c>
      <c r="G78" s="6" t="s">
        <v>172</v>
      </c>
      <c r="H78" s="82" t="e">
        <f>SUM(H75:H77)</f>
        <v>#N/A</v>
      </c>
      <c r="I78" s="84" t="str">
        <f>CONCATENATE("m'(",C75,"~",C77,")=")</f>
        <v>m'(#NA~4.85)=</v>
      </c>
      <c r="J78" s="84" t="e">
        <f>2*(J75*(WLS))/3*H78</f>
        <v>#N/A</v>
      </c>
      <c r="K78" s="84" t="str">
        <f>CONCATENATE("M(",C75,")=")</f>
        <v>M(#NA)=</v>
      </c>
      <c r="L78" s="84" t="e">
        <f>VLOOKUP(C75,STN_TABLE,4,FALSE)</f>
        <v>#N/A</v>
      </c>
      <c r="M78" t="str">
        <f>CONCATENATE("M(",C77,")=")</f>
        <v>M(4.85)=</v>
      </c>
      <c r="N78" t="e">
        <f>J78+L78</f>
        <v>#N/A</v>
      </c>
      <c r="O78" s="99">
        <f>O77+1</f>
        <v>11</v>
      </c>
      <c r="P78" s="99">
        <f t="shared" si="97"/>
        <v>6</v>
      </c>
      <c r="Q78" s="194" t="s">
        <v>168</v>
      </c>
      <c r="R78" s="194" t="s">
        <v>168</v>
      </c>
      <c r="S78" s="6" t="s">
        <v>172</v>
      </c>
      <c r="T78" s="89" t="e">
        <f t="shared" ref="T78" si="115">SUM(T75:T77)</f>
        <v>#N/A</v>
      </c>
      <c r="U78" s="6" t="s">
        <v>172</v>
      </c>
      <c r="V78" s="82" t="e">
        <f t="shared" ref="V78" si="116">SUM(V75:V77)</f>
        <v>#N/A</v>
      </c>
      <c r="W78" s="84" t="str">
        <f t="shared" ref="W78" si="117">CONCATENATE("m'(",Q75,"~",Q76,")=")</f>
        <v>m'(-~4.85)=</v>
      </c>
      <c r="X78" s="84" t="e">
        <f>(2*(X75^2)/24*V78)+(X77*Q75*WLS)</f>
        <v>#VALUE!</v>
      </c>
      <c r="Y78" s="84" t="str">
        <f t="shared" ref="Y78" si="118">CONCATENATE("M(",Q75,")=")</f>
        <v>M(-)=</v>
      </c>
      <c r="Z78" s="84" t="e">
        <f>VLOOKUP(Q75,STN_TABLE,4,FALSE)</f>
        <v>#N/A</v>
      </c>
      <c r="AA78" t="str">
        <f t="shared" ref="AA78" si="119">CONCATENATE("M(",Q76,")=")</f>
        <v>M(4.85)=</v>
      </c>
      <c r="AB78" t="e">
        <f t="shared" si="107"/>
        <v>#VALUE!</v>
      </c>
      <c r="AD78" s="194" t="s">
        <v>168</v>
      </c>
      <c r="AE78" s="194" t="s">
        <v>168</v>
      </c>
      <c r="AF78" s="6" t="s">
        <v>172</v>
      </c>
      <c r="AG78" s="89">
        <f t="shared" ref="AG78" si="120">SUM(AG76:AG77)</f>
        <v>22</v>
      </c>
      <c r="AH78" s="6" t="s">
        <v>172</v>
      </c>
      <c r="AI78" s="89">
        <f t="shared" ref="AI78" si="121">SUM(AI76:AI77)</f>
        <v>33</v>
      </c>
      <c r="AJ78" s="84" t="str">
        <f t="shared" ref="AJ78" si="122">CONCATENATE("m'(",AD77,")=")</f>
        <v>m'(4.85)=</v>
      </c>
      <c r="AK78" s="84">
        <f>(2*(AK75^2)/6*AI78)+(AK77*AD76*WLS)</f>
        <v>330.98999999999984</v>
      </c>
      <c r="AL78" s="84" t="str">
        <f t="shared" ref="AL78" si="123">CONCATENATE("M(",AD76,")=")</f>
        <v>M(4)=</v>
      </c>
      <c r="AM78" s="84">
        <f>VLOOKUP(AD76,STN_TABLE,4,FALSE)</f>
        <v>703.13333333333333</v>
      </c>
      <c r="AN78" t="str">
        <f t="shared" ref="AN78" si="124">CONCATENATE("M(",AD77,")=")</f>
        <v>M(4.85)=</v>
      </c>
      <c r="AO78">
        <f t="shared" si="112"/>
        <v>1034.1233333333332</v>
      </c>
      <c r="AQ78" s="82" t="str">
        <f>AA78</f>
        <v>M(4.85)=</v>
      </c>
      <c r="AR78" s="82" t="str">
        <f>IFERROR(VLOOKUP(AQ78,Rise_Results,2,FALSE),"-")</f>
        <v>-</v>
      </c>
      <c r="AS78" s="82" t="str">
        <f>IFERROR(N78,"-")</f>
        <v>-</v>
      </c>
      <c r="AT78" s="82" t="str">
        <f>IFERROR(IF(OR(AB77&lt;=0,AB78&lt;=0),1/0,AB78),"-")</f>
        <v>-</v>
      </c>
      <c r="AU78" s="82">
        <f t="shared" si="113"/>
        <v>1034.1233333333332</v>
      </c>
      <c r="AV78">
        <f t="shared" si="114"/>
        <v>1034.1233333333332</v>
      </c>
      <c r="BG78"/>
      <c r="BH78"/>
    </row>
    <row r="79" spans="1:60" x14ac:dyDescent="0.25">
      <c r="A79" s="84"/>
      <c r="B79" s="84"/>
      <c r="F79" s="81"/>
      <c r="H79" s="81"/>
      <c r="I79" s="84"/>
      <c r="J79" s="84"/>
      <c r="K79" s="84"/>
      <c r="L79" s="84"/>
      <c r="O79" s="99"/>
      <c r="P79" s="99"/>
      <c r="T79" s="81"/>
      <c r="V79" s="81"/>
      <c r="W79" s="84"/>
      <c r="X79" s="84"/>
      <c r="Y79" s="84"/>
      <c r="Z79" s="84"/>
      <c r="AD79" s="194" t="s">
        <v>168</v>
      </c>
      <c r="AE79" s="194" t="s">
        <v>168</v>
      </c>
      <c r="AF79" s="194" t="s">
        <v>168</v>
      </c>
      <c r="AG79" s="194" t="s">
        <v>168</v>
      </c>
      <c r="AH79" s="194" t="s">
        <v>168</v>
      </c>
      <c r="AI79" s="194" t="s">
        <v>168</v>
      </c>
      <c r="AJ79" s="194" t="s">
        <v>168</v>
      </c>
      <c r="AK79" s="194" t="s">
        <v>168</v>
      </c>
      <c r="AL79" s="194" t="s">
        <v>168</v>
      </c>
      <c r="AM79" s="194" t="s">
        <v>168</v>
      </c>
      <c r="AN79" s="194" t="s">
        <v>168</v>
      </c>
      <c r="AO79" s="194" t="s">
        <v>168</v>
      </c>
      <c r="AQ79" s="81"/>
      <c r="AR79" s="81"/>
      <c r="AS79" s="81"/>
      <c r="AT79" s="81"/>
      <c r="AU79" s="81"/>
      <c r="BG79"/>
      <c r="BH79"/>
    </row>
    <row r="80" spans="1:60" ht="18" x14ac:dyDescent="0.35">
      <c r="A80" s="101">
        <f>A74+1</f>
        <v>6</v>
      </c>
      <c r="B80" s="101">
        <f>VLOOKUP(A80,STN_TABLE_2,2,FALSE)</f>
        <v>2</v>
      </c>
      <c r="C80" t="s">
        <v>0</v>
      </c>
      <c r="D80" t="s">
        <v>95</v>
      </c>
      <c r="E80" t="s">
        <v>164</v>
      </c>
      <c r="F80" t="s">
        <v>165</v>
      </c>
      <c r="G80" t="s">
        <v>13</v>
      </c>
      <c r="H80" t="s">
        <v>169</v>
      </c>
      <c r="I80" s="194" t="s">
        <v>168</v>
      </c>
      <c r="J80" s="194" t="s">
        <v>168</v>
      </c>
      <c r="K80" s="194" t="s">
        <v>168</v>
      </c>
      <c r="L80" s="194" t="s">
        <v>168</v>
      </c>
      <c r="M80" s="194" t="s">
        <v>168</v>
      </c>
      <c r="N80" s="194" t="s">
        <v>168</v>
      </c>
      <c r="O80" s="101">
        <f>O74+1</f>
        <v>8</v>
      </c>
      <c r="P80" s="101">
        <f t="shared" ref="P80" si="125">VLOOKUP(O80,STN_TABLE_2,2,FALSE)</f>
        <v>4</v>
      </c>
      <c r="Q80" t="s">
        <v>0</v>
      </c>
      <c r="R80" t="s">
        <v>95</v>
      </c>
      <c r="S80" t="s">
        <v>164</v>
      </c>
      <c r="T80" t="s">
        <v>165</v>
      </c>
      <c r="U80" t="s">
        <v>166</v>
      </c>
      <c r="V80" t="s">
        <v>167</v>
      </c>
      <c r="W80" s="194" t="s">
        <v>168</v>
      </c>
      <c r="X80" s="194" t="s">
        <v>168</v>
      </c>
      <c r="Y80" s="194" t="s">
        <v>168</v>
      </c>
      <c r="Z80" s="194" t="s">
        <v>168</v>
      </c>
      <c r="AA80" s="194" t="s">
        <v>168</v>
      </c>
      <c r="AB80" s="194" t="s">
        <v>168</v>
      </c>
      <c r="BG80"/>
      <c r="BH80"/>
    </row>
    <row r="81" spans="1:60" ht="18" x14ac:dyDescent="0.35">
      <c r="A81" s="84">
        <f>A80+1</f>
        <v>7</v>
      </c>
      <c r="B81" s="84">
        <f>VLOOKUP(A81,STN_TABLE_2,2,FALSE)</f>
        <v>3</v>
      </c>
      <c r="C81" s="79">
        <f>IF(C82=B83,IF(C83-C82=C82-B82,B82,IF(C83-C82=C82-B81,B81,"#NA")),IF(C82=B82,IF(C83-C82=C82-B81,B81,IF(C83-C82=C82-B80,B80,"#NA")),"#NA"))</f>
        <v>3</v>
      </c>
      <c r="D81" s="68">
        <f>VLOOKUP(C81,STN_TABLE,2,FALSE)</f>
        <v>11</v>
      </c>
      <c r="E81" s="102">
        <v>1</v>
      </c>
      <c r="F81" s="68">
        <f>D81*E81</f>
        <v>11</v>
      </c>
      <c r="G81" s="69">
        <f>C81</f>
        <v>3</v>
      </c>
      <c r="H81" s="69">
        <f>F81*G81</f>
        <v>33</v>
      </c>
      <c r="I81" s="6" t="s">
        <v>93</v>
      </c>
      <c r="J81" s="70">
        <f>IF(OR(D81=0,D82=0,D83=0),"#NA",IF(AND(C83-C82=C82-C81,C82&lt;&gt;C83,C81&lt;&gt;C82,C81&lt;&gt;C83,D83&lt;&gt;0,OR(D81&lt;&gt;0,D82&lt;&gt;0)),WLS*(C83-C82),"#NA"))</f>
        <v>2</v>
      </c>
      <c r="K81" s="194" t="s">
        <v>168</v>
      </c>
      <c r="L81" s="194" t="s">
        <v>168</v>
      </c>
      <c r="M81" s="194" t="s">
        <v>168</v>
      </c>
      <c r="N81" s="194" t="s">
        <v>168</v>
      </c>
      <c r="O81" s="99">
        <f>O80+1</f>
        <v>9</v>
      </c>
      <c r="P81" s="99">
        <f t="shared" si="97"/>
        <v>4.8499999999999996</v>
      </c>
      <c r="Q81" s="68">
        <f t="shared" ref="Q81" si="126">IF(OR(P83-P82=P82-P81,P84-P82=P82-P81),P81,IF(OR(P83-P82=P82-P80,P84-P82=P82-P80),P80,"-"))</f>
        <v>4</v>
      </c>
      <c r="R81" s="69">
        <f>VLOOKUP(Q81,STN_TABLE,2,FALSE)</f>
        <v>11</v>
      </c>
      <c r="S81" s="69">
        <v>5</v>
      </c>
      <c r="T81" s="68">
        <f t="shared" ref="T81:T83" si="127">R81*S81</f>
        <v>55</v>
      </c>
      <c r="U81" s="79">
        <v>3</v>
      </c>
      <c r="V81" s="68">
        <f t="shared" ref="V81:V83" si="128">R81*U81</f>
        <v>33</v>
      </c>
      <c r="W81" s="6" t="s">
        <v>93</v>
      </c>
      <c r="X81" s="70">
        <f>IF(AND(Q83-Q82=Q82-Q81,NOT(AND(Q81=0,Q82=0)),NOT(AND(Q82=0,Q83=0))),WLS*(Q83-Q82),"#NA")</f>
        <v>2</v>
      </c>
      <c r="Y81" s="194" t="s">
        <v>168</v>
      </c>
      <c r="Z81" s="194" t="s">
        <v>168</v>
      </c>
      <c r="AA81" s="194" t="s">
        <v>168</v>
      </c>
      <c r="AB81" s="194" t="s">
        <v>168</v>
      </c>
      <c r="AD81" t="s">
        <v>0</v>
      </c>
      <c r="AE81" t="s">
        <v>95</v>
      </c>
      <c r="AF81" t="s">
        <v>173</v>
      </c>
      <c r="AG81" t="s">
        <v>183</v>
      </c>
      <c r="AH81" t="s">
        <v>175</v>
      </c>
      <c r="AI81" t="s">
        <v>184</v>
      </c>
      <c r="AJ81" s="6" t="s">
        <v>93</v>
      </c>
      <c r="AK81" s="70">
        <f>WLS*(AD83-AD82)</f>
        <v>0.30000000000000071</v>
      </c>
      <c r="AL81" s="194" t="s">
        <v>168</v>
      </c>
      <c r="AM81" s="194" t="s">
        <v>168</v>
      </c>
      <c r="AN81" s="194" t="s">
        <v>168</v>
      </c>
      <c r="AO81" s="194" t="s">
        <v>168</v>
      </c>
      <c r="BG81"/>
      <c r="BH81"/>
    </row>
    <row r="82" spans="1:60" x14ac:dyDescent="0.25">
      <c r="A82" s="84">
        <f>A81+1</f>
        <v>8</v>
      </c>
      <c r="B82" s="84">
        <f>VLOOKUP(A82,STN_TABLE_2,2,FALSE)</f>
        <v>4</v>
      </c>
      <c r="C82" s="80">
        <f>IF(OR(B84-B83=B83-B82,B84-B83=B83-B81,B84-B83=B83-B80),B83,IF(OR(B84-B82=B82-B81,B84-B82=B82-B80),B82,IF(B84-B81=B81-B80,B81,"#NA")))</f>
        <v>4</v>
      </c>
      <c r="D82" s="76">
        <f>VLOOKUP(C82,STN_TABLE,2,FALSE)</f>
        <v>11</v>
      </c>
      <c r="E82" s="81">
        <v>4</v>
      </c>
      <c r="F82" s="76">
        <f>D82*E82</f>
        <v>44</v>
      </c>
      <c r="G82" s="77">
        <f>C82</f>
        <v>4</v>
      </c>
      <c r="H82" s="77">
        <f>F82*G82</f>
        <v>176</v>
      </c>
      <c r="I82" s="204" t="s">
        <v>171</v>
      </c>
      <c r="J82" s="194" t="s">
        <v>168</v>
      </c>
      <c r="K82" s="78" t="s">
        <v>98</v>
      </c>
      <c r="L82" s="194" t="s">
        <v>168</v>
      </c>
      <c r="M82" s="7" t="s">
        <v>77</v>
      </c>
      <c r="N82" s="194" t="s">
        <v>168</v>
      </c>
      <c r="O82" s="99">
        <f>O81+1</f>
        <v>10</v>
      </c>
      <c r="P82" s="99">
        <f t="shared" si="97"/>
        <v>5</v>
      </c>
      <c r="Q82" s="76">
        <f t="shared" ref="Q82" si="129">P82</f>
        <v>5</v>
      </c>
      <c r="R82" s="77">
        <f>VLOOKUP(Q82,STN_TABLE,2,FALSE)</f>
        <v>11</v>
      </c>
      <c r="S82" s="77">
        <v>8</v>
      </c>
      <c r="T82" s="76">
        <f t="shared" si="127"/>
        <v>88</v>
      </c>
      <c r="U82" s="80">
        <v>10</v>
      </c>
      <c r="V82" s="76">
        <f t="shared" si="128"/>
        <v>110</v>
      </c>
      <c r="W82" s="204" t="s">
        <v>171</v>
      </c>
      <c r="X82" s="194" t="s">
        <v>168</v>
      </c>
      <c r="Y82" s="78" t="s">
        <v>98</v>
      </c>
      <c r="Z82" s="194" t="s">
        <v>168</v>
      </c>
      <c r="AA82" s="7" t="s">
        <v>77</v>
      </c>
      <c r="AB82" s="194" t="s">
        <v>168</v>
      </c>
      <c r="AC82" s="99">
        <f>AC76+1</f>
        <v>9</v>
      </c>
      <c r="AD82" s="95">
        <f>VLOOKUP(AC82,STN_TABLE_2,2,FALSE)</f>
        <v>4.8499999999999996</v>
      </c>
      <c r="AE82">
        <f t="shared" ref="AE82:AE83" si="130">AG82</f>
        <v>11</v>
      </c>
      <c r="AF82">
        <v>1</v>
      </c>
      <c r="AG82" s="68">
        <f>VLOOKUP(AD82,STN_TABLE,2,FALSE)</f>
        <v>11</v>
      </c>
      <c r="AH82" s="68">
        <v>1</v>
      </c>
      <c r="AI82" s="69">
        <f t="shared" ref="AI82:AI83" si="131">AG82*AH82</f>
        <v>11</v>
      </c>
      <c r="AJ82" s="204" t="s">
        <v>171</v>
      </c>
      <c r="AK82" s="194" t="s">
        <v>168</v>
      </c>
      <c r="AL82" s="78" t="s">
        <v>98</v>
      </c>
      <c r="AM82" s="194" t="s">
        <v>168</v>
      </c>
      <c r="AN82" s="7" t="s">
        <v>77</v>
      </c>
      <c r="AO82" s="194" t="s">
        <v>168</v>
      </c>
      <c r="AR82" s="86" t="s">
        <v>112</v>
      </c>
      <c r="AS82" s="89" t="s">
        <v>113</v>
      </c>
      <c r="AT82" s="89" t="s">
        <v>114</v>
      </c>
      <c r="AU82" s="89" t="s">
        <v>115</v>
      </c>
      <c r="AV82" s="71" t="str">
        <f t="shared" ref="AV82" si="132">IF(AV83=AR83,AR82,IF(AV83=AS83,AS82,IF(AV83=AT83,AT82,AU82)))</f>
        <v>1,4,1 rule</v>
      </c>
      <c r="BG82"/>
      <c r="BH82"/>
    </row>
    <row r="83" spans="1:60" x14ac:dyDescent="0.25">
      <c r="A83" s="84">
        <f>A82+1</f>
        <v>9</v>
      </c>
      <c r="B83" s="84">
        <f>VLOOKUP(A83,STN_TABLE_2,2,FALSE)</f>
        <v>4.8499999999999996</v>
      </c>
      <c r="C83" s="88">
        <f>B84</f>
        <v>5</v>
      </c>
      <c r="D83" s="82">
        <f>VLOOKUP(C83,STN_TABLE,2,FALSE)</f>
        <v>11</v>
      </c>
      <c r="E83" s="92">
        <v>1</v>
      </c>
      <c r="F83" s="82">
        <f>D83*E83</f>
        <v>11</v>
      </c>
      <c r="G83" s="83">
        <f>C83</f>
        <v>5</v>
      </c>
      <c r="H83" s="83">
        <f>F83*G83</f>
        <v>55</v>
      </c>
      <c r="I83" s="84" t="str">
        <f>CONCATENATE("a'(",C81,"~",C83,")=")</f>
        <v>a'(3~5)=</v>
      </c>
      <c r="J83" s="84">
        <f>2*J81/3*F84</f>
        <v>88</v>
      </c>
      <c r="K83" s="84" t="str">
        <f>CONCATENATE("A(",C81,")=")</f>
        <v>A(3)=</v>
      </c>
      <c r="L83" s="84">
        <f>VLOOKUP(C81,STN_TABLE,3,FALSE)</f>
        <v>130.25333333333333</v>
      </c>
      <c r="M83" t="str">
        <f>CONCATENATE("A(",C83,")=")</f>
        <v>A(5)=</v>
      </c>
      <c r="N83">
        <f>J83+L83</f>
        <v>218.25333333333333</v>
      </c>
      <c r="O83" s="99">
        <f>O82+1</f>
        <v>11</v>
      </c>
      <c r="P83" s="99">
        <f t="shared" si="97"/>
        <v>6</v>
      </c>
      <c r="Q83" s="82">
        <f t="shared" ref="Q83" si="133">IF(P83-P82=P82-P81,P83,IF(P84-P82=P82-P81,P84,IF(P83-P82=P82-P80,P83,IF(P84-P82=P82-P80,P84,"-"))))</f>
        <v>6</v>
      </c>
      <c r="R83" s="83">
        <f>VLOOKUP(Q83,STN_TABLE,2,FALSE)</f>
        <v>11</v>
      </c>
      <c r="S83" s="83">
        <v>-1</v>
      </c>
      <c r="T83" s="82">
        <f t="shared" si="127"/>
        <v>-11</v>
      </c>
      <c r="U83" s="88">
        <v>-1</v>
      </c>
      <c r="V83" s="82">
        <f t="shared" si="128"/>
        <v>-11</v>
      </c>
      <c r="W83" s="84" t="str">
        <f t="shared" ref="W83" si="134">CONCATENATE("a'(",Q81,"~",Q82,")=")</f>
        <v>a'(4~5)=</v>
      </c>
      <c r="X83" s="84">
        <f t="shared" ref="X83" si="135">2*X81/12*T84</f>
        <v>44</v>
      </c>
      <c r="Y83" s="84" t="str">
        <f t="shared" ref="Y83" si="136">CONCATENATE("A(",Q81,")=")</f>
        <v>A(4)=</v>
      </c>
      <c r="Z83" s="84">
        <f>VLOOKUP(Q81,STN_TABLE,3,FALSE)</f>
        <v>174.25333333333333</v>
      </c>
      <c r="AA83" t="str">
        <f t="shared" ref="AA83" si="137">CONCATENATE("A(",Q82,")=")</f>
        <v>A(5)=</v>
      </c>
      <c r="AB83">
        <f t="shared" ref="AB83:AB84" si="138">X83+Z83</f>
        <v>218.25333333333333</v>
      </c>
      <c r="AC83" s="99">
        <f>AC82+1</f>
        <v>10</v>
      </c>
      <c r="AD83" s="100">
        <f>VLOOKUP(AC83,STN_TABLE_2,2,FALSE)</f>
        <v>5</v>
      </c>
      <c r="AE83">
        <f t="shared" si="130"/>
        <v>11</v>
      </c>
      <c r="AF83">
        <v>1</v>
      </c>
      <c r="AG83" s="82">
        <f>VLOOKUP(AD83,STN_TABLE,2,FALSE)</f>
        <v>11</v>
      </c>
      <c r="AH83" s="82">
        <v>2</v>
      </c>
      <c r="AI83" s="83">
        <f t="shared" si="131"/>
        <v>22</v>
      </c>
      <c r="AJ83" s="84" t="str">
        <f t="shared" ref="AJ83" si="139">CONCATENATE("a'(",AD83,")=")</f>
        <v>a'(5)=</v>
      </c>
      <c r="AK83" s="84">
        <f t="shared" ref="AK83" si="140">2*AK81/2*AG84</f>
        <v>6.6000000000000156</v>
      </c>
      <c r="AL83" s="84" t="str">
        <f t="shared" ref="AL83" si="141">CONCATENATE("A(",AD82,")=")</f>
        <v>A(4.85)=</v>
      </c>
      <c r="AM83" s="84">
        <f>VLOOKUP(AD82,STN_TABLE,3,FALSE)</f>
        <v>211.65333333333331</v>
      </c>
      <c r="AN83" t="str">
        <f t="shared" ref="AN83" si="142">CONCATENATE("A(",AD83,")=")</f>
        <v>A(5)=</v>
      </c>
      <c r="AO83">
        <f t="shared" ref="AO83:AO84" si="143">AK83+AM83</f>
        <v>218.25333333333333</v>
      </c>
      <c r="AQ83" s="68" t="str">
        <f>AA83</f>
        <v>A(5)=</v>
      </c>
      <c r="AR83" s="68" t="str">
        <f>IFERROR(VLOOKUP(AQ83,Rise_Results,2,FALSE),"-")</f>
        <v>-</v>
      </c>
      <c r="AS83" s="76">
        <f>IFERROR(N83,"-")</f>
        <v>218.25333333333333</v>
      </c>
      <c r="AT83" s="76">
        <f>IFERROR(IF(OR(AB83&lt;=0,AB84&lt;=0),1/0,AB83),"-")</f>
        <v>218.25333333333333</v>
      </c>
      <c r="AU83" s="76">
        <f t="shared" ref="AU83:AU84" si="144">AO83</f>
        <v>218.25333333333333</v>
      </c>
      <c r="AV83">
        <f t="shared" ref="AV83:AV84" si="145">IF(ISNUMBER(AR83),AR83,IF(ISNUMBER(AS83),AS83,IF(ISNUMBER(AT83),AT83,AU83)))</f>
        <v>218.25333333333333</v>
      </c>
      <c r="BG83"/>
      <c r="BH83"/>
    </row>
    <row r="84" spans="1:60" x14ac:dyDescent="0.25">
      <c r="A84" s="84">
        <f>A83+1</f>
        <v>10</v>
      </c>
      <c r="B84" s="84">
        <f>VLOOKUP(A84,STN_TABLE_2,2,FALSE)</f>
        <v>5</v>
      </c>
      <c r="C84" s="194" t="s">
        <v>168</v>
      </c>
      <c r="D84" s="194" t="s">
        <v>168</v>
      </c>
      <c r="E84" s="6" t="s">
        <v>172</v>
      </c>
      <c r="F84" s="89">
        <f>SUM(F81:F83)</f>
        <v>66</v>
      </c>
      <c r="G84" s="6" t="s">
        <v>172</v>
      </c>
      <c r="H84" s="82">
        <f>SUM(H81:H83)</f>
        <v>264</v>
      </c>
      <c r="I84" s="84" t="str">
        <f>CONCATENATE("m'(",C81,"~",C83,")=")</f>
        <v>m'(3~5)=</v>
      </c>
      <c r="J84" s="84">
        <f>2*(J81*(WLS))/3*H84</f>
        <v>704</v>
      </c>
      <c r="K84" s="84" t="str">
        <f>CONCATENATE("M(",C81,")=")</f>
        <v>M(3)=</v>
      </c>
      <c r="L84" s="84">
        <f>VLOOKUP(C81,STN_TABLE,4,FALSE)</f>
        <v>395.13333333333333</v>
      </c>
      <c r="M84" t="str">
        <f>CONCATENATE("M(",C83,")=")</f>
        <v>M(5)=</v>
      </c>
      <c r="N84">
        <f>J84+L84</f>
        <v>1099.1333333333332</v>
      </c>
      <c r="O84" s="99">
        <f>O83+1</f>
        <v>12</v>
      </c>
      <c r="P84" s="99">
        <f t="shared" si="97"/>
        <v>6.5</v>
      </c>
      <c r="Q84" s="194" t="s">
        <v>168</v>
      </c>
      <c r="R84" s="194" t="s">
        <v>168</v>
      </c>
      <c r="S84" s="6" t="s">
        <v>172</v>
      </c>
      <c r="T84" s="89">
        <f t="shared" ref="T84:T144" si="146">SUM(T81:T83)</f>
        <v>132</v>
      </c>
      <c r="U84" s="6" t="s">
        <v>172</v>
      </c>
      <c r="V84" s="82">
        <f t="shared" ref="V84:V144" si="147">SUM(V81:V83)</f>
        <v>132</v>
      </c>
      <c r="W84" s="84" t="str">
        <f t="shared" ref="W84" si="148">CONCATENATE("m'(",Q81,"~",Q82,")=")</f>
        <v>m'(4~5)=</v>
      </c>
      <c r="X84" s="84">
        <f>(2*(X81^2)/24*V84)+(X83*Q81*WLS)</f>
        <v>396</v>
      </c>
      <c r="Y84" s="84" t="str">
        <f t="shared" ref="Y84" si="149">CONCATENATE("M(",Q81,")=")</f>
        <v>M(4)=</v>
      </c>
      <c r="Z84" s="84">
        <f>VLOOKUP(Q81,STN_TABLE,4,FALSE)</f>
        <v>703.13333333333333</v>
      </c>
      <c r="AA84" t="str">
        <f t="shared" ref="AA84" si="150">CONCATENATE("M(",Q82,")=")</f>
        <v>M(5)=</v>
      </c>
      <c r="AB84">
        <f t="shared" si="138"/>
        <v>1099.1333333333332</v>
      </c>
      <c r="AD84" s="194" t="s">
        <v>168</v>
      </c>
      <c r="AE84" s="194" t="s">
        <v>168</v>
      </c>
      <c r="AF84" s="6" t="s">
        <v>172</v>
      </c>
      <c r="AG84" s="89">
        <f t="shared" ref="AG84:AG144" si="151">SUM(AG82:AG83)</f>
        <v>22</v>
      </c>
      <c r="AH84" s="6" t="s">
        <v>172</v>
      </c>
      <c r="AI84" s="89">
        <f t="shared" ref="AI84:AI144" si="152">SUM(AI82:AI83)</f>
        <v>33</v>
      </c>
      <c r="AJ84" s="84" t="str">
        <f t="shared" ref="AJ84" si="153">CONCATENATE("m'(",AD83,")=")</f>
        <v>m'(5)=</v>
      </c>
      <c r="AK84" s="84">
        <f>(2*(AK81^2)/6*AI84)+(AK83*AD82*WLS)</f>
        <v>65.010000000000161</v>
      </c>
      <c r="AL84" s="84" t="str">
        <f t="shared" ref="AL84" si="154">CONCATENATE("M(",AD82,")=")</f>
        <v>M(4.85)=</v>
      </c>
      <c r="AM84" s="84">
        <f>VLOOKUP(AD82,STN_TABLE,4,FALSE)</f>
        <v>1034.1233333333332</v>
      </c>
      <c r="AN84" t="str">
        <f t="shared" ref="AN84" si="155">CONCATENATE("M(",AD83,")=")</f>
        <v>M(5)=</v>
      </c>
      <c r="AO84">
        <f t="shared" si="143"/>
        <v>1099.1333333333334</v>
      </c>
      <c r="AQ84" s="82" t="str">
        <f>AA84</f>
        <v>M(5)=</v>
      </c>
      <c r="AR84" s="82" t="str">
        <f>IFERROR(VLOOKUP(AQ84,Rise_Results,2,FALSE),"-")</f>
        <v>-</v>
      </c>
      <c r="AS84" s="82">
        <f>IFERROR(N84,"-")</f>
        <v>1099.1333333333332</v>
      </c>
      <c r="AT84" s="82">
        <f>IFERROR(IF(OR(AB83&lt;=0,AB84&lt;=0),1/0,AB84),"-")</f>
        <v>1099.1333333333332</v>
      </c>
      <c r="AU84" s="82">
        <f t="shared" si="144"/>
        <v>1099.1333333333334</v>
      </c>
      <c r="AV84">
        <f t="shared" si="145"/>
        <v>1099.1333333333332</v>
      </c>
      <c r="BG84"/>
      <c r="BH84"/>
    </row>
    <row r="85" spans="1:60" x14ac:dyDescent="0.25">
      <c r="A85" s="84"/>
      <c r="B85" s="84"/>
      <c r="F85" s="81"/>
      <c r="H85" s="81"/>
      <c r="I85" s="84"/>
      <c r="J85" s="84"/>
      <c r="K85" s="84"/>
      <c r="L85" s="84"/>
      <c r="O85" s="99"/>
      <c r="P85" s="99"/>
      <c r="T85" s="81"/>
      <c r="V85" s="81"/>
      <c r="W85" s="84"/>
      <c r="X85" s="84"/>
      <c r="Y85" s="84"/>
      <c r="Z85" s="84"/>
      <c r="AD85" s="194" t="s">
        <v>168</v>
      </c>
      <c r="AE85" s="194" t="s">
        <v>168</v>
      </c>
      <c r="AF85" s="194" t="s">
        <v>168</v>
      </c>
      <c r="AG85" s="194" t="s">
        <v>168</v>
      </c>
      <c r="AH85" s="194" t="s">
        <v>168</v>
      </c>
      <c r="AI85" s="194" t="s">
        <v>168</v>
      </c>
      <c r="AJ85" s="194" t="s">
        <v>168</v>
      </c>
      <c r="AK85" s="194" t="s">
        <v>168</v>
      </c>
      <c r="AL85" s="194" t="s">
        <v>168</v>
      </c>
      <c r="AM85" s="194" t="s">
        <v>168</v>
      </c>
      <c r="AN85" s="194" t="s">
        <v>168</v>
      </c>
      <c r="AO85" s="194" t="s">
        <v>168</v>
      </c>
      <c r="AQ85" s="81"/>
      <c r="AR85" s="81"/>
      <c r="AS85" s="81"/>
      <c r="AT85" s="81"/>
      <c r="AU85" s="81"/>
      <c r="BG85"/>
      <c r="BH85"/>
    </row>
    <row r="86" spans="1:60" ht="18" x14ac:dyDescent="0.35">
      <c r="A86" s="101">
        <f>A80+1</f>
        <v>7</v>
      </c>
      <c r="B86" s="101">
        <f>VLOOKUP(A86,STN_TABLE_2,2,FALSE)</f>
        <v>3</v>
      </c>
      <c r="C86" t="s">
        <v>0</v>
      </c>
      <c r="D86" t="s">
        <v>95</v>
      </c>
      <c r="E86" t="s">
        <v>164</v>
      </c>
      <c r="F86" t="s">
        <v>165</v>
      </c>
      <c r="G86" t="s">
        <v>13</v>
      </c>
      <c r="H86" t="s">
        <v>169</v>
      </c>
      <c r="I86" s="194" t="s">
        <v>168</v>
      </c>
      <c r="J86" s="194" t="s">
        <v>168</v>
      </c>
      <c r="K86" s="194" t="s">
        <v>168</v>
      </c>
      <c r="L86" s="194" t="s">
        <v>168</v>
      </c>
      <c r="M86" s="194" t="s">
        <v>168</v>
      </c>
      <c r="N86" s="194" t="s">
        <v>168</v>
      </c>
      <c r="O86" s="101">
        <f>O80+1</f>
        <v>9</v>
      </c>
      <c r="P86" s="101">
        <f t="shared" ref="P86" si="156">VLOOKUP(O86,STN_TABLE_2,2,FALSE)</f>
        <v>4.8499999999999996</v>
      </c>
      <c r="Q86" t="s">
        <v>0</v>
      </c>
      <c r="R86" t="s">
        <v>95</v>
      </c>
      <c r="S86" t="s">
        <v>164</v>
      </c>
      <c r="T86" t="s">
        <v>165</v>
      </c>
      <c r="U86" t="s">
        <v>166</v>
      </c>
      <c r="V86" t="s">
        <v>167</v>
      </c>
      <c r="W86" s="194" t="s">
        <v>168</v>
      </c>
      <c r="X86" s="194" t="s">
        <v>168</v>
      </c>
      <c r="Y86" s="194" t="s">
        <v>168</v>
      </c>
      <c r="Z86" s="194" t="s">
        <v>168</v>
      </c>
      <c r="AA86" s="194" t="s">
        <v>168</v>
      </c>
      <c r="AB86" s="194" t="s">
        <v>168</v>
      </c>
      <c r="BG86"/>
      <c r="BH86"/>
    </row>
    <row r="87" spans="1:60" ht="18" x14ac:dyDescent="0.35">
      <c r="A87" s="84">
        <f>A86+1</f>
        <v>8</v>
      </c>
      <c r="B87" s="84">
        <f>VLOOKUP(A87,STN_TABLE_2,2,FALSE)</f>
        <v>4</v>
      </c>
      <c r="C87" s="79">
        <f t="shared" ref="C87" si="157">IF(C88=B89,IF(C89-C88=C88-B88,B88,IF(C89-C88=C88-B87,B87,"#NA")),IF(C88=B88,IF(C89-C88=C88-B87,B87,IF(C89-C88=C88-B86,B86,"#NA")),"#NA"))</f>
        <v>4</v>
      </c>
      <c r="D87" s="68">
        <f>VLOOKUP(C87,STN_TABLE,2,FALSE)</f>
        <v>11</v>
      </c>
      <c r="E87" s="102">
        <v>1</v>
      </c>
      <c r="F87" s="68">
        <f t="shared" ref="F87:F89" si="158">D87*E87</f>
        <v>11</v>
      </c>
      <c r="G87" s="69">
        <f t="shared" ref="G87:G89" si="159">C87</f>
        <v>4</v>
      </c>
      <c r="H87" s="69">
        <f t="shared" ref="H87:H89" si="160">F87*G87</f>
        <v>44</v>
      </c>
      <c r="I87" s="6" t="s">
        <v>93</v>
      </c>
      <c r="J87" s="70">
        <f>IF(OR(D87=0,D88=0,D89=0),"#NA",IF(AND(C89-C88=C88-C87,C88&lt;&gt;C89,C87&lt;&gt;C88,C87&lt;&gt;C89,D89&lt;&gt;0,OR(D87&lt;&gt;0,D88&lt;&gt;0)),WLS*(C89-C88),"#NA"))</f>
        <v>2</v>
      </c>
      <c r="K87" s="194" t="s">
        <v>168</v>
      </c>
      <c r="L87" s="194" t="s">
        <v>168</v>
      </c>
      <c r="M87" s="194" t="s">
        <v>168</v>
      </c>
      <c r="N87" s="194" t="s">
        <v>168</v>
      </c>
      <c r="O87" s="99">
        <f>O86+1</f>
        <v>10</v>
      </c>
      <c r="P87" s="99">
        <f t="shared" si="97"/>
        <v>5</v>
      </c>
      <c r="Q87" s="68" t="e">
        <f t="shared" ref="Q87" si="161">IF(OR(P89-P88=P88-P87,P90-P88=P88-P87),P87,IF(OR(P89-P88=P88-P86,P90-P88=P88-P86),P86,"-"))</f>
        <v>#VALUE!</v>
      </c>
      <c r="R87" s="69" t="e">
        <f>VLOOKUP(Q87,STN_TABLE,2,FALSE)</f>
        <v>#VALUE!</v>
      </c>
      <c r="S87" s="69">
        <v>5</v>
      </c>
      <c r="T87" s="68" t="e">
        <f t="shared" ref="T87:T89" si="162">R87*S87</f>
        <v>#VALUE!</v>
      </c>
      <c r="U87" s="79">
        <v>3</v>
      </c>
      <c r="V87" s="68" t="e">
        <f t="shared" ref="V87:V89" si="163">R87*U87</f>
        <v>#VALUE!</v>
      </c>
      <c r="W87" s="6" t="s">
        <v>93</v>
      </c>
      <c r="X87" s="70" t="e">
        <f>IF(AND(Q89-Q88=Q88-Q87,NOT(AND(Q87=0,Q88=0)),NOT(AND(Q88=0,Q89=0))),WLS*(Q89-Q88),"#NA")</f>
        <v>#VALUE!</v>
      </c>
      <c r="Y87" s="194" t="s">
        <v>168</v>
      </c>
      <c r="Z87" s="194" t="s">
        <v>168</v>
      </c>
      <c r="AA87" s="194" t="s">
        <v>168</v>
      </c>
      <c r="AB87" s="194" t="s">
        <v>168</v>
      </c>
      <c r="AD87" t="s">
        <v>0</v>
      </c>
      <c r="AE87" t="s">
        <v>95</v>
      </c>
      <c r="AF87" t="s">
        <v>173</v>
      </c>
      <c r="AG87" t="s">
        <v>183</v>
      </c>
      <c r="AH87" t="s">
        <v>175</v>
      </c>
      <c r="AI87" t="s">
        <v>184</v>
      </c>
      <c r="AJ87" s="6" t="s">
        <v>93</v>
      </c>
      <c r="AK87" s="70">
        <f>WLS*(AD89-AD88)</f>
        <v>2</v>
      </c>
      <c r="AL87" s="194" t="s">
        <v>168</v>
      </c>
      <c r="AM87" s="194" t="s">
        <v>168</v>
      </c>
      <c r="AN87" s="194" t="s">
        <v>168</v>
      </c>
      <c r="AO87" s="194" t="s">
        <v>168</v>
      </c>
      <c r="BG87"/>
      <c r="BH87"/>
    </row>
    <row r="88" spans="1:60" x14ac:dyDescent="0.25">
      <c r="A88" s="84">
        <f>A87+1</f>
        <v>9</v>
      </c>
      <c r="B88" s="84">
        <f>VLOOKUP(A88,STN_TABLE_2,2,FALSE)</f>
        <v>4.8499999999999996</v>
      </c>
      <c r="C88" s="80">
        <f t="shared" ref="C88" si="164">IF(OR(B90-B89=B89-B88,B90-B89=B89-B87,B90-B89=B89-B86),B89,IF(OR(B90-B88=B88-B87,B90-B88=B88-B86),B88,IF(B90-B87=B87-B86,B87,"#NA")))</f>
        <v>5</v>
      </c>
      <c r="D88" s="76">
        <f>VLOOKUP(C88,STN_TABLE,2,FALSE)</f>
        <v>11</v>
      </c>
      <c r="E88" s="81">
        <v>4</v>
      </c>
      <c r="F88" s="76">
        <f t="shared" si="158"/>
        <v>44</v>
      </c>
      <c r="G88" s="77">
        <f t="shared" si="159"/>
        <v>5</v>
      </c>
      <c r="H88" s="77">
        <f t="shared" si="160"/>
        <v>220</v>
      </c>
      <c r="I88" s="204" t="s">
        <v>171</v>
      </c>
      <c r="J88" s="194" t="s">
        <v>168</v>
      </c>
      <c r="K88" s="78" t="s">
        <v>98</v>
      </c>
      <c r="L88" s="194" t="s">
        <v>168</v>
      </c>
      <c r="M88" s="7" t="s">
        <v>77</v>
      </c>
      <c r="N88" s="194" t="s">
        <v>168</v>
      </c>
      <c r="O88" s="99">
        <f>O87+1</f>
        <v>11</v>
      </c>
      <c r="P88" s="99">
        <f t="shared" si="97"/>
        <v>6</v>
      </c>
      <c r="Q88" s="76">
        <f t="shared" ref="Q88" si="165">P88</f>
        <v>6</v>
      </c>
      <c r="R88" s="77">
        <f>VLOOKUP(Q88,STN_TABLE,2,FALSE)</f>
        <v>11</v>
      </c>
      <c r="S88" s="77">
        <v>8</v>
      </c>
      <c r="T88" s="76">
        <f t="shared" si="162"/>
        <v>88</v>
      </c>
      <c r="U88" s="80">
        <v>10</v>
      </c>
      <c r="V88" s="76">
        <f t="shared" si="163"/>
        <v>110</v>
      </c>
      <c r="W88" s="204" t="s">
        <v>171</v>
      </c>
      <c r="X88" s="194" t="s">
        <v>168</v>
      </c>
      <c r="Y88" s="78" t="s">
        <v>98</v>
      </c>
      <c r="Z88" s="194" t="s">
        <v>168</v>
      </c>
      <c r="AA88" s="7" t="s">
        <v>77</v>
      </c>
      <c r="AB88" s="194" t="s">
        <v>168</v>
      </c>
      <c r="AC88" s="99">
        <f>AC82+1</f>
        <v>10</v>
      </c>
      <c r="AD88" s="95">
        <f>VLOOKUP(AC88,STN_TABLE_2,2,FALSE)</f>
        <v>5</v>
      </c>
      <c r="AE88">
        <f t="shared" ref="AE88:AE89" si="166">AG88</f>
        <v>11</v>
      </c>
      <c r="AF88">
        <v>1</v>
      </c>
      <c r="AG88" s="68">
        <f>VLOOKUP(AD88,STN_TABLE,2,FALSE)</f>
        <v>11</v>
      </c>
      <c r="AH88" s="68">
        <v>1</v>
      </c>
      <c r="AI88" s="69">
        <f t="shared" ref="AI88:AI89" si="167">AG88*AH88</f>
        <v>11</v>
      </c>
      <c r="AJ88" s="204" t="s">
        <v>171</v>
      </c>
      <c r="AK88" s="194" t="s">
        <v>168</v>
      </c>
      <c r="AL88" s="78" t="s">
        <v>98</v>
      </c>
      <c r="AM88" s="194" t="s">
        <v>168</v>
      </c>
      <c r="AN88" s="7" t="s">
        <v>77</v>
      </c>
      <c r="AO88" s="194" t="s">
        <v>168</v>
      </c>
      <c r="AR88" s="86" t="s">
        <v>112</v>
      </c>
      <c r="AS88" s="89" t="s">
        <v>113</v>
      </c>
      <c r="AT88" s="89" t="s">
        <v>114</v>
      </c>
      <c r="AU88" s="89" t="s">
        <v>115</v>
      </c>
      <c r="AV88" s="71" t="str">
        <f t="shared" ref="AV88" si="168">IF(AV89=AR89,AR88,IF(AV89=AS89,AS88,IF(AV89=AT89,AT88,AU88)))</f>
        <v>1,4,1 rule</v>
      </c>
      <c r="BG88"/>
      <c r="BH88"/>
    </row>
    <row r="89" spans="1:60" x14ac:dyDescent="0.25">
      <c r="A89" s="84">
        <f>A88+1</f>
        <v>10</v>
      </c>
      <c r="B89" s="84">
        <f>VLOOKUP(A89,STN_TABLE_2,2,FALSE)</f>
        <v>5</v>
      </c>
      <c r="C89" s="88">
        <f t="shared" ref="C89" si="169">B90</f>
        <v>6</v>
      </c>
      <c r="D89" s="82">
        <f>VLOOKUP(C89,STN_TABLE,2,FALSE)</f>
        <v>11</v>
      </c>
      <c r="E89" s="92">
        <v>1</v>
      </c>
      <c r="F89" s="82">
        <f t="shared" si="158"/>
        <v>11</v>
      </c>
      <c r="G89" s="83">
        <f t="shared" si="159"/>
        <v>6</v>
      </c>
      <c r="H89" s="83">
        <f t="shared" si="160"/>
        <v>66</v>
      </c>
      <c r="I89" s="84" t="str">
        <f t="shared" ref="I89" si="170">CONCATENATE("a'(",C87,"~",C89,")=")</f>
        <v>a'(4~6)=</v>
      </c>
      <c r="J89" s="84">
        <f t="shared" ref="J89" si="171">2*J87/3*F90</f>
        <v>88</v>
      </c>
      <c r="K89" s="84" t="str">
        <f t="shared" ref="K89" si="172">CONCATENATE("A(",C87,")=")</f>
        <v>A(4)=</v>
      </c>
      <c r="L89" s="84">
        <f>VLOOKUP(C87,STN_TABLE,3,FALSE)</f>
        <v>174.25333333333333</v>
      </c>
      <c r="M89" t="str">
        <f t="shared" ref="M89" si="173">CONCATENATE("A(",C89,")=")</f>
        <v>A(6)=</v>
      </c>
      <c r="N89">
        <f t="shared" ref="N89:N90" si="174">J89+L89</f>
        <v>262.25333333333333</v>
      </c>
      <c r="O89" s="99">
        <f>O88+1</f>
        <v>12</v>
      </c>
      <c r="P89" s="99">
        <f t="shared" si="97"/>
        <v>6.5</v>
      </c>
      <c r="Q89" s="82" t="e">
        <f t="shared" ref="Q89" si="175">IF(P89-P88=P88-P87,P89,IF(P90-P88=P88-P87,P90,IF(P89-P88=P88-P86,P89,IF(P90-P88=P88-P86,P90,"-"))))</f>
        <v>#VALUE!</v>
      </c>
      <c r="R89" s="83" t="e">
        <f>VLOOKUP(Q89,STN_TABLE,2,FALSE)</f>
        <v>#VALUE!</v>
      </c>
      <c r="S89" s="83">
        <v>-1</v>
      </c>
      <c r="T89" s="82" t="e">
        <f t="shared" si="162"/>
        <v>#VALUE!</v>
      </c>
      <c r="U89" s="88">
        <v>-1</v>
      </c>
      <c r="V89" s="82" t="e">
        <f t="shared" si="163"/>
        <v>#VALUE!</v>
      </c>
      <c r="W89" s="84" t="e">
        <f t="shared" ref="W89" si="176">CONCATENATE("a'(",Q87,"~",Q88,")=")</f>
        <v>#VALUE!</v>
      </c>
      <c r="X89" s="84" t="e">
        <f t="shared" ref="X89" si="177">2*X87/12*T90</f>
        <v>#VALUE!</v>
      </c>
      <c r="Y89" s="84" t="e">
        <f t="shared" ref="Y89" si="178">CONCATENATE("A(",Q87,")=")</f>
        <v>#VALUE!</v>
      </c>
      <c r="Z89" s="84" t="e">
        <f>VLOOKUP(Q87,STN_TABLE,3,FALSE)</f>
        <v>#VALUE!</v>
      </c>
      <c r="AA89" t="str">
        <f t="shared" ref="AA89" si="179">CONCATENATE("A(",Q88,")=")</f>
        <v>A(6)=</v>
      </c>
      <c r="AB89" t="e">
        <f t="shared" ref="AB89:AB90" si="180">X89+Z89</f>
        <v>#VALUE!</v>
      </c>
      <c r="AC89" s="99">
        <f>AC88+1</f>
        <v>11</v>
      </c>
      <c r="AD89" s="100">
        <f>VLOOKUP(AC89,STN_TABLE_2,2,FALSE)</f>
        <v>6</v>
      </c>
      <c r="AE89">
        <f t="shared" si="166"/>
        <v>11</v>
      </c>
      <c r="AF89">
        <v>1</v>
      </c>
      <c r="AG89" s="82">
        <f>VLOOKUP(AD89,STN_TABLE,2,FALSE)</f>
        <v>11</v>
      </c>
      <c r="AH89" s="82">
        <v>2</v>
      </c>
      <c r="AI89" s="83">
        <f t="shared" si="167"/>
        <v>22</v>
      </c>
      <c r="AJ89" s="84" t="str">
        <f t="shared" ref="AJ89" si="181">CONCATENATE("a'(",AD89,")=")</f>
        <v>a'(6)=</v>
      </c>
      <c r="AK89" s="84">
        <f t="shared" ref="AK89" si="182">2*AK87/2*AG90</f>
        <v>44</v>
      </c>
      <c r="AL89" s="84" t="str">
        <f t="shared" ref="AL89" si="183">CONCATENATE("A(",AD88,")=")</f>
        <v>A(5)=</v>
      </c>
      <c r="AM89" s="84">
        <f>VLOOKUP(AD88,STN_TABLE,3,FALSE)</f>
        <v>218.25333333333333</v>
      </c>
      <c r="AN89" t="str">
        <f t="shared" ref="AN89" si="184">CONCATENATE("A(",AD89,")=")</f>
        <v>A(6)=</v>
      </c>
      <c r="AO89">
        <f t="shared" ref="AO89:AO90" si="185">AK89+AM89</f>
        <v>262.25333333333333</v>
      </c>
      <c r="AQ89" s="68" t="str">
        <f>AA89</f>
        <v>A(6)=</v>
      </c>
      <c r="AR89" s="68" t="str">
        <f>IFERROR(VLOOKUP(AQ89,Rise_Results,2,FALSE),"-")</f>
        <v>-</v>
      </c>
      <c r="AS89" s="76">
        <f>IFERROR(N89,"-")</f>
        <v>262.25333333333333</v>
      </c>
      <c r="AT89" s="76" t="str">
        <f>IFERROR(IF(OR(AB89&lt;=0,AB90&lt;=0),1/0,AB89),"-")</f>
        <v>-</v>
      </c>
      <c r="AU89" s="76">
        <f t="shared" ref="AU89:AU90" si="186">AO89</f>
        <v>262.25333333333333</v>
      </c>
      <c r="AV89">
        <f t="shared" ref="AV89:AV90" si="187">IF(ISNUMBER(AR89),AR89,IF(ISNUMBER(AS89),AS89,IF(ISNUMBER(AT89),AT89,AU89)))</f>
        <v>262.25333333333333</v>
      </c>
      <c r="BG89"/>
      <c r="BH89"/>
    </row>
    <row r="90" spans="1:60" x14ac:dyDescent="0.25">
      <c r="A90" s="84">
        <f>A89+1</f>
        <v>11</v>
      </c>
      <c r="B90" s="84">
        <f>VLOOKUP(A90,STN_TABLE_2,2,FALSE)</f>
        <v>6</v>
      </c>
      <c r="C90" s="194" t="s">
        <v>168</v>
      </c>
      <c r="D90" s="194" t="s">
        <v>168</v>
      </c>
      <c r="E90" s="6" t="s">
        <v>172</v>
      </c>
      <c r="F90" s="89">
        <f t="shared" ref="F90" si="188">SUM(F87:F89)</f>
        <v>66</v>
      </c>
      <c r="G90" s="6" t="s">
        <v>172</v>
      </c>
      <c r="H90" s="82">
        <f t="shared" ref="H90" si="189">SUM(H87:H89)</f>
        <v>330</v>
      </c>
      <c r="I90" s="84" t="str">
        <f t="shared" ref="I90" si="190">CONCATENATE("m'(",C87,"~",C89,")=")</f>
        <v>m'(4~6)=</v>
      </c>
      <c r="J90" s="84">
        <f>2*(J87*(WLS))/3*H90</f>
        <v>880</v>
      </c>
      <c r="K90" s="84" t="str">
        <f t="shared" ref="K90" si="191">CONCATENATE("M(",C87,")=")</f>
        <v>M(4)=</v>
      </c>
      <c r="L90" s="84">
        <f>VLOOKUP(C87,STN_TABLE,4,FALSE)</f>
        <v>703.13333333333333</v>
      </c>
      <c r="M90" t="str">
        <f t="shared" ref="M90" si="192">CONCATENATE("M(",C89,")=")</f>
        <v>M(6)=</v>
      </c>
      <c r="N90">
        <f t="shared" si="174"/>
        <v>1583.1333333333332</v>
      </c>
      <c r="O90" s="99">
        <f>O89+1</f>
        <v>13</v>
      </c>
      <c r="P90" s="99" t="str">
        <f t="shared" si="97"/>
        <v xml:space="preserve">  </v>
      </c>
      <c r="Q90" s="194" t="s">
        <v>168</v>
      </c>
      <c r="R90" s="194" t="s">
        <v>168</v>
      </c>
      <c r="S90" s="6" t="s">
        <v>172</v>
      </c>
      <c r="T90" s="89" t="e">
        <f t="shared" si="146"/>
        <v>#VALUE!</v>
      </c>
      <c r="U90" s="6" t="s">
        <v>172</v>
      </c>
      <c r="V90" s="82" t="e">
        <f t="shared" si="147"/>
        <v>#VALUE!</v>
      </c>
      <c r="W90" s="84" t="e">
        <f t="shared" ref="W90" si="193">CONCATENATE("m'(",Q87,"~",Q88,")=")</f>
        <v>#VALUE!</v>
      </c>
      <c r="X90" s="84" t="e">
        <f>(2*(X87^2)/24*V90)+(X89*Q87*WLS)</f>
        <v>#VALUE!</v>
      </c>
      <c r="Y90" s="84" t="e">
        <f t="shared" ref="Y90" si="194">CONCATENATE("M(",Q87,")=")</f>
        <v>#VALUE!</v>
      </c>
      <c r="Z90" s="84" t="e">
        <f>VLOOKUP(Q87,STN_TABLE,4,FALSE)</f>
        <v>#VALUE!</v>
      </c>
      <c r="AA90" t="str">
        <f t="shared" ref="AA90" si="195">CONCATENATE("M(",Q88,")=")</f>
        <v>M(6)=</v>
      </c>
      <c r="AB90" t="e">
        <f t="shared" si="180"/>
        <v>#VALUE!</v>
      </c>
      <c r="AD90" s="194" t="s">
        <v>168</v>
      </c>
      <c r="AE90" s="194" t="s">
        <v>168</v>
      </c>
      <c r="AF90" s="6" t="s">
        <v>172</v>
      </c>
      <c r="AG90" s="89">
        <f t="shared" si="151"/>
        <v>22</v>
      </c>
      <c r="AH90" s="6" t="s">
        <v>172</v>
      </c>
      <c r="AI90" s="89">
        <f t="shared" si="152"/>
        <v>33</v>
      </c>
      <c r="AJ90" s="84" t="str">
        <f t="shared" ref="AJ90" si="196">CONCATENATE("m'(",AD89,")=")</f>
        <v>m'(6)=</v>
      </c>
      <c r="AK90" s="84">
        <f>(2*(AK87^2)/6*AI90)+(AK89*AD88*WLS)</f>
        <v>484</v>
      </c>
      <c r="AL90" s="84" t="str">
        <f t="shared" ref="AL90" si="197">CONCATENATE("M(",AD88,")=")</f>
        <v>M(5)=</v>
      </c>
      <c r="AM90" s="84">
        <f>VLOOKUP(AD88,STN_TABLE,4,FALSE)</f>
        <v>1099.1333333333332</v>
      </c>
      <c r="AN90" t="str">
        <f t="shared" ref="AN90" si="198">CONCATENATE("M(",AD89,")=")</f>
        <v>M(6)=</v>
      </c>
      <c r="AO90">
        <f t="shared" si="185"/>
        <v>1583.1333333333332</v>
      </c>
      <c r="AQ90" s="82" t="str">
        <f>AA90</f>
        <v>M(6)=</v>
      </c>
      <c r="AR90" s="82" t="str">
        <f>IFERROR(VLOOKUP(AQ90,Rise_Results,2,FALSE),"-")</f>
        <v>-</v>
      </c>
      <c r="AS90" s="82">
        <f>IFERROR(N90,"-")</f>
        <v>1583.1333333333332</v>
      </c>
      <c r="AT90" s="82" t="str">
        <f>IFERROR(IF(OR(AB89&lt;=0,AB90&lt;=0),1/0,AB90),"-")</f>
        <v>-</v>
      </c>
      <c r="AU90" s="82">
        <f t="shared" si="186"/>
        <v>1583.1333333333332</v>
      </c>
      <c r="AV90">
        <f t="shared" si="187"/>
        <v>1583.1333333333332</v>
      </c>
      <c r="BG90"/>
      <c r="BH90"/>
    </row>
    <row r="91" spans="1:60" x14ac:dyDescent="0.25">
      <c r="A91" s="84"/>
      <c r="B91" s="84"/>
      <c r="F91" s="81"/>
      <c r="H91" s="81"/>
      <c r="I91" s="84"/>
      <c r="J91" s="84"/>
      <c r="K91" s="84"/>
      <c r="L91" s="84"/>
      <c r="O91" s="99"/>
      <c r="P91" s="99"/>
      <c r="T91" s="81"/>
      <c r="V91" s="81"/>
      <c r="W91" s="84"/>
      <c r="X91" s="84"/>
      <c r="Y91" s="84"/>
      <c r="Z91" s="84"/>
      <c r="AD91" s="194" t="s">
        <v>168</v>
      </c>
      <c r="AE91" s="194" t="s">
        <v>168</v>
      </c>
      <c r="AF91" s="194" t="s">
        <v>168</v>
      </c>
      <c r="AG91" s="194" t="s">
        <v>168</v>
      </c>
      <c r="AH91" s="194" t="s">
        <v>168</v>
      </c>
      <c r="AI91" s="194" t="s">
        <v>168</v>
      </c>
      <c r="AJ91" s="194" t="s">
        <v>168</v>
      </c>
      <c r="AK91" s="194" t="s">
        <v>168</v>
      </c>
      <c r="AL91" s="194" t="s">
        <v>168</v>
      </c>
      <c r="AM91" s="194" t="s">
        <v>168</v>
      </c>
      <c r="AN91" s="194" t="s">
        <v>168</v>
      </c>
      <c r="AO91" s="194" t="s">
        <v>168</v>
      </c>
      <c r="AQ91" s="81"/>
      <c r="AR91" s="81"/>
      <c r="AS91" s="81"/>
      <c r="AT91" s="81"/>
      <c r="AU91" s="81"/>
      <c r="BG91"/>
      <c r="BH91"/>
    </row>
    <row r="92" spans="1:60" ht="18" x14ac:dyDescent="0.35">
      <c r="A92" s="101">
        <f>A86+1</f>
        <v>8</v>
      </c>
      <c r="B92" s="101">
        <f>VLOOKUP(A92,STN_TABLE_2,2,FALSE)</f>
        <v>4</v>
      </c>
      <c r="C92" t="s">
        <v>0</v>
      </c>
      <c r="D92" t="s">
        <v>95</v>
      </c>
      <c r="E92" t="s">
        <v>164</v>
      </c>
      <c r="F92" t="s">
        <v>165</v>
      </c>
      <c r="G92" t="s">
        <v>13</v>
      </c>
      <c r="H92" t="s">
        <v>169</v>
      </c>
      <c r="I92" s="194" t="s">
        <v>168</v>
      </c>
      <c r="J92" s="194" t="s">
        <v>168</v>
      </c>
      <c r="K92" s="194" t="s">
        <v>168</v>
      </c>
      <c r="L92" s="194" t="s">
        <v>168</v>
      </c>
      <c r="M92" s="194" t="s">
        <v>168</v>
      </c>
      <c r="N92" s="194" t="s">
        <v>168</v>
      </c>
      <c r="O92" s="101">
        <f>O86+1</f>
        <v>10</v>
      </c>
      <c r="P92" s="101">
        <f t="shared" ref="P92" si="199">VLOOKUP(O92,STN_TABLE_2,2,FALSE)</f>
        <v>5</v>
      </c>
      <c r="Q92" t="s">
        <v>0</v>
      </c>
      <c r="R92" t="s">
        <v>95</v>
      </c>
      <c r="S92" t="s">
        <v>164</v>
      </c>
      <c r="T92" t="s">
        <v>165</v>
      </c>
      <c r="U92" t="s">
        <v>166</v>
      </c>
      <c r="V92" t="s">
        <v>167</v>
      </c>
      <c r="W92" s="194" t="s">
        <v>168</v>
      </c>
      <c r="X92" s="194" t="s">
        <v>168</v>
      </c>
      <c r="Y92" s="194" t="s">
        <v>168</v>
      </c>
      <c r="Z92" s="194" t="s">
        <v>168</v>
      </c>
      <c r="AA92" s="194" t="s">
        <v>168</v>
      </c>
      <c r="AB92" s="194" t="s">
        <v>168</v>
      </c>
      <c r="BG92"/>
      <c r="BH92"/>
    </row>
    <row r="93" spans="1:60" ht="18" x14ac:dyDescent="0.35">
      <c r="A93" s="84">
        <f>A92+1</f>
        <v>9</v>
      </c>
      <c r="B93" s="84">
        <f>VLOOKUP(A93,STN_TABLE_2,2,FALSE)</f>
        <v>4.8499999999999996</v>
      </c>
      <c r="C93" s="79" t="str">
        <f t="shared" ref="C93" si="200">IF(C94=B95,IF(C95-C94=C94-B94,B94,IF(C95-C94=C94-B93,B93,"#NA")),IF(C94=B94,IF(C95-C94=C94-B93,B93,IF(C95-C94=C94-B92,B92,"#NA")),"#NA"))</f>
        <v>#NA</v>
      </c>
      <c r="D93" s="68" t="e">
        <f>VLOOKUP(C93,STN_TABLE,2,FALSE)</f>
        <v>#N/A</v>
      </c>
      <c r="E93" s="102">
        <v>1</v>
      </c>
      <c r="F93" s="68" t="e">
        <f t="shared" ref="F93:F95" si="201">D93*E93</f>
        <v>#N/A</v>
      </c>
      <c r="G93" s="69" t="str">
        <f t="shared" ref="G93:G95" si="202">C93</f>
        <v>#NA</v>
      </c>
      <c r="H93" s="69" t="e">
        <f t="shared" ref="H93:H95" si="203">F93*G93</f>
        <v>#N/A</v>
      </c>
      <c r="I93" s="6" t="s">
        <v>93</v>
      </c>
      <c r="J93" s="70" t="e">
        <f>IF(OR(D93=0,D94=0,D95=0),"#NA",IF(AND(C95-C94=C94-C93,C94&lt;&gt;C95,C93&lt;&gt;C94,C93&lt;&gt;C95,D95&lt;&gt;0,OR(D93&lt;&gt;0,D94&lt;&gt;0)),WLS*(C95-C94),"#NA"))</f>
        <v>#N/A</v>
      </c>
      <c r="K93" s="194" t="s">
        <v>168</v>
      </c>
      <c r="L93" s="194" t="s">
        <v>168</v>
      </c>
      <c r="M93" s="194" t="s">
        <v>168</v>
      </c>
      <c r="N93" s="194" t="s">
        <v>168</v>
      </c>
      <c r="O93" s="99">
        <f>O92+1</f>
        <v>11</v>
      </c>
      <c r="P93" s="99">
        <f t="shared" si="97"/>
        <v>6</v>
      </c>
      <c r="Q93" s="68" t="e">
        <f t="shared" ref="Q93" si="204">IF(OR(P95-P94=P94-P93,P96-P94=P94-P93),P93,IF(OR(P95-P94=P94-P92,P96-P94=P94-P92),P92,"-"))</f>
        <v>#VALUE!</v>
      </c>
      <c r="R93" s="69" t="e">
        <f>VLOOKUP(Q93,STN_TABLE,2,FALSE)</f>
        <v>#VALUE!</v>
      </c>
      <c r="S93" s="69">
        <v>5</v>
      </c>
      <c r="T93" s="68" t="e">
        <f t="shared" ref="T93:T95" si="205">R93*S93</f>
        <v>#VALUE!</v>
      </c>
      <c r="U93" s="79">
        <v>3</v>
      </c>
      <c r="V93" s="68" t="e">
        <f t="shared" ref="V93:V95" si="206">R93*U93</f>
        <v>#VALUE!</v>
      </c>
      <c r="W93" s="6" t="s">
        <v>93</v>
      </c>
      <c r="X93" s="70" t="e">
        <f>IF(AND(Q95-Q94=Q94-Q93,NOT(AND(Q93=0,Q94=0)),NOT(AND(Q94=0,Q95=0))),WLS*(Q95-Q94),"#NA")</f>
        <v>#VALUE!</v>
      </c>
      <c r="Y93" s="194" t="s">
        <v>168</v>
      </c>
      <c r="Z93" s="194" t="s">
        <v>168</v>
      </c>
      <c r="AA93" s="194" t="s">
        <v>168</v>
      </c>
      <c r="AB93" s="194" t="s">
        <v>168</v>
      </c>
      <c r="AD93" t="s">
        <v>0</v>
      </c>
      <c r="AE93" t="s">
        <v>95</v>
      </c>
      <c r="AF93" t="s">
        <v>173</v>
      </c>
      <c r="AG93" t="s">
        <v>183</v>
      </c>
      <c r="AH93" t="s">
        <v>175</v>
      </c>
      <c r="AI93" t="s">
        <v>184</v>
      </c>
      <c r="AJ93" s="6" t="s">
        <v>93</v>
      </c>
      <c r="AK93" s="70">
        <f>WLS*(AD95-AD94)</f>
        <v>1</v>
      </c>
      <c r="AL93" s="194" t="s">
        <v>168</v>
      </c>
      <c r="AM93" s="194" t="s">
        <v>168</v>
      </c>
      <c r="AN93" s="194" t="s">
        <v>168</v>
      </c>
      <c r="AO93" s="194" t="s">
        <v>168</v>
      </c>
      <c r="BG93"/>
      <c r="BH93"/>
    </row>
    <row r="94" spans="1:60" x14ac:dyDescent="0.25">
      <c r="A94" s="84">
        <f>A93+1</f>
        <v>10</v>
      </c>
      <c r="B94" s="84">
        <f>VLOOKUP(A94,STN_TABLE_2,2,FALSE)</f>
        <v>5</v>
      </c>
      <c r="C94" s="80" t="str">
        <f t="shared" ref="C94" si="207">IF(OR(B96-B95=B95-B94,B96-B95=B95-B93,B96-B95=B95-B92),B95,IF(OR(B96-B94=B94-B93,B96-B94=B94-B92),B94,IF(B96-B93=B93-B92,B93,"#NA")))</f>
        <v>#NA</v>
      </c>
      <c r="D94" s="76" t="e">
        <f>VLOOKUP(C94,STN_TABLE,2,FALSE)</f>
        <v>#N/A</v>
      </c>
      <c r="E94" s="81">
        <v>4</v>
      </c>
      <c r="F94" s="76" t="e">
        <f t="shared" si="201"/>
        <v>#N/A</v>
      </c>
      <c r="G94" s="77" t="str">
        <f t="shared" si="202"/>
        <v>#NA</v>
      </c>
      <c r="H94" s="77" t="e">
        <f t="shared" si="203"/>
        <v>#N/A</v>
      </c>
      <c r="I94" s="204" t="s">
        <v>171</v>
      </c>
      <c r="J94" s="194" t="s">
        <v>168</v>
      </c>
      <c r="K94" s="78" t="s">
        <v>98</v>
      </c>
      <c r="L94" s="194" t="s">
        <v>168</v>
      </c>
      <c r="M94" s="7" t="s">
        <v>77</v>
      </c>
      <c r="N94" s="194" t="s">
        <v>168</v>
      </c>
      <c r="O94" s="99">
        <f>O93+1</f>
        <v>12</v>
      </c>
      <c r="P94" s="99">
        <f t="shared" si="97"/>
        <v>6.5</v>
      </c>
      <c r="Q94" s="76">
        <f t="shared" ref="Q94" si="208">P94</f>
        <v>6.5</v>
      </c>
      <c r="R94" s="77">
        <f>VLOOKUP(Q94,STN_TABLE,2,FALSE)</f>
        <v>11</v>
      </c>
      <c r="S94" s="77">
        <v>8</v>
      </c>
      <c r="T94" s="76">
        <f t="shared" si="205"/>
        <v>88</v>
      </c>
      <c r="U94" s="80">
        <v>10</v>
      </c>
      <c r="V94" s="76">
        <f t="shared" si="206"/>
        <v>110</v>
      </c>
      <c r="W94" s="204" t="s">
        <v>171</v>
      </c>
      <c r="X94" s="194" t="s">
        <v>168</v>
      </c>
      <c r="Y94" s="78" t="s">
        <v>98</v>
      </c>
      <c r="Z94" s="194" t="s">
        <v>168</v>
      </c>
      <c r="AA94" s="7" t="s">
        <v>77</v>
      </c>
      <c r="AB94" s="194" t="s">
        <v>168</v>
      </c>
      <c r="AC94" s="99">
        <f>AC88+1</f>
        <v>11</v>
      </c>
      <c r="AD94" s="95">
        <f>VLOOKUP(AC94,STN_TABLE_2,2,FALSE)</f>
        <v>6</v>
      </c>
      <c r="AE94">
        <f t="shared" ref="AE94:AE95" si="209">AG94</f>
        <v>11</v>
      </c>
      <c r="AF94">
        <v>1</v>
      </c>
      <c r="AG94" s="68">
        <f>VLOOKUP(AD94,STN_TABLE,2,FALSE)</f>
        <v>11</v>
      </c>
      <c r="AH94" s="68">
        <v>1</v>
      </c>
      <c r="AI94" s="69">
        <f t="shared" ref="AI94:AI95" si="210">AG94*AH94</f>
        <v>11</v>
      </c>
      <c r="AJ94" s="204" t="s">
        <v>171</v>
      </c>
      <c r="AK94" s="194" t="s">
        <v>168</v>
      </c>
      <c r="AL94" s="78" t="s">
        <v>98</v>
      </c>
      <c r="AM94" s="194" t="s">
        <v>168</v>
      </c>
      <c r="AN94" s="7" t="s">
        <v>77</v>
      </c>
      <c r="AO94" s="194" t="s">
        <v>168</v>
      </c>
      <c r="AR94" s="86" t="s">
        <v>112</v>
      </c>
      <c r="AS94" s="89" t="s">
        <v>113</v>
      </c>
      <c r="AT94" s="89" t="s">
        <v>114</v>
      </c>
      <c r="AU94" s="89" t="s">
        <v>115</v>
      </c>
      <c r="AV94" s="71" t="str">
        <f t="shared" ref="AV94" si="211">IF(AV95=AR95,AR94,IF(AV95=AS95,AS94,IF(AV95=AT95,AT94,AU94)))</f>
        <v>Trapezoid</v>
      </c>
      <c r="BG94"/>
      <c r="BH94"/>
    </row>
    <row r="95" spans="1:60" x14ac:dyDescent="0.25">
      <c r="A95" s="84">
        <f>A94+1</f>
        <v>11</v>
      </c>
      <c r="B95" s="84">
        <f>VLOOKUP(A95,STN_TABLE_2,2,FALSE)</f>
        <v>6</v>
      </c>
      <c r="C95" s="88">
        <f t="shared" ref="C95" si="212">B96</f>
        <v>6.5</v>
      </c>
      <c r="D95" s="82">
        <f>VLOOKUP(C95,STN_TABLE,2,FALSE)</f>
        <v>11</v>
      </c>
      <c r="E95" s="92">
        <v>1</v>
      </c>
      <c r="F95" s="82">
        <f t="shared" si="201"/>
        <v>11</v>
      </c>
      <c r="G95" s="83">
        <f t="shared" si="202"/>
        <v>6.5</v>
      </c>
      <c r="H95" s="83">
        <f t="shared" si="203"/>
        <v>71.5</v>
      </c>
      <c r="I95" s="84" t="str">
        <f t="shared" ref="I95" si="213">CONCATENATE("a'(",C93,"~",C95,")=")</f>
        <v>a'(#NA~6.5)=</v>
      </c>
      <c r="J95" s="84" t="e">
        <f t="shared" ref="J95" si="214">2*J93/3*F96</f>
        <v>#N/A</v>
      </c>
      <c r="K95" s="84" t="str">
        <f t="shared" ref="K95" si="215">CONCATENATE("A(",C93,")=")</f>
        <v>A(#NA)=</v>
      </c>
      <c r="L95" s="84" t="e">
        <f>VLOOKUP(C93,STN_TABLE,3,FALSE)</f>
        <v>#N/A</v>
      </c>
      <c r="M95" t="str">
        <f t="shared" ref="M95" si="216">CONCATENATE("A(",C95,")=")</f>
        <v>A(6.5)=</v>
      </c>
      <c r="N95" t="e">
        <f t="shared" ref="N95:N96" si="217">J95+L95</f>
        <v>#N/A</v>
      </c>
      <c r="O95" s="99">
        <f>O94+1</f>
        <v>13</v>
      </c>
      <c r="P95" s="99" t="str">
        <f t="shared" si="97"/>
        <v xml:space="preserve">  </v>
      </c>
      <c r="Q95" s="82" t="e">
        <f t="shared" ref="Q95" si="218">IF(P95-P94=P94-P93,P95,IF(P96-P94=P94-P93,P96,IF(P95-P94=P94-P92,P95,IF(P96-P94=P94-P92,P96,"-"))))</f>
        <v>#VALUE!</v>
      </c>
      <c r="R95" s="83" t="e">
        <f>VLOOKUP(Q95,STN_TABLE,2,FALSE)</f>
        <v>#VALUE!</v>
      </c>
      <c r="S95" s="83">
        <v>-1</v>
      </c>
      <c r="T95" s="82" t="e">
        <f t="shared" si="205"/>
        <v>#VALUE!</v>
      </c>
      <c r="U95" s="88">
        <v>-1</v>
      </c>
      <c r="V95" s="82" t="e">
        <f t="shared" si="206"/>
        <v>#VALUE!</v>
      </c>
      <c r="W95" s="84" t="e">
        <f t="shared" ref="W95" si="219">CONCATENATE("a'(",Q93,"~",Q94,")=")</f>
        <v>#VALUE!</v>
      </c>
      <c r="X95" s="84" t="e">
        <f t="shared" ref="X95" si="220">2*X93/12*T96</f>
        <v>#VALUE!</v>
      </c>
      <c r="Y95" s="84" t="e">
        <f t="shared" ref="Y95" si="221">CONCATENATE("A(",Q93,")=")</f>
        <v>#VALUE!</v>
      </c>
      <c r="Z95" s="84" t="e">
        <f>VLOOKUP(Q93,STN_TABLE,3,FALSE)</f>
        <v>#VALUE!</v>
      </c>
      <c r="AA95" t="str">
        <f t="shared" ref="AA95" si="222">CONCATENATE("A(",Q94,")=")</f>
        <v>A(6.5)=</v>
      </c>
      <c r="AB95" t="e">
        <f t="shared" ref="AB95:AB96" si="223">X95+Z95</f>
        <v>#VALUE!</v>
      </c>
      <c r="AC95" s="99">
        <f>AC94+1</f>
        <v>12</v>
      </c>
      <c r="AD95" s="100">
        <f>VLOOKUP(AC95,STN_TABLE_2,2,FALSE)</f>
        <v>6.5</v>
      </c>
      <c r="AE95">
        <f t="shared" si="209"/>
        <v>11</v>
      </c>
      <c r="AF95">
        <v>1</v>
      </c>
      <c r="AG95" s="82">
        <f>VLOOKUP(AD95,STN_TABLE,2,FALSE)</f>
        <v>11</v>
      </c>
      <c r="AH95" s="82">
        <v>2</v>
      </c>
      <c r="AI95" s="83">
        <f t="shared" si="210"/>
        <v>22</v>
      </c>
      <c r="AJ95" s="84" t="str">
        <f t="shared" ref="AJ95" si="224">CONCATENATE("a'(",AD95,")=")</f>
        <v>a'(6.5)=</v>
      </c>
      <c r="AK95" s="84">
        <f t="shared" ref="AK95" si="225">2*AK93/2*AG96</f>
        <v>22</v>
      </c>
      <c r="AL95" s="84" t="str">
        <f t="shared" ref="AL95" si="226">CONCATENATE("A(",AD94,")=")</f>
        <v>A(6)=</v>
      </c>
      <c r="AM95" s="84">
        <f>VLOOKUP(AD94,STN_TABLE,3,FALSE)</f>
        <v>262.25333333333333</v>
      </c>
      <c r="AN95" t="str">
        <f t="shared" ref="AN95" si="227">CONCATENATE("A(",AD95,")=")</f>
        <v>A(6.5)=</v>
      </c>
      <c r="AO95">
        <f t="shared" ref="AO95:AO96" si="228">AK95+AM95</f>
        <v>284.25333333333333</v>
      </c>
      <c r="AQ95" s="68" t="str">
        <f>AA95</f>
        <v>A(6.5)=</v>
      </c>
      <c r="AR95" s="68" t="str">
        <f>IFERROR(VLOOKUP(AQ95,Rise_Results,2,FALSE),"-")</f>
        <v>-</v>
      </c>
      <c r="AS95" s="76" t="str">
        <f>IFERROR(N95,"-")</f>
        <v>-</v>
      </c>
      <c r="AT95" s="76" t="str">
        <f>IFERROR(IF(OR(AB95&lt;=0,AB96&lt;=0),1/0,AB95),"-")</f>
        <v>-</v>
      </c>
      <c r="AU95" s="76">
        <f t="shared" ref="AU95:AU96" si="229">AO95</f>
        <v>284.25333333333333</v>
      </c>
      <c r="AV95">
        <f t="shared" ref="AV95:AV96" si="230">IF(ISNUMBER(AR95),AR95,IF(ISNUMBER(AS95),AS95,IF(ISNUMBER(AT95),AT95,AU95)))</f>
        <v>284.25333333333333</v>
      </c>
      <c r="BG95"/>
      <c r="BH95"/>
    </row>
    <row r="96" spans="1:60" x14ac:dyDescent="0.25">
      <c r="A96" s="84">
        <f>A95+1</f>
        <v>12</v>
      </c>
      <c r="B96" s="84">
        <f>VLOOKUP(A96,STN_TABLE_2,2,FALSE)</f>
        <v>6.5</v>
      </c>
      <c r="C96" s="194" t="s">
        <v>168</v>
      </c>
      <c r="D96" s="194" t="s">
        <v>168</v>
      </c>
      <c r="E96" s="6" t="s">
        <v>172</v>
      </c>
      <c r="F96" s="89" t="e">
        <f t="shared" ref="F96" si="231">SUM(F93:F95)</f>
        <v>#N/A</v>
      </c>
      <c r="G96" s="6" t="s">
        <v>172</v>
      </c>
      <c r="H96" s="82" t="e">
        <f t="shared" ref="H96" si="232">SUM(H93:H95)</f>
        <v>#N/A</v>
      </c>
      <c r="I96" s="84" t="str">
        <f t="shared" ref="I96" si="233">CONCATENATE("m'(",C93,"~",C95,")=")</f>
        <v>m'(#NA~6.5)=</v>
      </c>
      <c r="J96" s="84" t="e">
        <f>2*(J93*(WLS))/3*H96</f>
        <v>#N/A</v>
      </c>
      <c r="K96" s="84" t="str">
        <f t="shared" ref="K96" si="234">CONCATENATE("M(",C93,")=")</f>
        <v>M(#NA)=</v>
      </c>
      <c r="L96" s="84" t="e">
        <f>VLOOKUP(C93,STN_TABLE,4,FALSE)</f>
        <v>#N/A</v>
      </c>
      <c r="M96" t="str">
        <f t="shared" ref="M96" si="235">CONCATENATE("M(",C95,")=")</f>
        <v>M(6.5)=</v>
      </c>
      <c r="N96" t="e">
        <f t="shared" si="217"/>
        <v>#N/A</v>
      </c>
      <c r="O96" s="99">
        <f>O95+1</f>
        <v>14</v>
      </c>
      <c r="P96" s="99" t="str">
        <f t="shared" si="97"/>
        <v xml:space="preserve">  </v>
      </c>
      <c r="Q96" s="194" t="s">
        <v>168</v>
      </c>
      <c r="R96" s="194" t="s">
        <v>168</v>
      </c>
      <c r="S96" s="6" t="s">
        <v>172</v>
      </c>
      <c r="T96" s="89" t="e">
        <f t="shared" si="146"/>
        <v>#VALUE!</v>
      </c>
      <c r="U96" s="6" t="s">
        <v>172</v>
      </c>
      <c r="V96" s="82" t="e">
        <f t="shared" si="147"/>
        <v>#VALUE!</v>
      </c>
      <c r="W96" s="84" t="e">
        <f t="shared" ref="W96" si="236">CONCATENATE("m'(",Q93,"~",Q94,")=")</f>
        <v>#VALUE!</v>
      </c>
      <c r="X96" s="84" t="e">
        <f>(2*(X93^2)/24*V96)+(X95*Q93*WLS)</f>
        <v>#VALUE!</v>
      </c>
      <c r="Y96" s="84" t="e">
        <f t="shared" ref="Y96" si="237">CONCATENATE("M(",Q93,")=")</f>
        <v>#VALUE!</v>
      </c>
      <c r="Z96" s="84" t="e">
        <f>VLOOKUP(Q93,STN_TABLE,4,FALSE)</f>
        <v>#VALUE!</v>
      </c>
      <c r="AA96" t="str">
        <f t="shared" ref="AA96" si="238">CONCATENATE("M(",Q94,")=")</f>
        <v>M(6.5)=</v>
      </c>
      <c r="AB96" t="e">
        <f t="shared" si="223"/>
        <v>#VALUE!</v>
      </c>
      <c r="AD96" s="194" t="s">
        <v>168</v>
      </c>
      <c r="AE96" s="194" t="s">
        <v>168</v>
      </c>
      <c r="AF96" s="6" t="s">
        <v>172</v>
      </c>
      <c r="AG96" s="89">
        <f t="shared" si="151"/>
        <v>22</v>
      </c>
      <c r="AH96" s="6" t="s">
        <v>172</v>
      </c>
      <c r="AI96" s="89">
        <f t="shared" si="152"/>
        <v>33</v>
      </c>
      <c r="AJ96" s="84" t="str">
        <f t="shared" ref="AJ96" si="239">CONCATENATE("m'(",AD95,")=")</f>
        <v>m'(6.5)=</v>
      </c>
      <c r="AK96" s="84">
        <f>(2*(AK93^2)/6*AI96)+(AK95*AD94*WLS)</f>
        <v>275</v>
      </c>
      <c r="AL96" s="84" t="str">
        <f t="shared" ref="AL96" si="240">CONCATENATE("M(",AD94,")=")</f>
        <v>M(6)=</v>
      </c>
      <c r="AM96" s="84">
        <f>VLOOKUP(AD94,STN_TABLE,4,FALSE)</f>
        <v>1583.1333333333332</v>
      </c>
      <c r="AN96" t="str">
        <f t="shared" ref="AN96" si="241">CONCATENATE("M(",AD95,")=")</f>
        <v>M(6.5)=</v>
      </c>
      <c r="AO96">
        <f t="shared" si="228"/>
        <v>1858.1333333333332</v>
      </c>
      <c r="AQ96" s="82" t="str">
        <f>AA96</f>
        <v>M(6.5)=</v>
      </c>
      <c r="AR96" s="82" t="str">
        <f>IFERROR(VLOOKUP(AQ96,Rise_Results,2,FALSE),"-")</f>
        <v>-</v>
      </c>
      <c r="AS96" s="82" t="str">
        <f>IFERROR(N96,"-")</f>
        <v>-</v>
      </c>
      <c r="AT96" s="82" t="str">
        <f>IFERROR(IF(OR(AB95&lt;=0,AB96&lt;=0),1/0,AB96),"-")</f>
        <v>-</v>
      </c>
      <c r="AU96" s="82">
        <f t="shared" si="229"/>
        <v>1858.1333333333332</v>
      </c>
      <c r="AV96">
        <f t="shared" si="230"/>
        <v>1858.1333333333332</v>
      </c>
      <c r="BG96"/>
      <c r="BH96"/>
    </row>
    <row r="97" spans="1:60" x14ac:dyDescent="0.25">
      <c r="A97" s="84"/>
      <c r="B97" s="84"/>
      <c r="F97" s="81"/>
      <c r="H97" s="81"/>
      <c r="I97" s="84"/>
      <c r="J97" s="84"/>
      <c r="K97" s="84"/>
      <c r="L97" s="84"/>
      <c r="O97" s="99"/>
      <c r="P97" s="99"/>
      <c r="T97" s="81"/>
      <c r="V97" s="81"/>
      <c r="W97" s="84"/>
      <c r="X97" s="84"/>
      <c r="Y97" s="84"/>
      <c r="Z97" s="84"/>
      <c r="AD97" s="194" t="s">
        <v>168</v>
      </c>
      <c r="AE97" s="194" t="s">
        <v>168</v>
      </c>
      <c r="AF97" s="194" t="s">
        <v>168</v>
      </c>
      <c r="AG97" s="194" t="s">
        <v>168</v>
      </c>
      <c r="AH97" s="194" t="s">
        <v>168</v>
      </c>
      <c r="AI97" s="194" t="s">
        <v>168</v>
      </c>
      <c r="AJ97" s="194" t="s">
        <v>168</v>
      </c>
      <c r="AK97" s="194" t="s">
        <v>168</v>
      </c>
      <c r="AL97" s="194" t="s">
        <v>168</v>
      </c>
      <c r="AM97" s="194" t="s">
        <v>168</v>
      </c>
      <c r="AN97" s="194" t="s">
        <v>168</v>
      </c>
      <c r="AO97" s="194" t="s">
        <v>168</v>
      </c>
      <c r="AQ97" s="81"/>
      <c r="AR97" s="81"/>
      <c r="AS97" s="81"/>
      <c r="AT97" s="81"/>
      <c r="AU97" s="81"/>
      <c r="BG97"/>
      <c r="BH97"/>
    </row>
    <row r="98" spans="1:60" ht="18" x14ac:dyDescent="0.35">
      <c r="A98" s="101">
        <f>A92+1</f>
        <v>9</v>
      </c>
      <c r="B98" s="101">
        <f>VLOOKUP(A98,STN_TABLE_2,2,FALSE)</f>
        <v>4.8499999999999996</v>
      </c>
      <c r="C98" t="s">
        <v>0</v>
      </c>
      <c r="D98" t="s">
        <v>95</v>
      </c>
      <c r="E98" t="s">
        <v>164</v>
      </c>
      <c r="F98" t="s">
        <v>165</v>
      </c>
      <c r="G98" t="s">
        <v>13</v>
      </c>
      <c r="H98" t="s">
        <v>169</v>
      </c>
      <c r="I98" s="194" t="s">
        <v>168</v>
      </c>
      <c r="J98" s="194" t="s">
        <v>168</v>
      </c>
      <c r="K98" s="194" t="s">
        <v>168</v>
      </c>
      <c r="L98" s="194" t="s">
        <v>168</v>
      </c>
      <c r="M98" s="194" t="s">
        <v>168</v>
      </c>
      <c r="N98" s="194" t="s">
        <v>168</v>
      </c>
      <c r="O98" s="101">
        <f>O92+1</f>
        <v>11</v>
      </c>
      <c r="P98" s="101">
        <f t="shared" ref="P98" si="242">VLOOKUP(O98,STN_TABLE_2,2,FALSE)</f>
        <v>6</v>
      </c>
      <c r="Q98" t="s">
        <v>0</v>
      </c>
      <c r="R98" t="s">
        <v>95</v>
      </c>
      <c r="S98" t="s">
        <v>164</v>
      </c>
      <c r="T98" t="s">
        <v>165</v>
      </c>
      <c r="U98" t="s">
        <v>166</v>
      </c>
      <c r="V98" t="s">
        <v>167</v>
      </c>
      <c r="W98" s="194" t="s">
        <v>168</v>
      </c>
      <c r="X98" s="194" t="s">
        <v>168</v>
      </c>
      <c r="Y98" s="194" t="s">
        <v>168</v>
      </c>
      <c r="Z98" s="194" t="s">
        <v>168</v>
      </c>
      <c r="AA98" s="194" t="s">
        <v>168</v>
      </c>
      <c r="AB98" s="194" t="s">
        <v>168</v>
      </c>
      <c r="BG98"/>
      <c r="BH98"/>
    </row>
    <row r="99" spans="1:60" ht="18" x14ac:dyDescent="0.35">
      <c r="A99" s="84">
        <f>A98+1</f>
        <v>10</v>
      </c>
      <c r="B99" s="84">
        <f>VLOOKUP(A99,STN_TABLE_2,2,FALSE)</f>
        <v>5</v>
      </c>
      <c r="C99" s="79" t="e">
        <f t="shared" ref="C99" si="243">IF(C100=B101,IF(C101-C100=C100-B100,B100,IF(C101-C100=C100-B99,B99,"#NA")),IF(C100=B100,IF(C101-C100=C100-B99,B99,IF(C101-C100=C100-B98,B98,"#NA")),"#NA"))</f>
        <v>#VALUE!</v>
      </c>
      <c r="D99" s="68" t="e">
        <f>VLOOKUP(C99,STN_TABLE,2,FALSE)</f>
        <v>#VALUE!</v>
      </c>
      <c r="E99" s="102">
        <v>1</v>
      </c>
      <c r="F99" s="68" t="e">
        <f t="shared" ref="F99:F101" si="244">D99*E99</f>
        <v>#VALUE!</v>
      </c>
      <c r="G99" s="69" t="e">
        <f t="shared" ref="G99:G101" si="245">C99</f>
        <v>#VALUE!</v>
      </c>
      <c r="H99" s="69" t="e">
        <f t="shared" ref="H99:H101" si="246">F99*G99</f>
        <v>#VALUE!</v>
      </c>
      <c r="I99" s="6" t="s">
        <v>93</v>
      </c>
      <c r="J99" s="70" t="e">
        <f>IF(OR(D99=0,D100=0,D101=0),"#NA",IF(AND(C101-C100=C100-C99,C100&lt;&gt;C101,C99&lt;&gt;C100,C99&lt;&gt;C101,D101&lt;&gt;0,OR(D99&lt;&gt;0,D100&lt;&gt;0)),WLS*(C101-C100),"#NA"))</f>
        <v>#VALUE!</v>
      </c>
      <c r="K99" s="194" t="s">
        <v>168</v>
      </c>
      <c r="L99" s="194" t="s">
        <v>168</v>
      </c>
      <c r="M99" s="194" t="s">
        <v>168</v>
      </c>
      <c r="N99" s="194" t="s">
        <v>168</v>
      </c>
      <c r="O99" s="99">
        <f>O98+1</f>
        <v>12</v>
      </c>
      <c r="P99" s="99">
        <f t="shared" si="97"/>
        <v>6.5</v>
      </c>
      <c r="Q99" s="68" t="e">
        <f t="shared" ref="Q99" si="247">IF(OR(P101-P100=P100-P99,P102-P100=P100-P99),P99,IF(OR(P101-P100=P100-P98,P102-P100=P100-P98),P98,"-"))</f>
        <v>#VALUE!</v>
      </c>
      <c r="R99" s="69" t="e">
        <f>VLOOKUP(Q99,STN_TABLE,2,FALSE)</f>
        <v>#VALUE!</v>
      </c>
      <c r="S99" s="69">
        <v>5</v>
      </c>
      <c r="T99" s="68" t="e">
        <f t="shared" ref="T99:T101" si="248">R99*S99</f>
        <v>#VALUE!</v>
      </c>
      <c r="U99" s="79">
        <v>3</v>
      </c>
      <c r="V99" s="68" t="e">
        <f t="shared" ref="V99:V101" si="249">R99*U99</f>
        <v>#VALUE!</v>
      </c>
      <c r="W99" s="6" t="s">
        <v>93</v>
      </c>
      <c r="X99" s="70" t="e">
        <f>IF(AND(Q101-Q100=Q100-Q99,NOT(AND(Q99=0,Q100=0)),NOT(AND(Q100=0,Q101=0))),WLS*(Q101-Q100),"#NA")</f>
        <v>#VALUE!</v>
      </c>
      <c r="Y99" s="194" t="s">
        <v>168</v>
      </c>
      <c r="Z99" s="194" t="s">
        <v>168</v>
      </c>
      <c r="AA99" s="194" t="s">
        <v>168</v>
      </c>
      <c r="AB99" s="194" t="s">
        <v>168</v>
      </c>
      <c r="AD99" t="s">
        <v>0</v>
      </c>
      <c r="AE99" t="s">
        <v>95</v>
      </c>
      <c r="AF99" t="s">
        <v>173</v>
      </c>
      <c r="AG99" t="s">
        <v>183</v>
      </c>
      <c r="AH99" t="s">
        <v>175</v>
      </c>
      <c r="AI99" t="s">
        <v>184</v>
      </c>
      <c r="AJ99" s="6" t="s">
        <v>93</v>
      </c>
      <c r="AK99" s="70" t="e">
        <f>WLS*(AD101-AD100)</f>
        <v>#VALUE!</v>
      </c>
      <c r="AL99" s="194" t="s">
        <v>168</v>
      </c>
      <c r="AM99" s="194" t="s">
        <v>168</v>
      </c>
      <c r="AN99" s="194" t="s">
        <v>168</v>
      </c>
      <c r="AO99" s="194" t="s">
        <v>168</v>
      </c>
      <c r="BG99"/>
      <c r="BH99"/>
    </row>
    <row r="100" spans="1:60" x14ac:dyDescent="0.25">
      <c r="A100" s="84">
        <f>A99+1</f>
        <v>11</v>
      </c>
      <c r="B100" s="84">
        <f>VLOOKUP(A100,STN_TABLE_2,2,FALSE)</f>
        <v>6</v>
      </c>
      <c r="C100" s="80" t="e">
        <f t="shared" ref="C100" si="250">IF(OR(B102-B101=B101-B100,B102-B101=B101-B99,B102-B101=B101-B98),B101,IF(OR(B102-B100=B100-B99,B102-B100=B100-B98),B100,IF(B102-B99=B99-B98,B99,"#NA")))</f>
        <v>#VALUE!</v>
      </c>
      <c r="D100" s="76" t="e">
        <f>VLOOKUP(C100,STN_TABLE,2,FALSE)</f>
        <v>#VALUE!</v>
      </c>
      <c r="E100" s="81">
        <v>4</v>
      </c>
      <c r="F100" s="76" t="e">
        <f t="shared" si="244"/>
        <v>#VALUE!</v>
      </c>
      <c r="G100" s="77" t="e">
        <f t="shared" si="245"/>
        <v>#VALUE!</v>
      </c>
      <c r="H100" s="77" t="e">
        <f t="shared" si="246"/>
        <v>#VALUE!</v>
      </c>
      <c r="I100" s="204" t="s">
        <v>171</v>
      </c>
      <c r="J100" s="194" t="s">
        <v>168</v>
      </c>
      <c r="K100" s="78" t="s">
        <v>98</v>
      </c>
      <c r="L100" s="194" t="s">
        <v>168</v>
      </c>
      <c r="M100" s="7" t="s">
        <v>77</v>
      </c>
      <c r="N100" s="194" t="s">
        <v>168</v>
      </c>
      <c r="O100" s="99">
        <f>O99+1</f>
        <v>13</v>
      </c>
      <c r="P100" s="99" t="str">
        <f t="shared" si="97"/>
        <v xml:space="preserve">  </v>
      </c>
      <c r="Q100" s="76" t="str">
        <f t="shared" ref="Q100" si="251">P100</f>
        <v xml:space="preserve">  </v>
      </c>
      <c r="R100" s="77" t="str">
        <f>VLOOKUP(Q100,STN_TABLE,2,FALSE)</f>
        <v xml:space="preserve">  </v>
      </c>
      <c r="S100" s="77">
        <v>8</v>
      </c>
      <c r="T100" s="76" t="e">
        <f t="shared" si="248"/>
        <v>#VALUE!</v>
      </c>
      <c r="U100" s="80">
        <v>10</v>
      </c>
      <c r="V100" s="76" t="e">
        <f t="shared" si="249"/>
        <v>#VALUE!</v>
      </c>
      <c r="W100" s="204" t="s">
        <v>171</v>
      </c>
      <c r="X100" s="194" t="s">
        <v>168</v>
      </c>
      <c r="Y100" s="78" t="s">
        <v>98</v>
      </c>
      <c r="Z100" s="194" t="s">
        <v>168</v>
      </c>
      <c r="AA100" s="7" t="s">
        <v>77</v>
      </c>
      <c r="AB100" s="194" t="s">
        <v>168</v>
      </c>
      <c r="AC100" s="99">
        <f>AC94+1</f>
        <v>12</v>
      </c>
      <c r="AD100" s="95">
        <f>VLOOKUP(AC100,STN_TABLE_2,2,FALSE)</f>
        <v>6.5</v>
      </c>
      <c r="AE100">
        <f t="shared" ref="AE100:AE101" si="252">AG100</f>
        <v>11</v>
      </c>
      <c r="AF100">
        <v>1</v>
      </c>
      <c r="AG100" s="68">
        <f>VLOOKUP(AD100,STN_TABLE,2,FALSE)</f>
        <v>11</v>
      </c>
      <c r="AH100" s="68">
        <v>1</v>
      </c>
      <c r="AI100" s="69">
        <f t="shared" ref="AI100:AI101" si="253">AG100*AH100</f>
        <v>11</v>
      </c>
      <c r="AJ100" s="204" t="s">
        <v>171</v>
      </c>
      <c r="AK100" s="194" t="s">
        <v>168</v>
      </c>
      <c r="AL100" s="78" t="s">
        <v>98</v>
      </c>
      <c r="AM100" s="194" t="s">
        <v>168</v>
      </c>
      <c r="AN100" s="7" t="s">
        <v>77</v>
      </c>
      <c r="AO100" s="194" t="s">
        <v>168</v>
      </c>
      <c r="AR100" s="86" t="s">
        <v>112</v>
      </c>
      <c r="AS100" s="89" t="s">
        <v>113</v>
      </c>
      <c r="AT100" s="89" t="s">
        <v>114</v>
      </c>
      <c r="AU100" s="89" t="s">
        <v>115</v>
      </c>
      <c r="AV100" s="71" t="e">
        <f t="shared" ref="AV100" si="254">IF(AV101=AR101,AR100,IF(AV101=AS101,AS100,IF(AV101=AT101,AT100,AU100)))</f>
        <v>#VALUE!</v>
      </c>
      <c r="BG100"/>
      <c r="BH100"/>
    </row>
    <row r="101" spans="1:60" x14ac:dyDescent="0.25">
      <c r="A101" s="84">
        <f>A100+1</f>
        <v>12</v>
      </c>
      <c r="B101" s="84">
        <f>VLOOKUP(A101,STN_TABLE_2,2,FALSE)</f>
        <v>6.5</v>
      </c>
      <c r="C101" s="88" t="str">
        <f t="shared" ref="C101" si="255">B102</f>
        <v xml:space="preserve">  </v>
      </c>
      <c r="D101" s="82" t="str">
        <f>VLOOKUP(C101,STN_TABLE,2,FALSE)</f>
        <v xml:space="preserve">  </v>
      </c>
      <c r="E101" s="92">
        <v>1</v>
      </c>
      <c r="F101" s="82" t="e">
        <f t="shared" si="244"/>
        <v>#VALUE!</v>
      </c>
      <c r="G101" s="83" t="str">
        <f t="shared" si="245"/>
        <v xml:space="preserve">  </v>
      </c>
      <c r="H101" s="83" t="e">
        <f t="shared" si="246"/>
        <v>#VALUE!</v>
      </c>
      <c r="I101" s="84" t="e">
        <f t="shared" ref="I101" si="256">CONCATENATE("a'(",C99,"~",C101,")=")</f>
        <v>#VALUE!</v>
      </c>
      <c r="J101" s="84" t="e">
        <f t="shared" ref="J101" si="257">2*J99/3*F102</f>
        <v>#VALUE!</v>
      </c>
      <c r="K101" s="84" t="e">
        <f t="shared" ref="K101" si="258">CONCATENATE("A(",C99,")=")</f>
        <v>#VALUE!</v>
      </c>
      <c r="L101" s="84" t="e">
        <f>VLOOKUP(C99,STN_TABLE,3,FALSE)</f>
        <v>#VALUE!</v>
      </c>
      <c r="M101" t="str">
        <f t="shared" ref="M101" si="259">CONCATENATE("A(",C101,")=")</f>
        <v>A(  )=</v>
      </c>
      <c r="N101" t="e">
        <f t="shared" ref="N101:N102" si="260">J101+L101</f>
        <v>#VALUE!</v>
      </c>
      <c r="O101" s="99">
        <f>O100+1</f>
        <v>14</v>
      </c>
      <c r="P101" s="99" t="str">
        <f t="shared" si="97"/>
        <v xml:space="preserve">  </v>
      </c>
      <c r="Q101" s="82" t="e">
        <f t="shared" ref="Q101" si="261">IF(P101-P100=P100-P99,P101,IF(P102-P100=P100-P99,P102,IF(P101-P100=P100-P98,P101,IF(P102-P100=P100-P98,P102,"-"))))</f>
        <v>#VALUE!</v>
      </c>
      <c r="R101" s="83" t="e">
        <f>VLOOKUP(Q101,STN_TABLE,2,FALSE)</f>
        <v>#VALUE!</v>
      </c>
      <c r="S101" s="83">
        <v>-1</v>
      </c>
      <c r="T101" s="82" t="e">
        <f t="shared" si="248"/>
        <v>#VALUE!</v>
      </c>
      <c r="U101" s="88">
        <v>-1</v>
      </c>
      <c r="V101" s="82" t="e">
        <f t="shared" si="249"/>
        <v>#VALUE!</v>
      </c>
      <c r="W101" s="84" t="e">
        <f t="shared" ref="W101" si="262">CONCATENATE("a'(",Q99,"~",Q100,")=")</f>
        <v>#VALUE!</v>
      </c>
      <c r="X101" s="84" t="e">
        <f t="shared" ref="X101" si="263">2*X99/12*T102</f>
        <v>#VALUE!</v>
      </c>
      <c r="Y101" s="84" t="e">
        <f t="shared" ref="Y101" si="264">CONCATENATE("A(",Q99,")=")</f>
        <v>#VALUE!</v>
      </c>
      <c r="Z101" s="84" t="e">
        <f>VLOOKUP(Q99,STN_TABLE,3,FALSE)</f>
        <v>#VALUE!</v>
      </c>
      <c r="AA101" t="str">
        <f t="shared" ref="AA101" si="265">CONCATENATE("A(",Q100,")=")</f>
        <v>A(  )=</v>
      </c>
      <c r="AB101" t="e">
        <f t="shared" ref="AB101:AB102" si="266">X101+Z101</f>
        <v>#VALUE!</v>
      </c>
      <c r="AC101" s="99">
        <f>AC100+1</f>
        <v>13</v>
      </c>
      <c r="AD101" s="100" t="str">
        <f>VLOOKUP(AC101,STN_TABLE_2,2,FALSE)</f>
        <v xml:space="preserve">  </v>
      </c>
      <c r="AE101" t="str">
        <f t="shared" si="252"/>
        <v xml:space="preserve">  </v>
      </c>
      <c r="AF101">
        <v>1</v>
      </c>
      <c r="AG101" s="82" t="str">
        <f>VLOOKUP(AD101,STN_TABLE,2,FALSE)</f>
        <v xml:space="preserve">  </v>
      </c>
      <c r="AH101" s="82">
        <v>2</v>
      </c>
      <c r="AI101" s="83" t="e">
        <f t="shared" si="253"/>
        <v>#VALUE!</v>
      </c>
      <c r="AJ101" s="84" t="str">
        <f t="shared" ref="AJ101" si="267">CONCATENATE("a'(",AD101,")=")</f>
        <v>a'(  )=</v>
      </c>
      <c r="AK101" s="84" t="e">
        <f t="shared" ref="AK101" si="268">2*AK99/2*AG102</f>
        <v>#VALUE!</v>
      </c>
      <c r="AL101" s="84" t="str">
        <f t="shared" ref="AL101" si="269">CONCATENATE("A(",AD100,")=")</f>
        <v>A(6.5)=</v>
      </c>
      <c r="AM101" s="84">
        <f>VLOOKUP(AD100,STN_TABLE,3,FALSE)</f>
        <v>284.25333333333333</v>
      </c>
      <c r="AN101" t="str">
        <f t="shared" ref="AN101" si="270">CONCATENATE("A(",AD101,")=")</f>
        <v>A(  )=</v>
      </c>
      <c r="AO101" t="e">
        <f t="shared" ref="AO101:AO102" si="271">AK101+AM101</f>
        <v>#VALUE!</v>
      </c>
      <c r="AQ101" s="68" t="str">
        <f>AA101</f>
        <v>A(  )=</v>
      </c>
      <c r="AR101" s="68" t="str">
        <f>IFERROR(VLOOKUP(AQ101,Rise_Results,2,FALSE),"-")</f>
        <v>-</v>
      </c>
      <c r="AS101" s="76" t="str">
        <f>IFERROR(N101,"-")</f>
        <v>-</v>
      </c>
      <c r="AT101" s="76" t="str">
        <f>IFERROR(IF(OR(AB101&lt;=0,AB102&lt;=0),1/0,AB101),"-")</f>
        <v>-</v>
      </c>
      <c r="AU101" s="76" t="e">
        <f t="shared" ref="AU101:AU102" si="272">AO101</f>
        <v>#VALUE!</v>
      </c>
      <c r="AV101" t="e">
        <f t="shared" ref="AV101:AV102" si="273">IF(ISNUMBER(AR101),AR101,IF(ISNUMBER(AS101),AS101,IF(ISNUMBER(AT101),AT101,AU101)))</f>
        <v>#VALUE!</v>
      </c>
      <c r="BG101"/>
      <c r="BH101"/>
    </row>
    <row r="102" spans="1:60" x14ac:dyDescent="0.25">
      <c r="A102" s="84">
        <f>A101+1</f>
        <v>13</v>
      </c>
      <c r="B102" s="84" t="str">
        <f>VLOOKUP(A102,STN_TABLE_2,2,FALSE)</f>
        <v xml:space="preserve">  </v>
      </c>
      <c r="C102" s="194" t="s">
        <v>168</v>
      </c>
      <c r="D102" s="194" t="s">
        <v>168</v>
      </c>
      <c r="E102" s="6" t="s">
        <v>172</v>
      </c>
      <c r="F102" s="89" t="e">
        <f t="shared" ref="F102" si="274">SUM(F99:F101)</f>
        <v>#VALUE!</v>
      </c>
      <c r="G102" s="6" t="s">
        <v>172</v>
      </c>
      <c r="H102" s="82" t="e">
        <f t="shared" ref="H102" si="275">SUM(H99:H101)</f>
        <v>#VALUE!</v>
      </c>
      <c r="I102" s="84" t="e">
        <f t="shared" ref="I102" si="276">CONCATENATE("m'(",C99,"~",C101,")=")</f>
        <v>#VALUE!</v>
      </c>
      <c r="J102" s="84" t="e">
        <f>2*(J99*(WLS))/3*H102</f>
        <v>#VALUE!</v>
      </c>
      <c r="K102" s="84" t="e">
        <f t="shared" ref="K102" si="277">CONCATENATE("M(",C99,")=")</f>
        <v>#VALUE!</v>
      </c>
      <c r="L102" s="84" t="e">
        <f>VLOOKUP(C99,STN_TABLE,4,FALSE)</f>
        <v>#VALUE!</v>
      </c>
      <c r="M102" t="str">
        <f t="shared" ref="M102" si="278">CONCATENATE("M(",C101,")=")</f>
        <v>M(  )=</v>
      </c>
      <c r="N102" t="e">
        <f t="shared" si="260"/>
        <v>#VALUE!</v>
      </c>
      <c r="O102" s="99">
        <f>O101+1</f>
        <v>15</v>
      </c>
      <c r="P102" s="99" t="str">
        <f t="shared" si="97"/>
        <v xml:space="preserve">  </v>
      </c>
      <c r="Q102" s="194" t="s">
        <v>168</v>
      </c>
      <c r="R102" s="194" t="s">
        <v>168</v>
      </c>
      <c r="S102" s="6" t="s">
        <v>172</v>
      </c>
      <c r="T102" s="89" t="e">
        <f t="shared" si="146"/>
        <v>#VALUE!</v>
      </c>
      <c r="U102" s="6" t="s">
        <v>172</v>
      </c>
      <c r="V102" s="82" t="e">
        <f t="shared" si="147"/>
        <v>#VALUE!</v>
      </c>
      <c r="W102" s="84" t="e">
        <f t="shared" ref="W102" si="279">CONCATENATE("m'(",Q99,"~",Q100,")=")</f>
        <v>#VALUE!</v>
      </c>
      <c r="X102" s="84" t="e">
        <f>(2*(X99^2)/24*V102)+(X101*Q99*WLS)</f>
        <v>#VALUE!</v>
      </c>
      <c r="Y102" s="84" t="e">
        <f t="shared" ref="Y102" si="280">CONCATENATE("M(",Q99,")=")</f>
        <v>#VALUE!</v>
      </c>
      <c r="Z102" s="84" t="e">
        <f>VLOOKUP(Q99,STN_TABLE,4,FALSE)</f>
        <v>#VALUE!</v>
      </c>
      <c r="AA102" t="str">
        <f t="shared" ref="AA102" si="281">CONCATENATE("M(",Q100,")=")</f>
        <v>M(  )=</v>
      </c>
      <c r="AB102" t="e">
        <f t="shared" si="266"/>
        <v>#VALUE!</v>
      </c>
      <c r="AD102" s="194" t="s">
        <v>168</v>
      </c>
      <c r="AE102" s="194" t="s">
        <v>168</v>
      </c>
      <c r="AF102" s="6" t="s">
        <v>172</v>
      </c>
      <c r="AG102" s="89">
        <f t="shared" si="151"/>
        <v>11</v>
      </c>
      <c r="AH102" s="6" t="s">
        <v>172</v>
      </c>
      <c r="AI102" s="89" t="e">
        <f t="shared" si="152"/>
        <v>#VALUE!</v>
      </c>
      <c r="AJ102" s="84" t="str">
        <f t="shared" ref="AJ102" si="282">CONCATENATE("m'(",AD101,")=")</f>
        <v>m'(  )=</v>
      </c>
      <c r="AK102" s="84" t="e">
        <f>(2*(AK99^2)/6*AI102)+(AK101*AD100*WLS)</f>
        <v>#VALUE!</v>
      </c>
      <c r="AL102" s="84" t="str">
        <f t="shared" ref="AL102" si="283">CONCATENATE("M(",AD100,")=")</f>
        <v>M(6.5)=</v>
      </c>
      <c r="AM102" s="84">
        <f>VLOOKUP(AD100,STN_TABLE,4,FALSE)</f>
        <v>1858.1333333333332</v>
      </c>
      <c r="AN102" t="str">
        <f t="shared" ref="AN102" si="284">CONCATENATE("M(",AD101,")=")</f>
        <v>M(  )=</v>
      </c>
      <c r="AO102" t="e">
        <f t="shared" si="271"/>
        <v>#VALUE!</v>
      </c>
      <c r="AQ102" s="82" t="str">
        <f>AA102</f>
        <v>M(  )=</v>
      </c>
      <c r="AR102" s="82" t="str">
        <f>IFERROR(VLOOKUP(AQ102,Rise_Results,2,FALSE),"-")</f>
        <v>-</v>
      </c>
      <c r="AS102" s="82" t="str">
        <f>IFERROR(N102,"-")</f>
        <v>-</v>
      </c>
      <c r="AT102" s="82" t="str">
        <f>IFERROR(IF(OR(AB101&lt;=0,AB102&lt;=0),1/0,AB102),"-")</f>
        <v>-</v>
      </c>
      <c r="AU102" s="82" t="e">
        <f t="shared" si="272"/>
        <v>#VALUE!</v>
      </c>
      <c r="AV102" t="e">
        <f t="shared" si="273"/>
        <v>#VALUE!</v>
      </c>
      <c r="BG102"/>
      <c r="BH102"/>
    </row>
    <row r="103" spans="1:60" x14ac:dyDescent="0.25">
      <c r="A103" s="84"/>
      <c r="B103" s="84"/>
      <c r="F103" s="81"/>
      <c r="H103" s="81"/>
      <c r="I103" s="84"/>
      <c r="J103" s="84"/>
      <c r="K103" s="84"/>
      <c r="L103" s="84"/>
      <c r="O103" s="99"/>
      <c r="P103" s="99"/>
      <c r="T103" s="81"/>
      <c r="V103" s="81"/>
      <c r="W103" s="84"/>
      <c r="X103" s="84"/>
      <c r="Y103" s="84"/>
      <c r="Z103" s="84"/>
      <c r="AD103" s="194" t="s">
        <v>168</v>
      </c>
      <c r="AE103" s="194" t="s">
        <v>168</v>
      </c>
      <c r="AF103" s="194" t="s">
        <v>168</v>
      </c>
      <c r="AG103" s="194" t="s">
        <v>168</v>
      </c>
      <c r="AH103" s="194" t="s">
        <v>168</v>
      </c>
      <c r="AI103" s="194" t="s">
        <v>168</v>
      </c>
      <c r="AJ103" s="194" t="s">
        <v>168</v>
      </c>
      <c r="AK103" s="194" t="s">
        <v>168</v>
      </c>
      <c r="AL103" s="194" t="s">
        <v>168</v>
      </c>
      <c r="AM103" s="194" t="s">
        <v>168</v>
      </c>
      <c r="AN103" s="194" t="s">
        <v>168</v>
      </c>
      <c r="AO103" s="194" t="s">
        <v>168</v>
      </c>
      <c r="AQ103" s="81"/>
      <c r="AR103" s="81"/>
      <c r="AS103" s="81"/>
      <c r="AT103" s="81"/>
      <c r="AU103" s="81"/>
      <c r="BG103"/>
      <c r="BH103"/>
    </row>
    <row r="104" spans="1:60" ht="18" x14ac:dyDescent="0.35">
      <c r="A104" s="101">
        <f>A98+1</f>
        <v>10</v>
      </c>
      <c r="B104" s="101">
        <f>VLOOKUP(A104,STN_TABLE_2,2,FALSE)</f>
        <v>5</v>
      </c>
      <c r="C104" t="s">
        <v>0</v>
      </c>
      <c r="D104" t="s">
        <v>95</v>
      </c>
      <c r="E104" t="s">
        <v>164</v>
      </c>
      <c r="F104" t="s">
        <v>165</v>
      </c>
      <c r="G104" t="s">
        <v>13</v>
      </c>
      <c r="H104" t="s">
        <v>169</v>
      </c>
      <c r="I104" s="194" t="s">
        <v>168</v>
      </c>
      <c r="J104" s="194" t="s">
        <v>168</v>
      </c>
      <c r="K104" s="194" t="s">
        <v>168</v>
      </c>
      <c r="L104" s="194" t="s">
        <v>168</v>
      </c>
      <c r="M104" s="194" t="s">
        <v>168</v>
      </c>
      <c r="N104" s="194" t="s">
        <v>168</v>
      </c>
      <c r="O104" s="101">
        <f>O98+1</f>
        <v>12</v>
      </c>
      <c r="P104" s="101">
        <f t="shared" ref="P104" si="285">VLOOKUP(O104,STN_TABLE_2,2,FALSE)</f>
        <v>6.5</v>
      </c>
      <c r="Q104" t="s">
        <v>0</v>
      </c>
      <c r="R104" t="s">
        <v>95</v>
      </c>
      <c r="S104" t="s">
        <v>164</v>
      </c>
      <c r="T104" t="s">
        <v>165</v>
      </c>
      <c r="U104" t="s">
        <v>166</v>
      </c>
      <c r="V104" t="s">
        <v>167</v>
      </c>
      <c r="W104" s="194" t="s">
        <v>168</v>
      </c>
      <c r="X104" s="194" t="s">
        <v>168</v>
      </c>
      <c r="Y104" s="194" t="s">
        <v>168</v>
      </c>
      <c r="Z104" s="194" t="s">
        <v>168</v>
      </c>
      <c r="AA104" s="194" t="s">
        <v>168</v>
      </c>
      <c r="AB104" s="194" t="s">
        <v>168</v>
      </c>
      <c r="BG104"/>
      <c r="BH104"/>
    </row>
    <row r="105" spans="1:60" ht="18" x14ac:dyDescent="0.35">
      <c r="A105" s="84">
        <f>A104+1</f>
        <v>11</v>
      </c>
      <c r="B105" s="84">
        <f>VLOOKUP(A105,STN_TABLE_2,2,FALSE)</f>
        <v>6</v>
      </c>
      <c r="C105" s="79" t="e">
        <f t="shared" ref="C105" si="286">IF(C106=B107,IF(C107-C106=C106-B106,B106,IF(C107-C106=C106-B105,B105,"#NA")),IF(C106=B106,IF(C107-C106=C106-B105,B105,IF(C107-C106=C106-B104,B104,"#NA")),"#NA"))</f>
        <v>#VALUE!</v>
      </c>
      <c r="D105" s="68" t="e">
        <f>VLOOKUP(C105,STN_TABLE,2,FALSE)</f>
        <v>#VALUE!</v>
      </c>
      <c r="E105" s="102">
        <v>1</v>
      </c>
      <c r="F105" s="68" t="e">
        <f t="shared" ref="F105:F107" si="287">D105*E105</f>
        <v>#VALUE!</v>
      </c>
      <c r="G105" s="69" t="e">
        <f t="shared" ref="G105:G107" si="288">C105</f>
        <v>#VALUE!</v>
      </c>
      <c r="H105" s="69" t="e">
        <f t="shared" ref="H105:H107" si="289">F105*G105</f>
        <v>#VALUE!</v>
      </c>
      <c r="I105" s="6" t="s">
        <v>93</v>
      </c>
      <c r="J105" s="70" t="e">
        <f>IF(OR(D105=0,D106=0,D107=0),"#NA",IF(AND(C107-C106=C106-C105,C106&lt;&gt;C107,C105&lt;&gt;C106,C105&lt;&gt;C107,D107&lt;&gt;0,OR(D105&lt;&gt;0,D106&lt;&gt;0)),WLS*(C107-C106),"#NA"))</f>
        <v>#VALUE!</v>
      </c>
      <c r="K105" s="194" t="s">
        <v>168</v>
      </c>
      <c r="L105" s="194" t="s">
        <v>168</v>
      </c>
      <c r="M105" s="194" t="s">
        <v>168</v>
      </c>
      <c r="N105" s="194" t="s">
        <v>168</v>
      </c>
      <c r="O105" s="99">
        <f>O104+1</f>
        <v>13</v>
      </c>
      <c r="P105" s="99" t="str">
        <f t="shared" si="97"/>
        <v xml:space="preserve">  </v>
      </c>
      <c r="Q105" s="68" t="e">
        <f t="shared" ref="Q105" si="290">IF(OR(P107-P106=P106-P105,P108-P106=P106-P105),P105,IF(OR(P107-P106=P106-P104,P108-P106=P106-P104),P104,"-"))</f>
        <v>#VALUE!</v>
      </c>
      <c r="R105" s="69" t="e">
        <f>VLOOKUP(Q105,STN_TABLE,2,FALSE)</f>
        <v>#VALUE!</v>
      </c>
      <c r="S105" s="69">
        <v>5</v>
      </c>
      <c r="T105" s="68" t="e">
        <f t="shared" ref="T105:T107" si="291">R105*S105</f>
        <v>#VALUE!</v>
      </c>
      <c r="U105" s="79">
        <v>3</v>
      </c>
      <c r="V105" s="68" t="e">
        <f t="shared" ref="V105:V107" si="292">R105*U105</f>
        <v>#VALUE!</v>
      </c>
      <c r="W105" s="6" t="s">
        <v>93</v>
      </c>
      <c r="X105" s="70" t="e">
        <f>IF(AND(Q107-Q106=Q106-Q105,NOT(AND(Q105=0,Q106=0)),NOT(AND(Q106=0,Q107=0))),WLS*(Q107-Q106),"#NA")</f>
        <v>#VALUE!</v>
      </c>
      <c r="Y105" s="194" t="s">
        <v>168</v>
      </c>
      <c r="Z105" s="194" t="s">
        <v>168</v>
      </c>
      <c r="AA105" s="194" t="s">
        <v>168</v>
      </c>
      <c r="AB105" s="194" t="s">
        <v>168</v>
      </c>
      <c r="AD105" t="s">
        <v>0</v>
      </c>
      <c r="AE105" t="s">
        <v>95</v>
      </c>
      <c r="AF105" t="s">
        <v>173</v>
      </c>
      <c r="AG105" t="s">
        <v>183</v>
      </c>
      <c r="AH105" t="s">
        <v>175</v>
      </c>
      <c r="AI105" t="s">
        <v>184</v>
      </c>
      <c r="AJ105" s="6" t="s">
        <v>93</v>
      </c>
      <c r="AK105" s="70" t="e">
        <f>WLS*(AD107-AD106)</f>
        <v>#VALUE!</v>
      </c>
      <c r="AL105" s="194" t="s">
        <v>168</v>
      </c>
      <c r="AM105" s="194" t="s">
        <v>168</v>
      </c>
      <c r="AN105" s="194" t="s">
        <v>168</v>
      </c>
      <c r="AO105" s="194" t="s">
        <v>168</v>
      </c>
      <c r="BG105"/>
      <c r="BH105"/>
    </row>
    <row r="106" spans="1:60" x14ac:dyDescent="0.25">
      <c r="A106" s="84">
        <f>A105+1</f>
        <v>12</v>
      </c>
      <c r="B106" s="84">
        <f>VLOOKUP(A106,STN_TABLE_2,2,FALSE)</f>
        <v>6.5</v>
      </c>
      <c r="C106" s="80" t="e">
        <f t="shared" ref="C106" si="293">IF(OR(B108-B107=B107-B106,B108-B107=B107-B105,B108-B107=B107-B104),B107,IF(OR(B108-B106=B106-B105,B108-B106=B106-B104),B106,IF(B108-B105=B105-B104,B105,"#NA")))</f>
        <v>#VALUE!</v>
      </c>
      <c r="D106" s="76" t="e">
        <f>VLOOKUP(C106,STN_TABLE,2,FALSE)</f>
        <v>#VALUE!</v>
      </c>
      <c r="E106" s="81">
        <v>4</v>
      </c>
      <c r="F106" s="76" t="e">
        <f t="shared" si="287"/>
        <v>#VALUE!</v>
      </c>
      <c r="G106" s="77" t="e">
        <f t="shared" si="288"/>
        <v>#VALUE!</v>
      </c>
      <c r="H106" s="77" t="e">
        <f t="shared" si="289"/>
        <v>#VALUE!</v>
      </c>
      <c r="I106" s="204" t="s">
        <v>171</v>
      </c>
      <c r="J106" s="194" t="s">
        <v>168</v>
      </c>
      <c r="K106" s="78" t="s">
        <v>98</v>
      </c>
      <c r="L106" s="194" t="s">
        <v>168</v>
      </c>
      <c r="M106" s="7" t="s">
        <v>77</v>
      </c>
      <c r="N106" s="194" t="s">
        <v>168</v>
      </c>
      <c r="O106" s="99">
        <f>O105+1</f>
        <v>14</v>
      </c>
      <c r="P106" s="99" t="str">
        <f t="shared" si="97"/>
        <v xml:space="preserve">  </v>
      </c>
      <c r="Q106" s="76" t="str">
        <f t="shared" ref="Q106" si="294">P106</f>
        <v xml:space="preserve">  </v>
      </c>
      <c r="R106" s="77" t="str">
        <f>VLOOKUP(Q106,STN_TABLE,2,FALSE)</f>
        <v xml:space="preserve">  </v>
      </c>
      <c r="S106" s="77">
        <v>8</v>
      </c>
      <c r="T106" s="76" t="e">
        <f t="shared" si="291"/>
        <v>#VALUE!</v>
      </c>
      <c r="U106" s="80">
        <v>10</v>
      </c>
      <c r="V106" s="76" t="e">
        <f t="shared" si="292"/>
        <v>#VALUE!</v>
      </c>
      <c r="W106" s="204" t="s">
        <v>171</v>
      </c>
      <c r="X106" s="194" t="s">
        <v>168</v>
      </c>
      <c r="Y106" s="78" t="s">
        <v>98</v>
      </c>
      <c r="Z106" s="194" t="s">
        <v>168</v>
      </c>
      <c r="AA106" s="7" t="s">
        <v>77</v>
      </c>
      <c r="AB106" s="194" t="s">
        <v>168</v>
      </c>
      <c r="AC106" s="99">
        <f>AC100+1</f>
        <v>13</v>
      </c>
      <c r="AD106" s="95" t="str">
        <f>VLOOKUP(AC106,STN_TABLE_2,2,FALSE)</f>
        <v xml:space="preserve">  </v>
      </c>
      <c r="AE106" t="str">
        <f t="shared" ref="AE106:AE107" si="295">AG106</f>
        <v xml:space="preserve">  </v>
      </c>
      <c r="AF106">
        <v>1</v>
      </c>
      <c r="AG106" s="68" t="str">
        <f>VLOOKUP(AD106,STN_TABLE,2,FALSE)</f>
        <v xml:space="preserve">  </v>
      </c>
      <c r="AH106" s="68">
        <v>1</v>
      </c>
      <c r="AI106" s="69" t="e">
        <f t="shared" ref="AI106:AI107" si="296">AG106*AH106</f>
        <v>#VALUE!</v>
      </c>
      <c r="AJ106" s="204" t="s">
        <v>171</v>
      </c>
      <c r="AK106" s="194" t="s">
        <v>168</v>
      </c>
      <c r="AL106" s="78" t="s">
        <v>98</v>
      </c>
      <c r="AM106" s="194" t="s">
        <v>168</v>
      </c>
      <c r="AN106" s="7" t="s">
        <v>77</v>
      </c>
      <c r="AO106" s="194" t="s">
        <v>168</v>
      </c>
      <c r="AR106" s="86" t="s">
        <v>112</v>
      </c>
      <c r="AS106" s="89" t="s">
        <v>113</v>
      </c>
      <c r="AT106" s="89" t="s">
        <v>114</v>
      </c>
      <c r="AU106" s="89" t="s">
        <v>115</v>
      </c>
      <c r="AV106" s="71" t="e">
        <f t="shared" ref="AV106" si="297">IF(AV107=AR107,AR106,IF(AV107=AS107,AS106,IF(AV107=AT107,AT106,AU106)))</f>
        <v>#VALUE!</v>
      </c>
      <c r="BG106"/>
      <c r="BH106"/>
    </row>
    <row r="107" spans="1:60" x14ac:dyDescent="0.25">
      <c r="A107" s="84">
        <f>A106+1</f>
        <v>13</v>
      </c>
      <c r="B107" s="84" t="str">
        <f>VLOOKUP(A107,STN_TABLE_2,2,FALSE)</f>
        <v xml:space="preserve">  </v>
      </c>
      <c r="C107" s="88" t="str">
        <f t="shared" ref="C107" si="298">B108</f>
        <v xml:space="preserve">  </v>
      </c>
      <c r="D107" s="82" t="str">
        <f>VLOOKUP(C107,STN_TABLE,2,FALSE)</f>
        <v xml:space="preserve">  </v>
      </c>
      <c r="E107" s="92">
        <v>1</v>
      </c>
      <c r="F107" s="82" t="e">
        <f t="shared" si="287"/>
        <v>#VALUE!</v>
      </c>
      <c r="G107" s="83" t="str">
        <f t="shared" si="288"/>
        <v xml:space="preserve">  </v>
      </c>
      <c r="H107" s="83" t="e">
        <f t="shared" si="289"/>
        <v>#VALUE!</v>
      </c>
      <c r="I107" s="84" t="e">
        <f t="shared" ref="I107" si="299">CONCATENATE("a'(",C105,"~",C107,")=")</f>
        <v>#VALUE!</v>
      </c>
      <c r="J107" s="84" t="e">
        <f t="shared" ref="J107" si="300">2*J105/3*F108</f>
        <v>#VALUE!</v>
      </c>
      <c r="K107" s="84" t="e">
        <f t="shared" ref="K107" si="301">CONCATENATE("A(",C105,")=")</f>
        <v>#VALUE!</v>
      </c>
      <c r="L107" s="84" t="e">
        <f>VLOOKUP(C105,STN_TABLE,3,FALSE)</f>
        <v>#VALUE!</v>
      </c>
      <c r="M107" t="str">
        <f t="shared" ref="M107" si="302">CONCATENATE("A(",C107,")=")</f>
        <v>A(  )=</v>
      </c>
      <c r="N107" t="e">
        <f t="shared" ref="N107:N108" si="303">J107+L107</f>
        <v>#VALUE!</v>
      </c>
      <c r="O107" s="99">
        <f>O106+1</f>
        <v>15</v>
      </c>
      <c r="P107" s="99" t="str">
        <f t="shared" si="97"/>
        <v xml:space="preserve">  </v>
      </c>
      <c r="Q107" s="82" t="e">
        <f t="shared" ref="Q107" si="304">IF(P107-P106=P106-P105,P107,IF(P108-P106=P106-P105,P108,IF(P107-P106=P106-P104,P107,IF(P108-P106=P106-P104,P108,"-"))))</f>
        <v>#VALUE!</v>
      </c>
      <c r="R107" s="83" t="e">
        <f>VLOOKUP(Q107,STN_TABLE,2,FALSE)</f>
        <v>#VALUE!</v>
      </c>
      <c r="S107" s="83">
        <v>-1</v>
      </c>
      <c r="T107" s="82" t="e">
        <f t="shared" si="291"/>
        <v>#VALUE!</v>
      </c>
      <c r="U107" s="88">
        <v>-1</v>
      </c>
      <c r="V107" s="82" t="e">
        <f t="shared" si="292"/>
        <v>#VALUE!</v>
      </c>
      <c r="W107" s="84" t="e">
        <f t="shared" ref="W107" si="305">CONCATENATE("a'(",Q105,"~",Q106,")=")</f>
        <v>#VALUE!</v>
      </c>
      <c r="X107" s="84" t="e">
        <f t="shared" ref="X107" si="306">2*X105/12*T108</f>
        <v>#VALUE!</v>
      </c>
      <c r="Y107" s="84" t="e">
        <f t="shared" ref="Y107" si="307">CONCATENATE("A(",Q105,")=")</f>
        <v>#VALUE!</v>
      </c>
      <c r="Z107" s="84" t="e">
        <f>VLOOKUP(Q105,STN_TABLE,3,FALSE)</f>
        <v>#VALUE!</v>
      </c>
      <c r="AA107" t="str">
        <f t="shared" ref="AA107" si="308">CONCATENATE("A(",Q106,")=")</f>
        <v>A(  )=</v>
      </c>
      <c r="AB107" t="e">
        <f t="shared" ref="AB107:AB108" si="309">X107+Z107</f>
        <v>#VALUE!</v>
      </c>
      <c r="AC107" s="99">
        <f>AC106+1</f>
        <v>14</v>
      </c>
      <c r="AD107" s="100" t="str">
        <f>VLOOKUP(AC107,STN_TABLE_2,2,FALSE)</f>
        <v xml:space="preserve">  </v>
      </c>
      <c r="AE107" t="str">
        <f t="shared" si="295"/>
        <v xml:space="preserve">  </v>
      </c>
      <c r="AF107">
        <v>1</v>
      </c>
      <c r="AG107" s="82" t="str">
        <f>VLOOKUP(AD107,STN_TABLE,2,FALSE)</f>
        <v xml:space="preserve">  </v>
      </c>
      <c r="AH107" s="82">
        <v>2</v>
      </c>
      <c r="AI107" s="83" t="e">
        <f t="shared" si="296"/>
        <v>#VALUE!</v>
      </c>
      <c r="AJ107" s="84" t="str">
        <f t="shared" ref="AJ107" si="310">CONCATENATE("a'(",AD107,")=")</f>
        <v>a'(  )=</v>
      </c>
      <c r="AK107" s="84" t="e">
        <f t="shared" ref="AK107" si="311">2*AK105/2*AG108</f>
        <v>#VALUE!</v>
      </c>
      <c r="AL107" s="84" t="str">
        <f t="shared" ref="AL107" si="312">CONCATENATE("A(",AD106,")=")</f>
        <v>A(  )=</v>
      </c>
      <c r="AM107" s="84" t="str">
        <f>VLOOKUP(AD106,STN_TABLE,3,FALSE)</f>
        <v xml:space="preserve"> </v>
      </c>
      <c r="AN107" t="str">
        <f t="shared" ref="AN107" si="313">CONCATENATE("A(",AD107,")=")</f>
        <v>A(  )=</v>
      </c>
      <c r="AO107" t="e">
        <f t="shared" ref="AO107:AO108" si="314">AK107+AM107</f>
        <v>#VALUE!</v>
      </c>
      <c r="AQ107" s="68" t="str">
        <f>AA107</f>
        <v>A(  )=</v>
      </c>
      <c r="AR107" s="68" t="str">
        <f>IFERROR(VLOOKUP(AQ107,Rise_Results,2,FALSE),"-")</f>
        <v>-</v>
      </c>
      <c r="AS107" s="76" t="str">
        <f>IFERROR(N107,"-")</f>
        <v>-</v>
      </c>
      <c r="AT107" s="76" t="str">
        <f>IFERROR(IF(OR(AB107&lt;=0,AB108&lt;=0),1/0,AB107),"-")</f>
        <v>-</v>
      </c>
      <c r="AU107" s="76" t="e">
        <f t="shared" ref="AU107:AU108" si="315">AO107</f>
        <v>#VALUE!</v>
      </c>
      <c r="AV107" t="e">
        <f t="shared" ref="AV107:AV108" si="316">IF(ISNUMBER(AR107),AR107,IF(ISNUMBER(AS107),AS107,IF(ISNUMBER(AT107),AT107,AU107)))</f>
        <v>#VALUE!</v>
      </c>
      <c r="BG107"/>
      <c r="BH107"/>
    </row>
    <row r="108" spans="1:60" x14ac:dyDescent="0.25">
      <c r="A108" s="84">
        <f>A107+1</f>
        <v>14</v>
      </c>
      <c r="B108" s="84" t="str">
        <f>VLOOKUP(A108,STN_TABLE_2,2,FALSE)</f>
        <v xml:space="preserve">  </v>
      </c>
      <c r="C108" s="194" t="s">
        <v>168</v>
      </c>
      <c r="D108" s="194" t="s">
        <v>168</v>
      </c>
      <c r="E108" s="6" t="s">
        <v>172</v>
      </c>
      <c r="F108" s="89" t="e">
        <f t="shared" ref="F108" si="317">SUM(F105:F107)</f>
        <v>#VALUE!</v>
      </c>
      <c r="G108" s="6" t="s">
        <v>172</v>
      </c>
      <c r="H108" s="82" t="e">
        <f t="shared" ref="H108" si="318">SUM(H105:H107)</f>
        <v>#VALUE!</v>
      </c>
      <c r="I108" s="84" t="e">
        <f t="shared" ref="I108" si="319">CONCATENATE("m'(",C105,"~",C107,")=")</f>
        <v>#VALUE!</v>
      </c>
      <c r="J108" s="84" t="e">
        <f>2*(J105*(WLS))/3*H108</f>
        <v>#VALUE!</v>
      </c>
      <c r="K108" s="84" t="e">
        <f t="shared" ref="K108" si="320">CONCATENATE("M(",C105,")=")</f>
        <v>#VALUE!</v>
      </c>
      <c r="L108" s="84" t="e">
        <f>VLOOKUP(C105,STN_TABLE,4,FALSE)</f>
        <v>#VALUE!</v>
      </c>
      <c r="M108" t="str">
        <f t="shared" ref="M108" si="321">CONCATENATE("M(",C107,")=")</f>
        <v>M(  )=</v>
      </c>
      <c r="N108" t="e">
        <f t="shared" si="303"/>
        <v>#VALUE!</v>
      </c>
      <c r="O108" s="99">
        <f>O107+1</f>
        <v>16</v>
      </c>
      <c r="P108" s="99" t="str">
        <f t="shared" si="97"/>
        <v xml:space="preserve">  </v>
      </c>
      <c r="Q108" s="194" t="s">
        <v>168</v>
      </c>
      <c r="R108" s="194" t="s">
        <v>168</v>
      </c>
      <c r="S108" s="6" t="s">
        <v>172</v>
      </c>
      <c r="T108" s="89" t="e">
        <f t="shared" si="146"/>
        <v>#VALUE!</v>
      </c>
      <c r="U108" s="6" t="s">
        <v>172</v>
      </c>
      <c r="V108" s="82" t="e">
        <f t="shared" si="147"/>
        <v>#VALUE!</v>
      </c>
      <c r="W108" s="84" t="e">
        <f t="shared" ref="W108" si="322">CONCATENATE("m'(",Q105,"~",Q106,")=")</f>
        <v>#VALUE!</v>
      </c>
      <c r="X108" s="84" t="e">
        <f>(2*(X105^2)/24*V108)+(X107*Q105*WLS)</f>
        <v>#VALUE!</v>
      </c>
      <c r="Y108" s="84" t="e">
        <f t="shared" ref="Y108" si="323">CONCATENATE("M(",Q105,")=")</f>
        <v>#VALUE!</v>
      </c>
      <c r="Z108" s="84" t="e">
        <f>VLOOKUP(Q105,STN_TABLE,4,FALSE)</f>
        <v>#VALUE!</v>
      </c>
      <c r="AA108" t="str">
        <f t="shared" ref="AA108" si="324">CONCATENATE("M(",Q106,")=")</f>
        <v>M(  )=</v>
      </c>
      <c r="AB108" t="e">
        <f t="shared" si="309"/>
        <v>#VALUE!</v>
      </c>
      <c r="AD108" s="194" t="s">
        <v>168</v>
      </c>
      <c r="AE108" s="194" t="s">
        <v>168</v>
      </c>
      <c r="AF108" s="6" t="s">
        <v>172</v>
      </c>
      <c r="AG108" s="89">
        <f t="shared" si="151"/>
        <v>0</v>
      </c>
      <c r="AH108" s="6" t="s">
        <v>172</v>
      </c>
      <c r="AI108" s="89" t="e">
        <f t="shared" si="152"/>
        <v>#VALUE!</v>
      </c>
      <c r="AJ108" s="84" t="str">
        <f t="shared" ref="AJ108" si="325">CONCATENATE("m'(",AD107,")=")</f>
        <v>m'(  )=</v>
      </c>
      <c r="AK108" s="84" t="e">
        <f>(2*(AK105^2)/6*AI108)+(AK107*AD106*WLS)</f>
        <v>#VALUE!</v>
      </c>
      <c r="AL108" s="84" t="str">
        <f t="shared" ref="AL108" si="326">CONCATENATE("M(",AD106,")=")</f>
        <v>M(  )=</v>
      </c>
      <c r="AM108" s="84" t="str">
        <f>VLOOKUP(AD106,STN_TABLE,4,FALSE)</f>
        <v xml:space="preserve"> </v>
      </c>
      <c r="AN108" t="str">
        <f t="shared" ref="AN108" si="327">CONCATENATE("M(",AD107,")=")</f>
        <v>M(  )=</v>
      </c>
      <c r="AO108" t="e">
        <f t="shared" si="314"/>
        <v>#VALUE!</v>
      </c>
      <c r="AQ108" s="82" t="str">
        <f>AA108</f>
        <v>M(  )=</v>
      </c>
      <c r="AR108" s="82" t="str">
        <f>IFERROR(VLOOKUP(AQ108,Rise_Results,2,FALSE),"-")</f>
        <v>-</v>
      </c>
      <c r="AS108" s="82" t="str">
        <f>IFERROR(N108,"-")</f>
        <v>-</v>
      </c>
      <c r="AT108" s="82" t="str">
        <f>IFERROR(IF(OR(AB107&lt;=0,AB108&lt;=0),1/0,AB108),"-")</f>
        <v>-</v>
      </c>
      <c r="AU108" s="82" t="e">
        <f t="shared" si="315"/>
        <v>#VALUE!</v>
      </c>
      <c r="AV108" t="e">
        <f t="shared" si="316"/>
        <v>#VALUE!</v>
      </c>
      <c r="BG108"/>
      <c r="BH108"/>
    </row>
    <row r="109" spans="1:60" x14ac:dyDescent="0.25">
      <c r="A109" s="84"/>
      <c r="B109" s="84"/>
      <c r="F109" s="81"/>
      <c r="H109" s="81"/>
      <c r="I109" s="84"/>
      <c r="J109" s="84"/>
      <c r="K109" s="84"/>
      <c r="L109" s="84"/>
      <c r="O109" s="99"/>
      <c r="P109" s="99"/>
      <c r="T109" s="81"/>
      <c r="V109" s="81"/>
      <c r="W109" s="84"/>
      <c r="X109" s="84"/>
      <c r="Y109" s="84"/>
      <c r="Z109" s="84"/>
      <c r="AD109" s="194" t="s">
        <v>168</v>
      </c>
      <c r="AE109" s="194" t="s">
        <v>168</v>
      </c>
      <c r="AF109" s="194" t="s">
        <v>168</v>
      </c>
      <c r="AG109" s="194" t="s">
        <v>168</v>
      </c>
      <c r="AH109" s="194" t="s">
        <v>168</v>
      </c>
      <c r="AI109" s="194" t="s">
        <v>168</v>
      </c>
      <c r="AJ109" s="194" t="s">
        <v>168</v>
      </c>
      <c r="AK109" s="194" t="s">
        <v>168</v>
      </c>
      <c r="AL109" s="194" t="s">
        <v>168</v>
      </c>
      <c r="AM109" s="194" t="s">
        <v>168</v>
      </c>
      <c r="AN109" s="194" t="s">
        <v>168</v>
      </c>
      <c r="AO109" s="194" t="s">
        <v>168</v>
      </c>
      <c r="AQ109" s="81"/>
      <c r="AR109" s="81"/>
      <c r="AS109" s="81"/>
      <c r="AT109" s="81"/>
      <c r="AU109" s="81"/>
      <c r="BG109"/>
      <c r="BH109"/>
    </row>
    <row r="110" spans="1:60" ht="18" x14ac:dyDescent="0.35">
      <c r="A110" s="101">
        <f>A104+1</f>
        <v>11</v>
      </c>
      <c r="B110" s="101">
        <f>VLOOKUP(A110,STN_TABLE_2,2,FALSE)</f>
        <v>6</v>
      </c>
      <c r="C110" t="s">
        <v>0</v>
      </c>
      <c r="D110" t="s">
        <v>95</v>
      </c>
      <c r="E110" t="s">
        <v>164</v>
      </c>
      <c r="F110" t="s">
        <v>165</v>
      </c>
      <c r="G110" t="s">
        <v>13</v>
      </c>
      <c r="H110" t="s">
        <v>169</v>
      </c>
      <c r="I110" s="194" t="s">
        <v>168</v>
      </c>
      <c r="J110" s="194" t="s">
        <v>168</v>
      </c>
      <c r="K110" s="194" t="s">
        <v>168</v>
      </c>
      <c r="L110" s="194" t="s">
        <v>168</v>
      </c>
      <c r="M110" s="194" t="s">
        <v>168</v>
      </c>
      <c r="N110" s="194" t="s">
        <v>168</v>
      </c>
      <c r="O110" s="101">
        <f>O104+1</f>
        <v>13</v>
      </c>
      <c r="P110" s="101" t="str">
        <f t="shared" ref="P110" si="328">VLOOKUP(O110,STN_TABLE_2,2,FALSE)</f>
        <v xml:space="preserve">  </v>
      </c>
      <c r="Q110" t="s">
        <v>0</v>
      </c>
      <c r="R110" t="s">
        <v>95</v>
      </c>
      <c r="S110" t="s">
        <v>164</v>
      </c>
      <c r="T110" t="s">
        <v>165</v>
      </c>
      <c r="U110" t="s">
        <v>166</v>
      </c>
      <c r="V110" t="s">
        <v>167</v>
      </c>
      <c r="W110" s="194" t="s">
        <v>168</v>
      </c>
      <c r="X110" s="194" t="s">
        <v>168</v>
      </c>
      <c r="Y110" s="194" t="s">
        <v>168</v>
      </c>
      <c r="Z110" s="194" t="s">
        <v>168</v>
      </c>
      <c r="AA110" s="194" t="s">
        <v>168</v>
      </c>
      <c r="AB110" s="194" t="s">
        <v>168</v>
      </c>
      <c r="BG110"/>
      <c r="BH110"/>
    </row>
    <row r="111" spans="1:60" ht="18" x14ac:dyDescent="0.35">
      <c r="A111" s="84">
        <f>A110+1</f>
        <v>12</v>
      </c>
      <c r="B111" s="84">
        <f>VLOOKUP(A111,STN_TABLE_2,2,FALSE)</f>
        <v>6.5</v>
      </c>
      <c r="C111" s="79" t="e">
        <f t="shared" ref="C111" si="329">IF(C112=B113,IF(C113-C112=C112-B112,B112,IF(C113-C112=C112-B111,B111,"#NA")),IF(C112=B112,IF(C113-C112=C112-B111,B111,IF(C113-C112=C112-B110,B110,"#NA")),"#NA"))</f>
        <v>#VALUE!</v>
      </c>
      <c r="D111" s="68" t="e">
        <f>VLOOKUP(C111,STN_TABLE,2,FALSE)</f>
        <v>#VALUE!</v>
      </c>
      <c r="E111" s="102">
        <v>1</v>
      </c>
      <c r="F111" s="68" t="e">
        <f t="shared" ref="F111:F113" si="330">D111*E111</f>
        <v>#VALUE!</v>
      </c>
      <c r="G111" s="69" t="e">
        <f t="shared" ref="G111:G113" si="331">C111</f>
        <v>#VALUE!</v>
      </c>
      <c r="H111" s="69" t="e">
        <f t="shared" ref="H111:H113" si="332">F111*G111</f>
        <v>#VALUE!</v>
      </c>
      <c r="I111" s="6" t="s">
        <v>93</v>
      </c>
      <c r="J111" s="70" t="e">
        <f>IF(OR(D111=0,D112=0,D113=0),"#NA",IF(AND(C113-C112=C112-C111,C112&lt;&gt;C113,C111&lt;&gt;C112,C111&lt;&gt;C113,D113&lt;&gt;0,OR(D111&lt;&gt;0,D112&lt;&gt;0)),WLS*(C113-C112),"#NA"))</f>
        <v>#VALUE!</v>
      </c>
      <c r="K111" s="194" t="s">
        <v>168</v>
      </c>
      <c r="L111" s="194" t="s">
        <v>168</v>
      </c>
      <c r="M111" s="194" t="s">
        <v>168</v>
      </c>
      <c r="N111" s="194" t="s">
        <v>168</v>
      </c>
      <c r="O111" s="99">
        <f>O110+1</f>
        <v>14</v>
      </c>
      <c r="P111" s="99" t="str">
        <f t="shared" si="97"/>
        <v xml:space="preserve">  </v>
      </c>
      <c r="Q111" s="68" t="e">
        <f t="shared" ref="Q111" si="333">IF(OR(P113-P112=P112-P111,P114-P112=P112-P111),P111,IF(OR(P113-P112=P112-P110,P114-P112=P112-P110),P110,"-"))</f>
        <v>#VALUE!</v>
      </c>
      <c r="R111" s="69" t="e">
        <f>VLOOKUP(Q111,STN_TABLE,2,FALSE)</f>
        <v>#VALUE!</v>
      </c>
      <c r="S111" s="69">
        <v>5</v>
      </c>
      <c r="T111" s="68" t="e">
        <f t="shared" ref="T111:T113" si="334">R111*S111</f>
        <v>#VALUE!</v>
      </c>
      <c r="U111" s="79">
        <v>3</v>
      </c>
      <c r="V111" s="68" t="e">
        <f t="shared" ref="V111:V113" si="335">R111*U111</f>
        <v>#VALUE!</v>
      </c>
      <c r="W111" s="6" t="s">
        <v>93</v>
      </c>
      <c r="X111" s="70" t="e">
        <f>IF(AND(Q113-Q112=Q112-Q111,NOT(AND(Q111=0,Q112=0)),NOT(AND(Q112=0,Q113=0))),WLS*(Q113-Q112),"#NA")</f>
        <v>#VALUE!</v>
      </c>
      <c r="Y111" s="194" t="s">
        <v>168</v>
      </c>
      <c r="Z111" s="194" t="s">
        <v>168</v>
      </c>
      <c r="AA111" s="194" t="s">
        <v>168</v>
      </c>
      <c r="AB111" s="194" t="s">
        <v>168</v>
      </c>
      <c r="AD111" t="s">
        <v>0</v>
      </c>
      <c r="AE111" t="s">
        <v>95</v>
      </c>
      <c r="AF111" t="s">
        <v>173</v>
      </c>
      <c r="AG111" t="s">
        <v>183</v>
      </c>
      <c r="AH111" t="s">
        <v>175</v>
      </c>
      <c r="AI111" t="s">
        <v>184</v>
      </c>
      <c r="AJ111" s="6" t="s">
        <v>93</v>
      </c>
      <c r="AK111" s="70" t="e">
        <f>WLS*(AD113-AD112)</f>
        <v>#VALUE!</v>
      </c>
      <c r="AL111" s="194" t="s">
        <v>168</v>
      </c>
      <c r="AM111" s="194" t="s">
        <v>168</v>
      </c>
      <c r="AN111" s="194" t="s">
        <v>168</v>
      </c>
      <c r="AO111" s="194" t="s">
        <v>168</v>
      </c>
      <c r="BG111"/>
      <c r="BH111"/>
    </row>
    <row r="112" spans="1:60" x14ac:dyDescent="0.25">
      <c r="A112" s="84">
        <f>A111+1</f>
        <v>13</v>
      </c>
      <c r="B112" s="84" t="str">
        <f>VLOOKUP(A112,STN_TABLE_2,2,FALSE)</f>
        <v xml:space="preserve">  </v>
      </c>
      <c r="C112" s="80" t="e">
        <f t="shared" ref="C112" si="336">IF(OR(B114-B113=B113-B112,B114-B113=B113-B111,B114-B113=B113-B110),B113,IF(OR(B114-B112=B112-B111,B114-B112=B112-B110),B112,IF(B114-B111=B111-B110,B111,"#NA")))</f>
        <v>#VALUE!</v>
      </c>
      <c r="D112" s="76" t="e">
        <f>VLOOKUP(C112,STN_TABLE,2,FALSE)</f>
        <v>#VALUE!</v>
      </c>
      <c r="E112" s="81">
        <v>4</v>
      </c>
      <c r="F112" s="76" t="e">
        <f t="shared" si="330"/>
        <v>#VALUE!</v>
      </c>
      <c r="G112" s="77" t="e">
        <f t="shared" si="331"/>
        <v>#VALUE!</v>
      </c>
      <c r="H112" s="77" t="e">
        <f t="shared" si="332"/>
        <v>#VALUE!</v>
      </c>
      <c r="I112" s="204" t="s">
        <v>171</v>
      </c>
      <c r="J112" s="194" t="s">
        <v>168</v>
      </c>
      <c r="K112" s="78" t="s">
        <v>98</v>
      </c>
      <c r="L112" s="194" t="s">
        <v>168</v>
      </c>
      <c r="M112" s="7" t="s">
        <v>77</v>
      </c>
      <c r="N112" s="194" t="s">
        <v>168</v>
      </c>
      <c r="O112" s="99">
        <f>O111+1</f>
        <v>15</v>
      </c>
      <c r="P112" s="99" t="str">
        <f t="shared" si="97"/>
        <v xml:space="preserve">  </v>
      </c>
      <c r="Q112" s="76" t="str">
        <f t="shared" ref="Q112" si="337">P112</f>
        <v xml:space="preserve">  </v>
      </c>
      <c r="R112" s="77" t="str">
        <f>VLOOKUP(Q112,STN_TABLE,2,FALSE)</f>
        <v xml:space="preserve">  </v>
      </c>
      <c r="S112" s="77">
        <v>8</v>
      </c>
      <c r="T112" s="76" t="e">
        <f t="shared" si="334"/>
        <v>#VALUE!</v>
      </c>
      <c r="U112" s="80">
        <v>10</v>
      </c>
      <c r="V112" s="76" t="e">
        <f t="shared" si="335"/>
        <v>#VALUE!</v>
      </c>
      <c r="W112" s="204" t="s">
        <v>171</v>
      </c>
      <c r="X112" s="194" t="s">
        <v>168</v>
      </c>
      <c r="Y112" s="78" t="s">
        <v>98</v>
      </c>
      <c r="Z112" s="194" t="s">
        <v>168</v>
      </c>
      <c r="AA112" s="7" t="s">
        <v>77</v>
      </c>
      <c r="AB112" s="194" t="s">
        <v>168</v>
      </c>
      <c r="AC112" s="99">
        <f>AC106+1</f>
        <v>14</v>
      </c>
      <c r="AD112" s="95" t="str">
        <f>VLOOKUP(AC112,STN_TABLE_2,2,FALSE)</f>
        <v xml:space="preserve">  </v>
      </c>
      <c r="AE112" t="str">
        <f t="shared" ref="AE112:AE113" si="338">AG112</f>
        <v xml:space="preserve">  </v>
      </c>
      <c r="AF112">
        <v>1</v>
      </c>
      <c r="AG112" s="68" t="str">
        <f>VLOOKUP(AD112,STN_TABLE,2,FALSE)</f>
        <v xml:space="preserve">  </v>
      </c>
      <c r="AH112" s="68">
        <v>1</v>
      </c>
      <c r="AI112" s="69" t="e">
        <f t="shared" ref="AI112:AI113" si="339">AG112*AH112</f>
        <v>#VALUE!</v>
      </c>
      <c r="AJ112" s="204" t="s">
        <v>171</v>
      </c>
      <c r="AK112" s="194" t="s">
        <v>168</v>
      </c>
      <c r="AL112" s="78" t="s">
        <v>98</v>
      </c>
      <c r="AM112" s="194" t="s">
        <v>168</v>
      </c>
      <c r="AN112" s="7" t="s">
        <v>77</v>
      </c>
      <c r="AO112" s="194" t="s">
        <v>168</v>
      </c>
      <c r="AR112" s="86" t="s">
        <v>112</v>
      </c>
      <c r="AS112" s="89" t="s">
        <v>113</v>
      </c>
      <c r="AT112" s="89" t="s">
        <v>114</v>
      </c>
      <c r="AU112" s="89" t="s">
        <v>115</v>
      </c>
      <c r="AV112" s="71" t="e">
        <f t="shared" ref="AV112" si="340">IF(AV113=AR113,AR112,IF(AV113=AS113,AS112,IF(AV113=AT113,AT112,AU112)))</f>
        <v>#VALUE!</v>
      </c>
      <c r="BG112"/>
      <c r="BH112"/>
    </row>
    <row r="113" spans="1:60" x14ac:dyDescent="0.25">
      <c r="A113" s="84">
        <f>A112+1</f>
        <v>14</v>
      </c>
      <c r="B113" s="84" t="str">
        <f>VLOOKUP(A113,STN_TABLE_2,2,FALSE)</f>
        <v xml:space="preserve">  </v>
      </c>
      <c r="C113" s="88" t="str">
        <f t="shared" ref="C113" si="341">B114</f>
        <v xml:space="preserve">  </v>
      </c>
      <c r="D113" s="82" t="str">
        <f>VLOOKUP(C113,STN_TABLE,2,FALSE)</f>
        <v xml:space="preserve">  </v>
      </c>
      <c r="E113" s="92">
        <v>1</v>
      </c>
      <c r="F113" s="82" t="e">
        <f t="shared" si="330"/>
        <v>#VALUE!</v>
      </c>
      <c r="G113" s="83" t="str">
        <f t="shared" si="331"/>
        <v xml:space="preserve">  </v>
      </c>
      <c r="H113" s="83" t="e">
        <f t="shared" si="332"/>
        <v>#VALUE!</v>
      </c>
      <c r="I113" s="84" t="e">
        <f t="shared" ref="I113" si="342">CONCATENATE("a'(",C111,"~",C113,")=")</f>
        <v>#VALUE!</v>
      </c>
      <c r="J113" s="84" t="e">
        <f t="shared" ref="J113" si="343">2*J111/3*F114</f>
        <v>#VALUE!</v>
      </c>
      <c r="K113" s="84" t="e">
        <f t="shared" ref="K113" si="344">CONCATENATE("A(",C111,")=")</f>
        <v>#VALUE!</v>
      </c>
      <c r="L113" s="84" t="e">
        <f>VLOOKUP(C111,STN_TABLE,3,FALSE)</f>
        <v>#VALUE!</v>
      </c>
      <c r="M113" t="str">
        <f t="shared" ref="M113" si="345">CONCATENATE("A(",C113,")=")</f>
        <v>A(  )=</v>
      </c>
      <c r="N113" t="e">
        <f t="shared" ref="N113:N114" si="346">J113+L113</f>
        <v>#VALUE!</v>
      </c>
      <c r="O113" s="99">
        <f>O112+1</f>
        <v>16</v>
      </c>
      <c r="P113" s="99" t="str">
        <f t="shared" si="97"/>
        <v xml:space="preserve">  </v>
      </c>
      <c r="Q113" s="82" t="e">
        <f t="shared" ref="Q113" si="347">IF(P113-P112=P112-P111,P113,IF(P114-P112=P112-P111,P114,IF(P113-P112=P112-P110,P113,IF(P114-P112=P112-P110,P114,"-"))))</f>
        <v>#VALUE!</v>
      </c>
      <c r="R113" s="83" t="e">
        <f>VLOOKUP(Q113,STN_TABLE,2,FALSE)</f>
        <v>#VALUE!</v>
      </c>
      <c r="S113" s="83">
        <v>-1</v>
      </c>
      <c r="T113" s="82" t="e">
        <f t="shared" si="334"/>
        <v>#VALUE!</v>
      </c>
      <c r="U113" s="88">
        <v>-1</v>
      </c>
      <c r="V113" s="82" t="e">
        <f t="shared" si="335"/>
        <v>#VALUE!</v>
      </c>
      <c r="W113" s="84" t="e">
        <f t="shared" ref="W113" si="348">CONCATENATE("a'(",Q111,"~",Q112,")=")</f>
        <v>#VALUE!</v>
      </c>
      <c r="X113" s="84" t="e">
        <f t="shared" ref="X113" si="349">2*X111/12*T114</f>
        <v>#VALUE!</v>
      </c>
      <c r="Y113" s="84" t="e">
        <f t="shared" ref="Y113" si="350">CONCATENATE("A(",Q111,")=")</f>
        <v>#VALUE!</v>
      </c>
      <c r="Z113" s="84" t="e">
        <f>VLOOKUP(Q111,STN_TABLE,3,FALSE)</f>
        <v>#VALUE!</v>
      </c>
      <c r="AA113" t="str">
        <f t="shared" ref="AA113" si="351">CONCATENATE("A(",Q112,")=")</f>
        <v>A(  )=</v>
      </c>
      <c r="AB113" t="e">
        <f t="shared" ref="AB113:AB114" si="352">X113+Z113</f>
        <v>#VALUE!</v>
      </c>
      <c r="AC113" s="99">
        <f>AC112+1</f>
        <v>15</v>
      </c>
      <c r="AD113" s="100" t="str">
        <f>VLOOKUP(AC113,STN_TABLE_2,2,FALSE)</f>
        <v xml:space="preserve">  </v>
      </c>
      <c r="AE113" t="str">
        <f t="shared" si="338"/>
        <v xml:space="preserve">  </v>
      </c>
      <c r="AF113">
        <v>1</v>
      </c>
      <c r="AG113" s="82" t="str">
        <f>VLOOKUP(AD113,STN_TABLE,2,FALSE)</f>
        <v xml:space="preserve">  </v>
      </c>
      <c r="AH113" s="82">
        <v>2</v>
      </c>
      <c r="AI113" s="83" t="e">
        <f t="shared" si="339"/>
        <v>#VALUE!</v>
      </c>
      <c r="AJ113" s="84" t="str">
        <f t="shared" ref="AJ113" si="353">CONCATENATE("a'(",AD113,")=")</f>
        <v>a'(  )=</v>
      </c>
      <c r="AK113" s="84" t="e">
        <f t="shared" ref="AK113" si="354">2*AK111/2*AG114</f>
        <v>#VALUE!</v>
      </c>
      <c r="AL113" s="84" t="str">
        <f t="shared" ref="AL113" si="355">CONCATENATE("A(",AD112,")=")</f>
        <v>A(  )=</v>
      </c>
      <c r="AM113" s="84" t="str">
        <f>VLOOKUP(AD112,STN_TABLE,3,FALSE)</f>
        <v xml:space="preserve"> </v>
      </c>
      <c r="AN113" t="str">
        <f t="shared" ref="AN113" si="356">CONCATENATE("A(",AD113,")=")</f>
        <v>A(  )=</v>
      </c>
      <c r="AO113" t="e">
        <f t="shared" ref="AO113:AO114" si="357">AK113+AM113</f>
        <v>#VALUE!</v>
      </c>
      <c r="AQ113" s="68" t="str">
        <f>AA113</f>
        <v>A(  )=</v>
      </c>
      <c r="AR113" s="68" t="str">
        <f>IFERROR(VLOOKUP(AQ113,Rise_Results,2,FALSE),"-")</f>
        <v>-</v>
      </c>
      <c r="AS113" s="76" t="str">
        <f>IFERROR(N113,"-")</f>
        <v>-</v>
      </c>
      <c r="AT113" s="76" t="str">
        <f>IFERROR(IF(OR(AB113&lt;=0,AB114&lt;=0),1/0,AB113),"-")</f>
        <v>-</v>
      </c>
      <c r="AU113" s="76" t="e">
        <f t="shared" ref="AU113:AU114" si="358">AO113</f>
        <v>#VALUE!</v>
      </c>
      <c r="AV113" t="e">
        <f t="shared" ref="AV113:AV114" si="359">IF(ISNUMBER(AR113),AR113,IF(ISNUMBER(AS113),AS113,IF(ISNUMBER(AT113),AT113,AU113)))</f>
        <v>#VALUE!</v>
      </c>
      <c r="BG113"/>
      <c r="BH113"/>
    </row>
    <row r="114" spans="1:60" x14ac:dyDescent="0.25">
      <c r="A114" s="84">
        <f>A113+1</f>
        <v>15</v>
      </c>
      <c r="B114" s="84" t="str">
        <f>VLOOKUP(A114,STN_TABLE_2,2,FALSE)</f>
        <v xml:space="preserve">  </v>
      </c>
      <c r="C114" s="194" t="s">
        <v>168</v>
      </c>
      <c r="D114" s="194" t="s">
        <v>168</v>
      </c>
      <c r="E114" s="6" t="s">
        <v>172</v>
      </c>
      <c r="F114" s="89" t="e">
        <f t="shared" ref="F114" si="360">SUM(F111:F113)</f>
        <v>#VALUE!</v>
      </c>
      <c r="G114" s="6" t="s">
        <v>172</v>
      </c>
      <c r="H114" s="82" t="e">
        <f t="shared" ref="H114" si="361">SUM(H111:H113)</f>
        <v>#VALUE!</v>
      </c>
      <c r="I114" s="84" t="e">
        <f t="shared" ref="I114" si="362">CONCATENATE("m'(",C111,"~",C113,")=")</f>
        <v>#VALUE!</v>
      </c>
      <c r="J114" s="84" t="e">
        <f>2*(J111*(WLS))/3*H114</f>
        <v>#VALUE!</v>
      </c>
      <c r="K114" s="84" t="e">
        <f t="shared" ref="K114" si="363">CONCATENATE("M(",C111,")=")</f>
        <v>#VALUE!</v>
      </c>
      <c r="L114" s="84" t="e">
        <f>VLOOKUP(C111,STN_TABLE,4,FALSE)</f>
        <v>#VALUE!</v>
      </c>
      <c r="M114" t="str">
        <f t="shared" ref="M114" si="364">CONCATENATE("M(",C113,")=")</f>
        <v>M(  )=</v>
      </c>
      <c r="N114" t="e">
        <f t="shared" si="346"/>
        <v>#VALUE!</v>
      </c>
      <c r="O114" s="99">
        <f>O113+1</f>
        <v>17</v>
      </c>
      <c r="P114" s="99" t="str">
        <f t="shared" ref="P114:P150" si="365">VLOOKUP(O114,STN_TABLE_2,2,FALSE)</f>
        <v xml:space="preserve">  </v>
      </c>
      <c r="Q114" s="194" t="s">
        <v>168</v>
      </c>
      <c r="R114" s="194" t="s">
        <v>168</v>
      </c>
      <c r="S114" s="6" t="s">
        <v>172</v>
      </c>
      <c r="T114" s="89" t="e">
        <f t="shared" si="146"/>
        <v>#VALUE!</v>
      </c>
      <c r="U114" s="6" t="s">
        <v>172</v>
      </c>
      <c r="V114" s="82" t="e">
        <f t="shared" si="147"/>
        <v>#VALUE!</v>
      </c>
      <c r="W114" s="84" t="e">
        <f t="shared" ref="W114" si="366">CONCATENATE("m'(",Q111,"~",Q112,")=")</f>
        <v>#VALUE!</v>
      </c>
      <c r="X114" s="84" t="e">
        <f>(2*(X111^2)/24*V114)+(X113*Q111*WLS)</f>
        <v>#VALUE!</v>
      </c>
      <c r="Y114" s="84" t="e">
        <f t="shared" ref="Y114" si="367">CONCATENATE("M(",Q111,")=")</f>
        <v>#VALUE!</v>
      </c>
      <c r="Z114" s="84" t="e">
        <f>VLOOKUP(Q111,STN_TABLE,4,FALSE)</f>
        <v>#VALUE!</v>
      </c>
      <c r="AA114" t="str">
        <f t="shared" ref="AA114" si="368">CONCATENATE("M(",Q112,")=")</f>
        <v>M(  )=</v>
      </c>
      <c r="AB114" t="e">
        <f t="shared" si="352"/>
        <v>#VALUE!</v>
      </c>
      <c r="AD114" s="194" t="s">
        <v>168</v>
      </c>
      <c r="AE114" s="194" t="s">
        <v>168</v>
      </c>
      <c r="AF114" s="6" t="s">
        <v>172</v>
      </c>
      <c r="AG114" s="89">
        <f t="shared" si="151"/>
        <v>0</v>
      </c>
      <c r="AH114" s="6" t="s">
        <v>172</v>
      </c>
      <c r="AI114" s="89" t="e">
        <f t="shared" si="152"/>
        <v>#VALUE!</v>
      </c>
      <c r="AJ114" s="84" t="str">
        <f t="shared" ref="AJ114" si="369">CONCATENATE("m'(",AD113,")=")</f>
        <v>m'(  )=</v>
      </c>
      <c r="AK114" s="84" t="e">
        <f>(2*(AK111^2)/6*AI114)+(AK113*AD112*WLS)</f>
        <v>#VALUE!</v>
      </c>
      <c r="AL114" s="84" t="str">
        <f t="shared" ref="AL114" si="370">CONCATENATE("M(",AD112,")=")</f>
        <v>M(  )=</v>
      </c>
      <c r="AM114" s="84" t="str">
        <f>VLOOKUP(AD112,STN_TABLE,4,FALSE)</f>
        <v xml:space="preserve"> </v>
      </c>
      <c r="AN114" t="str">
        <f t="shared" ref="AN114" si="371">CONCATENATE("M(",AD113,")=")</f>
        <v>M(  )=</v>
      </c>
      <c r="AO114" t="e">
        <f t="shared" si="357"/>
        <v>#VALUE!</v>
      </c>
      <c r="AQ114" s="82" t="str">
        <f>AA114</f>
        <v>M(  )=</v>
      </c>
      <c r="AR114" s="82" t="str">
        <f>IFERROR(VLOOKUP(AQ114,Rise_Results,2,FALSE),"-")</f>
        <v>-</v>
      </c>
      <c r="AS114" s="82" t="str">
        <f>IFERROR(N114,"-")</f>
        <v>-</v>
      </c>
      <c r="AT114" s="82" t="str">
        <f>IFERROR(IF(OR(AB113&lt;=0,AB114&lt;=0),1/0,AB114),"-")</f>
        <v>-</v>
      </c>
      <c r="AU114" s="82" t="e">
        <f t="shared" si="358"/>
        <v>#VALUE!</v>
      </c>
      <c r="AV114" t="e">
        <f t="shared" si="359"/>
        <v>#VALUE!</v>
      </c>
      <c r="BG114"/>
      <c r="BH114"/>
    </row>
    <row r="115" spans="1:60" x14ac:dyDescent="0.25">
      <c r="A115" s="84"/>
      <c r="B115" s="84"/>
      <c r="F115" s="81"/>
      <c r="H115" s="81"/>
      <c r="I115" s="84"/>
      <c r="J115" s="84"/>
      <c r="K115" s="84"/>
      <c r="L115" s="84"/>
      <c r="O115" s="99"/>
      <c r="P115" s="99"/>
      <c r="T115" s="81"/>
      <c r="V115" s="81"/>
      <c r="W115" s="84"/>
      <c r="X115" s="84"/>
      <c r="Y115" s="84"/>
      <c r="Z115" s="84"/>
      <c r="AD115" s="194" t="s">
        <v>168</v>
      </c>
      <c r="AE115" s="194" t="s">
        <v>168</v>
      </c>
      <c r="AF115" s="194" t="s">
        <v>168</v>
      </c>
      <c r="AG115" s="194" t="s">
        <v>168</v>
      </c>
      <c r="AH115" s="194" t="s">
        <v>168</v>
      </c>
      <c r="AI115" s="194" t="s">
        <v>168</v>
      </c>
      <c r="AJ115" s="194" t="s">
        <v>168</v>
      </c>
      <c r="AK115" s="194" t="s">
        <v>168</v>
      </c>
      <c r="AL115" s="194" t="s">
        <v>168</v>
      </c>
      <c r="AM115" s="194" t="s">
        <v>168</v>
      </c>
      <c r="AN115" s="194" t="s">
        <v>168</v>
      </c>
      <c r="AO115" s="194" t="s">
        <v>168</v>
      </c>
      <c r="AQ115" s="81"/>
      <c r="AR115" s="81"/>
      <c r="AS115" s="81"/>
      <c r="AT115" s="81"/>
      <c r="AU115" s="81"/>
      <c r="BG115"/>
      <c r="BH115"/>
    </row>
    <row r="116" spans="1:60" ht="18" x14ac:dyDescent="0.35">
      <c r="A116" s="101">
        <f>A110+1</f>
        <v>12</v>
      </c>
      <c r="B116" s="101">
        <f>VLOOKUP(A116,STN_TABLE_2,2,FALSE)</f>
        <v>6.5</v>
      </c>
      <c r="C116" t="s">
        <v>0</v>
      </c>
      <c r="D116" t="s">
        <v>95</v>
      </c>
      <c r="E116" t="s">
        <v>164</v>
      </c>
      <c r="F116" t="s">
        <v>165</v>
      </c>
      <c r="G116" t="s">
        <v>13</v>
      </c>
      <c r="H116" t="s">
        <v>169</v>
      </c>
      <c r="I116" s="194" t="s">
        <v>168</v>
      </c>
      <c r="J116" s="194" t="s">
        <v>168</v>
      </c>
      <c r="K116" s="194" t="s">
        <v>168</v>
      </c>
      <c r="L116" s="194" t="s">
        <v>168</v>
      </c>
      <c r="M116" s="194" t="s">
        <v>168</v>
      </c>
      <c r="N116" s="194" t="s">
        <v>168</v>
      </c>
      <c r="O116" s="101">
        <f>O110+1</f>
        <v>14</v>
      </c>
      <c r="P116" s="101" t="str">
        <f t="shared" ref="P116" si="372">VLOOKUP(O116,STN_TABLE_2,2,FALSE)</f>
        <v xml:space="preserve">  </v>
      </c>
      <c r="Q116" t="s">
        <v>0</v>
      </c>
      <c r="R116" t="s">
        <v>95</v>
      </c>
      <c r="S116" t="s">
        <v>164</v>
      </c>
      <c r="T116" t="s">
        <v>165</v>
      </c>
      <c r="U116" t="s">
        <v>166</v>
      </c>
      <c r="V116" t="s">
        <v>167</v>
      </c>
      <c r="W116" s="194" t="s">
        <v>168</v>
      </c>
      <c r="X116" s="194" t="s">
        <v>168</v>
      </c>
      <c r="Y116" s="194" t="s">
        <v>168</v>
      </c>
      <c r="Z116" s="194" t="s">
        <v>168</v>
      </c>
      <c r="AA116" s="194" t="s">
        <v>168</v>
      </c>
      <c r="AB116" s="194" t="s">
        <v>168</v>
      </c>
      <c r="BG116"/>
      <c r="BH116"/>
    </row>
    <row r="117" spans="1:60" ht="18" x14ac:dyDescent="0.35">
      <c r="A117" s="84">
        <f>A116+1</f>
        <v>13</v>
      </c>
      <c r="B117" s="84" t="str">
        <f>VLOOKUP(A117,STN_TABLE_2,2,FALSE)</f>
        <v xml:space="preserve">  </v>
      </c>
      <c r="C117" s="79" t="e">
        <f t="shared" ref="C117" si="373">IF(C118=B119,IF(C119-C118=C118-B118,B118,IF(C119-C118=C118-B117,B117,"#NA")),IF(C118=B118,IF(C119-C118=C118-B117,B117,IF(C119-C118=C118-B116,B116,"#NA")),"#NA"))</f>
        <v>#VALUE!</v>
      </c>
      <c r="D117" s="68" t="e">
        <f>VLOOKUP(C117,STN_TABLE,2,FALSE)</f>
        <v>#VALUE!</v>
      </c>
      <c r="E117" s="102">
        <v>1</v>
      </c>
      <c r="F117" s="68" t="e">
        <f t="shared" ref="F117:F119" si="374">D117*E117</f>
        <v>#VALUE!</v>
      </c>
      <c r="G117" s="69" t="e">
        <f t="shared" ref="G117:G119" si="375">C117</f>
        <v>#VALUE!</v>
      </c>
      <c r="H117" s="69" t="e">
        <f t="shared" ref="H117:H119" si="376">F117*G117</f>
        <v>#VALUE!</v>
      </c>
      <c r="I117" s="6" t="s">
        <v>93</v>
      </c>
      <c r="J117" s="70" t="e">
        <f>IF(OR(D117=0,D118=0,D119=0),"#NA",IF(AND(C119-C118=C118-C117,C118&lt;&gt;C119,C117&lt;&gt;C118,C117&lt;&gt;C119,D119&lt;&gt;0,OR(D117&lt;&gt;0,D118&lt;&gt;0)),WLS*(C119-C118),"#NA"))</f>
        <v>#VALUE!</v>
      </c>
      <c r="K117" s="194" t="s">
        <v>168</v>
      </c>
      <c r="L117" s="194" t="s">
        <v>168</v>
      </c>
      <c r="M117" s="194" t="s">
        <v>168</v>
      </c>
      <c r="N117" s="194" t="s">
        <v>168</v>
      </c>
      <c r="O117" s="99">
        <f>O116+1</f>
        <v>15</v>
      </c>
      <c r="P117" s="99" t="str">
        <f t="shared" si="365"/>
        <v xml:space="preserve">  </v>
      </c>
      <c r="Q117" s="68" t="e">
        <f t="shared" ref="Q117" si="377">IF(OR(P119-P118=P118-P117,P120-P118=P118-P117),P117,IF(OR(P119-P118=P118-P116,P120-P118=P118-P116),P116,"-"))</f>
        <v>#VALUE!</v>
      </c>
      <c r="R117" s="69" t="e">
        <f>VLOOKUP(Q117,STN_TABLE,2,FALSE)</f>
        <v>#VALUE!</v>
      </c>
      <c r="S117" s="69">
        <v>5</v>
      </c>
      <c r="T117" s="68" t="e">
        <f t="shared" ref="T117:T119" si="378">R117*S117</f>
        <v>#VALUE!</v>
      </c>
      <c r="U117" s="79">
        <v>3</v>
      </c>
      <c r="V117" s="68" t="e">
        <f t="shared" ref="V117:V119" si="379">R117*U117</f>
        <v>#VALUE!</v>
      </c>
      <c r="W117" s="6" t="s">
        <v>93</v>
      </c>
      <c r="X117" s="70" t="e">
        <f>IF(AND(Q119-Q118=Q118-Q117,NOT(AND(Q117=0,Q118=0)),NOT(AND(Q118=0,Q119=0))),WLS*(Q119-Q118),"#NA")</f>
        <v>#VALUE!</v>
      </c>
      <c r="Y117" s="194" t="s">
        <v>168</v>
      </c>
      <c r="Z117" s="194" t="s">
        <v>168</v>
      </c>
      <c r="AA117" s="194" t="s">
        <v>168</v>
      </c>
      <c r="AB117" s="194" t="s">
        <v>168</v>
      </c>
      <c r="AD117" t="s">
        <v>0</v>
      </c>
      <c r="AE117" t="s">
        <v>95</v>
      </c>
      <c r="AF117" t="s">
        <v>173</v>
      </c>
      <c r="AG117" t="s">
        <v>183</v>
      </c>
      <c r="AH117" t="s">
        <v>175</v>
      </c>
      <c r="AI117" t="s">
        <v>184</v>
      </c>
      <c r="AJ117" s="6" t="s">
        <v>93</v>
      </c>
      <c r="AK117" s="70" t="e">
        <f>WLS*(AD119-AD118)</f>
        <v>#VALUE!</v>
      </c>
      <c r="AL117" s="194" t="s">
        <v>168</v>
      </c>
      <c r="AM117" s="194" t="s">
        <v>168</v>
      </c>
      <c r="AN117" s="194" t="s">
        <v>168</v>
      </c>
      <c r="AO117" s="194" t="s">
        <v>168</v>
      </c>
      <c r="BG117"/>
      <c r="BH117"/>
    </row>
    <row r="118" spans="1:60" x14ac:dyDescent="0.25">
      <c r="A118" s="84">
        <f>A117+1</f>
        <v>14</v>
      </c>
      <c r="B118" s="84" t="str">
        <f>VLOOKUP(A118,STN_TABLE_2,2,FALSE)</f>
        <v xml:space="preserve">  </v>
      </c>
      <c r="C118" s="80" t="e">
        <f t="shared" ref="C118" si="380">IF(OR(B120-B119=B119-B118,B120-B119=B119-B117,B120-B119=B119-B116),B119,IF(OR(B120-B118=B118-B117,B120-B118=B118-B116),B118,IF(B120-B117=B117-B116,B117,"#NA")))</f>
        <v>#VALUE!</v>
      </c>
      <c r="D118" s="76" t="e">
        <f>VLOOKUP(C118,STN_TABLE,2,FALSE)</f>
        <v>#VALUE!</v>
      </c>
      <c r="E118" s="81">
        <v>4</v>
      </c>
      <c r="F118" s="76" t="e">
        <f t="shared" si="374"/>
        <v>#VALUE!</v>
      </c>
      <c r="G118" s="77" t="e">
        <f t="shared" si="375"/>
        <v>#VALUE!</v>
      </c>
      <c r="H118" s="77" t="e">
        <f t="shared" si="376"/>
        <v>#VALUE!</v>
      </c>
      <c r="I118" s="204" t="s">
        <v>171</v>
      </c>
      <c r="J118" s="194" t="s">
        <v>168</v>
      </c>
      <c r="K118" s="78" t="s">
        <v>98</v>
      </c>
      <c r="L118" s="194" t="s">
        <v>168</v>
      </c>
      <c r="M118" s="7" t="s">
        <v>77</v>
      </c>
      <c r="N118" s="194" t="s">
        <v>168</v>
      </c>
      <c r="O118" s="99">
        <f>O117+1</f>
        <v>16</v>
      </c>
      <c r="P118" s="99" t="str">
        <f t="shared" si="365"/>
        <v xml:space="preserve">  </v>
      </c>
      <c r="Q118" s="76" t="str">
        <f t="shared" ref="Q118" si="381">P118</f>
        <v xml:space="preserve">  </v>
      </c>
      <c r="R118" s="77" t="str">
        <f>VLOOKUP(Q118,STN_TABLE,2,FALSE)</f>
        <v xml:space="preserve">  </v>
      </c>
      <c r="S118" s="77">
        <v>8</v>
      </c>
      <c r="T118" s="76" t="e">
        <f t="shared" si="378"/>
        <v>#VALUE!</v>
      </c>
      <c r="U118" s="80">
        <v>10</v>
      </c>
      <c r="V118" s="76" t="e">
        <f t="shared" si="379"/>
        <v>#VALUE!</v>
      </c>
      <c r="W118" s="204" t="s">
        <v>171</v>
      </c>
      <c r="X118" s="194" t="s">
        <v>168</v>
      </c>
      <c r="Y118" s="78" t="s">
        <v>98</v>
      </c>
      <c r="Z118" s="194" t="s">
        <v>168</v>
      </c>
      <c r="AA118" s="7" t="s">
        <v>77</v>
      </c>
      <c r="AB118" s="194" t="s">
        <v>168</v>
      </c>
      <c r="AC118" s="99">
        <f>AC112+1</f>
        <v>15</v>
      </c>
      <c r="AD118" s="95" t="str">
        <f>VLOOKUP(AC118,STN_TABLE_2,2,FALSE)</f>
        <v xml:space="preserve">  </v>
      </c>
      <c r="AE118" t="str">
        <f t="shared" ref="AE118:AE119" si="382">AG118</f>
        <v xml:space="preserve">  </v>
      </c>
      <c r="AF118">
        <v>1</v>
      </c>
      <c r="AG118" s="68" t="str">
        <f>VLOOKUP(AD118,STN_TABLE,2,FALSE)</f>
        <v xml:space="preserve">  </v>
      </c>
      <c r="AH118" s="68">
        <v>1</v>
      </c>
      <c r="AI118" s="69" t="e">
        <f t="shared" ref="AI118:AI119" si="383">AG118*AH118</f>
        <v>#VALUE!</v>
      </c>
      <c r="AJ118" s="204" t="s">
        <v>171</v>
      </c>
      <c r="AK118" s="194" t="s">
        <v>168</v>
      </c>
      <c r="AL118" s="78" t="s">
        <v>98</v>
      </c>
      <c r="AM118" s="194" t="s">
        <v>168</v>
      </c>
      <c r="AN118" s="7" t="s">
        <v>77</v>
      </c>
      <c r="AO118" s="194" t="s">
        <v>168</v>
      </c>
      <c r="AR118" s="86" t="s">
        <v>112</v>
      </c>
      <c r="AS118" s="89" t="s">
        <v>113</v>
      </c>
      <c r="AT118" s="89" t="s">
        <v>114</v>
      </c>
      <c r="AU118" s="89" t="s">
        <v>115</v>
      </c>
      <c r="AV118" s="71" t="e">
        <f t="shared" ref="AV118" si="384">IF(AV119=AR119,AR118,IF(AV119=AS119,AS118,IF(AV119=AT119,AT118,AU118)))</f>
        <v>#VALUE!</v>
      </c>
      <c r="BG118"/>
      <c r="BH118"/>
    </row>
    <row r="119" spans="1:60" x14ac:dyDescent="0.25">
      <c r="A119" s="84">
        <f>A118+1</f>
        <v>15</v>
      </c>
      <c r="B119" s="84" t="str">
        <f>VLOOKUP(A119,STN_TABLE_2,2,FALSE)</f>
        <v xml:space="preserve">  </v>
      </c>
      <c r="C119" s="88" t="str">
        <f t="shared" ref="C119" si="385">B120</f>
        <v xml:space="preserve">  </v>
      </c>
      <c r="D119" s="82" t="str">
        <f>VLOOKUP(C119,STN_TABLE,2,FALSE)</f>
        <v xml:space="preserve">  </v>
      </c>
      <c r="E119" s="92">
        <v>1</v>
      </c>
      <c r="F119" s="82" t="e">
        <f t="shared" si="374"/>
        <v>#VALUE!</v>
      </c>
      <c r="G119" s="83" t="str">
        <f t="shared" si="375"/>
        <v xml:space="preserve">  </v>
      </c>
      <c r="H119" s="83" t="e">
        <f t="shared" si="376"/>
        <v>#VALUE!</v>
      </c>
      <c r="I119" s="84" t="e">
        <f t="shared" ref="I119" si="386">CONCATENATE("a'(",C117,"~",C119,")=")</f>
        <v>#VALUE!</v>
      </c>
      <c r="J119" s="84" t="e">
        <f t="shared" ref="J119" si="387">2*J117/3*F120</f>
        <v>#VALUE!</v>
      </c>
      <c r="K119" s="84" t="e">
        <f t="shared" ref="K119" si="388">CONCATENATE("A(",C117,")=")</f>
        <v>#VALUE!</v>
      </c>
      <c r="L119" s="84" t="e">
        <f>VLOOKUP(C117,STN_TABLE,3,FALSE)</f>
        <v>#VALUE!</v>
      </c>
      <c r="M119" t="str">
        <f t="shared" ref="M119" si="389">CONCATENATE("A(",C119,")=")</f>
        <v>A(  )=</v>
      </c>
      <c r="N119" t="e">
        <f t="shared" ref="N119:N120" si="390">J119+L119</f>
        <v>#VALUE!</v>
      </c>
      <c r="O119" s="99">
        <f>O118+1</f>
        <v>17</v>
      </c>
      <c r="P119" s="99" t="str">
        <f t="shared" si="365"/>
        <v xml:space="preserve">  </v>
      </c>
      <c r="Q119" s="82" t="e">
        <f t="shared" ref="Q119" si="391">IF(P119-P118=P118-P117,P119,IF(P120-P118=P118-P117,P120,IF(P119-P118=P118-P116,P119,IF(P120-P118=P118-P116,P120,"-"))))</f>
        <v>#VALUE!</v>
      </c>
      <c r="R119" s="83" t="e">
        <f>VLOOKUP(Q119,STN_TABLE,2,FALSE)</f>
        <v>#VALUE!</v>
      </c>
      <c r="S119" s="83">
        <v>-1</v>
      </c>
      <c r="T119" s="82" t="e">
        <f t="shared" si="378"/>
        <v>#VALUE!</v>
      </c>
      <c r="U119" s="88">
        <v>-1</v>
      </c>
      <c r="V119" s="82" t="e">
        <f t="shared" si="379"/>
        <v>#VALUE!</v>
      </c>
      <c r="W119" s="84" t="e">
        <f t="shared" ref="W119" si="392">CONCATENATE("a'(",Q117,"~",Q118,")=")</f>
        <v>#VALUE!</v>
      </c>
      <c r="X119" s="84" t="e">
        <f t="shared" ref="X119" si="393">2*X117/12*T120</f>
        <v>#VALUE!</v>
      </c>
      <c r="Y119" s="84" t="e">
        <f t="shared" ref="Y119" si="394">CONCATENATE("A(",Q117,")=")</f>
        <v>#VALUE!</v>
      </c>
      <c r="Z119" s="84" t="e">
        <f>VLOOKUP(Q117,STN_TABLE,3,FALSE)</f>
        <v>#VALUE!</v>
      </c>
      <c r="AA119" t="str">
        <f t="shared" ref="AA119" si="395">CONCATENATE("A(",Q118,")=")</f>
        <v>A(  )=</v>
      </c>
      <c r="AB119" t="e">
        <f t="shared" ref="AB119:AB120" si="396">X119+Z119</f>
        <v>#VALUE!</v>
      </c>
      <c r="AC119" s="99">
        <f>AC118+1</f>
        <v>16</v>
      </c>
      <c r="AD119" s="100" t="str">
        <f>VLOOKUP(AC119,STN_TABLE_2,2,FALSE)</f>
        <v xml:space="preserve">  </v>
      </c>
      <c r="AE119" t="str">
        <f t="shared" si="382"/>
        <v xml:space="preserve">  </v>
      </c>
      <c r="AF119">
        <v>1</v>
      </c>
      <c r="AG119" s="82" t="str">
        <f>VLOOKUP(AD119,STN_TABLE,2,FALSE)</f>
        <v xml:space="preserve">  </v>
      </c>
      <c r="AH119" s="82">
        <v>2</v>
      </c>
      <c r="AI119" s="83" t="e">
        <f t="shared" si="383"/>
        <v>#VALUE!</v>
      </c>
      <c r="AJ119" s="84" t="str">
        <f t="shared" ref="AJ119" si="397">CONCATENATE("a'(",AD119,")=")</f>
        <v>a'(  )=</v>
      </c>
      <c r="AK119" s="84" t="e">
        <f t="shared" ref="AK119" si="398">2*AK117/2*AG120</f>
        <v>#VALUE!</v>
      </c>
      <c r="AL119" s="84" t="str">
        <f t="shared" ref="AL119" si="399">CONCATENATE("A(",AD118,")=")</f>
        <v>A(  )=</v>
      </c>
      <c r="AM119" s="84" t="str">
        <f>VLOOKUP(AD118,STN_TABLE,3,FALSE)</f>
        <v xml:space="preserve"> </v>
      </c>
      <c r="AN119" t="str">
        <f t="shared" ref="AN119" si="400">CONCATENATE("A(",AD119,")=")</f>
        <v>A(  )=</v>
      </c>
      <c r="AO119" t="e">
        <f t="shared" ref="AO119:AO120" si="401">AK119+AM119</f>
        <v>#VALUE!</v>
      </c>
      <c r="AQ119" s="68" t="str">
        <f>AA119</f>
        <v>A(  )=</v>
      </c>
      <c r="AR119" s="68" t="str">
        <f>IFERROR(VLOOKUP(AQ119,Rise_Results,2,FALSE),"-")</f>
        <v>-</v>
      </c>
      <c r="AS119" s="76" t="str">
        <f>IFERROR(N119,"-")</f>
        <v>-</v>
      </c>
      <c r="AT119" s="76" t="str">
        <f>IFERROR(IF(OR(AB119&lt;=0,AB120&lt;=0),1/0,AB119),"-")</f>
        <v>-</v>
      </c>
      <c r="AU119" s="76" t="e">
        <f t="shared" ref="AU119:AU120" si="402">AO119</f>
        <v>#VALUE!</v>
      </c>
      <c r="AV119" t="e">
        <f t="shared" ref="AV119:AV120" si="403">IF(ISNUMBER(AR119),AR119,IF(ISNUMBER(AS119),AS119,IF(ISNUMBER(AT119),AT119,AU119)))</f>
        <v>#VALUE!</v>
      </c>
      <c r="BG119"/>
      <c r="BH119"/>
    </row>
    <row r="120" spans="1:60" x14ac:dyDescent="0.25">
      <c r="A120" s="84">
        <f>A119+1</f>
        <v>16</v>
      </c>
      <c r="B120" s="84" t="str">
        <f>VLOOKUP(A120,STN_TABLE_2,2,FALSE)</f>
        <v xml:space="preserve">  </v>
      </c>
      <c r="C120" s="194" t="s">
        <v>168</v>
      </c>
      <c r="D120" s="194" t="s">
        <v>168</v>
      </c>
      <c r="E120" s="6" t="s">
        <v>172</v>
      </c>
      <c r="F120" s="89" t="e">
        <f t="shared" ref="F120" si="404">SUM(F117:F119)</f>
        <v>#VALUE!</v>
      </c>
      <c r="G120" s="6" t="s">
        <v>172</v>
      </c>
      <c r="H120" s="82" t="e">
        <f t="shared" ref="H120" si="405">SUM(H117:H119)</f>
        <v>#VALUE!</v>
      </c>
      <c r="I120" s="84" t="e">
        <f t="shared" ref="I120" si="406">CONCATENATE("m'(",C117,"~",C119,")=")</f>
        <v>#VALUE!</v>
      </c>
      <c r="J120" s="84" t="e">
        <f>2*(J117*(WLS))/3*H120</f>
        <v>#VALUE!</v>
      </c>
      <c r="K120" s="84" t="e">
        <f t="shared" ref="K120" si="407">CONCATENATE("M(",C117,")=")</f>
        <v>#VALUE!</v>
      </c>
      <c r="L120" s="84" t="e">
        <f>VLOOKUP(C117,STN_TABLE,4,FALSE)</f>
        <v>#VALUE!</v>
      </c>
      <c r="M120" t="str">
        <f t="shared" ref="M120" si="408">CONCATENATE("M(",C119,")=")</f>
        <v>M(  )=</v>
      </c>
      <c r="N120" t="e">
        <f t="shared" si="390"/>
        <v>#VALUE!</v>
      </c>
      <c r="O120" s="99">
        <f>O119+1</f>
        <v>18</v>
      </c>
      <c r="P120" s="99" t="str">
        <f t="shared" si="365"/>
        <v xml:space="preserve">  </v>
      </c>
      <c r="Q120" s="194" t="s">
        <v>168</v>
      </c>
      <c r="R120" s="194" t="s">
        <v>168</v>
      </c>
      <c r="S120" s="6" t="s">
        <v>172</v>
      </c>
      <c r="T120" s="89" t="e">
        <f t="shared" si="146"/>
        <v>#VALUE!</v>
      </c>
      <c r="U120" s="6" t="s">
        <v>172</v>
      </c>
      <c r="V120" s="82" t="e">
        <f t="shared" si="147"/>
        <v>#VALUE!</v>
      </c>
      <c r="W120" s="84" t="e">
        <f t="shared" ref="W120" si="409">CONCATENATE("m'(",Q117,"~",Q118,")=")</f>
        <v>#VALUE!</v>
      </c>
      <c r="X120" s="84" t="e">
        <f>(2*(X117^2)/24*V120)+(X119*Q117*WLS)</f>
        <v>#VALUE!</v>
      </c>
      <c r="Y120" s="84" t="e">
        <f t="shared" ref="Y120" si="410">CONCATENATE("M(",Q117,")=")</f>
        <v>#VALUE!</v>
      </c>
      <c r="Z120" s="84" t="e">
        <f>VLOOKUP(Q117,STN_TABLE,4,FALSE)</f>
        <v>#VALUE!</v>
      </c>
      <c r="AA120" t="str">
        <f t="shared" ref="AA120" si="411">CONCATENATE("M(",Q118,")=")</f>
        <v>M(  )=</v>
      </c>
      <c r="AB120" t="e">
        <f t="shared" si="396"/>
        <v>#VALUE!</v>
      </c>
      <c r="AD120" s="194" t="s">
        <v>168</v>
      </c>
      <c r="AE120" s="194" t="s">
        <v>168</v>
      </c>
      <c r="AF120" s="6" t="s">
        <v>172</v>
      </c>
      <c r="AG120" s="89">
        <f t="shared" si="151"/>
        <v>0</v>
      </c>
      <c r="AH120" s="6" t="s">
        <v>172</v>
      </c>
      <c r="AI120" s="89" t="e">
        <f t="shared" si="152"/>
        <v>#VALUE!</v>
      </c>
      <c r="AJ120" s="84" t="str">
        <f t="shared" ref="AJ120" si="412">CONCATENATE("m'(",AD119,")=")</f>
        <v>m'(  )=</v>
      </c>
      <c r="AK120" s="84" t="e">
        <f>(2*(AK117^2)/6*AI120)+(AK119*AD118*WLS)</f>
        <v>#VALUE!</v>
      </c>
      <c r="AL120" s="84" t="str">
        <f t="shared" ref="AL120" si="413">CONCATENATE("M(",AD118,")=")</f>
        <v>M(  )=</v>
      </c>
      <c r="AM120" s="84" t="str">
        <f>VLOOKUP(AD118,STN_TABLE,4,FALSE)</f>
        <v xml:space="preserve"> </v>
      </c>
      <c r="AN120" t="str">
        <f t="shared" ref="AN120" si="414">CONCATENATE("M(",AD119,")=")</f>
        <v>M(  )=</v>
      </c>
      <c r="AO120" t="e">
        <f t="shared" si="401"/>
        <v>#VALUE!</v>
      </c>
      <c r="AQ120" s="82" t="str">
        <f>AA120</f>
        <v>M(  )=</v>
      </c>
      <c r="AR120" s="82" t="str">
        <f>IFERROR(VLOOKUP(AQ120,Rise_Results,2,FALSE),"-")</f>
        <v>-</v>
      </c>
      <c r="AS120" s="82" t="str">
        <f>IFERROR(N120,"-")</f>
        <v>-</v>
      </c>
      <c r="AT120" s="82" t="str">
        <f>IFERROR(IF(OR(AB119&lt;=0,AB120&lt;=0),1/0,AB120),"-")</f>
        <v>-</v>
      </c>
      <c r="AU120" s="82" t="e">
        <f t="shared" si="402"/>
        <v>#VALUE!</v>
      </c>
      <c r="AV120" t="e">
        <f t="shared" si="403"/>
        <v>#VALUE!</v>
      </c>
      <c r="BG120"/>
      <c r="BH120"/>
    </row>
    <row r="121" spans="1:60" x14ac:dyDescent="0.25">
      <c r="A121" s="84"/>
      <c r="B121" s="84"/>
      <c r="F121" s="81"/>
      <c r="H121" s="81"/>
      <c r="I121" s="84"/>
      <c r="J121" s="84"/>
      <c r="K121" s="84"/>
      <c r="L121" s="84"/>
      <c r="O121" s="99"/>
      <c r="P121" s="99"/>
      <c r="T121" s="81"/>
      <c r="V121" s="81"/>
      <c r="W121" s="84"/>
      <c r="X121" s="84"/>
      <c r="Y121" s="84"/>
      <c r="Z121" s="84"/>
      <c r="AD121" s="194" t="s">
        <v>168</v>
      </c>
      <c r="AE121" s="194" t="s">
        <v>168</v>
      </c>
      <c r="AF121" s="194" t="s">
        <v>168</v>
      </c>
      <c r="AG121" s="194" t="s">
        <v>168</v>
      </c>
      <c r="AH121" s="194" t="s">
        <v>168</v>
      </c>
      <c r="AI121" s="194" t="s">
        <v>168</v>
      </c>
      <c r="AJ121" s="194" t="s">
        <v>168</v>
      </c>
      <c r="AK121" s="194" t="s">
        <v>168</v>
      </c>
      <c r="AL121" s="194" t="s">
        <v>168</v>
      </c>
      <c r="AM121" s="194" t="s">
        <v>168</v>
      </c>
      <c r="AN121" s="194" t="s">
        <v>168</v>
      </c>
      <c r="AO121" s="194" t="s">
        <v>168</v>
      </c>
      <c r="AQ121" s="81"/>
      <c r="AR121" s="81"/>
      <c r="AS121" s="81"/>
      <c r="AT121" s="81"/>
      <c r="AU121" s="81"/>
      <c r="BG121"/>
      <c r="BH121"/>
    </row>
    <row r="122" spans="1:60" ht="18" x14ac:dyDescent="0.35">
      <c r="A122" s="101">
        <f>A116+1</f>
        <v>13</v>
      </c>
      <c r="B122" s="101" t="str">
        <f>VLOOKUP(A122,STN_TABLE_2,2,FALSE)</f>
        <v xml:space="preserve">  </v>
      </c>
      <c r="C122" t="s">
        <v>0</v>
      </c>
      <c r="D122" t="s">
        <v>95</v>
      </c>
      <c r="E122" t="s">
        <v>164</v>
      </c>
      <c r="F122" t="s">
        <v>165</v>
      </c>
      <c r="G122" t="s">
        <v>13</v>
      </c>
      <c r="H122" t="s">
        <v>169</v>
      </c>
      <c r="I122" s="194" t="s">
        <v>168</v>
      </c>
      <c r="J122" s="194" t="s">
        <v>168</v>
      </c>
      <c r="K122" s="194" t="s">
        <v>168</v>
      </c>
      <c r="L122" s="194" t="s">
        <v>168</v>
      </c>
      <c r="M122" s="194" t="s">
        <v>168</v>
      </c>
      <c r="N122" s="194" t="s">
        <v>168</v>
      </c>
      <c r="O122" s="101">
        <f>O116+1</f>
        <v>15</v>
      </c>
      <c r="P122" s="101" t="str">
        <f t="shared" ref="P122" si="415">VLOOKUP(O122,STN_TABLE_2,2,FALSE)</f>
        <v xml:space="preserve">  </v>
      </c>
      <c r="Q122" t="s">
        <v>0</v>
      </c>
      <c r="R122" t="s">
        <v>95</v>
      </c>
      <c r="S122" t="s">
        <v>164</v>
      </c>
      <c r="T122" t="s">
        <v>165</v>
      </c>
      <c r="U122" t="s">
        <v>166</v>
      </c>
      <c r="V122" t="s">
        <v>167</v>
      </c>
      <c r="W122" s="194" t="s">
        <v>168</v>
      </c>
      <c r="X122" s="194" t="s">
        <v>168</v>
      </c>
      <c r="Y122" s="194" t="s">
        <v>168</v>
      </c>
      <c r="Z122" s="194" t="s">
        <v>168</v>
      </c>
      <c r="AA122" s="194" t="s">
        <v>168</v>
      </c>
      <c r="AB122" s="194" t="s">
        <v>168</v>
      </c>
      <c r="BG122"/>
      <c r="BH122"/>
    </row>
    <row r="123" spans="1:60" ht="18" x14ac:dyDescent="0.35">
      <c r="A123" s="84">
        <f>A122+1</f>
        <v>14</v>
      </c>
      <c r="B123" s="84" t="str">
        <f>VLOOKUP(A123,STN_TABLE_2,2,FALSE)</f>
        <v xml:space="preserve">  </v>
      </c>
      <c r="C123" s="79" t="e">
        <f t="shared" ref="C123" si="416">IF(C124=B125,IF(C125-C124=C124-B124,B124,IF(C125-C124=C124-B123,B123,"#NA")),IF(C124=B124,IF(C125-C124=C124-B123,B123,IF(C125-C124=C124-B122,B122,"#NA")),"#NA"))</f>
        <v>#VALUE!</v>
      </c>
      <c r="D123" s="68" t="e">
        <f>VLOOKUP(C123,STN_TABLE,2,FALSE)</f>
        <v>#VALUE!</v>
      </c>
      <c r="E123" s="102">
        <v>1</v>
      </c>
      <c r="F123" s="68" t="e">
        <f t="shared" ref="F123:F125" si="417">D123*E123</f>
        <v>#VALUE!</v>
      </c>
      <c r="G123" s="69" t="e">
        <f t="shared" ref="G123:G125" si="418">C123</f>
        <v>#VALUE!</v>
      </c>
      <c r="H123" s="69" t="e">
        <f t="shared" ref="H123:H125" si="419">F123*G123</f>
        <v>#VALUE!</v>
      </c>
      <c r="I123" s="6" t="s">
        <v>93</v>
      </c>
      <c r="J123" s="70" t="e">
        <f>IF(OR(D123=0,D124=0,D125=0),"#NA",IF(AND(C125-C124=C124-C123,C124&lt;&gt;C125,C123&lt;&gt;C124,C123&lt;&gt;C125,D125&lt;&gt;0,OR(D123&lt;&gt;0,D124&lt;&gt;0)),WLS*(C125-C124),"#NA"))</f>
        <v>#VALUE!</v>
      </c>
      <c r="K123" s="194" t="s">
        <v>168</v>
      </c>
      <c r="L123" s="194" t="s">
        <v>168</v>
      </c>
      <c r="M123" s="194" t="s">
        <v>168</v>
      </c>
      <c r="N123" s="194" t="s">
        <v>168</v>
      </c>
      <c r="O123" s="99">
        <f>O122+1</f>
        <v>16</v>
      </c>
      <c r="P123" s="99" t="str">
        <f t="shared" si="365"/>
        <v xml:space="preserve">  </v>
      </c>
      <c r="Q123" s="68" t="e">
        <f t="shared" ref="Q123" si="420">IF(OR(P125-P124=P124-P123,P126-P124=P124-P123),P123,IF(OR(P125-P124=P124-P122,P126-P124=P124-P122),P122,"-"))</f>
        <v>#VALUE!</v>
      </c>
      <c r="R123" s="69" t="e">
        <f>VLOOKUP(Q123,STN_TABLE,2,FALSE)</f>
        <v>#VALUE!</v>
      </c>
      <c r="S123" s="69">
        <v>5</v>
      </c>
      <c r="T123" s="68" t="e">
        <f t="shared" ref="T123:T125" si="421">R123*S123</f>
        <v>#VALUE!</v>
      </c>
      <c r="U123" s="79">
        <v>3</v>
      </c>
      <c r="V123" s="68" t="e">
        <f t="shared" ref="V123:V125" si="422">R123*U123</f>
        <v>#VALUE!</v>
      </c>
      <c r="W123" s="6" t="s">
        <v>93</v>
      </c>
      <c r="X123" s="70" t="e">
        <f>IF(AND(Q125-Q124=Q124-Q123,NOT(AND(Q123=0,Q124=0)),NOT(AND(Q124=0,Q125=0))),WLS*(Q125-Q124),"#NA")</f>
        <v>#VALUE!</v>
      </c>
      <c r="Y123" s="194" t="s">
        <v>168</v>
      </c>
      <c r="Z123" s="194" t="s">
        <v>168</v>
      </c>
      <c r="AA123" s="194" t="s">
        <v>168</v>
      </c>
      <c r="AB123" s="194" t="s">
        <v>168</v>
      </c>
      <c r="AD123" t="s">
        <v>0</v>
      </c>
      <c r="AE123" t="s">
        <v>95</v>
      </c>
      <c r="AF123" t="s">
        <v>173</v>
      </c>
      <c r="AG123" t="s">
        <v>183</v>
      </c>
      <c r="AH123" t="s">
        <v>175</v>
      </c>
      <c r="AI123" t="s">
        <v>184</v>
      </c>
      <c r="AJ123" s="6" t="s">
        <v>93</v>
      </c>
      <c r="AK123" s="70" t="e">
        <f>WLS*(AD125-AD124)</f>
        <v>#VALUE!</v>
      </c>
      <c r="AL123" s="194" t="s">
        <v>168</v>
      </c>
      <c r="AM123" s="194" t="s">
        <v>168</v>
      </c>
      <c r="AN123" s="194" t="s">
        <v>168</v>
      </c>
      <c r="AO123" s="194" t="s">
        <v>168</v>
      </c>
      <c r="BG123"/>
      <c r="BH123"/>
    </row>
    <row r="124" spans="1:60" x14ac:dyDescent="0.25">
      <c r="A124" s="84">
        <f>A123+1</f>
        <v>15</v>
      </c>
      <c r="B124" s="84" t="str">
        <f>VLOOKUP(A124,STN_TABLE_2,2,FALSE)</f>
        <v xml:space="preserve">  </v>
      </c>
      <c r="C124" s="80" t="e">
        <f t="shared" ref="C124" si="423">IF(OR(B126-B125=B125-B124,B126-B125=B125-B123,B126-B125=B125-B122),B125,IF(OR(B126-B124=B124-B123,B126-B124=B124-B122),B124,IF(B126-B123=B123-B122,B123,"#NA")))</f>
        <v>#VALUE!</v>
      </c>
      <c r="D124" s="76" t="e">
        <f>VLOOKUP(C124,STN_TABLE,2,FALSE)</f>
        <v>#VALUE!</v>
      </c>
      <c r="E124" s="81">
        <v>4</v>
      </c>
      <c r="F124" s="76" t="e">
        <f t="shared" si="417"/>
        <v>#VALUE!</v>
      </c>
      <c r="G124" s="77" t="e">
        <f t="shared" si="418"/>
        <v>#VALUE!</v>
      </c>
      <c r="H124" s="77" t="e">
        <f t="shared" si="419"/>
        <v>#VALUE!</v>
      </c>
      <c r="I124" s="204" t="s">
        <v>171</v>
      </c>
      <c r="J124" s="194" t="s">
        <v>168</v>
      </c>
      <c r="K124" s="78" t="s">
        <v>98</v>
      </c>
      <c r="L124" s="194" t="s">
        <v>168</v>
      </c>
      <c r="M124" s="7" t="s">
        <v>77</v>
      </c>
      <c r="N124" s="194" t="s">
        <v>168</v>
      </c>
      <c r="O124" s="99">
        <f>O123+1</f>
        <v>17</v>
      </c>
      <c r="P124" s="99" t="str">
        <f t="shared" si="365"/>
        <v xml:space="preserve">  </v>
      </c>
      <c r="Q124" s="76" t="str">
        <f t="shared" ref="Q124" si="424">P124</f>
        <v xml:space="preserve">  </v>
      </c>
      <c r="R124" s="77" t="str">
        <f>VLOOKUP(Q124,STN_TABLE,2,FALSE)</f>
        <v xml:space="preserve">  </v>
      </c>
      <c r="S124" s="77">
        <v>8</v>
      </c>
      <c r="T124" s="76" t="e">
        <f t="shared" si="421"/>
        <v>#VALUE!</v>
      </c>
      <c r="U124" s="80">
        <v>10</v>
      </c>
      <c r="V124" s="76" t="e">
        <f t="shared" si="422"/>
        <v>#VALUE!</v>
      </c>
      <c r="W124" s="204" t="s">
        <v>171</v>
      </c>
      <c r="X124" s="194" t="s">
        <v>168</v>
      </c>
      <c r="Y124" s="78" t="s">
        <v>98</v>
      </c>
      <c r="Z124" s="194" t="s">
        <v>168</v>
      </c>
      <c r="AA124" s="7" t="s">
        <v>77</v>
      </c>
      <c r="AB124" s="194" t="s">
        <v>168</v>
      </c>
      <c r="AC124" s="99">
        <f>AC118+1</f>
        <v>16</v>
      </c>
      <c r="AD124" s="95" t="str">
        <f>VLOOKUP(AC124,STN_TABLE_2,2,FALSE)</f>
        <v xml:space="preserve">  </v>
      </c>
      <c r="AE124" t="str">
        <f t="shared" ref="AE124:AE125" si="425">AG124</f>
        <v xml:space="preserve">  </v>
      </c>
      <c r="AF124">
        <v>1</v>
      </c>
      <c r="AG124" s="68" t="str">
        <f>VLOOKUP(AD124,STN_TABLE,2,FALSE)</f>
        <v xml:space="preserve">  </v>
      </c>
      <c r="AH124" s="68">
        <v>1</v>
      </c>
      <c r="AI124" s="69" t="e">
        <f t="shared" ref="AI124:AI125" si="426">AG124*AH124</f>
        <v>#VALUE!</v>
      </c>
      <c r="AJ124" s="204" t="s">
        <v>171</v>
      </c>
      <c r="AK124" s="194" t="s">
        <v>168</v>
      </c>
      <c r="AL124" s="78" t="s">
        <v>98</v>
      </c>
      <c r="AM124" s="194" t="s">
        <v>168</v>
      </c>
      <c r="AN124" s="7" t="s">
        <v>77</v>
      </c>
      <c r="AO124" s="194" t="s">
        <v>168</v>
      </c>
      <c r="AR124" s="86" t="s">
        <v>112</v>
      </c>
      <c r="AS124" s="89" t="s">
        <v>113</v>
      </c>
      <c r="AT124" s="89" t="s">
        <v>114</v>
      </c>
      <c r="AU124" s="89" t="s">
        <v>115</v>
      </c>
      <c r="AV124" s="71" t="e">
        <f t="shared" ref="AV124" si="427">IF(AV125=AR125,AR124,IF(AV125=AS125,AS124,IF(AV125=AT125,AT124,AU124)))</f>
        <v>#VALUE!</v>
      </c>
      <c r="BG124"/>
      <c r="BH124"/>
    </row>
    <row r="125" spans="1:60" x14ac:dyDescent="0.25">
      <c r="A125" s="84">
        <f>A124+1</f>
        <v>16</v>
      </c>
      <c r="B125" s="84" t="str">
        <f>VLOOKUP(A125,STN_TABLE_2,2,FALSE)</f>
        <v xml:space="preserve">  </v>
      </c>
      <c r="C125" s="88" t="str">
        <f t="shared" ref="C125" si="428">B126</f>
        <v xml:space="preserve">  </v>
      </c>
      <c r="D125" s="82" t="str">
        <f>VLOOKUP(C125,STN_TABLE,2,FALSE)</f>
        <v xml:space="preserve">  </v>
      </c>
      <c r="E125" s="92">
        <v>1</v>
      </c>
      <c r="F125" s="82" t="e">
        <f t="shared" si="417"/>
        <v>#VALUE!</v>
      </c>
      <c r="G125" s="83" t="str">
        <f t="shared" si="418"/>
        <v xml:space="preserve">  </v>
      </c>
      <c r="H125" s="83" t="e">
        <f t="shared" si="419"/>
        <v>#VALUE!</v>
      </c>
      <c r="I125" s="84" t="e">
        <f t="shared" ref="I125" si="429">CONCATENATE("a'(",C123,"~",C125,")=")</f>
        <v>#VALUE!</v>
      </c>
      <c r="J125" s="84" t="e">
        <f t="shared" ref="J125" si="430">2*J123/3*F126</f>
        <v>#VALUE!</v>
      </c>
      <c r="K125" s="84" t="e">
        <f t="shared" ref="K125" si="431">CONCATENATE("A(",C123,")=")</f>
        <v>#VALUE!</v>
      </c>
      <c r="L125" s="84" t="e">
        <f>VLOOKUP(C123,STN_TABLE,3,FALSE)</f>
        <v>#VALUE!</v>
      </c>
      <c r="M125" t="str">
        <f t="shared" ref="M125" si="432">CONCATENATE("A(",C125,")=")</f>
        <v>A(  )=</v>
      </c>
      <c r="N125" t="e">
        <f t="shared" ref="N125:N126" si="433">J125+L125</f>
        <v>#VALUE!</v>
      </c>
      <c r="O125" s="99">
        <f>O124+1</f>
        <v>18</v>
      </c>
      <c r="P125" s="99" t="str">
        <f t="shared" si="365"/>
        <v xml:space="preserve">  </v>
      </c>
      <c r="Q125" s="82" t="e">
        <f t="shared" ref="Q125" si="434">IF(P125-P124=P124-P123,P125,IF(P126-P124=P124-P123,P126,IF(P125-P124=P124-P122,P125,IF(P126-P124=P124-P122,P126,"-"))))</f>
        <v>#VALUE!</v>
      </c>
      <c r="R125" s="83" t="e">
        <f>VLOOKUP(Q125,STN_TABLE,2,FALSE)</f>
        <v>#VALUE!</v>
      </c>
      <c r="S125" s="83">
        <v>-1</v>
      </c>
      <c r="T125" s="82" t="e">
        <f t="shared" si="421"/>
        <v>#VALUE!</v>
      </c>
      <c r="U125" s="88">
        <v>-1</v>
      </c>
      <c r="V125" s="82" t="e">
        <f t="shared" si="422"/>
        <v>#VALUE!</v>
      </c>
      <c r="W125" s="84" t="e">
        <f t="shared" ref="W125" si="435">CONCATENATE("a'(",Q123,"~",Q124,")=")</f>
        <v>#VALUE!</v>
      </c>
      <c r="X125" s="84" t="e">
        <f t="shared" ref="X125" si="436">2*X123/12*T126</f>
        <v>#VALUE!</v>
      </c>
      <c r="Y125" s="84" t="e">
        <f t="shared" ref="Y125" si="437">CONCATENATE("A(",Q123,")=")</f>
        <v>#VALUE!</v>
      </c>
      <c r="Z125" s="84" t="e">
        <f>VLOOKUP(Q123,STN_TABLE,3,FALSE)</f>
        <v>#VALUE!</v>
      </c>
      <c r="AA125" t="str">
        <f t="shared" ref="AA125" si="438">CONCATENATE("A(",Q124,")=")</f>
        <v>A(  )=</v>
      </c>
      <c r="AB125" t="e">
        <f t="shared" ref="AB125:AB126" si="439">X125+Z125</f>
        <v>#VALUE!</v>
      </c>
      <c r="AC125" s="99">
        <f>AC124+1</f>
        <v>17</v>
      </c>
      <c r="AD125" s="100" t="str">
        <f>VLOOKUP(AC125,STN_TABLE_2,2,FALSE)</f>
        <v xml:space="preserve">  </v>
      </c>
      <c r="AE125" t="str">
        <f t="shared" si="425"/>
        <v xml:space="preserve">  </v>
      </c>
      <c r="AF125">
        <v>1</v>
      </c>
      <c r="AG125" s="82" t="str">
        <f>VLOOKUP(AD125,STN_TABLE,2,FALSE)</f>
        <v xml:space="preserve">  </v>
      </c>
      <c r="AH125" s="82">
        <v>2</v>
      </c>
      <c r="AI125" s="83" t="e">
        <f t="shared" si="426"/>
        <v>#VALUE!</v>
      </c>
      <c r="AJ125" s="84" t="str">
        <f t="shared" ref="AJ125" si="440">CONCATENATE("a'(",AD125,")=")</f>
        <v>a'(  )=</v>
      </c>
      <c r="AK125" s="84" t="e">
        <f t="shared" ref="AK125" si="441">2*AK123/2*AG126</f>
        <v>#VALUE!</v>
      </c>
      <c r="AL125" s="84" t="str">
        <f t="shared" ref="AL125" si="442">CONCATENATE("A(",AD124,")=")</f>
        <v>A(  )=</v>
      </c>
      <c r="AM125" s="84" t="str">
        <f>VLOOKUP(AD124,STN_TABLE,3,FALSE)</f>
        <v xml:space="preserve"> </v>
      </c>
      <c r="AN125" t="str">
        <f t="shared" ref="AN125" si="443">CONCATENATE("A(",AD125,")=")</f>
        <v>A(  )=</v>
      </c>
      <c r="AO125" t="e">
        <f t="shared" ref="AO125:AO126" si="444">AK125+AM125</f>
        <v>#VALUE!</v>
      </c>
      <c r="AQ125" s="68" t="str">
        <f>AA125</f>
        <v>A(  )=</v>
      </c>
      <c r="AR125" s="68" t="str">
        <f>IFERROR(VLOOKUP(AQ125,Rise_Results,2,FALSE),"-")</f>
        <v>-</v>
      </c>
      <c r="AS125" s="76" t="str">
        <f>IFERROR(N125,"-")</f>
        <v>-</v>
      </c>
      <c r="AT125" s="76" t="str">
        <f>IFERROR(IF(OR(AB125&lt;=0,AB126&lt;=0),1/0,AB125),"-")</f>
        <v>-</v>
      </c>
      <c r="AU125" s="76" t="e">
        <f t="shared" ref="AU125:AU126" si="445">AO125</f>
        <v>#VALUE!</v>
      </c>
      <c r="AV125" t="e">
        <f t="shared" ref="AV125:AV126" si="446">IF(ISNUMBER(AR125),AR125,IF(ISNUMBER(AS125),AS125,IF(ISNUMBER(AT125),AT125,AU125)))</f>
        <v>#VALUE!</v>
      </c>
      <c r="BG125"/>
      <c r="BH125"/>
    </row>
    <row r="126" spans="1:60" x14ac:dyDescent="0.25">
      <c r="A126" s="84">
        <f>A125+1</f>
        <v>17</v>
      </c>
      <c r="B126" s="84" t="str">
        <f>VLOOKUP(A126,STN_TABLE_2,2,FALSE)</f>
        <v xml:space="preserve">  </v>
      </c>
      <c r="C126" s="194" t="s">
        <v>168</v>
      </c>
      <c r="D126" s="194" t="s">
        <v>168</v>
      </c>
      <c r="E126" s="6" t="s">
        <v>172</v>
      </c>
      <c r="F126" s="89" t="e">
        <f t="shared" ref="F126" si="447">SUM(F123:F125)</f>
        <v>#VALUE!</v>
      </c>
      <c r="G126" s="6" t="s">
        <v>172</v>
      </c>
      <c r="H126" s="82" t="e">
        <f t="shared" ref="H126" si="448">SUM(H123:H125)</f>
        <v>#VALUE!</v>
      </c>
      <c r="I126" s="84" t="e">
        <f t="shared" ref="I126" si="449">CONCATENATE("m'(",C123,"~",C125,")=")</f>
        <v>#VALUE!</v>
      </c>
      <c r="J126" s="84" t="e">
        <f>2*(J123*(WLS))/3*H126</f>
        <v>#VALUE!</v>
      </c>
      <c r="K126" s="84" t="e">
        <f t="shared" ref="K126" si="450">CONCATENATE("M(",C123,")=")</f>
        <v>#VALUE!</v>
      </c>
      <c r="L126" s="84" t="e">
        <f>VLOOKUP(C123,STN_TABLE,4,FALSE)</f>
        <v>#VALUE!</v>
      </c>
      <c r="M126" t="str">
        <f t="shared" ref="M126" si="451">CONCATENATE("M(",C125,")=")</f>
        <v>M(  )=</v>
      </c>
      <c r="N126" t="e">
        <f t="shared" si="433"/>
        <v>#VALUE!</v>
      </c>
      <c r="O126" s="99">
        <f>O125+1</f>
        <v>19</v>
      </c>
      <c r="P126" s="99" t="str">
        <f t="shared" si="365"/>
        <v xml:space="preserve">  </v>
      </c>
      <c r="Q126" s="194" t="s">
        <v>168</v>
      </c>
      <c r="R126" s="194" t="s">
        <v>168</v>
      </c>
      <c r="S126" s="6" t="s">
        <v>172</v>
      </c>
      <c r="T126" s="89" t="e">
        <f t="shared" si="146"/>
        <v>#VALUE!</v>
      </c>
      <c r="U126" s="6" t="s">
        <v>172</v>
      </c>
      <c r="V126" s="82" t="e">
        <f t="shared" si="147"/>
        <v>#VALUE!</v>
      </c>
      <c r="W126" s="84" t="e">
        <f t="shared" ref="W126" si="452">CONCATENATE("m'(",Q123,"~",Q124,")=")</f>
        <v>#VALUE!</v>
      </c>
      <c r="X126" s="84" t="e">
        <f>(2*(X123^2)/24*V126)+(X125*Q123*WLS)</f>
        <v>#VALUE!</v>
      </c>
      <c r="Y126" s="84" t="e">
        <f t="shared" ref="Y126" si="453">CONCATENATE("M(",Q123,")=")</f>
        <v>#VALUE!</v>
      </c>
      <c r="Z126" s="84" t="e">
        <f>VLOOKUP(Q123,STN_TABLE,4,FALSE)</f>
        <v>#VALUE!</v>
      </c>
      <c r="AA126" t="str">
        <f t="shared" ref="AA126" si="454">CONCATENATE("M(",Q124,")=")</f>
        <v>M(  )=</v>
      </c>
      <c r="AB126" t="e">
        <f t="shared" si="439"/>
        <v>#VALUE!</v>
      </c>
      <c r="AD126" s="194" t="s">
        <v>168</v>
      </c>
      <c r="AE126" s="194" t="s">
        <v>168</v>
      </c>
      <c r="AF126" s="6" t="s">
        <v>172</v>
      </c>
      <c r="AG126" s="89">
        <f t="shared" si="151"/>
        <v>0</v>
      </c>
      <c r="AH126" s="6" t="s">
        <v>172</v>
      </c>
      <c r="AI126" s="89" t="e">
        <f t="shared" si="152"/>
        <v>#VALUE!</v>
      </c>
      <c r="AJ126" s="84" t="str">
        <f t="shared" ref="AJ126" si="455">CONCATENATE("m'(",AD125,")=")</f>
        <v>m'(  )=</v>
      </c>
      <c r="AK126" s="84" t="e">
        <f>(2*(AK123^2)/6*AI126)+(AK125*AD124*WLS)</f>
        <v>#VALUE!</v>
      </c>
      <c r="AL126" s="84" t="str">
        <f t="shared" ref="AL126" si="456">CONCATENATE("M(",AD124,")=")</f>
        <v>M(  )=</v>
      </c>
      <c r="AM126" s="84" t="str">
        <f>VLOOKUP(AD124,STN_TABLE,4,FALSE)</f>
        <v xml:space="preserve"> </v>
      </c>
      <c r="AN126" t="str">
        <f t="shared" ref="AN126" si="457">CONCATENATE("M(",AD125,")=")</f>
        <v>M(  )=</v>
      </c>
      <c r="AO126" t="e">
        <f t="shared" si="444"/>
        <v>#VALUE!</v>
      </c>
      <c r="AQ126" s="82" t="str">
        <f>AA126</f>
        <v>M(  )=</v>
      </c>
      <c r="AR126" s="82" t="str">
        <f>IFERROR(VLOOKUP(AQ126,Rise_Results,2,FALSE),"-")</f>
        <v>-</v>
      </c>
      <c r="AS126" s="82" t="str">
        <f>IFERROR(N126,"-")</f>
        <v>-</v>
      </c>
      <c r="AT126" s="82" t="str">
        <f>IFERROR(IF(OR(AB125&lt;=0,AB126&lt;=0),1/0,AB126),"-")</f>
        <v>-</v>
      </c>
      <c r="AU126" s="82" t="e">
        <f t="shared" si="445"/>
        <v>#VALUE!</v>
      </c>
      <c r="AV126" t="e">
        <f t="shared" si="446"/>
        <v>#VALUE!</v>
      </c>
      <c r="BG126"/>
      <c r="BH126"/>
    </row>
    <row r="127" spans="1:60" x14ac:dyDescent="0.25">
      <c r="A127" s="84"/>
      <c r="B127" s="84"/>
      <c r="F127" s="81"/>
      <c r="H127" s="81"/>
      <c r="I127" s="84"/>
      <c r="J127" s="84"/>
      <c r="K127" s="84"/>
      <c r="L127" s="84"/>
      <c r="O127" s="99"/>
      <c r="P127" s="99"/>
      <c r="T127" s="81"/>
      <c r="V127" s="81"/>
      <c r="W127" s="84"/>
      <c r="X127" s="84"/>
      <c r="Y127" s="84"/>
      <c r="Z127" s="84"/>
      <c r="AD127" s="194" t="s">
        <v>168</v>
      </c>
      <c r="AE127" s="194" t="s">
        <v>168</v>
      </c>
      <c r="AF127" s="194" t="s">
        <v>168</v>
      </c>
      <c r="AG127" s="194" t="s">
        <v>168</v>
      </c>
      <c r="AH127" s="194" t="s">
        <v>168</v>
      </c>
      <c r="AI127" s="194" t="s">
        <v>168</v>
      </c>
      <c r="AJ127" s="194" t="s">
        <v>168</v>
      </c>
      <c r="AK127" s="194" t="s">
        <v>168</v>
      </c>
      <c r="AL127" s="194" t="s">
        <v>168</v>
      </c>
      <c r="AM127" s="194" t="s">
        <v>168</v>
      </c>
      <c r="AN127" s="194" t="s">
        <v>168</v>
      </c>
      <c r="AO127" s="194" t="s">
        <v>168</v>
      </c>
      <c r="AQ127" s="81"/>
      <c r="AR127" s="81"/>
      <c r="AS127" s="81"/>
      <c r="AT127" s="81"/>
      <c r="AU127" s="81"/>
      <c r="BG127"/>
      <c r="BH127"/>
    </row>
    <row r="128" spans="1:60" ht="18" x14ac:dyDescent="0.35">
      <c r="A128" s="101">
        <f>A122+1</f>
        <v>14</v>
      </c>
      <c r="B128" s="101" t="str">
        <f>VLOOKUP(A128,STN_TABLE_2,2,FALSE)</f>
        <v xml:space="preserve">  </v>
      </c>
      <c r="C128" t="s">
        <v>0</v>
      </c>
      <c r="D128" t="s">
        <v>95</v>
      </c>
      <c r="E128" t="s">
        <v>164</v>
      </c>
      <c r="F128" t="s">
        <v>165</v>
      </c>
      <c r="G128" t="s">
        <v>13</v>
      </c>
      <c r="H128" t="s">
        <v>169</v>
      </c>
      <c r="I128" s="194" t="s">
        <v>168</v>
      </c>
      <c r="J128" s="194" t="s">
        <v>168</v>
      </c>
      <c r="K128" s="194" t="s">
        <v>168</v>
      </c>
      <c r="L128" s="194" t="s">
        <v>168</v>
      </c>
      <c r="M128" s="194" t="s">
        <v>168</v>
      </c>
      <c r="N128" s="194" t="s">
        <v>168</v>
      </c>
      <c r="O128" s="101">
        <f>O122+1</f>
        <v>16</v>
      </c>
      <c r="P128" s="101" t="str">
        <f t="shared" ref="P128" si="458">VLOOKUP(O128,STN_TABLE_2,2,FALSE)</f>
        <v xml:space="preserve">  </v>
      </c>
      <c r="Q128" t="s">
        <v>0</v>
      </c>
      <c r="R128" t="s">
        <v>95</v>
      </c>
      <c r="S128" t="s">
        <v>164</v>
      </c>
      <c r="T128" t="s">
        <v>165</v>
      </c>
      <c r="U128" t="s">
        <v>166</v>
      </c>
      <c r="V128" t="s">
        <v>167</v>
      </c>
      <c r="W128" s="194" t="s">
        <v>168</v>
      </c>
      <c r="X128" s="194" t="s">
        <v>168</v>
      </c>
      <c r="Y128" s="194" t="s">
        <v>168</v>
      </c>
      <c r="Z128" s="194" t="s">
        <v>168</v>
      </c>
      <c r="AA128" s="194" t="s">
        <v>168</v>
      </c>
      <c r="AB128" s="194" t="s">
        <v>168</v>
      </c>
      <c r="BG128"/>
      <c r="BH128"/>
    </row>
    <row r="129" spans="1:60" ht="18" x14ac:dyDescent="0.35">
      <c r="A129" s="84">
        <f>A128+1</f>
        <v>15</v>
      </c>
      <c r="B129" s="84" t="str">
        <f>VLOOKUP(A129,STN_TABLE_2,2,FALSE)</f>
        <v xml:space="preserve">  </v>
      </c>
      <c r="C129" s="79" t="e">
        <f t="shared" ref="C129" si="459">IF(C130=B131,IF(C131-C130=C130-B130,B130,IF(C131-C130=C130-B129,B129,"#NA")),IF(C130=B130,IF(C131-C130=C130-B129,B129,IF(C131-C130=C130-B128,B128,"#NA")),"#NA"))</f>
        <v>#VALUE!</v>
      </c>
      <c r="D129" s="68" t="e">
        <f>VLOOKUP(C129,STN_TABLE,2,FALSE)</f>
        <v>#VALUE!</v>
      </c>
      <c r="E129" s="102">
        <v>1</v>
      </c>
      <c r="F129" s="68" t="e">
        <f t="shared" ref="F129:F131" si="460">D129*E129</f>
        <v>#VALUE!</v>
      </c>
      <c r="G129" s="69" t="e">
        <f t="shared" ref="G129:G131" si="461">C129</f>
        <v>#VALUE!</v>
      </c>
      <c r="H129" s="69" t="e">
        <f t="shared" ref="H129:H131" si="462">F129*G129</f>
        <v>#VALUE!</v>
      </c>
      <c r="I129" s="6" t="s">
        <v>93</v>
      </c>
      <c r="J129" s="70" t="e">
        <f>IF(OR(D129=0,D130=0,D131=0),"#NA",IF(AND(C131-C130=C130-C129,C130&lt;&gt;C131,C129&lt;&gt;C130,C129&lt;&gt;C131,D131&lt;&gt;0,OR(D129&lt;&gt;0,D130&lt;&gt;0)),WLS*(C131-C130),"#NA"))</f>
        <v>#VALUE!</v>
      </c>
      <c r="K129" s="194" t="s">
        <v>168</v>
      </c>
      <c r="L129" s="194" t="s">
        <v>168</v>
      </c>
      <c r="M129" s="194" t="s">
        <v>168</v>
      </c>
      <c r="N129" s="194" t="s">
        <v>168</v>
      </c>
      <c r="O129" s="99">
        <f>O128+1</f>
        <v>17</v>
      </c>
      <c r="P129" s="99" t="str">
        <f t="shared" si="365"/>
        <v xml:space="preserve">  </v>
      </c>
      <c r="Q129" s="68" t="e">
        <f t="shared" ref="Q129" si="463">IF(OR(P131-P130=P130-P129,P132-P130=P130-P129),P129,IF(OR(P131-P130=P130-P128,P132-P130=P130-P128),P128,"-"))</f>
        <v>#VALUE!</v>
      </c>
      <c r="R129" s="69" t="e">
        <f>VLOOKUP(Q129,STN_TABLE,2,FALSE)</f>
        <v>#VALUE!</v>
      </c>
      <c r="S129" s="69">
        <v>5</v>
      </c>
      <c r="T129" s="68" t="e">
        <f t="shared" ref="T129:T131" si="464">R129*S129</f>
        <v>#VALUE!</v>
      </c>
      <c r="U129" s="79">
        <v>3</v>
      </c>
      <c r="V129" s="68" t="e">
        <f t="shared" ref="V129:V131" si="465">R129*U129</f>
        <v>#VALUE!</v>
      </c>
      <c r="W129" s="6" t="s">
        <v>93</v>
      </c>
      <c r="X129" s="70" t="e">
        <f>IF(AND(Q131-Q130=Q130-Q129,NOT(AND(Q129=0,Q130=0)),NOT(AND(Q130=0,Q131=0))),WLS*(Q131-Q130),"#NA")</f>
        <v>#VALUE!</v>
      </c>
      <c r="Y129" s="194" t="s">
        <v>168</v>
      </c>
      <c r="Z129" s="194" t="s">
        <v>168</v>
      </c>
      <c r="AA129" s="194" t="s">
        <v>168</v>
      </c>
      <c r="AB129" s="194" t="s">
        <v>168</v>
      </c>
      <c r="AD129" t="s">
        <v>0</v>
      </c>
      <c r="AE129" t="s">
        <v>95</v>
      </c>
      <c r="AF129" t="s">
        <v>173</v>
      </c>
      <c r="AG129" t="s">
        <v>183</v>
      </c>
      <c r="AH129" t="s">
        <v>175</v>
      </c>
      <c r="AI129" t="s">
        <v>184</v>
      </c>
      <c r="AJ129" s="6" t="s">
        <v>93</v>
      </c>
      <c r="AK129" s="70" t="e">
        <f>WLS*(AD131-AD130)</f>
        <v>#VALUE!</v>
      </c>
      <c r="AL129" s="194" t="s">
        <v>168</v>
      </c>
      <c r="AM129" s="194" t="s">
        <v>168</v>
      </c>
      <c r="AN129" s="194" t="s">
        <v>168</v>
      </c>
      <c r="AO129" s="194" t="s">
        <v>168</v>
      </c>
      <c r="BG129"/>
      <c r="BH129"/>
    </row>
    <row r="130" spans="1:60" x14ac:dyDescent="0.25">
      <c r="A130" s="84">
        <f>A129+1</f>
        <v>16</v>
      </c>
      <c r="B130" s="84" t="str">
        <f>VLOOKUP(A130,STN_TABLE_2,2,FALSE)</f>
        <v xml:space="preserve">  </v>
      </c>
      <c r="C130" s="80" t="e">
        <f t="shared" ref="C130" si="466">IF(OR(B132-B131=B131-B130,B132-B131=B131-B129,B132-B131=B131-B128),B131,IF(OR(B132-B130=B130-B129,B132-B130=B130-B128),B130,IF(B132-B129=B129-B128,B129,"#NA")))</f>
        <v>#VALUE!</v>
      </c>
      <c r="D130" s="76" t="e">
        <f>VLOOKUP(C130,STN_TABLE,2,FALSE)</f>
        <v>#VALUE!</v>
      </c>
      <c r="E130" s="81">
        <v>4</v>
      </c>
      <c r="F130" s="76" t="e">
        <f t="shared" si="460"/>
        <v>#VALUE!</v>
      </c>
      <c r="G130" s="77" t="e">
        <f t="shared" si="461"/>
        <v>#VALUE!</v>
      </c>
      <c r="H130" s="77" t="e">
        <f t="shared" si="462"/>
        <v>#VALUE!</v>
      </c>
      <c r="I130" s="204" t="s">
        <v>171</v>
      </c>
      <c r="J130" s="194" t="s">
        <v>168</v>
      </c>
      <c r="K130" s="78" t="s">
        <v>98</v>
      </c>
      <c r="L130" s="194" t="s">
        <v>168</v>
      </c>
      <c r="M130" s="7" t="s">
        <v>77</v>
      </c>
      <c r="N130" s="194" t="s">
        <v>168</v>
      </c>
      <c r="O130" s="99">
        <f>O129+1</f>
        <v>18</v>
      </c>
      <c r="P130" s="99" t="str">
        <f t="shared" si="365"/>
        <v xml:space="preserve">  </v>
      </c>
      <c r="Q130" s="76" t="str">
        <f t="shared" ref="Q130" si="467">P130</f>
        <v xml:space="preserve">  </v>
      </c>
      <c r="R130" s="77" t="str">
        <f>VLOOKUP(Q130,STN_TABLE,2,FALSE)</f>
        <v xml:space="preserve">  </v>
      </c>
      <c r="S130" s="77">
        <v>8</v>
      </c>
      <c r="T130" s="76" t="e">
        <f t="shared" si="464"/>
        <v>#VALUE!</v>
      </c>
      <c r="U130" s="80">
        <v>10</v>
      </c>
      <c r="V130" s="76" t="e">
        <f t="shared" si="465"/>
        <v>#VALUE!</v>
      </c>
      <c r="W130" s="204" t="s">
        <v>171</v>
      </c>
      <c r="X130" s="194" t="s">
        <v>168</v>
      </c>
      <c r="Y130" s="78" t="s">
        <v>98</v>
      </c>
      <c r="Z130" s="194" t="s">
        <v>168</v>
      </c>
      <c r="AA130" s="7" t="s">
        <v>77</v>
      </c>
      <c r="AB130" s="194" t="s">
        <v>168</v>
      </c>
      <c r="AC130" s="99">
        <f>AC124+1</f>
        <v>17</v>
      </c>
      <c r="AD130" s="95" t="str">
        <f>VLOOKUP(AC130,STN_TABLE_2,2,FALSE)</f>
        <v xml:space="preserve">  </v>
      </c>
      <c r="AE130" t="str">
        <f t="shared" ref="AE130:AE131" si="468">AG130</f>
        <v xml:space="preserve">  </v>
      </c>
      <c r="AF130">
        <v>1</v>
      </c>
      <c r="AG130" s="68" t="str">
        <f>VLOOKUP(AD130,STN_TABLE,2,FALSE)</f>
        <v xml:space="preserve">  </v>
      </c>
      <c r="AH130" s="68">
        <v>1</v>
      </c>
      <c r="AI130" s="69" t="e">
        <f t="shared" ref="AI130:AI131" si="469">AG130*AH130</f>
        <v>#VALUE!</v>
      </c>
      <c r="AJ130" s="204" t="s">
        <v>171</v>
      </c>
      <c r="AK130" s="194" t="s">
        <v>168</v>
      </c>
      <c r="AL130" s="78" t="s">
        <v>98</v>
      </c>
      <c r="AM130" s="194" t="s">
        <v>168</v>
      </c>
      <c r="AN130" s="7" t="s">
        <v>77</v>
      </c>
      <c r="AO130" s="194" t="s">
        <v>168</v>
      </c>
      <c r="AR130" s="86" t="s">
        <v>112</v>
      </c>
      <c r="AS130" s="89" t="s">
        <v>113</v>
      </c>
      <c r="AT130" s="89" t="s">
        <v>114</v>
      </c>
      <c r="AU130" s="89" t="s">
        <v>115</v>
      </c>
      <c r="AV130" s="71" t="e">
        <f t="shared" ref="AV130" si="470">IF(AV131=AR131,AR130,IF(AV131=AS131,AS130,IF(AV131=AT131,AT130,AU130)))</f>
        <v>#VALUE!</v>
      </c>
      <c r="BG130"/>
      <c r="BH130"/>
    </row>
    <row r="131" spans="1:60" x14ac:dyDescent="0.25">
      <c r="A131" s="84">
        <f>A130+1</f>
        <v>17</v>
      </c>
      <c r="B131" s="84" t="str">
        <f>VLOOKUP(A131,STN_TABLE_2,2,FALSE)</f>
        <v xml:space="preserve">  </v>
      </c>
      <c r="C131" s="88" t="str">
        <f t="shared" ref="C131" si="471">B132</f>
        <v xml:space="preserve">  </v>
      </c>
      <c r="D131" s="82" t="str">
        <f>VLOOKUP(C131,STN_TABLE,2,FALSE)</f>
        <v xml:space="preserve">  </v>
      </c>
      <c r="E131" s="92">
        <v>1</v>
      </c>
      <c r="F131" s="82" t="e">
        <f t="shared" si="460"/>
        <v>#VALUE!</v>
      </c>
      <c r="G131" s="83" t="str">
        <f t="shared" si="461"/>
        <v xml:space="preserve">  </v>
      </c>
      <c r="H131" s="83" t="e">
        <f t="shared" si="462"/>
        <v>#VALUE!</v>
      </c>
      <c r="I131" s="84" t="e">
        <f t="shared" ref="I131" si="472">CONCATENATE("a'(",C129,"~",C131,")=")</f>
        <v>#VALUE!</v>
      </c>
      <c r="J131" s="84" t="e">
        <f t="shared" ref="J131" si="473">2*J129/3*F132</f>
        <v>#VALUE!</v>
      </c>
      <c r="K131" s="84" t="e">
        <f t="shared" ref="K131" si="474">CONCATENATE("A(",C129,")=")</f>
        <v>#VALUE!</v>
      </c>
      <c r="L131" s="84" t="e">
        <f>VLOOKUP(C129,STN_TABLE,3,FALSE)</f>
        <v>#VALUE!</v>
      </c>
      <c r="M131" t="str">
        <f t="shared" ref="M131" si="475">CONCATENATE("A(",C131,")=")</f>
        <v>A(  )=</v>
      </c>
      <c r="N131" t="e">
        <f t="shared" ref="N131:N132" si="476">J131+L131</f>
        <v>#VALUE!</v>
      </c>
      <c r="O131" s="99">
        <f>O130+1</f>
        <v>19</v>
      </c>
      <c r="P131" s="99" t="str">
        <f t="shared" si="365"/>
        <v xml:space="preserve">  </v>
      </c>
      <c r="Q131" s="82" t="e">
        <f t="shared" ref="Q131" si="477">IF(P131-P130=P130-P129,P131,IF(P132-P130=P130-P129,P132,IF(P131-P130=P130-P128,P131,IF(P132-P130=P130-P128,P132,"-"))))</f>
        <v>#VALUE!</v>
      </c>
      <c r="R131" s="83" t="e">
        <f>VLOOKUP(Q131,STN_TABLE,2,FALSE)</f>
        <v>#VALUE!</v>
      </c>
      <c r="S131" s="83">
        <v>-1</v>
      </c>
      <c r="T131" s="82" t="e">
        <f t="shared" si="464"/>
        <v>#VALUE!</v>
      </c>
      <c r="U131" s="88">
        <v>-1</v>
      </c>
      <c r="V131" s="82" t="e">
        <f t="shared" si="465"/>
        <v>#VALUE!</v>
      </c>
      <c r="W131" s="84" t="e">
        <f t="shared" ref="W131" si="478">CONCATENATE("a'(",Q129,"~",Q130,")=")</f>
        <v>#VALUE!</v>
      </c>
      <c r="X131" s="84" t="e">
        <f t="shared" ref="X131" si="479">2*X129/12*T132</f>
        <v>#VALUE!</v>
      </c>
      <c r="Y131" s="84" t="e">
        <f t="shared" ref="Y131" si="480">CONCATENATE("A(",Q129,")=")</f>
        <v>#VALUE!</v>
      </c>
      <c r="Z131" s="84" t="e">
        <f>VLOOKUP(Q129,STN_TABLE,3,FALSE)</f>
        <v>#VALUE!</v>
      </c>
      <c r="AA131" t="str">
        <f t="shared" ref="AA131" si="481">CONCATENATE("A(",Q130,")=")</f>
        <v>A(  )=</v>
      </c>
      <c r="AB131" t="e">
        <f t="shared" ref="AB131:AB132" si="482">X131+Z131</f>
        <v>#VALUE!</v>
      </c>
      <c r="AC131" s="99">
        <f>AC130+1</f>
        <v>18</v>
      </c>
      <c r="AD131" s="100" t="str">
        <f>VLOOKUP(AC131,STN_TABLE_2,2,FALSE)</f>
        <v xml:space="preserve">  </v>
      </c>
      <c r="AE131" t="str">
        <f t="shared" si="468"/>
        <v xml:space="preserve">  </v>
      </c>
      <c r="AF131">
        <v>1</v>
      </c>
      <c r="AG131" s="82" t="str">
        <f>VLOOKUP(AD131,STN_TABLE,2,FALSE)</f>
        <v xml:space="preserve">  </v>
      </c>
      <c r="AH131" s="82">
        <v>2</v>
      </c>
      <c r="AI131" s="83" t="e">
        <f t="shared" si="469"/>
        <v>#VALUE!</v>
      </c>
      <c r="AJ131" s="84" t="str">
        <f t="shared" ref="AJ131" si="483">CONCATENATE("a'(",AD131,")=")</f>
        <v>a'(  )=</v>
      </c>
      <c r="AK131" s="84" t="e">
        <f t="shared" ref="AK131" si="484">2*AK129/2*AG132</f>
        <v>#VALUE!</v>
      </c>
      <c r="AL131" s="84" t="str">
        <f t="shared" ref="AL131" si="485">CONCATENATE("A(",AD130,")=")</f>
        <v>A(  )=</v>
      </c>
      <c r="AM131" s="84" t="str">
        <f>VLOOKUP(AD130,STN_TABLE,3,FALSE)</f>
        <v xml:space="preserve"> </v>
      </c>
      <c r="AN131" t="str">
        <f t="shared" ref="AN131" si="486">CONCATENATE("A(",AD131,")=")</f>
        <v>A(  )=</v>
      </c>
      <c r="AO131" t="e">
        <f t="shared" ref="AO131:AO132" si="487">AK131+AM131</f>
        <v>#VALUE!</v>
      </c>
      <c r="AQ131" s="68" t="str">
        <f>AA131</f>
        <v>A(  )=</v>
      </c>
      <c r="AR131" s="68" t="str">
        <f>IFERROR(VLOOKUP(AQ131,Rise_Results,2,FALSE),"-")</f>
        <v>-</v>
      </c>
      <c r="AS131" s="76" t="str">
        <f>IFERROR(N131,"-")</f>
        <v>-</v>
      </c>
      <c r="AT131" s="76" t="str">
        <f>IFERROR(IF(OR(AB131&lt;=0,AB132&lt;=0),1/0,AB131),"-")</f>
        <v>-</v>
      </c>
      <c r="AU131" s="76" t="e">
        <f t="shared" ref="AU131:AU132" si="488">AO131</f>
        <v>#VALUE!</v>
      </c>
      <c r="AV131" t="e">
        <f t="shared" ref="AV131:AV132" si="489">IF(ISNUMBER(AR131),AR131,IF(ISNUMBER(AS131),AS131,IF(ISNUMBER(AT131),AT131,AU131)))</f>
        <v>#VALUE!</v>
      </c>
      <c r="BG131"/>
      <c r="BH131"/>
    </row>
    <row r="132" spans="1:60" x14ac:dyDescent="0.25">
      <c r="A132" s="84">
        <f>A131+1</f>
        <v>18</v>
      </c>
      <c r="B132" s="84" t="str">
        <f>VLOOKUP(A132,STN_TABLE_2,2,FALSE)</f>
        <v xml:space="preserve">  </v>
      </c>
      <c r="C132" s="194" t="s">
        <v>168</v>
      </c>
      <c r="D132" s="194" t="s">
        <v>168</v>
      </c>
      <c r="E132" s="6" t="s">
        <v>172</v>
      </c>
      <c r="F132" s="89" t="e">
        <f t="shared" ref="F132" si="490">SUM(F129:F131)</f>
        <v>#VALUE!</v>
      </c>
      <c r="G132" s="6" t="s">
        <v>172</v>
      </c>
      <c r="H132" s="82" t="e">
        <f t="shared" ref="H132" si="491">SUM(H129:H131)</f>
        <v>#VALUE!</v>
      </c>
      <c r="I132" s="84" t="e">
        <f t="shared" ref="I132" si="492">CONCATENATE("m'(",C129,"~",C131,")=")</f>
        <v>#VALUE!</v>
      </c>
      <c r="J132" s="84" t="e">
        <f>2*(J129*(WLS))/3*H132</f>
        <v>#VALUE!</v>
      </c>
      <c r="K132" s="84" t="e">
        <f t="shared" ref="K132" si="493">CONCATENATE("M(",C129,")=")</f>
        <v>#VALUE!</v>
      </c>
      <c r="L132" s="84" t="e">
        <f>VLOOKUP(C129,STN_TABLE,4,FALSE)</f>
        <v>#VALUE!</v>
      </c>
      <c r="M132" t="str">
        <f t="shared" ref="M132" si="494">CONCATENATE("M(",C131,")=")</f>
        <v>M(  )=</v>
      </c>
      <c r="N132" t="e">
        <f t="shared" si="476"/>
        <v>#VALUE!</v>
      </c>
      <c r="O132" s="99">
        <f>O131+1</f>
        <v>20</v>
      </c>
      <c r="P132" s="99" t="str">
        <f t="shared" si="365"/>
        <v xml:space="preserve">  </v>
      </c>
      <c r="Q132" s="194" t="s">
        <v>168</v>
      </c>
      <c r="R132" s="194" t="s">
        <v>168</v>
      </c>
      <c r="S132" s="6" t="s">
        <v>172</v>
      </c>
      <c r="T132" s="89" t="e">
        <f t="shared" si="146"/>
        <v>#VALUE!</v>
      </c>
      <c r="U132" s="6" t="s">
        <v>172</v>
      </c>
      <c r="V132" s="82" t="e">
        <f t="shared" si="147"/>
        <v>#VALUE!</v>
      </c>
      <c r="W132" s="84" t="e">
        <f t="shared" ref="W132" si="495">CONCATENATE("m'(",Q129,"~",Q130,")=")</f>
        <v>#VALUE!</v>
      </c>
      <c r="X132" s="84" t="e">
        <f>(2*(X129^2)/24*V132)+(X131*Q129*WLS)</f>
        <v>#VALUE!</v>
      </c>
      <c r="Y132" s="84" t="e">
        <f t="shared" ref="Y132" si="496">CONCATENATE("M(",Q129,")=")</f>
        <v>#VALUE!</v>
      </c>
      <c r="Z132" s="84" t="e">
        <f>VLOOKUP(Q129,STN_TABLE,4,FALSE)</f>
        <v>#VALUE!</v>
      </c>
      <c r="AA132" t="str">
        <f t="shared" ref="AA132" si="497">CONCATENATE("M(",Q130,")=")</f>
        <v>M(  )=</v>
      </c>
      <c r="AB132" t="e">
        <f t="shared" si="482"/>
        <v>#VALUE!</v>
      </c>
      <c r="AD132" s="194" t="s">
        <v>168</v>
      </c>
      <c r="AE132" s="194" t="s">
        <v>168</v>
      </c>
      <c r="AF132" s="6" t="s">
        <v>172</v>
      </c>
      <c r="AG132" s="89">
        <f t="shared" si="151"/>
        <v>0</v>
      </c>
      <c r="AH132" s="6" t="s">
        <v>172</v>
      </c>
      <c r="AI132" s="89" t="e">
        <f t="shared" si="152"/>
        <v>#VALUE!</v>
      </c>
      <c r="AJ132" s="84" t="str">
        <f t="shared" ref="AJ132" si="498">CONCATENATE("m'(",AD131,")=")</f>
        <v>m'(  )=</v>
      </c>
      <c r="AK132" s="84" t="e">
        <f>(2*(AK129^2)/6*AI132)+(AK131*AD130*WLS)</f>
        <v>#VALUE!</v>
      </c>
      <c r="AL132" s="84" t="str">
        <f t="shared" ref="AL132" si="499">CONCATENATE("M(",AD130,")=")</f>
        <v>M(  )=</v>
      </c>
      <c r="AM132" s="84" t="str">
        <f>VLOOKUP(AD130,STN_TABLE,4,FALSE)</f>
        <v xml:space="preserve"> </v>
      </c>
      <c r="AN132" t="str">
        <f t="shared" ref="AN132" si="500">CONCATENATE("M(",AD131,")=")</f>
        <v>M(  )=</v>
      </c>
      <c r="AO132" t="e">
        <f t="shared" si="487"/>
        <v>#VALUE!</v>
      </c>
      <c r="AQ132" s="82" t="str">
        <f>AA132</f>
        <v>M(  )=</v>
      </c>
      <c r="AR132" s="82" t="str">
        <f>IFERROR(VLOOKUP(AQ132,Rise_Results,2,FALSE),"-")</f>
        <v>-</v>
      </c>
      <c r="AS132" s="82" t="str">
        <f>IFERROR(N132,"-")</f>
        <v>-</v>
      </c>
      <c r="AT132" s="82" t="str">
        <f>IFERROR(IF(OR(AB131&lt;=0,AB132&lt;=0),1/0,AB132),"-")</f>
        <v>-</v>
      </c>
      <c r="AU132" s="82" t="e">
        <f t="shared" si="488"/>
        <v>#VALUE!</v>
      </c>
      <c r="AV132" t="e">
        <f t="shared" si="489"/>
        <v>#VALUE!</v>
      </c>
      <c r="BG132"/>
      <c r="BH132"/>
    </row>
    <row r="133" spans="1:60" x14ac:dyDescent="0.25">
      <c r="A133" s="84"/>
      <c r="B133" s="84"/>
      <c r="F133" s="81"/>
      <c r="H133" s="81"/>
      <c r="I133" s="84"/>
      <c r="J133" s="84"/>
      <c r="K133" s="84"/>
      <c r="L133" s="84"/>
      <c r="O133" s="99"/>
      <c r="P133" s="99"/>
      <c r="T133" s="81"/>
      <c r="V133" s="81"/>
      <c r="W133" s="84"/>
      <c r="X133" s="84"/>
      <c r="Y133" s="84"/>
      <c r="Z133" s="84"/>
      <c r="AD133" s="194" t="s">
        <v>168</v>
      </c>
      <c r="AE133" s="194" t="s">
        <v>168</v>
      </c>
      <c r="AF133" s="194" t="s">
        <v>168</v>
      </c>
      <c r="AG133" s="194" t="s">
        <v>168</v>
      </c>
      <c r="AH133" s="194" t="s">
        <v>168</v>
      </c>
      <c r="AI133" s="194" t="s">
        <v>168</v>
      </c>
      <c r="AJ133" s="194" t="s">
        <v>168</v>
      </c>
      <c r="AK133" s="194" t="s">
        <v>168</v>
      </c>
      <c r="AL133" s="194" t="s">
        <v>168</v>
      </c>
      <c r="AM133" s="194" t="s">
        <v>168</v>
      </c>
      <c r="AN133" s="194" t="s">
        <v>168</v>
      </c>
      <c r="AO133" s="194" t="s">
        <v>168</v>
      </c>
      <c r="AQ133" s="81"/>
      <c r="AR133" s="81"/>
      <c r="AS133" s="81"/>
      <c r="AT133" s="81"/>
      <c r="AU133" s="81"/>
      <c r="BG133"/>
      <c r="BH133"/>
    </row>
    <row r="134" spans="1:60" ht="18" x14ac:dyDescent="0.35">
      <c r="A134" s="101">
        <f>A128+1</f>
        <v>15</v>
      </c>
      <c r="B134" s="101" t="str">
        <f>VLOOKUP(A134,STN_TABLE_2,2,FALSE)</f>
        <v xml:space="preserve">  </v>
      </c>
      <c r="C134" t="s">
        <v>0</v>
      </c>
      <c r="D134" t="s">
        <v>95</v>
      </c>
      <c r="E134" t="s">
        <v>164</v>
      </c>
      <c r="F134" t="s">
        <v>165</v>
      </c>
      <c r="G134" t="s">
        <v>13</v>
      </c>
      <c r="H134" t="s">
        <v>169</v>
      </c>
      <c r="I134" s="194" t="s">
        <v>168</v>
      </c>
      <c r="J134" s="194" t="s">
        <v>168</v>
      </c>
      <c r="K134" s="194" t="s">
        <v>168</v>
      </c>
      <c r="L134" s="194" t="s">
        <v>168</v>
      </c>
      <c r="M134" s="194" t="s">
        <v>168</v>
      </c>
      <c r="N134" s="194" t="s">
        <v>168</v>
      </c>
      <c r="O134" s="101">
        <f>O128+1</f>
        <v>17</v>
      </c>
      <c r="P134" s="101" t="str">
        <f t="shared" ref="P134" si="501">VLOOKUP(O134,STN_TABLE_2,2,FALSE)</f>
        <v xml:space="preserve">  </v>
      </c>
      <c r="Q134" t="s">
        <v>0</v>
      </c>
      <c r="R134" t="s">
        <v>95</v>
      </c>
      <c r="S134" t="s">
        <v>164</v>
      </c>
      <c r="T134" t="s">
        <v>165</v>
      </c>
      <c r="U134" t="s">
        <v>166</v>
      </c>
      <c r="V134" t="s">
        <v>167</v>
      </c>
      <c r="W134" s="194" t="s">
        <v>168</v>
      </c>
      <c r="X134" s="194" t="s">
        <v>168</v>
      </c>
      <c r="Y134" s="194" t="s">
        <v>168</v>
      </c>
      <c r="Z134" s="194" t="s">
        <v>168</v>
      </c>
      <c r="AA134" s="194" t="s">
        <v>168</v>
      </c>
      <c r="AB134" s="194" t="s">
        <v>168</v>
      </c>
      <c r="BG134"/>
      <c r="BH134"/>
    </row>
    <row r="135" spans="1:60" ht="18" x14ac:dyDescent="0.35">
      <c r="A135" s="84">
        <f>A134+1</f>
        <v>16</v>
      </c>
      <c r="B135" s="84" t="str">
        <f>VLOOKUP(A135,STN_TABLE_2,2,FALSE)</f>
        <v xml:space="preserve">  </v>
      </c>
      <c r="C135" s="79" t="e">
        <f t="shared" ref="C135" si="502">IF(C136=B137,IF(C137-C136=C136-B136,B136,IF(C137-C136=C136-B135,B135,"#NA")),IF(C136=B136,IF(C137-C136=C136-B135,B135,IF(C137-C136=C136-B134,B134,"#NA")),"#NA"))</f>
        <v>#VALUE!</v>
      </c>
      <c r="D135" s="68" t="e">
        <f>VLOOKUP(C135,STN_TABLE,2,FALSE)</f>
        <v>#VALUE!</v>
      </c>
      <c r="E135" s="102">
        <v>1</v>
      </c>
      <c r="F135" s="68" t="e">
        <f t="shared" ref="F135:F137" si="503">D135*E135</f>
        <v>#VALUE!</v>
      </c>
      <c r="G135" s="69" t="e">
        <f t="shared" ref="G135:G137" si="504">C135</f>
        <v>#VALUE!</v>
      </c>
      <c r="H135" s="69" t="e">
        <f t="shared" ref="H135:H137" si="505">F135*G135</f>
        <v>#VALUE!</v>
      </c>
      <c r="I135" s="6" t="s">
        <v>93</v>
      </c>
      <c r="J135" s="70" t="e">
        <f>IF(OR(D135=0,D136=0,D137=0),"#NA",IF(AND(C137-C136=C136-C135,C136&lt;&gt;C137,C135&lt;&gt;C136,C135&lt;&gt;C137,D137&lt;&gt;0,OR(D135&lt;&gt;0,D136&lt;&gt;0)),WLS*(C137-C136),"#NA"))</f>
        <v>#VALUE!</v>
      </c>
      <c r="K135" s="194" t="s">
        <v>168</v>
      </c>
      <c r="L135" s="194" t="s">
        <v>168</v>
      </c>
      <c r="M135" s="194" t="s">
        <v>168</v>
      </c>
      <c r="N135" s="194" t="s">
        <v>168</v>
      </c>
      <c r="O135" s="99">
        <f>O134+1</f>
        <v>18</v>
      </c>
      <c r="P135" s="99" t="str">
        <f t="shared" si="365"/>
        <v xml:space="preserve">  </v>
      </c>
      <c r="Q135" s="68" t="e">
        <f t="shared" ref="Q135" si="506">IF(OR(P137-P136=P136-P135,P138-P136=P136-P135),P135,IF(OR(P137-P136=P136-P134,P138-P136=P136-P134),P134,"-"))</f>
        <v>#VALUE!</v>
      </c>
      <c r="R135" s="69" t="e">
        <f>VLOOKUP(Q135,STN_TABLE,2,FALSE)</f>
        <v>#VALUE!</v>
      </c>
      <c r="S135" s="69">
        <v>5</v>
      </c>
      <c r="T135" s="68" t="e">
        <f t="shared" ref="T135:T137" si="507">R135*S135</f>
        <v>#VALUE!</v>
      </c>
      <c r="U135" s="79">
        <v>3</v>
      </c>
      <c r="V135" s="68" t="e">
        <f t="shared" ref="V135:V137" si="508">R135*U135</f>
        <v>#VALUE!</v>
      </c>
      <c r="W135" s="6" t="s">
        <v>93</v>
      </c>
      <c r="X135" s="70" t="e">
        <f>IF(AND(Q137-Q136=Q136-Q135,NOT(AND(Q135=0,Q136=0)),NOT(AND(Q136=0,Q137=0))),WLS*(Q137-Q136),"#NA")</f>
        <v>#VALUE!</v>
      </c>
      <c r="Y135" s="194" t="s">
        <v>168</v>
      </c>
      <c r="Z135" s="194" t="s">
        <v>168</v>
      </c>
      <c r="AA135" s="194" t="s">
        <v>168</v>
      </c>
      <c r="AB135" s="194" t="s">
        <v>168</v>
      </c>
      <c r="AD135" t="s">
        <v>0</v>
      </c>
      <c r="AE135" t="s">
        <v>95</v>
      </c>
      <c r="AF135" t="s">
        <v>173</v>
      </c>
      <c r="AG135" t="s">
        <v>183</v>
      </c>
      <c r="AH135" t="s">
        <v>175</v>
      </c>
      <c r="AI135" t="s">
        <v>184</v>
      </c>
      <c r="AJ135" s="6" t="s">
        <v>93</v>
      </c>
      <c r="AK135" s="70" t="e">
        <f>WLS*(AD137-AD136)</f>
        <v>#VALUE!</v>
      </c>
      <c r="AL135" s="194" t="s">
        <v>168</v>
      </c>
      <c r="AM135" s="194" t="s">
        <v>168</v>
      </c>
      <c r="AN135" s="194" t="s">
        <v>168</v>
      </c>
      <c r="AO135" s="194" t="s">
        <v>168</v>
      </c>
      <c r="BG135"/>
      <c r="BH135"/>
    </row>
    <row r="136" spans="1:60" x14ac:dyDescent="0.25">
      <c r="A136" s="84">
        <f>A135+1</f>
        <v>17</v>
      </c>
      <c r="B136" s="84" t="str">
        <f>VLOOKUP(A136,STN_TABLE_2,2,FALSE)</f>
        <v xml:space="preserve">  </v>
      </c>
      <c r="C136" s="80" t="e">
        <f t="shared" ref="C136" si="509">IF(OR(B138-B137=B137-B136,B138-B137=B137-B135,B138-B137=B137-B134),B137,IF(OR(B138-B136=B136-B135,B138-B136=B136-B134),B136,IF(B138-B135=B135-B134,B135,"#NA")))</f>
        <v>#VALUE!</v>
      </c>
      <c r="D136" s="76" t="e">
        <f>VLOOKUP(C136,STN_TABLE,2,FALSE)</f>
        <v>#VALUE!</v>
      </c>
      <c r="E136" s="81">
        <v>4</v>
      </c>
      <c r="F136" s="76" t="e">
        <f t="shared" si="503"/>
        <v>#VALUE!</v>
      </c>
      <c r="G136" s="77" t="e">
        <f t="shared" si="504"/>
        <v>#VALUE!</v>
      </c>
      <c r="H136" s="77" t="e">
        <f t="shared" si="505"/>
        <v>#VALUE!</v>
      </c>
      <c r="I136" s="204" t="s">
        <v>171</v>
      </c>
      <c r="J136" s="194" t="s">
        <v>168</v>
      </c>
      <c r="K136" s="78" t="s">
        <v>98</v>
      </c>
      <c r="L136" s="194" t="s">
        <v>168</v>
      </c>
      <c r="M136" s="7" t="s">
        <v>77</v>
      </c>
      <c r="N136" s="194" t="s">
        <v>168</v>
      </c>
      <c r="O136" s="99">
        <f>O135+1</f>
        <v>19</v>
      </c>
      <c r="P136" s="99" t="str">
        <f t="shared" si="365"/>
        <v xml:space="preserve">  </v>
      </c>
      <c r="Q136" s="76" t="str">
        <f t="shared" ref="Q136" si="510">P136</f>
        <v xml:space="preserve">  </v>
      </c>
      <c r="R136" s="77" t="str">
        <f>VLOOKUP(Q136,STN_TABLE,2,FALSE)</f>
        <v xml:space="preserve">  </v>
      </c>
      <c r="S136" s="77">
        <v>8</v>
      </c>
      <c r="T136" s="76" t="e">
        <f t="shared" si="507"/>
        <v>#VALUE!</v>
      </c>
      <c r="U136" s="80">
        <v>10</v>
      </c>
      <c r="V136" s="76" t="e">
        <f t="shared" si="508"/>
        <v>#VALUE!</v>
      </c>
      <c r="W136" s="204" t="s">
        <v>171</v>
      </c>
      <c r="X136" s="194" t="s">
        <v>168</v>
      </c>
      <c r="Y136" s="78" t="s">
        <v>98</v>
      </c>
      <c r="Z136" s="194" t="s">
        <v>168</v>
      </c>
      <c r="AA136" s="7" t="s">
        <v>77</v>
      </c>
      <c r="AB136" s="194" t="s">
        <v>168</v>
      </c>
      <c r="AC136" s="99">
        <f>AC130+1</f>
        <v>18</v>
      </c>
      <c r="AD136" s="95" t="str">
        <f>VLOOKUP(AC136,STN_TABLE_2,2,FALSE)</f>
        <v xml:space="preserve">  </v>
      </c>
      <c r="AE136" t="str">
        <f t="shared" ref="AE136:AE137" si="511">AG136</f>
        <v xml:space="preserve">  </v>
      </c>
      <c r="AF136">
        <v>1</v>
      </c>
      <c r="AG136" s="68" t="str">
        <f>VLOOKUP(AD136,STN_TABLE,2,FALSE)</f>
        <v xml:space="preserve">  </v>
      </c>
      <c r="AH136" s="68">
        <v>1</v>
      </c>
      <c r="AI136" s="69" t="e">
        <f t="shared" ref="AI136:AI137" si="512">AG136*AH136</f>
        <v>#VALUE!</v>
      </c>
      <c r="AJ136" s="204" t="s">
        <v>171</v>
      </c>
      <c r="AK136" s="194" t="s">
        <v>168</v>
      </c>
      <c r="AL136" s="78" t="s">
        <v>98</v>
      </c>
      <c r="AM136" s="194" t="s">
        <v>168</v>
      </c>
      <c r="AN136" s="7" t="s">
        <v>77</v>
      </c>
      <c r="AO136" s="194" t="s">
        <v>168</v>
      </c>
      <c r="AR136" s="86" t="s">
        <v>112</v>
      </c>
      <c r="AS136" s="89" t="s">
        <v>113</v>
      </c>
      <c r="AT136" s="89" t="s">
        <v>114</v>
      </c>
      <c r="AU136" s="89" t="s">
        <v>115</v>
      </c>
      <c r="AV136" s="71" t="e">
        <f t="shared" ref="AV136" si="513">IF(AV137=AR137,AR136,IF(AV137=AS137,AS136,IF(AV137=AT137,AT136,AU136)))</f>
        <v>#VALUE!</v>
      </c>
      <c r="BG136"/>
      <c r="BH136"/>
    </row>
    <row r="137" spans="1:60" x14ac:dyDescent="0.25">
      <c r="A137" s="84">
        <f>A136+1</f>
        <v>18</v>
      </c>
      <c r="B137" s="84" t="str">
        <f>VLOOKUP(A137,STN_TABLE_2,2,FALSE)</f>
        <v xml:space="preserve">  </v>
      </c>
      <c r="C137" s="88" t="str">
        <f t="shared" ref="C137" si="514">B138</f>
        <v xml:space="preserve">  </v>
      </c>
      <c r="D137" s="82" t="str">
        <f>VLOOKUP(C137,STN_TABLE,2,FALSE)</f>
        <v xml:space="preserve">  </v>
      </c>
      <c r="E137" s="92">
        <v>1</v>
      </c>
      <c r="F137" s="82" t="e">
        <f t="shared" si="503"/>
        <v>#VALUE!</v>
      </c>
      <c r="G137" s="83" t="str">
        <f t="shared" si="504"/>
        <v xml:space="preserve">  </v>
      </c>
      <c r="H137" s="83" t="e">
        <f t="shared" si="505"/>
        <v>#VALUE!</v>
      </c>
      <c r="I137" s="84" t="e">
        <f t="shared" ref="I137" si="515">CONCATENATE("a'(",C135,"~",C137,")=")</f>
        <v>#VALUE!</v>
      </c>
      <c r="J137" s="84" t="e">
        <f t="shared" ref="J137" si="516">2*J135/3*F138</f>
        <v>#VALUE!</v>
      </c>
      <c r="K137" s="84" t="e">
        <f t="shared" ref="K137" si="517">CONCATENATE("A(",C135,")=")</f>
        <v>#VALUE!</v>
      </c>
      <c r="L137" s="84" t="e">
        <f>VLOOKUP(C135,STN_TABLE,3,FALSE)</f>
        <v>#VALUE!</v>
      </c>
      <c r="M137" t="str">
        <f t="shared" ref="M137" si="518">CONCATENATE("A(",C137,")=")</f>
        <v>A(  )=</v>
      </c>
      <c r="N137" t="e">
        <f t="shared" ref="N137:N138" si="519">J137+L137</f>
        <v>#VALUE!</v>
      </c>
      <c r="O137" s="99">
        <f>O136+1</f>
        <v>20</v>
      </c>
      <c r="P137" s="99" t="str">
        <f t="shared" si="365"/>
        <v xml:space="preserve">  </v>
      </c>
      <c r="Q137" s="82" t="e">
        <f t="shared" ref="Q137" si="520">IF(P137-P136=P136-P135,P137,IF(P138-P136=P136-P135,P138,IF(P137-P136=P136-P134,P137,IF(P138-P136=P136-P134,P138,"-"))))</f>
        <v>#VALUE!</v>
      </c>
      <c r="R137" s="83" t="e">
        <f>VLOOKUP(Q137,STN_TABLE,2,FALSE)</f>
        <v>#VALUE!</v>
      </c>
      <c r="S137" s="83">
        <v>-1</v>
      </c>
      <c r="T137" s="82" t="e">
        <f t="shared" si="507"/>
        <v>#VALUE!</v>
      </c>
      <c r="U137" s="88">
        <v>-1</v>
      </c>
      <c r="V137" s="82" t="e">
        <f t="shared" si="508"/>
        <v>#VALUE!</v>
      </c>
      <c r="W137" s="84" t="e">
        <f t="shared" ref="W137" si="521">CONCATENATE("a'(",Q135,"~",Q136,")=")</f>
        <v>#VALUE!</v>
      </c>
      <c r="X137" s="84" t="e">
        <f t="shared" ref="X137" si="522">2*X135/12*T138</f>
        <v>#VALUE!</v>
      </c>
      <c r="Y137" s="84" t="e">
        <f t="shared" ref="Y137" si="523">CONCATENATE("A(",Q135,")=")</f>
        <v>#VALUE!</v>
      </c>
      <c r="Z137" s="84" t="e">
        <f>VLOOKUP(Q135,STN_TABLE,3,FALSE)</f>
        <v>#VALUE!</v>
      </c>
      <c r="AA137" t="str">
        <f t="shared" ref="AA137" si="524">CONCATENATE("A(",Q136,")=")</f>
        <v>A(  )=</v>
      </c>
      <c r="AB137" t="e">
        <f t="shared" ref="AB137:AB138" si="525">X137+Z137</f>
        <v>#VALUE!</v>
      </c>
      <c r="AC137" s="99">
        <f>AC136+1</f>
        <v>19</v>
      </c>
      <c r="AD137" s="100" t="str">
        <f>VLOOKUP(AC137,STN_TABLE_2,2,FALSE)</f>
        <v xml:space="preserve">  </v>
      </c>
      <c r="AE137" t="str">
        <f t="shared" si="511"/>
        <v xml:space="preserve">  </v>
      </c>
      <c r="AF137">
        <v>1</v>
      </c>
      <c r="AG137" s="82" t="str">
        <f>VLOOKUP(AD137,STN_TABLE,2,FALSE)</f>
        <v xml:space="preserve">  </v>
      </c>
      <c r="AH137" s="82">
        <v>2</v>
      </c>
      <c r="AI137" s="83" t="e">
        <f t="shared" si="512"/>
        <v>#VALUE!</v>
      </c>
      <c r="AJ137" s="84" t="str">
        <f t="shared" ref="AJ137" si="526">CONCATENATE("a'(",AD137,")=")</f>
        <v>a'(  )=</v>
      </c>
      <c r="AK137" s="84" t="e">
        <f t="shared" ref="AK137" si="527">2*AK135/2*AG138</f>
        <v>#VALUE!</v>
      </c>
      <c r="AL137" s="84" t="str">
        <f t="shared" ref="AL137" si="528">CONCATENATE("A(",AD136,")=")</f>
        <v>A(  )=</v>
      </c>
      <c r="AM137" s="84" t="str">
        <f>VLOOKUP(AD136,STN_TABLE,3,FALSE)</f>
        <v xml:space="preserve"> </v>
      </c>
      <c r="AN137" t="str">
        <f t="shared" ref="AN137" si="529">CONCATENATE("A(",AD137,")=")</f>
        <v>A(  )=</v>
      </c>
      <c r="AO137" t="e">
        <f t="shared" ref="AO137:AO138" si="530">AK137+AM137</f>
        <v>#VALUE!</v>
      </c>
      <c r="AQ137" s="68" t="str">
        <f>AA137</f>
        <v>A(  )=</v>
      </c>
      <c r="AR137" s="68" t="str">
        <f>IFERROR(VLOOKUP(AQ137,Rise_Results,2,FALSE),"-")</f>
        <v>-</v>
      </c>
      <c r="AS137" s="76" t="str">
        <f>IFERROR(N137,"-")</f>
        <v>-</v>
      </c>
      <c r="AT137" s="76" t="str">
        <f>IFERROR(IF(OR(AB137&lt;=0,AB138&lt;=0),1/0,AB137),"-")</f>
        <v>-</v>
      </c>
      <c r="AU137" s="76" t="e">
        <f t="shared" ref="AU137:AU138" si="531">AO137</f>
        <v>#VALUE!</v>
      </c>
      <c r="AV137" t="e">
        <f t="shared" ref="AV137:AV138" si="532">IF(ISNUMBER(AR137),AR137,IF(ISNUMBER(AS137),AS137,IF(ISNUMBER(AT137),AT137,AU137)))</f>
        <v>#VALUE!</v>
      </c>
      <c r="BG137"/>
      <c r="BH137"/>
    </row>
    <row r="138" spans="1:60" x14ac:dyDescent="0.25">
      <c r="A138" s="84">
        <f>A137+1</f>
        <v>19</v>
      </c>
      <c r="B138" s="84" t="str">
        <f>VLOOKUP(A138,STN_TABLE_2,2,FALSE)</f>
        <v xml:space="preserve">  </v>
      </c>
      <c r="C138" s="194" t="s">
        <v>168</v>
      </c>
      <c r="D138" s="194" t="s">
        <v>168</v>
      </c>
      <c r="E138" s="6" t="s">
        <v>172</v>
      </c>
      <c r="F138" s="89" t="e">
        <f t="shared" ref="F138" si="533">SUM(F135:F137)</f>
        <v>#VALUE!</v>
      </c>
      <c r="G138" s="6" t="s">
        <v>172</v>
      </c>
      <c r="H138" s="82" t="e">
        <f t="shared" ref="H138" si="534">SUM(H135:H137)</f>
        <v>#VALUE!</v>
      </c>
      <c r="I138" s="84" t="e">
        <f t="shared" ref="I138" si="535">CONCATENATE("m'(",C135,"~",C137,")=")</f>
        <v>#VALUE!</v>
      </c>
      <c r="J138" s="84" t="e">
        <f>2*(J135*(WLS))/3*H138</f>
        <v>#VALUE!</v>
      </c>
      <c r="K138" s="84" t="e">
        <f t="shared" ref="K138" si="536">CONCATENATE("M(",C135,")=")</f>
        <v>#VALUE!</v>
      </c>
      <c r="L138" s="84" t="e">
        <f>VLOOKUP(C135,STN_TABLE,4,FALSE)</f>
        <v>#VALUE!</v>
      </c>
      <c r="M138" t="str">
        <f t="shared" ref="M138" si="537">CONCATENATE("M(",C137,")=")</f>
        <v>M(  )=</v>
      </c>
      <c r="N138" t="e">
        <f t="shared" si="519"/>
        <v>#VALUE!</v>
      </c>
      <c r="O138" s="99">
        <f>O137+1</f>
        <v>21</v>
      </c>
      <c r="P138" s="99" t="str">
        <f t="shared" si="365"/>
        <v xml:space="preserve">  </v>
      </c>
      <c r="Q138" s="194" t="s">
        <v>168</v>
      </c>
      <c r="R138" s="194" t="s">
        <v>168</v>
      </c>
      <c r="S138" s="6" t="s">
        <v>172</v>
      </c>
      <c r="T138" s="89" t="e">
        <f t="shared" si="146"/>
        <v>#VALUE!</v>
      </c>
      <c r="U138" s="6" t="s">
        <v>172</v>
      </c>
      <c r="V138" s="82" t="e">
        <f t="shared" si="147"/>
        <v>#VALUE!</v>
      </c>
      <c r="W138" s="84" t="e">
        <f t="shared" ref="W138" si="538">CONCATENATE("m'(",Q135,"~",Q136,")=")</f>
        <v>#VALUE!</v>
      </c>
      <c r="X138" s="84" t="e">
        <f>(2*(X135^2)/24*V138)+(X137*Q135*WLS)</f>
        <v>#VALUE!</v>
      </c>
      <c r="Y138" s="84" t="e">
        <f t="shared" ref="Y138" si="539">CONCATENATE("M(",Q135,")=")</f>
        <v>#VALUE!</v>
      </c>
      <c r="Z138" s="84" t="e">
        <f>VLOOKUP(Q135,STN_TABLE,4,FALSE)</f>
        <v>#VALUE!</v>
      </c>
      <c r="AA138" t="str">
        <f t="shared" ref="AA138" si="540">CONCATENATE("M(",Q136,")=")</f>
        <v>M(  )=</v>
      </c>
      <c r="AB138" t="e">
        <f t="shared" si="525"/>
        <v>#VALUE!</v>
      </c>
      <c r="AD138" s="194" t="s">
        <v>168</v>
      </c>
      <c r="AE138" s="194" t="s">
        <v>168</v>
      </c>
      <c r="AF138" s="6" t="s">
        <v>172</v>
      </c>
      <c r="AG138" s="89">
        <f t="shared" si="151"/>
        <v>0</v>
      </c>
      <c r="AH138" s="6" t="s">
        <v>172</v>
      </c>
      <c r="AI138" s="89" t="e">
        <f t="shared" si="152"/>
        <v>#VALUE!</v>
      </c>
      <c r="AJ138" s="84" t="str">
        <f t="shared" ref="AJ138" si="541">CONCATENATE("m'(",AD137,")=")</f>
        <v>m'(  )=</v>
      </c>
      <c r="AK138" s="84" t="e">
        <f>(2*(AK135^2)/6*AI138)+(AK137*AD136*WLS)</f>
        <v>#VALUE!</v>
      </c>
      <c r="AL138" s="84" t="str">
        <f t="shared" ref="AL138" si="542">CONCATENATE("M(",AD136,")=")</f>
        <v>M(  )=</v>
      </c>
      <c r="AM138" s="84" t="str">
        <f>VLOOKUP(AD136,STN_TABLE,4,FALSE)</f>
        <v xml:space="preserve"> </v>
      </c>
      <c r="AN138" t="str">
        <f t="shared" ref="AN138" si="543">CONCATENATE("M(",AD137,")=")</f>
        <v>M(  )=</v>
      </c>
      <c r="AO138" t="e">
        <f t="shared" si="530"/>
        <v>#VALUE!</v>
      </c>
      <c r="AQ138" s="82" t="str">
        <f>AA138</f>
        <v>M(  )=</v>
      </c>
      <c r="AR138" s="82" t="str">
        <f>IFERROR(VLOOKUP(AQ138,Rise_Results,2,FALSE),"-")</f>
        <v>-</v>
      </c>
      <c r="AS138" s="82" t="str">
        <f>IFERROR(N138,"-")</f>
        <v>-</v>
      </c>
      <c r="AT138" s="82" t="str">
        <f>IFERROR(IF(OR(AB137&lt;=0,AB138&lt;=0),1/0,AB138),"-")</f>
        <v>-</v>
      </c>
      <c r="AU138" s="82" t="e">
        <f t="shared" si="531"/>
        <v>#VALUE!</v>
      </c>
      <c r="AV138" t="e">
        <f t="shared" si="532"/>
        <v>#VALUE!</v>
      </c>
      <c r="BG138"/>
      <c r="BH138"/>
    </row>
    <row r="139" spans="1:60" x14ac:dyDescent="0.25">
      <c r="A139" s="84"/>
      <c r="B139" s="84"/>
      <c r="F139" s="81"/>
      <c r="H139" s="81"/>
      <c r="I139" s="84"/>
      <c r="J139" s="84"/>
      <c r="K139" s="84"/>
      <c r="L139" s="84"/>
      <c r="O139" s="99"/>
      <c r="P139" s="99"/>
      <c r="T139" s="81"/>
      <c r="V139" s="81"/>
      <c r="W139" s="84"/>
      <c r="X139" s="84"/>
      <c r="Y139" s="84"/>
      <c r="Z139" s="84"/>
      <c r="AD139" s="194" t="s">
        <v>168</v>
      </c>
      <c r="AE139" s="194" t="s">
        <v>168</v>
      </c>
      <c r="AF139" s="194" t="s">
        <v>168</v>
      </c>
      <c r="AG139" s="194" t="s">
        <v>168</v>
      </c>
      <c r="AH139" s="194" t="s">
        <v>168</v>
      </c>
      <c r="AI139" s="194" t="s">
        <v>168</v>
      </c>
      <c r="AJ139" s="194" t="s">
        <v>168</v>
      </c>
      <c r="AK139" s="194" t="s">
        <v>168</v>
      </c>
      <c r="AL139" s="194" t="s">
        <v>168</v>
      </c>
      <c r="AM139" s="194" t="s">
        <v>168</v>
      </c>
      <c r="AN139" s="194" t="s">
        <v>168</v>
      </c>
      <c r="AO139" s="194" t="s">
        <v>168</v>
      </c>
      <c r="AQ139" s="81"/>
      <c r="AR139" s="81"/>
      <c r="AS139" s="81"/>
      <c r="AT139" s="81"/>
      <c r="AU139" s="81"/>
      <c r="BG139"/>
      <c r="BH139"/>
    </row>
    <row r="140" spans="1:60" ht="18" x14ac:dyDescent="0.35">
      <c r="A140" s="101">
        <f>A134+1</f>
        <v>16</v>
      </c>
      <c r="B140" s="101" t="str">
        <f>VLOOKUP(A140,STN_TABLE_2,2,FALSE)</f>
        <v xml:space="preserve">  </v>
      </c>
      <c r="C140" t="s">
        <v>0</v>
      </c>
      <c r="D140" t="s">
        <v>95</v>
      </c>
      <c r="E140" t="s">
        <v>164</v>
      </c>
      <c r="F140" t="s">
        <v>165</v>
      </c>
      <c r="G140" t="s">
        <v>13</v>
      </c>
      <c r="H140" t="s">
        <v>169</v>
      </c>
      <c r="I140" s="194" t="s">
        <v>168</v>
      </c>
      <c r="J140" s="194" t="s">
        <v>168</v>
      </c>
      <c r="K140" s="194" t="s">
        <v>168</v>
      </c>
      <c r="L140" s="194" t="s">
        <v>168</v>
      </c>
      <c r="M140" s="194" t="s">
        <v>168</v>
      </c>
      <c r="N140" s="194" t="s">
        <v>168</v>
      </c>
      <c r="O140" s="101">
        <f>O134+1</f>
        <v>18</v>
      </c>
      <c r="P140" s="101" t="str">
        <f t="shared" ref="P140" si="544">VLOOKUP(O140,STN_TABLE_2,2,FALSE)</f>
        <v xml:space="preserve">  </v>
      </c>
      <c r="Q140" t="s">
        <v>0</v>
      </c>
      <c r="R140" t="s">
        <v>95</v>
      </c>
      <c r="S140" t="s">
        <v>164</v>
      </c>
      <c r="T140" t="s">
        <v>165</v>
      </c>
      <c r="U140" t="s">
        <v>166</v>
      </c>
      <c r="V140" t="s">
        <v>167</v>
      </c>
      <c r="W140" s="194" t="s">
        <v>168</v>
      </c>
      <c r="X140" s="194" t="s">
        <v>168</v>
      </c>
      <c r="Y140" s="194" t="s">
        <v>168</v>
      </c>
      <c r="Z140" s="194" t="s">
        <v>168</v>
      </c>
      <c r="AA140" s="194" t="s">
        <v>168</v>
      </c>
      <c r="AB140" s="194" t="s">
        <v>168</v>
      </c>
      <c r="BG140"/>
      <c r="BH140"/>
    </row>
    <row r="141" spans="1:60" ht="18" x14ac:dyDescent="0.35">
      <c r="A141" s="84">
        <f>A140+1</f>
        <v>17</v>
      </c>
      <c r="B141" s="84" t="str">
        <f>VLOOKUP(A141,STN_TABLE_2,2,FALSE)</f>
        <v xml:space="preserve">  </v>
      </c>
      <c r="C141" s="79" t="e">
        <f t="shared" ref="C141" si="545">IF(C142=B143,IF(C143-C142=C142-B142,B142,IF(C143-C142=C142-B141,B141,"#NA")),IF(C142=B142,IF(C143-C142=C142-B141,B141,IF(C143-C142=C142-B140,B140,"#NA")),"#NA"))</f>
        <v>#VALUE!</v>
      </c>
      <c r="D141" s="68" t="e">
        <f>VLOOKUP(C141,STN_TABLE,2,FALSE)</f>
        <v>#VALUE!</v>
      </c>
      <c r="E141" s="102">
        <v>1</v>
      </c>
      <c r="F141" s="68" t="e">
        <f t="shared" ref="F141:F143" si="546">D141*E141</f>
        <v>#VALUE!</v>
      </c>
      <c r="G141" s="69" t="e">
        <f t="shared" ref="G141:G143" si="547">C141</f>
        <v>#VALUE!</v>
      </c>
      <c r="H141" s="69" t="e">
        <f t="shared" ref="H141:H143" si="548">F141*G141</f>
        <v>#VALUE!</v>
      </c>
      <c r="I141" s="6" t="s">
        <v>93</v>
      </c>
      <c r="J141" s="70" t="e">
        <f>IF(OR(D141=0,D142=0,D143=0),"#NA",IF(AND(C143-C142=C142-C141,C142&lt;&gt;C143,C141&lt;&gt;C142,C141&lt;&gt;C143,D143&lt;&gt;0,OR(D141&lt;&gt;0,D142&lt;&gt;0)),WLS*(C143-C142),"#NA"))</f>
        <v>#VALUE!</v>
      </c>
      <c r="K141" s="194" t="s">
        <v>168</v>
      </c>
      <c r="L141" s="194" t="s">
        <v>168</v>
      </c>
      <c r="M141" s="194" t="s">
        <v>168</v>
      </c>
      <c r="N141" s="194" t="s">
        <v>168</v>
      </c>
      <c r="O141" s="99">
        <f>O140+1</f>
        <v>19</v>
      </c>
      <c r="P141" s="99" t="str">
        <f t="shared" si="365"/>
        <v xml:space="preserve">  </v>
      </c>
      <c r="Q141" s="68" t="e">
        <f t="shared" ref="Q141" si="549">IF(OR(P143-P142=P142-P141,P144-P142=P142-P141),P141,IF(OR(P143-P142=P142-P140,P144-P142=P142-P140),P140,"-"))</f>
        <v>#VALUE!</v>
      </c>
      <c r="R141" s="69" t="e">
        <f>VLOOKUP(Q141,STN_TABLE,2,FALSE)</f>
        <v>#VALUE!</v>
      </c>
      <c r="S141" s="69">
        <v>5</v>
      </c>
      <c r="T141" s="68" t="e">
        <f t="shared" ref="T141:T143" si="550">R141*S141</f>
        <v>#VALUE!</v>
      </c>
      <c r="U141" s="79">
        <v>3</v>
      </c>
      <c r="V141" s="68" t="e">
        <f t="shared" ref="V141:V143" si="551">R141*U141</f>
        <v>#VALUE!</v>
      </c>
      <c r="W141" s="6" t="s">
        <v>93</v>
      </c>
      <c r="X141" s="70" t="e">
        <f>IF(AND(Q143-Q142=Q142-Q141,NOT(AND(Q141=0,Q142=0)),NOT(AND(Q142=0,Q143=0))),WLS*(Q143-Q142),"#NA")</f>
        <v>#VALUE!</v>
      </c>
      <c r="Y141" s="194" t="s">
        <v>168</v>
      </c>
      <c r="Z141" s="194" t="s">
        <v>168</v>
      </c>
      <c r="AA141" s="194" t="s">
        <v>168</v>
      </c>
      <c r="AB141" s="194" t="s">
        <v>168</v>
      </c>
      <c r="AD141" t="s">
        <v>0</v>
      </c>
      <c r="AE141" t="s">
        <v>95</v>
      </c>
      <c r="AF141" t="s">
        <v>173</v>
      </c>
      <c r="AG141" t="s">
        <v>183</v>
      </c>
      <c r="AH141" t="s">
        <v>175</v>
      </c>
      <c r="AI141" t="s">
        <v>184</v>
      </c>
      <c r="AJ141" s="6" t="s">
        <v>93</v>
      </c>
      <c r="AK141" s="70" t="e">
        <f>WLS*(AD143-AD142)</f>
        <v>#VALUE!</v>
      </c>
      <c r="AL141" s="194" t="s">
        <v>168</v>
      </c>
      <c r="AM141" s="194" t="s">
        <v>168</v>
      </c>
      <c r="AN141" s="194" t="s">
        <v>168</v>
      </c>
      <c r="AO141" s="194" t="s">
        <v>168</v>
      </c>
      <c r="BG141"/>
      <c r="BH141"/>
    </row>
    <row r="142" spans="1:60" x14ac:dyDescent="0.25">
      <c r="A142" s="84">
        <f>A141+1</f>
        <v>18</v>
      </c>
      <c r="B142" s="84" t="str">
        <f>VLOOKUP(A142,STN_TABLE_2,2,FALSE)</f>
        <v xml:space="preserve">  </v>
      </c>
      <c r="C142" s="80" t="e">
        <f t="shared" ref="C142" si="552">IF(OR(B144-B143=B143-B142,B144-B143=B143-B141,B144-B143=B143-B140),B143,IF(OR(B144-B142=B142-B141,B144-B142=B142-B140),B142,IF(B144-B141=B141-B140,B141,"#NA")))</f>
        <v>#VALUE!</v>
      </c>
      <c r="D142" s="76" t="e">
        <f>VLOOKUP(C142,STN_TABLE,2,FALSE)</f>
        <v>#VALUE!</v>
      </c>
      <c r="E142" s="81">
        <v>4</v>
      </c>
      <c r="F142" s="76" t="e">
        <f t="shared" si="546"/>
        <v>#VALUE!</v>
      </c>
      <c r="G142" s="77" t="e">
        <f t="shared" si="547"/>
        <v>#VALUE!</v>
      </c>
      <c r="H142" s="77" t="e">
        <f t="shared" si="548"/>
        <v>#VALUE!</v>
      </c>
      <c r="I142" s="204" t="s">
        <v>171</v>
      </c>
      <c r="J142" s="194" t="s">
        <v>168</v>
      </c>
      <c r="K142" s="78" t="s">
        <v>98</v>
      </c>
      <c r="L142" s="194" t="s">
        <v>168</v>
      </c>
      <c r="M142" s="7" t="s">
        <v>77</v>
      </c>
      <c r="N142" s="194" t="s">
        <v>168</v>
      </c>
      <c r="O142" s="99">
        <f>O141+1</f>
        <v>20</v>
      </c>
      <c r="P142" s="99" t="str">
        <f t="shared" si="365"/>
        <v xml:space="preserve">  </v>
      </c>
      <c r="Q142" s="76" t="str">
        <f t="shared" ref="Q142" si="553">P142</f>
        <v xml:space="preserve">  </v>
      </c>
      <c r="R142" s="77" t="str">
        <f>VLOOKUP(Q142,STN_TABLE,2,FALSE)</f>
        <v xml:space="preserve">  </v>
      </c>
      <c r="S142" s="77">
        <v>8</v>
      </c>
      <c r="T142" s="76" t="e">
        <f t="shared" si="550"/>
        <v>#VALUE!</v>
      </c>
      <c r="U142" s="80">
        <v>10</v>
      </c>
      <c r="V142" s="76" t="e">
        <f t="shared" si="551"/>
        <v>#VALUE!</v>
      </c>
      <c r="W142" s="204" t="s">
        <v>171</v>
      </c>
      <c r="X142" s="194" t="s">
        <v>168</v>
      </c>
      <c r="Y142" s="78" t="s">
        <v>98</v>
      </c>
      <c r="Z142" s="194" t="s">
        <v>168</v>
      </c>
      <c r="AA142" s="7" t="s">
        <v>77</v>
      </c>
      <c r="AB142" s="194" t="s">
        <v>168</v>
      </c>
      <c r="AC142" s="99">
        <f>AC136+1</f>
        <v>19</v>
      </c>
      <c r="AD142" s="95" t="str">
        <f>VLOOKUP(AC142,STN_TABLE_2,2,FALSE)</f>
        <v xml:space="preserve">  </v>
      </c>
      <c r="AE142" t="str">
        <f t="shared" ref="AE142:AE143" si="554">AG142</f>
        <v xml:space="preserve">  </v>
      </c>
      <c r="AF142">
        <v>1</v>
      </c>
      <c r="AG142" s="68" t="str">
        <f>VLOOKUP(AD142,STN_TABLE,2,FALSE)</f>
        <v xml:space="preserve">  </v>
      </c>
      <c r="AH142" s="68">
        <v>1</v>
      </c>
      <c r="AI142" s="69" t="e">
        <f t="shared" ref="AI142:AI143" si="555">AG142*AH142</f>
        <v>#VALUE!</v>
      </c>
      <c r="AJ142" s="204" t="s">
        <v>171</v>
      </c>
      <c r="AK142" s="194" t="s">
        <v>168</v>
      </c>
      <c r="AL142" s="78" t="s">
        <v>98</v>
      </c>
      <c r="AM142" s="194" t="s">
        <v>168</v>
      </c>
      <c r="AN142" s="7" t="s">
        <v>77</v>
      </c>
      <c r="AO142" s="194" t="s">
        <v>168</v>
      </c>
      <c r="AR142" s="86" t="s">
        <v>112</v>
      </c>
      <c r="AS142" s="89" t="s">
        <v>113</v>
      </c>
      <c r="AT142" s="89" t="s">
        <v>114</v>
      </c>
      <c r="AU142" s="89" t="s">
        <v>115</v>
      </c>
      <c r="AV142" s="71" t="e">
        <f t="shared" ref="AV142" si="556">IF(AV143=AR143,AR142,IF(AV143=AS143,AS142,IF(AV143=AT143,AT142,AU142)))</f>
        <v>#VALUE!</v>
      </c>
      <c r="BG142"/>
      <c r="BH142"/>
    </row>
    <row r="143" spans="1:60" x14ac:dyDescent="0.25">
      <c r="A143" s="84">
        <f>A142+1</f>
        <v>19</v>
      </c>
      <c r="B143" s="84" t="str">
        <f>VLOOKUP(A143,STN_TABLE_2,2,FALSE)</f>
        <v xml:space="preserve">  </v>
      </c>
      <c r="C143" s="88" t="str">
        <f t="shared" ref="C143" si="557">B144</f>
        <v xml:space="preserve">  </v>
      </c>
      <c r="D143" s="82" t="str">
        <f>VLOOKUP(C143,STN_TABLE,2,FALSE)</f>
        <v xml:space="preserve">  </v>
      </c>
      <c r="E143" s="92">
        <v>1</v>
      </c>
      <c r="F143" s="82" t="e">
        <f t="shared" si="546"/>
        <v>#VALUE!</v>
      </c>
      <c r="G143" s="83" t="str">
        <f t="shared" si="547"/>
        <v xml:space="preserve">  </v>
      </c>
      <c r="H143" s="83" t="e">
        <f t="shared" si="548"/>
        <v>#VALUE!</v>
      </c>
      <c r="I143" s="84" t="e">
        <f t="shared" ref="I143" si="558">CONCATENATE("a'(",C141,"~",C143,")=")</f>
        <v>#VALUE!</v>
      </c>
      <c r="J143" s="84" t="e">
        <f t="shared" ref="J143" si="559">2*J141/3*F144</f>
        <v>#VALUE!</v>
      </c>
      <c r="K143" s="84" t="e">
        <f t="shared" ref="K143" si="560">CONCATENATE("A(",C141,")=")</f>
        <v>#VALUE!</v>
      </c>
      <c r="L143" s="84" t="e">
        <f>VLOOKUP(C141,STN_TABLE,3,FALSE)</f>
        <v>#VALUE!</v>
      </c>
      <c r="M143" t="str">
        <f t="shared" ref="M143" si="561">CONCATENATE("A(",C143,")=")</f>
        <v>A(  )=</v>
      </c>
      <c r="N143" t="e">
        <f t="shared" ref="N143:N144" si="562">J143+L143</f>
        <v>#VALUE!</v>
      </c>
      <c r="O143" s="99">
        <f>O142+1</f>
        <v>21</v>
      </c>
      <c r="P143" s="99" t="str">
        <f t="shared" si="365"/>
        <v xml:space="preserve">  </v>
      </c>
      <c r="Q143" s="82" t="e">
        <f t="shared" ref="Q143" si="563">IF(P143-P142=P142-P141,P143,IF(P144-P142=P142-P141,P144,IF(P143-P142=P142-P140,P143,IF(P144-P142=P142-P140,P144,"-"))))</f>
        <v>#VALUE!</v>
      </c>
      <c r="R143" s="83" t="e">
        <f>VLOOKUP(Q143,STN_TABLE,2,FALSE)</f>
        <v>#VALUE!</v>
      </c>
      <c r="S143" s="83">
        <v>-1</v>
      </c>
      <c r="T143" s="82" t="e">
        <f t="shared" si="550"/>
        <v>#VALUE!</v>
      </c>
      <c r="U143" s="88">
        <v>-1</v>
      </c>
      <c r="V143" s="82" t="e">
        <f t="shared" si="551"/>
        <v>#VALUE!</v>
      </c>
      <c r="W143" s="84" t="e">
        <f t="shared" ref="W143" si="564">CONCATENATE("a'(",Q141,"~",Q142,")=")</f>
        <v>#VALUE!</v>
      </c>
      <c r="X143" s="84" t="e">
        <f t="shared" ref="X143" si="565">2*X141/12*T144</f>
        <v>#VALUE!</v>
      </c>
      <c r="Y143" s="84" t="e">
        <f t="shared" ref="Y143" si="566">CONCATENATE("A(",Q141,")=")</f>
        <v>#VALUE!</v>
      </c>
      <c r="Z143" s="84" t="e">
        <f>VLOOKUP(Q141,STN_TABLE,3,FALSE)</f>
        <v>#VALUE!</v>
      </c>
      <c r="AA143" t="str">
        <f t="shared" ref="AA143" si="567">CONCATENATE("A(",Q142,")=")</f>
        <v>A(  )=</v>
      </c>
      <c r="AB143" t="e">
        <f t="shared" ref="AB143:AB144" si="568">X143+Z143</f>
        <v>#VALUE!</v>
      </c>
      <c r="AC143" s="99">
        <f>AC142+1</f>
        <v>20</v>
      </c>
      <c r="AD143" s="100" t="str">
        <f>VLOOKUP(AC143,STN_TABLE_2,2,FALSE)</f>
        <v xml:space="preserve">  </v>
      </c>
      <c r="AE143" t="str">
        <f t="shared" si="554"/>
        <v xml:space="preserve">  </v>
      </c>
      <c r="AF143">
        <v>1</v>
      </c>
      <c r="AG143" s="82" t="str">
        <f>VLOOKUP(AD143,STN_TABLE,2,FALSE)</f>
        <v xml:space="preserve">  </v>
      </c>
      <c r="AH143" s="82">
        <v>2</v>
      </c>
      <c r="AI143" s="83" t="e">
        <f t="shared" si="555"/>
        <v>#VALUE!</v>
      </c>
      <c r="AJ143" s="84" t="str">
        <f t="shared" ref="AJ143" si="569">CONCATENATE("a'(",AD143,")=")</f>
        <v>a'(  )=</v>
      </c>
      <c r="AK143" s="84" t="e">
        <f t="shared" ref="AK143" si="570">2*AK141/2*AG144</f>
        <v>#VALUE!</v>
      </c>
      <c r="AL143" s="84" t="str">
        <f t="shared" ref="AL143" si="571">CONCATENATE("A(",AD142,")=")</f>
        <v>A(  )=</v>
      </c>
      <c r="AM143" s="84" t="str">
        <f>VLOOKUP(AD142,STN_TABLE,3,FALSE)</f>
        <v xml:space="preserve"> </v>
      </c>
      <c r="AN143" t="str">
        <f t="shared" ref="AN143" si="572">CONCATENATE("A(",AD143,")=")</f>
        <v>A(  )=</v>
      </c>
      <c r="AO143" t="e">
        <f t="shared" ref="AO143:AO144" si="573">AK143+AM143</f>
        <v>#VALUE!</v>
      </c>
      <c r="AQ143" s="68" t="str">
        <f>AA143</f>
        <v>A(  )=</v>
      </c>
      <c r="AR143" s="68" t="str">
        <f>IFERROR(VLOOKUP(AQ143,Rise_Results,2,FALSE),"-")</f>
        <v>-</v>
      </c>
      <c r="AS143" s="76" t="str">
        <f>IFERROR(N143,"-")</f>
        <v>-</v>
      </c>
      <c r="AT143" s="76" t="str">
        <f>IFERROR(IF(OR(AB143&lt;=0,AB144&lt;=0),1/0,AB143),"-")</f>
        <v>-</v>
      </c>
      <c r="AU143" s="76" t="e">
        <f t="shared" ref="AU143:AU144" si="574">AO143</f>
        <v>#VALUE!</v>
      </c>
      <c r="AV143" t="e">
        <f t="shared" ref="AV143:AV144" si="575">IF(ISNUMBER(AR143),AR143,IF(ISNUMBER(AS143),AS143,IF(ISNUMBER(AT143),AT143,AU143)))</f>
        <v>#VALUE!</v>
      </c>
      <c r="BG143"/>
      <c r="BH143"/>
    </row>
    <row r="144" spans="1:60" x14ac:dyDescent="0.25">
      <c r="A144" s="84">
        <f>A143+1</f>
        <v>20</v>
      </c>
      <c r="B144" s="84" t="str">
        <f>VLOOKUP(A144,STN_TABLE_2,2,FALSE)</f>
        <v xml:space="preserve">  </v>
      </c>
      <c r="C144" s="194" t="s">
        <v>168</v>
      </c>
      <c r="D144" s="194" t="s">
        <v>168</v>
      </c>
      <c r="E144" s="6" t="s">
        <v>172</v>
      </c>
      <c r="F144" s="89" t="e">
        <f t="shared" ref="F144" si="576">SUM(F141:F143)</f>
        <v>#VALUE!</v>
      </c>
      <c r="G144" s="6" t="s">
        <v>172</v>
      </c>
      <c r="H144" s="82" t="e">
        <f t="shared" ref="H144" si="577">SUM(H141:H143)</f>
        <v>#VALUE!</v>
      </c>
      <c r="I144" s="84" t="e">
        <f t="shared" ref="I144" si="578">CONCATENATE("m'(",C141,"~",C143,")=")</f>
        <v>#VALUE!</v>
      </c>
      <c r="J144" s="84" t="e">
        <f>2*(J141*(WLS))/3*H144</f>
        <v>#VALUE!</v>
      </c>
      <c r="K144" s="84" t="e">
        <f t="shared" ref="K144" si="579">CONCATENATE("M(",C141,")=")</f>
        <v>#VALUE!</v>
      </c>
      <c r="L144" s="84" t="e">
        <f>VLOOKUP(C141,STN_TABLE,4,FALSE)</f>
        <v>#VALUE!</v>
      </c>
      <c r="M144" t="str">
        <f t="shared" ref="M144" si="580">CONCATENATE("M(",C143,")=")</f>
        <v>M(  )=</v>
      </c>
      <c r="N144" t="e">
        <f t="shared" si="562"/>
        <v>#VALUE!</v>
      </c>
      <c r="O144" s="99">
        <f>O143+1</f>
        <v>22</v>
      </c>
      <c r="P144" s="99" t="str">
        <f t="shared" si="365"/>
        <v xml:space="preserve">  </v>
      </c>
      <c r="Q144" s="194" t="s">
        <v>168</v>
      </c>
      <c r="R144" s="194" t="s">
        <v>168</v>
      </c>
      <c r="S144" s="6" t="s">
        <v>172</v>
      </c>
      <c r="T144" s="89" t="e">
        <f t="shared" si="146"/>
        <v>#VALUE!</v>
      </c>
      <c r="U144" s="6" t="s">
        <v>172</v>
      </c>
      <c r="V144" s="82" t="e">
        <f t="shared" si="147"/>
        <v>#VALUE!</v>
      </c>
      <c r="W144" s="84" t="e">
        <f t="shared" ref="W144" si="581">CONCATENATE("m'(",Q141,"~",Q142,")=")</f>
        <v>#VALUE!</v>
      </c>
      <c r="X144" s="84" t="e">
        <f>(2*(X141^2)/24*V144)+(X143*Q141*WLS)</f>
        <v>#VALUE!</v>
      </c>
      <c r="Y144" s="84" t="e">
        <f t="shared" ref="Y144" si="582">CONCATENATE("M(",Q141,")=")</f>
        <v>#VALUE!</v>
      </c>
      <c r="Z144" s="84" t="e">
        <f>VLOOKUP(Q141,STN_TABLE,4,FALSE)</f>
        <v>#VALUE!</v>
      </c>
      <c r="AA144" t="str">
        <f t="shared" ref="AA144" si="583">CONCATENATE("M(",Q142,")=")</f>
        <v>M(  )=</v>
      </c>
      <c r="AB144" t="e">
        <f t="shared" si="568"/>
        <v>#VALUE!</v>
      </c>
      <c r="AD144" s="194" t="s">
        <v>168</v>
      </c>
      <c r="AE144" s="194" t="s">
        <v>168</v>
      </c>
      <c r="AF144" s="6" t="s">
        <v>172</v>
      </c>
      <c r="AG144" s="89">
        <f t="shared" si="151"/>
        <v>0</v>
      </c>
      <c r="AH144" s="6" t="s">
        <v>172</v>
      </c>
      <c r="AI144" s="89" t="e">
        <f t="shared" si="152"/>
        <v>#VALUE!</v>
      </c>
      <c r="AJ144" s="84" t="str">
        <f t="shared" ref="AJ144" si="584">CONCATENATE("m'(",AD143,")=")</f>
        <v>m'(  )=</v>
      </c>
      <c r="AK144" s="84" t="e">
        <f>(2*(AK141^2)/6*AI144)+(AK143*AD142*WLS)</f>
        <v>#VALUE!</v>
      </c>
      <c r="AL144" s="84" t="str">
        <f t="shared" ref="AL144" si="585">CONCATENATE("M(",AD142,")=")</f>
        <v>M(  )=</v>
      </c>
      <c r="AM144" s="84" t="str">
        <f>VLOOKUP(AD142,STN_TABLE,4,FALSE)</f>
        <v xml:space="preserve"> </v>
      </c>
      <c r="AN144" t="str">
        <f t="shared" ref="AN144" si="586">CONCATENATE("M(",AD143,")=")</f>
        <v>M(  )=</v>
      </c>
      <c r="AO144" t="e">
        <f t="shared" si="573"/>
        <v>#VALUE!</v>
      </c>
      <c r="AQ144" s="82" t="str">
        <f>AA144</f>
        <v>M(  )=</v>
      </c>
      <c r="AR144" s="82" t="str">
        <f>IFERROR(VLOOKUP(AQ144,Rise_Results,2,FALSE),"-")</f>
        <v>-</v>
      </c>
      <c r="AS144" s="82" t="str">
        <f>IFERROR(N144,"-")</f>
        <v>-</v>
      </c>
      <c r="AT144" s="82" t="str">
        <f>IFERROR(IF(OR(AB143&lt;=0,AB144&lt;=0),1/0,AB144),"-")</f>
        <v>-</v>
      </c>
      <c r="AU144" s="82" t="e">
        <f t="shared" si="574"/>
        <v>#VALUE!</v>
      </c>
      <c r="AV144" t="e">
        <f t="shared" si="575"/>
        <v>#VALUE!</v>
      </c>
      <c r="BG144"/>
      <c r="BH144"/>
    </row>
    <row r="145" spans="1:60" x14ac:dyDescent="0.25">
      <c r="A145" s="84"/>
      <c r="B145" s="84"/>
      <c r="F145" s="81"/>
      <c r="H145" s="81"/>
      <c r="I145" s="84"/>
      <c r="J145" s="84"/>
      <c r="K145" s="84"/>
      <c r="L145" s="84"/>
      <c r="O145" s="99"/>
      <c r="P145" s="99"/>
      <c r="T145" s="81"/>
      <c r="V145" s="81"/>
      <c r="W145" s="84"/>
      <c r="X145" s="84"/>
      <c r="Y145" s="84"/>
      <c r="Z145" s="84"/>
      <c r="AD145" s="194" t="s">
        <v>168</v>
      </c>
      <c r="AE145" s="194" t="s">
        <v>168</v>
      </c>
      <c r="AF145" s="194" t="s">
        <v>168</v>
      </c>
      <c r="AG145" s="194" t="s">
        <v>168</v>
      </c>
      <c r="AH145" s="194" t="s">
        <v>168</v>
      </c>
      <c r="AI145" s="194" t="s">
        <v>168</v>
      </c>
      <c r="AJ145" s="194" t="s">
        <v>168</v>
      </c>
      <c r="AK145" s="194" t="s">
        <v>168</v>
      </c>
      <c r="AL145" s="194" t="s">
        <v>168</v>
      </c>
      <c r="AM145" s="194" t="s">
        <v>168</v>
      </c>
      <c r="AN145" s="194" t="s">
        <v>168</v>
      </c>
      <c r="AO145" s="194" t="s">
        <v>168</v>
      </c>
      <c r="AQ145" s="81"/>
      <c r="AR145" s="81"/>
      <c r="AS145" s="81"/>
      <c r="AT145" s="81"/>
      <c r="AU145" s="81"/>
      <c r="BG145"/>
      <c r="BH145"/>
    </row>
    <row r="146" spans="1:60" ht="18" x14ac:dyDescent="0.35">
      <c r="A146" s="101">
        <f>A140+1</f>
        <v>17</v>
      </c>
      <c r="B146" s="101" t="str">
        <f>VLOOKUP(A146,STN_TABLE_2,2,FALSE)</f>
        <v xml:space="preserve">  </v>
      </c>
      <c r="C146" t="s">
        <v>0</v>
      </c>
      <c r="D146" t="s">
        <v>95</v>
      </c>
      <c r="E146" t="s">
        <v>164</v>
      </c>
      <c r="F146" t="s">
        <v>165</v>
      </c>
      <c r="G146" t="s">
        <v>13</v>
      </c>
      <c r="H146" t="s">
        <v>169</v>
      </c>
      <c r="I146" s="194" t="s">
        <v>168</v>
      </c>
      <c r="J146" s="194" t="s">
        <v>168</v>
      </c>
      <c r="K146" s="194" t="s">
        <v>168</v>
      </c>
      <c r="L146" s="194" t="s">
        <v>168</v>
      </c>
      <c r="M146" s="194" t="s">
        <v>168</v>
      </c>
      <c r="N146" s="194" t="s">
        <v>168</v>
      </c>
      <c r="O146" s="101">
        <f>O140+1</f>
        <v>19</v>
      </c>
      <c r="P146" s="101" t="str">
        <f t="shared" ref="P146" si="587">VLOOKUP(O146,STN_TABLE_2,2,FALSE)</f>
        <v xml:space="preserve">  </v>
      </c>
      <c r="Q146" t="s">
        <v>0</v>
      </c>
      <c r="R146" t="s">
        <v>95</v>
      </c>
      <c r="S146" t="s">
        <v>164</v>
      </c>
      <c r="T146" t="s">
        <v>165</v>
      </c>
      <c r="U146" t="s">
        <v>166</v>
      </c>
      <c r="V146" t="s">
        <v>167</v>
      </c>
      <c r="W146" s="194" t="s">
        <v>168</v>
      </c>
      <c r="X146" s="194" t="s">
        <v>168</v>
      </c>
      <c r="Y146" s="194" t="s">
        <v>168</v>
      </c>
      <c r="Z146" s="194" t="s">
        <v>168</v>
      </c>
      <c r="AA146" s="194" t="s">
        <v>168</v>
      </c>
      <c r="AB146" s="194" t="s">
        <v>168</v>
      </c>
      <c r="BG146"/>
      <c r="BH146"/>
    </row>
    <row r="147" spans="1:60" ht="18" x14ac:dyDescent="0.35">
      <c r="A147" s="84">
        <f>A146+1</f>
        <v>18</v>
      </c>
      <c r="B147" s="84" t="str">
        <f>VLOOKUP(A147,STN_TABLE_2,2,FALSE)</f>
        <v xml:space="preserve">  </v>
      </c>
      <c r="C147" s="79" t="e">
        <f t="shared" ref="C147" si="588">IF(C148=B149,IF(C149-C148=C148-B148,B148,IF(C149-C148=C148-B147,B147,"#NA")),IF(C148=B148,IF(C149-C148=C148-B147,B147,IF(C149-C148=C148-B146,B146,"#NA")),"#NA"))</f>
        <v>#VALUE!</v>
      </c>
      <c r="D147" s="68" t="e">
        <f>VLOOKUP(C147,STN_TABLE,2,FALSE)</f>
        <v>#VALUE!</v>
      </c>
      <c r="E147" s="102">
        <v>1</v>
      </c>
      <c r="F147" s="68" t="e">
        <f t="shared" ref="F147:F149" si="589">D147*E147</f>
        <v>#VALUE!</v>
      </c>
      <c r="G147" s="69" t="e">
        <f t="shared" ref="G147:G149" si="590">C147</f>
        <v>#VALUE!</v>
      </c>
      <c r="H147" s="69" t="e">
        <f t="shared" ref="H147:H149" si="591">F147*G147</f>
        <v>#VALUE!</v>
      </c>
      <c r="I147" s="6" t="s">
        <v>93</v>
      </c>
      <c r="J147" s="70" t="e">
        <f>IF(OR(D147=0,D148=0,D149=0),"#NA",IF(AND(C149-C148=C148-C147,C148&lt;&gt;C149,C147&lt;&gt;C148,C147&lt;&gt;C149,D149&lt;&gt;0,OR(D147&lt;&gt;0,D148&lt;&gt;0)),WLS*(C149-C148),"#NA"))</f>
        <v>#VALUE!</v>
      </c>
      <c r="K147" s="194" t="s">
        <v>168</v>
      </c>
      <c r="L147" s="194" t="s">
        <v>168</v>
      </c>
      <c r="M147" s="194" t="s">
        <v>168</v>
      </c>
      <c r="N147" s="194" t="s">
        <v>168</v>
      </c>
      <c r="O147" s="99">
        <f>O146+1</f>
        <v>20</v>
      </c>
      <c r="P147" s="99" t="str">
        <f t="shared" si="365"/>
        <v xml:space="preserve">  </v>
      </c>
      <c r="Q147" s="68" t="e">
        <f t="shared" ref="Q147" si="592">IF(OR(P149-P148=P148-P147,P150-P148=P148-P147),P147,IF(OR(P149-P148=P148-P146,P150-P148=P148-P146),P146,"-"))</f>
        <v>#VALUE!</v>
      </c>
      <c r="R147" s="69" t="e">
        <f>VLOOKUP(Q147,STN_TABLE,2,FALSE)</f>
        <v>#VALUE!</v>
      </c>
      <c r="S147" s="69">
        <v>5</v>
      </c>
      <c r="T147" s="68" t="e">
        <f t="shared" ref="T147:T149" si="593">R147*S147</f>
        <v>#VALUE!</v>
      </c>
      <c r="U147" s="79">
        <v>3</v>
      </c>
      <c r="V147" s="68" t="e">
        <f t="shared" ref="V147:V149" si="594">R147*U147</f>
        <v>#VALUE!</v>
      </c>
      <c r="W147" s="6" t="s">
        <v>93</v>
      </c>
      <c r="X147" s="70" t="e">
        <f>IF(AND(Q149-Q148=Q148-Q147,NOT(AND(Q147=0,Q148=0)),NOT(AND(Q148=0,Q149=0))),WLS*(Q149-Q148),"#NA")</f>
        <v>#VALUE!</v>
      </c>
      <c r="Y147" s="194" t="s">
        <v>168</v>
      </c>
      <c r="Z147" s="194" t="s">
        <v>168</v>
      </c>
      <c r="AA147" s="194" t="s">
        <v>168</v>
      </c>
      <c r="AB147" s="194" t="s">
        <v>168</v>
      </c>
      <c r="AD147" t="s">
        <v>0</v>
      </c>
      <c r="AE147" t="s">
        <v>95</v>
      </c>
      <c r="AF147" t="s">
        <v>173</v>
      </c>
      <c r="AG147" t="s">
        <v>183</v>
      </c>
      <c r="AH147" t="s">
        <v>175</v>
      </c>
      <c r="AI147" t="s">
        <v>184</v>
      </c>
      <c r="AJ147" s="6" t="s">
        <v>93</v>
      </c>
      <c r="AK147" s="70" t="e">
        <f>WLS*(AD149-AD148)</f>
        <v>#VALUE!</v>
      </c>
      <c r="AL147" s="194" t="s">
        <v>168</v>
      </c>
      <c r="AM147" s="194" t="s">
        <v>168</v>
      </c>
      <c r="AN147" s="194" t="s">
        <v>168</v>
      </c>
      <c r="AO147" s="194" t="s">
        <v>168</v>
      </c>
      <c r="BG147"/>
      <c r="BH147"/>
    </row>
    <row r="148" spans="1:60" x14ac:dyDescent="0.25">
      <c r="A148" s="84">
        <f>A147+1</f>
        <v>19</v>
      </c>
      <c r="B148" s="84" t="str">
        <f>VLOOKUP(A148,STN_TABLE_2,2,FALSE)</f>
        <v xml:space="preserve">  </v>
      </c>
      <c r="C148" s="80" t="e">
        <f t="shared" ref="C148" si="595">IF(OR(B150-B149=B149-B148,B150-B149=B149-B147,B150-B149=B149-B146),B149,IF(OR(B150-B148=B148-B147,B150-B148=B148-B146),B148,IF(B150-B147=B147-B146,B147,"#NA")))</f>
        <v>#VALUE!</v>
      </c>
      <c r="D148" s="76" t="e">
        <f>VLOOKUP(C148,STN_TABLE,2,FALSE)</f>
        <v>#VALUE!</v>
      </c>
      <c r="E148" s="81">
        <v>4</v>
      </c>
      <c r="F148" s="76" t="e">
        <f t="shared" si="589"/>
        <v>#VALUE!</v>
      </c>
      <c r="G148" s="77" t="e">
        <f t="shared" si="590"/>
        <v>#VALUE!</v>
      </c>
      <c r="H148" s="77" t="e">
        <f t="shared" si="591"/>
        <v>#VALUE!</v>
      </c>
      <c r="I148" s="204" t="s">
        <v>171</v>
      </c>
      <c r="J148" s="194" t="s">
        <v>168</v>
      </c>
      <c r="K148" s="78" t="s">
        <v>98</v>
      </c>
      <c r="L148" s="194" t="s">
        <v>168</v>
      </c>
      <c r="M148" s="7" t="s">
        <v>77</v>
      </c>
      <c r="N148" s="194" t="s">
        <v>168</v>
      </c>
      <c r="O148" s="99">
        <f>O147+1</f>
        <v>21</v>
      </c>
      <c r="P148" s="99" t="str">
        <f t="shared" si="365"/>
        <v xml:space="preserve">  </v>
      </c>
      <c r="Q148" s="76" t="str">
        <f t="shared" ref="Q148" si="596">P148</f>
        <v xml:space="preserve">  </v>
      </c>
      <c r="R148" s="77" t="str">
        <f>VLOOKUP(Q148,STN_TABLE,2,FALSE)</f>
        <v xml:space="preserve">  </v>
      </c>
      <c r="S148" s="77">
        <v>8</v>
      </c>
      <c r="T148" s="76" t="e">
        <f t="shared" si="593"/>
        <v>#VALUE!</v>
      </c>
      <c r="U148" s="80">
        <v>10</v>
      </c>
      <c r="V148" s="76" t="e">
        <f t="shared" si="594"/>
        <v>#VALUE!</v>
      </c>
      <c r="W148" s="204" t="s">
        <v>171</v>
      </c>
      <c r="X148" s="194" t="s">
        <v>168</v>
      </c>
      <c r="Y148" s="78" t="s">
        <v>98</v>
      </c>
      <c r="Z148" s="194" t="s">
        <v>168</v>
      </c>
      <c r="AA148" s="7" t="s">
        <v>77</v>
      </c>
      <c r="AB148" s="194" t="s">
        <v>168</v>
      </c>
      <c r="AC148" s="99">
        <f>AC142+1</f>
        <v>20</v>
      </c>
      <c r="AD148" s="95" t="str">
        <f>VLOOKUP(AC148,STN_TABLE_2,2,FALSE)</f>
        <v xml:space="preserve">  </v>
      </c>
      <c r="AE148" t="str">
        <f t="shared" ref="AE148:AE149" si="597">AG148</f>
        <v xml:space="preserve">  </v>
      </c>
      <c r="AF148">
        <v>1</v>
      </c>
      <c r="AG148" s="68" t="str">
        <f>VLOOKUP(AD148,STN_TABLE,2,FALSE)</f>
        <v xml:space="preserve">  </v>
      </c>
      <c r="AH148" s="68">
        <v>1</v>
      </c>
      <c r="AI148" s="69" t="e">
        <f t="shared" ref="AI148:AI149" si="598">AG148*AH148</f>
        <v>#VALUE!</v>
      </c>
      <c r="AJ148" s="204" t="s">
        <v>171</v>
      </c>
      <c r="AK148" s="194" t="s">
        <v>168</v>
      </c>
      <c r="AL148" s="78" t="s">
        <v>98</v>
      </c>
      <c r="AM148" s="194" t="s">
        <v>168</v>
      </c>
      <c r="AN148" s="7" t="s">
        <v>77</v>
      </c>
      <c r="AO148" s="194" t="s">
        <v>168</v>
      </c>
      <c r="AR148" s="86" t="s">
        <v>112</v>
      </c>
      <c r="AS148" s="89" t="s">
        <v>113</v>
      </c>
      <c r="AT148" s="89" t="s">
        <v>114</v>
      </c>
      <c r="AU148" s="89" t="s">
        <v>115</v>
      </c>
      <c r="AV148" s="71" t="e">
        <f t="shared" ref="AV148" si="599">IF(AV149=AR149,AR148,IF(AV149=AS149,AS148,IF(AV149=AT149,AT148,AU148)))</f>
        <v>#VALUE!</v>
      </c>
      <c r="BG148"/>
      <c r="BH148"/>
    </row>
    <row r="149" spans="1:60" x14ac:dyDescent="0.25">
      <c r="A149" s="84">
        <f>A148+1</f>
        <v>20</v>
      </c>
      <c r="B149" s="84" t="str">
        <f>VLOOKUP(A149,STN_TABLE_2,2,FALSE)</f>
        <v xml:space="preserve">  </v>
      </c>
      <c r="C149" s="88" t="str">
        <f t="shared" ref="C149" si="600">B150</f>
        <v xml:space="preserve">  </v>
      </c>
      <c r="D149" s="82" t="str">
        <f>VLOOKUP(C149,STN_TABLE,2,FALSE)</f>
        <v xml:space="preserve">  </v>
      </c>
      <c r="E149" s="92">
        <v>1</v>
      </c>
      <c r="F149" s="82" t="e">
        <f t="shared" si="589"/>
        <v>#VALUE!</v>
      </c>
      <c r="G149" s="83" t="str">
        <f t="shared" si="590"/>
        <v xml:space="preserve">  </v>
      </c>
      <c r="H149" s="83" t="e">
        <f t="shared" si="591"/>
        <v>#VALUE!</v>
      </c>
      <c r="I149" s="84" t="e">
        <f t="shared" ref="I149" si="601">CONCATENATE("a'(",C147,"~",C149,")=")</f>
        <v>#VALUE!</v>
      </c>
      <c r="J149" s="84" t="e">
        <f t="shared" ref="J149" si="602">2*J147/3*F150</f>
        <v>#VALUE!</v>
      </c>
      <c r="K149" s="84" t="e">
        <f t="shared" ref="K149" si="603">CONCATENATE("A(",C147,")=")</f>
        <v>#VALUE!</v>
      </c>
      <c r="L149" s="84" t="e">
        <f>VLOOKUP(C147,STN_TABLE,3,FALSE)</f>
        <v>#VALUE!</v>
      </c>
      <c r="M149" t="str">
        <f t="shared" ref="M149" si="604">CONCATENATE("A(",C149,")=")</f>
        <v>A(  )=</v>
      </c>
      <c r="N149" t="e">
        <f t="shared" ref="N149:N150" si="605">J149+L149</f>
        <v>#VALUE!</v>
      </c>
      <c r="O149" s="99">
        <f>O148+1</f>
        <v>22</v>
      </c>
      <c r="P149" s="99" t="str">
        <f t="shared" si="365"/>
        <v xml:space="preserve">  </v>
      </c>
      <c r="Q149" s="82" t="e">
        <f t="shared" ref="Q149" si="606">IF(P149-P148=P148-P147,P149,IF(P150-P148=P148-P147,P150,IF(P149-P148=P148-P146,P149,IF(P150-P148=P148-P146,P150,"-"))))</f>
        <v>#VALUE!</v>
      </c>
      <c r="R149" s="83" t="e">
        <f>VLOOKUP(Q149,STN_TABLE,2,FALSE)</f>
        <v>#VALUE!</v>
      </c>
      <c r="S149" s="83">
        <v>-1</v>
      </c>
      <c r="T149" s="82" t="e">
        <f t="shared" si="593"/>
        <v>#VALUE!</v>
      </c>
      <c r="U149" s="88">
        <v>-1</v>
      </c>
      <c r="V149" s="82" t="e">
        <f t="shared" si="594"/>
        <v>#VALUE!</v>
      </c>
      <c r="W149" s="84" t="e">
        <f t="shared" ref="W149" si="607">CONCATENATE("a'(",Q147,"~",Q148,")=")</f>
        <v>#VALUE!</v>
      </c>
      <c r="X149" s="84" t="e">
        <f t="shared" ref="X149" si="608">2*X147/12*T150</f>
        <v>#VALUE!</v>
      </c>
      <c r="Y149" s="84" t="e">
        <f t="shared" ref="Y149" si="609">CONCATENATE("A(",Q147,")=")</f>
        <v>#VALUE!</v>
      </c>
      <c r="Z149" s="84" t="e">
        <f>VLOOKUP(Q147,STN_TABLE,3,FALSE)</f>
        <v>#VALUE!</v>
      </c>
      <c r="AA149" t="str">
        <f t="shared" ref="AA149" si="610">CONCATENATE("A(",Q148,")=")</f>
        <v>A(  )=</v>
      </c>
      <c r="AB149" t="e">
        <f t="shared" ref="AB149:AB150" si="611">X149+Z149</f>
        <v>#VALUE!</v>
      </c>
      <c r="AC149" s="99">
        <f>AC148+1</f>
        <v>21</v>
      </c>
      <c r="AD149" s="100" t="str">
        <f>VLOOKUP(AC149,STN_TABLE_2,2,FALSE)</f>
        <v xml:space="preserve">  </v>
      </c>
      <c r="AE149" t="str">
        <f t="shared" si="597"/>
        <v xml:space="preserve">  </v>
      </c>
      <c r="AF149">
        <v>1</v>
      </c>
      <c r="AG149" s="82" t="str">
        <f>VLOOKUP(AD149,STN_TABLE,2,FALSE)</f>
        <v xml:space="preserve">  </v>
      </c>
      <c r="AH149" s="82">
        <v>2</v>
      </c>
      <c r="AI149" s="83" t="e">
        <f t="shared" si="598"/>
        <v>#VALUE!</v>
      </c>
      <c r="AJ149" s="84" t="str">
        <f t="shared" ref="AJ149" si="612">CONCATENATE("a'(",AD149,")=")</f>
        <v>a'(  )=</v>
      </c>
      <c r="AK149" s="84" t="e">
        <f t="shared" ref="AK149" si="613">2*AK147/2*AG150</f>
        <v>#VALUE!</v>
      </c>
      <c r="AL149" s="84" t="str">
        <f t="shared" ref="AL149" si="614">CONCATENATE("A(",AD148,")=")</f>
        <v>A(  )=</v>
      </c>
      <c r="AM149" s="84" t="str">
        <f>VLOOKUP(AD148,STN_TABLE,3,FALSE)</f>
        <v xml:space="preserve"> </v>
      </c>
      <c r="AN149" t="str">
        <f t="shared" ref="AN149" si="615">CONCATENATE("A(",AD149,")=")</f>
        <v>A(  )=</v>
      </c>
      <c r="AO149" t="e">
        <f t="shared" ref="AO149:AO150" si="616">AK149+AM149</f>
        <v>#VALUE!</v>
      </c>
      <c r="AQ149" s="68" t="str">
        <f>AA149</f>
        <v>A(  )=</v>
      </c>
      <c r="AR149" s="68" t="str">
        <f>IFERROR(VLOOKUP(AQ149,Rise_Results,2,FALSE),"-")</f>
        <v>-</v>
      </c>
      <c r="AS149" s="76" t="str">
        <f>IFERROR(N149,"-")</f>
        <v>-</v>
      </c>
      <c r="AT149" s="76" t="str">
        <f>IFERROR(IF(OR(AB149&lt;=0,AB150&lt;=0),1/0,AB149),"-")</f>
        <v>-</v>
      </c>
      <c r="AU149" s="76" t="e">
        <f t="shared" ref="AU149:AU150" si="617">AO149</f>
        <v>#VALUE!</v>
      </c>
      <c r="AV149" t="e">
        <f t="shared" ref="AV149:AV150" si="618">IF(ISNUMBER(AR149),AR149,IF(ISNUMBER(AS149),AS149,IF(ISNUMBER(AT149),AT149,AU149)))</f>
        <v>#VALUE!</v>
      </c>
      <c r="BG149"/>
      <c r="BH149"/>
    </row>
    <row r="150" spans="1:60" x14ac:dyDescent="0.25">
      <c r="A150" s="84">
        <f>A149+1</f>
        <v>21</v>
      </c>
      <c r="B150" s="84" t="str">
        <f>VLOOKUP(A150,STN_TABLE_2,2,FALSE)</f>
        <v xml:space="preserve">  </v>
      </c>
      <c r="C150" s="194" t="s">
        <v>168</v>
      </c>
      <c r="D150" s="194" t="s">
        <v>168</v>
      </c>
      <c r="E150" s="6" t="s">
        <v>172</v>
      </c>
      <c r="F150" s="89" t="e">
        <f t="shared" ref="F150" si="619">SUM(F147:F149)</f>
        <v>#VALUE!</v>
      </c>
      <c r="G150" s="6" t="s">
        <v>172</v>
      </c>
      <c r="H150" s="82" t="e">
        <f t="shared" ref="H150" si="620">SUM(H147:H149)</f>
        <v>#VALUE!</v>
      </c>
      <c r="I150" s="84" t="e">
        <f t="shared" ref="I150" si="621">CONCATENATE("m'(",C147,"~",C149,")=")</f>
        <v>#VALUE!</v>
      </c>
      <c r="J150" s="84" t="e">
        <f>2*(J147*(WLS))/3*H150</f>
        <v>#VALUE!</v>
      </c>
      <c r="K150" s="84" t="e">
        <f t="shared" ref="K150" si="622">CONCATENATE("M(",C147,")=")</f>
        <v>#VALUE!</v>
      </c>
      <c r="L150" s="84" t="e">
        <f>VLOOKUP(C147,STN_TABLE,4,FALSE)</f>
        <v>#VALUE!</v>
      </c>
      <c r="M150" t="str">
        <f t="shared" ref="M150" si="623">CONCATENATE("M(",C149,")=")</f>
        <v>M(  )=</v>
      </c>
      <c r="N150" t="e">
        <f t="shared" si="605"/>
        <v>#VALUE!</v>
      </c>
      <c r="O150" s="99">
        <f>O149+1</f>
        <v>23</v>
      </c>
      <c r="P150" s="99" t="str">
        <f t="shared" si="365"/>
        <v xml:space="preserve">  </v>
      </c>
      <c r="Q150" s="194" t="s">
        <v>168</v>
      </c>
      <c r="R150" s="194" t="s">
        <v>168</v>
      </c>
      <c r="S150" s="6" t="s">
        <v>172</v>
      </c>
      <c r="T150" s="89" t="e">
        <f t="shared" ref="T150:T168" si="624">SUM(T147:T149)</f>
        <v>#VALUE!</v>
      </c>
      <c r="U150" s="6" t="s">
        <v>172</v>
      </c>
      <c r="V150" s="82" t="e">
        <f t="shared" ref="V150:V168" si="625">SUM(V147:V149)</f>
        <v>#VALUE!</v>
      </c>
      <c r="W150" s="84" t="e">
        <f t="shared" ref="W150" si="626">CONCATENATE("m'(",Q147,"~",Q148,")=")</f>
        <v>#VALUE!</v>
      </c>
      <c r="X150" s="84" t="e">
        <f>(2*(X147^2)/24*V150)+(X149*Q147*WLS)</f>
        <v>#VALUE!</v>
      </c>
      <c r="Y150" s="84" t="e">
        <f t="shared" ref="Y150" si="627">CONCATENATE("M(",Q147,")=")</f>
        <v>#VALUE!</v>
      </c>
      <c r="Z150" s="84" t="e">
        <f>VLOOKUP(Q147,STN_TABLE,4,FALSE)</f>
        <v>#VALUE!</v>
      </c>
      <c r="AA150" t="str">
        <f t="shared" ref="AA150" si="628">CONCATENATE("M(",Q148,")=")</f>
        <v>M(  )=</v>
      </c>
      <c r="AB150" t="e">
        <f t="shared" si="611"/>
        <v>#VALUE!</v>
      </c>
      <c r="AD150" s="194" t="s">
        <v>168</v>
      </c>
      <c r="AE150" s="194" t="s">
        <v>168</v>
      </c>
      <c r="AF150" s="6" t="s">
        <v>172</v>
      </c>
      <c r="AG150" s="89">
        <f t="shared" ref="AG150:AG174" si="629">SUM(AG148:AG149)</f>
        <v>0</v>
      </c>
      <c r="AH150" s="6" t="s">
        <v>172</v>
      </c>
      <c r="AI150" s="89" t="e">
        <f t="shared" ref="AI150:AI174" si="630">SUM(AI148:AI149)</f>
        <v>#VALUE!</v>
      </c>
      <c r="AJ150" s="84" t="str">
        <f t="shared" ref="AJ150" si="631">CONCATENATE("m'(",AD149,")=")</f>
        <v>m'(  )=</v>
      </c>
      <c r="AK150" s="84" t="e">
        <f>(2*(AK147^2)/6*AI150)+(AK149*AD148*WLS)</f>
        <v>#VALUE!</v>
      </c>
      <c r="AL150" s="84" t="str">
        <f t="shared" ref="AL150" si="632">CONCATENATE("M(",AD148,")=")</f>
        <v>M(  )=</v>
      </c>
      <c r="AM150" s="84" t="str">
        <f>VLOOKUP(AD148,STN_TABLE,4,FALSE)</f>
        <v xml:space="preserve"> </v>
      </c>
      <c r="AN150" t="str">
        <f t="shared" ref="AN150" si="633">CONCATENATE("M(",AD149,")=")</f>
        <v>M(  )=</v>
      </c>
      <c r="AO150" t="e">
        <f t="shared" si="616"/>
        <v>#VALUE!</v>
      </c>
      <c r="AQ150" s="82" t="str">
        <f>AA150</f>
        <v>M(  )=</v>
      </c>
      <c r="AR150" s="82" t="str">
        <f>IFERROR(VLOOKUP(AQ150,Rise_Results,2,FALSE),"-")</f>
        <v>-</v>
      </c>
      <c r="AS150" s="82" t="str">
        <f>IFERROR(N150,"-")</f>
        <v>-</v>
      </c>
      <c r="AT150" s="82" t="str">
        <f>IFERROR(IF(OR(AB149&lt;=0,AB150&lt;=0),1/0,AB150),"-")</f>
        <v>-</v>
      </c>
      <c r="AU150" s="82" t="e">
        <f t="shared" si="617"/>
        <v>#VALUE!</v>
      </c>
      <c r="AV150" t="e">
        <f t="shared" si="618"/>
        <v>#VALUE!</v>
      </c>
      <c r="BG150"/>
      <c r="BH150"/>
    </row>
    <row r="151" spans="1:60" x14ac:dyDescent="0.25">
      <c r="A151" s="84"/>
      <c r="B151" s="84"/>
      <c r="F151" s="81"/>
      <c r="H151" s="81"/>
      <c r="I151" s="84"/>
      <c r="J151" s="84"/>
      <c r="K151" s="84"/>
      <c r="L151" s="84"/>
      <c r="O151" s="99"/>
      <c r="P151" s="99"/>
      <c r="T151" s="81"/>
      <c r="V151" s="81"/>
      <c r="W151" s="84"/>
      <c r="X151" s="84"/>
      <c r="Y151" s="84"/>
      <c r="Z151" s="84"/>
      <c r="AD151" s="194" t="s">
        <v>168</v>
      </c>
      <c r="AE151" s="194" t="s">
        <v>168</v>
      </c>
      <c r="AF151" s="194" t="s">
        <v>168</v>
      </c>
      <c r="AG151" s="194" t="s">
        <v>168</v>
      </c>
      <c r="AH151" s="194" t="s">
        <v>168</v>
      </c>
      <c r="AI151" s="194" t="s">
        <v>168</v>
      </c>
      <c r="AJ151" s="194" t="s">
        <v>168</v>
      </c>
      <c r="AK151" s="194" t="s">
        <v>168</v>
      </c>
      <c r="AL151" s="194" t="s">
        <v>168</v>
      </c>
      <c r="AM151" s="194" t="s">
        <v>168</v>
      </c>
      <c r="AN151" s="194" t="s">
        <v>168</v>
      </c>
      <c r="AO151" s="194" t="s">
        <v>168</v>
      </c>
      <c r="AQ151" s="81"/>
      <c r="AR151" s="81"/>
      <c r="AS151" s="81"/>
      <c r="AT151" s="81"/>
      <c r="AU151" s="81"/>
      <c r="BG151"/>
      <c r="BH151"/>
    </row>
    <row r="152" spans="1:60" ht="18" x14ac:dyDescent="0.35">
      <c r="A152" s="101">
        <f>A146+1</f>
        <v>18</v>
      </c>
      <c r="B152" s="101" t="str">
        <f>VLOOKUP(A152,STN_TABLE_2,2,FALSE)</f>
        <v xml:space="preserve">  </v>
      </c>
      <c r="C152" t="s">
        <v>0</v>
      </c>
      <c r="D152" t="s">
        <v>95</v>
      </c>
      <c r="E152" t="s">
        <v>164</v>
      </c>
      <c r="F152" t="s">
        <v>165</v>
      </c>
      <c r="G152" t="s">
        <v>13</v>
      </c>
      <c r="H152" t="s">
        <v>169</v>
      </c>
      <c r="I152" s="194" t="s">
        <v>168</v>
      </c>
      <c r="J152" s="194" t="s">
        <v>168</v>
      </c>
      <c r="K152" s="194" t="s">
        <v>168</v>
      </c>
      <c r="L152" s="194" t="s">
        <v>168</v>
      </c>
      <c r="M152" s="194" t="s">
        <v>168</v>
      </c>
      <c r="N152" s="194" t="s">
        <v>168</v>
      </c>
      <c r="O152" s="101">
        <f>O146+1</f>
        <v>20</v>
      </c>
      <c r="P152" s="101" t="str">
        <f t="shared" ref="P152" si="634">VLOOKUP(O152,STN_TABLE_2,2,FALSE)</f>
        <v xml:space="preserve">  </v>
      </c>
      <c r="Q152" t="s">
        <v>0</v>
      </c>
      <c r="R152" t="s">
        <v>95</v>
      </c>
      <c r="S152" t="s">
        <v>164</v>
      </c>
      <c r="T152" t="s">
        <v>165</v>
      </c>
      <c r="U152" t="s">
        <v>166</v>
      </c>
      <c r="V152" t="s">
        <v>167</v>
      </c>
      <c r="W152" s="194" t="s">
        <v>168</v>
      </c>
      <c r="X152" s="194" t="s">
        <v>168</v>
      </c>
      <c r="Y152" s="194" t="s">
        <v>168</v>
      </c>
      <c r="Z152" s="194" t="s">
        <v>168</v>
      </c>
      <c r="AA152" s="194" t="s">
        <v>168</v>
      </c>
      <c r="AB152" s="194" t="s">
        <v>168</v>
      </c>
      <c r="BG152"/>
      <c r="BH152"/>
    </row>
    <row r="153" spans="1:60" ht="18" x14ac:dyDescent="0.35">
      <c r="A153" s="84">
        <f>A152+1</f>
        <v>19</v>
      </c>
      <c r="B153" s="84" t="str">
        <f>VLOOKUP(A153,STN_TABLE_2,2,FALSE)</f>
        <v xml:space="preserve">  </v>
      </c>
      <c r="C153" s="79" t="e">
        <f t="shared" ref="C153" si="635">IF(C154=B155,IF(C155-C154=C154-B154,B154,IF(C155-C154=C154-B153,B153,"#NA")),IF(C154=B154,IF(C155-C154=C154-B153,B153,IF(C155-C154=C154-B152,B152,"#NA")),"#NA"))</f>
        <v>#VALUE!</v>
      </c>
      <c r="D153" s="68" t="e">
        <f>VLOOKUP(C153,STN_TABLE,2,FALSE)</f>
        <v>#VALUE!</v>
      </c>
      <c r="E153" s="102">
        <v>1</v>
      </c>
      <c r="F153" s="68" t="e">
        <f t="shared" ref="F153:F155" si="636">D153*E153</f>
        <v>#VALUE!</v>
      </c>
      <c r="G153" s="69" t="e">
        <f t="shared" ref="G153:G155" si="637">C153</f>
        <v>#VALUE!</v>
      </c>
      <c r="H153" s="69" t="e">
        <f t="shared" ref="H153:H155" si="638">F153*G153</f>
        <v>#VALUE!</v>
      </c>
      <c r="I153" s="6" t="s">
        <v>93</v>
      </c>
      <c r="J153" s="70" t="e">
        <f>IF(OR(D153=0,D154=0,D155=0),"#NA",IF(AND(C155-C154=C154-C153,C154&lt;&gt;C155,C153&lt;&gt;C154,C153&lt;&gt;C155,D155&lt;&gt;0,OR(D153&lt;&gt;0,D154&lt;&gt;0)),WLS*(C155-C154),"#NA"))</f>
        <v>#VALUE!</v>
      </c>
      <c r="K153" s="194" t="s">
        <v>168</v>
      </c>
      <c r="L153" s="194" t="s">
        <v>168</v>
      </c>
      <c r="M153" s="194" t="s">
        <v>168</v>
      </c>
      <c r="N153" s="194" t="s">
        <v>168</v>
      </c>
      <c r="O153" s="99">
        <f>O152+1</f>
        <v>21</v>
      </c>
      <c r="P153" s="99" t="str">
        <f>VLOOKUP(O153,STN_TABLE_2,2,FALSE)</f>
        <v xml:space="preserve">  </v>
      </c>
      <c r="Q153" s="68" t="e">
        <f t="shared" ref="Q153" si="639">IF(OR(P155-P154=P154-P153,P156-P154=P154-P153),P153,IF(OR(P155-P154=P154-P152,P156-P154=P154-P152),P152,"-"))</f>
        <v>#VALUE!</v>
      </c>
      <c r="R153" s="69" t="e">
        <f>VLOOKUP(Q153,STN_TABLE,2,FALSE)</f>
        <v>#VALUE!</v>
      </c>
      <c r="S153" s="69">
        <v>5</v>
      </c>
      <c r="T153" s="68" t="e">
        <f t="shared" ref="T153:T155" si="640">R153*S153</f>
        <v>#VALUE!</v>
      </c>
      <c r="U153" s="79">
        <v>3</v>
      </c>
      <c r="V153" s="68" t="e">
        <f t="shared" ref="V153:V155" si="641">R153*U153</f>
        <v>#VALUE!</v>
      </c>
      <c r="W153" s="6" t="s">
        <v>93</v>
      </c>
      <c r="X153" s="70" t="e">
        <f>IF(AND(Q155-Q154=Q154-Q153,NOT(AND(Q153=0,Q154=0)),NOT(AND(Q154=0,Q155=0))),WLS*(Q155-Q154),"#NA")</f>
        <v>#VALUE!</v>
      </c>
      <c r="Y153" s="194" t="s">
        <v>168</v>
      </c>
      <c r="Z153" s="194" t="s">
        <v>168</v>
      </c>
      <c r="AA153" s="194" t="s">
        <v>168</v>
      </c>
      <c r="AB153" s="194" t="s">
        <v>168</v>
      </c>
      <c r="AD153" t="s">
        <v>0</v>
      </c>
      <c r="AE153" t="s">
        <v>95</v>
      </c>
      <c r="AF153" t="s">
        <v>173</v>
      </c>
      <c r="AG153" t="s">
        <v>183</v>
      </c>
      <c r="AH153" t="s">
        <v>175</v>
      </c>
      <c r="AI153" t="s">
        <v>184</v>
      </c>
      <c r="AJ153" s="6" t="s">
        <v>93</v>
      </c>
      <c r="AK153" s="70" t="e">
        <f>WLS*(AD155-AD154)</f>
        <v>#VALUE!</v>
      </c>
      <c r="AL153" s="194" t="s">
        <v>168</v>
      </c>
      <c r="AM153" s="194" t="s">
        <v>168</v>
      </c>
      <c r="AN153" s="194" t="s">
        <v>168</v>
      </c>
      <c r="AO153" s="194" t="s">
        <v>168</v>
      </c>
      <c r="BG153"/>
      <c r="BH153"/>
    </row>
    <row r="154" spans="1:60" x14ac:dyDescent="0.25">
      <c r="A154" s="84">
        <f>A153+1</f>
        <v>20</v>
      </c>
      <c r="B154" s="84" t="str">
        <f>VLOOKUP(A154,STN_TABLE_2,2,FALSE)</f>
        <v xml:space="preserve">  </v>
      </c>
      <c r="C154" s="80" t="e">
        <f t="shared" ref="C154" si="642">IF(OR(B156-B155=B155-B154,B156-B155=B155-B153,B156-B155=B155-B152),B155,IF(OR(B156-B154=B154-B153,B156-B154=B154-B152),B154,IF(B156-B153=B153-B152,B153,"#NA")))</f>
        <v>#VALUE!</v>
      </c>
      <c r="D154" s="76" t="e">
        <f>VLOOKUP(C154,STN_TABLE,2,FALSE)</f>
        <v>#VALUE!</v>
      </c>
      <c r="E154" s="81">
        <v>4</v>
      </c>
      <c r="F154" s="76" t="e">
        <f t="shared" si="636"/>
        <v>#VALUE!</v>
      </c>
      <c r="G154" s="77" t="e">
        <f t="shared" si="637"/>
        <v>#VALUE!</v>
      </c>
      <c r="H154" s="77" t="e">
        <f t="shared" si="638"/>
        <v>#VALUE!</v>
      </c>
      <c r="I154" s="204" t="s">
        <v>171</v>
      </c>
      <c r="J154" s="194" t="s">
        <v>168</v>
      </c>
      <c r="K154" s="78" t="s">
        <v>98</v>
      </c>
      <c r="L154" s="194" t="s">
        <v>168</v>
      </c>
      <c r="M154" s="7" t="s">
        <v>77</v>
      </c>
      <c r="N154" s="194" t="s">
        <v>168</v>
      </c>
      <c r="O154" s="99">
        <f>O153+1</f>
        <v>22</v>
      </c>
      <c r="P154" s="99" t="str">
        <f>VLOOKUP(O154,STN_TABLE_2,2,FALSE)</f>
        <v xml:space="preserve">  </v>
      </c>
      <c r="Q154" s="76" t="str">
        <f t="shared" ref="Q154" si="643">P154</f>
        <v xml:space="preserve">  </v>
      </c>
      <c r="R154" s="77" t="str">
        <f>VLOOKUP(Q154,STN_TABLE,2,FALSE)</f>
        <v xml:space="preserve">  </v>
      </c>
      <c r="S154" s="77">
        <v>8</v>
      </c>
      <c r="T154" s="76" t="e">
        <f t="shared" si="640"/>
        <v>#VALUE!</v>
      </c>
      <c r="U154" s="80">
        <v>10</v>
      </c>
      <c r="V154" s="76" t="e">
        <f t="shared" si="641"/>
        <v>#VALUE!</v>
      </c>
      <c r="W154" s="204" t="s">
        <v>171</v>
      </c>
      <c r="X154" s="194" t="s">
        <v>168</v>
      </c>
      <c r="Y154" s="78" t="s">
        <v>98</v>
      </c>
      <c r="Z154" s="194" t="s">
        <v>168</v>
      </c>
      <c r="AA154" s="7" t="s">
        <v>77</v>
      </c>
      <c r="AB154" s="194" t="s">
        <v>168</v>
      </c>
      <c r="AC154" s="99">
        <f>AC148+1</f>
        <v>21</v>
      </c>
      <c r="AD154" s="95" t="str">
        <f>VLOOKUP(AC154,STN_TABLE_2,2,FALSE)</f>
        <v xml:space="preserve">  </v>
      </c>
      <c r="AE154" t="str">
        <f t="shared" ref="AE154:AE155" si="644">AG154</f>
        <v xml:space="preserve">  </v>
      </c>
      <c r="AF154">
        <v>1</v>
      </c>
      <c r="AG154" s="68" t="str">
        <f>VLOOKUP(AD154,STN_TABLE,2,FALSE)</f>
        <v xml:space="preserve">  </v>
      </c>
      <c r="AH154" s="68">
        <v>1</v>
      </c>
      <c r="AI154" s="69" t="e">
        <f t="shared" ref="AI154:AI155" si="645">AG154*AH154</f>
        <v>#VALUE!</v>
      </c>
      <c r="AJ154" s="204" t="s">
        <v>171</v>
      </c>
      <c r="AK154" s="194" t="s">
        <v>168</v>
      </c>
      <c r="AL154" s="78" t="s">
        <v>98</v>
      </c>
      <c r="AM154" s="194" t="s">
        <v>168</v>
      </c>
      <c r="AN154" s="7" t="s">
        <v>77</v>
      </c>
      <c r="AO154" s="194" t="s">
        <v>168</v>
      </c>
      <c r="AR154" s="86" t="s">
        <v>112</v>
      </c>
      <c r="AS154" s="89" t="s">
        <v>113</v>
      </c>
      <c r="AT154" s="89" t="s">
        <v>114</v>
      </c>
      <c r="AU154" s="89" t="s">
        <v>115</v>
      </c>
      <c r="AV154" s="71" t="e">
        <f t="shared" ref="AV154" si="646">IF(AV155=AR155,AR154,IF(AV155=AS155,AS154,IF(AV155=AT155,AT154,AU154)))</f>
        <v>#VALUE!</v>
      </c>
      <c r="BG154"/>
      <c r="BH154"/>
    </row>
    <row r="155" spans="1:60" x14ac:dyDescent="0.25">
      <c r="A155" s="84">
        <f>A154+1</f>
        <v>21</v>
      </c>
      <c r="B155" s="84" t="str">
        <f>VLOOKUP(A155,STN_TABLE_2,2,FALSE)</f>
        <v xml:space="preserve">  </v>
      </c>
      <c r="C155" s="88" t="str">
        <f t="shared" ref="C155" si="647">B156</f>
        <v xml:space="preserve">  </v>
      </c>
      <c r="D155" s="82" t="str">
        <f>VLOOKUP(C155,STN_TABLE,2,FALSE)</f>
        <v xml:space="preserve">  </v>
      </c>
      <c r="E155" s="92">
        <v>1</v>
      </c>
      <c r="F155" s="82" t="e">
        <f t="shared" si="636"/>
        <v>#VALUE!</v>
      </c>
      <c r="G155" s="83" t="str">
        <f t="shared" si="637"/>
        <v xml:space="preserve">  </v>
      </c>
      <c r="H155" s="83" t="e">
        <f t="shared" si="638"/>
        <v>#VALUE!</v>
      </c>
      <c r="I155" s="84" t="e">
        <f t="shared" ref="I155" si="648">CONCATENATE("a'(",C153,"~",C155,")=")</f>
        <v>#VALUE!</v>
      </c>
      <c r="J155" s="84" t="e">
        <f t="shared" ref="J155" si="649">2*J153/3*F156</f>
        <v>#VALUE!</v>
      </c>
      <c r="K155" s="84" t="e">
        <f t="shared" ref="K155" si="650">CONCATENATE("A(",C153,")=")</f>
        <v>#VALUE!</v>
      </c>
      <c r="L155" s="84" t="e">
        <f>VLOOKUP(C153,STN_TABLE,3,FALSE)</f>
        <v>#VALUE!</v>
      </c>
      <c r="M155" t="str">
        <f t="shared" ref="M155" si="651">CONCATENATE("A(",C155,")=")</f>
        <v>A(  )=</v>
      </c>
      <c r="N155" t="e">
        <f t="shared" ref="N155:N156" si="652">J155+L155</f>
        <v>#VALUE!</v>
      </c>
      <c r="O155" s="99">
        <f>O154+1</f>
        <v>23</v>
      </c>
      <c r="P155" s="99" t="str">
        <f>VLOOKUP(O155,STN_TABLE_2,2,FALSE)</f>
        <v xml:space="preserve">  </v>
      </c>
      <c r="Q155" s="82" t="e">
        <f t="shared" ref="Q155" si="653">IF(P155-P154=P154-P153,P155,IF(P156-P154=P154-P153,P156,IF(P155-P154=P154-P152,P155,IF(P156-P154=P154-P152,P156,"-"))))</f>
        <v>#VALUE!</v>
      </c>
      <c r="R155" s="83" t="e">
        <f>VLOOKUP(Q155,STN_TABLE,2,FALSE)</f>
        <v>#VALUE!</v>
      </c>
      <c r="S155" s="83">
        <v>-1</v>
      </c>
      <c r="T155" s="82" t="e">
        <f t="shared" si="640"/>
        <v>#VALUE!</v>
      </c>
      <c r="U155" s="88">
        <v>-1</v>
      </c>
      <c r="V155" s="82" t="e">
        <f t="shared" si="641"/>
        <v>#VALUE!</v>
      </c>
      <c r="W155" s="84" t="e">
        <f t="shared" ref="W155" si="654">CONCATENATE("a'(",Q153,"~",Q154,")=")</f>
        <v>#VALUE!</v>
      </c>
      <c r="X155" s="84" t="e">
        <f t="shared" ref="X155" si="655">2*X153/12*T156</f>
        <v>#VALUE!</v>
      </c>
      <c r="Y155" s="84" t="e">
        <f t="shared" ref="Y155" si="656">CONCATENATE("A(",Q153,")=")</f>
        <v>#VALUE!</v>
      </c>
      <c r="Z155" s="84" t="e">
        <f>VLOOKUP(Q153,STN_TABLE,3,FALSE)</f>
        <v>#VALUE!</v>
      </c>
      <c r="AA155" t="str">
        <f t="shared" ref="AA155" si="657">CONCATENATE("A(",Q154,")=")</f>
        <v>A(  )=</v>
      </c>
      <c r="AB155" t="e">
        <f t="shared" ref="AB155:AB156" si="658">X155+Z155</f>
        <v>#VALUE!</v>
      </c>
      <c r="AC155" s="99">
        <f>AC154+1</f>
        <v>22</v>
      </c>
      <c r="AD155" s="100" t="str">
        <f>VLOOKUP(AC155,STN_TABLE_2,2,FALSE)</f>
        <v xml:space="preserve">  </v>
      </c>
      <c r="AE155" t="str">
        <f t="shared" si="644"/>
        <v xml:space="preserve">  </v>
      </c>
      <c r="AF155">
        <v>1</v>
      </c>
      <c r="AG155" s="82" t="str">
        <f>VLOOKUP(AD155,STN_TABLE,2,FALSE)</f>
        <v xml:space="preserve">  </v>
      </c>
      <c r="AH155" s="82">
        <v>2</v>
      </c>
      <c r="AI155" s="83" t="e">
        <f t="shared" si="645"/>
        <v>#VALUE!</v>
      </c>
      <c r="AJ155" s="84" t="str">
        <f t="shared" ref="AJ155" si="659">CONCATENATE("a'(",AD155,")=")</f>
        <v>a'(  )=</v>
      </c>
      <c r="AK155" s="84" t="e">
        <f t="shared" ref="AK155" si="660">2*AK153/2*AG156</f>
        <v>#VALUE!</v>
      </c>
      <c r="AL155" s="84" t="str">
        <f t="shared" ref="AL155" si="661">CONCATENATE("A(",AD154,")=")</f>
        <v>A(  )=</v>
      </c>
      <c r="AM155" s="84" t="str">
        <f>VLOOKUP(AD154,STN_TABLE,3,FALSE)</f>
        <v xml:space="preserve"> </v>
      </c>
      <c r="AN155" t="str">
        <f t="shared" ref="AN155" si="662">CONCATENATE("A(",AD155,")=")</f>
        <v>A(  )=</v>
      </c>
      <c r="AO155" t="e">
        <f t="shared" ref="AO155:AO156" si="663">AK155+AM155</f>
        <v>#VALUE!</v>
      </c>
      <c r="AQ155" s="68" t="str">
        <f>AA155</f>
        <v>A(  )=</v>
      </c>
      <c r="AR155" s="68" t="str">
        <f>IFERROR(VLOOKUP(AQ155,Rise_Results,2,FALSE),"-")</f>
        <v>-</v>
      </c>
      <c r="AS155" s="76" t="str">
        <f>IFERROR(N155,"-")</f>
        <v>-</v>
      </c>
      <c r="AT155" s="76" t="str">
        <f>IFERROR(IF(OR(AB155&lt;=0,AB156&lt;=0),1/0,AB155),"-")</f>
        <v>-</v>
      </c>
      <c r="AU155" s="76" t="e">
        <f t="shared" ref="AU155:AU156" si="664">AO155</f>
        <v>#VALUE!</v>
      </c>
      <c r="AV155" t="e">
        <f t="shared" ref="AV155:AV156" si="665">IF(ISNUMBER(AR155),AR155,IF(ISNUMBER(AS155),AS155,IF(ISNUMBER(AT155),AT155,AU155)))</f>
        <v>#VALUE!</v>
      </c>
      <c r="BG155"/>
      <c r="BH155"/>
    </row>
    <row r="156" spans="1:60" x14ac:dyDescent="0.25">
      <c r="A156" s="84">
        <f>A155+1</f>
        <v>22</v>
      </c>
      <c r="B156" s="84" t="str">
        <f>VLOOKUP(A156,STN_TABLE_2,2,FALSE)</f>
        <v xml:space="preserve">  </v>
      </c>
      <c r="C156" s="194" t="s">
        <v>168</v>
      </c>
      <c r="D156" s="194" t="s">
        <v>168</v>
      </c>
      <c r="E156" s="6" t="s">
        <v>172</v>
      </c>
      <c r="F156" s="89" t="e">
        <f t="shared" ref="F156" si="666">SUM(F153:F155)</f>
        <v>#VALUE!</v>
      </c>
      <c r="G156" s="6" t="s">
        <v>172</v>
      </c>
      <c r="H156" s="82" t="e">
        <f t="shared" ref="H156" si="667">SUM(H153:H155)</f>
        <v>#VALUE!</v>
      </c>
      <c r="I156" s="84" t="e">
        <f t="shared" ref="I156" si="668">CONCATENATE("m'(",C153,"~",C155,")=")</f>
        <v>#VALUE!</v>
      </c>
      <c r="J156" s="84" t="e">
        <f>2*(J153*(WLS))/3*H156</f>
        <v>#VALUE!</v>
      </c>
      <c r="K156" s="84" t="e">
        <f t="shared" ref="K156" si="669">CONCATENATE("M(",C153,")=")</f>
        <v>#VALUE!</v>
      </c>
      <c r="L156" s="84" t="e">
        <f>VLOOKUP(C153,STN_TABLE,4,FALSE)</f>
        <v>#VALUE!</v>
      </c>
      <c r="M156" t="str">
        <f t="shared" ref="M156" si="670">CONCATENATE("M(",C155,")=")</f>
        <v>M(  )=</v>
      </c>
      <c r="N156" t="e">
        <f t="shared" si="652"/>
        <v>#VALUE!</v>
      </c>
      <c r="O156" s="99">
        <f>O155+1</f>
        <v>24</v>
      </c>
      <c r="P156" s="99" t="str">
        <f>VLOOKUP(O156,STN_TABLE_2,2,FALSE)</f>
        <v xml:space="preserve">  </v>
      </c>
      <c r="Q156" s="194" t="s">
        <v>168</v>
      </c>
      <c r="R156" s="194" t="s">
        <v>168</v>
      </c>
      <c r="S156" s="6" t="s">
        <v>172</v>
      </c>
      <c r="T156" s="89" t="e">
        <f t="shared" si="624"/>
        <v>#VALUE!</v>
      </c>
      <c r="U156" s="6" t="s">
        <v>172</v>
      </c>
      <c r="V156" s="82" t="e">
        <f t="shared" si="625"/>
        <v>#VALUE!</v>
      </c>
      <c r="W156" s="84" t="e">
        <f t="shared" ref="W156" si="671">CONCATENATE("m'(",Q153,"~",Q154,")=")</f>
        <v>#VALUE!</v>
      </c>
      <c r="X156" s="84" t="e">
        <f>(2*(X153^2)/24*V156)+(X155*Q153*WLS)</f>
        <v>#VALUE!</v>
      </c>
      <c r="Y156" s="84" t="e">
        <f t="shared" ref="Y156" si="672">CONCATENATE("M(",Q153,")=")</f>
        <v>#VALUE!</v>
      </c>
      <c r="Z156" s="84" t="e">
        <f>VLOOKUP(Q153,STN_TABLE,4,FALSE)</f>
        <v>#VALUE!</v>
      </c>
      <c r="AA156" t="str">
        <f t="shared" ref="AA156" si="673">CONCATENATE("M(",Q154,")=")</f>
        <v>M(  )=</v>
      </c>
      <c r="AB156" t="e">
        <f t="shared" si="658"/>
        <v>#VALUE!</v>
      </c>
      <c r="AD156" s="194" t="s">
        <v>168</v>
      </c>
      <c r="AE156" s="194" t="s">
        <v>168</v>
      </c>
      <c r="AF156" s="6" t="s">
        <v>172</v>
      </c>
      <c r="AG156" s="89">
        <f t="shared" si="629"/>
        <v>0</v>
      </c>
      <c r="AH156" s="6" t="s">
        <v>172</v>
      </c>
      <c r="AI156" s="89" t="e">
        <f t="shared" si="630"/>
        <v>#VALUE!</v>
      </c>
      <c r="AJ156" s="84" t="str">
        <f t="shared" ref="AJ156" si="674">CONCATENATE("m'(",AD155,")=")</f>
        <v>m'(  )=</v>
      </c>
      <c r="AK156" s="84" t="e">
        <f>(2*(AK153^2)/6*AI156)+(AK155*AD154*WLS)</f>
        <v>#VALUE!</v>
      </c>
      <c r="AL156" s="84" t="str">
        <f t="shared" ref="AL156" si="675">CONCATENATE("M(",AD154,")=")</f>
        <v>M(  )=</v>
      </c>
      <c r="AM156" s="84" t="str">
        <f>VLOOKUP(AD154,STN_TABLE,4,FALSE)</f>
        <v xml:space="preserve"> </v>
      </c>
      <c r="AN156" t="str">
        <f t="shared" ref="AN156" si="676">CONCATENATE("M(",AD155,")=")</f>
        <v>M(  )=</v>
      </c>
      <c r="AO156" t="e">
        <f t="shared" si="663"/>
        <v>#VALUE!</v>
      </c>
      <c r="AQ156" s="82" t="str">
        <f>AA156</f>
        <v>M(  )=</v>
      </c>
      <c r="AR156" s="82" t="str">
        <f>IFERROR(VLOOKUP(AQ156,Rise_Results,2,FALSE),"-")</f>
        <v>-</v>
      </c>
      <c r="AS156" s="82" t="str">
        <f>IFERROR(N156,"-")</f>
        <v>-</v>
      </c>
      <c r="AT156" s="82" t="str">
        <f>IFERROR(IF(OR(AB155&lt;=0,AB156&lt;=0),1/0,AB156),"-")</f>
        <v>-</v>
      </c>
      <c r="AU156" s="82" t="e">
        <f t="shared" si="664"/>
        <v>#VALUE!</v>
      </c>
      <c r="AV156" t="e">
        <f t="shared" si="665"/>
        <v>#VALUE!</v>
      </c>
      <c r="BG156"/>
      <c r="BH156"/>
    </row>
    <row r="157" spans="1:60" x14ac:dyDescent="0.25">
      <c r="A157" s="84"/>
      <c r="B157" s="84"/>
      <c r="F157" s="81"/>
      <c r="H157" s="81"/>
      <c r="I157" s="84"/>
      <c r="J157" s="84"/>
      <c r="K157" s="84"/>
      <c r="L157" s="84"/>
      <c r="O157" s="99"/>
      <c r="P157" s="99"/>
      <c r="T157" s="81"/>
      <c r="V157" s="81"/>
      <c r="W157" s="84"/>
      <c r="X157" s="84"/>
      <c r="Y157" s="84"/>
      <c r="Z157" s="84"/>
      <c r="AD157" s="194" t="s">
        <v>168</v>
      </c>
      <c r="AE157" s="194" t="s">
        <v>168</v>
      </c>
      <c r="AF157" s="194" t="s">
        <v>168</v>
      </c>
      <c r="AG157" s="194" t="s">
        <v>168</v>
      </c>
      <c r="AH157" s="194" t="s">
        <v>168</v>
      </c>
      <c r="AI157" s="194" t="s">
        <v>168</v>
      </c>
      <c r="AJ157" s="194" t="s">
        <v>168</v>
      </c>
      <c r="AK157" s="194" t="s">
        <v>168</v>
      </c>
      <c r="AL157" s="194" t="s">
        <v>168</v>
      </c>
      <c r="AM157" s="194" t="s">
        <v>168</v>
      </c>
      <c r="AN157" s="194" t="s">
        <v>168</v>
      </c>
      <c r="AO157" s="194" t="s">
        <v>168</v>
      </c>
      <c r="AQ157" s="81"/>
      <c r="AR157" s="81"/>
      <c r="AS157" s="81"/>
      <c r="AT157" s="81"/>
      <c r="AU157" s="81"/>
      <c r="BG157"/>
      <c r="BH157"/>
    </row>
    <row r="158" spans="1:60" ht="18" x14ac:dyDescent="0.35">
      <c r="A158" s="101">
        <f>A152+1</f>
        <v>19</v>
      </c>
      <c r="B158" s="101" t="str">
        <f>VLOOKUP(A158,STN_TABLE_2,2,FALSE)</f>
        <v xml:space="preserve">  </v>
      </c>
      <c r="C158" t="s">
        <v>0</v>
      </c>
      <c r="D158" t="s">
        <v>95</v>
      </c>
      <c r="E158" t="s">
        <v>164</v>
      </c>
      <c r="F158" t="s">
        <v>165</v>
      </c>
      <c r="G158" t="s">
        <v>13</v>
      </c>
      <c r="H158" t="s">
        <v>169</v>
      </c>
      <c r="I158" s="194" t="s">
        <v>168</v>
      </c>
      <c r="J158" s="194" t="s">
        <v>168</v>
      </c>
      <c r="K158" s="194" t="s">
        <v>168</v>
      </c>
      <c r="L158" s="194" t="s">
        <v>168</v>
      </c>
      <c r="M158" s="194" t="s">
        <v>168</v>
      </c>
      <c r="N158" s="194" t="s">
        <v>168</v>
      </c>
      <c r="O158" s="101">
        <f>O152+1</f>
        <v>21</v>
      </c>
      <c r="P158" s="101" t="str">
        <f t="shared" ref="P158" si="677">VLOOKUP(O158,STN_TABLE_2,2,FALSE)</f>
        <v xml:space="preserve">  </v>
      </c>
      <c r="Q158" t="s">
        <v>0</v>
      </c>
      <c r="R158" t="s">
        <v>95</v>
      </c>
      <c r="S158" t="s">
        <v>164</v>
      </c>
      <c r="T158" t="s">
        <v>165</v>
      </c>
      <c r="U158" t="s">
        <v>166</v>
      </c>
      <c r="V158" t="s">
        <v>167</v>
      </c>
      <c r="W158" s="194" t="s">
        <v>168</v>
      </c>
      <c r="X158" s="194" t="s">
        <v>168</v>
      </c>
      <c r="Y158" s="194" t="s">
        <v>168</v>
      </c>
      <c r="Z158" s="194" t="s">
        <v>168</v>
      </c>
      <c r="AA158" s="194" t="s">
        <v>168</v>
      </c>
      <c r="AB158" s="194" t="s">
        <v>168</v>
      </c>
      <c r="BG158"/>
      <c r="BH158"/>
    </row>
    <row r="159" spans="1:60" ht="18" x14ac:dyDescent="0.35">
      <c r="A159" s="84">
        <f>A158+1</f>
        <v>20</v>
      </c>
      <c r="B159" s="84" t="str">
        <f>VLOOKUP(A159,STN_TABLE_2,2,FALSE)</f>
        <v xml:space="preserve">  </v>
      </c>
      <c r="C159" s="79" t="e">
        <f t="shared" ref="C159" si="678">IF(C160=B161,IF(C161-C160=C160-B160,B160,IF(C161-C160=C160-B159,B159,"#NA")),IF(C160=B160,IF(C161-C160=C160-B159,B159,IF(C161-C160=C160-B158,B158,"#NA")),"#NA"))</f>
        <v>#VALUE!</v>
      </c>
      <c r="D159" s="68" t="e">
        <f>VLOOKUP(C159,STN_TABLE,2,FALSE)</f>
        <v>#VALUE!</v>
      </c>
      <c r="E159" s="102">
        <v>1</v>
      </c>
      <c r="F159" s="68" t="e">
        <f t="shared" ref="F159:F161" si="679">D159*E159</f>
        <v>#VALUE!</v>
      </c>
      <c r="G159" s="69" t="e">
        <f t="shared" ref="G159:G161" si="680">C159</f>
        <v>#VALUE!</v>
      </c>
      <c r="H159" s="69" t="e">
        <f t="shared" ref="H159:H161" si="681">F159*G159</f>
        <v>#VALUE!</v>
      </c>
      <c r="I159" s="6" t="s">
        <v>93</v>
      </c>
      <c r="J159" s="70" t="e">
        <f>IF(OR(D159=0,D160=0,D161=0),"#NA",IF(AND(C161-C160=C160-C159,C160&lt;&gt;C161,C159&lt;&gt;C160,C159&lt;&gt;C161,D161&lt;&gt;0,OR(D159&lt;&gt;0,D160&lt;&gt;0)),WLS*(C161-C160),"#NA"))</f>
        <v>#VALUE!</v>
      </c>
      <c r="K159" s="194" t="s">
        <v>168</v>
      </c>
      <c r="L159" s="194" t="s">
        <v>168</v>
      </c>
      <c r="M159" s="194" t="s">
        <v>168</v>
      </c>
      <c r="N159" s="194" t="s">
        <v>168</v>
      </c>
      <c r="O159" s="99">
        <f>O158+1</f>
        <v>22</v>
      </c>
      <c r="P159" s="99" t="str">
        <f>VLOOKUP(O159,STN_TABLE_2,2,FALSE)</f>
        <v xml:space="preserve">  </v>
      </c>
      <c r="Q159" s="68" t="e">
        <f t="shared" ref="Q159" si="682">IF(OR(P161-P160=P160-P159,P162-P160=P160-P159),P159,IF(OR(P161-P160=P160-P158,P162-P160=P160-P158),P158,"-"))</f>
        <v>#VALUE!</v>
      </c>
      <c r="R159" s="69" t="e">
        <f>VLOOKUP(Q159,STN_TABLE,2,FALSE)</f>
        <v>#VALUE!</v>
      </c>
      <c r="S159" s="69">
        <v>5</v>
      </c>
      <c r="T159" s="68" t="e">
        <f t="shared" ref="T159:T161" si="683">R159*S159</f>
        <v>#VALUE!</v>
      </c>
      <c r="U159" s="79">
        <v>3</v>
      </c>
      <c r="V159" s="68" t="e">
        <f t="shared" ref="V159:V161" si="684">R159*U159</f>
        <v>#VALUE!</v>
      </c>
      <c r="W159" s="6" t="s">
        <v>93</v>
      </c>
      <c r="X159" s="70" t="e">
        <f>IF(AND(Q161-Q160=Q160-Q159,NOT(AND(Q159=0,Q160=0)),NOT(AND(Q160=0,Q161=0))),WLS*(Q161-Q160),"#NA")</f>
        <v>#VALUE!</v>
      </c>
      <c r="Y159" s="194" t="s">
        <v>168</v>
      </c>
      <c r="Z159" s="194" t="s">
        <v>168</v>
      </c>
      <c r="AA159" s="194" t="s">
        <v>168</v>
      </c>
      <c r="AB159" s="194" t="s">
        <v>168</v>
      </c>
      <c r="AD159" t="s">
        <v>0</v>
      </c>
      <c r="AE159" t="s">
        <v>95</v>
      </c>
      <c r="AF159" t="s">
        <v>173</v>
      </c>
      <c r="AG159" t="s">
        <v>183</v>
      </c>
      <c r="AH159" t="s">
        <v>175</v>
      </c>
      <c r="AI159" t="s">
        <v>184</v>
      </c>
      <c r="AJ159" s="6" t="s">
        <v>93</v>
      </c>
      <c r="AK159" s="70" t="e">
        <f>WLS*(AD161-AD160)</f>
        <v>#VALUE!</v>
      </c>
      <c r="AL159" s="194" t="s">
        <v>168</v>
      </c>
      <c r="AM159" s="194" t="s">
        <v>168</v>
      </c>
      <c r="AN159" s="194" t="s">
        <v>168</v>
      </c>
      <c r="AO159" s="194" t="s">
        <v>168</v>
      </c>
      <c r="BG159"/>
      <c r="BH159"/>
    </row>
    <row r="160" spans="1:60" x14ac:dyDescent="0.25">
      <c r="A160" s="84">
        <f>A159+1</f>
        <v>21</v>
      </c>
      <c r="B160" s="84" t="str">
        <f t="shared" ref="B160:B174" si="685">VLOOKUP(A160,STN_TABLE_2,2,FALSE)</f>
        <v xml:space="preserve">  </v>
      </c>
      <c r="C160" s="80" t="e">
        <f t="shared" ref="C160" si="686">IF(OR(B162-B161=B161-B160,B162-B161=B161-B159,B162-B161=B161-B158),B161,IF(OR(B162-B160=B160-B159,B162-B160=B160-B158),B160,IF(B162-B159=B159-B158,B159,"#NA")))</f>
        <v>#VALUE!</v>
      </c>
      <c r="D160" s="76" t="e">
        <f>VLOOKUP(C160,STN_TABLE,2,FALSE)</f>
        <v>#VALUE!</v>
      </c>
      <c r="E160" s="81">
        <v>4</v>
      </c>
      <c r="F160" s="76" t="e">
        <f t="shared" si="679"/>
        <v>#VALUE!</v>
      </c>
      <c r="G160" s="77" t="e">
        <f t="shared" si="680"/>
        <v>#VALUE!</v>
      </c>
      <c r="H160" s="77" t="e">
        <f t="shared" si="681"/>
        <v>#VALUE!</v>
      </c>
      <c r="I160" s="204" t="s">
        <v>171</v>
      </c>
      <c r="J160" s="194" t="s">
        <v>168</v>
      </c>
      <c r="K160" s="78" t="s">
        <v>98</v>
      </c>
      <c r="L160" s="194" t="s">
        <v>168</v>
      </c>
      <c r="M160" s="7" t="s">
        <v>77</v>
      </c>
      <c r="N160" s="194" t="s">
        <v>168</v>
      </c>
      <c r="O160" s="99">
        <f>O159+1</f>
        <v>23</v>
      </c>
      <c r="P160" s="99" t="str">
        <f>VLOOKUP(O160,STN_TABLE_2,2,FALSE)</f>
        <v xml:space="preserve">  </v>
      </c>
      <c r="Q160" s="76" t="str">
        <f t="shared" ref="Q160" si="687">P160</f>
        <v xml:space="preserve">  </v>
      </c>
      <c r="R160" s="77" t="str">
        <f>VLOOKUP(Q160,STN_TABLE,2,FALSE)</f>
        <v xml:space="preserve">  </v>
      </c>
      <c r="S160" s="77">
        <v>8</v>
      </c>
      <c r="T160" s="76" t="e">
        <f t="shared" si="683"/>
        <v>#VALUE!</v>
      </c>
      <c r="U160" s="80">
        <v>10</v>
      </c>
      <c r="V160" s="76" t="e">
        <f t="shared" si="684"/>
        <v>#VALUE!</v>
      </c>
      <c r="W160" s="204" t="s">
        <v>171</v>
      </c>
      <c r="X160" s="194" t="s">
        <v>168</v>
      </c>
      <c r="Y160" s="78" t="s">
        <v>98</v>
      </c>
      <c r="Z160" s="194" t="s">
        <v>168</v>
      </c>
      <c r="AA160" s="7" t="s">
        <v>77</v>
      </c>
      <c r="AB160" s="194" t="s">
        <v>168</v>
      </c>
      <c r="AC160" s="99">
        <f>AC154+1</f>
        <v>22</v>
      </c>
      <c r="AD160" s="95" t="str">
        <f>VLOOKUP(AC160,STN_TABLE_2,2,FALSE)</f>
        <v xml:space="preserve">  </v>
      </c>
      <c r="AE160" t="str">
        <f t="shared" ref="AE160:AE161" si="688">AG160</f>
        <v xml:space="preserve">  </v>
      </c>
      <c r="AF160">
        <v>1</v>
      </c>
      <c r="AG160" s="68" t="str">
        <f>VLOOKUP(AD160,STN_TABLE,2,FALSE)</f>
        <v xml:space="preserve">  </v>
      </c>
      <c r="AH160" s="68">
        <v>1</v>
      </c>
      <c r="AI160" s="69" t="e">
        <f t="shared" ref="AI160:AI161" si="689">AG160*AH160</f>
        <v>#VALUE!</v>
      </c>
      <c r="AJ160" s="204" t="s">
        <v>171</v>
      </c>
      <c r="AK160" s="194" t="s">
        <v>168</v>
      </c>
      <c r="AL160" s="78" t="s">
        <v>98</v>
      </c>
      <c r="AM160" s="194" t="s">
        <v>168</v>
      </c>
      <c r="AN160" s="7" t="s">
        <v>77</v>
      </c>
      <c r="AO160" s="194" t="s">
        <v>168</v>
      </c>
      <c r="AR160" s="86" t="s">
        <v>112</v>
      </c>
      <c r="AS160" s="89" t="s">
        <v>113</v>
      </c>
      <c r="AT160" s="89" t="s">
        <v>114</v>
      </c>
      <c r="AU160" s="89" t="s">
        <v>115</v>
      </c>
      <c r="AV160" s="71" t="e">
        <f t="shared" ref="AV160" si="690">IF(AV161=AR161,AR160,IF(AV161=AS161,AS160,IF(AV161=AT161,AT160,AU160)))</f>
        <v>#VALUE!</v>
      </c>
      <c r="BG160"/>
      <c r="BH160"/>
    </row>
    <row r="161" spans="1:60" x14ac:dyDescent="0.25">
      <c r="A161" s="84">
        <f>A160+1</f>
        <v>22</v>
      </c>
      <c r="B161" s="84" t="str">
        <f t="shared" si="685"/>
        <v xml:space="preserve">  </v>
      </c>
      <c r="C161" s="88" t="str">
        <f t="shared" ref="C161" si="691">B162</f>
        <v xml:space="preserve">  </v>
      </c>
      <c r="D161" s="82" t="str">
        <f>VLOOKUP(C161,STN_TABLE,2,FALSE)</f>
        <v xml:space="preserve">  </v>
      </c>
      <c r="E161" s="92">
        <v>1</v>
      </c>
      <c r="F161" s="82" t="e">
        <f t="shared" si="679"/>
        <v>#VALUE!</v>
      </c>
      <c r="G161" s="83" t="str">
        <f t="shared" si="680"/>
        <v xml:space="preserve">  </v>
      </c>
      <c r="H161" s="83" t="e">
        <f t="shared" si="681"/>
        <v>#VALUE!</v>
      </c>
      <c r="I161" s="84" t="e">
        <f t="shared" ref="I161" si="692">CONCATENATE("a'(",C159,"~",C161,")=")</f>
        <v>#VALUE!</v>
      </c>
      <c r="J161" s="84" t="e">
        <f t="shared" ref="J161" si="693">2*J159/3*F162</f>
        <v>#VALUE!</v>
      </c>
      <c r="K161" s="84" t="e">
        <f t="shared" ref="K161" si="694">CONCATENATE("A(",C159,")=")</f>
        <v>#VALUE!</v>
      </c>
      <c r="L161" s="84" t="e">
        <f>VLOOKUP(C159,STN_TABLE,3,FALSE)</f>
        <v>#VALUE!</v>
      </c>
      <c r="M161" t="str">
        <f t="shared" ref="M161" si="695">CONCATENATE("A(",C161,")=")</f>
        <v>A(  )=</v>
      </c>
      <c r="N161" t="e">
        <f t="shared" ref="N161:N162" si="696">J161+L161</f>
        <v>#VALUE!</v>
      </c>
      <c r="O161" s="99">
        <f>O160+1</f>
        <v>24</v>
      </c>
      <c r="P161" s="99" t="str">
        <f>VLOOKUP(O161,STN_TABLE_2,2,FALSE)</f>
        <v xml:space="preserve">  </v>
      </c>
      <c r="Q161" s="82" t="e">
        <f t="shared" ref="Q161" si="697">IF(P161-P160=P160-P159,P161,IF(P162-P160=P160-P159,P162,IF(P161-P160=P160-P158,P161,IF(P162-P160=P160-P158,P162,"-"))))</f>
        <v>#VALUE!</v>
      </c>
      <c r="R161" s="83" t="e">
        <f>VLOOKUP(Q161,STN_TABLE,2,FALSE)</f>
        <v>#VALUE!</v>
      </c>
      <c r="S161" s="83">
        <v>-1</v>
      </c>
      <c r="T161" s="82" t="e">
        <f t="shared" si="683"/>
        <v>#VALUE!</v>
      </c>
      <c r="U161" s="88">
        <v>-1</v>
      </c>
      <c r="V161" s="82" t="e">
        <f t="shared" si="684"/>
        <v>#VALUE!</v>
      </c>
      <c r="W161" s="84" t="e">
        <f t="shared" ref="W161" si="698">CONCATENATE("a'(",Q159,"~",Q160,")=")</f>
        <v>#VALUE!</v>
      </c>
      <c r="X161" s="84" t="e">
        <f t="shared" ref="X161" si="699">2*X159/12*T162</f>
        <v>#VALUE!</v>
      </c>
      <c r="Y161" s="84" t="e">
        <f t="shared" ref="Y161" si="700">CONCATENATE("A(",Q159,")=")</f>
        <v>#VALUE!</v>
      </c>
      <c r="Z161" s="84" t="e">
        <f>VLOOKUP(Q159,STN_TABLE,3,FALSE)</f>
        <v>#VALUE!</v>
      </c>
      <c r="AA161" t="str">
        <f t="shared" ref="AA161" si="701">CONCATENATE("A(",Q160,")=")</f>
        <v>A(  )=</v>
      </c>
      <c r="AB161" t="e">
        <f t="shared" ref="AB161:AB162" si="702">X161+Z161</f>
        <v>#VALUE!</v>
      </c>
      <c r="AC161" s="99">
        <f>AC160+1</f>
        <v>23</v>
      </c>
      <c r="AD161" s="100" t="str">
        <f>VLOOKUP(AC161,STN_TABLE_2,2,FALSE)</f>
        <v xml:space="preserve">  </v>
      </c>
      <c r="AE161" t="str">
        <f t="shared" si="688"/>
        <v xml:space="preserve">  </v>
      </c>
      <c r="AF161">
        <v>1</v>
      </c>
      <c r="AG161" s="82" t="str">
        <f>VLOOKUP(AD161,STN_TABLE,2,FALSE)</f>
        <v xml:space="preserve">  </v>
      </c>
      <c r="AH161" s="82">
        <v>2</v>
      </c>
      <c r="AI161" s="83" t="e">
        <f t="shared" si="689"/>
        <v>#VALUE!</v>
      </c>
      <c r="AJ161" s="84" t="str">
        <f t="shared" ref="AJ161" si="703">CONCATENATE("a'(",AD161,")=")</f>
        <v>a'(  )=</v>
      </c>
      <c r="AK161" s="84" t="e">
        <f t="shared" ref="AK161" si="704">2*AK159/2*AG162</f>
        <v>#VALUE!</v>
      </c>
      <c r="AL161" s="84" t="str">
        <f t="shared" ref="AL161" si="705">CONCATENATE("A(",AD160,")=")</f>
        <v>A(  )=</v>
      </c>
      <c r="AM161" s="84" t="str">
        <f>VLOOKUP(AD160,STN_TABLE,3,FALSE)</f>
        <v xml:space="preserve"> </v>
      </c>
      <c r="AN161" t="str">
        <f t="shared" ref="AN161" si="706">CONCATENATE("A(",AD161,")=")</f>
        <v>A(  )=</v>
      </c>
      <c r="AO161" t="e">
        <f t="shared" ref="AO161:AO162" si="707">AK161+AM161</f>
        <v>#VALUE!</v>
      </c>
      <c r="AQ161" s="68" t="str">
        <f>AA161</f>
        <v>A(  )=</v>
      </c>
      <c r="AR161" s="68" t="str">
        <f>IFERROR(VLOOKUP(AQ161,Rise_Results,2,FALSE),"-")</f>
        <v>-</v>
      </c>
      <c r="AS161" s="76" t="str">
        <f>IFERROR(N161,"-")</f>
        <v>-</v>
      </c>
      <c r="AT161" s="76" t="str">
        <f>IFERROR(IF(OR(AB161&lt;=0,AB162&lt;=0),1/0,AB161),"-")</f>
        <v>-</v>
      </c>
      <c r="AU161" s="76" t="e">
        <f t="shared" ref="AU161:AU162" si="708">AO161</f>
        <v>#VALUE!</v>
      </c>
      <c r="AV161" t="e">
        <f t="shared" ref="AV161:AV162" si="709">IF(ISNUMBER(AR161),AR161,IF(ISNUMBER(AS161),AS161,IF(ISNUMBER(AT161),AT161,AU161)))</f>
        <v>#VALUE!</v>
      </c>
      <c r="BG161"/>
      <c r="BH161"/>
    </row>
    <row r="162" spans="1:60" x14ac:dyDescent="0.25">
      <c r="A162" s="84">
        <f>A161+1</f>
        <v>23</v>
      </c>
      <c r="B162" s="84" t="str">
        <f t="shared" si="685"/>
        <v xml:space="preserve">  </v>
      </c>
      <c r="C162" s="194" t="s">
        <v>168</v>
      </c>
      <c r="D162" s="194" t="s">
        <v>168</v>
      </c>
      <c r="E162" s="6" t="s">
        <v>172</v>
      </c>
      <c r="F162" s="89" t="e">
        <f t="shared" ref="F162" si="710">SUM(F159:F161)</f>
        <v>#VALUE!</v>
      </c>
      <c r="G162" s="6" t="s">
        <v>172</v>
      </c>
      <c r="H162" s="82" t="e">
        <f t="shared" ref="H162" si="711">SUM(H159:H161)</f>
        <v>#VALUE!</v>
      </c>
      <c r="I162" s="84" t="e">
        <f t="shared" ref="I162" si="712">CONCATENATE("m'(",C159,"~",C161,")=")</f>
        <v>#VALUE!</v>
      </c>
      <c r="J162" s="84" t="e">
        <f>2*(J159*(WLS))/3*H162</f>
        <v>#VALUE!</v>
      </c>
      <c r="K162" s="84" t="e">
        <f t="shared" ref="K162" si="713">CONCATENATE("M(",C159,")=")</f>
        <v>#VALUE!</v>
      </c>
      <c r="L162" s="84" t="e">
        <f>VLOOKUP(C159,STN_TABLE,4,FALSE)</f>
        <v>#VALUE!</v>
      </c>
      <c r="M162" t="str">
        <f t="shared" ref="M162" si="714">CONCATENATE("M(",C161,")=")</f>
        <v>M(  )=</v>
      </c>
      <c r="N162" t="e">
        <f t="shared" si="696"/>
        <v>#VALUE!</v>
      </c>
      <c r="O162" s="99">
        <f>O161+1</f>
        <v>25</v>
      </c>
      <c r="P162" s="99" t="str">
        <f>VLOOKUP(O162,STN_TABLE_2,2,FALSE)</f>
        <v xml:space="preserve">  </v>
      </c>
      <c r="Q162" s="194" t="s">
        <v>168</v>
      </c>
      <c r="R162" s="194" t="s">
        <v>168</v>
      </c>
      <c r="S162" s="6" t="s">
        <v>172</v>
      </c>
      <c r="T162" s="89" t="e">
        <f t="shared" si="624"/>
        <v>#VALUE!</v>
      </c>
      <c r="U162" s="6" t="s">
        <v>172</v>
      </c>
      <c r="V162" s="82" t="e">
        <f t="shared" si="625"/>
        <v>#VALUE!</v>
      </c>
      <c r="W162" s="84" t="e">
        <f t="shared" ref="W162" si="715">CONCATENATE("m'(",Q159,"~",Q160,")=")</f>
        <v>#VALUE!</v>
      </c>
      <c r="X162" s="84" t="e">
        <f>(2*(X159^2)/24*V162)+(X161*Q159*WLS)</f>
        <v>#VALUE!</v>
      </c>
      <c r="Y162" s="84" t="e">
        <f t="shared" ref="Y162" si="716">CONCATENATE("M(",Q159,")=")</f>
        <v>#VALUE!</v>
      </c>
      <c r="Z162" s="84" t="e">
        <f>VLOOKUP(Q159,STN_TABLE,4,FALSE)</f>
        <v>#VALUE!</v>
      </c>
      <c r="AA162" t="str">
        <f t="shared" ref="AA162" si="717">CONCATENATE("M(",Q160,")=")</f>
        <v>M(  )=</v>
      </c>
      <c r="AB162" t="e">
        <f t="shared" si="702"/>
        <v>#VALUE!</v>
      </c>
      <c r="AD162" s="194" t="s">
        <v>168</v>
      </c>
      <c r="AE162" s="194" t="s">
        <v>168</v>
      </c>
      <c r="AF162" s="6" t="s">
        <v>172</v>
      </c>
      <c r="AG162" s="89">
        <f t="shared" si="629"/>
        <v>0</v>
      </c>
      <c r="AH162" s="6" t="s">
        <v>172</v>
      </c>
      <c r="AI162" s="89" t="e">
        <f t="shared" si="630"/>
        <v>#VALUE!</v>
      </c>
      <c r="AJ162" s="84" t="str">
        <f t="shared" ref="AJ162" si="718">CONCATENATE("m'(",AD161,")=")</f>
        <v>m'(  )=</v>
      </c>
      <c r="AK162" s="84" t="e">
        <f>(2*(AK159^2)/6*AI162)+(AK161*AD160*WLS)</f>
        <v>#VALUE!</v>
      </c>
      <c r="AL162" s="84" t="str">
        <f t="shared" ref="AL162" si="719">CONCATENATE("M(",AD160,")=")</f>
        <v>M(  )=</v>
      </c>
      <c r="AM162" s="84" t="str">
        <f>VLOOKUP(AD160,STN_TABLE,4,FALSE)</f>
        <v xml:space="preserve"> </v>
      </c>
      <c r="AN162" t="str">
        <f t="shared" ref="AN162" si="720">CONCATENATE("M(",AD161,")=")</f>
        <v>M(  )=</v>
      </c>
      <c r="AO162" t="e">
        <f t="shared" si="707"/>
        <v>#VALUE!</v>
      </c>
      <c r="AQ162" s="82" t="str">
        <f>AA162</f>
        <v>M(  )=</v>
      </c>
      <c r="AR162" s="82" t="str">
        <f>IFERROR(VLOOKUP(AQ162,Rise_Results,2,FALSE),"-")</f>
        <v>-</v>
      </c>
      <c r="AS162" s="82" t="str">
        <f>IFERROR(N162,"-")</f>
        <v>-</v>
      </c>
      <c r="AT162" s="82" t="str">
        <f>IFERROR(IF(OR(AB161&lt;=0,AB162&lt;=0),1/0,AB162),"-")</f>
        <v>-</v>
      </c>
      <c r="AU162" s="82" t="e">
        <f t="shared" si="708"/>
        <v>#VALUE!</v>
      </c>
      <c r="AV162" t="e">
        <f t="shared" si="709"/>
        <v>#VALUE!</v>
      </c>
      <c r="BG162"/>
      <c r="BH162"/>
    </row>
    <row r="163" spans="1:60" x14ac:dyDescent="0.25">
      <c r="A163" s="84"/>
      <c r="B163" s="84"/>
      <c r="F163" s="81"/>
      <c r="H163" s="81"/>
      <c r="I163" s="84"/>
      <c r="J163" s="84"/>
      <c r="K163" s="84"/>
      <c r="L163" s="84"/>
      <c r="O163" s="99"/>
      <c r="P163" s="99"/>
      <c r="T163" s="81"/>
      <c r="V163" s="81"/>
      <c r="W163" s="84"/>
      <c r="X163" s="84"/>
      <c r="Y163" s="84"/>
      <c r="Z163" s="84"/>
      <c r="AD163" s="194" t="s">
        <v>168</v>
      </c>
      <c r="AE163" s="194" t="s">
        <v>168</v>
      </c>
      <c r="AF163" s="194" t="s">
        <v>168</v>
      </c>
      <c r="AG163" s="194" t="s">
        <v>168</v>
      </c>
      <c r="AH163" s="194" t="s">
        <v>168</v>
      </c>
      <c r="AI163" s="194" t="s">
        <v>168</v>
      </c>
      <c r="AJ163" s="194" t="s">
        <v>168</v>
      </c>
      <c r="AK163" s="194" t="s">
        <v>168</v>
      </c>
      <c r="AL163" s="194" t="s">
        <v>168</v>
      </c>
      <c r="AM163" s="194" t="s">
        <v>168</v>
      </c>
      <c r="AN163" s="194" t="s">
        <v>168</v>
      </c>
      <c r="AO163" s="194" t="s">
        <v>168</v>
      </c>
      <c r="AQ163" s="81"/>
      <c r="AR163" s="81"/>
      <c r="AS163" s="81"/>
      <c r="AT163" s="81"/>
      <c r="AU163" s="81"/>
      <c r="BG163"/>
      <c r="BH163"/>
    </row>
    <row r="164" spans="1:60" ht="18" x14ac:dyDescent="0.35">
      <c r="A164" s="101">
        <f>A158+1</f>
        <v>20</v>
      </c>
      <c r="B164" s="101" t="str">
        <f t="shared" si="685"/>
        <v xml:space="preserve">  </v>
      </c>
      <c r="C164" t="s">
        <v>0</v>
      </c>
      <c r="D164" t="s">
        <v>95</v>
      </c>
      <c r="E164" t="s">
        <v>164</v>
      </c>
      <c r="F164" t="s">
        <v>165</v>
      </c>
      <c r="G164" t="s">
        <v>13</v>
      </c>
      <c r="H164" t="s">
        <v>169</v>
      </c>
      <c r="I164" s="194" t="s">
        <v>168</v>
      </c>
      <c r="J164" s="194" t="s">
        <v>168</v>
      </c>
      <c r="K164" s="194" t="s">
        <v>168</v>
      </c>
      <c r="L164" s="194" t="s">
        <v>168</v>
      </c>
      <c r="M164" s="194" t="s">
        <v>168</v>
      </c>
      <c r="N164" s="194" t="s">
        <v>168</v>
      </c>
      <c r="O164" s="101">
        <f>O158+1</f>
        <v>22</v>
      </c>
      <c r="P164" s="101" t="str">
        <f t="shared" ref="P164" si="721">VLOOKUP(O164,STN_TABLE_2,2,FALSE)</f>
        <v xml:space="preserve">  </v>
      </c>
      <c r="Q164" t="s">
        <v>0</v>
      </c>
      <c r="R164" t="s">
        <v>95</v>
      </c>
      <c r="S164" t="s">
        <v>164</v>
      </c>
      <c r="T164" t="s">
        <v>165</v>
      </c>
      <c r="U164" t="s">
        <v>166</v>
      </c>
      <c r="V164" t="s">
        <v>167</v>
      </c>
      <c r="W164" s="194" t="s">
        <v>168</v>
      </c>
      <c r="X164" s="194" t="s">
        <v>168</v>
      </c>
      <c r="Y164" s="194" t="s">
        <v>168</v>
      </c>
      <c r="Z164" s="194" t="s">
        <v>168</v>
      </c>
      <c r="AA164" s="194" t="s">
        <v>168</v>
      </c>
      <c r="AB164" s="194" t="s">
        <v>168</v>
      </c>
      <c r="BG164"/>
      <c r="BH164"/>
    </row>
    <row r="165" spans="1:60" ht="18" x14ac:dyDescent="0.35">
      <c r="A165" s="84">
        <f>A164+1</f>
        <v>21</v>
      </c>
      <c r="B165" s="84" t="str">
        <f t="shared" si="685"/>
        <v xml:space="preserve">  </v>
      </c>
      <c r="C165" s="79" t="e">
        <f t="shared" ref="C165" si="722">IF(C166=B167,IF(C167-C166=C166-B166,B166,IF(C167-C166=C166-B165,B165,"#NA")),IF(C166=B166,IF(C167-C166=C166-B165,B165,IF(C167-C166=C166-B164,B164,"#NA")),"#NA"))</f>
        <v>#VALUE!</v>
      </c>
      <c r="D165" s="68" t="e">
        <f>VLOOKUP(C165,STN_TABLE,2,FALSE)</f>
        <v>#VALUE!</v>
      </c>
      <c r="E165" s="102">
        <v>1</v>
      </c>
      <c r="F165" s="68" t="e">
        <f t="shared" ref="F165:F167" si="723">D165*E165</f>
        <v>#VALUE!</v>
      </c>
      <c r="G165" s="69" t="e">
        <f t="shared" ref="G165:G167" si="724">C165</f>
        <v>#VALUE!</v>
      </c>
      <c r="H165" s="69" t="e">
        <f t="shared" ref="H165:H167" si="725">F165*G165</f>
        <v>#VALUE!</v>
      </c>
      <c r="I165" s="6" t="s">
        <v>93</v>
      </c>
      <c r="J165" s="70" t="e">
        <f>IF(OR(D165=0,D166=0,D167=0),"#NA",IF(AND(C167-C166=C166-C165,C166&lt;&gt;C167,C165&lt;&gt;C166,C165&lt;&gt;C167,D167&lt;&gt;0,OR(D165&lt;&gt;0,D166&lt;&gt;0)),WLS*(C167-C166),"#NA"))</f>
        <v>#VALUE!</v>
      </c>
      <c r="K165" s="194" t="s">
        <v>168</v>
      </c>
      <c r="L165" s="194" t="s">
        <v>168</v>
      </c>
      <c r="M165" s="194" t="s">
        <v>168</v>
      </c>
      <c r="N165" s="194" t="s">
        <v>168</v>
      </c>
      <c r="O165" s="99">
        <f>O164+1</f>
        <v>23</v>
      </c>
      <c r="P165" s="99" t="str">
        <f>VLOOKUP(O165,STN_TABLE_2,2,FALSE)</f>
        <v xml:space="preserve">  </v>
      </c>
      <c r="Q165" s="68" t="e">
        <f t="shared" ref="Q165" si="726">IF(OR(P167-P166=P166-P165,P168-P166=P166-P165),P165,IF(OR(P167-P166=P166-P164,P168-P166=P166-P164),P164,"-"))</f>
        <v>#VALUE!</v>
      </c>
      <c r="R165" s="69" t="e">
        <f>VLOOKUP(Q165,STN_TABLE,2,FALSE)</f>
        <v>#VALUE!</v>
      </c>
      <c r="S165" s="69">
        <v>5</v>
      </c>
      <c r="T165" s="68" t="e">
        <f t="shared" ref="T165:T167" si="727">R165*S165</f>
        <v>#VALUE!</v>
      </c>
      <c r="U165" s="79">
        <v>3</v>
      </c>
      <c r="V165" s="68" t="e">
        <f t="shared" ref="V165:V167" si="728">R165*U165</f>
        <v>#VALUE!</v>
      </c>
      <c r="W165" s="6" t="s">
        <v>93</v>
      </c>
      <c r="X165" s="70" t="e">
        <f>IF(AND(Q167-Q166=Q166-Q165,NOT(AND(Q165=0,Q166=0)),NOT(AND(Q166=0,Q167=0))),WLS*(Q167-Q166),"#NA")</f>
        <v>#VALUE!</v>
      </c>
      <c r="Y165" s="194" t="s">
        <v>168</v>
      </c>
      <c r="Z165" s="194" t="s">
        <v>168</v>
      </c>
      <c r="AA165" s="194" t="s">
        <v>168</v>
      </c>
      <c r="AB165" s="194" t="s">
        <v>168</v>
      </c>
      <c r="AD165" t="s">
        <v>0</v>
      </c>
      <c r="AE165" t="s">
        <v>95</v>
      </c>
      <c r="AF165" t="s">
        <v>173</v>
      </c>
      <c r="AG165" t="s">
        <v>183</v>
      </c>
      <c r="AH165" t="s">
        <v>175</v>
      </c>
      <c r="AI165" t="s">
        <v>184</v>
      </c>
      <c r="AJ165" s="6" t="s">
        <v>93</v>
      </c>
      <c r="AK165" s="70" t="e">
        <f>WLS*(AD167-AD166)</f>
        <v>#VALUE!</v>
      </c>
      <c r="AL165" s="194" t="s">
        <v>168</v>
      </c>
      <c r="AM165" s="194" t="s">
        <v>168</v>
      </c>
      <c r="AN165" s="194" t="s">
        <v>168</v>
      </c>
      <c r="AO165" s="194" t="s">
        <v>168</v>
      </c>
      <c r="BG165"/>
      <c r="BH165"/>
    </row>
    <row r="166" spans="1:60" x14ac:dyDescent="0.25">
      <c r="A166" s="84">
        <f>A165+1</f>
        <v>22</v>
      </c>
      <c r="B166" s="84" t="str">
        <f t="shared" si="685"/>
        <v xml:space="preserve">  </v>
      </c>
      <c r="C166" s="80" t="e">
        <f t="shared" ref="C166" si="729">IF(OR(B168-B167=B167-B166,B168-B167=B167-B165,B168-B167=B167-B164),B167,IF(OR(B168-B166=B166-B165,B168-B166=B166-B164),B166,IF(B168-B165=B165-B164,B165,"#NA")))</f>
        <v>#VALUE!</v>
      </c>
      <c r="D166" s="76" t="e">
        <f>VLOOKUP(C166,STN_TABLE,2,FALSE)</f>
        <v>#VALUE!</v>
      </c>
      <c r="E166" s="81">
        <v>4</v>
      </c>
      <c r="F166" s="76" t="e">
        <f t="shared" si="723"/>
        <v>#VALUE!</v>
      </c>
      <c r="G166" s="77" t="e">
        <f t="shared" si="724"/>
        <v>#VALUE!</v>
      </c>
      <c r="H166" s="77" t="e">
        <f t="shared" si="725"/>
        <v>#VALUE!</v>
      </c>
      <c r="I166" s="204" t="s">
        <v>171</v>
      </c>
      <c r="J166" s="194" t="s">
        <v>168</v>
      </c>
      <c r="K166" s="78" t="s">
        <v>98</v>
      </c>
      <c r="L166" s="194" t="s">
        <v>168</v>
      </c>
      <c r="M166" s="7" t="s">
        <v>77</v>
      </c>
      <c r="N166" s="194" t="s">
        <v>168</v>
      </c>
      <c r="O166" s="99">
        <f>O165+1</f>
        <v>24</v>
      </c>
      <c r="P166" s="99" t="str">
        <f>VLOOKUP(O166,STN_TABLE_2,2,FALSE)</f>
        <v xml:space="preserve">  </v>
      </c>
      <c r="Q166" s="76" t="str">
        <f t="shared" ref="Q166" si="730">P166</f>
        <v xml:space="preserve">  </v>
      </c>
      <c r="R166" s="77" t="str">
        <f>VLOOKUP(Q166,STN_TABLE,2,FALSE)</f>
        <v xml:space="preserve">  </v>
      </c>
      <c r="S166" s="77">
        <v>8</v>
      </c>
      <c r="T166" s="76" t="e">
        <f t="shared" si="727"/>
        <v>#VALUE!</v>
      </c>
      <c r="U166" s="80">
        <v>10</v>
      </c>
      <c r="V166" s="76" t="e">
        <f t="shared" si="728"/>
        <v>#VALUE!</v>
      </c>
      <c r="W166" s="204" t="s">
        <v>171</v>
      </c>
      <c r="X166" s="194" t="s">
        <v>168</v>
      </c>
      <c r="Y166" s="78" t="s">
        <v>98</v>
      </c>
      <c r="Z166" s="194" t="s">
        <v>168</v>
      </c>
      <c r="AA166" s="7" t="s">
        <v>77</v>
      </c>
      <c r="AB166" s="194" t="s">
        <v>168</v>
      </c>
      <c r="AC166" s="99">
        <f>AC160+1</f>
        <v>23</v>
      </c>
      <c r="AD166" s="95" t="str">
        <f>VLOOKUP(AC166,STN_TABLE_2,2,FALSE)</f>
        <v xml:space="preserve">  </v>
      </c>
      <c r="AE166" t="str">
        <f t="shared" ref="AE166:AE167" si="731">AG166</f>
        <v xml:space="preserve">  </v>
      </c>
      <c r="AF166">
        <v>1</v>
      </c>
      <c r="AG166" s="68" t="str">
        <f>VLOOKUP(AD166,STN_TABLE,2,FALSE)</f>
        <v xml:space="preserve">  </v>
      </c>
      <c r="AH166" s="68">
        <v>1</v>
      </c>
      <c r="AI166" s="69" t="e">
        <f t="shared" ref="AI166:AI167" si="732">AG166*AH166</f>
        <v>#VALUE!</v>
      </c>
      <c r="AJ166" s="204" t="s">
        <v>171</v>
      </c>
      <c r="AK166" s="194" t="s">
        <v>168</v>
      </c>
      <c r="AL166" s="78" t="s">
        <v>98</v>
      </c>
      <c r="AM166" s="194" t="s">
        <v>168</v>
      </c>
      <c r="AN166" s="7" t="s">
        <v>77</v>
      </c>
      <c r="AO166" s="194" t="s">
        <v>168</v>
      </c>
      <c r="AR166" s="86" t="s">
        <v>112</v>
      </c>
      <c r="AS166" s="89" t="s">
        <v>113</v>
      </c>
      <c r="AT166" s="89" t="s">
        <v>114</v>
      </c>
      <c r="AU166" s="89" t="s">
        <v>115</v>
      </c>
      <c r="AV166" s="71" t="e">
        <f t="shared" ref="AV166" si="733">IF(AV167=AR167,AR166,IF(AV167=AS167,AS166,IF(AV167=AT167,AT166,AU166)))</f>
        <v>#VALUE!</v>
      </c>
      <c r="BG166"/>
      <c r="BH166"/>
    </row>
    <row r="167" spans="1:60" x14ac:dyDescent="0.25">
      <c r="A167" s="84">
        <f>A166+1</f>
        <v>23</v>
      </c>
      <c r="B167" s="84" t="str">
        <f t="shared" si="685"/>
        <v xml:space="preserve">  </v>
      </c>
      <c r="C167" s="88" t="str">
        <f t="shared" ref="C167" si="734">B168</f>
        <v xml:space="preserve">  </v>
      </c>
      <c r="D167" s="82" t="str">
        <f>VLOOKUP(C167,STN_TABLE,2,FALSE)</f>
        <v xml:space="preserve">  </v>
      </c>
      <c r="E167" s="92">
        <v>1</v>
      </c>
      <c r="F167" s="82" t="e">
        <f t="shared" si="723"/>
        <v>#VALUE!</v>
      </c>
      <c r="G167" s="83" t="str">
        <f t="shared" si="724"/>
        <v xml:space="preserve">  </v>
      </c>
      <c r="H167" s="83" t="e">
        <f t="shared" si="725"/>
        <v>#VALUE!</v>
      </c>
      <c r="I167" s="84" t="e">
        <f t="shared" ref="I167" si="735">CONCATENATE("a'(",C165,"~",C167,")=")</f>
        <v>#VALUE!</v>
      </c>
      <c r="J167" s="84" t="e">
        <f t="shared" ref="J167" si="736">2*J165/3*F168</f>
        <v>#VALUE!</v>
      </c>
      <c r="K167" s="84" t="e">
        <f t="shared" ref="K167" si="737">CONCATENATE("A(",C165,")=")</f>
        <v>#VALUE!</v>
      </c>
      <c r="L167" s="84" t="e">
        <f>VLOOKUP(C165,STN_TABLE,3,FALSE)</f>
        <v>#VALUE!</v>
      </c>
      <c r="M167" t="str">
        <f t="shared" ref="M167" si="738">CONCATENATE("A(",C167,")=")</f>
        <v>A(  )=</v>
      </c>
      <c r="N167" t="e">
        <f t="shared" ref="N167:N168" si="739">J167+L167</f>
        <v>#VALUE!</v>
      </c>
      <c r="O167" s="99">
        <f>O166+1</f>
        <v>25</v>
      </c>
      <c r="P167" s="99" t="str">
        <f>VLOOKUP(O167,STN_TABLE_2,2,FALSE)</f>
        <v xml:space="preserve">  </v>
      </c>
      <c r="Q167" s="82" t="e">
        <f t="shared" ref="Q167" si="740">IF(P167-P166=P166-P165,P167,IF(P168-P166=P166-P165,P168,IF(P167-P166=P166-P164,P167,IF(P168-P166=P166-P164,P168,"-"))))</f>
        <v>#VALUE!</v>
      </c>
      <c r="R167" s="83" t="e">
        <f>VLOOKUP(Q167,STN_TABLE,2,FALSE)</f>
        <v>#VALUE!</v>
      </c>
      <c r="S167" s="83">
        <v>-1</v>
      </c>
      <c r="T167" s="82" t="e">
        <f t="shared" si="727"/>
        <v>#VALUE!</v>
      </c>
      <c r="U167" s="88">
        <v>-1</v>
      </c>
      <c r="V167" s="82" t="e">
        <f t="shared" si="728"/>
        <v>#VALUE!</v>
      </c>
      <c r="W167" s="84" t="e">
        <f t="shared" ref="W167" si="741">CONCATENATE("a'(",Q165,"~",Q166,")=")</f>
        <v>#VALUE!</v>
      </c>
      <c r="X167" s="84" t="e">
        <f t="shared" ref="X167" si="742">2*X165/12*T168</f>
        <v>#VALUE!</v>
      </c>
      <c r="Y167" s="84" t="e">
        <f t="shared" ref="Y167" si="743">CONCATENATE("A(",Q165,")=")</f>
        <v>#VALUE!</v>
      </c>
      <c r="Z167" s="84" t="e">
        <f>VLOOKUP(Q165,STN_TABLE,3,FALSE)</f>
        <v>#VALUE!</v>
      </c>
      <c r="AA167" t="str">
        <f t="shared" ref="AA167" si="744">CONCATENATE("A(",Q166,")=")</f>
        <v>A(  )=</v>
      </c>
      <c r="AB167" t="e">
        <f t="shared" ref="AB167:AB168" si="745">X167+Z167</f>
        <v>#VALUE!</v>
      </c>
      <c r="AC167" s="99">
        <f>AC166+1</f>
        <v>24</v>
      </c>
      <c r="AD167" s="100" t="str">
        <f>VLOOKUP(AC167,STN_TABLE_2,2,FALSE)</f>
        <v xml:space="preserve">  </v>
      </c>
      <c r="AE167" t="str">
        <f t="shared" si="731"/>
        <v xml:space="preserve">  </v>
      </c>
      <c r="AF167">
        <v>1</v>
      </c>
      <c r="AG167" s="82" t="str">
        <f>VLOOKUP(AD167,STN_TABLE,2,FALSE)</f>
        <v xml:space="preserve">  </v>
      </c>
      <c r="AH167" s="82">
        <v>2</v>
      </c>
      <c r="AI167" s="83" t="e">
        <f t="shared" si="732"/>
        <v>#VALUE!</v>
      </c>
      <c r="AJ167" s="84" t="str">
        <f t="shared" ref="AJ167" si="746">CONCATENATE("a'(",AD167,")=")</f>
        <v>a'(  )=</v>
      </c>
      <c r="AK167" s="84" t="e">
        <f t="shared" ref="AK167" si="747">2*AK165/2*AG168</f>
        <v>#VALUE!</v>
      </c>
      <c r="AL167" s="84" t="str">
        <f t="shared" ref="AL167" si="748">CONCATENATE("A(",AD166,")=")</f>
        <v>A(  )=</v>
      </c>
      <c r="AM167" s="84" t="str">
        <f>VLOOKUP(AD166,STN_TABLE,3,FALSE)</f>
        <v xml:space="preserve"> </v>
      </c>
      <c r="AN167" t="str">
        <f t="shared" ref="AN167" si="749">CONCATENATE("A(",AD167,")=")</f>
        <v>A(  )=</v>
      </c>
      <c r="AO167" t="e">
        <f t="shared" ref="AO167:AO168" si="750">AK167+AM167</f>
        <v>#VALUE!</v>
      </c>
      <c r="AQ167" s="68" t="str">
        <f>AA167</f>
        <v>A(  )=</v>
      </c>
      <c r="AR167" s="68" t="str">
        <f>IFERROR(VLOOKUP(AQ167,Rise_Results,2,FALSE),"-")</f>
        <v>-</v>
      </c>
      <c r="AS167" s="76" t="str">
        <f>IFERROR(N167,"-")</f>
        <v>-</v>
      </c>
      <c r="AT167" s="76" t="str">
        <f>IFERROR(IF(OR(AB167&lt;=0,AB168&lt;=0),1/0,AB167),"-")</f>
        <v>-</v>
      </c>
      <c r="AU167" s="76" t="e">
        <f t="shared" ref="AU167:AU168" si="751">AO167</f>
        <v>#VALUE!</v>
      </c>
      <c r="AV167" t="e">
        <f t="shared" ref="AV167:AV168" si="752">IF(ISNUMBER(AR167),AR167,IF(ISNUMBER(AS167),AS167,IF(ISNUMBER(AT167),AT167,AU167)))</f>
        <v>#VALUE!</v>
      </c>
      <c r="BG167"/>
      <c r="BH167"/>
    </row>
    <row r="168" spans="1:60" x14ac:dyDescent="0.25">
      <c r="A168" s="84">
        <f>A167+1</f>
        <v>24</v>
      </c>
      <c r="B168" s="84" t="str">
        <f t="shared" si="685"/>
        <v xml:space="preserve">  </v>
      </c>
      <c r="C168" s="194" t="s">
        <v>168</v>
      </c>
      <c r="D168" s="194" t="s">
        <v>168</v>
      </c>
      <c r="E168" s="6" t="s">
        <v>172</v>
      </c>
      <c r="F168" s="89" t="e">
        <f t="shared" ref="F168" si="753">SUM(F165:F167)</f>
        <v>#VALUE!</v>
      </c>
      <c r="G168" s="6" t="s">
        <v>172</v>
      </c>
      <c r="H168" s="82" t="e">
        <f t="shared" ref="H168" si="754">SUM(H165:H167)</f>
        <v>#VALUE!</v>
      </c>
      <c r="I168" s="84" t="e">
        <f t="shared" ref="I168" si="755">CONCATENATE("m'(",C165,"~",C167,")=")</f>
        <v>#VALUE!</v>
      </c>
      <c r="J168" s="84" t="e">
        <f>2*(J165*(WLS))/3*H168</f>
        <v>#VALUE!</v>
      </c>
      <c r="K168" s="84" t="e">
        <f t="shared" ref="K168" si="756">CONCATENATE("M(",C165,")=")</f>
        <v>#VALUE!</v>
      </c>
      <c r="L168" s="84" t="e">
        <f>VLOOKUP(C165,STN_TABLE,4,FALSE)</f>
        <v>#VALUE!</v>
      </c>
      <c r="M168" t="str">
        <f t="shared" ref="M168" si="757">CONCATENATE("M(",C167,")=")</f>
        <v>M(  )=</v>
      </c>
      <c r="N168" t="e">
        <f t="shared" si="739"/>
        <v>#VALUE!</v>
      </c>
      <c r="O168" s="99">
        <f>O167+1</f>
        <v>26</v>
      </c>
      <c r="P168" s="99" t="e">
        <f>VLOOKUP(O168,STN_TABLE_2,2,FALSE)</f>
        <v>#N/A</v>
      </c>
      <c r="Q168" s="194" t="s">
        <v>168</v>
      </c>
      <c r="R168" s="194" t="s">
        <v>168</v>
      </c>
      <c r="S168" s="6" t="s">
        <v>172</v>
      </c>
      <c r="T168" s="89" t="e">
        <f t="shared" si="624"/>
        <v>#VALUE!</v>
      </c>
      <c r="U168" s="6" t="s">
        <v>172</v>
      </c>
      <c r="V168" s="82" t="e">
        <f t="shared" si="625"/>
        <v>#VALUE!</v>
      </c>
      <c r="W168" s="84" t="e">
        <f t="shared" ref="W168" si="758">CONCATENATE("m'(",Q165,"~",Q166,")=")</f>
        <v>#VALUE!</v>
      </c>
      <c r="X168" s="84" t="e">
        <f>(2*(X165^2)/24*V168)+(X167*Q165*WLS)</f>
        <v>#VALUE!</v>
      </c>
      <c r="Y168" s="84" t="e">
        <f t="shared" ref="Y168" si="759">CONCATENATE("M(",Q165,")=")</f>
        <v>#VALUE!</v>
      </c>
      <c r="Z168" s="84" t="e">
        <f>VLOOKUP(Q165,STN_TABLE,4,FALSE)</f>
        <v>#VALUE!</v>
      </c>
      <c r="AA168" t="str">
        <f t="shared" ref="AA168" si="760">CONCATENATE("M(",Q166,")=")</f>
        <v>M(  )=</v>
      </c>
      <c r="AB168" t="e">
        <f t="shared" si="745"/>
        <v>#VALUE!</v>
      </c>
      <c r="AD168" s="194" t="s">
        <v>168</v>
      </c>
      <c r="AE168" s="194" t="s">
        <v>168</v>
      </c>
      <c r="AF168" s="6" t="s">
        <v>172</v>
      </c>
      <c r="AG168" s="89">
        <f t="shared" si="629"/>
        <v>0</v>
      </c>
      <c r="AH168" s="6" t="s">
        <v>172</v>
      </c>
      <c r="AI168" s="89" t="e">
        <f t="shared" si="630"/>
        <v>#VALUE!</v>
      </c>
      <c r="AJ168" s="84" t="str">
        <f t="shared" ref="AJ168" si="761">CONCATENATE("m'(",AD167,")=")</f>
        <v>m'(  )=</v>
      </c>
      <c r="AK168" s="84" t="e">
        <f>(2*(AK165^2)/6*AI168)+(AK167*AD166*WLS)</f>
        <v>#VALUE!</v>
      </c>
      <c r="AL168" s="84" t="str">
        <f t="shared" ref="AL168" si="762">CONCATENATE("M(",AD166,")=")</f>
        <v>M(  )=</v>
      </c>
      <c r="AM168" s="84" t="str">
        <f>VLOOKUP(AD166,STN_TABLE,4,FALSE)</f>
        <v xml:space="preserve"> </v>
      </c>
      <c r="AN168" t="str">
        <f t="shared" ref="AN168" si="763">CONCATENATE("M(",AD167,")=")</f>
        <v>M(  )=</v>
      </c>
      <c r="AO168" t="e">
        <f t="shared" si="750"/>
        <v>#VALUE!</v>
      </c>
      <c r="AQ168" s="82" t="str">
        <f>AA168</f>
        <v>M(  )=</v>
      </c>
      <c r="AR168" s="82" t="str">
        <f>IFERROR(VLOOKUP(AQ168,Rise_Results,2,FALSE),"-")</f>
        <v>-</v>
      </c>
      <c r="AS168" s="82" t="str">
        <f>IFERROR(N168,"-")</f>
        <v>-</v>
      </c>
      <c r="AT168" s="82" t="str">
        <f>IFERROR(IF(OR(AB167&lt;=0,AB168&lt;=0),1/0,AB168),"-")</f>
        <v>-</v>
      </c>
      <c r="AU168" s="82" t="e">
        <f t="shared" si="751"/>
        <v>#VALUE!</v>
      </c>
      <c r="AV168" t="e">
        <f t="shared" si="752"/>
        <v>#VALUE!</v>
      </c>
      <c r="BG168"/>
      <c r="BH168"/>
    </row>
    <row r="169" spans="1:60" x14ac:dyDescent="0.25">
      <c r="A169" s="84"/>
      <c r="B169" s="84"/>
      <c r="F169" s="81"/>
      <c r="H169" s="81"/>
      <c r="I169" s="84"/>
      <c r="J169" s="84"/>
      <c r="K169" s="84"/>
      <c r="L169" s="84"/>
      <c r="O169" s="99"/>
      <c r="P169" s="99"/>
      <c r="T169" s="81"/>
      <c r="V169" s="81"/>
      <c r="W169" s="84"/>
      <c r="X169" s="84"/>
      <c r="Y169" s="84"/>
      <c r="Z169" s="84"/>
      <c r="AD169" s="194" t="s">
        <v>168</v>
      </c>
      <c r="AE169" s="194" t="s">
        <v>168</v>
      </c>
      <c r="AF169" s="194" t="s">
        <v>168</v>
      </c>
      <c r="AG169" s="194" t="s">
        <v>168</v>
      </c>
      <c r="AH169" s="194" t="s">
        <v>168</v>
      </c>
      <c r="AI169" s="194" t="s">
        <v>168</v>
      </c>
      <c r="AJ169" s="194" t="s">
        <v>168</v>
      </c>
      <c r="AK169" s="194" t="s">
        <v>168</v>
      </c>
      <c r="AL169" s="194" t="s">
        <v>168</v>
      </c>
      <c r="AM169" s="194" t="s">
        <v>168</v>
      </c>
      <c r="AN169" s="194" t="s">
        <v>168</v>
      </c>
      <c r="AO169" s="194" t="s">
        <v>168</v>
      </c>
      <c r="AQ169" s="81"/>
      <c r="AR169" s="81"/>
      <c r="AS169" s="81"/>
      <c r="AT169" s="81"/>
      <c r="AU169" s="81"/>
      <c r="BG169"/>
      <c r="BH169"/>
    </row>
    <row r="170" spans="1:60" ht="18" x14ac:dyDescent="0.35">
      <c r="A170" s="101">
        <f>A164+1</f>
        <v>21</v>
      </c>
      <c r="B170" s="101" t="str">
        <f t="shared" si="685"/>
        <v xml:space="preserve">  </v>
      </c>
      <c r="C170" t="s">
        <v>0</v>
      </c>
      <c r="D170" t="s">
        <v>95</v>
      </c>
      <c r="E170" t="s">
        <v>164</v>
      </c>
      <c r="F170" t="s">
        <v>165</v>
      </c>
      <c r="G170" t="s">
        <v>13</v>
      </c>
      <c r="H170" t="s">
        <v>169</v>
      </c>
      <c r="I170" s="194" t="s">
        <v>168</v>
      </c>
      <c r="J170" s="194" t="s">
        <v>168</v>
      </c>
      <c r="K170" s="194" t="s">
        <v>168</v>
      </c>
      <c r="L170" s="194" t="s">
        <v>168</v>
      </c>
      <c r="M170" s="194" t="s">
        <v>168</v>
      </c>
      <c r="N170" s="194" t="s">
        <v>168</v>
      </c>
      <c r="O170" s="101">
        <f>O164+1</f>
        <v>23</v>
      </c>
      <c r="P170" s="101" t="str">
        <f t="shared" ref="P170" si="764">VLOOKUP(O170,STN_TABLE_2,2,FALSE)</f>
        <v xml:space="preserve">  </v>
      </c>
      <c r="Q170" t="s">
        <v>0</v>
      </c>
      <c r="R170" t="s">
        <v>95</v>
      </c>
      <c r="S170" t="s">
        <v>164</v>
      </c>
      <c r="T170" t="s">
        <v>165</v>
      </c>
      <c r="U170" t="s">
        <v>166</v>
      </c>
      <c r="V170" t="s">
        <v>167</v>
      </c>
      <c r="W170" s="194" t="s">
        <v>168</v>
      </c>
      <c r="X170" s="194" t="s">
        <v>168</v>
      </c>
      <c r="Y170" s="194" t="s">
        <v>168</v>
      </c>
      <c r="Z170" s="194" t="s">
        <v>168</v>
      </c>
      <c r="AA170" s="194" t="s">
        <v>168</v>
      </c>
      <c r="AB170" s="194" t="s">
        <v>168</v>
      </c>
      <c r="BG170"/>
      <c r="BH170"/>
    </row>
    <row r="171" spans="1:60" ht="18" x14ac:dyDescent="0.35">
      <c r="A171" s="84">
        <f>A170+1</f>
        <v>22</v>
      </c>
      <c r="B171" s="84" t="str">
        <f t="shared" si="685"/>
        <v xml:space="preserve">  </v>
      </c>
      <c r="C171" s="79" t="e">
        <f t="shared" ref="C171" si="765">IF(C172=B173,IF(C173-C172=C172-B172,B172,IF(C173-C172=C172-B171,B171,"#NA")),IF(C172=B172,IF(C173-C172=C172-B171,B171,IF(C173-C172=C172-B170,B170,"#NA")),"#NA"))</f>
        <v>#VALUE!</v>
      </c>
      <c r="D171" s="68" t="e">
        <f>VLOOKUP(C171,STN_TABLE,2,FALSE)</f>
        <v>#VALUE!</v>
      </c>
      <c r="E171" s="102">
        <v>1</v>
      </c>
      <c r="F171" s="68" t="e">
        <f t="shared" ref="F171:F173" si="766">D171*E171</f>
        <v>#VALUE!</v>
      </c>
      <c r="G171" s="69" t="e">
        <f t="shared" ref="G171:G173" si="767">C171</f>
        <v>#VALUE!</v>
      </c>
      <c r="H171" s="69" t="e">
        <f t="shared" ref="H171:H173" si="768">F171*G171</f>
        <v>#VALUE!</v>
      </c>
      <c r="I171" s="6" t="s">
        <v>93</v>
      </c>
      <c r="J171" s="70" t="e">
        <f>IF(OR(D171=0,D172=0,D173=0),"#NA",IF(AND(C173-C172=C172-C171,C172&lt;&gt;C173,C171&lt;&gt;C172,C171&lt;&gt;C173,D173&lt;&gt;0,OR(D171&lt;&gt;0,D172&lt;&gt;0)),WLS*(C173-C172),"#NA"))</f>
        <v>#VALUE!</v>
      </c>
      <c r="K171" s="194" t="s">
        <v>168</v>
      </c>
      <c r="L171" s="194" t="s">
        <v>168</v>
      </c>
      <c r="M171" s="194" t="s">
        <v>168</v>
      </c>
      <c r="N171" s="194" t="s">
        <v>168</v>
      </c>
      <c r="O171" s="99">
        <f>O170+1</f>
        <v>24</v>
      </c>
      <c r="P171" s="99" t="str">
        <f>VLOOKUP(O171,STN_TABLE_2,2,FALSE)</f>
        <v xml:space="preserve">  </v>
      </c>
      <c r="Q171" s="205" t="e">
        <f>IF(P173-P172=P172-P171,P171,IF(P173-P172=P172-P170,P170,"-"))</f>
        <v>#N/A</v>
      </c>
      <c r="R171" s="69" t="e">
        <f>VLOOKUP(Q171,STN_TABLE,2,FALSE)</f>
        <v>#N/A</v>
      </c>
      <c r="S171" s="69">
        <v>5</v>
      </c>
      <c r="T171" s="68" t="e">
        <f t="shared" ref="T171:T173" si="769">R171*S171</f>
        <v>#N/A</v>
      </c>
      <c r="U171" s="79">
        <v>3</v>
      </c>
      <c r="V171" s="68" t="e">
        <f t="shared" ref="V171:V173" si="770">R171*U171</f>
        <v>#N/A</v>
      </c>
      <c r="W171" s="6" t="s">
        <v>93</v>
      </c>
      <c r="X171" s="70" t="e">
        <f>IF(AND(Q173-Q172=Q172-Q171,NOT(AND(Q171=0,Q172=0)),NOT(AND(Q172=0,Q173=0))),WLS*(Q173-Q172),"#NA")</f>
        <v>#N/A</v>
      </c>
      <c r="Y171" s="194" t="s">
        <v>168</v>
      </c>
      <c r="Z171" s="194" t="s">
        <v>168</v>
      </c>
      <c r="AA171" s="194" t="s">
        <v>168</v>
      </c>
      <c r="AB171" s="194" t="s">
        <v>168</v>
      </c>
      <c r="AD171" t="s">
        <v>0</v>
      </c>
      <c r="AE171" t="s">
        <v>95</v>
      </c>
      <c r="AF171" t="s">
        <v>173</v>
      </c>
      <c r="AG171" t="s">
        <v>183</v>
      </c>
      <c r="AH171" t="s">
        <v>175</v>
      </c>
      <c r="AI171" t="s">
        <v>184</v>
      </c>
      <c r="AJ171" s="6" t="s">
        <v>93</v>
      </c>
      <c r="AK171" s="70" t="e">
        <f>WLS*(AD173-AD172)</f>
        <v>#VALUE!</v>
      </c>
      <c r="AL171" s="194" t="s">
        <v>168</v>
      </c>
      <c r="AM171" s="194" t="s">
        <v>168</v>
      </c>
      <c r="AN171" s="194" t="s">
        <v>168</v>
      </c>
      <c r="AO171" s="194" t="s">
        <v>168</v>
      </c>
      <c r="BG171"/>
      <c r="BH171"/>
    </row>
    <row r="172" spans="1:60" x14ac:dyDescent="0.25">
      <c r="A172" s="84">
        <f>A171+1</f>
        <v>23</v>
      </c>
      <c r="B172" s="84" t="str">
        <f t="shared" si="685"/>
        <v xml:space="preserve">  </v>
      </c>
      <c r="C172" s="80" t="e">
        <f t="shared" ref="C172" si="771">IF(OR(B174-B173=B173-B172,B174-B173=B173-B171,B174-B173=B173-B170),B173,IF(OR(B174-B172=B172-B171,B174-B172=B172-B170),B172,IF(B174-B171=B171-B170,B171,"#NA")))</f>
        <v>#VALUE!</v>
      </c>
      <c r="D172" s="76" t="e">
        <f>VLOOKUP(C172,STN_TABLE,2,FALSE)</f>
        <v>#VALUE!</v>
      </c>
      <c r="E172" s="81">
        <v>4</v>
      </c>
      <c r="F172" s="76" t="e">
        <f t="shared" si="766"/>
        <v>#VALUE!</v>
      </c>
      <c r="G172" s="77" t="e">
        <f t="shared" si="767"/>
        <v>#VALUE!</v>
      </c>
      <c r="H172" s="77" t="e">
        <f t="shared" si="768"/>
        <v>#VALUE!</v>
      </c>
      <c r="I172" s="204" t="s">
        <v>171</v>
      </c>
      <c r="J172" s="194" t="s">
        <v>168</v>
      </c>
      <c r="K172" s="78" t="s">
        <v>98</v>
      </c>
      <c r="L172" s="194" t="s">
        <v>168</v>
      </c>
      <c r="M172" s="7" t="s">
        <v>77</v>
      </c>
      <c r="N172" s="194" t="s">
        <v>168</v>
      </c>
      <c r="O172" s="99">
        <f>O171+1</f>
        <v>25</v>
      </c>
      <c r="P172" s="99" t="str">
        <f>VLOOKUP(O172,STN_TABLE_2,2,FALSE)</f>
        <v xml:space="preserve">  </v>
      </c>
      <c r="Q172" s="206" t="str">
        <f>P172</f>
        <v xml:space="preserve">  </v>
      </c>
      <c r="R172" s="77" t="str">
        <f>VLOOKUP(Q172,STN_TABLE,2,FALSE)</f>
        <v xml:space="preserve">  </v>
      </c>
      <c r="S172" s="77">
        <v>8</v>
      </c>
      <c r="T172" s="76" t="e">
        <f t="shared" si="769"/>
        <v>#VALUE!</v>
      </c>
      <c r="U172" s="80">
        <v>10</v>
      </c>
      <c r="V172" s="76" t="e">
        <f t="shared" si="770"/>
        <v>#VALUE!</v>
      </c>
      <c r="W172" s="204" t="s">
        <v>171</v>
      </c>
      <c r="X172" s="194" t="s">
        <v>168</v>
      </c>
      <c r="Y172" s="78" t="s">
        <v>98</v>
      </c>
      <c r="Z172" s="194" t="s">
        <v>168</v>
      </c>
      <c r="AA172" s="7" t="s">
        <v>77</v>
      </c>
      <c r="AB172" s="194" t="s">
        <v>168</v>
      </c>
      <c r="AC172" s="99">
        <f>AC166+1</f>
        <v>24</v>
      </c>
      <c r="AD172" s="95" t="str">
        <f>VLOOKUP(AC172,STN_TABLE_2,2,FALSE)</f>
        <v xml:space="preserve">  </v>
      </c>
      <c r="AE172" t="str">
        <f t="shared" ref="AE172:AE173" si="772">AG172</f>
        <v xml:space="preserve">  </v>
      </c>
      <c r="AF172">
        <v>1</v>
      </c>
      <c r="AG172" s="68" t="str">
        <f>VLOOKUP(AD172,STN_TABLE,2,FALSE)</f>
        <v xml:space="preserve">  </v>
      </c>
      <c r="AH172" s="68">
        <v>1</v>
      </c>
      <c r="AI172" s="69" t="e">
        <f t="shared" ref="AI172:AI173" si="773">AG172*AH172</f>
        <v>#VALUE!</v>
      </c>
      <c r="AJ172" s="204" t="s">
        <v>171</v>
      </c>
      <c r="AK172" s="194" t="s">
        <v>168</v>
      </c>
      <c r="AL172" s="78" t="s">
        <v>98</v>
      </c>
      <c r="AM172" s="194" t="s">
        <v>168</v>
      </c>
      <c r="AN172" s="7" t="s">
        <v>77</v>
      </c>
      <c r="AO172" s="194" t="s">
        <v>168</v>
      </c>
      <c r="AR172" s="86" t="s">
        <v>112</v>
      </c>
      <c r="AS172" s="89" t="s">
        <v>113</v>
      </c>
      <c r="AT172" s="89" t="s">
        <v>114</v>
      </c>
      <c r="AU172" s="89" t="s">
        <v>115</v>
      </c>
      <c r="AV172" s="71" t="e">
        <f t="shared" ref="AV172" si="774">IF(AV173=AR173,AR172,IF(AV173=AS173,AS172,IF(AV173=AT173,AT172,AU172)))</f>
        <v>#VALUE!</v>
      </c>
      <c r="BG172"/>
      <c r="BH172"/>
    </row>
    <row r="173" spans="1:60" x14ac:dyDescent="0.25">
      <c r="A173" s="84">
        <f>A172+1</f>
        <v>24</v>
      </c>
      <c r="B173" s="84" t="str">
        <f t="shared" si="685"/>
        <v xml:space="preserve">  </v>
      </c>
      <c r="C173" s="88" t="str">
        <f t="shared" ref="C173" si="775">B174</f>
        <v xml:space="preserve">  </v>
      </c>
      <c r="D173" s="82" t="str">
        <f>VLOOKUP(C173,STN_TABLE,2,FALSE)</f>
        <v xml:space="preserve">  </v>
      </c>
      <c r="E173" s="92">
        <v>1</v>
      </c>
      <c r="F173" s="82" t="e">
        <f t="shared" si="766"/>
        <v>#VALUE!</v>
      </c>
      <c r="G173" s="83" t="str">
        <f t="shared" si="767"/>
        <v xml:space="preserve">  </v>
      </c>
      <c r="H173" s="83" t="e">
        <f t="shared" si="768"/>
        <v>#VALUE!</v>
      </c>
      <c r="I173" s="84" t="e">
        <f t="shared" ref="I173" si="776">CONCATENATE("a'(",C171,"~",C173,")=")</f>
        <v>#VALUE!</v>
      </c>
      <c r="J173" s="84" t="e">
        <f t="shared" ref="J173" si="777">2*J171/3*F174</f>
        <v>#VALUE!</v>
      </c>
      <c r="K173" s="84" t="e">
        <f t="shared" ref="K173" si="778">CONCATENATE("A(",C171,")=")</f>
        <v>#VALUE!</v>
      </c>
      <c r="L173" s="84" t="e">
        <f>VLOOKUP(C171,STN_TABLE,3,FALSE)</f>
        <v>#VALUE!</v>
      </c>
      <c r="M173" t="str">
        <f t="shared" ref="M173" si="779">CONCATENATE("A(",C173,")=")</f>
        <v>A(  )=</v>
      </c>
      <c r="N173" t="e">
        <f t="shared" ref="N173:N174" si="780">J173+L173</f>
        <v>#VALUE!</v>
      </c>
      <c r="O173" s="99">
        <f>O172+1</f>
        <v>26</v>
      </c>
      <c r="P173" s="99" t="e">
        <f>VLOOKUP(O173,STN_TABLE_2,2,FALSE)</f>
        <v>#N/A</v>
      </c>
      <c r="Q173" s="207" t="e">
        <f>IF(P173-P172=P172-P171,P173,IF(P173-P172=P172-P170,P173,"-"))</f>
        <v>#N/A</v>
      </c>
      <c r="R173" s="83" t="e">
        <f>VLOOKUP(Q173,STN_TABLE,2,FALSE)</f>
        <v>#N/A</v>
      </c>
      <c r="S173" s="83">
        <v>-1</v>
      </c>
      <c r="T173" s="82" t="e">
        <f t="shared" si="769"/>
        <v>#N/A</v>
      </c>
      <c r="U173" s="88">
        <v>-1</v>
      </c>
      <c r="V173" s="82" t="e">
        <f t="shared" si="770"/>
        <v>#N/A</v>
      </c>
      <c r="W173" s="84" t="str">
        <f>CONCATENATE("a'(",Q172,")=")</f>
        <v>a'(  )=</v>
      </c>
      <c r="X173" s="84" t="e">
        <f>2*X171/12*T174</f>
        <v>#N/A</v>
      </c>
      <c r="Y173" s="84" t="e">
        <f>CONCATENATE("A(",Q171,")=")</f>
        <v>#N/A</v>
      </c>
      <c r="Z173" s="84" t="e">
        <f>VLOOKUP(Q171,STN_TABLE,3,FALSE)</f>
        <v>#N/A</v>
      </c>
      <c r="AA173" t="str">
        <f>CONCATENATE("A(",Q172,")=")</f>
        <v>A(  )=</v>
      </c>
      <c r="AB173" t="e">
        <f>X173+Z173</f>
        <v>#N/A</v>
      </c>
      <c r="AC173" s="99">
        <f>AC172+1</f>
        <v>25</v>
      </c>
      <c r="AD173" s="100" t="str">
        <f>VLOOKUP(AC173,STN_TABLE_2,2,FALSE)</f>
        <v xml:space="preserve">  </v>
      </c>
      <c r="AE173" t="str">
        <f t="shared" si="772"/>
        <v xml:space="preserve">  </v>
      </c>
      <c r="AF173">
        <v>1</v>
      </c>
      <c r="AG173" s="82" t="str">
        <f>VLOOKUP(AD173,STN_TABLE,2,FALSE)</f>
        <v xml:space="preserve">  </v>
      </c>
      <c r="AH173" s="82">
        <v>2</v>
      </c>
      <c r="AI173" s="83" t="e">
        <f t="shared" si="773"/>
        <v>#VALUE!</v>
      </c>
      <c r="AJ173" s="84" t="str">
        <f t="shared" ref="AJ173" si="781">CONCATENATE("a'(",AD173,")=")</f>
        <v>a'(  )=</v>
      </c>
      <c r="AK173" s="84" t="e">
        <f t="shared" ref="AK173" si="782">2*AK171/2*AG174</f>
        <v>#VALUE!</v>
      </c>
      <c r="AL173" s="84" t="str">
        <f t="shared" ref="AL173" si="783">CONCATENATE("A(",AD172,")=")</f>
        <v>A(  )=</v>
      </c>
      <c r="AM173" s="84" t="str">
        <f>VLOOKUP(AD172,STN_TABLE,3,FALSE)</f>
        <v xml:space="preserve"> </v>
      </c>
      <c r="AN173" t="str">
        <f t="shared" ref="AN173" si="784">CONCATENATE("A(",AD173,")=")</f>
        <v>A(  )=</v>
      </c>
      <c r="AO173" t="e">
        <f t="shared" ref="AO173:AO174" si="785">AK173+AM173</f>
        <v>#VALUE!</v>
      </c>
      <c r="AQ173" s="68" t="str">
        <f>AA173</f>
        <v>A(  )=</v>
      </c>
      <c r="AR173" s="68" t="str">
        <f>IFERROR(VLOOKUP(AQ173,Rise_Results,2,FALSE),"-")</f>
        <v>-</v>
      </c>
      <c r="AS173" s="76" t="str">
        <f>IFERROR(N173,"-")</f>
        <v>-</v>
      </c>
      <c r="AT173" s="76" t="str">
        <f>IFERROR(IF(OR(AB173&lt;=0,AB174&lt;=0),1/0,AB173),"-")</f>
        <v>-</v>
      </c>
      <c r="AU173" s="76" t="e">
        <f t="shared" ref="AU173:AU174" si="786">AO173</f>
        <v>#VALUE!</v>
      </c>
      <c r="AV173" t="e">
        <f t="shared" ref="AV173:AV174" si="787">IF(ISNUMBER(AR173),AR173,IF(ISNUMBER(AS173),AS173,IF(ISNUMBER(AT173),AT173,AU173)))</f>
        <v>#VALUE!</v>
      </c>
      <c r="BG173"/>
      <c r="BH173"/>
    </row>
    <row r="174" spans="1:60" x14ac:dyDescent="0.25">
      <c r="A174" s="84">
        <f>A173+1</f>
        <v>25</v>
      </c>
      <c r="B174" s="84" t="str">
        <f t="shared" si="685"/>
        <v xml:space="preserve">  </v>
      </c>
      <c r="C174" s="194" t="s">
        <v>168</v>
      </c>
      <c r="D174" s="194" t="s">
        <v>168</v>
      </c>
      <c r="E174" s="6" t="s">
        <v>172</v>
      </c>
      <c r="F174" s="89" t="e">
        <f t="shared" ref="F174" si="788">SUM(F171:F173)</f>
        <v>#VALUE!</v>
      </c>
      <c r="G174" s="6" t="s">
        <v>172</v>
      </c>
      <c r="H174" s="82" t="e">
        <f t="shared" ref="H174" si="789">SUM(H171:H173)</f>
        <v>#VALUE!</v>
      </c>
      <c r="I174" s="84" t="e">
        <f t="shared" ref="I174" si="790">CONCATENATE("m'(",C171,"~",C173,")=")</f>
        <v>#VALUE!</v>
      </c>
      <c r="J174" s="84" t="e">
        <f>2*(J171*(WLS))/3*H174</f>
        <v>#VALUE!</v>
      </c>
      <c r="K174" s="84" t="e">
        <f t="shared" ref="K174" si="791">CONCATENATE("M(",C171,")=")</f>
        <v>#VALUE!</v>
      </c>
      <c r="L174" s="84" t="e">
        <f>VLOOKUP(C171,STN_TABLE,4,FALSE)</f>
        <v>#VALUE!</v>
      </c>
      <c r="M174" t="str">
        <f t="shared" ref="M174" si="792">CONCATENATE("M(",C173,")=")</f>
        <v>M(  )=</v>
      </c>
      <c r="N174" t="e">
        <f t="shared" si="780"/>
        <v>#VALUE!</v>
      </c>
      <c r="O174" s="99"/>
      <c r="P174" s="99"/>
      <c r="Q174" s="194" t="s">
        <v>168</v>
      </c>
      <c r="R174" s="194" t="s">
        <v>168</v>
      </c>
      <c r="S174" s="6" t="s">
        <v>172</v>
      </c>
      <c r="T174" s="89" t="e">
        <f t="shared" ref="T174" si="793">SUM(T171:T173)</f>
        <v>#N/A</v>
      </c>
      <c r="U174" s="6" t="s">
        <v>172</v>
      </c>
      <c r="V174" s="82" t="e">
        <f t="shared" ref="V174" si="794">SUM(V171:V173)</f>
        <v>#N/A</v>
      </c>
      <c r="W174" s="84" t="str">
        <f>CONCATENATE("m'(",Q172,")=")</f>
        <v>m'(  )=</v>
      </c>
      <c r="X174" s="84" t="e">
        <f>(2*(X171^2)/24*V174)+(X173*Q171*WLS)</f>
        <v>#N/A</v>
      </c>
      <c r="Y174" s="84" t="e">
        <f>CONCATENATE("M(",Q171,")=")</f>
        <v>#N/A</v>
      </c>
      <c r="Z174" s="84" t="e">
        <f>VLOOKUP(Q171,STN_TABLE,4,FALSE)</f>
        <v>#N/A</v>
      </c>
      <c r="AA174" t="str">
        <f>CONCATENATE("M(",Q172,")=")</f>
        <v>M(  )=</v>
      </c>
      <c r="AB174" t="e">
        <f>X174+Z174</f>
        <v>#N/A</v>
      </c>
      <c r="AD174" s="194" t="s">
        <v>168</v>
      </c>
      <c r="AE174" s="194" t="s">
        <v>168</v>
      </c>
      <c r="AF174" s="6" t="s">
        <v>172</v>
      </c>
      <c r="AG174" s="89">
        <f t="shared" si="629"/>
        <v>0</v>
      </c>
      <c r="AH174" s="6" t="s">
        <v>172</v>
      </c>
      <c r="AI174" s="89" t="e">
        <f t="shared" si="630"/>
        <v>#VALUE!</v>
      </c>
      <c r="AJ174" s="84" t="str">
        <f t="shared" ref="AJ174" si="795">CONCATENATE("m'(",AD173,")=")</f>
        <v>m'(  )=</v>
      </c>
      <c r="AK174" s="84" t="e">
        <f>(2*(AK171^2)/6*AI174)+(AK173*AD172*WLS)</f>
        <v>#VALUE!</v>
      </c>
      <c r="AL174" s="84" t="str">
        <f t="shared" ref="AL174" si="796">CONCATENATE("M(",AD172,")=")</f>
        <v>M(  )=</v>
      </c>
      <c r="AM174" s="84" t="str">
        <f>VLOOKUP(AD172,STN_TABLE,4,FALSE)</f>
        <v xml:space="preserve"> </v>
      </c>
      <c r="AN174" t="str">
        <f t="shared" ref="AN174" si="797">CONCATENATE("M(",AD173,")=")</f>
        <v>M(  )=</v>
      </c>
      <c r="AO174" t="e">
        <f t="shared" si="785"/>
        <v>#VALUE!</v>
      </c>
      <c r="AQ174" s="82" t="str">
        <f>AA174</f>
        <v>M(  )=</v>
      </c>
      <c r="AR174" s="82" t="str">
        <f>IFERROR(VLOOKUP(AQ174,Rise_Results,2,FALSE),"-")</f>
        <v>-</v>
      </c>
      <c r="AS174" s="82" t="str">
        <f>IFERROR(N174,"-")</f>
        <v>-</v>
      </c>
      <c r="AT174" s="82" t="str">
        <f>IFERROR(IF(OR(AB173&lt;=0,AB174&lt;=0),1/0,AB174),"-")</f>
        <v>-</v>
      </c>
      <c r="AU174" s="82" t="e">
        <f t="shared" si="786"/>
        <v>#VALUE!</v>
      </c>
      <c r="AV174" t="e">
        <f t="shared" si="787"/>
        <v>#VALUE!</v>
      </c>
      <c r="BG174"/>
      <c r="BH174"/>
    </row>
    <row r="175" spans="1:60" x14ac:dyDescent="0.25">
      <c r="A175" s="101"/>
      <c r="B175" s="101"/>
      <c r="F175" s="81"/>
      <c r="H175" s="81"/>
      <c r="I175" s="84"/>
      <c r="J175" s="84"/>
      <c r="K175" s="84"/>
      <c r="L175" s="84"/>
      <c r="T175" s="81"/>
      <c r="V175" s="81"/>
      <c r="AD175" s="194" t="s">
        <v>168</v>
      </c>
      <c r="AE175" s="194" t="s">
        <v>168</v>
      </c>
      <c r="AF175" s="194" t="s">
        <v>168</v>
      </c>
      <c r="AG175" s="194" t="s">
        <v>168</v>
      </c>
      <c r="AH175" s="194" t="s">
        <v>168</v>
      </c>
      <c r="AI175" s="194" t="s">
        <v>168</v>
      </c>
      <c r="AJ175" s="194" t="s">
        <v>168</v>
      </c>
      <c r="AK175" s="194" t="s">
        <v>168</v>
      </c>
      <c r="AL175" s="194" t="s">
        <v>168</v>
      </c>
      <c r="AM175" s="194" t="s">
        <v>168</v>
      </c>
      <c r="AN175" s="194" t="s">
        <v>168</v>
      </c>
      <c r="AO175" s="194" t="s">
        <v>168</v>
      </c>
      <c r="BG175"/>
      <c r="BH175"/>
    </row>
    <row r="176" spans="1:60" x14ac:dyDescent="0.25">
      <c r="A176" s="84"/>
      <c r="B176" s="84"/>
      <c r="E176" s="81"/>
      <c r="F176" s="81"/>
      <c r="G176" s="81"/>
      <c r="H176" s="81"/>
      <c r="I176" s="103"/>
      <c r="J176" s="70"/>
      <c r="BG176"/>
      <c r="BH176"/>
    </row>
    <row r="177" spans="1:60" x14ac:dyDescent="0.25">
      <c r="A177" s="84"/>
      <c r="B177" s="84"/>
      <c r="E177" s="81"/>
      <c r="F177" s="81"/>
      <c r="G177" s="81"/>
      <c r="H177" s="81"/>
      <c r="I177" s="104"/>
      <c r="J177" s="78"/>
      <c r="K177" s="78"/>
      <c r="L177" s="78"/>
      <c r="M177" s="7"/>
      <c r="N177" s="7"/>
      <c r="AO177" s="81"/>
      <c r="AP177" s="81"/>
      <c r="AQ177" s="81"/>
      <c r="AR177" s="81"/>
      <c r="AS177" s="81"/>
      <c r="AT177" s="81"/>
      <c r="AU177" s="81"/>
      <c r="BG177"/>
      <c r="BH177"/>
    </row>
    <row r="178" spans="1:60" x14ac:dyDescent="0.25">
      <c r="A178" s="84"/>
      <c r="B178" s="84"/>
      <c r="E178" s="81"/>
      <c r="F178" s="81"/>
      <c r="G178" s="81"/>
      <c r="H178" s="81"/>
      <c r="I178" s="105"/>
      <c r="J178" s="84"/>
      <c r="K178" s="84"/>
      <c r="L178" s="84"/>
      <c r="AO178" s="81"/>
      <c r="AP178" s="81"/>
      <c r="AQ178" s="81"/>
      <c r="AR178" s="81"/>
      <c r="AS178" s="81"/>
      <c r="AT178" s="81"/>
      <c r="AU178" s="81"/>
    </row>
    <row r="179" spans="1:60" x14ac:dyDescent="0.25">
      <c r="A179" s="84"/>
      <c r="B179" s="84"/>
      <c r="E179" s="81"/>
      <c r="F179" s="81"/>
      <c r="G179" s="81"/>
      <c r="H179" s="81"/>
      <c r="I179" s="105"/>
      <c r="J179" s="84"/>
      <c r="K179" s="84"/>
      <c r="L179" s="84"/>
      <c r="AO179" s="81"/>
      <c r="AP179" s="81"/>
      <c r="AQ179" s="81"/>
      <c r="AR179" s="81"/>
      <c r="AS179" s="81"/>
      <c r="AT179" s="81"/>
      <c r="AU179" s="81"/>
    </row>
    <row r="180" spans="1:60" x14ac:dyDescent="0.25">
      <c r="A180" s="101"/>
      <c r="B180" s="101"/>
      <c r="E180" s="81"/>
      <c r="F180" s="81"/>
      <c r="G180" s="81"/>
      <c r="H180" s="81"/>
      <c r="I180" s="81"/>
      <c r="AO180" s="81"/>
      <c r="AP180" s="81"/>
      <c r="AQ180" s="81"/>
      <c r="AR180" s="81"/>
      <c r="AS180" s="81"/>
      <c r="AT180" s="81"/>
      <c r="AU180" s="81"/>
    </row>
    <row r="181" spans="1:60" x14ac:dyDescent="0.25">
      <c r="A181" s="84"/>
      <c r="B181" s="84"/>
      <c r="E181" s="81"/>
      <c r="F181" s="81"/>
      <c r="G181" s="81"/>
      <c r="H181" s="81"/>
      <c r="I181" s="103"/>
      <c r="J181" s="70"/>
      <c r="AO181" s="81"/>
      <c r="AP181" s="81"/>
      <c r="AQ181" s="81"/>
      <c r="AR181" s="81"/>
      <c r="AS181" s="81"/>
      <c r="AT181" s="81"/>
      <c r="AU181" s="81"/>
    </row>
    <row r="182" spans="1:60" x14ac:dyDescent="0.25">
      <c r="A182" s="84"/>
      <c r="B182" s="84"/>
      <c r="E182" s="81"/>
      <c r="F182" s="81"/>
      <c r="G182" s="81"/>
      <c r="H182" s="81"/>
      <c r="I182" s="104"/>
      <c r="J182" s="78"/>
      <c r="K182" s="78"/>
      <c r="L182" s="78"/>
      <c r="M182" s="7"/>
      <c r="N182" s="7"/>
      <c r="AO182" s="81"/>
      <c r="AP182" s="81"/>
      <c r="AQ182" s="81"/>
      <c r="AR182" s="81"/>
      <c r="AS182" s="81"/>
      <c r="AT182" s="81"/>
      <c r="AU182" s="81"/>
    </row>
    <row r="183" spans="1:60" x14ac:dyDescent="0.25">
      <c r="A183" s="84"/>
      <c r="B183" s="84"/>
      <c r="E183" s="81"/>
      <c r="F183" s="81"/>
      <c r="G183" s="81"/>
      <c r="H183" s="81"/>
      <c r="I183" s="105"/>
      <c r="J183" s="84"/>
      <c r="K183" s="84"/>
      <c r="L183" s="84"/>
      <c r="AO183" s="81"/>
      <c r="AP183" s="81"/>
      <c r="AQ183" s="81"/>
      <c r="AR183" s="81"/>
      <c r="AS183" s="81"/>
      <c r="AT183" s="81"/>
      <c r="AU183" s="81"/>
    </row>
    <row r="184" spans="1:60" x14ac:dyDescent="0.25">
      <c r="A184" s="84"/>
      <c r="B184" s="84"/>
      <c r="E184" s="81"/>
      <c r="F184" s="81"/>
      <c r="G184" s="81"/>
      <c r="H184" s="81"/>
      <c r="I184" s="105"/>
      <c r="J184" s="84"/>
      <c r="K184" s="84"/>
      <c r="L184" s="84"/>
      <c r="AO184" s="81"/>
      <c r="AP184" s="81"/>
      <c r="AQ184" s="81"/>
      <c r="AR184" s="81"/>
      <c r="AS184" s="81"/>
      <c r="AT184" s="81"/>
      <c r="AU184" s="81"/>
    </row>
    <row r="185" spans="1:60" x14ac:dyDescent="0.25">
      <c r="A185" s="101"/>
      <c r="B185" s="101"/>
      <c r="E185" s="81"/>
      <c r="F185" s="81"/>
      <c r="G185" s="81"/>
      <c r="H185" s="81"/>
      <c r="I185" s="81"/>
      <c r="AO185" s="81"/>
      <c r="AP185" s="81"/>
      <c r="AQ185" s="81"/>
      <c r="AR185" s="81"/>
      <c r="AS185" s="81"/>
      <c r="AT185" s="81"/>
      <c r="AU185" s="81"/>
    </row>
    <row r="186" spans="1:60" x14ac:dyDescent="0.25">
      <c r="A186" s="84"/>
      <c r="B186" s="84"/>
      <c r="E186" s="81"/>
      <c r="F186" s="81"/>
      <c r="G186" s="81"/>
      <c r="H186" s="81"/>
      <c r="I186" s="103"/>
      <c r="J186" s="70"/>
      <c r="AO186" s="81"/>
      <c r="AP186" s="81"/>
      <c r="AQ186" s="81"/>
      <c r="AR186" s="81"/>
      <c r="AS186" s="81"/>
      <c r="AT186" s="81"/>
      <c r="AU186" s="81"/>
    </row>
    <row r="187" spans="1:60" x14ac:dyDescent="0.25">
      <c r="A187" s="84"/>
      <c r="B187" s="84"/>
      <c r="E187" s="81"/>
      <c r="F187" s="81"/>
      <c r="G187" s="81"/>
      <c r="H187" s="81"/>
      <c r="I187" s="104"/>
      <c r="J187" s="78"/>
      <c r="K187" s="78"/>
      <c r="L187" s="78"/>
      <c r="M187" s="7"/>
      <c r="N187" s="7"/>
      <c r="AO187" s="81"/>
      <c r="AP187" s="81"/>
      <c r="AQ187" s="81"/>
      <c r="AR187" s="81"/>
      <c r="AS187" s="81"/>
      <c r="AT187" s="81"/>
      <c r="AU187" s="81"/>
    </row>
    <row r="188" spans="1:60" x14ac:dyDescent="0.25">
      <c r="A188" s="84"/>
      <c r="B188" s="84"/>
      <c r="E188" s="81"/>
      <c r="F188" s="81"/>
      <c r="G188" s="81"/>
      <c r="H188" s="81"/>
      <c r="I188" s="105"/>
      <c r="J188" s="84"/>
      <c r="K188" s="84"/>
      <c r="L188" s="84"/>
    </row>
    <row r="189" spans="1:60" x14ac:dyDescent="0.25">
      <c r="A189" s="84"/>
      <c r="B189" s="84"/>
      <c r="E189" s="81"/>
      <c r="F189" s="81"/>
      <c r="G189" s="81"/>
      <c r="H189" s="81"/>
      <c r="I189" s="105"/>
      <c r="J189" s="84"/>
      <c r="K189" s="84"/>
      <c r="L189" s="84"/>
    </row>
    <row r="190" spans="1:60" x14ac:dyDescent="0.25">
      <c r="A190" s="101"/>
      <c r="B190" s="101"/>
      <c r="E190" s="81"/>
      <c r="F190" s="81"/>
      <c r="G190" s="81"/>
      <c r="H190" s="81"/>
      <c r="I190" s="81"/>
    </row>
    <row r="191" spans="1:60" x14ac:dyDescent="0.25">
      <c r="A191" s="84"/>
      <c r="B191" s="84"/>
      <c r="E191" s="81"/>
      <c r="F191" s="81"/>
      <c r="G191" s="81"/>
      <c r="H191" s="81"/>
      <c r="I191" s="103"/>
      <c r="J191" s="70"/>
    </row>
    <row r="192" spans="1:60" x14ac:dyDescent="0.25">
      <c r="A192" s="84"/>
      <c r="B192" s="84"/>
      <c r="E192" s="81"/>
      <c r="F192" s="81"/>
      <c r="G192" s="81"/>
      <c r="H192" s="81"/>
      <c r="I192" s="104"/>
      <c r="J192" s="78"/>
      <c r="K192" s="78"/>
      <c r="L192" s="78"/>
      <c r="M192" s="7"/>
      <c r="N192" s="7"/>
    </row>
    <row r="193" spans="1:12" x14ac:dyDescent="0.25">
      <c r="A193" s="84"/>
      <c r="B193" s="84"/>
      <c r="E193" s="81"/>
      <c r="F193" s="81"/>
      <c r="G193" s="81"/>
      <c r="H193" s="81"/>
      <c r="I193" s="105"/>
      <c r="J193" s="84"/>
      <c r="K193" s="84"/>
      <c r="L193" s="84"/>
    </row>
    <row r="194" spans="1:12" x14ac:dyDescent="0.25">
      <c r="A194" s="84"/>
      <c r="B194" s="84"/>
      <c r="E194" s="81"/>
      <c r="F194" s="81"/>
      <c r="G194" s="81"/>
      <c r="H194" s="81"/>
      <c r="I194" s="105"/>
      <c r="J194" s="84"/>
      <c r="K194" s="84"/>
      <c r="L194" s="84"/>
    </row>
    <row r="195" spans="1:12" x14ac:dyDescent="0.25">
      <c r="E195" s="81"/>
      <c r="F195" s="81"/>
      <c r="G195" s="81"/>
      <c r="H195" s="81"/>
      <c r="I195" s="81"/>
    </row>
  </sheetData>
  <mergeCells count="3">
    <mergeCell ref="A1:B1"/>
    <mergeCell ref="E1:F1"/>
    <mergeCell ref="L1:M1"/>
  </mergeCells>
  <conditionalFormatting sqref="BA2:BL33">
    <cfRule type="containsErrors" dxfId="31" priority="2">
      <formula>ISERROR(BA2)</formula>
    </cfRule>
  </conditionalFormatting>
  <conditionalFormatting sqref="A52:AZ56 BM52:XFD56 A1:XFD51 A57:XFD1048576">
    <cfRule type="containsText" dxfId="30" priority="1" operator="containsText" text="    ">
      <formula>NOT(ISERROR(SEARCH("    ",A1)))</formula>
    </cfRule>
  </conditionalFormatting>
  <pageMargins left="0.7" right="0.7" top="0.75" bottom="0.75" header="0.3" footer="0.3"/>
  <pageSetup paperSize="9" orientation="portrait" r:id="rId1"/>
</worksheet>
</file>

<file path=xl/worksheets/sheet5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9"/>
  <dimension ref="A1:W40"/>
  <sheetViews>
    <sheetView showGridLines="0" showRowColHeaders="0" topLeftCell="C1" zoomScale="115" zoomScaleNormal="115" workbookViewId="0">
      <selection activeCell="Q1" sqref="Q1"/>
    </sheetView>
  </sheetViews>
  <sheetFormatPr defaultRowHeight="15" x14ac:dyDescent="0.25"/>
  <cols>
    <col min="1" max="1" width="4.7109375" style="132" customWidth="1"/>
    <col min="2" max="2" width="5.7109375" style="132" customWidth="1"/>
    <col min="3" max="3" width="12.5703125" style="132" customWidth="1"/>
    <col min="4" max="4" width="8.5703125" style="132" customWidth="1"/>
    <col min="5" max="5" width="5.5703125" style="132" customWidth="1"/>
    <col min="6" max="6" width="9.28515625" style="132" customWidth="1"/>
    <col min="7" max="7" width="10.5703125" style="132" customWidth="1"/>
    <col min="8" max="8" width="8.85546875" style="132" customWidth="1"/>
    <col min="9" max="9" width="11" style="132" customWidth="1"/>
    <col min="10" max="10" width="6.7109375" style="132" customWidth="1"/>
    <col min="11" max="12" width="9.5703125" style="132" customWidth="1"/>
    <col min="13" max="13" width="9" style="132" customWidth="1"/>
    <col min="14" max="14" width="10.140625" style="132" customWidth="1"/>
    <col min="15" max="15" width="10.5703125" style="132" customWidth="1"/>
    <col min="16" max="16" width="6.7109375" style="132" customWidth="1"/>
    <col min="17" max="17" width="19.7109375" style="132" customWidth="1"/>
    <col min="18" max="18" width="14" style="132" customWidth="1"/>
    <col min="19" max="19" width="12.42578125" style="132" customWidth="1"/>
    <col min="20" max="16384" width="9.140625" style="132"/>
  </cols>
  <sheetData>
    <row r="1" spans="1:23" ht="19.5" thickBot="1" x14ac:dyDescent="0.35">
      <c r="A1" s="208" t="s">
        <v>185</v>
      </c>
      <c r="B1" s="209"/>
      <c r="C1" s="209"/>
      <c r="D1" s="209"/>
      <c r="E1" s="209"/>
      <c r="F1" s="130"/>
      <c r="G1" s="130"/>
      <c r="H1" s="209"/>
      <c r="I1" s="209"/>
      <c r="J1" s="209"/>
      <c r="K1" s="209"/>
      <c r="L1" s="209"/>
      <c r="M1" s="209"/>
      <c r="N1" s="209"/>
      <c r="O1" s="209"/>
      <c r="P1" s="209"/>
      <c r="Q1" s="209"/>
      <c r="R1" s="209"/>
      <c r="S1" s="209"/>
      <c r="T1" s="130"/>
      <c r="U1" s="130"/>
      <c r="V1" s="130"/>
      <c r="W1" s="130"/>
    </row>
    <row r="2" spans="1:23" ht="16.5" customHeight="1" thickBot="1" x14ac:dyDescent="0.3">
      <c r="A2" s="209"/>
      <c r="B2" s="209"/>
      <c r="C2" s="210" t="s">
        <v>322</v>
      </c>
      <c r="D2" s="505">
        <v>3</v>
      </c>
      <c r="E2" s="506"/>
      <c r="F2" s="425" t="s">
        <v>321</v>
      </c>
      <c r="G2" s="130"/>
      <c r="H2" s="130"/>
      <c r="I2" s="209"/>
      <c r="J2" s="209"/>
      <c r="K2" s="210" t="s">
        <v>302</v>
      </c>
      <c r="L2" s="413"/>
      <c r="M2" s="413"/>
      <c r="N2" s="413"/>
      <c r="P2" s="211"/>
      <c r="Q2" s="211"/>
      <c r="R2" s="209"/>
      <c r="S2" s="209"/>
      <c r="T2" s="130"/>
      <c r="U2" s="130"/>
      <c r="V2" s="130"/>
      <c r="W2" s="130"/>
    </row>
    <row r="3" spans="1:23" x14ac:dyDescent="0.25">
      <c r="A3" s="209"/>
      <c r="B3" s="209"/>
      <c r="C3" s="210"/>
      <c r="D3" s="212"/>
      <c r="E3" s="212"/>
      <c r="F3" s="130"/>
      <c r="G3" s="130"/>
      <c r="H3" s="130"/>
      <c r="I3" s="209"/>
      <c r="J3" s="209"/>
      <c r="K3" s="210"/>
      <c r="L3" s="213" t="str">
        <f>IF(Tools!L50=1,"Note: LWL is taken as LBP for every waterline.",IF(Tools!L50=2,"Note: LWL for each waterline is adjusted according to the offset. (Excluding repeated zeros that implies absence of hull.)"))</f>
        <v>Note: LWL is taken as LBP for every waterline.</v>
      </c>
      <c r="M3" s="214"/>
      <c r="N3" s="214"/>
      <c r="O3" s="211"/>
      <c r="P3" s="211"/>
      <c r="Q3" s="211"/>
      <c r="R3" s="209"/>
      <c r="S3" s="209"/>
      <c r="T3" s="130"/>
      <c r="U3" s="130"/>
      <c r="V3" s="130"/>
      <c r="W3" s="130"/>
    </row>
    <row r="4" spans="1:23" s="215" customFormat="1" ht="12" customHeight="1" x14ac:dyDescent="0.2">
      <c r="A4" s="507" t="s">
        <v>5</v>
      </c>
      <c r="B4" s="508"/>
      <c r="C4" s="508"/>
      <c r="D4" s="509"/>
      <c r="E4" s="509"/>
      <c r="F4" s="508"/>
      <c r="G4" s="508"/>
      <c r="H4" s="508"/>
      <c r="I4" s="510"/>
      <c r="K4" s="511" t="s">
        <v>6</v>
      </c>
      <c r="L4" s="512"/>
      <c r="M4" s="512"/>
      <c r="N4" s="512"/>
      <c r="O4" s="513"/>
      <c r="P4" s="216"/>
      <c r="Q4" s="216"/>
      <c r="R4" s="216"/>
      <c r="S4" s="216"/>
      <c r="T4" s="216"/>
      <c r="U4" s="216"/>
      <c r="V4" s="216"/>
      <c r="W4" s="216"/>
    </row>
    <row r="5" spans="1:23" s="215" customFormat="1" ht="12" customHeight="1" x14ac:dyDescent="0.2">
      <c r="A5" s="217" t="str">
        <f t="array" ref="A5:P37">IF(Tools!L54="Use 141 rule only",'WL (x)'!A3:P35,IF(Tools!L54="Use 141 and 1331 rules",'WL (x)'!AO3:BD35,'WL (x)'!AO36:BD68))</f>
        <v>STN</v>
      </c>
      <c r="B5" s="218" t="str">
        <v>1/2 Ord</v>
      </c>
      <c r="C5" s="218" t="str">
        <v>SM</v>
      </c>
      <c r="D5" s="218" t="str">
        <v>f(A)</v>
      </c>
      <c r="E5" s="218" t="str">
        <v>Lever</v>
      </c>
      <c r="F5" s="218" t="str">
        <v>f(M)</v>
      </c>
      <c r="G5" s="218" t="str">
        <v>f(IL)</v>
      </c>
      <c r="H5" s="218" t="str">
        <v>(1/2 Ord)³</v>
      </c>
      <c r="I5" s="218" t="str">
        <v>f(IT)</v>
      </c>
      <c r="J5" s="219" t="str">
        <v xml:space="preserve">     </v>
      </c>
      <c r="K5" s="218" t="str">
        <v>Area</v>
      </c>
      <c r="L5" s="218" t="str">
        <v>f(V)</v>
      </c>
      <c r="M5" s="218" t="str">
        <v>Moment</v>
      </c>
      <c r="N5" s="218" t="str">
        <v>f(MT)</v>
      </c>
      <c r="O5" s="218" t="str">
        <v>f(ML)</v>
      </c>
      <c r="P5" s="216" t="str">
        <v xml:space="preserve">     </v>
      </c>
      <c r="Q5" s="228" t="str">
        <f t="array" ref="Q5:S12">IF(Tools!L54="Use 141 rule only",'WL (x)'!Q3:S10,IF(Tools!L54="Use 141 and 1331 rules",'WL (x)'!BE3:BG10,'WL (x)'!AU39:AW46))</f>
        <v>Waterline Spacing (t)</v>
      </c>
      <c r="R5" s="229" t="str">
        <v>m</v>
      </c>
      <c r="S5" s="230">
        <v>2</v>
      </c>
      <c r="T5" s="216"/>
      <c r="U5" s="216"/>
      <c r="V5" s="216"/>
      <c r="W5" s="216"/>
    </row>
    <row r="6" spans="1:23" s="215" customFormat="1" ht="12" customHeight="1" x14ac:dyDescent="0.2">
      <c r="A6" s="220">
        <v>0</v>
      </c>
      <c r="B6" s="221">
        <v>0</v>
      </c>
      <c r="C6" s="222">
        <v>0.5</v>
      </c>
      <c r="D6" s="223">
        <v>0</v>
      </c>
      <c r="E6" s="222">
        <v>-10</v>
      </c>
      <c r="F6" s="223">
        <v>0</v>
      </c>
      <c r="G6" s="223">
        <v>0</v>
      </c>
      <c r="H6" s="223">
        <v>0</v>
      </c>
      <c r="I6" s="223">
        <v>0</v>
      </c>
      <c r="J6" s="216" t="str">
        <v xml:space="preserve">     </v>
      </c>
      <c r="K6" s="224">
        <v>0</v>
      </c>
      <c r="L6" s="223">
        <v>0</v>
      </c>
      <c r="M6" s="223">
        <v>0</v>
      </c>
      <c r="N6" s="223">
        <v>0</v>
      </c>
      <c r="O6" s="223">
        <v>0</v>
      </c>
      <c r="P6" s="216" t="str">
        <v xml:space="preserve">     </v>
      </c>
      <c r="Q6" s="231" t="str">
        <v>Station Spacing (h)</v>
      </c>
      <c r="R6" s="229" t="str">
        <v>m</v>
      </c>
      <c r="S6" s="230">
        <v>7.31</v>
      </c>
      <c r="T6" s="216"/>
      <c r="U6" s="216"/>
      <c r="V6" s="216"/>
      <c r="W6" s="216"/>
    </row>
    <row r="7" spans="1:23" s="215" customFormat="1" ht="12" customHeight="1" x14ac:dyDescent="0.2">
      <c r="A7" s="220">
        <v>0.5</v>
      </c>
      <c r="B7" s="221">
        <v>0.66</v>
      </c>
      <c r="C7" s="222">
        <v>2</v>
      </c>
      <c r="D7" s="223">
        <v>1.32</v>
      </c>
      <c r="E7" s="222">
        <v>-9.5</v>
      </c>
      <c r="F7" s="223">
        <v>-12.540000000000001</v>
      </c>
      <c r="G7" s="223">
        <v>119.13000000000001</v>
      </c>
      <c r="H7" s="223">
        <v>0.28749600000000003</v>
      </c>
      <c r="I7" s="223">
        <v>0.57499200000000006</v>
      </c>
      <c r="J7" s="216" t="str">
        <v xml:space="preserve">     </v>
      </c>
      <c r="K7" s="224">
        <v>3.7699999999999996</v>
      </c>
      <c r="L7" s="223">
        <v>7.5399999999999991</v>
      </c>
      <c r="M7" s="223">
        <v>13.84</v>
      </c>
      <c r="N7" s="223">
        <v>27.68</v>
      </c>
      <c r="O7" s="223">
        <v>-71.63</v>
      </c>
      <c r="P7" s="216" t="str">
        <v xml:space="preserve">     </v>
      </c>
      <c r="Q7" s="231" t="str">
        <v>LBP</v>
      </c>
      <c r="R7" s="229" t="str">
        <v>m</v>
      </c>
      <c r="S7" s="230">
        <v>146.19999999999999</v>
      </c>
      <c r="T7" s="216"/>
      <c r="U7" s="216"/>
      <c r="V7" s="216"/>
      <c r="W7" s="216"/>
    </row>
    <row r="8" spans="1:23" s="215" customFormat="1" ht="12" customHeight="1" x14ac:dyDescent="0.2">
      <c r="A8" s="220">
        <v>1</v>
      </c>
      <c r="B8" s="221">
        <v>2.27</v>
      </c>
      <c r="C8" s="222">
        <v>1</v>
      </c>
      <c r="D8" s="223">
        <v>2.27</v>
      </c>
      <c r="E8" s="222">
        <v>-9</v>
      </c>
      <c r="F8" s="223">
        <v>-20.43</v>
      </c>
      <c r="G8" s="223">
        <v>183.87</v>
      </c>
      <c r="H8" s="223">
        <v>11.697082999999999</v>
      </c>
      <c r="I8" s="223">
        <v>11.697082999999999</v>
      </c>
      <c r="J8" s="216" t="str">
        <v xml:space="preserve">     </v>
      </c>
      <c r="K8" s="224">
        <v>14.666666666666664</v>
      </c>
      <c r="L8" s="223">
        <v>14.666666666666664</v>
      </c>
      <c r="M8" s="223">
        <v>54.593333333333341</v>
      </c>
      <c r="N8" s="223">
        <v>54.593333333333341</v>
      </c>
      <c r="O8" s="223">
        <v>-131.99999999999997</v>
      </c>
      <c r="P8" s="216" t="str">
        <v xml:space="preserve">     </v>
      </c>
      <c r="Q8" s="228" t="str">
        <v>B</v>
      </c>
      <c r="R8" s="229" t="str">
        <v>m</v>
      </c>
      <c r="S8" s="230">
        <v>22</v>
      </c>
      <c r="T8" s="216"/>
      <c r="U8" s="216"/>
      <c r="V8" s="216"/>
      <c r="W8" s="216"/>
    </row>
    <row r="9" spans="1:23" s="215" customFormat="1" ht="12" customHeight="1" x14ac:dyDescent="0.2">
      <c r="A9" s="220">
        <v>1.5</v>
      </c>
      <c r="B9" s="221">
        <v>3.86</v>
      </c>
      <c r="C9" s="222">
        <v>2</v>
      </c>
      <c r="D9" s="223">
        <v>7.72</v>
      </c>
      <c r="E9" s="222">
        <v>-8.5</v>
      </c>
      <c r="F9" s="223">
        <v>-65.62</v>
      </c>
      <c r="G9" s="223">
        <v>557.77</v>
      </c>
      <c r="H9" s="223">
        <v>57.512455999999993</v>
      </c>
      <c r="I9" s="223">
        <v>115.02491199999999</v>
      </c>
      <c r="J9" s="216" t="str">
        <v xml:space="preserve">     </v>
      </c>
      <c r="K9" s="224">
        <v>27.870000000000005</v>
      </c>
      <c r="L9" s="223">
        <v>55.740000000000009</v>
      </c>
      <c r="M9" s="223">
        <v>101.98666666666668</v>
      </c>
      <c r="N9" s="223">
        <v>203.97333333333336</v>
      </c>
      <c r="O9" s="223">
        <v>-473.79000000000008</v>
      </c>
      <c r="P9" s="216" t="str">
        <v xml:space="preserve">     </v>
      </c>
      <c r="Q9" s="228" t="str">
        <v>D</v>
      </c>
      <c r="R9" s="229" t="str">
        <v>m</v>
      </c>
      <c r="S9" s="230">
        <v>13</v>
      </c>
      <c r="T9" s="216"/>
      <c r="U9" s="216"/>
      <c r="V9" s="216"/>
      <c r="W9" s="216"/>
    </row>
    <row r="10" spans="1:23" s="215" customFormat="1" ht="12" customHeight="1" x14ac:dyDescent="0.2">
      <c r="A10" s="220">
        <v>2</v>
      </c>
      <c r="B10" s="221">
        <v>5.28</v>
      </c>
      <c r="C10" s="222">
        <v>1.5</v>
      </c>
      <c r="D10" s="223">
        <v>7.92</v>
      </c>
      <c r="E10" s="222">
        <v>-8</v>
      </c>
      <c r="F10" s="223">
        <v>-63.36</v>
      </c>
      <c r="G10" s="223">
        <v>506.88</v>
      </c>
      <c r="H10" s="223">
        <v>147.19795200000002</v>
      </c>
      <c r="I10" s="223">
        <v>220.79692800000004</v>
      </c>
      <c r="J10" s="216" t="str">
        <v xml:space="preserve">     </v>
      </c>
      <c r="K10" s="224">
        <v>41.463333333333331</v>
      </c>
      <c r="L10" s="223">
        <v>62.194999999999993</v>
      </c>
      <c r="M10" s="223">
        <v>148.63333333333333</v>
      </c>
      <c r="N10" s="223">
        <v>222.95</v>
      </c>
      <c r="O10" s="223">
        <v>-497.55999999999995</v>
      </c>
      <c r="P10" s="216" t="str">
        <v xml:space="preserve">     </v>
      </c>
      <c r="Q10" s="228" t="str">
        <v>Current B</v>
      </c>
      <c r="R10" s="229" t="str">
        <v>m</v>
      </c>
      <c r="S10" s="230">
        <v>22</v>
      </c>
      <c r="T10" s="216"/>
      <c r="U10" s="216"/>
      <c r="V10" s="216"/>
      <c r="W10" s="216"/>
    </row>
    <row r="11" spans="1:23" s="215" customFormat="1" ht="12" customHeight="1" x14ac:dyDescent="0.2">
      <c r="A11" s="220">
        <v>3</v>
      </c>
      <c r="B11" s="221">
        <v>7.76</v>
      </c>
      <c r="C11" s="222">
        <v>4</v>
      </c>
      <c r="D11" s="223">
        <v>31.04</v>
      </c>
      <c r="E11" s="222">
        <v>-7</v>
      </c>
      <c r="F11" s="223">
        <v>-217.28</v>
      </c>
      <c r="G11" s="223">
        <v>1520.96</v>
      </c>
      <c r="H11" s="223">
        <v>467.28857599999998</v>
      </c>
      <c r="I11" s="223">
        <v>1869.1543039999999</v>
      </c>
      <c r="J11" s="216" t="str">
        <v xml:space="preserve">     </v>
      </c>
      <c r="K11" s="224">
        <v>68.636666666666656</v>
      </c>
      <c r="L11" s="223">
        <v>274.54666666666662</v>
      </c>
      <c r="M11" s="223">
        <v>235.9733333333333</v>
      </c>
      <c r="N11" s="223">
        <v>943.8933333333332</v>
      </c>
      <c r="O11" s="223">
        <v>-1921.8266666666664</v>
      </c>
      <c r="P11" s="216" t="str">
        <v xml:space="preserve">     </v>
      </c>
      <c r="Q11" s="228" t="str">
        <v xml:space="preserve">     </v>
      </c>
      <c r="R11" s="229" t="str">
        <v xml:space="preserve">     </v>
      </c>
      <c r="S11" s="230" t="str">
        <v xml:space="preserve">     </v>
      </c>
      <c r="T11" s="216"/>
      <c r="U11" s="216"/>
      <c r="V11" s="216"/>
      <c r="W11" s="216"/>
    </row>
    <row r="12" spans="1:23" s="215" customFormat="1" ht="12" customHeight="1" x14ac:dyDescent="0.2">
      <c r="A12" s="220">
        <v>4</v>
      </c>
      <c r="B12" s="221">
        <v>9.4499999999999993</v>
      </c>
      <c r="C12" s="222">
        <v>2</v>
      </c>
      <c r="D12" s="223">
        <v>18.899999999999999</v>
      </c>
      <c r="E12" s="222">
        <v>-6</v>
      </c>
      <c r="F12" s="223">
        <v>-113.39999999999999</v>
      </c>
      <c r="G12" s="223">
        <v>680.4</v>
      </c>
      <c r="H12" s="223">
        <v>843.9086249999998</v>
      </c>
      <c r="I12" s="223">
        <v>1687.8172499999996</v>
      </c>
      <c r="J12" s="216" t="str">
        <v xml:space="preserve">     </v>
      </c>
      <c r="K12" s="224">
        <v>92.323333333333309</v>
      </c>
      <c r="L12" s="223">
        <v>184.64666666666662</v>
      </c>
      <c r="M12" s="223">
        <v>304.96666666666664</v>
      </c>
      <c r="N12" s="223">
        <v>609.93333333333328</v>
      </c>
      <c r="O12" s="223">
        <v>-1107.8799999999997</v>
      </c>
      <c r="P12" s="216" t="str">
        <v xml:space="preserve">     </v>
      </c>
      <c r="Q12" s="216" t="str">
        <v xml:space="preserve">     </v>
      </c>
      <c r="R12" s="216" t="str">
        <v xml:space="preserve">     </v>
      </c>
      <c r="S12" s="216" t="str">
        <v xml:space="preserve">     </v>
      </c>
      <c r="T12" s="216"/>
      <c r="U12" s="216"/>
      <c r="V12" s="216"/>
      <c r="W12" s="216"/>
    </row>
    <row r="13" spans="1:23" s="215" customFormat="1" ht="12" customHeight="1" x14ac:dyDescent="0.2">
      <c r="A13" s="220">
        <v>5</v>
      </c>
      <c r="B13" s="221">
        <v>10.3</v>
      </c>
      <c r="C13" s="222">
        <v>4</v>
      </c>
      <c r="D13" s="223">
        <v>41.2</v>
      </c>
      <c r="E13" s="222">
        <v>-5</v>
      </c>
      <c r="F13" s="223">
        <v>-206</v>
      </c>
      <c r="G13" s="223">
        <v>1030</v>
      </c>
      <c r="H13" s="223">
        <v>1092.7270000000003</v>
      </c>
      <c r="I13" s="223">
        <v>4370.9080000000013</v>
      </c>
      <c r="J13" s="216" t="str">
        <v xml:space="preserve">     </v>
      </c>
      <c r="K13" s="224">
        <v>110.57666666666665</v>
      </c>
      <c r="L13" s="223">
        <v>442.30666666666662</v>
      </c>
      <c r="M13" s="223">
        <v>352.55333333333328</v>
      </c>
      <c r="N13" s="223">
        <v>1410.2133333333331</v>
      </c>
      <c r="O13" s="223">
        <v>-2211.5333333333328</v>
      </c>
      <c r="P13" s="216" t="str">
        <v xml:space="preserve">     </v>
      </c>
      <c r="Q13" s="216"/>
      <c r="R13" s="216"/>
      <c r="S13" s="216"/>
      <c r="T13" s="216"/>
      <c r="U13" s="216"/>
      <c r="V13" s="216"/>
      <c r="W13" s="216"/>
    </row>
    <row r="14" spans="1:23" s="215" customFormat="1" ht="12" customHeight="1" x14ac:dyDescent="0.2">
      <c r="A14" s="220">
        <v>6</v>
      </c>
      <c r="B14" s="221">
        <v>10.9</v>
      </c>
      <c r="C14" s="222">
        <v>2</v>
      </c>
      <c r="D14" s="223">
        <v>21.8</v>
      </c>
      <c r="E14" s="222">
        <v>-4</v>
      </c>
      <c r="F14" s="223">
        <v>-87.2</v>
      </c>
      <c r="G14" s="223">
        <v>348.8</v>
      </c>
      <c r="H14" s="223">
        <v>1295.029</v>
      </c>
      <c r="I14" s="223">
        <v>2590.058</v>
      </c>
      <c r="J14" s="216" t="str">
        <v xml:space="preserve">     </v>
      </c>
      <c r="K14" s="224">
        <v>123.22000000000001</v>
      </c>
      <c r="L14" s="223">
        <v>246.44000000000003</v>
      </c>
      <c r="M14" s="223">
        <v>383.74666666666667</v>
      </c>
      <c r="N14" s="223">
        <v>767.49333333333334</v>
      </c>
      <c r="O14" s="223">
        <v>-985.7600000000001</v>
      </c>
      <c r="P14" s="216" t="str">
        <v xml:space="preserve">     </v>
      </c>
      <c r="Q14" s="232" t="s">
        <v>31</v>
      </c>
      <c r="R14" s="232" t="s">
        <v>32</v>
      </c>
      <c r="S14" s="232" t="s">
        <v>33</v>
      </c>
      <c r="T14" s="216"/>
      <c r="U14" s="216"/>
      <c r="V14" s="216"/>
      <c r="W14" s="216"/>
    </row>
    <row r="15" spans="1:23" s="215" customFormat="1" ht="12" customHeight="1" x14ac:dyDescent="0.2">
      <c r="A15" s="220">
        <v>7</v>
      </c>
      <c r="B15" s="221">
        <v>11</v>
      </c>
      <c r="C15" s="222">
        <v>4</v>
      </c>
      <c r="D15" s="223">
        <v>44</v>
      </c>
      <c r="E15" s="222">
        <v>-3</v>
      </c>
      <c r="F15" s="223">
        <v>-132</v>
      </c>
      <c r="G15" s="223">
        <v>396</v>
      </c>
      <c r="H15" s="223">
        <v>1331</v>
      </c>
      <c r="I15" s="223">
        <v>5324</v>
      </c>
      <c r="J15" s="216" t="str">
        <v xml:space="preserve">     </v>
      </c>
      <c r="K15" s="224">
        <v>128.44</v>
      </c>
      <c r="L15" s="223">
        <v>513.76</v>
      </c>
      <c r="M15" s="223">
        <v>393.28666666666669</v>
      </c>
      <c r="N15" s="223">
        <v>1573.1466666666668</v>
      </c>
      <c r="O15" s="223">
        <v>-1541.28</v>
      </c>
      <c r="P15" s="216" t="str">
        <v xml:space="preserve">     </v>
      </c>
      <c r="Q15" s="233" t="s">
        <v>187</v>
      </c>
      <c r="R15" s="229" t="str">
        <f t="array" ref="R15:R24">IF(Tools!L54="Use 141 rule only",'WL (x)'!R13:R22,IF(Tools!L54="Use 141 and 1331 rules",'WL (x)'!BF13:BF22,'WL (x)'!BH13:BH22))</f>
        <v>2/3*h*∑F(A)</v>
      </c>
      <c r="S15" s="234">
        <f t="array" ref="S15:S37">IF(Tools!L54="Use 141 rule only",'WL (x)'!S13:S35,IF(Tools!L54="Use 141 and 1331 rules",'WL (x)'!BG13:BG35,'WL (x)'!BH13:BH35))</f>
        <v>2597.6084999999998</v>
      </c>
      <c r="T15" s="216"/>
      <c r="U15" s="216"/>
      <c r="V15" s="216"/>
      <c r="W15" s="216"/>
    </row>
    <row r="16" spans="1:23" s="215" customFormat="1" ht="12" customHeight="1" x14ac:dyDescent="0.2">
      <c r="A16" s="220">
        <v>8</v>
      </c>
      <c r="B16" s="221">
        <v>11</v>
      </c>
      <c r="C16" s="222">
        <v>2</v>
      </c>
      <c r="D16" s="223">
        <v>22</v>
      </c>
      <c r="E16" s="222">
        <v>-2</v>
      </c>
      <c r="F16" s="223">
        <v>-44</v>
      </c>
      <c r="G16" s="223">
        <v>88</v>
      </c>
      <c r="H16" s="223">
        <v>1331</v>
      </c>
      <c r="I16" s="223">
        <v>2662</v>
      </c>
      <c r="J16" s="216" t="str">
        <v xml:space="preserve">     </v>
      </c>
      <c r="K16" s="224">
        <v>130.25333333333333</v>
      </c>
      <c r="L16" s="223">
        <v>260.50666666666666</v>
      </c>
      <c r="M16" s="223">
        <v>395.13333333333333</v>
      </c>
      <c r="N16" s="223">
        <v>790.26666666666665</v>
      </c>
      <c r="O16" s="223">
        <v>-521.01333333333332</v>
      </c>
      <c r="P16" s="216" t="str">
        <v xml:space="preserve">     </v>
      </c>
      <c r="Q16" s="233" t="s">
        <v>188</v>
      </c>
      <c r="R16" s="229" t="str">
        <v>2/3*h2*∑F(M)</v>
      </c>
      <c r="S16" s="234">
        <v>7173.6183046666629</v>
      </c>
      <c r="T16" s="216"/>
      <c r="U16" s="216"/>
      <c r="V16" s="216"/>
      <c r="W16" s="216"/>
    </row>
    <row r="17" spans="1:23" s="215" customFormat="1" ht="12" customHeight="1" x14ac:dyDescent="0.2">
      <c r="A17" s="220">
        <v>9</v>
      </c>
      <c r="B17" s="221">
        <v>11</v>
      </c>
      <c r="C17" s="222">
        <v>4</v>
      </c>
      <c r="D17" s="223">
        <v>44</v>
      </c>
      <c r="E17" s="222">
        <v>-1</v>
      </c>
      <c r="F17" s="223">
        <v>-44</v>
      </c>
      <c r="G17" s="223">
        <v>44</v>
      </c>
      <c r="H17" s="223">
        <v>1331</v>
      </c>
      <c r="I17" s="223">
        <v>5324</v>
      </c>
      <c r="J17" s="216" t="str">
        <v xml:space="preserve">     </v>
      </c>
      <c r="K17" s="224">
        <v>130.57333333333332</v>
      </c>
      <c r="L17" s="223">
        <v>522.29333333333329</v>
      </c>
      <c r="M17" s="223">
        <v>395.32666666666665</v>
      </c>
      <c r="N17" s="223">
        <v>1581.3066666666666</v>
      </c>
      <c r="O17" s="223">
        <v>-522.29333333333329</v>
      </c>
      <c r="P17" s="216" t="str">
        <v xml:space="preserve">     </v>
      </c>
      <c r="Q17" s="236" t="s">
        <v>39</v>
      </c>
      <c r="R17" s="229" t="str">
        <v>M mid / Awp</v>
      </c>
      <c r="S17" s="234">
        <v>2.7616241264481016</v>
      </c>
      <c r="T17" s="216"/>
      <c r="U17" s="216"/>
      <c r="V17" s="216"/>
      <c r="W17" s="216"/>
    </row>
    <row r="18" spans="1:23" s="215" customFormat="1" ht="12" customHeight="1" x14ac:dyDescent="0.25">
      <c r="A18" s="220">
        <v>10</v>
      </c>
      <c r="B18" s="221">
        <v>11</v>
      </c>
      <c r="C18" s="222">
        <v>2</v>
      </c>
      <c r="D18" s="223">
        <v>22</v>
      </c>
      <c r="E18" s="222">
        <v>0</v>
      </c>
      <c r="F18" s="223">
        <v>0</v>
      </c>
      <c r="G18" s="223">
        <v>0</v>
      </c>
      <c r="H18" s="223">
        <v>1331</v>
      </c>
      <c r="I18" s="223">
        <v>2662</v>
      </c>
      <c r="J18" s="216" t="str">
        <v xml:space="preserve">     </v>
      </c>
      <c r="K18" s="224">
        <v>130.57333333333332</v>
      </c>
      <c r="L18" s="223">
        <v>261.14666666666665</v>
      </c>
      <c r="M18" s="223">
        <v>395.32666666666665</v>
      </c>
      <c r="N18" s="223">
        <v>790.65333333333331</v>
      </c>
      <c r="O18" s="223">
        <v>0</v>
      </c>
      <c r="P18" s="216" t="str">
        <v xml:space="preserve">     </v>
      </c>
      <c r="Q18" s="236" t="s">
        <v>189</v>
      </c>
      <c r="R18" s="229" t="str">
        <v>2/3*h3*∑F(IL)</v>
      </c>
      <c r="S18" s="234">
        <v>3261298.7193306424</v>
      </c>
      <c r="T18" s="216"/>
      <c r="U18" s="216"/>
      <c r="V18" s="216"/>
      <c r="W18" s="216"/>
    </row>
    <row r="19" spans="1:23" s="215" customFormat="1" ht="12" customHeight="1" x14ac:dyDescent="0.25">
      <c r="A19" s="220">
        <v>11</v>
      </c>
      <c r="B19" s="221">
        <v>11</v>
      </c>
      <c r="C19" s="222">
        <v>4</v>
      </c>
      <c r="D19" s="223">
        <v>44</v>
      </c>
      <c r="E19" s="222">
        <v>1</v>
      </c>
      <c r="F19" s="223">
        <v>44</v>
      </c>
      <c r="G19" s="223">
        <v>44</v>
      </c>
      <c r="H19" s="223">
        <v>1331</v>
      </c>
      <c r="I19" s="223">
        <v>5324</v>
      </c>
      <c r="J19" s="216" t="str">
        <v xml:space="preserve">     </v>
      </c>
      <c r="K19" s="224">
        <v>130.57333333333332</v>
      </c>
      <c r="L19" s="223">
        <v>522.29333333333329</v>
      </c>
      <c r="M19" s="223">
        <v>395.32666666666665</v>
      </c>
      <c r="N19" s="223">
        <v>1581.3066666666666</v>
      </c>
      <c r="O19" s="223">
        <v>522.29333333333329</v>
      </c>
      <c r="P19" s="216" t="str">
        <v xml:space="preserve">     </v>
      </c>
      <c r="Q19" s="237" t="s">
        <v>190</v>
      </c>
      <c r="R19" s="229" t="str">
        <v>2/9*h*∑F(IT)</v>
      </c>
      <c r="S19" s="234">
        <v>90026.434477156668</v>
      </c>
      <c r="T19" s="216"/>
      <c r="U19" s="216"/>
      <c r="V19" s="216"/>
      <c r="W19" s="216"/>
    </row>
    <row r="20" spans="1:23" s="215" customFormat="1" ht="12" customHeight="1" x14ac:dyDescent="0.25">
      <c r="A20" s="220">
        <v>12</v>
      </c>
      <c r="B20" s="221">
        <v>11</v>
      </c>
      <c r="C20" s="222">
        <v>2</v>
      </c>
      <c r="D20" s="223">
        <v>22</v>
      </c>
      <c r="E20" s="222">
        <v>2</v>
      </c>
      <c r="F20" s="223">
        <v>44</v>
      </c>
      <c r="G20" s="223">
        <v>88</v>
      </c>
      <c r="H20" s="223">
        <v>1331</v>
      </c>
      <c r="I20" s="223">
        <v>2662</v>
      </c>
      <c r="J20" s="216" t="str">
        <v xml:space="preserve">     </v>
      </c>
      <c r="K20" s="224">
        <v>130.57333333333332</v>
      </c>
      <c r="L20" s="223">
        <v>261.14666666666665</v>
      </c>
      <c r="M20" s="223">
        <v>395.32666666666665</v>
      </c>
      <c r="N20" s="223">
        <v>790.65333333333331</v>
      </c>
      <c r="O20" s="223">
        <v>522.29333333333329</v>
      </c>
      <c r="P20" s="216" t="str">
        <v xml:space="preserve">     </v>
      </c>
      <c r="Q20" s="236" t="s">
        <v>191</v>
      </c>
      <c r="R20" s="229" t="str">
        <v>IL- Awp *(LCF)2</v>
      </c>
      <c r="S20" s="234">
        <v>3241487.8819465451</v>
      </c>
      <c r="T20" s="216"/>
      <c r="U20" s="216"/>
      <c r="V20" s="216"/>
      <c r="W20" s="216"/>
    </row>
    <row r="21" spans="1:23" s="215" customFormat="1" ht="12" customHeight="1" x14ac:dyDescent="0.2">
      <c r="A21" s="220">
        <v>13</v>
      </c>
      <c r="B21" s="221">
        <v>11</v>
      </c>
      <c r="C21" s="222">
        <v>4</v>
      </c>
      <c r="D21" s="223">
        <v>44</v>
      </c>
      <c r="E21" s="222">
        <v>3</v>
      </c>
      <c r="F21" s="223">
        <v>132</v>
      </c>
      <c r="G21" s="223">
        <v>396</v>
      </c>
      <c r="H21" s="223">
        <v>1331</v>
      </c>
      <c r="I21" s="223">
        <v>5324</v>
      </c>
      <c r="J21" s="216" t="str">
        <v xml:space="preserve">     </v>
      </c>
      <c r="K21" s="224">
        <v>130.57333333333332</v>
      </c>
      <c r="L21" s="223">
        <v>522.29333333333329</v>
      </c>
      <c r="M21" s="223">
        <v>395.32666666666665</v>
      </c>
      <c r="N21" s="223">
        <v>1581.3066666666666</v>
      </c>
      <c r="O21" s="223">
        <v>1566.8799999999999</v>
      </c>
      <c r="P21" s="216" t="str">
        <v xml:space="preserve">     </v>
      </c>
      <c r="Q21" s="236" t="s">
        <v>50</v>
      </c>
      <c r="R21" s="229" t="str">
        <v>1/3*h*∑F(V)</v>
      </c>
      <c r="S21" s="234">
        <v>14416.818549999995</v>
      </c>
      <c r="T21" s="216"/>
      <c r="U21" s="216"/>
      <c r="V21" s="216"/>
      <c r="W21" s="216"/>
    </row>
    <row r="22" spans="1:23" s="215" customFormat="1" ht="12" customHeight="1" x14ac:dyDescent="0.2">
      <c r="A22" s="220">
        <v>14</v>
      </c>
      <c r="B22" s="221">
        <v>11</v>
      </c>
      <c r="C22" s="222">
        <v>2</v>
      </c>
      <c r="D22" s="223">
        <v>22</v>
      </c>
      <c r="E22" s="222">
        <v>4</v>
      </c>
      <c r="F22" s="223">
        <v>88</v>
      </c>
      <c r="G22" s="223">
        <v>352</v>
      </c>
      <c r="H22" s="223">
        <v>1331</v>
      </c>
      <c r="I22" s="223">
        <v>2662</v>
      </c>
      <c r="J22" s="216" t="str">
        <v xml:space="preserve">     </v>
      </c>
      <c r="K22" s="224">
        <v>130.19333333333333</v>
      </c>
      <c r="L22" s="223">
        <v>260.38666666666666</v>
      </c>
      <c r="M22" s="223">
        <v>395.06</v>
      </c>
      <c r="N22" s="223">
        <v>790.12</v>
      </c>
      <c r="O22" s="223">
        <v>1041.5466666666666</v>
      </c>
      <c r="P22" s="216" t="str">
        <v xml:space="preserve">     </v>
      </c>
      <c r="Q22" s="236" t="s">
        <v>52</v>
      </c>
      <c r="R22" s="229" t="str">
        <v>▼*1.006*1.025</v>
      </c>
      <c r="S22" s="234">
        <v>14865.902447832494</v>
      </c>
      <c r="T22" s="216"/>
      <c r="U22" s="216"/>
      <c r="V22" s="216"/>
      <c r="W22" s="216"/>
    </row>
    <row r="23" spans="1:23" s="215" customFormat="1" ht="12" customHeight="1" x14ac:dyDescent="0.25">
      <c r="A23" s="220">
        <v>15</v>
      </c>
      <c r="B23" s="221">
        <v>11</v>
      </c>
      <c r="C23" s="222">
        <v>4</v>
      </c>
      <c r="D23" s="223">
        <v>44</v>
      </c>
      <c r="E23" s="222">
        <v>5</v>
      </c>
      <c r="F23" s="223">
        <v>220</v>
      </c>
      <c r="G23" s="223">
        <v>1100</v>
      </c>
      <c r="H23" s="223">
        <v>1331</v>
      </c>
      <c r="I23" s="223">
        <v>5324</v>
      </c>
      <c r="J23" s="216" t="str">
        <v xml:space="preserve">     </v>
      </c>
      <c r="K23" s="224">
        <v>127.94666666666666</v>
      </c>
      <c r="L23" s="223">
        <v>511.78666666666663</v>
      </c>
      <c r="M23" s="223">
        <v>392.63999999999993</v>
      </c>
      <c r="N23" s="223">
        <v>1570.5599999999997</v>
      </c>
      <c r="O23" s="223">
        <v>2558.9333333333334</v>
      </c>
      <c r="P23" s="216" t="str">
        <v xml:space="preserve">     </v>
      </c>
      <c r="Q23" s="236" t="s">
        <v>192</v>
      </c>
      <c r="R23" s="229" t="str">
        <v>1/3*h*∑F(MT)</v>
      </c>
      <c r="S23" s="234">
        <v>45009.773655555568</v>
      </c>
      <c r="T23" s="216"/>
      <c r="U23" s="216"/>
      <c r="V23" s="216"/>
      <c r="W23" s="216"/>
    </row>
    <row r="24" spans="1:23" s="215" customFormat="1" ht="12" customHeight="1" x14ac:dyDescent="0.25">
      <c r="A24" s="220">
        <v>16</v>
      </c>
      <c r="B24" s="221">
        <v>10.7</v>
      </c>
      <c r="C24" s="222">
        <v>2</v>
      </c>
      <c r="D24" s="223">
        <v>21.4</v>
      </c>
      <c r="E24" s="222">
        <v>6</v>
      </c>
      <c r="F24" s="223">
        <v>128.39999999999998</v>
      </c>
      <c r="G24" s="223">
        <v>770.39999999999986</v>
      </c>
      <c r="H24" s="223">
        <v>1225.0429999999997</v>
      </c>
      <c r="I24" s="223">
        <v>2450.0859999999993</v>
      </c>
      <c r="J24" s="216" t="str">
        <v xml:space="preserve">     </v>
      </c>
      <c r="K24" s="224">
        <v>119.89666666666665</v>
      </c>
      <c r="L24" s="223">
        <v>239.79333333333329</v>
      </c>
      <c r="M24" s="223">
        <v>373.89333333333332</v>
      </c>
      <c r="N24" s="223">
        <v>747.78666666666663</v>
      </c>
      <c r="O24" s="223">
        <v>1438.7599999999998</v>
      </c>
      <c r="P24" s="216" t="str">
        <v xml:space="preserve">     </v>
      </c>
      <c r="Q24" s="236" t="s">
        <v>193</v>
      </c>
      <c r="R24" s="229" t="str">
        <v>1/3*h2*∑F(ML)</v>
      </c>
      <c r="S24" s="234">
        <v>61837.20489511107</v>
      </c>
      <c r="T24" s="216"/>
      <c r="U24" s="216"/>
      <c r="V24" s="216"/>
      <c r="W24" s="216"/>
    </row>
    <row r="25" spans="1:23" s="215" customFormat="1" ht="12" customHeight="1" x14ac:dyDescent="0.25">
      <c r="A25" s="220">
        <v>17</v>
      </c>
      <c r="B25" s="221">
        <v>9.69</v>
      </c>
      <c r="C25" s="222">
        <v>4</v>
      </c>
      <c r="D25" s="223">
        <v>38.76</v>
      </c>
      <c r="E25" s="222">
        <v>7</v>
      </c>
      <c r="F25" s="223">
        <v>271.32</v>
      </c>
      <c r="G25" s="223">
        <v>1899.24</v>
      </c>
      <c r="H25" s="223">
        <v>909.85320899999988</v>
      </c>
      <c r="I25" s="223">
        <v>3639.4128359999995</v>
      </c>
      <c r="J25" s="216" t="str">
        <v xml:space="preserve">     </v>
      </c>
      <c r="K25" s="224">
        <v>103.47333333333333</v>
      </c>
      <c r="L25" s="223">
        <v>413.89333333333332</v>
      </c>
      <c r="M25" s="223">
        <v>330.12666666666667</v>
      </c>
      <c r="N25" s="223">
        <v>1320.5066666666667</v>
      </c>
      <c r="O25" s="223">
        <v>2897.2533333333331</v>
      </c>
      <c r="P25" s="216" t="str">
        <v xml:space="preserve">     </v>
      </c>
      <c r="Q25" s="236" t="s">
        <v>194</v>
      </c>
      <c r="R25" s="238" t="s">
        <v>195</v>
      </c>
      <c r="S25" s="234">
        <v>224.84072132173338</v>
      </c>
      <c r="T25" s="216"/>
      <c r="U25" s="216"/>
      <c r="V25" s="216"/>
      <c r="W25" s="216"/>
    </row>
    <row r="26" spans="1:23" s="215" customFormat="1" ht="12" customHeight="1" x14ac:dyDescent="0.25">
      <c r="A26" s="220">
        <v>18</v>
      </c>
      <c r="B26" s="221">
        <v>7.57</v>
      </c>
      <c r="C26" s="222">
        <v>1.5</v>
      </c>
      <c r="D26" s="223">
        <v>11.355</v>
      </c>
      <c r="E26" s="222">
        <v>8</v>
      </c>
      <c r="F26" s="223">
        <v>90.84</v>
      </c>
      <c r="G26" s="223">
        <v>726.72</v>
      </c>
      <c r="H26" s="223">
        <v>433.79809300000005</v>
      </c>
      <c r="I26" s="223">
        <v>650.69713950000005</v>
      </c>
      <c r="J26" s="216" t="str">
        <v xml:space="preserve">     </v>
      </c>
      <c r="K26" s="224">
        <v>76.963333333333338</v>
      </c>
      <c r="L26" s="223">
        <v>115.44500000000001</v>
      </c>
      <c r="M26" s="223">
        <v>250.70666666666665</v>
      </c>
      <c r="N26" s="223">
        <v>376.05999999999995</v>
      </c>
      <c r="O26" s="223">
        <v>923.56000000000006</v>
      </c>
      <c r="P26" s="216" t="str">
        <v xml:space="preserve">     </v>
      </c>
      <c r="Q26" s="236" t="s">
        <v>196</v>
      </c>
      <c r="R26" s="238" t="s">
        <v>197</v>
      </c>
      <c r="S26" s="234">
        <v>6.2445423839475804</v>
      </c>
      <c r="T26" s="216"/>
      <c r="U26" s="216"/>
      <c r="V26" s="216"/>
      <c r="W26" s="216"/>
    </row>
    <row r="27" spans="1:23" s="215" customFormat="1" ht="12" customHeight="1" x14ac:dyDescent="0.2">
      <c r="A27" s="220">
        <v>18.5</v>
      </c>
      <c r="B27" s="221">
        <v>6.05</v>
      </c>
      <c r="C27" s="222">
        <v>2</v>
      </c>
      <c r="D27" s="223">
        <v>12.1</v>
      </c>
      <c r="E27" s="222">
        <v>8.5</v>
      </c>
      <c r="F27" s="223">
        <v>102.85</v>
      </c>
      <c r="G27" s="223">
        <v>874.22499999999991</v>
      </c>
      <c r="H27" s="223">
        <v>221.44512499999999</v>
      </c>
      <c r="I27" s="223">
        <v>442.89024999999998</v>
      </c>
      <c r="J27" s="216" t="str">
        <v xml:space="preserve">     </v>
      </c>
      <c r="K27" s="224">
        <v>60.476666666666659</v>
      </c>
      <c r="L27" s="223">
        <v>120.95333333333332</v>
      </c>
      <c r="M27" s="223">
        <v>199.0733333333333</v>
      </c>
      <c r="N27" s="223">
        <v>398.14666666666659</v>
      </c>
      <c r="O27" s="223">
        <v>1028.1033333333332</v>
      </c>
      <c r="P27" s="216" t="str">
        <v xml:space="preserve">     </v>
      </c>
      <c r="Q27" s="236" t="s">
        <v>65</v>
      </c>
      <c r="R27" s="238" t="s">
        <v>198</v>
      </c>
      <c r="S27" s="234">
        <v>3.122032333240095</v>
      </c>
      <c r="T27" s="216"/>
      <c r="U27" s="216"/>
      <c r="V27" s="216"/>
      <c r="W27" s="216"/>
    </row>
    <row r="28" spans="1:23" s="215" customFormat="1" ht="12" customHeight="1" x14ac:dyDescent="0.25">
      <c r="A28" s="220">
        <v>19</v>
      </c>
      <c r="B28" s="221">
        <v>4.2300000000000004</v>
      </c>
      <c r="C28" s="222">
        <v>1</v>
      </c>
      <c r="D28" s="223">
        <v>4.2300000000000004</v>
      </c>
      <c r="E28" s="222">
        <v>9</v>
      </c>
      <c r="F28" s="223">
        <v>38.070000000000007</v>
      </c>
      <c r="G28" s="223">
        <v>342.63000000000005</v>
      </c>
      <c r="H28" s="223">
        <v>75.686967000000024</v>
      </c>
      <c r="I28" s="223">
        <v>75.686967000000024</v>
      </c>
      <c r="J28" s="216" t="str">
        <v xml:space="preserve">     </v>
      </c>
      <c r="K28" s="224">
        <v>43.17</v>
      </c>
      <c r="L28" s="223">
        <v>43.17</v>
      </c>
      <c r="M28" s="223">
        <v>143.21333333333334</v>
      </c>
      <c r="N28" s="223">
        <v>143.21333333333334</v>
      </c>
      <c r="O28" s="223">
        <v>388.53000000000003</v>
      </c>
      <c r="P28" s="216" t="str">
        <v xml:space="preserve">     </v>
      </c>
      <c r="Q28" s="236" t="s">
        <v>199</v>
      </c>
      <c r="R28" s="238" t="s">
        <v>200</v>
      </c>
      <c r="S28" s="234">
        <v>9.3665747171876745</v>
      </c>
      <c r="T28" s="216"/>
      <c r="U28" s="216"/>
      <c r="V28" s="216"/>
      <c r="W28" s="216"/>
    </row>
    <row r="29" spans="1:23" s="215" customFormat="1" ht="12" customHeight="1" x14ac:dyDescent="0.25">
      <c r="A29" s="220">
        <v>19.5</v>
      </c>
      <c r="B29" s="221">
        <v>2.38</v>
      </c>
      <c r="C29" s="222">
        <v>2</v>
      </c>
      <c r="D29" s="223">
        <v>4.76</v>
      </c>
      <c r="E29" s="222">
        <v>9.5</v>
      </c>
      <c r="F29" s="223">
        <v>45.22</v>
      </c>
      <c r="G29" s="223">
        <v>429.59</v>
      </c>
      <c r="H29" s="223">
        <v>13.481271999999999</v>
      </c>
      <c r="I29" s="223">
        <v>26.962543999999998</v>
      </c>
      <c r="J29" s="216" t="str">
        <v xml:space="preserve">     </v>
      </c>
      <c r="K29" s="224">
        <v>26.583333333333329</v>
      </c>
      <c r="L29" s="223">
        <v>53.166666666666657</v>
      </c>
      <c r="M29" s="223">
        <v>88.75333333333333</v>
      </c>
      <c r="N29" s="223">
        <v>177.50666666666666</v>
      </c>
      <c r="O29" s="223">
        <v>505.08333333333326</v>
      </c>
      <c r="P29" s="216" t="str">
        <v xml:space="preserve">     </v>
      </c>
      <c r="Q29" s="236" t="s">
        <v>201</v>
      </c>
      <c r="R29" s="238" t="s">
        <v>202</v>
      </c>
      <c r="S29" s="234">
        <v>227.96275365497348</v>
      </c>
      <c r="T29" s="216"/>
      <c r="U29" s="216"/>
      <c r="V29" s="216"/>
      <c r="W29" s="216"/>
    </row>
    <row r="30" spans="1:23" s="215" customFormat="1" ht="12" customHeight="1" thickBot="1" x14ac:dyDescent="0.25">
      <c r="A30" s="220">
        <v>20</v>
      </c>
      <c r="B30" s="221">
        <v>0.5</v>
      </c>
      <c r="C30" s="222">
        <v>0.5</v>
      </c>
      <c r="D30" s="223">
        <v>0.25</v>
      </c>
      <c r="E30" s="222">
        <v>10</v>
      </c>
      <c r="F30" s="225">
        <v>2.5</v>
      </c>
      <c r="G30" s="225">
        <v>25</v>
      </c>
      <c r="H30" s="223">
        <v>0.125</v>
      </c>
      <c r="I30" s="223">
        <v>6.25E-2</v>
      </c>
      <c r="J30" s="216" t="str">
        <v xml:space="preserve">     </v>
      </c>
      <c r="K30" s="224">
        <v>12.996666666666666</v>
      </c>
      <c r="L30" s="225">
        <v>6.4983333333333331</v>
      </c>
      <c r="M30" s="225">
        <v>37.186666666666667</v>
      </c>
      <c r="N30" s="223">
        <v>18.593333333333334</v>
      </c>
      <c r="O30" s="223">
        <v>64.983333333333334</v>
      </c>
      <c r="P30" s="216" t="str">
        <v xml:space="preserve">     </v>
      </c>
      <c r="Q30" s="236" t="s">
        <v>71</v>
      </c>
      <c r="R30" s="238" t="s">
        <v>203</v>
      </c>
      <c r="S30" s="234">
        <v>26.625487124999996</v>
      </c>
      <c r="T30" s="216"/>
      <c r="U30" s="216"/>
      <c r="V30" s="216"/>
      <c r="W30" s="216"/>
    </row>
    <row r="31" spans="1:23" s="215" customFormat="1" ht="12" customHeight="1" thickBot="1" x14ac:dyDescent="0.25">
      <c r="A31" s="226" t="str">
        <v>Total</v>
      </c>
      <c r="B31" s="215" t="str">
        <v xml:space="preserve">     </v>
      </c>
      <c r="C31" s="215" t="str">
        <v xml:space="preserve">     </v>
      </c>
      <c r="D31" s="227">
        <v>533.02499999999998</v>
      </c>
      <c r="E31" s="215" t="str">
        <v xml:space="preserve">     </v>
      </c>
      <c r="F31" s="227">
        <v>201.36999999999992</v>
      </c>
      <c r="G31" s="227">
        <v>12523.615</v>
      </c>
      <c r="H31" s="215" t="str">
        <v xml:space="preserve">     </v>
      </c>
      <c r="I31" s="227">
        <v>55419.829705500008</v>
      </c>
      <c r="J31" s="216" t="str">
        <v xml:space="preserve">     </v>
      </c>
      <c r="K31" s="215" t="str">
        <v xml:space="preserve">     </v>
      </c>
      <c r="L31" s="227">
        <v>5916.614999999998</v>
      </c>
      <c r="M31" s="215" t="str">
        <v xml:space="preserve">     </v>
      </c>
      <c r="N31" s="227">
        <v>18471.863333333338</v>
      </c>
      <c r="O31" s="227">
        <v>3471.6533333333314</v>
      </c>
      <c r="P31" s="216" t="str">
        <v xml:space="preserve">     </v>
      </c>
      <c r="Q31" s="236" t="s">
        <v>73</v>
      </c>
      <c r="R31" s="238" t="s">
        <v>204</v>
      </c>
      <c r="S31" s="234">
        <v>4.2892407004117485</v>
      </c>
      <c r="T31" s="216"/>
      <c r="U31" s="216"/>
      <c r="V31" s="216"/>
      <c r="W31" s="216"/>
    </row>
    <row r="32" spans="1:23" s="215" customFormat="1" ht="12" customHeight="1" x14ac:dyDescent="0.25">
      <c r="A32" s="216" t="str">
        <v xml:space="preserve">     </v>
      </c>
      <c r="B32" s="216" t="str">
        <v xml:space="preserve">     </v>
      </c>
      <c r="C32" s="216" t="str">
        <v xml:space="preserve">     </v>
      </c>
      <c r="D32" s="216" t="str">
        <v xml:space="preserve">     </v>
      </c>
      <c r="E32" s="216" t="str">
        <v xml:space="preserve">     </v>
      </c>
      <c r="F32" s="216" t="str">
        <v xml:space="preserve">     </v>
      </c>
      <c r="G32" s="216" t="str">
        <v xml:space="preserve">     </v>
      </c>
      <c r="H32" s="216" t="str">
        <v xml:space="preserve">     </v>
      </c>
      <c r="I32" s="216" t="str">
        <v xml:space="preserve">     </v>
      </c>
      <c r="J32" s="216" t="str">
        <v xml:space="preserve">     </v>
      </c>
      <c r="K32" s="216" t="str">
        <v xml:space="preserve">     </v>
      </c>
      <c r="L32" s="216" t="str">
        <v xml:space="preserve">     </v>
      </c>
      <c r="M32" s="216" t="str">
        <v xml:space="preserve">     </v>
      </c>
      <c r="N32" s="216" t="str">
        <v xml:space="preserve">     </v>
      </c>
      <c r="O32" s="216" t="str">
        <v xml:space="preserve">     </v>
      </c>
      <c r="P32" s="216" t="str">
        <v xml:space="preserve">     </v>
      </c>
      <c r="Q32" s="236" t="s">
        <v>205</v>
      </c>
      <c r="R32" s="238" t="s">
        <v>76</v>
      </c>
      <c r="S32" s="234">
        <v>228.62245071608618</v>
      </c>
      <c r="T32" s="216"/>
      <c r="U32" s="216"/>
      <c r="V32" s="216"/>
      <c r="W32" s="216"/>
    </row>
    <row r="33" spans="1:23" s="215" customFormat="1" ht="12" customHeight="1" x14ac:dyDescent="0.2">
      <c r="A33" s="216" t="str">
        <v xml:space="preserve">     </v>
      </c>
      <c r="B33" s="216" t="str">
        <v xml:space="preserve">     </v>
      </c>
      <c r="C33" s="216" t="str">
        <v xml:space="preserve">     </v>
      </c>
      <c r="D33" s="216" t="str">
        <v xml:space="preserve">     </v>
      </c>
      <c r="E33" s="216" t="str">
        <v xml:space="preserve">     </v>
      </c>
      <c r="F33" s="216" t="str">
        <v xml:space="preserve">     </v>
      </c>
      <c r="G33" s="216" t="str">
        <v xml:space="preserve">     </v>
      </c>
      <c r="H33" s="216" t="str">
        <v xml:space="preserve">     </v>
      </c>
      <c r="I33" s="216" t="str">
        <v xml:space="preserve">     </v>
      </c>
      <c r="J33" s="216" t="str">
        <v xml:space="preserve">     </v>
      </c>
      <c r="K33" s="216" t="str">
        <v xml:space="preserve">     </v>
      </c>
      <c r="L33" s="216" t="str">
        <v xml:space="preserve">     </v>
      </c>
      <c r="M33" s="216" t="str">
        <v xml:space="preserve">     </v>
      </c>
      <c r="N33" s="216" t="str">
        <v xml:space="preserve">     </v>
      </c>
      <c r="O33" s="216" t="str">
        <v xml:space="preserve">     </v>
      </c>
      <c r="P33" s="216" t="str">
        <v xml:space="preserve">     </v>
      </c>
      <c r="Q33" s="236" t="s">
        <v>78</v>
      </c>
      <c r="R33" s="238" t="s">
        <v>79</v>
      </c>
      <c r="S33" s="234">
        <v>6</v>
      </c>
      <c r="T33" s="216"/>
      <c r="U33" s="216"/>
      <c r="V33" s="216"/>
      <c r="W33" s="216"/>
    </row>
    <row r="34" spans="1:23" s="215" customFormat="1" ht="12" customHeight="1" x14ac:dyDescent="0.25">
      <c r="A34" s="216" t="str">
        <v xml:space="preserve">     </v>
      </c>
      <c r="B34" s="216" t="str">
        <v xml:space="preserve">     </v>
      </c>
      <c r="C34" s="216" t="str">
        <v xml:space="preserve">     </v>
      </c>
      <c r="D34" s="216" t="str">
        <v xml:space="preserve">     </v>
      </c>
      <c r="E34" s="216" t="str">
        <v xml:space="preserve">     </v>
      </c>
      <c r="F34" s="216" t="str">
        <v xml:space="preserve">     </v>
      </c>
      <c r="G34" s="216" t="str">
        <v xml:space="preserve">     </v>
      </c>
      <c r="H34" s="216" t="str">
        <v xml:space="preserve">     </v>
      </c>
      <c r="I34" s="216" t="str">
        <v xml:space="preserve">     </v>
      </c>
      <c r="J34" s="216" t="str">
        <v xml:space="preserve">     </v>
      </c>
      <c r="K34" s="216" t="str">
        <v xml:space="preserve">     </v>
      </c>
      <c r="L34" s="216" t="str">
        <v xml:space="preserve">     </v>
      </c>
      <c r="M34" s="216" t="str">
        <v xml:space="preserve">     </v>
      </c>
      <c r="N34" s="216" t="str">
        <v xml:space="preserve">     </v>
      </c>
      <c r="O34" s="216" t="str">
        <v xml:space="preserve">     </v>
      </c>
      <c r="P34" s="216" t="str">
        <v xml:space="preserve">     </v>
      </c>
      <c r="Q34" s="236" t="s">
        <v>206</v>
      </c>
      <c r="R34" s="238" t="s">
        <v>207</v>
      </c>
      <c r="S34" s="234">
        <v>0.80761363636363637</v>
      </c>
      <c r="T34" s="216"/>
      <c r="U34" s="216"/>
      <c r="V34" s="216"/>
      <c r="W34" s="216"/>
    </row>
    <row r="35" spans="1:23" s="215" customFormat="1" ht="12" customHeight="1" x14ac:dyDescent="0.25">
      <c r="A35" s="216" t="str">
        <v xml:space="preserve">     </v>
      </c>
      <c r="B35" s="216" t="str">
        <v xml:space="preserve">     </v>
      </c>
      <c r="C35" s="216" t="str">
        <v xml:space="preserve">     </v>
      </c>
      <c r="D35" s="216" t="str">
        <v xml:space="preserve">     </v>
      </c>
      <c r="E35" s="216" t="str">
        <v xml:space="preserve">     </v>
      </c>
      <c r="F35" s="216" t="str">
        <v xml:space="preserve">     </v>
      </c>
      <c r="G35" s="216" t="str">
        <v xml:space="preserve">     </v>
      </c>
      <c r="H35" s="216" t="str">
        <v xml:space="preserve">     </v>
      </c>
      <c r="I35" s="216" t="str">
        <v xml:space="preserve">     </v>
      </c>
      <c r="J35" s="216" t="str">
        <v xml:space="preserve">     </v>
      </c>
      <c r="K35" s="216" t="str">
        <v xml:space="preserve">     </v>
      </c>
      <c r="L35" s="216" t="str">
        <v xml:space="preserve">     </v>
      </c>
      <c r="M35" s="216" t="str">
        <v xml:space="preserve">     </v>
      </c>
      <c r="N35" s="216" t="str">
        <v xml:space="preserve">     </v>
      </c>
      <c r="O35" s="216" t="str">
        <v xml:space="preserve">     </v>
      </c>
      <c r="P35" s="216" t="str">
        <v xml:space="preserve">     </v>
      </c>
      <c r="Q35" s="236" t="s">
        <v>208</v>
      </c>
      <c r="R35" s="238" t="s">
        <v>83</v>
      </c>
      <c r="S35" s="234">
        <v>0.74704734848484833</v>
      </c>
      <c r="T35" s="216"/>
      <c r="U35" s="216"/>
      <c r="V35" s="216"/>
      <c r="W35" s="216"/>
    </row>
    <row r="36" spans="1:23" s="215" customFormat="1" ht="12" customHeight="1" x14ac:dyDescent="0.25">
      <c r="A36" s="216" t="str">
        <v xml:space="preserve">     </v>
      </c>
      <c r="B36" s="216" t="str">
        <v xml:space="preserve">     </v>
      </c>
      <c r="C36" s="216" t="str">
        <v xml:space="preserve">     </v>
      </c>
      <c r="D36" s="216" t="str">
        <v xml:space="preserve">     </v>
      </c>
      <c r="E36" s="216" t="str">
        <v xml:space="preserve">     </v>
      </c>
      <c r="F36" s="216" t="str">
        <v xml:space="preserve">     </v>
      </c>
      <c r="G36" s="216" t="str">
        <v xml:space="preserve">     </v>
      </c>
      <c r="H36" s="216" t="str">
        <v xml:space="preserve">     </v>
      </c>
      <c r="I36" s="216" t="str">
        <v xml:space="preserve">     </v>
      </c>
      <c r="J36" s="216" t="str">
        <v xml:space="preserve">     </v>
      </c>
      <c r="K36" s="216" t="str">
        <v xml:space="preserve">     </v>
      </c>
      <c r="L36" s="216" t="str">
        <v xml:space="preserve">     </v>
      </c>
      <c r="M36" s="216" t="str">
        <v xml:space="preserve">     </v>
      </c>
      <c r="N36" s="216" t="str">
        <v xml:space="preserve">     </v>
      </c>
      <c r="O36" s="216" t="str">
        <v xml:space="preserve">     </v>
      </c>
      <c r="P36" s="216" t="str">
        <v xml:space="preserve">     </v>
      </c>
      <c r="Q36" s="236" t="s">
        <v>209</v>
      </c>
      <c r="R36" s="238" t="s">
        <v>210</v>
      </c>
      <c r="S36" s="235">
        <v>0.98919191919191907</v>
      </c>
      <c r="T36" s="216"/>
      <c r="U36" s="216"/>
      <c r="V36" s="216"/>
      <c r="W36" s="216"/>
    </row>
    <row r="37" spans="1:23" s="215" customFormat="1" ht="12" customHeight="1" x14ac:dyDescent="0.25">
      <c r="A37" s="216" t="str">
        <v xml:space="preserve">     </v>
      </c>
      <c r="B37" s="216" t="str">
        <v xml:space="preserve">     </v>
      </c>
      <c r="C37" s="216" t="str">
        <v xml:space="preserve">     </v>
      </c>
      <c r="D37" s="216" t="str">
        <v xml:space="preserve">     </v>
      </c>
      <c r="E37" s="216" t="str">
        <v xml:space="preserve">     </v>
      </c>
      <c r="F37" s="216" t="str">
        <v xml:space="preserve">     </v>
      </c>
      <c r="G37" s="216" t="str">
        <v xml:space="preserve">     </v>
      </c>
      <c r="H37" s="216" t="str">
        <v xml:space="preserve">     </v>
      </c>
      <c r="I37" s="216" t="str">
        <v xml:space="preserve">     </v>
      </c>
      <c r="J37" s="216" t="str">
        <v xml:space="preserve">     </v>
      </c>
      <c r="K37" s="216" t="str">
        <v xml:space="preserve">     </v>
      </c>
      <c r="L37" s="216" t="str">
        <v xml:space="preserve">     </v>
      </c>
      <c r="M37" s="216" t="str">
        <v xml:space="preserve">     </v>
      </c>
      <c r="N37" s="216" t="str">
        <v xml:space="preserve">     </v>
      </c>
      <c r="O37" s="216" t="str">
        <v xml:space="preserve">     </v>
      </c>
      <c r="P37" s="216" t="str">
        <v xml:space="preserve">     </v>
      </c>
      <c r="Q37" s="236" t="s">
        <v>211</v>
      </c>
      <c r="R37" s="238" t="s">
        <v>212</v>
      </c>
      <c r="S37" s="234">
        <v>0.75520971612376175</v>
      </c>
      <c r="T37" s="216"/>
      <c r="U37" s="216"/>
      <c r="V37" s="216"/>
      <c r="W37" s="216"/>
    </row>
    <row r="38" spans="1:23" x14ac:dyDescent="0.25">
      <c r="A38" s="130"/>
      <c r="B38" s="130"/>
      <c r="C38" s="130"/>
      <c r="D38" s="130"/>
      <c r="E38" s="130"/>
      <c r="F38" s="130"/>
      <c r="G38" s="130"/>
      <c r="H38" s="130"/>
      <c r="I38" s="130"/>
      <c r="J38" s="130"/>
      <c r="K38" s="130"/>
      <c r="L38" s="130"/>
      <c r="M38" s="130"/>
      <c r="N38" s="130"/>
      <c r="O38" s="130"/>
      <c r="P38" s="130"/>
      <c r="Q38" s="130"/>
      <c r="R38" s="130"/>
      <c r="S38" s="130"/>
      <c r="T38" s="130"/>
    </row>
    <row r="39" spans="1:23" x14ac:dyDescent="0.25">
      <c r="A39" s="130"/>
      <c r="B39" s="130"/>
      <c r="C39" s="130"/>
      <c r="D39" s="130"/>
      <c r="E39" s="130"/>
      <c r="F39" s="130"/>
      <c r="G39" s="130"/>
      <c r="H39" s="130"/>
      <c r="I39" s="130"/>
      <c r="J39" s="130"/>
      <c r="K39" s="130"/>
      <c r="L39" s="130"/>
      <c r="M39" s="130"/>
      <c r="N39" s="130"/>
      <c r="O39" s="130"/>
      <c r="P39" s="130"/>
      <c r="Q39" s="130"/>
      <c r="R39" s="130"/>
      <c r="S39" s="130"/>
      <c r="T39" s="130"/>
    </row>
    <row r="40" spans="1:23" x14ac:dyDescent="0.25">
      <c r="A40" s="130"/>
      <c r="B40" s="130"/>
      <c r="C40" s="130"/>
      <c r="D40" s="130"/>
      <c r="E40" s="130"/>
      <c r="F40" s="130"/>
      <c r="G40" s="130"/>
      <c r="H40" s="130"/>
      <c r="I40" s="130"/>
      <c r="J40" s="130"/>
      <c r="K40" s="130"/>
      <c r="L40" s="130"/>
      <c r="M40" s="130"/>
      <c r="N40" s="130"/>
      <c r="O40" s="130"/>
      <c r="P40" s="130"/>
      <c r="Q40" s="130"/>
      <c r="R40" s="130"/>
      <c r="S40" s="130"/>
      <c r="T40" s="130"/>
    </row>
  </sheetData>
  <sheetProtection password="CC2F" sheet="1" objects="1" scenarios="1"/>
  <mergeCells count="3">
    <mergeCell ref="D2:E2"/>
    <mergeCell ref="A4:I4"/>
    <mergeCell ref="K4:O4"/>
  </mergeCells>
  <conditionalFormatting sqref="K4:O4">
    <cfRule type="containsErrors" dxfId="29" priority="22">
      <formula>ISERROR(K4)</formula>
    </cfRule>
  </conditionalFormatting>
  <conditionalFormatting sqref="R14:S14">
    <cfRule type="containsErrors" dxfId="28" priority="6">
      <formula>ISERROR(R14)</formula>
    </cfRule>
  </conditionalFormatting>
  <conditionalFormatting sqref="R15:R24">
    <cfRule type="containsErrors" dxfId="27" priority="21">
      <formula>ISERROR(R15)</formula>
    </cfRule>
  </conditionalFormatting>
  <conditionalFormatting sqref="S15:S37">
    <cfRule type="containsErrors" dxfId="26" priority="20">
      <formula>ISERROR(S15)</formula>
    </cfRule>
  </conditionalFormatting>
  <conditionalFormatting sqref="A31 D31 F31:G31 I31">
    <cfRule type="containsErrors" dxfId="25" priority="18">
      <formula>ISERROR(A31)</formula>
    </cfRule>
  </conditionalFormatting>
  <conditionalFormatting sqref="A6:I30">
    <cfRule type="containsErrors" dxfId="24" priority="19">
      <formula>ISERROR(A6)</formula>
    </cfRule>
  </conditionalFormatting>
  <conditionalFormatting sqref="K6:O30">
    <cfRule type="containsErrors" dxfId="23" priority="17">
      <formula>ISERROR(K6)</formula>
    </cfRule>
  </conditionalFormatting>
  <conditionalFormatting sqref="L31">
    <cfRule type="containsErrors" dxfId="22" priority="16">
      <formula>ISERROR(L31)</formula>
    </cfRule>
  </conditionalFormatting>
  <conditionalFormatting sqref="N31">
    <cfRule type="containsErrors" dxfId="21" priority="15">
      <formula>ISERROR(N31)</formula>
    </cfRule>
  </conditionalFormatting>
  <conditionalFormatting sqref="O31">
    <cfRule type="containsErrors" dxfId="20" priority="14">
      <formula>ISERROR(O31)</formula>
    </cfRule>
  </conditionalFormatting>
  <conditionalFormatting sqref="A4">
    <cfRule type="containsErrors" dxfId="19" priority="13">
      <formula>ISERROR(A4)</formula>
    </cfRule>
  </conditionalFormatting>
  <conditionalFormatting sqref="Q5:R9">
    <cfRule type="containsErrors" dxfId="18" priority="12">
      <formula>ISERROR(Q5)</formula>
    </cfRule>
  </conditionalFormatting>
  <conditionalFormatting sqref="R10">
    <cfRule type="containsErrors" dxfId="17" priority="10">
      <formula>ISERROR(R10)</formula>
    </cfRule>
  </conditionalFormatting>
  <conditionalFormatting sqref="Q10">
    <cfRule type="containsErrors" dxfId="16" priority="11">
      <formula>ISERROR(Q10)</formula>
    </cfRule>
  </conditionalFormatting>
  <conditionalFormatting sqref="R25:R37">
    <cfRule type="containsErrors" dxfId="15" priority="9">
      <formula>ISERROR(R25)</formula>
    </cfRule>
  </conditionalFormatting>
  <conditionalFormatting sqref="Q14">
    <cfRule type="containsErrors" dxfId="14" priority="8">
      <formula>ISERROR(Q14)</formula>
    </cfRule>
  </conditionalFormatting>
  <conditionalFormatting sqref="Q15:Q37">
    <cfRule type="containsErrors" dxfId="13" priority="7">
      <formula>ISERROR(Q15)</formula>
    </cfRule>
  </conditionalFormatting>
  <conditionalFormatting sqref="R11">
    <cfRule type="containsErrors" dxfId="12" priority="4">
      <formula>ISERROR(R11)</formula>
    </cfRule>
  </conditionalFormatting>
  <conditionalFormatting sqref="Q11">
    <cfRule type="containsErrors" dxfId="11" priority="5">
      <formula>ISERROR(Q11)</formula>
    </cfRule>
  </conditionalFormatting>
  <conditionalFormatting sqref="S5:S9">
    <cfRule type="containsErrors" dxfId="10" priority="3">
      <formula>ISERROR(S5)</formula>
    </cfRule>
  </conditionalFormatting>
  <conditionalFormatting sqref="S10">
    <cfRule type="containsErrors" dxfId="9" priority="2">
      <formula>ISERROR(S10)</formula>
    </cfRule>
  </conditionalFormatting>
  <conditionalFormatting sqref="S11">
    <cfRule type="containsErrors" dxfId="8" priority="1">
      <formula>ISERROR(S11)</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70" r:id="rId3" name="Drop Down 2">
              <controlPr defaultSize="0" autoLine="0" autoPict="0">
                <anchor moveWithCells="1">
                  <from>
                    <xdr:col>11</xdr:col>
                    <xdr:colOff>47625</xdr:colOff>
                    <xdr:row>1</xdr:row>
                    <xdr:rowOff>0</xdr:rowOff>
                  </from>
                  <to>
                    <xdr:col>14</xdr:col>
                    <xdr:colOff>600075</xdr:colOff>
                    <xdr:row>1</xdr:row>
                    <xdr:rowOff>209550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OFFSET(Tools!$BE$3,,,Max_WL_count,1)</xm:f>
          </x14:formula1>
          <xm:sqref>D2:E2</xm:sqref>
        </x14:dataValidation>
      </x14:dataValidations>
    </ext>
  </extLst>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GQ237"/>
  <sheetViews>
    <sheetView showGridLines="0" topLeftCell="D30" zoomScale="70" zoomScaleNormal="70" workbookViewId="0">
      <selection activeCell="Q47" sqref="Q47"/>
    </sheetView>
  </sheetViews>
  <sheetFormatPr defaultRowHeight="15" x14ac:dyDescent="0.25"/>
  <cols>
    <col min="1" max="1" width="19.7109375" style="132" customWidth="1"/>
    <col min="2" max="3" width="9.28515625" style="132" bestFit="1" customWidth="1"/>
    <col min="4" max="4" width="9.7109375" style="132" bestFit="1" customWidth="1"/>
    <col min="5" max="5" width="13.85546875" style="132" customWidth="1"/>
    <col min="6" max="6" width="13.140625" style="132" customWidth="1"/>
    <col min="7" max="8" width="9.28515625" style="132" bestFit="1" customWidth="1"/>
    <col min="9" max="9" width="11.140625" style="132" bestFit="1" customWidth="1"/>
    <col min="10" max="11" width="9.28515625" style="132" bestFit="1" customWidth="1"/>
    <col min="12" max="12" width="9.140625" style="132" customWidth="1"/>
    <col min="13" max="19" width="9.28515625" style="132" bestFit="1" customWidth="1"/>
    <col min="20" max="25" width="9.7109375" style="132" bestFit="1" customWidth="1"/>
    <col min="26" max="27" width="9.28515625" style="132" bestFit="1" customWidth="1"/>
    <col min="28" max="28" width="12.42578125" style="132" bestFit="1" customWidth="1"/>
    <col min="29" max="29" width="9.28515625" style="132" bestFit="1" customWidth="1"/>
    <col min="30" max="30" width="10.28515625" style="132" bestFit="1" customWidth="1"/>
    <col min="31" max="35" width="9.28515625" style="132" bestFit="1" customWidth="1"/>
    <col min="36" max="38" width="12" style="132" bestFit="1" customWidth="1"/>
    <col min="39" max="39" width="11" style="132" bestFit="1" customWidth="1"/>
    <col min="40" max="46" width="12" style="132" bestFit="1" customWidth="1"/>
    <col min="47" max="47" width="9.140625" style="132" customWidth="1"/>
    <col min="48" max="52" width="12" style="132" bestFit="1" customWidth="1"/>
    <col min="53" max="53" width="9.140625" style="132" customWidth="1"/>
    <col min="54" max="55" width="12" style="132" bestFit="1" customWidth="1"/>
    <col min="56" max="67" width="12.42578125" style="132" bestFit="1" customWidth="1"/>
    <col min="68" max="68" width="17.42578125" style="132" bestFit="1" customWidth="1"/>
    <col min="69" max="69" width="9.28515625" style="132" bestFit="1" customWidth="1"/>
    <col min="70" max="80" width="10.28515625" style="132" bestFit="1" customWidth="1"/>
    <col min="81" max="81" width="9.140625" style="132" customWidth="1"/>
    <col min="82" max="84" width="10.28515625" style="132" bestFit="1" customWidth="1"/>
    <col min="85" max="85" width="12.28515625" style="132" bestFit="1" customWidth="1"/>
    <col min="86" max="86" width="10.28515625" style="132" bestFit="1" customWidth="1"/>
    <col min="87" max="87" width="9.140625" style="132" customWidth="1"/>
    <col min="88" max="88" width="12.42578125" style="132" bestFit="1" customWidth="1"/>
    <col min="89" max="96" width="10.28515625" style="132" bestFit="1" customWidth="1"/>
    <col min="97" max="100" width="9.28515625" style="132" bestFit="1" customWidth="1"/>
    <col min="101" max="113" width="10.28515625" style="132" bestFit="1" customWidth="1"/>
    <col min="114" max="114" width="15.7109375" style="132" customWidth="1"/>
    <col min="115" max="128" width="9.28515625" style="132" bestFit="1" customWidth="1"/>
    <col min="129" max="16384" width="9.140625" style="132"/>
  </cols>
  <sheetData>
    <row r="1" spans="1:114" x14ac:dyDescent="0.25">
      <c r="A1" s="239" t="str">
        <f t="array" ref="A1:AA27">Offset!T2:AT28</f>
        <v>STN/WL</v>
      </c>
      <c r="B1" s="240">
        <v>0</v>
      </c>
      <c r="C1" s="240">
        <v>0.25</v>
      </c>
      <c r="D1" s="240">
        <v>0.5</v>
      </c>
      <c r="E1" s="240">
        <v>0.75</v>
      </c>
      <c r="F1" s="240">
        <v>1</v>
      </c>
      <c r="G1" s="240">
        <v>2</v>
      </c>
      <c r="H1" s="240">
        <v>3</v>
      </c>
      <c r="I1" s="240">
        <v>4</v>
      </c>
      <c r="J1" s="240">
        <v>4.8499999999999996</v>
      </c>
      <c r="K1" s="240">
        <v>5</v>
      </c>
      <c r="L1" s="240">
        <v>6</v>
      </c>
      <c r="M1" s="240">
        <v>6.5</v>
      </c>
      <c r="N1" s="240">
        <v>0</v>
      </c>
      <c r="O1" s="240">
        <v>0</v>
      </c>
      <c r="P1" s="240">
        <v>0</v>
      </c>
      <c r="Q1" s="240">
        <v>0</v>
      </c>
      <c r="R1" s="240">
        <v>0</v>
      </c>
      <c r="S1" s="240">
        <v>0</v>
      </c>
      <c r="T1" s="240">
        <v>0</v>
      </c>
      <c r="U1" s="240">
        <v>0</v>
      </c>
      <c r="V1" s="240">
        <v>0</v>
      </c>
      <c r="W1" s="240">
        <v>0</v>
      </c>
      <c r="X1" s="240">
        <v>0</v>
      </c>
      <c r="Y1" s="240">
        <v>0</v>
      </c>
      <c r="Z1" s="241">
        <v>0</v>
      </c>
      <c r="AA1" s="132">
        <v>0</v>
      </c>
      <c r="AC1" s="249" t="s">
        <v>213</v>
      </c>
      <c r="AD1" s="249" t="str">
        <f>A1</f>
        <v>STN/WL</v>
      </c>
      <c r="AE1" s="249">
        <f>IF(ISBLANK(Offset!U2),"  ",IF(OR(B1="LWL",B1="Lwl",B1="lwl"),DRAFT/WLS,IF(OR(B1="MDK",B1="Mdk",B1="mdk"),DEPTH/WLS,B1)))</f>
        <v>0</v>
      </c>
      <c r="AF1" s="249">
        <f>IF(ISBLANK(Offset!V2),"  ",IF(OR(C1="LWL",C1="Lwl",C1="lwl"),DRAFT/WLS,IF(OR(C1="MDK",C1="Mdk",C1="mdk"),DEPTH/WLS,C1)))</f>
        <v>0.25</v>
      </c>
      <c r="AG1" s="249">
        <f>IF(ISBLANK(Offset!W2),"  ",IF(OR(D1="LWL",D1="Lwl",D1="lwl"),DRAFT/WLS,IF(OR(D1="MDK",D1="Mdk",D1="mdk"),DEPTH/WLS,D1)))</f>
        <v>0.5</v>
      </c>
      <c r="AH1" s="249">
        <f>IF(ISBLANK(Offset!X2),"  ",IF(OR(E1="LWL",E1="Lwl",E1="lwl"),DRAFT/WLS,IF(OR(E1="MDK",E1="Mdk",E1="mdk"),DEPTH/WLS,E1)))</f>
        <v>0.75</v>
      </c>
      <c r="AI1" s="249">
        <f>IF(ISBLANK(Offset!Y2),"  ",IF(OR(F1="LWL",F1="Lwl",F1="lwl"),DRAFT/WLS,IF(OR(F1="MDK",F1="Mdk",F1="mdk"),DEPTH/WLS,F1)))</f>
        <v>1</v>
      </c>
      <c r="AJ1" s="249">
        <f>IF(ISBLANK(Offset!Z2),"  ",IF(OR(G1="LWL",G1="Lwl",G1="lwl"),DRAFT/WLS,IF(OR(G1="MDK",G1="Mdk",G1="mdk"),DEPTH/WLS,G1)))</f>
        <v>2</v>
      </c>
      <c r="AK1" s="249">
        <f>IF(ISBLANK(Offset!AA2),"  ",IF(OR(H1="LWL",H1="Lwl",H1="lwl"),DRAFT/WLS,IF(OR(H1="MDK",H1="Mdk",H1="mdk"),DEPTH/WLS,H1)))</f>
        <v>3</v>
      </c>
      <c r="AL1" s="249">
        <f>IF(ISBLANK(Offset!AB2),"  ",IF(OR(I1="LWL",I1="Lwl",I1="lwl"),DRAFT/WLS,IF(OR(I1="MDK",I1="Mdk",I1="mdk"),DEPTH/WLS,I1)))</f>
        <v>4</v>
      </c>
      <c r="AM1" s="249">
        <f>IF(ISBLANK(Offset!AC2),"  ",IF(OR(J1="LWL",J1="Lwl",J1="lwl"),DRAFT/WLS,IF(OR(J1="MDK",J1="Mdk",J1="mdk"),DEPTH/WLS,J1)))</f>
        <v>4.8499999999999996</v>
      </c>
      <c r="AN1" s="249">
        <f>IF(ISBLANK(Offset!AD2),"  ",IF(OR(K1="LWL",K1="Lwl",K1="lwl"),DRAFT/WLS,IF(OR(K1="MDK",K1="Mdk",K1="mdk"),DEPTH/WLS,K1)))</f>
        <v>5</v>
      </c>
      <c r="AO1" s="249">
        <f>IF(ISBLANK(Offset!AE2),"  ",IF(OR(L1="LWL",L1="Lwl",L1="lwl"),DRAFT/WLS,IF(OR(L1="MDK",L1="Mdk",L1="mdk"),DEPTH/WLS,L1)))</f>
        <v>6</v>
      </c>
      <c r="AP1" s="249">
        <f>IF(ISBLANK(Offset!AF2),"  ",IF(OR(M1="LWL",M1="Lwl",M1="lwl"),DRAFT/WLS,IF(OR(M1="MDK",M1="Mdk",M1="mdk"),DEPTH/WLS,M1)))</f>
        <v>6.5</v>
      </c>
      <c r="AQ1" s="249" t="str">
        <f>IF(ISBLANK(Offset!AG2),"  ",IF(OR(N1="LWL",N1="Lwl",N1="lwl"),DRAFT/WLS,IF(OR(N1="MDK",N1="Mdk",N1="mdk"),DEPTH/WLS,N1)))</f>
        <v xml:space="preserve">  </v>
      </c>
      <c r="AR1" s="249" t="str">
        <f>IF(ISBLANK(Offset!AH2),"  ",IF(OR(O1="LWL",O1="Lwl",O1="lwl"),DRAFT/WLS,IF(OR(O1="MDK",O1="Mdk",O1="mdk"),DEPTH/WLS,O1)))</f>
        <v xml:space="preserve">  </v>
      </c>
      <c r="AS1" s="249" t="str">
        <f>IF(ISBLANK(Offset!AI2),"  ",IF(OR(P1="LWL",P1="Lwl",P1="lwl"),DRAFT/WLS,IF(OR(P1="MDK",P1="Mdk",P1="mdk"),DEPTH/WLS,P1)))</f>
        <v xml:space="preserve">  </v>
      </c>
      <c r="AT1" s="249" t="str">
        <f>IF(ISBLANK(Offset!AJ2),"  ",IF(OR(Q1="LWL",Q1="Lwl",Q1="lwl"),DRAFT/WLS,IF(OR(Q1="MDK",Q1="Mdk",Q1="mdk"),DEPTH/WLS,Q1)))</f>
        <v xml:space="preserve">  </v>
      </c>
      <c r="AU1" s="249" t="str">
        <f>IF(ISBLANK(Offset!AK2),"  ",IF(OR(R1="LWL",R1="Lwl",R1="lwl"),DRAFT/WLS,IF(OR(R1="MDK",R1="Mdk",R1="mdk"),DEPTH/WLS,R1)))</f>
        <v xml:space="preserve">  </v>
      </c>
      <c r="AV1" s="249" t="str">
        <f>IF(ISBLANK(Offset!AL2),"  ",IF(OR(S1="LWL",S1="Lwl",S1="lwl"),DRAFT/WLS,IF(OR(S1="MDK",S1="Mdk",S1="mdk"),DEPTH/WLS,S1)))</f>
        <v xml:space="preserve">  </v>
      </c>
      <c r="AW1" s="249" t="str">
        <f>IF(ISBLANK(Offset!AM2),"  ",IF(OR(T1="LWL",T1="Lwl",T1="lwl"),DRAFT/WLS,IF(OR(T1="MDK",T1="Mdk",T1="mdk"),DEPTH/WLS,T1)))</f>
        <v xml:space="preserve">  </v>
      </c>
      <c r="AX1" s="249" t="str">
        <f>IF(ISBLANK(Offset!AN2),"  ",IF(OR(U1="LWL",U1="Lwl",U1="lwl"),DRAFT/WLS,IF(OR(U1="MDK",U1="Mdk",U1="mdk"),DEPTH/WLS,U1)))</f>
        <v xml:space="preserve">  </v>
      </c>
      <c r="AY1" s="249" t="str">
        <f>IF(ISBLANK(Offset!AO2),"  ",IF(OR(V1="LWL",V1="Lwl",V1="lwl"),DRAFT/WLS,IF(OR(V1="MDK",V1="Mdk",V1="mdk"),DEPTH/WLS,V1)))</f>
        <v xml:space="preserve">  </v>
      </c>
      <c r="AZ1" s="249" t="str">
        <f>IF(ISBLANK(Offset!AP2),"  ",IF(OR(W1="LWL",W1="Lwl",W1="lwl"),DRAFT/WLS,IF(OR(W1="MDK",W1="Mdk",W1="mdk"),DEPTH/WLS,W1)))</f>
        <v xml:space="preserve">  </v>
      </c>
      <c r="BA1" s="249" t="str">
        <f>IF(ISBLANK(Offset!AQ2),"  ",IF(OR(X1="LWL",X1="Lwl",X1="lwl"),DRAFT/WLS,IF(OR(X1="MDK",X1="Mdk",X1="mdk"),DEPTH/WLS,X1)))</f>
        <v xml:space="preserve">  </v>
      </c>
      <c r="BB1" s="249" t="str">
        <f>IF(ISBLANK(Offset!AR2),"  ",IF(OR(Y1="LWL",Y1="Lwl",Y1="lwl"),DRAFT/WLS,IF(OR(Y1="MDK",Y1="Mdk",Y1="mdk"),DEPTH/WLS,Y1)))</f>
        <v xml:space="preserve">  </v>
      </c>
      <c r="BC1" s="249" t="str">
        <f>IF(ISBLANK(Offset!AS2),"  ",IF(OR(Z1="LWL",Z1="Lwl",Z1="lwl"),DRAFT/WLS,IF(OR(Z1="MDK",Z1="Mdk",Z1="mdk"),DEPTH/WLS,Z1)))</f>
        <v xml:space="preserve">  </v>
      </c>
      <c r="BE1" s="250"/>
      <c r="BF1" s="251">
        <v>1</v>
      </c>
      <c r="BG1" s="251">
        <v>2</v>
      </c>
      <c r="BH1" s="251">
        <v>3</v>
      </c>
      <c r="BI1" s="251">
        <v>4</v>
      </c>
      <c r="BJ1" s="251">
        <v>5</v>
      </c>
      <c r="BK1" s="251">
        <v>6</v>
      </c>
      <c r="BL1" s="251">
        <v>7</v>
      </c>
      <c r="BM1" s="251">
        <v>8</v>
      </c>
      <c r="BN1" s="251">
        <v>9</v>
      </c>
      <c r="BO1" s="251">
        <v>10</v>
      </c>
      <c r="BP1" s="251">
        <v>11</v>
      </c>
      <c r="BQ1" s="251">
        <v>12</v>
      </c>
      <c r="BR1" s="251">
        <v>13</v>
      </c>
      <c r="BS1" s="251">
        <v>14</v>
      </c>
      <c r="BT1" s="251">
        <v>15</v>
      </c>
      <c r="BU1" s="251">
        <v>16</v>
      </c>
      <c r="BV1" s="251">
        <v>17</v>
      </c>
      <c r="BW1" s="251">
        <v>18</v>
      </c>
      <c r="BX1" s="251">
        <v>19</v>
      </c>
      <c r="BY1" s="251">
        <v>20</v>
      </c>
      <c r="BZ1" s="251">
        <v>21</v>
      </c>
      <c r="CA1" s="251">
        <v>22</v>
      </c>
      <c r="CB1" s="251">
        <v>23</v>
      </c>
      <c r="CC1" s="251">
        <v>24</v>
      </c>
      <c r="CD1" s="252">
        <v>25</v>
      </c>
    </row>
    <row r="2" spans="1:114" x14ac:dyDescent="0.25">
      <c r="A2" s="242">
        <v>0</v>
      </c>
      <c r="B2" s="243">
        <v>0</v>
      </c>
      <c r="C2" s="243">
        <v>0</v>
      </c>
      <c r="D2" s="243">
        <v>0</v>
      </c>
      <c r="E2" s="243">
        <v>0</v>
      </c>
      <c r="F2" s="243">
        <v>0</v>
      </c>
      <c r="G2" s="243">
        <v>0</v>
      </c>
      <c r="H2" s="243">
        <v>0</v>
      </c>
      <c r="I2" s="243">
        <v>0.9</v>
      </c>
      <c r="J2" s="243">
        <v>2.59</v>
      </c>
      <c r="K2" s="243">
        <v>2.82</v>
      </c>
      <c r="L2" s="243">
        <v>3.82</v>
      </c>
      <c r="M2" s="243">
        <v>4.24</v>
      </c>
      <c r="N2" s="243">
        <v>0</v>
      </c>
      <c r="O2" s="243">
        <v>0</v>
      </c>
      <c r="P2" s="243">
        <v>0</v>
      </c>
      <c r="Q2" s="243">
        <v>0</v>
      </c>
      <c r="R2" s="243">
        <v>0</v>
      </c>
      <c r="S2" s="243">
        <v>0</v>
      </c>
      <c r="T2" s="243">
        <v>0</v>
      </c>
      <c r="U2" s="243">
        <v>0</v>
      </c>
      <c r="V2" s="243">
        <v>0</v>
      </c>
      <c r="W2" s="243">
        <v>0</v>
      </c>
      <c r="X2" s="243">
        <v>0</v>
      </c>
      <c r="Y2" s="243">
        <v>0</v>
      </c>
      <c r="Z2" s="244">
        <v>0</v>
      </c>
      <c r="AA2" s="132">
        <v>0</v>
      </c>
      <c r="AC2" s="249"/>
      <c r="AD2" s="253" t="s">
        <v>133</v>
      </c>
      <c r="AE2" s="254">
        <f t="shared" ref="AE2:BC2" si="0">IF(ISNUMBER(AE1),AE1,"  ")</f>
        <v>0</v>
      </c>
      <c r="AF2" s="254">
        <f t="shared" si="0"/>
        <v>0.25</v>
      </c>
      <c r="AG2" s="254">
        <f t="shared" si="0"/>
        <v>0.5</v>
      </c>
      <c r="AH2" s="254">
        <f t="shared" si="0"/>
        <v>0.75</v>
      </c>
      <c r="AI2" s="254">
        <f t="shared" si="0"/>
        <v>1</v>
      </c>
      <c r="AJ2" s="254">
        <f t="shared" si="0"/>
        <v>2</v>
      </c>
      <c r="AK2" s="254">
        <f t="shared" si="0"/>
        <v>3</v>
      </c>
      <c r="AL2" s="254">
        <f t="shared" si="0"/>
        <v>4</v>
      </c>
      <c r="AM2" s="254">
        <f t="shared" si="0"/>
        <v>4.8499999999999996</v>
      </c>
      <c r="AN2" s="254">
        <f t="shared" si="0"/>
        <v>5</v>
      </c>
      <c r="AO2" s="254">
        <f t="shared" si="0"/>
        <v>6</v>
      </c>
      <c r="AP2" s="254">
        <f t="shared" si="0"/>
        <v>6.5</v>
      </c>
      <c r="AQ2" s="254" t="str">
        <f t="shared" si="0"/>
        <v xml:space="preserve">  </v>
      </c>
      <c r="AR2" s="254" t="str">
        <f t="shared" si="0"/>
        <v xml:space="preserve">  </v>
      </c>
      <c r="AS2" s="254" t="str">
        <f t="shared" si="0"/>
        <v xml:space="preserve">  </v>
      </c>
      <c r="AT2" s="254" t="str">
        <f t="shared" si="0"/>
        <v xml:space="preserve">  </v>
      </c>
      <c r="AU2" s="254" t="str">
        <f>IF(ISNUMBER(AU1),AU1,"  ")</f>
        <v xml:space="preserve">  </v>
      </c>
      <c r="AV2" s="254" t="str">
        <f t="shared" si="0"/>
        <v xml:space="preserve">  </v>
      </c>
      <c r="AW2" s="254" t="str">
        <f t="shared" si="0"/>
        <v xml:space="preserve">  </v>
      </c>
      <c r="AX2" s="254" t="str">
        <f t="shared" si="0"/>
        <v xml:space="preserve">  </v>
      </c>
      <c r="AY2" s="254" t="str">
        <f t="shared" si="0"/>
        <v xml:space="preserve">  </v>
      </c>
      <c r="AZ2" s="254" t="str">
        <f t="shared" si="0"/>
        <v xml:space="preserve">  </v>
      </c>
      <c r="BA2" s="254" t="str">
        <f t="shared" si="0"/>
        <v xml:space="preserve">  </v>
      </c>
      <c r="BB2" s="254" t="str">
        <f t="shared" si="0"/>
        <v xml:space="preserve">  </v>
      </c>
      <c r="BC2" s="254" t="str">
        <f t="shared" si="0"/>
        <v xml:space="preserve">  </v>
      </c>
      <c r="BE2" s="255" t="str">
        <f t="array" ref="BE2:CD27">TRANSPOSE(AD2:BC27)</f>
        <v>STN/WL</v>
      </c>
      <c r="BF2" s="256">
        <v>0</v>
      </c>
      <c r="BG2" s="256">
        <v>0.5</v>
      </c>
      <c r="BH2" s="256">
        <v>1</v>
      </c>
      <c r="BI2" s="256">
        <v>1.5</v>
      </c>
      <c r="BJ2" s="256">
        <v>2</v>
      </c>
      <c r="BK2" s="256">
        <v>3</v>
      </c>
      <c r="BL2" s="256">
        <v>4</v>
      </c>
      <c r="BM2" s="256">
        <v>5</v>
      </c>
      <c r="BN2" s="256">
        <v>6</v>
      </c>
      <c r="BO2" s="256">
        <v>7</v>
      </c>
      <c r="BP2" s="256">
        <v>8</v>
      </c>
      <c r="BQ2" s="256">
        <v>9</v>
      </c>
      <c r="BR2" s="256">
        <v>10</v>
      </c>
      <c r="BS2" s="256">
        <v>11</v>
      </c>
      <c r="BT2" s="256">
        <v>12</v>
      </c>
      <c r="BU2" s="256">
        <v>13</v>
      </c>
      <c r="BV2" s="256">
        <v>14</v>
      </c>
      <c r="BW2" s="256">
        <v>15</v>
      </c>
      <c r="BX2" s="256">
        <v>16</v>
      </c>
      <c r="BY2" s="256">
        <v>17</v>
      </c>
      <c r="BZ2" s="256">
        <v>18</v>
      </c>
      <c r="CA2" s="256">
        <v>18.5</v>
      </c>
      <c r="CB2" s="256">
        <v>19</v>
      </c>
      <c r="CC2" s="256">
        <v>19.5</v>
      </c>
      <c r="CD2" s="257">
        <v>20</v>
      </c>
    </row>
    <row r="3" spans="1:114" x14ac:dyDescent="0.25">
      <c r="A3" s="242">
        <v>0.5</v>
      </c>
      <c r="B3" s="243">
        <v>0.1</v>
      </c>
      <c r="C3" s="243">
        <v>0.2</v>
      </c>
      <c r="D3" s="243">
        <v>0.2</v>
      </c>
      <c r="E3" s="243">
        <v>0.21</v>
      </c>
      <c r="F3" s="243">
        <v>0.25</v>
      </c>
      <c r="G3" s="243">
        <v>0.33</v>
      </c>
      <c r="H3" s="243">
        <v>0.66</v>
      </c>
      <c r="I3" s="243">
        <v>2.4300000000000002</v>
      </c>
      <c r="J3" s="243">
        <v>4.18</v>
      </c>
      <c r="K3" s="243">
        <v>4.3899999999999997</v>
      </c>
      <c r="L3" s="243">
        <v>5.43</v>
      </c>
      <c r="M3" s="243">
        <v>5.85</v>
      </c>
      <c r="N3" s="243">
        <v>0</v>
      </c>
      <c r="O3" s="243">
        <v>0</v>
      </c>
      <c r="P3" s="243">
        <v>0</v>
      </c>
      <c r="Q3" s="243">
        <v>0</v>
      </c>
      <c r="R3" s="243">
        <v>0</v>
      </c>
      <c r="S3" s="243">
        <v>0</v>
      </c>
      <c r="T3" s="243">
        <v>0</v>
      </c>
      <c r="U3" s="243">
        <v>0</v>
      </c>
      <c r="V3" s="243">
        <v>0</v>
      </c>
      <c r="W3" s="243">
        <v>0</v>
      </c>
      <c r="X3" s="243">
        <v>0</v>
      </c>
      <c r="Y3" s="243">
        <v>0</v>
      </c>
      <c r="Z3" s="244">
        <v>0</v>
      </c>
      <c r="AA3" s="132">
        <v>0</v>
      </c>
      <c r="AC3" s="249">
        <v>1</v>
      </c>
      <c r="AD3" s="263">
        <f>IF(AD2=0,"  ",A2)</f>
        <v>0</v>
      </c>
      <c r="AE3" s="264">
        <f t="shared" ref="AE3:BC13" si="1">IF(OR(AE2="  ",AD3="  "),"  ",B2)</f>
        <v>0</v>
      </c>
      <c r="AF3" s="264">
        <f t="shared" si="1"/>
        <v>0</v>
      </c>
      <c r="AG3" s="264">
        <f t="shared" si="1"/>
        <v>0</v>
      </c>
      <c r="AH3" s="264">
        <f t="shared" si="1"/>
        <v>0</v>
      </c>
      <c r="AI3" s="264">
        <f t="shared" si="1"/>
        <v>0</v>
      </c>
      <c r="AJ3" s="264">
        <f t="shared" si="1"/>
        <v>0</v>
      </c>
      <c r="AK3" s="264">
        <f t="shared" si="1"/>
        <v>0</v>
      </c>
      <c r="AL3" s="264">
        <f t="shared" si="1"/>
        <v>0.9</v>
      </c>
      <c r="AM3" s="264">
        <f t="shared" si="1"/>
        <v>2.59</v>
      </c>
      <c r="AN3" s="264">
        <f t="shared" si="1"/>
        <v>2.82</v>
      </c>
      <c r="AO3" s="264">
        <f t="shared" si="1"/>
        <v>3.82</v>
      </c>
      <c r="AP3" s="264">
        <f t="shared" si="1"/>
        <v>4.24</v>
      </c>
      <c r="AQ3" s="264" t="str">
        <f t="shared" si="1"/>
        <v xml:space="preserve">  </v>
      </c>
      <c r="AR3" s="264" t="str">
        <f t="shared" si="1"/>
        <v xml:space="preserve">  </v>
      </c>
      <c r="AS3" s="264" t="str">
        <f t="shared" si="1"/>
        <v xml:space="preserve">  </v>
      </c>
      <c r="AT3" s="264" t="str">
        <f t="shared" si="1"/>
        <v xml:space="preserve">  </v>
      </c>
      <c r="AU3" s="264" t="str">
        <f t="shared" si="1"/>
        <v xml:space="preserve">  </v>
      </c>
      <c r="AV3" s="264" t="str">
        <f t="shared" si="1"/>
        <v xml:space="preserve">  </v>
      </c>
      <c r="AW3" s="264" t="str">
        <f t="shared" si="1"/>
        <v xml:space="preserve">  </v>
      </c>
      <c r="AX3" s="264" t="str">
        <f t="shared" si="1"/>
        <v xml:space="preserve">  </v>
      </c>
      <c r="AY3" s="264" t="str">
        <f t="shared" si="1"/>
        <v xml:space="preserve">  </v>
      </c>
      <c r="AZ3" s="264" t="str">
        <f t="shared" si="1"/>
        <v xml:space="preserve">  </v>
      </c>
      <c r="BA3" s="264" t="str">
        <f t="shared" si="1"/>
        <v xml:space="preserve">  </v>
      </c>
      <c r="BB3" s="264" t="str">
        <f t="shared" si="1"/>
        <v xml:space="preserve">  </v>
      </c>
      <c r="BC3" s="264" t="str">
        <f t="shared" si="1"/>
        <v xml:space="preserve">  </v>
      </c>
      <c r="BD3" s="132">
        <v>1</v>
      </c>
      <c r="BE3" s="255">
        <v>0</v>
      </c>
      <c r="BF3" s="258">
        <v>0</v>
      </c>
      <c r="BG3" s="258">
        <v>0.1</v>
      </c>
      <c r="BH3" s="258">
        <v>0.3</v>
      </c>
      <c r="BI3" s="258">
        <v>0.5</v>
      </c>
      <c r="BJ3" s="258">
        <v>0.9</v>
      </c>
      <c r="BK3" s="258">
        <v>1.9</v>
      </c>
      <c r="BL3" s="258">
        <v>3.8</v>
      </c>
      <c r="BM3" s="258">
        <v>5.9</v>
      </c>
      <c r="BN3" s="258">
        <v>7.9</v>
      </c>
      <c r="BO3" s="258">
        <v>9</v>
      </c>
      <c r="BP3" s="258">
        <v>9.5</v>
      </c>
      <c r="BQ3" s="258">
        <v>9.6999999999999993</v>
      </c>
      <c r="BR3" s="258">
        <v>9.6999999999999993</v>
      </c>
      <c r="BS3" s="258">
        <v>9.6999999999999993</v>
      </c>
      <c r="BT3" s="258">
        <v>9.6999999999999993</v>
      </c>
      <c r="BU3" s="258">
        <v>9.6999999999999993</v>
      </c>
      <c r="BV3" s="258">
        <v>9.5</v>
      </c>
      <c r="BW3" s="258">
        <v>8.9</v>
      </c>
      <c r="BX3" s="258">
        <v>7.6</v>
      </c>
      <c r="BY3" s="258">
        <v>5.6</v>
      </c>
      <c r="BZ3" s="258">
        <v>3.5</v>
      </c>
      <c r="CA3" s="258">
        <v>2.2999999999999998</v>
      </c>
      <c r="CB3" s="258">
        <v>1.3</v>
      </c>
      <c r="CC3" s="258">
        <v>0.4</v>
      </c>
      <c r="CD3" s="259">
        <v>0.1</v>
      </c>
    </row>
    <row r="4" spans="1:114" x14ac:dyDescent="0.25">
      <c r="A4" s="242">
        <v>1</v>
      </c>
      <c r="B4" s="243">
        <v>0.3</v>
      </c>
      <c r="C4" s="243">
        <v>0.5</v>
      </c>
      <c r="D4" s="243">
        <v>0.68</v>
      </c>
      <c r="E4" s="243">
        <v>0.83</v>
      </c>
      <c r="F4" s="243">
        <v>0.98</v>
      </c>
      <c r="G4" s="243">
        <v>1.44</v>
      </c>
      <c r="H4" s="243">
        <v>2.27</v>
      </c>
      <c r="I4" s="243">
        <v>4.01</v>
      </c>
      <c r="J4" s="243">
        <v>5.57</v>
      </c>
      <c r="K4" s="243">
        <v>5.78</v>
      </c>
      <c r="L4" s="243">
        <v>6.8</v>
      </c>
      <c r="M4" s="243">
        <v>7.27</v>
      </c>
      <c r="N4" s="243">
        <v>0</v>
      </c>
      <c r="O4" s="243">
        <v>0</v>
      </c>
      <c r="P4" s="243">
        <v>0</v>
      </c>
      <c r="Q4" s="243">
        <v>0</v>
      </c>
      <c r="R4" s="243">
        <v>0</v>
      </c>
      <c r="S4" s="243">
        <v>0</v>
      </c>
      <c r="T4" s="243">
        <v>0</v>
      </c>
      <c r="U4" s="243">
        <v>0</v>
      </c>
      <c r="V4" s="243">
        <v>0</v>
      </c>
      <c r="W4" s="243">
        <v>0</v>
      </c>
      <c r="X4" s="243">
        <v>0</v>
      </c>
      <c r="Y4" s="243">
        <v>0</v>
      </c>
      <c r="Z4" s="244">
        <v>0</v>
      </c>
      <c r="AA4" s="132">
        <v>0</v>
      </c>
      <c r="AC4" s="249">
        <v>2</v>
      </c>
      <c r="AD4" s="263">
        <f t="shared" ref="AD4:AD27" si="2">IF(A3=0,"  ",A3)</f>
        <v>0.5</v>
      </c>
      <c r="AE4" s="264">
        <f t="shared" si="1"/>
        <v>0.1</v>
      </c>
      <c r="AF4" s="264">
        <f t="shared" si="1"/>
        <v>0.2</v>
      </c>
      <c r="AG4" s="264">
        <f t="shared" si="1"/>
        <v>0.2</v>
      </c>
      <c r="AH4" s="264">
        <f t="shared" si="1"/>
        <v>0.21</v>
      </c>
      <c r="AI4" s="264">
        <f t="shared" si="1"/>
        <v>0.25</v>
      </c>
      <c r="AJ4" s="264">
        <f t="shared" si="1"/>
        <v>0.33</v>
      </c>
      <c r="AK4" s="264">
        <f t="shared" si="1"/>
        <v>0.66</v>
      </c>
      <c r="AL4" s="264">
        <f t="shared" si="1"/>
        <v>2.4300000000000002</v>
      </c>
      <c r="AM4" s="264">
        <f t="shared" si="1"/>
        <v>4.18</v>
      </c>
      <c r="AN4" s="264">
        <f t="shared" si="1"/>
        <v>4.3899999999999997</v>
      </c>
      <c r="AO4" s="264">
        <f t="shared" si="1"/>
        <v>5.43</v>
      </c>
      <c r="AP4" s="264">
        <f t="shared" si="1"/>
        <v>5.85</v>
      </c>
      <c r="AQ4" s="264" t="str">
        <f t="shared" si="1"/>
        <v xml:space="preserve">  </v>
      </c>
      <c r="AR4" s="264" t="str">
        <f t="shared" si="1"/>
        <v xml:space="preserve">  </v>
      </c>
      <c r="AS4" s="264" t="str">
        <f t="shared" si="1"/>
        <v xml:space="preserve">  </v>
      </c>
      <c r="AT4" s="264" t="str">
        <f t="shared" si="1"/>
        <v xml:space="preserve">  </v>
      </c>
      <c r="AU4" s="264" t="str">
        <f t="shared" si="1"/>
        <v xml:space="preserve">  </v>
      </c>
      <c r="AV4" s="264" t="str">
        <f t="shared" si="1"/>
        <v xml:space="preserve">  </v>
      </c>
      <c r="AW4" s="264" t="str">
        <f t="shared" si="1"/>
        <v xml:space="preserve">  </v>
      </c>
      <c r="AX4" s="264" t="str">
        <f t="shared" si="1"/>
        <v xml:space="preserve">  </v>
      </c>
      <c r="AY4" s="264" t="str">
        <f t="shared" si="1"/>
        <v xml:space="preserve">  </v>
      </c>
      <c r="AZ4" s="264" t="str">
        <f t="shared" si="1"/>
        <v xml:space="preserve">  </v>
      </c>
      <c r="BA4" s="264" t="str">
        <f t="shared" si="1"/>
        <v xml:space="preserve">  </v>
      </c>
      <c r="BB4" s="264" t="str">
        <f t="shared" si="1"/>
        <v xml:space="preserve">  </v>
      </c>
      <c r="BC4" s="264" t="str">
        <f t="shared" si="1"/>
        <v xml:space="preserve">  </v>
      </c>
      <c r="BD4" s="132">
        <v>2</v>
      </c>
      <c r="BE4" s="255">
        <v>0.25</v>
      </c>
      <c r="BF4" s="258">
        <v>0</v>
      </c>
      <c r="BG4" s="258">
        <v>0.2</v>
      </c>
      <c r="BH4" s="258">
        <v>0.5</v>
      </c>
      <c r="BI4" s="258">
        <v>0.99</v>
      </c>
      <c r="BJ4" s="258">
        <v>1.59</v>
      </c>
      <c r="BK4" s="258">
        <v>3.32</v>
      </c>
      <c r="BL4" s="258">
        <v>5.33</v>
      </c>
      <c r="BM4" s="258">
        <v>7.26</v>
      </c>
      <c r="BN4" s="258">
        <v>8.9</v>
      </c>
      <c r="BO4" s="258">
        <v>9.83</v>
      </c>
      <c r="BP4" s="258">
        <v>10.33</v>
      </c>
      <c r="BQ4" s="258">
        <v>10.45</v>
      </c>
      <c r="BR4" s="258">
        <v>10.45</v>
      </c>
      <c r="BS4" s="258">
        <v>10.45</v>
      </c>
      <c r="BT4" s="258">
        <v>10.45</v>
      </c>
      <c r="BU4" s="258">
        <v>10.45</v>
      </c>
      <c r="BV4" s="258">
        <v>10.32</v>
      </c>
      <c r="BW4" s="258">
        <v>9.76</v>
      </c>
      <c r="BX4" s="258">
        <v>8.64</v>
      </c>
      <c r="BY4" s="258">
        <v>6.89</v>
      </c>
      <c r="BZ4" s="258">
        <v>4.6500000000000004</v>
      </c>
      <c r="CA4" s="258">
        <v>3.43</v>
      </c>
      <c r="CB4" s="258">
        <v>2.2999999999999998</v>
      </c>
      <c r="CC4" s="258">
        <v>1.21</v>
      </c>
      <c r="CD4" s="259">
        <v>0.8</v>
      </c>
      <c r="CG4" s="265" t="str">
        <f>CK4</f>
        <v>STN/WL</v>
      </c>
      <c r="CH4" s="265">
        <f>CL4</f>
        <v>0</v>
      </c>
      <c r="CI4" s="265">
        <f>DEPTH/WLS</f>
        <v>6.5</v>
      </c>
      <c r="CJ4" s="265"/>
      <c r="CK4" s="266" t="str">
        <f t="shared" ref="CK4:CK19" si="3">A69</f>
        <v>STN/WL</v>
      </c>
      <c r="CL4" s="267">
        <f>IF(B69="  ",NA(),B69)</f>
        <v>0</v>
      </c>
      <c r="CM4" s="267">
        <f t="shared" ref="CM4:DJ4" si="4">IF(C69="  ",NA(),C69)</f>
        <v>0.25</v>
      </c>
      <c r="CN4" s="267">
        <f t="shared" si="4"/>
        <v>0.5</v>
      </c>
      <c r="CO4" s="267">
        <f t="shared" si="4"/>
        <v>0.75</v>
      </c>
      <c r="CP4" s="267">
        <f t="shared" si="4"/>
        <v>1</v>
      </c>
      <c r="CQ4" s="267">
        <f t="shared" si="4"/>
        <v>2</v>
      </c>
      <c r="CR4" s="267">
        <f t="shared" si="4"/>
        <v>3</v>
      </c>
      <c r="CS4" s="267">
        <f t="shared" si="4"/>
        <v>4</v>
      </c>
      <c r="CT4" s="267">
        <f t="shared" si="4"/>
        <v>4.8499999999999996</v>
      </c>
      <c r="CU4" s="267">
        <f t="shared" si="4"/>
        <v>5</v>
      </c>
      <c r="CV4" s="267">
        <f t="shared" si="4"/>
        <v>6</v>
      </c>
      <c r="CW4" s="267">
        <f t="shared" si="4"/>
        <v>6.5</v>
      </c>
      <c r="CX4" s="267" t="e">
        <f t="shared" si="4"/>
        <v>#N/A</v>
      </c>
      <c r="CY4" s="267" t="e">
        <f t="shared" si="4"/>
        <v>#N/A</v>
      </c>
      <c r="CZ4" s="267" t="e">
        <f t="shared" si="4"/>
        <v>#N/A</v>
      </c>
      <c r="DA4" s="267" t="e">
        <f t="shared" si="4"/>
        <v>#N/A</v>
      </c>
      <c r="DB4" s="267" t="e">
        <f t="shared" si="4"/>
        <v>#N/A</v>
      </c>
      <c r="DC4" s="267" t="e">
        <f t="shared" si="4"/>
        <v>#N/A</v>
      </c>
      <c r="DD4" s="267" t="e">
        <f t="shared" si="4"/>
        <v>#N/A</v>
      </c>
      <c r="DE4" s="267" t="e">
        <f t="shared" si="4"/>
        <v>#N/A</v>
      </c>
      <c r="DF4" s="267" t="e">
        <f t="shared" si="4"/>
        <v>#N/A</v>
      </c>
      <c r="DG4" s="267" t="e">
        <f t="shared" si="4"/>
        <v>#N/A</v>
      </c>
      <c r="DH4" s="267" t="e">
        <f t="shared" si="4"/>
        <v>#N/A</v>
      </c>
      <c r="DI4" s="267" t="e">
        <f t="shared" si="4"/>
        <v>#N/A</v>
      </c>
      <c r="DJ4" s="267" t="e">
        <f t="shared" si="4"/>
        <v>#N/A</v>
      </c>
    </row>
    <row r="5" spans="1:114" x14ac:dyDescent="0.25">
      <c r="A5" s="242">
        <v>1.5</v>
      </c>
      <c r="B5" s="243">
        <v>0.5</v>
      </c>
      <c r="C5" s="243">
        <v>0.99</v>
      </c>
      <c r="D5" s="243">
        <v>1.35</v>
      </c>
      <c r="E5" s="243">
        <v>1.65</v>
      </c>
      <c r="F5" s="243">
        <v>1.89</v>
      </c>
      <c r="G5" s="243">
        <v>2.81</v>
      </c>
      <c r="H5" s="243">
        <v>3.86</v>
      </c>
      <c r="I5" s="243">
        <v>5.5</v>
      </c>
      <c r="J5" s="243">
        <v>6.82</v>
      </c>
      <c r="K5" s="243">
        <v>7.01</v>
      </c>
      <c r="L5" s="243">
        <v>7.98</v>
      </c>
      <c r="M5" s="243">
        <v>8.42</v>
      </c>
      <c r="N5" s="243">
        <v>0</v>
      </c>
      <c r="O5" s="243">
        <v>0</v>
      </c>
      <c r="P5" s="243">
        <v>0</v>
      </c>
      <c r="Q5" s="243">
        <v>0</v>
      </c>
      <c r="R5" s="243">
        <v>0</v>
      </c>
      <c r="S5" s="243">
        <v>0</v>
      </c>
      <c r="T5" s="243">
        <v>0</v>
      </c>
      <c r="U5" s="243">
        <v>0</v>
      </c>
      <c r="V5" s="243">
        <v>0</v>
      </c>
      <c r="W5" s="243">
        <v>0</v>
      </c>
      <c r="X5" s="243">
        <v>0</v>
      </c>
      <c r="Y5" s="243">
        <v>0</v>
      </c>
      <c r="Z5" s="244">
        <v>0</v>
      </c>
      <c r="AA5" s="132">
        <v>0</v>
      </c>
      <c r="AC5" s="249">
        <v>3</v>
      </c>
      <c r="AD5" s="263">
        <f t="shared" si="2"/>
        <v>1</v>
      </c>
      <c r="AE5" s="264">
        <f t="shared" si="1"/>
        <v>0.3</v>
      </c>
      <c r="AF5" s="264">
        <f t="shared" si="1"/>
        <v>0.5</v>
      </c>
      <c r="AG5" s="264">
        <f t="shared" si="1"/>
        <v>0.68</v>
      </c>
      <c r="AH5" s="264">
        <f t="shared" si="1"/>
        <v>0.83</v>
      </c>
      <c r="AI5" s="264">
        <f t="shared" si="1"/>
        <v>0.98</v>
      </c>
      <c r="AJ5" s="264">
        <f t="shared" si="1"/>
        <v>1.44</v>
      </c>
      <c r="AK5" s="264">
        <f t="shared" si="1"/>
        <v>2.27</v>
      </c>
      <c r="AL5" s="264">
        <f t="shared" si="1"/>
        <v>4.01</v>
      </c>
      <c r="AM5" s="264">
        <f t="shared" si="1"/>
        <v>5.57</v>
      </c>
      <c r="AN5" s="264">
        <f t="shared" si="1"/>
        <v>5.78</v>
      </c>
      <c r="AO5" s="264">
        <f t="shared" si="1"/>
        <v>6.8</v>
      </c>
      <c r="AP5" s="264">
        <f t="shared" si="1"/>
        <v>7.27</v>
      </c>
      <c r="AQ5" s="264" t="str">
        <f t="shared" si="1"/>
        <v xml:space="preserve">  </v>
      </c>
      <c r="AR5" s="264" t="str">
        <f t="shared" si="1"/>
        <v xml:space="preserve">  </v>
      </c>
      <c r="AS5" s="264" t="str">
        <f t="shared" si="1"/>
        <v xml:space="preserve">  </v>
      </c>
      <c r="AT5" s="264" t="str">
        <f t="shared" si="1"/>
        <v xml:space="preserve">  </v>
      </c>
      <c r="AU5" s="264" t="str">
        <f t="shared" si="1"/>
        <v xml:space="preserve">  </v>
      </c>
      <c r="AV5" s="264" t="str">
        <f t="shared" si="1"/>
        <v xml:space="preserve">  </v>
      </c>
      <c r="AW5" s="264" t="str">
        <f t="shared" si="1"/>
        <v xml:space="preserve">  </v>
      </c>
      <c r="AX5" s="264" t="str">
        <f t="shared" si="1"/>
        <v xml:space="preserve">  </v>
      </c>
      <c r="AY5" s="264" t="str">
        <f t="shared" si="1"/>
        <v xml:space="preserve">  </v>
      </c>
      <c r="AZ5" s="264" t="str">
        <f t="shared" si="1"/>
        <v xml:space="preserve">  </v>
      </c>
      <c r="BA5" s="264" t="str">
        <f t="shared" si="1"/>
        <v xml:space="preserve">  </v>
      </c>
      <c r="BB5" s="264" t="str">
        <f t="shared" si="1"/>
        <v xml:space="preserve">  </v>
      </c>
      <c r="BC5" s="264" t="str">
        <f t="shared" si="1"/>
        <v xml:space="preserve">  </v>
      </c>
      <c r="BD5" s="132">
        <v>3</v>
      </c>
      <c r="BE5" s="255">
        <v>0.5</v>
      </c>
      <c r="BF5" s="258">
        <v>0</v>
      </c>
      <c r="BG5" s="258">
        <v>0.2</v>
      </c>
      <c r="BH5" s="258">
        <v>0.68</v>
      </c>
      <c r="BI5" s="258">
        <v>1.35</v>
      </c>
      <c r="BJ5" s="258">
        <v>2.14</v>
      </c>
      <c r="BK5" s="258">
        <v>4.17</v>
      </c>
      <c r="BL5" s="258">
        <v>6.26</v>
      </c>
      <c r="BM5" s="258">
        <v>8.1199999999999992</v>
      </c>
      <c r="BN5" s="258">
        <v>9.5</v>
      </c>
      <c r="BO5" s="258">
        <v>10.3</v>
      </c>
      <c r="BP5" s="258">
        <v>10.67</v>
      </c>
      <c r="BQ5" s="258">
        <v>10.75</v>
      </c>
      <c r="BR5" s="258">
        <v>10.75</v>
      </c>
      <c r="BS5" s="258">
        <v>10.75</v>
      </c>
      <c r="BT5" s="258">
        <v>10.75</v>
      </c>
      <c r="BU5" s="258">
        <v>10.75</v>
      </c>
      <c r="BV5" s="258">
        <v>10.66</v>
      </c>
      <c r="BW5" s="258">
        <v>10.199999999999999</v>
      </c>
      <c r="BX5" s="258">
        <v>9.27</v>
      </c>
      <c r="BY5" s="258">
        <v>7.56</v>
      </c>
      <c r="BZ5" s="258">
        <v>5.35</v>
      </c>
      <c r="CA5" s="258">
        <v>4.13</v>
      </c>
      <c r="CB5" s="258">
        <v>2.84</v>
      </c>
      <c r="CC5" s="258">
        <v>1.69</v>
      </c>
      <c r="CD5" s="259">
        <v>1.2</v>
      </c>
      <c r="CG5" s="265">
        <f t="shared" ref="CG5:CG29" si="5">A70</f>
        <v>0</v>
      </c>
      <c r="CH5" s="265">
        <f t="shared" ref="CH5:CI29" si="6">CG5</f>
        <v>0</v>
      </c>
      <c r="CI5" s="265">
        <f t="shared" si="6"/>
        <v>0</v>
      </c>
      <c r="CJ5" s="265"/>
      <c r="CK5" s="268">
        <f t="shared" si="3"/>
        <v>0</v>
      </c>
      <c r="CL5" s="269">
        <f t="shared" ref="CL5:CL29" si="7">$CK5+B70/$N$31/STN_GAP</f>
        <v>0</v>
      </c>
      <c r="CM5" s="269">
        <f t="shared" ref="CM5:CM29" si="8">$CK5+C70/$N$31/STN_GAP</f>
        <v>0</v>
      </c>
      <c r="CN5" s="269">
        <f t="shared" ref="CN5:CN29" si="9">$CK5+D70/$N$31/STN_GAP</f>
        <v>0</v>
      </c>
      <c r="CO5" s="269">
        <f t="shared" ref="CO5:CO29" si="10">$CK5+E70/$N$31/STN_GAP</f>
        <v>0</v>
      </c>
      <c r="CP5" s="269">
        <f t="shared" ref="CP5:CP29" si="11">$CK5+F70/$N$31/STN_GAP</f>
        <v>0</v>
      </c>
      <c r="CQ5" s="269">
        <f t="shared" ref="CQ5:CQ29" si="12">$CK5+G70/$N$31/STN_GAP</f>
        <v>0</v>
      </c>
      <c r="CR5" s="269">
        <f t="shared" ref="CR5:CR29" si="13">$CK5+H70/$N$31/STN_GAP</f>
        <v>0</v>
      </c>
      <c r="CS5" s="269">
        <f t="shared" ref="CS5:CS29" si="14">$CK5+I70/$N$31/STN_GAP</f>
        <v>2.4623803009575927E-3</v>
      </c>
      <c r="CT5" s="269">
        <f t="shared" ref="CT5:CT29" si="15">$CK5+J70/$N$31/STN_GAP</f>
        <v>1.869493844049247E-2</v>
      </c>
      <c r="CU5" s="269">
        <f t="shared" ref="CU5:CU29" si="16">$CK5+K70/$N$31/STN_GAP</f>
        <v>2.3657090743274056E-2</v>
      </c>
      <c r="CV5" s="269">
        <f t="shared" ref="CV5:CV29" si="17">$CK5+L70/$N$31/STN_GAP</f>
        <v>6.0829913360693107E-2</v>
      </c>
      <c r="CW5" s="269">
        <f t="shared" ref="CW5:CW29" si="18">$CK5+M70/$N$31/STN_GAP</f>
        <v>8.2881896944824424E-2</v>
      </c>
      <c r="CX5" s="269" t="e">
        <f t="shared" ref="CX5:CX29" si="19">$CK5+N70/$N$31/STN_GAP</f>
        <v>#VALUE!</v>
      </c>
      <c r="CY5" s="269" t="e">
        <f t="shared" ref="CY5:CY29" si="20">$CK5+O70/$N$31/STN_GAP</f>
        <v>#VALUE!</v>
      </c>
      <c r="CZ5" s="269" t="e">
        <f t="shared" ref="CZ5:CZ29" si="21">$CK5+P70/$N$31/STN_GAP</f>
        <v>#VALUE!</v>
      </c>
      <c r="DA5" s="269" t="e">
        <f t="shared" ref="DA5:DA29" si="22">$CK5+Q70/$N$31/STN_GAP</f>
        <v>#VALUE!</v>
      </c>
      <c r="DB5" s="269" t="e">
        <f t="shared" ref="DB5:DB29" si="23">$CK5+R70/$N$31/STN_GAP</f>
        <v>#VALUE!</v>
      </c>
      <c r="DC5" s="269" t="e">
        <f t="shared" ref="DC5:DC29" si="24">$CK5+S70/$N$31/STN_GAP</f>
        <v>#VALUE!</v>
      </c>
      <c r="DD5" s="269" t="e">
        <f t="shared" ref="DD5:DD29" si="25">$CK5+T70/$N$31/STN_GAP</f>
        <v>#VALUE!</v>
      </c>
      <c r="DE5" s="269" t="e">
        <f t="shared" ref="DE5:DE29" si="26">$CK5+U70/$N$31/STN_GAP</f>
        <v>#VALUE!</v>
      </c>
      <c r="DF5" s="269" t="e">
        <f t="shared" ref="DF5:DF29" si="27">$CK5+V70/$N$31/STN_GAP</f>
        <v>#VALUE!</v>
      </c>
      <c r="DG5" s="269" t="e">
        <f t="shared" ref="DG5:DG29" si="28">$CK5+W70/$N$31/STN_GAP</f>
        <v>#VALUE!</v>
      </c>
      <c r="DH5" s="269" t="e">
        <f t="shared" ref="DH5:DH29" si="29">$CK5+X70/$N$31/STN_GAP</f>
        <v>#VALUE!</v>
      </c>
      <c r="DI5" s="269" t="e">
        <f t="shared" ref="DI5:DI29" si="30">$CK5+Y70/$N$31/STN_GAP</f>
        <v>#VALUE!</v>
      </c>
      <c r="DJ5" s="269" t="e">
        <f t="shared" ref="DJ5:DJ29" si="31">$CK5+Z70/$N$31/STN_GAP</f>
        <v>#VALUE!</v>
      </c>
    </row>
    <row r="6" spans="1:114" x14ac:dyDescent="0.25">
      <c r="A6" s="242">
        <v>2</v>
      </c>
      <c r="B6" s="243">
        <v>0.9</v>
      </c>
      <c r="C6" s="243">
        <v>1.59</v>
      </c>
      <c r="D6" s="243">
        <v>2.14</v>
      </c>
      <c r="E6" s="243">
        <v>2.59</v>
      </c>
      <c r="F6" s="243">
        <v>2.93</v>
      </c>
      <c r="G6" s="243">
        <v>4.17</v>
      </c>
      <c r="H6" s="243">
        <v>5.28</v>
      </c>
      <c r="I6" s="243">
        <v>6.7</v>
      </c>
      <c r="J6" s="243">
        <v>7.89</v>
      </c>
      <c r="K6" s="243">
        <v>8.0399999999999991</v>
      </c>
      <c r="L6" s="243">
        <v>8.94</v>
      </c>
      <c r="M6" s="243">
        <v>9.3000000000000007</v>
      </c>
      <c r="N6" s="243">
        <v>0</v>
      </c>
      <c r="O6" s="243">
        <v>0</v>
      </c>
      <c r="P6" s="243">
        <v>0</v>
      </c>
      <c r="Q6" s="243">
        <v>0</v>
      </c>
      <c r="R6" s="243">
        <v>0</v>
      </c>
      <c r="S6" s="243">
        <v>0</v>
      </c>
      <c r="T6" s="243">
        <v>0</v>
      </c>
      <c r="U6" s="243">
        <v>0</v>
      </c>
      <c r="V6" s="243">
        <v>0</v>
      </c>
      <c r="W6" s="243">
        <v>0</v>
      </c>
      <c r="X6" s="243">
        <v>0</v>
      </c>
      <c r="Y6" s="243">
        <v>0</v>
      </c>
      <c r="Z6" s="244">
        <v>0</v>
      </c>
      <c r="AA6" s="132">
        <v>0</v>
      </c>
      <c r="AC6" s="249">
        <v>4</v>
      </c>
      <c r="AD6" s="263">
        <f t="shared" si="2"/>
        <v>1.5</v>
      </c>
      <c r="AE6" s="264">
        <f t="shared" si="1"/>
        <v>0.5</v>
      </c>
      <c r="AF6" s="264">
        <f t="shared" si="1"/>
        <v>0.99</v>
      </c>
      <c r="AG6" s="264">
        <f t="shared" si="1"/>
        <v>1.35</v>
      </c>
      <c r="AH6" s="264">
        <f t="shared" si="1"/>
        <v>1.65</v>
      </c>
      <c r="AI6" s="264">
        <f t="shared" si="1"/>
        <v>1.89</v>
      </c>
      <c r="AJ6" s="264">
        <f t="shared" si="1"/>
        <v>2.81</v>
      </c>
      <c r="AK6" s="264">
        <f t="shared" si="1"/>
        <v>3.86</v>
      </c>
      <c r="AL6" s="264">
        <f t="shared" si="1"/>
        <v>5.5</v>
      </c>
      <c r="AM6" s="264">
        <f t="shared" si="1"/>
        <v>6.82</v>
      </c>
      <c r="AN6" s="264">
        <f t="shared" si="1"/>
        <v>7.01</v>
      </c>
      <c r="AO6" s="264">
        <f t="shared" si="1"/>
        <v>7.98</v>
      </c>
      <c r="AP6" s="264">
        <f t="shared" si="1"/>
        <v>8.42</v>
      </c>
      <c r="AQ6" s="264" t="str">
        <f t="shared" si="1"/>
        <v xml:space="preserve">  </v>
      </c>
      <c r="AR6" s="264" t="str">
        <f t="shared" si="1"/>
        <v xml:space="preserve">  </v>
      </c>
      <c r="AS6" s="264" t="str">
        <f t="shared" si="1"/>
        <v xml:space="preserve">  </v>
      </c>
      <c r="AT6" s="264" t="str">
        <f t="shared" si="1"/>
        <v xml:space="preserve">  </v>
      </c>
      <c r="AU6" s="264" t="str">
        <f t="shared" si="1"/>
        <v xml:space="preserve">  </v>
      </c>
      <c r="AV6" s="264" t="str">
        <f t="shared" si="1"/>
        <v xml:space="preserve">  </v>
      </c>
      <c r="AW6" s="264" t="str">
        <f t="shared" si="1"/>
        <v xml:space="preserve">  </v>
      </c>
      <c r="AX6" s="264" t="str">
        <f t="shared" si="1"/>
        <v xml:space="preserve">  </v>
      </c>
      <c r="AY6" s="264" t="str">
        <f t="shared" si="1"/>
        <v xml:space="preserve">  </v>
      </c>
      <c r="AZ6" s="264" t="str">
        <f t="shared" si="1"/>
        <v xml:space="preserve">  </v>
      </c>
      <c r="BA6" s="264" t="str">
        <f t="shared" si="1"/>
        <v xml:space="preserve">  </v>
      </c>
      <c r="BB6" s="264" t="str">
        <f t="shared" si="1"/>
        <v xml:space="preserve">  </v>
      </c>
      <c r="BC6" s="264" t="str">
        <f t="shared" si="1"/>
        <v xml:space="preserve">  </v>
      </c>
      <c r="BD6" s="132">
        <v>4</v>
      </c>
      <c r="BE6" s="255">
        <v>0.75</v>
      </c>
      <c r="BF6" s="258">
        <v>0</v>
      </c>
      <c r="BG6" s="258">
        <v>0.21</v>
      </c>
      <c r="BH6" s="258">
        <v>0.83</v>
      </c>
      <c r="BI6" s="258">
        <v>1.65</v>
      </c>
      <c r="BJ6" s="258">
        <v>2.59</v>
      </c>
      <c r="BK6" s="258">
        <v>4.72</v>
      </c>
      <c r="BL6" s="258">
        <v>6.83</v>
      </c>
      <c r="BM6" s="258">
        <v>8.6999999999999993</v>
      </c>
      <c r="BN6" s="258">
        <v>9.94</v>
      </c>
      <c r="BO6" s="258">
        <v>10.6</v>
      </c>
      <c r="BP6" s="258">
        <v>10.9</v>
      </c>
      <c r="BQ6" s="258">
        <v>10.93</v>
      </c>
      <c r="BR6" s="258">
        <v>10.93</v>
      </c>
      <c r="BS6" s="258">
        <v>10.93</v>
      </c>
      <c r="BT6" s="258">
        <v>10.93</v>
      </c>
      <c r="BU6" s="258">
        <v>10.93</v>
      </c>
      <c r="BV6" s="258">
        <v>10.87</v>
      </c>
      <c r="BW6" s="258">
        <v>10.5</v>
      </c>
      <c r="BX6" s="258">
        <v>9.66</v>
      </c>
      <c r="BY6" s="258">
        <v>8.0399999999999991</v>
      </c>
      <c r="BZ6" s="258">
        <v>5.87</v>
      </c>
      <c r="CA6" s="258">
        <v>4.58</v>
      </c>
      <c r="CB6" s="258">
        <v>3.25</v>
      </c>
      <c r="CC6" s="258">
        <v>2.02</v>
      </c>
      <c r="CD6" s="259">
        <v>1.43</v>
      </c>
      <c r="CG6" s="265">
        <f t="shared" si="5"/>
        <v>0.5</v>
      </c>
      <c r="CH6" s="265">
        <f t="shared" si="6"/>
        <v>0.5</v>
      </c>
      <c r="CI6" s="265">
        <f t="shared" si="6"/>
        <v>0.5</v>
      </c>
      <c r="CJ6" s="265"/>
      <c r="CK6" s="268">
        <f t="shared" si="3"/>
        <v>0.5</v>
      </c>
      <c r="CL6" s="269">
        <f t="shared" si="7"/>
        <v>0.5</v>
      </c>
      <c r="CM6" s="269">
        <f t="shared" si="8"/>
        <v>0.50043319653442775</v>
      </c>
      <c r="CN6" s="269">
        <f t="shared" si="9"/>
        <v>0.50100319197446419</v>
      </c>
      <c r="CO6" s="269">
        <f t="shared" si="10"/>
        <v>0.5015367077063384</v>
      </c>
      <c r="CP6" s="269">
        <f t="shared" si="11"/>
        <v>0.50217966256269952</v>
      </c>
      <c r="CQ6" s="269">
        <f t="shared" si="12"/>
        <v>0.50512539899680797</v>
      </c>
      <c r="CR6" s="269">
        <f t="shared" si="13"/>
        <v>0.51031463748290018</v>
      </c>
      <c r="CS6" s="269">
        <f t="shared" si="14"/>
        <v>0.52482444140446882</v>
      </c>
      <c r="CT6" s="269">
        <f t="shared" si="15"/>
        <v>0.55556862745098035</v>
      </c>
      <c r="CU6" s="269">
        <f t="shared" si="16"/>
        <v>0.56419516643866852</v>
      </c>
      <c r="CV6" s="269">
        <f t="shared" si="17"/>
        <v>0.61755585955312364</v>
      </c>
      <c r="CW6" s="269">
        <f t="shared" si="18"/>
        <v>0.64841769265845872</v>
      </c>
      <c r="CX6" s="269" t="e">
        <f t="shared" si="19"/>
        <v>#VALUE!</v>
      </c>
      <c r="CY6" s="269" t="e">
        <f t="shared" si="20"/>
        <v>#VALUE!</v>
      </c>
      <c r="CZ6" s="269" t="e">
        <f t="shared" si="21"/>
        <v>#VALUE!</v>
      </c>
      <c r="DA6" s="269" t="e">
        <f t="shared" si="22"/>
        <v>#VALUE!</v>
      </c>
      <c r="DB6" s="269" t="e">
        <f t="shared" si="23"/>
        <v>#VALUE!</v>
      </c>
      <c r="DC6" s="269" t="e">
        <f t="shared" si="24"/>
        <v>#VALUE!</v>
      </c>
      <c r="DD6" s="269" t="e">
        <f t="shared" si="25"/>
        <v>#VALUE!</v>
      </c>
      <c r="DE6" s="269" t="e">
        <f t="shared" si="26"/>
        <v>#VALUE!</v>
      </c>
      <c r="DF6" s="269" t="e">
        <f t="shared" si="27"/>
        <v>#VALUE!</v>
      </c>
      <c r="DG6" s="269" t="e">
        <f t="shared" si="28"/>
        <v>#VALUE!</v>
      </c>
      <c r="DH6" s="269" t="e">
        <f t="shared" si="29"/>
        <v>#VALUE!</v>
      </c>
      <c r="DI6" s="269" t="e">
        <f t="shared" si="30"/>
        <v>#VALUE!</v>
      </c>
      <c r="DJ6" s="269" t="e">
        <f t="shared" si="31"/>
        <v>#VALUE!</v>
      </c>
    </row>
    <row r="7" spans="1:114" x14ac:dyDescent="0.25">
      <c r="A7" s="242">
        <v>3</v>
      </c>
      <c r="B7" s="243">
        <v>1.9</v>
      </c>
      <c r="C7" s="243">
        <v>3.32</v>
      </c>
      <c r="D7" s="243">
        <v>4.17</v>
      </c>
      <c r="E7" s="243">
        <v>4.72</v>
      </c>
      <c r="F7" s="243">
        <v>5.15</v>
      </c>
      <c r="G7" s="243">
        <v>6.67</v>
      </c>
      <c r="H7" s="243">
        <v>7.76</v>
      </c>
      <c r="I7" s="243">
        <v>8.65</v>
      </c>
      <c r="J7" s="243">
        <v>9.43</v>
      </c>
      <c r="K7" s="243">
        <v>9.5399999999999991</v>
      </c>
      <c r="L7" s="243">
        <v>10.1</v>
      </c>
      <c r="M7" s="243">
        <v>10.44</v>
      </c>
      <c r="N7" s="243">
        <v>0</v>
      </c>
      <c r="O7" s="243">
        <v>0</v>
      </c>
      <c r="P7" s="243">
        <v>0</v>
      </c>
      <c r="Q7" s="243">
        <v>0</v>
      </c>
      <c r="R7" s="243">
        <v>0</v>
      </c>
      <c r="S7" s="243">
        <v>0</v>
      </c>
      <c r="T7" s="243">
        <v>0</v>
      </c>
      <c r="U7" s="243">
        <v>0</v>
      </c>
      <c r="V7" s="243">
        <v>0</v>
      </c>
      <c r="W7" s="243">
        <v>0</v>
      </c>
      <c r="X7" s="243">
        <v>0</v>
      </c>
      <c r="Y7" s="243">
        <v>0</v>
      </c>
      <c r="Z7" s="244">
        <v>0</v>
      </c>
      <c r="AA7" s="132">
        <v>0</v>
      </c>
      <c r="AC7" s="249">
        <v>5</v>
      </c>
      <c r="AD7" s="263">
        <f t="shared" si="2"/>
        <v>2</v>
      </c>
      <c r="AE7" s="264">
        <f t="shared" si="1"/>
        <v>0.9</v>
      </c>
      <c r="AF7" s="264">
        <f t="shared" si="1"/>
        <v>1.59</v>
      </c>
      <c r="AG7" s="264">
        <f t="shared" si="1"/>
        <v>2.14</v>
      </c>
      <c r="AH7" s="264">
        <f t="shared" si="1"/>
        <v>2.59</v>
      </c>
      <c r="AI7" s="264">
        <f t="shared" si="1"/>
        <v>2.93</v>
      </c>
      <c r="AJ7" s="264">
        <f t="shared" si="1"/>
        <v>4.17</v>
      </c>
      <c r="AK7" s="264">
        <f t="shared" si="1"/>
        <v>5.28</v>
      </c>
      <c r="AL7" s="264">
        <f t="shared" si="1"/>
        <v>6.7</v>
      </c>
      <c r="AM7" s="264">
        <f t="shared" si="1"/>
        <v>7.89</v>
      </c>
      <c r="AN7" s="264">
        <f t="shared" si="1"/>
        <v>8.0399999999999991</v>
      </c>
      <c r="AO7" s="264">
        <f t="shared" si="1"/>
        <v>8.94</v>
      </c>
      <c r="AP7" s="264">
        <f t="shared" si="1"/>
        <v>9.3000000000000007</v>
      </c>
      <c r="AQ7" s="264" t="str">
        <f t="shared" si="1"/>
        <v xml:space="preserve">  </v>
      </c>
      <c r="AR7" s="264" t="str">
        <f t="shared" si="1"/>
        <v xml:space="preserve">  </v>
      </c>
      <c r="AS7" s="264" t="str">
        <f t="shared" si="1"/>
        <v xml:space="preserve">  </v>
      </c>
      <c r="AT7" s="264" t="str">
        <f t="shared" si="1"/>
        <v xml:space="preserve">  </v>
      </c>
      <c r="AU7" s="264" t="str">
        <f t="shared" si="1"/>
        <v xml:space="preserve">  </v>
      </c>
      <c r="AV7" s="264" t="str">
        <f t="shared" si="1"/>
        <v xml:space="preserve">  </v>
      </c>
      <c r="AW7" s="264" t="str">
        <f t="shared" si="1"/>
        <v xml:space="preserve">  </v>
      </c>
      <c r="AX7" s="264" t="str">
        <f t="shared" si="1"/>
        <v xml:space="preserve">  </v>
      </c>
      <c r="AY7" s="264" t="str">
        <f t="shared" si="1"/>
        <v xml:space="preserve">  </v>
      </c>
      <c r="AZ7" s="264" t="str">
        <f t="shared" si="1"/>
        <v xml:space="preserve">  </v>
      </c>
      <c r="BA7" s="264" t="str">
        <f t="shared" si="1"/>
        <v xml:space="preserve">  </v>
      </c>
      <c r="BB7" s="264" t="str">
        <f t="shared" si="1"/>
        <v xml:space="preserve">  </v>
      </c>
      <c r="BC7" s="264" t="str">
        <f t="shared" si="1"/>
        <v xml:space="preserve">  </v>
      </c>
      <c r="BD7" s="132">
        <v>5</v>
      </c>
      <c r="BE7" s="255">
        <v>1</v>
      </c>
      <c r="BF7" s="258">
        <v>0</v>
      </c>
      <c r="BG7" s="258">
        <v>0.25</v>
      </c>
      <c r="BH7" s="258">
        <v>0.98</v>
      </c>
      <c r="BI7" s="258">
        <v>1.89</v>
      </c>
      <c r="BJ7" s="258">
        <v>2.93</v>
      </c>
      <c r="BK7" s="258">
        <v>5.15</v>
      </c>
      <c r="BL7" s="258">
        <v>7.29</v>
      </c>
      <c r="BM7" s="258">
        <v>9.07</v>
      </c>
      <c r="BN7" s="258">
        <v>10.199999999999999</v>
      </c>
      <c r="BO7" s="258">
        <v>10.8</v>
      </c>
      <c r="BP7" s="258">
        <v>11</v>
      </c>
      <c r="BQ7" s="258">
        <v>11</v>
      </c>
      <c r="BR7" s="258">
        <v>11</v>
      </c>
      <c r="BS7" s="258">
        <v>11</v>
      </c>
      <c r="BT7" s="258">
        <v>11</v>
      </c>
      <c r="BU7" s="258">
        <v>11</v>
      </c>
      <c r="BV7" s="258">
        <v>11</v>
      </c>
      <c r="BW7" s="258">
        <v>10.7</v>
      </c>
      <c r="BX7" s="258">
        <v>9.91</v>
      </c>
      <c r="BY7" s="258">
        <v>8.42</v>
      </c>
      <c r="BZ7" s="258">
        <v>6.21</v>
      </c>
      <c r="CA7" s="258">
        <v>4.91</v>
      </c>
      <c r="CB7" s="258">
        <v>3.53</v>
      </c>
      <c r="CC7" s="258">
        <v>2.29</v>
      </c>
      <c r="CD7" s="259">
        <v>1.53</v>
      </c>
      <c r="CG7" s="265">
        <f t="shared" si="5"/>
        <v>1</v>
      </c>
      <c r="CH7" s="265">
        <f t="shared" si="6"/>
        <v>1</v>
      </c>
      <c r="CI7" s="265">
        <f t="shared" si="6"/>
        <v>1</v>
      </c>
      <c r="CJ7" s="265"/>
      <c r="CK7" s="268">
        <f t="shared" si="3"/>
        <v>1</v>
      </c>
      <c r="CL7" s="269">
        <f t="shared" si="7"/>
        <v>1</v>
      </c>
      <c r="CM7" s="269">
        <f t="shared" si="8"/>
        <v>1.0010989512083903</v>
      </c>
      <c r="CN7" s="269">
        <f t="shared" si="9"/>
        <v>1.0027177382580938</v>
      </c>
      <c r="CO7" s="269">
        <f t="shared" si="10"/>
        <v>1.0047925216598268</v>
      </c>
      <c r="CP7" s="269">
        <f t="shared" si="11"/>
        <v>1.0072594619243047</v>
      </c>
      <c r="CQ7" s="269">
        <f t="shared" si="12"/>
        <v>1.0201641586867305</v>
      </c>
      <c r="CR7" s="269">
        <f t="shared" si="13"/>
        <v>1.0401276789785681</v>
      </c>
      <c r="CS7" s="269">
        <f t="shared" si="14"/>
        <v>1.0731691746466028</v>
      </c>
      <c r="CT7" s="269">
        <f t="shared" si="15"/>
        <v>1.1177273141814865</v>
      </c>
      <c r="CU7" s="269">
        <f t="shared" si="16"/>
        <v>1.1280072959416325</v>
      </c>
      <c r="CV7" s="269">
        <f t="shared" si="17"/>
        <v>1.1969448244414045</v>
      </c>
      <c r="CW7" s="269">
        <f t="shared" si="18"/>
        <v>1.2354400364797082</v>
      </c>
      <c r="CX7" s="269" t="e">
        <f t="shared" si="19"/>
        <v>#VALUE!</v>
      </c>
      <c r="CY7" s="269" t="e">
        <f t="shared" si="20"/>
        <v>#VALUE!</v>
      </c>
      <c r="CZ7" s="269" t="e">
        <f t="shared" si="21"/>
        <v>#VALUE!</v>
      </c>
      <c r="DA7" s="269" t="e">
        <f t="shared" si="22"/>
        <v>#VALUE!</v>
      </c>
      <c r="DB7" s="269" t="e">
        <f t="shared" si="23"/>
        <v>#VALUE!</v>
      </c>
      <c r="DC7" s="269" t="e">
        <f t="shared" si="24"/>
        <v>#VALUE!</v>
      </c>
      <c r="DD7" s="269" t="e">
        <f t="shared" si="25"/>
        <v>#VALUE!</v>
      </c>
      <c r="DE7" s="269" t="e">
        <f t="shared" si="26"/>
        <v>#VALUE!</v>
      </c>
      <c r="DF7" s="269" t="e">
        <f t="shared" si="27"/>
        <v>#VALUE!</v>
      </c>
      <c r="DG7" s="269" t="e">
        <f t="shared" si="28"/>
        <v>#VALUE!</v>
      </c>
      <c r="DH7" s="269" t="e">
        <f t="shared" si="29"/>
        <v>#VALUE!</v>
      </c>
      <c r="DI7" s="269" t="e">
        <f t="shared" si="30"/>
        <v>#VALUE!</v>
      </c>
      <c r="DJ7" s="269" t="e">
        <f t="shared" si="31"/>
        <v>#VALUE!</v>
      </c>
    </row>
    <row r="8" spans="1:114" x14ac:dyDescent="0.25">
      <c r="A8" s="242">
        <v>4</v>
      </c>
      <c r="B8" s="243">
        <v>3.8</v>
      </c>
      <c r="C8" s="243">
        <v>5.33</v>
      </c>
      <c r="D8" s="243">
        <v>6.26</v>
      </c>
      <c r="E8" s="243">
        <v>6.83</v>
      </c>
      <c r="F8" s="243">
        <v>7.29</v>
      </c>
      <c r="G8" s="243">
        <v>8.61</v>
      </c>
      <c r="H8" s="243">
        <v>9.4499999999999993</v>
      </c>
      <c r="I8" s="243">
        <v>10.1</v>
      </c>
      <c r="J8" s="243">
        <v>10.45</v>
      </c>
      <c r="K8" s="243">
        <v>10.5</v>
      </c>
      <c r="L8" s="243">
        <v>10.8</v>
      </c>
      <c r="M8" s="243">
        <v>10.87</v>
      </c>
      <c r="N8" s="243">
        <v>0</v>
      </c>
      <c r="O8" s="243">
        <v>0</v>
      </c>
      <c r="P8" s="243">
        <v>0</v>
      </c>
      <c r="Q8" s="243">
        <v>0</v>
      </c>
      <c r="R8" s="243">
        <v>0</v>
      </c>
      <c r="S8" s="243">
        <v>0</v>
      </c>
      <c r="T8" s="243">
        <v>0</v>
      </c>
      <c r="U8" s="243">
        <v>0</v>
      </c>
      <c r="V8" s="243">
        <v>0</v>
      </c>
      <c r="W8" s="243">
        <v>0</v>
      </c>
      <c r="X8" s="243">
        <v>0</v>
      </c>
      <c r="Y8" s="243">
        <v>0</v>
      </c>
      <c r="Z8" s="244">
        <v>0</v>
      </c>
      <c r="AA8" s="132">
        <v>0</v>
      </c>
      <c r="AC8" s="249">
        <v>6</v>
      </c>
      <c r="AD8" s="263">
        <f t="shared" si="2"/>
        <v>3</v>
      </c>
      <c r="AE8" s="264">
        <f t="shared" si="1"/>
        <v>1.9</v>
      </c>
      <c r="AF8" s="264">
        <f t="shared" si="1"/>
        <v>3.32</v>
      </c>
      <c r="AG8" s="264">
        <f t="shared" si="1"/>
        <v>4.17</v>
      </c>
      <c r="AH8" s="264">
        <f t="shared" si="1"/>
        <v>4.72</v>
      </c>
      <c r="AI8" s="264">
        <f t="shared" si="1"/>
        <v>5.15</v>
      </c>
      <c r="AJ8" s="264">
        <f t="shared" si="1"/>
        <v>6.67</v>
      </c>
      <c r="AK8" s="264">
        <f t="shared" si="1"/>
        <v>7.76</v>
      </c>
      <c r="AL8" s="264">
        <f t="shared" si="1"/>
        <v>8.65</v>
      </c>
      <c r="AM8" s="264">
        <f t="shared" si="1"/>
        <v>9.43</v>
      </c>
      <c r="AN8" s="264">
        <f t="shared" si="1"/>
        <v>9.5399999999999991</v>
      </c>
      <c r="AO8" s="264">
        <f t="shared" si="1"/>
        <v>10.1</v>
      </c>
      <c r="AP8" s="264">
        <f t="shared" si="1"/>
        <v>10.44</v>
      </c>
      <c r="AQ8" s="264" t="str">
        <f t="shared" si="1"/>
        <v xml:space="preserve">  </v>
      </c>
      <c r="AR8" s="264" t="str">
        <f t="shared" si="1"/>
        <v xml:space="preserve">  </v>
      </c>
      <c r="AS8" s="264" t="str">
        <f t="shared" si="1"/>
        <v xml:space="preserve">  </v>
      </c>
      <c r="AT8" s="264" t="str">
        <f t="shared" si="1"/>
        <v xml:space="preserve">  </v>
      </c>
      <c r="AU8" s="264" t="str">
        <f t="shared" si="1"/>
        <v xml:space="preserve">  </v>
      </c>
      <c r="AV8" s="264" t="str">
        <f t="shared" si="1"/>
        <v xml:space="preserve">  </v>
      </c>
      <c r="AW8" s="264" t="str">
        <f t="shared" si="1"/>
        <v xml:space="preserve">  </v>
      </c>
      <c r="AX8" s="264" t="str">
        <f t="shared" si="1"/>
        <v xml:space="preserve">  </v>
      </c>
      <c r="AY8" s="264" t="str">
        <f t="shared" si="1"/>
        <v xml:space="preserve">  </v>
      </c>
      <c r="AZ8" s="264" t="str">
        <f t="shared" si="1"/>
        <v xml:space="preserve">  </v>
      </c>
      <c r="BA8" s="264" t="str">
        <f t="shared" si="1"/>
        <v xml:space="preserve">  </v>
      </c>
      <c r="BB8" s="264" t="str">
        <f t="shared" si="1"/>
        <v xml:space="preserve">  </v>
      </c>
      <c r="BC8" s="264" t="str">
        <f t="shared" si="1"/>
        <v xml:space="preserve">  </v>
      </c>
      <c r="BD8" s="132">
        <v>6</v>
      </c>
      <c r="BE8" s="255">
        <v>2</v>
      </c>
      <c r="BF8" s="258">
        <v>0</v>
      </c>
      <c r="BG8" s="258">
        <v>0.33</v>
      </c>
      <c r="BH8" s="258">
        <v>1.44</v>
      </c>
      <c r="BI8" s="258">
        <v>2.81</v>
      </c>
      <c r="BJ8" s="258">
        <v>4.17</v>
      </c>
      <c r="BK8" s="258">
        <v>6.67</v>
      </c>
      <c r="BL8" s="258">
        <v>8.61</v>
      </c>
      <c r="BM8" s="258">
        <v>9.9499999999999993</v>
      </c>
      <c r="BN8" s="258">
        <v>10.8</v>
      </c>
      <c r="BO8" s="258">
        <v>11</v>
      </c>
      <c r="BP8" s="258">
        <v>11</v>
      </c>
      <c r="BQ8" s="258">
        <v>11</v>
      </c>
      <c r="BR8" s="258">
        <v>11</v>
      </c>
      <c r="BS8" s="258">
        <v>11</v>
      </c>
      <c r="BT8" s="258">
        <v>11</v>
      </c>
      <c r="BU8" s="258">
        <v>11</v>
      </c>
      <c r="BV8" s="258">
        <v>11</v>
      </c>
      <c r="BW8" s="258">
        <v>11</v>
      </c>
      <c r="BX8" s="258">
        <v>10.5</v>
      </c>
      <c r="BY8" s="258">
        <v>9.32</v>
      </c>
      <c r="BZ8" s="258">
        <v>7.08</v>
      </c>
      <c r="CA8" s="258">
        <v>5.63</v>
      </c>
      <c r="CB8" s="258">
        <v>4.1100000000000003</v>
      </c>
      <c r="CC8" s="258">
        <v>2.63</v>
      </c>
      <c r="CD8" s="259">
        <v>1.1200000000000001</v>
      </c>
      <c r="CG8" s="265">
        <f t="shared" si="5"/>
        <v>1.5</v>
      </c>
      <c r="CH8" s="265">
        <f t="shared" si="6"/>
        <v>1.5</v>
      </c>
      <c r="CI8" s="265">
        <f t="shared" si="6"/>
        <v>1.5</v>
      </c>
      <c r="CJ8" s="265"/>
      <c r="CK8" s="268">
        <f t="shared" si="3"/>
        <v>1.5</v>
      </c>
      <c r="CL8" s="269">
        <f t="shared" si="7"/>
        <v>1.5</v>
      </c>
      <c r="CM8" s="269">
        <f t="shared" si="8"/>
        <v>1.5020679434564523</v>
      </c>
      <c r="CN8" s="269">
        <f t="shared" si="9"/>
        <v>1.505298677610579</v>
      </c>
      <c r="CO8" s="269">
        <f t="shared" si="10"/>
        <v>1.5094003647970817</v>
      </c>
      <c r="CP8" s="269">
        <f t="shared" si="11"/>
        <v>1.5142726858185134</v>
      </c>
      <c r="CQ8" s="269">
        <f t="shared" si="12"/>
        <v>1.5398723210214318</v>
      </c>
      <c r="CR8" s="269">
        <f t="shared" si="13"/>
        <v>1.57625170998632</v>
      </c>
      <c r="CS8" s="269">
        <f t="shared" si="14"/>
        <v>1.6265116279069767</v>
      </c>
      <c r="CT8" s="269">
        <f t="shared" si="15"/>
        <v>1.683813953488372</v>
      </c>
      <c r="CU8" s="269">
        <f t="shared" si="16"/>
        <v>1.6961605107159143</v>
      </c>
      <c r="CV8" s="269">
        <f t="shared" si="17"/>
        <v>1.7779753761969905</v>
      </c>
      <c r="CW8" s="269">
        <f t="shared" si="18"/>
        <v>1.8228454172366622</v>
      </c>
      <c r="CX8" s="269" t="e">
        <f t="shared" si="19"/>
        <v>#VALUE!</v>
      </c>
      <c r="CY8" s="269" t="e">
        <f t="shared" si="20"/>
        <v>#VALUE!</v>
      </c>
      <c r="CZ8" s="269" t="e">
        <f t="shared" si="21"/>
        <v>#VALUE!</v>
      </c>
      <c r="DA8" s="269" t="e">
        <f t="shared" si="22"/>
        <v>#VALUE!</v>
      </c>
      <c r="DB8" s="269" t="e">
        <f t="shared" si="23"/>
        <v>#VALUE!</v>
      </c>
      <c r="DC8" s="269" t="e">
        <f t="shared" si="24"/>
        <v>#VALUE!</v>
      </c>
      <c r="DD8" s="269" t="e">
        <f t="shared" si="25"/>
        <v>#VALUE!</v>
      </c>
      <c r="DE8" s="269" t="e">
        <f t="shared" si="26"/>
        <v>#VALUE!</v>
      </c>
      <c r="DF8" s="269" t="e">
        <f t="shared" si="27"/>
        <v>#VALUE!</v>
      </c>
      <c r="DG8" s="269" t="e">
        <f t="shared" si="28"/>
        <v>#VALUE!</v>
      </c>
      <c r="DH8" s="269" t="e">
        <f t="shared" si="29"/>
        <v>#VALUE!</v>
      </c>
      <c r="DI8" s="269" t="e">
        <f t="shared" si="30"/>
        <v>#VALUE!</v>
      </c>
      <c r="DJ8" s="269" t="e">
        <f t="shared" si="31"/>
        <v>#VALUE!</v>
      </c>
    </row>
    <row r="9" spans="1:114" x14ac:dyDescent="0.25">
      <c r="A9" s="242">
        <v>5</v>
      </c>
      <c r="B9" s="243">
        <v>5.9</v>
      </c>
      <c r="C9" s="243">
        <v>7.26</v>
      </c>
      <c r="D9" s="243">
        <v>8.1199999999999992</v>
      </c>
      <c r="E9" s="243">
        <v>8.6999999999999993</v>
      </c>
      <c r="F9" s="243">
        <v>9.07</v>
      </c>
      <c r="G9" s="243">
        <v>9.9499999999999993</v>
      </c>
      <c r="H9" s="243">
        <v>10.3</v>
      </c>
      <c r="I9" s="243">
        <v>10.58</v>
      </c>
      <c r="J9" s="243">
        <v>10.72</v>
      </c>
      <c r="K9" s="243">
        <v>10.74</v>
      </c>
      <c r="L9" s="243">
        <v>10.9</v>
      </c>
      <c r="M9" s="243">
        <v>11</v>
      </c>
      <c r="N9" s="243">
        <v>0</v>
      </c>
      <c r="O9" s="243">
        <v>0</v>
      </c>
      <c r="P9" s="243">
        <v>0</v>
      </c>
      <c r="Q9" s="243">
        <v>0</v>
      </c>
      <c r="R9" s="243">
        <v>0</v>
      </c>
      <c r="S9" s="243">
        <v>0</v>
      </c>
      <c r="T9" s="243">
        <v>0</v>
      </c>
      <c r="U9" s="243">
        <v>0</v>
      </c>
      <c r="V9" s="243">
        <v>0</v>
      </c>
      <c r="W9" s="243">
        <v>0</v>
      </c>
      <c r="X9" s="243">
        <v>0</v>
      </c>
      <c r="Y9" s="243">
        <v>0</v>
      </c>
      <c r="Z9" s="244">
        <v>0</v>
      </c>
      <c r="AA9" s="132">
        <v>0</v>
      </c>
      <c r="AC9" s="249">
        <v>7</v>
      </c>
      <c r="AD9" s="263">
        <f t="shared" si="2"/>
        <v>4</v>
      </c>
      <c r="AE9" s="264">
        <f t="shared" si="1"/>
        <v>3.8</v>
      </c>
      <c r="AF9" s="264">
        <f t="shared" si="1"/>
        <v>5.33</v>
      </c>
      <c r="AG9" s="264">
        <f t="shared" si="1"/>
        <v>6.26</v>
      </c>
      <c r="AH9" s="264">
        <f t="shared" si="1"/>
        <v>6.83</v>
      </c>
      <c r="AI9" s="264">
        <f t="shared" si="1"/>
        <v>7.29</v>
      </c>
      <c r="AJ9" s="264">
        <f t="shared" si="1"/>
        <v>8.61</v>
      </c>
      <c r="AK9" s="264">
        <f t="shared" si="1"/>
        <v>9.4499999999999993</v>
      </c>
      <c r="AL9" s="264">
        <f t="shared" si="1"/>
        <v>10.1</v>
      </c>
      <c r="AM9" s="264">
        <f t="shared" si="1"/>
        <v>10.45</v>
      </c>
      <c r="AN9" s="264">
        <f t="shared" si="1"/>
        <v>10.5</v>
      </c>
      <c r="AO9" s="264">
        <f t="shared" si="1"/>
        <v>10.8</v>
      </c>
      <c r="AP9" s="264">
        <f t="shared" si="1"/>
        <v>10.87</v>
      </c>
      <c r="AQ9" s="264" t="str">
        <f t="shared" si="1"/>
        <v xml:space="preserve">  </v>
      </c>
      <c r="AR9" s="264" t="str">
        <f t="shared" si="1"/>
        <v xml:space="preserve">  </v>
      </c>
      <c r="AS9" s="264" t="str">
        <f t="shared" si="1"/>
        <v xml:space="preserve">  </v>
      </c>
      <c r="AT9" s="264" t="str">
        <f t="shared" si="1"/>
        <v xml:space="preserve">  </v>
      </c>
      <c r="AU9" s="264" t="str">
        <f t="shared" si="1"/>
        <v xml:space="preserve">  </v>
      </c>
      <c r="AV9" s="264" t="str">
        <f t="shared" si="1"/>
        <v xml:space="preserve">  </v>
      </c>
      <c r="AW9" s="264" t="str">
        <f t="shared" si="1"/>
        <v xml:space="preserve">  </v>
      </c>
      <c r="AX9" s="264" t="str">
        <f t="shared" si="1"/>
        <v xml:space="preserve">  </v>
      </c>
      <c r="AY9" s="264" t="str">
        <f t="shared" si="1"/>
        <v xml:space="preserve">  </v>
      </c>
      <c r="AZ9" s="264" t="str">
        <f t="shared" si="1"/>
        <v xml:space="preserve">  </v>
      </c>
      <c r="BA9" s="264" t="str">
        <f t="shared" si="1"/>
        <v xml:space="preserve">  </v>
      </c>
      <c r="BB9" s="264" t="str">
        <f t="shared" si="1"/>
        <v xml:space="preserve">  </v>
      </c>
      <c r="BC9" s="264" t="str">
        <f t="shared" si="1"/>
        <v xml:space="preserve">  </v>
      </c>
      <c r="BD9" s="132">
        <v>7</v>
      </c>
      <c r="BE9" s="255">
        <v>3</v>
      </c>
      <c r="BF9" s="258">
        <v>0</v>
      </c>
      <c r="BG9" s="258">
        <v>0.66</v>
      </c>
      <c r="BH9" s="258">
        <v>2.27</v>
      </c>
      <c r="BI9" s="258">
        <v>3.86</v>
      </c>
      <c r="BJ9" s="258">
        <v>5.28</v>
      </c>
      <c r="BK9" s="258">
        <v>7.76</v>
      </c>
      <c r="BL9" s="258">
        <v>9.4499999999999993</v>
      </c>
      <c r="BM9" s="258">
        <v>10.3</v>
      </c>
      <c r="BN9" s="258">
        <v>10.9</v>
      </c>
      <c r="BO9" s="258">
        <v>11</v>
      </c>
      <c r="BP9" s="258">
        <v>11</v>
      </c>
      <c r="BQ9" s="258">
        <v>11</v>
      </c>
      <c r="BR9" s="258">
        <v>11</v>
      </c>
      <c r="BS9" s="258">
        <v>11</v>
      </c>
      <c r="BT9" s="258">
        <v>11</v>
      </c>
      <c r="BU9" s="258">
        <v>11</v>
      </c>
      <c r="BV9" s="258">
        <v>11</v>
      </c>
      <c r="BW9" s="258">
        <v>11</v>
      </c>
      <c r="BX9" s="258">
        <v>10.7</v>
      </c>
      <c r="BY9" s="258">
        <v>9.69</v>
      </c>
      <c r="BZ9" s="258">
        <v>7.57</v>
      </c>
      <c r="CA9" s="258">
        <v>6.05</v>
      </c>
      <c r="CB9" s="258">
        <v>4.2300000000000004</v>
      </c>
      <c r="CC9" s="258">
        <v>2.38</v>
      </c>
      <c r="CD9" s="259">
        <v>0.5</v>
      </c>
      <c r="CG9" s="265">
        <f t="shared" si="5"/>
        <v>2</v>
      </c>
      <c r="CH9" s="265">
        <f t="shared" si="6"/>
        <v>2</v>
      </c>
      <c r="CI9" s="265">
        <f t="shared" si="6"/>
        <v>2</v>
      </c>
      <c r="CJ9" s="265"/>
      <c r="CK9" s="268">
        <f t="shared" si="3"/>
        <v>2</v>
      </c>
      <c r="CL9" s="269">
        <f t="shared" si="7"/>
        <v>2</v>
      </c>
      <c r="CM9" s="269">
        <f t="shared" si="8"/>
        <v>2.0034382124943</v>
      </c>
      <c r="CN9" s="269">
        <f t="shared" si="9"/>
        <v>2.0085727314181487</v>
      </c>
      <c r="CO9" s="269">
        <f t="shared" si="10"/>
        <v>2.0150569995440035</v>
      </c>
      <c r="CP9" s="269">
        <f t="shared" si="11"/>
        <v>2.0226447788417694</v>
      </c>
      <c r="CQ9" s="269">
        <f t="shared" si="12"/>
        <v>2.0616142270861832</v>
      </c>
      <c r="CR9" s="269">
        <f t="shared" si="13"/>
        <v>2.1134427724578204</v>
      </c>
      <c r="CS9" s="269">
        <f t="shared" si="14"/>
        <v>2.1783128134974921</v>
      </c>
      <c r="CT9" s="269">
        <f t="shared" si="15"/>
        <v>2.2461732786137709</v>
      </c>
      <c r="CU9" s="269">
        <f t="shared" si="16"/>
        <v>2.2597993616051073</v>
      </c>
      <c r="CV9" s="269">
        <f t="shared" si="17"/>
        <v>2.3526858185134518</v>
      </c>
      <c r="CW9" s="269">
        <f t="shared" si="18"/>
        <v>2.4025900592795257</v>
      </c>
      <c r="CX9" s="269" t="e">
        <f t="shared" si="19"/>
        <v>#VALUE!</v>
      </c>
      <c r="CY9" s="269" t="e">
        <f t="shared" si="20"/>
        <v>#VALUE!</v>
      </c>
      <c r="CZ9" s="269" t="e">
        <f t="shared" si="21"/>
        <v>#VALUE!</v>
      </c>
      <c r="DA9" s="269" t="e">
        <f t="shared" si="22"/>
        <v>#VALUE!</v>
      </c>
      <c r="DB9" s="269" t="e">
        <f t="shared" si="23"/>
        <v>#VALUE!</v>
      </c>
      <c r="DC9" s="269" t="e">
        <f t="shared" si="24"/>
        <v>#VALUE!</v>
      </c>
      <c r="DD9" s="269" t="e">
        <f t="shared" si="25"/>
        <v>#VALUE!</v>
      </c>
      <c r="DE9" s="269" t="e">
        <f t="shared" si="26"/>
        <v>#VALUE!</v>
      </c>
      <c r="DF9" s="269" t="e">
        <f t="shared" si="27"/>
        <v>#VALUE!</v>
      </c>
      <c r="DG9" s="269" t="e">
        <f t="shared" si="28"/>
        <v>#VALUE!</v>
      </c>
      <c r="DH9" s="269" t="e">
        <f t="shared" si="29"/>
        <v>#VALUE!</v>
      </c>
      <c r="DI9" s="269" t="e">
        <f t="shared" si="30"/>
        <v>#VALUE!</v>
      </c>
      <c r="DJ9" s="269" t="e">
        <f t="shared" si="31"/>
        <v>#VALUE!</v>
      </c>
    </row>
    <row r="10" spans="1:114" x14ac:dyDescent="0.25">
      <c r="A10" s="242">
        <v>6</v>
      </c>
      <c r="B10" s="243">
        <v>7.9</v>
      </c>
      <c r="C10" s="243">
        <v>8.9</v>
      </c>
      <c r="D10" s="243">
        <v>9.5</v>
      </c>
      <c r="E10" s="243">
        <v>9.94</v>
      </c>
      <c r="F10" s="243">
        <v>10.199999999999999</v>
      </c>
      <c r="G10" s="243">
        <v>10.8</v>
      </c>
      <c r="H10" s="243">
        <v>10.9</v>
      </c>
      <c r="I10" s="243">
        <v>11</v>
      </c>
      <c r="J10" s="243">
        <v>11</v>
      </c>
      <c r="K10" s="243">
        <v>11</v>
      </c>
      <c r="L10" s="243">
        <v>11</v>
      </c>
      <c r="M10" s="243">
        <v>11</v>
      </c>
      <c r="N10" s="243">
        <v>0</v>
      </c>
      <c r="O10" s="243">
        <v>0</v>
      </c>
      <c r="P10" s="243">
        <v>0</v>
      </c>
      <c r="Q10" s="243">
        <v>0</v>
      </c>
      <c r="R10" s="243">
        <v>0</v>
      </c>
      <c r="S10" s="243">
        <v>0</v>
      </c>
      <c r="T10" s="243">
        <v>0</v>
      </c>
      <c r="U10" s="243">
        <v>0</v>
      </c>
      <c r="V10" s="243">
        <v>0</v>
      </c>
      <c r="W10" s="243">
        <v>0</v>
      </c>
      <c r="X10" s="243">
        <v>0</v>
      </c>
      <c r="Y10" s="243">
        <v>0</v>
      </c>
      <c r="Z10" s="244">
        <v>0</v>
      </c>
      <c r="AA10" s="132">
        <v>0</v>
      </c>
      <c r="AC10" s="249">
        <v>8</v>
      </c>
      <c r="AD10" s="263">
        <f t="shared" si="2"/>
        <v>5</v>
      </c>
      <c r="AE10" s="264">
        <f t="shared" si="1"/>
        <v>5.9</v>
      </c>
      <c r="AF10" s="264">
        <f t="shared" si="1"/>
        <v>7.26</v>
      </c>
      <c r="AG10" s="264">
        <f t="shared" si="1"/>
        <v>8.1199999999999992</v>
      </c>
      <c r="AH10" s="264">
        <f t="shared" si="1"/>
        <v>8.6999999999999993</v>
      </c>
      <c r="AI10" s="264">
        <f t="shared" si="1"/>
        <v>9.07</v>
      </c>
      <c r="AJ10" s="264">
        <f t="shared" si="1"/>
        <v>9.9499999999999993</v>
      </c>
      <c r="AK10" s="264">
        <f t="shared" si="1"/>
        <v>10.3</v>
      </c>
      <c r="AL10" s="264">
        <f t="shared" si="1"/>
        <v>10.58</v>
      </c>
      <c r="AM10" s="264">
        <f t="shared" si="1"/>
        <v>10.72</v>
      </c>
      <c r="AN10" s="264">
        <f t="shared" si="1"/>
        <v>10.74</v>
      </c>
      <c r="AO10" s="264">
        <f t="shared" si="1"/>
        <v>10.9</v>
      </c>
      <c r="AP10" s="264">
        <f t="shared" si="1"/>
        <v>11</v>
      </c>
      <c r="AQ10" s="264" t="str">
        <f t="shared" si="1"/>
        <v xml:space="preserve">  </v>
      </c>
      <c r="AR10" s="264" t="str">
        <f t="shared" si="1"/>
        <v xml:space="preserve">  </v>
      </c>
      <c r="AS10" s="264" t="str">
        <f t="shared" si="1"/>
        <v xml:space="preserve">  </v>
      </c>
      <c r="AT10" s="264" t="str">
        <f t="shared" si="1"/>
        <v xml:space="preserve">  </v>
      </c>
      <c r="AU10" s="264" t="str">
        <f t="shared" si="1"/>
        <v xml:space="preserve">  </v>
      </c>
      <c r="AV10" s="264" t="str">
        <f t="shared" si="1"/>
        <v xml:space="preserve">  </v>
      </c>
      <c r="AW10" s="264" t="str">
        <f t="shared" si="1"/>
        <v xml:space="preserve">  </v>
      </c>
      <c r="AX10" s="264" t="str">
        <f t="shared" si="1"/>
        <v xml:space="preserve">  </v>
      </c>
      <c r="AY10" s="264" t="str">
        <f t="shared" si="1"/>
        <v xml:space="preserve">  </v>
      </c>
      <c r="AZ10" s="264" t="str">
        <f t="shared" si="1"/>
        <v xml:space="preserve">  </v>
      </c>
      <c r="BA10" s="264" t="str">
        <f t="shared" si="1"/>
        <v xml:space="preserve">  </v>
      </c>
      <c r="BB10" s="264" t="str">
        <f t="shared" si="1"/>
        <v xml:space="preserve">  </v>
      </c>
      <c r="BC10" s="264" t="str">
        <f t="shared" si="1"/>
        <v xml:space="preserve">  </v>
      </c>
      <c r="BD10" s="132">
        <v>8</v>
      </c>
      <c r="BE10" s="255">
        <v>4</v>
      </c>
      <c r="BF10" s="258">
        <v>0.9</v>
      </c>
      <c r="BG10" s="258">
        <v>2.4300000000000002</v>
      </c>
      <c r="BH10" s="258">
        <v>4.01</v>
      </c>
      <c r="BI10" s="258">
        <v>5.5</v>
      </c>
      <c r="BJ10" s="258">
        <v>6.7</v>
      </c>
      <c r="BK10" s="258">
        <v>8.65</v>
      </c>
      <c r="BL10" s="258">
        <v>10.1</v>
      </c>
      <c r="BM10" s="258">
        <v>10.58</v>
      </c>
      <c r="BN10" s="258">
        <v>11</v>
      </c>
      <c r="BO10" s="258">
        <v>11</v>
      </c>
      <c r="BP10" s="258">
        <v>11</v>
      </c>
      <c r="BQ10" s="258">
        <v>11</v>
      </c>
      <c r="BR10" s="258">
        <v>11</v>
      </c>
      <c r="BS10" s="258">
        <v>11</v>
      </c>
      <c r="BT10" s="258">
        <v>11</v>
      </c>
      <c r="BU10" s="258">
        <v>11</v>
      </c>
      <c r="BV10" s="258">
        <v>11</v>
      </c>
      <c r="BW10" s="258">
        <v>11</v>
      </c>
      <c r="BX10" s="258">
        <v>10.8</v>
      </c>
      <c r="BY10" s="258">
        <v>9.99</v>
      </c>
      <c r="BZ10" s="258">
        <v>7.9291999999999998</v>
      </c>
      <c r="CA10" s="258">
        <v>6.39</v>
      </c>
      <c r="CB10" s="258">
        <v>4.47</v>
      </c>
      <c r="CC10" s="258">
        <v>2.25</v>
      </c>
      <c r="CD10" s="259">
        <v>0.08</v>
      </c>
      <c r="CG10" s="265">
        <f t="shared" si="5"/>
        <v>3</v>
      </c>
      <c r="CH10" s="265">
        <f t="shared" si="6"/>
        <v>3</v>
      </c>
      <c r="CI10" s="265">
        <f t="shared" si="6"/>
        <v>3</v>
      </c>
      <c r="CJ10" s="265"/>
      <c r="CK10" s="268">
        <f t="shared" si="3"/>
        <v>3</v>
      </c>
      <c r="CL10" s="269">
        <f t="shared" si="7"/>
        <v>3</v>
      </c>
      <c r="CM10" s="269">
        <f t="shared" si="8"/>
        <v>3.0072708618331054</v>
      </c>
      <c r="CN10" s="269">
        <f t="shared" si="9"/>
        <v>3.0176470588235293</v>
      </c>
      <c r="CO10" s="269">
        <f t="shared" si="10"/>
        <v>3.0298153214774284</v>
      </c>
      <c r="CP10" s="269">
        <f t="shared" si="11"/>
        <v>3.0433652530779756</v>
      </c>
      <c r="CQ10" s="269">
        <f t="shared" si="12"/>
        <v>3.1084359325125397</v>
      </c>
      <c r="CR10" s="269">
        <f t="shared" si="13"/>
        <v>3.1877884176926585</v>
      </c>
      <c r="CS10" s="269">
        <f t="shared" si="14"/>
        <v>3.2775558595531233</v>
      </c>
      <c r="CT10" s="269">
        <f t="shared" si="15"/>
        <v>3.3616488828089377</v>
      </c>
      <c r="CU10" s="269">
        <f t="shared" si="16"/>
        <v>3.3771181030551753</v>
      </c>
      <c r="CV10" s="269">
        <f t="shared" si="17"/>
        <v>3.4851618787049703</v>
      </c>
      <c r="CW10" s="269">
        <f t="shared" si="18"/>
        <v>3.5413588691290467</v>
      </c>
      <c r="CX10" s="269" t="e">
        <f t="shared" si="19"/>
        <v>#VALUE!</v>
      </c>
      <c r="CY10" s="269" t="e">
        <f t="shared" si="20"/>
        <v>#VALUE!</v>
      </c>
      <c r="CZ10" s="269" t="e">
        <f t="shared" si="21"/>
        <v>#VALUE!</v>
      </c>
      <c r="DA10" s="269" t="e">
        <f t="shared" si="22"/>
        <v>#VALUE!</v>
      </c>
      <c r="DB10" s="269" t="e">
        <f t="shared" si="23"/>
        <v>#VALUE!</v>
      </c>
      <c r="DC10" s="269" t="e">
        <f t="shared" si="24"/>
        <v>#VALUE!</v>
      </c>
      <c r="DD10" s="269" t="e">
        <f t="shared" si="25"/>
        <v>#VALUE!</v>
      </c>
      <c r="DE10" s="269" t="e">
        <f t="shared" si="26"/>
        <v>#VALUE!</v>
      </c>
      <c r="DF10" s="269" t="e">
        <f t="shared" si="27"/>
        <v>#VALUE!</v>
      </c>
      <c r="DG10" s="269" t="e">
        <f t="shared" si="28"/>
        <v>#VALUE!</v>
      </c>
      <c r="DH10" s="269" t="e">
        <f t="shared" si="29"/>
        <v>#VALUE!</v>
      </c>
      <c r="DI10" s="269" t="e">
        <f t="shared" si="30"/>
        <v>#VALUE!</v>
      </c>
      <c r="DJ10" s="269" t="e">
        <f t="shared" si="31"/>
        <v>#VALUE!</v>
      </c>
    </row>
    <row r="11" spans="1:114" x14ac:dyDescent="0.25">
      <c r="A11" s="242">
        <v>7</v>
      </c>
      <c r="B11" s="243">
        <v>9</v>
      </c>
      <c r="C11" s="243">
        <v>9.83</v>
      </c>
      <c r="D11" s="243">
        <v>10.3</v>
      </c>
      <c r="E11" s="243">
        <v>10.6</v>
      </c>
      <c r="F11" s="243">
        <v>10.8</v>
      </c>
      <c r="G11" s="243">
        <v>11</v>
      </c>
      <c r="H11" s="243">
        <v>11</v>
      </c>
      <c r="I11" s="243">
        <v>11</v>
      </c>
      <c r="J11" s="243">
        <v>11</v>
      </c>
      <c r="K11" s="243">
        <v>11</v>
      </c>
      <c r="L11" s="243">
        <v>11</v>
      </c>
      <c r="M11" s="243">
        <v>11</v>
      </c>
      <c r="N11" s="243">
        <v>0</v>
      </c>
      <c r="O11" s="243">
        <v>0</v>
      </c>
      <c r="P11" s="243">
        <v>0</v>
      </c>
      <c r="Q11" s="243">
        <v>0</v>
      </c>
      <c r="R11" s="243">
        <v>0</v>
      </c>
      <c r="S11" s="243">
        <v>0</v>
      </c>
      <c r="T11" s="243">
        <v>0</v>
      </c>
      <c r="U11" s="243">
        <v>0</v>
      </c>
      <c r="V11" s="243">
        <v>0</v>
      </c>
      <c r="W11" s="243">
        <v>0</v>
      </c>
      <c r="X11" s="243">
        <v>0</v>
      </c>
      <c r="Y11" s="243">
        <v>0</v>
      </c>
      <c r="Z11" s="244">
        <v>0</v>
      </c>
      <c r="AA11" s="132">
        <v>0</v>
      </c>
      <c r="AC11" s="249">
        <v>9</v>
      </c>
      <c r="AD11" s="263">
        <f t="shared" si="2"/>
        <v>6</v>
      </c>
      <c r="AE11" s="264">
        <f t="shared" si="1"/>
        <v>7.9</v>
      </c>
      <c r="AF11" s="264">
        <f t="shared" si="1"/>
        <v>8.9</v>
      </c>
      <c r="AG11" s="264">
        <f t="shared" si="1"/>
        <v>9.5</v>
      </c>
      <c r="AH11" s="264">
        <f t="shared" si="1"/>
        <v>9.94</v>
      </c>
      <c r="AI11" s="264">
        <f t="shared" si="1"/>
        <v>10.199999999999999</v>
      </c>
      <c r="AJ11" s="264">
        <f t="shared" si="1"/>
        <v>10.8</v>
      </c>
      <c r="AK11" s="264">
        <f t="shared" si="1"/>
        <v>10.9</v>
      </c>
      <c r="AL11" s="264">
        <f t="shared" si="1"/>
        <v>11</v>
      </c>
      <c r="AM11" s="264">
        <f t="shared" si="1"/>
        <v>11</v>
      </c>
      <c r="AN11" s="264">
        <f t="shared" si="1"/>
        <v>11</v>
      </c>
      <c r="AO11" s="264">
        <f t="shared" si="1"/>
        <v>11</v>
      </c>
      <c r="AP11" s="264">
        <f t="shared" si="1"/>
        <v>11</v>
      </c>
      <c r="AQ11" s="264" t="str">
        <f t="shared" si="1"/>
        <v xml:space="preserve">  </v>
      </c>
      <c r="AR11" s="264" t="str">
        <f t="shared" si="1"/>
        <v xml:space="preserve">  </v>
      </c>
      <c r="AS11" s="264" t="str">
        <f t="shared" si="1"/>
        <v xml:space="preserve">  </v>
      </c>
      <c r="AT11" s="264" t="str">
        <f t="shared" si="1"/>
        <v xml:space="preserve">  </v>
      </c>
      <c r="AU11" s="264" t="str">
        <f t="shared" si="1"/>
        <v xml:space="preserve">  </v>
      </c>
      <c r="AV11" s="264" t="str">
        <f t="shared" si="1"/>
        <v xml:space="preserve">  </v>
      </c>
      <c r="AW11" s="264" t="str">
        <f t="shared" si="1"/>
        <v xml:space="preserve">  </v>
      </c>
      <c r="AX11" s="264" t="str">
        <f t="shared" si="1"/>
        <v xml:space="preserve">  </v>
      </c>
      <c r="AY11" s="264" t="str">
        <f t="shared" si="1"/>
        <v xml:space="preserve">  </v>
      </c>
      <c r="AZ11" s="264" t="str">
        <f t="shared" si="1"/>
        <v xml:space="preserve">  </v>
      </c>
      <c r="BA11" s="264" t="str">
        <f t="shared" si="1"/>
        <v xml:space="preserve">  </v>
      </c>
      <c r="BB11" s="264" t="str">
        <f t="shared" si="1"/>
        <v xml:space="preserve">  </v>
      </c>
      <c r="BC11" s="264" t="str">
        <f t="shared" si="1"/>
        <v xml:space="preserve">  </v>
      </c>
      <c r="BD11" s="132">
        <v>9</v>
      </c>
      <c r="BE11" s="255">
        <v>4.8499999999999996</v>
      </c>
      <c r="BF11" s="258">
        <v>2.59</v>
      </c>
      <c r="BG11" s="258">
        <v>4.18</v>
      </c>
      <c r="BH11" s="258">
        <v>5.57</v>
      </c>
      <c r="BI11" s="258">
        <v>6.82</v>
      </c>
      <c r="BJ11" s="258">
        <v>7.89</v>
      </c>
      <c r="BK11" s="258">
        <v>9.43</v>
      </c>
      <c r="BL11" s="258">
        <v>10.45</v>
      </c>
      <c r="BM11" s="258">
        <v>10.72</v>
      </c>
      <c r="BN11" s="258">
        <v>11</v>
      </c>
      <c r="BO11" s="258">
        <v>11</v>
      </c>
      <c r="BP11" s="258">
        <v>11</v>
      </c>
      <c r="BQ11" s="258">
        <v>11</v>
      </c>
      <c r="BR11" s="258">
        <v>11</v>
      </c>
      <c r="BS11" s="258">
        <v>11</v>
      </c>
      <c r="BT11" s="258">
        <v>11</v>
      </c>
      <c r="BU11" s="258">
        <v>11</v>
      </c>
      <c r="BV11" s="258">
        <v>11</v>
      </c>
      <c r="BW11" s="258">
        <v>11</v>
      </c>
      <c r="BX11" s="258">
        <v>10.89</v>
      </c>
      <c r="BY11" s="258">
        <v>10.23</v>
      </c>
      <c r="BZ11" s="258">
        <v>8.3511000000000006</v>
      </c>
      <c r="CA11" s="258">
        <v>6.82</v>
      </c>
      <c r="CB11" s="258">
        <v>4.87</v>
      </c>
      <c r="CC11" s="258">
        <v>2.42</v>
      </c>
      <c r="CD11" s="259">
        <v>0</v>
      </c>
      <c r="CG11" s="265">
        <f t="shared" si="5"/>
        <v>4</v>
      </c>
      <c r="CH11" s="265">
        <f t="shared" si="6"/>
        <v>4</v>
      </c>
      <c r="CI11" s="265">
        <f t="shared" si="6"/>
        <v>4</v>
      </c>
      <c r="CJ11" s="265"/>
      <c r="CK11" s="268">
        <f t="shared" si="3"/>
        <v>4</v>
      </c>
      <c r="CL11" s="269">
        <f t="shared" si="7"/>
        <v>4</v>
      </c>
      <c r="CM11" s="269">
        <f t="shared" si="8"/>
        <v>4.0126265389876883</v>
      </c>
      <c r="CN11" s="269">
        <f t="shared" si="9"/>
        <v>4.0286183310533517</v>
      </c>
      <c r="CO11" s="269">
        <f t="shared" si="10"/>
        <v>4.0465526675786592</v>
      </c>
      <c r="CP11" s="269">
        <f t="shared" si="11"/>
        <v>4.0658914728682172</v>
      </c>
      <c r="CQ11" s="269">
        <f t="shared" si="12"/>
        <v>4.1533333333333333</v>
      </c>
      <c r="CR11" s="269">
        <f t="shared" si="13"/>
        <v>4.2525946192430464</v>
      </c>
      <c r="CS11" s="269">
        <f t="shared" si="14"/>
        <v>4.3594801641586871</v>
      </c>
      <c r="CT11" s="269">
        <f t="shared" si="15"/>
        <v>4.4550615595075236</v>
      </c>
      <c r="CU11" s="269">
        <f t="shared" si="16"/>
        <v>4.4727496580027362</v>
      </c>
      <c r="CV11" s="269">
        <f t="shared" si="17"/>
        <v>4.5889375284997715</v>
      </c>
      <c r="CW11" s="269">
        <f t="shared" si="18"/>
        <v>4.6482261741906061</v>
      </c>
      <c r="CX11" s="269" t="e">
        <f t="shared" si="19"/>
        <v>#VALUE!</v>
      </c>
      <c r="CY11" s="269" t="e">
        <f t="shared" si="20"/>
        <v>#VALUE!</v>
      </c>
      <c r="CZ11" s="269" t="e">
        <f t="shared" si="21"/>
        <v>#VALUE!</v>
      </c>
      <c r="DA11" s="269" t="e">
        <f t="shared" si="22"/>
        <v>#VALUE!</v>
      </c>
      <c r="DB11" s="269" t="e">
        <f t="shared" si="23"/>
        <v>#VALUE!</v>
      </c>
      <c r="DC11" s="269" t="e">
        <f t="shared" si="24"/>
        <v>#VALUE!</v>
      </c>
      <c r="DD11" s="269" t="e">
        <f t="shared" si="25"/>
        <v>#VALUE!</v>
      </c>
      <c r="DE11" s="269" t="e">
        <f t="shared" si="26"/>
        <v>#VALUE!</v>
      </c>
      <c r="DF11" s="269" t="e">
        <f t="shared" si="27"/>
        <v>#VALUE!</v>
      </c>
      <c r="DG11" s="269" t="e">
        <f t="shared" si="28"/>
        <v>#VALUE!</v>
      </c>
      <c r="DH11" s="269" t="e">
        <f t="shared" si="29"/>
        <v>#VALUE!</v>
      </c>
      <c r="DI11" s="269" t="e">
        <f t="shared" si="30"/>
        <v>#VALUE!</v>
      </c>
      <c r="DJ11" s="269" t="e">
        <f t="shared" si="31"/>
        <v>#VALUE!</v>
      </c>
    </row>
    <row r="12" spans="1:114" x14ac:dyDescent="0.25">
      <c r="A12" s="242">
        <v>8</v>
      </c>
      <c r="B12" s="243">
        <v>9.5</v>
      </c>
      <c r="C12" s="243">
        <v>10.33</v>
      </c>
      <c r="D12" s="243">
        <v>10.67</v>
      </c>
      <c r="E12" s="243">
        <v>10.9</v>
      </c>
      <c r="F12" s="243">
        <v>11</v>
      </c>
      <c r="G12" s="243">
        <v>11</v>
      </c>
      <c r="H12" s="243">
        <v>11</v>
      </c>
      <c r="I12" s="243">
        <v>11</v>
      </c>
      <c r="J12" s="243">
        <v>11</v>
      </c>
      <c r="K12" s="243">
        <v>11</v>
      </c>
      <c r="L12" s="243">
        <v>11</v>
      </c>
      <c r="M12" s="243">
        <v>11</v>
      </c>
      <c r="N12" s="243">
        <v>0</v>
      </c>
      <c r="O12" s="243">
        <v>0</v>
      </c>
      <c r="P12" s="243">
        <v>0</v>
      </c>
      <c r="Q12" s="243">
        <v>0</v>
      </c>
      <c r="R12" s="243">
        <v>0</v>
      </c>
      <c r="S12" s="243">
        <v>0</v>
      </c>
      <c r="T12" s="243">
        <v>0</v>
      </c>
      <c r="U12" s="243">
        <v>0</v>
      </c>
      <c r="V12" s="243">
        <v>0</v>
      </c>
      <c r="W12" s="243">
        <v>0</v>
      </c>
      <c r="X12" s="243">
        <v>0</v>
      </c>
      <c r="Y12" s="243">
        <v>0</v>
      </c>
      <c r="Z12" s="244">
        <v>0</v>
      </c>
      <c r="AA12" s="132">
        <v>0</v>
      </c>
      <c r="AC12" s="249">
        <v>10</v>
      </c>
      <c r="AD12" s="263">
        <f t="shared" si="2"/>
        <v>7</v>
      </c>
      <c r="AE12" s="264">
        <f t="shared" si="1"/>
        <v>9</v>
      </c>
      <c r="AF12" s="264">
        <f t="shared" si="1"/>
        <v>9.83</v>
      </c>
      <c r="AG12" s="264">
        <f t="shared" si="1"/>
        <v>10.3</v>
      </c>
      <c r="AH12" s="264">
        <f t="shared" si="1"/>
        <v>10.6</v>
      </c>
      <c r="AI12" s="264">
        <f t="shared" si="1"/>
        <v>10.8</v>
      </c>
      <c r="AJ12" s="264">
        <f t="shared" si="1"/>
        <v>11</v>
      </c>
      <c r="AK12" s="264">
        <f t="shared" si="1"/>
        <v>11</v>
      </c>
      <c r="AL12" s="264">
        <f t="shared" si="1"/>
        <v>11</v>
      </c>
      <c r="AM12" s="264">
        <f t="shared" si="1"/>
        <v>11</v>
      </c>
      <c r="AN12" s="264">
        <f t="shared" si="1"/>
        <v>11</v>
      </c>
      <c r="AO12" s="264">
        <f t="shared" si="1"/>
        <v>11</v>
      </c>
      <c r="AP12" s="264">
        <f t="shared" si="1"/>
        <v>11</v>
      </c>
      <c r="AQ12" s="264" t="str">
        <f t="shared" si="1"/>
        <v xml:space="preserve">  </v>
      </c>
      <c r="AR12" s="264" t="str">
        <f t="shared" si="1"/>
        <v xml:space="preserve">  </v>
      </c>
      <c r="AS12" s="264" t="str">
        <f t="shared" si="1"/>
        <v xml:space="preserve">  </v>
      </c>
      <c r="AT12" s="264" t="str">
        <f t="shared" si="1"/>
        <v xml:space="preserve">  </v>
      </c>
      <c r="AU12" s="264" t="str">
        <f t="shared" si="1"/>
        <v xml:space="preserve">  </v>
      </c>
      <c r="AV12" s="264" t="str">
        <f t="shared" si="1"/>
        <v xml:space="preserve">  </v>
      </c>
      <c r="AW12" s="264" t="str">
        <f t="shared" si="1"/>
        <v xml:space="preserve">  </v>
      </c>
      <c r="AX12" s="264" t="str">
        <f t="shared" si="1"/>
        <v xml:space="preserve">  </v>
      </c>
      <c r="AY12" s="264" t="str">
        <f t="shared" si="1"/>
        <v xml:space="preserve">  </v>
      </c>
      <c r="AZ12" s="264" t="str">
        <f t="shared" si="1"/>
        <v xml:space="preserve">  </v>
      </c>
      <c r="BA12" s="264" t="str">
        <f t="shared" si="1"/>
        <v xml:space="preserve">  </v>
      </c>
      <c r="BB12" s="264" t="str">
        <f t="shared" si="1"/>
        <v xml:space="preserve">  </v>
      </c>
      <c r="BC12" s="264" t="str">
        <f t="shared" si="1"/>
        <v xml:space="preserve">  </v>
      </c>
      <c r="BD12" s="132">
        <v>10</v>
      </c>
      <c r="BE12" s="255">
        <v>5</v>
      </c>
      <c r="BF12" s="258">
        <v>2.82</v>
      </c>
      <c r="BG12" s="258">
        <v>4.3899999999999997</v>
      </c>
      <c r="BH12" s="258">
        <v>5.78</v>
      </c>
      <c r="BI12" s="258">
        <v>7.01</v>
      </c>
      <c r="BJ12" s="258">
        <v>8.0399999999999991</v>
      </c>
      <c r="BK12" s="258">
        <v>9.5399999999999991</v>
      </c>
      <c r="BL12" s="258">
        <v>10.5</v>
      </c>
      <c r="BM12" s="258">
        <v>10.74</v>
      </c>
      <c r="BN12" s="258">
        <v>11</v>
      </c>
      <c r="BO12" s="258">
        <v>11</v>
      </c>
      <c r="BP12" s="258">
        <v>11</v>
      </c>
      <c r="BQ12" s="258">
        <v>11</v>
      </c>
      <c r="BR12" s="258">
        <v>11</v>
      </c>
      <c r="BS12" s="258">
        <v>11</v>
      </c>
      <c r="BT12" s="258">
        <v>11</v>
      </c>
      <c r="BU12" s="258">
        <v>11</v>
      </c>
      <c r="BV12" s="258">
        <v>11</v>
      </c>
      <c r="BW12" s="258">
        <v>11</v>
      </c>
      <c r="BX12" s="258">
        <v>10.9</v>
      </c>
      <c r="BY12" s="258">
        <v>10.27</v>
      </c>
      <c r="BZ12" s="258">
        <v>8.43</v>
      </c>
      <c r="CA12" s="258">
        <v>6.91</v>
      </c>
      <c r="CB12" s="258">
        <v>4.9399999999999995</v>
      </c>
      <c r="CC12" s="258">
        <v>2.4962</v>
      </c>
      <c r="CD12" s="259">
        <v>0.03</v>
      </c>
      <c r="CG12" s="265">
        <f t="shared" si="5"/>
        <v>5</v>
      </c>
      <c r="CH12" s="265">
        <f t="shared" si="6"/>
        <v>5</v>
      </c>
      <c r="CI12" s="265">
        <f t="shared" si="6"/>
        <v>5</v>
      </c>
      <c r="CJ12" s="265"/>
      <c r="CK12" s="268">
        <f t="shared" si="3"/>
        <v>5</v>
      </c>
      <c r="CL12" s="269">
        <f t="shared" si="7"/>
        <v>5</v>
      </c>
      <c r="CM12" s="269">
        <f t="shared" si="8"/>
        <v>5.0181167350661191</v>
      </c>
      <c r="CN12" s="269">
        <f t="shared" si="9"/>
        <v>5.0392704058367537</v>
      </c>
      <c r="CO12" s="269">
        <f t="shared" si="10"/>
        <v>5.062293661650707</v>
      </c>
      <c r="CP12" s="269">
        <f t="shared" si="11"/>
        <v>5.0866849065207482</v>
      </c>
      <c r="CQ12" s="269">
        <f t="shared" si="12"/>
        <v>5.1912448700410394</v>
      </c>
      <c r="CR12" s="269">
        <f t="shared" si="13"/>
        <v>5.3025353397172825</v>
      </c>
      <c r="CS12" s="269">
        <f t="shared" si="14"/>
        <v>5.4164341085271319</v>
      </c>
      <c r="CT12" s="269">
        <f t="shared" si="15"/>
        <v>5.5155038759689923</v>
      </c>
      <c r="CU12" s="269">
        <f t="shared" si="16"/>
        <v>5.5336707706338348</v>
      </c>
      <c r="CV12" s="269">
        <f t="shared" si="17"/>
        <v>5.6515093479252165</v>
      </c>
      <c r="CW12" s="269">
        <f t="shared" si="18"/>
        <v>5.7114272685818515</v>
      </c>
      <c r="CX12" s="269" t="e">
        <f t="shared" si="19"/>
        <v>#VALUE!</v>
      </c>
      <c r="CY12" s="269" t="e">
        <f t="shared" si="20"/>
        <v>#VALUE!</v>
      </c>
      <c r="CZ12" s="269" t="e">
        <f t="shared" si="21"/>
        <v>#VALUE!</v>
      </c>
      <c r="DA12" s="269" t="e">
        <f t="shared" si="22"/>
        <v>#VALUE!</v>
      </c>
      <c r="DB12" s="269" t="e">
        <f t="shared" si="23"/>
        <v>#VALUE!</v>
      </c>
      <c r="DC12" s="269" t="e">
        <f t="shared" si="24"/>
        <v>#VALUE!</v>
      </c>
      <c r="DD12" s="269" t="e">
        <f t="shared" si="25"/>
        <v>#VALUE!</v>
      </c>
      <c r="DE12" s="269" t="e">
        <f t="shared" si="26"/>
        <v>#VALUE!</v>
      </c>
      <c r="DF12" s="269" t="e">
        <f t="shared" si="27"/>
        <v>#VALUE!</v>
      </c>
      <c r="DG12" s="269" t="e">
        <f t="shared" si="28"/>
        <v>#VALUE!</v>
      </c>
      <c r="DH12" s="269" t="e">
        <f t="shared" si="29"/>
        <v>#VALUE!</v>
      </c>
      <c r="DI12" s="269" t="e">
        <f t="shared" si="30"/>
        <v>#VALUE!</v>
      </c>
      <c r="DJ12" s="269" t="e">
        <f t="shared" si="31"/>
        <v>#VALUE!</v>
      </c>
    </row>
    <row r="13" spans="1:114" x14ac:dyDescent="0.25">
      <c r="A13" s="242">
        <v>9</v>
      </c>
      <c r="B13" s="243">
        <v>9.6999999999999993</v>
      </c>
      <c r="C13" s="243">
        <v>10.45</v>
      </c>
      <c r="D13" s="243">
        <v>10.75</v>
      </c>
      <c r="E13" s="243">
        <v>10.93</v>
      </c>
      <c r="F13" s="243">
        <v>11</v>
      </c>
      <c r="G13" s="243">
        <v>11</v>
      </c>
      <c r="H13" s="243">
        <v>11</v>
      </c>
      <c r="I13" s="243">
        <v>11</v>
      </c>
      <c r="J13" s="243">
        <v>11</v>
      </c>
      <c r="K13" s="243">
        <v>11</v>
      </c>
      <c r="L13" s="243">
        <v>11</v>
      </c>
      <c r="M13" s="243">
        <v>11</v>
      </c>
      <c r="N13" s="243">
        <v>0</v>
      </c>
      <c r="O13" s="243">
        <v>0</v>
      </c>
      <c r="P13" s="243">
        <v>0</v>
      </c>
      <c r="Q13" s="243">
        <v>0</v>
      </c>
      <c r="R13" s="243">
        <v>0</v>
      </c>
      <c r="S13" s="243">
        <v>0</v>
      </c>
      <c r="T13" s="243">
        <v>0</v>
      </c>
      <c r="U13" s="243">
        <v>0</v>
      </c>
      <c r="V13" s="243">
        <v>0</v>
      </c>
      <c r="W13" s="243">
        <v>0</v>
      </c>
      <c r="X13" s="243">
        <v>0</v>
      </c>
      <c r="Y13" s="243">
        <v>0</v>
      </c>
      <c r="Z13" s="244">
        <v>0</v>
      </c>
      <c r="AA13" s="132">
        <v>0</v>
      </c>
      <c r="AC13" s="249">
        <v>11</v>
      </c>
      <c r="AD13" s="263">
        <f t="shared" si="2"/>
        <v>8</v>
      </c>
      <c r="AE13" s="264">
        <f t="shared" si="1"/>
        <v>9.5</v>
      </c>
      <c r="AF13" s="264">
        <f t="shared" si="1"/>
        <v>10.33</v>
      </c>
      <c r="AG13" s="264">
        <f t="shared" si="1"/>
        <v>10.67</v>
      </c>
      <c r="AH13" s="264">
        <f t="shared" si="1"/>
        <v>10.9</v>
      </c>
      <c r="AI13" s="264">
        <f t="shared" si="1"/>
        <v>11</v>
      </c>
      <c r="AJ13" s="264">
        <f t="shared" ref="AJ13:BC25" si="32">IF(OR(AJ12="  ",AI13="  "),"  ",G12)</f>
        <v>11</v>
      </c>
      <c r="AK13" s="264">
        <f t="shared" si="32"/>
        <v>11</v>
      </c>
      <c r="AL13" s="264">
        <f t="shared" si="32"/>
        <v>11</v>
      </c>
      <c r="AM13" s="264">
        <f t="shared" si="32"/>
        <v>11</v>
      </c>
      <c r="AN13" s="264">
        <f t="shared" si="32"/>
        <v>11</v>
      </c>
      <c r="AO13" s="264">
        <f t="shared" si="32"/>
        <v>11</v>
      </c>
      <c r="AP13" s="264">
        <f t="shared" si="32"/>
        <v>11</v>
      </c>
      <c r="AQ13" s="264" t="str">
        <f t="shared" si="32"/>
        <v xml:space="preserve">  </v>
      </c>
      <c r="AR13" s="264" t="str">
        <f t="shared" si="32"/>
        <v xml:space="preserve">  </v>
      </c>
      <c r="AS13" s="264" t="str">
        <f t="shared" si="32"/>
        <v xml:space="preserve">  </v>
      </c>
      <c r="AT13" s="264" t="str">
        <f t="shared" si="32"/>
        <v xml:space="preserve">  </v>
      </c>
      <c r="AU13" s="264" t="str">
        <f t="shared" si="32"/>
        <v xml:space="preserve">  </v>
      </c>
      <c r="AV13" s="264" t="str">
        <f t="shared" si="32"/>
        <v xml:space="preserve">  </v>
      </c>
      <c r="AW13" s="264" t="str">
        <f t="shared" si="32"/>
        <v xml:space="preserve">  </v>
      </c>
      <c r="AX13" s="264" t="str">
        <f t="shared" si="32"/>
        <v xml:space="preserve">  </v>
      </c>
      <c r="AY13" s="264" t="str">
        <f t="shared" si="32"/>
        <v xml:space="preserve">  </v>
      </c>
      <c r="AZ13" s="264" t="str">
        <f t="shared" si="32"/>
        <v xml:space="preserve">  </v>
      </c>
      <c r="BA13" s="264" t="str">
        <f t="shared" si="32"/>
        <v xml:space="preserve">  </v>
      </c>
      <c r="BB13" s="264" t="str">
        <f t="shared" si="32"/>
        <v xml:space="preserve">  </v>
      </c>
      <c r="BC13" s="264" t="str">
        <f t="shared" si="32"/>
        <v xml:space="preserve">  </v>
      </c>
      <c r="BD13" s="132">
        <v>11</v>
      </c>
      <c r="BE13" s="255">
        <v>6</v>
      </c>
      <c r="BF13" s="258">
        <v>3.82</v>
      </c>
      <c r="BG13" s="258">
        <v>5.43</v>
      </c>
      <c r="BH13" s="258">
        <v>6.8</v>
      </c>
      <c r="BI13" s="258">
        <v>7.98</v>
      </c>
      <c r="BJ13" s="258">
        <v>8.94</v>
      </c>
      <c r="BK13" s="258">
        <v>10.1</v>
      </c>
      <c r="BL13" s="258">
        <v>10.8</v>
      </c>
      <c r="BM13" s="258">
        <v>10.9</v>
      </c>
      <c r="BN13" s="258">
        <v>11</v>
      </c>
      <c r="BO13" s="258">
        <v>11</v>
      </c>
      <c r="BP13" s="258">
        <v>11</v>
      </c>
      <c r="BQ13" s="258">
        <v>11</v>
      </c>
      <c r="BR13" s="258">
        <v>11</v>
      </c>
      <c r="BS13" s="258">
        <v>11</v>
      </c>
      <c r="BT13" s="258">
        <v>11</v>
      </c>
      <c r="BU13" s="258">
        <v>11</v>
      </c>
      <c r="BV13" s="258">
        <v>11</v>
      </c>
      <c r="BW13" s="258">
        <v>11</v>
      </c>
      <c r="BX13" s="258">
        <v>11</v>
      </c>
      <c r="BY13" s="258">
        <v>10.5</v>
      </c>
      <c r="BZ13" s="258">
        <v>8.92</v>
      </c>
      <c r="CA13" s="258">
        <v>7.5</v>
      </c>
      <c r="CB13" s="258">
        <v>5.59</v>
      </c>
      <c r="CC13" s="258">
        <v>3.19</v>
      </c>
      <c r="CD13" s="259">
        <v>0.8</v>
      </c>
      <c r="CG13" s="265">
        <f t="shared" si="5"/>
        <v>6</v>
      </c>
      <c r="CH13" s="265">
        <f t="shared" si="6"/>
        <v>6</v>
      </c>
      <c r="CI13" s="265">
        <f t="shared" si="6"/>
        <v>6</v>
      </c>
      <c r="CJ13" s="265"/>
      <c r="CK13" s="268">
        <f t="shared" si="3"/>
        <v>6</v>
      </c>
      <c r="CL13" s="269">
        <f t="shared" si="7"/>
        <v>6</v>
      </c>
      <c r="CM13" s="269">
        <f t="shared" si="8"/>
        <v>6.0230734154126768</v>
      </c>
      <c r="CN13" s="269">
        <f t="shared" si="9"/>
        <v>6.0483356133150936</v>
      </c>
      <c r="CO13" s="269">
        <f t="shared" si="10"/>
        <v>6.0749110807113542</v>
      </c>
      <c r="CP13" s="269">
        <f t="shared" si="11"/>
        <v>6.1025626994984039</v>
      </c>
      <c r="CQ13" s="269">
        <f t="shared" si="12"/>
        <v>6.2179297765617871</v>
      </c>
      <c r="CR13" s="269">
        <f t="shared" si="13"/>
        <v>6.3371272229822164</v>
      </c>
      <c r="CS13" s="269">
        <f t="shared" si="14"/>
        <v>6.4565070679434564</v>
      </c>
      <c r="CT13" s="269">
        <f t="shared" si="15"/>
        <v>6.5588326493388056</v>
      </c>
      <c r="CU13" s="269">
        <f t="shared" si="16"/>
        <v>6.5775284997720016</v>
      </c>
      <c r="CV13" s="269">
        <f t="shared" si="17"/>
        <v>6.6972731418148657</v>
      </c>
      <c r="CW13" s="269">
        <f t="shared" si="18"/>
        <v>6.757464660282718</v>
      </c>
      <c r="CX13" s="269" t="e">
        <f t="shared" si="19"/>
        <v>#VALUE!</v>
      </c>
      <c r="CY13" s="269" t="e">
        <f t="shared" si="20"/>
        <v>#VALUE!</v>
      </c>
      <c r="CZ13" s="269" t="e">
        <f t="shared" si="21"/>
        <v>#VALUE!</v>
      </c>
      <c r="DA13" s="269" t="e">
        <f t="shared" si="22"/>
        <v>#VALUE!</v>
      </c>
      <c r="DB13" s="269" t="e">
        <f t="shared" si="23"/>
        <v>#VALUE!</v>
      </c>
      <c r="DC13" s="269" t="e">
        <f t="shared" si="24"/>
        <v>#VALUE!</v>
      </c>
      <c r="DD13" s="269" t="e">
        <f t="shared" si="25"/>
        <v>#VALUE!</v>
      </c>
      <c r="DE13" s="269" t="e">
        <f t="shared" si="26"/>
        <v>#VALUE!</v>
      </c>
      <c r="DF13" s="269" t="e">
        <f t="shared" si="27"/>
        <v>#VALUE!</v>
      </c>
      <c r="DG13" s="269" t="e">
        <f t="shared" si="28"/>
        <v>#VALUE!</v>
      </c>
      <c r="DH13" s="269" t="e">
        <f t="shared" si="29"/>
        <v>#VALUE!</v>
      </c>
      <c r="DI13" s="269" t="e">
        <f t="shared" si="30"/>
        <v>#VALUE!</v>
      </c>
      <c r="DJ13" s="269" t="e">
        <f t="shared" si="31"/>
        <v>#VALUE!</v>
      </c>
    </row>
    <row r="14" spans="1:114" x14ac:dyDescent="0.25">
      <c r="A14" s="242">
        <v>10</v>
      </c>
      <c r="B14" s="243">
        <v>9.6999999999999993</v>
      </c>
      <c r="C14" s="243">
        <v>10.45</v>
      </c>
      <c r="D14" s="243">
        <v>10.75</v>
      </c>
      <c r="E14" s="243">
        <v>10.93</v>
      </c>
      <c r="F14" s="243">
        <v>11</v>
      </c>
      <c r="G14" s="243">
        <v>11</v>
      </c>
      <c r="H14" s="243">
        <v>11</v>
      </c>
      <c r="I14" s="243">
        <v>11</v>
      </c>
      <c r="J14" s="243">
        <v>11</v>
      </c>
      <c r="K14" s="243">
        <v>11</v>
      </c>
      <c r="L14" s="243">
        <v>11</v>
      </c>
      <c r="M14" s="243">
        <v>11</v>
      </c>
      <c r="N14" s="243">
        <v>0</v>
      </c>
      <c r="O14" s="243">
        <v>0</v>
      </c>
      <c r="P14" s="243">
        <v>0</v>
      </c>
      <c r="Q14" s="243">
        <v>0</v>
      </c>
      <c r="R14" s="243">
        <v>0</v>
      </c>
      <c r="S14" s="243">
        <v>0</v>
      </c>
      <c r="T14" s="243">
        <v>0</v>
      </c>
      <c r="U14" s="243">
        <v>0</v>
      </c>
      <c r="V14" s="243">
        <v>0</v>
      </c>
      <c r="W14" s="243">
        <v>0</v>
      </c>
      <c r="X14" s="243">
        <v>0</v>
      </c>
      <c r="Y14" s="243">
        <v>0</v>
      </c>
      <c r="Z14" s="244">
        <v>0</v>
      </c>
      <c r="AA14" s="132">
        <v>0</v>
      </c>
      <c r="AC14" s="249">
        <v>12</v>
      </c>
      <c r="AD14" s="263">
        <f t="shared" si="2"/>
        <v>9</v>
      </c>
      <c r="AE14" s="264">
        <f t="shared" ref="AE14:AT27" si="33">IF(OR(AE13="  ",AD14="  "),"  ",B13)</f>
        <v>9.6999999999999993</v>
      </c>
      <c r="AF14" s="264">
        <f t="shared" si="33"/>
        <v>10.45</v>
      </c>
      <c r="AG14" s="264">
        <f t="shared" si="33"/>
        <v>10.75</v>
      </c>
      <c r="AH14" s="264">
        <f t="shared" si="33"/>
        <v>10.93</v>
      </c>
      <c r="AI14" s="264">
        <f t="shared" si="33"/>
        <v>11</v>
      </c>
      <c r="AJ14" s="264">
        <f t="shared" si="32"/>
        <v>11</v>
      </c>
      <c r="AK14" s="264">
        <f t="shared" si="32"/>
        <v>11</v>
      </c>
      <c r="AL14" s="264">
        <f t="shared" si="32"/>
        <v>11</v>
      </c>
      <c r="AM14" s="264">
        <f t="shared" si="32"/>
        <v>11</v>
      </c>
      <c r="AN14" s="264">
        <f t="shared" si="32"/>
        <v>11</v>
      </c>
      <c r="AO14" s="264">
        <f t="shared" si="32"/>
        <v>11</v>
      </c>
      <c r="AP14" s="264">
        <f t="shared" si="32"/>
        <v>11</v>
      </c>
      <c r="AQ14" s="264" t="str">
        <f t="shared" si="32"/>
        <v xml:space="preserve">  </v>
      </c>
      <c r="AR14" s="264" t="str">
        <f t="shared" si="32"/>
        <v xml:space="preserve">  </v>
      </c>
      <c r="AS14" s="264" t="str">
        <f t="shared" si="32"/>
        <v xml:space="preserve">  </v>
      </c>
      <c r="AT14" s="264" t="str">
        <f t="shared" si="32"/>
        <v xml:space="preserve">  </v>
      </c>
      <c r="AU14" s="264" t="str">
        <f t="shared" si="32"/>
        <v xml:space="preserve">  </v>
      </c>
      <c r="AV14" s="264" t="str">
        <f t="shared" si="32"/>
        <v xml:space="preserve">  </v>
      </c>
      <c r="AW14" s="264" t="str">
        <f t="shared" si="32"/>
        <v xml:space="preserve">  </v>
      </c>
      <c r="AX14" s="264" t="str">
        <f t="shared" si="32"/>
        <v xml:space="preserve">  </v>
      </c>
      <c r="AY14" s="264" t="str">
        <f t="shared" si="32"/>
        <v xml:space="preserve">  </v>
      </c>
      <c r="AZ14" s="264" t="str">
        <f t="shared" si="32"/>
        <v xml:space="preserve">  </v>
      </c>
      <c r="BA14" s="264" t="str">
        <f t="shared" si="32"/>
        <v xml:space="preserve">  </v>
      </c>
      <c r="BB14" s="264" t="str">
        <f t="shared" si="32"/>
        <v xml:space="preserve">  </v>
      </c>
      <c r="BC14" s="264" t="str">
        <f t="shared" si="32"/>
        <v xml:space="preserve">  </v>
      </c>
      <c r="BD14" s="132">
        <v>12</v>
      </c>
      <c r="BE14" s="255">
        <v>6.5</v>
      </c>
      <c r="BF14" s="258">
        <v>4.24</v>
      </c>
      <c r="BG14" s="258">
        <v>5.85</v>
      </c>
      <c r="BH14" s="258">
        <v>7.27</v>
      </c>
      <c r="BI14" s="258">
        <v>8.42</v>
      </c>
      <c r="BJ14" s="258">
        <v>9.3000000000000007</v>
      </c>
      <c r="BK14" s="258">
        <v>10.44</v>
      </c>
      <c r="BL14" s="258">
        <v>10.87</v>
      </c>
      <c r="BM14" s="258">
        <v>11</v>
      </c>
      <c r="BN14" s="258">
        <v>11</v>
      </c>
      <c r="BO14" s="258">
        <v>11</v>
      </c>
      <c r="BP14" s="258">
        <v>11</v>
      </c>
      <c r="BQ14" s="258">
        <v>11</v>
      </c>
      <c r="BR14" s="258">
        <v>11</v>
      </c>
      <c r="BS14" s="258">
        <v>11</v>
      </c>
      <c r="BT14" s="258">
        <v>11</v>
      </c>
      <c r="BU14" s="258">
        <v>11</v>
      </c>
      <c r="BV14" s="258">
        <v>11</v>
      </c>
      <c r="BW14" s="258">
        <v>11</v>
      </c>
      <c r="BX14" s="258">
        <v>11</v>
      </c>
      <c r="BY14" s="258">
        <v>10.62</v>
      </c>
      <c r="BZ14" s="258">
        <v>9.16</v>
      </c>
      <c r="CA14" s="258">
        <v>7.8</v>
      </c>
      <c r="CB14" s="258">
        <v>5.94</v>
      </c>
      <c r="CC14" s="258">
        <v>3.63</v>
      </c>
      <c r="CD14" s="259">
        <v>1.63</v>
      </c>
      <c r="CG14" s="265">
        <f t="shared" si="5"/>
        <v>7</v>
      </c>
      <c r="CH14" s="265">
        <f t="shared" si="6"/>
        <v>7</v>
      </c>
      <c r="CI14" s="265">
        <f t="shared" si="6"/>
        <v>7</v>
      </c>
      <c r="CJ14" s="265"/>
      <c r="CK14" s="268">
        <f t="shared" si="3"/>
        <v>7</v>
      </c>
      <c r="CL14" s="269">
        <f t="shared" si="7"/>
        <v>7</v>
      </c>
      <c r="CM14" s="269">
        <f t="shared" si="8"/>
        <v>7.0258413132694937</v>
      </c>
      <c r="CN14" s="269">
        <f t="shared" si="9"/>
        <v>7.0534610123119013</v>
      </c>
      <c r="CO14" s="269">
        <f t="shared" si="10"/>
        <v>7.0820474236206108</v>
      </c>
      <c r="CP14" s="269">
        <f t="shared" si="11"/>
        <v>7.1113725490196078</v>
      </c>
      <c r="CQ14" s="269">
        <f t="shared" si="12"/>
        <v>7.2308435932512536</v>
      </c>
      <c r="CR14" s="269">
        <f t="shared" si="13"/>
        <v>7.3514090287277698</v>
      </c>
      <c r="CS14" s="269">
        <f t="shared" si="14"/>
        <v>7.4716096671226628</v>
      </c>
      <c r="CT14" s="269">
        <f t="shared" si="15"/>
        <v>7.573935248518012</v>
      </c>
      <c r="CU14" s="269">
        <f t="shared" si="16"/>
        <v>7.592175102599179</v>
      </c>
      <c r="CV14" s="269">
        <f t="shared" si="17"/>
        <v>7.7123757409940721</v>
      </c>
      <c r="CW14" s="269">
        <f t="shared" si="18"/>
        <v>7.7725672594619244</v>
      </c>
      <c r="CX14" s="269" t="e">
        <f t="shared" si="19"/>
        <v>#VALUE!</v>
      </c>
      <c r="CY14" s="269" t="e">
        <f t="shared" si="20"/>
        <v>#VALUE!</v>
      </c>
      <c r="CZ14" s="269" t="e">
        <f t="shared" si="21"/>
        <v>#VALUE!</v>
      </c>
      <c r="DA14" s="269" t="e">
        <f t="shared" si="22"/>
        <v>#VALUE!</v>
      </c>
      <c r="DB14" s="269" t="e">
        <f t="shared" si="23"/>
        <v>#VALUE!</v>
      </c>
      <c r="DC14" s="269" t="e">
        <f t="shared" si="24"/>
        <v>#VALUE!</v>
      </c>
      <c r="DD14" s="269" t="e">
        <f t="shared" si="25"/>
        <v>#VALUE!</v>
      </c>
      <c r="DE14" s="269" t="e">
        <f t="shared" si="26"/>
        <v>#VALUE!</v>
      </c>
      <c r="DF14" s="269" t="e">
        <f t="shared" si="27"/>
        <v>#VALUE!</v>
      </c>
      <c r="DG14" s="269" t="e">
        <f t="shared" si="28"/>
        <v>#VALUE!</v>
      </c>
      <c r="DH14" s="269" t="e">
        <f t="shared" si="29"/>
        <v>#VALUE!</v>
      </c>
      <c r="DI14" s="269" t="e">
        <f t="shared" si="30"/>
        <v>#VALUE!</v>
      </c>
      <c r="DJ14" s="269" t="e">
        <f t="shared" si="31"/>
        <v>#VALUE!</v>
      </c>
    </row>
    <row r="15" spans="1:114" x14ac:dyDescent="0.25">
      <c r="A15" s="242">
        <v>11</v>
      </c>
      <c r="B15" s="243">
        <v>9.6999999999999993</v>
      </c>
      <c r="C15" s="243">
        <v>10.45</v>
      </c>
      <c r="D15" s="243">
        <v>10.75</v>
      </c>
      <c r="E15" s="243">
        <v>10.93</v>
      </c>
      <c r="F15" s="243">
        <v>11</v>
      </c>
      <c r="G15" s="243">
        <v>11</v>
      </c>
      <c r="H15" s="243">
        <v>11</v>
      </c>
      <c r="I15" s="243">
        <v>11</v>
      </c>
      <c r="J15" s="243">
        <v>11</v>
      </c>
      <c r="K15" s="243">
        <v>11</v>
      </c>
      <c r="L15" s="243">
        <v>11</v>
      </c>
      <c r="M15" s="243">
        <v>11</v>
      </c>
      <c r="N15" s="243">
        <v>0</v>
      </c>
      <c r="O15" s="243">
        <v>0</v>
      </c>
      <c r="P15" s="243">
        <v>0</v>
      </c>
      <c r="Q15" s="243">
        <v>0</v>
      </c>
      <c r="R15" s="243">
        <v>0</v>
      </c>
      <c r="S15" s="243">
        <v>0</v>
      </c>
      <c r="T15" s="243">
        <v>0</v>
      </c>
      <c r="U15" s="243">
        <v>0</v>
      </c>
      <c r="V15" s="243">
        <v>0</v>
      </c>
      <c r="W15" s="243">
        <v>0</v>
      </c>
      <c r="X15" s="243">
        <v>0</v>
      </c>
      <c r="Y15" s="243">
        <v>0</v>
      </c>
      <c r="Z15" s="244">
        <v>0</v>
      </c>
      <c r="AA15" s="132">
        <v>0</v>
      </c>
      <c r="AC15" s="249">
        <v>13</v>
      </c>
      <c r="AD15" s="263">
        <f t="shared" si="2"/>
        <v>10</v>
      </c>
      <c r="AE15" s="264">
        <f t="shared" si="33"/>
        <v>9.6999999999999993</v>
      </c>
      <c r="AF15" s="264">
        <f t="shared" si="33"/>
        <v>10.45</v>
      </c>
      <c r="AG15" s="264">
        <f t="shared" si="33"/>
        <v>10.75</v>
      </c>
      <c r="AH15" s="264">
        <f t="shared" si="33"/>
        <v>10.93</v>
      </c>
      <c r="AI15" s="264">
        <f t="shared" si="33"/>
        <v>11</v>
      </c>
      <c r="AJ15" s="264">
        <f t="shared" si="32"/>
        <v>11</v>
      </c>
      <c r="AK15" s="264">
        <f t="shared" si="32"/>
        <v>11</v>
      </c>
      <c r="AL15" s="264">
        <f t="shared" si="32"/>
        <v>11</v>
      </c>
      <c r="AM15" s="264">
        <f t="shared" si="32"/>
        <v>11</v>
      </c>
      <c r="AN15" s="264">
        <f t="shared" si="32"/>
        <v>11</v>
      </c>
      <c r="AO15" s="264">
        <f t="shared" si="32"/>
        <v>11</v>
      </c>
      <c r="AP15" s="264">
        <f t="shared" si="32"/>
        <v>11</v>
      </c>
      <c r="AQ15" s="264" t="str">
        <f t="shared" si="32"/>
        <v xml:space="preserve">  </v>
      </c>
      <c r="AR15" s="264" t="str">
        <f t="shared" si="32"/>
        <v xml:space="preserve">  </v>
      </c>
      <c r="AS15" s="264" t="str">
        <f t="shared" si="32"/>
        <v xml:space="preserve">  </v>
      </c>
      <c r="AT15" s="264" t="str">
        <f t="shared" si="32"/>
        <v xml:space="preserve">  </v>
      </c>
      <c r="AU15" s="264" t="str">
        <f t="shared" si="32"/>
        <v xml:space="preserve">  </v>
      </c>
      <c r="AV15" s="264" t="str">
        <f t="shared" si="32"/>
        <v xml:space="preserve">  </v>
      </c>
      <c r="AW15" s="264" t="str">
        <f t="shared" si="32"/>
        <v xml:space="preserve">  </v>
      </c>
      <c r="AX15" s="264" t="str">
        <f t="shared" si="32"/>
        <v xml:space="preserve">  </v>
      </c>
      <c r="AY15" s="264" t="str">
        <f t="shared" si="32"/>
        <v xml:space="preserve">  </v>
      </c>
      <c r="AZ15" s="264" t="str">
        <f t="shared" si="32"/>
        <v xml:space="preserve">  </v>
      </c>
      <c r="BA15" s="264" t="str">
        <f t="shared" si="32"/>
        <v xml:space="preserve">  </v>
      </c>
      <c r="BB15" s="264" t="str">
        <f t="shared" si="32"/>
        <v xml:space="preserve">  </v>
      </c>
      <c r="BC15" s="264" t="str">
        <f t="shared" si="32"/>
        <v xml:space="preserve">  </v>
      </c>
      <c r="BD15" s="132">
        <v>13</v>
      </c>
      <c r="BE15" s="255" t="str">
        <v xml:space="preserve">  </v>
      </c>
      <c r="BF15" s="258" t="str">
        <v xml:space="preserve">  </v>
      </c>
      <c r="BG15" s="258" t="str">
        <v xml:space="preserve">  </v>
      </c>
      <c r="BH15" s="258" t="str">
        <v xml:space="preserve">  </v>
      </c>
      <c r="BI15" s="258" t="str">
        <v xml:space="preserve">  </v>
      </c>
      <c r="BJ15" s="258" t="str">
        <v xml:space="preserve">  </v>
      </c>
      <c r="BK15" s="258" t="str">
        <v xml:space="preserve">  </v>
      </c>
      <c r="BL15" s="258" t="str">
        <v xml:space="preserve">  </v>
      </c>
      <c r="BM15" s="258" t="str">
        <v xml:space="preserve">  </v>
      </c>
      <c r="BN15" s="258" t="str">
        <v xml:space="preserve">  </v>
      </c>
      <c r="BO15" s="258" t="str">
        <v xml:space="preserve">  </v>
      </c>
      <c r="BP15" s="258" t="str">
        <v xml:space="preserve">  </v>
      </c>
      <c r="BQ15" s="258" t="str">
        <v xml:space="preserve">  </v>
      </c>
      <c r="BR15" s="258" t="str">
        <v xml:space="preserve">  </v>
      </c>
      <c r="BS15" s="258" t="str">
        <v xml:space="preserve">  </v>
      </c>
      <c r="BT15" s="258" t="str">
        <v xml:space="preserve">  </v>
      </c>
      <c r="BU15" s="258" t="str">
        <v xml:space="preserve">  </v>
      </c>
      <c r="BV15" s="258" t="str">
        <v xml:space="preserve">  </v>
      </c>
      <c r="BW15" s="258" t="str">
        <v xml:space="preserve">  </v>
      </c>
      <c r="BX15" s="258" t="str">
        <v xml:space="preserve">  </v>
      </c>
      <c r="BY15" s="258" t="str">
        <v xml:space="preserve">  </v>
      </c>
      <c r="BZ15" s="258" t="str">
        <v xml:space="preserve">  </v>
      </c>
      <c r="CA15" s="258" t="str">
        <v xml:space="preserve">  </v>
      </c>
      <c r="CB15" s="258" t="str">
        <v xml:space="preserve">  </v>
      </c>
      <c r="CC15" s="258" t="str">
        <v xml:space="preserve">  </v>
      </c>
      <c r="CD15" s="259" t="str">
        <v xml:space="preserve">  </v>
      </c>
      <c r="CG15" s="265">
        <f t="shared" si="5"/>
        <v>8</v>
      </c>
      <c r="CH15" s="265">
        <f t="shared" si="6"/>
        <v>8</v>
      </c>
      <c r="CI15" s="265">
        <f t="shared" si="6"/>
        <v>8</v>
      </c>
      <c r="CJ15" s="265"/>
      <c r="CK15" s="268">
        <f t="shared" si="3"/>
        <v>8</v>
      </c>
      <c r="CL15" s="269">
        <f t="shared" si="7"/>
        <v>8</v>
      </c>
      <c r="CM15" s="269">
        <f t="shared" si="8"/>
        <v>8.0272389420884629</v>
      </c>
      <c r="CN15" s="269">
        <f t="shared" si="9"/>
        <v>8.0560784313725495</v>
      </c>
      <c r="CO15" s="269">
        <f t="shared" si="10"/>
        <v>8.0855243958048337</v>
      </c>
      <c r="CP15" s="269">
        <f t="shared" si="11"/>
        <v>8.1156041951664388</v>
      </c>
      <c r="CQ15" s="269">
        <f t="shared" si="12"/>
        <v>8.2359872321021435</v>
      </c>
      <c r="CR15" s="269">
        <f t="shared" si="13"/>
        <v>8.3563702690378481</v>
      </c>
      <c r="CS15" s="269">
        <f t="shared" si="14"/>
        <v>8.4767533059735527</v>
      </c>
      <c r="CT15" s="269">
        <f t="shared" si="15"/>
        <v>8.579078887368901</v>
      </c>
      <c r="CU15" s="269">
        <f t="shared" si="16"/>
        <v>8.5971363429092573</v>
      </c>
      <c r="CV15" s="269">
        <f t="shared" si="17"/>
        <v>8.7175193798449619</v>
      </c>
      <c r="CW15" s="269">
        <f t="shared" si="18"/>
        <v>8.7777108983128134</v>
      </c>
      <c r="CX15" s="269" t="e">
        <f t="shared" si="19"/>
        <v>#VALUE!</v>
      </c>
      <c r="CY15" s="269" t="e">
        <f t="shared" si="20"/>
        <v>#VALUE!</v>
      </c>
      <c r="CZ15" s="269" t="e">
        <f t="shared" si="21"/>
        <v>#VALUE!</v>
      </c>
      <c r="DA15" s="269" t="e">
        <f t="shared" si="22"/>
        <v>#VALUE!</v>
      </c>
      <c r="DB15" s="269" t="e">
        <f t="shared" si="23"/>
        <v>#VALUE!</v>
      </c>
      <c r="DC15" s="269" t="e">
        <f t="shared" si="24"/>
        <v>#VALUE!</v>
      </c>
      <c r="DD15" s="269" t="e">
        <f t="shared" si="25"/>
        <v>#VALUE!</v>
      </c>
      <c r="DE15" s="269" t="e">
        <f t="shared" si="26"/>
        <v>#VALUE!</v>
      </c>
      <c r="DF15" s="269" t="e">
        <f t="shared" si="27"/>
        <v>#VALUE!</v>
      </c>
      <c r="DG15" s="269" t="e">
        <f t="shared" si="28"/>
        <v>#VALUE!</v>
      </c>
      <c r="DH15" s="269" t="e">
        <f t="shared" si="29"/>
        <v>#VALUE!</v>
      </c>
      <c r="DI15" s="269" t="e">
        <f t="shared" si="30"/>
        <v>#VALUE!</v>
      </c>
      <c r="DJ15" s="269" t="e">
        <f t="shared" si="31"/>
        <v>#VALUE!</v>
      </c>
    </row>
    <row r="16" spans="1:114" x14ac:dyDescent="0.25">
      <c r="A16" s="242">
        <v>12</v>
      </c>
      <c r="B16" s="243">
        <v>9.6999999999999993</v>
      </c>
      <c r="C16" s="243">
        <v>10.45</v>
      </c>
      <c r="D16" s="243">
        <v>10.75</v>
      </c>
      <c r="E16" s="243">
        <v>10.93</v>
      </c>
      <c r="F16" s="243">
        <v>11</v>
      </c>
      <c r="G16" s="243">
        <v>11</v>
      </c>
      <c r="H16" s="243">
        <v>11</v>
      </c>
      <c r="I16" s="243">
        <v>11</v>
      </c>
      <c r="J16" s="243">
        <v>11</v>
      </c>
      <c r="K16" s="243">
        <v>11</v>
      </c>
      <c r="L16" s="243">
        <v>11</v>
      </c>
      <c r="M16" s="243">
        <v>11</v>
      </c>
      <c r="N16" s="243">
        <v>0</v>
      </c>
      <c r="O16" s="243">
        <v>0</v>
      </c>
      <c r="P16" s="243">
        <v>0</v>
      </c>
      <c r="Q16" s="243">
        <v>0</v>
      </c>
      <c r="R16" s="243">
        <v>0</v>
      </c>
      <c r="S16" s="243">
        <v>0</v>
      </c>
      <c r="T16" s="243">
        <v>0</v>
      </c>
      <c r="U16" s="243">
        <v>0</v>
      </c>
      <c r="V16" s="243">
        <v>0</v>
      </c>
      <c r="W16" s="243">
        <v>0</v>
      </c>
      <c r="X16" s="243">
        <v>0</v>
      </c>
      <c r="Y16" s="243">
        <v>0</v>
      </c>
      <c r="Z16" s="244">
        <v>0</v>
      </c>
      <c r="AA16" s="132">
        <v>0</v>
      </c>
      <c r="AC16" s="249">
        <v>14</v>
      </c>
      <c r="AD16" s="263">
        <f t="shared" si="2"/>
        <v>11</v>
      </c>
      <c r="AE16" s="264">
        <f t="shared" si="33"/>
        <v>9.6999999999999993</v>
      </c>
      <c r="AF16" s="264">
        <f t="shared" si="33"/>
        <v>10.45</v>
      </c>
      <c r="AG16" s="264">
        <f t="shared" si="33"/>
        <v>10.75</v>
      </c>
      <c r="AH16" s="264">
        <f t="shared" si="33"/>
        <v>10.93</v>
      </c>
      <c r="AI16" s="264">
        <f t="shared" si="33"/>
        <v>11</v>
      </c>
      <c r="AJ16" s="264">
        <f t="shared" si="32"/>
        <v>11</v>
      </c>
      <c r="AK16" s="264">
        <f t="shared" si="32"/>
        <v>11</v>
      </c>
      <c r="AL16" s="264">
        <f t="shared" si="32"/>
        <v>11</v>
      </c>
      <c r="AM16" s="264">
        <f t="shared" si="32"/>
        <v>11</v>
      </c>
      <c r="AN16" s="264">
        <f t="shared" si="32"/>
        <v>11</v>
      </c>
      <c r="AO16" s="264">
        <f t="shared" si="32"/>
        <v>11</v>
      </c>
      <c r="AP16" s="264">
        <f t="shared" si="32"/>
        <v>11</v>
      </c>
      <c r="AQ16" s="264" t="str">
        <f t="shared" si="32"/>
        <v xml:space="preserve">  </v>
      </c>
      <c r="AR16" s="264" t="str">
        <f t="shared" si="32"/>
        <v xml:space="preserve">  </v>
      </c>
      <c r="AS16" s="264" t="str">
        <f t="shared" si="32"/>
        <v xml:space="preserve">  </v>
      </c>
      <c r="AT16" s="264" t="str">
        <f t="shared" si="32"/>
        <v xml:space="preserve">  </v>
      </c>
      <c r="AU16" s="264" t="str">
        <f t="shared" si="32"/>
        <v xml:space="preserve">  </v>
      </c>
      <c r="AV16" s="264" t="str">
        <f t="shared" si="32"/>
        <v xml:space="preserve">  </v>
      </c>
      <c r="AW16" s="264" t="str">
        <f t="shared" si="32"/>
        <v xml:space="preserve">  </v>
      </c>
      <c r="AX16" s="264" t="str">
        <f t="shared" si="32"/>
        <v xml:space="preserve">  </v>
      </c>
      <c r="AY16" s="264" t="str">
        <f t="shared" si="32"/>
        <v xml:space="preserve">  </v>
      </c>
      <c r="AZ16" s="264" t="str">
        <f t="shared" si="32"/>
        <v xml:space="preserve">  </v>
      </c>
      <c r="BA16" s="264" t="str">
        <f t="shared" si="32"/>
        <v xml:space="preserve">  </v>
      </c>
      <c r="BB16" s="264" t="str">
        <f t="shared" si="32"/>
        <v xml:space="preserve">  </v>
      </c>
      <c r="BC16" s="264" t="str">
        <f t="shared" si="32"/>
        <v xml:space="preserve">  </v>
      </c>
      <c r="BD16" s="132">
        <v>14</v>
      </c>
      <c r="BE16" s="255" t="str">
        <v xml:space="preserve">  </v>
      </c>
      <c r="BF16" s="258" t="str">
        <v xml:space="preserve">  </v>
      </c>
      <c r="BG16" s="258" t="str">
        <v xml:space="preserve">  </v>
      </c>
      <c r="BH16" s="258" t="str">
        <v xml:space="preserve">  </v>
      </c>
      <c r="BI16" s="258" t="str">
        <v xml:space="preserve">  </v>
      </c>
      <c r="BJ16" s="258" t="str">
        <v xml:space="preserve">  </v>
      </c>
      <c r="BK16" s="258" t="str">
        <v xml:space="preserve">  </v>
      </c>
      <c r="BL16" s="258" t="str">
        <v xml:space="preserve">  </v>
      </c>
      <c r="BM16" s="258" t="str">
        <v xml:space="preserve">  </v>
      </c>
      <c r="BN16" s="258" t="str">
        <v xml:space="preserve">  </v>
      </c>
      <c r="BO16" s="258" t="str">
        <v xml:space="preserve">  </v>
      </c>
      <c r="BP16" s="258" t="str">
        <v xml:space="preserve">  </v>
      </c>
      <c r="BQ16" s="258" t="str">
        <v xml:space="preserve">  </v>
      </c>
      <c r="BR16" s="258" t="str">
        <v xml:space="preserve">  </v>
      </c>
      <c r="BS16" s="258" t="str">
        <v xml:space="preserve">  </v>
      </c>
      <c r="BT16" s="258" t="str">
        <v xml:space="preserve">  </v>
      </c>
      <c r="BU16" s="258" t="str">
        <v xml:space="preserve">  </v>
      </c>
      <c r="BV16" s="258" t="str">
        <v xml:space="preserve">  </v>
      </c>
      <c r="BW16" s="258" t="str">
        <v xml:space="preserve">  </v>
      </c>
      <c r="BX16" s="258" t="str">
        <v xml:space="preserve">  </v>
      </c>
      <c r="BY16" s="258" t="str">
        <v xml:space="preserve">  </v>
      </c>
      <c r="BZ16" s="258" t="str">
        <v xml:space="preserve">  </v>
      </c>
      <c r="CA16" s="258" t="str">
        <v xml:space="preserve">  </v>
      </c>
      <c r="CB16" s="258" t="str">
        <v xml:space="preserve">  </v>
      </c>
      <c r="CC16" s="258" t="str">
        <v xml:space="preserve">  </v>
      </c>
      <c r="CD16" s="259" t="str">
        <v xml:space="preserve">  </v>
      </c>
      <c r="CG16" s="265">
        <f t="shared" si="5"/>
        <v>9</v>
      </c>
      <c r="CH16" s="265">
        <f t="shared" si="6"/>
        <v>9</v>
      </c>
      <c r="CI16" s="265">
        <f t="shared" si="6"/>
        <v>9</v>
      </c>
      <c r="CJ16" s="265"/>
      <c r="CK16" s="268">
        <f t="shared" si="3"/>
        <v>9</v>
      </c>
      <c r="CL16" s="269">
        <f t="shared" si="7"/>
        <v>9</v>
      </c>
      <c r="CM16" s="269">
        <f t="shared" si="8"/>
        <v>9.0276675786593703</v>
      </c>
      <c r="CN16" s="269">
        <f t="shared" si="9"/>
        <v>9.0567715458276332</v>
      </c>
      <c r="CO16" s="269">
        <f t="shared" si="10"/>
        <v>9.0863816689466486</v>
      </c>
      <c r="CP16" s="269">
        <f t="shared" si="11"/>
        <v>9.1164797081623341</v>
      </c>
      <c r="CQ16" s="269">
        <f t="shared" si="12"/>
        <v>9.2368627450980387</v>
      </c>
      <c r="CR16" s="269">
        <f t="shared" si="13"/>
        <v>9.3572457820337434</v>
      </c>
      <c r="CS16" s="269">
        <f t="shared" si="14"/>
        <v>9.477628818969448</v>
      </c>
      <c r="CT16" s="269">
        <f t="shared" si="15"/>
        <v>9.5799544003647963</v>
      </c>
      <c r="CU16" s="269">
        <f t="shared" si="16"/>
        <v>9.5980118559051526</v>
      </c>
      <c r="CV16" s="269">
        <f t="shared" si="17"/>
        <v>9.7183948928408572</v>
      </c>
      <c r="CW16" s="269">
        <f t="shared" si="18"/>
        <v>9.7785864113087104</v>
      </c>
      <c r="CX16" s="269" t="e">
        <f t="shared" si="19"/>
        <v>#VALUE!</v>
      </c>
      <c r="CY16" s="269" t="e">
        <f t="shared" si="20"/>
        <v>#VALUE!</v>
      </c>
      <c r="CZ16" s="269" t="e">
        <f t="shared" si="21"/>
        <v>#VALUE!</v>
      </c>
      <c r="DA16" s="269" t="e">
        <f t="shared" si="22"/>
        <v>#VALUE!</v>
      </c>
      <c r="DB16" s="269" t="e">
        <f t="shared" si="23"/>
        <v>#VALUE!</v>
      </c>
      <c r="DC16" s="269" t="e">
        <f t="shared" si="24"/>
        <v>#VALUE!</v>
      </c>
      <c r="DD16" s="269" t="e">
        <f t="shared" si="25"/>
        <v>#VALUE!</v>
      </c>
      <c r="DE16" s="269" t="e">
        <f t="shared" si="26"/>
        <v>#VALUE!</v>
      </c>
      <c r="DF16" s="269" t="e">
        <f t="shared" si="27"/>
        <v>#VALUE!</v>
      </c>
      <c r="DG16" s="269" t="e">
        <f t="shared" si="28"/>
        <v>#VALUE!</v>
      </c>
      <c r="DH16" s="269" t="e">
        <f t="shared" si="29"/>
        <v>#VALUE!</v>
      </c>
      <c r="DI16" s="269" t="e">
        <f t="shared" si="30"/>
        <v>#VALUE!</v>
      </c>
      <c r="DJ16" s="269" t="e">
        <f t="shared" si="31"/>
        <v>#VALUE!</v>
      </c>
    </row>
    <row r="17" spans="1:114" x14ac:dyDescent="0.25">
      <c r="A17" s="242">
        <v>13</v>
      </c>
      <c r="B17" s="243">
        <v>9.6999999999999993</v>
      </c>
      <c r="C17" s="243">
        <v>10.45</v>
      </c>
      <c r="D17" s="243">
        <v>10.75</v>
      </c>
      <c r="E17" s="243">
        <v>10.93</v>
      </c>
      <c r="F17" s="243">
        <v>11</v>
      </c>
      <c r="G17" s="243">
        <v>11</v>
      </c>
      <c r="H17" s="243">
        <v>11</v>
      </c>
      <c r="I17" s="243">
        <v>11</v>
      </c>
      <c r="J17" s="243">
        <v>11</v>
      </c>
      <c r="K17" s="243">
        <v>11</v>
      </c>
      <c r="L17" s="243">
        <v>11</v>
      </c>
      <c r="M17" s="243">
        <v>11</v>
      </c>
      <c r="N17" s="243">
        <v>0</v>
      </c>
      <c r="O17" s="243">
        <v>0</v>
      </c>
      <c r="P17" s="243">
        <v>0</v>
      </c>
      <c r="Q17" s="243">
        <v>0</v>
      </c>
      <c r="R17" s="243">
        <v>0</v>
      </c>
      <c r="S17" s="243">
        <v>0</v>
      </c>
      <c r="T17" s="243">
        <v>0</v>
      </c>
      <c r="U17" s="243">
        <v>0</v>
      </c>
      <c r="V17" s="243">
        <v>0</v>
      </c>
      <c r="W17" s="243">
        <v>0</v>
      </c>
      <c r="X17" s="243">
        <v>0</v>
      </c>
      <c r="Y17" s="243">
        <v>0</v>
      </c>
      <c r="Z17" s="244">
        <v>0</v>
      </c>
      <c r="AA17" s="132">
        <v>0</v>
      </c>
      <c r="AC17" s="249">
        <v>15</v>
      </c>
      <c r="AD17" s="263">
        <f t="shared" si="2"/>
        <v>12</v>
      </c>
      <c r="AE17" s="264">
        <f t="shared" si="33"/>
        <v>9.6999999999999993</v>
      </c>
      <c r="AF17" s="264">
        <f t="shared" si="33"/>
        <v>10.45</v>
      </c>
      <c r="AG17" s="264">
        <f t="shared" si="33"/>
        <v>10.75</v>
      </c>
      <c r="AH17" s="264">
        <f t="shared" si="33"/>
        <v>10.93</v>
      </c>
      <c r="AI17" s="264">
        <f t="shared" si="33"/>
        <v>11</v>
      </c>
      <c r="AJ17" s="264">
        <f t="shared" si="32"/>
        <v>11</v>
      </c>
      <c r="AK17" s="264">
        <f t="shared" si="32"/>
        <v>11</v>
      </c>
      <c r="AL17" s="264">
        <f t="shared" si="32"/>
        <v>11</v>
      </c>
      <c r="AM17" s="264">
        <f t="shared" si="32"/>
        <v>11</v>
      </c>
      <c r="AN17" s="264">
        <f t="shared" si="32"/>
        <v>11</v>
      </c>
      <c r="AO17" s="264">
        <f t="shared" si="32"/>
        <v>11</v>
      </c>
      <c r="AP17" s="264">
        <f t="shared" si="32"/>
        <v>11</v>
      </c>
      <c r="AQ17" s="264" t="str">
        <f t="shared" si="32"/>
        <v xml:space="preserve">  </v>
      </c>
      <c r="AR17" s="264" t="str">
        <f t="shared" si="32"/>
        <v xml:space="preserve">  </v>
      </c>
      <c r="AS17" s="264" t="str">
        <f t="shared" si="32"/>
        <v xml:space="preserve">  </v>
      </c>
      <c r="AT17" s="264" t="str">
        <f t="shared" si="32"/>
        <v xml:space="preserve">  </v>
      </c>
      <c r="AU17" s="264" t="str">
        <f t="shared" si="32"/>
        <v xml:space="preserve">  </v>
      </c>
      <c r="AV17" s="264" t="str">
        <f t="shared" si="32"/>
        <v xml:space="preserve">  </v>
      </c>
      <c r="AW17" s="264" t="str">
        <f t="shared" si="32"/>
        <v xml:space="preserve">  </v>
      </c>
      <c r="AX17" s="264" t="str">
        <f t="shared" si="32"/>
        <v xml:space="preserve">  </v>
      </c>
      <c r="AY17" s="264" t="str">
        <f t="shared" si="32"/>
        <v xml:space="preserve">  </v>
      </c>
      <c r="AZ17" s="264" t="str">
        <f t="shared" si="32"/>
        <v xml:space="preserve">  </v>
      </c>
      <c r="BA17" s="264" t="str">
        <f t="shared" si="32"/>
        <v xml:space="preserve">  </v>
      </c>
      <c r="BB17" s="264" t="str">
        <f t="shared" si="32"/>
        <v xml:space="preserve">  </v>
      </c>
      <c r="BC17" s="264" t="str">
        <f t="shared" si="32"/>
        <v xml:space="preserve">  </v>
      </c>
      <c r="BD17" s="132">
        <v>15</v>
      </c>
      <c r="BE17" s="255" t="str">
        <v xml:space="preserve">  </v>
      </c>
      <c r="BF17" s="258" t="str">
        <v xml:space="preserve">  </v>
      </c>
      <c r="BG17" s="258" t="str">
        <v xml:space="preserve">  </v>
      </c>
      <c r="BH17" s="258" t="str">
        <v xml:space="preserve">  </v>
      </c>
      <c r="BI17" s="258" t="str">
        <v xml:space="preserve">  </v>
      </c>
      <c r="BJ17" s="258" t="str">
        <v xml:space="preserve">  </v>
      </c>
      <c r="BK17" s="258" t="str">
        <v xml:space="preserve">  </v>
      </c>
      <c r="BL17" s="258" t="str">
        <v xml:space="preserve">  </v>
      </c>
      <c r="BM17" s="258" t="str">
        <v xml:space="preserve">  </v>
      </c>
      <c r="BN17" s="258" t="str">
        <v xml:space="preserve">  </v>
      </c>
      <c r="BO17" s="258" t="str">
        <v xml:space="preserve">  </v>
      </c>
      <c r="BP17" s="258" t="str">
        <v xml:space="preserve">  </v>
      </c>
      <c r="BQ17" s="258" t="str">
        <v xml:space="preserve">  </v>
      </c>
      <c r="BR17" s="258" t="str">
        <v xml:space="preserve">  </v>
      </c>
      <c r="BS17" s="258" t="str">
        <v xml:space="preserve">  </v>
      </c>
      <c r="BT17" s="258" t="str">
        <v xml:space="preserve">  </v>
      </c>
      <c r="BU17" s="258" t="str">
        <v xml:space="preserve">  </v>
      </c>
      <c r="BV17" s="258" t="str">
        <v xml:space="preserve">  </v>
      </c>
      <c r="BW17" s="258" t="str">
        <v xml:space="preserve">  </v>
      </c>
      <c r="BX17" s="258" t="str">
        <v xml:space="preserve">  </v>
      </c>
      <c r="BY17" s="258" t="str">
        <v xml:space="preserve">  </v>
      </c>
      <c r="BZ17" s="258" t="str">
        <v xml:space="preserve">  </v>
      </c>
      <c r="CA17" s="258" t="str">
        <v xml:space="preserve">  </v>
      </c>
      <c r="CB17" s="258" t="str">
        <v xml:space="preserve">  </v>
      </c>
      <c r="CC17" s="258" t="str">
        <v xml:space="preserve">  </v>
      </c>
      <c r="CD17" s="259" t="str">
        <v xml:space="preserve">  </v>
      </c>
      <c r="CG17" s="265">
        <f t="shared" si="5"/>
        <v>10</v>
      </c>
      <c r="CH17" s="265">
        <f t="shared" si="6"/>
        <v>10</v>
      </c>
      <c r="CI17" s="265">
        <f t="shared" si="6"/>
        <v>10</v>
      </c>
      <c r="CJ17" s="265"/>
      <c r="CK17" s="268">
        <f t="shared" si="3"/>
        <v>10</v>
      </c>
      <c r="CL17" s="269">
        <f t="shared" si="7"/>
        <v>10</v>
      </c>
      <c r="CM17" s="269">
        <f t="shared" si="8"/>
        <v>10.02766757865937</v>
      </c>
      <c r="CN17" s="269">
        <f t="shared" si="9"/>
        <v>10.056771545827633</v>
      </c>
      <c r="CO17" s="269">
        <f t="shared" si="10"/>
        <v>10.086381668946649</v>
      </c>
      <c r="CP17" s="269">
        <f t="shared" si="11"/>
        <v>10.116479708162334</v>
      </c>
      <c r="CQ17" s="269">
        <f t="shared" si="12"/>
        <v>10.236862745098039</v>
      </c>
      <c r="CR17" s="269">
        <f t="shared" si="13"/>
        <v>10.357245782033743</v>
      </c>
      <c r="CS17" s="269">
        <f t="shared" si="14"/>
        <v>10.477628818969448</v>
      </c>
      <c r="CT17" s="269">
        <f t="shared" si="15"/>
        <v>10.579954400364796</v>
      </c>
      <c r="CU17" s="269">
        <f t="shared" si="16"/>
        <v>10.598011855905153</v>
      </c>
      <c r="CV17" s="269">
        <f t="shared" si="17"/>
        <v>10.718394892840857</v>
      </c>
      <c r="CW17" s="269">
        <f t="shared" si="18"/>
        <v>10.77858641130871</v>
      </c>
      <c r="CX17" s="269" t="e">
        <f t="shared" si="19"/>
        <v>#VALUE!</v>
      </c>
      <c r="CY17" s="269" t="e">
        <f t="shared" si="20"/>
        <v>#VALUE!</v>
      </c>
      <c r="CZ17" s="269" t="e">
        <f t="shared" si="21"/>
        <v>#VALUE!</v>
      </c>
      <c r="DA17" s="269" t="e">
        <f t="shared" si="22"/>
        <v>#VALUE!</v>
      </c>
      <c r="DB17" s="269" t="e">
        <f t="shared" si="23"/>
        <v>#VALUE!</v>
      </c>
      <c r="DC17" s="269" t="e">
        <f t="shared" si="24"/>
        <v>#VALUE!</v>
      </c>
      <c r="DD17" s="269" t="e">
        <f t="shared" si="25"/>
        <v>#VALUE!</v>
      </c>
      <c r="DE17" s="269" t="e">
        <f t="shared" si="26"/>
        <v>#VALUE!</v>
      </c>
      <c r="DF17" s="269" t="e">
        <f t="shared" si="27"/>
        <v>#VALUE!</v>
      </c>
      <c r="DG17" s="269" t="e">
        <f t="shared" si="28"/>
        <v>#VALUE!</v>
      </c>
      <c r="DH17" s="269" t="e">
        <f t="shared" si="29"/>
        <v>#VALUE!</v>
      </c>
      <c r="DI17" s="269" t="e">
        <f t="shared" si="30"/>
        <v>#VALUE!</v>
      </c>
      <c r="DJ17" s="269" t="e">
        <f t="shared" si="31"/>
        <v>#VALUE!</v>
      </c>
    </row>
    <row r="18" spans="1:114" x14ac:dyDescent="0.25">
      <c r="A18" s="242">
        <v>14</v>
      </c>
      <c r="B18" s="243">
        <v>9.5</v>
      </c>
      <c r="C18" s="243">
        <v>10.32</v>
      </c>
      <c r="D18" s="243">
        <v>10.66</v>
      </c>
      <c r="E18" s="243">
        <v>10.87</v>
      </c>
      <c r="F18" s="243">
        <v>11</v>
      </c>
      <c r="G18" s="243">
        <v>11</v>
      </c>
      <c r="H18" s="243">
        <v>11</v>
      </c>
      <c r="I18" s="243">
        <v>11</v>
      </c>
      <c r="J18" s="243">
        <v>11</v>
      </c>
      <c r="K18" s="243">
        <v>11</v>
      </c>
      <c r="L18" s="243">
        <v>11</v>
      </c>
      <c r="M18" s="243">
        <v>11</v>
      </c>
      <c r="N18" s="243">
        <v>0</v>
      </c>
      <c r="O18" s="243">
        <v>0</v>
      </c>
      <c r="P18" s="243">
        <v>0</v>
      </c>
      <c r="Q18" s="243">
        <v>0</v>
      </c>
      <c r="R18" s="243">
        <v>0</v>
      </c>
      <c r="S18" s="243">
        <v>0</v>
      </c>
      <c r="T18" s="243">
        <v>0</v>
      </c>
      <c r="U18" s="243">
        <v>0</v>
      </c>
      <c r="V18" s="243">
        <v>0</v>
      </c>
      <c r="W18" s="243">
        <v>0</v>
      </c>
      <c r="X18" s="243">
        <v>0</v>
      </c>
      <c r="Y18" s="243">
        <v>0</v>
      </c>
      <c r="Z18" s="244">
        <v>0</v>
      </c>
      <c r="AA18" s="132">
        <v>0</v>
      </c>
      <c r="AC18" s="249">
        <v>16</v>
      </c>
      <c r="AD18" s="263">
        <f t="shared" si="2"/>
        <v>13</v>
      </c>
      <c r="AE18" s="264">
        <f t="shared" si="33"/>
        <v>9.6999999999999993</v>
      </c>
      <c r="AF18" s="264">
        <f t="shared" si="33"/>
        <v>10.45</v>
      </c>
      <c r="AG18" s="264">
        <f t="shared" si="33"/>
        <v>10.75</v>
      </c>
      <c r="AH18" s="264">
        <f t="shared" si="33"/>
        <v>10.93</v>
      </c>
      <c r="AI18" s="264">
        <f t="shared" si="33"/>
        <v>11</v>
      </c>
      <c r="AJ18" s="264">
        <f t="shared" si="32"/>
        <v>11</v>
      </c>
      <c r="AK18" s="264">
        <f t="shared" si="32"/>
        <v>11</v>
      </c>
      <c r="AL18" s="264">
        <f t="shared" si="32"/>
        <v>11</v>
      </c>
      <c r="AM18" s="264">
        <f t="shared" si="32"/>
        <v>11</v>
      </c>
      <c r="AN18" s="264">
        <f t="shared" si="32"/>
        <v>11</v>
      </c>
      <c r="AO18" s="264">
        <f t="shared" si="32"/>
        <v>11</v>
      </c>
      <c r="AP18" s="264">
        <f t="shared" si="32"/>
        <v>11</v>
      </c>
      <c r="AQ18" s="264" t="str">
        <f t="shared" si="32"/>
        <v xml:space="preserve">  </v>
      </c>
      <c r="AR18" s="264" t="str">
        <f t="shared" si="32"/>
        <v xml:space="preserve">  </v>
      </c>
      <c r="AS18" s="264" t="str">
        <f t="shared" si="32"/>
        <v xml:space="preserve">  </v>
      </c>
      <c r="AT18" s="264" t="str">
        <f t="shared" si="32"/>
        <v xml:space="preserve">  </v>
      </c>
      <c r="AU18" s="264" t="str">
        <f t="shared" si="32"/>
        <v xml:space="preserve">  </v>
      </c>
      <c r="AV18" s="264" t="str">
        <f t="shared" si="32"/>
        <v xml:space="preserve">  </v>
      </c>
      <c r="AW18" s="264" t="str">
        <f t="shared" si="32"/>
        <v xml:space="preserve">  </v>
      </c>
      <c r="AX18" s="264" t="str">
        <f t="shared" si="32"/>
        <v xml:space="preserve">  </v>
      </c>
      <c r="AY18" s="264" t="str">
        <f t="shared" si="32"/>
        <v xml:space="preserve">  </v>
      </c>
      <c r="AZ18" s="264" t="str">
        <f t="shared" si="32"/>
        <v xml:space="preserve">  </v>
      </c>
      <c r="BA18" s="264" t="str">
        <f t="shared" si="32"/>
        <v xml:space="preserve">  </v>
      </c>
      <c r="BB18" s="264" t="str">
        <f t="shared" si="32"/>
        <v xml:space="preserve">  </v>
      </c>
      <c r="BC18" s="264" t="str">
        <f t="shared" si="32"/>
        <v xml:space="preserve">  </v>
      </c>
      <c r="BD18" s="132">
        <v>16</v>
      </c>
      <c r="BE18" s="255" t="str">
        <v xml:space="preserve">  </v>
      </c>
      <c r="BF18" s="258" t="str">
        <v xml:space="preserve">  </v>
      </c>
      <c r="BG18" s="258" t="str">
        <v xml:space="preserve">  </v>
      </c>
      <c r="BH18" s="258" t="str">
        <v xml:space="preserve">  </v>
      </c>
      <c r="BI18" s="258" t="str">
        <v xml:space="preserve">  </v>
      </c>
      <c r="BJ18" s="258" t="str">
        <v xml:space="preserve">  </v>
      </c>
      <c r="BK18" s="258" t="str">
        <v xml:space="preserve">  </v>
      </c>
      <c r="BL18" s="258" t="str">
        <v xml:space="preserve">  </v>
      </c>
      <c r="BM18" s="258" t="str">
        <v xml:space="preserve">  </v>
      </c>
      <c r="BN18" s="258" t="str">
        <v xml:space="preserve">  </v>
      </c>
      <c r="BO18" s="258" t="str">
        <v xml:space="preserve">  </v>
      </c>
      <c r="BP18" s="258" t="str">
        <v xml:space="preserve">  </v>
      </c>
      <c r="BQ18" s="258" t="str">
        <v xml:space="preserve">  </v>
      </c>
      <c r="BR18" s="258" t="str">
        <v xml:space="preserve">  </v>
      </c>
      <c r="BS18" s="258" t="str">
        <v xml:space="preserve">  </v>
      </c>
      <c r="BT18" s="258" t="str">
        <v xml:space="preserve">  </v>
      </c>
      <c r="BU18" s="258" t="str">
        <v xml:space="preserve">  </v>
      </c>
      <c r="BV18" s="258" t="str">
        <v xml:space="preserve">  </v>
      </c>
      <c r="BW18" s="258" t="str">
        <v xml:space="preserve">  </v>
      </c>
      <c r="BX18" s="258" t="str">
        <v xml:space="preserve">  </v>
      </c>
      <c r="BY18" s="258" t="str">
        <v xml:space="preserve">  </v>
      </c>
      <c r="BZ18" s="258" t="str">
        <v xml:space="preserve">  </v>
      </c>
      <c r="CA18" s="258" t="str">
        <v xml:space="preserve">  </v>
      </c>
      <c r="CB18" s="258" t="str">
        <v xml:space="preserve">  </v>
      </c>
      <c r="CC18" s="258" t="str">
        <v xml:space="preserve">  </v>
      </c>
      <c r="CD18" s="259" t="str">
        <v xml:space="preserve">  </v>
      </c>
      <c r="CG18" s="265">
        <f t="shared" si="5"/>
        <v>11</v>
      </c>
      <c r="CH18" s="265">
        <f t="shared" si="6"/>
        <v>11</v>
      </c>
      <c r="CI18" s="265">
        <f t="shared" si="6"/>
        <v>11</v>
      </c>
      <c r="CJ18" s="265"/>
      <c r="CK18" s="268">
        <f t="shared" si="3"/>
        <v>11</v>
      </c>
      <c r="CL18" s="269">
        <f t="shared" si="7"/>
        <v>11</v>
      </c>
      <c r="CM18" s="269">
        <f t="shared" si="8"/>
        <v>11.02766757865937</v>
      </c>
      <c r="CN18" s="269">
        <f t="shared" si="9"/>
        <v>11.056771545827633</v>
      </c>
      <c r="CO18" s="269">
        <f t="shared" si="10"/>
        <v>11.086381668946649</v>
      </c>
      <c r="CP18" s="269">
        <f t="shared" si="11"/>
        <v>11.116479708162334</v>
      </c>
      <c r="CQ18" s="269">
        <f t="shared" si="12"/>
        <v>11.236862745098039</v>
      </c>
      <c r="CR18" s="269">
        <f t="shared" si="13"/>
        <v>11.357245782033743</v>
      </c>
      <c r="CS18" s="269">
        <f t="shared" si="14"/>
        <v>11.477628818969448</v>
      </c>
      <c r="CT18" s="269">
        <f t="shared" si="15"/>
        <v>11.579954400364796</v>
      </c>
      <c r="CU18" s="269">
        <f t="shared" si="16"/>
        <v>11.598011855905153</v>
      </c>
      <c r="CV18" s="269">
        <f t="shared" si="17"/>
        <v>11.718394892840857</v>
      </c>
      <c r="CW18" s="269">
        <f t="shared" si="18"/>
        <v>11.77858641130871</v>
      </c>
      <c r="CX18" s="269" t="e">
        <f t="shared" si="19"/>
        <v>#VALUE!</v>
      </c>
      <c r="CY18" s="269" t="e">
        <f t="shared" si="20"/>
        <v>#VALUE!</v>
      </c>
      <c r="CZ18" s="269" t="e">
        <f t="shared" si="21"/>
        <v>#VALUE!</v>
      </c>
      <c r="DA18" s="269" t="e">
        <f t="shared" si="22"/>
        <v>#VALUE!</v>
      </c>
      <c r="DB18" s="269" t="e">
        <f t="shared" si="23"/>
        <v>#VALUE!</v>
      </c>
      <c r="DC18" s="269" t="e">
        <f t="shared" si="24"/>
        <v>#VALUE!</v>
      </c>
      <c r="DD18" s="269" t="e">
        <f t="shared" si="25"/>
        <v>#VALUE!</v>
      </c>
      <c r="DE18" s="269" t="e">
        <f t="shared" si="26"/>
        <v>#VALUE!</v>
      </c>
      <c r="DF18" s="269" t="e">
        <f t="shared" si="27"/>
        <v>#VALUE!</v>
      </c>
      <c r="DG18" s="269" t="e">
        <f t="shared" si="28"/>
        <v>#VALUE!</v>
      </c>
      <c r="DH18" s="269" t="e">
        <f t="shared" si="29"/>
        <v>#VALUE!</v>
      </c>
      <c r="DI18" s="269" t="e">
        <f t="shared" si="30"/>
        <v>#VALUE!</v>
      </c>
      <c r="DJ18" s="269" t="e">
        <f t="shared" si="31"/>
        <v>#VALUE!</v>
      </c>
    </row>
    <row r="19" spans="1:114" x14ac:dyDescent="0.25">
      <c r="A19" s="242">
        <v>15</v>
      </c>
      <c r="B19" s="243">
        <v>8.9</v>
      </c>
      <c r="C19" s="243">
        <v>9.76</v>
      </c>
      <c r="D19" s="243">
        <v>10.199999999999999</v>
      </c>
      <c r="E19" s="243">
        <v>10.5</v>
      </c>
      <c r="F19" s="243">
        <v>10.7</v>
      </c>
      <c r="G19" s="243">
        <v>11</v>
      </c>
      <c r="H19" s="243">
        <v>11</v>
      </c>
      <c r="I19" s="243">
        <v>11</v>
      </c>
      <c r="J19" s="243">
        <v>11</v>
      </c>
      <c r="K19" s="243">
        <v>11</v>
      </c>
      <c r="L19" s="243">
        <v>11</v>
      </c>
      <c r="M19" s="243">
        <v>11</v>
      </c>
      <c r="N19" s="243">
        <v>0</v>
      </c>
      <c r="O19" s="243">
        <v>0</v>
      </c>
      <c r="P19" s="243">
        <v>0</v>
      </c>
      <c r="Q19" s="243">
        <v>0</v>
      </c>
      <c r="R19" s="243">
        <v>0</v>
      </c>
      <c r="S19" s="243">
        <v>0</v>
      </c>
      <c r="T19" s="243">
        <v>0</v>
      </c>
      <c r="U19" s="243">
        <v>0</v>
      </c>
      <c r="V19" s="243">
        <v>0</v>
      </c>
      <c r="W19" s="243">
        <v>0</v>
      </c>
      <c r="X19" s="243">
        <v>0</v>
      </c>
      <c r="Y19" s="243">
        <v>0</v>
      </c>
      <c r="Z19" s="244">
        <v>0</v>
      </c>
      <c r="AA19" s="132">
        <v>0</v>
      </c>
      <c r="AC19" s="249">
        <v>17</v>
      </c>
      <c r="AD19" s="263">
        <f t="shared" si="2"/>
        <v>14</v>
      </c>
      <c r="AE19" s="264">
        <f t="shared" si="33"/>
        <v>9.5</v>
      </c>
      <c r="AF19" s="264">
        <f t="shared" si="33"/>
        <v>10.32</v>
      </c>
      <c r="AG19" s="264">
        <f t="shared" si="33"/>
        <v>10.66</v>
      </c>
      <c r="AH19" s="264">
        <f t="shared" si="33"/>
        <v>10.87</v>
      </c>
      <c r="AI19" s="264">
        <f t="shared" si="33"/>
        <v>11</v>
      </c>
      <c r="AJ19" s="264">
        <f t="shared" si="32"/>
        <v>11</v>
      </c>
      <c r="AK19" s="264">
        <f t="shared" si="32"/>
        <v>11</v>
      </c>
      <c r="AL19" s="264">
        <f t="shared" si="32"/>
        <v>11</v>
      </c>
      <c r="AM19" s="264">
        <f t="shared" si="32"/>
        <v>11</v>
      </c>
      <c r="AN19" s="264">
        <f t="shared" si="32"/>
        <v>11</v>
      </c>
      <c r="AO19" s="264">
        <f t="shared" si="32"/>
        <v>11</v>
      </c>
      <c r="AP19" s="264">
        <f t="shared" si="32"/>
        <v>11</v>
      </c>
      <c r="AQ19" s="264" t="str">
        <f t="shared" si="32"/>
        <v xml:space="preserve">  </v>
      </c>
      <c r="AR19" s="264" t="str">
        <f t="shared" si="32"/>
        <v xml:space="preserve">  </v>
      </c>
      <c r="AS19" s="264" t="str">
        <f t="shared" si="32"/>
        <v xml:space="preserve">  </v>
      </c>
      <c r="AT19" s="264" t="str">
        <f t="shared" si="32"/>
        <v xml:space="preserve">  </v>
      </c>
      <c r="AU19" s="264" t="str">
        <f t="shared" si="32"/>
        <v xml:space="preserve">  </v>
      </c>
      <c r="AV19" s="264" t="str">
        <f t="shared" si="32"/>
        <v xml:space="preserve">  </v>
      </c>
      <c r="AW19" s="264" t="str">
        <f t="shared" si="32"/>
        <v xml:space="preserve">  </v>
      </c>
      <c r="AX19" s="264" t="str">
        <f t="shared" si="32"/>
        <v xml:space="preserve">  </v>
      </c>
      <c r="AY19" s="264" t="str">
        <f t="shared" si="32"/>
        <v xml:space="preserve">  </v>
      </c>
      <c r="AZ19" s="264" t="str">
        <f t="shared" si="32"/>
        <v xml:space="preserve">  </v>
      </c>
      <c r="BA19" s="264" t="str">
        <f t="shared" si="32"/>
        <v xml:space="preserve">  </v>
      </c>
      <c r="BB19" s="264" t="str">
        <f t="shared" si="32"/>
        <v xml:space="preserve">  </v>
      </c>
      <c r="BC19" s="264" t="str">
        <f t="shared" si="32"/>
        <v xml:space="preserve">  </v>
      </c>
      <c r="BD19" s="132">
        <v>17</v>
      </c>
      <c r="BE19" s="255" t="str">
        <v xml:space="preserve">  </v>
      </c>
      <c r="BF19" s="258" t="str">
        <v xml:space="preserve">  </v>
      </c>
      <c r="BG19" s="258" t="str">
        <v xml:space="preserve">  </v>
      </c>
      <c r="BH19" s="258" t="str">
        <v xml:space="preserve">  </v>
      </c>
      <c r="BI19" s="258" t="str">
        <v xml:space="preserve">  </v>
      </c>
      <c r="BJ19" s="258" t="str">
        <v xml:space="preserve">  </v>
      </c>
      <c r="BK19" s="258" t="str">
        <v xml:space="preserve">  </v>
      </c>
      <c r="BL19" s="258" t="str">
        <v xml:space="preserve">  </v>
      </c>
      <c r="BM19" s="258" t="str">
        <v xml:space="preserve">  </v>
      </c>
      <c r="BN19" s="258" t="str">
        <v xml:space="preserve">  </v>
      </c>
      <c r="BO19" s="258" t="str">
        <v xml:space="preserve">  </v>
      </c>
      <c r="BP19" s="258" t="str">
        <v xml:space="preserve">  </v>
      </c>
      <c r="BQ19" s="258" t="str">
        <v xml:space="preserve">  </v>
      </c>
      <c r="BR19" s="258" t="str">
        <v xml:space="preserve">  </v>
      </c>
      <c r="BS19" s="258" t="str">
        <v xml:space="preserve">  </v>
      </c>
      <c r="BT19" s="258" t="str">
        <v xml:space="preserve">  </v>
      </c>
      <c r="BU19" s="258" t="str">
        <v xml:space="preserve">  </v>
      </c>
      <c r="BV19" s="258" t="str">
        <v xml:space="preserve">  </v>
      </c>
      <c r="BW19" s="258" t="str">
        <v xml:space="preserve">  </v>
      </c>
      <c r="BX19" s="258" t="str">
        <v xml:space="preserve">  </v>
      </c>
      <c r="BY19" s="258" t="str">
        <v xml:space="preserve">  </v>
      </c>
      <c r="BZ19" s="258" t="str">
        <v xml:space="preserve">  </v>
      </c>
      <c r="CA19" s="258" t="str">
        <v xml:space="preserve">  </v>
      </c>
      <c r="CB19" s="258" t="str">
        <v xml:space="preserve">  </v>
      </c>
      <c r="CC19" s="258" t="str">
        <v xml:space="preserve">  </v>
      </c>
      <c r="CD19" s="259" t="str">
        <v xml:space="preserve">  </v>
      </c>
      <c r="CG19" s="265">
        <f t="shared" si="5"/>
        <v>12</v>
      </c>
      <c r="CH19" s="265">
        <f t="shared" si="6"/>
        <v>12</v>
      </c>
      <c r="CI19" s="265">
        <f t="shared" si="6"/>
        <v>12</v>
      </c>
      <c r="CJ19" s="265"/>
      <c r="CK19" s="268">
        <f t="shared" si="3"/>
        <v>12</v>
      </c>
      <c r="CL19" s="269">
        <f t="shared" si="7"/>
        <v>12</v>
      </c>
      <c r="CM19" s="269">
        <f t="shared" si="8"/>
        <v>12.02766757865937</v>
      </c>
      <c r="CN19" s="269">
        <f t="shared" si="9"/>
        <v>12.056771545827633</v>
      </c>
      <c r="CO19" s="269">
        <f t="shared" si="10"/>
        <v>12.086381668946649</v>
      </c>
      <c r="CP19" s="269">
        <f t="shared" si="11"/>
        <v>12.116479708162334</v>
      </c>
      <c r="CQ19" s="269">
        <f t="shared" si="12"/>
        <v>12.236862745098039</v>
      </c>
      <c r="CR19" s="269">
        <f t="shared" si="13"/>
        <v>12.357245782033743</v>
      </c>
      <c r="CS19" s="269">
        <f t="shared" si="14"/>
        <v>12.477628818969448</v>
      </c>
      <c r="CT19" s="269">
        <f t="shared" si="15"/>
        <v>12.579954400364796</v>
      </c>
      <c r="CU19" s="269">
        <f t="shared" si="16"/>
        <v>12.598011855905153</v>
      </c>
      <c r="CV19" s="269">
        <f t="shared" si="17"/>
        <v>12.718394892840857</v>
      </c>
      <c r="CW19" s="269">
        <f t="shared" si="18"/>
        <v>12.77858641130871</v>
      </c>
      <c r="CX19" s="269" t="e">
        <f t="shared" si="19"/>
        <v>#VALUE!</v>
      </c>
      <c r="CY19" s="269" t="e">
        <f t="shared" si="20"/>
        <v>#VALUE!</v>
      </c>
      <c r="CZ19" s="269" t="e">
        <f t="shared" si="21"/>
        <v>#VALUE!</v>
      </c>
      <c r="DA19" s="269" t="e">
        <f t="shared" si="22"/>
        <v>#VALUE!</v>
      </c>
      <c r="DB19" s="269" t="e">
        <f t="shared" si="23"/>
        <v>#VALUE!</v>
      </c>
      <c r="DC19" s="269" t="e">
        <f t="shared" si="24"/>
        <v>#VALUE!</v>
      </c>
      <c r="DD19" s="269" t="e">
        <f t="shared" si="25"/>
        <v>#VALUE!</v>
      </c>
      <c r="DE19" s="269" t="e">
        <f t="shared" si="26"/>
        <v>#VALUE!</v>
      </c>
      <c r="DF19" s="269" t="e">
        <f t="shared" si="27"/>
        <v>#VALUE!</v>
      </c>
      <c r="DG19" s="269" t="e">
        <f t="shared" si="28"/>
        <v>#VALUE!</v>
      </c>
      <c r="DH19" s="269" t="e">
        <f t="shared" si="29"/>
        <v>#VALUE!</v>
      </c>
      <c r="DI19" s="269" t="e">
        <f t="shared" si="30"/>
        <v>#VALUE!</v>
      </c>
      <c r="DJ19" s="269" t="e">
        <f t="shared" si="31"/>
        <v>#VALUE!</v>
      </c>
    </row>
    <row r="20" spans="1:114" x14ac:dyDescent="0.25">
      <c r="A20" s="242">
        <v>16</v>
      </c>
      <c r="B20" s="243">
        <v>7.6</v>
      </c>
      <c r="C20" s="243">
        <v>8.64</v>
      </c>
      <c r="D20" s="243">
        <v>9.27</v>
      </c>
      <c r="E20" s="243">
        <v>9.66</v>
      </c>
      <c r="F20" s="243">
        <v>9.91</v>
      </c>
      <c r="G20" s="243">
        <v>10.5</v>
      </c>
      <c r="H20" s="243">
        <v>10.7</v>
      </c>
      <c r="I20" s="243">
        <v>10.8</v>
      </c>
      <c r="J20" s="243">
        <v>10.89</v>
      </c>
      <c r="K20" s="243">
        <v>10.9</v>
      </c>
      <c r="L20" s="243">
        <v>11</v>
      </c>
      <c r="M20" s="243">
        <v>11</v>
      </c>
      <c r="N20" s="243">
        <v>0</v>
      </c>
      <c r="O20" s="243">
        <v>0</v>
      </c>
      <c r="P20" s="243">
        <v>0</v>
      </c>
      <c r="Q20" s="243">
        <v>0</v>
      </c>
      <c r="R20" s="243">
        <v>0</v>
      </c>
      <c r="S20" s="243">
        <v>0</v>
      </c>
      <c r="T20" s="243">
        <v>0</v>
      </c>
      <c r="U20" s="243">
        <v>0</v>
      </c>
      <c r="V20" s="243">
        <v>0</v>
      </c>
      <c r="W20" s="243">
        <v>0</v>
      </c>
      <c r="X20" s="243">
        <v>0</v>
      </c>
      <c r="Y20" s="243">
        <v>0</v>
      </c>
      <c r="Z20" s="244">
        <v>0</v>
      </c>
      <c r="AA20" s="132">
        <v>0</v>
      </c>
      <c r="AC20" s="249">
        <v>18</v>
      </c>
      <c r="AD20" s="263">
        <f t="shared" si="2"/>
        <v>15</v>
      </c>
      <c r="AE20" s="264">
        <f t="shared" si="33"/>
        <v>8.9</v>
      </c>
      <c r="AF20" s="264">
        <f t="shared" si="33"/>
        <v>9.76</v>
      </c>
      <c r="AG20" s="264">
        <f t="shared" si="33"/>
        <v>10.199999999999999</v>
      </c>
      <c r="AH20" s="264">
        <f t="shared" si="33"/>
        <v>10.5</v>
      </c>
      <c r="AI20" s="264">
        <f t="shared" si="33"/>
        <v>10.7</v>
      </c>
      <c r="AJ20" s="264">
        <f t="shared" si="32"/>
        <v>11</v>
      </c>
      <c r="AK20" s="264">
        <f t="shared" si="32"/>
        <v>11</v>
      </c>
      <c r="AL20" s="264">
        <f t="shared" si="32"/>
        <v>11</v>
      </c>
      <c r="AM20" s="264">
        <f t="shared" si="32"/>
        <v>11</v>
      </c>
      <c r="AN20" s="264">
        <f t="shared" si="32"/>
        <v>11</v>
      </c>
      <c r="AO20" s="264">
        <f t="shared" si="32"/>
        <v>11</v>
      </c>
      <c r="AP20" s="264">
        <f t="shared" si="32"/>
        <v>11</v>
      </c>
      <c r="AQ20" s="264" t="str">
        <f t="shared" si="32"/>
        <v xml:space="preserve">  </v>
      </c>
      <c r="AR20" s="264" t="str">
        <f t="shared" si="32"/>
        <v xml:space="preserve">  </v>
      </c>
      <c r="AS20" s="264" t="str">
        <f t="shared" si="32"/>
        <v xml:space="preserve">  </v>
      </c>
      <c r="AT20" s="264" t="str">
        <f t="shared" si="32"/>
        <v xml:space="preserve">  </v>
      </c>
      <c r="AU20" s="264" t="str">
        <f t="shared" si="32"/>
        <v xml:space="preserve">  </v>
      </c>
      <c r="AV20" s="264" t="str">
        <f t="shared" si="32"/>
        <v xml:space="preserve">  </v>
      </c>
      <c r="AW20" s="264" t="str">
        <f t="shared" si="32"/>
        <v xml:space="preserve">  </v>
      </c>
      <c r="AX20" s="264" t="str">
        <f t="shared" si="32"/>
        <v xml:space="preserve">  </v>
      </c>
      <c r="AY20" s="264" t="str">
        <f t="shared" si="32"/>
        <v xml:space="preserve">  </v>
      </c>
      <c r="AZ20" s="264" t="str">
        <f t="shared" si="32"/>
        <v xml:space="preserve">  </v>
      </c>
      <c r="BA20" s="264" t="str">
        <f t="shared" si="32"/>
        <v xml:space="preserve">  </v>
      </c>
      <c r="BB20" s="264" t="str">
        <f t="shared" si="32"/>
        <v xml:space="preserve">  </v>
      </c>
      <c r="BC20" s="264" t="str">
        <f t="shared" si="32"/>
        <v xml:space="preserve">  </v>
      </c>
      <c r="BD20" s="132">
        <v>18</v>
      </c>
      <c r="BE20" s="255" t="str">
        <v xml:space="preserve">  </v>
      </c>
      <c r="BF20" s="258" t="str">
        <v xml:space="preserve">  </v>
      </c>
      <c r="BG20" s="258" t="str">
        <v xml:space="preserve">  </v>
      </c>
      <c r="BH20" s="258" t="str">
        <v xml:space="preserve">  </v>
      </c>
      <c r="BI20" s="258" t="str">
        <v xml:space="preserve">  </v>
      </c>
      <c r="BJ20" s="258" t="str">
        <v xml:space="preserve">  </v>
      </c>
      <c r="BK20" s="258" t="str">
        <v xml:space="preserve">  </v>
      </c>
      <c r="BL20" s="258" t="str">
        <v xml:space="preserve">  </v>
      </c>
      <c r="BM20" s="258" t="str">
        <v xml:space="preserve">  </v>
      </c>
      <c r="BN20" s="258" t="str">
        <v xml:space="preserve">  </v>
      </c>
      <c r="BO20" s="258" t="str">
        <v xml:space="preserve">  </v>
      </c>
      <c r="BP20" s="258" t="str">
        <v xml:space="preserve">  </v>
      </c>
      <c r="BQ20" s="258" t="str">
        <v xml:space="preserve">  </v>
      </c>
      <c r="BR20" s="258" t="str">
        <v xml:space="preserve">  </v>
      </c>
      <c r="BS20" s="258" t="str">
        <v xml:space="preserve">  </v>
      </c>
      <c r="BT20" s="258" t="str">
        <v xml:space="preserve">  </v>
      </c>
      <c r="BU20" s="258" t="str">
        <v xml:space="preserve">  </v>
      </c>
      <c r="BV20" s="258" t="str">
        <v xml:space="preserve">  </v>
      </c>
      <c r="BW20" s="258" t="str">
        <v xml:space="preserve">  </v>
      </c>
      <c r="BX20" s="258" t="str">
        <v xml:space="preserve">  </v>
      </c>
      <c r="BY20" s="258" t="str">
        <v xml:space="preserve">  </v>
      </c>
      <c r="BZ20" s="258" t="str">
        <v xml:space="preserve">  </v>
      </c>
      <c r="CA20" s="258" t="str">
        <v xml:space="preserve">  </v>
      </c>
      <c r="CB20" s="258" t="str">
        <v xml:space="preserve">  </v>
      </c>
      <c r="CC20" s="258" t="str">
        <v xml:space="preserve">  </v>
      </c>
      <c r="CD20" s="259" t="str">
        <v xml:space="preserve">  </v>
      </c>
      <c r="CG20" s="265">
        <f t="shared" si="5"/>
        <v>13</v>
      </c>
      <c r="CH20" s="265">
        <f t="shared" si="6"/>
        <v>13</v>
      </c>
      <c r="CI20" s="265">
        <f t="shared" si="6"/>
        <v>13</v>
      </c>
      <c r="CJ20" s="265"/>
      <c r="CK20" s="268">
        <f t="shared" ref="CK20:CK29" si="34">A85</f>
        <v>13</v>
      </c>
      <c r="CL20" s="269">
        <f t="shared" si="7"/>
        <v>13</v>
      </c>
      <c r="CM20" s="269">
        <f t="shared" si="8"/>
        <v>13.02766757865937</v>
      </c>
      <c r="CN20" s="269">
        <f t="shared" si="9"/>
        <v>13.056771545827633</v>
      </c>
      <c r="CO20" s="269">
        <f t="shared" si="10"/>
        <v>13.086381668946649</v>
      </c>
      <c r="CP20" s="269">
        <f t="shared" si="11"/>
        <v>13.116479708162334</v>
      </c>
      <c r="CQ20" s="269">
        <f t="shared" si="12"/>
        <v>13.236862745098039</v>
      </c>
      <c r="CR20" s="269">
        <f t="shared" si="13"/>
        <v>13.357245782033743</v>
      </c>
      <c r="CS20" s="269">
        <f t="shared" si="14"/>
        <v>13.477628818969448</v>
      </c>
      <c r="CT20" s="269">
        <f t="shared" si="15"/>
        <v>13.579954400364796</v>
      </c>
      <c r="CU20" s="269">
        <f t="shared" si="16"/>
        <v>13.598011855905153</v>
      </c>
      <c r="CV20" s="269">
        <f t="shared" si="17"/>
        <v>13.718394892840857</v>
      </c>
      <c r="CW20" s="269">
        <f t="shared" si="18"/>
        <v>13.77858641130871</v>
      </c>
      <c r="CX20" s="269" t="e">
        <f t="shared" si="19"/>
        <v>#VALUE!</v>
      </c>
      <c r="CY20" s="269" t="e">
        <f t="shared" si="20"/>
        <v>#VALUE!</v>
      </c>
      <c r="CZ20" s="269" t="e">
        <f t="shared" si="21"/>
        <v>#VALUE!</v>
      </c>
      <c r="DA20" s="269" t="e">
        <f t="shared" si="22"/>
        <v>#VALUE!</v>
      </c>
      <c r="DB20" s="269" t="e">
        <f t="shared" si="23"/>
        <v>#VALUE!</v>
      </c>
      <c r="DC20" s="269" t="e">
        <f t="shared" si="24"/>
        <v>#VALUE!</v>
      </c>
      <c r="DD20" s="269" t="e">
        <f t="shared" si="25"/>
        <v>#VALUE!</v>
      </c>
      <c r="DE20" s="269" t="e">
        <f t="shared" si="26"/>
        <v>#VALUE!</v>
      </c>
      <c r="DF20" s="269" t="e">
        <f t="shared" si="27"/>
        <v>#VALUE!</v>
      </c>
      <c r="DG20" s="269" t="e">
        <f t="shared" si="28"/>
        <v>#VALUE!</v>
      </c>
      <c r="DH20" s="269" t="e">
        <f t="shared" si="29"/>
        <v>#VALUE!</v>
      </c>
      <c r="DI20" s="269" t="e">
        <f t="shared" si="30"/>
        <v>#VALUE!</v>
      </c>
      <c r="DJ20" s="269" t="e">
        <f t="shared" si="31"/>
        <v>#VALUE!</v>
      </c>
    </row>
    <row r="21" spans="1:114" x14ac:dyDescent="0.25">
      <c r="A21" s="242">
        <v>17</v>
      </c>
      <c r="B21" s="243">
        <v>5.6</v>
      </c>
      <c r="C21" s="243">
        <v>6.89</v>
      </c>
      <c r="D21" s="243">
        <v>7.56</v>
      </c>
      <c r="E21" s="243">
        <v>8.0399999999999991</v>
      </c>
      <c r="F21" s="243">
        <v>8.42</v>
      </c>
      <c r="G21" s="243">
        <v>9.32</v>
      </c>
      <c r="H21" s="243">
        <v>9.69</v>
      </c>
      <c r="I21" s="243">
        <v>9.99</v>
      </c>
      <c r="J21" s="243">
        <v>10.23</v>
      </c>
      <c r="K21" s="243">
        <v>10.27</v>
      </c>
      <c r="L21" s="243">
        <v>10.5</v>
      </c>
      <c r="M21" s="243">
        <v>10.62</v>
      </c>
      <c r="N21" s="243">
        <v>0</v>
      </c>
      <c r="O21" s="243">
        <v>0</v>
      </c>
      <c r="P21" s="243">
        <v>0</v>
      </c>
      <c r="Q21" s="243">
        <v>0</v>
      </c>
      <c r="R21" s="243">
        <v>0</v>
      </c>
      <c r="S21" s="243">
        <v>0</v>
      </c>
      <c r="T21" s="243">
        <v>0</v>
      </c>
      <c r="U21" s="243">
        <v>0</v>
      </c>
      <c r="V21" s="243">
        <v>0</v>
      </c>
      <c r="W21" s="243">
        <v>0</v>
      </c>
      <c r="X21" s="243">
        <v>0</v>
      </c>
      <c r="Y21" s="243">
        <v>0</v>
      </c>
      <c r="Z21" s="244">
        <v>0</v>
      </c>
      <c r="AA21" s="132">
        <v>0</v>
      </c>
      <c r="AC21" s="249">
        <v>19</v>
      </c>
      <c r="AD21" s="263">
        <f t="shared" si="2"/>
        <v>16</v>
      </c>
      <c r="AE21" s="264">
        <f t="shared" si="33"/>
        <v>7.6</v>
      </c>
      <c r="AF21" s="264">
        <f t="shared" si="33"/>
        <v>8.64</v>
      </c>
      <c r="AG21" s="264">
        <f t="shared" si="33"/>
        <v>9.27</v>
      </c>
      <c r="AH21" s="264">
        <f t="shared" si="33"/>
        <v>9.66</v>
      </c>
      <c r="AI21" s="264">
        <f t="shared" si="33"/>
        <v>9.91</v>
      </c>
      <c r="AJ21" s="264">
        <f t="shared" si="32"/>
        <v>10.5</v>
      </c>
      <c r="AK21" s="264">
        <f t="shared" si="32"/>
        <v>10.7</v>
      </c>
      <c r="AL21" s="264">
        <f t="shared" si="32"/>
        <v>10.8</v>
      </c>
      <c r="AM21" s="264">
        <f t="shared" si="32"/>
        <v>10.89</v>
      </c>
      <c r="AN21" s="264">
        <f t="shared" si="32"/>
        <v>10.9</v>
      </c>
      <c r="AO21" s="264">
        <f t="shared" si="32"/>
        <v>11</v>
      </c>
      <c r="AP21" s="264">
        <f t="shared" si="32"/>
        <v>11</v>
      </c>
      <c r="AQ21" s="264" t="str">
        <f t="shared" si="32"/>
        <v xml:space="preserve">  </v>
      </c>
      <c r="AR21" s="264" t="str">
        <f t="shared" si="32"/>
        <v xml:space="preserve">  </v>
      </c>
      <c r="AS21" s="264" t="str">
        <f t="shared" si="32"/>
        <v xml:space="preserve">  </v>
      </c>
      <c r="AT21" s="264" t="str">
        <f t="shared" si="32"/>
        <v xml:space="preserve">  </v>
      </c>
      <c r="AU21" s="264" t="str">
        <f t="shared" si="32"/>
        <v xml:space="preserve">  </v>
      </c>
      <c r="AV21" s="264" t="str">
        <f t="shared" si="32"/>
        <v xml:space="preserve">  </v>
      </c>
      <c r="AW21" s="264" t="str">
        <f t="shared" si="32"/>
        <v xml:space="preserve">  </v>
      </c>
      <c r="AX21" s="264" t="str">
        <f t="shared" si="32"/>
        <v xml:space="preserve">  </v>
      </c>
      <c r="AY21" s="264" t="str">
        <f t="shared" si="32"/>
        <v xml:space="preserve">  </v>
      </c>
      <c r="AZ21" s="264" t="str">
        <f t="shared" si="32"/>
        <v xml:space="preserve">  </v>
      </c>
      <c r="BA21" s="264" t="str">
        <f t="shared" si="32"/>
        <v xml:space="preserve">  </v>
      </c>
      <c r="BB21" s="264" t="str">
        <f t="shared" si="32"/>
        <v xml:space="preserve">  </v>
      </c>
      <c r="BC21" s="264" t="str">
        <f t="shared" si="32"/>
        <v xml:space="preserve">  </v>
      </c>
      <c r="BD21" s="132">
        <v>19</v>
      </c>
      <c r="BE21" s="255" t="str">
        <v xml:space="preserve">  </v>
      </c>
      <c r="BF21" s="258" t="str">
        <v xml:space="preserve">  </v>
      </c>
      <c r="BG21" s="258" t="str">
        <v xml:space="preserve">  </v>
      </c>
      <c r="BH21" s="258" t="str">
        <v xml:space="preserve">  </v>
      </c>
      <c r="BI21" s="258" t="str">
        <v xml:space="preserve">  </v>
      </c>
      <c r="BJ21" s="258" t="str">
        <v xml:space="preserve">  </v>
      </c>
      <c r="BK21" s="258" t="str">
        <v xml:space="preserve">  </v>
      </c>
      <c r="BL21" s="258" t="str">
        <v xml:space="preserve">  </v>
      </c>
      <c r="BM21" s="258" t="str">
        <v xml:space="preserve">  </v>
      </c>
      <c r="BN21" s="258" t="str">
        <v xml:space="preserve">  </v>
      </c>
      <c r="BO21" s="258" t="str">
        <v xml:space="preserve">  </v>
      </c>
      <c r="BP21" s="258" t="str">
        <v xml:space="preserve">  </v>
      </c>
      <c r="BQ21" s="258" t="str">
        <v xml:space="preserve">  </v>
      </c>
      <c r="BR21" s="258" t="str">
        <v xml:space="preserve">  </v>
      </c>
      <c r="BS21" s="258" t="str">
        <v xml:space="preserve">  </v>
      </c>
      <c r="BT21" s="258" t="str">
        <v xml:space="preserve">  </v>
      </c>
      <c r="BU21" s="258" t="str">
        <v xml:space="preserve">  </v>
      </c>
      <c r="BV21" s="258" t="str">
        <v xml:space="preserve">  </v>
      </c>
      <c r="BW21" s="258" t="str">
        <v xml:space="preserve">  </v>
      </c>
      <c r="BX21" s="258" t="str">
        <v xml:space="preserve">  </v>
      </c>
      <c r="BY21" s="258" t="str">
        <v xml:space="preserve">  </v>
      </c>
      <c r="BZ21" s="258" t="str">
        <v xml:space="preserve">  </v>
      </c>
      <c r="CA21" s="258" t="str">
        <v xml:space="preserve">  </v>
      </c>
      <c r="CB21" s="258" t="str">
        <v xml:space="preserve">  </v>
      </c>
      <c r="CC21" s="258" t="str">
        <v xml:space="preserve">  </v>
      </c>
      <c r="CD21" s="259" t="str">
        <v xml:space="preserve">  </v>
      </c>
      <c r="CG21" s="265">
        <f t="shared" si="5"/>
        <v>14</v>
      </c>
      <c r="CH21" s="265">
        <f t="shared" si="6"/>
        <v>14</v>
      </c>
      <c r="CI21" s="265">
        <f t="shared" si="6"/>
        <v>14</v>
      </c>
      <c r="CJ21" s="265"/>
      <c r="CK21" s="268">
        <f t="shared" si="34"/>
        <v>14</v>
      </c>
      <c r="CL21" s="269">
        <f t="shared" si="7"/>
        <v>14</v>
      </c>
      <c r="CM21" s="269">
        <f t="shared" si="8"/>
        <v>14.027222982216141</v>
      </c>
      <c r="CN21" s="269">
        <f t="shared" si="9"/>
        <v>14.056032831737346</v>
      </c>
      <c r="CO21" s="269">
        <f t="shared" si="10"/>
        <v>14.085435476516189</v>
      </c>
      <c r="CP21" s="269">
        <f t="shared" si="11"/>
        <v>14.115440036479708</v>
      </c>
      <c r="CQ21" s="269">
        <f t="shared" si="12"/>
        <v>14.235823073415412</v>
      </c>
      <c r="CR21" s="269">
        <f t="shared" si="13"/>
        <v>14.356206110351117</v>
      </c>
      <c r="CS21" s="269">
        <f t="shared" si="14"/>
        <v>14.476589147286822</v>
      </c>
      <c r="CT21" s="269">
        <f t="shared" si="15"/>
        <v>14.57891472868217</v>
      </c>
      <c r="CU21" s="269">
        <f t="shared" si="16"/>
        <v>14.596972184222526</v>
      </c>
      <c r="CV21" s="269">
        <f t="shared" si="17"/>
        <v>14.717355221158231</v>
      </c>
      <c r="CW21" s="269">
        <f t="shared" si="18"/>
        <v>14.777546739626082</v>
      </c>
      <c r="CX21" s="269" t="e">
        <f t="shared" si="19"/>
        <v>#VALUE!</v>
      </c>
      <c r="CY21" s="269" t="e">
        <f t="shared" si="20"/>
        <v>#VALUE!</v>
      </c>
      <c r="CZ21" s="269" t="e">
        <f t="shared" si="21"/>
        <v>#VALUE!</v>
      </c>
      <c r="DA21" s="269" t="e">
        <f t="shared" si="22"/>
        <v>#VALUE!</v>
      </c>
      <c r="DB21" s="269" t="e">
        <f t="shared" si="23"/>
        <v>#VALUE!</v>
      </c>
      <c r="DC21" s="269" t="e">
        <f t="shared" si="24"/>
        <v>#VALUE!</v>
      </c>
      <c r="DD21" s="269" t="e">
        <f t="shared" si="25"/>
        <v>#VALUE!</v>
      </c>
      <c r="DE21" s="269" t="e">
        <f t="shared" si="26"/>
        <v>#VALUE!</v>
      </c>
      <c r="DF21" s="269" t="e">
        <f t="shared" si="27"/>
        <v>#VALUE!</v>
      </c>
      <c r="DG21" s="269" t="e">
        <f t="shared" si="28"/>
        <v>#VALUE!</v>
      </c>
      <c r="DH21" s="269" t="e">
        <f t="shared" si="29"/>
        <v>#VALUE!</v>
      </c>
      <c r="DI21" s="269" t="e">
        <f t="shared" si="30"/>
        <v>#VALUE!</v>
      </c>
      <c r="DJ21" s="269" t="e">
        <f t="shared" si="31"/>
        <v>#VALUE!</v>
      </c>
    </row>
    <row r="22" spans="1:114" x14ac:dyDescent="0.25">
      <c r="A22" s="242">
        <v>18</v>
      </c>
      <c r="B22" s="243">
        <v>3.5</v>
      </c>
      <c r="C22" s="243">
        <v>4.6500000000000004</v>
      </c>
      <c r="D22" s="243">
        <v>5.35</v>
      </c>
      <c r="E22" s="243">
        <v>5.87</v>
      </c>
      <c r="F22" s="243">
        <v>6.21</v>
      </c>
      <c r="G22" s="243">
        <v>7.08</v>
      </c>
      <c r="H22" s="243">
        <v>7.57</v>
      </c>
      <c r="I22" s="243">
        <v>7.9291999999999998</v>
      </c>
      <c r="J22" s="243">
        <v>8.3511000000000006</v>
      </c>
      <c r="K22" s="243">
        <v>8.43</v>
      </c>
      <c r="L22" s="243">
        <v>8.92</v>
      </c>
      <c r="M22" s="243">
        <v>9.16</v>
      </c>
      <c r="N22" s="243">
        <v>0</v>
      </c>
      <c r="O22" s="243">
        <v>0</v>
      </c>
      <c r="P22" s="243">
        <v>0</v>
      </c>
      <c r="Q22" s="243">
        <v>0</v>
      </c>
      <c r="R22" s="243">
        <v>0</v>
      </c>
      <c r="S22" s="243">
        <v>0</v>
      </c>
      <c r="T22" s="243">
        <v>0</v>
      </c>
      <c r="U22" s="243">
        <v>0</v>
      </c>
      <c r="V22" s="243">
        <v>0</v>
      </c>
      <c r="W22" s="243">
        <v>0</v>
      </c>
      <c r="X22" s="243">
        <v>0</v>
      </c>
      <c r="Y22" s="243">
        <v>0</v>
      </c>
      <c r="Z22" s="244">
        <v>0</v>
      </c>
      <c r="AA22" s="132">
        <v>0</v>
      </c>
      <c r="AC22" s="249">
        <v>20</v>
      </c>
      <c r="AD22" s="263">
        <f t="shared" si="2"/>
        <v>17</v>
      </c>
      <c r="AE22" s="264">
        <f t="shared" si="33"/>
        <v>5.6</v>
      </c>
      <c r="AF22" s="264">
        <f t="shared" si="33"/>
        <v>6.89</v>
      </c>
      <c r="AG22" s="264">
        <f t="shared" si="33"/>
        <v>7.56</v>
      </c>
      <c r="AH22" s="264">
        <f t="shared" si="33"/>
        <v>8.0399999999999991</v>
      </c>
      <c r="AI22" s="264">
        <f t="shared" si="33"/>
        <v>8.42</v>
      </c>
      <c r="AJ22" s="264">
        <f t="shared" si="32"/>
        <v>9.32</v>
      </c>
      <c r="AK22" s="264">
        <f t="shared" si="32"/>
        <v>9.69</v>
      </c>
      <c r="AL22" s="264">
        <f t="shared" si="32"/>
        <v>9.99</v>
      </c>
      <c r="AM22" s="264">
        <f t="shared" si="32"/>
        <v>10.23</v>
      </c>
      <c r="AN22" s="264">
        <f t="shared" si="32"/>
        <v>10.27</v>
      </c>
      <c r="AO22" s="264">
        <f t="shared" si="32"/>
        <v>10.5</v>
      </c>
      <c r="AP22" s="264">
        <f t="shared" si="32"/>
        <v>10.62</v>
      </c>
      <c r="AQ22" s="264" t="str">
        <f t="shared" si="32"/>
        <v xml:space="preserve">  </v>
      </c>
      <c r="AR22" s="264" t="str">
        <f t="shared" si="32"/>
        <v xml:space="preserve">  </v>
      </c>
      <c r="AS22" s="264" t="str">
        <f t="shared" si="32"/>
        <v xml:space="preserve">  </v>
      </c>
      <c r="AT22" s="264" t="str">
        <f t="shared" si="32"/>
        <v xml:space="preserve">  </v>
      </c>
      <c r="AU22" s="264" t="str">
        <f t="shared" si="32"/>
        <v xml:space="preserve">  </v>
      </c>
      <c r="AV22" s="264" t="str">
        <f t="shared" si="32"/>
        <v xml:space="preserve">  </v>
      </c>
      <c r="AW22" s="264" t="str">
        <f t="shared" si="32"/>
        <v xml:space="preserve">  </v>
      </c>
      <c r="AX22" s="264" t="str">
        <f t="shared" si="32"/>
        <v xml:space="preserve">  </v>
      </c>
      <c r="AY22" s="264" t="str">
        <f t="shared" si="32"/>
        <v xml:space="preserve">  </v>
      </c>
      <c r="AZ22" s="264" t="str">
        <f t="shared" si="32"/>
        <v xml:space="preserve">  </v>
      </c>
      <c r="BA22" s="264" t="str">
        <f t="shared" si="32"/>
        <v xml:space="preserve">  </v>
      </c>
      <c r="BB22" s="264" t="str">
        <f t="shared" si="32"/>
        <v xml:space="preserve">  </v>
      </c>
      <c r="BC22" s="264" t="str">
        <f t="shared" si="32"/>
        <v xml:space="preserve">  </v>
      </c>
      <c r="BD22" s="132">
        <v>20</v>
      </c>
      <c r="BE22" s="255" t="str">
        <v xml:space="preserve">  </v>
      </c>
      <c r="BF22" s="258" t="str">
        <v xml:space="preserve">  </v>
      </c>
      <c r="BG22" s="258" t="str">
        <v xml:space="preserve">  </v>
      </c>
      <c r="BH22" s="258" t="str">
        <v xml:space="preserve">  </v>
      </c>
      <c r="BI22" s="258" t="str">
        <v xml:space="preserve">  </v>
      </c>
      <c r="BJ22" s="258" t="str">
        <v xml:space="preserve">  </v>
      </c>
      <c r="BK22" s="258" t="str">
        <v xml:space="preserve">  </v>
      </c>
      <c r="BL22" s="258" t="str">
        <v xml:space="preserve">  </v>
      </c>
      <c r="BM22" s="258" t="str">
        <v xml:space="preserve">  </v>
      </c>
      <c r="BN22" s="258" t="str">
        <v xml:space="preserve">  </v>
      </c>
      <c r="BO22" s="258" t="str">
        <v xml:space="preserve">  </v>
      </c>
      <c r="BP22" s="258" t="str">
        <v xml:space="preserve">  </v>
      </c>
      <c r="BQ22" s="258" t="str">
        <v xml:space="preserve">  </v>
      </c>
      <c r="BR22" s="258" t="str">
        <v xml:space="preserve">  </v>
      </c>
      <c r="BS22" s="258" t="str">
        <v xml:space="preserve">  </v>
      </c>
      <c r="BT22" s="258" t="str">
        <v xml:space="preserve">  </v>
      </c>
      <c r="BU22" s="258" t="str">
        <v xml:space="preserve">  </v>
      </c>
      <c r="BV22" s="258" t="str">
        <v xml:space="preserve">  </v>
      </c>
      <c r="BW22" s="258" t="str">
        <v xml:space="preserve">  </v>
      </c>
      <c r="BX22" s="258" t="str">
        <v xml:space="preserve">  </v>
      </c>
      <c r="BY22" s="258" t="str">
        <v xml:space="preserve">  </v>
      </c>
      <c r="BZ22" s="258" t="str">
        <v xml:space="preserve">  </v>
      </c>
      <c r="CA22" s="258" t="str">
        <v xml:space="preserve">  </v>
      </c>
      <c r="CB22" s="258" t="str">
        <v xml:space="preserve">  </v>
      </c>
      <c r="CC22" s="258" t="str">
        <v xml:space="preserve">  </v>
      </c>
      <c r="CD22" s="259" t="str">
        <v xml:space="preserve">  </v>
      </c>
      <c r="CG22" s="265">
        <f t="shared" si="5"/>
        <v>15</v>
      </c>
      <c r="CH22" s="265">
        <f t="shared" si="6"/>
        <v>15</v>
      </c>
      <c r="CI22" s="265">
        <f t="shared" si="6"/>
        <v>15</v>
      </c>
      <c r="CJ22" s="265"/>
      <c r="CK22" s="268">
        <f t="shared" si="34"/>
        <v>15</v>
      </c>
      <c r="CL22" s="269">
        <f t="shared" si="7"/>
        <v>15</v>
      </c>
      <c r="CM22" s="269">
        <f t="shared" si="8"/>
        <v>15.025622435020519</v>
      </c>
      <c r="CN22" s="269">
        <f t="shared" si="9"/>
        <v>15.053023255813953</v>
      </c>
      <c r="CO22" s="269">
        <f t="shared" si="10"/>
        <v>15.081308709530324</v>
      </c>
      <c r="CP22" s="269">
        <f t="shared" si="11"/>
        <v>15.110387596899225</v>
      </c>
      <c r="CQ22" s="269">
        <f t="shared" si="12"/>
        <v>15.229402644778842</v>
      </c>
      <c r="CR22" s="269">
        <f t="shared" si="13"/>
        <v>15.350059279525764</v>
      </c>
      <c r="CS22" s="269">
        <f t="shared" si="14"/>
        <v>15.470168718650251</v>
      </c>
      <c r="CT22" s="269">
        <f t="shared" si="15"/>
        <v>15.5724943000456</v>
      </c>
      <c r="CU22" s="269">
        <f t="shared" si="16"/>
        <v>15.590825353397173</v>
      </c>
      <c r="CV22" s="269">
        <f t="shared" si="17"/>
        <v>15.710934792521661</v>
      </c>
      <c r="CW22" s="269">
        <f t="shared" si="18"/>
        <v>15.771126310989512</v>
      </c>
      <c r="CX22" s="269" t="e">
        <f t="shared" si="19"/>
        <v>#VALUE!</v>
      </c>
      <c r="CY22" s="269" t="e">
        <f t="shared" si="20"/>
        <v>#VALUE!</v>
      </c>
      <c r="CZ22" s="269" t="e">
        <f t="shared" si="21"/>
        <v>#VALUE!</v>
      </c>
      <c r="DA22" s="269" t="e">
        <f t="shared" si="22"/>
        <v>#VALUE!</v>
      </c>
      <c r="DB22" s="269" t="e">
        <f t="shared" si="23"/>
        <v>#VALUE!</v>
      </c>
      <c r="DC22" s="269" t="e">
        <f t="shared" si="24"/>
        <v>#VALUE!</v>
      </c>
      <c r="DD22" s="269" t="e">
        <f t="shared" si="25"/>
        <v>#VALUE!</v>
      </c>
      <c r="DE22" s="269" t="e">
        <f t="shared" si="26"/>
        <v>#VALUE!</v>
      </c>
      <c r="DF22" s="269" t="e">
        <f t="shared" si="27"/>
        <v>#VALUE!</v>
      </c>
      <c r="DG22" s="269" t="e">
        <f t="shared" si="28"/>
        <v>#VALUE!</v>
      </c>
      <c r="DH22" s="269" t="e">
        <f t="shared" si="29"/>
        <v>#VALUE!</v>
      </c>
      <c r="DI22" s="269" t="e">
        <f t="shared" si="30"/>
        <v>#VALUE!</v>
      </c>
      <c r="DJ22" s="269" t="e">
        <f t="shared" si="31"/>
        <v>#VALUE!</v>
      </c>
    </row>
    <row r="23" spans="1:114" x14ac:dyDescent="0.25">
      <c r="A23" s="242">
        <v>18.5</v>
      </c>
      <c r="B23" s="243">
        <v>2.2999999999999998</v>
      </c>
      <c r="C23" s="243">
        <v>3.43</v>
      </c>
      <c r="D23" s="243">
        <v>4.13</v>
      </c>
      <c r="E23" s="243">
        <v>4.58</v>
      </c>
      <c r="F23" s="243">
        <v>4.91</v>
      </c>
      <c r="G23" s="243">
        <v>5.63</v>
      </c>
      <c r="H23" s="243">
        <v>6.05</v>
      </c>
      <c r="I23" s="243">
        <v>6.39</v>
      </c>
      <c r="J23" s="243">
        <v>6.82</v>
      </c>
      <c r="K23" s="243">
        <v>6.91</v>
      </c>
      <c r="L23" s="243">
        <v>7.5</v>
      </c>
      <c r="M23" s="243">
        <v>7.8</v>
      </c>
      <c r="N23" s="243">
        <v>0</v>
      </c>
      <c r="O23" s="243">
        <v>0</v>
      </c>
      <c r="P23" s="243">
        <v>0</v>
      </c>
      <c r="Q23" s="243">
        <v>0</v>
      </c>
      <c r="R23" s="243">
        <v>0</v>
      </c>
      <c r="S23" s="243">
        <v>0</v>
      </c>
      <c r="T23" s="243">
        <v>0</v>
      </c>
      <c r="U23" s="243">
        <v>0</v>
      </c>
      <c r="V23" s="243">
        <v>0</v>
      </c>
      <c r="W23" s="243">
        <v>0</v>
      </c>
      <c r="X23" s="243">
        <v>0</v>
      </c>
      <c r="Y23" s="243">
        <v>0</v>
      </c>
      <c r="Z23" s="244">
        <v>0</v>
      </c>
      <c r="AA23" s="132">
        <v>0</v>
      </c>
      <c r="AC23" s="249">
        <v>21</v>
      </c>
      <c r="AD23" s="263">
        <f t="shared" si="2"/>
        <v>18</v>
      </c>
      <c r="AE23" s="264">
        <f t="shared" si="33"/>
        <v>3.5</v>
      </c>
      <c r="AF23" s="264">
        <f t="shared" si="33"/>
        <v>4.6500000000000004</v>
      </c>
      <c r="AG23" s="264">
        <f t="shared" si="33"/>
        <v>5.35</v>
      </c>
      <c r="AH23" s="264">
        <f t="shared" si="33"/>
        <v>5.87</v>
      </c>
      <c r="AI23" s="264">
        <f t="shared" si="33"/>
        <v>6.21</v>
      </c>
      <c r="AJ23" s="264">
        <f t="shared" si="32"/>
        <v>7.08</v>
      </c>
      <c r="AK23" s="264">
        <f t="shared" si="32"/>
        <v>7.57</v>
      </c>
      <c r="AL23" s="264">
        <f t="shared" si="32"/>
        <v>7.9291999999999998</v>
      </c>
      <c r="AM23" s="264">
        <f t="shared" si="32"/>
        <v>8.3511000000000006</v>
      </c>
      <c r="AN23" s="264">
        <f t="shared" si="32"/>
        <v>8.43</v>
      </c>
      <c r="AO23" s="264">
        <f t="shared" si="32"/>
        <v>8.92</v>
      </c>
      <c r="AP23" s="264">
        <f t="shared" si="32"/>
        <v>9.16</v>
      </c>
      <c r="AQ23" s="264" t="str">
        <f t="shared" si="32"/>
        <v xml:space="preserve">  </v>
      </c>
      <c r="AR23" s="264" t="str">
        <f t="shared" si="32"/>
        <v xml:space="preserve">  </v>
      </c>
      <c r="AS23" s="264" t="str">
        <f t="shared" si="32"/>
        <v xml:space="preserve">  </v>
      </c>
      <c r="AT23" s="264" t="str">
        <f t="shared" si="32"/>
        <v xml:space="preserve">  </v>
      </c>
      <c r="AU23" s="264" t="str">
        <f t="shared" si="32"/>
        <v xml:space="preserve">  </v>
      </c>
      <c r="AV23" s="264" t="str">
        <f t="shared" si="32"/>
        <v xml:space="preserve">  </v>
      </c>
      <c r="AW23" s="264" t="str">
        <f t="shared" si="32"/>
        <v xml:space="preserve">  </v>
      </c>
      <c r="AX23" s="264" t="str">
        <f t="shared" si="32"/>
        <v xml:space="preserve">  </v>
      </c>
      <c r="AY23" s="264" t="str">
        <f t="shared" si="32"/>
        <v xml:space="preserve">  </v>
      </c>
      <c r="AZ23" s="264" t="str">
        <f t="shared" si="32"/>
        <v xml:space="preserve">  </v>
      </c>
      <c r="BA23" s="264" t="str">
        <f t="shared" si="32"/>
        <v xml:space="preserve">  </v>
      </c>
      <c r="BB23" s="264" t="str">
        <f t="shared" si="32"/>
        <v xml:space="preserve">  </v>
      </c>
      <c r="BC23" s="264" t="str">
        <f t="shared" si="32"/>
        <v xml:space="preserve">  </v>
      </c>
      <c r="BD23" s="132">
        <v>21</v>
      </c>
      <c r="BE23" s="255" t="str">
        <v xml:space="preserve">  </v>
      </c>
      <c r="BF23" s="258" t="str">
        <v xml:space="preserve">  </v>
      </c>
      <c r="BG23" s="258" t="str">
        <v xml:space="preserve">  </v>
      </c>
      <c r="BH23" s="258" t="str">
        <v xml:space="preserve">  </v>
      </c>
      <c r="BI23" s="258" t="str">
        <v xml:space="preserve">  </v>
      </c>
      <c r="BJ23" s="258" t="str">
        <v xml:space="preserve">  </v>
      </c>
      <c r="BK23" s="258" t="str">
        <v xml:space="preserve">  </v>
      </c>
      <c r="BL23" s="258" t="str">
        <v xml:space="preserve">  </v>
      </c>
      <c r="BM23" s="258" t="str">
        <v xml:space="preserve">  </v>
      </c>
      <c r="BN23" s="258" t="str">
        <v xml:space="preserve">  </v>
      </c>
      <c r="BO23" s="258" t="str">
        <v xml:space="preserve">  </v>
      </c>
      <c r="BP23" s="258" t="str">
        <v xml:space="preserve">  </v>
      </c>
      <c r="BQ23" s="258" t="str">
        <v xml:space="preserve">  </v>
      </c>
      <c r="BR23" s="258" t="str">
        <v xml:space="preserve">  </v>
      </c>
      <c r="BS23" s="258" t="str">
        <v xml:space="preserve">  </v>
      </c>
      <c r="BT23" s="258" t="str">
        <v xml:space="preserve">  </v>
      </c>
      <c r="BU23" s="258" t="str">
        <v xml:space="preserve">  </v>
      </c>
      <c r="BV23" s="258" t="str">
        <v xml:space="preserve">  </v>
      </c>
      <c r="BW23" s="258" t="str">
        <v xml:space="preserve">  </v>
      </c>
      <c r="BX23" s="258" t="str">
        <v xml:space="preserve">  </v>
      </c>
      <c r="BY23" s="258" t="str">
        <v xml:space="preserve">  </v>
      </c>
      <c r="BZ23" s="258" t="str">
        <v xml:space="preserve">  </v>
      </c>
      <c r="CA23" s="258" t="str">
        <v xml:space="preserve">  </v>
      </c>
      <c r="CB23" s="258" t="str">
        <v xml:space="preserve">  </v>
      </c>
      <c r="CC23" s="258" t="str">
        <v xml:space="preserve">  </v>
      </c>
      <c r="CD23" s="259" t="str">
        <v xml:space="preserve">  </v>
      </c>
      <c r="CG23" s="265">
        <f t="shared" si="5"/>
        <v>16</v>
      </c>
      <c r="CH23" s="265">
        <f t="shared" si="6"/>
        <v>16</v>
      </c>
      <c r="CI23" s="265">
        <f t="shared" si="6"/>
        <v>16</v>
      </c>
      <c r="CJ23" s="265"/>
      <c r="CK23" s="268">
        <f t="shared" si="34"/>
        <v>16</v>
      </c>
      <c r="CL23" s="269">
        <f t="shared" si="7"/>
        <v>16</v>
      </c>
      <c r="CM23" s="269">
        <f t="shared" si="8"/>
        <v>16.022309621523029</v>
      </c>
      <c r="CN23" s="269">
        <f t="shared" si="9"/>
        <v>16.046903784769722</v>
      </c>
      <c r="CO23" s="269">
        <f t="shared" si="10"/>
        <v>16.072815777473782</v>
      </c>
      <c r="CP23" s="269">
        <f t="shared" si="11"/>
        <v>16.099635202918378</v>
      </c>
      <c r="CQ23" s="269">
        <f t="shared" si="12"/>
        <v>16.211673506611948</v>
      </c>
      <c r="CR23" s="269">
        <f t="shared" si="13"/>
        <v>16.328034655722753</v>
      </c>
      <c r="CS23" s="269">
        <f t="shared" si="14"/>
        <v>16.445508435932513</v>
      </c>
      <c r="CT23" s="269">
        <f t="shared" si="15"/>
        <v>16.546392156862744</v>
      </c>
      <c r="CU23" s="269">
        <f t="shared" si="16"/>
        <v>16.564423164614684</v>
      </c>
      <c r="CV23" s="269">
        <f t="shared" si="17"/>
        <v>16.68408572731418</v>
      </c>
      <c r="CW23" s="269">
        <f t="shared" si="18"/>
        <v>16.744277245782033</v>
      </c>
      <c r="CX23" s="269" t="e">
        <f t="shared" si="19"/>
        <v>#VALUE!</v>
      </c>
      <c r="CY23" s="269" t="e">
        <f t="shared" si="20"/>
        <v>#VALUE!</v>
      </c>
      <c r="CZ23" s="269" t="e">
        <f t="shared" si="21"/>
        <v>#VALUE!</v>
      </c>
      <c r="DA23" s="269" t="e">
        <f t="shared" si="22"/>
        <v>#VALUE!</v>
      </c>
      <c r="DB23" s="269" t="e">
        <f t="shared" si="23"/>
        <v>#VALUE!</v>
      </c>
      <c r="DC23" s="269" t="e">
        <f t="shared" si="24"/>
        <v>#VALUE!</v>
      </c>
      <c r="DD23" s="269" t="e">
        <f t="shared" si="25"/>
        <v>#VALUE!</v>
      </c>
      <c r="DE23" s="269" t="e">
        <f t="shared" si="26"/>
        <v>#VALUE!</v>
      </c>
      <c r="DF23" s="269" t="e">
        <f t="shared" si="27"/>
        <v>#VALUE!</v>
      </c>
      <c r="DG23" s="269" t="e">
        <f t="shared" si="28"/>
        <v>#VALUE!</v>
      </c>
      <c r="DH23" s="269" t="e">
        <f t="shared" si="29"/>
        <v>#VALUE!</v>
      </c>
      <c r="DI23" s="269" t="e">
        <f t="shared" si="30"/>
        <v>#VALUE!</v>
      </c>
      <c r="DJ23" s="269" t="e">
        <f t="shared" si="31"/>
        <v>#VALUE!</v>
      </c>
    </row>
    <row r="24" spans="1:114" x14ac:dyDescent="0.25">
      <c r="A24" s="242">
        <v>19</v>
      </c>
      <c r="B24" s="243">
        <v>1.3</v>
      </c>
      <c r="C24" s="243">
        <v>2.2999999999999998</v>
      </c>
      <c r="D24" s="243">
        <v>2.84</v>
      </c>
      <c r="E24" s="243">
        <v>3.25</v>
      </c>
      <c r="F24" s="243">
        <v>3.53</v>
      </c>
      <c r="G24" s="243">
        <v>4.1100000000000003</v>
      </c>
      <c r="H24" s="243">
        <v>4.2300000000000004</v>
      </c>
      <c r="I24" s="243">
        <v>4.47</v>
      </c>
      <c r="J24" s="243">
        <v>4.87</v>
      </c>
      <c r="K24" s="243">
        <v>4.9399999999999995</v>
      </c>
      <c r="L24" s="243">
        <v>5.59</v>
      </c>
      <c r="M24" s="243">
        <v>5.94</v>
      </c>
      <c r="N24" s="243">
        <v>0</v>
      </c>
      <c r="O24" s="243">
        <v>0</v>
      </c>
      <c r="P24" s="243">
        <v>0</v>
      </c>
      <c r="Q24" s="243">
        <v>0</v>
      </c>
      <c r="R24" s="243">
        <v>0</v>
      </c>
      <c r="S24" s="243">
        <v>0</v>
      </c>
      <c r="T24" s="243">
        <v>0</v>
      </c>
      <c r="U24" s="243">
        <v>0</v>
      </c>
      <c r="V24" s="243">
        <v>0</v>
      </c>
      <c r="W24" s="243">
        <v>0</v>
      </c>
      <c r="X24" s="243">
        <v>0</v>
      </c>
      <c r="Y24" s="243">
        <v>0</v>
      </c>
      <c r="Z24" s="244">
        <v>0</v>
      </c>
      <c r="AA24" s="132">
        <v>0</v>
      </c>
      <c r="AC24" s="249">
        <v>22</v>
      </c>
      <c r="AD24" s="263">
        <f t="shared" si="2"/>
        <v>18.5</v>
      </c>
      <c r="AE24" s="264">
        <f t="shared" si="33"/>
        <v>2.2999999999999998</v>
      </c>
      <c r="AF24" s="264">
        <f t="shared" si="33"/>
        <v>3.43</v>
      </c>
      <c r="AG24" s="264">
        <f t="shared" si="33"/>
        <v>4.13</v>
      </c>
      <c r="AH24" s="264">
        <f t="shared" si="33"/>
        <v>4.58</v>
      </c>
      <c r="AI24" s="264">
        <f t="shared" si="33"/>
        <v>4.91</v>
      </c>
      <c r="AJ24" s="264">
        <f t="shared" si="32"/>
        <v>5.63</v>
      </c>
      <c r="AK24" s="264">
        <f t="shared" si="32"/>
        <v>6.05</v>
      </c>
      <c r="AL24" s="264">
        <f t="shared" si="32"/>
        <v>6.39</v>
      </c>
      <c r="AM24" s="264">
        <f t="shared" si="32"/>
        <v>6.82</v>
      </c>
      <c r="AN24" s="264">
        <f t="shared" si="32"/>
        <v>6.91</v>
      </c>
      <c r="AO24" s="264">
        <f t="shared" si="32"/>
        <v>7.5</v>
      </c>
      <c r="AP24" s="264">
        <f t="shared" si="32"/>
        <v>7.8</v>
      </c>
      <c r="AQ24" s="264" t="str">
        <f t="shared" si="32"/>
        <v xml:space="preserve">  </v>
      </c>
      <c r="AR24" s="264" t="str">
        <f t="shared" si="32"/>
        <v xml:space="preserve">  </v>
      </c>
      <c r="AS24" s="264" t="str">
        <f t="shared" si="32"/>
        <v xml:space="preserve">  </v>
      </c>
      <c r="AT24" s="264" t="str">
        <f t="shared" si="32"/>
        <v xml:space="preserve">  </v>
      </c>
      <c r="AU24" s="264" t="str">
        <f t="shared" si="32"/>
        <v xml:space="preserve">  </v>
      </c>
      <c r="AV24" s="264" t="str">
        <f t="shared" si="32"/>
        <v xml:space="preserve">  </v>
      </c>
      <c r="AW24" s="264" t="str">
        <f t="shared" si="32"/>
        <v xml:space="preserve">  </v>
      </c>
      <c r="AX24" s="264" t="str">
        <f t="shared" si="32"/>
        <v xml:space="preserve">  </v>
      </c>
      <c r="AY24" s="264" t="str">
        <f t="shared" si="32"/>
        <v xml:space="preserve">  </v>
      </c>
      <c r="AZ24" s="264" t="str">
        <f t="shared" si="32"/>
        <v xml:space="preserve">  </v>
      </c>
      <c r="BA24" s="264" t="str">
        <f t="shared" si="32"/>
        <v xml:space="preserve">  </v>
      </c>
      <c r="BB24" s="264" t="str">
        <f t="shared" si="32"/>
        <v xml:space="preserve">  </v>
      </c>
      <c r="BC24" s="264" t="str">
        <f t="shared" si="32"/>
        <v xml:space="preserve">  </v>
      </c>
      <c r="BD24" s="132">
        <v>22</v>
      </c>
      <c r="BE24" s="255" t="str">
        <v xml:space="preserve">  </v>
      </c>
      <c r="BF24" s="258" t="str">
        <v xml:space="preserve">  </v>
      </c>
      <c r="BG24" s="258" t="str">
        <v xml:space="preserve">  </v>
      </c>
      <c r="BH24" s="258" t="str">
        <v xml:space="preserve">  </v>
      </c>
      <c r="BI24" s="258" t="str">
        <v xml:space="preserve">  </v>
      </c>
      <c r="BJ24" s="258" t="str">
        <v xml:space="preserve">  </v>
      </c>
      <c r="BK24" s="258" t="str">
        <v xml:space="preserve">  </v>
      </c>
      <c r="BL24" s="258" t="str">
        <v xml:space="preserve">  </v>
      </c>
      <c r="BM24" s="258" t="str">
        <v xml:space="preserve">  </v>
      </c>
      <c r="BN24" s="258" t="str">
        <v xml:space="preserve">  </v>
      </c>
      <c r="BO24" s="258" t="str">
        <v xml:space="preserve">  </v>
      </c>
      <c r="BP24" s="258" t="str">
        <v xml:space="preserve">  </v>
      </c>
      <c r="BQ24" s="258" t="str">
        <v xml:space="preserve">  </v>
      </c>
      <c r="BR24" s="258" t="str">
        <v xml:space="preserve">  </v>
      </c>
      <c r="BS24" s="258" t="str">
        <v xml:space="preserve">  </v>
      </c>
      <c r="BT24" s="258" t="str">
        <v xml:space="preserve">  </v>
      </c>
      <c r="BU24" s="258" t="str">
        <v xml:space="preserve">  </v>
      </c>
      <c r="BV24" s="258" t="str">
        <v xml:space="preserve">  </v>
      </c>
      <c r="BW24" s="258" t="str">
        <v xml:space="preserve">  </v>
      </c>
      <c r="BX24" s="258" t="str">
        <v xml:space="preserve">  </v>
      </c>
      <c r="BY24" s="258" t="str">
        <v xml:space="preserve">  </v>
      </c>
      <c r="BZ24" s="258" t="str">
        <v xml:space="preserve">  </v>
      </c>
      <c r="CA24" s="258" t="str">
        <v xml:space="preserve">  </v>
      </c>
      <c r="CB24" s="258" t="str">
        <v xml:space="preserve">  </v>
      </c>
      <c r="CC24" s="258" t="str">
        <v xml:space="preserve">  </v>
      </c>
      <c r="CD24" s="259" t="str">
        <v xml:space="preserve">  </v>
      </c>
      <c r="CG24" s="265">
        <f t="shared" si="5"/>
        <v>17</v>
      </c>
      <c r="CH24" s="265">
        <f t="shared" si="6"/>
        <v>17</v>
      </c>
      <c r="CI24" s="265">
        <f t="shared" si="6"/>
        <v>17</v>
      </c>
      <c r="CJ24" s="265"/>
      <c r="CK24" s="268">
        <f t="shared" si="34"/>
        <v>17</v>
      </c>
      <c r="CL24" s="269">
        <f t="shared" si="7"/>
        <v>17</v>
      </c>
      <c r="CM24" s="269">
        <f t="shared" si="8"/>
        <v>17.017227542179661</v>
      </c>
      <c r="CN24" s="269">
        <f t="shared" si="9"/>
        <v>17.037136342909257</v>
      </c>
      <c r="CO24" s="269">
        <f t="shared" si="10"/>
        <v>17.05842225262198</v>
      </c>
      <c r="CP24" s="269">
        <f t="shared" si="11"/>
        <v>17.081039671682628</v>
      </c>
      <c r="CQ24" s="269">
        <f t="shared" si="12"/>
        <v>17.17859553123575</v>
      </c>
      <c r="CR24" s="269">
        <f t="shared" si="13"/>
        <v>17.283100775193798</v>
      </c>
      <c r="CS24" s="269">
        <f t="shared" si="14"/>
        <v>17.390433196534428</v>
      </c>
      <c r="CT24" s="269">
        <f t="shared" si="15"/>
        <v>17.484479708162336</v>
      </c>
      <c r="CU24" s="269">
        <f t="shared" si="16"/>
        <v>17.501687186502508</v>
      </c>
      <c r="CV24" s="269">
        <f t="shared" si="17"/>
        <v>17.615038759689924</v>
      </c>
      <c r="CW24" s="269">
        <f t="shared" si="18"/>
        <v>17.672822617419062</v>
      </c>
      <c r="CX24" s="269" t="e">
        <f t="shared" si="19"/>
        <v>#VALUE!</v>
      </c>
      <c r="CY24" s="269" t="e">
        <f t="shared" si="20"/>
        <v>#VALUE!</v>
      </c>
      <c r="CZ24" s="269" t="e">
        <f t="shared" si="21"/>
        <v>#VALUE!</v>
      </c>
      <c r="DA24" s="269" t="e">
        <f t="shared" si="22"/>
        <v>#VALUE!</v>
      </c>
      <c r="DB24" s="269" t="e">
        <f t="shared" si="23"/>
        <v>#VALUE!</v>
      </c>
      <c r="DC24" s="269" t="e">
        <f t="shared" si="24"/>
        <v>#VALUE!</v>
      </c>
      <c r="DD24" s="269" t="e">
        <f t="shared" si="25"/>
        <v>#VALUE!</v>
      </c>
      <c r="DE24" s="269" t="e">
        <f t="shared" si="26"/>
        <v>#VALUE!</v>
      </c>
      <c r="DF24" s="269" t="e">
        <f t="shared" si="27"/>
        <v>#VALUE!</v>
      </c>
      <c r="DG24" s="269" t="e">
        <f t="shared" si="28"/>
        <v>#VALUE!</v>
      </c>
      <c r="DH24" s="269" t="e">
        <f t="shared" si="29"/>
        <v>#VALUE!</v>
      </c>
      <c r="DI24" s="269" t="e">
        <f t="shared" si="30"/>
        <v>#VALUE!</v>
      </c>
      <c r="DJ24" s="269" t="e">
        <f t="shared" si="31"/>
        <v>#VALUE!</v>
      </c>
    </row>
    <row r="25" spans="1:114" x14ac:dyDescent="0.25">
      <c r="A25" s="242">
        <v>19.5</v>
      </c>
      <c r="B25" s="243">
        <v>0.4</v>
      </c>
      <c r="C25" s="243">
        <v>1.21</v>
      </c>
      <c r="D25" s="243">
        <v>1.69</v>
      </c>
      <c r="E25" s="243">
        <v>2.02</v>
      </c>
      <c r="F25" s="243">
        <v>2.29</v>
      </c>
      <c r="G25" s="243">
        <v>2.63</v>
      </c>
      <c r="H25" s="243">
        <v>2.38</v>
      </c>
      <c r="I25" s="243">
        <v>2.25</v>
      </c>
      <c r="J25" s="243">
        <v>2.42</v>
      </c>
      <c r="K25" s="243">
        <v>2.4962</v>
      </c>
      <c r="L25" s="243">
        <v>3.19</v>
      </c>
      <c r="M25" s="243">
        <v>3.63</v>
      </c>
      <c r="N25" s="243">
        <v>0</v>
      </c>
      <c r="O25" s="243">
        <v>0</v>
      </c>
      <c r="P25" s="243">
        <v>0</v>
      </c>
      <c r="Q25" s="243">
        <v>0</v>
      </c>
      <c r="R25" s="243">
        <v>0</v>
      </c>
      <c r="S25" s="243">
        <v>0</v>
      </c>
      <c r="T25" s="243">
        <v>0</v>
      </c>
      <c r="U25" s="243">
        <v>0</v>
      </c>
      <c r="V25" s="243">
        <v>0</v>
      </c>
      <c r="W25" s="243">
        <v>0</v>
      </c>
      <c r="X25" s="243">
        <v>0</v>
      </c>
      <c r="Y25" s="243">
        <v>0</v>
      </c>
      <c r="Z25" s="244">
        <v>0</v>
      </c>
      <c r="AA25" s="132">
        <v>0</v>
      </c>
      <c r="AC25" s="249">
        <v>23</v>
      </c>
      <c r="AD25" s="263">
        <f t="shared" si="2"/>
        <v>19</v>
      </c>
      <c r="AE25" s="264">
        <f t="shared" si="33"/>
        <v>1.3</v>
      </c>
      <c r="AF25" s="264">
        <f t="shared" si="33"/>
        <v>2.2999999999999998</v>
      </c>
      <c r="AG25" s="264">
        <f t="shared" si="33"/>
        <v>2.84</v>
      </c>
      <c r="AH25" s="264">
        <f t="shared" si="33"/>
        <v>3.25</v>
      </c>
      <c r="AI25" s="264">
        <f t="shared" si="33"/>
        <v>3.53</v>
      </c>
      <c r="AJ25" s="264">
        <f t="shared" si="32"/>
        <v>4.1100000000000003</v>
      </c>
      <c r="AK25" s="264">
        <f t="shared" si="32"/>
        <v>4.2300000000000004</v>
      </c>
      <c r="AL25" s="264">
        <f t="shared" si="32"/>
        <v>4.47</v>
      </c>
      <c r="AM25" s="264">
        <f t="shared" si="32"/>
        <v>4.87</v>
      </c>
      <c r="AN25" s="264">
        <f t="shared" si="32"/>
        <v>4.9399999999999995</v>
      </c>
      <c r="AO25" s="264">
        <f t="shared" si="32"/>
        <v>5.59</v>
      </c>
      <c r="AP25" s="264">
        <f t="shared" si="32"/>
        <v>5.94</v>
      </c>
      <c r="AQ25" s="264" t="str">
        <f t="shared" si="32"/>
        <v xml:space="preserve">  </v>
      </c>
      <c r="AR25" s="264" t="str">
        <f t="shared" si="32"/>
        <v xml:space="preserve">  </v>
      </c>
      <c r="AS25" s="264" t="str">
        <f t="shared" si="32"/>
        <v xml:space="preserve">  </v>
      </c>
      <c r="AT25" s="264" t="str">
        <f t="shared" si="32"/>
        <v xml:space="preserve">  </v>
      </c>
      <c r="AU25" s="264" t="str">
        <f t="shared" si="32"/>
        <v xml:space="preserve">  </v>
      </c>
      <c r="AV25" s="264" t="str">
        <f t="shared" si="32"/>
        <v xml:space="preserve">  </v>
      </c>
      <c r="AW25" s="264" t="str">
        <f t="shared" si="32"/>
        <v xml:space="preserve">  </v>
      </c>
      <c r="AX25" s="264" t="str">
        <f t="shared" si="32"/>
        <v xml:space="preserve">  </v>
      </c>
      <c r="AY25" s="264" t="str">
        <f t="shared" ref="AY25:BC27" si="35">IF(OR(AY24="  ",AX25="  "),"  ",V24)</f>
        <v xml:space="preserve">  </v>
      </c>
      <c r="AZ25" s="264" t="str">
        <f t="shared" si="35"/>
        <v xml:space="preserve">  </v>
      </c>
      <c r="BA25" s="264" t="str">
        <f t="shared" si="35"/>
        <v xml:space="preserve">  </v>
      </c>
      <c r="BB25" s="264" t="str">
        <f t="shared" si="35"/>
        <v xml:space="preserve">  </v>
      </c>
      <c r="BC25" s="264" t="str">
        <f t="shared" si="35"/>
        <v xml:space="preserve">  </v>
      </c>
      <c r="BD25" s="132">
        <v>23</v>
      </c>
      <c r="BE25" s="255" t="str">
        <v xml:space="preserve">  </v>
      </c>
      <c r="BF25" s="258" t="str">
        <v xml:space="preserve">  </v>
      </c>
      <c r="BG25" s="258" t="str">
        <v xml:space="preserve">  </v>
      </c>
      <c r="BH25" s="258" t="str">
        <v xml:space="preserve">  </v>
      </c>
      <c r="BI25" s="258" t="str">
        <v xml:space="preserve">  </v>
      </c>
      <c r="BJ25" s="258" t="str">
        <v xml:space="preserve">  </v>
      </c>
      <c r="BK25" s="258" t="str">
        <v xml:space="preserve">  </v>
      </c>
      <c r="BL25" s="258" t="str">
        <v xml:space="preserve">  </v>
      </c>
      <c r="BM25" s="258" t="str">
        <v xml:space="preserve">  </v>
      </c>
      <c r="BN25" s="258" t="str">
        <v xml:space="preserve">  </v>
      </c>
      <c r="BO25" s="258" t="str">
        <v xml:space="preserve">  </v>
      </c>
      <c r="BP25" s="258" t="str">
        <v xml:space="preserve">  </v>
      </c>
      <c r="BQ25" s="258" t="str">
        <v xml:space="preserve">  </v>
      </c>
      <c r="BR25" s="258" t="str">
        <v xml:space="preserve">  </v>
      </c>
      <c r="BS25" s="258" t="str">
        <v xml:space="preserve">  </v>
      </c>
      <c r="BT25" s="258" t="str">
        <v xml:space="preserve">  </v>
      </c>
      <c r="BU25" s="258" t="str">
        <v xml:space="preserve">  </v>
      </c>
      <c r="BV25" s="258" t="str">
        <v xml:space="preserve">  </v>
      </c>
      <c r="BW25" s="258" t="str">
        <v xml:space="preserve">  </v>
      </c>
      <c r="BX25" s="258" t="str">
        <v xml:space="preserve">  </v>
      </c>
      <c r="BY25" s="258" t="str">
        <v xml:space="preserve">  </v>
      </c>
      <c r="BZ25" s="258" t="str">
        <v xml:space="preserve">  </v>
      </c>
      <c r="CA25" s="258" t="str">
        <v xml:space="preserve">  </v>
      </c>
      <c r="CB25" s="258" t="str">
        <v xml:space="preserve">  </v>
      </c>
      <c r="CC25" s="258" t="str">
        <v xml:space="preserve">  </v>
      </c>
      <c r="CD25" s="259" t="str">
        <v xml:space="preserve">  </v>
      </c>
      <c r="CG25" s="265">
        <f t="shared" si="5"/>
        <v>18</v>
      </c>
      <c r="CH25" s="265">
        <f t="shared" si="6"/>
        <v>18</v>
      </c>
      <c r="CI25" s="265">
        <f t="shared" si="6"/>
        <v>18</v>
      </c>
      <c r="CJ25" s="265"/>
      <c r="CK25" s="268">
        <f t="shared" si="34"/>
        <v>18</v>
      </c>
      <c r="CL25" s="269">
        <f t="shared" si="7"/>
        <v>18</v>
      </c>
      <c r="CM25" s="269">
        <f t="shared" si="8"/>
        <v>18.011251709986322</v>
      </c>
      <c r="CN25" s="269">
        <f t="shared" si="9"/>
        <v>18.025034199726402</v>
      </c>
      <c r="CO25" s="269">
        <f t="shared" si="10"/>
        <v>18.040362517099862</v>
      </c>
      <c r="CP25" s="269">
        <f t="shared" si="11"/>
        <v>18.056990424076606</v>
      </c>
      <c r="CQ25" s="269">
        <f t="shared" si="12"/>
        <v>18.130059279525764</v>
      </c>
      <c r="CR25" s="269">
        <f t="shared" si="13"/>
        <v>18.210569995440036</v>
      </c>
      <c r="CS25" s="269">
        <f t="shared" si="14"/>
        <v>18.295272959416323</v>
      </c>
      <c r="CT25" s="269">
        <f t="shared" si="15"/>
        <v>18.370995284997718</v>
      </c>
      <c r="CU25" s="269">
        <f t="shared" si="16"/>
        <v>18.384639489284087</v>
      </c>
      <c r="CV25" s="269">
        <f t="shared" si="17"/>
        <v>18.4797479252166</v>
      </c>
      <c r="CW25" s="269">
        <f t="shared" si="18"/>
        <v>18.529214409484723</v>
      </c>
      <c r="CX25" s="269" t="e">
        <f t="shared" si="19"/>
        <v>#VALUE!</v>
      </c>
      <c r="CY25" s="269" t="e">
        <f t="shared" si="20"/>
        <v>#VALUE!</v>
      </c>
      <c r="CZ25" s="269" t="e">
        <f t="shared" si="21"/>
        <v>#VALUE!</v>
      </c>
      <c r="DA25" s="269" t="e">
        <f t="shared" si="22"/>
        <v>#VALUE!</v>
      </c>
      <c r="DB25" s="269" t="e">
        <f t="shared" si="23"/>
        <v>#VALUE!</v>
      </c>
      <c r="DC25" s="269" t="e">
        <f t="shared" si="24"/>
        <v>#VALUE!</v>
      </c>
      <c r="DD25" s="269" t="e">
        <f t="shared" si="25"/>
        <v>#VALUE!</v>
      </c>
      <c r="DE25" s="269" t="e">
        <f t="shared" si="26"/>
        <v>#VALUE!</v>
      </c>
      <c r="DF25" s="269" t="e">
        <f t="shared" si="27"/>
        <v>#VALUE!</v>
      </c>
      <c r="DG25" s="269" t="e">
        <f t="shared" si="28"/>
        <v>#VALUE!</v>
      </c>
      <c r="DH25" s="269" t="e">
        <f t="shared" si="29"/>
        <v>#VALUE!</v>
      </c>
      <c r="DI25" s="269" t="e">
        <f t="shared" si="30"/>
        <v>#VALUE!</v>
      </c>
      <c r="DJ25" s="269" t="e">
        <f t="shared" si="31"/>
        <v>#VALUE!</v>
      </c>
    </row>
    <row r="26" spans="1:114" x14ac:dyDescent="0.25">
      <c r="A26" s="245">
        <v>20</v>
      </c>
      <c r="B26" s="246">
        <v>0.1</v>
      </c>
      <c r="C26" s="246">
        <v>0.8</v>
      </c>
      <c r="D26" s="246">
        <v>1.2</v>
      </c>
      <c r="E26" s="246">
        <v>1.43</v>
      </c>
      <c r="F26" s="246">
        <v>1.53</v>
      </c>
      <c r="G26" s="246">
        <v>1.1200000000000001</v>
      </c>
      <c r="H26" s="246">
        <v>0.5</v>
      </c>
      <c r="I26" s="246">
        <v>0.08</v>
      </c>
      <c r="J26" s="246">
        <v>0</v>
      </c>
      <c r="K26" s="246">
        <v>0.03</v>
      </c>
      <c r="L26" s="246">
        <v>0.8</v>
      </c>
      <c r="M26" s="246">
        <v>1.63</v>
      </c>
      <c r="N26" s="246">
        <v>0</v>
      </c>
      <c r="O26" s="246">
        <v>0</v>
      </c>
      <c r="P26" s="246">
        <v>0</v>
      </c>
      <c r="Q26" s="246">
        <v>0</v>
      </c>
      <c r="R26" s="246">
        <v>0</v>
      </c>
      <c r="S26" s="246">
        <v>0</v>
      </c>
      <c r="T26" s="246">
        <v>0</v>
      </c>
      <c r="U26" s="246">
        <v>0</v>
      </c>
      <c r="V26" s="246">
        <v>0</v>
      </c>
      <c r="W26" s="246">
        <v>0</v>
      </c>
      <c r="X26" s="246">
        <v>0</v>
      </c>
      <c r="Y26" s="246">
        <v>0</v>
      </c>
      <c r="Z26" s="247">
        <v>0</v>
      </c>
      <c r="AA26" s="132">
        <v>0</v>
      </c>
      <c r="AC26" s="249">
        <v>24</v>
      </c>
      <c r="AD26" s="263">
        <f t="shared" si="2"/>
        <v>19.5</v>
      </c>
      <c r="AE26" s="264">
        <f t="shared" si="33"/>
        <v>0.4</v>
      </c>
      <c r="AF26" s="264">
        <f t="shared" si="33"/>
        <v>1.21</v>
      </c>
      <c r="AG26" s="264">
        <f t="shared" si="33"/>
        <v>1.69</v>
      </c>
      <c r="AH26" s="264">
        <f t="shared" si="33"/>
        <v>2.02</v>
      </c>
      <c r="AI26" s="264">
        <f t="shared" si="33"/>
        <v>2.29</v>
      </c>
      <c r="AJ26" s="264">
        <f t="shared" si="33"/>
        <v>2.63</v>
      </c>
      <c r="AK26" s="264">
        <f t="shared" si="33"/>
        <v>2.38</v>
      </c>
      <c r="AL26" s="264">
        <f t="shared" si="33"/>
        <v>2.25</v>
      </c>
      <c r="AM26" s="264">
        <f t="shared" si="33"/>
        <v>2.42</v>
      </c>
      <c r="AN26" s="264">
        <f t="shared" si="33"/>
        <v>2.4962</v>
      </c>
      <c r="AO26" s="264">
        <f t="shared" si="33"/>
        <v>3.19</v>
      </c>
      <c r="AP26" s="264">
        <f t="shared" si="33"/>
        <v>3.63</v>
      </c>
      <c r="AQ26" s="264" t="str">
        <f t="shared" si="33"/>
        <v xml:space="preserve">  </v>
      </c>
      <c r="AR26" s="264" t="str">
        <f t="shared" si="33"/>
        <v xml:space="preserve">  </v>
      </c>
      <c r="AS26" s="264" t="str">
        <f t="shared" si="33"/>
        <v xml:space="preserve">  </v>
      </c>
      <c r="AT26" s="264" t="str">
        <f t="shared" si="33"/>
        <v xml:space="preserve">  </v>
      </c>
      <c r="AU26" s="264" t="str">
        <f t="shared" ref="AU26:AX27" si="36">IF(OR(AU25="  ",AT26="  "),"  ",R25)</f>
        <v xml:space="preserve">  </v>
      </c>
      <c r="AV26" s="264" t="str">
        <f t="shared" si="36"/>
        <v xml:space="preserve">  </v>
      </c>
      <c r="AW26" s="264" t="str">
        <f t="shared" si="36"/>
        <v xml:space="preserve">  </v>
      </c>
      <c r="AX26" s="264" t="str">
        <f t="shared" si="36"/>
        <v xml:space="preserve">  </v>
      </c>
      <c r="AY26" s="264" t="str">
        <f t="shared" si="35"/>
        <v xml:space="preserve">  </v>
      </c>
      <c r="AZ26" s="264" t="str">
        <f t="shared" si="35"/>
        <v xml:space="preserve">  </v>
      </c>
      <c r="BA26" s="264" t="str">
        <f t="shared" si="35"/>
        <v xml:space="preserve">  </v>
      </c>
      <c r="BB26" s="264" t="str">
        <f t="shared" si="35"/>
        <v xml:space="preserve">  </v>
      </c>
      <c r="BC26" s="264" t="str">
        <f t="shared" si="35"/>
        <v xml:space="preserve">  </v>
      </c>
      <c r="BD26" s="132">
        <v>24</v>
      </c>
      <c r="BE26" s="255" t="str">
        <v xml:space="preserve">  </v>
      </c>
      <c r="BF26" s="258" t="str">
        <v xml:space="preserve">  </v>
      </c>
      <c r="BG26" s="258" t="str">
        <v xml:space="preserve">  </v>
      </c>
      <c r="BH26" s="258" t="str">
        <v xml:space="preserve">  </v>
      </c>
      <c r="BI26" s="258" t="str">
        <v xml:space="preserve">  </v>
      </c>
      <c r="BJ26" s="258" t="str">
        <v xml:space="preserve">  </v>
      </c>
      <c r="BK26" s="258" t="str">
        <v xml:space="preserve">  </v>
      </c>
      <c r="BL26" s="258" t="str">
        <v xml:space="preserve">  </v>
      </c>
      <c r="BM26" s="258" t="str">
        <v xml:space="preserve">  </v>
      </c>
      <c r="BN26" s="258" t="str">
        <v xml:space="preserve">  </v>
      </c>
      <c r="BO26" s="258" t="str">
        <v xml:space="preserve">  </v>
      </c>
      <c r="BP26" s="258" t="str">
        <v xml:space="preserve">  </v>
      </c>
      <c r="BQ26" s="258" t="str">
        <v xml:space="preserve">  </v>
      </c>
      <c r="BR26" s="258" t="str">
        <v xml:space="preserve">  </v>
      </c>
      <c r="BS26" s="258" t="str">
        <v xml:space="preserve">  </v>
      </c>
      <c r="BT26" s="258" t="str">
        <v xml:space="preserve">  </v>
      </c>
      <c r="BU26" s="258" t="str">
        <v xml:space="preserve">  </v>
      </c>
      <c r="BV26" s="258" t="str">
        <v xml:space="preserve">  </v>
      </c>
      <c r="BW26" s="258" t="str">
        <v xml:space="preserve">  </v>
      </c>
      <c r="BX26" s="258" t="str">
        <v xml:space="preserve">  </v>
      </c>
      <c r="BY26" s="258" t="str">
        <v xml:space="preserve">  </v>
      </c>
      <c r="BZ26" s="258" t="str">
        <v xml:space="preserve">  </v>
      </c>
      <c r="CA26" s="258" t="str">
        <v xml:space="preserve">  </v>
      </c>
      <c r="CB26" s="258" t="str">
        <v xml:space="preserve">  </v>
      </c>
      <c r="CC26" s="258" t="str">
        <v xml:space="preserve">  </v>
      </c>
      <c r="CD26" s="259" t="str">
        <v xml:space="preserve">  </v>
      </c>
      <c r="CG26" s="265">
        <f t="shared" si="5"/>
        <v>18.5</v>
      </c>
      <c r="CH26" s="265">
        <f t="shared" si="6"/>
        <v>18.5</v>
      </c>
      <c r="CI26" s="265">
        <f t="shared" si="6"/>
        <v>18.5</v>
      </c>
      <c r="CJ26" s="265"/>
      <c r="CK26" s="268">
        <f t="shared" si="34"/>
        <v>18.5</v>
      </c>
      <c r="CL26" s="269">
        <f t="shared" si="7"/>
        <v>18.5</v>
      </c>
      <c r="CM26" s="269">
        <f t="shared" si="8"/>
        <v>18.507936616507067</v>
      </c>
      <c r="CN26" s="269">
        <f t="shared" si="9"/>
        <v>18.518376652986777</v>
      </c>
      <c r="CO26" s="269">
        <f t="shared" si="10"/>
        <v>18.53030779753762</v>
      </c>
      <c r="CP26" s="269">
        <f t="shared" si="11"/>
        <v>18.543328773369812</v>
      </c>
      <c r="CQ26" s="269">
        <f t="shared" si="12"/>
        <v>18.601276789785683</v>
      </c>
      <c r="CR26" s="269">
        <f t="shared" si="13"/>
        <v>18.665462836297309</v>
      </c>
      <c r="CS26" s="269">
        <f t="shared" si="14"/>
        <v>18.73340629274966</v>
      </c>
      <c r="CT26" s="269">
        <f t="shared" si="15"/>
        <v>18.794848153214776</v>
      </c>
      <c r="CU26" s="269">
        <f t="shared" si="16"/>
        <v>18.805982672138622</v>
      </c>
      <c r="CV26" s="269">
        <f t="shared" si="17"/>
        <v>18.884906520747833</v>
      </c>
      <c r="CW26" s="269">
        <f t="shared" si="18"/>
        <v>18.926766985864113</v>
      </c>
      <c r="CX26" s="269" t="e">
        <f t="shared" si="19"/>
        <v>#VALUE!</v>
      </c>
      <c r="CY26" s="269" t="e">
        <f t="shared" si="20"/>
        <v>#VALUE!</v>
      </c>
      <c r="CZ26" s="269" t="e">
        <f t="shared" si="21"/>
        <v>#VALUE!</v>
      </c>
      <c r="DA26" s="269" t="e">
        <f t="shared" si="22"/>
        <v>#VALUE!</v>
      </c>
      <c r="DB26" s="269" t="e">
        <f t="shared" si="23"/>
        <v>#VALUE!</v>
      </c>
      <c r="DC26" s="269" t="e">
        <f t="shared" si="24"/>
        <v>#VALUE!</v>
      </c>
      <c r="DD26" s="269" t="e">
        <f t="shared" si="25"/>
        <v>#VALUE!</v>
      </c>
      <c r="DE26" s="269" t="e">
        <f t="shared" si="26"/>
        <v>#VALUE!</v>
      </c>
      <c r="DF26" s="269" t="e">
        <f t="shared" si="27"/>
        <v>#VALUE!</v>
      </c>
      <c r="DG26" s="269" t="e">
        <f t="shared" si="28"/>
        <v>#VALUE!</v>
      </c>
      <c r="DH26" s="269" t="e">
        <f t="shared" si="29"/>
        <v>#VALUE!</v>
      </c>
      <c r="DI26" s="269" t="e">
        <f t="shared" si="30"/>
        <v>#VALUE!</v>
      </c>
      <c r="DJ26" s="269" t="e">
        <f t="shared" si="31"/>
        <v>#VALUE!</v>
      </c>
    </row>
    <row r="27" spans="1:114" ht="15.75" thickBot="1" x14ac:dyDescent="0.3">
      <c r="A27" s="132">
        <v>0</v>
      </c>
      <c r="B27" s="248">
        <v>0</v>
      </c>
      <c r="C27" s="248">
        <v>0</v>
      </c>
      <c r="D27" s="248">
        <v>0</v>
      </c>
      <c r="E27" s="248">
        <v>0</v>
      </c>
      <c r="F27" s="248">
        <v>0</v>
      </c>
      <c r="G27" s="248">
        <v>0</v>
      </c>
      <c r="H27" s="248">
        <v>0</v>
      </c>
      <c r="I27" s="248">
        <v>0</v>
      </c>
      <c r="J27" s="248">
        <v>0</v>
      </c>
      <c r="K27" s="248">
        <v>0</v>
      </c>
      <c r="L27" s="248">
        <v>0</v>
      </c>
      <c r="M27" s="248">
        <v>0</v>
      </c>
      <c r="N27" s="248">
        <v>0</v>
      </c>
      <c r="O27" s="248">
        <v>0</v>
      </c>
      <c r="P27" s="248">
        <v>0</v>
      </c>
      <c r="Q27" s="248">
        <v>0</v>
      </c>
      <c r="R27" s="248">
        <v>0</v>
      </c>
      <c r="S27" s="248">
        <v>0</v>
      </c>
      <c r="T27" s="248">
        <v>0</v>
      </c>
      <c r="U27" s="248">
        <v>0</v>
      </c>
      <c r="V27" s="248">
        <v>0</v>
      </c>
      <c r="W27" s="248">
        <v>0</v>
      </c>
      <c r="X27" s="248">
        <v>0</v>
      </c>
      <c r="Y27" s="248">
        <v>0</v>
      </c>
      <c r="Z27" s="248">
        <v>0</v>
      </c>
      <c r="AA27" s="132">
        <v>0</v>
      </c>
      <c r="AC27" s="249">
        <v>25</v>
      </c>
      <c r="AD27" s="263">
        <f t="shared" si="2"/>
        <v>20</v>
      </c>
      <c r="AE27" s="264">
        <f t="shared" si="33"/>
        <v>0.1</v>
      </c>
      <c r="AF27" s="264">
        <f t="shared" si="33"/>
        <v>0.8</v>
      </c>
      <c r="AG27" s="264">
        <f t="shared" si="33"/>
        <v>1.2</v>
      </c>
      <c r="AH27" s="264">
        <f t="shared" si="33"/>
        <v>1.43</v>
      </c>
      <c r="AI27" s="264">
        <f t="shared" si="33"/>
        <v>1.53</v>
      </c>
      <c r="AJ27" s="264">
        <f t="shared" si="33"/>
        <v>1.1200000000000001</v>
      </c>
      <c r="AK27" s="264">
        <f t="shared" si="33"/>
        <v>0.5</v>
      </c>
      <c r="AL27" s="264">
        <f t="shared" si="33"/>
        <v>0.08</v>
      </c>
      <c r="AM27" s="264">
        <f t="shared" si="33"/>
        <v>0</v>
      </c>
      <c r="AN27" s="264">
        <f t="shared" si="33"/>
        <v>0.03</v>
      </c>
      <c r="AO27" s="264">
        <f t="shared" si="33"/>
        <v>0.8</v>
      </c>
      <c r="AP27" s="264">
        <f t="shared" si="33"/>
        <v>1.63</v>
      </c>
      <c r="AQ27" s="264" t="str">
        <f t="shared" si="33"/>
        <v xml:space="preserve">  </v>
      </c>
      <c r="AR27" s="264" t="str">
        <f t="shared" si="33"/>
        <v xml:space="preserve">  </v>
      </c>
      <c r="AS27" s="264" t="str">
        <f t="shared" si="33"/>
        <v xml:space="preserve">  </v>
      </c>
      <c r="AT27" s="264" t="str">
        <f t="shared" si="33"/>
        <v xml:space="preserve">  </v>
      </c>
      <c r="AU27" s="264" t="str">
        <f t="shared" si="36"/>
        <v xml:space="preserve">  </v>
      </c>
      <c r="AV27" s="264" t="str">
        <f t="shared" si="36"/>
        <v xml:space="preserve">  </v>
      </c>
      <c r="AW27" s="264" t="str">
        <f t="shared" si="36"/>
        <v xml:space="preserve">  </v>
      </c>
      <c r="AX27" s="264" t="str">
        <f t="shared" si="36"/>
        <v xml:space="preserve">  </v>
      </c>
      <c r="AY27" s="264" t="str">
        <f t="shared" si="35"/>
        <v xml:space="preserve">  </v>
      </c>
      <c r="AZ27" s="264" t="str">
        <f t="shared" si="35"/>
        <v xml:space="preserve">  </v>
      </c>
      <c r="BA27" s="264" t="str">
        <f t="shared" si="35"/>
        <v xml:space="preserve">  </v>
      </c>
      <c r="BB27" s="264" t="str">
        <f t="shared" si="35"/>
        <v xml:space="preserve">  </v>
      </c>
      <c r="BC27" s="264" t="str">
        <f t="shared" si="35"/>
        <v xml:space="preserve">  </v>
      </c>
      <c r="BD27" s="132">
        <v>25</v>
      </c>
      <c r="BE27" s="260" t="str">
        <v xml:space="preserve">  </v>
      </c>
      <c r="BF27" s="261" t="str">
        <v xml:space="preserve">  </v>
      </c>
      <c r="BG27" s="261" t="str">
        <v xml:space="preserve">  </v>
      </c>
      <c r="BH27" s="261" t="str">
        <v xml:space="preserve">  </v>
      </c>
      <c r="BI27" s="261" t="str">
        <v xml:space="preserve">  </v>
      </c>
      <c r="BJ27" s="261" t="str">
        <v xml:space="preserve">  </v>
      </c>
      <c r="BK27" s="261" t="str">
        <v xml:space="preserve">  </v>
      </c>
      <c r="BL27" s="261" t="str">
        <v xml:space="preserve">  </v>
      </c>
      <c r="BM27" s="261" t="str">
        <v xml:space="preserve">  </v>
      </c>
      <c r="BN27" s="261" t="str">
        <v xml:space="preserve">  </v>
      </c>
      <c r="BO27" s="261" t="str">
        <v xml:space="preserve">  </v>
      </c>
      <c r="BP27" s="261" t="str">
        <v xml:space="preserve">  </v>
      </c>
      <c r="BQ27" s="261" t="str">
        <v xml:space="preserve">  </v>
      </c>
      <c r="BR27" s="261" t="str">
        <v xml:space="preserve">  </v>
      </c>
      <c r="BS27" s="261" t="str">
        <v xml:space="preserve">  </v>
      </c>
      <c r="BT27" s="261" t="str">
        <v xml:space="preserve">  </v>
      </c>
      <c r="BU27" s="261" t="str">
        <v xml:space="preserve">  </v>
      </c>
      <c r="BV27" s="261" t="str">
        <v xml:space="preserve">  </v>
      </c>
      <c r="BW27" s="261" t="str">
        <v xml:space="preserve">  </v>
      </c>
      <c r="BX27" s="261" t="str">
        <v xml:space="preserve">  </v>
      </c>
      <c r="BY27" s="261" t="str">
        <v xml:space="preserve">  </v>
      </c>
      <c r="BZ27" s="261" t="str">
        <v xml:space="preserve">  </v>
      </c>
      <c r="CA27" s="261" t="str">
        <v xml:space="preserve">  </v>
      </c>
      <c r="CB27" s="261" t="str">
        <v xml:space="preserve">  </v>
      </c>
      <c r="CC27" s="261" t="str">
        <v xml:space="preserve">  </v>
      </c>
      <c r="CD27" s="262" t="str">
        <v xml:space="preserve">  </v>
      </c>
      <c r="CG27" s="265">
        <f t="shared" si="5"/>
        <v>19</v>
      </c>
      <c r="CH27" s="265">
        <f t="shared" si="6"/>
        <v>19</v>
      </c>
      <c r="CI27" s="265">
        <f t="shared" si="6"/>
        <v>19</v>
      </c>
      <c r="CJ27" s="265"/>
      <c r="CK27" s="268">
        <f t="shared" si="34"/>
        <v>19</v>
      </c>
      <c r="CL27" s="269">
        <f t="shared" si="7"/>
        <v>19</v>
      </c>
      <c r="CM27" s="269">
        <f t="shared" si="8"/>
        <v>19.005029639762881</v>
      </c>
      <c r="CN27" s="269">
        <f t="shared" si="9"/>
        <v>19.012165982672137</v>
      </c>
      <c r="CO27" s="269">
        <f t="shared" si="10"/>
        <v>19.020451436388509</v>
      </c>
      <c r="CP27" s="269">
        <f t="shared" si="11"/>
        <v>19.02983128134975</v>
      </c>
      <c r="CQ27" s="269">
        <f t="shared" si="12"/>
        <v>19.072056543547653</v>
      </c>
      <c r="CR27" s="269">
        <f t="shared" si="13"/>
        <v>19.118112175102599</v>
      </c>
      <c r="CS27" s="269">
        <f t="shared" si="14"/>
        <v>19.165079799361607</v>
      </c>
      <c r="CT27" s="269">
        <f t="shared" si="15"/>
        <v>19.208521659826722</v>
      </c>
      <c r="CU27" s="269">
        <f t="shared" si="16"/>
        <v>19.216789785681716</v>
      </c>
      <c r="CV27" s="269">
        <f t="shared" si="17"/>
        <v>19.273862289101686</v>
      </c>
      <c r="CW27" s="269">
        <f t="shared" si="18"/>
        <v>19.305408116735066</v>
      </c>
      <c r="CX27" s="269" t="e">
        <f t="shared" si="19"/>
        <v>#VALUE!</v>
      </c>
      <c r="CY27" s="269" t="e">
        <f t="shared" si="20"/>
        <v>#VALUE!</v>
      </c>
      <c r="CZ27" s="269" t="e">
        <f t="shared" si="21"/>
        <v>#VALUE!</v>
      </c>
      <c r="DA27" s="269" t="e">
        <f t="shared" si="22"/>
        <v>#VALUE!</v>
      </c>
      <c r="DB27" s="269" t="e">
        <f t="shared" si="23"/>
        <v>#VALUE!</v>
      </c>
      <c r="DC27" s="269" t="e">
        <f t="shared" si="24"/>
        <v>#VALUE!</v>
      </c>
      <c r="DD27" s="269" t="e">
        <f t="shared" si="25"/>
        <v>#VALUE!</v>
      </c>
      <c r="DE27" s="269" t="e">
        <f t="shared" si="26"/>
        <v>#VALUE!</v>
      </c>
      <c r="DF27" s="269" t="e">
        <f t="shared" si="27"/>
        <v>#VALUE!</v>
      </c>
      <c r="DG27" s="269" t="e">
        <f t="shared" si="28"/>
        <v>#VALUE!</v>
      </c>
      <c r="DH27" s="269" t="e">
        <f t="shared" si="29"/>
        <v>#VALUE!</v>
      </c>
      <c r="DI27" s="269" t="e">
        <f t="shared" si="30"/>
        <v>#VALUE!</v>
      </c>
      <c r="DJ27" s="269" t="e">
        <f t="shared" si="31"/>
        <v>#VALUE!</v>
      </c>
    </row>
    <row r="28" spans="1:114" x14ac:dyDescent="0.25">
      <c r="A28" s="248" t="s">
        <v>214</v>
      </c>
      <c r="AC28" s="249"/>
      <c r="AD28" s="270"/>
      <c r="AE28" s="271">
        <v>1</v>
      </c>
      <c r="AF28" s="271">
        <v>2</v>
      </c>
      <c r="AG28" s="271">
        <v>3</v>
      </c>
      <c r="AH28" s="271">
        <v>4</v>
      </c>
      <c r="AI28" s="271">
        <v>5</v>
      </c>
      <c r="AJ28" s="271">
        <v>6</v>
      </c>
      <c r="AK28" s="271">
        <v>7</v>
      </c>
      <c r="AL28" s="271">
        <v>8</v>
      </c>
      <c r="AM28" s="271">
        <v>9</v>
      </c>
      <c r="AN28" s="271">
        <v>10</v>
      </c>
      <c r="AO28" s="271">
        <v>11</v>
      </c>
      <c r="AP28" s="271">
        <v>12</v>
      </c>
      <c r="AQ28" s="271">
        <v>13</v>
      </c>
      <c r="AR28" s="271">
        <v>14</v>
      </c>
      <c r="AS28" s="271">
        <v>15</v>
      </c>
      <c r="AT28" s="271">
        <v>16</v>
      </c>
      <c r="AU28" s="271">
        <v>17</v>
      </c>
      <c r="AV28" s="271">
        <v>18</v>
      </c>
      <c r="AW28" s="271">
        <v>19</v>
      </c>
      <c r="AX28" s="271">
        <v>20</v>
      </c>
      <c r="AY28" s="271">
        <v>21</v>
      </c>
      <c r="AZ28" s="271">
        <v>22</v>
      </c>
      <c r="BA28" s="271">
        <v>23</v>
      </c>
      <c r="BB28" s="271">
        <v>24</v>
      </c>
      <c r="BC28" s="271">
        <v>25</v>
      </c>
      <c r="CG28" s="265">
        <f t="shared" si="5"/>
        <v>19.5</v>
      </c>
      <c r="CH28" s="265">
        <f t="shared" si="6"/>
        <v>19.5</v>
      </c>
      <c r="CI28" s="265">
        <f t="shared" si="6"/>
        <v>19.5</v>
      </c>
      <c r="CJ28" s="265"/>
      <c r="CK28" s="268">
        <f t="shared" si="34"/>
        <v>19.5</v>
      </c>
      <c r="CL28" s="269">
        <f t="shared" si="7"/>
        <v>19.5</v>
      </c>
      <c r="CM28" s="269">
        <f t="shared" si="8"/>
        <v>19.502277701778386</v>
      </c>
      <c r="CN28" s="269">
        <f t="shared" si="9"/>
        <v>19.506320109439123</v>
      </c>
      <c r="CO28" s="269">
        <f t="shared" si="10"/>
        <v>19.51138850889193</v>
      </c>
      <c r="CP28" s="269">
        <f t="shared" si="11"/>
        <v>19.517318741450069</v>
      </c>
      <c r="CQ28" s="269">
        <f t="shared" si="12"/>
        <v>19.544778841769265</v>
      </c>
      <c r="CR28" s="269">
        <f t="shared" si="13"/>
        <v>19.572731418148656</v>
      </c>
      <c r="CS28" s="269">
        <f t="shared" si="14"/>
        <v>19.597309621523028</v>
      </c>
      <c r="CT28" s="269">
        <f t="shared" si="15"/>
        <v>19.619030551755586</v>
      </c>
      <c r="CU28" s="269">
        <f t="shared" si="16"/>
        <v>19.623351390788873</v>
      </c>
      <c r="CV28" s="269">
        <f t="shared" si="17"/>
        <v>19.653578841769267</v>
      </c>
      <c r="CW28" s="269">
        <f t="shared" si="18"/>
        <v>19.6722382124943</v>
      </c>
      <c r="CX28" s="269" t="e">
        <f t="shared" si="19"/>
        <v>#VALUE!</v>
      </c>
      <c r="CY28" s="269" t="e">
        <f t="shared" si="20"/>
        <v>#VALUE!</v>
      </c>
      <c r="CZ28" s="269" t="e">
        <f t="shared" si="21"/>
        <v>#VALUE!</v>
      </c>
      <c r="DA28" s="269" t="e">
        <f t="shared" si="22"/>
        <v>#VALUE!</v>
      </c>
      <c r="DB28" s="269" t="e">
        <f t="shared" si="23"/>
        <v>#VALUE!</v>
      </c>
      <c r="DC28" s="269" t="e">
        <f t="shared" si="24"/>
        <v>#VALUE!</v>
      </c>
      <c r="DD28" s="269" t="e">
        <f t="shared" si="25"/>
        <v>#VALUE!</v>
      </c>
      <c r="DE28" s="269" t="e">
        <f t="shared" si="26"/>
        <v>#VALUE!</v>
      </c>
      <c r="DF28" s="269" t="e">
        <f t="shared" si="27"/>
        <v>#VALUE!</v>
      </c>
      <c r="DG28" s="269" t="e">
        <f t="shared" si="28"/>
        <v>#VALUE!</v>
      </c>
      <c r="DH28" s="269" t="e">
        <f t="shared" si="29"/>
        <v>#VALUE!</v>
      </c>
      <c r="DI28" s="269" t="e">
        <f t="shared" si="30"/>
        <v>#VALUE!</v>
      </c>
      <c r="DJ28" s="269" t="e">
        <f t="shared" si="31"/>
        <v>#VALUE!</v>
      </c>
    </row>
    <row r="29" spans="1:114" x14ac:dyDescent="0.25">
      <c r="CG29" s="265">
        <f t="shared" si="5"/>
        <v>20</v>
      </c>
      <c r="CH29" s="265">
        <f t="shared" si="6"/>
        <v>20</v>
      </c>
      <c r="CI29" s="265">
        <f t="shared" si="6"/>
        <v>20</v>
      </c>
      <c r="CJ29" s="265"/>
      <c r="CK29" s="268">
        <f t="shared" si="34"/>
        <v>20</v>
      </c>
      <c r="CL29" s="269">
        <f t="shared" si="7"/>
        <v>20</v>
      </c>
      <c r="CM29" s="269">
        <f t="shared" si="8"/>
        <v>20.001299589603285</v>
      </c>
      <c r="CN29" s="269">
        <f t="shared" si="9"/>
        <v>20.004103967168263</v>
      </c>
      <c r="CO29" s="269">
        <f t="shared" si="10"/>
        <v>20.007710898312812</v>
      </c>
      <c r="CP29" s="269">
        <f t="shared" si="11"/>
        <v>20.011810305517557</v>
      </c>
      <c r="CQ29" s="269">
        <f t="shared" si="12"/>
        <v>20.026502507979938</v>
      </c>
      <c r="CR29" s="269">
        <f t="shared" si="13"/>
        <v>20.035558595531235</v>
      </c>
      <c r="CS29" s="269">
        <f t="shared" si="14"/>
        <v>20.038176014591883</v>
      </c>
      <c r="CT29" s="269">
        <f t="shared" si="15"/>
        <v>20.038548107615139</v>
      </c>
      <c r="CU29" s="269">
        <f t="shared" si="16"/>
        <v>20.038659370725036</v>
      </c>
      <c r="CV29" s="269">
        <f t="shared" si="17"/>
        <v>20.041823985408115</v>
      </c>
      <c r="CW29" s="269">
        <f t="shared" si="18"/>
        <v>20.048472412220701</v>
      </c>
      <c r="CX29" s="269" t="e">
        <f t="shared" si="19"/>
        <v>#VALUE!</v>
      </c>
      <c r="CY29" s="269" t="e">
        <f t="shared" si="20"/>
        <v>#VALUE!</v>
      </c>
      <c r="CZ29" s="269" t="e">
        <f t="shared" si="21"/>
        <v>#VALUE!</v>
      </c>
      <c r="DA29" s="269" t="e">
        <f t="shared" si="22"/>
        <v>#VALUE!</v>
      </c>
      <c r="DB29" s="269" t="e">
        <f t="shared" si="23"/>
        <v>#VALUE!</v>
      </c>
      <c r="DC29" s="269" t="e">
        <f t="shared" si="24"/>
        <v>#VALUE!</v>
      </c>
      <c r="DD29" s="269" t="e">
        <f t="shared" si="25"/>
        <v>#VALUE!</v>
      </c>
      <c r="DE29" s="269" t="e">
        <f t="shared" si="26"/>
        <v>#VALUE!</v>
      </c>
      <c r="DF29" s="269" t="e">
        <f t="shared" si="27"/>
        <v>#VALUE!</v>
      </c>
      <c r="DG29" s="269" t="e">
        <f t="shared" si="28"/>
        <v>#VALUE!</v>
      </c>
      <c r="DH29" s="269" t="e">
        <f t="shared" si="29"/>
        <v>#VALUE!</v>
      </c>
      <c r="DI29" s="269" t="e">
        <f t="shared" si="30"/>
        <v>#VALUE!</v>
      </c>
      <c r="DJ29" s="269" t="e">
        <f t="shared" si="31"/>
        <v>#VALUE!</v>
      </c>
    </row>
    <row r="30" spans="1:114" ht="18.75" x14ac:dyDescent="0.3">
      <c r="A30" s="272" t="s">
        <v>215</v>
      </c>
      <c r="B30" s="273"/>
      <c r="C30" s="274"/>
      <c r="E30" s="275" t="s">
        <v>216</v>
      </c>
      <c r="F30" s="273"/>
      <c r="G30" s="273"/>
      <c r="H30" s="274"/>
      <c r="L30" s="276" t="s">
        <v>217</v>
      </c>
      <c r="M30" s="273"/>
      <c r="N30" s="274"/>
      <c r="T30" s="134" t="s">
        <v>218</v>
      </c>
      <c r="CG30" s="265"/>
      <c r="CH30" s="265"/>
      <c r="CI30" s="265"/>
      <c r="CJ30" s="265"/>
      <c r="CK30" s="268">
        <f t="shared" ref="CK30:CK54" si="37">A70</f>
        <v>0</v>
      </c>
      <c r="CL30" s="269">
        <f t="shared" ref="CL30:CL38" si="38">$CK30+AC70/$N$32/STN_GAP</f>
        <v>0</v>
      </c>
      <c r="CM30" s="269">
        <f t="shared" ref="CM30:CM38" si="39">$CK30+AD70/$N$32/STN_GAP</f>
        <v>0</v>
      </c>
      <c r="CN30" s="269">
        <f t="shared" ref="CN30:CN38" si="40">$CK30+AE70/$N$32/STN_GAP</f>
        <v>0</v>
      </c>
      <c r="CO30" s="269">
        <f t="shared" ref="CO30:CO38" si="41">$CK30+AF70/$N$32/STN_GAP</f>
        <v>0</v>
      </c>
      <c r="CP30" s="269">
        <f t="shared" ref="CP30:CP38" si="42">$CK30+AG70/$N$32/STN_GAP</f>
        <v>0</v>
      </c>
      <c r="CQ30" s="269">
        <f t="shared" ref="CQ30:CQ38" si="43">$CK30+AH70/$N$32/STN_GAP</f>
        <v>0</v>
      </c>
      <c r="CR30" s="269">
        <f t="shared" ref="CR30:CR38" si="44">$CK30+AI70/$N$32/STN_GAP</f>
        <v>0</v>
      </c>
      <c r="CS30" s="269">
        <f t="shared" ref="CS30:CS38" si="45">$CK30+AJ70/$N$32/STN_GAP</f>
        <v>3.1463748290013679E-3</v>
      </c>
      <c r="CT30" s="269">
        <f t="shared" ref="CT30:CT38" si="46">$CK30+AK70/$N$32/STN_GAP</f>
        <v>2.7460586715306268E-2</v>
      </c>
      <c r="CU30" s="269">
        <f t="shared" ref="CU30:CU38" si="47">$CK30+AL70/$N$32/STN_GAP</f>
        <v>3.5522115823073422E-2</v>
      </c>
      <c r="CV30" s="269">
        <f t="shared" ref="CV30:CV38" si="48">$CK30+AM70/$N$32/STN_GAP</f>
        <v>0.10397628818969448</v>
      </c>
      <c r="CW30" s="269">
        <f t="shared" ref="CW30:CW38" si="49">$CK30+AN70/$N$32/STN_GAP</f>
        <v>0.14994984040127682</v>
      </c>
      <c r="CX30" s="269" t="e">
        <f t="shared" ref="CX30:CX38" si="50">$CK30+AO70/$N$32/STN_GAP</f>
        <v>#VALUE!</v>
      </c>
      <c r="CY30" s="269" t="e">
        <f t="shared" ref="CY30:CY38" si="51">$CK30+AP70/$N$32/STN_GAP</f>
        <v>#VALUE!</v>
      </c>
      <c r="CZ30" s="269" t="e">
        <f t="shared" ref="CZ30:CZ38" si="52">$CK30+AQ70/$N$32/STN_GAP</f>
        <v>#VALUE!</v>
      </c>
      <c r="DA30" s="269" t="e">
        <f t="shared" ref="DA30:DA38" si="53">$CK30+AR70/$N$32/STN_GAP</f>
        <v>#VALUE!</v>
      </c>
      <c r="DB30" s="269" t="e">
        <f t="shared" ref="DB30:DB38" si="54">$CK30+AS70/$N$32/STN_GAP</f>
        <v>#VALUE!</v>
      </c>
      <c r="DC30" s="269" t="e">
        <f t="shared" ref="DC30:DC38" si="55">$CK30+AT70/$N$32/STN_GAP</f>
        <v>#VALUE!</v>
      </c>
      <c r="DD30" s="269" t="e">
        <f t="shared" ref="DD30:DD38" si="56">$CK30+AU70/$N$32/STN_GAP</f>
        <v>#VALUE!</v>
      </c>
      <c r="DE30" s="269" t="e">
        <f t="shared" ref="DE30:DE38" si="57">$CK30+AV70/$N$32/STN_GAP</f>
        <v>#VALUE!</v>
      </c>
      <c r="DF30" s="269" t="e">
        <f t="shared" ref="DF30:DF38" si="58">$CK30+AW70/$N$32/STN_GAP</f>
        <v>#VALUE!</v>
      </c>
      <c r="DG30" s="269" t="e">
        <f t="shared" ref="DG30:DG38" si="59">$CK30+AX70/$N$32/STN_GAP</f>
        <v>#VALUE!</v>
      </c>
      <c r="DH30" s="269" t="e">
        <f t="shared" ref="DH30:DH38" si="60">$CK30+AY70/$N$32/STN_GAP</f>
        <v>#VALUE!</v>
      </c>
      <c r="DI30" s="269" t="e">
        <f t="shared" ref="DI30:DI38" si="61">$CK30+AZ70/$N$32/STN_GAP</f>
        <v>#VALUE!</v>
      </c>
      <c r="DJ30" s="269" t="e">
        <f t="shared" ref="DJ30:DJ38" si="62">$CK30+BA70/$N$32/STN_GAP</f>
        <v>#VALUE!</v>
      </c>
    </row>
    <row r="31" spans="1:114" x14ac:dyDescent="0.25">
      <c r="A31" s="277" t="s">
        <v>219</v>
      </c>
      <c r="B31" s="278" t="str">
        <f>IF(COUNTA(Offset!T2:AS27)&lt;=1,"Offset","")</f>
        <v/>
      </c>
      <c r="C31" s="279"/>
      <c r="E31" s="277" t="s">
        <v>220</v>
      </c>
      <c r="F31" s="280" t="str">
        <f>IF(ISNUMBER(Tools!V),"",Tools!E31)</f>
        <v/>
      </c>
      <c r="G31" s="280">
        <f>IF(ISNUMBER(Tools!V),1,0)</f>
        <v>1</v>
      </c>
      <c r="H31" s="279"/>
      <c r="L31" s="277">
        <f>MAX(Area!P3:AN27)/STN_GAP/(100-CAD!M4)*100</f>
        <v>45.799200665218201</v>
      </c>
      <c r="M31" s="280">
        <f>L31/(10^(INT(LOG(L31))-1))</f>
        <v>45.799200665218201</v>
      </c>
      <c r="N31" s="281">
        <f>(IF(M31=0,"zero area",IF(AND(M31&gt;8,M31&lt;=10),10,IF(AND(M31&gt;0,M31&lt;=10),ROUNDUP(M31,0),IF(M31&gt;80,100,IF(M31&gt;70,80,IF(M31&gt;60,70,IF(M31&gt;50,60,IF(M31&gt;40,50,IF(M31&gt;30,40,IF(M31&gt;25,30,IF(M31&gt;20,25,IF(M31&gt;15,20,IF(M31&gt;10,15," "))))))))))))))*10^(INT(LOG10(L31))-1)</f>
        <v>50</v>
      </c>
      <c r="T31" s="282" t="b">
        <f t="shared" ref="T31:Y31" si="63">IFERROR(IF(VLOOKUP(MAX($AD$3:$AD$27),OFFSET_A,AE28+2,FALSE)-VLOOKUP(MAX($AD$3:$AD$27),OFFSET_A,AE28+1,FALSE)&lt;0,TRUE,FALSE),FALSE)</f>
        <v>0</v>
      </c>
      <c r="U31" s="273" t="b">
        <f t="shared" si="63"/>
        <v>0</v>
      </c>
      <c r="V31" s="273" t="b">
        <f t="shared" si="63"/>
        <v>0</v>
      </c>
      <c r="W31" s="273" t="b">
        <f t="shared" si="63"/>
        <v>0</v>
      </c>
      <c r="X31" s="273" t="b">
        <f t="shared" si="63"/>
        <v>1</v>
      </c>
      <c r="Y31" s="274" t="b">
        <f t="shared" si="63"/>
        <v>1</v>
      </c>
      <c r="AR31" s="132" t="str">
        <f>VLOOKUP(MAX($AD$3:$AD$27),OFFSET_A,BC28+1,FALSE)</f>
        <v xml:space="preserve">  </v>
      </c>
      <c r="CG31" s="265" t="s">
        <v>135</v>
      </c>
      <c r="CH31" s="265">
        <v>0</v>
      </c>
      <c r="CI31" s="265">
        <f>MAX(Offset!$T$3:$T$27)</f>
        <v>20</v>
      </c>
      <c r="CJ31" s="265"/>
      <c r="CK31" s="268">
        <f t="shared" si="37"/>
        <v>0.5</v>
      </c>
      <c r="CL31" s="269">
        <f t="shared" si="38"/>
        <v>0.5</v>
      </c>
      <c r="CM31" s="269">
        <f t="shared" si="39"/>
        <v>0.50001994984040132</v>
      </c>
      <c r="CN31" s="269">
        <f t="shared" si="40"/>
        <v>0.5000911992704058</v>
      </c>
      <c r="CO31" s="269">
        <f t="shared" si="41"/>
        <v>0.50020462836297308</v>
      </c>
      <c r="CP31" s="269">
        <f t="shared" si="42"/>
        <v>0.50038911688706489</v>
      </c>
      <c r="CQ31" s="269">
        <f t="shared" si="43"/>
        <v>0.50188630490956077</v>
      </c>
      <c r="CR31" s="269">
        <f t="shared" si="44"/>
        <v>0.50631098951208386</v>
      </c>
      <c r="CS31" s="269">
        <f t="shared" si="45"/>
        <v>0.52413892688858488</v>
      </c>
      <c r="CT31" s="269">
        <f t="shared" si="46"/>
        <v>0.56987096823225414</v>
      </c>
      <c r="CU31" s="269">
        <f t="shared" si="47"/>
        <v>0.58268733850129195</v>
      </c>
      <c r="CV31" s="269">
        <f t="shared" si="48"/>
        <v>0.68233926128590972</v>
      </c>
      <c r="CW31" s="269">
        <f t="shared" si="49"/>
        <v>0.74666666666666659</v>
      </c>
      <c r="CX31" s="269" t="e">
        <f t="shared" si="50"/>
        <v>#VALUE!</v>
      </c>
      <c r="CY31" s="269" t="e">
        <f t="shared" si="51"/>
        <v>#VALUE!</v>
      </c>
      <c r="CZ31" s="269" t="e">
        <f t="shared" si="52"/>
        <v>#VALUE!</v>
      </c>
      <c r="DA31" s="269" t="e">
        <f t="shared" si="53"/>
        <v>#VALUE!</v>
      </c>
      <c r="DB31" s="269" t="e">
        <f t="shared" si="54"/>
        <v>#VALUE!</v>
      </c>
      <c r="DC31" s="269" t="e">
        <f t="shared" si="55"/>
        <v>#VALUE!</v>
      </c>
      <c r="DD31" s="269" t="e">
        <f t="shared" si="56"/>
        <v>#VALUE!</v>
      </c>
      <c r="DE31" s="269" t="e">
        <f t="shared" si="57"/>
        <v>#VALUE!</v>
      </c>
      <c r="DF31" s="269" t="e">
        <f t="shared" si="58"/>
        <v>#VALUE!</v>
      </c>
      <c r="DG31" s="269" t="e">
        <f t="shared" si="59"/>
        <v>#VALUE!</v>
      </c>
      <c r="DH31" s="269" t="e">
        <f t="shared" si="60"/>
        <v>#VALUE!</v>
      </c>
      <c r="DI31" s="269" t="e">
        <f t="shared" si="61"/>
        <v>#VALUE!</v>
      </c>
      <c r="DJ31" s="269" t="e">
        <f t="shared" si="62"/>
        <v>#VALUE!</v>
      </c>
    </row>
    <row r="32" spans="1:114" x14ac:dyDescent="0.25">
      <c r="A32" s="277" t="s">
        <v>221</v>
      </c>
      <c r="B32" s="283" t="str">
        <f>IF(ISNUMBER(VLOOKUP(B42,Main_Particulars,3,FALSE)),"",A32)</f>
        <v/>
      </c>
      <c r="C32" s="279"/>
      <c r="E32" s="277" t="s">
        <v>222</v>
      </c>
      <c r="F32" s="280" t="str">
        <f>IF(ISNUMBER(Tools!h),"",Tools!E32)</f>
        <v/>
      </c>
      <c r="G32" s="280">
        <f>IF(ISNUMBER(Tools!h),1,0)</f>
        <v>1</v>
      </c>
      <c r="H32" s="279"/>
      <c r="L32" s="284">
        <f>MAX(Moment!P3:AN27)/STN_GAP/(100-CAD!R4)*100</f>
        <v>299.07888736890106</v>
      </c>
      <c r="M32" s="285">
        <f>L32/(10^(INT(LOG(L32))-1))</f>
        <v>29.907888736890108</v>
      </c>
      <c r="N32" s="286">
        <f>(IF(M32=0,"zero area",IF(AND(M32&gt;8,M32&lt;=10),10,IF(AND(M32&gt;0,M32&lt;=10),ROUNDUP(M32,0),IF(M32&gt;80,100,IF(M32&gt;70,80,IF(M32&gt;60,70,IF(M32&gt;50,60,IF(M32&gt;40,50,IF(M32&gt;30,40,IF(M32&gt;25,30,IF(M32&gt;20,25,IF(M32&gt;15,20,IF(M32&gt;10,15," "))))))))))))))*10^(INT(LOG10(L32))-1)</f>
        <v>300</v>
      </c>
      <c r="T32" s="277" t="b">
        <f t="shared" ref="T32:Y32" si="64">IFERROR(IF(VLOOKUP(MAX($AD$3:$AD$27),OFFSET_A,AK28+2,FALSE)-VLOOKUP(MAX($AD$3:$AD$27),OFFSET_A,AK28+1,FALSE)&lt;0,TRUE,FALSE),FALSE)</f>
        <v>1</v>
      </c>
      <c r="U32" s="280" t="b">
        <f t="shared" si="64"/>
        <v>1</v>
      </c>
      <c r="V32" s="280" t="b">
        <f t="shared" si="64"/>
        <v>0</v>
      </c>
      <c r="W32" s="280" t="b">
        <f t="shared" si="64"/>
        <v>0</v>
      </c>
      <c r="X32" s="280" t="b">
        <f t="shared" si="64"/>
        <v>0</v>
      </c>
      <c r="Y32" s="279" t="b">
        <f t="shared" si="64"/>
        <v>0</v>
      </c>
      <c r="CG32" s="265"/>
      <c r="CH32" s="265">
        <f>DEPTH/WLS</f>
        <v>6.5</v>
      </c>
      <c r="CI32" s="265">
        <f>CH32</f>
        <v>6.5</v>
      </c>
      <c r="CJ32" s="265"/>
      <c r="CK32" s="268">
        <f t="shared" si="37"/>
        <v>1</v>
      </c>
      <c r="CL32" s="269">
        <f t="shared" si="38"/>
        <v>1</v>
      </c>
      <c r="CM32" s="269">
        <f t="shared" si="39"/>
        <v>1.0000495896032833</v>
      </c>
      <c r="CN32" s="269">
        <f t="shared" si="40"/>
        <v>1.0002553579571363</v>
      </c>
      <c r="CO32" s="269">
        <f t="shared" si="41"/>
        <v>1.0006902644778841</v>
      </c>
      <c r="CP32" s="269">
        <f t="shared" si="42"/>
        <v>1.0014135886912905</v>
      </c>
      <c r="CQ32" s="269">
        <f t="shared" si="43"/>
        <v>1.0080057759537924</v>
      </c>
      <c r="CR32" s="269">
        <f t="shared" si="44"/>
        <v>1.0248943608451133</v>
      </c>
      <c r="CS32" s="269">
        <f t="shared" si="45"/>
        <v>1.0641358869129047</v>
      </c>
      <c r="CT32" s="269">
        <f t="shared" si="46"/>
        <v>1.130201778385773</v>
      </c>
      <c r="CU32" s="269">
        <f t="shared" si="47"/>
        <v>1.1463353093175255</v>
      </c>
      <c r="CV32" s="269">
        <f t="shared" si="48"/>
        <v>1.2738212494300045</v>
      </c>
      <c r="CW32" s="269">
        <f t="shared" si="49"/>
        <v>1.3540553275573797</v>
      </c>
      <c r="CX32" s="269" t="e">
        <f t="shared" si="50"/>
        <v>#VALUE!</v>
      </c>
      <c r="CY32" s="269" t="e">
        <f t="shared" si="51"/>
        <v>#VALUE!</v>
      </c>
      <c r="CZ32" s="269" t="e">
        <f t="shared" si="52"/>
        <v>#VALUE!</v>
      </c>
      <c r="DA32" s="269" t="e">
        <f t="shared" si="53"/>
        <v>#VALUE!</v>
      </c>
      <c r="DB32" s="269" t="e">
        <f t="shared" si="54"/>
        <v>#VALUE!</v>
      </c>
      <c r="DC32" s="269" t="e">
        <f t="shared" si="55"/>
        <v>#VALUE!</v>
      </c>
      <c r="DD32" s="269" t="e">
        <f t="shared" si="56"/>
        <v>#VALUE!</v>
      </c>
      <c r="DE32" s="269" t="e">
        <f t="shared" si="57"/>
        <v>#VALUE!</v>
      </c>
      <c r="DF32" s="269" t="e">
        <f t="shared" si="58"/>
        <v>#VALUE!</v>
      </c>
      <c r="DG32" s="269" t="e">
        <f t="shared" si="59"/>
        <v>#VALUE!</v>
      </c>
      <c r="DH32" s="269" t="e">
        <f t="shared" si="60"/>
        <v>#VALUE!</v>
      </c>
      <c r="DI32" s="269" t="e">
        <f t="shared" si="61"/>
        <v>#VALUE!</v>
      </c>
      <c r="DJ32" s="269" t="e">
        <f t="shared" si="62"/>
        <v>#VALUE!</v>
      </c>
    </row>
    <row r="33" spans="1:114" x14ac:dyDescent="0.25">
      <c r="A33" s="277" t="s">
        <v>223</v>
      </c>
      <c r="B33" s="283" t="str">
        <f>IF(ISNUMBER(VLOOKUP(B43,Main_Particulars,3,FALSE)),"",A33)</f>
        <v/>
      </c>
      <c r="C33" s="279"/>
      <c r="E33" s="277"/>
      <c r="F33" s="280"/>
      <c r="G33" s="280"/>
      <c r="H33" s="279"/>
      <c r="T33" s="277" t="b">
        <f t="shared" ref="T33:Y33" si="65">IFERROR(IF(VLOOKUP(MAX($AD$3:$AD$27),OFFSET_A,AQ28+2,FALSE)-VLOOKUP(MAX($AD$3:$AD$27),OFFSET_A,AQ28+1,FALSE)&lt;0,TRUE,FALSE),FALSE)</f>
        <v>0</v>
      </c>
      <c r="U33" s="280" t="b">
        <f t="shared" si="65"/>
        <v>0</v>
      </c>
      <c r="V33" s="280" t="b">
        <f t="shared" si="65"/>
        <v>0</v>
      </c>
      <c r="W33" s="280" t="b">
        <f t="shared" si="65"/>
        <v>0</v>
      </c>
      <c r="X33" s="280" t="b">
        <f t="shared" si="65"/>
        <v>0</v>
      </c>
      <c r="Y33" s="279" t="b">
        <f t="shared" si="65"/>
        <v>0</v>
      </c>
      <c r="AR33" s="280"/>
      <c r="AS33" s="280"/>
      <c r="AT33" s="280"/>
      <c r="AU33" s="280"/>
      <c r="AV33" s="280"/>
      <c r="AW33" s="280"/>
      <c r="AX33" s="280"/>
      <c r="AY33" s="280"/>
      <c r="AZ33" s="280"/>
      <c r="BA33" s="280"/>
      <c r="BB33" s="280"/>
      <c r="BC33" s="280"/>
      <c r="BD33" s="280"/>
      <c r="BE33" s="280"/>
      <c r="BF33" s="280"/>
      <c r="BG33" s="280"/>
      <c r="BH33" s="280"/>
      <c r="BI33" s="280"/>
      <c r="BJ33" s="280"/>
      <c r="BK33" s="280"/>
      <c r="BL33" s="280"/>
      <c r="BM33" s="280"/>
      <c r="BN33" s="280"/>
      <c r="BO33" s="280"/>
      <c r="BP33" s="280"/>
      <c r="BQ33" s="280"/>
      <c r="BR33" s="280"/>
      <c r="BS33" s="280"/>
      <c r="BT33" s="280"/>
      <c r="BU33" s="280"/>
      <c r="BV33" s="280"/>
      <c r="BW33" s="280"/>
      <c r="BX33" s="280"/>
      <c r="BY33" s="280"/>
      <c r="BZ33" s="280"/>
      <c r="CA33" s="280"/>
      <c r="CB33" s="280"/>
      <c r="CC33" s="280"/>
      <c r="CD33" s="280"/>
      <c r="CG33" s="265"/>
      <c r="CH33" s="265"/>
      <c r="CI33" s="265"/>
      <c r="CJ33" s="265"/>
      <c r="CK33" s="268">
        <f t="shared" si="37"/>
        <v>1.5</v>
      </c>
      <c r="CL33" s="269">
        <f t="shared" si="38"/>
        <v>1.5</v>
      </c>
      <c r="CM33" s="269">
        <f t="shared" si="39"/>
        <v>1.500095474236206</v>
      </c>
      <c r="CN33" s="269">
        <f t="shared" si="40"/>
        <v>1.5005061559507524</v>
      </c>
      <c r="CO33" s="269">
        <f t="shared" si="41"/>
        <v>1.5013677040583675</v>
      </c>
      <c r="CP33" s="269">
        <f t="shared" si="42"/>
        <v>1.5027906976744185</v>
      </c>
      <c r="CQ33" s="269">
        <f t="shared" si="43"/>
        <v>1.5158701930384557</v>
      </c>
      <c r="CR33" s="269">
        <f t="shared" si="44"/>
        <v>1.5465055479556165</v>
      </c>
      <c r="CS33" s="269">
        <f t="shared" si="45"/>
        <v>1.60578051375589</v>
      </c>
      <c r="CT33" s="269">
        <f t="shared" si="46"/>
        <v>1.6905913664690682</v>
      </c>
      <c r="CU33" s="269">
        <f t="shared" si="47"/>
        <v>1.7102143182854537</v>
      </c>
      <c r="CV33" s="269">
        <f t="shared" si="48"/>
        <v>1.8612357501139991</v>
      </c>
      <c r="CW33" s="269">
        <f t="shared" si="49"/>
        <v>1.9547484420124639</v>
      </c>
      <c r="CX33" s="269" t="e">
        <f t="shared" si="50"/>
        <v>#VALUE!</v>
      </c>
      <c r="CY33" s="269" t="e">
        <f t="shared" si="51"/>
        <v>#VALUE!</v>
      </c>
      <c r="CZ33" s="269" t="e">
        <f t="shared" si="52"/>
        <v>#VALUE!</v>
      </c>
      <c r="DA33" s="269" t="e">
        <f t="shared" si="53"/>
        <v>#VALUE!</v>
      </c>
      <c r="DB33" s="269" t="e">
        <f t="shared" si="54"/>
        <v>#VALUE!</v>
      </c>
      <c r="DC33" s="269" t="e">
        <f t="shared" si="55"/>
        <v>#VALUE!</v>
      </c>
      <c r="DD33" s="269" t="e">
        <f t="shared" si="56"/>
        <v>#VALUE!</v>
      </c>
      <c r="DE33" s="269" t="e">
        <f t="shared" si="57"/>
        <v>#VALUE!</v>
      </c>
      <c r="DF33" s="269" t="e">
        <f t="shared" si="58"/>
        <v>#VALUE!</v>
      </c>
      <c r="DG33" s="269" t="e">
        <f t="shared" si="59"/>
        <v>#VALUE!</v>
      </c>
      <c r="DH33" s="269" t="e">
        <f t="shared" si="60"/>
        <v>#VALUE!</v>
      </c>
      <c r="DI33" s="269" t="e">
        <f t="shared" si="61"/>
        <v>#VALUE!</v>
      </c>
      <c r="DJ33" s="269" t="e">
        <f t="shared" si="62"/>
        <v>#VALUE!</v>
      </c>
    </row>
    <row r="34" spans="1:114" x14ac:dyDescent="0.25">
      <c r="A34" s="277" t="s">
        <v>224</v>
      </c>
      <c r="B34" s="283" t="str">
        <f>IF(ISNUMBER(VLOOKUP(B44,Main_Particulars,3,FALSE)),"",A34)</f>
        <v/>
      </c>
      <c r="C34" s="279"/>
      <c r="E34" s="284"/>
      <c r="F34" s="287" t="s">
        <v>225</v>
      </c>
      <c r="G34" s="288" t="str">
        <f>IF(G31+G32=2,"",IF(G31+G32=1,CONCATENATE("Enter ",F31,F32),IF(G31+G32=0,CONCATENATE("Enter ",E31," and ",E32),"")))</f>
        <v/>
      </c>
      <c r="H34" s="289" t="str">
        <f>IF(ISNUMBER(AMID),"","Midship area not available")</f>
        <v/>
      </c>
      <c r="L34" s="276" t="s">
        <v>226</v>
      </c>
      <c r="M34" s="273"/>
      <c r="N34" s="273"/>
      <c r="O34" s="273"/>
      <c r="P34" s="273"/>
      <c r="Q34" s="273"/>
      <c r="R34" s="274"/>
      <c r="T34" s="277" t="b">
        <f t="shared" ref="T34:Y34" si="66">IFERROR(IF(VLOOKUP(MAX($AD$3:$AD$27),OFFSET_A,AW28+2,FALSE)-VLOOKUP(MAX($AD$3:$AD$27),OFFSET_A,AW28+1,FALSE)&lt;0,TRUE,FALSE),FALSE)</f>
        <v>0</v>
      </c>
      <c r="U34" s="280" t="b">
        <f t="shared" si="66"/>
        <v>0</v>
      </c>
      <c r="V34" s="280" t="b">
        <f t="shared" si="66"/>
        <v>0</v>
      </c>
      <c r="W34" s="280" t="b">
        <f t="shared" si="66"/>
        <v>0</v>
      </c>
      <c r="X34" s="280" t="b">
        <f t="shared" si="66"/>
        <v>0</v>
      </c>
      <c r="Y34" s="279" t="b">
        <f t="shared" si="66"/>
        <v>0</v>
      </c>
      <c r="AR34" s="282"/>
      <c r="AS34" s="273"/>
      <c r="AT34" s="273"/>
      <c r="AU34" s="273"/>
      <c r="AV34" s="273"/>
      <c r="AW34" s="273"/>
      <c r="AX34" s="273"/>
      <c r="AY34" s="273"/>
      <c r="AZ34" s="267"/>
      <c r="BA34" s="290" t="s">
        <v>227</v>
      </c>
      <c r="BB34" s="267"/>
      <c r="BC34" s="267"/>
      <c r="BD34" s="267"/>
      <c r="BE34" s="267"/>
      <c r="BF34" s="267"/>
      <c r="BG34" s="273"/>
      <c r="BH34" s="273"/>
      <c r="BI34" s="273"/>
      <c r="BJ34" s="273"/>
      <c r="BK34" s="273"/>
      <c r="BL34" s="273"/>
      <c r="BM34" s="273"/>
      <c r="BN34" s="273"/>
      <c r="BO34" s="273"/>
      <c r="BP34" s="273"/>
      <c r="BQ34" s="273"/>
      <c r="BR34" s="273"/>
      <c r="BS34" s="273"/>
      <c r="BT34" s="273"/>
      <c r="BU34" s="273"/>
      <c r="BV34" s="273"/>
      <c r="BW34" s="273"/>
      <c r="BX34" s="273"/>
      <c r="BY34" s="273"/>
      <c r="BZ34" s="273"/>
      <c r="CA34" s="273"/>
      <c r="CB34" s="273"/>
      <c r="CC34" s="273"/>
      <c r="CD34" s="291"/>
      <c r="CG34" s="265" t="s">
        <v>134</v>
      </c>
      <c r="CH34" s="265">
        <v>0</v>
      </c>
      <c r="CI34" s="265">
        <f>MAX(Offset!$T$3:$T$27)</f>
        <v>20</v>
      </c>
      <c r="CJ34" s="265"/>
      <c r="CK34" s="268">
        <f t="shared" si="37"/>
        <v>2</v>
      </c>
      <c r="CL34" s="269">
        <f t="shared" si="38"/>
        <v>2</v>
      </c>
      <c r="CM34" s="269">
        <f t="shared" si="39"/>
        <v>2.00015636874905</v>
      </c>
      <c r="CN34" s="269">
        <f t="shared" si="40"/>
        <v>2.0008086335309319</v>
      </c>
      <c r="CO34" s="269">
        <f t="shared" si="41"/>
        <v>2.002168832649339</v>
      </c>
      <c r="CP34" s="269">
        <f t="shared" si="42"/>
        <v>2.0043866849065206</v>
      </c>
      <c r="CQ34" s="269">
        <f t="shared" si="43"/>
        <v>2.0242483660130719</v>
      </c>
      <c r="CR34" s="269">
        <f t="shared" si="44"/>
        <v>2.0677762577899377</v>
      </c>
      <c r="CS34" s="269">
        <f t="shared" si="45"/>
        <v>2.1440234078127376</v>
      </c>
      <c r="CT34" s="269">
        <f t="shared" si="46"/>
        <v>2.2443789633682929</v>
      </c>
      <c r="CU34" s="269">
        <f t="shared" si="47"/>
        <v>2.2662745098039214</v>
      </c>
      <c r="CV34" s="269">
        <f t="shared" si="48"/>
        <v>2.4373689010487913</v>
      </c>
      <c r="CW34" s="269">
        <f t="shared" si="49"/>
        <v>2.5413634290925673</v>
      </c>
      <c r="CX34" s="269" t="e">
        <f t="shared" si="50"/>
        <v>#VALUE!</v>
      </c>
      <c r="CY34" s="269" t="e">
        <f t="shared" si="51"/>
        <v>#VALUE!</v>
      </c>
      <c r="CZ34" s="269" t="e">
        <f t="shared" si="52"/>
        <v>#VALUE!</v>
      </c>
      <c r="DA34" s="269" t="e">
        <f t="shared" si="53"/>
        <v>#VALUE!</v>
      </c>
      <c r="DB34" s="269" t="e">
        <f t="shared" si="54"/>
        <v>#VALUE!</v>
      </c>
      <c r="DC34" s="269" t="e">
        <f t="shared" si="55"/>
        <v>#VALUE!</v>
      </c>
      <c r="DD34" s="269" t="e">
        <f t="shared" si="56"/>
        <v>#VALUE!</v>
      </c>
      <c r="DE34" s="269" t="e">
        <f t="shared" si="57"/>
        <v>#VALUE!</v>
      </c>
      <c r="DF34" s="269" t="e">
        <f t="shared" si="58"/>
        <v>#VALUE!</v>
      </c>
      <c r="DG34" s="269" t="e">
        <f t="shared" si="59"/>
        <v>#VALUE!</v>
      </c>
      <c r="DH34" s="269" t="e">
        <f t="shared" si="60"/>
        <v>#VALUE!</v>
      </c>
      <c r="DI34" s="269" t="e">
        <f t="shared" si="61"/>
        <v>#VALUE!</v>
      </c>
      <c r="DJ34" s="269" t="e">
        <f t="shared" si="62"/>
        <v>#VALUE!</v>
      </c>
    </row>
    <row r="35" spans="1:114" x14ac:dyDescent="0.25">
      <c r="A35" s="277" t="s">
        <v>228</v>
      </c>
      <c r="B35" s="283" t="str">
        <f>IF(ISNUMBER(VLOOKUP(B45,Main_Particulars,3,FALSE)),"",A35)</f>
        <v/>
      </c>
      <c r="C35" s="279"/>
      <c r="L35" s="80" t="str">
        <f>CONCATENATE(Tools!AT39,Tools!AT40,Tools!AT41,Tools!AT42,Tools!AT43,Tools!AT44,Tools!AT45,Tools!AT46,Tools!AT47,Tools!AT48,Tools!AT49,Tools!AT50,Tools!AT51,Tools!AT52,Tools!AT53,Tools!AT54,Tools!AT55,Tools!AT56,Tools!AT57,Tools!AT58,Tools!AT59,Tools!AT60,Tools!AT61,Tools!AT62,Tools!AT63)</f>
        <v xml:space="preserve">Line 0,0 0,13  Line 3.655,0 3.655,13  Line 7.31,0 7.31,13  Line 10.965,0 10.965,13  Line 14.62,0 14.62,13  Line 21.93,0 21.93,13  Line 29.24,0 29.24,13  Line 36.55,0 36.55,13  Line 43.86,0 43.86,13  Line 51.17,0 51.17,13  Line 58.48,0 58.48,13  Line 65.79,0 65.79,13  Line 73.1,0 73.1,13  Line 80.41,0 80.41,13  Line 87.72,0 87.72,13  Line 95.03,0 95.03,13  Line 102.34,0 102.34,13  Line 109.65,0 109.65,13  Line 116.96,0 116.96,13  Line 124.27,0 124.27,13  Line 131.58,0 131.58,13  Line 135.235,0 135.235,13  Line 138.89,0 138.89,13  Line 142.545,0 142.545,13  Line 146.2,0 146.2,13  </v>
      </c>
      <c r="M35" s="81" t="str">
        <f>CONCATENATE(Tools!AX39,Tools!AX40,Tools!AX41,Tools!AX42,Tools!AX43,Tools!AX44,Tools!AX45,Tools!AX46,Tools!AX47,Tools!AX48,Tools!AX49,Tools!AX50,Tools!AX51,Tools!AX52,Tools!AX53,Tools!AX54,Tools!AX55,Tools!AX56,Tools!AX57,Tools!AX58,Tools!AX59,Tools!AX60,Tools!AX61,Tools!AX62,Tools!AX63)</f>
        <v xml:space="preserve">Line 0,0 146.2,0  Line 0,0.5 146.2,0.5  Line 0,1 146.2,1  Line 0,1.5 146.2,1.5  Line 0,2 146.2,2  Line 0,4 146.2,4  Line 0,6 146.2,6  Line 0,8 146.2,8  Line 0,9.7 146.2,9.7  Line 0,10 146.2,10  Line 0,12 146.2,12  Line 0,13 146.2,13  </v>
      </c>
      <c r="N35" s="81" t="str">
        <f>CONCATENATE(Tools!BB39,Tools!BB40,Tools!BB41,Tools!BB42,Tools!BB43,Tools!BB44,Tools!BB45,Tools!BB46,Tools!BB47,Tools!BB48,Tools!BB49,Tools!BB50,Tools!BB51,Tools!BB52,Tools!BB53,Tools!BB54,Tools!BB55,Tools!BB56,Tools!BB57,Tools!BB58,Tools!BB59,Tools!BB60,Tools!BB61,Tools!BB62,Tools!BB63)</f>
        <v xml:space="preserve">Line 0,-13.167 146.2,-13.167  Line 0,-9.5 146.2,-9.5  Line 0,-5.833 146.2,-5.833  </v>
      </c>
      <c r="O35" s="81" t="str">
        <f>CONCATENATE(Tools!BF39,Tools!BF40,Tools!BF41,Tools!BF42,Tools!BF43,Tools!BF44,Tools!BF45,Tools!BF46,Tools!BF47,Tools!BF48,Tools!BF49,Tools!BF50,Tools!BF51,Tools!BF52,Tools!BF53,Tools!BF54,Tools!BF55,Tools!BF56,Tools!BF57,Tools!BF58,Tools!BF59,Tools!BF60,Tools!BF61,Tools!BF62,Tools!BF63)</f>
        <v xml:space="preserve">Line 0,-16.833 0,-5.833  Line 3.655,-16.833 3.655,-5.833  Line 7.31,-16.833 7.31,-5.833  Line 10.965,-16.833 10.965,-5.833  Line 14.62,-16.833 14.62,-5.833  Line 21.93,-16.833 21.93,-5.833  Line 29.24,-16.833 29.24,-5.833  Line 36.55,-16.833 36.55,-5.833  Line 43.86,-16.833 43.86,-5.833  Line 51.17,-16.833 51.17,-5.833  Line 58.48,-16.833 58.48,-5.833  Line 65.79,-16.833 65.79,-5.833  Line 73.1,-16.833 73.1,-5.833  Line 80.41,-16.833 80.41,-5.833  Line 87.72,-16.833 87.72,-5.833  Line 95.03,-16.833 95.03,-5.833  Line 102.34,-16.833 102.34,-5.833  Line 109.65,-16.833 109.65,-5.833  Line 116.96,-16.833 116.96,-5.833  Line 124.27,-16.833 124.27,-5.833  Line 131.58,-16.833 131.58,-5.833  Line 135.235,-16.833 135.235,-5.833  Line 138.89,-16.833 138.89,-5.833  Line 142.545,-16.833 142.545,-5.833  Line 146.2,-16.833 146.2,-5.833  </v>
      </c>
      <c r="P35" s="81" t="str">
        <f>CONCATENATE(Tools!BJ39,Tools!BJ40,Tools!BJ41,Tools!BJ42,Tools!BJ43,Tools!BJ44,Tools!BJ45,Tools!BJ46,Tools!BJ47,Tools!BJ48,Tools!BJ49,Tools!BJ50,Tools!BJ51,Tools!BJ52,Tools!BJ53,Tools!BJ54,Tools!BJ55,Tools!BJ56,Tools!BJ57,Tools!BJ58,Tools!BJ59,Tools!BJ60,Tools!BJ61,Tools!BJ62,Tools!BJ63)</f>
        <v xml:space="preserve">Line 157.91,0 179.91,0  Line 157.91,0.5 179.91,0.5  Line 157.91,1 179.91,1  Line 157.91,1.5 179.91,1.5  Line 157.91,2 179.91,2  Line 157.91,4 179.91,4  Line 157.91,6 179.91,6  Line 157.91,8 179.91,8  Line 157.91,9.7 179.91,9.7  Line 157.91,10 179.91,10  Line 157.91,12 179.91,12  Line 157.91,13 179.91,13  </v>
      </c>
      <c r="Q35" s="81" t="str">
        <f>CONCATENATE(Tools!BN39,Tools!BN40,Tools!BN41,Tools!BN42,Tools!BN43,Tools!BN44,Tools!BN45,Tools!BN46,Tools!BN47,Tools!BN48,Tools!BN49,Tools!BN50,Tools!BN51,Tools!BN52,Tools!BN53,Tools!BN54,Tools!BN55,Tools!BN56,Tools!BN57,Tools!BN58,Tools!BN59,Tools!BN60,Tools!BN61,Tools!BN62,Tools!BN63)</f>
        <v xml:space="preserve">Line 165.243,0 165.243,13  Line 161.577,0 161.577,13  Line 157.91,0 157.91,13  </v>
      </c>
      <c r="R35" s="292" t="str">
        <f>CONCATENATE(Tools!BR39,Tools!BR40,Tools!BR41,Tools!BR42,Tools!BR43,Tools!BR44,Tools!BR45,Tools!BR46,Tools!BR47,Tools!BR48,Tools!BR49,Tools!BR50,Tools!BR51,Tools!BR52,Tools!BR53,Tools!BR54,Tools!BR55,Tools!BR56,Tools!BR57,Tools!BR58,Tools!BR59,Tools!BR60,Tools!BR61,Tools!BR62,Tools!BR63)</f>
        <v xml:space="preserve">Line 172.577,0 172.577,13  Line 176.243,0 176.243,13  Line 179.91,0 179.91,13  </v>
      </c>
      <c r="T35" s="284">
        <f>IF(OR(T31:Y34),E50,"Bulbous bow absent")</f>
        <v>14.089333333333332</v>
      </c>
      <c r="U35" s="285"/>
      <c r="V35" s="285" t="str">
        <f>IF(OR(T31:Y34),"Bulbous bow present","Bulbous bow absent")</f>
        <v>Bulbous bow present</v>
      </c>
      <c r="W35" s="285"/>
      <c r="X35" s="285"/>
      <c r="Y35" s="293"/>
      <c r="AM35"/>
      <c r="AO35" s="280"/>
      <c r="AR35" s="277"/>
      <c r="AS35" s="280"/>
      <c r="AT35" s="280"/>
      <c r="AU35" s="280"/>
      <c r="AV35" s="280"/>
      <c r="AW35" s="294"/>
      <c r="AX35" s="280"/>
      <c r="AY35" s="280"/>
      <c r="AZ35" s="269" t="s">
        <v>229</v>
      </c>
      <c r="BA35" s="269">
        <f>-(BREADTH/2+BREADTH/6+DEPTH/6)</f>
        <v>-16.833333333333332</v>
      </c>
      <c r="BB35" s="269"/>
      <c r="BC35" s="269"/>
      <c r="BD35" s="295" t="s">
        <v>227</v>
      </c>
      <c r="BE35" s="269"/>
      <c r="BF35" s="269"/>
      <c r="BG35" s="280"/>
      <c r="BH35" s="295" t="s">
        <v>230</v>
      </c>
      <c r="BI35" s="269"/>
      <c r="BJ35" s="269"/>
      <c r="BK35" s="269"/>
      <c r="BL35" s="269"/>
      <c r="BM35" s="269"/>
      <c r="BN35" s="269"/>
      <c r="BO35" s="269"/>
      <c r="BP35" s="269" t="s">
        <v>231</v>
      </c>
      <c r="BQ35" s="269"/>
      <c r="BR35" s="269"/>
      <c r="BS35" s="280"/>
      <c r="BT35" s="280"/>
      <c r="BU35" s="280"/>
      <c r="BV35" s="280"/>
      <c r="BW35" s="280"/>
      <c r="BX35" s="280"/>
      <c r="BY35" s="280"/>
      <c r="BZ35" s="280"/>
      <c r="CA35" s="280"/>
      <c r="CB35" s="280"/>
      <c r="CC35" s="280"/>
      <c r="CD35" s="279"/>
      <c r="CG35" s="265"/>
      <c r="CH35" s="265">
        <f>DRAFT/WLS</f>
        <v>4.8499999999999996</v>
      </c>
      <c r="CI35" s="265">
        <f>CH35</f>
        <v>4.8499999999999996</v>
      </c>
      <c r="CJ35" s="265"/>
      <c r="CK35" s="268">
        <f t="shared" si="37"/>
        <v>3</v>
      </c>
      <c r="CL35" s="269">
        <f t="shared" si="38"/>
        <v>3</v>
      </c>
      <c r="CM35" s="269">
        <f t="shared" si="39"/>
        <v>3.000329932360541</v>
      </c>
      <c r="CN35" s="269">
        <f t="shared" si="40"/>
        <v>3.0016431068551452</v>
      </c>
      <c r="CO35" s="269">
        <f t="shared" si="41"/>
        <v>3.0041937414500683</v>
      </c>
      <c r="CP35" s="269">
        <f t="shared" si="42"/>
        <v>3.0081471348229214</v>
      </c>
      <c r="CQ35" s="269">
        <f t="shared" si="43"/>
        <v>3.041144550843593</v>
      </c>
      <c r="CR35" s="269">
        <f t="shared" si="44"/>
        <v>3.1076029791761668</v>
      </c>
      <c r="CS35" s="269">
        <f t="shared" si="45"/>
        <v>3.2126721386228909</v>
      </c>
      <c r="CT35" s="269">
        <f t="shared" si="46"/>
        <v>3.3368806657546739</v>
      </c>
      <c r="CU35" s="269">
        <f t="shared" si="47"/>
        <v>3.3622070223438212</v>
      </c>
      <c r="CV35" s="269">
        <f t="shared" si="48"/>
        <v>3.5604453564371483</v>
      </c>
      <c r="CW35" s="269">
        <f t="shared" si="49"/>
        <v>3.6775482596139231</v>
      </c>
      <c r="CX35" s="269" t="e">
        <f t="shared" si="50"/>
        <v>#VALUE!</v>
      </c>
      <c r="CY35" s="269" t="e">
        <f t="shared" si="51"/>
        <v>#VALUE!</v>
      </c>
      <c r="CZ35" s="269" t="e">
        <f t="shared" si="52"/>
        <v>#VALUE!</v>
      </c>
      <c r="DA35" s="269" t="e">
        <f t="shared" si="53"/>
        <v>#VALUE!</v>
      </c>
      <c r="DB35" s="269" t="e">
        <f t="shared" si="54"/>
        <v>#VALUE!</v>
      </c>
      <c r="DC35" s="269" t="e">
        <f t="shared" si="55"/>
        <v>#VALUE!</v>
      </c>
      <c r="DD35" s="269" t="e">
        <f t="shared" si="56"/>
        <v>#VALUE!</v>
      </c>
      <c r="DE35" s="269" t="e">
        <f t="shared" si="57"/>
        <v>#VALUE!</v>
      </c>
      <c r="DF35" s="269" t="e">
        <f t="shared" si="58"/>
        <v>#VALUE!</v>
      </c>
      <c r="DG35" s="269" t="e">
        <f t="shared" si="59"/>
        <v>#VALUE!</v>
      </c>
      <c r="DH35" s="269" t="e">
        <f t="shared" si="60"/>
        <v>#VALUE!</v>
      </c>
      <c r="DI35" s="269" t="e">
        <f t="shared" si="61"/>
        <v>#VALUE!</v>
      </c>
      <c r="DJ35" s="269" t="e">
        <f t="shared" si="62"/>
        <v>#VALUE!</v>
      </c>
    </row>
    <row r="36" spans="1:114" x14ac:dyDescent="0.25">
      <c r="A36" s="277" t="s">
        <v>232</v>
      </c>
      <c r="B36" s="296" t="str">
        <f>IF(ISNUMBER(VLOOKUP(B46,Main_Particulars,3,FALSE)),"",A36)</f>
        <v/>
      </c>
      <c r="C36" s="279"/>
      <c r="L36" s="284" t="str">
        <f>BB37</f>
        <v xml:space="preserve">Line 0,-16.833 146.2,-16.833  </v>
      </c>
      <c r="M36" s="285" t="str">
        <f>BB38</f>
        <v xml:space="preserve">Line 0,-31.499 146.2,-31.499  </v>
      </c>
      <c r="N36" s="285" t="str">
        <f>BF36</f>
        <v xml:space="preserve">Line 0,-16.833 0,-31.499  </v>
      </c>
      <c r="O36" s="285" t="str">
        <f>BF37</f>
        <v xml:space="preserve">Line 146.2,-16.833 146.2,-31.499  </v>
      </c>
      <c r="P36" s="285" t="str">
        <f>BO37</f>
        <v xml:space="preserve">Line 168.91,0 168.91,13 </v>
      </c>
      <c r="Q36" s="285"/>
      <c r="R36" s="293"/>
      <c r="AM36"/>
      <c r="AR36" s="277"/>
      <c r="AS36" s="280"/>
      <c r="AT36" s="280"/>
      <c r="AU36" s="280"/>
      <c r="AV36" s="280"/>
      <c r="AW36" s="280"/>
      <c r="AX36" s="280"/>
      <c r="AY36" s="280"/>
      <c r="AZ36" s="295" t="s">
        <v>233</v>
      </c>
      <c r="BA36" s="269"/>
      <c r="BB36" s="269"/>
      <c r="BC36" s="269" t="s">
        <v>234</v>
      </c>
      <c r="BD36" s="269" t="str">
        <f>IFERROR(CONCATENATE("0,",ROUND(Y_Shift_HB,3)," "),"")</f>
        <v xml:space="preserve">0,-16.833 </v>
      </c>
      <c r="BE36" s="269" t="str">
        <f>IFERROR(CONCATENATE("0,",(ROUND(Y_Shift_HB-SQRT((BREADTH/2)^2+DRAFT^2),3))," "),"")</f>
        <v xml:space="preserve">0,-31.499 </v>
      </c>
      <c r="BF36" s="297" t="str">
        <f>IF(CONCATENATE(BD36,BE36)="","",CONCATENATE("Line ",BD36,BE36," "))</f>
        <v xml:space="preserve">Line 0,-16.833 0,-31.499  </v>
      </c>
      <c r="BG36" s="280"/>
      <c r="BH36" s="269" t="s">
        <v>235</v>
      </c>
      <c r="BI36" s="269">
        <f>LBP*21/20+BREADTH*7/10</f>
        <v>168.91</v>
      </c>
      <c r="BJ36" s="269"/>
      <c r="BK36" s="269"/>
      <c r="BL36" s="269"/>
      <c r="BM36" s="295" t="s">
        <v>236</v>
      </c>
      <c r="BN36" s="269"/>
      <c r="BO36" s="269"/>
      <c r="BP36" s="269"/>
      <c r="BQ36" s="269"/>
      <c r="BR36" s="269"/>
      <c r="BS36" s="280"/>
      <c r="BT36" s="280"/>
      <c r="BU36" s="280"/>
      <c r="BV36" s="280"/>
      <c r="BW36" s="280"/>
      <c r="BX36" s="280"/>
      <c r="BY36" s="280"/>
      <c r="BZ36" s="280"/>
      <c r="CA36" s="280"/>
      <c r="CB36" s="280"/>
      <c r="CC36" s="280"/>
      <c r="CD36" s="279"/>
      <c r="CG36" s="265"/>
      <c r="CH36" s="265"/>
      <c r="CI36" s="265"/>
      <c r="CJ36" s="265"/>
      <c r="CK36" s="268">
        <f t="shared" si="37"/>
        <v>4</v>
      </c>
      <c r="CL36" s="269">
        <f t="shared" si="38"/>
        <v>4</v>
      </c>
      <c r="CM36" s="269">
        <f t="shared" si="39"/>
        <v>4.0005551755585955</v>
      </c>
      <c r="CN36" s="269">
        <f t="shared" si="40"/>
        <v>4.0025718194254445</v>
      </c>
      <c r="CO36" s="269">
        <f t="shared" si="41"/>
        <v>4.0063235294117643</v>
      </c>
      <c r="CP36" s="269">
        <f t="shared" si="42"/>
        <v>4.0119683842529259</v>
      </c>
      <c r="CQ36" s="269">
        <f t="shared" si="43"/>
        <v>4.0560905912752698</v>
      </c>
      <c r="CR36" s="269">
        <f t="shared" si="44"/>
        <v>4.1390636874905002</v>
      </c>
      <c r="CS36" s="269">
        <f t="shared" si="45"/>
        <v>4.2640492476060192</v>
      </c>
      <c r="CT36" s="269">
        <f t="shared" si="46"/>
        <v>4.4051086791305671</v>
      </c>
      <c r="CU36" s="269">
        <f t="shared" si="47"/>
        <v>4.4338805289557683</v>
      </c>
      <c r="CV36" s="269">
        <f t="shared" si="48"/>
        <v>4.6473293813649494</v>
      </c>
      <c r="CW36" s="269">
        <f t="shared" si="49"/>
        <v>4.7708527131782947</v>
      </c>
      <c r="CX36" s="269" t="e">
        <f t="shared" si="50"/>
        <v>#VALUE!</v>
      </c>
      <c r="CY36" s="269" t="e">
        <f t="shared" si="51"/>
        <v>#VALUE!</v>
      </c>
      <c r="CZ36" s="269" t="e">
        <f t="shared" si="52"/>
        <v>#VALUE!</v>
      </c>
      <c r="DA36" s="269" t="e">
        <f t="shared" si="53"/>
        <v>#VALUE!</v>
      </c>
      <c r="DB36" s="269" t="e">
        <f t="shared" si="54"/>
        <v>#VALUE!</v>
      </c>
      <c r="DC36" s="269" t="e">
        <f t="shared" si="55"/>
        <v>#VALUE!</v>
      </c>
      <c r="DD36" s="269" t="e">
        <f t="shared" si="56"/>
        <v>#VALUE!</v>
      </c>
      <c r="DE36" s="269" t="e">
        <f t="shared" si="57"/>
        <v>#VALUE!</v>
      </c>
      <c r="DF36" s="269" t="e">
        <f t="shared" si="58"/>
        <v>#VALUE!</v>
      </c>
      <c r="DG36" s="269" t="e">
        <f t="shared" si="59"/>
        <v>#VALUE!</v>
      </c>
      <c r="DH36" s="269" t="e">
        <f t="shared" si="60"/>
        <v>#VALUE!</v>
      </c>
      <c r="DI36" s="269" t="e">
        <f t="shared" si="61"/>
        <v>#VALUE!</v>
      </c>
      <c r="DJ36" s="269" t="e">
        <f t="shared" si="62"/>
        <v>#VALUE!</v>
      </c>
    </row>
    <row r="37" spans="1:114" x14ac:dyDescent="0.25">
      <c r="A37" s="277"/>
      <c r="B37" s="280"/>
      <c r="C37" s="298" t="str">
        <f>IF(CONCATENATE(B31,B32,B33,B34,B35,B36)=""," ",CONCATENATE("(Not entered:)"))</f>
        <v xml:space="preserve"> </v>
      </c>
      <c r="AM37"/>
      <c r="AR37" s="277"/>
      <c r="AS37" s="294"/>
      <c r="AT37" s="280"/>
      <c r="AU37" s="294" t="s">
        <v>237</v>
      </c>
      <c r="AV37" s="280"/>
      <c r="AW37" s="280"/>
      <c r="AX37" s="280"/>
      <c r="AY37" s="280" t="s">
        <v>238</v>
      </c>
      <c r="AZ37" s="269" t="str">
        <f>IFERROR(CONCATENATE("0,",(ROUND(Y_Shift_HB,3))," "),"")</f>
        <v xml:space="preserve">0,-16.833 </v>
      </c>
      <c r="BA37" s="269" t="str">
        <f>IFERROR(CONCATENATE(LBP,",",(ROUND(Y_Shift_HB,3))," "),"")</f>
        <v xml:space="preserve">146.2,-16.833 </v>
      </c>
      <c r="BB37" s="297" t="str">
        <f t="shared" ref="BB37:BB63" si="67">IF(CONCATENATE(AZ37,BA37)="","",CONCATENATE("Line ",AZ37,BA37," "))</f>
        <v xml:space="preserve">Line 0,-16.833 146.2,-16.833  </v>
      </c>
      <c r="BC37" s="269" t="s">
        <v>234</v>
      </c>
      <c r="BD37" s="269" t="str">
        <f>IFERROR(CONCATENATE(LBP,",",ROUND(Y_Shift_HB,3)," "),"")</f>
        <v xml:space="preserve">146.2,-16.833 </v>
      </c>
      <c r="BE37" s="269" t="str">
        <f>IFERROR(CONCATENATE(LBP,",",(ROUND(Y_Shift_HB-SQRT((BREADTH/2)^2+DRAFT^2),3))," "),"")</f>
        <v xml:space="preserve">146.2,-31.499 </v>
      </c>
      <c r="BF37" s="297" t="str">
        <f>IF(CONCATENATE(BD37,BE37)="","",CONCATENATE("Line ",BD37,BE37," "))</f>
        <v xml:space="preserve">Line 146.2,-16.833 146.2,-31.499  </v>
      </c>
      <c r="BG37" s="280"/>
      <c r="BH37" s="269"/>
      <c r="BI37" s="269"/>
      <c r="BJ37" s="269"/>
      <c r="BK37" s="269"/>
      <c r="BL37" s="269" t="s">
        <v>239</v>
      </c>
      <c r="BM37" s="269" t="str">
        <f>IFERROR(CONCATENATE(ROUND(X_SHIFT_BP,3),",",0," "),"")</f>
        <v xml:space="preserve">168.91,0 </v>
      </c>
      <c r="BN37" s="269" t="str">
        <f>IFERROR(CONCATENATE(ROUND(X_SHIFT_BP,3),",",DEPTH," "),"")</f>
        <v xml:space="preserve">168.91,13 </v>
      </c>
      <c r="BO37" s="297" t="str">
        <f>IF(CONCATENATE(BM37,BN37)="","",CONCATENATE("Line ",BM37,BN37,""))</f>
        <v xml:space="preserve">Line 168.91,0 168.91,13 </v>
      </c>
      <c r="BP37" s="269"/>
      <c r="BQ37" s="269"/>
      <c r="BR37" s="269"/>
      <c r="BS37" s="280"/>
      <c r="BT37" s="299" t="s">
        <v>141</v>
      </c>
      <c r="BU37" s="300"/>
      <c r="BV37" s="300"/>
      <c r="BW37" s="300"/>
      <c r="BX37" s="300"/>
      <c r="BY37" s="300"/>
      <c r="BZ37" s="300"/>
      <c r="CA37" s="280"/>
      <c r="CB37" s="301" t="s">
        <v>160</v>
      </c>
      <c r="CC37" s="280"/>
      <c r="CD37" s="279"/>
      <c r="CG37" s="265" t="s">
        <v>240</v>
      </c>
      <c r="CH37" s="265">
        <v>0</v>
      </c>
      <c r="CI37" s="265">
        <f>MAX(Offset!$T$3:$T$27)</f>
        <v>20</v>
      </c>
      <c r="CJ37" s="265"/>
      <c r="CK37" s="268">
        <f t="shared" si="37"/>
        <v>5</v>
      </c>
      <c r="CL37" s="269">
        <f t="shared" si="38"/>
        <v>5</v>
      </c>
      <c r="CM37" s="269">
        <f t="shared" si="39"/>
        <v>5.0007807037543701</v>
      </c>
      <c r="CN37" s="269">
        <f t="shared" si="40"/>
        <v>5.0034412524699805</v>
      </c>
      <c r="CO37" s="269">
        <f t="shared" si="41"/>
        <v>5.0082529639762878</v>
      </c>
      <c r="CP37" s="269">
        <f t="shared" si="42"/>
        <v>5.0153670770633836</v>
      </c>
      <c r="CQ37" s="269">
        <f t="shared" si="43"/>
        <v>5.0679145766833864</v>
      </c>
      <c r="CR37" s="269">
        <f t="shared" si="44"/>
        <v>5.1607630338957291</v>
      </c>
      <c r="CS37" s="269">
        <f t="shared" si="45"/>
        <v>5.293869889040888</v>
      </c>
      <c r="CT37" s="269">
        <f t="shared" si="46"/>
        <v>5.4400285453716366</v>
      </c>
      <c r="CU37" s="269">
        <f t="shared" si="47"/>
        <v>5.4694786441708469</v>
      </c>
      <c r="CV37" s="269">
        <f t="shared" si="48"/>
        <v>5.686051071591427</v>
      </c>
      <c r="CW37" s="269">
        <f t="shared" si="49"/>
        <v>5.810887672898617</v>
      </c>
      <c r="CX37" s="269" t="e">
        <f t="shared" si="50"/>
        <v>#VALUE!</v>
      </c>
      <c r="CY37" s="269" t="e">
        <f t="shared" si="51"/>
        <v>#VALUE!</v>
      </c>
      <c r="CZ37" s="269" t="e">
        <f t="shared" si="52"/>
        <v>#VALUE!</v>
      </c>
      <c r="DA37" s="269" t="e">
        <f t="shared" si="53"/>
        <v>#VALUE!</v>
      </c>
      <c r="DB37" s="269" t="e">
        <f t="shared" si="54"/>
        <v>#VALUE!</v>
      </c>
      <c r="DC37" s="269" t="e">
        <f t="shared" si="55"/>
        <v>#VALUE!</v>
      </c>
      <c r="DD37" s="269" t="e">
        <f t="shared" si="56"/>
        <v>#VALUE!</v>
      </c>
      <c r="DE37" s="269" t="e">
        <f t="shared" si="57"/>
        <v>#VALUE!</v>
      </c>
      <c r="DF37" s="269" t="e">
        <f t="shared" si="58"/>
        <v>#VALUE!</v>
      </c>
      <c r="DG37" s="269" t="e">
        <f t="shared" si="59"/>
        <v>#VALUE!</v>
      </c>
      <c r="DH37" s="269" t="e">
        <f t="shared" si="60"/>
        <v>#VALUE!</v>
      </c>
      <c r="DI37" s="269" t="e">
        <f t="shared" si="61"/>
        <v>#VALUE!</v>
      </c>
      <c r="DJ37" s="269" t="e">
        <f t="shared" si="62"/>
        <v>#VALUE!</v>
      </c>
    </row>
    <row r="38" spans="1:114" x14ac:dyDescent="0.25">
      <c r="A38" s="284"/>
      <c r="B38" s="287" t="s">
        <v>225</v>
      </c>
      <c r="C38" s="289" t="str">
        <f>CONCATENATE(B31,B32,B33,B34,B35,B36)</f>
        <v/>
      </c>
      <c r="N38" s="189" t="s">
        <v>241</v>
      </c>
      <c r="O38" s="189" t="s">
        <v>242</v>
      </c>
      <c r="P38" s="302">
        <f>IF(ISNUMBER(CAD!C2),CAD!C2,0)</f>
        <v>2</v>
      </c>
      <c r="AP38" s="134" t="s">
        <v>243</v>
      </c>
      <c r="AR38" s="303" t="s">
        <v>244</v>
      </c>
      <c r="AS38" s="269"/>
      <c r="AT38" s="269"/>
      <c r="AU38" s="269"/>
      <c r="AV38" s="295" t="s">
        <v>233</v>
      </c>
      <c r="AW38" s="269"/>
      <c r="AX38" s="269"/>
      <c r="AY38" s="280" t="s">
        <v>234</v>
      </c>
      <c r="AZ38" s="269" t="str">
        <f>IFERROR(CONCATENATE("0,",(ROUND(Y_Shift_HB-SQRT((BREADTH/2)^2+DRAFT^2),3))," "),"")</f>
        <v xml:space="preserve">0,-31.499 </v>
      </c>
      <c r="BA38" s="269" t="str">
        <f>IFERROR(CONCATENATE(LBP,",",((ROUND(Y_Shift_HB-SQRT((BREADTH/2)^2+DRAFT^2),3)))," "),"")</f>
        <v xml:space="preserve">146.2,-31.499 </v>
      </c>
      <c r="BB38" s="297" t="str">
        <f t="shared" si="67"/>
        <v xml:space="preserve">Line 0,-31.499 146.2,-31.499  </v>
      </c>
      <c r="BC38" s="269"/>
      <c r="BD38" s="295" t="s">
        <v>244</v>
      </c>
      <c r="BE38" s="269"/>
      <c r="BF38" s="269"/>
      <c r="BG38" s="280"/>
      <c r="BH38" s="295" t="s">
        <v>233</v>
      </c>
      <c r="BI38" s="269"/>
      <c r="BJ38" s="269"/>
      <c r="BK38" s="269"/>
      <c r="BL38" s="269" t="s">
        <v>245</v>
      </c>
      <c r="BM38" s="269"/>
      <c r="BN38" s="269"/>
      <c r="BO38" s="269"/>
      <c r="BP38" s="269" t="s">
        <v>246</v>
      </c>
      <c r="BQ38" s="269"/>
      <c r="BR38" s="269"/>
      <c r="BS38" s="280"/>
      <c r="BT38" s="304" t="s">
        <v>244</v>
      </c>
      <c r="BU38" s="300"/>
      <c r="BV38" s="300"/>
      <c r="BW38" s="300"/>
      <c r="BX38" s="304" t="s">
        <v>247</v>
      </c>
      <c r="BY38" s="300"/>
      <c r="BZ38" s="300"/>
      <c r="CA38" s="280"/>
      <c r="CB38" s="305" t="str">
        <f>CONCATENATE(CC39,CC40,CC41,CC42,CC43,CC44,CC45,CC46,CC47,CC48,CC49,CC50,CC51,CC52,CC53,CC54,CC55,CC56,CC57,CC58,CC59)</f>
        <v xml:space="preserve">Line 0,0 20,0  Line 0,0.5 20,0.5  Line 0,1 20,1  Line 0,1.5 20,1.5  Line 0,2 20,2  Line 0,4 20,4  Line 0,6 20,6  Line 0,8 20,8  Line 0,9.7 20,9.7  Line 0,10 20,10  Line 0,12 20,12  Line 0,13 20,13  </v>
      </c>
      <c r="CC38" s="306" t="str">
        <f>CONCATENATE(CD39,CD40,CD41,CD42,CD43,CD44,CD45,CD46,CD47,CD48,CD49,CD50,CD51,CD52,CD53,CD54,CD55,CD56,CD57,CD58,CD59)</f>
        <v xml:space="preserve">Line 0,0 0,13  Line 1,0 1,13  Line 2,0 2,13  Line 3,0 3,13  Line 4,0 4,13  Line 5,0 5,13  Line 6,0 6,13  Line 7,0 7,13  Line 8,0 8,13  Line 9,0 9,13  Line 10,0 10,13  Line 11,0 11,13  Line 12,0 12,13  Line 13,0 13,13  Line 14,0 14,13  Line 15,0 15,13  Line 16,0 16,13  Line 17,0 17,13  Line 18,0 18,13  Line 19,0 19,13  Line 20,0 20,13  </v>
      </c>
      <c r="CD38" s="279"/>
      <c r="CG38" s="265"/>
      <c r="CH38" s="265">
        <f>0.005*DEPTH/WLS</f>
        <v>3.2500000000000001E-2</v>
      </c>
      <c r="CI38" s="265">
        <f>CH38</f>
        <v>3.2500000000000001E-2</v>
      </c>
      <c r="CJ38" s="265"/>
      <c r="CK38" s="268">
        <f t="shared" si="37"/>
        <v>6</v>
      </c>
      <c r="CL38" s="269">
        <f t="shared" si="38"/>
        <v>6</v>
      </c>
      <c r="CM38" s="269">
        <f t="shared" si="39"/>
        <v>6.0009803921568627</v>
      </c>
      <c r="CN38" s="269">
        <f t="shared" si="40"/>
        <v>6.0041495668034655</v>
      </c>
      <c r="CO38" s="269">
        <f t="shared" si="41"/>
        <v>6.0096990424076608</v>
      </c>
      <c r="CP38" s="269">
        <f t="shared" si="42"/>
        <v>6.0177595379236966</v>
      </c>
      <c r="CQ38" s="269">
        <f t="shared" si="43"/>
        <v>6.0756254749962002</v>
      </c>
      <c r="CR38" s="269">
        <f t="shared" si="44"/>
        <v>6.1749870801033593</v>
      </c>
      <c r="CS38" s="269">
        <f t="shared" si="45"/>
        <v>6.3144459644322843</v>
      </c>
      <c r="CT38" s="269">
        <f t="shared" si="46"/>
        <v>6.465376196990424</v>
      </c>
      <c r="CU38" s="269">
        <f t="shared" si="47"/>
        <v>6.4956437148502815</v>
      </c>
      <c r="CV38" s="269">
        <f t="shared" si="48"/>
        <v>6.7157227542179658</v>
      </c>
      <c r="CW38" s="269">
        <f t="shared" si="49"/>
        <v>6.8411217510259918</v>
      </c>
      <c r="CX38" s="269" t="e">
        <f t="shared" si="50"/>
        <v>#VALUE!</v>
      </c>
      <c r="CY38" s="269" t="e">
        <f t="shared" si="51"/>
        <v>#VALUE!</v>
      </c>
      <c r="CZ38" s="269" t="e">
        <f t="shared" si="52"/>
        <v>#VALUE!</v>
      </c>
      <c r="DA38" s="269" t="e">
        <f t="shared" si="53"/>
        <v>#VALUE!</v>
      </c>
      <c r="DB38" s="269" t="e">
        <f t="shared" si="54"/>
        <v>#VALUE!</v>
      </c>
      <c r="DC38" s="269" t="e">
        <f t="shared" si="55"/>
        <v>#VALUE!</v>
      </c>
      <c r="DD38" s="269" t="e">
        <f t="shared" si="56"/>
        <v>#VALUE!</v>
      </c>
      <c r="DE38" s="269" t="e">
        <f t="shared" si="57"/>
        <v>#VALUE!</v>
      </c>
      <c r="DF38" s="269" t="e">
        <f t="shared" si="58"/>
        <v>#VALUE!</v>
      </c>
      <c r="DG38" s="269" t="e">
        <f t="shared" si="59"/>
        <v>#VALUE!</v>
      </c>
      <c r="DH38" s="269" t="e">
        <f t="shared" si="60"/>
        <v>#VALUE!</v>
      </c>
      <c r="DI38" s="269" t="e">
        <f t="shared" si="61"/>
        <v>#VALUE!</v>
      </c>
      <c r="DJ38" s="269" t="e">
        <f t="shared" si="62"/>
        <v>#VALUE!</v>
      </c>
    </row>
    <row r="39" spans="1:114" x14ac:dyDescent="0.25">
      <c r="AP39" s="307">
        <f t="array" ref="AP39:AP63">TRANSPOSE(AE2:BC2)</f>
        <v>0</v>
      </c>
      <c r="AR39" s="310" t="str">
        <f>IFERROR(CONCATENATE(STN_GAP*Tools!AD3,",0 "),"")</f>
        <v xml:space="preserve">0,0 </v>
      </c>
      <c r="AS39" s="269" t="str">
        <f>IFERROR(CONCATENATE(STN_GAP*Tools!AD3,",",DEPTH," "),"")</f>
        <v xml:space="preserve">0,13 </v>
      </c>
      <c r="AT39" s="297" t="str">
        <f t="shared" ref="AT39:AT63" si="68">IF(CONCATENATE(AR39,AS39)="","",CONCATENATE("Line ",AR39,AS39," "))</f>
        <v xml:space="preserve">Line 0,0 0,13  </v>
      </c>
      <c r="AU39" s="269"/>
      <c r="AV39" s="311" t="str">
        <f>IFERROR(CONCATENATE("0,",WLS*Tools!AP39," "),"")</f>
        <v xml:space="preserve">0,0 </v>
      </c>
      <c r="AW39" s="269" t="str">
        <f>IFERROR(CONCATENATE(LBP,",",WLS*Tools!AP39," "),"")</f>
        <v xml:space="preserve">146.2,0 </v>
      </c>
      <c r="AX39" s="297" t="str">
        <f t="shared" ref="AX39:AX63" si="69">IF(CONCATENATE(AV39,AW39)="","",CONCATENATE("Line ",AV39,AW39," "))</f>
        <v xml:space="preserve">Line 0,0 146.2,0  </v>
      </c>
      <c r="AY39" s="280"/>
      <c r="AZ39" s="269" t="str">
        <f t="shared" ref="AZ39:AZ63" si="70">IFERROR(CONCATENATE("0,",(ROUND(Y_Shift_HB+BREADTH/2/(No_of_BTKs+1)*IF(AC3&lt;=(No_of_BTKs+1),AC3," "),3))," "),"")</f>
        <v xml:space="preserve">0,-13.167 </v>
      </c>
      <c r="BA39" s="269" t="str">
        <f t="shared" ref="BA39:BA63" si="71">IFERROR(CONCATENATE(LBP,",",(ROUND(Y_Shift_HB+BREADTH/2/(No_of_BTKs+1)*IF(AC3&lt;=(No_of_BTKs+1),AC3," "),3))," "),"")</f>
        <v xml:space="preserve">146.2,-13.167 </v>
      </c>
      <c r="BB39" s="297" t="str">
        <f t="shared" si="67"/>
        <v xml:space="preserve">Line 0,-13.167 146.2,-13.167  </v>
      </c>
      <c r="BC39" s="269"/>
      <c r="BD39" s="269" t="str">
        <f>IFERROR(CONCATENATE(STN_GAP*Tools!AD3,",",ROUND(Y_Shift_HB,3)," "),"")</f>
        <v xml:space="preserve">0,-16.833 </v>
      </c>
      <c r="BE39" s="269" t="str">
        <f>IFERROR(CONCATENATE(STN_GAP*Tools!AD3,",",ROUND(Y_Shift_HB+BREADTH/2,3)," "),"")</f>
        <v xml:space="preserve">0,-5.833 </v>
      </c>
      <c r="BF39" s="297" t="str">
        <f t="shared" ref="BF39:BF63" si="72">IF(CONCATENATE(BD39,BE39)="","",CONCATENATE("Line ",BD39,BE39," "))</f>
        <v xml:space="preserve">Line 0,-16.833 0,-5.833  </v>
      </c>
      <c r="BG39" s="280"/>
      <c r="BH39" s="269" t="str">
        <f>IFERROR(CONCATENATE(ROUND(X_SHIFT_BP-BREADTH/2,3),",",ROUND(WLS*Tools!AP39,3)," "),"")</f>
        <v xml:space="preserve">157.91,0 </v>
      </c>
      <c r="BI39" s="269" t="str">
        <f>IFERROR(CONCATENATE(ROUND(X_SHIFT_BP+BREADTH/2,3),",",ROUND(WLS*Tools!AP39,3)," "),"")</f>
        <v xml:space="preserve">179.91,0 </v>
      </c>
      <c r="BJ39" s="297" t="str">
        <f t="shared" ref="BJ39:BJ63" si="73">IF(CONCATENATE(BH39,BI39)="","",CONCATENATE("Line ",BH39,BI39," "))</f>
        <v xml:space="preserve">Line 157.91,0 179.91,0  </v>
      </c>
      <c r="BK39" s="269"/>
      <c r="BL39" s="269" t="str">
        <f t="shared" ref="BL39:BL63" si="74">IFERROR(CONCATENATE(ROUND(X_SHIFT_BP-BREADTH/2/(No_of_BTKs+1)*IF(AC3&lt;=No_of_BTKs+1,AC3," "),3),",",0," "),"")</f>
        <v xml:space="preserve">165.243,0 </v>
      </c>
      <c r="BM39" s="269" t="str">
        <f t="shared" ref="BM39:BM63" si="75">IFERROR(CONCATENATE(ROUND(X_SHIFT_BP-BREADTH/2/(No_of_BTKs+1)*IF(AC3&lt;=No_of_BTKs+1,AC3," "),3),",",DEPTH," "),"")</f>
        <v xml:space="preserve">165.243,13 </v>
      </c>
      <c r="BN39" s="297" t="str">
        <f t="shared" ref="BN39:BN63" si="76">IF(CONCATENATE(BL39,BM39)="","",CONCATENATE("Line ",BL39,BM39," "))</f>
        <v xml:space="preserve">Line 165.243,0 165.243,13  </v>
      </c>
      <c r="BO39" s="269"/>
      <c r="BP39" s="269" t="str">
        <f t="shared" ref="BP39:BP63" si="77">IFERROR(CONCATENATE(ROUND(X_SHIFT_BP+BREADTH/2/(No_of_BTKs+1)*IF(AC3&lt;=No_of_BTKs+1,AC3," "),3),",",0," "),"")</f>
        <v xml:space="preserve">172.577,0 </v>
      </c>
      <c r="BQ39" s="269" t="str">
        <f t="shared" ref="BQ39:BQ63" si="78">IFERROR(CONCATENATE(ROUND(X_SHIFT_BP+BREADTH/2/(No_of_BTKs+1)*IF(AC3&lt;=No_of_BTKs+1,AC3," "),3),",",DEPTH," "),"")</f>
        <v xml:space="preserve">172.577,13 </v>
      </c>
      <c r="BR39" s="297" t="str">
        <f t="shared" ref="BR39:BR63" si="79">IF(CONCATENATE(BP39,BQ39)="","",CONCATENATE("Line ",BP39,BQ39," "))</f>
        <v xml:space="preserve">Line 172.577,0 172.577,13  </v>
      </c>
      <c r="BS39" s="280"/>
      <c r="BT39" s="312" t="str">
        <f>IFERROR(CONCATENATE(ROUND(BA_Station_Scale_in_x*STN_GAP*Tools!AD3,3),",0 "),"")</f>
        <v xml:space="preserve">0,0 </v>
      </c>
      <c r="BU39" s="300" t="str">
        <f>IFERROR(CONCATENATE(ROUND(BA_Station_Scale_in_x*STN_GAP*Tools!AD3,3),",",ROUND(DEPTH*BA_Y_scale_of_WL,3)," "),"")</f>
        <v xml:space="preserve">0,26 </v>
      </c>
      <c r="BV39" s="313" t="str">
        <f t="shared" ref="BV39:BV63" si="80">IF(CONCATENATE(BT39,BU39)="","",CONCATENATE("Line ",BT39,BU39," "))</f>
        <v xml:space="preserve">Line 0,0 0,26  </v>
      </c>
      <c r="BW39" s="300"/>
      <c r="BX39" s="312" t="str">
        <f>IFERROR(CONCATENATE("0,",ROUND(BA_Y_scale_of_WL*WLS*Tools!AP39,3)," "),"")</f>
        <v xml:space="preserve">0,0 </v>
      </c>
      <c r="BY39" s="300" t="str">
        <f>IFERROR(CONCATENATE(LBP,",",ROUND(BA_Y_scale_of_WL*WLS*Tools!AP39,3)," "),"")</f>
        <v xml:space="preserve">146.2,0 </v>
      </c>
      <c r="BZ39" s="313" t="str">
        <f t="shared" ref="BZ39:BZ63" si="81">IF(CONCATENATE(BX39,BY39)="","",CONCATENATE("Line ",BX39,BY39," "))</f>
        <v xml:space="preserve">Line 0,0 146.2,0  </v>
      </c>
      <c r="CA39" s="280"/>
      <c r="CB39" s="314">
        <v>0</v>
      </c>
      <c r="CC39" s="315" t="str">
        <f t="shared" ref="CC39:CC63" si="82">IFERROR(CONCATENATE("Line 0,",AP39*WLS," ",20,",",AP39*WLS,"  "),"")</f>
        <v xml:space="preserve">Line 0,0 20,0  </v>
      </c>
      <c r="CD39" s="316" t="str">
        <f t="shared" ref="CD39:CD59" si="83">IFERROR(CONCATENATE("Line ",CB39,",0 ",CB39,",",DEPTH,"  "),"")</f>
        <v xml:space="preserve">Line 0,0 0,13  </v>
      </c>
      <c r="CG39" s="265"/>
      <c r="CH39" s="265"/>
      <c r="CI39" s="265"/>
      <c r="CJ39" s="265"/>
      <c r="CK39" s="268">
        <f t="shared" si="37"/>
        <v>7</v>
      </c>
      <c r="CL39" s="269">
        <f t="shared" ref="CL39:CL54" si="84">$CK39+AC79/$N$32/STN_GAP</f>
        <v>7</v>
      </c>
      <c r="CM39" s="269">
        <f t="shared" ref="CM39:CM54" si="85">$CK39+AD79/$N$32/STN_GAP</f>
        <v>7.0010924912600698</v>
      </c>
      <c r="CN39" s="269">
        <f t="shared" ref="CN39:CN54" si="86">$CK39+AE79/$N$32/STN_GAP</f>
        <v>7.0045538835689314</v>
      </c>
      <c r="CO39" s="269">
        <f t="shared" ref="CO39:CO54" si="87">$CK39+AF79/$N$32/STN_GAP</f>
        <v>7.0105186958504335</v>
      </c>
      <c r="CP39" s="269">
        <f t="shared" ref="CP39:CP54" si="88">$CK39+AG79/$N$32/STN_GAP</f>
        <v>7.0190697674418603</v>
      </c>
      <c r="CQ39" s="269">
        <f t="shared" ref="CQ39:CQ54" si="89">$CK39+AH79/$N$32/STN_GAP</f>
        <v>7.0788660890712878</v>
      </c>
      <c r="CR39" s="269">
        <f t="shared" ref="CR39:CR54" si="90">$CK39+AI79/$N$32/STN_GAP</f>
        <v>7.1793372853017177</v>
      </c>
      <c r="CS39" s="269">
        <f t="shared" ref="CS39:CS54" si="91">$CK39+AJ79/$N$32/STN_GAP</f>
        <v>7.3196321629426961</v>
      </c>
      <c r="CT39" s="269">
        <f t="shared" ref="CT39:CT54" si="92">$CK39+AK79/$N$32/STN_GAP</f>
        <v>7.4705623955008358</v>
      </c>
      <c r="CU39" s="269">
        <f t="shared" ref="CU39:CU54" si="93">$CK39+AL79/$N$32/STN_GAP</f>
        <v>7.500358717130263</v>
      </c>
      <c r="CV39" s="269">
        <f t="shared" ref="CV39:CV54" si="94">$CK39+AM79/$N$32/STN_GAP</f>
        <v>7.7209089527283785</v>
      </c>
      <c r="CW39" s="269">
        <f t="shared" ref="CW39:CW54" si="95">$CK39+AN79/$N$32/STN_GAP</f>
        <v>7.8463079495364036</v>
      </c>
      <c r="CX39" s="269" t="e">
        <f t="shared" ref="CX39:CX54" si="96">$CK39+AO79/$N$32/STN_GAP</f>
        <v>#VALUE!</v>
      </c>
      <c r="CY39" s="269" t="e">
        <f t="shared" ref="CY39:CY54" si="97">$CK39+AP79/$N$32/STN_GAP</f>
        <v>#VALUE!</v>
      </c>
      <c r="CZ39" s="269" t="e">
        <f t="shared" ref="CZ39:CZ54" si="98">$CK39+AQ79/$N$32/STN_GAP</f>
        <v>#VALUE!</v>
      </c>
      <c r="DA39" s="269" t="e">
        <f t="shared" ref="DA39:DA54" si="99">$CK39+AR79/$N$32/STN_GAP</f>
        <v>#VALUE!</v>
      </c>
      <c r="DB39" s="269" t="e">
        <f t="shared" ref="DB39:DB54" si="100">$CK39+AS79/$N$32/STN_GAP</f>
        <v>#VALUE!</v>
      </c>
      <c r="DC39" s="269" t="e">
        <f t="shared" ref="DC39:DC54" si="101">$CK39+AT79/$N$32/STN_GAP</f>
        <v>#VALUE!</v>
      </c>
      <c r="DD39" s="269" t="e">
        <f t="shared" ref="DD39:DD54" si="102">$CK39+AU79/$N$32/STN_GAP</f>
        <v>#VALUE!</v>
      </c>
      <c r="DE39" s="269" t="e">
        <f t="shared" ref="DE39:DE54" si="103">$CK39+AV79/$N$32/STN_GAP</f>
        <v>#VALUE!</v>
      </c>
      <c r="DF39" s="269" t="e">
        <f t="shared" ref="DF39:DF54" si="104">$CK39+AW79/$N$32/STN_GAP</f>
        <v>#VALUE!</v>
      </c>
      <c r="DG39" s="269" t="e">
        <f t="shared" ref="DG39:DG54" si="105">$CK39+AX79/$N$32/STN_GAP</f>
        <v>#VALUE!</v>
      </c>
      <c r="DH39" s="269" t="e">
        <f t="shared" ref="DH39:DH54" si="106">$CK39+AY79/$N$32/STN_GAP</f>
        <v>#VALUE!</v>
      </c>
      <c r="DI39" s="269" t="e">
        <f t="shared" ref="DI39:DI54" si="107">$CK39+AZ79/$N$32/STN_GAP</f>
        <v>#VALUE!</v>
      </c>
      <c r="DJ39" s="269" t="e">
        <f t="shared" ref="DJ39:DJ54" si="108">$CK39+BA79/$N$32/STN_GAP</f>
        <v>#VALUE!</v>
      </c>
    </row>
    <row r="40" spans="1:114" x14ac:dyDescent="0.25">
      <c r="AP40" s="308">
        <v>0.25</v>
      </c>
      <c r="AR40" s="310" t="str">
        <f>IFERROR(CONCATENATE(STN_GAP*Tools!AD4,",0 "),"")</f>
        <v xml:space="preserve">3.655,0 </v>
      </c>
      <c r="AS40" s="269" t="str">
        <f>IFERROR(CONCATENATE(STN_GAP*Tools!AD4,",",DEPTH," "),"")</f>
        <v xml:space="preserve">3.655,13 </v>
      </c>
      <c r="AT40" s="297" t="str">
        <f t="shared" si="68"/>
        <v xml:space="preserve">Line 3.655,0 3.655,13  </v>
      </c>
      <c r="AU40" s="269"/>
      <c r="AV40" s="311" t="str">
        <f>IFERROR(CONCATENATE("0,",WLS*Tools!AP40," "),"")</f>
        <v xml:space="preserve">0,0.5 </v>
      </c>
      <c r="AW40" s="269" t="str">
        <f>IFERROR(CONCATENATE(LBP,",",WLS*Tools!AP40," "),"")</f>
        <v xml:space="preserve">146.2,0.5 </v>
      </c>
      <c r="AX40" s="297" t="str">
        <f t="shared" si="69"/>
        <v xml:space="preserve">Line 0,0.5 146.2,0.5  </v>
      </c>
      <c r="AY40" s="280"/>
      <c r="AZ40" s="269" t="str">
        <f t="shared" si="70"/>
        <v xml:space="preserve">0,-9.5 </v>
      </c>
      <c r="BA40" s="269" t="str">
        <f t="shared" si="71"/>
        <v xml:space="preserve">146.2,-9.5 </v>
      </c>
      <c r="BB40" s="297" t="str">
        <f t="shared" si="67"/>
        <v xml:space="preserve">Line 0,-9.5 146.2,-9.5  </v>
      </c>
      <c r="BC40" s="269"/>
      <c r="BD40" s="269" t="str">
        <f>IFERROR(CONCATENATE(STN_GAP*Tools!AD4,",",ROUND(Y_Shift_HB,3)," "),"")</f>
        <v xml:space="preserve">3.655,-16.833 </v>
      </c>
      <c r="BE40" s="269" t="str">
        <f>IFERROR(CONCATENATE(STN_GAP*Tools!AD4,",",ROUND(Y_Shift_HB+BREADTH/2,3)," "),"")</f>
        <v xml:space="preserve">3.655,-5.833 </v>
      </c>
      <c r="BF40" s="297" t="str">
        <f t="shared" si="72"/>
        <v xml:space="preserve">Line 3.655,-16.833 3.655,-5.833  </v>
      </c>
      <c r="BG40" s="280"/>
      <c r="BH40" s="269" t="str">
        <f>IFERROR(CONCATENATE(ROUND(X_SHIFT_BP-BREADTH/2,3),",",ROUND(WLS*Tools!AP40,3)," "),"")</f>
        <v xml:space="preserve">157.91,0.5 </v>
      </c>
      <c r="BI40" s="269" t="str">
        <f>IFERROR(CONCATENATE(ROUND(X_SHIFT_BP+BREADTH/2,3),",",ROUND(WLS*Tools!AP40,3)," "),"")</f>
        <v xml:space="preserve">179.91,0.5 </v>
      </c>
      <c r="BJ40" s="297" t="str">
        <f t="shared" si="73"/>
        <v xml:space="preserve">Line 157.91,0.5 179.91,0.5  </v>
      </c>
      <c r="BK40" s="269"/>
      <c r="BL40" s="269" t="str">
        <f t="shared" si="74"/>
        <v xml:space="preserve">161.577,0 </v>
      </c>
      <c r="BM40" s="269" t="str">
        <f t="shared" si="75"/>
        <v xml:space="preserve">161.577,13 </v>
      </c>
      <c r="BN40" s="297" t="str">
        <f t="shared" si="76"/>
        <v xml:space="preserve">Line 161.577,0 161.577,13  </v>
      </c>
      <c r="BO40" s="269"/>
      <c r="BP40" s="269" t="str">
        <f t="shared" si="77"/>
        <v xml:space="preserve">176.243,0 </v>
      </c>
      <c r="BQ40" s="269" t="str">
        <f t="shared" si="78"/>
        <v xml:space="preserve">176.243,13 </v>
      </c>
      <c r="BR40" s="297" t="str">
        <f t="shared" si="79"/>
        <v xml:space="preserve">Line 176.243,0 176.243,13  </v>
      </c>
      <c r="BS40" s="280"/>
      <c r="BT40" s="312" t="str">
        <f>IFERROR(CONCATENATE(ROUND(BA_Station_Scale_in_x*STN_GAP*Tools!AD4,3),",0 "),"")</f>
        <v xml:space="preserve">3.655,0 </v>
      </c>
      <c r="BU40" s="300" t="str">
        <f>IFERROR(CONCATENATE(ROUND(BA_Station_Scale_in_x*STN_GAP*Tools!AD4,3),",",ROUND(DEPTH*BA_Y_scale_of_WL,3)," "),"")</f>
        <v xml:space="preserve">3.655,26 </v>
      </c>
      <c r="BV40" s="313" t="str">
        <f t="shared" si="80"/>
        <v xml:space="preserve">Line 3.655,0 3.655,26  </v>
      </c>
      <c r="BW40" s="300"/>
      <c r="BX40" s="312" t="str">
        <f>IFERROR(CONCATENATE("0,",ROUND(BA_Y_scale_of_WL*WLS*Tools!AP40,3)," "),"")</f>
        <v xml:space="preserve">0,1 </v>
      </c>
      <c r="BY40" s="300" t="str">
        <f>IFERROR(CONCATENATE(LBP,",",ROUND(BA_Y_scale_of_WL*WLS*Tools!AP40,3)," "),"")</f>
        <v xml:space="preserve">146.2,1 </v>
      </c>
      <c r="BZ40" s="313" t="str">
        <f t="shared" si="81"/>
        <v xml:space="preserve">Line 0,1 146.2,1  </v>
      </c>
      <c r="CA40" s="280"/>
      <c r="CB40" s="315">
        <v>1</v>
      </c>
      <c r="CC40" s="315" t="str">
        <f t="shared" si="82"/>
        <v xml:space="preserve">Line 0,0.5 20,0.5  </v>
      </c>
      <c r="CD40" s="316" t="str">
        <f t="shared" si="83"/>
        <v xml:space="preserve">Line 1,0 1,13  </v>
      </c>
      <c r="CG40" s="265"/>
      <c r="CH40" s="265"/>
      <c r="CI40" s="265"/>
      <c r="CJ40" s="265"/>
      <c r="CK40" s="268">
        <f t="shared" si="37"/>
        <v>8</v>
      </c>
      <c r="CL40" s="269">
        <f t="shared" si="84"/>
        <v>8</v>
      </c>
      <c r="CM40" s="269">
        <f t="shared" si="85"/>
        <v>8.0011507257941936</v>
      </c>
      <c r="CN40" s="269">
        <f t="shared" si="86"/>
        <v>8.0047621219030241</v>
      </c>
      <c r="CO40" s="269">
        <f t="shared" si="87"/>
        <v>8.0109082877336988</v>
      </c>
      <c r="CP40" s="269">
        <f t="shared" si="88"/>
        <v>8.0196686426508581</v>
      </c>
      <c r="CQ40" s="269">
        <f t="shared" si="89"/>
        <v>8.0798601611187113</v>
      </c>
      <c r="CR40" s="269">
        <f t="shared" si="90"/>
        <v>8.1801793585651321</v>
      </c>
      <c r="CS40" s="269">
        <f t="shared" si="91"/>
        <v>8.3206262349901206</v>
      </c>
      <c r="CT40" s="269">
        <f t="shared" si="92"/>
        <v>8.4715564675482593</v>
      </c>
      <c r="CU40" s="269">
        <f t="shared" si="93"/>
        <v>8.5012007903936766</v>
      </c>
      <c r="CV40" s="269">
        <f t="shared" si="94"/>
        <v>8.721903024775802</v>
      </c>
      <c r="CW40" s="269">
        <f t="shared" si="95"/>
        <v>8.8473020215838272</v>
      </c>
      <c r="CX40" s="269" t="e">
        <f t="shared" si="96"/>
        <v>#VALUE!</v>
      </c>
      <c r="CY40" s="269" t="e">
        <f t="shared" si="97"/>
        <v>#VALUE!</v>
      </c>
      <c r="CZ40" s="269" t="e">
        <f t="shared" si="98"/>
        <v>#VALUE!</v>
      </c>
      <c r="DA40" s="269" t="e">
        <f t="shared" si="99"/>
        <v>#VALUE!</v>
      </c>
      <c r="DB40" s="269" t="e">
        <f t="shared" si="100"/>
        <v>#VALUE!</v>
      </c>
      <c r="DC40" s="269" t="e">
        <f t="shared" si="101"/>
        <v>#VALUE!</v>
      </c>
      <c r="DD40" s="269" t="e">
        <f t="shared" si="102"/>
        <v>#VALUE!</v>
      </c>
      <c r="DE40" s="269" t="e">
        <f t="shared" si="103"/>
        <v>#VALUE!</v>
      </c>
      <c r="DF40" s="269" t="e">
        <f t="shared" si="104"/>
        <v>#VALUE!</v>
      </c>
      <c r="DG40" s="269" t="e">
        <f t="shared" si="105"/>
        <v>#VALUE!</v>
      </c>
      <c r="DH40" s="269" t="e">
        <f t="shared" si="106"/>
        <v>#VALUE!</v>
      </c>
      <c r="DI40" s="269" t="e">
        <f t="shared" si="107"/>
        <v>#VALUE!</v>
      </c>
      <c r="DJ40" s="269" t="e">
        <f t="shared" si="108"/>
        <v>#VALUE!</v>
      </c>
    </row>
    <row r="41" spans="1:114" x14ac:dyDescent="0.25">
      <c r="B41" s="132" t="s">
        <v>248</v>
      </c>
      <c r="AP41" s="308">
        <v>0.5</v>
      </c>
      <c r="AR41" s="310" t="str">
        <f>IFERROR(CONCATENATE(STN_GAP*Tools!AD5,",0 "),"")</f>
        <v xml:space="preserve">7.31,0 </v>
      </c>
      <c r="AS41" s="269" t="str">
        <f>IFERROR(CONCATENATE(STN_GAP*Tools!AD5,",",DEPTH," "),"")</f>
        <v xml:space="preserve">7.31,13 </v>
      </c>
      <c r="AT41" s="297" t="str">
        <f t="shared" si="68"/>
        <v xml:space="preserve">Line 7.31,0 7.31,13  </v>
      </c>
      <c r="AU41" s="269"/>
      <c r="AV41" s="311" t="str">
        <f>IFERROR(CONCATENATE("0,",WLS*Tools!AP41," "),"")</f>
        <v xml:space="preserve">0,1 </v>
      </c>
      <c r="AW41" s="269" t="str">
        <f>IFERROR(CONCATENATE(LBP,",",WLS*Tools!AP41," "),"")</f>
        <v xml:space="preserve">146.2,1 </v>
      </c>
      <c r="AX41" s="297" t="str">
        <f t="shared" si="69"/>
        <v xml:space="preserve">Line 0,1 146.2,1  </v>
      </c>
      <c r="AY41" s="280"/>
      <c r="AZ41" s="269" t="str">
        <f t="shared" si="70"/>
        <v xml:space="preserve">0,-5.833 </v>
      </c>
      <c r="BA41" s="269" t="str">
        <f t="shared" si="71"/>
        <v xml:space="preserve">146.2,-5.833 </v>
      </c>
      <c r="BB41" s="297" t="str">
        <f t="shared" si="67"/>
        <v xml:space="preserve">Line 0,-5.833 146.2,-5.833  </v>
      </c>
      <c r="BC41" s="269"/>
      <c r="BD41" s="269" t="str">
        <f>IFERROR(CONCATENATE(STN_GAP*Tools!AD5,",",ROUND(Y_Shift_HB,3)," "),"")</f>
        <v xml:space="preserve">7.31,-16.833 </v>
      </c>
      <c r="BE41" s="269" t="str">
        <f>IFERROR(CONCATENATE(STN_GAP*Tools!AD5,",",ROUND(Y_Shift_HB+BREADTH/2,3)," "),"")</f>
        <v xml:space="preserve">7.31,-5.833 </v>
      </c>
      <c r="BF41" s="297" t="str">
        <f t="shared" si="72"/>
        <v xml:space="preserve">Line 7.31,-16.833 7.31,-5.833  </v>
      </c>
      <c r="BG41" s="280"/>
      <c r="BH41" s="269" t="str">
        <f>IFERROR(CONCATENATE(ROUND(X_SHIFT_BP-BREADTH/2,3),",",ROUND(WLS*Tools!AP41,3)," "),"")</f>
        <v xml:space="preserve">157.91,1 </v>
      </c>
      <c r="BI41" s="269" t="str">
        <f>IFERROR(CONCATENATE(ROUND(X_SHIFT_BP+BREADTH/2,3),",",ROUND(WLS*Tools!AP41,3)," "),"")</f>
        <v xml:space="preserve">179.91,1 </v>
      </c>
      <c r="BJ41" s="297" t="str">
        <f t="shared" si="73"/>
        <v xml:space="preserve">Line 157.91,1 179.91,1  </v>
      </c>
      <c r="BK41" s="269"/>
      <c r="BL41" s="269" t="str">
        <f t="shared" si="74"/>
        <v xml:space="preserve">157.91,0 </v>
      </c>
      <c r="BM41" s="269" t="str">
        <f t="shared" si="75"/>
        <v xml:space="preserve">157.91,13 </v>
      </c>
      <c r="BN41" s="297" t="str">
        <f t="shared" si="76"/>
        <v xml:space="preserve">Line 157.91,0 157.91,13  </v>
      </c>
      <c r="BO41" s="269"/>
      <c r="BP41" s="269" t="str">
        <f t="shared" si="77"/>
        <v xml:space="preserve">179.91,0 </v>
      </c>
      <c r="BQ41" s="269" t="str">
        <f t="shared" si="78"/>
        <v xml:space="preserve">179.91,13 </v>
      </c>
      <c r="BR41" s="297" t="str">
        <f t="shared" si="79"/>
        <v xml:space="preserve">Line 179.91,0 179.91,13  </v>
      </c>
      <c r="BS41" s="280"/>
      <c r="BT41" s="312" t="str">
        <f>IFERROR(CONCATENATE(ROUND(BA_Station_Scale_in_x*STN_GAP*Tools!AD5,3),",0 "),"")</f>
        <v xml:space="preserve">7.31,0 </v>
      </c>
      <c r="BU41" s="300" t="str">
        <f>IFERROR(CONCATENATE(ROUND(BA_Station_Scale_in_x*STN_GAP*Tools!AD5,3),",",ROUND(DEPTH*BA_Y_scale_of_WL,3)," "),"")</f>
        <v xml:space="preserve">7.31,26 </v>
      </c>
      <c r="BV41" s="313" t="str">
        <f t="shared" si="80"/>
        <v xml:space="preserve">Line 7.31,0 7.31,26  </v>
      </c>
      <c r="BW41" s="300"/>
      <c r="BX41" s="312" t="str">
        <f>IFERROR(CONCATENATE("0,",ROUND(BA_Y_scale_of_WL*WLS*Tools!AP41,3)," "),"")</f>
        <v xml:space="preserve">0,2 </v>
      </c>
      <c r="BY41" s="300" t="str">
        <f>IFERROR(CONCATENATE(LBP,",",ROUND(BA_Y_scale_of_WL*WLS*Tools!AP41,3)," "),"")</f>
        <v xml:space="preserve">146.2,2 </v>
      </c>
      <c r="BZ41" s="313" t="str">
        <f t="shared" si="81"/>
        <v xml:space="preserve">Line 0,2 146.2,2  </v>
      </c>
      <c r="CA41" s="280"/>
      <c r="CB41" s="314">
        <v>2</v>
      </c>
      <c r="CC41" s="315" t="str">
        <f t="shared" si="82"/>
        <v xml:space="preserve">Line 0,1 20,1  </v>
      </c>
      <c r="CD41" s="316" t="str">
        <f t="shared" si="83"/>
        <v xml:space="preserve">Line 2,0 2,13  </v>
      </c>
      <c r="CG41" s="265"/>
      <c r="CH41" s="265"/>
      <c r="CI41" s="265"/>
      <c r="CJ41" s="265"/>
      <c r="CK41" s="268">
        <f t="shared" si="37"/>
        <v>9</v>
      </c>
      <c r="CL41" s="269">
        <f t="shared" si="84"/>
        <v>9</v>
      </c>
      <c r="CM41" s="269">
        <f t="shared" si="85"/>
        <v>9.0011670656634752</v>
      </c>
      <c r="CN41" s="269">
        <f t="shared" si="86"/>
        <v>9.004810761513907</v>
      </c>
      <c r="CO41" s="269">
        <f t="shared" si="87"/>
        <v>9.0109892270861831</v>
      </c>
      <c r="CP41" s="269">
        <f t="shared" si="88"/>
        <v>9.0197568019455847</v>
      </c>
      <c r="CQ41" s="269">
        <f t="shared" si="89"/>
        <v>9.0799483204134361</v>
      </c>
      <c r="CR41" s="269">
        <f t="shared" si="90"/>
        <v>9.180267517859857</v>
      </c>
      <c r="CS41" s="269">
        <f t="shared" si="91"/>
        <v>9.3207143942848454</v>
      </c>
      <c r="CT41" s="269">
        <f t="shared" si="92"/>
        <v>9.4716446268429859</v>
      </c>
      <c r="CU41" s="269">
        <f t="shared" si="93"/>
        <v>9.5012889496884032</v>
      </c>
      <c r="CV41" s="269">
        <f t="shared" si="94"/>
        <v>9.7219911840705269</v>
      </c>
      <c r="CW41" s="269">
        <f t="shared" si="95"/>
        <v>9.8473901808785538</v>
      </c>
      <c r="CX41" s="269" t="e">
        <f t="shared" si="96"/>
        <v>#VALUE!</v>
      </c>
      <c r="CY41" s="269" t="e">
        <f t="shared" si="97"/>
        <v>#VALUE!</v>
      </c>
      <c r="CZ41" s="269" t="e">
        <f t="shared" si="98"/>
        <v>#VALUE!</v>
      </c>
      <c r="DA41" s="269" t="e">
        <f t="shared" si="99"/>
        <v>#VALUE!</v>
      </c>
      <c r="DB41" s="269" t="e">
        <f t="shared" si="100"/>
        <v>#VALUE!</v>
      </c>
      <c r="DC41" s="269" t="e">
        <f t="shared" si="101"/>
        <v>#VALUE!</v>
      </c>
      <c r="DD41" s="269" t="e">
        <f t="shared" si="102"/>
        <v>#VALUE!</v>
      </c>
      <c r="DE41" s="269" t="e">
        <f t="shared" si="103"/>
        <v>#VALUE!</v>
      </c>
      <c r="DF41" s="269" t="e">
        <f t="shared" si="104"/>
        <v>#VALUE!</v>
      </c>
      <c r="DG41" s="269" t="e">
        <f t="shared" si="105"/>
        <v>#VALUE!</v>
      </c>
      <c r="DH41" s="269" t="e">
        <f t="shared" si="106"/>
        <v>#VALUE!</v>
      </c>
      <c r="DI41" s="269" t="e">
        <f t="shared" si="107"/>
        <v>#VALUE!</v>
      </c>
      <c r="DJ41" s="269" t="e">
        <f t="shared" si="108"/>
        <v>#VALUE!</v>
      </c>
    </row>
    <row r="42" spans="1:114" x14ac:dyDescent="0.25">
      <c r="B42" s="132" t="str">
        <f>Main!C3</f>
        <v>LBP</v>
      </c>
      <c r="D42" s="132">
        <f>VLOOKUP(B42,Main_Particulars,3,FALSE)</f>
        <v>146.19999999999999</v>
      </c>
      <c r="E42" s="317"/>
      <c r="F42" s="317"/>
      <c r="AP42" s="308">
        <v>0.75</v>
      </c>
      <c r="AR42" s="310" t="str">
        <f>IFERROR(CONCATENATE(STN_GAP*Tools!AD6,",0 "),"")</f>
        <v xml:space="preserve">10.965,0 </v>
      </c>
      <c r="AS42" s="269" t="str">
        <f>IFERROR(CONCATENATE(STN_GAP*Tools!AD6,",",DEPTH," "),"")</f>
        <v xml:space="preserve">10.965,13 </v>
      </c>
      <c r="AT42" s="297" t="str">
        <f t="shared" si="68"/>
        <v xml:space="preserve">Line 10.965,0 10.965,13  </v>
      </c>
      <c r="AU42" s="269"/>
      <c r="AV42" s="311" t="str">
        <f>IFERROR(CONCATENATE("0,",WLS*Tools!AP42," "),"")</f>
        <v xml:space="preserve">0,1.5 </v>
      </c>
      <c r="AW42" s="269" t="str">
        <f>IFERROR(CONCATENATE(LBP,",",WLS*Tools!AP42," "),"")</f>
        <v xml:space="preserve">146.2,1.5 </v>
      </c>
      <c r="AX42" s="297" t="str">
        <f t="shared" si="69"/>
        <v xml:space="preserve">Line 0,1.5 146.2,1.5  </v>
      </c>
      <c r="AY42" s="280"/>
      <c r="AZ42" s="269" t="str">
        <f t="shared" si="70"/>
        <v/>
      </c>
      <c r="BA42" s="269" t="str">
        <f t="shared" si="71"/>
        <v/>
      </c>
      <c r="BB42" s="297" t="str">
        <f t="shared" si="67"/>
        <v/>
      </c>
      <c r="BC42" s="269"/>
      <c r="BD42" s="269" t="str">
        <f>IFERROR(CONCATENATE(STN_GAP*Tools!AD6,",",ROUND(Y_Shift_HB,3)," "),"")</f>
        <v xml:space="preserve">10.965,-16.833 </v>
      </c>
      <c r="BE42" s="269" t="str">
        <f>IFERROR(CONCATENATE(STN_GAP*Tools!AD6,",",ROUND(Y_Shift_HB+BREADTH/2,3)," "),"")</f>
        <v xml:space="preserve">10.965,-5.833 </v>
      </c>
      <c r="BF42" s="297" t="str">
        <f t="shared" si="72"/>
        <v xml:space="preserve">Line 10.965,-16.833 10.965,-5.833  </v>
      </c>
      <c r="BG42" s="280"/>
      <c r="BH42" s="269" t="str">
        <f>IFERROR(CONCATENATE(ROUND(X_SHIFT_BP-BREADTH/2,3),",",ROUND(WLS*Tools!AP42,3)," "),"")</f>
        <v xml:space="preserve">157.91,1.5 </v>
      </c>
      <c r="BI42" s="269" t="str">
        <f>IFERROR(CONCATENATE(ROUND(X_SHIFT_BP+BREADTH/2,3),",",ROUND(WLS*Tools!AP42,3)," "),"")</f>
        <v xml:space="preserve">179.91,1.5 </v>
      </c>
      <c r="BJ42" s="297" t="str">
        <f t="shared" si="73"/>
        <v xml:space="preserve">Line 157.91,1.5 179.91,1.5  </v>
      </c>
      <c r="BK42" s="269"/>
      <c r="BL42" s="269" t="str">
        <f t="shared" si="74"/>
        <v/>
      </c>
      <c r="BM42" s="269" t="str">
        <f t="shared" si="75"/>
        <v/>
      </c>
      <c r="BN42" s="297" t="str">
        <f t="shared" si="76"/>
        <v/>
      </c>
      <c r="BO42" s="269"/>
      <c r="BP42" s="269" t="str">
        <f t="shared" si="77"/>
        <v/>
      </c>
      <c r="BQ42" s="269" t="str">
        <f t="shared" si="78"/>
        <v/>
      </c>
      <c r="BR42" s="297" t="str">
        <f t="shared" si="79"/>
        <v/>
      </c>
      <c r="BS42" s="280"/>
      <c r="BT42" s="312" t="str">
        <f>IFERROR(CONCATENATE(ROUND(BA_Station_Scale_in_x*STN_GAP*Tools!AD6,3),",0 "),"")</f>
        <v xml:space="preserve">10.965,0 </v>
      </c>
      <c r="BU42" s="300" t="str">
        <f>IFERROR(CONCATENATE(ROUND(BA_Station_Scale_in_x*STN_GAP*Tools!AD6,3),",",ROUND(DEPTH*BA_Y_scale_of_WL,3)," "),"")</f>
        <v xml:space="preserve">10.965,26 </v>
      </c>
      <c r="BV42" s="313" t="str">
        <f t="shared" si="80"/>
        <v xml:space="preserve">Line 10.965,0 10.965,26  </v>
      </c>
      <c r="BW42" s="300"/>
      <c r="BX42" s="312" t="str">
        <f>IFERROR(CONCATENATE("0,",ROUND(BA_Y_scale_of_WL*WLS*Tools!AP42,3)," "),"")</f>
        <v xml:space="preserve">0,3 </v>
      </c>
      <c r="BY42" s="300" t="str">
        <f>IFERROR(CONCATENATE(LBP,",",ROUND(BA_Y_scale_of_WL*WLS*Tools!AP42,3)," "),"")</f>
        <v xml:space="preserve">146.2,3 </v>
      </c>
      <c r="BZ42" s="313" t="str">
        <f t="shared" si="81"/>
        <v xml:space="preserve">Line 0,3 146.2,3  </v>
      </c>
      <c r="CA42" s="280"/>
      <c r="CB42" s="315">
        <v>3</v>
      </c>
      <c r="CC42" s="315" t="str">
        <f t="shared" si="82"/>
        <v xml:space="preserve">Line 0,1.5 20,1.5  </v>
      </c>
      <c r="CD42" s="316" t="str">
        <f t="shared" si="83"/>
        <v xml:space="preserve">Line 3,0 3,13  </v>
      </c>
      <c r="CG42" s="265"/>
      <c r="CH42" s="265"/>
      <c r="CI42" s="265"/>
      <c r="CJ42" s="265"/>
      <c r="CK42" s="268">
        <f t="shared" si="37"/>
        <v>10</v>
      </c>
      <c r="CL42" s="269">
        <f t="shared" si="84"/>
        <v>10</v>
      </c>
      <c r="CM42" s="269">
        <f t="shared" si="85"/>
        <v>10.001167065663475</v>
      </c>
      <c r="CN42" s="269">
        <f t="shared" si="86"/>
        <v>10.004810761513907</v>
      </c>
      <c r="CO42" s="269">
        <f t="shared" si="87"/>
        <v>10.010989227086183</v>
      </c>
      <c r="CP42" s="269">
        <f t="shared" si="88"/>
        <v>10.019756801945585</v>
      </c>
      <c r="CQ42" s="269">
        <f t="shared" si="89"/>
        <v>10.079948320413436</v>
      </c>
      <c r="CR42" s="269">
        <f t="shared" si="90"/>
        <v>10.180267517859857</v>
      </c>
      <c r="CS42" s="269">
        <f t="shared" si="91"/>
        <v>10.320714394284845</v>
      </c>
      <c r="CT42" s="269">
        <f t="shared" si="92"/>
        <v>10.471644626842986</v>
      </c>
      <c r="CU42" s="269">
        <f t="shared" si="93"/>
        <v>10.501288949688403</v>
      </c>
      <c r="CV42" s="269">
        <f t="shared" si="94"/>
        <v>10.721991184070527</v>
      </c>
      <c r="CW42" s="269">
        <f t="shared" si="95"/>
        <v>10.847390180878554</v>
      </c>
      <c r="CX42" s="269" t="e">
        <f t="shared" si="96"/>
        <v>#VALUE!</v>
      </c>
      <c r="CY42" s="269" t="e">
        <f t="shared" si="97"/>
        <v>#VALUE!</v>
      </c>
      <c r="CZ42" s="269" t="e">
        <f t="shared" si="98"/>
        <v>#VALUE!</v>
      </c>
      <c r="DA42" s="269" t="e">
        <f t="shared" si="99"/>
        <v>#VALUE!</v>
      </c>
      <c r="DB42" s="269" t="e">
        <f t="shared" si="100"/>
        <v>#VALUE!</v>
      </c>
      <c r="DC42" s="269" t="e">
        <f t="shared" si="101"/>
        <v>#VALUE!</v>
      </c>
      <c r="DD42" s="269" t="e">
        <f t="shared" si="102"/>
        <v>#VALUE!</v>
      </c>
      <c r="DE42" s="269" t="e">
        <f t="shared" si="103"/>
        <v>#VALUE!</v>
      </c>
      <c r="DF42" s="269" t="e">
        <f t="shared" si="104"/>
        <v>#VALUE!</v>
      </c>
      <c r="DG42" s="269" t="e">
        <f t="shared" si="105"/>
        <v>#VALUE!</v>
      </c>
      <c r="DH42" s="269" t="e">
        <f t="shared" si="106"/>
        <v>#VALUE!</v>
      </c>
      <c r="DI42" s="269" t="e">
        <f t="shared" si="107"/>
        <v>#VALUE!</v>
      </c>
      <c r="DJ42" s="269" t="e">
        <f t="shared" si="108"/>
        <v>#VALUE!</v>
      </c>
    </row>
    <row r="43" spans="1:114" ht="18.75" x14ac:dyDescent="0.3">
      <c r="B43" s="132" t="str">
        <f>Main!C4</f>
        <v>B</v>
      </c>
      <c r="D43" s="132">
        <f>VLOOKUP(B43,Main_Particulars,3,FALSE)</f>
        <v>22</v>
      </c>
      <c r="F43" s="317"/>
      <c r="L43" s="275" t="s">
        <v>249</v>
      </c>
      <c r="M43" s="273"/>
      <c r="N43" s="273"/>
      <c r="O43" s="273"/>
      <c r="P43" s="273"/>
      <c r="Q43" s="274"/>
      <c r="AP43" s="308">
        <v>1</v>
      </c>
      <c r="AR43" s="310" t="str">
        <f>IFERROR(CONCATENATE(STN_GAP*Tools!AD7,",0 "),"")</f>
        <v xml:space="preserve">14.62,0 </v>
      </c>
      <c r="AS43" s="269" t="str">
        <f>IFERROR(CONCATENATE(STN_GAP*Tools!AD7,",",DEPTH," "),"")</f>
        <v xml:space="preserve">14.62,13 </v>
      </c>
      <c r="AT43" s="297" t="str">
        <f t="shared" si="68"/>
        <v xml:space="preserve">Line 14.62,0 14.62,13  </v>
      </c>
      <c r="AU43" s="269"/>
      <c r="AV43" s="311" t="str">
        <f>IFERROR(CONCATENATE("0,",WLS*Tools!AP43," "),"")</f>
        <v xml:space="preserve">0,2 </v>
      </c>
      <c r="AW43" s="269" t="str">
        <f>IFERROR(CONCATENATE(LBP,",",WLS*Tools!AP43," "),"")</f>
        <v xml:space="preserve">146.2,2 </v>
      </c>
      <c r="AX43" s="297" t="str">
        <f t="shared" si="69"/>
        <v xml:space="preserve">Line 0,2 146.2,2  </v>
      </c>
      <c r="AY43" s="280"/>
      <c r="AZ43" s="269" t="str">
        <f t="shared" si="70"/>
        <v/>
      </c>
      <c r="BA43" s="269" t="str">
        <f t="shared" si="71"/>
        <v/>
      </c>
      <c r="BB43" s="297" t="str">
        <f t="shared" si="67"/>
        <v/>
      </c>
      <c r="BC43" s="269"/>
      <c r="BD43" s="269" t="str">
        <f>IFERROR(CONCATENATE(STN_GAP*Tools!AD7,",",ROUND(Y_Shift_HB,3)," "),"")</f>
        <v xml:space="preserve">14.62,-16.833 </v>
      </c>
      <c r="BE43" s="269" t="str">
        <f>IFERROR(CONCATENATE(STN_GAP*Tools!AD7,",",ROUND(Y_Shift_HB+BREADTH/2,3)," "),"")</f>
        <v xml:space="preserve">14.62,-5.833 </v>
      </c>
      <c r="BF43" s="297" t="str">
        <f t="shared" si="72"/>
        <v xml:space="preserve">Line 14.62,-16.833 14.62,-5.833  </v>
      </c>
      <c r="BG43" s="280"/>
      <c r="BH43" s="269" t="str">
        <f>IFERROR(CONCATENATE(ROUND(X_SHIFT_BP-BREADTH/2,3),",",ROUND(WLS*Tools!AP43,3)," "),"")</f>
        <v xml:space="preserve">157.91,2 </v>
      </c>
      <c r="BI43" s="269" t="str">
        <f>IFERROR(CONCATENATE(ROUND(X_SHIFT_BP+BREADTH/2,3),",",ROUND(WLS*Tools!AP43,3)," "),"")</f>
        <v xml:space="preserve">179.91,2 </v>
      </c>
      <c r="BJ43" s="297" t="str">
        <f t="shared" si="73"/>
        <v xml:space="preserve">Line 157.91,2 179.91,2  </v>
      </c>
      <c r="BK43" s="269"/>
      <c r="BL43" s="269" t="str">
        <f t="shared" si="74"/>
        <v/>
      </c>
      <c r="BM43" s="269" t="str">
        <f t="shared" si="75"/>
        <v/>
      </c>
      <c r="BN43" s="297" t="str">
        <f t="shared" si="76"/>
        <v/>
      </c>
      <c r="BO43" s="269"/>
      <c r="BP43" s="269" t="str">
        <f t="shared" si="77"/>
        <v/>
      </c>
      <c r="BQ43" s="269" t="str">
        <f t="shared" si="78"/>
        <v/>
      </c>
      <c r="BR43" s="297" t="str">
        <f t="shared" si="79"/>
        <v/>
      </c>
      <c r="BS43" s="280"/>
      <c r="BT43" s="312" t="str">
        <f>IFERROR(CONCATENATE(ROUND(BA_Station_Scale_in_x*STN_GAP*Tools!AD7,3),",0 "),"")</f>
        <v xml:space="preserve">14.62,0 </v>
      </c>
      <c r="BU43" s="300" t="str">
        <f>IFERROR(CONCATENATE(ROUND(BA_Station_Scale_in_x*STN_GAP*Tools!AD7,3),",",ROUND(DEPTH*BA_Y_scale_of_WL,3)," "),"")</f>
        <v xml:space="preserve">14.62,26 </v>
      </c>
      <c r="BV43" s="313" t="str">
        <f t="shared" si="80"/>
        <v xml:space="preserve">Line 14.62,0 14.62,26  </v>
      </c>
      <c r="BW43" s="300"/>
      <c r="BX43" s="312" t="str">
        <f>IFERROR(CONCATENATE("0,",ROUND(BA_Y_scale_of_WL*WLS*Tools!AP43,3)," "),"")</f>
        <v xml:space="preserve">0,4 </v>
      </c>
      <c r="BY43" s="300" t="str">
        <f>IFERROR(CONCATENATE(LBP,",",ROUND(BA_Y_scale_of_WL*WLS*Tools!AP43,3)," "),"")</f>
        <v xml:space="preserve">146.2,4 </v>
      </c>
      <c r="BZ43" s="313" t="str">
        <f t="shared" si="81"/>
        <v xml:space="preserve">Line 0,4 146.2,4  </v>
      </c>
      <c r="CA43" s="280"/>
      <c r="CB43" s="314">
        <v>4</v>
      </c>
      <c r="CC43" s="315" t="str">
        <f t="shared" si="82"/>
        <v xml:space="preserve">Line 0,2 20,2  </v>
      </c>
      <c r="CD43" s="316" t="str">
        <f t="shared" si="83"/>
        <v xml:space="preserve">Line 4,0 4,13  </v>
      </c>
      <c r="CG43" s="265"/>
      <c r="CH43" s="265"/>
      <c r="CI43" s="265"/>
      <c r="CJ43" s="265"/>
      <c r="CK43" s="268">
        <f t="shared" si="37"/>
        <v>11</v>
      </c>
      <c r="CL43" s="269">
        <f t="shared" si="84"/>
        <v>11</v>
      </c>
      <c r="CM43" s="269">
        <f t="shared" si="85"/>
        <v>11.001167065663475</v>
      </c>
      <c r="CN43" s="269">
        <f t="shared" si="86"/>
        <v>11.004810761513907</v>
      </c>
      <c r="CO43" s="269">
        <f t="shared" si="87"/>
        <v>11.010989227086183</v>
      </c>
      <c r="CP43" s="269">
        <f t="shared" si="88"/>
        <v>11.019756801945585</v>
      </c>
      <c r="CQ43" s="269">
        <f t="shared" si="89"/>
        <v>11.079948320413436</v>
      </c>
      <c r="CR43" s="269">
        <f t="shared" si="90"/>
        <v>11.180267517859857</v>
      </c>
      <c r="CS43" s="269">
        <f t="shared" si="91"/>
        <v>11.320714394284845</v>
      </c>
      <c r="CT43" s="269">
        <f t="shared" si="92"/>
        <v>11.471644626842986</v>
      </c>
      <c r="CU43" s="269">
        <f t="shared" si="93"/>
        <v>11.501288949688403</v>
      </c>
      <c r="CV43" s="269">
        <f t="shared" si="94"/>
        <v>11.721991184070527</v>
      </c>
      <c r="CW43" s="269">
        <f t="shared" si="95"/>
        <v>11.847390180878554</v>
      </c>
      <c r="CX43" s="269" t="e">
        <f t="shared" si="96"/>
        <v>#VALUE!</v>
      </c>
      <c r="CY43" s="269" t="e">
        <f t="shared" si="97"/>
        <v>#VALUE!</v>
      </c>
      <c r="CZ43" s="269" t="e">
        <f t="shared" si="98"/>
        <v>#VALUE!</v>
      </c>
      <c r="DA43" s="269" t="e">
        <f t="shared" si="99"/>
        <v>#VALUE!</v>
      </c>
      <c r="DB43" s="269" t="e">
        <f t="shared" si="100"/>
        <v>#VALUE!</v>
      </c>
      <c r="DC43" s="269" t="e">
        <f t="shared" si="101"/>
        <v>#VALUE!</v>
      </c>
      <c r="DD43" s="269" t="e">
        <f t="shared" si="102"/>
        <v>#VALUE!</v>
      </c>
      <c r="DE43" s="269" t="e">
        <f t="shared" si="103"/>
        <v>#VALUE!</v>
      </c>
      <c r="DF43" s="269" t="e">
        <f t="shared" si="104"/>
        <v>#VALUE!</v>
      </c>
      <c r="DG43" s="269" t="e">
        <f t="shared" si="105"/>
        <v>#VALUE!</v>
      </c>
      <c r="DH43" s="269" t="e">
        <f t="shared" si="106"/>
        <v>#VALUE!</v>
      </c>
      <c r="DI43" s="269" t="e">
        <f t="shared" si="107"/>
        <v>#VALUE!</v>
      </c>
      <c r="DJ43" s="269" t="e">
        <f t="shared" si="108"/>
        <v>#VALUE!</v>
      </c>
    </row>
    <row r="44" spans="1:114" x14ac:dyDescent="0.25">
      <c r="B44" s="132" t="str">
        <f>Main!C5</f>
        <v>D</v>
      </c>
      <c r="D44" s="132">
        <f>VLOOKUP(B44,Main_Particulars,3,FALSE)</f>
        <v>13</v>
      </c>
      <c r="F44" s="317" t="s">
        <v>306</v>
      </c>
      <c r="L44" s="277"/>
      <c r="M44" s="280"/>
      <c r="N44" s="280"/>
      <c r="O44" s="280"/>
      <c r="P44" s="280"/>
      <c r="Q44" s="279"/>
      <c r="AP44" s="308">
        <v>2</v>
      </c>
      <c r="AR44" s="310" t="str">
        <f>IFERROR(CONCATENATE(STN_GAP*Tools!AD8,",0 "),"")</f>
        <v xml:space="preserve">21.93,0 </v>
      </c>
      <c r="AS44" s="269" t="str">
        <f>IFERROR(CONCATENATE(STN_GAP*Tools!AD8,",",DEPTH," "),"")</f>
        <v xml:space="preserve">21.93,13 </v>
      </c>
      <c r="AT44" s="297" t="str">
        <f t="shared" si="68"/>
        <v xml:space="preserve">Line 21.93,0 21.93,13  </v>
      </c>
      <c r="AU44" s="269"/>
      <c r="AV44" s="311" t="str">
        <f>IFERROR(CONCATENATE("0,",WLS*Tools!AP44," "),"")</f>
        <v xml:space="preserve">0,4 </v>
      </c>
      <c r="AW44" s="269" t="str">
        <f>IFERROR(CONCATENATE(LBP,",",WLS*Tools!AP44," "),"")</f>
        <v xml:space="preserve">146.2,4 </v>
      </c>
      <c r="AX44" s="297" t="str">
        <f t="shared" si="69"/>
        <v xml:space="preserve">Line 0,4 146.2,4  </v>
      </c>
      <c r="AY44" s="280"/>
      <c r="AZ44" s="269" t="str">
        <f t="shared" si="70"/>
        <v/>
      </c>
      <c r="BA44" s="269" t="str">
        <f t="shared" si="71"/>
        <v/>
      </c>
      <c r="BB44" s="297" t="str">
        <f t="shared" si="67"/>
        <v/>
      </c>
      <c r="BC44" s="269"/>
      <c r="BD44" s="269" t="str">
        <f>IFERROR(CONCATENATE(STN_GAP*Tools!AD8,",",ROUND(Y_Shift_HB,3)," "),"")</f>
        <v xml:space="preserve">21.93,-16.833 </v>
      </c>
      <c r="BE44" s="269" t="str">
        <f>IFERROR(CONCATENATE(STN_GAP*Tools!AD8,",",ROUND(Y_Shift_HB+BREADTH/2,3)," "),"")</f>
        <v xml:space="preserve">21.93,-5.833 </v>
      </c>
      <c r="BF44" s="297" t="str">
        <f t="shared" si="72"/>
        <v xml:space="preserve">Line 21.93,-16.833 21.93,-5.833  </v>
      </c>
      <c r="BG44" s="280"/>
      <c r="BH44" s="269" t="str">
        <f>IFERROR(CONCATENATE(ROUND(X_SHIFT_BP-BREADTH/2,3),",",ROUND(WLS*Tools!AP44,3)," "),"")</f>
        <v xml:space="preserve">157.91,4 </v>
      </c>
      <c r="BI44" s="269" t="str">
        <f>IFERROR(CONCATENATE(ROUND(X_SHIFT_BP+BREADTH/2,3),",",ROUND(WLS*Tools!AP44,3)," "),"")</f>
        <v xml:space="preserve">179.91,4 </v>
      </c>
      <c r="BJ44" s="297" t="str">
        <f t="shared" si="73"/>
        <v xml:space="preserve">Line 157.91,4 179.91,4  </v>
      </c>
      <c r="BK44" s="269"/>
      <c r="BL44" s="269" t="str">
        <f t="shared" si="74"/>
        <v/>
      </c>
      <c r="BM44" s="269" t="str">
        <f t="shared" si="75"/>
        <v/>
      </c>
      <c r="BN44" s="297" t="str">
        <f t="shared" si="76"/>
        <v/>
      </c>
      <c r="BO44" s="269"/>
      <c r="BP44" s="269" t="str">
        <f t="shared" si="77"/>
        <v/>
      </c>
      <c r="BQ44" s="269" t="str">
        <f t="shared" si="78"/>
        <v/>
      </c>
      <c r="BR44" s="297" t="str">
        <f t="shared" si="79"/>
        <v/>
      </c>
      <c r="BS44" s="280"/>
      <c r="BT44" s="312" t="str">
        <f>IFERROR(CONCATENATE(ROUND(BA_Station_Scale_in_x*STN_GAP*Tools!AD8,3),",0 "),"")</f>
        <v xml:space="preserve">21.93,0 </v>
      </c>
      <c r="BU44" s="300" t="str">
        <f>IFERROR(CONCATENATE(ROUND(BA_Station_Scale_in_x*STN_GAP*Tools!AD8,3),",",ROUND(DEPTH*BA_Y_scale_of_WL,3)," "),"")</f>
        <v xml:space="preserve">21.93,26 </v>
      </c>
      <c r="BV44" s="313" t="str">
        <f t="shared" si="80"/>
        <v xml:space="preserve">Line 21.93,0 21.93,26  </v>
      </c>
      <c r="BW44" s="300"/>
      <c r="BX44" s="312" t="str">
        <f>IFERROR(CONCATENATE("0,",ROUND(BA_Y_scale_of_WL*WLS*Tools!AP44,3)," "),"")</f>
        <v xml:space="preserve">0,8 </v>
      </c>
      <c r="BY44" s="300" t="str">
        <f>IFERROR(CONCATENATE(LBP,",",ROUND(BA_Y_scale_of_WL*WLS*Tools!AP44,3)," "),"")</f>
        <v xml:space="preserve">146.2,8 </v>
      </c>
      <c r="BZ44" s="313" t="str">
        <f t="shared" si="81"/>
        <v xml:space="preserve">Line 0,8 146.2,8  </v>
      </c>
      <c r="CA44" s="280"/>
      <c r="CB44" s="315">
        <v>5</v>
      </c>
      <c r="CC44" s="315" t="str">
        <f t="shared" si="82"/>
        <v xml:space="preserve">Line 0,4 20,4  </v>
      </c>
      <c r="CD44" s="316" t="str">
        <f t="shared" si="83"/>
        <v xml:space="preserve">Line 5,0 5,13  </v>
      </c>
      <c r="CG44" s="265"/>
      <c r="CH44" s="265"/>
      <c r="CI44" s="265"/>
      <c r="CJ44" s="265"/>
      <c r="CK44" s="268">
        <f t="shared" si="37"/>
        <v>12</v>
      </c>
      <c r="CL44" s="269">
        <f t="shared" si="84"/>
        <v>12</v>
      </c>
      <c r="CM44" s="269">
        <f t="shared" si="85"/>
        <v>12.001167065663475</v>
      </c>
      <c r="CN44" s="269">
        <f t="shared" si="86"/>
        <v>12.004810761513907</v>
      </c>
      <c r="CO44" s="269">
        <f t="shared" si="87"/>
        <v>12.010989227086183</v>
      </c>
      <c r="CP44" s="269">
        <f t="shared" si="88"/>
        <v>12.019756801945585</v>
      </c>
      <c r="CQ44" s="269">
        <f t="shared" si="89"/>
        <v>12.079948320413436</v>
      </c>
      <c r="CR44" s="269">
        <f t="shared" si="90"/>
        <v>12.180267517859857</v>
      </c>
      <c r="CS44" s="269">
        <f t="shared" si="91"/>
        <v>12.320714394284845</v>
      </c>
      <c r="CT44" s="269">
        <f t="shared" si="92"/>
        <v>12.471644626842986</v>
      </c>
      <c r="CU44" s="269">
        <f t="shared" si="93"/>
        <v>12.501288949688403</v>
      </c>
      <c r="CV44" s="269">
        <f t="shared" si="94"/>
        <v>12.721991184070527</v>
      </c>
      <c r="CW44" s="269">
        <f t="shared" si="95"/>
        <v>12.847390180878554</v>
      </c>
      <c r="CX44" s="269" t="e">
        <f t="shared" si="96"/>
        <v>#VALUE!</v>
      </c>
      <c r="CY44" s="269" t="e">
        <f t="shared" si="97"/>
        <v>#VALUE!</v>
      </c>
      <c r="CZ44" s="269" t="e">
        <f t="shared" si="98"/>
        <v>#VALUE!</v>
      </c>
      <c r="DA44" s="269" t="e">
        <f t="shared" si="99"/>
        <v>#VALUE!</v>
      </c>
      <c r="DB44" s="269" t="e">
        <f t="shared" si="100"/>
        <v>#VALUE!</v>
      </c>
      <c r="DC44" s="269" t="e">
        <f t="shared" si="101"/>
        <v>#VALUE!</v>
      </c>
      <c r="DD44" s="269" t="e">
        <f t="shared" si="102"/>
        <v>#VALUE!</v>
      </c>
      <c r="DE44" s="269" t="e">
        <f t="shared" si="103"/>
        <v>#VALUE!</v>
      </c>
      <c r="DF44" s="269" t="e">
        <f t="shared" si="104"/>
        <v>#VALUE!</v>
      </c>
      <c r="DG44" s="269" t="e">
        <f t="shared" si="105"/>
        <v>#VALUE!</v>
      </c>
      <c r="DH44" s="269" t="e">
        <f t="shared" si="106"/>
        <v>#VALUE!</v>
      </c>
      <c r="DI44" s="269" t="e">
        <f t="shared" si="107"/>
        <v>#VALUE!</v>
      </c>
      <c r="DJ44" s="269" t="e">
        <f t="shared" si="108"/>
        <v>#VALUE!</v>
      </c>
    </row>
    <row r="45" spans="1:114" x14ac:dyDescent="0.25">
      <c r="B45" s="132" t="str">
        <f>Main!C6</f>
        <v>T</v>
      </c>
      <c r="D45" s="132">
        <f>VLOOKUP(B45,Main_Particulars,3,FALSE)</f>
        <v>9.6999999999999993</v>
      </c>
      <c r="F45" s="132">
        <f>MAX(B1:Z1)*WLS</f>
        <v>13</v>
      </c>
      <c r="L45" s="318">
        <v>3</v>
      </c>
      <c r="M45" s="319"/>
      <c r="N45" s="319"/>
      <c r="O45" s="280"/>
      <c r="P45" s="280"/>
      <c r="Q45" s="279"/>
      <c r="AP45" s="308">
        <v>3</v>
      </c>
      <c r="AR45" s="310" t="str">
        <f>IFERROR(CONCATENATE(STN_GAP*Tools!AD9,",0 "),"")</f>
        <v xml:space="preserve">29.24,0 </v>
      </c>
      <c r="AS45" s="269" t="str">
        <f>IFERROR(CONCATENATE(STN_GAP*Tools!AD9,",",DEPTH," "),"")</f>
        <v xml:space="preserve">29.24,13 </v>
      </c>
      <c r="AT45" s="297" t="str">
        <f t="shared" si="68"/>
        <v xml:space="preserve">Line 29.24,0 29.24,13  </v>
      </c>
      <c r="AU45" s="269"/>
      <c r="AV45" s="311" t="str">
        <f>IFERROR(CONCATENATE("0,",WLS*Tools!AP45," "),"")</f>
        <v xml:space="preserve">0,6 </v>
      </c>
      <c r="AW45" s="269" t="str">
        <f>IFERROR(CONCATENATE(LBP,",",WLS*Tools!AP45," "),"")</f>
        <v xml:space="preserve">146.2,6 </v>
      </c>
      <c r="AX45" s="297" t="str">
        <f t="shared" si="69"/>
        <v xml:space="preserve">Line 0,6 146.2,6  </v>
      </c>
      <c r="AY45" s="280"/>
      <c r="AZ45" s="269" t="str">
        <f t="shared" si="70"/>
        <v/>
      </c>
      <c r="BA45" s="269" t="str">
        <f t="shared" si="71"/>
        <v/>
      </c>
      <c r="BB45" s="297" t="str">
        <f t="shared" si="67"/>
        <v/>
      </c>
      <c r="BC45" s="269"/>
      <c r="BD45" s="269" t="str">
        <f>IFERROR(CONCATENATE(STN_GAP*Tools!AD9,",",ROUND(Y_Shift_HB,3)," "),"")</f>
        <v xml:space="preserve">29.24,-16.833 </v>
      </c>
      <c r="BE45" s="269" t="str">
        <f>IFERROR(CONCATENATE(STN_GAP*Tools!AD9,",",ROUND(Y_Shift_HB+BREADTH/2,3)," "),"")</f>
        <v xml:space="preserve">29.24,-5.833 </v>
      </c>
      <c r="BF45" s="297" t="str">
        <f t="shared" si="72"/>
        <v xml:space="preserve">Line 29.24,-16.833 29.24,-5.833  </v>
      </c>
      <c r="BG45" s="280"/>
      <c r="BH45" s="269" t="str">
        <f>IFERROR(CONCATENATE(ROUND(X_SHIFT_BP-BREADTH/2,3),",",ROUND(WLS*Tools!AP45,3)," "),"")</f>
        <v xml:space="preserve">157.91,6 </v>
      </c>
      <c r="BI45" s="269" t="str">
        <f>IFERROR(CONCATENATE(ROUND(X_SHIFT_BP+BREADTH/2,3),",",ROUND(WLS*Tools!AP45,3)," "),"")</f>
        <v xml:space="preserve">179.91,6 </v>
      </c>
      <c r="BJ45" s="297" t="str">
        <f t="shared" si="73"/>
        <v xml:space="preserve">Line 157.91,6 179.91,6  </v>
      </c>
      <c r="BK45" s="269"/>
      <c r="BL45" s="269" t="str">
        <f t="shared" si="74"/>
        <v/>
      </c>
      <c r="BM45" s="269" t="str">
        <f t="shared" si="75"/>
        <v/>
      </c>
      <c r="BN45" s="297" t="str">
        <f t="shared" si="76"/>
        <v/>
      </c>
      <c r="BO45" s="269"/>
      <c r="BP45" s="269" t="str">
        <f t="shared" si="77"/>
        <v/>
      </c>
      <c r="BQ45" s="269" t="str">
        <f t="shared" si="78"/>
        <v/>
      </c>
      <c r="BR45" s="297" t="str">
        <f t="shared" si="79"/>
        <v/>
      </c>
      <c r="BS45" s="280"/>
      <c r="BT45" s="312" t="str">
        <f>IFERROR(CONCATENATE(ROUND(BA_Station_Scale_in_x*STN_GAP*Tools!AD9,3),",0 "),"")</f>
        <v xml:space="preserve">29.24,0 </v>
      </c>
      <c r="BU45" s="300" t="str">
        <f>IFERROR(CONCATENATE(ROUND(BA_Station_Scale_in_x*STN_GAP*Tools!AD9,3),",",ROUND(DEPTH*BA_Y_scale_of_WL,3)," "),"")</f>
        <v xml:space="preserve">29.24,26 </v>
      </c>
      <c r="BV45" s="313" t="str">
        <f t="shared" si="80"/>
        <v xml:space="preserve">Line 29.24,0 29.24,26  </v>
      </c>
      <c r="BW45" s="300"/>
      <c r="BX45" s="312" t="str">
        <f>IFERROR(CONCATENATE("0,",ROUND(BA_Y_scale_of_WL*WLS*Tools!AP45,3)," "),"")</f>
        <v xml:space="preserve">0,12 </v>
      </c>
      <c r="BY45" s="300" t="str">
        <f>IFERROR(CONCATENATE(LBP,",",ROUND(BA_Y_scale_of_WL*WLS*Tools!AP45,3)," "),"")</f>
        <v xml:space="preserve">146.2,12 </v>
      </c>
      <c r="BZ45" s="313" t="str">
        <f t="shared" si="81"/>
        <v xml:space="preserve">Line 0,12 146.2,12  </v>
      </c>
      <c r="CA45" s="280"/>
      <c r="CB45" s="314">
        <v>6</v>
      </c>
      <c r="CC45" s="315" t="str">
        <f t="shared" si="82"/>
        <v xml:space="preserve">Line 0,6 20,6  </v>
      </c>
      <c r="CD45" s="316" t="str">
        <f t="shared" si="83"/>
        <v xml:space="preserve">Line 6,0 6,13  </v>
      </c>
      <c r="CG45" s="265"/>
      <c r="CH45" s="265"/>
      <c r="CI45" s="265"/>
      <c r="CJ45" s="265"/>
      <c r="CK45" s="268">
        <f t="shared" si="37"/>
        <v>13</v>
      </c>
      <c r="CL45" s="269">
        <f t="shared" si="84"/>
        <v>13</v>
      </c>
      <c r="CM45" s="269">
        <f t="shared" si="85"/>
        <v>13.001167065663475</v>
      </c>
      <c r="CN45" s="269">
        <f t="shared" si="86"/>
        <v>13.004810761513907</v>
      </c>
      <c r="CO45" s="269">
        <f t="shared" si="87"/>
        <v>13.010989227086183</v>
      </c>
      <c r="CP45" s="269">
        <f t="shared" si="88"/>
        <v>13.019756801945585</v>
      </c>
      <c r="CQ45" s="269">
        <f t="shared" si="89"/>
        <v>13.079948320413436</v>
      </c>
      <c r="CR45" s="269">
        <f t="shared" si="90"/>
        <v>13.180267517859857</v>
      </c>
      <c r="CS45" s="269">
        <f t="shared" si="91"/>
        <v>13.320714394284845</v>
      </c>
      <c r="CT45" s="269">
        <f t="shared" si="92"/>
        <v>13.471644626842986</v>
      </c>
      <c r="CU45" s="269">
        <f t="shared" si="93"/>
        <v>13.501288949688403</v>
      </c>
      <c r="CV45" s="269">
        <f t="shared" si="94"/>
        <v>13.721991184070527</v>
      </c>
      <c r="CW45" s="269">
        <f t="shared" si="95"/>
        <v>13.847390180878554</v>
      </c>
      <c r="CX45" s="269" t="e">
        <f t="shared" si="96"/>
        <v>#VALUE!</v>
      </c>
      <c r="CY45" s="269" t="e">
        <f t="shared" si="97"/>
        <v>#VALUE!</v>
      </c>
      <c r="CZ45" s="269" t="e">
        <f t="shared" si="98"/>
        <v>#VALUE!</v>
      </c>
      <c r="DA45" s="269" t="e">
        <f t="shared" si="99"/>
        <v>#VALUE!</v>
      </c>
      <c r="DB45" s="269" t="e">
        <f t="shared" si="100"/>
        <v>#VALUE!</v>
      </c>
      <c r="DC45" s="269" t="e">
        <f t="shared" si="101"/>
        <v>#VALUE!</v>
      </c>
      <c r="DD45" s="269" t="e">
        <f t="shared" si="102"/>
        <v>#VALUE!</v>
      </c>
      <c r="DE45" s="269" t="e">
        <f t="shared" si="103"/>
        <v>#VALUE!</v>
      </c>
      <c r="DF45" s="269" t="e">
        <f t="shared" si="104"/>
        <v>#VALUE!</v>
      </c>
      <c r="DG45" s="269" t="e">
        <f t="shared" si="105"/>
        <v>#VALUE!</v>
      </c>
      <c r="DH45" s="269" t="e">
        <f t="shared" si="106"/>
        <v>#VALUE!</v>
      </c>
      <c r="DI45" s="269" t="e">
        <f t="shared" si="107"/>
        <v>#VALUE!</v>
      </c>
      <c r="DJ45" s="269" t="e">
        <f t="shared" si="108"/>
        <v>#VALUE!</v>
      </c>
    </row>
    <row r="46" spans="1:114" x14ac:dyDescent="0.25">
      <c r="B46" s="132" t="str">
        <f>Main!C7</f>
        <v>WL SPACING</v>
      </c>
      <c r="D46" s="132">
        <f>VLOOKUP(B46,Main_Particulars,3,FALSE)</f>
        <v>2</v>
      </c>
      <c r="F46" s="317"/>
      <c r="L46" s="277"/>
      <c r="M46" s="280"/>
      <c r="N46" s="280"/>
      <c r="O46" s="280"/>
      <c r="P46" s="280"/>
      <c r="Q46" s="279"/>
      <c r="AP46" s="308">
        <v>4</v>
      </c>
      <c r="AR46" s="310" t="str">
        <f>IFERROR(CONCATENATE(STN_GAP*Tools!AD10,",0 "),"")</f>
        <v xml:space="preserve">36.55,0 </v>
      </c>
      <c r="AS46" s="269" t="str">
        <f>IFERROR(CONCATENATE(STN_GAP*Tools!AD10,",",DEPTH," "),"")</f>
        <v xml:space="preserve">36.55,13 </v>
      </c>
      <c r="AT46" s="297" t="str">
        <f t="shared" si="68"/>
        <v xml:space="preserve">Line 36.55,0 36.55,13  </v>
      </c>
      <c r="AU46" s="269"/>
      <c r="AV46" s="311" t="str">
        <f>IFERROR(CONCATENATE("0,",WLS*Tools!AP46," "),"")</f>
        <v xml:space="preserve">0,8 </v>
      </c>
      <c r="AW46" s="269" t="str">
        <f>IFERROR(CONCATENATE(LBP,",",WLS*Tools!AP46," "),"")</f>
        <v xml:space="preserve">146.2,8 </v>
      </c>
      <c r="AX46" s="297" t="str">
        <f t="shared" si="69"/>
        <v xml:space="preserve">Line 0,8 146.2,8  </v>
      </c>
      <c r="AY46" s="280"/>
      <c r="AZ46" s="269" t="str">
        <f t="shared" si="70"/>
        <v/>
      </c>
      <c r="BA46" s="269" t="str">
        <f t="shared" si="71"/>
        <v/>
      </c>
      <c r="BB46" s="297" t="str">
        <f t="shared" si="67"/>
        <v/>
      </c>
      <c r="BC46" s="269"/>
      <c r="BD46" s="269" t="str">
        <f>IFERROR(CONCATENATE(STN_GAP*Tools!AD10,",",ROUND(Y_Shift_HB,3)," "),"")</f>
        <v xml:space="preserve">36.55,-16.833 </v>
      </c>
      <c r="BE46" s="269" t="str">
        <f>IFERROR(CONCATENATE(STN_GAP*Tools!AD10,",",ROUND(Y_Shift_HB+BREADTH/2,3)," "),"")</f>
        <v xml:space="preserve">36.55,-5.833 </v>
      </c>
      <c r="BF46" s="297" t="str">
        <f t="shared" si="72"/>
        <v xml:space="preserve">Line 36.55,-16.833 36.55,-5.833  </v>
      </c>
      <c r="BG46" s="280"/>
      <c r="BH46" s="269" t="str">
        <f>IFERROR(CONCATENATE(ROUND(X_SHIFT_BP-BREADTH/2,3),",",ROUND(WLS*Tools!AP46,3)," "),"")</f>
        <v xml:space="preserve">157.91,8 </v>
      </c>
      <c r="BI46" s="269" t="str">
        <f>IFERROR(CONCATENATE(ROUND(X_SHIFT_BP+BREADTH/2,3),",",ROUND(WLS*Tools!AP46,3)," "),"")</f>
        <v xml:space="preserve">179.91,8 </v>
      </c>
      <c r="BJ46" s="297" t="str">
        <f t="shared" si="73"/>
        <v xml:space="preserve">Line 157.91,8 179.91,8  </v>
      </c>
      <c r="BK46" s="269"/>
      <c r="BL46" s="269" t="str">
        <f t="shared" si="74"/>
        <v/>
      </c>
      <c r="BM46" s="269" t="str">
        <f t="shared" si="75"/>
        <v/>
      </c>
      <c r="BN46" s="297" t="str">
        <f t="shared" si="76"/>
        <v/>
      </c>
      <c r="BO46" s="269"/>
      <c r="BP46" s="269" t="str">
        <f t="shared" si="77"/>
        <v/>
      </c>
      <c r="BQ46" s="269" t="str">
        <f t="shared" si="78"/>
        <v/>
      </c>
      <c r="BR46" s="297" t="str">
        <f t="shared" si="79"/>
        <v/>
      </c>
      <c r="BS46" s="280"/>
      <c r="BT46" s="312" t="str">
        <f>IFERROR(CONCATENATE(ROUND(BA_Station_Scale_in_x*STN_GAP*Tools!AD10,3),",0 "),"")</f>
        <v xml:space="preserve">36.55,0 </v>
      </c>
      <c r="BU46" s="300" t="str">
        <f>IFERROR(CONCATENATE(ROUND(BA_Station_Scale_in_x*STN_GAP*Tools!AD10,3),",",ROUND(DEPTH*BA_Y_scale_of_WL,3)," "),"")</f>
        <v xml:space="preserve">36.55,26 </v>
      </c>
      <c r="BV46" s="313" t="str">
        <f t="shared" si="80"/>
        <v xml:space="preserve">Line 36.55,0 36.55,26  </v>
      </c>
      <c r="BW46" s="300"/>
      <c r="BX46" s="312" t="str">
        <f>IFERROR(CONCATENATE("0,",ROUND(BA_Y_scale_of_WL*WLS*Tools!AP46,3)," "),"")</f>
        <v xml:space="preserve">0,16 </v>
      </c>
      <c r="BY46" s="300" t="str">
        <f>IFERROR(CONCATENATE(LBP,",",ROUND(BA_Y_scale_of_WL*WLS*Tools!AP46,3)," "),"")</f>
        <v xml:space="preserve">146.2,16 </v>
      </c>
      <c r="BZ46" s="313" t="str">
        <f t="shared" si="81"/>
        <v xml:space="preserve">Line 0,16 146.2,16  </v>
      </c>
      <c r="CA46" s="280"/>
      <c r="CB46" s="315">
        <v>7</v>
      </c>
      <c r="CC46" s="315" t="str">
        <f t="shared" si="82"/>
        <v xml:space="preserve">Line 0,8 20,8  </v>
      </c>
      <c r="CD46" s="316" t="str">
        <f t="shared" si="83"/>
        <v xml:space="preserve">Line 7,0 7,13  </v>
      </c>
      <c r="CG46" s="265"/>
      <c r="CH46" s="265"/>
      <c r="CI46" s="265"/>
      <c r="CJ46" s="265"/>
      <c r="CK46" s="268">
        <f t="shared" si="37"/>
        <v>14</v>
      </c>
      <c r="CL46" s="269">
        <f t="shared" si="84"/>
        <v>14</v>
      </c>
      <c r="CM46" s="269">
        <f t="shared" si="85"/>
        <v>14.001149870801033</v>
      </c>
      <c r="CN46" s="269">
        <f t="shared" si="86"/>
        <v>14.004757561939504</v>
      </c>
      <c r="CO46" s="269">
        <f t="shared" si="87"/>
        <v>14.010893752849977</v>
      </c>
      <c r="CP46" s="269">
        <f t="shared" si="88"/>
        <v>14.019635202918376</v>
      </c>
      <c r="CQ46" s="269">
        <f t="shared" si="89"/>
        <v>14.07982672138623</v>
      </c>
      <c r="CR46" s="269">
        <f t="shared" si="90"/>
        <v>14.180145918832649</v>
      </c>
      <c r="CS46" s="269">
        <f t="shared" si="91"/>
        <v>14.320592795257639</v>
      </c>
      <c r="CT46" s="269">
        <f t="shared" si="92"/>
        <v>14.471523027815778</v>
      </c>
      <c r="CU46" s="269">
        <f t="shared" si="93"/>
        <v>14.501167350661195</v>
      </c>
      <c r="CV46" s="269">
        <f t="shared" si="94"/>
        <v>14.72186958504332</v>
      </c>
      <c r="CW46" s="269">
        <f t="shared" si="95"/>
        <v>14.847268581851345</v>
      </c>
      <c r="CX46" s="269" t="e">
        <f t="shared" si="96"/>
        <v>#VALUE!</v>
      </c>
      <c r="CY46" s="269" t="e">
        <f t="shared" si="97"/>
        <v>#VALUE!</v>
      </c>
      <c r="CZ46" s="269" t="e">
        <f t="shared" si="98"/>
        <v>#VALUE!</v>
      </c>
      <c r="DA46" s="269" t="e">
        <f t="shared" si="99"/>
        <v>#VALUE!</v>
      </c>
      <c r="DB46" s="269" t="e">
        <f t="shared" si="100"/>
        <v>#VALUE!</v>
      </c>
      <c r="DC46" s="269" t="e">
        <f t="shared" si="101"/>
        <v>#VALUE!</v>
      </c>
      <c r="DD46" s="269" t="e">
        <f t="shared" si="102"/>
        <v>#VALUE!</v>
      </c>
      <c r="DE46" s="269" t="e">
        <f t="shared" si="103"/>
        <v>#VALUE!</v>
      </c>
      <c r="DF46" s="269" t="e">
        <f t="shared" si="104"/>
        <v>#VALUE!</v>
      </c>
      <c r="DG46" s="269" t="e">
        <f t="shared" si="105"/>
        <v>#VALUE!</v>
      </c>
      <c r="DH46" s="269" t="e">
        <f t="shared" si="106"/>
        <v>#VALUE!</v>
      </c>
      <c r="DI46" s="269" t="e">
        <f t="shared" si="107"/>
        <v>#VALUE!</v>
      </c>
      <c r="DJ46" s="269" t="e">
        <f t="shared" si="108"/>
        <v>#VALUE!</v>
      </c>
    </row>
    <row r="47" spans="1:114" x14ac:dyDescent="0.25">
      <c r="B47" s="320" t="s">
        <v>250</v>
      </c>
      <c r="C47" s="320"/>
      <c r="D47" s="132">
        <f>MAX(Tools!A2:A26)</f>
        <v>20</v>
      </c>
      <c r="L47" s="321">
        <v>2</v>
      </c>
      <c r="M47" s="322"/>
      <c r="N47" s="322"/>
      <c r="O47" s="280"/>
      <c r="P47" s="280"/>
      <c r="Q47" s="469">
        <v>2</v>
      </c>
      <c r="AP47" s="308">
        <v>4.8499999999999996</v>
      </c>
      <c r="AR47" s="310" t="str">
        <f>IFERROR(CONCATENATE(STN_GAP*Tools!AD11,",0 "),"")</f>
        <v xml:space="preserve">43.86,0 </v>
      </c>
      <c r="AS47" s="269" t="str">
        <f>IFERROR(CONCATENATE(STN_GAP*Tools!AD11,",",DEPTH," "),"")</f>
        <v xml:space="preserve">43.86,13 </v>
      </c>
      <c r="AT47" s="297" t="str">
        <f t="shared" si="68"/>
        <v xml:space="preserve">Line 43.86,0 43.86,13  </v>
      </c>
      <c r="AU47" s="269"/>
      <c r="AV47" s="311" t="str">
        <f>IFERROR(CONCATENATE("0,",WLS*Tools!AP47," "),"")</f>
        <v xml:space="preserve">0,9.7 </v>
      </c>
      <c r="AW47" s="269" t="str">
        <f>IFERROR(CONCATENATE(LBP,",",WLS*Tools!AP47," "),"")</f>
        <v xml:space="preserve">146.2,9.7 </v>
      </c>
      <c r="AX47" s="297" t="str">
        <f t="shared" si="69"/>
        <v xml:space="preserve">Line 0,9.7 146.2,9.7  </v>
      </c>
      <c r="AY47" s="280"/>
      <c r="AZ47" s="269" t="str">
        <f t="shared" si="70"/>
        <v/>
      </c>
      <c r="BA47" s="269" t="str">
        <f t="shared" si="71"/>
        <v/>
      </c>
      <c r="BB47" s="297" t="str">
        <f t="shared" si="67"/>
        <v/>
      </c>
      <c r="BC47" s="269"/>
      <c r="BD47" s="269" t="str">
        <f>IFERROR(CONCATENATE(STN_GAP*Tools!AD11,",",ROUND(Y_Shift_HB,3)," "),"")</f>
        <v xml:space="preserve">43.86,-16.833 </v>
      </c>
      <c r="BE47" s="269" t="str">
        <f>IFERROR(CONCATENATE(STN_GAP*Tools!AD11,",",ROUND(Y_Shift_HB+BREADTH/2,3)," "),"")</f>
        <v xml:space="preserve">43.86,-5.833 </v>
      </c>
      <c r="BF47" s="297" t="str">
        <f t="shared" si="72"/>
        <v xml:space="preserve">Line 43.86,-16.833 43.86,-5.833  </v>
      </c>
      <c r="BG47" s="280"/>
      <c r="BH47" s="269" t="str">
        <f>IFERROR(CONCATENATE(ROUND(X_SHIFT_BP-BREADTH/2,3),",",ROUND(WLS*Tools!AP47,3)," "),"")</f>
        <v xml:space="preserve">157.91,9.7 </v>
      </c>
      <c r="BI47" s="269" t="str">
        <f>IFERROR(CONCATENATE(ROUND(X_SHIFT_BP+BREADTH/2,3),",",ROUND(WLS*Tools!AP47,3)," "),"")</f>
        <v xml:space="preserve">179.91,9.7 </v>
      </c>
      <c r="BJ47" s="297" t="str">
        <f t="shared" si="73"/>
        <v xml:space="preserve">Line 157.91,9.7 179.91,9.7  </v>
      </c>
      <c r="BK47" s="269"/>
      <c r="BL47" s="269" t="str">
        <f t="shared" si="74"/>
        <v/>
      </c>
      <c r="BM47" s="269" t="str">
        <f t="shared" si="75"/>
        <v/>
      </c>
      <c r="BN47" s="297" t="str">
        <f t="shared" si="76"/>
        <v/>
      </c>
      <c r="BO47" s="269"/>
      <c r="BP47" s="269" t="str">
        <f t="shared" si="77"/>
        <v/>
      </c>
      <c r="BQ47" s="269" t="str">
        <f t="shared" si="78"/>
        <v/>
      </c>
      <c r="BR47" s="297" t="str">
        <f t="shared" si="79"/>
        <v/>
      </c>
      <c r="BS47" s="280"/>
      <c r="BT47" s="312" t="str">
        <f>IFERROR(CONCATENATE(ROUND(BA_Station_Scale_in_x*STN_GAP*Tools!AD11,3),",0 "),"")</f>
        <v xml:space="preserve">43.86,0 </v>
      </c>
      <c r="BU47" s="300" t="str">
        <f>IFERROR(CONCATENATE(ROUND(BA_Station_Scale_in_x*STN_GAP*Tools!AD11,3),",",ROUND(DEPTH*BA_Y_scale_of_WL,3)," "),"")</f>
        <v xml:space="preserve">43.86,26 </v>
      </c>
      <c r="BV47" s="313" t="str">
        <f t="shared" si="80"/>
        <v xml:space="preserve">Line 43.86,0 43.86,26  </v>
      </c>
      <c r="BW47" s="300"/>
      <c r="BX47" s="312" t="str">
        <f>IFERROR(CONCATENATE("0,",ROUND(BA_Y_scale_of_WL*WLS*Tools!AP47,3)," "),"")</f>
        <v xml:space="preserve">0,19.4 </v>
      </c>
      <c r="BY47" s="300" t="str">
        <f>IFERROR(CONCATENATE(LBP,",",ROUND(BA_Y_scale_of_WL*WLS*Tools!AP47,3)," "),"")</f>
        <v xml:space="preserve">146.2,19.4 </v>
      </c>
      <c r="BZ47" s="313" t="str">
        <f t="shared" si="81"/>
        <v xml:space="preserve">Line 0,19.4 146.2,19.4  </v>
      </c>
      <c r="CA47" s="280"/>
      <c r="CB47" s="314">
        <v>8</v>
      </c>
      <c r="CC47" s="315" t="str">
        <f t="shared" si="82"/>
        <v xml:space="preserve">Line 0,9.7 20,9.7  </v>
      </c>
      <c r="CD47" s="316" t="str">
        <f t="shared" si="83"/>
        <v xml:space="preserve">Line 8,0 8,13  </v>
      </c>
      <c r="CG47" s="265"/>
      <c r="CH47" s="265"/>
      <c r="CI47" s="265"/>
      <c r="CJ47" s="265"/>
      <c r="CK47" s="268">
        <f t="shared" si="37"/>
        <v>15</v>
      </c>
      <c r="CL47" s="269">
        <f t="shared" si="84"/>
        <v>15</v>
      </c>
      <c r="CM47" s="269">
        <f t="shared" si="85"/>
        <v>15.001083941328469</v>
      </c>
      <c r="CN47" s="269">
        <f t="shared" si="86"/>
        <v>15.004517403860769</v>
      </c>
      <c r="CO47" s="269">
        <f t="shared" si="87"/>
        <v>15.010421226630188</v>
      </c>
      <c r="CP47" s="269">
        <f t="shared" si="88"/>
        <v>15.018896488828089</v>
      </c>
      <c r="CQ47" s="269">
        <f t="shared" si="89"/>
        <v>15.078495212038304</v>
      </c>
      <c r="CR47" s="269">
        <f t="shared" si="90"/>
        <v>15.179042407660738</v>
      </c>
      <c r="CS47" s="269">
        <f t="shared" si="91"/>
        <v>15.319261285909713</v>
      </c>
      <c r="CT47" s="269">
        <f t="shared" si="92"/>
        <v>15.470191518467852</v>
      </c>
      <c r="CU47" s="269">
        <f t="shared" si="93"/>
        <v>15.500063839489284</v>
      </c>
      <c r="CV47" s="269">
        <f t="shared" si="94"/>
        <v>15.720538075695394</v>
      </c>
      <c r="CW47" s="269">
        <f t="shared" si="95"/>
        <v>15.845937072503419</v>
      </c>
      <c r="CX47" s="269" t="e">
        <f t="shared" si="96"/>
        <v>#VALUE!</v>
      </c>
      <c r="CY47" s="269" t="e">
        <f t="shared" si="97"/>
        <v>#VALUE!</v>
      </c>
      <c r="CZ47" s="269" t="e">
        <f t="shared" si="98"/>
        <v>#VALUE!</v>
      </c>
      <c r="DA47" s="269" t="e">
        <f t="shared" si="99"/>
        <v>#VALUE!</v>
      </c>
      <c r="DB47" s="269" t="e">
        <f t="shared" si="100"/>
        <v>#VALUE!</v>
      </c>
      <c r="DC47" s="269" t="e">
        <f t="shared" si="101"/>
        <v>#VALUE!</v>
      </c>
      <c r="DD47" s="269" t="e">
        <f t="shared" si="102"/>
        <v>#VALUE!</v>
      </c>
      <c r="DE47" s="269" t="e">
        <f t="shared" si="103"/>
        <v>#VALUE!</v>
      </c>
      <c r="DF47" s="269" t="e">
        <f t="shared" si="104"/>
        <v>#VALUE!</v>
      </c>
      <c r="DG47" s="269" t="e">
        <f t="shared" si="105"/>
        <v>#VALUE!</v>
      </c>
      <c r="DH47" s="269" t="e">
        <f t="shared" si="106"/>
        <v>#VALUE!</v>
      </c>
      <c r="DI47" s="269" t="e">
        <f t="shared" si="107"/>
        <v>#VALUE!</v>
      </c>
      <c r="DJ47" s="269" t="e">
        <f t="shared" si="108"/>
        <v>#VALUE!</v>
      </c>
    </row>
    <row r="48" spans="1:114" ht="15.75" thickBot="1" x14ac:dyDescent="0.3">
      <c r="B48" s="132" t="str">
        <f>Main!I2</f>
        <v>STN SPACING</v>
      </c>
      <c r="D48" s="132">
        <f>D42/D47</f>
        <v>7.31</v>
      </c>
      <c r="L48" s="277"/>
      <c r="M48" s="280"/>
      <c r="N48" s="280"/>
      <c r="O48" s="280"/>
      <c r="P48" s="280"/>
      <c r="Q48" s="469">
        <v>3</v>
      </c>
      <c r="AP48" s="308">
        <v>5</v>
      </c>
      <c r="AR48" s="310" t="str">
        <f>IFERROR(CONCATENATE(STN_GAP*Tools!AD12,",0 "),"")</f>
        <v xml:space="preserve">51.17,0 </v>
      </c>
      <c r="AS48" s="269" t="str">
        <f>IFERROR(CONCATENATE(STN_GAP*Tools!AD12,",",DEPTH," "),"")</f>
        <v xml:space="preserve">51.17,13 </v>
      </c>
      <c r="AT48" s="297" t="str">
        <f t="shared" si="68"/>
        <v xml:space="preserve">Line 51.17,0 51.17,13  </v>
      </c>
      <c r="AU48" s="269"/>
      <c r="AV48" s="311" t="str">
        <f>IFERROR(CONCATENATE("0,",WLS*Tools!AP48," "),"")</f>
        <v xml:space="preserve">0,10 </v>
      </c>
      <c r="AW48" s="269" t="str">
        <f>IFERROR(CONCATENATE(LBP,",",WLS*Tools!AP48," "),"")</f>
        <v xml:space="preserve">146.2,10 </v>
      </c>
      <c r="AX48" s="297" t="str">
        <f t="shared" si="69"/>
        <v xml:space="preserve">Line 0,10 146.2,10  </v>
      </c>
      <c r="AY48" s="280"/>
      <c r="AZ48" s="269" t="str">
        <f t="shared" si="70"/>
        <v/>
      </c>
      <c r="BA48" s="269" t="str">
        <f t="shared" si="71"/>
        <v/>
      </c>
      <c r="BB48" s="297" t="str">
        <f t="shared" si="67"/>
        <v/>
      </c>
      <c r="BC48" s="269"/>
      <c r="BD48" s="269" t="str">
        <f>IFERROR(CONCATENATE(STN_GAP*Tools!AD12,",",ROUND(Y_Shift_HB,3)," "),"")</f>
        <v xml:space="preserve">51.17,-16.833 </v>
      </c>
      <c r="BE48" s="269" t="str">
        <f>IFERROR(CONCATENATE(STN_GAP*Tools!AD12,",",ROUND(Y_Shift_HB+BREADTH/2,3)," "),"")</f>
        <v xml:space="preserve">51.17,-5.833 </v>
      </c>
      <c r="BF48" s="297" t="str">
        <f t="shared" si="72"/>
        <v xml:space="preserve">Line 51.17,-16.833 51.17,-5.833  </v>
      </c>
      <c r="BG48" s="280"/>
      <c r="BH48" s="269" t="str">
        <f>IFERROR(CONCATENATE(ROUND(X_SHIFT_BP-BREADTH/2,3),",",ROUND(WLS*Tools!AP48,3)," "),"")</f>
        <v xml:space="preserve">157.91,10 </v>
      </c>
      <c r="BI48" s="269" t="str">
        <f>IFERROR(CONCATENATE(ROUND(X_SHIFT_BP+BREADTH/2,3),",",ROUND(WLS*Tools!AP48,3)," "),"")</f>
        <v xml:space="preserve">179.91,10 </v>
      </c>
      <c r="BJ48" s="297" t="str">
        <f t="shared" si="73"/>
        <v xml:space="preserve">Line 157.91,10 179.91,10  </v>
      </c>
      <c r="BK48" s="269"/>
      <c r="BL48" s="269" t="str">
        <f t="shared" si="74"/>
        <v/>
      </c>
      <c r="BM48" s="269" t="str">
        <f t="shared" si="75"/>
        <v/>
      </c>
      <c r="BN48" s="297" t="str">
        <f t="shared" si="76"/>
        <v/>
      </c>
      <c r="BO48" s="269"/>
      <c r="BP48" s="269" t="str">
        <f t="shared" si="77"/>
        <v/>
      </c>
      <c r="BQ48" s="269" t="str">
        <f t="shared" si="78"/>
        <v/>
      </c>
      <c r="BR48" s="297" t="str">
        <f t="shared" si="79"/>
        <v/>
      </c>
      <c r="BS48" s="280"/>
      <c r="BT48" s="312" t="str">
        <f>IFERROR(CONCATENATE(ROUND(BA_Station_Scale_in_x*STN_GAP*Tools!AD12,3),",0 "),"")</f>
        <v xml:space="preserve">51.17,0 </v>
      </c>
      <c r="BU48" s="300" t="str">
        <f>IFERROR(CONCATENATE(ROUND(BA_Station_Scale_in_x*STN_GAP*Tools!AD12,3),",",ROUND(DEPTH*BA_Y_scale_of_WL,3)," "),"")</f>
        <v xml:space="preserve">51.17,26 </v>
      </c>
      <c r="BV48" s="313" t="str">
        <f t="shared" si="80"/>
        <v xml:space="preserve">Line 51.17,0 51.17,26  </v>
      </c>
      <c r="BW48" s="300"/>
      <c r="BX48" s="312" t="str">
        <f>IFERROR(CONCATENATE("0,",ROUND(BA_Y_scale_of_WL*WLS*Tools!AP48,3)," "),"")</f>
        <v xml:space="preserve">0,20 </v>
      </c>
      <c r="BY48" s="300" t="str">
        <f>IFERROR(CONCATENATE(LBP,",",ROUND(BA_Y_scale_of_WL*WLS*Tools!AP48,3)," "),"")</f>
        <v xml:space="preserve">146.2,20 </v>
      </c>
      <c r="BZ48" s="313" t="str">
        <f t="shared" si="81"/>
        <v xml:space="preserve">Line 0,20 146.2,20  </v>
      </c>
      <c r="CA48" s="280"/>
      <c r="CB48" s="315">
        <v>9</v>
      </c>
      <c r="CC48" s="315" t="str">
        <f t="shared" si="82"/>
        <v xml:space="preserve">Line 0,10 20,10  </v>
      </c>
      <c r="CD48" s="316" t="str">
        <f t="shared" si="83"/>
        <v xml:space="preserve">Line 9,0 9,13  </v>
      </c>
      <c r="CG48" s="265"/>
      <c r="CH48" s="265"/>
      <c r="CI48" s="265"/>
      <c r="CJ48" s="265"/>
      <c r="CK48" s="268">
        <f t="shared" si="37"/>
        <v>16</v>
      </c>
      <c r="CL48" s="269">
        <f t="shared" si="84"/>
        <v>16</v>
      </c>
      <c r="CM48" s="269">
        <f t="shared" si="85"/>
        <v>16.00094932740538</v>
      </c>
      <c r="CN48" s="269">
        <f t="shared" si="86"/>
        <v>16.004035567715459</v>
      </c>
      <c r="CO48" s="269">
        <f t="shared" si="87"/>
        <v>16.009444539443685</v>
      </c>
      <c r="CP48" s="269">
        <f t="shared" si="88"/>
        <v>16.017267061863507</v>
      </c>
      <c r="CQ48" s="269">
        <f t="shared" si="89"/>
        <v>16.07346557227542</v>
      </c>
      <c r="CR48" s="269">
        <f t="shared" si="90"/>
        <v>16.17049399604803</v>
      </c>
      <c r="CS48" s="269">
        <f t="shared" si="91"/>
        <v>16.307665298677609</v>
      </c>
      <c r="CT48" s="269">
        <f t="shared" si="92"/>
        <v>16.456488554491564</v>
      </c>
      <c r="CU48" s="269">
        <f t="shared" si="93"/>
        <v>16.485921872625021</v>
      </c>
      <c r="CV48" s="269">
        <f t="shared" si="94"/>
        <v>16.705537315701473</v>
      </c>
      <c r="CW48" s="269">
        <f t="shared" si="95"/>
        <v>16.8309363125095</v>
      </c>
      <c r="CX48" s="269" t="e">
        <f t="shared" si="96"/>
        <v>#VALUE!</v>
      </c>
      <c r="CY48" s="269" t="e">
        <f t="shared" si="97"/>
        <v>#VALUE!</v>
      </c>
      <c r="CZ48" s="269" t="e">
        <f t="shared" si="98"/>
        <v>#VALUE!</v>
      </c>
      <c r="DA48" s="269" t="e">
        <f t="shared" si="99"/>
        <v>#VALUE!</v>
      </c>
      <c r="DB48" s="269" t="e">
        <f t="shared" si="100"/>
        <v>#VALUE!</v>
      </c>
      <c r="DC48" s="269" t="e">
        <f t="shared" si="101"/>
        <v>#VALUE!</v>
      </c>
      <c r="DD48" s="269" t="e">
        <f t="shared" si="102"/>
        <v>#VALUE!</v>
      </c>
      <c r="DE48" s="269" t="e">
        <f t="shared" si="103"/>
        <v>#VALUE!</v>
      </c>
      <c r="DF48" s="269" t="e">
        <f t="shared" si="104"/>
        <v>#VALUE!</v>
      </c>
      <c r="DG48" s="269" t="e">
        <f t="shared" si="105"/>
        <v>#VALUE!</v>
      </c>
      <c r="DH48" s="269" t="e">
        <f t="shared" si="106"/>
        <v>#VALUE!</v>
      </c>
      <c r="DI48" s="269" t="e">
        <f t="shared" si="107"/>
        <v>#VALUE!</v>
      </c>
      <c r="DJ48" s="269" t="e">
        <f t="shared" si="108"/>
        <v>#VALUE!</v>
      </c>
    </row>
    <row r="49" spans="1:114" ht="18.75" thickBot="1" x14ac:dyDescent="0.4">
      <c r="B49" t="s">
        <v>124</v>
      </c>
      <c r="D49" s="132">
        <f>IF(Area!Q3="  ","  ",Tools!E49)</f>
        <v>211.9733333333333</v>
      </c>
      <c r="E49" s="132">
        <f>VLOOKUP(Long_Div/2,AREA_TABLE,HLOOKUP(DRAFT/WLS,OFFSET_A,27,FALSE)+1,TRUE)</f>
        <v>211.9733333333333</v>
      </c>
      <c r="L49" s="516" t="str">
        <f>CHOOSE(L50,L51,L52,L53)</f>
        <v>Use 141 rule only</v>
      </c>
      <c r="M49" s="517"/>
      <c r="N49" s="518"/>
      <c r="O49" s="280"/>
      <c r="P49" s="280"/>
      <c r="Q49" s="469">
        <v>4</v>
      </c>
      <c r="AP49" s="308">
        <v>6</v>
      </c>
      <c r="AR49" s="310" t="str">
        <f>IFERROR(CONCATENATE(STN_GAP*Tools!AD13,",0 "),"")</f>
        <v xml:space="preserve">58.48,0 </v>
      </c>
      <c r="AS49" s="269" t="str">
        <f>IFERROR(CONCATENATE(STN_GAP*Tools!AD13,",",DEPTH," "),"")</f>
        <v xml:space="preserve">58.48,13 </v>
      </c>
      <c r="AT49" s="297" t="str">
        <f t="shared" si="68"/>
        <v xml:space="preserve">Line 58.48,0 58.48,13  </v>
      </c>
      <c r="AU49" s="269"/>
      <c r="AV49" s="311" t="str">
        <f>IFERROR(CONCATENATE("0,",WLS*Tools!AP49," "),"")</f>
        <v xml:space="preserve">0,12 </v>
      </c>
      <c r="AW49" s="269" t="str">
        <f>IFERROR(CONCATENATE(LBP,",",WLS*Tools!AP49," "),"")</f>
        <v xml:space="preserve">146.2,12 </v>
      </c>
      <c r="AX49" s="297" t="str">
        <f t="shared" si="69"/>
        <v xml:space="preserve">Line 0,12 146.2,12  </v>
      </c>
      <c r="AY49" s="280"/>
      <c r="AZ49" s="269" t="str">
        <f t="shared" si="70"/>
        <v/>
      </c>
      <c r="BA49" s="269" t="str">
        <f t="shared" si="71"/>
        <v/>
      </c>
      <c r="BB49" s="297" t="str">
        <f t="shared" si="67"/>
        <v/>
      </c>
      <c r="BC49" s="269"/>
      <c r="BD49" s="269" t="str">
        <f>IFERROR(CONCATENATE(STN_GAP*Tools!AD13,",",ROUND(Y_Shift_HB,3)," "),"")</f>
        <v xml:space="preserve">58.48,-16.833 </v>
      </c>
      <c r="BE49" s="269" t="str">
        <f>IFERROR(CONCATENATE(STN_GAP*Tools!AD13,",",ROUND(Y_Shift_HB+BREADTH/2,3)," "),"")</f>
        <v xml:space="preserve">58.48,-5.833 </v>
      </c>
      <c r="BF49" s="297" t="str">
        <f t="shared" si="72"/>
        <v xml:space="preserve">Line 58.48,-16.833 58.48,-5.833  </v>
      </c>
      <c r="BG49" s="280"/>
      <c r="BH49" s="269" t="str">
        <f>IFERROR(CONCATENATE(ROUND(X_SHIFT_BP-BREADTH/2,3),",",ROUND(WLS*Tools!AP49,3)," "),"")</f>
        <v xml:space="preserve">157.91,12 </v>
      </c>
      <c r="BI49" s="269" t="str">
        <f>IFERROR(CONCATENATE(ROUND(X_SHIFT_BP+BREADTH/2,3),",",ROUND(WLS*Tools!AP49,3)," "),"")</f>
        <v xml:space="preserve">179.91,12 </v>
      </c>
      <c r="BJ49" s="297" t="str">
        <f t="shared" si="73"/>
        <v xml:space="preserve">Line 157.91,12 179.91,12  </v>
      </c>
      <c r="BK49" s="269"/>
      <c r="BL49" s="269" t="str">
        <f t="shared" si="74"/>
        <v/>
      </c>
      <c r="BM49" s="269" t="str">
        <f t="shared" si="75"/>
        <v/>
      </c>
      <c r="BN49" s="297" t="str">
        <f t="shared" si="76"/>
        <v/>
      </c>
      <c r="BO49" s="269"/>
      <c r="BP49" s="269" t="str">
        <f t="shared" si="77"/>
        <v/>
      </c>
      <c r="BQ49" s="269" t="str">
        <f t="shared" si="78"/>
        <v/>
      </c>
      <c r="BR49" s="297" t="str">
        <f t="shared" si="79"/>
        <v/>
      </c>
      <c r="BS49" s="280"/>
      <c r="BT49" s="312" t="str">
        <f>IFERROR(CONCATENATE(ROUND(BA_Station_Scale_in_x*STN_GAP*Tools!AD13,3),",0 "),"")</f>
        <v xml:space="preserve">58.48,0 </v>
      </c>
      <c r="BU49" s="300" t="str">
        <f>IFERROR(CONCATENATE(ROUND(BA_Station_Scale_in_x*STN_GAP*Tools!AD13,3),",",ROUND(DEPTH*BA_Y_scale_of_WL,3)," "),"")</f>
        <v xml:space="preserve">58.48,26 </v>
      </c>
      <c r="BV49" s="313" t="str">
        <f t="shared" si="80"/>
        <v xml:space="preserve">Line 58.48,0 58.48,26  </v>
      </c>
      <c r="BW49" s="300"/>
      <c r="BX49" s="312" t="str">
        <f>IFERROR(CONCATENATE("0,",ROUND(BA_Y_scale_of_WL*WLS*Tools!AP49,3)," "),"")</f>
        <v xml:space="preserve">0,24 </v>
      </c>
      <c r="BY49" s="300" t="str">
        <f>IFERROR(CONCATENATE(LBP,",",ROUND(BA_Y_scale_of_WL*WLS*Tools!AP49,3)," "),"")</f>
        <v xml:space="preserve">146.2,24 </v>
      </c>
      <c r="BZ49" s="313" t="str">
        <f t="shared" si="81"/>
        <v xml:space="preserve">Line 0,24 146.2,24  </v>
      </c>
      <c r="CA49" s="280"/>
      <c r="CB49" s="314">
        <v>10</v>
      </c>
      <c r="CC49" s="315" t="str">
        <f t="shared" si="82"/>
        <v xml:space="preserve">Line 0,12 20,12  </v>
      </c>
      <c r="CD49" s="316" t="str">
        <f t="shared" si="83"/>
        <v xml:space="preserve">Line 10,0 10,13  </v>
      </c>
      <c r="CG49" s="265"/>
      <c r="CH49" s="265"/>
      <c r="CI49" s="265"/>
      <c r="CJ49" s="265"/>
      <c r="CK49" s="268">
        <f t="shared" si="37"/>
        <v>17</v>
      </c>
      <c r="CL49" s="269">
        <f t="shared" si="84"/>
        <v>17</v>
      </c>
      <c r="CM49" s="269">
        <f t="shared" si="85"/>
        <v>17.000742324061406</v>
      </c>
      <c r="CN49" s="269">
        <f t="shared" si="86"/>
        <v>17.003243654050767</v>
      </c>
      <c r="CO49" s="269">
        <f t="shared" si="87"/>
        <v>17.007695508435933</v>
      </c>
      <c r="CP49" s="269">
        <f t="shared" si="88"/>
        <v>17.014284845721235</v>
      </c>
      <c r="CQ49" s="269">
        <f t="shared" si="89"/>
        <v>17.063336373309014</v>
      </c>
      <c r="CR49" s="269">
        <f t="shared" si="90"/>
        <v>17.150536555707554</v>
      </c>
      <c r="CS49" s="269">
        <f t="shared" si="91"/>
        <v>17.275988752089983</v>
      </c>
      <c r="CT49" s="269">
        <f t="shared" si="92"/>
        <v>17.414760069919442</v>
      </c>
      <c r="CU49" s="269">
        <f t="shared" si="93"/>
        <v>17.442690378476971</v>
      </c>
      <c r="CV49" s="269">
        <f t="shared" si="94"/>
        <v>17.650951512387902</v>
      </c>
      <c r="CW49" s="269">
        <f t="shared" si="95"/>
        <v>17.771343669250648</v>
      </c>
      <c r="CX49" s="269" t="e">
        <f t="shared" si="96"/>
        <v>#VALUE!</v>
      </c>
      <c r="CY49" s="269" t="e">
        <f t="shared" si="97"/>
        <v>#VALUE!</v>
      </c>
      <c r="CZ49" s="269" t="e">
        <f t="shared" si="98"/>
        <v>#VALUE!</v>
      </c>
      <c r="DA49" s="269" t="e">
        <f t="shared" si="99"/>
        <v>#VALUE!</v>
      </c>
      <c r="DB49" s="269" t="e">
        <f t="shared" si="100"/>
        <v>#VALUE!</v>
      </c>
      <c r="DC49" s="269" t="e">
        <f t="shared" si="101"/>
        <v>#VALUE!</v>
      </c>
      <c r="DD49" s="269" t="e">
        <f t="shared" si="102"/>
        <v>#VALUE!</v>
      </c>
      <c r="DE49" s="269" t="e">
        <f t="shared" si="103"/>
        <v>#VALUE!</v>
      </c>
      <c r="DF49" s="269" t="e">
        <f t="shared" si="104"/>
        <v>#VALUE!</v>
      </c>
      <c r="DG49" s="269" t="e">
        <f t="shared" si="105"/>
        <v>#VALUE!</v>
      </c>
      <c r="DH49" s="269" t="e">
        <f t="shared" si="106"/>
        <v>#VALUE!</v>
      </c>
      <c r="DI49" s="269" t="e">
        <f t="shared" si="107"/>
        <v>#VALUE!</v>
      </c>
      <c r="DJ49" s="269" t="e">
        <f t="shared" si="108"/>
        <v>#VALUE!</v>
      </c>
    </row>
    <row r="50" spans="1:114" ht="18" x14ac:dyDescent="0.35">
      <c r="B50" t="s">
        <v>125</v>
      </c>
      <c r="D50" s="132">
        <f>T35</f>
        <v>14.089333333333332</v>
      </c>
      <c r="E50" s="132">
        <f>HLOOKUP(DRAFT/WLS,AREA_TABLE,COUNT(AD3:AD27)+1,TRUE)</f>
        <v>14.089333333333332</v>
      </c>
      <c r="L50" s="414">
        <f>L55</f>
        <v>1</v>
      </c>
      <c r="M50" s="280"/>
      <c r="N50" s="280"/>
      <c r="O50" s="280"/>
      <c r="P50" s="280"/>
      <c r="Q50" s="469">
        <v>5</v>
      </c>
      <c r="AP50" s="308">
        <v>6.5</v>
      </c>
      <c r="AR50" s="310" t="str">
        <f>IFERROR(CONCATENATE(STN_GAP*Tools!AD14,",0 "),"")</f>
        <v xml:space="preserve">65.79,0 </v>
      </c>
      <c r="AS50" s="269" t="str">
        <f>IFERROR(CONCATENATE(STN_GAP*Tools!AD14,",",DEPTH," "),"")</f>
        <v xml:space="preserve">65.79,13 </v>
      </c>
      <c r="AT50" s="297" t="str">
        <f t="shared" si="68"/>
        <v xml:space="preserve">Line 65.79,0 65.79,13  </v>
      </c>
      <c r="AU50" s="269"/>
      <c r="AV50" s="311" t="str">
        <f>IFERROR(CONCATENATE("0,",WLS*Tools!AP50," "),"")</f>
        <v xml:space="preserve">0,13 </v>
      </c>
      <c r="AW50" s="269" t="str">
        <f>IFERROR(CONCATENATE(LBP,",",WLS*Tools!AP50," "),"")</f>
        <v xml:space="preserve">146.2,13 </v>
      </c>
      <c r="AX50" s="297" t="str">
        <f t="shared" si="69"/>
        <v xml:space="preserve">Line 0,13 146.2,13  </v>
      </c>
      <c r="AY50" s="280"/>
      <c r="AZ50" s="269" t="str">
        <f t="shared" si="70"/>
        <v/>
      </c>
      <c r="BA50" s="269" t="str">
        <f t="shared" si="71"/>
        <v/>
      </c>
      <c r="BB50" s="297" t="str">
        <f t="shared" si="67"/>
        <v/>
      </c>
      <c r="BC50" s="269"/>
      <c r="BD50" s="269" t="str">
        <f>IFERROR(CONCATENATE(STN_GAP*Tools!AD14,",",ROUND(Y_Shift_HB,3)," "),"")</f>
        <v xml:space="preserve">65.79,-16.833 </v>
      </c>
      <c r="BE50" s="269" t="str">
        <f>IFERROR(CONCATENATE(STN_GAP*Tools!AD14,",",ROUND(Y_Shift_HB+BREADTH/2,3)," "),"")</f>
        <v xml:space="preserve">65.79,-5.833 </v>
      </c>
      <c r="BF50" s="297" t="str">
        <f t="shared" si="72"/>
        <v xml:space="preserve">Line 65.79,-16.833 65.79,-5.833  </v>
      </c>
      <c r="BG50" s="280"/>
      <c r="BH50" s="269" t="str">
        <f>IFERROR(CONCATENATE(ROUND(X_SHIFT_BP-BREADTH/2,3),",",ROUND(WLS*Tools!AP50,3)," "),"")</f>
        <v xml:space="preserve">157.91,13 </v>
      </c>
      <c r="BI50" s="269" t="str">
        <f>IFERROR(CONCATENATE(ROUND(X_SHIFT_BP+BREADTH/2,3),",",ROUND(WLS*Tools!AP50,3)," "),"")</f>
        <v xml:space="preserve">179.91,13 </v>
      </c>
      <c r="BJ50" s="297" t="str">
        <f t="shared" si="73"/>
        <v xml:space="preserve">Line 157.91,13 179.91,13  </v>
      </c>
      <c r="BK50" s="269"/>
      <c r="BL50" s="269" t="str">
        <f t="shared" si="74"/>
        <v/>
      </c>
      <c r="BM50" s="269" t="str">
        <f t="shared" si="75"/>
        <v/>
      </c>
      <c r="BN50" s="297" t="str">
        <f t="shared" si="76"/>
        <v/>
      </c>
      <c r="BO50" s="269"/>
      <c r="BP50" s="269" t="str">
        <f t="shared" si="77"/>
        <v/>
      </c>
      <c r="BQ50" s="269" t="str">
        <f t="shared" si="78"/>
        <v/>
      </c>
      <c r="BR50" s="297" t="str">
        <f t="shared" si="79"/>
        <v/>
      </c>
      <c r="BS50" s="280"/>
      <c r="BT50" s="312" t="str">
        <f>IFERROR(CONCATENATE(ROUND(BA_Station_Scale_in_x*STN_GAP*Tools!AD14,3),",0 "),"")</f>
        <v xml:space="preserve">65.79,0 </v>
      </c>
      <c r="BU50" s="300" t="str">
        <f>IFERROR(CONCATENATE(ROUND(BA_Station_Scale_in_x*STN_GAP*Tools!AD14,3),",",ROUND(DEPTH*BA_Y_scale_of_WL,3)," "),"")</f>
        <v xml:space="preserve">65.79,26 </v>
      </c>
      <c r="BV50" s="313" t="str">
        <f t="shared" si="80"/>
        <v xml:space="preserve">Line 65.79,0 65.79,26  </v>
      </c>
      <c r="BW50" s="300"/>
      <c r="BX50" s="312" t="str">
        <f>IFERROR(CONCATENATE("0,",ROUND(BA_Y_scale_of_WL*WLS*Tools!AP50,3)," "),"")</f>
        <v xml:space="preserve">0,26 </v>
      </c>
      <c r="BY50" s="300" t="str">
        <f>IFERROR(CONCATENATE(LBP,",",ROUND(BA_Y_scale_of_WL*WLS*Tools!AP50,3)," "),"")</f>
        <v xml:space="preserve">146.2,26 </v>
      </c>
      <c r="BZ50" s="313" t="str">
        <f t="shared" si="81"/>
        <v xml:space="preserve">Line 0,26 146.2,26  </v>
      </c>
      <c r="CA50" s="280"/>
      <c r="CB50" s="315">
        <v>11</v>
      </c>
      <c r="CC50" s="315" t="str">
        <f t="shared" si="82"/>
        <v xml:space="preserve">Line 0,13 20,13  </v>
      </c>
      <c r="CD50" s="316" t="str">
        <f t="shared" si="83"/>
        <v xml:space="preserve">Line 11,0 11,13  </v>
      </c>
      <c r="CG50" s="265"/>
      <c r="CH50" s="265"/>
      <c r="CI50" s="265"/>
      <c r="CJ50" s="265"/>
      <c r="CK50" s="268">
        <f t="shared" si="37"/>
        <v>18</v>
      </c>
      <c r="CL50" s="269">
        <f t="shared" si="84"/>
        <v>18</v>
      </c>
      <c r="CM50" s="269">
        <f t="shared" si="85"/>
        <v>18.00049067107463</v>
      </c>
      <c r="CN50" s="269">
        <f t="shared" si="86"/>
        <v>18.002226782185744</v>
      </c>
      <c r="CO50" s="269">
        <f t="shared" si="87"/>
        <v>18.005435191518469</v>
      </c>
      <c r="CP50" s="269">
        <f t="shared" si="88"/>
        <v>18.01028119775042</v>
      </c>
      <c r="CQ50" s="269">
        <f t="shared" si="89"/>
        <v>18.047080103359175</v>
      </c>
      <c r="CR50" s="269">
        <f t="shared" si="90"/>
        <v>18.114321325429398</v>
      </c>
      <c r="CS50" s="269">
        <f t="shared" si="91"/>
        <v>18.213326402188784</v>
      </c>
      <c r="CT50" s="269">
        <f t="shared" si="92"/>
        <v>18.325109497796017</v>
      </c>
      <c r="CU50" s="269">
        <f t="shared" si="93"/>
        <v>18.347459735522115</v>
      </c>
      <c r="CV50" s="269">
        <f t="shared" si="94"/>
        <v>18.521989481684148</v>
      </c>
      <c r="CW50" s="269">
        <f t="shared" si="95"/>
        <v>18.625062897096822</v>
      </c>
      <c r="CX50" s="269" t="e">
        <f t="shared" si="96"/>
        <v>#VALUE!</v>
      </c>
      <c r="CY50" s="269" t="e">
        <f t="shared" si="97"/>
        <v>#VALUE!</v>
      </c>
      <c r="CZ50" s="269" t="e">
        <f t="shared" si="98"/>
        <v>#VALUE!</v>
      </c>
      <c r="DA50" s="269" t="e">
        <f t="shared" si="99"/>
        <v>#VALUE!</v>
      </c>
      <c r="DB50" s="269" t="e">
        <f t="shared" si="100"/>
        <v>#VALUE!</v>
      </c>
      <c r="DC50" s="269" t="e">
        <f t="shared" si="101"/>
        <v>#VALUE!</v>
      </c>
      <c r="DD50" s="269" t="e">
        <f t="shared" si="102"/>
        <v>#VALUE!</v>
      </c>
      <c r="DE50" s="269" t="e">
        <f t="shared" si="103"/>
        <v>#VALUE!</v>
      </c>
      <c r="DF50" s="269" t="e">
        <f t="shared" si="104"/>
        <v>#VALUE!</v>
      </c>
      <c r="DG50" s="269" t="e">
        <f t="shared" si="105"/>
        <v>#VALUE!</v>
      </c>
      <c r="DH50" s="269" t="e">
        <f t="shared" si="106"/>
        <v>#VALUE!</v>
      </c>
      <c r="DI50" s="269" t="e">
        <f t="shared" si="107"/>
        <v>#VALUE!</v>
      </c>
      <c r="DJ50" s="269" t="e">
        <f t="shared" si="108"/>
        <v>#VALUE!</v>
      </c>
    </row>
    <row r="51" spans="1:114" x14ac:dyDescent="0.25">
      <c r="B51" s="108" t="s">
        <v>50</v>
      </c>
      <c r="D51" s="323">
        <f t="shared" ref="D51:D57" si="109">VLOOKUP(B51,Hydros_Table,LOOKUP(DRAFT/WLS,B$69:Z$69,B$68:Z$68)+1,FALSE)</f>
        <v>24344.796360938886</v>
      </c>
      <c r="L51" s="277" t="s">
        <v>139</v>
      </c>
      <c r="M51" s="280"/>
      <c r="N51" s="280"/>
      <c r="O51" s="280"/>
      <c r="P51" s="280"/>
      <c r="Q51" s="469">
        <v>6</v>
      </c>
      <c r="AP51" s="308" t="str">
        <v xml:space="preserve">  </v>
      </c>
      <c r="AR51" s="310" t="str">
        <f>IFERROR(CONCATENATE(STN_GAP*Tools!AD15,",0 "),"")</f>
        <v xml:space="preserve">73.1,0 </v>
      </c>
      <c r="AS51" s="269" t="str">
        <f>IFERROR(CONCATENATE(STN_GAP*Tools!AD15,",",DEPTH," "),"")</f>
        <v xml:space="preserve">73.1,13 </v>
      </c>
      <c r="AT51" s="297" t="str">
        <f t="shared" si="68"/>
        <v xml:space="preserve">Line 73.1,0 73.1,13  </v>
      </c>
      <c r="AU51" s="269"/>
      <c r="AV51" s="311" t="str">
        <f>IFERROR(CONCATENATE("0,",WLS*Tools!AP51," "),"")</f>
        <v/>
      </c>
      <c r="AW51" s="269" t="str">
        <f>IFERROR(CONCATENATE(LBP,",",WLS*Tools!AP51," "),"")</f>
        <v/>
      </c>
      <c r="AX51" s="297" t="str">
        <f t="shared" si="69"/>
        <v/>
      </c>
      <c r="AY51" s="280"/>
      <c r="AZ51" s="269" t="str">
        <f t="shared" si="70"/>
        <v/>
      </c>
      <c r="BA51" s="269" t="str">
        <f t="shared" si="71"/>
        <v/>
      </c>
      <c r="BB51" s="297" t="str">
        <f t="shared" si="67"/>
        <v/>
      </c>
      <c r="BC51" s="269"/>
      <c r="BD51" s="269" t="str">
        <f>IFERROR(CONCATENATE(STN_GAP*Tools!AD15,",",ROUND(Y_Shift_HB,3)," "),"")</f>
        <v xml:space="preserve">73.1,-16.833 </v>
      </c>
      <c r="BE51" s="269" t="str">
        <f>IFERROR(CONCATENATE(STN_GAP*Tools!AD15,",",ROUND(Y_Shift_HB+BREADTH/2,3)," "),"")</f>
        <v xml:space="preserve">73.1,-5.833 </v>
      </c>
      <c r="BF51" s="297" t="str">
        <f t="shared" si="72"/>
        <v xml:space="preserve">Line 73.1,-16.833 73.1,-5.833  </v>
      </c>
      <c r="BG51" s="280"/>
      <c r="BH51" s="269" t="str">
        <f>IFERROR(CONCATENATE(ROUND(X_SHIFT_BP-BREADTH/2,3),",",ROUND(WLS*Tools!AP51,3)," "),"")</f>
        <v/>
      </c>
      <c r="BI51" s="269" t="str">
        <f>IFERROR(CONCATENATE(ROUND(X_SHIFT_BP+BREADTH/2,3),",",ROUND(WLS*Tools!AP51,3)," "),"")</f>
        <v/>
      </c>
      <c r="BJ51" s="297" t="str">
        <f t="shared" si="73"/>
        <v/>
      </c>
      <c r="BK51" s="269"/>
      <c r="BL51" s="269" t="str">
        <f t="shared" si="74"/>
        <v/>
      </c>
      <c r="BM51" s="269" t="str">
        <f t="shared" si="75"/>
        <v/>
      </c>
      <c r="BN51" s="297" t="str">
        <f t="shared" si="76"/>
        <v/>
      </c>
      <c r="BO51" s="269"/>
      <c r="BP51" s="269" t="str">
        <f t="shared" si="77"/>
        <v/>
      </c>
      <c r="BQ51" s="269" t="str">
        <f t="shared" si="78"/>
        <v/>
      </c>
      <c r="BR51" s="297" t="str">
        <f t="shared" si="79"/>
        <v/>
      </c>
      <c r="BS51" s="280"/>
      <c r="BT51" s="312" t="str">
        <f>IFERROR(CONCATENATE(ROUND(BA_Station_Scale_in_x*STN_GAP*Tools!AD15,3),",0 "),"")</f>
        <v xml:space="preserve">73.1,0 </v>
      </c>
      <c r="BU51" s="300" t="str">
        <f>IFERROR(CONCATENATE(ROUND(BA_Station_Scale_in_x*STN_GAP*Tools!AD15,3),",",ROUND(DEPTH*BA_Y_scale_of_WL,3)," "),"")</f>
        <v xml:space="preserve">73.1,26 </v>
      </c>
      <c r="BV51" s="313" t="str">
        <f t="shared" si="80"/>
        <v xml:space="preserve">Line 73.1,0 73.1,26  </v>
      </c>
      <c r="BW51" s="300"/>
      <c r="BX51" s="312" t="str">
        <f>IFERROR(CONCATENATE("0,",ROUND(BA_Y_scale_of_WL*WLS*Tools!AP51,3)," "),"")</f>
        <v/>
      </c>
      <c r="BY51" s="300" t="str">
        <f>IFERROR(CONCATENATE(LBP,",",ROUND(BA_Y_scale_of_WL*WLS*Tools!AP51,3)," "),"")</f>
        <v/>
      </c>
      <c r="BZ51" s="313" t="str">
        <f t="shared" si="81"/>
        <v/>
      </c>
      <c r="CA51" s="280"/>
      <c r="CB51" s="314">
        <v>12</v>
      </c>
      <c r="CC51" s="315" t="str">
        <f t="shared" si="82"/>
        <v/>
      </c>
      <c r="CD51" s="316" t="str">
        <f t="shared" si="83"/>
        <v xml:space="preserve">Line 12,0 12,13  </v>
      </c>
      <c r="CG51" s="265"/>
      <c r="CH51" s="265"/>
      <c r="CI51" s="265"/>
      <c r="CJ51" s="265"/>
      <c r="CK51" s="268">
        <f t="shared" si="37"/>
        <v>18.5</v>
      </c>
      <c r="CL51" s="269">
        <f t="shared" si="84"/>
        <v>18.5</v>
      </c>
      <c r="CM51" s="269">
        <f t="shared" si="85"/>
        <v>18.500352162182704</v>
      </c>
      <c r="CN51" s="269">
        <f t="shared" si="86"/>
        <v>18.501670466636266</v>
      </c>
      <c r="CO51" s="269">
        <f t="shared" si="87"/>
        <v>18.504168091655266</v>
      </c>
      <c r="CP51" s="269">
        <f t="shared" si="88"/>
        <v>18.507967776257789</v>
      </c>
      <c r="CQ51" s="269">
        <f t="shared" si="89"/>
        <v>18.537160662714697</v>
      </c>
      <c r="CR51" s="269">
        <f t="shared" si="90"/>
        <v>18.59077671378629</v>
      </c>
      <c r="CS51" s="269">
        <f t="shared" si="91"/>
        <v>18.670214318285453</v>
      </c>
      <c r="CT51" s="269">
        <f t="shared" si="92"/>
        <v>18.760935506915946</v>
      </c>
      <c r="CU51" s="269">
        <f t="shared" si="93"/>
        <v>18.779182246542028</v>
      </c>
      <c r="CV51" s="269">
        <f t="shared" si="94"/>
        <v>18.924064447484419</v>
      </c>
      <c r="CW51" s="269">
        <f t="shared" si="95"/>
        <v>19.011296549627602</v>
      </c>
      <c r="CX51" s="269" t="e">
        <f t="shared" si="96"/>
        <v>#VALUE!</v>
      </c>
      <c r="CY51" s="269" t="e">
        <f t="shared" si="97"/>
        <v>#VALUE!</v>
      </c>
      <c r="CZ51" s="269" t="e">
        <f t="shared" si="98"/>
        <v>#VALUE!</v>
      </c>
      <c r="DA51" s="269" t="e">
        <f t="shared" si="99"/>
        <v>#VALUE!</v>
      </c>
      <c r="DB51" s="269" t="e">
        <f t="shared" si="100"/>
        <v>#VALUE!</v>
      </c>
      <c r="DC51" s="269" t="e">
        <f t="shared" si="101"/>
        <v>#VALUE!</v>
      </c>
      <c r="DD51" s="269" t="e">
        <f t="shared" si="102"/>
        <v>#VALUE!</v>
      </c>
      <c r="DE51" s="269" t="e">
        <f t="shared" si="103"/>
        <v>#VALUE!</v>
      </c>
      <c r="DF51" s="269" t="e">
        <f t="shared" si="104"/>
        <v>#VALUE!</v>
      </c>
      <c r="DG51" s="269" t="e">
        <f t="shared" si="105"/>
        <v>#VALUE!</v>
      </c>
      <c r="DH51" s="269" t="e">
        <f t="shared" si="106"/>
        <v>#VALUE!</v>
      </c>
      <c r="DI51" s="269" t="e">
        <f t="shared" si="107"/>
        <v>#VALUE!</v>
      </c>
      <c r="DJ51" s="269" t="e">
        <f t="shared" si="108"/>
        <v>#VALUE!</v>
      </c>
    </row>
    <row r="52" spans="1:114" x14ac:dyDescent="0.25">
      <c r="B52" s="108" t="s">
        <v>52</v>
      </c>
      <c r="D52" s="323">
        <f t="shared" si="109"/>
        <v>25103.136767582131</v>
      </c>
      <c r="L52" s="277" t="s">
        <v>186</v>
      </c>
      <c r="M52" s="280"/>
      <c r="N52" s="280"/>
      <c r="O52" s="280"/>
      <c r="P52" s="280"/>
      <c r="Q52" s="469">
        <v>7</v>
      </c>
      <c r="AP52" s="308" t="str">
        <v xml:space="preserve">  </v>
      </c>
      <c r="AR52" s="310" t="str">
        <f>IFERROR(CONCATENATE(STN_GAP*Tools!AD16,",0 "),"")</f>
        <v xml:space="preserve">80.41,0 </v>
      </c>
      <c r="AS52" s="269" t="str">
        <f>IFERROR(CONCATENATE(STN_GAP*Tools!AD16,",",DEPTH," "),"")</f>
        <v xml:space="preserve">80.41,13 </v>
      </c>
      <c r="AT52" s="297" t="str">
        <f t="shared" si="68"/>
        <v xml:space="preserve">Line 80.41,0 80.41,13  </v>
      </c>
      <c r="AU52" s="269"/>
      <c r="AV52" s="311" t="str">
        <f>IFERROR(CONCATENATE("0,",WLS*Tools!AP52," "),"")</f>
        <v/>
      </c>
      <c r="AW52" s="269" t="str">
        <f>IFERROR(CONCATENATE(LBP,",",WLS*Tools!AP52," "),"")</f>
        <v/>
      </c>
      <c r="AX52" s="297" t="str">
        <f t="shared" si="69"/>
        <v/>
      </c>
      <c r="AY52" s="280"/>
      <c r="AZ52" s="269" t="str">
        <f t="shared" si="70"/>
        <v/>
      </c>
      <c r="BA52" s="269" t="str">
        <f t="shared" si="71"/>
        <v/>
      </c>
      <c r="BB52" s="297" t="str">
        <f t="shared" si="67"/>
        <v/>
      </c>
      <c r="BC52" s="269"/>
      <c r="BD52" s="269" t="str">
        <f>IFERROR(CONCATENATE(STN_GAP*Tools!AD16,",",ROUND(Y_Shift_HB,3)," "),"")</f>
        <v xml:space="preserve">80.41,-16.833 </v>
      </c>
      <c r="BE52" s="269" t="str">
        <f>IFERROR(CONCATENATE(STN_GAP*Tools!AD16,",",ROUND(Y_Shift_HB+BREADTH/2,3)," "),"")</f>
        <v xml:space="preserve">80.41,-5.833 </v>
      </c>
      <c r="BF52" s="297" t="str">
        <f t="shared" si="72"/>
        <v xml:space="preserve">Line 80.41,-16.833 80.41,-5.833  </v>
      </c>
      <c r="BG52" s="280"/>
      <c r="BH52" s="269" t="str">
        <f>IFERROR(CONCATENATE(ROUND(X_SHIFT_BP-BREADTH/2,3),",",ROUND(WLS*Tools!AP52,3)," "),"")</f>
        <v/>
      </c>
      <c r="BI52" s="269" t="str">
        <f>IFERROR(CONCATENATE(ROUND(X_SHIFT_BP+BREADTH/2,3),",",ROUND(WLS*Tools!AP52,3)," "),"")</f>
        <v/>
      </c>
      <c r="BJ52" s="297" t="str">
        <f t="shared" si="73"/>
        <v/>
      </c>
      <c r="BK52" s="269"/>
      <c r="BL52" s="269" t="str">
        <f t="shared" si="74"/>
        <v/>
      </c>
      <c r="BM52" s="269" t="str">
        <f t="shared" si="75"/>
        <v/>
      </c>
      <c r="BN52" s="297" t="str">
        <f t="shared" si="76"/>
        <v/>
      </c>
      <c r="BO52" s="269"/>
      <c r="BP52" s="269" t="str">
        <f t="shared" si="77"/>
        <v/>
      </c>
      <c r="BQ52" s="269" t="str">
        <f t="shared" si="78"/>
        <v/>
      </c>
      <c r="BR52" s="297" t="str">
        <f t="shared" si="79"/>
        <v/>
      </c>
      <c r="BS52" s="280"/>
      <c r="BT52" s="312" t="str">
        <f>IFERROR(CONCATENATE(ROUND(BA_Station_Scale_in_x*STN_GAP*Tools!AD16,3),",0 "),"")</f>
        <v xml:space="preserve">80.41,0 </v>
      </c>
      <c r="BU52" s="300" t="str">
        <f>IFERROR(CONCATENATE(ROUND(BA_Station_Scale_in_x*STN_GAP*Tools!AD16,3),",",ROUND(DEPTH*BA_Y_scale_of_WL,3)," "),"")</f>
        <v xml:space="preserve">80.41,26 </v>
      </c>
      <c r="BV52" s="313" t="str">
        <f t="shared" si="80"/>
        <v xml:space="preserve">Line 80.41,0 80.41,26  </v>
      </c>
      <c r="BW52" s="300"/>
      <c r="BX52" s="312" t="str">
        <f>IFERROR(CONCATENATE("0,",ROUND(BA_Y_scale_of_WL*WLS*Tools!AP52,3)," "),"")</f>
        <v/>
      </c>
      <c r="BY52" s="300" t="str">
        <f>IFERROR(CONCATENATE(LBP,",",ROUND(BA_Y_scale_of_WL*WLS*Tools!AP52,3)," "),"")</f>
        <v/>
      </c>
      <c r="BZ52" s="313" t="str">
        <f t="shared" si="81"/>
        <v/>
      </c>
      <c r="CA52" s="280"/>
      <c r="CB52" s="315">
        <v>13</v>
      </c>
      <c r="CC52" s="315" t="str">
        <f t="shared" si="82"/>
        <v/>
      </c>
      <c r="CD52" s="316" t="str">
        <f t="shared" si="83"/>
        <v xml:space="preserve">Line 13,0 13,13  </v>
      </c>
      <c r="CG52" s="265"/>
      <c r="CH52" s="265"/>
      <c r="CI52" s="265"/>
      <c r="CJ52" s="265"/>
      <c r="CK52" s="268">
        <f t="shared" si="37"/>
        <v>19</v>
      </c>
      <c r="CL52" s="269">
        <f t="shared" si="84"/>
        <v>19</v>
      </c>
      <c r="CM52" s="269">
        <f t="shared" si="85"/>
        <v>19.000228568171455</v>
      </c>
      <c r="CN52" s="269">
        <f t="shared" si="86"/>
        <v>19.001130870953034</v>
      </c>
      <c r="CO52" s="269">
        <f t="shared" si="87"/>
        <v>19.002871067031464</v>
      </c>
      <c r="CP52" s="269">
        <f t="shared" si="88"/>
        <v>19.00559963520292</v>
      </c>
      <c r="CQ52" s="269">
        <f t="shared" si="89"/>
        <v>19.026888584891321</v>
      </c>
      <c r="CR52" s="269">
        <f t="shared" si="90"/>
        <v>19.06530475756194</v>
      </c>
      <c r="CS52" s="269">
        <f t="shared" si="91"/>
        <v>19.120349597203223</v>
      </c>
      <c r="CT52" s="269">
        <f t="shared" si="92"/>
        <v>19.184514196686425</v>
      </c>
      <c r="CU52" s="269">
        <f t="shared" si="93"/>
        <v>19.197738258093935</v>
      </c>
      <c r="CV52" s="269">
        <f t="shared" si="94"/>
        <v>19.303015655874752</v>
      </c>
      <c r="CW52" s="269">
        <f t="shared" si="95"/>
        <v>19.368762729898162</v>
      </c>
      <c r="CX52" s="269" t="e">
        <f t="shared" si="96"/>
        <v>#VALUE!</v>
      </c>
      <c r="CY52" s="269" t="e">
        <f t="shared" si="97"/>
        <v>#VALUE!</v>
      </c>
      <c r="CZ52" s="269" t="e">
        <f t="shared" si="98"/>
        <v>#VALUE!</v>
      </c>
      <c r="DA52" s="269" t="e">
        <f t="shared" si="99"/>
        <v>#VALUE!</v>
      </c>
      <c r="DB52" s="269" t="e">
        <f t="shared" si="100"/>
        <v>#VALUE!</v>
      </c>
      <c r="DC52" s="269" t="e">
        <f t="shared" si="101"/>
        <v>#VALUE!</v>
      </c>
      <c r="DD52" s="269" t="e">
        <f t="shared" si="102"/>
        <v>#VALUE!</v>
      </c>
      <c r="DE52" s="269" t="e">
        <f t="shared" si="103"/>
        <v>#VALUE!</v>
      </c>
      <c r="DF52" s="269" t="e">
        <f t="shared" si="104"/>
        <v>#VALUE!</v>
      </c>
      <c r="DG52" s="269" t="e">
        <f t="shared" si="105"/>
        <v>#VALUE!</v>
      </c>
      <c r="DH52" s="269" t="e">
        <f t="shared" si="106"/>
        <v>#VALUE!</v>
      </c>
      <c r="DI52" s="269" t="e">
        <f t="shared" si="107"/>
        <v>#VALUE!</v>
      </c>
      <c r="DJ52" s="269" t="e">
        <f t="shared" si="108"/>
        <v>#VALUE!</v>
      </c>
    </row>
    <row r="53" spans="1:114" ht="15.75" thickBot="1" x14ac:dyDescent="0.3">
      <c r="B53" s="108" t="s">
        <v>65</v>
      </c>
      <c r="D53" s="323">
        <f t="shared" si="109"/>
        <v>5.0604272432822768</v>
      </c>
      <c r="L53" s="277" t="s">
        <v>159</v>
      </c>
      <c r="M53" s="280"/>
      <c r="N53" s="280"/>
      <c r="O53" s="280"/>
      <c r="P53" s="280"/>
      <c r="Q53" s="469">
        <v>8</v>
      </c>
      <c r="AP53" s="308" t="str">
        <v xml:space="preserve">  </v>
      </c>
      <c r="AR53" s="310" t="str">
        <f>IFERROR(CONCATENATE(STN_GAP*Tools!AD17,",0 "),"")</f>
        <v xml:space="preserve">87.72,0 </v>
      </c>
      <c r="AS53" s="269" t="str">
        <f>IFERROR(CONCATENATE(STN_GAP*Tools!AD17,",",DEPTH," "),"")</f>
        <v xml:space="preserve">87.72,13 </v>
      </c>
      <c r="AT53" s="297" t="str">
        <f t="shared" si="68"/>
        <v xml:space="preserve">Line 87.72,0 87.72,13  </v>
      </c>
      <c r="AU53" s="269"/>
      <c r="AV53" s="311" t="str">
        <f>IFERROR(CONCATENATE("0,",WLS*Tools!AP53," "),"")</f>
        <v/>
      </c>
      <c r="AW53" s="269" t="str">
        <f>IFERROR(CONCATENATE(LBP,",",WLS*Tools!AP53," "),"")</f>
        <v/>
      </c>
      <c r="AX53" s="297" t="str">
        <f t="shared" si="69"/>
        <v/>
      </c>
      <c r="AY53" s="280"/>
      <c r="AZ53" s="269" t="str">
        <f t="shared" si="70"/>
        <v/>
      </c>
      <c r="BA53" s="269" t="str">
        <f t="shared" si="71"/>
        <v/>
      </c>
      <c r="BB53" s="297" t="str">
        <f t="shared" si="67"/>
        <v/>
      </c>
      <c r="BC53" s="269"/>
      <c r="BD53" s="269" t="str">
        <f>IFERROR(CONCATENATE(STN_GAP*Tools!AD17,",",ROUND(Y_Shift_HB,3)," "),"")</f>
        <v xml:space="preserve">87.72,-16.833 </v>
      </c>
      <c r="BE53" s="269" t="str">
        <f>IFERROR(CONCATENATE(STN_GAP*Tools!AD17,",",ROUND(Y_Shift_HB+BREADTH/2,3)," "),"")</f>
        <v xml:space="preserve">87.72,-5.833 </v>
      </c>
      <c r="BF53" s="297" t="str">
        <f t="shared" si="72"/>
        <v xml:space="preserve">Line 87.72,-16.833 87.72,-5.833  </v>
      </c>
      <c r="BG53" s="280"/>
      <c r="BH53" s="269" t="str">
        <f>IFERROR(CONCATENATE(ROUND(X_SHIFT_BP-BREADTH/2,3),",",ROUND(WLS*Tools!AP53,3)," "),"")</f>
        <v/>
      </c>
      <c r="BI53" s="269" t="str">
        <f>IFERROR(CONCATENATE(ROUND(X_SHIFT_BP+BREADTH/2,3),",",ROUND(WLS*Tools!AP53,3)," "),"")</f>
        <v/>
      </c>
      <c r="BJ53" s="297" t="str">
        <f t="shared" si="73"/>
        <v/>
      </c>
      <c r="BK53" s="269"/>
      <c r="BL53" s="269" t="str">
        <f t="shared" si="74"/>
        <v/>
      </c>
      <c r="BM53" s="269" t="str">
        <f t="shared" si="75"/>
        <v/>
      </c>
      <c r="BN53" s="297" t="str">
        <f t="shared" si="76"/>
        <v/>
      </c>
      <c r="BO53" s="269"/>
      <c r="BP53" s="269" t="str">
        <f t="shared" si="77"/>
        <v/>
      </c>
      <c r="BQ53" s="269" t="str">
        <f t="shared" si="78"/>
        <v/>
      </c>
      <c r="BR53" s="297" t="str">
        <f t="shared" si="79"/>
        <v/>
      </c>
      <c r="BS53" s="280"/>
      <c r="BT53" s="312" t="str">
        <f>IFERROR(CONCATENATE(ROUND(BA_Station_Scale_in_x*STN_GAP*Tools!AD17,3),",0 "),"")</f>
        <v xml:space="preserve">87.72,0 </v>
      </c>
      <c r="BU53" s="300" t="str">
        <f>IFERROR(CONCATENATE(ROUND(BA_Station_Scale_in_x*STN_GAP*Tools!AD17,3),",",ROUND(DEPTH*BA_Y_scale_of_WL,3)," "),"")</f>
        <v xml:space="preserve">87.72,26 </v>
      </c>
      <c r="BV53" s="313" t="str">
        <f t="shared" si="80"/>
        <v xml:space="preserve">Line 87.72,0 87.72,26  </v>
      </c>
      <c r="BW53" s="300"/>
      <c r="BX53" s="312" t="str">
        <f>IFERROR(CONCATENATE("0,",ROUND(BA_Y_scale_of_WL*WLS*Tools!AP53,3)," "),"")</f>
        <v/>
      </c>
      <c r="BY53" s="300" t="str">
        <f>IFERROR(CONCATENATE(LBP,",",ROUND(BA_Y_scale_of_WL*WLS*Tools!AP53,3)," "),"")</f>
        <v/>
      </c>
      <c r="BZ53" s="313" t="str">
        <f t="shared" si="81"/>
        <v/>
      </c>
      <c r="CA53" s="280"/>
      <c r="CB53" s="314">
        <v>14</v>
      </c>
      <c r="CC53" s="315" t="str">
        <f t="shared" si="82"/>
        <v/>
      </c>
      <c r="CD53" s="316" t="str">
        <f t="shared" si="83"/>
        <v xml:space="preserve">Line 14,0 14,13  </v>
      </c>
      <c r="CG53" s="265"/>
      <c r="CH53" s="265"/>
      <c r="CI53" s="265"/>
      <c r="CJ53" s="265"/>
      <c r="CK53" s="268">
        <f t="shared" si="37"/>
        <v>19.5</v>
      </c>
      <c r="CL53" s="269">
        <f t="shared" si="84"/>
        <v>19.5</v>
      </c>
      <c r="CM53" s="269">
        <f t="shared" si="85"/>
        <v>19.500110294117647</v>
      </c>
      <c r="CN53" s="269">
        <f t="shared" si="86"/>
        <v>19.500624715002282</v>
      </c>
      <c r="CO53" s="269">
        <f t="shared" si="87"/>
        <v>19.50169032147743</v>
      </c>
      <c r="CP53" s="269">
        <f t="shared" si="88"/>
        <v>19.50341997264022</v>
      </c>
      <c r="CQ53" s="269">
        <f t="shared" si="89"/>
        <v>19.517253381972946</v>
      </c>
      <c r="CR53" s="269">
        <f t="shared" si="90"/>
        <v>19.540471196230431</v>
      </c>
      <c r="CS53" s="269">
        <f t="shared" si="91"/>
        <v>19.569322085423316</v>
      </c>
      <c r="CT53" s="269">
        <f t="shared" si="92"/>
        <v>19.601397796017633</v>
      </c>
      <c r="CU53" s="269">
        <f t="shared" si="93"/>
        <v>19.608105791153672</v>
      </c>
      <c r="CV53" s="269">
        <f t="shared" si="94"/>
        <v>19.664247150022799</v>
      </c>
      <c r="CW53" s="269">
        <f t="shared" si="95"/>
        <v>19.703154278765769</v>
      </c>
      <c r="CX53" s="269" t="e">
        <f t="shared" si="96"/>
        <v>#VALUE!</v>
      </c>
      <c r="CY53" s="269" t="e">
        <f t="shared" si="97"/>
        <v>#VALUE!</v>
      </c>
      <c r="CZ53" s="269" t="e">
        <f t="shared" si="98"/>
        <v>#VALUE!</v>
      </c>
      <c r="DA53" s="269" t="e">
        <f t="shared" si="99"/>
        <v>#VALUE!</v>
      </c>
      <c r="DB53" s="269" t="e">
        <f t="shared" si="100"/>
        <v>#VALUE!</v>
      </c>
      <c r="DC53" s="269" t="e">
        <f t="shared" si="101"/>
        <v>#VALUE!</v>
      </c>
      <c r="DD53" s="269" t="e">
        <f t="shared" si="102"/>
        <v>#VALUE!</v>
      </c>
      <c r="DE53" s="269" t="e">
        <f t="shared" si="103"/>
        <v>#VALUE!</v>
      </c>
      <c r="DF53" s="269" t="e">
        <f t="shared" si="104"/>
        <v>#VALUE!</v>
      </c>
      <c r="DG53" s="269" t="e">
        <f t="shared" si="105"/>
        <v>#VALUE!</v>
      </c>
      <c r="DH53" s="269" t="e">
        <f t="shared" si="106"/>
        <v>#VALUE!</v>
      </c>
      <c r="DI53" s="269" t="e">
        <f t="shared" si="107"/>
        <v>#VALUE!</v>
      </c>
      <c r="DJ53" s="269" t="e">
        <f t="shared" si="108"/>
        <v>#VALUE!</v>
      </c>
    </row>
    <row r="54" spans="1:114" ht="15.75" thickBot="1" x14ac:dyDescent="0.3">
      <c r="B54" s="108" t="s">
        <v>71</v>
      </c>
      <c r="D54" s="323">
        <f t="shared" si="109"/>
        <v>28.511244961916663</v>
      </c>
      <c r="L54" s="516" t="str">
        <f>CHOOSE(L55,L56,L57,L58)</f>
        <v>Use 141 rule only</v>
      </c>
      <c r="M54" s="517"/>
      <c r="N54" s="518"/>
      <c r="O54" s="280"/>
      <c r="P54" s="280"/>
      <c r="Q54" s="469">
        <v>9</v>
      </c>
      <c r="AP54" s="308" t="str">
        <v xml:space="preserve">  </v>
      </c>
      <c r="AR54" s="310" t="str">
        <f>IFERROR(CONCATENATE(STN_GAP*Tools!AD18,",0 "),"")</f>
        <v xml:space="preserve">95.03,0 </v>
      </c>
      <c r="AS54" s="269" t="str">
        <f>IFERROR(CONCATENATE(STN_GAP*Tools!AD18,",",DEPTH," "),"")</f>
        <v xml:space="preserve">95.03,13 </v>
      </c>
      <c r="AT54" s="297" t="str">
        <f t="shared" si="68"/>
        <v xml:space="preserve">Line 95.03,0 95.03,13  </v>
      </c>
      <c r="AU54" s="269"/>
      <c r="AV54" s="311" t="str">
        <f>IFERROR(CONCATENATE("0,",WLS*Tools!AP54," "),"")</f>
        <v/>
      </c>
      <c r="AW54" s="269" t="str">
        <f>IFERROR(CONCATENATE(LBP,",",WLS*Tools!AP54," "),"")</f>
        <v/>
      </c>
      <c r="AX54" s="297" t="str">
        <f t="shared" si="69"/>
        <v/>
      </c>
      <c r="AY54" s="280"/>
      <c r="AZ54" s="269" t="str">
        <f t="shared" si="70"/>
        <v/>
      </c>
      <c r="BA54" s="269" t="str">
        <f t="shared" si="71"/>
        <v/>
      </c>
      <c r="BB54" s="297" t="str">
        <f t="shared" si="67"/>
        <v/>
      </c>
      <c r="BC54" s="269"/>
      <c r="BD54" s="269" t="str">
        <f>IFERROR(CONCATENATE(STN_GAP*Tools!AD18,",",ROUND(Y_Shift_HB,3)," "),"")</f>
        <v xml:space="preserve">95.03,-16.833 </v>
      </c>
      <c r="BE54" s="269" t="str">
        <f>IFERROR(CONCATENATE(STN_GAP*Tools!AD18,",",ROUND(Y_Shift_HB+BREADTH/2,3)," "),"")</f>
        <v xml:space="preserve">95.03,-5.833 </v>
      </c>
      <c r="BF54" s="297" t="str">
        <f t="shared" si="72"/>
        <v xml:space="preserve">Line 95.03,-16.833 95.03,-5.833  </v>
      </c>
      <c r="BG54" s="280"/>
      <c r="BH54" s="269" t="str">
        <f>IFERROR(CONCATENATE(ROUND(X_SHIFT_BP-BREADTH/2,3),",",ROUND(WLS*Tools!AP54,3)," "),"")</f>
        <v/>
      </c>
      <c r="BI54" s="269" t="str">
        <f>IFERROR(CONCATENATE(ROUND(X_SHIFT_BP+BREADTH/2,3),",",ROUND(WLS*Tools!AP54,3)," "),"")</f>
        <v/>
      </c>
      <c r="BJ54" s="297" t="str">
        <f t="shared" si="73"/>
        <v/>
      </c>
      <c r="BK54" s="269"/>
      <c r="BL54" s="269" t="str">
        <f t="shared" si="74"/>
        <v/>
      </c>
      <c r="BM54" s="269" t="str">
        <f t="shared" si="75"/>
        <v/>
      </c>
      <c r="BN54" s="297" t="str">
        <f t="shared" si="76"/>
        <v/>
      </c>
      <c r="BO54" s="269"/>
      <c r="BP54" s="269" t="str">
        <f t="shared" si="77"/>
        <v/>
      </c>
      <c r="BQ54" s="269" t="str">
        <f t="shared" si="78"/>
        <v/>
      </c>
      <c r="BR54" s="297" t="str">
        <f t="shared" si="79"/>
        <v/>
      </c>
      <c r="BS54" s="280"/>
      <c r="BT54" s="312" t="str">
        <f>IFERROR(CONCATENATE(ROUND(BA_Station_Scale_in_x*STN_GAP*Tools!AD18,3),",0 "),"")</f>
        <v xml:space="preserve">95.03,0 </v>
      </c>
      <c r="BU54" s="300" t="str">
        <f>IFERROR(CONCATENATE(ROUND(BA_Station_Scale_in_x*STN_GAP*Tools!AD18,3),",",ROUND(DEPTH*BA_Y_scale_of_WL,3)," "),"")</f>
        <v xml:space="preserve">95.03,26 </v>
      </c>
      <c r="BV54" s="313" t="str">
        <f t="shared" si="80"/>
        <v xml:space="preserve">Line 95.03,0 95.03,26  </v>
      </c>
      <c r="BW54" s="300"/>
      <c r="BX54" s="312" t="str">
        <f>IFERROR(CONCATENATE("0,",ROUND(BA_Y_scale_of_WL*WLS*Tools!AP54,3)," "),"")</f>
        <v/>
      </c>
      <c r="BY54" s="300" t="str">
        <f>IFERROR(CONCATENATE(LBP,",",ROUND(BA_Y_scale_of_WL*WLS*Tools!AP54,3)," "),"")</f>
        <v/>
      </c>
      <c r="BZ54" s="313" t="str">
        <f t="shared" si="81"/>
        <v/>
      </c>
      <c r="CA54" s="280"/>
      <c r="CB54" s="315">
        <v>15</v>
      </c>
      <c r="CC54" s="315" t="str">
        <f t="shared" si="82"/>
        <v/>
      </c>
      <c r="CD54" s="316" t="str">
        <f t="shared" si="83"/>
        <v xml:space="preserve">Line 15,0 15,13  </v>
      </c>
      <c r="CG54" s="324"/>
      <c r="CH54" s="265"/>
      <c r="CI54" s="265"/>
      <c r="CJ54" s="265"/>
      <c r="CK54" s="325">
        <f t="shared" si="37"/>
        <v>20</v>
      </c>
      <c r="CL54" s="269">
        <f t="shared" si="84"/>
        <v>20</v>
      </c>
      <c r="CM54" s="269">
        <f t="shared" si="85"/>
        <v>20.000067449460403</v>
      </c>
      <c r="CN54" s="269">
        <f t="shared" si="86"/>
        <v>20.000425596595228</v>
      </c>
      <c r="CO54" s="269">
        <f t="shared" si="87"/>
        <v>20.001183880528956</v>
      </c>
      <c r="CP54" s="269">
        <f t="shared" si="88"/>
        <v>20.002377260981913</v>
      </c>
      <c r="CQ54" s="269">
        <f t="shared" si="89"/>
        <v>20.009598723210214</v>
      </c>
      <c r="CR54" s="269">
        <f t="shared" si="90"/>
        <v>20.016956984344127</v>
      </c>
      <c r="CS54" s="269">
        <f t="shared" si="91"/>
        <v>20.020007599939202</v>
      </c>
      <c r="CT54" s="269">
        <f t="shared" si="92"/>
        <v>20.020538866089073</v>
      </c>
      <c r="CU54" s="269">
        <f t="shared" si="93"/>
        <v>20.020519835841313</v>
      </c>
      <c r="CV54" s="269">
        <f t="shared" si="94"/>
        <v>20.026963064295487</v>
      </c>
      <c r="CW54" s="269">
        <f t="shared" si="95"/>
        <v>20.040877032983737</v>
      </c>
      <c r="CX54" s="269" t="e">
        <f t="shared" si="96"/>
        <v>#VALUE!</v>
      </c>
      <c r="CY54" s="269" t="e">
        <f t="shared" si="97"/>
        <v>#VALUE!</v>
      </c>
      <c r="CZ54" s="269" t="e">
        <f t="shared" si="98"/>
        <v>#VALUE!</v>
      </c>
      <c r="DA54" s="269" t="e">
        <f t="shared" si="99"/>
        <v>#VALUE!</v>
      </c>
      <c r="DB54" s="269" t="e">
        <f t="shared" si="100"/>
        <v>#VALUE!</v>
      </c>
      <c r="DC54" s="269" t="e">
        <f t="shared" si="101"/>
        <v>#VALUE!</v>
      </c>
      <c r="DD54" s="269" t="e">
        <f t="shared" si="102"/>
        <v>#VALUE!</v>
      </c>
      <c r="DE54" s="269" t="e">
        <f t="shared" si="103"/>
        <v>#VALUE!</v>
      </c>
      <c r="DF54" s="269" t="e">
        <f t="shared" si="104"/>
        <v>#VALUE!</v>
      </c>
      <c r="DG54" s="269" t="e">
        <f t="shared" si="105"/>
        <v>#VALUE!</v>
      </c>
      <c r="DH54" s="269" t="e">
        <f t="shared" si="106"/>
        <v>#VALUE!</v>
      </c>
      <c r="DI54" s="269" t="e">
        <f t="shared" si="107"/>
        <v>#VALUE!</v>
      </c>
      <c r="DJ54" s="269" t="e">
        <f t="shared" si="108"/>
        <v>#VALUE!</v>
      </c>
    </row>
    <row r="55" spans="1:114" x14ac:dyDescent="0.25">
      <c r="B55" s="108" t="s">
        <v>73</v>
      </c>
      <c r="D55" s="323">
        <f t="shared" si="109"/>
        <v>3.0536921401426662</v>
      </c>
      <c r="L55" s="414">
        <v>1</v>
      </c>
      <c r="M55" s="280"/>
      <c r="N55" s="280"/>
      <c r="O55" s="280"/>
      <c r="P55" s="280"/>
      <c r="Q55" s="469">
        <v>10</v>
      </c>
      <c r="AP55" s="308" t="str">
        <v xml:space="preserve">  </v>
      </c>
      <c r="AR55" s="310" t="str">
        <f>IFERROR(CONCATENATE(STN_GAP*Tools!AD19,",0 "),"")</f>
        <v xml:space="preserve">102.34,0 </v>
      </c>
      <c r="AS55" s="269" t="str">
        <f>IFERROR(CONCATENATE(STN_GAP*Tools!AD19,",",DEPTH," "),"")</f>
        <v xml:space="preserve">102.34,13 </v>
      </c>
      <c r="AT55" s="297" t="str">
        <f t="shared" si="68"/>
        <v xml:space="preserve">Line 102.34,0 102.34,13  </v>
      </c>
      <c r="AU55" s="269"/>
      <c r="AV55" s="311" t="str">
        <f>IFERROR(CONCATENATE("0,",WLS*Tools!AP55," "),"")</f>
        <v/>
      </c>
      <c r="AW55" s="269" t="str">
        <f>IFERROR(CONCATENATE(LBP,",",WLS*Tools!AP55," "),"")</f>
        <v/>
      </c>
      <c r="AX55" s="297" t="str">
        <f t="shared" si="69"/>
        <v/>
      </c>
      <c r="AY55" s="280"/>
      <c r="AZ55" s="269" t="str">
        <f t="shared" si="70"/>
        <v/>
      </c>
      <c r="BA55" s="269" t="str">
        <f t="shared" si="71"/>
        <v/>
      </c>
      <c r="BB55" s="297" t="str">
        <f t="shared" si="67"/>
        <v/>
      </c>
      <c r="BC55" s="269"/>
      <c r="BD55" s="269" t="str">
        <f>IFERROR(CONCATENATE(STN_GAP*Tools!AD19,",",ROUND(Y_Shift_HB,3)," "),"")</f>
        <v xml:space="preserve">102.34,-16.833 </v>
      </c>
      <c r="BE55" s="269" t="str">
        <f>IFERROR(CONCATENATE(STN_GAP*Tools!AD19,",",ROUND(Y_Shift_HB+BREADTH/2,3)," "),"")</f>
        <v xml:space="preserve">102.34,-5.833 </v>
      </c>
      <c r="BF55" s="297" t="str">
        <f t="shared" si="72"/>
        <v xml:space="preserve">Line 102.34,-16.833 102.34,-5.833  </v>
      </c>
      <c r="BG55" s="280"/>
      <c r="BH55" s="269" t="str">
        <f>IFERROR(CONCATENATE(ROUND(X_SHIFT_BP-BREADTH/2,3),",",ROUND(WLS*Tools!AP55,3)," "),"")</f>
        <v/>
      </c>
      <c r="BI55" s="269" t="str">
        <f>IFERROR(CONCATENATE(ROUND(X_SHIFT_BP+BREADTH/2,3),",",ROUND(WLS*Tools!AP55,3)," "),"")</f>
        <v/>
      </c>
      <c r="BJ55" s="297" t="str">
        <f t="shared" si="73"/>
        <v/>
      </c>
      <c r="BK55" s="269"/>
      <c r="BL55" s="269" t="str">
        <f t="shared" si="74"/>
        <v/>
      </c>
      <c r="BM55" s="269" t="str">
        <f t="shared" si="75"/>
        <v/>
      </c>
      <c r="BN55" s="297" t="str">
        <f t="shared" si="76"/>
        <v/>
      </c>
      <c r="BO55" s="269"/>
      <c r="BP55" s="269" t="str">
        <f t="shared" si="77"/>
        <v/>
      </c>
      <c r="BQ55" s="269" t="str">
        <f t="shared" si="78"/>
        <v/>
      </c>
      <c r="BR55" s="297" t="str">
        <f t="shared" si="79"/>
        <v/>
      </c>
      <c r="BS55" s="280"/>
      <c r="BT55" s="312" t="str">
        <f>IFERROR(CONCATENATE(ROUND(BA_Station_Scale_in_x*STN_GAP*Tools!AD19,3),",0 "),"")</f>
        <v xml:space="preserve">102.34,0 </v>
      </c>
      <c r="BU55" s="300" t="str">
        <f>IFERROR(CONCATENATE(ROUND(BA_Station_Scale_in_x*STN_GAP*Tools!AD19,3),",",ROUND(DEPTH*BA_Y_scale_of_WL,3)," "),"")</f>
        <v xml:space="preserve">102.34,26 </v>
      </c>
      <c r="BV55" s="313" t="str">
        <f t="shared" si="80"/>
        <v xml:space="preserve">Line 102.34,0 102.34,26  </v>
      </c>
      <c r="BW55" s="300"/>
      <c r="BX55" s="312" t="str">
        <f>IFERROR(CONCATENATE("0,",ROUND(BA_Y_scale_of_WL*WLS*Tools!AP55,3)," "),"")</f>
        <v/>
      </c>
      <c r="BY55" s="300" t="str">
        <f>IFERROR(CONCATENATE(LBP,",",ROUND(BA_Y_scale_of_WL*WLS*Tools!AP55,3)," "),"")</f>
        <v/>
      </c>
      <c r="BZ55" s="313" t="str">
        <f t="shared" si="81"/>
        <v/>
      </c>
      <c r="CA55" s="280"/>
      <c r="CB55" s="314">
        <v>16</v>
      </c>
      <c r="CC55" s="315" t="str">
        <f t="shared" si="82"/>
        <v/>
      </c>
      <c r="CD55" s="316" t="str">
        <f t="shared" si="83"/>
        <v xml:space="preserve">Line 16,0 16,13  </v>
      </c>
    </row>
    <row r="56" spans="1:114" x14ac:dyDescent="0.25">
      <c r="A56" s="280"/>
      <c r="B56" s="108" t="s">
        <v>127</v>
      </c>
      <c r="D56" s="323">
        <f t="shared" si="109"/>
        <v>275.83502946859755</v>
      </c>
      <c r="L56" s="277" t="s">
        <v>139</v>
      </c>
      <c r="M56" s="280"/>
      <c r="N56" s="280"/>
      <c r="O56" s="280"/>
      <c r="P56" s="280"/>
      <c r="Q56" s="469">
        <v>11</v>
      </c>
      <c r="AP56" s="308" t="str">
        <v xml:space="preserve">  </v>
      </c>
      <c r="AR56" s="310" t="str">
        <f>IFERROR(CONCATENATE(STN_GAP*Tools!AD20,",0 "),"")</f>
        <v xml:space="preserve">109.65,0 </v>
      </c>
      <c r="AS56" s="269" t="str">
        <f>IFERROR(CONCATENATE(STN_GAP*Tools!AD20,",",DEPTH," "),"")</f>
        <v xml:space="preserve">109.65,13 </v>
      </c>
      <c r="AT56" s="297" t="str">
        <f t="shared" si="68"/>
        <v xml:space="preserve">Line 109.65,0 109.65,13  </v>
      </c>
      <c r="AU56" s="269"/>
      <c r="AV56" s="311" t="str">
        <f>IFERROR(CONCATENATE("0,",WLS*Tools!AP56," "),"")</f>
        <v/>
      </c>
      <c r="AW56" s="269" t="str">
        <f>IFERROR(CONCATENATE(LBP,",",WLS*Tools!AP56," "),"")</f>
        <v/>
      </c>
      <c r="AX56" s="297" t="str">
        <f t="shared" si="69"/>
        <v/>
      </c>
      <c r="AY56" s="280"/>
      <c r="AZ56" s="269" t="str">
        <f t="shared" si="70"/>
        <v/>
      </c>
      <c r="BA56" s="269" t="str">
        <f t="shared" si="71"/>
        <v/>
      </c>
      <c r="BB56" s="297" t="str">
        <f t="shared" si="67"/>
        <v/>
      </c>
      <c r="BC56" s="269"/>
      <c r="BD56" s="269" t="str">
        <f>IFERROR(CONCATENATE(STN_GAP*Tools!AD20,",",ROUND(Y_Shift_HB,3)," "),"")</f>
        <v xml:space="preserve">109.65,-16.833 </v>
      </c>
      <c r="BE56" s="269" t="str">
        <f>IFERROR(CONCATENATE(STN_GAP*Tools!AD20,",",ROUND(Y_Shift_HB+BREADTH/2,3)," "),"")</f>
        <v xml:space="preserve">109.65,-5.833 </v>
      </c>
      <c r="BF56" s="297" t="str">
        <f t="shared" si="72"/>
        <v xml:space="preserve">Line 109.65,-16.833 109.65,-5.833  </v>
      </c>
      <c r="BG56" s="280"/>
      <c r="BH56" s="269" t="str">
        <f>IFERROR(CONCATENATE(ROUND(X_SHIFT_BP-BREADTH/2,3),",",ROUND(WLS*Tools!AP56,3)," "),"")</f>
        <v/>
      </c>
      <c r="BI56" s="269" t="str">
        <f>IFERROR(CONCATENATE(ROUND(X_SHIFT_BP+BREADTH/2,3),",",ROUND(WLS*Tools!AP56,3)," "),"")</f>
        <v/>
      </c>
      <c r="BJ56" s="297" t="str">
        <f t="shared" si="73"/>
        <v/>
      </c>
      <c r="BK56" s="269"/>
      <c r="BL56" s="269" t="str">
        <f t="shared" si="74"/>
        <v/>
      </c>
      <c r="BM56" s="269" t="str">
        <f t="shared" si="75"/>
        <v/>
      </c>
      <c r="BN56" s="297" t="str">
        <f t="shared" si="76"/>
        <v/>
      </c>
      <c r="BO56" s="269"/>
      <c r="BP56" s="269" t="str">
        <f t="shared" si="77"/>
        <v/>
      </c>
      <c r="BQ56" s="269" t="str">
        <f t="shared" si="78"/>
        <v/>
      </c>
      <c r="BR56" s="297" t="str">
        <f t="shared" si="79"/>
        <v/>
      </c>
      <c r="BS56" s="280"/>
      <c r="BT56" s="312" t="str">
        <f>IFERROR(CONCATENATE(ROUND(BA_Station_Scale_in_x*STN_GAP*Tools!AD20,3),",0 "),"")</f>
        <v xml:space="preserve">109.65,0 </v>
      </c>
      <c r="BU56" s="300" t="str">
        <f>IFERROR(CONCATENATE(ROUND(BA_Station_Scale_in_x*STN_GAP*Tools!AD20,3),",",ROUND(DEPTH*BA_Y_scale_of_WL,3)," "),"")</f>
        <v xml:space="preserve">109.65,26 </v>
      </c>
      <c r="BV56" s="313" t="str">
        <f t="shared" si="80"/>
        <v xml:space="preserve">Line 109.65,0 109.65,26  </v>
      </c>
      <c r="BW56" s="300"/>
      <c r="BX56" s="312" t="str">
        <f>IFERROR(CONCATENATE("0,",ROUND(BA_Y_scale_of_WL*WLS*Tools!AP56,3)," "),"")</f>
        <v/>
      </c>
      <c r="BY56" s="300" t="str">
        <f>IFERROR(CONCATENATE(LBP,",",ROUND(BA_Y_scale_of_WL*WLS*Tools!AP56,3)," "),"")</f>
        <v/>
      </c>
      <c r="BZ56" s="313" t="str">
        <f t="shared" si="81"/>
        <v/>
      </c>
      <c r="CA56" s="280"/>
      <c r="CB56" s="315">
        <v>17</v>
      </c>
      <c r="CC56" s="315" t="str">
        <f t="shared" si="82"/>
        <v/>
      </c>
      <c r="CD56" s="316" t="str">
        <f t="shared" si="83"/>
        <v xml:space="preserve">Line 17,0 17,13  </v>
      </c>
    </row>
    <row r="57" spans="1:114" ht="18" x14ac:dyDescent="0.35">
      <c r="A57" s="326"/>
      <c r="B57" s="108" t="s">
        <v>128</v>
      </c>
      <c r="D57" s="323">
        <f t="shared" si="109"/>
        <v>0.78030494363740499</v>
      </c>
      <c r="L57" s="277" t="s">
        <v>186</v>
      </c>
      <c r="M57" s="280"/>
      <c r="N57" s="280"/>
      <c r="O57" s="280"/>
      <c r="P57" s="280"/>
      <c r="Q57" s="279"/>
      <c r="AP57" s="308" t="str">
        <v xml:space="preserve">  </v>
      </c>
      <c r="AR57" s="310" t="str">
        <f>IFERROR(CONCATENATE(STN_GAP*Tools!AD21,",0 "),"")</f>
        <v xml:space="preserve">116.96,0 </v>
      </c>
      <c r="AS57" s="269" t="str">
        <f>IFERROR(CONCATENATE(STN_GAP*Tools!AD21,",",DEPTH," "),"")</f>
        <v xml:space="preserve">116.96,13 </v>
      </c>
      <c r="AT57" s="297" t="str">
        <f t="shared" si="68"/>
        <v xml:space="preserve">Line 116.96,0 116.96,13  </v>
      </c>
      <c r="AU57" s="269"/>
      <c r="AV57" s="311" t="str">
        <f>IFERROR(CONCATENATE("0,",WLS*Tools!AP57," "),"")</f>
        <v/>
      </c>
      <c r="AW57" s="269" t="str">
        <f>IFERROR(CONCATENATE(LBP,",",WLS*Tools!AP57," "),"")</f>
        <v/>
      </c>
      <c r="AX57" s="297" t="str">
        <f t="shared" si="69"/>
        <v/>
      </c>
      <c r="AY57" s="280"/>
      <c r="AZ57" s="269" t="str">
        <f t="shared" si="70"/>
        <v/>
      </c>
      <c r="BA57" s="269" t="str">
        <f t="shared" si="71"/>
        <v/>
      </c>
      <c r="BB57" s="297" t="str">
        <f t="shared" si="67"/>
        <v/>
      </c>
      <c r="BC57" s="269"/>
      <c r="BD57" s="269" t="str">
        <f>IFERROR(CONCATENATE(STN_GAP*Tools!AD21,",",ROUND(Y_Shift_HB,3)," "),"")</f>
        <v xml:space="preserve">116.96,-16.833 </v>
      </c>
      <c r="BE57" s="269" t="str">
        <f>IFERROR(CONCATENATE(STN_GAP*Tools!AD21,",",ROUND(Y_Shift_HB+BREADTH/2,3)," "),"")</f>
        <v xml:space="preserve">116.96,-5.833 </v>
      </c>
      <c r="BF57" s="297" t="str">
        <f t="shared" si="72"/>
        <v xml:space="preserve">Line 116.96,-16.833 116.96,-5.833  </v>
      </c>
      <c r="BG57" s="280"/>
      <c r="BH57" s="269" t="str">
        <f>IFERROR(CONCATENATE(ROUND(X_SHIFT_BP-BREADTH/2,3),",",ROUND(WLS*Tools!AP57,3)," "),"")</f>
        <v/>
      </c>
      <c r="BI57" s="269" t="str">
        <f>IFERROR(CONCATENATE(ROUND(X_SHIFT_BP+BREADTH/2,3),",",ROUND(WLS*Tools!AP57,3)," "),"")</f>
        <v/>
      </c>
      <c r="BJ57" s="297" t="str">
        <f t="shared" si="73"/>
        <v/>
      </c>
      <c r="BK57" s="269"/>
      <c r="BL57" s="269" t="str">
        <f t="shared" si="74"/>
        <v/>
      </c>
      <c r="BM57" s="269" t="str">
        <f t="shared" si="75"/>
        <v/>
      </c>
      <c r="BN57" s="297" t="str">
        <f t="shared" si="76"/>
        <v/>
      </c>
      <c r="BO57" s="269"/>
      <c r="BP57" s="269" t="str">
        <f t="shared" si="77"/>
        <v/>
      </c>
      <c r="BQ57" s="269" t="str">
        <f t="shared" si="78"/>
        <v/>
      </c>
      <c r="BR57" s="297" t="str">
        <f t="shared" si="79"/>
        <v/>
      </c>
      <c r="BS57" s="280"/>
      <c r="BT57" s="312" t="str">
        <f>IFERROR(CONCATENATE(ROUND(BA_Station_Scale_in_x*STN_GAP*Tools!AD21,3),",0 "),"")</f>
        <v xml:space="preserve">116.96,0 </v>
      </c>
      <c r="BU57" s="300" t="str">
        <f>IFERROR(CONCATENATE(ROUND(BA_Station_Scale_in_x*STN_GAP*Tools!AD21,3),",",ROUND(DEPTH*BA_Y_scale_of_WL,3)," "),"")</f>
        <v xml:space="preserve">116.96,26 </v>
      </c>
      <c r="BV57" s="313" t="str">
        <f t="shared" si="80"/>
        <v xml:space="preserve">Line 116.96,0 116.96,26  </v>
      </c>
      <c r="BW57" s="300"/>
      <c r="BX57" s="312" t="str">
        <f>IFERROR(CONCATENATE("0,",ROUND(BA_Y_scale_of_WL*WLS*Tools!AP57,3)," "),"")</f>
        <v/>
      </c>
      <c r="BY57" s="300" t="str">
        <f>IFERROR(CONCATENATE(LBP,",",ROUND(BA_Y_scale_of_WL*WLS*Tools!AP57,3)," "),"")</f>
        <v/>
      </c>
      <c r="BZ57" s="313" t="str">
        <f t="shared" si="81"/>
        <v/>
      </c>
      <c r="CA57" s="280"/>
      <c r="CB57" s="314">
        <v>18</v>
      </c>
      <c r="CC57" s="315" t="str">
        <f t="shared" si="82"/>
        <v/>
      </c>
      <c r="CD57" s="316" t="str">
        <f t="shared" si="83"/>
        <v xml:space="preserve">Line 18,0 18,13  </v>
      </c>
    </row>
    <row r="58" spans="1:114" ht="18" x14ac:dyDescent="0.35">
      <c r="A58" s="326"/>
      <c r="B58" s="108" t="s">
        <v>129</v>
      </c>
      <c r="D58" s="323">
        <f t="shared" ref="D58" si="110">VLOOKUP(B58,Hydros_Table,LOOKUP(DRAFT/WLS,B$69:Z$69,B$68:Z$68)+1,FALSE)</f>
        <v>0.99331458919087778</v>
      </c>
      <c r="L58" s="277" t="s">
        <v>159</v>
      </c>
      <c r="M58" s="280"/>
      <c r="N58" s="280"/>
      <c r="O58" s="280"/>
      <c r="P58" s="280"/>
      <c r="Q58" s="281">
        <f>IF(ISNUMBER(CAD!C23),CAD!C23,3)</f>
        <v>3</v>
      </c>
      <c r="AP58" s="308" t="str">
        <v xml:space="preserve">  </v>
      </c>
      <c r="AR58" s="310" t="str">
        <f>IFERROR(CONCATENATE(STN_GAP*Tools!AD22,",0 "),"")</f>
        <v xml:space="preserve">124.27,0 </v>
      </c>
      <c r="AS58" s="269" t="str">
        <f>IFERROR(CONCATENATE(STN_GAP*Tools!AD22,",",DEPTH," "),"")</f>
        <v xml:space="preserve">124.27,13 </v>
      </c>
      <c r="AT58" s="297" t="str">
        <f t="shared" si="68"/>
        <v xml:space="preserve">Line 124.27,0 124.27,13  </v>
      </c>
      <c r="AU58" s="269"/>
      <c r="AV58" s="311" t="str">
        <f>IFERROR(CONCATENATE("0,",WLS*Tools!AP58," "),"")</f>
        <v/>
      </c>
      <c r="AW58" s="269" t="str">
        <f>IFERROR(CONCATENATE(LBP,",",WLS*Tools!AP58," "),"")</f>
        <v/>
      </c>
      <c r="AX58" s="297" t="str">
        <f t="shared" si="69"/>
        <v/>
      </c>
      <c r="AY58" s="280"/>
      <c r="AZ58" s="269" t="str">
        <f t="shared" si="70"/>
        <v/>
      </c>
      <c r="BA58" s="269" t="str">
        <f t="shared" si="71"/>
        <v/>
      </c>
      <c r="BB58" s="297" t="str">
        <f t="shared" si="67"/>
        <v/>
      </c>
      <c r="BC58" s="269"/>
      <c r="BD58" s="269" t="str">
        <f>IFERROR(CONCATENATE(STN_GAP*Tools!AD22,",",ROUND(Y_Shift_HB,3)," "),"")</f>
        <v xml:space="preserve">124.27,-16.833 </v>
      </c>
      <c r="BE58" s="269" t="str">
        <f>IFERROR(CONCATENATE(STN_GAP*Tools!AD22,",",ROUND(Y_Shift_HB+BREADTH/2,3)," "),"")</f>
        <v xml:space="preserve">124.27,-5.833 </v>
      </c>
      <c r="BF58" s="297" t="str">
        <f t="shared" si="72"/>
        <v xml:space="preserve">Line 124.27,-16.833 124.27,-5.833  </v>
      </c>
      <c r="BG58" s="280"/>
      <c r="BH58" s="269" t="str">
        <f>IFERROR(CONCATENATE(ROUND(X_SHIFT_BP-BREADTH/2,3),",",ROUND(WLS*Tools!AP58,3)," "),"")</f>
        <v/>
      </c>
      <c r="BI58" s="269" t="str">
        <f>IFERROR(CONCATENATE(ROUND(X_SHIFT_BP+BREADTH/2,3),",",ROUND(WLS*Tools!AP58,3)," "),"")</f>
        <v/>
      </c>
      <c r="BJ58" s="297" t="str">
        <f t="shared" si="73"/>
        <v/>
      </c>
      <c r="BK58" s="269"/>
      <c r="BL58" s="269" t="str">
        <f t="shared" si="74"/>
        <v/>
      </c>
      <c r="BM58" s="269" t="str">
        <f t="shared" si="75"/>
        <v/>
      </c>
      <c r="BN58" s="297" t="str">
        <f t="shared" si="76"/>
        <v/>
      </c>
      <c r="BO58" s="269"/>
      <c r="BP58" s="269" t="str">
        <f t="shared" si="77"/>
        <v/>
      </c>
      <c r="BQ58" s="269" t="str">
        <f t="shared" si="78"/>
        <v/>
      </c>
      <c r="BR58" s="297" t="str">
        <f t="shared" si="79"/>
        <v/>
      </c>
      <c r="BS58" s="280"/>
      <c r="BT58" s="312" t="str">
        <f>IFERROR(CONCATENATE(ROUND(BA_Station_Scale_in_x*STN_GAP*Tools!AD22,3),",0 "),"")</f>
        <v xml:space="preserve">124.27,0 </v>
      </c>
      <c r="BU58" s="300" t="str">
        <f>IFERROR(CONCATENATE(ROUND(BA_Station_Scale_in_x*STN_GAP*Tools!AD22,3),",",ROUND(DEPTH*BA_Y_scale_of_WL,3)," "),"")</f>
        <v xml:space="preserve">124.27,26 </v>
      </c>
      <c r="BV58" s="313" t="str">
        <f t="shared" si="80"/>
        <v xml:space="preserve">Line 124.27,0 124.27,26  </v>
      </c>
      <c r="BW58" s="300"/>
      <c r="BX58" s="312" t="str">
        <f>IFERROR(CONCATENATE("0,",ROUND(BA_Y_scale_of_WL*WLS*Tools!AP58,3)," "),"")</f>
        <v/>
      </c>
      <c r="BY58" s="300" t="str">
        <f>IFERROR(CONCATENATE(LBP,",",ROUND(BA_Y_scale_of_WL*WLS*Tools!AP58,3)," "),"")</f>
        <v/>
      </c>
      <c r="BZ58" s="313" t="str">
        <f t="shared" si="81"/>
        <v/>
      </c>
      <c r="CA58" s="280"/>
      <c r="CB58" s="315">
        <v>19</v>
      </c>
      <c r="CC58" s="315" t="str">
        <f t="shared" si="82"/>
        <v/>
      </c>
      <c r="CD58" s="316" t="str">
        <f t="shared" si="83"/>
        <v xml:space="preserve">Line 19,0 19,13  </v>
      </c>
    </row>
    <row r="59" spans="1:114" ht="18" x14ac:dyDescent="0.35">
      <c r="A59" s="326"/>
      <c r="B59" s="108" t="s">
        <v>130</v>
      </c>
      <c r="D59" s="323">
        <f>VLOOKUP(B59,Hydros_Table,LOOKUP(DRAFT/WLS,B$69:Z$69,B$68:Z$68)+1,FALSE)</f>
        <v>0.7855567129775235</v>
      </c>
      <c r="L59" s="277"/>
      <c r="M59" s="280"/>
      <c r="N59" s="280"/>
      <c r="O59" s="280"/>
      <c r="P59" s="280"/>
      <c r="Q59" s="279"/>
      <c r="AP59" s="308" t="str">
        <v xml:space="preserve">  </v>
      </c>
      <c r="AR59" s="310" t="str">
        <f>IFERROR(CONCATENATE(STN_GAP*Tools!AD23,",0 "),"")</f>
        <v xml:space="preserve">131.58,0 </v>
      </c>
      <c r="AS59" s="269" t="str">
        <f>IFERROR(CONCATENATE(STN_GAP*Tools!AD23,",",DEPTH," "),"")</f>
        <v xml:space="preserve">131.58,13 </v>
      </c>
      <c r="AT59" s="297" t="str">
        <f t="shared" si="68"/>
        <v xml:space="preserve">Line 131.58,0 131.58,13  </v>
      </c>
      <c r="AU59" s="269"/>
      <c r="AV59" s="311" t="str">
        <f>IFERROR(CONCATENATE("0,",WLS*Tools!AP59," "),"")</f>
        <v/>
      </c>
      <c r="AW59" s="269" t="str">
        <f>IFERROR(CONCATENATE(LBP,",",WLS*Tools!AP59," "),"")</f>
        <v/>
      </c>
      <c r="AX59" s="297" t="str">
        <f t="shared" si="69"/>
        <v/>
      </c>
      <c r="AY59" s="280"/>
      <c r="AZ59" s="269" t="str">
        <f t="shared" si="70"/>
        <v/>
      </c>
      <c r="BA59" s="269" t="str">
        <f t="shared" si="71"/>
        <v/>
      </c>
      <c r="BB59" s="297" t="str">
        <f t="shared" si="67"/>
        <v/>
      </c>
      <c r="BC59" s="269"/>
      <c r="BD59" s="269" t="str">
        <f>IFERROR(CONCATENATE(STN_GAP*Tools!AD23,",",ROUND(Y_Shift_HB,3)," "),"")</f>
        <v xml:space="preserve">131.58,-16.833 </v>
      </c>
      <c r="BE59" s="269" t="str">
        <f>IFERROR(CONCATENATE(STN_GAP*Tools!AD23,",",ROUND(Y_Shift_HB+BREADTH/2,3)," "),"")</f>
        <v xml:space="preserve">131.58,-5.833 </v>
      </c>
      <c r="BF59" s="297" t="str">
        <f t="shared" si="72"/>
        <v xml:space="preserve">Line 131.58,-16.833 131.58,-5.833  </v>
      </c>
      <c r="BG59" s="280"/>
      <c r="BH59" s="269" t="str">
        <f>IFERROR(CONCATENATE(ROUND(X_SHIFT_BP-BREADTH/2,3),",",ROUND(WLS*Tools!AP59,3)," "),"")</f>
        <v/>
      </c>
      <c r="BI59" s="269" t="str">
        <f>IFERROR(CONCATENATE(ROUND(X_SHIFT_BP+BREADTH/2,3),",",ROUND(WLS*Tools!AP59,3)," "),"")</f>
        <v/>
      </c>
      <c r="BJ59" s="297" t="str">
        <f t="shared" si="73"/>
        <v/>
      </c>
      <c r="BK59" s="269"/>
      <c r="BL59" s="269" t="str">
        <f t="shared" si="74"/>
        <v/>
      </c>
      <c r="BM59" s="269" t="str">
        <f t="shared" si="75"/>
        <v/>
      </c>
      <c r="BN59" s="297" t="str">
        <f t="shared" si="76"/>
        <v/>
      </c>
      <c r="BO59" s="269"/>
      <c r="BP59" s="269" t="str">
        <f t="shared" si="77"/>
        <v/>
      </c>
      <c r="BQ59" s="269" t="str">
        <f t="shared" si="78"/>
        <v/>
      </c>
      <c r="BR59" s="297" t="str">
        <f t="shared" si="79"/>
        <v/>
      </c>
      <c r="BS59" s="280"/>
      <c r="BT59" s="312" t="str">
        <f>IFERROR(CONCATENATE(ROUND(BA_Station_Scale_in_x*STN_GAP*Tools!AD23,3),",0 "),"")</f>
        <v xml:space="preserve">131.58,0 </v>
      </c>
      <c r="BU59" s="300" t="str">
        <f>IFERROR(CONCATENATE(ROUND(BA_Station_Scale_in_x*STN_GAP*Tools!AD23,3),",",ROUND(DEPTH*BA_Y_scale_of_WL,3)," "),"")</f>
        <v xml:space="preserve">131.58,26 </v>
      </c>
      <c r="BV59" s="313" t="str">
        <f t="shared" si="80"/>
        <v xml:space="preserve">Line 131.58,0 131.58,26  </v>
      </c>
      <c r="BW59" s="300"/>
      <c r="BX59" s="312" t="str">
        <f>IFERROR(CONCATENATE("0,",ROUND(BA_Y_scale_of_WL*WLS*Tools!AP59,3)," "),"")</f>
        <v/>
      </c>
      <c r="BY59" s="300" t="str">
        <f>IFERROR(CONCATENATE(LBP,",",ROUND(BA_Y_scale_of_WL*WLS*Tools!AP59,3)," "),"")</f>
        <v/>
      </c>
      <c r="BZ59" s="313" t="str">
        <f t="shared" si="81"/>
        <v/>
      </c>
      <c r="CA59" s="280"/>
      <c r="CB59" s="315">
        <v>20</v>
      </c>
      <c r="CC59" s="315" t="str">
        <f t="shared" si="82"/>
        <v/>
      </c>
      <c r="CD59" s="316" t="str">
        <f t="shared" si="83"/>
        <v xml:space="preserve">Line 20,0 20,13  </v>
      </c>
    </row>
    <row r="60" spans="1:114" x14ac:dyDescent="0.25">
      <c r="A60" s="280"/>
      <c r="B60" s="132" t="s">
        <v>123</v>
      </c>
      <c r="D60" s="93">
        <f>1.025*LBP*(CB*BREADTH+1.7*DRAFT)</f>
        <v>5043.6260912332318</v>
      </c>
      <c r="L60" s="277"/>
      <c r="M60" s="280"/>
      <c r="N60" s="280"/>
      <c r="O60" s="280"/>
      <c r="P60" s="280"/>
      <c r="Q60" s="279"/>
      <c r="AP60" s="308" t="str">
        <v xml:space="preserve">  </v>
      </c>
      <c r="AR60" s="310" t="str">
        <f>IFERROR(CONCATENATE(STN_GAP*Tools!AD24,",0 "),"")</f>
        <v xml:space="preserve">135.235,0 </v>
      </c>
      <c r="AS60" s="269" t="str">
        <f>IFERROR(CONCATENATE(STN_GAP*Tools!AD24,",",DEPTH," "),"")</f>
        <v xml:space="preserve">135.235,13 </v>
      </c>
      <c r="AT60" s="297" t="str">
        <f t="shared" si="68"/>
        <v xml:space="preserve">Line 135.235,0 135.235,13  </v>
      </c>
      <c r="AU60" s="269"/>
      <c r="AV60" s="311" t="str">
        <f>IFERROR(CONCATENATE("0,",WLS*Tools!AP60," "),"")</f>
        <v/>
      </c>
      <c r="AW60" s="269" t="str">
        <f>IFERROR(CONCATENATE(LBP,",",WLS*Tools!AP60," "),"")</f>
        <v/>
      </c>
      <c r="AX60" s="297" t="str">
        <f t="shared" si="69"/>
        <v/>
      </c>
      <c r="AY60" s="280"/>
      <c r="AZ60" s="269" t="str">
        <f t="shared" si="70"/>
        <v/>
      </c>
      <c r="BA60" s="269" t="str">
        <f t="shared" si="71"/>
        <v/>
      </c>
      <c r="BB60" s="297" t="str">
        <f t="shared" si="67"/>
        <v/>
      </c>
      <c r="BC60" s="269"/>
      <c r="BD60" s="269" t="str">
        <f>IFERROR(CONCATENATE(STN_GAP*Tools!AD24,",",ROUND(Y_Shift_HB,3)," "),"")</f>
        <v xml:space="preserve">135.235,-16.833 </v>
      </c>
      <c r="BE60" s="269" t="str">
        <f>IFERROR(CONCATENATE(STN_GAP*Tools!AD24,",",ROUND(Y_Shift_HB+BREADTH/2,3)," "),"")</f>
        <v xml:space="preserve">135.235,-5.833 </v>
      </c>
      <c r="BF60" s="297" t="str">
        <f t="shared" si="72"/>
        <v xml:space="preserve">Line 135.235,-16.833 135.235,-5.833  </v>
      </c>
      <c r="BG60" s="280"/>
      <c r="BH60" s="269" t="str">
        <f>IFERROR(CONCATENATE(ROUND(X_SHIFT_BP-BREADTH/2,3),",",ROUND(WLS*Tools!AP60,3)," "),"")</f>
        <v/>
      </c>
      <c r="BI60" s="269" t="str">
        <f>IFERROR(CONCATENATE(ROUND(X_SHIFT_BP+BREADTH/2,3),",",ROUND(WLS*Tools!AP60,3)," "),"")</f>
        <v/>
      </c>
      <c r="BJ60" s="297" t="str">
        <f t="shared" si="73"/>
        <v/>
      </c>
      <c r="BK60" s="269"/>
      <c r="BL60" s="269" t="str">
        <f t="shared" si="74"/>
        <v/>
      </c>
      <c r="BM60" s="269" t="str">
        <f t="shared" si="75"/>
        <v/>
      </c>
      <c r="BN60" s="297" t="str">
        <f t="shared" si="76"/>
        <v/>
      </c>
      <c r="BO60" s="269"/>
      <c r="BP60" s="269" t="str">
        <f t="shared" si="77"/>
        <v/>
      </c>
      <c r="BQ60" s="269" t="str">
        <f t="shared" si="78"/>
        <v/>
      </c>
      <c r="BR60" s="297" t="str">
        <f t="shared" si="79"/>
        <v/>
      </c>
      <c r="BS60" s="280"/>
      <c r="BT60" s="312" t="str">
        <f>IFERROR(CONCATENATE(ROUND(BA_Station_Scale_in_x*STN_GAP*Tools!AD24,3),",0 "),"")</f>
        <v xml:space="preserve">135.235,0 </v>
      </c>
      <c r="BU60" s="300" t="str">
        <f>IFERROR(CONCATENATE(ROUND(BA_Station_Scale_in_x*STN_GAP*Tools!AD24,3),",",ROUND(DEPTH*BA_Y_scale_of_WL,3)," "),"")</f>
        <v xml:space="preserve">135.235,26 </v>
      </c>
      <c r="BV60" s="313" t="str">
        <f t="shared" si="80"/>
        <v xml:space="preserve">Line 135.235,0 135.235,26  </v>
      </c>
      <c r="BW60" s="300"/>
      <c r="BX60" s="312" t="str">
        <f>IFERROR(CONCATENATE("0,",ROUND(BA_Y_scale_of_WL*WLS*Tools!AP60,3)," "),"")</f>
        <v/>
      </c>
      <c r="BY60" s="300" t="str">
        <f>IFERROR(CONCATENATE(LBP,",",ROUND(BA_Y_scale_of_WL*WLS*Tools!AP60,3)," "),"")</f>
        <v/>
      </c>
      <c r="BZ60" s="313" t="str">
        <f t="shared" si="81"/>
        <v/>
      </c>
      <c r="CA60" s="280"/>
      <c r="CB60" s="315"/>
      <c r="CC60" s="315" t="str">
        <f t="shared" si="82"/>
        <v/>
      </c>
      <c r="CD60" s="327"/>
    </row>
    <row r="61" spans="1:114" x14ac:dyDescent="0.25">
      <c r="L61" s="277"/>
      <c r="M61" s="280"/>
      <c r="N61" s="280"/>
      <c r="O61" s="280"/>
      <c r="P61" s="280"/>
      <c r="Q61" s="279"/>
      <c r="AP61" s="308" t="str">
        <v xml:space="preserve">  </v>
      </c>
      <c r="AR61" s="310" t="str">
        <f>IFERROR(CONCATENATE(STN_GAP*Tools!AD25,",0 "),"")</f>
        <v xml:space="preserve">138.89,0 </v>
      </c>
      <c r="AS61" s="269" t="str">
        <f>IFERROR(CONCATENATE(STN_GAP*Tools!AD25,",",DEPTH," "),"")</f>
        <v xml:space="preserve">138.89,13 </v>
      </c>
      <c r="AT61" s="297" t="str">
        <f t="shared" si="68"/>
        <v xml:space="preserve">Line 138.89,0 138.89,13  </v>
      </c>
      <c r="AU61" s="269"/>
      <c r="AV61" s="311" t="str">
        <f>IFERROR(CONCATENATE("0,",WLS*Tools!AP61," "),"")</f>
        <v/>
      </c>
      <c r="AW61" s="269" t="str">
        <f>IFERROR(CONCATENATE(LBP,",",WLS*Tools!AP61," "),"")</f>
        <v/>
      </c>
      <c r="AX61" s="297" t="str">
        <f t="shared" si="69"/>
        <v/>
      </c>
      <c r="AY61" s="280"/>
      <c r="AZ61" s="269" t="str">
        <f t="shared" si="70"/>
        <v/>
      </c>
      <c r="BA61" s="269" t="str">
        <f t="shared" si="71"/>
        <v/>
      </c>
      <c r="BB61" s="297" t="str">
        <f t="shared" si="67"/>
        <v/>
      </c>
      <c r="BC61" s="269"/>
      <c r="BD61" s="269" t="str">
        <f>IFERROR(CONCATENATE(STN_GAP*Tools!AD25,",",ROUND(Y_Shift_HB,3)," "),"")</f>
        <v xml:space="preserve">138.89,-16.833 </v>
      </c>
      <c r="BE61" s="269" t="str">
        <f>IFERROR(CONCATENATE(STN_GAP*Tools!AD25,",",ROUND(Y_Shift_HB+BREADTH/2,3)," "),"")</f>
        <v xml:space="preserve">138.89,-5.833 </v>
      </c>
      <c r="BF61" s="297" t="str">
        <f t="shared" si="72"/>
        <v xml:space="preserve">Line 138.89,-16.833 138.89,-5.833  </v>
      </c>
      <c r="BG61" s="280"/>
      <c r="BH61" s="269" t="str">
        <f>IFERROR(CONCATENATE(ROUND(X_SHIFT_BP-BREADTH/2,3),",",ROUND(WLS*Tools!AP61,3)," "),"")</f>
        <v/>
      </c>
      <c r="BI61" s="269" t="str">
        <f>IFERROR(CONCATENATE(ROUND(X_SHIFT_BP+BREADTH/2,3),",",ROUND(WLS*Tools!AP61,3)," "),"")</f>
        <v/>
      </c>
      <c r="BJ61" s="297" t="str">
        <f t="shared" si="73"/>
        <v/>
      </c>
      <c r="BK61" s="269"/>
      <c r="BL61" s="269" t="str">
        <f t="shared" si="74"/>
        <v/>
      </c>
      <c r="BM61" s="269" t="str">
        <f t="shared" si="75"/>
        <v/>
      </c>
      <c r="BN61" s="297" t="str">
        <f t="shared" si="76"/>
        <v/>
      </c>
      <c r="BO61" s="269"/>
      <c r="BP61" s="269" t="str">
        <f t="shared" si="77"/>
        <v/>
      </c>
      <c r="BQ61" s="269" t="str">
        <f t="shared" si="78"/>
        <v/>
      </c>
      <c r="BR61" s="297" t="str">
        <f t="shared" si="79"/>
        <v/>
      </c>
      <c r="BS61" s="280"/>
      <c r="BT61" s="312" t="str">
        <f>IFERROR(CONCATENATE(ROUND(BA_Station_Scale_in_x*STN_GAP*Tools!AD25,3),",0 "),"")</f>
        <v xml:space="preserve">138.89,0 </v>
      </c>
      <c r="BU61" s="300" t="str">
        <f>IFERROR(CONCATENATE(ROUND(BA_Station_Scale_in_x*STN_GAP*Tools!AD25,3),",",ROUND(DEPTH*BA_Y_scale_of_WL,3)," "),"")</f>
        <v xml:space="preserve">138.89,26 </v>
      </c>
      <c r="BV61" s="313" t="str">
        <f t="shared" si="80"/>
        <v xml:space="preserve">Line 138.89,0 138.89,26  </v>
      </c>
      <c r="BW61" s="300"/>
      <c r="BX61" s="312" t="str">
        <f>IFERROR(CONCATENATE("0,",ROUND(BA_Y_scale_of_WL*WLS*Tools!AP61,3)," "),"")</f>
        <v/>
      </c>
      <c r="BY61" s="300" t="str">
        <f>IFERROR(CONCATENATE(LBP,",",ROUND(BA_Y_scale_of_WL*WLS*Tools!AP61,3)," "),"")</f>
        <v/>
      </c>
      <c r="BZ61" s="313" t="str">
        <f t="shared" si="81"/>
        <v/>
      </c>
      <c r="CA61" s="280"/>
      <c r="CB61" s="315"/>
      <c r="CC61" s="315" t="str">
        <f t="shared" si="82"/>
        <v/>
      </c>
      <c r="CD61" s="327"/>
      <c r="CM61" s="265"/>
      <c r="CN61" s="265"/>
      <c r="CO61" s="265"/>
      <c r="CP61" s="265"/>
      <c r="CQ61" s="265">
        <f>-BREADTH/2</f>
        <v>-11</v>
      </c>
      <c r="CR61" s="265">
        <f>BREADTH/2</f>
        <v>11</v>
      </c>
      <c r="CS61" s="265"/>
      <c r="CT61" s="265"/>
      <c r="CU61" s="265"/>
      <c r="CV61" s="265"/>
      <c r="CW61" s="265">
        <v>0</v>
      </c>
      <c r="CX61" s="265">
        <f>DEPTH</f>
        <v>13</v>
      </c>
      <c r="CY61" s="265">
        <f>CW61</f>
        <v>0</v>
      </c>
      <c r="CZ61" s="265">
        <f>CX61</f>
        <v>13</v>
      </c>
      <c r="DA61" s="265"/>
      <c r="DB61" s="265"/>
      <c r="DC61" s="265"/>
      <c r="DD61" s="265">
        <v>0</v>
      </c>
      <c r="DE61" s="265">
        <f>BREADTH/2</f>
        <v>11</v>
      </c>
    </row>
    <row r="62" spans="1:114" x14ac:dyDescent="0.25">
      <c r="B62" s="189" t="s">
        <v>251</v>
      </c>
      <c r="C62" s="132">
        <f>COUNTA(Offset!U2:AS2)</f>
        <v>12</v>
      </c>
      <c r="L62" s="277" t="s">
        <v>349</v>
      </c>
      <c r="M62" s="280"/>
      <c r="N62" s="280"/>
      <c r="O62" s="280"/>
      <c r="P62" s="280"/>
      <c r="Q62" s="279"/>
      <c r="AP62" s="308" t="str">
        <v xml:space="preserve">  </v>
      </c>
      <c r="AR62" s="310" t="str">
        <f>IFERROR(CONCATENATE(STN_GAP*Tools!AD26,",0 "),"")</f>
        <v xml:space="preserve">142.545,0 </v>
      </c>
      <c r="AS62" s="269" t="str">
        <f>IFERROR(CONCATENATE(STN_GAP*Tools!AD26,",",DEPTH," "),"")</f>
        <v xml:space="preserve">142.545,13 </v>
      </c>
      <c r="AT62" s="297" t="str">
        <f t="shared" si="68"/>
        <v xml:space="preserve">Line 142.545,0 142.545,13  </v>
      </c>
      <c r="AU62" s="269"/>
      <c r="AV62" s="311" t="str">
        <f>IFERROR(CONCATENATE("0,",WLS*Tools!AP62," "),"")</f>
        <v/>
      </c>
      <c r="AW62" s="269" t="str">
        <f>IFERROR(CONCATENATE(LBP,",",WLS*Tools!AP62," "),"")</f>
        <v/>
      </c>
      <c r="AX62" s="297" t="str">
        <f t="shared" si="69"/>
        <v/>
      </c>
      <c r="AY62" s="280"/>
      <c r="AZ62" s="269" t="str">
        <f t="shared" si="70"/>
        <v/>
      </c>
      <c r="BA62" s="269" t="str">
        <f t="shared" si="71"/>
        <v/>
      </c>
      <c r="BB62" s="297" t="str">
        <f t="shared" si="67"/>
        <v/>
      </c>
      <c r="BC62" s="269"/>
      <c r="BD62" s="269" t="str">
        <f>IFERROR(CONCATENATE(STN_GAP*Tools!AD26,",",ROUND(Y_Shift_HB,3)," "),"")</f>
        <v xml:space="preserve">142.545,-16.833 </v>
      </c>
      <c r="BE62" s="269" t="str">
        <f>IFERROR(CONCATENATE(STN_GAP*Tools!AD26,",",ROUND(Y_Shift_HB+BREADTH/2,3)," "),"")</f>
        <v xml:space="preserve">142.545,-5.833 </v>
      </c>
      <c r="BF62" s="297" t="str">
        <f t="shared" si="72"/>
        <v xml:space="preserve">Line 142.545,-16.833 142.545,-5.833  </v>
      </c>
      <c r="BG62" s="280"/>
      <c r="BH62" s="269" t="str">
        <f>IFERROR(CONCATENATE(ROUND(X_SHIFT_BP-BREADTH/2,3),",",ROUND(WLS*Tools!AP62,3)," "),"")</f>
        <v/>
      </c>
      <c r="BI62" s="269" t="str">
        <f>IFERROR(CONCATENATE(ROUND(X_SHIFT_BP+BREADTH/2,3),",",ROUND(WLS*Tools!AP62,3)," "),"")</f>
        <v/>
      </c>
      <c r="BJ62" s="297" t="str">
        <f t="shared" si="73"/>
        <v/>
      </c>
      <c r="BK62" s="269"/>
      <c r="BL62" s="269" t="str">
        <f t="shared" si="74"/>
        <v/>
      </c>
      <c r="BM62" s="269" t="str">
        <f t="shared" si="75"/>
        <v/>
      </c>
      <c r="BN62" s="297" t="str">
        <f t="shared" si="76"/>
        <v/>
      </c>
      <c r="BO62" s="269"/>
      <c r="BP62" s="269" t="str">
        <f t="shared" si="77"/>
        <v/>
      </c>
      <c r="BQ62" s="269" t="str">
        <f t="shared" si="78"/>
        <v/>
      </c>
      <c r="BR62" s="297" t="str">
        <f t="shared" si="79"/>
        <v/>
      </c>
      <c r="BS62" s="280"/>
      <c r="BT62" s="312" t="str">
        <f>IFERROR(CONCATENATE(ROUND(BA_Station_Scale_in_x*STN_GAP*Tools!AD26,3),",0 "),"")</f>
        <v xml:space="preserve">142.545,0 </v>
      </c>
      <c r="BU62" s="300" t="str">
        <f>IFERROR(CONCATENATE(ROUND(BA_Station_Scale_in_x*STN_GAP*Tools!AD26,3),",",ROUND(DEPTH*BA_Y_scale_of_WL,3)," "),"")</f>
        <v xml:space="preserve">142.545,26 </v>
      </c>
      <c r="BV62" s="313" t="str">
        <f t="shared" si="80"/>
        <v xml:space="preserve">Line 142.545,0 142.545,26  </v>
      </c>
      <c r="BW62" s="300"/>
      <c r="BX62" s="312" t="str">
        <f>IFERROR(CONCATENATE("0,",ROUND(BA_Y_scale_of_WL*WLS*Tools!AP62,3)," "),"")</f>
        <v/>
      </c>
      <c r="BY62" s="300" t="str">
        <f>IFERROR(CONCATENATE(LBP,",",ROUND(BA_Y_scale_of_WL*WLS*Tools!AP62,3)," "),"")</f>
        <v/>
      </c>
      <c r="BZ62" s="313" t="str">
        <f t="shared" si="81"/>
        <v/>
      </c>
      <c r="CA62" s="280"/>
      <c r="CB62" s="315"/>
      <c r="CC62" s="315" t="str">
        <f t="shared" si="82"/>
        <v/>
      </c>
      <c r="CD62" s="327"/>
      <c r="CM62" s="265">
        <v>1</v>
      </c>
      <c r="CN62" s="265">
        <f t="shared" ref="CN62:CN86" si="111">VLOOKUP($A$1,$A$1:$Z$1,CM62+1,FALSE)</f>
        <v>0</v>
      </c>
      <c r="CO62" s="265">
        <f t="shared" ref="CO62:CO86" si="112">BE3</f>
        <v>0</v>
      </c>
      <c r="CP62" s="265" t="str">
        <f t="shared" ref="CP62:CP86" si="113">IF(CO62="  "," ",CONCATENATE(IF(ISNUMBER(CN62),"WL ",""),CN62))</f>
        <v>WL 0</v>
      </c>
      <c r="CQ62" s="265">
        <f t="shared" ref="CQ62:CQ69" si="114">CO62*WLS</f>
        <v>0</v>
      </c>
      <c r="CR62" s="265">
        <f t="shared" ref="CR62:CR86" si="115">CQ62</f>
        <v>0</v>
      </c>
      <c r="CS62" s="265"/>
      <c r="CT62" s="328">
        <v>1</v>
      </c>
      <c r="CU62" s="265">
        <f t="shared" ref="CU62:CU69" si="116">IF(CT62&lt;=(No_of_BTKs+1),CT62," ")</f>
        <v>1</v>
      </c>
      <c r="CV62" s="265" t="str">
        <f t="shared" ref="CV62:CV69" si="117">IF(CU62&lt;=No_of_BTKs,CONCATENATE("BTK ",CU62),IF(CU62=No_of_BTKs+1,"SIDE"," "))</f>
        <v>BTK 1</v>
      </c>
      <c r="CW62" s="265">
        <f t="shared" ref="CW62:CW69" si="118">-BREADTH/2/(No_of_BTKs+1)*CU62</f>
        <v>-3.6666666666666665</v>
      </c>
      <c r="CX62" s="265">
        <f t="shared" ref="CX62:CX71" si="119">CW62</f>
        <v>-3.6666666666666665</v>
      </c>
      <c r="CY62" s="265">
        <f t="shared" ref="CY62:CY69" si="120">BREADTH/2/(No_of_BTKs+1)*CU62</f>
        <v>3.6666666666666665</v>
      </c>
      <c r="CZ62" s="265">
        <f t="shared" ref="CZ62:CZ71" si="121">CY62</f>
        <v>3.6666666666666665</v>
      </c>
      <c r="DA62" s="265"/>
      <c r="DB62" s="328">
        <f t="shared" ref="DB62:DB86" si="122">AD3</f>
        <v>0</v>
      </c>
      <c r="DC62" s="265" t="str">
        <f t="shared" ref="DC62:DC86" si="123">IF(DB62="  "," ",CONCATENATE("STN ",DB62))</f>
        <v>STN 0</v>
      </c>
      <c r="DD62" s="265">
        <f t="shared" ref="DD62:DD85" si="124">IF(ISNUMBER(DB62),DB62,0)</f>
        <v>0</v>
      </c>
      <c r="DE62" s="265">
        <f t="shared" ref="DE62:DE86" si="125">DD62</f>
        <v>0</v>
      </c>
    </row>
    <row r="63" spans="1:114" x14ac:dyDescent="0.25">
      <c r="B63" s="189" t="s">
        <v>252</v>
      </c>
      <c r="C63" s="132">
        <f>COUNTA(Offset!U3:U27)</f>
        <v>25</v>
      </c>
      <c r="L63" s="277" t="s">
        <v>348</v>
      </c>
      <c r="M63" s="280"/>
      <c r="N63" s="280"/>
      <c r="O63" s="280"/>
      <c r="P63" s="280"/>
      <c r="Q63" s="279"/>
      <c r="AP63" s="309" t="str">
        <v xml:space="preserve">  </v>
      </c>
      <c r="AR63" s="329" t="str">
        <f>IFERROR(CONCATENATE(STN_GAP*Tools!AD27,",0 "),"")</f>
        <v xml:space="preserve">146.2,0 </v>
      </c>
      <c r="AS63" s="330" t="str">
        <f>IFERROR(CONCATENATE(STN_GAP*Tools!AD27,",",DEPTH," "),"")</f>
        <v xml:space="preserve">146.2,13 </v>
      </c>
      <c r="AT63" s="331" t="str">
        <f t="shared" si="68"/>
        <v xml:space="preserve">Line 146.2,0 146.2,13  </v>
      </c>
      <c r="AU63" s="330"/>
      <c r="AV63" s="332" t="str">
        <f>IFERROR(CONCATENATE("0,",WLS*Tools!AP63," "),"")</f>
        <v/>
      </c>
      <c r="AW63" s="330" t="str">
        <f>IFERROR(CONCATENATE(LBP,",",WLS*Tools!AP63," "),"")</f>
        <v/>
      </c>
      <c r="AX63" s="331" t="str">
        <f t="shared" si="69"/>
        <v/>
      </c>
      <c r="AY63" s="285"/>
      <c r="AZ63" s="330" t="str">
        <f t="shared" si="70"/>
        <v/>
      </c>
      <c r="BA63" s="330" t="str">
        <f t="shared" si="71"/>
        <v/>
      </c>
      <c r="BB63" s="331" t="str">
        <f t="shared" si="67"/>
        <v/>
      </c>
      <c r="BC63" s="330"/>
      <c r="BD63" s="330" t="str">
        <f>IFERROR(CONCATENATE(STN_GAP*Tools!AD27,",",ROUND(Y_Shift_HB,3)," "),"")</f>
        <v xml:space="preserve">146.2,-16.833 </v>
      </c>
      <c r="BE63" s="330" t="str">
        <f>IFERROR(CONCATENATE(STN_GAP*Tools!AD27,",",ROUND(Y_Shift_HB+BREADTH/2,3)," "),"")</f>
        <v xml:space="preserve">146.2,-5.833 </v>
      </c>
      <c r="BF63" s="331" t="str">
        <f t="shared" si="72"/>
        <v xml:space="preserve">Line 146.2,-16.833 146.2,-5.833  </v>
      </c>
      <c r="BG63" s="285"/>
      <c r="BH63" s="330" t="str">
        <f>IFERROR(CONCATENATE(ROUND(X_SHIFT_BP-BREADTH/2,3),",",ROUND(WLS*Tools!AP63,3)," "),"")</f>
        <v/>
      </c>
      <c r="BI63" s="330" t="str">
        <f>IFERROR(CONCATENATE(ROUND(X_SHIFT_BP+BREADTH/2,3),",",ROUND(WLS*Tools!AP63,3)," "),"")</f>
        <v/>
      </c>
      <c r="BJ63" s="331" t="str">
        <f t="shared" si="73"/>
        <v/>
      </c>
      <c r="BK63" s="330"/>
      <c r="BL63" s="330" t="str">
        <f t="shared" si="74"/>
        <v/>
      </c>
      <c r="BM63" s="330" t="str">
        <f t="shared" si="75"/>
        <v/>
      </c>
      <c r="BN63" s="331" t="str">
        <f t="shared" si="76"/>
        <v/>
      </c>
      <c r="BO63" s="330"/>
      <c r="BP63" s="330" t="str">
        <f t="shared" si="77"/>
        <v/>
      </c>
      <c r="BQ63" s="330" t="str">
        <f t="shared" si="78"/>
        <v/>
      </c>
      <c r="BR63" s="331" t="str">
        <f t="shared" si="79"/>
        <v/>
      </c>
      <c r="BS63" s="285"/>
      <c r="BT63" s="333" t="str">
        <f>IFERROR(CONCATENATE(ROUND(BA_Station_Scale_in_x*STN_GAP*Tools!AD27,3),",0 "),"")</f>
        <v xml:space="preserve">146.2,0 </v>
      </c>
      <c r="BU63" s="334" t="str">
        <f>IFERROR(CONCATENATE(ROUND(BA_Station_Scale_in_x*STN_GAP*Tools!AD27,3),",",ROUND(DEPTH*BA_Y_scale_of_WL,3)," "),"")</f>
        <v xml:space="preserve">146.2,26 </v>
      </c>
      <c r="BV63" s="335" t="str">
        <f t="shared" si="80"/>
        <v xml:space="preserve">Line 146.2,0 146.2,26  </v>
      </c>
      <c r="BW63" s="334"/>
      <c r="BX63" s="333" t="str">
        <f>IFERROR(CONCATENATE("0,",ROUND(BA_Y_scale_of_WL*WLS*Tools!AP63,3)," "),"")</f>
        <v/>
      </c>
      <c r="BY63" s="334" t="str">
        <f>IFERROR(CONCATENATE(LBP,",",ROUND(BA_Y_scale_of_WL*WLS*Tools!AP63,3)," "),"")</f>
        <v/>
      </c>
      <c r="BZ63" s="335" t="str">
        <f t="shared" si="81"/>
        <v/>
      </c>
      <c r="CA63" s="285"/>
      <c r="CB63" s="336"/>
      <c r="CC63" s="336" t="str">
        <f t="shared" si="82"/>
        <v/>
      </c>
      <c r="CD63" s="337"/>
      <c r="CM63" s="265">
        <v>2</v>
      </c>
      <c r="CN63" s="265">
        <f t="shared" si="111"/>
        <v>0.25</v>
      </c>
      <c r="CO63" s="265">
        <f t="shared" si="112"/>
        <v>0.25</v>
      </c>
      <c r="CP63" s="265" t="str">
        <f t="shared" si="113"/>
        <v>WL 0.25</v>
      </c>
      <c r="CQ63" s="265">
        <f t="shared" si="114"/>
        <v>0.5</v>
      </c>
      <c r="CR63" s="265">
        <f t="shared" si="115"/>
        <v>0.5</v>
      </c>
      <c r="CS63" s="265"/>
      <c r="CT63" s="328">
        <v>2</v>
      </c>
      <c r="CU63" s="265">
        <f t="shared" si="116"/>
        <v>2</v>
      </c>
      <c r="CV63" s="265" t="str">
        <f t="shared" si="117"/>
        <v>BTK 2</v>
      </c>
      <c r="CW63" s="265">
        <f t="shared" si="118"/>
        <v>-7.333333333333333</v>
      </c>
      <c r="CX63" s="265">
        <f t="shared" si="119"/>
        <v>-7.333333333333333</v>
      </c>
      <c r="CY63" s="265">
        <f t="shared" si="120"/>
        <v>7.333333333333333</v>
      </c>
      <c r="CZ63" s="265">
        <f t="shared" si="121"/>
        <v>7.333333333333333</v>
      </c>
      <c r="DA63" s="265"/>
      <c r="DB63" s="328">
        <f t="shared" si="122"/>
        <v>0.5</v>
      </c>
      <c r="DC63" s="265" t="str">
        <f t="shared" si="123"/>
        <v>STN 0.5</v>
      </c>
      <c r="DD63" s="265">
        <f t="shared" si="124"/>
        <v>0.5</v>
      </c>
      <c r="DE63" s="265">
        <f t="shared" si="125"/>
        <v>0.5</v>
      </c>
    </row>
    <row r="64" spans="1:114" x14ac:dyDescent="0.25">
      <c r="C64" s="280"/>
      <c r="L64" s="277"/>
      <c r="M64" s="280"/>
      <c r="N64" s="280"/>
      <c r="O64" s="280"/>
      <c r="P64" s="280"/>
      <c r="Q64" s="279"/>
      <c r="CM64" s="265">
        <v>3</v>
      </c>
      <c r="CN64" s="265">
        <f t="shared" si="111"/>
        <v>0.5</v>
      </c>
      <c r="CO64" s="265">
        <f t="shared" si="112"/>
        <v>0.5</v>
      </c>
      <c r="CP64" s="265" t="str">
        <f t="shared" si="113"/>
        <v>WL 0.5</v>
      </c>
      <c r="CQ64" s="265">
        <f t="shared" si="114"/>
        <v>1</v>
      </c>
      <c r="CR64" s="265">
        <f t="shared" si="115"/>
        <v>1</v>
      </c>
      <c r="CS64" s="265"/>
      <c r="CT64" s="328">
        <v>3</v>
      </c>
      <c r="CU64" s="265">
        <f t="shared" si="116"/>
        <v>3</v>
      </c>
      <c r="CV64" s="265" t="str">
        <f t="shared" si="117"/>
        <v>SIDE</v>
      </c>
      <c r="CW64" s="265">
        <f t="shared" si="118"/>
        <v>-11</v>
      </c>
      <c r="CX64" s="265">
        <f t="shared" si="119"/>
        <v>-11</v>
      </c>
      <c r="CY64" s="265">
        <f t="shared" si="120"/>
        <v>11</v>
      </c>
      <c r="CZ64" s="265">
        <f t="shared" si="121"/>
        <v>11</v>
      </c>
      <c r="DA64" s="265"/>
      <c r="DB64" s="328">
        <f t="shared" si="122"/>
        <v>1</v>
      </c>
      <c r="DC64" s="265" t="str">
        <f t="shared" si="123"/>
        <v>STN 1</v>
      </c>
      <c r="DD64" s="265">
        <f t="shared" si="124"/>
        <v>1</v>
      </c>
      <c r="DE64" s="265">
        <f t="shared" si="125"/>
        <v>1</v>
      </c>
    </row>
    <row r="65" spans="1:142" x14ac:dyDescent="0.25">
      <c r="L65" s="284"/>
      <c r="M65" s="285"/>
      <c r="N65" s="285"/>
      <c r="O65" s="285"/>
      <c r="P65" s="285"/>
      <c r="Q65" s="293"/>
      <c r="CD65" s="132" t="s">
        <v>327</v>
      </c>
      <c r="CM65" s="265">
        <v>4</v>
      </c>
      <c r="CN65" s="265">
        <f t="shared" si="111"/>
        <v>0.75</v>
      </c>
      <c r="CO65" s="265">
        <f t="shared" si="112"/>
        <v>0.75</v>
      </c>
      <c r="CP65" s="265" t="str">
        <f t="shared" si="113"/>
        <v>WL 0.75</v>
      </c>
      <c r="CQ65" s="265">
        <f t="shared" si="114"/>
        <v>1.5</v>
      </c>
      <c r="CR65" s="265">
        <f t="shared" si="115"/>
        <v>1.5</v>
      </c>
      <c r="CS65" s="265"/>
      <c r="CT65" s="328">
        <v>4</v>
      </c>
      <c r="CU65" s="265" t="str">
        <f t="shared" si="116"/>
        <v xml:space="preserve"> </v>
      </c>
      <c r="CV65" s="265" t="str">
        <f t="shared" si="117"/>
        <v xml:space="preserve"> </v>
      </c>
      <c r="CW65" s="265" t="e">
        <f t="shared" si="118"/>
        <v>#VALUE!</v>
      </c>
      <c r="CX65" s="265" t="e">
        <f t="shared" si="119"/>
        <v>#VALUE!</v>
      </c>
      <c r="CY65" s="265" t="e">
        <f t="shared" si="120"/>
        <v>#VALUE!</v>
      </c>
      <c r="CZ65" s="265" t="e">
        <f t="shared" si="121"/>
        <v>#VALUE!</v>
      </c>
      <c r="DA65" s="265"/>
      <c r="DB65" s="328">
        <f t="shared" si="122"/>
        <v>1.5</v>
      </c>
      <c r="DC65" s="265" t="str">
        <f t="shared" si="123"/>
        <v>STN 1.5</v>
      </c>
      <c r="DD65" s="265">
        <f t="shared" si="124"/>
        <v>1.5</v>
      </c>
      <c r="DE65" s="265">
        <f t="shared" si="125"/>
        <v>1.5</v>
      </c>
    </row>
    <row r="66" spans="1:142" ht="15.75" x14ac:dyDescent="0.25">
      <c r="CD66" s="150" t="s">
        <v>144</v>
      </c>
      <c r="CE66" s="149"/>
      <c r="CF66" s="149"/>
      <c r="CM66" s="265">
        <v>5</v>
      </c>
      <c r="CN66" s="265">
        <f t="shared" si="111"/>
        <v>1</v>
      </c>
      <c r="CO66" s="265">
        <f t="shared" si="112"/>
        <v>1</v>
      </c>
      <c r="CP66" s="265" t="str">
        <f t="shared" si="113"/>
        <v>WL 1</v>
      </c>
      <c r="CQ66" s="265">
        <f t="shared" si="114"/>
        <v>2</v>
      </c>
      <c r="CR66" s="265">
        <f t="shared" si="115"/>
        <v>2</v>
      </c>
      <c r="CS66" s="265"/>
      <c r="CT66" s="328">
        <v>5</v>
      </c>
      <c r="CU66" s="265" t="str">
        <f t="shared" si="116"/>
        <v xml:space="preserve"> </v>
      </c>
      <c r="CV66" s="265" t="str">
        <f t="shared" si="117"/>
        <v xml:space="preserve"> </v>
      </c>
      <c r="CW66" s="265" t="e">
        <f t="shared" si="118"/>
        <v>#VALUE!</v>
      </c>
      <c r="CX66" s="265" t="e">
        <f t="shared" si="119"/>
        <v>#VALUE!</v>
      </c>
      <c r="CY66" s="265" t="e">
        <f t="shared" si="120"/>
        <v>#VALUE!</v>
      </c>
      <c r="CZ66" s="265" t="e">
        <f t="shared" si="121"/>
        <v>#VALUE!</v>
      </c>
      <c r="DA66" s="265"/>
      <c r="DB66" s="328">
        <f t="shared" si="122"/>
        <v>2</v>
      </c>
      <c r="DC66" s="265" t="str">
        <f t="shared" si="123"/>
        <v>STN 2</v>
      </c>
      <c r="DD66" s="265">
        <f t="shared" si="124"/>
        <v>2</v>
      </c>
      <c r="DE66" s="265">
        <f t="shared" si="125"/>
        <v>2</v>
      </c>
    </row>
    <row r="67" spans="1:142" ht="15.75" x14ac:dyDescent="0.25">
      <c r="CD67" s="153"/>
      <c r="CE67" s="154" t="s">
        <v>151</v>
      </c>
      <c r="CF67" s="155">
        <v>1</v>
      </c>
      <c r="CM67" s="265">
        <v>6</v>
      </c>
      <c r="CN67" s="265">
        <f t="shared" si="111"/>
        <v>2</v>
      </c>
      <c r="CO67" s="265">
        <f t="shared" si="112"/>
        <v>2</v>
      </c>
      <c r="CP67" s="265" t="str">
        <f t="shared" si="113"/>
        <v>WL 2</v>
      </c>
      <c r="CQ67" s="265">
        <f t="shared" si="114"/>
        <v>4</v>
      </c>
      <c r="CR67" s="265">
        <f t="shared" si="115"/>
        <v>4</v>
      </c>
      <c r="CS67" s="265"/>
      <c r="CT67" s="328">
        <v>6</v>
      </c>
      <c r="CU67" s="265" t="str">
        <f t="shared" si="116"/>
        <v xml:space="preserve"> </v>
      </c>
      <c r="CV67" s="265" t="str">
        <f t="shared" si="117"/>
        <v xml:space="preserve"> </v>
      </c>
      <c r="CW67" s="265" t="e">
        <f t="shared" si="118"/>
        <v>#VALUE!</v>
      </c>
      <c r="CX67" s="265" t="e">
        <f t="shared" si="119"/>
        <v>#VALUE!</v>
      </c>
      <c r="CY67" s="265" t="e">
        <f t="shared" si="120"/>
        <v>#VALUE!</v>
      </c>
      <c r="CZ67" s="265" t="e">
        <f t="shared" si="121"/>
        <v>#VALUE!</v>
      </c>
      <c r="DA67" s="265"/>
      <c r="DB67" s="328">
        <f t="shared" si="122"/>
        <v>3</v>
      </c>
      <c r="DC67" s="265" t="str">
        <f t="shared" si="123"/>
        <v>STN 3</v>
      </c>
      <c r="DD67" s="265">
        <f t="shared" si="124"/>
        <v>3</v>
      </c>
      <c r="DE67" s="265">
        <f t="shared" si="125"/>
        <v>3</v>
      </c>
    </row>
    <row r="68" spans="1:142" x14ac:dyDescent="0.25">
      <c r="A68" s="338" t="s">
        <v>18</v>
      </c>
      <c r="B68" s="339">
        <v>1</v>
      </c>
      <c r="C68" s="339">
        <v>2</v>
      </c>
      <c r="D68" s="339">
        <v>3</v>
      </c>
      <c r="E68" s="339">
        <v>4</v>
      </c>
      <c r="F68" s="339">
        <v>5</v>
      </c>
      <c r="G68" s="339">
        <v>6</v>
      </c>
      <c r="H68" s="339">
        <v>7</v>
      </c>
      <c r="I68" s="339">
        <v>8</v>
      </c>
      <c r="J68" s="339">
        <v>9</v>
      </c>
      <c r="K68" s="339">
        <v>10</v>
      </c>
      <c r="L68" s="339">
        <v>11</v>
      </c>
      <c r="M68" s="339">
        <v>12</v>
      </c>
      <c r="N68" s="339">
        <v>13</v>
      </c>
      <c r="O68" s="339">
        <v>14</v>
      </c>
      <c r="P68" s="339">
        <v>15</v>
      </c>
      <c r="Q68" s="339">
        <v>16</v>
      </c>
      <c r="R68" s="339">
        <v>17</v>
      </c>
      <c r="S68" s="339">
        <v>18</v>
      </c>
      <c r="T68" s="339">
        <v>19</v>
      </c>
      <c r="U68" s="339">
        <v>20</v>
      </c>
      <c r="V68" s="339">
        <v>21</v>
      </c>
      <c r="W68" s="339">
        <v>22</v>
      </c>
      <c r="X68" s="339">
        <v>23</v>
      </c>
      <c r="Y68" s="339">
        <v>24</v>
      </c>
      <c r="Z68" s="339">
        <v>25</v>
      </c>
      <c r="AB68" s="340" t="s">
        <v>20</v>
      </c>
      <c r="AC68" s="341"/>
      <c r="AD68" s="341"/>
      <c r="AE68" s="341"/>
      <c r="AF68" s="341"/>
      <c r="AG68" s="341"/>
      <c r="AH68" s="341"/>
      <c r="AI68" s="341"/>
      <c r="AJ68" s="341"/>
      <c r="AK68" s="341"/>
      <c r="AL68" s="341"/>
      <c r="AM68" s="341"/>
      <c r="AN68" s="341"/>
      <c r="AO68" s="341"/>
      <c r="AP68" s="341"/>
      <c r="AQ68" s="341"/>
      <c r="AR68" s="341"/>
      <c r="AS68" s="341"/>
      <c r="AT68" s="341"/>
      <c r="AU68" s="341"/>
      <c r="AV68" s="341"/>
      <c r="AW68" s="341"/>
      <c r="AX68" s="341"/>
      <c r="AY68" s="341"/>
      <c r="AZ68" s="341"/>
      <c r="BA68" s="341"/>
      <c r="BC68" s="342" t="s">
        <v>137</v>
      </c>
      <c r="BD68" s="343"/>
      <c r="BE68" s="343"/>
      <c r="BF68" s="343"/>
      <c r="BG68" s="343"/>
      <c r="BH68" s="343"/>
      <c r="BI68" s="343"/>
      <c r="BJ68" s="343"/>
      <c r="BK68" s="343"/>
      <c r="BL68" s="343"/>
      <c r="BM68" s="343"/>
      <c r="BN68" s="343"/>
      <c r="BO68" s="343"/>
      <c r="BP68" s="343"/>
      <c r="BQ68" s="343"/>
      <c r="BR68" s="343"/>
      <c r="BS68" s="343"/>
      <c r="BT68" s="343"/>
      <c r="BU68" s="343"/>
      <c r="BV68" s="343"/>
      <c r="BW68" s="343"/>
      <c r="BX68" s="343"/>
      <c r="BY68" s="343"/>
      <c r="BZ68" s="343"/>
      <c r="CA68" s="343"/>
      <c r="CB68" s="343"/>
      <c r="CD68" s="146"/>
      <c r="CE68" s="149"/>
      <c r="CF68" s="149"/>
      <c r="CM68" s="265">
        <v>7</v>
      </c>
      <c r="CN68" s="265">
        <f t="shared" si="111"/>
        <v>3</v>
      </c>
      <c r="CO68" s="265">
        <f t="shared" si="112"/>
        <v>3</v>
      </c>
      <c r="CP68" s="265" t="str">
        <f t="shared" si="113"/>
        <v>WL 3</v>
      </c>
      <c r="CQ68" s="265">
        <f t="shared" si="114"/>
        <v>6</v>
      </c>
      <c r="CR68" s="265">
        <f t="shared" si="115"/>
        <v>6</v>
      </c>
      <c r="CS68" s="265"/>
      <c r="CT68" s="328">
        <v>7</v>
      </c>
      <c r="CU68" s="265" t="str">
        <f t="shared" si="116"/>
        <v xml:space="preserve"> </v>
      </c>
      <c r="CV68" s="265" t="str">
        <f t="shared" si="117"/>
        <v xml:space="preserve"> </v>
      </c>
      <c r="CW68" s="265" t="e">
        <f t="shared" si="118"/>
        <v>#VALUE!</v>
      </c>
      <c r="CX68" s="265" t="e">
        <f t="shared" si="119"/>
        <v>#VALUE!</v>
      </c>
      <c r="CY68" s="265" t="e">
        <f t="shared" si="120"/>
        <v>#VALUE!</v>
      </c>
      <c r="CZ68" s="265" t="e">
        <f t="shared" si="121"/>
        <v>#VALUE!</v>
      </c>
      <c r="DA68" s="265"/>
      <c r="DB68" s="328">
        <f t="shared" si="122"/>
        <v>4</v>
      </c>
      <c r="DC68" s="265" t="str">
        <f t="shared" si="123"/>
        <v>STN 4</v>
      </c>
      <c r="DD68" s="265">
        <f t="shared" si="124"/>
        <v>4</v>
      </c>
      <c r="DE68" s="265">
        <f t="shared" si="125"/>
        <v>4</v>
      </c>
    </row>
    <row r="69" spans="1:142" ht="15.75" x14ac:dyDescent="0.25">
      <c r="A69" s="344" t="str">
        <f>Stn_WL</f>
        <v>STN/WL</v>
      </c>
      <c r="B69" s="344">
        <f t="shared" ref="B69:Z69" si="126">AE2</f>
        <v>0</v>
      </c>
      <c r="C69" s="344">
        <f t="shared" si="126"/>
        <v>0.25</v>
      </c>
      <c r="D69" s="344">
        <f t="shared" si="126"/>
        <v>0.5</v>
      </c>
      <c r="E69" s="344">
        <f t="shared" si="126"/>
        <v>0.75</v>
      </c>
      <c r="F69" s="344">
        <f t="shared" si="126"/>
        <v>1</v>
      </c>
      <c r="G69" s="344">
        <f t="shared" si="126"/>
        <v>2</v>
      </c>
      <c r="H69" s="344">
        <f t="shared" si="126"/>
        <v>3</v>
      </c>
      <c r="I69" s="344">
        <f t="shared" si="126"/>
        <v>4</v>
      </c>
      <c r="J69" s="344">
        <f t="shared" si="126"/>
        <v>4.8499999999999996</v>
      </c>
      <c r="K69" s="344">
        <f t="shared" si="126"/>
        <v>5</v>
      </c>
      <c r="L69" s="344">
        <f t="shared" si="126"/>
        <v>6</v>
      </c>
      <c r="M69" s="344">
        <f t="shared" si="126"/>
        <v>6.5</v>
      </c>
      <c r="N69" s="344" t="str">
        <f t="shared" si="126"/>
        <v xml:space="preserve">  </v>
      </c>
      <c r="O69" s="344" t="str">
        <f t="shared" si="126"/>
        <v xml:space="preserve">  </v>
      </c>
      <c r="P69" s="344" t="str">
        <f t="shared" si="126"/>
        <v xml:space="preserve">  </v>
      </c>
      <c r="Q69" s="344" t="str">
        <f t="shared" si="126"/>
        <v xml:space="preserve">  </v>
      </c>
      <c r="R69" s="344" t="str">
        <f t="shared" si="126"/>
        <v xml:space="preserve">  </v>
      </c>
      <c r="S69" s="344" t="str">
        <f t="shared" si="126"/>
        <v xml:space="preserve">  </v>
      </c>
      <c r="T69" s="344" t="str">
        <f t="shared" si="126"/>
        <v xml:space="preserve">  </v>
      </c>
      <c r="U69" s="344" t="str">
        <f t="shared" si="126"/>
        <v xml:space="preserve">  </v>
      </c>
      <c r="V69" s="344" t="str">
        <f t="shared" si="126"/>
        <v xml:space="preserve">  </v>
      </c>
      <c r="W69" s="344" t="str">
        <f t="shared" si="126"/>
        <v xml:space="preserve">  </v>
      </c>
      <c r="X69" s="344" t="str">
        <f t="shared" si="126"/>
        <v xml:space="preserve">  </v>
      </c>
      <c r="Y69" s="344" t="str">
        <f t="shared" si="126"/>
        <v xml:space="preserve">  </v>
      </c>
      <c r="Z69" s="344" t="str">
        <f t="shared" si="126"/>
        <v xml:space="preserve">  </v>
      </c>
      <c r="AB69" s="340" t="str">
        <f t="shared" ref="AB69:BA84" si="127">A69</f>
        <v>STN/WL</v>
      </c>
      <c r="AC69" s="340">
        <f t="shared" si="127"/>
        <v>0</v>
      </c>
      <c r="AD69" s="340">
        <f t="shared" si="127"/>
        <v>0.25</v>
      </c>
      <c r="AE69" s="340">
        <f t="shared" si="127"/>
        <v>0.5</v>
      </c>
      <c r="AF69" s="340">
        <f t="shared" si="127"/>
        <v>0.75</v>
      </c>
      <c r="AG69" s="340">
        <f t="shared" si="127"/>
        <v>1</v>
      </c>
      <c r="AH69" s="340">
        <f t="shared" si="127"/>
        <v>2</v>
      </c>
      <c r="AI69" s="340">
        <f t="shared" si="127"/>
        <v>3</v>
      </c>
      <c r="AJ69" s="340">
        <f t="shared" si="127"/>
        <v>4</v>
      </c>
      <c r="AK69" s="340">
        <f t="shared" si="127"/>
        <v>4.8499999999999996</v>
      </c>
      <c r="AL69" s="340">
        <f t="shared" si="127"/>
        <v>5</v>
      </c>
      <c r="AM69" s="340">
        <f t="shared" si="127"/>
        <v>6</v>
      </c>
      <c r="AN69" s="340">
        <f t="shared" si="127"/>
        <v>6.5</v>
      </c>
      <c r="AO69" s="340" t="str">
        <f t="shared" si="127"/>
        <v xml:space="preserve">  </v>
      </c>
      <c r="AP69" s="340" t="str">
        <f t="shared" si="127"/>
        <v xml:space="preserve">  </v>
      </c>
      <c r="AQ69" s="340" t="str">
        <f t="shared" si="127"/>
        <v xml:space="preserve">  </v>
      </c>
      <c r="AR69" s="340" t="str">
        <f t="shared" si="127"/>
        <v xml:space="preserve">  </v>
      </c>
      <c r="AS69" s="340" t="str">
        <f t="shared" si="127"/>
        <v xml:space="preserve">  </v>
      </c>
      <c r="AT69" s="340" t="str">
        <f t="shared" si="127"/>
        <v xml:space="preserve">  </v>
      </c>
      <c r="AU69" s="340" t="str">
        <f t="shared" si="127"/>
        <v xml:space="preserve">  </v>
      </c>
      <c r="AV69" s="340" t="str">
        <f t="shared" si="127"/>
        <v xml:space="preserve">  </v>
      </c>
      <c r="AW69" s="340" t="str">
        <f t="shared" si="127"/>
        <v xml:space="preserve">  </v>
      </c>
      <c r="AX69" s="340" t="str">
        <f t="shared" si="127"/>
        <v xml:space="preserve">  </v>
      </c>
      <c r="AY69" s="340" t="str">
        <f t="shared" si="127"/>
        <v xml:space="preserve">  </v>
      </c>
      <c r="AZ69" s="340" t="str">
        <f t="shared" si="127"/>
        <v xml:space="preserve">  </v>
      </c>
      <c r="BA69" s="340" t="str">
        <f t="shared" si="127"/>
        <v xml:space="preserve">  </v>
      </c>
      <c r="BC69" s="345" t="s">
        <v>253</v>
      </c>
      <c r="BD69" s="346">
        <f t="shared" ref="BD69:CB69" si="128">IFERROR(AE2*1,"")</f>
        <v>0</v>
      </c>
      <c r="BE69" s="346">
        <f t="shared" si="128"/>
        <v>0.25</v>
      </c>
      <c r="BF69" s="346">
        <f t="shared" si="128"/>
        <v>0.5</v>
      </c>
      <c r="BG69" s="346">
        <f t="shared" si="128"/>
        <v>0.75</v>
      </c>
      <c r="BH69" s="346">
        <f t="shared" si="128"/>
        <v>1</v>
      </c>
      <c r="BI69" s="346">
        <f t="shared" si="128"/>
        <v>2</v>
      </c>
      <c r="BJ69" s="346">
        <f t="shared" si="128"/>
        <v>3</v>
      </c>
      <c r="BK69" s="346">
        <f t="shared" si="128"/>
        <v>4</v>
      </c>
      <c r="BL69" s="346">
        <f t="shared" si="128"/>
        <v>4.8499999999999996</v>
      </c>
      <c r="BM69" s="346">
        <f t="shared" si="128"/>
        <v>5</v>
      </c>
      <c r="BN69" s="346">
        <f t="shared" si="128"/>
        <v>6</v>
      </c>
      <c r="BO69" s="346">
        <f t="shared" si="128"/>
        <v>6.5</v>
      </c>
      <c r="BP69" s="346" t="str">
        <f t="shared" si="128"/>
        <v/>
      </c>
      <c r="BQ69" s="346" t="str">
        <f t="shared" si="128"/>
        <v/>
      </c>
      <c r="BR69" s="346" t="str">
        <f t="shared" si="128"/>
        <v/>
      </c>
      <c r="BS69" s="346" t="str">
        <f t="shared" si="128"/>
        <v/>
      </c>
      <c r="BT69" s="346" t="str">
        <f t="shared" si="128"/>
        <v/>
      </c>
      <c r="BU69" s="346" t="str">
        <f t="shared" si="128"/>
        <v/>
      </c>
      <c r="BV69" s="346" t="str">
        <f t="shared" si="128"/>
        <v/>
      </c>
      <c r="BW69" s="346" t="str">
        <f t="shared" si="128"/>
        <v/>
      </c>
      <c r="BX69" s="346" t="str">
        <f t="shared" si="128"/>
        <v/>
      </c>
      <c r="BY69" s="346" t="str">
        <f t="shared" si="128"/>
        <v/>
      </c>
      <c r="BZ69" s="346" t="str">
        <f t="shared" si="128"/>
        <v/>
      </c>
      <c r="CA69" s="346" t="str">
        <f t="shared" si="128"/>
        <v/>
      </c>
      <c r="CB69" s="346" t="str">
        <f t="shared" si="128"/>
        <v/>
      </c>
      <c r="CD69" s="130"/>
      <c r="CE69" s="154" t="str">
        <f>CONCATENATE("Height=",DEPTH,"x")</f>
        <v>Height=13x</v>
      </c>
      <c r="CF69" s="155">
        <v>1</v>
      </c>
      <c r="CM69" s="265">
        <v>8</v>
      </c>
      <c r="CN69" s="265">
        <f t="shared" si="111"/>
        <v>4</v>
      </c>
      <c r="CO69" s="265">
        <f t="shared" si="112"/>
        <v>4</v>
      </c>
      <c r="CP69" s="265" t="str">
        <f t="shared" si="113"/>
        <v>WL 4</v>
      </c>
      <c r="CQ69" s="265">
        <f t="shared" si="114"/>
        <v>8</v>
      </c>
      <c r="CR69" s="265">
        <f t="shared" si="115"/>
        <v>8</v>
      </c>
      <c r="CS69" s="265"/>
      <c r="CT69" s="328">
        <v>8</v>
      </c>
      <c r="CU69" s="265" t="str">
        <f t="shared" si="116"/>
        <v xml:space="preserve"> </v>
      </c>
      <c r="CV69" s="265" t="str">
        <f t="shared" si="117"/>
        <v xml:space="preserve"> </v>
      </c>
      <c r="CW69" s="265" t="e">
        <f t="shared" si="118"/>
        <v>#VALUE!</v>
      </c>
      <c r="CX69" s="265" t="e">
        <f t="shared" si="119"/>
        <v>#VALUE!</v>
      </c>
      <c r="CY69" s="265" t="e">
        <f t="shared" si="120"/>
        <v>#VALUE!</v>
      </c>
      <c r="CZ69" s="265" t="e">
        <f t="shared" si="121"/>
        <v>#VALUE!</v>
      </c>
      <c r="DA69" s="265"/>
      <c r="DB69" s="328">
        <f t="shared" si="122"/>
        <v>5</v>
      </c>
      <c r="DC69" s="265" t="str">
        <f t="shared" si="123"/>
        <v>STN 5</v>
      </c>
      <c r="DD69" s="265">
        <f t="shared" si="124"/>
        <v>5</v>
      </c>
      <c r="DE69" s="265">
        <f t="shared" si="125"/>
        <v>5</v>
      </c>
    </row>
    <row r="70" spans="1:142" x14ac:dyDescent="0.25">
      <c r="A70" s="344">
        <f t="shared" ref="A70:A94" si="129">AD3</f>
        <v>0</v>
      </c>
      <c r="B70" s="339">
        <f t="array" ref="B70:Z70">TRANSPOSE('Stn(1)'!D4:D28)</f>
        <v>0</v>
      </c>
      <c r="C70" s="339">
        <v>0</v>
      </c>
      <c r="D70" s="339">
        <v>0</v>
      </c>
      <c r="E70" s="339">
        <v>0</v>
      </c>
      <c r="F70" s="339">
        <v>0</v>
      </c>
      <c r="G70" s="339">
        <v>0</v>
      </c>
      <c r="H70" s="339">
        <v>0</v>
      </c>
      <c r="I70" s="339">
        <v>0.9</v>
      </c>
      <c r="J70" s="339">
        <v>6.8329999999999975</v>
      </c>
      <c r="K70" s="339">
        <v>8.6466666666666665</v>
      </c>
      <c r="L70" s="339">
        <v>22.233333333333331</v>
      </c>
      <c r="M70" s="339">
        <v>30.293333333333329</v>
      </c>
      <c r="N70" s="339" t="str">
        <v xml:space="preserve"> </v>
      </c>
      <c r="O70" s="339" t="str">
        <v xml:space="preserve"> </v>
      </c>
      <c r="P70" s="339" t="str">
        <v xml:space="preserve"> </v>
      </c>
      <c r="Q70" s="339" t="str">
        <v xml:space="preserve"> </v>
      </c>
      <c r="R70" s="339" t="str">
        <v xml:space="preserve"> </v>
      </c>
      <c r="S70" s="339" t="str">
        <v xml:space="preserve"> </v>
      </c>
      <c r="T70" s="339" t="str">
        <v xml:space="preserve"> </v>
      </c>
      <c r="U70" s="339" t="str">
        <v xml:space="preserve"> </v>
      </c>
      <c r="V70" s="339" t="str">
        <v xml:space="preserve"> </v>
      </c>
      <c r="W70" s="339" t="str">
        <v xml:space="preserve"> </v>
      </c>
      <c r="X70" s="339" t="str">
        <v xml:space="preserve"> </v>
      </c>
      <c r="Y70" s="339" t="str">
        <v xml:space="preserve"> </v>
      </c>
      <c r="Z70" s="339" t="str">
        <v xml:space="preserve"> </v>
      </c>
      <c r="AB70" s="340">
        <f t="shared" si="127"/>
        <v>0</v>
      </c>
      <c r="AC70" s="341">
        <f t="array" ref="AC70:BA70">TRANSPOSE('Stn(1)'!E4:E28)</f>
        <v>0</v>
      </c>
      <c r="AD70" s="341">
        <v>0</v>
      </c>
      <c r="AE70" s="341">
        <v>0</v>
      </c>
      <c r="AF70" s="341">
        <v>0</v>
      </c>
      <c r="AG70" s="341">
        <v>0</v>
      </c>
      <c r="AH70" s="341">
        <v>0</v>
      </c>
      <c r="AI70" s="341">
        <v>0</v>
      </c>
      <c r="AJ70" s="341">
        <v>6.8999999999999995</v>
      </c>
      <c r="AK70" s="341">
        <v>60.221066666666637</v>
      </c>
      <c r="AL70" s="341">
        <v>77.900000000000006</v>
      </c>
      <c r="AM70" s="341">
        <v>228.02</v>
      </c>
      <c r="AN70" s="341">
        <v>328.84000000000003</v>
      </c>
      <c r="AO70" s="341" t="str">
        <v xml:space="preserve"> </v>
      </c>
      <c r="AP70" s="341" t="str">
        <v xml:space="preserve"> </v>
      </c>
      <c r="AQ70" s="341" t="str">
        <v xml:space="preserve"> </v>
      </c>
      <c r="AR70" s="341" t="str">
        <v xml:space="preserve"> </v>
      </c>
      <c r="AS70" s="341" t="str">
        <v xml:space="preserve"> </v>
      </c>
      <c r="AT70" s="341" t="str">
        <v xml:space="preserve"> </v>
      </c>
      <c r="AU70" s="341" t="str">
        <v xml:space="preserve"> </v>
      </c>
      <c r="AV70" s="341" t="str">
        <v xml:space="preserve"> </v>
      </c>
      <c r="AW70" s="341" t="str">
        <v xml:space="preserve"> </v>
      </c>
      <c r="AX70" s="341" t="str">
        <v xml:space="preserve"> </v>
      </c>
      <c r="AY70" s="341" t="str">
        <v xml:space="preserve"> </v>
      </c>
      <c r="AZ70" s="341" t="str">
        <v xml:space="preserve"> </v>
      </c>
      <c r="BA70" s="341" t="str">
        <v xml:space="preserve"> </v>
      </c>
      <c r="BC70" s="347" t="s">
        <v>34</v>
      </c>
      <c r="BD70" s="348">
        <f>IFERROR('WL (1)'!$S11,"-")</f>
        <v>1812.1490000000001</v>
      </c>
      <c r="BE70" s="348">
        <f>IFERROR('WL (2)'!$S11,"-")</f>
        <v>2079.451333333333</v>
      </c>
      <c r="BF70" s="348">
        <f>IFERROR('WL (3)'!$S11,"-")</f>
        <v>2223.2877666666668</v>
      </c>
      <c r="BG70" s="348">
        <f>IFERROR('WL (4)'!$S11,"-")</f>
        <v>2319.341166666667</v>
      </c>
      <c r="BH70" s="348">
        <f>IFERROR('WL (5)'!$S11,"-")</f>
        <v>2383.1818333333331</v>
      </c>
      <c r="BI70" s="348">
        <f>IFERROR('WL (6)'!$S11,"-")</f>
        <v>2521.2920999999992</v>
      </c>
      <c r="BJ70" s="348">
        <f>IFERROR('WL (7)'!$S11,"-")</f>
        <v>2597.6084999999998</v>
      </c>
      <c r="BK70" s="348">
        <f>IFERROR('WL (8)'!$S11,"-")</f>
        <v>2693.6560519999998</v>
      </c>
      <c r="BL70" s="348">
        <f>IFERROR('WL (9)'!$S11,"-")</f>
        <v>2781.5848743333331</v>
      </c>
      <c r="BM70" s="348">
        <f>IFERROR('WL (10)'!$S11,"-")</f>
        <v>2794.6734293333334</v>
      </c>
      <c r="BN70" s="348">
        <f>IFERROR('WL (11)'!$S11,"-")</f>
        <v>2871.8065999999999</v>
      </c>
      <c r="BO70" s="348">
        <f>IFERROR('WL (12)'!$S11,"-")</f>
        <v>2910.4277666666671</v>
      </c>
      <c r="BP70" s="348" t="str">
        <f>IFERROR('WL (13)'!$S11,"-")</f>
        <v xml:space="preserve">  </v>
      </c>
      <c r="BQ70" s="348" t="str">
        <f>IFERROR('WL (14)'!$S11,"-")</f>
        <v xml:space="preserve">  </v>
      </c>
      <c r="BR70" s="348" t="str">
        <f>IFERROR('WL (15)'!$S11,"-")</f>
        <v xml:space="preserve">  </v>
      </c>
      <c r="BS70" s="348" t="str">
        <f>IFERROR('WL (16)'!$S11,"-")</f>
        <v xml:space="preserve">  </v>
      </c>
      <c r="BT70" s="348" t="str">
        <f>IFERROR('WL (17)'!$S11,"-")</f>
        <v xml:space="preserve">  </v>
      </c>
      <c r="BU70" s="348" t="str">
        <f>IFERROR('WL (18)'!$S11,"-")</f>
        <v xml:space="preserve">  </v>
      </c>
      <c r="BV70" s="348" t="str">
        <f>IFERROR('WL (19)'!$S11,"-")</f>
        <v xml:space="preserve">  </v>
      </c>
      <c r="BW70" s="348" t="str">
        <f>IFERROR('WL (20)'!$S11,"-")</f>
        <v xml:space="preserve">  </v>
      </c>
      <c r="BX70" s="348" t="str">
        <f>IFERROR('WL (21)'!$S11,"-")</f>
        <v xml:space="preserve">  </v>
      </c>
      <c r="BY70" s="348" t="str">
        <f>IFERROR('WL (22)'!$S11,"-")</f>
        <v xml:space="preserve">  </v>
      </c>
      <c r="BZ70" s="348" t="str">
        <f>IFERROR('WL (23)'!$S11,"-")</f>
        <v xml:space="preserve">  </v>
      </c>
      <c r="CA70" s="348" t="str">
        <f>IFERROR('WL (24)'!$S11,"-")</f>
        <v xml:space="preserve">  </v>
      </c>
      <c r="CB70" s="348" t="str">
        <f>IFERROR('WL (25)'!$S11,"-")</f>
        <v xml:space="preserve">  </v>
      </c>
      <c r="CD70" s="146"/>
      <c r="CE70" s="146"/>
      <c r="CF70" s="146"/>
      <c r="CM70" s="265">
        <v>9</v>
      </c>
      <c r="CN70" s="265">
        <f t="shared" si="111"/>
        <v>4.8499999999999996</v>
      </c>
      <c r="CO70" s="265">
        <f t="shared" si="112"/>
        <v>4.8499999999999996</v>
      </c>
      <c r="CP70" s="265" t="str">
        <f t="shared" si="113"/>
        <v>WL 4.85</v>
      </c>
      <c r="CQ70" s="265">
        <f t="shared" ref="CQ70" si="130">CO70*WLS</f>
        <v>9.6999999999999993</v>
      </c>
      <c r="CR70" s="265">
        <f t="shared" si="115"/>
        <v>9.6999999999999993</v>
      </c>
      <c r="CS70" s="265"/>
      <c r="CT70" s="328">
        <v>9</v>
      </c>
      <c r="CU70" s="265" t="str">
        <f t="shared" ref="CU70" si="131">IF(CT70&lt;=(No_of_BTKs+1),CT70," ")</f>
        <v xml:space="preserve"> </v>
      </c>
      <c r="CV70" s="265" t="str">
        <f t="shared" ref="CV70" si="132">IF(CU70&lt;=No_of_BTKs,CONCATENATE("BTK ",CU70),IF(CU70=No_of_BTKs+1,"SIDE"," "))</f>
        <v xml:space="preserve"> </v>
      </c>
      <c r="CW70" s="265" t="e">
        <f t="shared" ref="CW70" si="133">-BREADTH/2/(No_of_BTKs+1)*CU70</f>
        <v>#VALUE!</v>
      </c>
      <c r="CX70" s="265" t="e">
        <f t="shared" si="119"/>
        <v>#VALUE!</v>
      </c>
      <c r="CY70" s="265" t="e">
        <f t="shared" ref="CY70" si="134">BREADTH/2/(No_of_BTKs+1)*CU70</f>
        <v>#VALUE!</v>
      </c>
      <c r="CZ70" s="265" t="e">
        <f t="shared" si="121"/>
        <v>#VALUE!</v>
      </c>
      <c r="DA70" s="265"/>
      <c r="DB70" s="328">
        <f t="shared" si="122"/>
        <v>6</v>
      </c>
      <c r="DC70" s="265" t="str">
        <f t="shared" si="123"/>
        <v>STN 6</v>
      </c>
      <c r="DD70" s="265">
        <f t="shared" si="124"/>
        <v>6</v>
      </c>
      <c r="DE70" s="265">
        <f t="shared" si="125"/>
        <v>6</v>
      </c>
    </row>
    <row r="71" spans="1:142" ht="21" x14ac:dyDescent="0.35">
      <c r="A71" s="344">
        <f t="shared" si="129"/>
        <v>0.5</v>
      </c>
      <c r="B71" s="339">
        <f t="array" ref="B71:Z71">TRANSPOSE('Stn(2)'!D4:D28)</f>
        <v>0</v>
      </c>
      <c r="C71" s="339">
        <v>0.15833333333333333</v>
      </c>
      <c r="D71" s="339">
        <v>0.3666666666666667</v>
      </c>
      <c r="E71" s="339">
        <v>0.56166666666666665</v>
      </c>
      <c r="F71" s="339">
        <v>0.79666666666666663</v>
      </c>
      <c r="G71" s="339">
        <v>1.8733333333333333</v>
      </c>
      <c r="H71" s="339">
        <v>3.7699999999999996</v>
      </c>
      <c r="I71" s="339">
        <v>9.0733333333333341</v>
      </c>
      <c r="J71" s="339">
        <v>20.310333333333329</v>
      </c>
      <c r="K71" s="339">
        <v>23.463333333333331</v>
      </c>
      <c r="L71" s="339">
        <v>42.966666666666669</v>
      </c>
      <c r="M71" s="339">
        <v>54.24666666666667</v>
      </c>
      <c r="N71" s="339" t="str">
        <v xml:space="preserve"> </v>
      </c>
      <c r="O71" s="339" t="str">
        <v xml:space="preserve"> </v>
      </c>
      <c r="P71" s="339" t="str">
        <v xml:space="preserve"> </v>
      </c>
      <c r="Q71" s="339" t="str">
        <v xml:space="preserve"> </v>
      </c>
      <c r="R71" s="339" t="str">
        <v xml:space="preserve"> </v>
      </c>
      <c r="S71" s="339" t="str">
        <v xml:space="preserve"> </v>
      </c>
      <c r="T71" s="339" t="str">
        <v xml:space="preserve"> </v>
      </c>
      <c r="U71" s="339" t="str">
        <v xml:space="preserve"> </v>
      </c>
      <c r="V71" s="339" t="str">
        <v xml:space="preserve"> </v>
      </c>
      <c r="W71" s="339" t="str">
        <v xml:space="preserve"> </v>
      </c>
      <c r="X71" s="339" t="str">
        <v xml:space="preserve"> </v>
      </c>
      <c r="Y71" s="339" t="str">
        <v xml:space="preserve"> </v>
      </c>
      <c r="Z71" s="339" t="str">
        <v xml:space="preserve"> </v>
      </c>
      <c r="AB71" s="340">
        <f t="shared" si="127"/>
        <v>0.5</v>
      </c>
      <c r="AC71" s="341">
        <f t="array" ref="AC71:BA71">TRANSPOSE('Stn(2)'!E4:E28)</f>
        <v>0</v>
      </c>
      <c r="AD71" s="341">
        <v>4.374999999999999E-2</v>
      </c>
      <c r="AE71" s="341">
        <v>0.2</v>
      </c>
      <c r="AF71" s="341">
        <v>0.44875000000000004</v>
      </c>
      <c r="AG71" s="341">
        <v>0.85333333333333328</v>
      </c>
      <c r="AH71" s="341">
        <v>4.1366666666666667</v>
      </c>
      <c r="AI71" s="341">
        <v>13.84</v>
      </c>
      <c r="AJ71" s="341">
        <v>52.936666666666667</v>
      </c>
      <c r="AK71" s="341">
        <v>153.22703333333328</v>
      </c>
      <c r="AL71" s="341">
        <v>181.33333333333334</v>
      </c>
      <c r="AM71" s="341">
        <v>399.86999999999995</v>
      </c>
      <c r="AN71" s="341">
        <v>540.93999999999994</v>
      </c>
      <c r="AO71" s="341" t="str">
        <v xml:space="preserve"> </v>
      </c>
      <c r="AP71" s="341" t="str">
        <v xml:space="preserve"> </v>
      </c>
      <c r="AQ71" s="341" t="str">
        <v xml:space="preserve"> </v>
      </c>
      <c r="AR71" s="341" t="str">
        <v xml:space="preserve"> </v>
      </c>
      <c r="AS71" s="341" t="str">
        <v xml:space="preserve"> </v>
      </c>
      <c r="AT71" s="341" t="str">
        <v xml:space="preserve"> </v>
      </c>
      <c r="AU71" s="341" t="str">
        <v xml:space="preserve"> </v>
      </c>
      <c r="AV71" s="341" t="str">
        <v xml:space="preserve"> </v>
      </c>
      <c r="AW71" s="341" t="str">
        <v xml:space="preserve"> </v>
      </c>
      <c r="AX71" s="341" t="str">
        <v xml:space="preserve"> </v>
      </c>
      <c r="AY71" s="341" t="str">
        <v xml:space="preserve"> </v>
      </c>
      <c r="AZ71" s="341" t="str">
        <v xml:space="preserve"> </v>
      </c>
      <c r="BA71" s="341" t="str">
        <v xml:space="preserve"> </v>
      </c>
      <c r="BC71" s="349" t="s">
        <v>36</v>
      </c>
      <c r="BD71" s="348">
        <f>IFERROR('WL (1)'!$S12,"-")</f>
        <v>10979.337346666665</v>
      </c>
      <c r="BE71" s="348">
        <f>IFERROR('WL (2)'!$S12,"-")</f>
        <v>11633.038969999996</v>
      </c>
      <c r="BF71" s="348">
        <f>IFERROR('WL (3)'!$S12,"-")</f>
        <v>11655.125891333333</v>
      </c>
      <c r="BG71" s="348">
        <f>IFERROR('WL (4)'!$S12,"-")</f>
        <v>11646.576115333326</v>
      </c>
      <c r="BH71" s="348">
        <f>IFERROR('WL (5)'!$S12,"-")</f>
        <v>11558.584670666662</v>
      </c>
      <c r="BI71" s="348">
        <f>IFERROR('WL (6)'!$S12,"-")</f>
        <v>9820.4864580000067</v>
      </c>
      <c r="BJ71" s="348">
        <f>IFERROR('WL (7)'!$S12,"-")</f>
        <v>7173.6183046666629</v>
      </c>
      <c r="BK71" s="348">
        <f>IFERROR('WL (8)'!$S12,"-")</f>
        <v>2879.1513176266726</v>
      </c>
      <c r="BL71" s="348">
        <f>IFERROR('WL (9)'!$S12,"-")</f>
        <v>-494.34804831999929</v>
      </c>
      <c r="BM71" s="348">
        <f>IFERROR('WL (10)'!$S12,"-")</f>
        <v>-857.5496576133321</v>
      </c>
      <c r="BN71" s="348">
        <f>IFERROR('WL (11)'!$S12,"-")</f>
        <v>-2185.536489999999</v>
      </c>
      <c r="BO71" s="348">
        <f>IFERROR('WL (12)'!$S12,"-")</f>
        <v>-2594.1445346666665</v>
      </c>
      <c r="BP71" s="348" t="str">
        <f>IFERROR('WL (13)'!$S12,"-")</f>
        <v xml:space="preserve">  </v>
      </c>
      <c r="BQ71" s="348" t="str">
        <f>IFERROR('WL (14)'!$S12,"-")</f>
        <v xml:space="preserve">  </v>
      </c>
      <c r="BR71" s="348" t="str">
        <f>IFERROR('WL (15)'!$S12,"-")</f>
        <v xml:space="preserve">  </v>
      </c>
      <c r="BS71" s="348" t="str">
        <f>IFERROR('WL (16)'!$S12,"-")</f>
        <v xml:space="preserve">  </v>
      </c>
      <c r="BT71" s="348" t="str">
        <f>IFERROR('WL (17)'!$S12,"-")</f>
        <v xml:space="preserve">  </v>
      </c>
      <c r="BU71" s="348" t="str">
        <f>IFERROR('WL (18)'!$S12,"-")</f>
        <v xml:space="preserve">  </v>
      </c>
      <c r="BV71" s="348" t="str">
        <f>IFERROR('WL (19)'!$S12,"-")</f>
        <v xml:space="preserve">  </v>
      </c>
      <c r="BW71" s="348" t="str">
        <f>IFERROR('WL (20)'!$S12,"-")</f>
        <v xml:space="preserve">  </v>
      </c>
      <c r="BX71" s="348" t="str">
        <f>IFERROR('WL (21)'!$S12,"-")</f>
        <v xml:space="preserve">  </v>
      </c>
      <c r="BY71" s="348" t="str">
        <f>IFERROR('WL (22)'!$S12,"-")</f>
        <v xml:space="preserve">  </v>
      </c>
      <c r="BZ71" s="348" t="str">
        <f>IFERROR('WL (23)'!$S12,"-")</f>
        <v xml:space="preserve">  </v>
      </c>
      <c r="CA71" s="348" t="str">
        <f>IFERROR('WL (24)'!$S12,"-")</f>
        <v xml:space="preserve">  </v>
      </c>
      <c r="CB71" s="348" t="str">
        <f>IFERROR('WL (25)'!$S12,"-")</f>
        <v xml:space="preserve">  </v>
      </c>
      <c r="CD71" s="422" t="s">
        <v>144</v>
      </c>
      <c r="CE71" s="146"/>
      <c r="CF71" s="146"/>
      <c r="CG71" s="180" t="s">
        <v>160</v>
      </c>
      <c r="CH71" s="146"/>
      <c r="CI71" s="146"/>
      <c r="CJ71" s="146"/>
      <c r="CM71" s="265">
        <v>10</v>
      </c>
      <c r="CN71" s="265">
        <f t="shared" si="111"/>
        <v>5</v>
      </c>
      <c r="CO71" s="265">
        <f t="shared" si="112"/>
        <v>5</v>
      </c>
      <c r="CP71" s="265" t="str">
        <f t="shared" si="113"/>
        <v>WL 5</v>
      </c>
      <c r="CQ71" s="265">
        <f t="shared" ref="CQ71" si="135">CO71*WLS</f>
        <v>10</v>
      </c>
      <c r="CR71" s="265">
        <f t="shared" si="115"/>
        <v>10</v>
      </c>
      <c r="CS71" s="265"/>
      <c r="CT71" s="328">
        <v>10</v>
      </c>
      <c r="CU71" s="265" t="str">
        <f t="shared" ref="CU71" si="136">IF(CT71&lt;=(No_of_BTKs+1),CT71," ")</f>
        <v xml:space="preserve"> </v>
      </c>
      <c r="CV71" s="265" t="str">
        <f t="shared" ref="CV71" si="137">IF(CU71&lt;=No_of_BTKs,CONCATENATE("BTK ",CU71),IF(CU71=No_of_BTKs+1,"SIDE"," "))</f>
        <v xml:space="preserve"> </v>
      </c>
      <c r="CW71" s="265" t="e">
        <f t="shared" ref="CW71" si="138">-BREADTH/2/(No_of_BTKs+1)*CU71</f>
        <v>#VALUE!</v>
      </c>
      <c r="CX71" s="265" t="e">
        <f t="shared" si="119"/>
        <v>#VALUE!</v>
      </c>
      <c r="CY71" s="265" t="e">
        <f t="shared" ref="CY71" si="139">BREADTH/2/(No_of_BTKs+1)*CU71</f>
        <v>#VALUE!</v>
      </c>
      <c r="CZ71" s="265" t="e">
        <f t="shared" si="121"/>
        <v>#VALUE!</v>
      </c>
      <c r="DA71" s="265"/>
      <c r="DB71" s="328">
        <f t="shared" si="122"/>
        <v>7</v>
      </c>
      <c r="DC71" s="265" t="str">
        <f t="shared" si="123"/>
        <v>STN 7</v>
      </c>
      <c r="DD71" s="265">
        <f t="shared" si="124"/>
        <v>7</v>
      </c>
      <c r="DE71" s="265">
        <f t="shared" si="125"/>
        <v>7</v>
      </c>
    </row>
    <row r="72" spans="1:142" x14ac:dyDescent="0.25">
      <c r="A72" s="344">
        <f t="shared" si="129"/>
        <v>1</v>
      </c>
      <c r="B72" s="339">
        <f t="array" ref="B72:Z72">TRANSPOSE('Stn(3)'!D4:D28)</f>
        <v>0</v>
      </c>
      <c r="C72" s="339">
        <v>0.40166666666666667</v>
      </c>
      <c r="D72" s="339">
        <v>0.99333333333333329</v>
      </c>
      <c r="E72" s="339">
        <v>1.7516666666666665</v>
      </c>
      <c r="F72" s="339">
        <v>2.6533333333333333</v>
      </c>
      <c r="G72" s="339">
        <v>7.37</v>
      </c>
      <c r="H72" s="339">
        <v>14.666666666666664</v>
      </c>
      <c r="I72" s="339">
        <v>26.743333333333332</v>
      </c>
      <c r="J72" s="339">
        <v>43.029333333333327</v>
      </c>
      <c r="K72" s="339">
        <v>46.786666666666662</v>
      </c>
      <c r="L72" s="339">
        <v>71.98333333333332</v>
      </c>
      <c r="M72" s="339">
        <v>86.053333333333313</v>
      </c>
      <c r="N72" s="339" t="str">
        <v xml:space="preserve"> </v>
      </c>
      <c r="O72" s="339" t="str">
        <v xml:space="preserve"> </v>
      </c>
      <c r="P72" s="339" t="str">
        <v xml:space="preserve"> </v>
      </c>
      <c r="Q72" s="339" t="str">
        <v xml:space="preserve"> </v>
      </c>
      <c r="R72" s="339" t="str">
        <v xml:space="preserve"> </v>
      </c>
      <c r="S72" s="339" t="str">
        <v xml:space="preserve"> </v>
      </c>
      <c r="T72" s="339" t="str">
        <v xml:space="preserve"> </v>
      </c>
      <c r="U72" s="339" t="str">
        <v xml:space="preserve"> </v>
      </c>
      <c r="V72" s="339" t="str">
        <v xml:space="preserve"> </v>
      </c>
      <c r="W72" s="339" t="str">
        <v xml:space="preserve"> </v>
      </c>
      <c r="X72" s="339" t="str">
        <v xml:space="preserve"> </v>
      </c>
      <c r="Y72" s="339" t="str">
        <v xml:space="preserve"> </v>
      </c>
      <c r="Z72" s="339" t="str">
        <v xml:space="preserve"> </v>
      </c>
      <c r="AB72" s="340">
        <f t="shared" si="127"/>
        <v>1</v>
      </c>
      <c r="AC72" s="341">
        <f t="array" ref="AC72:BA72">TRANSPOSE('Stn(3)'!E4:E28)</f>
        <v>0</v>
      </c>
      <c r="AD72" s="341">
        <v>0.10875000000000001</v>
      </c>
      <c r="AE72" s="341">
        <v>0.56000000000000005</v>
      </c>
      <c r="AF72" s="341">
        <v>1.5137499999999999</v>
      </c>
      <c r="AG72" s="341">
        <v>3.0999999999999996</v>
      </c>
      <c r="AH72" s="341">
        <v>17.556666666666665</v>
      </c>
      <c r="AI72" s="341">
        <v>54.593333333333341</v>
      </c>
      <c r="AJ72" s="341">
        <v>140.64999999999998</v>
      </c>
      <c r="AK72" s="341">
        <v>285.53249999999991</v>
      </c>
      <c r="AL72" s="341">
        <v>320.91333333333336</v>
      </c>
      <c r="AM72" s="341">
        <v>600.49</v>
      </c>
      <c r="AN72" s="341">
        <v>776.44333333333338</v>
      </c>
      <c r="AO72" s="341" t="str">
        <v xml:space="preserve"> </v>
      </c>
      <c r="AP72" s="341" t="str">
        <v xml:space="preserve"> </v>
      </c>
      <c r="AQ72" s="341" t="str">
        <v xml:space="preserve"> </v>
      </c>
      <c r="AR72" s="341" t="str">
        <v xml:space="preserve"> </v>
      </c>
      <c r="AS72" s="341" t="str">
        <v xml:space="preserve"> </v>
      </c>
      <c r="AT72" s="341" t="str">
        <v xml:space="preserve"> </v>
      </c>
      <c r="AU72" s="341" t="str">
        <v xml:space="preserve"> </v>
      </c>
      <c r="AV72" s="341" t="str">
        <v xml:space="preserve"> </v>
      </c>
      <c r="AW72" s="341" t="str">
        <v xml:space="preserve"> </v>
      </c>
      <c r="AX72" s="341" t="str">
        <v xml:space="preserve"> </v>
      </c>
      <c r="AY72" s="341" t="str">
        <v xml:space="preserve"> </v>
      </c>
      <c r="AZ72" s="341" t="str">
        <v xml:space="preserve"> </v>
      </c>
      <c r="BA72" s="341" t="str">
        <v xml:space="preserve"> </v>
      </c>
      <c r="BC72" s="350" t="s">
        <v>39</v>
      </c>
      <c r="BD72" s="348">
        <f>IFERROR('WL (1)'!$S13,"-")</f>
        <v>6.0587387387387377</v>
      </c>
      <c r="BE72" s="348">
        <f>IFERROR('WL (2)'!$S13,"-")</f>
        <v>5.5942828685258954</v>
      </c>
      <c r="BF72" s="348">
        <f>IFERROR('WL (3)'!$S13,"-")</f>
        <v>5.2422929978190105</v>
      </c>
      <c r="BG72" s="348">
        <f>IFERROR('WL (4)'!$S13,"-")</f>
        <v>5.0215019173189015</v>
      </c>
      <c r="BH72" s="348">
        <f>IFERROR('WL (5)'!$S13,"-")</f>
        <v>4.8500641071519848</v>
      </c>
      <c r="BI72" s="348">
        <f>IFERROR('WL (6)'!$S13,"-")</f>
        <v>3.895021309906936</v>
      </c>
      <c r="BJ72" s="348">
        <f>IFERROR('WL (7)'!$S13,"-")</f>
        <v>2.7616241264481016</v>
      </c>
      <c r="BK72" s="348">
        <f>IFERROR('WL (8)'!$S13,"-")</f>
        <v>1.0688637532208112</v>
      </c>
      <c r="BL72" s="348">
        <f>IFERROR('WL (9)'!$S13,"-")</f>
        <v>-0.17772172004583556</v>
      </c>
      <c r="BM72" s="348">
        <f>IFERROR('WL (10)'!$S13,"-")</f>
        <v>-0.30685147273822966</v>
      </c>
      <c r="BN72" s="348">
        <f>IFERROR('WL (11)'!$S13,"-")</f>
        <v>-0.76103191976785589</v>
      </c>
      <c r="BO72" s="348">
        <f>IFERROR('WL (12)'!$S13,"-")</f>
        <v>-0.89132757884513936</v>
      </c>
      <c r="BP72" s="348" t="str">
        <f>IFERROR('WL (13)'!$S13,"-")</f>
        <v xml:space="preserve">  </v>
      </c>
      <c r="BQ72" s="348" t="str">
        <f>IFERROR('WL (14)'!$S13,"-")</f>
        <v xml:space="preserve">  </v>
      </c>
      <c r="BR72" s="348" t="str">
        <f>IFERROR('WL (15)'!$S13,"-")</f>
        <v xml:space="preserve">  </v>
      </c>
      <c r="BS72" s="348" t="str">
        <f>IFERROR('WL (16)'!$S13,"-")</f>
        <v xml:space="preserve">  </v>
      </c>
      <c r="BT72" s="348" t="str">
        <f>IFERROR('WL (17)'!$S13,"-")</f>
        <v xml:space="preserve">  </v>
      </c>
      <c r="BU72" s="348" t="str">
        <f>IFERROR('WL (18)'!$S13,"-")</f>
        <v xml:space="preserve">  </v>
      </c>
      <c r="BV72" s="348" t="str">
        <f>IFERROR('WL (19)'!$S13,"-")</f>
        <v xml:space="preserve">  </v>
      </c>
      <c r="BW72" s="348" t="str">
        <f>IFERROR('WL (20)'!$S13,"-")</f>
        <v xml:space="preserve">  </v>
      </c>
      <c r="BX72" s="348" t="str">
        <f>IFERROR('WL (21)'!$S13,"-")</f>
        <v xml:space="preserve">  </v>
      </c>
      <c r="BY72" s="348" t="str">
        <f>IFERROR('WL (22)'!$S13,"-")</f>
        <v xml:space="preserve">  </v>
      </c>
      <c r="BZ72" s="348" t="str">
        <f>IFERROR('WL (23)'!$S13,"-")</f>
        <v xml:space="preserve">  </v>
      </c>
      <c r="CA72" s="348" t="str">
        <f>IFERROR('WL (24)'!$S13,"-")</f>
        <v xml:space="preserve">  </v>
      </c>
      <c r="CB72" s="348" t="str">
        <f>IFERROR('WL (25)'!$S13,"-")</f>
        <v xml:space="preserve">  </v>
      </c>
      <c r="CD72" s="171" t="str">
        <f>IFERROR(CONCATENATE("Zoom Window -1,",-DEPTH/10," ",20,",",DEPTH*1.1," "),"")</f>
        <v xml:space="preserve">Zoom Window -1,-1.3 20,14.3 </v>
      </c>
      <c r="CE72" s="163" t="str">
        <f>CONCATENATE(Tools!F198,Tools!G198,Tools!H198,Tools!I198,Tools!J198,Tools!K198,Tools!L198,Tools!M198,Tools!N198,Tools!O198,Tools!P198,Tools!Q198,Tools!R198,Tools!S198,Tools!T198,Tools!U198,Tools!V198,Tools!W198,Tools!X198,Tools!Y198,Tools!Z198,Tools!AA198,Tools!AB198,Tools!AC198,Tools!AD198,Tools!AE198," ")</f>
        <v xml:space="preserve">Spline 6.05,0.5 3.292,1 2.318,1.5 1.785,2 0.925,4 0.624,6 0.479,8 0.405,9.7 0.394,10 0.337,12 0.315,13  </v>
      </c>
      <c r="CF72" s="146"/>
      <c r="CG72" s="152"/>
      <c r="CH72" s="161" t="s">
        <v>161</v>
      </c>
      <c r="CI72" s="155">
        <v>1</v>
      </c>
      <c r="CJ72" s="181"/>
      <c r="CM72" s="265">
        <v>11</v>
      </c>
      <c r="CN72" s="265">
        <f t="shared" si="111"/>
        <v>6</v>
      </c>
      <c r="CO72" s="265">
        <f t="shared" si="112"/>
        <v>6</v>
      </c>
      <c r="CP72" s="265" t="str">
        <f t="shared" si="113"/>
        <v>WL 6</v>
      </c>
      <c r="CQ72" s="265">
        <f t="shared" ref="CQ72" si="140">CO72*WLS</f>
        <v>12</v>
      </c>
      <c r="CR72" s="265">
        <f t="shared" si="115"/>
        <v>12</v>
      </c>
      <c r="CS72" s="265"/>
      <c r="CT72" s="265"/>
      <c r="CU72" s="265"/>
      <c r="CV72" s="265" t="s">
        <v>254</v>
      </c>
      <c r="CW72" s="265">
        <v>0</v>
      </c>
      <c r="CX72" s="265">
        <v>0</v>
      </c>
      <c r="CY72" s="265"/>
      <c r="CZ72" s="265"/>
      <c r="DA72" s="265"/>
      <c r="DB72" s="328">
        <f t="shared" si="122"/>
        <v>8</v>
      </c>
      <c r="DC72" s="265" t="str">
        <f t="shared" si="123"/>
        <v>STN 8</v>
      </c>
      <c r="DD72" s="265">
        <f t="shared" si="124"/>
        <v>8</v>
      </c>
      <c r="DE72" s="265">
        <f t="shared" si="125"/>
        <v>8</v>
      </c>
    </row>
    <row r="73" spans="1:142" x14ac:dyDescent="0.25">
      <c r="A73" s="344">
        <f t="shared" si="129"/>
        <v>1.5</v>
      </c>
      <c r="B73" s="339">
        <f t="array" ref="B73:Z73">TRANSPOSE('Stn(4)'!D4:D28)</f>
        <v>0</v>
      </c>
      <c r="C73" s="339">
        <v>0.75583333333333336</v>
      </c>
      <c r="D73" s="339">
        <v>1.9366666666666668</v>
      </c>
      <c r="E73" s="339">
        <v>3.4358333333333335</v>
      </c>
      <c r="F73" s="339">
        <v>5.2166666666666668</v>
      </c>
      <c r="G73" s="339">
        <v>14.573333333333332</v>
      </c>
      <c r="H73" s="339">
        <v>27.870000000000005</v>
      </c>
      <c r="I73" s="339">
        <v>46.239999999999995</v>
      </c>
      <c r="J73" s="339">
        <v>67.183999999999983</v>
      </c>
      <c r="K73" s="339">
        <v>71.696666666666658</v>
      </c>
      <c r="L73" s="339">
        <v>101.6</v>
      </c>
      <c r="M73" s="339">
        <v>118</v>
      </c>
      <c r="N73" s="339" t="str">
        <v xml:space="preserve"> </v>
      </c>
      <c r="O73" s="339" t="str">
        <v xml:space="preserve"> </v>
      </c>
      <c r="P73" s="339" t="str">
        <v xml:space="preserve"> </v>
      </c>
      <c r="Q73" s="339" t="str">
        <v xml:space="preserve"> </v>
      </c>
      <c r="R73" s="339" t="str">
        <v xml:space="preserve"> </v>
      </c>
      <c r="S73" s="339" t="str">
        <v xml:space="preserve"> </v>
      </c>
      <c r="T73" s="339" t="str">
        <v xml:space="preserve"> </v>
      </c>
      <c r="U73" s="339" t="str">
        <v xml:space="preserve"> </v>
      </c>
      <c r="V73" s="339" t="str">
        <v xml:space="preserve"> </v>
      </c>
      <c r="W73" s="339" t="str">
        <v xml:space="preserve"> </v>
      </c>
      <c r="X73" s="339" t="str">
        <v xml:space="preserve"> </v>
      </c>
      <c r="Y73" s="339" t="str">
        <v xml:space="preserve"> </v>
      </c>
      <c r="Z73" s="339" t="str">
        <v xml:space="preserve"> </v>
      </c>
      <c r="AB73" s="340">
        <f t="shared" si="127"/>
        <v>1.5</v>
      </c>
      <c r="AC73" s="341">
        <f t="array" ref="AC73:BA73">TRANSPOSE('Stn(4)'!E4:E28)</f>
        <v>0</v>
      </c>
      <c r="AD73" s="341">
        <v>0.20937500000000001</v>
      </c>
      <c r="AE73" s="341">
        <v>1.1099999999999999</v>
      </c>
      <c r="AF73" s="341">
        <v>2.9993750000000001</v>
      </c>
      <c r="AG73" s="341">
        <v>6.1199999999999992</v>
      </c>
      <c r="AH73" s="341">
        <v>34.803333333333327</v>
      </c>
      <c r="AI73" s="341">
        <v>101.98666666666668</v>
      </c>
      <c r="AJ73" s="341">
        <v>231.97666666666663</v>
      </c>
      <c r="AK73" s="341">
        <v>417.96686666666653</v>
      </c>
      <c r="AL73" s="341">
        <v>461</v>
      </c>
      <c r="AM73" s="341">
        <v>792.18999999999983</v>
      </c>
      <c r="AN73" s="341">
        <v>997.26333333333309</v>
      </c>
      <c r="AO73" s="341" t="str">
        <v xml:space="preserve"> </v>
      </c>
      <c r="AP73" s="341" t="str">
        <v xml:space="preserve"> </v>
      </c>
      <c r="AQ73" s="341" t="str">
        <v xml:space="preserve"> </v>
      </c>
      <c r="AR73" s="341" t="str">
        <v xml:space="preserve"> </v>
      </c>
      <c r="AS73" s="341" t="str">
        <v xml:space="preserve"> </v>
      </c>
      <c r="AT73" s="341" t="str">
        <v xml:space="preserve"> </v>
      </c>
      <c r="AU73" s="341" t="str">
        <v xml:space="preserve"> </v>
      </c>
      <c r="AV73" s="341" t="str">
        <v xml:space="preserve"> </v>
      </c>
      <c r="AW73" s="341" t="str">
        <v xml:space="preserve"> </v>
      </c>
      <c r="AX73" s="341" t="str">
        <v xml:space="preserve"> </v>
      </c>
      <c r="AY73" s="341" t="str">
        <v xml:space="preserve"> </v>
      </c>
      <c r="AZ73" s="341" t="str">
        <v xml:space="preserve"> </v>
      </c>
      <c r="BA73" s="341" t="str">
        <v xml:space="preserve"> </v>
      </c>
      <c r="BC73" s="350" t="s">
        <v>42</v>
      </c>
      <c r="BD73" s="348">
        <f>IFERROR('WL (1)'!$S14,"-")</f>
        <v>1636389.4895735662</v>
      </c>
      <c r="BE73" s="348">
        <f>IFERROR('WL (2)'!$S14,"-")</f>
        <v>2099700.0680290293</v>
      </c>
      <c r="BF73" s="348">
        <f>IFERROR('WL (3)'!$S14,"-")</f>
        <v>2371489.3924675565</v>
      </c>
      <c r="BG73" s="348">
        <f>IFERROR('WL (4)'!$S14,"-")</f>
        <v>2559383.1083367397</v>
      </c>
      <c r="BH73" s="348">
        <f>IFERROR('WL (5)'!$S14,"-")</f>
        <v>2698555.0546614928</v>
      </c>
      <c r="BI73" s="348">
        <f>IFERROR('WL (6)'!$S14,"-")</f>
        <v>3046290.9135875129</v>
      </c>
      <c r="BJ73" s="348">
        <f>IFERROR('WL (7)'!$S14,"-")</f>
        <v>3261298.7193306424</v>
      </c>
      <c r="BK73" s="348">
        <f>IFERROR('WL (8)'!$S14,"-")</f>
        <v>3588311.8303976436</v>
      </c>
      <c r="BL73" s="348">
        <f>IFERROR('WL (9)'!$S14,"-")</f>
        <v>3910971.9477697243</v>
      </c>
      <c r="BM73" s="348">
        <f>IFERROR('WL (10)'!$S14,"-")</f>
        <v>3959276.6676125312</v>
      </c>
      <c r="BN73" s="348">
        <f>IFERROR('WL (11)'!$S14,"-")</f>
        <v>4244485.2530372795</v>
      </c>
      <c r="BO73" s="348">
        <f>IFERROR('WL (12)'!$S14,"-")</f>
        <v>4388722.2113486659</v>
      </c>
      <c r="BP73" s="348" t="str">
        <f>IFERROR('WL (13)'!$S14,"-")</f>
        <v xml:space="preserve">  </v>
      </c>
      <c r="BQ73" s="348" t="str">
        <f>IFERROR('WL (14)'!$S14,"-")</f>
        <v xml:space="preserve">  </v>
      </c>
      <c r="BR73" s="348" t="str">
        <f>IFERROR('WL (15)'!$S14,"-")</f>
        <v xml:space="preserve">  </v>
      </c>
      <c r="BS73" s="348" t="str">
        <f>IFERROR('WL (16)'!$S14,"-")</f>
        <v xml:space="preserve">  </v>
      </c>
      <c r="BT73" s="348" t="str">
        <f>IFERROR('WL (17)'!$S14,"-")</f>
        <v xml:space="preserve">  </v>
      </c>
      <c r="BU73" s="348" t="str">
        <f>IFERROR('WL (18)'!$S14,"-")</f>
        <v xml:space="preserve">  </v>
      </c>
      <c r="BV73" s="348" t="str">
        <f>IFERROR('WL (19)'!$S14,"-")</f>
        <v xml:space="preserve">  </v>
      </c>
      <c r="BW73" s="348" t="str">
        <f>IFERROR('WL (20)'!$S14,"-")</f>
        <v xml:space="preserve">  </v>
      </c>
      <c r="BX73" s="348" t="str">
        <f>IFERROR('WL (21)'!$S14,"-")</f>
        <v xml:space="preserve">  </v>
      </c>
      <c r="BY73" s="348" t="str">
        <f>IFERROR('WL (22)'!$S14,"-")</f>
        <v xml:space="preserve">  </v>
      </c>
      <c r="BZ73" s="348" t="str">
        <f>IFERROR('WL (23)'!$S14,"-")</f>
        <v xml:space="preserve">  </v>
      </c>
      <c r="CA73" s="348" t="str">
        <f>IFERROR('WL (24)'!$S14,"-")</f>
        <v xml:space="preserve">  </v>
      </c>
      <c r="CB73" s="348" t="str">
        <f>IFERROR('WL (25)'!$S14,"-")</f>
        <v xml:space="preserve">  </v>
      </c>
      <c r="CD73" s="174" t="str">
        <f>CONCATENATE(Tools!F187,Tools!G187,Tools!H187,Tools!I187,Tools!J187,Tools!K187,Tools!L187,Tools!M187,Tools!N187,Tools!O187,Tools!P187,Tools!Q187,Tools!R187,Tools!S187,Tools!T187,Tools!U187,Tools!V187,Tools!W187,Tools!X187,Tools!Y187,Tools!Z187,Tools!AA187,Tools!AB187,Tools!AC187,Tools!AD187,Tools!AE187," ")</f>
        <v xml:space="preserve">Spline 11.812,0 12.079,0.5 12.223,1 12.319,1.5 12.383,2 12.521,4 12.598,6 12.694,8 12.782,9.7 12.795,10 12.872,12 12.91,13  </v>
      </c>
      <c r="CE73" s="166" t="str">
        <f>CONCATENATE(Tools!F199,Tools!G199,Tools!H199,Tools!I199,Tools!J199,Tools!K199,Tools!L199,Tools!M199,Tools!N199,Tools!O199,Tools!P199,Tools!Q199,Tools!R199,Tools!S199,Tools!T199,Tools!U199,Tools!V199,Tools!W199,Tools!X199,Tools!Y199,Tools!Z199,Tools!AA199,Tools!AB199,Tools!AC199,Tools!AD199,Tools!AE199," ")</f>
        <v xml:space="preserve">Spline 0.256,0.5 0.517,1 0.778,1.5 1.04,2 2.082,4 3.122,6 4.164,8 5.06,9.7 5.219,10 6.283,12 6.816,13  </v>
      </c>
      <c r="CF73" s="146"/>
      <c r="CG73" s="146"/>
      <c r="CH73" s="161" t="s">
        <v>152</v>
      </c>
      <c r="CI73" s="155">
        <v>1</v>
      </c>
      <c r="CJ73" s="181" t="s">
        <v>153</v>
      </c>
      <c r="CM73" s="265">
        <v>12</v>
      </c>
      <c r="CN73" s="265">
        <f t="shared" si="111"/>
        <v>6.5</v>
      </c>
      <c r="CO73" s="265">
        <f t="shared" si="112"/>
        <v>6.5</v>
      </c>
      <c r="CP73" s="265" t="str">
        <f t="shared" si="113"/>
        <v>WL 6.5</v>
      </c>
      <c r="CQ73" s="265">
        <f t="shared" ref="CQ73" si="141">CO73*WLS</f>
        <v>13</v>
      </c>
      <c r="CR73" s="265">
        <f t="shared" si="115"/>
        <v>13</v>
      </c>
      <c r="CS73" s="265"/>
      <c r="CT73" s="265"/>
      <c r="CU73" s="265"/>
      <c r="CV73" s="265"/>
      <c r="CW73" s="265"/>
      <c r="CX73" s="265"/>
      <c r="CY73" s="265"/>
      <c r="CZ73" s="265"/>
      <c r="DA73" s="265"/>
      <c r="DB73" s="328">
        <f t="shared" si="122"/>
        <v>9</v>
      </c>
      <c r="DC73" s="265" t="str">
        <f t="shared" si="123"/>
        <v>STN 9</v>
      </c>
      <c r="DD73" s="265">
        <f t="shared" si="124"/>
        <v>9</v>
      </c>
      <c r="DE73" s="265">
        <f t="shared" si="125"/>
        <v>9</v>
      </c>
    </row>
    <row r="74" spans="1:142" x14ac:dyDescent="0.25">
      <c r="A74" s="344">
        <f t="shared" si="129"/>
        <v>2</v>
      </c>
      <c r="B74" s="339">
        <f t="array" ref="B74:Z74">TRANSPOSE('Stn(5)'!D4:D28)</f>
        <v>0</v>
      </c>
      <c r="C74" s="339">
        <v>1.2566666666666664</v>
      </c>
      <c r="D74" s="339">
        <v>3.1333333333333333</v>
      </c>
      <c r="E74" s="339">
        <v>5.5033333333333321</v>
      </c>
      <c r="F74" s="339">
        <v>8.2766666666666655</v>
      </c>
      <c r="G74" s="339">
        <v>22.519999999999996</v>
      </c>
      <c r="H74" s="339">
        <v>41.463333333333331</v>
      </c>
      <c r="I74" s="339">
        <v>65.173333333333318</v>
      </c>
      <c r="J74" s="339">
        <v>89.976333333333315</v>
      </c>
      <c r="K74" s="339">
        <v>94.956666666666649</v>
      </c>
      <c r="L74" s="339">
        <v>128.90666666666664</v>
      </c>
      <c r="M74" s="339">
        <v>147.14666666666665</v>
      </c>
      <c r="N74" s="339" t="str">
        <v xml:space="preserve"> </v>
      </c>
      <c r="O74" s="339" t="str">
        <v xml:space="preserve"> </v>
      </c>
      <c r="P74" s="339" t="str">
        <v xml:space="preserve"> </v>
      </c>
      <c r="Q74" s="339" t="str">
        <v xml:space="preserve"> </v>
      </c>
      <c r="R74" s="339" t="str">
        <v xml:space="preserve"> </v>
      </c>
      <c r="S74" s="339" t="str">
        <v xml:space="preserve"> </v>
      </c>
      <c r="T74" s="339" t="str">
        <v xml:space="preserve"> </v>
      </c>
      <c r="U74" s="339" t="str">
        <v xml:space="preserve"> </v>
      </c>
      <c r="V74" s="339" t="str">
        <v xml:space="preserve"> </v>
      </c>
      <c r="W74" s="339" t="str">
        <v xml:space="preserve"> </v>
      </c>
      <c r="X74" s="339" t="str">
        <v xml:space="preserve"> </v>
      </c>
      <c r="Y74" s="339" t="str">
        <v xml:space="preserve"> </v>
      </c>
      <c r="Z74" s="339" t="str">
        <v xml:space="preserve"> </v>
      </c>
      <c r="AB74" s="340">
        <f t="shared" si="127"/>
        <v>2</v>
      </c>
      <c r="AC74" s="341">
        <f t="array" ref="AC74:BA74">TRANSPOSE('Stn(5)'!E4:E28)</f>
        <v>0</v>
      </c>
      <c r="AD74" s="341">
        <v>0.34291666666666665</v>
      </c>
      <c r="AE74" s="341">
        <v>1.7733333333333334</v>
      </c>
      <c r="AF74" s="341">
        <v>4.7562499999999996</v>
      </c>
      <c r="AG74" s="341">
        <v>9.6199999999999992</v>
      </c>
      <c r="AH74" s="341">
        <v>53.176666666666662</v>
      </c>
      <c r="AI74" s="341">
        <v>148.63333333333333</v>
      </c>
      <c r="AJ74" s="341">
        <v>315.84333333333331</v>
      </c>
      <c r="AK74" s="341">
        <v>535.9230666666665</v>
      </c>
      <c r="AL74" s="341">
        <v>583.94000000000005</v>
      </c>
      <c r="AM74" s="341">
        <v>959.14999999999986</v>
      </c>
      <c r="AN74" s="341">
        <v>1187.2099999999998</v>
      </c>
      <c r="AO74" s="341" t="str">
        <v xml:space="preserve"> </v>
      </c>
      <c r="AP74" s="341" t="str">
        <v xml:space="preserve"> </v>
      </c>
      <c r="AQ74" s="341" t="str">
        <v xml:space="preserve"> </v>
      </c>
      <c r="AR74" s="341" t="str">
        <v xml:space="preserve"> </v>
      </c>
      <c r="AS74" s="341" t="str">
        <v xml:space="preserve"> </v>
      </c>
      <c r="AT74" s="341" t="str">
        <v xml:space="preserve"> </v>
      </c>
      <c r="AU74" s="341" t="str">
        <v xml:space="preserve"> </v>
      </c>
      <c r="AV74" s="341" t="str">
        <v xml:space="preserve"> </v>
      </c>
      <c r="AW74" s="341" t="str">
        <v xml:space="preserve"> </v>
      </c>
      <c r="AX74" s="341" t="str">
        <v xml:space="preserve"> </v>
      </c>
      <c r="AY74" s="341" t="str">
        <v xml:space="preserve"> </v>
      </c>
      <c r="AZ74" s="341" t="str">
        <v xml:space="preserve"> </v>
      </c>
      <c r="BA74" s="341" t="str">
        <v xml:space="preserve"> </v>
      </c>
      <c r="BC74" s="351" t="s">
        <v>44</v>
      </c>
      <c r="BD74" s="348">
        <f>IFERROR('WL (1)'!$S15,"-")</f>
        <v>44486.513296666657</v>
      </c>
      <c r="BE74" s="348">
        <f>IFERROR('WL (2)'!$S15,"-")</f>
        <v>59167.853238324453</v>
      </c>
      <c r="BF74" s="348">
        <f>IFERROR('WL (3)'!$S15,"-")</f>
        <v>67783.507566678876</v>
      </c>
      <c r="BG74" s="348">
        <f>IFERROR('WL (4)'!$S15,"-")</f>
        <v>74020.444498812212</v>
      </c>
      <c r="BH74" s="348">
        <f>IFERROR('WL (5)'!$S15,"-")</f>
        <v>78037.423898847788</v>
      </c>
      <c r="BI74" s="348">
        <f>IFERROR('WL (6)'!$S15,"-")</f>
        <v>85927.726478203331</v>
      </c>
      <c r="BJ74" s="348">
        <f>IFERROR('WL (7)'!$S15,"-")</f>
        <v>90026.434477156668</v>
      </c>
      <c r="BK74" s="348">
        <f>IFERROR('WL (8)'!$S15,"-")</f>
        <v>94352.936183106591</v>
      </c>
      <c r="BL74" s="348">
        <f>IFERROR('WL (9)'!$S15,"-")</f>
        <v>98620.437529870091</v>
      </c>
      <c r="BM74" s="348">
        <f>IFERROR('WL (10)'!$S15,"-")</f>
        <v>99332.618196645271</v>
      </c>
      <c r="BN74" s="348">
        <f>IFERROR('WL (11)'!$S15,"-")</f>
        <v>103870.34522999333</v>
      </c>
      <c r="BO74" s="348">
        <f>IFERROR('WL (12)'!$S15,"-")</f>
        <v>106336.05774874554</v>
      </c>
      <c r="BP74" s="348" t="str">
        <f>IFERROR('WL (13)'!$S15,"-")</f>
        <v xml:space="preserve">  </v>
      </c>
      <c r="BQ74" s="348" t="str">
        <f>IFERROR('WL (14)'!$S15,"-")</f>
        <v xml:space="preserve">  </v>
      </c>
      <c r="BR74" s="348" t="str">
        <f>IFERROR('WL (15)'!$S15,"-")</f>
        <v xml:space="preserve">  </v>
      </c>
      <c r="BS74" s="348" t="str">
        <f>IFERROR('WL (16)'!$S15,"-")</f>
        <v xml:space="preserve">  </v>
      </c>
      <c r="BT74" s="348" t="str">
        <f>IFERROR('WL (17)'!$S15,"-")</f>
        <v xml:space="preserve">  </v>
      </c>
      <c r="BU74" s="348" t="str">
        <f>IFERROR('WL (18)'!$S15,"-")</f>
        <v xml:space="preserve">  </v>
      </c>
      <c r="BV74" s="348" t="str">
        <f>IFERROR('WL (19)'!$S15,"-")</f>
        <v xml:space="preserve">  </v>
      </c>
      <c r="BW74" s="348" t="str">
        <f>IFERROR('WL (20)'!$S15,"-")</f>
        <v xml:space="preserve">  </v>
      </c>
      <c r="BX74" s="348" t="str">
        <f>IFERROR('WL (21)'!$S15,"-")</f>
        <v xml:space="preserve">  </v>
      </c>
      <c r="BY74" s="348" t="str">
        <f>IFERROR('WL (22)'!$S15,"-")</f>
        <v xml:space="preserve">  </v>
      </c>
      <c r="BZ74" s="348" t="str">
        <f>IFERROR('WL (23)'!$S15,"-")</f>
        <v xml:space="preserve">  </v>
      </c>
      <c r="CA74" s="348" t="str">
        <f>IFERROR('WL (24)'!$S15,"-")</f>
        <v xml:space="preserve">  </v>
      </c>
      <c r="CB74" s="348" t="str">
        <f>IFERROR('WL (25)'!$S15,"-")</f>
        <v xml:space="preserve">  </v>
      </c>
      <c r="CD74" s="174" t="str">
        <f>CONCATENATE(Tools!F188,Tools!G188,Tools!H188,Tools!I188,Tools!J188,Tools!K188,Tools!L188,Tools!M188,Tools!N188,Tools!O188,Tools!P188,Tools!Q188,Tools!R188,Tools!S188,Tools!T188,Tools!U188,Tools!V188,Tools!W188,Tools!X188,Tools!Y188,Tools!Z188,Tools!AA188,Tools!AB188,Tools!AC188,Tools!AD188,Tools!AE188," ")</f>
        <v xml:space="preserve">Spline 11.098,0 11.163,0.5 11.166,1 11.165,1.5 11.156,2 10.982,4 10.717,6 10.288,8 9.951,9.7 9.914,10 9.781,12 9.741,13  </v>
      </c>
      <c r="CE74" s="166" t="str">
        <f>CONCATENATE(Tools!F200,Tools!G200,Tools!H200,Tools!I200,Tools!J200,Tools!K200,Tools!L200,Tools!M200,Tools!N200,Tools!O200,Tools!P200,Tools!Q200,Tools!R200,Tools!S200,Tools!T200,Tools!U200,Tools!V200,Tools!W200,Tools!X200,Tools!Y200,Tools!Z200,Tools!AA200,Tools!AB200,Tools!AC200,Tools!AD200,Tools!AE200," ")</f>
        <v xml:space="preserve">Spline 6.075,0.5 3.344,1 2.396,1.5 1.889,2 1.133,4 0.937,6 0.896,8 0.911,9.7 0.916,10 0.965,12 0.997,13  </v>
      </c>
      <c r="CF74" s="146"/>
      <c r="CG74" s="146"/>
      <c r="CH74" s="146"/>
      <c r="CI74" s="146"/>
      <c r="CJ74" s="146"/>
      <c r="CM74" s="265">
        <v>13</v>
      </c>
      <c r="CN74" s="265">
        <f t="shared" si="111"/>
        <v>0</v>
      </c>
      <c r="CO74" s="265" t="str">
        <f t="shared" si="112"/>
        <v xml:space="preserve">  </v>
      </c>
      <c r="CP74" s="265" t="str">
        <f t="shared" si="113"/>
        <v xml:space="preserve"> </v>
      </c>
      <c r="CQ74" s="265" t="e">
        <f t="shared" ref="CQ74" si="142">CO74*WLS</f>
        <v>#VALUE!</v>
      </c>
      <c r="CR74" s="265" t="e">
        <f t="shared" si="115"/>
        <v>#VALUE!</v>
      </c>
      <c r="CS74" s="265"/>
      <c r="CT74" s="265"/>
      <c r="CU74" s="265"/>
      <c r="CV74" s="265"/>
      <c r="CW74" s="265" t="s">
        <v>255</v>
      </c>
      <c r="CX74" s="265"/>
      <c r="CY74" s="265"/>
      <c r="CZ74" s="265"/>
      <c r="DA74" s="265"/>
      <c r="DB74" s="328">
        <f t="shared" si="122"/>
        <v>10</v>
      </c>
      <c r="DC74" s="265" t="str">
        <f t="shared" si="123"/>
        <v>STN 10</v>
      </c>
      <c r="DD74" s="265">
        <f t="shared" si="124"/>
        <v>10</v>
      </c>
      <c r="DE74" s="265">
        <f t="shared" si="125"/>
        <v>10</v>
      </c>
    </row>
    <row r="75" spans="1:142" x14ac:dyDescent="0.25">
      <c r="A75" s="344">
        <f t="shared" si="129"/>
        <v>3</v>
      </c>
      <c r="B75" s="339">
        <f t="array" ref="B75:Z75">TRANSPOSE('Stn(6)'!D4:D28)</f>
        <v>0</v>
      </c>
      <c r="C75" s="339">
        <v>2.6574999999999998</v>
      </c>
      <c r="D75" s="339">
        <v>6.45</v>
      </c>
      <c r="E75" s="339">
        <v>10.897499999999997</v>
      </c>
      <c r="F75" s="339">
        <v>15.849999999999998</v>
      </c>
      <c r="G75" s="339">
        <v>39.633333333333326</v>
      </c>
      <c r="H75" s="339">
        <v>68.636666666666656</v>
      </c>
      <c r="I75" s="339">
        <v>101.44666666666666</v>
      </c>
      <c r="J75" s="339">
        <v>132.18266666666665</v>
      </c>
      <c r="K75" s="339">
        <v>137.83666666666664</v>
      </c>
      <c r="L75" s="339">
        <v>177.32666666666665</v>
      </c>
      <c r="M75" s="339">
        <v>197.86666666666665</v>
      </c>
      <c r="N75" s="339" t="str">
        <v xml:space="preserve"> </v>
      </c>
      <c r="O75" s="339" t="str">
        <v xml:space="preserve"> </v>
      </c>
      <c r="P75" s="339" t="str">
        <v xml:space="preserve"> </v>
      </c>
      <c r="Q75" s="339" t="str">
        <v xml:space="preserve"> </v>
      </c>
      <c r="R75" s="339" t="str">
        <v xml:space="preserve"> </v>
      </c>
      <c r="S75" s="339" t="str">
        <v xml:space="preserve"> </v>
      </c>
      <c r="T75" s="339" t="str">
        <v xml:space="preserve"> </v>
      </c>
      <c r="U75" s="339" t="str">
        <v xml:space="preserve"> </v>
      </c>
      <c r="V75" s="339" t="str">
        <v xml:space="preserve"> </v>
      </c>
      <c r="W75" s="339" t="str">
        <v xml:space="preserve"> </v>
      </c>
      <c r="X75" s="339" t="str">
        <v xml:space="preserve"> </v>
      </c>
      <c r="Y75" s="339" t="str">
        <v xml:space="preserve"> </v>
      </c>
      <c r="Z75" s="339" t="str">
        <v xml:space="preserve"> </v>
      </c>
      <c r="AB75" s="340">
        <f t="shared" si="127"/>
        <v>3</v>
      </c>
      <c r="AC75" s="341">
        <f t="array" ref="AC75:BA75">TRANSPOSE('Stn(6)'!E4:E28)</f>
        <v>0</v>
      </c>
      <c r="AD75" s="341">
        <v>0.72354166666666642</v>
      </c>
      <c r="AE75" s="341">
        <v>3.6033333333333326</v>
      </c>
      <c r="AF75" s="341">
        <v>9.1968749999999986</v>
      </c>
      <c r="AG75" s="341">
        <v>17.866666666666667</v>
      </c>
      <c r="AH75" s="341">
        <v>90.22999999999999</v>
      </c>
      <c r="AI75" s="341">
        <v>235.9733333333333</v>
      </c>
      <c r="AJ75" s="341">
        <v>466.39</v>
      </c>
      <c r="AK75" s="341">
        <v>738.77929999999981</v>
      </c>
      <c r="AL75" s="341">
        <v>794.31999999999994</v>
      </c>
      <c r="AM75" s="341">
        <v>1229.0566666666666</v>
      </c>
      <c r="AN75" s="341">
        <v>1485.8633333333332</v>
      </c>
      <c r="AO75" s="341" t="str">
        <v xml:space="preserve"> </v>
      </c>
      <c r="AP75" s="341" t="str">
        <v xml:space="preserve"> </v>
      </c>
      <c r="AQ75" s="341" t="str">
        <v xml:space="preserve"> </v>
      </c>
      <c r="AR75" s="341" t="str">
        <v xml:space="preserve"> </v>
      </c>
      <c r="AS75" s="341" t="str">
        <v xml:space="preserve"> </v>
      </c>
      <c r="AT75" s="341" t="str">
        <v xml:space="preserve"> </v>
      </c>
      <c r="AU75" s="341" t="str">
        <v xml:space="preserve"> </v>
      </c>
      <c r="AV75" s="341" t="str">
        <v xml:space="preserve"> </v>
      </c>
      <c r="AW75" s="341" t="str">
        <v xml:space="preserve"> </v>
      </c>
      <c r="AX75" s="341" t="str">
        <v xml:space="preserve"> </v>
      </c>
      <c r="AY75" s="341" t="str">
        <v xml:space="preserve"> </v>
      </c>
      <c r="AZ75" s="341" t="str">
        <v xml:space="preserve"> </v>
      </c>
      <c r="BA75" s="341" t="str">
        <v xml:space="preserve"> </v>
      </c>
      <c r="BC75" s="350" t="s">
        <v>47</v>
      </c>
      <c r="BD75" s="348">
        <f>IFERROR('WL (1)'!$S16,"-")</f>
        <v>1569868.553065636</v>
      </c>
      <c r="BE75" s="348">
        <f>IFERROR('WL (2)'!$S16,"-")</f>
        <v>2034621.5574102642</v>
      </c>
      <c r="BF75" s="348">
        <f>IFERROR('WL (3)'!$S16,"-")</f>
        <v>2310389.8076187209</v>
      </c>
      <c r="BG75" s="348">
        <f>IFERROR('WL (4)'!$S16,"-")</f>
        <v>2500899.8040433931</v>
      </c>
      <c r="BH75" s="348">
        <f>IFERROR('WL (5)'!$S16,"-")</f>
        <v>2642495.1780208154</v>
      </c>
      <c r="BI75" s="348">
        <f>IFERROR('WL (6)'!$S16,"-")</f>
        <v>3008039.9095599502</v>
      </c>
      <c r="BJ75" s="348">
        <f>IFERROR('WL (7)'!$S16,"-")</f>
        <v>3241487.8819465451</v>
      </c>
      <c r="BK75" s="348">
        <f>IFERROR('WL (8)'!$S16,"-")</f>
        <v>3585234.4099141946</v>
      </c>
      <c r="BL75" s="348">
        <f>IFERROR('WL (9)'!$S16,"-")</f>
        <v>3910884.0913842754</v>
      </c>
      <c r="BM75" s="348">
        <f>IFERROR('WL (10)'!$S16,"-")</f>
        <v>3959013.5272371466</v>
      </c>
      <c r="BN75" s="348">
        <f>IFERROR('WL (11)'!$S16,"-")</f>
        <v>4242821.9900065716</v>
      </c>
      <c r="BO75" s="348">
        <f>IFERROR('WL (12)'!$S16,"-")</f>
        <v>4386409.9787814068</v>
      </c>
      <c r="BP75" s="348" t="str">
        <f>IFERROR('WL (13)'!$S16,"-")</f>
        <v xml:space="preserve">  </v>
      </c>
      <c r="BQ75" s="348" t="str">
        <f>IFERROR('WL (14)'!$S16,"-")</f>
        <v xml:space="preserve">  </v>
      </c>
      <c r="BR75" s="348" t="str">
        <f>IFERROR('WL (15)'!$S16,"-")</f>
        <v xml:space="preserve">  </v>
      </c>
      <c r="BS75" s="348" t="str">
        <f>IFERROR('WL (16)'!$S16,"-")</f>
        <v xml:space="preserve">  </v>
      </c>
      <c r="BT75" s="348" t="str">
        <f>IFERROR('WL (17)'!$S16,"-")</f>
        <v xml:space="preserve">  </v>
      </c>
      <c r="BU75" s="348" t="str">
        <f>IFERROR('WL (18)'!$S16,"-")</f>
        <v xml:space="preserve">  </v>
      </c>
      <c r="BV75" s="348" t="str">
        <f>IFERROR('WL (19)'!$S16,"-")</f>
        <v xml:space="preserve">  </v>
      </c>
      <c r="BW75" s="348" t="str">
        <f>IFERROR('WL (20)'!$S16,"-")</f>
        <v xml:space="preserve">  </v>
      </c>
      <c r="BX75" s="348" t="str">
        <f>IFERROR('WL (21)'!$S16,"-")</f>
        <v xml:space="preserve">  </v>
      </c>
      <c r="BY75" s="348" t="str">
        <f>IFERROR('WL (22)'!$S16,"-")</f>
        <v xml:space="preserve">  </v>
      </c>
      <c r="BZ75" s="348" t="str">
        <f>IFERROR('WL (23)'!$S16,"-")</f>
        <v xml:space="preserve">  </v>
      </c>
      <c r="CA75" s="348" t="str">
        <f>IFERROR('WL (24)'!$S16,"-")</f>
        <v xml:space="preserve">  </v>
      </c>
      <c r="CB75" s="348" t="str">
        <f>IFERROR('WL (25)'!$S16,"-")</f>
        <v xml:space="preserve">  </v>
      </c>
      <c r="CD75" s="174" t="str">
        <f>CONCATENATE(Tools!F189,Tools!G189,Tools!H189,Tools!I189,Tools!J189,Tools!K189,Tools!L189,Tools!M189,Tools!N189,Tools!O189,Tools!P189,Tools!Q189,Tools!R189,Tools!S189,Tools!T189,Tools!U189,Tools!V189,Tools!W189,Tools!X189,Tools!Y189,Tools!Z189,Tools!AA189,Tools!AB189,Tools!AC189,Tools!AD189,Tools!AE189," ")</f>
        <v xml:space="preserve">Spline 16.059,0 15.594,0.5 15.242,1 15.022,1.5 14.85,2 13.895,4 12.762,6 11.069,8 9.822,9.7 9.693,10 9.239,12 9.109,13  </v>
      </c>
      <c r="CE75" s="166" t="str">
        <f>CONCATENATE(Tools!F201,Tools!G201,Tools!H201,Tools!I201,Tools!J201,Tools!K201,Tools!L201,Tools!M201,Tools!N201,Tools!O201,Tools!P201,Tools!Q201,Tools!R201,Tools!S201,Tools!T201,Tools!U201,Tools!V201,Tools!W201,Tools!X201,Tools!Y201,Tools!Z201,Tools!AA201,Tools!AB201,Tools!AC201,Tools!AD201,Tools!AE201," ")</f>
        <v xml:space="preserve">Spline 2.081,0.5 1.123,1 0.784,1.5 0.605,2 0.326,4 0.228,6 0.186,8 0.166,9.7 0.162,10 0.144,12 0.137,13  </v>
      </c>
      <c r="CF75" s="146"/>
      <c r="CG75" s="182" t="str">
        <f>IFERROR(CONCATENATE("Zoom Window -1,",-DEPTH/10," ",20,",",DEPTH*1.1," "),"")</f>
        <v xml:space="preserve">Zoom Window -1,-1.3 20,14.3 </v>
      </c>
      <c r="CH75" s="183"/>
      <c r="CI75" s="163" t="str">
        <f>Tools!CB38</f>
        <v xml:space="preserve">Line 0,0 20,0  Line 0,0.5 20,0.5  Line 0,1 20,1  Line 0,1.5 20,1.5  Line 0,2 20,2  Line 0,4 20,4  Line 0,6 20,6  Line 0,8 20,8  Line 0,9.7 20,9.7  Line 0,10 20,10  Line 0,12 20,12  Line 0,13 20,13  </v>
      </c>
      <c r="CJ75" s="146"/>
      <c r="CM75" s="265">
        <v>14</v>
      </c>
      <c r="CN75" s="265">
        <f t="shared" si="111"/>
        <v>0</v>
      </c>
      <c r="CO75" s="265" t="str">
        <f t="shared" si="112"/>
        <v xml:space="preserve">  </v>
      </c>
      <c r="CP75" s="265" t="str">
        <f t="shared" si="113"/>
        <v xml:space="preserve"> </v>
      </c>
      <c r="CQ75" s="265" t="e">
        <f t="shared" ref="CQ75" si="143">CO75*WLS</f>
        <v>#VALUE!</v>
      </c>
      <c r="CR75" s="265" t="e">
        <f t="shared" si="115"/>
        <v>#VALUE!</v>
      </c>
      <c r="CS75" s="265"/>
      <c r="CT75" s="265"/>
      <c r="CU75" s="265"/>
      <c r="CV75" s="265"/>
      <c r="CW75" s="265">
        <v>0</v>
      </c>
      <c r="CX75" s="265">
        <f>MAX(Offset!T3:T27)</f>
        <v>20</v>
      </c>
      <c r="CY75" s="265"/>
      <c r="CZ75" s="265"/>
      <c r="DA75" s="265"/>
      <c r="DB75" s="328">
        <f t="shared" si="122"/>
        <v>11</v>
      </c>
      <c r="DC75" s="265" t="str">
        <f t="shared" si="123"/>
        <v>STN 11</v>
      </c>
      <c r="DD75" s="265">
        <f t="shared" si="124"/>
        <v>11</v>
      </c>
      <c r="DE75" s="265">
        <f t="shared" si="125"/>
        <v>11</v>
      </c>
    </row>
    <row r="76" spans="1:142" x14ac:dyDescent="0.25">
      <c r="A76" s="344">
        <f t="shared" si="129"/>
        <v>4</v>
      </c>
      <c r="B76" s="339">
        <f t="array" ref="B76:Z76">TRANSPOSE('Stn(7)'!D4:D28)</f>
        <v>0</v>
      </c>
      <c r="C76" s="339">
        <v>4.6150000000000002</v>
      </c>
      <c r="D76" s="339">
        <v>10.46</v>
      </c>
      <c r="E76" s="339">
        <v>17.015000000000001</v>
      </c>
      <c r="F76" s="339">
        <v>24.083333333333332</v>
      </c>
      <c r="G76" s="339">
        <v>56.043333333333329</v>
      </c>
      <c r="H76" s="339">
        <v>92.323333333333309</v>
      </c>
      <c r="I76" s="339">
        <v>131.38999999999999</v>
      </c>
      <c r="J76" s="339">
        <v>166.32499999999996</v>
      </c>
      <c r="K76" s="339">
        <v>172.78999999999996</v>
      </c>
      <c r="L76" s="339">
        <v>215.25666666666666</v>
      </c>
      <c r="M76" s="339">
        <v>236.92666666666668</v>
      </c>
      <c r="N76" s="339" t="str">
        <v xml:space="preserve"> </v>
      </c>
      <c r="O76" s="339" t="str">
        <v xml:space="preserve"> </v>
      </c>
      <c r="P76" s="339" t="str">
        <v xml:space="preserve"> </v>
      </c>
      <c r="Q76" s="339" t="str">
        <v xml:space="preserve"> </v>
      </c>
      <c r="R76" s="339" t="str">
        <v xml:space="preserve"> </v>
      </c>
      <c r="S76" s="339" t="str">
        <v xml:space="preserve"> </v>
      </c>
      <c r="T76" s="339" t="str">
        <v xml:space="preserve"> </v>
      </c>
      <c r="U76" s="339" t="str">
        <v xml:space="preserve"> </v>
      </c>
      <c r="V76" s="339" t="str">
        <v xml:space="preserve"> </v>
      </c>
      <c r="W76" s="339" t="str">
        <v xml:space="preserve"> </v>
      </c>
      <c r="X76" s="339" t="str">
        <v xml:space="preserve"> </v>
      </c>
      <c r="Y76" s="339" t="str">
        <v xml:space="preserve"> </v>
      </c>
      <c r="Z76" s="339" t="str">
        <v xml:space="preserve"> </v>
      </c>
      <c r="AB76" s="340">
        <f t="shared" si="127"/>
        <v>4</v>
      </c>
      <c r="AC76" s="341">
        <f t="array" ref="AC76:BA76">TRANSPOSE('Stn(7)'!E4:E28)</f>
        <v>0</v>
      </c>
      <c r="AD76" s="341">
        <v>1.2174999999999998</v>
      </c>
      <c r="AE76" s="341">
        <v>5.6400000000000006</v>
      </c>
      <c r="AF76" s="341">
        <v>13.8675</v>
      </c>
      <c r="AG76" s="341">
        <v>26.246666666666666</v>
      </c>
      <c r="AH76" s="341">
        <v>123.00666666666666</v>
      </c>
      <c r="AI76" s="341">
        <v>304.96666666666664</v>
      </c>
      <c r="AJ76" s="341">
        <v>579.05999999999995</v>
      </c>
      <c r="AK76" s="341">
        <v>888.40333333333308</v>
      </c>
      <c r="AL76" s="341">
        <v>951.5</v>
      </c>
      <c r="AM76" s="341">
        <v>1419.5933333333332</v>
      </c>
      <c r="AN76" s="341">
        <v>1690.48</v>
      </c>
      <c r="AO76" s="341" t="str">
        <v xml:space="preserve"> </v>
      </c>
      <c r="AP76" s="341" t="str">
        <v xml:space="preserve"> </v>
      </c>
      <c r="AQ76" s="341" t="str">
        <v xml:space="preserve"> </v>
      </c>
      <c r="AR76" s="341" t="str">
        <v xml:space="preserve"> </v>
      </c>
      <c r="AS76" s="341" t="str">
        <v xml:space="preserve"> </v>
      </c>
      <c r="AT76" s="341" t="str">
        <v xml:space="preserve"> </v>
      </c>
      <c r="AU76" s="341" t="str">
        <v xml:space="preserve"> </v>
      </c>
      <c r="AV76" s="341" t="str">
        <v xml:space="preserve"> </v>
      </c>
      <c r="AW76" s="341" t="str">
        <v xml:space="preserve"> </v>
      </c>
      <c r="AX76" s="341" t="str">
        <v xml:space="preserve"> </v>
      </c>
      <c r="AY76" s="341" t="str">
        <v xml:space="preserve"> </v>
      </c>
      <c r="AZ76" s="341" t="str">
        <v xml:space="preserve"> </v>
      </c>
      <c r="BA76" s="341" t="str">
        <v xml:space="preserve"> </v>
      </c>
      <c r="BC76" s="350" t="s">
        <v>50</v>
      </c>
      <c r="BD76" s="348">
        <f>IFERROR('WL (1)'!$S17,"-")</f>
        <v>0</v>
      </c>
      <c r="BE76" s="348">
        <f>IFERROR('WL (2)'!$S17,"-")</f>
        <v>978.04449583333303</v>
      </c>
      <c r="BF76" s="348">
        <f>IFERROR('WL (3)'!$S17,"-")</f>
        <v>2058.8736833333332</v>
      </c>
      <c r="BG76" s="348">
        <f>IFERROR('WL (4)'!$S17,"-")</f>
        <v>3193.3684236111103</v>
      </c>
      <c r="BH76" s="348">
        <f>IFERROR('WL (5)'!$S17,"-")</f>
        <v>4372.8460611111104</v>
      </c>
      <c r="BI76" s="348">
        <f>IFERROR('WL (6)'!$S17,"-")</f>
        <v>9287.6189722222207</v>
      </c>
      <c r="BJ76" s="348">
        <f>IFERROR('WL (7)'!$S17,"-")</f>
        <v>14416.818549999995</v>
      </c>
      <c r="BK76" s="348">
        <f>IFERROR('WL (8)'!$S17,"-")</f>
        <v>19690.84157355555</v>
      </c>
      <c r="BL76" s="348">
        <f>IFERROR('WL (9)'!$S17,"-")</f>
        <v>24344.796360938886</v>
      </c>
      <c r="BM76" s="348">
        <f>IFERROR('WL (10)'!$S17,"-")</f>
        <v>25194.861563777777</v>
      </c>
      <c r="BN76" s="348">
        <f>IFERROR('WL (11)'!$S17,"-")</f>
        <v>30853.612486444439</v>
      </c>
      <c r="BO76" s="348">
        <f>IFERROR('WL (12)'!$S17,"-")</f>
        <v>33744.729669777771</v>
      </c>
      <c r="BP76" s="348" t="str">
        <f>IFERROR('WL (13)'!$S17,"-")</f>
        <v xml:space="preserve">  </v>
      </c>
      <c r="BQ76" s="348" t="str">
        <f>IFERROR('WL (14)'!$S17,"-")</f>
        <v xml:space="preserve">  </v>
      </c>
      <c r="BR76" s="348" t="str">
        <f>IFERROR('WL (15)'!$S17,"-")</f>
        <v xml:space="preserve">  </v>
      </c>
      <c r="BS76" s="348" t="str">
        <f>IFERROR('WL (16)'!$S17,"-")</f>
        <v xml:space="preserve">  </v>
      </c>
      <c r="BT76" s="348" t="str">
        <f>IFERROR('WL (17)'!$S17,"-")</f>
        <v xml:space="preserve">  </v>
      </c>
      <c r="BU76" s="348" t="str">
        <f>IFERROR('WL (18)'!$S17,"-")</f>
        <v xml:space="preserve">  </v>
      </c>
      <c r="BV76" s="348" t="str">
        <f>IFERROR('WL (19)'!$S17,"-")</f>
        <v xml:space="preserve">  </v>
      </c>
      <c r="BW76" s="348" t="str">
        <f>IFERROR('WL (20)'!$S17,"-")</f>
        <v xml:space="preserve">  </v>
      </c>
      <c r="BX76" s="348" t="str">
        <f>IFERROR('WL (21)'!$S17,"-")</f>
        <v xml:space="preserve">  </v>
      </c>
      <c r="BY76" s="348" t="str">
        <f>IFERROR('WL (22)'!$S17,"-")</f>
        <v xml:space="preserve">  </v>
      </c>
      <c r="BZ76" s="348" t="str">
        <f>IFERROR('WL (23)'!$S17,"-")</f>
        <v xml:space="preserve">  </v>
      </c>
      <c r="CA76" s="348" t="str">
        <f>IFERROR('WL (24)'!$S17,"-")</f>
        <v xml:space="preserve">  </v>
      </c>
      <c r="CB76" s="348" t="str">
        <f>IFERROR('WL (25)'!$S17,"-")</f>
        <v xml:space="preserve">  </v>
      </c>
      <c r="CD76" s="174" t="str">
        <f>CONCATENATE(Tools!F190,Tools!G190,Tools!H190,Tools!I190,Tools!J190,Tools!K190,Tools!L190,Tools!M190,Tools!N190,Tools!O190,Tools!P190,Tools!Q190,Tools!R190,Tools!S190,Tools!T190,Tools!U190,Tools!V190,Tools!W190,Tools!X190,Tools!Y190,Tools!Z190,Tools!AA190,Tools!AB190,Tools!AC190,Tools!AD190,Tools!AE190," ")</f>
        <v xml:space="preserve">Spline 11.636,0 12.1,0.5 12.371,1 12.559,1.5 12.699,2 13.046,4 13.261,6 13.588,8 13.911,9.7 13.959,10 14.244,12 14.389,13  </v>
      </c>
      <c r="CE76" s="166" t="str">
        <f>CONCATENATE(Tools!F202,Tools!G202,Tools!H202,Tools!I202,Tools!J202,Tools!K202,Tools!L202,Tools!M202,Tools!N202,Tools!O202,Tools!P202,Tools!Q202,Tools!R202,Tools!S202,Tools!T202,Tools!U202,Tools!V202,Tools!W202,Tools!X202,Tools!Y202,Tools!Z202,Tools!AA202,Tools!AB202,Tools!AC202,Tools!AD202,Tools!AE202," ")</f>
        <v xml:space="preserve">Spline 11.857,0 12.131,0.5 12.279,1 12.377,1.5 12.443,2 12.584,4 12.663,6 12.761,8 12.851,9.7 12.865,10 12.944,12 12.983,13  </v>
      </c>
      <c r="CF76" s="146"/>
      <c r="CG76" s="184" t="str">
        <f>IF(CG75="","",Tools!CC38)</f>
        <v xml:space="preserve">Line 0,0 0,13  Line 1,0 1,13  Line 2,0 2,13  Line 3,0 3,13  Line 4,0 4,13  Line 5,0 5,13  Line 6,0 6,13  Line 7,0 7,13  Line 8,0 8,13  Line 9,0 9,13  Line 10,0 10,13  Line 11,0 11,13  Line 12,0 12,13  Line 13,0 13,13  Line 14,0 14,13  Line 15,0 15,13  Line 16,0 16,13  Line 17,0 17,13  Line 18,0 18,13  Line 19,0 19,13  Line 20,0 20,13  </v>
      </c>
      <c r="CH76" s="185" t="s">
        <v>159</v>
      </c>
      <c r="CI76" s="186" t="s">
        <v>159</v>
      </c>
      <c r="CJ76" s="146"/>
      <c r="CM76" s="265">
        <v>15</v>
      </c>
      <c r="CN76" s="265">
        <f t="shared" si="111"/>
        <v>0</v>
      </c>
      <c r="CO76" s="265" t="str">
        <f t="shared" si="112"/>
        <v xml:space="preserve">  </v>
      </c>
      <c r="CP76" s="265" t="str">
        <f t="shared" si="113"/>
        <v xml:space="preserve"> </v>
      </c>
      <c r="CQ76" s="265" t="e">
        <f t="shared" ref="CQ76" si="144">CO76*WLS</f>
        <v>#VALUE!</v>
      </c>
      <c r="CR76" s="265" t="e">
        <f t="shared" si="115"/>
        <v>#VALUE!</v>
      </c>
      <c r="CS76" s="265"/>
      <c r="CT76" s="328">
        <v>1</v>
      </c>
      <c r="CU76" s="265">
        <f t="shared" ref="CU76" si="145">IF(CT76&lt;=(No_of_BTKs+1),CT76," ")</f>
        <v>1</v>
      </c>
      <c r="CV76" s="265" t="str">
        <f t="shared" ref="CV76" si="146">IF(CU76&lt;=No_of_BTKs,CONCATENATE("BTK ",CU76),IF(CU76=No_of_BTKs+1,"SIDE"," "))</f>
        <v>BTK 1</v>
      </c>
      <c r="CW76" s="265">
        <f>IFERROR(BREADTH/2/(No_of_BTKs+1)*CU76," ")</f>
        <v>3.6666666666666665</v>
      </c>
      <c r="CX76" s="265">
        <f>CW76</f>
        <v>3.6666666666666665</v>
      </c>
      <c r="CY76" s="265"/>
      <c r="CZ76" s="265"/>
      <c r="DA76" s="265"/>
      <c r="DB76" s="328">
        <f t="shared" si="122"/>
        <v>12</v>
      </c>
      <c r="DC76" s="265" t="str">
        <f t="shared" si="123"/>
        <v>STN 12</v>
      </c>
      <c r="DD76" s="265">
        <f t="shared" si="124"/>
        <v>12</v>
      </c>
      <c r="DE76" s="265">
        <f t="shared" si="125"/>
        <v>12</v>
      </c>
    </row>
    <row r="77" spans="1:142" x14ac:dyDescent="0.25">
      <c r="A77" s="344">
        <f t="shared" si="129"/>
        <v>5</v>
      </c>
      <c r="B77" s="339">
        <f t="array" ref="B77:Z77">TRANSPOSE('Stn(8)'!D4:D28)</f>
        <v>0</v>
      </c>
      <c r="C77" s="339">
        <v>6.6216666666666661</v>
      </c>
      <c r="D77" s="339">
        <v>14.353333333333332</v>
      </c>
      <c r="E77" s="339">
        <v>22.768333333333331</v>
      </c>
      <c r="F77" s="339">
        <v>31.68333333333333</v>
      </c>
      <c r="G77" s="339">
        <v>69.899999999999991</v>
      </c>
      <c r="H77" s="339">
        <v>110.57666666666665</v>
      </c>
      <c r="I77" s="339">
        <v>152.20666666666665</v>
      </c>
      <c r="J77" s="339">
        <v>188.41666666666663</v>
      </c>
      <c r="K77" s="339">
        <v>195.05666666666667</v>
      </c>
      <c r="L77" s="339">
        <v>238.12666666666664</v>
      </c>
      <c r="M77" s="339">
        <v>260.02666666666664</v>
      </c>
      <c r="N77" s="339" t="str">
        <v xml:space="preserve"> </v>
      </c>
      <c r="O77" s="339" t="str">
        <v xml:space="preserve"> </v>
      </c>
      <c r="P77" s="339" t="str">
        <v xml:space="preserve"> </v>
      </c>
      <c r="Q77" s="339" t="str">
        <v xml:space="preserve"> </v>
      </c>
      <c r="R77" s="339" t="str">
        <v xml:space="preserve"> </v>
      </c>
      <c r="S77" s="339" t="str">
        <v xml:space="preserve"> </v>
      </c>
      <c r="T77" s="339" t="str">
        <v xml:space="preserve"> </v>
      </c>
      <c r="U77" s="339" t="str">
        <v xml:space="preserve"> </v>
      </c>
      <c r="V77" s="339" t="str">
        <v xml:space="preserve"> </v>
      </c>
      <c r="W77" s="339" t="str">
        <v xml:space="preserve"> </v>
      </c>
      <c r="X77" s="339" t="str">
        <v xml:space="preserve"> </v>
      </c>
      <c r="Y77" s="339" t="str">
        <v xml:space="preserve"> </v>
      </c>
      <c r="Z77" s="339" t="str">
        <v xml:space="preserve"> </v>
      </c>
      <c r="AB77" s="340">
        <f t="shared" si="127"/>
        <v>5</v>
      </c>
      <c r="AC77" s="341">
        <f t="array" ref="AC77:BA77">TRANSPOSE('Stn(8)'!E4:E28)</f>
        <v>0</v>
      </c>
      <c r="AD77" s="341">
        <v>1.7120833333333332</v>
      </c>
      <c r="AE77" s="341">
        <v>7.5466666666666669</v>
      </c>
      <c r="AF77" s="341">
        <v>18.098749999999995</v>
      </c>
      <c r="AG77" s="341">
        <v>33.699999999999996</v>
      </c>
      <c r="AH77" s="341">
        <v>148.93666666666664</v>
      </c>
      <c r="AI77" s="341">
        <v>352.55333333333328</v>
      </c>
      <c r="AJ77" s="341">
        <v>644.45666666666659</v>
      </c>
      <c r="AK77" s="341">
        <v>964.98259999999982</v>
      </c>
      <c r="AL77" s="341">
        <v>1029.5666666666666</v>
      </c>
      <c r="AM77" s="341">
        <v>1504.5099999999998</v>
      </c>
      <c r="AN77" s="341">
        <v>1778.2766666666664</v>
      </c>
      <c r="AO77" s="341" t="str">
        <v xml:space="preserve"> </v>
      </c>
      <c r="AP77" s="341" t="str">
        <v xml:space="preserve"> </v>
      </c>
      <c r="AQ77" s="341" t="str">
        <v xml:space="preserve"> </v>
      </c>
      <c r="AR77" s="341" t="str">
        <v xml:space="preserve"> </v>
      </c>
      <c r="AS77" s="341" t="str">
        <v xml:space="preserve"> </v>
      </c>
      <c r="AT77" s="341" t="str">
        <v xml:space="preserve"> </v>
      </c>
      <c r="AU77" s="341" t="str">
        <v xml:space="preserve"> </v>
      </c>
      <c r="AV77" s="341" t="str">
        <v xml:space="preserve"> </v>
      </c>
      <c r="AW77" s="341" t="str">
        <v xml:space="preserve"> </v>
      </c>
      <c r="AX77" s="341" t="str">
        <v xml:space="preserve"> </v>
      </c>
      <c r="AY77" s="341" t="str">
        <v xml:space="preserve"> </v>
      </c>
      <c r="AZ77" s="341" t="str">
        <v xml:space="preserve"> </v>
      </c>
      <c r="BA77" s="341" t="str">
        <v xml:space="preserve"> </v>
      </c>
      <c r="BC77" s="350" t="s">
        <v>52</v>
      </c>
      <c r="BD77" s="348">
        <f>IFERROR('WL (1)'!$S18,"-")</f>
        <v>0</v>
      </c>
      <c r="BE77" s="348">
        <f>IFERROR('WL (2)'!$S18,"-")</f>
        <v>1008.5105818785412</v>
      </c>
      <c r="BF77" s="348">
        <f>IFERROR('WL (3)'!$S18,"-")</f>
        <v>2123.0075985691665</v>
      </c>
      <c r="BG77" s="348">
        <f>IFERROR('WL (4)'!$S18,"-")</f>
        <v>3292.8418500065964</v>
      </c>
      <c r="BH77" s="348">
        <f>IFERROR('WL (5)'!$S18,"-")</f>
        <v>4509.0602159147211</v>
      </c>
      <c r="BI77" s="348">
        <f>IFERROR('WL (6)'!$S18,"-")</f>
        <v>9576.9283032069416</v>
      </c>
      <c r="BJ77" s="348">
        <f>IFERROR('WL (7)'!$S18,"-")</f>
        <v>14865.902447832494</v>
      </c>
      <c r="BK77" s="348">
        <f>IFERROR('WL (8)'!$S18,"-")</f>
        <v>20304.211288571805</v>
      </c>
      <c r="BL77" s="348">
        <f>IFERROR('WL (9)'!$S18,"-")</f>
        <v>25103.136767582131</v>
      </c>
      <c r="BM77" s="348">
        <f>IFERROR('WL (10)'!$S18,"-")</f>
        <v>25979.681501489453</v>
      </c>
      <c r="BN77" s="348">
        <f>IFERROR('WL (11)'!$S18,"-")</f>
        <v>31814.702515397181</v>
      </c>
      <c r="BO77" s="348">
        <f>IFERROR('WL (12)'!$S18,"-")</f>
        <v>34795.877998991346</v>
      </c>
      <c r="BP77" s="348" t="str">
        <f>IFERROR('WL (13)'!$S18,"-")</f>
        <v xml:space="preserve">  </v>
      </c>
      <c r="BQ77" s="348" t="str">
        <f>IFERROR('WL (14)'!$S18,"-")</f>
        <v xml:space="preserve">  </v>
      </c>
      <c r="BR77" s="348" t="str">
        <f>IFERROR('WL (15)'!$S18,"-")</f>
        <v xml:space="preserve">  </v>
      </c>
      <c r="BS77" s="348" t="str">
        <f>IFERROR('WL (16)'!$S18,"-")</f>
        <v xml:space="preserve">  </v>
      </c>
      <c r="BT77" s="348" t="str">
        <f>IFERROR('WL (17)'!$S18,"-")</f>
        <v xml:space="preserve">  </v>
      </c>
      <c r="BU77" s="348" t="str">
        <f>IFERROR('WL (18)'!$S18,"-")</f>
        <v xml:space="preserve">  </v>
      </c>
      <c r="BV77" s="348" t="str">
        <f>IFERROR('WL (19)'!$S18,"-")</f>
        <v xml:space="preserve">  </v>
      </c>
      <c r="BW77" s="348" t="str">
        <f>IFERROR('WL (20)'!$S18,"-")</f>
        <v xml:space="preserve">  </v>
      </c>
      <c r="BX77" s="348" t="str">
        <f>IFERROR('WL (21)'!$S18,"-")</f>
        <v xml:space="preserve">  </v>
      </c>
      <c r="BY77" s="348" t="str">
        <f>IFERROR('WL (22)'!$S18,"-")</f>
        <v xml:space="preserve">  </v>
      </c>
      <c r="BZ77" s="348" t="str">
        <f>IFERROR('WL (23)'!$S18,"-")</f>
        <v xml:space="preserve">  </v>
      </c>
      <c r="CA77" s="348" t="str">
        <f>IFERROR('WL (24)'!$S18,"-")</f>
        <v xml:space="preserve">  </v>
      </c>
      <c r="CB77" s="348" t="str">
        <f>IFERROR('WL (25)'!$S18,"-")</f>
        <v xml:space="preserve">  </v>
      </c>
      <c r="CD77" s="174" t="str">
        <f>CONCATENATE(Tools!F191,Tools!G191,Tools!H191,Tools!I191,Tools!J191,Tools!K191,Tools!L191,Tools!M191,Tools!N191,Tools!O191,Tools!P191,Tools!Q191,Tools!R191,Tools!S191,Tools!T191,Tools!U191,Tools!V191,Tools!W191,Tools!X191,Tools!Y191,Tools!Z191,Tools!AA191,Tools!AB191,Tools!AC191,Tools!AD191,Tools!AE191," ")</f>
        <v xml:space="preserve">Spline 10.445,0 10.592,0.5 10.678,1 10.74,1.5 10.78,2 10.859,4 10.9,6 10.944,8 10.986,9.7 10.993,10 11.039,12 11.063,13  </v>
      </c>
      <c r="CE77" s="166" t="str">
        <f>CONCATENATE(Tools!F203,Tools!G203,Tools!H203,Tools!I203,Tools!J203,Tools!K203,Tools!L203,Tools!M203,Tools!N203,Tools!O203,Tools!P203,Tools!Q203,Tools!R203,Tools!S203,Tools!T203,Tools!U203,Tools!V203,Tools!W203,Tools!X203,Tools!Y203,Tools!Z203,Tools!AA203,Tools!AB203,Tools!AC203,Tools!AD203,Tools!AE203," ")</f>
        <v xml:space="preserve">Spline 5.807,0.5 5.599,1 5.427,1.5 5.297,2 4.812,4 4.289,6 3.672,8 3.054,9.7 2.926,10 2.285,12 2.018,13  </v>
      </c>
      <c r="CF77" s="146"/>
      <c r="CG77" s="146"/>
      <c r="CH77" s="146"/>
      <c r="CI77" s="146"/>
      <c r="CJ77" s="146"/>
      <c r="CM77" s="265">
        <v>16</v>
      </c>
      <c r="CN77" s="265">
        <f t="shared" si="111"/>
        <v>0</v>
      </c>
      <c r="CO77" s="265" t="str">
        <f t="shared" si="112"/>
        <v xml:space="preserve">  </v>
      </c>
      <c r="CP77" s="265" t="str">
        <f t="shared" si="113"/>
        <v xml:space="preserve"> </v>
      </c>
      <c r="CQ77" s="265" t="e">
        <f t="shared" ref="CQ77" si="147">CO77*WLS</f>
        <v>#VALUE!</v>
      </c>
      <c r="CR77" s="265" t="e">
        <f t="shared" si="115"/>
        <v>#VALUE!</v>
      </c>
      <c r="CS77" s="265"/>
      <c r="CT77" s="328">
        <v>2</v>
      </c>
      <c r="CU77" s="265">
        <f t="shared" ref="CU77" si="148">IF(CT77&lt;=(No_of_BTKs+1),CT77," ")</f>
        <v>2</v>
      </c>
      <c r="CV77" s="265" t="str">
        <f t="shared" ref="CV77" si="149">IF(CU77&lt;=No_of_BTKs,CONCATENATE("BTK ",CU77),IF(CU77=No_of_BTKs+1,"SIDE"," "))</f>
        <v>BTK 2</v>
      </c>
      <c r="CW77" s="265">
        <f>IFERROR(BREADTH/2/(No_of_BTKs+1)*CU77," ")</f>
        <v>7.333333333333333</v>
      </c>
      <c r="CX77" s="265">
        <f>CW77</f>
        <v>7.333333333333333</v>
      </c>
      <c r="CY77" s="265"/>
      <c r="CZ77" s="265"/>
      <c r="DA77" s="265"/>
      <c r="DB77" s="328">
        <f t="shared" si="122"/>
        <v>13</v>
      </c>
      <c r="DC77" s="265" t="str">
        <f t="shared" si="123"/>
        <v>STN 13</v>
      </c>
      <c r="DD77" s="265">
        <f t="shared" si="124"/>
        <v>13</v>
      </c>
      <c r="DE77" s="265">
        <f t="shared" si="125"/>
        <v>13</v>
      </c>
    </row>
    <row r="78" spans="1:142" x14ac:dyDescent="0.25">
      <c r="A78" s="344">
        <f t="shared" si="129"/>
        <v>6</v>
      </c>
      <c r="B78" s="339">
        <f t="array" ref="B78:Z78">TRANSPOSE('Stn(9)'!D4:D28)</f>
        <v>0</v>
      </c>
      <c r="C78" s="339">
        <v>8.4333333333333336</v>
      </c>
      <c r="D78" s="339">
        <v>17.666666666666664</v>
      </c>
      <c r="E78" s="339">
        <v>27.38</v>
      </c>
      <c r="F78" s="339">
        <v>37.486666666666665</v>
      </c>
      <c r="G78" s="339">
        <v>79.653333333333336</v>
      </c>
      <c r="H78" s="339">
        <v>123.22000000000001</v>
      </c>
      <c r="I78" s="339">
        <v>166.85333333333335</v>
      </c>
      <c r="J78" s="339">
        <v>204.25333333333333</v>
      </c>
      <c r="K78" s="339">
        <v>211.0866666666667</v>
      </c>
      <c r="L78" s="339">
        <v>254.85333333333335</v>
      </c>
      <c r="M78" s="339">
        <v>276.85333333333335</v>
      </c>
      <c r="N78" s="339" t="str">
        <v xml:space="preserve"> </v>
      </c>
      <c r="O78" s="339" t="str">
        <v xml:space="preserve"> </v>
      </c>
      <c r="P78" s="339" t="str">
        <v xml:space="preserve"> </v>
      </c>
      <c r="Q78" s="339" t="str">
        <v xml:space="preserve"> </v>
      </c>
      <c r="R78" s="339" t="str">
        <v xml:space="preserve"> </v>
      </c>
      <c r="S78" s="339" t="str">
        <v xml:space="preserve"> </v>
      </c>
      <c r="T78" s="339" t="str">
        <v xml:space="preserve"> </v>
      </c>
      <c r="U78" s="339" t="str">
        <v xml:space="preserve"> </v>
      </c>
      <c r="V78" s="339" t="str">
        <v xml:space="preserve"> </v>
      </c>
      <c r="W78" s="339" t="str">
        <v xml:space="preserve"> </v>
      </c>
      <c r="X78" s="339" t="str">
        <v xml:space="preserve"> </v>
      </c>
      <c r="Y78" s="339" t="str">
        <v xml:space="preserve"> </v>
      </c>
      <c r="Z78" s="339" t="str">
        <v xml:space="preserve"> </v>
      </c>
      <c r="AB78" s="340">
        <f t="shared" si="127"/>
        <v>6</v>
      </c>
      <c r="AC78" s="341">
        <f t="array" ref="AC78:BA78">TRANSPOSE('Stn(9)'!E4:E28)</f>
        <v>0</v>
      </c>
      <c r="AD78" s="341">
        <v>2.15</v>
      </c>
      <c r="AE78" s="341">
        <v>9.1</v>
      </c>
      <c r="AF78" s="341">
        <v>21.269999999999996</v>
      </c>
      <c r="AG78" s="341">
        <v>38.946666666666665</v>
      </c>
      <c r="AH78" s="341">
        <v>165.84666666666666</v>
      </c>
      <c r="AI78" s="341">
        <v>383.74666666666667</v>
      </c>
      <c r="AJ78" s="341">
        <v>689.58</v>
      </c>
      <c r="AK78" s="341">
        <v>1020.5699999999999</v>
      </c>
      <c r="AL78" s="341">
        <v>1086.9466666666667</v>
      </c>
      <c r="AM78" s="341">
        <v>1569.58</v>
      </c>
      <c r="AN78" s="341">
        <v>1844.58</v>
      </c>
      <c r="AO78" s="341" t="str">
        <v xml:space="preserve"> </v>
      </c>
      <c r="AP78" s="341" t="str">
        <v xml:space="preserve"> </v>
      </c>
      <c r="AQ78" s="341" t="str">
        <v xml:space="preserve"> </v>
      </c>
      <c r="AR78" s="341" t="str">
        <v xml:space="preserve"> </v>
      </c>
      <c r="AS78" s="341" t="str">
        <v xml:space="preserve"> </v>
      </c>
      <c r="AT78" s="341" t="str">
        <v xml:space="preserve"> </v>
      </c>
      <c r="AU78" s="341" t="str">
        <v xml:space="preserve"> </v>
      </c>
      <c r="AV78" s="341" t="str">
        <v xml:space="preserve"> </v>
      </c>
      <c r="AW78" s="341" t="str">
        <v xml:space="preserve"> </v>
      </c>
      <c r="AX78" s="341" t="str">
        <v xml:space="preserve"> </v>
      </c>
      <c r="AY78" s="341" t="str">
        <v xml:space="preserve"> </v>
      </c>
      <c r="AZ78" s="341" t="str">
        <v xml:space="preserve"> </v>
      </c>
      <c r="BA78" s="341" t="str">
        <v xml:space="preserve"> </v>
      </c>
      <c r="BC78" s="350" t="s">
        <v>55</v>
      </c>
      <c r="BD78" s="348">
        <f>IFERROR('WL (1)'!$S19,"-")</f>
        <v>0</v>
      </c>
      <c r="BE78" s="348">
        <f>IFERROR('WL (2)'!$S19,"-")</f>
        <v>250.07992256944442</v>
      </c>
      <c r="BF78" s="348">
        <f>IFERROR('WL (3)'!$S19,"-")</f>
        <v>1063.6984055555554</v>
      </c>
      <c r="BG78" s="348">
        <f>IFERROR('WL (4)'!$S19,"-")</f>
        <v>2485.3946697916667</v>
      </c>
      <c r="BH78" s="348">
        <f>IFERROR('WL (5)'!$S19,"-")</f>
        <v>4547.9814777777765</v>
      </c>
      <c r="BI78" s="348">
        <f>IFERROR('WL (6)'!$S19,"-")</f>
        <v>19338.336966666666</v>
      </c>
      <c r="BJ78" s="348">
        <f>IFERROR('WL (7)'!$S19,"-")</f>
        <v>45009.773655555568</v>
      </c>
      <c r="BK78" s="348">
        <f>IFERROR('WL (8)'!$S19,"-")</f>
        <v>81986.394677333315</v>
      </c>
      <c r="BL78" s="348">
        <f>IFERROR('WL (9)'!$S19,"-")</f>
        <v>123195.07073705437</v>
      </c>
      <c r="BM78" s="348">
        <f>IFERROR('WL (10)'!$S19,"-")</f>
        <v>131498.34112711111</v>
      </c>
      <c r="BN78" s="348">
        <f>IFERROR('WL (11)'!$S19,"-")</f>
        <v>193851.63787022224</v>
      </c>
      <c r="BO78" s="348">
        <f>IFERROR('WL (12)'!$S19,"-")</f>
        <v>229993.82109244447</v>
      </c>
      <c r="BP78" s="348" t="str">
        <f>IFERROR('WL (13)'!$S19,"-")</f>
        <v xml:space="preserve">  </v>
      </c>
      <c r="BQ78" s="348" t="str">
        <f>IFERROR('WL (14)'!$S19,"-")</f>
        <v xml:space="preserve">  </v>
      </c>
      <c r="BR78" s="348" t="str">
        <f>IFERROR('WL (15)'!$S19,"-")</f>
        <v xml:space="preserve">  </v>
      </c>
      <c r="BS78" s="348" t="str">
        <f>IFERROR('WL (16)'!$S19,"-")</f>
        <v xml:space="preserve">  </v>
      </c>
      <c r="BT78" s="348" t="str">
        <f>IFERROR('WL (17)'!$S19,"-")</f>
        <v xml:space="preserve">  </v>
      </c>
      <c r="BU78" s="348" t="str">
        <f>IFERROR('WL (18)'!$S19,"-")</f>
        <v xml:space="preserve">  </v>
      </c>
      <c r="BV78" s="348" t="str">
        <f>IFERROR('WL (19)'!$S19,"-")</f>
        <v xml:space="preserve">  </v>
      </c>
      <c r="BW78" s="348" t="str">
        <f>IFERROR('WL (20)'!$S19,"-")</f>
        <v xml:space="preserve">  </v>
      </c>
      <c r="BX78" s="348" t="str">
        <f>IFERROR('WL (21)'!$S19,"-")</f>
        <v xml:space="preserve">  </v>
      </c>
      <c r="BY78" s="348" t="str">
        <f>IFERROR('WL (22)'!$S19,"-")</f>
        <v xml:space="preserve">  </v>
      </c>
      <c r="BZ78" s="348" t="str">
        <f>IFERROR('WL (23)'!$S19,"-")</f>
        <v xml:space="preserve">  </v>
      </c>
      <c r="CA78" s="348" t="str">
        <f>IFERROR('WL (24)'!$S19,"-")</f>
        <v xml:space="preserve">  </v>
      </c>
      <c r="CB78" s="348" t="str">
        <f>IFERROR('WL (25)'!$S19,"-")</f>
        <v xml:space="preserve">  </v>
      </c>
      <c r="CD78" s="174" t="str">
        <f>CONCATENATE(Tools!F192,Tools!G192,Tools!H192,Tools!I192,Tools!J192,Tools!K192,Tools!L192,Tools!M192,Tools!N192,Tools!O192,Tools!P192,Tools!Q192,Tools!R192,Tools!S192,Tools!T192,Tools!U192,Tools!V192,Tools!W192,Tools!X192,Tools!Y192,Tools!Z192,Tools!AA192,Tools!AB192,Tools!AC192,Tools!AD192,Tools!AE192," ")</f>
        <v xml:space="preserve">Spline 11.57,0 12.035,0.5 12.31,1 12.501,1.5 12.642,2 13.008,4 13.241,6 13.585,8 13.911,9.7 13.959,10 14.243,12 14.386,13  </v>
      </c>
      <c r="CE78" s="166" t="str">
        <f>CONCATENATE(Tools!F204,Tools!G204,Tools!H204,Tools!I204,Tools!J204,Tools!K204,Tools!L204,Tools!M204,Tools!N204,Tools!O204,Tools!P204,Tools!Q204,Tools!R204,Tools!S204,Tools!T204,Tools!U204,Tools!V204,Tools!W204,Tools!X204,Tools!Y204,Tools!Z204,Tools!AA204,Tools!AB204,Tools!AC204,Tools!AD204,Tools!AE204," ")</f>
        <v xml:space="preserve">Spline 11.435,0.5 11.63,1 11.764,1.5 11.864,2 12.122,4 12.286,6 12.529,8 12.758,9.7 12.792,10 12.992,12 13.094,13  </v>
      </c>
      <c r="CF78" s="146"/>
      <c r="CM78" s="265">
        <v>17</v>
      </c>
      <c r="CN78" s="265">
        <f t="shared" si="111"/>
        <v>0</v>
      </c>
      <c r="CO78" s="265" t="str">
        <f t="shared" si="112"/>
        <v xml:space="preserve">  </v>
      </c>
      <c r="CP78" s="265" t="str">
        <f t="shared" si="113"/>
        <v xml:space="preserve"> </v>
      </c>
      <c r="CQ78" s="265" t="e">
        <f t="shared" ref="CQ78" si="150">CO78*WLS</f>
        <v>#VALUE!</v>
      </c>
      <c r="CR78" s="265" t="e">
        <f t="shared" si="115"/>
        <v>#VALUE!</v>
      </c>
      <c r="CS78" s="265"/>
      <c r="CT78" s="328">
        <v>3</v>
      </c>
      <c r="CU78" s="265">
        <f t="shared" ref="CU78" si="151">IF(CT78&lt;=(No_of_BTKs+1),CT78," ")</f>
        <v>3</v>
      </c>
      <c r="CV78" s="265" t="str">
        <f t="shared" ref="CV78" si="152">IF(CU78&lt;=No_of_BTKs,CONCATENATE("BTK ",CU78),IF(CU78=No_of_BTKs+1,"SIDE"," "))</f>
        <v>SIDE</v>
      </c>
      <c r="CW78" s="265">
        <f>IFERROR(BREADTH/2/(No_of_BTKs+1)*CU78," ")</f>
        <v>11</v>
      </c>
      <c r="CX78" s="265">
        <f>CW78</f>
        <v>11</v>
      </c>
      <c r="CY78" s="265"/>
      <c r="CZ78" s="265"/>
      <c r="DA78" s="265"/>
      <c r="DB78" s="328">
        <f t="shared" si="122"/>
        <v>14</v>
      </c>
      <c r="DC78" s="265" t="str">
        <f t="shared" si="123"/>
        <v>STN 14</v>
      </c>
      <c r="DD78" s="265">
        <f t="shared" si="124"/>
        <v>14</v>
      </c>
      <c r="DE78" s="265">
        <f t="shared" si="125"/>
        <v>14</v>
      </c>
    </row>
    <row r="79" spans="1:142" x14ac:dyDescent="0.25">
      <c r="A79" s="344">
        <f t="shared" si="129"/>
        <v>7</v>
      </c>
      <c r="B79" s="339">
        <f t="array" ref="B79:Z79">TRANSPOSE('Stn(10)'!D4:D28)</f>
        <v>0</v>
      </c>
      <c r="C79" s="339">
        <v>9.4450000000000003</v>
      </c>
      <c r="D79" s="339">
        <v>19.54</v>
      </c>
      <c r="E79" s="339">
        <v>29.988333333333333</v>
      </c>
      <c r="F79" s="339">
        <v>40.706666666666663</v>
      </c>
      <c r="G79" s="339">
        <v>84.373333333333335</v>
      </c>
      <c r="H79" s="339">
        <v>128.44</v>
      </c>
      <c r="I79" s="339">
        <v>172.37333333333333</v>
      </c>
      <c r="J79" s="339">
        <v>209.77333333333331</v>
      </c>
      <c r="K79" s="339">
        <v>216.44</v>
      </c>
      <c r="L79" s="339">
        <v>260.37333333333333</v>
      </c>
      <c r="M79" s="339">
        <v>282.37333333333333</v>
      </c>
      <c r="N79" s="339" t="str">
        <v xml:space="preserve"> </v>
      </c>
      <c r="O79" s="339" t="str">
        <v xml:space="preserve"> </v>
      </c>
      <c r="P79" s="339" t="str">
        <v xml:space="preserve"> </v>
      </c>
      <c r="Q79" s="339" t="str">
        <v xml:space="preserve"> </v>
      </c>
      <c r="R79" s="339" t="str">
        <v xml:space="preserve"> </v>
      </c>
      <c r="S79" s="339" t="str">
        <v xml:space="preserve"> </v>
      </c>
      <c r="T79" s="339" t="str">
        <v xml:space="preserve"> </v>
      </c>
      <c r="U79" s="339" t="str">
        <v xml:space="preserve"> </v>
      </c>
      <c r="V79" s="339" t="str">
        <v xml:space="preserve"> </v>
      </c>
      <c r="W79" s="339" t="str">
        <v xml:space="preserve"> </v>
      </c>
      <c r="X79" s="339" t="str">
        <v xml:space="preserve"> </v>
      </c>
      <c r="Y79" s="339" t="str">
        <v xml:space="preserve"> </v>
      </c>
      <c r="Z79" s="339" t="str">
        <v xml:space="preserve"> </v>
      </c>
      <c r="AB79" s="340">
        <f t="shared" si="127"/>
        <v>7</v>
      </c>
      <c r="AC79" s="341">
        <f t="array" ref="AC79:BA79">TRANSPOSE('Stn(10)'!E4:E28)</f>
        <v>0</v>
      </c>
      <c r="AD79" s="341">
        <v>2.395833333333333</v>
      </c>
      <c r="AE79" s="341">
        <v>9.9866666666666664</v>
      </c>
      <c r="AF79" s="341">
        <v>23.067499999999999</v>
      </c>
      <c r="AG79" s="341">
        <v>41.82</v>
      </c>
      <c r="AH79" s="341">
        <v>172.95333333333332</v>
      </c>
      <c r="AI79" s="341">
        <v>393.28666666666669</v>
      </c>
      <c r="AJ79" s="341">
        <v>700.95333333333338</v>
      </c>
      <c r="AK79" s="341">
        <v>1031.9433333333332</v>
      </c>
      <c r="AL79" s="341">
        <v>1097.2866666666666</v>
      </c>
      <c r="AM79" s="341">
        <v>1580.9533333333334</v>
      </c>
      <c r="AN79" s="341">
        <v>1855.9533333333334</v>
      </c>
      <c r="AO79" s="341" t="str">
        <v xml:space="preserve"> </v>
      </c>
      <c r="AP79" s="341" t="str">
        <v xml:space="preserve"> </v>
      </c>
      <c r="AQ79" s="341" t="str">
        <v xml:space="preserve"> </v>
      </c>
      <c r="AR79" s="341" t="str">
        <v xml:space="preserve"> </v>
      </c>
      <c r="AS79" s="341" t="str">
        <v xml:space="preserve"> </v>
      </c>
      <c r="AT79" s="341" t="str">
        <v xml:space="preserve"> </v>
      </c>
      <c r="AU79" s="341" t="str">
        <v xml:space="preserve"> </v>
      </c>
      <c r="AV79" s="341" t="str">
        <v xml:space="preserve"> </v>
      </c>
      <c r="AW79" s="341" t="str">
        <v xml:space="preserve"> </v>
      </c>
      <c r="AX79" s="341" t="str">
        <v xml:space="preserve"> </v>
      </c>
      <c r="AY79" s="341" t="str">
        <v xml:space="preserve"> </v>
      </c>
      <c r="AZ79" s="341" t="str">
        <v xml:space="preserve"> </v>
      </c>
      <c r="BA79" s="341" t="str">
        <v xml:space="preserve"> </v>
      </c>
      <c r="BC79" s="350" t="s">
        <v>57</v>
      </c>
      <c r="BD79" s="348">
        <f>IFERROR('WL (1)'!$S20,"-")</f>
        <v>0</v>
      </c>
      <c r="BE79" s="348">
        <f>IFERROR('WL (2)'!$S20,"-")</f>
        <v>5679.4113584166626</v>
      </c>
      <c r="BF79" s="348">
        <f>IFERROR('WL (3)'!$S20,"-")</f>
        <v>11527.769852999998</v>
      </c>
      <c r="BG79" s="348">
        <f>IFERROR('WL (4)'!$S20,"-")</f>
        <v>17329.431133527782</v>
      </c>
      <c r="BH79" s="348">
        <f>IFERROR('WL (5)'!$S20,"-")</f>
        <v>23161.105690222219</v>
      </c>
      <c r="BI79" s="348">
        <f>IFERROR('WL (6)'!$S20,"-")</f>
        <v>44691.638475666688</v>
      </c>
      <c r="BJ79" s="348">
        <f>IFERROR('WL (7)'!$S20,"-")</f>
        <v>61837.20489511107</v>
      </c>
      <c r="BK79" s="348">
        <f>IFERROR('WL (8)'!$S20,"-")</f>
        <v>72314.430521862218</v>
      </c>
      <c r="BL79" s="348">
        <f>IFERROR('WL (9)'!$S20,"-")</f>
        <v>74341.513300772858</v>
      </c>
      <c r="BM79" s="348">
        <f>IFERROR('WL (10)'!$S20,"-")</f>
        <v>73717.935625706727</v>
      </c>
      <c r="BN79" s="348">
        <f>IFERROR('WL (11)'!$S20,"-")</f>
        <v>70490.041319977769</v>
      </c>
      <c r="BO79" s="348">
        <f>IFERROR('WL (12)'!$S20,"-")</f>
        <v>68100.200807644505</v>
      </c>
      <c r="BP79" s="348" t="str">
        <f>IFERROR('WL (13)'!$S20,"-")</f>
        <v xml:space="preserve">  </v>
      </c>
      <c r="BQ79" s="348" t="str">
        <f>IFERROR('WL (14)'!$S20,"-")</f>
        <v xml:space="preserve">  </v>
      </c>
      <c r="BR79" s="348" t="str">
        <f>IFERROR('WL (15)'!$S20,"-")</f>
        <v xml:space="preserve">  </v>
      </c>
      <c r="BS79" s="348" t="str">
        <f>IFERROR('WL (16)'!$S20,"-")</f>
        <v xml:space="preserve">  </v>
      </c>
      <c r="BT79" s="348" t="str">
        <f>IFERROR('WL (17)'!$S20,"-")</f>
        <v xml:space="preserve">  </v>
      </c>
      <c r="BU79" s="348" t="str">
        <f>IFERROR('WL (18)'!$S20,"-")</f>
        <v xml:space="preserve">  </v>
      </c>
      <c r="BV79" s="348" t="str">
        <f>IFERROR('WL (19)'!$S20,"-")</f>
        <v xml:space="preserve">  </v>
      </c>
      <c r="BW79" s="348" t="str">
        <f>IFERROR('WL (20)'!$S20,"-")</f>
        <v xml:space="preserve">  </v>
      </c>
      <c r="BX79" s="348" t="str">
        <f>IFERROR('WL (21)'!$S20,"-")</f>
        <v xml:space="preserve">  </v>
      </c>
      <c r="BY79" s="348" t="str">
        <f>IFERROR('WL (22)'!$S20,"-")</f>
        <v xml:space="preserve">  </v>
      </c>
      <c r="BZ79" s="348" t="str">
        <f>IFERROR('WL (23)'!$S20,"-")</f>
        <v xml:space="preserve">  </v>
      </c>
      <c r="CA79" s="348" t="str">
        <f>IFERROR('WL (24)'!$S20,"-")</f>
        <v xml:space="preserve">  </v>
      </c>
      <c r="CB79" s="348" t="str">
        <f>IFERROR('WL (25)'!$S20,"-")</f>
        <v xml:space="preserve">  </v>
      </c>
      <c r="CD79" s="174" t="str">
        <f>CONCATENATE(Tools!F193,Tools!G193,Tools!H193,Tools!I193,Tools!J193,Tools!K193,Tools!L193,Tools!M193,Tools!N193,Tools!O193,Tools!P193,Tools!Q193,Tools!R193,Tools!S193,Tools!T193,Tools!U193,Tools!V193,Tools!W193,Tools!X193,Tools!Y193,Tools!Z193,Tools!AA193,Tools!AB193,Tools!AC193,Tools!AD193,Tools!AE193," ")</f>
        <v xml:space="preserve">Spline 0,0 0.098,0.5 0.206,1 0.319,1.5 0.437,2 0.929,4 1.442,6 1.969,8 2.434,9.7 2.519,10 3.085,12 3.374,13  </v>
      </c>
      <c r="CE79" s="166" t="str">
        <f>CONCATENATE(Tools!F205,Tools!G205,Tools!H205,Tools!I205,Tools!J205,Tools!K205,Tools!L205,Tools!M205,Tools!N205,Tools!O205,Tools!P205,Tools!Q205,Tools!R205,Tools!S205,Tools!T205,Tools!U205,Tools!V205,Tools!W205,Tools!X205,Tools!Y205,Tools!Z205,Tools!AA205,Tools!AB205,Tools!AC205,Tools!AD205,Tools!AE205," ")</f>
        <v xml:space="preserve">Spline 0,0 0.05,0.5 0.1,1 0.15,1.5 0.2,2 0.4,4 0.6,6 0.8,8 0.97,9.7 1,10 1.2,12 1.3,13  </v>
      </c>
      <c r="CF79" s="146"/>
      <c r="CM79" s="265">
        <v>18</v>
      </c>
      <c r="CN79" s="265">
        <f t="shared" si="111"/>
        <v>0</v>
      </c>
      <c r="CO79" s="265" t="str">
        <f t="shared" si="112"/>
        <v xml:space="preserve">  </v>
      </c>
      <c r="CP79" s="265" t="str">
        <f t="shared" si="113"/>
        <v xml:space="preserve"> </v>
      </c>
      <c r="CQ79" s="265" t="e">
        <f t="shared" ref="CQ79" si="153">CO79*WLS</f>
        <v>#VALUE!</v>
      </c>
      <c r="CR79" s="265" t="e">
        <f t="shared" si="115"/>
        <v>#VALUE!</v>
      </c>
      <c r="CS79" s="265"/>
      <c r="CT79" s="328">
        <v>4</v>
      </c>
      <c r="CU79" s="265" t="str">
        <f t="shared" ref="CU79" si="154">IF(CT79&lt;=(No_of_BTKs+1),CT79," ")</f>
        <v xml:space="preserve"> </v>
      </c>
      <c r="CV79" s="265" t="str">
        <f t="shared" ref="CV79" si="155">IF(CU79&lt;=No_of_BTKs,CONCATENATE("BTK ",CU79),IF(CU79=No_of_BTKs+1,"SIDE"," "))</f>
        <v xml:space="preserve"> </v>
      </c>
      <c r="CW79" s="265" t="str">
        <f>IFERROR(BREADTH/2/(No_of_BTKs+1)*CU79," ")</f>
        <v xml:space="preserve"> </v>
      </c>
      <c r="CX79" s="265" t="str">
        <f>CW79</f>
        <v xml:space="preserve"> </v>
      </c>
      <c r="CY79" s="265"/>
      <c r="CZ79" s="265"/>
      <c r="DA79" s="265"/>
      <c r="DB79" s="328">
        <f t="shared" si="122"/>
        <v>15</v>
      </c>
      <c r="DC79" s="265" t="str">
        <f t="shared" si="123"/>
        <v>STN 15</v>
      </c>
      <c r="DD79" s="265">
        <f t="shared" si="124"/>
        <v>15</v>
      </c>
      <c r="DE79" s="265">
        <f t="shared" si="125"/>
        <v>15</v>
      </c>
    </row>
    <row r="80" spans="1:142" x14ac:dyDescent="0.25">
      <c r="A80" s="344">
        <f t="shared" si="129"/>
        <v>8</v>
      </c>
      <c r="B80" s="339">
        <f t="array" ref="B80:Z80">TRANSPOSE('Stn(11)'!D4:D28)</f>
        <v>0</v>
      </c>
      <c r="C80" s="339">
        <v>9.9558333333333309</v>
      </c>
      <c r="D80" s="339">
        <v>20.496666666666666</v>
      </c>
      <c r="E80" s="339">
        <v>31.259166666666662</v>
      </c>
      <c r="F80" s="339">
        <v>42.25333333333333</v>
      </c>
      <c r="G80" s="339">
        <v>86.25333333333333</v>
      </c>
      <c r="H80" s="339">
        <v>130.25333333333333</v>
      </c>
      <c r="I80" s="339">
        <v>174.25333333333333</v>
      </c>
      <c r="J80" s="339">
        <v>211.65333333333331</v>
      </c>
      <c r="K80" s="339">
        <v>218.25333333333333</v>
      </c>
      <c r="L80" s="339">
        <v>262.25333333333333</v>
      </c>
      <c r="M80" s="339">
        <v>284.25333333333333</v>
      </c>
      <c r="N80" s="339" t="str">
        <v xml:space="preserve"> </v>
      </c>
      <c r="O80" s="339" t="str">
        <v xml:space="preserve"> </v>
      </c>
      <c r="P80" s="339" t="str">
        <v xml:space="preserve"> </v>
      </c>
      <c r="Q80" s="339" t="str">
        <v xml:space="preserve"> </v>
      </c>
      <c r="R80" s="339" t="str">
        <v xml:space="preserve"> </v>
      </c>
      <c r="S80" s="339" t="str">
        <v xml:space="preserve"> </v>
      </c>
      <c r="T80" s="339" t="str">
        <v xml:space="preserve"> </v>
      </c>
      <c r="U80" s="339" t="str">
        <v xml:space="preserve"> </v>
      </c>
      <c r="V80" s="339" t="str">
        <v xml:space="preserve"> </v>
      </c>
      <c r="W80" s="339" t="str">
        <v xml:space="preserve"> </v>
      </c>
      <c r="X80" s="339" t="str">
        <v xml:space="preserve"> </v>
      </c>
      <c r="Y80" s="339" t="str">
        <v xml:space="preserve"> </v>
      </c>
      <c r="Z80" s="339" t="str">
        <v xml:space="preserve"> </v>
      </c>
      <c r="AB80" s="340">
        <f t="shared" si="127"/>
        <v>8</v>
      </c>
      <c r="AC80" s="341">
        <f t="array" ref="AC80:BA80">TRANSPOSE('Stn(11)'!E4:E28)</f>
        <v>0</v>
      </c>
      <c r="AD80" s="341">
        <v>2.5235416666666666</v>
      </c>
      <c r="AE80" s="341">
        <v>10.443333333333332</v>
      </c>
      <c r="AF80" s="341">
        <v>23.921874999999996</v>
      </c>
      <c r="AG80" s="341">
        <v>43.133333333333326</v>
      </c>
      <c r="AH80" s="341">
        <v>175.13333333333333</v>
      </c>
      <c r="AI80" s="341">
        <v>395.13333333333333</v>
      </c>
      <c r="AJ80" s="341">
        <v>703.13333333333333</v>
      </c>
      <c r="AK80" s="341">
        <v>1034.1233333333332</v>
      </c>
      <c r="AL80" s="341">
        <v>1099.1333333333332</v>
      </c>
      <c r="AM80" s="341">
        <v>1583.1333333333332</v>
      </c>
      <c r="AN80" s="341">
        <v>1858.1333333333332</v>
      </c>
      <c r="AO80" s="341" t="str">
        <v xml:space="preserve"> </v>
      </c>
      <c r="AP80" s="341" t="str">
        <v xml:space="preserve"> </v>
      </c>
      <c r="AQ80" s="341" t="str">
        <v xml:space="preserve"> </v>
      </c>
      <c r="AR80" s="341" t="str">
        <v xml:space="preserve"> </v>
      </c>
      <c r="AS80" s="341" t="str">
        <v xml:space="preserve"> </v>
      </c>
      <c r="AT80" s="341" t="str">
        <v xml:space="preserve"> </v>
      </c>
      <c r="AU80" s="341" t="str">
        <v xml:space="preserve"> </v>
      </c>
      <c r="AV80" s="341" t="str">
        <v xml:space="preserve"> </v>
      </c>
      <c r="AW80" s="341" t="str">
        <v xml:space="preserve"> </v>
      </c>
      <c r="AX80" s="341" t="str">
        <v xml:space="preserve"> </v>
      </c>
      <c r="AY80" s="341" t="str">
        <v xml:space="preserve"> </v>
      </c>
      <c r="AZ80" s="341" t="str">
        <v xml:space="preserve"> </v>
      </c>
      <c r="BA80" s="341" t="str">
        <v xml:space="preserve"> </v>
      </c>
      <c r="BC80" s="350" t="s">
        <v>60</v>
      </c>
      <c r="BD80" s="348" t="str">
        <f>IFERROR('WL (1)'!$S21,"-")</f>
        <v>-</v>
      </c>
      <c r="BE80" s="348">
        <f>IFERROR('WL (2)'!$S21,"-")</f>
        <v>2080.2954937921154</v>
      </c>
      <c r="BF80" s="348">
        <f>IFERROR('WL (3)'!$S21,"-")</f>
        <v>1122.1619987284412</v>
      </c>
      <c r="BG80" s="348">
        <f>IFERROR('WL (4)'!$S21,"-")</f>
        <v>783.15417211251088</v>
      </c>
      <c r="BH80" s="348">
        <f>IFERROR('WL (5)'!$S21,"-")</f>
        <v>604.29641041362777</v>
      </c>
      <c r="BI80" s="348">
        <f>IFERROR('WL (6)'!$S21,"-")</f>
        <v>323.87632595141071</v>
      </c>
      <c r="BJ80" s="348">
        <f>IFERROR('WL (7)'!$S21,"-")</f>
        <v>224.84072132173338</v>
      </c>
      <c r="BK80" s="348">
        <f>IFERROR('WL (8)'!$S21,"-")</f>
        <v>182.07624069908218</v>
      </c>
      <c r="BL80" s="348">
        <f>IFERROR('WL (9)'!$S21,"-")</f>
        <v>160.64558657222005</v>
      </c>
      <c r="BM80" s="348">
        <f>IFERROR('WL (10)'!$S21,"-")</f>
        <v>157.13575235233492</v>
      </c>
      <c r="BN80" s="348">
        <f>IFERROR('WL (11)'!$S21,"-")</f>
        <v>137.51459385414461</v>
      </c>
      <c r="BO80" s="348">
        <f>IFERROR('WL (12)'!$S21,"-")</f>
        <v>129.98800173260639</v>
      </c>
      <c r="BP80" s="348" t="str">
        <f>IFERROR('WL (13)'!$S21,"-")</f>
        <v xml:space="preserve">  </v>
      </c>
      <c r="BQ80" s="348" t="str">
        <f>IFERROR('WL (14)'!$S21,"-")</f>
        <v xml:space="preserve">  </v>
      </c>
      <c r="BR80" s="348" t="str">
        <f>IFERROR('WL (15)'!$S21,"-")</f>
        <v xml:space="preserve">  </v>
      </c>
      <c r="BS80" s="348" t="str">
        <f>IFERROR('WL (16)'!$S21,"-")</f>
        <v xml:space="preserve">  </v>
      </c>
      <c r="BT80" s="348" t="str">
        <f>IFERROR('WL (17)'!$S21,"-")</f>
        <v xml:space="preserve">  </v>
      </c>
      <c r="BU80" s="348" t="str">
        <f>IFERROR('WL (18)'!$S21,"-")</f>
        <v xml:space="preserve">  </v>
      </c>
      <c r="BV80" s="348" t="str">
        <f>IFERROR('WL (19)'!$S21,"-")</f>
        <v xml:space="preserve">  </v>
      </c>
      <c r="BW80" s="348" t="str">
        <f>IFERROR('WL (20)'!$S21,"-")</f>
        <v xml:space="preserve">  </v>
      </c>
      <c r="BX80" s="348" t="str">
        <f>IFERROR('WL (21)'!$S21,"-")</f>
        <v xml:space="preserve">  </v>
      </c>
      <c r="BY80" s="348" t="str">
        <f>IFERROR('WL (22)'!$S21,"-")</f>
        <v xml:space="preserve">  </v>
      </c>
      <c r="BZ80" s="348" t="str">
        <f>IFERROR('WL (23)'!$S21,"-")</f>
        <v xml:space="preserve">  </v>
      </c>
      <c r="CA80" s="348" t="str">
        <f>IFERROR('WL (24)'!$S21,"-")</f>
        <v xml:space="preserve">  </v>
      </c>
      <c r="CB80" s="348" t="str">
        <f>IFERROR('WL (25)'!$S21,"-")</f>
        <v xml:space="preserve">  </v>
      </c>
      <c r="CD80" s="174" t="str">
        <f>CONCATENATE(Tools!F194,Tools!G194,Tools!H194,Tools!I194,Tools!J194,Tools!K194,Tools!L194,Tools!M194,Tools!N194,Tools!O194,Tools!P194,Tools!Q194,Tools!R194,Tools!S194,Tools!T194,Tools!U194,Tools!V194,Tools!W194,Tools!X194,Tools!Y194,Tools!Z194,Tools!AA194,Tools!AB194,Tools!AC194,Tools!AD194,Tools!AE194," ")</f>
        <v xml:space="preserve">Spline 0,0 0.101,0.5 0.212,1 0.329,1.5 0.451,2 0.958,4 1.487,6 2.03,8 2.51,9.7 2.598,10 3.181,12 3.48,13  </v>
      </c>
      <c r="CE80" s="166" t="str">
        <f>CONCATENATE(Tools!F206,Tools!G206,Tools!H206,Tools!I206,Tools!J206,Tools!K206,Tools!L206,Tools!M206,Tools!N206,Tools!O206,Tools!P206,Tools!Q206,Tools!R206,Tools!S206,Tools!T206,Tools!U206,Tools!V206,Tools!W206,Tools!X206,Tools!Y206,Tools!Z206,Tools!AA206,Tools!AB206,Tools!AC206,Tools!AD206,Tools!AE206," ")</f>
        <v xml:space="preserve">Spline 6.389,0 6.805,0.5 7.073,1 7.257,1.5 7.409,2 7.839,4 8.076,6 8.375,8 8.648,9.7 8.689,10 8.929,12 9.049,13  </v>
      </c>
      <c r="CF80" s="146"/>
      <c r="CM80" s="265">
        <v>19</v>
      </c>
      <c r="CN80" s="265">
        <f t="shared" si="111"/>
        <v>0</v>
      </c>
      <c r="CO80" s="265" t="str">
        <f t="shared" si="112"/>
        <v xml:space="preserve">  </v>
      </c>
      <c r="CP80" s="265" t="str">
        <f t="shared" si="113"/>
        <v xml:space="preserve"> </v>
      </c>
      <c r="CQ80" s="265" t="e">
        <f t="shared" ref="CQ80" si="156">CO80*WLS</f>
        <v>#VALUE!</v>
      </c>
      <c r="CR80" s="265" t="e">
        <f t="shared" si="115"/>
        <v>#VALUE!</v>
      </c>
      <c r="CS80" s="265"/>
      <c r="CT80" s="328">
        <v>5</v>
      </c>
      <c r="CU80" s="265" t="str">
        <f t="shared" ref="CU80" si="157">IF(CT80&lt;=(No_of_BTKs+1),CT80," ")</f>
        <v xml:space="preserve"> </v>
      </c>
      <c r="CV80" s="265" t="str">
        <f t="shared" ref="CV80" si="158">IF(CU80&lt;=No_of_BTKs,CONCATENATE("BTK ",CU80),IF(CU80=No_of_BTKs+1,"SIDE"," "))</f>
        <v xml:space="preserve"> </v>
      </c>
      <c r="CW80" s="265" t="str">
        <f t="shared" ref="CW80:CW85" si="159">CV80</f>
        <v xml:space="preserve"> </v>
      </c>
      <c r="CX80" s="265"/>
      <c r="CY80" s="265"/>
      <c r="CZ80" s="265"/>
      <c r="DA80" s="265"/>
      <c r="DB80" s="328">
        <f t="shared" si="122"/>
        <v>16</v>
      </c>
      <c r="DC80" s="265" t="str">
        <f t="shared" si="123"/>
        <v>STN 16</v>
      </c>
      <c r="DD80" s="265">
        <f t="shared" si="124"/>
        <v>16</v>
      </c>
      <c r="DE80" s="265">
        <f t="shared" si="125"/>
        <v>16</v>
      </c>
      <c r="DN80" s="132" t="str">
        <f>CONCATENATE(DN28,DN29,DN30,DN31,DN32,DN33,DN34,DN35,DN36,DN37,DN38,DN39,DN40,DN41,DN42,DN43,DN44,DN45,DN46,DN47,DN48,DN49,DN50,DN51,DN52,DN53,DN54,DN55,DN56,DN57,DN58,DN59,DN60,DN61,DN62,DN63,DN64,DN65,DN66,DN67,DN68,DN69,DN70,DN71,DN72,DN73,DN74,DN75,DN76,DN77)</f>
        <v/>
      </c>
      <c r="DO80" s="132" t="str">
        <f t="shared" ref="DO80:EL80" si="160">CONCATENATE(DO28,DO29,DO30,DO31,DO32,DO33,DO34,DO35,DO36,DO37,DO38,DO39,DO40,DO41,DO42,DO43,DO44,DO45,DO46,DO47,DO48,DO49,DO50,DO51,DO52,DO53,DO54,DO55,DO56,DO57,DO58,DO59,DO60,DO61,DO62,DO63,DO64,DO65,DO66,DO67,DO68,DO69,DO70,DO71,DO72,DO73,DO74,DO75,DO76,DO77)</f>
        <v/>
      </c>
      <c r="DP80" s="132" t="str">
        <f t="shared" si="160"/>
        <v/>
      </c>
      <c r="DQ80" s="132" t="str">
        <f t="shared" si="160"/>
        <v/>
      </c>
      <c r="DR80" s="132" t="str">
        <f t="shared" si="160"/>
        <v/>
      </c>
      <c r="DS80" s="132" t="str">
        <f t="shared" si="160"/>
        <v/>
      </c>
      <c r="DT80" s="132" t="str">
        <f t="shared" si="160"/>
        <v/>
      </c>
      <c r="DU80" s="132" t="str">
        <f t="shared" si="160"/>
        <v/>
      </c>
      <c r="DV80" s="132" t="str">
        <f t="shared" si="160"/>
        <v/>
      </c>
      <c r="DW80" s="132" t="str">
        <f t="shared" si="160"/>
        <v/>
      </c>
      <c r="DX80" s="132" t="str">
        <f t="shared" si="160"/>
        <v/>
      </c>
      <c r="DY80" s="132" t="str">
        <f t="shared" si="160"/>
        <v/>
      </c>
      <c r="DZ80" s="132" t="str">
        <f t="shared" si="160"/>
        <v/>
      </c>
      <c r="EA80" s="132" t="str">
        <f t="shared" si="160"/>
        <v/>
      </c>
      <c r="EB80" s="132" t="str">
        <f t="shared" si="160"/>
        <v/>
      </c>
      <c r="EC80" s="132" t="str">
        <f t="shared" si="160"/>
        <v/>
      </c>
      <c r="ED80" s="132" t="str">
        <f t="shared" si="160"/>
        <v/>
      </c>
      <c r="EE80" s="132" t="str">
        <f t="shared" si="160"/>
        <v/>
      </c>
      <c r="EF80" s="132" t="str">
        <f t="shared" si="160"/>
        <v/>
      </c>
      <c r="EG80" s="132" t="str">
        <f t="shared" si="160"/>
        <v/>
      </c>
      <c r="EH80" s="132" t="str">
        <f t="shared" si="160"/>
        <v/>
      </c>
      <c r="EI80" s="132" t="str">
        <f t="shared" si="160"/>
        <v/>
      </c>
      <c r="EJ80" s="132" t="str">
        <f t="shared" si="160"/>
        <v/>
      </c>
      <c r="EK80" s="132" t="str">
        <f t="shared" si="160"/>
        <v/>
      </c>
      <c r="EL80" s="132" t="str">
        <f t="shared" si="160"/>
        <v/>
      </c>
    </row>
    <row r="81" spans="1:142" x14ac:dyDescent="0.25">
      <c r="A81" s="344">
        <f t="shared" si="129"/>
        <v>9</v>
      </c>
      <c r="B81" s="339">
        <f t="array" ref="B81:Z81">TRANSPOSE('Stn(12)'!D4:D28)</f>
        <v>0</v>
      </c>
      <c r="C81" s="339">
        <v>10.112499999999999</v>
      </c>
      <c r="D81" s="339">
        <v>20.75</v>
      </c>
      <c r="E81" s="339">
        <v>31.572499999999998</v>
      </c>
      <c r="F81" s="339">
        <v>42.573333333333331</v>
      </c>
      <c r="G81" s="339">
        <v>86.573333333333323</v>
      </c>
      <c r="H81" s="339">
        <v>130.57333333333332</v>
      </c>
      <c r="I81" s="339">
        <v>174.57333333333332</v>
      </c>
      <c r="J81" s="339">
        <v>211.9733333333333</v>
      </c>
      <c r="K81" s="339">
        <v>218.57333333333332</v>
      </c>
      <c r="L81" s="339">
        <v>262.57333333333332</v>
      </c>
      <c r="M81" s="339">
        <v>284.57333333333332</v>
      </c>
      <c r="N81" s="339" t="str">
        <v xml:space="preserve"> </v>
      </c>
      <c r="O81" s="339" t="str">
        <v xml:space="preserve"> </v>
      </c>
      <c r="P81" s="339" t="str">
        <v xml:space="preserve"> </v>
      </c>
      <c r="Q81" s="339" t="str">
        <v xml:space="preserve"> </v>
      </c>
      <c r="R81" s="339" t="str">
        <v xml:space="preserve"> </v>
      </c>
      <c r="S81" s="339" t="str">
        <v xml:space="preserve"> </v>
      </c>
      <c r="T81" s="339" t="str">
        <v xml:space="preserve"> </v>
      </c>
      <c r="U81" s="339" t="str">
        <v xml:space="preserve"> </v>
      </c>
      <c r="V81" s="339" t="str">
        <v xml:space="preserve"> </v>
      </c>
      <c r="W81" s="339" t="str">
        <v xml:space="preserve"> </v>
      </c>
      <c r="X81" s="339" t="str">
        <v xml:space="preserve"> </v>
      </c>
      <c r="Y81" s="339" t="str">
        <v xml:space="preserve"> </v>
      </c>
      <c r="Z81" s="339" t="str">
        <v xml:space="preserve"> </v>
      </c>
      <c r="AB81" s="340">
        <f t="shared" si="127"/>
        <v>9</v>
      </c>
      <c r="AC81" s="341">
        <f t="array" ref="AC81:BA81">TRANSPOSE('Stn(12)'!E4:E28)</f>
        <v>0</v>
      </c>
      <c r="AD81" s="341">
        <v>2.5593749999999997</v>
      </c>
      <c r="AE81" s="341">
        <v>10.549999999999999</v>
      </c>
      <c r="AF81" s="341">
        <v>24.099374999999998</v>
      </c>
      <c r="AG81" s="341">
        <v>43.326666666666661</v>
      </c>
      <c r="AH81" s="341">
        <v>175.32666666666665</v>
      </c>
      <c r="AI81" s="341">
        <v>395.32666666666665</v>
      </c>
      <c r="AJ81" s="341">
        <v>703.3266666666666</v>
      </c>
      <c r="AK81" s="341">
        <v>1034.3166666666664</v>
      </c>
      <c r="AL81" s="341">
        <v>1099.3266666666666</v>
      </c>
      <c r="AM81" s="341">
        <v>1583.3266666666666</v>
      </c>
      <c r="AN81" s="341">
        <v>1858.3266666666666</v>
      </c>
      <c r="AO81" s="341" t="str">
        <v xml:space="preserve"> </v>
      </c>
      <c r="AP81" s="341" t="str">
        <v xml:space="preserve"> </v>
      </c>
      <c r="AQ81" s="341" t="str">
        <v xml:space="preserve"> </v>
      </c>
      <c r="AR81" s="341" t="str">
        <v xml:space="preserve"> </v>
      </c>
      <c r="AS81" s="341" t="str">
        <v xml:space="preserve"> </v>
      </c>
      <c r="AT81" s="341" t="str">
        <v xml:space="preserve"> </v>
      </c>
      <c r="AU81" s="341" t="str">
        <v xml:space="preserve"> </v>
      </c>
      <c r="AV81" s="341" t="str">
        <v xml:space="preserve"> </v>
      </c>
      <c r="AW81" s="341" t="str">
        <v xml:space="preserve"> </v>
      </c>
      <c r="AX81" s="341" t="str">
        <v xml:space="preserve"> </v>
      </c>
      <c r="AY81" s="341" t="str">
        <v xml:space="preserve"> </v>
      </c>
      <c r="AZ81" s="341" t="str">
        <v xml:space="preserve"> </v>
      </c>
      <c r="BA81" s="341" t="str">
        <v xml:space="preserve"> </v>
      </c>
      <c r="BC81" s="350" t="s">
        <v>63</v>
      </c>
      <c r="BD81" s="348" t="str">
        <f>IFERROR('WL (1)'!$S22,"-")</f>
        <v>-</v>
      </c>
      <c r="BE81" s="348">
        <f>IFERROR('WL (2)'!$S22,"-")</f>
        <v>60.496075066514308</v>
      </c>
      <c r="BF81" s="348">
        <f>IFERROR('WL (3)'!$S22,"-")</f>
        <v>32.922615950356324</v>
      </c>
      <c r="BG81" s="348">
        <f>IFERROR('WL (4)'!$S22,"-")</f>
        <v>23.179425196140929</v>
      </c>
      <c r="BH81" s="348">
        <f>IFERROR('WL (5)'!$S22,"-")</f>
        <v>17.845911520383822</v>
      </c>
      <c r="BI81" s="348">
        <f>IFERROR('WL (6)'!$S22,"-")</f>
        <v>9.2518574174069137</v>
      </c>
      <c r="BJ81" s="348">
        <f>IFERROR('WL (7)'!$S22,"-")</f>
        <v>6.2445423839475804</v>
      </c>
      <c r="BK81" s="348">
        <f>IFERROR('WL (8)'!$S22,"-")</f>
        <v>4.7917167902981301</v>
      </c>
      <c r="BL81" s="348">
        <f>IFERROR('WL (9)'!$S22,"-")</f>
        <v>4.0509863408882785</v>
      </c>
      <c r="BM81" s="348">
        <f>IFERROR('WL (10)'!$S22,"-")</f>
        <v>3.9425744787363342</v>
      </c>
      <c r="BN81" s="348">
        <f>IFERROR('WL (11)'!$S22,"-")</f>
        <v>3.3665537633762934</v>
      </c>
      <c r="BO81" s="348">
        <f>IFERROR('WL (12)'!$S22,"-")</f>
        <v>3.1511900906997496</v>
      </c>
      <c r="BP81" s="348" t="str">
        <f>IFERROR('WL (13)'!$S22,"-")</f>
        <v xml:space="preserve">  </v>
      </c>
      <c r="BQ81" s="348" t="str">
        <f>IFERROR('WL (14)'!$S22,"-")</f>
        <v xml:space="preserve">  </v>
      </c>
      <c r="BR81" s="348" t="str">
        <f>IFERROR('WL (15)'!$S22,"-")</f>
        <v xml:space="preserve">  </v>
      </c>
      <c r="BS81" s="348" t="str">
        <f>IFERROR('WL (16)'!$S22,"-")</f>
        <v xml:space="preserve">  </v>
      </c>
      <c r="BT81" s="348" t="str">
        <f>IFERROR('WL (17)'!$S22,"-")</f>
        <v xml:space="preserve">  </v>
      </c>
      <c r="BU81" s="348" t="str">
        <f>IFERROR('WL (18)'!$S22,"-")</f>
        <v xml:space="preserve">  </v>
      </c>
      <c r="BV81" s="348" t="str">
        <f>IFERROR('WL (19)'!$S22,"-")</f>
        <v xml:space="preserve">  </v>
      </c>
      <c r="BW81" s="348" t="str">
        <f>IFERROR('WL (20)'!$S22,"-")</f>
        <v xml:space="preserve">  </v>
      </c>
      <c r="BX81" s="348" t="str">
        <f>IFERROR('WL (21)'!$S22,"-")</f>
        <v xml:space="preserve">  </v>
      </c>
      <c r="BY81" s="348" t="str">
        <f>IFERROR('WL (22)'!$S22,"-")</f>
        <v xml:space="preserve">  </v>
      </c>
      <c r="BZ81" s="348" t="str">
        <f>IFERROR('WL (23)'!$S22,"-")</f>
        <v xml:space="preserve">  </v>
      </c>
      <c r="CA81" s="348" t="str">
        <f>IFERROR('WL (24)'!$S22,"-")</f>
        <v xml:space="preserve">  </v>
      </c>
      <c r="CB81" s="348" t="str">
        <f>IFERROR('WL (25)'!$S22,"-")</f>
        <v xml:space="preserve">  </v>
      </c>
      <c r="CD81" s="174" t="str">
        <f>CONCATENATE(Tools!F195,Tools!G195,Tools!H195,Tools!I195,Tools!J195,Tools!K195,Tools!L195,Tools!M195,Tools!N195,Tools!O195,Tools!P195,Tools!Q195,Tools!R195,Tools!S195,Tools!T195,Tools!U195,Tools!V195,Tools!W195,Tools!X195,Tools!Y195,Tools!Z195,Tools!AA195,Tools!AB195,Tools!AC195,Tools!AD195,Tools!AE195," ")</f>
        <v xml:space="preserve">Spline 0,0 0.003,0.5 0.011,1 0.025,1.5 0.045,2 0.193,4 0.45,6 0.82,8 1.232,9.7 1.315,10 1.939,12 2.3,13  </v>
      </c>
      <c r="CE81" s="166" t="str">
        <f>CONCATENATE(Tools!F207,Tools!G207,Tools!H207,Tools!I207,Tools!J207,Tools!K207,Tools!L207,Tools!M207,Tools!N207,Tools!O207,Tools!P207,Tools!Q207,Tools!R207,Tools!S207,Tools!T207,Tools!U207,Tools!V207,Tools!W207,Tools!X207,Tools!Y207,Tools!Z207,Tools!AA207,Tools!AB207,Tools!AC207,Tools!AD207,Tools!AE207," ")</f>
        <v xml:space="preserve">Spline 6.402,0.5 6.55,1 6.661,1.5 6.798,2 7.219,4 7.47,6 7.653,8 7.803,9.7 7.833,10 7.994,12 8.07,13  </v>
      </c>
      <c r="CF81" s="146"/>
      <c r="CM81" s="265">
        <v>20</v>
      </c>
      <c r="CN81" s="265">
        <f t="shared" si="111"/>
        <v>0</v>
      </c>
      <c r="CO81" s="265" t="str">
        <f t="shared" si="112"/>
        <v xml:space="preserve">  </v>
      </c>
      <c r="CP81" s="265" t="str">
        <f t="shared" si="113"/>
        <v xml:space="preserve"> </v>
      </c>
      <c r="CQ81" s="265" t="e">
        <f t="shared" ref="CQ81" si="161">CO81*WLS</f>
        <v>#VALUE!</v>
      </c>
      <c r="CR81" s="265" t="e">
        <f t="shared" si="115"/>
        <v>#VALUE!</v>
      </c>
      <c r="CS81" s="265"/>
      <c r="CT81" s="328">
        <v>6</v>
      </c>
      <c r="CU81" s="265" t="str">
        <f t="shared" ref="CU81" si="162">IF(CT81&lt;=(No_of_BTKs+1),CT81," ")</f>
        <v xml:space="preserve"> </v>
      </c>
      <c r="CV81" s="265" t="str">
        <f t="shared" ref="CV81" si="163">IF(CU81&lt;=No_of_BTKs,CONCATENATE("BTK ",CU81),IF(CU81=No_of_BTKs+1,"SIDE"," "))</f>
        <v xml:space="preserve"> </v>
      </c>
      <c r="CW81" s="265" t="str">
        <f t="shared" si="159"/>
        <v xml:space="preserve"> </v>
      </c>
      <c r="CX81" s="265"/>
      <c r="CY81" s="265"/>
      <c r="CZ81" s="265"/>
      <c r="DA81" s="265"/>
      <c r="DB81" s="328">
        <f t="shared" si="122"/>
        <v>17</v>
      </c>
      <c r="DC81" s="265" t="str">
        <f t="shared" si="123"/>
        <v>STN 17</v>
      </c>
      <c r="DD81" s="265">
        <f t="shared" si="124"/>
        <v>17</v>
      </c>
      <c r="DE81" s="265">
        <f t="shared" si="125"/>
        <v>17</v>
      </c>
      <c r="DN81" s="132" t="str">
        <f>CONCATENATE(DN53,DN54,DN55,DN56,DN57,DN58,DN59,DN60,DN61,DN62,DN63,DN64,DN65,DN66,DN67,DN68,DN69,DN70,DN71,DN72,DN73,DN74,DN75,DN76,DN77)</f>
        <v/>
      </c>
      <c r="DO81" s="132" t="str">
        <f t="shared" ref="DO81:EL81" si="164">CONCATENATE(DO53,DO54,DO55,DO56,DO57,DO58,DO59,DO60,DO61,DO62,DO63,DO64,DO65,DO66,DO67,DO68,DO69,DO70,DO71,DO72,DO73,DO74,DO75,DO76,DO77)</f>
        <v/>
      </c>
      <c r="DP81" s="132" t="str">
        <f t="shared" si="164"/>
        <v/>
      </c>
      <c r="DQ81" s="132" t="str">
        <f t="shared" si="164"/>
        <v/>
      </c>
      <c r="DR81" s="132" t="str">
        <f t="shared" si="164"/>
        <v/>
      </c>
      <c r="DS81" s="132" t="str">
        <f t="shared" si="164"/>
        <v/>
      </c>
      <c r="DT81" s="132" t="str">
        <f t="shared" si="164"/>
        <v/>
      </c>
      <c r="DU81" s="132" t="str">
        <f t="shared" si="164"/>
        <v/>
      </c>
      <c r="DV81" s="132" t="str">
        <f t="shared" si="164"/>
        <v/>
      </c>
      <c r="DW81" s="132" t="str">
        <f t="shared" si="164"/>
        <v/>
      </c>
      <c r="DX81" s="132" t="str">
        <f t="shared" si="164"/>
        <v/>
      </c>
      <c r="DY81" s="132" t="str">
        <f t="shared" si="164"/>
        <v/>
      </c>
      <c r="DZ81" s="132" t="str">
        <f t="shared" si="164"/>
        <v/>
      </c>
      <c r="EA81" s="132" t="str">
        <f t="shared" si="164"/>
        <v/>
      </c>
      <c r="EB81" s="132" t="str">
        <f t="shared" si="164"/>
        <v/>
      </c>
      <c r="EC81" s="132" t="str">
        <f t="shared" si="164"/>
        <v/>
      </c>
      <c r="ED81" s="132" t="str">
        <f t="shared" si="164"/>
        <v/>
      </c>
      <c r="EE81" s="132" t="str">
        <f t="shared" si="164"/>
        <v/>
      </c>
      <c r="EF81" s="132" t="str">
        <f t="shared" si="164"/>
        <v/>
      </c>
      <c r="EG81" s="132" t="str">
        <f t="shared" si="164"/>
        <v/>
      </c>
      <c r="EH81" s="132" t="str">
        <f t="shared" si="164"/>
        <v/>
      </c>
      <c r="EI81" s="132" t="str">
        <f t="shared" si="164"/>
        <v/>
      </c>
      <c r="EJ81" s="132" t="str">
        <f t="shared" si="164"/>
        <v/>
      </c>
      <c r="EK81" s="132" t="str">
        <f t="shared" si="164"/>
        <v/>
      </c>
      <c r="EL81" s="132" t="str">
        <f t="shared" si="164"/>
        <v/>
      </c>
    </row>
    <row r="82" spans="1:142" x14ac:dyDescent="0.25">
      <c r="A82" s="344">
        <f t="shared" si="129"/>
        <v>10</v>
      </c>
      <c r="B82" s="339">
        <f t="array" ref="B82:Z82">TRANSPOSE('Stn(13)'!D4:D28)</f>
        <v>0</v>
      </c>
      <c r="C82" s="339">
        <v>10.112499999999999</v>
      </c>
      <c r="D82" s="339">
        <v>20.75</v>
      </c>
      <c r="E82" s="339">
        <v>31.572499999999998</v>
      </c>
      <c r="F82" s="339">
        <v>42.573333333333331</v>
      </c>
      <c r="G82" s="339">
        <v>86.573333333333323</v>
      </c>
      <c r="H82" s="339">
        <v>130.57333333333332</v>
      </c>
      <c r="I82" s="339">
        <v>174.57333333333332</v>
      </c>
      <c r="J82" s="339">
        <v>211.9733333333333</v>
      </c>
      <c r="K82" s="339">
        <v>218.57333333333332</v>
      </c>
      <c r="L82" s="339">
        <v>262.57333333333332</v>
      </c>
      <c r="M82" s="339">
        <v>284.57333333333332</v>
      </c>
      <c r="N82" s="339" t="str">
        <v xml:space="preserve"> </v>
      </c>
      <c r="O82" s="339" t="str">
        <v xml:space="preserve"> </v>
      </c>
      <c r="P82" s="339" t="str">
        <v xml:space="preserve"> </v>
      </c>
      <c r="Q82" s="339" t="str">
        <v xml:space="preserve"> </v>
      </c>
      <c r="R82" s="339" t="str">
        <v xml:space="preserve"> </v>
      </c>
      <c r="S82" s="339" t="str">
        <v xml:space="preserve"> </v>
      </c>
      <c r="T82" s="339" t="str">
        <v xml:space="preserve"> </v>
      </c>
      <c r="U82" s="339" t="str">
        <v xml:space="preserve"> </v>
      </c>
      <c r="V82" s="339" t="str">
        <v xml:space="preserve"> </v>
      </c>
      <c r="W82" s="339" t="str">
        <v xml:space="preserve"> </v>
      </c>
      <c r="X82" s="339" t="str">
        <v xml:space="preserve"> </v>
      </c>
      <c r="Y82" s="339" t="str">
        <v xml:space="preserve"> </v>
      </c>
      <c r="Z82" s="339" t="str">
        <v xml:space="preserve"> </v>
      </c>
      <c r="AB82" s="340">
        <f t="shared" si="127"/>
        <v>10</v>
      </c>
      <c r="AC82" s="341">
        <f t="array" ref="AC82:BA82">TRANSPOSE('Stn(13)'!E4:E28)</f>
        <v>0</v>
      </c>
      <c r="AD82" s="341">
        <v>2.5593749999999997</v>
      </c>
      <c r="AE82" s="341">
        <v>10.549999999999999</v>
      </c>
      <c r="AF82" s="341">
        <v>24.099374999999998</v>
      </c>
      <c r="AG82" s="341">
        <v>43.326666666666661</v>
      </c>
      <c r="AH82" s="341">
        <v>175.32666666666665</v>
      </c>
      <c r="AI82" s="341">
        <v>395.32666666666665</v>
      </c>
      <c r="AJ82" s="341">
        <v>703.3266666666666</v>
      </c>
      <c r="AK82" s="341">
        <v>1034.3166666666664</v>
      </c>
      <c r="AL82" s="341">
        <v>1099.3266666666666</v>
      </c>
      <c r="AM82" s="341">
        <v>1583.3266666666666</v>
      </c>
      <c r="AN82" s="341">
        <v>1858.3266666666666</v>
      </c>
      <c r="AO82" s="341" t="str">
        <v xml:space="preserve"> </v>
      </c>
      <c r="AP82" s="341" t="str">
        <v xml:space="preserve"> </v>
      </c>
      <c r="AQ82" s="341" t="str">
        <v xml:space="preserve"> </v>
      </c>
      <c r="AR82" s="341" t="str">
        <v xml:space="preserve"> </v>
      </c>
      <c r="AS82" s="341" t="str">
        <v xml:space="preserve"> </v>
      </c>
      <c r="AT82" s="341" t="str">
        <v xml:space="preserve"> </v>
      </c>
      <c r="AU82" s="341" t="str">
        <v xml:space="preserve"> </v>
      </c>
      <c r="AV82" s="341" t="str">
        <v xml:space="preserve"> </v>
      </c>
      <c r="AW82" s="341" t="str">
        <v xml:space="preserve"> </v>
      </c>
      <c r="AX82" s="341" t="str">
        <v xml:space="preserve"> </v>
      </c>
      <c r="AY82" s="341" t="str">
        <v xml:space="preserve"> </v>
      </c>
      <c r="AZ82" s="341" t="str">
        <v xml:space="preserve"> </v>
      </c>
      <c r="BA82" s="341" t="str">
        <v xml:space="preserve"> </v>
      </c>
      <c r="BC82" s="350" t="s">
        <v>65</v>
      </c>
      <c r="BD82" s="348" t="str">
        <f>IFERROR('WL (1)'!$S23,"-")</f>
        <v>-</v>
      </c>
      <c r="BE82" s="348">
        <f>IFERROR('WL (2)'!$S23,"-")</f>
        <v>0.25569380905964439</v>
      </c>
      <c r="BF82" s="348">
        <f>IFERROR('WL (3)'!$S23,"-")</f>
        <v>0.51664092565087283</v>
      </c>
      <c r="BG82" s="348">
        <f>IFERROR('WL (4)'!$S23,"-")</f>
        <v>0.77829875545056715</v>
      </c>
      <c r="BH82" s="348">
        <f>IFERROR('WL (5)'!$S23,"-")</f>
        <v>1.0400506704830503</v>
      </c>
      <c r="BI82" s="348">
        <f>IFERROR('WL (6)'!$S23,"-")</f>
        <v>2.0821630414107783</v>
      </c>
      <c r="BJ82" s="348">
        <f>IFERROR('WL (7)'!$S23,"-")</f>
        <v>3.122032333240095</v>
      </c>
      <c r="BK82" s="348">
        <f>IFERROR('WL (8)'!$S23,"-")</f>
        <v>4.1636815963945182</v>
      </c>
      <c r="BL82" s="348">
        <f>IFERROR('WL (9)'!$S23,"-")</f>
        <v>5.0604272432822768</v>
      </c>
      <c r="BM82" s="348">
        <f>IFERROR('WL (10)'!$S23,"-")</f>
        <v>5.2192523778802595</v>
      </c>
      <c r="BN82" s="348">
        <f>IFERROR('WL (11)'!$S23,"-")</f>
        <v>6.2829478381304984</v>
      </c>
      <c r="BO82" s="348">
        <f>IFERROR('WL (12)'!$S23,"-")</f>
        <v>6.8156960610779462</v>
      </c>
      <c r="BP82" s="348" t="str">
        <f>IFERROR('WL (13)'!$S23,"-")</f>
        <v xml:space="preserve">  </v>
      </c>
      <c r="BQ82" s="348" t="str">
        <f>IFERROR('WL (14)'!$S23,"-")</f>
        <v xml:space="preserve">  </v>
      </c>
      <c r="BR82" s="348" t="str">
        <f>IFERROR('WL (15)'!$S23,"-")</f>
        <v xml:space="preserve">  </v>
      </c>
      <c r="BS82" s="348" t="str">
        <f>IFERROR('WL (16)'!$S23,"-")</f>
        <v xml:space="preserve">  </v>
      </c>
      <c r="BT82" s="348" t="str">
        <f>IFERROR('WL (17)'!$S23,"-")</f>
        <v xml:space="preserve">  </v>
      </c>
      <c r="BU82" s="348" t="str">
        <f>IFERROR('WL (18)'!$S23,"-")</f>
        <v xml:space="preserve">  </v>
      </c>
      <c r="BV82" s="348" t="str">
        <f>IFERROR('WL (19)'!$S23,"-")</f>
        <v xml:space="preserve">  </v>
      </c>
      <c r="BW82" s="348" t="str">
        <f>IFERROR('WL (20)'!$S23,"-")</f>
        <v xml:space="preserve">  </v>
      </c>
      <c r="BX82" s="348" t="str">
        <f>IFERROR('WL (21)'!$S23,"-")</f>
        <v xml:space="preserve">  </v>
      </c>
      <c r="BY82" s="348" t="str">
        <f>IFERROR('WL (22)'!$S23,"-")</f>
        <v xml:space="preserve">  </v>
      </c>
      <c r="BZ82" s="348" t="str">
        <f>IFERROR('WL (23)'!$S23,"-")</f>
        <v xml:space="preserve">  </v>
      </c>
      <c r="CA82" s="348" t="str">
        <f>IFERROR('WL (24)'!$S23,"-")</f>
        <v xml:space="preserve">  </v>
      </c>
      <c r="CB82" s="348" t="str">
        <f>IFERROR('WL (25)'!$S23,"-")</f>
        <v xml:space="preserve">  </v>
      </c>
      <c r="CD82" s="174" t="str">
        <f>CONCATENATE(Tools!F196,Tools!G196,Tools!H196,Tools!I196,Tools!J196,Tools!K196,Tools!L196,Tools!M196,Tools!N196,Tools!O196,Tools!P196,Tools!Q196,Tools!R196,Tools!S196,Tools!T196,Tools!U196,Tools!V196,Tools!W196,Tools!X196,Tools!Y196,Tools!Z196,Tools!AA196,Tools!AB196,Tools!AC196,Tools!AD196,Tools!AE196," ")</f>
        <v xml:space="preserve">Spline 0,0 0.568,0.5 1.153,1 1.733,1.5 2.316,2 4.469,4 6.184,6 7.231,8 7.434,9.7 7.372,10 7.049,12 6.81,13  </v>
      </c>
      <c r="CE82" s="166" t="str">
        <f>CONCATENATE(Tools!F208,Tools!G208,Tools!H208,Tools!I208,Tools!J208,Tools!K208,Tools!L208,Tools!M208,Tools!N208,Tools!O208,Tools!P208,Tools!Q208,Tools!R208,Tools!S208,Tools!T208,Tools!U208,Tools!V208,Tools!W208,Tools!X208,Tools!Y208,Tools!Z208,Tools!AA208,Tools!AB208,Tools!AC208,Tools!AD208,Tools!AE208," ")</f>
        <v xml:space="preserve">Spline 9.677,0.5 9.651,1 9.629,1.5 9.676,2 9.838,4 9.892,6 9.919,8 9.933,9.7 9.935,10 9.946,12 9.95,13  </v>
      </c>
      <c r="CF82" s="146"/>
      <c r="CM82" s="265">
        <v>21</v>
      </c>
      <c r="CN82" s="265">
        <f t="shared" si="111"/>
        <v>0</v>
      </c>
      <c r="CO82" s="265" t="str">
        <f t="shared" si="112"/>
        <v xml:space="preserve">  </v>
      </c>
      <c r="CP82" s="265" t="str">
        <f t="shared" si="113"/>
        <v xml:space="preserve"> </v>
      </c>
      <c r="CQ82" s="265" t="e">
        <f t="shared" ref="CQ82" si="165">CO82*WLS</f>
        <v>#VALUE!</v>
      </c>
      <c r="CR82" s="265" t="e">
        <f t="shared" si="115"/>
        <v>#VALUE!</v>
      </c>
      <c r="CS82" s="265"/>
      <c r="CT82" s="328">
        <v>7</v>
      </c>
      <c r="CU82" s="265" t="str">
        <f t="shared" ref="CU82" si="166">IF(CT82&lt;=(No_of_BTKs+1),CT82," ")</f>
        <v xml:space="preserve"> </v>
      </c>
      <c r="CV82" s="265" t="str">
        <f t="shared" ref="CV82" si="167">IF(CU82&lt;=No_of_BTKs,CONCATENATE("BTK ",CU82),IF(CU82=No_of_BTKs+1,"SIDE"," "))</f>
        <v xml:space="preserve"> </v>
      </c>
      <c r="CW82" s="265" t="str">
        <f t="shared" si="159"/>
        <v xml:space="preserve"> </v>
      </c>
      <c r="CX82" s="265"/>
      <c r="CY82" s="265"/>
      <c r="CZ82" s="265"/>
      <c r="DA82" s="265"/>
      <c r="DB82" s="328">
        <f t="shared" si="122"/>
        <v>18</v>
      </c>
      <c r="DC82" s="265" t="str">
        <f t="shared" si="123"/>
        <v>STN 18</v>
      </c>
      <c r="DD82" s="265">
        <f t="shared" si="124"/>
        <v>18</v>
      </c>
      <c r="DE82" s="265">
        <f t="shared" si="125"/>
        <v>18</v>
      </c>
    </row>
    <row r="83" spans="1:142" x14ac:dyDescent="0.25">
      <c r="A83" s="344">
        <f t="shared" si="129"/>
        <v>11</v>
      </c>
      <c r="B83" s="339">
        <f t="array" ref="B83:Z83">TRANSPOSE('Stn(14)'!D4:D28)</f>
        <v>0</v>
      </c>
      <c r="C83" s="339">
        <v>10.112499999999999</v>
      </c>
      <c r="D83" s="339">
        <v>20.75</v>
      </c>
      <c r="E83" s="339">
        <v>31.572499999999998</v>
      </c>
      <c r="F83" s="339">
        <v>42.573333333333331</v>
      </c>
      <c r="G83" s="339">
        <v>86.573333333333323</v>
      </c>
      <c r="H83" s="339">
        <v>130.57333333333332</v>
      </c>
      <c r="I83" s="339">
        <v>174.57333333333332</v>
      </c>
      <c r="J83" s="339">
        <v>211.9733333333333</v>
      </c>
      <c r="K83" s="339">
        <v>218.57333333333332</v>
      </c>
      <c r="L83" s="339">
        <v>262.57333333333332</v>
      </c>
      <c r="M83" s="339">
        <v>284.57333333333332</v>
      </c>
      <c r="N83" s="339" t="str">
        <v xml:space="preserve"> </v>
      </c>
      <c r="O83" s="339" t="str">
        <v xml:space="preserve"> </v>
      </c>
      <c r="P83" s="339" t="str">
        <v xml:space="preserve"> </v>
      </c>
      <c r="Q83" s="339" t="str">
        <v xml:space="preserve"> </v>
      </c>
      <c r="R83" s="339" t="str">
        <v xml:space="preserve"> </v>
      </c>
      <c r="S83" s="339" t="str">
        <v xml:space="preserve"> </v>
      </c>
      <c r="T83" s="339" t="str">
        <v xml:space="preserve"> </v>
      </c>
      <c r="U83" s="339" t="str">
        <v xml:space="preserve"> </v>
      </c>
      <c r="V83" s="339" t="str">
        <v xml:space="preserve"> </v>
      </c>
      <c r="W83" s="339" t="str">
        <v xml:space="preserve"> </v>
      </c>
      <c r="X83" s="339" t="str">
        <v xml:space="preserve"> </v>
      </c>
      <c r="Y83" s="339" t="str">
        <v xml:space="preserve"> </v>
      </c>
      <c r="Z83" s="339" t="str">
        <v xml:space="preserve"> </v>
      </c>
      <c r="AB83" s="340">
        <f t="shared" si="127"/>
        <v>11</v>
      </c>
      <c r="AC83" s="341">
        <f t="array" ref="AC83:BA83">TRANSPOSE('Stn(14)'!E4:E28)</f>
        <v>0</v>
      </c>
      <c r="AD83" s="341">
        <v>2.5593749999999997</v>
      </c>
      <c r="AE83" s="341">
        <v>10.549999999999999</v>
      </c>
      <c r="AF83" s="341">
        <v>24.099374999999998</v>
      </c>
      <c r="AG83" s="341">
        <v>43.326666666666661</v>
      </c>
      <c r="AH83" s="341">
        <v>175.32666666666665</v>
      </c>
      <c r="AI83" s="341">
        <v>395.32666666666665</v>
      </c>
      <c r="AJ83" s="341">
        <v>703.3266666666666</v>
      </c>
      <c r="AK83" s="341">
        <v>1034.3166666666664</v>
      </c>
      <c r="AL83" s="341">
        <v>1099.3266666666666</v>
      </c>
      <c r="AM83" s="341">
        <v>1583.3266666666666</v>
      </c>
      <c r="AN83" s="341">
        <v>1858.3266666666666</v>
      </c>
      <c r="AO83" s="341" t="str">
        <v xml:space="preserve"> </v>
      </c>
      <c r="AP83" s="341" t="str">
        <v xml:space="preserve"> </v>
      </c>
      <c r="AQ83" s="341" t="str">
        <v xml:space="preserve"> </v>
      </c>
      <c r="AR83" s="341" t="str">
        <v xml:space="preserve"> </v>
      </c>
      <c r="AS83" s="341" t="str">
        <v xml:space="preserve"> </v>
      </c>
      <c r="AT83" s="341" t="str">
        <v xml:space="preserve"> </v>
      </c>
      <c r="AU83" s="341" t="str">
        <v xml:space="preserve"> </v>
      </c>
      <c r="AV83" s="341" t="str">
        <v xml:space="preserve"> </v>
      </c>
      <c r="AW83" s="341" t="str">
        <v xml:space="preserve"> </v>
      </c>
      <c r="AX83" s="341" t="str">
        <v xml:space="preserve"> </v>
      </c>
      <c r="AY83" s="341" t="str">
        <v xml:space="preserve"> </v>
      </c>
      <c r="AZ83" s="341" t="str">
        <v xml:space="preserve"> </v>
      </c>
      <c r="BA83" s="341" t="str">
        <v xml:space="preserve"> </v>
      </c>
      <c r="BC83" s="350" t="s">
        <v>67</v>
      </c>
      <c r="BD83" s="348" t="str">
        <f>IFERROR('WL (1)'!$S24,"-")</f>
        <v>-</v>
      </c>
      <c r="BE83" s="348">
        <f>IFERROR('WL (2)'!$S24,"-")</f>
        <v>60.751768875573951</v>
      </c>
      <c r="BF83" s="348">
        <f>IFERROR('WL (3)'!$S24,"-")</f>
        <v>33.4392568760072</v>
      </c>
      <c r="BG83" s="348">
        <f>IFERROR('WL (4)'!$S24,"-")</f>
        <v>23.957723951591497</v>
      </c>
      <c r="BH83" s="348">
        <f>IFERROR('WL (5)'!$S24,"-")</f>
        <v>18.885962190866874</v>
      </c>
      <c r="BI83" s="348">
        <f>IFERROR('WL (6)'!$S24,"-")</f>
        <v>11.334020458817692</v>
      </c>
      <c r="BJ83" s="348">
        <f>IFERROR('WL (7)'!$S24,"-")</f>
        <v>9.3665747171876745</v>
      </c>
      <c r="BK83" s="348">
        <f>IFERROR('WL (8)'!$S24,"-")</f>
        <v>8.9553983866926483</v>
      </c>
      <c r="BL83" s="348">
        <f>IFERROR('WL (9)'!$S24,"-")</f>
        <v>9.1114135841705561</v>
      </c>
      <c r="BM83" s="348">
        <f>IFERROR('WL (10)'!$S24,"-")</f>
        <v>9.1618268566165941</v>
      </c>
      <c r="BN83" s="348">
        <f>IFERROR('WL (11)'!$S24,"-")</f>
        <v>9.6495016015067918</v>
      </c>
      <c r="BO83" s="348">
        <f>IFERROR('WL (12)'!$S24,"-")</f>
        <v>9.9668861517776968</v>
      </c>
      <c r="BP83" s="348" t="str">
        <f>IFERROR('WL (13)'!$S24,"-")</f>
        <v xml:space="preserve">  </v>
      </c>
      <c r="BQ83" s="348" t="str">
        <f>IFERROR('WL (14)'!$S24,"-")</f>
        <v xml:space="preserve">  </v>
      </c>
      <c r="BR83" s="348" t="str">
        <f>IFERROR('WL (15)'!$S24,"-")</f>
        <v xml:space="preserve">  </v>
      </c>
      <c r="BS83" s="348" t="str">
        <f>IFERROR('WL (16)'!$S24,"-")</f>
        <v xml:space="preserve">  </v>
      </c>
      <c r="BT83" s="348" t="str">
        <f>IFERROR('WL (17)'!$S24,"-")</f>
        <v xml:space="preserve">  </v>
      </c>
      <c r="BU83" s="348" t="str">
        <f>IFERROR('WL (18)'!$S24,"-")</f>
        <v xml:space="preserve">  </v>
      </c>
      <c r="BV83" s="348" t="str">
        <f>IFERROR('WL (19)'!$S24,"-")</f>
        <v xml:space="preserve">  </v>
      </c>
      <c r="BW83" s="348" t="str">
        <f>IFERROR('WL (20)'!$S24,"-")</f>
        <v xml:space="preserve">  </v>
      </c>
      <c r="BX83" s="348" t="str">
        <f>IFERROR('WL (21)'!$S24,"-")</f>
        <v xml:space="preserve">  </v>
      </c>
      <c r="BY83" s="348" t="str">
        <f>IFERROR('WL (22)'!$S24,"-")</f>
        <v xml:space="preserve">  </v>
      </c>
      <c r="BZ83" s="348" t="str">
        <f>IFERROR('WL (23)'!$S24,"-")</f>
        <v xml:space="preserve">  </v>
      </c>
      <c r="CA83" s="348" t="str">
        <f>IFERROR('WL (24)'!$S24,"-")</f>
        <v xml:space="preserve">  </v>
      </c>
      <c r="CB83" s="348" t="str">
        <f>IFERROR('WL (25)'!$S24,"-")</f>
        <v xml:space="preserve">  </v>
      </c>
      <c r="CD83" s="179" t="str">
        <f>CONCATENATE(Tools!F197,Tools!G197,Tools!H197,Tools!I197,Tools!J197,Tools!K197,Tools!L197,Tools!M197,Tools!N197,Tools!O197,Tools!P197,Tools!Q197,Tools!R197,Tools!S197,Tools!T197,Tools!U197,Tools!V197,Tools!W197,Tools!X197,Tools!Y197,Tools!Z197,Tools!AA197,Tools!AB197,Tools!AC197,Tools!AD197,Tools!AE197," ")</f>
        <v xml:space="preserve">Spline 2.08,0.5 1.122,1 0.783,1.5 0.604,2 0.324,4 0.225,6 0.182,8 0.161,9.7 0.157,10 0.138,12 0.13,13  </v>
      </c>
      <c r="CE83" s="177" t="str">
        <f>CONCATENATE(Tools!F209,Tools!G209,Tools!H209,Tools!I209,Tools!J209,Tools!K209,Tools!L209,Tools!M209,Tools!N209,Tools!O209,Tools!P209,Tools!Q209,Tools!R209,Tools!S209,Tools!T209,Tools!U209,Tools!V209,Tools!W209,Tools!X209,Tools!Y209,Tools!Z209,Tools!AA209,Tools!AB209,Tools!AC209,Tools!AD209,Tools!AE209," ")</f>
        <v xml:space="preserve">Spline 16.615,0.5 16.787,1 16.918,1.5 17.026,2 17.338,4 17.552,6 17.715,8 17.856,9.7 17.884,10 18.037,12 18.111,13  </v>
      </c>
      <c r="CF83" s="146"/>
      <c r="CM83" s="265">
        <v>22</v>
      </c>
      <c r="CN83" s="265">
        <f t="shared" si="111"/>
        <v>0</v>
      </c>
      <c r="CO83" s="265" t="str">
        <f t="shared" si="112"/>
        <v xml:space="preserve">  </v>
      </c>
      <c r="CP83" s="265" t="str">
        <f t="shared" si="113"/>
        <v xml:space="preserve"> </v>
      </c>
      <c r="CQ83" s="265" t="e">
        <f t="shared" ref="CQ83" si="168">CO83*WLS</f>
        <v>#VALUE!</v>
      </c>
      <c r="CR83" s="265" t="e">
        <f t="shared" si="115"/>
        <v>#VALUE!</v>
      </c>
      <c r="CS83" s="265"/>
      <c r="CT83" s="328">
        <v>8</v>
      </c>
      <c r="CU83" s="265" t="str">
        <f t="shared" ref="CU83" si="169">IF(CT83&lt;=(No_of_BTKs+1),CT83," ")</f>
        <v xml:space="preserve"> </v>
      </c>
      <c r="CV83" s="265" t="str">
        <f t="shared" ref="CV83" si="170">IF(CU83&lt;=No_of_BTKs,CONCATENATE("BTK ",CU83),IF(CU83=No_of_BTKs+1,"SIDE"," "))</f>
        <v xml:space="preserve"> </v>
      </c>
      <c r="CW83" s="265" t="str">
        <f t="shared" si="159"/>
        <v xml:space="preserve"> </v>
      </c>
      <c r="CX83" s="265"/>
      <c r="CY83" s="265"/>
      <c r="CZ83" s="265"/>
      <c r="DA83" s="265"/>
      <c r="DB83" s="328">
        <f t="shared" si="122"/>
        <v>18.5</v>
      </c>
      <c r="DC83" s="265" t="str">
        <f t="shared" si="123"/>
        <v>STN 18.5</v>
      </c>
      <c r="DD83" s="265">
        <f t="shared" si="124"/>
        <v>18.5</v>
      </c>
      <c r="DE83" s="265">
        <f t="shared" si="125"/>
        <v>18.5</v>
      </c>
    </row>
    <row r="84" spans="1:142" x14ac:dyDescent="0.25">
      <c r="A84" s="344">
        <f t="shared" si="129"/>
        <v>12</v>
      </c>
      <c r="B84" s="339">
        <f t="array" ref="B84:Z84">TRANSPOSE('Stn(15)'!D4:D28)</f>
        <v>0</v>
      </c>
      <c r="C84" s="339">
        <v>10.112499999999999</v>
      </c>
      <c r="D84" s="339">
        <v>20.75</v>
      </c>
      <c r="E84" s="339">
        <v>31.572499999999998</v>
      </c>
      <c r="F84" s="339">
        <v>42.573333333333331</v>
      </c>
      <c r="G84" s="339">
        <v>86.573333333333323</v>
      </c>
      <c r="H84" s="339">
        <v>130.57333333333332</v>
      </c>
      <c r="I84" s="339">
        <v>174.57333333333332</v>
      </c>
      <c r="J84" s="339">
        <v>211.9733333333333</v>
      </c>
      <c r="K84" s="339">
        <v>218.57333333333332</v>
      </c>
      <c r="L84" s="339">
        <v>262.57333333333332</v>
      </c>
      <c r="M84" s="339">
        <v>284.57333333333332</v>
      </c>
      <c r="N84" s="339" t="str">
        <v xml:space="preserve"> </v>
      </c>
      <c r="O84" s="339" t="str">
        <v xml:space="preserve"> </v>
      </c>
      <c r="P84" s="339" t="str">
        <v xml:space="preserve"> </v>
      </c>
      <c r="Q84" s="339" t="str">
        <v xml:space="preserve"> </v>
      </c>
      <c r="R84" s="339" t="str">
        <v xml:space="preserve"> </v>
      </c>
      <c r="S84" s="339" t="str">
        <v xml:space="preserve"> </v>
      </c>
      <c r="T84" s="339" t="str">
        <v xml:space="preserve"> </v>
      </c>
      <c r="U84" s="339" t="str">
        <v xml:space="preserve"> </v>
      </c>
      <c r="V84" s="339" t="str">
        <v xml:space="preserve"> </v>
      </c>
      <c r="W84" s="339" t="str">
        <v xml:space="preserve"> </v>
      </c>
      <c r="X84" s="339" t="str">
        <v xml:space="preserve"> </v>
      </c>
      <c r="Y84" s="339" t="str">
        <v xml:space="preserve"> </v>
      </c>
      <c r="Z84" s="339" t="str">
        <v xml:space="preserve"> </v>
      </c>
      <c r="AB84" s="340">
        <f t="shared" si="127"/>
        <v>12</v>
      </c>
      <c r="AC84" s="341">
        <f t="array" ref="AC84:BA84">TRANSPOSE('Stn(15)'!E4:E28)</f>
        <v>0</v>
      </c>
      <c r="AD84" s="341">
        <v>2.5593749999999997</v>
      </c>
      <c r="AE84" s="341">
        <v>10.549999999999999</v>
      </c>
      <c r="AF84" s="341">
        <v>24.099374999999998</v>
      </c>
      <c r="AG84" s="341">
        <v>43.326666666666661</v>
      </c>
      <c r="AH84" s="341">
        <v>175.32666666666665</v>
      </c>
      <c r="AI84" s="341">
        <v>395.32666666666665</v>
      </c>
      <c r="AJ84" s="341">
        <v>703.3266666666666</v>
      </c>
      <c r="AK84" s="341">
        <v>1034.3166666666664</v>
      </c>
      <c r="AL84" s="341">
        <v>1099.3266666666666</v>
      </c>
      <c r="AM84" s="341">
        <v>1583.3266666666666</v>
      </c>
      <c r="AN84" s="341">
        <v>1858.3266666666666</v>
      </c>
      <c r="AO84" s="341" t="str">
        <v xml:space="preserve"> </v>
      </c>
      <c r="AP84" s="341" t="str">
        <v xml:space="preserve"> </v>
      </c>
      <c r="AQ84" s="341" t="str">
        <v xml:space="preserve"> </v>
      </c>
      <c r="AR84" s="341" t="str">
        <v xml:space="preserve"> </v>
      </c>
      <c r="AS84" s="341" t="str">
        <v xml:space="preserve"> </v>
      </c>
      <c r="AT84" s="341" t="str">
        <v xml:space="preserve"> </v>
      </c>
      <c r="AU84" s="341" t="str">
        <v xml:space="preserve"> </v>
      </c>
      <c r="AV84" s="341" t="str">
        <v xml:space="preserve"> </v>
      </c>
      <c r="AW84" s="341" t="str">
        <v xml:space="preserve"> </v>
      </c>
      <c r="AX84" s="341" t="str">
        <v xml:space="preserve"> </v>
      </c>
      <c r="AY84" s="341" t="str">
        <v xml:space="preserve"> </v>
      </c>
      <c r="AZ84" s="341" t="str">
        <v xml:space="preserve"> </v>
      </c>
      <c r="BA84" s="341" t="str">
        <v xml:space="preserve"> </v>
      </c>
      <c r="BC84" s="350" t="s">
        <v>69</v>
      </c>
      <c r="BD84" s="348" t="str">
        <f>IFERROR('WL (1)'!$S25,"-")</f>
        <v>-</v>
      </c>
      <c r="BE84" s="348">
        <f>IFERROR('WL (2)'!$S25,"-")</f>
        <v>2080.5511876011751</v>
      </c>
      <c r="BF84" s="348">
        <f>IFERROR('WL (3)'!$S25,"-")</f>
        <v>1122.678639654092</v>
      </c>
      <c r="BG84" s="348">
        <f>IFERROR('WL (4)'!$S25,"-")</f>
        <v>783.93247086796146</v>
      </c>
      <c r="BH84" s="348">
        <f>IFERROR('WL (5)'!$S25,"-")</f>
        <v>605.33646108411085</v>
      </c>
      <c r="BI84" s="348">
        <f>IFERROR('WL (6)'!$S25,"-")</f>
        <v>325.95848899282146</v>
      </c>
      <c r="BJ84" s="348">
        <f>IFERROR('WL (7)'!$S25,"-")</f>
        <v>227.96275365497348</v>
      </c>
      <c r="BK84" s="348">
        <f>IFERROR('WL (8)'!$S25,"-")</f>
        <v>186.2399222954767</v>
      </c>
      <c r="BL84" s="348">
        <f>IFERROR('WL (9)'!$S25,"-")</f>
        <v>165.70601381550233</v>
      </c>
      <c r="BM84" s="348">
        <f>IFERROR('WL (10)'!$S25,"-")</f>
        <v>162.35500473021517</v>
      </c>
      <c r="BN84" s="348">
        <f>IFERROR('WL (11)'!$S25,"-")</f>
        <v>143.7975416922751</v>
      </c>
      <c r="BO84" s="348">
        <f>IFERROR('WL (12)'!$S25,"-")</f>
        <v>136.80369779368434</v>
      </c>
      <c r="BP84" s="348" t="str">
        <f>IFERROR('WL (13)'!$S25,"-")</f>
        <v xml:space="preserve">  </v>
      </c>
      <c r="BQ84" s="348" t="str">
        <f>IFERROR('WL (14)'!$S25,"-")</f>
        <v xml:space="preserve">  </v>
      </c>
      <c r="BR84" s="348" t="str">
        <f>IFERROR('WL (15)'!$S25,"-")</f>
        <v xml:space="preserve">  </v>
      </c>
      <c r="BS84" s="348" t="str">
        <f>IFERROR('WL (16)'!$S25,"-")</f>
        <v xml:space="preserve">  </v>
      </c>
      <c r="BT84" s="348" t="str">
        <f>IFERROR('WL (17)'!$S25,"-")</f>
        <v xml:space="preserve">  </v>
      </c>
      <c r="BU84" s="348" t="str">
        <f>IFERROR('WL (18)'!$S25,"-")</f>
        <v xml:space="preserve">  </v>
      </c>
      <c r="BV84" s="348" t="str">
        <f>IFERROR('WL (19)'!$S25,"-")</f>
        <v xml:space="preserve">  </v>
      </c>
      <c r="BW84" s="348" t="str">
        <f>IFERROR('WL (20)'!$S25,"-")</f>
        <v xml:space="preserve">  </v>
      </c>
      <c r="BX84" s="348" t="str">
        <f>IFERROR('WL (21)'!$S25,"-")</f>
        <v xml:space="preserve">  </v>
      </c>
      <c r="BY84" s="348" t="str">
        <f>IFERROR('WL (22)'!$S25,"-")</f>
        <v xml:space="preserve">  </v>
      </c>
      <c r="BZ84" s="348" t="str">
        <f>IFERROR('WL (23)'!$S25,"-")</f>
        <v xml:space="preserve">  </v>
      </c>
      <c r="CA84" s="348" t="str">
        <f>IFERROR('WL (24)'!$S25,"-")</f>
        <v xml:space="preserve">  </v>
      </c>
      <c r="CB84" s="348" t="str">
        <f>IFERROR('WL (25)'!$S25,"-")</f>
        <v xml:space="preserve">  </v>
      </c>
      <c r="CM84" s="265">
        <v>23</v>
      </c>
      <c r="CN84" s="265">
        <f t="shared" si="111"/>
        <v>0</v>
      </c>
      <c r="CO84" s="265" t="str">
        <f t="shared" si="112"/>
        <v xml:space="preserve">  </v>
      </c>
      <c r="CP84" s="265" t="str">
        <f t="shared" si="113"/>
        <v xml:space="preserve"> </v>
      </c>
      <c r="CQ84" s="265" t="e">
        <f t="shared" ref="CQ84" si="171">CO84*WLS</f>
        <v>#VALUE!</v>
      </c>
      <c r="CR84" s="265" t="e">
        <f t="shared" si="115"/>
        <v>#VALUE!</v>
      </c>
      <c r="CS84" s="265"/>
      <c r="CT84" s="328">
        <v>9</v>
      </c>
      <c r="CU84" s="265" t="str">
        <f t="shared" ref="CU84" si="172">IF(CT84&lt;=(No_of_BTKs+1),CT84," ")</f>
        <v xml:space="preserve"> </v>
      </c>
      <c r="CV84" s="265" t="str">
        <f t="shared" ref="CV84" si="173">IF(CU84&lt;=No_of_BTKs,CONCATENATE("BTK ",CU84),IF(CU84=No_of_BTKs+1,"SIDE"," "))</f>
        <v xml:space="preserve"> </v>
      </c>
      <c r="CW84" s="265" t="str">
        <f t="shared" si="159"/>
        <v xml:space="preserve"> </v>
      </c>
      <c r="CX84" s="265"/>
      <c r="CY84" s="265"/>
      <c r="CZ84" s="265"/>
      <c r="DA84" s="265"/>
      <c r="DB84" s="328">
        <f t="shared" si="122"/>
        <v>19</v>
      </c>
      <c r="DC84" s="265" t="str">
        <f t="shared" si="123"/>
        <v>STN 19</v>
      </c>
      <c r="DD84" s="265">
        <f t="shared" si="124"/>
        <v>19</v>
      </c>
      <c r="DE84" s="265">
        <f t="shared" si="125"/>
        <v>19</v>
      </c>
    </row>
    <row r="85" spans="1:142" x14ac:dyDescent="0.25">
      <c r="A85" s="344">
        <f t="shared" si="129"/>
        <v>13</v>
      </c>
      <c r="B85" s="339">
        <f t="array" ref="B85:Z85">TRANSPOSE('Stn(16)'!D4:D28)</f>
        <v>0</v>
      </c>
      <c r="C85" s="339">
        <v>10.112499999999999</v>
      </c>
      <c r="D85" s="339">
        <v>20.75</v>
      </c>
      <c r="E85" s="339">
        <v>31.572499999999998</v>
      </c>
      <c r="F85" s="339">
        <v>42.573333333333331</v>
      </c>
      <c r="G85" s="339">
        <v>86.573333333333323</v>
      </c>
      <c r="H85" s="339">
        <v>130.57333333333332</v>
      </c>
      <c r="I85" s="339">
        <v>174.57333333333332</v>
      </c>
      <c r="J85" s="339">
        <v>211.9733333333333</v>
      </c>
      <c r="K85" s="339">
        <v>218.57333333333332</v>
      </c>
      <c r="L85" s="339">
        <v>262.57333333333332</v>
      </c>
      <c r="M85" s="339">
        <v>284.57333333333332</v>
      </c>
      <c r="N85" s="339" t="str">
        <v xml:space="preserve"> </v>
      </c>
      <c r="O85" s="339" t="str">
        <v xml:space="preserve"> </v>
      </c>
      <c r="P85" s="339" t="str">
        <v xml:space="preserve"> </v>
      </c>
      <c r="Q85" s="339" t="str">
        <v xml:space="preserve"> </v>
      </c>
      <c r="R85" s="339" t="str">
        <v xml:space="preserve"> </v>
      </c>
      <c r="S85" s="339" t="str">
        <v xml:space="preserve"> </v>
      </c>
      <c r="T85" s="339" t="str">
        <v xml:space="preserve"> </v>
      </c>
      <c r="U85" s="339" t="str">
        <v xml:space="preserve"> </v>
      </c>
      <c r="V85" s="339" t="str">
        <v xml:space="preserve"> </v>
      </c>
      <c r="W85" s="339" t="str">
        <v xml:space="preserve"> </v>
      </c>
      <c r="X85" s="339" t="str">
        <v xml:space="preserve"> </v>
      </c>
      <c r="Y85" s="339" t="str">
        <v xml:space="preserve"> </v>
      </c>
      <c r="Z85" s="339" t="str">
        <v xml:space="preserve"> </v>
      </c>
      <c r="AB85" s="340">
        <f t="shared" ref="AB85:AB94" si="174">A85</f>
        <v>13</v>
      </c>
      <c r="AC85" s="341">
        <f t="array" ref="AC85:BA85">TRANSPOSE('Stn(16)'!E4:E28)</f>
        <v>0</v>
      </c>
      <c r="AD85" s="341">
        <v>2.5593749999999997</v>
      </c>
      <c r="AE85" s="341">
        <v>10.549999999999999</v>
      </c>
      <c r="AF85" s="341">
        <v>24.099374999999998</v>
      </c>
      <c r="AG85" s="341">
        <v>43.326666666666661</v>
      </c>
      <c r="AH85" s="341">
        <v>175.32666666666665</v>
      </c>
      <c r="AI85" s="341">
        <v>395.32666666666665</v>
      </c>
      <c r="AJ85" s="341">
        <v>703.3266666666666</v>
      </c>
      <c r="AK85" s="341">
        <v>1034.3166666666664</v>
      </c>
      <c r="AL85" s="341">
        <v>1099.3266666666666</v>
      </c>
      <c r="AM85" s="341">
        <v>1583.3266666666666</v>
      </c>
      <c r="AN85" s="341">
        <v>1858.3266666666666</v>
      </c>
      <c r="AO85" s="341" t="str">
        <v xml:space="preserve"> </v>
      </c>
      <c r="AP85" s="341" t="str">
        <v xml:space="preserve"> </v>
      </c>
      <c r="AQ85" s="341" t="str">
        <v xml:space="preserve"> </v>
      </c>
      <c r="AR85" s="341" t="str">
        <v xml:space="preserve"> </v>
      </c>
      <c r="AS85" s="341" t="str">
        <v xml:space="preserve"> </v>
      </c>
      <c r="AT85" s="341" t="str">
        <v xml:space="preserve"> </v>
      </c>
      <c r="AU85" s="341" t="str">
        <v xml:space="preserve"> </v>
      </c>
      <c r="AV85" s="341" t="str">
        <v xml:space="preserve"> </v>
      </c>
      <c r="AW85" s="341" t="str">
        <v xml:space="preserve"> </v>
      </c>
      <c r="AX85" s="341" t="str">
        <v xml:space="preserve"> </v>
      </c>
      <c r="AY85" s="341" t="str">
        <v xml:space="preserve"> </v>
      </c>
      <c r="AZ85" s="341" t="str">
        <v xml:space="preserve"> </v>
      </c>
      <c r="BA85" s="341" t="str">
        <v xml:space="preserve"> </v>
      </c>
      <c r="BC85" s="350" t="s">
        <v>71</v>
      </c>
      <c r="BD85" s="348">
        <f>IFERROR('WL (1)'!$S26,"-")</f>
        <v>18.574527249999999</v>
      </c>
      <c r="BE85" s="348">
        <f>IFERROR('WL (2)'!$S26,"-")</f>
        <v>21.314376166666662</v>
      </c>
      <c r="BF85" s="348">
        <f>IFERROR('WL (3)'!$S26,"-")</f>
        <v>22.788699608333332</v>
      </c>
      <c r="BG85" s="348">
        <f>IFERROR('WL (4)'!$S26,"-")</f>
        <v>23.773246958333335</v>
      </c>
      <c r="BH85" s="348">
        <f>IFERROR('WL (5)'!$S26,"-")</f>
        <v>24.427613791666662</v>
      </c>
      <c r="BI85" s="348">
        <f>IFERROR('WL (6)'!$S26,"-")</f>
        <v>25.84324402499999</v>
      </c>
      <c r="BJ85" s="348">
        <f>IFERROR('WL (7)'!$S26,"-")</f>
        <v>26.625487124999996</v>
      </c>
      <c r="BK85" s="348">
        <f>IFERROR('WL (8)'!$S26,"-")</f>
        <v>27.609974532999995</v>
      </c>
      <c r="BL85" s="348">
        <f>IFERROR('WL (9)'!$S26,"-")</f>
        <v>28.511244961916663</v>
      </c>
      <c r="BM85" s="348">
        <f>IFERROR('WL (10)'!$S26,"-")</f>
        <v>28.645402650666664</v>
      </c>
      <c r="BN85" s="348">
        <f>IFERROR('WL (11)'!$S26,"-")</f>
        <v>29.436017649999993</v>
      </c>
      <c r="BO85" s="348">
        <f>IFERROR('WL (12)'!$S26,"-")</f>
        <v>29.831884608333336</v>
      </c>
      <c r="BP85" s="348" t="str">
        <f>IFERROR('WL (13)'!$S26,"-")</f>
        <v xml:space="preserve">  </v>
      </c>
      <c r="BQ85" s="348" t="str">
        <f>IFERROR('WL (14)'!$S26,"-")</f>
        <v xml:space="preserve">  </v>
      </c>
      <c r="BR85" s="348" t="str">
        <f>IFERROR('WL (15)'!$S26,"-")</f>
        <v xml:space="preserve">  </v>
      </c>
      <c r="BS85" s="348" t="str">
        <f>IFERROR('WL (16)'!$S26,"-")</f>
        <v xml:space="preserve">  </v>
      </c>
      <c r="BT85" s="348" t="str">
        <f>IFERROR('WL (17)'!$S26,"-")</f>
        <v xml:space="preserve">  </v>
      </c>
      <c r="BU85" s="348" t="str">
        <f>IFERROR('WL (18)'!$S26,"-")</f>
        <v xml:space="preserve">  </v>
      </c>
      <c r="BV85" s="348" t="str">
        <f>IFERROR('WL (19)'!$S26,"-")</f>
        <v xml:space="preserve">  </v>
      </c>
      <c r="BW85" s="348" t="str">
        <f>IFERROR('WL (20)'!$S26,"-")</f>
        <v xml:space="preserve">  </v>
      </c>
      <c r="BX85" s="348" t="str">
        <f>IFERROR('WL (21)'!$S26,"-")</f>
        <v xml:space="preserve">  </v>
      </c>
      <c r="BY85" s="348" t="str">
        <f>IFERROR('WL (22)'!$S26,"-")</f>
        <v xml:space="preserve">  </v>
      </c>
      <c r="BZ85" s="348" t="str">
        <f>IFERROR('WL (23)'!$S26,"-")</f>
        <v xml:space="preserve">  </v>
      </c>
      <c r="CA85" s="348" t="str">
        <f>IFERROR('WL (24)'!$S26,"-")</f>
        <v xml:space="preserve">  </v>
      </c>
      <c r="CB85" s="348" t="str">
        <f>IFERROR('WL (25)'!$S26,"-")</f>
        <v xml:space="preserve">  </v>
      </c>
      <c r="CM85" s="265">
        <v>24</v>
      </c>
      <c r="CN85" s="265">
        <f t="shared" si="111"/>
        <v>0</v>
      </c>
      <c r="CO85" s="265" t="str">
        <f t="shared" si="112"/>
        <v xml:space="preserve">  </v>
      </c>
      <c r="CP85" s="265" t="str">
        <f t="shared" si="113"/>
        <v xml:space="preserve"> </v>
      </c>
      <c r="CQ85" s="265" t="e">
        <f t="shared" ref="CQ85" si="175">CO85*WLS</f>
        <v>#VALUE!</v>
      </c>
      <c r="CR85" s="265" t="e">
        <f t="shared" si="115"/>
        <v>#VALUE!</v>
      </c>
      <c r="CS85" s="265"/>
      <c r="CT85" s="328">
        <v>10</v>
      </c>
      <c r="CU85" s="265" t="str">
        <f t="shared" ref="CU85" si="176">IF(CT85&lt;=(No_of_BTKs+1),CT85," ")</f>
        <v xml:space="preserve"> </v>
      </c>
      <c r="CV85" s="265" t="str">
        <f t="shared" ref="CV85" si="177">IF(CU85&lt;=No_of_BTKs,CONCATENATE("BTK ",CU85),IF(CU85=No_of_BTKs+1,"SIDE"," "))</f>
        <v xml:space="preserve"> </v>
      </c>
      <c r="CW85" s="265" t="str">
        <f t="shared" si="159"/>
        <v xml:space="preserve"> </v>
      </c>
      <c r="CX85" s="265"/>
      <c r="CY85" s="265"/>
      <c r="CZ85" s="265"/>
      <c r="DA85" s="265"/>
      <c r="DB85" s="328">
        <f t="shared" si="122"/>
        <v>19.5</v>
      </c>
      <c r="DC85" s="265" t="str">
        <f t="shared" si="123"/>
        <v>STN 19.5</v>
      </c>
      <c r="DD85" s="265">
        <f t="shared" si="124"/>
        <v>19.5</v>
      </c>
      <c r="DE85" s="265">
        <f t="shared" si="125"/>
        <v>19.5</v>
      </c>
    </row>
    <row r="86" spans="1:142" x14ac:dyDescent="0.25">
      <c r="A86" s="344">
        <f t="shared" si="129"/>
        <v>14</v>
      </c>
      <c r="B86" s="339">
        <f t="array" ref="B86:Z86">TRANSPOSE('Stn(17)'!D4:D28)</f>
        <v>0</v>
      </c>
      <c r="C86" s="339">
        <v>9.9499999999999993</v>
      </c>
      <c r="D86" s="339">
        <v>20.479999999999997</v>
      </c>
      <c r="E86" s="339">
        <v>31.226666666666663</v>
      </c>
      <c r="F86" s="339">
        <v>42.193333333333328</v>
      </c>
      <c r="G86" s="339">
        <v>86.193333333333328</v>
      </c>
      <c r="H86" s="339">
        <v>130.19333333333333</v>
      </c>
      <c r="I86" s="339">
        <v>174.19333333333333</v>
      </c>
      <c r="J86" s="339">
        <v>211.59333333333331</v>
      </c>
      <c r="K86" s="339">
        <v>218.19333333333333</v>
      </c>
      <c r="L86" s="339">
        <v>262.19333333333333</v>
      </c>
      <c r="M86" s="339">
        <v>284.19333333333333</v>
      </c>
      <c r="N86" s="339" t="str">
        <v xml:space="preserve"> </v>
      </c>
      <c r="O86" s="339" t="str">
        <v xml:space="preserve"> </v>
      </c>
      <c r="P86" s="339" t="str">
        <v xml:space="preserve"> </v>
      </c>
      <c r="Q86" s="339" t="str">
        <v xml:space="preserve"> </v>
      </c>
      <c r="R86" s="339" t="str">
        <v xml:space="preserve"> </v>
      </c>
      <c r="S86" s="339" t="str">
        <v xml:space="preserve"> </v>
      </c>
      <c r="T86" s="339" t="str">
        <v xml:space="preserve"> </v>
      </c>
      <c r="U86" s="339" t="str">
        <v xml:space="preserve"> </v>
      </c>
      <c r="V86" s="339" t="str">
        <v xml:space="preserve"> </v>
      </c>
      <c r="W86" s="339" t="str">
        <v xml:space="preserve"> </v>
      </c>
      <c r="X86" s="339" t="str">
        <v xml:space="preserve"> </v>
      </c>
      <c r="Y86" s="339" t="str">
        <v xml:space="preserve"> </v>
      </c>
      <c r="Z86" s="339" t="str">
        <v xml:space="preserve"> </v>
      </c>
      <c r="AB86" s="340">
        <f t="shared" si="174"/>
        <v>14</v>
      </c>
      <c r="AC86" s="341">
        <f t="array" ref="AC86:BA86">TRANSPOSE('Stn(17)'!E4:E28)</f>
        <v>0</v>
      </c>
      <c r="AD86" s="341">
        <v>2.5216666666666665</v>
      </c>
      <c r="AE86" s="341">
        <v>10.433333333333334</v>
      </c>
      <c r="AF86" s="341">
        <v>23.889999999999993</v>
      </c>
      <c r="AG86" s="341">
        <v>43.06</v>
      </c>
      <c r="AH86" s="341">
        <v>175.06</v>
      </c>
      <c r="AI86" s="341">
        <v>395.06</v>
      </c>
      <c r="AJ86" s="341">
        <v>703.06</v>
      </c>
      <c r="AK86" s="341">
        <v>1034.0499999999997</v>
      </c>
      <c r="AL86" s="341">
        <v>1099.06</v>
      </c>
      <c r="AM86" s="341">
        <v>1583.06</v>
      </c>
      <c r="AN86" s="341">
        <v>1858.06</v>
      </c>
      <c r="AO86" s="341" t="str">
        <v xml:space="preserve"> </v>
      </c>
      <c r="AP86" s="341" t="str">
        <v xml:space="preserve"> </v>
      </c>
      <c r="AQ86" s="341" t="str">
        <v xml:space="preserve"> </v>
      </c>
      <c r="AR86" s="341" t="str">
        <v xml:space="preserve"> </v>
      </c>
      <c r="AS86" s="341" t="str">
        <v xml:space="preserve"> </v>
      </c>
      <c r="AT86" s="341" t="str">
        <v xml:space="preserve"> </v>
      </c>
      <c r="AU86" s="341" t="str">
        <v xml:space="preserve"> </v>
      </c>
      <c r="AV86" s="341" t="str">
        <v xml:space="preserve"> </v>
      </c>
      <c r="AW86" s="341" t="str">
        <v xml:space="preserve"> </v>
      </c>
      <c r="AX86" s="341" t="str">
        <v xml:space="preserve"> </v>
      </c>
      <c r="AY86" s="341" t="str">
        <v xml:space="preserve"> </v>
      </c>
      <c r="AZ86" s="341" t="str">
        <v xml:space="preserve"> </v>
      </c>
      <c r="BA86" s="341" t="str">
        <v xml:space="preserve"> </v>
      </c>
      <c r="BC86" s="350" t="s">
        <v>73</v>
      </c>
      <c r="BD86" s="348" t="str">
        <f>IFERROR('WL (1)'!$S27,"-")</f>
        <v>-</v>
      </c>
      <c r="BE86" s="348">
        <f>IFERROR('WL (2)'!$S27,"-")</f>
        <v>5.8069048827656626</v>
      </c>
      <c r="BF86" s="348">
        <f>IFERROR('WL (3)'!$S27,"-")</f>
        <v>5.5990661041120529</v>
      </c>
      <c r="BG86" s="348">
        <f>IFERROR('WL (4)'!$S27,"-")</f>
        <v>5.4266933327822517</v>
      </c>
      <c r="BH86" s="348">
        <f>IFERROR('WL (5)'!$S27,"-")</f>
        <v>5.2965746716309381</v>
      </c>
      <c r="BI86" s="348">
        <f>IFERROR('WL (6)'!$S27,"-")</f>
        <v>4.81195865262477</v>
      </c>
      <c r="BJ86" s="348">
        <f>IFERROR('WL (7)'!$S27,"-")</f>
        <v>4.2892407004117485</v>
      </c>
      <c r="BK86" s="348">
        <f>IFERROR('WL (8)'!$S27,"-")</f>
        <v>3.6724905967949693</v>
      </c>
      <c r="BL86" s="348">
        <f>IFERROR('WL (9)'!$S27,"-")</f>
        <v>3.0536921401426662</v>
      </c>
      <c r="BM86" s="348">
        <f>IFERROR('WL (10)'!$S27,"-")</f>
        <v>2.9259115172789736</v>
      </c>
      <c r="BN86" s="348">
        <f>IFERROR('WL (11)'!$S27,"-")</f>
        <v>2.2846608756413089</v>
      </c>
      <c r="BO86" s="348">
        <f>IFERROR('WL (12)'!$S27,"-")</f>
        <v>2.018098869781018</v>
      </c>
      <c r="BP86" s="348" t="str">
        <f>IFERROR('WL (13)'!$S27,"-")</f>
        <v xml:space="preserve">  </v>
      </c>
      <c r="BQ86" s="348" t="str">
        <f>IFERROR('WL (14)'!$S27,"-")</f>
        <v xml:space="preserve">  </v>
      </c>
      <c r="BR86" s="348" t="str">
        <f>IFERROR('WL (15)'!$S27,"-")</f>
        <v xml:space="preserve">  </v>
      </c>
      <c r="BS86" s="348" t="str">
        <f>IFERROR('WL (16)'!$S27,"-")</f>
        <v xml:space="preserve">  </v>
      </c>
      <c r="BT86" s="348" t="str">
        <f>IFERROR('WL (17)'!$S27,"-")</f>
        <v xml:space="preserve">  </v>
      </c>
      <c r="BU86" s="348" t="str">
        <f>IFERROR('WL (18)'!$S27,"-")</f>
        <v xml:space="preserve">  </v>
      </c>
      <c r="BV86" s="348" t="str">
        <f>IFERROR('WL (19)'!$S27,"-")</f>
        <v xml:space="preserve">  </v>
      </c>
      <c r="BW86" s="348" t="str">
        <f>IFERROR('WL (20)'!$S27,"-")</f>
        <v xml:space="preserve">  </v>
      </c>
      <c r="BX86" s="348" t="str">
        <f>IFERROR('WL (21)'!$S27,"-")</f>
        <v xml:space="preserve">  </v>
      </c>
      <c r="BY86" s="348" t="str">
        <f>IFERROR('WL (22)'!$S27,"-")</f>
        <v xml:space="preserve">  </v>
      </c>
      <c r="BZ86" s="348" t="str">
        <f>IFERROR('WL (23)'!$S27,"-")</f>
        <v xml:space="preserve">  </v>
      </c>
      <c r="CA86" s="348" t="str">
        <f>IFERROR('WL (24)'!$S27,"-")</f>
        <v xml:space="preserve">  </v>
      </c>
      <c r="CB86" s="348" t="str">
        <f>IFERROR('WL (25)'!$S27,"-")</f>
        <v xml:space="preserve">  </v>
      </c>
      <c r="CM86" s="265">
        <v>25</v>
      </c>
      <c r="CN86" s="265">
        <f t="shared" si="111"/>
        <v>0</v>
      </c>
      <c r="CO86" s="265" t="str">
        <f t="shared" si="112"/>
        <v xml:space="preserve">  </v>
      </c>
      <c r="CP86" s="265" t="str">
        <f t="shared" si="113"/>
        <v xml:space="preserve"> </v>
      </c>
      <c r="CQ86" s="265" t="e">
        <f t="shared" ref="CQ86" si="178">CO86*WLS</f>
        <v>#VALUE!</v>
      </c>
      <c r="CR86" s="265" t="e">
        <f t="shared" si="115"/>
        <v>#VALUE!</v>
      </c>
      <c r="CS86" s="265"/>
      <c r="CT86" s="265"/>
      <c r="CU86" s="265"/>
      <c r="CV86" s="265"/>
      <c r="CW86" s="265"/>
      <c r="CX86" s="265"/>
      <c r="CY86" s="265"/>
      <c r="CZ86" s="265"/>
      <c r="DA86" s="265"/>
      <c r="DB86" s="328">
        <f t="shared" si="122"/>
        <v>20</v>
      </c>
      <c r="DC86" s="265" t="str">
        <f t="shared" si="123"/>
        <v>STN 20</v>
      </c>
      <c r="DD86" s="265">
        <f>IF(ISNUMBER(DB86),DB86,0)</f>
        <v>20</v>
      </c>
      <c r="DE86" s="265">
        <f t="shared" si="125"/>
        <v>20</v>
      </c>
    </row>
    <row r="87" spans="1:142" x14ac:dyDescent="0.25">
      <c r="A87" s="344">
        <f t="shared" si="129"/>
        <v>15</v>
      </c>
      <c r="B87" s="339">
        <f t="array" ref="B87:Z87">TRANSPOSE('Stn(18)'!D4:D28)</f>
        <v>0</v>
      </c>
      <c r="C87" s="339">
        <v>9.3649999999999984</v>
      </c>
      <c r="D87" s="339">
        <v>19.38</v>
      </c>
      <c r="E87" s="339">
        <v>29.71833333333333</v>
      </c>
      <c r="F87" s="339">
        <v>40.346666666666664</v>
      </c>
      <c r="G87" s="339">
        <v>83.846666666666664</v>
      </c>
      <c r="H87" s="339">
        <v>127.94666666666666</v>
      </c>
      <c r="I87" s="339">
        <v>171.84666666666666</v>
      </c>
      <c r="J87" s="339">
        <v>209.24666666666664</v>
      </c>
      <c r="K87" s="339">
        <v>215.94666666666666</v>
      </c>
      <c r="L87" s="339">
        <v>259.84666666666669</v>
      </c>
      <c r="M87" s="339">
        <v>281.84666666666669</v>
      </c>
      <c r="N87" s="339" t="str">
        <v xml:space="preserve"> </v>
      </c>
      <c r="O87" s="339" t="str">
        <v xml:space="preserve"> </v>
      </c>
      <c r="P87" s="339" t="str">
        <v xml:space="preserve"> </v>
      </c>
      <c r="Q87" s="339" t="str">
        <v xml:space="preserve"> </v>
      </c>
      <c r="R87" s="339" t="str">
        <v xml:space="preserve"> </v>
      </c>
      <c r="S87" s="339" t="str">
        <v xml:space="preserve"> </v>
      </c>
      <c r="T87" s="339" t="str">
        <v xml:space="preserve"> </v>
      </c>
      <c r="U87" s="339" t="str">
        <v xml:space="preserve"> </v>
      </c>
      <c r="V87" s="339" t="str">
        <v xml:space="preserve"> </v>
      </c>
      <c r="W87" s="339" t="str">
        <v xml:space="preserve"> </v>
      </c>
      <c r="X87" s="339" t="str">
        <v xml:space="preserve"> </v>
      </c>
      <c r="Y87" s="339" t="str">
        <v xml:space="preserve"> </v>
      </c>
      <c r="Z87" s="339" t="str">
        <v xml:space="preserve"> </v>
      </c>
      <c r="AB87" s="340">
        <f t="shared" si="174"/>
        <v>15</v>
      </c>
      <c r="AC87" s="341">
        <f t="array" ref="AC87:BA87">TRANSPOSE('Stn(18)'!E4:E28)</f>
        <v>0</v>
      </c>
      <c r="AD87" s="341">
        <v>2.3770833333333332</v>
      </c>
      <c r="AE87" s="341">
        <v>9.9066666666666663</v>
      </c>
      <c r="AF87" s="341">
        <v>22.853749999999998</v>
      </c>
      <c r="AG87" s="341">
        <v>41.44</v>
      </c>
      <c r="AH87" s="341">
        <v>172.14</v>
      </c>
      <c r="AI87" s="341">
        <v>392.63999999999993</v>
      </c>
      <c r="AJ87" s="341">
        <v>700.14</v>
      </c>
      <c r="AK87" s="341">
        <v>1031.1299999999999</v>
      </c>
      <c r="AL87" s="341">
        <v>1096.6399999999999</v>
      </c>
      <c r="AM87" s="341">
        <v>1580.1399999999999</v>
      </c>
      <c r="AN87" s="341">
        <v>1855.1399999999999</v>
      </c>
      <c r="AO87" s="341" t="str">
        <v xml:space="preserve"> </v>
      </c>
      <c r="AP87" s="341" t="str">
        <v xml:space="preserve"> </v>
      </c>
      <c r="AQ87" s="341" t="str">
        <v xml:space="preserve"> </v>
      </c>
      <c r="AR87" s="341" t="str">
        <v xml:space="preserve"> </v>
      </c>
      <c r="AS87" s="341" t="str">
        <v xml:space="preserve"> </v>
      </c>
      <c r="AT87" s="341" t="str">
        <v xml:space="preserve"> </v>
      </c>
      <c r="AU87" s="341" t="str">
        <v xml:space="preserve"> </v>
      </c>
      <c r="AV87" s="341" t="str">
        <v xml:space="preserve"> </v>
      </c>
      <c r="AW87" s="341" t="str">
        <v xml:space="preserve"> </v>
      </c>
      <c r="AX87" s="341" t="str">
        <v xml:space="preserve"> </v>
      </c>
      <c r="AY87" s="341" t="str">
        <v xml:space="preserve"> </v>
      </c>
      <c r="AZ87" s="341" t="str">
        <v xml:space="preserve"> </v>
      </c>
      <c r="BA87" s="341" t="str">
        <v xml:space="preserve"> </v>
      </c>
      <c r="BC87" s="350" t="s">
        <v>75</v>
      </c>
      <c r="BD87" s="348" t="str">
        <f>IFERROR('WL (1)'!$S28,"-")</f>
        <v>-</v>
      </c>
      <c r="BE87" s="348">
        <f>IFERROR('WL (2)'!$S28,"-")</f>
        <v>143.5020532779476</v>
      </c>
      <c r="BF87" s="348">
        <f>IFERROR('WL (3)'!$S28,"-")</f>
        <v>162.95201437250645</v>
      </c>
      <c r="BG87" s="348">
        <f>IFERROR('WL (4)'!$S28,"-")</f>
        <v>176.38870266342988</v>
      </c>
      <c r="BH87" s="348">
        <f>IFERROR('WL (5)'!$S28,"-")</f>
        <v>186.37543794912199</v>
      </c>
      <c r="BI87" s="348">
        <f>IFERROR('WL (6)'!$S28,"-")</f>
        <v>212.15734286886064</v>
      </c>
      <c r="BJ87" s="348">
        <f>IFERROR('WL (7)'!$S28,"-")</f>
        <v>228.62245071608618</v>
      </c>
      <c r="BK87" s="348">
        <f>IFERROR('WL (8)'!$S28,"-")</f>
        <v>252.86692625054869</v>
      </c>
      <c r="BL87" s="348">
        <f>IFERROR('WL (9)'!$S28,"-")</f>
        <v>275.83502946859755</v>
      </c>
      <c r="BM87" s="348">
        <f>IFERROR('WL (10)'!$S28,"-")</f>
        <v>279.22960318813841</v>
      </c>
      <c r="BN87" s="348">
        <f>IFERROR('WL (11)'!$S28,"-")</f>
        <v>299.24664124454694</v>
      </c>
      <c r="BO87" s="348">
        <f>IFERROR('WL (12)'!$S28,"-")</f>
        <v>309.37391584271188</v>
      </c>
      <c r="BP87" s="348" t="str">
        <f>IFERROR('WL (13)'!$S28,"-")</f>
        <v xml:space="preserve">  </v>
      </c>
      <c r="BQ87" s="348" t="str">
        <f>IFERROR('WL (14)'!$S28,"-")</f>
        <v xml:space="preserve">  </v>
      </c>
      <c r="BR87" s="348" t="str">
        <f>IFERROR('WL (15)'!$S28,"-")</f>
        <v xml:space="preserve">  </v>
      </c>
      <c r="BS87" s="348" t="str">
        <f>IFERROR('WL (16)'!$S28,"-")</f>
        <v xml:space="preserve">  </v>
      </c>
      <c r="BT87" s="348" t="str">
        <f>IFERROR('WL (17)'!$S28,"-")</f>
        <v xml:space="preserve">  </v>
      </c>
      <c r="BU87" s="348" t="str">
        <f>IFERROR('WL (18)'!$S28,"-")</f>
        <v xml:space="preserve">  </v>
      </c>
      <c r="BV87" s="348" t="str">
        <f>IFERROR('WL (19)'!$S28,"-")</f>
        <v xml:space="preserve">  </v>
      </c>
      <c r="BW87" s="348" t="str">
        <f>IFERROR('WL (20)'!$S28,"-")</f>
        <v xml:space="preserve">  </v>
      </c>
      <c r="BX87" s="348" t="str">
        <f>IFERROR('WL (21)'!$S28,"-")</f>
        <v xml:space="preserve">  </v>
      </c>
      <c r="BY87" s="348" t="str">
        <f>IFERROR('WL (22)'!$S28,"-")</f>
        <v xml:space="preserve">  </v>
      </c>
      <c r="BZ87" s="348" t="str">
        <f>IFERROR('WL (23)'!$S28,"-")</f>
        <v xml:space="preserve">  </v>
      </c>
      <c r="CA87" s="348" t="str">
        <f>IFERROR('WL (24)'!$S28,"-")</f>
        <v xml:space="preserve">  </v>
      </c>
      <c r="CB87" s="348" t="str">
        <f>IFERROR('WL (25)'!$S28,"-")</f>
        <v xml:space="preserve">  </v>
      </c>
    </row>
    <row r="88" spans="1:142" x14ac:dyDescent="0.25">
      <c r="A88" s="344">
        <f t="shared" si="129"/>
        <v>16</v>
      </c>
      <c r="B88" s="339">
        <f t="array" ref="B88:Z88">TRANSPOSE('Stn(19)'!D4:D28)</f>
        <v>0</v>
      </c>
      <c r="C88" s="339">
        <v>8.1541666666666668</v>
      </c>
      <c r="D88" s="339">
        <v>17.143333333333334</v>
      </c>
      <c r="E88" s="339">
        <v>26.614166666666662</v>
      </c>
      <c r="F88" s="339">
        <v>36.416666666666664</v>
      </c>
      <c r="G88" s="339">
        <v>77.366666666666674</v>
      </c>
      <c r="H88" s="339">
        <v>119.89666666666665</v>
      </c>
      <c r="I88" s="339">
        <v>162.83333333333331</v>
      </c>
      <c r="J88" s="339">
        <v>199.7063333333333</v>
      </c>
      <c r="K88" s="339">
        <v>206.29666666666665</v>
      </c>
      <c r="L88" s="339">
        <v>250.0333333333333</v>
      </c>
      <c r="M88" s="339">
        <v>272.0333333333333</v>
      </c>
      <c r="N88" s="339" t="str">
        <v xml:space="preserve"> </v>
      </c>
      <c r="O88" s="339" t="str">
        <v xml:space="preserve"> </v>
      </c>
      <c r="P88" s="339" t="str">
        <v xml:space="preserve"> </v>
      </c>
      <c r="Q88" s="339" t="str">
        <v xml:space="preserve"> </v>
      </c>
      <c r="R88" s="339" t="str">
        <v xml:space="preserve"> </v>
      </c>
      <c r="S88" s="339" t="str">
        <v xml:space="preserve"> </v>
      </c>
      <c r="T88" s="339" t="str">
        <v xml:space="preserve"> </v>
      </c>
      <c r="U88" s="339" t="str">
        <v xml:space="preserve"> </v>
      </c>
      <c r="V88" s="339" t="str">
        <v xml:space="preserve"> </v>
      </c>
      <c r="W88" s="339" t="str">
        <v xml:space="preserve"> </v>
      </c>
      <c r="X88" s="339" t="str">
        <v xml:space="preserve"> </v>
      </c>
      <c r="Y88" s="339" t="str">
        <v xml:space="preserve"> </v>
      </c>
      <c r="Z88" s="339" t="str">
        <v xml:space="preserve"> </v>
      </c>
      <c r="AB88" s="340">
        <f t="shared" si="174"/>
        <v>16</v>
      </c>
      <c r="AC88" s="341">
        <f t="array" ref="AC88:BA88">TRANSPOSE('Stn(19)'!E4:E28)</f>
        <v>0</v>
      </c>
      <c r="AD88" s="341">
        <v>2.0818750000000001</v>
      </c>
      <c r="AE88" s="341">
        <v>8.85</v>
      </c>
      <c r="AF88" s="341">
        <v>20.711874999999999</v>
      </c>
      <c r="AG88" s="341">
        <v>37.866666666666667</v>
      </c>
      <c r="AH88" s="341">
        <v>161.11000000000001</v>
      </c>
      <c r="AI88" s="341">
        <v>373.89333333333332</v>
      </c>
      <c r="AJ88" s="341">
        <v>674.70999999999992</v>
      </c>
      <c r="AK88" s="341">
        <v>1001.0793999999997</v>
      </c>
      <c r="AL88" s="341">
        <v>1065.6266666666666</v>
      </c>
      <c r="AM88" s="341">
        <v>1547.2433333333333</v>
      </c>
      <c r="AN88" s="341">
        <v>1822.2433333333333</v>
      </c>
      <c r="AO88" s="341" t="str">
        <v xml:space="preserve"> </v>
      </c>
      <c r="AP88" s="341" t="str">
        <v xml:space="preserve"> </v>
      </c>
      <c r="AQ88" s="341" t="str">
        <v xml:space="preserve"> </v>
      </c>
      <c r="AR88" s="341" t="str">
        <v xml:space="preserve"> </v>
      </c>
      <c r="AS88" s="341" t="str">
        <v xml:space="preserve"> </v>
      </c>
      <c r="AT88" s="341" t="str">
        <v xml:space="preserve"> </v>
      </c>
      <c r="AU88" s="341" t="str">
        <v xml:space="preserve"> </v>
      </c>
      <c r="AV88" s="341" t="str">
        <v xml:space="preserve"> </v>
      </c>
      <c r="AW88" s="341" t="str">
        <v xml:space="preserve"> </v>
      </c>
      <c r="AX88" s="341" t="str">
        <v xml:space="preserve"> </v>
      </c>
      <c r="AY88" s="341" t="str">
        <v xml:space="preserve"> </v>
      </c>
      <c r="AZ88" s="341" t="str">
        <v xml:space="preserve"> </v>
      </c>
      <c r="BA88" s="341" t="str">
        <v xml:space="preserve"> </v>
      </c>
      <c r="BC88" s="350" t="s">
        <v>78</v>
      </c>
      <c r="BD88" s="348">
        <f>IFERROR('WL (1)'!$S29,"-")</f>
        <v>0</v>
      </c>
      <c r="BE88" s="348">
        <f>IFERROR('WL (2)'!$S29,"-")</f>
        <v>0.5</v>
      </c>
      <c r="BF88" s="348">
        <f>IFERROR('WL (3)'!$S29,"-")</f>
        <v>1</v>
      </c>
      <c r="BG88" s="348">
        <f>IFERROR('WL (4)'!$S29,"-")</f>
        <v>1.5</v>
      </c>
      <c r="BH88" s="348">
        <f>IFERROR('WL (5)'!$S29,"-")</f>
        <v>2</v>
      </c>
      <c r="BI88" s="348">
        <f>IFERROR('WL (6)'!$S29,"-")</f>
        <v>4</v>
      </c>
      <c r="BJ88" s="348">
        <f>IFERROR('WL (7)'!$S29,"-")</f>
        <v>6</v>
      </c>
      <c r="BK88" s="348">
        <f>IFERROR('WL (8)'!$S29,"-")</f>
        <v>8</v>
      </c>
      <c r="BL88" s="348">
        <f>IFERROR('WL (9)'!$S29,"-")</f>
        <v>9.6999999999999993</v>
      </c>
      <c r="BM88" s="348">
        <f>IFERROR('WL (10)'!$S29,"-")</f>
        <v>10</v>
      </c>
      <c r="BN88" s="348">
        <f>IFERROR('WL (11)'!$S29,"-")</f>
        <v>12</v>
      </c>
      <c r="BO88" s="348">
        <f>IFERROR('WL (12)'!$S29,"-")</f>
        <v>13</v>
      </c>
      <c r="BP88" s="348" t="str">
        <f>IFERROR('WL (13)'!$S29,"-")</f>
        <v xml:space="preserve">  </v>
      </c>
      <c r="BQ88" s="348" t="str">
        <f>IFERROR('WL (14)'!$S29,"-")</f>
        <v xml:space="preserve">  </v>
      </c>
      <c r="BR88" s="348" t="str">
        <f>IFERROR('WL (15)'!$S29,"-")</f>
        <v xml:space="preserve">  </v>
      </c>
      <c r="BS88" s="348" t="str">
        <f>IFERROR('WL (16)'!$S29,"-")</f>
        <v xml:space="preserve">  </v>
      </c>
      <c r="BT88" s="348" t="str">
        <f>IFERROR('WL (17)'!$S29,"-")</f>
        <v xml:space="preserve">  </v>
      </c>
      <c r="BU88" s="348" t="str">
        <f>IFERROR('WL (18)'!$S29,"-")</f>
        <v xml:space="preserve">  </v>
      </c>
      <c r="BV88" s="348" t="str">
        <f>IFERROR('WL (19)'!$S29,"-")</f>
        <v xml:space="preserve">  </v>
      </c>
      <c r="BW88" s="348" t="str">
        <f>IFERROR('WL (20)'!$S29,"-")</f>
        <v xml:space="preserve">  </v>
      </c>
      <c r="BX88" s="348" t="str">
        <f>IFERROR('WL (21)'!$S29,"-")</f>
        <v xml:space="preserve">  </v>
      </c>
      <c r="BY88" s="348" t="str">
        <f>IFERROR('WL (22)'!$S29,"-")</f>
        <v xml:space="preserve">  </v>
      </c>
      <c r="BZ88" s="348" t="str">
        <f>IFERROR('WL (23)'!$S29,"-")</f>
        <v xml:space="preserve">  </v>
      </c>
      <c r="CA88" s="348" t="str">
        <f>IFERROR('WL (24)'!$S29,"-")</f>
        <v xml:space="preserve">  </v>
      </c>
      <c r="CB88" s="348" t="str">
        <f>IFERROR('WL (25)'!$S29,"-")</f>
        <v xml:space="preserve">  </v>
      </c>
    </row>
    <row r="89" spans="1:142" x14ac:dyDescent="0.25">
      <c r="A89" s="344">
        <f t="shared" si="129"/>
        <v>17</v>
      </c>
      <c r="B89" s="339">
        <f t="array" ref="B89:Z89">TRANSPOSE('Stn(20)'!D4:D28)</f>
        <v>0</v>
      </c>
      <c r="C89" s="339">
        <v>6.2966666666666669</v>
      </c>
      <c r="D89" s="339">
        <v>13.573333333333332</v>
      </c>
      <c r="E89" s="339">
        <v>21.353333333333332</v>
      </c>
      <c r="F89" s="339">
        <v>29.619999999999997</v>
      </c>
      <c r="G89" s="339">
        <v>65.276666666666671</v>
      </c>
      <c r="H89" s="339">
        <v>103.47333333333333</v>
      </c>
      <c r="I89" s="339">
        <v>142.70333333333332</v>
      </c>
      <c r="J89" s="339">
        <v>177.07733333333329</v>
      </c>
      <c r="K89" s="339">
        <v>183.36666666666667</v>
      </c>
      <c r="L89" s="339">
        <v>224.79666666666665</v>
      </c>
      <c r="M89" s="339">
        <v>245.91666666666666</v>
      </c>
      <c r="N89" s="339" t="str">
        <v xml:space="preserve"> </v>
      </c>
      <c r="O89" s="339" t="str">
        <v xml:space="preserve"> </v>
      </c>
      <c r="P89" s="339" t="str">
        <v xml:space="preserve"> </v>
      </c>
      <c r="Q89" s="339" t="str">
        <v xml:space="preserve"> </v>
      </c>
      <c r="R89" s="339" t="str">
        <v xml:space="preserve"> </v>
      </c>
      <c r="S89" s="339" t="str">
        <v xml:space="preserve"> </v>
      </c>
      <c r="T89" s="339" t="str">
        <v xml:space="preserve"> </v>
      </c>
      <c r="U89" s="339" t="str">
        <v xml:space="preserve"> </v>
      </c>
      <c r="V89" s="339" t="str">
        <v xml:space="preserve"> </v>
      </c>
      <c r="W89" s="339" t="str">
        <v xml:space="preserve"> </v>
      </c>
      <c r="X89" s="339" t="str">
        <v xml:space="preserve"> </v>
      </c>
      <c r="Y89" s="339" t="str">
        <v xml:space="preserve"> </v>
      </c>
      <c r="Z89" s="339" t="str">
        <v xml:space="preserve"> </v>
      </c>
      <c r="AB89" s="340">
        <f t="shared" si="174"/>
        <v>17</v>
      </c>
      <c r="AC89" s="341">
        <f t="array" ref="AC89:BA89">TRANSPOSE('Stn(20)'!E4:E28)</f>
        <v>0</v>
      </c>
      <c r="AD89" s="341">
        <v>1.6279166666666662</v>
      </c>
      <c r="AE89" s="341">
        <v>7.1133333333333333</v>
      </c>
      <c r="AF89" s="341">
        <v>16.876249999999995</v>
      </c>
      <c r="AG89" s="341">
        <v>31.326666666666664</v>
      </c>
      <c r="AH89" s="341">
        <v>138.89666666666665</v>
      </c>
      <c r="AI89" s="341">
        <v>330.12666666666667</v>
      </c>
      <c r="AJ89" s="341">
        <v>605.24333333333334</v>
      </c>
      <c r="AK89" s="341">
        <v>909.56883333333315</v>
      </c>
      <c r="AL89" s="341">
        <v>970.81999999999994</v>
      </c>
      <c r="AM89" s="341">
        <v>1427.5366666666666</v>
      </c>
      <c r="AN89" s="341">
        <v>1691.5566666666666</v>
      </c>
      <c r="AO89" s="341" t="str">
        <v xml:space="preserve"> </v>
      </c>
      <c r="AP89" s="341" t="str">
        <v xml:space="preserve"> </v>
      </c>
      <c r="AQ89" s="341" t="str">
        <v xml:space="preserve"> </v>
      </c>
      <c r="AR89" s="341" t="str">
        <v xml:space="preserve"> </v>
      </c>
      <c r="AS89" s="341" t="str">
        <v xml:space="preserve"> </v>
      </c>
      <c r="AT89" s="341" t="str">
        <v xml:space="preserve"> </v>
      </c>
      <c r="AU89" s="341" t="str">
        <v xml:space="preserve"> </v>
      </c>
      <c r="AV89" s="341" t="str">
        <v xml:space="preserve"> </v>
      </c>
      <c r="AW89" s="341" t="str">
        <v xml:space="preserve"> </v>
      </c>
      <c r="AX89" s="341" t="str">
        <v xml:space="preserve"> </v>
      </c>
      <c r="AY89" s="341" t="str">
        <v xml:space="preserve"> </v>
      </c>
      <c r="AZ89" s="341" t="str">
        <v xml:space="preserve"> </v>
      </c>
      <c r="BA89" s="341" t="str">
        <v xml:space="preserve"> </v>
      </c>
      <c r="BC89" s="350" t="s">
        <v>80</v>
      </c>
      <c r="BD89" s="348">
        <f>IFERROR('WL (1)'!$S30,"-")</f>
        <v>0.63891752577319594</v>
      </c>
      <c r="BE89" s="348">
        <f>IFERROR('WL (2)'!$S30,"-")</f>
        <v>0.68054226475279112</v>
      </c>
      <c r="BF89" s="348">
        <f>IFERROR('WL (3)'!$S30,"-")</f>
        <v>0.70731007751937991</v>
      </c>
      <c r="BG89" s="348">
        <f>IFERROR('WL (4)'!$S30,"-")</f>
        <v>0.72571668191521821</v>
      </c>
      <c r="BH89" s="348">
        <f>IFERROR('WL (5)'!$S30,"-")</f>
        <v>0.74094696969696972</v>
      </c>
      <c r="BI89" s="348">
        <f>IFERROR('WL (6)'!$S30,"-")</f>
        <v>0.78388636363636344</v>
      </c>
      <c r="BJ89" s="348">
        <f>IFERROR('WL (7)'!$S30,"-")</f>
        <v>0.80761363636363637</v>
      </c>
      <c r="BK89" s="348">
        <f>IFERROR('WL (8)'!$S30,"-")</f>
        <v>0.83747545454545458</v>
      </c>
      <c r="BL89" s="348">
        <f>IFERROR('WL (9)'!$S30,"-")</f>
        <v>0.86481310606060613</v>
      </c>
      <c r="BM89" s="348">
        <f>IFERROR('WL (10)'!$S30,"-")</f>
        <v>0.86888242424242434</v>
      </c>
      <c r="BN89" s="348">
        <f>IFERROR('WL (11)'!$S30,"-")</f>
        <v>0.89286363636363641</v>
      </c>
      <c r="BO89" s="348">
        <f>IFERROR('WL (12)'!$S30,"-")</f>
        <v>0.90487121212121235</v>
      </c>
      <c r="BP89" s="348" t="str">
        <f>IFERROR('WL (13)'!$S30,"-")</f>
        <v xml:space="preserve">  </v>
      </c>
      <c r="BQ89" s="348" t="str">
        <f>IFERROR('WL (14)'!$S30,"-")</f>
        <v xml:space="preserve">  </v>
      </c>
      <c r="BR89" s="348" t="str">
        <f>IFERROR('WL (15)'!$S30,"-")</f>
        <v xml:space="preserve">  </v>
      </c>
      <c r="BS89" s="348" t="str">
        <f>IFERROR('WL (16)'!$S30,"-")</f>
        <v xml:space="preserve">  </v>
      </c>
      <c r="BT89" s="348" t="str">
        <f>IFERROR('WL (17)'!$S30,"-")</f>
        <v xml:space="preserve">  </v>
      </c>
      <c r="BU89" s="348" t="str">
        <f>IFERROR('WL (18)'!$S30,"-")</f>
        <v xml:space="preserve">  </v>
      </c>
      <c r="BV89" s="348" t="str">
        <f>IFERROR('WL (19)'!$S30,"-")</f>
        <v xml:space="preserve">  </v>
      </c>
      <c r="BW89" s="348" t="str">
        <f>IFERROR('WL (20)'!$S30,"-")</f>
        <v xml:space="preserve">  </v>
      </c>
      <c r="BX89" s="348" t="str">
        <f>IFERROR('WL (21)'!$S30,"-")</f>
        <v xml:space="preserve">  </v>
      </c>
      <c r="BY89" s="348" t="str">
        <f>IFERROR('WL (22)'!$S30,"-")</f>
        <v xml:space="preserve">  </v>
      </c>
      <c r="BZ89" s="348" t="str">
        <f>IFERROR('WL (23)'!$S30,"-")</f>
        <v xml:space="preserve">  </v>
      </c>
      <c r="CA89" s="348" t="str">
        <f>IFERROR('WL (24)'!$S30,"-")</f>
        <v xml:space="preserve">  </v>
      </c>
      <c r="CB89" s="348" t="str">
        <f>IFERROR('WL (25)'!$S30,"-")</f>
        <v xml:space="preserve">  </v>
      </c>
    </row>
    <row r="90" spans="1:142" x14ac:dyDescent="0.25">
      <c r="A90" s="344">
        <f t="shared" si="129"/>
        <v>18</v>
      </c>
      <c r="B90" s="339">
        <f t="array" ref="B90:Z90">TRANSPOSE('Stn(21)'!D4:D28)</f>
        <v>0</v>
      </c>
      <c r="C90" s="339">
        <v>4.1124999999999998</v>
      </c>
      <c r="D90" s="339">
        <v>9.15</v>
      </c>
      <c r="E90" s="339">
        <v>14.752499999999998</v>
      </c>
      <c r="F90" s="339">
        <v>20.83</v>
      </c>
      <c r="G90" s="339">
        <v>47.536666666666662</v>
      </c>
      <c r="H90" s="339">
        <v>76.963333333333338</v>
      </c>
      <c r="I90" s="339">
        <v>107.92226666666666</v>
      </c>
      <c r="J90" s="339">
        <v>135.59877666666665</v>
      </c>
      <c r="K90" s="339">
        <v>140.58573333333334</v>
      </c>
      <c r="L90" s="339">
        <v>175.34786666666668</v>
      </c>
      <c r="M90" s="339">
        <v>193.42786666666666</v>
      </c>
      <c r="N90" s="339" t="str">
        <v xml:space="preserve"> </v>
      </c>
      <c r="O90" s="339" t="str">
        <v xml:space="preserve"> </v>
      </c>
      <c r="P90" s="339" t="str">
        <v xml:space="preserve"> </v>
      </c>
      <c r="Q90" s="339" t="str">
        <v xml:space="preserve"> </v>
      </c>
      <c r="R90" s="339" t="str">
        <v xml:space="preserve"> </v>
      </c>
      <c r="S90" s="339" t="str">
        <v xml:space="preserve"> </v>
      </c>
      <c r="T90" s="339" t="str">
        <v xml:space="preserve"> </v>
      </c>
      <c r="U90" s="339" t="str">
        <v xml:space="preserve"> </v>
      </c>
      <c r="V90" s="339" t="str">
        <v xml:space="preserve"> </v>
      </c>
      <c r="W90" s="339" t="str">
        <v xml:space="preserve"> </v>
      </c>
      <c r="X90" s="339" t="str">
        <v xml:space="preserve"> </v>
      </c>
      <c r="Y90" s="339" t="str">
        <v xml:space="preserve"> </v>
      </c>
      <c r="Z90" s="339" t="str">
        <v xml:space="preserve"> </v>
      </c>
      <c r="AB90" s="340">
        <f t="shared" si="174"/>
        <v>18</v>
      </c>
      <c r="AC90" s="341">
        <f t="array" ref="AC90:BA90">TRANSPOSE('Stn(21)'!E4:E28)</f>
        <v>0</v>
      </c>
      <c r="AD90" s="341">
        <v>1.0760416666666666</v>
      </c>
      <c r="AE90" s="341">
        <v>4.8833333333333329</v>
      </c>
      <c r="AF90" s="341">
        <v>11.919375</v>
      </c>
      <c r="AG90" s="341">
        <v>22.546666666666667</v>
      </c>
      <c r="AH90" s="341">
        <v>103.24666666666666</v>
      </c>
      <c r="AI90" s="341">
        <v>250.70666666666665</v>
      </c>
      <c r="AJ90" s="341">
        <v>467.82479999999998</v>
      </c>
      <c r="AK90" s="341">
        <v>712.96512866666649</v>
      </c>
      <c r="AL90" s="341">
        <v>761.97919999999999</v>
      </c>
      <c r="AM90" s="341">
        <v>1144.7229333333332</v>
      </c>
      <c r="AN90" s="341">
        <v>1370.7629333333332</v>
      </c>
      <c r="AO90" s="341" t="str">
        <v xml:space="preserve"> </v>
      </c>
      <c r="AP90" s="341" t="str">
        <v xml:space="preserve"> </v>
      </c>
      <c r="AQ90" s="341" t="str">
        <v xml:space="preserve"> </v>
      </c>
      <c r="AR90" s="341" t="str">
        <v xml:space="preserve"> </v>
      </c>
      <c r="AS90" s="341" t="str">
        <v xml:space="preserve"> </v>
      </c>
      <c r="AT90" s="341" t="str">
        <v xml:space="preserve"> </v>
      </c>
      <c r="AU90" s="341" t="str">
        <v xml:space="preserve"> </v>
      </c>
      <c r="AV90" s="341" t="str">
        <v xml:space="preserve"> </v>
      </c>
      <c r="AW90" s="341" t="str">
        <v xml:space="preserve"> </v>
      </c>
      <c r="AX90" s="341" t="str">
        <v xml:space="preserve"> </v>
      </c>
      <c r="AY90" s="341" t="str">
        <v xml:space="preserve"> </v>
      </c>
      <c r="AZ90" s="341" t="str">
        <v xml:space="preserve"> </v>
      </c>
      <c r="BA90" s="341" t="str">
        <v xml:space="preserve"> </v>
      </c>
      <c r="BC90" s="350" t="s">
        <v>82</v>
      </c>
      <c r="BD90" s="348" t="str">
        <f>IFERROR('WL (1)'!$S31,"-")</f>
        <v>-</v>
      </c>
      <c r="BE90" s="348">
        <f>IFERROR('WL (2)'!$S31,"-")</f>
        <v>0.64016945773524714</v>
      </c>
      <c r="BF90" s="348">
        <f>IFERROR('WL (3)'!$S31,"-")</f>
        <v>0.65500387596899223</v>
      </c>
      <c r="BG90" s="348">
        <f>IFERROR('WL (4)'!$S31,"-")</f>
        <v>0.6661319084409203</v>
      </c>
      <c r="BH90" s="348">
        <f>IFERROR('WL (5)'!$S31,"-")</f>
        <v>0.67977335858585852</v>
      </c>
      <c r="BI90" s="348">
        <f>IFERROR('WL (6)'!$S31,"-")</f>
        <v>0.72189551767676763</v>
      </c>
      <c r="BJ90" s="348">
        <f>IFERROR('WL (7)'!$S31,"-")</f>
        <v>0.74704734848484833</v>
      </c>
      <c r="BK90" s="348">
        <f>IFERROR('WL (8)'!$S31,"-")</f>
        <v>0.76525158459595943</v>
      </c>
      <c r="BL90" s="348">
        <f>IFERROR('WL (9)'!$S31,"-")</f>
        <v>0.78030494363740499</v>
      </c>
      <c r="BM90" s="348">
        <f>IFERROR('WL (10)'!$S31,"-")</f>
        <v>0.78332488383838395</v>
      </c>
      <c r="BN90" s="348">
        <f>IFERROR('WL (11)'!$S31,"-")</f>
        <v>0.79938265572390566</v>
      </c>
      <c r="BO90" s="348">
        <f>IFERROR('WL (12)'!$S31,"-")</f>
        <v>0.80703533022533014</v>
      </c>
      <c r="BP90" s="348" t="str">
        <f>IFERROR('WL (13)'!$S31,"-")</f>
        <v xml:space="preserve">  </v>
      </c>
      <c r="BQ90" s="348" t="str">
        <f>IFERROR('WL (14)'!$S31,"-")</f>
        <v xml:space="preserve">  </v>
      </c>
      <c r="BR90" s="348" t="str">
        <f>IFERROR('WL (15)'!$S31,"-")</f>
        <v xml:space="preserve">  </v>
      </c>
      <c r="BS90" s="348" t="str">
        <f>IFERROR('WL (16)'!$S31,"-")</f>
        <v xml:space="preserve">  </v>
      </c>
      <c r="BT90" s="348" t="str">
        <f>IFERROR('WL (17)'!$S31,"-")</f>
        <v xml:space="preserve">  </v>
      </c>
      <c r="BU90" s="348" t="str">
        <f>IFERROR('WL (18)'!$S31,"-")</f>
        <v xml:space="preserve">  </v>
      </c>
      <c r="BV90" s="348" t="str">
        <f>IFERROR('WL (19)'!$S31,"-")</f>
        <v xml:space="preserve">  </v>
      </c>
      <c r="BW90" s="348" t="str">
        <f>IFERROR('WL (20)'!$S31,"-")</f>
        <v xml:space="preserve">  </v>
      </c>
      <c r="BX90" s="348" t="str">
        <f>IFERROR('WL (21)'!$S31,"-")</f>
        <v xml:space="preserve">  </v>
      </c>
      <c r="BY90" s="348" t="str">
        <f>IFERROR('WL (22)'!$S31,"-")</f>
        <v xml:space="preserve">  </v>
      </c>
      <c r="BZ90" s="348" t="str">
        <f>IFERROR('WL (23)'!$S31,"-")</f>
        <v xml:space="preserve">  </v>
      </c>
      <c r="CA90" s="348" t="str">
        <f>IFERROR('WL (24)'!$S31,"-")</f>
        <v xml:space="preserve">  </v>
      </c>
      <c r="CB90" s="348" t="str">
        <f>IFERROR('WL (25)'!$S31,"-")</f>
        <v xml:space="preserve">  </v>
      </c>
    </row>
    <row r="91" spans="1:142" x14ac:dyDescent="0.25">
      <c r="A91" s="344">
        <f t="shared" si="129"/>
        <v>18.5</v>
      </c>
      <c r="B91" s="339">
        <f t="array" ref="B91:Z91">TRANSPOSE('Stn(22)'!D4:D28)</f>
        <v>0</v>
      </c>
      <c r="C91" s="339">
        <v>2.9008333333333329</v>
      </c>
      <c r="D91" s="339">
        <v>6.7166666666666659</v>
      </c>
      <c r="E91" s="339">
        <v>11.077499999999999</v>
      </c>
      <c r="F91" s="339">
        <v>15.836666666666666</v>
      </c>
      <c r="G91" s="339">
        <v>37.016666666666666</v>
      </c>
      <c r="H91" s="339">
        <v>60.476666666666659</v>
      </c>
      <c r="I91" s="339">
        <v>85.31</v>
      </c>
      <c r="J91" s="339">
        <v>107.767</v>
      </c>
      <c r="K91" s="339">
        <v>111.83666666666664</v>
      </c>
      <c r="L91" s="339">
        <v>140.68333333333334</v>
      </c>
      <c r="M91" s="339">
        <v>155.98333333333335</v>
      </c>
      <c r="N91" s="339" t="str">
        <v xml:space="preserve"> </v>
      </c>
      <c r="O91" s="339" t="str">
        <v xml:space="preserve"> </v>
      </c>
      <c r="P91" s="339" t="str">
        <v xml:space="preserve"> </v>
      </c>
      <c r="Q91" s="339" t="str">
        <v xml:space="preserve"> </v>
      </c>
      <c r="R91" s="339" t="str">
        <v xml:space="preserve"> </v>
      </c>
      <c r="S91" s="339" t="str">
        <v xml:space="preserve"> </v>
      </c>
      <c r="T91" s="339" t="str">
        <v xml:space="preserve"> </v>
      </c>
      <c r="U91" s="339" t="str">
        <v xml:space="preserve"> </v>
      </c>
      <c r="V91" s="339" t="str">
        <v xml:space="preserve"> </v>
      </c>
      <c r="W91" s="339" t="str">
        <v xml:space="preserve"> </v>
      </c>
      <c r="X91" s="339" t="str">
        <v xml:space="preserve"> </v>
      </c>
      <c r="Y91" s="339" t="str">
        <v xml:space="preserve"> </v>
      </c>
      <c r="Z91" s="339" t="str">
        <v xml:space="preserve"> </v>
      </c>
      <c r="AB91" s="340">
        <f t="shared" si="174"/>
        <v>18.5</v>
      </c>
      <c r="AC91" s="341">
        <f t="array" ref="AC91:BA91">TRANSPOSE('Stn(22)'!E4:E28)</f>
        <v>0</v>
      </c>
      <c r="AD91" s="341">
        <v>0.7722916666666666</v>
      </c>
      <c r="AE91" s="341">
        <v>3.6633333333333331</v>
      </c>
      <c r="AF91" s="341">
        <v>9.1406249999999982</v>
      </c>
      <c r="AG91" s="341">
        <v>17.473333333333333</v>
      </c>
      <c r="AH91" s="341">
        <v>81.493333333333325</v>
      </c>
      <c r="AI91" s="341">
        <v>199.0733333333333</v>
      </c>
      <c r="AJ91" s="341">
        <v>373.28</v>
      </c>
      <c r="AK91" s="341">
        <v>572.23156666666659</v>
      </c>
      <c r="AL91" s="341">
        <v>612.24666666666656</v>
      </c>
      <c r="AM91" s="341">
        <v>929.97333333333324</v>
      </c>
      <c r="AN91" s="341">
        <v>1121.2733333333333</v>
      </c>
      <c r="AO91" s="341" t="str">
        <v xml:space="preserve"> </v>
      </c>
      <c r="AP91" s="341" t="str">
        <v xml:space="preserve"> </v>
      </c>
      <c r="AQ91" s="341" t="str">
        <v xml:space="preserve"> </v>
      </c>
      <c r="AR91" s="341" t="str">
        <v xml:space="preserve"> </v>
      </c>
      <c r="AS91" s="341" t="str">
        <v xml:space="preserve"> </v>
      </c>
      <c r="AT91" s="341" t="str">
        <v xml:space="preserve"> </v>
      </c>
      <c r="AU91" s="341" t="str">
        <v xml:space="preserve"> </v>
      </c>
      <c r="AV91" s="341" t="str">
        <v xml:space="preserve"> </v>
      </c>
      <c r="AW91" s="341" t="str">
        <v xml:space="preserve"> </v>
      </c>
      <c r="AX91" s="341" t="str">
        <v xml:space="preserve"> </v>
      </c>
      <c r="AY91" s="341" t="str">
        <v xml:space="preserve"> </v>
      </c>
      <c r="AZ91" s="341" t="str">
        <v xml:space="preserve"> </v>
      </c>
      <c r="BA91" s="341" t="str">
        <v xml:space="preserve"> </v>
      </c>
      <c r="BC91" s="350" t="s">
        <v>85</v>
      </c>
      <c r="BD91" s="348" t="str">
        <f>IFERROR('WL (1)'!$S32,"-")</f>
        <v>-</v>
      </c>
      <c r="BE91" s="348">
        <f>IFERROR('WL (2)'!$S32,"-")</f>
        <v>0.96770334928229662</v>
      </c>
      <c r="BF91" s="348">
        <f>IFERROR('WL (3)'!$S32,"-")</f>
        <v>0.96511627906976749</v>
      </c>
      <c r="BG91" s="348">
        <f>IFERROR('WL (4)'!$S32,"-")</f>
        <v>0.96286977737114976</v>
      </c>
      <c r="BH91" s="348">
        <f>IFERROR('WL (5)'!$S32,"-")</f>
        <v>0.96757575757575753</v>
      </c>
      <c r="BI91" s="348">
        <f>IFERROR('WL (6)'!$S32,"-")</f>
        <v>0.98378787878787866</v>
      </c>
      <c r="BJ91" s="348">
        <f>IFERROR('WL (7)'!$S32,"-")</f>
        <v>0.98919191919191907</v>
      </c>
      <c r="BK91" s="348">
        <f>IFERROR('WL (8)'!$S32,"-")</f>
        <v>0.99189393939393933</v>
      </c>
      <c r="BL91" s="348">
        <f>IFERROR('WL (9)'!$S32,"-")</f>
        <v>0.99331458919087778</v>
      </c>
      <c r="BM91" s="348">
        <f>IFERROR('WL (10)'!$S32,"-")</f>
        <v>0.99351515151515146</v>
      </c>
      <c r="BN91" s="348">
        <f>IFERROR('WL (11)'!$S32,"-")</f>
        <v>0.99459595959595959</v>
      </c>
      <c r="BO91" s="348">
        <f>IFERROR('WL (12)'!$S32,"-")</f>
        <v>0.99501165501165501</v>
      </c>
      <c r="BP91" s="348" t="str">
        <f>IFERROR('WL (13)'!$S32,"-")</f>
        <v xml:space="preserve">  </v>
      </c>
      <c r="BQ91" s="348" t="str">
        <f>IFERROR('WL (14)'!$S32,"-")</f>
        <v xml:space="preserve">  </v>
      </c>
      <c r="BR91" s="348" t="str">
        <f>IFERROR('WL (15)'!$S32,"-")</f>
        <v xml:space="preserve">  </v>
      </c>
      <c r="BS91" s="348" t="str">
        <f>IFERROR('WL (16)'!$S32,"-")</f>
        <v xml:space="preserve">  </v>
      </c>
      <c r="BT91" s="348" t="str">
        <f>IFERROR('WL (17)'!$S32,"-")</f>
        <v xml:space="preserve">  </v>
      </c>
      <c r="BU91" s="348" t="str">
        <f>IFERROR('WL (18)'!$S32,"-")</f>
        <v xml:space="preserve">  </v>
      </c>
      <c r="BV91" s="348" t="str">
        <f>IFERROR('WL (19)'!$S32,"-")</f>
        <v xml:space="preserve">  </v>
      </c>
      <c r="BW91" s="348" t="str">
        <f>IFERROR('WL (20)'!$S32,"-")</f>
        <v xml:space="preserve">  </v>
      </c>
      <c r="BX91" s="348" t="str">
        <f>IFERROR('WL (21)'!$S32,"-")</f>
        <v xml:space="preserve">  </v>
      </c>
      <c r="BY91" s="348" t="str">
        <f>IFERROR('WL (22)'!$S32,"-")</f>
        <v xml:space="preserve">  </v>
      </c>
      <c r="BZ91" s="348" t="str">
        <f>IFERROR('WL (23)'!$S32,"-")</f>
        <v xml:space="preserve">  </v>
      </c>
      <c r="CA91" s="348" t="str">
        <f>IFERROR('WL (24)'!$S32,"-")</f>
        <v xml:space="preserve">  </v>
      </c>
      <c r="CB91" s="348" t="str">
        <f>IFERROR('WL (25)'!$S32,"-")</f>
        <v xml:space="preserve">  </v>
      </c>
    </row>
    <row r="92" spans="1:142" x14ac:dyDescent="0.25">
      <c r="A92" s="344">
        <f t="shared" si="129"/>
        <v>19</v>
      </c>
      <c r="B92" s="339">
        <f t="array" ref="B92:Z92">TRANSPOSE('Stn(23)'!D4:D28)</f>
        <v>0</v>
      </c>
      <c r="C92" s="339">
        <v>1.8383333333333332</v>
      </c>
      <c r="D92" s="339">
        <v>4.4466666666666663</v>
      </c>
      <c r="E92" s="339">
        <v>7.4749999999999996</v>
      </c>
      <c r="F92" s="339">
        <v>10.903333333333332</v>
      </c>
      <c r="G92" s="339">
        <v>26.336666666666666</v>
      </c>
      <c r="H92" s="339">
        <v>43.17</v>
      </c>
      <c r="I92" s="339">
        <v>60.336666666666666</v>
      </c>
      <c r="J92" s="339">
        <v>76.214666666666659</v>
      </c>
      <c r="K92" s="339">
        <v>79.236666666666665</v>
      </c>
      <c r="L92" s="339">
        <v>100.09666666666666</v>
      </c>
      <c r="M92" s="339">
        <v>111.62666666666667</v>
      </c>
      <c r="N92" s="339" t="str">
        <v xml:space="preserve"> </v>
      </c>
      <c r="O92" s="339" t="str">
        <v xml:space="preserve"> </v>
      </c>
      <c r="P92" s="339" t="str">
        <v xml:space="preserve"> </v>
      </c>
      <c r="Q92" s="339" t="str">
        <v xml:space="preserve"> </v>
      </c>
      <c r="R92" s="339" t="str">
        <v xml:space="preserve"> </v>
      </c>
      <c r="S92" s="339" t="str">
        <v xml:space="preserve"> </v>
      </c>
      <c r="T92" s="339" t="str">
        <v xml:space="preserve"> </v>
      </c>
      <c r="U92" s="339" t="str">
        <v xml:space="preserve"> </v>
      </c>
      <c r="V92" s="339" t="str">
        <v xml:space="preserve"> </v>
      </c>
      <c r="W92" s="339" t="str">
        <v xml:space="preserve"> </v>
      </c>
      <c r="X92" s="339" t="str">
        <v xml:space="preserve"> </v>
      </c>
      <c r="Y92" s="339" t="str">
        <v xml:space="preserve"> </v>
      </c>
      <c r="Z92" s="339" t="str">
        <v xml:space="preserve"> </v>
      </c>
      <c r="AB92" s="340">
        <f t="shared" si="174"/>
        <v>19</v>
      </c>
      <c r="AC92" s="341">
        <f t="array" ref="AC92:BA92">TRANSPOSE('Stn(23)'!E4:E28)</f>
        <v>0</v>
      </c>
      <c r="AD92" s="341">
        <v>0.50124999999999997</v>
      </c>
      <c r="AE92" s="341">
        <v>2.4799999999999995</v>
      </c>
      <c r="AF92" s="341">
        <v>6.2962499999999988</v>
      </c>
      <c r="AG92" s="341">
        <v>12.279999999999998</v>
      </c>
      <c r="AH92" s="341">
        <v>58.966666666666654</v>
      </c>
      <c r="AI92" s="341">
        <v>143.21333333333334</v>
      </c>
      <c r="AJ92" s="341">
        <v>263.92666666666662</v>
      </c>
      <c r="AK92" s="341">
        <v>404.63963333333322</v>
      </c>
      <c r="AL92" s="341">
        <v>433.64</v>
      </c>
      <c r="AM92" s="341">
        <v>664.51333333333321</v>
      </c>
      <c r="AN92" s="341">
        <v>808.69666666666649</v>
      </c>
      <c r="AO92" s="341" t="str">
        <v xml:space="preserve"> </v>
      </c>
      <c r="AP92" s="341" t="str">
        <v xml:space="preserve"> </v>
      </c>
      <c r="AQ92" s="341" t="str">
        <v xml:space="preserve"> </v>
      </c>
      <c r="AR92" s="341" t="str">
        <v xml:space="preserve"> </v>
      </c>
      <c r="AS92" s="341" t="str">
        <v xml:space="preserve"> </v>
      </c>
      <c r="AT92" s="341" t="str">
        <v xml:space="preserve"> </v>
      </c>
      <c r="AU92" s="341" t="str">
        <v xml:space="preserve"> </v>
      </c>
      <c r="AV92" s="341" t="str">
        <v xml:space="preserve"> </v>
      </c>
      <c r="AW92" s="341" t="str">
        <v xml:space="preserve"> </v>
      </c>
      <c r="AX92" s="341" t="str">
        <v xml:space="preserve"> </v>
      </c>
      <c r="AY92" s="341" t="str">
        <v xml:space="preserve"> </v>
      </c>
      <c r="AZ92" s="341" t="str">
        <v xml:space="preserve"> </v>
      </c>
      <c r="BA92" s="341" t="str">
        <v xml:space="preserve"> </v>
      </c>
      <c r="BC92" s="350" t="s">
        <v>88</v>
      </c>
      <c r="BD92" s="348" t="str">
        <f>IFERROR('WL (1)'!$S33,"-")</f>
        <v>-</v>
      </c>
      <c r="BE92" s="348">
        <f>IFERROR('WL (2)'!$S33,"-")</f>
        <v>0.66153481664606506</v>
      </c>
      <c r="BF92" s="348">
        <f>IFERROR('WL (3)'!$S33,"-")</f>
        <v>0.67867871485943765</v>
      </c>
      <c r="BG92" s="348">
        <f>IFERROR('WL (4)'!$S33,"-")</f>
        <v>0.69181931357281734</v>
      </c>
      <c r="BH92" s="348">
        <f>IFERROR('WL (5)'!$S33,"-")</f>
        <v>0.70255311097191775</v>
      </c>
      <c r="BI92" s="348">
        <f>IFERROR('WL (6)'!$S33,"-")</f>
        <v>0.73379183993018127</v>
      </c>
      <c r="BJ92" s="348">
        <f>IFERROR('WL (7)'!$S33,"-")</f>
        <v>0.75520971612376175</v>
      </c>
      <c r="BK92" s="348">
        <f>IFERROR('WL (8)'!$S33,"-")</f>
        <v>0.77150545456859887</v>
      </c>
      <c r="BL92" s="348">
        <f>IFERROR('WL (9)'!$S33,"-")</f>
        <v>0.7855567129775235</v>
      </c>
      <c r="BM92" s="348">
        <f>IFERROR('WL (10)'!$S33,"-")</f>
        <v>0.78843778340348536</v>
      </c>
      <c r="BN92" s="348">
        <f>IFERROR('WL (11)'!$S33,"-")</f>
        <v>0.80372602362937751</v>
      </c>
      <c r="BO92" s="348">
        <f>IFERROR('WL (12)'!$S33,"-")</f>
        <v>0.81108128348092268</v>
      </c>
      <c r="BP92" s="348" t="str">
        <f>IFERROR('WL (13)'!$S33,"-")</f>
        <v xml:space="preserve">  </v>
      </c>
      <c r="BQ92" s="348" t="str">
        <f>IFERROR('WL (14)'!$S33,"-")</f>
        <v xml:space="preserve">  </v>
      </c>
      <c r="BR92" s="348" t="str">
        <f>IFERROR('WL (15)'!$S33,"-")</f>
        <v xml:space="preserve">  </v>
      </c>
      <c r="BS92" s="348" t="str">
        <f>IFERROR('WL (16)'!$S33,"-")</f>
        <v xml:space="preserve">  </v>
      </c>
      <c r="BT92" s="348" t="str">
        <f>IFERROR('WL (17)'!$S33,"-")</f>
        <v xml:space="preserve">  </v>
      </c>
      <c r="BU92" s="348" t="str">
        <f>IFERROR('WL (18)'!$S33,"-")</f>
        <v xml:space="preserve">  </v>
      </c>
      <c r="BV92" s="348" t="str">
        <f>IFERROR('WL (19)'!$S33,"-")</f>
        <v xml:space="preserve">  </v>
      </c>
      <c r="BW92" s="348" t="str">
        <f>IFERROR('WL (20)'!$S33,"-")</f>
        <v xml:space="preserve">  </v>
      </c>
      <c r="BX92" s="348" t="str">
        <f>IFERROR('WL (21)'!$S33,"-")</f>
        <v xml:space="preserve">  </v>
      </c>
      <c r="BY92" s="348" t="str">
        <f>IFERROR('WL (22)'!$S33,"-")</f>
        <v xml:space="preserve">  </v>
      </c>
      <c r="BZ92" s="348" t="str">
        <f>IFERROR('WL (23)'!$S33,"-")</f>
        <v xml:space="preserve">  </v>
      </c>
      <c r="CA92" s="348" t="str">
        <f>IFERROR('WL (24)'!$S33,"-")</f>
        <v xml:space="preserve">  </v>
      </c>
      <c r="CB92" s="348" t="str">
        <f>IFERROR('WL (25)'!$S33,"-")</f>
        <v xml:space="preserve">  </v>
      </c>
    </row>
    <row r="93" spans="1:142" x14ac:dyDescent="0.25">
      <c r="A93" s="344">
        <f t="shared" si="129"/>
        <v>19.5</v>
      </c>
      <c r="B93" s="339">
        <f t="array" ref="B93:Z93">TRANSPOSE('Stn(24)'!D4:D28)</f>
        <v>0</v>
      </c>
      <c r="C93" s="339">
        <v>0.83250000000000002</v>
      </c>
      <c r="D93" s="339">
        <v>2.3099999999999996</v>
      </c>
      <c r="E93" s="339">
        <v>4.1624999999999996</v>
      </c>
      <c r="F93" s="339">
        <v>6.3299999999999992</v>
      </c>
      <c r="G93" s="339">
        <v>16.366666666666664</v>
      </c>
      <c r="H93" s="339">
        <v>26.583333333333329</v>
      </c>
      <c r="I93" s="339">
        <v>35.566666666666663</v>
      </c>
      <c r="J93" s="339">
        <v>43.505666666666656</v>
      </c>
      <c r="K93" s="339">
        <v>45.084933333333325</v>
      </c>
      <c r="L93" s="339">
        <v>56.133066666666664</v>
      </c>
      <c r="M93" s="339">
        <v>62.953066666666665</v>
      </c>
      <c r="N93" s="339" t="str">
        <v xml:space="preserve"> </v>
      </c>
      <c r="O93" s="339" t="str">
        <v xml:space="preserve"> </v>
      </c>
      <c r="P93" s="339" t="str">
        <v xml:space="preserve"> </v>
      </c>
      <c r="Q93" s="339" t="str">
        <v xml:space="preserve"> </v>
      </c>
      <c r="R93" s="339" t="str">
        <v xml:space="preserve"> </v>
      </c>
      <c r="S93" s="339" t="str">
        <v xml:space="preserve"> </v>
      </c>
      <c r="T93" s="339" t="str">
        <v xml:space="preserve"> </v>
      </c>
      <c r="U93" s="339" t="str">
        <v xml:space="preserve"> </v>
      </c>
      <c r="V93" s="339" t="str">
        <v xml:space="preserve"> </v>
      </c>
      <c r="W93" s="339" t="str">
        <v xml:space="preserve"> </v>
      </c>
      <c r="X93" s="339" t="str">
        <v xml:space="preserve"> </v>
      </c>
      <c r="Y93" s="339" t="str">
        <v xml:space="preserve"> </v>
      </c>
      <c r="Z93" s="339" t="str">
        <v xml:space="preserve"> </v>
      </c>
      <c r="AB93" s="340">
        <f t="shared" si="174"/>
        <v>19.5</v>
      </c>
      <c r="AC93" s="341">
        <f t="array" ref="AC93:BA93">TRANSPOSE('Stn(24)'!E4:E28)</f>
        <v>0</v>
      </c>
      <c r="AD93" s="341">
        <v>0.24187500000000001</v>
      </c>
      <c r="AE93" s="341">
        <v>1.3699999999999997</v>
      </c>
      <c r="AF93" s="341">
        <v>3.7068749999999997</v>
      </c>
      <c r="AG93" s="341">
        <v>7.5</v>
      </c>
      <c r="AH93" s="341">
        <v>37.836666666666659</v>
      </c>
      <c r="AI93" s="341">
        <v>88.75333333333333</v>
      </c>
      <c r="AJ93" s="341">
        <v>152.02333333333331</v>
      </c>
      <c r="AK93" s="341">
        <v>222.3653666666666</v>
      </c>
      <c r="AL93" s="341">
        <v>237.07599999999999</v>
      </c>
      <c r="AM93" s="341">
        <v>360.19399999999996</v>
      </c>
      <c r="AN93" s="341">
        <v>445.51733333333328</v>
      </c>
      <c r="AO93" s="341" t="str">
        <v xml:space="preserve"> </v>
      </c>
      <c r="AP93" s="341" t="str">
        <v xml:space="preserve"> </v>
      </c>
      <c r="AQ93" s="341" t="str">
        <v xml:space="preserve"> </v>
      </c>
      <c r="AR93" s="341" t="str">
        <v xml:space="preserve"> </v>
      </c>
      <c r="AS93" s="341" t="str">
        <v xml:space="preserve"> </v>
      </c>
      <c r="AT93" s="341" t="str">
        <v xml:space="preserve"> </v>
      </c>
      <c r="AU93" s="341" t="str">
        <v xml:space="preserve"> </v>
      </c>
      <c r="AV93" s="341" t="str">
        <v xml:space="preserve"> </v>
      </c>
      <c r="AW93" s="341" t="str">
        <v xml:space="preserve"> </v>
      </c>
      <c r="AX93" s="341" t="str">
        <v xml:space="preserve"> </v>
      </c>
      <c r="AY93" s="341" t="str">
        <v xml:space="preserve"> </v>
      </c>
      <c r="AZ93" s="341" t="str">
        <v xml:space="preserve"> </v>
      </c>
      <c r="BA93" s="341" t="str">
        <v xml:space="preserve"> </v>
      </c>
    </row>
    <row r="94" spans="1:142" x14ac:dyDescent="0.25">
      <c r="A94" s="344">
        <f t="shared" si="129"/>
        <v>20</v>
      </c>
      <c r="B94" s="339">
        <f t="array" ref="B94:Z94">TRANSPOSE('Stn(25)'!D4:D28)</f>
        <v>0</v>
      </c>
      <c r="C94" s="339">
        <v>0.47499999999999998</v>
      </c>
      <c r="D94" s="339">
        <v>1.5</v>
      </c>
      <c r="E94" s="339">
        <v>2.8183333333333329</v>
      </c>
      <c r="F94" s="339">
        <v>4.3166666666666664</v>
      </c>
      <c r="G94" s="339">
        <v>9.6866666666666656</v>
      </c>
      <c r="H94" s="339">
        <v>12.996666666666666</v>
      </c>
      <c r="I94" s="339">
        <v>13.953333333333333</v>
      </c>
      <c r="J94" s="339">
        <v>14.089333333333332</v>
      </c>
      <c r="K94" s="339">
        <v>14.129999999999999</v>
      </c>
      <c r="L94" s="339">
        <v>15.286666666666667</v>
      </c>
      <c r="M94" s="339">
        <v>17.716666666666669</v>
      </c>
      <c r="N94" s="339" t="str">
        <v xml:space="preserve"> </v>
      </c>
      <c r="O94" s="339" t="str">
        <v xml:space="preserve"> </v>
      </c>
      <c r="P94" s="339" t="str">
        <v xml:space="preserve"> </v>
      </c>
      <c r="Q94" s="339" t="str">
        <v xml:space="preserve"> </v>
      </c>
      <c r="R94" s="339" t="str">
        <v xml:space="preserve"> </v>
      </c>
      <c r="S94" s="339" t="str">
        <v xml:space="preserve"> </v>
      </c>
      <c r="T94" s="339" t="str">
        <v xml:space="preserve"> </v>
      </c>
      <c r="U94" s="339" t="str">
        <v xml:space="preserve"> </v>
      </c>
      <c r="V94" s="339" t="str">
        <v xml:space="preserve"> </v>
      </c>
      <c r="W94" s="339" t="str">
        <v xml:space="preserve"> </v>
      </c>
      <c r="X94" s="339" t="str">
        <v xml:space="preserve"> </v>
      </c>
      <c r="Y94" s="339" t="str">
        <v xml:space="preserve"> </v>
      </c>
      <c r="Z94" s="339" t="str">
        <v xml:space="preserve"> </v>
      </c>
      <c r="AB94" s="340">
        <f t="shared" si="174"/>
        <v>20</v>
      </c>
      <c r="AC94" s="341">
        <f t="array" ref="AC94:BA94">TRANSPOSE('Stn(25)'!E4:E28)</f>
        <v>0</v>
      </c>
      <c r="AD94" s="341">
        <v>0.14791666666666667</v>
      </c>
      <c r="AE94" s="341">
        <v>0.93333333333333324</v>
      </c>
      <c r="AF94" s="341">
        <v>2.5962499999999999</v>
      </c>
      <c r="AG94" s="341">
        <v>5.2133333333333329</v>
      </c>
      <c r="AH94" s="341">
        <v>21.049999999999997</v>
      </c>
      <c r="AI94" s="341">
        <v>37.186666666666667</v>
      </c>
      <c r="AJ94" s="341">
        <v>43.876666666666665</v>
      </c>
      <c r="AK94" s="341">
        <v>45.041733333333333</v>
      </c>
      <c r="AL94" s="341">
        <v>45</v>
      </c>
      <c r="AM94" s="341">
        <v>59.129999999999995</v>
      </c>
      <c r="AN94" s="341">
        <v>89.643333333333317</v>
      </c>
      <c r="AO94" s="341" t="str">
        <v xml:space="preserve"> </v>
      </c>
      <c r="AP94" s="341" t="str">
        <v xml:space="preserve"> </v>
      </c>
      <c r="AQ94" s="341" t="str">
        <v xml:space="preserve"> </v>
      </c>
      <c r="AR94" s="341" t="str">
        <v xml:space="preserve"> </v>
      </c>
      <c r="AS94" s="341" t="str">
        <v xml:space="preserve"> </v>
      </c>
      <c r="AT94" s="341" t="str">
        <v xml:space="preserve"> </v>
      </c>
      <c r="AU94" s="341" t="str">
        <v xml:space="preserve"> </v>
      </c>
      <c r="AV94" s="341" t="str">
        <v xml:space="preserve"> </v>
      </c>
      <c r="AW94" s="341" t="str">
        <v xml:space="preserve"> </v>
      </c>
      <c r="AX94" s="341" t="str">
        <v xml:space="preserve"> </v>
      </c>
      <c r="AY94" s="341" t="str">
        <v xml:space="preserve"> </v>
      </c>
      <c r="AZ94" s="341" t="str">
        <v xml:space="preserve"> </v>
      </c>
      <c r="BA94" s="341" t="str">
        <v xml:space="preserve"> </v>
      </c>
    </row>
    <row r="96" spans="1:142" ht="23.25" x14ac:dyDescent="0.35">
      <c r="A96" s="134" t="s">
        <v>264</v>
      </c>
      <c r="B96" s="430" t="str">
        <f>IF(ISNUMBER(CP154),CONCATENATE(X_SHIFT_BP,",",(CP154*WLS)," ",IF(BF3&gt;0,CONCATENATE("T ",Tools!X_SHIFT_BP,",0 "),"")),"")</f>
        <v xml:space="preserve">168.91,7 </v>
      </c>
      <c r="C96" s="430" t="str">
        <f>IF(ISNUMBER(CQ154),CONCATENATE(X_SHIFT_BP,",",(CQ154*WLS)," ",IF(BG3&gt;0,CONCATENATE("T ",Tools!X_SHIFT_BP,",0 "),"")),"")</f>
        <v/>
      </c>
      <c r="D96" s="430" t="str">
        <f>IF(ISNUMBER(CR154),CONCATENATE(X_SHIFT_BP,",",(CR154*WLS)," ",IF(BH3&gt;0,CONCATENATE("T ",Tools!X_SHIFT_BP,",0 "),"")),"")</f>
        <v/>
      </c>
      <c r="E96" s="430" t="str">
        <f>IF(ISNUMBER(CS154),CONCATENATE(X_SHIFT_BP,",",(CS154*WLS)," ",IF(BI3&gt;0,CONCATENATE("T ",Tools!X_SHIFT_BP,",0 "),"")),"")</f>
        <v/>
      </c>
      <c r="F96" s="430" t="str">
        <f>IF(ISNUMBER(CT154),CONCATENATE(X_SHIFT_BP,",",(CT154*WLS)," ",IF(BJ3&gt;0,CONCATENATE("T ",Tools!X_SHIFT_BP,",0 "),"")),"")</f>
        <v/>
      </c>
      <c r="G96" s="430" t="str">
        <f>IF(ISNUMBER(CU154),CONCATENATE(X_SHIFT_BP,",",(CU154*WLS)," ",IF(BK3&gt;0,CONCATENATE("T ",Tools!X_SHIFT_BP,",0 "),"")),"")</f>
        <v/>
      </c>
      <c r="H96" s="430" t="str">
        <f>IF(ISNUMBER(CV154),CONCATENATE(X_SHIFT_BP,",",(CV154*WLS)," ",IF(BL3&gt;0,CONCATENATE("T ",Tools!X_SHIFT_BP,",0 "),"")),"")</f>
        <v/>
      </c>
      <c r="I96" s="430" t="str">
        <f>IF(ISNUMBER(CW154),CONCATENATE(X_SHIFT_BP,",",(CW154*WLS)," ",IF(BM3&gt;0,CONCATENATE("T ",Tools!X_SHIFT_BP,",0 "),"")),"")</f>
        <v/>
      </c>
      <c r="J96" s="430" t="str">
        <f>IF(ISNUMBER(CX154),CONCATENATE(X_SHIFT_BP,",",(CX154*WLS)," ",IF(BN3&gt;0,CONCATENATE("T ",Tools!X_SHIFT_BP,",0 "),"")),"")</f>
        <v/>
      </c>
      <c r="K96" s="430" t="str">
        <f>IF(ISNUMBER(CY154),CONCATENATE(X_SHIFT_BP,",",(CY154*WLS)," ",IF(BO3&gt;0,CONCATENATE("T ",Tools!X_SHIFT_BP,",0 "),"")),"")</f>
        <v/>
      </c>
      <c r="L96" s="430" t="str">
        <f>IF(ISNUMBER(CZ154),CONCATENATE(X_SHIFT_BP,",",(CZ154*WLS)," ",IF(BP3&gt;0,CONCATENATE("T ",Tools!X_SHIFT_BP,",0 "),"")),"")</f>
        <v/>
      </c>
      <c r="M96" s="430" t="str">
        <f>IF(ISNUMBER(DA154),CONCATENATE(X_SHIFT_BP,",",(DA154*WLS)," ",IF(BQ3&gt;0,CONCATENATE("T ",Tools!X_SHIFT_BP,",0 "),"")),"")</f>
        <v/>
      </c>
      <c r="N96" s="430" t="str">
        <f>IF(ISNUMBER(DB154),CONCATENATE(X_SHIFT_BP,",",(DB154*WLS)," ",IF(BR3&gt;0,CONCATENATE("T ",Tools!X_SHIFT_BP,",0 "),"")),"")</f>
        <v/>
      </c>
      <c r="O96" s="430" t="str">
        <f>IF(ISNUMBER(DC154),CONCATENATE(X_SHIFT_BP,",",(DC154*WLS)," ",IF(BS3&gt;0,CONCATENATE("T ",Tools!X_SHIFT_BP,",0 "),"")),"")</f>
        <v/>
      </c>
      <c r="P96" s="430" t="str">
        <f>IF(ISNUMBER(DD154),CONCATENATE(X_SHIFT_BP,",",(DD154*WLS)," ",IF(BT3&gt;0,CONCATENATE("T ",Tools!X_SHIFT_BP,",0 "),"")),"")</f>
        <v/>
      </c>
      <c r="Q96" s="430" t="str">
        <f>IF(ISNUMBER(DE154),CONCATENATE(X_SHIFT_BP,",",(DE154*WLS)," ",IF(BU3&gt;0,CONCATENATE("T ",Tools!X_SHIFT_BP,",0 "),"")),"")</f>
        <v/>
      </c>
      <c r="R96" s="430" t="str">
        <f>IF(ISNUMBER(DF154),CONCATENATE(X_SHIFT_BP,",",(DF154*WLS)," ",IF(BV3&gt;0,CONCATENATE("T ",Tools!X_SHIFT_BP,",0 "),"")),"")</f>
        <v/>
      </c>
      <c r="S96" s="430" t="str">
        <f>IF(ISNUMBER(DG154),CONCATENATE(X_SHIFT_BP,",",(DG154*WLS)," ",IF(BW3&gt;0,CONCATENATE("T ",Tools!X_SHIFT_BP,",0 "),"")),"")</f>
        <v/>
      </c>
      <c r="T96" s="430" t="str">
        <f>IF(ISNUMBER(DH154),CONCATENATE(X_SHIFT_BP,",",(DH154*WLS)," ",IF(BX3&gt;0,CONCATENATE("T ",Tools!X_SHIFT_BP,",0 "),"")),"")</f>
        <v/>
      </c>
      <c r="U96" s="430" t="str">
        <f>IF(ISNUMBER(DI154),CONCATENATE(X_SHIFT_BP,",",(DI154*WLS)," ",IF(BY3&gt;0,CONCATENATE("T ",Tools!X_SHIFT_BP,",0 "),"")),"")</f>
        <v/>
      </c>
      <c r="V96" s="430" t="str">
        <f>IF(ISNUMBER(DJ154),CONCATENATE(X_SHIFT_BP,",",(DJ154*WLS)," ",IF(BZ3&gt;0,CONCATENATE("T ",Tools!X_SHIFT_BP,",0 "),"")),"")</f>
        <v/>
      </c>
      <c r="W96" s="430" t="str">
        <f>IF(ISNUMBER(DK154),CONCATENATE(X_SHIFT_BP,",",(DK154*WLS)," ",IF(CA3&gt;0,CONCATENATE("T ",Tools!X_SHIFT_BP,",0 "),"")),"")</f>
        <v/>
      </c>
      <c r="X96" s="430" t="str">
        <f>IF(ISNUMBER(DL154),CONCATENATE(X_SHIFT_BP,",",(DL154*WLS)," ",IF(CB3&gt;0,CONCATENATE("T ",Tools!X_SHIFT_BP,",0 "),"")),"")</f>
        <v/>
      </c>
      <c r="Y96" s="430" t="str">
        <f>IF(ISNUMBER(DM154),CONCATENATE(X_SHIFT_BP,",",(DM154*WLS)," ",IF(CC3&gt;0,CONCATENATE("T ",Tools!X_SHIFT_BP,",0 "),"")),"")</f>
        <v/>
      </c>
      <c r="Z96" s="430" t="str">
        <f>IF(ISNUMBER(DN154),CONCATENATE(X_SHIFT_BP,",",(DN154*WLS)," ",IF(CD3&gt;0,CONCATENATE("T ",Tools!X_SHIFT_BP,",0 "),"")),"")</f>
        <v/>
      </c>
      <c r="AB96" t="s">
        <v>159</v>
      </c>
      <c r="AC96" t="s">
        <v>159</v>
      </c>
      <c r="AD96" t="s">
        <v>159</v>
      </c>
      <c r="AE96" s="376" t="s">
        <v>265</v>
      </c>
      <c r="AF96"/>
      <c r="AG96"/>
      <c r="AH96"/>
      <c r="AI96"/>
      <c r="AJ96"/>
      <c r="AK96"/>
      <c r="AL96"/>
      <c r="AM96"/>
      <c r="AN96"/>
      <c r="AO96"/>
      <c r="AP96"/>
      <c r="AQ96"/>
      <c r="AR96"/>
      <c r="AS96"/>
      <c r="AT96"/>
      <c r="AU96"/>
      <c r="AV96"/>
      <c r="AW96"/>
      <c r="AX96"/>
      <c r="AY96"/>
      <c r="AZ96"/>
      <c r="BA96"/>
      <c r="BX96" s="132">
        <f ca="1">COUNTIF(BP_1,NA())</f>
        <v>7</v>
      </c>
    </row>
    <row r="97" spans="1:167" ht="23.25" x14ac:dyDescent="0.35">
      <c r="A97" s="377" t="str">
        <f>AD2</f>
        <v>STN/WL</v>
      </c>
      <c r="B97" s="377">
        <f t="shared" ref="B97:Z97" si="179">BF2</f>
        <v>0</v>
      </c>
      <c r="C97" s="377">
        <f t="shared" si="179"/>
        <v>0.5</v>
      </c>
      <c r="D97" s="377">
        <f t="shared" si="179"/>
        <v>1</v>
      </c>
      <c r="E97" s="377">
        <f t="shared" si="179"/>
        <v>1.5</v>
      </c>
      <c r="F97" s="377">
        <f t="shared" si="179"/>
        <v>2</v>
      </c>
      <c r="G97" s="377">
        <f t="shared" si="179"/>
        <v>3</v>
      </c>
      <c r="H97" s="377">
        <f t="shared" si="179"/>
        <v>4</v>
      </c>
      <c r="I97" s="377">
        <f t="shared" si="179"/>
        <v>5</v>
      </c>
      <c r="J97" s="377">
        <f t="shared" si="179"/>
        <v>6</v>
      </c>
      <c r="K97" s="377">
        <f t="shared" si="179"/>
        <v>7</v>
      </c>
      <c r="L97" s="377">
        <f t="shared" si="179"/>
        <v>8</v>
      </c>
      <c r="M97" s="377">
        <f t="shared" si="179"/>
        <v>9</v>
      </c>
      <c r="N97" s="377">
        <f t="shared" si="179"/>
        <v>10</v>
      </c>
      <c r="O97" s="377">
        <f t="shared" si="179"/>
        <v>11</v>
      </c>
      <c r="P97" s="377">
        <f t="shared" si="179"/>
        <v>12</v>
      </c>
      <c r="Q97" s="377">
        <f t="shared" si="179"/>
        <v>13</v>
      </c>
      <c r="R97" s="377">
        <f t="shared" si="179"/>
        <v>14</v>
      </c>
      <c r="S97" s="377">
        <f t="shared" si="179"/>
        <v>15</v>
      </c>
      <c r="T97" s="377">
        <f t="shared" si="179"/>
        <v>16</v>
      </c>
      <c r="U97" s="377">
        <f t="shared" si="179"/>
        <v>17</v>
      </c>
      <c r="V97" s="377">
        <f t="shared" si="179"/>
        <v>18</v>
      </c>
      <c r="W97" s="377">
        <f t="shared" si="179"/>
        <v>18.5</v>
      </c>
      <c r="X97" s="377">
        <f t="shared" si="179"/>
        <v>19</v>
      </c>
      <c r="Y97" s="377">
        <f t="shared" si="179"/>
        <v>19.5</v>
      </c>
      <c r="Z97" s="377">
        <f t="shared" si="179"/>
        <v>20</v>
      </c>
      <c r="AB97"/>
      <c r="AC97"/>
      <c r="AD97"/>
      <c r="AE97" s="378"/>
      <c r="AF97"/>
      <c r="AG97"/>
      <c r="AH97"/>
      <c r="AI97"/>
      <c r="AJ97"/>
      <c r="AK97"/>
      <c r="AL97"/>
      <c r="AM97"/>
      <c r="AN97"/>
      <c r="AO97"/>
      <c r="AP97"/>
      <c r="AQ97"/>
      <c r="AR97"/>
      <c r="AS97"/>
      <c r="AT97"/>
      <c r="AU97"/>
      <c r="AV97"/>
      <c r="AW97"/>
      <c r="AX97"/>
      <c r="AY97"/>
      <c r="AZ97"/>
      <c r="BA97"/>
      <c r="BC97" s="379"/>
      <c r="BD97" s="379" t="str">
        <f>Tools!AD2</f>
        <v>STN/WL</v>
      </c>
      <c r="BE97" s="379">
        <f>IFERROR(Tools!AE2*WLS,NA())</f>
        <v>0</v>
      </c>
      <c r="BF97" s="379">
        <f>IFERROR(Tools!AF2*WLS,NA())</f>
        <v>0.5</v>
      </c>
      <c r="BG97" s="379">
        <f>IFERROR(Tools!AG2*WLS,NA())</f>
        <v>1</v>
      </c>
      <c r="BH97" s="379">
        <f>IFERROR(Tools!AH2*WLS,NA())</f>
        <v>1.5</v>
      </c>
      <c r="BI97" s="379">
        <f>IFERROR(Tools!AI2*WLS,NA())</f>
        <v>2</v>
      </c>
      <c r="BJ97" s="379">
        <f>IFERROR(Tools!AJ2*WLS,NA())</f>
        <v>4</v>
      </c>
      <c r="BK97" s="379">
        <f>IFERROR(Tools!AK2*WLS,NA())</f>
        <v>6</v>
      </c>
      <c r="BL97" s="379">
        <f>IFERROR(Tools!AL2*WLS,NA())</f>
        <v>8</v>
      </c>
      <c r="BM97" s="379">
        <f>IFERROR(Tools!AM2*WLS,NA())</f>
        <v>9.6999999999999993</v>
      </c>
      <c r="BN97" s="379">
        <f>IFERROR(Tools!AN2*WLS,NA())</f>
        <v>10</v>
      </c>
      <c r="BO97" s="379">
        <f>IFERROR(Tools!AO2*WLS,NA())</f>
        <v>12</v>
      </c>
      <c r="BP97" s="379">
        <f>IFERROR(Tools!AP2*WLS,NA())</f>
        <v>13</v>
      </c>
      <c r="BQ97" s="379" t="e">
        <f>IFERROR(Tools!AQ2*WLS,NA())</f>
        <v>#N/A</v>
      </c>
      <c r="BR97" s="379" t="e">
        <f>IFERROR(Tools!AR2*WLS,NA())</f>
        <v>#N/A</v>
      </c>
      <c r="BS97" s="379" t="e">
        <f>IFERROR(Tools!AS2*WLS,NA())</f>
        <v>#N/A</v>
      </c>
      <c r="BT97" s="379" t="e">
        <f>IFERROR(Tools!AT2*WLS,NA())</f>
        <v>#N/A</v>
      </c>
      <c r="BU97" s="379" t="e">
        <f>IFERROR(Tools!AU2*WLS,NA())</f>
        <v>#N/A</v>
      </c>
      <c r="BV97" s="379" t="e">
        <f>IFERROR(Tools!AV2*WLS,NA())</f>
        <v>#N/A</v>
      </c>
      <c r="BW97" s="379" t="e">
        <f>IFERROR(Tools!AW2*WLS,NA())</f>
        <v>#N/A</v>
      </c>
      <c r="BX97" s="379" t="e">
        <f>IFERROR(Tools!AX2*WLS,NA())</f>
        <v>#N/A</v>
      </c>
      <c r="BY97" s="379" t="e">
        <f>IFERROR(Tools!AY2*WLS,NA())</f>
        <v>#N/A</v>
      </c>
      <c r="BZ97" s="379" t="e">
        <f>IFERROR(Tools!AZ2*WLS,NA())</f>
        <v>#N/A</v>
      </c>
      <c r="CA97" s="379" t="e">
        <f>IFERROR(Tools!BA2*WLS,NA())</f>
        <v>#N/A</v>
      </c>
      <c r="CB97" s="379" t="e">
        <f>IFERROR(Tools!BB2*WLS,NA())</f>
        <v>#N/A</v>
      </c>
      <c r="CC97" s="379" t="e">
        <f>IFERROR(Tools!BC2*WLS,NA())</f>
        <v>#N/A</v>
      </c>
      <c r="CE97" s="429"/>
      <c r="CF97" s="429"/>
      <c r="CG97" s="429"/>
      <c r="CH97" s="429"/>
      <c r="CI97" s="429"/>
      <c r="CJ97" s="429"/>
      <c r="CK97" s="429"/>
      <c r="CL97" s="429"/>
      <c r="CM97" s="429"/>
      <c r="CN97" s="429"/>
      <c r="CO97" s="429"/>
      <c r="CP97" s="429"/>
      <c r="CQ97" s="429"/>
      <c r="CR97" s="429"/>
      <c r="CS97" s="429"/>
      <c r="CT97" s="429"/>
      <c r="CU97" s="429"/>
      <c r="CV97" s="429"/>
      <c r="CW97" s="429"/>
      <c r="CX97" s="429"/>
      <c r="CY97" s="429"/>
      <c r="CZ97" s="429"/>
      <c r="DA97" s="429"/>
      <c r="DB97" s="429"/>
      <c r="DC97" s="429"/>
      <c r="DD97" s="429"/>
      <c r="DE97" s="429"/>
      <c r="DF97" s="429"/>
      <c r="DG97" s="429"/>
      <c r="DH97" s="429"/>
      <c r="DI97" s="429"/>
      <c r="DJ97" s="429" t="s">
        <v>100</v>
      </c>
      <c r="DK97" s="429">
        <f t="shared" ref="DK97:DK122" si="180">BE97</f>
        <v>0</v>
      </c>
      <c r="DL97" s="429">
        <f t="shared" ref="DL97:DL122" si="181">BF97</f>
        <v>0.5</v>
      </c>
      <c r="DM97" s="429">
        <f t="shared" ref="DM97:DM122" si="182">BG97</f>
        <v>1</v>
      </c>
      <c r="DN97" s="429">
        <f t="shared" ref="DN97:DN122" si="183">BH97</f>
        <v>1.5</v>
      </c>
      <c r="DO97" s="429">
        <f t="shared" ref="DO97:DO122" si="184">BI97</f>
        <v>2</v>
      </c>
      <c r="DP97" s="429">
        <f t="shared" ref="DP97:DP122" si="185">BJ97</f>
        <v>4</v>
      </c>
      <c r="DQ97" s="429">
        <f t="shared" ref="DQ97:DQ122" si="186">BK97</f>
        <v>6</v>
      </c>
      <c r="DR97" s="429">
        <f t="shared" ref="DR97:DR122" si="187">BL97</f>
        <v>8</v>
      </c>
      <c r="DS97" s="429">
        <f t="shared" ref="DS97:DS122" si="188">BM97</f>
        <v>9.6999999999999993</v>
      </c>
      <c r="DT97" s="429">
        <f t="shared" ref="DT97:DT122" si="189">BN97</f>
        <v>10</v>
      </c>
      <c r="DU97" s="429">
        <f t="shared" ref="DU97:DU122" si="190">BO97</f>
        <v>12</v>
      </c>
      <c r="DV97" s="429">
        <f t="shared" ref="DV97:DV122" si="191">BP97</f>
        <v>13</v>
      </c>
      <c r="DW97" s="429" t="e">
        <f t="shared" ref="DW97:DW122" si="192">BQ97</f>
        <v>#N/A</v>
      </c>
      <c r="DX97" s="429" t="e">
        <f t="shared" ref="DX97:DX122" si="193">BR97</f>
        <v>#N/A</v>
      </c>
      <c r="DY97" s="429" t="e">
        <f t="shared" ref="DY97:DY122" si="194">BS97</f>
        <v>#N/A</v>
      </c>
      <c r="DZ97" s="429" t="e">
        <f t="shared" ref="DZ97:DZ122" si="195">BT97</f>
        <v>#N/A</v>
      </c>
      <c r="EA97" s="429" t="e">
        <f t="shared" ref="EA97:EA122" si="196">BU97</f>
        <v>#N/A</v>
      </c>
      <c r="EB97" s="429" t="e">
        <f t="shared" ref="EB97:EB122" si="197">BV97</f>
        <v>#N/A</v>
      </c>
      <c r="EC97" s="429" t="e">
        <f t="shared" ref="EC97:EC122" si="198">BW97</f>
        <v>#N/A</v>
      </c>
      <c r="ED97" s="429" t="e">
        <f t="shared" ref="ED97:ED122" si="199">BX97</f>
        <v>#N/A</v>
      </c>
      <c r="EE97" s="429" t="e">
        <f t="shared" ref="EE97:EE122" si="200">BY97</f>
        <v>#N/A</v>
      </c>
      <c r="EF97" s="429" t="e">
        <f t="shared" ref="EF97:EF122" si="201">BZ97</f>
        <v>#N/A</v>
      </c>
      <c r="EG97" s="429" t="e">
        <f t="shared" ref="EG97:EG122" si="202">CA97</f>
        <v>#N/A</v>
      </c>
      <c r="EH97" s="429" t="e">
        <f t="shared" ref="EH97:EH122" si="203">CB97</f>
        <v>#N/A</v>
      </c>
      <c r="EI97" s="429" t="e">
        <f t="shared" ref="EI97:EI122" si="204">CC97</f>
        <v>#N/A</v>
      </c>
      <c r="EJ97" s="429"/>
      <c r="EK97" s="429"/>
      <c r="EL97" s="460" t="str">
        <f>DJ97</f>
        <v>Rise</v>
      </c>
      <c r="EM97" s="460">
        <f t="shared" ref="EM97:FK97" si="205">DK97</f>
        <v>0</v>
      </c>
      <c r="EN97" s="460">
        <f t="shared" si="205"/>
        <v>0.5</v>
      </c>
      <c r="EO97" s="460">
        <f t="shared" si="205"/>
        <v>1</v>
      </c>
      <c r="EP97" s="460">
        <f t="shared" si="205"/>
        <v>1.5</v>
      </c>
      <c r="EQ97" s="460">
        <f t="shared" si="205"/>
        <v>2</v>
      </c>
      <c r="ER97" s="460">
        <f t="shared" si="205"/>
        <v>4</v>
      </c>
      <c r="ES97" s="460">
        <f t="shared" si="205"/>
        <v>6</v>
      </c>
      <c r="ET97" s="460">
        <f t="shared" si="205"/>
        <v>8</v>
      </c>
      <c r="EU97" s="460">
        <f t="shared" si="205"/>
        <v>9.6999999999999993</v>
      </c>
      <c r="EV97" s="460">
        <f t="shared" si="205"/>
        <v>10</v>
      </c>
      <c r="EW97" s="460">
        <f t="shared" si="205"/>
        <v>12</v>
      </c>
      <c r="EX97" s="460">
        <f t="shared" si="205"/>
        <v>13</v>
      </c>
      <c r="EY97" s="460" t="e">
        <f t="shared" si="205"/>
        <v>#N/A</v>
      </c>
      <c r="EZ97" s="460" t="e">
        <f t="shared" si="205"/>
        <v>#N/A</v>
      </c>
      <c r="FA97" s="460" t="e">
        <f t="shared" si="205"/>
        <v>#N/A</v>
      </c>
      <c r="FB97" s="460" t="e">
        <f t="shared" si="205"/>
        <v>#N/A</v>
      </c>
      <c r="FC97" s="460" t="e">
        <f t="shared" si="205"/>
        <v>#N/A</v>
      </c>
      <c r="FD97" s="460" t="e">
        <f t="shared" si="205"/>
        <v>#N/A</v>
      </c>
      <c r="FE97" s="460" t="e">
        <f t="shared" si="205"/>
        <v>#N/A</v>
      </c>
      <c r="FF97" s="460" t="e">
        <f t="shared" si="205"/>
        <v>#N/A</v>
      </c>
      <c r="FG97" s="460" t="e">
        <f t="shared" si="205"/>
        <v>#N/A</v>
      </c>
      <c r="FH97" s="460" t="e">
        <f t="shared" si="205"/>
        <v>#N/A</v>
      </c>
      <c r="FI97" s="460" t="e">
        <f t="shared" si="205"/>
        <v>#N/A</v>
      </c>
      <c r="FJ97" s="460" t="e">
        <f t="shared" si="205"/>
        <v>#N/A</v>
      </c>
      <c r="FK97" s="460" t="e">
        <f t="shared" si="205"/>
        <v>#N/A</v>
      </c>
    </row>
    <row r="98" spans="1:167" x14ac:dyDescent="0.25">
      <c r="A98" s="377">
        <f t="shared" ref="A98:A122" si="206">BE3</f>
        <v>0</v>
      </c>
      <c r="B98" s="380" t="str">
        <f>IFERROR(IF(ISERROR(CP127),"",CONCATENATE(ROUND(X_SHIFT_BP+IF(Tools!B$97&lt;=Tools!$D$47/2,-BF3,BF3),3),",",ROUND(WLS*$AP39,3)," ")),"")</f>
        <v/>
      </c>
      <c r="C98" s="380" t="str">
        <f>IFERROR(IF(ISERROR(CQ127),"",CONCATENATE(ROUND(X_SHIFT_BP+IF(Tools!C$97&lt;=Tools!$D$47/2,-BG3,BG3),3),",",ROUND(WLS*$AP39,3)," ")),"")</f>
        <v xml:space="preserve">168.81,0 </v>
      </c>
      <c r="D98" s="380" t="str">
        <f>IFERROR(IF(ISERROR(CR127),"",CONCATENATE(ROUND(X_SHIFT_BP+IF(Tools!D$97&lt;=Tools!$D$47/2,-BH3,BH3),3),",",ROUND(WLS*$AP39,3)," ")),"")</f>
        <v xml:space="preserve">168.61,0 </v>
      </c>
      <c r="E98" s="380" t="str">
        <f>IFERROR(IF(ISERROR(CS127),"",CONCATENATE(ROUND(X_SHIFT_BP+IF(Tools!E$97&lt;=Tools!$D$47/2,-BI3,BI3),3),",",ROUND(WLS*$AP39,3)," ")),"")</f>
        <v xml:space="preserve">168.41,0 </v>
      </c>
      <c r="F98" s="380" t="str">
        <f>IFERROR(IF(ISERROR(CT127),"",CONCATENATE(ROUND(X_SHIFT_BP+IF(Tools!F$97&lt;=Tools!$D$47/2,-BJ3,BJ3),3),",",ROUND(WLS*$AP39,3)," ")),"")</f>
        <v xml:space="preserve">168.01,0 </v>
      </c>
      <c r="G98" s="380" t="str">
        <f>IFERROR(IF(ISERROR(CU127),"",CONCATENATE(ROUND(X_SHIFT_BP+IF(Tools!G$97&lt;=Tools!$D$47/2,-BK3,BK3),3),",",ROUND(WLS*$AP39,3)," ")),"")</f>
        <v xml:space="preserve">167.01,0 </v>
      </c>
      <c r="H98" s="380" t="str">
        <f>IFERROR(IF(ISERROR(CV127),"",CONCATENATE(ROUND(X_SHIFT_BP+IF(Tools!H$97&lt;=Tools!$D$47/2,-BL3,BL3),3),",",ROUND(WLS*$AP39,3)," ")),"")</f>
        <v xml:space="preserve">165.11,0 </v>
      </c>
      <c r="I98" s="380" t="str">
        <f>IFERROR(IF(ISERROR(CW127),"",CONCATENATE(ROUND(X_SHIFT_BP+IF(Tools!I$97&lt;=Tools!$D$47/2,-BM3,BM3),3),",",ROUND(WLS*$AP39,3)," ")),"")</f>
        <v xml:space="preserve">163.01,0 </v>
      </c>
      <c r="J98" s="380" t="str">
        <f>IFERROR(IF(ISERROR(CX127),"",CONCATENATE(ROUND(X_SHIFT_BP+IF(Tools!J$97&lt;=Tools!$D$47/2,-BN3,BN3),3),",",ROUND(WLS*$AP39,3)," ")),"")</f>
        <v xml:space="preserve">161.01,0 </v>
      </c>
      <c r="K98" s="380" t="str">
        <f>IFERROR(IF(ISERROR(CY127),"",CONCATENATE(ROUND(X_SHIFT_BP+IF(Tools!K$97&lt;=Tools!$D$47/2,-BO3,BO3),3),",",ROUND(WLS*$AP39,3)," ")),"")</f>
        <v xml:space="preserve">159.91,0 </v>
      </c>
      <c r="L98" s="380" t="str">
        <f>IFERROR(IF(ISERROR(CZ127),"",CONCATENATE(ROUND(X_SHIFT_BP+IF(Tools!L$97&lt;=Tools!$D$47/2,-BP3,BP3),3),",",ROUND(WLS*$AP39,3)," ")),"")</f>
        <v xml:space="preserve">159.41,0 </v>
      </c>
      <c r="M98" s="380" t="str">
        <f>IFERROR(IF(ISERROR(DA127),"",CONCATENATE(ROUND(X_SHIFT_BP+IF(Tools!M$97&lt;=Tools!$D$47/2,-BQ3,BQ3),3),",",ROUND(WLS*$AP39,3)," ")),"")</f>
        <v xml:space="preserve">159.21,0 </v>
      </c>
      <c r="N98" s="380" t="str">
        <f>IFERROR(IF(ISERROR(DB127),"",CONCATENATE(ROUND(X_SHIFT_BP+IF(Tools!N$97&lt;=Tools!$D$47/2,-BR3,BR3),3),",",ROUND(WLS*$AP39,3)," ")),"")</f>
        <v xml:space="preserve">159.21,0 </v>
      </c>
      <c r="O98" s="380" t="str">
        <f>IFERROR(IF(ISERROR(DC127),"",CONCATENATE(ROUND(X_SHIFT_BP+IF(Tools!O$97&lt;=Tools!$D$47/2,-BS3,BS3),3),",",ROUND(WLS*$AP39,3)," ")),"")</f>
        <v xml:space="preserve">178.61,0 </v>
      </c>
      <c r="P98" s="380" t="str">
        <f>IFERROR(IF(ISERROR(DD127),"",CONCATENATE(ROUND(X_SHIFT_BP+IF(Tools!P$97&lt;=Tools!$D$47/2,-BT3,BT3),3),",",ROUND(WLS*$AP39,3)," ")),"")</f>
        <v xml:space="preserve">178.61,0 </v>
      </c>
      <c r="Q98" s="380" t="str">
        <f>IFERROR(IF(ISERROR(DE127),"",CONCATENATE(ROUND(X_SHIFT_BP+IF(Tools!Q$97&lt;=Tools!$D$47/2,-BU3,BU3),3),",",ROUND(WLS*$AP39,3)," ")),"")</f>
        <v xml:space="preserve">178.61,0 </v>
      </c>
      <c r="R98" s="380" t="str">
        <f>IFERROR(IF(ISERROR(DF127),"",CONCATENATE(ROUND(X_SHIFT_BP+IF(Tools!R$97&lt;=Tools!$D$47/2,-BV3,BV3),3),",",ROUND(WLS*$AP39,3)," ")),"")</f>
        <v xml:space="preserve">178.41,0 </v>
      </c>
      <c r="S98" s="380" t="str">
        <f>IFERROR(IF(ISERROR(DG127),"",CONCATENATE(ROUND(X_SHIFT_BP+IF(Tools!S$97&lt;=Tools!$D$47/2,-BW3,BW3),3),",",ROUND(WLS*$AP39,3)," ")),"")</f>
        <v xml:space="preserve">177.81,0 </v>
      </c>
      <c r="T98" s="380" t="str">
        <f>IFERROR(IF(ISERROR(DH127),"",CONCATENATE(ROUND(X_SHIFT_BP+IF(Tools!T$97&lt;=Tools!$D$47/2,-BX3,BX3),3),",",ROUND(WLS*$AP39,3)," ")),"")</f>
        <v xml:space="preserve">176.51,0 </v>
      </c>
      <c r="U98" s="380" t="str">
        <f>IFERROR(IF(ISERROR(DI127),"",CONCATENATE(ROUND(X_SHIFT_BP+IF(Tools!U$97&lt;=Tools!$D$47/2,-BY3,BY3),3),",",ROUND(WLS*$AP39,3)," ")),"")</f>
        <v xml:space="preserve">174.51,0 </v>
      </c>
      <c r="V98" s="380" t="str">
        <f>IFERROR(IF(ISERROR(DJ127),"",CONCATENATE(ROUND(X_SHIFT_BP+IF(Tools!V$97&lt;=Tools!$D$47/2,-BZ3,BZ3),3),",",ROUND(WLS*$AP39,3)," ")),"")</f>
        <v xml:space="preserve">172.41,0 </v>
      </c>
      <c r="W98" s="380" t="str">
        <f>IFERROR(IF(ISERROR(DK127),"",CONCATENATE(ROUND(X_SHIFT_BP+IF(Tools!W$97&lt;=Tools!$D$47/2,-CA3,CA3),3),",",ROUND(WLS*$AP39,3)," ")),"")</f>
        <v xml:space="preserve">171.21,0 </v>
      </c>
      <c r="X98" s="380" t="str">
        <f>IFERROR(IF(ISERROR(DL127),"",CONCATENATE(ROUND(X_SHIFT_BP+IF(Tools!X$97&lt;=Tools!$D$47/2,-CB3,CB3),3),",",ROUND(WLS*$AP39,3)," ")),"")</f>
        <v xml:space="preserve">170.21,0 </v>
      </c>
      <c r="Y98" s="380" t="str">
        <f>IFERROR(IF(ISERROR(DM127),"",CONCATENATE(ROUND(X_SHIFT_BP+IF(Tools!Y$97&lt;=Tools!$D$47/2,-CC3,CC3),3),",",ROUND(WLS*$AP39,3)," ")),"")</f>
        <v xml:space="preserve">169.31,0 </v>
      </c>
      <c r="Z98" s="380" t="str">
        <f>IFERROR(IF(ISERROR(DN127),"",CONCATENATE(ROUND(X_SHIFT_BP+IF(Tools!Z$97&lt;=Tools!$D$47/2,-CD3,CD3),3),",",ROUND(WLS*$AP39,3)," ")),"")</f>
        <v xml:space="preserve">169.01,0 </v>
      </c>
      <c r="AA98" s="132">
        <f t="array" ref="AA98:AA122">TRANSPOSE(B123:Z123)</f>
        <v>5</v>
      </c>
      <c r="AB98" s="248" t="str">
        <f>IF(AA98=0,"  ",CONCATENATE("Zoom Window ",Tools!X_SHIFT_BP-6*BREADTH/10,",",-DEPTH/10," ",Tools!X_SHIFT_BP+6/10*BREADTH,",",DEPTH*1.1," ","Spline "))</f>
        <v xml:space="preserve">Zoom Window 155.71,-1.3 182.11,14.3 Spline </v>
      </c>
      <c r="AC98" s="132" t="str">
        <f t="array" ref="AC98:AC122">TRANSPOSE(B96:Z96)</f>
        <v xml:space="preserve">168.91,7 </v>
      </c>
      <c r="AD98" s="248" t="str">
        <f t="array" ref="AD98:BB122">TRANSPOSE(Tools!B98:Z122)</f>
        <v/>
      </c>
      <c r="AE98" s="248" t="str">
        <v/>
      </c>
      <c r="AF98" s="248" t="str">
        <v/>
      </c>
      <c r="AG98" s="248" t="str">
        <v/>
      </c>
      <c r="AH98" s="248" t="str">
        <v/>
      </c>
      <c r="AI98" s="248" t="str">
        <v/>
      </c>
      <c r="AJ98" s="248" t="str">
        <v/>
      </c>
      <c r="AK98" s="248" t="str">
        <v xml:space="preserve">168.01,8 </v>
      </c>
      <c r="AL98" s="248" t="str">
        <v xml:space="preserve">166.32,9.7 </v>
      </c>
      <c r="AM98" s="248" t="str">
        <v xml:space="preserve">166.09,10 </v>
      </c>
      <c r="AN98" s="248" t="str">
        <v xml:space="preserve">165.09,12 </v>
      </c>
      <c r="AO98" s="248" t="str">
        <v xml:space="preserve">164.67,13 </v>
      </c>
      <c r="AP98" s="248" t="str">
        <v/>
      </c>
      <c r="AQ98" s="248" t="str">
        <v/>
      </c>
      <c r="AR98" s="248" t="str">
        <v/>
      </c>
      <c r="AS98" s="248" t="str">
        <v/>
      </c>
      <c r="AT98" s="248" t="str">
        <v/>
      </c>
      <c r="AU98" s="248" t="str">
        <v/>
      </c>
      <c r="AV98" s="248" t="str">
        <v/>
      </c>
      <c r="AW98" s="248" t="str">
        <v/>
      </c>
      <c r="AX98" s="248" t="str">
        <v/>
      </c>
      <c r="AY98" s="248" t="str">
        <v/>
      </c>
      <c r="AZ98" s="248" t="str">
        <v/>
      </c>
      <c r="BA98" s="248" t="str">
        <v/>
      </c>
      <c r="BB98" s="248" t="str">
        <v/>
      </c>
      <c r="BC98" s="379">
        <f>Tools!AD3</f>
        <v>0</v>
      </c>
      <c r="BD98" s="379">
        <f>IFERROR(Tools!AD3*STN_GAP,"")</f>
        <v>0</v>
      </c>
      <c r="BE98" s="467" t="e">
        <f>IFERROR(IF(ISNUMBER(DE98),NA(),IF(AND($DF98&lt;&gt;0,$DG98&gt;BE$97),NA(),IF($BD98&gt;LBP/2,-(-Tools!AE3),-Tools!AE3))),NA())</f>
        <v>#N/A</v>
      </c>
      <c r="BF98" s="379" t="e">
        <f>IFERROR(IF(AND($DF98&lt;&gt;0,$DG98&gt;BF$97),NA(),IF($BD98&gt;LBP/2,-(-Tools!AF3),-Tools!AF3)),NA())</f>
        <v>#N/A</v>
      </c>
      <c r="BG98" s="379" t="e">
        <f>IFERROR(IF(AND($DF98&lt;&gt;0,$DG98&gt;BG$97),NA(),IF($BD98&gt;LBP/2,-(-Tools!AG3),-Tools!AG3)),NA())</f>
        <v>#N/A</v>
      </c>
      <c r="BH98" s="379" t="e">
        <f>IFERROR(IF(AND($DF98&lt;&gt;0,$DG98&gt;BH$97),NA(),IF($BD98&gt;LBP/2,-(-Tools!AH3),-Tools!AH3)),NA())</f>
        <v>#N/A</v>
      </c>
      <c r="BI98" s="379" t="e">
        <f>IFERROR(IF(AND($DF98&lt;&gt;0,$DG98&gt;BI$97),NA(),IF($BD98&gt;LBP/2,-(-Tools!AI3),-Tools!AI3)),NA())</f>
        <v>#N/A</v>
      </c>
      <c r="BJ98" s="379" t="e">
        <f>IFERROR(IF(AND($DF98&lt;&gt;0,$DG98&gt;BJ$97),NA(),IF($BD98&gt;LBP/2,-(-Tools!AJ3),-Tools!AJ3)),NA())</f>
        <v>#N/A</v>
      </c>
      <c r="BK98" s="379" t="e">
        <f>IFERROR(IF(AND($DF98&lt;&gt;0,$DG98&gt;BK$97),NA(),IF($BD98&gt;LBP/2,-(-Tools!AK3),-Tools!AK3)),NA())</f>
        <v>#N/A</v>
      </c>
      <c r="BL98" s="379">
        <f>IFERROR(IF(AND($DF98&lt;&gt;0,$DG98&gt;BL$97),NA(),IF($BD98&gt;LBP/2,-(-Tools!AL3),-Tools!AL3)),NA())</f>
        <v>-0.9</v>
      </c>
      <c r="BM98" s="379">
        <f>IFERROR(IF(AND($DF98&lt;&gt;0,$DG98&gt;BM$97),NA(),IF($BD98&gt;LBP/2,-(-Tools!AM3),-Tools!AM3)),NA())</f>
        <v>-2.59</v>
      </c>
      <c r="BN98" s="379">
        <f>IFERROR(IF(AND($DF98&lt;&gt;0,$DG98&gt;BN$97),NA(),IF($BD98&gt;LBP/2,-(-Tools!AN3),-Tools!AN3)),NA())</f>
        <v>-2.82</v>
      </c>
      <c r="BO98" s="379">
        <f>IFERROR(IF(AND($DF98&lt;&gt;0,$DG98&gt;BO$97),NA(),IF($BD98&gt;LBP/2,-(-Tools!AO3),-Tools!AO3)),NA())</f>
        <v>-3.82</v>
      </c>
      <c r="BP98" s="379">
        <f>IFERROR(IF(AND($DF98&lt;&gt;0,$DG98&gt;BP$97),NA(),IF($BD98&gt;LBP/2,-(-Tools!AP3),-Tools!AP3)),NA())</f>
        <v>-4.24</v>
      </c>
      <c r="BQ98" s="379" t="e">
        <f>IFERROR(IF(AND($DF98&lt;&gt;0,$DG98&gt;BQ$97),NA(),IF($BD98&gt;LBP/2,-(-Tools!AQ3),-Tools!AQ3)),NA())</f>
        <v>#N/A</v>
      </c>
      <c r="BR98" s="379" t="e">
        <f>IFERROR(IF(AND($DF98&lt;&gt;0,$DG98&gt;BR$97),NA(),IF($BD98&gt;LBP/2,-(-Tools!AR3),-Tools!AR3)),NA())</f>
        <v>#N/A</v>
      </c>
      <c r="BS98" s="379" t="e">
        <f>IFERROR(IF(AND($DF98&lt;&gt;0,$DG98&gt;BS$97),NA(),IF($BD98&gt;LBP/2,-(-Tools!AS3),-Tools!AS3)),NA())</f>
        <v>#N/A</v>
      </c>
      <c r="BT98" s="379" t="e">
        <f>IFERROR(IF(AND($DF98&lt;&gt;0,$DG98&gt;BT$97),NA(),IF($BD98&gt;LBP/2,-(-Tools!AT3),-Tools!AT3)),NA())</f>
        <v>#N/A</v>
      </c>
      <c r="BU98" s="379" t="e">
        <f>IFERROR(IF(AND($DF98&lt;&gt;0,$DG98&gt;BU$97),NA(),IF($BD98&gt;LBP/2,-(-Tools!AU3),-Tools!AU3)),NA())</f>
        <v>#N/A</v>
      </c>
      <c r="BV98" s="379" t="e">
        <f>IFERROR(IF(AND($DF98&lt;&gt;0,$DG98&gt;BV$97),NA(),IF($BD98&gt;LBP/2,-(-Tools!AV3),-Tools!AV3)),NA())</f>
        <v>#N/A</v>
      </c>
      <c r="BW98" s="379" t="e">
        <f>IFERROR(IF(AND($DF98&lt;&gt;0,$DG98&gt;BW$97),NA(),IF($BD98&gt;LBP/2,-(-Tools!AW3),-Tools!AW3)),NA())</f>
        <v>#N/A</v>
      </c>
      <c r="BX98" s="379" t="e">
        <f>IFERROR(IF(AND($DF98&lt;&gt;0,$DG98&gt;BX$97),NA(),IF($BD98&gt;LBP/2,-(-Tools!AX3),-Tools!AX3)),NA())</f>
        <v>#N/A</v>
      </c>
      <c r="BY98" s="379" t="e">
        <f>IFERROR(IF(AND($DF98&lt;&gt;0,$DG98&gt;BY$97),NA(),IF($BD98&gt;LBP/2,-(-Tools!AY3),-Tools!AY3)),NA())</f>
        <v>#N/A</v>
      </c>
      <c r="BZ98" s="379" t="e">
        <f>IFERROR(IF(AND($DF98&lt;&gt;0,$DG98&gt;BZ$97),NA(),IF($BD98&gt;LBP/2,-(-Tools!AZ3),-Tools!AZ3)),NA())</f>
        <v>#N/A</v>
      </c>
      <c r="CA98" s="379" t="e">
        <f>IFERROR(IF(AND($DF98&lt;&gt;0,$DG98&gt;CA$97),NA(),IF($BD98&gt;LBP/2,-(-Tools!BA3),-Tools!BA3)),NA())</f>
        <v>#N/A</v>
      </c>
      <c r="CB98" s="379" t="e">
        <f>IFERROR(IF(AND($DF98&lt;&gt;0,$DG98&gt;CB$97),NA(),IF($BD98&gt;LBP/2,-(-Tools!BB3),-Tools!BB3)),NA())</f>
        <v>#N/A</v>
      </c>
      <c r="CC98" s="379" t="e">
        <f>IFERROR(IF(AND($DF98&lt;&gt;0,$DG98&gt;CC$97),NA(),IF($BD98&gt;LBP/2,-(-Tools!BC3),-Tools!BC3)),NA())</f>
        <v>#N/A</v>
      </c>
      <c r="CE98" s="429" t="b">
        <f t="shared" ref="CE98:CE122" si="207">AND(AE3=0,AF3=0)</f>
        <v>1</v>
      </c>
      <c r="CF98" s="429" t="b">
        <f t="shared" ref="CF98:CF122" si="208">AND(CE98,AG3=0)</f>
        <v>1</v>
      </c>
      <c r="CG98" s="429" t="b">
        <f t="shared" ref="CG98:CG122" si="209">AND(CF98,AH3=0)</f>
        <v>1</v>
      </c>
      <c r="CH98" s="429" t="b">
        <f t="shared" ref="CH98:CH122" si="210">AND(CG98,AI3=0)</f>
        <v>1</v>
      </c>
      <c r="CI98" s="429" t="b">
        <f t="shared" ref="CI98:CI122" si="211">AND(CH98,AJ3=0)</f>
        <v>1</v>
      </c>
      <c r="CJ98" s="429" t="b">
        <f t="shared" ref="CJ98:CJ122" si="212">AND(CI98,AK3=0)</f>
        <v>1</v>
      </c>
      <c r="CK98" s="429" t="b">
        <f t="shared" ref="CK98:CK122" si="213">AND(CJ98,AL3=0)</f>
        <v>0</v>
      </c>
      <c r="CL98" s="429" t="b">
        <f t="shared" ref="CL98:CL122" si="214">AND(CK98,AM3=0)</f>
        <v>0</v>
      </c>
      <c r="CM98" s="429" t="b">
        <f t="shared" ref="CM98:CM122" si="215">AND(CL98,AN3=0)</f>
        <v>0</v>
      </c>
      <c r="CN98" s="429" t="b">
        <f t="shared" ref="CN98:CN122" si="216">AND(CM98,AO3=0)</f>
        <v>0</v>
      </c>
      <c r="CO98" s="429" t="b">
        <f t="shared" ref="CO98:CO122" si="217">AND(CN98,AP3=0)</f>
        <v>0</v>
      </c>
      <c r="CP98" s="429" t="b">
        <f t="shared" ref="CP98:CP122" si="218">AND(CO98,AQ3=0)</f>
        <v>0</v>
      </c>
      <c r="CQ98" s="429" t="b">
        <f t="shared" ref="CQ98:CQ122" si="219">AND(CP98,AR3=0)</f>
        <v>0</v>
      </c>
      <c r="CR98" s="429" t="b">
        <f t="shared" ref="CR98:CR122" si="220">AND(CQ98,AS3=0)</f>
        <v>0</v>
      </c>
      <c r="CS98" s="429" t="b">
        <f t="shared" ref="CS98:CS122" si="221">AND(CR98,AT3=0)</f>
        <v>0</v>
      </c>
      <c r="CT98" s="429" t="b">
        <f t="shared" ref="CT98:CT122" si="222">AND(CS98,AU3=0)</f>
        <v>0</v>
      </c>
      <c r="CU98" s="429" t="b">
        <f t="shared" ref="CU98:CU122" si="223">AND(CT98,AV3=0)</f>
        <v>0</v>
      </c>
      <c r="CV98" s="429" t="b">
        <f t="shared" ref="CV98:CV122" si="224">AND(CU98,AW3=0)</f>
        <v>0</v>
      </c>
      <c r="CW98" s="429" t="b">
        <f t="shared" ref="CW98:CW122" si="225">AND(CV98,AX3=0)</f>
        <v>0</v>
      </c>
      <c r="CX98" s="429" t="b">
        <f t="shared" ref="CX98:CX122" si="226">AND(CW98,AY3=0)</f>
        <v>0</v>
      </c>
      <c r="CY98" s="429" t="b">
        <f t="shared" ref="CY98:CY122" si="227">AND(CX98,AZ3=0)</f>
        <v>0</v>
      </c>
      <c r="CZ98" s="429" t="b">
        <f t="shared" ref="CZ98:CZ122" si="228">AND(CY98,BA3=0)</f>
        <v>0</v>
      </c>
      <c r="DA98" s="429" t="b">
        <f t="shared" ref="DA98:DA122" si="229">AND(CZ98,BB3=0)</f>
        <v>0</v>
      </c>
      <c r="DB98" s="429" t="b">
        <f t="shared" ref="DB98:DB122" si="230">AND(DA98,BC3=0)</f>
        <v>0</v>
      </c>
      <c r="DC98" s="429"/>
      <c r="DD98" s="429">
        <f>COUNTIF(CE98:DB98,TRUE)</f>
        <v>6</v>
      </c>
      <c r="DE98" s="429">
        <f t="shared" ref="DE98:DE122" si="231">IF(ISNUMBER(BD128),BD128/WLS,"-")</f>
        <v>3.5</v>
      </c>
      <c r="DF98" s="429">
        <f t="shared" ref="DF98:DF122" si="232">IFERROR(VLOOKUP($BD$97,$BD$97:$CC$97,DD98+2,FALSE)*1,-1)</f>
        <v>6</v>
      </c>
      <c r="DG98" s="429">
        <f>IFERROR(VLOOKUP($BD$97,$BD$97:$CC$97,DD98+2+IF(ISNUMBER(DE98),1,0),FALSE)*1,-1)</f>
        <v>8</v>
      </c>
      <c r="DH98" s="429">
        <f>BC98</f>
        <v>0</v>
      </c>
      <c r="DI98" s="429"/>
      <c r="DJ98" s="429">
        <f>IF(ISNUMBER(BD128),0,NA())</f>
        <v>0</v>
      </c>
      <c r="DK98" s="429" t="e">
        <f t="shared" si="180"/>
        <v>#N/A</v>
      </c>
      <c r="DL98" s="429" t="e">
        <f t="shared" si="181"/>
        <v>#N/A</v>
      </c>
      <c r="DM98" s="429" t="e">
        <f t="shared" si="182"/>
        <v>#N/A</v>
      </c>
      <c r="DN98" s="429" t="e">
        <f t="shared" si="183"/>
        <v>#N/A</v>
      </c>
      <c r="DO98" s="429" t="e">
        <f t="shared" si="184"/>
        <v>#N/A</v>
      </c>
      <c r="DP98" s="429" t="e">
        <f t="shared" si="185"/>
        <v>#N/A</v>
      </c>
      <c r="DQ98" s="429" t="e">
        <f t="shared" si="186"/>
        <v>#N/A</v>
      </c>
      <c r="DR98" s="429">
        <f t="shared" si="187"/>
        <v>-0.9</v>
      </c>
      <c r="DS98" s="429">
        <f t="shared" si="188"/>
        <v>-2.59</v>
      </c>
      <c r="DT98" s="429">
        <f t="shared" si="189"/>
        <v>-2.82</v>
      </c>
      <c r="DU98" s="429">
        <f t="shared" si="190"/>
        <v>-3.82</v>
      </c>
      <c r="DV98" s="429">
        <f t="shared" si="191"/>
        <v>-4.24</v>
      </c>
      <c r="DW98" s="429" t="e">
        <f t="shared" si="192"/>
        <v>#N/A</v>
      </c>
      <c r="DX98" s="429" t="e">
        <f t="shared" si="193"/>
        <v>#N/A</v>
      </c>
      <c r="DY98" s="429" t="e">
        <f t="shared" si="194"/>
        <v>#N/A</v>
      </c>
      <c r="DZ98" s="429" t="e">
        <f t="shared" si="195"/>
        <v>#N/A</v>
      </c>
      <c r="EA98" s="429" t="e">
        <f t="shared" si="196"/>
        <v>#N/A</v>
      </c>
      <c r="EB98" s="429" t="e">
        <f t="shared" si="197"/>
        <v>#N/A</v>
      </c>
      <c r="EC98" s="429" t="e">
        <f t="shared" si="198"/>
        <v>#N/A</v>
      </c>
      <c r="ED98" s="429" t="e">
        <f t="shared" si="199"/>
        <v>#N/A</v>
      </c>
      <c r="EE98" s="429" t="e">
        <f t="shared" si="200"/>
        <v>#N/A</v>
      </c>
      <c r="EF98" s="429" t="e">
        <f t="shared" si="201"/>
        <v>#N/A</v>
      </c>
      <c r="EG98" s="429" t="e">
        <f t="shared" si="202"/>
        <v>#N/A</v>
      </c>
      <c r="EH98" s="429" t="e">
        <f t="shared" si="203"/>
        <v>#N/A</v>
      </c>
      <c r="EI98" s="429" t="e">
        <f t="shared" si="204"/>
        <v>#N/A</v>
      </c>
      <c r="EJ98" s="429"/>
      <c r="EK98" s="429"/>
      <c r="EL98" s="429">
        <f t="shared" ref="EL98:EL122" si="233">IFERROR(DE98*WLS,NA())</f>
        <v>7</v>
      </c>
      <c r="EM98" s="429">
        <f t="shared" ref="EM98:EM102" si="234">IF(ISERROR(EL98),DK$97,IF(AND(ISNUMBER(EL98),EL98=0),NA(),DK$97))</f>
        <v>0</v>
      </c>
      <c r="EN98" s="429">
        <f t="shared" ref="EN98:EN122" si="235">DL$97</f>
        <v>0.5</v>
      </c>
      <c r="EO98" s="429">
        <f t="shared" ref="EO98:EO122" si="236">DM$97</f>
        <v>1</v>
      </c>
      <c r="EP98" s="429">
        <f t="shared" ref="EP98:EP122" si="237">DN$97</f>
        <v>1.5</v>
      </c>
      <c r="EQ98" s="429">
        <f t="shared" ref="EQ98:EQ122" si="238">DO$97</f>
        <v>2</v>
      </c>
      <c r="ER98" s="429">
        <f t="shared" ref="ER98:ER122" si="239">DP$97</f>
        <v>4</v>
      </c>
      <c r="ES98" s="429">
        <f t="shared" ref="ES98:ES122" si="240">DQ$97</f>
        <v>6</v>
      </c>
      <c r="ET98" s="429">
        <f t="shared" ref="ET98:ET122" si="241">DR$97</f>
        <v>8</v>
      </c>
      <c r="EU98" s="429">
        <f t="shared" ref="EU98:EU122" si="242">DS$97</f>
        <v>9.6999999999999993</v>
      </c>
      <c r="EV98" s="429">
        <f t="shared" ref="EV98:EV122" si="243">DT$97</f>
        <v>10</v>
      </c>
      <c r="EW98" s="429">
        <f t="shared" ref="EW98:EW122" si="244">DU$97</f>
        <v>12</v>
      </c>
      <c r="EX98" s="429">
        <f t="shared" ref="EX98:EX122" si="245">DV$97</f>
        <v>13</v>
      </c>
      <c r="EY98" s="429" t="e">
        <f t="shared" ref="EY98:EY122" si="246">DW$97</f>
        <v>#N/A</v>
      </c>
      <c r="EZ98" s="429" t="e">
        <f t="shared" ref="EZ98:EZ122" si="247">DX$97</f>
        <v>#N/A</v>
      </c>
      <c r="FA98" s="429" t="e">
        <f t="shared" ref="FA98:FA122" si="248">DY$97</f>
        <v>#N/A</v>
      </c>
      <c r="FB98" s="429" t="e">
        <f t="shared" ref="FB98:FB122" si="249">DZ$97</f>
        <v>#N/A</v>
      </c>
      <c r="FC98" s="429" t="e">
        <f t="shared" ref="FC98:FC122" si="250">EA$97</f>
        <v>#N/A</v>
      </c>
      <c r="FD98" s="429" t="e">
        <f t="shared" ref="FD98:FD122" si="251">EB$97</f>
        <v>#N/A</v>
      </c>
      <c r="FE98" s="429" t="e">
        <f t="shared" ref="FE98:FE122" si="252">EC$97</f>
        <v>#N/A</v>
      </c>
      <c r="FF98" s="429" t="e">
        <f t="shared" ref="FF98:FF122" si="253">ED$97</f>
        <v>#N/A</v>
      </c>
      <c r="FG98" s="429" t="e">
        <f t="shared" ref="FG98:FG122" si="254">EE$97</f>
        <v>#N/A</v>
      </c>
      <c r="FH98" s="429" t="e">
        <f t="shared" ref="FH98:FH122" si="255">EF$97</f>
        <v>#N/A</v>
      </c>
      <c r="FI98" s="429" t="e">
        <f t="shared" ref="FI98:FI122" si="256">EG$97</f>
        <v>#N/A</v>
      </c>
      <c r="FJ98" s="429" t="e">
        <f t="shared" ref="FJ98:FJ122" si="257">EH$97</f>
        <v>#N/A</v>
      </c>
      <c r="FK98" s="429" t="e">
        <f t="shared" ref="FK98:FK122" si="258">EI$97</f>
        <v>#N/A</v>
      </c>
    </row>
    <row r="99" spans="1:167" x14ac:dyDescent="0.25">
      <c r="A99" s="377">
        <f t="shared" si="206"/>
        <v>0.25</v>
      </c>
      <c r="B99" s="380" t="str">
        <f>IFERROR(IF(ISERROR(CP128),"",CONCATENATE(ROUND(X_SHIFT_BP+IF(Tools!B$97&lt;=Tools!$D$47/2,-BF4,BF4),3),",",ROUND(WLS*$AP40,3)," ")),"")</f>
        <v/>
      </c>
      <c r="C99" s="380" t="str">
        <f>IFERROR(IF(ISERROR(CQ128),"",CONCATENATE(ROUND(X_SHIFT_BP+IF(Tools!C$97&lt;=Tools!$D$47/2,-BG4,BG4),3),",",ROUND(WLS*$AP40,3)," ")),"")</f>
        <v xml:space="preserve">168.71,0.5 </v>
      </c>
      <c r="D99" s="380" t="str">
        <f>IFERROR(IF(ISERROR(CR128),"",CONCATENATE(ROUND(X_SHIFT_BP+IF(Tools!D$97&lt;=Tools!$D$47/2,-BH4,BH4),3),",",ROUND(WLS*$AP40,3)," ")),"")</f>
        <v xml:space="preserve">168.41,0.5 </v>
      </c>
      <c r="E99" s="380" t="str">
        <f>IFERROR(IF(ISERROR(CS128),"",CONCATENATE(ROUND(X_SHIFT_BP+IF(Tools!E$97&lt;=Tools!$D$47/2,-BI4,BI4),3),",",ROUND(WLS*$AP40,3)," ")),"")</f>
        <v xml:space="preserve">167.92,0.5 </v>
      </c>
      <c r="F99" s="380" t="str">
        <f>IFERROR(IF(ISERROR(CT128),"",CONCATENATE(ROUND(X_SHIFT_BP+IF(Tools!F$97&lt;=Tools!$D$47/2,-BJ4,BJ4),3),",",ROUND(WLS*$AP40,3)," ")),"")</f>
        <v xml:space="preserve">167.32,0.5 </v>
      </c>
      <c r="G99" s="380" t="str">
        <f>IFERROR(IF(ISERROR(CU128),"",CONCATENATE(ROUND(X_SHIFT_BP+IF(Tools!G$97&lt;=Tools!$D$47/2,-BK4,BK4),3),",",ROUND(WLS*$AP40,3)," ")),"")</f>
        <v xml:space="preserve">165.59,0.5 </v>
      </c>
      <c r="H99" s="380" t="str">
        <f>IFERROR(IF(ISERROR(CV128),"",CONCATENATE(ROUND(X_SHIFT_BP+IF(Tools!H$97&lt;=Tools!$D$47/2,-BL4,BL4),3),",",ROUND(WLS*$AP40,3)," ")),"")</f>
        <v xml:space="preserve">163.58,0.5 </v>
      </c>
      <c r="I99" s="380" t="str">
        <f>IFERROR(IF(ISERROR(CW128),"",CONCATENATE(ROUND(X_SHIFT_BP+IF(Tools!I$97&lt;=Tools!$D$47/2,-BM4,BM4),3),",",ROUND(WLS*$AP40,3)," ")),"")</f>
        <v xml:space="preserve">161.65,0.5 </v>
      </c>
      <c r="J99" s="380" t="str">
        <f>IFERROR(IF(ISERROR(CX128),"",CONCATENATE(ROUND(X_SHIFT_BP+IF(Tools!J$97&lt;=Tools!$D$47/2,-BN4,BN4),3),",",ROUND(WLS*$AP40,3)," ")),"")</f>
        <v xml:space="preserve">160.01,0.5 </v>
      </c>
      <c r="K99" s="380" t="str">
        <f>IFERROR(IF(ISERROR(CY128),"",CONCATENATE(ROUND(X_SHIFT_BP+IF(Tools!K$97&lt;=Tools!$D$47/2,-BO4,BO4),3),",",ROUND(WLS*$AP40,3)," ")),"")</f>
        <v xml:space="preserve">159.08,0.5 </v>
      </c>
      <c r="L99" s="380" t="str">
        <f>IFERROR(IF(ISERROR(CZ128),"",CONCATENATE(ROUND(X_SHIFT_BP+IF(Tools!L$97&lt;=Tools!$D$47/2,-BP4,BP4),3),",",ROUND(WLS*$AP40,3)," ")),"")</f>
        <v xml:space="preserve">158.58,0.5 </v>
      </c>
      <c r="M99" s="380" t="str">
        <f>IFERROR(IF(ISERROR(DA128),"",CONCATENATE(ROUND(X_SHIFT_BP+IF(Tools!M$97&lt;=Tools!$D$47/2,-BQ4,BQ4),3),",",ROUND(WLS*$AP40,3)," ")),"")</f>
        <v xml:space="preserve">158.46,0.5 </v>
      </c>
      <c r="N99" s="380" t="str">
        <f>IFERROR(IF(ISERROR(DB128),"",CONCATENATE(ROUND(X_SHIFT_BP+IF(Tools!N$97&lt;=Tools!$D$47/2,-BR4,BR4),3),",",ROUND(WLS*$AP40,3)," ")),"")</f>
        <v xml:space="preserve">158.46,0.5 </v>
      </c>
      <c r="O99" s="380" t="str">
        <f>IFERROR(IF(ISERROR(DC128),"",CONCATENATE(ROUND(X_SHIFT_BP+IF(Tools!O$97&lt;=Tools!$D$47/2,-BS4,BS4),3),",",ROUND(WLS*$AP40,3)," ")),"")</f>
        <v xml:space="preserve">179.36,0.5 </v>
      </c>
      <c r="P99" s="380" t="str">
        <f>IFERROR(IF(ISERROR(DD128),"",CONCATENATE(ROUND(X_SHIFT_BP+IF(Tools!P$97&lt;=Tools!$D$47/2,-BT4,BT4),3),",",ROUND(WLS*$AP40,3)," ")),"")</f>
        <v xml:space="preserve">179.36,0.5 </v>
      </c>
      <c r="Q99" s="380" t="str">
        <f>IFERROR(IF(ISERROR(DE128),"",CONCATENATE(ROUND(X_SHIFT_BP+IF(Tools!Q$97&lt;=Tools!$D$47/2,-BU4,BU4),3),",",ROUND(WLS*$AP40,3)," ")),"")</f>
        <v xml:space="preserve">179.36,0.5 </v>
      </c>
      <c r="R99" s="380" t="str">
        <f>IFERROR(IF(ISERROR(DF128),"",CONCATENATE(ROUND(X_SHIFT_BP+IF(Tools!R$97&lt;=Tools!$D$47/2,-BV4,BV4),3),",",ROUND(WLS*$AP40,3)," ")),"")</f>
        <v xml:space="preserve">179.23,0.5 </v>
      </c>
      <c r="S99" s="380" t="str">
        <f>IFERROR(IF(ISERROR(DG128),"",CONCATENATE(ROUND(X_SHIFT_BP+IF(Tools!S$97&lt;=Tools!$D$47/2,-BW4,BW4),3),",",ROUND(WLS*$AP40,3)," ")),"")</f>
        <v xml:space="preserve">178.67,0.5 </v>
      </c>
      <c r="T99" s="380" t="str">
        <f>IFERROR(IF(ISERROR(DH128),"",CONCATENATE(ROUND(X_SHIFT_BP+IF(Tools!T$97&lt;=Tools!$D$47/2,-BX4,BX4),3),",",ROUND(WLS*$AP40,3)," ")),"")</f>
        <v xml:space="preserve">177.55,0.5 </v>
      </c>
      <c r="U99" s="380" t="str">
        <f>IFERROR(IF(ISERROR(DI128),"",CONCATENATE(ROUND(X_SHIFT_BP+IF(Tools!U$97&lt;=Tools!$D$47/2,-BY4,BY4),3),",",ROUND(WLS*$AP40,3)," ")),"")</f>
        <v xml:space="preserve">175.8,0.5 </v>
      </c>
      <c r="V99" s="380" t="str">
        <f>IFERROR(IF(ISERROR(DJ128),"",CONCATENATE(ROUND(X_SHIFT_BP+IF(Tools!V$97&lt;=Tools!$D$47/2,-BZ4,BZ4),3),",",ROUND(WLS*$AP40,3)," ")),"")</f>
        <v xml:space="preserve">173.56,0.5 </v>
      </c>
      <c r="W99" s="380" t="str">
        <f>IFERROR(IF(ISERROR(DK128),"",CONCATENATE(ROUND(X_SHIFT_BP+IF(Tools!W$97&lt;=Tools!$D$47/2,-CA4,CA4),3),",",ROUND(WLS*$AP40,3)," ")),"")</f>
        <v xml:space="preserve">172.34,0.5 </v>
      </c>
      <c r="X99" s="380" t="str">
        <f>IFERROR(IF(ISERROR(DL128),"",CONCATENATE(ROUND(X_SHIFT_BP+IF(Tools!X$97&lt;=Tools!$D$47/2,-CB4,CB4),3),",",ROUND(WLS*$AP40,3)," ")),"")</f>
        <v xml:space="preserve">171.21,0.5 </v>
      </c>
      <c r="Y99" s="380" t="str">
        <f>IFERROR(IF(ISERROR(DM128),"",CONCATENATE(ROUND(X_SHIFT_BP+IF(Tools!Y$97&lt;=Tools!$D$47/2,-CC4,CC4),3),",",ROUND(WLS*$AP40,3)," ")),"")</f>
        <v xml:space="preserve">170.12,0.5 </v>
      </c>
      <c r="Z99" s="380" t="str">
        <f>IFERROR(IF(ISERROR(DN128),"",CONCATENATE(ROUND(X_SHIFT_BP+IF(Tools!Z$97&lt;=Tools!$D$47/2,-CD4,CD4),3),",",ROUND(WLS*$AP40,3)," ")),"")</f>
        <v xml:space="preserve">169.71,0.5 </v>
      </c>
      <c r="AA99" s="132">
        <v>12</v>
      </c>
      <c r="AB99" s="248" t="str">
        <f t="shared" ref="AB99:AB122" si="259">IF(AA99=0,"  ","Spline ")</f>
        <v xml:space="preserve">Spline </v>
      </c>
      <c r="AC99" s="132" t="str">
        <v/>
      </c>
      <c r="AD99" s="248" t="str">
        <v xml:space="preserve">168.81,0 </v>
      </c>
      <c r="AE99" s="248" t="str">
        <v xml:space="preserve">168.71,0.5 </v>
      </c>
      <c r="AF99" s="248" t="str">
        <v xml:space="preserve">168.71,1 </v>
      </c>
      <c r="AG99" s="248" t="str">
        <v xml:space="preserve">168.7,1.5 </v>
      </c>
      <c r="AH99" s="248" t="str">
        <v xml:space="preserve">168.66,2 </v>
      </c>
      <c r="AI99" s="248" t="str">
        <v xml:space="preserve">168.58,4 </v>
      </c>
      <c r="AJ99" s="248" t="str">
        <v xml:space="preserve">168.25,6 </v>
      </c>
      <c r="AK99" s="248" t="str">
        <v xml:space="preserve">166.48,8 </v>
      </c>
      <c r="AL99" s="248" t="str">
        <v xml:space="preserve">164.73,9.7 </v>
      </c>
      <c r="AM99" s="248" t="str">
        <v xml:space="preserve">164.52,10 </v>
      </c>
      <c r="AN99" s="248" t="str">
        <v xml:space="preserve">163.48,12 </v>
      </c>
      <c r="AO99" s="248" t="str">
        <v xml:space="preserve">163.06,13 </v>
      </c>
      <c r="AP99" s="248" t="str">
        <v/>
      </c>
      <c r="AQ99" s="248" t="str">
        <v/>
      </c>
      <c r="AR99" s="248" t="str">
        <v/>
      </c>
      <c r="AS99" s="248" t="str">
        <v/>
      </c>
      <c r="AT99" s="248" t="str">
        <v/>
      </c>
      <c r="AU99" s="248" t="str">
        <v/>
      </c>
      <c r="AV99" s="248" t="str">
        <v/>
      </c>
      <c r="AW99" s="248" t="str">
        <v/>
      </c>
      <c r="AX99" s="248" t="str">
        <v/>
      </c>
      <c r="AY99" s="248" t="str">
        <v/>
      </c>
      <c r="AZ99" s="248" t="str">
        <v/>
      </c>
      <c r="BA99" s="248" t="str">
        <v/>
      </c>
      <c r="BB99" s="248" t="str">
        <v/>
      </c>
      <c r="BC99" s="379">
        <f>Tools!AD4</f>
        <v>0.5</v>
      </c>
      <c r="BD99" s="379">
        <f>IFERROR(Tools!AD4*STN_GAP,"")</f>
        <v>3.6549999999999998</v>
      </c>
      <c r="BE99" s="467">
        <f>IFERROR(IF(ISNUMBER(DE99),NA(),IF(AND($DF99&lt;&gt;0,$DG99&gt;BE$97),NA(),IF($BD99&gt;LBP/2,-(-Tools!AE4),-Tools!AE4))),NA())</f>
        <v>-0.1</v>
      </c>
      <c r="BF99" s="379">
        <f>IFERROR(IF(AND($DF99&lt;&gt;0,$DG99&gt;BF$97),NA(),IF($BD99&gt;LBP/2,-(-Tools!AF4),-Tools!AF4)),NA())</f>
        <v>-0.2</v>
      </c>
      <c r="BG99" s="379">
        <f>IFERROR(IF(AND($DF99&lt;&gt;0,$DG99&gt;BG$97),NA(),IF($BD99&gt;LBP/2,-(-Tools!AG4),-Tools!AG4)),NA())</f>
        <v>-0.2</v>
      </c>
      <c r="BH99" s="379">
        <f>IFERROR(IF(AND($DF99&lt;&gt;0,$DG99&gt;BH$97),NA(),IF($BD99&gt;LBP/2,-(-Tools!AH4),-Tools!AH4)),NA())</f>
        <v>-0.21</v>
      </c>
      <c r="BI99" s="379">
        <f>IFERROR(IF(AND($DF99&lt;&gt;0,$DG99&gt;BI$97),NA(),IF($BD99&gt;LBP/2,-(-Tools!AI4),-Tools!AI4)),NA())</f>
        <v>-0.25</v>
      </c>
      <c r="BJ99" s="379">
        <f>IFERROR(IF(AND($DF99&lt;&gt;0,$DG99&gt;BJ$97),NA(),IF($BD99&gt;LBP/2,-(-Tools!AJ4),-Tools!AJ4)),NA())</f>
        <v>-0.33</v>
      </c>
      <c r="BK99" s="379">
        <f>IFERROR(IF(AND($DF99&lt;&gt;0,$DG99&gt;BK$97),NA(),IF($BD99&gt;LBP/2,-(-Tools!AK4),-Tools!AK4)),NA())</f>
        <v>-0.66</v>
      </c>
      <c r="BL99" s="379">
        <f>IFERROR(IF(AND($DF99&lt;&gt;0,$DG99&gt;BL$97),NA(),IF($BD99&gt;LBP/2,-(-Tools!AL4),-Tools!AL4)),NA())</f>
        <v>-2.4300000000000002</v>
      </c>
      <c r="BM99" s="379">
        <f>IFERROR(IF(AND($DF99&lt;&gt;0,$DG99&gt;BM$97),NA(),IF($BD99&gt;LBP/2,-(-Tools!AM4),-Tools!AM4)),NA())</f>
        <v>-4.18</v>
      </c>
      <c r="BN99" s="379">
        <f>IFERROR(IF(AND($DF99&lt;&gt;0,$DG99&gt;BN$97),NA(),IF($BD99&gt;LBP/2,-(-Tools!AN4),-Tools!AN4)),NA())</f>
        <v>-4.3899999999999997</v>
      </c>
      <c r="BO99" s="379">
        <f>IFERROR(IF(AND($DF99&lt;&gt;0,$DG99&gt;BO$97),NA(),IF($BD99&gt;LBP/2,-(-Tools!AO4),-Tools!AO4)),NA())</f>
        <v>-5.43</v>
      </c>
      <c r="BP99" s="379">
        <f>IFERROR(IF(AND($DF99&lt;&gt;0,$DG99&gt;BP$97),NA(),IF($BD99&gt;LBP/2,-(-Tools!AP4),-Tools!AP4)),NA())</f>
        <v>-5.85</v>
      </c>
      <c r="BQ99" s="379" t="e">
        <f>IFERROR(IF(AND($DF99&lt;&gt;0,$DG99&gt;BQ$97),NA(),IF($BD99&gt;LBP/2,-(-Tools!AQ4),-Tools!AQ4)),NA())</f>
        <v>#N/A</v>
      </c>
      <c r="BR99" s="379" t="e">
        <f>IFERROR(IF(AND($DF99&lt;&gt;0,$DG99&gt;BR$97),NA(),IF($BD99&gt;LBP/2,-(-Tools!AR4),-Tools!AR4)),NA())</f>
        <v>#N/A</v>
      </c>
      <c r="BS99" s="379" t="e">
        <f>IFERROR(IF(AND($DF99&lt;&gt;0,$DG99&gt;BS$97),NA(),IF($BD99&gt;LBP/2,-(-Tools!AS4),-Tools!AS4)),NA())</f>
        <v>#N/A</v>
      </c>
      <c r="BT99" s="379" t="e">
        <f>IFERROR(IF(AND($DF99&lt;&gt;0,$DG99&gt;BT$97),NA(),IF($BD99&gt;LBP/2,-(-Tools!AT4),-Tools!AT4)),NA())</f>
        <v>#N/A</v>
      </c>
      <c r="BU99" s="379" t="e">
        <f>IFERROR(IF(AND($DF99&lt;&gt;0,$DG99&gt;BU$97),NA(),IF($BD99&gt;LBP/2,-(-Tools!AU4),-Tools!AU4)),NA())</f>
        <v>#N/A</v>
      </c>
      <c r="BV99" s="379" t="e">
        <f>IFERROR(IF(AND($DF99&lt;&gt;0,$DG99&gt;BV$97),NA(),IF($BD99&gt;LBP/2,-(-Tools!AV4),-Tools!AV4)),NA())</f>
        <v>#N/A</v>
      </c>
      <c r="BW99" s="379" t="e">
        <f>IFERROR(IF(AND($DF99&lt;&gt;0,$DG99&gt;BW$97),NA(),IF($BD99&gt;LBP/2,-(-Tools!AW4),-Tools!AW4)),NA())</f>
        <v>#N/A</v>
      </c>
      <c r="BX99" s="379" t="e">
        <f>IFERROR(IF(AND($DF99&lt;&gt;0,$DG99&gt;BX$97),NA(),IF($BD99&gt;LBP/2,-(-Tools!AX4),-Tools!AX4)),NA())</f>
        <v>#N/A</v>
      </c>
      <c r="BY99" s="379" t="e">
        <f>IFERROR(IF(AND($DF99&lt;&gt;0,$DG99&gt;BY$97),NA(),IF($BD99&gt;LBP/2,-(-Tools!AY4),-Tools!AY4)),NA())</f>
        <v>#N/A</v>
      </c>
      <c r="BZ99" s="379" t="e">
        <f>IFERROR(IF(AND($DF99&lt;&gt;0,$DG99&gt;BZ$97),NA(),IF($BD99&gt;LBP/2,-(-Tools!AZ4),-Tools!AZ4)),NA())</f>
        <v>#N/A</v>
      </c>
      <c r="CA99" s="379" t="e">
        <f>IFERROR(IF(AND($DF99&lt;&gt;0,$DG99&gt;CA$97),NA(),IF($BD99&gt;LBP/2,-(-Tools!BA4),-Tools!BA4)),NA())</f>
        <v>#N/A</v>
      </c>
      <c r="CB99" s="379" t="e">
        <f>IFERROR(IF(AND($DF99&lt;&gt;0,$DG99&gt;CB$97),NA(),IF($BD99&gt;LBP/2,-(-Tools!BB4),-Tools!BB4)),NA())</f>
        <v>#N/A</v>
      </c>
      <c r="CC99" s="379" t="e">
        <f>IFERROR(IF(AND($DF99&lt;&gt;0,$DG99&gt;CC$97),NA(),IF($BD99&gt;LBP/2,-(-Tools!BC4),-Tools!BC4)),NA())</f>
        <v>#N/A</v>
      </c>
      <c r="CE99" s="429" t="b">
        <f t="shared" si="207"/>
        <v>0</v>
      </c>
      <c r="CF99" s="429" t="b">
        <f t="shared" si="208"/>
        <v>0</v>
      </c>
      <c r="CG99" s="429" t="b">
        <f t="shared" si="209"/>
        <v>0</v>
      </c>
      <c r="CH99" s="429" t="b">
        <f t="shared" si="210"/>
        <v>0</v>
      </c>
      <c r="CI99" s="429" t="b">
        <f t="shared" si="211"/>
        <v>0</v>
      </c>
      <c r="CJ99" s="429" t="b">
        <f t="shared" si="212"/>
        <v>0</v>
      </c>
      <c r="CK99" s="429" t="b">
        <f t="shared" si="213"/>
        <v>0</v>
      </c>
      <c r="CL99" s="429" t="b">
        <f t="shared" si="214"/>
        <v>0</v>
      </c>
      <c r="CM99" s="429" t="b">
        <f t="shared" si="215"/>
        <v>0</v>
      </c>
      <c r="CN99" s="429" t="b">
        <f t="shared" si="216"/>
        <v>0</v>
      </c>
      <c r="CO99" s="429" t="b">
        <f t="shared" si="217"/>
        <v>0</v>
      </c>
      <c r="CP99" s="429" t="b">
        <f t="shared" si="218"/>
        <v>0</v>
      </c>
      <c r="CQ99" s="429" t="b">
        <f t="shared" si="219"/>
        <v>0</v>
      </c>
      <c r="CR99" s="429" t="b">
        <f t="shared" si="220"/>
        <v>0</v>
      </c>
      <c r="CS99" s="429" t="b">
        <f t="shared" si="221"/>
        <v>0</v>
      </c>
      <c r="CT99" s="429" t="b">
        <f t="shared" si="222"/>
        <v>0</v>
      </c>
      <c r="CU99" s="429" t="b">
        <f t="shared" si="223"/>
        <v>0</v>
      </c>
      <c r="CV99" s="429" t="b">
        <f t="shared" si="224"/>
        <v>0</v>
      </c>
      <c r="CW99" s="429" t="b">
        <f t="shared" si="225"/>
        <v>0</v>
      </c>
      <c r="CX99" s="429" t="b">
        <f t="shared" si="226"/>
        <v>0</v>
      </c>
      <c r="CY99" s="429" t="b">
        <f t="shared" si="227"/>
        <v>0</v>
      </c>
      <c r="CZ99" s="429" t="b">
        <f t="shared" si="228"/>
        <v>0</v>
      </c>
      <c r="DA99" s="429" t="b">
        <f t="shared" si="229"/>
        <v>0</v>
      </c>
      <c r="DB99" s="429" t="b">
        <f t="shared" si="230"/>
        <v>0</v>
      </c>
      <c r="DC99" s="429"/>
      <c r="DD99" s="429">
        <f t="shared" ref="DD99:DD122" si="260">COUNTIF(CE99:DB99,TRUE)</f>
        <v>0</v>
      </c>
      <c r="DE99" s="429" t="str">
        <f t="shared" si="231"/>
        <v>-</v>
      </c>
      <c r="DF99" s="429">
        <f t="shared" si="232"/>
        <v>0</v>
      </c>
      <c r="DG99" s="429">
        <f t="shared" ref="DG99:DG122" si="261">IFERROR(VLOOKUP($BD$97,$BD$97:$CC$97,DD99+2+IF(ISNUMBER(DE99),1,0),FALSE)*1,-1)</f>
        <v>0</v>
      </c>
      <c r="DH99" s="429">
        <f t="shared" ref="DH99:DH122" si="262">BC99</f>
        <v>0.5</v>
      </c>
      <c r="DI99" s="429"/>
      <c r="DJ99" s="429" t="e">
        <f t="shared" ref="DJ99:DJ122" si="263">IF(ISNUMBER(BD129),0,NA())</f>
        <v>#N/A</v>
      </c>
      <c r="DK99" s="429">
        <f t="shared" si="180"/>
        <v>-0.1</v>
      </c>
      <c r="DL99" s="429">
        <f t="shared" si="181"/>
        <v>-0.2</v>
      </c>
      <c r="DM99" s="429">
        <f t="shared" si="182"/>
        <v>-0.2</v>
      </c>
      <c r="DN99" s="429">
        <f t="shared" si="183"/>
        <v>-0.21</v>
      </c>
      <c r="DO99" s="429">
        <f t="shared" si="184"/>
        <v>-0.25</v>
      </c>
      <c r="DP99" s="429">
        <f t="shared" si="185"/>
        <v>-0.33</v>
      </c>
      <c r="DQ99" s="429">
        <f t="shared" si="186"/>
        <v>-0.66</v>
      </c>
      <c r="DR99" s="429">
        <f t="shared" si="187"/>
        <v>-2.4300000000000002</v>
      </c>
      <c r="DS99" s="429">
        <f t="shared" si="188"/>
        <v>-4.18</v>
      </c>
      <c r="DT99" s="429">
        <f t="shared" si="189"/>
        <v>-4.3899999999999997</v>
      </c>
      <c r="DU99" s="429">
        <f t="shared" si="190"/>
        <v>-5.43</v>
      </c>
      <c r="DV99" s="429">
        <f t="shared" si="191"/>
        <v>-5.85</v>
      </c>
      <c r="DW99" s="429" t="e">
        <f t="shared" si="192"/>
        <v>#N/A</v>
      </c>
      <c r="DX99" s="429" t="e">
        <f t="shared" si="193"/>
        <v>#N/A</v>
      </c>
      <c r="DY99" s="429" t="e">
        <f t="shared" si="194"/>
        <v>#N/A</v>
      </c>
      <c r="DZ99" s="429" t="e">
        <f t="shared" si="195"/>
        <v>#N/A</v>
      </c>
      <c r="EA99" s="429" t="e">
        <f t="shared" si="196"/>
        <v>#N/A</v>
      </c>
      <c r="EB99" s="429" t="e">
        <f t="shared" si="197"/>
        <v>#N/A</v>
      </c>
      <c r="EC99" s="429" t="e">
        <f t="shared" si="198"/>
        <v>#N/A</v>
      </c>
      <c r="ED99" s="429" t="e">
        <f t="shared" si="199"/>
        <v>#N/A</v>
      </c>
      <c r="EE99" s="429" t="e">
        <f t="shared" si="200"/>
        <v>#N/A</v>
      </c>
      <c r="EF99" s="429" t="e">
        <f t="shared" si="201"/>
        <v>#N/A</v>
      </c>
      <c r="EG99" s="429" t="e">
        <f t="shared" si="202"/>
        <v>#N/A</v>
      </c>
      <c r="EH99" s="429" t="e">
        <f t="shared" si="203"/>
        <v>#N/A</v>
      </c>
      <c r="EI99" s="429" t="e">
        <f t="shared" si="204"/>
        <v>#N/A</v>
      </c>
      <c r="EJ99" s="429"/>
      <c r="EK99" s="429"/>
      <c r="EL99" s="429" t="e">
        <f t="shared" si="233"/>
        <v>#N/A</v>
      </c>
      <c r="EM99" s="429">
        <f t="shared" si="234"/>
        <v>0</v>
      </c>
      <c r="EN99" s="429">
        <f t="shared" si="235"/>
        <v>0.5</v>
      </c>
      <c r="EO99" s="429">
        <f t="shared" si="236"/>
        <v>1</v>
      </c>
      <c r="EP99" s="429">
        <f t="shared" si="237"/>
        <v>1.5</v>
      </c>
      <c r="EQ99" s="429">
        <f t="shared" si="238"/>
        <v>2</v>
      </c>
      <c r="ER99" s="429">
        <f t="shared" si="239"/>
        <v>4</v>
      </c>
      <c r="ES99" s="429">
        <f t="shared" si="240"/>
        <v>6</v>
      </c>
      <c r="ET99" s="429">
        <f t="shared" si="241"/>
        <v>8</v>
      </c>
      <c r="EU99" s="429">
        <f t="shared" si="242"/>
        <v>9.6999999999999993</v>
      </c>
      <c r="EV99" s="429">
        <f t="shared" si="243"/>
        <v>10</v>
      </c>
      <c r="EW99" s="429">
        <f t="shared" si="244"/>
        <v>12</v>
      </c>
      <c r="EX99" s="429">
        <f t="shared" si="245"/>
        <v>13</v>
      </c>
      <c r="EY99" s="429" t="e">
        <f t="shared" si="246"/>
        <v>#N/A</v>
      </c>
      <c r="EZ99" s="429" t="e">
        <f t="shared" si="247"/>
        <v>#N/A</v>
      </c>
      <c r="FA99" s="429" t="e">
        <f t="shared" si="248"/>
        <v>#N/A</v>
      </c>
      <c r="FB99" s="429" t="e">
        <f t="shared" si="249"/>
        <v>#N/A</v>
      </c>
      <c r="FC99" s="429" t="e">
        <f t="shared" si="250"/>
        <v>#N/A</v>
      </c>
      <c r="FD99" s="429" t="e">
        <f t="shared" si="251"/>
        <v>#N/A</v>
      </c>
      <c r="FE99" s="429" t="e">
        <f t="shared" si="252"/>
        <v>#N/A</v>
      </c>
      <c r="FF99" s="429" t="e">
        <f t="shared" si="253"/>
        <v>#N/A</v>
      </c>
      <c r="FG99" s="429" t="e">
        <f t="shared" si="254"/>
        <v>#N/A</v>
      </c>
      <c r="FH99" s="429" t="e">
        <f t="shared" si="255"/>
        <v>#N/A</v>
      </c>
      <c r="FI99" s="429" t="e">
        <f t="shared" si="256"/>
        <v>#N/A</v>
      </c>
      <c r="FJ99" s="429" t="e">
        <f t="shared" si="257"/>
        <v>#N/A</v>
      </c>
      <c r="FK99" s="429" t="e">
        <f t="shared" si="258"/>
        <v>#N/A</v>
      </c>
    </row>
    <row r="100" spans="1:167" x14ac:dyDescent="0.25">
      <c r="A100" s="377">
        <f t="shared" si="206"/>
        <v>0.5</v>
      </c>
      <c r="B100" s="380" t="str">
        <f>IFERROR(IF(ISERROR(CP129),"",CONCATENATE(ROUND(X_SHIFT_BP+IF(Tools!B$97&lt;=Tools!$D$47/2,-BF5,BF5),3),",",ROUND(WLS*$AP41,3)," ")),"")</f>
        <v/>
      </c>
      <c r="C100" s="380" t="str">
        <f>IFERROR(IF(ISERROR(CQ129),"",CONCATENATE(ROUND(X_SHIFT_BP+IF(Tools!C$97&lt;=Tools!$D$47/2,-BG5,BG5),3),",",ROUND(WLS*$AP41,3)," ")),"")</f>
        <v xml:space="preserve">168.71,1 </v>
      </c>
      <c r="D100" s="380" t="str">
        <f>IFERROR(IF(ISERROR(CR129),"",CONCATENATE(ROUND(X_SHIFT_BP+IF(Tools!D$97&lt;=Tools!$D$47/2,-BH5,BH5),3),",",ROUND(WLS*$AP41,3)," ")),"")</f>
        <v xml:space="preserve">168.23,1 </v>
      </c>
      <c r="E100" s="380" t="str">
        <f>IFERROR(IF(ISERROR(CS129),"",CONCATENATE(ROUND(X_SHIFT_BP+IF(Tools!E$97&lt;=Tools!$D$47/2,-BI5,BI5),3),",",ROUND(WLS*$AP41,3)," ")),"")</f>
        <v xml:space="preserve">167.56,1 </v>
      </c>
      <c r="F100" s="380" t="str">
        <f>IFERROR(IF(ISERROR(CT129),"",CONCATENATE(ROUND(X_SHIFT_BP+IF(Tools!F$97&lt;=Tools!$D$47/2,-BJ5,BJ5),3),",",ROUND(WLS*$AP41,3)," ")),"")</f>
        <v xml:space="preserve">166.77,1 </v>
      </c>
      <c r="G100" s="380" t="str">
        <f>IFERROR(IF(ISERROR(CU129),"",CONCATENATE(ROUND(X_SHIFT_BP+IF(Tools!G$97&lt;=Tools!$D$47/2,-BK5,BK5),3),",",ROUND(WLS*$AP41,3)," ")),"")</f>
        <v xml:space="preserve">164.74,1 </v>
      </c>
      <c r="H100" s="380" t="str">
        <f>IFERROR(IF(ISERROR(CV129),"",CONCATENATE(ROUND(X_SHIFT_BP+IF(Tools!H$97&lt;=Tools!$D$47/2,-BL5,BL5),3),",",ROUND(WLS*$AP41,3)," ")),"")</f>
        <v xml:space="preserve">162.65,1 </v>
      </c>
      <c r="I100" s="380" t="str">
        <f>IFERROR(IF(ISERROR(CW129),"",CONCATENATE(ROUND(X_SHIFT_BP+IF(Tools!I$97&lt;=Tools!$D$47/2,-BM5,BM5),3),",",ROUND(WLS*$AP41,3)," ")),"")</f>
        <v xml:space="preserve">160.79,1 </v>
      </c>
      <c r="J100" s="380" t="str">
        <f>IFERROR(IF(ISERROR(CX129),"",CONCATENATE(ROUND(X_SHIFT_BP+IF(Tools!J$97&lt;=Tools!$D$47/2,-BN5,BN5),3),",",ROUND(WLS*$AP41,3)," ")),"")</f>
        <v xml:space="preserve">159.41,1 </v>
      </c>
      <c r="K100" s="380" t="str">
        <f>IFERROR(IF(ISERROR(CY129),"",CONCATENATE(ROUND(X_SHIFT_BP+IF(Tools!K$97&lt;=Tools!$D$47/2,-BO5,BO5),3),",",ROUND(WLS*$AP41,3)," ")),"")</f>
        <v xml:space="preserve">158.61,1 </v>
      </c>
      <c r="L100" s="380" t="str">
        <f>IFERROR(IF(ISERROR(CZ129),"",CONCATENATE(ROUND(X_SHIFT_BP+IF(Tools!L$97&lt;=Tools!$D$47/2,-BP5,BP5),3),",",ROUND(WLS*$AP41,3)," ")),"")</f>
        <v xml:space="preserve">158.24,1 </v>
      </c>
      <c r="M100" s="380" t="str">
        <f>IFERROR(IF(ISERROR(DA129),"",CONCATENATE(ROUND(X_SHIFT_BP+IF(Tools!M$97&lt;=Tools!$D$47/2,-BQ5,BQ5),3),",",ROUND(WLS*$AP41,3)," ")),"")</f>
        <v xml:space="preserve">158.16,1 </v>
      </c>
      <c r="N100" s="380" t="str">
        <f>IFERROR(IF(ISERROR(DB129),"",CONCATENATE(ROUND(X_SHIFT_BP+IF(Tools!N$97&lt;=Tools!$D$47/2,-BR5,BR5),3),",",ROUND(WLS*$AP41,3)," ")),"")</f>
        <v xml:space="preserve">158.16,1 </v>
      </c>
      <c r="O100" s="380" t="str">
        <f>IFERROR(IF(ISERROR(DC129),"",CONCATENATE(ROUND(X_SHIFT_BP+IF(Tools!O$97&lt;=Tools!$D$47/2,-BS5,BS5),3),",",ROUND(WLS*$AP41,3)," ")),"")</f>
        <v xml:space="preserve">179.66,1 </v>
      </c>
      <c r="P100" s="380" t="str">
        <f>IFERROR(IF(ISERROR(DD129),"",CONCATENATE(ROUND(X_SHIFT_BP+IF(Tools!P$97&lt;=Tools!$D$47/2,-BT5,BT5),3),",",ROUND(WLS*$AP41,3)," ")),"")</f>
        <v xml:space="preserve">179.66,1 </v>
      </c>
      <c r="Q100" s="380" t="str">
        <f>IFERROR(IF(ISERROR(DE129),"",CONCATENATE(ROUND(X_SHIFT_BP+IF(Tools!Q$97&lt;=Tools!$D$47/2,-BU5,BU5),3),",",ROUND(WLS*$AP41,3)," ")),"")</f>
        <v xml:space="preserve">179.66,1 </v>
      </c>
      <c r="R100" s="380" t="str">
        <f>IFERROR(IF(ISERROR(DF129),"",CONCATENATE(ROUND(X_SHIFT_BP+IF(Tools!R$97&lt;=Tools!$D$47/2,-BV5,BV5),3),",",ROUND(WLS*$AP41,3)," ")),"")</f>
        <v xml:space="preserve">179.57,1 </v>
      </c>
      <c r="S100" s="380" t="str">
        <f>IFERROR(IF(ISERROR(DG129),"",CONCATENATE(ROUND(X_SHIFT_BP+IF(Tools!S$97&lt;=Tools!$D$47/2,-BW5,BW5),3),",",ROUND(WLS*$AP41,3)," ")),"")</f>
        <v xml:space="preserve">179.11,1 </v>
      </c>
      <c r="T100" s="380" t="str">
        <f>IFERROR(IF(ISERROR(DH129),"",CONCATENATE(ROUND(X_SHIFT_BP+IF(Tools!T$97&lt;=Tools!$D$47/2,-BX5,BX5),3),",",ROUND(WLS*$AP41,3)," ")),"")</f>
        <v xml:space="preserve">178.18,1 </v>
      </c>
      <c r="U100" s="380" t="str">
        <f>IFERROR(IF(ISERROR(DI129),"",CONCATENATE(ROUND(X_SHIFT_BP+IF(Tools!U$97&lt;=Tools!$D$47/2,-BY5,BY5),3),",",ROUND(WLS*$AP41,3)," ")),"")</f>
        <v xml:space="preserve">176.47,1 </v>
      </c>
      <c r="V100" s="380" t="str">
        <f>IFERROR(IF(ISERROR(DJ129),"",CONCATENATE(ROUND(X_SHIFT_BP+IF(Tools!V$97&lt;=Tools!$D$47/2,-BZ5,BZ5),3),",",ROUND(WLS*$AP41,3)," ")),"")</f>
        <v xml:space="preserve">174.26,1 </v>
      </c>
      <c r="W100" s="380" t="str">
        <f>IFERROR(IF(ISERROR(DK129),"",CONCATENATE(ROUND(X_SHIFT_BP+IF(Tools!W$97&lt;=Tools!$D$47/2,-CA5,CA5),3),",",ROUND(WLS*$AP41,3)," ")),"")</f>
        <v xml:space="preserve">173.04,1 </v>
      </c>
      <c r="X100" s="380" t="str">
        <f>IFERROR(IF(ISERROR(DL129),"",CONCATENATE(ROUND(X_SHIFT_BP+IF(Tools!X$97&lt;=Tools!$D$47/2,-CB5,CB5),3),",",ROUND(WLS*$AP41,3)," ")),"")</f>
        <v xml:space="preserve">171.75,1 </v>
      </c>
      <c r="Y100" s="380" t="str">
        <f>IFERROR(IF(ISERROR(DM129),"",CONCATENATE(ROUND(X_SHIFT_BP+IF(Tools!Y$97&lt;=Tools!$D$47/2,-CC5,CC5),3),",",ROUND(WLS*$AP41,3)," ")),"")</f>
        <v xml:space="preserve">170.6,1 </v>
      </c>
      <c r="Z100" s="380" t="str">
        <f>IFERROR(IF(ISERROR(DN129),"",CONCATENATE(ROUND(X_SHIFT_BP+IF(Tools!Z$97&lt;=Tools!$D$47/2,-CD5,CD5),3),",",ROUND(WLS*$AP41,3)," ")),"")</f>
        <v xml:space="preserve">170.11,1 </v>
      </c>
      <c r="AA100" s="132">
        <v>12</v>
      </c>
      <c r="AB100" s="248" t="str">
        <f t="shared" si="259"/>
        <v xml:space="preserve">Spline </v>
      </c>
      <c r="AC100" s="132" t="str">
        <v/>
      </c>
      <c r="AD100" s="248" t="str">
        <v xml:space="preserve">168.61,0 </v>
      </c>
      <c r="AE100" s="248" t="str">
        <v xml:space="preserve">168.41,0.5 </v>
      </c>
      <c r="AF100" s="248" t="str">
        <v xml:space="preserve">168.23,1 </v>
      </c>
      <c r="AG100" s="248" t="str">
        <v xml:space="preserve">168.08,1.5 </v>
      </c>
      <c r="AH100" s="248" t="str">
        <v xml:space="preserve">167.93,2 </v>
      </c>
      <c r="AI100" s="248" t="str">
        <v xml:space="preserve">167.47,4 </v>
      </c>
      <c r="AJ100" s="248" t="str">
        <v xml:space="preserve">166.64,6 </v>
      </c>
      <c r="AK100" s="248" t="str">
        <v xml:space="preserve">164.9,8 </v>
      </c>
      <c r="AL100" s="248" t="str">
        <v xml:space="preserve">163.34,9.7 </v>
      </c>
      <c r="AM100" s="248" t="str">
        <v xml:space="preserve">163.13,10 </v>
      </c>
      <c r="AN100" s="248" t="str">
        <v xml:space="preserve">162.11,12 </v>
      </c>
      <c r="AO100" s="248" t="str">
        <v xml:space="preserve">161.64,13 </v>
      </c>
      <c r="AP100" s="248" t="str">
        <v/>
      </c>
      <c r="AQ100" s="248" t="str">
        <v/>
      </c>
      <c r="AR100" s="248" t="str">
        <v/>
      </c>
      <c r="AS100" s="248" t="str">
        <v/>
      </c>
      <c r="AT100" s="248" t="str">
        <v/>
      </c>
      <c r="AU100" s="248" t="str">
        <v/>
      </c>
      <c r="AV100" s="248" t="str">
        <v/>
      </c>
      <c r="AW100" s="248" t="str">
        <v/>
      </c>
      <c r="AX100" s="248" t="str">
        <v/>
      </c>
      <c r="AY100" s="248" t="str">
        <v/>
      </c>
      <c r="AZ100" s="248" t="str">
        <v/>
      </c>
      <c r="BA100" s="248" t="str">
        <v/>
      </c>
      <c r="BB100" s="248" t="str">
        <v/>
      </c>
      <c r="BC100" s="379">
        <f>Tools!AD5</f>
        <v>1</v>
      </c>
      <c r="BD100" s="379">
        <f>IFERROR(Tools!AD5*STN_GAP,"")</f>
        <v>7.31</v>
      </c>
      <c r="BE100" s="467">
        <f>IFERROR(IF(ISNUMBER(DE100),NA(),IF(AND($DF100&lt;&gt;0,$DG100&gt;BE$97),NA(),IF($BD100&gt;LBP/2,-(-Tools!AE5),-Tools!AE5))),NA())</f>
        <v>-0.3</v>
      </c>
      <c r="BF100" s="379">
        <f>IFERROR(IF(AND($DF100&lt;&gt;0,$DG100&gt;BF$97),NA(),IF($BD100&gt;LBP/2,-(-Tools!AF5),-Tools!AF5)),NA())</f>
        <v>-0.5</v>
      </c>
      <c r="BG100" s="379">
        <f>IFERROR(IF(AND($DF100&lt;&gt;0,$DG100&gt;BG$97),NA(),IF($BD100&gt;LBP/2,-(-Tools!AG5),-Tools!AG5)),NA())</f>
        <v>-0.68</v>
      </c>
      <c r="BH100" s="379">
        <f>IFERROR(IF(AND($DF100&lt;&gt;0,$DG100&gt;BH$97),NA(),IF($BD100&gt;LBP/2,-(-Tools!AH5),-Tools!AH5)),NA())</f>
        <v>-0.83</v>
      </c>
      <c r="BI100" s="379">
        <f>IFERROR(IF(AND($DF100&lt;&gt;0,$DG100&gt;BI$97),NA(),IF($BD100&gt;LBP/2,-(-Tools!AI5),-Tools!AI5)),NA())</f>
        <v>-0.98</v>
      </c>
      <c r="BJ100" s="379">
        <f>IFERROR(IF(AND($DF100&lt;&gt;0,$DG100&gt;BJ$97),NA(),IF($BD100&gt;LBP/2,-(-Tools!AJ5),-Tools!AJ5)),NA())</f>
        <v>-1.44</v>
      </c>
      <c r="BK100" s="379">
        <f>IFERROR(IF(AND($DF100&lt;&gt;0,$DG100&gt;BK$97),NA(),IF($BD100&gt;LBP/2,-(-Tools!AK5),-Tools!AK5)),NA())</f>
        <v>-2.27</v>
      </c>
      <c r="BL100" s="379">
        <f>IFERROR(IF(AND($DF100&lt;&gt;0,$DG100&gt;BL$97),NA(),IF($BD100&gt;LBP/2,-(-Tools!AL5),-Tools!AL5)),NA())</f>
        <v>-4.01</v>
      </c>
      <c r="BM100" s="379">
        <f>IFERROR(IF(AND($DF100&lt;&gt;0,$DG100&gt;BM$97),NA(),IF($BD100&gt;LBP/2,-(-Tools!AM5),-Tools!AM5)),NA())</f>
        <v>-5.57</v>
      </c>
      <c r="BN100" s="379">
        <f>IFERROR(IF(AND($DF100&lt;&gt;0,$DG100&gt;BN$97),NA(),IF($BD100&gt;LBP/2,-(-Tools!AN5),-Tools!AN5)),NA())</f>
        <v>-5.78</v>
      </c>
      <c r="BO100" s="379">
        <f>IFERROR(IF(AND($DF100&lt;&gt;0,$DG100&gt;BO$97),NA(),IF($BD100&gt;LBP/2,-(-Tools!AO5),-Tools!AO5)),NA())</f>
        <v>-6.8</v>
      </c>
      <c r="BP100" s="379">
        <f>IFERROR(IF(AND($DF100&lt;&gt;0,$DG100&gt;BP$97),NA(),IF($BD100&gt;LBP/2,-(-Tools!AP5),-Tools!AP5)),NA())</f>
        <v>-7.27</v>
      </c>
      <c r="BQ100" s="379" t="e">
        <f>IFERROR(IF(AND($DF100&lt;&gt;0,$DG100&gt;BQ$97),NA(),IF($BD100&gt;LBP/2,-(-Tools!AQ5),-Tools!AQ5)),NA())</f>
        <v>#N/A</v>
      </c>
      <c r="BR100" s="379" t="e">
        <f>IFERROR(IF(AND($DF100&lt;&gt;0,$DG100&gt;BR$97),NA(),IF($BD100&gt;LBP/2,-(-Tools!AR5),-Tools!AR5)),NA())</f>
        <v>#N/A</v>
      </c>
      <c r="BS100" s="379" t="e">
        <f>IFERROR(IF(AND($DF100&lt;&gt;0,$DG100&gt;BS$97),NA(),IF($BD100&gt;LBP/2,-(-Tools!AS5),-Tools!AS5)),NA())</f>
        <v>#N/A</v>
      </c>
      <c r="BT100" s="379" t="e">
        <f>IFERROR(IF(AND($DF100&lt;&gt;0,$DG100&gt;BT$97),NA(),IF($BD100&gt;LBP/2,-(-Tools!AT5),-Tools!AT5)),NA())</f>
        <v>#N/A</v>
      </c>
      <c r="BU100" s="379" t="e">
        <f>IFERROR(IF(AND($DF100&lt;&gt;0,$DG100&gt;BU$97),NA(),IF($BD100&gt;LBP/2,-(-Tools!AU5),-Tools!AU5)),NA())</f>
        <v>#N/A</v>
      </c>
      <c r="BV100" s="379" t="e">
        <f>IFERROR(IF(AND($DF100&lt;&gt;0,$DG100&gt;BV$97),NA(),IF($BD100&gt;LBP/2,-(-Tools!AV5),-Tools!AV5)),NA())</f>
        <v>#N/A</v>
      </c>
      <c r="BW100" s="379" t="e">
        <f>IFERROR(IF(AND($DF100&lt;&gt;0,$DG100&gt;BW$97),NA(),IF($BD100&gt;LBP/2,-(-Tools!AW5),-Tools!AW5)),NA())</f>
        <v>#N/A</v>
      </c>
      <c r="BX100" s="379" t="e">
        <f>IFERROR(IF(AND($DF100&lt;&gt;0,$DG100&gt;BX$97),NA(),IF($BD100&gt;LBP/2,-(-Tools!AX5),-Tools!AX5)),NA())</f>
        <v>#N/A</v>
      </c>
      <c r="BY100" s="379" t="e">
        <f>IFERROR(IF(AND($DF100&lt;&gt;0,$DG100&gt;BY$97),NA(),IF($BD100&gt;LBP/2,-(-Tools!AY5),-Tools!AY5)),NA())</f>
        <v>#N/A</v>
      </c>
      <c r="BZ100" s="379" t="e">
        <f>IFERROR(IF(AND($DF100&lt;&gt;0,$DG100&gt;BZ$97),NA(),IF($BD100&gt;LBP/2,-(-Tools!AZ5),-Tools!AZ5)),NA())</f>
        <v>#N/A</v>
      </c>
      <c r="CA100" s="379" t="e">
        <f>IFERROR(IF(AND($DF100&lt;&gt;0,$DG100&gt;CA$97),NA(),IF($BD100&gt;LBP/2,-(-Tools!BA5),-Tools!BA5)),NA())</f>
        <v>#N/A</v>
      </c>
      <c r="CB100" s="379" t="e">
        <f>IFERROR(IF(AND($DF100&lt;&gt;0,$DG100&gt;CB$97),NA(),IF($BD100&gt;LBP/2,-(-Tools!BB5),-Tools!BB5)),NA())</f>
        <v>#N/A</v>
      </c>
      <c r="CC100" s="379" t="e">
        <f>IFERROR(IF(AND($DF100&lt;&gt;0,$DG100&gt;CC$97),NA(),IF($BD100&gt;LBP/2,-(-Tools!BC5),-Tools!BC5)),NA())</f>
        <v>#N/A</v>
      </c>
      <c r="CE100" s="429" t="b">
        <f t="shared" si="207"/>
        <v>0</v>
      </c>
      <c r="CF100" s="429" t="b">
        <f t="shared" si="208"/>
        <v>0</v>
      </c>
      <c r="CG100" s="429" t="b">
        <f t="shared" si="209"/>
        <v>0</v>
      </c>
      <c r="CH100" s="429" t="b">
        <f t="shared" si="210"/>
        <v>0</v>
      </c>
      <c r="CI100" s="429" t="b">
        <f t="shared" si="211"/>
        <v>0</v>
      </c>
      <c r="CJ100" s="429" t="b">
        <f t="shared" si="212"/>
        <v>0</v>
      </c>
      <c r="CK100" s="429" t="b">
        <f t="shared" si="213"/>
        <v>0</v>
      </c>
      <c r="CL100" s="429" t="b">
        <f t="shared" si="214"/>
        <v>0</v>
      </c>
      <c r="CM100" s="429" t="b">
        <f t="shared" si="215"/>
        <v>0</v>
      </c>
      <c r="CN100" s="429" t="b">
        <f t="shared" si="216"/>
        <v>0</v>
      </c>
      <c r="CO100" s="429" t="b">
        <f t="shared" si="217"/>
        <v>0</v>
      </c>
      <c r="CP100" s="429" t="b">
        <f t="shared" si="218"/>
        <v>0</v>
      </c>
      <c r="CQ100" s="429" t="b">
        <f t="shared" si="219"/>
        <v>0</v>
      </c>
      <c r="CR100" s="429" t="b">
        <f t="shared" si="220"/>
        <v>0</v>
      </c>
      <c r="CS100" s="429" t="b">
        <f t="shared" si="221"/>
        <v>0</v>
      </c>
      <c r="CT100" s="429" t="b">
        <f t="shared" si="222"/>
        <v>0</v>
      </c>
      <c r="CU100" s="429" t="b">
        <f t="shared" si="223"/>
        <v>0</v>
      </c>
      <c r="CV100" s="429" t="b">
        <f t="shared" si="224"/>
        <v>0</v>
      </c>
      <c r="CW100" s="429" t="b">
        <f t="shared" si="225"/>
        <v>0</v>
      </c>
      <c r="CX100" s="429" t="b">
        <f t="shared" si="226"/>
        <v>0</v>
      </c>
      <c r="CY100" s="429" t="b">
        <f t="shared" si="227"/>
        <v>0</v>
      </c>
      <c r="CZ100" s="429" t="b">
        <f t="shared" si="228"/>
        <v>0</v>
      </c>
      <c r="DA100" s="429" t="b">
        <f t="shared" si="229"/>
        <v>0</v>
      </c>
      <c r="DB100" s="429" t="b">
        <f t="shared" si="230"/>
        <v>0</v>
      </c>
      <c r="DC100" s="429"/>
      <c r="DD100" s="429">
        <f t="shared" si="260"/>
        <v>0</v>
      </c>
      <c r="DE100" s="429" t="str">
        <f t="shared" si="231"/>
        <v>-</v>
      </c>
      <c r="DF100" s="429">
        <f t="shared" si="232"/>
        <v>0</v>
      </c>
      <c r="DG100" s="429">
        <f t="shared" si="261"/>
        <v>0</v>
      </c>
      <c r="DH100" s="429">
        <f t="shared" si="262"/>
        <v>1</v>
      </c>
      <c r="DI100" s="429"/>
      <c r="DJ100" s="429" t="e">
        <f t="shared" si="263"/>
        <v>#N/A</v>
      </c>
      <c r="DK100" s="429">
        <f t="shared" si="180"/>
        <v>-0.3</v>
      </c>
      <c r="DL100" s="429">
        <f t="shared" si="181"/>
        <v>-0.5</v>
      </c>
      <c r="DM100" s="429">
        <f t="shared" si="182"/>
        <v>-0.68</v>
      </c>
      <c r="DN100" s="429">
        <f t="shared" si="183"/>
        <v>-0.83</v>
      </c>
      <c r="DO100" s="429">
        <f t="shared" si="184"/>
        <v>-0.98</v>
      </c>
      <c r="DP100" s="429">
        <f t="shared" si="185"/>
        <v>-1.44</v>
      </c>
      <c r="DQ100" s="429">
        <f t="shared" si="186"/>
        <v>-2.27</v>
      </c>
      <c r="DR100" s="429">
        <f t="shared" si="187"/>
        <v>-4.01</v>
      </c>
      <c r="DS100" s="429">
        <f t="shared" si="188"/>
        <v>-5.57</v>
      </c>
      <c r="DT100" s="429">
        <f t="shared" si="189"/>
        <v>-5.78</v>
      </c>
      <c r="DU100" s="429">
        <f t="shared" si="190"/>
        <v>-6.8</v>
      </c>
      <c r="DV100" s="429">
        <f t="shared" si="191"/>
        <v>-7.27</v>
      </c>
      <c r="DW100" s="429" t="e">
        <f t="shared" si="192"/>
        <v>#N/A</v>
      </c>
      <c r="DX100" s="429" t="e">
        <f t="shared" si="193"/>
        <v>#N/A</v>
      </c>
      <c r="DY100" s="429" t="e">
        <f t="shared" si="194"/>
        <v>#N/A</v>
      </c>
      <c r="DZ100" s="429" t="e">
        <f t="shared" si="195"/>
        <v>#N/A</v>
      </c>
      <c r="EA100" s="429" t="e">
        <f t="shared" si="196"/>
        <v>#N/A</v>
      </c>
      <c r="EB100" s="429" t="e">
        <f t="shared" si="197"/>
        <v>#N/A</v>
      </c>
      <c r="EC100" s="429" t="e">
        <f t="shared" si="198"/>
        <v>#N/A</v>
      </c>
      <c r="ED100" s="429" t="e">
        <f t="shared" si="199"/>
        <v>#N/A</v>
      </c>
      <c r="EE100" s="429" t="e">
        <f t="shared" si="200"/>
        <v>#N/A</v>
      </c>
      <c r="EF100" s="429" t="e">
        <f t="shared" si="201"/>
        <v>#N/A</v>
      </c>
      <c r="EG100" s="429" t="e">
        <f t="shared" si="202"/>
        <v>#N/A</v>
      </c>
      <c r="EH100" s="429" t="e">
        <f t="shared" si="203"/>
        <v>#N/A</v>
      </c>
      <c r="EI100" s="429" t="e">
        <f t="shared" si="204"/>
        <v>#N/A</v>
      </c>
      <c r="EJ100" s="429"/>
      <c r="EK100" s="429"/>
      <c r="EL100" s="429" t="e">
        <f t="shared" si="233"/>
        <v>#N/A</v>
      </c>
      <c r="EM100" s="429">
        <f t="shared" si="234"/>
        <v>0</v>
      </c>
      <c r="EN100" s="429">
        <f t="shared" si="235"/>
        <v>0.5</v>
      </c>
      <c r="EO100" s="429">
        <f t="shared" si="236"/>
        <v>1</v>
      </c>
      <c r="EP100" s="429">
        <f t="shared" si="237"/>
        <v>1.5</v>
      </c>
      <c r="EQ100" s="429">
        <f t="shared" si="238"/>
        <v>2</v>
      </c>
      <c r="ER100" s="429">
        <f t="shared" si="239"/>
        <v>4</v>
      </c>
      <c r="ES100" s="429">
        <f t="shared" si="240"/>
        <v>6</v>
      </c>
      <c r="ET100" s="429">
        <f t="shared" si="241"/>
        <v>8</v>
      </c>
      <c r="EU100" s="429">
        <f t="shared" si="242"/>
        <v>9.6999999999999993</v>
      </c>
      <c r="EV100" s="429">
        <f t="shared" si="243"/>
        <v>10</v>
      </c>
      <c r="EW100" s="429">
        <f t="shared" si="244"/>
        <v>12</v>
      </c>
      <c r="EX100" s="429">
        <f t="shared" si="245"/>
        <v>13</v>
      </c>
      <c r="EY100" s="429" t="e">
        <f t="shared" si="246"/>
        <v>#N/A</v>
      </c>
      <c r="EZ100" s="429" t="e">
        <f t="shared" si="247"/>
        <v>#N/A</v>
      </c>
      <c r="FA100" s="429" t="e">
        <f t="shared" si="248"/>
        <v>#N/A</v>
      </c>
      <c r="FB100" s="429" t="e">
        <f t="shared" si="249"/>
        <v>#N/A</v>
      </c>
      <c r="FC100" s="429" t="e">
        <f t="shared" si="250"/>
        <v>#N/A</v>
      </c>
      <c r="FD100" s="429" t="e">
        <f t="shared" si="251"/>
        <v>#N/A</v>
      </c>
      <c r="FE100" s="429" t="e">
        <f t="shared" si="252"/>
        <v>#N/A</v>
      </c>
      <c r="FF100" s="429" t="e">
        <f t="shared" si="253"/>
        <v>#N/A</v>
      </c>
      <c r="FG100" s="429" t="e">
        <f t="shared" si="254"/>
        <v>#N/A</v>
      </c>
      <c r="FH100" s="429" t="e">
        <f t="shared" si="255"/>
        <v>#N/A</v>
      </c>
      <c r="FI100" s="429" t="e">
        <f t="shared" si="256"/>
        <v>#N/A</v>
      </c>
      <c r="FJ100" s="429" t="e">
        <f t="shared" si="257"/>
        <v>#N/A</v>
      </c>
      <c r="FK100" s="429" t="e">
        <f t="shared" si="258"/>
        <v>#N/A</v>
      </c>
    </row>
    <row r="101" spans="1:167" x14ac:dyDescent="0.25">
      <c r="A101" s="377">
        <f t="shared" si="206"/>
        <v>0.75</v>
      </c>
      <c r="B101" s="380" t="str">
        <f>IFERROR(IF(ISERROR(CP130),"",CONCATENATE(ROUND(X_SHIFT_BP+IF(Tools!B$97&lt;=Tools!$D$47/2,-BF6,BF6),3),",",ROUND(WLS*$AP42,3)," ")),"")</f>
        <v/>
      </c>
      <c r="C101" s="380" t="str">
        <f>IFERROR(IF(ISERROR(CQ130),"",CONCATENATE(ROUND(X_SHIFT_BP+IF(Tools!C$97&lt;=Tools!$D$47/2,-BG6,BG6),3),",",ROUND(WLS*$AP42,3)," ")),"")</f>
        <v xml:space="preserve">168.7,1.5 </v>
      </c>
      <c r="D101" s="380" t="str">
        <f>IFERROR(IF(ISERROR(CR130),"",CONCATENATE(ROUND(X_SHIFT_BP+IF(Tools!D$97&lt;=Tools!$D$47/2,-BH6,BH6),3),",",ROUND(WLS*$AP42,3)," ")),"")</f>
        <v xml:space="preserve">168.08,1.5 </v>
      </c>
      <c r="E101" s="380" t="str">
        <f>IFERROR(IF(ISERROR(CS130),"",CONCATENATE(ROUND(X_SHIFT_BP+IF(Tools!E$97&lt;=Tools!$D$47/2,-BI6,BI6),3),",",ROUND(WLS*$AP42,3)," ")),"")</f>
        <v xml:space="preserve">167.26,1.5 </v>
      </c>
      <c r="F101" s="380" t="str">
        <f>IFERROR(IF(ISERROR(CT130),"",CONCATENATE(ROUND(X_SHIFT_BP+IF(Tools!F$97&lt;=Tools!$D$47/2,-BJ6,BJ6),3),",",ROUND(WLS*$AP42,3)," ")),"")</f>
        <v xml:space="preserve">166.32,1.5 </v>
      </c>
      <c r="G101" s="380" t="str">
        <f>IFERROR(IF(ISERROR(CU130),"",CONCATENATE(ROUND(X_SHIFT_BP+IF(Tools!G$97&lt;=Tools!$D$47/2,-BK6,BK6),3),",",ROUND(WLS*$AP42,3)," ")),"")</f>
        <v xml:space="preserve">164.19,1.5 </v>
      </c>
      <c r="H101" s="380" t="str">
        <f>IFERROR(IF(ISERROR(CV130),"",CONCATENATE(ROUND(X_SHIFT_BP+IF(Tools!H$97&lt;=Tools!$D$47/2,-BL6,BL6),3),",",ROUND(WLS*$AP42,3)," ")),"")</f>
        <v xml:space="preserve">162.08,1.5 </v>
      </c>
      <c r="I101" s="380" t="str">
        <f>IFERROR(IF(ISERROR(CW130),"",CONCATENATE(ROUND(X_SHIFT_BP+IF(Tools!I$97&lt;=Tools!$D$47/2,-BM6,BM6),3),",",ROUND(WLS*$AP42,3)," ")),"")</f>
        <v xml:space="preserve">160.21,1.5 </v>
      </c>
      <c r="J101" s="380" t="str">
        <f>IFERROR(IF(ISERROR(CX130),"",CONCATENATE(ROUND(X_SHIFT_BP+IF(Tools!J$97&lt;=Tools!$D$47/2,-BN6,BN6),3),",",ROUND(WLS*$AP42,3)," ")),"")</f>
        <v xml:space="preserve">158.97,1.5 </v>
      </c>
      <c r="K101" s="380" t="str">
        <f>IFERROR(IF(ISERROR(CY130),"",CONCATENATE(ROUND(X_SHIFT_BP+IF(Tools!K$97&lt;=Tools!$D$47/2,-BO6,BO6),3),",",ROUND(WLS*$AP42,3)," ")),"")</f>
        <v xml:space="preserve">158.31,1.5 </v>
      </c>
      <c r="L101" s="380" t="str">
        <f>IFERROR(IF(ISERROR(CZ130),"",CONCATENATE(ROUND(X_SHIFT_BP+IF(Tools!L$97&lt;=Tools!$D$47/2,-BP6,BP6),3),",",ROUND(WLS*$AP42,3)," ")),"")</f>
        <v xml:space="preserve">158.01,1.5 </v>
      </c>
      <c r="M101" s="380" t="str">
        <f>IFERROR(IF(ISERROR(DA130),"",CONCATENATE(ROUND(X_SHIFT_BP+IF(Tools!M$97&lt;=Tools!$D$47/2,-BQ6,BQ6),3),",",ROUND(WLS*$AP42,3)," ")),"")</f>
        <v xml:space="preserve">157.98,1.5 </v>
      </c>
      <c r="N101" s="380" t="str">
        <f>IFERROR(IF(ISERROR(DB130),"",CONCATENATE(ROUND(X_SHIFT_BP+IF(Tools!N$97&lt;=Tools!$D$47/2,-BR6,BR6),3),",",ROUND(WLS*$AP42,3)," ")),"")</f>
        <v xml:space="preserve">157.98,1.5 </v>
      </c>
      <c r="O101" s="380" t="str">
        <f>IFERROR(IF(ISERROR(DC130),"",CONCATENATE(ROUND(X_SHIFT_BP+IF(Tools!O$97&lt;=Tools!$D$47/2,-BS6,BS6),3),",",ROUND(WLS*$AP42,3)," ")),"")</f>
        <v xml:space="preserve">179.84,1.5 </v>
      </c>
      <c r="P101" s="380" t="str">
        <f>IFERROR(IF(ISERROR(DD130),"",CONCATENATE(ROUND(X_SHIFT_BP+IF(Tools!P$97&lt;=Tools!$D$47/2,-BT6,BT6),3),",",ROUND(WLS*$AP42,3)," ")),"")</f>
        <v xml:space="preserve">179.84,1.5 </v>
      </c>
      <c r="Q101" s="380" t="str">
        <f>IFERROR(IF(ISERROR(DE130),"",CONCATENATE(ROUND(X_SHIFT_BP+IF(Tools!Q$97&lt;=Tools!$D$47/2,-BU6,BU6),3),",",ROUND(WLS*$AP42,3)," ")),"")</f>
        <v xml:space="preserve">179.84,1.5 </v>
      </c>
      <c r="R101" s="380" t="str">
        <f>IFERROR(IF(ISERROR(DF130),"",CONCATENATE(ROUND(X_SHIFT_BP+IF(Tools!R$97&lt;=Tools!$D$47/2,-BV6,BV6),3),",",ROUND(WLS*$AP42,3)," ")),"")</f>
        <v xml:space="preserve">179.78,1.5 </v>
      </c>
      <c r="S101" s="380" t="str">
        <f>IFERROR(IF(ISERROR(DG130),"",CONCATENATE(ROUND(X_SHIFT_BP+IF(Tools!S$97&lt;=Tools!$D$47/2,-BW6,BW6),3),",",ROUND(WLS*$AP42,3)," ")),"")</f>
        <v xml:space="preserve">179.41,1.5 </v>
      </c>
      <c r="T101" s="380" t="str">
        <f>IFERROR(IF(ISERROR(DH130),"",CONCATENATE(ROUND(X_SHIFT_BP+IF(Tools!T$97&lt;=Tools!$D$47/2,-BX6,BX6),3),",",ROUND(WLS*$AP42,3)," ")),"")</f>
        <v xml:space="preserve">178.57,1.5 </v>
      </c>
      <c r="U101" s="380" t="str">
        <f>IFERROR(IF(ISERROR(DI130),"",CONCATENATE(ROUND(X_SHIFT_BP+IF(Tools!U$97&lt;=Tools!$D$47/2,-BY6,BY6),3),",",ROUND(WLS*$AP42,3)," ")),"")</f>
        <v xml:space="preserve">176.95,1.5 </v>
      </c>
      <c r="V101" s="380" t="str">
        <f>IFERROR(IF(ISERROR(DJ130),"",CONCATENATE(ROUND(X_SHIFT_BP+IF(Tools!V$97&lt;=Tools!$D$47/2,-BZ6,BZ6),3),",",ROUND(WLS*$AP42,3)," ")),"")</f>
        <v xml:space="preserve">174.78,1.5 </v>
      </c>
      <c r="W101" s="380" t="str">
        <f>IFERROR(IF(ISERROR(DK130),"",CONCATENATE(ROUND(X_SHIFT_BP+IF(Tools!W$97&lt;=Tools!$D$47/2,-CA6,CA6),3),",",ROUND(WLS*$AP42,3)," ")),"")</f>
        <v xml:space="preserve">173.49,1.5 </v>
      </c>
      <c r="X101" s="380" t="str">
        <f>IFERROR(IF(ISERROR(DL130),"",CONCATENATE(ROUND(X_SHIFT_BP+IF(Tools!X$97&lt;=Tools!$D$47/2,-CB6,CB6),3),",",ROUND(WLS*$AP42,3)," ")),"")</f>
        <v xml:space="preserve">172.16,1.5 </v>
      </c>
      <c r="Y101" s="380" t="str">
        <f>IFERROR(IF(ISERROR(DM130),"",CONCATENATE(ROUND(X_SHIFT_BP+IF(Tools!Y$97&lt;=Tools!$D$47/2,-CC6,CC6),3),",",ROUND(WLS*$AP42,3)," ")),"")</f>
        <v xml:space="preserve">170.93,1.5 </v>
      </c>
      <c r="Z101" s="380" t="str">
        <f>IFERROR(IF(ISERROR(DN130),"",CONCATENATE(ROUND(X_SHIFT_BP+IF(Tools!Z$97&lt;=Tools!$D$47/2,-CD6,CD6),3),",",ROUND(WLS*$AP42,3)," ")),"")</f>
        <v xml:space="preserve">170.34,1.5 </v>
      </c>
      <c r="AA101" s="132">
        <v>12</v>
      </c>
      <c r="AB101" s="248" t="str">
        <f t="shared" si="259"/>
        <v xml:space="preserve">Spline </v>
      </c>
      <c r="AC101" s="132" t="str">
        <v/>
      </c>
      <c r="AD101" s="248" t="str">
        <v xml:space="preserve">168.41,0 </v>
      </c>
      <c r="AE101" s="248" t="str">
        <v xml:space="preserve">167.92,0.5 </v>
      </c>
      <c r="AF101" s="248" t="str">
        <v xml:space="preserve">167.56,1 </v>
      </c>
      <c r="AG101" s="248" t="str">
        <v xml:space="preserve">167.26,1.5 </v>
      </c>
      <c r="AH101" s="248" t="str">
        <v xml:space="preserve">167.02,2 </v>
      </c>
      <c r="AI101" s="248" t="str">
        <v xml:space="preserve">166.1,4 </v>
      </c>
      <c r="AJ101" s="248" t="str">
        <v xml:space="preserve">165.05,6 </v>
      </c>
      <c r="AK101" s="248" t="str">
        <v xml:space="preserve">163.41,8 </v>
      </c>
      <c r="AL101" s="248" t="str">
        <v xml:space="preserve">162.09,9.7 </v>
      </c>
      <c r="AM101" s="248" t="str">
        <v xml:space="preserve">161.9,10 </v>
      </c>
      <c r="AN101" s="248" t="str">
        <v xml:space="preserve">160.93,12 </v>
      </c>
      <c r="AO101" s="248" t="str">
        <v xml:space="preserve">160.49,13 </v>
      </c>
      <c r="AP101" s="248" t="str">
        <v/>
      </c>
      <c r="AQ101" s="248" t="str">
        <v/>
      </c>
      <c r="AR101" s="248" t="str">
        <v/>
      </c>
      <c r="AS101" s="248" t="str">
        <v/>
      </c>
      <c r="AT101" s="248" t="str">
        <v/>
      </c>
      <c r="AU101" s="248" t="str">
        <v/>
      </c>
      <c r="AV101" s="248" t="str">
        <v/>
      </c>
      <c r="AW101" s="248" t="str">
        <v/>
      </c>
      <c r="AX101" s="248" t="str">
        <v/>
      </c>
      <c r="AY101" s="248" t="str">
        <v/>
      </c>
      <c r="AZ101" s="248" t="str">
        <v/>
      </c>
      <c r="BA101" s="248" t="str">
        <v/>
      </c>
      <c r="BB101" s="248" t="str">
        <v/>
      </c>
      <c r="BC101" s="379">
        <f>Tools!AD6</f>
        <v>1.5</v>
      </c>
      <c r="BD101" s="379">
        <f>IFERROR(Tools!AD6*STN_GAP,"")</f>
        <v>10.965</v>
      </c>
      <c r="BE101" s="467">
        <f>IFERROR(IF(ISNUMBER(DE101),NA(),IF(AND($DF101&lt;&gt;0,$DG101&gt;BE$97),NA(),IF($BD101&gt;LBP/2,-(-Tools!AE6),-Tools!AE6))),NA())</f>
        <v>-0.5</v>
      </c>
      <c r="BF101" s="379">
        <f>IFERROR(IF(AND($DF101&lt;&gt;0,$DG101&gt;BF$97),NA(),IF($BD101&gt;LBP/2,-(-Tools!AF6),-Tools!AF6)),NA())</f>
        <v>-0.99</v>
      </c>
      <c r="BG101" s="379">
        <f>IFERROR(IF(AND($DF101&lt;&gt;0,$DG101&gt;BG$97),NA(),IF($BD101&gt;LBP/2,-(-Tools!AG6),-Tools!AG6)),NA())</f>
        <v>-1.35</v>
      </c>
      <c r="BH101" s="379">
        <f>IFERROR(IF(AND($DF101&lt;&gt;0,$DG101&gt;BH$97),NA(),IF($BD101&gt;LBP/2,-(-Tools!AH6),-Tools!AH6)),NA())</f>
        <v>-1.65</v>
      </c>
      <c r="BI101" s="379">
        <f>IFERROR(IF(AND($DF101&lt;&gt;0,$DG101&gt;BI$97),NA(),IF($BD101&gt;LBP/2,-(-Tools!AI6),-Tools!AI6)),NA())</f>
        <v>-1.89</v>
      </c>
      <c r="BJ101" s="379">
        <f>IFERROR(IF(AND($DF101&lt;&gt;0,$DG101&gt;BJ$97),NA(),IF($BD101&gt;LBP/2,-(-Tools!AJ6),-Tools!AJ6)),NA())</f>
        <v>-2.81</v>
      </c>
      <c r="BK101" s="379">
        <f>IFERROR(IF(AND($DF101&lt;&gt;0,$DG101&gt;BK$97),NA(),IF($BD101&gt;LBP/2,-(-Tools!AK6),-Tools!AK6)),NA())</f>
        <v>-3.86</v>
      </c>
      <c r="BL101" s="379">
        <f>IFERROR(IF(AND($DF101&lt;&gt;0,$DG101&gt;BL$97),NA(),IF($BD101&gt;LBP/2,-(-Tools!AL6),-Tools!AL6)),NA())</f>
        <v>-5.5</v>
      </c>
      <c r="BM101" s="379">
        <f>IFERROR(IF(AND($DF101&lt;&gt;0,$DG101&gt;BM$97),NA(),IF($BD101&gt;LBP/2,-(-Tools!AM6),-Tools!AM6)),NA())</f>
        <v>-6.82</v>
      </c>
      <c r="BN101" s="379">
        <f>IFERROR(IF(AND($DF101&lt;&gt;0,$DG101&gt;BN$97),NA(),IF($BD101&gt;LBP/2,-(-Tools!AN6),-Tools!AN6)),NA())</f>
        <v>-7.01</v>
      </c>
      <c r="BO101" s="379">
        <f>IFERROR(IF(AND($DF101&lt;&gt;0,$DG101&gt;BO$97),NA(),IF($BD101&gt;LBP/2,-(-Tools!AO6),-Tools!AO6)),NA())</f>
        <v>-7.98</v>
      </c>
      <c r="BP101" s="379">
        <f>IFERROR(IF(AND($DF101&lt;&gt;0,$DG101&gt;BP$97),NA(),IF($BD101&gt;LBP/2,-(-Tools!AP6),-Tools!AP6)),NA())</f>
        <v>-8.42</v>
      </c>
      <c r="BQ101" s="379" t="e">
        <f>IFERROR(IF(AND($DF101&lt;&gt;0,$DG101&gt;BQ$97),NA(),IF($BD101&gt;LBP/2,-(-Tools!AQ6),-Tools!AQ6)),NA())</f>
        <v>#N/A</v>
      </c>
      <c r="BR101" s="379" t="e">
        <f>IFERROR(IF(AND($DF101&lt;&gt;0,$DG101&gt;BR$97),NA(),IF($BD101&gt;LBP/2,-(-Tools!AR6),-Tools!AR6)),NA())</f>
        <v>#N/A</v>
      </c>
      <c r="BS101" s="379" t="e">
        <f>IFERROR(IF(AND($DF101&lt;&gt;0,$DG101&gt;BS$97),NA(),IF($BD101&gt;LBP/2,-(-Tools!AS6),-Tools!AS6)),NA())</f>
        <v>#N/A</v>
      </c>
      <c r="BT101" s="379" t="e">
        <f>IFERROR(IF(AND($DF101&lt;&gt;0,$DG101&gt;BT$97),NA(),IF($BD101&gt;LBP/2,-(-Tools!AT6),-Tools!AT6)),NA())</f>
        <v>#N/A</v>
      </c>
      <c r="BU101" s="379" t="e">
        <f>IFERROR(IF(AND($DF101&lt;&gt;0,$DG101&gt;BU$97),NA(),IF($BD101&gt;LBP/2,-(-Tools!AU6),-Tools!AU6)),NA())</f>
        <v>#N/A</v>
      </c>
      <c r="BV101" s="379" t="e">
        <f>IFERROR(IF(AND($DF101&lt;&gt;0,$DG101&gt;BV$97),NA(),IF($BD101&gt;LBP/2,-(-Tools!AV6),-Tools!AV6)),NA())</f>
        <v>#N/A</v>
      </c>
      <c r="BW101" s="379" t="e">
        <f>IFERROR(IF(AND($DF101&lt;&gt;0,$DG101&gt;BW$97),NA(),IF($BD101&gt;LBP/2,-(-Tools!AW6),-Tools!AW6)),NA())</f>
        <v>#N/A</v>
      </c>
      <c r="BX101" s="379" t="e">
        <f>IFERROR(IF(AND($DF101&lt;&gt;0,$DG101&gt;BX$97),NA(),IF($BD101&gt;LBP/2,-(-Tools!AX6),-Tools!AX6)),NA())</f>
        <v>#N/A</v>
      </c>
      <c r="BY101" s="379" t="e">
        <f>IFERROR(IF(AND($DF101&lt;&gt;0,$DG101&gt;BY$97),NA(),IF($BD101&gt;LBP/2,-(-Tools!AY6),-Tools!AY6)),NA())</f>
        <v>#N/A</v>
      </c>
      <c r="BZ101" s="379" t="e">
        <f>IFERROR(IF(AND($DF101&lt;&gt;0,$DG101&gt;BZ$97),NA(),IF($BD101&gt;LBP/2,-(-Tools!AZ6),-Tools!AZ6)),NA())</f>
        <v>#N/A</v>
      </c>
      <c r="CA101" s="379" t="e">
        <f>IFERROR(IF(AND($DF101&lt;&gt;0,$DG101&gt;CA$97),NA(),IF($BD101&gt;LBP/2,-(-Tools!BA6),-Tools!BA6)),NA())</f>
        <v>#N/A</v>
      </c>
      <c r="CB101" s="379" t="e">
        <f>IFERROR(IF(AND($DF101&lt;&gt;0,$DG101&gt;CB$97),NA(),IF($BD101&gt;LBP/2,-(-Tools!BB6),-Tools!BB6)),NA())</f>
        <v>#N/A</v>
      </c>
      <c r="CC101" s="379" t="e">
        <f>IFERROR(IF(AND($DF101&lt;&gt;0,$DG101&gt;CC$97),NA(),IF($BD101&gt;LBP/2,-(-Tools!BC6),-Tools!BC6)),NA())</f>
        <v>#N/A</v>
      </c>
      <c r="CE101" s="429" t="b">
        <f t="shared" si="207"/>
        <v>0</v>
      </c>
      <c r="CF101" s="429" t="b">
        <f t="shared" si="208"/>
        <v>0</v>
      </c>
      <c r="CG101" s="429" t="b">
        <f t="shared" si="209"/>
        <v>0</v>
      </c>
      <c r="CH101" s="429" t="b">
        <f t="shared" si="210"/>
        <v>0</v>
      </c>
      <c r="CI101" s="429" t="b">
        <f t="shared" si="211"/>
        <v>0</v>
      </c>
      <c r="CJ101" s="429" t="b">
        <f t="shared" si="212"/>
        <v>0</v>
      </c>
      <c r="CK101" s="429" t="b">
        <f t="shared" si="213"/>
        <v>0</v>
      </c>
      <c r="CL101" s="429" t="b">
        <f t="shared" si="214"/>
        <v>0</v>
      </c>
      <c r="CM101" s="429" t="b">
        <f t="shared" si="215"/>
        <v>0</v>
      </c>
      <c r="CN101" s="429" t="b">
        <f t="shared" si="216"/>
        <v>0</v>
      </c>
      <c r="CO101" s="429" t="b">
        <f t="shared" si="217"/>
        <v>0</v>
      </c>
      <c r="CP101" s="429" t="b">
        <f t="shared" si="218"/>
        <v>0</v>
      </c>
      <c r="CQ101" s="429" t="b">
        <f t="shared" si="219"/>
        <v>0</v>
      </c>
      <c r="CR101" s="429" t="b">
        <f t="shared" si="220"/>
        <v>0</v>
      </c>
      <c r="CS101" s="429" t="b">
        <f t="shared" si="221"/>
        <v>0</v>
      </c>
      <c r="CT101" s="429" t="b">
        <f t="shared" si="222"/>
        <v>0</v>
      </c>
      <c r="CU101" s="429" t="b">
        <f t="shared" si="223"/>
        <v>0</v>
      </c>
      <c r="CV101" s="429" t="b">
        <f t="shared" si="224"/>
        <v>0</v>
      </c>
      <c r="CW101" s="429" t="b">
        <f t="shared" si="225"/>
        <v>0</v>
      </c>
      <c r="CX101" s="429" t="b">
        <f t="shared" si="226"/>
        <v>0</v>
      </c>
      <c r="CY101" s="429" t="b">
        <f t="shared" si="227"/>
        <v>0</v>
      </c>
      <c r="CZ101" s="429" t="b">
        <f t="shared" si="228"/>
        <v>0</v>
      </c>
      <c r="DA101" s="429" t="b">
        <f t="shared" si="229"/>
        <v>0</v>
      </c>
      <c r="DB101" s="429" t="b">
        <f t="shared" si="230"/>
        <v>0</v>
      </c>
      <c r="DC101" s="429"/>
      <c r="DD101" s="429">
        <f t="shared" si="260"/>
        <v>0</v>
      </c>
      <c r="DE101" s="429" t="str">
        <f t="shared" si="231"/>
        <v>-</v>
      </c>
      <c r="DF101" s="429">
        <f t="shared" si="232"/>
        <v>0</v>
      </c>
      <c r="DG101" s="429">
        <f t="shared" si="261"/>
        <v>0</v>
      </c>
      <c r="DH101" s="429">
        <f t="shared" si="262"/>
        <v>1.5</v>
      </c>
      <c r="DI101" s="429"/>
      <c r="DJ101" s="429" t="e">
        <f t="shared" si="263"/>
        <v>#N/A</v>
      </c>
      <c r="DK101" s="429">
        <f t="shared" si="180"/>
        <v>-0.5</v>
      </c>
      <c r="DL101" s="429">
        <f t="shared" si="181"/>
        <v>-0.99</v>
      </c>
      <c r="DM101" s="429">
        <f t="shared" si="182"/>
        <v>-1.35</v>
      </c>
      <c r="DN101" s="429">
        <f t="shared" si="183"/>
        <v>-1.65</v>
      </c>
      <c r="DO101" s="429">
        <f t="shared" si="184"/>
        <v>-1.89</v>
      </c>
      <c r="DP101" s="429">
        <f t="shared" si="185"/>
        <v>-2.81</v>
      </c>
      <c r="DQ101" s="429">
        <f t="shared" si="186"/>
        <v>-3.86</v>
      </c>
      <c r="DR101" s="429">
        <f t="shared" si="187"/>
        <v>-5.5</v>
      </c>
      <c r="DS101" s="429">
        <f t="shared" si="188"/>
        <v>-6.82</v>
      </c>
      <c r="DT101" s="429">
        <f t="shared" si="189"/>
        <v>-7.01</v>
      </c>
      <c r="DU101" s="429">
        <f t="shared" si="190"/>
        <v>-7.98</v>
      </c>
      <c r="DV101" s="429">
        <f t="shared" si="191"/>
        <v>-8.42</v>
      </c>
      <c r="DW101" s="429" t="e">
        <f t="shared" si="192"/>
        <v>#N/A</v>
      </c>
      <c r="DX101" s="429" t="e">
        <f t="shared" si="193"/>
        <v>#N/A</v>
      </c>
      <c r="DY101" s="429" t="e">
        <f t="shared" si="194"/>
        <v>#N/A</v>
      </c>
      <c r="DZ101" s="429" t="e">
        <f t="shared" si="195"/>
        <v>#N/A</v>
      </c>
      <c r="EA101" s="429" t="e">
        <f t="shared" si="196"/>
        <v>#N/A</v>
      </c>
      <c r="EB101" s="429" t="e">
        <f t="shared" si="197"/>
        <v>#N/A</v>
      </c>
      <c r="EC101" s="429" t="e">
        <f t="shared" si="198"/>
        <v>#N/A</v>
      </c>
      <c r="ED101" s="429" t="e">
        <f t="shared" si="199"/>
        <v>#N/A</v>
      </c>
      <c r="EE101" s="429" t="e">
        <f t="shared" si="200"/>
        <v>#N/A</v>
      </c>
      <c r="EF101" s="429" t="e">
        <f t="shared" si="201"/>
        <v>#N/A</v>
      </c>
      <c r="EG101" s="429" t="e">
        <f t="shared" si="202"/>
        <v>#N/A</v>
      </c>
      <c r="EH101" s="429" t="e">
        <f t="shared" si="203"/>
        <v>#N/A</v>
      </c>
      <c r="EI101" s="429" t="e">
        <f t="shared" si="204"/>
        <v>#N/A</v>
      </c>
      <c r="EJ101" s="429"/>
      <c r="EK101" s="429"/>
      <c r="EL101" s="429" t="e">
        <f t="shared" si="233"/>
        <v>#N/A</v>
      </c>
      <c r="EM101" s="429">
        <f t="shared" si="234"/>
        <v>0</v>
      </c>
      <c r="EN101" s="429">
        <f t="shared" si="235"/>
        <v>0.5</v>
      </c>
      <c r="EO101" s="429">
        <f t="shared" si="236"/>
        <v>1</v>
      </c>
      <c r="EP101" s="429">
        <f t="shared" si="237"/>
        <v>1.5</v>
      </c>
      <c r="EQ101" s="429">
        <f t="shared" si="238"/>
        <v>2</v>
      </c>
      <c r="ER101" s="429">
        <f t="shared" si="239"/>
        <v>4</v>
      </c>
      <c r="ES101" s="429">
        <f t="shared" si="240"/>
        <v>6</v>
      </c>
      <c r="ET101" s="429">
        <f t="shared" si="241"/>
        <v>8</v>
      </c>
      <c r="EU101" s="429">
        <f t="shared" si="242"/>
        <v>9.6999999999999993</v>
      </c>
      <c r="EV101" s="429">
        <f t="shared" si="243"/>
        <v>10</v>
      </c>
      <c r="EW101" s="429">
        <f t="shared" si="244"/>
        <v>12</v>
      </c>
      <c r="EX101" s="429">
        <f t="shared" si="245"/>
        <v>13</v>
      </c>
      <c r="EY101" s="429" t="e">
        <f t="shared" si="246"/>
        <v>#N/A</v>
      </c>
      <c r="EZ101" s="429" t="e">
        <f t="shared" si="247"/>
        <v>#N/A</v>
      </c>
      <c r="FA101" s="429" t="e">
        <f t="shared" si="248"/>
        <v>#N/A</v>
      </c>
      <c r="FB101" s="429" t="e">
        <f t="shared" si="249"/>
        <v>#N/A</v>
      </c>
      <c r="FC101" s="429" t="e">
        <f t="shared" si="250"/>
        <v>#N/A</v>
      </c>
      <c r="FD101" s="429" t="e">
        <f t="shared" si="251"/>
        <v>#N/A</v>
      </c>
      <c r="FE101" s="429" t="e">
        <f t="shared" si="252"/>
        <v>#N/A</v>
      </c>
      <c r="FF101" s="429" t="e">
        <f t="shared" si="253"/>
        <v>#N/A</v>
      </c>
      <c r="FG101" s="429" t="e">
        <f t="shared" si="254"/>
        <v>#N/A</v>
      </c>
      <c r="FH101" s="429" t="e">
        <f t="shared" si="255"/>
        <v>#N/A</v>
      </c>
      <c r="FI101" s="429" t="e">
        <f t="shared" si="256"/>
        <v>#N/A</v>
      </c>
      <c r="FJ101" s="429" t="e">
        <f t="shared" si="257"/>
        <v>#N/A</v>
      </c>
      <c r="FK101" s="429" t="e">
        <f t="shared" si="258"/>
        <v>#N/A</v>
      </c>
    </row>
    <row r="102" spans="1:167" x14ac:dyDescent="0.25">
      <c r="A102" s="377">
        <f t="shared" si="206"/>
        <v>1</v>
      </c>
      <c r="B102" s="380" t="str">
        <f>IFERROR(IF(ISERROR(CP131),"",CONCATENATE(ROUND(X_SHIFT_BP+IF(Tools!B$97&lt;=Tools!$D$47/2,-BF7,BF7),3),",",ROUND(WLS*$AP43,3)," ")),"")</f>
        <v/>
      </c>
      <c r="C102" s="380" t="str">
        <f>IFERROR(IF(ISERROR(CQ131),"",CONCATENATE(ROUND(X_SHIFT_BP+IF(Tools!C$97&lt;=Tools!$D$47/2,-BG7,BG7),3),",",ROUND(WLS*$AP43,3)," ")),"")</f>
        <v xml:space="preserve">168.66,2 </v>
      </c>
      <c r="D102" s="380" t="str">
        <f>IFERROR(IF(ISERROR(CR131),"",CONCATENATE(ROUND(X_SHIFT_BP+IF(Tools!D$97&lt;=Tools!$D$47/2,-BH7,BH7),3),",",ROUND(WLS*$AP43,3)," ")),"")</f>
        <v xml:space="preserve">167.93,2 </v>
      </c>
      <c r="E102" s="380" t="str">
        <f>IFERROR(IF(ISERROR(CS131),"",CONCATENATE(ROUND(X_SHIFT_BP+IF(Tools!E$97&lt;=Tools!$D$47/2,-BI7,BI7),3),",",ROUND(WLS*$AP43,3)," ")),"")</f>
        <v xml:space="preserve">167.02,2 </v>
      </c>
      <c r="F102" s="380" t="str">
        <f>IFERROR(IF(ISERROR(CT131),"",CONCATENATE(ROUND(X_SHIFT_BP+IF(Tools!F$97&lt;=Tools!$D$47/2,-BJ7,BJ7),3),",",ROUND(WLS*$AP43,3)," ")),"")</f>
        <v xml:space="preserve">165.98,2 </v>
      </c>
      <c r="G102" s="380" t="str">
        <f>IFERROR(IF(ISERROR(CU131),"",CONCATENATE(ROUND(X_SHIFT_BP+IF(Tools!G$97&lt;=Tools!$D$47/2,-BK7,BK7),3),",",ROUND(WLS*$AP43,3)," ")),"")</f>
        <v xml:space="preserve">163.76,2 </v>
      </c>
      <c r="H102" s="380" t="str">
        <f>IFERROR(IF(ISERROR(CV131),"",CONCATENATE(ROUND(X_SHIFT_BP+IF(Tools!H$97&lt;=Tools!$D$47/2,-BL7,BL7),3),",",ROUND(WLS*$AP43,3)," ")),"")</f>
        <v xml:space="preserve">161.62,2 </v>
      </c>
      <c r="I102" s="380" t="str">
        <f>IFERROR(IF(ISERROR(CW131),"",CONCATENATE(ROUND(X_SHIFT_BP+IF(Tools!I$97&lt;=Tools!$D$47/2,-BM7,BM7),3),",",ROUND(WLS*$AP43,3)," ")),"")</f>
        <v xml:space="preserve">159.84,2 </v>
      </c>
      <c r="J102" s="380" t="str">
        <f>IFERROR(IF(ISERROR(CX131),"",CONCATENATE(ROUND(X_SHIFT_BP+IF(Tools!J$97&lt;=Tools!$D$47/2,-BN7,BN7),3),",",ROUND(WLS*$AP43,3)," ")),"")</f>
        <v xml:space="preserve">158.71,2 </v>
      </c>
      <c r="K102" s="380" t="str">
        <f>IFERROR(IF(ISERROR(CY131),"",CONCATENATE(ROUND(X_SHIFT_BP+IF(Tools!K$97&lt;=Tools!$D$47/2,-BO7,BO7),3),",",ROUND(WLS*$AP43,3)," ")),"")</f>
        <v xml:space="preserve">158.11,2 </v>
      </c>
      <c r="L102" s="380" t="str">
        <f>IFERROR(IF(ISERROR(CZ131),"",CONCATENATE(ROUND(X_SHIFT_BP+IF(Tools!L$97&lt;=Tools!$D$47/2,-BP7,BP7),3),",",ROUND(WLS*$AP43,3)," ")),"")</f>
        <v xml:space="preserve">157.91,2 </v>
      </c>
      <c r="M102" s="380" t="str">
        <f>IFERROR(IF(ISERROR(DA131),"",CONCATENATE(ROUND(X_SHIFT_BP+IF(Tools!M$97&lt;=Tools!$D$47/2,-BQ7,BQ7),3),",",ROUND(WLS*$AP43,3)," ")),"")</f>
        <v xml:space="preserve">157.91,2 </v>
      </c>
      <c r="N102" s="380" t="str">
        <f>IFERROR(IF(ISERROR(DB131),"",CONCATENATE(ROUND(X_SHIFT_BP+IF(Tools!N$97&lt;=Tools!$D$47/2,-BR7,BR7),3),",",ROUND(WLS*$AP43,3)," ")),"")</f>
        <v xml:space="preserve">157.91,2 </v>
      </c>
      <c r="O102" s="380" t="str">
        <f>IFERROR(IF(ISERROR(DC131),"",CONCATENATE(ROUND(X_SHIFT_BP+IF(Tools!O$97&lt;=Tools!$D$47/2,-BS7,BS7),3),",",ROUND(WLS*$AP43,3)," ")),"")</f>
        <v xml:space="preserve">179.91,2 </v>
      </c>
      <c r="P102" s="380" t="str">
        <f>IFERROR(IF(ISERROR(DD131),"",CONCATENATE(ROUND(X_SHIFT_BP+IF(Tools!P$97&lt;=Tools!$D$47/2,-BT7,BT7),3),",",ROUND(WLS*$AP43,3)," ")),"")</f>
        <v xml:space="preserve">179.91,2 </v>
      </c>
      <c r="Q102" s="380" t="str">
        <f>IFERROR(IF(ISERROR(DE131),"",CONCATENATE(ROUND(X_SHIFT_BP+IF(Tools!Q$97&lt;=Tools!$D$47/2,-BU7,BU7),3),",",ROUND(WLS*$AP43,3)," ")),"")</f>
        <v xml:space="preserve">179.91,2 </v>
      </c>
      <c r="R102" s="380" t="str">
        <f>IFERROR(IF(ISERROR(DF131),"",CONCATENATE(ROUND(X_SHIFT_BP+IF(Tools!R$97&lt;=Tools!$D$47/2,-BV7,BV7),3),",",ROUND(WLS*$AP43,3)," ")),"")</f>
        <v xml:space="preserve">179.91,2 </v>
      </c>
      <c r="S102" s="380" t="str">
        <f>IFERROR(IF(ISERROR(DG131),"",CONCATENATE(ROUND(X_SHIFT_BP+IF(Tools!S$97&lt;=Tools!$D$47/2,-BW7,BW7),3),",",ROUND(WLS*$AP43,3)," ")),"")</f>
        <v xml:space="preserve">179.61,2 </v>
      </c>
      <c r="T102" s="380" t="str">
        <f>IFERROR(IF(ISERROR(DH131),"",CONCATENATE(ROUND(X_SHIFT_BP+IF(Tools!T$97&lt;=Tools!$D$47/2,-BX7,BX7),3),",",ROUND(WLS*$AP43,3)," ")),"")</f>
        <v xml:space="preserve">178.82,2 </v>
      </c>
      <c r="U102" s="380" t="str">
        <f>IFERROR(IF(ISERROR(DI131),"",CONCATENATE(ROUND(X_SHIFT_BP+IF(Tools!U$97&lt;=Tools!$D$47/2,-BY7,BY7),3),",",ROUND(WLS*$AP43,3)," ")),"")</f>
        <v xml:space="preserve">177.33,2 </v>
      </c>
      <c r="V102" s="380" t="str">
        <f>IFERROR(IF(ISERROR(DJ131),"",CONCATENATE(ROUND(X_SHIFT_BP+IF(Tools!V$97&lt;=Tools!$D$47/2,-BZ7,BZ7),3),",",ROUND(WLS*$AP43,3)," ")),"")</f>
        <v xml:space="preserve">175.12,2 </v>
      </c>
      <c r="W102" s="380" t="str">
        <f>IFERROR(IF(ISERROR(DK131),"",CONCATENATE(ROUND(X_SHIFT_BP+IF(Tools!W$97&lt;=Tools!$D$47/2,-CA7,CA7),3),",",ROUND(WLS*$AP43,3)," ")),"")</f>
        <v xml:space="preserve">173.82,2 </v>
      </c>
      <c r="X102" s="380" t="str">
        <f>IFERROR(IF(ISERROR(DL131),"",CONCATENATE(ROUND(X_SHIFT_BP+IF(Tools!X$97&lt;=Tools!$D$47/2,-CB7,CB7),3),",",ROUND(WLS*$AP43,3)," ")),"")</f>
        <v xml:space="preserve">172.44,2 </v>
      </c>
      <c r="Y102" s="380" t="str">
        <f>IFERROR(IF(ISERROR(DM131),"",CONCATENATE(ROUND(X_SHIFT_BP+IF(Tools!Y$97&lt;=Tools!$D$47/2,-CC7,CC7),3),",",ROUND(WLS*$AP43,3)," ")),"")</f>
        <v xml:space="preserve">171.2,2 </v>
      </c>
      <c r="Z102" s="380" t="str">
        <f>IFERROR(IF(ISERROR(DN131),"",CONCATENATE(ROUND(X_SHIFT_BP+IF(Tools!Z$97&lt;=Tools!$D$47/2,-CD7,CD7),3),",",ROUND(WLS*$AP43,3)," ")),"")</f>
        <v xml:space="preserve">170.44,2 </v>
      </c>
      <c r="AA102" s="132">
        <v>12</v>
      </c>
      <c r="AB102" s="248" t="str">
        <f t="shared" si="259"/>
        <v xml:space="preserve">Spline </v>
      </c>
      <c r="AC102" s="132" t="str">
        <v/>
      </c>
      <c r="AD102" s="248" t="str">
        <v xml:space="preserve">168.01,0 </v>
      </c>
      <c r="AE102" s="248" t="str">
        <v xml:space="preserve">167.32,0.5 </v>
      </c>
      <c r="AF102" s="248" t="str">
        <v xml:space="preserve">166.77,1 </v>
      </c>
      <c r="AG102" s="248" t="str">
        <v xml:space="preserve">166.32,1.5 </v>
      </c>
      <c r="AH102" s="248" t="str">
        <v xml:space="preserve">165.98,2 </v>
      </c>
      <c r="AI102" s="248" t="str">
        <v xml:space="preserve">164.74,4 </v>
      </c>
      <c r="AJ102" s="248" t="str">
        <v xml:space="preserve">163.63,6 </v>
      </c>
      <c r="AK102" s="248" t="str">
        <v xml:space="preserve">162.21,8 </v>
      </c>
      <c r="AL102" s="248" t="str">
        <v xml:space="preserve">161.02,9.7 </v>
      </c>
      <c r="AM102" s="248" t="str">
        <v xml:space="preserve">160.87,10 </v>
      </c>
      <c r="AN102" s="248" t="str">
        <v xml:space="preserve">159.97,12 </v>
      </c>
      <c r="AO102" s="248" t="str">
        <v xml:space="preserve">159.61,13 </v>
      </c>
      <c r="AP102" s="248" t="str">
        <v/>
      </c>
      <c r="AQ102" s="248" t="str">
        <v/>
      </c>
      <c r="AR102" s="248" t="str">
        <v/>
      </c>
      <c r="AS102" s="248" t="str">
        <v/>
      </c>
      <c r="AT102" s="248" t="str">
        <v/>
      </c>
      <c r="AU102" s="248" t="str">
        <v/>
      </c>
      <c r="AV102" s="248" t="str">
        <v/>
      </c>
      <c r="AW102" s="248" t="str">
        <v/>
      </c>
      <c r="AX102" s="248" t="str">
        <v/>
      </c>
      <c r="AY102" s="248" t="str">
        <v/>
      </c>
      <c r="AZ102" s="248" t="str">
        <v/>
      </c>
      <c r="BA102" s="248" t="str">
        <v/>
      </c>
      <c r="BB102" s="248" t="str">
        <v/>
      </c>
      <c r="BC102" s="379">
        <f>Tools!AD7</f>
        <v>2</v>
      </c>
      <c r="BD102" s="379">
        <f>IFERROR(Tools!AD7*STN_GAP,"")</f>
        <v>14.62</v>
      </c>
      <c r="BE102" s="467">
        <f>IFERROR(IF(ISNUMBER(DE102),NA(),IF(AND($DF102&lt;&gt;0,$DG102&gt;BE$97),NA(),IF($BD102&gt;LBP/2,-(-Tools!AE7),-Tools!AE7))),NA())</f>
        <v>-0.9</v>
      </c>
      <c r="BF102" s="379">
        <f>IFERROR(IF(AND($DF102&lt;&gt;0,$DG102&gt;BF$97),NA(),IF($BD102&gt;LBP/2,-(-Tools!AF7),-Tools!AF7)),NA())</f>
        <v>-1.59</v>
      </c>
      <c r="BG102" s="379">
        <f>IFERROR(IF(AND($DF102&lt;&gt;0,$DG102&gt;BG$97),NA(),IF($BD102&gt;LBP/2,-(-Tools!AG7),-Tools!AG7)),NA())</f>
        <v>-2.14</v>
      </c>
      <c r="BH102" s="379">
        <f>IFERROR(IF(AND($DF102&lt;&gt;0,$DG102&gt;BH$97),NA(),IF($BD102&gt;LBP/2,-(-Tools!AH7),-Tools!AH7)),NA())</f>
        <v>-2.59</v>
      </c>
      <c r="BI102" s="379">
        <f>IFERROR(IF(AND($DF102&lt;&gt;0,$DG102&gt;BI$97),NA(),IF($BD102&gt;LBP/2,-(-Tools!AI7),-Tools!AI7)),NA())</f>
        <v>-2.93</v>
      </c>
      <c r="BJ102" s="379">
        <f>IFERROR(IF(AND($DF102&lt;&gt;0,$DG102&gt;BJ$97),NA(),IF($BD102&gt;LBP/2,-(-Tools!AJ7),-Tools!AJ7)),NA())</f>
        <v>-4.17</v>
      </c>
      <c r="BK102" s="379">
        <f>IFERROR(IF(AND($DF102&lt;&gt;0,$DG102&gt;BK$97),NA(),IF($BD102&gt;LBP/2,-(-Tools!AK7),-Tools!AK7)),NA())</f>
        <v>-5.28</v>
      </c>
      <c r="BL102" s="379">
        <f>IFERROR(IF(AND($DF102&lt;&gt;0,$DG102&gt;BL$97),NA(),IF($BD102&gt;LBP/2,-(-Tools!AL7),-Tools!AL7)),NA())</f>
        <v>-6.7</v>
      </c>
      <c r="BM102" s="379">
        <f>IFERROR(IF(AND($DF102&lt;&gt;0,$DG102&gt;BM$97),NA(),IF($BD102&gt;LBP/2,-(-Tools!AM7),-Tools!AM7)),NA())</f>
        <v>-7.89</v>
      </c>
      <c r="BN102" s="379">
        <f>IFERROR(IF(AND($DF102&lt;&gt;0,$DG102&gt;BN$97),NA(),IF($BD102&gt;LBP/2,-(-Tools!AN7),-Tools!AN7)),NA())</f>
        <v>-8.0399999999999991</v>
      </c>
      <c r="BO102" s="379">
        <f>IFERROR(IF(AND($DF102&lt;&gt;0,$DG102&gt;BO$97),NA(),IF($BD102&gt;LBP/2,-(-Tools!AO7),-Tools!AO7)),NA())</f>
        <v>-8.94</v>
      </c>
      <c r="BP102" s="379">
        <f>IFERROR(IF(AND($DF102&lt;&gt;0,$DG102&gt;BP$97),NA(),IF($BD102&gt;LBP/2,-(-Tools!AP7),-Tools!AP7)),NA())</f>
        <v>-9.3000000000000007</v>
      </c>
      <c r="BQ102" s="379" t="e">
        <f>IFERROR(IF(AND($DF102&lt;&gt;0,$DG102&gt;BQ$97),NA(),IF($BD102&gt;LBP/2,-(-Tools!AQ7),-Tools!AQ7)),NA())</f>
        <v>#N/A</v>
      </c>
      <c r="BR102" s="379" t="e">
        <f>IFERROR(IF(AND($DF102&lt;&gt;0,$DG102&gt;BR$97),NA(),IF($BD102&gt;LBP/2,-(-Tools!AR7),-Tools!AR7)),NA())</f>
        <v>#N/A</v>
      </c>
      <c r="BS102" s="379" t="e">
        <f>IFERROR(IF(AND($DF102&lt;&gt;0,$DG102&gt;BS$97),NA(),IF($BD102&gt;LBP/2,-(-Tools!AS7),-Tools!AS7)),NA())</f>
        <v>#N/A</v>
      </c>
      <c r="BT102" s="379" t="e">
        <f>IFERROR(IF(AND($DF102&lt;&gt;0,$DG102&gt;BT$97),NA(),IF($BD102&gt;LBP/2,-(-Tools!AT7),-Tools!AT7)),NA())</f>
        <v>#N/A</v>
      </c>
      <c r="BU102" s="379" t="e">
        <f>IFERROR(IF(AND($DF102&lt;&gt;0,$DG102&gt;BU$97),NA(),IF($BD102&gt;LBP/2,-(-Tools!AU7),-Tools!AU7)),NA())</f>
        <v>#N/A</v>
      </c>
      <c r="BV102" s="379" t="e">
        <f>IFERROR(IF(AND($DF102&lt;&gt;0,$DG102&gt;BV$97),NA(),IF($BD102&gt;LBP/2,-(-Tools!AV7),-Tools!AV7)),NA())</f>
        <v>#N/A</v>
      </c>
      <c r="BW102" s="379" t="e">
        <f>IFERROR(IF(AND($DF102&lt;&gt;0,$DG102&gt;BW$97),NA(),IF($BD102&gt;LBP/2,-(-Tools!AW7),-Tools!AW7)),NA())</f>
        <v>#N/A</v>
      </c>
      <c r="BX102" s="379" t="e">
        <f>IFERROR(IF(AND($DF102&lt;&gt;0,$DG102&gt;BX$97),NA(),IF($BD102&gt;LBP/2,-(-Tools!AX7),-Tools!AX7)),NA())</f>
        <v>#N/A</v>
      </c>
      <c r="BY102" s="379" t="e">
        <f>IFERROR(IF(AND($DF102&lt;&gt;0,$DG102&gt;BY$97),NA(),IF($BD102&gt;LBP/2,-(-Tools!AY7),-Tools!AY7)),NA())</f>
        <v>#N/A</v>
      </c>
      <c r="BZ102" s="379" t="e">
        <f>IFERROR(IF(AND($DF102&lt;&gt;0,$DG102&gt;BZ$97),NA(),IF($BD102&gt;LBP/2,-(-Tools!AZ7),-Tools!AZ7)),NA())</f>
        <v>#N/A</v>
      </c>
      <c r="CA102" s="379" t="e">
        <f>IFERROR(IF(AND($DF102&lt;&gt;0,$DG102&gt;CA$97),NA(),IF($BD102&gt;LBP/2,-(-Tools!BA7),-Tools!BA7)),NA())</f>
        <v>#N/A</v>
      </c>
      <c r="CB102" s="379" t="e">
        <f>IFERROR(IF(AND($DF102&lt;&gt;0,$DG102&gt;CB$97),NA(),IF($BD102&gt;LBP/2,-(-Tools!BB7),-Tools!BB7)),NA())</f>
        <v>#N/A</v>
      </c>
      <c r="CC102" s="379" t="e">
        <f>IFERROR(IF(AND($DF102&lt;&gt;0,$DG102&gt;CC$97),NA(),IF($BD102&gt;LBP/2,-(-Tools!BC7),-Tools!BC7)),NA())</f>
        <v>#N/A</v>
      </c>
      <c r="CE102" s="429" t="b">
        <f t="shared" si="207"/>
        <v>0</v>
      </c>
      <c r="CF102" s="429" t="b">
        <f t="shared" si="208"/>
        <v>0</v>
      </c>
      <c r="CG102" s="429" t="b">
        <f t="shared" si="209"/>
        <v>0</v>
      </c>
      <c r="CH102" s="429" t="b">
        <f t="shared" si="210"/>
        <v>0</v>
      </c>
      <c r="CI102" s="429" t="b">
        <f t="shared" si="211"/>
        <v>0</v>
      </c>
      <c r="CJ102" s="429" t="b">
        <f t="shared" si="212"/>
        <v>0</v>
      </c>
      <c r="CK102" s="429" t="b">
        <f t="shared" si="213"/>
        <v>0</v>
      </c>
      <c r="CL102" s="429" t="b">
        <f t="shared" si="214"/>
        <v>0</v>
      </c>
      <c r="CM102" s="429" t="b">
        <f t="shared" si="215"/>
        <v>0</v>
      </c>
      <c r="CN102" s="429" t="b">
        <f t="shared" si="216"/>
        <v>0</v>
      </c>
      <c r="CO102" s="429" t="b">
        <f t="shared" si="217"/>
        <v>0</v>
      </c>
      <c r="CP102" s="429" t="b">
        <f t="shared" si="218"/>
        <v>0</v>
      </c>
      <c r="CQ102" s="429" t="b">
        <f t="shared" si="219"/>
        <v>0</v>
      </c>
      <c r="CR102" s="429" t="b">
        <f t="shared" si="220"/>
        <v>0</v>
      </c>
      <c r="CS102" s="429" t="b">
        <f t="shared" si="221"/>
        <v>0</v>
      </c>
      <c r="CT102" s="429" t="b">
        <f t="shared" si="222"/>
        <v>0</v>
      </c>
      <c r="CU102" s="429" t="b">
        <f t="shared" si="223"/>
        <v>0</v>
      </c>
      <c r="CV102" s="429" t="b">
        <f t="shared" si="224"/>
        <v>0</v>
      </c>
      <c r="CW102" s="429" t="b">
        <f t="shared" si="225"/>
        <v>0</v>
      </c>
      <c r="CX102" s="429" t="b">
        <f t="shared" si="226"/>
        <v>0</v>
      </c>
      <c r="CY102" s="429" t="b">
        <f t="shared" si="227"/>
        <v>0</v>
      </c>
      <c r="CZ102" s="429" t="b">
        <f t="shared" si="228"/>
        <v>0</v>
      </c>
      <c r="DA102" s="429" t="b">
        <f t="shared" si="229"/>
        <v>0</v>
      </c>
      <c r="DB102" s="429" t="b">
        <f t="shared" si="230"/>
        <v>0</v>
      </c>
      <c r="DC102" s="429"/>
      <c r="DD102" s="429">
        <f t="shared" si="260"/>
        <v>0</v>
      </c>
      <c r="DE102" s="429" t="str">
        <f t="shared" si="231"/>
        <v>-</v>
      </c>
      <c r="DF102" s="429">
        <f t="shared" si="232"/>
        <v>0</v>
      </c>
      <c r="DG102" s="429">
        <f t="shared" si="261"/>
        <v>0</v>
      </c>
      <c r="DH102" s="429">
        <f t="shared" si="262"/>
        <v>2</v>
      </c>
      <c r="DI102" s="429"/>
      <c r="DJ102" s="429" t="e">
        <f t="shared" si="263"/>
        <v>#N/A</v>
      </c>
      <c r="DK102" s="429">
        <f t="shared" si="180"/>
        <v>-0.9</v>
      </c>
      <c r="DL102" s="429">
        <f t="shared" si="181"/>
        <v>-1.59</v>
      </c>
      <c r="DM102" s="429">
        <f t="shared" si="182"/>
        <v>-2.14</v>
      </c>
      <c r="DN102" s="429">
        <f t="shared" si="183"/>
        <v>-2.59</v>
      </c>
      <c r="DO102" s="429">
        <f t="shared" si="184"/>
        <v>-2.93</v>
      </c>
      <c r="DP102" s="429">
        <f t="shared" si="185"/>
        <v>-4.17</v>
      </c>
      <c r="DQ102" s="429">
        <f t="shared" si="186"/>
        <v>-5.28</v>
      </c>
      <c r="DR102" s="429">
        <f t="shared" si="187"/>
        <v>-6.7</v>
      </c>
      <c r="DS102" s="429">
        <f t="shared" si="188"/>
        <v>-7.89</v>
      </c>
      <c r="DT102" s="429">
        <f t="shared" si="189"/>
        <v>-8.0399999999999991</v>
      </c>
      <c r="DU102" s="429">
        <f t="shared" si="190"/>
        <v>-8.94</v>
      </c>
      <c r="DV102" s="429">
        <f t="shared" si="191"/>
        <v>-9.3000000000000007</v>
      </c>
      <c r="DW102" s="429" t="e">
        <f t="shared" si="192"/>
        <v>#N/A</v>
      </c>
      <c r="DX102" s="429" t="e">
        <f t="shared" si="193"/>
        <v>#N/A</v>
      </c>
      <c r="DY102" s="429" t="e">
        <f t="shared" si="194"/>
        <v>#N/A</v>
      </c>
      <c r="DZ102" s="429" t="e">
        <f t="shared" si="195"/>
        <v>#N/A</v>
      </c>
      <c r="EA102" s="429" t="e">
        <f t="shared" si="196"/>
        <v>#N/A</v>
      </c>
      <c r="EB102" s="429" t="e">
        <f t="shared" si="197"/>
        <v>#N/A</v>
      </c>
      <c r="EC102" s="429" t="e">
        <f t="shared" si="198"/>
        <v>#N/A</v>
      </c>
      <c r="ED102" s="429" t="e">
        <f t="shared" si="199"/>
        <v>#N/A</v>
      </c>
      <c r="EE102" s="429" t="e">
        <f t="shared" si="200"/>
        <v>#N/A</v>
      </c>
      <c r="EF102" s="429" t="e">
        <f t="shared" si="201"/>
        <v>#N/A</v>
      </c>
      <c r="EG102" s="429" t="e">
        <f t="shared" si="202"/>
        <v>#N/A</v>
      </c>
      <c r="EH102" s="429" t="e">
        <f t="shared" si="203"/>
        <v>#N/A</v>
      </c>
      <c r="EI102" s="429" t="e">
        <f t="shared" si="204"/>
        <v>#N/A</v>
      </c>
      <c r="EJ102" s="429"/>
      <c r="EK102" s="429"/>
      <c r="EL102" s="429" t="e">
        <f t="shared" si="233"/>
        <v>#N/A</v>
      </c>
      <c r="EM102" s="429">
        <f t="shared" si="234"/>
        <v>0</v>
      </c>
      <c r="EN102" s="429">
        <f t="shared" si="235"/>
        <v>0.5</v>
      </c>
      <c r="EO102" s="429">
        <f t="shared" si="236"/>
        <v>1</v>
      </c>
      <c r="EP102" s="429">
        <f t="shared" si="237"/>
        <v>1.5</v>
      </c>
      <c r="EQ102" s="429">
        <f t="shared" si="238"/>
        <v>2</v>
      </c>
      <c r="ER102" s="429">
        <f t="shared" si="239"/>
        <v>4</v>
      </c>
      <c r="ES102" s="429">
        <f t="shared" si="240"/>
        <v>6</v>
      </c>
      <c r="ET102" s="429">
        <f t="shared" si="241"/>
        <v>8</v>
      </c>
      <c r="EU102" s="429">
        <f t="shared" si="242"/>
        <v>9.6999999999999993</v>
      </c>
      <c r="EV102" s="429">
        <f t="shared" si="243"/>
        <v>10</v>
      </c>
      <c r="EW102" s="429">
        <f t="shared" si="244"/>
        <v>12</v>
      </c>
      <c r="EX102" s="429">
        <f t="shared" si="245"/>
        <v>13</v>
      </c>
      <c r="EY102" s="429" t="e">
        <f t="shared" si="246"/>
        <v>#N/A</v>
      </c>
      <c r="EZ102" s="429" t="e">
        <f t="shared" si="247"/>
        <v>#N/A</v>
      </c>
      <c r="FA102" s="429" t="e">
        <f t="shared" si="248"/>
        <v>#N/A</v>
      </c>
      <c r="FB102" s="429" t="e">
        <f t="shared" si="249"/>
        <v>#N/A</v>
      </c>
      <c r="FC102" s="429" t="e">
        <f t="shared" si="250"/>
        <v>#N/A</v>
      </c>
      <c r="FD102" s="429" t="e">
        <f t="shared" si="251"/>
        <v>#N/A</v>
      </c>
      <c r="FE102" s="429" t="e">
        <f t="shared" si="252"/>
        <v>#N/A</v>
      </c>
      <c r="FF102" s="429" t="e">
        <f t="shared" si="253"/>
        <v>#N/A</v>
      </c>
      <c r="FG102" s="429" t="e">
        <f t="shared" si="254"/>
        <v>#N/A</v>
      </c>
      <c r="FH102" s="429" t="e">
        <f t="shared" si="255"/>
        <v>#N/A</v>
      </c>
      <c r="FI102" s="429" t="e">
        <f t="shared" si="256"/>
        <v>#N/A</v>
      </c>
      <c r="FJ102" s="429" t="e">
        <f t="shared" si="257"/>
        <v>#N/A</v>
      </c>
      <c r="FK102" s="429" t="e">
        <f t="shared" si="258"/>
        <v>#N/A</v>
      </c>
    </row>
    <row r="103" spans="1:167" x14ac:dyDescent="0.25">
      <c r="A103" s="377">
        <f t="shared" si="206"/>
        <v>2</v>
      </c>
      <c r="B103" s="380" t="str">
        <f>IFERROR(IF(ISERROR(CP132),"",CONCATENATE(ROUND(X_SHIFT_BP+IF(Tools!B$97&lt;=Tools!$D$47/2,-BF8,BF8),3),",",ROUND(WLS*$AP44,3)," ")),"")</f>
        <v/>
      </c>
      <c r="C103" s="380" t="str">
        <f>IFERROR(IF(ISERROR(CQ132),"",CONCATENATE(ROUND(X_SHIFT_BP+IF(Tools!C$97&lt;=Tools!$D$47/2,-BG8,BG8),3),",",ROUND(WLS*$AP44,3)," ")),"")</f>
        <v xml:space="preserve">168.58,4 </v>
      </c>
      <c r="D103" s="380" t="str">
        <f>IFERROR(IF(ISERROR(CR132),"",CONCATENATE(ROUND(X_SHIFT_BP+IF(Tools!D$97&lt;=Tools!$D$47/2,-BH8,BH8),3),",",ROUND(WLS*$AP44,3)," ")),"")</f>
        <v xml:space="preserve">167.47,4 </v>
      </c>
      <c r="E103" s="380" t="str">
        <f>IFERROR(IF(ISERROR(CS132),"",CONCATENATE(ROUND(X_SHIFT_BP+IF(Tools!E$97&lt;=Tools!$D$47/2,-BI8,BI8),3),",",ROUND(WLS*$AP44,3)," ")),"")</f>
        <v xml:space="preserve">166.1,4 </v>
      </c>
      <c r="F103" s="380" t="str">
        <f>IFERROR(IF(ISERROR(CT132),"",CONCATENATE(ROUND(X_SHIFT_BP+IF(Tools!F$97&lt;=Tools!$D$47/2,-BJ8,BJ8),3),",",ROUND(WLS*$AP44,3)," ")),"")</f>
        <v xml:space="preserve">164.74,4 </v>
      </c>
      <c r="G103" s="380" t="str">
        <f>IFERROR(IF(ISERROR(CU132),"",CONCATENATE(ROUND(X_SHIFT_BP+IF(Tools!G$97&lt;=Tools!$D$47/2,-BK8,BK8),3),",",ROUND(WLS*$AP44,3)," ")),"")</f>
        <v xml:space="preserve">162.24,4 </v>
      </c>
      <c r="H103" s="380" t="str">
        <f>IFERROR(IF(ISERROR(CV132),"",CONCATENATE(ROUND(X_SHIFT_BP+IF(Tools!H$97&lt;=Tools!$D$47/2,-BL8,BL8),3),",",ROUND(WLS*$AP44,3)," ")),"")</f>
        <v xml:space="preserve">160.3,4 </v>
      </c>
      <c r="I103" s="380" t="str">
        <f>IFERROR(IF(ISERROR(CW132),"",CONCATENATE(ROUND(X_SHIFT_BP+IF(Tools!I$97&lt;=Tools!$D$47/2,-BM8,BM8),3),",",ROUND(WLS*$AP44,3)," ")),"")</f>
        <v xml:space="preserve">158.96,4 </v>
      </c>
      <c r="J103" s="380" t="str">
        <f>IFERROR(IF(ISERROR(CX132),"",CONCATENATE(ROUND(X_SHIFT_BP+IF(Tools!J$97&lt;=Tools!$D$47/2,-BN8,BN8),3),",",ROUND(WLS*$AP44,3)," ")),"")</f>
        <v xml:space="preserve">158.11,4 </v>
      </c>
      <c r="K103" s="380" t="str">
        <f>IFERROR(IF(ISERROR(CY132),"",CONCATENATE(ROUND(X_SHIFT_BP+IF(Tools!K$97&lt;=Tools!$D$47/2,-BO8,BO8),3),",",ROUND(WLS*$AP44,3)," ")),"")</f>
        <v xml:space="preserve">157.91,4 </v>
      </c>
      <c r="L103" s="380" t="str">
        <f>IFERROR(IF(ISERROR(CZ132),"",CONCATENATE(ROUND(X_SHIFT_BP+IF(Tools!L$97&lt;=Tools!$D$47/2,-BP8,BP8),3),",",ROUND(WLS*$AP44,3)," ")),"")</f>
        <v xml:space="preserve">157.91,4 </v>
      </c>
      <c r="M103" s="380" t="str">
        <f>IFERROR(IF(ISERROR(DA132),"",CONCATENATE(ROUND(X_SHIFT_BP+IF(Tools!M$97&lt;=Tools!$D$47/2,-BQ8,BQ8),3),",",ROUND(WLS*$AP44,3)," ")),"")</f>
        <v xml:space="preserve">157.91,4 </v>
      </c>
      <c r="N103" s="380" t="str">
        <f>IFERROR(IF(ISERROR(DB132),"",CONCATENATE(ROUND(X_SHIFT_BP+IF(Tools!N$97&lt;=Tools!$D$47/2,-BR8,BR8),3),",",ROUND(WLS*$AP44,3)," ")),"")</f>
        <v xml:space="preserve">157.91,4 </v>
      </c>
      <c r="O103" s="380" t="str">
        <f>IFERROR(IF(ISERROR(DC132),"",CONCATENATE(ROUND(X_SHIFT_BP+IF(Tools!O$97&lt;=Tools!$D$47/2,-BS8,BS8),3),",",ROUND(WLS*$AP44,3)," ")),"")</f>
        <v xml:space="preserve">179.91,4 </v>
      </c>
      <c r="P103" s="380" t="str">
        <f>IFERROR(IF(ISERROR(DD132),"",CONCATENATE(ROUND(X_SHIFT_BP+IF(Tools!P$97&lt;=Tools!$D$47/2,-BT8,BT8),3),",",ROUND(WLS*$AP44,3)," ")),"")</f>
        <v xml:space="preserve">179.91,4 </v>
      </c>
      <c r="Q103" s="380" t="str">
        <f>IFERROR(IF(ISERROR(DE132),"",CONCATENATE(ROUND(X_SHIFT_BP+IF(Tools!Q$97&lt;=Tools!$D$47/2,-BU8,BU8),3),",",ROUND(WLS*$AP44,3)," ")),"")</f>
        <v xml:space="preserve">179.91,4 </v>
      </c>
      <c r="R103" s="380" t="str">
        <f>IFERROR(IF(ISERROR(DF132),"",CONCATENATE(ROUND(X_SHIFT_BP+IF(Tools!R$97&lt;=Tools!$D$47/2,-BV8,BV8),3),",",ROUND(WLS*$AP44,3)," ")),"")</f>
        <v xml:space="preserve">179.91,4 </v>
      </c>
      <c r="S103" s="380" t="str">
        <f>IFERROR(IF(ISERROR(DG132),"",CONCATENATE(ROUND(X_SHIFT_BP+IF(Tools!S$97&lt;=Tools!$D$47/2,-BW8,BW8),3),",",ROUND(WLS*$AP44,3)," ")),"")</f>
        <v xml:space="preserve">179.91,4 </v>
      </c>
      <c r="T103" s="380" t="str">
        <f>IFERROR(IF(ISERROR(DH132),"",CONCATENATE(ROUND(X_SHIFT_BP+IF(Tools!T$97&lt;=Tools!$D$47/2,-BX8,BX8),3),",",ROUND(WLS*$AP44,3)," ")),"")</f>
        <v xml:space="preserve">179.41,4 </v>
      </c>
      <c r="U103" s="380" t="str">
        <f>IFERROR(IF(ISERROR(DI132),"",CONCATENATE(ROUND(X_SHIFT_BP+IF(Tools!U$97&lt;=Tools!$D$47/2,-BY8,BY8),3),",",ROUND(WLS*$AP44,3)," ")),"")</f>
        <v xml:space="preserve">178.23,4 </v>
      </c>
      <c r="V103" s="380" t="str">
        <f>IFERROR(IF(ISERROR(DJ132),"",CONCATENATE(ROUND(X_SHIFT_BP+IF(Tools!V$97&lt;=Tools!$D$47/2,-BZ8,BZ8),3),",",ROUND(WLS*$AP44,3)," ")),"")</f>
        <v xml:space="preserve">175.99,4 </v>
      </c>
      <c r="W103" s="380" t="str">
        <f>IFERROR(IF(ISERROR(DK132),"",CONCATENATE(ROUND(X_SHIFT_BP+IF(Tools!W$97&lt;=Tools!$D$47/2,-CA8,CA8),3),",",ROUND(WLS*$AP44,3)," ")),"")</f>
        <v xml:space="preserve">174.54,4 </v>
      </c>
      <c r="X103" s="380" t="str">
        <f>IFERROR(IF(ISERROR(DL132),"",CONCATENATE(ROUND(X_SHIFT_BP+IF(Tools!X$97&lt;=Tools!$D$47/2,-CB8,CB8),3),",",ROUND(WLS*$AP44,3)," ")),"")</f>
        <v xml:space="preserve">173.02,4 </v>
      </c>
      <c r="Y103" s="380" t="str">
        <f>IFERROR(IF(ISERROR(DM132),"",CONCATENATE(ROUND(X_SHIFT_BP+IF(Tools!Y$97&lt;=Tools!$D$47/2,-CC8,CC8),3),",",ROUND(WLS*$AP44,3)," ")),"")</f>
        <v xml:space="preserve">171.54,4 </v>
      </c>
      <c r="Z103" s="380" t="str">
        <f>IFERROR(IF(ISERROR(DN132),"",CONCATENATE(ROUND(X_SHIFT_BP+IF(Tools!Z$97&lt;=Tools!$D$47/2,-CD8,CD8),3),",",ROUND(WLS*$AP44,3)," ")),"")</f>
        <v xml:space="preserve">170.03,4 </v>
      </c>
      <c r="AA103" s="132">
        <v>12</v>
      </c>
      <c r="AB103" s="248" t="str">
        <f t="shared" si="259"/>
        <v xml:space="preserve">Spline </v>
      </c>
      <c r="AC103" s="132" t="str">
        <v/>
      </c>
      <c r="AD103" s="248" t="str">
        <v xml:space="preserve">167.01,0 </v>
      </c>
      <c r="AE103" s="248" t="str">
        <v xml:space="preserve">165.59,0.5 </v>
      </c>
      <c r="AF103" s="248" t="str">
        <v xml:space="preserve">164.74,1 </v>
      </c>
      <c r="AG103" s="248" t="str">
        <v xml:space="preserve">164.19,1.5 </v>
      </c>
      <c r="AH103" s="248" t="str">
        <v xml:space="preserve">163.76,2 </v>
      </c>
      <c r="AI103" s="248" t="str">
        <v xml:space="preserve">162.24,4 </v>
      </c>
      <c r="AJ103" s="248" t="str">
        <v xml:space="preserve">161.15,6 </v>
      </c>
      <c r="AK103" s="248" t="str">
        <v xml:space="preserve">160.26,8 </v>
      </c>
      <c r="AL103" s="248" t="str">
        <v xml:space="preserve">159.48,9.7 </v>
      </c>
      <c r="AM103" s="248" t="str">
        <v xml:space="preserve">159.37,10 </v>
      </c>
      <c r="AN103" s="248" t="str">
        <v xml:space="preserve">158.81,12 </v>
      </c>
      <c r="AO103" s="248" t="str">
        <v xml:space="preserve">158.47,13 </v>
      </c>
      <c r="AP103" s="248" t="str">
        <v/>
      </c>
      <c r="AQ103" s="248" t="str">
        <v/>
      </c>
      <c r="AR103" s="248" t="str">
        <v/>
      </c>
      <c r="AS103" s="248" t="str">
        <v/>
      </c>
      <c r="AT103" s="248" t="str">
        <v/>
      </c>
      <c r="AU103" s="248" t="str">
        <v/>
      </c>
      <c r="AV103" s="248" t="str">
        <v/>
      </c>
      <c r="AW103" s="248" t="str">
        <v/>
      </c>
      <c r="AX103" s="248" t="str">
        <v/>
      </c>
      <c r="AY103" s="248" t="str">
        <v/>
      </c>
      <c r="AZ103" s="248" t="str">
        <v/>
      </c>
      <c r="BA103" s="248" t="str">
        <v/>
      </c>
      <c r="BB103" s="248" t="str">
        <v/>
      </c>
      <c r="BC103" s="379">
        <f>Tools!AD8</f>
        <v>3</v>
      </c>
      <c r="BD103" s="379">
        <f>IFERROR(Tools!AD8*STN_GAP,"")</f>
        <v>21.93</v>
      </c>
      <c r="BE103" s="467">
        <f>IFERROR(IF(ISNUMBER(DE103),NA(),IF(AND($DF103&lt;&gt;0,$DG103&gt;BE$97),NA(),IF($BD103&gt;LBP/2,-(-Tools!AE8),-Tools!AE8))),NA())</f>
        <v>-1.9</v>
      </c>
      <c r="BF103" s="379">
        <f>IFERROR(IF(AND($DF103&lt;&gt;0,$DG103&gt;BF$97),NA(),IF($BD103&gt;LBP/2,-(-Tools!AF8),-Tools!AF8)),NA())</f>
        <v>-3.32</v>
      </c>
      <c r="BG103" s="379">
        <f>IFERROR(IF(AND($DF103&lt;&gt;0,$DG103&gt;BG$97),NA(),IF($BD103&gt;LBP/2,-(-Tools!AG8),-Tools!AG8)),NA())</f>
        <v>-4.17</v>
      </c>
      <c r="BH103" s="379">
        <f>IFERROR(IF(AND($DF103&lt;&gt;0,$DG103&gt;BH$97),NA(),IF($BD103&gt;LBP/2,-(-Tools!AH8),-Tools!AH8)),NA())</f>
        <v>-4.72</v>
      </c>
      <c r="BI103" s="379">
        <f>IFERROR(IF(AND($DF103&lt;&gt;0,$DG103&gt;BI$97),NA(),IF($BD103&gt;LBP/2,-(-Tools!AI8),-Tools!AI8)),NA())</f>
        <v>-5.15</v>
      </c>
      <c r="BJ103" s="379">
        <f>IFERROR(IF(AND($DF103&lt;&gt;0,$DG103&gt;BJ$97),NA(),IF($BD103&gt;LBP/2,-(-Tools!AJ8),-Tools!AJ8)),NA())</f>
        <v>-6.67</v>
      </c>
      <c r="BK103" s="379">
        <f>IFERROR(IF(AND($DF103&lt;&gt;0,$DG103&gt;BK$97),NA(),IF($BD103&gt;LBP/2,-(-Tools!AK8),-Tools!AK8)),NA())</f>
        <v>-7.76</v>
      </c>
      <c r="BL103" s="379">
        <f>IFERROR(IF(AND($DF103&lt;&gt;0,$DG103&gt;BL$97),NA(),IF($BD103&gt;LBP/2,-(-Tools!AL8),-Tools!AL8)),NA())</f>
        <v>-8.65</v>
      </c>
      <c r="BM103" s="379">
        <f>IFERROR(IF(AND($DF103&lt;&gt;0,$DG103&gt;BM$97),NA(),IF($BD103&gt;LBP/2,-(-Tools!AM8),-Tools!AM8)),NA())</f>
        <v>-9.43</v>
      </c>
      <c r="BN103" s="379">
        <f>IFERROR(IF(AND($DF103&lt;&gt;0,$DG103&gt;BN$97),NA(),IF($BD103&gt;LBP/2,-(-Tools!AN8),-Tools!AN8)),NA())</f>
        <v>-9.5399999999999991</v>
      </c>
      <c r="BO103" s="379">
        <f>IFERROR(IF(AND($DF103&lt;&gt;0,$DG103&gt;BO$97),NA(),IF($BD103&gt;LBP/2,-(-Tools!AO8),-Tools!AO8)),NA())</f>
        <v>-10.1</v>
      </c>
      <c r="BP103" s="379">
        <f>IFERROR(IF(AND($DF103&lt;&gt;0,$DG103&gt;BP$97),NA(),IF($BD103&gt;LBP/2,-(-Tools!AP8),-Tools!AP8)),NA())</f>
        <v>-10.44</v>
      </c>
      <c r="BQ103" s="379" t="e">
        <f>IFERROR(IF(AND($DF103&lt;&gt;0,$DG103&gt;BQ$97),NA(),IF($BD103&gt;LBP/2,-(-Tools!AQ8),-Tools!AQ8)),NA())</f>
        <v>#N/A</v>
      </c>
      <c r="BR103" s="379" t="e">
        <f>IFERROR(IF(AND($DF103&lt;&gt;0,$DG103&gt;BR$97),NA(),IF($BD103&gt;LBP/2,-(-Tools!AR8),-Tools!AR8)),NA())</f>
        <v>#N/A</v>
      </c>
      <c r="BS103" s="379" t="e">
        <f>IFERROR(IF(AND($DF103&lt;&gt;0,$DG103&gt;BS$97),NA(),IF($BD103&gt;LBP/2,-(-Tools!AS8),-Tools!AS8)),NA())</f>
        <v>#N/A</v>
      </c>
      <c r="BT103" s="379" t="e">
        <f>IFERROR(IF(AND($DF103&lt;&gt;0,$DG103&gt;BT$97),NA(),IF($BD103&gt;LBP/2,-(-Tools!AT8),-Tools!AT8)),NA())</f>
        <v>#N/A</v>
      </c>
      <c r="BU103" s="379" t="e">
        <f>IFERROR(IF(AND($DF103&lt;&gt;0,$DG103&gt;BU$97),NA(),IF($BD103&gt;LBP/2,-(-Tools!AU8),-Tools!AU8)),NA())</f>
        <v>#N/A</v>
      </c>
      <c r="BV103" s="379" t="e">
        <f>IFERROR(IF(AND($DF103&lt;&gt;0,$DG103&gt;BV$97),NA(),IF($BD103&gt;LBP/2,-(-Tools!AV8),-Tools!AV8)),NA())</f>
        <v>#N/A</v>
      </c>
      <c r="BW103" s="379" t="e">
        <f>IFERROR(IF(AND($DF103&lt;&gt;0,$DG103&gt;BW$97),NA(),IF($BD103&gt;LBP/2,-(-Tools!AW8),-Tools!AW8)),NA())</f>
        <v>#N/A</v>
      </c>
      <c r="BX103" s="379" t="e">
        <f>IFERROR(IF(AND($DF103&lt;&gt;0,$DG103&gt;BX$97),NA(),IF($BD103&gt;LBP/2,-(-Tools!AX8),-Tools!AX8)),NA())</f>
        <v>#N/A</v>
      </c>
      <c r="BY103" s="379" t="e">
        <f>IFERROR(IF(AND($DF103&lt;&gt;0,$DG103&gt;BY$97),NA(),IF($BD103&gt;LBP/2,-(-Tools!AY8),-Tools!AY8)),NA())</f>
        <v>#N/A</v>
      </c>
      <c r="BZ103" s="379" t="e">
        <f>IFERROR(IF(AND($DF103&lt;&gt;0,$DG103&gt;BZ$97),NA(),IF($BD103&gt;LBP/2,-(-Tools!AZ8),-Tools!AZ8)),NA())</f>
        <v>#N/A</v>
      </c>
      <c r="CA103" s="379" t="e">
        <f>IFERROR(IF(AND($DF103&lt;&gt;0,$DG103&gt;CA$97),NA(),IF($BD103&gt;LBP/2,-(-Tools!BA8),-Tools!BA8)),NA())</f>
        <v>#N/A</v>
      </c>
      <c r="CB103" s="379" t="e">
        <f>IFERROR(IF(AND($DF103&lt;&gt;0,$DG103&gt;CB$97),NA(),IF($BD103&gt;LBP/2,-(-Tools!BB8),-Tools!BB8)),NA())</f>
        <v>#N/A</v>
      </c>
      <c r="CC103" s="379" t="e">
        <f>IFERROR(IF(AND($DF103&lt;&gt;0,$DG103&gt;CC$97),NA(),IF($BD103&gt;LBP/2,-(-Tools!BC8),-Tools!BC8)),NA())</f>
        <v>#N/A</v>
      </c>
      <c r="CE103" s="429" t="b">
        <f t="shared" si="207"/>
        <v>0</v>
      </c>
      <c r="CF103" s="429" t="b">
        <f t="shared" si="208"/>
        <v>0</v>
      </c>
      <c r="CG103" s="429" t="b">
        <f t="shared" si="209"/>
        <v>0</v>
      </c>
      <c r="CH103" s="429" t="b">
        <f t="shared" si="210"/>
        <v>0</v>
      </c>
      <c r="CI103" s="429" t="b">
        <f t="shared" si="211"/>
        <v>0</v>
      </c>
      <c r="CJ103" s="429" t="b">
        <f t="shared" si="212"/>
        <v>0</v>
      </c>
      <c r="CK103" s="429" t="b">
        <f t="shared" si="213"/>
        <v>0</v>
      </c>
      <c r="CL103" s="429" t="b">
        <f t="shared" si="214"/>
        <v>0</v>
      </c>
      <c r="CM103" s="429" t="b">
        <f t="shared" si="215"/>
        <v>0</v>
      </c>
      <c r="CN103" s="429" t="b">
        <f t="shared" si="216"/>
        <v>0</v>
      </c>
      <c r="CO103" s="429" t="b">
        <f t="shared" si="217"/>
        <v>0</v>
      </c>
      <c r="CP103" s="429" t="b">
        <f t="shared" si="218"/>
        <v>0</v>
      </c>
      <c r="CQ103" s="429" t="b">
        <f t="shared" si="219"/>
        <v>0</v>
      </c>
      <c r="CR103" s="429" t="b">
        <f t="shared" si="220"/>
        <v>0</v>
      </c>
      <c r="CS103" s="429" t="b">
        <f t="shared" si="221"/>
        <v>0</v>
      </c>
      <c r="CT103" s="429" t="b">
        <f t="shared" si="222"/>
        <v>0</v>
      </c>
      <c r="CU103" s="429" t="b">
        <f t="shared" si="223"/>
        <v>0</v>
      </c>
      <c r="CV103" s="429" t="b">
        <f t="shared" si="224"/>
        <v>0</v>
      </c>
      <c r="CW103" s="429" t="b">
        <f t="shared" si="225"/>
        <v>0</v>
      </c>
      <c r="CX103" s="429" t="b">
        <f t="shared" si="226"/>
        <v>0</v>
      </c>
      <c r="CY103" s="429" t="b">
        <f t="shared" si="227"/>
        <v>0</v>
      </c>
      <c r="CZ103" s="429" t="b">
        <f t="shared" si="228"/>
        <v>0</v>
      </c>
      <c r="DA103" s="429" t="b">
        <f t="shared" si="229"/>
        <v>0</v>
      </c>
      <c r="DB103" s="429" t="b">
        <f t="shared" si="230"/>
        <v>0</v>
      </c>
      <c r="DC103" s="429"/>
      <c r="DD103" s="429">
        <f t="shared" si="260"/>
        <v>0</v>
      </c>
      <c r="DE103" s="429" t="str">
        <f t="shared" si="231"/>
        <v>-</v>
      </c>
      <c r="DF103" s="429">
        <f t="shared" si="232"/>
        <v>0</v>
      </c>
      <c r="DG103" s="429">
        <f t="shared" si="261"/>
        <v>0</v>
      </c>
      <c r="DH103" s="429">
        <f t="shared" si="262"/>
        <v>3</v>
      </c>
      <c r="DI103" s="429"/>
      <c r="DJ103" s="429" t="e">
        <f t="shared" si="263"/>
        <v>#N/A</v>
      </c>
      <c r="DK103" s="429">
        <f t="shared" si="180"/>
        <v>-1.9</v>
      </c>
      <c r="DL103" s="429">
        <f t="shared" si="181"/>
        <v>-3.32</v>
      </c>
      <c r="DM103" s="429">
        <f t="shared" si="182"/>
        <v>-4.17</v>
      </c>
      <c r="DN103" s="429">
        <f t="shared" si="183"/>
        <v>-4.72</v>
      </c>
      <c r="DO103" s="429">
        <f t="shared" si="184"/>
        <v>-5.15</v>
      </c>
      <c r="DP103" s="429">
        <f t="shared" si="185"/>
        <v>-6.67</v>
      </c>
      <c r="DQ103" s="429">
        <f t="shared" si="186"/>
        <v>-7.76</v>
      </c>
      <c r="DR103" s="429">
        <f t="shared" si="187"/>
        <v>-8.65</v>
      </c>
      <c r="DS103" s="429">
        <f t="shared" si="188"/>
        <v>-9.43</v>
      </c>
      <c r="DT103" s="429">
        <f t="shared" si="189"/>
        <v>-9.5399999999999991</v>
      </c>
      <c r="DU103" s="429">
        <f t="shared" si="190"/>
        <v>-10.1</v>
      </c>
      <c r="DV103" s="429">
        <f t="shared" si="191"/>
        <v>-10.44</v>
      </c>
      <c r="DW103" s="429" t="e">
        <f t="shared" si="192"/>
        <v>#N/A</v>
      </c>
      <c r="DX103" s="429" t="e">
        <f t="shared" si="193"/>
        <v>#N/A</v>
      </c>
      <c r="DY103" s="429" t="e">
        <f t="shared" si="194"/>
        <v>#N/A</v>
      </c>
      <c r="DZ103" s="429" t="e">
        <f t="shared" si="195"/>
        <v>#N/A</v>
      </c>
      <c r="EA103" s="429" t="e">
        <f t="shared" si="196"/>
        <v>#N/A</v>
      </c>
      <c r="EB103" s="429" t="e">
        <f t="shared" si="197"/>
        <v>#N/A</v>
      </c>
      <c r="EC103" s="429" t="e">
        <f t="shared" si="198"/>
        <v>#N/A</v>
      </c>
      <c r="ED103" s="429" t="e">
        <f t="shared" si="199"/>
        <v>#N/A</v>
      </c>
      <c r="EE103" s="429" t="e">
        <f t="shared" si="200"/>
        <v>#N/A</v>
      </c>
      <c r="EF103" s="429" t="e">
        <f t="shared" si="201"/>
        <v>#N/A</v>
      </c>
      <c r="EG103" s="429" t="e">
        <f t="shared" si="202"/>
        <v>#N/A</v>
      </c>
      <c r="EH103" s="429" t="e">
        <f t="shared" si="203"/>
        <v>#N/A</v>
      </c>
      <c r="EI103" s="429" t="e">
        <f t="shared" si="204"/>
        <v>#N/A</v>
      </c>
      <c r="EJ103" s="429"/>
      <c r="EK103" s="429"/>
      <c r="EL103" s="429" t="e">
        <f t="shared" si="233"/>
        <v>#N/A</v>
      </c>
      <c r="EM103" s="429">
        <f>IF(ISERROR(EL103),DK$97,IF(AND(ISNUMBER(EL103),EL103=0),NA(),DK$97))</f>
        <v>0</v>
      </c>
      <c r="EN103" s="429">
        <f t="shared" si="235"/>
        <v>0.5</v>
      </c>
      <c r="EO103" s="429">
        <f t="shared" si="236"/>
        <v>1</v>
      </c>
      <c r="EP103" s="429">
        <f t="shared" si="237"/>
        <v>1.5</v>
      </c>
      <c r="EQ103" s="429">
        <f t="shared" si="238"/>
        <v>2</v>
      </c>
      <c r="ER103" s="429">
        <f t="shared" si="239"/>
        <v>4</v>
      </c>
      <c r="ES103" s="429">
        <f t="shared" si="240"/>
        <v>6</v>
      </c>
      <c r="ET103" s="429">
        <f t="shared" si="241"/>
        <v>8</v>
      </c>
      <c r="EU103" s="429">
        <f t="shared" si="242"/>
        <v>9.6999999999999993</v>
      </c>
      <c r="EV103" s="429">
        <f t="shared" si="243"/>
        <v>10</v>
      </c>
      <c r="EW103" s="429">
        <f t="shared" si="244"/>
        <v>12</v>
      </c>
      <c r="EX103" s="429">
        <f t="shared" si="245"/>
        <v>13</v>
      </c>
      <c r="EY103" s="429" t="e">
        <f t="shared" si="246"/>
        <v>#N/A</v>
      </c>
      <c r="EZ103" s="429" t="e">
        <f t="shared" si="247"/>
        <v>#N/A</v>
      </c>
      <c r="FA103" s="429" t="e">
        <f t="shared" si="248"/>
        <v>#N/A</v>
      </c>
      <c r="FB103" s="429" t="e">
        <f t="shared" si="249"/>
        <v>#N/A</v>
      </c>
      <c r="FC103" s="429" t="e">
        <f t="shared" si="250"/>
        <v>#N/A</v>
      </c>
      <c r="FD103" s="429" t="e">
        <f t="shared" si="251"/>
        <v>#N/A</v>
      </c>
      <c r="FE103" s="429" t="e">
        <f t="shared" si="252"/>
        <v>#N/A</v>
      </c>
      <c r="FF103" s="429" t="e">
        <f t="shared" si="253"/>
        <v>#N/A</v>
      </c>
      <c r="FG103" s="429" t="e">
        <f t="shared" si="254"/>
        <v>#N/A</v>
      </c>
      <c r="FH103" s="429" t="e">
        <f t="shared" si="255"/>
        <v>#N/A</v>
      </c>
      <c r="FI103" s="429" t="e">
        <f t="shared" si="256"/>
        <v>#N/A</v>
      </c>
      <c r="FJ103" s="429" t="e">
        <f t="shared" si="257"/>
        <v>#N/A</v>
      </c>
      <c r="FK103" s="429" t="e">
        <f t="shared" si="258"/>
        <v>#N/A</v>
      </c>
    </row>
    <row r="104" spans="1:167" x14ac:dyDescent="0.25">
      <c r="A104" s="377">
        <f t="shared" si="206"/>
        <v>3</v>
      </c>
      <c r="B104" s="380" t="str">
        <f>IFERROR(IF(ISERROR(CP133),"",CONCATENATE(ROUND(X_SHIFT_BP+IF(Tools!B$97&lt;=Tools!$D$47/2,-BF9,BF9),3),",",ROUND(WLS*$AP45,3)," ")),"")</f>
        <v/>
      </c>
      <c r="C104" s="380" t="str">
        <f>IFERROR(IF(ISERROR(CQ133),"",CONCATENATE(ROUND(X_SHIFT_BP+IF(Tools!C$97&lt;=Tools!$D$47/2,-BG9,BG9),3),",",ROUND(WLS*$AP45,3)," ")),"")</f>
        <v xml:space="preserve">168.25,6 </v>
      </c>
      <c r="D104" s="380" t="str">
        <f>IFERROR(IF(ISERROR(CR133),"",CONCATENATE(ROUND(X_SHIFT_BP+IF(Tools!D$97&lt;=Tools!$D$47/2,-BH9,BH9),3),",",ROUND(WLS*$AP45,3)," ")),"")</f>
        <v xml:space="preserve">166.64,6 </v>
      </c>
      <c r="E104" s="380" t="str">
        <f>IFERROR(IF(ISERROR(CS133),"",CONCATENATE(ROUND(X_SHIFT_BP+IF(Tools!E$97&lt;=Tools!$D$47/2,-BI9,BI9),3),",",ROUND(WLS*$AP45,3)," ")),"")</f>
        <v xml:space="preserve">165.05,6 </v>
      </c>
      <c r="F104" s="380" t="str">
        <f>IFERROR(IF(ISERROR(CT133),"",CONCATENATE(ROUND(X_SHIFT_BP+IF(Tools!F$97&lt;=Tools!$D$47/2,-BJ9,BJ9),3),",",ROUND(WLS*$AP45,3)," ")),"")</f>
        <v xml:space="preserve">163.63,6 </v>
      </c>
      <c r="G104" s="380" t="str">
        <f>IFERROR(IF(ISERROR(CU133),"",CONCATENATE(ROUND(X_SHIFT_BP+IF(Tools!G$97&lt;=Tools!$D$47/2,-BK9,BK9),3),",",ROUND(WLS*$AP45,3)," ")),"")</f>
        <v xml:space="preserve">161.15,6 </v>
      </c>
      <c r="H104" s="380" t="str">
        <f>IFERROR(IF(ISERROR(CV133),"",CONCATENATE(ROUND(X_SHIFT_BP+IF(Tools!H$97&lt;=Tools!$D$47/2,-BL9,BL9),3),",",ROUND(WLS*$AP45,3)," ")),"")</f>
        <v xml:space="preserve">159.46,6 </v>
      </c>
      <c r="I104" s="380" t="str">
        <f>IFERROR(IF(ISERROR(CW133),"",CONCATENATE(ROUND(X_SHIFT_BP+IF(Tools!I$97&lt;=Tools!$D$47/2,-BM9,BM9),3),",",ROUND(WLS*$AP45,3)," ")),"")</f>
        <v xml:space="preserve">158.61,6 </v>
      </c>
      <c r="J104" s="380" t="str">
        <f>IFERROR(IF(ISERROR(CX133),"",CONCATENATE(ROUND(X_SHIFT_BP+IF(Tools!J$97&lt;=Tools!$D$47/2,-BN9,BN9),3),",",ROUND(WLS*$AP45,3)," ")),"")</f>
        <v xml:space="preserve">158.01,6 </v>
      </c>
      <c r="K104" s="380" t="str">
        <f>IFERROR(IF(ISERROR(CY133),"",CONCATENATE(ROUND(X_SHIFT_BP+IF(Tools!K$97&lt;=Tools!$D$47/2,-BO9,BO9),3),",",ROUND(WLS*$AP45,3)," ")),"")</f>
        <v xml:space="preserve">157.91,6 </v>
      </c>
      <c r="L104" s="380" t="str">
        <f>IFERROR(IF(ISERROR(CZ133),"",CONCATENATE(ROUND(X_SHIFT_BP+IF(Tools!L$97&lt;=Tools!$D$47/2,-BP9,BP9),3),",",ROUND(WLS*$AP45,3)," ")),"")</f>
        <v xml:space="preserve">157.91,6 </v>
      </c>
      <c r="M104" s="380" t="str">
        <f>IFERROR(IF(ISERROR(DA133),"",CONCATENATE(ROUND(X_SHIFT_BP+IF(Tools!M$97&lt;=Tools!$D$47/2,-BQ9,BQ9),3),",",ROUND(WLS*$AP45,3)," ")),"")</f>
        <v xml:space="preserve">157.91,6 </v>
      </c>
      <c r="N104" s="380" t="str">
        <f>IFERROR(IF(ISERROR(DB133),"",CONCATENATE(ROUND(X_SHIFT_BP+IF(Tools!N$97&lt;=Tools!$D$47/2,-BR9,BR9),3),",",ROUND(WLS*$AP45,3)," ")),"")</f>
        <v xml:space="preserve">157.91,6 </v>
      </c>
      <c r="O104" s="380" t="str">
        <f>IFERROR(IF(ISERROR(DC133),"",CONCATENATE(ROUND(X_SHIFT_BP+IF(Tools!O$97&lt;=Tools!$D$47/2,-BS9,BS9),3),",",ROUND(WLS*$AP45,3)," ")),"")</f>
        <v xml:space="preserve">179.91,6 </v>
      </c>
      <c r="P104" s="380" t="str">
        <f>IFERROR(IF(ISERROR(DD133),"",CONCATENATE(ROUND(X_SHIFT_BP+IF(Tools!P$97&lt;=Tools!$D$47/2,-BT9,BT9),3),",",ROUND(WLS*$AP45,3)," ")),"")</f>
        <v xml:space="preserve">179.91,6 </v>
      </c>
      <c r="Q104" s="380" t="str">
        <f>IFERROR(IF(ISERROR(DE133),"",CONCATENATE(ROUND(X_SHIFT_BP+IF(Tools!Q$97&lt;=Tools!$D$47/2,-BU9,BU9),3),",",ROUND(WLS*$AP45,3)," ")),"")</f>
        <v xml:space="preserve">179.91,6 </v>
      </c>
      <c r="R104" s="380" t="str">
        <f>IFERROR(IF(ISERROR(DF133),"",CONCATENATE(ROUND(X_SHIFT_BP+IF(Tools!R$97&lt;=Tools!$D$47/2,-BV9,BV9),3),",",ROUND(WLS*$AP45,3)," ")),"")</f>
        <v xml:space="preserve">179.91,6 </v>
      </c>
      <c r="S104" s="380" t="str">
        <f>IFERROR(IF(ISERROR(DG133),"",CONCATENATE(ROUND(X_SHIFT_BP+IF(Tools!S$97&lt;=Tools!$D$47/2,-BW9,BW9),3),",",ROUND(WLS*$AP45,3)," ")),"")</f>
        <v xml:space="preserve">179.91,6 </v>
      </c>
      <c r="T104" s="380" t="str">
        <f>IFERROR(IF(ISERROR(DH133),"",CONCATENATE(ROUND(X_SHIFT_BP+IF(Tools!T$97&lt;=Tools!$D$47/2,-BX9,BX9),3),",",ROUND(WLS*$AP45,3)," ")),"")</f>
        <v xml:space="preserve">179.61,6 </v>
      </c>
      <c r="U104" s="380" t="str">
        <f>IFERROR(IF(ISERROR(DI133),"",CONCATENATE(ROUND(X_SHIFT_BP+IF(Tools!U$97&lt;=Tools!$D$47/2,-BY9,BY9),3),",",ROUND(WLS*$AP45,3)," ")),"")</f>
        <v xml:space="preserve">178.6,6 </v>
      </c>
      <c r="V104" s="380" t="str">
        <f>IFERROR(IF(ISERROR(DJ133),"",CONCATENATE(ROUND(X_SHIFT_BP+IF(Tools!V$97&lt;=Tools!$D$47/2,-BZ9,BZ9),3),",",ROUND(WLS*$AP45,3)," ")),"")</f>
        <v xml:space="preserve">176.48,6 </v>
      </c>
      <c r="W104" s="380" t="str">
        <f>IFERROR(IF(ISERROR(DK133),"",CONCATENATE(ROUND(X_SHIFT_BP+IF(Tools!W$97&lt;=Tools!$D$47/2,-CA9,CA9),3),",",ROUND(WLS*$AP45,3)," ")),"")</f>
        <v xml:space="preserve">174.96,6 </v>
      </c>
      <c r="X104" s="380" t="str">
        <f>IFERROR(IF(ISERROR(DL133),"",CONCATENATE(ROUND(X_SHIFT_BP+IF(Tools!X$97&lt;=Tools!$D$47/2,-CB9,CB9),3),",",ROUND(WLS*$AP45,3)," ")),"")</f>
        <v xml:space="preserve">173.14,6 </v>
      </c>
      <c r="Y104" s="380" t="str">
        <f>IFERROR(IF(ISERROR(DM133),"",CONCATENATE(ROUND(X_SHIFT_BP+IF(Tools!Y$97&lt;=Tools!$D$47/2,-CC9,CC9),3),",",ROUND(WLS*$AP45,3)," ")),"")</f>
        <v xml:space="preserve">171.29,6 </v>
      </c>
      <c r="Z104" s="380" t="str">
        <f>IFERROR(IF(ISERROR(DN133),"",CONCATENATE(ROUND(X_SHIFT_BP+IF(Tools!Z$97&lt;=Tools!$D$47/2,-CD9,CD9),3),",",ROUND(WLS*$AP45,3)," ")),"")</f>
        <v xml:space="preserve">169.41,6 </v>
      </c>
      <c r="AA104" s="132">
        <v>12</v>
      </c>
      <c r="AB104" s="248" t="str">
        <f t="shared" si="259"/>
        <v xml:space="preserve">Spline </v>
      </c>
      <c r="AC104" s="132" t="str">
        <v/>
      </c>
      <c r="AD104" s="248" t="str">
        <v xml:space="preserve">165.11,0 </v>
      </c>
      <c r="AE104" s="248" t="str">
        <v xml:space="preserve">163.58,0.5 </v>
      </c>
      <c r="AF104" s="248" t="str">
        <v xml:space="preserve">162.65,1 </v>
      </c>
      <c r="AG104" s="248" t="str">
        <v xml:space="preserve">162.08,1.5 </v>
      </c>
      <c r="AH104" s="248" t="str">
        <v xml:space="preserve">161.62,2 </v>
      </c>
      <c r="AI104" s="248" t="str">
        <v xml:space="preserve">160.3,4 </v>
      </c>
      <c r="AJ104" s="248" t="str">
        <v xml:space="preserve">159.46,6 </v>
      </c>
      <c r="AK104" s="248" t="str">
        <v xml:space="preserve">158.81,8 </v>
      </c>
      <c r="AL104" s="248" t="str">
        <v xml:space="preserve">158.46,9.7 </v>
      </c>
      <c r="AM104" s="248" t="str">
        <v xml:space="preserve">158.41,10 </v>
      </c>
      <c r="AN104" s="248" t="str">
        <v xml:space="preserve">158.11,12 </v>
      </c>
      <c r="AO104" s="248" t="str">
        <v xml:space="preserve">158.04,13 </v>
      </c>
      <c r="AP104" s="248" t="str">
        <v/>
      </c>
      <c r="AQ104" s="248" t="str">
        <v/>
      </c>
      <c r="AR104" s="248" t="str">
        <v/>
      </c>
      <c r="AS104" s="248" t="str">
        <v/>
      </c>
      <c r="AT104" s="248" t="str">
        <v/>
      </c>
      <c r="AU104" s="248" t="str">
        <v/>
      </c>
      <c r="AV104" s="248" t="str">
        <v/>
      </c>
      <c r="AW104" s="248" t="str">
        <v/>
      </c>
      <c r="AX104" s="248" t="str">
        <v/>
      </c>
      <c r="AY104" s="248" t="str">
        <v/>
      </c>
      <c r="AZ104" s="248" t="str">
        <v/>
      </c>
      <c r="BA104" s="248" t="str">
        <v/>
      </c>
      <c r="BB104" s="248" t="str">
        <v/>
      </c>
      <c r="BC104" s="379">
        <f>Tools!AD9</f>
        <v>4</v>
      </c>
      <c r="BD104" s="379">
        <f>IFERROR(Tools!AD9*STN_GAP,"")</f>
        <v>29.24</v>
      </c>
      <c r="BE104" s="467">
        <f>IFERROR(IF(ISNUMBER(DE104),NA(),IF(AND($DF104&lt;&gt;0,$DG104&gt;BE$97),NA(),IF($BD104&gt;LBP/2,-(-Tools!AE9),-Tools!AE9))),NA())</f>
        <v>-3.8</v>
      </c>
      <c r="BF104" s="379">
        <f>IFERROR(IF(AND($DF104&lt;&gt;0,$DG104&gt;BF$97),NA(),IF($BD104&gt;LBP/2,-(-Tools!AF9),-Tools!AF9)),NA())</f>
        <v>-5.33</v>
      </c>
      <c r="BG104" s="379">
        <f>IFERROR(IF(AND($DF104&lt;&gt;0,$DG104&gt;BG$97),NA(),IF($BD104&gt;LBP/2,-(-Tools!AG9),-Tools!AG9)),NA())</f>
        <v>-6.26</v>
      </c>
      <c r="BH104" s="379">
        <f>IFERROR(IF(AND($DF104&lt;&gt;0,$DG104&gt;BH$97),NA(),IF($BD104&gt;LBP/2,-(-Tools!AH9),-Tools!AH9)),NA())</f>
        <v>-6.83</v>
      </c>
      <c r="BI104" s="379">
        <f>IFERROR(IF(AND($DF104&lt;&gt;0,$DG104&gt;BI$97),NA(),IF($BD104&gt;LBP/2,-(-Tools!AI9),-Tools!AI9)),NA())</f>
        <v>-7.29</v>
      </c>
      <c r="BJ104" s="379">
        <f>IFERROR(IF(AND($DF104&lt;&gt;0,$DG104&gt;BJ$97),NA(),IF($BD104&gt;LBP/2,-(-Tools!AJ9),-Tools!AJ9)),NA())</f>
        <v>-8.61</v>
      </c>
      <c r="BK104" s="379">
        <f>IFERROR(IF(AND($DF104&lt;&gt;0,$DG104&gt;BK$97),NA(),IF($BD104&gt;LBP/2,-(-Tools!AK9),-Tools!AK9)),NA())</f>
        <v>-9.4499999999999993</v>
      </c>
      <c r="BL104" s="379">
        <f>IFERROR(IF(AND($DF104&lt;&gt;0,$DG104&gt;BL$97),NA(),IF($BD104&gt;LBP/2,-(-Tools!AL9),-Tools!AL9)),NA())</f>
        <v>-10.1</v>
      </c>
      <c r="BM104" s="379">
        <f>IFERROR(IF(AND($DF104&lt;&gt;0,$DG104&gt;BM$97),NA(),IF($BD104&gt;LBP/2,-(-Tools!AM9),-Tools!AM9)),NA())</f>
        <v>-10.45</v>
      </c>
      <c r="BN104" s="379">
        <f>IFERROR(IF(AND($DF104&lt;&gt;0,$DG104&gt;BN$97),NA(),IF($BD104&gt;LBP/2,-(-Tools!AN9),-Tools!AN9)),NA())</f>
        <v>-10.5</v>
      </c>
      <c r="BO104" s="379">
        <f>IFERROR(IF(AND($DF104&lt;&gt;0,$DG104&gt;BO$97),NA(),IF($BD104&gt;LBP/2,-(-Tools!AO9),-Tools!AO9)),NA())</f>
        <v>-10.8</v>
      </c>
      <c r="BP104" s="379">
        <f>IFERROR(IF(AND($DF104&lt;&gt;0,$DG104&gt;BP$97),NA(),IF($BD104&gt;LBP/2,-(-Tools!AP9),-Tools!AP9)),NA())</f>
        <v>-10.87</v>
      </c>
      <c r="BQ104" s="379" t="e">
        <f>IFERROR(IF(AND($DF104&lt;&gt;0,$DG104&gt;BQ$97),NA(),IF($BD104&gt;LBP/2,-(-Tools!AQ9),-Tools!AQ9)),NA())</f>
        <v>#N/A</v>
      </c>
      <c r="BR104" s="379" t="e">
        <f>IFERROR(IF(AND($DF104&lt;&gt;0,$DG104&gt;BR$97),NA(),IF($BD104&gt;LBP/2,-(-Tools!AR9),-Tools!AR9)),NA())</f>
        <v>#N/A</v>
      </c>
      <c r="BS104" s="379" t="e">
        <f>IFERROR(IF(AND($DF104&lt;&gt;0,$DG104&gt;BS$97),NA(),IF($BD104&gt;LBP/2,-(-Tools!AS9),-Tools!AS9)),NA())</f>
        <v>#N/A</v>
      </c>
      <c r="BT104" s="379" t="e">
        <f>IFERROR(IF(AND($DF104&lt;&gt;0,$DG104&gt;BT$97),NA(),IF($BD104&gt;LBP/2,-(-Tools!AT9),-Tools!AT9)),NA())</f>
        <v>#N/A</v>
      </c>
      <c r="BU104" s="379" t="e">
        <f>IFERROR(IF(AND($DF104&lt;&gt;0,$DG104&gt;BU$97),NA(),IF($BD104&gt;LBP/2,-(-Tools!AU9),-Tools!AU9)),NA())</f>
        <v>#N/A</v>
      </c>
      <c r="BV104" s="379" t="e">
        <f>IFERROR(IF(AND($DF104&lt;&gt;0,$DG104&gt;BV$97),NA(),IF($BD104&gt;LBP/2,-(-Tools!AV9),-Tools!AV9)),NA())</f>
        <v>#N/A</v>
      </c>
      <c r="BW104" s="379" t="e">
        <f>IFERROR(IF(AND($DF104&lt;&gt;0,$DG104&gt;BW$97),NA(),IF($BD104&gt;LBP/2,-(-Tools!AW9),-Tools!AW9)),NA())</f>
        <v>#N/A</v>
      </c>
      <c r="BX104" s="379" t="e">
        <f>IFERROR(IF(AND($DF104&lt;&gt;0,$DG104&gt;BX$97),NA(),IF($BD104&gt;LBP/2,-(-Tools!AX9),-Tools!AX9)),NA())</f>
        <v>#N/A</v>
      </c>
      <c r="BY104" s="379" t="e">
        <f>IFERROR(IF(AND($DF104&lt;&gt;0,$DG104&gt;BY$97),NA(),IF($BD104&gt;LBP/2,-(-Tools!AY9),-Tools!AY9)),NA())</f>
        <v>#N/A</v>
      </c>
      <c r="BZ104" s="379" t="e">
        <f>IFERROR(IF(AND($DF104&lt;&gt;0,$DG104&gt;BZ$97),NA(),IF($BD104&gt;LBP/2,-(-Tools!AZ9),-Tools!AZ9)),NA())</f>
        <v>#N/A</v>
      </c>
      <c r="CA104" s="379" t="e">
        <f>IFERROR(IF(AND($DF104&lt;&gt;0,$DG104&gt;CA$97),NA(),IF($BD104&gt;LBP/2,-(-Tools!BA9),-Tools!BA9)),NA())</f>
        <v>#N/A</v>
      </c>
      <c r="CB104" s="379" t="e">
        <f>IFERROR(IF(AND($DF104&lt;&gt;0,$DG104&gt;CB$97),NA(),IF($BD104&gt;LBP/2,-(-Tools!BB9),-Tools!BB9)),NA())</f>
        <v>#N/A</v>
      </c>
      <c r="CC104" s="379" t="e">
        <f>IFERROR(IF(AND($DF104&lt;&gt;0,$DG104&gt;CC$97),NA(),IF($BD104&gt;LBP/2,-(-Tools!BC9),-Tools!BC9)),NA())</f>
        <v>#N/A</v>
      </c>
      <c r="CE104" s="429" t="b">
        <f t="shared" si="207"/>
        <v>0</v>
      </c>
      <c r="CF104" s="429" t="b">
        <f t="shared" si="208"/>
        <v>0</v>
      </c>
      <c r="CG104" s="429" t="b">
        <f t="shared" si="209"/>
        <v>0</v>
      </c>
      <c r="CH104" s="429" t="b">
        <f t="shared" si="210"/>
        <v>0</v>
      </c>
      <c r="CI104" s="429" t="b">
        <f t="shared" si="211"/>
        <v>0</v>
      </c>
      <c r="CJ104" s="429" t="b">
        <f t="shared" si="212"/>
        <v>0</v>
      </c>
      <c r="CK104" s="429" t="b">
        <f t="shared" si="213"/>
        <v>0</v>
      </c>
      <c r="CL104" s="429" t="b">
        <f t="shared" si="214"/>
        <v>0</v>
      </c>
      <c r="CM104" s="429" t="b">
        <f t="shared" si="215"/>
        <v>0</v>
      </c>
      <c r="CN104" s="429" t="b">
        <f t="shared" si="216"/>
        <v>0</v>
      </c>
      <c r="CO104" s="429" t="b">
        <f t="shared" si="217"/>
        <v>0</v>
      </c>
      <c r="CP104" s="429" t="b">
        <f t="shared" si="218"/>
        <v>0</v>
      </c>
      <c r="CQ104" s="429" t="b">
        <f t="shared" si="219"/>
        <v>0</v>
      </c>
      <c r="CR104" s="429" t="b">
        <f t="shared" si="220"/>
        <v>0</v>
      </c>
      <c r="CS104" s="429" t="b">
        <f t="shared" si="221"/>
        <v>0</v>
      </c>
      <c r="CT104" s="429" t="b">
        <f t="shared" si="222"/>
        <v>0</v>
      </c>
      <c r="CU104" s="429" t="b">
        <f t="shared" si="223"/>
        <v>0</v>
      </c>
      <c r="CV104" s="429" t="b">
        <f t="shared" si="224"/>
        <v>0</v>
      </c>
      <c r="CW104" s="429" t="b">
        <f t="shared" si="225"/>
        <v>0</v>
      </c>
      <c r="CX104" s="429" t="b">
        <f t="shared" si="226"/>
        <v>0</v>
      </c>
      <c r="CY104" s="429" t="b">
        <f t="shared" si="227"/>
        <v>0</v>
      </c>
      <c r="CZ104" s="429" t="b">
        <f t="shared" si="228"/>
        <v>0</v>
      </c>
      <c r="DA104" s="429" t="b">
        <f t="shared" si="229"/>
        <v>0</v>
      </c>
      <c r="DB104" s="429" t="b">
        <f t="shared" si="230"/>
        <v>0</v>
      </c>
      <c r="DC104" s="429"/>
      <c r="DD104" s="429">
        <f t="shared" si="260"/>
        <v>0</v>
      </c>
      <c r="DE104" s="429" t="str">
        <f t="shared" si="231"/>
        <v>-</v>
      </c>
      <c r="DF104" s="429">
        <f t="shared" si="232"/>
        <v>0</v>
      </c>
      <c r="DG104" s="429">
        <f t="shared" si="261"/>
        <v>0</v>
      </c>
      <c r="DH104" s="429">
        <f t="shared" si="262"/>
        <v>4</v>
      </c>
      <c r="DI104" s="429"/>
      <c r="DJ104" s="429" t="e">
        <f t="shared" si="263"/>
        <v>#N/A</v>
      </c>
      <c r="DK104" s="429">
        <f t="shared" si="180"/>
        <v>-3.8</v>
      </c>
      <c r="DL104" s="429">
        <f t="shared" si="181"/>
        <v>-5.33</v>
      </c>
      <c r="DM104" s="429">
        <f t="shared" si="182"/>
        <v>-6.26</v>
      </c>
      <c r="DN104" s="429">
        <f t="shared" si="183"/>
        <v>-6.83</v>
      </c>
      <c r="DO104" s="429">
        <f t="shared" si="184"/>
        <v>-7.29</v>
      </c>
      <c r="DP104" s="429">
        <f t="shared" si="185"/>
        <v>-8.61</v>
      </c>
      <c r="DQ104" s="429">
        <f t="shared" si="186"/>
        <v>-9.4499999999999993</v>
      </c>
      <c r="DR104" s="429">
        <f t="shared" si="187"/>
        <v>-10.1</v>
      </c>
      <c r="DS104" s="429">
        <f t="shared" si="188"/>
        <v>-10.45</v>
      </c>
      <c r="DT104" s="429">
        <f t="shared" si="189"/>
        <v>-10.5</v>
      </c>
      <c r="DU104" s="429">
        <f t="shared" si="190"/>
        <v>-10.8</v>
      </c>
      <c r="DV104" s="429">
        <f t="shared" si="191"/>
        <v>-10.87</v>
      </c>
      <c r="DW104" s="429" t="e">
        <f t="shared" si="192"/>
        <v>#N/A</v>
      </c>
      <c r="DX104" s="429" t="e">
        <f t="shared" si="193"/>
        <v>#N/A</v>
      </c>
      <c r="DY104" s="429" t="e">
        <f t="shared" si="194"/>
        <v>#N/A</v>
      </c>
      <c r="DZ104" s="429" t="e">
        <f t="shared" si="195"/>
        <v>#N/A</v>
      </c>
      <c r="EA104" s="429" t="e">
        <f t="shared" si="196"/>
        <v>#N/A</v>
      </c>
      <c r="EB104" s="429" t="e">
        <f t="shared" si="197"/>
        <v>#N/A</v>
      </c>
      <c r="EC104" s="429" t="e">
        <f t="shared" si="198"/>
        <v>#N/A</v>
      </c>
      <c r="ED104" s="429" t="e">
        <f t="shared" si="199"/>
        <v>#N/A</v>
      </c>
      <c r="EE104" s="429" t="e">
        <f t="shared" si="200"/>
        <v>#N/A</v>
      </c>
      <c r="EF104" s="429" t="e">
        <f t="shared" si="201"/>
        <v>#N/A</v>
      </c>
      <c r="EG104" s="429" t="e">
        <f t="shared" si="202"/>
        <v>#N/A</v>
      </c>
      <c r="EH104" s="429" t="e">
        <f t="shared" si="203"/>
        <v>#N/A</v>
      </c>
      <c r="EI104" s="429" t="e">
        <f t="shared" si="204"/>
        <v>#N/A</v>
      </c>
      <c r="EJ104" s="429"/>
      <c r="EK104" s="429"/>
      <c r="EL104" s="429" t="e">
        <f t="shared" si="233"/>
        <v>#N/A</v>
      </c>
      <c r="EM104" s="429">
        <f t="shared" ref="EM104:EM122" si="264">IF(ISERROR(EL104),DK$97,IF(AND(ISNUMBER(EL104),EL104=0),NA(),DK$97))</f>
        <v>0</v>
      </c>
      <c r="EN104" s="429">
        <f t="shared" si="235"/>
        <v>0.5</v>
      </c>
      <c r="EO104" s="429">
        <f t="shared" si="236"/>
        <v>1</v>
      </c>
      <c r="EP104" s="429">
        <f t="shared" si="237"/>
        <v>1.5</v>
      </c>
      <c r="EQ104" s="429">
        <f t="shared" si="238"/>
        <v>2</v>
      </c>
      <c r="ER104" s="429">
        <f t="shared" si="239"/>
        <v>4</v>
      </c>
      <c r="ES104" s="429">
        <f t="shared" si="240"/>
        <v>6</v>
      </c>
      <c r="ET104" s="429">
        <f t="shared" si="241"/>
        <v>8</v>
      </c>
      <c r="EU104" s="429">
        <f t="shared" si="242"/>
        <v>9.6999999999999993</v>
      </c>
      <c r="EV104" s="429">
        <f t="shared" si="243"/>
        <v>10</v>
      </c>
      <c r="EW104" s="429">
        <f t="shared" si="244"/>
        <v>12</v>
      </c>
      <c r="EX104" s="429">
        <f t="shared" si="245"/>
        <v>13</v>
      </c>
      <c r="EY104" s="429" t="e">
        <f t="shared" si="246"/>
        <v>#N/A</v>
      </c>
      <c r="EZ104" s="429" t="e">
        <f t="shared" si="247"/>
        <v>#N/A</v>
      </c>
      <c r="FA104" s="429" t="e">
        <f t="shared" si="248"/>
        <v>#N/A</v>
      </c>
      <c r="FB104" s="429" t="e">
        <f t="shared" si="249"/>
        <v>#N/A</v>
      </c>
      <c r="FC104" s="429" t="e">
        <f t="shared" si="250"/>
        <v>#N/A</v>
      </c>
      <c r="FD104" s="429" t="e">
        <f t="shared" si="251"/>
        <v>#N/A</v>
      </c>
      <c r="FE104" s="429" t="e">
        <f t="shared" si="252"/>
        <v>#N/A</v>
      </c>
      <c r="FF104" s="429" t="e">
        <f t="shared" si="253"/>
        <v>#N/A</v>
      </c>
      <c r="FG104" s="429" t="e">
        <f t="shared" si="254"/>
        <v>#N/A</v>
      </c>
      <c r="FH104" s="429" t="e">
        <f t="shared" si="255"/>
        <v>#N/A</v>
      </c>
      <c r="FI104" s="429" t="e">
        <f t="shared" si="256"/>
        <v>#N/A</v>
      </c>
      <c r="FJ104" s="429" t="e">
        <f t="shared" si="257"/>
        <v>#N/A</v>
      </c>
      <c r="FK104" s="429" t="e">
        <f t="shared" si="258"/>
        <v>#N/A</v>
      </c>
    </row>
    <row r="105" spans="1:167" x14ac:dyDescent="0.25">
      <c r="A105" s="377">
        <f t="shared" si="206"/>
        <v>4</v>
      </c>
      <c r="B105" s="380" t="str">
        <f>IFERROR(IF(ISERROR(CP134),"",CONCATENATE(ROUND(X_SHIFT_BP+IF(Tools!B$97&lt;=Tools!$D$47/2,-BF10,BF10),3),",",ROUND(WLS*$AP46,3)," ")),"")</f>
        <v xml:space="preserve">168.01,8 </v>
      </c>
      <c r="C105" s="380" t="str">
        <f>IFERROR(IF(ISERROR(CQ134),"",CONCATENATE(ROUND(X_SHIFT_BP+IF(Tools!C$97&lt;=Tools!$D$47/2,-BG10,BG10),3),",",ROUND(WLS*$AP46,3)," ")),"")</f>
        <v xml:space="preserve">166.48,8 </v>
      </c>
      <c r="D105" s="380" t="str">
        <f>IFERROR(IF(ISERROR(CR134),"",CONCATENATE(ROUND(X_SHIFT_BP+IF(Tools!D$97&lt;=Tools!$D$47/2,-BH10,BH10),3),",",ROUND(WLS*$AP46,3)," ")),"")</f>
        <v xml:space="preserve">164.9,8 </v>
      </c>
      <c r="E105" s="380" t="str">
        <f>IFERROR(IF(ISERROR(CS134),"",CONCATENATE(ROUND(X_SHIFT_BP+IF(Tools!E$97&lt;=Tools!$D$47/2,-BI10,BI10),3),",",ROUND(WLS*$AP46,3)," ")),"")</f>
        <v xml:space="preserve">163.41,8 </v>
      </c>
      <c r="F105" s="380" t="str">
        <f>IFERROR(IF(ISERROR(CT134),"",CONCATENATE(ROUND(X_SHIFT_BP+IF(Tools!F$97&lt;=Tools!$D$47/2,-BJ10,BJ10),3),",",ROUND(WLS*$AP46,3)," ")),"")</f>
        <v xml:space="preserve">162.21,8 </v>
      </c>
      <c r="G105" s="380" t="str">
        <f>IFERROR(IF(ISERROR(CU134),"",CONCATENATE(ROUND(X_SHIFT_BP+IF(Tools!G$97&lt;=Tools!$D$47/2,-BK10,BK10),3),",",ROUND(WLS*$AP46,3)," ")),"")</f>
        <v xml:space="preserve">160.26,8 </v>
      </c>
      <c r="H105" s="380" t="str">
        <f>IFERROR(IF(ISERROR(CV134),"",CONCATENATE(ROUND(X_SHIFT_BP+IF(Tools!H$97&lt;=Tools!$D$47/2,-BL10,BL10),3),",",ROUND(WLS*$AP46,3)," ")),"")</f>
        <v xml:space="preserve">158.81,8 </v>
      </c>
      <c r="I105" s="380" t="str">
        <f>IFERROR(IF(ISERROR(CW134),"",CONCATENATE(ROUND(X_SHIFT_BP+IF(Tools!I$97&lt;=Tools!$D$47/2,-BM10,BM10),3),",",ROUND(WLS*$AP46,3)," ")),"")</f>
        <v xml:space="preserve">158.33,8 </v>
      </c>
      <c r="J105" s="380" t="str">
        <f>IFERROR(IF(ISERROR(CX134),"",CONCATENATE(ROUND(X_SHIFT_BP+IF(Tools!J$97&lt;=Tools!$D$47/2,-BN10,BN10),3),",",ROUND(WLS*$AP46,3)," ")),"")</f>
        <v xml:space="preserve">157.91,8 </v>
      </c>
      <c r="K105" s="380" t="str">
        <f>IFERROR(IF(ISERROR(CY134),"",CONCATENATE(ROUND(X_SHIFT_BP+IF(Tools!K$97&lt;=Tools!$D$47/2,-BO10,BO10),3),",",ROUND(WLS*$AP46,3)," ")),"")</f>
        <v xml:space="preserve">157.91,8 </v>
      </c>
      <c r="L105" s="380" t="str">
        <f>IFERROR(IF(ISERROR(CZ134),"",CONCATENATE(ROUND(X_SHIFT_BP+IF(Tools!L$97&lt;=Tools!$D$47/2,-BP10,BP10),3),",",ROUND(WLS*$AP46,3)," ")),"")</f>
        <v xml:space="preserve">157.91,8 </v>
      </c>
      <c r="M105" s="380" t="str">
        <f>IFERROR(IF(ISERROR(DA134),"",CONCATENATE(ROUND(X_SHIFT_BP+IF(Tools!M$97&lt;=Tools!$D$47/2,-BQ10,BQ10),3),",",ROUND(WLS*$AP46,3)," ")),"")</f>
        <v xml:space="preserve">157.91,8 </v>
      </c>
      <c r="N105" s="380" t="str">
        <f>IFERROR(IF(ISERROR(DB134),"",CONCATENATE(ROUND(X_SHIFT_BP+IF(Tools!N$97&lt;=Tools!$D$47/2,-BR10,BR10),3),",",ROUND(WLS*$AP46,3)," ")),"")</f>
        <v xml:space="preserve">157.91,8 </v>
      </c>
      <c r="O105" s="380" t="str">
        <f>IFERROR(IF(ISERROR(DC134),"",CONCATENATE(ROUND(X_SHIFT_BP+IF(Tools!O$97&lt;=Tools!$D$47/2,-BS10,BS10),3),",",ROUND(WLS*$AP46,3)," ")),"")</f>
        <v xml:space="preserve">179.91,8 </v>
      </c>
      <c r="P105" s="380" t="str">
        <f>IFERROR(IF(ISERROR(DD134),"",CONCATENATE(ROUND(X_SHIFT_BP+IF(Tools!P$97&lt;=Tools!$D$47/2,-BT10,BT10),3),",",ROUND(WLS*$AP46,3)," ")),"")</f>
        <v xml:space="preserve">179.91,8 </v>
      </c>
      <c r="Q105" s="380" t="str">
        <f>IFERROR(IF(ISERROR(DE134),"",CONCATENATE(ROUND(X_SHIFT_BP+IF(Tools!Q$97&lt;=Tools!$D$47/2,-BU10,BU10),3),",",ROUND(WLS*$AP46,3)," ")),"")</f>
        <v xml:space="preserve">179.91,8 </v>
      </c>
      <c r="R105" s="380" t="str">
        <f>IFERROR(IF(ISERROR(DF134),"",CONCATENATE(ROUND(X_SHIFT_BP+IF(Tools!R$97&lt;=Tools!$D$47/2,-BV10,BV10),3),",",ROUND(WLS*$AP46,3)," ")),"")</f>
        <v xml:space="preserve">179.91,8 </v>
      </c>
      <c r="S105" s="380" t="str">
        <f>IFERROR(IF(ISERROR(DG134),"",CONCATENATE(ROUND(X_SHIFT_BP+IF(Tools!S$97&lt;=Tools!$D$47/2,-BW10,BW10),3),",",ROUND(WLS*$AP46,3)," ")),"")</f>
        <v xml:space="preserve">179.91,8 </v>
      </c>
      <c r="T105" s="380" t="str">
        <f>IFERROR(IF(ISERROR(DH134),"",CONCATENATE(ROUND(X_SHIFT_BP+IF(Tools!T$97&lt;=Tools!$D$47/2,-BX10,BX10),3),",",ROUND(WLS*$AP46,3)," ")),"")</f>
        <v xml:space="preserve">179.71,8 </v>
      </c>
      <c r="U105" s="380" t="str">
        <f>IFERROR(IF(ISERROR(DI134),"",CONCATENATE(ROUND(X_SHIFT_BP+IF(Tools!U$97&lt;=Tools!$D$47/2,-BY10,BY10),3),",",ROUND(WLS*$AP46,3)," ")),"")</f>
        <v xml:space="preserve">178.9,8 </v>
      </c>
      <c r="V105" s="380" t="str">
        <f>IFERROR(IF(ISERROR(DJ134),"",CONCATENATE(ROUND(X_SHIFT_BP+IF(Tools!V$97&lt;=Tools!$D$47/2,-BZ10,BZ10),3),",",ROUND(WLS*$AP46,3)," ")),"")</f>
        <v xml:space="preserve">176.839,8 </v>
      </c>
      <c r="W105" s="380" t="str">
        <f>IFERROR(IF(ISERROR(DK134),"",CONCATENATE(ROUND(X_SHIFT_BP+IF(Tools!W$97&lt;=Tools!$D$47/2,-CA10,CA10),3),",",ROUND(WLS*$AP46,3)," ")),"")</f>
        <v xml:space="preserve">175.3,8 </v>
      </c>
      <c r="X105" s="380" t="str">
        <f>IFERROR(IF(ISERROR(DL134),"",CONCATENATE(ROUND(X_SHIFT_BP+IF(Tools!X$97&lt;=Tools!$D$47/2,-CB10,CB10),3),",",ROUND(WLS*$AP46,3)," ")),"")</f>
        <v xml:space="preserve">173.38,8 </v>
      </c>
      <c r="Y105" s="380" t="str">
        <f>IFERROR(IF(ISERROR(DM134),"",CONCATENATE(ROUND(X_SHIFT_BP+IF(Tools!Y$97&lt;=Tools!$D$47/2,-CC10,CC10),3),",",ROUND(WLS*$AP46,3)," ")),"")</f>
        <v xml:space="preserve">171.16,8 </v>
      </c>
      <c r="Z105" s="380" t="str">
        <f>IFERROR(IF(ISERROR(DN134),"",CONCATENATE(ROUND(X_SHIFT_BP+IF(Tools!Z$97&lt;=Tools!$D$47/2,-CD10,CD10),3),",",ROUND(WLS*$AP46,3)," ")),"")</f>
        <v xml:space="preserve">168.99,8 </v>
      </c>
      <c r="AA105" s="132">
        <v>12</v>
      </c>
      <c r="AB105" s="248" t="str">
        <f t="shared" si="259"/>
        <v xml:space="preserve">Spline </v>
      </c>
      <c r="AC105" s="132" t="str">
        <v/>
      </c>
      <c r="AD105" s="248" t="str">
        <v xml:space="preserve">163.01,0 </v>
      </c>
      <c r="AE105" s="248" t="str">
        <v xml:space="preserve">161.65,0.5 </v>
      </c>
      <c r="AF105" s="248" t="str">
        <v xml:space="preserve">160.79,1 </v>
      </c>
      <c r="AG105" s="248" t="str">
        <v xml:space="preserve">160.21,1.5 </v>
      </c>
      <c r="AH105" s="248" t="str">
        <v xml:space="preserve">159.84,2 </v>
      </c>
      <c r="AI105" s="248" t="str">
        <v xml:space="preserve">158.96,4 </v>
      </c>
      <c r="AJ105" s="248" t="str">
        <v xml:space="preserve">158.61,6 </v>
      </c>
      <c r="AK105" s="248" t="str">
        <v xml:space="preserve">158.33,8 </v>
      </c>
      <c r="AL105" s="248" t="str">
        <v xml:space="preserve">158.19,9.7 </v>
      </c>
      <c r="AM105" s="248" t="str">
        <v xml:space="preserve">158.17,10 </v>
      </c>
      <c r="AN105" s="248" t="str">
        <v xml:space="preserve">158.01,12 </v>
      </c>
      <c r="AO105" s="248" t="str">
        <v xml:space="preserve">157.91,13 </v>
      </c>
      <c r="AP105" s="248" t="str">
        <v/>
      </c>
      <c r="AQ105" s="248" t="str">
        <v/>
      </c>
      <c r="AR105" s="248" t="str">
        <v/>
      </c>
      <c r="AS105" s="248" t="str">
        <v/>
      </c>
      <c r="AT105" s="248" t="str">
        <v/>
      </c>
      <c r="AU105" s="248" t="str">
        <v/>
      </c>
      <c r="AV105" s="248" t="str">
        <v/>
      </c>
      <c r="AW105" s="248" t="str">
        <v/>
      </c>
      <c r="AX105" s="248" t="str">
        <v/>
      </c>
      <c r="AY105" s="248" t="str">
        <v/>
      </c>
      <c r="AZ105" s="248" t="str">
        <v/>
      </c>
      <c r="BA105" s="248" t="str">
        <v/>
      </c>
      <c r="BB105" s="248" t="str">
        <v/>
      </c>
      <c r="BC105" s="379">
        <f>Tools!AD10</f>
        <v>5</v>
      </c>
      <c r="BD105" s="379">
        <f>IFERROR(Tools!AD10*STN_GAP,"")</f>
        <v>36.549999999999997</v>
      </c>
      <c r="BE105" s="467">
        <f>IFERROR(IF(ISNUMBER(DE105),NA(),IF(AND($DF105&lt;&gt;0,$DG105&gt;BE$97),NA(),IF($BD105&gt;LBP/2,-(-Tools!AE10),-Tools!AE10))),NA())</f>
        <v>-5.9</v>
      </c>
      <c r="BF105" s="379">
        <f>IFERROR(IF(AND($DF105&lt;&gt;0,$DG105&gt;BF$97),NA(),IF($BD105&gt;LBP/2,-(-Tools!AF10),-Tools!AF10)),NA())</f>
        <v>-7.26</v>
      </c>
      <c r="BG105" s="379">
        <f>IFERROR(IF(AND($DF105&lt;&gt;0,$DG105&gt;BG$97),NA(),IF($BD105&gt;LBP/2,-(-Tools!AG10),-Tools!AG10)),NA())</f>
        <v>-8.1199999999999992</v>
      </c>
      <c r="BH105" s="379">
        <f>IFERROR(IF(AND($DF105&lt;&gt;0,$DG105&gt;BH$97),NA(),IF($BD105&gt;LBP/2,-(-Tools!AH10),-Tools!AH10)),NA())</f>
        <v>-8.6999999999999993</v>
      </c>
      <c r="BI105" s="379">
        <f>IFERROR(IF(AND($DF105&lt;&gt;0,$DG105&gt;BI$97),NA(),IF($BD105&gt;LBP/2,-(-Tools!AI10),-Tools!AI10)),NA())</f>
        <v>-9.07</v>
      </c>
      <c r="BJ105" s="379">
        <f>IFERROR(IF(AND($DF105&lt;&gt;0,$DG105&gt;BJ$97),NA(),IF($BD105&gt;LBP/2,-(-Tools!AJ10),-Tools!AJ10)),NA())</f>
        <v>-9.9499999999999993</v>
      </c>
      <c r="BK105" s="379">
        <f>IFERROR(IF(AND($DF105&lt;&gt;0,$DG105&gt;BK$97),NA(),IF($BD105&gt;LBP/2,-(-Tools!AK10),-Tools!AK10)),NA())</f>
        <v>-10.3</v>
      </c>
      <c r="BL105" s="379">
        <f>IFERROR(IF(AND($DF105&lt;&gt;0,$DG105&gt;BL$97),NA(),IF($BD105&gt;LBP/2,-(-Tools!AL10),-Tools!AL10)),NA())</f>
        <v>-10.58</v>
      </c>
      <c r="BM105" s="379">
        <f>IFERROR(IF(AND($DF105&lt;&gt;0,$DG105&gt;BM$97),NA(),IF($BD105&gt;LBP/2,-(-Tools!AM10),-Tools!AM10)),NA())</f>
        <v>-10.72</v>
      </c>
      <c r="BN105" s="379">
        <f>IFERROR(IF(AND($DF105&lt;&gt;0,$DG105&gt;BN$97),NA(),IF($BD105&gt;LBP/2,-(-Tools!AN10),-Tools!AN10)),NA())</f>
        <v>-10.74</v>
      </c>
      <c r="BO105" s="379">
        <f>IFERROR(IF(AND($DF105&lt;&gt;0,$DG105&gt;BO$97),NA(),IF($BD105&gt;LBP/2,-(-Tools!AO10),-Tools!AO10)),NA())</f>
        <v>-10.9</v>
      </c>
      <c r="BP105" s="379">
        <f>IFERROR(IF(AND($DF105&lt;&gt;0,$DG105&gt;BP$97),NA(),IF($BD105&gt;LBP/2,-(-Tools!AP10),-Tools!AP10)),NA())</f>
        <v>-11</v>
      </c>
      <c r="BQ105" s="379" t="e">
        <f>IFERROR(IF(AND($DF105&lt;&gt;0,$DG105&gt;BQ$97),NA(),IF($BD105&gt;LBP/2,-(-Tools!AQ10),-Tools!AQ10)),NA())</f>
        <v>#N/A</v>
      </c>
      <c r="BR105" s="379" t="e">
        <f>IFERROR(IF(AND($DF105&lt;&gt;0,$DG105&gt;BR$97),NA(),IF($BD105&gt;LBP/2,-(-Tools!AR10),-Tools!AR10)),NA())</f>
        <v>#N/A</v>
      </c>
      <c r="BS105" s="379" t="e">
        <f>IFERROR(IF(AND($DF105&lt;&gt;0,$DG105&gt;BS$97),NA(),IF($BD105&gt;LBP/2,-(-Tools!AS10),-Tools!AS10)),NA())</f>
        <v>#N/A</v>
      </c>
      <c r="BT105" s="379" t="e">
        <f>IFERROR(IF(AND($DF105&lt;&gt;0,$DG105&gt;BT$97),NA(),IF($BD105&gt;LBP/2,-(-Tools!AT10),-Tools!AT10)),NA())</f>
        <v>#N/A</v>
      </c>
      <c r="BU105" s="379" t="e">
        <f>IFERROR(IF(AND($DF105&lt;&gt;0,$DG105&gt;BU$97),NA(),IF($BD105&gt;LBP/2,-(-Tools!AU10),-Tools!AU10)),NA())</f>
        <v>#N/A</v>
      </c>
      <c r="BV105" s="379" t="e">
        <f>IFERROR(IF(AND($DF105&lt;&gt;0,$DG105&gt;BV$97),NA(),IF($BD105&gt;LBP/2,-(-Tools!AV10),-Tools!AV10)),NA())</f>
        <v>#N/A</v>
      </c>
      <c r="BW105" s="379" t="e">
        <f>IFERROR(IF(AND($DF105&lt;&gt;0,$DG105&gt;BW$97),NA(),IF($BD105&gt;LBP/2,-(-Tools!AW10),-Tools!AW10)),NA())</f>
        <v>#N/A</v>
      </c>
      <c r="BX105" s="379" t="e">
        <f>IFERROR(IF(AND($DF105&lt;&gt;0,$DG105&gt;BX$97),NA(),IF($BD105&gt;LBP/2,-(-Tools!AX10),-Tools!AX10)),NA())</f>
        <v>#N/A</v>
      </c>
      <c r="BY105" s="379" t="e">
        <f>IFERROR(IF(AND($DF105&lt;&gt;0,$DG105&gt;BY$97),NA(),IF($BD105&gt;LBP/2,-(-Tools!AY10),-Tools!AY10)),NA())</f>
        <v>#N/A</v>
      </c>
      <c r="BZ105" s="379" t="e">
        <f>IFERROR(IF(AND($DF105&lt;&gt;0,$DG105&gt;BZ$97),NA(),IF($BD105&gt;LBP/2,-(-Tools!AZ10),-Tools!AZ10)),NA())</f>
        <v>#N/A</v>
      </c>
      <c r="CA105" s="379" t="e">
        <f>IFERROR(IF(AND($DF105&lt;&gt;0,$DG105&gt;CA$97),NA(),IF($BD105&gt;LBP/2,-(-Tools!BA10),-Tools!BA10)),NA())</f>
        <v>#N/A</v>
      </c>
      <c r="CB105" s="379" t="e">
        <f>IFERROR(IF(AND($DF105&lt;&gt;0,$DG105&gt;CB$97),NA(),IF($BD105&gt;LBP/2,-(-Tools!BB10),-Tools!BB10)),NA())</f>
        <v>#N/A</v>
      </c>
      <c r="CC105" s="379" t="e">
        <f>IFERROR(IF(AND($DF105&lt;&gt;0,$DG105&gt;CC$97),NA(),IF($BD105&gt;LBP/2,-(-Tools!BC10),-Tools!BC10)),NA())</f>
        <v>#N/A</v>
      </c>
      <c r="CE105" s="429" t="b">
        <f t="shared" si="207"/>
        <v>0</v>
      </c>
      <c r="CF105" s="429" t="b">
        <f t="shared" si="208"/>
        <v>0</v>
      </c>
      <c r="CG105" s="429" t="b">
        <f t="shared" si="209"/>
        <v>0</v>
      </c>
      <c r="CH105" s="429" t="b">
        <f t="shared" si="210"/>
        <v>0</v>
      </c>
      <c r="CI105" s="429" t="b">
        <f t="shared" si="211"/>
        <v>0</v>
      </c>
      <c r="CJ105" s="429" t="b">
        <f t="shared" si="212"/>
        <v>0</v>
      </c>
      <c r="CK105" s="429" t="b">
        <f t="shared" si="213"/>
        <v>0</v>
      </c>
      <c r="CL105" s="429" t="b">
        <f t="shared" si="214"/>
        <v>0</v>
      </c>
      <c r="CM105" s="429" t="b">
        <f t="shared" si="215"/>
        <v>0</v>
      </c>
      <c r="CN105" s="429" t="b">
        <f t="shared" si="216"/>
        <v>0</v>
      </c>
      <c r="CO105" s="429" t="b">
        <f t="shared" si="217"/>
        <v>0</v>
      </c>
      <c r="CP105" s="429" t="b">
        <f t="shared" si="218"/>
        <v>0</v>
      </c>
      <c r="CQ105" s="429" t="b">
        <f t="shared" si="219"/>
        <v>0</v>
      </c>
      <c r="CR105" s="429" t="b">
        <f t="shared" si="220"/>
        <v>0</v>
      </c>
      <c r="CS105" s="429" t="b">
        <f t="shared" si="221"/>
        <v>0</v>
      </c>
      <c r="CT105" s="429" t="b">
        <f t="shared" si="222"/>
        <v>0</v>
      </c>
      <c r="CU105" s="429" t="b">
        <f t="shared" si="223"/>
        <v>0</v>
      </c>
      <c r="CV105" s="429" t="b">
        <f t="shared" si="224"/>
        <v>0</v>
      </c>
      <c r="CW105" s="429" t="b">
        <f t="shared" si="225"/>
        <v>0</v>
      </c>
      <c r="CX105" s="429" t="b">
        <f t="shared" si="226"/>
        <v>0</v>
      </c>
      <c r="CY105" s="429" t="b">
        <f t="shared" si="227"/>
        <v>0</v>
      </c>
      <c r="CZ105" s="429" t="b">
        <f t="shared" si="228"/>
        <v>0</v>
      </c>
      <c r="DA105" s="429" t="b">
        <f t="shared" si="229"/>
        <v>0</v>
      </c>
      <c r="DB105" s="429" t="b">
        <f t="shared" si="230"/>
        <v>0</v>
      </c>
      <c r="DC105" s="429"/>
      <c r="DD105" s="429">
        <f t="shared" si="260"/>
        <v>0</v>
      </c>
      <c r="DE105" s="429" t="str">
        <f t="shared" si="231"/>
        <v>-</v>
      </c>
      <c r="DF105" s="429">
        <f t="shared" si="232"/>
        <v>0</v>
      </c>
      <c r="DG105" s="429">
        <f t="shared" si="261"/>
        <v>0</v>
      </c>
      <c r="DH105" s="429">
        <f t="shared" si="262"/>
        <v>5</v>
      </c>
      <c r="DI105" s="429"/>
      <c r="DJ105" s="429" t="e">
        <f t="shared" si="263"/>
        <v>#N/A</v>
      </c>
      <c r="DK105" s="429">
        <f t="shared" si="180"/>
        <v>-5.9</v>
      </c>
      <c r="DL105" s="429">
        <f t="shared" si="181"/>
        <v>-7.26</v>
      </c>
      <c r="DM105" s="429">
        <f t="shared" si="182"/>
        <v>-8.1199999999999992</v>
      </c>
      <c r="DN105" s="429">
        <f t="shared" si="183"/>
        <v>-8.6999999999999993</v>
      </c>
      <c r="DO105" s="429">
        <f t="shared" si="184"/>
        <v>-9.07</v>
      </c>
      <c r="DP105" s="429">
        <f t="shared" si="185"/>
        <v>-9.9499999999999993</v>
      </c>
      <c r="DQ105" s="429">
        <f t="shared" si="186"/>
        <v>-10.3</v>
      </c>
      <c r="DR105" s="429">
        <f t="shared" si="187"/>
        <v>-10.58</v>
      </c>
      <c r="DS105" s="429">
        <f t="shared" si="188"/>
        <v>-10.72</v>
      </c>
      <c r="DT105" s="429">
        <f t="shared" si="189"/>
        <v>-10.74</v>
      </c>
      <c r="DU105" s="429">
        <f t="shared" si="190"/>
        <v>-10.9</v>
      </c>
      <c r="DV105" s="429">
        <f t="shared" si="191"/>
        <v>-11</v>
      </c>
      <c r="DW105" s="429" t="e">
        <f t="shared" si="192"/>
        <v>#N/A</v>
      </c>
      <c r="DX105" s="429" t="e">
        <f t="shared" si="193"/>
        <v>#N/A</v>
      </c>
      <c r="DY105" s="429" t="e">
        <f t="shared" si="194"/>
        <v>#N/A</v>
      </c>
      <c r="DZ105" s="429" t="e">
        <f t="shared" si="195"/>
        <v>#N/A</v>
      </c>
      <c r="EA105" s="429" t="e">
        <f t="shared" si="196"/>
        <v>#N/A</v>
      </c>
      <c r="EB105" s="429" t="e">
        <f t="shared" si="197"/>
        <v>#N/A</v>
      </c>
      <c r="EC105" s="429" t="e">
        <f t="shared" si="198"/>
        <v>#N/A</v>
      </c>
      <c r="ED105" s="429" t="e">
        <f t="shared" si="199"/>
        <v>#N/A</v>
      </c>
      <c r="EE105" s="429" t="e">
        <f t="shared" si="200"/>
        <v>#N/A</v>
      </c>
      <c r="EF105" s="429" t="e">
        <f t="shared" si="201"/>
        <v>#N/A</v>
      </c>
      <c r="EG105" s="429" t="e">
        <f t="shared" si="202"/>
        <v>#N/A</v>
      </c>
      <c r="EH105" s="429" t="e">
        <f t="shared" si="203"/>
        <v>#N/A</v>
      </c>
      <c r="EI105" s="429" t="e">
        <f t="shared" si="204"/>
        <v>#N/A</v>
      </c>
      <c r="EJ105" s="429"/>
      <c r="EK105" s="429"/>
      <c r="EL105" s="429" t="e">
        <f t="shared" si="233"/>
        <v>#N/A</v>
      </c>
      <c r="EM105" s="429">
        <f t="shared" si="264"/>
        <v>0</v>
      </c>
      <c r="EN105" s="429">
        <f t="shared" si="235"/>
        <v>0.5</v>
      </c>
      <c r="EO105" s="429">
        <f t="shared" si="236"/>
        <v>1</v>
      </c>
      <c r="EP105" s="429">
        <f t="shared" si="237"/>
        <v>1.5</v>
      </c>
      <c r="EQ105" s="429">
        <f t="shared" si="238"/>
        <v>2</v>
      </c>
      <c r="ER105" s="429">
        <f t="shared" si="239"/>
        <v>4</v>
      </c>
      <c r="ES105" s="429">
        <f t="shared" si="240"/>
        <v>6</v>
      </c>
      <c r="ET105" s="429">
        <f t="shared" si="241"/>
        <v>8</v>
      </c>
      <c r="EU105" s="429">
        <f t="shared" si="242"/>
        <v>9.6999999999999993</v>
      </c>
      <c r="EV105" s="429">
        <f t="shared" si="243"/>
        <v>10</v>
      </c>
      <c r="EW105" s="429">
        <f t="shared" si="244"/>
        <v>12</v>
      </c>
      <c r="EX105" s="429">
        <f t="shared" si="245"/>
        <v>13</v>
      </c>
      <c r="EY105" s="429" t="e">
        <f t="shared" si="246"/>
        <v>#N/A</v>
      </c>
      <c r="EZ105" s="429" t="e">
        <f t="shared" si="247"/>
        <v>#N/A</v>
      </c>
      <c r="FA105" s="429" t="e">
        <f t="shared" si="248"/>
        <v>#N/A</v>
      </c>
      <c r="FB105" s="429" t="e">
        <f t="shared" si="249"/>
        <v>#N/A</v>
      </c>
      <c r="FC105" s="429" t="e">
        <f t="shared" si="250"/>
        <v>#N/A</v>
      </c>
      <c r="FD105" s="429" t="e">
        <f t="shared" si="251"/>
        <v>#N/A</v>
      </c>
      <c r="FE105" s="429" t="e">
        <f t="shared" si="252"/>
        <v>#N/A</v>
      </c>
      <c r="FF105" s="429" t="e">
        <f t="shared" si="253"/>
        <v>#N/A</v>
      </c>
      <c r="FG105" s="429" t="e">
        <f t="shared" si="254"/>
        <v>#N/A</v>
      </c>
      <c r="FH105" s="429" t="e">
        <f t="shared" si="255"/>
        <v>#N/A</v>
      </c>
      <c r="FI105" s="429" t="e">
        <f t="shared" si="256"/>
        <v>#N/A</v>
      </c>
      <c r="FJ105" s="429" t="e">
        <f t="shared" si="257"/>
        <v>#N/A</v>
      </c>
      <c r="FK105" s="429" t="e">
        <f t="shared" si="258"/>
        <v>#N/A</v>
      </c>
    </row>
    <row r="106" spans="1:167" x14ac:dyDescent="0.25">
      <c r="A106" s="377">
        <f t="shared" si="206"/>
        <v>4.8499999999999996</v>
      </c>
      <c r="B106" s="380" t="str">
        <f>IFERROR(IF(ISERROR(CP135),"",CONCATENATE(ROUND(X_SHIFT_BP+IF(Tools!B$97&lt;=Tools!$D$47/2,-BF11,BF11),3),",",ROUND(WLS*$AP47,3)," ")),"")</f>
        <v xml:space="preserve">166.32,9.7 </v>
      </c>
      <c r="C106" s="380" t="str">
        <f>IFERROR(IF(ISERROR(CQ135),"",CONCATENATE(ROUND(X_SHIFT_BP+IF(Tools!C$97&lt;=Tools!$D$47/2,-BG11,BG11),3),",",ROUND(WLS*$AP47,3)," ")),"")</f>
        <v xml:space="preserve">164.73,9.7 </v>
      </c>
      <c r="D106" s="380" t="str">
        <f>IFERROR(IF(ISERROR(CR135),"",CONCATENATE(ROUND(X_SHIFT_BP+IF(Tools!D$97&lt;=Tools!$D$47/2,-BH11,BH11),3),",",ROUND(WLS*$AP47,3)," ")),"")</f>
        <v xml:space="preserve">163.34,9.7 </v>
      </c>
      <c r="E106" s="380" t="str">
        <f>IFERROR(IF(ISERROR(CS135),"",CONCATENATE(ROUND(X_SHIFT_BP+IF(Tools!E$97&lt;=Tools!$D$47/2,-BI11,BI11),3),",",ROUND(WLS*$AP47,3)," ")),"")</f>
        <v xml:space="preserve">162.09,9.7 </v>
      </c>
      <c r="F106" s="380" t="str">
        <f>IFERROR(IF(ISERROR(CT135),"",CONCATENATE(ROUND(X_SHIFT_BP+IF(Tools!F$97&lt;=Tools!$D$47/2,-BJ11,BJ11),3),",",ROUND(WLS*$AP47,3)," ")),"")</f>
        <v xml:space="preserve">161.02,9.7 </v>
      </c>
      <c r="G106" s="380" t="str">
        <f>IFERROR(IF(ISERROR(CU135),"",CONCATENATE(ROUND(X_SHIFT_BP+IF(Tools!G$97&lt;=Tools!$D$47/2,-BK11,BK11),3),",",ROUND(WLS*$AP47,3)," ")),"")</f>
        <v xml:space="preserve">159.48,9.7 </v>
      </c>
      <c r="H106" s="380" t="str">
        <f>IFERROR(IF(ISERROR(CV135),"",CONCATENATE(ROUND(X_SHIFT_BP+IF(Tools!H$97&lt;=Tools!$D$47/2,-BL11,BL11),3),",",ROUND(WLS*$AP47,3)," ")),"")</f>
        <v xml:space="preserve">158.46,9.7 </v>
      </c>
      <c r="I106" s="380" t="str">
        <f>IFERROR(IF(ISERROR(CW135),"",CONCATENATE(ROUND(X_SHIFT_BP+IF(Tools!I$97&lt;=Tools!$D$47/2,-BM11,BM11),3),",",ROUND(WLS*$AP47,3)," ")),"")</f>
        <v xml:space="preserve">158.19,9.7 </v>
      </c>
      <c r="J106" s="380" t="str">
        <f>IFERROR(IF(ISERROR(CX135),"",CONCATENATE(ROUND(X_SHIFT_BP+IF(Tools!J$97&lt;=Tools!$D$47/2,-BN11,BN11),3),",",ROUND(WLS*$AP47,3)," ")),"")</f>
        <v xml:space="preserve">157.91,9.7 </v>
      </c>
      <c r="K106" s="380" t="str">
        <f>IFERROR(IF(ISERROR(CY135),"",CONCATENATE(ROUND(X_SHIFT_BP+IF(Tools!K$97&lt;=Tools!$D$47/2,-BO11,BO11),3),",",ROUND(WLS*$AP47,3)," ")),"")</f>
        <v xml:space="preserve">157.91,9.7 </v>
      </c>
      <c r="L106" s="380" t="str">
        <f>IFERROR(IF(ISERROR(CZ135),"",CONCATENATE(ROUND(X_SHIFT_BP+IF(Tools!L$97&lt;=Tools!$D$47/2,-BP11,BP11),3),",",ROUND(WLS*$AP47,3)," ")),"")</f>
        <v xml:space="preserve">157.91,9.7 </v>
      </c>
      <c r="M106" s="380" t="str">
        <f>IFERROR(IF(ISERROR(DA135),"",CONCATENATE(ROUND(X_SHIFT_BP+IF(Tools!M$97&lt;=Tools!$D$47/2,-BQ11,BQ11),3),",",ROUND(WLS*$AP47,3)," ")),"")</f>
        <v xml:space="preserve">157.91,9.7 </v>
      </c>
      <c r="N106" s="380" t="str">
        <f>IFERROR(IF(ISERROR(DB135),"",CONCATENATE(ROUND(X_SHIFT_BP+IF(Tools!N$97&lt;=Tools!$D$47/2,-BR11,BR11),3),",",ROUND(WLS*$AP47,3)," ")),"")</f>
        <v xml:space="preserve">157.91,9.7 </v>
      </c>
      <c r="O106" s="380" t="str">
        <f>IFERROR(IF(ISERROR(DC135),"",CONCATENATE(ROUND(X_SHIFT_BP+IF(Tools!O$97&lt;=Tools!$D$47/2,-BS11,BS11),3),",",ROUND(WLS*$AP47,3)," ")),"")</f>
        <v xml:space="preserve">179.91,9.7 </v>
      </c>
      <c r="P106" s="380" t="str">
        <f>IFERROR(IF(ISERROR(DD135),"",CONCATENATE(ROUND(X_SHIFT_BP+IF(Tools!P$97&lt;=Tools!$D$47/2,-BT11,BT11),3),",",ROUND(WLS*$AP47,3)," ")),"")</f>
        <v xml:space="preserve">179.91,9.7 </v>
      </c>
      <c r="Q106" s="380" t="str">
        <f>IFERROR(IF(ISERROR(DE135),"",CONCATENATE(ROUND(X_SHIFT_BP+IF(Tools!Q$97&lt;=Tools!$D$47/2,-BU11,BU11),3),",",ROUND(WLS*$AP47,3)," ")),"")</f>
        <v xml:space="preserve">179.91,9.7 </v>
      </c>
      <c r="R106" s="380" t="str">
        <f>IFERROR(IF(ISERROR(DF135),"",CONCATENATE(ROUND(X_SHIFT_BP+IF(Tools!R$97&lt;=Tools!$D$47/2,-BV11,BV11),3),",",ROUND(WLS*$AP47,3)," ")),"")</f>
        <v xml:space="preserve">179.91,9.7 </v>
      </c>
      <c r="S106" s="380" t="str">
        <f>IFERROR(IF(ISERROR(DG135),"",CONCATENATE(ROUND(X_SHIFT_BP+IF(Tools!S$97&lt;=Tools!$D$47/2,-BW11,BW11),3),",",ROUND(WLS*$AP47,3)," ")),"")</f>
        <v xml:space="preserve">179.91,9.7 </v>
      </c>
      <c r="T106" s="380" t="str">
        <f>IFERROR(IF(ISERROR(DH135),"",CONCATENATE(ROUND(X_SHIFT_BP+IF(Tools!T$97&lt;=Tools!$D$47/2,-BX11,BX11),3),",",ROUND(WLS*$AP47,3)," ")),"")</f>
        <v xml:space="preserve">179.8,9.7 </v>
      </c>
      <c r="U106" s="380" t="str">
        <f>IFERROR(IF(ISERROR(DI135),"",CONCATENATE(ROUND(X_SHIFT_BP+IF(Tools!U$97&lt;=Tools!$D$47/2,-BY11,BY11),3),",",ROUND(WLS*$AP47,3)," ")),"")</f>
        <v xml:space="preserve">179.14,9.7 </v>
      </c>
      <c r="V106" s="380" t="str">
        <f>IFERROR(IF(ISERROR(DJ135),"",CONCATENATE(ROUND(X_SHIFT_BP+IF(Tools!V$97&lt;=Tools!$D$47/2,-BZ11,BZ11),3),",",ROUND(WLS*$AP47,3)," ")),"")</f>
        <v xml:space="preserve">177.261,9.7 </v>
      </c>
      <c r="W106" s="380" t="str">
        <f>IFERROR(IF(ISERROR(DK135),"",CONCATENATE(ROUND(X_SHIFT_BP+IF(Tools!W$97&lt;=Tools!$D$47/2,-CA11,CA11),3),",",ROUND(WLS*$AP47,3)," ")),"")</f>
        <v xml:space="preserve">175.73,9.7 </v>
      </c>
      <c r="X106" s="380" t="str">
        <f>IFERROR(IF(ISERROR(DL135),"",CONCATENATE(ROUND(X_SHIFT_BP+IF(Tools!X$97&lt;=Tools!$D$47/2,-CB11,CB11),3),",",ROUND(WLS*$AP47,3)," ")),"")</f>
        <v xml:space="preserve">173.78,9.7 </v>
      </c>
      <c r="Y106" s="380" t="str">
        <f>IFERROR(IF(ISERROR(DM135),"",CONCATENATE(ROUND(X_SHIFT_BP+IF(Tools!Y$97&lt;=Tools!$D$47/2,-CC11,CC11),3),",",ROUND(WLS*$AP47,3)," ")),"")</f>
        <v xml:space="preserve">171.33,9.7 </v>
      </c>
      <c r="Z106" s="380" t="str">
        <f>IFERROR(IF(ISERROR(DN135),"",CONCATENATE(ROUND(X_SHIFT_BP+IF(Tools!Z$97&lt;=Tools!$D$47/2,-CD11,CD11),3),",",ROUND(WLS*$AP47,3)," ")),"")</f>
        <v xml:space="preserve">168.91,9.7 </v>
      </c>
      <c r="AA106" s="132">
        <v>12</v>
      </c>
      <c r="AB106" s="248" t="str">
        <f t="shared" si="259"/>
        <v xml:space="preserve">Spline </v>
      </c>
      <c r="AC106" s="132" t="str">
        <v/>
      </c>
      <c r="AD106" s="248" t="str">
        <v xml:space="preserve">161.01,0 </v>
      </c>
      <c r="AE106" s="248" t="str">
        <v xml:space="preserve">160.01,0.5 </v>
      </c>
      <c r="AF106" s="248" t="str">
        <v xml:space="preserve">159.41,1 </v>
      </c>
      <c r="AG106" s="248" t="str">
        <v xml:space="preserve">158.97,1.5 </v>
      </c>
      <c r="AH106" s="248" t="str">
        <v xml:space="preserve">158.71,2 </v>
      </c>
      <c r="AI106" s="248" t="str">
        <v xml:space="preserve">158.11,4 </v>
      </c>
      <c r="AJ106" s="248" t="str">
        <v xml:space="preserve">158.01,6 </v>
      </c>
      <c r="AK106" s="248" t="str">
        <v xml:space="preserve">157.91,8 </v>
      </c>
      <c r="AL106" s="248" t="str">
        <v xml:space="preserve">157.91,9.7 </v>
      </c>
      <c r="AM106" s="248" t="str">
        <v xml:space="preserve">157.91,10 </v>
      </c>
      <c r="AN106" s="248" t="str">
        <v xml:space="preserve">157.91,12 </v>
      </c>
      <c r="AO106" s="248" t="str">
        <v xml:space="preserve">157.91,13 </v>
      </c>
      <c r="AP106" s="248" t="str">
        <v/>
      </c>
      <c r="AQ106" s="248" t="str">
        <v/>
      </c>
      <c r="AR106" s="248" t="str">
        <v/>
      </c>
      <c r="AS106" s="248" t="str">
        <v/>
      </c>
      <c r="AT106" s="248" t="str">
        <v/>
      </c>
      <c r="AU106" s="248" t="str">
        <v/>
      </c>
      <c r="AV106" s="248" t="str">
        <v/>
      </c>
      <c r="AW106" s="248" t="str">
        <v/>
      </c>
      <c r="AX106" s="248" t="str">
        <v/>
      </c>
      <c r="AY106" s="248" t="str">
        <v/>
      </c>
      <c r="AZ106" s="248" t="str">
        <v/>
      </c>
      <c r="BA106" s="248" t="str">
        <v/>
      </c>
      <c r="BB106" s="248" t="str">
        <v/>
      </c>
      <c r="BC106" s="379">
        <f>Tools!AD11</f>
        <v>6</v>
      </c>
      <c r="BD106" s="379">
        <f>IFERROR(Tools!AD11*STN_GAP,"")</f>
        <v>43.86</v>
      </c>
      <c r="BE106" s="467">
        <f>IFERROR(IF(ISNUMBER(DE106),NA(),IF(AND($DF106&lt;&gt;0,$DG106&gt;BE$97),NA(),IF($BD106&gt;LBP/2,-(-Tools!AE11),-Tools!AE11))),NA())</f>
        <v>-7.9</v>
      </c>
      <c r="BF106" s="379">
        <f>IFERROR(IF(AND($DF106&lt;&gt;0,$DG106&gt;BF$97),NA(),IF($BD106&gt;LBP/2,-(-Tools!AF11),-Tools!AF11)),NA())</f>
        <v>-8.9</v>
      </c>
      <c r="BG106" s="379">
        <f>IFERROR(IF(AND($DF106&lt;&gt;0,$DG106&gt;BG$97),NA(),IF($BD106&gt;LBP/2,-(-Tools!AG11),-Tools!AG11)),NA())</f>
        <v>-9.5</v>
      </c>
      <c r="BH106" s="379">
        <f>IFERROR(IF(AND($DF106&lt;&gt;0,$DG106&gt;BH$97),NA(),IF($BD106&gt;LBP/2,-(-Tools!AH11),-Tools!AH11)),NA())</f>
        <v>-9.94</v>
      </c>
      <c r="BI106" s="379">
        <f>IFERROR(IF(AND($DF106&lt;&gt;0,$DG106&gt;BI$97),NA(),IF($BD106&gt;LBP/2,-(-Tools!AI11),-Tools!AI11)),NA())</f>
        <v>-10.199999999999999</v>
      </c>
      <c r="BJ106" s="379">
        <f>IFERROR(IF(AND($DF106&lt;&gt;0,$DG106&gt;BJ$97),NA(),IF($BD106&gt;LBP/2,-(-Tools!AJ11),-Tools!AJ11)),NA())</f>
        <v>-10.8</v>
      </c>
      <c r="BK106" s="379">
        <f>IFERROR(IF(AND($DF106&lt;&gt;0,$DG106&gt;BK$97),NA(),IF($BD106&gt;LBP/2,-(-Tools!AK11),-Tools!AK11)),NA())</f>
        <v>-10.9</v>
      </c>
      <c r="BL106" s="379">
        <f>IFERROR(IF(AND($DF106&lt;&gt;0,$DG106&gt;BL$97),NA(),IF($BD106&gt;LBP/2,-(-Tools!AL11),-Tools!AL11)),NA())</f>
        <v>-11</v>
      </c>
      <c r="BM106" s="379">
        <f>IFERROR(IF(AND($DF106&lt;&gt;0,$DG106&gt;BM$97),NA(),IF($BD106&gt;LBP/2,-(-Tools!AM11),-Tools!AM11)),NA())</f>
        <v>-11</v>
      </c>
      <c r="BN106" s="379">
        <f>IFERROR(IF(AND($DF106&lt;&gt;0,$DG106&gt;BN$97),NA(),IF($BD106&gt;LBP/2,-(-Tools!AN11),-Tools!AN11)),NA())</f>
        <v>-11</v>
      </c>
      <c r="BO106" s="379">
        <f>IFERROR(IF(AND($DF106&lt;&gt;0,$DG106&gt;BO$97),NA(),IF($BD106&gt;LBP/2,-(-Tools!AO11),-Tools!AO11)),NA())</f>
        <v>-11</v>
      </c>
      <c r="BP106" s="379">
        <f>IFERROR(IF(AND($DF106&lt;&gt;0,$DG106&gt;BP$97),NA(),IF($BD106&gt;LBP/2,-(-Tools!AP11),-Tools!AP11)),NA())</f>
        <v>-11</v>
      </c>
      <c r="BQ106" s="379" t="e">
        <f>IFERROR(IF(AND($DF106&lt;&gt;0,$DG106&gt;BQ$97),NA(),IF($BD106&gt;LBP/2,-(-Tools!AQ11),-Tools!AQ11)),NA())</f>
        <v>#N/A</v>
      </c>
      <c r="BR106" s="379" t="e">
        <f>IFERROR(IF(AND($DF106&lt;&gt;0,$DG106&gt;BR$97),NA(),IF($BD106&gt;LBP/2,-(-Tools!AR11),-Tools!AR11)),NA())</f>
        <v>#N/A</v>
      </c>
      <c r="BS106" s="379" t="e">
        <f>IFERROR(IF(AND($DF106&lt;&gt;0,$DG106&gt;BS$97),NA(),IF($BD106&gt;LBP/2,-(-Tools!AS11),-Tools!AS11)),NA())</f>
        <v>#N/A</v>
      </c>
      <c r="BT106" s="379" t="e">
        <f>IFERROR(IF(AND($DF106&lt;&gt;0,$DG106&gt;BT$97),NA(),IF($BD106&gt;LBP/2,-(-Tools!AT11),-Tools!AT11)),NA())</f>
        <v>#N/A</v>
      </c>
      <c r="BU106" s="379" t="e">
        <f>IFERROR(IF(AND($DF106&lt;&gt;0,$DG106&gt;BU$97),NA(),IF($BD106&gt;LBP/2,-(-Tools!AU11),-Tools!AU11)),NA())</f>
        <v>#N/A</v>
      </c>
      <c r="BV106" s="379" t="e">
        <f>IFERROR(IF(AND($DF106&lt;&gt;0,$DG106&gt;BV$97),NA(),IF($BD106&gt;LBP/2,-(-Tools!AV11),-Tools!AV11)),NA())</f>
        <v>#N/A</v>
      </c>
      <c r="BW106" s="379" t="e">
        <f>IFERROR(IF(AND($DF106&lt;&gt;0,$DG106&gt;BW$97),NA(),IF($BD106&gt;LBP/2,-(-Tools!AW11),-Tools!AW11)),NA())</f>
        <v>#N/A</v>
      </c>
      <c r="BX106" s="379" t="e">
        <f>IFERROR(IF(AND($DF106&lt;&gt;0,$DG106&gt;BX$97),NA(),IF($BD106&gt;LBP/2,-(-Tools!AX11),-Tools!AX11)),NA())</f>
        <v>#N/A</v>
      </c>
      <c r="BY106" s="379" t="e">
        <f>IFERROR(IF(AND($DF106&lt;&gt;0,$DG106&gt;BY$97),NA(),IF($BD106&gt;LBP/2,-(-Tools!AY11),-Tools!AY11)),NA())</f>
        <v>#N/A</v>
      </c>
      <c r="BZ106" s="379" t="e">
        <f>IFERROR(IF(AND($DF106&lt;&gt;0,$DG106&gt;BZ$97),NA(),IF($BD106&gt;LBP/2,-(-Tools!AZ11),-Tools!AZ11)),NA())</f>
        <v>#N/A</v>
      </c>
      <c r="CA106" s="379" t="e">
        <f>IFERROR(IF(AND($DF106&lt;&gt;0,$DG106&gt;CA$97),NA(),IF($BD106&gt;LBP/2,-(-Tools!BA11),-Tools!BA11)),NA())</f>
        <v>#N/A</v>
      </c>
      <c r="CB106" s="379" t="e">
        <f>IFERROR(IF(AND($DF106&lt;&gt;0,$DG106&gt;CB$97),NA(),IF($BD106&gt;LBP/2,-(-Tools!BB11),-Tools!BB11)),NA())</f>
        <v>#N/A</v>
      </c>
      <c r="CC106" s="379" t="e">
        <f>IFERROR(IF(AND($DF106&lt;&gt;0,$DG106&gt;CC$97),NA(),IF($BD106&gt;LBP/2,-(-Tools!BC11),-Tools!BC11)),NA())</f>
        <v>#N/A</v>
      </c>
      <c r="CE106" s="429" t="b">
        <f t="shared" si="207"/>
        <v>0</v>
      </c>
      <c r="CF106" s="429" t="b">
        <f t="shared" si="208"/>
        <v>0</v>
      </c>
      <c r="CG106" s="429" t="b">
        <f t="shared" si="209"/>
        <v>0</v>
      </c>
      <c r="CH106" s="429" t="b">
        <f t="shared" si="210"/>
        <v>0</v>
      </c>
      <c r="CI106" s="429" t="b">
        <f t="shared" si="211"/>
        <v>0</v>
      </c>
      <c r="CJ106" s="429" t="b">
        <f t="shared" si="212"/>
        <v>0</v>
      </c>
      <c r="CK106" s="429" t="b">
        <f t="shared" si="213"/>
        <v>0</v>
      </c>
      <c r="CL106" s="429" t="b">
        <f t="shared" si="214"/>
        <v>0</v>
      </c>
      <c r="CM106" s="429" t="b">
        <f t="shared" si="215"/>
        <v>0</v>
      </c>
      <c r="CN106" s="429" t="b">
        <f t="shared" si="216"/>
        <v>0</v>
      </c>
      <c r="CO106" s="429" t="b">
        <f t="shared" si="217"/>
        <v>0</v>
      </c>
      <c r="CP106" s="429" t="b">
        <f t="shared" si="218"/>
        <v>0</v>
      </c>
      <c r="CQ106" s="429" t="b">
        <f t="shared" si="219"/>
        <v>0</v>
      </c>
      <c r="CR106" s="429" t="b">
        <f t="shared" si="220"/>
        <v>0</v>
      </c>
      <c r="CS106" s="429" t="b">
        <f t="shared" si="221"/>
        <v>0</v>
      </c>
      <c r="CT106" s="429" t="b">
        <f t="shared" si="222"/>
        <v>0</v>
      </c>
      <c r="CU106" s="429" t="b">
        <f t="shared" si="223"/>
        <v>0</v>
      </c>
      <c r="CV106" s="429" t="b">
        <f t="shared" si="224"/>
        <v>0</v>
      </c>
      <c r="CW106" s="429" t="b">
        <f t="shared" si="225"/>
        <v>0</v>
      </c>
      <c r="CX106" s="429" t="b">
        <f t="shared" si="226"/>
        <v>0</v>
      </c>
      <c r="CY106" s="429" t="b">
        <f t="shared" si="227"/>
        <v>0</v>
      </c>
      <c r="CZ106" s="429" t="b">
        <f t="shared" si="228"/>
        <v>0</v>
      </c>
      <c r="DA106" s="429" t="b">
        <f t="shared" si="229"/>
        <v>0</v>
      </c>
      <c r="DB106" s="429" t="b">
        <f t="shared" si="230"/>
        <v>0</v>
      </c>
      <c r="DC106" s="429"/>
      <c r="DD106" s="429">
        <f t="shared" si="260"/>
        <v>0</v>
      </c>
      <c r="DE106" s="429" t="str">
        <f t="shared" si="231"/>
        <v>-</v>
      </c>
      <c r="DF106" s="429">
        <f t="shared" si="232"/>
        <v>0</v>
      </c>
      <c r="DG106" s="429">
        <f t="shared" si="261"/>
        <v>0</v>
      </c>
      <c r="DH106" s="429">
        <f t="shared" si="262"/>
        <v>6</v>
      </c>
      <c r="DI106" s="429"/>
      <c r="DJ106" s="429" t="e">
        <f t="shared" si="263"/>
        <v>#N/A</v>
      </c>
      <c r="DK106" s="429">
        <f t="shared" si="180"/>
        <v>-7.9</v>
      </c>
      <c r="DL106" s="429">
        <f t="shared" si="181"/>
        <v>-8.9</v>
      </c>
      <c r="DM106" s="429">
        <f t="shared" si="182"/>
        <v>-9.5</v>
      </c>
      <c r="DN106" s="429">
        <f t="shared" si="183"/>
        <v>-9.94</v>
      </c>
      <c r="DO106" s="429">
        <f t="shared" si="184"/>
        <v>-10.199999999999999</v>
      </c>
      <c r="DP106" s="429">
        <f t="shared" si="185"/>
        <v>-10.8</v>
      </c>
      <c r="DQ106" s="429">
        <f t="shared" si="186"/>
        <v>-10.9</v>
      </c>
      <c r="DR106" s="429">
        <f t="shared" si="187"/>
        <v>-11</v>
      </c>
      <c r="DS106" s="429">
        <f t="shared" si="188"/>
        <v>-11</v>
      </c>
      <c r="DT106" s="429">
        <f t="shared" si="189"/>
        <v>-11</v>
      </c>
      <c r="DU106" s="429">
        <f t="shared" si="190"/>
        <v>-11</v>
      </c>
      <c r="DV106" s="429">
        <f t="shared" si="191"/>
        <v>-11</v>
      </c>
      <c r="DW106" s="429" t="e">
        <f t="shared" si="192"/>
        <v>#N/A</v>
      </c>
      <c r="DX106" s="429" t="e">
        <f t="shared" si="193"/>
        <v>#N/A</v>
      </c>
      <c r="DY106" s="429" t="e">
        <f t="shared" si="194"/>
        <v>#N/A</v>
      </c>
      <c r="DZ106" s="429" t="e">
        <f t="shared" si="195"/>
        <v>#N/A</v>
      </c>
      <c r="EA106" s="429" t="e">
        <f t="shared" si="196"/>
        <v>#N/A</v>
      </c>
      <c r="EB106" s="429" t="e">
        <f t="shared" si="197"/>
        <v>#N/A</v>
      </c>
      <c r="EC106" s="429" t="e">
        <f t="shared" si="198"/>
        <v>#N/A</v>
      </c>
      <c r="ED106" s="429" t="e">
        <f t="shared" si="199"/>
        <v>#N/A</v>
      </c>
      <c r="EE106" s="429" t="e">
        <f t="shared" si="200"/>
        <v>#N/A</v>
      </c>
      <c r="EF106" s="429" t="e">
        <f t="shared" si="201"/>
        <v>#N/A</v>
      </c>
      <c r="EG106" s="429" t="e">
        <f t="shared" si="202"/>
        <v>#N/A</v>
      </c>
      <c r="EH106" s="429" t="e">
        <f t="shared" si="203"/>
        <v>#N/A</v>
      </c>
      <c r="EI106" s="429" t="e">
        <f t="shared" si="204"/>
        <v>#N/A</v>
      </c>
      <c r="EJ106" s="429"/>
      <c r="EK106" s="429"/>
      <c r="EL106" s="429" t="e">
        <f t="shared" si="233"/>
        <v>#N/A</v>
      </c>
      <c r="EM106" s="429">
        <f t="shared" si="264"/>
        <v>0</v>
      </c>
      <c r="EN106" s="429">
        <f t="shared" si="235"/>
        <v>0.5</v>
      </c>
      <c r="EO106" s="429">
        <f t="shared" si="236"/>
        <v>1</v>
      </c>
      <c r="EP106" s="429">
        <f t="shared" si="237"/>
        <v>1.5</v>
      </c>
      <c r="EQ106" s="429">
        <f t="shared" si="238"/>
        <v>2</v>
      </c>
      <c r="ER106" s="429">
        <f t="shared" si="239"/>
        <v>4</v>
      </c>
      <c r="ES106" s="429">
        <f t="shared" si="240"/>
        <v>6</v>
      </c>
      <c r="ET106" s="429">
        <f t="shared" si="241"/>
        <v>8</v>
      </c>
      <c r="EU106" s="429">
        <f t="shared" si="242"/>
        <v>9.6999999999999993</v>
      </c>
      <c r="EV106" s="429">
        <f t="shared" si="243"/>
        <v>10</v>
      </c>
      <c r="EW106" s="429">
        <f t="shared" si="244"/>
        <v>12</v>
      </c>
      <c r="EX106" s="429">
        <f t="shared" si="245"/>
        <v>13</v>
      </c>
      <c r="EY106" s="429" t="e">
        <f t="shared" si="246"/>
        <v>#N/A</v>
      </c>
      <c r="EZ106" s="429" t="e">
        <f t="shared" si="247"/>
        <v>#N/A</v>
      </c>
      <c r="FA106" s="429" t="e">
        <f t="shared" si="248"/>
        <v>#N/A</v>
      </c>
      <c r="FB106" s="429" t="e">
        <f t="shared" si="249"/>
        <v>#N/A</v>
      </c>
      <c r="FC106" s="429" t="e">
        <f t="shared" si="250"/>
        <v>#N/A</v>
      </c>
      <c r="FD106" s="429" t="e">
        <f t="shared" si="251"/>
        <v>#N/A</v>
      </c>
      <c r="FE106" s="429" t="e">
        <f t="shared" si="252"/>
        <v>#N/A</v>
      </c>
      <c r="FF106" s="429" t="e">
        <f t="shared" si="253"/>
        <v>#N/A</v>
      </c>
      <c r="FG106" s="429" t="e">
        <f t="shared" si="254"/>
        <v>#N/A</v>
      </c>
      <c r="FH106" s="429" t="e">
        <f t="shared" si="255"/>
        <v>#N/A</v>
      </c>
      <c r="FI106" s="429" t="e">
        <f t="shared" si="256"/>
        <v>#N/A</v>
      </c>
      <c r="FJ106" s="429" t="e">
        <f t="shared" si="257"/>
        <v>#N/A</v>
      </c>
      <c r="FK106" s="429" t="e">
        <f t="shared" si="258"/>
        <v>#N/A</v>
      </c>
    </row>
    <row r="107" spans="1:167" x14ac:dyDescent="0.25">
      <c r="A107" s="377">
        <f t="shared" si="206"/>
        <v>5</v>
      </c>
      <c r="B107" s="380" t="str">
        <f>IFERROR(IF(ISERROR(CP136),"",CONCATENATE(ROUND(X_SHIFT_BP+IF(Tools!B$97&lt;=Tools!$D$47/2,-BF12,BF12),3),",",ROUND(WLS*$AP48,3)," ")),"")</f>
        <v xml:space="preserve">166.09,10 </v>
      </c>
      <c r="C107" s="380" t="str">
        <f>IFERROR(IF(ISERROR(CQ136),"",CONCATENATE(ROUND(X_SHIFT_BP+IF(Tools!C$97&lt;=Tools!$D$47/2,-BG12,BG12),3),",",ROUND(WLS*$AP48,3)," ")),"")</f>
        <v xml:space="preserve">164.52,10 </v>
      </c>
      <c r="D107" s="380" t="str">
        <f>IFERROR(IF(ISERROR(CR136),"",CONCATENATE(ROUND(X_SHIFT_BP+IF(Tools!D$97&lt;=Tools!$D$47/2,-BH12,BH12),3),",",ROUND(WLS*$AP48,3)," ")),"")</f>
        <v xml:space="preserve">163.13,10 </v>
      </c>
      <c r="E107" s="380" t="str">
        <f>IFERROR(IF(ISERROR(CS136),"",CONCATENATE(ROUND(X_SHIFT_BP+IF(Tools!E$97&lt;=Tools!$D$47/2,-BI12,BI12),3),",",ROUND(WLS*$AP48,3)," ")),"")</f>
        <v xml:space="preserve">161.9,10 </v>
      </c>
      <c r="F107" s="380" t="str">
        <f>IFERROR(IF(ISERROR(CT136),"",CONCATENATE(ROUND(X_SHIFT_BP+IF(Tools!F$97&lt;=Tools!$D$47/2,-BJ12,BJ12),3),",",ROUND(WLS*$AP48,3)," ")),"")</f>
        <v xml:space="preserve">160.87,10 </v>
      </c>
      <c r="G107" s="380" t="str">
        <f>IFERROR(IF(ISERROR(CU136),"",CONCATENATE(ROUND(X_SHIFT_BP+IF(Tools!G$97&lt;=Tools!$D$47/2,-BK12,BK12),3),",",ROUND(WLS*$AP48,3)," ")),"")</f>
        <v xml:space="preserve">159.37,10 </v>
      </c>
      <c r="H107" s="380" t="str">
        <f>IFERROR(IF(ISERROR(CV136),"",CONCATENATE(ROUND(X_SHIFT_BP+IF(Tools!H$97&lt;=Tools!$D$47/2,-BL12,BL12),3),",",ROUND(WLS*$AP48,3)," ")),"")</f>
        <v xml:space="preserve">158.41,10 </v>
      </c>
      <c r="I107" s="380" t="str">
        <f>IFERROR(IF(ISERROR(CW136),"",CONCATENATE(ROUND(X_SHIFT_BP+IF(Tools!I$97&lt;=Tools!$D$47/2,-BM12,BM12),3),",",ROUND(WLS*$AP48,3)," ")),"")</f>
        <v xml:space="preserve">158.17,10 </v>
      </c>
      <c r="J107" s="380" t="str">
        <f>IFERROR(IF(ISERROR(CX136),"",CONCATENATE(ROUND(X_SHIFT_BP+IF(Tools!J$97&lt;=Tools!$D$47/2,-BN12,BN12),3),",",ROUND(WLS*$AP48,3)," ")),"")</f>
        <v xml:space="preserve">157.91,10 </v>
      </c>
      <c r="K107" s="380" t="str">
        <f>IFERROR(IF(ISERROR(CY136),"",CONCATENATE(ROUND(X_SHIFT_BP+IF(Tools!K$97&lt;=Tools!$D$47/2,-BO12,BO12),3),",",ROUND(WLS*$AP48,3)," ")),"")</f>
        <v xml:space="preserve">157.91,10 </v>
      </c>
      <c r="L107" s="380" t="str">
        <f>IFERROR(IF(ISERROR(CZ136),"",CONCATENATE(ROUND(X_SHIFT_BP+IF(Tools!L$97&lt;=Tools!$D$47/2,-BP12,BP12),3),",",ROUND(WLS*$AP48,3)," ")),"")</f>
        <v xml:space="preserve">157.91,10 </v>
      </c>
      <c r="M107" s="380" t="str">
        <f>IFERROR(IF(ISERROR(DA136),"",CONCATENATE(ROUND(X_SHIFT_BP+IF(Tools!M$97&lt;=Tools!$D$47/2,-BQ12,BQ12),3),",",ROUND(WLS*$AP48,3)," ")),"")</f>
        <v xml:space="preserve">157.91,10 </v>
      </c>
      <c r="N107" s="380" t="str">
        <f>IFERROR(IF(ISERROR(DB136),"",CONCATENATE(ROUND(X_SHIFT_BP+IF(Tools!N$97&lt;=Tools!$D$47/2,-BR12,BR12),3),",",ROUND(WLS*$AP48,3)," ")),"")</f>
        <v xml:space="preserve">157.91,10 </v>
      </c>
      <c r="O107" s="380" t="str">
        <f>IFERROR(IF(ISERROR(DC136),"",CONCATENATE(ROUND(X_SHIFT_BP+IF(Tools!O$97&lt;=Tools!$D$47/2,-BS12,BS12),3),",",ROUND(WLS*$AP48,3)," ")),"")</f>
        <v xml:space="preserve">179.91,10 </v>
      </c>
      <c r="P107" s="380" t="str">
        <f>IFERROR(IF(ISERROR(DD136),"",CONCATENATE(ROUND(X_SHIFT_BP+IF(Tools!P$97&lt;=Tools!$D$47/2,-BT12,BT12),3),",",ROUND(WLS*$AP48,3)," ")),"")</f>
        <v xml:space="preserve">179.91,10 </v>
      </c>
      <c r="Q107" s="380" t="str">
        <f>IFERROR(IF(ISERROR(DE136),"",CONCATENATE(ROUND(X_SHIFT_BP+IF(Tools!Q$97&lt;=Tools!$D$47/2,-BU12,BU12),3),",",ROUND(WLS*$AP48,3)," ")),"")</f>
        <v xml:space="preserve">179.91,10 </v>
      </c>
      <c r="R107" s="380" t="str">
        <f>IFERROR(IF(ISERROR(DF136),"",CONCATENATE(ROUND(X_SHIFT_BP+IF(Tools!R$97&lt;=Tools!$D$47/2,-BV12,BV12),3),",",ROUND(WLS*$AP48,3)," ")),"")</f>
        <v xml:space="preserve">179.91,10 </v>
      </c>
      <c r="S107" s="380" t="str">
        <f>IFERROR(IF(ISERROR(DG136),"",CONCATENATE(ROUND(X_SHIFT_BP+IF(Tools!S$97&lt;=Tools!$D$47/2,-BW12,BW12),3),",",ROUND(WLS*$AP48,3)," ")),"")</f>
        <v xml:space="preserve">179.91,10 </v>
      </c>
      <c r="T107" s="380" t="str">
        <f>IFERROR(IF(ISERROR(DH136),"",CONCATENATE(ROUND(X_SHIFT_BP+IF(Tools!T$97&lt;=Tools!$D$47/2,-BX12,BX12),3),",",ROUND(WLS*$AP48,3)," ")),"")</f>
        <v xml:space="preserve">179.81,10 </v>
      </c>
      <c r="U107" s="380" t="str">
        <f>IFERROR(IF(ISERROR(DI136),"",CONCATENATE(ROUND(X_SHIFT_BP+IF(Tools!U$97&lt;=Tools!$D$47/2,-BY12,BY12),3),",",ROUND(WLS*$AP48,3)," ")),"")</f>
        <v xml:space="preserve">179.18,10 </v>
      </c>
      <c r="V107" s="380" t="str">
        <f>IFERROR(IF(ISERROR(DJ136),"",CONCATENATE(ROUND(X_SHIFT_BP+IF(Tools!V$97&lt;=Tools!$D$47/2,-BZ12,BZ12),3),",",ROUND(WLS*$AP48,3)," ")),"")</f>
        <v xml:space="preserve">177.34,10 </v>
      </c>
      <c r="W107" s="380" t="str">
        <f>IFERROR(IF(ISERROR(DK136),"",CONCATENATE(ROUND(X_SHIFT_BP+IF(Tools!W$97&lt;=Tools!$D$47/2,-CA12,CA12),3),",",ROUND(WLS*$AP48,3)," ")),"")</f>
        <v xml:space="preserve">175.82,10 </v>
      </c>
      <c r="X107" s="380" t="str">
        <f>IFERROR(IF(ISERROR(DL136),"",CONCATENATE(ROUND(X_SHIFT_BP+IF(Tools!X$97&lt;=Tools!$D$47/2,-CB12,CB12),3),",",ROUND(WLS*$AP48,3)," ")),"")</f>
        <v xml:space="preserve">173.85,10 </v>
      </c>
      <c r="Y107" s="380" t="str">
        <f>IFERROR(IF(ISERROR(DM136),"",CONCATENATE(ROUND(X_SHIFT_BP+IF(Tools!Y$97&lt;=Tools!$D$47/2,-CC12,CC12),3),",",ROUND(WLS*$AP48,3)," ")),"")</f>
        <v xml:space="preserve">171.406,10 </v>
      </c>
      <c r="Z107" s="380" t="str">
        <f>IFERROR(IF(ISERROR(DN136),"",CONCATENATE(ROUND(X_SHIFT_BP+IF(Tools!Z$97&lt;=Tools!$D$47/2,-CD12,CD12),3),",",ROUND(WLS*$AP48,3)," ")),"")</f>
        <v xml:space="preserve">168.94,10 </v>
      </c>
      <c r="AA107" s="132">
        <v>12</v>
      </c>
      <c r="AB107" s="248" t="str">
        <f t="shared" si="259"/>
        <v xml:space="preserve">Spline </v>
      </c>
      <c r="AC107" s="132" t="str">
        <v/>
      </c>
      <c r="AD107" s="248" t="str">
        <v xml:space="preserve">159.91,0 </v>
      </c>
      <c r="AE107" s="248" t="str">
        <v xml:space="preserve">159.08,0.5 </v>
      </c>
      <c r="AF107" s="248" t="str">
        <v xml:space="preserve">158.61,1 </v>
      </c>
      <c r="AG107" s="248" t="str">
        <v xml:space="preserve">158.31,1.5 </v>
      </c>
      <c r="AH107" s="248" t="str">
        <v xml:space="preserve">158.11,2 </v>
      </c>
      <c r="AI107" s="248" t="str">
        <v xml:space="preserve">157.91,4 </v>
      </c>
      <c r="AJ107" s="248" t="str">
        <v xml:space="preserve">157.91,6 </v>
      </c>
      <c r="AK107" s="248" t="str">
        <v xml:space="preserve">157.91,8 </v>
      </c>
      <c r="AL107" s="248" t="str">
        <v xml:space="preserve">157.91,9.7 </v>
      </c>
      <c r="AM107" s="248" t="str">
        <v xml:space="preserve">157.91,10 </v>
      </c>
      <c r="AN107" s="248" t="str">
        <v xml:space="preserve">157.91,12 </v>
      </c>
      <c r="AO107" s="248" t="str">
        <v xml:space="preserve">157.91,13 </v>
      </c>
      <c r="AP107" s="248" t="str">
        <v/>
      </c>
      <c r="AQ107" s="248" t="str">
        <v/>
      </c>
      <c r="AR107" s="248" t="str">
        <v/>
      </c>
      <c r="AS107" s="248" t="str">
        <v/>
      </c>
      <c r="AT107" s="248" t="str">
        <v/>
      </c>
      <c r="AU107" s="248" t="str">
        <v/>
      </c>
      <c r="AV107" s="248" t="str">
        <v/>
      </c>
      <c r="AW107" s="248" t="str">
        <v/>
      </c>
      <c r="AX107" s="248" t="str">
        <v/>
      </c>
      <c r="AY107" s="248" t="str">
        <v/>
      </c>
      <c r="AZ107" s="248" t="str">
        <v/>
      </c>
      <c r="BA107" s="248" t="str">
        <v/>
      </c>
      <c r="BB107" s="248" t="str">
        <v/>
      </c>
      <c r="BC107" s="379">
        <f>Tools!AD12</f>
        <v>7</v>
      </c>
      <c r="BD107" s="379">
        <f>IFERROR(Tools!AD12*STN_GAP,"")</f>
        <v>51.169999999999995</v>
      </c>
      <c r="BE107" s="467">
        <f>IFERROR(IF(ISNUMBER(DE107),NA(),IF(AND($DF107&lt;&gt;0,$DG107&gt;BE$97),NA(),IF($BD107&gt;LBP/2,-(-Tools!AE12),-Tools!AE12))),NA())</f>
        <v>-9</v>
      </c>
      <c r="BF107" s="379">
        <f>IFERROR(IF(AND($DF107&lt;&gt;0,$DG107&gt;BF$97),NA(),IF($BD107&gt;LBP/2,-(-Tools!AF12),-Tools!AF12)),NA())</f>
        <v>-9.83</v>
      </c>
      <c r="BG107" s="379">
        <f>IFERROR(IF(AND($DF107&lt;&gt;0,$DG107&gt;BG$97),NA(),IF($BD107&gt;LBP/2,-(-Tools!AG12),-Tools!AG12)),NA())</f>
        <v>-10.3</v>
      </c>
      <c r="BH107" s="379">
        <f>IFERROR(IF(AND($DF107&lt;&gt;0,$DG107&gt;BH$97),NA(),IF($BD107&gt;LBP/2,-(-Tools!AH12),-Tools!AH12)),NA())</f>
        <v>-10.6</v>
      </c>
      <c r="BI107" s="379">
        <f>IFERROR(IF(AND($DF107&lt;&gt;0,$DG107&gt;BI$97),NA(),IF($BD107&gt;LBP/2,-(-Tools!AI12),-Tools!AI12)),NA())</f>
        <v>-10.8</v>
      </c>
      <c r="BJ107" s="379">
        <f>IFERROR(IF(AND($DF107&lt;&gt;0,$DG107&gt;BJ$97),NA(),IF($BD107&gt;LBP/2,-(-Tools!AJ12),-Tools!AJ12)),NA())</f>
        <v>-11</v>
      </c>
      <c r="BK107" s="379">
        <f>IFERROR(IF(AND($DF107&lt;&gt;0,$DG107&gt;BK$97),NA(),IF($BD107&gt;LBP/2,-(-Tools!AK12),-Tools!AK12)),NA())</f>
        <v>-11</v>
      </c>
      <c r="BL107" s="379">
        <f>IFERROR(IF(AND($DF107&lt;&gt;0,$DG107&gt;BL$97),NA(),IF($BD107&gt;LBP/2,-(-Tools!AL12),-Tools!AL12)),NA())</f>
        <v>-11</v>
      </c>
      <c r="BM107" s="379">
        <f>IFERROR(IF(AND($DF107&lt;&gt;0,$DG107&gt;BM$97),NA(),IF($BD107&gt;LBP/2,-(-Tools!AM12),-Tools!AM12)),NA())</f>
        <v>-11</v>
      </c>
      <c r="BN107" s="379">
        <f>IFERROR(IF(AND($DF107&lt;&gt;0,$DG107&gt;BN$97),NA(),IF($BD107&gt;LBP/2,-(-Tools!AN12),-Tools!AN12)),NA())</f>
        <v>-11</v>
      </c>
      <c r="BO107" s="379">
        <f>IFERROR(IF(AND($DF107&lt;&gt;0,$DG107&gt;BO$97),NA(),IF($BD107&gt;LBP/2,-(-Tools!AO12),-Tools!AO12)),NA())</f>
        <v>-11</v>
      </c>
      <c r="BP107" s="379">
        <f>IFERROR(IF(AND($DF107&lt;&gt;0,$DG107&gt;BP$97),NA(),IF($BD107&gt;LBP/2,-(-Tools!AP12),-Tools!AP12)),NA())</f>
        <v>-11</v>
      </c>
      <c r="BQ107" s="379" t="e">
        <f>IFERROR(IF(AND($DF107&lt;&gt;0,$DG107&gt;BQ$97),NA(),IF($BD107&gt;LBP/2,-(-Tools!AQ12),-Tools!AQ12)),NA())</f>
        <v>#N/A</v>
      </c>
      <c r="BR107" s="379" t="e">
        <f>IFERROR(IF(AND($DF107&lt;&gt;0,$DG107&gt;BR$97),NA(),IF($BD107&gt;LBP/2,-(-Tools!AR12),-Tools!AR12)),NA())</f>
        <v>#N/A</v>
      </c>
      <c r="BS107" s="379" t="e">
        <f>IFERROR(IF(AND($DF107&lt;&gt;0,$DG107&gt;BS$97),NA(),IF($BD107&gt;LBP/2,-(-Tools!AS12),-Tools!AS12)),NA())</f>
        <v>#N/A</v>
      </c>
      <c r="BT107" s="379" t="e">
        <f>IFERROR(IF(AND($DF107&lt;&gt;0,$DG107&gt;BT$97),NA(),IF($BD107&gt;LBP/2,-(-Tools!AT12),-Tools!AT12)),NA())</f>
        <v>#N/A</v>
      </c>
      <c r="BU107" s="379" t="e">
        <f>IFERROR(IF(AND($DF107&lt;&gt;0,$DG107&gt;BU$97),NA(),IF($BD107&gt;LBP/2,-(-Tools!AU12),-Tools!AU12)),NA())</f>
        <v>#N/A</v>
      </c>
      <c r="BV107" s="379" t="e">
        <f>IFERROR(IF(AND($DF107&lt;&gt;0,$DG107&gt;BV$97),NA(),IF($BD107&gt;LBP/2,-(-Tools!AV12),-Tools!AV12)),NA())</f>
        <v>#N/A</v>
      </c>
      <c r="BW107" s="379" t="e">
        <f>IFERROR(IF(AND($DF107&lt;&gt;0,$DG107&gt;BW$97),NA(),IF($BD107&gt;LBP/2,-(-Tools!AW12),-Tools!AW12)),NA())</f>
        <v>#N/A</v>
      </c>
      <c r="BX107" s="379" t="e">
        <f>IFERROR(IF(AND($DF107&lt;&gt;0,$DG107&gt;BX$97),NA(),IF($BD107&gt;LBP/2,-(-Tools!AX12),-Tools!AX12)),NA())</f>
        <v>#N/A</v>
      </c>
      <c r="BY107" s="379" t="e">
        <f>IFERROR(IF(AND($DF107&lt;&gt;0,$DG107&gt;BY$97),NA(),IF($BD107&gt;LBP/2,-(-Tools!AY12),-Tools!AY12)),NA())</f>
        <v>#N/A</v>
      </c>
      <c r="BZ107" s="379" t="e">
        <f>IFERROR(IF(AND($DF107&lt;&gt;0,$DG107&gt;BZ$97),NA(),IF($BD107&gt;LBP/2,-(-Tools!AZ12),-Tools!AZ12)),NA())</f>
        <v>#N/A</v>
      </c>
      <c r="CA107" s="379" t="e">
        <f>IFERROR(IF(AND($DF107&lt;&gt;0,$DG107&gt;CA$97),NA(),IF($BD107&gt;LBP/2,-(-Tools!BA12),-Tools!BA12)),NA())</f>
        <v>#N/A</v>
      </c>
      <c r="CB107" s="379" t="e">
        <f>IFERROR(IF(AND($DF107&lt;&gt;0,$DG107&gt;CB$97),NA(),IF($BD107&gt;LBP/2,-(-Tools!BB12),-Tools!BB12)),NA())</f>
        <v>#N/A</v>
      </c>
      <c r="CC107" s="379" t="e">
        <f>IFERROR(IF(AND($DF107&lt;&gt;0,$DG107&gt;CC$97),NA(),IF($BD107&gt;LBP/2,-(-Tools!BC12),-Tools!BC12)),NA())</f>
        <v>#N/A</v>
      </c>
      <c r="CE107" s="429" t="b">
        <f t="shared" si="207"/>
        <v>0</v>
      </c>
      <c r="CF107" s="429" t="b">
        <f t="shared" si="208"/>
        <v>0</v>
      </c>
      <c r="CG107" s="429" t="b">
        <f t="shared" si="209"/>
        <v>0</v>
      </c>
      <c r="CH107" s="429" t="b">
        <f t="shared" si="210"/>
        <v>0</v>
      </c>
      <c r="CI107" s="429" t="b">
        <f t="shared" si="211"/>
        <v>0</v>
      </c>
      <c r="CJ107" s="429" t="b">
        <f t="shared" si="212"/>
        <v>0</v>
      </c>
      <c r="CK107" s="429" t="b">
        <f t="shared" si="213"/>
        <v>0</v>
      </c>
      <c r="CL107" s="429" t="b">
        <f t="shared" si="214"/>
        <v>0</v>
      </c>
      <c r="CM107" s="429" t="b">
        <f t="shared" si="215"/>
        <v>0</v>
      </c>
      <c r="CN107" s="429" t="b">
        <f t="shared" si="216"/>
        <v>0</v>
      </c>
      <c r="CO107" s="429" t="b">
        <f t="shared" si="217"/>
        <v>0</v>
      </c>
      <c r="CP107" s="429" t="b">
        <f t="shared" si="218"/>
        <v>0</v>
      </c>
      <c r="CQ107" s="429" t="b">
        <f t="shared" si="219"/>
        <v>0</v>
      </c>
      <c r="CR107" s="429" t="b">
        <f t="shared" si="220"/>
        <v>0</v>
      </c>
      <c r="CS107" s="429" t="b">
        <f t="shared" si="221"/>
        <v>0</v>
      </c>
      <c r="CT107" s="429" t="b">
        <f t="shared" si="222"/>
        <v>0</v>
      </c>
      <c r="CU107" s="429" t="b">
        <f t="shared" si="223"/>
        <v>0</v>
      </c>
      <c r="CV107" s="429" t="b">
        <f t="shared" si="224"/>
        <v>0</v>
      </c>
      <c r="CW107" s="429" t="b">
        <f t="shared" si="225"/>
        <v>0</v>
      </c>
      <c r="CX107" s="429" t="b">
        <f t="shared" si="226"/>
        <v>0</v>
      </c>
      <c r="CY107" s="429" t="b">
        <f t="shared" si="227"/>
        <v>0</v>
      </c>
      <c r="CZ107" s="429" t="b">
        <f t="shared" si="228"/>
        <v>0</v>
      </c>
      <c r="DA107" s="429" t="b">
        <f t="shared" si="229"/>
        <v>0</v>
      </c>
      <c r="DB107" s="429" t="b">
        <f t="shared" si="230"/>
        <v>0</v>
      </c>
      <c r="DC107" s="429"/>
      <c r="DD107" s="429">
        <f t="shared" si="260"/>
        <v>0</v>
      </c>
      <c r="DE107" s="429" t="str">
        <f t="shared" si="231"/>
        <v>-</v>
      </c>
      <c r="DF107" s="429">
        <f t="shared" si="232"/>
        <v>0</v>
      </c>
      <c r="DG107" s="429">
        <f t="shared" si="261"/>
        <v>0</v>
      </c>
      <c r="DH107" s="429">
        <f t="shared" si="262"/>
        <v>7</v>
      </c>
      <c r="DI107" s="429"/>
      <c r="DJ107" s="429" t="e">
        <f t="shared" si="263"/>
        <v>#N/A</v>
      </c>
      <c r="DK107" s="429">
        <f t="shared" si="180"/>
        <v>-9</v>
      </c>
      <c r="DL107" s="429">
        <f t="shared" si="181"/>
        <v>-9.83</v>
      </c>
      <c r="DM107" s="429">
        <f t="shared" si="182"/>
        <v>-10.3</v>
      </c>
      <c r="DN107" s="429">
        <f t="shared" si="183"/>
        <v>-10.6</v>
      </c>
      <c r="DO107" s="429">
        <f t="shared" si="184"/>
        <v>-10.8</v>
      </c>
      <c r="DP107" s="429">
        <f t="shared" si="185"/>
        <v>-11</v>
      </c>
      <c r="DQ107" s="429">
        <f t="shared" si="186"/>
        <v>-11</v>
      </c>
      <c r="DR107" s="429">
        <f t="shared" si="187"/>
        <v>-11</v>
      </c>
      <c r="DS107" s="429">
        <f t="shared" si="188"/>
        <v>-11</v>
      </c>
      <c r="DT107" s="429">
        <f t="shared" si="189"/>
        <v>-11</v>
      </c>
      <c r="DU107" s="429">
        <f t="shared" si="190"/>
        <v>-11</v>
      </c>
      <c r="DV107" s="429">
        <f t="shared" si="191"/>
        <v>-11</v>
      </c>
      <c r="DW107" s="429" t="e">
        <f t="shared" si="192"/>
        <v>#N/A</v>
      </c>
      <c r="DX107" s="429" t="e">
        <f t="shared" si="193"/>
        <v>#N/A</v>
      </c>
      <c r="DY107" s="429" t="e">
        <f t="shared" si="194"/>
        <v>#N/A</v>
      </c>
      <c r="DZ107" s="429" t="e">
        <f t="shared" si="195"/>
        <v>#N/A</v>
      </c>
      <c r="EA107" s="429" t="e">
        <f t="shared" si="196"/>
        <v>#N/A</v>
      </c>
      <c r="EB107" s="429" t="e">
        <f t="shared" si="197"/>
        <v>#N/A</v>
      </c>
      <c r="EC107" s="429" t="e">
        <f t="shared" si="198"/>
        <v>#N/A</v>
      </c>
      <c r="ED107" s="429" t="e">
        <f t="shared" si="199"/>
        <v>#N/A</v>
      </c>
      <c r="EE107" s="429" t="e">
        <f t="shared" si="200"/>
        <v>#N/A</v>
      </c>
      <c r="EF107" s="429" t="e">
        <f t="shared" si="201"/>
        <v>#N/A</v>
      </c>
      <c r="EG107" s="429" t="e">
        <f t="shared" si="202"/>
        <v>#N/A</v>
      </c>
      <c r="EH107" s="429" t="e">
        <f t="shared" si="203"/>
        <v>#N/A</v>
      </c>
      <c r="EI107" s="429" t="e">
        <f t="shared" si="204"/>
        <v>#N/A</v>
      </c>
      <c r="EJ107" s="429"/>
      <c r="EK107" s="429"/>
      <c r="EL107" s="429" t="e">
        <f t="shared" si="233"/>
        <v>#N/A</v>
      </c>
      <c r="EM107" s="429">
        <f t="shared" si="264"/>
        <v>0</v>
      </c>
      <c r="EN107" s="429">
        <f t="shared" si="235"/>
        <v>0.5</v>
      </c>
      <c r="EO107" s="429">
        <f t="shared" si="236"/>
        <v>1</v>
      </c>
      <c r="EP107" s="429">
        <f t="shared" si="237"/>
        <v>1.5</v>
      </c>
      <c r="EQ107" s="429">
        <f t="shared" si="238"/>
        <v>2</v>
      </c>
      <c r="ER107" s="429">
        <f t="shared" si="239"/>
        <v>4</v>
      </c>
      <c r="ES107" s="429">
        <f t="shared" si="240"/>
        <v>6</v>
      </c>
      <c r="ET107" s="429">
        <f t="shared" si="241"/>
        <v>8</v>
      </c>
      <c r="EU107" s="429">
        <f t="shared" si="242"/>
        <v>9.6999999999999993</v>
      </c>
      <c r="EV107" s="429">
        <f t="shared" si="243"/>
        <v>10</v>
      </c>
      <c r="EW107" s="429">
        <f t="shared" si="244"/>
        <v>12</v>
      </c>
      <c r="EX107" s="429">
        <f t="shared" si="245"/>
        <v>13</v>
      </c>
      <c r="EY107" s="429" t="e">
        <f t="shared" si="246"/>
        <v>#N/A</v>
      </c>
      <c r="EZ107" s="429" t="e">
        <f t="shared" si="247"/>
        <v>#N/A</v>
      </c>
      <c r="FA107" s="429" t="e">
        <f t="shared" si="248"/>
        <v>#N/A</v>
      </c>
      <c r="FB107" s="429" t="e">
        <f t="shared" si="249"/>
        <v>#N/A</v>
      </c>
      <c r="FC107" s="429" t="e">
        <f t="shared" si="250"/>
        <v>#N/A</v>
      </c>
      <c r="FD107" s="429" t="e">
        <f t="shared" si="251"/>
        <v>#N/A</v>
      </c>
      <c r="FE107" s="429" t="e">
        <f t="shared" si="252"/>
        <v>#N/A</v>
      </c>
      <c r="FF107" s="429" t="e">
        <f t="shared" si="253"/>
        <v>#N/A</v>
      </c>
      <c r="FG107" s="429" t="e">
        <f t="shared" si="254"/>
        <v>#N/A</v>
      </c>
      <c r="FH107" s="429" t="e">
        <f t="shared" si="255"/>
        <v>#N/A</v>
      </c>
      <c r="FI107" s="429" t="e">
        <f t="shared" si="256"/>
        <v>#N/A</v>
      </c>
      <c r="FJ107" s="429" t="e">
        <f t="shared" si="257"/>
        <v>#N/A</v>
      </c>
      <c r="FK107" s="429" t="e">
        <f t="shared" si="258"/>
        <v>#N/A</v>
      </c>
    </row>
    <row r="108" spans="1:167" x14ac:dyDescent="0.25">
      <c r="A108" s="377">
        <f t="shared" si="206"/>
        <v>6</v>
      </c>
      <c r="B108" s="380" t="str">
        <f>IFERROR(IF(ISERROR(CP137),"",CONCATENATE(ROUND(X_SHIFT_BP+IF(Tools!B$97&lt;=Tools!$D$47/2,-BF13,BF13),3),",",ROUND(WLS*$AP49,3)," ")),"")</f>
        <v xml:space="preserve">165.09,12 </v>
      </c>
      <c r="C108" s="380" t="str">
        <f>IFERROR(IF(ISERROR(CQ137),"",CONCATENATE(ROUND(X_SHIFT_BP+IF(Tools!C$97&lt;=Tools!$D$47/2,-BG13,BG13),3),",",ROUND(WLS*$AP49,3)," ")),"")</f>
        <v xml:space="preserve">163.48,12 </v>
      </c>
      <c r="D108" s="380" t="str">
        <f>IFERROR(IF(ISERROR(CR137),"",CONCATENATE(ROUND(X_SHIFT_BP+IF(Tools!D$97&lt;=Tools!$D$47/2,-BH13,BH13),3),",",ROUND(WLS*$AP49,3)," ")),"")</f>
        <v xml:space="preserve">162.11,12 </v>
      </c>
      <c r="E108" s="380" t="str">
        <f>IFERROR(IF(ISERROR(CS137),"",CONCATENATE(ROUND(X_SHIFT_BP+IF(Tools!E$97&lt;=Tools!$D$47/2,-BI13,BI13),3),",",ROUND(WLS*$AP49,3)," ")),"")</f>
        <v xml:space="preserve">160.93,12 </v>
      </c>
      <c r="F108" s="380" t="str">
        <f>IFERROR(IF(ISERROR(CT137),"",CONCATENATE(ROUND(X_SHIFT_BP+IF(Tools!F$97&lt;=Tools!$D$47/2,-BJ13,BJ13),3),",",ROUND(WLS*$AP49,3)," ")),"")</f>
        <v xml:space="preserve">159.97,12 </v>
      </c>
      <c r="G108" s="380" t="str">
        <f>IFERROR(IF(ISERROR(CU137),"",CONCATENATE(ROUND(X_SHIFT_BP+IF(Tools!G$97&lt;=Tools!$D$47/2,-BK13,BK13),3),",",ROUND(WLS*$AP49,3)," ")),"")</f>
        <v xml:space="preserve">158.81,12 </v>
      </c>
      <c r="H108" s="380" t="str">
        <f>IFERROR(IF(ISERROR(CV137),"",CONCATENATE(ROUND(X_SHIFT_BP+IF(Tools!H$97&lt;=Tools!$D$47/2,-BL13,BL13),3),",",ROUND(WLS*$AP49,3)," ")),"")</f>
        <v xml:space="preserve">158.11,12 </v>
      </c>
      <c r="I108" s="380" t="str">
        <f>IFERROR(IF(ISERROR(CW137),"",CONCATENATE(ROUND(X_SHIFT_BP+IF(Tools!I$97&lt;=Tools!$D$47/2,-BM13,BM13),3),",",ROUND(WLS*$AP49,3)," ")),"")</f>
        <v xml:space="preserve">158.01,12 </v>
      </c>
      <c r="J108" s="380" t="str">
        <f>IFERROR(IF(ISERROR(CX137),"",CONCATENATE(ROUND(X_SHIFT_BP+IF(Tools!J$97&lt;=Tools!$D$47/2,-BN13,BN13),3),",",ROUND(WLS*$AP49,3)," ")),"")</f>
        <v xml:space="preserve">157.91,12 </v>
      </c>
      <c r="K108" s="380" t="str">
        <f>IFERROR(IF(ISERROR(CY137),"",CONCATENATE(ROUND(X_SHIFT_BP+IF(Tools!K$97&lt;=Tools!$D$47/2,-BO13,BO13),3),",",ROUND(WLS*$AP49,3)," ")),"")</f>
        <v xml:space="preserve">157.91,12 </v>
      </c>
      <c r="L108" s="380" t="str">
        <f>IFERROR(IF(ISERROR(CZ137),"",CONCATENATE(ROUND(X_SHIFT_BP+IF(Tools!L$97&lt;=Tools!$D$47/2,-BP13,BP13),3),",",ROUND(WLS*$AP49,3)," ")),"")</f>
        <v xml:space="preserve">157.91,12 </v>
      </c>
      <c r="M108" s="380" t="str">
        <f>IFERROR(IF(ISERROR(DA137),"",CONCATENATE(ROUND(X_SHIFT_BP+IF(Tools!M$97&lt;=Tools!$D$47/2,-BQ13,BQ13),3),",",ROUND(WLS*$AP49,3)," ")),"")</f>
        <v xml:space="preserve">157.91,12 </v>
      </c>
      <c r="N108" s="380" t="str">
        <f>IFERROR(IF(ISERROR(DB137),"",CONCATENATE(ROUND(X_SHIFT_BP+IF(Tools!N$97&lt;=Tools!$D$47/2,-BR13,BR13),3),",",ROUND(WLS*$AP49,3)," ")),"")</f>
        <v xml:space="preserve">157.91,12 </v>
      </c>
      <c r="O108" s="380" t="str">
        <f>IFERROR(IF(ISERROR(DC137),"",CONCATENATE(ROUND(X_SHIFT_BP+IF(Tools!O$97&lt;=Tools!$D$47/2,-BS13,BS13),3),",",ROUND(WLS*$AP49,3)," ")),"")</f>
        <v xml:space="preserve">179.91,12 </v>
      </c>
      <c r="P108" s="380" t="str">
        <f>IFERROR(IF(ISERROR(DD137),"",CONCATENATE(ROUND(X_SHIFT_BP+IF(Tools!P$97&lt;=Tools!$D$47/2,-BT13,BT13),3),",",ROUND(WLS*$AP49,3)," ")),"")</f>
        <v xml:space="preserve">179.91,12 </v>
      </c>
      <c r="Q108" s="380" t="str">
        <f>IFERROR(IF(ISERROR(DE137),"",CONCATENATE(ROUND(X_SHIFT_BP+IF(Tools!Q$97&lt;=Tools!$D$47/2,-BU13,BU13),3),",",ROUND(WLS*$AP49,3)," ")),"")</f>
        <v xml:space="preserve">179.91,12 </v>
      </c>
      <c r="R108" s="380" t="str">
        <f>IFERROR(IF(ISERROR(DF137),"",CONCATENATE(ROUND(X_SHIFT_BP+IF(Tools!R$97&lt;=Tools!$D$47/2,-BV13,BV13),3),",",ROUND(WLS*$AP49,3)," ")),"")</f>
        <v xml:space="preserve">179.91,12 </v>
      </c>
      <c r="S108" s="380" t="str">
        <f>IFERROR(IF(ISERROR(DG137),"",CONCATENATE(ROUND(X_SHIFT_BP+IF(Tools!S$97&lt;=Tools!$D$47/2,-BW13,BW13),3),",",ROUND(WLS*$AP49,3)," ")),"")</f>
        <v xml:space="preserve">179.91,12 </v>
      </c>
      <c r="T108" s="380" t="str">
        <f>IFERROR(IF(ISERROR(DH137),"",CONCATENATE(ROUND(X_SHIFT_BP+IF(Tools!T$97&lt;=Tools!$D$47/2,-BX13,BX13),3),",",ROUND(WLS*$AP49,3)," ")),"")</f>
        <v xml:space="preserve">179.91,12 </v>
      </c>
      <c r="U108" s="380" t="str">
        <f>IFERROR(IF(ISERROR(DI137),"",CONCATENATE(ROUND(X_SHIFT_BP+IF(Tools!U$97&lt;=Tools!$D$47/2,-BY13,BY13),3),",",ROUND(WLS*$AP49,3)," ")),"")</f>
        <v xml:space="preserve">179.41,12 </v>
      </c>
      <c r="V108" s="380" t="str">
        <f>IFERROR(IF(ISERROR(DJ137),"",CONCATENATE(ROUND(X_SHIFT_BP+IF(Tools!V$97&lt;=Tools!$D$47/2,-BZ13,BZ13),3),",",ROUND(WLS*$AP49,3)," ")),"")</f>
        <v xml:space="preserve">177.83,12 </v>
      </c>
      <c r="W108" s="380" t="str">
        <f>IFERROR(IF(ISERROR(DK137),"",CONCATENATE(ROUND(X_SHIFT_BP+IF(Tools!W$97&lt;=Tools!$D$47/2,-CA13,CA13),3),",",ROUND(WLS*$AP49,3)," ")),"")</f>
        <v xml:space="preserve">176.41,12 </v>
      </c>
      <c r="X108" s="380" t="str">
        <f>IFERROR(IF(ISERROR(DL137),"",CONCATENATE(ROUND(X_SHIFT_BP+IF(Tools!X$97&lt;=Tools!$D$47/2,-CB13,CB13),3),",",ROUND(WLS*$AP49,3)," ")),"")</f>
        <v xml:space="preserve">174.5,12 </v>
      </c>
      <c r="Y108" s="380" t="str">
        <f>IFERROR(IF(ISERROR(DM137),"",CONCATENATE(ROUND(X_SHIFT_BP+IF(Tools!Y$97&lt;=Tools!$D$47/2,-CC13,CC13),3),",",ROUND(WLS*$AP49,3)," ")),"")</f>
        <v xml:space="preserve">172.1,12 </v>
      </c>
      <c r="Z108" s="380" t="str">
        <f>IFERROR(IF(ISERROR(DN137),"",CONCATENATE(ROUND(X_SHIFT_BP+IF(Tools!Z$97&lt;=Tools!$D$47/2,-CD13,CD13),3),",",ROUND(WLS*$AP49,3)," ")),"")</f>
        <v xml:space="preserve">169.71,12 </v>
      </c>
      <c r="AA108" s="132">
        <v>12</v>
      </c>
      <c r="AB108" s="248" t="str">
        <f t="shared" si="259"/>
        <v xml:space="preserve">Spline </v>
      </c>
      <c r="AC108" s="132" t="str">
        <v/>
      </c>
      <c r="AD108" s="248" t="str">
        <v xml:space="preserve">159.41,0 </v>
      </c>
      <c r="AE108" s="248" t="str">
        <v xml:space="preserve">158.58,0.5 </v>
      </c>
      <c r="AF108" s="248" t="str">
        <v xml:space="preserve">158.24,1 </v>
      </c>
      <c r="AG108" s="248" t="str">
        <v xml:space="preserve">158.01,1.5 </v>
      </c>
      <c r="AH108" s="248" t="str">
        <v xml:space="preserve">157.91,2 </v>
      </c>
      <c r="AI108" s="248" t="str">
        <v xml:space="preserve">157.91,4 </v>
      </c>
      <c r="AJ108" s="248" t="str">
        <v xml:space="preserve">157.91,6 </v>
      </c>
      <c r="AK108" s="248" t="str">
        <v xml:space="preserve">157.91,8 </v>
      </c>
      <c r="AL108" s="248" t="str">
        <v xml:space="preserve">157.91,9.7 </v>
      </c>
      <c r="AM108" s="248" t="str">
        <v xml:space="preserve">157.91,10 </v>
      </c>
      <c r="AN108" s="248" t="str">
        <v xml:space="preserve">157.91,12 </v>
      </c>
      <c r="AO108" s="248" t="str">
        <v xml:space="preserve">157.91,13 </v>
      </c>
      <c r="AP108" s="248" t="str">
        <v/>
      </c>
      <c r="AQ108" s="248" t="str">
        <v/>
      </c>
      <c r="AR108" s="248" t="str">
        <v/>
      </c>
      <c r="AS108" s="248" t="str">
        <v/>
      </c>
      <c r="AT108" s="248" t="str">
        <v/>
      </c>
      <c r="AU108" s="248" t="str">
        <v/>
      </c>
      <c r="AV108" s="248" t="str">
        <v/>
      </c>
      <c r="AW108" s="248" t="str">
        <v/>
      </c>
      <c r="AX108" s="248" t="str">
        <v/>
      </c>
      <c r="AY108" s="248" t="str">
        <v/>
      </c>
      <c r="AZ108" s="248" t="str">
        <v/>
      </c>
      <c r="BA108" s="248" t="str">
        <v/>
      </c>
      <c r="BB108" s="248" t="str">
        <v/>
      </c>
      <c r="BC108" s="379">
        <f>Tools!AD13</f>
        <v>8</v>
      </c>
      <c r="BD108" s="379">
        <f>IFERROR(Tools!AD13*STN_GAP,"")</f>
        <v>58.48</v>
      </c>
      <c r="BE108" s="467">
        <f>IFERROR(IF(ISNUMBER(DE108),NA(),IF(AND($DF108&lt;&gt;0,$DG108&gt;BE$97),NA(),IF($BD108&gt;LBP/2,-(-Tools!AE13),-Tools!AE13))),NA())</f>
        <v>-9.5</v>
      </c>
      <c r="BF108" s="379">
        <f>IFERROR(IF(AND($DF108&lt;&gt;0,$DG108&gt;BF$97),NA(),IF($BD108&gt;LBP/2,-(-Tools!AF13),-Tools!AF13)),NA())</f>
        <v>-10.33</v>
      </c>
      <c r="BG108" s="379">
        <f>IFERROR(IF(AND($DF108&lt;&gt;0,$DG108&gt;BG$97),NA(),IF($BD108&gt;LBP/2,-(-Tools!AG13),-Tools!AG13)),NA())</f>
        <v>-10.67</v>
      </c>
      <c r="BH108" s="379">
        <f>IFERROR(IF(AND($DF108&lt;&gt;0,$DG108&gt;BH$97),NA(),IF($BD108&gt;LBP/2,-(-Tools!AH13),-Tools!AH13)),NA())</f>
        <v>-10.9</v>
      </c>
      <c r="BI108" s="379">
        <f>IFERROR(IF(AND($DF108&lt;&gt;0,$DG108&gt;BI$97),NA(),IF($BD108&gt;LBP/2,-(-Tools!AI13),-Tools!AI13)),NA())</f>
        <v>-11</v>
      </c>
      <c r="BJ108" s="379">
        <f>IFERROR(IF(AND($DF108&lt;&gt;0,$DG108&gt;BJ$97),NA(),IF($BD108&gt;LBP/2,-(-Tools!AJ13),-Tools!AJ13)),NA())</f>
        <v>-11</v>
      </c>
      <c r="BK108" s="379">
        <f>IFERROR(IF(AND($DF108&lt;&gt;0,$DG108&gt;BK$97),NA(),IF($BD108&gt;LBP/2,-(-Tools!AK13),-Tools!AK13)),NA())</f>
        <v>-11</v>
      </c>
      <c r="BL108" s="379">
        <f>IFERROR(IF(AND($DF108&lt;&gt;0,$DG108&gt;BL$97),NA(),IF($BD108&gt;LBP/2,-(-Tools!AL13),-Tools!AL13)),NA())</f>
        <v>-11</v>
      </c>
      <c r="BM108" s="379">
        <f>IFERROR(IF(AND($DF108&lt;&gt;0,$DG108&gt;BM$97),NA(),IF($BD108&gt;LBP/2,-(-Tools!AM13),-Tools!AM13)),NA())</f>
        <v>-11</v>
      </c>
      <c r="BN108" s="379">
        <f>IFERROR(IF(AND($DF108&lt;&gt;0,$DG108&gt;BN$97),NA(),IF($BD108&gt;LBP/2,-(-Tools!AN13),-Tools!AN13)),NA())</f>
        <v>-11</v>
      </c>
      <c r="BO108" s="379">
        <f>IFERROR(IF(AND($DF108&lt;&gt;0,$DG108&gt;BO$97),NA(),IF($BD108&gt;LBP/2,-(-Tools!AO13),-Tools!AO13)),NA())</f>
        <v>-11</v>
      </c>
      <c r="BP108" s="379">
        <f>IFERROR(IF(AND($DF108&lt;&gt;0,$DG108&gt;BP$97),NA(),IF($BD108&gt;LBP/2,-(-Tools!AP13),-Tools!AP13)),NA())</f>
        <v>-11</v>
      </c>
      <c r="BQ108" s="379" t="e">
        <f>IFERROR(IF(AND($DF108&lt;&gt;0,$DG108&gt;BQ$97),NA(),IF($BD108&gt;LBP/2,-(-Tools!AQ13),-Tools!AQ13)),NA())</f>
        <v>#N/A</v>
      </c>
      <c r="BR108" s="379" t="e">
        <f>IFERROR(IF(AND($DF108&lt;&gt;0,$DG108&gt;BR$97),NA(),IF($BD108&gt;LBP/2,-(-Tools!AR13),-Tools!AR13)),NA())</f>
        <v>#N/A</v>
      </c>
      <c r="BS108" s="379" t="e">
        <f>IFERROR(IF(AND($DF108&lt;&gt;0,$DG108&gt;BS$97),NA(),IF($BD108&gt;LBP/2,-(-Tools!AS13),-Tools!AS13)),NA())</f>
        <v>#N/A</v>
      </c>
      <c r="BT108" s="379" t="e">
        <f>IFERROR(IF(AND($DF108&lt;&gt;0,$DG108&gt;BT$97),NA(),IF($BD108&gt;LBP/2,-(-Tools!AT13),-Tools!AT13)),NA())</f>
        <v>#N/A</v>
      </c>
      <c r="BU108" s="379" t="e">
        <f>IFERROR(IF(AND($DF108&lt;&gt;0,$DG108&gt;BU$97),NA(),IF($BD108&gt;LBP/2,-(-Tools!AU13),-Tools!AU13)),NA())</f>
        <v>#N/A</v>
      </c>
      <c r="BV108" s="379" t="e">
        <f>IFERROR(IF(AND($DF108&lt;&gt;0,$DG108&gt;BV$97),NA(),IF($BD108&gt;LBP/2,-(-Tools!AV13),-Tools!AV13)),NA())</f>
        <v>#N/A</v>
      </c>
      <c r="BW108" s="379" t="e">
        <f>IFERROR(IF(AND($DF108&lt;&gt;0,$DG108&gt;BW$97),NA(),IF($BD108&gt;LBP/2,-(-Tools!AW13),-Tools!AW13)),NA())</f>
        <v>#N/A</v>
      </c>
      <c r="BX108" s="379" t="e">
        <f>IFERROR(IF(AND($DF108&lt;&gt;0,$DG108&gt;BX$97),NA(),IF($BD108&gt;LBP/2,-(-Tools!AX13),-Tools!AX13)),NA())</f>
        <v>#N/A</v>
      </c>
      <c r="BY108" s="379" t="e">
        <f>IFERROR(IF(AND($DF108&lt;&gt;0,$DG108&gt;BY$97),NA(),IF($BD108&gt;LBP/2,-(-Tools!AY13),-Tools!AY13)),NA())</f>
        <v>#N/A</v>
      </c>
      <c r="BZ108" s="379" t="e">
        <f>IFERROR(IF(AND($DF108&lt;&gt;0,$DG108&gt;BZ$97),NA(),IF($BD108&gt;LBP/2,-(-Tools!AZ13),-Tools!AZ13)),NA())</f>
        <v>#N/A</v>
      </c>
      <c r="CA108" s="379" t="e">
        <f>IFERROR(IF(AND($DF108&lt;&gt;0,$DG108&gt;CA$97),NA(),IF($BD108&gt;LBP/2,-(-Tools!BA13),-Tools!BA13)),NA())</f>
        <v>#N/A</v>
      </c>
      <c r="CB108" s="379" t="e">
        <f>IFERROR(IF(AND($DF108&lt;&gt;0,$DG108&gt;CB$97),NA(),IF($BD108&gt;LBP/2,-(-Tools!BB13),-Tools!BB13)),NA())</f>
        <v>#N/A</v>
      </c>
      <c r="CC108" s="379" t="e">
        <f>IFERROR(IF(AND($DF108&lt;&gt;0,$DG108&gt;CC$97),NA(),IF($BD108&gt;LBP/2,-(-Tools!BC13),-Tools!BC13)),NA())</f>
        <v>#N/A</v>
      </c>
      <c r="CE108" s="429" t="b">
        <f t="shared" si="207"/>
        <v>0</v>
      </c>
      <c r="CF108" s="429" t="b">
        <f t="shared" si="208"/>
        <v>0</v>
      </c>
      <c r="CG108" s="429" t="b">
        <f t="shared" si="209"/>
        <v>0</v>
      </c>
      <c r="CH108" s="429" t="b">
        <f t="shared" si="210"/>
        <v>0</v>
      </c>
      <c r="CI108" s="429" t="b">
        <f t="shared" si="211"/>
        <v>0</v>
      </c>
      <c r="CJ108" s="429" t="b">
        <f t="shared" si="212"/>
        <v>0</v>
      </c>
      <c r="CK108" s="429" t="b">
        <f t="shared" si="213"/>
        <v>0</v>
      </c>
      <c r="CL108" s="429" t="b">
        <f t="shared" si="214"/>
        <v>0</v>
      </c>
      <c r="CM108" s="429" t="b">
        <f t="shared" si="215"/>
        <v>0</v>
      </c>
      <c r="CN108" s="429" t="b">
        <f t="shared" si="216"/>
        <v>0</v>
      </c>
      <c r="CO108" s="429" t="b">
        <f t="shared" si="217"/>
        <v>0</v>
      </c>
      <c r="CP108" s="429" t="b">
        <f t="shared" si="218"/>
        <v>0</v>
      </c>
      <c r="CQ108" s="429" t="b">
        <f t="shared" si="219"/>
        <v>0</v>
      </c>
      <c r="CR108" s="429" t="b">
        <f t="shared" si="220"/>
        <v>0</v>
      </c>
      <c r="CS108" s="429" t="b">
        <f t="shared" si="221"/>
        <v>0</v>
      </c>
      <c r="CT108" s="429" t="b">
        <f t="shared" si="222"/>
        <v>0</v>
      </c>
      <c r="CU108" s="429" t="b">
        <f t="shared" si="223"/>
        <v>0</v>
      </c>
      <c r="CV108" s="429" t="b">
        <f t="shared" si="224"/>
        <v>0</v>
      </c>
      <c r="CW108" s="429" t="b">
        <f t="shared" si="225"/>
        <v>0</v>
      </c>
      <c r="CX108" s="429" t="b">
        <f t="shared" si="226"/>
        <v>0</v>
      </c>
      <c r="CY108" s="429" t="b">
        <f t="shared" si="227"/>
        <v>0</v>
      </c>
      <c r="CZ108" s="429" t="b">
        <f t="shared" si="228"/>
        <v>0</v>
      </c>
      <c r="DA108" s="429" t="b">
        <f t="shared" si="229"/>
        <v>0</v>
      </c>
      <c r="DB108" s="429" t="b">
        <f t="shared" si="230"/>
        <v>0</v>
      </c>
      <c r="DC108" s="429"/>
      <c r="DD108" s="429">
        <f t="shared" si="260"/>
        <v>0</v>
      </c>
      <c r="DE108" s="429" t="str">
        <f t="shared" si="231"/>
        <v>-</v>
      </c>
      <c r="DF108" s="429">
        <f t="shared" si="232"/>
        <v>0</v>
      </c>
      <c r="DG108" s="429">
        <f t="shared" si="261"/>
        <v>0</v>
      </c>
      <c r="DH108" s="429">
        <f t="shared" si="262"/>
        <v>8</v>
      </c>
      <c r="DI108" s="429"/>
      <c r="DJ108" s="429" t="e">
        <f t="shared" si="263"/>
        <v>#N/A</v>
      </c>
      <c r="DK108" s="429">
        <f t="shared" si="180"/>
        <v>-9.5</v>
      </c>
      <c r="DL108" s="429">
        <f t="shared" si="181"/>
        <v>-10.33</v>
      </c>
      <c r="DM108" s="429">
        <f t="shared" si="182"/>
        <v>-10.67</v>
      </c>
      <c r="DN108" s="429">
        <f t="shared" si="183"/>
        <v>-10.9</v>
      </c>
      <c r="DO108" s="429">
        <f t="shared" si="184"/>
        <v>-11</v>
      </c>
      <c r="DP108" s="429">
        <f t="shared" si="185"/>
        <v>-11</v>
      </c>
      <c r="DQ108" s="429">
        <f t="shared" si="186"/>
        <v>-11</v>
      </c>
      <c r="DR108" s="429">
        <f t="shared" si="187"/>
        <v>-11</v>
      </c>
      <c r="DS108" s="429">
        <f t="shared" si="188"/>
        <v>-11</v>
      </c>
      <c r="DT108" s="429">
        <f t="shared" si="189"/>
        <v>-11</v>
      </c>
      <c r="DU108" s="429">
        <f t="shared" si="190"/>
        <v>-11</v>
      </c>
      <c r="DV108" s="429">
        <f t="shared" si="191"/>
        <v>-11</v>
      </c>
      <c r="DW108" s="429" t="e">
        <f t="shared" si="192"/>
        <v>#N/A</v>
      </c>
      <c r="DX108" s="429" t="e">
        <f t="shared" si="193"/>
        <v>#N/A</v>
      </c>
      <c r="DY108" s="429" t="e">
        <f t="shared" si="194"/>
        <v>#N/A</v>
      </c>
      <c r="DZ108" s="429" t="e">
        <f t="shared" si="195"/>
        <v>#N/A</v>
      </c>
      <c r="EA108" s="429" t="e">
        <f t="shared" si="196"/>
        <v>#N/A</v>
      </c>
      <c r="EB108" s="429" t="e">
        <f t="shared" si="197"/>
        <v>#N/A</v>
      </c>
      <c r="EC108" s="429" t="e">
        <f t="shared" si="198"/>
        <v>#N/A</v>
      </c>
      <c r="ED108" s="429" t="e">
        <f t="shared" si="199"/>
        <v>#N/A</v>
      </c>
      <c r="EE108" s="429" t="e">
        <f t="shared" si="200"/>
        <v>#N/A</v>
      </c>
      <c r="EF108" s="429" t="e">
        <f t="shared" si="201"/>
        <v>#N/A</v>
      </c>
      <c r="EG108" s="429" t="e">
        <f t="shared" si="202"/>
        <v>#N/A</v>
      </c>
      <c r="EH108" s="429" t="e">
        <f t="shared" si="203"/>
        <v>#N/A</v>
      </c>
      <c r="EI108" s="429" t="e">
        <f t="shared" si="204"/>
        <v>#N/A</v>
      </c>
      <c r="EJ108" s="429"/>
      <c r="EK108" s="429"/>
      <c r="EL108" s="429" t="e">
        <f t="shared" si="233"/>
        <v>#N/A</v>
      </c>
      <c r="EM108" s="429">
        <f t="shared" si="264"/>
        <v>0</v>
      </c>
      <c r="EN108" s="429">
        <f t="shared" si="235"/>
        <v>0.5</v>
      </c>
      <c r="EO108" s="429">
        <f t="shared" si="236"/>
        <v>1</v>
      </c>
      <c r="EP108" s="429">
        <f t="shared" si="237"/>
        <v>1.5</v>
      </c>
      <c r="EQ108" s="429">
        <f t="shared" si="238"/>
        <v>2</v>
      </c>
      <c r="ER108" s="429">
        <f t="shared" si="239"/>
        <v>4</v>
      </c>
      <c r="ES108" s="429">
        <f t="shared" si="240"/>
        <v>6</v>
      </c>
      <c r="ET108" s="429">
        <f t="shared" si="241"/>
        <v>8</v>
      </c>
      <c r="EU108" s="429">
        <f t="shared" si="242"/>
        <v>9.6999999999999993</v>
      </c>
      <c r="EV108" s="429">
        <f t="shared" si="243"/>
        <v>10</v>
      </c>
      <c r="EW108" s="429">
        <f t="shared" si="244"/>
        <v>12</v>
      </c>
      <c r="EX108" s="429">
        <f t="shared" si="245"/>
        <v>13</v>
      </c>
      <c r="EY108" s="429" t="e">
        <f t="shared" si="246"/>
        <v>#N/A</v>
      </c>
      <c r="EZ108" s="429" t="e">
        <f t="shared" si="247"/>
        <v>#N/A</v>
      </c>
      <c r="FA108" s="429" t="e">
        <f t="shared" si="248"/>
        <v>#N/A</v>
      </c>
      <c r="FB108" s="429" t="e">
        <f t="shared" si="249"/>
        <v>#N/A</v>
      </c>
      <c r="FC108" s="429" t="e">
        <f t="shared" si="250"/>
        <v>#N/A</v>
      </c>
      <c r="FD108" s="429" t="e">
        <f t="shared" si="251"/>
        <v>#N/A</v>
      </c>
      <c r="FE108" s="429" t="e">
        <f t="shared" si="252"/>
        <v>#N/A</v>
      </c>
      <c r="FF108" s="429" t="e">
        <f t="shared" si="253"/>
        <v>#N/A</v>
      </c>
      <c r="FG108" s="429" t="e">
        <f t="shared" si="254"/>
        <v>#N/A</v>
      </c>
      <c r="FH108" s="429" t="e">
        <f t="shared" si="255"/>
        <v>#N/A</v>
      </c>
      <c r="FI108" s="429" t="e">
        <f t="shared" si="256"/>
        <v>#N/A</v>
      </c>
      <c r="FJ108" s="429" t="e">
        <f t="shared" si="257"/>
        <v>#N/A</v>
      </c>
      <c r="FK108" s="429" t="e">
        <f t="shared" si="258"/>
        <v>#N/A</v>
      </c>
    </row>
    <row r="109" spans="1:167" x14ac:dyDescent="0.25">
      <c r="A109" s="377">
        <f t="shared" si="206"/>
        <v>6.5</v>
      </c>
      <c r="B109" s="380" t="str">
        <f>IFERROR(IF(ISERROR(CP138),"",CONCATENATE(ROUND(X_SHIFT_BP+IF(Tools!B$97&lt;=Tools!$D$47/2,-BF14,BF14),3),",",ROUND(WLS*$AP50,3)," ")),"")</f>
        <v xml:space="preserve">164.67,13 </v>
      </c>
      <c r="C109" s="380" t="str">
        <f>IFERROR(IF(ISERROR(CQ138),"",CONCATENATE(ROUND(X_SHIFT_BP+IF(Tools!C$97&lt;=Tools!$D$47/2,-BG14,BG14),3),",",ROUND(WLS*$AP50,3)," ")),"")</f>
        <v xml:space="preserve">163.06,13 </v>
      </c>
      <c r="D109" s="380" t="str">
        <f>IFERROR(IF(ISERROR(CR138),"",CONCATENATE(ROUND(X_SHIFT_BP+IF(Tools!D$97&lt;=Tools!$D$47/2,-BH14,BH14),3),",",ROUND(WLS*$AP50,3)," ")),"")</f>
        <v xml:space="preserve">161.64,13 </v>
      </c>
      <c r="E109" s="380" t="str">
        <f>IFERROR(IF(ISERROR(CS138),"",CONCATENATE(ROUND(X_SHIFT_BP+IF(Tools!E$97&lt;=Tools!$D$47/2,-BI14,BI14),3),",",ROUND(WLS*$AP50,3)," ")),"")</f>
        <v xml:space="preserve">160.49,13 </v>
      </c>
      <c r="F109" s="380" t="str">
        <f>IFERROR(IF(ISERROR(CT138),"",CONCATENATE(ROUND(X_SHIFT_BP+IF(Tools!F$97&lt;=Tools!$D$47/2,-BJ14,BJ14),3),",",ROUND(WLS*$AP50,3)," ")),"")</f>
        <v xml:space="preserve">159.61,13 </v>
      </c>
      <c r="G109" s="380" t="str">
        <f>IFERROR(IF(ISERROR(CU138),"",CONCATENATE(ROUND(X_SHIFT_BP+IF(Tools!G$97&lt;=Tools!$D$47/2,-BK14,BK14),3),",",ROUND(WLS*$AP50,3)," ")),"")</f>
        <v xml:space="preserve">158.47,13 </v>
      </c>
      <c r="H109" s="380" t="str">
        <f>IFERROR(IF(ISERROR(CV138),"",CONCATENATE(ROUND(X_SHIFT_BP+IF(Tools!H$97&lt;=Tools!$D$47/2,-BL14,BL14),3),",",ROUND(WLS*$AP50,3)," ")),"")</f>
        <v xml:space="preserve">158.04,13 </v>
      </c>
      <c r="I109" s="380" t="str">
        <f>IFERROR(IF(ISERROR(CW138),"",CONCATENATE(ROUND(X_SHIFT_BP+IF(Tools!I$97&lt;=Tools!$D$47/2,-BM14,BM14),3),",",ROUND(WLS*$AP50,3)," ")),"")</f>
        <v xml:space="preserve">157.91,13 </v>
      </c>
      <c r="J109" s="380" t="str">
        <f>IFERROR(IF(ISERROR(CX138),"",CONCATENATE(ROUND(X_SHIFT_BP+IF(Tools!J$97&lt;=Tools!$D$47/2,-BN14,BN14),3),",",ROUND(WLS*$AP50,3)," ")),"")</f>
        <v xml:space="preserve">157.91,13 </v>
      </c>
      <c r="K109" s="380" t="str">
        <f>IFERROR(IF(ISERROR(CY138),"",CONCATENATE(ROUND(X_SHIFT_BP+IF(Tools!K$97&lt;=Tools!$D$47/2,-BO14,BO14),3),",",ROUND(WLS*$AP50,3)," ")),"")</f>
        <v xml:space="preserve">157.91,13 </v>
      </c>
      <c r="L109" s="380" t="str">
        <f>IFERROR(IF(ISERROR(CZ138),"",CONCATENATE(ROUND(X_SHIFT_BP+IF(Tools!L$97&lt;=Tools!$D$47/2,-BP14,BP14),3),",",ROUND(WLS*$AP50,3)," ")),"")</f>
        <v xml:space="preserve">157.91,13 </v>
      </c>
      <c r="M109" s="380" t="str">
        <f>IFERROR(IF(ISERROR(DA138),"",CONCATENATE(ROUND(X_SHIFT_BP+IF(Tools!M$97&lt;=Tools!$D$47/2,-BQ14,BQ14),3),",",ROUND(WLS*$AP50,3)," ")),"")</f>
        <v xml:space="preserve">157.91,13 </v>
      </c>
      <c r="N109" s="380" t="str">
        <f>IFERROR(IF(ISERROR(DB138),"",CONCATENATE(ROUND(X_SHIFT_BP+IF(Tools!N$97&lt;=Tools!$D$47/2,-BR14,BR14),3),",",ROUND(WLS*$AP50,3)," ")),"")</f>
        <v xml:space="preserve">157.91,13 </v>
      </c>
      <c r="O109" s="380" t="str">
        <f>IFERROR(IF(ISERROR(DC138),"",CONCATENATE(ROUND(X_SHIFT_BP+IF(Tools!O$97&lt;=Tools!$D$47/2,-BS14,BS14),3),",",ROUND(WLS*$AP50,3)," ")),"")</f>
        <v xml:space="preserve">179.91,13 </v>
      </c>
      <c r="P109" s="380" t="str">
        <f>IFERROR(IF(ISERROR(DD138),"",CONCATENATE(ROUND(X_SHIFT_BP+IF(Tools!P$97&lt;=Tools!$D$47/2,-BT14,BT14),3),",",ROUND(WLS*$AP50,3)," ")),"")</f>
        <v xml:space="preserve">179.91,13 </v>
      </c>
      <c r="Q109" s="380" t="str">
        <f>IFERROR(IF(ISERROR(DE138),"",CONCATENATE(ROUND(X_SHIFT_BP+IF(Tools!Q$97&lt;=Tools!$D$47/2,-BU14,BU14),3),",",ROUND(WLS*$AP50,3)," ")),"")</f>
        <v xml:space="preserve">179.91,13 </v>
      </c>
      <c r="R109" s="380" t="str">
        <f>IFERROR(IF(ISERROR(DF138),"",CONCATENATE(ROUND(X_SHIFT_BP+IF(Tools!R$97&lt;=Tools!$D$47/2,-BV14,BV14),3),",",ROUND(WLS*$AP50,3)," ")),"")</f>
        <v xml:space="preserve">179.91,13 </v>
      </c>
      <c r="S109" s="380" t="str">
        <f>IFERROR(IF(ISERROR(DG138),"",CONCATENATE(ROUND(X_SHIFT_BP+IF(Tools!S$97&lt;=Tools!$D$47/2,-BW14,BW14),3),",",ROUND(WLS*$AP50,3)," ")),"")</f>
        <v xml:space="preserve">179.91,13 </v>
      </c>
      <c r="T109" s="380" t="str">
        <f>IFERROR(IF(ISERROR(DH138),"",CONCATENATE(ROUND(X_SHIFT_BP+IF(Tools!T$97&lt;=Tools!$D$47/2,-BX14,BX14),3),",",ROUND(WLS*$AP50,3)," ")),"")</f>
        <v xml:space="preserve">179.91,13 </v>
      </c>
      <c r="U109" s="380" t="str">
        <f>IFERROR(IF(ISERROR(DI138),"",CONCATENATE(ROUND(X_SHIFT_BP+IF(Tools!U$97&lt;=Tools!$D$47/2,-BY14,BY14),3),",",ROUND(WLS*$AP50,3)," ")),"")</f>
        <v xml:space="preserve">179.53,13 </v>
      </c>
      <c r="V109" s="380" t="str">
        <f>IFERROR(IF(ISERROR(DJ138),"",CONCATENATE(ROUND(X_SHIFT_BP+IF(Tools!V$97&lt;=Tools!$D$47/2,-BZ14,BZ14),3),",",ROUND(WLS*$AP50,3)," ")),"")</f>
        <v xml:space="preserve">178.07,13 </v>
      </c>
      <c r="W109" s="380" t="str">
        <f>IFERROR(IF(ISERROR(DK138),"",CONCATENATE(ROUND(X_SHIFT_BP+IF(Tools!W$97&lt;=Tools!$D$47/2,-CA14,CA14),3),",",ROUND(WLS*$AP50,3)," ")),"")</f>
        <v xml:space="preserve">176.71,13 </v>
      </c>
      <c r="X109" s="380" t="str">
        <f>IFERROR(IF(ISERROR(DL138),"",CONCATENATE(ROUND(X_SHIFT_BP+IF(Tools!X$97&lt;=Tools!$D$47/2,-CB14,CB14),3),",",ROUND(WLS*$AP50,3)," ")),"")</f>
        <v xml:space="preserve">174.85,13 </v>
      </c>
      <c r="Y109" s="380" t="str">
        <f>IFERROR(IF(ISERROR(DM138),"",CONCATENATE(ROUND(X_SHIFT_BP+IF(Tools!Y$97&lt;=Tools!$D$47/2,-CC14,CC14),3),",",ROUND(WLS*$AP50,3)," ")),"")</f>
        <v xml:space="preserve">172.54,13 </v>
      </c>
      <c r="Z109" s="380" t="str">
        <f>IFERROR(IF(ISERROR(DN138),"",CONCATENATE(ROUND(X_SHIFT_BP+IF(Tools!Z$97&lt;=Tools!$D$47/2,-CD14,CD14),3),",",ROUND(WLS*$AP50,3)," ")),"")</f>
        <v xml:space="preserve">170.54,13 </v>
      </c>
      <c r="AA109" s="132">
        <v>12</v>
      </c>
      <c r="AB109" s="248" t="str">
        <f t="shared" si="259"/>
        <v xml:space="preserve">Spline </v>
      </c>
      <c r="AC109" s="132" t="str">
        <v/>
      </c>
      <c r="AD109" s="248" t="str">
        <v xml:space="preserve">159.21,0 </v>
      </c>
      <c r="AE109" s="248" t="str">
        <v xml:space="preserve">158.46,0.5 </v>
      </c>
      <c r="AF109" s="248" t="str">
        <v xml:space="preserve">158.16,1 </v>
      </c>
      <c r="AG109" s="248" t="str">
        <v xml:space="preserve">157.98,1.5 </v>
      </c>
      <c r="AH109" s="248" t="str">
        <v xml:space="preserve">157.91,2 </v>
      </c>
      <c r="AI109" s="248" t="str">
        <v xml:space="preserve">157.91,4 </v>
      </c>
      <c r="AJ109" s="248" t="str">
        <v xml:space="preserve">157.91,6 </v>
      </c>
      <c r="AK109" s="248" t="str">
        <v xml:space="preserve">157.91,8 </v>
      </c>
      <c r="AL109" s="248" t="str">
        <v xml:space="preserve">157.91,9.7 </v>
      </c>
      <c r="AM109" s="248" t="str">
        <v xml:space="preserve">157.91,10 </v>
      </c>
      <c r="AN109" s="248" t="str">
        <v xml:space="preserve">157.91,12 </v>
      </c>
      <c r="AO109" s="248" t="str">
        <v xml:space="preserve">157.91,13 </v>
      </c>
      <c r="AP109" s="248" t="str">
        <v/>
      </c>
      <c r="AQ109" s="248" t="str">
        <v/>
      </c>
      <c r="AR109" s="248" t="str">
        <v/>
      </c>
      <c r="AS109" s="248" t="str">
        <v/>
      </c>
      <c r="AT109" s="248" t="str">
        <v/>
      </c>
      <c r="AU109" s="248" t="str">
        <v/>
      </c>
      <c r="AV109" s="248" t="str">
        <v/>
      </c>
      <c r="AW109" s="248" t="str">
        <v/>
      </c>
      <c r="AX109" s="248" t="str">
        <v/>
      </c>
      <c r="AY109" s="248" t="str">
        <v/>
      </c>
      <c r="AZ109" s="248" t="str">
        <v/>
      </c>
      <c r="BA109" s="248" t="str">
        <v/>
      </c>
      <c r="BB109" s="248" t="str">
        <v/>
      </c>
      <c r="BC109" s="379">
        <f>Tools!AD14</f>
        <v>9</v>
      </c>
      <c r="BD109" s="379">
        <f>IFERROR(Tools!AD14*STN_GAP,"")</f>
        <v>65.789999999999992</v>
      </c>
      <c r="BE109" s="467">
        <f>IFERROR(IF(ISNUMBER(DE109),NA(),IF(AND($DF109&lt;&gt;0,$DG109&gt;BE$97),NA(),IF($BD109&gt;LBP/2,-(-Tools!AE14),-Tools!AE14))),NA())</f>
        <v>-9.6999999999999993</v>
      </c>
      <c r="BF109" s="379">
        <f>IFERROR(IF(AND($DF109&lt;&gt;0,$DG109&gt;BF$97),NA(),IF($BD109&gt;LBP/2,-(-Tools!AF14),-Tools!AF14)),NA())</f>
        <v>-10.45</v>
      </c>
      <c r="BG109" s="379">
        <f>IFERROR(IF(AND($DF109&lt;&gt;0,$DG109&gt;BG$97),NA(),IF($BD109&gt;LBP/2,-(-Tools!AG14),-Tools!AG14)),NA())</f>
        <v>-10.75</v>
      </c>
      <c r="BH109" s="379">
        <f>IFERROR(IF(AND($DF109&lt;&gt;0,$DG109&gt;BH$97),NA(),IF($BD109&gt;LBP/2,-(-Tools!AH14),-Tools!AH14)),NA())</f>
        <v>-10.93</v>
      </c>
      <c r="BI109" s="379">
        <f>IFERROR(IF(AND($DF109&lt;&gt;0,$DG109&gt;BI$97),NA(),IF($BD109&gt;LBP/2,-(-Tools!AI14),-Tools!AI14)),NA())</f>
        <v>-11</v>
      </c>
      <c r="BJ109" s="379">
        <f>IFERROR(IF(AND($DF109&lt;&gt;0,$DG109&gt;BJ$97),NA(),IF($BD109&gt;LBP/2,-(-Tools!AJ14),-Tools!AJ14)),NA())</f>
        <v>-11</v>
      </c>
      <c r="BK109" s="379">
        <f>IFERROR(IF(AND($DF109&lt;&gt;0,$DG109&gt;BK$97),NA(),IF($BD109&gt;LBP/2,-(-Tools!AK14),-Tools!AK14)),NA())</f>
        <v>-11</v>
      </c>
      <c r="BL109" s="379">
        <f>IFERROR(IF(AND($DF109&lt;&gt;0,$DG109&gt;BL$97),NA(),IF($BD109&gt;LBP/2,-(-Tools!AL14),-Tools!AL14)),NA())</f>
        <v>-11</v>
      </c>
      <c r="BM109" s="379">
        <f>IFERROR(IF(AND($DF109&lt;&gt;0,$DG109&gt;BM$97),NA(),IF($BD109&gt;LBP/2,-(-Tools!AM14),-Tools!AM14)),NA())</f>
        <v>-11</v>
      </c>
      <c r="BN109" s="379">
        <f>IFERROR(IF(AND($DF109&lt;&gt;0,$DG109&gt;BN$97),NA(),IF($BD109&gt;LBP/2,-(-Tools!AN14),-Tools!AN14)),NA())</f>
        <v>-11</v>
      </c>
      <c r="BO109" s="379">
        <f>IFERROR(IF(AND($DF109&lt;&gt;0,$DG109&gt;BO$97),NA(),IF($BD109&gt;LBP/2,-(-Tools!AO14),-Tools!AO14)),NA())</f>
        <v>-11</v>
      </c>
      <c r="BP109" s="379">
        <f>IFERROR(IF(AND($DF109&lt;&gt;0,$DG109&gt;BP$97),NA(),IF($BD109&gt;LBP/2,-(-Tools!AP14),-Tools!AP14)),NA())</f>
        <v>-11</v>
      </c>
      <c r="BQ109" s="379" t="e">
        <f>IFERROR(IF(AND($DF109&lt;&gt;0,$DG109&gt;BQ$97),NA(),IF($BD109&gt;LBP/2,-(-Tools!AQ14),-Tools!AQ14)),NA())</f>
        <v>#N/A</v>
      </c>
      <c r="BR109" s="379" t="e">
        <f>IFERROR(IF(AND($DF109&lt;&gt;0,$DG109&gt;BR$97),NA(),IF($BD109&gt;LBP/2,-(-Tools!AR14),-Tools!AR14)),NA())</f>
        <v>#N/A</v>
      </c>
      <c r="BS109" s="379" t="e">
        <f>IFERROR(IF(AND($DF109&lt;&gt;0,$DG109&gt;BS$97),NA(),IF($BD109&gt;LBP/2,-(-Tools!AS14),-Tools!AS14)),NA())</f>
        <v>#N/A</v>
      </c>
      <c r="BT109" s="379" t="e">
        <f>IFERROR(IF(AND($DF109&lt;&gt;0,$DG109&gt;BT$97),NA(),IF($BD109&gt;LBP/2,-(-Tools!AT14),-Tools!AT14)),NA())</f>
        <v>#N/A</v>
      </c>
      <c r="BU109" s="379" t="e">
        <f>IFERROR(IF(AND($DF109&lt;&gt;0,$DG109&gt;BU$97),NA(),IF($BD109&gt;LBP/2,-(-Tools!AU14),-Tools!AU14)),NA())</f>
        <v>#N/A</v>
      </c>
      <c r="BV109" s="379" t="e">
        <f>IFERROR(IF(AND($DF109&lt;&gt;0,$DG109&gt;BV$97),NA(),IF($BD109&gt;LBP/2,-(-Tools!AV14),-Tools!AV14)),NA())</f>
        <v>#N/A</v>
      </c>
      <c r="BW109" s="379" t="e">
        <f>IFERROR(IF(AND($DF109&lt;&gt;0,$DG109&gt;BW$97),NA(),IF($BD109&gt;LBP/2,-(-Tools!AW14),-Tools!AW14)),NA())</f>
        <v>#N/A</v>
      </c>
      <c r="BX109" s="379" t="e">
        <f>IFERROR(IF(AND($DF109&lt;&gt;0,$DG109&gt;BX$97),NA(),IF($BD109&gt;LBP/2,-(-Tools!AX14),-Tools!AX14)),NA())</f>
        <v>#N/A</v>
      </c>
      <c r="BY109" s="379" t="e">
        <f>IFERROR(IF(AND($DF109&lt;&gt;0,$DG109&gt;BY$97),NA(),IF($BD109&gt;LBP/2,-(-Tools!AY14),-Tools!AY14)),NA())</f>
        <v>#N/A</v>
      </c>
      <c r="BZ109" s="379" t="e">
        <f>IFERROR(IF(AND($DF109&lt;&gt;0,$DG109&gt;BZ$97),NA(),IF($BD109&gt;LBP/2,-(-Tools!AZ14),-Tools!AZ14)),NA())</f>
        <v>#N/A</v>
      </c>
      <c r="CA109" s="379" t="e">
        <f>IFERROR(IF(AND($DF109&lt;&gt;0,$DG109&gt;CA$97),NA(),IF($BD109&gt;LBP/2,-(-Tools!BA14),-Tools!BA14)),NA())</f>
        <v>#N/A</v>
      </c>
      <c r="CB109" s="379" t="e">
        <f>IFERROR(IF(AND($DF109&lt;&gt;0,$DG109&gt;CB$97),NA(),IF($BD109&gt;LBP/2,-(-Tools!BB14),-Tools!BB14)),NA())</f>
        <v>#N/A</v>
      </c>
      <c r="CC109" s="379" t="e">
        <f>IFERROR(IF(AND($DF109&lt;&gt;0,$DG109&gt;CC$97),NA(),IF($BD109&gt;LBP/2,-(-Tools!BC14),-Tools!BC14)),NA())</f>
        <v>#N/A</v>
      </c>
      <c r="CE109" s="429" t="b">
        <f t="shared" si="207"/>
        <v>0</v>
      </c>
      <c r="CF109" s="429" t="b">
        <f t="shared" si="208"/>
        <v>0</v>
      </c>
      <c r="CG109" s="429" t="b">
        <f t="shared" si="209"/>
        <v>0</v>
      </c>
      <c r="CH109" s="429" t="b">
        <f t="shared" si="210"/>
        <v>0</v>
      </c>
      <c r="CI109" s="429" t="b">
        <f t="shared" si="211"/>
        <v>0</v>
      </c>
      <c r="CJ109" s="429" t="b">
        <f t="shared" si="212"/>
        <v>0</v>
      </c>
      <c r="CK109" s="429" t="b">
        <f t="shared" si="213"/>
        <v>0</v>
      </c>
      <c r="CL109" s="429" t="b">
        <f t="shared" si="214"/>
        <v>0</v>
      </c>
      <c r="CM109" s="429" t="b">
        <f t="shared" si="215"/>
        <v>0</v>
      </c>
      <c r="CN109" s="429" t="b">
        <f t="shared" si="216"/>
        <v>0</v>
      </c>
      <c r="CO109" s="429" t="b">
        <f t="shared" si="217"/>
        <v>0</v>
      </c>
      <c r="CP109" s="429" t="b">
        <f t="shared" si="218"/>
        <v>0</v>
      </c>
      <c r="CQ109" s="429" t="b">
        <f t="shared" si="219"/>
        <v>0</v>
      </c>
      <c r="CR109" s="429" t="b">
        <f t="shared" si="220"/>
        <v>0</v>
      </c>
      <c r="CS109" s="429" t="b">
        <f t="shared" si="221"/>
        <v>0</v>
      </c>
      <c r="CT109" s="429" t="b">
        <f t="shared" si="222"/>
        <v>0</v>
      </c>
      <c r="CU109" s="429" t="b">
        <f t="shared" si="223"/>
        <v>0</v>
      </c>
      <c r="CV109" s="429" t="b">
        <f t="shared" si="224"/>
        <v>0</v>
      </c>
      <c r="CW109" s="429" t="b">
        <f t="shared" si="225"/>
        <v>0</v>
      </c>
      <c r="CX109" s="429" t="b">
        <f t="shared" si="226"/>
        <v>0</v>
      </c>
      <c r="CY109" s="429" t="b">
        <f t="shared" si="227"/>
        <v>0</v>
      </c>
      <c r="CZ109" s="429" t="b">
        <f t="shared" si="228"/>
        <v>0</v>
      </c>
      <c r="DA109" s="429" t="b">
        <f t="shared" si="229"/>
        <v>0</v>
      </c>
      <c r="DB109" s="429" t="b">
        <f t="shared" si="230"/>
        <v>0</v>
      </c>
      <c r="DC109" s="429"/>
      <c r="DD109" s="429">
        <f t="shared" si="260"/>
        <v>0</v>
      </c>
      <c r="DE109" s="429" t="str">
        <f t="shared" si="231"/>
        <v>-</v>
      </c>
      <c r="DF109" s="429">
        <f t="shared" si="232"/>
        <v>0</v>
      </c>
      <c r="DG109" s="429">
        <f t="shared" si="261"/>
        <v>0</v>
      </c>
      <c r="DH109" s="429">
        <f t="shared" si="262"/>
        <v>9</v>
      </c>
      <c r="DI109" s="429"/>
      <c r="DJ109" s="429" t="e">
        <f t="shared" si="263"/>
        <v>#N/A</v>
      </c>
      <c r="DK109" s="429">
        <f t="shared" si="180"/>
        <v>-9.6999999999999993</v>
      </c>
      <c r="DL109" s="429">
        <f t="shared" si="181"/>
        <v>-10.45</v>
      </c>
      <c r="DM109" s="429">
        <f t="shared" si="182"/>
        <v>-10.75</v>
      </c>
      <c r="DN109" s="429">
        <f t="shared" si="183"/>
        <v>-10.93</v>
      </c>
      <c r="DO109" s="429">
        <f t="shared" si="184"/>
        <v>-11</v>
      </c>
      <c r="DP109" s="429">
        <f t="shared" si="185"/>
        <v>-11</v>
      </c>
      <c r="DQ109" s="429">
        <f t="shared" si="186"/>
        <v>-11</v>
      </c>
      <c r="DR109" s="429">
        <f t="shared" si="187"/>
        <v>-11</v>
      </c>
      <c r="DS109" s="429">
        <f t="shared" si="188"/>
        <v>-11</v>
      </c>
      <c r="DT109" s="429">
        <f t="shared" si="189"/>
        <v>-11</v>
      </c>
      <c r="DU109" s="429">
        <f t="shared" si="190"/>
        <v>-11</v>
      </c>
      <c r="DV109" s="429">
        <f t="shared" si="191"/>
        <v>-11</v>
      </c>
      <c r="DW109" s="429" t="e">
        <f t="shared" si="192"/>
        <v>#N/A</v>
      </c>
      <c r="DX109" s="429" t="e">
        <f t="shared" si="193"/>
        <v>#N/A</v>
      </c>
      <c r="DY109" s="429" t="e">
        <f t="shared" si="194"/>
        <v>#N/A</v>
      </c>
      <c r="DZ109" s="429" t="e">
        <f t="shared" si="195"/>
        <v>#N/A</v>
      </c>
      <c r="EA109" s="429" t="e">
        <f t="shared" si="196"/>
        <v>#N/A</v>
      </c>
      <c r="EB109" s="429" t="e">
        <f t="shared" si="197"/>
        <v>#N/A</v>
      </c>
      <c r="EC109" s="429" t="e">
        <f t="shared" si="198"/>
        <v>#N/A</v>
      </c>
      <c r="ED109" s="429" t="e">
        <f t="shared" si="199"/>
        <v>#N/A</v>
      </c>
      <c r="EE109" s="429" t="e">
        <f t="shared" si="200"/>
        <v>#N/A</v>
      </c>
      <c r="EF109" s="429" t="e">
        <f t="shared" si="201"/>
        <v>#N/A</v>
      </c>
      <c r="EG109" s="429" t="e">
        <f t="shared" si="202"/>
        <v>#N/A</v>
      </c>
      <c r="EH109" s="429" t="e">
        <f t="shared" si="203"/>
        <v>#N/A</v>
      </c>
      <c r="EI109" s="429" t="e">
        <f t="shared" si="204"/>
        <v>#N/A</v>
      </c>
      <c r="EJ109" s="429"/>
      <c r="EK109" s="429"/>
      <c r="EL109" s="429" t="e">
        <f t="shared" si="233"/>
        <v>#N/A</v>
      </c>
      <c r="EM109" s="429">
        <f t="shared" si="264"/>
        <v>0</v>
      </c>
      <c r="EN109" s="429">
        <f t="shared" si="235"/>
        <v>0.5</v>
      </c>
      <c r="EO109" s="429">
        <f t="shared" si="236"/>
        <v>1</v>
      </c>
      <c r="EP109" s="429">
        <f t="shared" si="237"/>
        <v>1.5</v>
      </c>
      <c r="EQ109" s="429">
        <f t="shared" si="238"/>
        <v>2</v>
      </c>
      <c r="ER109" s="429">
        <f t="shared" si="239"/>
        <v>4</v>
      </c>
      <c r="ES109" s="429">
        <f t="shared" si="240"/>
        <v>6</v>
      </c>
      <c r="ET109" s="429">
        <f t="shared" si="241"/>
        <v>8</v>
      </c>
      <c r="EU109" s="429">
        <f t="shared" si="242"/>
        <v>9.6999999999999993</v>
      </c>
      <c r="EV109" s="429">
        <f t="shared" si="243"/>
        <v>10</v>
      </c>
      <c r="EW109" s="429">
        <f t="shared" si="244"/>
        <v>12</v>
      </c>
      <c r="EX109" s="429">
        <f t="shared" si="245"/>
        <v>13</v>
      </c>
      <c r="EY109" s="429" t="e">
        <f t="shared" si="246"/>
        <v>#N/A</v>
      </c>
      <c r="EZ109" s="429" t="e">
        <f t="shared" si="247"/>
        <v>#N/A</v>
      </c>
      <c r="FA109" s="429" t="e">
        <f t="shared" si="248"/>
        <v>#N/A</v>
      </c>
      <c r="FB109" s="429" t="e">
        <f t="shared" si="249"/>
        <v>#N/A</v>
      </c>
      <c r="FC109" s="429" t="e">
        <f t="shared" si="250"/>
        <v>#N/A</v>
      </c>
      <c r="FD109" s="429" t="e">
        <f t="shared" si="251"/>
        <v>#N/A</v>
      </c>
      <c r="FE109" s="429" t="e">
        <f t="shared" si="252"/>
        <v>#N/A</v>
      </c>
      <c r="FF109" s="429" t="e">
        <f t="shared" si="253"/>
        <v>#N/A</v>
      </c>
      <c r="FG109" s="429" t="e">
        <f t="shared" si="254"/>
        <v>#N/A</v>
      </c>
      <c r="FH109" s="429" t="e">
        <f t="shared" si="255"/>
        <v>#N/A</v>
      </c>
      <c r="FI109" s="429" t="e">
        <f t="shared" si="256"/>
        <v>#N/A</v>
      </c>
      <c r="FJ109" s="429" t="e">
        <f t="shared" si="257"/>
        <v>#N/A</v>
      </c>
      <c r="FK109" s="429" t="e">
        <f t="shared" si="258"/>
        <v>#N/A</v>
      </c>
    </row>
    <row r="110" spans="1:167" x14ac:dyDescent="0.25">
      <c r="A110" s="377" t="str">
        <f t="shared" si="206"/>
        <v xml:space="preserve">  </v>
      </c>
      <c r="B110" s="380" t="str">
        <f>IFERROR(IF(ISERROR(CP139),"",CONCATENATE(ROUND(X_SHIFT_BP+IF(Tools!B$97&lt;=Tools!$D$47/2,-BF15,BF15),3),",",ROUND(WLS*$AP51,3)," ")),"")</f>
        <v/>
      </c>
      <c r="C110" s="380" t="str">
        <f>IFERROR(IF(ISERROR(CQ139),"",CONCATENATE(ROUND(X_SHIFT_BP+IF(Tools!C$97&lt;=Tools!$D$47/2,-BG15,BG15),3),",",ROUND(WLS*$AP51,3)," ")),"")</f>
        <v/>
      </c>
      <c r="D110" s="380" t="str">
        <f>IFERROR(IF(ISERROR(CR139),"",CONCATENATE(ROUND(X_SHIFT_BP+IF(Tools!D$97&lt;=Tools!$D$47/2,-BH15,BH15),3),",",ROUND(WLS*$AP51,3)," ")),"")</f>
        <v/>
      </c>
      <c r="E110" s="380" t="str">
        <f>IFERROR(IF(ISERROR(CS139),"",CONCATENATE(ROUND(X_SHIFT_BP+IF(Tools!E$97&lt;=Tools!$D$47/2,-BI15,BI15),3),",",ROUND(WLS*$AP51,3)," ")),"")</f>
        <v/>
      </c>
      <c r="F110" s="380" t="str">
        <f>IFERROR(IF(ISERROR(CT139),"",CONCATENATE(ROUND(X_SHIFT_BP+IF(Tools!F$97&lt;=Tools!$D$47/2,-BJ15,BJ15),3),",",ROUND(WLS*$AP51,3)," ")),"")</f>
        <v/>
      </c>
      <c r="G110" s="380" t="str">
        <f>IFERROR(IF(ISERROR(CU139),"",CONCATENATE(ROUND(X_SHIFT_BP+IF(Tools!G$97&lt;=Tools!$D$47/2,-BK15,BK15),3),",",ROUND(WLS*$AP51,3)," ")),"")</f>
        <v/>
      </c>
      <c r="H110" s="380" t="str">
        <f>IFERROR(IF(ISERROR(CV139),"",CONCATENATE(ROUND(X_SHIFT_BP+IF(Tools!H$97&lt;=Tools!$D$47/2,-BL15,BL15),3),",",ROUND(WLS*$AP51,3)," ")),"")</f>
        <v/>
      </c>
      <c r="I110" s="380" t="str">
        <f>IFERROR(IF(ISERROR(CW139),"",CONCATENATE(ROUND(X_SHIFT_BP+IF(Tools!I$97&lt;=Tools!$D$47/2,-BM15,BM15),3),",",ROUND(WLS*$AP51,3)," ")),"")</f>
        <v/>
      </c>
      <c r="J110" s="380" t="str">
        <f>IFERROR(IF(ISERROR(CX139),"",CONCATENATE(ROUND(X_SHIFT_BP+IF(Tools!J$97&lt;=Tools!$D$47/2,-BN15,BN15),3),",",ROUND(WLS*$AP51,3)," ")),"")</f>
        <v/>
      </c>
      <c r="K110" s="380" t="str">
        <f>IFERROR(IF(ISERROR(CY139),"",CONCATENATE(ROUND(X_SHIFT_BP+IF(Tools!K$97&lt;=Tools!$D$47/2,-BO15,BO15),3),",",ROUND(WLS*$AP51,3)," ")),"")</f>
        <v/>
      </c>
      <c r="L110" s="380" t="str">
        <f>IFERROR(IF(ISERROR(CZ139),"",CONCATENATE(ROUND(X_SHIFT_BP+IF(Tools!L$97&lt;=Tools!$D$47/2,-BP15,BP15),3),",",ROUND(WLS*$AP51,3)," ")),"")</f>
        <v/>
      </c>
      <c r="M110" s="380" t="str">
        <f>IFERROR(IF(ISERROR(DA139),"",CONCATENATE(ROUND(X_SHIFT_BP+IF(Tools!M$97&lt;=Tools!$D$47/2,-BQ15,BQ15),3),",",ROUND(WLS*$AP51,3)," ")),"")</f>
        <v/>
      </c>
      <c r="N110" s="380" t="str">
        <f>IFERROR(IF(ISERROR(DB139),"",CONCATENATE(ROUND(X_SHIFT_BP+IF(Tools!N$97&lt;=Tools!$D$47/2,-BR15,BR15),3),",",ROUND(WLS*$AP51,3)," ")),"")</f>
        <v/>
      </c>
      <c r="O110" s="380" t="str">
        <f>IFERROR(IF(ISERROR(DC139),"",CONCATENATE(ROUND(X_SHIFT_BP+IF(Tools!O$97&lt;=Tools!$D$47/2,-BS15,BS15),3),",",ROUND(WLS*$AP51,3)," ")),"")</f>
        <v/>
      </c>
      <c r="P110" s="380" t="str">
        <f>IFERROR(IF(ISERROR(DD139),"",CONCATENATE(ROUND(X_SHIFT_BP+IF(Tools!P$97&lt;=Tools!$D$47/2,-BT15,BT15),3),",",ROUND(WLS*$AP51,3)," ")),"")</f>
        <v/>
      </c>
      <c r="Q110" s="380" t="str">
        <f>IFERROR(IF(ISERROR(DE139),"",CONCATENATE(ROUND(X_SHIFT_BP+IF(Tools!Q$97&lt;=Tools!$D$47/2,-BU15,BU15),3),",",ROUND(WLS*$AP51,3)," ")),"")</f>
        <v/>
      </c>
      <c r="R110" s="380" t="str">
        <f>IFERROR(IF(ISERROR(DF139),"",CONCATENATE(ROUND(X_SHIFT_BP+IF(Tools!R$97&lt;=Tools!$D$47/2,-BV15,BV15),3),",",ROUND(WLS*$AP51,3)," ")),"")</f>
        <v/>
      </c>
      <c r="S110" s="380" t="str">
        <f>IFERROR(IF(ISERROR(DG139),"",CONCATENATE(ROUND(X_SHIFT_BP+IF(Tools!S$97&lt;=Tools!$D$47/2,-BW15,BW15),3),",",ROUND(WLS*$AP51,3)," ")),"")</f>
        <v/>
      </c>
      <c r="T110" s="380" t="str">
        <f>IFERROR(IF(ISERROR(DH139),"",CONCATENATE(ROUND(X_SHIFT_BP+IF(Tools!T$97&lt;=Tools!$D$47/2,-BX15,BX15),3),",",ROUND(WLS*$AP51,3)," ")),"")</f>
        <v/>
      </c>
      <c r="U110" s="380" t="str">
        <f>IFERROR(IF(ISERROR(DI139),"",CONCATENATE(ROUND(X_SHIFT_BP+IF(Tools!U$97&lt;=Tools!$D$47/2,-BY15,BY15),3),",",ROUND(WLS*$AP51,3)," ")),"")</f>
        <v/>
      </c>
      <c r="V110" s="380" t="str">
        <f>IFERROR(IF(ISERROR(DJ139),"",CONCATENATE(ROUND(X_SHIFT_BP+IF(Tools!V$97&lt;=Tools!$D$47/2,-BZ15,BZ15),3),",",ROUND(WLS*$AP51,3)," ")),"")</f>
        <v/>
      </c>
      <c r="W110" s="380" t="str">
        <f>IFERROR(IF(ISERROR(DK139),"",CONCATENATE(ROUND(X_SHIFT_BP+IF(Tools!W$97&lt;=Tools!$D$47/2,-CA15,CA15),3),",",ROUND(WLS*$AP51,3)," ")),"")</f>
        <v/>
      </c>
      <c r="X110" s="380" t="str">
        <f>IFERROR(IF(ISERROR(DL139),"",CONCATENATE(ROUND(X_SHIFT_BP+IF(Tools!X$97&lt;=Tools!$D$47/2,-CB15,CB15),3),",",ROUND(WLS*$AP51,3)," ")),"")</f>
        <v/>
      </c>
      <c r="Y110" s="380" t="str">
        <f>IFERROR(IF(ISERROR(DM139),"",CONCATENATE(ROUND(X_SHIFT_BP+IF(Tools!Y$97&lt;=Tools!$D$47/2,-CC15,CC15),3),",",ROUND(WLS*$AP51,3)," ")),"")</f>
        <v/>
      </c>
      <c r="Z110" s="380" t="str">
        <f>IFERROR(IF(ISERROR(DN139),"",CONCATENATE(ROUND(X_SHIFT_BP+IF(Tools!Z$97&lt;=Tools!$D$47/2,-CD15,CD15),3),",",ROUND(WLS*$AP51,3)," ")),"")</f>
        <v/>
      </c>
      <c r="AA110" s="132">
        <v>12</v>
      </c>
      <c r="AB110" s="248" t="str">
        <f t="shared" si="259"/>
        <v xml:space="preserve">Spline </v>
      </c>
      <c r="AC110" s="132" t="str">
        <v/>
      </c>
      <c r="AD110" s="248" t="str">
        <v xml:space="preserve">159.21,0 </v>
      </c>
      <c r="AE110" s="248" t="str">
        <v xml:space="preserve">158.46,0.5 </v>
      </c>
      <c r="AF110" s="248" t="str">
        <v xml:space="preserve">158.16,1 </v>
      </c>
      <c r="AG110" s="248" t="str">
        <v xml:space="preserve">157.98,1.5 </v>
      </c>
      <c r="AH110" s="248" t="str">
        <v xml:space="preserve">157.91,2 </v>
      </c>
      <c r="AI110" s="248" t="str">
        <v xml:space="preserve">157.91,4 </v>
      </c>
      <c r="AJ110" s="248" t="str">
        <v xml:space="preserve">157.91,6 </v>
      </c>
      <c r="AK110" s="248" t="str">
        <v xml:space="preserve">157.91,8 </v>
      </c>
      <c r="AL110" s="248" t="str">
        <v xml:space="preserve">157.91,9.7 </v>
      </c>
      <c r="AM110" s="248" t="str">
        <v xml:space="preserve">157.91,10 </v>
      </c>
      <c r="AN110" s="248" t="str">
        <v xml:space="preserve">157.91,12 </v>
      </c>
      <c r="AO110" s="248" t="str">
        <v xml:space="preserve">157.91,13 </v>
      </c>
      <c r="AP110" s="248" t="str">
        <v/>
      </c>
      <c r="AQ110" s="248" t="str">
        <v/>
      </c>
      <c r="AR110" s="248" t="str">
        <v/>
      </c>
      <c r="AS110" s="248" t="str">
        <v/>
      </c>
      <c r="AT110" s="248" t="str">
        <v/>
      </c>
      <c r="AU110" s="248" t="str">
        <v/>
      </c>
      <c r="AV110" s="248" t="str">
        <v/>
      </c>
      <c r="AW110" s="248" t="str">
        <v/>
      </c>
      <c r="AX110" s="248" t="str">
        <v/>
      </c>
      <c r="AY110" s="248" t="str">
        <v/>
      </c>
      <c r="AZ110" s="248" t="str">
        <v/>
      </c>
      <c r="BA110" s="248" t="str">
        <v/>
      </c>
      <c r="BB110" s="248" t="str">
        <v/>
      </c>
      <c r="BC110" s="379">
        <f>Tools!AD15</f>
        <v>10</v>
      </c>
      <c r="BD110" s="379">
        <f>IFERROR(Tools!AD15*STN_GAP,"")</f>
        <v>73.099999999999994</v>
      </c>
      <c r="BE110" s="467">
        <f>IFERROR(IF(ISNUMBER(DE110),NA(),IF(AND($DF110&lt;&gt;0,$DG110&gt;BE$97),NA(),IF($BD110&gt;LBP/2,-(-Tools!AE15),-Tools!AE15))),NA())</f>
        <v>-9.6999999999999993</v>
      </c>
      <c r="BF110" s="379">
        <f>IFERROR(IF(AND($DF110&lt;&gt;0,$DG110&gt;BF$97),NA(),IF($BD110&gt;LBP/2,-(-Tools!AF15),-Tools!AF15)),NA())</f>
        <v>-10.45</v>
      </c>
      <c r="BG110" s="379">
        <f>IFERROR(IF(AND($DF110&lt;&gt;0,$DG110&gt;BG$97),NA(),IF($BD110&gt;LBP/2,-(-Tools!AG15),-Tools!AG15)),NA())</f>
        <v>-10.75</v>
      </c>
      <c r="BH110" s="379">
        <f>IFERROR(IF(AND($DF110&lt;&gt;0,$DG110&gt;BH$97),NA(),IF($BD110&gt;LBP/2,-(-Tools!AH15),-Tools!AH15)),NA())</f>
        <v>-10.93</v>
      </c>
      <c r="BI110" s="379">
        <f>IFERROR(IF(AND($DF110&lt;&gt;0,$DG110&gt;BI$97),NA(),IF($BD110&gt;LBP/2,-(-Tools!AI15),-Tools!AI15)),NA())</f>
        <v>-11</v>
      </c>
      <c r="BJ110" s="379">
        <f>IFERROR(IF(AND($DF110&lt;&gt;0,$DG110&gt;BJ$97),NA(),IF($BD110&gt;LBP/2,-(-Tools!AJ15),-Tools!AJ15)),NA())</f>
        <v>-11</v>
      </c>
      <c r="BK110" s="379">
        <f>IFERROR(IF(AND($DF110&lt;&gt;0,$DG110&gt;BK$97),NA(),IF($BD110&gt;LBP/2,-(-Tools!AK15),-Tools!AK15)),NA())</f>
        <v>-11</v>
      </c>
      <c r="BL110" s="379">
        <f>IFERROR(IF(AND($DF110&lt;&gt;0,$DG110&gt;BL$97),NA(),IF($BD110&gt;LBP/2,-(-Tools!AL15),-Tools!AL15)),NA())</f>
        <v>-11</v>
      </c>
      <c r="BM110" s="379">
        <f>IFERROR(IF(AND($DF110&lt;&gt;0,$DG110&gt;BM$97),NA(),IF($BD110&gt;LBP/2,-(-Tools!AM15),-Tools!AM15)),NA())</f>
        <v>-11</v>
      </c>
      <c r="BN110" s="379">
        <f>IFERROR(IF(AND($DF110&lt;&gt;0,$DG110&gt;BN$97),NA(),IF($BD110&gt;LBP/2,-(-Tools!AN15),-Tools!AN15)),NA())</f>
        <v>-11</v>
      </c>
      <c r="BO110" s="379">
        <f>IFERROR(IF(AND($DF110&lt;&gt;0,$DG110&gt;BO$97),NA(),IF($BD110&gt;LBP/2,-(-Tools!AO15),-Tools!AO15)),NA())</f>
        <v>-11</v>
      </c>
      <c r="BP110" s="379">
        <f>IFERROR(IF(AND($DF110&lt;&gt;0,$DG110&gt;BP$97),NA(),IF($BD110&gt;LBP/2,-(-Tools!AP15),-Tools!AP15)),NA())</f>
        <v>-11</v>
      </c>
      <c r="BQ110" s="379" t="e">
        <f>IFERROR(IF(AND($DF110&lt;&gt;0,$DG110&gt;BQ$97),NA(),IF($BD110&gt;LBP/2,-(-Tools!AQ15),-Tools!AQ15)),NA())</f>
        <v>#N/A</v>
      </c>
      <c r="BR110" s="379" t="e">
        <f>IFERROR(IF(AND($DF110&lt;&gt;0,$DG110&gt;BR$97),NA(),IF($BD110&gt;LBP/2,-(-Tools!AR15),-Tools!AR15)),NA())</f>
        <v>#N/A</v>
      </c>
      <c r="BS110" s="379" t="e">
        <f>IFERROR(IF(AND($DF110&lt;&gt;0,$DG110&gt;BS$97),NA(),IF($BD110&gt;LBP/2,-(-Tools!AS15),-Tools!AS15)),NA())</f>
        <v>#N/A</v>
      </c>
      <c r="BT110" s="379" t="e">
        <f>IFERROR(IF(AND($DF110&lt;&gt;0,$DG110&gt;BT$97),NA(),IF($BD110&gt;LBP/2,-(-Tools!AT15),-Tools!AT15)),NA())</f>
        <v>#N/A</v>
      </c>
      <c r="BU110" s="379" t="e">
        <f>IFERROR(IF(AND($DF110&lt;&gt;0,$DG110&gt;BU$97),NA(),IF($BD110&gt;LBP/2,-(-Tools!AU15),-Tools!AU15)),NA())</f>
        <v>#N/A</v>
      </c>
      <c r="BV110" s="379" t="e">
        <f>IFERROR(IF(AND($DF110&lt;&gt;0,$DG110&gt;BV$97),NA(),IF($BD110&gt;LBP/2,-(-Tools!AV15),-Tools!AV15)),NA())</f>
        <v>#N/A</v>
      </c>
      <c r="BW110" s="379" t="e">
        <f>IFERROR(IF(AND($DF110&lt;&gt;0,$DG110&gt;BW$97),NA(),IF($BD110&gt;LBP/2,-(-Tools!AW15),-Tools!AW15)),NA())</f>
        <v>#N/A</v>
      </c>
      <c r="BX110" s="379" t="e">
        <f>IFERROR(IF(AND($DF110&lt;&gt;0,$DG110&gt;BX$97),NA(),IF($BD110&gt;LBP/2,-(-Tools!AX15),-Tools!AX15)),NA())</f>
        <v>#N/A</v>
      </c>
      <c r="BY110" s="379" t="e">
        <f>IFERROR(IF(AND($DF110&lt;&gt;0,$DG110&gt;BY$97),NA(),IF($BD110&gt;LBP/2,-(-Tools!AY15),-Tools!AY15)),NA())</f>
        <v>#N/A</v>
      </c>
      <c r="BZ110" s="379" t="e">
        <f>IFERROR(IF(AND($DF110&lt;&gt;0,$DG110&gt;BZ$97),NA(),IF($BD110&gt;LBP/2,-(-Tools!AZ15),-Tools!AZ15)),NA())</f>
        <v>#N/A</v>
      </c>
      <c r="CA110" s="379" t="e">
        <f>IFERROR(IF(AND($DF110&lt;&gt;0,$DG110&gt;CA$97),NA(),IF($BD110&gt;LBP/2,-(-Tools!BA15),-Tools!BA15)),NA())</f>
        <v>#N/A</v>
      </c>
      <c r="CB110" s="379" t="e">
        <f>IFERROR(IF(AND($DF110&lt;&gt;0,$DG110&gt;CB$97),NA(),IF($BD110&gt;LBP/2,-(-Tools!BB15),-Tools!BB15)),NA())</f>
        <v>#N/A</v>
      </c>
      <c r="CC110" s="379" t="e">
        <f>IFERROR(IF(AND($DF110&lt;&gt;0,$DG110&gt;CC$97),NA(),IF($BD110&gt;LBP/2,-(-Tools!BC15),-Tools!BC15)),NA())</f>
        <v>#N/A</v>
      </c>
      <c r="CE110" s="429" t="b">
        <f t="shared" si="207"/>
        <v>0</v>
      </c>
      <c r="CF110" s="429" t="b">
        <f t="shared" si="208"/>
        <v>0</v>
      </c>
      <c r="CG110" s="429" t="b">
        <f t="shared" si="209"/>
        <v>0</v>
      </c>
      <c r="CH110" s="429" t="b">
        <f t="shared" si="210"/>
        <v>0</v>
      </c>
      <c r="CI110" s="429" t="b">
        <f t="shared" si="211"/>
        <v>0</v>
      </c>
      <c r="CJ110" s="429" t="b">
        <f t="shared" si="212"/>
        <v>0</v>
      </c>
      <c r="CK110" s="429" t="b">
        <f t="shared" si="213"/>
        <v>0</v>
      </c>
      <c r="CL110" s="429" t="b">
        <f t="shared" si="214"/>
        <v>0</v>
      </c>
      <c r="CM110" s="429" t="b">
        <f t="shared" si="215"/>
        <v>0</v>
      </c>
      <c r="CN110" s="429" t="b">
        <f t="shared" si="216"/>
        <v>0</v>
      </c>
      <c r="CO110" s="429" t="b">
        <f t="shared" si="217"/>
        <v>0</v>
      </c>
      <c r="CP110" s="429" t="b">
        <f t="shared" si="218"/>
        <v>0</v>
      </c>
      <c r="CQ110" s="429" t="b">
        <f t="shared" si="219"/>
        <v>0</v>
      </c>
      <c r="CR110" s="429" t="b">
        <f t="shared" si="220"/>
        <v>0</v>
      </c>
      <c r="CS110" s="429" t="b">
        <f t="shared" si="221"/>
        <v>0</v>
      </c>
      <c r="CT110" s="429" t="b">
        <f t="shared" si="222"/>
        <v>0</v>
      </c>
      <c r="CU110" s="429" t="b">
        <f t="shared" si="223"/>
        <v>0</v>
      </c>
      <c r="CV110" s="429" t="b">
        <f t="shared" si="224"/>
        <v>0</v>
      </c>
      <c r="CW110" s="429" t="b">
        <f t="shared" si="225"/>
        <v>0</v>
      </c>
      <c r="CX110" s="429" t="b">
        <f t="shared" si="226"/>
        <v>0</v>
      </c>
      <c r="CY110" s="429" t="b">
        <f t="shared" si="227"/>
        <v>0</v>
      </c>
      <c r="CZ110" s="429" t="b">
        <f t="shared" si="228"/>
        <v>0</v>
      </c>
      <c r="DA110" s="429" t="b">
        <f t="shared" si="229"/>
        <v>0</v>
      </c>
      <c r="DB110" s="429" t="b">
        <f t="shared" si="230"/>
        <v>0</v>
      </c>
      <c r="DC110" s="429"/>
      <c r="DD110" s="429">
        <f t="shared" si="260"/>
        <v>0</v>
      </c>
      <c r="DE110" s="429" t="str">
        <f t="shared" si="231"/>
        <v>-</v>
      </c>
      <c r="DF110" s="429">
        <f t="shared" si="232"/>
        <v>0</v>
      </c>
      <c r="DG110" s="429">
        <f t="shared" si="261"/>
        <v>0</v>
      </c>
      <c r="DH110" s="429">
        <f t="shared" si="262"/>
        <v>10</v>
      </c>
      <c r="DI110" s="429"/>
      <c r="DJ110" s="429" t="e">
        <f t="shared" si="263"/>
        <v>#N/A</v>
      </c>
      <c r="DK110" s="429">
        <f t="shared" si="180"/>
        <v>-9.6999999999999993</v>
      </c>
      <c r="DL110" s="429">
        <f t="shared" si="181"/>
        <v>-10.45</v>
      </c>
      <c r="DM110" s="429">
        <f t="shared" si="182"/>
        <v>-10.75</v>
      </c>
      <c r="DN110" s="429">
        <f t="shared" si="183"/>
        <v>-10.93</v>
      </c>
      <c r="DO110" s="429">
        <f t="shared" si="184"/>
        <v>-11</v>
      </c>
      <c r="DP110" s="429">
        <f t="shared" si="185"/>
        <v>-11</v>
      </c>
      <c r="DQ110" s="429">
        <f t="shared" si="186"/>
        <v>-11</v>
      </c>
      <c r="DR110" s="429">
        <f t="shared" si="187"/>
        <v>-11</v>
      </c>
      <c r="DS110" s="429">
        <f t="shared" si="188"/>
        <v>-11</v>
      </c>
      <c r="DT110" s="429">
        <f t="shared" si="189"/>
        <v>-11</v>
      </c>
      <c r="DU110" s="429">
        <f t="shared" si="190"/>
        <v>-11</v>
      </c>
      <c r="DV110" s="429">
        <f t="shared" si="191"/>
        <v>-11</v>
      </c>
      <c r="DW110" s="429" t="e">
        <f t="shared" si="192"/>
        <v>#N/A</v>
      </c>
      <c r="DX110" s="429" t="e">
        <f t="shared" si="193"/>
        <v>#N/A</v>
      </c>
      <c r="DY110" s="429" t="e">
        <f t="shared" si="194"/>
        <v>#N/A</v>
      </c>
      <c r="DZ110" s="429" t="e">
        <f t="shared" si="195"/>
        <v>#N/A</v>
      </c>
      <c r="EA110" s="429" t="e">
        <f t="shared" si="196"/>
        <v>#N/A</v>
      </c>
      <c r="EB110" s="429" t="e">
        <f t="shared" si="197"/>
        <v>#N/A</v>
      </c>
      <c r="EC110" s="429" t="e">
        <f t="shared" si="198"/>
        <v>#N/A</v>
      </c>
      <c r="ED110" s="429" t="e">
        <f t="shared" si="199"/>
        <v>#N/A</v>
      </c>
      <c r="EE110" s="429" t="e">
        <f t="shared" si="200"/>
        <v>#N/A</v>
      </c>
      <c r="EF110" s="429" t="e">
        <f t="shared" si="201"/>
        <v>#N/A</v>
      </c>
      <c r="EG110" s="429" t="e">
        <f t="shared" si="202"/>
        <v>#N/A</v>
      </c>
      <c r="EH110" s="429" t="e">
        <f t="shared" si="203"/>
        <v>#N/A</v>
      </c>
      <c r="EI110" s="429" t="e">
        <f t="shared" si="204"/>
        <v>#N/A</v>
      </c>
      <c r="EJ110" s="429"/>
      <c r="EK110" s="429"/>
      <c r="EL110" s="429" t="e">
        <f t="shared" si="233"/>
        <v>#N/A</v>
      </c>
      <c r="EM110" s="429">
        <f t="shared" si="264"/>
        <v>0</v>
      </c>
      <c r="EN110" s="429">
        <f t="shared" si="235"/>
        <v>0.5</v>
      </c>
      <c r="EO110" s="429">
        <f t="shared" si="236"/>
        <v>1</v>
      </c>
      <c r="EP110" s="429">
        <f t="shared" si="237"/>
        <v>1.5</v>
      </c>
      <c r="EQ110" s="429">
        <f t="shared" si="238"/>
        <v>2</v>
      </c>
      <c r="ER110" s="429">
        <f t="shared" si="239"/>
        <v>4</v>
      </c>
      <c r="ES110" s="429">
        <f t="shared" si="240"/>
        <v>6</v>
      </c>
      <c r="ET110" s="429">
        <f t="shared" si="241"/>
        <v>8</v>
      </c>
      <c r="EU110" s="429">
        <f t="shared" si="242"/>
        <v>9.6999999999999993</v>
      </c>
      <c r="EV110" s="429">
        <f t="shared" si="243"/>
        <v>10</v>
      </c>
      <c r="EW110" s="429">
        <f t="shared" si="244"/>
        <v>12</v>
      </c>
      <c r="EX110" s="429">
        <f t="shared" si="245"/>
        <v>13</v>
      </c>
      <c r="EY110" s="429" t="e">
        <f t="shared" si="246"/>
        <v>#N/A</v>
      </c>
      <c r="EZ110" s="429" t="e">
        <f t="shared" si="247"/>
        <v>#N/A</v>
      </c>
      <c r="FA110" s="429" t="e">
        <f t="shared" si="248"/>
        <v>#N/A</v>
      </c>
      <c r="FB110" s="429" t="e">
        <f t="shared" si="249"/>
        <v>#N/A</v>
      </c>
      <c r="FC110" s="429" t="e">
        <f t="shared" si="250"/>
        <v>#N/A</v>
      </c>
      <c r="FD110" s="429" t="e">
        <f t="shared" si="251"/>
        <v>#N/A</v>
      </c>
      <c r="FE110" s="429" t="e">
        <f t="shared" si="252"/>
        <v>#N/A</v>
      </c>
      <c r="FF110" s="429" t="e">
        <f t="shared" si="253"/>
        <v>#N/A</v>
      </c>
      <c r="FG110" s="429" t="e">
        <f t="shared" si="254"/>
        <v>#N/A</v>
      </c>
      <c r="FH110" s="429" t="e">
        <f t="shared" si="255"/>
        <v>#N/A</v>
      </c>
      <c r="FI110" s="429" t="e">
        <f t="shared" si="256"/>
        <v>#N/A</v>
      </c>
      <c r="FJ110" s="429" t="e">
        <f t="shared" si="257"/>
        <v>#N/A</v>
      </c>
      <c r="FK110" s="429" t="e">
        <f t="shared" si="258"/>
        <v>#N/A</v>
      </c>
    </row>
    <row r="111" spans="1:167" x14ac:dyDescent="0.25">
      <c r="A111" s="377" t="str">
        <f t="shared" si="206"/>
        <v xml:space="preserve">  </v>
      </c>
      <c r="B111" s="380" t="str">
        <f>IFERROR(IF(ISERROR(CP140),"",CONCATENATE(ROUND(X_SHIFT_BP+IF(Tools!B$97&lt;=Tools!$D$47/2,-BF16,BF16),3),",",ROUND(WLS*$AP52,3)," ")),"")</f>
        <v/>
      </c>
      <c r="C111" s="380" t="str">
        <f>IFERROR(IF(ISERROR(CQ140),"",CONCATENATE(ROUND(X_SHIFT_BP+IF(Tools!C$97&lt;=Tools!$D$47/2,-BG16,BG16),3),",",ROUND(WLS*$AP52,3)," ")),"")</f>
        <v/>
      </c>
      <c r="D111" s="380" t="str">
        <f>IFERROR(IF(ISERROR(CR140),"",CONCATENATE(ROUND(X_SHIFT_BP+IF(Tools!D$97&lt;=Tools!$D$47/2,-BH16,BH16),3),",",ROUND(WLS*$AP52,3)," ")),"")</f>
        <v/>
      </c>
      <c r="E111" s="380" t="str">
        <f>IFERROR(IF(ISERROR(CS140),"",CONCATENATE(ROUND(X_SHIFT_BP+IF(Tools!E$97&lt;=Tools!$D$47/2,-BI16,BI16),3),",",ROUND(WLS*$AP52,3)," ")),"")</f>
        <v/>
      </c>
      <c r="F111" s="380" t="str">
        <f>IFERROR(IF(ISERROR(CT140),"",CONCATENATE(ROUND(X_SHIFT_BP+IF(Tools!F$97&lt;=Tools!$D$47/2,-BJ16,BJ16),3),",",ROUND(WLS*$AP52,3)," ")),"")</f>
        <v/>
      </c>
      <c r="G111" s="380" t="str">
        <f>IFERROR(IF(ISERROR(CU140),"",CONCATENATE(ROUND(X_SHIFT_BP+IF(Tools!G$97&lt;=Tools!$D$47/2,-BK16,BK16),3),",",ROUND(WLS*$AP52,3)," ")),"")</f>
        <v/>
      </c>
      <c r="H111" s="380" t="str">
        <f>IFERROR(IF(ISERROR(CV140),"",CONCATENATE(ROUND(X_SHIFT_BP+IF(Tools!H$97&lt;=Tools!$D$47/2,-BL16,BL16),3),",",ROUND(WLS*$AP52,3)," ")),"")</f>
        <v/>
      </c>
      <c r="I111" s="380" t="str">
        <f>IFERROR(IF(ISERROR(CW140),"",CONCATENATE(ROUND(X_SHIFT_BP+IF(Tools!I$97&lt;=Tools!$D$47/2,-BM16,BM16),3),",",ROUND(WLS*$AP52,3)," ")),"")</f>
        <v/>
      </c>
      <c r="J111" s="380" t="str">
        <f>IFERROR(IF(ISERROR(CX140),"",CONCATENATE(ROUND(X_SHIFT_BP+IF(Tools!J$97&lt;=Tools!$D$47/2,-BN16,BN16),3),",",ROUND(WLS*$AP52,3)," ")),"")</f>
        <v/>
      </c>
      <c r="K111" s="380" t="str">
        <f>IFERROR(IF(ISERROR(CY140),"",CONCATENATE(ROUND(X_SHIFT_BP+IF(Tools!K$97&lt;=Tools!$D$47/2,-BO16,BO16),3),",",ROUND(WLS*$AP52,3)," ")),"")</f>
        <v/>
      </c>
      <c r="L111" s="380" t="str">
        <f>IFERROR(IF(ISERROR(CZ140),"",CONCATENATE(ROUND(X_SHIFT_BP+IF(Tools!L$97&lt;=Tools!$D$47/2,-BP16,BP16),3),",",ROUND(WLS*$AP52,3)," ")),"")</f>
        <v/>
      </c>
      <c r="M111" s="380" t="str">
        <f>IFERROR(IF(ISERROR(DA140),"",CONCATENATE(ROUND(X_SHIFT_BP+IF(Tools!M$97&lt;=Tools!$D$47/2,-BQ16,BQ16),3),",",ROUND(WLS*$AP52,3)," ")),"")</f>
        <v/>
      </c>
      <c r="N111" s="380" t="str">
        <f>IFERROR(IF(ISERROR(DB140),"",CONCATENATE(ROUND(X_SHIFT_BP+IF(Tools!N$97&lt;=Tools!$D$47/2,-BR16,BR16),3),",",ROUND(WLS*$AP52,3)," ")),"")</f>
        <v/>
      </c>
      <c r="O111" s="380" t="str">
        <f>IFERROR(IF(ISERROR(DC140),"",CONCATENATE(ROUND(X_SHIFT_BP+IF(Tools!O$97&lt;=Tools!$D$47/2,-BS16,BS16),3),",",ROUND(WLS*$AP52,3)," ")),"")</f>
        <v/>
      </c>
      <c r="P111" s="380" t="str">
        <f>IFERROR(IF(ISERROR(DD140),"",CONCATENATE(ROUND(X_SHIFT_BP+IF(Tools!P$97&lt;=Tools!$D$47/2,-BT16,BT16),3),",",ROUND(WLS*$AP52,3)," ")),"")</f>
        <v/>
      </c>
      <c r="Q111" s="380" t="str">
        <f>IFERROR(IF(ISERROR(DE140),"",CONCATENATE(ROUND(X_SHIFT_BP+IF(Tools!Q$97&lt;=Tools!$D$47/2,-BU16,BU16),3),",",ROUND(WLS*$AP52,3)," ")),"")</f>
        <v/>
      </c>
      <c r="R111" s="380" t="str">
        <f>IFERROR(IF(ISERROR(DF140),"",CONCATENATE(ROUND(X_SHIFT_BP+IF(Tools!R$97&lt;=Tools!$D$47/2,-BV16,BV16),3),",",ROUND(WLS*$AP52,3)," ")),"")</f>
        <v/>
      </c>
      <c r="S111" s="380" t="str">
        <f>IFERROR(IF(ISERROR(DG140),"",CONCATENATE(ROUND(X_SHIFT_BP+IF(Tools!S$97&lt;=Tools!$D$47/2,-BW16,BW16),3),",",ROUND(WLS*$AP52,3)," ")),"")</f>
        <v/>
      </c>
      <c r="T111" s="380" t="str">
        <f>IFERROR(IF(ISERROR(DH140),"",CONCATENATE(ROUND(X_SHIFT_BP+IF(Tools!T$97&lt;=Tools!$D$47/2,-BX16,BX16),3),",",ROUND(WLS*$AP52,3)," ")),"")</f>
        <v/>
      </c>
      <c r="U111" s="380" t="str">
        <f>IFERROR(IF(ISERROR(DI140),"",CONCATENATE(ROUND(X_SHIFT_BP+IF(Tools!U$97&lt;=Tools!$D$47/2,-BY16,BY16),3),",",ROUND(WLS*$AP52,3)," ")),"")</f>
        <v/>
      </c>
      <c r="V111" s="380" t="str">
        <f>IFERROR(IF(ISERROR(DJ140),"",CONCATENATE(ROUND(X_SHIFT_BP+IF(Tools!V$97&lt;=Tools!$D$47/2,-BZ16,BZ16),3),",",ROUND(WLS*$AP52,3)," ")),"")</f>
        <v/>
      </c>
      <c r="W111" s="380" t="str">
        <f>IFERROR(IF(ISERROR(DK140),"",CONCATENATE(ROUND(X_SHIFT_BP+IF(Tools!W$97&lt;=Tools!$D$47/2,-CA16,CA16),3),",",ROUND(WLS*$AP52,3)," ")),"")</f>
        <v/>
      </c>
      <c r="X111" s="380" t="str">
        <f>IFERROR(IF(ISERROR(DL140),"",CONCATENATE(ROUND(X_SHIFT_BP+IF(Tools!X$97&lt;=Tools!$D$47/2,-CB16,CB16),3),",",ROUND(WLS*$AP52,3)," ")),"")</f>
        <v/>
      </c>
      <c r="Y111" s="380" t="str">
        <f>IFERROR(IF(ISERROR(DM140),"",CONCATENATE(ROUND(X_SHIFT_BP+IF(Tools!Y$97&lt;=Tools!$D$47/2,-CC16,CC16),3),",",ROUND(WLS*$AP52,3)," ")),"")</f>
        <v/>
      </c>
      <c r="Z111" s="380" t="str">
        <f>IFERROR(IF(ISERROR(DN140),"",CONCATENATE(ROUND(X_SHIFT_BP+IF(Tools!Z$97&lt;=Tools!$D$47/2,-CD16,CD16),3),",",ROUND(WLS*$AP52,3)," ")),"")</f>
        <v/>
      </c>
      <c r="AA111" s="132">
        <v>12</v>
      </c>
      <c r="AB111" s="248" t="str">
        <f t="shared" si="259"/>
        <v xml:space="preserve">Spline </v>
      </c>
      <c r="AC111" s="132" t="str">
        <v/>
      </c>
      <c r="AD111" s="248" t="str">
        <v xml:space="preserve">178.61,0 </v>
      </c>
      <c r="AE111" s="248" t="str">
        <v xml:space="preserve">179.36,0.5 </v>
      </c>
      <c r="AF111" s="248" t="str">
        <v xml:space="preserve">179.66,1 </v>
      </c>
      <c r="AG111" s="248" t="str">
        <v xml:space="preserve">179.84,1.5 </v>
      </c>
      <c r="AH111" s="248" t="str">
        <v xml:space="preserve">179.91,2 </v>
      </c>
      <c r="AI111" s="248" t="str">
        <v xml:space="preserve">179.91,4 </v>
      </c>
      <c r="AJ111" s="248" t="str">
        <v xml:space="preserve">179.91,6 </v>
      </c>
      <c r="AK111" s="248" t="str">
        <v xml:space="preserve">179.91,8 </v>
      </c>
      <c r="AL111" s="248" t="str">
        <v xml:space="preserve">179.91,9.7 </v>
      </c>
      <c r="AM111" s="248" t="str">
        <v xml:space="preserve">179.91,10 </v>
      </c>
      <c r="AN111" s="248" t="str">
        <v xml:space="preserve">179.91,12 </v>
      </c>
      <c r="AO111" s="248" t="str">
        <v xml:space="preserve">179.91,13 </v>
      </c>
      <c r="AP111" s="248" t="str">
        <v/>
      </c>
      <c r="AQ111" s="248" t="str">
        <v/>
      </c>
      <c r="AR111" s="248" t="str">
        <v/>
      </c>
      <c r="AS111" s="248" t="str">
        <v/>
      </c>
      <c r="AT111" s="248" t="str">
        <v/>
      </c>
      <c r="AU111" s="248" t="str">
        <v/>
      </c>
      <c r="AV111" s="248" t="str">
        <v/>
      </c>
      <c r="AW111" s="248" t="str">
        <v/>
      </c>
      <c r="AX111" s="248" t="str">
        <v/>
      </c>
      <c r="AY111" s="248" t="str">
        <v/>
      </c>
      <c r="AZ111" s="248" t="str">
        <v/>
      </c>
      <c r="BA111" s="248" t="str">
        <v/>
      </c>
      <c r="BB111" s="248" t="str">
        <v/>
      </c>
      <c r="BC111" s="379">
        <f>Tools!AD16</f>
        <v>11</v>
      </c>
      <c r="BD111" s="379">
        <f>IFERROR(Tools!AD16*STN_GAP,"")</f>
        <v>80.41</v>
      </c>
      <c r="BE111" s="467">
        <f>IFERROR(IF(ISNUMBER(DE111),NA(),IF(AND($DF111&lt;&gt;0,$DG111&gt;BE$97),NA(),IF($BD111&gt;LBP/2,-(-Tools!AE16),-Tools!AE16))),NA())</f>
        <v>9.6999999999999993</v>
      </c>
      <c r="BF111" s="379">
        <f>IFERROR(IF(AND($DF111&lt;&gt;0,$DG111&gt;BF$97),NA(),IF($BD111&gt;LBP/2,-(-Tools!AF16),-Tools!AF16)),NA())</f>
        <v>10.45</v>
      </c>
      <c r="BG111" s="379">
        <f>IFERROR(IF(AND($DF111&lt;&gt;0,$DG111&gt;BG$97),NA(),IF($BD111&gt;LBP/2,-(-Tools!AG16),-Tools!AG16)),NA())</f>
        <v>10.75</v>
      </c>
      <c r="BH111" s="379">
        <f>IFERROR(IF(AND($DF111&lt;&gt;0,$DG111&gt;BH$97),NA(),IF($BD111&gt;LBP/2,-(-Tools!AH16),-Tools!AH16)),NA())</f>
        <v>10.93</v>
      </c>
      <c r="BI111" s="379">
        <f>IFERROR(IF(AND($DF111&lt;&gt;0,$DG111&gt;BI$97),NA(),IF($BD111&gt;LBP/2,-(-Tools!AI16),-Tools!AI16)),NA())</f>
        <v>11</v>
      </c>
      <c r="BJ111" s="379">
        <f>IFERROR(IF(AND($DF111&lt;&gt;0,$DG111&gt;BJ$97),NA(),IF($BD111&gt;LBP/2,-(-Tools!AJ16),-Tools!AJ16)),NA())</f>
        <v>11</v>
      </c>
      <c r="BK111" s="379">
        <f>IFERROR(IF(AND($DF111&lt;&gt;0,$DG111&gt;BK$97),NA(),IF($BD111&gt;LBP/2,-(-Tools!AK16),-Tools!AK16)),NA())</f>
        <v>11</v>
      </c>
      <c r="BL111" s="379">
        <f>IFERROR(IF(AND($DF111&lt;&gt;0,$DG111&gt;BL$97),NA(),IF($BD111&gt;LBP/2,-(-Tools!AL16),-Tools!AL16)),NA())</f>
        <v>11</v>
      </c>
      <c r="BM111" s="379">
        <f>IFERROR(IF(AND($DF111&lt;&gt;0,$DG111&gt;BM$97),NA(),IF($BD111&gt;LBP/2,-(-Tools!AM16),-Tools!AM16)),NA())</f>
        <v>11</v>
      </c>
      <c r="BN111" s="379">
        <f>IFERROR(IF(AND($DF111&lt;&gt;0,$DG111&gt;BN$97),NA(),IF($BD111&gt;LBP/2,-(-Tools!AN16),-Tools!AN16)),NA())</f>
        <v>11</v>
      </c>
      <c r="BO111" s="379">
        <f>IFERROR(IF(AND($DF111&lt;&gt;0,$DG111&gt;BO$97),NA(),IF($BD111&gt;LBP/2,-(-Tools!AO16),-Tools!AO16)),NA())</f>
        <v>11</v>
      </c>
      <c r="BP111" s="379">
        <f>IFERROR(IF(AND($DF111&lt;&gt;0,$DG111&gt;BP$97),NA(),IF($BD111&gt;LBP/2,-(-Tools!AP16),-Tools!AP16)),NA())</f>
        <v>11</v>
      </c>
      <c r="BQ111" s="379" t="e">
        <f>IFERROR(IF(AND($DF111&lt;&gt;0,$DG111&gt;BQ$97),NA(),IF($BD111&gt;LBP/2,-(-Tools!AQ16),-Tools!AQ16)),NA())</f>
        <v>#N/A</v>
      </c>
      <c r="BR111" s="379" t="e">
        <f>IFERROR(IF(AND($DF111&lt;&gt;0,$DG111&gt;BR$97),NA(),IF($BD111&gt;LBP/2,-(-Tools!AR16),-Tools!AR16)),NA())</f>
        <v>#N/A</v>
      </c>
      <c r="BS111" s="379" t="e">
        <f>IFERROR(IF(AND($DF111&lt;&gt;0,$DG111&gt;BS$97),NA(),IF($BD111&gt;LBP/2,-(-Tools!AS16),-Tools!AS16)),NA())</f>
        <v>#N/A</v>
      </c>
      <c r="BT111" s="379" t="e">
        <f>IFERROR(IF(AND($DF111&lt;&gt;0,$DG111&gt;BT$97),NA(),IF($BD111&gt;LBP/2,-(-Tools!AT16),-Tools!AT16)),NA())</f>
        <v>#N/A</v>
      </c>
      <c r="BU111" s="379" t="e">
        <f>IFERROR(IF(AND($DF111&lt;&gt;0,$DG111&gt;BU$97),NA(),IF($BD111&gt;LBP/2,-(-Tools!AU16),-Tools!AU16)),NA())</f>
        <v>#N/A</v>
      </c>
      <c r="BV111" s="379" t="e">
        <f>IFERROR(IF(AND($DF111&lt;&gt;0,$DG111&gt;BV$97),NA(),IF($BD111&gt;LBP/2,-(-Tools!AV16),-Tools!AV16)),NA())</f>
        <v>#N/A</v>
      </c>
      <c r="BW111" s="379" t="e">
        <f>IFERROR(IF(AND($DF111&lt;&gt;0,$DG111&gt;BW$97),NA(),IF($BD111&gt;LBP/2,-(-Tools!AW16),-Tools!AW16)),NA())</f>
        <v>#N/A</v>
      </c>
      <c r="BX111" s="379" t="e">
        <f>IFERROR(IF(AND($DF111&lt;&gt;0,$DG111&gt;BX$97),NA(),IF($BD111&gt;LBP/2,-(-Tools!AX16),-Tools!AX16)),NA())</f>
        <v>#N/A</v>
      </c>
      <c r="BY111" s="379" t="e">
        <f>IFERROR(IF(AND($DF111&lt;&gt;0,$DG111&gt;BY$97),NA(),IF($BD111&gt;LBP/2,-(-Tools!AY16),-Tools!AY16)),NA())</f>
        <v>#N/A</v>
      </c>
      <c r="BZ111" s="379" t="e">
        <f>IFERROR(IF(AND($DF111&lt;&gt;0,$DG111&gt;BZ$97),NA(),IF($BD111&gt;LBP/2,-(-Tools!AZ16),-Tools!AZ16)),NA())</f>
        <v>#N/A</v>
      </c>
      <c r="CA111" s="379" t="e">
        <f>IFERROR(IF(AND($DF111&lt;&gt;0,$DG111&gt;CA$97),NA(),IF($BD111&gt;LBP/2,-(-Tools!BA16),-Tools!BA16)),NA())</f>
        <v>#N/A</v>
      </c>
      <c r="CB111" s="379" t="e">
        <f>IFERROR(IF(AND($DF111&lt;&gt;0,$DG111&gt;CB$97),NA(),IF($BD111&gt;LBP/2,-(-Tools!BB16),-Tools!BB16)),NA())</f>
        <v>#N/A</v>
      </c>
      <c r="CC111" s="379" t="e">
        <f>IFERROR(IF(AND($DF111&lt;&gt;0,$DG111&gt;CC$97),NA(),IF($BD111&gt;LBP/2,-(-Tools!BC16),-Tools!BC16)),NA())</f>
        <v>#N/A</v>
      </c>
      <c r="CE111" s="429" t="b">
        <f t="shared" si="207"/>
        <v>0</v>
      </c>
      <c r="CF111" s="429" t="b">
        <f t="shared" si="208"/>
        <v>0</v>
      </c>
      <c r="CG111" s="429" t="b">
        <f t="shared" si="209"/>
        <v>0</v>
      </c>
      <c r="CH111" s="429" t="b">
        <f t="shared" si="210"/>
        <v>0</v>
      </c>
      <c r="CI111" s="429" t="b">
        <f t="shared" si="211"/>
        <v>0</v>
      </c>
      <c r="CJ111" s="429" t="b">
        <f t="shared" si="212"/>
        <v>0</v>
      </c>
      <c r="CK111" s="429" t="b">
        <f t="shared" si="213"/>
        <v>0</v>
      </c>
      <c r="CL111" s="429" t="b">
        <f t="shared" si="214"/>
        <v>0</v>
      </c>
      <c r="CM111" s="429" t="b">
        <f t="shared" si="215"/>
        <v>0</v>
      </c>
      <c r="CN111" s="429" t="b">
        <f t="shared" si="216"/>
        <v>0</v>
      </c>
      <c r="CO111" s="429" t="b">
        <f t="shared" si="217"/>
        <v>0</v>
      </c>
      <c r="CP111" s="429" t="b">
        <f t="shared" si="218"/>
        <v>0</v>
      </c>
      <c r="CQ111" s="429" t="b">
        <f t="shared" si="219"/>
        <v>0</v>
      </c>
      <c r="CR111" s="429" t="b">
        <f t="shared" si="220"/>
        <v>0</v>
      </c>
      <c r="CS111" s="429" t="b">
        <f t="shared" si="221"/>
        <v>0</v>
      </c>
      <c r="CT111" s="429" t="b">
        <f t="shared" si="222"/>
        <v>0</v>
      </c>
      <c r="CU111" s="429" t="b">
        <f t="shared" si="223"/>
        <v>0</v>
      </c>
      <c r="CV111" s="429" t="b">
        <f t="shared" si="224"/>
        <v>0</v>
      </c>
      <c r="CW111" s="429" t="b">
        <f t="shared" si="225"/>
        <v>0</v>
      </c>
      <c r="CX111" s="429" t="b">
        <f t="shared" si="226"/>
        <v>0</v>
      </c>
      <c r="CY111" s="429" t="b">
        <f t="shared" si="227"/>
        <v>0</v>
      </c>
      <c r="CZ111" s="429" t="b">
        <f t="shared" si="228"/>
        <v>0</v>
      </c>
      <c r="DA111" s="429" t="b">
        <f t="shared" si="229"/>
        <v>0</v>
      </c>
      <c r="DB111" s="429" t="b">
        <f t="shared" si="230"/>
        <v>0</v>
      </c>
      <c r="DC111" s="429"/>
      <c r="DD111" s="429">
        <f t="shared" si="260"/>
        <v>0</v>
      </c>
      <c r="DE111" s="429" t="str">
        <f t="shared" si="231"/>
        <v>-</v>
      </c>
      <c r="DF111" s="429">
        <f t="shared" si="232"/>
        <v>0</v>
      </c>
      <c r="DG111" s="429">
        <f t="shared" si="261"/>
        <v>0</v>
      </c>
      <c r="DH111" s="429">
        <f t="shared" si="262"/>
        <v>11</v>
      </c>
      <c r="DI111" s="429"/>
      <c r="DJ111" s="429" t="e">
        <f t="shared" si="263"/>
        <v>#N/A</v>
      </c>
      <c r="DK111" s="429">
        <f t="shared" si="180"/>
        <v>9.6999999999999993</v>
      </c>
      <c r="DL111" s="429">
        <f t="shared" si="181"/>
        <v>10.45</v>
      </c>
      <c r="DM111" s="429">
        <f t="shared" si="182"/>
        <v>10.75</v>
      </c>
      <c r="DN111" s="429">
        <f t="shared" si="183"/>
        <v>10.93</v>
      </c>
      <c r="DO111" s="429">
        <f t="shared" si="184"/>
        <v>11</v>
      </c>
      <c r="DP111" s="429">
        <f t="shared" si="185"/>
        <v>11</v>
      </c>
      <c r="DQ111" s="429">
        <f t="shared" si="186"/>
        <v>11</v>
      </c>
      <c r="DR111" s="429">
        <f t="shared" si="187"/>
        <v>11</v>
      </c>
      <c r="DS111" s="429">
        <f t="shared" si="188"/>
        <v>11</v>
      </c>
      <c r="DT111" s="429">
        <f t="shared" si="189"/>
        <v>11</v>
      </c>
      <c r="DU111" s="429">
        <f t="shared" si="190"/>
        <v>11</v>
      </c>
      <c r="DV111" s="429">
        <f t="shared" si="191"/>
        <v>11</v>
      </c>
      <c r="DW111" s="429" t="e">
        <f t="shared" si="192"/>
        <v>#N/A</v>
      </c>
      <c r="DX111" s="429" t="e">
        <f t="shared" si="193"/>
        <v>#N/A</v>
      </c>
      <c r="DY111" s="429" t="e">
        <f t="shared" si="194"/>
        <v>#N/A</v>
      </c>
      <c r="DZ111" s="429" t="e">
        <f t="shared" si="195"/>
        <v>#N/A</v>
      </c>
      <c r="EA111" s="429" t="e">
        <f t="shared" si="196"/>
        <v>#N/A</v>
      </c>
      <c r="EB111" s="429" t="e">
        <f t="shared" si="197"/>
        <v>#N/A</v>
      </c>
      <c r="EC111" s="429" t="e">
        <f t="shared" si="198"/>
        <v>#N/A</v>
      </c>
      <c r="ED111" s="429" t="e">
        <f t="shared" si="199"/>
        <v>#N/A</v>
      </c>
      <c r="EE111" s="429" t="e">
        <f t="shared" si="200"/>
        <v>#N/A</v>
      </c>
      <c r="EF111" s="429" t="e">
        <f t="shared" si="201"/>
        <v>#N/A</v>
      </c>
      <c r="EG111" s="429" t="e">
        <f t="shared" si="202"/>
        <v>#N/A</v>
      </c>
      <c r="EH111" s="429" t="e">
        <f t="shared" si="203"/>
        <v>#N/A</v>
      </c>
      <c r="EI111" s="429" t="e">
        <f t="shared" si="204"/>
        <v>#N/A</v>
      </c>
      <c r="EJ111" s="429"/>
      <c r="EK111" s="429"/>
      <c r="EL111" s="429" t="e">
        <f t="shared" si="233"/>
        <v>#N/A</v>
      </c>
      <c r="EM111" s="429">
        <f t="shared" si="264"/>
        <v>0</v>
      </c>
      <c r="EN111" s="429">
        <f t="shared" si="235"/>
        <v>0.5</v>
      </c>
      <c r="EO111" s="429">
        <f t="shared" si="236"/>
        <v>1</v>
      </c>
      <c r="EP111" s="429">
        <f t="shared" si="237"/>
        <v>1.5</v>
      </c>
      <c r="EQ111" s="429">
        <f t="shared" si="238"/>
        <v>2</v>
      </c>
      <c r="ER111" s="429">
        <f t="shared" si="239"/>
        <v>4</v>
      </c>
      <c r="ES111" s="429">
        <f t="shared" si="240"/>
        <v>6</v>
      </c>
      <c r="ET111" s="429">
        <f t="shared" si="241"/>
        <v>8</v>
      </c>
      <c r="EU111" s="429">
        <f t="shared" si="242"/>
        <v>9.6999999999999993</v>
      </c>
      <c r="EV111" s="429">
        <f t="shared" si="243"/>
        <v>10</v>
      </c>
      <c r="EW111" s="429">
        <f t="shared" si="244"/>
        <v>12</v>
      </c>
      <c r="EX111" s="429">
        <f t="shared" si="245"/>
        <v>13</v>
      </c>
      <c r="EY111" s="429" t="e">
        <f t="shared" si="246"/>
        <v>#N/A</v>
      </c>
      <c r="EZ111" s="429" t="e">
        <f t="shared" si="247"/>
        <v>#N/A</v>
      </c>
      <c r="FA111" s="429" t="e">
        <f t="shared" si="248"/>
        <v>#N/A</v>
      </c>
      <c r="FB111" s="429" t="e">
        <f t="shared" si="249"/>
        <v>#N/A</v>
      </c>
      <c r="FC111" s="429" t="e">
        <f t="shared" si="250"/>
        <v>#N/A</v>
      </c>
      <c r="FD111" s="429" t="e">
        <f t="shared" si="251"/>
        <v>#N/A</v>
      </c>
      <c r="FE111" s="429" t="e">
        <f t="shared" si="252"/>
        <v>#N/A</v>
      </c>
      <c r="FF111" s="429" t="e">
        <f t="shared" si="253"/>
        <v>#N/A</v>
      </c>
      <c r="FG111" s="429" t="e">
        <f t="shared" si="254"/>
        <v>#N/A</v>
      </c>
      <c r="FH111" s="429" t="e">
        <f t="shared" si="255"/>
        <v>#N/A</v>
      </c>
      <c r="FI111" s="429" t="e">
        <f t="shared" si="256"/>
        <v>#N/A</v>
      </c>
      <c r="FJ111" s="429" t="e">
        <f t="shared" si="257"/>
        <v>#N/A</v>
      </c>
      <c r="FK111" s="429" t="e">
        <f t="shared" si="258"/>
        <v>#N/A</v>
      </c>
    </row>
    <row r="112" spans="1:167" x14ac:dyDescent="0.25">
      <c r="A112" s="377" t="str">
        <f t="shared" si="206"/>
        <v xml:space="preserve">  </v>
      </c>
      <c r="B112" s="380" t="str">
        <f>IFERROR(IF(ISERROR(CP141),"",CONCATENATE(ROUND(X_SHIFT_BP+IF(Tools!B$97&lt;=Tools!$D$47/2,-BF17,BF17),3),",",ROUND(WLS*$AP53,3)," ")),"")</f>
        <v/>
      </c>
      <c r="C112" s="380" t="str">
        <f>IFERROR(IF(ISERROR(CQ141),"",CONCATENATE(ROUND(X_SHIFT_BP+IF(Tools!C$97&lt;=Tools!$D$47/2,-BG17,BG17),3),",",ROUND(WLS*$AP53,3)," ")),"")</f>
        <v/>
      </c>
      <c r="D112" s="380" t="str">
        <f>IFERROR(IF(ISERROR(CR141),"",CONCATENATE(ROUND(X_SHIFT_BP+IF(Tools!D$97&lt;=Tools!$D$47/2,-BH17,BH17),3),",",ROUND(WLS*$AP53,3)," ")),"")</f>
        <v/>
      </c>
      <c r="E112" s="380" t="str">
        <f>IFERROR(IF(ISERROR(CS141),"",CONCATENATE(ROUND(X_SHIFT_BP+IF(Tools!E$97&lt;=Tools!$D$47/2,-BI17,BI17),3),",",ROUND(WLS*$AP53,3)," ")),"")</f>
        <v/>
      </c>
      <c r="F112" s="380" t="str">
        <f>IFERROR(IF(ISERROR(CT141),"",CONCATENATE(ROUND(X_SHIFT_BP+IF(Tools!F$97&lt;=Tools!$D$47/2,-BJ17,BJ17),3),",",ROUND(WLS*$AP53,3)," ")),"")</f>
        <v/>
      </c>
      <c r="G112" s="380" t="str">
        <f>IFERROR(IF(ISERROR(CU141),"",CONCATENATE(ROUND(X_SHIFT_BP+IF(Tools!G$97&lt;=Tools!$D$47/2,-BK17,BK17),3),",",ROUND(WLS*$AP53,3)," ")),"")</f>
        <v/>
      </c>
      <c r="H112" s="380" t="str">
        <f>IFERROR(IF(ISERROR(CV141),"",CONCATENATE(ROUND(X_SHIFT_BP+IF(Tools!H$97&lt;=Tools!$D$47/2,-BL17,BL17),3),",",ROUND(WLS*$AP53,3)," ")),"")</f>
        <v/>
      </c>
      <c r="I112" s="380" t="str">
        <f>IFERROR(IF(ISERROR(CW141),"",CONCATENATE(ROUND(X_SHIFT_BP+IF(Tools!I$97&lt;=Tools!$D$47/2,-BM17,BM17),3),",",ROUND(WLS*$AP53,3)," ")),"")</f>
        <v/>
      </c>
      <c r="J112" s="380" t="str">
        <f>IFERROR(IF(ISERROR(CX141),"",CONCATENATE(ROUND(X_SHIFT_BP+IF(Tools!J$97&lt;=Tools!$D$47/2,-BN17,BN17),3),",",ROUND(WLS*$AP53,3)," ")),"")</f>
        <v/>
      </c>
      <c r="K112" s="380" t="str">
        <f>IFERROR(IF(ISERROR(CY141),"",CONCATENATE(ROUND(X_SHIFT_BP+IF(Tools!K$97&lt;=Tools!$D$47/2,-BO17,BO17),3),",",ROUND(WLS*$AP53,3)," ")),"")</f>
        <v/>
      </c>
      <c r="L112" s="380" t="str">
        <f>IFERROR(IF(ISERROR(CZ141),"",CONCATENATE(ROUND(X_SHIFT_BP+IF(Tools!L$97&lt;=Tools!$D$47/2,-BP17,BP17),3),",",ROUND(WLS*$AP53,3)," ")),"")</f>
        <v/>
      </c>
      <c r="M112" s="380" t="str">
        <f>IFERROR(IF(ISERROR(DA141),"",CONCATENATE(ROUND(X_SHIFT_BP+IF(Tools!M$97&lt;=Tools!$D$47/2,-BQ17,BQ17),3),",",ROUND(WLS*$AP53,3)," ")),"")</f>
        <v/>
      </c>
      <c r="N112" s="380" t="str">
        <f>IFERROR(IF(ISERROR(DB141),"",CONCATENATE(ROUND(X_SHIFT_BP+IF(Tools!N$97&lt;=Tools!$D$47/2,-BR17,BR17),3),",",ROUND(WLS*$AP53,3)," ")),"")</f>
        <v/>
      </c>
      <c r="O112" s="380" t="str">
        <f>IFERROR(IF(ISERROR(DC141),"",CONCATENATE(ROUND(X_SHIFT_BP+IF(Tools!O$97&lt;=Tools!$D$47/2,-BS17,BS17),3),",",ROUND(WLS*$AP53,3)," ")),"")</f>
        <v/>
      </c>
      <c r="P112" s="380" t="str">
        <f>IFERROR(IF(ISERROR(DD141),"",CONCATENATE(ROUND(X_SHIFT_BP+IF(Tools!P$97&lt;=Tools!$D$47/2,-BT17,BT17),3),",",ROUND(WLS*$AP53,3)," ")),"")</f>
        <v/>
      </c>
      <c r="Q112" s="380" t="str">
        <f>IFERROR(IF(ISERROR(DE141),"",CONCATENATE(ROUND(X_SHIFT_BP+IF(Tools!Q$97&lt;=Tools!$D$47/2,-BU17,BU17),3),",",ROUND(WLS*$AP53,3)," ")),"")</f>
        <v/>
      </c>
      <c r="R112" s="380" t="str">
        <f>IFERROR(IF(ISERROR(DF141),"",CONCATENATE(ROUND(X_SHIFT_BP+IF(Tools!R$97&lt;=Tools!$D$47/2,-BV17,BV17),3),",",ROUND(WLS*$AP53,3)," ")),"")</f>
        <v/>
      </c>
      <c r="S112" s="380" t="str">
        <f>IFERROR(IF(ISERROR(DG141),"",CONCATENATE(ROUND(X_SHIFT_BP+IF(Tools!S$97&lt;=Tools!$D$47/2,-BW17,BW17),3),",",ROUND(WLS*$AP53,3)," ")),"")</f>
        <v/>
      </c>
      <c r="T112" s="380" t="str">
        <f>IFERROR(IF(ISERROR(DH141),"",CONCATENATE(ROUND(X_SHIFT_BP+IF(Tools!T$97&lt;=Tools!$D$47/2,-BX17,BX17),3),",",ROUND(WLS*$AP53,3)," ")),"")</f>
        <v/>
      </c>
      <c r="U112" s="380" t="str">
        <f>IFERROR(IF(ISERROR(DI141),"",CONCATENATE(ROUND(X_SHIFT_BP+IF(Tools!U$97&lt;=Tools!$D$47/2,-BY17,BY17),3),",",ROUND(WLS*$AP53,3)," ")),"")</f>
        <v/>
      </c>
      <c r="V112" s="380" t="str">
        <f>IFERROR(IF(ISERROR(DJ141),"",CONCATENATE(ROUND(X_SHIFT_BP+IF(Tools!V$97&lt;=Tools!$D$47/2,-BZ17,BZ17),3),",",ROUND(WLS*$AP53,3)," ")),"")</f>
        <v/>
      </c>
      <c r="W112" s="380" t="str">
        <f>IFERROR(IF(ISERROR(DK141),"",CONCATENATE(ROUND(X_SHIFT_BP+IF(Tools!W$97&lt;=Tools!$D$47/2,-CA17,CA17),3),",",ROUND(WLS*$AP53,3)," ")),"")</f>
        <v/>
      </c>
      <c r="X112" s="380" t="str">
        <f>IFERROR(IF(ISERROR(DL141),"",CONCATENATE(ROUND(X_SHIFT_BP+IF(Tools!X$97&lt;=Tools!$D$47/2,-CB17,CB17),3),",",ROUND(WLS*$AP53,3)," ")),"")</f>
        <v/>
      </c>
      <c r="Y112" s="380" t="str">
        <f>IFERROR(IF(ISERROR(DM141),"",CONCATENATE(ROUND(X_SHIFT_BP+IF(Tools!Y$97&lt;=Tools!$D$47/2,-CC17,CC17),3),",",ROUND(WLS*$AP53,3)," ")),"")</f>
        <v/>
      </c>
      <c r="Z112" s="380" t="str">
        <f>IFERROR(IF(ISERROR(DN141),"",CONCATENATE(ROUND(X_SHIFT_BP+IF(Tools!Z$97&lt;=Tools!$D$47/2,-CD17,CD17),3),",",ROUND(WLS*$AP53,3)," ")),"")</f>
        <v/>
      </c>
      <c r="AA112" s="132">
        <v>12</v>
      </c>
      <c r="AB112" s="248" t="str">
        <f t="shared" si="259"/>
        <v xml:space="preserve">Spline </v>
      </c>
      <c r="AC112" s="132" t="str">
        <v/>
      </c>
      <c r="AD112" s="248" t="str">
        <v xml:space="preserve">178.61,0 </v>
      </c>
      <c r="AE112" s="248" t="str">
        <v xml:space="preserve">179.36,0.5 </v>
      </c>
      <c r="AF112" s="248" t="str">
        <v xml:space="preserve">179.66,1 </v>
      </c>
      <c r="AG112" s="248" t="str">
        <v xml:space="preserve">179.84,1.5 </v>
      </c>
      <c r="AH112" s="248" t="str">
        <v xml:space="preserve">179.91,2 </v>
      </c>
      <c r="AI112" s="248" t="str">
        <v xml:space="preserve">179.91,4 </v>
      </c>
      <c r="AJ112" s="248" t="str">
        <v xml:space="preserve">179.91,6 </v>
      </c>
      <c r="AK112" s="248" t="str">
        <v xml:space="preserve">179.91,8 </v>
      </c>
      <c r="AL112" s="248" t="str">
        <v xml:space="preserve">179.91,9.7 </v>
      </c>
      <c r="AM112" s="248" t="str">
        <v xml:space="preserve">179.91,10 </v>
      </c>
      <c r="AN112" s="248" t="str">
        <v xml:space="preserve">179.91,12 </v>
      </c>
      <c r="AO112" s="248" t="str">
        <v xml:space="preserve">179.91,13 </v>
      </c>
      <c r="AP112" s="248" t="str">
        <v/>
      </c>
      <c r="AQ112" s="248" t="str">
        <v/>
      </c>
      <c r="AR112" s="248" t="str">
        <v/>
      </c>
      <c r="AS112" s="248" t="str">
        <v/>
      </c>
      <c r="AT112" s="248" t="str">
        <v/>
      </c>
      <c r="AU112" s="248" t="str">
        <v/>
      </c>
      <c r="AV112" s="248" t="str">
        <v/>
      </c>
      <c r="AW112" s="248" t="str">
        <v/>
      </c>
      <c r="AX112" s="248" t="str">
        <v/>
      </c>
      <c r="AY112" s="248" t="str">
        <v/>
      </c>
      <c r="AZ112" s="248" t="str">
        <v/>
      </c>
      <c r="BA112" s="248" t="str">
        <v/>
      </c>
      <c r="BB112" s="248" t="str">
        <v/>
      </c>
      <c r="BC112" s="379">
        <f>Tools!AD17</f>
        <v>12</v>
      </c>
      <c r="BD112" s="379">
        <f>IFERROR(Tools!AD17*STN_GAP,"")</f>
        <v>87.72</v>
      </c>
      <c r="BE112" s="467">
        <f>IFERROR(IF(ISNUMBER(DE112),NA(),IF(AND($DF112&lt;&gt;0,$DG112&gt;BE$97),NA(),IF($BD112&gt;LBP/2,-(-Tools!AE17),-Tools!AE17))),NA())</f>
        <v>9.6999999999999993</v>
      </c>
      <c r="BF112" s="379">
        <f>IFERROR(IF(AND($DF112&lt;&gt;0,$DG112&gt;BF$97),NA(),IF($BD112&gt;LBP/2,-(-Tools!AF17),-Tools!AF17)),NA())</f>
        <v>10.45</v>
      </c>
      <c r="BG112" s="379">
        <f>IFERROR(IF(AND($DF112&lt;&gt;0,$DG112&gt;BG$97),NA(),IF($BD112&gt;LBP/2,-(-Tools!AG17),-Tools!AG17)),NA())</f>
        <v>10.75</v>
      </c>
      <c r="BH112" s="379">
        <f>IFERROR(IF(AND($DF112&lt;&gt;0,$DG112&gt;BH$97),NA(),IF($BD112&gt;LBP/2,-(-Tools!AH17),-Tools!AH17)),NA())</f>
        <v>10.93</v>
      </c>
      <c r="BI112" s="379">
        <f>IFERROR(IF(AND($DF112&lt;&gt;0,$DG112&gt;BI$97),NA(),IF($BD112&gt;LBP/2,-(-Tools!AI17),-Tools!AI17)),NA())</f>
        <v>11</v>
      </c>
      <c r="BJ112" s="379">
        <f>IFERROR(IF(AND($DF112&lt;&gt;0,$DG112&gt;BJ$97),NA(),IF($BD112&gt;LBP/2,-(-Tools!AJ17),-Tools!AJ17)),NA())</f>
        <v>11</v>
      </c>
      <c r="BK112" s="379">
        <f>IFERROR(IF(AND($DF112&lt;&gt;0,$DG112&gt;BK$97),NA(),IF($BD112&gt;LBP/2,-(-Tools!AK17),-Tools!AK17)),NA())</f>
        <v>11</v>
      </c>
      <c r="BL112" s="379">
        <f>IFERROR(IF(AND($DF112&lt;&gt;0,$DG112&gt;BL$97),NA(),IF($BD112&gt;LBP/2,-(-Tools!AL17),-Tools!AL17)),NA())</f>
        <v>11</v>
      </c>
      <c r="BM112" s="379">
        <f>IFERROR(IF(AND($DF112&lt;&gt;0,$DG112&gt;BM$97),NA(),IF($BD112&gt;LBP/2,-(-Tools!AM17),-Tools!AM17)),NA())</f>
        <v>11</v>
      </c>
      <c r="BN112" s="379">
        <f>IFERROR(IF(AND($DF112&lt;&gt;0,$DG112&gt;BN$97),NA(),IF($BD112&gt;LBP/2,-(-Tools!AN17),-Tools!AN17)),NA())</f>
        <v>11</v>
      </c>
      <c r="BO112" s="379">
        <f>IFERROR(IF(AND($DF112&lt;&gt;0,$DG112&gt;BO$97),NA(),IF($BD112&gt;LBP/2,-(-Tools!AO17),-Tools!AO17)),NA())</f>
        <v>11</v>
      </c>
      <c r="BP112" s="379">
        <f>IFERROR(IF(AND($DF112&lt;&gt;0,$DG112&gt;BP$97),NA(),IF($BD112&gt;LBP/2,-(-Tools!AP17),-Tools!AP17)),NA())</f>
        <v>11</v>
      </c>
      <c r="BQ112" s="379" t="e">
        <f>IFERROR(IF(AND($DF112&lt;&gt;0,$DG112&gt;BQ$97),NA(),IF($BD112&gt;LBP/2,-(-Tools!AQ17),-Tools!AQ17)),NA())</f>
        <v>#N/A</v>
      </c>
      <c r="BR112" s="379" t="e">
        <f>IFERROR(IF(AND($DF112&lt;&gt;0,$DG112&gt;BR$97),NA(),IF($BD112&gt;LBP/2,-(-Tools!AR17),-Tools!AR17)),NA())</f>
        <v>#N/A</v>
      </c>
      <c r="BS112" s="379" t="e">
        <f>IFERROR(IF(AND($DF112&lt;&gt;0,$DG112&gt;BS$97),NA(),IF($BD112&gt;LBP/2,-(-Tools!AS17),-Tools!AS17)),NA())</f>
        <v>#N/A</v>
      </c>
      <c r="BT112" s="379" t="e">
        <f>IFERROR(IF(AND($DF112&lt;&gt;0,$DG112&gt;BT$97),NA(),IF($BD112&gt;LBP/2,-(-Tools!AT17),-Tools!AT17)),NA())</f>
        <v>#N/A</v>
      </c>
      <c r="BU112" s="379" t="e">
        <f>IFERROR(IF(AND($DF112&lt;&gt;0,$DG112&gt;BU$97),NA(),IF($BD112&gt;LBP/2,-(-Tools!AU17),-Tools!AU17)),NA())</f>
        <v>#N/A</v>
      </c>
      <c r="BV112" s="379" t="e">
        <f>IFERROR(IF(AND($DF112&lt;&gt;0,$DG112&gt;BV$97),NA(),IF($BD112&gt;LBP/2,-(-Tools!AV17),-Tools!AV17)),NA())</f>
        <v>#N/A</v>
      </c>
      <c r="BW112" s="379" t="e">
        <f>IFERROR(IF(AND($DF112&lt;&gt;0,$DG112&gt;BW$97),NA(),IF($BD112&gt;LBP/2,-(-Tools!AW17),-Tools!AW17)),NA())</f>
        <v>#N/A</v>
      </c>
      <c r="BX112" s="379" t="e">
        <f>IFERROR(IF(AND($DF112&lt;&gt;0,$DG112&gt;BX$97),NA(),IF($BD112&gt;LBP/2,-(-Tools!AX17),-Tools!AX17)),NA())</f>
        <v>#N/A</v>
      </c>
      <c r="BY112" s="379" t="e">
        <f>IFERROR(IF(AND($DF112&lt;&gt;0,$DG112&gt;BY$97),NA(),IF($BD112&gt;LBP/2,-(-Tools!AY17),-Tools!AY17)),NA())</f>
        <v>#N/A</v>
      </c>
      <c r="BZ112" s="379" t="e">
        <f>IFERROR(IF(AND($DF112&lt;&gt;0,$DG112&gt;BZ$97),NA(),IF($BD112&gt;LBP/2,-(-Tools!AZ17),-Tools!AZ17)),NA())</f>
        <v>#N/A</v>
      </c>
      <c r="CA112" s="379" t="e">
        <f>IFERROR(IF(AND($DF112&lt;&gt;0,$DG112&gt;CA$97),NA(),IF($BD112&gt;LBP/2,-(-Tools!BA17),-Tools!BA17)),NA())</f>
        <v>#N/A</v>
      </c>
      <c r="CB112" s="379" t="e">
        <f>IFERROR(IF(AND($DF112&lt;&gt;0,$DG112&gt;CB$97),NA(),IF($BD112&gt;LBP/2,-(-Tools!BB17),-Tools!BB17)),NA())</f>
        <v>#N/A</v>
      </c>
      <c r="CC112" s="379" t="e">
        <f>IFERROR(IF(AND($DF112&lt;&gt;0,$DG112&gt;CC$97),NA(),IF($BD112&gt;LBP/2,-(-Tools!BC17),-Tools!BC17)),NA())</f>
        <v>#N/A</v>
      </c>
      <c r="CE112" s="429" t="b">
        <f t="shared" si="207"/>
        <v>0</v>
      </c>
      <c r="CF112" s="429" t="b">
        <f t="shared" si="208"/>
        <v>0</v>
      </c>
      <c r="CG112" s="429" t="b">
        <f t="shared" si="209"/>
        <v>0</v>
      </c>
      <c r="CH112" s="429" t="b">
        <f t="shared" si="210"/>
        <v>0</v>
      </c>
      <c r="CI112" s="429" t="b">
        <f t="shared" si="211"/>
        <v>0</v>
      </c>
      <c r="CJ112" s="429" t="b">
        <f t="shared" si="212"/>
        <v>0</v>
      </c>
      <c r="CK112" s="429" t="b">
        <f t="shared" si="213"/>
        <v>0</v>
      </c>
      <c r="CL112" s="429" t="b">
        <f t="shared" si="214"/>
        <v>0</v>
      </c>
      <c r="CM112" s="429" t="b">
        <f t="shared" si="215"/>
        <v>0</v>
      </c>
      <c r="CN112" s="429" t="b">
        <f t="shared" si="216"/>
        <v>0</v>
      </c>
      <c r="CO112" s="429" t="b">
        <f t="shared" si="217"/>
        <v>0</v>
      </c>
      <c r="CP112" s="429" t="b">
        <f t="shared" si="218"/>
        <v>0</v>
      </c>
      <c r="CQ112" s="429" t="b">
        <f t="shared" si="219"/>
        <v>0</v>
      </c>
      <c r="CR112" s="429" t="b">
        <f t="shared" si="220"/>
        <v>0</v>
      </c>
      <c r="CS112" s="429" t="b">
        <f t="shared" si="221"/>
        <v>0</v>
      </c>
      <c r="CT112" s="429" t="b">
        <f t="shared" si="222"/>
        <v>0</v>
      </c>
      <c r="CU112" s="429" t="b">
        <f t="shared" si="223"/>
        <v>0</v>
      </c>
      <c r="CV112" s="429" t="b">
        <f t="shared" si="224"/>
        <v>0</v>
      </c>
      <c r="CW112" s="429" t="b">
        <f t="shared" si="225"/>
        <v>0</v>
      </c>
      <c r="CX112" s="429" t="b">
        <f t="shared" si="226"/>
        <v>0</v>
      </c>
      <c r="CY112" s="429" t="b">
        <f t="shared" si="227"/>
        <v>0</v>
      </c>
      <c r="CZ112" s="429" t="b">
        <f t="shared" si="228"/>
        <v>0</v>
      </c>
      <c r="DA112" s="429" t="b">
        <f t="shared" si="229"/>
        <v>0</v>
      </c>
      <c r="DB112" s="429" t="b">
        <f t="shared" si="230"/>
        <v>0</v>
      </c>
      <c r="DC112" s="429"/>
      <c r="DD112" s="429">
        <f t="shared" si="260"/>
        <v>0</v>
      </c>
      <c r="DE112" s="429" t="str">
        <f t="shared" si="231"/>
        <v>-</v>
      </c>
      <c r="DF112" s="429">
        <f t="shared" si="232"/>
        <v>0</v>
      </c>
      <c r="DG112" s="429">
        <f t="shared" si="261"/>
        <v>0</v>
      </c>
      <c r="DH112" s="429">
        <f t="shared" si="262"/>
        <v>12</v>
      </c>
      <c r="DI112" s="429"/>
      <c r="DJ112" s="429" t="e">
        <f t="shared" si="263"/>
        <v>#N/A</v>
      </c>
      <c r="DK112" s="429">
        <f t="shared" si="180"/>
        <v>9.6999999999999993</v>
      </c>
      <c r="DL112" s="429">
        <f t="shared" si="181"/>
        <v>10.45</v>
      </c>
      <c r="DM112" s="429">
        <f t="shared" si="182"/>
        <v>10.75</v>
      </c>
      <c r="DN112" s="429">
        <f t="shared" si="183"/>
        <v>10.93</v>
      </c>
      <c r="DO112" s="429">
        <f t="shared" si="184"/>
        <v>11</v>
      </c>
      <c r="DP112" s="429">
        <f t="shared" si="185"/>
        <v>11</v>
      </c>
      <c r="DQ112" s="429">
        <f t="shared" si="186"/>
        <v>11</v>
      </c>
      <c r="DR112" s="429">
        <f t="shared" si="187"/>
        <v>11</v>
      </c>
      <c r="DS112" s="429">
        <f t="shared" si="188"/>
        <v>11</v>
      </c>
      <c r="DT112" s="429">
        <f t="shared" si="189"/>
        <v>11</v>
      </c>
      <c r="DU112" s="429">
        <f t="shared" si="190"/>
        <v>11</v>
      </c>
      <c r="DV112" s="429">
        <f t="shared" si="191"/>
        <v>11</v>
      </c>
      <c r="DW112" s="429" t="e">
        <f t="shared" si="192"/>
        <v>#N/A</v>
      </c>
      <c r="DX112" s="429" t="e">
        <f t="shared" si="193"/>
        <v>#N/A</v>
      </c>
      <c r="DY112" s="429" t="e">
        <f t="shared" si="194"/>
        <v>#N/A</v>
      </c>
      <c r="DZ112" s="429" t="e">
        <f t="shared" si="195"/>
        <v>#N/A</v>
      </c>
      <c r="EA112" s="429" t="e">
        <f t="shared" si="196"/>
        <v>#N/A</v>
      </c>
      <c r="EB112" s="429" t="e">
        <f t="shared" si="197"/>
        <v>#N/A</v>
      </c>
      <c r="EC112" s="429" t="e">
        <f t="shared" si="198"/>
        <v>#N/A</v>
      </c>
      <c r="ED112" s="429" t="e">
        <f t="shared" si="199"/>
        <v>#N/A</v>
      </c>
      <c r="EE112" s="429" t="e">
        <f t="shared" si="200"/>
        <v>#N/A</v>
      </c>
      <c r="EF112" s="429" t="e">
        <f t="shared" si="201"/>
        <v>#N/A</v>
      </c>
      <c r="EG112" s="429" t="e">
        <f t="shared" si="202"/>
        <v>#N/A</v>
      </c>
      <c r="EH112" s="429" t="e">
        <f t="shared" si="203"/>
        <v>#N/A</v>
      </c>
      <c r="EI112" s="429" t="e">
        <f t="shared" si="204"/>
        <v>#N/A</v>
      </c>
      <c r="EJ112" s="429"/>
      <c r="EK112" s="429"/>
      <c r="EL112" s="429" t="e">
        <f t="shared" si="233"/>
        <v>#N/A</v>
      </c>
      <c r="EM112" s="429">
        <f t="shared" si="264"/>
        <v>0</v>
      </c>
      <c r="EN112" s="429">
        <f t="shared" si="235"/>
        <v>0.5</v>
      </c>
      <c r="EO112" s="429">
        <f t="shared" si="236"/>
        <v>1</v>
      </c>
      <c r="EP112" s="429">
        <f t="shared" si="237"/>
        <v>1.5</v>
      </c>
      <c r="EQ112" s="429">
        <f t="shared" si="238"/>
        <v>2</v>
      </c>
      <c r="ER112" s="429">
        <f t="shared" si="239"/>
        <v>4</v>
      </c>
      <c r="ES112" s="429">
        <f t="shared" si="240"/>
        <v>6</v>
      </c>
      <c r="ET112" s="429">
        <f t="shared" si="241"/>
        <v>8</v>
      </c>
      <c r="EU112" s="429">
        <f t="shared" si="242"/>
        <v>9.6999999999999993</v>
      </c>
      <c r="EV112" s="429">
        <f t="shared" si="243"/>
        <v>10</v>
      </c>
      <c r="EW112" s="429">
        <f t="shared" si="244"/>
        <v>12</v>
      </c>
      <c r="EX112" s="429">
        <f t="shared" si="245"/>
        <v>13</v>
      </c>
      <c r="EY112" s="429" t="e">
        <f t="shared" si="246"/>
        <v>#N/A</v>
      </c>
      <c r="EZ112" s="429" t="e">
        <f t="shared" si="247"/>
        <v>#N/A</v>
      </c>
      <c r="FA112" s="429" t="e">
        <f t="shared" si="248"/>
        <v>#N/A</v>
      </c>
      <c r="FB112" s="429" t="e">
        <f t="shared" si="249"/>
        <v>#N/A</v>
      </c>
      <c r="FC112" s="429" t="e">
        <f t="shared" si="250"/>
        <v>#N/A</v>
      </c>
      <c r="FD112" s="429" t="e">
        <f t="shared" si="251"/>
        <v>#N/A</v>
      </c>
      <c r="FE112" s="429" t="e">
        <f t="shared" si="252"/>
        <v>#N/A</v>
      </c>
      <c r="FF112" s="429" t="e">
        <f t="shared" si="253"/>
        <v>#N/A</v>
      </c>
      <c r="FG112" s="429" t="e">
        <f t="shared" si="254"/>
        <v>#N/A</v>
      </c>
      <c r="FH112" s="429" t="e">
        <f t="shared" si="255"/>
        <v>#N/A</v>
      </c>
      <c r="FI112" s="429" t="e">
        <f t="shared" si="256"/>
        <v>#N/A</v>
      </c>
      <c r="FJ112" s="429" t="e">
        <f t="shared" si="257"/>
        <v>#N/A</v>
      </c>
      <c r="FK112" s="429" t="e">
        <f t="shared" si="258"/>
        <v>#N/A</v>
      </c>
    </row>
    <row r="113" spans="1:199" x14ac:dyDescent="0.25">
      <c r="A113" s="377" t="str">
        <f t="shared" si="206"/>
        <v xml:space="preserve">  </v>
      </c>
      <c r="B113" s="380" t="str">
        <f>IFERROR(IF(ISERROR(CP142),"",CONCATENATE(ROUND(X_SHIFT_BP+IF(Tools!B$97&lt;=Tools!$D$47/2,-BF18,BF18),3),",",ROUND(WLS*$AP54,3)," ")),"")</f>
        <v/>
      </c>
      <c r="C113" s="380" t="str">
        <f>IFERROR(IF(ISERROR(CQ142),"",CONCATENATE(ROUND(X_SHIFT_BP+IF(Tools!C$97&lt;=Tools!$D$47/2,-BG18,BG18),3),",",ROUND(WLS*$AP54,3)," ")),"")</f>
        <v/>
      </c>
      <c r="D113" s="380" t="str">
        <f>IFERROR(IF(ISERROR(CR142),"",CONCATENATE(ROUND(X_SHIFT_BP+IF(Tools!D$97&lt;=Tools!$D$47/2,-BH18,BH18),3),",",ROUND(WLS*$AP54,3)," ")),"")</f>
        <v/>
      </c>
      <c r="E113" s="380" t="str">
        <f>IFERROR(IF(ISERROR(CS142),"",CONCATENATE(ROUND(X_SHIFT_BP+IF(Tools!E$97&lt;=Tools!$D$47/2,-BI18,BI18),3),",",ROUND(WLS*$AP54,3)," ")),"")</f>
        <v/>
      </c>
      <c r="F113" s="380" t="str">
        <f>IFERROR(IF(ISERROR(CT142),"",CONCATENATE(ROUND(X_SHIFT_BP+IF(Tools!F$97&lt;=Tools!$D$47/2,-BJ18,BJ18),3),",",ROUND(WLS*$AP54,3)," ")),"")</f>
        <v/>
      </c>
      <c r="G113" s="380" t="str">
        <f>IFERROR(IF(ISERROR(CU142),"",CONCATENATE(ROUND(X_SHIFT_BP+IF(Tools!G$97&lt;=Tools!$D$47/2,-BK18,BK18),3),",",ROUND(WLS*$AP54,3)," ")),"")</f>
        <v/>
      </c>
      <c r="H113" s="380" t="str">
        <f>IFERROR(IF(ISERROR(CV142),"",CONCATENATE(ROUND(X_SHIFT_BP+IF(Tools!H$97&lt;=Tools!$D$47/2,-BL18,BL18),3),",",ROUND(WLS*$AP54,3)," ")),"")</f>
        <v/>
      </c>
      <c r="I113" s="380" t="str">
        <f>IFERROR(IF(ISERROR(CW142),"",CONCATENATE(ROUND(X_SHIFT_BP+IF(Tools!I$97&lt;=Tools!$D$47/2,-BM18,BM18),3),",",ROUND(WLS*$AP54,3)," ")),"")</f>
        <v/>
      </c>
      <c r="J113" s="380" t="str">
        <f>IFERROR(IF(ISERROR(CX142),"",CONCATENATE(ROUND(X_SHIFT_BP+IF(Tools!J$97&lt;=Tools!$D$47/2,-BN18,BN18),3),",",ROUND(WLS*$AP54,3)," ")),"")</f>
        <v/>
      </c>
      <c r="K113" s="380" t="str">
        <f>IFERROR(IF(ISERROR(CY142),"",CONCATENATE(ROUND(X_SHIFT_BP+IF(Tools!K$97&lt;=Tools!$D$47/2,-BO18,BO18),3),",",ROUND(WLS*$AP54,3)," ")),"")</f>
        <v/>
      </c>
      <c r="L113" s="380" t="str">
        <f>IFERROR(IF(ISERROR(CZ142),"",CONCATENATE(ROUND(X_SHIFT_BP+IF(Tools!L$97&lt;=Tools!$D$47/2,-BP18,BP18),3),",",ROUND(WLS*$AP54,3)," ")),"")</f>
        <v/>
      </c>
      <c r="M113" s="380" t="str">
        <f>IFERROR(IF(ISERROR(DA142),"",CONCATENATE(ROUND(X_SHIFT_BP+IF(Tools!M$97&lt;=Tools!$D$47/2,-BQ18,BQ18),3),",",ROUND(WLS*$AP54,3)," ")),"")</f>
        <v/>
      </c>
      <c r="N113" s="380" t="str">
        <f>IFERROR(IF(ISERROR(DB142),"",CONCATENATE(ROUND(X_SHIFT_BP+IF(Tools!N$97&lt;=Tools!$D$47/2,-BR18,BR18),3),",",ROUND(WLS*$AP54,3)," ")),"")</f>
        <v/>
      </c>
      <c r="O113" s="380" t="str">
        <f>IFERROR(IF(ISERROR(DC142),"",CONCATENATE(ROUND(X_SHIFT_BP+IF(Tools!O$97&lt;=Tools!$D$47/2,-BS18,BS18),3),",",ROUND(WLS*$AP54,3)," ")),"")</f>
        <v/>
      </c>
      <c r="P113" s="380" t="str">
        <f>IFERROR(IF(ISERROR(DD142),"",CONCATENATE(ROUND(X_SHIFT_BP+IF(Tools!P$97&lt;=Tools!$D$47/2,-BT18,BT18),3),",",ROUND(WLS*$AP54,3)," ")),"")</f>
        <v/>
      </c>
      <c r="Q113" s="380" t="str">
        <f>IFERROR(IF(ISERROR(DE142),"",CONCATENATE(ROUND(X_SHIFT_BP+IF(Tools!Q$97&lt;=Tools!$D$47/2,-BU18,BU18),3),",",ROUND(WLS*$AP54,3)," ")),"")</f>
        <v/>
      </c>
      <c r="R113" s="380" t="str">
        <f>IFERROR(IF(ISERROR(DF142),"",CONCATENATE(ROUND(X_SHIFT_BP+IF(Tools!R$97&lt;=Tools!$D$47/2,-BV18,BV18),3),",",ROUND(WLS*$AP54,3)," ")),"")</f>
        <v/>
      </c>
      <c r="S113" s="380" t="str">
        <f>IFERROR(IF(ISERROR(DG142),"",CONCATENATE(ROUND(X_SHIFT_BP+IF(Tools!S$97&lt;=Tools!$D$47/2,-BW18,BW18),3),",",ROUND(WLS*$AP54,3)," ")),"")</f>
        <v/>
      </c>
      <c r="T113" s="380" t="str">
        <f>IFERROR(IF(ISERROR(DH142),"",CONCATENATE(ROUND(X_SHIFT_BP+IF(Tools!T$97&lt;=Tools!$D$47/2,-BX18,BX18),3),",",ROUND(WLS*$AP54,3)," ")),"")</f>
        <v/>
      </c>
      <c r="U113" s="380" t="str">
        <f>IFERROR(IF(ISERROR(DI142),"",CONCATENATE(ROUND(X_SHIFT_BP+IF(Tools!U$97&lt;=Tools!$D$47/2,-BY18,BY18),3),",",ROUND(WLS*$AP54,3)," ")),"")</f>
        <v/>
      </c>
      <c r="V113" s="380" t="str">
        <f>IFERROR(IF(ISERROR(DJ142),"",CONCATENATE(ROUND(X_SHIFT_BP+IF(Tools!V$97&lt;=Tools!$D$47/2,-BZ18,BZ18),3),",",ROUND(WLS*$AP54,3)," ")),"")</f>
        <v/>
      </c>
      <c r="W113" s="380" t="str">
        <f>IFERROR(IF(ISERROR(DK142),"",CONCATENATE(ROUND(X_SHIFT_BP+IF(Tools!W$97&lt;=Tools!$D$47/2,-CA18,CA18),3),",",ROUND(WLS*$AP54,3)," ")),"")</f>
        <v/>
      </c>
      <c r="X113" s="380" t="str">
        <f>IFERROR(IF(ISERROR(DL142),"",CONCATENATE(ROUND(X_SHIFT_BP+IF(Tools!X$97&lt;=Tools!$D$47/2,-CB18,CB18),3),",",ROUND(WLS*$AP54,3)," ")),"")</f>
        <v/>
      </c>
      <c r="Y113" s="380" t="str">
        <f>IFERROR(IF(ISERROR(DM142),"",CONCATENATE(ROUND(X_SHIFT_BP+IF(Tools!Y$97&lt;=Tools!$D$47/2,-CC18,CC18),3),",",ROUND(WLS*$AP54,3)," ")),"")</f>
        <v/>
      </c>
      <c r="Z113" s="380" t="str">
        <f>IFERROR(IF(ISERROR(DN142),"",CONCATENATE(ROUND(X_SHIFT_BP+IF(Tools!Z$97&lt;=Tools!$D$47/2,-CD18,CD18),3),",",ROUND(WLS*$AP54,3)," ")),"")</f>
        <v/>
      </c>
      <c r="AA113" s="132">
        <v>12</v>
      </c>
      <c r="AB113" s="248" t="str">
        <f t="shared" si="259"/>
        <v xml:space="preserve">Spline </v>
      </c>
      <c r="AC113" s="132" t="str">
        <v/>
      </c>
      <c r="AD113" s="248" t="str">
        <v xml:space="preserve">178.61,0 </v>
      </c>
      <c r="AE113" s="248" t="str">
        <v xml:space="preserve">179.36,0.5 </v>
      </c>
      <c r="AF113" s="248" t="str">
        <v xml:space="preserve">179.66,1 </v>
      </c>
      <c r="AG113" s="248" t="str">
        <v xml:space="preserve">179.84,1.5 </v>
      </c>
      <c r="AH113" s="248" t="str">
        <v xml:space="preserve">179.91,2 </v>
      </c>
      <c r="AI113" s="248" t="str">
        <v xml:space="preserve">179.91,4 </v>
      </c>
      <c r="AJ113" s="248" t="str">
        <v xml:space="preserve">179.91,6 </v>
      </c>
      <c r="AK113" s="248" t="str">
        <v xml:space="preserve">179.91,8 </v>
      </c>
      <c r="AL113" s="248" t="str">
        <v xml:space="preserve">179.91,9.7 </v>
      </c>
      <c r="AM113" s="248" t="str">
        <v xml:space="preserve">179.91,10 </v>
      </c>
      <c r="AN113" s="248" t="str">
        <v xml:space="preserve">179.91,12 </v>
      </c>
      <c r="AO113" s="248" t="str">
        <v xml:space="preserve">179.91,13 </v>
      </c>
      <c r="AP113" s="248" t="str">
        <v/>
      </c>
      <c r="AQ113" s="248" t="str">
        <v/>
      </c>
      <c r="AR113" s="248" t="str">
        <v/>
      </c>
      <c r="AS113" s="248" t="str">
        <v/>
      </c>
      <c r="AT113" s="248" t="str">
        <v/>
      </c>
      <c r="AU113" s="248" t="str">
        <v/>
      </c>
      <c r="AV113" s="248" t="str">
        <v/>
      </c>
      <c r="AW113" s="248" t="str">
        <v/>
      </c>
      <c r="AX113" s="248" t="str">
        <v/>
      </c>
      <c r="AY113" s="248" t="str">
        <v/>
      </c>
      <c r="AZ113" s="248" t="str">
        <v/>
      </c>
      <c r="BA113" s="248" t="str">
        <v/>
      </c>
      <c r="BB113" s="248" t="str">
        <v/>
      </c>
      <c r="BC113" s="379">
        <f>Tools!AD18</f>
        <v>13</v>
      </c>
      <c r="BD113" s="379">
        <f>IFERROR(Tools!AD18*STN_GAP,"")</f>
        <v>95.03</v>
      </c>
      <c r="BE113" s="467">
        <f>IFERROR(IF(ISNUMBER(DE113),NA(),IF(AND($DF113&lt;&gt;0,$DG113&gt;BE$97),NA(),IF($BD113&gt;LBP/2,-(-Tools!AE18),-Tools!AE18))),NA())</f>
        <v>9.6999999999999993</v>
      </c>
      <c r="BF113" s="379">
        <f>IFERROR(IF(AND($DF113&lt;&gt;0,$DG113&gt;BF$97),NA(),IF($BD113&gt;LBP/2,-(-Tools!AF18),-Tools!AF18)),NA())</f>
        <v>10.45</v>
      </c>
      <c r="BG113" s="379">
        <f>IFERROR(IF(AND($DF113&lt;&gt;0,$DG113&gt;BG$97),NA(),IF($BD113&gt;LBP/2,-(-Tools!AG18),-Tools!AG18)),NA())</f>
        <v>10.75</v>
      </c>
      <c r="BH113" s="379">
        <f>IFERROR(IF(AND($DF113&lt;&gt;0,$DG113&gt;BH$97),NA(),IF($BD113&gt;LBP/2,-(-Tools!AH18),-Tools!AH18)),NA())</f>
        <v>10.93</v>
      </c>
      <c r="BI113" s="379">
        <f>IFERROR(IF(AND($DF113&lt;&gt;0,$DG113&gt;BI$97),NA(),IF($BD113&gt;LBP/2,-(-Tools!AI18),-Tools!AI18)),NA())</f>
        <v>11</v>
      </c>
      <c r="BJ113" s="379">
        <f>IFERROR(IF(AND($DF113&lt;&gt;0,$DG113&gt;BJ$97),NA(),IF($BD113&gt;LBP/2,-(-Tools!AJ18),-Tools!AJ18)),NA())</f>
        <v>11</v>
      </c>
      <c r="BK113" s="379">
        <f>IFERROR(IF(AND($DF113&lt;&gt;0,$DG113&gt;BK$97),NA(),IF($BD113&gt;LBP/2,-(-Tools!AK18),-Tools!AK18)),NA())</f>
        <v>11</v>
      </c>
      <c r="BL113" s="379">
        <f>IFERROR(IF(AND($DF113&lt;&gt;0,$DG113&gt;BL$97),NA(),IF($BD113&gt;LBP/2,-(-Tools!AL18),-Tools!AL18)),NA())</f>
        <v>11</v>
      </c>
      <c r="BM113" s="379">
        <f>IFERROR(IF(AND($DF113&lt;&gt;0,$DG113&gt;BM$97),NA(),IF($BD113&gt;LBP/2,-(-Tools!AM18),-Tools!AM18)),NA())</f>
        <v>11</v>
      </c>
      <c r="BN113" s="379">
        <f>IFERROR(IF(AND($DF113&lt;&gt;0,$DG113&gt;BN$97),NA(),IF($BD113&gt;LBP/2,-(-Tools!AN18),-Tools!AN18)),NA())</f>
        <v>11</v>
      </c>
      <c r="BO113" s="379">
        <f>IFERROR(IF(AND($DF113&lt;&gt;0,$DG113&gt;BO$97),NA(),IF($BD113&gt;LBP/2,-(-Tools!AO18),-Tools!AO18)),NA())</f>
        <v>11</v>
      </c>
      <c r="BP113" s="379">
        <f>IFERROR(IF(AND($DF113&lt;&gt;0,$DG113&gt;BP$97),NA(),IF($BD113&gt;LBP/2,-(-Tools!AP18),-Tools!AP18)),NA())</f>
        <v>11</v>
      </c>
      <c r="BQ113" s="379" t="e">
        <f>IFERROR(IF(AND($DF113&lt;&gt;0,$DG113&gt;BQ$97),NA(),IF($BD113&gt;LBP/2,-(-Tools!AQ18),-Tools!AQ18)),NA())</f>
        <v>#N/A</v>
      </c>
      <c r="BR113" s="379" t="e">
        <f>IFERROR(IF(AND($DF113&lt;&gt;0,$DG113&gt;BR$97),NA(),IF($BD113&gt;LBP/2,-(-Tools!AR18),-Tools!AR18)),NA())</f>
        <v>#N/A</v>
      </c>
      <c r="BS113" s="379" t="e">
        <f>IFERROR(IF(AND($DF113&lt;&gt;0,$DG113&gt;BS$97),NA(),IF($BD113&gt;LBP/2,-(-Tools!AS18),-Tools!AS18)),NA())</f>
        <v>#N/A</v>
      </c>
      <c r="BT113" s="379" t="e">
        <f>IFERROR(IF(AND($DF113&lt;&gt;0,$DG113&gt;BT$97),NA(),IF($BD113&gt;LBP/2,-(-Tools!AT18),-Tools!AT18)),NA())</f>
        <v>#N/A</v>
      </c>
      <c r="BU113" s="379" t="e">
        <f>IFERROR(IF(AND($DF113&lt;&gt;0,$DG113&gt;BU$97),NA(),IF($BD113&gt;LBP/2,-(-Tools!AU18),-Tools!AU18)),NA())</f>
        <v>#N/A</v>
      </c>
      <c r="BV113" s="379" t="e">
        <f>IFERROR(IF(AND($DF113&lt;&gt;0,$DG113&gt;BV$97),NA(),IF($BD113&gt;LBP/2,-(-Tools!AV18),-Tools!AV18)),NA())</f>
        <v>#N/A</v>
      </c>
      <c r="BW113" s="379" t="e">
        <f>IFERROR(IF(AND($DF113&lt;&gt;0,$DG113&gt;BW$97),NA(),IF($BD113&gt;LBP/2,-(-Tools!AW18),-Tools!AW18)),NA())</f>
        <v>#N/A</v>
      </c>
      <c r="BX113" s="379" t="e">
        <f>IFERROR(IF(AND($DF113&lt;&gt;0,$DG113&gt;BX$97),NA(),IF($BD113&gt;LBP/2,-(-Tools!AX18),-Tools!AX18)),NA())</f>
        <v>#N/A</v>
      </c>
      <c r="BY113" s="379" t="e">
        <f>IFERROR(IF(AND($DF113&lt;&gt;0,$DG113&gt;BY$97),NA(),IF($BD113&gt;LBP/2,-(-Tools!AY18),-Tools!AY18)),NA())</f>
        <v>#N/A</v>
      </c>
      <c r="BZ113" s="379" t="e">
        <f>IFERROR(IF(AND($DF113&lt;&gt;0,$DG113&gt;BZ$97),NA(),IF($BD113&gt;LBP/2,-(-Tools!AZ18),-Tools!AZ18)),NA())</f>
        <v>#N/A</v>
      </c>
      <c r="CA113" s="379" t="e">
        <f>IFERROR(IF(AND($DF113&lt;&gt;0,$DG113&gt;CA$97),NA(),IF($BD113&gt;LBP/2,-(-Tools!BA18),-Tools!BA18)),NA())</f>
        <v>#N/A</v>
      </c>
      <c r="CB113" s="379" t="e">
        <f>IFERROR(IF(AND($DF113&lt;&gt;0,$DG113&gt;CB$97),NA(),IF($BD113&gt;LBP/2,-(-Tools!BB18),-Tools!BB18)),NA())</f>
        <v>#N/A</v>
      </c>
      <c r="CC113" s="379" t="e">
        <f>IFERROR(IF(AND($DF113&lt;&gt;0,$DG113&gt;CC$97),NA(),IF($BD113&gt;LBP/2,-(-Tools!BC18),-Tools!BC18)),NA())</f>
        <v>#N/A</v>
      </c>
      <c r="CE113" s="429" t="b">
        <f t="shared" si="207"/>
        <v>0</v>
      </c>
      <c r="CF113" s="429" t="b">
        <f t="shared" si="208"/>
        <v>0</v>
      </c>
      <c r="CG113" s="429" t="b">
        <f t="shared" si="209"/>
        <v>0</v>
      </c>
      <c r="CH113" s="429" t="b">
        <f t="shared" si="210"/>
        <v>0</v>
      </c>
      <c r="CI113" s="429" t="b">
        <f t="shared" si="211"/>
        <v>0</v>
      </c>
      <c r="CJ113" s="429" t="b">
        <f t="shared" si="212"/>
        <v>0</v>
      </c>
      <c r="CK113" s="429" t="b">
        <f t="shared" si="213"/>
        <v>0</v>
      </c>
      <c r="CL113" s="429" t="b">
        <f t="shared" si="214"/>
        <v>0</v>
      </c>
      <c r="CM113" s="429" t="b">
        <f t="shared" si="215"/>
        <v>0</v>
      </c>
      <c r="CN113" s="429" t="b">
        <f t="shared" si="216"/>
        <v>0</v>
      </c>
      <c r="CO113" s="429" t="b">
        <f t="shared" si="217"/>
        <v>0</v>
      </c>
      <c r="CP113" s="429" t="b">
        <f t="shared" si="218"/>
        <v>0</v>
      </c>
      <c r="CQ113" s="429" t="b">
        <f t="shared" si="219"/>
        <v>0</v>
      </c>
      <c r="CR113" s="429" t="b">
        <f t="shared" si="220"/>
        <v>0</v>
      </c>
      <c r="CS113" s="429" t="b">
        <f t="shared" si="221"/>
        <v>0</v>
      </c>
      <c r="CT113" s="429" t="b">
        <f t="shared" si="222"/>
        <v>0</v>
      </c>
      <c r="CU113" s="429" t="b">
        <f t="shared" si="223"/>
        <v>0</v>
      </c>
      <c r="CV113" s="429" t="b">
        <f t="shared" si="224"/>
        <v>0</v>
      </c>
      <c r="CW113" s="429" t="b">
        <f t="shared" si="225"/>
        <v>0</v>
      </c>
      <c r="CX113" s="429" t="b">
        <f t="shared" si="226"/>
        <v>0</v>
      </c>
      <c r="CY113" s="429" t="b">
        <f t="shared" si="227"/>
        <v>0</v>
      </c>
      <c r="CZ113" s="429" t="b">
        <f t="shared" si="228"/>
        <v>0</v>
      </c>
      <c r="DA113" s="429" t="b">
        <f t="shared" si="229"/>
        <v>0</v>
      </c>
      <c r="DB113" s="429" t="b">
        <f t="shared" si="230"/>
        <v>0</v>
      </c>
      <c r="DC113" s="429"/>
      <c r="DD113" s="429">
        <f t="shared" si="260"/>
        <v>0</v>
      </c>
      <c r="DE113" s="429" t="str">
        <f t="shared" si="231"/>
        <v>-</v>
      </c>
      <c r="DF113" s="429">
        <f t="shared" si="232"/>
        <v>0</v>
      </c>
      <c r="DG113" s="429">
        <f t="shared" si="261"/>
        <v>0</v>
      </c>
      <c r="DH113" s="429">
        <f t="shared" si="262"/>
        <v>13</v>
      </c>
      <c r="DI113" s="429"/>
      <c r="DJ113" s="429" t="e">
        <f t="shared" si="263"/>
        <v>#N/A</v>
      </c>
      <c r="DK113" s="429">
        <f t="shared" si="180"/>
        <v>9.6999999999999993</v>
      </c>
      <c r="DL113" s="429">
        <f t="shared" si="181"/>
        <v>10.45</v>
      </c>
      <c r="DM113" s="429">
        <f t="shared" si="182"/>
        <v>10.75</v>
      </c>
      <c r="DN113" s="429">
        <f t="shared" si="183"/>
        <v>10.93</v>
      </c>
      <c r="DO113" s="429">
        <f t="shared" si="184"/>
        <v>11</v>
      </c>
      <c r="DP113" s="429">
        <f t="shared" si="185"/>
        <v>11</v>
      </c>
      <c r="DQ113" s="429">
        <f t="shared" si="186"/>
        <v>11</v>
      </c>
      <c r="DR113" s="429">
        <f t="shared" si="187"/>
        <v>11</v>
      </c>
      <c r="DS113" s="429">
        <f t="shared" si="188"/>
        <v>11</v>
      </c>
      <c r="DT113" s="429">
        <f t="shared" si="189"/>
        <v>11</v>
      </c>
      <c r="DU113" s="429">
        <f t="shared" si="190"/>
        <v>11</v>
      </c>
      <c r="DV113" s="429">
        <f t="shared" si="191"/>
        <v>11</v>
      </c>
      <c r="DW113" s="429" t="e">
        <f t="shared" si="192"/>
        <v>#N/A</v>
      </c>
      <c r="DX113" s="429" t="e">
        <f t="shared" si="193"/>
        <v>#N/A</v>
      </c>
      <c r="DY113" s="429" t="e">
        <f t="shared" si="194"/>
        <v>#N/A</v>
      </c>
      <c r="DZ113" s="429" t="e">
        <f t="shared" si="195"/>
        <v>#N/A</v>
      </c>
      <c r="EA113" s="429" t="e">
        <f t="shared" si="196"/>
        <v>#N/A</v>
      </c>
      <c r="EB113" s="429" t="e">
        <f t="shared" si="197"/>
        <v>#N/A</v>
      </c>
      <c r="EC113" s="429" t="e">
        <f t="shared" si="198"/>
        <v>#N/A</v>
      </c>
      <c r="ED113" s="429" t="e">
        <f t="shared" si="199"/>
        <v>#N/A</v>
      </c>
      <c r="EE113" s="429" t="e">
        <f t="shared" si="200"/>
        <v>#N/A</v>
      </c>
      <c r="EF113" s="429" t="e">
        <f t="shared" si="201"/>
        <v>#N/A</v>
      </c>
      <c r="EG113" s="429" t="e">
        <f t="shared" si="202"/>
        <v>#N/A</v>
      </c>
      <c r="EH113" s="429" t="e">
        <f t="shared" si="203"/>
        <v>#N/A</v>
      </c>
      <c r="EI113" s="429" t="e">
        <f t="shared" si="204"/>
        <v>#N/A</v>
      </c>
      <c r="EJ113" s="429"/>
      <c r="EK113" s="429"/>
      <c r="EL113" s="429" t="e">
        <f t="shared" si="233"/>
        <v>#N/A</v>
      </c>
      <c r="EM113" s="429">
        <f t="shared" si="264"/>
        <v>0</v>
      </c>
      <c r="EN113" s="429">
        <f t="shared" si="235"/>
        <v>0.5</v>
      </c>
      <c r="EO113" s="429">
        <f t="shared" si="236"/>
        <v>1</v>
      </c>
      <c r="EP113" s="429">
        <f t="shared" si="237"/>
        <v>1.5</v>
      </c>
      <c r="EQ113" s="429">
        <f t="shared" si="238"/>
        <v>2</v>
      </c>
      <c r="ER113" s="429">
        <f t="shared" si="239"/>
        <v>4</v>
      </c>
      <c r="ES113" s="429">
        <f t="shared" si="240"/>
        <v>6</v>
      </c>
      <c r="ET113" s="429">
        <f t="shared" si="241"/>
        <v>8</v>
      </c>
      <c r="EU113" s="429">
        <f t="shared" si="242"/>
        <v>9.6999999999999993</v>
      </c>
      <c r="EV113" s="429">
        <f t="shared" si="243"/>
        <v>10</v>
      </c>
      <c r="EW113" s="429">
        <f t="shared" si="244"/>
        <v>12</v>
      </c>
      <c r="EX113" s="429">
        <f t="shared" si="245"/>
        <v>13</v>
      </c>
      <c r="EY113" s="429" t="e">
        <f t="shared" si="246"/>
        <v>#N/A</v>
      </c>
      <c r="EZ113" s="429" t="e">
        <f t="shared" si="247"/>
        <v>#N/A</v>
      </c>
      <c r="FA113" s="429" t="e">
        <f t="shared" si="248"/>
        <v>#N/A</v>
      </c>
      <c r="FB113" s="429" t="e">
        <f t="shared" si="249"/>
        <v>#N/A</v>
      </c>
      <c r="FC113" s="429" t="e">
        <f t="shared" si="250"/>
        <v>#N/A</v>
      </c>
      <c r="FD113" s="429" t="e">
        <f t="shared" si="251"/>
        <v>#N/A</v>
      </c>
      <c r="FE113" s="429" t="e">
        <f t="shared" si="252"/>
        <v>#N/A</v>
      </c>
      <c r="FF113" s="429" t="e">
        <f t="shared" si="253"/>
        <v>#N/A</v>
      </c>
      <c r="FG113" s="429" t="e">
        <f t="shared" si="254"/>
        <v>#N/A</v>
      </c>
      <c r="FH113" s="429" t="e">
        <f t="shared" si="255"/>
        <v>#N/A</v>
      </c>
      <c r="FI113" s="429" t="e">
        <f t="shared" si="256"/>
        <v>#N/A</v>
      </c>
      <c r="FJ113" s="429" t="e">
        <f t="shared" si="257"/>
        <v>#N/A</v>
      </c>
      <c r="FK113" s="429" t="e">
        <f t="shared" si="258"/>
        <v>#N/A</v>
      </c>
    </row>
    <row r="114" spans="1:199" x14ac:dyDescent="0.25">
      <c r="A114" s="377" t="str">
        <f t="shared" si="206"/>
        <v xml:space="preserve">  </v>
      </c>
      <c r="B114" s="380" t="str">
        <f>IFERROR(IF(ISERROR(CP143),"",CONCATENATE(ROUND(X_SHIFT_BP+IF(Tools!B$97&lt;=Tools!$D$47/2,-BF19,BF19),3),",",ROUND(WLS*$AP55,3)," ")),"")</f>
        <v/>
      </c>
      <c r="C114" s="380" t="str">
        <f>IFERROR(IF(ISERROR(CQ143),"",CONCATENATE(ROUND(X_SHIFT_BP+IF(Tools!C$97&lt;=Tools!$D$47/2,-BG19,BG19),3),",",ROUND(WLS*$AP55,3)," ")),"")</f>
        <v/>
      </c>
      <c r="D114" s="380" t="str">
        <f>IFERROR(IF(ISERROR(CR143),"",CONCATENATE(ROUND(X_SHIFT_BP+IF(Tools!D$97&lt;=Tools!$D$47/2,-BH19,BH19),3),",",ROUND(WLS*$AP55,3)," ")),"")</f>
        <v/>
      </c>
      <c r="E114" s="380" t="str">
        <f>IFERROR(IF(ISERROR(CS143),"",CONCATENATE(ROUND(X_SHIFT_BP+IF(Tools!E$97&lt;=Tools!$D$47/2,-BI19,BI19),3),",",ROUND(WLS*$AP55,3)," ")),"")</f>
        <v/>
      </c>
      <c r="F114" s="380" t="str">
        <f>IFERROR(IF(ISERROR(CT143),"",CONCATENATE(ROUND(X_SHIFT_BP+IF(Tools!F$97&lt;=Tools!$D$47/2,-BJ19,BJ19),3),",",ROUND(WLS*$AP55,3)," ")),"")</f>
        <v/>
      </c>
      <c r="G114" s="380" t="str">
        <f>IFERROR(IF(ISERROR(CU143),"",CONCATENATE(ROUND(X_SHIFT_BP+IF(Tools!G$97&lt;=Tools!$D$47/2,-BK19,BK19),3),",",ROUND(WLS*$AP55,3)," ")),"")</f>
        <v/>
      </c>
      <c r="H114" s="380" t="str">
        <f>IFERROR(IF(ISERROR(CV143),"",CONCATENATE(ROUND(X_SHIFT_BP+IF(Tools!H$97&lt;=Tools!$D$47/2,-BL19,BL19),3),",",ROUND(WLS*$AP55,3)," ")),"")</f>
        <v/>
      </c>
      <c r="I114" s="380" t="str">
        <f>IFERROR(IF(ISERROR(CW143),"",CONCATENATE(ROUND(X_SHIFT_BP+IF(Tools!I$97&lt;=Tools!$D$47/2,-BM19,BM19),3),",",ROUND(WLS*$AP55,3)," ")),"")</f>
        <v/>
      </c>
      <c r="J114" s="380" t="str">
        <f>IFERROR(IF(ISERROR(CX143),"",CONCATENATE(ROUND(X_SHIFT_BP+IF(Tools!J$97&lt;=Tools!$D$47/2,-BN19,BN19),3),",",ROUND(WLS*$AP55,3)," ")),"")</f>
        <v/>
      </c>
      <c r="K114" s="380" t="str">
        <f>IFERROR(IF(ISERROR(CY143),"",CONCATENATE(ROUND(X_SHIFT_BP+IF(Tools!K$97&lt;=Tools!$D$47/2,-BO19,BO19),3),",",ROUND(WLS*$AP55,3)," ")),"")</f>
        <v/>
      </c>
      <c r="L114" s="380" t="str">
        <f>IFERROR(IF(ISERROR(CZ143),"",CONCATENATE(ROUND(X_SHIFT_BP+IF(Tools!L$97&lt;=Tools!$D$47/2,-BP19,BP19),3),",",ROUND(WLS*$AP55,3)," ")),"")</f>
        <v/>
      </c>
      <c r="M114" s="380" t="str">
        <f>IFERROR(IF(ISERROR(DA143),"",CONCATENATE(ROUND(X_SHIFT_BP+IF(Tools!M$97&lt;=Tools!$D$47/2,-BQ19,BQ19),3),",",ROUND(WLS*$AP55,3)," ")),"")</f>
        <v/>
      </c>
      <c r="N114" s="380" t="str">
        <f>IFERROR(IF(ISERROR(DB143),"",CONCATENATE(ROUND(X_SHIFT_BP+IF(Tools!N$97&lt;=Tools!$D$47/2,-BR19,BR19),3),",",ROUND(WLS*$AP55,3)," ")),"")</f>
        <v/>
      </c>
      <c r="O114" s="380" t="str">
        <f>IFERROR(IF(ISERROR(DC143),"",CONCATENATE(ROUND(X_SHIFT_BP+IF(Tools!O$97&lt;=Tools!$D$47/2,-BS19,BS19),3),",",ROUND(WLS*$AP55,3)," ")),"")</f>
        <v/>
      </c>
      <c r="P114" s="380" t="str">
        <f>IFERROR(IF(ISERROR(DD143),"",CONCATENATE(ROUND(X_SHIFT_BP+IF(Tools!P$97&lt;=Tools!$D$47/2,-BT19,BT19),3),",",ROUND(WLS*$AP55,3)," ")),"")</f>
        <v/>
      </c>
      <c r="Q114" s="380" t="str">
        <f>IFERROR(IF(ISERROR(DE143),"",CONCATENATE(ROUND(X_SHIFT_BP+IF(Tools!Q$97&lt;=Tools!$D$47/2,-BU19,BU19),3),",",ROUND(WLS*$AP55,3)," ")),"")</f>
        <v/>
      </c>
      <c r="R114" s="380" t="str">
        <f>IFERROR(IF(ISERROR(DF143),"",CONCATENATE(ROUND(X_SHIFT_BP+IF(Tools!R$97&lt;=Tools!$D$47/2,-BV19,BV19),3),",",ROUND(WLS*$AP55,3)," ")),"")</f>
        <v/>
      </c>
      <c r="S114" s="380" t="str">
        <f>IFERROR(IF(ISERROR(DG143),"",CONCATENATE(ROUND(X_SHIFT_BP+IF(Tools!S$97&lt;=Tools!$D$47/2,-BW19,BW19),3),",",ROUND(WLS*$AP55,3)," ")),"")</f>
        <v/>
      </c>
      <c r="T114" s="380" t="str">
        <f>IFERROR(IF(ISERROR(DH143),"",CONCATENATE(ROUND(X_SHIFT_BP+IF(Tools!T$97&lt;=Tools!$D$47/2,-BX19,BX19),3),",",ROUND(WLS*$AP55,3)," ")),"")</f>
        <v/>
      </c>
      <c r="U114" s="380" t="str">
        <f>IFERROR(IF(ISERROR(DI143),"",CONCATENATE(ROUND(X_SHIFT_BP+IF(Tools!U$97&lt;=Tools!$D$47/2,-BY19,BY19),3),",",ROUND(WLS*$AP55,3)," ")),"")</f>
        <v/>
      </c>
      <c r="V114" s="380" t="str">
        <f>IFERROR(IF(ISERROR(DJ143),"",CONCATENATE(ROUND(X_SHIFT_BP+IF(Tools!V$97&lt;=Tools!$D$47/2,-BZ19,BZ19),3),",",ROUND(WLS*$AP55,3)," ")),"")</f>
        <v/>
      </c>
      <c r="W114" s="380" t="str">
        <f>IFERROR(IF(ISERROR(DK143),"",CONCATENATE(ROUND(X_SHIFT_BP+IF(Tools!W$97&lt;=Tools!$D$47/2,-CA19,CA19),3),",",ROUND(WLS*$AP55,3)," ")),"")</f>
        <v/>
      </c>
      <c r="X114" s="380" t="str">
        <f>IFERROR(IF(ISERROR(DL143),"",CONCATENATE(ROUND(X_SHIFT_BP+IF(Tools!X$97&lt;=Tools!$D$47/2,-CB19,CB19),3),",",ROUND(WLS*$AP55,3)," ")),"")</f>
        <v/>
      </c>
      <c r="Y114" s="380" t="str">
        <f>IFERROR(IF(ISERROR(DM143),"",CONCATENATE(ROUND(X_SHIFT_BP+IF(Tools!Y$97&lt;=Tools!$D$47/2,-CC19,CC19),3),",",ROUND(WLS*$AP55,3)," ")),"")</f>
        <v/>
      </c>
      <c r="Z114" s="380" t="str">
        <f>IFERROR(IF(ISERROR(DN143),"",CONCATENATE(ROUND(X_SHIFT_BP+IF(Tools!Z$97&lt;=Tools!$D$47/2,-CD19,CD19),3),",",ROUND(WLS*$AP55,3)," ")),"")</f>
        <v/>
      </c>
      <c r="AA114" s="132">
        <v>12</v>
      </c>
      <c r="AB114" s="248" t="str">
        <f t="shared" si="259"/>
        <v xml:space="preserve">Spline </v>
      </c>
      <c r="AC114" s="132" t="str">
        <v/>
      </c>
      <c r="AD114" s="248" t="str">
        <v xml:space="preserve">178.41,0 </v>
      </c>
      <c r="AE114" s="248" t="str">
        <v xml:space="preserve">179.23,0.5 </v>
      </c>
      <c r="AF114" s="248" t="str">
        <v xml:space="preserve">179.57,1 </v>
      </c>
      <c r="AG114" s="248" t="str">
        <v xml:space="preserve">179.78,1.5 </v>
      </c>
      <c r="AH114" s="248" t="str">
        <v xml:space="preserve">179.91,2 </v>
      </c>
      <c r="AI114" s="248" t="str">
        <v xml:space="preserve">179.91,4 </v>
      </c>
      <c r="AJ114" s="248" t="str">
        <v xml:space="preserve">179.91,6 </v>
      </c>
      <c r="AK114" s="248" t="str">
        <v xml:space="preserve">179.91,8 </v>
      </c>
      <c r="AL114" s="248" t="str">
        <v xml:space="preserve">179.91,9.7 </v>
      </c>
      <c r="AM114" s="248" t="str">
        <v xml:space="preserve">179.91,10 </v>
      </c>
      <c r="AN114" s="248" t="str">
        <v xml:space="preserve">179.91,12 </v>
      </c>
      <c r="AO114" s="248" t="str">
        <v xml:space="preserve">179.91,13 </v>
      </c>
      <c r="AP114" s="248" t="str">
        <v/>
      </c>
      <c r="AQ114" s="248" t="str">
        <v/>
      </c>
      <c r="AR114" s="248" t="str">
        <v/>
      </c>
      <c r="AS114" s="248" t="str">
        <v/>
      </c>
      <c r="AT114" s="248" t="str">
        <v/>
      </c>
      <c r="AU114" s="248" t="str">
        <v/>
      </c>
      <c r="AV114" s="248" t="str">
        <v/>
      </c>
      <c r="AW114" s="248" t="str">
        <v/>
      </c>
      <c r="AX114" s="248" t="str">
        <v/>
      </c>
      <c r="AY114" s="248" t="str">
        <v/>
      </c>
      <c r="AZ114" s="248" t="str">
        <v/>
      </c>
      <c r="BA114" s="248" t="str">
        <v/>
      </c>
      <c r="BB114" s="248" t="str">
        <v/>
      </c>
      <c r="BC114" s="379">
        <f>Tools!AD19</f>
        <v>14</v>
      </c>
      <c r="BD114" s="379">
        <f>IFERROR(Tools!AD19*STN_GAP,"")</f>
        <v>102.33999999999999</v>
      </c>
      <c r="BE114" s="467">
        <f>IFERROR(IF(ISNUMBER(DE114),NA(),IF(AND($DF114&lt;&gt;0,$DG114&gt;BE$97),NA(),IF($BD114&gt;LBP/2,-(-Tools!AE19),-Tools!AE19))),NA())</f>
        <v>9.5</v>
      </c>
      <c r="BF114" s="379">
        <f>IFERROR(IF(AND($DF114&lt;&gt;0,$DG114&gt;BF$97),NA(),IF($BD114&gt;LBP/2,-(-Tools!AF19),-Tools!AF19)),NA())</f>
        <v>10.32</v>
      </c>
      <c r="BG114" s="379">
        <f>IFERROR(IF(AND($DF114&lt;&gt;0,$DG114&gt;BG$97),NA(),IF($BD114&gt;LBP/2,-(-Tools!AG19),-Tools!AG19)),NA())</f>
        <v>10.66</v>
      </c>
      <c r="BH114" s="379">
        <f>IFERROR(IF(AND($DF114&lt;&gt;0,$DG114&gt;BH$97),NA(),IF($BD114&gt;LBP/2,-(-Tools!AH19),-Tools!AH19)),NA())</f>
        <v>10.87</v>
      </c>
      <c r="BI114" s="379">
        <f>IFERROR(IF(AND($DF114&lt;&gt;0,$DG114&gt;BI$97),NA(),IF($BD114&gt;LBP/2,-(-Tools!AI19),-Tools!AI19)),NA())</f>
        <v>11</v>
      </c>
      <c r="BJ114" s="379">
        <f>IFERROR(IF(AND($DF114&lt;&gt;0,$DG114&gt;BJ$97),NA(),IF($BD114&gt;LBP/2,-(-Tools!AJ19),-Tools!AJ19)),NA())</f>
        <v>11</v>
      </c>
      <c r="BK114" s="379">
        <f>IFERROR(IF(AND($DF114&lt;&gt;0,$DG114&gt;BK$97),NA(),IF($BD114&gt;LBP/2,-(-Tools!AK19),-Tools!AK19)),NA())</f>
        <v>11</v>
      </c>
      <c r="BL114" s="379">
        <f>IFERROR(IF(AND($DF114&lt;&gt;0,$DG114&gt;BL$97),NA(),IF($BD114&gt;LBP/2,-(-Tools!AL19),-Tools!AL19)),NA())</f>
        <v>11</v>
      </c>
      <c r="BM114" s="379">
        <f>IFERROR(IF(AND($DF114&lt;&gt;0,$DG114&gt;BM$97),NA(),IF($BD114&gt;LBP/2,-(-Tools!AM19),-Tools!AM19)),NA())</f>
        <v>11</v>
      </c>
      <c r="BN114" s="379">
        <f>IFERROR(IF(AND($DF114&lt;&gt;0,$DG114&gt;BN$97),NA(),IF($BD114&gt;LBP/2,-(-Tools!AN19),-Tools!AN19)),NA())</f>
        <v>11</v>
      </c>
      <c r="BO114" s="379">
        <f>IFERROR(IF(AND($DF114&lt;&gt;0,$DG114&gt;BO$97),NA(),IF($BD114&gt;LBP/2,-(-Tools!AO19),-Tools!AO19)),NA())</f>
        <v>11</v>
      </c>
      <c r="BP114" s="379">
        <f>IFERROR(IF(AND($DF114&lt;&gt;0,$DG114&gt;BP$97),NA(),IF($BD114&gt;LBP/2,-(-Tools!AP19),-Tools!AP19)),NA())</f>
        <v>11</v>
      </c>
      <c r="BQ114" s="379" t="e">
        <f>IFERROR(IF(AND($DF114&lt;&gt;0,$DG114&gt;BQ$97),NA(),IF($BD114&gt;LBP/2,-(-Tools!AQ19),-Tools!AQ19)),NA())</f>
        <v>#N/A</v>
      </c>
      <c r="BR114" s="379" t="e">
        <f>IFERROR(IF(AND($DF114&lt;&gt;0,$DG114&gt;BR$97),NA(),IF($BD114&gt;LBP/2,-(-Tools!AR19),-Tools!AR19)),NA())</f>
        <v>#N/A</v>
      </c>
      <c r="BS114" s="379" t="e">
        <f>IFERROR(IF(AND($DF114&lt;&gt;0,$DG114&gt;BS$97),NA(),IF($BD114&gt;LBP/2,-(-Tools!AS19),-Tools!AS19)),NA())</f>
        <v>#N/A</v>
      </c>
      <c r="BT114" s="379" t="e">
        <f>IFERROR(IF(AND($DF114&lt;&gt;0,$DG114&gt;BT$97),NA(),IF($BD114&gt;LBP/2,-(-Tools!AT19),-Tools!AT19)),NA())</f>
        <v>#N/A</v>
      </c>
      <c r="BU114" s="379" t="e">
        <f>IFERROR(IF(AND($DF114&lt;&gt;0,$DG114&gt;BU$97),NA(),IF($BD114&gt;LBP/2,-(-Tools!AU19),-Tools!AU19)),NA())</f>
        <v>#N/A</v>
      </c>
      <c r="BV114" s="379" t="e">
        <f>IFERROR(IF(AND($DF114&lt;&gt;0,$DG114&gt;BV$97),NA(),IF($BD114&gt;LBP/2,-(-Tools!AV19),-Tools!AV19)),NA())</f>
        <v>#N/A</v>
      </c>
      <c r="BW114" s="379" t="e">
        <f>IFERROR(IF(AND($DF114&lt;&gt;0,$DG114&gt;BW$97),NA(),IF($BD114&gt;LBP/2,-(-Tools!AW19),-Tools!AW19)),NA())</f>
        <v>#N/A</v>
      </c>
      <c r="BX114" s="379" t="e">
        <f>IFERROR(IF(AND($DF114&lt;&gt;0,$DG114&gt;BX$97),NA(),IF($BD114&gt;LBP/2,-(-Tools!AX19),-Tools!AX19)),NA())</f>
        <v>#N/A</v>
      </c>
      <c r="BY114" s="379" t="e">
        <f>IFERROR(IF(AND($DF114&lt;&gt;0,$DG114&gt;BY$97),NA(),IF($BD114&gt;LBP/2,-(-Tools!AY19),-Tools!AY19)),NA())</f>
        <v>#N/A</v>
      </c>
      <c r="BZ114" s="379" t="e">
        <f>IFERROR(IF(AND($DF114&lt;&gt;0,$DG114&gt;BZ$97),NA(),IF($BD114&gt;LBP/2,-(-Tools!AZ19),-Tools!AZ19)),NA())</f>
        <v>#N/A</v>
      </c>
      <c r="CA114" s="379" t="e">
        <f>IFERROR(IF(AND($DF114&lt;&gt;0,$DG114&gt;CA$97),NA(),IF($BD114&gt;LBP/2,-(-Tools!BA19),-Tools!BA19)),NA())</f>
        <v>#N/A</v>
      </c>
      <c r="CB114" s="379" t="e">
        <f>IFERROR(IF(AND($DF114&lt;&gt;0,$DG114&gt;CB$97),NA(),IF($BD114&gt;LBP/2,-(-Tools!BB19),-Tools!BB19)),NA())</f>
        <v>#N/A</v>
      </c>
      <c r="CC114" s="379" t="e">
        <f>IFERROR(IF(AND($DF114&lt;&gt;0,$DG114&gt;CC$97),NA(),IF($BD114&gt;LBP/2,-(-Tools!BC19),-Tools!BC19)),NA())</f>
        <v>#N/A</v>
      </c>
      <c r="CE114" s="429" t="b">
        <f t="shared" si="207"/>
        <v>0</v>
      </c>
      <c r="CF114" s="429" t="b">
        <f t="shared" si="208"/>
        <v>0</v>
      </c>
      <c r="CG114" s="429" t="b">
        <f t="shared" si="209"/>
        <v>0</v>
      </c>
      <c r="CH114" s="429" t="b">
        <f t="shared" si="210"/>
        <v>0</v>
      </c>
      <c r="CI114" s="429" t="b">
        <f t="shared" si="211"/>
        <v>0</v>
      </c>
      <c r="CJ114" s="429" t="b">
        <f t="shared" si="212"/>
        <v>0</v>
      </c>
      <c r="CK114" s="429" t="b">
        <f t="shared" si="213"/>
        <v>0</v>
      </c>
      <c r="CL114" s="429" t="b">
        <f t="shared" si="214"/>
        <v>0</v>
      </c>
      <c r="CM114" s="429" t="b">
        <f t="shared" si="215"/>
        <v>0</v>
      </c>
      <c r="CN114" s="429" t="b">
        <f t="shared" si="216"/>
        <v>0</v>
      </c>
      <c r="CO114" s="429" t="b">
        <f t="shared" si="217"/>
        <v>0</v>
      </c>
      <c r="CP114" s="429" t="b">
        <f t="shared" si="218"/>
        <v>0</v>
      </c>
      <c r="CQ114" s="429" t="b">
        <f t="shared" si="219"/>
        <v>0</v>
      </c>
      <c r="CR114" s="429" t="b">
        <f t="shared" si="220"/>
        <v>0</v>
      </c>
      <c r="CS114" s="429" t="b">
        <f t="shared" si="221"/>
        <v>0</v>
      </c>
      <c r="CT114" s="429" t="b">
        <f t="shared" si="222"/>
        <v>0</v>
      </c>
      <c r="CU114" s="429" t="b">
        <f t="shared" si="223"/>
        <v>0</v>
      </c>
      <c r="CV114" s="429" t="b">
        <f t="shared" si="224"/>
        <v>0</v>
      </c>
      <c r="CW114" s="429" t="b">
        <f t="shared" si="225"/>
        <v>0</v>
      </c>
      <c r="CX114" s="429" t="b">
        <f t="shared" si="226"/>
        <v>0</v>
      </c>
      <c r="CY114" s="429" t="b">
        <f t="shared" si="227"/>
        <v>0</v>
      </c>
      <c r="CZ114" s="429" t="b">
        <f t="shared" si="228"/>
        <v>0</v>
      </c>
      <c r="DA114" s="429" t="b">
        <f t="shared" si="229"/>
        <v>0</v>
      </c>
      <c r="DB114" s="429" t="b">
        <f t="shared" si="230"/>
        <v>0</v>
      </c>
      <c r="DC114" s="429"/>
      <c r="DD114" s="429">
        <f t="shared" si="260"/>
        <v>0</v>
      </c>
      <c r="DE114" s="429" t="str">
        <f t="shared" si="231"/>
        <v>-</v>
      </c>
      <c r="DF114" s="429">
        <f t="shared" si="232"/>
        <v>0</v>
      </c>
      <c r="DG114" s="429">
        <f t="shared" si="261"/>
        <v>0</v>
      </c>
      <c r="DH114" s="429">
        <f t="shared" si="262"/>
        <v>14</v>
      </c>
      <c r="DI114" s="429"/>
      <c r="DJ114" s="429" t="e">
        <f t="shared" si="263"/>
        <v>#N/A</v>
      </c>
      <c r="DK114" s="429">
        <f t="shared" si="180"/>
        <v>9.5</v>
      </c>
      <c r="DL114" s="429">
        <f t="shared" si="181"/>
        <v>10.32</v>
      </c>
      <c r="DM114" s="429">
        <f t="shared" si="182"/>
        <v>10.66</v>
      </c>
      <c r="DN114" s="429">
        <f t="shared" si="183"/>
        <v>10.87</v>
      </c>
      <c r="DO114" s="429">
        <f t="shared" si="184"/>
        <v>11</v>
      </c>
      <c r="DP114" s="429">
        <f t="shared" si="185"/>
        <v>11</v>
      </c>
      <c r="DQ114" s="429">
        <f t="shared" si="186"/>
        <v>11</v>
      </c>
      <c r="DR114" s="429">
        <f t="shared" si="187"/>
        <v>11</v>
      </c>
      <c r="DS114" s="429">
        <f t="shared" si="188"/>
        <v>11</v>
      </c>
      <c r="DT114" s="429">
        <f t="shared" si="189"/>
        <v>11</v>
      </c>
      <c r="DU114" s="429">
        <f t="shared" si="190"/>
        <v>11</v>
      </c>
      <c r="DV114" s="429">
        <f t="shared" si="191"/>
        <v>11</v>
      </c>
      <c r="DW114" s="429" t="e">
        <f t="shared" si="192"/>
        <v>#N/A</v>
      </c>
      <c r="DX114" s="429" t="e">
        <f t="shared" si="193"/>
        <v>#N/A</v>
      </c>
      <c r="DY114" s="429" t="e">
        <f t="shared" si="194"/>
        <v>#N/A</v>
      </c>
      <c r="DZ114" s="429" t="e">
        <f t="shared" si="195"/>
        <v>#N/A</v>
      </c>
      <c r="EA114" s="429" t="e">
        <f t="shared" si="196"/>
        <v>#N/A</v>
      </c>
      <c r="EB114" s="429" t="e">
        <f t="shared" si="197"/>
        <v>#N/A</v>
      </c>
      <c r="EC114" s="429" t="e">
        <f t="shared" si="198"/>
        <v>#N/A</v>
      </c>
      <c r="ED114" s="429" t="e">
        <f t="shared" si="199"/>
        <v>#N/A</v>
      </c>
      <c r="EE114" s="429" t="e">
        <f t="shared" si="200"/>
        <v>#N/A</v>
      </c>
      <c r="EF114" s="429" t="e">
        <f t="shared" si="201"/>
        <v>#N/A</v>
      </c>
      <c r="EG114" s="429" t="e">
        <f t="shared" si="202"/>
        <v>#N/A</v>
      </c>
      <c r="EH114" s="429" t="e">
        <f t="shared" si="203"/>
        <v>#N/A</v>
      </c>
      <c r="EI114" s="429" t="e">
        <f t="shared" si="204"/>
        <v>#N/A</v>
      </c>
      <c r="EJ114" s="429"/>
      <c r="EK114" s="429"/>
      <c r="EL114" s="429" t="e">
        <f t="shared" si="233"/>
        <v>#N/A</v>
      </c>
      <c r="EM114" s="429">
        <f t="shared" si="264"/>
        <v>0</v>
      </c>
      <c r="EN114" s="429">
        <f t="shared" si="235"/>
        <v>0.5</v>
      </c>
      <c r="EO114" s="429">
        <f t="shared" si="236"/>
        <v>1</v>
      </c>
      <c r="EP114" s="429">
        <f t="shared" si="237"/>
        <v>1.5</v>
      </c>
      <c r="EQ114" s="429">
        <f t="shared" si="238"/>
        <v>2</v>
      </c>
      <c r="ER114" s="429">
        <f t="shared" si="239"/>
        <v>4</v>
      </c>
      <c r="ES114" s="429">
        <f t="shared" si="240"/>
        <v>6</v>
      </c>
      <c r="ET114" s="429">
        <f t="shared" si="241"/>
        <v>8</v>
      </c>
      <c r="EU114" s="429">
        <f t="shared" si="242"/>
        <v>9.6999999999999993</v>
      </c>
      <c r="EV114" s="429">
        <f t="shared" si="243"/>
        <v>10</v>
      </c>
      <c r="EW114" s="429">
        <f t="shared" si="244"/>
        <v>12</v>
      </c>
      <c r="EX114" s="429">
        <f t="shared" si="245"/>
        <v>13</v>
      </c>
      <c r="EY114" s="429" t="e">
        <f t="shared" si="246"/>
        <v>#N/A</v>
      </c>
      <c r="EZ114" s="429" t="e">
        <f t="shared" si="247"/>
        <v>#N/A</v>
      </c>
      <c r="FA114" s="429" t="e">
        <f t="shared" si="248"/>
        <v>#N/A</v>
      </c>
      <c r="FB114" s="429" t="e">
        <f t="shared" si="249"/>
        <v>#N/A</v>
      </c>
      <c r="FC114" s="429" t="e">
        <f t="shared" si="250"/>
        <v>#N/A</v>
      </c>
      <c r="FD114" s="429" t="e">
        <f t="shared" si="251"/>
        <v>#N/A</v>
      </c>
      <c r="FE114" s="429" t="e">
        <f t="shared" si="252"/>
        <v>#N/A</v>
      </c>
      <c r="FF114" s="429" t="e">
        <f t="shared" si="253"/>
        <v>#N/A</v>
      </c>
      <c r="FG114" s="429" t="e">
        <f t="shared" si="254"/>
        <v>#N/A</v>
      </c>
      <c r="FH114" s="429" t="e">
        <f t="shared" si="255"/>
        <v>#N/A</v>
      </c>
      <c r="FI114" s="429" t="e">
        <f t="shared" si="256"/>
        <v>#N/A</v>
      </c>
      <c r="FJ114" s="429" t="e">
        <f t="shared" si="257"/>
        <v>#N/A</v>
      </c>
      <c r="FK114" s="429" t="e">
        <f t="shared" si="258"/>
        <v>#N/A</v>
      </c>
    </row>
    <row r="115" spans="1:199" x14ac:dyDescent="0.25">
      <c r="A115" s="377" t="str">
        <f t="shared" si="206"/>
        <v xml:space="preserve">  </v>
      </c>
      <c r="B115" s="380" t="str">
        <f>IFERROR(IF(ISERROR(CP144),"",CONCATENATE(ROUND(X_SHIFT_BP+IF(Tools!B$97&lt;=Tools!$D$47/2,-BF20,BF20),3),",",ROUND(WLS*$AP56,3)," ")),"")</f>
        <v/>
      </c>
      <c r="C115" s="380" t="str">
        <f>IFERROR(IF(ISERROR(CQ144),"",CONCATENATE(ROUND(X_SHIFT_BP+IF(Tools!C$97&lt;=Tools!$D$47/2,-BG20,BG20),3),",",ROUND(WLS*$AP56,3)," ")),"")</f>
        <v/>
      </c>
      <c r="D115" s="380" t="str">
        <f>IFERROR(IF(ISERROR(CR144),"",CONCATENATE(ROUND(X_SHIFT_BP+IF(Tools!D$97&lt;=Tools!$D$47/2,-BH20,BH20),3),",",ROUND(WLS*$AP56,3)," ")),"")</f>
        <v/>
      </c>
      <c r="E115" s="380" t="str">
        <f>IFERROR(IF(ISERROR(CS144),"",CONCATENATE(ROUND(X_SHIFT_BP+IF(Tools!E$97&lt;=Tools!$D$47/2,-BI20,BI20),3),",",ROUND(WLS*$AP56,3)," ")),"")</f>
        <v/>
      </c>
      <c r="F115" s="380" t="str">
        <f>IFERROR(IF(ISERROR(CT144),"",CONCATENATE(ROUND(X_SHIFT_BP+IF(Tools!F$97&lt;=Tools!$D$47/2,-BJ20,BJ20),3),",",ROUND(WLS*$AP56,3)," ")),"")</f>
        <v/>
      </c>
      <c r="G115" s="380" t="str">
        <f>IFERROR(IF(ISERROR(CU144),"",CONCATENATE(ROUND(X_SHIFT_BP+IF(Tools!G$97&lt;=Tools!$D$47/2,-BK20,BK20),3),",",ROUND(WLS*$AP56,3)," ")),"")</f>
        <v/>
      </c>
      <c r="H115" s="380" t="str">
        <f>IFERROR(IF(ISERROR(CV144),"",CONCATENATE(ROUND(X_SHIFT_BP+IF(Tools!H$97&lt;=Tools!$D$47/2,-BL20,BL20),3),",",ROUND(WLS*$AP56,3)," ")),"")</f>
        <v/>
      </c>
      <c r="I115" s="380" t="str">
        <f>IFERROR(IF(ISERROR(CW144),"",CONCATENATE(ROUND(X_SHIFT_BP+IF(Tools!I$97&lt;=Tools!$D$47/2,-BM20,BM20),3),",",ROUND(WLS*$AP56,3)," ")),"")</f>
        <v/>
      </c>
      <c r="J115" s="380" t="str">
        <f>IFERROR(IF(ISERROR(CX144),"",CONCATENATE(ROUND(X_SHIFT_BP+IF(Tools!J$97&lt;=Tools!$D$47/2,-BN20,BN20),3),",",ROUND(WLS*$AP56,3)," ")),"")</f>
        <v/>
      </c>
      <c r="K115" s="380" t="str">
        <f>IFERROR(IF(ISERROR(CY144),"",CONCATENATE(ROUND(X_SHIFT_BP+IF(Tools!K$97&lt;=Tools!$D$47/2,-BO20,BO20),3),",",ROUND(WLS*$AP56,3)," ")),"")</f>
        <v/>
      </c>
      <c r="L115" s="380" t="str">
        <f>IFERROR(IF(ISERROR(CZ144),"",CONCATENATE(ROUND(X_SHIFT_BP+IF(Tools!L$97&lt;=Tools!$D$47/2,-BP20,BP20),3),",",ROUND(WLS*$AP56,3)," ")),"")</f>
        <v/>
      </c>
      <c r="M115" s="380" t="str">
        <f>IFERROR(IF(ISERROR(DA144),"",CONCATENATE(ROUND(X_SHIFT_BP+IF(Tools!M$97&lt;=Tools!$D$47/2,-BQ20,BQ20),3),",",ROUND(WLS*$AP56,3)," ")),"")</f>
        <v/>
      </c>
      <c r="N115" s="380" t="str">
        <f>IFERROR(IF(ISERROR(DB144),"",CONCATENATE(ROUND(X_SHIFT_BP+IF(Tools!N$97&lt;=Tools!$D$47/2,-BR20,BR20),3),",",ROUND(WLS*$AP56,3)," ")),"")</f>
        <v/>
      </c>
      <c r="O115" s="380" t="str">
        <f>IFERROR(IF(ISERROR(DC144),"",CONCATENATE(ROUND(X_SHIFT_BP+IF(Tools!O$97&lt;=Tools!$D$47/2,-BS20,BS20),3),",",ROUND(WLS*$AP56,3)," ")),"")</f>
        <v/>
      </c>
      <c r="P115" s="380" t="str">
        <f>IFERROR(IF(ISERROR(DD144),"",CONCATENATE(ROUND(X_SHIFT_BP+IF(Tools!P$97&lt;=Tools!$D$47/2,-BT20,BT20),3),",",ROUND(WLS*$AP56,3)," ")),"")</f>
        <v/>
      </c>
      <c r="Q115" s="380" t="str">
        <f>IFERROR(IF(ISERROR(DE144),"",CONCATENATE(ROUND(X_SHIFT_BP+IF(Tools!Q$97&lt;=Tools!$D$47/2,-BU20,BU20),3),",",ROUND(WLS*$AP56,3)," ")),"")</f>
        <v/>
      </c>
      <c r="R115" s="380" t="str">
        <f>IFERROR(IF(ISERROR(DF144),"",CONCATENATE(ROUND(X_SHIFT_BP+IF(Tools!R$97&lt;=Tools!$D$47/2,-BV20,BV20),3),",",ROUND(WLS*$AP56,3)," ")),"")</f>
        <v/>
      </c>
      <c r="S115" s="380" t="str">
        <f>IFERROR(IF(ISERROR(DG144),"",CONCATENATE(ROUND(X_SHIFT_BP+IF(Tools!S$97&lt;=Tools!$D$47/2,-BW20,BW20),3),",",ROUND(WLS*$AP56,3)," ")),"")</f>
        <v/>
      </c>
      <c r="T115" s="380" t="str">
        <f>IFERROR(IF(ISERROR(DH144),"",CONCATENATE(ROUND(X_SHIFT_BP+IF(Tools!T$97&lt;=Tools!$D$47/2,-BX20,BX20),3),",",ROUND(WLS*$AP56,3)," ")),"")</f>
        <v/>
      </c>
      <c r="U115" s="380" t="str">
        <f>IFERROR(IF(ISERROR(DI144),"",CONCATENATE(ROUND(X_SHIFT_BP+IF(Tools!U$97&lt;=Tools!$D$47/2,-BY20,BY20),3),",",ROUND(WLS*$AP56,3)," ")),"")</f>
        <v/>
      </c>
      <c r="V115" s="380" t="str">
        <f>IFERROR(IF(ISERROR(DJ144),"",CONCATENATE(ROUND(X_SHIFT_BP+IF(Tools!V$97&lt;=Tools!$D$47/2,-BZ20,BZ20),3),",",ROUND(WLS*$AP56,3)," ")),"")</f>
        <v/>
      </c>
      <c r="W115" s="380" t="str">
        <f>IFERROR(IF(ISERROR(DK144),"",CONCATENATE(ROUND(X_SHIFT_BP+IF(Tools!W$97&lt;=Tools!$D$47/2,-CA20,CA20),3),",",ROUND(WLS*$AP56,3)," ")),"")</f>
        <v/>
      </c>
      <c r="X115" s="380" t="str">
        <f>IFERROR(IF(ISERROR(DL144),"",CONCATENATE(ROUND(X_SHIFT_BP+IF(Tools!X$97&lt;=Tools!$D$47/2,-CB20,CB20),3),",",ROUND(WLS*$AP56,3)," ")),"")</f>
        <v/>
      </c>
      <c r="Y115" s="380" t="str">
        <f>IFERROR(IF(ISERROR(DM144),"",CONCATENATE(ROUND(X_SHIFT_BP+IF(Tools!Y$97&lt;=Tools!$D$47/2,-CC20,CC20),3),",",ROUND(WLS*$AP56,3)," ")),"")</f>
        <v/>
      </c>
      <c r="Z115" s="380" t="str">
        <f>IFERROR(IF(ISERROR(DN144),"",CONCATENATE(ROUND(X_SHIFT_BP+IF(Tools!Z$97&lt;=Tools!$D$47/2,-CD20,CD20),3),",",ROUND(WLS*$AP56,3)," ")),"")</f>
        <v/>
      </c>
      <c r="AA115" s="132">
        <v>12</v>
      </c>
      <c r="AB115" s="248" t="str">
        <f t="shared" si="259"/>
        <v xml:space="preserve">Spline </v>
      </c>
      <c r="AC115" s="132" t="str">
        <v/>
      </c>
      <c r="AD115" s="248" t="str">
        <v xml:space="preserve">177.81,0 </v>
      </c>
      <c r="AE115" s="248" t="str">
        <v xml:space="preserve">178.67,0.5 </v>
      </c>
      <c r="AF115" s="248" t="str">
        <v xml:space="preserve">179.11,1 </v>
      </c>
      <c r="AG115" s="248" t="str">
        <v xml:space="preserve">179.41,1.5 </v>
      </c>
      <c r="AH115" s="248" t="str">
        <v xml:space="preserve">179.61,2 </v>
      </c>
      <c r="AI115" s="248" t="str">
        <v xml:space="preserve">179.91,4 </v>
      </c>
      <c r="AJ115" s="248" t="str">
        <v xml:space="preserve">179.91,6 </v>
      </c>
      <c r="AK115" s="248" t="str">
        <v xml:space="preserve">179.91,8 </v>
      </c>
      <c r="AL115" s="248" t="str">
        <v xml:space="preserve">179.91,9.7 </v>
      </c>
      <c r="AM115" s="248" t="str">
        <v xml:space="preserve">179.91,10 </v>
      </c>
      <c r="AN115" s="248" t="str">
        <v xml:space="preserve">179.91,12 </v>
      </c>
      <c r="AO115" s="248" t="str">
        <v xml:space="preserve">179.91,13 </v>
      </c>
      <c r="AP115" s="248" t="str">
        <v/>
      </c>
      <c r="AQ115" s="248" t="str">
        <v/>
      </c>
      <c r="AR115" s="248" t="str">
        <v/>
      </c>
      <c r="AS115" s="248" t="str">
        <v/>
      </c>
      <c r="AT115" s="248" t="str">
        <v/>
      </c>
      <c r="AU115" s="248" t="str">
        <v/>
      </c>
      <c r="AV115" s="248" t="str">
        <v/>
      </c>
      <c r="AW115" s="248" t="str">
        <v/>
      </c>
      <c r="AX115" s="248" t="str">
        <v/>
      </c>
      <c r="AY115" s="248" t="str">
        <v/>
      </c>
      <c r="AZ115" s="248" t="str">
        <v/>
      </c>
      <c r="BA115" s="248" t="str">
        <v/>
      </c>
      <c r="BB115" s="248" t="str">
        <v/>
      </c>
      <c r="BC115" s="379">
        <f>Tools!AD20</f>
        <v>15</v>
      </c>
      <c r="BD115" s="379">
        <f>IFERROR(Tools!AD20*STN_GAP,"")</f>
        <v>109.64999999999999</v>
      </c>
      <c r="BE115" s="467">
        <f>IFERROR(IF(ISNUMBER(DE115),NA(),IF(AND($DF115&lt;&gt;0,$DG115&gt;BE$97),NA(),IF($BD115&gt;LBP/2,-(-Tools!AE20),-Tools!AE20))),NA())</f>
        <v>8.9</v>
      </c>
      <c r="BF115" s="379">
        <f>IFERROR(IF(AND($DF115&lt;&gt;0,$DG115&gt;BF$97),NA(),IF($BD115&gt;LBP/2,-(-Tools!AF20),-Tools!AF20)),NA())</f>
        <v>9.76</v>
      </c>
      <c r="BG115" s="379">
        <f>IFERROR(IF(AND($DF115&lt;&gt;0,$DG115&gt;BG$97),NA(),IF($BD115&gt;LBP/2,-(-Tools!AG20),-Tools!AG20)),NA())</f>
        <v>10.199999999999999</v>
      </c>
      <c r="BH115" s="379">
        <f>IFERROR(IF(AND($DF115&lt;&gt;0,$DG115&gt;BH$97),NA(),IF($BD115&gt;LBP/2,-(-Tools!AH20),-Tools!AH20)),NA())</f>
        <v>10.5</v>
      </c>
      <c r="BI115" s="379">
        <f>IFERROR(IF(AND($DF115&lt;&gt;0,$DG115&gt;BI$97),NA(),IF($BD115&gt;LBP/2,-(-Tools!AI20),-Tools!AI20)),NA())</f>
        <v>10.7</v>
      </c>
      <c r="BJ115" s="379">
        <f>IFERROR(IF(AND($DF115&lt;&gt;0,$DG115&gt;BJ$97),NA(),IF($BD115&gt;LBP/2,-(-Tools!AJ20),-Tools!AJ20)),NA())</f>
        <v>11</v>
      </c>
      <c r="BK115" s="379">
        <f>IFERROR(IF(AND($DF115&lt;&gt;0,$DG115&gt;BK$97),NA(),IF($BD115&gt;LBP/2,-(-Tools!AK20),-Tools!AK20)),NA())</f>
        <v>11</v>
      </c>
      <c r="BL115" s="379">
        <f>IFERROR(IF(AND($DF115&lt;&gt;0,$DG115&gt;BL$97),NA(),IF($BD115&gt;LBP/2,-(-Tools!AL20),-Tools!AL20)),NA())</f>
        <v>11</v>
      </c>
      <c r="BM115" s="379">
        <f>IFERROR(IF(AND($DF115&lt;&gt;0,$DG115&gt;BM$97),NA(),IF($BD115&gt;LBP/2,-(-Tools!AM20),-Tools!AM20)),NA())</f>
        <v>11</v>
      </c>
      <c r="BN115" s="379">
        <f>IFERROR(IF(AND($DF115&lt;&gt;0,$DG115&gt;BN$97),NA(),IF($BD115&gt;LBP/2,-(-Tools!AN20),-Tools!AN20)),NA())</f>
        <v>11</v>
      </c>
      <c r="BO115" s="379">
        <f>IFERROR(IF(AND($DF115&lt;&gt;0,$DG115&gt;BO$97),NA(),IF($BD115&gt;LBP/2,-(-Tools!AO20),-Tools!AO20)),NA())</f>
        <v>11</v>
      </c>
      <c r="BP115" s="379">
        <f>IFERROR(IF(AND($DF115&lt;&gt;0,$DG115&gt;BP$97),NA(),IF($BD115&gt;LBP/2,-(-Tools!AP20),-Tools!AP20)),NA())</f>
        <v>11</v>
      </c>
      <c r="BQ115" s="379" t="e">
        <f>IFERROR(IF(AND($DF115&lt;&gt;0,$DG115&gt;BQ$97),NA(),IF($BD115&gt;LBP/2,-(-Tools!AQ20),-Tools!AQ20)),NA())</f>
        <v>#N/A</v>
      </c>
      <c r="BR115" s="379" t="e">
        <f>IFERROR(IF(AND($DF115&lt;&gt;0,$DG115&gt;BR$97),NA(),IF($BD115&gt;LBP/2,-(-Tools!AR20),-Tools!AR20)),NA())</f>
        <v>#N/A</v>
      </c>
      <c r="BS115" s="379" t="e">
        <f>IFERROR(IF(AND($DF115&lt;&gt;0,$DG115&gt;BS$97),NA(),IF($BD115&gt;LBP/2,-(-Tools!AS20),-Tools!AS20)),NA())</f>
        <v>#N/A</v>
      </c>
      <c r="BT115" s="379" t="e">
        <f>IFERROR(IF(AND($DF115&lt;&gt;0,$DG115&gt;BT$97),NA(),IF($BD115&gt;LBP/2,-(-Tools!AT20),-Tools!AT20)),NA())</f>
        <v>#N/A</v>
      </c>
      <c r="BU115" s="379" t="e">
        <f>IFERROR(IF(AND($DF115&lt;&gt;0,$DG115&gt;BU$97),NA(),IF($BD115&gt;LBP/2,-(-Tools!AU20),-Tools!AU20)),NA())</f>
        <v>#N/A</v>
      </c>
      <c r="BV115" s="379" t="e">
        <f>IFERROR(IF(AND($DF115&lt;&gt;0,$DG115&gt;BV$97),NA(),IF($BD115&gt;LBP/2,-(-Tools!AV20),-Tools!AV20)),NA())</f>
        <v>#N/A</v>
      </c>
      <c r="BW115" s="379" t="e">
        <f>IFERROR(IF(AND($DF115&lt;&gt;0,$DG115&gt;BW$97),NA(),IF($BD115&gt;LBP/2,-(-Tools!AW20),-Tools!AW20)),NA())</f>
        <v>#N/A</v>
      </c>
      <c r="BX115" s="379" t="e">
        <f>IFERROR(IF(AND($DF115&lt;&gt;0,$DG115&gt;BX$97),NA(),IF($BD115&gt;LBP/2,-(-Tools!AX20),-Tools!AX20)),NA())</f>
        <v>#N/A</v>
      </c>
      <c r="BY115" s="379" t="e">
        <f>IFERROR(IF(AND($DF115&lt;&gt;0,$DG115&gt;BY$97),NA(),IF($BD115&gt;LBP/2,-(-Tools!AY20),-Tools!AY20)),NA())</f>
        <v>#N/A</v>
      </c>
      <c r="BZ115" s="379" t="e">
        <f>IFERROR(IF(AND($DF115&lt;&gt;0,$DG115&gt;BZ$97),NA(),IF($BD115&gt;LBP/2,-(-Tools!AZ20),-Tools!AZ20)),NA())</f>
        <v>#N/A</v>
      </c>
      <c r="CA115" s="379" t="e">
        <f>IFERROR(IF(AND($DF115&lt;&gt;0,$DG115&gt;CA$97),NA(),IF($BD115&gt;LBP/2,-(-Tools!BA20),-Tools!BA20)),NA())</f>
        <v>#N/A</v>
      </c>
      <c r="CB115" s="379" t="e">
        <f>IFERROR(IF(AND($DF115&lt;&gt;0,$DG115&gt;CB$97),NA(),IF($BD115&gt;LBP/2,-(-Tools!BB20),-Tools!BB20)),NA())</f>
        <v>#N/A</v>
      </c>
      <c r="CC115" s="379" t="e">
        <f>IFERROR(IF(AND($DF115&lt;&gt;0,$DG115&gt;CC$97),NA(),IF($BD115&gt;LBP/2,-(-Tools!BC20),-Tools!BC20)),NA())</f>
        <v>#N/A</v>
      </c>
      <c r="CE115" s="429" t="b">
        <f t="shared" si="207"/>
        <v>0</v>
      </c>
      <c r="CF115" s="429" t="b">
        <f t="shared" si="208"/>
        <v>0</v>
      </c>
      <c r="CG115" s="429" t="b">
        <f t="shared" si="209"/>
        <v>0</v>
      </c>
      <c r="CH115" s="429" t="b">
        <f t="shared" si="210"/>
        <v>0</v>
      </c>
      <c r="CI115" s="429" t="b">
        <f t="shared" si="211"/>
        <v>0</v>
      </c>
      <c r="CJ115" s="429" t="b">
        <f t="shared" si="212"/>
        <v>0</v>
      </c>
      <c r="CK115" s="429" t="b">
        <f t="shared" si="213"/>
        <v>0</v>
      </c>
      <c r="CL115" s="429" t="b">
        <f t="shared" si="214"/>
        <v>0</v>
      </c>
      <c r="CM115" s="429" t="b">
        <f t="shared" si="215"/>
        <v>0</v>
      </c>
      <c r="CN115" s="429" t="b">
        <f t="shared" si="216"/>
        <v>0</v>
      </c>
      <c r="CO115" s="429" t="b">
        <f t="shared" si="217"/>
        <v>0</v>
      </c>
      <c r="CP115" s="429" t="b">
        <f t="shared" si="218"/>
        <v>0</v>
      </c>
      <c r="CQ115" s="429" t="b">
        <f t="shared" si="219"/>
        <v>0</v>
      </c>
      <c r="CR115" s="429" t="b">
        <f t="shared" si="220"/>
        <v>0</v>
      </c>
      <c r="CS115" s="429" t="b">
        <f t="shared" si="221"/>
        <v>0</v>
      </c>
      <c r="CT115" s="429" t="b">
        <f t="shared" si="222"/>
        <v>0</v>
      </c>
      <c r="CU115" s="429" t="b">
        <f t="shared" si="223"/>
        <v>0</v>
      </c>
      <c r="CV115" s="429" t="b">
        <f t="shared" si="224"/>
        <v>0</v>
      </c>
      <c r="CW115" s="429" t="b">
        <f t="shared" si="225"/>
        <v>0</v>
      </c>
      <c r="CX115" s="429" t="b">
        <f t="shared" si="226"/>
        <v>0</v>
      </c>
      <c r="CY115" s="429" t="b">
        <f t="shared" si="227"/>
        <v>0</v>
      </c>
      <c r="CZ115" s="429" t="b">
        <f t="shared" si="228"/>
        <v>0</v>
      </c>
      <c r="DA115" s="429" t="b">
        <f t="shared" si="229"/>
        <v>0</v>
      </c>
      <c r="DB115" s="429" t="b">
        <f t="shared" si="230"/>
        <v>0</v>
      </c>
      <c r="DC115" s="429"/>
      <c r="DD115" s="429">
        <f t="shared" si="260"/>
        <v>0</v>
      </c>
      <c r="DE115" s="429" t="str">
        <f t="shared" si="231"/>
        <v>-</v>
      </c>
      <c r="DF115" s="429">
        <f t="shared" si="232"/>
        <v>0</v>
      </c>
      <c r="DG115" s="429">
        <f t="shared" si="261"/>
        <v>0</v>
      </c>
      <c r="DH115" s="429">
        <f t="shared" si="262"/>
        <v>15</v>
      </c>
      <c r="DI115" s="429"/>
      <c r="DJ115" s="429" t="e">
        <f t="shared" si="263"/>
        <v>#N/A</v>
      </c>
      <c r="DK115" s="429">
        <f t="shared" si="180"/>
        <v>8.9</v>
      </c>
      <c r="DL115" s="429">
        <f t="shared" si="181"/>
        <v>9.76</v>
      </c>
      <c r="DM115" s="429">
        <f t="shared" si="182"/>
        <v>10.199999999999999</v>
      </c>
      <c r="DN115" s="429">
        <f t="shared" si="183"/>
        <v>10.5</v>
      </c>
      <c r="DO115" s="429">
        <f t="shared" si="184"/>
        <v>10.7</v>
      </c>
      <c r="DP115" s="429">
        <f t="shared" si="185"/>
        <v>11</v>
      </c>
      <c r="DQ115" s="429">
        <f t="shared" si="186"/>
        <v>11</v>
      </c>
      <c r="DR115" s="429">
        <f t="shared" si="187"/>
        <v>11</v>
      </c>
      <c r="DS115" s="429">
        <f t="shared" si="188"/>
        <v>11</v>
      </c>
      <c r="DT115" s="429">
        <f t="shared" si="189"/>
        <v>11</v>
      </c>
      <c r="DU115" s="429">
        <f t="shared" si="190"/>
        <v>11</v>
      </c>
      <c r="DV115" s="429">
        <f t="shared" si="191"/>
        <v>11</v>
      </c>
      <c r="DW115" s="429" t="e">
        <f t="shared" si="192"/>
        <v>#N/A</v>
      </c>
      <c r="DX115" s="429" t="e">
        <f t="shared" si="193"/>
        <v>#N/A</v>
      </c>
      <c r="DY115" s="429" t="e">
        <f t="shared" si="194"/>
        <v>#N/A</v>
      </c>
      <c r="DZ115" s="429" t="e">
        <f t="shared" si="195"/>
        <v>#N/A</v>
      </c>
      <c r="EA115" s="429" t="e">
        <f t="shared" si="196"/>
        <v>#N/A</v>
      </c>
      <c r="EB115" s="429" t="e">
        <f t="shared" si="197"/>
        <v>#N/A</v>
      </c>
      <c r="EC115" s="429" t="e">
        <f t="shared" si="198"/>
        <v>#N/A</v>
      </c>
      <c r="ED115" s="429" t="e">
        <f t="shared" si="199"/>
        <v>#N/A</v>
      </c>
      <c r="EE115" s="429" t="e">
        <f t="shared" si="200"/>
        <v>#N/A</v>
      </c>
      <c r="EF115" s="429" t="e">
        <f t="shared" si="201"/>
        <v>#N/A</v>
      </c>
      <c r="EG115" s="429" t="e">
        <f t="shared" si="202"/>
        <v>#N/A</v>
      </c>
      <c r="EH115" s="429" t="e">
        <f t="shared" si="203"/>
        <v>#N/A</v>
      </c>
      <c r="EI115" s="429" t="e">
        <f t="shared" si="204"/>
        <v>#N/A</v>
      </c>
      <c r="EJ115" s="429"/>
      <c r="EK115" s="429"/>
      <c r="EL115" s="429" t="e">
        <f t="shared" si="233"/>
        <v>#N/A</v>
      </c>
      <c r="EM115" s="429">
        <f t="shared" si="264"/>
        <v>0</v>
      </c>
      <c r="EN115" s="429">
        <f t="shared" si="235"/>
        <v>0.5</v>
      </c>
      <c r="EO115" s="429">
        <f t="shared" si="236"/>
        <v>1</v>
      </c>
      <c r="EP115" s="429">
        <f t="shared" si="237"/>
        <v>1.5</v>
      </c>
      <c r="EQ115" s="429">
        <f t="shared" si="238"/>
        <v>2</v>
      </c>
      <c r="ER115" s="429">
        <f t="shared" si="239"/>
        <v>4</v>
      </c>
      <c r="ES115" s="429">
        <f t="shared" si="240"/>
        <v>6</v>
      </c>
      <c r="ET115" s="429">
        <f t="shared" si="241"/>
        <v>8</v>
      </c>
      <c r="EU115" s="429">
        <f t="shared" si="242"/>
        <v>9.6999999999999993</v>
      </c>
      <c r="EV115" s="429">
        <f t="shared" si="243"/>
        <v>10</v>
      </c>
      <c r="EW115" s="429">
        <f t="shared" si="244"/>
        <v>12</v>
      </c>
      <c r="EX115" s="429">
        <f t="shared" si="245"/>
        <v>13</v>
      </c>
      <c r="EY115" s="429" t="e">
        <f t="shared" si="246"/>
        <v>#N/A</v>
      </c>
      <c r="EZ115" s="429" t="e">
        <f t="shared" si="247"/>
        <v>#N/A</v>
      </c>
      <c r="FA115" s="429" t="e">
        <f t="shared" si="248"/>
        <v>#N/A</v>
      </c>
      <c r="FB115" s="429" t="e">
        <f t="shared" si="249"/>
        <v>#N/A</v>
      </c>
      <c r="FC115" s="429" t="e">
        <f t="shared" si="250"/>
        <v>#N/A</v>
      </c>
      <c r="FD115" s="429" t="e">
        <f t="shared" si="251"/>
        <v>#N/A</v>
      </c>
      <c r="FE115" s="429" t="e">
        <f t="shared" si="252"/>
        <v>#N/A</v>
      </c>
      <c r="FF115" s="429" t="e">
        <f t="shared" si="253"/>
        <v>#N/A</v>
      </c>
      <c r="FG115" s="429" t="e">
        <f t="shared" si="254"/>
        <v>#N/A</v>
      </c>
      <c r="FH115" s="429" t="e">
        <f t="shared" si="255"/>
        <v>#N/A</v>
      </c>
      <c r="FI115" s="429" t="e">
        <f t="shared" si="256"/>
        <v>#N/A</v>
      </c>
      <c r="FJ115" s="429" t="e">
        <f t="shared" si="257"/>
        <v>#N/A</v>
      </c>
      <c r="FK115" s="429" t="e">
        <f t="shared" si="258"/>
        <v>#N/A</v>
      </c>
    </row>
    <row r="116" spans="1:199" x14ac:dyDescent="0.25">
      <c r="A116" s="377" t="str">
        <f t="shared" si="206"/>
        <v xml:space="preserve">  </v>
      </c>
      <c r="B116" s="380" t="str">
        <f>IFERROR(IF(ISERROR(CP145),"",CONCATENATE(ROUND(X_SHIFT_BP+IF(Tools!B$97&lt;=Tools!$D$47/2,-BF21,BF21),3),",",ROUND(WLS*$AP57,3)," ")),"")</f>
        <v/>
      </c>
      <c r="C116" s="380" t="str">
        <f>IFERROR(IF(ISERROR(CQ145),"",CONCATENATE(ROUND(X_SHIFT_BP+IF(Tools!C$97&lt;=Tools!$D$47/2,-BG21,BG21),3),",",ROUND(WLS*$AP57,3)," ")),"")</f>
        <v/>
      </c>
      <c r="D116" s="380" t="str">
        <f>IFERROR(IF(ISERROR(CR145),"",CONCATENATE(ROUND(X_SHIFT_BP+IF(Tools!D$97&lt;=Tools!$D$47/2,-BH21,BH21),3),",",ROUND(WLS*$AP57,3)," ")),"")</f>
        <v/>
      </c>
      <c r="E116" s="380" t="str">
        <f>IFERROR(IF(ISERROR(CS145),"",CONCATENATE(ROUND(X_SHIFT_BP+IF(Tools!E$97&lt;=Tools!$D$47/2,-BI21,BI21),3),",",ROUND(WLS*$AP57,3)," ")),"")</f>
        <v/>
      </c>
      <c r="F116" s="380" t="str">
        <f>IFERROR(IF(ISERROR(CT145),"",CONCATENATE(ROUND(X_SHIFT_BP+IF(Tools!F$97&lt;=Tools!$D$47/2,-BJ21,BJ21),3),",",ROUND(WLS*$AP57,3)," ")),"")</f>
        <v/>
      </c>
      <c r="G116" s="380" t="str">
        <f>IFERROR(IF(ISERROR(CU145),"",CONCATENATE(ROUND(X_SHIFT_BP+IF(Tools!G$97&lt;=Tools!$D$47/2,-BK21,BK21),3),",",ROUND(WLS*$AP57,3)," ")),"")</f>
        <v/>
      </c>
      <c r="H116" s="380" t="str">
        <f>IFERROR(IF(ISERROR(CV145),"",CONCATENATE(ROUND(X_SHIFT_BP+IF(Tools!H$97&lt;=Tools!$D$47/2,-BL21,BL21),3),",",ROUND(WLS*$AP57,3)," ")),"")</f>
        <v/>
      </c>
      <c r="I116" s="380" t="str">
        <f>IFERROR(IF(ISERROR(CW145),"",CONCATENATE(ROUND(X_SHIFT_BP+IF(Tools!I$97&lt;=Tools!$D$47/2,-BM21,BM21),3),",",ROUND(WLS*$AP57,3)," ")),"")</f>
        <v/>
      </c>
      <c r="J116" s="380" t="str">
        <f>IFERROR(IF(ISERROR(CX145),"",CONCATENATE(ROUND(X_SHIFT_BP+IF(Tools!J$97&lt;=Tools!$D$47/2,-BN21,BN21),3),",",ROUND(WLS*$AP57,3)," ")),"")</f>
        <v/>
      </c>
      <c r="K116" s="380" t="str">
        <f>IFERROR(IF(ISERROR(CY145),"",CONCATENATE(ROUND(X_SHIFT_BP+IF(Tools!K$97&lt;=Tools!$D$47/2,-BO21,BO21),3),",",ROUND(WLS*$AP57,3)," ")),"")</f>
        <v/>
      </c>
      <c r="L116" s="380" t="str">
        <f>IFERROR(IF(ISERROR(CZ145),"",CONCATENATE(ROUND(X_SHIFT_BP+IF(Tools!L$97&lt;=Tools!$D$47/2,-BP21,BP21),3),",",ROUND(WLS*$AP57,3)," ")),"")</f>
        <v/>
      </c>
      <c r="M116" s="380" t="str">
        <f>IFERROR(IF(ISERROR(DA145),"",CONCATENATE(ROUND(X_SHIFT_BP+IF(Tools!M$97&lt;=Tools!$D$47/2,-BQ21,BQ21),3),",",ROUND(WLS*$AP57,3)," ")),"")</f>
        <v/>
      </c>
      <c r="N116" s="380" t="str">
        <f>IFERROR(IF(ISERROR(DB145),"",CONCATENATE(ROUND(X_SHIFT_BP+IF(Tools!N$97&lt;=Tools!$D$47/2,-BR21,BR21),3),",",ROUND(WLS*$AP57,3)," ")),"")</f>
        <v/>
      </c>
      <c r="O116" s="380" t="str">
        <f>IFERROR(IF(ISERROR(DC145),"",CONCATENATE(ROUND(X_SHIFT_BP+IF(Tools!O$97&lt;=Tools!$D$47/2,-BS21,BS21),3),",",ROUND(WLS*$AP57,3)," ")),"")</f>
        <v/>
      </c>
      <c r="P116" s="380" t="str">
        <f>IFERROR(IF(ISERROR(DD145),"",CONCATENATE(ROUND(X_SHIFT_BP+IF(Tools!P$97&lt;=Tools!$D$47/2,-BT21,BT21),3),",",ROUND(WLS*$AP57,3)," ")),"")</f>
        <v/>
      </c>
      <c r="Q116" s="380" t="str">
        <f>IFERROR(IF(ISERROR(DE145),"",CONCATENATE(ROUND(X_SHIFT_BP+IF(Tools!Q$97&lt;=Tools!$D$47/2,-BU21,BU21),3),",",ROUND(WLS*$AP57,3)," ")),"")</f>
        <v/>
      </c>
      <c r="R116" s="380" t="str">
        <f>IFERROR(IF(ISERROR(DF145),"",CONCATENATE(ROUND(X_SHIFT_BP+IF(Tools!R$97&lt;=Tools!$D$47/2,-BV21,BV21),3),",",ROUND(WLS*$AP57,3)," ")),"")</f>
        <v/>
      </c>
      <c r="S116" s="380" t="str">
        <f>IFERROR(IF(ISERROR(DG145),"",CONCATENATE(ROUND(X_SHIFT_BP+IF(Tools!S$97&lt;=Tools!$D$47/2,-BW21,BW21),3),",",ROUND(WLS*$AP57,3)," ")),"")</f>
        <v/>
      </c>
      <c r="T116" s="380" t="str">
        <f>IFERROR(IF(ISERROR(DH145),"",CONCATENATE(ROUND(X_SHIFT_BP+IF(Tools!T$97&lt;=Tools!$D$47/2,-BX21,BX21),3),",",ROUND(WLS*$AP57,3)," ")),"")</f>
        <v/>
      </c>
      <c r="U116" s="380" t="str">
        <f>IFERROR(IF(ISERROR(DI145),"",CONCATENATE(ROUND(X_SHIFT_BP+IF(Tools!U$97&lt;=Tools!$D$47/2,-BY21,BY21),3),",",ROUND(WLS*$AP57,3)," ")),"")</f>
        <v/>
      </c>
      <c r="V116" s="380" t="str">
        <f>IFERROR(IF(ISERROR(DJ145),"",CONCATENATE(ROUND(X_SHIFT_BP+IF(Tools!V$97&lt;=Tools!$D$47/2,-BZ21,BZ21),3),",",ROUND(WLS*$AP57,3)," ")),"")</f>
        <v/>
      </c>
      <c r="W116" s="380" t="str">
        <f>IFERROR(IF(ISERROR(DK145),"",CONCATENATE(ROUND(X_SHIFT_BP+IF(Tools!W$97&lt;=Tools!$D$47/2,-CA21,CA21),3),",",ROUND(WLS*$AP57,3)," ")),"")</f>
        <v/>
      </c>
      <c r="X116" s="380" t="str">
        <f>IFERROR(IF(ISERROR(DL145),"",CONCATENATE(ROUND(X_SHIFT_BP+IF(Tools!X$97&lt;=Tools!$D$47/2,-CB21,CB21),3),",",ROUND(WLS*$AP57,3)," ")),"")</f>
        <v/>
      </c>
      <c r="Y116" s="380" t="str">
        <f>IFERROR(IF(ISERROR(DM145),"",CONCATENATE(ROUND(X_SHIFT_BP+IF(Tools!Y$97&lt;=Tools!$D$47/2,-CC21,CC21),3),",",ROUND(WLS*$AP57,3)," ")),"")</f>
        <v/>
      </c>
      <c r="Z116" s="380" t="str">
        <f>IFERROR(IF(ISERROR(DN145),"",CONCATENATE(ROUND(X_SHIFT_BP+IF(Tools!Z$97&lt;=Tools!$D$47/2,-CD21,CD21),3),",",ROUND(WLS*$AP57,3)," ")),"")</f>
        <v/>
      </c>
      <c r="AA116" s="132">
        <v>12</v>
      </c>
      <c r="AB116" s="248" t="str">
        <f t="shared" si="259"/>
        <v xml:space="preserve">Spline </v>
      </c>
      <c r="AC116" s="132" t="str">
        <v/>
      </c>
      <c r="AD116" s="248" t="str">
        <v xml:space="preserve">176.51,0 </v>
      </c>
      <c r="AE116" s="248" t="str">
        <v xml:space="preserve">177.55,0.5 </v>
      </c>
      <c r="AF116" s="248" t="str">
        <v xml:space="preserve">178.18,1 </v>
      </c>
      <c r="AG116" s="248" t="str">
        <v xml:space="preserve">178.57,1.5 </v>
      </c>
      <c r="AH116" s="248" t="str">
        <v xml:space="preserve">178.82,2 </v>
      </c>
      <c r="AI116" s="248" t="str">
        <v xml:space="preserve">179.41,4 </v>
      </c>
      <c r="AJ116" s="248" t="str">
        <v xml:space="preserve">179.61,6 </v>
      </c>
      <c r="AK116" s="248" t="str">
        <v xml:space="preserve">179.71,8 </v>
      </c>
      <c r="AL116" s="248" t="str">
        <v xml:space="preserve">179.8,9.7 </v>
      </c>
      <c r="AM116" s="248" t="str">
        <v xml:space="preserve">179.81,10 </v>
      </c>
      <c r="AN116" s="248" t="str">
        <v xml:space="preserve">179.91,12 </v>
      </c>
      <c r="AO116" s="248" t="str">
        <v xml:space="preserve">179.91,13 </v>
      </c>
      <c r="AP116" s="248" t="str">
        <v/>
      </c>
      <c r="AQ116" s="248" t="str">
        <v/>
      </c>
      <c r="AR116" s="248" t="str">
        <v/>
      </c>
      <c r="AS116" s="248" t="str">
        <v/>
      </c>
      <c r="AT116" s="248" t="str">
        <v/>
      </c>
      <c r="AU116" s="248" t="str">
        <v/>
      </c>
      <c r="AV116" s="248" t="str">
        <v/>
      </c>
      <c r="AW116" s="248" t="str">
        <v/>
      </c>
      <c r="AX116" s="248" t="str">
        <v/>
      </c>
      <c r="AY116" s="248" t="str">
        <v/>
      </c>
      <c r="AZ116" s="248" t="str">
        <v/>
      </c>
      <c r="BA116" s="248" t="str">
        <v/>
      </c>
      <c r="BB116" s="248" t="str">
        <v/>
      </c>
      <c r="BC116" s="379">
        <f>Tools!AD21</f>
        <v>16</v>
      </c>
      <c r="BD116" s="379">
        <f>IFERROR(Tools!AD21*STN_GAP,"")</f>
        <v>116.96</v>
      </c>
      <c r="BE116" s="467">
        <f>IFERROR(IF(ISNUMBER(DE116),NA(),IF(AND($DF116&lt;&gt;0,$DG116&gt;BE$97),NA(),IF($BD116&gt;LBP/2,-(-Tools!AE21),-Tools!AE21))),NA())</f>
        <v>7.6</v>
      </c>
      <c r="BF116" s="379">
        <f>IFERROR(IF(AND($DF116&lt;&gt;0,$DG116&gt;BF$97),NA(),IF($BD116&gt;LBP/2,-(-Tools!AF21),-Tools!AF21)),NA())</f>
        <v>8.64</v>
      </c>
      <c r="BG116" s="379">
        <f>IFERROR(IF(AND($DF116&lt;&gt;0,$DG116&gt;BG$97),NA(),IF($BD116&gt;LBP/2,-(-Tools!AG21),-Tools!AG21)),NA())</f>
        <v>9.27</v>
      </c>
      <c r="BH116" s="379">
        <f>IFERROR(IF(AND($DF116&lt;&gt;0,$DG116&gt;BH$97),NA(),IF($BD116&gt;LBP/2,-(-Tools!AH21),-Tools!AH21)),NA())</f>
        <v>9.66</v>
      </c>
      <c r="BI116" s="379">
        <f>IFERROR(IF(AND($DF116&lt;&gt;0,$DG116&gt;BI$97),NA(),IF($BD116&gt;LBP/2,-(-Tools!AI21),-Tools!AI21)),NA())</f>
        <v>9.91</v>
      </c>
      <c r="BJ116" s="379">
        <f>IFERROR(IF(AND($DF116&lt;&gt;0,$DG116&gt;BJ$97),NA(),IF($BD116&gt;LBP/2,-(-Tools!AJ21),-Tools!AJ21)),NA())</f>
        <v>10.5</v>
      </c>
      <c r="BK116" s="379">
        <f>IFERROR(IF(AND($DF116&lt;&gt;0,$DG116&gt;BK$97),NA(),IF($BD116&gt;LBP/2,-(-Tools!AK21),-Tools!AK21)),NA())</f>
        <v>10.7</v>
      </c>
      <c r="BL116" s="379">
        <f>IFERROR(IF(AND($DF116&lt;&gt;0,$DG116&gt;BL$97),NA(),IF($BD116&gt;LBP/2,-(-Tools!AL21),-Tools!AL21)),NA())</f>
        <v>10.8</v>
      </c>
      <c r="BM116" s="379">
        <f>IFERROR(IF(AND($DF116&lt;&gt;0,$DG116&gt;BM$97),NA(),IF($BD116&gt;LBP/2,-(-Tools!AM21),-Tools!AM21)),NA())</f>
        <v>10.89</v>
      </c>
      <c r="BN116" s="379">
        <f>IFERROR(IF(AND($DF116&lt;&gt;0,$DG116&gt;BN$97),NA(),IF($BD116&gt;LBP/2,-(-Tools!AN21),-Tools!AN21)),NA())</f>
        <v>10.9</v>
      </c>
      <c r="BO116" s="379">
        <f>IFERROR(IF(AND($DF116&lt;&gt;0,$DG116&gt;BO$97),NA(),IF($BD116&gt;LBP/2,-(-Tools!AO21),-Tools!AO21)),NA())</f>
        <v>11</v>
      </c>
      <c r="BP116" s="379">
        <f>IFERROR(IF(AND($DF116&lt;&gt;0,$DG116&gt;BP$97),NA(),IF($BD116&gt;LBP/2,-(-Tools!AP21),-Tools!AP21)),NA())</f>
        <v>11</v>
      </c>
      <c r="BQ116" s="379" t="e">
        <f>IFERROR(IF(AND($DF116&lt;&gt;0,$DG116&gt;BQ$97),NA(),IF($BD116&gt;LBP/2,-(-Tools!AQ21),-Tools!AQ21)),NA())</f>
        <v>#N/A</v>
      </c>
      <c r="BR116" s="379" t="e">
        <f>IFERROR(IF(AND($DF116&lt;&gt;0,$DG116&gt;BR$97),NA(),IF($BD116&gt;LBP/2,-(-Tools!AR21),-Tools!AR21)),NA())</f>
        <v>#N/A</v>
      </c>
      <c r="BS116" s="379" t="e">
        <f>IFERROR(IF(AND($DF116&lt;&gt;0,$DG116&gt;BS$97),NA(),IF($BD116&gt;LBP/2,-(-Tools!AS21),-Tools!AS21)),NA())</f>
        <v>#N/A</v>
      </c>
      <c r="BT116" s="379" t="e">
        <f>IFERROR(IF(AND($DF116&lt;&gt;0,$DG116&gt;BT$97),NA(),IF($BD116&gt;LBP/2,-(-Tools!AT21),-Tools!AT21)),NA())</f>
        <v>#N/A</v>
      </c>
      <c r="BU116" s="379" t="e">
        <f>IFERROR(IF(AND($DF116&lt;&gt;0,$DG116&gt;BU$97),NA(),IF($BD116&gt;LBP/2,-(-Tools!AU21),-Tools!AU21)),NA())</f>
        <v>#N/A</v>
      </c>
      <c r="BV116" s="379" t="e">
        <f>IFERROR(IF(AND($DF116&lt;&gt;0,$DG116&gt;BV$97),NA(),IF($BD116&gt;LBP/2,-(-Tools!AV21),-Tools!AV21)),NA())</f>
        <v>#N/A</v>
      </c>
      <c r="BW116" s="379" t="e">
        <f>IFERROR(IF(AND($DF116&lt;&gt;0,$DG116&gt;BW$97),NA(),IF($BD116&gt;LBP/2,-(-Tools!AW21),-Tools!AW21)),NA())</f>
        <v>#N/A</v>
      </c>
      <c r="BX116" s="379" t="e">
        <f>IFERROR(IF(AND($DF116&lt;&gt;0,$DG116&gt;BX$97),NA(),IF($BD116&gt;LBP/2,-(-Tools!AX21),-Tools!AX21)),NA())</f>
        <v>#N/A</v>
      </c>
      <c r="BY116" s="379" t="e">
        <f>IFERROR(IF(AND($DF116&lt;&gt;0,$DG116&gt;BY$97),NA(),IF($BD116&gt;LBP/2,-(-Tools!AY21),-Tools!AY21)),NA())</f>
        <v>#N/A</v>
      </c>
      <c r="BZ116" s="379" t="e">
        <f>IFERROR(IF(AND($DF116&lt;&gt;0,$DG116&gt;BZ$97),NA(),IF($BD116&gt;LBP/2,-(-Tools!AZ21),-Tools!AZ21)),NA())</f>
        <v>#N/A</v>
      </c>
      <c r="CA116" s="379" t="e">
        <f>IFERROR(IF(AND($DF116&lt;&gt;0,$DG116&gt;CA$97),NA(),IF($BD116&gt;LBP/2,-(-Tools!BA21),-Tools!BA21)),NA())</f>
        <v>#N/A</v>
      </c>
      <c r="CB116" s="379" t="e">
        <f>IFERROR(IF(AND($DF116&lt;&gt;0,$DG116&gt;CB$97),NA(),IF($BD116&gt;LBP/2,-(-Tools!BB21),-Tools!BB21)),NA())</f>
        <v>#N/A</v>
      </c>
      <c r="CC116" s="379" t="e">
        <f>IFERROR(IF(AND($DF116&lt;&gt;0,$DG116&gt;CC$97),NA(),IF($BD116&gt;LBP/2,-(-Tools!BC21),-Tools!BC21)),NA())</f>
        <v>#N/A</v>
      </c>
      <c r="CE116" s="429" t="b">
        <f t="shared" si="207"/>
        <v>0</v>
      </c>
      <c r="CF116" s="429" t="b">
        <f t="shared" si="208"/>
        <v>0</v>
      </c>
      <c r="CG116" s="429" t="b">
        <f t="shared" si="209"/>
        <v>0</v>
      </c>
      <c r="CH116" s="429" t="b">
        <f t="shared" si="210"/>
        <v>0</v>
      </c>
      <c r="CI116" s="429" t="b">
        <f t="shared" si="211"/>
        <v>0</v>
      </c>
      <c r="CJ116" s="429" t="b">
        <f t="shared" si="212"/>
        <v>0</v>
      </c>
      <c r="CK116" s="429" t="b">
        <f t="shared" si="213"/>
        <v>0</v>
      </c>
      <c r="CL116" s="429" t="b">
        <f t="shared" si="214"/>
        <v>0</v>
      </c>
      <c r="CM116" s="429" t="b">
        <f t="shared" si="215"/>
        <v>0</v>
      </c>
      <c r="CN116" s="429" t="b">
        <f t="shared" si="216"/>
        <v>0</v>
      </c>
      <c r="CO116" s="429" t="b">
        <f t="shared" si="217"/>
        <v>0</v>
      </c>
      <c r="CP116" s="429" t="b">
        <f t="shared" si="218"/>
        <v>0</v>
      </c>
      <c r="CQ116" s="429" t="b">
        <f t="shared" si="219"/>
        <v>0</v>
      </c>
      <c r="CR116" s="429" t="b">
        <f t="shared" si="220"/>
        <v>0</v>
      </c>
      <c r="CS116" s="429" t="b">
        <f t="shared" si="221"/>
        <v>0</v>
      </c>
      <c r="CT116" s="429" t="b">
        <f t="shared" si="222"/>
        <v>0</v>
      </c>
      <c r="CU116" s="429" t="b">
        <f t="shared" si="223"/>
        <v>0</v>
      </c>
      <c r="CV116" s="429" t="b">
        <f t="shared" si="224"/>
        <v>0</v>
      </c>
      <c r="CW116" s="429" t="b">
        <f t="shared" si="225"/>
        <v>0</v>
      </c>
      <c r="CX116" s="429" t="b">
        <f t="shared" si="226"/>
        <v>0</v>
      </c>
      <c r="CY116" s="429" t="b">
        <f t="shared" si="227"/>
        <v>0</v>
      </c>
      <c r="CZ116" s="429" t="b">
        <f t="shared" si="228"/>
        <v>0</v>
      </c>
      <c r="DA116" s="429" t="b">
        <f t="shared" si="229"/>
        <v>0</v>
      </c>
      <c r="DB116" s="429" t="b">
        <f t="shared" si="230"/>
        <v>0</v>
      </c>
      <c r="DC116" s="429"/>
      <c r="DD116" s="429">
        <f t="shared" si="260"/>
        <v>0</v>
      </c>
      <c r="DE116" s="429" t="str">
        <f t="shared" si="231"/>
        <v>-</v>
      </c>
      <c r="DF116" s="429">
        <f t="shared" si="232"/>
        <v>0</v>
      </c>
      <c r="DG116" s="429">
        <f t="shared" si="261"/>
        <v>0</v>
      </c>
      <c r="DH116" s="429">
        <f t="shared" si="262"/>
        <v>16</v>
      </c>
      <c r="DI116" s="429"/>
      <c r="DJ116" s="429" t="e">
        <f t="shared" si="263"/>
        <v>#N/A</v>
      </c>
      <c r="DK116" s="429">
        <f t="shared" si="180"/>
        <v>7.6</v>
      </c>
      <c r="DL116" s="429">
        <f t="shared" si="181"/>
        <v>8.64</v>
      </c>
      <c r="DM116" s="429">
        <f t="shared" si="182"/>
        <v>9.27</v>
      </c>
      <c r="DN116" s="429">
        <f t="shared" si="183"/>
        <v>9.66</v>
      </c>
      <c r="DO116" s="429">
        <f t="shared" si="184"/>
        <v>9.91</v>
      </c>
      <c r="DP116" s="429">
        <f t="shared" si="185"/>
        <v>10.5</v>
      </c>
      <c r="DQ116" s="429">
        <f t="shared" si="186"/>
        <v>10.7</v>
      </c>
      <c r="DR116" s="429">
        <f t="shared" si="187"/>
        <v>10.8</v>
      </c>
      <c r="DS116" s="429">
        <f t="shared" si="188"/>
        <v>10.89</v>
      </c>
      <c r="DT116" s="429">
        <f t="shared" si="189"/>
        <v>10.9</v>
      </c>
      <c r="DU116" s="429">
        <f t="shared" si="190"/>
        <v>11</v>
      </c>
      <c r="DV116" s="429">
        <f t="shared" si="191"/>
        <v>11</v>
      </c>
      <c r="DW116" s="429" t="e">
        <f t="shared" si="192"/>
        <v>#N/A</v>
      </c>
      <c r="DX116" s="429" t="e">
        <f t="shared" si="193"/>
        <v>#N/A</v>
      </c>
      <c r="DY116" s="429" t="e">
        <f t="shared" si="194"/>
        <v>#N/A</v>
      </c>
      <c r="DZ116" s="429" t="e">
        <f t="shared" si="195"/>
        <v>#N/A</v>
      </c>
      <c r="EA116" s="429" t="e">
        <f t="shared" si="196"/>
        <v>#N/A</v>
      </c>
      <c r="EB116" s="429" t="e">
        <f t="shared" si="197"/>
        <v>#N/A</v>
      </c>
      <c r="EC116" s="429" t="e">
        <f t="shared" si="198"/>
        <v>#N/A</v>
      </c>
      <c r="ED116" s="429" t="e">
        <f t="shared" si="199"/>
        <v>#N/A</v>
      </c>
      <c r="EE116" s="429" t="e">
        <f t="shared" si="200"/>
        <v>#N/A</v>
      </c>
      <c r="EF116" s="429" t="e">
        <f t="shared" si="201"/>
        <v>#N/A</v>
      </c>
      <c r="EG116" s="429" t="e">
        <f t="shared" si="202"/>
        <v>#N/A</v>
      </c>
      <c r="EH116" s="429" t="e">
        <f t="shared" si="203"/>
        <v>#N/A</v>
      </c>
      <c r="EI116" s="429" t="e">
        <f t="shared" si="204"/>
        <v>#N/A</v>
      </c>
      <c r="EJ116" s="429"/>
      <c r="EK116" s="429"/>
      <c r="EL116" s="429" t="e">
        <f t="shared" si="233"/>
        <v>#N/A</v>
      </c>
      <c r="EM116" s="429">
        <f t="shared" si="264"/>
        <v>0</v>
      </c>
      <c r="EN116" s="429">
        <f t="shared" si="235"/>
        <v>0.5</v>
      </c>
      <c r="EO116" s="429">
        <f t="shared" si="236"/>
        <v>1</v>
      </c>
      <c r="EP116" s="429">
        <f t="shared" si="237"/>
        <v>1.5</v>
      </c>
      <c r="EQ116" s="429">
        <f t="shared" si="238"/>
        <v>2</v>
      </c>
      <c r="ER116" s="429">
        <f t="shared" si="239"/>
        <v>4</v>
      </c>
      <c r="ES116" s="429">
        <f t="shared" si="240"/>
        <v>6</v>
      </c>
      <c r="ET116" s="429">
        <f t="shared" si="241"/>
        <v>8</v>
      </c>
      <c r="EU116" s="429">
        <f t="shared" si="242"/>
        <v>9.6999999999999993</v>
      </c>
      <c r="EV116" s="429">
        <f t="shared" si="243"/>
        <v>10</v>
      </c>
      <c r="EW116" s="429">
        <f t="shared" si="244"/>
        <v>12</v>
      </c>
      <c r="EX116" s="429">
        <f t="shared" si="245"/>
        <v>13</v>
      </c>
      <c r="EY116" s="429" t="e">
        <f t="shared" si="246"/>
        <v>#N/A</v>
      </c>
      <c r="EZ116" s="429" t="e">
        <f t="shared" si="247"/>
        <v>#N/A</v>
      </c>
      <c r="FA116" s="429" t="e">
        <f t="shared" si="248"/>
        <v>#N/A</v>
      </c>
      <c r="FB116" s="429" t="e">
        <f t="shared" si="249"/>
        <v>#N/A</v>
      </c>
      <c r="FC116" s="429" t="e">
        <f t="shared" si="250"/>
        <v>#N/A</v>
      </c>
      <c r="FD116" s="429" t="e">
        <f t="shared" si="251"/>
        <v>#N/A</v>
      </c>
      <c r="FE116" s="429" t="e">
        <f t="shared" si="252"/>
        <v>#N/A</v>
      </c>
      <c r="FF116" s="429" t="e">
        <f t="shared" si="253"/>
        <v>#N/A</v>
      </c>
      <c r="FG116" s="429" t="e">
        <f t="shared" si="254"/>
        <v>#N/A</v>
      </c>
      <c r="FH116" s="429" t="e">
        <f t="shared" si="255"/>
        <v>#N/A</v>
      </c>
      <c r="FI116" s="429" t="e">
        <f t="shared" si="256"/>
        <v>#N/A</v>
      </c>
      <c r="FJ116" s="429" t="e">
        <f t="shared" si="257"/>
        <v>#N/A</v>
      </c>
      <c r="FK116" s="429" t="e">
        <f t="shared" si="258"/>
        <v>#N/A</v>
      </c>
    </row>
    <row r="117" spans="1:199" x14ac:dyDescent="0.25">
      <c r="A117" s="377" t="str">
        <f t="shared" si="206"/>
        <v xml:space="preserve">  </v>
      </c>
      <c r="B117" s="380" t="str">
        <f>IFERROR(IF(ISERROR(CP146),"",CONCATENATE(ROUND(X_SHIFT_BP+IF(Tools!B$97&lt;=Tools!$D$47/2,-BF22,BF22),3),",",ROUND(WLS*$AP58,3)," ")),"")</f>
        <v/>
      </c>
      <c r="C117" s="380" t="str">
        <f>IFERROR(IF(ISERROR(CQ146),"",CONCATENATE(ROUND(X_SHIFT_BP+IF(Tools!C$97&lt;=Tools!$D$47/2,-BG22,BG22),3),",",ROUND(WLS*$AP58,3)," ")),"")</f>
        <v/>
      </c>
      <c r="D117" s="380" t="str">
        <f>IFERROR(IF(ISERROR(CR146),"",CONCATENATE(ROUND(X_SHIFT_BP+IF(Tools!D$97&lt;=Tools!$D$47/2,-BH22,BH22),3),",",ROUND(WLS*$AP58,3)," ")),"")</f>
        <v/>
      </c>
      <c r="E117" s="380" t="str">
        <f>IFERROR(IF(ISERROR(CS146),"",CONCATENATE(ROUND(X_SHIFT_BP+IF(Tools!E$97&lt;=Tools!$D$47/2,-BI22,BI22),3),",",ROUND(WLS*$AP58,3)," ")),"")</f>
        <v/>
      </c>
      <c r="F117" s="380" t="str">
        <f>IFERROR(IF(ISERROR(CT146),"",CONCATENATE(ROUND(X_SHIFT_BP+IF(Tools!F$97&lt;=Tools!$D$47/2,-BJ22,BJ22),3),",",ROUND(WLS*$AP58,3)," ")),"")</f>
        <v/>
      </c>
      <c r="G117" s="380" t="str">
        <f>IFERROR(IF(ISERROR(CU146),"",CONCATENATE(ROUND(X_SHIFT_BP+IF(Tools!G$97&lt;=Tools!$D$47/2,-BK22,BK22),3),",",ROUND(WLS*$AP58,3)," ")),"")</f>
        <v/>
      </c>
      <c r="H117" s="380" t="str">
        <f>IFERROR(IF(ISERROR(CV146),"",CONCATENATE(ROUND(X_SHIFT_BP+IF(Tools!H$97&lt;=Tools!$D$47/2,-BL22,BL22),3),",",ROUND(WLS*$AP58,3)," ")),"")</f>
        <v/>
      </c>
      <c r="I117" s="380" t="str">
        <f>IFERROR(IF(ISERROR(CW146),"",CONCATENATE(ROUND(X_SHIFT_BP+IF(Tools!I$97&lt;=Tools!$D$47/2,-BM22,BM22),3),",",ROUND(WLS*$AP58,3)," ")),"")</f>
        <v/>
      </c>
      <c r="J117" s="380" t="str">
        <f>IFERROR(IF(ISERROR(CX146),"",CONCATENATE(ROUND(X_SHIFT_BP+IF(Tools!J$97&lt;=Tools!$D$47/2,-BN22,BN22),3),",",ROUND(WLS*$AP58,3)," ")),"")</f>
        <v/>
      </c>
      <c r="K117" s="380" t="str">
        <f>IFERROR(IF(ISERROR(CY146),"",CONCATENATE(ROUND(X_SHIFT_BP+IF(Tools!K$97&lt;=Tools!$D$47/2,-BO22,BO22),3),",",ROUND(WLS*$AP58,3)," ")),"")</f>
        <v/>
      </c>
      <c r="L117" s="380" t="str">
        <f>IFERROR(IF(ISERROR(CZ146),"",CONCATENATE(ROUND(X_SHIFT_BP+IF(Tools!L$97&lt;=Tools!$D$47/2,-BP22,BP22),3),",",ROUND(WLS*$AP58,3)," ")),"")</f>
        <v/>
      </c>
      <c r="M117" s="380" t="str">
        <f>IFERROR(IF(ISERROR(DA146),"",CONCATENATE(ROUND(X_SHIFT_BP+IF(Tools!M$97&lt;=Tools!$D$47/2,-BQ22,BQ22),3),",",ROUND(WLS*$AP58,3)," ")),"")</f>
        <v/>
      </c>
      <c r="N117" s="380" t="str">
        <f>IFERROR(IF(ISERROR(DB146),"",CONCATENATE(ROUND(X_SHIFT_BP+IF(Tools!N$97&lt;=Tools!$D$47/2,-BR22,BR22),3),",",ROUND(WLS*$AP58,3)," ")),"")</f>
        <v/>
      </c>
      <c r="O117" s="380" t="str">
        <f>IFERROR(IF(ISERROR(DC146),"",CONCATENATE(ROUND(X_SHIFT_BP+IF(Tools!O$97&lt;=Tools!$D$47/2,-BS22,BS22),3),",",ROUND(WLS*$AP58,3)," ")),"")</f>
        <v/>
      </c>
      <c r="P117" s="380" t="str">
        <f>IFERROR(IF(ISERROR(DD146),"",CONCATENATE(ROUND(X_SHIFT_BP+IF(Tools!P$97&lt;=Tools!$D$47/2,-BT22,BT22),3),",",ROUND(WLS*$AP58,3)," ")),"")</f>
        <v/>
      </c>
      <c r="Q117" s="380" t="str">
        <f>IFERROR(IF(ISERROR(DE146),"",CONCATENATE(ROUND(X_SHIFT_BP+IF(Tools!Q$97&lt;=Tools!$D$47/2,-BU22,BU22),3),",",ROUND(WLS*$AP58,3)," ")),"")</f>
        <v/>
      </c>
      <c r="R117" s="380" t="str">
        <f>IFERROR(IF(ISERROR(DF146),"",CONCATENATE(ROUND(X_SHIFT_BP+IF(Tools!R$97&lt;=Tools!$D$47/2,-BV22,BV22),3),",",ROUND(WLS*$AP58,3)," ")),"")</f>
        <v/>
      </c>
      <c r="S117" s="380" t="str">
        <f>IFERROR(IF(ISERROR(DG146),"",CONCATENATE(ROUND(X_SHIFT_BP+IF(Tools!S$97&lt;=Tools!$D$47/2,-BW22,BW22),3),",",ROUND(WLS*$AP58,3)," ")),"")</f>
        <v/>
      </c>
      <c r="T117" s="380" t="str">
        <f>IFERROR(IF(ISERROR(DH146),"",CONCATENATE(ROUND(X_SHIFT_BP+IF(Tools!T$97&lt;=Tools!$D$47/2,-BX22,BX22),3),",",ROUND(WLS*$AP58,3)," ")),"")</f>
        <v/>
      </c>
      <c r="U117" s="380" t="str">
        <f>IFERROR(IF(ISERROR(DI146),"",CONCATENATE(ROUND(X_SHIFT_BP+IF(Tools!U$97&lt;=Tools!$D$47/2,-BY22,BY22),3),",",ROUND(WLS*$AP58,3)," ")),"")</f>
        <v/>
      </c>
      <c r="V117" s="380" t="str">
        <f>IFERROR(IF(ISERROR(DJ146),"",CONCATENATE(ROUND(X_SHIFT_BP+IF(Tools!V$97&lt;=Tools!$D$47/2,-BZ22,BZ22),3),",",ROUND(WLS*$AP58,3)," ")),"")</f>
        <v/>
      </c>
      <c r="W117" s="380" t="str">
        <f>IFERROR(IF(ISERROR(DK146),"",CONCATENATE(ROUND(X_SHIFT_BP+IF(Tools!W$97&lt;=Tools!$D$47/2,-CA22,CA22),3),",",ROUND(WLS*$AP58,3)," ")),"")</f>
        <v/>
      </c>
      <c r="X117" s="380" t="str">
        <f>IFERROR(IF(ISERROR(DL146),"",CONCATENATE(ROUND(X_SHIFT_BP+IF(Tools!X$97&lt;=Tools!$D$47/2,-CB22,CB22),3),",",ROUND(WLS*$AP58,3)," ")),"")</f>
        <v/>
      </c>
      <c r="Y117" s="380" t="str">
        <f>IFERROR(IF(ISERROR(DM146),"",CONCATENATE(ROUND(X_SHIFT_BP+IF(Tools!Y$97&lt;=Tools!$D$47/2,-CC22,CC22),3),",",ROUND(WLS*$AP58,3)," ")),"")</f>
        <v/>
      </c>
      <c r="Z117" s="380" t="str">
        <f>IFERROR(IF(ISERROR(DN146),"",CONCATENATE(ROUND(X_SHIFT_BP+IF(Tools!Z$97&lt;=Tools!$D$47/2,-CD22,CD22),3),",",ROUND(WLS*$AP58,3)," ")),"")</f>
        <v/>
      </c>
      <c r="AA117" s="132">
        <v>12</v>
      </c>
      <c r="AB117" s="248" t="str">
        <f t="shared" si="259"/>
        <v xml:space="preserve">Spline </v>
      </c>
      <c r="AC117" s="132" t="str">
        <v/>
      </c>
      <c r="AD117" s="248" t="str">
        <v xml:space="preserve">174.51,0 </v>
      </c>
      <c r="AE117" s="248" t="str">
        <v xml:space="preserve">175.8,0.5 </v>
      </c>
      <c r="AF117" s="248" t="str">
        <v xml:space="preserve">176.47,1 </v>
      </c>
      <c r="AG117" s="248" t="str">
        <v xml:space="preserve">176.95,1.5 </v>
      </c>
      <c r="AH117" s="248" t="str">
        <v xml:space="preserve">177.33,2 </v>
      </c>
      <c r="AI117" s="248" t="str">
        <v xml:space="preserve">178.23,4 </v>
      </c>
      <c r="AJ117" s="248" t="str">
        <v xml:space="preserve">178.6,6 </v>
      </c>
      <c r="AK117" s="248" t="str">
        <v xml:space="preserve">178.9,8 </v>
      </c>
      <c r="AL117" s="248" t="str">
        <v xml:space="preserve">179.14,9.7 </v>
      </c>
      <c r="AM117" s="248" t="str">
        <v xml:space="preserve">179.18,10 </v>
      </c>
      <c r="AN117" s="248" t="str">
        <v xml:space="preserve">179.41,12 </v>
      </c>
      <c r="AO117" s="248" t="str">
        <v xml:space="preserve">179.53,13 </v>
      </c>
      <c r="AP117" s="248" t="str">
        <v/>
      </c>
      <c r="AQ117" s="248" t="str">
        <v/>
      </c>
      <c r="AR117" s="248" t="str">
        <v/>
      </c>
      <c r="AS117" s="248" t="str">
        <v/>
      </c>
      <c r="AT117" s="248" t="str">
        <v/>
      </c>
      <c r="AU117" s="248" t="str">
        <v/>
      </c>
      <c r="AV117" s="248" t="str">
        <v/>
      </c>
      <c r="AW117" s="248" t="str">
        <v/>
      </c>
      <c r="AX117" s="248" t="str">
        <v/>
      </c>
      <c r="AY117" s="248" t="str">
        <v/>
      </c>
      <c r="AZ117" s="248" t="str">
        <v/>
      </c>
      <c r="BA117" s="248" t="str">
        <v/>
      </c>
      <c r="BB117" s="248" t="str">
        <v/>
      </c>
      <c r="BC117" s="379">
        <f>Tools!AD22</f>
        <v>17</v>
      </c>
      <c r="BD117" s="379">
        <f>IFERROR(Tools!AD22*STN_GAP,"")</f>
        <v>124.27</v>
      </c>
      <c r="BE117" s="467">
        <f>IFERROR(IF(ISNUMBER(DE117),NA(),IF(AND($DF117&lt;&gt;0,$DG117&gt;BE$97),NA(),IF($BD117&gt;LBP/2,-(-Tools!AE22),-Tools!AE22))),NA())</f>
        <v>5.6</v>
      </c>
      <c r="BF117" s="379">
        <f>IFERROR(IF(AND($DF117&lt;&gt;0,$DG117&gt;BF$97),NA(),IF($BD117&gt;LBP/2,-(-Tools!AF22),-Tools!AF22)),NA())</f>
        <v>6.89</v>
      </c>
      <c r="BG117" s="379">
        <f>IFERROR(IF(AND($DF117&lt;&gt;0,$DG117&gt;BG$97),NA(),IF($BD117&gt;LBP/2,-(-Tools!AG22),-Tools!AG22)),NA())</f>
        <v>7.56</v>
      </c>
      <c r="BH117" s="379">
        <f>IFERROR(IF(AND($DF117&lt;&gt;0,$DG117&gt;BH$97),NA(),IF($BD117&gt;LBP/2,-(-Tools!AH22),-Tools!AH22)),NA())</f>
        <v>8.0399999999999991</v>
      </c>
      <c r="BI117" s="379">
        <f>IFERROR(IF(AND($DF117&lt;&gt;0,$DG117&gt;BI$97),NA(),IF($BD117&gt;LBP/2,-(-Tools!AI22),-Tools!AI22)),NA())</f>
        <v>8.42</v>
      </c>
      <c r="BJ117" s="379">
        <f>IFERROR(IF(AND($DF117&lt;&gt;0,$DG117&gt;BJ$97),NA(),IF($BD117&gt;LBP/2,-(-Tools!AJ22),-Tools!AJ22)),NA())</f>
        <v>9.32</v>
      </c>
      <c r="BK117" s="379">
        <f>IFERROR(IF(AND($DF117&lt;&gt;0,$DG117&gt;BK$97),NA(),IF($BD117&gt;LBP/2,-(-Tools!AK22),-Tools!AK22)),NA())</f>
        <v>9.69</v>
      </c>
      <c r="BL117" s="379">
        <f>IFERROR(IF(AND($DF117&lt;&gt;0,$DG117&gt;BL$97),NA(),IF($BD117&gt;LBP/2,-(-Tools!AL22),-Tools!AL22)),NA())</f>
        <v>9.99</v>
      </c>
      <c r="BM117" s="379">
        <f>IFERROR(IF(AND($DF117&lt;&gt;0,$DG117&gt;BM$97),NA(),IF($BD117&gt;LBP/2,-(-Tools!AM22),-Tools!AM22)),NA())</f>
        <v>10.23</v>
      </c>
      <c r="BN117" s="379">
        <f>IFERROR(IF(AND($DF117&lt;&gt;0,$DG117&gt;BN$97),NA(),IF($BD117&gt;LBP/2,-(-Tools!AN22),-Tools!AN22)),NA())</f>
        <v>10.27</v>
      </c>
      <c r="BO117" s="379">
        <f>IFERROR(IF(AND($DF117&lt;&gt;0,$DG117&gt;BO$97),NA(),IF($BD117&gt;LBP/2,-(-Tools!AO22),-Tools!AO22)),NA())</f>
        <v>10.5</v>
      </c>
      <c r="BP117" s="379">
        <f>IFERROR(IF(AND($DF117&lt;&gt;0,$DG117&gt;BP$97),NA(),IF($BD117&gt;LBP/2,-(-Tools!AP22),-Tools!AP22)),NA())</f>
        <v>10.62</v>
      </c>
      <c r="BQ117" s="379" t="e">
        <f>IFERROR(IF(AND($DF117&lt;&gt;0,$DG117&gt;BQ$97),NA(),IF($BD117&gt;LBP/2,-(-Tools!AQ22),-Tools!AQ22)),NA())</f>
        <v>#N/A</v>
      </c>
      <c r="BR117" s="379" t="e">
        <f>IFERROR(IF(AND($DF117&lt;&gt;0,$DG117&gt;BR$97),NA(),IF($BD117&gt;LBP/2,-(-Tools!AR22),-Tools!AR22)),NA())</f>
        <v>#N/A</v>
      </c>
      <c r="BS117" s="379" t="e">
        <f>IFERROR(IF(AND($DF117&lt;&gt;0,$DG117&gt;BS$97),NA(),IF($BD117&gt;LBP/2,-(-Tools!AS22),-Tools!AS22)),NA())</f>
        <v>#N/A</v>
      </c>
      <c r="BT117" s="379" t="e">
        <f>IFERROR(IF(AND($DF117&lt;&gt;0,$DG117&gt;BT$97),NA(),IF($BD117&gt;LBP/2,-(-Tools!AT22),-Tools!AT22)),NA())</f>
        <v>#N/A</v>
      </c>
      <c r="BU117" s="379" t="e">
        <f>IFERROR(IF(AND($DF117&lt;&gt;0,$DG117&gt;BU$97),NA(),IF($BD117&gt;LBP/2,-(-Tools!AU22),-Tools!AU22)),NA())</f>
        <v>#N/A</v>
      </c>
      <c r="BV117" s="379" t="e">
        <f>IFERROR(IF(AND($DF117&lt;&gt;0,$DG117&gt;BV$97),NA(),IF($BD117&gt;LBP/2,-(-Tools!AV22),-Tools!AV22)),NA())</f>
        <v>#N/A</v>
      </c>
      <c r="BW117" s="379" t="e">
        <f>IFERROR(IF(AND($DF117&lt;&gt;0,$DG117&gt;BW$97),NA(),IF($BD117&gt;LBP/2,-(-Tools!AW22),-Tools!AW22)),NA())</f>
        <v>#N/A</v>
      </c>
      <c r="BX117" s="379" t="e">
        <f>IFERROR(IF(AND($DF117&lt;&gt;0,$DG117&gt;BX$97),NA(),IF($BD117&gt;LBP/2,-(-Tools!AX22),-Tools!AX22)),NA())</f>
        <v>#N/A</v>
      </c>
      <c r="BY117" s="379" t="e">
        <f>IFERROR(IF(AND($DF117&lt;&gt;0,$DG117&gt;BY$97),NA(),IF($BD117&gt;LBP/2,-(-Tools!AY22),-Tools!AY22)),NA())</f>
        <v>#N/A</v>
      </c>
      <c r="BZ117" s="379" t="e">
        <f>IFERROR(IF(AND($DF117&lt;&gt;0,$DG117&gt;BZ$97),NA(),IF($BD117&gt;LBP/2,-(-Tools!AZ22),-Tools!AZ22)),NA())</f>
        <v>#N/A</v>
      </c>
      <c r="CA117" s="379" t="e">
        <f>IFERROR(IF(AND($DF117&lt;&gt;0,$DG117&gt;CA$97),NA(),IF($BD117&gt;LBP/2,-(-Tools!BA22),-Tools!BA22)),NA())</f>
        <v>#N/A</v>
      </c>
      <c r="CB117" s="379" t="e">
        <f>IFERROR(IF(AND($DF117&lt;&gt;0,$DG117&gt;CB$97),NA(),IF($BD117&gt;LBP/2,-(-Tools!BB22),-Tools!BB22)),NA())</f>
        <v>#N/A</v>
      </c>
      <c r="CC117" s="379" t="e">
        <f>IFERROR(IF(AND($DF117&lt;&gt;0,$DG117&gt;CC$97),NA(),IF($BD117&gt;LBP/2,-(-Tools!BC22),-Tools!BC22)),NA())</f>
        <v>#N/A</v>
      </c>
      <c r="CE117" s="429" t="b">
        <f t="shared" si="207"/>
        <v>0</v>
      </c>
      <c r="CF117" s="429" t="b">
        <f t="shared" si="208"/>
        <v>0</v>
      </c>
      <c r="CG117" s="429" t="b">
        <f t="shared" si="209"/>
        <v>0</v>
      </c>
      <c r="CH117" s="429" t="b">
        <f t="shared" si="210"/>
        <v>0</v>
      </c>
      <c r="CI117" s="429" t="b">
        <f t="shared" si="211"/>
        <v>0</v>
      </c>
      <c r="CJ117" s="429" t="b">
        <f t="shared" si="212"/>
        <v>0</v>
      </c>
      <c r="CK117" s="429" t="b">
        <f t="shared" si="213"/>
        <v>0</v>
      </c>
      <c r="CL117" s="429" t="b">
        <f t="shared" si="214"/>
        <v>0</v>
      </c>
      <c r="CM117" s="429" t="b">
        <f t="shared" si="215"/>
        <v>0</v>
      </c>
      <c r="CN117" s="429" t="b">
        <f t="shared" si="216"/>
        <v>0</v>
      </c>
      <c r="CO117" s="429" t="b">
        <f t="shared" si="217"/>
        <v>0</v>
      </c>
      <c r="CP117" s="429" t="b">
        <f t="shared" si="218"/>
        <v>0</v>
      </c>
      <c r="CQ117" s="429" t="b">
        <f t="shared" si="219"/>
        <v>0</v>
      </c>
      <c r="CR117" s="429" t="b">
        <f t="shared" si="220"/>
        <v>0</v>
      </c>
      <c r="CS117" s="429" t="b">
        <f t="shared" si="221"/>
        <v>0</v>
      </c>
      <c r="CT117" s="429" t="b">
        <f t="shared" si="222"/>
        <v>0</v>
      </c>
      <c r="CU117" s="429" t="b">
        <f t="shared" si="223"/>
        <v>0</v>
      </c>
      <c r="CV117" s="429" t="b">
        <f t="shared" si="224"/>
        <v>0</v>
      </c>
      <c r="CW117" s="429" t="b">
        <f t="shared" si="225"/>
        <v>0</v>
      </c>
      <c r="CX117" s="429" t="b">
        <f t="shared" si="226"/>
        <v>0</v>
      </c>
      <c r="CY117" s="429" t="b">
        <f t="shared" si="227"/>
        <v>0</v>
      </c>
      <c r="CZ117" s="429" t="b">
        <f t="shared" si="228"/>
        <v>0</v>
      </c>
      <c r="DA117" s="429" t="b">
        <f t="shared" si="229"/>
        <v>0</v>
      </c>
      <c r="DB117" s="429" t="b">
        <f t="shared" si="230"/>
        <v>0</v>
      </c>
      <c r="DC117" s="429"/>
      <c r="DD117" s="429">
        <f t="shared" si="260"/>
        <v>0</v>
      </c>
      <c r="DE117" s="429" t="str">
        <f t="shared" si="231"/>
        <v>-</v>
      </c>
      <c r="DF117" s="429">
        <f t="shared" si="232"/>
        <v>0</v>
      </c>
      <c r="DG117" s="429">
        <f t="shared" si="261"/>
        <v>0</v>
      </c>
      <c r="DH117" s="429">
        <f t="shared" si="262"/>
        <v>17</v>
      </c>
      <c r="DI117" s="429"/>
      <c r="DJ117" s="429" t="e">
        <f t="shared" si="263"/>
        <v>#N/A</v>
      </c>
      <c r="DK117" s="429">
        <f t="shared" si="180"/>
        <v>5.6</v>
      </c>
      <c r="DL117" s="429">
        <f t="shared" si="181"/>
        <v>6.89</v>
      </c>
      <c r="DM117" s="429">
        <f t="shared" si="182"/>
        <v>7.56</v>
      </c>
      <c r="DN117" s="429">
        <f t="shared" si="183"/>
        <v>8.0399999999999991</v>
      </c>
      <c r="DO117" s="429">
        <f t="shared" si="184"/>
        <v>8.42</v>
      </c>
      <c r="DP117" s="429">
        <f t="shared" si="185"/>
        <v>9.32</v>
      </c>
      <c r="DQ117" s="429">
        <f t="shared" si="186"/>
        <v>9.69</v>
      </c>
      <c r="DR117" s="429">
        <f t="shared" si="187"/>
        <v>9.99</v>
      </c>
      <c r="DS117" s="429">
        <f t="shared" si="188"/>
        <v>10.23</v>
      </c>
      <c r="DT117" s="429">
        <f t="shared" si="189"/>
        <v>10.27</v>
      </c>
      <c r="DU117" s="429">
        <f t="shared" si="190"/>
        <v>10.5</v>
      </c>
      <c r="DV117" s="429">
        <f t="shared" si="191"/>
        <v>10.62</v>
      </c>
      <c r="DW117" s="429" t="e">
        <f t="shared" si="192"/>
        <v>#N/A</v>
      </c>
      <c r="DX117" s="429" t="e">
        <f t="shared" si="193"/>
        <v>#N/A</v>
      </c>
      <c r="DY117" s="429" t="e">
        <f t="shared" si="194"/>
        <v>#N/A</v>
      </c>
      <c r="DZ117" s="429" t="e">
        <f t="shared" si="195"/>
        <v>#N/A</v>
      </c>
      <c r="EA117" s="429" t="e">
        <f t="shared" si="196"/>
        <v>#N/A</v>
      </c>
      <c r="EB117" s="429" t="e">
        <f t="shared" si="197"/>
        <v>#N/A</v>
      </c>
      <c r="EC117" s="429" t="e">
        <f t="shared" si="198"/>
        <v>#N/A</v>
      </c>
      <c r="ED117" s="429" t="e">
        <f t="shared" si="199"/>
        <v>#N/A</v>
      </c>
      <c r="EE117" s="429" t="e">
        <f t="shared" si="200"/>
        <v>#N/A</v>
      </c>
      <c r="EF117" s="429" t="e">
        <f t="shared" si="201"/>
        <v>#N/A</v>
      </c>
      <c r="EG117" s="429" t="e">
        <f t="shared" si="202"/>
        <v>#N/A</v>
      </c>
      <c r="EH117" s="429" t="e">
        <f t="shared" si="203"/>
        <v>#N/A</v>
      </c>
      <c r="EI117" s="429" t="e">
        <f t="shared" si="204"/>
        <v>#N/A</v>
      </c>
      <c r="EJ117" s="429"/>
      <c r="EK117" s="429"/>
      <c r="EL117" s="429" t="e">
        <f t="shared" si="233"/>
        <v>#N/A</v>
      </c>
      <c r="EM117" s="429">
        <f t="shared" si="264"/>
        <v>0</v>
      </c>
      <c r="EN117" s="429">
        <f t="shared" si="235"/>
        <v>0.5</v>
      </c>
      <c r="EO117" s="429">
        <f t="shared" si="236"/>
        <v>1</v>
      </c>
      <c r="EP117" s="429">
        <f t="shared" si="237"/>
        <v>1.5</v>
      </c>
      <c r="EQ117" s="429">
        <f t="shared" si="238"/>
        <v>2</v>
      </c>
      <c r="ER117" s="429">
        <f t="shared" si="239"/>
        <v>4</v>
      </c>
      <c r="ES117" s="429">
        <f t="shared" si="240"/>
        <v>6</v>
      </c>
      <c r="ET117" s="429">
        <f t="shared" si="241"/>
        <v>8</v>
      </c>
      <c r="EU117" s="429">
        <f t="shared" si="242"/>
        <v>9.6999999999999993</v>
      </c>
      <c r="EV117" s="429">
        <f t="shared" si="243"/>
        <v>10</v>
      </c>
      <c r="EW117" s="429">
        <f t="shared" si="244"/>
        <v>12</v>
      </c>
      <c r="EX117" s="429">
        <f t="shared" si="245"/>
        <v>13</v>
      </c>
      <c r="EY117" s="429" t="e">
        <f t="shared" si="246"/>
        <v>#N/A</v>
      </c>
      <c r="EZ117" s="429" t="e">
        <f t="shared" si="247"/>
        <v>#N/A</v>
      </c>
      <c r="FA117" s="429" t="e">
        <f t="shared" si="248"/>
        <v>#N/A</v>
      </c>
      <c r="FB117" s="429" t="e">
        <f t="shared" si="249"/>
        <v>#N/A</v>
      </c>
      <c r="FC117" s="429" t="e">
        <f t="shared" si="250"/>
        <v>#N/A</v>
      </c>
      <c r="FD117" s="429" t="e">
        <f t="shared" si="251"/>
        <v>#N/A</v>
      </c>
      <c r="FE117" s="429" t="e">
        <f t="shared" si="252"/>
        <v>#N/A</v>
      </c>
      <c r="FF117" s="429" t="e">
        <f t="shared" si="253"/>
        <v>#N/A</v>
      </c>
      <c r="FG117" s="429" t="e">
        <f t="shared" si="254"/>
        <v>#N/A</v>
      </c>
      <c r="FH117" s="429" t="e">
        <f t="shared" si="255"/>
        <v>#N/A</v>
      </c>
      <c r="FI117" s="429" t="e">
        <f t="shared" si="256"/>
        <v>#N/A</v>
      </c>
      <c r="FJ117" s="429" t="e">
        <f t="shared" si="257"/>
        <v>#N/A</v>
      </c>
      <c r="FK117" s="429" t="e">
        <f t="shared" si="258"/>
        <v>#N/A</v>
      </c>
    </row>
    <row r="118" spans="1:199" x14ac:dyDescent="0.25">
      <c r="A118" s="377" t="str">
        <f t="shared" si="206"/>
        <v xml:space="preserve">  </v>
      </c>
      <c r="B118" s="380" t="str">
        <f>IFERROR(IF(ISERROR(CP147),"",CONCATENATE(ROUND(X_SHIFT_BP+IF(Tools!B$97&lt;=Tools!$D$47/2,-BF23,BF23),3),",",ROUND(WLS*$AP59,3)," ")),"")</f>
        <v/>
      </c>
      <c r="C118" s="380" t="str">
        <f>IFERROR(IF(ISERROR(CQ147),"",CONCATENATE(ROUND(X_SHIFT_BP+IF(Tools!C$97&lt;=Tools!$D$47/2,-BG23,BG23),3),",",ROUND(WLS*$AP59,3)," ")),"")</f>
        <v/>
      </c>
      <c r="D118" s="380" t="str">
        <f>IFERROR(IF(ISERROR(CR147),"",CONCATENATE(ROUND(X_SHIFT_BP+IF(Tools!D$97&lt;=Tools!$D$47/2,-BH23,BH23),3),",",ROUND(WLS*$AP59,3)," ")),"")</f>
        <v/>
      </c>
      <c r="E118" s="380" t="str">
        <f>IFERROR(IF(ISERROR(CS147),"",CONCATENATE(ROUND(X_SHIFT_BP+IF(Tools!E$97&lt;=Tools!$D$47/2,-BI23,BI23),3),",",ROUND(WLS*$AP59,3)," ")),"")</f>
        <v/>
      </c>
      <c r="F118" s="380" t="str">
        <f>IFERROR(IF(ISERROR(CT147),"",CONCATENATE(ROUND(X_SHIFT_BP+IF(Tools!F$97&lt;=Tools!$D$47/2,-BJ23,BJ23),3),",",ROUND(WLS*$AP59,3)," ")),"")</f>
        <v/>
      </c>
      <c r="G118" s="380" t="str">
        <f>IFERROR(IF(ISERROR(CU147),"",CONCATENATE(ROUND(X_SHIFT_BP+IF(Tools!G$97&lt;=Tools!$D$47/2,-BK23,BK23),3),",",ROUND(WLS*$AP59,3)," ")),"")</f>
        <v/>
      </c>
      <c r="H118" s="380" t="str">
        <f>IFERROR(IF(ISERROR(CV147),"",CONCATENATE(ROUND(X_SHIFT_BP+IF(Tools!H$97&lt;=Tools!$D$47/2,-BL23,BL23),3),",",ROUND(WLS*$AP59,3)," ")),"")</f>
        <v/>
      </c>
      <c r="I118" s="380" t="str">
        <f>IFERROR(IF(ISERROR(CW147),"",CONCATENATE(ROUND(X_SHIFT_BP+IF(Tools!I$97&lt;=Tools!$D$47/2,-BM23,BM23),3),",",ROUND(WLS*$AP59,3)," ")),"")</f>
        <v/>
      </c>
      <c r="J118" s="380" t="str">
        <f>IFERROR(IF(ISERROR(CX147),"",CONCATENATE(ROUND(X_SHIFT_BP+IF(Tools!J$97&lt;=Tools!$D$47/2,-BN23,BN23),3),",",ROUND(WLS*$AP59,3)," ")),"")</f>
        <v/>
      </c>
      <c r="K118" s="380" t="str">
        <f>IFERROR(IF(ISERROR(CY147),"",CONCATENATE(ROUND(X_SHIFT_BP+IF(Tools!K$97&lt;=Tools!$D$47/2,-BO23,BO23),3),",",ROUND(WLS*$AP59,3)," ")),"")</f>
        <v/>
      </c>
      <c r="L118" s="380" t="str">
        <f>IFERROR(IF(ISERROR(CZ147),"",CONCATENATE(ROUND(X_SHIFT_BP+IF(Tools!L$97&lt;=Tools!$D$47/2,-BP23,BP23),3),",",ROUND(WLS*$AP59,3)," ")),"")</f>
        <v/>
      </c>
      <c r="M118" s="380" t="str">
        <f>IFERROR(IF(ISERROR(DA147),"",CONCATENATE(ROUND(X_SHIFT_BP+IF(Tools!M$97&lt;=Tools!$D$47/2,-BQ23,BQ23),3),",",ROUND(WLS*$AP59,3)," ")),"")</f>
        <v/>
      </c>
      <c r="N118" s="380" t="str">
        <f>IFERROR(IF(ISERROR(DB147),"",CONCATENATE(ROUND(X_SHIFT_BP+IF(Tools!N$97&lt;=Tools!$D$47/2,-BR23,BR23),3),",",ROUND(WLS*$AP59,3)," ")),"")</f>
        <v/>
      </c>
      <c r="O118" s="380" t="str">
        <f>IFERROR(IF(ISERROR(DC147),"",CONCATENATE(ROUND(X_SHIFT_BP+IF(Tools!O$97&lt;=Tools!$D$47/2,-BS23,BS23),3),",",ROUND(WLS*$AP59,3)," ")),"")</f>
        <v/>
      </c>
      <c r="P118" s="380" t="str">
        <f>IFERROR(IF(ISERROR(DD147),"",CONCATENATE(ROUND(X_SHIFT_BP+IF(Tools!P$97&lt;=Tools!$D$47/2,-BT23,BT23),3),",",ROUND(WLS*$AP59,3)," ")),"")</f>
        <v/>
      </c>
      <c r="Q118" s="380" t="str">
        <f>IFERROR(IF(ISERROR(DE147),"",CONCATENATE(ROUND(X_SHIFT_BP+IF(Tools!Q$97&lt;=Tools!$D$47/2,-BU23,BU23),3),",",ROUND(WLS*$AP59,3)," ")),"")</f>
        <v/>
      </c>
      <c r="R118" s="380" t="str">
        <f>IFERROR(IF(ISERROR(DF147),"",CONCATENATE(ROUND(X_SHIFT_BP+IF(Tools!R$97&lt;=Tools!$D$47/2,-BV23,BV23),3),",",ROUND(WLS*$AP59,3)," ")),"")</f>
        <v/>
      </c>
      <c r="S118" s="380" t="str">
        <f>IFERROR(IF(ISERROR(DG147),"",CONCATENATE(ROUND(X_SHIFT_BP+IF(Tools!S$97&lt;=Tools!$D$47/2,-BW23,BW23),3),",",ROUND(WLS*$AP59,3)," ")),"")</f>
        <v/>
      </c>
      <c r="T118" s="380" t="str">
        <f>IFERROR(IF(ISERROR(DH147),"",CONCATENATE(ROUND(X_SHIFT_BP+IF(Tools!T$97&lt;=Tools!$D$47/2,-BX23,BX23),3),",",ROUND(WLS*$AP59,3)," ")),"")</f>
        <v/>
      </c>
      <c r="U118" s="380" t="str">
        <f>IFERROR(IF(ISERROR(DI147),"",CONCATENATE(ROUND(X_SHIFT_BP+IF(Tools!U$97&lt;=Tools!$D$47/2,-BY23,BY23),3),",",ROUND(WLS*$AP59,3)," ")),"")</f>
        <v/>
      </c>
      <c r="V118" s="380" t="str">
        <f>IFERROR(IF(ISERROR(DJ147),"",CONCATENATE(ROUND(X_SHIFT_BP+IF(Tools!V$97&lt;=Tools!$D$47/2,-BZ23,BZ23),3),",",ROUND(WLS*$AP59,3)," ")),"")</f>
        <v/>
      </c>
      <c r="W118" s="380" t="str">
        <f>IFERROR(IF(ISERROR(DK147),"",CONCATENATE(ROUND(X_SHIFT_BP+IF(Tools!W$97&lt;=Tools!$D$47/2,-CA23,CA23),3),",",ROUND(WLS*$AP59,3)," ")),"")</f>
        <v/>
      </c>
      <c r="X118" s="380" t="str">
        <f>IFERROR(IF(ISERROR(DL147),"",CONCATENATE(ROUND(X_SHIFT_BP+IF(Tools!X$97&lt;=Tools!$D$47/2,-CB23,CB23),3),",",ROUND(WLS*$AP59,3)," ")),"")</f>
        <v/>
      </c>
      <c r="Y118" s="380" t="str">
        <f>IFERROR(IF(ISERROR(DM147),"",CONCATENATE(ROUND(X_SHIFT_BP+IF(Tools!Y$97&lt;=Tools!$D$47/2,-CC23,CC23),3),",",ROUND(WLS*$AP59,3)," ")),"")</f>
        <v/>
      </c>
      <c r="Z118" s="380" t="str">
        <f>IFERROR(IF(ISERROR(DN147),"",CONCATENATE(ROUND(X_SHIFT_BP+IF(Tools!Z$97&lt;=Tools!$D$47/2,-CD23,CD23),3),",",ROUND(WLS*$AP59,3)," ")),"")</f>
        <v/>
      </c>
      <c r="AA118" s="132">
        <v>12</v>
      </c>
      <c r="AB118" s="248" t="str">
        <f t="shared" si="259"/>
        <v xml:space="preserve">Spline </v>
      </c>
      <c r="AC118" s="132" t="str">
        <v/>
      </c>
      <c r="AD118" s="248" t="str">
        <v xml:space="preserve">172.41,0 </v>
      </c>
      <c r="AE118" s="248" t="str">
        <v xml:space="preserve">173.56,0.5 </v>
      </c>
      <c r="AF118" s="248" t="str">
        <v xml:space="preserve">174.26,1 </v>
      </c>
      <c r="AG118" s="248" t="str">
        <v xml:space="preserve">174.78,1.5 </v>
      </c>
      <c r="AH118" s="248" t="str">
        <v xml:space="preserve">175.12,2 </v>
      </c>
      <c r="AI118" s="248" t="str">
        <v xml:space="preserve">175.99,4 </v>
      </c>
      <c r="AJ118" s="248" t="str">
        <v xml:space="preserve">176.48,6 </v>
      </c>
      <c r="AK118" s="248" t="str">
        <v xml:space="preserve">176.839,8 </v>
      </c>
      <c r="AL118" s="248" t="str">
        <v xml:space="preserve">177.261,9.7 </v>
      </c>
      <c r="AM118" s="248" t="str">
        <v xml:space="preserve">177.34,10 </v>
      </c>
      <c r="AN118" s="248" t="str">
        <v xml:space="preserve">177.83,12 </v>
      </c>
      <c r="AO118" s="248" t="str">
        <v xml:space="preserve">178.07,13 </v>
      </c>
      <c r="AP118" s="248" t="str">
        <v/>
      </c>
      <c r="AQ118" s="248" t="str">
        <v/>
      </c>
      <c r="AR118" s="248" t="str">
        <v/>
      </c>
      <c r="AS118" s="248" t="str">
        <v/>
      </c>
      <c r="AT118" s="248" t="str">
        <v/>
      </c>
      <c r="AU118" s="248" t="str">
        <v/>
      </c>
      <c r="AV118" s="248" t="str">
        <v/>
      </c>
      <c r="AW118" s="248" t="str">
        <v/>
      </c>
      <c r="AX118" s="248" t="str">
        <v/>
      </c>
      <c r="AY118" s="248" t="str">
        <v/>
      </c>
      <c r="AZ118" s="248" t="str">
        <v/>
      </c>
      <c r="BA118" s="248" t="str">
        <v/>
      </c>
      <c r="BB118" s="248" t="str">
        <v/>
      </c>
      <c r="BC118" s="379">
        <f>Tools!AD23</f>
        <v>18</v>
      </c>
      <c r="BD118" s="379">
        <f>IFERROR(Tools!AD23*STN_GAP,"")</f>
        <v>131.57999999999998</v>
      </c>
      <c r="BE118" s="467">
        <f>IFERROR(IF(ISNUMBER(DE118),NA(),IF(AND($DF118&lt;&gt;0,$DG118&gt;BE$97),NA(),IF($BD118&gt;LBP/2,-(-Tools!AE23),-Tools!AE23))),NA())</f>
        <v>3.5</v>
      </c>
      <c r="BF118" s="379">
        <f>IFERROR(IF(AND($DF118&lt;&gt;0,$DG118&gt;BF$97),NA(),IF($BD118&gt;LBP/2,-(-Tools!AF23),-Tools!AF23)),NA())</f>
        <v>4.6500000000000004</v>
      </c>
      <c r="BG118" s="379">
        <f>IFERROR(IF(AND($DF118&lt;&gt;0,$DG118&gt;BG$97),NA(),IF($BD118&gt;LBP/2,-(-Tools!AG23),-Tools!AG23)),NA())</f>
        <v>5.35</v>
      </c>
      <c r="BH118" s="379">
        <f>IFERROR(IF(AND($DF118&lt;&gt;0,$DG118&gt;BH$97),NA(),IF($BD118&gt;LBP/2,-(-Tools!AH23),-Tools!AH23)),NA())</f>
        <v>5.87</v>
      </c>
      <c r="BI118" s="379">
        <f>IFERROR(IF(AND($DF118&lt;&gt;0,$DG118&gt;BI$97),NA(),IF($BD118&gt;LBP/2,-(-Tools!AI23),-Tools!AI23)),NA())</f>
        <v>6.21</v>
      </c>
      <c r="BJ118" s="379">
        <f>IFERROR(IF(AND($DF118&lt;&gt;0,$DG118&gt;BJ$97),NA(),IF($BD118&gt;LBP/2,-(-Tools!AJ23),-Tools!AJ23)),NA())</f>
        <v>7.08</v>
      </c>
      <c r="BK118" s="379">
        <f>IFERROR(IF(AND($DF118&lt;&gt;0,$DG118&gt;BK$97),NA(),IF($BD118&gt;LBP/2,-(-Tools!AK23),-Tools!AK23)),NA())</f>
        <v>7.57</v>
      </c>
      <c r="BL118" s="379">
        <f>IFERROR(IF(AND($DF118&lt;&gt;0,$DG118&gt;BL$97),NA(),IF($BD118&gt;LBP/2,-(-Tools!AL23),-Tools!AL23)),NA())</f>
        <v>7.9291999999999998</v>
      </c>
      <c r="BM118" s="379">
        <f>IFERROR(IF(AND($DF118&lt;&gt;0,$DG118&gt;BM$97),NA(),IF($BD118&gt;LBP/2,-(-Tools!AM23),-Tools!AM23)),NA())</f>
        <v>8.3511000000000006</v>
      </c>
      <c r="BN118" s="379">
        <f>IFERROR(IF(AND($DF118&lt;&gt;0,$DG118&gt;BN$97),NA(),IF($BD118&gt;LBP/2,-(-Tools!AN23),-Tools!AN23)),NA())</f>
        <v>8.43</v>
      </c>
      <c r="BO118" s="379">
        <f>IFERROR(IF(AND($DF118&lt;&gt;0,$DG118&gt;BO$97),NA(),IF($BD118&gt;LBP/2,-(-Tools!AO23),-Tools!AO23)),NA())</f>
        <v>8.92</v>
      </c>
      <c r="BP118" s="379">
        <f>IFERROR(IF(AND($DF118&lt;&gt;0,$DG118&gt;BP$97),NA(),IF($BD118&gt;LBP/2,-(-Tools!AP23),-Tools!AP23)),NA())</f>
        <v>9.16</v>
      </c>
      <c r="BQ118" s="379" t="e">
        <f>IFERROR(IF(AND($DF118&lt;&gt;0,$DG118&gt;BQ$97),NA(),IF($BD118&gt;LBP/2,-(-Tools!AQ23),-Tools!AQ23)),NA())</f>
        <v>#N/A</v>
      </c>
      <c r="BR118" s="379" t="e">
        <f>IFERROR(IF(AND($DF118&lt;&gt;0,$DG118&gt;BR$97),NA(),IF($BD118&gt;LBP/2,-(-Tools!AR23),-Tools!AR23)),NA())</f>
        <v>#N/A</v>
      </c>
      <c r="BS118" s="379" t="e">
        <f>IFERROR(IF(AND($DF118&lt;&gt;0,$DG118&gt;BS$97),NA(),IF($BD118&gt;LBP/2,-(-Tools!AS23),-Tools!AS23)),NA())</f>
        <v>#N/A</v>
      </c>
      <c r="BT118" s="379" t="e">
        <f>IFERROR(IF(AND($DF118&lt;&gt;0,$DG118&gt;BT$97),NA(),IF($BD118&gt;LBP/2,-(-Tools!AT23),-Tools!AT23)),NA())</f>
        <v>#N/A</v>
      </c>
      <c r="BU118" s="379" t="e">
        <f>IFERROR(IF(AND($DF118&lt;&gt;0,$DG118&gt;BU$97),NA(),IF($BD118&gt;LBP/2,-(-Tools!AU23),-Tools!AU23)),NA())</f>
        <v>#N/A</v>
      </c>
      <c r="BV118" s="379" t="e">
        <f>IFERROR(IF(AND($DF118&lt;&gt;0,$DG118&gt;BV$97),NA(),IF($BD118&gt;LBP/2,-(-Tools!AV23),-Tools!AV23)),NA())</f>
        <v>#N/A</v>
      </c>
      <c r="BW118" s="379" t="e">
        <f>IFERROR(IF(AND($DF118&lt;&gt;0,$DG118&gt;BW$97),NA(),IF($BD118&gt;LBP/2,-(-Tools!AW23),-Tools!AW23)),NA())</f>
        <v>#N/A</v>
      </c>
      <c r="BX118" s="379" t="e">
        <f>IFERROR(IF(AND($DF118&lt;&gt;0,$DG118&gt;BX$97),NA(),IF($BD118&gt;LBP/2,-(-Tools!AX23),-Tools!AX23)),NA())</f>
        <v>#N/A</v>
      </c>
      <c r="BY118" s="379" t="e">
        <f>IFERROR(IF(AND($DF118&lt;&gt;0,$DG118&gt;BY$97),NA(),IF($BD118&gt;LBP/2,-(-Tools!AY23),-Tools!AY23)),NA())</f>
        <v>#N/A</v>
      </c>
      <c r="BZ118" s="379" t="e">
        <f>IFERROR(IF(AND($DF118&lt;&gt;0,$DG118&gt;BZ$97),NA(),IF($BD118&gt;LBP/2,-(-Tools!AZ23),-Tools!AZ23)),NA())</f>
        <v>#N/A</v>
      </c>
      <c r="CA118" s="379" t="e">
        <f>IFERROR(IF(AND($DF118&lt;&gt;0,$DG118&gt;CA$97),NA(),IF($BD118&gt;LBP/2,-(-Tools!BA23),-Tools!BA23)),NA())</f>
        <v>#N/A</v>
      </c>
      <c r="CB118" s="379" t="e">
        <f>IFERROR(IF(AND($DF118&lt;&gt;0,$DG118&gt;CB$97),NA(),IF($BD118&gt;LBP/2,-(-Tools!BB23),-Tools!BB23)),NA())</f>
        <v>#N/A</v>
      </c>
      <c r="CC118" s="379" t="e">
        <f>IFERROR(IF(AND($DF118&lt;&gt;0,$DG118&gt;CC$97),NA(),IF($BD118&gt;LBP/2,-(-Tools!BC23),-Tools!BC23)),NA())</f>
        <v>#N/A</v>
      </c>
      <c r="CE118" s="429" t="b">
        <f t="shared" si="207"/>
        <v>0</v>
      </c>
      <c r="CF118" s="429" t="b">
        <f t="shared" si="208"/>
        <v>0</v>
      </c>
      <c r="CG118" s="429" t="b">
        <f t="shared" si="209"/>
        <v>0</v>
      </c>
      <c r="CH118" s="429" t="b">
        <f t="shared" si="210"/>
        <v>0</v>
      </c>
      <c r="CI118" s="429" t="b">
        <f t="shared" si="211"/>
        <v>0</v>
      </c>
      <c r="CJ118" s="429" t="b">
        <f t="shared" si="212"/>
        <v>0</v>
      </c>
      <c r="CK118" s="429" t="b">
        <f t="shared" si="213"/>
        <v>0</v>
      </c>
      <c r="CL118" s="429" t="b">
        <f t="shared" si="214"/>
        <v>0</v>
      </c>
      <c r="CM118" s="429" t="b">
        <f t="shared" si="215"/>
        <v>0</v>
      </c>
      <c r="CN118" s="429" t="b">
        <f t="shared" si="216"/>
        <v>0</v>
      </c>
      <c r="CO118" s="429" t="b">
        <f t="shared" si="217"/>
        <v>0</v>
      </c>
      <c r="CP118" s="429" t="b">
        <f t="shared" si="218"/>
        <v>0</v>
      </c>
      <c r="CQ118" s="429" t="b">
        <f t="shared" si="219"/>
        <v>0</v>
      </c>
      <c r="CR118" s="429" t="b">
        <f t="shared" si="220"/>
        <v>0</v>
      </c>
      <c r="CS118" s="429" t="b">
        <f t="shared" si="221"/>
        <v>0</v>
      </c>
      <c r="CT118" s="429" t="b">
        <f t="shared" si="222"/>
        <v>0</v>
      </c>
      <c r="CU118" s="429" t="b">
        <f t="shared" si="223"/>
        <v>0</v>
      </c>
      <c r="CV118" s="429" t="b">
        <f t="shared" si="224"/>
        <v>0</v>
      </c>
      <c r="CW118" s="429" t="b">
        <f t="shared" si="225"/>
        <v>0</v>
      </c>
      <c r="CX118" s="429" t="b">
        <f t="shared" si="226"/>
        <v>0</v>
      </c>
      <c r="CY118" s="429" t="b">
        <f t="shared" si="227"/>
        <v>0</v>
      </c>
      <c r="CZ118" s="429" t="b">
        <f t="shared" si="228"/>
        <v>0</v>
      </c>
      <c r="DA118" s="429" t="b">
        <f t="shared" si="229"/>
        <v>0</v>
      </c>
      <c r="DB118" s="429" t="b">
        <f t="shared" si="230"/>
        <v>0</v>
      </c>
      <c r="DC118" s="429"/>
      <c r="DD118" s="429">
        <f t="shared" si="260"/>
        <v>0</v>
      </c>
      <c r="DE118" s="429" t="str">
        <f t="shared" si="231"/>
        <v>-</v>
      </c>
      <c r="DF118" s="429">
        <f t="shared" si="232"/>
        <v>0</v>
      </c>
      <c r="DG118" s="429">
        <f t="shared" si="261"/>
        <v>0</v>
      </c>
      <c r="DH118" s="429">
        <f t="shared" si="262"/>
        <v>18</v>
      </c>
      <c r="DI118" s="429"/>
      <c r="DJ118" s="429" t="e">
        <f t="shared" si="263"/>
        <v>#N/A</v>
      </c>
      <c r="DK118" s="429">
        <f t="shared" si="180"/>
        <v>3.5</v>
      </c>
      <c r="DL118" s="429">
        <f t="shared" si="181"/>
        <v>4.6500000000000004</v>
      </c>
      <c r="DM118" s="429">
        <f t="shared" si="182"/>
        <v>5.35</v>
      </c>
      <c r="DN118" s="429">
        <f t="shared" si="183"/>
        <v>5.87</v>
      </c>
      <c r="DO118" s="429">
        <f t="shared" si="184"/>
        <v>6.21</v>
      </c>
      <c r="DP118" s="429">
        <f t="shared" si="185"/>
        <v>7.08</v>
      </c>
      <c r="DQ118" s="429">
        <f t="shared" si="186"/>
        <v>7.57</v>
      </c>
      <c r="DR118" s="429">
        <f t="shared" si="187"/>
        <v>7.9291999999999998</v>
      </c>
      <c r="DS118" s="429">
        <f t="shared" si="188"/>
        <v>8.3511000000000006</v>
      </c>
      <c r="DT118" s="429">
        <f t="shared" si="189"/>
        <v>8.43</v>
      </c>
      <c r="DU118" s="429">
        <f t="shared" si="190"/>
        <v>8.92</v>
      </c>
      <c r="DV118" s="429">
        <f t="shared" si="191"/>
        <v>9.16</v>
      </c>
      <c r="DW118" s="429" t="e">
        <f t="shared" si="192"/>
        <v>#N/A</v>
      </c>
      <c r="DX118" s="429" t="e">
        <f t="shared" si="193"/>
        <v>#N/A</v>
      </c>
      <c r="DY118" s="429" t="e">
        <f t="shared" si="194"/>
        <v>#N/A</v>
      </c>
      <c r="DZ118" s="429" t="e">
        <f t="shared" si="195"/>
        <v>#N/A</v>
      </c>
      <c r="EA118" s="429" t="e">
        <f t="shared" si="196"/>
        <v>#N/A</v>
      </c>
      <c r="EB118" s="429" t="e">
        <f t="shared" si="197"/>
        <v>#N/A</v>
      </c>
      <c r="EC118" s="429" t="e">
        <f t="shared" si="198"/>
        <v>#N/A</v>
      </c>
      <c r="ED118" s="429" t="e">
        <f t="shared" si="199"/>
        <v>#N/A</v>
      </c>
      <c r="EE118" s="429" t="e">
        <f t="shared" si="200"/>
        <v>#N/A</v>
      </c>
      <c r="EF118" s="429" t="e">
        <f t="shared" si="201"/>
        <v>#N/A</v>
      </c>
      <c r="EG118" s="429" t="e">
        <f t="shared" si="202"/>
        <v>#N/A</v>
      </c>
      <c r="EH118" s="429" t="e">
        <f t="shared" si="203"/>
        <v>#N/A</v>
      </c>
      <c r="EI118" s="429" t="e">
        <f t="shared" si="204"/>
        <v>#N/A</v>
      </c>
      <c r="EJ118" s="429"/>
      <c r="EK118" s="429"/>
      <c r="EL118" s="429" t="e">
        <f t="shared" si="233"/>
        <v>#N/A</v>
      </c>
      <c r="EM118" s="429">
        <f t="shared" si="264"/>
        <v>0</v>
      </c>
      <c r="EN118" s="429">
        <f t="shared" si="235"/>
        <v>0.5</v>
      </c>
      <c r="EO118" s="429">
        <f t="shared" si="236"/>
        <v>1</v>
      </c>
      <c r="EP118" s="429">
        <f t="shared" si="237"/>
        <v>1.5</v>
      </c>
      <c r="EQ118" s="429">
        <f t="shared" si="238"/>
        <v>2</v>
      </c>
      <c r="ER118" s="429">
        <f t="shared" si="239"/>
        <v>4</v>
      </c>
      <c r="ES118" s="429">
        <f t="shared" si="240"/>
        <v>6</v>
      </c>
      <c r="ET118" s="429">
        <f t="shared" si="241"/>
        <v>8</v>
      </c>
      <c r="EU118" s="429">
        <f t="shared" si="242"/>
        <v>9.6999999999999993</v>
      </c>
      <c r="EV118" s="429">
        <f t="shared" si="243"/>
        <v>10</v>
      </c>
      <c r="EW118" s="429">
        <f t="shared" si="244"/>
        <v>12</v>
      </c>
      <c r="EX118" s="429">
        <f t="shared" si="245"/>
        <v>13</v>
      </c>
      <c r="EY118" s="429" t="e">
        <f t="shared" si="246"/>
        <v>#N/A</v>
      </c>
      <c r="EZ118" s="429" t="e">
        <f t="shared" si="247"/>
        <v>#N/A</v>
      </c>
      <c r="FA118" s="429" t="e">
        <f t="shared" si="248"/>
        <v>#N/A</v>
      </c>
      <c r="FB118" s="429" t="e">
        <f t="shared" si="249"/>
        <v>#N/A</v>
      </c>
      <c r="FC118" s="429" t="e">
        <f t="shared" si="250"/>
        <v>#N/A</v>
      </c>
      <c r="FD118" s="429" t="e">
        <f t="shared" si="251"/>
        <v>#N/A</v>
      </c>
      <c r="FE118" s="429" t="e">
        <f t="shared" si="252"/>
        <v>#N/A</v>
      </c>
      <c r="FF118" s="429" t="e">
        <f t="shared" si="253"/>
        <v>#N/A</v>
      </c>
      <c r="FG118" s="429" t="e">
        <f t="shared" si="254"/>
        <v>#N/A</v>
      </c>
      <c r="FH118" s="429" t="e">
        <f t="shared" si="255"/>
        <v>#N/A</v>
      </c>
      <c r="FI118" s="429" t="e">
        <f t="shared" si="256"/>
        <v>#N/A</v>
      </c>
      <c r="FJ118" s="429" t="e">
        <f t="shared" si="257"/>
        <v>#N/A</v>
      </c>
      <c r="FK118" s="429" t="e">
        <f t="shared" si="258"/>
        <v>#N/A</v>
      </c>
    </row>
    <row r="119" spans="1:199" x14ac:dyDescent="0.25">
      <c r="A119" s="377" t="str">
        <f t="shared" si="206"/>
        <v xml:space="preserve">  </v>
      </c>
      <c r="B119" s="380" t="str">
        <f>IFERROR(IF(ISERROR(CP148),"",CONCATENATE(ROUND(X_SHIFT_BP+IF(Tools!B$97&lt;=Tools!$D$47/2,-BF24,BF24),3),",",ROUND(WLS*$AP60,3)," ")),"")</f>
        <v/>
      </c>
      <c r="C119" s="380" t="str">
        <f>IFERROR(IF(ISERROR(CQ148),"",CONCATENATE(ROUND(X_SHIFT_BP+IF(Tools!C$97&lt;=Tools!$D$47/2,-BG24,BG24),3),",",ROUND(WLS*$AP60,3)," ")),"")</f>
        <v/>
      </c>
      <c r="D119" s="380" t="str">
        <f>IFERROR(IF(ISERROR(CR148),"",CONCATENATE(ROUND(X_SHIFT_BP+IF(Tools!D$97&lt;=Tools!$D$47/2,-BH24,BH24),3),",",ROUND(WLS*$AP60,3)," ")),"")</f>
        <v/>
      </c>
      <c r="E119" s="380" t="str">
        <f>IFERROR(IF(ISERROR(CS148),"",CONCATENATE(ROUND(X_SHIFT_BP+IF(Tools!E$97&lt;=Tools!$D$47/2,-BI24,BI24),3),",",ROUND(WLS*$AP60,3)," ")),"")</f>
        <v/>
      </c>
      <c r="F119" s="380" t="str">
        <f>IFERROR(IF(ISERROR(CT148),"",CONCATENATE(ROUND(X_SHIFT_BP+IF(Tools!F$97&lt;=Tools!$D$47/2,-BJ24,BJ24),3),",",ROUND(WLS*$AP60,3)," ")),"")</f>
        <v/>
      </c>
      <c r="G119" s="380" t="str">
        <f>IFERROR(IF(ISERROR(CU148),"",CONCATENATE(ROUND(X_SHIFT_BP+IF(Tools!G$97&lt;=Tools!$D$47/2,-BK24,BK24),3),",",ROUND(WLS*$AP60,3)," ")),"")</f>
        <v/>
      </c>
      <c r="H119" s="380" t="str">
        <f>IFERROR(IF(ISERROR(CV148),"",CONCATENATE(ROUND(X_SHIFT_BP+IF(Tools!H$97&lt;=Tools!$D$47/2,-BL24,BL24),3),",",ROUND(WLS*$AP60,3)," ")),"")</f>
        <v/>
      </c>
      <c r="I119" s="380" t="str">
        <f>IFERROR(IF(ISERROR(CW148),"",CONCATENATE(ROUND(X_SHIFT_BP+IF(Tools!I$97&lt;=Tools!$D$47/2,-BM24,BM24),3),",",ROUND(WLS*$AP60,3)," ")),"")</f>
        <v/>
      </c>
      <c r="J119" s="380" t="str">
        <f>IFERROR(IF(ISERROR(CX148),"",CONCATENATE(ROUND(X_SHIFT_BP+IF(Tools!J$97&lt;=Tools!$D$47/2,-BN24,BN24),3),",",ROUND(WLS*$AP60,3)," ")),"")</f>
        <v/>
      </c>
      <c r="K119" s="380" t="str">
        <f>IFERROR(IF(ISERROR(CY148),"",CONCATENATE(ROUND(X_SHIFT_BP+IF(Tools!K$97&lt;=Tools!$D$47/2,-BO24,BO24),3),",",ROUND(WLS*$AP60,3)," ")),"")</f>
        <v/>
      </c>
      <c r="L119" s="380" t="str">
        <f>IFERROR(IF(ISERROR(CZ148),"",CONCATENATE(ROUND(X_SHIFT_BP+IF(Tools!L$97&lt;=Tools!$D$47/2,-BP24,BP24),3),",",ROUND(WLS*$AP60,3)," ")),"")</f>
        <v/>
      </c>
      <c r="M119" s="380" t="str">
        <f>IFERROR(IF(ISERROR(DA148),"",CONCATENATE(ROUND(X_SHIFT_BP+IF(Tools!M$97&lt;=Tools!$D$47/2,-BQ24,BQ24),3),",",ROUND(WLS*$AP60,3)," ")),"")</f>
        <v/>
      </c>
      <c r="N119" s="380" t="str">
        <f>IFERROR(IF(ISERROR(DB148),"",CONCATENATE(ROUND(X_SHIFT_BP+IF(Tools!N$97&lt;=Tools!$D$47/2,-BR24,BR24),3),",",ROUND(WLS*$AP60,3)," ")),"")</f>
        <v/>
      </c>
      <c r="O119" s="380" t="str">
        <f>IFERROR(IF(ISERROR(DC148),"",CONCATENATE(ROUND(X_SHIFT_BP+IF(Tools!O$97&lt;=Tools!$D$47/2,-BS24,BS24),3),",",ROUND(WLS*$AP60,3)," ")),"")</f>
        <v/>
      </c>
      <c r="P119" s="380" t="str">
        <f>IFERROR(IF(ISERROR(DD148),"",CONCATENATE(ROUND(X_SHIFT_BP+IF(Tools!P$97&lt;=Tools!$D$47/2,-BT24,BT24),3),",",ROUND(WLS*$AP60,3)," ")),"")</f>
        <v/>
      </c>
      <c r="Q119" s="380" t="str">
        <f>IFERROR(IF(ISERROR(DE148),"",CONCATENATE(ROUND(X_SHIFT_BP+IF(Tools!Q$97&lt;=Tools!$D$47/2,-BU24,BU24),3),",",ROUND(WLS*$AP60,3)," ")),"")</f>
        <v/>
      </c>
      <c r="R119" s="380" t="str">
        <f>IFERROR(IF(ISERROR(DF148),"",CONCATENATE(ROUND(X_SHIFT_BP+IF(Tools!R$97&lt;=Tools!$D$47/2,-BV24,BV24),3),",",ROUND(WLS*$AP60,3)," ")),"")</f>
        <v/>
      </c>
      <c r="S119" s="380" t="str">
        <f>IFERROR(IF(ISERROR(DG148),"",CONCATENATE(ROUND(X_SHIFT_BP+IF(Tools!S$97&lt;=Tools!$D$47/2,-BW24,BW24),3),",",ROUND(WLS*$AP60,3)," ")),"")</f>
        <v/>
      </c>
      <c r="T119" s="380" t="str">
        <f>IFERROR(IF(ISERROR(DH148),"",CONCATENATE(ROUND(X_SHIFT_BP+IF(Tools!T$97&lt;=Tools!$D$47/2,-BX24,BX24),3),",",ROUND(WLS*$AP60,3)," ")),"")</f>
        <v/>
      </c>
      <c r="U119" s="380" t="str">
        <f>IFERROR(IF(ISERROR(DI148),"",CONCATENATE(ROUND(X_SHIFT_BP+IF(Tools!U$97&lt;=Tools!$D$47/2,-BY24,BY24),3),",",ROUND(WLS*$AP60,3)," ")),"")</f>
        <v/>
      </c>
      <c r="V119" s="380" t="str">
        <f>IFERROR(IF(ISERROR(DJ148),"",CONCATENATE(ROUND(X_SHIFT_BP+IF(Tools!V$97&lt;=Tools!$D$47/2,-BZ24,BZ24),3),",",ROUND(WLS*$AP60,3)," ")),"")</f>
        <v/>
      </c>
      <c r="W119" s="380" t="str">
        <f>IFERROR(IF(ISERROR(DK148),"",CONCATENATE(ROUND(X_SHIFT_BP+IF(Tools!W$97&lt;=Tools!$D$47/2,-CA24,CA24),3),",",ROUND(WLS*$AP60,3)," ")),"")</f>
        <v/>
      </c>
      <c r="X119" s="380" t="str">
        <f>IFERROR(IF(ISERROR(DL148),"",CONCATENATE(ROUND(X_SHIFT_BP+IF(Tools!X$97&lt;=Tools!$D$47/2,-CB24,CB24),3),",",ROUND(WLS*$AP60,3)," ")),"")</f>
        <v/>
      </c>
      <c r="Y119" s="380" t="str">
        <f>IFERROR(IF(ISERROR(DM148),"",CONCATENATE(ROUND(X_SHIFT_BP+IF(Tools!Y$97&lt;=Tools!$D$47/2,-CC24,CC24),3),",",ROUND(WLS*$AP60,3)," ")),"")</f>
        <v/>
      </c>
      <c r="Z119" s="380" t="str">
        <f>IFERROR(IF(ISERROR(DN148),"",CONCATENATE(ROUND(X_SHIFT_BP+IF(Tools!Z$97&lt;=Tools!$D$47/2,-CD24,CD24),3),",",ROUND(WLS*$AP60,3)," ")),"")</f>
        <v/>
      </c>
      <c r="AA119" s="132">
        <v>12</v>
      </c>
      <c r="AB119" s="248" t="str">
        <f t="shared" si="259"/>
        <v xml:space="preserve">Spline </v>
      </c>
      <c r="AC119" s="132" t="str">
        <v/>
      </c>
      <c r="AD119" s="248" t="str">
        <v xml:space="preserve">171.21,0 </v>
      </c>
      <c r="AE119" s="248" t="str">
        <v xml:space="preserve">172.34,0.5 </v>
      </c>
      <c r="AF119" s="248" t="str">
        <v xml:space="preserve">173.04,1 </v>
      </c>
      <c r="AG119" s="248" t="str">
        <v xml:space="preserve">173.49,1.5 </v>
      </c>
      <c r="AH119" s="248" t="str">
        <v xml:space="preserve">173.82,2 </v>
      </c>
      <c r="AI119" s="248" t="str">
        <v xml:space="preserve">174.54,4 </v>
      </c>
      <c r="AJ119" s="248" t="str">
        <v xml:space="preserve">174.96,6 </v>
      </c>
      <c r="AK119" s="248" t="str">
        <v xml:space="preserve">175.3,8 </v>
      </c>
      <c r="AL119" s="248" t="str">
        <v xml:space="preserve">175.73,9.7 </v>
      </c>
      <c r="AM119" s="248" t="str">
        <v xml:space="preserve">175.82,10 </v>
      </c>
      <c r="AN119" s="248" t="str">
        <v xml:space="preserve">176.41,12 </v>
      </c>
      <c r="AO119" s="248" t="str">
        <v xml:space="preserve">176.71,13 </v>
      </c>
      <c r="AP119" s="248" t="str">
        <v/>
      </c>
      <c r="AQ119" s="248" t="str">
        <v/>
      </c>
      <c r="AR119" s="248" t="str">
        <v/>
      </c>
      <c r="AS119" s="248" t="str">
        <v/>
      </c>
      <c r="AT119" s="248" t="str">
        <v/>
      </c>
      <c r="AU119" s="248" t="str">
        <v/>
      </c>
      <c r="AV119" s="248" t="str">
        <v/>
      </c>
      <c r="AW119" s="248" t="str">
        <v/>
      </c>
      <c r="AX119" s="248" t="str">
        <v/>
      </c>
      <c r="AY119" s="248" t="str">
        <v/>
      </c>
      <c r="AZ119" s="248" t="str">
        <v/>
      </c>
      <c r="BA119" s="248" t="str">
        <v/>
      </c>
      <c r="BB119" s="248" t="str">
        <v/>
      </c>
      <c r="BC119" s="379">
        <f>Tools!AD24</f>
        <v>18.5</v>
      </c>
      <c r="BD119" s="379">
        <f>IFERROR(Tools!AD24*STN_GAP,"")</f>
        <v>135.23499999999999</v>
      </c>
      <c r="BE119" s="467">
        <f>IFERROR(IF(ISNUMBER(DE119),NA(),IF(AND($DF119&lt;&gt;0,$DG119&gt;BE$97),NA(),IF($BD119&gt;LBP/2,-(-Tools!AE24),-Tools!AE24))),NA())</f>
        <v>2.2999999999999998</v>
      </c>
      <c r="BF119" s="379">
        <f>IFERROR(IF(AND($DF119&lt;&gt;0,$DG119&gt;BF$97),NA(),IF($BD119&gt;LBP/2,-(-Tools!AF24),-Tools!AF24)),NA())</f>
        <v>3.43</v>
      </c>
      <c r="BG119" s="379">
        <f>IFERROR(IF(AND($DF119&lt;&gt;0,$DG119&gt;BG$97),NA(),IF($BD119&gt;LBP/2,-(-Tools!AG24),-Tools!AG24)),NA())</f>
        <v>4.13</v>
      </c>
      <c r="BH119" s="379">
        <f>IFERROR(IF(AND($DF119&lt;&gt;0,$DG119&gt;BH$97),NA(),IF($BD119&gt;LBP/2,-(-Tools!AH24),-Tools!AH24)),NA())</f>
        <v>4.58</v>
      </c>
      <c r="BI119" s="379">
        <f>IFERROR(IF(AND($DF119&lt;&gt;0,$DG119&gt;BI$97),NA(),IF($BD119&gt;LBP/2,-(-Tools!AI24),-Tools!AI24)),NA())</f>
        <v>4.91</v>
      </c>
      <c r="BJ119" s="379">
        <f>IFERROR(IF(AND($DF119&lt;&gt;0,$DG119&gt;BJ$97),NA(),IF($BD119&gt;LBP/2,-(-Tools!AJ24),-Tools!AJ24)),NA())</f>
        <v>5.63</v>
      </c>
      <c r="BK119" s="379">
        <f>IFERROR(IF(AND($DF119&lt;&gt;0,$DG119&gt;BK$97),NA(),IF($BD119&gt;LBP/2,-(-Tools!AK24),-Tools!AK24)),NA())</f>
        <v>6.05</v>
      </c>
      <c r="BL119" s="379">
        <f>IFERROR(IF(AND($DF119&lt;&gt;0,$DG119&gt;BL$97),NA(),IF($BD119&gt;LBP/2,-(-Tools!AL24),-Tools!AL24)),NA())</f>
        <v>6.39</v>
      </c>
      <c r="BM119" s="379">
        <f>IFERROR(IF(AND($DF119&lt;&gt;0,$DG119&gt;BM$97),NA(),IF($BD119&gt;LBP/2,-(-Tools!AM24),-Tools!AM24)),NA())</f>
        <v>6.82</v>
      </c>
      <c r="BN119" s="379">
        <f>IFERROR(IF(AND($DF119&lt;&gt;0,$DG119&gt;BN$97),NA(),IF($BD119&gt;LBP/2,-(-Tools!AN24),-Tools!AN24)),NA())</f>
        <v>6.91</v>
      </c>
      <c r="BO119" s="379">
        <f>IFERROR(IF(AND($DF119&lt;&gt;0,$DG119&gt;BO$97),NA(),IF($BD119&gt;LBP/2,-(-Tools!AO24),-Tools!AO24)),NA())</f>
        <v>7.5</v>
      </c>
      <c r="BP119" s="379">
        <f>IFERROR(IF(AND($DF119&lt;&gt;0,$DG119&gt;BP$97),NA(),IF($BD119&gt;LBP/2,-(-Tools!AP24),-Tools!AP24)),NA())</f>
        <v>7.8</v>
      </c>
      <c r="BQ119" s="379" t="e">
        <f>IFERROR(IF(AND($DF119&lt;&gt;0,$DG119&gt;BQ$97),NA(),IF($BD119&gt;LBP/2,-(-Tools!AQ24),-Tools!AQ24)),NA())</f>
        <v>#N/A</v>
      </c>
      <c r="BR119" s="379" t="e">
        <f>IFERROR(IF(AND($DF119&lt;&gt;0,$DG119&gt;BR$97),NA(),IF($BD119&gt;LBP/2,-(-Tools!AR24),-Tools!AR24)),NA())</f>
        <v>#N/A</v>
      </c>
      <c r="BS119" s="379" t="e">
        <f>IFERROR(IF(AND($DF119&lt;&gt;0,$DG119&gt;BS$97),NA(),IF($BD119&gt;LBP/2,-(-Tools!AS24),-Tools!AS24)),NA())</f>
        <v>#N/A</v>
      </c>
      <c r="BT119" s="379" t="e">
        <f>IFERROR(IF(AND($DF119&lt;&gt;0,$DG119&gt;BT$97),NA(),IF($BD119&gt;LBP/2,-(-Tools!AT24),-Tools!AT24)),NA())</f>
        <v>#N/A</v>
      </c>
      <c r="BU119" s="379" t="e">
        <f>IFERROR(IF(AND($DF119&lt;&gt;0,$DG119&gt;BU$97),NA(),IF($BD119&gt;LBP/2,-(-Tools!AU24),-Tools!AU24)),NA())</f>
        <v>#N/A</v>
      </c>
      <c r="BV119" s="379" t="e">
        <f>IFERROR(IF(AND($DF119&lt;&gt;0,$DG119&gt;BV$97),NA(),IF($BD119&gt;LBP/2,-(-Tools!AV24),-Tools!AV24)),NA())</f>
        <v>#N/A</v>
      </c>
      <c r="BW119" s="379" t="e">
        <f>IFERROR(IF(AND($DF119&lt;&gt;0,$DG119&gt;BW$97),NA(),IF($BD119&gt;LBP/2,-(-Tools!AW24),-Tools!AW24)),NA())</f>
        <v>#N/A</v>
      </c>
      <c r="BX119" s="379" t="e">
        <f>IFERROR(IF(AND($DF119&lt;&gt;0,$DG119&gt;BX$97),NA(),IF($BD119&gt;LBP/2,-(-Tools!AX24),-Tools!AX24)),NA())</f>
        <v>#N/A</v>
      </c>
      <c r="BY119" s="379" t="e">
        <f>IFERROR(IF(AND($DF119&lt;&gt;0,$DG119&gt;BY$97),NA(),IF($BD119&gt;LBP/2,-(-Tools!AY24),-Tools!AY24)),NA())</f>
        <v>#N/A</v>
      </c>
      <c r="BZ119" s="379" t="e">
        <f>IFERROR(IF(AND($DF119&lt;&gt;0,$DG119&gt;BZ$97),NA(),IF($BD119&gt;LBP/2,-(-Tools!AZ24),-Tools!AZ24)),NA())</f>
        <v>#N/A</v>
      </c>
      <c r="CA119" s="379" t="e">
        <f>IFERROR(IF(AND($DF119&lt;&gt;0,$DG119&gt;CA$97),NA(),IF($BD119&gt;LBP/2,-(-Tools!BA24),-Tools!BA24)),NA())</f>
        <v>#N/A</v>
      </c>
      <c r="CB119" s="379" t="e">
        <f>IFERROR(IF(AND($DF119&lt;&gt;0,$DG119&gt;CB$97),NA(),IF($BD119&gt;LBP/2,-(-Tools!BB24),-Tools!BB24)),NA())</f>
        <v>#N/A</v>
      </c>
      <c r="CC119" s="379" t="e">
        <f>IFERROR(IF(AND($DF119&lt;&gt;0,$DG119&gt;CC$97),NA(),IF($BD119&gt;LBP/2,-(-Tools!BC24),-Tools!BC24)),NA())</f>
        <v>#N/A</v>
      </c>
      <c r="CE119" s="429" t="b">
        <f t="shared" si="207"/>
        <v>0</v>
      </c>
      <c r="CF119" s="429" t="b">
        <f t="shared" si="208"/>
        <v>0</v>
      </c>
      <c r="CG119" s="429" t="b">
        <f t="shared" si="209"/>
        <v>0</v>
      </c>
      <c r="CH119" s="429" t="b">
        <f t="shared" si="210"/>
        <v>0</v>
      </c>
      <c r="CI119" s="429" t="b">
        <f t="shared" si="211"/>
        <v>0</v>
      </c>
      <c r="CJ119" s="429" t="b">
        <f t="shared" si="212"/>
        <v>0</v>
      </c>
      <c r="CK119" s="429" t="b">
        <f t="shared" si="213"/>
        <v>0</v>
      </c>
      <c r="CL119" s="429" t="b">
        <f t="shared" si="214"/>
        <v>0</v>
      </c>
      <c r="CM119" s="429" t="b">
        <f t="shared" si="215"/>
        <v>0</v>
      </c>
      <c r="CN119" s="429" t="b">
        <f t="shared" si="216"/>
        <v>0</v>
      </c>
      <c r="CO119" s="429" t="b">
        <f t="shared" si="217"/>
        <v>0</v>
      </c>
      <c r="CP119" s="429" t="b">
        <f t="shared" si="218"/>
        <v>0</v>
      </c>
      <c r="CQ119" s="429" t="b">
        <f t="shared" si="219"/>
        <v>0</v>
      </c>
      <c r="CR119" s="429" t="b">
        <f t="shared" si="220"/>
        <v>0</v>
      </c>
      <c r="CS119" s="429" t="b">
        <f t="shared" si="221"/>
        <v>0</v>
      </c>
      <c r="CT119" s="429" t="b">
        <f t="shared" si="222"/>
        <v>0</v>
      </c>
      <c r="CU119" s="429" t="b">
        <f t="shared" si="223"/>
        <v>0</v>
      </c>
      <c r="CV119" s="429" t="b">
        <f t="shared" si="224"/>
        <v>0</v>
      </c>
      <c r="CW119" s="429" t="b">
        <f t="shared" si="225"/>
        <v>0</v>
      </c>
      <c r="CX119" s="429" t="b">
        <f t="shared" si="226"/>
        <v>0</v>
      </c>
      <c r="CY119" s="429" t="b">
        <f t="shared" si="227"/>
        <v>0</v>
      </c>
      <c r="CZ119" s="429" t="b">
        <f t="shared" si="228"/>
        <v>0</v>
      </c>
      <c r="DA119" s="429" t="b">
        <f t="shared" si="229"/>
        <v>0</v>
      </c>
      <c r="DB119" s="429" t="b">
        <f t="shared" si="230"/>
        <v>0</v>
      </c>
      <c r="DC119" s="429"/>
      <c r="DD119" s="429">
        <f t="shared" si="260"/>
        <v>0</v>
      </c>
      <c r="DE119" s="429" t="str">
        <f t="shared" si="231"/>
        <v>-</v>
      </c>
      <c r="DF119" s="429">
        <f t="shared" si="232"/>
        <v>0</v>
      </c>
      <c r="DG119" s="429">
        <f t="shared" si="261"/>
        <v>0</v>
      </c>
      <c r="DH119" s="429">
        <f t="shared" si="262"/>
        <v>18.5</v>
      </c>
      <c r="DI119" s="429"/>
      <c r="DJ119" s="429" t="e">
        <f t="shared" si="263"/>
        <v>#N/A</v>
      </c>
      <c r="DK119" s="429">
        <f t="shared" si="180"/>
        <v>2.2999999999999998</v>
      </c>
      <c r="DL119" s="429">
        <f t="shared" si="181"/>
        <v>3.43</v>
      </c>
      <c r="DM119" s="429">
        <f t="shared" si="182"/>
        <v>4.13</v>
      </c>
      <c r="DN119" s="429">
        <f t="shared" si="183"/>
        <v>4.58</v>
      </c>
      <c r="DO119" s="429">
        <f t="shared" si="184"/>
        <v>4.91</v>
      </c>
      <c r="DP119" s="429">
        <f t="shared" si="185"/>
        <v>5.63</v>
      </c>
      <c r="DQ119" s="429">
        <f t="shared" si="186"/>
        <v>6.05</v>
      </c>
      <c r="DR119" s="429">
        <f t="shared" si="187"/>
        <v>6.39</v>
      </c>
      <c r="DS119" s="429">
        <f t="shared" si="188"/>
        <v>6.82</v>
      </c>
      <c r="DT119" s="429">
        <f t="shared" si="189"/>
        <v>6.91</v>
      </c>
      <c r="DU119" s="429">
        <f t="shared" si="190"/>
        <v>7.5</v>
      </c>
      <c r="DV119" s="429">
        <f t="shared" si="191"/>
        <v>7.8</v>
      </c>
      <c r="DW119" s="429" t="e">
        <f t="shared" si="192"/>
        <v>#N/A</v>
      </c>
      <c r="DX119" s="429" t="e">
        <f t="shared" si="193"/>
        <v>#N/A</v>
      </c>
      <c r="DY119" s="429" t="e">
        <f t="shared" si="194"/>
        <v>#N/A</v>
      </c>
      <c r="DZ119" s="429" t="e">
        <f t="shared" si="195"/>
        <v>#N/A</v>
      </c>
      <c r="EA119" s="429" t="e">
        <f t="shared" si="196"/>
        <v>#N/A</v>
      </c>
      <c r="EB119" s="429" t="e">
        <f t="shared" si="197"/>
        <v>#N/A</v>
      </c>
      <c r="EC119" s="429" t="e">
        <f t="shared" si="198"/>
        <v>#N/A</v>
      </c>
      <c r="ED119" s="429" t="e">
        <f t="shared" si="199"/>
        <v>#N/A</v>
      </c>
      <c r="EE119" s="429" t="e">
        <f t="shared" si="200"/>
        <v>#N/A</v>
      </c>
      <c r="EF119" s="429" t="e">
        <f t="shared" si="201"/>
        <v>#N/A</v>
      </c>
      <c r="EG119" s="429" t="e">
        <f t="shared" si="202"/>
        <v>#N/A</v>
      </c>
      <c r="EH119" s="429" t="e">
        <f t="shared" si="203"/>
        <v>#N/A</v>
      </c>
      <c r="EI119" s="429" t="e">
        <f t="shared" si="204"/>
        <v>#N/A</v>
      </c>
      <c r="EJ119" s="429"/>
      <c r="EK119" s="429"/>
      <c r="EL119" s="429" t="e">
        <f t="shared" si="233"/>
        <v>#N/A</v>
      </c>
      <c r="EM119" s="429">
        <f t="shared" si="264"/>
        <v>0</v>
      </c>
      <c r="EN119" s="429">
        <f t="shared" si="235"/>
        <v>0.5</v>
      </c>
      <c r="EO119" s="429">
        <f t="shared" si="236"/>
        <v>1</v>
      </c>
      <c r="EP119" s="429">
        <f t="shared" si="237"/>
        <v>1.5</v>
      </c>
      <c r="EQ119" s="429">
        <f t="shared" si="238"/>
        <v>2</v>
      </c>
      <c r="ER119" s="429">
        <f t="shared" si="239"/>
        <v>4</v>
      </c>
      <c r="ES119" s="429">
        <f t="shared" si="240"/>
        <v>6</v>
      </c>
      <c r="ET119" s="429">
        <f t="shared" si="241"/>
        <v>8</v>
      </c>
      <c r="EU119" s="429">
        <f t="shared" si="242"/>
        <v>9.6999999999999993</v>
      </c>
      <c r="EV119" s="429">
        <f t="shared" si="243"/>
        <v>10</v>
      </c>
      <c r="EW119" s="429">
        <f t="shared" si="244"/>
        <v>12</v>
      </c>
      <c r="EX119" s="429">
        <f t="shared" si="245"/>
        <v>13</v>
      </c>
      <c r="EY119" s="429" t="e">
        <f t="shared" si="246"/>
        <v>#N/A</v>
      </c>
      <c r="EZ119" s="429" t="e">
        <f t="shared" si="247"/>
        <v>#N/A</v>
      </c>
      <c r="FA119" s="429" t="e">
        <f t="shared" si="248"/>
        <v>#N/A</v>
      </c>
      <c r="FB119" s="429" t="e">
        <f t="shared" si="249"/>
        <v>#N/A</v>
      </c>
      <c r="FC119" s="429" t="e">
        <f t="shared" si="250"/>
        <v>#N/A</v>
      </c>
      <c r="FD119" s="429" t="e">
        <f t="shared" si="251"/>
        <v>#N/A</v>
      </c>
      <c r="FE119" s="429" t="e">
        <f t="shared" si="252"/>
        <v>#N/A</v>
      </c>
      <c r="FF119" s="429" t="e">
        <f t="shared" si="253"/>
        <v>#N/A</v>
      </c>
      <c r="FG119" s="429" t="e">
        <f t="shared" si="254"/>
        <v>#N/A</v>
      </c>
      <c r="FH119" s="429" t="e">
        <f t="shared" si="255"/>
        <v>#N/A</v>
      </c>
      <c r="FI119" s="429" t="e">
        <f t="shared" si="256"/>
        <v>#N/A</v>
      </c>
      <c r="FJ119" s="429" t="e">
        <f t="shared" si="257"/>
        <v>#N/A</v>
      </c>
      <c r="FK119" s="429" t="e">
        <f t="shared" si="258"/>
        <v>#N/A</v>
      </c>
    </row>
    <row r="120" spans="1:199" x14ac:dyDescent="0.25">
      <c r="A120" s="377" t="str">
        <f t="shared" si="206"/>
        <v xml:space="preserve">  </v>
      </c>
      <c r="B120" s="380" t="str">
        <f>IFERROR(IF(ISERROR(CP149),"",CONCATENATE(ROUND(X_SHIFT_BP+IF(Tools!B$97&lt;=Tools!$D$47/2,-BF25,BF25),3),",",ROUND(WLS*$AP61,3)," ")),"")</f>
        <v/>
      </c>
      <c r="C120" s="380" t="str">
        <f>IFERROR(IF(ISERROR(CQ149),"",CONCATENATE(ROUND(X_SHIFT_BP+IF(Tools!C$97&lt;=Tools!$D$47/2,-BG25,BG25),3),",",ROUND(WLS*$AP61,3)," ")),"")</f>
        <v/>
      </c>
      <c r="D120" s="380" t="str">
        <f>IFERROR(IF(ISERROR(CR149),"",CONCATENATE(ROUND(X_SHIFT_BP+IF(Tools!D$97&lt;=Tools!$D$47/2,-BH25,BH25),3),",",ROUND(WLS*$AP61,3)," ")),"")</f>
        <v/>
      </c>
      <c r="E120" s="380" t="str">
        <f>IFERROR(IF(ISERROR(CS149),"",CONCATENATE(ROUND(X_SHIFT_BP+IF(Tools!E$97&lt;=Tools!$D$47/2,-BI25,BI25),3),",",ROUND(WLS*$AP61,3)," ")),"")</f>
        <v/>
      </c>
      <c r="F120" s="380" t="str">
        <f>IFERROR(IF(ISERROR(CT149),"",CONCATENATE(ROUND(X_SHIFT_BP+IF(Tools!F$97&lt;=Tools!$D$47/2,-BJ25,BJ25),3),",",ROUND(WLS*$AP61,3)," ")),"")</f>
        <v/>
      </c>
      <c r="G120" s="380" t="str">
        <f>IFERROR(IF(ISERROR(CU149),"",CONCATENATE(ROUND(X_SHIFT_BP+IF(Tools!G$97&lt;=Tools!$D$47/2,-BK25,BK25),3),",",ROUND(WLS*$AP61,3)," ")),"")</f>
        <v/>
      </c>
      <c r="H120" s="380" t="str">
        <f>IFERROR(IF(ISERROR(CV149),"",CONCATENATE(ROUND(X_SHIFT_BP+IF(Tools!H$97&lt;=Tools!$D$47/2,-BL25,BL25),3),",",ROUND(WLS*$AP61,3)," ")),"")</f>
        <v/>
      </c>
      <c r="I120" s="380" t="str">
        <f>IFERROR(IF(ISERROR(CW149),"",CONCATENATE(ROUND(X_SHIFT_BP+IF(Tools!I$97&lt;=Tools!$D$47/2,-BM25,BM25),3),",",ROUND(WLS*$AP61,3)," ")),"")</f>
        <v/>
      </c>
      <c r="J120" s="380" t="str">
        <f>IFERROR(IF(ISERROR(CX149),"",CONCATENATE(ROUND(X_SHIFT_BP+IF(Tools!J$97&lt;=Tools!$D$47/2,-BN25,BN25),3),",",ROUND(WLS*$AP61,3)," ")),"")</f>
        <v/>
      </c>
      <c r="K120" s="380" t="str">
        <f>IFERROR(IF(ISERROR(CY149),"",CONCATENATE(ROUND(X_SHIFT_BP+IF(Tools!K$97&lt;=Tools!$D$47/2,-BO25,BO25),3),",",ROUND(WLS*$AP61,3)," ")),"")</f>
        <v/>
      </c>
      <c r="L120" s="380" t="str">
        <f>IFERROR(IF(ISERROR(CZ149),"",CONCATENATE(ROUND(X_SHIFT_BP+IF(Tools!L$97&lt;=Tools!$D$47/2,-BP25,BP25),3),",",ROUND(WLS*$AP61,3)," ")),"")</f>
        <v/>
      </c>
      <c r="M120" s="380" t="str">
        <f>IFERROR(IF(ISERROR(DA149),"",CONCATENATE(ROUND(X_SHIFT_BP+IF(Tools!M$97&lt;=Tools!$D$47/2,-BQ25,BQ25),3),",",ROUND(WLS*$AP61,3)," ")),"")</f>
        <v/>
      </c>
      <c r="N120" s="380" t="str">
        <f>IFERROR(IF(ISERROR(DB149),"",CONCATENATE(ROUND(X_SHIFT_BP+IF(Tools!N$97&lt;=Tools!$D$47/2,-BR25,BR25),3),",",ROUND(WLS*$AP61,3)," ")),"")</f>
        <v/>
      </c>
      <c r="O120" s="380" t="str">
        <f>IFERROR(IF(ISERROR(DC149),"",CONCATENATE(ROUND(X_SHIFT_BP+IF(Tools!O$97&lt;=Tools!$D$47/2,-BS25,BS25),3),",",ROUND(WLS*$AP61,3)," ")),"")</f>
        <v/>
      </c>
      <c r="P120" s="380" t="str">
        <f>IFERROR(IF(ISERROR(DD149),"",CONCATENATE(ROUND(X_SHIFT_BP+IF(Tools!P$97&lt;=Tools!$D$47/2,-BT25,BT25),3),",",ROUND(WLS*$AP61,3)," ")),"")</f>
        <v/>
      </c>
      <c r="Q120" s="380" t="str">
        <f>IFERROR(IF(ISERROR(DE149),"",CONCATENATE(ROUND(X_SHIFT_BP+IF(Tools!Q$97&lt;=Tools!$D$47/2,-BU25,BU25),3),",",ROUND(WLS*$AP61,3)," ")),"")</f>
        <v/>
      </c>
      <c r="R120" s="380" t="str">
        <f>IFERROR(IF(ISERROR(DF149),"",CONCATENATE(ROUND(X_SHIFT_BP+IF(Tools!R$97&lt;=Tools!$D$47/2,-BV25,BV25),3),",",ROUND(WLS*$AP61,3)," ")),"")</f>
        <v/>
      </c>
      <c r="S120" s="380" t="str">
        <f>IFERROR(IF(ISERROR(DG149),"",CONCATENATE(ROUND(X_SHIFT_BP+IF(Tools!S$97&lt;=Tools!$D$47/2,-BW25,BW25),3),",",ROUND(WLS*$AP61,3)," ")),"")</f>
        <v/>
      </c>
      <c r="T120" s="380" t="str">
        <f>IFERROR(IF(ISERROR(DH149),"",CONCATENATE(ROUND(X_SHIFT_BP+IF(Tools!T$97&lt;=Tools!$D$47/2,-BX25,BX25),3),",",ROUND(WLS*$AP61,3)," ")),"")</f>
        <v/>
      </c>
      <c r="U120" s="380" t="str">
        <f>IFERROR(IF(ISERROR(DI149),"",CONCATENATE(ROUND(X_SHIFT_BP+IF(Tools!U$97&lt;=Tools!$D$47/2,-BY25,BY25),3),",",ROUND(WLS*$AP61,3)," ")),"")</f>
        <v/>
      </c>
      <c r="V120" s="380" t="str">
        <f>IFERROR(IF(ISERROR(DJ149),"",CONCATENATE(ROUND(X_SHIFT_BP+IF(Tools!V$97&lt;=Tools!$D$47/2,-BZ25,BZ25),3),",",ROUND(WLS*$AP61,3)," ")),"")</f>
        <v/>
      </c>
      <c r="W120" s="380" t="str">
        <f>IFERROR(IF(ISERROR(DK149),"",CONCATENATE(ROUND(X_SHIFT_BP+IF(Tools!W$97&lt;=Tools!$D$47/2,-CA25,CA25),3),",",ROUND(WLS*$AP61,3)," ")),"")</f>
        <v/>
      </c>
      <c r="X120" s="380" t="str">
        <f>IFERROR(IF(ISERROR(DL149),"",CONCATENATE(ROUND(X_SHIFT_BP+IF(Tools!X$97&lt;=Tools!$D$47/2,-CB25,CB25),3),",",ROUND(WLS*$AP61,3)," ")),"")</f>
        <v/>
      </c>
      <c r="Y120" s="380" t="str">
        <f>IFERROR(IF(ISERROR(DM149),"",CONCATENATE(ROUND(X_SHIFT_BP+IF(Tools!Y$97&lt;=Tools!$D$47/2,-CC25,CC25),3),",",ROUND(WLS*$AP61,3)," ")),"")</f>
        <v/>
      </c>
      <c r="Z120" s="380" t="str">
        <f>IFERROR(IF(ISERROR(DN149),"",CONCATENATE(ROUND(X_SHIFT_BP+IF(Tools!Z$97&lt;=Tools!$D$47/2,-CD25,CD25),3),",",ROUND(WLS*$AP61,3)," ")),"")</f>
        <v/>
      </c>
      <c r="AA120" s="132">
        <v>12</v>
      </c>
      <c r="AB120" s="248" t="str">
        <f t="shared" si="259"/>
        <v xml:space="preserve">Spline </v>
      </c>
      <c r="AC120" s="132" t="str">
        <v/>
      </c>
      <c r="AD120" s="248" t="str">
        <v xml:space="preserve">170.21,0 </v>
      </c>
      <c r="AE120" s="248" t="str">
        <v xml:space="preserve">171.21,0.5 </v>
      </c>
      <c r="AF120" s="248" t="str">
        <v xml:space="preserve">171.75,1 </v>
      </c>
      <c r="AG120" s="248" t="str">
        <v xml:space="preserve">172.16,1.5 </v>
      </c>
      <c r="AH120" s="248" t="str">
        <v xml:space="preserve">172.44,2 </v>
      </c>
      <c r="AI120" s="248" t="str">
        <v xml:space="preserve">173.02,4 </v>
      </c>
      <c r="AJ120" s="248" t="str">
        <v xml:space="preserve">173.14,6 </v>
      </c>
      <c r="AK120" s="248" t="str">
        <v xml:space="preserve">173.38,8 </v>
      </c>
      <c r="AL120" s="248" t="str">
        <v xml:space="preserve">173.78,9.7 </v>
      </c>
      <c r="AM120" s="248" t="str">
        <v xml:space="preserve">173.85,10 </v>
      </c>
      <c r="AN120" s="248" t="str">
        <v xml:space="preserve">174.5,12 </v>
      </c>
      <c r="AO120" s="248" t="str">
        <v xml:space="preserve">174.85,13 </v>
      </c>
      <c r="AP120" s="248" t="str">
        <v/>
      </c>
      <c r="AQ120" s="248" t="str">
        <v/>
      </c>
      <c r="AR120" s="248" t="str">
        <v/>
      </c>
      <c r="AS120" s="248" t="str">
        <v/>
      </c>
      <c r="AT120" s="248" t="str">
        <v/>
      </c>
      <c r="AU120" s="248" t="str">
        <v/>
      </c>
      <c r="AV120" s="248" t="str">
        <v/>
      </c>
      <c r="AW120" s="248" t="str">
        <v/>
      </c>
      <c r="AX120" s="248" t="str">
        <v/>
      </c>
      <c r="AY120" s="248" t="str">
        <v/>
      </c>
      <c r="AZ120" s="248" t="str">
        <v/>
      </c>
      <c r="BA120" s="248" t="str">
        <v/>
      </c>
      <c r="BB120" s="248" t="str">
        <v/>
      </c>
      <c r="BC120" s="379">
        <f>Tools!AD25</f>
        <v>19</v>
      </c>
      <c r="BD120" s="379">
        <f>IFERROR(Tools!AD25*STN_GAP,"")</f>
        <v>138.88999999999999</v>
      </c>
      <c r="BE120" s="467">
        <f>IFERROR(IF(ISNUMBER(DE120),NA(),IF(AND($DF120&lt;&gt;0,$DG120&gt;BE$97),NA(),IF($BD120&gt;LBP/2,-(-Tools!AE25),-Tools!AE25))),NA())</f>
        <v>1.3</v>
      </c>
      <c r="BF120" s="379">
        <f>IFERROR(IF(AND($DF120&lt;&gt;0,$DG120&gt;BF$97),NA(),IF($BD120&gt;LBP/2,-(-Tools!AF25),-Tools!AF25)),NA())</f>
        <v>2.2999999999999998</v>
      </c>
      <c r="BG120" s="379">
        <f>IFERROR(IF(AND($DF120&lt;&gt;0,$DG120&gt;BG$97),NA(),IF($BD120&gt;LBP/2,-(-Tools!AG25),-Tools!AG25)),NA())</f>
        <v>2.84</v>
      </c>
      <c r="BH120" s="379">
        <f>IFERROR(IF(AND($DF120&lt;&gt;0,$DG120&gt;BH$97),NA(),IF($BD120&gt;LBP/2,-(-Tools!AH25),-Tools!AH25)),NA())</f>
        <v>3.25</v>
      </c>
      <c r="BI120" s="379">
        <f>IFERROR(IF(AND($DF120&lt;&gt;0,$DG120&gt;BI$97),NA(),IF($BD120&gt;LBP/2,-(-Tools!AI25),-Tools!AI25)),NA())</f>
        <v>3.53</v>
      </c>
      <c r="BJ120" s="379">
        <f>IFERROR(IF(AND($DF120&lt;&gt;0,$DG120&gt;BJ$97),NA(),IF($BD120&gt;LBP/2,-(-Tools!AJ25),-Tools!AJ25)),NA())</f>
        <v>4.1100000000000003</v>
      </c>
      <c r="BK120" s="379">
        <f>IFERROR(IF(AND($DF120&lt;&gt;0,$DG120&gt;BK$97),NA(),IF($BD120&gt;LBP/2,-(-Tools!AK25),-Tools!AK25)),NA())</f>
        <v>4.2300000000000004</v>
      </c>
      <c r="BL120" s="379">
        <f>IFERROR(IF(AND($DF120&lt;&gt;0,$DG120&gt;BL$97),NA(),IF($BD120&gt;LBP/2,-(-Tools!AL25),-Tools!AL25)),NA())</f>
        <v>4.47</v>
      </c>
      <c r="BM120" s="379">
        <f>IFERROR(IF(AND($DF120&lt;&gt;0,$DG120&gt;BM$97),NA(),IF($BD120&gt;LBP/2,-(-Tools!AM25),-Tools!AM25)),NA())</f>
        <v>4.87</v>
      </c>
      <c r="BN120" s="379">
        <f>IFERROR(IF(AND($DF120&lt;&gt;0,$DG120&gt;BN$97),NA(),IF($BD120&gt;LBP/2,-(-Tools!AN25),-Tools!AN25)),NA())</f>
        <v>4.9399999999999995</v>
      </c>
      <c r="BO120" s="379">
        <f>IFERROR(IF(AND($DF120&lt;&gt;0,$DG120&gt;BO$97),NA(),IF($BD120&gt;LBP/2,-(-Tools!AO25),-Tools!AO25)),NA())</f>
        <v>5.59</v>
      </c>
      <c r="BP120" s="379">
        <f>IFERROR(IF(AND($DF120&lt;&gt;0,$DG120&gt;BP$97),NA(),IF($BD120&gt;LBP/2,-(-Tools!AP25),-Tools!AP25)),NA())</f>
        <v>5.94</v>
      </c>
      <c r="BQ120" s="379" t="e">
        <f>IFERROR(IF(AND($DF120&lt;&gt;0,$DG120&gt;BQ$97),NA(),IF($BD120&gt;LBP/2,-(-Tools!AQ25),-Tools!AQ25)),NA())</f>
        <v>#N/A</v>
      </c>
      <c r="BR120" s="379" t="e">
        <f>IFERROR(IF(AND($DF120&lt;&gt;0,$DG120&gt;BR$97),NA(),IF($BD120&gt;LBP/2,-(-Tools!AR25),-Tools!AR25)),NA())</f>
        <v>#N/A</v>
      </c>
      <c r="BS120" s="379" t="e">
        <f>IFERROR(IF(AND($DF120&lt;&gt;0,$DG120&gt;BS$97),NA(),IF($BD120&gt;LBP/2,-(-Tools!AS25),-Tools!AS25)),NA())</f>
        <v>#N/A</v>
      </c>
      <c r="BT120" s="379" t="e">
        <f>IFERROR(IF(AND($DF120&lt;&gt;0,$DG120&gt;BT$97),NA(),IF($BD120&gt;LBP/2,-(-Tools!AT25),-Tools!AT25)),NA())</f>
        <v>#N/A</v>
      </c>
      <c r="BU120" s="379" t="e">
        <f>IFERROR(IF(AND($DF120&lt;&gt;0,$DG120&gt;BU$97),NA(),IF($BD120&gt;LBP/2,-(-Tools!AU25),-Tools!AU25)),NA())</f>
        <v>#N/A</v>
      </c>
      <c r="BV120" s="379" t="e">
        <f>IFERROR(IF(AND($DF120&lt;&gt;0,$DG120&gt;BV$97),NA(),IF($BD120&gt;LBP/2,-(-Tools!AV25),-Tools!AV25)),NA())</f>
        <v>#N/A</v>
      </c>
      <c r="BW120" s="379" t="e">
        <f>IFERROR(IF(AND($DF120&lt;&gt;0,$DG120&gt;BW$97),NA(),IF($BD120&gt;LBP/2,-(-Tools!AW25),-Tools!AW25)),NA())</f>
        <v>#N/A</v>
      </c>
      <c r="BX120" s="379" t="e">
        <f>IFERROR(IF(AND($DF120&lt;&gt;0,$DG120&gt;BX$97),NA(),IF($BD120&gt;LBP/2,-(-Tools!AX25),-Tools!AX25)),NA())</f>
        <v>#N/A</v>
      </c>
      <c r="BY120" s="379" t="e">
        <f>IFERROR(IF(AND($DF120&lt;&gt;0,$DG120&gt;BY$97),NA(),IF($BD120&gt;LBP/2,-(-Tools!AY25),-Tools!AY25)),NA())</f>
        <v>#N/A</v>
      </c>
      <c r="BZ120" s="379" t="e">
        <f>IFERROR(IF(AND($DF120&lt;&gt;0,$DG120&gt;BZ$97),NA(),IF($BD120&gt;LBP/2,-(-Tools!AZ25),-Tools!AZ25)),NA())</f>
        <v>#N/A</v>
      </c>
      <c r="CA120" s="379" t="e">
        <f>IFERROR(IF(AND($DF120&lt;&gt;0,$DG120&gt;CA$97),NA(),IF($BD120&gt;LBP/2,-(-Tools!BA25),-Tools!BA25)),NA())</f>
        <v>#N/A</v>
      </c>
      <c r="CB120" s="379" t="e">
        <f>IFERROR(IF(AND($DF120&lt;&gt;0,$DG120&gt;CB$97),NA(),IF($BD120&gt;LBP/2,-(-Tools!BB25),-Tools!BB25)),NA())</f>
        <v>#N/A</v>
      </c>
      <c r="CC120" s="379" t="e">
        <f>IFERROR(IF(AND($DF120&lt;&gt;0,$DG120&gt;CC$97),NA(),IF($BD120&gt;LBP/2,-(-Tools!BC25),-Tools!BC25)),NA())</f>
        <v>#N/A</v>
      </c>
      <c r="CE120" s="429" t="b">
        <f t="shared" si="207"/>
        <v>0</v>
      </c>
      <c r="CF120" s="429" t="b">
        <f t="shared" si="208"/>
        <v>0</v>
      </c>
      <c r="CG120" s="429" t="b">
        <f t="shared" si="209"/>
        <v>0</v>
      </c>
      <c r="CH120" s="429" t="b">
        <f t="shared" si="210"/>
        <v>0</v>
      </c>
      <c r="CI120" s="429" t="b">
        <f t="shared" si="211"/>
        <v>0</v>
      </c>
      <c r="CJ120" s="429" t="b">
        <f t="shared" si="212"/>
        <v>0</v>
      </c>
      <c r="CK120" s="429" t="b">
        <f t="shared" si="213"/>
        <v>0</v>
      </c>
      <c r="CL120" s="429" t="b">
        <f t="shared" si="214"/>
        <v>0</v>
      </c>
      <c r="CM120" s="429" t="b">
        <f t="shared" si="215"/>
        <v>0</v>
      </c>
      <c r="CN120" s="429" t="b">
        <f t="shared" si="216"/>
        <v>0</v>
      </c>
      <c r="CO120" s="429" t="b">
        <f t="shared" si="217"/>
        <v>0</v>
      </c>
      <c r="CP120" s="429" t="b">
        <f t="shared" si="218"/>
        <v>0</v>
      </c>
      <c r="CQ120" s="429" t="b">
        <f t="shared" si="219"/>
        <v>0</v>
      </c>
      <c r="CR120" s="429" t="b">
        <f t="shared" si="220"/>
        <v>0</v>
      </c>
      <c r="CS120" s="429" t="b">
        <f t="shared" si="221"/>
        <v>0</v>
      </c>
      <c r="CT120" s="429" t="b">
        <f t="shared" si="222"/>
        <v>0</v>
      </c>
      <c r="CU120" s="429" t="b">
        <f t="shared" si="223"/>
        <v>0</v>
      </c>
      <c r="CV120" s="429" t="b">
        <f t="shared" si="224"/>
        <v>0</v>
      </c>
      <c r="CW120" s="429" t="b">
        <f t="shared" si="225"/>
        <v>0</v>
      </c>
      <c r="CX120" s="429" t="b">
        <f t="shared" si="226"/>
        <v>0</v>
      </c>
      <c r="CY120" s="429" t="b">
        <f t="shared" si="227"/>
        <v>0</v>
      </c>
      <c r="CZ120" s="429" t="b">
        <f t="shared" si="228"/>
        <v>0</v>
      </c>
      <c r="DA120" s="429" t="b">
        <f t="shared" si="229"/>
        <v>0</v>
      </c>
      <c r="DB120" s="429" t="b">
        <f t="shared" si="230"/>
        <v>0</v>
      </c>
      <c r="DC120" s="429"/>
      <c r="DD120" s="429">
        <f t="shared" si="260"/>
        <v>0</v>
      </c>
      <c r="DE120" s="429" t="str">
        <f t="shared" si="231"/>
        <v>-</v>
      </c>
      <c r="DF120" s="429">
        <f t="shared" si="232"/>
        <v>0</v>
      </c>
      <c r="DG120" s="429">
        <f t="shared" si="261"/>
        <v>0</v>
      </c>
      <c r="DH120" s="429">
        <f t="shared" si="262"/>
        <v>19</v>
      </c>
      <c r="DI120" s="429"/>
      <c r="DJ120" s="429" t="e">
        <f t="shared" si="263"/>
        <v>#N/A</v>
      </c>
      <c r="DK120" s="429">
        <f t="shared" si="180"/>
        <v>1.3</v>
      </c>
      <c r="DL120" s="429">
        <f t="shared" si="181"/>
        <v>2.2999999999999998</v>
      </c>
      <c r="DM120" s="429">
        <f t="shared" si="182"/>
        <v>2.84</v>
      </c>
      <c r="DN120" s="429">
        <f t="shared" si="183"/>
        <v>3.25</v>
      </c>
      <c r="DO120" s="429">
        <f t="shared" si="184"/>
        <v>3.53</v>
      </c>
      <c r="DP120" s="429">
        <f t="shared" si="185"/>
        <v>4.1100000000000003</v>
      </c>
      <c r="DQ120" s="429">
        <f t="shared" si="186"/>
        <v>4.2300000000000004</v>
      </c>
      <c r="DR120" s="429">
        <f t="shared" si="187"/>
        <v>4.47</v>
      </c>
      <c r="DS120" s="429">
        <f t="shared" si="188"/>
        <v>4.87</v>
      </c>
      <c r="DT120" s="429">
        <f t="shared" si="189"/>
        <v>4.9399999999999995</v>
      </c>
      <c r="DU120" s="429">
        <f t="shared" si="190"/>
        <v>5.59</v>
      </c>
      <c r="DV120" s="429">
        <f t="shared" si="191"/>
        <v>5.94</v>
      </c>
      <c r="DW120" s="429" t="e">
        <f t="shared" si="192"/>
        <v>#N/A</v>
      </c>
      <c r="DX120" s="429" t="e">
        <f t="shared" si="193"/>
        <v>#N/A</v>
      </c>
      <c r="DY120" s="429" t="e">
        <f t="shared" si="194"/>
        <v>#N/A</v>
      </c>
      <c r="DZ120" s="429" t="e">
        <f t="shared" si="195"/>
        <v>#N/A</v>
      </c>
      <c r="EA120" s="429" t="e">
        <f t="shared" si="196"/>
        <v>#N/A</v>
      </c>
      <c r="EB120" s="429" t="e">
        <f t="shared" si="197"/>
        <v>#N/A</v>
      </c>
      <c r="EC120" s="429" t="e">
        <f t="shared" si="198"/>
        <v>#N/A</v>
      </c>
      <c r="ED120" s="429" t="e">
        <f t="shared" si="199"/>
        <v>#N/A</v>
      </c>
      <c r="EE120" s="429" t="e">
        <f t="shared" si="200"/>
        <v>#N/A</v>
      </c>
      <c r="EF120" s="429" t="e">
        <f t="shared" si="201"/>
        <v>#N/A</v>
      </c>
      <c r="EG120" s="429" t="e">
        <f t="shared" si="202"/>
        <v>#N/A</v>
      </c>
      <c r="EH120" s="429" t="e">
        <f t="shared" si="203"/>
        <v>#N/A</v>
      </c>
      <c r="EI120" s="429" t="e">
        <f t="shared" si="204"/>
        <v>#N/A</v>
      </c>
      <c r="EJ120" s="429"/>
      <c r="EK120" s="429"/>
      <c r="EL120" s="429" t="e">
        <f t="shared" si="233"/>
        <v>#N/A</v>
      </c>
      <c r="EM120" s="429">
        <f t="shared" si="264"/>
        <v>0</v>
      </c>
      <c r="EN120" s="429">
        <f t="shared" si="235"/>
        <v>0.5</v>
      </c>
      <c r="EO120" s="429">
        <f t="shared" si="236"/>
        <v>1</v>
      </c>
      <c r="EP120" s="429">
        <f t="shared" si="237"/>
        <v>1.5</v>
      </c>
      <c r="EQ120" s="429">
        <f t="shared" si="238"/>
        <v>2</v>
      </c>
      <c r="ER120" s="429">
        <f t="shared" si="239"/>
        <v>4</v>
      </c>
      <c r="ES120" s="429">
        <f t="shared" si="240"/>
        <v>6</v>
      </c>
      <c r="ET120" s="429">
        <f t="shared" si="241"/>
        <v>8</v>
      </c>
      <c r="EU120" s="429">
        <f t="shared" si="242"/>
        <v>9.6999999999999993</v>
      </c>
      <c r="EV120" s="429">
        <f t="shared" si="243"/>
        <v>10</v>
      </c>
      <c r="EW120" s="429">
        <f t="shared" si="244"/>
        <v>12</v>
      </c>
      <c r="EX120" s="429">
        <f t="shared" si="245"/>
        <v>13</v>
      </c>
      <c r="EY120" s="429" t="e">
        <f t="shared" si="246"/>
        <v>#N/A</v>
      </c>
      <c r="EZ120" s="429" t="e">
        <f t="shared" si="247"/>
        <v>#N/A</v>
      </c>
      <c r="FA120" s="429" t="e">
        <f t="shared" si="248"/>
        <v>#N/A</v>
      </c>
      <c r="FB120" s="429" t="e">
        <f t="shared" si="249"/>
        <v>#N/A</v>
      </c>
      <c r="FC120" s="429" t="e">
        <f t="shared" si="250"/>
        <v>#N/A</v>
      </c>
      <c r="FD120" s="429" t="e">
        <f t="shared" si="251"/>
        <v>#N/A</v>
      </c>
      <c r="FE120" s="429" t="e">
        <f t="shared" si="252"/>
        <v>#N/A</v>
      </c>
      <c r="FF120" s="429" t="e">
        <f t="shared" si="253"/>
        <v>#N/A</v>
      </c>
      <c r="FG120" s="429" t="e">
        <f t="shared" si="254"/>
        <v>#N/A</v>
      </c>
      <c r="FH120" s="429" t="e">
        <f t="shared" si="255"/>
        <v>#N/A</v>
      </c>
      <c r="FI120" s="429" t="e">
        <f t="shared" si="256"/>
        <v>#N/A</v>
      </c>
      <c r="FJ120" s="429" t="e">
        <f t="shared" si="257"/>
        <v>#N/A</v>
      </c>
      <c r="FK120" s="429" t="e">
        <f t="shared" si="258"/>
        <v>#N/A</v>
      </c>
    </row>
    <row r="121" spans="1:199" x14ac:dyDescent="0.25">
      <c r="A121" s="377" t="str">
        <f t="shared" si="206"/>
        <v xml:space="preserve">  </v>
      </c>
      <c r="B121" s="380" t="str">
        <f>IFERROR(IF(ISERROR(CP150),"",CONCATENATE(ROUND(X_SHIFT_BP+IF(Tools!B$97&lt;=Tools!$D$47/2,-BF26,BF26),3),",",ROUND(WLS*$AP62,3)," ")),"")</f>
        <v/>
      </c>
      <c r="C121" s="380" t="str">
        <f>IFERROR(IF(ISERROR(CQ150),"",CONCATENATE(ROUND(X_SHIFT_BP+IF(Tools!C$97&lt;=Tools!$D$47/2,-BG26,BG26),3),",",ROUND(WLS*$AP62,3)," ")),"")</f>
        <v/>
      </c>
      <c r="D121" s="380" t="str">
        <f>IFERROR(IF(ISERROR(CR150),"",CONCATENATE(ROUND(X_SHIFT_BP+IF(Tools!D$97&lt;=Tools!$D$47/2,-BH26,BH26),3),",",ROUND(WLS*$AP62,3)," ")),"")</f>
        <v/>
      </c>
      <c r="E121" s="380" t="str">
        <f>IFERROR(IF(ISERROR(CS150),"",CONCATENATE(ROUND(X_SHIFT_BP+IF(Tools!E$97&lt;=Tools!$D$47/2,-BI26,BI26),3),",",ROUND(WLS*$AP62,3)," ")),"")</f>
        <v/>
      </c>
      <c r="F121" s="380" t="str">
        <f>IFERROR(IF(ISERROR(CT150),"",CONCATENATE(ROUND(X_SHIFT_BP+IF(Tools!F$97&lt;=Tools!$D$47/2,-BJ26,BJ26),3),",",ROUND(WLS*$AP62,3)," ")),"")</f>
        <v/>
      </c>
      <c r="G121" s="380" t="str">
        <f>IFERROR(IF(ISERROR(CU150),"",CONCATENATE(ROUND(X_SHIFT_BP+IF(Tools!G$97&lt;=Tools!$D$47/2,-BK26,BK26),3),",",ROUND(WLS*$AP62,3)," ")),"")</f>
        <v/>
      </c>
      <c r="H121" s="380" t="str">
        <f>IFERROR(IF(ISERROR(CV150),"",CONCATENATE(ROUND(X_SHIFT_BP+IF(Tools!H$97&lt;=Tools!$D$47/2,-BL26,BL26),3),",",ROUND(WLS*$AP62,3)," ")),"")</f>
        <v/>
      </c>
      <c r="I121" s="380" t="str">
        <f>IFERROR(IF(ISERROR(CW150),"",CONCATENATE(ROUND(X_SHIFT_BP+IF(Tools!I$97&lt;=Tools!$D$47/2,-BM26,BM26),3),",",ROUND(WLS*$AP62,3)," ")),"")</f>
        <v/>
      </c>
      <c r="J121" s="380" t="str">
        <f>IFERROR(IF(ISERROR(CX150),"",CONCATENATE(ROUND(X_SHIFT_BP+IF(Tools!J$97&lt;=Tools!$D$47/2,-BN26,BN26),3),",",ROUND(WLS*$AP62,3)," ")),"")</f>
        <v/>
      </c>
      <c r="K121" s="380" t="str">
        <f>IFERROR(IF(ISERROR(CY150),"",CONCATENATE(ROUND(X_SHIFT_BP+IF(Tools!K$97&lt;=Tools!$D$47/2,-BO26,BO26),3),",",ROUND(WLS*$AP62,3)," ")),"")</f>
        <v/>
      </c>
      <c r="L121" s="380" t="str">
        <f>IFERROR(IF(ISERROR(CZ150),"",CONCATENATE(ROUND(X_SHIFT_BP+IF(Tools!L$97&lt;=Tools!$D$47/2,-BP26,BP26),3),",",ROUND(WLS*$AP62,3)," ")),"")</f>
        <v/>
      </c>
      <c r="M121" s="380" t="str">
        <f>IFERROR(IF(ISERROR(DA150),"",CONCATENATE(ROUND(X_SHIFT_BP+IF(Tools!M$97&lt;=Tools!$D$47/2,-BQ26,BQ26),3),",",ROUND(WLS*$AP62,3)," ")),"")</f>
        <v/>
      </c>
      <c r="N121" s="380" t="str">
        <f>IFERROR(IF(ISERROR(DB150),"",CONCATENATE(ROUND(X_SHIFT_BP+IF(Tools!N$97&lt;=Tools!$D$47/2,-BR26,BR26),3),",",ROUND(WLS*$AP62,3)," ")),"")</f>
        <v/>
      </c>
      <c r="O121" s="380" t="str">
        <f>IFERROR(IF(ISERROR(DC150),"",CONCATENATE(ROUND(X_SHIFT_BP+IF(Tools!O$97&lt;=Tools!$D$47/2,-BS26,BS26),3),",",ROUND(WLS*$AP62,3)," ")),"")</f>
        <v/>
      </c>
      <c r="P121" s="380" t="str">
        <f>IFERROR(IF(ISERROR(DD150),"",CONCATENATE(ROUND(X_SHIFT_BP+IF(Tools!P$97&lt;=Tools!$D$47/2,-BT26,BT26),3),",",ROUND(WLS*$AP62,3)," ")),"")</f>
        <v/>
      </c>
      <c r="Q121" s="380" t="str">
        <f>IFERROR(IF(ISERROR(DE150),"",CONCATENATE(ROUND(X_SHIFT_BP+IF(Tools!Q$97&lt;=Tools!$D$47/2,-BU26,BU26),3),",",ROUND(WLS*$AP62,3)," ")),"")</f>
        <v/>
      </c>
      <c r="R121" s="380" t="str">
        <f>IFERROR(IF(ISERROR(DF150),"",CONCATENATE(ROUND(X_SHIFT_BP+IF(Tools!R$97&lt;=Tools!$D$47/2,-BV26,BV26),3),",",ROUND(WLS*$AP62,3)," ")),"")</f>
        <v/>
      </c>
      <c r="S121" s="380" t="str">
        <f>IFERROR(IF(ISERROR(DG150),"",CONCATENATE(ROUND(X_SHIFT_BP+IF(Tools!S$97&lt;=Tools!$D$47/2,-BW26,BW26),3),",",ROUND(WLS*$AP62,3)," ")),"")</f>
        <v/>
      </c>
      <c r="T121" s="380" t="str">
        <f>IFERROR(IF(ISERROR(DH150),"",CONCATENATE(ROUND(X_SHIFT_BP+IF(Tools!T$97&lt;=Tools!$D$47/2,-BX26,BX26),3),",",ROUND(WLS*$AP62,3)," ")),"")</f>
        <v/>
      </c>
      <c r="U121" s="380" t="str">
        <f>IFERROR(IF(ISERROR(DI150),"",CONCATENATE(ROUND(X_SHIFT_BP+IF(Tools!U$97&lt;=Tools!$D$47/2,-BY26,BY26),3),",",ROUND(WLS*$AP62,3)," ")),"")</f>
        <v/>
      </c>
      <c r="V121" s="380" t="str">
        <f>IFERROR(IF(ISERROR(DJ150),"",CONCATENATE(ROUND(X_SHIFT_BP+IF(Tools!V$97&lt;=Tools!$D$47/2,-BZ26,BZ26),3),",",ROUND(WLS*$AP62,3)," ")),"")</f>
        <v/>
      </c>
      <c r="W121" s="380" t="str">
        <f>IFERROR(IF(ISERROR(DK150),"",CONCATENATE(ROUND(X_SHIFT_BP+IF(Tools!W$97&lt;=Tools!$D$47/2,-CA26,CA26),3),",",ROUND(WLS*$AP62,3)," ")),"")</f>
        <v/>
      </c>
      <c r="X121" s="380" t="str">
        <f>IFERROR(IF(ISERROR(DL150),"",CONCATENATE(ROUND(X_SHIFT_BP+IF(Tools!X$97&lt;=Tools!$D$47/2,-CB26,CB26),3),",",ROUND(WLS*$AP62,3)," ")),"")</f>
        <v/>
      </c>
      <c r="Y121" s="380" t="str">
        <f>IFERROR(IF(ISERROR(DM150),"",CONCATENATE(ROUND(X_SHIFT_BP+IF(Tools!Y$97&lt;=Tools!$D$47/2,-CC26,CC26),3),",",ROUND(WLS*$AP62,3)," ")),"")</f>
        <v/>
      </c>
      <c r="Z121" s="380" t="str">
        <f>IFERROR(IF(ISERROR(DN150),"",CONCATENATE(ROUND(X_SHIFT_BP+IF(Tools!Z$97&lt;=Tools!$D$47/2,-CD26,CD26),3),",",ROUND(WLS*$AP62,3)," ")),"")</f>
        <v/>
      </c>
      <c r="AA121" s="132">
        <v>12</v>
      </c>
      <c r="AB121" s="248" t="str">
        <f t="shared" si="259"/>
        <v xml:space="preserve">Spline </v>
      </c>
      <c r="AC121" s="132" t="str">
        <v/>
      </c>
      <c r="AD121" s="248" t="str">
        <v xml:space="preserve">169.31,0 </v>
      </c>
      <c r="AE121" s="248" t="str">
        <v xml:space="preserve">170.12,0.5 </v>
      </c>
      <c r="AF121" s="248" t="str">
        <v xml:space="preserve">170.6,1 </v>
      </c>
      <c r="AG121" s="248" t="str">
        <v xml:space="preserve">170.93,1.5 </v>
      </c>
      <c r="AH121" s="248" t="str">
        <v xml:space="preserve">171.2,2 </v>
      </c>
      <c r="AI121" s="248" t="str">
        <v xml:space="preserve">171.54,4 </v>
      </c>
      <c r="AJ121" s="248" t="str">
        <v xml:space="preserve">171.29,6 </v>
      </c>
      <c r="AK121" s="248" t="str">
        <v xml:space="preserve">171.16,8 </v>
      </c>
      <c r="AL121" s="248" t="str">
        <v xml:space="preserve">171.33,9.7 </v>
      </c>
      <c r="AM121" s="248" t="str">
        <v xml:space="preserve">171.406,10 </v>
      </c>
      <c r="AN121" s="248" t="str">
        <v xml:space="preserve">172.1,12 </v>
      </c>
      <c r="AO121" s="248" t="str">
        <v xml:space="preserve">172.54,13 </v>
      </c>
      <c r="AP121" s="248" t="str">
        <v/>
      </c>
      <c r="AQ121" s="248" t="str">
        <v/>
      </c>
      <c r="AR121" s="248" t="str">
        <v/>
      </c>
      <c r="AS121" s="248" t="str">
        <v/>
      </c>
      <c r="AT121" s="248" t="str">
        <v/>
      </c>
      <c r="AU121" s="248" t="str">
        <v/>
      </c>
      <c r="AV121" s="248" t="str">
        <v/>
      </c>
      <c r="AW121" s="248" t="str">
        <v/>
      </c>
      <c r="AX121" s="248" t="str">
        <v/>
      </c>
      <c r="AY121" s="248" t="str">
        <v/>
      </c>
      <c r="AZ121" s="248" t="str">
        <v/>
      </c>
      <c r="BA121" s="248" t="str">
        <v/>
      </c>
      <c r="BB121" s="248" t="str">
        <v/>
      </c>
      <c r="BC121" s="379">
        <f>Tools!AD26</f>
        <v>19.5</v>
      </c>
      <c r="BD121" s="379">
        <f>IFERROR(Tools!AD26*STN_GAP,"")</f>
        <v>142.54499999999999</v>
      </c>
      <c r="BE121" s="467">
        <f>IFERROR(IF(ISNUMBER(DE121),NA(),IF(AND($DF121&lt;&gt;0,$DG121&gt;BE$97),NA(),IF($BD121&gt;LBP/2,-(-Tools!AE26),-Tools!AE26))),NA())</f>
        <v>0.4</v>
      </c>
      <c r="BF121" s="379">
        <f>IFERROR(IF(AND($DF121&lt;&gt;0,$DG121&gt;BF$97),NA(),IF($BD121&gt;LBP/2,-(-Tools!AF26),-Tools!AF26)),NA())</f>
        <v>1.21</v>
      </c>
      <c r="BG121" s="379">
        <f>IFERROR(IF(AND($DF121&lt;&gt;0,$DG121&gt;BG$97),NA(),IF($BD121&gt;LBP/2,-(-Tools!AG26),-Tools!AG26)),NA())</f>
        <v>1.69</v>
      </c>
      <c r="BH121" s="379">
        <f>IFERROR(IF(AND($DF121&lt;&gt;0,$DG121&gt;BH$97),NA(),IF($BD121&gt;LBP/2,-(-Tools!AH26),-Tools!AH26)),NA())</f>
        <v>2.02</v>
      </c>
      <c r="BI121" s="379">
        <f>IFERROR(IF(AND($DF121&lt;&gt;0,$DG121&gt;BI$97),NA(),IF($BD121&gt;LBP/2,-(-Tools!AI26),-Tools!AI26)),NA())</f>
        <v>2.29</v>
      </c>
      <c r="BJ121" s="379">
        <f>IFERROR(IF(AND($DF121&lt;&gt;0,$DG121&gt;BJ$97),NA(),IF($BD121&gt;LBP/2,-(-Tools!AJ26),-Tools!AJ26)),NA())</f>
        <v>2.63</v>
      </c>
      <c r="BK121" s="379">
        <f>IFERROR(IF(AND($DF121&lt;&gt;0,$DG121&gt;BK$97),NA(),IF($BD121&gt;LBP/2,-(-Tools!AK26),-Tools!AK26)),NA())</f>
        <v>2.38</v>
      </c>
      <c r="BL121" s="379">
        <f>IFERROR(IF(AND($DF121&lt;&gt;0,$DG121&gt;BL$97),NA(),IF($BD121&gt;LBP/2,-(-Tools!AL26),-Tools!AL26)),NA())</f>
        <v>2.25</v>
      </c>
      <c r="BM121" s="379">
        <f>IFERROR(IF(AND($DF121&lt;&gt;0,$DG121&gt;BM$97),NA(),IF($BD121&gt;LBP/2,-(-Tools!AM26),-Tools!AM26)),NA())</f>
        <v>2.42</v>
      </c>
      <c r="BN121" s="379">
        <f>IFERROR(IF(AND($DF121&lt;&gt;0,$DG121&gt;BN$97),NA(),IF($BD121&gt;LBP/2,-(-Tools!AN26),-Tools!AN26)),NA())</f>
        <v>2.4962</v>
      </c>
      <c r="BO121" s="379">
        <f>IFERROR(IF(AND($DF121&lt;&gt;0,$DG121&gt;BO$97),NA(),IF($BD121&gt;LBP/2,-(-Tools!AO26),-Tools!AO26)),NA())</f>
        <v>3.19</v>
      </c>
      <c r="BP121" s="379">
        <f>IFERROR(IF(AND($DF121&lt;&gt;0,$DG121&gt;BP$97),NA(),IF($BD121&gt;LBP/2,-(-Tools!AP26),-Tools!AP26)),NA())</f>
        <v>3.63</v>
      </c>
      <c r="BQ121" s="379" t="e">
        <f>IFERROR(IF(AND($DF121&lt;&gt;0,$DG121&gt;BQ$97),NA(),IF($BD121&gt;LBP/2,-(-Tools!AQ26),-Tools!AQ26)),NA())</f>
        <v>#N/A</v>
      </c>
      <c r="BR121" s="379" t="e">
        <f>IFERROR(IF(AND($DF121&lt;&gt;0,$DG121&gt;BR$97),NA(),IF($BD121&gt;LBP/2,-(-Tools!AR26),-Tools!AR26)),NA())</f>
        <v>#N/A</v>
      </c>
      <c r="BS121" s="379" t="e">
        <f>IFERROR(IF(AND($DF121&lt;&gt;0,$DG121&gt;BS$97),NA(),IF($BD121&gt;LBP/2,-(-Tools!AS26),-Tools!AS26)),NA())</f>
        <v>#N/A</v>
      </c>
      <c r="BT121" s="379" t="e">
        <f>IFERROR(IF(AND($DF121&lt;&gt;0,$DG121&gt;BT$97),NA(),IF($BD121&gt;LBP/2,-(-Tools!AT26),-Tools!AT26)),NA())</f>
        <v>#N/A</v>
      </c>
      <c r="BU121" s="379" t="e">
        <f>IFERROR(IF(AND($DF121&lt;&gt;0,$DG121&gt;BU$97),NA(),IF($BD121&gt;LBP/2,-(-Tools!AU26),-Tools!AU26)),NA())</f>
        <v>#N/A</v>
      </c>
      <c r="BV121" s="379" t="e">
        <f>IFERROR(IF(AND($DF121&lt;&gt;0,$DG121&gt;BV$97),NA(),IF($BD121&gt;LBP/2,-(-Tools!AV26),-Tools!AV26)),NA())</f>
        <v>#N/A</v>
      </c>
      <c r="BW121" s="379" t="e">
        <f>IFERROR(IF(AND($DF121&lt;&gt;0,$DG121&gt;BW$97),NA(),IF($BD121&gt;LBP/2,-(-Tools!AW26),-Tools!AW26)),NA())</f>
        <v>#N/A</v>
      </c>
      <c r="BX121" s="379" t="e">
        <f>IFERROR(IF(AND($DF121&lt;&gt;0,$DG121&gt;BX$97),NA(),IF($BD121&gt;LBP/2,-(-Tools!AX26),-Tools!AX26)),NA())</f>
        <v>#N/A</v>
      </c>
      <c r="BY121" s="379" t="e">
        <f>IFERROR(IF(AND($DF121&lt;&gt;0,$DG121&gt;BY$97),NA(),IF($BD121&gt;LBP/2,-(-Tools!AY26),-Tools!AY26)),NA())</f>
        <v>#N/A</v>
      </c>
      <c r="BZ121" s="379" t="e">
        <f>IFERROR(IF(AND($DF121&lt;&gt;0,$DG121&gt;BZ$97),NA(),IF($BD121&gt;LBP/2,-(-Tools!AZ26),-Tools!AZ26)),NA())</f>
        <v>#N/A</v>
      </c>
      <c r="CA121" s="379" t="e">
        <f>IFERROR(IF(AND($DF121&lt;&gt;0,$DG121&gt;CA$97),NA(),IF($BD121&gt;LBP/2,-(-Tools!BA26),-Tools!BA26)),NA())</f>
        <v>#N/A</v>
      </c>
      <c r="CB121" s="379" t="e">
        <f>IFERROR(IF(AND($DF121&lt;&gt;0,$DG121&gt;CB$97),NA(),IF($BD121&gt;LBP/2,-(-Tools!BB26),-Tools!BB26)),NA())</f>
        <v>#N/A</v>
      </c>
      <c r="CC121" s="379" t="e">
        <f>IFERROR(IF(AND($DF121&lt;&gt;0,$DG121&gt;CC$97),NA(),IF($BD121&gt;LBP/2,-(-Tools!BC26),-Tools!BC26)),NA())</f>
        <v>#N/A</v>
      </c>
      <c r="CE121" s="429" t="b">
        <f t="shared" si="207"/>
        <v>0</v>
      </c>
      <c r="CF121" s="429" t="b">
        <f t="shared" si="208"/>
        <v>0</v>
      </c>
      <c r="CG121" s="429" t="b">
        <f t="shared" si="209"/>
        <v>0</v>
      </c>
      <c r="CH121" s="429" t="b">
        <f t="shared" si="210"/>
        <v>0</v>
      </c>
      <c r="CI121" s="429" t="b">
        <f t="shared" si="211"/>
        <v>0</v>
      </c>
      <c r="CJ121" s="429" t="b">
        <f t="shared" si="212"/>
        <v>0</v>
      </c>
      <c r="CK121" s="429" t="b">
        <f t="shared" si="213"/>
        <v>0</v>
      </c>
      <c r="CL121" s="429" t="b">
        <f t="shared" si="214"/>
        <v>0</v>
      </c>
      <c r="CM121" s="429" t="b">
        <f t="shared" si="215"/>
        <v>0</v>
      </c>
      <c r="CN121" s="429" t="b">
        <f t="shared" si="216"/>
        <v>0</v>
      </c>
      <c r="CO121" s="429" t="b">
        <f t="shared" si="217"/>
        <v>0</v>
      </c>
      <c r="CP121" s="429" t="b">
        <f t="shared" si="218"/>
        <v>0</v>
      </c>
      <c r="CQ121" s="429" t="b">
        <f t="shared" si="219"/>
        <v>0</v>
      </c>
      <c r="CR121" s="429" t="b">
        <f t="shared" si="220"/>
        <v>0</v>
      </c>
      <c r="CS121" s="429" t="b">
        <f t="shared" si="221"/>
        <v>0</v>
      </c>
      <c r="CT121" s="429" t="b">
        <f t="shared" si="222"/>
        <v>0</v>
      </c>
      <c r="CU121" s="429" t="b">
        <f t="shared" si="223"/>
        <v>0</v>
      </c>
      <c r="CV121" s="429" t="b">
        <f t="shared" si="224"/>
        <v>0</v>
      </c>
      <c r="CW121" s="429" t="b">
        <f t="shared" si="225"/>
        <v>0</v>
      </c>
      <c r="CX121" s="429" t="b">
        <f t="shared" si="226"/>
        <v>0</v>
      </c>
      <c r="CY121" s="429" t="b">
        <f t="shared" si="227"/>
        <v>0</v>
      </c>
      <c r="CZ121" s="429" t="b">
        <f t="shared" si="228"/>
        <v>0</v>
      </c>
      <c r="DA121" s="429" t="b">
        <f t="shared" si="229"/>
        <v>0</v>
      </c>
      <c r="DB121" s="429" t="b">
        <f t="shared" si="230"/>
        <v>0</v>
      </c>
      <c r="DC121" s="429"/>
      <c r="DD121" s="429">
        <f t="shared" si="260"/>
        <v>0</v>
      </c>
      <c r="DE121" s="429" t="str">
        <f t="shared" si="231"/>
        <v>-</v>
      </c>
      <c r="DF121" s="429">
        <f t="shared" si="232"/>
        <v>0</v>
      </c>
      <c r="DG121" s="429">
        <f t="shared" si="261"/>
        <v>0</v>
      </c>
      <c r="DH121" s="429">
        <f t="shared" si="262"/>
        <v>19.5</v>
      </c>
      <c r="DI121" s="429"/>
      <c r="DJ121" s="429" t="e">
        <f t="shared" si="263"/>
        <v>#N/A</v>
      </c>
      <c r="DK121" s="429">
        <f t="shared" si="180"/>
        <v>0.4</v>
      </c>
      <c r="DL121" s="429">
        <f t="shared" si="181"/>
        <v>1.21</v>
      </c>
      <c r="DM121" s="429">
        <f t="shared" si="182"/>
        <v>1.69</v>
      </c>
      <c r="DN121" s="429">
        <f t="shared" si="183"/>
        <v>2.02</v>
      </c>
      <c r="DO121" s="429">
        <f t="shared" si="184"/>
        <v>2.29</v>
      </c>
      <c r="DP121" s="429">
        <f t="shared" si="185"/>
        <v>2.63</v>
      </c>
      <c r="DQ121" s="429">
        <f t="shared" si="186"/>
        <v>2.38</v>
      </c>
      <c r="DR121" s="429">
        <f t="shared" si="187"/>
        <v>2.25</v>
      </c>
      <c r="DS121" s="429">
        <f t="shared" si="188"/>
        <v>2.42</v>
      </c>
      <c r="DT121" s="429">
        <f t="shared" si="189"/>
        <v>2.4962</v>
      </c>
      <c r="DU121" s="429">
        <f t="shared" si="190"/>
        <v>3.19</v>
      </c>
      <c r="DV121" s="429">
        <f t="shared" si="191"/>
        <v>3.63</v>
      </c>
      <c r="DW121" s="429" t="e">
        <f t="shared" si="192"/>
        <v>#N/A</v>
      </c>
      <c r="DX121" s="429" t="e">
        <f t="shared" si="193"/>
        <v>#N/A</v>
      </c>
      <c r="DY121" s="429" t="e">
        <f t="shared" si="194"/>
        <v>#N/A</v>
      </c>
      <c r="DZ121" s="429" t="e">
        <f t="shared" si="195"/>
        <v>#N/A</v>
      </c>
      <c r="EA121" s="429" t="e">
        <f t="shared" si="196"/>
        <v>#N/A</v>
      </c>
      <c r="EB121" s="429" t="e">
        <f t="shared" si="197"/>
        <v>#N/A</v>
      </c>
      <c r="EC121" s="429" t="e">
        <f t="shared" si="198"/>
        <v>#N/A</v>
      </c>
      <c r="ED121" s="429" t="e">
        <f t="shared" si="199"/>
        <v>#N/A</v>
      </c>
      <c r="EE121" s="429" t="e">
        <f t="shared" si="200"/>
        <v>#N/A</v>
      </c>
      <c r="EF121" s="429" t="e">
        <f t="shared" si="201"/>
        <v>#N/A</v>
      </c>
      <c r="EG121" s="429" t="e">
        <f t="shared" si="202"/>
        <v>#N/A</v>
      </c>
      <c r="EH121" s="429" t="e">
        <f t="shared" si="203"/>
        <v>#N/A</v>
      </c>
      <c r="EI121" s="429" t="e">
        <f t="shared" si="204"/>
        <v>#N/A</v>
      </c>
      <c r="EJ121" s="429"/>
      <c r="EK121" s="429"/>
      <c r="EL121" s="429" t="e">
        <f t="shared" si="233"/>
        <v>#N/A</v>
      </c>
      <c r="EM121" s="429">
        <f t="shared" si="264"/>
        <v>0</v>
      </c>
      <c r="EN121" s="429">
        <f t="shared" si="235"/>
        <v>0.5</v>
      </c>
      <c r="EO121" s="429">
        <f t="shared" si="236"/>
        <v>1</v>
      </c>
      <c r="EP121" s="429">
        <f t="shared" si="237"/>
        <v>1.5</v>
      </c>
      <c r="EQ121" s="429">
        <f t="shared" si="238"/>
        <v>2</v>
      </c>
      <c r="ER121" s="429">
        <f t="shared" si="239"/>
        <v>4</v>
      </c>
      <c r="ES121" s="429">
        <f t="shared" si="240"/>
        <v>6</v>
      </c>
      <c r="ET121" s="429">
        <f t="shared" si="241"/>
        <v>8</v>
      </c>
      <c r="EU121" s="429">
        <f t="shared" si="242"/>
        <v>9.6999999999999993</v>
      </c>
      <c r="EV121" s="429">
        <f t="shared" si="243"/>
        <v>10</v>
      </c>
      <c r="EW121" s="429">
        <f t="shared" si="244"/>
        <v>12</v>
      </c>
      <c r="EX121" s="429">
        <f t="shared" si="245"/>
        <v>13</v>
      </c>
      <c r="EY121" s="429" t="e">
        <f t="shared" si="246"/>
        <v>#N/A</v>
      </c>
      <c r="EZ121" s="429" t="e">
        <f t="shared" si="247"/>
        <v>#N/A</v>
      </c>
      <c r="FA121" s="429" t="e">
        <f t="shared" si="248"/>
        <v>#N/A</v>
      </c>
      <c r="FB121" s="429" t="e">
        <f t="shared" si="249"/>
        <v>#N/A</v>
      </c>
      <c r="FC121" s="429" t="e">
        <f t="shared" si="250"/>
        <v>#N/A</v>
      </c>
      <c r="FD121" s="429" t="e">
        <f t="shared" si="251"/>
        <v>#N/A</v>
      </c>
      <c r="FE121" s="429" t="e">
        <f t="shared" si="252"/>
        <v>#N/A</v>
      </c>
      <c r="FF121" s="429" t="e">
        <f t="shared" si="253"/>
        <v>#N/A</v>
      </c>
      <c r="FG121" s="429" t="e">
        <f t="shared" si="254"/>
        <v>#N/A</v>
      </c>
      <c r="FH121" s="429" t="e">
        <f t="shared" si="255"/>
        <v>#N/A</v>
      </c>
      <c r="FI121" s="429" t="e">
        <f t="shared" si="256"/>
        <v>#N/A</v>
      </c>
      <c r="FJ121" s="429" t="e">
        <f t="shared" si="257"/>
        <v>#N/A</v>
      </c>
      <c r="FK121" s="429" t="e">
        <f t="shared" si="258"/>
        <v>#N/A</v>
      </c>
    </row>
    <row r="122" spans="1:199" x14ac:dyDescent="0.25">
      <c r="A122" s="377" t="str">
        <f t="shared" si="206"/>
        <v xml:space="preserve">  </v>
      </c>
      <c r="B122" s="380" t="str">
        <f>IFERROR(IF(ISERROR(CP151),"",CONCATENATE(ROUND(X_SHIFT_BP+IF(Tools!B$97&lt;=Tools!$D$47/2,-BF27,BF27),3),",",ROUND(WLS*$AP63,3)," ")),"")</f>
        <v/>
      </c>
      <c r="C122" s="380" t="str">
        <f>IFERROR(IF(ISERROR(CQ151),"",CONCATENATE(ROUND(X_SHIFT_BP+IF(Tools!C$97&lt;=Tools!$D$47/2,-BG27,BG27),3),",",ROUND(WLS*$AP63,3)," ")),"")</f>
        <v/>
      </c>
      <c r="D122" s="380" t="str">
        <f>IFERROR(IF(ISERROR(CR151),"",CONCATENATE(ROUND(X_SHIFT_BP+IF(Tools!D$97&lt;=Tools!$D$47/2,-BH27,BH27),3),",",ROUND(WLS*$AP63,3)," ")),"")</f>
        <v/>
      </c>
      <c r="E122" s="380" t="str">
        <f>IFERROR(IF(ISERROR(CS151),"",CONCATENATE(ROUND(X_SHIFT_BP+IF(Tools!E$97&lt;=Tools!$D$47/2,-BI27,BI27),3),",",ROUND(WLS*$AP63,3)," ")),"")</f>
        <v/>
      </c>
      <c r="F122" s="380" t="str">
        <f>IFERROR(IF(ISERROR(CT151),"",CONCATENATE(ROUND(X_SHIFT_BP+IF(Tools!F$97&lt;=Tools!$D$47/2,-BJ27,BJ27),3),",",ROUND(WLS*$AP63,3)," ")),"")</f>
        <v/>
      </c>
      <c r="G122" s="380" t="str">
        <f>IFERROR(IF(ISERROR(CU151),"",CONCATENATE(ROUND(X_SHIFT_BP+IF(Tools!G$97&lt;=Tools!$D$47/2,-BK27,BK27),3),",",ROUND(WLS*$AP63,3)," ")),"")</f>
        <v/>
      </c>
      <c r="H122" s="380" t="str">
        <f>IFERROR(IF(ISERROR(CV151),"",CONCATENATE(ROUND(X_SHIFT_BP+IF(Tools!H$97&lt;=Tools!$D$47/2,-BL27,BL27),3),",",ROUND(WLS*$AP63,3)," ")),"")</f>
        <v/>
      </c>
      <c r="I122" s="380" t="str">
        <f>IFERROR(IF(ISERROR(CW151),"",CONCATENATE(ROUND(X_SHIFT_BP+IF(Tools!I$97&lt;=Tools!$D$47/2,-BM27,BM27),3),",",ROUND(WLS*$AP63,3)," ")),"")</f>
        <v/>
      </c>
      <c r="J122" s="380" t="str">
        <f>IFERROR(IF(ISERROR(CX151),"",CONCATENATE(ROUND(X_SHIFT_BP+IF(Tools!J$97&lt;=Tools!$D$47/2,-BN27,BN27),3),",",ROUND(WLS*$AP63,3)," ")),"")</f>
        <v/>
      </c>
      <c r="K122" s="380" t="str">
        <f>IFERROR(IF(ISERROR(CY151),"",CONCATENATE(ROUND(X_SHIFT_BP+IF(Tools!K$97&lt;=Tools!$D$47/2,-BO27,BO27),3),",",ROUND(WLS*$AP63,3)," ")),"")</f>
        <v/>
      </c>
      <c r="L122" s="380" t="str">
        <f>IFERROR(IF(ISERROR(CZ151),"",CONCATENATE(ROUND(X_SHIFT_BP+IF(Tools!L$97&lt;=Tools!$D$47/2,-BP27,BP27),3),",",ROUND(WLS*$AP63,3)," ")),"")</f>
        <v/>
      </c>
      <c r="M122" s="380" t="str">
        <f>IFERROR(IF(ISERROR(DA151),"",CONCATENATE(ROUND(X_SHIFT_BP+IF(Tools!M$97&lt;=Tools!$D$47/2,-BQ27,BQ27),3),",",ROUND(WLS*$AP63,3)," ")),"")</f>
        <v/>
      </c>
      <c r="N122" s="380" t="str">
        <f>IFERROR(IF(ISERROR(DB151),"",CONCATENATE(ROUND(X_SHIFT_BP+IF(Tools!N$97&lt;=Tools!$D$47/2,-BR27,BR27),3),",",ROUND(WLS*$AP63,3)," ")),"")</f>
        <v/>
      </c>
      <c r="O122" s="380" t="str">
        <f>IFERROR(IF(ISERROR(DC151),"",CONCATENATE(ROUND(X_SHIFT_BP+IF(Tools!O$97&lt;=Tools!$D$47/2,-BS27,BS27),3),",",ROUND(WLS*$AP63,3)," ")),"")</f>
        <v/>
      </c>
      <c r="P122" s="380" t="str">
        <f>IFERROR(IF(ISERROR(DD151),"",CONCATENATE(ROUND(X_SHIFT_BP+IF(Tools!P$97&lt;=Tools!$D$47/2,-BT27,BT27),3),",",ROUND(WLS*$AP63,3)," ")),"")</f>
        <v/>
      </c>
      <c r="Q122" s="380" t="str">
        <f>IFERROR(IF(ISERROR(DE151),"",CONCATENATE(ROUND(X_SHIFT_BP+IF(Tools!Q$97&lt;=Tools!$D$47/2,-BU27,BU27),3),",",ROUND(WLS*$AP63,3)," ")),"")</f>
        <v/>
      </c>
      <c r="R122" s="380" t="str">
        <f>IFERROR(IF(ISERROR(DF151),"",CONCATENATE(ROUND(X_SHIFT_BP+IF(Tools!R$97&lt;=Tools!$D$47/2,-BV27,BV27),3),",",ROUND(WLS*$AP63,3)," ")),"")</f>
        <v/>
      </c>
      <c r="S122" s="380" t="str">
        <f>IFERROR(IF(ISERROR(DG151),"",CONCATENATE(ROUND(X_SHIFT_BP+IF(Tools!S$97&lt;=Tools!$D$47/2,-BW27,BW27),3),",",ROUND(WLS*$AP63,3)," ")),"")</f>
        <v/>
      </c>
      <c r="T122" s="380" t="str">
        <f>IFERROR(IF(ISERROR(DH151),"",CONCATENATE(ROUND(X_SHIFT_BP+IF(Tools!T$97&lt;=Tools!$D$47/2,-BX27,BX27),3),",",ROUND(WLS*$AP63,3)," ")),"")</f>
        <v/>
      </c>
      <c r="U122" s="380" t="str">
        <f>IFERROR(IF(ISERROR(DI151),"",CONCATENATE(ROUND(X_SHIFT_BP+IF(Tools!U$97&lt;=Tools!$D$47/2,-BY27,BY27),3),",",ROUND(WLS*$AP63,3)," ")),"")</f>
        <v/>
      </c>
      <c r="V122" s="380" t="str">
        <f>IFERROR(IF(ISERROR(DJ151),"",CONCATENATE(ROUND(X_SHIFT_BP+IF(Tools!V$97&lt;=Tools!$D$47/2,-BZ27,BZ27),3),",",ROUND(WLS*$AP63,3)," ")),"")</f>
        <v/>
      </c>
      <c r="W122" s="380" t="str">
        <f>IFERROR(IF(ISERROR(DK151),"",CONCATENATE(ROUND(X_SHIFT_BP+IF(Tools!W$97&lt;=Tools!$D$47/2,-CA27,CA27),3),",",ROUND(WLS*$AP63,3)," ")),"")</f>
        <v/>
      </c>
      <c r="X122" s="380" t="str">
        <f>IFERROR(IF(ISERROR(DL151),"",CONCATENATE(ROUND(X_SHIFT_BP+IF(Tools!X$97&lt;=Tools!$D$47/2,-CB27,CB27),3),",",ROUND(WLS*$AP63,3)," ")),"")</f>
        <v/>
      </c>
      <c r="Y122" s="380" t="str">
        <f>IFERROR(IF(ISERROR(DM151),"",CONCATENATE(ROUND(X_SHIFT_BP+IF(Tools!Y$97&lt;=Tools!$D$47/2,-CC27,CC27),3),",",ROUND(WLS*$AP63,3)," ")),"")</f>
        <v/>
      </c>
      <c r="Z122" s="380" t="str">
        <f>IFERROR(IF(ISERROR(DN151),"",CONCATENATE(ROUND(X_SHIFT_BP+IF(Tools!Z$97&lt;=Tools!$D$47/2,-CD27,CD27),3),",",ROUND(WLS*$AP63,3)," ")),"")</f>
        <v/>
      </c>
      <c r="AA122" s="132">
        <v>12</v>
      </c>
      <c r="AB122" s="248" t="str">
        <f t="shared" si="259"/>
        <v xml:space="preserve">Spline </v>
      </c>
      <c r="AC122" s="132" t="str">
        <v/>
      </c>
      <c r="AD122" s="248" t="str">
        <v xml:space="preserve">169.01,0 </v>
      </c>
      <c r="AE122" s="248" t="str">
        <v xml:space="preserve">169.71,0.5 </v>
      </c>
      <c r="AF122" s="248" t="str">
        <v xml:space="preserve">170.11,1 </v>
      </c>
      <c r="AG122" s="248" t="str">
        <v xml:space="preserve">170.34,1.5 </v>
      </c>
      <c r="AH122" s="248" t="str">
        <v xml:space="preserve">170.44,2 </v>
      </c>
      <c r="AI122" s="248" t="str">
        <v xml:space="preserve">170.03,4 </v>
      </c>
      <c r="AJ122" s="248" t="str">
        <v xml:space="preserve">169.41,6 </v>
      </c>
      <c r="AK122" s="248" t="str">
        <v xml:space="preserve">168.99,8 </v>
      </c>
      <c r="AL122" s="248" t="str">
        <v xml:space="preserve">168.91,9.7 </v>
      </c>
      <c r="AM122" s="248" t="str">
        <v xml:space="preserve">168.94,10 </v>
      </c>
      <c r="AN122" s="248" t="str">
        <v xml:space="preserve">169.71,12 </v>
      </c>
      <c r="AO122" s="248" t="str">
        <v xml:space="preserve">170.54,13 </v>
      </c>
      <c r="AP122" s="248" t="str">
        <v/>
      </c>
      <c r="AQ122" s="248" t="str">
        <v/>
      </c>
      <c r="AR122" s="248" t="str">
        <v/>
      </c>
      <c r="AS122" s="248" t="str">
        <v/>
      </c>
      <c r="AT122" s="248" t="str">
        <v/>
      </c>
      <c r="AU122" s="248" t="str">
        <v/>
      </c>
      <c r="AV122" s="248" t="str">
        <v/>
      </c>
      <c r="AW122" s="248" t="str">
        <v/>
      </c>
      <c r="AX122" s="248" t="str">
        <v/>
      </c>
      <c r="AY122" s="248" t="str">
        <v/>
      </c>
      <c r="AZ122" s="248" t="str">
        <v/>
      </c>
      <c r="BA122" s="248" t="str">
        <v/>
      </c>
      <c r="BB122" s="248" t="str">
        <v/>
      </c>
      <c r="BC122" s="379">
        <f>Tools!AD27</f>
        <v>20</v>
      </c>
      <c r="BD122" s="379">
        <f>IFERROR(Tools!AD27*STN_GAP,"")</f>
        <v>146.19999999999999</v>
      </c>
      <c r="BE122" s="467">
        <f>IFERROR(IF(ISNUMBER(DE122),NA(),IF(AND($DF122&lt;&gt;0,$DG122&gt;BE$97),NA(),IF($BD122&gt;LBP/2,-(-Tools!AE27),-Tools!AE27))),NA())</f>
        <v>0.1</v>
      </c>
      <c r="BF122" s="379">
        <f>IFERROR(IF(AND($DF122&lt;&gt;0,$DG122&gt;BF$97),NA(),IF($BD122&gt;LBP/2,-(-Tools!AF27),-Tools!AF27)),NA())</f>
        <v>0.8</v>
      </c>
      <c r="BG122" s="379">
        <f>IFERROR(IF(AND($DF122&lt;&gt;0,$DG122&gt;BG$97),NA(),IF($BD122&gt;LBP/2,-(-Tools!AG27),-Tools!AG27)),NA())</f>
        <v>1.2</v>
      </c>
      <c r="BH122" s="379">
        <f>IFERROR(IF(AND($DF122&lt;&gt;0,$DG122&gt;BH$97),NA(),IF($BD122&gt;LBP/2,-(-Tools!AH27),-Tools!AH27)),NA())</f>
        <v>1.43</v>
      </c>
      <c r="BI122" s="379">
        <f>IFERROR(IF(AND($DF122&lt;&gt;0,$DG122&gt;BI$97),NA(),IF($BD122&gt;LBP/2,-(-Tools!AI27),-Tools!AI27)),NA())</f>
        <v>1.53</v>
      </c>
      <c r="BJ122" s="379">
        <f>IFERROR(IF(AND($DF122&lt;&gt;0,$DG122&gt;BJ$97),NA(),IF($BD122&gt;LBP/2,-(-Tools!AJ27),-Tools!AJ27)),NA())</f>
        <v>1.1200000000000001</v>
      </c>
      <c r="BK122" s="379">
        <f>IFERROR(IF(AND($DF122&lt;&gt;0,$DG122&gt;BK$97),NA(),IF($BD122&gt;LBP/2,-(-Tools!AK27),-Tools!AK27)),NA())</f>
        <v>0.5</v>
      </c>
      <c r="BL122" s="379">
        <f>IFERROR(IF(AND($DF122&lt;&gt;0,$DG122&gt;BL$97),NA(),IF($BD122&gt;LBP/2,-(-Tools!AL27),-Tools!AL27)),NA())</f>
        <v>0.08</v>
      </c>
      <c r="BM122" s="379">
        <f>IFERROR(IF(AND($DF122&lt;&gt;0,$DG122&gt;BM$97),NA(),IF($BD122&gt;LBP/2,-(-Tools!AM27),-Tools!AM27)),NA())</f>
        <v>0</v>
      </c>
      <c r="BN122" s="379">
        <f>IFERROR(IF(AND($DF122&lt;&gt;0,$DG122&gt;BN$97),NA(),IF($BD122&gt;LBP/2,-(-Tools!AN27),-Tools!AN27)),NA())</f>
        <v>0.03</v>
      </c>
      <c r="BO122" s="379">
        <f>IFERROR(IF(AND($DF122&lt;&gt;0,$DG122&gt;BO$97),NA(),IF($BD122&gt;LBP/2,-(-Tools!AO27),-Tools!AO27)),NA())</f>
        <v>0.8</v>
      </c>
      <c r="BP122" s="379">
        <f>IFERROR(IF(AND($DF122&lt;&gt;0,$DG122&gt;BP$97),NA(),IF($BD122&gt;LBP/2,-(-Tools!AP27),-Tools!AP27)),NA())</f>
        <v>1.63</v>
      </c>
      <c r="BQ122" s="379" t="e">
        <f>IFERROR(IF(AND($DF122&lt;&gt;0,$DG122&gt;BQ$97),NA(),IF($BD122&gt;LBP/2,-(-Tools!AQ27),-Tools!AQ27)),NA())</f>
        <v>#N/A</v>
      </c>
      <c r="BR122" s="379" t="e">
        <f>IFERROR(IF(AND($DF122&lt;&gt;0,$DG122&gt;BR$97),NA(),IF($BD122&gt;LBP/2,-(-Tools!AR27),-Tools!AR27)),NA())</f>
        <v>#N/A</v>
      </c>
      <c r="BS122" s="379" t="e">
        <f>IFERROR(IF(AND($DF122&lt;&gt;0,$DG122&gt;BS$97),NA(),IF($BD122&gt;LBP/2,-(-Tools!AS27),-Tools!AS27)),NA())</f>
        <v>#N/A</v>
      </c>
      <c r="BT122" s="379" t="e">
        <f>IFERROR(IF(AND($DF122&lt;&gt;0,$DG122&gt;BT$97),NA(),IF($BD122&gt;LBP/2,-(-Tools!AT27),-Tools!AT27)),NA())</f>
        <v>#N/A</v>
      </c>
      <c r="BU122" s="379" t="e">
        <f>IFERROR(IF(AND($DF122&lt;&gt;0,$DG122&gt;BU$97),NA(),IF($BD122&gt;LBP/2,-(-Tools!AU27),-Tools!AU27)),NA())</f>
        <v>#N/A</v>
      </c>
      <c r="BV122" s="379" t="e">
        <f>IFERROR(IF(AND($DF122&lt;&gt;0,$DG122&gt;BV$97),NA(),IF($BD122&gt;LBP/2,-(-Tools!AV27),-Tools!AV27)),NA())</f>
        <v>#N/A</v>
      </c>
      <c r="BW122" s="379" t="e">
        <f>IFERROR(IF(AND($DF122&lt;&gt;0,$DG122&gt;BW$97),NA(),IF($BD122&gt;LBP/2,-(-Tools!AW27),-Tools!AW27)),NA())</f>
        <v>#N/A</v>
      </c>
      <c r="BX122" s="379" t="e">
        <f>IFERROR(IF(AND($DF122&lt;&gt;0,$DG122&gt;BX$97),NA(),IF($BD122&gt;LBP/2,-(-Tools!AX27),-Tools!AX27)),NA())</f>
        <v>#N/A</v>
      </c>
      <c r="BY122" s="379" t="e">
        <f>IFERROR(IF(AND($DF122&lt;&gt;0,$DG122&gt;BY$97),NA(),IF($BD122&gt;LBP/2,-(-Tools!AY27),-Tools!AY27)),NA())</f>
        <v>#N/A</v>
      </c>
      <c r="BZ122" s="379" t="e">
        <f>IFERROR(IF(AND($DF122&lt;&gt;0,$DG122&gt;BZ$97),NA(),IF($BD122&gt;LBP/2,-(-Tools!AZ27),-Tools!AZ27)),NA())</f>
        <v>#N/A</v>
      </c>
      <c r="CA122" s="379" t="e">
        <f>IFERROR(IF(AND($DF122&lt;&gt;0,$DG122&gt;CA$97),NA(),IF($BD122&gt;LBP/2,-(-Tools!BA27),-Tools!BA27)),NA())</f>
        <v>#N/A</v>
      </c>
      <c r="CB122" s="379" t="e">
        <f>IFERROR(IF(AND($DF122&lt;&gt;0,$DG122&gt;CB$97),NA(),IF($BD122&gt;LBP/2,-(-Tools!BB27),-Tools!BB27)),NA())</f>
        <v>#N/A</v>
      </c>
      <c r="CC122" s="379" t="e">
        <f>IFERROR(IF(AND($DF122&lt;&gt;0,$DG122&gt;CC$97),NA(),IF($BD122&gt;LBP/2,-(-Tools!BC27),-Tools!BC27)),NA())</f>
        <v>#N/A</v>
      </c>
      <c r="CE122" s="429" t="b">
        <f t="shared" si="207"/>
        <v>0</v>
      </c>
      <c r="CF122" s="429" t="b">
        <f t="shared" si="208"/>
        <v>0</v>
      </c>
      <c r="CG122" s="429" t="b">
        <f t="shared" si="209"/>
        <v>0</v>
      </c>
      <c r="CH122" s="429" t="b">
        <f t="shared" si="210"/>
        <v>0</v>
      </c>
      <c r="CI122" s="429" t="b">
        <f t="shared" si="211"/>
        <v>0</v>
      </c>
      <c r="CJ122" s="429" t="b">
        <f t="shared" si="212"/>
        <v>0</v>
      </c>
      <c r="CK122" s="429" t="b">
        <f t="shared" si="213"/>
        <v>0</v>
      </c>
      <c r="CL122" s="429" t="b">
        <f t="shared" si="214"/>
        <v>0</v>
      </c>
      <c r="CM122" s="429" t="b">
        <f t="shared" si="215"/>
        <v>0</v>
      </c>
      <c r="CN122" s="429" t="b">
        <f t="shared" si="216"/>
        <v>0</v>
      </c>
      <c r="CO122" s="429" t="b">
        <f t="shared" si="217"/>
        <v>0</v>
      </c>
      <c r="CP122" s="429" t="b">
        <f t="shared" si="218"/>
        <v>0</v>
      </c>
      <c r="CQ122" s="429" t="b">
        <f t="shared" si="219"/>
        <v>0</v>
      </c>
      <c r="CR122" s="429" t="b">
        <f t="shared" si="220"/>
        <v>0</v>
      </c>
      <c r="CS122" s="429" t="b">
        <f t="shared" si="221"/>
        <v>0</v>
      </c>
      <c r="CT122" s="429" t="b">
        <f t="shared" si="222"/>
        <v>0</v>
      </c>
      <c r="CU122" s="429" t="b">
        <f t="shared" si="223"/>
        <v>0</v>
      </c>
      <c r="CV122" s="429" t="b">
        <f t="shared" si="224"/>
        <v>0</v>
      </c>
      <c r="CW122" s="429" t="b">
        <f t="shared" si="225"/>
        <v>0</v>
      </c>
      <c r="CX122" s="429" t="b">
        <f t="shared" si="226"/>
        <v>0</v>
      </c>
      <c r="CY122" s="429" t="b">
        <f t="shared" si="227"/>
        <v>0</v>
      </c>
      <c r="CZ122" s="429" t="b">
        <f t="shared" si="228"/>
        <v>0</v>
      </c>
      <c r="DA122" s="429" t="b">
        <f t="shared" si="229"/>
        <v>0</v>
      </c>
      <c r="DB122" s="429" t="b">
        <f t="shared" si="230"/>
        <v>0</v>
      </c>
      <c r="DC122" s="429"/>
      <c r="DD122" s="429">
        <f t="shared" si="260"/>
        <v>0</v>
      </c>
      <c r="DE122" s="429" t="str">
        <f t="shared" si="231"/>
        <v>-</v>
      </c>
      <c r="DF122" s="429">
        <f t="shared" si="232"/>
        <v>0</v>
      </c>
      <c r="DG122" s="429">
        <f t="shared" si="261"/>
        <v>0</v>
      </c>
      <c r="DH122" s="429">
        <f t="shared" si="262"/>
        <v>20</v>
      </c>
      <c r="DI122" s="429"/>
      <c r="DJ122" s="429" t="e">
        <f t="shared" si="263"/>
        <v>#N/A</v>
      </c>
      <c r="DK122" s="429">
        <f t="shared" si="180"/>
        <v>0.1</v>
      </c>
      <c r="DL122" s="429">
        <f t="shared" si="181"/>
        <v>0.8</v>
      </c>
      <c r="DM122" s="429">
        <f t="shared" si="182"/>
        <v>1.2</v>
      </c>
      <c r="DN122" s="429">
        <f t="shared" si="183"/>
        <v>1.43</v>
      </c>
      <c r="DO122" s="429">
        <f t="shared" si="184"/>
        <v>1.53</v>
      </c>
      <c r="DP122" s="429">
        <f t="shared" si="185"/>
        <v>1.1200000000000001</v>
      </c>
      <c r="DQ122" s="429">
        <f t="shared" si="186"/>
        <v>0.5</v>
      </c>
      <c r="DR122" s="429">
        <f t="shared" si="187"/>
        <v>0.08</v>
      </c>
      <c r="DS122" s="429">
        <f t="shared" si="188"/>
        <v>0</v>
      </c>
      <c r="DT122" s="429">
        <f t="shared" si="189"/>
        <v>0.03</v>
      </c>
      <c r="DU122" s="429">
        <f t="shared" si="190"/>
        <v>0.8</v>
      </c>
      <c r="DV122" s="429">
        <f t="shared" si="191"/>
        <v>1.63</v>
      </c>
      <c r="DW122" s="429" t="e">
        <f t="shared" si="192"/>
        <v>#N/A</v>
      </c>
      <c r="DX122" s="429" t="e">
        <f t="shared" si="193"/>
        <v>#N/A</v>
      </c>
      <c r="DY122" s="429" t="e">
        <f t="shared" si="194"/>
        <v>#N/A</v>
      </c>
      <c r="DZ122" s="429" t="e">
        <f t="shared" si="195"/>
        <v>#N/A</v>
      </c>
      <c r="EA122" s="429" t="e">
        <f t="shared" si="196"/>
        <v>#N/A</v>
      </c>
      <c r="EB122" s="429" t="e">
        <f t="shared" si="197"/>
        <v>#N/A</v>
      </c>
      <c r="EC122" s="429" t="e">
        <f t="shared" si="198"/>
        <v>#N/A</v>
      </c>
      <c r="ED122" s="429" t="e">
        <f t="shared" si="199"/>
        <v>#N/A</v>
      </c>
      <c r="EE122" s="429" t="e">
        <f t="shared" si="200"/>
        <v>#N/A</v>
      </c>
      <c r="EF122" s="429" t="e">
        <f t="shared" si="201"/>
        <v>#N/A</v>
      </c>
      <c r="EG122" s="429" t="e">
        <f t="shared" si="202"/>
        <v>#N/A</v>
      </c>
      <c r="EH122" s="429" t="e">
        <f t="shared" si="203"/>
        <v>#N/A</v>
      </c>
      <c r="EI122" s="429" t="e">
        <f t="shared" si="204"/>
        <v>#N/A</v>
      </c>
      <c r="EJ122" s="429"/>
      <c r="EK122" s="429"/>
      <c r="EL122" s="429" t="e">
        <f t="shared" si="233"/>
        <v>#N/A</v>
      </c>
      <c r="EM122" s="429">
        <f t="shared" si="264"/>
        <v>0</v>
      </c>
      <c r="EN122" s="429">
        <f t="shared" si="235"/>
        <v>0.5</v>
      </c>
      <c r="EO122" s="429">
        <f t="shared" si="236"/>
        <v>1</v>
      </c>
      <c r="EP122" s="429">
        <f t="shared" si="237"/>
        <v>1.5</v>
      </c>
      <c r="EQ122" s="429">
        <f t="shared" si="238"/>
        <v>2</v>
      </c>
      <c r="ER122" s="429">
        <f t="shared" si="239"/>
        <v>4</v>
      </c>
      <c r="ES122" s="429">
        <f t="shared" si="240"/>
        <v>6</v>
      </c>
      <c r="ET122" s="429">
        <f t="shared" si="241"/>
        <v>8</v>
      </c>
      <c r="EU122" s="429">
        <f t="shared" si="242"/>
        <v>9.6999999999999993</v>
      </c>
      <c r="EV122" s="429">
        <f t="shared" si="243"/>
        <v>10</v>
      </c>
      <c r="EW122" s="429">
        <f t="shared" si="244"/>
        <v>12</v>
      </c>
      <c r="EX122" s="429">
        <f t="shared" si="245"/>
        <v>13</v>
      </c>
      <c r="EY122" s="429" t="e">
        <f t="shared" si="246"/>
        <v>#N/A</v>
      </c>
      <c r="EZ122" s="429" t="e">
        <f t="shared" si="247"/>
        <v>#N/A</v>
      </c>
      <c r="FA122" s="429" t="e">
        <f t="shared" si="248"/>
        <v>#N/A</v>
      </c>
      <c r="FB122" s="429" t="e">
        <f t="shared" si="249"/>
        <v>#N/A</v>
      </c>
      <c r="FC122" s="429" t="e">
        <f t="shared" si="250"/>
        <v>#N/A</v>
      </c>
      <c r="FD122" s="429" t="e">
        <f t="shared" si="251"/>
        <v>#N/A</v>
      </c>
      <c r="FE122" s="429" t="e">
        <f t="shared" si="252"/>
        <v>#N/A</v>
      </c>
      <c r="FF122" s="429" t="e">
        <f t="shared" si="253"/>
        <v>#N/A</v>
      </c>
      <c r="FG122" s="429" t="e">
        <f t="shared" si="254"/>
        <v>#N/A</v>
      </c>
      <c r="FH122" s="429" t="e">
        <f t="shared" si="255"/>
        <v>#N/A</v>
      </c>
      <c r="FI122" s="429" t="e">
        <f t="shared" si="256"/>
        <v>#N/A</v>
      </c>
      <c r="FJ122" s="429" t="e">
        <f t="shared" si="257"/>
        <v>#N/A</v>
      </c>
      <c r="FK122" s="429" t="e">
        <f t="shared" si="258"/>
        <v>#N/A</v>
      </c>
      <c r="GD122" s="132" t="s">
        <v>346</v>
      </c>
    </row>
    <row r="123" spans="1:199" x14ac:dyDescent="0.25">
      <c r="A123" s="134"/>
      <c r="B123" s="132">
        <f t="shared" ref="B123:Z123" si="265">25-COUNTBLANK(B98:B122)</f>
        <v>5</v>
      </c>
      <c r="C123" s="132">
        <f t="shared" si="265"/>
        <v>12</v>
      </c>
      <c r="D123" s="132">
        <f t="shared" si="265"/>
        <v>12</v>
      </c>
      <c r="E123" s="132">
        <f t="shared" si="265"/>
        <v>12</v>
      </c>
      <c r="F123" s="132">
        <f t="shared" si="265"/>
        <v>12</v>
      </c>
      <c r="G123" s="132">
        <f t="shared" si="265"/>
        <v>12</v>
      </c>
      <c r="H123" s="132">
        <f t="shared" si="265"/>
        <v>12</v>
      </c>
      <c r="I123" s="132">
        <f t="shared" si="265"/>
        <v>12</v>
      </c>
      <c r="J123" s="132">
        <f t="shared" si="265"/>
        <v>12</v>
      </c>
      <c r="K123" s="132">
        <f t="shared" si="265"/>
        <v>12</v>
      </c>
      <c r="L123" s="132">
        <f t="shared" si="265"/>
        <v>12</v>
      </c>
      <c r="M123" s="132">
        <f t="shared" si="265"/>
        <v>12</v>
      </c>
      <c r="N123" s="132">
        <f t="shared" si="265"/>
        <v>12</v>
      </c>
      <c r="O123" s="132">
        <f t="shared" si="265"/>
        <v>12</v>
      </c>
      <c r="P123" s="132">
        <f t="shared" si="265"/>
        <v>12</v>
      </c>
      <c r="Q123" s="132">
        <f t="shared" si="265"/>
        <v>12</v>
      </c>
      <c r="R123" s="132">
        <f t="shared" si="265"/>
        <v>12</v>
      </c>
      <c r="S123" s="132">
        <f t="shared" si="265"/>
        <v>12</v>
      </c>
      <c r="T123" s="132">
        <f t="shared" si="265"/>
        <v>12</v>
      </c>
      <c r="U123" s="132">
        <f t="shared" si="265"/>
        <v>12</v>
      </c>
      <c r="V123" s="132">
        <f t="shared" si="265"/>
        <v>12</v>
      </c>
      <c r="W123" s="132">
        <f t="shared" si="265"/>
        <v>12</v>
      </c>
      <c r="X123" s="132">
        <f t="shared" si="265"/>
        <v>12</v>
      </c>
      <c r="Y123" s="132">
        <f t="shared" si="265"/>
        <v>12</v>
      </c>
      <c r="Z123" s="132">
        <f t="shared" si="265"/>
        <v>12</v>
      </c>
      <c r="GD123" s="132" t="s">
        <v>345</v>
      </c>
    </row>
    <row r="124" spans="1:199" x14ac:dyDescent="0.25">
      <c r="A124" s="134"/>
      <c r="ER124" s="132" t="str">
        <f ca="1">IF(ER127="","",CONCATENATE("Spline ",DP127,",",0,",",EV127," ",ER127," "))</f>
        <v xml:space="preserve">Spline 3.655,0,0 3.655,0.1,0 3.655,0.2,0.5 3.655,0.2,1 3.655,0.21,1.5 3.655,0.25,2 3.655,0.33,4 3.655,0.66,6 3.655,2.43,8 3.655,4.18,9.7 3.655,4.39,10 3.655,5.43,12 3.655,5.85,13  </v>
      </c>
    </row>
    <row r="125" spans="1:199" ht="23.25" x14ac:dyDescent="0.35">
      <c r="A125" s="134" t="s">
        <v>283</v>
      </c>
      <c r="AB125" s="393" t="s">
        <v>159</v>
      </c>
      <c r="AC125" s="393" t="s">
        <v>159</v>
      </c>
      <c r="AD125" s="393" t="s">
        <v>159</v>
      </c>
      <c r="AE125" s="394" t="s">
        <v>284</v>
      </c>
      <c r="AF125" s="393"/>
      <c r="AG125" s="393"/>
      <c r="AH125" s="393"/>
      <c r="AI125" s="393"/>
      <c r="AJ125" s="393"/>
      <c r="AK125" s="393"/>
      <c r="AL125" s="393"/>
      <c r="AM125" s="393"/>
      <c r="AN125" s="393"/>
      <c r="AO125" s="393"/>
      <c r="AP125" s="393"/>
      <c r="AQ125" s="393"/>
      <c r="AR125" s="393"/>
      <c r="AS125" s="393"/>
      <c r="AT125" s="393"/>
      <c r="AU125" s="393"/>
      <c r="AV125" s="393"/>
      <c r="AW125" s="393"/>
      <c r="AX125" s="393"/>
      <c r="AY125" s="393"/>
      <c r="AZ125" s="393"/>
      <c r="BA125" s="395"/>
      <c r="CO125" s="458"/>
      <c r="CP125" s="459">
        <f t="array" ref="CP125:DN125">TRANSPOSE(BC98:BC122)</f>
        <v>0</v>
      </c>
      <c r="CQ125" s="459">
        <v>0.5</v>
      </c>
      <c r="CR125" s="459">
        <v>1</v>
      </c>
      <c r="CS125" s="459">
        <v>1.5</v>
      </c>
      <c r="CT125" s="459">
        <v>2</v>
      </c>
      <c r="CU125" s="459">
        <v>3</v>
      </c>
      <c r="CV125" s="459">
        <v>4</v>
      </c>
      <c r="CW125" s="459">
        <v>5</v>
      </c>
      <c r="CX125" s="459">
        <v>6</v>
      </c>
      <c r="CY125" s="459">
        <v>7</v>
      </c>
      <c r="CZ125" s="459">
        <v>8</v>
      </c>
      <c r="DA125" s="459">
        <v>9</v>
      </c>
      <c r="DB125" s="459">
        <v>10</v>
      </c>
      <c r="DC125" s="459">
        <v>11</v>
      </c>
      <c r="DD125" s="459">
        <v>12</v>
      </c>
      <c r="DE125" s="459">
        <v>13</v>
      </c>
      <c r="DF125" s="459">
        <v>14</v>
      </c>
      <c r="DG125" s="459">
        <v>15</v>
      </c>
      <c r="DH125" s="459">
        <v>16</v>
      </c>
      <c r="DI125" s="459">
        <v>17</v>
      </c>
      <c r="DJ125" s="459">
        <v>18</v>
      </c>
      <c r="DK125" s="459">
        <v>18.5</v>
      </c>
      <c r="DL125" s="459">
        <v>19</v>
      </c>
      <c r="DM125" s="459">
        <v>19.5</v>
      </c>
      <c r="DN125" s="459">
        <v>20</v>
      </c>
      <c r="DP125" s="462"/>
      <c r="DQ125" s="462" t="s">
        <v>100</v>
      </c>
      <c r="DR125" s="463">
        <f t="shared" ref="DR125:EP125" si="266">DK97</f>
        <v>0</v>
      </c>
      <c r="DS125" s="463">
        <f t="shared" si="266"/>
        <v>0.5</v>
      </c>
      <c r="DT125" s="463">
        <f t="shared" si="266"/>
        <v>1</v>
      </c>
      <c r="DU125" s="463">
        <f t="shared" si="266"/>
        <v>1.5</v>
      </c>
      <c r="DV125" s="463">
        <f t="shared" si="266"/>
        <v>2</v>
      </c>
      <c r="DW125" s="463">
        <f t="shared" si="266"/>
        <v>4</v>
      </c>
      <c r="DX125" s="463">
        <f t="shared" si="266"/>
        <v>6</v>
      </c>
      <c r="DY125" s="463">
        <f t="shared" si="266"/>
        <v>8</v>
      </c>
      <c r="DZ125" s="463">
        <f t="shared" si="266"/>
        <v>9.6999999999999993</v>
      </c>
      <c r="EA125" s="463">
        <f t="shared" si="266"/>
        <v>10</v>
      </c>
      <c r="EB125" s="463">
        <f t="shared" si="266"/>
        <v>12</v>
      </c>
      <c r="EC125" s="463">
        <f t="shared" si="266"/>
        <v>13</v>
      </c>
      <c r="ED125" s="463" t="e">
        <f t="shared" si="266"/>
        <v>#N/A</v>
      </c>
      <c r="EE125" s="463" t="e">
        <f t="shared" si="266"/>
        <v>#N/A</v>
      </c>
      <c r="EF125" s="463" t="e">
        <f t="shared" si="266"/>
        <v>#N/A</v>
      </c>
      <c r="EG125" s="463" t="e">
        <f t="shared" si="266"/>
        <v>#N/A</v>
      </c>
      <c r="EH125" s="463" t="e">
        <f t="shared" si="266"/>
        <v>#N/A</v>
      </c>
      <c r="EI125" s="463" t="e">
        <f t="shared" si="266"/>
        <v>#N/A</v>
      </c>
      <c r="EJ125" s="463" t="e">
        <f t="shared" si="266"/>
        <v>#N/A</v>
      </c>
      <c r="EK125" s="463" t="e">
        <f t="shared" si="266"/>
        <v>#N/A</v>
      </c>
      <c r="EL125" s="463" t="e">
        <f t="shared" si="266"/>
        <v>#N/A</v>
      </c>
      <c r="EM125" s="463" t="e">
        <f t="shared" si="266"/>
        <v>#N/A</v>
      </c>
      <c r="EN125" s="463" t="e">
        <f t="shared" si="266"/>
        <v>#N/A</v>
      </c>
      <c r="EO125" s="463" t="e">
        <f t="shared" si="266"/>
        <v>#N/A</v>
      </c>
      <c r="EP125" s="463" t="e">
        <f t="shared" si="266"/>
        <v>#N/A</v>
      </c>
      <c r="ER125" s="134" t="s">
        <v>344</v>
      </c>
      <c r="ES125" s="132" t="str">
        <f>CONCATENATE("Zoom Window ",-LBP*0.1,",0,0 ",LBP*1.1,",",BREADTH*0.6,",",DEPTH*1.1)</f>
        <v>Zoom Window -14.62,0,0 160.82,13.2,14.3</v>
      </c>
      <c r="FB125" s="462"/>
      <c r="FC125" s="462" t="s">
        <v>100</v>
      </c>
      <c r="FD125" s="463">
        <f>DK97</f>
        <v>0</v>
      </c>
      <c r="FE125" s="463">
        <f t="shared" ref="FE125:GB125" si="267">DL97</f>
        <v>0.5</v>
      </c>
      <c r="FF125" s="463">
        <f t="shared" si="267"/>
        <v>1</v>
      </c>
      <c r="FG125" s="463">
        <f t="shared" si="267"/>
        <v>1.5</v>
      </c>
      <c r="FH125" s="463">
        <f t="shared" si="267"/>
        <v>2</v>
      </c>
      <c r="FI125" s="463">
        <f t="shared" si="267"/>
        <v>4</v>
      </c>
      <c r="FJ125" s="463">
        <f t="shared" si="267"/>
        <v>6</v>
      </c>
      <c r="FK125" s="463">
        <f t="shared" si="267"/>
        <v>8</v>
      </c>
      <c r="FL125" s="463">
        <f t="shared" si="267"/>
        <v>9.6999999999999993</v>
      </c>
      <c r="FM125" s="463">
        <f t="shared" si="267"/>
        <v>10</v>
      </c>
      <c r="FN125" s="463">
        <f t="shared" si="267"/>
        <v>12</v>
      </c>
      <c r="FO125" s="463">
        <f t="shared" si="267"/>
        <v>13</v>
      </c>
      <c r="FP125" s="463" t="e">
        <f t="shared" si="267"/>
        <v>#N/A</v>
      </c>
      <c r="FQ125" s="463" t="e">
        <f t="shared" si="267"/>
        <v>#N/A</v>
      </c>
      <c r="FR125" s="463" t="e">
        <f t="shared" si="267"/>
        <v>#N/A</v>
      </c>
      <c r="FS125" s="463" t="e">
        <f t="shared" si="267"/>
        <v>#N/A</v>
      </c>
      <c r="FT125" s="463" t="e">
        <f t="shared" si="267"/>
        <v>#N/A</v>
      </c>
      <c r="FU125" s="463" t="e">
        <f t="shared" si="267"/>
        <v>#N/A</v>
      </c>
      <c r="FV125" s="463" t="e">
        <f t="shared" si="267"/>
        <v>#N/A</v>
      </c>
      <c r="FW125" s="463" t="e">
        <f t="shared" si="267"/>
        <v>#N/A</v>
      </c>
      <c r="FX125" s="463" t="e">
        <f t="shared" si="267"/>
        <v>#N/A</v>
      </c>
      <c r="FY125" s="463" t="e">
        <f t="shared" si="267"/>
        <v>#N/A</v>
      </c>
      <c r="FZ125" s="463" t="e">
        <f t="shared" si="267"/>
        <v>#N/A</v>
      </c>
      <c r="GA125" s="463" t="e">
        <f t="shared" si="267"/>
        <v>#N/A</v>
      </c>
      <c r="GB125" s="463" t="e">
        <f t="shared" si="267"/>
        <v>#N/A</v>
      </c>
      <c r="GD125" s="132" t="str">
        <f>CONCATENATE("Zoom Window ",-LBP*0.1,",0,0")</f>
        <v>Zoom Window -14.62,0,0</v>
      </c>
      <c r="GE125" s="132" t="str">
        <f>CONCATENATE(LBP*1.1,",",BREADTH*0.6,",",DEPTH*1.1)</f>
        <v>160.82,13.2,14.3</v>
      </c>
      <c r="GH125" s="132" t="str">
        <f>GD125</f>
        <v>Zoom Window -14.62,0,0</v>
      </c>
      <c r="GI125" s="132" t="str">
        <f>GE125</f>
        <v>160.82,13.2,14.3</v>
      </c>
    </row>
    <row r="126" spans="1:199" x14ac:dyDescent="0.25">
      <c r="A126" s="377" t="str">
        <f t="shared" ref="A126:Z141" si="268">BE2</f>
        <v>STN/WL</v>
      </c>
      <c r="B126" s="377">
        <f t="shared" si="268"/>
        <v>0</v>
      </c>
      <c r="C126" s="377">
        <f t="shared" si="268"/>
        <v>0.5</v>
      </c>
      <c r="D126" s="377">
        <f t="shared" si="268"/>
        <v>1</v>
      </c>
      <c r="E126" s="377">
        <f t="shared" si="268"/>
        <v>1.5</v>
      </c>
      <c r="F126" s="377">
        <f t="shared" si="268"/>
        <v>2</v>
      </c>
      <c r="G126" s="377">
        <f t="shared" si="268"/>
        <v>3</v>
      </c>
      <c r="H126" s="377">
        <f t="shared" si="268"/>
        <v>4</v>
      </c>
      <c r="I126" s="377">
        <f t="shared" si="268"/>
        <v>5</v>
      </c>
      <c r="J126" s="377">
        <f t="shared" si="268"/>
        <v>6</v>
      </c>
      <c r="K126" s="377">
        <f t="shared" si="268"/>
        <v>7</v>
      </c>
      <c r="L126" s="377">
        <f t="shared" si="268"/>
        <v>8</v>
      </c>
      <c r="M126" s="377">
        <f t="shared" si="268"/>
        <v>9</v>
      </c>
      <c r="N126" s="377">
        <f t="shared" si="268"/>
        <v>10</v>
      </c>
      <c r="O126" s="377">
        <f t="shared" si="268"/>
        <v>11</v>
      </c>
      <c r="P126" s="377">
        <f t="shared" si="268"/>
        <v>12</v>
      </c>
      <c r="Q126" s="377">
        <f t="shared" si="268"/>
        <v>13</v>
      </c>
      <c r="R126" s="377">
        <f t="shared" si="268"/>
        <v>14</v>
      </c>
      <c r="S126" s="377">
        <f t="shared" si="268"/>
        <v>15</v>
      </c>
      <c r="T126" s="377">
        <f t="shared" si="268"/>
        <v>16</v>
      </c>
      <c r="U126" s="377">
        <f t="shared" si="268"/>
        <v>17</v>
      </c>
      <c r="V126" s="377">
        <f t="shared" si="268"/>
        <v>18</v>
      </c>
      <c r="W126" s="377">
        <f t="shared" si="268"/>
        <v>18.5</v>
      </c>
      <c r="X126" s="377">
        <f t="shared" si="268"/>
        <v>19</v>
      </c>
      <c r="Y126" s="377">
        <f t="shared" si="268"/>
        <v>19.5</v>
      </c>
      <c r="Z126" s="396">
        <f t="shared" si="268"/>
        <v>20</v>
      </c>
      <c r="AB126" s="393"/>
      <c r="AC126" s="393"/>
      <c r="AD126" s="393"/>
      <c r="AE126" s="397"/>
      <c r="AF126" s="393"/>
      <c r="AG126" s="393"/>
      <c r="AH126" s="393"/>
      <c r="AI126" s="393"/>
      <c r="AJ126" s="393"/>
      <c r="AK126" s="393"/>
      <c r="AL126" s="393"/>
      <c r="AM126" s="393"/>
      <c r="AN126" s="393"/>
      <c r="AO126" s="393"/>
      <c r="AP126" s="393"/>
      <c r="AQ126" s="393"/>
      <c r="AR126" s="393"/>
      <c r="AS126" s="393"/>
      <c r="AT126" s="393"/>
      <c r="AU126" s="393"/>
      <c r="AV126" s="393"/>
      <c r="AW126" s="393"/>
      <c r="AX126" s="393"/>
      <c r="AY126" s="393"/>
      <c r="AZ126" s="393"/>
      <c r="BA126" s="395"/>
      <c r="BC126" s="132" t="s">
        <v>296</v>
      </c>
      <c r="BD126" s="273"/>
      <c r="BE126" s="273"/>
      <c r="BF126" s="273"/>
      <c r="BG126" s="273"/>
      <c r="BH126" s="273"/>
      <c r="BI126" s="273"/>
      <c r="BJ126" s="273"/>
      <c r="BK126" s="273"/>
      <c r="BL126" s="273"/>
      <c r="BM126" s="273"/>
      <c r="BN126" s="273"/>
      <c r="BO126" s="273"/>
      <c r="BP126" s="273"/>
      <c r="BQ126" s="273"/>
      <c r="BR126" s="273"/>
      <c r="BS126" s="273"/>
      <c r="BT126" s="273"/>
      <c r="BU126" s="273"/>
      <c r="BV126" s="273"/>
      <c r="BW126" s="273"/>
      <c r="BX126" s="404"/>
      <c r="BY126" s="273"/>
      <c r="BZ126" s="273"/>
      <c r="CA126" s="273"/>
      <c r="CB126" s="273"/>
      <c r="CC126" s="273"/>
      <c r="CD126" s="273"/>
      <c r="CE126" s="273"/>
      <c r="CF126" s="273"/>
      <c r="CG126" s="273"/>
      <c r="CH126" s="273"/>
      <c r="CI126" s="273"/>
      <c r="CJ126" s="273"/>
      <c r="CK126" s="273"/>
      <c r="CL126" s="273"/>
      <c r="CM126" s="274"/>
      <c r="CO126" s="458" t="str">
        <f t="array" ref="CO126:DN151">TRANSPOSE(BD97:CC122)</f>
        <v>STN/WL</v>
      </c>
      <c r="CP126" s="458">
        <v>0</v>
      </c>
      <c r="CQ126" s="458">
        <v>3.6549999999999998</v>
      </c>
      <c r="CR126" s="458">
        <v>7.31</v>
      </c>
      <c r="CS126" s="458">
        <v>10.965</v>
      </c>
      <c r="CT126" s="458">
        <v>14.62</v>
      </c>
      <c r="CU126" s="458">
        <v>21.93</v>
      </c>
      <c r="CV126" s="458">
        <v>29.24</v>
      </c>
      <c r="CW126" s="458">
        <v>36.549999999999997</v>
      </c>
      <c r="CX126" s="458">
        <v>43.86</v>
      </c>
      <c r="CY126" s="458">
        <v>51.169999999999995</v>
      </c>
      <c r="CZ126" s="458">
        <v>58.48</v>
      </c>
      <c r="DA126" s="458">
        <v>65.789999999999992</v>
      </c>
      <c r="DB126" s="458">
        <v>73.099999999999994</v>
      </c>
      <c r="DC126" s="458">
        <v>80.41</v>
      </c>
      <c r="DD126" s="458">
        <v>87.72</v>
      </c>
      <c r="DE126" s="458">
        <v>95.03</v>
      </c>
      <c r="DF126" s="458">
        <v>102.33999999999999</v>
      </c>
      <c r="DG126" s="458">
        <v>109.64999999999999</v>
      </c>
      <c r="DH126" s="458">
        <v>116.96</v>
      </c>
      <c r="DI126" s="458">
        <v>124.27</v>
      </c>
      <c r="DJ126" s="458">
        <v>131.57999999999998</v>
      </c>
      <c r="DK126" s="458">
        <v>135.23499999999999</v>
      </c>
      <c r="DL126" s="458">
        <v>138.88999999999999</v>
      </c>
      <c r="DM126" s="458">
        <v>142.54499999999999</v>
      </c>
      <c r="DN126" s="458">
        <v>146.19999999999999</v>
      </c>
      <c r="DP126" s="462">
        <f t="shared" ref="DP126:DP150" si="269">AD3*STN_GAP</f>
        <v>0</v>
      </c>
      <c r="DQ126" s="462" t="str">
        <f t="shared" ref="DQ126:EP141" si="270">IFERROR(CONCATENATE(ROUND($DP126,3),",",ROUND(ABS(DJ98),3),",",ROUND(EL98,3)," "),"")</f>
        <v xml:space="preserve">0,0,7 </v>
      </c>
      <c r="DR126" s="462" t="str">
        <f t="shared" si="270"/>
        <v/>
      </c>
      <c r="DS126" s="462" t="str">
        <f t="shared" si="270"/>
        <v/>
      </c>
      <c r="DT126" s="462" t="str">
        <f t="shared" si="270"/>
        <v/>
      </c>
      <c r="DU126" s="462" t="str">
        <f t="shared" si="270"/>
        <v/>
      </c>
      <c r="DV126" s="462" t="str">
        <f t="shared" si="270"/>
        <v/>
      </c>
      <c r="DW126" s="462" t="str">
        <f t="shared" si="270"/>
        <v/>
      </c>
      <c r="DX126" s="462" t="str">
        <f t="shared" si="270"/>
        <v/>
      </c>
      <c r="DY126" s="462" t="str">
        <f t="shared" si="270"/>
        <v xml:space="preserve">0,0.9,8 </v>
      </c>
      <c r="DZ126" s="462" t="str">
        <f t="shared" si="270"/>
        <v xml:space="preserve">0,2.59,9.7 </v>
      </c>
      <c r="EA126" s="462" t="str">
        <f t="shared" si="270"/>
        <v xml:space="preserve">0,2.82,10 </v>
      </c>
      <c r="EB126" s="462" t="str">
        <f t="shared" si="270"/>
        <v xml:space="preserve">0,3.82,12 </v>
      </c>
      <c r="EC126" s="462" t="str">
        <f t="shared" si="270"/>
        <v xml:space="preserve">0,4.24,13 </v>
      </c>
      <c r="ED126" s="462" t="str">
        <f t="shared" si="270"/>
        <v/>
      </c>
      <c r="EE126" s="462" t="str">
        <f t="shared" si="270"/>
        <v/>
      </c>
      <c r="EF126" s="462" t="str">
        <f t="shared" si="270"/>
        <v/>
      </c>
      <c r="EG126" s="462" t="str">
        <f t="shared" si="270"/>
        <v/>
      </c>
      <c r="EH126" s="462" t="str">
        <f t="shared" si="270"/>
        <v/>
      </c>
      <c r="EI126" s="462" t="str">
        <f t="shared" si="270"/>
        <v/>
      </c>
      <c r="EJ126" s="462" t="str">
        <f t="shared" si="270"/>
        <v/>
      </c>
      <c r="EK126" s="462" t="str">
        <f t="shared" si="270"/>
        <v/>
      </c>
      <c r="EL126" s="462" t="str">
        <f t="shared" si="270"/>
        <v/>
      </c>
      <c r="EM126" s="462" t="str">
        <f t="shared" si="270"/>
        <v/>
      </c>
      <c r="EN126" s="462" t="str">
        <f t="shared" si="270"/>
        <v/>
      </c>
      <c r="EO126" s="462" t="str">
        <f t="shared" si="270"/>
        <v/>
      </c>
      <c r="EP126" s="462" t="str">
        <f t="shared" si="270"/>
        <v/>
      </c>
      <c r="ER126" s="461" t="str">
        <f>CONCATENATE(DQ126,DR126,DS126,DT126,DU126,DV126,DW126,DX126,DY126,DZ126,EA126,EB126,EC126,ED126,EE126,EF126,EG126,EH126,EI126,EJ126,EK126,EL126,EM126,EN126,EO126,EP126)</f>
        <v xml:space="preserve">0,0,7 0,0.9,8 0,2.59,9.7 0,2.82,10 0,3.82,12 0,4.24,13 </v>
      </c>
      <c r="ES126" s="189" t="str">
        <f>IF(ER126="","",CONCATENATE("Spline ",ER126," ",DP126,",",0,",",EV126))</f>
        <v>Spline 0,0,7 0,0.9,8 0,2.59,9.7 0,2.82,10 0,3.82,12 0,4.24,13  0,0,7</v>
      </c>
      <c r="ET126" s="132" t="str">
        <f>IF(ER126="","",CONCATENATE("Spline ",DP126,",",0,",",EV126," ",ER126," "))</f>
        <v xml:space="preserve">Spline 0,0,7 0,0,7 0,0.9,8 0,2.59,9.7 0,2.82,10 0,3.82,12 0,4.24,13  </v>
      </c>
      <c r="EU126" s="132">
        <f ca="1">COUNTIF(BP_1,NA())</f>
        <v>7</v>
      </c>
      <c r="EV126" s="132">
        <f t="shared" ref="EV126:EV150" si="271">IFERROR(BD128*1,VLOOKUP(Stn_WL,$AD$2:$BC$2,EU126+2,FALSE)*WLS)</f>
        <v>7</v>
      </c>
      <c r="EW126" s="132">
        <v>1</v>
      </c>
      <c r="EX126" s="132" t="str">
        <f t="shared" ref="EX126:EX150" si="272">IFERROR(CONCATENATE(DP126,",",HLOOKUP(DEPTH/WLS,$AE$2:$BC$27,EW126+1,FALSE),",",DEPTH," "),"")</f>
        <v xml:space="preserve">0,4.24,13 </v>
      </c>
      <c r="EY126" s="132" t="str">
        <f t="shared" ref="EY126:EY150" si="273">IF(ER126="","",CONCATENATE("Spline ",DP126,",",0,",",EV126," ",GC126,""))</f>
        <v>Spline 0,0,7 0,4.24,13 0,3.82,12 0,2.82,10 0,2.59,9.7 0,0.9,8 0,0,7</v>
      </c>
      <c r="EZ126" s="189" t="str">
        <f>CONCATENATE(DQ126,DR126,DS126,DT126,DU126,DV126,DW126,DX126,DY126,DZ126,EA126,EB126,EC126,ED126,EE126,EF126,EG126,EH126,EI126,EJ126,EK126,EL126,EM126,EN126,EO126,EP126," ")</f>
        <v xml:space="preserve">0,0,7 0,0.9,8 0,2.59,9.7 0,2.82,10 0,3.82,12 0,4.24,13  </v>
      </c>
      <c r="FB126" s="462">
        <f t="shared" ref="FB126:FB150" si="274">AD3*STN_GAP</f>
        <v>0</v>
      </c>
      <c r="FC126" s="464" t="str">
        <f>IFERROR(CONCATENATE(ROUND($DP126,3),",",-ROUND(ABS(DJ98),3),",",ROUND(EL98,3),""),"")</f>
        <v>0,0,7</v>
      </c>
      <c r="FD126" s="462" t="str">
        <f t="shared" ref="FD126:GB126" si="275">IFERROR(CONCATENATE(ROUND($DP126,3),",",-ROUND(ABS(DK98),3),",",ROUND(EM98,3)," "),"")</f>
        <v/>
      </c>
      <c r="FE126" s="462" t="str">
        <f t="shared" si="275"/>
        <v/>
      </c>
      <c r="FF126" s="462" t="str">
        <f t="shared" si="275"/>
        <v/>
      </c>
      <c r="FG126" s="462" t="str">
        <f t="shared" si="275"/>
        <v/>
      </c>
      <c r="FH126" s="462" t="str">
        <f t="shared" si="275"/>
        <v/>
      </c>
      <c r="FI126" s="462" t="str">
        <f t="shared" si="275"/>
        <v/>
      </c>
      <c r="FJ126" s="462" t="str">
        <f t="shared" si="275"/>
        <v/>
      </c>
      <c r="FK126" s="462" t="str">
        <f t="shared" si="275"/>
        <v xml:space="preserve">0,-0.9,8 </v>
      </c>
      <c r="FL126" s="462" t="str">
        <f t="shared" si="275"/>
        <v xml:space="preserve">0,-2.59,9.7 </v>
      </c>
      <c r="FM126" s="462" t="str">
        <f t="shared" si="275"/>
        <v xml:space="preserve">0,-2.82,10 </v>
      </c>
      <c r="FN126" s="462" t="str">
        <f t="shared" si="275"/>
        <v xml:space="preserve">0,-3.82,12 </v>
      </c>
      <c r="FO126" s="462" t="str">
        <f t="shared" si="275"/>
        <v xml:space="preserve">0,-4.24,13 </v>
      </c>
      <c r="FP126" s="462" t="str">
        <f t="shared" si="275"/>
        <v/>
      </c>
      <c r="FQ126" s="462" t="str">
        <f t="shared" si="275"/>
        <v/>
      </c>
      <c r="FR126" s="462" t="str">
        <f t="shared" si="275"/>
        <v/>
      </c>
      <c r="FS126" s="462" t="str">
        <f t="shared" si="275"/>
        <v/>
      </c>
      <c r="FT126" s="462" t="str">
        <f t="shared" si="275"/>
        <v/>
      </c>
      <c r="FU126" s="462" t="str">
        <f t="shared" si="275"/>
        <v/>
      </c>
      <c r="FV126" s="462" t="str">
        <f t="shared" si="275"/>
        <v/>
      </c>
      <c r="FW126" s="462" t="str">
        <f t="shared" si="275"/>
        <v/>
      </c>
      <c r="FX126" s="462" t="str">
        <f t="shared" si="275"/>
        <v/>
      </c>
      <c r="FY126" s="462" t="str">
        <f t="shared" si="275"/>
        <v/>
      </c>
      <c r="FZ126" s="462" t="str">
        <f t="shared" si="275"/>
        <v/>
      </c>
      <c r="GA126" s="462" t="str">
        <f t="shared" si="275"/>
        <v/>
      </c>
      <c r="GB126" s="462" t="str">
        <f t="shared" si="275"/>
        <v/>
      </c>
      <c r="GC126" s="132" t="str">
        <f>CONCATENATE(EP126,EO126,EN126,EM126,EL126,EL126,EK126,EJ126,EI126,EH126,EG126,EF126,EE126,ED126,EC126,EB126,EA126,DZ126,DY126,DX126,DW126,DV126,DU126,DT126,DS126,DR126,FC126)</f>
        <v>0,4.24,13 0,3.82,12 0,2.82,10 0,2.59,9.7 0,0.9,8 0,0,7</v>
      </c>
      <c r="GD126" s="132" t="str">
        <f t="shared" ref="GD126:GD149" si="276">IF(GC126="","",CONCATENATE("Spline ",GC126,DP126,",",0,",",EV126))</f>
        <v>Spline 0,4.24,13 0,3.82,12 0,2.82,10 0,2.59,9.7 0,0.9,8 0,0,70,0,7</v>
      </c>
      <c r="GE126" s="465" t="str">
        <f>CONCATENATE(FD126,FE126,FF126,FG126,FH126,FI126,FJ126,FK126,FL126,FM126,FN126,FO126,FP126,FQ126,FR126,FS126,FT126,FU126,FV126,FW126,FX126,FY126,FZ126,GA126,GB126)</f>
        <v xml:space="preserve">0,-0.9,8 0,-2.59,9.7 0,-2.82,10 0,-3.82,12 0,-4.24,13 </v>
      </c>
      <c r="GH126" s="132" t="str">
        <f>CONCATENATE("Spline ",EP126,EO126,EN126,EM126,EL126,EL126,EK126,EJ126,EI126,EH126,EG126,EF126,EE126,ED126,EC126,EB126,EA126,DZ126,DY126,DX126,DW126,DV126,DU126,DT126,DS126,DR126,FC126,IF(AE3=0," ",CONCATENATE("T ",FB126,",0,0 ")))</f>
        <v xml:space="preserve">Spline 0,4.24,13 0,3.82,12 0,2.82,10 0,2.59,9.7 0,0.9,8 0,0,7 </v>
      </c>
      <c r="GI126" s="132" t="str">
        <f>IF(AE3=0,"",CONCATENATE("Spline ",FB126,",",AE3,",0 ",FB126,",0,0  Join ",FB126,",0,0  ",EX126))</f>
        <v/>
      </c>
      <c r="GP126" s="132" t="str">
        <f t="shared" ref="GP126:GP150" si="277">IFERROR(CONCATENATE(ROUND($DP126,3),",",-ROUND(ABS(DJ98),3),",",ROUND(EL98,3)," "),CONCATENATE(AD3*STN_GAP,",0,0 "))</f>
        <v xml:space="preserve">0,0,7 </v>
      </c>
      <c r="GQ126" s="132" t="str">
        <f>CONCATENATE("Curve p=n d ",Q58," ",EP126,EO126,EN126,EM126,EL126,EK126,EJ126,EI126,EH126,EG126,EF126,EE126,ED126,EC126,EB126,EA126,DZ126,DY126,DX126,DW126,DV126,DU126,DT126,DS126,DR126,GP126,"_enter")</f>
        <v>Curve p=n d 3 0,4.24,13 0,3.82,12 0,2.82,10 0,2.59,9.7 0,0.9,8 0,0,7 _enter</v>
      </c>
    </row>
    <row r="127" spans="1:199" x14ac:dyDescent="0.25">
      <c r="A127" s="377">
        <f t="shared" si="268"/>
        <v>0</v>
      </c>
      <c r="B127" s="380" t="str">
        <f t="shared" ref="B127:B151" si="278">IFERROR(CONCATENATE(ROUND(B$126*STN_GAP,3),",",ROUND(Y_Shift_HB+BF3,3)," "),"")</f>
        <v xml:space="preserve">0,-16.833 </v>
      </c>
      <c r="C127" s="380" t="str">
        <f t="shared" ref="C127:C151" si="279">IFERROR(CONCATENATE(ROUND(C$126*STN_GAP,3),",",ROUND(Y_Shift_HB+BG3,3)," "),"")</f>
        <v xml:space="preserve">3.655,-16.733 </v>
      </c>
      <c r="D127" s="380" t="str">
        <f t="shared" ref="D127:D151" si="280">IFERROR(CONCATENATE(ROUND(D$126*STN_GAP,3),",",ROUND(Y_Shift_HB+BH3,3)," "),"")</f>
        <v xml:space="preserve">7.31,-16.533 </v>
      </c>
      <c r="E127" s="380" t="str">
        <f t="shared" ref="E127:E151" si="281">IFERROR(CONCATENATE(ROUND(E$126*STN_GAP,3),",",ROUND(Y_Shift_HB+BI3,3)," "),"")</f>
        <v xml:space="preserve">10.965,-16.333 </v>
      </c>
      <c r="F127" s="380" t="str">
        <f t="shared" ref="F127:F151" si="282">IFERROR(CONCATENATE(ROUND(F$126*STN_GAP,3),",",ROUND(Y_Shift_HB+BJ3,3)," "),"")</f>
        <v xml:space="preserve">14.62,-15.933 </v>
      </c>
      <c r="G127" s="380" t="str">
        <f t="shared" ref="G127:G151" si="283">IFERROR(CONCATENATE(ROUND(G$126*STN_GAP,3),",",ROUND(Y_Shift_HB+BK3,3)," "),"")</f>
        <v xml:space="preserve">21.93,-14.933 </v>
      </c>
      <c r="H127" s="380" t="str">
        <f t="shared" ref="H127:H151" si="284">IFERROR(CONCATENATE(ROUND(H$126*STN_GAP,3),",",ROUND(Y_Shift_HB+BL3,3)," "),"")</f>
        <v xml:space="preserve">29.24,-13.033 </v>
      </c>
      <c r="I127" s="380" t="str">
        <f t="shared" ref="I127:I151" si="285">IFERROR(CONCATENATE(ROUND(I$126*STN_GAP,3),",",ROUND(Y_Shift_HB+BM3,3)," "),"")</f>
        <v xml:space="preserve">36.55,-10.933 </v>
      </c>
      <c r="J127" s="380" t="str">
        <f t="shared" ref="J127:J151" si="286">IFERROR(CONCATENATE(ROUND(J$126*STN_GAP,3),",",ROUND(Y_Shift_HB+BN3,3)," "),"")</f>
        <v xml:space="preserve">43.86,-8.933 </v>
      </c>
      <c r="K127" s="380" t="str">
        <f t="shared" ref="K127:K151" si="287">IFERROR(CONCATENATE(ROUND(K$126*STN_GAP,3),",",ROUND(Y_Shift_HB+BO3,3)," "),"")</f>
        <v xml:space="preserve">51.17,-7.833 </v>
      </c>
      <c r="L127" s="380" t="str">
        <f t="shared" ref="L127:L151" si="288">IFERROR(CONCATENATE(ROUND(L$126*STN_GAP,3),",",ROUND(Y_Shift_HB+BP3,3)," "),"")</f>
        <v xml:space="preserve">58.48,-7.333 </v>
      </c>
      <c r="M127" s="380" t="str">
        <f t="shared" ref="M127:M151" si="289">IFERROR(CONCATENATE(ROUND(M$126*STN_GAP,3),",",ROUND(Y_Shift_HB+BQ3,3)," "),"")</f>
        <v xml:space="preserve">65.79,-7.133 </v>
      </c>
      <c r="N127" s="380" t="str">
        <f t="shared" ref="N127:N151" si="290">IFERROR(CONCATENATE(ROUND(N$126*STN_GAP,3),",",ROUND(Y_Shift_HB+BR3,3)," "),"")</f>
        <v xml:space="preserve">73.1,-7.133 </v>
      </c>
      <c r="O127" s="380" t="str">
        <f t="shared" ref="O127:O151" si="291">IFERROR(CONCATENATE(ROUND(O$126*STN_GAP,3),",",ROUND(Y_Shift_HB+BS3,3)," "),"")</f>
        <v xml:space="preserve">80.41,-7.133 </v>
      </c>
      <c r="P127" s="380" t="str">
        <f t="shared" ref="P127:P151" si="292">IFERROR(CONCATENATE(ROUND(P$126*STN_GAP,3),",",ROUND(Y_Shift_HB+BT3,3)," "),"")</f>
        <v xml:space="preserve">87.72,-7.133 </v>
      </c>
      <c r="Q127" s="380" t="str">
        <f t="shared" ref="Q127:Q151" si="293">IFERROR(CONCATENATE(ROUND(Q$126*STN_GAP,3),",",ROUND(Y_Shift_HB+BU3,3)," "),"")</f>
        <v xml:space="preserve">95.03,-7.133 </v>
      </c>
      <c r="R127" s="380" t="str">
        <f t="shared" ref="R127:R151" si="294">IFERROR(CONCATENATE(ROUND(R$126*STN_GAP,3),",",ROUND(Y_Shift_HB+BV3,3)," "),"")</f>
        <v xml:space="preserve">102.34,-7.333 </v>
      </c>
      <c r="S127" s="380" t="str">
        <f t="shared" ref="S127:S151" si="295">IFERROR(CONCATENATE(ROUND(S$126*STN_GAP,3),",",ROUND(Y_Shift_HB+BW3,3)," "),"")</f>
        <v xml:space="preserve">109.65,-7.933 </v>
      </c>
      <c r="T127" s="380" t="str">
        <f t="shared" ref="T127:T151" si="296">IFERROR(CONCATENATE(ROUND(T$126*STN_GAP,3),",",ROUND(Y_Shift_HB+BX3,3)," "),"")</f>
        <v xml:space="preserve">116.96,-9.233 </v>
      </c>
      <c r="U127" s="380" t="str">
        <f t="shared" ref="U127:U151" si="297">IFERROR(CONCATENATE(ROUND(U$126*STN_GAP,3),",",ROUND(Y_Shift_HB+BY3,3)," "),"")</f>
        <v xml:space="preserve">124.27,-11.233 </v>
      </c>
      <c r="V127" s="380" t="str">
        <f t="shared" ref="V127:V151" si="298">IFERROR(CONCATENATE(ROUND(V$126*STN_GAP,3),",",ROUND(Y_Shift_HB+BZ3,3)," "),"")</f>
        <v xml:space="preserve">131.58,-13.333 </v>
      </c>
      <c r="W127" s="380" t="str">
        <f t="shared" ref="W127:W151" si="299">IFERROR(CONCATENATE(ROUND(W$126*STN_GAP,3),",",ROUND(Y_Shift_HB+CA3,3)," "),"")</f>
        <v xml:space="preserve">135.235,-14.533 </v>
      </c>
      <c r="X127" s="380" t="str">
        <f t="shared" ref="X127:X151" si="300">IFERROR(CONCATENATE(ROUND(X$126*STN_GAP,3),",",ROUND(Y_Shift_HB+CB3,3)," "),"")</f>
        <v xml:space="preserve">138.89,-15.533 </v>
      </c>
      <c r="Y127" s="380" t="str">
        <f t="shared" ref="Y127:Y151" si="301">IFERROR(CONCATENATE(ROUND(Y$126*STN_GAP,3),",",ROUND(Y_Shift_HB+CC3,3)," "),"")</f>
        <v xml:space="preserve">142.545,-16.433 </v>
      </c>
      <c r="Z127" s="398" t="str">
        <f t="shared" ref="Z127:Z151" si="302">IFERROR(CONCATENATE(ROUND(Z$126*STN_GAP,3),",",ROUND(Y_Shift_HB+CD3,3)," "),"")</f>
        <v xml:space="preserve">146.2,-16.733 </v>
      </c>
      <c r="AB127" s="248" t="str">
        <f>IF(AC127="","  ",CONCATENATE("Zoom Window ",-LBP/20,",",Tools!Y_Shift_HB-BREADTH*6/10," ",LBP*21/20,",",Tools!Y_Shift_HB+BREADTH*6/10," ","Spline "))</f>
        <v xml:space="preserve">Zoom Window -7.31,-30.0333333333333 153.51,-3.63333333333333 Spline </v>
      </c>
      <c r="AC127" s="248" t="str">
        <f>Tools!B127</f>
        <v xml:space="preserve">0,-16.833 </v>
      </c>
      <c r="AD127" s="248" t="str">
        <f>Tools!C127</f>
        <v xml:space="preserve">3.655,-16.733 </v>
      </c>
      <c r="AE127" s="248" t="str">
        <f>Tools!D127</f>
        <v xml:space="preserve">7.31,-16.533 </v>
      </c>
      <c r="AF127" s="248" t="str">
        <f>Tools!E127</f>
        <v xml:space="preserve">10.965,-16.333 </v>
      </c>
      <c r="AG127" s="248" t="str">
        <f>Tools!F127</f>
        <v xml:space="preserve">14.62,-15.933 </v>
      </c>
      <c r="AH127" s="248" t="str">
        <f>Tools!G127</f>
        <v xml:space="preserve">21.93,-14.933 </v>
      </c>
      <c r="AI127" s="248" t="str">
        <f>Tools!H127</f>
        <v xml:space="preserve">29.24,-13.033 </v>
      </c>
      <c r="AJ127" s="248" t="str">
        <f>Tools!I127</f>
        <v xml:space="preserve">36.55,-10.933 </v>
      </c>
      <c r="AK127" s="248" t="str">
        <f>Tools!J127</f>
        <v xml:space="preserve">43.86,-8.933 </v>
      </c>
      <c r="AL127" s="248" t="str">
        <f>Tools!K127</f>
        <v xml:space="preserve">51.17,-7.833 </v>
      </c>
      <c r="AM127" s="248" t="str">
        <f>Tools!L127</f>
        <v xml:space="preserve">58.48,-7.333 </v>
      </c>
      <c r="AN127" s="248" t="str">
        <f>Tools!M127</f>
        <v xml:space="preserve">65.79,-7.133 </v>
      </c>
      <c r="AO127" s="248" t="str">
        <f>Tools!N127</f>
        <v xml:space="preserve">73.1,-7.133 </v>
      </c>
      <c r="AP127" s="248" t="str">
        <f>Tools!O127</f>
        <v xml:space="preserve">80.41,-7.133 </v>
      </c>
      <c r="AQ127" s="248" t="str">
        <f>Tools!P127</f>
        <v xml:space="preserve">87.72,-7.133 </v>
      </c>
      <c r="AR127" s="248" t="str">
        <f>Tools!Q127</f>
        <v xml:space="preserve">95.03,-7.133 </v>
      </c>
      <c r="AS127" s="248" t="str">
        <f>Tools!R127</f>
        <v xml:space="preserve">102.34,-7.333 </v>
      </c>
      <c r="AT127" s="248" t="str">
        <f>Tools!S127</f>
        <v xml:space="preserve">109.65,-7.933 </v>
      </c>
      <c r="AU127" s="248" t="str">
        <f>Tools!T127</f>
        <v xml:space="preserve">116.96,-9.233 </v>
      </c>
      <c r="AV127" s="248" t="str">
        <f>Tools!U127</f>
        <v xml:space="preserve">124.27,-11.233 </v>
      </c>
      <c r="AW127" s="248" t="str">
        <f>Tools!V127</f>
        <v xml:space="preserve">131.58,-13.333 </v>
      </c>
      <c r="AX127" s="248" t="str">
        <f>Tools!W127</f>
        <v xml:space="preserve">135.235,-14.533 </v>
      </c>
      <c r="AY127" s="248" t="str">
        <f>Tools!X127</f>
        <v xml:space="preserve">138.89,-15.533 </v>
      </c>
      <c r="AZ127" s="248" t="str">
        <f>Tools!Y127</f>
        <v xml:space="preserve">142.545,-16.433 </v>
      </c>
      <c r="BA127" s="399" t="str">
        <f>Tools!Z127</f>
        <v xml:space="preserve">146.2,-16.733 </v>
      </c>
      <c r="BC127" s="277" t="str">
        <f>Offset!Q2</f>
        <v>Station:</v>
      </c>
      <c r="BD127" s="280" t="str">
        <f>Offset!R2</f>
        <v>Rise (in meters)</v>
      </c>
      <c r="BE127" s="280"/>
      <c r="BF127" s="280" t="s">
        <v>101</v>
      </c>
      <c r="BG127" s="280" t="s">
        <v>102</v>
      </c>
      <c r="BH127" s="280" t="s">
        <v>104</v>
      </c>
      <c r="BI127" s="280" t="s">
        <v>105</v>
      </c>
      <c r="BJ127" s="280" t="s">
        <v>106</v>
      </c>
      <c r="BK127" s="280" t="s">
        <v>107</v>
      </c>
      <c r="BL127" s="280" t="s">
        <v>108</v>
      </c>
      <c r="BM127" s="280"/>
      <c r="BN127" s="280"/>
      <c r="BO127" s="280"/>
      <c r="BP127" s="280"/>
      <c r="BQ127" s="294"/>
      <c r="BR127" s="280"/>
      <c r="BS127" s="280"/>
      <c r="BT127" s="280"/>
      <c r="BU127" s="280"/>
      <c r="BV127" s="280"/>
      <c r="BW127" s="280"/>
      <c r="BX127" s="280"/>
      <c r="BY127" s="280"/>
      <c r="BZ127" s="280"/>
      <c r="CA127" s="280"/>
      <c r="CB127" s="280"/>
      <c r="CC127" s="280"/>
      <c r="CD127" s="280"/>
      <c r="CE127" s="280"/>
      <c r="CF127" s="280"/>
      <c r="CG127" s="280"/>
      <c r="CH127" s="280"/>
      <c r="CI127" s="280"/>
      <c r="CJ127" s="280"/>
      <c r="CK127" s="280"/>
      <c r="CL127" s="280"/>
      <c r="CM127" s="279"/>
      <c r="CO127" s="458">
        <v>0</v>
      </c>
      <c r="CP127" s="458" t="e">
        <v>#N/A</v>
      </c>
      <c r="CQ127" s="458">
        <v>-0.1</v>
      </c>
      <c r="CR127" s="458">
        <v>-0.3</v>
      </c>
      <c r="CS127" s="458">
        <v>-0.5</v>
      </c>
      <c r="CT127" s="458">
        <v>-0.9</v>
      </c>
      <c r="CU127" s="458">
        <v>-1.9</v>
      </c>
      <c r="CV127" s="458">
        <v>-3.8</v>
      </c>
      <c r="CW127" s="458">
        <v>-5.9</v>
      </c>
      <c r="CX127" s="458">
        <v>-7.9</v>
      </c>
      <c r="CY127" s="458">
        <v>-9</v>
      </c>
      <c r="CZ127" s="458">
        <v>-9.5</v>
      </c>
      <c r="DA127" s="458">
        <v>-9.6999999999999993</v>
      </c>
      <c r="DB127" s="458">
        <v>-9.6999999999999993</v>
      </c>
      <c r="DC127" s="458">
        <v>9.6999999999999993</v>
      </c>
      <c r="DD127" s="458">
        <v>9.6999999999999993</v>
      </c>
      <c r="DE127" s="458">
        <v>9.6999999999999993</v>
      </c>
      <c r="DF127" s="458">
        <v>9.5</v>
      </c>
      <c r="DG127" s="458">
        <v>8.9</v>
      </c>
      <c r="DH127" s="458">
        <v>7.6</v>
      </c>
      <c r="DI127" s="458">
        <v>5.6</v>
      </c>
      <c r="DJ127" s="458">
        <v>3.5</v>
      </c>
      <c r="DK127" s="458">
        <v>2.2999999999999998</v>
      </c>
      <c r="DL127" s="458">
        <v>1.3</v>
      </c>
      <c r="DM127" s="458">
        <v>0.4</v>
      </c>
      <c r="DN127" s="458">
        <v>0.1</v>
      </c>
      <c r="DP127" s="462">
        <f t="shared" si="269"/>
        <v>3.6549999999999998</v>
      </c>
      <c r="DQ127" s="462" t="str">
        <f t="shared" si="270"/>
        <v/>
      </c>
      <c r="DR127" s="462" t="str">
        <f t="shared" ref="DR127:EO127" si="303">IFERROR(CONCATENATE(ROUND($DP127,3),",",ROUND(ABS(DK99),3),",",ROUND(EM99,3)," "),"")</f>
        <v xml:space="preserve">3.655,0.1,0 </v>
      </c>
      <c r="DS127" s="462" t="str">
        <f t="shared" si="303"/>
        <v xml:space="preserve">3.655,0.2,0.5 </v>
      </c>
      <c r="DT127" s="462" t="str">
        <f t="shared" si="303"/>
        <v xml:space="preserve">3.655,0.2,1 </v>
      </c>
      <c r="DU127" s="462" t="str">
        <f t="shared" si="303"/>
        <v xml:space="preserve">3.655,0.21,1.5 </v>
      </c>
      <c r="DV127" s="462" t="str">
        <f t="shared" si="303"/>
        <v xml:space="preserve">3.655,0.25,2 </v>
      </c>
      <c r="DW127" s="462" t="str">
        <f t="shared" si="303"/>
        <v xml:space="preserve">3.655,0.33,4 </v>
      </c>
      <c r="DX127" s="462" t="str">
        <f t="shared" si="303"/>
        <v xml:space="preserve">3.655,0.66,6 </v>
      </c>
      <c r="DY127" s="462" t="str">
        <f t="shared" si="303"/>
        <v xml:space="preserve">3.655,2.43,8 </v>
      </c>
      <c r="DZ127" s="462" t="str">
        <f t="shared" si="303"/>
        <v xml:space="preserve">3.655,4.18,9.7 </v>
      </c>
      <c r="EA127" s="462" t="str">
        <f t="shared" si="303"/>
        <v xml:space="preserve">3.655,4.39,10 </v>
      </c>
      <c r="EB127" s="462" t="str">
        <f t="shared" si="303"/>
        <v xml:space="preserve">3.655,5.43,12 </v>
      </c>
      <c r="EC127" s="462" t="str">
        <f t="shared" si="303"/>
        <v xml:space="preserve">3.655,5.85,13 </v>
      </c>
      <c r="ED127" s="462" t="str">
        <f t="shared" si="303"/>
        <v/>
      </c>
      <c r="EE127" s="462" t="str">
        <f t="shared" si="303"/>
        <v/>
      </c>
      <c r="EF127" s="462" t="str">
        <f t="shared" si="303"/>
        <v/>
      </c>
      <c r="EG127" s="462" t="str">
        <f t="shared" si="303"/>
        <v/>
      </c>
      <c r="EH127" s="462" t="str">
        <f t="shared" si="303"/>
        <v/>
      </c>
      <c r="EI127" s="462" t="str">
        <f t="shared" si="303"/>
        <v/>
      </c>
      <c r="EJ127" s="462" t="str">
        <f t="shared" si="303"/>
        <v/>
      </c>
      <c r="EK127" s="462" t="str">
        <f t="shared" si="303"/>
        <v/>
      </c>
      <c r="EL127" s="462" t="str">
        <f t="shared" si="303"/>
        <v/>
      </c>
      <c r="EM127" s="462" t="str">
        <f t="shared" si="303"/>
        <v/>
      </c>
      <c r="EN127" s="462" t="str">
        <f t="shared" si="303"/>
        <v/>
      </c>
      <c r="EO127" s="462" t="str">
        <f t="shared" si="303"/>
        <v/>
      </c>
      <c r="EP127" s="462" t="str">
        <f t="shared" si="270"/>
        <v/>
      </c>
      <c r="ER127" s="461" t="str">
        <f t="shared" ref="ER127:ER150" si="304">CONCATENATE(DQ127,DR127,DS127,DT127,DU127,DV127,DW127,DX127,DY127,DZ127,EA127,EB127,EC127,ED127,EE127,EF127,EG127,EH127,EI127,EJ127,EK127,EL127,EM127,EN127,EO127,EP127)</f>
        <v xml:space="preserve">3.655,0.1,0 3.655,0.2,0.5 3.655,0.2,1 3.655,0.21,1.5 3.655,0.25,2 3.655,0.33,4 3.655,0.66,6 3.655,2.43,8 3.655,4.18,9.7 3.655,4.39,10 3.655,5.43,12 3.655,5.85,13 </v>
      </c>
      <c r="ES127" s="189" t="str">
        <f ca="1">IF(ER127="","",CONCATENATE("Spline ",DP127,",",0,",",EV127," ",ER127," "))</f>
        <v xml:space="preserve">Spline 3.655,0,0 3.655,0.1,0 3.655,0.2,0.5 3.655,0.2,1 3.655,0.21,1.5 3.655,0.25,2 3.655,0.33,4 3.655,0.66,6 3.655,2.43,8 3.655,4.18,9.7 3.655,4.39,10 3.655,5.43,12 3.655,5.85,13  </v>
      </c>
      <c r="ET127" s="132" t="str">
        <f t="shared" ref="ET127:ET150" ca="1" si="305">IF(ER127="","",CONCATENATE("Spline ",DP127,",",0,",",EV127," ",ER127," "))</f>
        <v xml:space="preserve">Spline 3.655,0,0 3.655,0.1,0 3.655,0.2,0.5 3.655,0.2,1 3.655,0.21,1.5 3.655,0.25,2 3.655,0.33,4 3.655,0.66,6 3.655,2.43,8 3.655,4.18,9.7 3.655,4.39,10 3.655,5.43,12 3.655,5.85,13  </v>
      </c>
      <c r="EU127" s="132">
        <f ca="1">COUNTIF(BP_2,NA())</f>
        <v>0</v>
      </c>
      <c r="EV127" s="132">
        <f t="shared" ca="1" si="271"/>
        <v>0</v>
      </c>
      <c r="EW127" s="132">
        <v>2</v>
      </c>
      <c r="EX127" s="132" t="str">
        <f t="shared" si="272"/>
        <v xml:space="preserve">3.655,5.85,13 </v>
      </c>
      <c r="EY127" s="132" t="str">
        <f t="shared" ca="1" si="273"/>
        <v xml:space="preserve">Spline 3.655,0,0 3.655,5.85,13 3.655,5.43,12 3.655,4.39,10 3.655,4.18,9.7 3.655,2.43,8 3.655,0.66,6 3.655,0.33,4 3.655,0.25,2 3.655,0.21,1.5 3.655,0.2,1 3.655,0.2,0.5 3.655,0.1,0 </v>
      </c>
      <c r="EZ127" s="189" t="str">
        <f t="shared" ref="EZ127:EZ150" si="306">CONCATENATE(DQ127,DR127,DS127,DT127,DU127,DV127,DW127,DX127,DY127,DZ127,EA127,EB127,EC127,ED127,EE127,EF127,EG127,EH127,EI127,EJ127,EK127,EL127,EM127,EN127,EO127,EP127," ")</f>
        <v xml:space="preserve">3.655,0.1,0 3.655,0.2,0.5 3.655,0.2,1 3.655,0.21,1.5 3.655,0.25,2 3.655,0.33,4 3.655,0.66,6 3.655,2.43,8 3.655,4.18,9.7 3.655,4.39,10 3.655,5.43,12 3.655,5.85,13  </v>
      </c>
      <c r="FB127" s="462">
        <f t="shared" si="274"/>
        <v>3.6549999999999998</v>
      </c>
      <c r="FC127" s="464" t="str">
        <f t="shared" ref="FC127:FC150" si="307">IFERROR(CONCATENATE(ROUND($DP127,3),",",-ROUND(ABS(DJ99),3),",",ROUND(EL99,3),""),"")</f>
        <v/>
      </c>
      <c r="FD127" s="462" t="str">
        <f t="shared" ref="FD127:GB127" si="308">IFERROR(CONCATENATE(ROUND($DP127,3),",",-ROUND(ABS(DK99),3),",",ROUND(EM99,3)," "),"")</f>
        <v xml:space="preserve">3.655,-0.1,0 </v>
      </c>
      <c r="FE127" s="462" t="str">
        <f t="shared" si="308"/>
        <v xml:space="preserve">3.655,-0.2,0.5 </v>
      </c>
      <c r="FF127" s="462" t="str">
        <f t="shared" si="308"/>
        <v xml:space="preserve">3.655,-0.2,1 </v>
      </c>
      <c r="FG127" s="462" t="str">
        <f t="shared" si="308"/>
        <v xml:space="preserve">3.655,-0.21,1.5 </v>
      </c>
      <c r="FH127" s="462" t="str">
        <f t="shared" si="308"/>
        <v xml:space="preserve">3.655,-0.25,2 </v>
      </c>
      <c r="FI127" s="462" t="str">
        <f t="shared" si="308"/>
        <v xml:space="preserve">3.655,-0.33,4 </v>
      </c>
      <c r="FJ127" s="462" t="str">
        <f t="shared" si="308"/>
        <v xml:space="preserve">3.655,-0.66,6 </v>
      </c>
      <c r="FK127" s="462" t="str">
        <f t="shared" si="308"/>
        <v xml:space="preserve">3.655,-2.43,8 </v>
      </c>
      <c r="FL127" s="462" t="str">
        <f t="shared" si="308"/>
        <v xml:space="preserve">3.655,-4.18,9.7 </v>
      </c>
      <c r="FM127" s="462" t="str">
        <f t="shared" si="308"/>
        <v xml:space="preserve">3.655,-4.39,10 </v>
      </c>
      <c r="FN127" s="462" t="str">
        <f t="shared" si="308"/>
        <v xml:space="preserve">3.655,-5.43,12 </v>
      </c>
      <c r="FO127" s="462" t="str">
        <f t="shared" si="308"/>
        <v xml:space="preserve">3.655,-5.85,13 </v>
      </c>
      <c r="FP127" s="462" t="str">
        <f t="shared" si="308"/>
        <v/>
      </c>
      <c r="FQ127" s="462" t="str">
        <f t="shared" si="308"/>
        <v/>
      </c>
      <c r="FR127" s="462" t="str">
        <f t="shared" si="308"/>
        <v/>
      </c>
      <c r="FS127" s="462" t="str">
        <f t="shared" si="308"/>
        <v/>
      </c>
      <c r="FT127" s="462" t="str">
        <f t="shared" si="308"/>
        <v/>
      </c>
      <c r="FU127" s="462" t="str">
        <f t="shared" si="308"/>
        <v/>
      </c>
      <c r="FV127" s="462" t="str">
        <f t="shared" si="308"/>
        <v/>
      </c>
      <c r="FW127" s="462" t="str">
        <f t="shared" si="308"/>
        <v/>
      </c>
      <c r="FX127" s="462" t="str">
        <f t="shared" si="308"/>
        <v/>
      </c>
      <c r="FY127" s="462" t="str">
        <f t="shared" si="308"/>
        <v/>
      </c>
      <c r="FZ127" s="462" t="str">
        <f t="shared" si="308"/>
        <v/>
      </c>
      <c r="GA127" s="462" t="str">
        <f t="shared" si="308"/>
        <v/>
      </c>
      <c r="GB127" s="462" t="str">
        <f t="shared" si="308"/>
        <v/>
      </c>
      <c r="GC127" s="132" t="str">
        <f t="shared" ref="GC127:GC150" si="309">CONCATENATE(EP127,EO127,EN127,EM127,EL127,EL127,EK127,EJ127,EI127,EH127,EG127,EF127,EE127,ED127,EC127,EB127,EA127,DZ127,DY127,DX127,DW127,DV127,DU127,DT127,DS127,DR127,DQ127)</f>
        <v xml:space="preserve">3.655,5.85,13 3.655,5.43,12 3.655,4.39,10 3.655,4.18,9.7 3.655,2.43,8 3.655,0.66,6 3.655,0.33,4 3.655,0.25,2 3.655,0.21,1.5 3.655,0.2,1 3.655,0.2,0.5 3.655,0.1,0 </v>
      </c>
      <c r="GD127" s="132" t="str">
        <f t="shared" ca="1" si="276"/>
        <v>Spline 3.655,5.85,13 3.655,5.43,12 3.655,4.39,10 3.655,4.18,9.7 3.655,2.43,8 3.655,0.66,6 3.655,0.33,4 3.655,0.25,2 3.655,0.21,1.5 3.655,0.2,1 3.655,0.2,0.5 3.655,0.1,0 3.655,0,0</v>
      </c>
      <c r="GE127" s="465" t="str">
        <f t="shared" ref="GE127:GE150" si="310">CONCATENATE(FD127,FE127,FF127,FG127,FH127,FI127,FJ127,FK127,FL127,FM127,FN127,FO127,FP127,FQ127,FR127,FS127,FT127,FU127,FV127,FW127,FX127,FY127,FZ127,GA127,GB127)</f>
        <v xml:space="preserve">3.655,-0.1,0 3.655,-0.2,0.5 3.655,-0.2,1 3.655,-0.21,1.5 3.655,-0.25,2 3.655,-0.33,4 3.655,-0.66,6 3.655,-2.43,8 3.655,-4.18,9.7 3.655,-4.39,10 3.655,-5.43,12 3.655,-5.85,13 </v>
      </c>
      <c r="GH127" s="132" t="str">
        <f t="shared" ref="GH127:GH150" si="311">CONCATENATE("Spline ",EP127,EO127,EN127,EM127,EL127,EL127,EK127,EJ127,EI127,EH127,EG127,EF127,EE127,ED127,EC127,EB127,EA127,DZ127,DY127,DX127,DW127,DV127,DU127,DT127,DS127,DR127,FC127,IF(AE4=0," ",CONCATENATE("T ",FB127,",0,0 ")))</f>
        <v xml:space="preserve">Spline 3.655,5.85,13 3.655,5.43,12 3.655,4.39,10 3.655,4.18,9.7 3.655,2.43,8 3.655,0.66,6 3.655,0.33,4 3.655,0.25,2 3.655,0.21,1.5 3.655,0.2,1 3.655,0.2,0.5 3.655,0.1,0 T 3.655,0,0 </v>
      </c>
      <c r="GI127" s="132" t="str">
        <f t="shared" ref="GI127:GI149" si="312">IF(AE4=0,"",CONCATENATE("Spline ",FB127,",",AE4,",0 ",FB127,",0,0  Join ",FB127,",0,0  ",EX127))</f>
        <v xml:space="preserve">Spline 3.655,0.1,0 3.655,0,0  Join 3.655,0,0  3.655,5.85,13 </v>
      </c>
      <c r="GP127" s="132" t="str">
        <f t="shared" si="277"/>
        <v xml:space="preserve">3.655,0,0 </v>
      </c>
      <c r="GQ127" s="132" t="str">
        <f t="shared" ref="GQ127:GQ150" si="313">CONCATENATE("Curve ",EP127,EO127,EN127,EM127,EL127,EK127,EJ127,EI127,EH127,EG127,EF127,EE127,ED127,EC127,EB127,EA127,DZ127,DY127,DX127,DW127,DV127,DU127,DT127,DS127,DR127,GP127,"_enter")</f>
        <v>Curve 3.655,5.85,13 3.655,5.43,12 3.655,4.39,10 3.655,4.18,9.7 3.655,2.43,8 3.655,0.66,6 3.655,0.33,4 3.655,0.25,2 3.655,0.21,1.5 3.655,0.2,1 3.655,0.2,0.5 3.655,0.1,0 3.655,0,0 _enter</v>
      </c>
    </row>
    <row r="128" spans="1:199" x14ac:dyDescent="0.25">
      <c r="A128" s="377">
        <f t="shared" si="268"/>
        <v>0.25</v>
      </c>
      <c r="B128" s="380" t="str">
        <f t="shared" si="278"/>
        <v xml:space="preserve">0,-16.833 </v>
      </c>
      <c r="C128" s="380" t="str">
        <f t="shared" si="279"/>
        <v xml:space="preserve">3.655,-16.633 </v>
      </c>
      <c r="D128" s="380" t="str">
        <f t="shared" si="280"/>
        <v xml:space="preserve">7.31,-16.333 </v>
      </c>
      <c r="E128" s="380" t="str">
        <f t="shared" si="281"/>
        <v xml:space="preserve">10.965,-15.843 </v>
      </c>
      <c r="F128" s="380" t="str">
        <f t="shared" si="282"/>
        <v xml:space="preserve">14.62,-15.243 </v>
      </c>
      <c r="G128" s="380" t="str">
        <f t="shared" si="283"/>
        <v xml:space="preserve">21.93,-13.513 </v>
      </c>
      <c r="H128" s="380" t="str">
        <f t="shared" si="284"/>
        <v xml:space="preserve">29.24,-11.503 </v>
      </c>
      <c r="I128" s="380" t="str">
        <f t="shared" si="285"/>
        <v xml:space="preserve">36.55,-9.573 </v>
      </c>
      <c r="J128" s="380" t="str">
        <f t="shared" si="286"/>
        <v xml:space="preserve">43.86,-7.933 </v>
      </c>
      <c r="K128" s="380" t="str">
        <f t="shared" si="287"/>
        <v xml:space="preserve">51.17,-7.003 </v>
      </c>
      <c r="L128" s="380" t="str">
        <f t="shared" si="288"/>
        <v xml:space="preserve">58.48,-6.503 </v>
      </c>
      <c r="M128" s="380" t="str">
        <f t="shared" si="289"/>
        <v xml:space="preserve">65.79,-6.383 </v>
      </c>
      <c r="N128" s="380" t="str">
        <f t="shared" si="290"/>
        <v xml:space="preserve">73.1,-6.383 </v>
      </c>
      <c r="O128" s="380" t="str">
        <f t="shared" si="291"/>
        <v xml:space="preserve">80.41,-6.383 </v>
      </c>
      <c r="P128" s="380" t="str">
        <f t="shared" si="292"/>
        <v xml:space="preserve">87.72,-6.383 </v>
      </c>
      <c r="Q128" s="380" t="str">
        <f t="shared" si="293"/>
        <v xml:space="preserve">95.03,-6.383 </v>
      </c>
      <c r="R128" s="380" t="str">
        <f t="shared" si="294"/>
        <v xml:space="preserve">102.34,-6.513 </v>
      </c>
      <c r="S128" s="380" t="str">
        <f t="shared" si="295"/>
        <v xml:space="preserve">109.65,-7.073 </v>
      </c>
      <c r="T128" s="380" t="str">
        <f t="shared" si="296"/>
        <v xml:space="preserve">116.96,-8.193 </v>
      </c>
      <c r="U128" s="380" t="str">
        <f t="shared" si="297"/>
        <v xml:space="preserve">124.27,-9.943 </v>
      </c>
      <c r="V128" s="380" t="str">
        <f t="shared" si="298"/>
        <v xml:space="preserve">131.58,-12.183 </v>
      </c>
      <c r="W128" s="380" t="str">
        <f t="shared" si="299"/>
        <v xml:space="preserve">135.235,-13.403 </v>
      </c>
      <c r="X128" s="380" t="str">
        <f t="shared" si="300"/>
        <v xml:space="preserve">138.89,-14.533 </v>
      </c>
      <c r="Y128" s="380" t="str">
        <f t="shared" si="301"/>
        <v xml:space="preserve">142.545,-15.623 </v>
      </c>
      <c r="Z128" s="398" t="str">
        <f t="shared" si="302"/>
        <v xml:space="preserve">146.2,-16.033 </v>
      </c>
      <c r="AB128" s="248" t="str">
        <f t="shared" ref="AB128:AB151" si="314">IF(AC128="","  ","Spline ")</f>
        <v xml:space="preserve">Spline </v>
      </c>
      <c r="AC128" s="248" t="str">
        <f>Tools!B128</f>
        <v xml:space="preserve">0,-16.833 </v>
      </c>
      <c r="AD128" s="248" t="str">
        <f>Tools!C128</f>
        <v xml:space="preserve">3.655,-16.633 </v>
      </c>
      <c r="AE128" s="248" t="str">
        <f>Tools!D128</f>
        <v xml:space="preserve">7.31,-16.333 </v>
      </c>
      <c r="AF128" s="248" t="str">
        <f>Tools!E128</f>
        <v xml:space="preserve">10.965,-15.843 </v>
      </c>
      <c r="AG128" s="248" t="str">
        <f>Tools!F128</f>
        <v xml:space="preserve">14.62,-15.243 </v>
      </c>
      <c r="AH128" s="248" t="str">
        <f>Tools!G128</f>
        <v xml:space="preserve">21.93,-13.513 </v>
      </c>
      <c r="AI128" s="248" t="str">
        <f>Tools!H128</f>
        <v xml:space="preserve">29.24,-11.503 </v>
      </c>
      <c r="AJ128" s="248" t="str">
        <f>Tools!I128</f>
        <v xml:space="preserve">36.55,-9.573 </v>
      </c>
      <c r="AK128" s="248" t="str">
        <f>Tools!J128</f>
        <v xml:space="preserve">43.86,-7.933 </v>
      </c>
      <c r="AL128" s="248" t="str">
        <f>Tools!K128</f>
        <v xml:space="preserve">51.17,-7.003 </v>
      </c>
      <c r="AM128" s="248" t="str">
        <f>Tools!L128</f>
        <v xml:space="preserve">58.48,-6.503 </v>
      </c>
      <c r="AN128" s="248" t="str">
        <f>Tools!M128</f>
        <v xml:space="preserve">65.79,-6.383 </v>
      </c>
      <c r="AO128" s="248" t="str">
        <f>Tools!N128</f>
        <v xml:space="preserve">73.1,-6.383 </v>
      </c>
      <c r="AP128" s="248" t="str">
        <f>Tools!O128</f>
        <v xml:space="preserve">80.41,-6.383 </v>
      </c>
      <c r="AQ128" s="248" t="str">
        <f>Tools!P128</f>
        <v xml:space="preserve">87.72,-6.383 </v>
      </c>
      <c r="AR128" s="248" t="str">
        <f>Tools!Q128</f>
        <v xml:space="preserve">95.03,-6.383 </v>
      </c>
      <c r="AS128" s="248" t="str">
        <f>Tools!R128</f>
        <v xml:space="preserve">102.34,-6.513 </v>
      </c>
      <c r="AT128" s="248" t="str">
        <f>Tools!S128</f>
        <v xml:space="preserve">109.65,-7.073 </v>
      </c>
      <c r="AU128" s="248" t="str">
        <f>Tools!T128</f>
        <v xml:space="preserve">116.96,-8.193 </v>
      </c>
      <c r="AV128" s="248" t="str">
        <f>Tools!U128</f>
        <v xml:space="preserve">124.27,-9.943 </v>
      </c>
      <c r="AW128" s="248" t="str">
        <f>Tools!V128</f>
        <v xml:space="preserve">131.58,-12.183 </v>
      </c>
      <c r="AX128" s="248" t="str">
        <f>Tools!W128</f>
        <v xml:space="preserve">135.235,-13.403 </v>
      </c>
      <c r="AY128" s="248" t="str">
        <f>Tools!X128</f>
        <v xml:space="preserve">138.89,-14.533 </v>
      </c>
      <c r="AZ128" s="248" t="str">
        <f>Tools!Y128</f>
        <v xml:space="preserve">142.545,-15.623 </v>
      </c>
      <c r="BA128" s="399" t="str">
        <f>Tools!Z128</f>
        <v xml:space="preserve">146.2,-16.033 </v>
      </c>
      <c r="BC128" s="277">
        <f>Offset!Q3</f>
        <v>0</v>
      </c>
      <c r="BD128" s="280">
        <f>IF(ISNUMBER(VLOOKUP(BC128,Offset!Q$2:R$27,2,FALSE)),VLOOKUP(BC128,Offset!Q$2:R$27,2,FALSE),"-")</f>
        <v>7</v>
      </c>
      <c r="BE128" s="280">
        <f t="shared" ref="BE128" si="315">BD128/WLS</f>
        <v>3.5</v>
      </c>
      <c r="BF128" s="280">
        <f t="shared" ref="BF128:BF152" si="316">IF(ISNUMBER($BD128),(VLOOKUP(Stn_WL,OFFSET_A,COUNTIF($BN128:$CL128,TRUE)+2,FALSE)),"#NA")</f>
        <v>4</v>
      </c>
      <c r="BG128" s="280">
        <f t="shared" ref="BG128:BG152" si="317">IF(ISNUMBER($BD128),(VLOOKUP(Stn_WL,OFFSET_A,COUNTIF($BN128:$CL128,TRUE)+3,FALSE)),"#NA")</f>
        <v>4.8499999999999996</v>
      </c>
      <c r="BH128" s="280">
        <f t="shared" ref="BH128:BH152" si="318">IF(ISNUMBER($BD128),(VLOOKUP(Stn_WL,OFFSET_A,COUNTIF($BN128:$CL128,TRUE)+4,FALSE)),"#NA")</f>
        <v>5</v>
      </c>
      <c r="BI128" s="280">
        <f t="shared" ref="BI128:BI152" si="319">IF(ISNUMBER($BD128),(VLOOKUP(Stn_WL,OFFSET_A,COUNTIF($BN128:$CL128,TRUE)+5,FALSE)),"#NA")</f>
        <v>6</v>
      </c>
      <c r="BJ128" s="280">
        <f t="shared" ref="BJ128:BJ152" si="320">IF(ISNUMBER($BD128),(VLOOKUP(Stn_WL,OFFSET_A,COUNTIF($BN128:$CL128,TRUE)+6,FALSE)),"#NA")</f>
        <v>6.5</v>
      </c>
      <c r="BK128" s="280" t="str">
        <f t="shared" ref="BK128:BK152" si="321">IF(ISNUMBER($BD128),(VLOOKUP(Stn_WL,OFFSET_A,COUNTIF($BN128:$CL128,TRUE)+7,FALSE)),"#NA")</f>
        <v xml:space="preserve">  </v>
      </c>
      <c r="BL128" s="280" t="str">
        <f t="shared" ref="BL128:BL152" si="322">IF(ISNUMBER($BD128),(VLOOKUP(Stn_WL,OFFSET_A,COUNTIF($BN128:$CL128,TRUE)+8,FALSE)),"#NA")</f>
        <v xml:space="preserve">  </v>
      </c>
      <c r="BM128" s="280"/>
      <c r="BN128" s="280" t="b">
        <f t="shared" ref="BN128:BN152" si="323">IF(AE$1&gt;=$BE128,FALSE,TRUE)</f>
        <v>1</v>
      </c>
      <c r="BO128" s="280" t="b">
        <f t="shared" ref="BO128:BO152" si="324">IF(AF$1&gt;=$BE128,FALSE,TRUE)</f>
        <v>1</v>
      </c>
      <c r="BP128" s="280" t="b">
        <f t="shared" ref="BP128:BP152" si="325">IF(AG$1&gt;=$BE128,FALSE,TRUE)</f>
        <v>1</v>
      </c>
      <c r="BQ128" s="280" t="b">
        <f t="shared" ref="BQ128:BQ152" si="326">IF(AH$1&gt;=$BE128,FALSE,TRUE)</f>
        <v>1</v>
      </c>
      <c r="BR128" s="280" t="b">
        <f t="shared" ref="BR128:BR152" si="327">IF(AI$1&gt;=$BE128,FALSE,TRUE)</f>
        <v>1</v>
      </c>
      <c r="BS128" s="280" t="b">
        <f t="shared" ref="BS128:BS152" si="328">IF(AJ$1&gt;=$BE128,FALSE,TRUE)</f>
        <v>1</v>
      </c>
      <c r="BT128" s="280" t="b">
        <f t="shared" ref="BT128:BT152" si="329">IF(AK$1&gt;=$BE128,FALSE,TRUE)</f>
        <v>1</v>
      </c>
      <c r="BU128" s="280" t="b">
        <f t="shared" ref="BU128:BU152" si="330">IF(AL$1&gt;=$BE128,FALSE,TRUE)</f>
        <v>0</v>
      </c>
      <c r="BV128" s="280" t="b">
        <f t="shared" ref="BV128:BV152" si="331">IF(AM$1&gt;=$BE128,FALSE,TRUE)</f>
        <v>0</v>
      </c>
      <c r="BW128" s="280" t="b">
        <f t="shared" ref="BW128:BW152" si="332">IF(AN$1&gt;=$BE128,FALSE,TRUE)</f>
        <v>0</v>
      </c>
      <c r="BX128" s="280" t="b">
        <f>IF(AO$1&gt;$BE128,FALSE,TRUE)</f>
        <v>0</v>
      </c>
      <c r="BY128" s="280" t="b">
        <f t="shared" ref="BY128:BY152" si="333">IF(AP$1&gt;=$BE128,FALSE,TRUE)</f>
        <v>0</v>
      </c>
      <c r="BZ128" s="280" t="b">
        <f t="shared" ref="BZ128:BZ152" si="334">IF(AQ$1&gt;=$BE128,FALSE,TRUE)</f>
        <v>0</v>
      </c>
      <c r="CA128" s="280" t="b">
        <f t="shared" ref="CA128:CA152" si="335">IF(AR$1&gt;=$BE128,FALSE,TRUE)</f>
        <v>0</v>
      </c>
      <c r="CB128" s="280" t="b">
        <f t="shared" ref="CB128:CB152" si="336">IF(AS$1&gt;=$BE128,FALSE,TRUE)</f>
        <v>0</v>
      </c>
      <c r="CC128" s="280" t="b">
        <f t="shared" ref="CC128:CC152" si="337">IF(AT$1&gt;=$BE128,FALSE,TRUE)</f>
        <v>0</v>
      </c>
      <c r="CD128" s="280" t="b">
        <f t="shared" ref="CD128:CD152" si="338">IF(AU$1&gt;=$BE128,FALSE,TRUE)</f>
        <v>0</v>
      </c>
      <c r="CE128" s="280" t="b">
        <f t="shared" ref="CE128:CE152" si="339">IF(AV$1&gt;=$BE128,FALSE,TRUE)</f>
        <v>0</v>
      </c>
      <c r="CF128" s="280" t="b">
        <f t="shared" ref="CF128:CF152" si="340">IF(AW$1&gt;=$BE128,FALSE,TRUE)</f>
        <v>0</v>
      </c>
      <c r="CG128" s="280" t="b">
        <f t="shared" ref="CG128:CG152" si="341">IF(AX$1&gt;=$BE128,FALSE,TRUE)</f>
        <v>0</v>
      </c>
      <c r="CH128" s="280" t="b">
        <f t="shared" ref="CH128:CH152" si="342">IF(AY$1&gt;=$BE128,FALSE,TRUE)</f>
        <v>0</v>
      </c>
      <c r="CI128" s="280" t="b">
        <f t="shared" ref="CI128:CI152" si="343">IF(AZ$1&gt;=$BE128,FALSE,TRUE)</f>
        <v>0</v>
      </c>
      <c r="CJ128" s="280" t="b">
        <f t="shared" ref="CJ128:CJ152" si="344">IF(BA$1&gt;=$BE128,FALSE,TRUE)</f>
        <v>0</v>
      </c>
      <c r="CK128" s="280" t="b">
        <f t="shared" ref="CK128:CK152" si="345">IF(BB$1&gt;=$BE128,FALSE,TRUE)</f>
        <v>0</v>
      </c>
      <c r="CL128" s="280" t="b">
        <f t="shared" ref="CL128:CL152" si="346">IF(BC$1&gt;=$BE128,FALSE,TRUE)</f>
        <v>0</v>
      </c>
      <c r="CM128" s="279">
        <f>COUNTIF(BN128:CL128,TRUE)</f>
        <v>7</v>
      </c>
      <c r="CO128" s="458">
        <v>0.5</v>
      </c>
      <c r="CP128" s="458" t="e">
        <v>#N/A</v>
      </c>
      <c r="CQ128" s="458">
        <v>-0.2</v>
      </c>
      <c r="CR128" s="458">
        <v>-0.5</v>
      </c>
      <c r="CS128" s="458">
        <v>-0.99</v>
      </c>
      <c r="CT128" s="458">
        <v>-1.59</v>
      </c>
      <c r="CU128" s="458">
        <v>-3.32</v>
      </c>
      <c r="CV128" s="458">
        <v>-5.33</v>
      </c>
      <c r="CW128" s="458">
        <v>-7.26</v>
      </c>
      <c r="CX128" s="458">
        <v>-8.9</v>
      </c>
      <c r="CY128" s="458">
        <v>-9.83</v>
      </c>
      <c r="CZ128" s="458">
        <v>-10.33</v>
      </c>
      <c r="DA128" s="458">
        <v>-10.45</v>
      </c>
      <c r="DB128" s="458">
        <v>-10.45</v>
      </c>
      <c r="DC128" s="458">
        <v>10.45</v>
      </c>
      <c r="DD128" s="458">
        <v>10.45</v>
      </c>
      <c r="DE128" s="458">
        <v>10.45</v>
      </c>
      <c r="DF128" s="458">
        <v>10.32</v>
      </c>
      <c r="DG128" s="458">
        <v>9.76</v>
      </c>
      <c r="DH128" s="458">
        <v>8.64</v>
      </c>
      <c r="DI128" s="458">
        <v>6.89</v>
      </c>
      <c r="DJ128" s="458">
        <v>4.6500000000000004</v>
      </c>
      <c r="DK128" s="458">
        <v>3.43</v>
      </c>
      <c r="DL128" s="458">
        <v>2.2999999999999998</v>
      </c>
      <c r="DM128" s="458">
        <v>1.21</v>
      </c>
      <c r="DN128" s="458">
        <v>0.8</v>
      </c>
      <c r="DP128" s="462">
        <f t="shared" si="269"/>
        <v>7.31</v>
      </c>
      <c r="DQ128" s="462" t="str">
        <f t="shared" si="270"/>
        <v/>
      </c>
      <c r="DR128" s="462" t="str">
        <f t="shared" ref="DR128:EO128" si="347">IFERROR(CONCATENATE(ROUND($DP128,3),",",ROUND(ABS(DK100),3),",",ROUND(EM100,3)," "),"")</f>
        <v xml:space="preserve">7.31,0.3,0 </v>
      </c>
      <c r="DS128" s="462" t="str">
        <f t="shared" si="347"/>
        <v xml:space="preserve">7.31,0.5,0.5 </v>
      </c>
      <c r="DT128" s="462" t="str">
        <f t="shared" si="347"/>
        <v xml:space="preserve">7.31,0.68,1 </v>
      </c>
      <c r="DU128" s="462" t="str">
        <f t="shared" si="347"/>
        <v xml:space="preserve">7.31,0.83,1.5 </v>
      </c>
      <c r="DV128" s="462" t="str">
        <f t="shared" si="347"/>
        <v xml:space="preserve">7.31,0.98,2 </v>
      </c>
      <c r="DW128" s="462" t="str">
        <f t="shared" si="347"/>
        <v xml:space="preserve">7.31,1.44,4 </v>
      </c>
      <c r="DX128" s="462" t="str">
        <f t="shared" si="347"/>
        <v xml:space="preserve">7.31,2.27,6 </v>
      </c>
      <c r="DY128" s="462" t="str">
        <f t="shared" si="347"/>
        <v xml:space="preserve">7.31,4.01,8 </v>
      </c>
      <c r="DZ128" s="462" t="str">
        <f t="shared" si="347"/>
        <v xml:space="preserve">7.31,5.57,9.7 </v>
      </c>
      <c r="EA128" s="462" t="str">
        <f t="shared" si="347"/>
        <v xml:space="preserve">7.31,5.78,10 </v>
      </c>
      <c r="EB128" s="462" t="str">
        <f t="shared" si="347"/>
        <v xml:space="preserve">7.31,6.8,12 </v>
      </c>
      <c r="EC128" s="462" t="str">
        <f t="shared" si="347"/>
        <v xml:space="preserve">7.31,7.27,13 </v>
      </c>
      <c r="ED128" s="462" t="str">
        <f t="shared" si="347"/>
        <v/>
      </c>
      <c r="EE128" s="462" t="str">
        <f t="shared" si="347"/>
        <v/>
      </c>
      <c r="EF128" s="462" t="str">
        <f t="shared" si="347"/>
        <v/>
      </c>
      <c r="EG128" s="462" t="str">
        <f t="shared" si="347"/>
        <v/>
      </c>
      <c r="EH128" s="462" t="str">
        <f t="shared" si="347"/>
        <v/>
      </c>
      <c r="EI128" s="462" t="str">
        <f t="shared" si="347"/>
        <v/>
      </c>
      <c r="EJ128" s="462" t="str">
        <f t="shared" si="347"/>
        <v/>
      </c>
      <c r="EK128" s="462" t="str">
        <f t="shared" si="347"/>
        <v/>
      </c>
      <c r="EL128" s="462" t="str">
        <f t="shared" si="347"/>
        <v/>
      </c>
      <c r="EM128" s="462" t="str">
        <f t="shared" si="347"/>
        <v/>
      </c>
      <c r="EN128" s="462" t="str">
        <f t="shared" si="347"/>
        <v/>
      </c>
      <c r="EO128" s="462" t="str">
        <f t="shared" si="347"/>
        <v/>
      </c>
      <c r="EP128" s="462" t="str">
        <f t="shared" si="270"/>
        <v/>
      </c>
      <c r="ER128" s="461" t="str">
        <f t="shared" si="304"/>
        <v xml:space="preserve">7.31,0.3,0 7.31,0.5,0.5 7.31,0.68,1 7.31,0.83,1.5 7.31,0.98,2 7.31,1.44,4 7.31,2.27,6 7.31,4.01,8 7.31,5.57,9.7 7.31,5.78,10 7.31,6.8,12 7.31,7.27,13 </v>
      </c>
      <c r="ES128" s="189" t="str">
        <f t="shared" ref="ES128:ES150" ca="1" si="348">IF(ER128="","",CONCATENATE("Spline ",DP128,",",0,",",EV128," ",ER128," "))</f>
        <v xml:space="preserve">Spline 7.31,0,0 7.31,0.3,0 7.31,0.5,0.5 7.31,0.68,1 7.31,0.83,1.5 7.31,0.98,2 7.31,1.44,4 7.31,2.27,6 7.31,4.01,8 7.31,5.57,9.7 7.31,5.78,10 7.31,6.8,12 7.31,7.27,13  </v>
      </c>
      <c r="ET128" s="132" t="str">
        <f t="shared" ca="1" si="305"/>
        <v xml:space="preserve">Spline 7.31,0,0 7.31,0.3,0 7.31,0.5,0.5 7.31,0.68,1 7.31,0.83,1.5 7.31,0.98,2 7.31,1.44,4 7.31,2.27,6 7.31,4.01,8 7.31,5.57,9.7 7.31,5.78,10 7.31,6.8,12 7.31,7.27,13  </v>
      </c>
      <c r="EU128" s="132">
        <f ca="1">COUNTIF(BP_3,NA())</f>
        <v>0</v>
      </c>
      <c r="EV128" s="132">
        <f t="shared" ca="1" si="271"/>
        <v>0</v>
      </c>
      <c r="EW128" s="132">
        <v>3</v>
      </c>
      <c r="EX128" s="132" t="str">
        <f t="shared" si="272"/>
        <v xml:space="preserve">7.31,7.27,13 </v>
      </c>
      <c r="EY128" s="132" t="str">
        <f t="shared" ca="1" si="273"/>
        <v xml:space="preserve">Spline 7.31,0,0 7.31,7.27,13 7.31,6.8,12 7.31,5.78,10 7.31,5.57,9.7 7.31,4.01,8 7.31,2.27,6 7.31,1.44,4 7.31,0.98,2 7.31,0.83,1.5 7.31,0.68,1 7.31,0.5,0.5 7.31,0.3,0 </v>
      </c>
      <c r="EZ128" s="189" t="str">
        <f t="shared" si="306"/>
        <v xml:space="preserve">7.31,0.3,0 7.31,0.5,0.5 7.31,0.68,1 7.31,0.83,1.5 7.31,0.98,2 7.31,1.44,4 7.31,2.27,6 7.31,4.01,8 7.31,5.57,9.7 7.31,5.78,10 7.31,6.8,12 7.31,7.27,13  </v>
      </c>
      <c r="FB128" s="462">
        <f t="shared" si="274"/>
        <v>7.31</v>
      </c>
      <c r="FC128" s="464" t="str">
        <f t="shared" si="307"/>
        <v/>
      </c>
      <c r="FD128" s="462" t="str">
        <f t="shared" ref="FD128:GB128" si="349">IFERROR(CONCATENATE(ROUND($DP128,3),",",-ROUND(ABS(DK100),3),",",ROUND(EM100,3)," "),"")</f>
        <v xml:space="preserve">7.31,-0.3,0 </v>
      </c>
      <c r="FE128" s="462" t="str">
        <f t="shared" si="349"/>
        <v xml:space="preserve">7.31,-0.5,0.5 </v>
      </c>
      <c r="FF128" s="462" t="str">
        <f t="shared" si="349"/>
        <v xml:space="preserve">7.31,-0.68,1 </v>
      </c>
      <c r="FG128" s="462" t="str">
        <f t="shared" si="349"/>
        <v xml:space="preserve">7.31,-0.83,1.5 </v>
      </c>
      <c r="FH128" s="462" t="str">
        <f t="shared" si="349"/>
        <v xml:space="preserve">7.31,-0.98,2 </v>
      </c>
      <c r="FI128" s="462" t="str">
        <f t="shared" si="349"/>
        <v xml:space="preserve">7.31,-1.44,4 </v>
      </c>
      <c r="FJ128" s="462" t="str">
        <f t="shared" si="349"/>
        <v xml:space="preserve">7.31,-2.27,6 </v>
      </c>
      <c r="FK128" s="462" t="str">
        <f t="shared" si="349"/>
        <v xml:space="preserve">7.31,-4.01,8 </v>
      </c>
      <c r="FL128" s="462" t="str">
        <f t="shared" si="349"/>
        <v xml:space="preserve">7.31,-5.57,9.7 </v>
      </c>
      <c r="FM128" s="462" t="str">
        <f t="shared" si="349"/>
        <v xml:space="preserve">7.31,-5.78,10 </v>
      </c>
      <c r="FN128" s="462" t="str">
        <f t="shared" si="349"/>
        <v xml:space="preserve">7.31,-6.8,12 </v>
      </c>
      <c r="FO128" s="462" t="str">
        <f t="shared" si="349"/>
        <v xml:space="preserve">7.31,-7.27,13 </v>
      </c>
      <c r="FP128" s="462" t="str">
        <f t="shared" si="349"/>
        <v/>
      </c>
      <c r="FQ128" s="462" t="str">
        <f t="shared" si="349"/>
        <v/>
      </c>
      <c r="FR128" s="462" t="str">
        <f t="shared" si="349"/>
        <v/>
      </c>
      <c r="FS128" s="462" t="str">
        <f t="shared" si="349"/>
        <v/>
      </c>
      <c r="FT128" s="462" t="str">
        <f t="shared" si="349"/>
        <v/>
      </c>
      <c r="FU128" s="462" t="str">
        <f t="shared" si="349"/>
        <v/>
      </c>
      <c r="FV128" s="462" t="str">
        <f t="shared" si="349"/>
        <v/>
      </c>
      <c r="FW128" s="462" t="str">
        <f t="shared" si="349"/>
        <v/>
      </c>
      <c r="FX128" s="462" t="str">
        <f t="shared" si="349"/>
        <v/>
      </c>
      <c r="FY128" s="462" t="str">
        <f t="shared" si="349"/>
        <v/>
      </c>
      <c r="FZ128" s="462" t="str">
        <f t="shared" si="349"/>
        <v/>
      </c>
      <c r="GA128" s="462" t="str">
        <f t="shared" si="349"/>
        <v/>
      </c>
      <c r="GB128" s="462" t="str">
        <f t="shared" si="349"/>
        <v/>
      </c>
      <c r="GC128" s="132" t="str">
        <f t="shared" si="309"/>
        <v xml:space="preserve">7.31,7.27,13 7.31,6.8,12 7.31,5.78,10 7.31,5.57,9.7 7.31,4.01,8 7.31,2.27,6 7.31,1.44,4 7.31,0.98,2 7.31,0.83,1.5 7.31,0.68,1 7.31,0.5,0.5 7.31,0.3,0 </v>
      </c>
      <c r="GD128" s="132" t="str">
        <f t="shared" ca="1" si="276"/>
        <v>Spline 7.31,7.27,13 7.31,6.8,12 7.31,5.78,10 7.31,5.57,9.7 7.31,4.01,8 7.31,2.27,6 7.31,1.44,4 7.31,0.98,2 7.31,0.83,1.5 7.31,0.68,1 7.31,0.5,0.5 7.31,0.3,0 7.31,0,0</v>
      </c>
      <c r="GE128" s="465" t="str">
        <f t="shared" si="310"/>
        <v xml:space="preserve">7.31,-0.3,0 7.31,-0.5,0.5 7.31,-0.68,1 7.31,-0.83,1.5 7.31,-0.98,2 7.31,-1.44,4 7.31,-2.27,6 7.31,-4.01,8 7.31,-5.57,9.7 7.31,-5.78,10 7.31,-6.8,12 7.31,-7.27,13 </v>
      </c>
      <c r="GH128" s="132" t="str">
        <f t="shared" si="311"/>
        <v xml:space="preserve">Spline 7.31,7.27,13 7.31,6.8,12 7.31,5.78,10 7.31,5.57,9.7 7.31,4.01,8 7.31,2.27,6 7.31,1.44,4 7.31,0.98,2 7.31,0.83,1.5 7.31,0.68,1 7.31,0.5,0.5 7.31,0.3,0 T 7.31,0,0 </v>
      </c>
      <c r="GI128" s="132" t="str">
        <f t="shared" si="312"/>
        <v xml:space="preserve">Spline 7.31,0.3,0 7.31,0,0  Join 7.31,0,0  7.31,7.27,13 </v>
      </c>
      <c r="GP128" s="132" t="str">
        <f t="shared" si="277"/>
        <v xml:space="preserve">7.31,0,0 </v>
      </c>
      <c r="GQ128" s="132" t="str">
        <f t="shared" si="313"/>
        <v>Curve 7.31,7.27,13 7.31,6.8,12 7.31,5.78,10 7.31,5.57,9.7 7.31,4.01,8 7.31,2.27,6 7.31,1.44,4 7.31,0.98,2 7.31,0.83,1.5 7.31,0.68,1 7.31,0.5,0.5 7.31,0.3,0 7.31,0,0 _enter</v>
      </c>
    </row>
    <row r="129" spans="1:199" x14ac:dyDescent="0.25">
      <c r="A129" s="377">
        <f t="shared" si="268"/>
        <v>0.5</v>
      </c>
      <c r="B129" s="380" t="str">
        <f t="shared" si="278"/>
        <v xml:space="preserve">0,-16.833 </v>
      </c>
      <c r="C129" s="380" t="str">
        <f t="shared" si="279"/>
        <v xml:space="preserve">3.655,-16.633 </v>
      </c>
      <c r="D129" s="380" t="str">
        <f t="shared" si="280"/>
        <v xml:space="preserve">7.31,-16.153 </v>
      </c>
      <c r="E129" s="380" t="str">
        <f t="shared" si="281"/>
        <v xml:space="preserve">10.965,-15.483 </v>
      </c>
      <c r="F129" s="380" t="str">
        <f t="shared" si="282"/>
        <v xml:space="preserve">14.62,-14.693 </v>
      </c>
      <c r="G129" s="380" t="str">
        <f t="shared" si="283"/>
        <v xml:space="preserve">21.93,-12.663 </v>
      </c>
      <c r="H129" s="380" t="str">
        <f t="shared" si="284"/>
        <v xml:space="preserve">29.24,-10.573 </v>
      </c>
      <c r="I129" s="380" t="str">
        <f t="shared" si="285"/>
        <v xml:space="preserve">36.55,-8.713 </v>
      </c>
      <c r="J129" s="380" t="str">
        <f t="shared" si="286"/>
        <v xml:space="preserve">43.86,-7.333 </v>
      </c>
      <c r="K129" s="380" t="str">
        <f t="shared" si="287"/>
        <v xml:space="preserve">51.17,-6.533 </v>
      </c>
      <c r="L129" s="380" t="str">
        <f t="shared" si="288"/>
        <v xml:space="preserve">58.48,-6.163 </v>
      </c>
      <c r="M129" s="380" t="str">
        <f t="shared" si="289"/>
        <v xml:space="preserve">65.79,-6.083 </v>
      </c>
      <c r="N129" s="380" t="str">
        <f t="shared" si="290"/>
        <v xml:space="preserve">73.1,-6.083 </v>
      </c>
      <c r="O129" s="380" t="str">
        <f t="shared" si="291"/>
        <v xml:space="preserve">80.41,-6.083 </v>
      </c>
      <c r="P129" s="380" t="str">
        <f t="shared" si="292"/>
        <v xml:space="preserve">87.72,-6.083 </v>
      </c>
      <c r="Q129" s="380" t="str">
        <f t="shared" si="293"/>
        <v xml:space="preserve">95.03,-6.083 </v>
      </c>
      <c r="R129" s="380" t="str">
        <f t="shared" si="294"/>
        <v xml:space="preserve">102.34,-6.173 </v>
      </c>
      <c r="S129" s="380" t="str">
        <f t="shared" si="295"/>
        <v xml:space="preserve">109.65,-6.633 </v>
      </c>
      <c r="T129" s="380" t="str">
        <f t="shared" si="296"/>
        <v xml:space="preserve">116.96,-7.563 </v>
      </c>
      <c r="U129" s="380" t="str">
        <f t="shared" si="297"/>
        <v xml:space="preserve">124.27,-9.273 </v>
      </c>
      <c r="V129" s="380" t="str">
        <f t="shared" si="298"/>
        <v xml:space="preserve">131.58,-11.483 </v>
      </c>
      <c r="W129" s="380" t="str">
        <f t="shared" si="299"/>
        <v xml:space="preserve">135.235,-12.703 </v>
      </c>
      <c r="X129" s="380" t="str">
        <f t="shared" si="300"/>
        <v xml:space="preserve">138.89,-13.993 </v>
      </c>
      <c r="Y129" s="380" t="str">
        <f t="shared" si="301"/>
        <v xml:space="preserve">142.545,-15.143 </v>
      </c>
      <c r="Z129" s="398" t="str">
        <f t="shared" si="302"/>
        <v xml:space="preserve">146.2,-15.633 </v>
      </c>
      <c r="AB129" s="248" t="str">
        <f t="shared" si="314"/>
        <v xml:space="preserve">Spline </v>
      </c>
      <c r="AC129" s="248" t="str">
        <f>Tools!B129</f>
        <v xml:space="preserve">0,-16.833 </v>
      </c>
      <c r="AD129" s="248" t="str">
        <f>Tools!C129</f>
        <v xml:space="preserve">3.655,-16.633 </v>
      </c>
      <c r="AE129" s="248" t="str">
        <f>Tools!D129</f>
        <v xml:space="preserve">7.31,-16.153 </v>
      </c>
      <c r="AF129" s="248" t="str">
        <f>Tools!E129</f>
        <v xml:space="preserve">10.965,-15.483 </v>
      </c>
      <c r="AG129" s="248" t="str">
        <f>Tools!F129</f>
        <v xml:space="preserve">14.62,-14.693 </v>
      </c>
      <c r="AH129" s="248" t="str">
        <f>Tools!G129</f>
        <v xml:space="preserve">21.93,-12.663 </v>
      </c>
      <c r="AI129" s="248" t="str">
        <f>Tools!H129</f>
        <v xml:space="preserve">29.24,-10.573 </v>
      </c>
      <c r="AJ129" s="248" t="str">
        <f>Tools!I129</f>
        <v xml:space="preserve">36.55,-8.713 </v>
      </c>
      <c r="AK129" s="248" t="str">
        <f>Tools!J129</f>
        <v xml:space="preserve">43.86,-7.333 </v>
      </c>
      <c r="AL129" s="248" t="str">
        <f>Tools!K129</f>
        <v xml:space="preserve">51.17,-6.533 </v>
      </c>
      <c r="AM129" s="248" t="str">
        <f>Tools!L129</f>
        <v xml:space="preserve">58.48,-6.163 </v>
      </c>
      <c r="AN129" s="248" t="str">
        <f>Tools!M129</f>
        <v xml:space="preserve">65.79,-6.083 </v>
      </c>
      <c r="AO129" s="248" t="str">
        <f>Tools!N129</f>
        <v xml:space="preserve">73.1,-6.083 </v>
      </c>
      <c r="AP129" s="248" t="str">
        <f>Tools!O129</f>
        <v xml:space="preserve">80.41,-6.083 </v>
      </c>
      <c r="AQ129" s="248" t="str">
        <f>Tools!P129</f>
        <v xml:space="preserve">87.72,-6.083 </v>
      </c>
      <c r="AR129" s="248" t="str">
        <f>Tools!Q129</f>
        <v xml:space="preserve">95.03,-6.083 </v>
      </c>
      <c r="AS129" s="248" t="str">
        <f>Tools!R129</f>
        <v xml:space="preserve">102.34,-6.173 </v>
      </c>
      <c r="AT129" s="248" t="str">
        <f>Tools!S129</f>
        <v xml:space="preserve">109.65,-6.633 </v>
      </c>
      <c r="AU129" s="248" t="str">
        <f>Tools!T129</f>
        <v xml:space="preserve">116.96,-7.563 </v>
      </c>
      <c r="AV129" s="248" t="str">
        <f>Tools!U129</f>
        <v xml:space="preserve">124.27,-9.273 </v>
      </c>
      <c r="AW129" s="248" t="str">
        <f>Tools!V129</f>
        <v xml:space="preserve">131.58,-11.483 </v>
      </c>
      <c r="AX129" s="248" t="str">
        <f>Tools!W129</f>
        <v xml:space="preserve">135.235,-12.703 </v>
      </c>
      <c r="AY129" s="248" t="str">
        <f>Tools!X129</f>
        <v xml:space="preserve">138.89,-13.993 </v>
      </c>
      <c r="AZ129" s="248" t="str">
        <f>Tools!Y129</f>
        <v xml:space="preserve">142.545,-15.143 </v>
      </c>
      <c r="BA129" s="399" t="str">
        <f>Tools!Z129</f>
        <v xml:space="preserve">146.2,-15.633 </v>
      </c>
      <c r="BC129" s="277">
        <f>Offset!Q4</f>
        <v>0.5</v>
      </c>
      <c r="BD129" s="280" t="str">
        <f>IF(ISNUMBER(VLOOKUP(BC129,Offset!Q$2:R$27,2,FALSE)),VLOOKUP(BC129,Offset!Q$2:R$27,2,FALSE),"-")</f>
        <v>-</v>
      </c>
      <c r="BE129" s="280" t="e">
        <f t="shared" ref="BE129:BE152" si="350">BD129/WLS</f>
        <v>#VALUE!</v>
      </c>
      <c r="BF129" s="280" t="str">
        <f t="shared" si="316"/>
        <v>#NA</v>
      </c>
      <c r="BG129" s="280" t="str">
        <f t="shared" si="317"/>
        <v>#NA</v>
      </c>
      <c r="BH129" s="280" t="str">
        <f t="shared" si="318"/>
        <v>#NA</v>
      </c>
      <c r="BI129" s="280" t="str">
        <f t="shared" si="319"/>
        <v>#NA</v>
      </c>
      <c r="BJ129" s="280" t="str">
        <f t="shared" si="320"/>
        <v>#NA</v>
      </c>
      <c r="BK129" s="280" t="str">
        <f t="shared" si="321"/>
        <v>#NA</v>
      </c>
      <c r="BL129" s="280" t="str">
        <f t="shared" si="322"/>
        <v>#NA</v>
      </c>
      <c r="BM129" s="280"/>
      <c r="BN129" s="280" t="e">
        <f t="shared" si="323"/>
        <v>#VALUE!</v>
      </c>
      <c r="BO129" s="280" t="e">
        <f t="shared" si="324"/>
        <v>#VALUE!</v>
      </c>
      <c r="BP129" s="280" t="e">
        <f t="shared" si="325"/>
        <v>#VALUE!</v>
      </c>
      <c r="BQ129" s="280" t="e">
        <f t="shared" si="326"/>
        <v>#VALUE!</v>
      </c>
      <c r="BR129" s="280" t="e">
        <f t="shared" si="327"/>
        <v>#VALUE!</v>
      </c>
      <c r="BS129" s="280" t="e">
        <f t="shared" si="328"/>
        <v>#VALUE!</v>
      </c>
      <c r="BT129" s="280" t="e">
        <f t="shared" si="329"/>
        <v>#VALUE!</v>
      </c>
      <c r="BU129" s="280" t="e">
        <f t="shared" si="330"/>
        <v>#VALUE!</v>
      </c>
      <c r="BV129" s="280" t="e">
        <f t="shared" si="331"/>
        <v>#VALUE!</v>
      </c>
      <c r="BW129" s="280" t="e">
        <f t="shared" si="332"/>
        <v>#VALUE!</v>
      </c>
      <c r="BX129" s="280" t="e">
        <f t="shared" ref="BX129:BX152" si="351">IF(AO$1&gt;=$BE129,FALSE,TRUE)</f>
        <v>#VALUE!</v>
      </c>
      <c r="BY129" s="280" t="e">
        <f t="shared" si="333"/>
        <v>#VALUE!</v>
      </c>
      <c r="BZ129" s="280" t="e">
        <f t="shared" si="334"/>
        <v>#VALUE!</v>
      </c>
      <c r="CA129" s="280" t="e">
        <f t="shared" si="335"/>
        <v>#VALUE!</v>
      </c>
      <c r="CB129" s="280" t="e">
        <f t="shared" si="336"/>
        <v>#VALUE!</v>
      </c>
      <c r="CC129" s="280" t="e">
        <f t="shared" si="337"/>
        <v>#VALUE!</v>
      </c>
      <c r="CD129" s="280" t="e">
        <f t="shared" si="338"/>
        <v>#VALUE!</v>
      </c>
      <c r="CE129" s="280" t="e">
        <f t="shared" si="339"/>
        <v>#VALUE!</v>
      </c>
      <c r="CF129" s="280" t="e">
        <f t="shared" si="340"/>
        <v>#VALUE!</v>
      </c>
      <c r="CG129" s="280" t="e">
        <f t="shared" si="341"/>
        <v>#VALUE!</v>
      </c>
      <c r="CH129" s="280" t="e">
        <f t="shared" si="342"/>
        <v>#VALUE!</v>
      </c>
      <c r="CI129" s="280" t="e">
        <f t="shared" si="343"/>
        <v>#VALUE!</v>
      </c>
      <c r="CJ129" s="280" t="e">
        <f t="shared" si="344"/>
        <v>#VALUE!</v>
      </c>
      <c r="CK129" s="280" t="e">
        <f t="shared" si="345"/>
        <v>#VALUE!</v>
      </c>
      <c r="CL129" s="280" t="e">
        <f t="shared" si="346"/>
        <v>#VALUE!</v>
      </c>
      <c r="CM129" s="279">
        <f t="shared" ref="CM129:CM152" si="352">COUNTIF(BN129:CL129,TRUE)</f>
        <v>0</v>
      </c>
      <c r="CO129" s="458">
        <v>1</v>
      </c>
      <c r="CP129" s="458" t="e">
        <v>#N/A</v>
      </c>
      <c r="CQ129" s="458">
        <v>-0.2</v>
      </c>
      <c r="CR129" s="458">
        <v>-0.68</v>
      </c>
      <c r="CS129" s="458">
        <v>-1.35</v>
      </c>
      <c r="CT129" s="458">
        <v>-2.14</v>
      </c>
      <c r="CU129" s="458">
        <v>-4.17</v>
      </c>
      <c r="CV129" s="458">
        <v>-6.26</v>
      </c>
      <c r="CW129" s="458">
        <v>-8.1199999999999992</v>
      </c>
      <c r="CX129" s="458">
        <v>-9.5</v>
      </c>
      <c r="CY129" s="458">
        <v>-10.3</v>
      </c>
      <c r="CZ129" s="458">
        <v>-10.67</v>
      </c>
      <c r="DA129" s="458">
        <v>-10.75</v>
      </c>
      <c r="DB129" s="458">
        <v>-10.75</v>
      </c>
      <c r="DC129" s="458">
        <v>10.75</v>
      </c>
      <c r="DD129" s="458">
        <v>10.75</v>
      </c>
      <c r="DE129" s="458">
        <v>10.75</v>
      </c>
      <c r="DF129" s="458">
        <v>10.66</v>
      </c>
      <c r="DG129" s="458">
        <v>10.199999999999999</v>
      </c>
      <c r="DH129" s="458">
        <v>9.27</v>
      </c>
      <c r="DI129" s="458">
        <v>7.56</v>
      </c>
      <c r="DJ129" s="458">
        <v>5.35</v>
      </c>
      <c r="DK129" s="458">
        <v>4.13</v>
      </c>
      <c r="DL129" s="458">
        <v>2.84</v>
      </c>
      <c r="DM129" s="458">
        <v>1.69</v>
      </c>
      <c r="DN129" s="458">
        <v>1.2</v>
      </c>
      <c r="DP129" s="462">
        <f t="shared" si="269"/>
        <v>10.965</v>
      </c>
      <c r="DQ129" s="462" t="str">
        <f t="shared" si="270"/>
        <v/>
      </c>
      <c r="DR129" s="462" t="str">
        <f t="shared" ref="DR129:EO129" si="353">IFERROR(CONCATENATE(ROUND($DP129,3),",",ROUND(ABS(DK101),3),",",ROUND(EM101,3)," "),"")</f>
        <v xml:space="preserve">10.965,0.5,0 </v>
      </c>
      <c r="DS129" s="462" t="str">
        <f t="shared" si="353"/>
        <v xml:space="preserve">10.965,0.99,0.5 </v>
      </c>
      <c r="DT129" s="462" t="str">
        <f t="shared" si="353"/>
        <v xml:space="preserve">10.965,1.35,1 </v>
      </c>
      <c r="DU129" s="462" t="str">
        <f t="shared" si="353"/>
        <v xml:space="preserve">10.965,1.65,1.5 </v>
      </c>
      <c r="DV129" s="462" t="str">
        <f t="shared" si="353"/>
        <v xml:space="preserve">10.965,1.89,2 </v>
      </c>
      <c r="DW129" s="462" t="str">
        <f t="shared" si="353"/>
        <v xml:space="preserve">10.965,2.81,4 </v>
      </c>
      <c r="DX129" s="462" t="str">
        <f t="shared" si="353"/>
        <v xml:space="preserve">10.965,3.86,6 </v>
      </c>
      <c r="DY129" s="462" t="str">
        <f t="shared" si="353"/>
        <v xml:space="preserve">10.965,5.5,8 </v>
      </c>
      <c r="DZ129" s="462" t="str">
        <f t="shared" si="353"/>
        <v xml:space="preserve">10.965,6.82,9.7 </v>
      </c>
      <c r="EA129" s="462" t="str">
        <f t="shared" si="353"/>
        <v xml:space="preserve">10.965,7.01,10 </v>
      </c>
      <c r="EB129" s="462" t="str">
        <f t="shared" si="353"/>
        <v xml:space="preserve">10.965,7.98,12 </v>
      </c>
      <c r="EC129" s="462" t="str">
        <f t="shared" si="353"/>
        <v xml:space="preserve">10.965,8.42,13 </v>
      </c>
      <c r="ED129" s="462" t="str">
        <f t="shared" si="353"/>
        <v/>
      </c>
      <c r="EE129" s="462" t="str">
        <f t="shared" si="353"/>
        <v/>
      </c>
      <c r="EF129" s="462" t="str">
        <f t="shared" si="353"/>
        <v/>
      </c>
      <c r="EG129" s="462" t="str">
        <f t="shared" si="353"/>
        <v/>
      </c>
      <c r="EH129" s="462" t="str">
        <f t="shared" si="353"/>
        <v/>
      </c>
      <c r="EI129" s="462" t="str">
        <f t="shared" si="353"/>
        <v/>
      </c>
      <c r="EJ129" s="462" t="str">
        <f t="shared" si="353"/>
        <v/>
      </c>
      <c r="EK129" s="462" t="str">
        <f t="shared" si="353"/>
        <v/>
      </c>
      <c r="EL129" s="462" t="str">
        <f t="shared" si="353"/>
        <v/>
      </c>
      <c r="EM129" s="462" t="str">
        <f t="shared" si="353"/>
        <v/>
      </c>
      <c r="EN129" s="462" t="str">
        <f t="shared" si="353"/>
        <v/>
      </c>
      <c r="EO129" s="462" t="str">
        <f t="shared" si="353"/>
        <v/>
      </c>
      <c r="EP129" s="462" t="str">
        <f t="shared" si="270"/>
        <v/>
      </c>
      <c r="ER129" s="461" t="str">
        <f t="shared" si="304"/>
        <v xml:space="preserve">10.965,0.5,0 10.965,0.99,0.5 10.965,1.35,1 10.965,1.65,1.5 10.965,1.89,2 10.965,2.81,4 10.965,3.86,6 10.965,5.5,8 10.965,6.82,9.7 10.965,7.01,10 10.965,7.98,12 10.965,8.42,13 </v>
      </c>
      <c r="ES129" s="189" t="str">
        <f t="shared" ca="1" si="348"/>
        <v xml:space="preserve">Spline 10.965,0,0 10.965,0.5,0 10.965,0.99,0.5 10.965,1.35,1 10.965,1.65,1.5 10.965,1.89,2 10.965,2.81,4 10.965,3.86,6 10.965,5.5,8 10.965,6.82,9.7 10.965,7.01,10 10.965,7.98,12 10.965,8.42,13  </v>
      </c>
      <c r="ET129" s="132" t="str">
        <f t="shared" ca="1" si="305"/>
        <v xml:space="preserve">Spline 10.965,0,0 10.965,0.5,0 10.965,0.99,0.5 10.965,1.35,1 10.965,1.65,1.5 10.965,1.89,2 10.965,2.81,4 10.965,3.86,6 10.965,5.5,8 10.965,6.82,9.7 10.965,7.01,10 10.965,7.98,12 10.965,8.42,13  </v>
      </c>
      <c r="EU129" s="132">
        <f ca="1">COUNTIF(BP_4,NA())</f>
        <v>0</v>
      </c>
      <c r="EV129" s="132">
        <f t="shared" ca="1" si="271"/>
        <v>0</v>
      </c>
      <c r="EW129" s="132">
        <v>4</v>
      </c>
      <c r="EX129" s="132" t="str">
        <f t="shared" si="272"/>
        <v xml:space="preserve">10.965,8.42,13 </v>
      </c>
      <c r="EY129" s="132" t="str">
        <f t="shared" ca="1" si="273"/>
        <v xml:space="preserve">Spline 10.965,0,0 10.965,8.42,13 10.965,7.98,12 10.965,7.01,10 10.965,6.82,9.7 10.965,5.5,8 10.965,3.86,6 10.965,2.81,4 10.965,1.89,2 10.965,1.65,1.5 10.965,1.35,1 10.965,0.99,0.5 10.965,0.5,0 </v>
      </c>
      <c r="EZ129" s="189" t="str">
        <f t="shared" si="306"/>
        <v xml:space="preserve">10.965,0.5,0 10.965,0.99,0.5 10.965,1.35,1 10.965,1.65,1.5 10.965,1.89,2 10.965,2.81,4 10.965,3.86,6 10.965,5.5,8 10.965,6.82,9.7 10.965,7.01,10 10.965,7.98,12 10.965,8.42,13  </v>
      </c>
      <c r="FB129" s="462">
        <f t="shared" si="274"/>
        <v>10.965</v>
      </c>
      <c r="FC129" s="464" t="str">
        <f t="shared" si="307"/>
        <v/>
      </c>
      <c r="FD129" s="462" t="str">
        <f t="shared" ref="FD129:GB129" si="354">IFERROR(CONCATENATE(ROUND($DP129,3),",",-ROUND(ABS(DK101),3),",",ROUND(EM101,3)," "),"")</f>
        <v xml:space="preserve">10.965,-0.5,0 </v>
      </c>
      <c r="FE129" s="462" t="str">
        <f t="shared" si="354"/>
        <v xml:space="preserve">10.965,-0.99,0.5 </v>
      </c>
      <c r="FF129" s="462" t="str">
        <f t="shared" si="354"/>
        <v xml:space="preserve">10.965,-1.35,1 </v>
      </c>
      <c r="FG129" s="462" t="str">
        <f t="shared" si="354"/>
        <v xml:space="preserve">10.965,-1.65,1.5 </v>
      </c>
      <c r="FH129" s="462" t="str">
        <f t="shared" si="354"/>
        <v xml:space="preserve">10.965,-1.89,2 </v>
      </c>
      <c r="FI129" s="462" t="str">
        <f t="shared" si="354"/>
        <v xml:space="preserve">10.965,-2.81,4 </v>
      </c>
      <c r="FJ129" s="462" t="str">
        <f t="shared" si="354"/>
        <v xml:space="preserve">10.965,-3.86,6 </v>
      </c>
      <c r="FK129" s="462" t="str">
        <f t="shared" si="354"/>
        <v xml:space="preserve">10.965,-5.5,8 </v>
      </c>
      <c r="FL129" s="462" t="str">
        <f t="shared" si="354"/>
        <v xml:space="preserve">10.965,-6.82,9.7 </v>
      </c>
      <c r="FM129" s="462" t="str">
        <f t="shared" si="354"/>
        <v xml:space="preserve">10.965,-7.01,10 </v>
      </c>
      <c r="FN129" s="462" t="str">
        <f t="shared" si="354"/>
        <v xml:space="preserve">10.965,-7.98,12 </v>
      </c>
      <c r="FO129" s="462" t="str">
        <f t="shared" si="354"/>
        <v xml:space="preserve">10.965,-8.42,13 </v>
      </c>
      <c r="FP129" s="462" t="str">
        <f t="shared" si="354"/>
        <v/>
      </c>
      <c r="FQ129" s="462" t="str">
        <f t="shared" si="354"/>
        <v/>
      </c>
      <c r="FR129" s="462" t="str">
        <f t="shared" si="354"/>
        <v/>
      </c>
      <c r="FS129" s="462" t="str">
        <f t="shared" si="354"/>
        <v/>
      </c>
      <c r="FT129" s="462" t="str">
        <f t="shared" si="354"/>
        <v/>
      </c>
      <c r="FU129" s="462" t="str">
        <f t="shared" si="354"/>
        <v/>
      </c>
      <c r="FV129" s="462" t="str">
        <f t="shared" si="354"/>
        <v/>
      </c>
      <c r="FW129" s="462" t="str">
        <f t="shared" si="354"/>
        <v/>
      </c>
      <c r="FX129" s="462" t="str">
        <f t="shared" si="354"/>
        <v/>
      </c>
      <c r="FY129" s="462" t="str">
        <f t="shared" si="354"/>
        <v/>
      </c>
      <c r="FZ129" s="462" t="str">
        <f t="shared" si="354"/>
        <v/>
      </c>
      <c r="GA129" s="462" t="str">
        <f t="shared" si="354"/>
        <v/>
      </c>
      <c r="GB129" s="462" t="str">
        <f t="shared" si="354"/>
        <v/>
      </c>
      <c r="GC129" s="132" t="str">
        <f t="shared" si="309"/>
        <v xml:space="preserve">10.965,8.42,13 10.965,7.98,12 10.965,7.01,10 10.965,6.82,9.7 10.965,5.5,8 10.965,3.86,6 10.965,2.81,4 10.965,1.89,2 10.965,1.65,1.5 10.965,1.35,1 10.965,0.99,0.5 10.965,0.5,0 </v>
      </c>
      <c r="GD129" s="132" t="str">
        <f t="shared" ca="1" si="276"/>
        <v>Spline 10.965,8.42,13 10.965,7.98,12 10.965,7.01,10 10.965,6.82,9.7 10.965,5.5,8 10.965,3.86,6 10.965,2.81,4 10.965,1.89,2 10.965,1.65,1.5 10.965,1.35,1 10.965,0.99,0.5 10.965,0.5,0 10.965,0,0</v>
      </c>
      <c r="GE129" s="465" t="str">
        <f t="shared" si="310"/>
        <v xml:space="preserve">10.965,-0.5,0 10.965,-0.99,0.5 10.965,-1.35,1 10.965,-1.65,1.5 10.965,-1.89,2 10.965,-2.81,4 10.965,-3.86,6 10.965,-5.5,8 10.965,-6.82,9.7 10.965,-7.01,10 10.965,-7.98,12 10.965,-8.42,13 </v>
      </c>
      <c r="GH129" s="132" t="str">
        <f t="shared" si="311"/>
        <v xml:space="preserve">Spline 10.965,8.42,13 10.965,7.98,12 10.965,7.01,10 10.965,6.82,9.7 10.965,5.5,8 10.965,3.86,6 10.965,2.81,4 10.965,1.89,2 10.965,1.65,1.5 10.965,1.35,1 10.965,0.99,0.5 10.965,0.5,0 T 10.965,0,0 </v>
      </c>
      <c r="GI129" s="132" t="str">
        <f t="shared" si="312"/>
        <v xml:space="preserve">Spline 10.965,0.5,0 10.965,0,0  Join 10.965,0,0  10.965,8.42,13 </v>
      </c>
      <c r="GP129" s="132" t="str">
        <f t="shared" si="277"/>
        <v xml:space="preserve">10.965,0,0 </v>
      </c>
      <c r="GQ129" s="132" t="str">
        <f t="shared" si="313"/>
        <v>Curve 10.965,8.42,13 10.965,7.98,12 10.965,7.01,10 10.965,6.82,9.7 10.965,5.5,8 10.965,3.86,6 10.965,2.81,4 10.965,1.89,2 10.965,1.65,1.5 10.965,1.35,1 10.965,0.99,0.5 10.965,0.5,0 10.965,0,0 _enter</v>
      </c>
    </row>
    <row r="130" spans="1:199" x14ac:dyDescent="0.25">
      <c r="A130" s="377">
        <f t="shared" si="268"/>
        <v>0.75</v>
      </c>
      <c r="B130" s="380" t="str">
        <f t="shared" si="278"/>
        <v xml:space="preserve">0,-16.833 </v>
      </c>
      <c r="C130" s="380" t="str">
        <f t="shared" si="279"/>
        <v xml:space="preserve">3.655,-16.623 </v>
      </c>
      <c r="D130" s="380" t="str">
        <f t="shared" si="280"/>
        <v xml:space="preserve">7.31,-16.003 </v>
      </c>
      <c r="E130" s="380" t="str">
        <f t="shared" si="281"/>
        <v xml:space="preserve">10.965,-15.183 </v>
      </c>
      <c r="F130" s="380" t="str">
        <f t="shared" si="282"/>
        <v xml:space="preserve">14.62,-14.243 </v>
      </c>
      <c r="G130" s="380" t="str">
        <f t="shared" si="283"/>
        <v xml:space="preserve">21.93,-12.113 </v>
      </c>
      <c r="H130" s="380" t="str">
        <f t="shared" si="284"/>
        <v xml:space="preserve">29.24,-10.003 </v>
      </c>
      <c r="I130" s="380" t="str">
        <f t="shared" si="285"/>
        <v xml:space="preserve">36.55,-8.133 </v>
      </c>
      <c r="J130" s="380" t="str">
        <f t="shared" si="286"/>
        <v xml:space="preserve">43.86,-6.893 </v>
      </c>
      <c r="K130" s="380" t="str">
        <f t="shared" si="287"/>
        <v xml:space="preserve">51.17,-6.233 </v>
      </c>
      <c r="L130" s="380" t="str">
        <f t="shared" si="288"/>
        <v xml:space="preserve">58.48,-5.933 </v>
      </c>
      <c r="M130" s="380" t="str">
        <f t="shared" si="289"/>
        <v xml:space="preserve">65.79,-5.903 </v>
      </c>
      <c r="N130" s="380" t="str">
        <f t="shared" si="290"/>
        <v xml:space="preserve">73.1,-5.903 </v>
      </c>
      <c r="O130" s="380" t="str">
        <f t="shared" si="291"/>
        <v xml:space="preserve">80.41,-5.903 </v>
      </c>
      <c r="P130" s="380" t="str">
        <f t="shared" si="292"/>
        <v xml:space="preserve">87.72,-5.903 </v>
      </c>
      <c r="Q130" s="380" t="str">
        <f t="shared" si="293"/>
        <v xml:space="preserve">95.03,-5.903 </v>
      </c>
      <c r="R130" s="380" t="str">
        <f t="shared" si="294"/>
        <v xml:space="preserve">102.34,-5.963 </v>
      </c>
      <c r="S130" s="380" t="str">
        <f t="shared" si="295"/>
        <v xml:space="preserve">109.65,-6.333 </v>
      </c>
      <c r="T130" s="380" t="str">
        <f t="shared" si="296"/>
        <v xml:space="preserve">116.96,-7.173 </v>
      </c>
      <c r="U130" s="380" t="str">
        <f t="shared" si="297"/>
        <v xml:space="preserve">124.27,-8.793 </v>
      </c>
      <c r="V130" s="380" t="str">
        <f t="shared" si="298"/>
        <v xml:space="preserve">131.58,-10.963 </v>
      </c>
      <c r="W130" s="380" t="str">
        <f t="shared" si="299"/>
        <v xml:space="preserve">135.235,-12.253 </v>
      </c>
      <c r="X130" s="380" t="str">
        <f t="shared" si="300"/>
        <v xml:space="preserve">138.89,-13.583 </v>
      </c>
      <c r="Y130" s="380" t="str">
        <f t="shared" si="301"/>
        <v xml:space="preserve">142.545,-14.813 </v>
      </c>
      <c r="Z130" s="398" t="str">
        <f t="shared" si="302"/>
        <v xml:space="preserve">146.2,-15.403 </v>
      </c>
      <c r="AB130" s="248" t="str">
        <f t="shared" si="314"/>
        <v xml:space="preserve">Spline </v>
      </c>
      <c r="AC130" s="248" t="str">
        <f>Tools!B130</f>
        <v xml:space="preserve">0,-16.833 </v>
      </c>
      <c r="AD130" s="248" t="str">
        <f>Tools!C130</f>
        <v xml:space="preserve">3.655,-16.623 </v>
      </c>
      <c r="AE130" s="248" t="str">
        <f>Tools!D130</f>
        <v xml:space="preserve">7.31,-16.003 </v>
      </c>
      <c r="AF130" s="248" t="str">
        <f>Tools!E130</f>
        <v xml:space="preserve">10.965,-15.183 </v>
      </c>
      <c r="AG130" s="248" t="str">
        <f>Tools!F130</f>
        <v xml:space="preserve">14.62,-14.243 </v>
      </c>
      <c r="AH130" s="248" t="str">
        <f>Tools!G130</f>
        <v xml:space="preserve">21.93,-12.113 </v>
      </c>
      <c r="AI130" s="248" t="str">
        <f>Tools!H130</f>
        <v xml:space="preserve">29.24,-10.003 </v>
      </c>
      <c r="AJ130" s="248" t="str">
        <f>Tools!I130</f>
        <v xml:space="preserve">36.55,-8.133 </v>
      </c>
      <c r="AK130" s="248" t="str">
        <f>Tools!J130</f>
        <v xml:space="preserve">43.86,-6.893 </v>
      </c>
      <c r="AL130" s="248" t="str">
        <f>Tools!K130</f>
        <v xml:space="preserve">51.17,-6.233 </v>
      </c>
      <c r="AM130" s="248" t="str">
        <f>Tools!L130</f>
        <v xml:space="preserve">58.48,-5.933 </v>
      </c>
      <c r="AN130" s="248" t="str">
        <f>Tools!M130</f>
        <v xml:space="preserve">65.79,-5.903 </v>
      </c>
      <c r="AO130" s="248" t="str">
        <f>Tools!N130</f>
        <v xml:space="preserve">73.1,-5.903 </v>
      </c>
      <c r="AP130" s="248" t="str">
        <f>Tools!O130</f>
        <v xml:space="preserve">80.41,-5.903 </v>
      </c>
      <c r="AQ130" s="248" t="str">
        <f>Tools!P130</f>
        <v xml:space="preserve">87.72,-5.903 </v>
      </c>
      <c r="AR130" s="248" t="str">
        <f>Tools!Q130</f>
        <v xml:space="preserve">95.03,-5.903 </v>
      </c>
      <c r="AS130" s="248" t="str">
        <f>Tools!R130</f>
        <v xml:space="preserve">102.34,-5.963 </v>
      </c>
      <c r="AT130" s="248" t="str">
        <f>Tools!S130</f>
        <v xml:space="preserve">109.65,-6.333 </v>
      </c>
      <c r="AU130" s="248" t="str">
        <f>Tools!T130</f>
        <v xml:space="preserve">116.96,-7.173 </v>
      </c>
      <c r="AV130" s="248" t="str">
        <f>Tools!U130</f>
        <v xml:space="preserve">124.27,-8.793 </v>
      </c>
      <c r="AW130" s="248" t="str">
        <f>Tools!V130</f>
        <v xml:space="preserve">131.58,-10.963 </v>
      </c>
      <c r="AX130" s="248" t="str">
        <f>Tools!W130</f>
        <v xml:space="preserve">135.235,-12.253 </v>
      </c>
      <c r="AY130" s="248" t="str">
        <f>Tools!X130</f>
        <v xml:space="preserve">138.89,-13.583 </v>
      </c>
      <c r="AZ130" s="248" t="str">
        <f>Tools!Y130</f>
        <v xml:space="preserve">142.545,-14.813 </v>
      </c>
      <c r="BA130" s="399" t="str">
        <f>Tools!Z130</f>
        <v xml:space="preserve">146.2,-15.403 </v>
      </c>
      <c r="BC130" s="277">
        <f>Offset!Q5</f>
        <v>1</v>
      </c>
      <c r="BD130" s="280" t="str">
        <f>IF(ISNUMBER(VLOOKUP(BC130,Offset!Q$2:R$27,2,FALSE)),VLOOKUP(BC130,Offset!Q$2:R$27,2,FALSE),"-")</f>
        <v>-</v>
      </c>
      <c r="BE130" s="280" t="e">
        <f t="shared" si="350"/>
        <v>#VALUE!</v>
      </c>
      <c r="BF130" s="280" t="str">
        <f t="shared" si="316"/>
        <v>#NA</v>
      </c>
      <c r="BG130" s="280" t="str">
        <f t="shared" si="317"/>
        <v>#NA</v>
      </c>
      <c r="BH130" s="280" t="str">
        <f t="shared" si="318"/>
        <v>#NA</v>
      </c>
      <c r="BI130" s="280" t="str">
        <f t="shared" si="319"/>
        <v>#NA</v>
      </c>
      <c r="BJ130" s="280" t="str">
        <f t="shared" si="320"/>
        <v>#NA</v>
      </c>
      <c r="BK130" s="280" t="str">
        <f t="shared" si="321"/>
        <v>#NA</v>
      </c>
      <c r="BL130" s="280" t="str">
        <f t="shared" si="322"/>
        <v>#NA</v>
      </c>
      <c r="BM130" s="280"/>
      <c r="BN130" s="280" t="e">
        <f t="shared" si="323"/>
        <v>#VALUE!</v>
      </c>
      <c r="BO130" s="280" t="e">
        <f t="shared" si="324"/>
        <v>#VALUE!</v>
      </c>
      <c r="BP130" s="280" t="e">
        <f t="shared" si="325"/>
        <v>#VALUE!</v>
      </c>
      <c r="BQ130" s="280" t="e">
        <f t="shared" si="326"/>
        <v>#VALUE!</v>
      </c>
      <c r="BR130" s="280" t="e">
        <f t="shared" si="327"/>
        <v>#VALUE!</v>
      </c>
      <c r="BS130" s="280" t="e">
        <f t="shared" si="328"/>
        <v>#VALUE!</v>
      </c>
      <c r="BT130" s="280" t="e">
        <f t="shared" si="329"/>
        <v>#VALUE!</v>
      </c>
      <c r="BU130" s="280" t="e">
        <f t="shared" si="330"/>
        <v>#VALUE!</v>
      </c>
      <c r="BV130" s="280" t="e">
        <f t="shared" si="331"/>
        <v>#VALUE!</v>
      </c>
      <c r="BW130" s="280" t="e">
        <f t="shared" si="332"/>
        <v>#VALUE!</v>
      </c>
      <c r="BX130" s="280" t="e">
        <f t="shared" si="351"/>
        <v>#VALUE!</v>
      </c>
      <c r="BY130" s="280" t="e">
        <f t="shared" si="333"/>
        <v>#VALUE!</v>
      </c>
      <c r="BZ130" s="280" t="e">
        <f t="shared" si="334"/>
        <v>#VALUE!</v>
      </c>
      <c r="CA130" s="280" t="e">
        <f t="shared" si="335"/>
        <v>#VALUE!</v>
      </c>
      <c r="CB130" s="280" t="e">
        <f t="shared" si="336"/>
        <v>#VALUE!</v>
      </c>
      <c r="CC130" s="280" t="e">
        <f t="shared" si="337"/>
        <v>#VALUE!</v>
      </c>
      <c r="CD130" s="280" t="e">
        <f t="shared" si="338"/>
        <v>#VALUE!</v>
      </c>
      <c r="CE130" s="280" t="e">
        <f t="shared" si="339"/>
        <v>#VALUE!</v>
      </c>
      <c r="CF130" s="280" t="e">
        <f t="shared" si="340"/>
        <v>#VALUE!</v>
      </c>
      <c r="CG130" s="280" t="e">
        <f t="shared" si="341"/>
        <v>#VALUE!</v>
      </c>
      <c r="CH130" s="280" t="e">
        <f t="shared" si="342"/>
        <v>#VALUE!</v>
      </c>
      <c r="CI130" s="280" t="e">
        <f t="shared" si="343"/>
        <v>#VALUE!</v>
      </c>
      <c r="CJ130" s="280" t="e">
        <f t="shared" si="344"/>
        <v>#VALUE!</v>
      </c>
      <c r="CK130" s="280" t="e">
        <f t="shared" si="345"/>
        <v>#VALUE!</v>
      </c>
      <c r="CL130" s="280" t="e">
        <f t="shared" si="346"/>
        <v>#VALUE!</v>
      </c>
      <c r="CM130" s="279">
        <f t="shared" si="352"/>
        <v>0</v>
      </c>
      <c r="CO130" s="458">
        <v>1.5</v>
      </c>
      <c r="CP130" s="458" t="e">
        <v>#N/A</v>
      </c>
      <c r="CQ130" s="458">
        <v>-0.21</v>
      </c>
      <c r="CR130" s="458">
        <v>-0.83</v>
      </c>
      <c r="CS130" s="458">
        <v>-1.65</v>
      </c>
      <c r="CT130" s="458">
        <v>-2.59</v>
      </c>
      <c r="CU130" s="458">
        <v>-4.72</v>
      </c>
      <c r="CV130" s="458">
        <v>-6.83</v>
      </c>
      <c r="CW130" s="458">
        <v>-8.6999999999999993</v>
      </c>
      <c r="CX130" s="458">
        <v>-9.94</v>
      </c>
      <c r="CY130" s="458">
        <v>-10.6</v>
      </c>
      <c r="CZ130" s="458">
        <v>-10.9</v>
      </c>
      <c r="DA130" s="458">
        <v>-10.93</v>
      </c>
      <c r="DB130" s="458">
        <v>-10.93</v>
      </c>
      <c r="DC130" s="458">
        <v>10.93</v>
      </c>
      <c r="DD130" s="458">
        <v>10.93</v>
      </c>
      <c r="DE130" s="458">
        <v>10.93</v>
      </c>
      <c r="DF130" s="458">
        <v>10.87</v>
      </c>
      <c r="DG130" s="458">
        <v>10.5</v>
      </c>
      <c r="DH130" s="458">
        <v>9.66</v>
      </c>
      <c r="DI130" s="458">
        <v>8.0399999999999991</v>
      </c>
      <c r="DJ130" s="458">
        <v>5.87</v>
      </c>
      <c r="DK130" s="458">
        <v>4.58</v>
      </c>
      <c r="DL130" s="458">
        <v>3.25</v>
      </c>
      <c r="DM130" s="458">
        <v>2.02</v>
      </c>
      <c r="DN130" s="458">
        <v>1.43</v>
      </c>
      <c r="DP130" s="462">
        <f t="shared" si="269"/>
        <v>14.62</v>
      </c>
      <c r="DQ130" s="462" t="str">
        <f t="shared" si="270"/>
        <v/>
      </c>
      <c r="DR130" s="462" t="str">
        <f t="shared" ref="DR130:EO130" si="355">IFERROR(CONCATENATE(ROUND($DP130,3),",",ROUND(ABS(DK102),3),",",ROUND(EM102,3)," "),"")</f>
        <v xml:space="preserve">14.62,0.9,0 </v>
      </c>
      <c r="DS130" s="462" t="str">
        <f t="shared" si="355"/>
        <v xml:space="preserve">14.62,1.59,0.5 </v>
      </c>
      <c r="DT130" s="462" t="str">
        <f t="shared" si="355"/>
        <v xml:space="preserve">14.62,2.14,1 </v>
      </c>
      <c r="DU130" s="462" t="str">
        <f t="shared" si="355"/>
        <v xml:space="preserve">14.62,2.59,1.5 </v>
      </c>
      <c r="DV130" s="462" t="str">
        <f t="shared" si="355"/>
        <v xml:space="preserve">14.62,2.93,2 </v>
      </c>
      <c r="DW130" s="462" t="str">
        <f t="shared" si="355"/>
        <v xml:space="preserve">14.62,4.17,4 </v>
      </c>
      <c r="DX130" s="462" t="str">
        <f t="shared" si="355"/>
        <v xml:space="preserve">14.62,5.28,6 </v>
      </c>
      <c r="DY130" s="462" t="str">
        <f t="shared" si="355"/>
        <v xml:space="preserve">14.62,6.7,8 </v>
      </c>
      <c r="DZ130" s="462" t="str">
        <f t="shared" si="355"/>
        <v xml:space="preserve">14.62,7.89,9.7 </v>
      </c>
      <c r="EA130" s="462" t="str">
        <f t="shared" si="355"/>
        <v xml:space="preserve">14.62,8.04,10 </v>
      </c>
      <c r="EB130" s="462" t="str">
        <f t="shared" si="355"/>
        <v xml:space="preserve">14.62,8.94,12 </v>
      </c>
      <c r="EC130" s="462" t="str">
        <f t="shared" si="355"/>
        <v xml:space="preserve">14.62,9.3,13 </v>
      </c>
      <c r="ED130" s="462" t="str">
        <f t="shared" si="355"/>
        <v/>
      </c>
      <c r="EE130" s="462" t="str">
        <f t="shared" si="355"/>
        <v/>
      </c>
      <c r="EF130" s="462" t="str">
        <f t="shared" si="355"/>
        <v/>
      </c>
      <c r="EG130" s="462" t="str">
        <f t="shared" si="355"/>
        <v/>
      </c>
      <c r="EH130" s="462" t="str">
        <f t="shared" si="355"/>
        <v/>
      </c>
      <c r="EI130" s="462" t="str">
        <f t="shared" si="355"/>
        <v/>
      </c>
      <c r="EJ130" s="462" t="str">
        <f t="shared" si="355"/>
        <v/>
      </c>
      <c r="EK130" s="462" t="str">
        <f t="shared" si="355"/>
        <v/>
      </c>
      <c r="EL130" s="462" t="str">
        <f t="shared" si="355"/>
        <v/>
      </c>
      <c r="EM130" s="462" t="str">
        <f t="shared" si="355"/>
        <v/>
      </c>
      <c r="EN130" s="462" t="str">
        <f t="shared" si="355"/>
        <v/>
      </c>
      <c r="EO130" s="462" t="str">
        <f t="shared" si="355"/>
        <v/>
      </c>
      <c r="EP130" s="462" t="str">
        <f t="shared" si="270"/>
        <v/>
      </c>
      <c r="ER130" s="461" t="str">
        <f t="shared" si="304"/>
        <v xml:space="preserve">14.62,0.9,0 14.62,1.59,0.5 14.62,2.14,1 14.62,2.59,1.5 14.62,2.93,2 14.62,4.17,4 14.62,5.28,6 14.62,6.7,8 14.62,7.89,9.7 14.62,8.04,10 14.62,8.94,12 14.62,9.3,13 </v>
      </c>
      <c r="ES130" s="189" t="str">
        <f t="shared" ca="1" si="348"/>
        <v xml:space="preserve">Spline 14.62,0,0 14.62,0.9,0 14.62,1.59,0.5 14.62,2.14,1 14.62,2.59,1.5 14.62,2.93,2 14.62,4.17,4 14.62,5.28,6 14.62,6.7,8 14.62,7.89,9.7 14.62,8.04,10 14.62,8.94,12 14.62,9.3,13  </v>
      </c>
      <c r="ET130" s="132" t="str">
        <f t="shared" ca="1" si="305"/>
        <v xml:space="preserve">Spline 14.62,0,0 14.62,0.9,0 14.62,1.59,0.5 14.62,2.14,1 14.62,2.59,1.5 14.62,2.93,2 14.62,4.17,4 14.62,5.28,6 14.62,6.7,8 14.62,7.89,9.7 14.62,8.04,10 14.62,8.94,12 14.62,9.3,13  </v>
      </c>
      <c r="EU130" s="132">
        <f ca="1">COUNTIF(BP_5,NA())</f>
        <v>0</v>
      </c>
      <c r="EV130" s="132">
        <f t="shared" ca="1" si="271"/>
        <v>0</v>
      </c>
      <c r="EW130" s="132">
        <v>5</v>
      </c>
      <c r="EX130" s="132" t="str">
        <f t="shared" si="272"/>
        <v xml:space="preserve">14.62,9.3,13 </v>
      </c>
      <c r="EY130" s="132" t="str">
        <f t="shared" ca="1" si="273"/>
        <v xml:space="preserve">Spline 14.62,0,0 14.62,9.3,13 14.62,8.94,12 14.62,8.04,10 14.62,7.89,9.7 14.62,6.7,8 14.62,5.28,6 14.62,4.17,4 14.62,2.93,2 14.62,2.59,1.5 14.62,2.14,1 14.62,1.59,0.5 14.62,0.9,0 </v>
      </c>
      <c r="EZ130" s="189" t="str">
        <f t="shared" si="306"/>
        <v xml:space="preserve">14.62,0.9,0 14.62,1.59,0.5 14.62,2.14,1 14.62,2.59,1.5 14.62,2.93,2 14.62,4.17,4 14.62,5.28,6 14.62,6.7,8 14.62,7.89,9.7 14.62,8.04,10 14.62,8.94,12 14.62,9.3,13  </v>
      </c>
      <c r="FB130" s="462">
        <f t="shared" si="274"/>
        <v>14.62</v>
      </c>
      <c r="FC130" s="464" t="str">
        <f t="shared" si="307"/>
        <v/>
      </c>
      <c r="FD130" s="462" t="str">
        <f t="shared" ref="FD130:GB130" si="356">IFERROR(CONCATENATE(ROUND($DP130,3),",",-ROUND(ABS(DK102),3),",",ROUND(EM102,3)," "),"")</f>
        <v xml:space="preserve">14.62,-0.9,0 </v>
      </c>
      <c r="FE130" s="462" t="str">
        <f t="shared" si="356"/>
        <v xml:space="preserve">14.62,-1.59,0.5 </v>
      </c>
      <c r="FF130" s="462" t="str">
        <f t="shared" si="356"/>
        <v xml:space="preserve">14.62,-2.14,1 </v>
      </c>
      <c r="FG130" s="462" t="str">
        <f t="shared" si="356"/>
        <v xml:space="preserve">14.62,-2.59,1.5 </v>
      </c>
      <c r="FH130" s="462" t="str">
        <f t="shared" si="356"/>
        <v xml:space="preserve">14.62,-2.93,2 </v>
      </c>
      <c r="FI130" s="462" t="str">
        <f t="shared" si="356"/>
        <v xml:space="preserve">14.62,-4.17,4 </v>
      </c>
      <c r="FJ130" s="462" t="str">
        <f t="shared" si="356"/>
        <v xml:space="preserve">14.62,-5.28,6 </v>
      </c>
      <c r="FK130" s="462" t="str">
        <f t="shared" si="356"/>
        <v xml:space="preserve">14.62,-6.7,8 </v>
      </c>
      <c r="FL130" s="462" t="str">
        <f t="shared" si="356"/>
        <v xml:space="preserve">14.62,-7.89,9.7 </v>
      </c>
      <c r="FM130" s="462" t="str">
        <f t="shared" si="356"/>
        <v xml:space="preserve">14.62,-8.04,10 </v>
      </c>
      <c r="FN130" s="462" t="str">
        <f t="shared" si="356"/>
        <v xml:space="preserve">14.62,-8.94,12 </v>
      </c>
      <c r="FO130" s="462" t="str">
        <f t="shared" si="356"/>
        <v xml:space="preserve">14.62,-9.3,13 </v>
      </c>
      <c r="FP130" s="462" t="str">
        <f t="shared" si="356"/>
        <v/>
      </c>
      <c r="FQ130" s="462" t="str">
        <f t="shared" si="356"/>
        <v/>
      </c>
      <c r="FR130" s="462" t="str">
        <f t="shared" si="356"/>
        <v/>
      </c>
      <c r="FS130" s="462" t="str">
        <f t="shared" si="356"/>
        <v/>
      </c>
      <c r="FT130" s="462" t="str">
        <f t="shared" si="356"/>
        <v/>
      </c>
      <c r="FU130" s="462" t="str">
        <f t="shared" si="356"/>
        <v/>
      </c>
      <c r="FV130" s="462" t="str">
        <f t="shared" si="356"/>
        <v/>
      </c>
      <c r="FW130" s="462" t="str">
        <f t="shared" si="356"/>
        <v/>
      </c>
      <c r="FX130" s="462" t="str">
        <f t="shared" si="356"/>
        <v/>
      </c>
      <c r="FY130" s="462" t="str">
        <f t="shared" si="356"/>
        <v/>
      </c>
      <c r="FZ130" s="462" t="str">
        <f t="shared" si="356"/>
        <v/>
      </c>
      <c r="GA130" s="462" t="str">
        <f t="shared" si="356"/>
        <v/>
      </c>
      <c r="GB130" s="462" t="str">
        <f t="shared" si="356"/>
        <v/>
      </c>
      <c r="GC130" s="132" t="str">
        <f t="shared" si="309"/>
        <v xml:space="preserve">14.62,9.3,13 14.62,8.94,12 14.62,8.04,10 14.62,7.89,9.7 14.62,6.7,8 14.62,5.28,6 14.62,4.17,4 14.62,2.93,2 14.62,2.59,1.5 14.62,2.14,1 14.62,1.59,0.5 14.62,0.9,0 </v>
      </c>
      <c r="GD130" s="132" t="str">
        <f t="shared" ca="1" si="276"/>
        <v>Spline 14.62,9.3,13 14.62,8.94,12 14.62,8.04,10 14.62,7.89,9.7 14.62,6.7,8 14.62,5.28,6 14.62,4.17,4 14.62,2.93,2 14.62,2.59,1.5 14.62,2.14,1 14.62,1.59,0.5 14.62,0.9,0 14.62,0,0</v>
      </c>
      <c r="GE130" s="465" t="str">
        <f t="shared" si="310"/>
        <v xml:space="preserve">14.62,-0.9,0 14.62,-1.59,0.5 14.62,-2.14,1 14.62,-2.59,1.5 14.62,-2.93,2 14.62,-4.17,4 14.62,-5.28,6 14.62,-6.7,8 14.62,-7.89,9.7 14.62,-8.04,10 14.62,-8.94,12 14.62,-9.3,13 </v>
      </c>
      <c r="GH130" s="132" t="str">
        <f t="shared" si="311"/>
        <v xml:space="preserve">Spline 14.62,9.3,13 14.62,8.94,12 14.62,8.04,10 14.62,7.89,9.7 14.62,6.7,8 14.62,5.28,6 14.62,4.17,4 14.62,2.93,2 14.62,2.59,1.5 14.62,2.14,1 14.62,1.59,0.5 14.62,0.9,0 T 14.62,0,0 </v>
      </c>
      <c r="GI130" s="132" t="str">
        <f t="shared" si="312"/>
        <v xml:space="preserve">Spline 14.62,0.9,0 14.62,0,0  Join 14.62,0,0  14.62,9.3,13 </v>
      </c>
      <c r="GP130" s="132" t="str">
        <f t="shared" si="277"/>
        <v xml:space="preserve">14.62,0,0 </v>
      </c>
      <c r="GQ130" s="132" t="str">
        <f t="shared" si="313"/>
        <v>Curve 14.62,9.3,13 14.62,8.94,12 14.62,8.04,10 14.62,7.89,9.7 14.62,6.7,8 14.62,5.28,6 14.62,4.17,4 14.62,2.93,2 14.62,2.59,1.5 14.62,2.14,1 14.62,1.59,0.5 14.62,0.9,0 14.62,0,0 _enter</v>
      </c>
    </row>
    <row r="131" spans="1:199" x14ac:dyDescent="0.25">
      <c r="A131" s="377">
        <f t="shared" si="268"/>
        <v>1</v>
      </c>
      <c r="B131" s="380" t="str">
        <f t="shared" si="278"/>
        <v xml:space="preserve">0,-16.833 </v>
      </c>
      <c r="C131" s="380" t="str">
        <f t="shared" si="279"/>
        <v xml:space="preserve">3.655,-16.583 </v>
      </c>
      <c r="D131" s="380" t="str">
        <f t="shared" si="280"/>
        <v xml:space="preserve">7.31,-15.853 </v>
      </c>
      <c r="E131" s="380" t="str">
        <f t="shared" si="281"/>
        <v xml:space="preserve">10.965,-14.943 </v>
      </c>
      <c r="F131" s="380" t="str">
        <f t="shared" si="282"/>
        <v xml:space="preserve">14.62,-13.903 </v>
      </c>
      <c r="G131" s="380" t="str">
        <f t="shared" si="283"/>
        <v xml:space="preserve">21.93,-11.683 </v>
      </c>
      <c r="H131" s="380" t="str">
        <f t="shared" si="284"/>
        <v xml:space="preserve">29.24,-9.543 </v>
      </c>
      <c r="I131" s="380" t="str">
        <f t="shared" si="285"/>
        <v xml:space="preserve">36.55,-7.763 </v>
      </c>
      <c r="J131" s="380" t="str">
        <f t="shared" si="286"/>
        <v xml:space="preserve">43.86,-6.633 </v>
      </c>
      <c r="K131" s="380" t="str">
        <f t="shared" si="287"/>
        <v xml:space="preserve">51.17,-6.033 </v>
      </c>
      <c r="L131" s="380" t="str">
        <f t="shared" si="288"/>
        <v xml:space="preserve">58.48,-5.833 </v>
      </c>
      <c r="M131" s="380" t="str">
        <f t="shared" si="289"/>
        <v xml:space="preserve">65.79,-5.833 </v>
      </c>
      <c r="N131" s="380" t="str">
        <f t="shared" si="290"/>
        <v xml:space="preserve">73.1,-5.833 </v>
      </c>
      <c r="O131" s="380" t="str">
        <f t="shared" si="291"/>
        <v xml:space="preserve">80.41,-5.833 </v>
      </c>
      <c r="P131" s="380" t="str">
        <f t="shared" si="292"/>
        <v xml:space="preserve">87.72,-5.833 </v>
      </c>
      <c r="Q131" s="380" t="str">
        <f t="shared" si="293"/>
        <v xml:space="preserve">95.03,-5.833 </v>
      </c>
      <c r="R131" s="380" t="str">
        <f t="shared" si="294"/>
        <v xml:space="preserve">102.34,-5.833 </v>
      </c>
      <c r="S131" s="380" t="str">
        <f t="shared" si="295"/>
        <v xml:space="preserve">109.65,-6.133 </v>
      </c>
      <c r="T131" s="380" t="str">
        <f t="shared" si="296"/>
        <v xml:space="preserve">116.96,-6.923 </v>
      </c>
      <c r="U131" s="380" t="str">
        <f t="shared" si="297"/>
        <v xml:space="preserve">124.27,-8.413 </v>
      </c>
      <c r="V131" s="380" t="str">
        <f t="shared" si="298"/>
        <v xml:space="preserve">131.58,-10.623 </v>
      </c>
      <c r="W131" s="380" t="str">
        <f t="shared" si="299"/>
        <v xml:space="preserve">135.235,-11.923 </v>
      </c>
      <c r="X131" s="380" t="str">
        <f t="shared" si="300"/>
        <v xml:space="preserve">138.89,-13.303 </v>
      </c>
      <c r="Y131" s="380" t="str">
        <f t="shared" si="301"/>
        <v xml:space="preserve">142.545,-14.543 </v>
      </c>
      <c r="Z131" s="398" t="str">
        <f t="shared" si="302"/>
        <v xml:space="preserve">146.2,-15.303 </v>
      </c>
      <c r="AB131" s="248" t="str">
        <f t="shared" si="314"/>
        <v xml:space="preserve">Spline </v>
      </c>
      <c r="AC131" s="248" t="str">
        <f>Tools!B131</f>
        <v xml:space="preserve">0,-16.833 </v>
      </c>
      <c r="AD131" s="248" t="str">
        <f>Tools!C131</f>
        <v xml:space="preserve">3.655,-16.583 </v>
      </c>
      <c r="AE131" s="248" t="str">
        <f>Tools!D131</f>
        <v xml:space="preserve">7.31,-15.853 </v>
      </c>
      <c r="AF131" s="248" t="str">
        <f>Tools!E131</f>
        <v xml:space="preserve">10.965,-14.943 </v>
      </c>
      <c r="AG131" s="248" t="str">
        <f>Tools!F131</f>
        <v xml:space="preserve">14.62,-13.903 </v>
      </c>
      <c r="AH131" s="248" t="str">
        <f>Tools!G131</f>
        <v xml:space="preserve">21.93,-11.683 </v>
      </c>
      <c r="AI131" s="248" t="str">
        <f>Tools!H131</f>
        <v xml:space="preserve">29.24,-9.543 </v>
      </c>
      <c r="AJ131" s="248" t="str">
        <f>Tools!I131</f>
        <v xml:space="preserve">36.55,-7.763 </v>
      </c>
      <c r="AK131" s="248" t="str">
        <f>Tools!J131</f>
        <v xml:space="preserve">43.86,-6.633 </v>
      </c>
      <c r="AL131" s="248" t="str">
        <f>Tools!K131</f>
        <v xml:space="preserve">51.17,-6.033 </v>
      </c>
      <c r="AM131" s="248" t="str">
        <f>Tools!L131</f>
        <v xml:space="preserve">58.48,-5.833 </v>
      </c>
      <c r="AN131" s="248" t="str">
        <f>Tools!M131</f>
        <v xml:space="preserve">65.79,-5.833 </v>
      </c>
      <c r="AO131" s="248" t="str">
        <f>Tools!N131</f>
        <v xml:space="preserve">73.1,-5.833 </v>
      </c>
      <c r="AP131" s="248" t="str">
        <f>Tools!O131</f>
        <v xml:space="preserve">80.41,-5.833 </v>
      </c>
      <c r="AQ131" s="248" t="str">
        <f>Tools!P131</f>
        <v xml:space="preserve">87.72,-5.833 </v>
      </c>
      <c r="AR131" s="248" t="str">
        <f>Tools!Q131</f>
        <v xml:space="preserve">95.03,-5.833 </v>
      </c>
      <c r="AS131" s="248" t="str">
        <f>Tools!R131</f>
        <v xml:space="preserve">102.34,-5.833 </v>
      </c>
      <c r="AT131" s="248" t="str">
        <f>Tools!S131</f>
        <v xml:space="preserve">109.65,-6.133 </v>
      </c>
      <c r="AU131" s="248" t="str">
        <f>Tools!T131</f>
        <v xml:space="preserve">116.96,-6.923 </v>
      </c>
      <c r="AV131" s="248" t="str">
        <f>Tools!U131</f>
        <v xml:space="preserve">124.27,-8.413 </v>
      </c>
      <c r="AW131" s="248" t="str">
        <f>Tools!V131</f>
        <v xml:space="preserve">131.58,-10.623 </v>
      </c>
      <c r="AX131" s="248" t="str">
        <f>Tools!W131</f>
        <v xml:space="preserve">135.235,-11.923 </v>
      </c>
      <c r="AY131" s="248" t="str">
        <f>Tools!X131</f>
        <v xml:space="preserve">138.89,-13.303 </v>
      </c>
      <c r="AZ131" s="248" t="str">
        <f>Tools!Y131</f>
        <v xml:space="preserve">142.545,-14.543 </v>
      </c>
      <c r="BA131" s="399" t="str">
        <f>Tools!Z131</f>
        <v xml:space="preserve">146.2,-15.303 </v>
      </c>
      <c r="BC131" s="277">
        <f>Offset!Q6</f>
        <v>1.5</v>
      </c>
      <c r="BD131" s="280" t="str">
        <f>IF(ISNUMBER(VLOOKUP(BC131,Offset!Q$2:R$27,2,FALSE)),VLOOKUP(BC131,Offset!Q$2:R$27,2,FALSE),"-")</f>
        <v>-</v>
      </c>
      <c r="BE131" s="280" t="e">
        <f t="shared" si="350"/>
        <v>#VALUE!</v>
      </c>
      <c r="BF131" s="280" t="str">
        <f t="shared" si="316"/>
        <v>#NA</v>
      </c>
      <c r="BG131" s="280" t="str">
        <f t="shared" si="317"/>
        <v>#NA</v>
      </c>
      <c r="BH131" s="280" t="str">
        <f t="shared" si="318"/>
        <v>#NA</v>
      </c>
      <c r="BI131" s="280" t="str">
        <f t="shared" si="319"/>
        <v>#NA</v>
      </c>
      <c r="BJ131" s="280" t="str">
        <f t="shared" si="320"/>
        <v>#NA</v>
      </c>
      <c r="BK131" s="280" t="str">
        <f t="shared" si="321"/>
        <v>#NA</v>
      </c>
      <c r="BL131" s="280" t="str">
        <f t="shared" si="322"/>
        <v>#NA</v>
      </c>
      <c r="BM131" s="280"/>
      <c r="BN131" s="280" t="e">
        <f t="shared" si="323"/>
        <v>#VALUE!</v>
      </c>
      <c r="BO131" s="280" t="e">
        <f t="shared" si="324"/>
        <v>#VALUE!</v>
      </c>
      <c r="BP131" s="280" t="e">
        <f t="shared" si="325"/>
        <v>#VALUE!</v>
      </c>
      <c r="BQ131" s="280" t="e">
        <f t="shared" si="326"/>
        <v>#VALUE!</v>
      </c>
      <c r="BR131" s="280" t="e">
        <f t="shared" si="327"/>
        <v>#VALUE!</v>
      </c>
      <c r="BS131" s="280" t="e">
        <f t="shared" si="328"/>
        <v>#VALUE!</v>
      </c>
      <c r="BT131" s="280" t="e">
        <f t="shared" si="329"/>
        <v>#VALUE!</v>
      </c>
      <c r="BU131" s="280" t="e">
        <f t="shared" si="330"/>
        <v>#VALUE!</v>
      </c>
      <c r="BV131" s="280" t="e">
        <f t="shared" si="331"/>
        <v>#VALUE!</v>
      </c>
      <c r="BW131" s="280" t="e">
        <f t="shared" si="332"/>
        <v>#VALUE!</v>
      </c>
      <c r="BX131" s="280" t="e">
        <f t="shared" si="351"/>
        <v>#VALUE!</v>
      </c>
      <c r="BY131" s="280" t="e">
        <f t="shared" si="333"/>
        <v>#VALUE!</v>
      </c>
      <c r="BZ131" s="280" t="e">
        <f t="shared" si="334"/>
        <v>#VALUE!</v>
      </c>
      <c r="CA131" s="280" t="e">
        <f t="shared" si="335"/>
        <v>#VALUE!</v>
      </c>
      <c r="CB131" s="280" t="e">
        <f t="shared" si="336"/>
        <v>#VALUE!</v>
      </c>
      <c r="CC131" s="280" t="e">
        <f t="shared" si="337"/>
        <v>#VALUE!</v>
      </c>
      <c r="CD131" s="280" t="e">
        <f t="shared" si="338"/>
        <v>#VALUE!</v>
      </c>
      <c r="CE131" s="280" t="e">
        <f t="shared" si="339"/>
        <v>#VALUE!</v>
      </c>
      <c r="CF131" s="280" t="e">
        <f t="shared" si="340"/>
        <v>#VALUE!</v>
      </c>
      <c r="CG131" s="280" t="e">
        <f t="shared" si="341"/>
        <v>#VALUE!</v>
      </c>
      <c r="CH131" s="280" t="e">
        <f t="shared" si="342"/>
        <v>#VALUE!</v>
      </c>
      <c r="CI131" s="280" t="e">
        <f t="shared" si="343"/>
        <v>#VALUE!</v>
      </c>
      <c r="CJ131" s="280" t="e">
        <f t="shared" si="344"/>
        <v>#VALUE!</v>
      </c>
      <c r="CK131" s="280" t="e">
        <f t="shared" si="345"/>
        <v>#VALUE!</v>
      </c>
      <c r="CL131" s="280" t="e">
        <f t="shared" si="346"/>
        <v>#VALUE!</v>
      </c>
      <c r="CM131" s="279">
        <f t="shared" si="352"/>
        <v>0</v>
      </c>
      <c r="CO131" s="458">
        <v>2</v>
      </c>
      <c r="CP131" s="458" t="e">
        <v>#N/A</v>
      </c>
      <c r="CQ131" s="458">
        <v>-0.25</v>
      </c>
      <c r="CR131" s="458">
        <v>-0.98</v>
      </c>
      <c r="CS131" s="458">
        <v>-1.89</v>
      </c>
      <c r="CT131" s="458">
        <v>-2.93</v>
      </c>
      <c r="CU131" s="458">
        <v>-5.15</v>
      </c>
      <c r="CV131" s="458">
        <v>-7.29</v>
      </c>
      <c r="CW131" s="458">
        <v>-9.07</v>
      </c>
      <c r="CX131" s="458">
        <v>-10.199999999999999</v>
      </c>
      <c r="CY131" s="458">
        <v>-10.8</v>
      </c>
      <c r="CZ131" s="458">
        <v>-11</v>
      </c>
      <c r="DA131" s="458">
        <v>-11</v>
      </c>
      <c r="DB131" s="458">
        <v>-11</v>
      </c>
      <c r="DC131" s="458">
        <v>11</v>
      </c>
      <c r="DD131" s="458">
        <v>11</v>
      </c>
      <c r="DE131" s="458">
        <v>11</v>
      </c>
      <c r="DF131" s="458">
        <v>11</v>
      </c>
      <c r="DG131" s="458">
        <v>10.7</v>
      </c>
      <c r="DH131" s="458">
        <v>9.91</v>
      </c>
      <c r="DI131" s="458">
        <v>8.42</v>
      </c>
      <c r="DJ131" s="458">
        <v>6.21</v>
      </c>
      <c r="DK131" s="458">
        <v>4.91</v>
      </c>
      <c r="DL131" s="458">
        <v>3.53</v>
      </c>
      <c r="DM131" s="458">
        <v>2.29</v>
      </c>
      <c r="DN131" s="458">
        <v>1.53</v>
      </c>
      <c r="DO131" s="400"/>
      <c r="DP131" s="462">
        <f t="shared" si="269"/>
        <v>21.93</v>
      </c>
      <c r="DQ131" s="462" t="str">
        <f t="shared" si="270"/>
        <v/>
      </c>
      <c r="DR131" s="462" t="str">
        <f t="shared" ref="DR131:EO131" si="357">IFERROR(CONCATENATE(ROUND($DP131,3),",",ROUND(ABS(DK103),3),",",ROUND(EM103,3)," "),"")</f>
        <v xml:space="preserve">21.93,1.9,0 </v>
      </c>
      <c r="DS131" s="462" t="str">
        <f t="shared" si="357"/>
        <v xml:space="preserve">21.93,3.32,0.5 </v>
      </c>
      <c r="DT131" s="462" t="str">
        <f t="shared" si="357"/>
        <v xml:space="preserve">21.93,4.17,1 </v>
      </c>
      <c r="DU131" s="462" t="str">
        <f t="shared" si="357"/>
        <v xml:space="preserve">21.93,4.72,1.5 </v>
      </c>
      <c r="DV131" s="462" t="str">
        <f t="shared" si="357"/>
        <v xml:space="preserve">21.93,5.15,2 </v>
      </c>
      <c r="DW131" s="462" t="str">
        <f t="shared" si="357"/>
        <v xml:space="preserve">21.93,6.67,4 </v>
      </c>
      <c r="DX131" s="462" t="str">
        <f t="shared" si="357"/>
        <v xml:space="preserve">21.93,7.76,6 </v>
      </c>
      <c r="DY131" s="462" t="str">
        <f t="shared" si="357"/>
        <v xml:space="preserve">21.93,8.65,8 </v>
      </c>
      <c r="DZ131" s="462" t="str">
        <f t="shared" si="357"/>
        <v xml:space="preserve">21.93,9.43,9.7 </v>
      </c>
      <c r="EA131" s="462" t="str">
        <f t="shared" si="357"/>
        <v xml:space="preserve">21.93,9.54,10 </v>
      </c>
      <c r="EB131" s="462" t="str">
        <f t="shared" si="357"/>
        <v xml:space="preserve">21.93,10.1,12 </v>
      </c>
      <c r="EC131" s="462" t="str">
        <f t="shared" si="357"/>
        <v xml:space="preserve">21.93,10.44,13 </v>
      </c>
      <c r="ED131" s="462" t="str">
        <f t="shared" si="357"/>
        <v/>
      </c>
      <c r="EE131" s="462" t="str">
        <f t="shared" si="357"/>
        <v/>
      </c>
      <c r="EF131" s="462" t="str">
        <f t="shared" si="357"/>
        <v/>
      </c>
      <c r="EG131" s="462" t="str">
        <f t="shared" si="357"/>
        <v/>
      </c>
      <c r="EH131" s="462" t="str">
        <f t="shared" si="357"/>
        <v/>
      </c>
      <c r="EI131" s="462" t="str">
        <f t="shared" si="357"/>
        <v/>
      </c>
      <c r="EJ131" s="462" t="str">
        <f t="shared" si="357"/>
        <v/>
      </c>
      <c r="EK131" s="462" t="str">
        <f t="shared" si="357"/>
        <v/>
      </c>
      <c r="EL131" s="462" t="str">
        <f t="shared" si="357"/>
        <v/>
      </c>
      <c r="EM131" s="462" t="str">
        <f t="shared" si="357"/>
        <v/>
      </c>
      <c r="EN131" s="462" t="str">
        <f t="shared" si="357"/>
        <v/>
      </c>
      <c r="EO131" s="462" t="str">
        <f t="shared" si="357"/>
        <v/>
      </c>
      <c r="EP131" s="462" t="str">
        <f t="shared" si="270"/>
        <v/>
      </c>
      <c r="ER131" s="461" t="str">
        <f t="shared" si="304"/>
        <v xml:space="preserve">21.93,1.9,0 21.93,3.32,0.5 21.93,4.17,1 21.93,4.72,1.5 21.93,5.15,2 21.93,6.67,4 21.93,7.76,6 21.93,8.65,8 21.93,9.43,9.7 21.93,9.54,10 21.93,10.1,12 21.93,10.44,13 </v>
      </c>
      <c r="ES131" s="189" t="str">
        <f t="shared" ca="1" si="348"/>
        <v xml:space="preserve">Spline 21.93,0,0 21.93,1.9,0 21.93,3.32,0.5 21.93,4.17,1 21.93,4.72,1.5 21.93,5.15,2 21.93,6.67,4 21.93,7.76,6 21.93,8.65,8 21.93,9.43,9.7 21.93,9.54,10 21.93,10.1,12 21.93,10.44,13  </v>
      </c>
      <c r="ET131" s="132" t="str">
        <f t="shared" ca="1" si="305"/>
        <v xml:space="preserve">Spline 21.93,0,0 21.93,1.9,0 21.93,3.32,0.5 21.93,4.17,1 21.93,4.72,1.5 21.93,5.15,2 21.93,6.67,4 21.93,7.76,6 21.93,8.65,8 21.93,9.43,9.7 21.93,9.54,10 21.93,10.1,12 21.93,10.44,13  </v>
      </c>
      <c r="EU131" s="132">
        <f ca="1">COUNTIF(BP_6,NA())</f>
        <v>0</v>
      </c>
      <c r="EV131" s="132">
        <f t="shared" ca="1" si="271"/>
        <v>0</v>
      </c>
      <c r="EW131" s="132">
        <v>6</v>
      </c>
      <c r="EX131" s="132" t="str">
        <f t="shared" si="272"/>
        <v xml:space="preserve">21.93,10.44,13 </v>
      </c>
      <c r="EY131" s="132" t="str">
        <f t="shared" ca="1" si="273"/>
        <v xml:space="preserve">Spline 21.93,0,0 21.93,10.44,13 21.93,10.1,12 21.93,9.54,10 21.93,9.43,9.7 21.93,8.65,8 21.93,7.76,6 21.93,6.67,4 21.93,5.15,2 21.93,4.72,1.5 21.93,4.17,1 21.93,3.32,0.5 21.93,1.9,0 </v>
      </c>
      <c r="EZ131" s="189" t="str">
        <f t="shared" si="306"/>
        <v xml:space="preserve">21.93,1.9,0 21.93,3.32,0.5 21.93,4.17,1 21.93,4.72,1.5 21.93,5.15,2 21.93,6.67,4 21.93,7.76,6 21.93,8.65,8 21.93,9.43,9.7 21.93,9.54,10 21.93,10.1,12 21.93,10.44,13  </v>
      </c>
      <c r="FB131" s="462">
        <f t="shared" si="274"/>
        <v>21.93</v>
      </c>
      <c r="FC131" s="464" t="str">
        <f t="shared" si="307"/>
        <v/>
      </c>
      <c r="FD131" s="462" t="str">
        <f t="shared" ref="FD131:GB131" si="358">IFERROR(CONCATENATE(ROUND($DP131,3),",",-ROUND(ABS(DK103),3),",",ROUND(EM103,3)," "),"")</f>
        <v xml:space="preserve">21.93,-1.9,0 </v>
      </c>
      <c r="FE131" s="462" t="str">
        <f t="shared" si="358"/>
        <v xml:space="preserve">21.93,-3.32,0.5 </v>
      </c>
      <c r="FF131" s="462" t="str">
        <f t="shared" si="358"/>
        <v xml:space="preserve">21.93,-4.17,1 </v>
      </c>
      <c r="FG131" s="462" t="str">
        <f t="shared" si="358"/>
        <v xml:space="preserve">21.93,-4.72,1.5 </v>
      </c>
      <c r="FH131" s="462" t="str">
        <f t="shared" si="358"/>
        <v xml:space="preserve">21.93,-5.15,2 </v>
      </c>
      <c r="FI131" s="462" t="str">
        <f t="shared" si="358"/>
        <v xml:space="preserve">21.93,-6.67,4 </v>
      </c>
      <c r="FJ131" s="462" t="str">
        <f t="shared" si="358"/>
        <v xml:space="preserve">21.93,-7.76,6 </v>
      </c>
      <c r="FK131" s="462" t="str">
        <f t="shared" si="358"/>
        <v xml:space="preserve">21.93,-8.65,8 </v>
      </c>
      <c r="FL131" s="462" t="str">
        <f t="shared" si="358"/>
        <v xml:space="preserve">21.93,-9.43,9.7 </v>
      </c>
      <c r="FM131" s="462" t="str">
        <f t="shared" si="358"/>
        <v xml:space="preserve">21.93,-9.54,10 </v>
      </c>
      <c r="FN131" s="462" t="str">
        <f t="shared" si="358"/>
        <v xml:space="preserve">21.93,-10.1,12 </v>
      </c>
      <c r="FO131" s="462" t="str">
        <f t="shared" si="358"/>
        <v xml:space="preserve">21.93,-10.44,13 </v>
      </c>
      <c r="FP131" s="462" t="str">
        <f t="shared" si="358"/>
        <v/>
      </c>
      <c r="FQ131" s="462" t="str">
        <f t="shared" si="358"/>
        <v/>
      </c>
      <c r="FR131" s="462" t="str">
        <f t="shared" si="358"/>
        <v/>
      </c>
      <c r="FS131" s="462" t="str">
        <f t="shared" si="358"/>
        <v/>
      </c>
      <c r="FT131" s="462" t="str">
        <f t="shared" si="358"/>
        <v/>
      </c>
      <c r="FU131" s="462" t="str">
        <f t="shared" si="358"/>
        <v/>
      </c>
      <c r="FV131" s="462" t="str">
        <f t="shared" si="358"/>
        <v/>
      </c>
      <c r="FW131" s="462" t="str">
        <f t="shared" si="358"/>
        <v/>
      </c>
      <c r="FX131" s="462" t="str">
        <f t="shared" si="358"/>
        <v/>
      </c>
      <c r="FY131" s="462" t="str">
        <f t="shared" si="358"/>
        <v/>
      </c>
      <c r="FZ131" s="462" t="str">
        <f t="shared" si="358"/>
        <v/>
      </c>
      <c r="GA131" s="462" t="str">
        <f t="shared" si="358"/>
        <v/>
      </c>
      <c r="GB131" s="462" t="str">
        <f t="shared" si="358"/>
        <v/>
      </c>
      <c r="GC131" s="132" t="str">
        <f t="shared" si="309"/>
        <v xml:space="preserve">21.93,10.44,13 21.93,10.1,12 21.93,9.54,10 21.93,9.43,9.7 21.93,8.65,8 21.93,7.76,6 21.93,6.67,4 21.93,5.15,2 21.93,4.72,1.5 21.93,4.17,1 21.93,3.32,0.5 21.93,1.9,0 </v>
      </c>
      <c r="GD131" s="132" t="str">
        <f t="shared" ca="1" si="276"/>
        <v>Spline 21.93,10.44,13 21.93,10.1,12 21.93,9.54,10 21.93,9.43,9.7 21.93,8.65,8 21.93,7.76,6 21.93,6.67,4 21.93,5.15,2 21.93,4.72,1.5 21.93,4.17,1 21.93,3.32,0.5 21.93,1.9,0 21.93,0,0</v>
      </c>
      <c r="GE131" s="465" t="str">
        <f t="shared" si="310"/>
        <v xml:space="preserve">21.93,-1.9,0 21.93,-3.32,0.5 21.93,-4.17,1 21.93,-4.72,1.5 21.93,-5.15,2 21.93,-6.67,4 21.93,-7.76,6 21.93,-8.65,8 21.93,-9.43,9.7 21.93,-9.54,10 21.93,-10.1,12 21.93,-10.44,13 </v>
      </c>
      <c r="GH131" s="132" t="str">
        <f t="shared" si="311"/>
        <v xml:space="preserve">Spline 21.93,10.44,13 21.93,10.1,12 21.93,9.54,10 21.93,9.43,9.7 21.93,8.65,8 21.93,7.76,6 21.93,6.67,4 21.93,5.15,2 21.93,4.72,1.5 21.93,4.17,1 21.93,3.32,0.5 21.93,1.9,0 T 21.93,0,0 </v>
      </c>
      <c r="GI131" s="132" t="str">
        <f t="shared" si="312"/>
        <v xml:space="preserve">Spline 21.93,1.9,0 21.93,0,0  Join 21.93,0,0  21.93,10.44,13 </v>
      </c>
      <c r="GP131" s="132" t="str">
        <f t="shared" si="277"/>
        <v xml:space="preserve">21.93,0,0 </v>
      </c>
      <c r="GQ131" s="132" t="str">
        <f t="shared" si="313"/>
        <v>Curve 21.93,10.44,13 21.93,10.1,12 21.93,9.54,10 21.93,9.43,9.7 21.93,8.65,8 21.93,7.76,6 21.93,6.67,4 21.93,5.15,2 21.93,4.72,1.5 21.93,4.17,1 21.93,3.32,0.5 21.93,1.9,0 21.93,0,0 _enter</v>
      </c>
    </row>
    <row r="132" spans="1:199" x14ac:dyDescent="0.25">
      <c r="A132" s="377">
        <f t="shared" si="268"/>
        <v>2</v>
      </c>
      <c r="B132" s="380" t="str">
        <f t="shared" si="278"/>
        <v xml:space="preserve">0,-16.833 </v>
      </c>
      <c r="C132" s="380" t="str">
        <f t="shared" si="279"/>
        <v xml:space="preserve">3.655,-16.503 </v>
      </c>
      <c r="D132" s="380" t="str">
        <f t="shared" si="280"/>
        <v xml:space="preserve">7.31,-15.393 </v>
      </c>
      <c r="E132" s="380" t="str">
        <f t="shared" si="281"/>
        <v xml:space="preserve">10.965,-14.023 </v>
      </c>
      <c r="F132" s="380" t="str">
        <f t="shared" si="282"/>
        <v xml:space="preserve">14.62,-12.663 </v>
      </c>
      <c r="G132" s="380" t="str">
        <f t="shared" si="283"/>
        <v xml:space="preserve">21.93,-10.163 </v>
      </c>
      <c r="H132" s="380" t="str">
        <f t="shared" si="284"/>
        <v xml:space="preserve">29.24,-8.223 </v>
      </c>
      <c r="I132" s="380" t="str">
        <f t="shared" si="285"/>
        <v xml:space="preserve">36.55,-6.883 </v>
      </c>
      <c r="J132" s="380" t="str">
        <f t="shared" si="286"/>
        <v xml:space="preserve">43.86,-6.033 </v>
      </c>
      <c r="K132" s="380" t="str">
        <f t="shared" si="287"/>
        <v xml:space="preserve">51.17,-5.833 </v>
      </c>
      <c r="L132" s="380" t="str">
        <f t="shared" si="288"/>
        <v xml:space="preserve">58.48,-5.833 </v>
      </c>
      <c r="M132" s="380" t="str">
        <f t="shared" si="289"/>
        <v xml:space="preserve">65.79,-5.833 </v>
      </c>
      <c r="N132" s="380" t="str">
        <f t="shared" si="290"/>
        <v xml:space="preserve">73.1,-5.833 </v>
      </c>
      <c r="O132" s="380" t="str">
        <f t="shared" si="291"/>
        <v xml:space="preserve">80.41,-5.833 </v>
      </c>
      <c r="P132" s="380" t="str">
        <f t="shared" si="292"/>
        <v xml:space="preserve">87.72,-5.833 </v>
      </c>
      <c r="Q132" s="380" t="str">
        <f t="shared" si="293"/>
        <v xml:space="preserve">95.03,-5.833 </v>
      </c>
      <c r="R132" s="380" t="str">
        <f t="shared" si="294"/>
        <v xml:space="preserve">102.34,-5.833 </v>
      </c>
      <c r="S132" s="380" t="str">
        <f t="shared" si="295"/>
        <v xml:space="preserve">109.65,-5.833 </v>
      </c>
      <c r="T132" s="380" t="str">
        <f t="shared" si="296"/>
        <v xml:space="preserve">116.96,-6.333 </v>
      </c>
      <c r="U132" s="380" t="str">
        <f t="shared" si="297"/>
        <v xml:space="preserve">124.27,-7.513 </v>
      </c>
      <c r="V132" s="380" t="str">
        <f t="shared" si="298"/>
        <v xml:space="preserve">131.58,-9.753 </v>
      </c>
      <c r="W132" s="380" t="str">
        <f t="shared" si="299"/>
        <v xml:space="preserve">135.235,-11.203 </v>
      </c>
      <c r="X132" s="380" t="str">
        <f t="shared" si="300"/>
        <v xml:space="preserve">138.89,-12.723 </v>
      </c>
      <c r="Y132" s="380" t="str">
        <f t="shared" si="301"/>
        <v xml:space="preserve">142.545,-14.203 </v>
      </c>
      <c r="Z132" s="398" t="str">
        <f t="shared" si="302"/>
        <v xml:space="preserve">146.2,-15.713 </v>
      </c>
      <c r="AB132" s="248" t="str">
        <f t="shared" si="314"/>
        <v xml:space="preserve">Spline </v>
      </c>
      <c r="AC132" s="248" t="str">
        <f>Tools!B132</f>
        <v xml:space="preserve">0,-16.833 </v>
      </c>
      <c r="AD132" s="248" t="str">
        <f>Tools!C132</f>
        <v xml:space="preserve">3.655,-16.503 </v>
      </c>
      <c r="AE132" s="248" t="str">
        <f>Tools!D132</f>
        <v xml:space="preserve">7.31,-15.393 </v>
      </c>
      <c r="AF132" s="248" t="str">
        <f>Tools!E132</f>
        <v xml:space="preserve">10.965,-14.023 </v>
      </c>
      <c r="AG132" s="248" t="str">
        <f>Tools!F132</f>
        <v xml:space="preserve">14.62,-12.663 </v>
      </c>
      <c r="AH132" s="248" t="str">
        <f>Tools!G132</f>
        <v xml:space="preserve">21.93,-10.163 </v>
      </c>
      <c r="AI132" s="248" t="str">
        <f>Tools!H132</f>
        <v xml:space="preserve">29.24,-8.223 </v>
      </c>
      <c r="AJ132" s="248" t="str">
        <f>Tools!I132</f>
        <v xml:space="preserve">36.55,-6.883 </v>
      </c>
      <c r="AK132" s="248" t="str">
        <f>Tools!J132</f>
        <v xml:space="preserve">43.86,-6.033 </v>
      </c>
      <c r="AL132" s="248" t="str">
        <f>Tools!K132</f>
        <v xml:space="preserve">51.17,-5.833 </v>
      </c>
      <c r="AM132" s="248" t="str">
        <f>Tools!L132</f>
        <v xml:space="preserve">58.48,-5.833 </v>
      </c>
      <c r="AN132" s="248" t="str">
        <f>Tools!M132</f>
        <v xml:space="preserve">65.79,-5.833 </v>
      </c>
      <c r="AO132" s="248" t="str">
        <f>Tools!N132</f>
        <v xml:space="preserve">73.1,-5.833 </v>
      </c>
      <c r="AP132" s="248" t="str">
        <f>Tools!O132</f>
        <v xml:space="preserve">80.41,-5.833 </v>
      </c>
      <c r="AQ132" s="248" t="str">
        <f>Tools!P132</f>
        <v xml:space="preserve">87.72,-5.833 </v>
      </c>
      <c r="AR132" s="248" t="str">
        <f>Tools!Q132</f>
        <v xml:space="preserve">95.03,-5.833 </v>
      </c>
      <c r="AS132" s="248" t="str">
        <f>Tools!R132</f>
        <v xml:space="preserve">102.34,-5.833 </v>
      </c>
      <c r="AT132" s="248" t="str">
        <f>Tools!S132</f>
        <v xml:space="preserve">109.65,-5.833 </v>
      </c>
      <c r="AU132" s="248" t="str">
        <f>Tools!T132</f>
        <v xml:space="preserve">116.96,-6.333 </v>
      </c>
      <c r="AV132" s="248" t="str">
        <f>Tools!U132</f>
        <v xml:space="preserve">124.27,-7.513 </v>
      </c>
      <c r="AW132" s="248" t="str">
        <f>Tools!V132</f>
        <v xml:space="preserve">131.58,-9.753 </v>
      </c>
      <c r="AX132" s="248" t="str">
        <f>Tools!W132</f>
        <v xml:space="preserve">135.235,-11.203 </v>
      </c>
      <c r="AY132" s="248" t="str">
        <f>Tools!X132</f>
        <v xml:space="preserve">138.89,-12.723 </v>
      </c>
      <c r="AZ132" s="248" t="str">
        <f>Tools!Y132</f>
        <v xml:space="preserve">142.545,-14.203 </v>
      </c>
      <c r="BA132" s="399" t="str">
        <f>Tools!Z132</f>
        <v xml:space="preserve">146.2,-15.713 </v>
      </c>
      <c r="BC132" s="277">
        <f>Offset!Q7</f>
        <v>2</v>
      </c>
      <c r="BD132" s="280" t="str">
        <f>IF(ISNUMBER(VLOOKUP(BC132,Offset!Q$2:R$27,2,FALSE)),VLOOKUP(BC132,Offset!Q$2:R$27,2,FALSE),"-")</f>
        <v>-</v>
      </c>
      <c r="BE132" s="280" t="e">
        <f t="shared" si="350"/>
        <v>#VALUE!</v>
      </c>
      <c r="BF132" s="280" t="str">
        <f t="shared" si="316"/>
        <v>#NA</v>
      </c>
      <c r="BG132" s="280" t="str">
        <f t="shared" si="317"/>
        <v>#NA</v>
      </c>
      <c r="BH132" s="280" t="str">
        <f t="shared" si="318"/>
        <v>#NA</v>
      </c>
      <c r="BI132" s="280" t="str">
        <f t="shared" si="319"/>
        <v>#NA</v>
      </c>
      <c r="BJ132" s="280" t="str">
        <f t="shared" si="320"/>
        <v>#NA</v>
      </c>
      <c r="BK132" s="280" t="str">
        <f t="shared" si="321"/>
        <v>#NA</v>
      </c>
      <c r="BL132" s="280" t="str">
        <f t="shared" si="322"/>
        <v>#NA</v>
      </c>
      <c r="BM132" s="280"/>
      <c r="BN132" s="280" t="e">
        <f t="shared" si="323"/>
        <v>#VALUE!</v>
      </c>
      <c r="BO132" s="280" t="e">
        <f t="shared" si="324"/>
        <v>#VALUE!</v>
      </c>
      <c r="BP132" s="280" t="e">
        <f t="shared" si="325"/>
        <v>#VALUE!</v>
      </c>
      <c r="BQ132" s="280" t="e">
        <f t="shared" si="326"/>
        <v>#VALUE!</v>
      </c>
      <c r="BR132" s="280" t="e">
        <f t="shared" si="327"/>
        <v>#VALUE!</v>
      </c>
      <c r="BS132" s="280" t="e">
        <f t="shared" si="328"/>
        <v>#VALUE!</v>
      </c>
      <c r="BT132" s="280" t="e">
        <f t="shared" si="329"/>
        <v>#VALUE!</v>
      </c>
      <c r="BU132" s="280" t="e">
        <f t="shared" si="330"/>
        <v>#VALUE!</v>
      </c>
      <c r="BV132" s="280" t="e">
        <f t="shared" si="331"/>
        <v>#VALUE!</v>
      </c>
      <c r="BW132" s="280" t="e">
        <f t="shared" si="332"/>
        <v>#VALUE!</v>
      </c>
      <c r="BX132" s="280" t="e">
        <f t="shared" si="351"/>
        <v>#VALUE!</v>
      </c>
      <c r="BY132" s="280" t="e">
        <f t="shared" si="333"/>
        <v>#VALUE!</v>
      </c>
      <c r="BZ132" s="280" t="e">
        <f t="shared" si="334"/>
        <v>#VALUE!</v>
      </c>
      <c r="CA132" s="280" t="e">
        <f t="shared" si="335"/>
        <v>#VALUE!</v>
      </c>
      <c r="CB132" s="280" t="e">
        <f t="shared" si="336"/>
        <v>#VALUE!</v>
      </c>
      <c r="CC132" s="280" t="e">
        <f t="shared" si="337"/>
        <v>#VALUE!</v>
      </c>
      <c r="CD132" s="280" t="e">
        <f t="shared" si="338"/>
        <v>#VALUE!</v>
      </c>
      <c r="CE132" s="280" t="e">
        <f t="shared" si="339"/>
        <v>#VALUE!</v>
      </c>
      <c r="CF132" s="280" t="e">
        <f t="shared" si="340"/>
        <v>#VALUE!</v>
      </c>
      <c r="CG132" s="280" t="e">
        <f t="shared" si="341"/>
        <v>#VALUE!</v>
      </c>
      <c r="CH132" s="280" t="e">
        <f t="shared" si="342"/>
        <v>#VALUE!</v>
      </c>
      <c r="CI132" s="280" t="e">
        <f t="shared" si="343"/>
        <v>#VALUE!</v>
      </c>
      <c r="CJ132" s="280" t="e">
        <f t="shared" si="344"/>
        <v>#VALUE!</v>
      </c>
      <c r="CK132" s="280" t="e">
        <f t="shared" si="345"/>
        <v>#VALUE!</v>
      </c>
      <c r="CL132" s="280" t="e">
        <f t="shared" si="346"/>
        <v>#VALUE!</v>
      </c>
      <c r="CM132" s="279">
        <f t="shared" si="352"/>
        <v>0</v>
      </c>
      <c r="CO132" s="458">
        <v>4</v>
      </c>
      <c r="CP132" s="458" t="e">
        <v>#N/A</v>
      </c>
      <c r="CQ132" s="458">
        <v>-0.33</v>
      </c>
      <c r="CR132" s="458">
        <v>-1.44</v>
      </c>
      <c r="CS132" s="458">
        <v>-2.81</v>
      </c>
      <c r="CT132" s="458">
        <v>-4.17</v>
      </c>
      <c r="CU132" s="458">
        <v>-6.67</v>
      </c>
      <c r="CV132" s="458">
        <v>-8.61</v>
      </c>
      <c r="CW132" s="458">
        <v>-9.9499999999999993</v>
      </c>
      <c r="CX132" s="458">
        <v>-10.8</v>
      </c>
      <c r="CY132" s="458">
        <v>-11</v>
      </c>
      <c r="CZ132" s="458">
        <v>-11</v>
      </c>
      <c r="DA132" s="458">
        <v>-11</v>
      </c>
      <c r="DB132" s="458">
        <v>-11</v>
      </c>
      <c r="DC132" s="458">
        <v>11</v>
      </c>
      <c r="DD132" s="458">
        <v>11</v>
      </c>
      <c r="DE132" s="458">
        <v>11</v>
      </c>
      <c r="DF132" s="458">
        <v>11</v>
      </c>
      <c r="DG132" s="458">
        <v>11</v>
      </c>
      <c r="DH132" s="458">
        <v>10.5</v>
      </c>
      <c r="DI132" s="458">
        <v>9.32</v>
      </c>
      <c r="DJ132" s="458">
        <v>7.08</v>
      </c>
      <c r="DK132" s="458">
        <v>5.63</v>
      </c>
      <c r="DL132" s="458">
        <v>4.1100000000000003</v>
      </c>
      <c r="DM132" s="458">
        <v>2.63</v>
      </c>
      <c r="DN132" s="458">
        <v>1.1200000000000001</v>
      </c>
      <c r="DO132" s="400"/>
      <c r="DP132" s="462">
        <f t="shared" si="269"/>
        <v>29.24</v>
      </c>
      <c r="DQ132" s="462" t="str">
        <f t="shared" si="270"/>
        <v/>
      </c>
      <c r="DR132" s="462" t="str">
        <f t="shared" ref="DR132:EO132" si="359">IFERROR(CONCATENATE(ROUND($DP132,3),",",ROUND(ABS(DK104),3),",",ROUND(EM104,3)," "),"")</f>
        <v xml:space="preserve">29.24,3.8,0 </v>
      </c>
      <c r="DS132" s="462" t="str">
        <f t="shared" si="359"/>
        <v xml:space="preserve">29.24,5.33,0.5 </v>
      </c>
      <c r="DT132" s="462" t="str">
        <f t="shared" si="359"/>
        <v xml:space="preserve">29.24,6.26,1 </v>
      </c>
      <c r="DU132" s="462" t="str">
        <f t="shared" si="359"/>
        <v xml:space="preserve">29.24,6.83,1.5 </v>
      </c>
      <c r="DV132" s="462" t="str">
        <f t="shared" si="359"/>
        <v xml:space="preserve">29.24,7.29,2 </v>
      </c>
      <c r="DW132" s="462" t="str">
        <f t="shared" si="359"/>
        <v xml:space="preserve">29.24,8.61,4 </v>
      </c>
      <c r="DX132" s="462" t="str">
        <f t="shared" si="359"/>
        <v xml:space="preserve">29.24,9.45,6 </v>
      </c>
      <c r="DY132" s="462" t="str">
        <f t="shared" si="359"/>
        <v xml:space="preserve">29.24,10.1,8 </v>
      </c>
      <c r="DZ132" s="462" t="str">
        <f t="shared" si="359"/>
        <v xml:space="preserve">29.24,10.45,9.7 </v>
      </c>
      <c r="EA132" s="462" t="str">
        <f t="shared" si="359"/>
        <v xml:space="preserve">29.24,10.5,10 </v>
      </c>
      <c r="EB132" s="462" t="str">
        <f t="shared" si="359"/>
        <v xml:space="preserve">29.24,10.8,12 </v>
      </c>
      <c r="EC132" s="462" t="str">
        <f t="shared" si="359"/>
        <v xml:space="preserve">29.24,10.87,13 </v>
      </c>
      <c r="ED132" s="462" t="str">
        <f t="shared" si="359"/>
        <v/>
      </c>
      <c r="EE132" s="462" t="str">
        <f t="shared" si="359"/>
        <v/>
      </c>
      <c r="EF132" s="462" t="str">
        <f t="shared" si="359"/>
        <v/>
      </c>
      <c r="EG132" s="462" t="str">
        <f t="shared" si="359"/>
        <v/>
      </c>
      <c r="EH132" s="462" t="str">
        <f t="shared" si="359"/>
        <v/>
      </c>
      <c r="EI132" s="462" t="str">
        <f t="shared" si="359"/>
        <v/>
      </c>
      <c r="EJ132" s="462" t="str">
        <f t="shared" si="359"/>
        <v/>
      </c>
      <c r="EK132" s="462" t="str">
        <f t="shared" si="359"/>
        <v/>
      </c>
      <c r="EL132" s="462" t="str">
        <f t="shared" si="359"/>
        <v/>
      </c>
      <c r="EM132" s="462" t="str">
        <f t="shared" si="359"/>
        <v/>
      </c>
      <c r="EN132" s="462" t="str">
        <f t="shared" si="359"/>
        <v/>
      </c>
      <c r="EO132" s="462" t="str">
        <f t="shared" si="359"/>
        <v/>
      </c>
      <c r="EP132" s="462" t="str">
        <f t="shared" si="270"/>
        <v/>
      </c>
      <c r="ER132" s="461" t="str">
        <f t="shared" si="304"/>
        <v xml:space="preserve">29.24,3.8,0 29.24,5.33,0.5 29.24,6.26,1 29.24,6.83,1.5 29.24,7.29,2 29.24,8.61,4 29.24,9.45,6 29.24,10.1,8 29.24,10.45,9.7 29.24,10.5,10 29.24,10.8,12 29.24,10.87,13 </v>
      </c>
      <c r="ES132" s="189" t="str">
        <f t="shared" ca="1" si="348"/>
        <v xml:space="preserve">Spline 29.24,0,0 29.24,3.8,0 29.24,5.33,0.5 29.24,6.26,1 29.24,6.83,1.5 29.24,7.29,2 29.24,8.61,4 29.24,9.45,6 29.24,10.1,8 29.24,10.45,9.7 29.24,10.5,10 29.24,10.8,12 29.24,10.87,13  </v>
      </c>
      <c r="ET132" s="132" t="str">
        <f t="shared" ca="1" si="305"/>
        <v xml:space="preserve">Spline 29.24,0,0 29.24,3.8,0 29.24,5.33,0.5 29.24,6.26,1 29.24,6.83,1.5 29.24,7.29,2 29.24,8.61,4 29.24,9.45,6 29.24,10.1,8 29.24,10.45,9.7 29.24,10.5,10 29.24,10.8,12 29.24,10.87,13  </v>
      </c>
      <c r="EU132" s="132">
        <f ca="1">COUNTIF(BP_7,NA())</f>
        <v>0</v>
      </c>
      <c r="EV132" s="132">
        <f t="shared" ca="1" si="271"/>
        <v>0</v>
      </c>
      <c r="EW132" s="132">
        <v>7</v>
      </c>
      <c r="EX132" s="132" t="str">
        <f t="shared" si="272"/>
        <v xml:space="preserve">29.24,10.87,13 </v>
      </c>
      <c r="EY132" s="132" t="str">
        <f t="shared" ca="1" si="273"/>
        <v xml:space="preserve">Spline 29.24,0,0 29.24,10.87,13 29.24,10.8,12 29.24,10.5,10 29.24,10.45,9.7 29.24,10.1,8 29.24,9.45,6 29.24,8.61,4 29.24,7.29,2 29.24,6.83,1.5 29.24,6.26,1 29.24,5.33,0.5 29.24,3.8,0 </v>
      </c>
      <c r="EZ132" s="189" t="str">
        <f t="shared" si="306"/>
        <v xml:space="preserve">29.24,3.8,0 29.24,5.33,0.5 29.24,6.26,1 29.24,6.83,1.5 29.24,7.29,2 29.24,8.61,4 29.24,9.45,6 29.24,10.1,8 29.24,10.45,9.7 29.24,10.5,10 29.24,10.8,12 29.24,10.87,13  </v>
      </c>
      <c r="FB132" s="462">
        <f t="shared" si="274"/>
        <v>29.24</v>
      </c>
      <c r="FC132" s="464" t="str">
        <f t="shared" si="307"/>
        <v/>
      </c>
      <c r="FD132" s="462" t="str">
        <f t="shared" ref="FD132:GB132" si="360">IFERROR(CONCATENATE(ROUND($DP132,3),",",-ROUND(ABS(DK104),3),",",ROUND(EM104,3)," "),"")</f>
        <v xml:space="preserve">29.24,-3.8,0 </v>
      </c>
      <c r="FE132" s="462" t="str">
        <f t="shared" si="360"/>
        <v xml:space="preserve">29.24,-5.33,0.5 </v>
      </c>
      <c r="FF132" s="462" t="str">
        <f t="shared" si="360"/>
        <v xml:space="preserve">29.24,-6.26,1 </v>
      </c>
      <c r="FG132" s="462" t="str">
        <f t="shared" si="360"/>
        <v xml:space="preserve">29.24,-6.83,1.5 </v>
      </c>
      <c r="FH132" s="462" t="str">
        <f t="shared" si="360"/>
        <v xml:space="preserve">29.24,-7.29,2 </v>
      </c>
      <c r="FI132" s="462" t="str">
        <f t="shared" si="360"/>
        <v xml:space="preserve">29.24,-8.61,4 </v>
      </c>
      <c r="FJ132" s="462" t="str">
        <f t="shared" si="360"/>
        <v xml:space="preserve">29.24,-9.45,6 </v>
      </c>
      <c r="FK132" s="462" t="str">
        <f t="shared" si="360"/>
        <v xml:space="preserve">29.24,-10.1,8 </v>
      </c>
      <c r="FL132" s="462" t="str">
        <f t="shared" si="360"/>
        <v xml:space="preserve">29.24,-10.45,9.7 </v>
      </c>
      <c r="FM132" s="462" t="str">
        <f t="shared" si="360"/>
        <v xml:space="preserve">29.24,-10.5,10 </v>
      </c>
      <c r="FN132" s="462" t="str">
        <f t="shared" si="360"/>
        <v xml:space="preserve">29.24,-10.8,12 </v>
      </c>
      <c r="FO132" s="462" t="str">
        <f t="shared" si="360"/>
        <v xml:space="preserve">29.24,-10.87,13 </v>
      </c>
      <c r="FP132" s="462" t="str">
        <f t="shared" si="360"/>
        <v/>
      </c>
      <c r="FQ132" s="462" t="str">
        <f t="shared" si="360"/>
        <v/>
      </c>
      <c r="FR132" s="462" t="str">
        <f t="shared" si="360"/>
        <v/>
      </c>
      <c r="FS132" s="462" t="str">
        <f t="shared" si="360"/>
        <v/>
      </c>
      <c r="FT132" s="462" t="str">
        <f t="shared" si="360"/>
        <v/>
      </c>
      <c r="FU132" s="462" t="str">
        <f t="shared" si="360"/>
        <v/>
      </c>
      <c r="FV132" s="462" t="str">
        <f t="shared" si="360"/>
        <v/>
      </c>
      <c r="FW132" s="462" t="str">
        <f t="shared" si="360"/>
        <v/>
      </c>
      <c r="FX132" s="462" t="str">
        <f t="shared" si="360"/>
        <v/>
      </c>
      <c r="FY132" s="462" t="str">
        <f t="shared" si="360"/>
        <v/>
      </c>
      <c r="FZ132" s="462" t="str">
        <f t="shared" si="360"/>
        <v/>
      </c>
      <c r="GA132" s="462" t="str">
        <f t="shared" si="360"/>
        <v/>
      </c>
      <c r="GB132" s="462" t="str">
        <f t="shared" si="360"/>
        <v/>
      </c>
      <c r="GC132" s="132" t="str">
        <f t="shared" si="309"/>
        <v xml:space="preserve">29.24,10.87,13 29.24,10.8,12 29.24,10.5,10 29.24,10.45,9.7 29.24,10.1,8 29.24,9.45,6 29.24,8.61,4 29.24,7.29,2 29.24,6.83,1.5 29.24,6.26,1 29.24,5.33,0.5 29.24,3.8,0 </v>
      </c>
      <c r="GD132" s="132" t="str">
        <f t="shared" ca="1" si="276"/>
        <v>Spline 29.24,10.87,13 29.24,10.8,12 29.24,10.5,10 29.24,10.45,9.7 29.24,10.1,8 29.24,9.45,6 29.24,8.61,4 29.24,7.29,2 29.24,6.83,1.5 29.24,6.26,1 29.24,5.33,0.5 29.24,3.8,0 29.24,0,0</v>
      </c>
      <c r="GE132" s="465" t="str">
        <f t="shared" si="310"/>
        <v xml:space="preserve">29.24,-3.8,0 29.24,-5.33,0.5 29.24,-6.26,1 29.24,-6.83,1.5 29.24,-7.29,2 29.24,-8.61,4 29.24,-9.45,6 29.24,-10.1,8 29.24,-10.45,9.7 29.24,-10.5,10 29.24,-10.8,12 29.24,-10.87,13 </v>
      </c>
      <c r="GH132" s="132" t="str">
        <f t="shared" si="311"/>
        <v xml:space="preserve">Spline 29.24,10.87,13 29.24,10.8,12 29.24,10.5,10 29.24,10.45,9.7 29.24,10.1,8 29.24,9.45,6 29.24,8.61,4 29.24,7.29,2 29.24,6.83,1.5 29.24,6.26,1 29.24,5.33,0.5 29.24,3.8,0 T 29.24,0,0 </v>
      </c>
      <c r="GI132" s="132" t="str">
        <f t="shared" si="312"/>
        <v xml:space="preserve">Spline 29.24,3.8,0 29.24,0,0  Join 29.24,0,0  29.24,10.87,13 </v>
      </c>
      <c r="GP132" s="132" t="str">
        <f t="shared" si="277"/>
        <v xml:space="preserve">29.24,0,0 </v>
      </c>
      <c r="GQ132" s="132" t="str">
        <f t="shared" si="313"/>
        <v>Curve 29.24,10.87,13 29.24,10.8,12 29.24,10.5,10 29.24,10.45,9.7 29.24,10.1,8 29.24,9.45,6 29.24,8.61,4 29.24,7.29,2 29.24,6.83,1.5 29.24,6.26,1 29.24,5.33,0.5 29.24,3.8,0 29.24,0,0 _enter</v>
      </c>
    </row>
    <row r="133" spans="1:199" x14ac:dyDescent="0.25">
      <c r="A133" s="377">
        <f t="shared" si="268"/>
        <v>3</v>
      </c>
      <c r="B133" s="380" t="str">
        <f t="shared" si="278"/>
        <v xml:space="preserve">0,-16.833 </v>
      </c>
      <c r="C133" s="380" t="str">
        <f t="shared" si="279"/>
        <v xml:space="preserve">3.655,-16.173 </v>
      </c>
      <c r="D133" s="380" t="str">
        <f t="shared" si="280"/>
        <v xml:space="preserve">7.31,-14.563 </v>
      </c>
      <c r="E133" s="380" t="str">
        <f t="shared" si="281"/>
        <v xml:space="preserve">10.965,-12.973 </v>
      </c>
      <c r="F133" s="380" t="str">
        <f t="shared" si="282"/>
        <v xml:space="preserve">14.62,-11.553 </v>
      </c>
      <c r="G133" s="380" t="str">
        <f t="shared" si="283"/>
        <v xml:space="preserve">21.93,-9.073 </v>
      </c>
      <c r="H133" s="380" t="str">
        <f t="shared" si="284"/>
        <v xml:space="preserve">29.24,-7.383 </v>
      </c>
      <c r="I133" s="380" t="str">
        <f t="shared" si="285"/>
        <v xml:space="preserve">36.55,-6.533 </v>
      </c>
      <c r="J133" s="380" t="str">
        <f t="shared" si="286"/>
        <v xml:space="preserve">43.86,-5.933 </v>
      </c>
      <c r="K133" s="380" t="str">
        <f t="shared" si="287"/>
        <v xml:space="preserve">51.17,-5.833 </v>
      </c>
      <c r="L133" s="380" t="str">
        <f t="shared" si="288"/>
        <v xml:space="preserve">58.48,-5.833 </v>
      </c>
      <c r="M133" s="380" t="str">
        <f t="shared" si="289"/>
        <v xml:space="preserve">65.79,-5.833 </v>
      </c>
      <c r="N133" s="380" t="str">
        <f t="shared" si="290"/>
        <v xml:space="preserve">73.1,-5.833 </v>
      </c>
      <c r="O133" s="380" t="str">
        <f t="shared" si="291"/>
        <v xml:space="preserve">80.41,-5.833 </v>
      </c>
      <c r="P133" s="380" t="str">
        <f t="shared" si="292"/>
        <v xml:space="preserve">87.72,-5.833 </v>
      </c>
      <c r="Q133" s="380" t="str">
        <f t="shared" si="293"/>
        <v xml:space="preserve">95.03,-5.833 </v>
      </c>
      <c r="R133" s="380" t="str">
        <f t="shared" si="294"/>
        <v xml:space="preserve">102.34,-5.833 </v>
      </c>
      <c r="S133" s="380" t="str">
        <f t="shared" si="295"/>
        <v xml:space="preserve">109.65,-5.833 </v>
      </c>
      <c r="T133" s="380" t="str">
        <f t="shared" si="296"/>
        <v xml:space="preserve">116.96,-6.133 </v>
      </c>
      <c r="U133" s="380" t="str">
        <f t="shared" si="297"/>
        <v xml:space="preserve">124.27,-7.143 </v>
      </c>
      <c r="V133" s="380" t="str">
        <f t="shared" si="298"/>
        <v xml:space="preserve">131.58,-9.263 </v>
      </c>
      <c r="W133" s="380" t="str">
        <f t="shared" si="299"/>
        <v xml:space="preserve">135.235,-10.783 </v>
      </c>
      <c r="X133" s="380" t="str">
        <f t="shared" si="300"/>
        <v xml:space="preserve">138.89,-12.603 </v>
      </c>
      <c r="Y133" s="380" t="str">
        <f t="shared" si="301"/>
        <v xml:space="preserve">142.545,-14.453 </v>
      </c>
      <c r="Z133" s="398" t="str">
        <f t="shared" si="302"/>
        <v xml:space="preserve">146.2,-16.333 </v>
      </c>
      <c r="AB133" s="248" t="str">
        <f t="shared" si="314"/>
        <v xml:space="preserve">Spline </v>
      </c>
      <c r="AC133" s="248" t="str">
        <f>Tools!B133</f>
        <v xml:space="preserve">0,-16.833 </v>
      </c>
      <c r="AD133" s="248" t="str">
        <f>Tools!C133</f>
        <v xml:space="preserve">3.655,-16.173 </v>
      </c>
      <c r="AE133" s="248" t="str">
        <f>Tools!D133</f>
        <v xml:space="preserve">7.31,-14.563 </v>
      </c>
      <c r="AF133" s="248" t="str">
        <f>Tools!E133</f>
        <v xml:space="preserve">10.965,-12.973 </v>
      </c>
      <c r="AG133" s="248" t="str">
        <f>Tools!F133</f>
        <v xml:space="preserve">14.62,-11.553 </v>
      </c>
      <c r="AH133" s="248" t="str">
        <f>Tools!G133</f>
        <v xml:space="preserve">21.93,-9.073 </v>
      </c>
      <c r="AI133" s="248" t="str">
        <f>Tools!H133</f>
        <v xml:space="preserve">29.24,-7.383 </v>
      </c>
      <c r="AJ133" s="248" t="str">
        <f>Tools!I133</f>
        <v xml:space="preserve">36.55,-6.533 </v>
      </c>
      <c r="AK133" s="248" t="str">
        <f>Tools!J133</f>
        <v xml:space="preserve">43.86,-5.933 </v>
      </c>
      <c r="AL133" s="248" t="str">
        <f>Tools!K133</f>
        <v xml:space="preserve">51.17,-5.833 </v>
      </c>
      <c r="AM133" s="248" t="str">
        <f>Tools!L133</f>
        <v xml:space="preserve">58.48,-5.833 </v>
      </c>
      <c r="AN133" s="248" t="str">
        <f>Tools!M133</f>
        <v xml:space="preserve">65.79,-5.833 </v>
      </c>
      <c r="AO133" s="248" t="str">
        <f>Tools!N133</f>
        <v xml:space="preserve">73.1,-5.833 </v>
      </c>
      <c r="AP133" s="248" t="str">
        <f>Tools!O133</f>
        <v xml:space="preserve">80.41,-5.833 </v>
      </c>
      <c r="AQ133" s="248" t="str">
        <f>Tools!P133</f>
        <v xml:space="preserve">87.72,-5.833 </v>
      </c>
      <c r="AR133" s="248" t="str">
        <f>Tools!Q133</f>
        <v xml:space="preserve">95.03,-5.833 </v>
      </c>
      <c r="AS133" s="248" t="str">
        <f>Tools!R133</f>
        <v xml:space="preserve">102.34,-5.833 </v>
      </c>
      <c r="AT133" s="248" t="str">
        <f>Tools!S133</f>
        <v xml:space="preserve">109.65,-5.833 </v>
      </c>
      <c r="AU133" s="248" t="str">
        <f>Tools!T133</f>
        <v xml:space="preserve">116.96,-6.133 </v>
      </c>
      <c r="AV133" s="248" t="str">
        <f>Tools!U133</f>
        <v xml:space="preserve">124.27,-7.143 </v>
      </c>
      <c r="AW133" s="248" t="str">
        <f>Tools!V133</f>
        <v xml:space="preserve">131.58,-9.263 </v>
      </c>
      <c r="AX133" s="248" t="str">
        <f>Tools!W133</f>
        <v xml:space="preserve">135.235,-10.783 </v>
      </c>
      <c r="AY133" s="248" t="str">
        <f>Tools!X133</f>
        <v xml:space="preserve">138.89,-12.603 </v>
      </c>
      <c r="AZ133" s="248" t="str">
        <f>Tools!Y133</f>
        <v xml:space="preserve">142.545,-14.453 </v>
      </c>
      <c r="BA133" s="399" t="str">
        <f>Tools!Z133</f>
        <v xml:space="preserve">146.2,-16.333 </v>
      </c>
      <c r="BC133" s="277">
        <f>Offset!Q8</f>
        <v>3</v>
      </c>
      <c r="BD133" s="280" t="str">
        <f>IF(ISNUMBER(VLOOKUP(BC133,Offset!Q$2:R$27,2,FALSE)),VLOOKUP(BC133,Offset!Q$2:R$27,2,FALSE),"-")</f>
        <v>-</v>
      </c>
      <c r="BE133" s="280" t="e">
        <f t="shared" si="350"/>
        <v>#VALUE!</v>
      </c>
      <c r="BF133" s="280" t="str">
        <f t="shared" si="316"/>
        <v>#NA</v>
      </c>
      <c r="BG133" s="280" t="str">
        <f t="shared" si="317"/>
        <v>#NA</v>
      </c>
      <c r="BH133" s="280" t="str">
        <f t="shared" si="318"/>
        <v>#NA</v>
      </c>
      <c r="BI133" s="280" t="str">
        <f t="shared" si="319"/>
        <v>#NA</v>
      </c>
      <c r="BJ133" s="280" t="str">
        <f t="shared" si="320"/>
        <v>#NA</v>
      </c>
      <c r="BK133" s="280" t="str">
        <f t="shared" si="321"/>
        <v>#NA</v>
      </c>
      <c r="BL133" s="280" t="str">
        <f t="shared" si="322"/>
        <v>#NA</v>
      </c>
      <c r="BM133" s="280"/>
      <c r="BN133" s="280" t="e">
        <f t="shared" si="323"/>
        <v>#VALUE!</v>
      </c>
      <c r="BO133" s="280" t="e">
        <f t="shared" si="324"/>
        <v>#VALUE!</v>
      </c>
      <c r="BP133" s="280" t="e">
        <f t="shared" si="325"/>
        <v>#VALUE!</v>
      </c>
      <c r="BQ133" s="280" t="e">
        <f t="shared" si="326"/>
        <v>#VALUE!</v>
      </c>
      <c r="BR133" s="280" t="e">
        <f t="shared" si="327"/>
        <v>#VALUE!</v>
      </c>
      <c r="BS133" s="280" t="e">
        <f t="shared" si="328"/>
        <v>#VALUE!</v>
      </c>
      <c r="BT133" s="280" t="e">
        <f t="shared" si="329"/>
        <v>#VALUE!</v>
      </c>
      <c r="BU133" s="280" t="e">
        <f t="shared" si="330"/>
        <v>#VALUE!</v>
      </c>
      <c r="BV133" s="280" t="e">
        <f t="shared" si="331"/>
        <v>#VALUE!</v>
      </c>
      <c r="BW133" s="280" t="e">
        <f t="shared" si="332"/>
        <v>#VALUE!</v>
      </c>
      <c r="BX133" s="280" t="e">
        <f t="shared" si="351"/>
        <v>#VALUE!</v>
      </c>
      <c r="BY133" s="280" t="e">
        <f t="shared" si="333"/>
        <v>#VALUE!</v>
      </c>
      <c r="BZ133" s="280" t="e">
        <f t="shared" si="334"/>
        <v>#VALUE!</v>
      </c>
      <c r="CA133" s="280" t="e">
        <f t="shared" si="335"/>
        <v>#VALUE!</v>
      </c>
      <c r="CB133" s="280" t="e">
        <f t="shared" si="336"/>
        <v>#VALUE!</v>
      </c>
      <c r="CC133" s="280" t="e">
        <f t="shared" si="337"/>
        <v>#VALUE!</v>
      </c>
      <c r="CD133" s="280" t="e">
        <f t="shared" si="338"/>
        <v>#VALUE!</v>
      </c>
      <c r="CE133" s="280" t="e">
        <f t="shared" si="339"/>
        <v>#VALUE!</v>
      </c>
      <c r="CF133" s="280" t="e">
        <f t="shared" si="340"/>
        <v>#VALUE!</v>
      </c>
      <c r="CG133" s="280" t="e">
        <f t="shared" si="341"/>
        <v>#VALUE!</v>
      </c>
      <c r="CH133" s="280" t="e">
        <f t="shared" si="342"/>
        <v>#VALUE!</v>
      </c>
      <c r="CI133" s="280" t="e">
        <f t="shared" si="343"/>
        <v>#VALUE!</v>
      </c>
      <c r="CJ133" s="280" t="e">
        <f t="shared" si="344"/>
        <v>#VALUE!</v>
      </c>
      <c r="CK133" s="280" t="e">
        <f t="shared" si="345"/>
        <v>#VALUE!</v>
      </c>
      <c r="CL133" s="280" t="e">
        <f t="shared" si="346"/>
        <v>#VALUE!</v>
      </c>
      <c r="CM133" s="279">
        <f t="shared" si="352"/>
        <v>0</v>
      </c>
      <c r="CO133" s="458">
        <v>6</v>
      </c>
      <c r="CP133" s="458" t="e">
        <v>#N/A</v>
      </c>
      <c r="CQ133" s="458">
        <v>-0.66</v>
      </c>
      <c r="CR133" s="458">
        <v>-2.27</v>
      </c>
      <c r="CS133" s="458">
        <v>-3.86</v>
      </c>
      <c r="CT133" s="458">
        <v>-5.28</v>
      </c>
      <c r="CU133" s="458">
        <v>-7.76</v>
      </c>
      <c r="CV133" s="458">
        <v>-9.4499999999999993</v>
      </c>
      <c r="CW133" s="458">
        <v>-10.3</v>
      </c>
      <c r="CX133" s="458">
        <v>-10.9</v>
      </c>
      <c r="CY133" s="458">
        <v>-11</v>
      </c>
      <c r="CZ133" s="458">
        <v>-11</v>
      </c>
      <c r="DA133" s="458">
        <v>-11</v>
      </c>
      <c r="DB133" s="458">
        <v>-11</v>
      </c>
      <c r="DC133" s="458">
        <v>11</v>
      </c>
      <c r="DD133" s="458">
        <v>11</v>
      </c>
      <c r="DE133" s="458">
        <v>11</v>
      </c>
      <c r="DF133" s="458">
        <v>11</v>
      </c>
      <c r="DG133" s="458">
        <v>11</v>
      </c>
      <c r="DH133" s="458">
        <v>10.7</v>
      </c>
      <c r="DI133" s="458">
        <v>9.69</v>
      </c>
      <c r="DJ133" s="458">
        <v>7.57</v>
      </c>
      <c r="DK133" s="458">
        <v>6.05</v>
      </c>
      <c r="DL133" s="458">
        <v>4.2300000000000004</v>
      </c>
      <c r="DM133" s="458">
        <v>2.38</v>
      </c>
      <c r="DN133" s="458">
        <v>0.5</v>
      </c>
      <c r="DO133" s="400"/>
      <c r="DP133" s="462">
        <f t="shared" si="269"/>
        <v>36.549999999999997</v>
      </c>
      <c r="DQ133" s="462" t="str">
        <f t="shared" si="270"/>
        <v/>
      </c>
      <c r="DR133" s="462" t="str">
        <f t="shared" ref="DR133:EO133" si="361">IFERROR(CONCATENATE(ROUND($DP133,3),",",ROUND(ABS(DK105),3),",",ROUND(EM105,3)," "),"")</f>
        <v xml:space="preserve">36.55,5.9,0 </v>
      </c>
      <c r="DS133" s="462" t="str">
        <f t="shared" si="361"/>
        <v xml:space="preserve">36.55,7.26,0.5 </v>
      </c>
      <c r="DT133" s="462" t="str">
        <f t="shared" si="361"/>
        <v xml:space="preserve">36.55,8.12,1 </v>
      </c>
      <c r="DU133" s="462" t="str">
        <f t="shared" si="361"/>
        <v xml:space="preserve">36.55,8.7,1.5 </v>
      </c>
      <c r="DV133" s="462" t="str">
        <f t="shared" si="361"/>
        <v xml:space="preserve">36.55,9.07,2 </v>
      </c>
      <c r="DW133" s="462" t="str">
        <f t="shared" si="361"/>
        <v xml:space="preserve">36.55,9.95,4 </v>
      </c>
      <c r="DX133" s="462" t="str">
        <f t="shared" si="361"/>
        <v xml:space="preserve">36.55,10.3,6 </v>
      </c>
      <c r="DY133" s="462" t="str">
        <f t="shared" si="361"/>
        <v xml:space="preserve">36.55,10.58,8 </v>
      </c>
      <c r="DZ133" s="462" t="str">
        <f t="shared" si="361"/>
        <v xml:space="preserve">36.55,10.72,9.7 </v>
      </c>
      <c r="EA133" s="462" t="str">
        <f t="shared" si="361"/>
        <v xml:space="preserve">36.55,10.74,10 </v>
      </c>
      <c r="EB133" s="462" t="str">
        <f t="shared" si="361"/>
        <v xml:space="preserve">36.55,10.9,12 </v>
      </c>
      <c r="EC133" s="462" t="str">
        <f t="shared" si="361"/>
        <v xml:space="preserve">36.55,11,13 </v>
      </c>
      <c r="ED133" s="462" t="str">
        <f t="shared" si="361"/>
        <v/>
      </c>
      <c r="EE133" s="462" t="str">
        <f t="shared" si="361"/>
        <v/>
      </c>
      <c r="EF133" s="462" t="str">
        <f t="shared" si="361"/>
        <v/>
      </c>
      <c r="EG133" s="462" t="str">
        <f t="shared" si="361"/>
        <v/>
      </c>
      <c r="EH133" s="462" t="str">
        <f t="shared" si="361"/>
        <v/>
      </c>
      <c r="EI133" s="462" t="str">
        <f t="shared" si="361"/>
        <v/>
      </c>
      <c r="EJ133" s="462" t="str">
        <f t="shared" si="361"/>
        <v/>
      </c>
      <c r="EK133" s="462" t="str">
        <f t="shared" si="361"/>
        <v/>
      </c>
      <c r="EL133" s="462" t="str">
        <f t="shared" si="361"/>
        <v/>
      </c>
      <c r="EM133" s="462" t="str">
        <f t="shared" si="361"/>
        <v/>
      </c>
      <c r="EN133" s="462" t="str">
        <f t="shared" si="361"/>
        <v/>
      </c>
      <c r="EO133" s="462" t="str">
        <f t="shared" si="361"/>
        <v/>
      </c>
      <c r="EP133" s="462" t="str">
        <f t="shared" si="270"/>
        <v/>
      </c>
      <c r="ER133" s="461" t="str">
        <f t="shared" si="304"/>
        <v xml:space="preserve">36.55,5.9,0 36.55,7.26,0.5 36.55,8.12,1 36.55,8.7,1.5 36.55,9.07,2 36.55,9.95,4 36.55,10.3,6 36.55,10.58,8 36.55,10.72,9.7 36.55,10.74,10 36.55,10.9,12 36.55,11,13 </v>
      </c>
      <c r="ES133" s="189" t="str">
        <f t="shared" ca="1" si="348"/>
        <v xml:space="preserve">Spline 36.55,0,0 36.55,5.9,0 36.55,7.26,0.5 36.55,8.12,1 36.55,8.7,1.5 36.55,9.07,2 36.55,9.95,4 36.55,10.3,6 36.55,10.58,8 36.55,10.72,9.7 36.55,10.74,10 36.55,10.9,12 36.55,11,13  </v>
      </c>
      <c r="ET133" s="132" t="str">
        <f t="shared" ca="1" si="305"/>
        <v xml:space="preserve">Spline 36.55,0,0 36.55,5.9,0 36.55,7.26,0.5 36.55,8.12,1 36.55,8.7,1.5 36.55,9.07,2 36.55,9.95,4 36.55,10.3,6 36.55,10.58,8 36.55,10.72,9.7 36.55,10.74,10 36.55,10.9,12 36.55,11,13  </v>
      </c>
      <c r="EU133" s="132">
        <f ca="1">COUNTIF(BP_8,NA())</f>
        <v>0</v>
      </c>
      <c r="EV133" s="132">
        <f t="shared" ca="1" si="271"/>
        <v>0</v>
      </c>
      <c r="EW133" s="132">
        <v>8</v>
      </c>
      <c r="EX133" s="132" t="str">
        <f t="shared" si="272"/>
        <v xml:space="preserve">36.55,11,13 </v>
      </c>
      <c r="EY133" s="132" t="str">
        <f t="shared" ca="1" si="273"/>
        <v xml:space="preserve">Spline 36.55,0,0 36.55,11,13 36.55,10.9,12 36.55,10.74,10 36.55,10.72,9.7 36.55,10.58,8 36.55,10.3,6 36.55,9.95,4 36.55,9.07,2 36.55,8.7,1.5 36.55,8.12,1 36.55,7.26,0.5 36.55,5.9,0 </v>
      </c>
      <c r="EZ133" s="189" t="str">
        <f t="shared" si="306"/>
        <v xml:space="preserve">36.55,5.9,0 36.55,7.26,0.5 36.55,8.12,1 36.55,8.7,1.5 36.55,9.07,2 36.55,9.95,4 36.55,10.3,6 36.55,10.58,8 36.55,10.72,9.7 36.55,10.74,10 36.55,10.9,12 36.55,11,13  </v>
      </c>
      <c r="FB133" s="462">
        <f t="shared" si="274"/>
        <v>36.549999999999997</v>
      </c>
      <c r="FC133" s="464" t="str">
        <f t="shared" si="307"/>
        <v/>
      </c>
      <c r="FD133" s="462" t="str">
        <f t="shared" ref="FD133:GB133" si="362">IFERROR(CONCATENATE(ROUND($DP133,3),",",-ROUND(ABS(DK105),3),",",ROUND(EM105,3)," "),"")</f>
        <v xml:space="preserve">36.55,-5.9,0 </v>
      </c>
      <c r="FE133" s="462" t="str">
        <f t="shared" si="362"/>
        <v xml:space="preserve">36.55,-7.26,0.5 </v>
      </c>
      <c r="FF133" s="462" t="str">
        <f t="shared" si="362"/>
        <v xml:space="preserve">36.55,-8.12,1 </v>
      </c>
      <c r="FG133" s="462" t="str">
        <f t="shared" si="362"/>
        <v xml:space="preserve">36.55,-8.7,1.5 </v>
      </c>
      <c r="FH133" s="462" t="str">
        <f t="shared" si="362"/>
        <v xml:space="preserve">36.55,-9.07,2 </v>
      </c>
      <c r="FI133" s="462" t="str">
        <f t="shared" si="362"/>
        <v xml:space="preserve">36.55,-9.95,4 </v>
      </c>
      <c r="FJ133" s="462" t="str">
        <f t="shared" si="362"/>
        <v xml:space="preserve">36.55,-10.3,6 </v>
      </c>
      <c r="FK133" s="462" t="str">
        <f t="shared" si="362"/>
        <v xml:space="preserve">36.55,-10.58,8 </v>
      </c>
      <c r="FL133" s="462" t="str">
        <f t="shared" si="362"/>
        <v xml:space="preserve">36.55,-10.72,9.7 </v>
      </c>
      <c r="FM133" s="462" t="str">
        <f t="shared" si="362"/>
        <v xml:space="preserve">36.55,-10.74,10 </v>
      </c>
      <c r="FN133" s="462" t="str">
        <f t="shared" si="362"/>
        <v xml:space="preserve">36.55,-10.9,12 </v>
      </c>
      <c r="FO133" s="462" t="str">
        <f t="shared" si="362"/>
        <v xml:space="preserve">36.55,-11,13 </v>
      </c>
      <c r="FP133" s="462" t="str">
        <f t="shared" si="362"/>
        <v/>
      </c>
      <c r="FQ133" s="462" t="str">
        <f t="shared" si="362"/>
        <v/>
      </c>
      <c r="FR133" s="462" t="str">
        <f t="shared" si="362"/>
        <v/>
      </c>
      <c r="FS133" s="462" t="str">
        <f t="shared" si="362"/>
        <v/>
      </c>
      <c r="FT133" s="462" t="str">
        <f t="shared" si="362"/>
        <v/>
      </c>
      <c r="FU133" s="462" t="str">
        <f t="shared" si="362"/>
        <v/>
      </c>
      <c r="FV133" s="462" t="str">
        <f t="shared" si="362"/>
        <v/>
      </c>
      <c r="FW133" s="462" t="str">
        <f t="shared" si="362"/>
        <v/>
      </c>
      <c r="FX133" s="462" t="str">
        <f t="shared" si="362"/>
        <v/>
      </c>
      <c r="FY133" s="462" t="str">
        <f t="shared" si="362"/>
        <v/>
      </c>
      <c r="FZ133" s="462" t="str">
        <f t="shared" si="362"/>
        <v/>
      </c>
      <c r="GA133" s="462" t="str">
        <f t="shared" si="362"/>
        <v/>
      </c>
      <c r="GB133" s="462" t="str">
        <f t="shared" si="362"/>
        <v/>
      </c>
      <c r="GC133" s="132" t="str">
        <f t="shared" si="309"/>
        <v xml:space="preserve">36.55,11,13 36.55,10.9,12 36.55,10.74,10 36.55,10.72,9.7 36.55,10.58,8 36.55,10.3,6 36.55,9.95,4 36.55,9.07,2 36.55,8.7,1.5 36.55,8.12,1 36.55,7.26,0.5 36.55,5.9,0 </v>
      </c>
      <c r="GD133" s="132" t="str">
        <f t="shared" ca="1" si="276"/>
        <v>Spline 36.55,11,13 36.55,10.9,12 36.55,10.74,10 36.55,10.72,9.7 36.55,10.58,8 36.55,10.3,6 36.55,9.95,4 36.55,9.07,2 36.55,8.7,1.5 36.55,8.12,1 36.55,7.26,0.5 36.55,5.9,0 36.55,0,0</v>
      </c>
      <c r="GE133" s="465" t="str">
        <f t="shared" si="310"/>
        <v xml:space="preserve">36.55,-5.9,0 36.55,-7.26,0.5 36.55,-8.12,1 36.55,-8.7,1.5 36.55,-9.07,2 36.55,-9.95,4 36.55,-10.3,6 36.55,-10.58,8 36.55,-10.72,9.7 36.55,-10.74,10 36.55,-10.9,12 36.55,-11,13 </v>
      </c>
      <c r="GH133" s="132" t="str">
        <f t="shared" si="311"/>
        <v xml:space="preserve">Spline 36.55,11,13 36.55,10.9,12 36.55,10.74,10 36.55,10.72,9.7 36.55,10.58,8 36.55,10.3,6 36.55,9.95,4 36.55,9.07,2 36.55,8.7,1.5 36.55,8.12,1 36.55,7.26,0.5 36.55,5.9,0 T 36.55,0,0 </v>
      </c>
      <c r="GI133" s="132" t="str">
        <f t="shared" si="312"/>
        <v xml:space="preserve">Spline 36.55,5.9,0 36.55,0,0  Join 36.55,0,0  36.55,11,13 </v>
      </c>
      <c r="GP133" s="132" t="str">
        <f t="shared" si="277"/>
        <v xml:space="preserve">36.55,0,0 </v>
      </c>
      <c r="GQ133" s="132" t="str">
        <f t="shared" si="313"/>
        <v>Curve 36.55,11,13 36.55,10.9,12 36.55,10.74,10 36.55,10.72,9.7 36.55,10.58,8 36.55,10.3,6 36.55,9.95,4 36.55,9.07,2 36.55,8.7,1.5 36.55,8.12,1 36.55,7.26,0.5 36.55,5.9,0 36.55,0,0 _enter</v>
      </c>
    </row>
    <row r="134" spans="1:199" x14ac:dyDescent="0.25">
      <c r="A134" s="377">
        <f t="shared" si="268"/>
        <v>4</v>
      </c>
      <c r="B134" s="380" t="str">
        <f t="shared" si="278"/>
        <v xml:space="preserve">0,-15.933 </v>
      </c>
      <c r="C134" s="380" t="str">
        <f t="shared" si="279"/>
        <v xml:space="preserve">3.655,-14.403 </v>
      </c>
      <c r="D134" s="380" t="str">
        <f t="shared" si="280"/>
        <v xml:space="preserve">7.31,-12.823 </v>
      </c>
      <c r="E134" s="380" t="str">
        <f t="shared" si="281"/>
        <v xml:space="preserve">10.965,-11.333 </v>
      </c>
      <c r="F134" s="380" t="str">
        <f t="shared" si="282"/>
        <v xml:space="preserve">14.62,-10.133 </v>
      </c>
      <c r="G134" s="380" t="str">
        <f t="shared" si="283"/>
        <v xml:space="preserve">21.93,-8.183 </v>
      </c>
      <c r="H134" s="380" t="str">
        <f t="shared" si="284"/>
        <v xml:space="preserve">29.24,-6.733 </v>
      </c>
      <c r="I134" s="380" t="str">
        <f t="shared" si="285"/>
        <v xml:space="preserve">36.55,-6.253 </v>
      </c>
      <c r="J134" s="380" t="str">
        <f t="shared" si="286"/>
        <v xml:space="preserve">43.86,-5.833 </v>
      </c>
      <c r="K134" s="380" t="str">
        <f t="shared" si="287"/>
        <v xml:space="preserve">51.17,-5.833 </v>
      </c>
      <c r="L134" s="380" t="str">
        <f t="shared" si="288"/>
        <v xml:space="preserve">58.48,-5.833 </v>
      </c>
      <c r="M134" s="380" t="str">
        <f t="shared" si="289"/>
        <v xml:space="preserve">65.79,-5.833 </v>
      </c>
      <c r="N134" s="380" t="str">
        <f t="shared" si="290"/>
        <v xml:space="preserve">73.1,-5.833 </v>
      </c>
      <c r="O134" s="380" t="str">
        <f t="shared" si="291"/>
        <v xml:space="preserve">80.41,-5.833 </v>
      </c>
      <c r="P134" s="380" t="str">
        <f t="shared" si="292"/>
        <v xml:space="preserve">87.72,-5.833 </v>
      </c>
      <c r="Q134" s="380" t="str">
        <f t="shared" si="293"/>
        <v xml:space="preserve">95.03,-5.833 </v>
      </c>
      <c r="R134" s="380" t="str">
        <f t="shared" si="294"/>
        <v xml:space="preserve">102.34,-5.833 </v>
      </c>
      <c r="S134" s="380" t="str">
        <f t="shared" si="295"/>
        <v xml:space="preserve">109.65,-5.833 </v>
      </c>
      <c r="T134" s="380" t="str">
        <f t="shared" si="296"/>
        <v xml:space="preserve">116.96,-6.033 </v>
      </c>
      <c r="U134" s="380" t="str">
        <f t="shared" si="297"/>
        <v xml:space="preserve">124.27,-6.843 </v>
      </c>
      <c r="V134" s="380" t="str">
        <f t="shared" si="298"/>
        <v xml:space="preserve">131.58,-8.904 </v>
      </c>
      <c r="W134" s="380" t="str">
        <f t="shared" si="299"/>
        <v xml:space="preserve">135.235,-10.443 </v>
      </c>
      <c r="X134" s="380" t="str">
        <f t="shared" si="300"/>
        <v xml:space="preserve">138.89,-12.363 </v>
      </c>
      <c r="Y134" s="380" t="str">
        <f t="shared" si="301"/>
        <v xml:space="preserve">142.545,-14.583 </v>
      </c>
      <c r="Z134" s="398" t="str">
        <f t="shared" si="302"/>
        <v xml:space="preserve">146.2,-16.753 </v>
      </c>
      <c r="AB134" s="248" t="str">
        <f t="shared" si="314"/>
        <v xml:space="preserve">Spline </v>
      </c>
      <c r="AC134" s="248" t="str">
        <f>Tools!B134</f>
        <v xml:space="preserve">0,-15.933 </v>
      </c>
      <c r="AD134" s="248" t="str">
        <f>Tools!C134</f>
        <v xml:space="preserve">3.655,-14.403 </v>
      </c>
      <c r="AE134" s="248" t="str">
        <f>Tools!D134</f>
        <v xml:space="preserve">7.31,-12.823 </v>
      </c>
      <c r="AF134" s="248" t="str">
        <f>Tools!E134</f>
        <v xml:space="preserve">10.965,-11.333 </v>
      </c>
      <c r="AG134" s="248" t="str">
        <f>Tools!F134</f>
        <v xml:space="preserve">14.62,-10.133 </v>
      </c>
      <c r="AH134" s="248" t="str">
        <f>Tools!G134</f>
        <v xml:space="preserve">21.93,-8.183 </v>
      </c>
      <c r="AI134" s="248" t="str">
        <f>Tools!H134</f>
        <v xml:space="preserve">29.24,-6.733 </v>
      </c>
      <c r="AJ134" s="248" t="str">
        <f>Tools!I134</f>
        <v xml:space="preserve">36.55,-6.253 </v>
      </c>
      <c r="AK134" s="248" t="str">
        <f>Tools!J134</f>
        <v xml:space="preserve">43.86,-5.833 </v>
      </c>
      <c r="AL134" s="248" t="str">
        <f>Tools!K134</f>
        <v xml:space="preserve">51.17,-5.833 </v>
      </c>
      <c r="AM134" s="248" t="str">
        <f>Tools!L134</f>
        <v xml:space="preserve">58.48,-5.833 </v>
      </c>
      <c r="AN134" s="248" t="str">
        <f>Tools!M134</f>
        <v xml:space="preserve">65.79,-5.833 </v>
      </c>
      <c r="AO134" s="248" t="str">
        <f>Tools!N134</f>
        <v xml:space="preserve">73.1,-5.833 </v>
      </c>
      <c r="AP134" s="248" t="str">
        <f>Tools!O134</f>
        <v xml:space="preserve">80.41,-5.833 </v>
      </c>
      <c r="AQ134" s="248" t="str">
        <f>Tools!P134</f>
        <v xml:space="preserve">87.72,-5.833 </v>
      </c>
      <c r="AR134" s="248" t="str">
        <f>Tools!Q134</f>
        <v xml:space="preserve">95.03,-5.833 </v>
      </c>
      <c r="AS134" s="248" t="str">
        <f>Tools!R134</f>
        <v xml:space="preserve">102.34,-5.833 </v>
      </c>
      <c r="AT134" s="248" t="str">
        <f>Tools!S134</f>
        <v xml:space="preserve">109.65,-5.833 </v>
      </c>
      <c r="AU134" s="248" t="str">
        <f>Tools!T134</f>
        <v xml:space="preserve">116.96,-6.033 </v>
      </c>
      <c r="AV134" s="248" t="str">
        <f>Tools!U134</f>
        <v xml:space="preserve">124.27,-6.843 </v>
      </c>
      <c r="AW134" s="248" t="str">
        <f>Tools!V134</f>
        <v xml:space="preserve">131.58,-8.904 </v>
      </c>
      <c r="AX134" s="248" t="str">
        <f>Tools!W134</f>
        <v xml:space="preserve">135.235,-10.443 </v>
      </c>
      <c r="AY134" s="248" t="str">
        <f>Tools!X134</f>
        <v xml:space="preserve">138.89,-12.363 </v>
      </c>
      <c r="AZ134" s="248" t="str">
        <f>Tools!Y134</f>
        <v xml:space="preserve">142.545,-14.583 </v>
      </c>
      <c r="BA134" s="399" t="str">
        <f>Tools!Z134</f>
        <v xml:space="preserve">146.2,-16.753 </v>
      </c>
      <c r="BC134" s="277">
        <f>Offset!Q9</f>
        <v>4</v>
      </c>
      <c r="BD134" s="280" t="str">
        <f>IF(ISNUMBER(VLOOKUP(BC134,Offset!Q$2:R$27,2,FALSE)),VLOOKUP(BC134,Offset!Q$2:R$27,2,FALSE),"-")</f>
        <v>-</v>
      </c>
      <c r="BE134" s="280" t="e">
        <f t="shared" si="350"/>
        <v>#VALUE!</v>
      </c>
      <c r="BF134" s="280" t="str">
        <f t="shared" si="316"/>
        <v>#NA</v>
      </c>
      <c r="BG134" s="280" t="str">
        <f t="shared" si="317"/>
        <v>#NA</v>
      </c>
      <c r="BH134" s="280" t="str">
        <f t="shared" si="318"/>
        <v>#NA</v>
      </c>
      <c r="BI134" s="280" t="str">
        <f t="shared" si="319"/>
        <v>#NA</v>
      </c>
      <c r="BJ134" s="280" t="str">
        <f t="shared" si="320"/>
        <v>#NA</v>
      </c>
      <c r="BK134" s="280" t="str">
        <f t="shared" si="321"/>
        <v>#NA</v>
      </c>
      <c r="BL134" s="280" t="str">
        <f t="shared" si="322"/>
        <v>#NA</v>
      </c>
      <c r="BM134" s="280"/>
      <c r="BN134" s="280" t="e">
        <f t="shared" si="323"/>
        <v>#VALUE!</v>
      </c>
      <c r="BO134" s="280" t="e">
        <f t="shared" si="324"/>
        <v>#VALUE!</v>
      </c>
      <c r="BP134" s="280" t="e">
        <f t="shared" si="325"/>
        <v>#VALUE!</v>
      </c>
      <c r="BQ134" s="280" t="e">
        <f t="shared" si="326"/>
        <v>#VALUE!</v>
      </c>
      <c r="BR134" s="280" t="e">
        <f t="shared" si="327"/>
        <v>#VALUE!</v>
      </c>
      <c r="BS134" s="280" t="e">
        <f t="shared" si="328"/>
        <v>#VALUE!</v>
      </c>
      <c r="BT134" s="280" t="e">
        <f t="shared" si="329"/>
        <v>#VALUE!</v>
      </c>
      <c r="BU134" s="280" t="e">
        <f t="shared" si="330"/>
        <v>#VALUE!</v>
      </c>
      <c r="BV134" s="280" t="e">
        <f t="shared" si="331"/>
        <v>#VALUE!</v>
      </c>
      <c r="BW134" s="280" t="e">
        <f t="shared" si="332"/>
        <v>#VALUE!</v>
      </c>
      <c r="BX134" s="280" t="e">
        <f t="shared" si="351"/>
        <v>#VALUE!</v>
      </c>
      <c r="BY134" s="280" t="e">
        <f t="shared" si="333"/>
        <v>#VALUE!</v>
      </c>
      <c r="BZ134" s="280" t="e">
        <f t="shared" si="334"/>
        <v>#VALUE!</v>
      </c>
      <c r="CA134" s="280" t="e">
        <f t="shared" si="335"/>
        <v>#VALUE!</v>
      </c>
      <c r="CB134" s="280" t="e">
        <f t="shared" si="336"/>
        <v>#VALUE!</v>
      </c>
      <c r="CC134" s="280" t="e">
        <f t="shared" si="337"/>
        <v>#VALUE!</v>
      </c>
      <c r="CD134" s="280" t="e">
        <f t="shared" si="338"/>
        <v>#VALUE!</v>
      </c>
      <c r="CE134" s="280" t="e">
        <f t="shared" si="339"/>
        <v>#VALUE!</v>
      </c>
      <c r="CF134" s="280" t="e">
        <f t="shared" si="340"/>
        <v>#VALUE!</v>
      </c>
      <c r="CG134" s="280" t="e">
        <f t="shared" si="341"/>
        <v>#VALUE!</v>
      </c>
      <c r="CH134" s="280" t="e">
        <f t="shared" si="342"/>
        <v>#VALUE!</v>
      </c>
      <c r="CI134" s="280" t="e">
        <f t="shared" si="343"/>
        <v>#VALUE!</v>
      </c>
      <c r="CJ134" s="280" t="e">
        <f t="shared" si="344"/>
        <v>#VALUE!</v>
      </c>
      <c r="CK134" s="280" t="e">
        <f t="shared" si="345"/>
        <v>#VALUE!</v>
      </c>
      <c r="CL134" s="280" t="e">
        <f t="shared" si="346"/>
        <v>#VALUE!</v>
      </c>
      <c r="CM134" s="279">
        <f t="shared" si="352"/>
        <v>0</v>
      </c>
      <c r="CO134" s="458">
        <v>8</v>
      </c>
      <c r="CP134" s="458">
        <v>-0.9</v>
      </c>
      <c r="CQ134" s="458">
        <v>-2.4300000000000002</v>
      </c>
      <c r="CR134" s="458">
        <v>-4.01</v>
      </c>
      <c r="CS134" s="458">
        <v>-5.5</v>
      </c>
      <c r="CT134" s="458">
        <v>-6.7</v>
      </c>
      <c r="CU134" s="458">
        <v>-8.65</v>
      </c>
      <c r="CV134" s="458">
        <v>-10.1</v>
      </c>
      <c r="CW134" s="458">
        <v>-10.58</v>
      </c>
      <c r="CX134" s="458">
        <v>-11</v>
      </c>
      <c r="CY134" s="458">
        <v>-11</v>
      </c>
      <c r="CZ134" s="458">
        <v>-11</v>
      </c>
      <c r="DA134" s="458">
        <v>-11</v>
      </c>
      <c r="DB134" s="458">
        <v>-11</v>
      </c>
      <c r="DC134" s="458">
        <v>11</v>
      </c>
      <c r="DD134" s="458">
        <v>11</v>
      </c>
      <c r="DE134" s="458">
        <v>11</v>
      </c>
      <c r="DF134" s="458">
        <v>11</v>
      </c>
      <c r="DG134" s="458">
        <v>11</v>
      </c>
      <c r="DH134" s="458">
        <v>10.8</v>
      </c>
      <c r="DI134" s="458">
        <v>9.99</v>
      </c>
      <c r="DJ134" s="458">
        <v>7.9291999999999998</v>
      </c>
      <c r="DK134" s="458">
        <v>6.39</v>
      </c>
      <c r="DL134" s="458">
        <v>4.47</v>
      </c>
      <c r="DM134" s="458">
        <v>2.25</v>
      </c>
      <c r="DN134" s="458">
        <v>0.08</v>
      </c>
      <c r="DO134" s="400"/>
      <c r="DP134" s="462">
        <f t="shared" si="269"/>
        <v>43.86</v>
      </c>
      <c r="DQ134" s="462" t="str">
        <f t="shared" si="270"/>
        <v/>
      </c>
      <c r="DR134" s="462" t="str">
        <f t="shared" ref="DR134:EO134" si="363">IFERROR(CONCATENATE(ROUND($DP134,3),",",ROUND(ABS(DK106),3),",",ROUND(EM106,3)," "),"")</f>
        <v xml:space="preserve">43.86,7.9,0 </v>
      </c>
      <c r="DS134" s="462" t="str">
        <f t="shared" si="363"/>
        <v xml:space="preserve">43.86,8.9,0.5 </v>
      </c>
      <c r="DT134" s="462" t="str">
        <f t="shared" si="363"/>
        <v xml:space="preserve">43.86,9.5,1 </v>
      </c>
      <c r="DU134" s="462" t="str">
        <f t="shared" si="363"/>
        <v xml:space="preserve">43.86,9.94,1.5 </v>
      </c>
      <c r="DV134" s="462" t="str">
        <f t="shared" si="363"/>
        <v xml:space="preserve">43.86,10.2,2 </v>
      </c>
      <c r="DW134" s="462" t="str">
        <f t="shared" si="363"/>
        <v xml:space="preserve">43.86,10.8,4 </v>
      </c>
      <c r="DX134" s="462" t="str">
        <f t="shared" si="363"/>
        <v xml:space="preserve">43.86,10.9,6 </v>
      </c>
      <c r="DY134" s="462" t="str">
        <f t="shared" si="363"/>
        <v xml:space="preserve">43.86,11,8 </v>
      </c>
      <c r="DZ134" s="462" t="str">
        <f t="shared" si="363"/>
        <v xml:space="preserve">43.86,11,9.7 </v>
      </c>
      <c r="EA134" s="462" t="str">
        <f t="shared" si="363"/>
        <v xml:space="preserve">43.86,11,10 </v>
      </c>
      <c r="EB134" s="462" t="str">
        <f t="shared" si="363"/>
        <v xml:space="preserve">43.86,11,12 </v>
      </c>
      <c r="EC134" s="462" t="str">
        <f t="shared" si="363"/>
        <v xml:space="preserve">43.86,11,13 </v>
      </c>
      <c r="ED134" s="462" t="str">
        <f t="shared" si="363"/>
        <v/>
      </c>
      <c r="EE134" s="462" t="str">
        <f t="shared" si="363"/>
        <v/>
      </c>
      <c r="EF134" s="462" t="str">
        <f t="shared" si="363"/>
        <v/>
      </c>
      <c r="EG134" s="462" t="str">
        <f t="shared" si="363"/>
        <v/>
      </c>
      <c r="EH134" s="462" t="str">
        <f t="shared" si="363"/>
        <v/>
      </c>
      <c r="EI134" s="462" t="str">
        <f t="shared" si="363"/>
        <v/>
      </c>
      <c r="EJ134" s="462" t="str">
        <f t="shared" si="363"/>
        <v/>
      </c>
      <c r="EK134" s="462" t="str">
        <f t="shared" si="363"/>
        <v/>
      </c>
      <c r="EL134" s="462" t="str">
        <f t="shared" si="363"/>
        <v/>
      </c>
      <c r="EM134" s="462" t="str">
        <f t="shared" si="363"/>
        <v/>
      </c>
      <c r="EN134" s="462" t="str">
        <f t="shared" si="363"/>
        <v/>
      </c>
      <c r="EO134" s="462" t="str">
        <f t="shared" si="363"/>
        <v/>
      </c>
      <c r="EP134" s="462" t="str">
        <f t="shared" si="270"/>
        <v/>
      </c>
      <c r="ER134" s="461" t="str">
        <f t="shared" si="304"/>
        <v xml:space="preserve">43.86,7.9,0 43.86,8.9,0.5 43.86,9.5,1 43.86,9.94,1.5 43.86,10.2,2 43.86,10.8,4 43.86,10.9,6 43.86,11,8 43.86,11,9.7 43.86,11,10 43.86,11,12 43.86,11,13 </v>
      </c>
      <c r="ES134" s="189" t="str">
        <f t="shared" ca="1" si="348"/>
        <v xml:space="preserve">Spline 43.86,0,0 43.86,7.9,0 43.86,8.9,0.5 43.86,9.5,1 43.86,9.94,1.5 43.86,10.2,2 43.86,10.8,4 43.86,10.9,6 43.86,11,8 43.86,11,9.7 43.86,11,10 43.86,11,12 43.86,11,13  </v>
      </c>
      <c r="ET134" s="132" t="str">
        <f t="shared" ca="1" si="305"/>
        <v xml:space="preserve">Spline 43.86,0,0 43.86,7.9,0 43.86,8.9,0.5 43.86,9.5,1 43.86,9.94,1.5 43.86,10.2,2 43.86,10.8,4 43.86,10.9,6 43.86,11,8 43.86,11,9.7 43.86,11,10 43.86,11,12 43.86,11,13  </v>
      </c>
      <c r="EU134" s="132">
        <f ca="1">COUNTIF(BP_9,NA())</f>
        <v>0</v>
      </c>
      <c r="EV134" s="132">
        <f t="shared" ca="1" si="271"/>
        <v>0</v>
      </c>
      <c r="EW134" s="132">
        <v>9</v>
      </c>
      <c r="EX134" s="132" t="str">
        <f t="shared" si="272"/>
        <v xml:space="preserve">43.86,11,13 </v>
      </c>
      <c r="EY134" s="132" t="str">
        <f t="shared" ca="1" si="273"/>
        <v xml:space="preserve">Spline 43.86,0,0 43.86,11,13 43.86,11,12 43.86,11,10 43.86,11,9.7 43.86,11,8 43.86,10.9,6 43.86,10.8,4 43.86,10.2,2 43.86,9.94,1.5 43.86,9.5,1 43.86,8.9,0.5 43.86,7.9,0 </v>
      </c>
      <c r="EZ134" s="189" t="str">
        <f t="shared" si="306"/>
        <v xml:space="preserve">43.86,7.9,0 43.86,8.9,0.5 43.86,9.5,1 43.86,9.94,1.5 43.86,10.2,2 43.86,10.8,4 43.86,10.9,6 43.86,11,8 43.86,11,9.7 43.86,11,10 43.86,11,12 43.86,11,13  </v>
      </c>
      <c r="FB134" s="462">
        <f t="shared" si="274"/>
        <v>43.86</v>
      </c>
      <c r="FC134" s="464" t="str">
        <f t="shared" si="307"/>
        <v/>
      </c>
      <c r="FD134" s="462" t="str">
        <f t="shared" ref="FD134:GB134" si="364">IFERROR(CONCATENATE(ROUND($DP134,3),",",-ROUND(ABS(DK106),3),",",ROUND(EM106,3)," "),"")</f>
        <v xml:space="preserve">43.86,-7.9,0 </v>
      </c>
      <c r="FE134" s="462" t="str">
        <f t="shared" si="364"/>
        <v xml:space="preserve">43.86,-8.9,0.5 </v>
      </c>
      <c r="FF134" s="462" t="str">
        <f t="shared" si="364"/>
        <v xml:space="preserve">43.86,-9.5,1 </v>
      </c>
      <c r="FG134" s="462" t="str">
        <f t="shared" si="364"/>
        <v xml:space="preserve">43.86,-9.94,1.5 </v>
      </c>
      <c r="FH134" s="462" t="str">
        <f t="shared" si="364"/>
        <v xml:space="preserve">43.86,-10.2,2 </v>
      </c>
      <c r="FI134" s="462" t="str">
        <f t="shared" si="364"/>
        <v xml:space="preserve">43.86,-10.8,4 </v>
      </c>
      <c r="FJ134" s="462" t="str">
        <f t="shared" si="364"/>
        <v xml:space="preserve">43.86,-10.9,6 </v>
      </c>
      <c r="FK134" s="462" t="str">
        <f t="shared" si="364"/>
        <v xml:space="preserve">43.86,-11,8 </v>
      </c>
      <c r="FL134" s="462" t="str">
        <f t="shared" si="364"/>
        <v xml:space="preserve">43.86,-11,9.7 </v>
      </c>
      <c r="FM134" s="462" t="str">
        <f t="shared" si="364"/>
        <v xml:space="preserve">43.86,-11,10 </v>
      </c>
      <c r="FN134" s="462" t="str">
        <f t="shared" si="364"/>
        <v xml:space="preserve">43.86,-11,12 </v>
      </c>
      <c r="FO134" s="462" t="str">
        <f t="shared" si="364"/>
        <v xml:space="preserve">43.86,-11,13 </v>
      </c>
      <c r="FP134" s="462" t="str">
        <f t="shared" si="364"/>
        <v/>
      </c>
      <c r="FQ134" s="462" t="str">
        <f t="shared" si="364"/>
        <v/>
      </c>
      <c r="FR134" s="462" t="str">
        <f t="shared" si="364"/>
        <v/>
      </c>
      <c r="FS134" s="462" t="str">
        <f t="shared" si="364"/>
        <v/>
      </c>
      <c r="FT134" s="462" t="str">
        <f t="shared" si="364"/>
        <v/>
      </c>
      <c r="FU134" s="462" t="str">
        <f t="shared" si="364"/>
        <v/>
      </c>
      <c r="FV134" s="462" t="str">
        <f t="shared" si="364"/>
        <v/>
      </c>
      <c r="FW134" s="462" t="str">
        <f t="shared" si="364"/>
        <v/>
      </c>
      <c r="FX134" s="462" t="str">
        <f t="shared" si="364"/>
        <v/>
      </c>
      <c r="FY134" s="462" t="str">
        <f t="shared" si="364"/>
        <v/>
      </c>
      <c r="FZ134" s="462" t="str">
        <f t="shared" si="364"/>
        <v/>
      </c>
      <c r="GA134" s="462" t="str">
        <f t="shared" si="364"/>
        <v/>
      </c>
      <c r="GB134" s="462" t="str">
        <f t="shared" si="364"/>
        <v/>
      </c>
      <c r="GC134" s="132" t="str">
        <f t="shared" si="309"/>
        <v xml:space="preserve">43.86,11,13 43.86,11,12 43.86,11,10 43.86,11,9.7 43.86,11,8 43.86,10.9,6 43.86,10.8,4 43.86,10.2,2 43.86,9.94,1.5 43.86,9.5,1 43.86,8.9,0.5 43.86,7.9,0 </v>
      </c>
      <c r="GD134" s="132" t="str">
        <f t="shared" ca="1" si="276"/>
        <v>Spline 43.86,11,13 43.86,11,12 43.86,11,10 43.86,11,9.7 43.86,11,8 43.86,10.9,6 43.86,10.8,4 43.86,10.2,2 43.86,9.94,1.5 43.86,9.5,1 43.86,8.9,0.5 43.86,7.9,0 43.86,0,0</v>
      </c>
      <c r="GE134" s="465" t="str">
        <f t="shared" si="310"/>
        <v xml:space="preserve">43.86,-7.9,0 43.86,-8.9,0.5 43.86,-9.5,1 43.86,-9.94,1.5 43.86,-10.2,2 43.86,-10.8,4 43.86,-10.9,6 43.86,-11,8 43.86,-11,9.7 43.86,-11,10 43.86,-11,12 43.86,-11,13 </v>
      </c>
      <c r="GH134" s="132" t="str">
        <f t="shared" si="311"/>
        <v xml:space="preserve">Spline 43.86,11,13 43.86,11,12 43.86,11,10 43.86,11,9.7 43.86,11,8 43.86,10.9,6 43.86,10.8,4 43.86,10.2,2 43.86,9.94,1.5 43.86,9.5,1 43.86,8.9,0.5 43.86,7.9,0 T 43.86,0,0 </v>
      </c>
      <c r="GI134" s="132" t="str">
        <f t="shared" si="312"/>
        <v xml:space="preserve">Spline 43.86,7.9,0 43.86,0,0  Join 43.86,0,0  43.86,11,13 </v>
      </c>
      <c r="GP134" s="132" t="str">
        <f t="shared" si="277"/>
        <v xml:space="preserve">43.86,0,0 </v>
      </c>
      <c r="GQ134" s="132" t="str">
        <f t="shared" si="313"/>
        <v>Curve 43.86,11,13 43.86,11,12 43.86,11,10 43.86,11,9.7 43.86,11,8 43.86,10.9,6 43.86,10.8,4 43.86,10.2,2 43.86,9.94,1.5 43.86,9.5,1 43.86,8.9,0.5 43.86,7.9,0 43.86,0,0 _enter</v>
      </c>
    </row>
    <row r="135" spans="1:199" x14ac:dyDescent="0.25">
      <c r="A135" s="377">
        <f t="shared" si="268"/>
        <v>4.8499999999999996</v>
      </c>
      <c r="B135" s="380" t="str">
        <f t="shared" si="278"/>
        <v xml:space="preserve">0,-14.243 </v>
      </c>
      <c r="C135" s="380" t="str">
        <f t="shared" si="279"/>
        <v xml:space="preserve">3.655,-12.653 </v>
      </c>
      <c r="D135" s="380" t="str">
        <f t="shared" si="280"/>
        <v xml:space="preserve">7.31,-11.263 </v>
      </c>
      <c r="E135" s="380" t="str">
        <f t="shared" si="281"/>
        <v xml:space="preserve">10.965,-10.013 </v>
      </c>
      <c r="F135" s="380" t="str">
        <f t="shared" si="282"/>
        <v xml:space="preserve">14.62,-8.943 </v>
      </c>
      <c r="G135" s="380" t="str">
        <f t="shared" si="283"/>
        <v xml:space="preserve">21.93,-7.403 </v>
      </c>
      <c r="H135" s="380" t="str">
        <f t="shared" si="284"/>
        <v xml:space="preserve">29.24,-6.383 </v>
      </c>
      <c r="I135" s="380" t="str">
        <f t="shared" si="285"/>
        <v xml:space="preserve">36.55,-6.113 </v>
      </c>
      <c r="J135" s="380" t="str">
        <f t="shared" si="286"/>
        <v xml:space="preserve">43.86,-5.833 </v>
      </c>
      <c r="K135" s="380" t="str">
        <f t="shared" si="287"/>
        <v xml:space="preserve">51.17,-5.833 </v>
      </c>
      <c r="L135" s="380" t="str">
        <f t="shared" si="288"/>
        <v xml:space="preserve">58.48,-5.833 </v>
      </c>
      <c r="M135" s="380" t="str">
        <f t="shared" si="289"/>
        <v xml:space="preserve">65.79,-5.833 </v>
      </c>
      <c r="N135" s="380" t="str">
        <f t="shared" si="290"/>
        <v xml:space="preserve">73.1,-5.833 </v>
      </c>
      <c r="O135" s="380" t="str">
        <f t="shared" si="291"/>
        <v xml:space="preserve">80.41,-5.833 </v>
      </c>
      <c r="P135" s="380" t="str">
        <f t="shared" si="292"/>
        <v xml:space="preserve">87.72,-5.833 </v>
      </c>
      <c r="Q135" s="380" t="str">
        <f t="shared" si="293"/>
        <v xml:space="preserve">95.03,-5.833 </v>
      </c>
      <c r="R135" s="380" t="str">
        <f t="shared" si="294"/>
        <v xml:space="preserve">102.34,-5.833 </v>
      </c>
      <c r="S135" s="380" t="str">
        <f t="shared" si="295"/>
        <v xml:space="preserve">109.65,-5.833 </v>
      </c>
      <c r="T135" s="380" t="str">
        <f t="shared" si="296"/>
        <v xml:space="preserve">116.96,-5.943 </v>
      </c>
      <c r="U135" s="380" t="str">
        <f t="shared" si="297"/>
        <v xml:space="preserve">124.27,-6.603 </v>
      </c>
      <c r="V135" s="380" t="str">
        <f t="shared" si="298"/>
        <v xml:space="preserve">131.58,-8.482 </v>
      </c>
      <c r="W135" s="380" t="str">
        <f t="shared" si="299"/>
        <v xml:space="preserve">135.235,-10.013 </v>
      </c>
      <c r="X135" s="380" t="str">
        <f t="shared" si="300"/>
        <v xml:space="preserve">138.89,-11.963 </v>
      </c>
      <c r="Y135" s="380" t="str">
        <f t="shared" si="301"/>
        <v xml:space="preserve">142.545,-14.413 </v>
      </c>
      <c r="Z135" s="398" t="str">
        <f t="shared" si="302"/>
        <v xml:space="preserve">146.2,-16.833 </v>
      </c>
      <c r="AB135" s="248" t="str">
        <f t="shared" si="314"/>
        <v xml:space="preserve">Spline </v>
      </c>
      <c r="AC135" s="248" t="str">
        <f>Tools!B135</f>
        <v xml:space="preserve">0,-14.243 </v>
      </c>
      <c r="AD135" s="248" t="str">
        <f>Tools!C135</f>
        <v xml:space="preserve">3.655,-12.653 </v>
      </c>
      <c r="AE135" s="248" t="str">
        <f>Tools!D135</f>
        <v xml:space="preserve">7.31,-11.263 </v>
      </c>
      <c r="AF135" s="248" t="str">
        <f>Tools!E135</f>
        <v xml:space="preserve">10.965,-10.013 </v>
      </c>
      <c r="AG135" s="248" t="str">
        <f>Tools!F135</f>
        <v xml:space="preserve">14.62,-8.943 </v>
      </c>
      <c r="AH135" s="248" t="str">
        <f>Tools!G135</f>
        <v xml:space="preserve">21.93,-7.403 </v>
      </c>
      <c r="AI135" s="248" t="str">
        <f>Tools!H135</f>
        <v xml:space="preserve">29.24,-6.383 </v>
      </c>
      <c r="AJ135" s="248" t="str">
        <f>Tools!I135</f>
        <v xml:space="preserve">36.55,-6.113 </v>
      </c>
      <c r="AK135" s="248" t="str">
        <f>Tools!J135</f>
        <v xml:space="preserve">43.86,-5.833 </v>
      </c>
      <c r="AL135" s="248" t="str">
        <f>Tools!K135</f>
        <v xml:space="preserve">51.17,-5.833 </v>
      </c>
      <c r="AM135" s="248" t="str">
        <f>Tools!L135</f>
        <v xml:space="preserve">58.48,-5.833 </v>
      </c>
      <c r="AN135" s="248" t="str">
        <f>Tools!M135</f>
        <v xml:space="preserve">65.79,-5.833 </v>
      </c>
      <c r="AO135" s="248" t="str">
        <f>Tools!N135</f>
        <v xml:space="preserve">73.1,-5.833 </v>
      </c>
      <c r="AP135" s="248" t="str">
        <f>Tools!O135</f>
        <v xml:space="preserve">80.41,-5.833 </v>
      </c>
      <c r="AQ135" s="248" t="str">
        <f>Tools!P135</f>
        <v xml:space="preserve">87.72,-5.833 </v>
      </c>
      <c r="AR135" s="248" t="str">
        <f>Tools!Q135</f>
        <v xml:space="preserve">95.03,-5.833 </v>
      </c>
      <c r="AS135" s="248" t="str">
        <f>Tools!R135</f>
        <v xml:space="preserve">102.34,-5.833 </v>
      </c>
      <c r="AT135" s="248" t="str">
        <f>Tools!S135</f>
        <v xml:space="preserve">109.65,-5.833 </v>
      </c>
      <c r="AU135" s="248" t="str">
        <f>Tools!T135</f>
        <v xml:space="preserve">116.96,-5.943 </v>
      </c>
      <c r="AV135" s="248" t="str">
        <f>Tools!U135</f>
        <v xml:space="preserve">124.27,-6.603 </v>
      </c>
      <c r="AW135" s="248" t="str">
        <f>Tools!V135</f>
        <v xml:space="preserve">131.58,-8.482 </v>
      </c>
      <c r="AX135" s="248" t="str">
        <f>Tools!W135</f>
        <v xml:space="preserve">135.235,-10.013 </v>
      </c>
      <c r="AY135" s="248" t="str">
        <f>Tools!X135</f>
        <v xml:space="preserve">138.89,-11.963 </v>
      </c>
      <c r="AZ135" s="248" t="str">
        <f>Tools!Y135</f>
        <v xml:space="preserve">142.545,-14.413 </v>
      </c>
      <c r="BA135" s="399" t="str">
        <f>Tools!Z135</f>
        <v xml:space="preserve">146.2,-16.833 </v>
      </c>
      <c r="BC135" s="277">
        <f>Offset!Q10</f>
        <v>5</v>
      </c>
      <c r="BD135" s="280" t="str">
        <f>IF(ISNUMBER(VLOOKUP(BC135,Offset!Q$2:R$27,2,FALSE)),VLOOKUP(BC135,Offset!Q$2:R$27,2,FALSE),"-")</f>
        <v>-</v>
      </c>
      <c r="BE135" s="280" t="e">
        <f t="shared" si="350"/>
        <v>#VALUE!</v>
      </c>
      <c r="BF135" s="280" t="str">
        <f t="shared" si="316"/>
        <v>#NA</v>
      </c>
      <c r="BG135" s="280" t="str">
        <f t="shared" si="317"/>
        <v>#NA</v>
      </c>
      <c r="BH135" s="280" t="str">
        <f t="shared" si="318"/>
        <v>#NA</v>
      </c>
      <c r="BI135" s="280" t="str">
        <f t="shared" si="319"/>
        <v>#NA</v>
      </c>
      <c r="BJ135" s="280" t="str">
        <f t="shared" si="320"/>
        <v>#NA</v>
      </c>
      <c r="BK135" s="280" t="str">
        <f t="shared" si="321"/>
        <v>#NA</v>
      </c>
      <c r="BL135" s="280" t="str">
        <f t="shared" si="322"/>
        <v>#NA</v>
      </c>
      <c r="BM135" s="280"/>
      <c r="BN135" s="280" t="e">
        <f t="shared" si="323"/>
        <v>#VALUE!</v>
      </c>
      <c r="BO135" s="280" t="e">
        <f t="shared" si="324"/>
        <v>#VALUE!</v>
      </c>
      <c r="BP135" s="280" t="e">
        <f t="shared" si="325"/>
        <v>#VALUE!</v>
      </c>
      <c r="BQ135" s="280" t="e">
        <f t="shared" si="326"/>
        <v>#VALUE!</v>
      </c>
      <c r="BR135" s="280" t="e">
        <f t="shared" si="327"/>
        <v>#VALUE!</v>
      </c>
      <c r="BS135" s="280" t="e">
        <f t="shared" si="328"/>
        <v>#VALUE!</v>
      </c>
      <c r="BT135" s="280" t="e">
        <f t="shared" si="329"/>
        <v>#VALUE!</v>
      </c>
      <c r="BU135" s="280" t="e">
        <f t="shared" si="330"/>
        <v>#VALUE!</v>
      </c>
      <c r="BV135" s="280" t="e">
        <f t="shared" si="331"/>
        <v>#VALUE!</v>
      </c>
      <c r="BW135" s="280" t="e">
        <f t="shared" si="332"/>
        <v>#VALUE!</v>
      </c>
      <c r="BX135" s="280" t="e">
        <f t="shared" si="351"/>
        <v>#VALUE!</v>
      </c>
      <c r="BY135" s="280" t="e">
        <f t="shared" si="333"/>
        <v>#VALUE!</v>
      </c>
      <c r="BZ135" s="280" t="e">
        <f t="shared" si="334"/>
        <v>#VALUE!</v>
      </c>
      <c r="CA135" s="280" t="e">
        <f t="shared" si="335"/>
        <v>#VALUE!</v>
      </c>
      <c r="CB135" s="280" t="e">
        <f t="shared" si="336"/>
        <v>#VALUE!</v>
      </c>
      <c r="CC135" s="280" t="e">
        <f t="shared" si="337"/>
        <v>#VALUE!</v>
      </c>
      <c r="CD135" s="280" t="e">
        <f t="shared" si="338"/>
        <v>#VALUE!</v>
      </c>
      <c r="CE135" s="280" t="e">
        <f t="shared" si="339"/>
        <v>#VALUE!</v>
      </c>
      <c r="CF135" s="280" t="e">
        <f t="shared" si="340"/>
        <v>#VALUE!</v>
      </c>
      <c r="CG135" s="280" t="e">
        <f t="shared" si="341"/>
        <v>#VALUE!</v>
      </c>
      <c r="CH135" s="280" t="e">
        <f t="shared" si="342"/>
        <v>#VALUE!</v>
      </c>
      <c r="CI135" s="280" t="e">
        <f t="shared" si="343"/>
        <v>#VALUE!</v>
      </c>
      <c r="CJ135" s="280" t="e">
        <f t="shared" si="344"/>
        <v>#VALUE!</v>
      </c>
      <c r="CK135" s="280" t="e">
        <f t="shared" si="345"/>
        <v>#VALUE!</v>
      </c>
      <c r="CL135" s="280" t="e">
        <f t="shared" si="346"/>
        <v>#VALUE!</v>
      </c>
      <c r="CM135" s="279">
        <f t="shared" si="352"/>
        <v>0</v>
      </c>
      <c r="CO135" s="458">
        <v>9.6999999999999993</v>
      </c>
      <c r="CP135" s="458">
        <v>-2.59</v>
      </c>
      <c r="CQ135" s="458">
        <v>-4.18</v>
      </c>
      <c r="CR135" s="458">
        <v>-5.57</v>
      </c>
      <c r="CS135" s="458">
        <v>-6.82</v>
      </c>
      <c r="CT135" s="458">
        <v>-7.89</v>
      </c>
      <c r="CU135" s="458">
        <v>-9.43</v>
      </c>
      <c r="CV135" s="458">
        <v>-10.45</v>
      </c>
      <c r="CW135" s="458">
        <v>-10.72</v>
      </c>
      <c r="CX135" s="458">
        <v>-11</v>
      </c>
      <c r="CY135" s="458">
        <v>-11</v>
      </c>
      <c r="CZ135" s="458">
        <v>-11</v>
      </c>
      <c r="DA135" s="458">
        <v>-11</v>
      </c>
      <c r="DB135" s="458">
        <v>-11</v>
      </c>
      <c r="DC135" s="458">
        <v>11</v>
      </c>
      <c r="DD135" s="458">
        <v>11</v>
      </c>
      <c r="DE135" s="458">
        <v>11</v>
      </c>
      <c r="DF135" s="458">
        <v>11</v>
      </c>
      <c r="DG135" s="458">
        <v>11</v>
      </c>
      <c r="DH135" s="458">
        <v>10.89</v>
      </c>
      <c r="DI135" s="458">
        <v>10.23</v>
      </c>
      <c r="DJ135" s="458">
        <v>8.3511000000000006</v>
      </c>
      <c r="DK135" s="458">
        <v>6.82</v>
      </c>
      <c r="DL135" s="458">
        <v>4.87</v>
      </c>
      <c r="DM135" s="458">
        <v>2.42</v>
      </c>
      <c r="DN135" s="458">
        <v>0</v>
      </c>
      <c r="DO135" s="400"/>
      <c r="DP135" s="462">
        <f t="shared" si="269"/>
        <v>51.169999999999995</v>
      </c>
      <c r="DQ135" s="462" t="str">
        <f t="shared" si="270"/>
        <v/>
      </c>
      <c r="DR135" s="462" t="str">
        <f t="shared" ref="DR135:EO135" si="365">IFERROR(CONCATENATE(ROUND($DP135,3),",",ROUND(ABS(DK107),3),",",ROUND(EM107,3)," "),"")</f>
        <v xml:space="preserve">51.17,9,0 </v>
      </c>
      <c r="DS135" s="462" t="str">
        <f t="shared" si="365"/>
        <v xml:space="preserve">51.17,9.83,0.5 </v>
      </c>
      <c r="DT135" s="462" t="str">
        <f t="shared" si="365"/>
        <v xml:space="preserve">51.17,10.3,1 </v>
      </c>
      <c r="DU135" s="462" t="str">
        <f t="shared" si="365"/>
        <v xml:space="preserve">51.17,10.6,1.5 </v>
      </c>
      <c r="DV135" s="462" t="str">
        <f t="shared" si="365"/>
        <v xml:space="preserve">51.17,10.8,2 </v>
      </c>
      <c r="DW135" s="462" t="str">
        <f t="shared" si="365"/>
        <v xml:space="preserve">51.17,11,4 </v>
      </c>
      <c r="DX135" s="462" t="str">
        <f t="shared" si="365"/>
        <v xml:space="preserve">51.17,11,6 </v>
      </c>
      <c r="DY135" s="462" t="str">
        <f t="shared" si="365"/>
        <v xml:space="preserve">51.17,11,8 </v>
      </c>
      <c r="DZ135" s="462" t="str">
        <f t="shared" si="365"/>
        <v xml:space="preserve">51.17,11,9.7 </v>
      </c>
      <c r="EA135" s="462" t="str">
        <f t="shared" si="365"/>
        <v xml:space="preserve">51.17,11,10 </v>
      </c>
      <c r="EB135" s="462" t="str">
        <f t="shared" si="365"/>
        <v xml:space="preserve">51.17,11,12 </v>
      </c>
      <c r="EC135" s="462" t="str">
        <f t="shared" si="365"/>
        <v xml:space="preserve">51.17,11,13 </v>
      </c>
      <c r="ED135" s="462" t="str">
        <f t="shared" si="365"/>
        <v/>
      </c>
      <c r="EE135" s="462" t="str">
        <f t="shared" si="365"/>
        <v/>
      </c>
      <c r="EF135" s="462" t="str">
        <f t="shared" si="365"/>
        <v/>
      </c>
      <c r="EG135" s="462" t="str">
        <f t="shared" si="365"/>
        <v/>
      </c>
      <c r="EH135" s="462" t="str">
        <f t="shared" si="365"/>
        <v/>
      </c>
      <c r="EI135" s="462" t="str">
        <f t="shared" si="365"/>
        <v/>
      </c>
      <c r="EJ135" s="462" t="str">
        <f t="shared" si="365"/>
        <v/>
      </c>
      <c r="EK135" s="462" t="str">
        <f t="shared" si="365"/>
        <v/>
      </c>
      <c r="EL135" s="462" t="str">
        <f t="shared" si="365"/>
        <v/>
      </c>
      <c r="EM135" s="462" t="str">
        <f t="shared" si="365"/>
        <v/>
      </c>
      <c r="EN135" s="462" t="str">
        <f t="shared" si="365"/>
        <v/>
      </c>
      <c r="EO135" s="462" t="str">
        <f t="shared" si="365"/>
        <v/>
      </c>
      <c r="EP135" s="462" t="str">
        <f t="shared" si="270"/>
        <v/>
      </c>
      <c r="ER135" s="461" t="str">
        <f t="shared" si="304"/>
        <v xml:space="preserve">51.17,9,0 51.17,9.83,0.5 51.17,10.3,1 51.17,10.6,1.5 51.17,10.8,2 51.17,11,4 51.17,11,6 51.17,11,8 51.17,11,9.7 51.17,11,10 51.17,11,12 51.17,11,13 </v>
      </c>
      <c r="ES135" s="189" t="str">
        <f t="shared" ca="1" si="348"/>
        <v xml:space="preserve">Spline 51.17,0,0 51.17,9,0 51.17,9.83,0.5 51.17,10.3,1 51.17,10.6,1.5 51.17,10.8,2 51.17,11,4 51.17,11,6 51.17,11,8 51.17,11,9.7 51.17,11,10 51.17,11,12 51.17,11,13  </v>
      </c>
      <c r="ET135" s="132" t="str">
        <f t="shared" ca="1" si="305"/>
        <v xml:space="preserve">Spline 51.17,0,0 51.17,9,0 51.17,9.83,0.5 51.17,10.3,1 51.17,10.6,1.5 51.17,10.8,2 51.17,11,4 51.17,11,6 51.17,11,8 51.17,11,9.7 51.17,11,10 51.17,11,12 51.17,11,13  </v>
      </c>
      <c r="EU135" s="132">
        <f ca="1">COUNTIF(BP_10,NA())</f>
        <v>0</v>
      </c>
      <c r="EV135" s="132">
        <f t="shared" ca="1" si="271"/>
        <v>0</v>
      </c>
      <c r="EW135" s="132">
        <v>10</v>
      </c>
      <c r="EX135" s="132" t="str">
        <f t="shared" si="272"/>
        <v xml:space="preserve">51.17,11,13 </v>
      </c>
      <c r="EY135" s="132" t="str">
        <f t="shared" ca="1" si="273"/>
        <v xml:space="preserve">Spline 51.17,0,0 51.17,11,13 51.17,11,12 51.17,11,10 51.17,11,9.7 51.17,11,8 51.17,11,6 51.17,11,4 51.17,10.8,2 51.17,10.6,1.5 51.17,10.3,1 51.17,9.83,0.5 51.17,9,0 </v>
      </c>
      <c r="EZ135" s="189" t="str">
        <f t="shared" si="306"/>
        <v xml:space="preserve">51.17,9,0 51.17,9.83,0.5 51.17,10.3,1 51.17,10.6,1.5 51.17,10.8,2 51.17,11,4 51.17,11,6 51.17,11,8 51.17,11,9.7 51.17,11,10 51.17,11,12 51.17,11,13  </v>
      </c>
      <c r="FB135" s="462">
        <f t="shared" si="274"/>
        <v>51.169999999999995</v>
      </c>
      <c r="FC135" s="464" t="str">
        <f t="shared" si="307"/>
        <v/>
      </c>
      <c r="FD135" s="462" t="str">
        <f t="shared" ref="FD135:GB135" si="366">IFERROR(CONCATENATE(ROUND($DP135,3),",",-ROUND(ABS(DK107),3),",",ROUND(EM107,3)," "),"")</f>
        <v xml:space="preserve">51.17,-9,0 </v>
      </c>
      <c r="FE135" s="462" t="str">
        <f t="shared" si="366"/>
        <v xml:space="preserve">51.17,-9.83,0.5 </v>
      </c>
      <c r="FF135" s="462" t="str">
        <f t="shared" si="366"/>
        <v xml:space="preserve">51.17,-10.3,1 </v>
      </c>
      <c r="FG135" s="462" t="str">
        <f t="shared" si="366"/>
        <v xml:space="preserve">51.17,-10.6,1.5 </v>
      </c>
      <c r="FH135" s="462" t="str">
        <f t="shared" si="366"/>
        <v xml:space="preserve">51.17,-10.8,2 </v>
      </c>
      <c r="FI135" s="462" t="str">
        <f t="shared" si="366"/>
        <v xml:space="preserve">51.17,-11,4 </v>
      </c>
      <c r="FJ135" s="462" t="str">
        <f t="shared" si="366"/>
        <v xml:space="preserve">51.17,-11,6 </v>
      </c>
      <c r="FK135" s="462" t="str">
        <f t="shared" si="366"/>
        <v xml:space="preserve">51.17,-11,8 </v>
      </c>
      <c r="FL135" s="462" t="str">
        <f t="shared" si="366"/>
        <v xml:space="preserve">51.17,-11,9.7 </v>
      </c>
      <c r="FM135" s="462" t="str">
        <f t="shared" si="366"/>
        <v xml:space="preserve">51.17,-11,10 </v>
      </c>
      <c r="FN135" s="462" t="str">
        <f t="shared" si="366"/>
        <v xml:space="preserve">51.17,-11,12 </v>
      </c>
      <c r="FO135" s="462" t="str">
        <f t="shared" si="366"/>
        <v xml:space="preserve">51.17,-11,13 </v>
      </c>
      <c r="FP135" s="462" t="str">
        <f t="shared" si="366"/>
        <v/>
      </c>
      <c r="FQ135" s="462" t="str">
        <f t="shared" si="366"/>
        <v/>
      </c>
      <c r="FR135" s="462" t="str">
        <f t="shared" si="366"/>
        <v/>
      </c>
      <c r="FS135" s="462" t="str">
        <f t="shared" si="366"/>
        <v/>
      </c>
      <c r="FT135" s="462" t="str">
        <f t="shared" si="366"/>
        <v/>
      </c>
      <c r="FU135" s="462" t="str">
        <f t="shared" si="366"/>
        <v/>
      </c>
      <c r="FV135" s="462" t="str">
        <f t="shared" si="366"/>
        <v/>
      </c>
      <c r="FW135" s="462" t="str">
        <f t="shared" si="366"/>
        <v/>
      </c>
      <c r="FX135" s="462" t="str">
        <f t="shared" si="366"/>
        <v/>
      </c>
      <c r="FY135" s="462" t="str">
        <f t="shared" si="366"/>
        <v/>
      </c>
      <c r="FZ135" s="462" t="str">
        <f t="shared" si="366"/>
        <v/>
      </c>
      <c r="GA135" s="462" t="str">
        <f t="shared" si="366"/>
        <v/>
      </c>
      <c r="GB135" s="462" t="str">
        <f t="shared" si="366"/>
        <v/>
      </c>
      <c r="GC135" s="132" t="str">
        <f t="shared" si="309"/>
        <v xml:space="preserve">51.17,11,13 51.17,11,12 51.17,11,10 51.17,11,9.7 51.17,11,8 51.17,11,6 51.17,11,4 51.17,10.8,2 51.17,10.6,1.5 51.17,10.3,1 51.17,9.83,0.5 51.17,9,0 </v>
      </c>
      <c r="GD135" s="132" t="str">
        <f t="shared" ca="1" si="276"/>
        <v>Spline 51.17,11,13 51.17,11,12 51.17,11,10 51.17,11,9.7 51.17,11,8 51.17,11,6 51.17,11,4 51.17,10.8,2 51.17,10.6,1.5 51.17,10.3,1 51.17,9.83,0.5 51.17,9,0 51.17,0,0</v>
      </c>
      <c r="GE135" s="465" t="str">
        <f t="shared" si="310"/>
        <v xml:space="preserve">51.17,-9,0 51.17,-9.83,0.5 51.17,-10.3,1 51.17,-10.6,1.5 51.17,-10.8,2 51.17,-11,4 51.17,-11,6 51.17,-11,8 51.17,-11,9.7 51.17,-11,10 51.17,-11,12 51.17,-11,13 </v>
      </c>
      <c r="GH135" s="132" t="str">
        <f t="shared" si="311"/>
        <v xml:space="preserve">Spline 51.17,11,13 51.17,11,12 51.17,11,10 51.17,11,9.7 51.17,11,8 51.17,11,6 51.17,11,4 51.17,10.8,2 51.17,10.6,1.5 51.17,10.3,1 51.17,9.83,0.5 51.17,9,0 T 51.17,0,0 </v>
      </c>
      <c r="GI135" s="132" t="str">
        <f t="shared" si="312"/>
        <v xml:space="preserve">Spline 51.17,9,0 51.17,0,0  Join 51.17,0,0  51.17,11,13 </v>
      </c>
      <c r="GP135" s="132" t="str">
        <f t="shared" si="277"/>
        <v xml:space="preserve">51.17,0,0 </v>
      </c>
      <c r="GQ135" s="132" t="str">
        <f t="shared" si="313"/>
        <v>Curve 51.17,11,13 51.17,11,12 51.17,11,10 51.17,11,9.7 51.17,11,8 51.17,11,6 51.17,11,4 51.17,10.8,2 51.17,10.6,1.5 51.17,10.3,1 51.17,9.83,0.5 51.17,9,0 51.17,0,0 _enter</v>
      </c>
    </row>
    <row r="136" spans="1:199" x14ac:dyDescent="0.25">
      <c r="A136" s="377">
        <f t="shared" si="268"/>
        <v>5</v>
      </c>
      <c r="B136" s="380" t="str">
        <f t="shared" si="278"/>
        <v xml:space="preserve">0,-14.013 </v>
      </c>
      <c r="C136" s="380" t="str">
        <f t="shared" si="279"/>
        <v xml:space="preserve">3.655,-12.443 </v>
      </c>
      <c r="D136" s="380" t="str">
        <f t="shared" si="280"/>
        <v xml:space="preserve">7.31,-11.053 </v>
      </c>
      <c r="E136" s="380" t="str">
        <f t="shared" si="281"/>
        <v xml:space="preserve">10.965,-9.823 </v>
      </c>
      <c r="F136" s="380" t="str">
        <f t="shared" si="282"/>
        <v xml:space="preserve">14.62,-8.793 </v>
      </c>
      <c r="G136" s="380" t="str">
        <f t="shared" si="283"/>
        <v xml:space="preserve">21.93,-7.293 </v>
      </c>
      <c r="H136" s="380" t="str">
        <f t="shared" si="284"/>
        <v xml:space="preserve">29.24,-6.333 </v>
      </c>
      <c r="I136" s="380" t="str">
        <f t="shared" si="285"/>
        <v xml:space="preserve">36.55,-6.093 </v>
      </c>
      <c r="J136" s="380" t="str">
        <f t="shared" si="286"/>
        <v xml:space="preserve">43.86,-5.833 </v>
      </c>
      <c r="K136" s="380" t="str">
        <f t="shared" si="287"/>
        <v xml:space="preserve">51.17,-5.833 </v>
      </c>
      <c r="L136" s="380" t="str">
        <f t="shared" si="288"/>
        <v xml:space="preserve">58.48,-5.833 </v>
      </c>
      <c r="M136" s="380" t="str">
        <f t="shared" si="289"/>
        <v xml:space="preserve">65.79,-5.833 </v>
      </c>
      <c r="N136" s="380" t="str">
        <f t="shared" si="290"/>
        <v xml:space="preserve">73.1,-5.833 </v>
      </c>
      <c r="O136" s="380" t="str">
        <f t="shared" si="291"/>
        <v xml:space="preserve">80.41,-5.833 </v>
      </c>
      <c r="P136" s="380" t="str">
        <f t="shared" si="292"/>
        <v xml:space="preserve">87.72,-5.833 </v>
      </c>
      <c r="Q136" s="380" t="str">
        <f t="shared" si="293"/>
        <v xml:space="preserve">95.03,-5.833 </v>
      </c>
      <c r="R136" s="380" t="str">
        <f t="shared" si="294"/>
        <v xml:space="preserve">102.34,-5.833 </v>
      </c>
      <c r="S136" s="380" t="str">
        <f t="shared" si="295"/>
        <v xml:space="preserve">109.65,-5.833 </v>
      </c>
      <c r="T136" s="380" t="str">
        <f t="shared" si="296"/>
        <v xml:space="preserve">116.96,-5.933 </v>
      </c>
      <c r="U136" s="380" t="str">
        <f t="shared" si="297"/>
        <v xml:space="preserve">124.27,-6.563 </v>
      </c>
      <c r="V136" s="380" t="str">
        <f t="shared" si="298"/>
        <v xml:space="preserve">131.58,-8.403 </v>
      </c>
      <c r="W136" s="380" t="str">
        <f t="shared" si="299"/>
        <v xml:space="preserve">135.235,-9.923 </v>
      </c>
      <c r="X136" s="380" t="str">
        <f t="shared" si="300"/>
        <v xml:space="preserve">138.89,-11.893 </v>
      </c>
      <c r="Y136" s="380" t="str">
        <f t="shared" si="301"/>
        <v xml:space="preserve">142.545,-14.337 </v>
      </c>
      <c r="Z136" s="398" t="str">
        <f t="shared" si="302"/>
        <v xml:space="preserve">146.2,-16.803 </v>
      </c>
      <c r="AB136" s="248" t="str">
        <f t="shared" si="314"/>
        <v xml:space="preserve">Spline </v>
      </c>
      <c r="AC136" s="248" t="str">
        <f>Tools!B136</f>
        <v xml:space="preserve">0,-14.013 </v>
      </c>
      <c r="AD136" s="248" t="str">
        <f>Tools!C136</f>
        <v xml:space="preserve">3.655,-12.443 </v>
      </c>
      <c r="AE136" s="248" t="str">
        <f>Tools!D136</f>
        <v xml:space="preserve">7.31,-11.053 </v>
      </c>
      <c r="AF136" s="248" t="str">
        <f>Tools!E136</f>
        <v xml:space="preserve">10.965,-9.823 </v>
      </c>
      <c r="AG136" s="248" t="str">
        <f>Tools!F136</f>
        <v xml:space="preserve">14.62,-8.793 </v>
      </c>
      <c r="AH136" s="248" t="str">
        <f>Tools!G136</f>
        <v xml:space="preserve">21.93,-7.293 </v>
      </c>
      <c r="AI136" s="248" t="str">
        <f>Tools!H136</f>
        <v xml:space="preserve">29.24,-6.333 </v>
      </c>
      <c r="AJ136" s="248" t="str">
        <f>Tools!I136</f>
        <v xml:space="preserve">36.55,-6.093 </v>
      </c>
      <c r="AK136" s="248" t="str">
        <f>Tools!J136</f>
        <v xml:space="preserve">43.86,-5.833 </v>
      </c>
      <c r="AL136" s="248" t="str">
        <f>Tools!K136</f>
        <v xml:space="preserve">51.17,-5.833 </v>
      </c>
      <c r="AM136" s="248" t="str">
        <f>Tools!L136</f>
        <v xml:space="preserve">58.48,-5.833 </v>
      </c>
      <c r="AN136" s="248" t="str">
        <f>Tools!M136</f>
        <v xml:space="preserve">65.79,-5.833 </v>
      </c>
      <c r="AO136" s="248" t="str">
        <f>Tools!N136</f>
        <v xml:space="preserve">73.1,-5.833 </v>
      </c>
      <c r="AP136" s="248" t="str">
        <f>Tools!O136</f>
        <v xml:space="preserve">80.41,-5.833 </v>
      </c>
      <c r="AQ136" s="248" t="str">
        <f>Tools!P136</f>
        <v xml:space="preserve">87.72,-5.833 </v>
      </c>
      <c r="AR136" s="248" t="str">
        <f>Tools!Q136</f>
        <v xml:space="preserve">95.03,-5.833 </v>
      </c>
      <c r="AS136" s="248" t="str">
        <f>Tools!R136</f>
        <v xml:space="preserve">102.34,-5.833 </v>
      </c>
      <c r="AT136" s="248" t="str">
        <f>Tools!S136</f>
        <v xml:space="preserve">109.65,-5.833 </v>
      </c>
      <c r="AU136" s="248" t="str">
        <f>Tools!T136</f>
        <v xml:space="preserve">116.96,-5.933 </v>
      </c>
      <c r="AV136" s="248" t="str">
        <f>Tools!U136</f>
        <v xml:space="preserve">124.27,-6.563 </v>
      </c>
      <c r="AW136" s="248" t="str">
        <f>Tools!V136</f>
        <v xml:space="preserve">131.58,-8.403 </v>
      </c>
      <c r="AX136" s="248" t="str">
        <f>Tools!W136</f>
        <v xml:space="preserve">135.235,-9.923 </v>
      </c>
      <c r="AY136" s="248" t="str">
        <f>Tools!X136</f>
        <v xml:space="preserve">138.89,-11.893 </v>
      </c>
      <c r="AZ136" s="248" t="str">
        <f>Tools!Y136</f>
        <v xml:space="preserve">142.545,-14.337 </v>
      </c>
      <c r="BA136" s="399" t="str">
        <f>Tools!Z136</f>
        <v xml:space="preserve">146.2,-16.803 </v>
      </c>
      <c r="BC136" s="277">
        <f>Offset!Q11</f>
        <v>6</v>
      </c>
      <c r="BD136" s="280" t="str">
        <f>IF(ISNUMBER(VLOOKUP(BC136,Offset!Q$2:R$27,2,FALSE)),VLOOKUP(BC136,Offset!Q$2:R$27,2,FALSE),"-")</f>
        <v>-</v>
      </c>
      <c r="BE136" s="280" t="e">
        <f t="shared" si="350"/>
        <v>#VALUE!</v>
      </c>
      <c r="BF136" s="280" t="str">
        <f t="shared" si="316"/>
        <v>#NA</v>
      </c>
      <c r="BG136" s="280" t="str">
        <f t="shared" si="317"/>
        <v>#NA</v>
      </c>
      <c r="BH136" s="280" t="str">
        <f t="shared" si="318"/>
        <v>#NA</v>
      </c>
      <c r="BI136" s="280" t="str">
        <f t="shared" si="319"/>
        <v>#NA</v>
      </c>
      <c r="BJ136" s="280" t="str">
        <f t="shared" si="320"/>
        <v>#NA</v>
      </c>
      <c r="BK136" s="280" t="str">
        <f t="shared" si="321"/>
        <v>#NA</v>
      </c>
      <c r="BL136" s="280" t="str">
        <f t="shared" si="322"/>
        <v>#NA</v>
      </c>
      <c r="BM136" s="280"/>
      <c r="BN136" s="280" t="e">
        <f t="shared" si="323"/>
        <v>#VALUE!</v>
      </c>
      <c r="BO136" s="280" t="e">
        <f t="shared" si="324"/>
        <v>#VALUE!</v>
      </c>
      <c r="BP136" s="280" t="e">
        <f t="shared" si="325"/>
        <v>#VALUE!</v>
      </c>
      <c r="BQ136" s="280" t="e">
        <f t="shared" si="326"/>
        <v>#VALUE!</v>
      </c>
      <c r="BR136" s="280" t="e">
        <f t="shared" si="327"/>
        <v>#VALUE!</v>
      </c>
      <c r="BS136" s="280" t="e">
        <f t="shared" si="328"/>
        <v>#VALUE!</v>
      </c>
      <c r="BT136" s="280" t="e">
        <f t="shared" si="329"/>
        <v>#VALUE!</v>
      </c>
      <c r="BU136" s="280" t="e">
        <f t="shared" si="330"/>
        <v>#VALUE!</v>
      </c>
      <c r="BV136" s="280" t="e">
        <f t="shared" si="331"/>
        <v>#VALUE!</v>
      </c>
      <c r="BW136" s="280" t="e">
        <f t="shared" si="332"/>
        <v>#VALUE!</v>
      </c>
      <c r="BX136" s="280" t="e">
        <f t="shared" si="351"/>
        <v>#VALUE!</v>
      </c>
      <c r="BY136" s="280" t="e">
        <f t="shared" si="333"/>
        <v>#VALUE!</v>
      </c>
      <c r="BZ136" s="280" t="e">
        <f t="shared" si="334"/>
        <v>#VALUE!</v>
      </c>
      <c r="CA136" s="280" t="e">
        <f t="shared" si="335"/>
        <v>#VALUE!</v>
      </c>
      <c r="CB136" s="280" t="e">
        <f t="shared" si="336"/>
        <v>#VALUE!</v>
      </c>
      <c r="CC136" s="280" t="e">
        <f t="shared" si="337"/>
        <v>#VALUE!</v>
      </c>
      <c r="CD136" s="280" t="e">
        <f t="shared" si="338"/>
        <v>#VALUE!</v>
      </c>
      <c r="CE136" s="280" t="e">
        <f t="shared" si="339"/>
        <v>#VALUE!</v>
      </c>
      <c r="CF136" s="280" t="e">
        <f t="shared" si="340"/>
        <v>#VALUE!</v>
      </c>
      <c r="CG136" s="280" t="e">
        <f t="shared" si="341"/>
        <v>#VALUE!</v>
      </c>
      <c r="CH136" s="280" t="e">
        <f t="shared" si="342"/>
        <v>#VALUE!</v>
      </c>
      <c r="CI136" s="280" t="e">
        <f t="shared" si="343"/>
        <v>#VALUE!</v>
      </c>
      <c r="CJ136" s="280" t="e">
        <f t="shared" si="344"/>
        <v>#VALUE!</v>
      </c>
      <c r="CK136" s="280" t="e">
        <f t="shared" si="345"/>
        <v>#VALUE!</v>
      </c>
      <c r="CL136" s="280" t="e">
        <f t="shared" si="346"/>
        <v>#VALUE!</v>
      </c>
      <c r="CM136" s="279">
        <f t="shared" si="352"/>
        <v>0</v>
      </c>
      <c r="CO136" s="458">
        <v>10</v>
      </c>
      <c r="CP136" s="458">
        <v>-2.82</v>
      </c>
      <c r="CQ136" s="458">
        <v>-4.3899999999999997</v>
      </c>
      <c r="CR136" s="458">
        <v>-5.78</v>
      </c>
      <c r="CS136" s="458">
        <v>-7.01</v>
      </c>
      <c r="CT136" s="458">
        <v>-8.0399999999999991</v>
      </c>
      <c r="CU136" s="458">
        <v>-9.5399999999999991</v>
      </c>
      <c r="CV136" s="458">
        <v>-10.5</v>
      </c>
      <c r="CW136" s="458">
        <v>-10.74</v>
      </c>
      <c r="CX136" s="458">
        <v>-11</v>
      </c>
      <c r="CY136" s="458">
        <v>-11</v>
      </c>
      <c r="CZ136" s="458">
        <v>-11</v>
      </c>
      <c r="DA136" s="458">
        <v>-11</v>
      </c>
      <c r="DB136" s="458">
        <v>-11</v>
      </c>
      <c r="DC136" s="458">
        <v>11</v>
      </c>
      <c r="DD136" s="458">
        <v>11</v>
      </c>
      <c r="DE136" s="458">
        <v>11</v>
      </c>
      <c r="DF136" s="458">
        <v>11</v>
      </c>
      <c r="DG136" s="458">
        <v>11</v>
      </c>
      <c r="DH136" s="458">
        <v>10.9</v>
      </c>
      <c r="DI136" s="458">
        <v>10.27</v>
      </c>
      <c r="DJ136" s="458">
        <v>8.43</v>
      </c>
      <c r="DK136" s="458">
        <v>6.91</v>
      </c>
      <c r="DL136" s="458">
        <v>4.9399999999999995</v>
      </c>
      <c r="DM136" s="458">
        <v>2.4962</v>
      </c>
      <c r="DN136" s="458">
        <v>0.03</v>
      </c>
      <c r="DO136" s="400"/>
      <c r="DP136" s="462">
        <f t="shared" si="269"/>
        <v>58.48</v>
      </c>
      <c r="DQ136" s="462" t="str">
        <f t="shared" si="270"/>
        <v/>
      </c>
      <c r="DR136" s="462" t="str">
        <f t="shared" ref="DR136:EO136" si="367">IFERROR(CONCATENATE(ROUND($DP136,3),",",ROUND(ABS(DK108),3),",",ROUND(EM108,3)," "),"")</f>
        <v xml:space="preserve">58.48,9.5,0 </v>
      </c>
      <c r="DS136" s="462" t="str">
        <f t="shared" si="367"/>
        <v xml:space="preserve">58.48,10.33,0.5 </v>
      </c>
      <c r="DT136" s="462" t="str">
        <f t="shared" si="367"/>
        <v xml:space="preserve">58.48,10.67,1 </v>
      </c>
      <c r="DU136" s="462" t="str">
        <f t="shared" si="367"/>
        <v xml:space="preserve">58.48,10.9,1.5 </v>
      </c>
      <c r="DV136" s="462" t="str">
        <f t="shared" si="367"/>
        <v xml:space="preserve">58.48,11,2 </v>
      </c>
      <c r="DW136" s="462" t="str">
        <f t="shared" si="367"/>
        <v xml:space="preserve">58.48,11,4 </v>
      </c>
      <c r="DX136" s="462" t="str">
        <f t="shared" si="367"/>
        <v xml:space="preserve">58.48,11,6 </v>
      </c>
      <c r="DY136" s="462" t="str">
        <f t="shared" si="367"/>
        <v xml:space="preserve">58.48,11,8 </v>
      </c>
      <c r="DZ136" s="462" t="str">
        <f t="shared" si="367"/>
        <v xml:space="preserve">58.48,11,9.7 </v>
      </c>
      <c r="EA136" s="462" t="str">
        <f t="shared" si="367"/>
        <v xml:space="preserve">58.48,11,10 </v>
      </c>
      <c r="EB136" s="462" t="str">
        <f t="shared" si="367"/>
        <v xml:space="preserve">58.48,11,12 </v>
      </c>
      <c r="EC136" s="462" t="str">
        <f t="shared" si="367"/>
        <v xml:space="preserve">58.48,11,13 </v>
      </c>
      <c r="ED136" s="462" t="str">
        <f t="shared" si="367"/>
        <v/>
      </c>
      <c r="EE136" s="462" t="str">
        <f t="shared" si="367"/>
        <v/>
      </c>
      <c r="EF136" s="462" t="str">
        <f t="shared" si="367"/>
        <v/>
      </c>
      <c r="EG136" s="462" t="str">
        <f t="shared" si="367"/>
        <v/>
      </c>
      <c r="EH136" s="462" t="str">
        <f t="shared" si="367"/>
        <v/>
      </c>
      <c r="EI136" s="462" t="str">
        <f t="shared" si="367"/>
        <v/>
      </c>
      <c r="EJ136" s="462" t="str">
        <f t="shared" si="367"/>
        <v/>
      </c>
      <c r="EK136" s="462" t="str">
        <f t="shared" si="367"/>
        <v/>
      </c>
      <c r="EL136" s="462" t="str">
        <f t="shared" si="367"/>
        <v/>
      </c>
      <c r="EM136" s="462" t="str">
        <f t="shared" si="367"/>
        <v/>
      </c>
      <c r="EN136" s="462" t="str">
        <f t="shared" si="367"/>
        <v/>
      </c>
      <c r="EO136" s="462" t="str">
        <f t="shared" si="367"/>
        <v/>
      </c>
      <c r="EP136" s="462" t="str">
        <f t="shared" si="270"/>
        <v/>
      </c>
      <c r="ER136" s="461" t="str">
        <f t="shared" si="304"/>
        <v xml:space="preserve">58.48,9.5,0 58.48,10.33,0.5 58.48,10.67,1 58.48,10.9,1.5 58.48,11,2 58.48,11,4 58.48,11,6 58.48,11,8 58.48,11,9.7 58.48,11,10 58.48,11,12 58.48,11,13 </v>
      </c>
      <c r="ES136" s="189" t="str">
        <f t="shared" ca="1" si="348"/>
        <v xml:space="preserve">Spline 58.48,0,0 58.48,9.5,0 58.48,10.33,0.5 58.48,10.67,1 58.48,10.9,1.5 58.48,11,2 58.48,11,4 58.48,11,6 58.48,11,8 58.48,11,9.7 58.48,11,10 58.48,11,12 58.48,11,13  </v>
      </c>
      <c r="ET136" s="132" t="str">
        <f t="shared" ca="1" si="305"/>
        <v xml:space="preserve">Spline 58.48,0,0 58.48,9.5,0 58.48,10.33,0.5 58.48,10.67,1 58.48,10.9,1.5 58.48,11,2 58.48,11,4 58.48,11,6 58.48,11,8 58.48,11,9.7 58.48,11,10 58.48,11,12 58.48,11,13  </v>
      </c>
      <c r="EU136" s="132">
        <f ca="1">COUNTIF(BP_11,NA())</f>
        <v>0</v>
      </c>
      <c r="EV136" s="132">
        <f t="shared" ca="1" si="271"/>
        <v>0</v>
      </c>
      <c r="EW136" s="132">
        <v>11</v>
      </c>
      <c r="EX136" s="132" t="str">
        <f t="shared" si="272"/>
        <v xml:space="preserve">58.48,11,13 </v>
      </c>
      <c r="EY136" s="132" t="str">
        <f t="shared" ca="1" si="273"/>
        <v xml:space="preserve">Spline 58.48,0,0 58.48,11,13 58.48,11,12 58.48,11,10 58.48,11,9.7 58.48,11,8 58.48,11,6 58.48,11,4 58.48,11,2 58.48,10.9,1.5 58.48,10.67,1 58.48,10.33,0.5 58.48,9.5,0 </v>
      </c>
      <c r="EZ136" s="189" t="str">
        <f t="shared" si="306"/>
        <v xml:space="preserve">58.48,9.5,0 58.48,10.33,0.5 58.48,10.67,1 58.48,10.9,1.5 58.48,11,2 58.48,11,4 58.48,11,6 58.48,11,8 58.48,11,9.7 58.48,11,10 58.48,11,12 58.48,11,13  </v>
      </c>
      <c r="FB136" s="462">
        <f t="shared" si="274"/>
        <v>58.48</v>
      </c>
      <c r="FC136" s="464" t="str">
        <f t="shared" si="307"/>
        <v/>
      </c>
      <c r="FD136" s="462" t="str">
        <f t="shared" ref="FD136:GB136" si="368">IFERROR(CONCATENATE(ROUND($DP136,3),",",-ROUND(ABS(DK108),3),",",ROUND(EM108,3)," "),"")</f>
        <v xml:space="preserve">58.48,-9.5,0 </v>
      </c>
      <c r="FE136" s="462" t="str">
        <f t="shared" si="368"/>
        <v xml:space="preserve">58.48,-10.33,0.5 </v>
      </c>
      <c r="FF136" s="462" t="str">
        <f t="shared" si="368"/>
        <v xml:space="preserve">58.48,-10.67,1 </v>
      </c>
      <c r="FG136" s="462" t="str">
        <f t="shared" si="368"/>
        <v xml:space="preserve">58.48,-10.9,1.5 </v>
      </c>
      <c r="FH136" s="462" t="str">
        <f t="shared" si="368"/>
        <v xml:space="preserve">58.48,-11,2 </v>
      </c>
      <c r="FI136" s="462" t="str">
        <f t="shared" si="368"/>
        <v xml:space="preserve">58.48,-11,4 </v>
      </c>
      <c r="FJ136" s="462" t="str">
        <f t="shared" si="368"/>
        <v xml:space="preserve">58.48,-11,6 </v>
      </c>
      <c r="FK136" s="462" t="str">
        <f t="shared" si="368"/>
        <v xml:space="preserve">58.48,-11,8 </v>
      </c>
      <c r="FL136" s="462" t="str">
        <f t="shared" si="368"/>
        <v xml:space="preserve">58.48,-11,9.7 </v>
      </c>
      <c r="FM136" s="462" t="str">
        <f t="shared" si="368"/>
        <v xml:space="preserve">58.48,-11,10 </v>
      </c>
      <c r="FN136" s="462" t="str">
        <f t="shared" si="368"/>
        <v xml:space="preserve">58.48,-11,12 </v>
      </c>
      <c r="FO136" s="462" t="str">
        <f t="shared" si="368"/>
        <v xml:space="preserve">58.48,-11,13 </v>
      </c>
      <c r="FP136" s="462" t="str">
        <f t="shared" si="368"/>
        <v/>
      </c>
      <c r="FQ136" s="462" t="str">
        <f t="shared" si="368"/>
        <v/>
      </c>
      <c r="FR136" s="462" t="str">
        <f t="shared" si="368"/>
        <v/>
      </c>
      <c r="FS136" s="462" t="str">
        <f t="shared" si="368"/>
        <v/>
      </c>
      <c r="FT136" s="462" t="str">
        <f t="shared" si="368"/>
        <v/>
      </c>
      <c r="FU136" s="462" t="str">
        <f t="shared" si="368"/>
        <v/>
      </c>
      <c r="FV136" s="462" t="str">
        <f t="shared" si="368"/>
        <v/>
      </c>
      <c r="FW136" s="462" t="str">
        <f t="shared" si="368"/>
        <v/>
      </c>
      <c r="FX136" s="462" t="str">
        <f t="shared" si="368"/>
        <v/>
      </c>
      <c r="FY136" s="462" t="str">
        <f t="shared" si="368"/>
        <v/>
      </c>
      <c r="FZ136" s="462" t="str">
        <f t="shared" si="368"/>
        <v/>
      </c>
      <c r="GA136" s="462" t="str">
        <f t="shared" si="368"/>
        <v/>
      </c>
      <c r="GB136" s="462" t="str">
        <f t="shared" si="368"/>
        <v/>
      </c>
      <c r="GC136" s="132" t="str">
        <f t="shared" si="309"/>
        <v xml:space="preserve">58.48,11,13 58.48,11,12 58.48,11,10 58.48,11,9.7 58.48,11,8 58.48,11,6 58.48,11,4 58.48,11,2 58.48,10.9,1.5 58.48,10.67,1 58.48,10.33,0.5 58.48,9.5,0 </v>
      </c>
      <c r="GD136" s="132" t="str">
        <f t="shared" ca="1" si="276"/>
        <v>Spline 58.48,11,13 58.48,11,12 58.48,11,10 58.48,11,9.7 58.48,11,8 58.48,11,6 58.48,11,4 58.48,11,2 58.48,10.9,1.5 58.48,10.67,1 58.48,10.33,0.5 58.48,9.5,0 58.48,0,0</v>
      </c>
      <c r="GE136" s="465" t="str">
        <f t="shared" si="310"/>
        <v xml:space="preserve">58.48,-9.5,0 58.48,-10.33,0.5 58.48,-10.67,1 58.48,-10.9,1.5 58.48,-11,2 58.48,-11,4 58.48,-11,6 58.48,-11,8 58.48,-11,9.7 58.48,-11,10 58.48,-11,12 58.48,-11,13 </v>
      </c>
      <c r="GH136" s="132" t="str">
        <f t="shared" si="311"/>
        <v xml:space="preserve">Spline 58.48,11,13 58.48,11,12 58.48,11,10 58.48,11,9.7 58.48,11,8 58.48,11,6 58.48,11,4 58.48,11,2 58.48,10.9,1.5 58.48,10.67,1 58.48,10.33,0.5 58.48,9.5,0 T 58.48,0,0 </v>
      </c>
      <c r="GI136" s="132" t="str">
        <f t="shared" si="312"/>
        <v xml:space="preserve">Spline 58.48,9.5,0 58.48,0,0  Join 58.48,0,0  58.48,11,13 </v>
      </c>
      <c r="GP136" s="132" t="str">
        <f t="shared" si="277"/>
        <v xml:space="preserve">58.48,0,0 </v>
      </c>
      <c r="GQ136" s="132" t="str">
        <f t="shared" si="313"/>
        <v>Curve 58.48,11,13 58.48,11,12 58.48,11,10 58.48,11,9.7 58.48,11,8 58.48,11,6 58.48,11,4 58.48,11,2 58.48,10.9,1.5 58.48,10.67,1 58.48,10.33,0.5 58.48,9.5,0 58.48,0,0 _enter</v>
      </c>
    </row>
    <row r="137" spans="1:199" x14ac:dyDescent="0.25">
      <c r="A137" s="377">
        <f t="shared" si="268"/>
        <v>6</v>
      </c>
      <c r="B137" s="380" t="str">
        <f t="shared" si="278"/>
        <v xml:space="preserve">0,-13.013 </v>
      </c>
      <c r="C137" s="380" t="str">
        <f t="shared" si="279"/>
        <v xml:space="preserve">3.655,-11.403 </v>
      </c>
      <c r="D137" s="380" t="str">
        <f t="shared" si="280"/>
        <v xml:space="preserve">7.31,-10.033 </v>
      </c>
      <c r="E137" s="380" t="str">
        <f t="shared" si="281"/>
        <v xml:space="preserve">10.965,-8.853 </v>
      </c>
      <c r="F137" s="380" t="str">
        <f t="shared" si="282"/>
        <v xml:space="preserve">14.62,-7.893 </v>
      </c>
      <c r="G137" s="380" t="str">
        <f t="shared" si="283"/>
        <v xml:space="preserve">21.93,-6.733 </v>
      </c>
      <c r="H137" s="380" t="str">
        <f t="shared" si="284"/>
        <v xml:space="preserve">29.24,-6.033 </v>
      </c>
      <c r="I137" s="380" t="str">
        <f t="shared" si="285"/>
        <v xml:space="preserve">36.55,-5.933 </v>
      </c>
      <c r="J137" s="380" t="str">
        <f t="shared" si="286"/>
        <v xml:space="preserve">43.86,-5.833 </v>
      </c>
      <c r="K137" s="380" t="str">
        <f t="shared" si="287"/>
        <v xml:space="preserve">51.17,-5.833 </v>
      </c>
      <c r="L137" s="380" t="str">
        <f t="shared" si="288"/>
        <v xml:space="preserve">58.48,-5.833 </v>
      </c>
      <c r="M137" s="380" t="str">
        <f t="shared" si="289"/>
        <v xml:space="preserve">65.79,-5.833 </v>
      </c>
      <c r="N137" s="380" t="str">
        <f t="shared" si="290"/>
        <v xml:space="preserve">73.1,-5.833 </v>
      </c>
      <c r="O137" s="380" t="str">
        <f t="shared" si="291"/>
        <v xml:space="preserve">80.41,-5.833 </v>
      </c>
      <c r="P137" s="380" t="str">
        <f t="shared" si="292"/>
        <v xml:space="preserve">87.72,-5.833 </v>
      </c>
      <c r="Q137" s="380" t="str">
        <f t="shared" si="293"/>
        <v xml:space="preserve">95.03,-5.833 </v>
      </c>
      <c r="R137" s="380" t="str">
        <f t="shared" si="294"/>
        <v xml:space="preserve">102.34,-5.833 </v>
      </c>
      <c r="S137" s="380" t="str">
        <f t="shared" si="295"/>
        <v xml:space="preserve">109.65,-5.833 </v>
      </c>
      <c r="T137" s="380" t="str">
        <f t="shared" si="296"/>
        <v xml:space="preserve">116.96,-5.833 </v>
      </c>
      <c r="U137" s="380" t="str">
        <f t="shared" si="297"/>
        <v xml:space="preserve">124.27,-6.333 </v>
      </c>
      <c r="V137" s="380" t="str">
        <f t="shared" si="298"/>
        <v xml:space="preserve">131.58,-7.913 </v>
      </c>
      <c r="W137" s="380" t="str">
        <f t="shared" si="299"/>
        <v xml:space="preserve">135.235,-9.333 </v>
      </c>
      <c r="X137" s="380" t="str">
        <f t="shared" si="300"/>
        <v xml:space="preserve">138.89,-11.243 </v>
      </c>
      <c r="Y137" s="380" t="str">
        <f t="shared" si="301"/>
        <v xml:space="preserve">142.545,-13.643 </v>
      </c>
      <c r="Z137" s="398" t="str">
        <f t="shared" si="302"/>
        <v xml:space="preserve">146.2,-16.033 </v>
      </c>
      <c r="AB137" s="248" t="str">
        <f t="shared" si="314"/>
        <v xml:space="preserve">Spline </v>
      </c>
      <c r="AC137" s="248" t="str">
        <f>Tools!B137</f>
        <v xml:space="preserve">0,-13.013 </v>
      </c>
      <c r="AD137" s="248" t="str">
        <f>Tools!C137</f>
        <v xml:space="preserve">3.655,-11.403 </v>
      </c>
      <c r="AE137" s="248" t="str">
        <f>Tools!D137</f>
        <v xml:space="preserve">7.31,-10.033 </v>
      </c>
      <c r="AF137" s="248" t="str">
        <f>Tools!E137</f>
        <v xml:space="preserve">10.965,-8.853 </v>
      </c>
      <c r="AG137" s="248" t="str">
        <f>Tools!F137</f>
        <v xml:space="preserve">14.62,-7.893 </v>
      </c>
      <c r="AH137" s="248" t="str">
        <f>Tools!G137</f>
        <v xml:space="preserve">21.93,-6.733 </v>
      </c>
      <c r="AI137" s="248" t="str">
        <f>Tools!H137</f>
        <v xml:space="preserve">29.24,-6.033 </v>
      </c>
      <c r="AJ137" s="248" t="str">
        <f>Tools!I137</f>
        <v xml:space="preserve">36.55,-5.933 </v>
      </c>
      <c r="AK137" s="248" t="str">
        <f>Tools!J137</f>
        <v xml:space="preserve">43.86,-5.833 </v>
      </c>
      <c r="AL137" s="248" t="str">
        <f>Tools!K137</f>
        <v xml:space="preserve">51.17,-5.833 </v>
      </c>
      <c r="AM137" s="248" t="str">
        <f>Tools!L137</f>
        <v xml:space="preserve">58.48,-5.833 </v>
      </c>
      <c r="AN137" s="248" t="str">
        <f>Tools!M137</f>
        <v xml:space="preserve">65.79,-5.833 </v>
      </c>
      <c r="AO137" s="248" t="str">
        <f>Tools!N137</f>
        <v xml:space="preserve">73.1,-5.833 </v>
      </c>
      <c r="AP137" s="248" t="str">
        <f>Tools!O137</f>
        <v xml:space="preserve">80.41,-5.833 </v>
      </c>
      <c r="AQ137" s="248" t="str">
        <f>Tools!P137</f>
        <v xml:space="preserve">87.72,-5.833 </v>
      </c>
      <c r="AR137" s="248" t="str">
        <f>Tools!Q137</f>
        <v xml:space="preserve">95.03,-5.833 </v>
      </c>
      <c r="AS137" s="248" t="str">
        <f>Tools!R137</f>
        <v xml:space="preserve">102.34,-5.833 </v>
      </c>
      <c r="AT137" s="248" t="str">
        <f>Tools!S137</f>
        <v xml:space="preserve">109.65,-5.833 </v>
      </c>
      <c r="AU137" s="248" t="str">
        <f>Tools!T137</f>
        <v xml:space="preserve">116.96,-5.833 </v>
      </c>
      <c r="AV137" s="248" t="str">
        <f>Tools!U137</f>
        <v xml:space="preserve">124.27,-6.333 </v>
      </c>
      <c r="AW137" s="248" t="str">
        <f>Tools!V137</f>
        <v xml:space="preserve">131.58,-7.913 </v>
      </c>
      <c r="AX137" s="248" t="str">
        <f>Tools!W137</f>
        <v xml:space="preserve">135.235,-9.333 </v>
      </c>
      <c r="AY137" s="248" t="str">
        <f>Tools!X137</f>
        <v xml:space="preserve">138.89,-11.243 </v>
      </c>
      <c r="AZ137" s="248" t="str">
        <f>Tools!Y137</f>
        <v xml:space="preserve">142.545,-13.643 </v>
      </c>
      <c r="BA137" s="399" t="str">
        <f>Tools!Z137</f>
        <v xml:space="preserve">146.2,-16.033 </v>
      </c>
      <c r="BC137" s="277">
        <f>Offset!Q12</f>
        <v>7</v>
      </c>
      <c r="BD137" s="280" t="str">
        <f>IF(ISNUMBER(VLOOKUP(BC137,Offset!Q$2:R$27,2,FALSE)),VLOOKUP(BC137,Offset!Q$2:R$27,2,FALSE),"-")</f>
        <v>-</v>
      </c>
      <c r="BE137" s="280" t="e">
        <f t="shared" si="350"/>
        <v>#VALUE!</v>
      </c>
      <c r="BF137" s="280" t="str">
        <f t="shared" si="316"/>
        <v>#NA</v>
      </c>
      <c r="BG137" s="280" t="str">
        <f t="shared" si="317"/>
        <v>#NA</v>
      </c>
      <c r="BH137" s="280" t="str">
        <f t="shared" si="318"/>
        <v>#NA</v>
      </c>
      <c r="BI137" s="280" t="str">
        <f t="shared" si="319"/>
        <v>#NA</v>
      </c>
      <c r="BJ137" s="280" t="str">
        <f t="shared" si="320"/>
        <v>#NA</v>
      </c>
      <c r="BK137" s="280" t="str">
        <f t="shared" si="321"/>
        <v>#NA</v>
      </c>
      <c r="BL137" s="280" t="str">
        <f t="shared" si="322"/>
        <v>#NA</v>
      </c>
      <c r="BM137" s="280"/>
      <c r="BN137" s="280" t="e">
        <f t="shared" si="323"/>
        <v>#VALUE!</v>
      </c>
      <c r="BO137" s="280" t="e">
        <f t="shared" si="324"/>
        <v>#VALUE!</v>
      </c>
      <c r="BP137" s="280" t="e">
        <f t="shared" si="325"/>
        <v>#VALUE!</v>
      </c>
      <c r="BQ137" s="280" t="e">
        <f t="shared" si="326"/>
        <v>#VALUE!</v>
      </c>
      <c r="BR137" s="280" t="e">
        <f t="shared" si="327"/>
        <v>#VALUE!</v>
      </c>
      <c r="BS137" s="280" t="e">
        <f t="shared" si="328"/>
        <v>#VALUE!</v>
      </c>
      <c r="BT137" s="280" t="e">
        <f t="shared" si="329"/>
        <v>#VALUE!</v>
      </c>
      <c r="BU137" s="280" t="e">
        <f t="shared" si="330"/>
        <v>#VALUE!</v>
      </c>
      <c r="BV137" s="280" t="e">
        <f t="shared" si="331"/>
        <v>#VALUE!</v>
      </c>
      <c r="BW137" s="280" t="e">
        <f t="shared" si="332"/>
        <v>#VALUE!</v>
      </c>
      <c r="BX137" s="280" t="e">
        <f t="shared" si="351"/>
        <v>#VALUE!</v>
      </c>
      <c r="BY137" s="280" t="e">
        <f t="shared" si="333"/>
        <v>#VALUE!</v>
      </c>
      <c r="BZ137" s="280" t="e">
        <f t="shared" si="334"/>
        <v>#VALUE!</v>
      </c>
      <c r="CA137" s="280" t="e">
        <f t="shared" si="335"/>
        <v>#VALUE!</v>
      </c>
      <c r="CB137" s="280" t="e">
        <f t="shared" si="336"/>
        <v>#VALUE!</v>
      </c>
      <c r="CC137" s="280" t="e">
        <f t="shared" si="337"/>
        <v>#VALUE!</v>
      </c>
      <c r="CD137" s="280" t="e">
        <f t="shared" si="338"/>
        <v>#VALUE!</v>
      </c>
      <c r="CE137" s="280" t="e">
        <f t="shared" si="339"/>
        <v>#VALUE!</v>
      </c>
      <c r="CF137" s="280" t="e">
        <f t="shared" si="340"/>
        <v>#VALUE!</v>
      </c>
      <c r="CG137" s="280" t="e">
        <f t="shared" si="341"/>
        <v>#VALUE!</v>
      </c>
      <c r="CH137" s="280" t="e">
        <f t="shared" si="342"/>
        <v>#VALUE!</v>
      </c>
      <c r="CI137" s="280" t="e">
        <f t="shared" si="343"/>
        <v>#VALUE!</v>
      </c>
      <c r="CJ137" s="280" t="e">
        <f t="shared" si="344"/>
        <v>#VALUE!</v>
      </c>
      <c r="CK137" s="280" t="e">
        <f t="shared" si="345"/>
        <v>#VALUE!</v>
      </c>
      <c r="CL137" s="280" t="e">
        <f t="shared" si="346"/>
        <v>#VALUE!</v>
      </c>
      <c r="CM137" s="279">
        <f t="shared" si="352"/>
        <v>0</v>
      </c>
      <c r="CO137" s="458">
        <v>12</v>
      </c>
      <c r="CP137" s="458">
        <v>-3.82</v>
      </c>
      <c r="CQ137" s="458">
        <v>-5.43</v>
      </c>
      <c r="CR137" s="458">
        <v>-6.8</v>
      </c>
      <c r="CS137" s="458">
        <v>-7.98</v>
      </c>
      <c r="CT137" s="458">
        <v>-8.94</v>
      </c>
      <c r="CU137" s="458">
        <v>-10.1</v>
      </c>
      <c r="CV137" s="458">
        <v>-10.8</v>
      </c>
      <c r="CW137" s="458">
        <v>-10.9</v>
      </c>
      <c r="CX137" s="458">
        <v>-11</v>
      </c>
      <c r="CY137" s="458">
        <v>-11</v>
      </c>
      <c r="CZ137" s="458">
        <v>-11</v>
      </c>
      <c r="DA137" s="458">
        <v>-11</v>
      </c>
      <c r="DB137" s="458">
        <v>-11</v>
      </c>
      <c r="DC137" s="458">
        <v>11</v>
      </c>
      <c r="DD137" s="458">
        <v>11</v>
      </c>
      <c r="DE137" s="458">
        <v>11</v>
      </c>
      <c r="DF137" s="458">
        <v>11</v>
      </c>
      <c r="DG137" s="458">
        <v>11</v>
      </c>
      <c r="DH137" s="458">
        <v>11</v>
      </c>
      <c r="DI137" s="458">
        <v>10.5</v>
      </c>
      <c r="DJ137" s="458">
        <v>8.92</v>
      </c>
      <c r="DK137" s="458">
        <v>7.5</v>
      </c>
      <c r="DL137" s="458">
        <v>5.59</v>
      </c>
      <c r="DM137" s="458">
        <v>3.19</v>
      </c>
      <c r="DN137" s="458">
        <v>0.8</v>
      </c>
      <c r="DO137" s="400"/>
      <c r="DP137" s="462">
        <f t="shared" si="269"/>
        <v>65.789999999999992</v>
      </c>
      <c r="DQ137" s="462" t="str">
        <f t="shared" si="270"/>
        <v/>
      </c>
      <c r="DR137" s="462" t="str">
        <f t="shared" ref="DR137:EO137" si="369">IFERROR(CONCATENATE(ROUND($DP137,3),",",ROUND(ABS(DK109),3),",",ROUND(EM109,3)," "),"")</f>
        <v xml:space="preserve">65.79,9.7,0 </v>
      </c>
      <c r="DS137" s="462" t="str">
        <f t="shared" si="369"/>
        <v xml:space="preserve">65.79,10.45,0.5 </v>
      </c>
      <c r="DT137" s="462" t="str">
        <f t="shared" si="369"/>
        <v xml:space="preserve">65.79,10.75,1 </v>
      </c>
      <c r="DU137" s="462" t="str">
        <f t="shared" si="369"/>
        <v xml:space="preserve">65.79,10.93,1.5 </v>
      </c>
      <c r="DV137" s="462" t="str">
        <f t="shared" si="369"/>
        <v xml:space="preserve">65.79,11,2 </v>
      </c>
      <c r="DW137" s="462" t="str">
        <f t="shared" si="369"/>
        <v xml:space="preserve">65.79,11,4 </v>
      </c>
      <c r="DX137" s="462" t="str">
        <f t="shared" si="369"/>
        <v xml:space="preserve">65.79,11,6 </v>
      </c>
      <c r="DY137" s="462" t="str">
        <f t="shared" si="369"/>
        <v xml:space="preserve">65.79,11,8 </v>
      </c>
      <c r="DZ137" s="462" t="str">
        <f t="shared" si="369"/>
        <v xml:space="preserve">65.79,11,9.7 </v>
      </c>
      <c r="EA137" s="462" t="str">
        <f t="shared" si="369"/>
        <v xml:space="preserve">65.79,11,10 </v>
      </c>
      <c r="EB137" s="462" t="str">
        <f t="shared" si="369"/>
        <v xml:space="preserve">65.79,11,12 </v>
      </c>
      <c r="EC137" s="462" t="str">
        <f t="shared" si="369"/>
        <v xml:space="preserve">65.79,11,13 </v>
      </c>
      <c r="ED137" s="462" t="str">
        <f t="shared" si="369"/>
        <v/>
      </c>
      <c r="EE137" s="462" t="str">
        <f t="shared" si="369"/>
        <v/>
      </c>
      <c r="EF137" s="462" t="str">
        <f t="shared" si="369"/>
        <v/>
      </c>
      <c r="EG137" s="462" t="str">
        <f t="shared" si="369"/>
        <v/>
      </c>
      <c r="EH137" s="462" t="str">
        <f t="shared" si="369"/>
        <v/>
      </c>
      <c r="EI137" s="462" t="str">
        <f t="shared" si="369"/>
        <v/>
      </c>
      <c r="EJ137" s="462" t="str">
        <f t="shared" si="369"/>
        <v/>
      </c>
      <c r="EK137" s="462" t="str">
        <f t="shared" si="369"/>
        <v/>
      </c>
      <c r="EL137" s="462" t="str">
        <f t="shared" si="369"/>
        <v/>
      </c>
      <c r="EM137" s="462" t="str">
        <f t="shared" si="369"/>
        <v/>
      </c>
      <c r="EN137" s="462" t="str">
        <f t="shared" si="369"/>
        <v/>
      </c>
      <c r="EO137" s="462" t="str">
        <f t="shared" si="369"/>
        <v/>
      </c>
      <c r="EP137" s="462" t="str">
        <f t="shared" si="270"/>
        <v/>
      </c>
      <c r="ER137" s="461" t="str">
        <f t="shared" si="304"/>
        <v xml:space="preserve">65.79,9.7,0 65.79,10.45,0.5 65.79,10.75,1 65.79,10.93,1.5 65.79,11,2 65.79,11,4 65.79,11,6 65.79,11,8 65.79,11,9.7 65.79,11,10 65.79,11,12 65.79,11,13 </v>
      </c>
      <c r="ES137" s="189" t="str">
        <f t="shared" ca="1" si="348"/>
        <v xml:space="preserve">Spline 65.79,0,0 65.79,9.7,0 65.79,10.45,0.5 65.79,10.75,1 65.79,10.93,1.5 65.79,11,2 65.79,11,4 65.79,11,6 65.79,11,8 65.79,11,9.7 65.79,11,10 65.79,11,12 65.79,11,13  </v>
      </c>
      <c r="ET137" s="132" t="str">
        <f t="shared" ca="1" si="305"/>
        <v xml:space="preserve">Spline 65.79,0,0 65.79,9.7,0 65.79,10.45,0.5 65.79,10.75,1 65.79,10.93,1.5 65.79,11,2 65.79,11,4 65.79,11,6 65.79,11,8 65.79,11,9.7 65.79,11,10 65.79,11,12 65.79,11,13  </v>
      </c>
      <c r="EU137" s="132">
        <f ca="1">COUNTIF(BP_12,NA())</f>
        <v>0</v>
      </c>
      <c r="EV137" s="132">
        <f t="shared" ca="1" si="271"/>
        <v>0</v>
      </c>
      <c r="EW137" s="132">
        <v>12</v>
      </c>
      <c r="EX137" s="132" t="str">
        <f t="shared" si="272"/>
        <v xml:space="preserve">65.79,11,13 </v>
      </c>
      <c r="EY137" s="132" t="str">
        <f t="shared" ca="1" si="273"/>
        <v xml:space="preserve">Spline 65.79,0,0 65.79,11,13 65.79,11,12 65.79,11,10 65.79,11,9.7 65.79,11,8 65.79,11,6 65.79,11,4 65.79,11,2 65.79,10.93,1.5 65.79,10.75,1 65.79,10.45,0.5 65.79,9.7,0 </v>
      </c>
      <c r="EZ137" s="189" t="str">
        <f t="shared" si="306"/>
        <v xml:space="preserve">65.79,9.7,0 65.79,10.45,0.5 65.79,10.75,1 65.79,10.93,1.5 65.79,11,2 65.79,11,4 65.79,11,6 65.79,11,8 65.79,11,9.7 65.79,11,10 65.79,11,12 65.79,11,13  </v>
      </c>
      <c r="FB137" s="462">
        <f t="shared" si="274"/>
        <v>65.789999999999992</v>
      </c>
      <c r="FC137" s="464" t="str">
        <f t="shared" si="307"/>
        <v/>
      </c>
      <c r="FD137" s="462" t="str">
        <f t="shared" ref="FD137:GB137" si="370">IFERROR(CONCATENATE(ROUND($DP137,3),",",-ROUND(ABS(DK109),3),",",ROUND(EM109,3)," "),"")</f>
        <v xml:space="preserve">65.79,-9.7,0 </v>
      </c>
      <c r="FE137" s="462" t="str">
        <f t="shared" si="370"/>
        <v xml:space="preserve">65.79,-10.45,0.5 </v>
      </c>
      <c r="FF137" s="462" t="str">
        <f t="shared" si="370"/>
        <v xml:space="preserve">65.79,-10.75,1 </v>
      </c>
      <c r="FG137" s="462" t="str">
        <f t="shared" si="370"/>
        <v xml:space="preserve">65.79,-10.93,1.5 </v>
      </c>
      <c r="FH137" s="462" t="str">
        <f t="shared" si="370"/>
        <v xml:space="preserve">65.79,-11,2 </v>
      </c>
      <c r="FI137" s="462" t="str">
        <f t="shared" si="370"/>
        <v xml:space="preserve">65.79,-11,4 </v>
      </c>
      <c r="FJ137" s="462" t="str">
        <f t="shared" si="370"/>
        <v xml:space="preserve">65.79,-11,6 </v>
      </c>
      <c r="FK137" s="462" t="str">
        <f t="shared" si="370"/>
        <v xml:space="preserve">65.79,-11,8 </v>
      </c>
      <c r="FL137" s="462" t="str">
        <f t="shared" si="370"/>
        <v xml:space="preserve">65.79,-11,9.7 </v>
      </c>
      <c r="FM137" s="462" t="str">
        <f t="shared" si="370"/>
        <v xml:space="preserve">65.79,-11,10 </v>
      </c>
      <c r="FN137" s="462" t="str">
        <f t="shared" si="370"/>
        <v xml:space="preserve">65.79,-11,12 </v>
      </c>
      <c r="FO137" s="462" t="str">
        <f t="shared" si="370"/>
        <v xml:space="preserve">65.79,-11,13 </v>
      </c>
      <c r="FP137" s="462" t="str">
        <f t="shared" si="370"/>
        <v/>
      </c>
      <c r="FQ137" s="462" t="str">
        <f t="shared" si="370"/>
        <v/>
      </c>
      <c r="FR137" s="462" t="str">
        <f t="shared" si="370"/>
        <v/>
      </c>
      <c r="FS137" s="462" t="str">
        <f t="shared" si="370"/>
        <v/>
      </c>
      <c r="FT137" s="462" t="str">
        <f t="shared" si="370"/>
        <v/>
      </c>
      <c r="FU137" s="462" t="str">
        <f t="shared" si="370"/>
        <v/>
      </c>
      <c r="FV137" s="462" t="str">
        <f t="shared" si="370"/>
        <v/>
      </c>
      <c r="FW137" s="462" t="str">
        <f t="shared" si="370"/>
        <v/>
      </c>
      <c r="FX137" s="462" t="str">
        <f t="shared" si="370"/>
        <v/>
      </c>
      <c r="FY137" s="462" t="str">
        <f t="shared" si="370"/>
        <v/>
      </c>
      <c r="FZ137" s="462" t="str">
        <f t="shared" si="370"/>
        <v/>
      </c>
      <c r="GA137" s="462" t="str">
        <f t="shared" si="370"/>
        <v/>
      </c>
      <c r="GB137" s="462" t="str">
        <f t="shared" si="370"/>
        <v/>
      </c>
      <c r="GC137" s="132" t="str">
        <f t="shared" si="309"/>
        <v xml:space="preserve">65.79,11,13 65.79,11,12 65.79,11,10 65.79,11,9.7 65.79,11,8 65.79,11,6 65.79,11,4 65.79,11,2 65.79,10.93,1.5 65.79,10.75,1 65.79,10.45,0.5 65.79,9.7,0 </v>
      </c>
      <c r="GD137" s="132" t="str">
        <f t="shared" ca="1" si="276"/>
        <v>Spline 65.79,11,13 65.79,11,12 65.79,11,10 65.79,11,9.7 65.79,11,8 65.79,11,6 65.79,11,4 65.79,11,2 65.79,10.93,1.5 65.79,10.75,1 65.79,10.45,0.5 65.79,9.7,0 65.79,0,0</v>
      </c>
      <c r="GE137" s="465" t="str">
        <f t="shared" si="310"/>
        <v xml:space="preserve">65.79,-9.7,0 65.79,-10.45,0.5 65.79,-10.75,1 65.79,-10.93,1.5 65.79,-11,2 65.79,-11,4 65.79,-11,6 65.79,-11,8 65.79,-11,9.7 65.79,-11,10 65.79,-11,12 65.79,-11,13 </v>
      </c>
      <c r="GH137" s="132" t="str">
        <f t="shared" si="311"/>
        <v xml:space="preserve">Spline 65.79,11,13 65.79,11,12 65.79,11,10 65.79,11,9.7 65.79,11,8 65.79,11,6 65.79,11,4 65.79,11,2 65.79,10.93,1.5 65.79,10.75,1 65.79,10.45,0.5 65.79,9.7,0 T 65.79,0,0 </v>
      </c>
      <c r="GI137" s="132" t="str">
        <f t="shared" si="312"/>
        <v xml:space="preserve">Spline 65.79,9.7,0 65.79,0,0  Join 65.79,0,0  65.79,11,13 </v>
      </c>
      <c r="GP137" s="132" t="str">
        <f t="shared" si="277"/>
        <v xml:space="preserve">65.79,0,0 </v>
      </c>
      <c r="GQ137" s="132" t="str">
        <f t="shared" si="313"/>
        <v>Curve 65.79,11,13 65.79,11,12 65.79,11,10 65.79,11,9.7 65.79,11,8 65.79,11,6 65.79,11,4 65.79,11,2 65.79,10.93,1.5 65.79,10.75,1 65.79,10.45,0.5 65.79,9.7,0 65.79,0,0 _enter</v>
      </c>
    </row>
    <row r="138" spans="1:199" x14ac:dyDescent="0.25">
      <c r="A138" s="377">
        <f t="shared" si="268"/>
        <v>6.5</v>
      </c>
      <c r="B138" s="380" t="str">
        <f t="shared" si="278"/>
        <v xml:space="preserve">0,-12.593 </v>
      </c>
      <c r="C138" s="380" t="str">
        <f t="shared" si="279"/>
        <v xml:space="preserve">3.655,-10.983 </v>
      </c>
      <c r="D138" s="380" t="str">
        <f t="shared" si="280"/>
        <v xml:space="preserve">7.31,-9.563 </v>
      </c>
      <c r="E138" s="380" t="str">
        <f t="shared" si="281"/>
        <v xml:space="preserve">10.965,-8.413 </v>
      </c>
      <c r="F138" s="380" t="str">
        <f t="shared" si="282"/>
        <v xml:space="preserve">14.62,-7.533 </v>
      </c>
      <c r="G138" s="380" t="str">
        <f t="shared" si="283"/>
        <v xml:space="preserve">21.93,-6.393 </v>
      </c>
      <c r="H138" s="380" t="str">
        <f t="shared" si="284"/>
        <v xml:space="preserve">29.24,-5.963 </v>
      </c>
      <c r="I138" s="380" t="str">
        <f t="shared" si="285"/>
        <v xml:space="preserve">36.55,-5.833 </v>
      </c>
      <c r="J138" s="380" t="str">
        <f t="shared" si="286"/>
        <v xml:space="preserve">43.86,-5.833 </v>
      </c>
      <c r="K138" s="380" t="str">
        <f t="shared" si="287"/>
        <v xml:space="preserve">51.17,-5.833 </v>
      </c>
      <c r="L138" s="380" t="str">
        <f t="shared" si="288"/>
        <v xml:space="preserve">58.48,-5.833 </v>
      </c>
      <c r="M138" s="380" t="str">
        <f t="shared" si="289"/>
        <v xml:space="preserve">65.79,-5.833 </v>
      </c>
      <c r="N138" s="380" t="str">
        <f t="shared" si="290"/>
        <v xml:space="preserve">73.1,-5.833 </v>
      </c>
      <c r="O138" s="380" t="str">
        <f t="shared" si="291"/>
        <v xml:space="preserve">80.41,-5.833 </v>
      </c>
      <c r="P138" s="380" t="str">
        <f t="shared" si="292"/>
        <v xml:space="preserve">87.72,-5.833 </v>
      </c>
      <c r="Q138" s="380" t="str">
        <f t="shared" si="293"/>
        <v xml:space="preserve">95.03,-5.833 </v>
      </c>
      <c r="R138" s="380" t="str">
        <f t="shared" si="294"/>
        <v xml:space="preserve">102.34,-5.833 </v>
      </c>
      <c r="S138" s="380" t="str">
        <f t="shared" si="295"/>
        <v xml:space="preserve">109.65,-5.833 </v>
      </c>
      <c r="T138" s="380" t="str">
        <f t="shared" si="296"/>
        <v xml:space="preserve">116.96,-5.833 </v>
      </c>
      <c r="U138" s="380" t="str">
        <f t="shared" si="297"/>
        <v xml:space="preserve">124.27,-6.213 </v>
      </c>
      <c r="V138" s="380" t="str">
        <f t="shared" si="298"/>
        <v xml:space="preserve">131.58,-7.673 </v>
      </c>
      <c r="W138" s="380" t="str">
        <f t="shared" si="299"/>
        <v xml:space="preserve">135.235,-9.033 </v>
      </c>
      <c r="X138" s="380" t="str">
        <f t="shared" si="300"/>
        <v xml:space="preserve">138.89,-10.893 </v>
      </c>
      <c r="Y138" s="380" t="str">
        <f t="shared" si="301"/>
        <v xml:space="preserve">142.545,-13.203 </v>
      </c>
      <c r="Z138" s="398" t="str">
        <f t="shared" si="302"/>
        <v xml:space="preserve">146.2,-15.203 </v>
      </c>
      <c r="AB138" s="248" t="str">
        <f t="shared" si="314"/>
        <v xml:space="preserve">Spline </v>
      </c>
      <c r="AC138" s="248" t="str">
        <f>Tools!B138</f>
        <v xml:space="preserve">0,-12.593 </v>
      </c>
      <c r="AD138" s="248" t="str">
        <f>Tools!C138</f>
        <v xml:space="preserve">3.655,-10.983 </v>
      </c>
      <c r="AE138" s="248" t="str">
        <f>Tools!D138</f>
        <v xml:space="preserve">7.31,-9.563 </v>
      </c>
      <c r="AF138" s="248" t="str">
        <f>Tools!E138</f>
        <v xml:space="preserve">10.965,-8.413 </v>
      </c>
      <c r="AG138" s="248" t="str">
        <f>Tools!F138</f>
        <v xml:space="preserve">14.62,-7.533 </v>
      </c>
      <c r="AH138" s="248" t="str">
        <f>Tools!G138</f>
        <v xml:space="preserve">21.93,-6.393 </v>
      </c>
      <c r="AI138" s="248" t="str">
        <f>Tools!H138</f>
        <v xml:space="preserve">29.24,-5.963 </v>
      </c>
      <c r="AJ138" s="248" t="str">
        <f>Tools!I138</f>
        <v xml:space="preserve">36.55,-5.833 </v>
      </c>
      <c r="AK138" s="248" t="str">
        <f>Tools!J138</f>
        <v xml:space="preserve">43.86,-5.833 </v>
      </c>
      <c r="AL138" s="248" t="str">
        <f>Tools!K138</f>
        <v xml:space="preserve">51.17,-5.833 </v>
      </c>
      <c r="AM138" s="248" t="str">
        <f>Tools!L138</f>
        <v xml:space="preserve">58.48,-5.833 </v>
      </c>
      <c r="AN138" s="248" t="str">
        <f>Tools!M138</f>
        <v xml:space="preserve">65.79,-5.833 </v>
      </c>
      <c r="AO138" s="248" t="str">
        <f>Tools!N138</f>
        <v xml:space="preserve">73.1,-5.833 </v>
      </c>
      <c r="AP138" s="248" t="str">
        <f>Tools!O138</f>
        <v xml:space="preserve">80.41,-5.833 </v>
      </c>
      <c r="AQ138" s="248" t="str">
        <f>Tools!P138</f>
        <v xml:space="preserve">87.72,-5.833 </v>
      </c>
      <c r="AR138" s="248" t="str">
        <f>Tools!Q138</f>
        <v xml:space="preserve">95.03,-5.833 </v>
      </c>
      <c r="AS138" s="248" t="str">
        <f>Tools!R138</f>
        <v xml:space="preserve">102.34,-5.833 </v>
      </c>
      <c r="AT138" s="248" t="str">
        <f>Tools!S138</f>
        <v xml:space="preserve">109.65,-5.833 </v>
      </c>
      <c r="AU138" s="248" t="str">
        <f>Tools!T138</f>
        <v xml:space="preserve">116.96,-5.833 </v>
      </c>
      <c r="AV138" s="248" t="str">
        <f>Tools!U138</f>
        <v xml:space="preserve">124.27,-6.213 </v>
      </c>
      <c r="AW138" s="248" t="str">
        <f>Tools!V138</f>
        <v xml:space="preserve">131.58,-7.673 </v>
      </c>
      <c r="AX138" s="248" t="str">
        <f>Tools!W138</f>
        <v xml:space="preserve">135.235,-9.033 </v>
      </c>
      <c r="AY138" s="248" t="str">
        <f>Tools!X138</f>
        <v xml:space="preserve">138.89,-10.893 </v>
      </c>
      <c r="AZ138" s="248" t="str">
        <f>Tools!Y138</f>
        <v xml:space="preserve">142.545,-13.203 </v>
      </c>
      <c r="BA138" s="399" t="str">
        <f>Tools!Z138</f>
        <v xml:space="preserve">146.2,-15.203 </v>
      </c>
      <c r="BC138" s="277">
        <f>Offset!Q13</f>
        <v>8</v>
      </c>
      <c r="BD138" s="280" t="str">
        <f>IF(ISNUMBER(VLOOKUP(BC138,Offset!Q$2:R$27,2,FALSE)),VLOOKUP(BC138,Offset!Q$2:R$27,2,FALSE),"-")</f>
        <v>-</v>
      </c>
      <c r="BE138" s="280" t="e">
        <f t="shared" si="350"/>
        <v>#VALUE!</v>
      </c>
      <c r="BF138" s="280" t="str">
        <f t="shared" si="316"/>
        <v>#NA</v>
      </c>
      <c r="BG138" s="280" t="str">
        <f t="shared" si="317"/>
        <v>#NA</v>
      </c>
      <c r="BH138" s="280" t="str">
        <f t="shared" si="318"/>
        <v>#NA</v>
      </c>
      <c r="BI138" s="280" t="str">
        <f t="shared" si="319"/>
        <v>#NA</v>
      </c>
      <c r="BJ138" s="280" t="str">
        <f t="shared" si="320"/>
        <v>#NA</v>
      </c>
      <c r="BK138" s="280" t="str">
        <f t="shared" si="321"/>
        <v>#NA</v>
      </c>
      <c r="BL138" s="280" t="str">
        <f t="shared" si="322"/>
        <v>#NA</v>
      </c>
      <c r="BM138" s="280"/>
      <c r="BN138" s="280" t="e">
        <f t="shared" si="323"/>
        <v>#VALUE!</v>
      </c>
      <c r="BO138" s="280" t="e">
        <f t="shared" si="324"/>
        <v>#VALUE!</v>
      </c>
      <c r="BP138" s="280" t="e">
        <f t="shared" si="325"/>
        <v>#VALUE!</v>
      </c>
      <c r="BQ138" s="280" t="e">
        <f t="shared" si="326"/>
        <v>#VALUE!</v>
      </c>
      <c r="BR138" s="280" t="e">
        <f t="shared" si="327"/>
        <v>#VALUE!</v>
      </c>
      <c r="BS138" s="280" t="e">
        <f t="shared" si="328"/>
        <v>#VALUE!</v>
      </c>
      <c r="BT138" s="280" t="e">
        <f t="shared" si="329"/>
        <v>#VALUE!</v>
      </c>
      <c r="BU138" s="280" t="e">
        <f t="shared" si="330"/>
        <v>#VALUE!</v>
      </c>
      <c r="BV138" s="280" t="e">
        <f t="shared" si="331"/>
        <v>#VALUE!</v>
      </c>
      <c r="BW138" s="280" t="e">
        <f t="shared" si="332"/>
        <v>#VALUE!</v>
      </c>
      <c r="BX138" s="280" t="e">
        <f t="shared" si="351"/>
        <v>#VALUE!</v>
      </c>
      <c r="BY138" s="280" t="e">
        <f t="shared" si="333"/>
        <v>#VALUE!</v>
      </c>
      <c r="BZ138" s="280" t="e">
        <f t="shared" si="334"/>
        <v>#VALUE!</v>
      </c>
      <c r="CA138" s="280" t="e">
        <f t="shared" si="335"/>
        <v>#VALUE!</v>
      </c>
      <c r="CB138" s="280" t="e">
        <f t="shared" si="336"/>
        <v>#VALUE!</v>
      </c>
      <c r="CC138" s="280" t="e">
        <f t="shared" si="337"/>
        <v>#VALUE!</v>
      </c>
      <c r="CD138" s="280" t="e">
        <f t="shared" si="338"/>
        <v>#VALUE!</v>
      </c>
      <c r="CE138" s="280" t="e">
        <f t="shared" si="339"/>
        <v>#VALUE!</v>
      </c>
      <c r="CF138" s="280" t="e">
        <f t="shared" si="340"/>
        <v>#VALUE!</v>
      </c>
      <c r="CG138" s="280" t="e">
        <f t="shared" si="341"/>
        <v>#VALUE!</v>
      </c>
      <c r="CH138" s="280" t="e">
        <f t="shared" si="342"/>
        <v>#VALUE!</v>
      </c>
      <c r="CI138" s="280" t="e">
        <f t="shared" si="343"/>
        <v>#VALUE!</v>
      </c>
      <c r="CJ138" s="280" t="e">
        <f t="shared" si="344"/>
        <v>#VALUE!</v>
      </c>
      <c r="CK138" s="280" t="e">
        <f t="shared" si="345"/>
        <v>#VALUE!</v>
      </c>
      <c r="CL138" s="280" t="e">
        <f t="shared" si="346"/>
        <v>#VALUE!</v>
      </c>
      <c r="CM138" s="279">
        <f t="shared" si="352"/>
        <v>0</v>
      </c>
      <c r="CO138" s="458">
        <v>13</v>
      </c>
      <c r="CP138" s="458">
        <v>-4.24</v>
      </c>
      <c r="CQ138" s="458">
        <v>-5.85</v>
      </c>
      <c r="CR138" s="458">
        <v>-7.27</v>
      </c>
      <c r="CS138" s="458">
        <v>-8.42</v>
      </c>
      <c r="CT138" s="458">
        <v>-9.3000000000000007</v>
      </c>
      <c r="CU138" s="458">
        <v>-10.44</v>
      </c>
      <c r="CV138" s="458">
        <v>-10.87</v>
      </c>
      <c r="CW138" s="458">
        <v>-11</v>
      </c>
      <c r="CX138" s="458">
        <v>-11</v>
      </c>
      <c r="CY138" s="458">
        <v>-11</v>
      </c>
      <c r="CZ138" s="458">
        <v>-11</v>
      </c>
      <c r="DA138" s="458">
        <v>-11</v>
      </c>
      <c r="DB138" s="458">
        <v>-11</v>
      </c>
      <c r="DC138" s="458">
        <v>11</v>
      </c>
      <c r="DD138" s="458">
        <v>11</v>
      </c>
      <c r="DE138" s="458">
        <v>11</v>
      </c>
      <c r="DF138" s="458">
        <v>11</v>
      </c>
      <c r="DG138" s="458">
        <v>11</v>
      </c>
      <c r="DH138" s="458">
        <v>11</v>
      </c>
      <c r="DI138" s="458">
        <v>10.62</v>
      </c>
      <c r="DJ138" s="458">
        <v>9.16</v>
      </c>
      <c r="DK138" s="458">
        <v>7.8</v>
      </c>
      <c r="DL138" s="458">
        <v>5.94</v>
      </c>
      <c r="DM138" s="458">
        <v>3.63</v>
      </c>
      <c r="DN138" s="458">
        <v>1.63</v>
      </c>
      <c r="DO138" s="400"/>
      <c r="DP138" s="462">
        <f t="shared" si="269"/>
        <v>73.099999999999994</v>
      </c>
      <c r="DQ138" s="462" t="str">
        <f t="shared" si="270"/>
        <v/>
      </c>
      <c r="DR138" s="462" t="str">
        <f t="shared" ref="DR138:EO138" si="371">IFERROR(CONCATENATE(ROUND($DP138,3),",",ROUND(ABS(DK110),3),",",ROUND(EM110,3)," "),"")</f>
        <v xml:space="preserve">73.1,9.7,0 </v>
      </c>
      <c r="DS138" s="462" t="str">
        <f t="shared" si="371"/>
        <v xml:space="preserve">73.1,10.45,0.5 </v>
      </c>
      <c r="DT138" s="462" t="str">
        <f t="shared" si="371"/>
        <v xml:space="preserve">73.1,10.75,1 </v>
      </c>
      <c r="DU138" s="462" t="str">
        <f t="shared" si="371"/>
        <v xml:space="preserve">73.1,10.93,1.5 </v>
      </c>
      <c r="DV138" s="462" t="str">
        <f t="shared" si="371"/>
        <v xml:space="preserve">73.1,11,2 </v>
      </c>
      <c r="DW138" s="462" t="str">
        <f t="shared" si="371"/>
        <v xml:space="preserve">73.1,11,4 </v>
      </c>
      <c r="DX138" s="462" t="str">
        <f t="shared" si="371"/>
        <v xml:space="preserve">73.1,11,6 </v>
      </c>
      <c r="DY138" s="462" t="str">
        <f t="shared" si="371"/>
        <v xml:space="preserve">73.1,11,8 </v>
      </c>
      <c r="DZ138" s="462" t="str">
        <f t="shared" si="371"/>
        <v xml:space="preserve">73.1,11,9.7 </v>
      </c>
      <c r="EA138" s="462" t="str">
        <f t="shared" si="371"/>
        <v xml:space="preserve">73.1,11,10 </v>
      </c>
      <c r="EB138" s="462" t="str">
        <f t="shared" si="371"/>
        <v xml:space="preserve">73.1,11,12 </v>
      </c>
      <c r="EC138" s="462" t="str">
        <f t="shared" si="371"/>
        <v xml:space="preserve">73.1,11,13 </v>
      </c>
      <c r="ED138" s="462" t="str">
        <f t="shared" si="371"/>
        <v/>
      </c>
      <c r="EE138" s="462" t="str">
        <f t="shared" si="371"/>
        <v/>
      </c>
      <c r="EF138" s="462" t="str">
        <f t="shared" si="371"/>
        <v/>
      </c>
      <c r="EG138" s="462" t="str">
        <f t="shared" si="371"/>
        <v/>
      </c>
      <c r="EH138" s="462" t="str">
        <f t="shared" si="371"/>
        <v/>
      </c>
      <c r="EI138" s="462" t="str">
        <f t="shared" si="371"/>
        <v/>
      </c>
      <c r="EJ138" s="462" t="str">
        <f t="shared" si="371"/>
        <v/>
      </c>
      <c r="EK138" s="462" t="str">
        <f t="shared" si="371"/>
        <v/>
      </c>
      <c r="EL138" s="462" t="str">
        <f t="shared" si="371"/>
        <v/>
      </c>
      <c r="EM138" s="462" t="str">
        <f t="shared" si="371"/>
        <v/>
      </c>
      <c r="EN138" s="462" t="str">
        <f t="shared" si="371"/>
        <v/>
      </c>
      <c r="EO138" s="462" t="str">
        <f t="shared" si="371"/>
        <v/>
      </c>
      <c r="EP138" s="462" t="str">
        <f t="shared" si="270"/>
        <v/>
      </c>
      <c r="ER138" s="461" t="str">
        <f t="shared" si="304"/>
        <v xml:space="preserve">73.1,9.7,0 73.1,10.45,0.5 73.1,10.75,1 73.1,10.93,1.5 73.1,11,2 73.1,11,4 73.1,11,6 73.1,11,8 73.1,11,9.7 73.1,11,10 73.1,11,12 73.1,11,13 </v>
      </c>
      <c r="ES138" s="189" t="str">
        <f t="shared" ca="1" si="348"/>
        <v xml:space="preserve">Spline 73.1,0,0 73.1,9.7,0 73.1,10.45,0.5 73.1,10.75,1 73.1,10.93,1.5 73.1,11,2 73.1,11,4 73.1,11,6 73.1,11,8 73.1,11,9.7 73.1,11,10 73.1,11,12 73.1,11,13  </v>
      </c>
      <c r="ET138" s="132" t="str">
        <f t="shared" ca="1" si="305"/>
        <v xml:space="preserve">Spline 73.1,0,0 73.1,9.7,0 73.1,10.45,0.5 73.1,10.75,1 73.1,10.93,1.5 73.1,11,2 73.1,11,4 73.1,11,6 73.1,11,8 73.1,11,9.7 73.1,11,10 73.1,11,12 73.1,11,13  </v>
      </c>
      <c r="EU138" s="132">
        <f ca="1">COUNTIF(BP_13,NA())</f>
        <v>0</v>
      </c>
      <c r="EV138" s="132">
        <f t="shared" ca="1" si="271"/>
        <v>0</v>
      </c>
      <c r="EW138" s="132">
        <v>13</v>
      </c>
      <c r="EX138" s="132" t="str">
        <f t="shared" si="272"/>
        <v xml:space="preserve">73.1,11,13 </v>
      </c>
      <c r="EY138" s="132" t="str">
        <f t="shared" ca="1" si="273"/>
        <v xml:space="preserve">Spline 73.1,0,0 73.1,11,13 73.1,11,12 73.1,11,10 73.1,11,9.7 73.1,11,8 73.1,11,6 73.1,11,4 73.1,11,2 73.1,10.93,1.5 73.1,10.75,1 73.1,10.45,0.5 73.1,9.7,0 </v>
      </c>
      <c r="EZ138" s="189" t="str">
        <f t="shared" si="306"/>
        <v xml:space="preserve">73.1,9.7,0 73.1,10.45,0.5 73.1,10.75,1 73.1,10.93,1.5 73.1,11,2 73.1,11,4 73.1,11,6 73.1,11,8 73.1,11,9.7 73.1,11,10 73.1,11,12 73.1,11,13  </v>
      </c>
      <c r="FB138" s="462">
        <f t="shared" si="274"/>
        <v>73.099999999999994</v>
      </c>
      <c r="FC138" s="464" t="str">
        <f t="shared" si="307"/>
        <v/>
      </c>
      <c r="FD138" s="462" t="str">
        <f t="shared" ref="FD138:GB138" si="372">IFERROR(CONCATENATE(ROUND($DP138,3),",",-ROUND(ABS(DK110),3),",",ROUND(EM110,3)," "),"")</f>
        <v xml:space="preserve">73.1,-9.7,0 </v>
      </c>
      <c r="FE138" s="462" t="str">
        <f t="shared" si="372"/>
        <v xml:space="preserve">73.1,-10.45,0.5 </v>
      </c>
      <c r="FF138" s="462" t="str">
        <f t="shared" si="372"/>
        <v xml:space="preserve">73.1,-10.75,1 </v>
      </c>
      <c r="FG138" s="462" t="str">
        <f t="shared" si="372"/>
        <v xml:space="preserve">73.1,-10.93,1.5 </v>
      </c>
      <c r="FH138" s="462" t="str">
        <f t="shared" si="372"/>
        <v xml:space="preserve">73.1,-11,2 </v>
      </c>
      <c r="FI138" s="462" t="str">
        <f t="shared" si="372"/>
        <v xml:space="preserve">73.1,-11,4 </v>
      </c>
      <c r="FJ138" s="462" t="str">
        <f t="shared" si="372"/>
        <v xml:space="preserve">73.1,-11,6 </v>
      </c>
      <c r="FK138" s="462" t="str">
        <f t="shared" si="372"/>
        <v xml:space="preserve">73.1,-11,8 </v>
      </c>
      <c r="FL138" s="462" t="str">
        <f t="shared" si="372"/>
        <v xml:space="preserve">73.1,-11,9.7 </v>
      </c>
      <c r="FM138" s="462" t="str">
        <f t="shared" si="372"/>
        <v xml:space="preserve">73.1,-11,10 </v>
      </c>
      <c r="FN138" s="462" t="str">
        <f t="shared" si="372"/>
        <v xml:space="preserve">73.1,-11,12 </v>
      </c>
      <c r="FO138" s="462" t="str">
        <f t="shared" si="372"/>
        <v xml:space="preserve">73.1,-11,13 </v>
      </c>
      <c r="FP138" s="462" t="str">
        <f t="shared" si="372"/>
        <v/>
      </c>
      <c r="FQ138" s="462" t="str">
        <f t="shared" si="372"/>
        <v/>
      </c>
      <c r="FR138" s="462" t="str">
        <f t="shared" si="372"/>
        <v/>
      </c>
      <c r="FS138" s="462" t="str">
        <f t="shared" si="372"/>
        <v/>
      </c>
      <c r="FT138" s="462" t="str">
        <f t="shared" si="372"/>
        <v/>
      </c>
      <c r="FU138" s="462" t="str">
        <f t="shared" si="372"/>
        <v/>
      </c>
      <c r="FV138" s="462" t="str">
        <f t="shared" si="372"/>
        <v/>
      </c>
      <c r="FW138" s="462" t="str">
        <f t="shared" si="372"/>
        <v/>
      </c>
      <c r="FX138" s="462" t="str">
        <f t="shared" si="372"/>
        <v/>
      </c>
      <c r="FY138" s="462" t="str">
        <f t="shared" si="372"/>
        <v/>
      </c>
      <c r="FZ138" s="462" t="str">
        <f t="shared" si="372"/>
        <v/>
      </c>
      <c r="GA138" s="462" t="str">
        <f t="shared" si="372"/>
        <v/>
      </c>
      <c r="GB138" s="462" t="str">
        <f t="shared" si="372"/>
        <v/>
      </c>
      <c r="GC138" s="132" t="str">
        <f t="shared" si="309"/>
        <v xml:space="preserve">73.1,11,13 73.1,11,12 73.1,11,10 73.1,11,9.7 73.1,11,8 73.1,11,6 73.1,11,4 73.1,11,2 73.1,10.93,1.5 73.1,10.75,1 73.1,10.45,0.5 73.1,9.7,0 </v>
      </c>
      <c r="GD138" s="132" t="str">
        <f t="shared" ca="1" si="276"/>
        <v>Spline 73.1,11,13 73.1,11,12 73.1,11,10 73.1,11,9.7 73.1,11,8 73.1,11,6 73.1,11,4 73.1,11,2 73.1,10.93,1.5 73.1,10.75,1 73.1,10.45,0.5 73.1,9.7,0 73.1,0,0</v>
      </c>
      <c r="GE138" s="465" t="str">
        <f t="shared" si="310"/>
        <v xml:space="preserve">73.1,-9.7,0 73.1,-10.45,0.5 73.1,-10.75,1 73.1,-10.93,1.5 73.1,-11,2 73.1,-11,4 73.1,-11,6 73.1,-11,8 73.1,-11,9.7 73.1,-11,10 73.1,-11,12 73.1,-11,13 </v>
      </c>
      <c r="GH138" s="132" t="str">
        <f t="shared" si="311"/>
        <v xml:space="preserve">Spline 73.1,11,13 73.1,11,12 73.1,11,10 73.1,11,9.7 73.1,11,8 73.1,11,6 73.1,11,4 73.1,11,2 73.1,10.93,1.5 73.1,10.75,1 73.1,10.45,0.5 73.1,9.7,0 T 73.1,0,0 </v>
      </c>
      <c r="GI138" s="132" t="str">
        <f t="shared" si="312"/>
        <v xml:space="preserve">Spline 73.1,9.7,0 73.1,0,0  Join 73.1,0,0  73.1,11,13 </v>
      </c>
      <c r="GP138" s="132" t="str">
        <f t="shared" si="277"/>
        <v xml:space="preserve">73.1,0,0 </v>
      </c>
      <c r="GQ138" s="132" t="str">
        <f t="shared" si="313"/>
        <v>Curve 73.1,11,13 73.1,11,12 73.1,11,10 73.1,11,9.7 73.1,11,8 73.1,11,6 73.1,11,4 73.1,11,2 73.1,10.93,1.5 73.1,10.75,1 73.1,10.45,0.5 73.1,9.7,0 73.1,0,0 _enter</v>
      </c>
    </row>
    <row r="139" spans="1:199" x14ac:dyDescent="0.25">
      <c r="A139" s="377" t="str">
        <f t="shared" si="268"/>
        <v xml:space="preserve">  </v>
      </c>
      <c r="B139" s="380" t="str">
        <f t="shared" si="278"/>
        <v/>
      </c>
      <c r="C139" s="380" t="str">
        <f t="shared" si="279"/>
        <v/>
      </c>
      <c r="D139" s="380" t="str">
        <f t="shared" si="280"/>
        <v/>
      </c>
      <c r="E139" s="380" t="str">
        <f t="shared" si="281"/>
        <v/>
      </c>
      <c r="F139" s="380" t="str">
        <f t="shared" si="282"/>
        <v/>
      </c>
      <c r="G139" s="380" t="str">
        <f t="shared" si="283"/>
        <v/>
      </c>
      <c r="H139" s="380" t="str">
        <f t="shared" si="284"/>
        <v/>
      </c>
      <c r="I139" s="380" t="str">
        <f t="shared" si="285"/>
        <v/>
      </c>
      <c r="J139" s="380" t="str">
        <f t="shared" si="286"/>
        <v/>
      </c>
      <c r="K139" s="380" t="str">
        <f t="shared" si="287"/>
        <v/>
      </c>
      <c r="L139" s="380" t="str">
        <f t="shared" si="288"/>
        <v/>
      </c>
      <c r="M139" s="380" t="str">
        <f t="shared" si="289"/>
        <v/>
      </c>
      <c r="N139" s="380" t="str">
        <f t="shared" si="290"/>
        <v/>
      </c>
      <c r="O139" s="380" t="str">
        <f t="shared" si="291"/>
        <v/>
      </c>
      <c r="P139" s="380" t="str">
        <f t="shared" si="292"/>
        <v/>
      </c>
      <c r="Q139" s="380" t="str">
        <f t="shared" si="293"/>
        <v/>
      </c>
      <c r="R139" s="380" t="str">
        <f t="shared" si="294"/>
        <v/>
      </c>
      <c r="S139" s="380" t="str">
        <f t="shared" si="295"/>
        <v/>
      </c>
      <c r="T139" s="380" t="str">
        <f t="shared" si="296"/>
        <v/>
      </c>
      <c r="U139" s="380" t="str">
        <f t="shared" si="297"/>
        <v/>
      </c>
      <c r="V139" s="380" t="str">
        <f t="shared" si="298"/>
        <v/>
      </c>
      <c r="W139" s="380" t="str">
        <f t="shared" si="299"/>
        <v/>
      </c>
      <c r="X139" s="380" t="str">
        <f t="shared" si="300"/>
        <v/>
      </c>
      <c r="Y139" s="380" t="str">
        <f t="shared" si="301"/>
        <v/>
      </c>
      <c r="Z139" s="398" t="str">
        <f t="shared" si="302"/>
        <v/>
      </c>
      <c r="AB139" s="248" t="str">
        <f t="shared" si="314"/>
        <v xml:space="preserve">  </v>
      </c>
      <c r="AC139" s="248" t="str">
        <f>Tools!B139</f>
        <v/>
      </c>
      <c r="AD139" s="248" t="str">
        <f>Tools!C139</f>
        <v/>
      </c>
      <c r="AE139" s="248" t="str">
        <f>Tools!D139</f>
        <v/>
      </c>
      <c r="AF139" s="248" t="str">
        <f>Tools!E139</f>
        <v/>
      </c>
      <c r="AG139" s="248" t="str">
        <f>Tools!F139</f>
        <v/>
      </c>
      <c r="AH139" s="248" t="str">
        <f>Tools!G139</f>
        <v/>
      </c>
      <c r="AI139" s="248" t="str">
        <f>Tools!H139</f>
        <v/>
      </c>
      <c r="AJ139" s="248" t="str">
        <f>Tools!I139</f>
        <v/>
      </c>
      <c r="AK139" s="248" t="str">
        <f>Tools!J139</f>
        <v/>
      </c>
      <c r="AL139" s="248" t="str">
        <f>Tools!K139</f>
        <v/>
      </c>
      <c r="AM139" s="248" t="str">
        <f>Tools!L139</f>
        <v/>
      </c>
      <c r="AN139" s="248" t="str">
        <f>Tools!M139</f>
        <v/>
      </c>
      <c r="AO139" s="248" t="str">
        <f>Tools!N139</f>
        <v/>
      </c>
      <c r="AP139" s="248" t="str">
        <f>Tools!O139</f>
        <v/>
      </c>
      <c r="AQ139" s="248" t="str">
        <f>Tools!P139</f>
        <v/>
      </c>
      <c r="AR139" s="248" t="str">
        <f>Tools!Q139</f>
        <v/>
      </c>
      <c r="AS139" s="248" t="str">
        <f>Tools!R139</f>
        <v/>
      </c>
      <c r="AT139" s="248" t="str">
        <f>Tools!S139</f>
        <v/>
      </c>
      <c r="AU139" s="248" t="str">
        <f>Tools!T139</f>
        <v/>
      </c>
      <c r="AV139" s="248" t="str">
        <f>Tools!U139</f>
        <v/>
      </c>
      <c r="AW139" s="248" t="str">
        <f>Tools!V139</f>
        <v/>
      </c>
      <c r="AX139" s="248" t="str">
        <f>Tools!W139</f>
        <v/>
      </c>
      <c r="AY139" s="248" t="str">
        <f>Tools!X139</f>
        <v/>
      </c>
      <c r="AZ139" s="248" t="str">
        <f>Tools!Y139</f>
        <v/>
      </c>
      <c r="BA139" s="399" t="str">
        <f>Tools!Z139</f>
        <v/>
      </c>
      <c r="BC139" s="277">
        <f>Offset!Q14</f>
        <v>9</v>
      </c>
      <c r="BD139" s="280" t="str">
        <f>IF(ISNUMBER(VLOOKUP(BC139,Offset!Q$2:R$27,2,FALSE)),VLOOKUP(BC139,Offset!Q$2:R$27,2,FALSE),"-")</f>
        <v>-</v>
      </c>
      <c r="BE139" s="280" t="e">
        <f t="shared" si="350"/>
        <v>#VALUE!</v>
      </c>
      <c r="BF139" s="280" t="str">
        <f t="shared" si="316"/>
        <v>#NA</v>
      </c>
      <c r="BG139" s="280" t="str">
        <f t="shared" si="317"/>
        <v>#NA</v>
      </c>
      <c r="BH139" s="280" t="str">
        <f t="shared" si="318"/>
        <v>#NA</v>
      </c>
      <c r="BI139" s="280" t="str">
        <f t="shared" si="319"/>
        <v>#NA</v>
      </c>
      <c r="BJ139" s="280" t="str">
        <f t="shared" si="320"/>
        <v>#NA</v>
      </c>
      <c r="BK139" s="280" t="str">
        <f t="shared" si="321"/>
        <v>#NA</v>
      </c>
      <c r="BL139" s="280" t="str">
        <f t="shared" si="322"/>
        <v>#NA</v>
      </c>
      <c r="BM139" s="280"/>
      <c r="BN139" s="280" t="e">
        <f t="shared" si="323"/>
        <v>#VALUE!</v>
      </c>
      <c r="BO139" s="280" t="e">
        <f t="shared" si="324"/>
        <v>#VALUE!</v>
      </c>
      <c r="BP139" s="280" t="e">
        <f t="shared" si="325"/>
        <v>#VALUE!</v>
      </c>
      <c r="BQ139" s="280" t="e">
        <f t="shared" si="326"/>
        <v>#VALUE!</v>
      </c>
      <c r="BR139" s="280" t="e">
        <f t="shared" si="327"/>
        <v>#VALUE!</v>
      </c>
      <c r="BS139" s="280" t="e">
        <f t="shared" si="328"/>
        <v>#VALUE!</v>
      </c>
      <c r="BT139" s="280" t="e">
        <f t="shared" si="329"/>
        <v>#VALUE!</v>
      </c>
      <c r="BU139" s="280" t="e">
        <f t="shared" si="330"/>
        <v>#VALUE!</v>
      </c>
      <c r="BV139" s="280" t="e">
        <f t="shared" si="331"/>
        <v>#VALUE!</v>
      </c>
      <c r="BW139" s="280" t="e">
        <f t="shared" si="332"/>
        <v>#VALUE!</v>
      </c>
      <c r="BX139" s="280" t="e">
        <f t="shared" si="351"/>
        <v>#VALUE!</v>
      </c>
      <c r="BY139" s="280" t="e">
        <f t="shared" si="333"/>
        <v>#VALUE!</v>
      </c>
      <c r="BZ139" s="280" t="e">
        <f t="shared" si="334"/>
        <v>#VALUE!</v>
      </c>
      <c r="CA139" s="280" t="e">
        <f t="shared" si="335"/>
        <v>#VALUE!</v>
      </c>
      <c r="CB139" s="280" t="e">
        <f t="shared" si="336"/>
        <v>#VALUE!</v>
      </c>
      <c r="CC139" s="280" t="e">
        <f t="shared" si="337"/>
        <v>#VALUE!</v>
      </c>
      <c r="CD139" s="280" t="e">
        <f t="shared" si="338"/>
        <v>#VALUE!</v>
      </c>
      <c r="CE139" s="280" t="e">
        <f t="shared" si="339"/>
        <v>#VALUE!</v>
      </c>
      <c r="CF139" s="280" t="e">
        <f t="shared" si="340"/>
        <v>#VALUE!</v>
      </c>
      <c r="CG139" s="280" t="e">
        <f t="shared" si="341"/>
        <v>#VALUE!</v>
      </c>
      <c r="CH139" s="280" t="e">
        <f t="shared" si="342"/>
        <v>#VALUE!</v>
      </c>
      <c r="CI139" s="280" t="e">
        <f t="shared" si="343"/>
        <v>#VALUE!</v>
      </c>
      <c r="CJ139" s="280" t="e">
        <f t="shared" si="344"/>
        <v>#VALUE!</v>
      </c>
      <c r="CK139" s="280" t="e">
        <f t="shared" si="345"/>
        <v>#VALUE!</v>
      </c>
      <c r="CL139" s="280" t="e">
        <f t="shared" si="346"/>
        <v>#VALUE!</v>
      </c>
      <c r="CM139" s="279">
        <f t="shared" si="352"/>
        <v>0</v>
      </c>
      <c r="CO139" s="458" t="e">
        <v>#N/A</v>
      </c>
      <c r="CP139" s="458" t="e">
        <v>#N/A</v>
      </c>
      <c r="CQ139" s="458" t="e">
        <v>#N/A</v>
      </c>
      <c r="CR139" s="458" t="e">
        <v>#N/A</v>
      </c>
      <c r="CS139" s="458" t="e">
        <v>#N/A</v>
      </c>
      <c r="CT139" s="458" t="e">
        <v>#N/A</v>
      </c>
      <c r="CU139" s="458" t="e">
        <v>#N/A</v>
      </c>
      <c r="CV139" s="458" t="e">
        <v>#N/A</v>
      </c>
      <c r="CW139" s="458" t="e">
        <v>#N/A</v>
      </c>
      <c r="CX139" s="458" t="e">
        <v>#N/A</v>
      </c>
      <c r="CY139" s="458" t="e">
        <v>#N/A</v>
      </c>
      <c r="CZ139" s="458" t="e">
        <v>#N/A</v>
      </c>
      <c r="DA139" s="458" t="e">
        <v>#N/A</v>
      </c>
      <c r="DB139" s="458" t="e">
        <v>#N/A</v>
      </c>
      <c r="DC139" s="458" t="e">
        <v>#N/A</v>
      </c>
      <c r="DD139" s="458" t="e">
        <v>#N/A</v>
      </c>
      <c r="DE139" s="458" t="e">
        <v>#N/A</v>
      </c>
      <c r="DF139" s="458" t="e">
        <v>#N/A</v>
      </c>
      <c r="DG139" s="458" t="e">
        <v>#N/A</v>
      </c>
      <c r="DH139" s="458" t="e">
        <v>#N/A</v>
      </c>
      <c r="DI139" s="458" t="e">
        <v>#N/A</v>
      </c>
      <c r="DJ139" s="458" t="e">
        <v>#N/A</v>
      </c>
      <c r="DK139" s="458" t="e">
        <v>#N/A</v>
      </c>
      <c r="DL139" s="458" t="e">
        <v>#N/A</v>
      </c>
      <c r="DM139" s="458" t="e">
        <v>#N/A</v>
      </c>
      <c r="DN139" s="458" t="e">
        <v>#N/A</v>
      </c>
      <c r="DO139" s="400"/>
      <c r="DP139" s="462">
        <f t="shared" si="269"/>
        <v>80.41</v>
      </c>
      <c r="DQ139" s="462" t="str">
        <f t="shared" si="270"/>
        <v/>
      </c>
      <c r="DR139" s="462" t="str">
        <f t="shared" ref="DR139:EO139" si="373">IFERROR(CONCATENATE(ROUND($DP139,3),",",ROUND(ABS(DK111),3),",",ROUND(EM111,3)," "),"")</f>
        <v xml:space="preserve">80.41,9.7,0 </v>
      </c>
      <c r="DS139" s="462" t="str">
        <f t="shared" si="373"/>
        <v xml:space="preserve">80.41,10.45,0.5 </v>
      </c>
      <c r="DT139" s="462" t="str">
        <f t="shared" si="373"/>
        <v xml:space="preserve">80.41,10.75,1 </v>
      </c>
      <c r="DU139" s="462" t="str">
        <f t="shared" si="373"/>
        <v xml:space="preserve">80.41,10.93,1.5 </v>
      </c>
      <c r="DV139" s="462" t="str">
        <f t="shared" si="373"/>
        <v xml:space="preserve">80.41,11,2 </v>
      </c>
      <c r="DW139" s="462" t="str">
        <f t="shared" si="373"/>
        <v xml:space="preserve">80.41,11,4 </v>
      </c>
      <c r="DX139" s="462" t="str">
        <f t="shared" si="373"/>
        <v xml:space="preserve">80.41,11,6 </v>
      </c>
      <c r="DY139" s="462" t="str">
        <f t="shared" si="373"/>
        <v xml:space="preserve">80.41,11,8 </v>
      </c>
      <c r="DZ139" s="462" t="str">
        <f t="shared" si="373"/>
        <v xml:space="preserve">80.41,11,9.7 </v>
      </c>
      <c r="EA139" s="462" t="str">
        <f t="shared" si="373"/>
        <v xml:space="preserve">80.41,11,10 </v>
      </c>
      <c r="EB139" s="462" t="str">
        <f t="shared" si="373"/>
        <v xml:space="preserve">80.41,11,12 </v>
      </c>
      <c r="EC139" s="462" t="str">
        <f t="shared" si="373"/>
        <v xml:space="preserve">80.41,11,13 </v>
      </c>
      <c r="ED139" s="462" t="str">
        <f t="shared" si="373"/>
        <v/>
      </c>
      <c r="EE139" s="462" t="str">
        <f t="shared" si="373"/>
        <v/>
      </c>
      <c r="EF139" s="462" t="str">
        <f t="shared" si="373"/>
        <v/>
      </c>
      <c r="EG139" s="462" t="str">
        <f t="shared" si="373"/>
        <v/>
      </c>
      <c r="EH139" s="462" t="str">
        <f t="shared" si="373"/>
        <v/>
      </c>
      <c r="EI139" s="462" t="str">
        <f t="shared" si="373"/>
        <v/>
      </c>
      <c r="EJ139" s="462" t="str">
        <f t="shared" si="373"/>
        <v/>
      </c>
      <c r="EK139" s="462" t="str">
        <f t="shared" si="373"/>
        <v/>
      </c>
      <c r="EL139" s="462" t="str">
        <f t="shared" si="373"/>
        <v/>
      </c>
      <c r="EM139" s="462" t="str">
        <f t="shared" si="373"/>
        <v/>
      </c>
      <c r="EN139" s="462" t="str">
        <f t="shared" si="373"/>
        <v/>
      </c>
      <c r="EO139" s="462" t="str">
        <f t="shared" si="373"/>
        <v/>
      </c>
      <c r="EP139" s="462" t="str">
        <f t="shared" si="270"/>
        <v/>
      </c>
      <c r="ER139" s="461" t="str">
        <f t="shared" si="304"/>
        <v xml:space="preserve">80.41,9.7,0 80.41,10.45,0.5 80.41,10.75,1 80.41,10.93,1.5 80.41,11,2 80.41,11,4 80.41,11,6 80.41,11,8 80.41,11,9.7 80.41,11,10 80.41,11,12 80.41,11,13 </v>
      </c>
      <c r="ES139" s="189" t="str">
        <f t="shared" ca="1" si="348"/>
        <v xml:space="preserve">Spline 80.41,0,0 80.41,9.7,0 80.41,10.45,0.5 80.41,10.75,1 80.41,10.93,1.5 80.41,11,2 80.41,11,4 80.41,11,6 80.41,11,8 80.41,11,9.7 80.41,11,10 80.41,11,12 80.41,11,13  </v>
      </c>
      <c r="ET139" s="132" t="str">
        <f t="shared" ca="1" si="305"/>
        <v xml:space="preserve">Spline 80.41,0,0 80.41,9.7,0 80.41,10.45,0.5 80.41,10.75,1 80.41,10.93,1.5 80.41,11,2 80.41,11,4 80.41,11,6 80.41,11,8 80.41,11,9.7 80.41,11,10 80.41,11,12 80.41,11,13  </v>
      </c>
      <c r="EU139" s="132">
        <f ca="1">COUNTIF(BP_14,NA())</f>
        <v>0</v>
      </c>
      <c r="EV139" s="132">
        <f t="shared" ca="1" si="271"/>
        <v>0</v>
      </c>
      <c r="EW139" s="132">
        <v>14</v>
      </c>
      <c r="EX139" s="132" t="str">
        <f t="shared" si="272"/>
        <v xml:space="preserve">80.41,11,13 </v>
      </c>
      <c r="EY139" s="132" t="str">
        <f t="shared" ca="1" si="273"/>
        <v xml:space="preserve">Spline 80.41,0,0 80.41,11,13 80.41,11,12 80.41,11,10 80.41,11,9.7 80.41,11,8 80.41,11,6 80.41,11,4 80.41,11,2 80.41,10.93,1.5 80.41,10.75,1 80.41,10.45,0.5 80.41,9.7,0 </v>
      </c>
      <c r="EZ139" s="189" t="str">
        <f t="shared" si="306"/>
        <v xml:space="preserve">80.41,9.7,0 80.41,10.45,0.5 80.41,10.75,1 80.41,10.93,1.5 80.41,11,2 80.41,11,4 80.41,11,6 80.41,11,8 80.41,11,9.7 80.41,11,10 80.41,11,12 80.41,11,13  </v>
      </c>
      <c r="FB139" s="462">
        <f t="shared" si="274"/>
        <v>80.41</v>
      </c>
      <c r="FC139" s="464" t="str">
        <f t="shared" si="307"/>
        <v/>
      </c>
      <c r="FD139" s="462" t="str">
        <f t="shared" ref="FD139:GB139" si="374">IFERROR(CONCATENATE(ROUND($DP139,3),",",-ROUND(ABS(DK111),3),",",ROUND(EM111,3)," "),"")</f>
        <v xml:space="preserve">80.41,-9.7,0 </v>
      </c>
      <c r="FE139" s="462" t="str">
        <f t="shared" si="374"/>
        <v xml:space="preserve">80.41,-10.45,0.5 </v>
      </c>
      <c r="FF139" s="462" t="str">
        <f t="shared" si="374"/>
        <v xml:space="preserve">80.41,-10.75,1 </v>
      </c>
      <c r="FG139" s="462" t="str">
        <f t="shared" si="374"/>
        <v xml:space="preserve">80.41,-10.93,1.5 </v>
      </c>
      <c r="FH139" s="462" t="str">
        <f t="shared" si="374"/>
        <v xml:space="preserve">80.41,-11,2 </v>
      </c>
      <c r="FI139" s="462" t="str">
        <f t="shared" si="374"/>
        <v xml:space="preserve">80.41,-11,4 </v>
      </c>
      <c r="FJ139" s="462" t="str">
        <f t="shared" si="374"/>
        <v xml:space="preserve">80.41,-11,6 </v>
      </c>
      <c r="FK139" s="462" t="str">
        <f t="shared" si="374"/>
        <v xml:space="preserve">80.41,-11,8 </v>
      </c>
      <c r="FL139" s="462" t="str">
        <f t="shared" si="374"/>
        <v xml:space="preserve">80.41,-11,9.7 </v>
      </c>
      <c r="FM139" s="462" t="str">
        <f t="shared" si="374"/>
        <v xml:space="preserve">80.41,-11,10 </v>
      </c>
      <c r="FN139" s="462" t="str">
        <f t="shared" si="374"/>
        <v xml:space="preserve">80.41,-11,12 </v>
      </c>
      <c r="FO139" s="462" t="str">
        <f t="shared" si="374"/>
        <v xml:space="preserve">80.41,-11,13 </v>
      </c>
      <c r="FP139" s="462" t="str">
        <f t="shared" si="374"/>
        <v/>
      </c>
      <c r="FQ139" s="462" t="str">
        <f t="shared" si="374"/>
        <v/>
      </c>
      <c r="FR139" s="462" t="str">
        <f t="shared" si="374"/>
        <v/>
      </c>
      <c r="FS139" s="462" t="str">
        <f t="shared" si="374"/>
        <v/>
      </c>
      <c r="FT139" s="462" t="str">
        <f t="shared" si="374"/>
        <v/>
      </c>
      <c r="FU139" s="462" t="str">
        <f t="shared" si="374"/>
        <v/>
      </c>
      <c r="FV139" s="462" t="str">
        <f t="shared" si="374"/>
        <v/>
      </c>
      <c r="FW139" s="462" t="str">
        <f t="shared" si="374"/>
        <v/>
      </c>
      <c r="FX139" s="462" t="str">
        <f t="shared" si="374"/>
        <v/>
      </c>
      <c r="FY139" s="462" t="str">
        <f t="shared" si="374"/>
        <v/>
      </c>
      <c r="FZ139" s="462" t="str">
        <f t="shared" si="374"/>
        <v/>
      </c>
      <c r="GA139" s="462" t="str">
        <f t="shared" si="374"/>
        <v/>
      </c>
      <c r="GB139" s="462" t="str">
        <f t="shared" si="374"/>
        <v/>
      </c>
      <c r="GC139" s="132" t="str">
        <f t="shared" si="309"/>
        <v xml:space="preserve">80.41,11,13 80.41,11,12 80.41,11,10 80.41,11,9.7 80.41,11,8 80.41,11,6 80.41,11,4 80.41,11,2 80.41,10.93,1.5 80.41,10.75,1 80.41,10.45,0.5 80.41,9.7,0 </v>
      </c>
      <c r="GD139" s="132" t="str">
        <f t="shared" ca="1" si="276"/>
        <v>Spline 80.41,11,13 80.41,11,12 80.41,11,10 80.41,11,9.7 80.41,11,8 80.41,11,6 80.41,11,4 80.41,11,2 80.41,10.93,1.5 80.41,10.75,1 80.41,10.45,0.5 80.41,9.7,0 80.41,0,0</v>
      </c>
      <c r="GE139" s="465" t="str">
        <f t="shared" si="310"/>
        <v xml:space="preserve">80.41,-9.7,0 80.41,-10.45,0.5 80.41,-10.75,1 80.41,-10.93,1.5 80.41,-11,2 80.41,-11,4 80.41,-11,6 80.41,-11,8 80.41,-11,9.7 80.41,-11,10 80.41,-11,12 80.41,-11,13 </v>
      </c>
      <c r="GH139" s="132" t="str">
        <f t="shared" si="311"/>
        <v xml:space="preserve">Spline 80.41,11,13 80.41,11,12 80.41,11,10 80.41,11,9.7 80.41,11,8 80.41,11,6 80.41,11,4 80.41,11,2 80.41,10.93,1.5 80.41,10.75,1 80.41,10.45,0.5 80.41,9.7,0 T 80.41,0,0 </v>
      </c>
      <c r="GI139" s="132" t="str">
        <f t="shared" si="312"/>
        <v xml:space="preserve">Spline 80.41,9.7,0 80.41,0,0  Join 80.41,0,0  80.41,11,13 </v>
      </c>
      <c r="GP139" s="132" t="str">
        <f t="shared" si="277"/>
        <v xml:space="preserve">80.41,0,0 </v>
      </c>
      <c r="GQ139" s="132" t="str">
        <f t="shared" si="313"/>
        <v>Curve 80.41,11,13 80.41,11,12 80.41,11,10 80.41,11,9.7 80.41,11,8 80.41,11,6 80.41,11,4 80.41,11,2 80.41,10.93,1.5 80.41,10.75,1 80.41,10.45,0.5 80.41,9.7,0 80.41,0,0 _enter</v>
      </c>
    </row>
    <row r="140" spans="1:199" x14ac:dyDescent="0.25">
      <c r="A140" s="377" t="str">
        <f t="shared" si="268"/>
        <v xml:space="preserve">  </v>
      </c>
      <c r="B140" s="380" t="str">
        <f t="shared" si="278"/>
        <v/>
      </c>
      <c r="C140" s="380" t="str">
        <f t="shared" si="279"/>
        <v/>
      </c>
      <c r="D140" s="380" t="str">
        <f t="shared" si="280"/>
        <v/>
      </c>
      <c r="E140" s="380" t="str">
        <f t="shared" si="281"/>
        <v/>
      </c>
      <c r="F140" s="380" t="str">
        <f t="shared" si="282"/>
        <v/>
      </c>
      <c r="G140" s="380" t="str">
        <f t="shared" si="283"/>
        <v/>
      </c>
      <c r="H140" s="380" t="str">
        <f t="shared" si="284"/>
        <v/>
      </c>
      <c r="I140" s="380" t="str">
        <f t="shared" si="285"/>
        <v/>
      </c>
      <c r="J140" s="380" t="str">
        <f t="shared" si="286"/>
        <v/>
      </c>
      <c r="K140" s="380" t="str">
        <f t="shared" si="287"/>
        <v/>
      </c>
      <c r="L140" s="380" t="str">
        <f t="shared" si="288"/>
        <v/>
      </c>
      <c r="M140" s="380" t="str">
        <f t="shared" si="289"/>
        <v/>
      </c>
      <c r="N140" s="380" t="str">
        <f t="shared" si="290"/>
        <v/>
      </c>
      <c r="O140" s="380" t="str">
        <f t="shared" si="291"/>
        <v/>
      </c>
      <c r="P140" s="380" t="str">
        <f t="shared" si="292"/>
        <v/>
      </c>
      <c r="Q140" s="380" t="str">
        <f t="shared" si="293"/>
        <v/>
      </c>
      <c r="R140" s="380" t="str">
        <f t="shared" si="294"/>
        <v/>
      </c>
      <c r="S140" s="380" t="str">
        <f t="shared" si="295"/>
        <v/>
      </c>
      <c r="T140" s="380" t="str">
        <f t="shared" si="296"/>
        <v/>
      </c>
      <c r="U140" s="380" t="str">
        <f t="shared" si="297"/>
        <v/>
      </c>
      <c r="V140" s="380" t="str">
        <f t="shared" si="298"/>
        <v/>
      </c>
      <c r="W140" s="380" t="str">
        <f t="shared" si="299"/>
        <v/>
      </c>
      <c r="X140" s="380" t="str">
        <f t="shared" si="300"/>
        <v/>
      </c>
      <c r="Y140" s="380" t="str">
        <f t="shared" si="301"/>
        <v/>
      </c>
      <c r="Z140" s="398" t="str">
        <f t="shared" si="302"/>
        <v/>
      </c>
      <c r="AB140" s="248" t="str">
        <f t="shared" si="314"/>
        <v xml:space="preserve">  </v>
      </c>
      <c r="AC140" s="248" t="str">
        <f>Tools!B140</f>
        <v/>
      </c>
      <c r="AD140" s="248" t="str">
        <f>Tools!C140</f>
        <v/>
      </c>
      <c r="AE140" s="248" t="str">
        <f>Tools!D140</f>
        <v/>
      </c>
      <c r="AF140" s="248" t="str">
        <f>Tools!E140</f>
        <v/>
      </c>
      <c r="AG140" s="248" t="str">
        <f>Tools!F140</f>
        <v/>
      </c>
      <c r="AH140" s="248" t="str">
        <f>Tools!G140</f>
        <v/>
      </c>
      <c r="AI140" s="248" t="str">
        <f>Tools!H140</f>
        <v/>
      </c>
      <c r="AJ140" s="248" t="str">
        <f>Tools!I140</f>
        <v/>
      </c>
      <c r="AK140" s="248" t="str">
        <f>Tools!J140</f>
        <v/>
      </c>
      <c r="AL140" s="248" t="str">
        <f>Tools!K140</f>
        <v/>
      </c>
      <c r="AM140" s="248" t="str">
        <f>Tools!L140</f>
        <v/>
      </c>
      <c r="AN140" s="248" t="str">
        <f>Tools!M140</f>
        <v/>
      </c>
      <c r="AO140" s="248" t="str">
        <f>Tools!N140</f>
        <v/>
      </c>
      <c r="AP140" s="248" t="str">
        <f>Tools!O140</f>
        <v/>
      </c>
      <c r="AQ140" s="248" t="str">
        <f>Tools!P140</f>
        <v/>
      </c>
      <c r="AR140" s="248" t="str">
        <f>Tools!Q140</f>
        <v/>
      </c>
      <c r="AS140" s="248" t="str">
        <f>Tools!R140</f>
        <v/>
      </c>
      <c r="AT140" s="248" t="str">
        <f>Tools!S140</f>
        <v/>
      </c>
      <c r="AU140" s="248" t="str">
        <f>Tools!T140</f>
        <v/>
      </c>
      <c r="AV140" s="248" t="str">
        <f>Tools!U140</f>
        <v/>
      </c>
      <c r="AW140" s="248" t="str">
        <f>Tools!V140</f>
        <v/>
      </c>
      <c r="AX140" s="248" t="str">
        <f>Tools!W140</f>
        <v/>
      </c>
      <c r="AY140" s="248" t="str">
        <f>Tools!X140</f>
        <v/>
      </c>
      <c r="AZ140" s="248" t="str">
        <f>Tools!Y140</f>
        <v/>
      </c>
      <c r="BA140" s="399" t="str">
        <f>Tools!Z140</f>
        <v/>
      </c>
      <c r="BC140" s="277">
        <f>Offset!Q15</f>
        <v>10</v>
      </c>
      <c r="BD140" s="280" t="str">
        <f>IF(ISNUMBER(VLOOKUP(BC140,Offset!Q$2:R$27,2,FALSE)),VLOOKUP(BC140,Offset!Q$2:R$27,2,FALSE),"-")</f>
        <v>-</v>
      </c>
      <c r="BE140" s="280" t="e">
        <f t="shared" si="350"/>
        <v>#VALUE!</v>
      </c>
      <c r="BF140" s="280" t="str">
        <f t="shared" si="316"/>
        <v>#NA</v>
      </c>
      <c r="BG140" s="280" t="str">
        <f t="shared" si="317"/>
        <v>#NA</v>
      </c>
      <c r="BH140" s="280" t="str">
        <f t="shared" si="318"/>
        <v>#NA</v>
      </c>
      <c r="BI140" s="280" t="str">
        <f t="shared" si="319"/>
        <v>#NA</v>
      </c>
      <c r="BJ140" s="280" t="str">
        <f t="shared" si="320"/>
        <v>#NA</v>
      </c>
      <c r="BK140" s="280" t="str">
        <f t="shared" si="321"/>
        <v>#NA</v>
      </c>
      <c r="BL140" s="280" t="str">
        <f t="shared" si="322"/>
        <v>#NA</v>
      </c>
      <c r="BM140" s="280"/>
      <c r="BN140" s="280" t="e">
        <f t="shared" si="323"/>
        <v>#VALUE!</v>
      </c>
      <c r="BO140" s="280" t="e">
        <f t="shared" si="324"/>
        <v>#VALUE!</v>
      </c>
      <c r="BP140" s="280" t="e">
        <f t="shared" si="325"/>
        <v>#VALUE!</v>
      </c>
      <c r="BQ140" s="280" t="e">
        <f t="shared" si="326"/>
        <v>#VALUE!</v>
      </c>
      <c r="BR140" s="280" t="e">
        <f t="shared" si="327"/>
        <v>#VALUE!</v>
      </c>
      <c r="BS140" s="280" t="e">
        <f t="shared" si="328"/>
        <v>#VALUE!</v>
      </c>
      <c r="BT140" s="280" t="e">
        <f t="shared" si="329"/>
        <v>#VALUE!</v>
      </c>
      <c r="BU140" s="280" t="e">
        <f t="shared" si="330"/>
        <v>#VALUE!</v>
      </c>
      <c r="BV140" s="280" t="e">
        <f t="shared" si="331"/>
        <v>#VALUE!</v>
      </c>
      <c r="BW140" s="280" t="e">
        <f t="shared" si="332"/>
        <v>#VALUE!</v>
      </c>
      <c r="BX140" s="280" t="e">
        <f t="shared" si="351"/>
        <v>#VALUE!</v>
      </c>
      <c r="BY140" s="280" t="e">
        <f t="shared" si="333"/>
        <v>#VALUE!</v>
      </c>
      <c r="BZ140" s="280" t="e">
        <f t="shared" si="334"/>
        <v>#VALUE!</v>
      </c>
      <c r="CA140" s="280" t="e">
        <f t="shared" si="335"/>
        <v>#VALUE!</v>
      </c>
      <c r="CB140" s="280" t="e">
        <f t="shared" si="336"/>
        <v>#VALUE!</v>
      </c>
      <c r="CC140" s="280" t="e">
        <f t="shared" si="337"/>
        <v>#VALUE!</v>
      </c>
      <c r="CD140" s="280" t="e">
        <f t="shared" si="338"/>
        <v>#VALUE!</v>
      </c>
      <c r="CE140" s="280" t="e">
        <f t="shared" si="339"/>
        <v>#VALUE!</v>
      </c>
      <c r="CF140" s="280" t="e">
        <f t="shared" si="340"/>
        <v>#VALUE!</v>
      </c>
      <c r="CG140" s="280" t="e">
        <f t="shared" si="341"/>
        <v>#VALUE!</v>
      </c>
      <c r="CH140" s="280" t="e">
        <f t="shared" si="342"/>
        <v>#VALUE!</v>
      </c>
      <c r="CI140" s="280" t="e">
        <f t="shared" si="343"/>
        <v>#VALUE!</v>
      </c>
      <c r="CJ140" s="280" t="e">
        <f t="shared" si="344"/>
        <v>#VALUE!</v>
      </c>
      <c r="CK140" s="280" t="e">
        <f t="shared" si="345"/>
        <v>#VALUE!</v>
      </c>
      <c r="CL140" s="280" t="e">
        <f t="shared" si="346"/>
        <v>#VALUE!</v>
      </c>
      <c r="CM140" s="279">
        <f t="shared" si="352"/>
        <v>0</v>
      </c>
      <c r="CO140" s="458" t="e">
        <v>#N/A</v>
      </c>
      <c r="CP140" s="458" t="e">
        <v>#N/A</v>
      </c>
      <c r="CQ140" s="458" t="e">
        <v>#N/A</v>
      </c>
      <c r="CR140" s="458" t="e">
        <v>#N/A</v>
      </c>
      <c r="CS140" s="458" t="e">
        <v>#N/A</v>
      </c>
      <c r="CT140" s="458" t="e">
        <v>#N/A</v>
      </c>
      <c r="CU140" s="458" t="e">
        <v>#N/A</v>
      </c>
      <c r="CV140" s="458" t="e">
        <v>#N/A</v>
      </c>
      <c r="CW140" s="458" t="e">
        <v>#N/A</v>
      </c>
      <c r="CX140" s="458" t="e">
        <v>#N/A</v>
      </c>
      <c r="CY140" s="458" t="e">
        <v>#N/A</v>
      </c>
      <c r="CZ140" s="458" t="e">
        <v>#N/A</v>
      </c>
      <c r="DA140" s="458" t="e">
        <v>#N/A</v>
      </c>
      <c r="DB140" s="458" t="e">
        <v>#N/A</v>
      </c>
      <c r="DC140" s="458" t="e">
        <v>#N/A</v>
      </c>
      <c r="DD140" s="458" t="e">
        <v>#N/A</v>
      </c>
      <c r="DE140" s="458" t="e">
        <v>#N/A</v>
      </c>
      <c r="DF140" s="458" t="e">
        <v>#N/A</v>
      </c>
      <c r="DG140" s="458" t="e">
        <v>#N/A</v>
      </c>
      <c r="DH140" s="458" t="e">
        <v>#N/A</v>
      </c>
      <c r="DI140" s="458" t="e">
        <v>#N/A</v>
      </c>
      <c r="DJ140" s="458" t="e">
        <v>#N/A</v>
      </c>
      <c r="DK140" s="458" t="e">
        <v>#N/A</v>
      </c>
      <c r="DL140" s="458" t="e">
        <v>#N/A</v>
      </c>
      <c r="DM140" s="458" t="e">
        <v>#N/A</v>
      </c>
      <c r="DN140" s="458" t="e">
        <v>#N/A</v>
      </c>
      <c r="DO140" s="400"/>
      <c r="DP140" s="462">
        <f t="shared" si="269"/>
        <v>87.72</v>
      </c>
      <c r="DQ140" s="462" t="str">
        <f t="shared" si="270"/>
        <v/>
      </c>
      <c r="DR140" s="462" t="str">
        <f t="shared" ref="DR140:EO140" si="375">IFERROR(CONCATENATE(ROUND($DP140,3),",",ROUND(ABS(DK112),3),",",ROUND(EM112,3)," "),"")</f>
        <v xml:space="preserve">87.72,9.7,0 </v>
      </c>
      <c r="DS140" s="462" t="str">
        <f t="shared" si="375"/>
        <v xml:space="preserve">87.72,10.45,0.5 </v>
      </c>
      <c r="DT140" s="462" t="str">
        <f t="shared" si="375"/>
        <v xml:space="preserve">87.72,10.75,1 </v>
      </c>
      <c r="DU140" s="462" t="str">
        <f t="shared" si="375"/>
        <v xml:space="preserve">87.72,10.93,1.5 </v>
      </c>
      <c r="DV140" s="462" t="str">
        <f t="shared" si="375"/>
        <v xml:space="preserve">87.72,11,2 </v>
      </c>
      <c r="DW140" s="462" t="str">
        <f t="shared" si="375"/>
        <v xml:space="preserve">87.72,11,4 </v>
      </c>
      <c r="DX140" s="462" t="str">
        <f t="shared" si="375"/>
        <v xml:space="preserve">87.72,11,6 </v>
      </c>
      <c r="DY140" s="462" t="str">
        <f t="shared" si="375"/>
        <v xml:space="preserve">87.72,11,8 </v>
      </c>
      <c r="DZ140" s="462" t="str">
        <f t="shared" si="375"/>
        <v xml:space="preserve">87.72,11,9.7 </v>
      </c>
      <c r="EA140" s="462" t="str">
        <f t="shared" si="375"/>
        <v xml:space="preserve">87.72,11,10 </v>
      </c>
      <c r="EB140" s="462" t="str">
        <f t="shared" si="375"/>
        <v xml:space="preserve">87.72,11,12 </v>
      </c>
      <c r="EC140" s="462" t="str">
        <f t="shared" si="375"/>
        <v xml:space="preserve">87.72,11,13 </v>
      </c>
      <c r="ED140" s="462" t="str">
        <f t="shared" si="375"/>
        <v/>
      </c>
      <c r="EE140" s="462" t="str">
        <f t="shared" si="375"/>
        <v/>
      </c>
      <c r="EF140" s="462" t="str">
        <f t="shared" si="375"/>
        <v/>
      </c>
      <c r="EG140" s="462" t="str">
        <f t="shared" si="375"/>
        <v/>
      </c>
      <c r="EH140" s="462" t="str">
        <f t="shared" si="375"/>
        <v/>
      </c>
      <c r="EI140" s="462" t="str">
        <f t="shared" si="375"/>
        <v/>
      </c>
      <c r="EJ140" s="462" t="str">
        <f t="shared" si="375"/>
        <v/>
      </c>
      <c r="EK140" s="462" t="str">
        <f t="shared" si="375"/>
        <v/>
      </c>
      <c r="EL140" s="462" t="str">
        <f t="shared" si="375"/>
        <v/>
      </c>
      <c r="EM140" s="462" t="str">
        <f t="shared" si="375"/>
        <v/>
      </c>
      <c r="EN140" s="462" t="str">
        <f t="shared" si="375"/>
        <v/>
      </c>
      <c r="EO140" s="462" t="str">
        <f t="shared" si="375"/>
        <v/>
      </c>
      <c r="EP140" s="462" t="str">
        <f t="shared" si="270"/>
        <v/>
      </c>
      <c r="ER140" s="461" t="str">
        <f t="shared" si="304"/>
        <v xml:space="preserve">87.72,9.7,0 87.72,10.45,0.5 87.72,10.75,1 87.72,10.93,1.5 87.72,11,2 87.72,11,4 87.72,11,6 87.72,11,8 87.72,11,9.7 87.72,11,10 87.72,11,12 87.72,11,13 </v>
      </c>
      <c r="ES140" s="189" t="str">
        <f t="shared" ca="1" si="348"/>
        <v xml:space="preserve">Spline 87.72,0,0 87.72,9.7,0 87.72,10.45,0.5 87.72,10.75,1 87.72,10.93,1.5 87.72,11,2 87.72,11,4 87.72,11,6 87.72,11,8 87.72,11,9.7 87.72,11,10 87.72,11,12 87.72,11,13  </v>
      </c>
      <c r="ET140" s="132" t="str">
        <f t="shared" ca="1" si="305"/>
        <v xml:space="preserve">Spline 87.72,0,0 87.72,9.7,0 87.72,10.45,0.5 87.72,10.75,1 87.72,10.93,1.5 87.72,11,2 87.72,11,4 87.72,11,6 87.72,11,8 87.72,11,9.7 87.72,11,10 87.72,11,12 87.72,11,13  </v>
      </c>
      <c r="EU140" s="132">
        <f ca="1">COUNTIF(BP_15,NA())</f>
        <v>0</v>
      </c>
      <c r="EV140" s="132">
        <f t="shared" ca="1" si="271"/>
        <v>0</v>
      </c>
      <c r="EW140" s="132">
        <v>15</v>
      </c>
      <c r="EX140" s="132" t="str">
        <f t="shared" si="272"/>
        <v xml:space="preserve">87.72,11,13 </v>
      </c>
      <c r="EY140" s="132" t="str">
        <f t="shared" ca="1" si="273"/>
        <v xml:space="preserve">Spline 87.72,0,0 87.72,11,13 87.72,11,12 87.72,11,10 87.72,11,9.7 87.72,11,8 87.72,11,6 87.72,11,4 87.72,11,2 87.72,10.93,1.5 87.72,10.75,1 87.72,10.45,0.5 87.72,9.7,0 </v>
      </c>
      <c r="EZ140" s="189" t="str">
        <f t="shared" si="306"/>
        <v xml:space="preserve">87.72,9.7,0 87.72,10.45,0.5 87.72,10.75,1 87.72,10.93,1.5 87.72,11,2 87.72,11,4 87.72,11,6 87.72,11,8 87.72,11,9.7 87.72,11,10 87.72,11,12 87.72,11,13  </v>
      </c>
      <c r="FB140" s="462">
        <f t="shared" si="274"/>
        <v>87.72</v>
      </c>
      <c r="FC140" s="464" t="str">
        <f t="shared" si="307"/>
        <v/>
      </c>
      <c r="FD140" s="462" t="str">
        <f t="shared" ref="FD140:GB140" si="376">IFERROR(CONCATENATE(ROUND($DP140,3),",",-ROUND(ABS(DK112),3),",",ROUND(EM112,3)," "),"")</f>
        <v xml:space="preserve">87.72,-9.7,0 </v>
      </c>
      <c r="FE140" s="462" t="str">
        <f t="shared" si="376"/>
        <v xml:space="preserve">87.72,-10.45,0.5 </v>
      </c>
      <c r="FF140" s="462" t="str">
        <f t="shared" si="376"/>
        <v xml:space="preserve">87.72,-10.75,1 </v>
      </c>
      <c r="FG140" s="462" t="str">
        <f t="shared" si="376"/>
        <v xml:space="preserve">87.72,-10.93,1.5 </v>
      </c>
      <c r="FH140" s="462" t="str">
        <f t="shared" si="376"/>
        <v xml:space="preserve">87.72,-11,2 </v>
      </c>
      <c r="FI140" s="462" t="str">
        <f t="shared" si="376"/>
        <v xml:space="preserve">87.72,-11,4 </v>
      </c>
      <c r="FJ140" s="462" t="str">
        <f t="shared" si="376"/>
        <v xml:space="preserve">87.72,-11,6 </v>
      </c>
      <c r="FK140" s="462" t="str">
        <f t="shared" si="376"/>
        <v xml:space="preserve">87.72,-11,8 </v>
      </c>
      <c r="FL140" s="462" t="str">
        <f t="shared" si="376"/>
        <v xml:space="preserve">87.72,-11,9.7 </v>
      </c>
      <c r="FM140" s="462" t="str">
        <f t="shared" si="376"/>
        <v xml:space="preserve">87.72,-11,10 </v>
      </c>
      <c r="FN140" s="462" t="str">
        <f t="shared" si="376"/>
        <v xml:space="preserve">87.72,-11,12 </v>
      </c>
      <c r="FO140" s="462" t="str">
        <f t="shared" si="376"/>
        <v xml:space="preserve">87.72,-11,13 </v>
      </c>
      <c r="FP140" s="462" t="str">
        <f t="shared" si="376"/>
        <v/>
      </c>
      <c r="FQ140" s="462" t="str">
        <f t="shared" si="376"/>
        <v/>
      </c>
      <c r="FR140" s="462" t="str">
        <f t="shared" si="376"/>
        <v/>
      </c>
      <c r="FS140" s="462" t="str">
        <f t="shared" si="376"/>
        <v/>
      </c>
      <c r="FT140" s="462" t="str">
        <f t="shared" si="376"/>
        <v/>
      </c>
      <c r="FU140" s="462" t="str">
        <f t="shared" si="376"/>
        <v/>
      </c>
      <c r="FV140" s="462" t="str">
        <f t="shared" si="376"/>
        <v/>
      </c>
      <c r="FW140" s="462" t="str">
        <f t="shared" si="376"/>
        <v/>
      </c>
      <c r="FX140" s="462" t="str">
        <f t="shared" si="376"/>
        <v/>
      </c>
      <c r="FY140" s="462" t="str">
        <f t="shared" si="376"/>
        <v/>
      </c>
      <c r="FZ140" s="462" t="str">
        <f t="shared" si="376"/>
        <v/>
      </c>
      <c r="GA140" s="462" t="str">
        <f t="shared" si="376"/>
        <v/>
      </c>
      <c r="GB140" s="462" t="str">
        <f t="shared" si="376"/>
        <v/>
      </c>
      <c r="GC140" s="132" t="str">
        <f t="shared" si="309"/>
        <v xml:space="preserve">87.72,11,13 87.72,11,12 87.72,11,10 87.72,11,9.7 87.72,11,8 87.72,11,6 87.72,11,4 87.72,11,2 87.72,10.93,1.5 87.72,10.75,1 87.72,10.45,0.5 87.72,9.7,0 </v>
      </c>
      <c r="GD140" s="132" t="str">
        <f t="shared" ca="1" si="276"/>
        <v>Spline 87.72,11,13 87.72,11,12 87.72,11,10 87.72,11,9.7 87.72,11,8 87.72,11,6 87.72,11,4 87.72,11,2 87.72,10.93,1.5 87.72,10.75,1 87.72,10.45,0.5 87.72,9.7,0 87.72,0,0</v>
      </c>
      <c r="GE140" s="465" t="str">
        <f t="shared" si="310"/>
        <v xml:space="preserve">87.72,-9.7,0 87.72,-10.45,0.5 87.72,-10.75,1 87.72,-10.93,1.5 87.72,-11,2 87.72,-11,4 87.72,-11,6 87.72,-11,8 87.72,-11,9.7 87.72,-11,10 87.72,-11,12 87.72,-11,13 </v>
      </c>
      <c r="GH140" s="132" t="str">
        <f t="shared" si="311"/>
        <v xml:space="preserve">Spline 87.72,11,13 87.72,11,12 87.72,11,10 87.72,11,9.7 87.72,11,8 87.72,11,6 87.72,11,4 87.72,11,2 87.72,10.93,1.5 87.72,10.75,1 87.72,10.45,0.5 87.72,9.7,0 T 87.72,0,0 </v>
      </c>
      <c r="GI140" s="132" t="str">
        <f t="shared" si="312"/>
        <v xml:space="preserve">Spline 87.72,9.7,0 87.72,0,0  Join 87.72,0,0  87.72,11,13 </v>
      </c>
      <c r="GP140" s="132" t="str">
        <f t="shared" si="277"/>
        <v xml:space="preserve">87.72,0,0 </v>
      </c>
      <c r="GQ140" s="132" t="str">
        <f t="shared" si="313"/>
        <v>Curve 87.72,11,13 87.72,11,12 87.72,11,10 87.72,11,9.7 87.72,11,8 87.72,11,6 87.72,11,4 87.72,11,2 87.72,10.93,1.5 87.72,10.75,1 87.72,10.45,0.5 87.72,9.7,0 87.72,0,0 _enter</v>
      </c>
    </row>
    <row r="141" spans="1:199" x14ac:dyDescent="0.25">
      <c r="A141" s="377" t="str">
        <f t="shared" si="268"/>
        <v xml:space="preserve">  </v>
      </c>
      <c r="B141" s="380" t="str">
        <f t="shared" si="278"/>
        <v/>
      </c>
      <c r="C141" s="380" t="str">
        <f t="shared" si="279"/>
        <v/>
      </c>
      <c r="D141" s="380" t="str">
        <f t="shared" si="280"/>
        <v/>
      </c>
      <c r="E141" s="380" t="str">
        <f t="shared" si="281"/>
        <v/>
      </c>
      <c r="F141" s="380" t="str">
        <f t="shared" si="282"/>
        <v/>
      </c>
      <c r="G141" s="380" t="str">
        <f t="shared" si="283"/>
        <v/>
      </c>
      <c r="H141" s="380" t="str">
        <f t="shared" si="284"/>
        <v/>
      </c>
      <c r="I141" s="380" t="str">
        <f t="shared" si="285"/>
        <v/>
      </c>
      <c r="J141" s="380" t="str">
        <f t="shared" si="286"/>
        <v/>
      </c>
      <c r="K141" s="380" t="str">
        <f t="shared" si="287"/>
        <v/>
      </c>
      <c r="L141" s="380" t="str">
        <f t="shared" si="288"/>
        <v/>
      </c>
      <c r="M141" s="380" t="str">
        <f t="shared" si="289"/>
        <v/>
      </c>
      <c r="N141" s="380" t="str">
        <f t="shared" si="290"/>
        <v/>
      </c>
      <c r="O141" s="380" t="str">
        <f t="shared" si="291"/>
        <v/>
      </c>
      <c r="P141" s="380" t="str">
        <f t="shared" si="292"/>
        <v/>
      </c>
      <c r="Q141" s="380" t="str">
        <f t="shared" si="293"/>
        <v/>
      </c>
      <c r="R141" s="380" t="str">
        <f t="shared" si="294"/>
        <v/>
      </c>
      <c r="S141" s="380" t="str">
        <f t="shared" si="295"/>
        <v/>
      </c>
      <c r="T141" s="380" t="str">
        <f t="shared" si="296"/>
        <v/>
      </c>
      <c r="U141" s="380" t="str">
        <f t="shared" si="297"/>
        <v/>
      </c>
      <c r="V141" s="380" t="str">
        <f t="shared" si="298"/>
        <v/>
      </c>
      <c r="W141" s="380" t="str">
        <f t="shared" si="299"/>
        <v/>
      </c>
      <c r="X141" s="380" t="str">
        <f t="shared" si="300"/>
        <v/>
      </c>
      <c r="Y141" s="380" t="str">
        <f t="shared" si="301"/>
        <v/>
      </c>
      <c r="Z141" s="398" t="str">
        <f t="shared" si="302"/>
        <v/>
      </c>
      <c r="AB141" s="248" t="str">
        <f t="shared" si="314"/>
        <v xml:space="preserve">  </v>
      </c>
      <c r="AC141" s="248" t="str">
        <f>Tools!B141</f>
        <v/>
      </c>
      <c r="AD141" s="248" t="str">
        <f>Tools!C141</f>
        <v/>
      </c>
      <c r="AE141" s="248" t="str">
        <f>Tools!D141</f>
        <v/>
      </c>
      <c r="AF141" s="248" t="str">
        <f>Tools!E141</f>
        <v/>
      </c>
      <c r="AG141" s="248" t="str">
        <f>Tools!F141</f>
        <v/>
      </c>
      <c r="AH141" s="248" t="str">
        <f>Tools!G141</f>
        <v/>
      </c>
      <c r="AI141" s="248" t="str">
        <f>Tools!H141</f>
        <v/>
      </c>
      <c r="AJ141" s="248" t="str">
        <f>Tools!I141</f>
        <v/>
      </c>
      <c r="AK141" s="248" t="str">
        <f>Tools!J141</f>
        <v/>
      </c>
      <c r="AL141" s="248" t="str">
        <f>Tools!K141</f>
        <v/>
      </c>
      <c r="AM141" s="248" t="str">
        <f>Tools!L141</f>
        <v/>
      </c>
      <c r="AN141" s="248" t="str">
        <f>Tools!M141</f>
        <v/>
      </c>
      <c r="AO141" s="248" t="str">
        <f>Tools!N141</f>
        <v/>
      </c>
      <c r="AP141" s="248" t="str">
        <f>Tools!O141</f>
        <v/>
      </c>
      <c r="AQ141" s="248" t="str">
        <f>Tools!P141</f>
        <v/>
      </c>
      <c r="AR141" s="248" t="str">
        <f>Tools!Q141</f>
        <v/>
      </c>
      <c r="AS141" s="248" t="str">
        <f>Tools!R141</f>
        <v/>
      </c>
      <c r="AT141" s="248" t="str">
        <f>Tools!S141</f>
        <v/>
      </c>
      <c r="AU141" s="248" t="str">
        <f>Tools!T141</f>
        <v/>
      </c>
      <c r="AV141" s="248" t="str">
        <f>Tools!U141</f>
        <v/>
      </c>
      <c r="AW141" s="248" t="str">
        <f>Tools!V141</f>
        <v/>
      </c>
      <c r="AX141" s="248" t="str">
        <f>Tools!W141</f>
        <v/>
      </c>
      <c r="AY141" s="248" t="str">
        <f>Tools!X141</f>
        <v/>
      </c>
      <c r="AZ141" s="248" t="str">
        <f>Tools!Y141</f>
        <v/>
      </c>
      <c r="BA141" s="399" t="str">
        <f>Tools!Z141</f>
        <v/>
      </c>
      <c r="BC141" s="277">
        <f>Offset!Q16</f>
        <v>11</v>
      </c>
      <c r="BD141" s="280" t="str">
        <f>IF(ISNUMBER(VLOOKUP(BC141,Offset!Q$2:R$27,2,FALSE)),VLOOKUP(BC141,Offset!Q$2:R$27,2,FALSE),"-")</f>
        <v>-</v>
      </c>
      <c r="BE141" s="280" t="e">
        <f t="shared" si="350"/>
        <v>#VALUE!</v>
      </c>
      <c r="BF141" s="280" t="str">
        <f t="shared" si="316"/>
        <v>#NA</v>
      </c>
      <c r="BG141" s="280" t="str">
        <f t="shared" si="317"/>
        <v>#NA</v>
      </c>
      <c r="BH141" s="280" t="str">
        <f t="shared" si="318"/>
        <v>#NA</v>
      </c>
      <c r="BI141" s="280" t="str">
        <f t="shared" si="319"/>
        <v>#NA</v>
      </c>
      <c r="BJ141" s="280" t="str">
        <f t="shared" si="320"/>
        <v>#NA</v>
      </c>
      <c r="BK141" s="280" t="str">
        <f t="shared" si="321"/>
        <v>#NA</v>
      </c>
      <c r="BL141" s="280" t="str">
        <f t="shared" si="322"/>
        <v>#NA</v>
      </c>
      <c r="BM141" s="280"/>
      <c r="BN141" s="280" t="e">
        <f t="shared" si="323"/>
        <v>#VALUE!</v>
      </c>
      <c r="BO141" s="280" t="e">
        <f t="shared" si="324"/>
        <v>#VALUE!</v>
      </c>
      <c r="BP141" s="280" t="e">
        <f t="shared" si="325"/>
        <v>#VALUE!</v>
      </c>
      <c r="BQ141" s="280" t="e">
        <f t="shared" si="326"/>
        <v>#VALUE!</v>
      </c>
      <c r="BR141" s="280" t="e">
        <f t="shared" si="327"/>
        <v>#VALUE!</v>
      </c>
      <c r="BS141" s="280" t="e">
        <f t="shared" si="328"/>
        <v>#VALUE!</v>
      </c>
      <c r="BT141" s="280" t="e">
        <f t="shared" si="329"/>
        <v>#VALUE!</v>
      </c>
      <c r="BU141" s="280" t="e">
        <f t="shared" si="330"/>
        <v>#VALUE!</v>
      </c>
      <c r="BV141" s="280" t="e">
        <f t="shared" si="331"/>
        <v>#VALUE!</v>
      </c>
      <c r="BW141" s="280" t="e">
        <f t="shared" si="332"/>
        <v>#VALUE!</v>
      </c>
      <c r="BX141" s="280" t="e">
        <f t="shared" si="351"/>
        <v>#VALUE!</v>
      </c>
      <c r="BY141" s="280" t="e">
        <f t="shared" si="333"/>
        <v>#VALUE!</v>
      </c>
      <c r="BZ141" s="280" t="e">
        <f t="shared" si="334"/>
        <v>#VALUE!</v>
      </c>
      <c r="CA141" s="280" t="e">
        <f t="shared" si="335"/>
        <v>#VALUE!</v>
      </c>
      <c r="CB141" s="280" t="e">
        <f t="shared" si="336"/>
        <v>#VALUE!</v>
      </c>
      <c r="CC141" s="280" t="e">
        <f t="shared" si="337"/>
        <v>#VALUE!</v>
      </c>
      <c r="CD141" s="280" t="e">
        <f t="shared" si="338"/>
        <v>#VALUE!</v>
      </c>
      <c r="CE141" s="280" t="e">
        <f t="shared" si="339"/>
        <v>#VALUE!</v>
      </c>
      <c r="CF141" s="280" t="e">
        <f t="shared" si="340"/>
        <v>#VALUE!</v>
      </c>
      <c r="CG141" s="280" t="e">
        <f t="shared" si="341"/>
        <v>#VALUE!</v>
      </c>
      <c r="CH141" s="280" t="e">
        <f t="shared" si="342"/>
        <v>#VALUE!</v>
      </c>
      <c r="CI141" s="280" t="e">
        <f t="shared" si="343"/>
        <v>#VALUE!</v>
      </c>
      <c r="CJ141" s="280" t="e">
        <f t="shared" si="344"/>
        <v>#VALUE!</v>
      </c>
      <c r="CK141" s="280" t="e">
        <f t="shared" si="345"/>
        <v>#VALUE!</v>
      </c>
      <c r="CL141" s="280" t="e">
        <f t="shared" si="346"/>
        <v>#VALUE!</v>
      </c>
      <c r="CM141" s="279">
        <f t="shared" si="352"/>
        <v>0</v>
      </c>
      <c r="CO141" s="458" t="e">
        <v>#N/A</v>
      </c>
      <c r="CP141" s="458" t="e">
        <v>#N/A</v>
      </c>
      <c r="CQ141" s="458" t="e">
        <v>#N/A</v>
      </c>
      <c r="CR141" s="458" t="e">
        <v>#N/A</v>
      </c>
      <c r="CS141" s="458" t="e">
        <v>#N/A</v>
      </c>
      <c r="CT141" s="458" t="e">
        <v>#N/A</v>
      </c>
      <c r="CU141" s="458" t="e">
        <v>#N/A</v>
      </c>
      <c r="CV141" s="458" t="e">
        <v>#N/A</v>
      </c>
      <c r="CW141" s="458" t="e">
        <v>#N/A</v>
      </c>
      <c r="CX141" s="458" t="e">
        <v>#N/A</v>
      </c>
      <c r="CY141" s="458" t="e">
        <v>#N/A</v>
      </c>
      <c r="CZ141" s="458" t="e">
        <v>#N/A</v>
      </c>
      <c r="DA141" s="458" t="e">
        <v>#N/A</v>
      </c>
      <c r="DB141" s="458" t="e">
        <v>#N/A</v>
      </c>
      <c r="DC141" s="458" t="e">
        <v>#N/A</v>
      </c>
      <c r="DD141" s="458" t="e">
        <v>#N/A</v>
      </c>
      <c r="DE141" s="458" t="e">
        <v>#N/A</v>
      </c>
      <c r="DF141" s="458" t="e">
        <v>#N/A</v>
      </c>
      <c r="DG141" s="458" t="e">
        <v>#N/A</v>
      </c>
      <c r="DH141" s="458" t="e">
        <v>#N/A</v>
      </c>
      <c r="DI141" s="458" t="e">
        <v>#N/A</v>
      </c>
      <c r="DJ141" s="458" t="e">
        <v>#N/A</v>
      </c>
      <c r="DK141" s="458" t="e">
        <v>#N/A</v>
      </c>
      <c r="DL141" s="458" t="e">
        <v>#N/A</v>
      </c>
      <c r="DM141" s="458" t="e">
        <v>#N/A</v>
      </c>
      <c r="DN141" s="458" t="e">
        <v>#N/A</v>
      </c>
      <c r="DO141" s="400"/>
      <c r="DP141" s="462">
        <f t="shared" si="269"/>
        <v>95.03</v>
      </c>
      <c r="DQ141" s="462" t="str">
        <f t="shared" si="270"/>
        <v/>
      </c>
      <c r="DR141" s="462" t="str">
        <f t="shared" ref="DR141:EO141" si="377">IFERROR(CONCATENATE(ROUND($DP141,3),",",ROUND(ABS(DK113),3),",",ROUND(EM113,3)," "),"")</f>
        <v xml:space="preserve">95.03,9.7,0 </v>
      </c>
      <c r="DS141" s="462" t="str">
        <f t="shared" si="377"/>
        <v xml:space="preserve">95.03,10.45,0.5 </v>
      </c>
      <c r="DT141" s="462" t="str">
        <f t="shared" si="377"/>
        <v xml:space="preserve">95.03,10.75,1 </v>
      </c>
      <c r="DU141" s="462" t="str">
        <f t="shared" si="377"/>
        <v xml:space="preserve">95.03,10.93,1.5 </v>
      </c>
      <c r="DV141" s="462" t="str">
        <f t="shared" si="377"/>
        <v xml:space="preserve">95.03,11,2 </v>
      </c>
      <c r="DW141" s="462" t="str">
        <f t="shared" si="377"/>
        <v xml:space="preserve">95.03,11,4 </v>
      </c>
      <c r="DX141" s="462" t="str">
        <f t="shared" si="377"/>
        <v xml:space="preserve">95.03,11,6 </v>
      </c>
      <c r="DY141" s="462" t="str">
        <f t="shared" si="377"/>
        <v xml:space="preserve">95.03,11,8 </v>
      </c>
      <c r="DZ141" s="462" t="str">
        <f t="shared" si="377"/>
        <v xml:space="preserve">95.03,11,9.7 </v>
      </c>
      <c r="EA141" s="462" t="str">
        <f t="shared" si="377"/>
        <v xml:space="preserve">95.03,11,10 </v>
      </c>
      <c r="EB141" s="462" t="str">
        <f t="shared" si="377"/>
        <v xml:space="preserve">95.03,11,12 </v>
      </c>
      <c r="EC141" s="462" t="str">
        <f t="shared" si="377"/>
        <v xml:space="preserve">95.03,11,13 </v>
      </c>
      <c r="ED141" s="462" t="str">
        <f t="shared" si="377"/>
        <v/>
      </c>
      <c r="EE141" s="462" t="str">
        <f t="shared" si="377"/>
        <v/>
      </c>
      <c r="EF141" s="462" t="str">
        <f t="shared" si="377"/>
        <v/>
      </c>
      <c r="EG141" s="462" t="str">
        <f t="shared" si="377"/>
        <v/>
      </c>
      <c r="EH141" s="462" t="str">
        <f t="shared" si="377"/>
        <v/>
      </c>
      <c r="EI141" s="462" t="str">
        <f t="shared" si="377"/>
        <v/>
      </c>
      <c r="EJ141" s="462" t="str">
        <f t="shared" si="377"/>
        <v/>
      </c>
      <c r="EK141" s="462" t="str">
        <f t="shared" si="377"/>
        <v/>
      </c>
      <c r="EL141" s="462" t="str">
        <f t="shared" si="377"/>
        <v/>
      </c>
      <c r="EM141" s="462" t="str">
        <f t="shared" si="377"/>
        <v/>
      </c>
      <c r="EN141" s="462" t="str">
        <f t="shared" si="377"/>
        <v/>
      </c>
      <c r="EO141" s="462" t="str">
        <f t="shared" si="377"/>
        <v/>
      </c>
      <c r="EP141" s="462" t="str">
        <f t="shared" si="270"/>
        <v/>
      </c>
      <c r="ER141" s="461" t="str">
        <f t="shared" si="304"/>
        <v xml:space="preserve">95.03,9.7,0 95.03,10.45,0.5 95.03,10.75,1 95.03,10.93,1.5 95.03,11,2 95.03,11,4 95.03,11,6 95.03,11,8 95.03,11,9.7 95.03,11,10 95.03,11,12 95.03,11,13 </v>
      </c>
      <c r="ES141" s="189" t="str">
        <f t="shared" ca="1" si="348"/>
        <v xml:space="preserve">Spline 95.03,0,0 95.03,9.7,0 95.03,10.45,0.5 95.03,10.75,1 95.03,10.93,1.5 95.03,11,2 95.03,11,4 95.03,11,6 95.03,11,8 95.03,11,9.7 95.03,11,10 95.03,11,12 95.03,11,13  </v>
      </c>
      <c r="ET141" s="132" t="str">
        <f t="shared" ca="1" si="305"/>
        <v xml:space="preserve">Spline 95.03,0,0 95.03,9.7,0 95.03,10.45,0.5 95.03,10.75,1 95.03,10.93,1.5 95.03,11,2 95.03,11,4 95.03,11,6 95.03,11,8 95.03,11,9.7 95.03,11,10 95.03,11,12 95.03,11,13  </v>
      </c>
      <c r="EU141" s="132">
        <f ca="1">COUNTIF(BP_16,NA())</f>
        <v>0</v>
      </c>
      <c r="EV141" s="132">
        <f t="shared" ca="1" si="271"/>
        <v>0</v>
      </c>
      <c r="EW141" s="132">
        <v>16</v>
      </c>
      <c r="EX141" s="132" t="str">
        <f t="shared" si="272"/>
        <v xml:space="preserve">95.03,11,13 </v>
      </c>
      <c r="EY141" s="132" t="str">
        <f t="shared" ca="1" si="273"/>
        <v xml:space="preserve">Spline 95.03,0,0 95.03,11,13 95.03,11,12 95.03,11,10 95.03,11,9.7 95.03,11,8 95.03,11,6 95.03,11,4 95.03,11,2 95.03,10.93,1.5 95.03,10.75,1 95.03,10.45,0.5 95.03,9.7,0 </v>
      </c>
      <c r="EZ141" s="189" t="str">
        <f t="shared" si="306"/>
        <v xml:space="preserve">95.03,9.7,0 95.03,10.45,0.5 95.03,10.75,1 95.03,10.93,1.5 95.03,11,2 95.03,11,4 95.03,11,6 95.03,11,8 95.03,11,9.7 95.03,11,10 95.03,11,12 95.03,11,13  </v>
      </c>
      <c r="FB141" s="462">
        <f t="shared" si="274"/>
        <v>95.03</v>
      </c>
      <c r="FC141" s="464" t="str">
        <f t="shared" si="307"/>
        <v/>
      </c>
      <c r="FD141" s="462" t="str">
        <f t="shared" ref="FD141:GB141" si="378">IFERROR(CONCATENATE(ROUND($DP141,3),",",-ROUND(ABS(DK113),3),",",ROUND(EM113,3)," "),"")</f>
        <v xml:space="preserve">95.03,-9.7,0 </v>
      </c>
      <c r="FE141" s="462" t="str">
        <f t="shared" si="378"/>
        <v xml:space="preserve">95.03,-10.45,0.5 </v>
      </c>
      <c r="FF141" s="462" t="str">
        <f t="shared" si="378"/>
        <v xml:space="preserve">95.03,-10.75,1 </v>
      </c>
      <c r="FG141" s="462" t="str">
        <f t="shared" si="378"/>
        <v xml:space="preserve">95.03,-10.93,1.5 </v>
      </c>
      <c r="FH141" s="462" t="str">
        <f t="shared" si="378"/>
        <v xml:space="preserve">95.03,-11,2 </v>
      </c>
      <c r="FI141" s="462" t="str">
        <f t="shared" si="378"/>
        <v xml:space="preserve">95.03,-11,4 </v>
      </c>
      <c r="FJ141" s="462" t="str">
        <f t="shared" si="378"/>
        <v xml:space="preserve">95.03,-11,6 </v>
      </c>
      <c r="FK141" s="462" t="str">
        <f t="shared" si="378"/>
        <v xml:space="preserve">95.03,-11,8 </v>
      </c>
      <c r="FL141" s="462" t="str">
        <f t="shared" si="378"/>
        <v xml:space="preserve">95.03,-11,9.7 </v>
      </c>
      <c r="FM141" s="462" t="str">
        <f t="shared" si="378"/>
        <v xml:space="preserve">95.03,-11,10 </v>
      </c>
      <c r="FN141" s="462" t="str">
        <f t="shared" si="378"/>
        <v xml:space="preserve">95.03,-11,12 </v>
      </c>
      <c r="FO141" s="462" t="str">
        <f t="shared" si="378"/>
        <v xml:space="preserve">95.03,-11,13 </v>
      </c>
      <c r="FP141" s="462" t="str">
        <f t="shared" si="378"/>
        <v/>
      </c>
      <c r="FQ141" s="462" t="str">
        <f t="shared" si="378"/>
        <v/>
      </c>
      <c r="FR141" s="462" t="str">
        <f t="shared" si="378"/>
        <v/>
      </c>
      <c r="FS141" s="462" t="str">
        <f t="shared" si="378"/>
        <v/>
      </c>
      <c r="FT141" s="462" t="str">
        <f t="shared" si="378"/>
        <v/>
      </c>
      <c r="FU141" s="462" t="str">
        <f t="shared" si="378"/>
        <v/>
      </c>
      <c r="FV141" s="462" t="str">
        <f t="shared" si="378"/>
        <v/>
      </c>
      <c r="FW141" s="462" t="str">
        <f t="shared" si="378"/>
        <v/>
      </c>
      <c r="FX141" s="462" t="str">
        <f t="shared" si="378"/>
        <v/>
      </c>
      <c r="FY141" s="462" t="str">
        <f t="shared" si="378"/>
        <v/>
      </c>
      <c r="FZ141" s="462" t="str">
        <f t="shared" si="378"/>
        <v/>
      </c>
      <c r="GA141" s="462" t="str">
        <f t="shared" si="378"/>
        <v/>
      </c>
      <c r="GB141" s="462" t="str">
        <f t="shared" si="378"/>
        <v/>
      </c>
      <c r="GC141" s="132" t="str">
        <f t="shared" si="309"/>
        <v xml:space="preserve">95.03,11,13 95.03,11,12 95.03,11,10 95.03,11,9.7 95.03,11,8 95.03,11,6 95.03,11,4 95.03,11,2 95.03,10.93,1.5 95.03,10.75,1 95.03,10.45,0.5 95.03,9.7,0 </v>
      </c>
      <c r="GD141" s="132" t="str">
        <f t="shared" ca="1" si="276"/>
        <v>Spline 95.03,11,13 95.03,11,12 95.03,11,10 95.03,11,9.7 95.03,11,8 95.03,11,6 95.03,11,4 95.03,11,2 95.03,10.93,1.5 95.03,10.75,1 95.03,10.45,0.5 95.03,9.7,0 95.03,0,0</v>
      </c>
      <c r="GE141" s="465" t="str">
        <f t="shared" si="310"/>
        <v xml:space="preserve">95.03,-9.7,0 95.03,-10.45,0.5 95.03,-10.75,1 95.03,-10.93,1.5 95.03,-11,2 95.03,-11,4 95.03,-11,6 95.03,-11,8 95.03,-11,9.7 95.03,-11,10 95.03,-11,12 95.03,-11,13 </v>
      </c>
      <c r="GH141" s="132" t="str">
        <f t="shared" si="311"/>
        <v xml:space="preserve">Spline 95.03,11,13 95.03,11,12 95.03,11,10 95.03,11,9.7 95.03,11,8 95.03,11,6 95.03,11,4 95.03,11,2 95.03,10.93,1.5 95.03,10.75,1 95.03,10.45,0.5 95.03,9.7,0 T 95.03,0,0 </v>
      </c>
      <c r="GI141" s="132" t="str">
        <f t="shared" si="312"/>
        <v xml:space="preserve">Spline 95.03,9.7,0 95.03,0,0  Join 95.03,0,0  95.03,11,13 </v>
      </c>
      <c r="GP141" s="132" t="str">
        <f t="shared" si="277"/>
        <v xml:space="preserve">95.03,0,0 </v>
      </c>
      <c r="GQ141" s="132" t="str">
        <f t="shared" si="313"/>
        <v>Curve 95.03,11,13 95.03,11,12 95.03,11,10 95.03,11,9.7 95.03,11,8 95.03,11,6 95.03,11,4 95.03,11,2 95.03,10.93,1.5 95.03,10.75,1 95.03,10.45,0.5 95.03,9.7,0 95.03,0,0 _enter</v>
      </c>
    </row>
    <row r="142" spans="1:199" x14ac:dyDescent="0.25">
      <c r="A142" s="377" t="str">
        <f t="shared" ref="A142:A151" si="379">BE18</f>
        <v xml:space="preserve">  </v>
      </c>
      <c r="B142" s="380" t="str">
        <f t="shared" si="278"/>
        <v/>
      </c>
      <c r="C142" s="380" t="str">
        <f t="shared" si="279"/>
        <v/>
      </c>
      <c r="D142" s="380" t="str">
        <f t="shared" si="280"/>
        <v/>
      </c>
      <c r="E142" s="380" t="str">
        <f t="shared" si="281"/>
        <v/>
      </c>
      <c r="F142" s="380" t="str">
        <f t="shared" si="282"/>
        <v/>
      </c>
      <c r="G142" s="380" t="str">
        <f t="shared" si="283"/>
        <v/>
      </c>
      <c r="H142" s="380" t="str">
        <f t="shared" si="284"/>
        <v/>
      </c>
      <c r="I142" s="380" t="str">
        <f t="shared" si="285"/>
        <v/>
      </c>
      <c r="J142" s="380" t="str">
        <f t="shared" si="286"/>
        <v/>
      </c>
      <c r="K142" s="380" t="str">
        <f t="shared" si="287"/>
        <v/>
      </c>
      <c r="L142" s="380" t="str">
        <f t="shared" si="288"/>
        <v/>
      </c>
      <c r="M142" s="380" t="str">
        <f t="shared" si="289"/>
        <v/>
      </c>
      <c r="N142" s="380" t="str">
        <f t="shared" si="290"/>
        <v/>
      </c>
      <c r="O142" s="380" t="str">
        <f t="shared" si="291"/>
        <v/>
      </c>
      <c r="P142" s="380" t="str">
        <f t="shared" si="292"/>
        <v/>
      </c>
      <c r="Q142" s="380" t="str">
        <f t="shared" si="293"/>
        <v/>
      </c>
      <c r="R142" s="380" t="str">
        <f t="shared" si="294"/>
        <v/>
      </c>
      <c r="S142" s="380" t="str">
        <f t="shared" si="295"/>
        <v/>
      </c>
      <c r="T142" s="380" t="str">
        <f t="shared" si="296"/>
        <v/>
      </c>
      <c r="U142" s="380" t="str">
        <f t="shared" si="297"/>
        <v/>
      </c>
      <c r="V142" s="380" t="str">
        <f t="shared" si="298"/>
        <v/>
      </c>
      <c r="W142" s="380" t="str">
        <f t="shared" si="299"/>
        <v/>
      </c>
      <c r="X142" s="380" t="str">
        <f t="shared" si="300"/>
        <v/>
      </c>
      <c r="Y142" s="380" t="str">
        <f t="shared" si="301"/>
        <v/>
      </c>
      <c r="Z142" s="398" t="str">
        <f t="shared" si="302"/>
        <v/>
      </c>
      <c r="AB142" s="248" t="str">
        <f t="shared" si="314"/>
        <v xml:space="preserve">  </v>
      </c>
      <c r="AC142" s="248" t="str">
        <f>Tools!B142</f>
        <v/>
      </c>
      <c r="AD142" s="248" t="str">
        <f>Tools!C142</f>
        <v/>
      </c>
      <c r="AE142" s="248" t="str">
        <f>Tools!D142</f>
        <v/>
      </c>
      <c r="AF142" s="248" t="str">
        <f>Tools!E142</f>
        <v/>
      </c>
      <c r="AG142" s="248" t="str">
        <f>Tools!F142</f>
        <v/>
      </c>
      <c r="AH142" s="248" t="str">
        <f>Tools!G142</f>
        <v/>
      </c>
      <c r="AI142" s="248" t="str">
        <f>Tools!H142</f>
        <v/>
      </c>
      <c r="AJ142" s="248" t="str">
        <f>Tools!I142</f>
        <v/>
      </c>
      <c r="AK142" s="248" t="str">
        <f>Tools!J142</f>
        <v/>
      </c>
      <c r="AL142" s="248" t="str">
        <f>Tools!K142</f>
        <v/>
      </c>
      <c r="AM142" s="248" t="str">
        <f>Tools!L142</f>
        <v/>
      </c>
      <c r="AN142" s="248" t="str">
        <f>Tools!M142</f>
        <v/>
      </c>
      <c r="AO142" s="248" t="str">
        <f>Tools!N142</f>
        <v/>
      </c>
      <c r="AP142" s="248" t="str">
        <f>Tools!O142</f>
        <v/>
      </c>
      <c r="AQ142" s="248" t="str">
        <f>Tools!P142</f>
        <v/>
      </c>
      <c r="AR142" s="248" t="str">
        <f>Tools!Q142</f>
        <v/>
      </c>
      <c r="AS142" s="248" t="str">
        <f>Tools!R142</f>
        <v/>
      </c>
      <c r="AT142" s="248" t="str">
        <f>Tools!S142</f>
        <v/>
      </c>
      <c r="AU142" s="248" t="str">
        <f>Tools!T142</f>
        <v/>
      </c>
      <c r="AV142" s="248" t="str">
        <f>Tools!U142</f>
        <v/>
      </c>
      <c r="AW142" s="248" t="str">
        <f>Tools!V142</f>
        <v/>
      </c>
      <c r="AX142" s="248" t="str">
        <f>Tools!W142</f>
        <v/>
      </c>
      <c r="AY142" s="248" t="str">
        <f>Tools!X142</f>
        <v/>
      </c>
      <c r="AZ142" s="248" t="str">
        <f>Tools!Y142</f>
        <v/>
      </c>
      <c r="BA142" s="399" t="str">
        <f>Tools!Z142</f>
        <v/>
      </c>
      <c r="BC142" s="277">
        <f>Offset!Q17</f>
        <v>12</v>
      </c>
      <c r="BD142" s="280" t="str">
        <f>IF(ISNUMBER(VLOOKUP(BC142,Offset!Q$2:R$27,2,FALSE)),VLOOKUP(BC142,Offset!Q$2:R$27,2,FALSE),"-")</f>
        <v>-</v>
      </c>
      <c r="BE142" s="280" t="e">
        <f t="shared" si="350"/>
        <v>#VALUE!</v>
      </c>
      <c r="BF142" s="280" t="str">
        <f t="shared" si="316"/>
        <v>#NA</v>
      </c>
      <c r="BG142" s="280" t="str">
        <f t="shared" si="317"/>
        <v>#NA</v>
      </c>
      <c r="BH142" s="280" t="str">
        <f t="shared" si="318"/>
        <v>#NA</v>
      </c>
      <c r="BI142" s="280" t="str">
        <f t="shared" si="319"/>
        <v>#NA</v>
      </c>
      <c r="BJ142" s="280" t="str">
        <f t="shared" si="320"/>
        <v>#NA</v>
      </c>
      <c r="BK142" s="280" t="str">
        <f t="shared" si="321"/>
        <v>#NA</v>
      </c>
      <c r="BL142" s="280" t="str">
        <f t="shared" si="322"/>
        <v>#NA</v>
      </c>
      <c r="BM142" s="280"/>
      <c r="BN142" s="280" t="e">
        <f t="shared" si="323"/>
        <v>#VALUE!</v>
      </c>
      <c r="BO142" s="280" t="e">
        <f t="shared" si="324"/>
        <v>#VALUE!</v>
      </c>
      <c r="BP142" s="280" t="e">
        <f t="shared" si="325"/>
        <v>#VALUE!</v>
      </c>
      <c r="BQ142" s="280" t="e">
        <f t="shared" si="326"/>
        <v>#VALUE!</v>
      </c>
      <c r="BR142" s="280" t="e">
        <f t="shared" si="327"/>
        <v>#VALUE!</v>
      </c>
      <c r="BS142" s="280" t="e">
        <f t="shared" si="328"/>
        <v>#VALUE!</v>
      </c>
      <c r="BT142" s="280" t="e">
        <f t="shared" si="329"/>
        <v>#VALUE!</v>
      </c>
      <c r="BU142" s="280" t="e">
        <f t="shared" si="330"/>
        <v>#VALUE!</v>
      </c>
      <c r="BV142" s="280" t="e">
        <f t="shared" si="331"/>
        <v>#VALUE!</v>
      </c>
      <c r="BW142" s="280" t="e">
        <f t="shared" si="332"/>
        <v>#VALUE!</v>
      </c>
      <c r="BX142" s="280" t="e">
        <f t="shared" si="351"/>
        <v>#VALUE!</v>
      </c>
      <c r="BY142" s="280" t="e">
        <f t="shared" si="333"/>
        <v>#VALUE!</v>
      </c>
      <c r="BZ142" s="280" t="e">
        <f t="shared" si="334"/>
        <v>#VALUE!</v>
      </c>
      <c r="CA142" s="280" t="e">
        <f t="shared" si="335"/>
        <v>#VALUE!</v>
      </c>
      <c r="CB142" s="280" t="e">
        <f t="shared" si="336"/>
        <v>#VALUE!</v>
      </c>
      <c r="CC142" s="280" t="e">
        <f t="shared" si="337"/>
        <v>#VALUE!</v>
      </c>
      <c r="CD142" s="280" t="e">
        <f t="shared" si="338"/>
        <v>#VALUE!</v>
      </c>
      <c r="CE142" s="280" t="e">
        <f t="shared" si="339"/>
        <v>#VALUE!</v>
      </c>
      <c r="CF142" s="280" t="e">
        <f t="shared" si="340"/>
        <v>#VALUE!</v>
      </c>
      <c r="CG142" s="280" t="e">
        <f t="shared" si="341"/>
        <v>#VALUE!</v>
      </c>
      <c r="CH142" s="280" t="e">
        <f t="shared" si="342"/>
        <v>#VALUE!</v>
      </c>
      <c r="CI142" s="280" t="e">
        <f t="shared" si="343"/>
        <v>#VALUE!</v>
      </c>
      <c r="CJ142" s="280" t="e">
        <f t="shared" si="344"/>
        <v>#VALUE!</v>
      </c>
      <c r="CK142" s="280" t="e">
        <f t="shared" si="345"/>
        <v>#VALUE!</v>
      </c>
      <c r="CL142" s="280" t="e">
        <f t="shared" si="346"/>
        <v>#VALUE!</v>
      </c>
      <c r="CM142" s="279">
        <f t="shared" si="352"/>
        <v>0</v>
      </c>
      <c r="CO142" s="458" t="e">
        <v>#N/A</v>
      </c>
      <c r="CP142" s="458" t="e">
        <v>#N/A</v>
      </c>
      <c r="CQ142" s="458" t="e">
        <v>#N/A</v>
      </c>
      <c r="CR142" s="458" t="e">
        <v>#N/A</v>
      </c>
      <c r="CS142" s="458" t="e">
        <v>#N/A</v>
      </c>
      <c r="CT142" s="458" t="e">
        <v>#N/A</v>
      </c>
      <c r="CU142" s="458" t="e">
        <v>#N/A</v>
      </c>
      <c r="CV142" s="458" t="e">
        <v>#N/A</v>
      </c>
      <c r="CW142" s="458" t="e">
        <v>#N/A</v>
      </c>
      <c r="CX142" s="458" t="e">
        <v>#N/A</v>
      </c>
      <c r="CY142" s="458" t="e">
        <v>#N/A</v>
      </c>
      <c r="CZ142" s="458" t="e">
        <v>#N/A</v>
      </c>
      <c r="DA142" s="458" t="e">
        <v>#N/A</v>
      </c>
      <c r="DB142" s="458" t="e">
        <v>#N/A</v>
      </c>
      <c r="DC142" s="458" t="e">
        <v>#N/A</v>
      </c>
      <c r="DD142" s="458" t="e">
        <v>#N/A</v>
      </c>
      <c r="DE142" s="458" t="e">
        <v>#N/A</v>
      </c>
      <c r="DF142" s="458" t="e">
        <v>#N/A</v>
      </c>
      <c r="DG142" s="458" t="e">
        <v>#N/A</v>
      </c>
      <c r="DH142" s="458" t="e">
        <v>#N/A</v>
      </c>
      <c r="DI142" s="458" t="e">
        <v>#N/A</v>
      </c>
      <c r="DJ142" s="458" t="e">
        <v>#N/A</v>
      </c>
      <c r="DK142" s="458" t="e">
        <v>#N/A</v>
      </c>
      <c r="DL142" s="458" t="e">
        <v>#N/A</v>
      </c>
      <c r="DM142" s="458" t="e">
        <v>#N/A</v>
      </c>
      <c r="DN142" s="458" t="e">
        <v>#N/A</v>
      </c>
      <c r="DO142" s="400"/>
      <c r="DP142" s="462">
        <f t="shared" si="269"/>
        <v>102.33999999999999</v>
      </c>
      <c r="DQ142" s="462" t="str">
        <f t="shared" ref="DQ142:DQ150" si="380">IFERROR(CONCATENATE(ROUND($DP142,3),",",ROUND(ABS(DJ114),3),",",ROUND(EL114,3)," "),"")</f>
        <v/>
      </c>
      <c r="DR142" s="462" t="str">
        <f t="shared" ref="DR142:EP150" si="381">IFERROR(CONCATENATE(ROUND($DP142,3),",",ROUND(ABS(DK114),3),",",ROUND(EM114,3)," "),"")</f>
        <v xml:space="preserve">102.34,9.5,0 </v>
      </c>
      <c r="DS142" s="462" t="str">
        <f t="shared" si="381"/>
        <v xml:space="preserve">102.34,10.32,0.5 </v>
      </c>
      <c r="DT142" s="462" t="str">
        <f t="shared" si="381"/>
        <v xml:space="preserve">102.34,10.66,1 </v>
      </c>
      <c r="DU142" s="462" t="str">
        <f t="shared" si="381"/>
        <v xml:space="preserve">102.34,10.87,1.5 </v>
      </c>
      <c r="DV142" s="462" t="str">
        <f t="shared" si="381"/>
        <v xml:space="preserve">102.34,11,2 </v>
      </c>
      <c r="DW142" s="462" t="str">
        <f t="shared" si="381"/>
        <v xml:space="preserve">102.34,11,4 </v>
      </c>
      <c r="DX142" s="462" t="str">
        <f t="shared" si="381"/>
        <v xml:space="preserve">102.34,11,6 </v>
      </c>
      <c r="DY142" s="462" t="str">
        <f t="shared" si="381"/>
        <v xml:space="preserve">102.34,11,8 </v>
      </c>
      <c r="DZ142" s="462" t="str">
        <f t="shared" si="381"/>
        <v xml:space="preserve">102.34,11,9.7 </v>
      </c>
      <c r="EA142" s="462" t="str">
        <f t="shared" si="381"/>
        <v xml:space="preserve">102.34,11,10 </v>
      </c>
      <c r="EB142" s="462" t="str">
        <f t="shared" si="381"/>
        <v xml:space="preserve">102.34,11,12 </v>
      </c>
      <c r="EC142" s="462" t="str">
        <f t="shared" si="381"/>
        <v xml:space="preserve">102.34,11,13 </v>
      </c>
      <c r="ED142" s="462" t="str">
        <f t="shared" si="381"/>
        <v/>
      </c>
      <c r="EE142" s="462" t="str">
        <f t="shared" si="381"/>
        <v/>
      </c>
      <c r="EF142" s="462" t="str">
        <f t="shared" si="381"/>
        <v/>
      </c>
      <c r="EG142" s="462" t="str">
        <f t="shared" si="381"/>
        <v/>
      </c>
      <c r="EH142" s="462" t="str">
        <f t="shared" si="381"/>
        <v/>
      </c>
      <c r="EI142" s="462" t="str">
        <f t="shared" si="381"/>
        <v/>
      </c>
      <c r="EJ142" s="462" t="str">
        <f t="shared" si="381"/>
        <v/>
      </c>
      <c r="EK142" s="462" t="str">
        <f t="shared" si="381"/>
        <v/>
      </c>
      <c r="EL142" s="462" t="str">
        <f t="shared" si="381"/>
        <v/>
      </c>
      <c r="EM142" s="462" t="str">
        <f t="shared" si="381"/>
        <v/>
      </c>
      <c r="EN142" s="462" t="str">
        <f t="shared" si="381"/>
        <v/>
      </c>
      <c r="EO142" s="462" t="str">
        <f t="shared" si="381"/>
        <v/>
      </c>
      <c r="EP142" s="462" t="str">
        <f t="shared" si="381"/>
        <v/>
      </c>
      <c r="ER142" s="461" t="str">
        <f t="shared" si="304"/>
        <v xml:space="preserve">102.34,9.5,0 102.34,10.32,0.5 102.34,10.66,1 102.34,10.87,1.5 102.34,11,2 102.34,11,4 102.34,11,6 102.34,11,8 102.34,11,9.7 102.34,11,10 102.34,11,12 102.34,11,13 </v>
      </c>
      <c r="ES142" s="189" t="str">
        <f t="shared" ca="1" si="348"/>
        <v xml:space="preserve">Spline 102.34,0,0 102.34,9.5,0 102.34,10.32,0.5 102.34,10.66,1 102.34,10.87,1.5 102.34,11,2 102.34,11,4 102.34,11,6 102.34,11,8 102.34,11,9.7 102.34,11,10 102.34,11,12 102.34,11,13  </v>
      </c>
      <c r="ET142" s="132" t="str">
        <f t="shared" ca="1" si="305"/>
        <v xml:space="preserve">Spline 102.34,0,0 102.34,9.5,0 102.34,10.32,0.5 102.34,10.66,1 102.34,10.87,1.5 102.34,11,2 102.34,11,4 102.34,11,6 102.34,11,8 102.34,11,9.7 102.34,11,10 102.34,11,12 102.34,11,13  </v>
      </c>
      <c r="EU142" s="132">
        <f ca="1">COUNTIF(BP_17,NA())</f>
        <v>0</v>
      </c>
      <c r="EV142" s="132">
        <f t="shared" ca="1" si="271"/>
        <v>0</v>
      </c>
      <c r="EW142" s="132">
        <v>17</v>
      </c>
      <c r="EX142" s="132" t="str">
        <f t="shared" si="272"/>
        <v xml:space="preserve">102.34,11,13 </v>
      </c>
      <c r="EY142" s="132" t="str">
        <f t="shared" ca="1" si="273"/>
        <v xml:space="preserve">Spline 102.34,0,0 102.34,11,13 102.34,11,12 102.34,11,10 102.34,11,9.7 102.34,11,8 102.34,11,6 102.34,11,4 102.34,11,2 102.34,10.87,1.5 102.34,10.66,1 102.34,10.32,0.5 102.34,9.5,0 </v>
      </c>
      <c r="EZ142" s="189" t="str">
        <f t="shared" si="306"/>
        <v xml:space="preserve">102.34,9.5,0 102.34,10.32,0.5 102.34,10.66,1 102.34,10.87,1.5 102.34,11,2 102.34,11,4 102.34,11,6 102.34,11,8 102.34,11,9.7 102.34,11,10 102.34,11,12 102.34,11,13  </v>
      </c>
      <c r="FB142" s="462">
        <f t="shared" si="274"/>
        <v>102.33999999999999</v>
      </c>
      <c r="FC142" s="464" t="str">
        <f t="shared" si="307"/>
        <v/>
      </c>
      <c r="FD142" s="462" t="str">
        <f t="shared" ref="FD142:GB142" si="382">IFERROR(CONCATENATE(ROUND($DP142,3),",",-ROUND(ABS(DK114),3),",",ROUND(EM114,3)," "),"")</f>
        <v xml:space="preserve">102.34,-9.5,0 </v>
      </c>
      <c r="FE142" s="462" t="str">
        <f t="shared" si="382"/>
        <v xml:space="preserve">102.34,-10.32,0.5 </v>
      </c>
      <c r="FF142" s="462" t="str">
        <f t="shared" si="382"/>
        <v xml:space="preserve">102.34,-10.66,1 </v>
      </c>
      <c r="FG142" s="462" t="str">
        <f t="shared" si="382"/>
        <v xml:space="preserve">102.34,-10.87,1.5 </v>
      </c>
      <c r="FH142" s="462" t="str">
        <f t="shared" si="382"/>
        <v xml:space="preserve">102.34,-11,2 </v>
      </c>
      <c r="FI142" s="462" t="str">
        <f t="shared" si="382"/>
        <v xml:space="preserve">102.34,-11,4 </v>
      </c>
      <c r="FJ142" s="462" t="str">
        <f t="shared" si="382"/>
        <v xml:space="preserve">102.34,-11,6 </v>
      </c>
      <c r="FK142" s="462" t="str">
        <f t="shared" si="382"/>
        <v xml:space="preserve">102.34,-11,8 </v>
      </c>
      <c r="FL142" s="462" t="str">
        <f t="shared" si="382"/>
        <v xml:space="preserve">102.34,-11,9.7 </v>
      </c>
      <c r="FM142" s="462" t="str">
        <f t="shared" si="382"/>
        <v xml:space="preserve">102.34,-11,10 </v>
      </c>
      <c r="FN142" s="462" t="str">
        <f t="shared" si="382"/>
        <v xml:space="preserve">102.34,-11,12 </v>
      </c>
      <c r="FO142" s="462" t="str">
        <f t="shared" si="382"/>
        <v xml:space="preserve">102.34,-11,13 </v>
      </c>
      <c r="FP142" s="462" t="str">
        <f t="shared" si="382"/>
        <v/>
      </c>
      <c r="FQ142" s="462" t="str">
        <f t="shared" si="382"/>
        <v/>
      </c>
      <c r="FR142" s="462" t="str">
        <f t="shared" si="382"/>
        <v/>
      </c>
      <c r="FS142" s="462" t="str">
        <f t="shared" si="382"/>
        <v/>
      </c>
      <c r="FT142" s="462" t="str">
        <f t="shared" si="382"/>
        <v/>
      </c>
      <c r="FU142" s="462" t="str">
        <f t="shared" si="382"/>
        <v/>
      </c>
      <c r="FV142" s="462" t="str">
        <f t="shared" si="382"/>
        <v/>
      </c>
      <c r="FW142" s="462" t="str">
        <f t="shared" si="382"/>
        <v/>
      </c>
      <c r="FX142" s="462" t="str">
        <f t="shared" si="382"/>
        <v/>
      </c>
      <c r="FY142" s="462" t="str">
        <f t="shared" si="382"/>
        <v/>
      </c>
      <c r="FZ142" s="462" t="str">
        <f t="shared" si="382"/>
        <v/>
      </c>
      <c r="GA142" s="462" t="str">
        <f t="shared" si="382"/>
        <v/>
      </c>
      <c r="GB142" s="462" t="str">
        <f t="shared" si="382"/>
        <v/>
      </c>
      <c r="GC142" s="132" t="str">
        <f t="shared" si="309"/>
        <v xml:space="preserve">102.34,11,13 102.34,11,12 102.34,11,10 102.34,11,9.7 102.34,11,8 102.34,11,6 102.34,11,4 102.34,11,2 102.34,10.87,1.5 102.34,10.66,1 102.34,10.32,0.5 102.34,9.5,0 </v>
      </c>
      <c r="GD142" s="132" t="str">
        <f t="shared" ca="1" si="276"/>
        <v>Spline 102.34,11,13 102.34,11,12 102.34,11,10 102.34,11,9.7 102.34,11,8 102.34,11,6 102.34,11,4 102.34,11,2 102.34,10.87,1.5 102.34,10.66,1 102.34,10.32,0.5 102.34,9.5,0 102.34,0,0</v>
      </c>
      <c r="GE142" s="465" t="str">
        <f t="shared" si="310"/>
        <v xml:space="preserve">102.34,-9.5,0 102.34,-10.32,0.5 102.34,-10.66,1 102.34,-10.87,1.5 102.34,-11,2 102.34,-11,4 102.34,-11,6 102.34,-11,8 102.34,-11,9.7 102.34,-11,10 102.34,-11,12 102.34,-11,13 </v>
      </c>
      <c r="GH142" s="132" t="str">
        <f t="shared" si="311"/>
        <v xml:space="preserve">Spline 102.34,11,13 102.34,11,12 102.34,11,10 102.34,11,9.7 102.34,11,8 102.34,11,6 102.34,11,4 102.34,11,2 102.34,10.87,1.5 102.34,10.66,1 102.34,10.32,0.5 102.34,9.5,0 T 102.34,0,0 </v>
      </c>
      <c r="GI142" s="132" t="str">
        <f t="shared" si="312"/>
        <v xml:space="preserve">Spline 102.34,9.5,0 102.34,0,0  Join 102.34,0,0  102.34,11,13 </v>
      </c>
      <c r="GP142" s="132" t="str">
        <f t="shared" si="277"/>
        <v xml:space="preserve">102.34,0,0 </v>
      </c>
      <c r="GQ142" s="132" t="str">
        <f t="shared" si="313"/>
        <v>Curve 102.34,11,13 102.34,11,12 102.34,11,10 102.34,11,9.7 102.34,11,8 102.34,11,6 102.34,11,4 102.34,11,2 102.34,10.87,1.5 102.34,10.66,1 102.34,10.32,0.5 102.34,9.5,0 102.34,0,0 _enter</v>
      </c>
    </row>
    <row r="143" spans="1:199" x14ac:dyDescent="0.25">
      <c r="A143" s="377" t="str">
        <f t="shared" si="379"/>
        <v xml:space="preserve">  </v>
      </c>
      <c r="B143" s="380" t="str">
        <f t="shared" si="278"/>
        <v/>
      </c>
      <c r="C143" s="380" t="str">
        <f t="shared" si="279"/>
        <v/>
      </c>
      <c r="D143" s="380" t="str">
        <f t="shared" si="280"/>
        <v/>
      </c>
      <c r="E143" s="380" t="str">
        <f t="shared" si="281"/>
        <v/>
      </c>
      <c r="F143" s="380" t="str">
        <f t="shared" si="282"/>
        <v/>
      </c>
      <c r="G143" s="380" t="str">
        <f t="shared" si="283"/>
        <v/>
      </c>
      <c r="H143" s="380" t="str">
        <f t="shared" si="284"/>
        <v/>
      </c>
      <c r="I143" s="380" t="str">
        <f t="shared" si="285"/>
        <v/>
      </c>
      <c r="J143" s="380" t="str">
        <f t="shared" si="286"/>
        <v/>
      </c>
      <c r="K143" s="380" t="str">
        <f t="shared" si="287"/>
        <v/>
      </c>
      <c r="L143" s="380" t="str">
        <f t="shared" si="288"/>
        <v/>
      </c>
      <c r="M143" s="380" t="str">
        <f t="shared" si="289"/>
        <v/>
      </c>
      <c r="N143" s="380" t="str">
        <f t="shared" si="290"/>
        <v/>
      </c>
      <c r="O143" s="380" t="str">
        <f t="shared" si="291"/>
        <v/>
      </c>
      <c r="P143" s="380" t="str">
        <f t="shared" si="292"/>
        <v/>
      </c>
      <c r="Q143" s="380" t="str">
        <f t="shared" si="293"/>
        <v/>
      </c>
      <c r="R143" s="380" t="str">
        <f t="shared" si="294"/>
        <v/>
      </c>
      <c r="S143" s="380" t="str">
        <f t="shared" si="295"/>
        <v/>
      </c>
      <c r="T143" s="380" t="str">
        <f t="shared" si="296"/>
        <v/>
      </c>
      <c r="U143" s="380" t="str">
        <f t="shared" si="297"/>
        <v/>
      </c>
      <c r="V143" s="380" t="str">
        <f t="shared" si="298"/>
        <v/>
      </c>
      <c r="W143" s="380" t="str">
        <f t="shared" si="299"/>
        <v/>
      </c>
      <c r="X143" s="380" t="str">
        <f t="shared" si="300"/>
        <v/>
      </c>
      <c r="Y143" s="380" t="str">
        <f t="shared" si="301"/>
        <v/>
      </c>
      <c r="Z143" s="398" t="str">
        <f t="shared" si="302"/>
        <v/>
      </c>
      <c r="AB143" s="248" t="str">
        <f t="shared" si="314"/>
        <v xml:space="preserve">  </v>
      </c>
      <c r="AC143" s="248" t="str">
        <f>Tools!B143</f>
        <v/>
      </c>
      <c r="AD143" s="248" t="str">
        <f>Tools!C143</f>
        <v/>
      </c>
      <c r="AE143" s="248" t="str">
        <f>Tools!D143</f>
        <v/>
      </c>
      <c r="AF143" s="248" t="str">
        <f>Tools!E143</f>
        <v/>
      </c>
      <c r="AG143" s="248" t="str">
        <f>Tools!F143</f>
        <v/>
      </c>
      <c r="AH143" s="248" t="str">
        <f>Tools!G143</f>
        <v/>
      </c>
      <c r="AI143" s="248" t="str">
        <f>Tools!H143</f>
        <v/>
      </c>
      <c r="AJ143" s="248" t="str">
        <f>Tools!I143</f>
        <v/>
      </c>
      <c r="AK143" s="248" t="str">
        <f>Tools!J143</f>
        <v/>
      </c>
      <c r="AL143" s="248" t="str">
        <f>Tools!K143</f>
        <v/>
      </c>
      <c r="AM143" s="248" t="str">
        <f>Tools!L143</f>
        <v/>
      </c>
      <c r="AN143" s="248" t="str">
        <f>Tools!M143</f>
        <v/>
      </c>
      <c r="AO143" s="248" t="str">
        <f>Tools!N143</f>
        <v/>
      </c>
      <c r="AP143" s="248" t="str">
        <f>Tools!O143</f>
        <v/>
      </c>
      <c r="AQ143" s="248" t="str">
        <f>Tools!P143</f>
        <v/>
      </c>
      <c r="AR143" s="248" t="str">
        <f>Tools!Q143</f>
        <v/>
      </c>
      <c r="AS143" s="248" t="str">
        <f>Tools!R143</f>
        <v/>
      </c>
      <c r="AT143" s="248" t="str">
        <f>Tools!S143</f>
        <v/>
      </c>
      <c r="AU143" s="248" t="str">
        <f>Tools!T143</f>
        <v/>
      </c>
      <c r="AV143" s="248" t="str">
        <f>Tools!U143</f>
        <v/>
      </c>
      <c r="AW143" s="248" t="str">
        <f>Tools!V143</f>
        <v/>
      </c>
      <c r="AX143" s="248" t="str">
        <f>Tools!W143</f>
        <v/>
      </c>
      <c r="AY143" s="248" t="str">
        <f>Tools!X143</f>
        <v/>
      </c>
      <c r="AZ143" s="248" t="str">
        <f>Tools!Y143</f>
        <v/>
      </c>
      <c r="BA143" s="399" t="str">
        <f>Tools!Z143</f>
        <v/>
      </c>
      <c r="BC143" s="277">
        <f>Offset!Q18</f>
        <v>13</v>
      </c>
      <c r="BD143" s="280" t="str">
        <f>IF(ISNUMBER(VLOOKUP(BC143,Offset!Q$2:R$27,2,FALSE)),VLOOKUP(BC143,Offset!Q$2:R$27,2,FALSE),"-")</f>
        <v>-</v>
      </c>
      <c r="BE143" s="280" t="e">
        <f t="shared" si="350"/>
        <v>#VALUE!</v>
      </c>
      <c r="BF143" s="280" t="str">
        <f t="shared" si="316"/>
        <v>#NA</v>
      </c>
      <c r="BG143" s="280" t="str">
        <f t="shared" si="317"/>
        <v>#NA</v>
      </c>
      <c r="BH143" s="280" t="str">
        <f t="shared" si="318"/>
        <v>#NA</v>
      </c>
      <c r="BI143" s="280" t="str">
        <f t="shared" si="319"/>
        <v>#NA</v>
      </c>
      <c r="BJ143" s="280" t="str">
        <f t="shared" si="320"/>
        <v>#NA</v>
      </c>
      <c r="BK143" s="280" t="str">
        <f t="shared" si="321"/>
        <v>#NA</v>
      </c>
      <c r="BL143" s="280" t="str">
        <f t="shared" si="322"/>
        <v>#NA</v>
      </c>
      <c r="BM143" s="280"/>
      <c r="BN143" s="280" t="e">
        <f t="shared" si="323"/>
        <v>#VALUE!</v>
      </c>
      <c r="BO143" s="280" t="e">
        <f t="shared" si="324"/>
        <v>#VALUE!</v>
      </c>
      <c r="BP143" s="280" t="e">
        <f t="shared" si="325"/>
        <v>#VALUE!</v>
      </c>
      <c r="BQ143" s="280" t="e">
        <f t="shared" si="326"/>
        <v>#VALUE!</v>
      </c>
      <c r="BR143" s="280" t="e">
        <f t="shared" si="327"/>
        <v>#VALUE!</v>
      </c>
      <c r="BS143" s="280" t="e">
        <f t="shared" si="328"/>
        <v>#VALUE!</v>
      </c>
      <c r="BT143" s="280" t="e">
        <f t="shared" si="329"/>
        <v>#VALUE!</v>
      </c>
      <c r="BU143" s="280" t="e">
        <f t="shared" si="330"/>
        <v>#VALUE!</v>
      </c>
      <c r="BV143" s="280" t="e">
        <f t="shared" si="331"/>
        <v>#VALUE!</v>
      </c>
      <c r="BW143" s="280" t="e">
        <f t="shared" si="332"/>
        <v>#VALUE!</v>
      </c>
      <c r="BX143" s="280" t="e">
        <f t="shared" si="351"/>
        <v>#VALUE!</v>
      </c>
      <c r="BY143" s="280" t="e">
        <f t="shared" si="333"/>
        <v>#VALUE!</v>
      </c>
      <c r="BZ143" s="280" t="e">
        <f t="shared" si="334"/>
        <v>#VALUE!</v>
      </c>
      <c r="CA143" s="280" t="e">
        <f t="shared" si="335"/>
        <v>#VALUE!</v>
      </c>
      <c r="CB143" s="280" t="e">
        <f t="shared" si="336"/>
        <v>#VALUE!</v>
      </c>
      <c r="CC143" s="280" t="e">
        <f t="shared" si="337"/>
        <v>#VALUE!</v>
      </c>
      <c r="CD143" s="280" t="e">
        <f t="shared" si="338"/>
        <v>#VALUE!</v>
      </c>
      <c r="CE143" s="280" t="e">
        <f t="shared" si="339"/>
        <v>#VALUE!</v>
      </c>
      <c r="CF143" s="280" t="e">
        <f t="shared" si="340"/>
        <v>#VALUE!</v>
      </c>
      <c r="CG143" s="280" t="e">
        <f t="shared" si="341"/>
        <v>#VALUE!</v>
      </c>
      <c r="CH143" s="280" t="e">
        <f t="shared" si="342"/>
        <v>#VALUE!</v>
      </c>
      <c r="CI143" s="280" t="e">
        <f t="shared" si="343"/>
        <v>#VALUE!</v>
      </c>
      <c r="CJ143" s="280" t="e">
        <f t="shared" si="344"/>
        <v>#VALUE!</v>
      </c>
      <c r="CK143" s="280" t="e">
        <f t="shared" si="345"/>
        <v>#VALUE!</v>
      </c>
      <c r="CL143" s="280" t="e">
        <f t="shared" si="346"/>
        <v>#VALUE!</v>
      </c>
      <c r="CM143" s="279">
        <f t="shared" si="352"/>
        <v>0</v>
      </c>
      <c r="CO143" s="458" t="e">
        <v>#N/A</v>
      </c>
      <c r="CP143" s="458" t="e">
        <v>#N/A</v>
      </c>
      <c r="CQ143" s="458" t="e">
        <v>#N/A</v>
      </c>
      <c r="CR143" s="458" t="e">
        <v>#N/A</v>
      </c>
      <c r="CS143" s="458" t="e">
        <v>#N/A</v>
      </c>
      <c r="CT143" s="458" t="e">
        <v>#N/A</v>
      </c>
      <c r="CU143" s="458" t="e">
        <v>#N/A</v>
      </c>
      <c r="CV143" s="458" t="e">
        <v>#N/A</v>
      </c>
      <c r="CW143" s="458" t="e">
        <v>#N/A</v>
      </c>
      <c r="CX143" s="458" t="e">
        <v>#N/A</v>
      </c>
      <c r="CY143" s="458" t="e">
        <v>#N/A</v>
      </c>
      <c r="CZ143" s="458" t="e">
        <v>#N/A</v>
      </c>
      <c r="DA143" s="458" t="e">
        <v>#N/A</v>
      </c>
      <c r="DB143" s="458" t="e">
        <v>#N/A</v>
      </c>
      <c r="DC143" s="458" t="e">
        <v>#N/A</v>
      </c>
      <c r="DD143" s="458" t="e">
        <v>#N/A</v>
      </c>
      <c r="DE143" s="458" t="e">
        <v>#N/A</v>
      </c>
      <c r="DF143" s="458" t="e">
        <v>#N/A</v>
      </c>
      <c r="DG143" s="458" t="e">
        <v>#N/A</v>
      </c>
      <c r="DH143" s="458" t="e">
        <v>#N/A</v>
      </c>
      <c r="DI143" s="458" t="e">
        <v>#N/A</v>
      </c>
      <c r="DJ143" s="458" t="e">
        <v>#N/A</v>
      </c>
      <c r="DK143" s="458" t="e">
        <v>#N/A</v>
      </c>
      <c r="DL143" s="458" t="e">
        <v>#N/A</v>
      </c>
      <c r="DM143" s="458" t="e">
        <v>#N/A</v>
      </c>
      <c r="DN143" s="458" t="e">
        <v>#N/A</v>
      </c>
      <c r="DO143" s="400"/>
      <c r="DP143" s="462">
        <f t="shared" si="269"/>
        <v>109.64999999999999</v>
      </c>
      <c r="DQ143" s="462" t="str">
        <f t="shared" si="380"/>
        <v/>
      </c>
      <c r="DR143" s="462" t="str">
        <f t="shared" ref="DR143:EO143" si="383">IFERROR(CONCATENATE(ROUND($DP143,3),",",ROUND(ABS(DK115),3),",",ROUND(EM115,3)," "),"")</f>
        <v xml:space="preserve">109.65,8.9,0 </v>
      </c>
      <c r="DS143" s="462" t="str">
        <f t="shared" si="383"/>
        <v xml:space="preserve">109.65,9.76,0.5 </v>
      </c>
      <c r="DT143" s="462" t="str">
        <f t="shared" si="383"/>
        <v xml:space="preserve">109.65,10.2,1 </v>
      </c>
      <c r="DU143" s="462" t="str">
        <f t="shared" si="383"/>
        <v xml:space="preserve">109.65,10.5,1.5 </v>
      </c>
      <c r="DV143" s="462" t="str">
        <f t="shared" si="383"/>
        <v xml:space="preserve">109.65,10.7,2 </v>
      </c>
      <c r="DW143" s="462" t="str">
        <f t="shared" si="383"/>
        <v xml:space="preserve">109.65,11,4 </v>
      </c>
      <c r="DX143" s="462" t="str">
        <f t="shared" si="383"/>
        <v xml:space="preserve">109.65,11,6 </v>
      </c>
      <c r="DY143" s="462" t="str">
        <f t="shared" si="383"/>
        <v xml:space="preserve">109.65,11,8 </v>
      </c>
      <c r="DZ143" s="462" t="str">
        <f t="shared" si="383"/>
        <v xml:space="preserve">109.65,11,9.7 </v>
      </c>
      <c r="EA143" s="462" t="str">
        <f t="shared" si="383"/>
        <v xml:space="preserve">109.65,11,10 </v>
      </c>
      <c r="EB143" s="462" t="str">
        <f t="shared" si="383"/>
        <v xml:space="preserve">109.65,11,12 </v>
      </c>
      <c r="EC143" s="462" t="str">
        <f t="shared" si="383"/>
        <v xml:space="preserve">109.65,11,13 </v>
      </c>
      <c r="ED143" s="462" t="str">
        <f t="shared" si="383"/>
        <v/>
      </c>
      <c r="EE143" s="462" t="str">
        <f t="shared" si="383"/>
        <v/>
      </c>
      <c r="EF143" s="462" t="str">
        <f t="shared" si="383"/>
        <v/>
      </c>
      <c r="EG143" s="462" t="str">
        <f t="shared" si="383"/>
        <v/>
      </c>
      <c r="EH143" s="462" t="str">
        <f t="shared" si="383"/>
        <v/>
      </c>
      <c r="EI143" s="462" t="str">
        <f t="shared" si="383"/>
        <v/>
      </c>
      <c r="EJ143" s="462" t="str">
        <f t="shared" si="383"/>
        <v/>
      </c>
      <c r="EK143" s="462" t="str">
        <f t="shared" si="383"/>
        <v/>
      </c>
      <c r="EL143" s="462" t="str">
        <f t="shared" si="383"/>
        <v/>
      </c>
      <c r="EM143" s="462" t="str">
        <f t="shared" si="383"/>
        <v/>
      </c>
      <c r="EN143" s="462" t="str">
        <f t="shared" si="383"/>
        <v/>
      </c>
      <c r="EO143" s="462" t="str">
        <f t="shared" si="383"/>
        <v/>
      </c>
      <c r="EP143" s="462" t="str">
        <f t="shared" si="381"/>
        <v/>
      </c>
      <c r="ER143" s="461" t="str">
        <f t="shared" si="304"/>
        <v xml:space="preserve">109.65,8.9,0 109.65,9.76,0.5 109.65,10.2,1 109.65,10.5,1.5 109.65,10.7,2 109.65,11,4 109.65,11,6 109.65,11,8 109.65,11,9.7 109.65,11,10 109.65,11,12 109.65,11,13 </v>
      </c>
      <c r="ES143" s="189" t="str">
        <f t="shared" ca="1" si="348"/>
        <v xml:space="preserve">Spline 109.65,0,0 109.65,8.9,0 109.65,9.76,0.5 109.65,10.2,1 109.65,10.5,1.5 109.65,10.7,2 109.65,11,4 109.65,11,6 109.65,11,8 109.65,11,9.7 109.65,11,10 109.65,11,12 109.65,11,13  </v>
      </c>
      <c r="ET143" s="132" t="str">
        <f t="shared" ca="1" si="305"/>
        <v xml:space="preserve">Spline 109.65,0,0 109.65,8.9,0 109.65,9.76,0.5 109.65,10.2,1 109.65,10.5,1.5 109.65,10.7,2 109.65,11,4 109.65,11,6 109.65,11,8 109.65,11,9.7 109.65,11,10 109.65,11,12 109.65,11,13  </v>
      </c>
      <c r="EU143" s="132">
        <f ca="1">COUNTIF(BP_18,NA())</f>
        <v>0</v>
      </c>
      <c r="EV143" s="132">
        <f t="shared" ca="1" si="271"/>
        <v>0</v>
      </c>
      <c r="EW143" s="132">
        <v>18</v>
      </c>
      <c r="EX143" s="132" t="str">
        <f t="shared" si="272"/>
        <v xml:space="preserve">109.65,11,13 </v>
      </c>
      <c r="EY143" s="132" t="str">
        <f t="shared" ca="1" si="273"/>
        <v xml:space="preserve">Spline 109.65,0,0 109.65,11,13 109.65,11,12 109.65,11,10 109.65,11,9.7 109.65,11,8 109.65,11,6 109.65,11,4 109.65,10.7,2 109.65,10.5,1.5 109.65,10.2,1 109.65,9.76,0.5 109.65,8.9,0 </v>
      </c>
      <c r="EZ143" s="189" t="str">
        <f t="shared" si="306"/>
        <v xml:space="preserve">109.65,8.9,0 109.65,9.76,0.5 109.65,10.2,1 109.65,10.5,1.5 109.65,10.7,2 109.65,11,4 109.65,11,6 109.65,11,8 109.65,11,9.7 109.65,11,10 109.65,11,12 109.65,11,13  </v>
      </c>
      <c r="FB143" s="462">
        <f t="shared" si="274"/>
        <v>109.64999999999999</v>
      </c>
      <c r="FC143" s="464" t="str">
        <f t="shared" si="307"/>
        <v/>
      </c>
      <c r="FD143" s="462" t="str">
        <f t="shared" ref="FD143:GB143" si="384">IFERROR(CONCATENATE(ROUND($DP143,3),",",-ROUND(ABS(DK115),3),",",ROUND(EM115,3)," "),"")</f>
        <v xml:space="preserve">109.65,-8.9,0 </v>
      </c>
      <c r="FE143" s="462" t="str">
        <f t="shared" si="384"/>
        <v xml:space="preserve">109.65,-9.76,0.5 </v>
      </c>
      <c r="FF143" s="462" t="str">
        <f t="shared" si="384"/>
        <v xml:space="preserve">109.65,-10.2,1 </v>
      </c>
      <c r="FG143" s="462" t="str">
        <f t="shared" si="384"/>
        <v xml:space="preserve">109.65,-10.5,1.5 </v>
      </c>
      <c r="FH143" s="462" t="str">
        <f t="shared" si="384"/>
        <v xml:space="preserve">109.65,-10.7,2 </v>
      </c>
      <c r="FI143" s="462" t="str">
        <f t="shared" si="384"/>
        <v xml:space="preserve">109.65,-11,4 </v>
      </c>
      <c r="FJ143" s="462" t="str">
        <f t="shared" si="384"/>
        <v xml:space="preserve">109.65,-11,6 </v>
      </c>
      <c r="FK143" s="462" t="str">
        <f t="shared" si="384"/>
        <v xml:space="preserve">109.65,-11,8 </v>
      </c>
      <c r="FL143" s="462" t="str">
        <f t="shared" si="384"/>
        <v xml:space="preserve">109.65,-11,9.7 </v>
      </c>
      <c r="FM143" s="462" t="str">
        <f t="shared" si="384"/>
        <v xml:space="preserve">109.65,-11,10 </v>
      </c>
      <c r="FN143" s="462" t="str">
        <f t="shared" si="384"/>
        <v xml:space="preserve">109.65,-11,12 </v>
      </c>
      <c r="FO143" s="462" t="str">
        <f t="shared" si="384"/>
        <v xml:space="preserve">109.65,-11,13 </v>
      </c>
      <c r="FP143" s="462" t="str">
        <f t="shared" si="384"/>
        <v/>
      </c>
      <c r="FQ143" s="462" t="str">
        <f t="shared" si="384"/>
        <v/>
      </c>
      <c r="FR143" s="462" t="str">
        <f t="shared" si="384"/>
        <v/>
      </c>
      <c r="FS143" s="462" t="str">
        <f t="shared" si="384"/>
        <v/>
      </c>
      <c r="FT143" s="462" t="str">
        <f t="shared" si="384"/>
        <v/>
      </c>
      <c r="FU143" s="462" t="str">
        <f t="shared" si="384"/>
        <v/>
      </c>
      <c r="FV143" s="462" t="str">
        <f t="shared" si="384"/>
        <v/>
      </c>
      <c r="FW143" s="462" t="str">
        <f t="shared" si="384"/>
        <v/>
      </c>
      <c r="FX143" s="462" t="str">
        <f t="shared" si="384"/>
        <v/>
      </c>
      <c r="FY143" s="462" t="str">
        <f t="shared" si="384"/>
        <v/>
      </c>
      <c r="FZ143" s="462" t="str">
        <f t="shared" si="384"/>
        <v/>
      </c>
      <c r="GA143" s="462" t="str">
        <f t="shared" si="384"/>
        <v/>
      </c>
      <c r="GB143" s="462" t="str">
        <f t="shared" si="384"/>
        <v/>
      </c>
      <c r="GC143" s="132" t="str">
        <f t="shared" si="309"/>
        <v xml:space="preserve">109.65,11,13 109.65,11,12 109.65,11,10 109.65,11,9.7 109.65,11,8 109.65,11,6 109.65,11,4 109.65,10.7,2 109.65,10.5,1.5 109.65,10.2,1 109.65,9.76,0.5 109.65,8.9,0 </v>
      </c>
      <c r="GD143" s="132" t="str">
        <f t="shared" ca="1" si="276"/>
        <v>Spline 109.65,11,13 109.65,11,12 109.65,11,10 109.65,11,9.7 109.65,11,8 109.65,11,6 109.65,11,4 109.65,10.7,2 109.65,10.5,1.5 109.65,10.2,1 109.65,9.76,0.5 109.65,8.9,0 109.65,0,0</v>
      </c>
      <c r="GE143" s="465" t="str">
        <f t="shared" si="310"/>
        <v xml:space="preserve">109.65,-8.9,0 109.65,-9.76,0.5 109.65,-10.2,1 109.65,-10.5,1.5 109.65,-10.7,2 109.65,-11,4 109.65,-11,6 109.65,-11,8 109.65,-11,9.7 109.65,-11,10 109.65,-11,12 109.65,-11,13 </v>
      </c>
      <c r="GH143" s="132" t="str">
        <f t="shared" si="311"/>
        <v xml:space="preserve">Spline 109.65,11,13 109.65,11,12 109.65,11,10 109.65,11,9.7 109.65,11,8 109.65,11,6 109.65,11,4 109.65,10.7,2 109.65,10.5,1.5 109.65,10.2,1 109.65,9.76,0.5 109.65,8.9,0 T 109.65,0,0 </v>
      </c>
      <c r="GI143" s="132" t="str">
        <f t="shared" si="312"/>
        <v xml:space="preserve">Spline 109.65,8.9,0 109.65,0,0  Join 109.65,0,0  109.65,11,13 </v>
      </c>
      <c r="GP143" s="132" t="str">
        <f t="shared" si="277"/>
        <v xml:space="preserve">109.65,0,0 </v>
      </c>
      <c r="GQ143" s="132" t="str">
        <f t="shared" si="313"/>
        <v>Curve 109.65,11,13 109.65,11,12 109.65,11,10 109.65,11,9.7 109.65,11,8 109.65,11,6 109.65,11,4 109.65,10.7,2 109.65,10.5,1.5 109.65,10.2,1 109.65,9.76,0.5 109.65,8.9,0 109.65,0,0 _enter</v>
      </c>
    </row>
    <row r="144" spans="1:199" x14ac:dyDescent="0.25">
      <c r="A144" s="377" t="str">
        <f t="shared" si="379"/>
        <v xml:space="preserve">  </v>
      </c>
      <c r="B144" s="380" t="str">
        <f t="shared" si="278"/>
        <v/>
      </c>
      <c r="C144" s="380" t="str">
        <f t="shared" si="279"/>
        <v/>
      </c>
      <c r="D144" s="380" t="str">
        <f t="shared" si="280"/>
        <v/>
      </c>
      <c r="E144" s="380" t="str">
        <f t="shared" si="281"/>
        <v/>
      </c>
      <c r="F144" s="380" t="str">
        <f t="shared" si="282"/>
        <v/>
      </c>
      <c r="G144" s="380" t="str">
        <f t="shared" si="283"/>
        <v/>
      </c>
      <c r="H144" s="380" t="str">
        <f t="shared" si="284"/>
        <v/>
      </c>
      <c r="I144" s="380" t="str">
        <f t="shared" si="285"/>
        <v/>
      </c>
      <c r="J144" s="380" t="str">
        <f t="shared" si="286"/>
        <v/>
      </c>
      <c r="K144" s="380" t="str">
        <f t="shared" si="287"/>
        <v/>
      </c>
      <c r="L144" s="380" t="str">
        <f t="shared" si="288"/>
        <v/>
      </c>
      <c r="M144" s="380" t="str">
        <f t="shared" si="289"/>
        <v/>
      </c>
      <c r="N144" s="380" t="str">
        <f t="shared" si="290"/>
        <v/>
      </c>
      <c r="O144" s="380" t="str">
        <f t="shared" si="291"/>
        <v/>
      </c>
      <c r="P144" s="380" t="str">
        <f t="shared" si="292"/>
        <v/>
      </c>
      <c r="Q144" s="380" t="str">
        <f t="shared" si="293"/>
        <v/>
      </c>
      <c r="R144" s="380" t="str">
        <f t="shared" si="294"/>
        <v/>
      </c>
      <c r="S144" s="380" t="str">
        <f t="shared" si="295"/>
        <v/>
      </c>
      <c r="T144" s="380" t="str">
        <f t="shared" si="296"/>
        <v/>
      </c>
      <c r="U144" s="380" t="str">
        <f t="shared" si="297"/>
        <v/>
      </c>
      <c r="V144" s="380" t="str">
        <f t="shared" si="298"/>
        <v/>
      </c>
      <c r="W144" s="380" t="str">
        <f t="shared" si="299"/>
        <v/>
      </c>
      <c r="X144" s="380" t="str">
        <f t="shared" si="300"/>
        <v/>
      </c>
      <c r="Y144" s="380" t="str">
        <f t="shared" si="301"/>
        <v/>
      </c>
      <c r="Z144" s="398" t="str">
        <f t="shared" si="302"/>
        <v/>
      </c>
      <c r="AB144" s="248" t="str">
        <f t="shared" si="314"/>
        <v xml:space="preserve">  </v>
      </c>
      <c r="AC144" s="248" t="str">
        <f>Tools!B144</f>
        <v/>
      </c>
      <c r="AD144" s="248" t="str">
        <f>Tools!C144</f>
        <v/>
      </c>
      <c r="AE144" s="248" t="str">
        <f>Tools!D144</f>
        <v/>
      </c>
      <c r="AF144" s="248" t="str">
        <f>Tools!E144</f>
        <v/>
      </c>
      <c r="AG144" s="248" t="str">
        <f>Tools!F144</f>
        <v/>
      </c>
      <c r="AH144" s="248" t="str">
        <f>Tools!G144</f>
        <v/>
      </c>
      <c r="AI144" s="248" t="str">
        <f>Tools!H144</f>
        <v/>
      </c>
      <c r="AJ144" s="248" t="str">
        <f>Tools!I144</f>
        <v/>
      </c>
      <c r="AK144" s="248" t="str">
        <f>Tools!J144</f>
        <v/>
      </c>
      <c r="AL144" s="248" t="str">
        <f>Tools!K144</f>
        <v/>
      </c>
      <c r="AM144" s="248" t="str">
        <f>Tools!L144</f>
        <v/>
      </c>
      <c r="AN144" s="248" t="str">
        <f>Tools!M144</f>
        <v/>
      </c>
      <c r="AO144" s="248" t="str">
        <f>Tools!N144</f>
        <v/>
      </c>
      <c r="AP144" s="248" t="str">
        <f>Tools!O144</f>
        <v/>
      </c>
      <c r="AQ144" s="248" t="str">
        <f>Tools!P144</f>
        <v/>
      </c>
      <c r="AR144" s="248" t="str">
        <f>Tools!Q144</f>
        <v/>
      </c>
      <c r="AS144" s="248" t="str">
        <f>Tools!R144</f>
        <v/>
      </c>
      <c r="AT144" s="248" t="str">
        <f>Tools!S144</f>
        <v/>
      </c>
      <c r="AU144" s="248" t="str">
        <f>Tools!T144</f>
        <v/>
      </c>
      <c r="AV144" s="248" t="str">
        <f>Tools!U144</f>
        <v/>
      </c>
      <c r="AW144" s="248" t="str">
        <f>Tools!V144</f>
        <v/>
      </c>
      <c r="AX144" s="248" t="str">
        <f>Tools!W144</f>
        <v/>
      </c>
      <c r="AY144" s="248" t="str">
        <f>Tools!X144</f>
        <v/>
      </c>
      <c r="AZ144" s="248" t="str">
        <f>Tools!Y144</f>
        <v/>
      </c>
      <c r="BA144" s="399" t="str">
        <f>Tools!Z144</f>
        <v/>
      </c>
      <c r="BC144" s="277">
        <f>Offset!Q19</f>
        <v>14</v>
      </c>
      <c r="BD144" s="280" t="str">
        <f>IF(ISNUMBER(VLOOKUP(BC144,Offset!Q$2:R$27,2,FALSE)),VLOOKUP(BC144,Offset!Q$2:R$27,2,FALSE),"-")</f>
        <v>-</v>
      </c>
      <c r="BE144" s="280" t="e">
        <f t="shared" si="350"/>
        <v>#VALUE!</v>
      </c>
      <c r="BF144" s="280" t="str">
        <f t="shared" si="316"/>
        <v>#NA</v>
      </c>
      <c r="BG144" s="280" t="str">
        <f t="shared" si="317"/>
        <v>#NA</v>
      </c>
      <c r="BH144" s="280" t="str">
        <f t="shared" si="318"/>
        <v>#NA</v>
      </c>
      <c r="BI144" s="280" t="str">
        <f t="shared" si="319"/>
        <v>#NA</v>
      </c>
      <c r="BJ144" s="280" t="str">
        <f t="shared" si="320"/>
        <v>#NA</v>
      </c>
      <c r="BK144" s="280" t="str">
        <f t="shared" si="321"/>
        <v>#NA</v>
      </c>
      <c r="BL144" s="280" t="str">
        <f t="shared" si="322"/>
        <v>#NA</v>
      </c>
      <c r="BM144" s="280"/>
      <c r="BN144" s="280" t="e">
        <f t="shared" si="323"/>
        <v>#VALUE!</v>
      </c>
      <c r="BO144" s="280" t="e">
        <f t="shared" si="324"/>
        <v>#VALUE!</v>
      </c>
      <c r="BP144" s="280" t="e">
        <f t="shared" si="325"/>
        <v>#VALUE!</v>
      </c>
      <c r="BQ144" s="280" t="e">
        <f t="shared" si="326"/>
        <v>#VALUE!</v>
      </c>
      <c r="BR144" s="280" t="e">
        <f t="shared" si="327"/>
        <v>#VALUE!</v>
      </c>
      <c r="BS144" s="280" t="e">
        <f t="shared" si="328"/>
        <v>#VALUE!</v>
      </c>
      <c r="BT144" s="280" t="e">
        <f t="shared" si="329"/>
        <v>#VALUE!</v>
      </c>
      <c r="BU144" s="280" t="e">
        <f t="shared" si="330"/>
        <v>#VALUE!</v>
      </c>
      <c r="BV144" s="280" t="e">
        <f t="shared" si="331"/>
        <v>#VALUE!</v>
      </c>
      <c r="BW144" s="280" t="e">
        <f t="shared" si="332"/>
        <v>#VALUE!</v>
      </c>
      <c r="BX144" s="280" t="e">
        <f t="shared" si="351"/>
        <v>#VALUE!</v>
      </c>
      <c r="BY144" s="280" t="e">
        <f t="shared" si="333"/>
        <v>#VALUE!</v>
      </c>
      <c r="BZ144" s="280" t="e">
        <f t="shared" si="334"/>
        <v>#VALUE!</v>
      </c>
      <c r="CA144" s="280" t="e">
        <f t="shared" si="335"/>
        <v>#VALUE!</v>
      </c>
      <c r="CB144" s="280" t="e">
        <f t="shared" si="336"/>
        <v>#VALUE!</v>
      </c>
      <c r="CC144" s="280" t="e">
        <f t="shared" si="337"/>
        <v>#VALUE!</v>
      </c>
      <c r="CD144" s="280" t="e">
        <f t="shared" si="338"/>
        <v>#VALUE!</v>
      </c>
      <c r="CE144" s="280" t="e">
        <f t="shared" si="339"/>
        <v>#VALUE!</v>
      </c>
      <c r="CF144" s="280" t="e">
        <f t="shared" si="340"/>
        <v>#VALUE!</v>
      </c>
      <c r="CG144" s="280" t="e">
        <f t="shared" si="341"/>
        <v>#VALUE!</v>
      </c>
      <c r="CH144" s="280" t="e">
        <f t="shared" si="342"/>
        <v>#VALUE!</v>
      </c>
      <c r="CI144" s="280" t="e">
        <f t="shared" si="343"/>
        <v>#VALUE!</v>
      </c>
      <c r="CJ144" s="280" t="e">
        <f t="shared" si="344"/>
        <v>#VALUE!</v>
      </c>
      <c r="CK144" s="280" t="e">
        <f t="shared" si="345"/>
        <v>#VALUE!</v>
      </c>
      <c r="CL144" s="280" t="e">
        <f t="shared" si="346"/>
        <v>#VALUE!</v>
      </c>
      <c r="CM144" s="279">
        <f t="shared" si="352"/>
        <v>0</v>
      </c>
      <c r="CO144" s="458" t="e">
        <v>#N/A</v>
      </c>
      <c r="CP144" s="458" t="e">
        <v>#N/A</v>
      </c>
      <c r="CQ144" s="458" t="e">
        <v>#N/A</v>
      </c>
      <c r="CR144" s="458" t="e">
        <v>#N/A</v>
      </c>
      <c r="CS144" s="458" t="e">
        <v>#N/A</v>
      </c>
      <c r="CT144" s="458" t="e">
        <v>#N/A</v>
      </c>
      <c r="CU144" s="458" t="e">
        <v>#N/A</v>
      </c>
      <c r="CV144" s="458" t="e">
        <v>#N/A</v>
      </c>
      <c r="CW144" s="458" t="e">
        <v>#N/A</v>
      </c>
      <c r="CX144" s="458" t="e">
        <v>#N/A</v>
      </c>
      <c r="CY144" s="458" t="e">
        <v>#N/A</v>
      </c>
      <c r="CZ144" s="458" t="e">
        <v>#N/A</v>
      </c>
      <c r="DA144" s="458" t="e">
        <v>#N/A</v>
      </c>
      <c r="DB144" s="458" t="e">
        <v>#N/A</v>
      </c>
      <c r="DC144" s="458" t="e">
        <v>#N/A</v>
      </c>
      <c r="DD144" s="458" t="e">
        <v>#N/A</v>
      </c>
      <c r="DE144" s="458" t="e">
        <v>#N/A</v>
      </c>
      <c r="DF144" s="458" t="e">
        <v>#N/A</v>
      </c>
      <c r="DG144" s="458" t="e">
        <v>#N/A</v>
      </c>
      <c r="DH144" s="458" t="e">
        <v>#N/A</v>
      </c>
      <c r="DI144" s="458" t="e">
        <v>#N/A</v>
      </c>
      <c r="DJ144" s="458" t="e">
        <v>#N/A</v>
      </c>
      <c r="DK144" s="458" t="e">
        <v>#N/A</v>
      </c>
      <c r="DL144" s="458" t="e">
        <v>#N/A</v>
      </c>
      <c r="DM144" s="458" t="e">
        <v>#N/A</v>
      </c>
      <c r="DN144" s="458" t="e">
        <v>#N/A</v>
      </c>
      <c r="DO144" s="400"/>
      <c r="DP144" s="462">
        <f t="shared" si="269"/>
        <v>116.96</v>
      </c>
      <c r="DQ144" s="462" t="str">
        <f t="shared" si="380"/>
        <v/>
      </c>
      <c r="DR144" s="462" t="str">
        <f t="shared" ref="DR144:EO144" si="385">IFERROR(CONCATENATE(ROUND($DP144,3),",",ROUND(ABS(DK116),3),",",ROUND(EM116,3)," "),"")</f>
        <v xml:space="preserve">116.96,7.6,0 </v>
      </c>
      <c r="DS144" s="462" t="str">
        <f t="shared" si="385"/>
        <v xml:space="preserve">116.96,8.64,0.5 </v>
      </c>
      <c r="DT144" s="462" t="str">
        <f t="shared" si="385"/>
        <v xml:space="preserve">116.96,9.27,1 </v>
      </c>
      <c r="DU144" s="462" t="str">
        <f t="shared" si="385"/>
        <v xml:space="preserve">116.96,9.66,1.5 </v>
      </c>
      <c r="DV144" s="462" t="str">
        <f t="shared" si="385"/>
        <v xml:space="preserve">116.96,9.91,2 </v>
      </c>
      <c r="DW144" s="462" t="str">
        <f t="shared" si="385"/>
        <v xml:space="preserve">116.96,10.5,4 </v>
      </c>
      <c r="DX144" s="462" t="str">
        <f t="shared" si="385"/>
        <v xml:space="preserve">116.96,10.7,6 </v>
      </c>
      <c r="DY144" s="462" t="str">
        <f t="shared" si="385"/>
        <v xml:space="preserve">116.96,10.8,8 </v>
      </c>
      <c r="DZ144" s="462" t="str">
        <f t="shared" si="385"/>
        <v xml:space="preserve">116.96,10.89,9.7 </v>
      </c>
      <c r="EA144" s="462" t="str">
        <f t="shared" si="385"/>
        <v xml:space="preserve">116.96,10.9,10 </v>
      </c>
      <c r="EB144" s="462" t="str">
        <f t="shared" si="385"/>
        <v xml:space="preserve">116.96,11,12 </v>
      </c>
      <c r="EC144" s="462" t="str">
        <f t="shared" si="385"/>
        <v xml:space="preserve">116.96,11,13 </v>
      </c>
      <c r="ED144" s="462" t="str">
        <f t="shared" si="385"/>
        <v/>
      </c>
      <c r="EE144" s="462" t="str">
        <f t="shared" si="385"/>
        <v/>
      </c>
      <c r="EF144" s="462" t="str">
        <f t="shared" si="385"/>
        <v/>
      </c>
      <c r="EG144" s="462" t="str">
        <f t="shared" si="385"/>
        <v/>
      </c>
      <c r="EH144" s="462" t="str">
        <f t="shared" si="385"/>
        <v/>
      </c>
      <c r="EI144" s="462" t="str">
        <f t="shared" si="385"/>
        <v/>
      </c>
      <c r="EJ144" s="462" t="str">
        <f t="shared" si="385"/>
        <v/>
      </c>
      <c r="EK144" s="462" t="str">
        <f t="shared" si="385"/>
        <v/>
      </c>
      <c r="EL144" s="462" t="str">
        <f t="shared" si="385"/>
        <v/>
      </c>
      <c r="EM144" s="462" t="str">
        <f t="shared" si="385"/>
        <v/>
      </c>
      <c r="EN144" s="462" t="str">
        <f t="shared" si="385"/>
        <v/>
      </c>
      <c r="EO144" s="462" t="str">
        <f t="shared" si="385"/>
        <v/>
      </c>
      <c r="EP144" s="462" t="str">
        <f t="shared" si="381"/>
        <v/>
      </c>
      <c r="ER144" s="461" t="str">
        <f t="shared" si="304"/>
        <v xml:space="preserve">116.96,7.6,0 116.96,8.64,0.5 116.96,9.27,1 116.96,9.66,1.5 116.96,9.91,2 116.96,10.5,4 116.96,10.7,6 116.96,10.8,8 116.96,10.89,9.7 116.96,10.9,10 116.96,11,12 116.96,11,13 </v>
      </c>
      <c r="ES144" s="189" t="str">
        <f t="shared" ca="1" si="348"/>
        <v xml:space="preserve">Spline 116.96,0,0 116.96,7.6,0 116.96,8.64,0.5 116.96,9.27,1 116.96,9.66,1.5 116.96,9.91,2 116.96,10.5,4 116.96,10.7,6 116.96,10.8,8 116.96,10.89,9.7 116.96,10.9,10 116.96,11,12 116.96,11,13  </v>
      </c>
      <c r="ET144" s="132" t="str">
        <f t="shared" ca="1" si="305"/>
        <v xml:space="preserve">Spline 116.96,0,0 116.96,7.6,0 116.96,8.64,0.5 116.96,9.27,1 116.96,9.66,1.5 116.96,9.91,2 116.96,10.5,4 116.96,10.7,6 116.96,10.8,8 116.96,10.89,9.7 116.96,10.9,10 116.96,11,12 116.96,11,13  </v>
      </c>
      <c r="EU144" s="132">
        <f ca="1">COUNTIF(BP_19,NA())</f>
        <v>0</v>
      </c>
      <c r="EV144" s="132">
        <f t="shared" ca="1" si="271"/>
        <v>0</v>
      </c>
      <c r="EW144" s="132">
        <v>19</v>
      </c>
      <c r="EX144" s="132" t="str">
        <f t="shared" si="272"/>
        <v xml:space="preserve">116.96,11,13 </v>
      </c>
      <c r="EY144" s="132" t="str">
        <f t="shared" ca="1" si="273"/>
        <v xml:space="preserve">Spline 116.96,0,0 116.96,11,13 116.96,11,12 116.96,10.9,10 116.96,10.89,9.7 116.96,10.8,8 116.96,10.7,6 116.96,10.5,4 116.96,9.91,2 116.96,9.66,1.5 116.96,9.27,1 116.96,8.64,0.5 116.96,7.6,0 </v>
      </c>
      <c r="EZ144" s="189" t="str">
        <f t="shared" si="306"/>
        <v xml:space="preserve">116.96,7.6,0 116.96,8.64,0.5 116.96,9.27,1 116.96,9.66,1.5 116.96,9.91,2 116.96,10.5,4 116.96,10.7,6 116.96,10.8,8 116.96,10.89,9.7 116.96,10.9,10 116.96,11,12 116.96,11,13  </v>
      </c>
      <c r="FB144" s="462">
        <f t="shared" si="274"/>
        <v>116.96</v>
      </c>
      <c r="FC144" s="464" t="str">
        <f t="shared" si="307"/>
        <v/>
      </c>
      <c r="FD144" s="462" t="str">
        <f t="shared" ref="FD144:GB144" si="386">IFERROR(CONCATENATE(ROUND($DP144,3),",",-ROUND(ABS(DK116),3),",",ROUND(EM116,3)," "),"")</f>
        <v xml:space="preserve">116.96,-7.6,0 </v>
      </c>
      <c r="FE144" s="462" t="str">
        <f t="shared" si="386"/>
        <v xml:space="preserve">116.96,-8.64,0.5 </v>
      </c>
      <c r="FF144" s="462" t="str">
        <f t="shared" si="386"/>
        <v xml:space="preserve">116.96,-9.27,1 </v>
      </c>
      <c r="FG144" s="462" t="str">
        <f t="shared" si="386"/>
        <v xml:space="preserve">116.96,-9.66,1.5 </v>
      </c>
      <c r="FH144" s="462" t="str">
        <f t="shared" si="386"/>
        <v xml:space="preserve">116.96,-9.91,2 </v>
      </c>
      <c r="FI144" s="462" t="str">
        <f t="shared" si="386"/>
        <v xml:space="preserve">116.96,-10.5,4 </v>
      </c>
      <c r="FJ144" s="462" t="str">
        <f t="shared" si="386"/>
        <v xml:space="preserve">116.96,-10.7,6 </v>
      </c>
      <c r="FK144" s="462" t="str">
        <f t="shared" si="386"/>
        <v xml:space="preserve">116.96,-10.8,8 </v>
      </c>
      <c r="FL144" s="462" t="str">
        <f t="shared" si="386"/>
        <v xml:space="preserve">116.96,-10.89,9.7 </v>
      </c>
      <c r="FM144" s="462" t="str">
        <f t="shared" si="386"/>
        <v xml:space="preserve">116.96,-10.9,10 </v>
      </c>
      <c r="FN144" s="462" t="str">
        <f t="shared" si="386"/>
        <v xml:space="preserve">116.96,-11,12 </v>
      </c>
      <c r="FO144" s="462" t="str">
        <f t="shared" si="386"/>
        <v xml:space="preserve">116.96,-11,13 </v>
      </c>
      <c r="FP144" s="462" t="str">
        <f t="shared" si="386"/>
        <v/>
      </c>
      <c r="FQ144" s="462" t="str">
        <f t="shared" si="386"/>
        <v/>
      </c>
      <c r="FR144" s="462" t="str">
        <f t="shared" si="386"/>
        <v/>
      </c>
      <c r="FS144" s="462" t="str">
        <f t="shared" si="386"/>
        <v/>
      </c>
      <c r="FT144" s="462" t="str">
        <f t="shared" si="386"/>
        <v/>
      </c>
      <c r="FU144" s="462" t="str">
        <f t="shared" si="386"/>
        <v/>
      </c>
      <c r="FV144" s="462" t="str">
        <f t="shared" si="386"/>
        <v/>
      </c>
      <c r="FW144" s="462" t="str">
        <f t="shared" si="386"/>
        <v/>
      </c>
      <c r="FX144" s="462" t="str">
        <f t="shared" si="386"/>
        <v/>
      </c>
      <c r="FY144" s="462" t="str">
        <f t="shared" si="386"/>
        <v/>
      </c>
      <c r="FZ144" s="462" t="str">
        <f t="shared" si="386"/>
        <v/>
      </c>
      <c r="GA144" s="462" t="str">
        <f t="shared" si="386"/>
        <v/>
      </c>
      <c r="GB144" s="462" t="str">
        <f t="shared" si="386"/>
        <v/>
      </c>
      <c r="GC144" s="132" t="str">
        <f t="shared" si="309"/>
        <v xml:space="preserve">116.96,11,13 116.96,11,12 116.96,10.9,10 116.96,10.89,9.7 116.96,10.8,8 116.96,10.7,6 116.96,10.5,4 116.96,9.91,2 116.96,9.66,1.5 116.96,9.27,1 116.96,8.64,0.5 116.96,7.6,0 </v>
      </c>
      <c r="GD144" s="132" t="str">
        <f t="shared" ca="1" si="276"/>
        <v>Spline 116.96,11,13 116.96,11,12 116.96,10.9,10 116.96,10.89,9.7 116.96,10.8,8 116.96,10.7,6 116.96,10.5,4 116.96,9.91,2 116.96,9.66,1.5 116.96,9.27,1 116.96,8.64,0.5 116.96,7.6,0 116.96,0,0</v>
      </c>
      <c r="GE144" s="465" t="str">
        <f t="shared" si="310"/>
        <v xml:space="preserve">116.96,-7.6,0 116.96,-8.64,0.5 116.96,-9.27,1 116.96,-9.66,1.5 116.96,-9.91,2 116.96,-10.5,4 116.96,-10.7,6 116.96,-10.8,8 116.96,-10.89,9.7 116.96,-10.9,10 116.96,-11,12 116.96,-11,13 </v>
      </c>
      <c r="GH144" s="132" t="str">
        <f t="shared" si="311"/>
        <v xml:space="preserve">Spline 116.96,11,13 116.96,11,12 116.96,10.9,10 116.96,10.89,9.7 116.96,10.8,8 116.96,10.7,6 116.96,10.5,4 116.96,9.91,2 116.96,9.66,1.5 116.96,9.27,1 116.96,8.64,0.5 116.96,7.6,0 T 116.96,0,0 </v>
      </c>
      <c r="GI144" s="132" t="str">
        <f t="shared" si="312"/>
        <v xml:space="preserve">Spline 116.96,7.6,0 116.96,0,0  Join 116.96,0,0  116.96,11,13 </v>
      </c>
      <c r="GP144" s="132" t="str">
        <f t="shared" si="277"/>
        <v xml:space="preserve">116.96,0,0 </v>
      </c>
      <c r="GQ144" s="132" t="str">
        <f t="shared" si="313"/>
        <v>Curve 116.96,11,13 116.96,11,12 116.96,10.9,10 116.96,10.89,9.7 116.96,10.8,8 116.96,10.7,6 116.96,10.5,4 116.96,9.91,2 116.96,9.66,1.5 116.96,9.27,1 116.96,8.64,0.5 116.96,7.6,0 116.96,0,0 _enter</v>
      </c>
    </row>
    <row r="145" spans="1:199" x14ac:dyDescent="0.25">
      <c r="A145" s="377" t="str">
        <f t="shared" si="379"/>
        <v xml:space="preserve">  </v>
      </c>
      <c r="B145" s="380" t="str">
        <f t="shared" si="278"/>
        <v/>
      </c>
      <c r="C145" s="380" t="str">
        <f t="shared" si="279"/>
        <v/>
      </c>
      <c r="D145" s="380" t="str">
        <f t="shared" si="280"/>
        <v/>
      </c>
      <c r="E145" s="380" t="str">
        <f t="shared" si="281"/>
        <v/>
      </c>
      <c r="F145" s="380" t="str">
        <f t="shared" si="282"/>
        <v/>
      </c>
      <c r="G145" s="380" t="str">
        <f t="shared" si="283"/>
        <v/>
      </c>
      <c r="H145" s="380" t="str">
        <f t="shared" si="284"/>
        <v/>
      </c>
      <c r="I145" s="380" t="str">
        <f t="shared" si="285"/>
        <v/>
      </c>
      <c r="J145" s="380" t="str">
        <f t="shared" si="286"/>
        <v/>
      </c>
      <c r="K145" s="380" t="str">
        <f t="shared" si="287"/>
        <v/>
      </c>
      <c r="L145" s="380" t="str">
        <f t="shared" si="288"/>
        <v/>
      </c>
      <c r="M145" s="380" t="str">
        <f t="shared" si="289"/>
        <v/>
      </c>
      <c r="N145" s="380" t="str">
        <f t="shared" si="290"/>
        <v/>
      </c>
      <c r="O145" s="380" t="str">
        <f t="shared" si="291"/>
        <v/>
      </c>
      <c r="P145" s="380" t="str">
        <f t="shared" si="292"/>
        <v/>
      </c>
      <c r="Q145" s="380" t="str">
        <f t="shared" si="293"/>
        <v/>
      </c>
      <c r="R145" s="380" t="str">
        <f t="shared" si="294"/>
        <v/>
      </c>
      <c r="S145" s="380" t="str">
        <f t="shared" si="295"/>
        <v/>
      </c>
      <c r="T145" s="380" t="str">
        <f t="shared" si="296"/>
        <v/>
      </c>
      <c r="U145" s="380" t="str">
        <f t="shared" si="297"/>
        <v/>
      </c>
      <c r="V145" s="380" t="str">
        <f t="shared" si="298"/>
        <v/>
      </c>
      <c r="W145" s="380" t="str">
        <f t="shared" si="299"/>
        <v/>
      </c>
      <c r="X145" s="380" t="str">
        <f t="shared" si="300"/>
        <v/>
      </c>
      <c r="Y145" s="380" t="str">
        <f t="shared" si="301"/>
        <v/>
      </c>
      <c r="Z145" s="398" t="str">
        <f t="shared" si="302"/>
        <v/>
      </c>
      <c r="AB145" s="248" t="str">
        <f t="shared" si="314"/>
        <v xml:space="preserve">  </v>
      </c>
      <c r="AC145" s="248" t="str">
        <f>Tools!B145</f>
        <v/>
      </c>
      <c r="AD145" s="248" t="str">
        <f>Tools!C145</f>
        <v/>
      </c>
      <c r="AE145" s="248" t="str">
        <f>Tools!D145</f>
        <v/>
      </c>
      <c r="AF145" s="248" t="str">
        <f>Tools!E145</f>
        <v/>
      </c>
      <c r="AG145" s="248" t="str">
        <f>Tools!F145</f>
        <v/>
      </c>
      <c r="AH145" s="248" t="str">
        <f>Tools!G145</f>
        <v/>
      </c>
      <c r="AI145" s="248" t="str">
        <f>Tools!H145</f>
        <v/>
      </c>
      <c r="AJ145" s="248" t="str">
        <f>Tools!I145</f>
        <v/>
      </c>
      <c r="AK145" s="248" t="str">
        <f>Tools!J145</f>
        <v/>
      </c>
      <c r="AL145" s="248" t="str">
        <f>Tools!K145</f>
        <v/>
      </c>
      <c r="AM145" s="248" t="str">
        <f>Tools!L145</f>
        <v/>
      </c>
      <c r="AN145" s="248" t="str">
        <f>Tools!M145</f>
        <v/>
      </c>
      <c r="AO145" s="248" t="str">
        <f>Tools!N145</f>
        <v/>
      </c>
      <c r="AP145" s="248" t="str">
        <f>Tools!O145</f>
        <v/>
      </c>
      <c r="AQ145" s="248" t="str">
        <f>Tools!P145</f>
        <v/>
      </c>
      <c r="AR145" s="248" t="str">
        <f>Tools!Q145</f>
        <v/>
      </c>
      <c r="AS145" s="248" t="str">
        <f>Tools!R145</f>
        <v/>
      </c>
      <c r="AT145" s="248" t="str">
        <f>Tools!S145</f>
        <v/>
      </c>
      <c r="AU145" s="248" t="str">
        <f>Tools!T145</f>
        <v/>
      </c>
      <c r="AV145" s="248" t="str">
        <f>Tools!U145</f>
        <v/>
      </c>
      <c r="AW145" s="248" t="str">
        <f>Tools!V145</f>
        <v/>
      </c>
      <c r="AX145" s="248" t="str">
        <f>Tools!W145</f>
        <v/>
      </c>
      <c r="AY145" s="248" t="str">
        <f>Tools!X145</f>
        <v/>
      </c>
      <c r="AZ145" s="248" t="str">
        <f>Tools!Y145</f>
        <v/>
      </c>
      <c r="BA145" s="399" t="str">
        <f>Tools!Z145</f>
        <v/>
      </c>
      <c r="BC145" s="277">
        <f>Offset!Q20</f>
        <v>15</v>
      </c>
      <c r="BD145" s="280" t="str">
        <f>IF(ISNUMBER(VLOOKUP(BC145,Offset!Q$2:R$27,2,FALSE)),VLOOKUP(BC145,Offset!Q$2:R$27,2,FALSE),"-")</f>
        <v>-</v>
      </c>
      <c r="BE145" s="280" t="e">
        <f t="shared" si="350"/>
        <v>#VALUE!</v>
      </c>
      <c r="BF145" s="280" t="str">
        <f t="shared" si="316"/>
        <v>#NA</v>
      </c>
      <c r="BG145" s="280" t="str">
        <f t="shared" si="317"/>
        <v>#NA</v>
      </c>
      <c r="BH145" s="280" t="str">
        <f t="shared" si="318"/>
        <v>#NA</v>
      </c>
      <c r="BI145" s="280" t="str">
        <f t="shared" si="319"/>
        <v>#NA</v>
      </c>
      <c r="BJ145" s="280" t="str">
        <f t="shared" si="320"/>
        <v>#NA</v>
      </c>
      <c r="BK145" s="280" t="str">
        <f t="shared" si="321"/>
        <v>#NA</v>
      </c>
      <c r="BL145" s="280" t="str">
        <f t="shared" si="322"/>
        <v>#NA</v>
      </c>
      <c r="BM145" s="280"/>
      <c r="BN145" s="280" t="e">
        <f t="shared" si="323"/>
        <v>#VALUE!</v>
      </c>
      <c r="BO145" s="280" t="e">
        <f t="shared" si="324"/>
        <v>#VALUE!</v>
      </c>
      <c r="BP145" s="280" t="e">
        <f t="shared" si="325"/>
        <v>#VALUE!</v>
      </c>
      <c r="BQ145" s="280" t="e">
        <f t="shared" si="326"/>
        <v>#VALUE!</v>
      </c>
      <c r="BR145" s="280" t="e">
        <f t="shared" si="327"/>
        <v>#VALUE!</v>
      </c>
      <c r="BS145" s="280" t="e">
        <f t="shared" si="328"/>
        <v>#VALUE!</v>
      </c>
      <c r="BT145" s="280" t="e">
        <f t="shared" si="329"/>
        <v>#VALUE!</v>
      </c>
      <c r="BU145" s="280" t="e">
        <f t="shared" si="330"/>
        <v>#VALUE!</v>
      </c>
      <c r="BV145" s="280" t="e">
        <f t="shared" si="331"/>
        <v>#VALUE!</v>
      </c>
      <c r="BW145" s="280" t="e">
        <f t="shared" si="332"/>
        <v>#VALUE!</v>
      </c>
      <c r="BX145" s="280" t="e">
        <f t="shared" si="351"/>
        <v>#VALUE!</v>
      </c>
      <c r="BY145" s="280" t="e">
        <f t="shared" si="333"/>
        <v>#VALUE!</v>
      </c>
      <c r="BZ145" s="280" t="e">
        <f t="shared" si="334"/>
        <v>#VALUE!</v>
      </c>
      <c r="CA145" s="280" t="e">
        <f t="shared" si="335"/>
        <v>#VALUE!</v>
      </c>
      <c r="CB145" s="280" t="e">
        <f t="shared" si="336"/>
        <v>#VALUE!</v>
      </c>
      <c r="CC145" s="280" t="e">
        <f t="shared" si="337"/>
        <v>#VALUE!</v>
      </c>
      <c r="CD145" s="280" t="e">
        <f t="shared" si="338"/>
        <v>#VALUE!</v>
      </c>
      <c r="CE145" s="280" t="e">
        <f t="shared" si="339"/>
        <v>#VALUE!</v>
      </c>
      <c r="CF145" s="280" t="e">
        <f t="shared" si="340"/>
        <v>#VALUE!</v>
      </c>
      <c r="CG145" s="280" t="e">
        <f t="shared" si="341"/>
        <v>#VALUE!</v>
      </c>
      <c r="CH145" s="280" t="e">
        <f t="shared" si="342"/>
        <v>#VALUE!</v>
      </c>
      <c r="CI145" s="280" t="e">
        <f t="shared" si="343"/>
        <v>#VALUE!</v>
      </c>
      <c r="CJ145" s="280" t="e">
        <f t="shared" si="344"/>
        <v>#VALUE!</v>
      </c>
      <c r="CK145" s="280" t="e">
        <f t="shared" si="345"/>
        <v>#VALUE!</v>
      </c>
      <c r="CL145" s="280" t="e">
        <f t="shared" si="346"/>
        <v>#VALUE!</v>
      </c>
      <c r="CM145" s="279">
        <f t="shared" si="352"/>
        <v>0</v>
      </c>
      <c r="CO145" s="458" t="e">
        <v>#N/A</v>
      </c>
      <c r="CP145" s="458" t="e">
        <v>#N/A</v>
      </c>
      <c r="CQ145" s="458" t="e">
        <v>#N/A</v>
      </c>
      <c r="CR145" s="458" t="e">
        <v>#N/A</v>
      </c>
      <c r="CS145" s="458" t="e">
        <v>#N/A</v>
      </c>
      <c r="CT145" s="458" t="e">
        <v>#N/A</v>
      </c>
      <c r="CU145" s="458" t="e">
        <v>#N/A</v>
      </c>
      <c r="CV145" s="458" t="e">
        <v>#N/A</v>
      </c>
      <c r="CW145" s="458" t="e">
        <v>#N/A</v>
      </c>
      <c r="CX145" s="458" t="e">
        <v>#N/A</v>
      </c>
      <c r="CY145" s="458" t="e">
        <v>#N/A</v>
      </c>
      <c r="CZ145" s="458" t="e">
        <v>#N/A</v>
      </c>
      <c r="DA145" s="458" t="e">
        <v>#N/A</v>
      </c>
      <c r="DB145" s="458" t="e">
        <v>#N/A</v>
      </c>
      <c r="DC145" s="458" t="e">
        <v>#N/A</v>
      </c>
      <c r="DD145" s="458" t="e">
        <v>#N/A</v>
      </c>
      <c r="DE145" s="458" t="e">
        <v>#N/A</v>
      </c>
      <c r="DF145" s="458" t="e">
        <v>#N/A</v>
      </c>
      <c r="DG145" s="458" t="e">
        <v>#N/A</v>
      </c>
      <c r="DH145" s="458" t="e">
        <v>#N/A</v>
      </c>
      <c r="DI145" s="458" t="e">
        <v>#N/A</v>
      </c>
      <c r="DJ145" s="458" t="e">
        <v>#N/A</v>
      </c>
      <c r="DK145" s="458" t="e">
        <v>#N/A</v>
      </c>
      <c r="DL145" s="458" t="e">
        <v>#N/A</v>
      </c>
      <c r="DM145" s="458" t="e">
        <v>#N/A</v>
      </c>
      <c r="DN145" s="458" t="e">
        <v>#N/A</v>
      </c>
      <c r="DO145" s="400"/>
      <c r="DP145" s="462">
        <f t="shared" si="269"/>
        <v>124.27</v>
      </c>
      <c r="DQ145" s="462" t="str">
        <f t="shared" si="380"/>
        <v/>
      </c>
      <c r="DR145" s="462" t="str">
        <f t="shared" ref="DR145:EO145" si="387">IFERROR(CONCATENATE(ROUND($DP145,3),",",ROUND(ABS(DK117),3),",",ROUND(EM117,3)," "),"")</f>
        <v xml:space="preserve">124.27,5.6,0 </v>
      </c>
      <c r="DS145" s="462" t="str">
        <f t="shared" si="387"/>
        <v xml:space="preserve">124.27,6.89,0.5 </v>
      </c>
      <c r="DT145" s="462" t="str">
        <f t="shared" si="387"/>
        <v xml:space="preserve">124.27,7.56,1 </v>
      </c>
      <c r="DU145" s="462" t="str">
        <f t="shared" si="387"/>
        <v xml:space="preserve">124.27,8.04,1.5 </v>
      </c>
      <c r="DV145" s="462" t="str">
        <f t="shared" si="387"/>
        <v xml:space="preserve">124.27,8.42,2 </v>
      </c>
      <c r="DW145" s="462" t="str">
        <f t="shared" si="387"/>
        <v xml:space="preserve">124.27,9.32,4 </v>
      </c>
      <c r="DX145" s="462" t="str">
        <f t="shared" si="387"/>
        <v xml:space="preserve">124.27,9.69,6 </v>
      </c>
      <c r="DY145" s="462" t="str">
        <f t="shared" si="387"/>
        <v xml:space="preserve">124.27,9.99,8 </v>
      </c>
      <c r="DZ145" s="462" t="str">
        <f t="shared" si="387"/>
        <v xml:space="preserve">124.27,10.23,9.7 </v>
      </c>
      <c r="EA145" s="462" t="str">
        <f t="shared" si="387"/>
        <v xml:space="preserve">124.27,10.27,10 </v>
      </c>
      <c r="EB145" s="462" t="str">
        <f t="shared" si="387"/>
        <v xml:space="preserve">124.27,10.5,12 </v>
      </c>
      <c r="EC145" s="462" t="str">
        <f t="shared" si="387"/>
        <v xml:space="preserve">124.27,10.62,13 </v>
      </c>
      <c r="ED145" s="462" t="str">
        <f t="shared" si="387"/>
        <v/>
      </c>
      <c r="EE145" s="462" t="str">
        <f t="shared" si="387"/>
        <v/>
      </c>
      <c r="EF145" s="462" t="str">
        <f t="shared" si="387"/>
        <v/>
      </c>
      <c r="EG145" s="462" t="str">
        <f t="shared" si="387"/>
        <v/>
      </c>
      <c r="EH145" s="462" t="str">
        <f t="shared" si="387"/>
        <v/>
      </c>
      <c r="EI145" s="462" t="str">
        <f t="shared" si="387"/>
        <v/>
      </c>
      <c r="EJ145" s="462" t="str">
        <f t="shared" si="387"/>
        <v/>
      </c>
      <c r="EK145" s="462" t="str">
        <f t="shared" si="387"/>
        <v/>
      </c>
      <c r="EL145" s="462" t="str">
        <f t="shared" si="387"/>
        <v/>
      </c>
      <c r="EM145" s="462" t="str">
        <f t="shared" si="387"/>
        <v/>
      </c>
      <c r="EN145" s="462" t="str">
        <f t="shared" si="387"/>
        <v/>
      </c>
      <c r="EO145" s="462" t="str">
        <f t="shared" si="387"/>
        <v/>
      </c>
      <c r="EP145" s="462" t="str">
        <f t="shared" si="381"/>
        <v/>
      </c>
      <c r="ER145" s="461" t="str">
        <f t="shared" si="304"/>
        <v xml:space="preserve">124.27,5.6,0 124.27,6.89,0.5 124.27,7.56,1 124.27,8.04,1.5 124.27,8.42,2 124.27,9.32,4 124.27,9.69,6 124.27,9.99,8 124.27,10.23,9.7 124.27,10.27,10 124.27,10.5,12 124.27,10.62,13 </v>
      </c>
      <c r="ES145" s="189" t="str">
        <f t="shared" ca="1" si="348"/>
        <v xml:space="preserve">Spline 124.27,0,0 124.27,5.6,0 124.27,6.89,0.5 124.27,7.56,1 124.27,8.04,1.5 124.27,8.42,2 124.27,9.32,4 124.27,9.69,6 124.27,9.99,8 124.27,10.23,9.7 124.27,10.27,10 124.27,10.5,12 124.27,10.62,13  </v>
      </c>
      <c r="ET145" s="132" t="str">
        <f t="shared" ca="1" si="305"/>
        <v xml:space="preserve">Spline 124.27,0,0 124.27,5.6,0 124.27,6.89,0.5 124.27,7.56,1 124.27,8.04,1.5 124.27,8.42,2 124.27,9.32,4 124.27,9.69,6 124.27,9.99,8 124.27,10.23,9.7 124.27,10.27,10 124.27,10.5,12 124.27,10.62,13  </v>
      </c>
      <c r="EU145" s="132">
        <f ca="1">COUNTIF(BP_20,NA())</f>
        <v>0</v>
      </c>
      <c r="EV145" s="132">
        <f t="shared" ca="1" si="271"/>
        <v>0</v>
      </c>
      <c r="EW145" s="132">
        <v>20</v>
      </c>
      <c r="EX145" s="132" t="str">
        <f t="shared" si="272"/>
        <v xml:space="preserve">124.27,10.62,13 </v>
      </c>
      <c r="EY145" s="132" t="str">
        <f t="shared" ca="1" si="273"/>
        <v xml:space="preserve">Spline 124.27,0,0 124.27,10.62,13 124.27,10.5,12 124.27,10.27,10 124.27,10.23,9.7 124.27,9.99,8 124.27,9.69,6 124.27,9.32,4 124.27,8.42,2 124.27,8.04,1.5 124.27,7.56,1 124.27,6.89,0.5 124.27,5.6,0 </v>
      </c>
      <c r="EZ145" s="189" t="str">
        <f t="shared" si="306"/>
        <v xml:space="preserve">124.27,5.6,0 124.27,6.89,0.5 124.27,7.56,1 124.27,8.04,1.5 124.27,8.42,2 124.27,9.32,4 124.27,9.69,6 124.27,9.99,8 124.27,10.23,9.7 124.27,10.27,10 124.27,10.5,12 124.27,10.62,13  </v>
      </c>
      <c r="FB145" s="462">
        <f t="shared" si="274"/>
        <v>124.27</v>
      </c>
      <c r="FC145" s="464" t="str">
        <f t="shared" si="307"/>
        <v/>
      </c>
      <c r="FD145" s="462" t="str">
        <f t="shared" ref="FD145:GB145" si="388">IFERROR(CONCATENATE(ROUND($DP145,3),",",-ROUND(ABS(DK117),3),",",ROUND(EM117,3)," "),"")</f>
        <v xml:space="preserve">124.27,-5.6,0 </v>
      </c>
      <c r="FE145" s="462" t="str">
        <f t="shared" si="388"/>
        <v xml:space="preserve">124.27,-6.89,0.5 </v>
      </c>
      <c r="FF145" s="462" t="str">
        <f t="shared" si="388"/>
        <v xml:space="preserve">124.27,-7.56,1 </v>
      </c>
      <c r="FG145" s="462" t="str">
        <f t="shared" si="388"/>
        <v xml:space="preserve">124.27,-8.04,1.5 </v>
      </c>
      <c r="FH145" s="462" t="str">
        <f t="shared" si="388"/>
        <v xml:space="preserve">124.27,-8.42,2 </v>
      </c>
      <c r="FI145" s="462" t="str">
        <f t="shared" si="388"/>
        <v xml:space="preserve">124.27,-9.32,4 </v>
      </c>
      <c r="FJ145" s="462" t="str">
        <f t="shared" si="388"/>
        <v xml:space="preserve">124.27,-9.69,6 </v>
      </c>
      <c r="FK145" s="462" t="str">
        <f t="shared" si="388"/>
        <v xml:space="preserve">124.27,-9.99,8 </v>
      </c>
      <c r="FL145" s="462" t="str">
        <f t="shared" si="388"/>
        <v xml:space="preserve">124.27,-10.23,9.7 </v>
      </c>
      <c r="FM145" s="462" t="str">
        <f t="shared" si="388"/>
        <v xml:space="preserve">124.27,-10.27,10 </v>
      </c>
      <c r="FN145" s="462" t="str">
        <f t="shared" si="388"/>
        <v xml:space="preserve">124.27,-10.5,12 </v>
      </c>
      <c r="FO145" s="462" t="str">
        <f t="shared" si="388"/>
        <v xml:space="preserve">124.27,-10.62,13 </v>
      </c>
      <c r="FP145" s="462" t="str">
        <f t="shared" si="388"/>
        <v/>
      </c>
      <c r="FQ145" s="462" t="str">
        <f t="shared" si="388"/>
        <v/>
      </c>
      <c r="FR145" s="462" t="str">
        <f t="shared" si="388"/>
        <v/>
      </c>
      <c r="FS145" s="462" t="str">
        <f t="shared" si="388"/>
        <v/>
      </c>
      <c r="FT145" s="462" t="str">
        <f t="shared" si="388"/>
        <v/>
      </c>
      <c r="FU145" s="462" t="str">
        <f t="shared" si="388"/>
        <v/>
      </c>
      <c r="FV145" s="462" t="str">
        <f t="shared" si="388"/>
        <v/>
      </c>
      <c r="FW145" s="462" t="str">
        <f t="shared" si="388"/>
        <v/>
      </c>
      <c r="FX145" s="462" t="str">
        <f t="shared" si="388"/>
        <v/>
      </c>
      <c r="FY145" s="462" t="str">
        <f t="shared" si="388"/>
        <v/>
      </c>
      <c r="FZ145" s="462" t="str">
        <f t="shared" si="388"/>
        <v/>
      </c>
      <c r="GA145" s="462" t="str">
        <f t="shared" si="388"/>
        <v/>
      </c>
      <c r="GB145" s="462" t="str">
        <f t="shared" si="388"/>
        <v/>
      </c>
      <c r="GC145" s="132" t="str">
        <f t="shared" si="309"/>
        <v xml:space="preserve">124.27,10.62,13 124.27,10.5,12 124.27,10.27,10 124.27,10.23,9.7 124.27,9.99,8 124.27,9.69,6 124.27,9.32,4 124.27,8.42,2 124.27,8.04,1.5 124.27,7.56,1 124.27,6.89,0.5 124.27,5.6,0 </v>
      </c>
      <c r="GD145" s="132" t="str">
        <f t="shared" ca="1" si="276"/>
        <v>Spline 124.27,10.62,13 124.27,10.5,12 124.27,10.27,10 124.27,10.23,9.7 124.27,9.99,8 124.27,9.69,6 124.27,9.32,4 124.27,8.42,2 124.27,8.04,1.5 124.27,7.56,1 124.27,6.89,0.5 124.27,5.6,0 124.27,0,0</v>
      </c>
      <c r="GE145" s="465" t="str">
        <f t="shared" si="310"/>
        <v xml:space="preserve">124.27,-5.6,0 124.27,-6.89,0.5 124.27,-7.56,1 124.27,-8.04,1.5 124.27,-8.42,2 124.27,-9.32,4 124.27,-9.69,6 124.27,-9.99,8 124.27,-10.23,9.7 124.27,-10.27,10 124.27,-10.5,12 124.27,-10.62,13 </v>
      </c>
      <c r="GH145" s="132" t="str">
        <f t="shared" si="311"/>
        <v xml:space="preserve">Spline 124.27,10.62,13 124.27,10.5,12 124.27,10.27,10 124.27,10.23,9.7 124.27,9.99,8 124.27,9.69,6 124.27,9.32,4 124.27,8.42,2 124.27,8.04,1.5 124.27,7.56,1 124.27,6.89,0.5 124.27,5.6,0 T 124.27,0,0 </v>
      </c>
      <c r="GI145" s="132" t="str">
        <f t="shared" si="312"/>
        <v xml:space="preserve">Spline 124.27,5.6,0 124.27,0,0  Join 124.27,0,0  124.27,10.62,13 </v>
      </c>
      <c r="GP145" s="132" t="str">
        <f t="shared" si="277"/>
        <v xml:space="preserve">124.27,0,0 </v>
      </c>
      <c r="GQ145" s="132" t="str">
        <f t="shared" si="313"/>
        <v>Curve 124.27,10.62,13 124.27,10.5,12 124.27,10.27,10 124.27,10.23,9.7 124.27,9.99,8 124.27,9.69,6 124.27,9.32,4 124.27,8.42,2 124.27,8.04,1.5 124.27,7.56,1 124.27,6.89,0.5 124.27,5.6,0 124.27,0,0 _enter</v>
      </c>
    </row>
    <row r="146" spans="1:199" x14ac:dyDescent="0.25">
      <c r="A146" s="377" t="str">
        <f t="shared" si="379"/>
        <v xml:space="preserve">  </v>
      </c>
      <c r="B146" s="380" t="str">
        <f t="shared" si="278"/>
        <v/>
      </c>
      <c r="C146" s="380" t="str">
        <f t="shared" si="279"/>
        <v/>
      </c>
      <c r="D146" s="380" t="str">
        <f t="shared" si="280"/>
        <v/>
      </c>
      <c r="E146" s="380" t="str">
        <f t="shared" si="281"/>
        <v/>
      </c>
      <c r="F146" s="380" t="str">
        <f t="shared" si="282"/>
        <v/>
      </c>
      <c r="G146" s="380" t="str">
        <f t="shared" si="283"/>
        <v/>
      </c>
      <c r="H146" s="380" t="str">
        <f t="shared" si="284"/>
        <v/>
      </c>
      <c r="I146" s="380" t="str">
        <f t="shared" si="285"/>
        <v/>
      </c>
      <c r="J146" s="380" t="str">
        <f t="shared" si="286"/>
        <v/>
      </c>
      <c r="K146" s="380" t="str">
        <f t="shared" si="287"/>
        <v/>
      </c>
      <c r="L146" s="380" t="str">
        <f t="shared" si="288"/>
        <v/>
      </c>
      <c r="M146" s="380" t="str">
        <f t="shared" si="289"/>
        <v/>
      </c>
      <c r="N146" s="380" t="str">
        <f t="shared" si="290"/>
        <v/>
      </c>
      <c r="O146" s="380" t="str">
        <f t="shared" si="291"/>
        <v/>
      </c>
      <c r="P146" s="380" t="str">
        <f t="shared" si="292"/>
        <v/>
      </c>
      <c r="Q146" s="380" t="str">
        <f t="shared" si="293"/>
        <v/>
      </c>
      <c r="R146" s="380" t="str">
        <f t="shared" si="294"/>
        <v/>
      </c>
      <c r="S146" s="380" t="str">
        <f t="shared" si="295"/>
        <v/>
      </c>
      <c r="T146" s="380" t="str">
        <f t="shared" si="296"/>
        <v/>
      </c>
      <c r="U146" s="380" t="str">
        <f t="shared" si="297"/>
        <v/>
      </c>
      <c r="V146" s="380" t="str">
        <f t="shared" si="298"/>
        <v/>
      </c>
      <c r="W146" s="380" t="str">
        <f t="shared" si="299"/>
        <v/>
      </c>
      <c r="X146" s="380" t="str">
        <f t="shared" si="300"/>
        <v/>
      </c>
      <c r="Y146" s="380" t="str">
        <f t="shared" si="301"/>
        <v/>
      </c>
      <c r="Z146" s="398" t="str">
        <f t="shared" si="302"/>
        <v/>
      </c>
      <c r="AB146" s="248" t="str">
        <f t="shared" si="314"/>
        <v xml:space="preserve">  </v>
      </c>
      <c r="AC146" s="248" t="str">
        <f>Tools!B146</f>
        <v/>
      </c>
      <c r="AD146" s="248" t="str">
        <f>Tools!C146</f>
        <v/>
      </c>
      <c r="AE146" s="248" t="str">
        <f>Tools!D146</f>
        <v/>
      </c>
      <c r="AF146" s="248" t="str">
        <f>Tools!E146</f>
        <v/>
      </c>
      <c r="AG146" s="248" t="str">
        <f>Tools!F146</f>
        <v/>
      </c>
      <c r="AH146" s="248" t="str">
        <f>Tools!G146</f>
        <v/>
      </c>
      <c r="AI146" s="248" t="str">
        <f>Tools!H146</f>
        <v/>
      </c>
      <c r="AJ146" s="248" t="str">
        <f>Tools!I146</f>
        <v/>
      </c>
      <c r="AK146" s="248" t="str">
        <f>Tools!J146</f>
        <v/>
      </c>
      <c r="AL146" s="248" t="str">
        <f>Tools!K146</f>
        <v/>
      </c>
      <c r="AM146" s="248" t="str">
        <f>Tools!L146</f>
        <v/>
      </c>
      <c r="AN146" s="248" t="str">
        <f>Tools!M146</f>
        <v/>
      </c>
      <c r="AO146" s="248" t="str">
        <f>Tools!N146</f>
        <v/>
      </c>
      <c r="AP146" s="248" t="str">
        <f>Tools!O146</f>
        <v/>
      </c>
      <c r="AQ146" s="248" t="str">
        <f>Tools!P146</f>
        <v/>
      </c>
      <c r="AR146" s="248" t="str">
        <f>Tools!Q146</f>
        <v/>
      </c>
      <c r="AS146" s="248" t="str">
        <f>Tools!R146</f>
        <v/>
      </c>
      <c r="AT146" s="248" t="str">
        <f>Tools!S146</f>
        <v/>
      </c>
      <c r="AU146" s="248" t="str">
        <f>Tools!T146</f>
        <v/>
      </c>
      <c r="AV146" s="248" t="str">
        <f>Tools!U146</f>
        <v/>
      </c>
      <c r="AW146" s="248" t="str">
        <f>Tools!V146</f>
        <v/>
      </c>
      <c r="AX146" s="248" t="str">
        <f>Tools!W146</f>
        <v/>
      </c>
      <c r="AY146" s="248" t="str">
        <f>Tools!X146</f>
        <v/>
      </c>
      <c r="AZ146" s="248" t="str">
        <f>Tools!Y146</f>
        <v/>
      </c>
      <c r="BA146" s="399" t="str">
        <f>Tools!Z146</f>
        <v/>
      </c>
      <c r="BC146" s="277">
        <f>Offset!Q21</f>
        <v>16</v>
      </c>
      <c r="BD146" s="280" t="str">
        <f>IF(ISNUMBER(VLOOKUP(BC146,Offset!Q$2:R$27,2,FALSE)),VLOOKUP(BC146,Offset!Q$2:R$27,2,FALSE),"-")</f>
        <v>-</v>
      </c>
      <c r="BE146" s="280" t="e">
        <f t="shared" si="350"/>
        <v>#VALUE!</v>
      </c>
      <c r="BF146" s="280" t="str">
        <f t="shared" si="316"/>
        <v>#NA</v>
      </c>
      <c r="BG146" s="280" t="str">
        <f t="shared" si="317"/>
        <v>#NA</v>
      </c>
      <c r="BH146" s="280" t="str">
        <f t="shared" si="318"/>
        <v>#NA</v>
      </c>
      <c r="BI146" s="280" t="str">
        <f t="shared" si="319"/>
        <v>#NA</v>
      </c>
      <c r="BJ146" s="280" t="str">
        <f t="shared" si="320"/>
        <v>#NA</v>
      </c>
      <c r="BK146" s="280" t="str">
        <f t="shared" si="321"/>
        <v>#NA</v>
      </c>
      <c r="BL146" s="280" t="str">
        <f t="shared" si="322"/>
        <v>#NA</v>
      </c>
      <c r="BM146" s="280"/>
      <c r="BN146" s="280" t="e">
        <f t="shared" si="323"/>
        <v>#VALUE!</v>
      </c>
      <c r="BO146" s="280" t="e">
        <f t="shared" si="324"/>
        <v>#VALUE!</v>
      </c>
      <c r="BP146" s="280" t="e">
        <f t="shared" si="325"/>
        <v>#VALUE!</v>
      </c>
      <c r="BQ146" s="280" t="e">
        <f t="shared" si="326"/>
        <v>#VALUE!</v>
      </c>
      <c r="BR146" s="280" t="e">
        <f t="shared" si="327"/>
        <v>#VALUE!</v>
      </c>
      <c r="BS146" s="280" t="e">
        <f t="shared" si="328"/>
        <v>#VALUE!</v>
      </c>
      <c r="BT146" s="280" t="e">
        <f t="shared" si="329"/>
        <v>#VALUE!</v>
      </c>
      <c r="BU146" s="280" t="e">
        <f t="shared" si="330"/>
        <v>#VALUE!</v>
      </c>
      <c r="BV146" s="280" t="e">
        <f t="shared" si="331"/>
        <v>#VALUE!</v>
      </c>
      <c r="BW146" s="280" t="e">
        <f t="shared" si="332"/>
        <v>#VALUE!</v>
      </c>
      <c r="BX146" s="280" t="e">
        <f t="shared" si="351"/>
        <v>#VALUE!</v>
      </c>
      <c r="BY146" s="280" t="e">
        <f t="shared" si="333"/>
        <v>#VALUE!</v>
      </c>
      <c r="BZ146" s="280" t="e">
        <f t="shared" si="334"/>
        <v>#VALUE!</v>
      </c>
      <c r="CA146" s="280" t="e">
        <f t="shared" si="335"/>
        <v>#VALUE!</v>
      </c>
      <c r="CB146" s="280" t="e">
        <f t="shared" si="336"/>
        <v>#VALUE!</v>
      </c>
      <c r="CC146" s="280" t="e">
        <f t="shared" si="337"/>
        <v>#VALUE!</v>
      </c>
      <c r="CD146" s="280" t="e">
        <f t="shared" si="338"/>
        <v>#VALUE!</v>
      </c>
      <c r="CE146" s="280" t="e">
        <f t="shared" si="339"/>
        <v>#VALUE!</v>
      </c>
      <c r="CF146" s="280" t="e">
        <f t="shared" si="340"/>
        <v>#VALUE!</v>
      </c>
      <c r="CG146" s="280" t="e">
        <f t="shared" si="341"/>
        <v>#VALUE!</v>
      </c>
      <c r="CH146" s="280" t="e">
        <f t="shared" si="342"/>
        <v>#VALUE!</v>
      </c>
      <c r="CI146" s="280" t="e">
        <f t="shared" si="343"/>
        <v>#VALUE!</v>
      </c>
      <c r="CJ146" s="280" t="e">
        <f t="shared" si="344"/>
        <v>#VALUE!</v>
      </c>
      <c r="CK146" s="280" t="e">
        <f t="shared" si="345"/>
        <v>#VALUE!</v>
      </c>
      <c r="CL146" s="280" t="e">
        <f t="shared" si="346"/>
        <v>#VALUE!</v>
      </c>
      <c r="CM146" s="279">
        <f t="shared" si="352"/>
        <v>0</v>
      </c>
      <c r="CO146" s="458" t="e">
        <v>#N/A</v>
      </c>
      <c r="CP146" s="458" t="e">
        <v>#N/A</v>
      </c>
      <c r="CQ146" s="458" t="e">
        <v>#N/A</v>
      </c>
      <c r="CR146" s="458" t="e">
        <v>#N/A</v>
      </c>
      <c r="CS146" s="458" t="e">
        <v>#N/A</v>
      </c>
      <c r="CT146" s="458" t="e">
        <v>#N/A</v>
      </c>
      <c r="CU146" s="458" t="e">
        <v>#N/A</v>
      </c>
      <c r="CV146" s="458" t="e">
        <v>#N/A</v>
      </c>
      <c r="CW146" s="458" t="e">
        <v>#N/A</v>
      </c>
      <c r="CX146" s="458" t="e">
        <v>#N/A</v>
      </c>
      <c r="CY146" s="458" t="e">
        <v>#N/A</v>
      </c>
      <c r="CZ146" s="458" t="e">
        <v>#N/A</v>
      </c>
      <c r="DA146" s="458" t="e">
        <v>#N/A</v>
      </c>
      <c r="DB146" s="458" t="e">
        <v>#N/A</v>
      </c>
      <c r="DC146" s="458" t="e">
        <v>#N/A</v>
      </c>
      <c r="DD146" s="458" t="e">
        <v>#N/A</v>
      </c>
      <c r="DE146" s="458" t="e">
        <v>#N/A</v>
      </c>
      <c r="DF146" s="458" t="e">
        <v>#N/A</v>
      </c>
      <c r="DG146" s="458" t="e">
        <v>#N/A</v>
      </c>
      <c r="DH146" s="458" t="e">
        <v>#N/A</v>
      </c>
      <c r="DI146" s="458" t="e">
        <v>#N/A</v>
      </c>
      <c r="DJ146" s="458" t="e">
        <v>#N/A</v>
      </c>
      <c r="DK146" s="458" t="e">
        <v>#N/A</v>
      </c>
      <c r="DL146" s="458" t="e">
        <v>#N/A</v>
      </c>
      <c r="DM146" s="458" t="e">
        <v>#N/A</v>
      </c>
      <c r="DN146" s="458" t="e">
        <v>#N/A</v>
      </c>
      <c r="DO146" s="400"/>
      <c r="DP146" s="462">
        <f t="shared" si="269"/>
        <v>131.57999999999998</v>
      </c>
      <c r="DQ146" s="462" t="str">
        <f t="shared" si="380"/>
        <v/>
      </c>
      <c r="DR146" s="462" t="str">
        <f t="shared" ref="DR146:EO146" si="389">IFERROR(CONCATENATE(ROUND($DP146,3),",",ROUND(ABS(DK118),3),",",ROUND(EM118,3)," "),"")</f>
        <v xml:space="preserve">131.58,3.5,0 </v>
      </c>
      <c r="DS146" s="462" t="str">
        <f t="shared" si="389"/>
        <v xml:space="preserve">131.58,4.65,0.5 </v>
      </c>
      <c r="DT146" s="462" t="str">
        <f t="shared" si="389"/>
        <v xml:space="preserve">131.58,5.35,1 </v>
      </c>
      <c r="DU146" s="462" t="str">
        <f t="shared" si="389"/>
        <v xml:space="preserve">131.58,5.87,1.5 </v>
      </c>
      <c r="DV146" s="462" t="str">
        <f t="shared" si="389"/>
        <v xml:space="preserve">131.58,6.21,2 </v>
      </c>
      <c r="DW146" s="462" t="str">
        <f t="shared" si="389"/>
        <v xml:space="preserve">131.58,7.08,4 </v>
      </c>
      <c r="DX146" s="462" t="str">
        <f t="shared" si="389"/>
        <v xml:space="preserve">131.58,7.57,6 </v>
      </c>
      <c r="DY146" s="462" t="str">
        <f t="shared" si="389"/>
        <v xml:space="preserve">131.58,7.929,8 </v>
      </c>
      <c r="DZ146" s="462" t="str">
        <f t="shared" si="389"/>
        <v xml:space="preserve">131.58,8.351,9.7 </v>
      </c>
      <c r="EA146" s="462" t="str">
        <f t="shared" si="389"/>
        <v xml:space="preserve">131.58,8.43,10 </v>
      </c>
      <c r="EB146" s="462" t="str">
        <f t="shared" si="389"/>
        <v xml:space="preserve">131.58,8.92,12 </v>
      </c>
      <c r="EC146" s="462" t="str">
        <f t="shared" si="389"/>
        <v xml:space="preserve">131.58,9.16,13 </v>
      </c>
      <c r="ED146" s="462" t="str">
        <f t="shared" si="389"/>
        <v/>
      </c>
      <c r="EE146" s="462" t="str">
        <f t="shared" si="389"/>
        <v/>
      </c>
      <c r="EF146" s="462" t="str">
        <f t="shared" si="389"/>
        <v/>
      </c>
      <c r="EG146" s="462" t="str">
        <f t="shared" si="389"/>
        <v/>
      </c>
      <c r="EH146" s="462" t="str">
        <f t="shared" si="389"/>
        <v/>
      </c>
      <c r="EI146" s="462" t="str">
        <f t="shared" si="389"/>
        <v/>
      </c>
      <c r="EJ146" s="462" t="str">
        <f t="shared" si="389"/>
        <v/>
      </c>
      <c r="EK146" s="462" t="str">
        <f t="shared" si="389"/>
        <v/>
      </c>
      <c r="EL146" s="462" t="str">
        <f t="shared" si="389"/>
        <v/>
      </c>
      <c r="EM146" s="462" t="str">
        <f t="shared" si="389"/>
        <v/>
      </c>
      <c r="EN146" s="462" t="str">
        <f t="shared" si="389"/>
        <v/>
      </c>
      <c r="EO146" s="462" t="str">
        <f t="shared" si="389"/>
        <v/>
      </c>
      <c r="EP146" s="462" t="str">
        <f t="shared" si="381"/>
        <v/>
      </c>
      <c r="ER146" s="461" t="str">
        <f t="shared" si="304"/>
        <v xml:space="preserve">131.58,3.5,0 131.58,4.65,0.5 131.58,5.35,1 131.58,5.87,1.5 131.58,6.21,2 131.58,7.08,4 131.58,7.57,6 131.58,7.929,8 131.58,8.351,9.7 131.58,8.43,10 131.58,8.92,12 131.58,9.16,13 </v>
      </c>
      <c r="ES146" s="189" t="str">
        <f t="shared" ca="1" si="348"/>
        <v xml:space="preserve">Spline 131.58,0,0 131.58,3.5,0 131.58,4.65,0.5 131.58,5.35,1 131.58,5.87,1.5 131.58,6.21,2 131.58,7.08,4 131.58,7.57,6 131.58,7.929,8 131.58,8.351,9.7 131.58,8.43,10 131.58,8.92,12 131.58,9.16,13  </v>
      </c>
      <c r="ET146" s="132" t="str">
        <f t="shared" ca="1" si="305"/>
        <v xml:space="preserve">Spline 131.58,0,0 131.58,3.5,0 131.58,4.65,0.5 131.58,5.35,1 131.58,5.87,1.5 131.58,6.21,2 131.58,7.08,4 131.58,7.57,6 131.58,7.929,8 131.58,8.351,9.7 131.58,8.43,10 131.58,8.92,12 131.58,9.16,13  </v>
      </c>
      <c r="EU146" s="132">
        <f ca="1">COUNTIF(BP_21,NA())</f>
        <v>0</v>
      </c>
      <c r="EV146" s="132">
        <f t="shared" ca="1" si="271"/>
        <v>0</v>
      </c>
      <c r="EW146" s="132">
        <v>21</v>
      </c>
      <c r="EX146" s="132" t="str">
        <f t="shared" si="272"/>
        <v xml:space="preserve">131.58,9.16,13 </v>
      </c>
      <c r="EY146" s="132" t="str">
        <f t="shared" ca="1" si="273"/>
        <v xml:space="preserve">Spline 131.58,0,0 131.58,9.16,13 131.58,8.92,12 131.58,8.43,10 131.58,8.351,9.7 131.58,7.929,8 131.58,7.57,6 131.58,7.08,4 131.58,6.21,2 131.58,5.87,1.5 131.58,5.35,1 131.58,4.65,0.5 131.58,3.5,0 </v>
      </c>
      <c r="EZ146" s="189" t="str">
        <f t="shared" si="306"/>
        <v xml:space="preserve">131.58,3.5,0 131.58,4.65,0.5 131.58,5.35,1 131.58,5.87,1.5 131.58,6.21,2 131.58,7.08,4 131.58,7.57,6 131.58,7.929,8 131.58,8.351,9.7 131.58,8.43,10 131.58,8.92,12 131.58,9.16,13  </v>
      </c>
      <c r="FB146" s="462">
        <f t="shared" si="274"/>
        <v>131.57999999999998</v>
      </c>
      <c r="FC146" s="464" t="str">
        <f t="shared" si="307"/>
        <v/>
      </c>
      <c r="FD146" s="462" t="str">
        <f t="shared" ref="FD146:GB146" si="390">IFERROR(CONCATENATE(ROUND($DP146,3),",",-ROUND(ABS(DK118),3),",",ROUND(EM118,3)," "),"")</f>
        <v xml:space="preserve">131.58,-3.5,0 </v>
      </c>
      <c r="FE146" s="462" t="str">
        <f t="shared" si="390"/>
        <v xml:space="preserve">131.58,-4.65,0.5 </v>
      </c>
      <c r="FF146" s="462" t="str">
        <f t="shared" si="390"/>
        <v xml:space="preserve">131.58,-5.35,1 </v>
      </c>
      <c r="FG146" s="462" t="str">
        <f t="shared" si="390"/>
        <v xml:space="preserve">131.58,-5.87,1.5 </v>
      </c>
      <c r="FH146" s="462" t="str">
        <f t="shared" si="390"/>
        <v xml:space="preserve">131.58,-6.21,2 </v>
      </c>
      <c r="FI146" s="462" t="str">
        <f t="shared" si="390"/>
        <v xml:space="preserve">131.58,-7.08,4 </v>
      </c>
      <c r="FJ146" s="462" t="str">
        <f t="shared" si="390"/>
        <v xml:space="preserve">131.58,-7.57,6 </v>
      </c>
      <c r="FK146" s="462" t="str">
        <f t="shared" si="390"/>
        <v xml:space="preserve">131.58,-7.929,8 </v>
      </c>
      <c r="FL146" s="462" t="str">
        <f t="shared" si="390"/>
        <v xml:space="preserve">131.58,-8.351,9.7 </v>
      </c>
      <c r="FM146" s="462" t="str">
        <f t="shared" si="390"/>
        <v xml:space="preserve">131.58,-8.43,10 </v>
      </c>
      <c r="FN146" s="462" t="str">
        <f t="shared" si="390"/>
        <v xml:space="preserve">131.58,-8.92,12 </v>
      </c>
      <c r="FO146" s="462" t="str">
        <f t="shared" si="390"/>
        <v xml:space="preserve">131.58,-9.16,13 </v>
      </c>
      <c r="FP146" s="462" t="str">
        <f t="shared" si="390"/>
        <v/>
      </c>
      <c r="FQ146" s="462" t="str">
        <f t="shared" si="390"/>
        <v/>
      </c>
      <c r="FR146" s="462" t="str">
        <f t="shared" si="390"/>
        <v/>
      </c>
      <c r="FS146" s="462" t="str">
        <f t="shared" si="390"/>
        <v/>
      </c>
      <c r="FT146" s="462" t="str">
        <f t="shared" si="390"/>
        <v/>
      </c>
      <c r="FU146" s="462" t="str">
        <f t="shared" si="390"/>
        <v/>
      </c>
      <c r="FV146" s="462" t="str">
        <f t="shared" si="390"/>
        <v/>
      </c>
      <c r="FW146" s="462" t="str">
        <f t="shared" si="390"/>
        <v/>
      </c>
      <c r="FX146" s="462" t="str">
        <f t="shared" si="390"/>
        <v/>
      </c>
      <c r="FY146" s="462" t="str">
        <f t="shared" si="390"/>
        <v/>
      </c>
      <c r="FZ146" s="462" t="str">
        <f t="shared" si="390"/>
        <v/>
      </c>
      <c r="GA146" s="462" t="str">
        <f t="shared" si="390"/>
        <v/>
      </c>
      <c r="GB146" s="462" t="str">
        <f t="shared" si="390"/>
        <v/>
      </c>
      <c r="GC146" s="132" t="str">
        <f t="shared" si="309"/>
        <v xml:space="preserve">131.58,9.16,13 131.58,8.92,12 131.58,8.43,10 131.58,8.351,9.7 131.58,7.929,8 131.58,7.57,6 131.58,7.08,4 131.58,6.21,2 131.58,5.87,1.5 131.58,5.35,1 131.58,4.65,0.5 131.58,3.5,0 </v>
      </c>
      <c r="GD146" s="132" t="str">
        <f t="shared" ca="1" si="276"/>
        <v>Spline 131.58,9.16,13 131.58,8.92,12 131.58,8.43,10 131.58,8.351,9.7 131.58,7.929,8 131.58,7.57,6 131.58,7.08,4 131.58,6.21,2 131.58,5.87,1.5 131.58,5.35,1 131.58,4.65,0.5 131.58,3.5,0 131.58,0,0</v>
      </c>
      <c r="GE146" s="465" t="str">
        <f t="shared" si="310"/>
        <v xml:space="preserve">131.58,-3.5,0 131.58,-4.65,0.5 131.58,-5.35,1 131.58,-5.87,1.5 131.58,-6.21,2 131.58,-7.08,4 131.58,-7.57,6 131.58,-7.929,8 131.58,-8.351,9.7 131.58,-8.43,10 131.58,-8.92,12 131.58,-9.16,13 </v>
      </c>
      <c r="GH146" s="132" t="str">
        <f t="shared" si="311"/>
        <v xml:space="preserve">Spline 131.58,9.16,13 131.58,8.92,12 131.58,8.43,10 131.58,8.351,9.7 131.58,7.929,8 131.58,7.57,6 131.58,7.08,4 131.58,6.21,2 131.58,5.87,1.5 131.58,5.35,1 131.58,4.65,0.5 131.58,3.5,0 T 131.58,0,0 </v>
      </c>
      <c r="GI146" s="132" t="str">
        <f t="shared" si="312"/>
        <v xml:space="preserve">Spline 131.58,3.5,0 131.58,0,0  Join 131.58,0,0  131.58,9.16,13 </v>
      </c>
      <c r="GP146" s="132" t="str">
        <f t="shared" si="277"/>
        <v xml:space="preserve">131.58,0,0 </v>
      </c>
      <c r="GQ146" s="132" t="str">
        <f t="shared" si="313"/>
        <v>Curve 131.58,9.16,13 131.58,8.92,12 131.58,8.43,10 131.58,8.351,9.7 131.58,7.929,8 131.58,7.57,6 131.58,7.08,4 131.58,6.21,2 131.58,5.87,1.5 131.58,5.35,1 131.58,4.65,0.5 131.58,3.5,0 131.58,0,0 _enter</v>
      </c>
    </row>
    <row r="147" spans="1:199" x14ac:dyDescent="0.25">
      <c r="A147" s="377" t="str">
        <f t="shared" si="379"/>
        <v xml:space="preserve">  </v>
      </c>
      <c r="B147" s="380" t="str">
        <f t="shared" si="278"/>
        <v/>
      </c>
      <c r="C147" s="380" t="str">
        <f t="shared" si="279"/>
        <v/>
      </c>
      <c r="D147" s="380" t="str">
        <f t="shared" si="280"/>
        <v/>
      </c>
      <c r="E147" s="380" t="str">
        <f t="shared" si="281"/>
        <v/>
      </c>
      <c r="F147" s="380" t="str">
        <f t="shared" si="282"/>
        <v/>
      </c>
      <c r="G147" s="380" t="str">
        <f t="shared" si="283"/>
        <v/>
      </c>
      <c r="H147" s="380" t="str">
        <f t="shared" si="284"/>
        <v/>
      </c>
      <c r="I147" s="380" t="str">
        <f t="shared" si="285"/>
        <v/>
      </c>
      <c r="J147" s="380" t="str">
        <f t="shared" si="286"/>
        <v/>
      </c>
      <c r="K147" s="380" t="str">
        <f t="shared" si="287"/>
        <v/>
      </c>
      <c r="L147" s="380" t="str">
        <f t="shared" si="288"/>
        <v/>
      </c>
      <c r="M147" s="380" t="str">
        <f t="shared" si="289"/>
        <v/>
      </c>
      <c r="N147" s="380" t="str">
        <f t="shared" si="290"/>
        <v/>
      </c>
      <c r="O147" s="380" t="str">
        <f t="shared" si="291"/>
        <v/>
      </c>
      <c r="P147" s="380" t="str">
        <f t="shared" si="292"/>
        <v/>
      </c>
      <c r="Q147" s="380" t="str">
        <f t="shared" si="293"/>
        <v/>
      </c>
      <c r="R147" s="380" t="str">
        <f t="shared" si="294"/>
        <v/>
      </c>
      <c r="S147" s="380" t="str">
        <f t="shared" si="295"/>
        <v/>
      </c>
      <c r="T147" s="380" t="str">
        <f t="shared" si="296"/>
        <v/>
      </c>
      <c r="U147" s="380" t="str">
        <f t="shared" si="297"/>
        <v/>
      </c>
      <c r="V147" s="380" t="str">
        <f t="shared" si="298"/>
        <v/>
      </c>
      <c r="W147" s="380" t="str">
        <f t="shared" si="299"/>
        <v/>
      </c>
      <c r="X147" s="380" t="str">
        <f t="shared" si="300"/>
        <v/>
      </c>
      <c r="Y147" s="380" t="str">
        <f t="shared" si="301"/>
        <v/>
      </c>
      <c r="Z147" s="398" t="str">
        <f t="shared" si="302"/>
        <v/>
      </c>
      <c r="AB147" s="248" t="str">
        <f t="shared" si="314"/>
        <v xml:space="preserve">  </v>
      </c>
      <c r="AC147" s="248" t="str">
        <f>Tools!B147</f>
        <v/>
      </c>
      <c r="AD147" s="248" t="str">
        <f>Tools!C147</f>
        <v/>
      </c>
      <c r="AE147" s="248" t="str">
        <f>Tools!D147</f>
        <v/>
      </c>
      <c r="AF147" s="248" t="str">
        <f>Tools!E147</f>
        <v/>
      </c>
      <c r="AG147" s="248" t="str">
        <f>Tools!F147</f>
        <v/>
      </c>
      <c r="AH147" s="248" t="str">
        <f>Tools!G147</f>
        <v/>
      </c>
      <c r="AI147" s="248" t="str">
        <f>Tools!H147</f>
        <v/>
      </c>
      <c r="AJ147" s="248" t="str">
        <f>Tools!I147</f>
        <v/>
      </c>
      <c r="AK147" s="248" t="str">
        <f>Tools!J147</f>
        <v/>
      </c>
      <c r="AL147" s="248" t="str">
        <f>Tools!K147</f>
        <v/>
      </c>
      <c r="AM147" s="248" t="str">
        <f>Tools!L147</f>
        <v/>
      </c>
      <c r="AN147" s="248" t="str">
        <f>Tools!M147</f>
        <v/>
      </c>
      <c r="AO147" s="248" t="str">
        <f>Tools!N147</f>
        <v/>
      </c>
      <c r="AP147" s="248" t="str">
        <f>Tools!O147</f>
        <v/>
      </c>
      <c r="AQ147" s="248" t="str">
        <f>Tools!P147</f>
        <v/>
      </c>
      <c r="AR147" s="248" t="str">
        <f>Tools!Q147</f>
        <v/>
      </c>
      <c r="AS147" s="248" t="str">
        <f>Tools!R147</f>
        <v/>
      </c>
      <c r="AT147" s="248" t="str">
        <f>Tools!S147</f>
        <v/>
      </c>
      <c r="AU147" s="248" t="str">
        <f>Tools!T147</f>
        <v/>
      </c>
      <c r="AV147" s="248" t="str">
        <f>Tools!U147</f>
        <v/>
      </c>
      <c r="AW147" s="248" t="str">
        <f>Tools!V147</f>
        <v/>
      </c>
      <c r="AX147" s="248" t="str">
        <f>Tools!W147</f>
        <v/>
      </c>
      <c r="AY147" s="248" t="str">
        <f>Tools!X147</f>
        <v/>
      </c>
      <c r="AZ147" s="248" t="str">
        <f>Tools!Y147</f>
        <v/>
      </c>
      <c r="BA147" s="399" t="str">
        <f>Tools!Z147</f>
        <v/>
      </c>
      <c r="BC147" s="277">
        <f>Offset!Q22</f>
        <v>17</v>
      </c>
      <c r="BD147" s="280" t="str">
        <f>IF(ISNUMBER(VLOOKUP(BC147,Offset!Q$2:R$27,2,FALSE)),VLOOKUP(BC147,Offset!Q$2:R$27,2,FALSE),"-")</f>
        <v>-</v>
      </c>
      <c r="BE147" s="280" t="e">
        <f t="shared" si="350"/>
        <v>#VALUE!</v>
      </c>
      <c r="BF147" s="280" t="str">
        <f t="shared" si="316"/>
        <v>#NA</v>
      </c>
      <c r="BG147" s="280" t="str">
        <f t="shared" si="317"/>
        <v>#NA</v>
      </c>
      <c r="BH147" s="280" t="str">
        <f t="shared" si="318"/>
        <v>#NA</v>
      </c>
      <c r="BI147" s="280" t="str">
        <f t="shared" si="319"/>
        <v>#NA</v>
      </c>
      <c r="BJ147" s="280" t="str">
        <f t="shared" si="320"/>
        <v>#NA</v>
      </c>
      <c r="BK147" s="280" t="str">
        <f t="shared" si="321"/>
        <v>#NA</v>
      </c>
      <c r="BL147" s="280" t="str">
        <f t="shared" si="322"/>
        <v>#NA</v>
      </c>
      <c r="BM147" s="280"/>
      <c r="BN147" s="280" t="e">
        <f t="shared" si="323"/>
        <v>#VALUE!</v>
      </c>
      <c r="BO147" s="280" t="e">
        <f t="shared" si="324"/>
        <v>#VALUE!</v>
      </c>
      <c r="BP147" s="280" t="e">
        <f t="shared" si="325"/>
        <v>#VALUE!</v>
      </c>
      <c r="BQ147" s="280" t="e">
        <f t="shared" si="326"/>
        <v>#VALUE!</v>
      </c>
      <c r="BR147" s="280" t="e">
        <f t="shared" si="327"/>
        <v>#VALUE!</v>
      </c>
      <c r="BS147" s="280" t="e">
        <f t="shared" si="328"/>
        <v>#VALUE!</v>
      </c>
      <c r="BT147" s="280" t="e">
        <f t="shared" si="329"/>
        <v>#VALUE!</v>
      </c>
      <c r="BU147" s="280" t="e">
        <f t="shared" si="330"/>
        <v>#VALUE!</v>
      </c>
      <c r="BV147" s="280" t="e">
        <f t="shared" si="331"/>
        <v>#VALUE!</v>
      </c>
      <c r="BW147" s="280" t="e">
        <f t="shared" si="332"/>
        <v>#VALUE!</v>
      </c>
      <c r="BX147" s="280" t="e">
        <f t="shared" si="351"/>
        <v>#VALUE!</v>
      </c>
      <c r="BY147" s="280" t="e">
        <f t="shared" si="333"/>
        <v>#VALUE!</v>
      </c>
      <c r="BZ147" s="280" t="e">
        <f t="shared" si="334"/>
        <v>#VALUE!</v>
      </c>
      <c r="CA147" s="280" t="e">
        <f t="shared" si="335"/>
        <v>#VALUE!</v>
      </c>
      <c r="CB147" s="280" t="e">
        <f t="shared" si="336"/>
        <v>#VALUE!</v>
      </c>
      <c r="CC147" s="280" t="e">
        <f t="shared" si="337"/>
        <v>#VALUE!</v>
      </c>
      <c r="CD147" s="280" t="e">
        <f t="shared" si="338"/>
        <v>#VALUE!</v>
      </c>
      <c r="CE147" s="280" t="e">
        <f t="shared" si="339"/>
        <v>#VALUE!</v>
      </c>
      <c r="CF147" s="280" t="e">
        <f t="shared" si="340"/>
        <v>#VALUE!</v>
      </c>
      <c r="CG147" s="280" t="e">
        <f t="shared" si="341"/>
        <v>#VALUE!</v>
      </c>
      <c r="CH147" s="280" t="e">
        <f t="shared" si="342"/>
        <v>#VALUE!</v>
      </c>
      <c r="CI147" s="280" t="e">
        <f t="shared" si="343"/>
        <v>#VALUE!</v>
      </c>
      <c r="CJ147" s="280" t="e">
        <f t="shared" si="344"/>
        <v>#VALUE!</v>
      </c>
      <c r="CK147" s="280" t="e">
        <f t="shared" si="345"/>
        <v>#VALUE!</v>
      </c>
      <c r="CL147" s="280" t="e">
        <f t="shared" si="346"/>
        <v>#VALUE!</v>
      </c>
      <c r="CM147" s="279">
        <f t="shared" si="352"/>
        <v>0</v>
      </c>
      <c r="CO147" s="458" t="e">
        <v>#N/A</v>
      </c>
      <c r="CP147" s="458" t="e">
        <v>#N/A</v>
      </c>
      <c r="CQ147" s="458" t="e">
        <v>#N/A</v>
      </c>
      <c r="CR147" s="458" t="e">
        <v>#N/A</v>
      </c>
      <c r="CS147" s="458" t="e">
        <v>#N/A</v>
      </c>
      <c r="CT147" s="458" t="e">
        <v>#N/A</v>
      </c>
      <c r="CU147" s="458" t="e">
        <v>#N/A</v>
      </c>
      <c r="CV147" s="458" t="e">
        <v>#N/A</v>
      </c>
      <c r="CW147" s="458" t="e">
        <v>#N/A</v>
      </c>
      <c r="CX147" s="458" t="e">
        <v>#N/A</v>
      </c>
      <c r="CY147" s="458" t="e">
        <v>#N/A</v>
      </c>
      <c r="CZ147" s="458" t="e">
        <v>#N/A</v>
      </c>
      <c r="DA147" s="458" t="e">
        <v>#N/A</v>
      </c>
      <c r="DB147" s="458" t="e">
        <v>#N/A</v>
      </c>
      <c r="DC147" s="458" t="e">
        <v>#N/A</v>
      </c>
      <c r="DD147" s="458" t="e">
        <v>#N/A</v>
      </c>
      <c r="DE147" s="458" t="e">
        <v>#N/A</v>
      </c>
      <c r="DF147" s="458" t="e">
        <v>#N/A</v>
      </c>
      <c r="DG147" s="458" t="e">
        <v>#N/A</v>
      </c>
      <c r="DH147" s="458" t="e">
        <v>#N/A</v>
      </c>
      <c r="DI147" s="458" t="e">
        <v>#N/A</v>
      </c>
      <c r="DJ147" s="458" t="e">
        <v>#N/A</v>
      </c>
      <c r="DK147" s="458" t="e">
        <v>#N/A</v>
      </c>
      <c r="DL147" s="458" t="e">
        <v>#N/A</v>
      </c>
      <c r="DM147" s="458" t="e">
        <v>#N/A</v>
      </c>
      <c r="DN147" s="458" t="e">
        <v>#N/A</v>
      </c>
      <c r="DO147" s="400"/>
      <c r="DP147" s="462">
        <f t="shared" si="269"/>
        <v>135.23499999999999</v>
      </c>
      <c r="DQ147" s="462" t="str">
        <f t="shared" si="380"/>
        <v/>
      </c>
      <c r="DR147" s="462" t="str">
        <f t="shared" ref="DR147:EO147" si="391">IFERROR(CONCATENATE(ROUND($DP147,3),",",ROUND(ABS(DK119),3),",",ROUND(EM119,3)," "),"")</f>
        <v xml:space="preserve">135.235,2.3,0 </v>
      </c>
      <c r="DS147" s="462" t="str">
        <f t="shared" si="391"/>
        <v xml:space="preserve">135.235,3.43,0.5 </v>
      </c>
      <c r="DT147" s="462" t="str">
        <f t="shared" si="391"/>
        <v xml:space="preserve">135.235,4.13,1 </v>
      </c>
      <c r="DU147" s="462" t="str">
        <f t="shared" si="391"/>
        <v xml:space="preserve">135.235,4.58,1.5 </v>
      </c>
      <c r="DV147" s="462" t="str">
        <f t="shared" si="391"/>
        <v xml:space="preserve">135.235,4.91,2 </v>
      </c>
      <c r="DW147" s="462" t="str">
        <f t="shared" si="391"/>
        <v xml:space="preserve">135.235,5.63,4 </v>
      </c>
      <c r="DX147" s="462" t="str">
        <f t="shared" si="391"/>
        <v xml:space="preserve">135.235,6.05,6 </v>
      </c>
      <c r="DY147" s="462" t="str">
        <f t="shared" si="391"/>
        <v xml:space="preserve">135.235,6.39,8 </v>
      </c>
      <c r="DZ147" s="462" t="str">
        <f t="shared" si="391"/>
        <v xml:space="preserve">135.235,6.82,9.7 </v>
      </c>
      <c r="EA147" s="462" t="str">
        <f t="shared" si="391"/>
        <v xml:space="preserve">135.235,6.91,10 </v>
      </c>
      <c r="EB147" s="462" t="str">
        <f t="shared" si="391"/>
        <v xml:space="preserve">135.235,7.5,12 </v>
      </c>
      <c r="EC147" s="462" t="str">
        <f t="shared" si="391"/>
        <v xml:space="preserve">135.235,7.8,13 </v>
      </c>
      <c r="ED147" s="462" t="str">
        <f t="shared" si="391"/>
        <v/>
      </c>
      <c r="EE147" s="462" t="str">
        <f t="shared" si="391"/>
        <v/>
      </c>
      <c r="EF147" s="462" t="str">
        <f t="shared" si="391"/>
        <v/>
      </c>
      <c r="EG147" s="462" t="str">
        <f t="shared" si="391"/>
        <v/>
      </c>
      <c r="EH147" s="462" t="str">
        <f t="shared" si="391"/>
        <v/>
      </c>
      <c r="EI147" s="462" t="str">
        <f t="shared" si="391"/>
        <v/>
      </c>
      <c r="EJ147" s="462" t="str">
        <f t="shared" si="391"/>
        <v/>
      </c>
      <c r="EK147" s="462" t="str">
        <f t="shared" si="391"/>
        <v/>
      </c>
      <c r="EL147" s="462" t="str">
        <f t="shared" si="391"/>
        <v/>
      </c>
      <c r="EM147" s="462" t="str">
        <f t="shared" si="391"/>
        <v/>
      </c>
      <c r="EN147" s="462" t="str">
        <f t="shared" si="391"/>
        <v/>
      </c>
      <c r="EO147" s="462" t="str">
        <f t="shared" si="391"/>
        <v/>
      </c>
      <c r="EP147" s="462" t="str">
        <f t="shared" si="381"/>
        <v/>
      </c>
      <c r="ER147" s="461" t="str">
        <f t="shared" si="304"/>
        <v xml:space="preserve">135.235,2.3,0 135.235,3.43,0.5 135.235,4.13,1 135.235,4.58,1.5 135.235,4.91,2 135.235,5.63,4 135.235,6.05,6 135.235,6.39,8 135.235,6.82,9.7 135.235,6.91,10 135.235,7.5,12 135.235,7.8,13 </v>
      </c>
      <c r="ES147" s="189" t="str">
        <f t="shared" ca="1" si="348"/>
        <v xml:space="preserve">Spline 135.235,0,0 135.235,2.3,0 135.235,3.43,0.5 135.235,4.13,1 135.235,4.58,1.5 135.235,4.91,2 135.235,5.63,4 135.235,6.05,6 135.235,6.39,8 135.235,6.82,9.7 135.235,6.91,10 135.235,7.5,12 135.235,7.8,13  </v>
      </c>
      <c r="ET147" s="132" t="str">
        <f t="shared" ca="1" si="305"/>
        <v xml:space="preserve">Spline 135.235,0,0 135.235,2.3,0 135.235,3.43,0.5 135.235,4.13,1 135.235,4.58,1.5 135.235,4.91,2 135.235,5.63,4 135.235,6.05,6 135.235,6.39,8 135.235,6.82,9.7 135.235,6.91,10 135.235,7.5,12 135.235,7.8,13  </v>
      </c>
      <c r="EU147" s="132">
        <f ca="1">COUNTIF(BP_22,NA())</f>
        <v>0</v>
      </c>
      <c r="EV147" s="132">
        <f t="shared" ca="1" si="271"/>
        <v>0</v>
      </c>
      <c r="EW147" s="132">
        <v>22</v>
      </c>
      <c r="EX147" s="132" t="str">
        <f t="shared" si="272"/>
        <v xml:space="preserve">135.235,7.8,13 </v>
      </c>
      <c r="EY147" s="132" t="str">
        <f t="shared" ca="1" si="273"/>
        <v xml:space="preserve">Spline 135.235,0,0 135.235,7.8,13 135.235,7.5,12 135.235,6.91,10 135.235,6.82,9.7 135.235,6.39,8 135.235,6.05,6 135.235,5.63,4 135.235,4.91,2 135.235,4.58,1.5 135.235,4.13,1 135.235,3.43,0.5 135.235,2.3,0 </v>
      </c>
      <c r="EZ147" s="189" t="str">
        <f t="shared" si="306"/>
        <v xml:space="preserve">135.235,2.3,0 135.235,3.43,0.5 135.235,4.13,1 135.235,4.58,1.5 135.235,4.91,2 135.235,5.63,4 135.235,6.05,6 135.235,6.39,8 135.235,6.82,9.7 135.235,6.91,10 135.235,7.5,12 135.235,7.8,13  </v>
      </c>
      <c r="FB147" s="462">
        <f t="shared" si="274"/>
        <v>135.23499999999999</v>
      </c>
      <c r="FC147" s="464" t="str">
        <f t="shared" si="307"/>
        <v/>
      </c>
      <c r="FD147" s="462" t="str">
        <f t="shared" ref="FD147:GB147" si="392">IFERROR(CONCATENATE(ROUND($DP147,3),",",-ROUND(ABS(DK119),3),",",ROUND(EM119,3)," "),"")</f>
        <v xml:space="preserve">135.235,-2.3,0 </v>
      </c>
      <c r="FE147" s="462" t="str">
        <f t="shared" si="392"/>
        <v xml:space="preserve">135.235,-3.43,0.5 </v>
      </c>
      <c r="FF147" s="462" t="str">
        <f t="shared" si="392"/>
        <v xml:space="preserve">135.235,-4.13,1 </v>
      </c>
      <c r="FG147" s="462" t="str">
        <f t="shared" si="392"/>
        <v xml:space="preserve">135.235,-4.58,1.5 </v>
      </c>
      <c r="FH147" s="462" t="str">
        <f t="shared" si="392"/>
        <v xml:space="preserve">135.235,-4.91,2 </v>
      </c>
      <c r="FI147" s="462" t="str">
        <f t="shared" si="392"/>
        <v xml:space="preserve">135.235,-5.63,4 </v>
      </c>
      <c r="FJ147" s="462" t="str">
        <f t="shared" si="392"/>
        <v xml:space="preserve">135.235,-6.05,6 </v>
      </c>
      <c r="FK147" s="462" t="str">
        <f t="shared" si="392"/>
        <v xml:space="preserve">135.235,-6.39,8 </v>
      </c>
      <c r="FL147" s="462" t="str">
        <f t="shared" si="392"/>
        <v xml:space="preserve">135.235,-6.82,9.7 </v>
      </c>
      <c r="FM147" s="462" t="str">
        <f t="shared" si="392"/>
        <v xml:space="preserve">135.235,-6.91,10 </v>
      </c>
      <c r="FN147" s="462" t="str">
        <f t="shared" si="392"/>
        <v xml:space="preserve">135.235,-7.5,12 </v>
      </c>
      <c r="FO147" s="462" t="str">
        <f t="shared" si="392"/>
        <v xml:space="preserve">135.235,-7.8,13 </v>
      </c>
      <c r="FP147" s="462" t="str">
        <f t="shared" si="392"/>
        <v/>
      </c>
      <c r="FQ147" s="462" t="str">
        <f t="shared" si="392"/>
        <v/>
      </c>
      <c r="FR147" s="462" t="str">
        <f t="shared" si="392"/>
        <v/>
      </c>
      <c r="FS147" s="462" t="str">
        <f t="shared" si="392"/>
        <v/>
      </c>
      <c r="FT147" s="462" t="str">
        <f t="shared" si="392"/>
        <v/>
      </c>
      <c r="FU147" s="462" t="str">
        <f t="shared" si="392"/>
        <v/>
      </c>
      <c r="FV147" s="462" t="str">
        <f t="shared" si="392"/>
        <v/>
      </c>
      <c r="FW147" s="462" t="str">
        <f t="shared" si="392"/>
        <v/>
      </c>
      <c r="FX147" s="462" t="str">
        <f t="shared" si="392"/>
        <v/>
      </c>
      <c r="FY147" s="462" t="str">
        <f t="shared" si="392"/>
        <v/>
      </c>
      <c r="FZ147" s="462" t="str">
        <f t="shared" si="392"/>
        <v/>
      </c>
      <c r="GA147" s="462" t="str">
        <f t="shared" si="392"/>
        <v/>
      </c>
      <c r="GB147" s="462" t="str">
        <f t="shared" si="392"/>
        <v/>
      </c>
      <c r="GC147" s="132" t="str">
        <f t="shared" si="309"/>
        <v xml:space="preserve">135.235,7.8,13 135.235,7.5,12 135.235,6.91,10 135.235,6.82,9.7 135.235,6.39,8 135.235,6.05,6 135.235,5.63,4 135.235,4.91,2 135.235,4.58,1.5 135.235,4.13,1 135.235,3.43,0.5 135.235,2.3,0 </v>
      </c>
      <c r="GD147" s="132" t="str">
        <f t="shared" ca="1" si="276"/>
        <v>Spline 135.235,7.8,13 135.235,7.5,12 135.235,6.91,10 135.235,6.82,9.7 135.235,6.39,8 135.235,6.05,6 135.235,5.63,4 135.235,4.91,2 135.235,4.58,1.5 135.235,4.13,1 135.235,3.43,0.5 135.235,2.3,0 135.235,0,0</v>
      </c>
      <c r="GE147" s="465" t="str">
        <f t="shared" si="310"/>
        <v xml:space="preserve">135.235,-2.3,0 135.235,-3.43,0.5 135.235,-4.13,1 135.235,-4.58,1.5 135.235,-4.91,2 135.235,-5.63,4 135.235,-6.05,6 135.235,-6.39,8 135.235,-6.82,9.7 135.235,-6.91,10 135.235,-7.5,12 135.235,-7.8,13 </v>
      </c>
      <c r="GH147" s="132" t="str">
        <f t="shared" si="311"/>
        <v xml:space="preserve">Spline 135.235,7.8,13 135.235,7.5,12 135.235,6.91,10 135.235,6.82,9.7 135.235,6.39,8 135.235,6.05,6 135.235,5.63,4 135.235,4.91,2 135.235,4.58,1.5 135.235,4.13,1 135.235,3.43,0.5 135.235,2.3,0 T 135.235,0,0 </v>
      </c>
      <c r="GI147" s="132" t="str">
        <f t="shared" si="312"/>
        <v xml:space="preserve">Spline 135.235,2.3,0 135.235,0,0  Join 135.235,0,0  135.235,7.8,13 </v>
      </c>
      <c r="GP147" s="132" t="str">
        <f t="shared" si="277"/>
        <v xml:space="preserve">135.235,0,0 </v>
      </c>
      <c r="GQ147" s="132" t="str">
        <f t="shared" si="313"/>
        <v>Curve 135.235,7.8,13 135.235,7.5,12 135.235,6.91,10 135.235,6.82,9.7 135.235,6.39,8 135.235,6.05,6 135.235,5.63,4 135.235,4.91,2 135.235,4.58,1.5 135.235,4.13,1 135.235,3.43,0.5 135.235,2.3,0 135.235,0,0 _enter</v>
      </c>
    </row>
    <row r="148" spans="1:199" x14ac:dyDescent="0.25">
      <c r="A148" s="377" t="str">
        <f t="shared" si="379"/>
        <v xml:space="preserve">  </v>
      </c>
      <c r="B148" s="380" t="str">
        <f t="shared" si="278"/>
        <v/>
      </c>
      <c r="C148" s="380" t="str">
        <f t="shared" si="279"/>
        <v/>
      </c>
      <c r="D148" s="380" t="str">
        <f t="shared" si="280"/>
        <v/>
      </c>
      <c r="E148" s="380" t="str">
        <f t="shared" si="281"/>
        <v/>
      </c>
      <c r="F148" s="380" t="str">
        <f t="shared" si="282"/>
        <v/>
      </c>
      <c r="G148" s="380" t="str">
        <f t="shared" si="283"/>
        <v/>
      </c>
      <c r="H148" s="380" t="str">
        <f t="shared" si="284"/>
        <v/>
      </c>
      <c r="I148" s="380" t="str">
        <f t="shared" si="285"/>
        <v/>
      </c>
      <c r="J148" s="380" t="str">
        <f t="shared" si="286"/>
        <v/>
      </c>
      <c r="K148" s="380" t="str">
        <f t="shared" si="287"/>
        <v/>
      </c>
      <c r="L148" s="380" t="str">
        <f t="shared" si="288"/>
        <v/>
      </c>
      <c r="M148" s="380" t="str">
        <f t="shared" si="289"/>
        <v/>
      </c>
      <c r="N148" s="380" t="str">
        <f t="shared" si="290"/>
        <v/>
      </c>
      <c r="O148" s="380" t="str">
        <f t="shared" si="291"/>
        <v/>
      </c>
      <c r="P148" s="380" t="str">
        <f t="shared" si="292"/>
        <v/>
      </c>
      <c r="Q148" s="380" t="str">
        <f t="shared" si="293"/>
        <v/>
      </c>
      <c r="R148" s="380" t="str">
        <f t="shared" si="294"/>
        <v/>
      </c>
      <c r="S148" s="380" t="str">
        <f t="shared" si="295"/>
        <v/>
      </c>
      <c r="T148" s="380" t="str">
        <f t="shared" si="296"/>
        <v/>
      </c>
      <c r="U148" s="380" t="str">
        <f t="shared" si="297"/>
        <v/>
      </c>
      <c r="V148" s="380" t="str">
        <f t="shared" si="298"/>
        <v/>
      </c>
      <c r="W148" s="380" t="str">
        <f t="shared" si="299"/>
        <v/>
      </c>
      <c r="X148" s="380" t="str">
        <f t="shared" si="300"/>
        <v/>
      </c>
      <c r="Y148" s="380" t="str">
        <f t="shared" si="301"/>
        <v/>
      </c>
      <c r="Z148" s="398" t="str">
        <f t="shared" si="302"/>
        <v/>
      </c>
      <c r="AB148" s="248" t="str">
        <f t="shared" si="314"/>
        <v xml:space="preserve">  </v>
      </c>
      <c r="AC148" s="248" t="str">
        <f>Tools!B148</f>
        <v/>
      </c>
      <c r="AD148" s="248" t="str">
        <f>Tools!C148</f>
        <v/>
      </c>
      <c r="AE148" s="248" t="str">
        <f>Tools!D148</f>
        <v/>
      </c>
      <c r="AF148" s="248" t="str">
        <f>Tools!E148</f>
        <v/>
      </c>
      <c r="AG148" s="248" t="str">
        <f>Tools!F148</f>
        <v/>
      </c>
      <c r="AH148" s="248" t="str">
        <f>Tools!G148</f>
        <v/>
      </c>
      <c r="AI148" s="248" t="str">
        <f>Tools!H148</f>
        <v/>
      </c>
      <c r="AJ148" s="248" t="str">
        <f>Tools!I148</f>
        <v/>
      </c>
      <c r="AK148" s="248" t="str">
        <f>Tools!J148</f>
        <v/>
      </c>
      <c r="AL148" s="248" t="str">
        <f>Tools!K148</f>
        <v/>
      </c>
      <c r="AM148" s="248" t="str">
        <f>Tools!L148</f>
        <v/>
      </c>
      <c r="AN148" s="248" t="str">
        <f>Tools!M148</f>
        <v/>
      </c>
      <c r="AO148" s="248" t="str">
        <f>Tools!N148</f>
        <v/>
      </c>
      <c r="AP148" s="248" t="str">
        <f>Tools!O148</f>
        <v/>
      </c>
      <c r="AQ148" s="248" t="str">
        <f>Tools!P148</f>
        <v/>
      </c>
      <c r="AR148" s="248" t="str">
        <f>Tools!Q148</f>
        <v/>
      </c>
      <c r="AS148" s="248" t="str">
        <f>Tools!R148</f>
        <v/>
      </c>
      <c r="AT148" s="248" t="str">
        <f>Tools!S148</f>
        <v/>
      </c>
      <c r="AU148" s="248" t="str">
        <f>Tools!T148</f>
        <v/>
      </c>
      <c r="AV148" s="248" t="str">
        <f>Tools!U148</f>
        <v/>
      </c>
      <c r="AW148" s="248" t="str">
        <f>Tools!V148</f>
        <v/>
      </c>
      <c r="AX148" s="248" t="str">
        <f>Tools!W148</f>
        <v/>
      </c>
      <c r="AY148" s="248" t="str">
        <f>Tools!X148</f>
        <v/>
      </c>
      <c r="AZ148" s="248" t="str">
        <f>Tools!Y148</f>
        <v/>
      </c>
      <c r="BA148" s="399" t="str">
        <f>Tools!Z148</f>
        <v/>
      </c>
      <c r="BC148" s="277">
        <f>Offset!Q23</f>
        <v>18</v>
      </c>
      <c r="BD148" s="280" t="str">
        <f>IF(ISNUMBER(VLOOKUP(BC148,Offset!Q$2:R$27,2,FALSE)),VLOOKUP(BC148,Offset!Q$2:R$27,2,FALSE),"-")</f>
        <v>-</v>
      </c>
      <c r="BE148" s="280" t="e">
        <f t="shared" si="350"/>
        <v>#VALUE!</v>
      </c>
      <c r="BF148" s="280" t="str">
        <f t="shared" si="316"/>
        <v>#NA</v>
      </c>
      <c r="BG148" s="280" t="str">
        <f t="shared" si="317"/>
        <v>#NA</v>
      </c>
      <c r="BH148" s="280" t="str">
        <f t="shared" si="318"/>
        <v>#NA</v>
      </c>
      <c r="BI148" s="280" t="str">
        <f t="shared" si="319"/>
        <v>#NA</v>
      </c>
      <c r="BJ148" s="280" t="str">
        <f t="shared" si="320"/>
        <v>#NA</v>
      </c>
      <c r="BK148" s="280" t="str">
        <f t="shared" si="321"/>
        <v>#NA</v>
      </c>
      <c r="BL148" s="280" t="str">
        <f t="shared" si="322"/>
        <v>#NA</v>
      </c>
      <c r="BM148" s="280"/>
      <c r="BN148" s="280" t="e">
        <f t="shared" si="323"/>
        <v>#VALUE!</v>
      </c>
      <c r="BO148" s="280" t="e">
        <f t="shared" si="324"/>
        <v>#VALUE!</v>
      </c>
      <c r="BP148" s="280" t="e">
        <f t="shared" si="325"/>
        <v>#VALUE!</v>
      </c>
      <c r="BQ148" s="280" t="e">
        <f t="shared" si="326"/>
        <v>#VALUE!</v>
      </c>
      <c r="BR148" s="280" t="e">
        <f t="shared" si="327"/>
        <v>#VALUE!</v>
      </c>
      <c r="BS148" s="280" t="e">
        <f t="shared" si="328"/>
        <v>#VALUE!</v>
      </c>
      <c r="BT148" s="280" t="e">
        <f t="shared" si="329"/>
        <v>#VALUE!</v>
      </c>
      <c r="BU148" s="280" t="e">
        <f t="shared" si="330"/>
        <v>#VALUE!</v>
      </c>
      <c r="BV148" s="280" t="e">
        <f t="shared" si="331"/>
        <v>#VALUE!</v>
      </c>
      <c r="BW148" s="280" t="e">
        <f t="shared" si="332"/>
        <v>#VALUE!</v>
      </c>
      <c r="BX148" s="280" t="e">
        <f t="shared" si="351"/>
        <v>#VALUE!</v>
      </c>
      <c r="BY148" s="280" t="e">
        <f t="shared" si="333"/>
        <v>#VALUE!</v>
      </c>
      <c r="BZ148" s="280" t="e">
        <f t="shared" si="334"/>
        <v>#VALUE!</v>
      </c>
      <c r="CA148" s="280" t="e">
        <f t="shared" si="335"/>
        <v>#VALUE!</v>
      </c>
      <c r="CB148" s="280" t="e">
        <f t="shared" si="336"/>
        <v>#VALUE!</v>
      </c>
      <c r="CC148" s="280" t="e">
        <f t="shared" si="337"/>
        <v>#VALUE!</v>
      </c>
      <c r="CD148" s="280" t="e">
        <f t="shared" si="338"/>
        <v>#VALUE!</v>
      </c>
      <c r="CE148" s="280" t="e">
        <f t="shared" si="339"/>
        <v>#VALUE!</v>
      </c>
      <c r="CF148" s="280" t="e">
        <f t="shared" si="340"/>
        <v>#VALUE!</v>
      </c>
      <c r="CG148" s="280" t="e">
        <f t="shared" si="341"/>
        <v>#VALUE!</v>
      </c>
      <c r="CH148" s="280" t="e">
        <f t="shared" si="342"/>
        <v>#VALUE!</v>
      </c>
      <c r="CI148" s="280" t="e">
        <f t="shared" si="343"/>
        <v>#VALUE!</v>
      </c>
      <c r="CJ148" s="280" t="e">
        <f t="shared" si="344"/>
        <v>#VALUE!</v>
      </c>
      <c r="CK148" s="280" t="e">
        <f t="shared" si="345"/>
        <v>#VALUE!</v>
      </c>
      <c r="CL148" s="280" t="e">
        <f t="shared" si="346"/>
        <v>#VALUE!</v>
      </c>
      <c r="CM148" s="279">
        <f t="shared" si="352"/>
        <v>0</v>
      </c>
      <c r="CO148" s="458" t="e">
        <v>#N/A</v>
      </c>
      <c r="CP148" s="458" t="e">
        <v>#N/A</v>
      </c>
      <c r="CQ148" s="458" t="e">
        <v>#N/A</v>
      </c>
      <c r="CR148" s="458" t="e">
        <v>#N/A</v>
      </c>
      <c r="CS148" s="458" t="e">
        <v>#N/A</v>
      </c>
      <c r="CT148" s="458" t="e">
        <v>#N/A</v>
      </c>
      <c r="CU148" s="458" t="e">
        <v>#N/A</v>
      </c>
      <c r="CV148" s="458" t="e">
        <v>#N/A</v>
      </c>
      <c r="CW148" s="458" t="e">
        <v>#N/A</v>
      </c>
      <c r="CX148" s="458" t="e">
        <v>#N/A</v>
      </c>
      <c r="CY148" s="458" t="e">
        <v>#N/A</v>
      </c>
      <c r="CZ148" s="458" t="e">
        <v>#N/A</v>
      </c>
      <c r="DA148" s="458" t="e">
        <v>#N/A</v>
      </c>
      <c r="DB148" s="458" t="e">
        <v>#N/A</v>
      </c>
      <c r="DC148" s="458" t="e">
        <v>#N/A</v>
      </c>
      <c r="DD148" s="458" t="e">
        <v>#N/A</v>
      </c>
      <c r="DE148" s="458" t="e">
        <v>#N/A</v>
      </c>
      <c r="DF148" s="458" t="e">
        <v>#N/A</v>
      </c>
      <c r="DG148" s="458" t="e">
        <v>#N/A</v>
      </c>
      <c r="DH148" s="458" t="e">
        <v>#N/A</v>
      </c>
      <c r="DI148" s="458" t="e">
        <v>#N/A</v>
      </c>
      <c r="DJ148" s="458" t="e">
        <v>#N/A</v>
      </c>
      <c r="DK148" s="458" t="e">
        <v>#N/A</v>
      </c>
      <c r="DL148" s="458" t="e">
        <v>#N/A</v>
      </c>
      <c r="DM148" s="458" t="e">
        <v>#N/A</v>
      </c>
      <c r="DN148" s="458" t="e">
        <v>#N/A</v>
      </c>
      <c r="DP148" s="462">
        <f t="shared" si="269"/>
        <v>138.88999999999999</v>
      </c>
      <c r="DQ148" s="462" t="str">
        <f t="shared" si="380"/>
        <v/>
      </c>
      <c r="DR148" s="462" t="str">
        <f t="shared" ref="DR148:EO148" si="393">IFERROR(CONCATENATE(ROUND($DP148,3),",",ROUND(ABS(DK120),3),",",ROUND(EM120,3)," "),"")</f>
        <v xml:space="preserve">138.89,1.3,0 </v>
      </c>
      <c r="DS148" s="462" t="str">
        <f t="shared" si="393"/>
        <v xml:space="preserve">138.89,2.3,0.5 </v>
      </c>
      <c r="DT148" s="462" t="str">
        <f t="shared" si="393"/>
        <v xml:space="preserve">138.89,2.84,1 </v>
      </c>
      <c r="DU148" s="462" t="str">
        <f t="shared" si="393"/>
        <v xml:space="preserve">138.89,3.25,1.5 </v>
      </c>
      <c r="DV148" s="462" t="str">
        <f t="shared" si="393"/>
        <v xml:space="preserve">138.89,3.53,2 </v>
      </c>
      <c r="DW148" s="462" t="str">
        <f t="shared" si="393"/>
        <v xml:space="preserve">138.89,4.11,4 </v>
      </c>
      <c r="DX148" s="462" t="str">
        <f t="shared" si="393"/>
        <v xml:space="preserve">138.89,4.23,6 </v>
      </c>
      <c r="DY148" s="462" t="str">
        <f t="shared" si="393"/>
        <v xml:space="preserve">138.89,4.47,8 </v>
      </c>
      <c r="DZ148" s="462" t="str">
        <f t="shared" si="393"/>
        <v xml:space="preserve">138.89,4.87,9.7 </v>
      </c>
      <c r="EA148" s="462" t="str">
        <f t="shared" si="393"/>
        <v xml:space="preserve">138.89,4.94,10 </v>
      </c>
      <c r="EB148" s="462" t="str">
        <f t="shared" si="393"/>
        <v xml:space="preserve">138.89,5.59,12 </v>
      </c>
      <c r="EC148" s="462" t="str">
        <f t="shared" si="393"/>
        <v xml:space="preserve">138.89,5.94,13 </v>
      </c>
      <c r="ED148" s="462" t="str">
        <f t="shared" si="393"/>
        <v/>
      </c>
      <c r="EE148" s="462" t="str">
        <f t="shared" si="393"/>
        <v/>
      </c>
      <c r="EF148" s="462" t="str">
        <f t="shared" si="393"/>
        <v/>
      </c>
      <c r="EG148" s="462" t="str">
        <f t="shared" si="393"/>
        <v/>
      </c>
      <c r="EH148" s="462" t="str">
        <f t="shared" si="393"/>
        <v/>
      </c>
      <c r="EI148" s="462" t="str">
        <f t="shared" si="393"/>
        <v/>
      </c>
      <c r="EJ148" s="462" t="str">
        <f t="shared" si="393"/>
        <v/>
      </c>
      <c r="EK148" s="462" t="str">
        <f t="shared" si="393"/>
        <v/>
      </c>
      <c r="EL148" s="462" t="str">
        <f t="shared" si="393"/>
        <v/>
      </c>
      <c r="EM148" s="462" t="str">
        <f t="shared" si="393"/>
        <v/>
      </c>
      <c r="EN148" s="462" t="str">
        <f t="shared" si="393"/>
        <v/>
      </c>
      <c r="EO148" s="462" t="str">
        <f t="shared" si="393"/>
        <v/>
      </c>
      <c r="EP148" s="462" t="str">
        <f t="shared" si="381"/>
        <v/>
      </c>
      <c r="ER148" s="461" t="str">
        <f t="shared" si="304"/>
        <v xml:space="preserve">138.89,1.3,0 138.89,2.3,0.5 138.89,2.84,1 138.89,3.25,1.5 138.89,3.53,2 138.89,4.11,4 138.89,4.23,6 138.89,4.47,8 138.89,4.87,9.7 138.89,4.94,10 138.89,5.59,12 138.89,5.94,13 </v>
      </c>
      <c r="ES148" s="189" t="str">
        <f t="shared" ca="1" si="348"/>
        <v xml:space="preserve">Spline 138.89,0,0 138.89,1.3,0 138.89,2.3,0.5 138.89,2.84,1 138.89,3.25,1.5 138.89,3.53,2 138.89,4.11,4 138.89,4.23,6 138.89,4.47,8 138.89,4.87,9.7 138.89,4.94,10 138.89,5.59,12 138.89,5.94,13  </v>
      </c>
      <c r="ET148" s="132" t="str">
        <f t="shared" ca="1" si="305"/>
        <v xml:space="preserve">Spline 138.89,0,0 138.89,1.3,0 138.89,2.3,0.5 138.89,2.84,1 138.89,3.25,1.5 138.89,3.53,2 138.89,4.11,4 138.89,4.23,6 138.89,4.47,8 138.89,4.87,9.7 138.89,4.94,10 138.89,5.59,12 138.89,5.94,13  </v>
      </c>
      <c r="EU148" s="132">
        <f ca="1">COUNTIF(BP_23,NA())</f>
        <v>0</v>
      </c>
      <c r="EV148" s="132">
        <f t="shared" ca="1" si="271"/>
        <v>0</v>
      </c>
      <c r="EW148" s="132">
        <v>23</v>
      </c>
      <c r="EX148" s="132" t="str">
        <f t="shared" si="272"/>
        <v xml:space="preserve">138.89,5.94,13 </v>
      </c>
      <c r="EY148" s="132" t="str">
        <f t="shared" ca="1" si="273"/>
        <v xml:space="preserve">Spline 138.89,0,0 138.89,5.94,13 138.89,5.59,12 138.89,4.94,10 138.89,4.87,9.7 138.89,4.47,8 138.89,4.23,6 138.89,4.11,4 138.89,3.53,2 138.89,3.25,1.5 138.89,2.84,1 138.89,2.3,0.5 138.89,1.3,0 </v>
      </c>
      <c r="EZ148" s="189" t="str">
        <f t="shared" si="306"/>
        <v xml:space="preserve">138.89,1.3,0 138.89,2.3,0.5 138.89,2.84,1 138.89,3.25,1.5 138.89,3.53,2 138.89,4.11,4 138.89,4.23,6 138.89,4.47,8 138.89,4.87,9.7 138.89,4.94,10 138.89,5.59,12 138.89,5.94,13  </v>
      </c>
      <c r="FB148" s="462">
        <f t="shared" si="274"/>
        <v>138.88999999999999</v>
      </c>
      <c r="FC148" s="464" t="str">
        <f t="shared" si="307"/>
        <v/>
      </c>
      <c r="FD148" s="462" t="str">
        <f t="shared" ref="FD148:GB148" si="394">IFERROR(CONCATENATE(ROUND($DP148,3),",",-ROUND(ABS(DK120),3),",",ROUND(EM120,3)," "),"")</f>
        <v xml:space="preserve">138.89,-1.3,0 </v>
      </c>
      <c r="FE148" s="462" t="str">
        <f t="shared" si="394"/>
        <v xml:space="preserve">138.89,-2.3,0.5 </v>
      </c>
      <c r="FF148" s="462" t="str">
        <f t="shared" si="394"/>
        <v xml:space="preserve">138.89,-2.84,1 </v>
      </c>
      <c r="FG148" s="462" t="str">
        <f t="shared" si="394"/>
        <v xml:space="preserve">138.89,-3.25,1.5 </v>
      </c>
      <c r="FH148" s="462" t="str">
        <f t="shared" si="394"/>
        <v xml:space="preserve">138.89,-3.53,2 </v>
      </c>
      <c r="FI148" s="462" t="str">
        <f t="shared" si="394"/>
        <v xml:space="preserve">138.89,-4.11,4 </v>
      </c>
      <c r="FJ148" s="462" t="str">
        <f t="shared" si="394"/>
        <v xml:space="preserve">138.89,-4.23,6 </v>
      </c>
      <c r="FK148" s="462" t="str">
        <f t="shared" si="394"/>
        <v xml:space="preserve">138.89,-4.47,8 </v>
      </c>
      <c r="FL148" s="462" t="str">
        <f t="shared" si="394"/>
        <v xml:space="preserve">138.89,-4.87,9.7 </v>
      </c>
      <c r="FM148" s="462" t="str">
        <f t="shared" si="394"/>
        <v xml:space="preserve">138.89,-4.94,10 </v>
      </c>
      <c r="FN148" s="462" t="str">
        <f t="shared" si="394"/>
        <v xml:space="preserve">138.89,-5.59,12 </v>
      </c>
      <c r="FO148" s="462" t="str">
        <f t="shared" si="394"/>
        <v xml:space="preserve">138.89,-5.94,13 </v>
      </c>
      <c r="FP148" s="462" t="str">
        <f t="shared" si="394"/>
        <v/>
      </c>
      <c r="FQ148" s="462" t="str">
        <f t="shared" si="394"/>
        <v/>
      </c>
      <c r="FR148" s="462" t="str">
        <f t="shared" si="394"/>
        <v/>
      </c>
      <c r="FS148" s="462" t="str">
        <f t="shared" si="394"/>
        <v/>
      </c>
      <c r="FT148" s="462" t="str">
        <f t="shared" si="394"/>
        <v/>
      </c>
      <c r="FU148" s="462" t="str">
        <f t="shared" si="394"/>
        <v/>
      </c>
      <c r="FV148" s="462" t="str">
        <f t="shared" si="394"/>
        <v/>
      </c>
      <c r="FW148" s="462" t="str">
        <f t="shared" si="394"/>
        <v/>
      </c>
      <c r="FX148" s="462" t="str">
        <f t="shared" si="394"/>
        <v/>
      </c>
      <c r="FY148" s="462" t="str">
        <f t="shared" si="394"/>
        <v/>
      </c>
      <c r="FZ148" s="462" t="str">
        <f t="shared" si="394"/>
        <v/>
      </c>
      <c r="GA148" s="462" t="str">
        <f t="shared" si="394"/>
        <v/>
      </c>
      <c r="GB148" s="462" t="str">
        <f t="shared" si="394"/>
        <v/>
      </c>
      <c r="GC148" s="132" t="str">
        <f t="shared" si="309"/>
        <v xml:space="preserve">138.89,5.94,13 138.89,5.59,12 138.89,4.94,10 138.89,4.87,9.7 138.89,4.47,8 138.89,4.23,6 138.89,4.11,4 138.89,3.53,2 138.89,3.25,1.5 138.89,2.84,1 138.89,2.3,0.5 138.89,1.3,0 </v>
      </c>
      <c r="GD148" s="132" t="str">
        <f t="shared" ca="1" si="276"/>
        <v>Spline 138.89,5.94,13 138.89,5.59,12 138.89,4.94,10 138.89,4.87,9.7 138.89,4.47,8 138.89,4.23,6 138.89,4.11,4 138.89,3.53,2 138.89,3.25,1.5 138.89,2.84,1 138.89,2.3,0.5 138.89,1.3,0 138.89,0,0</v>
      </c>
      <c r="GE148" s="465" t="str">
        <f t="shared" si="310"/>
        <v xml:space="preserve">138.89,-1.3,0 138.89,-2.3,0.5 138.89,-2.84,1 138.89,-3.25,1.5 138.89,-3.53,2 138.89,-4.11,4 138.89,-4.23,6 138.89,-4.47,8 138.89,-4.87,9.7 138.89,-4.94,10 138.89,-5.59,12 138.89,-5.94,13 </v>
      </c>
      <c r="GH148" s="132" t="str">
        <f t="shared" si="311"/>
        <v xml:space="preserve">Spline 138.89,5.94,13 138.89,5.59,12 138.89,4.94,10 138.89,4.87,9.7 138.89,4.47,8 138.89,4.23,6 138.89,4.11,4 138.89,3.53,2 138.89,3.25,1.5 138.89,2.84,1 138.89,2.3,0.5 138.89,1.3,0 T 138.89,0,0 </v>
      </c>
      <c r="GI148" s="132" t="str">
        <f t="shared" si="312"/>
        <v xml:space="preserve">Spline 138.89,1.3,0 138.89,0,0  Join 138.89,0,0  138.89,5.94,13 </v>
      </c>
      <c r="GP148" s="132" t="str">
        <f t="shared" si="277"/>
        <v xml:space="preserve">138.89,0,0 </v>
      </c>
      <c r="GQ148" s="132" t="str">
        <f t="shared" si="313"/>
        <v>Curve 138.89,5.94,13 138.89,5.59,12 138.89,4.94,10 138.89,4.87,9.7 138.89,4.47,8 138.89,4.23,6 138.89,4.11,4 138.89,3.53,2 138.89,3.25,1.5 138.89,2.84,1 138.89,2.3,0.5 138.89,1.3,0 138.89,0,0 _enter</v>
      </c>
    </row>
    <row r="149" spans="1:199" ht="20.25" customHeight="1" x14ac:dyDescent="0.25">
      <c r="A149" s="377" t="str">
        <f t="shared" si="379"/>
        <v xml:space="preserve">  </v>
      </c>
      <c r="B149" s="380" t="str">
        <f t="shared" si="278"/>
        <v/>
      </c>
      <c r="C149" s="380" t="str">
        <f t="shared" si="279"/>
        <v/>
      </c>
      <c r="D149" s="380" t="str">
        <f t="shared" si="280"/>
        <v/>
      </c>
      <c r="E149" s="380" t="str">
        <f t="shared" si="281"/>
        <v/>
      </c>
      <c r="F149" s="380" t="str">
        <f t="shared" si="282"/>
        <v/>
      </c>
      <c r="G149" s="380" t="str">
        <f t="shared" si="283"/>
        <v/>
      </c>
      <c r="H149" s="380" t="str">
        <f t="shared" si="284"/>
        <v/>
      </c>
      <c r="I149" s="380" t="str">
        <f t="shared" si="285"/>
        <v/>
      </c>
      <c r="J149" s="380" t="str">
        <f t="shared" si="286"/>
        <v/>
      </c>
      <c r="K149" s="380" t="str">
        <f t="shared" si="287"/>
        <v/>
      </c>
      <c r="L149" s="380" t="str">
        <f t="shared" si="288"/>
        <v/>
      </c>
      <c r="M149" s="380" t="str">
        <f t="shared" si="289"/>
        <v/>
      </c>
      <c r="N149" s="380" t="str">
        <f t="shared" si="290"/>
        <v/>
      </c>
      <c r="O149" s="380" t="str">
        <f t="shared" si="291"/>
        <v/>
      </c>
      <c r="P149" s="380" t="str">
        <f t="shared" si="292"/>
        <v/>
      </c>
      <c r="Q149" s="380" t="str">
        <f t="shared" si="293"/>
        <v/>
      </c>
      <c r="R149" s="380" t="str">
        <f t="shared" si="294"/>
        <v/>
      </c>
      <c r="S149" s="380" t="str">
        <f t="shared" si="295"/>
        <v/>
      </c>
      <c r="T149" s="380" t="str">
        <f t="shared" si="296"/>
        <v/>
      </c>
      <c r="U149" s="380" t="str">
        <f t="shared" si="297"/>
        <v/>
      </c>
      <c r="V149" s="380" t="str">
        <f t="shared" si="298"/>
        <v/>
      </c>
      <c r="W149" s="380" t="str">
        <f t="shared" si="299"/>
        <v/>
      </c>
      <c r="X149" s="380" t="str">
        <f t="shared" si="300"/>
        <v/>
      </c>
      <c r="Y149" s="380" t="str">
        <f t="shared" si="301"/>
        <v/>
      </c>
      <c r="Z149" s="398" t="str">
        <f t="shared" si="302"/>
        <v/>
      </c>
      <c r="AB149" s="248" t="str">
        <f t="shared" si="314"/>
        <v xml:space="preserve">  </v>
      </c>
      <c r="AC149" s="248" t="str">
        <f>Tools!B149</f>
        <v/>
      </c>
      <c r="AD149" s="248" t="str">
        <f>Tools!C149</f>
        <v/>
      </c>
      <c r="AE149" s="248" t="str">
        <f>Tools!D149</f>
        <v/>
      </c>
      <c r="AF149" s="248" t="str">
        <f>Tools!E149</f>
        <v/>
      </c>
      <c r="AG149" s="248" t="str">
        <f>Tools!F149</f>
        <v/>
      </c>
      <c r="AH149" s="248" t="str">
        <f>Tools!G149</f>
        <v/>
      </c>
      <c r="AI149" s="248" t="str">
        <f>Tools!H149</f>
        <v/>
      </c>
      <c r="AJ149" s="248" t="str">
        <f>Tools!I149</f>
        <v/>
      </c>
      <c r="AK149" s="248" t="str">
        <f>Tools!J149</f>
        <v/>
      </c>
      <c r="AL149" s="248" t="str">
        <f>Tools!K149</f>
        <v/>
      </c>
      <c r="AM149" s="248" t="str">
        <f>Tools!L149</f>
        <v/>
      </c>
      <c r="AN149" s="248" t="str">
        <f>Tools!M149</f>
        <v/>
      </c>
      <c r="AO149" s="248" t="str">
        <f>Tools!N149</f>
        <v/>
      </c>
      <c r="AP149" s="248" t="str">
        <f>Tools!O149</f>
        <v/>
      </c>
      <c r="AQ149" s="248" t="str">
        <f>Tools!P149</f>
        <v/>
      </c>
      <c r="AR149" s="248" t="str">
        <f>Tools!Q149</f>
        <v/>
      </c>
      <c r="AS149" s="248" t="str">
        <f>Tools!R149</f>
        <v/>
      </c>
      <c r="AT149" s="248" t="str">
        <f>Tools!S149</f>
        <v/>
      </c>
      <c r="AU149" s="248" t="str">
        <f>Tools!T149</f>
        <v/>
      </c>
      <c r="AV149" s="248" t="str">
        <f>Tools!U149</f>
        <v/>
      </c>
      <c r="AW149" s="248" t="str">
        <f>Tools!V149</f>
        <v/>
      </c>
      <c r="AX149" s="248" t="str">
        <f>Tools!W149</f>
        <v/>
      </c>
      <c r="AY149" s="248" t="str">
        <f>Tools!X149</f>
        <v/>
      </c>
      <c r="AZ149" s="248" t="str">
        <f>Tools!Y149</f>
        <v/>
      </c>
      <c r="BA149" s="399" t="str">
        <f>Tools!Z149</f>
        <v/>
      </c>
      <c r="BC149" s="277">
        <f>Offset!Q24</f>
        <v>18.5</v>
      </c>
      <c r="BD149" s="280" t="str">
        <f>IF(ISNUMBER(VLOOKUP(BC149,Offset!Q$2:R$27,2,FALSE)),VLOOKUP(BC149,Offset!Q$2:R$27,2,FALSE),"-")</f>
        <v>-</v>
      </c>
      <c r="BE149" s="280" t="e">
        <f t="shared" si="350"/>
        <v>#VALUE!</v>
      </c>
      <c r="BF149" s="280" t="str">
        <f t="shared" si="316"/>
        <v>#NA</v>
      </c>
      <c r="BG149" s="280" t="str">
        <f t="shared" si="317"/>
        <v>#NA</v>
      </c>
      <c r="BH149" s="280" t="str">
        <f t="shared" si="318"/>
        <v>#NA</v>
      </c>
      <c r="BI149" s="280" t="str">
        <f t="shared" si="319"/>
        <v>#NA</v>
      </c>
      <c r="BJ149" s="280" t="str">
        <f t="shared" si="320"/>
        <v>#NA</v>
      </c>
      <c r="BK149" s="280" t="str">
        <f t="shared" si="321"/>
        <v>#NA</v>
      </c>
      <c r="BL149" s="280" t="str">
        <f t="shared" si="322"/>
        <v>#NA</v>
      </c>
      <c r="BM149" s="280"/>
      <c r="BN149" s="280" t="e">
        <f t="shared" si="323"/>
        <v>#VALUE!</v>
      </c>
      <c r="BO149" s="280" t="e">
        <f t="shared" si="324"/>
        <v>#VALUE!</v>
      </c>
      <c r="BP149" s="280" t="e">
        <f t="shared" si="325"/>
        <v>#VALUE!</v>
      </c>
      <c r="BQ149" s="280" t="e">
        <f t="shared" si="326"/>
        <v>#VALUE!</v>
      </c>
      <c r="BR149" s="280" t="e">
        <f t="shared" si="327"/>
        <v>#VALUE!</v>
      </c>
      <c r="BS149" s="280" t="e">
        <f t="shared" si="328"/>
        <v>#VALUE!</v>
      </c>
      <c r="BT149" s="280" t="e">
        <f t="shared" si="329"/>
        <v>#VALUE!</v>
      </c>
      <c r="BU149" s="280" t="e">
        <f t="shared" si="330"/>
        <v>#VALUE!</v>
      </c>
      <c r="BV149" s="280" t="e">
        <f t="shared" si="331"/>
        <v>#VALUE!</v>
      </c>
      <c r="BW149" s="280" t="e">
        <f t="shared" si="332"/>
        <v>#VALUE!</v>
      </c>
      <c r="BX149" s="280" t="e">
        <f t="shared" si="351"/>
        <v>#VALUE!</v>
      </c>
      <c r="BY149" s="280" t="e">
        <f t="shared" si="333"/>
        <v>#VALUE!</v>
      </c>
      <c r="BZ149" s="280" t="e">
        <f t="shared" si="334"/>
        <v>#VALUE!</v>
      </c>
      <c r="CA149" s="280" t="e">
        <f t="shared" si="335"/>
        <v>#VALUE!</v>
      </c>
      <c r="CB149" s="280" t="e">
        <f t="shared" si="336"/>
        <v>#VALUE!</v>
      </c>
      <c r="CC149" s="280" t="e">
        <f t="shared" si="337"/>
        <v>#VALUE!</v>
      </c>
      <c r="CD149" s="280" t="e">
        <f t="shared" si="338"/>
        <v>#VALUE!</v>
      </c>
      <c r="CE149" s="280" t="e">
        <f t="shared" si="339"/>
        <v>#VALUE!</v>
      </c>
      <c r="CF149" s="280" t="e">
        <f t="shared" si="340"/>
        <v>#VALUE!</v>
      </c>
      <c r="CG149" s="280" t="e">
        <f t="shared" si="341"/>
        <v>#VALUE!</v>
      </c>
      <c r="CH149" s="280" t="e">
        <f t="shared" si="342"/>
        <v>#VALUE!</v>
      </c>
      <c r="CI149" s="280" t="e">
        <f t="shared" si="343"/>
        <v>#VALUE!</v>
      </c>
      <c r="CJ149" s="280" t="e">
        <f t="shared" si="344"/>
        <v>#VALUE!</v>
      </c>
      <c r="CK149" s="280" t="e">
        <f t="shared" si="345"/>
        <v>#VALUE!</v>
      </c>
      <c r="CL149" s="280" t="e">
        <f t="shared" si="346"/>
        <v>#VALUE!</v>
      </c>
      <c r="CM149" s="279">
        <f t="shared" si="352"/>
        <v>0</v>
      </c>
      <c r="CO149" s="458" t="e">
        <v>#N/A</v>
      </c>
      <c r="CP149" s="458" t="e">
        <v>#N/A</v>
      </c>
      <c r="CQ149" s="458" t="e">
        <v>#N/A</v>
      </c>
      <c r="CR149" s="458" t="e">
        <v>#N/A</v>
      </c>
      <c r="CS149" s="458" t="e">
        <v>#N/A</v>
      </c>
      <c r="CT149" s="458" t="e">
        <v>#N/A</v>
      </c>
      <c r="CU149" s="458" t="e">
        <v>#N/A</v>
      </c>
      <c r="CV149" s="458" t="e">
        <v>#N/A</v>
      </c>
      <c r="CW149" s="458" t="e">
        <v>#N/A</v>
      </c>
      <c r="CX149" s="458" t="e">
        <v>#N/A</v>
      </c>
      <c r="CY149" s="458" t="e">
        <v>#N/A</v>
      </c>
      <c r="CZ149" s="458" t="e">
        <v>#N/A</v>
      </c>
      <c r="DA149" s="458" t="e">
        <v>#N/A</v>
      </c>
      <c r="DB149" s="458" t="e">
        <v>#N/A</v>
      </c>
      <c r="DC149" s="458" t="e">
        <v>#N/A</v>
      </c>
      <c r="DD149" s="458" t="e">
        <v>#N/A</v>
      </c>
      <c r="DE149" s="458" t="e">
        <v>#N/A</v>
      </c>
      <c r="DF149" s="458" t="e">
        <v>#N/A</v>
      </c>
      <c r="DG149" s="458" t="e">
        <v>#N/A</v>
      </c>
      <c r="DH149" s="458" t="e">
        <v>#N/A</v>
      </c>
      <c r="DI149" s="458" t="e">
        <v>#N/A</v>
      </c>
      <c r="DJ149" s="458" t="e">
        <v>#N/A</v>
      </c>
      <c r="DK149" s="458" t="e">
        <v>#N/A</v>
      </c>
      <c r="DL149" s="458" t="e">
        <v>#N/A</v>
      </c>
      <c r="DM149" s="458" t="e">
        <v>#N/A</v>
      </c>
      <c r="DN149" s="458" t="e">
        <v>#N/A</v>
      </c>
      <c r="DP149" s="462">
        <f t="shared" si="269"/>
        <v>142.54499999999999</v>
      </c>
      <c r="DQ149" s="462" t="str">
        <f t="shared" si="380"/>
        <v/>
      </c>
      <c r="DR149" s="462" t="str">
        <f t="shared" ref="DR149:EO149" si="395">IFERROR(CONCATENATE(ROUND($DP149,3),",",ROUND(ABS(DK121),3),",",ROUND(EM121,3)," "),"")</f>
        <v xml:space="preserve">142.545,0.4,0 </v>
      </c>
      <c r="DS149" s="462" t="str">
        <f t="shared" si="395"/>
        <v xml:space="preserve">142.545,1.21,0.5 </v>
      </c>
      <c r="DT149" s="462" t="str">
        <f t="shared" si="395"/>
        <v xml:space="preserve">142.545,1.69,1 </v>
      </c>
      <c r="DU149" s="462" t="str">
        <f t="shared" si="395"/>
        <v xml:space="preserve">142.545,2.02,1.5 </v>
      </c>
      <c r="DV149" s="462" t="str">
        <f t="shared" si="395"/>
        <v xml:space="preserve">142.545,2.29,2 </v>
      </c>
      <c r="DW149" s="462" t="str">
        <f t="shared" si="395"/>
        <v xml:space="preserve">142.545,2.63,4 </v>
      </c>
      <c r="DX149" s="462" t="str">
        <f t="shared" si="395"/>
        <v xml:space="preserve">142.545,2.38,6 </v>
      </c>
      <c r="DY149" s="462" t="str">
        <f t="shared" si="395"/>
        <v xml:space="preserve">142.545,2.25,8 </v>
      </c>
      <c r="DZ149" s="462" t="str">
        <f t="shared" si="395"/>
        <v xml:space="preserve">142.545,2.42,9.7 </v>
      </c>
      <c r="EA149" s="462" t="str">
        <f t="shared" si="395"/>
        <v xml:space="preserve">142.545,2.496,10 </v>
      </c>
      <c r="EB149" s="462" t="str">
        <f t="shared" si="395"/>
        <v xml:space="preserve">142.545,3.19,12 </v>
      </c>
      <c r="EC149" s="462" t="str">
        <f t="shared" si="395"/>
        <v xml:space="preserve">142.545,3.63,13 </v>
      </c>
      <c r="ED149" s="462" t="str">
        <f t="shared" si="395"/>
        <v/>
      </c>
      <c r="EE149" s="462" t="str">
        <f t="shared" si="395"/>
        <v/>
      </c>
      <c r="EF149" s="462" t="str">
        <f t="shared" si="395"/>
        <v/>
      </c>
      <c r="EG149" s="462" t="str">
        <f t="shared" si="395"/>
        <v/>
      </c>
      <c r="EH149" s="462" t="str">
        <f t="shared" si="395"/>
        <v/>
      </c>
      <c r="EI149" s="462" t="str">
        <f t="shared" si="395"/>
        <v/>
      </c>
      <c r="EJ149" s="462" t="str">
        <f t="shared" si="395"/>
        <v/>
      </c>
      <c r="EK149" s="462" t="str">
        <f t="shared" si="395"/>
        <v/>
      </c>
      <c r="EL149" s="462" t="str">
        <f t="shared" si="395"/>
        <v/>
      </c>
      <c r="EM149" s="462" t="str">
        <f t="shared" si="395"/>
        <v/>
      </c>
      <c r="EN149" s="462" t="str">
        <f t="shared" si="395"/>
        <v/>
      </c>
      <c r="EO149" s="462" t="str">
        <f t="shared" si="395"/>
        <v/>
      </c>
      <c r="EP149" s="462" t="str">
        <f t="shared" si="381"/>
        <v/>
      </c>
      <c r="ER149" s="461" t="str">
        <f t="shared" si="304"/>
        <v xml:space="preserve">142.545,0.4,0 142.545,1.21,0.5 142.545,1.69,1 142.545,2.02,1.5 142.545,2.29,2 142.545,2.63,4 142.545,2.38,6 142.545,2.25,8 142.545,2.42,9.7 142.545,2.496,10 142.545,3.19,12 142.545,3.63,13 </v>
      </c>
      <c r="ES149" s="189" t="str">
        <f t="shared" ca="1" si="348"/>
        <v xml:space="preserve">Spline 142.545,0,0 142.545,0.4,0 142.545,1.21,0.5 142.545,1.69,1 142.545,2.02,1.5 142.545,2.29,2 142.545,2.63,4 142.545,2.38,6 142.545,2.25,8 142.545,2.42,9.7 142.545,2.496,10 142.545,3.19,12 142.545,3.63,13  </v>
      </c>
      <c r="ET149" s="132" t="str">
        <f t="shared" ca="1" si="305"/>
        <v xml:space="preserve">Spline 142.545,0,0 142.545,0.4,0 142.545,1.21,0.5 142.545,1.69,1 142.545,2.02,1.5 142.545,2.29,2 142.545,2.63,4 142.545,2.38,6 142.545,2.25,8 142.545,2.42,9.7 142.545,2.496,10 142.545,3.19,12 142.545,3.63,13  </v>
      </c>
      <c r="EU149" s="132">
        <f ca="1">COUNTIF(BP_24,NA())</f>
        <v>0</v>
      </c>
      <c r="EV149" s="132">
        <f t="shared" ca="1" si="271"/>
        <v>0</v>
      </c>
      <c r="EW149" s="132">
        <v>24</v>
      </c>
      <c r="EX149" s="132" t="str">
        <f t="shared" si="272"/>
        <v xml:space="preserve">142.545,3.63,13 </v>
      </c>
      <c r="EY149" s="132" t="str">
        <f t="shared" ca="1" si="273"/>
        <v xml:space="preserve">Spline 142.545,0,0 142.545,3.63,13 142.545,3.19,12 142.545,2.496,10 142.545,2.42,9.7 142.545,2.25,8 142.545,2.38,6 142.545,2.63,4 142.545,2.29,2 142.545,2.02,1.5 142.545,1.69,1 142.545,1.21,0.5 142.545,0.4,0 </v>
      </c>
      <c r="EZ149" s="189" t="str">
        <f t="shared" si="306"/>
        <v xml:space="preserve">142.545,0.4,0 142.545,1.21,0.5 142.545,1.69,1 142.545,2.02,1.5 142.545,2.29,2 142.545,2.63,4 142.545,2.38,6 142.545,2.25,8 142.545,2.42,9.7 142.545,2.496,10 142.545,3.19,12 142.545,3.63,13  </v>
      </c>
      <c r="FB149" s="462">
        <f t="shared" si="274"/>
        <v>142.54499999999999</v>
      </c>
      <c r="FC149" s="464" t="str">
        <f t="shared" si="307"/>
        <v/>
      </c>
      <c r="FD149" s="462" t="str">
        <f t="shared" ref="FD149:GB149" si="396">IFERROR(CONCATENATE(ROUND($DP149,3),",",-ROUND(ABS(DK121),3),",",ROUND(EM121,3)," "),"")</f>
        <v xml:space="preserve">142.545,-0.4,0 </v>
      </c>
      <c r="FE149" s="462" t="str">
        <f t="shared" si="396"/>
        <v xml:space="preserve">142.545,-1.21,0.5 </v>
      </c>
      <c r="FF149" s="462" t="str">
        <f t="shared" si="396"/>
        <v xml:space="preserve">142.545,-1.69,1 </v>
      </c>
      <c r="FG149" s="462" t="str">
        <f t="shared" si="396"/>
        <v xml:space="preserve">142.545,-2.02,1.5 </v>
      </c>
      <c r="FH149" s="462" t="str">
        <f t="shared" si="396"/>
        <v xml:space="preserve">142.545,-2.29,2 </v>
      </c>
      <c r="FI149" s="462" t="str">
        <f t="shared" si="396"/>
        <v xml:space="preserve">142.545,-2.63,4 </v>
      </c>
      <c r="FJ149" s="462" t="str">
        <f t="shared" si="396"/>
        <v xml:space="preserve">142.545,-2.38,6 </v>
      </c>
      <c r="FK149" s="462" t="str">
        <f t="shared" si="396"/>
        <v xml:space="preserve">142.545,-2.25,8 </v>
      </c>
      <c r="FL149" s="462" t="str">
        <f t="shared" si="396"/>
        <v xml:space="preserve">142.545,-2.42,9.7 </v>
      </c>
      <c r="FM149" s="462" t="str">
        <f t="shared" si="396"/>
        <v xml:space="preserve">142.545,-2.496,10 </v>
      </c>
      <c r="FN149" s="462" t="str">
        <f t="shared" si="396"/>
        <v xml:space="preserve">142.545,-3.19,12 </v>
      </c>
      <c r="FO149" s="462" t="str">
        <f t="shared" si="396"/>
        <v xml:space="preserve">142.545,-3.63,13 </v>
      </c>
      <c r="FP149" s="462" t="str">
        <f t="shared" si="396"/>
        <v/>
      </c>
      <c r="FQ149" s="462" t="str">
        <f t="shared" si="396"/>
        <v/>
      </c>
      <c r="FR149" s="462" t="str">
        <f t="shared" si="396"/>
        <v/>
      </c>
      <c r="FS149" s="462" t="str">
        <f t="shared" si="396"/>
        <v/>
      </c>
      <c r="FT149" s="462" t="str">
        <f t="shared" si="396"/>
        <v/>
      </c>
      <c r="FU149" s="462" t="str">
        <f t="shared" si="396"/>
        <v/>
      </c>
      <c r="FV149" s="462" t="str">
        <f t="shared" si="396"/>
        <v/>
      </c>
      <c r="FW149" s="462" t="str">
        <f t="shared" si="396"/>
        <v/>
      </c>
      <c r="FX149" s="462" t="str">
        <f t="shared" si="396"/>
        <v/>
      </c>
      <c r="FY149" s="462" t="str">
        <f t="shared" si="396"/>
        <v/>
      </c>
      <c r="FZ149" s="462" t="str">
        <f t="shared" si="396"/>
        <v/>
      </c>
      <c r="GA149" s="462" t="str">
        <f t="shared" si="396"/>
        <v/>
      </c>
      <c r="GB149" s="462" t="str">
        <f t="shared" si="396"/>
        <v/>
      </c>
      <c r="GC149" s="132" t="str">
        <f t="shared" si="309"/>
        <v xml:space="preserve">142.545,3.63,13 142.545,3.19,12 142.545,2.496,10 142.545,2.42,9.7 142.545,2.25,8 142.545,2.38,6 142.545,2.63,4 142.545,2.29,2 142.545,2.02,1.5 142.545,1.69,1 142.545,1.21,0.5 142.545,0.4,0 </v>
      </c>
      <c r="GD149" s="132" t="str">
        <f t="shared" ca="1" si="276"/>
        <v>Spline 142.545,3.63,13 142.545,3.19,12 142.545,2.496,10 142.545,2.42,9.7 142.545,2.25,8 142.545,2.38,6 142.545,2.63,4 142.545,2.29,2 142.545,2.02,1.5 142.545,1.69,1 142.545,1.21,0.5 142.545,0.4,0 142.545,0,0</v>
      </c>
      <c r="GE149" s="465" t="str">
        <f t="shared" si="310"/>
        <v xml:space="preserve">142.545,-0.4,0 142.545,-1.21,0.5 142.545,-1.69,1 142.545,-2.02,1.5 142.545,-2.29,2 142.545,-2.63,4 142.545,-2.38,6 142.545,-2.25,8 142.545,-2.42,9.7 142.545,-2.496,10 142.545,-3.19,12 142.545,-3.63,13 </v>
      </c>
      <c r="GH149" s="132" t="str">
        <f t="shared" si="311"/>
        <v xml:space="preserve">Spline 142.545,3.63,13 142.545,3.19,12 142.545,2.496,10 142.545,2.42,9.7 142.545,2.25,8 142.545,2.38,6 142.545,2.63,4 142.545,2.29,2 142.545,2.02,1.5 142.545,1.69,1 142.545,1.21,0.5 142.545,0.4,0 T 142.545,0,0 </v>
      </c>
      <c r="GI149" s="132" t="str">
        <f t="shared" si="312"/>
        <v xml:space="preserve">Spline 142.545,0.4,0 142.545,0,0  Join 142.545,0,0  142.545,3.63,13 </v>
      </c>
      <c r="GP149" s="132" t="str">
        <f t="shared" si="277"/>
        <v xml:space="preserve">142.545,0,0 </v>
      </c>
      <c r="GQ149" s="132" t="str">
        <f t="shared" si="313"/>
        <v>Curve 142.545,3.63,13 142.545,3.19,12 142.545,2.496,10 142.545,2.42,9.7 142.545,2.25,8 142.545,2.38,6 142.545,2.63,4 142.545,2.29,2 142.545,2.02,1.5 142.545,1.69,1 142.545,1.21,0.5 142.545,0.4,0 142.545,0,0 _enter</v>
      </c>
    </row>
    <row r="150" spans="1:199" x14ac:dyDescent="0.25">
      <c r="A150" s="377" t="str">
        <f t="shared" si="379"/>
        <v xml:space="preserve">  </v>
      </c>
      <c r="B150" s="380" t="str">
        <f t="shared" si="278"/>
        <v/>
      </c>
      <c r="C150" s="380" t="str">
        <f t="shared" si="279"/>
        <v/>
      </c>
      <c r="D150" s="380" t="str">
        <f t="shared" si="280"/>
        <v/>
      </c>
      <c r="E150" s="380" t="str">
        <f t="shared" si="281"/>
        <v/>
      </c>
      <c r="F150" s="380" t="str">
        <f t="shared" si="282"/>
        <v/>
      </c>
      <c r="G150" s="380" t="str">
        <f t="shared" si="283"/>
        <v/>
      </c>
      <c r="H150" s="380" t="str">
        <f t="shared" si="284"/>
        <v/>
      </c>
      <c r="I150" s="380" t="str">
        <f t="shared" si="285"/>
        <v/>
      </c>
      <c r="J150" s="380" t="str">
        <f t="shared" si="286"/>
        <v/>
      </c>
      <c r="K150" s="380" t="str">
        <f t="shared" si="287"/>
        <v/>
      </c>
      <c r="L150" s="380" t="str">
        <f t="shared" si="288"/>
        <v/>
      </c>
      <c r="M150" s="380" t="str">
        <f t="shared" si="289"/>
        <v/>
      </c>
      <c r="N150" s="380" t="str">
        <f t="shared" si="290"/>
        <v/>
      </c>
      <c r="O150" s="380" t="str">
        <f t="shared" si="291"/>
        <v/>
      </c>
      <c r="P150" s="380" t="str">
        <f t="shared" si="292"/>
        <v/>
      </c>
      <c r="Q150" s="380" t="str">
        <f t="shared" si="293"/>
        <v/>
      </c>
      <c r="R150" s="380" t="str">
        <f t="shared" si="294"/>
        <v/>
      </c>
      <c r="S150" s="380" t="str">
        <f t="shared" si="295"/>
        <v/>
      </c>
      <c r="T150" s="380" t="str">
        <f t="shared" si="296"/>
        <v/>
      </c>
      <c r="U150" s="380" t="str">
        <f t="shared" si="297"/>
        <v/>
      </c>
      <c r="V150" s="380" t="str">
        <f t="shared" si="298"/>
        <v/>
      </c>
      <c r="W150" s="380" t="str">
        <f t="shared" si="299"/>
        <v/>
      </c>
      <c r="X150" s="380" t="str">
        <f t="shared" si="300"/>
        <v/>
      </c>
      <c r="Y150" s="380" t="str">
        <f t="shared" si="301"/>
        <v/>
      </c>
      <c r="Z150" s="398" t="str">
        <f t="shared" si="302"/>
        <v/>
      </c>
      <c r="AB150" s="248" t="str">
        <f t="shared" si="314"/>
        <v xml:space="preserve">  </v>
      </c>
      <c r="AC150" s="248" t="str">
        <f>Tools!B150</f>
        <v/>
      </c>
      <c r="AD150" s="248" t="str">
        <f>Tools!C150</f>
        <v/>
      </c>
      <c r="AE150" s="248" t="str">
        <f>Tools!D150</f>
        <v/>
      </c>
      <c r="AF150" s="248" t="str">
        <f>Tools!E150</f>
        <v/>
      </c>
      <c r="AG150" s="248" t="str">
        <f>Tools!F150</f>
        <v/>
      </c>
      <c r="AH150" s="248" t="str">
        <f>Tools!G150</f>
        <v/>
      </c>
      <c r="AI150" s="248" t="str">
        <f>Tools!H150</f>
        <v/>
      </c>
      <c r="AJ150" s="248" t="str">
        <f>Tools!I150</f>
        <v/>
      </c>
      <c r="AK150" s="248" t="str">
        <f>Tools!J150</f>
        <v/>
      </c>
      <c r="AL150" s="248" t="str">
        <f>Tools!K150</f>
        <v/>
      </c>
      <c r="AM150" s="248" t="str">
        <f>Tools!L150</f>
        <v/>
      </c>
      <c r="AN150" s="248" t="str">
        <f>Tools!M150</f>
        <v/>
      </c>
      <c r="AO150" s="248" t="str">
        <f>Tools!N150</f>
        <v/>
      </c>
      <c r="AP150" s="248" t="str">
        <f>Tools!O150</f>
        <v/>
      </c>
      <c r="AQ150" s="248" t="str">
        <f>Tools!P150</f>
        <v/>
      </c>
      <c r="AR150" s="248" t="str">
        <f>Tools!Q150</f>
        <v/>
      </c>
      <c r="AS150" s="248" t="str">
        <f>Tools!R150</f>
        <v/>
      </c>
      <c r="AT150" s="248" t="str">
        <f>Tools!S150</f>
        <v/>
      </c>
      <c r="AU150" s="248" t="str">
        <f>Tools!T150</f>
        <v/>
      </c>
      <c r="AV150" s="248" t="str">
        <f>Tools!U150</f>
        <v/>
      </c>
      <c r="AW150" s="248" t="str">
        <f>Tools!V150</f>
        <v/>
      </c>
      <c r="AX150" s="248" t="str">
        <f>Tools!W150</f>
        <v/>
      </c>
      <c r="AY150" s="248" t="str">
        <f>Tools!X150</f>
        <v/>
      </c>
      <c r="AZ150" s="248" t="str">
        <f>Tools!Y150</f>
        <v/>
      </c>
      <c r="BA150" s="399" t="str">
        <f>Tools!Z150</f>
        <v/>
      </c>
      <c r="BC150" s="277">
        <f>Offset!Q25</f>
        <v>19</v>
      </c>
      <c r="BD150" s="280" t="str">
        <f>IF(ISNUMBER(VLOOKUP(BC150,Offset!Q$2:R$27,2,FALSE)),VLOOKUP(BC150,Offset!Q$2:R$27,2,FALSE),"-")</f>
        <v>-</v>
      </c>
      <c r="BE150" s="280" t="e">
        <f t="shared" si="350"/>
        <v>#VALUE!</v>
      </c>
      <c r="BF150" s="280" t="str">
        <f t="shared" si="316"/>
        <v>#NA</v>
      </c>
      <c r="BG150" s="280" t="str">
        <f t="shared" si="317"/>
        <v>#NA</v>
      </c>
      <c r="BH150" s="280" t="str">
        <f t="shared" si="318"/>
        <v>#NA</v>
      </c>
      <c r="BI150" s="280" t="str">
        <f t="shared" si="319"/>
        <v>#NA</v>
      </c>
      <c r="BJ150" s="280" t="str">
        <f t="shared" si="320"/>
        <v>#NA</v>
      </c>
      <c r="BK150" s="280" t="str">
        <f t="shared" si="321"/>
        <v>#NA</v>
      </c>
      <c r="BL150" s="280" t="str">
        <f t="shared" si="322"/>
        <v>#NA</v>
      </c>
      <c r="BM150" s="280"/>
      <c r="BN150" s="280" t="e">
        <f t="shared" si="323"/>
        <v>#VALUE!</v>
      </c>
      <c r="BO150" s="280" t="e">
        <f t="shared" si="324"/>
        <v>#VALUE!</v>
      </c>
      <c r="BP150" s="280" t="e">
        <f t="shared" si="325"/>
        <v>#VALUE!</v>
      </c>
      <c r="BQ150" s="280" t="e">
        <f t="shared" si="326"/>
        <v>#VALUE!</v>
      </c>
      <c r="BR150" s="280" t="e">
        <f t="shared" si="327"/>
        <v>#VALUE!</v>
      </c>
      <c r="BS150" s="280" t="e">
        <f t="shared" si="328"/>
        <v>#VALUE!</v>
      </c>
      <c r="BT150" s="280" t="e">
        <f t="shared" si="329"/>
        <v>#VALUE!</v>
      </c>
      <c r="BU150" s="280" t="e">
        <f t="shared" si="330"/>
        <v>#VALUE!</v>
      </c>
      <c r="BV150" s="280" t="e">
        <f t="shared" si="331"/>
        <v>#VALUE!</v>
      </c>
      <c r="BW150" s="280" t="e">
        <f t="shared" si="332"/>
        <v>#VALUE!</v>
      </c>
      <c r="BX150" s="280" t="e">
        <f t="shared" si="351"/>
        <v>#VALUE!</v>
      </c>
      <c r="BY150" s="280" t="e">
        <f t="shared" si="333"/>
        <v>#VALUE!</v>
      </c>
      <c r="BZ150" s="280" t="e">
        <f t="shared" si="334"/>
        <v>#VALUE!</v>
      </c>
      <c r="CA150" s="280" t="e">
        <f t="shared" si="335"/>
        <v>#VALUE!</v>
      </c>
      <c r="CB150" s="280" t="e">
        <f t="shared" si="336"/>
        <v>#VALUE!</v>
      </c>
      <c r="CC150" s="280" t="e">
        <f t="shared" si="337"/>
        <v>#VALUE!</v>
      </c>
      <c r="CD150" s="280" t="e">
        <f t="shared" si="338"/>
        <v>#VALUE!</v>
      </c>
      <c r="CE150" s="280" t="e">
        <f t="shared" si="339"/>
        <v>#VALUE!</v>
      </c>
      <c r="CF150" s="280" t="e">
        <f t="shared" si="340"/>
        <v>#VALUE!</v>
      </c>
      <c r="CG150" s="280" t="e">
        <f t="shared" si="341"/>
        <v>#VALUE!</v>
      </c>
      <c r="CH150" s="280" t="e">
        <f t="shared" si="342"/>
        <v>#VALUE!</v>
      </c>
      <c r="CI150" s="280" t="e">
        <f t="shared" si="343"/>
        <v>#VALUE!</v>
      </c>
      <c r="CJ150" s="280" t="e">
        <f t="shared" si="344"/>
        <v>#VALUE!</v>
      </c>
      <c r="CK150" s="280" t="e">
        <f t="shared" si="345"/>
        <v>#VALUE!</v>
      </c>
      <c r="CL150" s="280" t="e">
        <f t="shared" si="346"/>
        <v>#VALUE!</v>
      </c>
      <c r="CM150" s="279">
        <f t="shared" si="352"/>
        <v>0</v>
      </c>
      <c r="CO150" s="458" t="e">
        <v>#N/A</v>
      </c>
      <c r="CP150" s="458" t="e">
        <v>#N/A</v>
      </c>
      <c r="CQ150" s="458" t="e">
        <v>#N/A</v>
      </c>
      <c r="CR150" s="458" t="e">
        <v>#N/A</v>
      </c>
      <c r="CS150" s="458" t="e">
        <v>#N/A</v>
      </c>
      <c r="CT150" s="458" t="e">
        <v>#N/A</v>
      </c>
      <c r="CU150" s="458" t="e">
        <v>#N/A</v>
      </c>
      <c r="CV150" s="458" t="e">
        <v>#N/A</v>
      </c>
      <c r="CW150" s="458" t="e">
        <v>#N/A</v>
      </c>
      <c r="CX150" s="458" t="e">
        <v>#N/A</v>
      </c>
      <c r="CY150" s="458" t="e">
        <v>#N/A</v>
      </c>
      <c r="CZ150" s="458" t="e">
        <v>#N/A</v>
      </c>
      <c r="DA150" s="458" t="e">
        <v>#N/A</v>
      </c>
      <c r="DB150" s="458" t="e">
        <v>#N/A</v>
      </c>
      <c r="DC150" s="458" t="e">
        <v>#N/A</v>
      </c>
      <c r="DD150" s="458" t="e">
        <v>#N/A</v>
      </c>
      <c r="DE150" s="458" t="e">
        <v>#N/A</v>
      </c>
      <c r="DF150" s="458" t="e">
        <v>#N/A</v>
      </c>
      <c r="DG150" s="458" t="e">
        <v>#N/A</v>
      </c>
      <c r="DH150" s="458" t="e">
        <v>#N/A</v>
      </c>
      <c r="DI150" s="458" t="e">
        <v>#N/A</v>
      </c>
      <c r="DJ150" s="458" t="e">
        <v>#N/A</v>
      </c>
      <c r="DK150" s="458" t="e">
        <v>#N/A</v>
      </c>
      <c r="DL150" s="458" t="e">
        <v>#N/A</v>
      </c>
      <c r="DM150" s="458" t="e">
        <v>#N/A</v>
      </c>
      <c r="DN150" s="458" t="e">
        <v>#N/A</v>
      </c>
      <c r="DP150" s="462">
        <f t="shared" si="269"/>
        <v>146.19999999999999</v>
      </c>
      <c r="DQ150" s="462" t="str">
        <f t="shared" si="380"/>
        <v/>
      </c>
      <c r="DR150" s="462" t="str">
        <f t="shared" ref="DR150:EO150" si="397">IFERROR(CONCATENATE(ROUND($DP150,3),",",ROUND(ABS(DK122),3),",",ROUND(EM122,3)," "),"")</f>
        <v xml:space="preserve">146.2,0.1,0 </v>
      </c>
      <c r="DS150" s="462" t="str">
        <f t="shared" si="397"/>
        <v xml:space="preserve">146.2,0.8,0.5 </v>
      </c>
      <c r="DT150" s="462" t="str">
        <f t="shared" si="397"/>
        <v xml:space="preserve">146.2,1.2,1 </v>
      </c>
      <c r="DU150" s="462" t="str">
        <f t="shared" si="397"/>
        <v xml:space="preserve">146.2,1.43,1.5 </v>
      </c>
      <c r="DV150" s="462" t="str">
        <f t="shared" si="397"/>
        <v xml:space="preserve">146.2,1.53,2 </v>
      </c>
      <c r="DW150" s="462" t="str">
        <f t="shared" si="397"/>
        <v xml:space="preserve">146.2,1.12,4 </v>
      </c>
      <c r="DX150" s="462" t="str">
        <f t="shared" si="397"/>
        <v xml:space="preserve">146.2,0.5,6 </v>
      </c>
      <c r="DY150" s="462" t="str">
        <f t="shared" si="397"/>
        <v xml:space="preserve">146.2,0.08,8 </v>
      </c>
      <c r="DZ150" s="462" t="str">
        <f t="shared" si="397"/>
        <v xml:space="preserve">146.2,0,9.7 </v>
      </c>
      <c r="EA150" s="462" t="str">
        <f t="shared" si="397"/>
        <v xml:space="preserve">146.2,0.03,10 </v>
      </c>
      <c r="EB150" s="462" t="str">
        <f t="shared" si="397"/>
        <v xml:space="preserve">146.2,0.8,12 </v>
      </c>
      <c r="EC150" s="462" t="str">
        <f t="shared" si="397"/>
        <v xml:space="preserve">146.2,1.63,13 </v>
      </c>
      <c r="ED150" s="462" t="str">
        <f t="shared" si="397"/>
        <v/>
      </c>
      <c r="EE150" s="462" t="str">
        <f t="shared" si="397"/>
        <v/>
      </c>
      <c r="EF150" s="462" t="str">
        <f t="shared" si="397"/>
        <v/>
      </c>
      <c r="EG150" s="462" t="str">
        <f t="shared" si="397"/>
        <v/>
      </c>
      <c r="EH150" s="462" t="str">
        <f t="shared" si="397"/>
        <v/>
      </c>
      <c r="EI150" s="462" t="str">
        <f t="shared" si="397"/>
        <v/>
      </c>
      <c r="EJ150" s="462" t="str">
        <f t="shared" si="397"/>
        <v/>
      </c>
      <c r="EK150" s="462" t="str">
        <f t="shared" si="397"/>
        <v/>
      </c>
      <c r="EL150" s="462" t="str">
        <f t="shared" si="397"/>
        <v/>
      </c>
      <c r="EM150" s="462" t="str">
        <f t="shared" si="397"/>
        <v/>
      </c>
      <c r="EN150" s="462" t="str">
        <f t="shared" si="397"/>
        <v/>
      </c>
      <c r="EO150" s="462" t="str">
        <f t="shared" si="397"/>
        <v/>
      </c>
      <c r="EP150" s="462" t="str">
        <f t="shared" si="381"/>
        <v/>
      </c>
      <c r="ER150" s="461" t="str">
        <f t="shared" si="304"/>
        <v xml:space="preserve">146.2,0.1,0 146.2,0.8,0.5 146.2,1.2,1 146.2,1.43,1.5 146.2,1.53,2 146.2,1.12,4 146.2,0.5,6 146.2,0.08,8 146.2,0,9.7 146.2,0.03,10 146.2,0.8,12 146.2,1.63,13 </v>
      </c>
      <c r="ES150" s="189" t="str">
        <f t="shared" ca="1" si="348"/>
        <v xml:space="preserve">Spline 146.2,0,0 146.2,0.1,0 146.2,0.8,0.5 146.2,1.2,1 146.2,1.43,1.5 146.2,1.53,2 146.2,1.12,4 146.2,0.5,6 146.2,0.08,8 146.2,0,9.7 146.2,0.03,10 146.2,0.8,12 146.2,1.63,13  </v>
      </c>
      <c r="ET150" s="132" t="str">
        <f t="shared" ca="1" si="305"/>
        <v xml:space="preserve">Spline 146.2,0,0 146.2,0.1,0 146.2,0.8,0.5 146.2,1.2,1 146.2,1.43,1.5 146.2,1.53,2 146.2,1.12,4 146.2,0.5,6 146.2,0.08,8 146.2,0,9.7 146.2,0.03,10 146.2,0.8,12 146.2,1.63,13  </v>
      </c>
      <c r="EU150" s="132">
        <f ca="1">COUNTIF(BP_25,NA())</f>
        <v>0</v>
      </c>
      <c r="EV150" s="132">
        <f t="shared" ca="1" si="271"/>
        <v>0</v>
      </c>
      <c r="EW150" s="132">
        <v>25</v>
      </c>
      <c r="EX150" s="132" t="str">
        <f t="shared" si="272"/>
        <v xml:space="preserve">146.2,1.63,13 </v>
      </c>
      <c r="EY150" s="132" t="str">
        <f t="shared" ca="1" si="273"/>
        <v xml:space="preserve">Spline 146.2,0,0 146.2,1.63,13 146.2,0.8,12 146.2,0.03,10 146.2,0,9.7 146.2,0.08,8 146.2,0.5,6 146.2,1.12,4 146.2,1.53,2 146.2,1.43,1.5 146.2,1.2,1 146.2,0.8,0.5 146.2,0.1,0 </v>
      </c>
      <c r="EZ150" s="189" t="str">
        <f t="shared" si="306"/>
        <v xml:space="preserve">146.2,0.1,0 146.2,0.8,0.5 146.2,1.2,1 146.2,1.43,1.5 146.2,1.53,2 146.2,1.12,4 146.2,0.5,6 146.2,0.08,8 146.2,0,9.7 146.2,0.03,10 146.2,0.8,12 146.2,1.63,13  </v>
      </c>
      <c r="FB150" s="462">
        <f t="shared" si="274"/>
        <v>146.19999999999999</v>
      </c>
      <c r="FC150" s="464" t="str">
        <f t="shared" si="307"/>
        <v/>
      </c>
      <c r="FD150" s="462" t="str">
        <f t="shared" ref="FD150:GB150" si="398">IFERROR(CONCATENATE(ROUND($DP150,3),",",-ROUND(ABS(DK122),3),",",ROUND(EM122,3)," "),"")</f>
        <v xml:space="preserve">146.2,-0.1,0 </v>
      </c>
      <c r="FE150" s="462" t="str">
        <f t="shared" si="398"/>
        <v xml:space="preserve">146.2,-0.8,0.5 </v>
      </c>
      <c r="FF150" s="462" t="str">
        <f t="shared" si="398"/>
        <v xml:space="preserve">146.2,-1.2,1 </v>
      </c>
      <c r="FG150" s="462" t="str">
        <f t="shared" si="398"/>
        <v xml:space="preserve">146.2,-1.43,1.5 </v>
      </c>
      <c r="FH150" s="462" t="str">
        <f t="shared" si="398"/>
        <v xml:space="preserve">146.2,-1.53,2 </v>
      </c>
      <c r="FI150" s="462" t="str">
        <f t="shared" si="398"/>
        <v xml:space="preserve">146.2,-1.12,4 </v>
      </c>
      <c r="FJ150" s="462" t="str">
        <f t="shared" si="398"/>
        <v xml:space="preserve">146.2,-0.5,6 </v>
      </c>
      <c r="FK150" s="462" t="str">
        <f t="shared" si="398"/>
        <v xml:space="preserve">146.2,-0.08,8 </v>
      </c>
      <c r="FL150" s="462" t="str">
        <f t="shared" si="398"/>
        <v xml:space="preserve">146.2,0,9.7 </v>
      </c>
      <c r="FM150" s="462" t="str">
        <f t="shared" si="398"/>
        <v xml:space="preserve">146.2,-0.03,10 </v>
      </c>
      <c r="FN150" s="462" t="str">
        <f t="shared" si="398"/>
        <v xml:space="preserve">146.2,-0.8,12 </v>
      </c>
      <c r="FO150" s="462" t="str">
        <f t="shared" si="398"/>
        <v xml:space="preserve">146.2,-1.63,13 </v>
      </c>
      <c r="FP150" s="462" t="str">
        <f t="shared" si="398"/>
        <v/>
      </c>
      <c r="FQ150" s="462" t="str">
        <f t="shared" si="398"/>
        <v/>
      </c>
      <c r="FR150" s="462" t="str">
        <f t="shared" si="398"/>
        <v/>
      </c>
      <c r="FS150" s="462" t="str">
        <f t="shared" si="398"/>
        <v/>
      </c>
      <c r="FT150" s="462" t="str">
        <f t="shared" si="398"/>
        <v/>
      </c>
      <c r="FU150" s="462" t="str">
        <f t="shared" si="398"/>
        <v/>
      </c>
      <c r="FV150" s="462" t="str">
        <f t="shared" si="398"/>
        <v/>
      </c>
      <c r="FW150" s="462" t="str">
        <f t="shared" si="398"/>
        <v/>
      </c>
      <c r="FX150" s="462" t="str">
        <f t="shared" si="398"/>
        <v/>
      </c>
      <c r="FY150" s="462" t="str">
        <f t="shared" si="398"/>
        <v/>
      </c>
      <c r="FZ150" s="462" t="str">
        <f t="shared" si="398"/>
        <v/>
      </c>
      <c r="GA150" s="462" t="str">
        <f t="shared" si="398"/>
        <v/>
      </c>
      <c r="GB150" s="462" t="str">
        <f t="shared" si="398"/>
        <v/>
      </c>
      <c r="GC150" s="132" t="str">
        <f t="shared" si="309"/>
        <v xml:space="preserve">146.2,1.63,13 146.2,0.8,12 146.2,0.03,10 146.2,0,9.7 146.2,0.08,8 146.2,0.5,6 146.2,1.12,4 146.2,1.53,2 146.2,1.43,1.5 146.2,1.2,1 146.2,0.8,0.5 146.2,0.1,0 </v>
      </c>
      <c r="GD150" s="132" t="str">
        <f ca="1">IF(GC150="","",CONCATENATE("Spline ",GC150,DP150,",",0,",",EV150))</f>
        <v>Spline 146.2,1.63,13 146.2,0.8,12 146.2,0.03,10 146.2,0,9.7 146.2,0.08,8 146.2,0.5,6 146.2,1.12,4 146.2,1.53,2 146.2,1.43,1.5 146.2,1.2,1 146.2,0.8,0.5 146.2,0.1,0 146.2,0,0</v>
      </c>
      <c r="GE150" s="465" t="str">
        <f t="shared" si="310"/>
        <v xml:space="preserve">146.2,-0.1,0 146.2,-0.8,0.5 146.2,-1.2,1 146.2,-1.43,1.5 146.2,-1.53,2 146.2,-1.12,4 146.2,-0.5,6 146.2,-0.08,8 146.2,0,9.7 146.2,-0.03,10 146.2,-0.8,12 146.2,-1.63,13 </v>
      </c>
      <c r="GH150" s="132" t="str">
        <f t="shared" si="311"/>
        <v xml:space="preserve">Spline 146.2,1.63,13 146.2,0.8,12 146.2,0.03,10 146.2,0,9.7 146.2,0.08,8 146.2,0.5,6 146.2,1.12,4 146.2,1.53,2 146.2,1.43,1.5 146.2,1.2,1 146.2,0.8,0.5 146.2,0.1,0 T 146.2,0,0 </v>
      </c>
      <c r="GI150" s="132" t="str">
        <f>IF(AE27=0,"",CONCATENATE("Spline ",FB150,",",AE27,",0 ",FB150,",0,0  Join ",FB150,",0,0  ",EX150,"  "))</f>
        <v xml:space="preserve">Spline 146.2,0.1,0 146.2,0,0  Join 146.2,0,0  146.2,1.63,13   </v>
      </c>
      <c r="GP150" s="132" t="str">
        <f t="shared" si="277"/>
        <v xml:space="preserve">146.2,0,0 </v>
      </c>
      <c r="GQ150" s="132" t="str">
        <f t="shared" si="313"/>
        <v>Curve 146.2,1.63,13 146.2,0.8,12 146.2,0.03,10 146.2,0,9.7 146.2,0.08,8 146.2,0.5,6 146.2,1.12,4 146.2,1.53,2 146.2,1.43,1.5 146.2,1.2,1 146.2,0.8,0.5 146.2,0.1,0 146.2,0,0 _enter</v>
      </c>
    </row>
    <row r="151" spans="1:199" x14ac:dyDescent="0.25">
      <c r="A151" s="377" t="str">
        <f t="shared" si="379"/>
        <v xml:space="preserve">  </v>
      </c>
      <c r="B151" s="380" t="str">
        <f t="shared" si="278"/>
        <v/>
      </c>
      <c r="C151" s="380" t="str">
        <f t="shared" si="279"/>
        <v/>
      </c>
      <c r="D151" s="380" t="str">
        <f t="shared" si="280"/>
        <v/>
      </c>
      <c r="E151" s="380" t="str">
        <f t="shared" si="281"/>
        <v/>
      </c>
      <c r="F151" s="380" t="str">
        <f t="shared" si="282"/>
        <v/>
      </c>
      <c r="G151" s="380" t="str">
        <f t="shared" si="283"/>
        <v/>
      </c>
      <c r="H151" s="380" t="str">
        <f t="shared" si="284"/>
        <v/>
      </c>
      <c r="I151" s="380" t="str">
        <f t="shared" si="285"/>
        <v/>
      </c>
      <c r="J151" s="380" t="str">
        <f t="shared" si="286"/>
        <v/>
      </c>
      <c r="K151" s="380" t="str">
        <f t="shared" si="287"/>
        <v/>
      </c>
      <c r="L151" s="380" t="str">
        <f t="shared" si="288"/>
        <v/>
      </c>
      <c r="M151" s="380" t="str">
        <f t="shared" si="289"/>
        <v/>
      </c>
      <c r="N151" s="380" t="str">
        <f t="shared" si="290"/>
        <v/>
      </c>
      <c r="O151" s="380" t="str">
        <f t="shared" si="291"/>
        <v/>
      </c>
      <c r="P151" s="380" t="str">
        <f t="shared" si="292"/>
        <v/>
      </c>
      <c r="Q151" s="380" t="str">
        <f t="shared" si="293"/>
        <v/>
      </c>
      <c r="R151" s="380" t="str">
        <f t="shared" si="294"/>
        <v/>
      </c>
      <c r="S151" s="380" t="str">
        <f t="shared" si="295"/>
        <v/>
      </c>
      <c r="T151" s="380" t="str">
        <f t="shared" si="296"/>
        <v/>
      </c>
      <c r="U151" s="380" t="str">
        <f t="shared" si="297"/>
        <v/>
      </c>
      <c r="V151" s="380" t="str">
        <f t="shared" si="298"/>
        <v/>
      </c>
      <c r="W151" s="380" t="str">
        <f t="shared" si="299"/>
        <v/>
      </c>
      <c r="X151" s="380" t="str">
        <f t="shared" si="300"/>
        <v/>
      </c>
      <c r="Y151" s="380" t="str">
        <f t="shared" si="301"/>
        <v/>
      </c>
      <c r="Z151" s="398" t="str">
        <f t="shared" si="302"/>
        <v/>
      </c>
      <c r="AB151" s="248" t="str">
        <f t="shared" si="314"/>
        <v xml:space="preserve">  </v>
      </c>
      <c r="AC151" s="248" t="str">
        <f>Tools!B151</f>
        <v/>
      </c>
      <c r="AD151" s="248" t="str">
        <f>Tools!C151</f>
        <v/>
      </c>
      <c r="AE151" s="248" t="str">
        <f>Tools!D151</f>
        <v/>
      </c>
      <c r="AF151" s="248" t="str">
        <f>Tools!E151</f>
        <v/>
      </c>
      <c r="AG151" s="248" t="str">
        <f>Tools!F151</f>
        <v/>
      </c>
      <c r="AH151" s="248" t="str">
        <f>Tools!G151</f>
        <v/>
      </c>
      <c r="AI151" s="248" t="str">
        <f>Tools!H151</f>
        <v/>
      </c>
      <c r="AJ151" s="248" t="str">
        <f>Tools!I151</f>
        <v/>
      </c>
      <c r="AK151" s="248" t="str">
        <f>Tools!J151</f>
        <v/>
      </c>
      <c r="AL151" s="248" t="str">
        <f>Tools!K151</f>
        <v/>
      </c>
      <c r="AM151" s="248" t="str">
        <f>Tools!L151</f>
        <v/>
      </c>
      <c r="AN151" s="248" t="str">
        <f>Tools!M151</f>
        <v/>
      </c>
      <c r="AO151" s="248" t="str">
        <f>Tools!N151</f>
        <v/>
      </c>
      <c r="AP151" s="248" t="str">
        <f>Tools!O151</f>
        <v/>
      </c>
      <c r="AQ151" s="248" t="str">
        <f>Tools!P151</f>
        <v/>
      </c>
      <c r="AR151" s="248" t="str">
        <f>Tools!Q151</f>
        <v/>
      </c>
      <c r="AS151" s="248" t="str">
        <f>Tools!R151</f>
        <v/>
      </c>
      <c r="AT151" s="248" t="str">
        <f>Tools!S151</f>
        <v/>
      </c>
      <c r="AU151" s="248" t="str">
        <f>Tools!T151</f>
        <v/>
      </c>
      <c r="AV151" s="248" t="str">
        <f>Tools!U151</f>
        <v/>
      </c>
      <c r="AW151" s="248" t="str">
        <f>Tools!V151</f>
        <v/>
      </c>
      <c r="AX151" s="248" t="str">
        <f>Tools!W151</f>
        <v/>
      </c>
      <c r="AY151" s="248" t="str">
        <f>Tools!X151</f>
        <v/>
      </c>
      <c r="AZ151" s="248" t="str">
        <f>Tools!Y151</f>
        <v/>
      </c>
      <c r="BA151" s="399" t="str">
        <f>Tools!Z151</f>
        <v/>
      </c>
      <c r="BC151" s="277">
        <f>Offset!Q26</f>
        <v>19.5</v>
      </c>
      <c r="BD151" s="280" t="str">
        <f>IF(ISNUMBER(VLOOKUP(BC151,Offset!Q$2:R$27,2,FALSE)),VLOOKUP(BC151,Offset!Q$2:R$27,2,FALSE),"-")</f>
        <v>-</v>
      </c>
      <c r="BE151" s="280" t="e">
        <f t="shared" si="350"/>
        <v>#VALUE!</v>
      </c>
      <c r="BF151" s="280" t="str">
        <f t="shared" si="316"/>
        <v>#NA</v>
      </c>
      <c r="BG151" s="280" t="str">
        <f t="shared" si="317"/>
        <v>#NA</v>
      </c>
      <c r="BH151" s="280" t="str">
        <f t="shared" si="318"/>
        <v>#NA</v>
      </c>
      <c r="BI151" s="280" t="str">
        <f t="shared" si="319"/>
        <v>#NA</v>
      </c>
      <c r="BJ151" s="280" t="str">
        <f t="shared" si="320"/>
        <v>#NA</v>
      </c>
      <c r="BK151" s="280" t="str">
        <f t="shared" si="321"/>
        <v>#NA</v>
      </c>
      <c r="BL151" s="280" t="str">
        <f t="shared" si="322"/>
        <v>#NA</v>
      </c>
      <c r="BM151" s="280"/>
      <c r="BN151" s="280" t="e">
        <f t="shared" si="323"/>
        <v>#VALUE!</v>
      </c>
      <c r="BO151" s="280" t="e">
        <f t="shared" si="324"/>
        <v>#VALUE!</v>
      </c>
      <c r="BP151" s="280" t="e">
        <f t="shared" si="325"/>
        <v>#VALUE!</v>
      </c>
      <c r="BQ151" s="280" t="e">
        <f t="shared" si="326"/>
        <v>#VALUE!</v>
      </c>
      <c r="BR151" s="280" t="e">
        <f t="shared" si="327"/>
        <v>#VALUE!</v>
      </c>
      <c r="BS151" s="280" t="e">
        <f t="shared" si="328"/>
        <v>#VALUE!</v>
      </c>
      <c r="BT151" s="280" t="e">
        <f t="shared" si="329"/>
        <v>#VALUE!</v>
      </c>
      <c r="BU151" s="280" t="e">
        <f t="shared" si="330"/>
        <v>#VALUE!</v>
      </c>
      <c r="BV151" s="280" t="e">
        <f t="shared" si="331"/>
        <v>#VALUE!</v>
      </c>
      <c r="BW151" s="280" t="e">
        <f t="shared" si="332"/>
        <v>#VALUE!</v>
      </c>
      <c r="BX151" s="280" t="e">
        <f t="shared" si="351"/>
        <v>#VALUE!</v>
      </c>
      <c r="BY151" s="280" t="e">
        <f t="shared" si="333"/>
        <v>#VALUE!</v>
      </c>
      <c r="BZ151" s="280" t="e">
        <f t="shared" si="334"/>
        <v>#VALUE!</v>
      </c>
      <c r="CA151" s="280" t="e">
        <f t="shared" si="335"/>
        <v>#VALUE!</v>
      </c>
      <c r="CB151" s="280" t="e">
        <f t="shared" si="336"/>
        <v>#VALUE!</v>
      </c>
      <c r="CC151" s="280" t="e">
        <f t="shared" si="337"/>
        <v>#VALUE!</v>
      </c>
      <c r="CD151" s="280" t="e">
        <f t="shared" si="338"/>
        <v>#VALUE!</v>
      </c>
      <c r="CE151" s="280" t="e">
        <f t="shared" si="339"/>
        <v>#VALUE!</v>
      </c>
      <c r="CF151" s="280" t="e">
        <f t="shared" si="340"/>
        <v>#VALUE!</v>
      </c>
      <c r="CG151" s="280" t="e">
        <f t="shared" si="341"/>
        <v>#VALUE!</v>
      </c>
      <c r="CH151" s="280" t="e">
        <f t="shared" si="342"/>
        <v>#VALUE!</v>
      </c>
      <c r="CI151" s="280" t="e">
        <f t="shared" si="343"/>
        <v>#VALUE!</v>
      </c>
      <c r="CJ151" s="280" t="e">
        <f t="shared" si="344"/>
        <v>#VALUE!</v>
      </c>
      <c r="CK151" s="280" t="e">
        <f t="shared" si="345"/>
        <v>#VALUE!</v>
      </c>
      <c r="CL151" s="280" t="e">
        <f t="shared" si="346"/>
        <v>#VALUE!</v>
      </c>
      <c r="CM151" s="279">
        <f t="shared" si="352"/>
        <v>0</v>
      </c>
      <c r="CO151" s="458" t="e">
        <v>#N/A</v>
      </c>
      <c r="CP151" s="458" t="e">
        <v>#N/A</v>
      </c>
      <c r="CQ151" s="458" t="e">
        <v>#N/A</v>
      </c>
      <c r="CR151" s="458" t="e">
        <v>#N/A</v>
      </c>
      <c r="CS151" s="458" t="e">
        <v>#N/A</v>
      </c>
      <c r="CT151" s="458" t="e">
        <v>#N/A</v>
      </c>
      <c r="CU151" s="458" t="e">
        <v>#N/A</v>
      </c>
      <c r="CV151" s="458" t="e">
        <v>#N/A</v>
      </c>
      <c r="CW151" s="458" t="e">
        <v>#N/A</v>
      </c>
      <c r="CX151" s="458" t="e">
        <v>#N/A</v>
      </c>
      <c r="CY151" s="458" t="e">
        <v>#N/A</v>
      </c>
      <c r="CZ151" s="458" t="e">
        <v>#N/A</v>
      </c>
      <c r="DA151" s="458" t="e">
        <v>#N/A</v>
      </c>
      <c r="DB151" s="458" t="e">
        <v>#N/A</v>
      </c>
      <c r="DC151" s="458" t="e">
        <v>#N/A</v>
      </c>
      <c r="DD151" s="458" t="e">
        <v>#N/A</v>
      </c>
      <c r="DE151" s="458" t="e">
        <v>#N/A</v>
      </c>
      <c r="DF151" s="458" t="e">
        <v>#N/A</v>
      </c>
      <c r="DG151" s="458" t="e">
        <v>#N/A</v>
      </c>
      <c r="DH151" s="458" t="e">
        <v>#N/A</v>
      </c>
      <c r="DI151" s="458" t="e">
        <v>#N/A</v>
      </c>
      <c r="DJ151" s="458" t="e">
        <v>#N/A</v>
      </c>
      <c r="DK151" s="458" t="e">
        <v>#N/A</v>
      </c>
      <c r="DL151" s="458" t="e">
        <v>#N/A</v>
      </c>
      <c r="DM151" s="458" t="e">
        <v>#N/A</v>
      </c>
      <c r="DN151" s="458" t="e">
        <v>#N/A</v>
      </c>
      <c r="DP151" s="462"/>
      <c r="DQ151" s="462"/>
      <c r="DR151" s="462"/>
      <c r="DS151" s="462"/>
      <c r="DT151" s="462"/>
      <c r="DU151" s="462"/>
      <c r="DV151" s="462"/>
      <c r="DW151" s="462"/>
      <c r="DX151" s="462"/>
      <c r="DY151" s="462"/>
      <c r="DZ151" s="462"/>
      <c r="EA151" s="462"/>
      <c r="EB151" s="462"/>
      <c r="EC151" s="462"/>
      <c r="ED151" s="462"/>
      <c r="EE151" s="462"/>
      <c r="EF151" s="462"/>
      <c r="EG151" s="462"/>
      <c r="EH151" s="462"/>
      <c r="EI151" s="462"/>
      <c r="EJ151" s="462"/>
      <c r="EK151" s="462"/>
      <c r="EL151" s="462"/>
      <c r="EM151" s="462"/>
      <c r="EN151" s="462"/>
      <c r="EO151" s="462"/>
      <c r="EP151" s="462"/>
      <c r="ES151" s="132" t="str">
        <f>CONCATENATE("1,1,1 0,0,0 t undo 1 Loft ",EX126,EX127,EX128,EX129,EX130,EX131,EX132,EX133,EX134,EX135,EX136,EX137,EX138,EX139,EX140,EX141,EX142,EX143,EX144,EX145,EX146,EX147,EX148,EX149,EX150," C")</f>
        <v>1,1,1 0,0,0 t undo 1 Loft 0,4.24,13 3.655,5.85,13 7.31,7.27,13 10.965,8.42,13 14.62,9.3,13 21.93,10.44,13 29.24,10.87,13 36.55,11,13 43.86,11,13 51.17,11,13 58.48,11,13 65.79,11,13 73.1,11,13 80.41,11,13 87.72,11,13 95.03,11,13 102.34,11,13 109.65,11,13 116.96,11,13 124.27,10.62,13 131.58,9.16,13 135.235,7.8,13 138.89,5.94,13 142.545,3.63,13 146.2,1.63,13  C</v>
      </c>
      <c r="ET151" s="132" t="str">
        <f>CONCATENATE("Mirror3d ",LBP/2,",",HLOOKUP(DEPTH/WLS,AD2:BC27,ROUND(Long_Div/2,0),FALSE),",",DEPTH,"  ZX 0,0,0 No  ")</f>
        <v xml:space="preserve">Mirror3d 73.1,11,13  ZX 0,0,0 No  </v>
      </c>
      <c r="FB151" s="462"/>
      <c r="FC151" s="462"/>
      <c r="FD151" s="462"/>
      <c r="FE151" s="462"/>
      <c r="FF151" s="462"/>
      <c r="FG151" s="462"/>
      <c r="FH151" s="462"/>
      <c r="FI151" s="462"/>
      <c r="FJ151" s="462"/>
      <c r="FK151" s="462"/>
      <c r="FL151" s="462"/>
      <c r="FM151" s="462"/>
      <c r="FN151" s="462"/>
      <c r="FO151" s="462"/>
      <c r="FP151" s="462"/>
      <c r="FQ151" s="462"/>
      <c r="FR151" s="462"/>
      <c r="FS151" s="462"/>
      <c r="FT151" s="462"/>
      <c r="FU151" s="462"/>
      <c r="FV151" s="462"/>
      <c r="FW151" s="462"/>
      <c r="FX151" s="462"/>
      <c r="FY151" s="462"/>
      <c r="FZ151" s="462"/>
      <c r="GA151" s="462"/>
      <c r="GB151" s="462"/>
      <c r="GD151" s="132" t="str">
        <f>CONCATENATE("Loft ",EX126,EX127,EX128,EX129,EX130,EX131,EX132,EX133,EX134,EX135,EX136,EX137,EX138,EX139,EX140,EX141,EX142,EX143,EX144,EX145,EX146,EX147,EX148,EX149,EX150," ")</f>
        <v xml:space="preserve">Loft 0,4.24,13 3.655,5.85,13 7.31,7.27,13 10.965,8.42,13 14.62,9.3,13 21.93,10.44,13 29.24,10.87,13 36.55,11,13 43.86,11,13 51.17,11,13 58.48,11,13 65.79,11,13 73.1,11,13 80.41,11,13 87.72,11,13 95.03,11,13 102.34,11,13 109.65,11,13 116.96,11,13 124.27,10.62,13 131.58,9.16,13 135.235,7.8,13 138.89,5.94,13 142.545,3.63,13 146.2,1.63,13  </v>
      </c>
      <c r="GF151" s="132" t="s">
        <v>159</v>
      </c>
      <c r="GH151" s="132" t="str">
        <f>CONCATENATE("Loft ",EX126,EX127,EX128,EX129,EX130,EX131,EX132,EX133,EX134,EX135,EX136,EX137,EX138,EX139,EX140,EX141,EX142,EX143,EX144,EX145,EX146,EX147,EX148,EX149,EX150," C")</f>
        <v>Loft 0,4.24,13 3.655,5.85,13 7.31,7.27,13 10.965,8.42,13 14.62,9.3,13 21.93,10.44,13 29.24,10.87,13 36.55,11,13 43.86,11,13 51.17,11,13 58.48,11,13 65.79,11,13 73.1,11,13 80.41,11,13 87.72,11,13 95.03,11,13 102.34,11,13 109.65,11,13 116.96,11,13 124.27,10.62,13 131.58,9.16,13 135.235,7.8,13 138.89,5.94,13 142.545,3.63,13 146.2,1.63,13  C</v>
      </c>
      <c r="GI151" s="132" t="str">
        <f>ET151</f>
        <v xml:space="preserve">Mirror3d 73.1,11,13  ZX 0,0,0 No  </v>
      </c>
      <c r="GQ151" s="132" t="s">
        <v>352</v>
      </c>
    </row>
    <row r="152" spans="1:199" x14ac:dyDescent="0.25">
      <c r="A152" s="134"/>
      <c r="BC152" s="284">
        <f>Offset!Q27</f>
        <v>20</v>
      </c>
      <c r="BD152" s="285" t="str">
        <f>IF(ISNUMBER(VLOOKUP(BC152,Offset!Q$2:R$27,2,FALSE)),VLOOKUP(BC152,Offset!Q$2:R$27,2,FALSE),"-")</f>
        <v>-</v>
      </c>
      <c r="BE152" s="280" t="e">
        <f t="shared" si="350"/>
        <v>#VALUE!</v>
      </c>
      <c r="BF152" s="280" t="str">
        <f t="shared" si="316"/>
        <v>#NA</v>
      </c>
      <c r="BG152" s="280" t="str">
        <f t="shared" si="317"/>
        <v>#NA</v>
      </c>
      <c r="BH152" s="280" t="str">
        <f t="shared" si="318"/>
        <v>#NA</v>
      </c>
      <c r="BI152" s="280" t="str">
        <f t="shared" si="319"/>
        <v>#NA</v>
      </c>
      <c r="BJ152" s="280" t="str">
        <f t="shared" si="320"/>
        <v>#NA</v>
      </c>
      <c r="BK152" s="280" t="str">
        <f t="shared" si="321"/>
        <v>#NA</v>
      </c>
      <c r="BL152" s="280" t="str">
        <f t="shared" si="322"/>
        <v>#NA</v>
      </c>
      <c r="BM152" s="285"/>
      <c r="BN152" s="285" t="e">
        <f t="shared" si="323"/>
        <v>#VALUE!</v>
      </c>
      <c r="BO152" s="285" t="e">
        <f t="shared" si="324"/>
        <v>#VALUE!</v>
      </c>
      <c r="BP152" s="285" t="e">
        <f t="shared" si="325"/>
        <v>#VALUE!</v>
      </c>
      <c r="BQ152" s="285" t="e">
        <f t="shared" si="326"/>
        <v>#VALUE!</v>
      </c>
      <c r="BR152" s="285" t="e">
        <f t="shared" si="327"/>
        <v>#VALUE!</v>
      </c>
      <c r="BS152" s="285" t="e">
        <f t="shared" si="328"/>
        <v>#VALUE!</v>
      </c>
      <c r="BT152" s="285" t="e">
        <f t="shared" si="329"/>
        <v>#VALUE!</v>
      </c>
      <c r="BU152" s="285" t="e">
        <f t="shared" si="330"/>
        <v>#VALUE!</v>
      </c>
      <c r="BV152" s="285" t="e">
        <f t="shared" si="331"/>
        <v>#VALUE!</v>
      </c>
      <c r="BW152" s="285" t="e">
        <f t="shared" si="332"/>
        <v>#VALUE!</v>
      </c>
      <c r="BX152" s="285" t="e">
        <f t="shared" si="351"/>
        <v>#VALUE!</v>
      </c>
      <c r="BY152" s="285" t="e">
        <f t="shared" si="333"/>
        <v>#VALUE!</v>
      </c>
      <c r="BZ152" s="285" t="e">
        <f t="shared" si="334"/>
        <v>#VALUE!</v>
      </c>
      <c r="CA152" s="285" t="e">
        <f t="shared" si="335"/>
        <v>#VALUE!</v>
      </c>
      <c r="CB152" s="285" t="e">
        <f t="shared" si="336"/>
        <v>#VALUE!</v>
      </c>
      <c r="CC152" s="285" t="e">
        <f t="shared" si="337"/>
        <v>#VALUE!</v>
      </c>
      <c r="CD152" s="285" t="e">
        <f t="shared" si="338"/>
        <v>#VALUE!</v>
      </c>
      <c r="CE152" s="285" t="e">
        <f t="shared" si="339"/>
        <v>#VALUE!</v>
      </c>
      <c r="CF152" s="285" t="e">
        <f t="shared" si="340"/>
        <v>#VALUE!</v>
      </c>
      <c r="CG152" s="285" t="e">
        <f t="shared" si="341"/>
        <v>#VALUE!</v>
      </c>
      <c r="CH152" s="285" t="e">
        <f t="shared" si="342"/>
        <v>#VALUE!</v>
      </c>
      <c r="CI152" s="285" t="e">
        <f t="shared" si="343"/>
        <v>#VALUE!</v>
      </c>
      <c r="CJ152" s="285" t="e">
        <f t="shared" si="344"/>
        <v>#VALUE!</v>
      </c>
      <c r="CK152" s="285" t="e">
        <f t="shared" si="345"/>
        <v>#VALUE!</v>
      </c>
      <c r="CL152" s="285" t="e">
        <f t="shared" si="346"/>
        <v>#VALUE!</v>
      </c>
      <c r="CM152" s="293">
        <f t="shared" si="352"/>
        <v>0</v>
      </c>
      <c r="GH152" s="132" t="s">
        <v>347</v>
      </c>
      <c r="GI152" s="132" t="str">
        <f>"Selectsimilar -10,0,0  Delete"</f>
        <v>Selectsimilar -10,0,0  Delete</v>
      </c>
    </row>
    <row r="153" spans="1:199" x14ac:dyDescent="0.25">
      <c r="A153" s="405" t="s">
        <v>297</v>
      </c>
      <c r="AB153" s="405" t="s">
        <v>298</v>
      </c>
      <c r="ES153" s="132" t="str">
        <f>CONCATENATE("1,1,1 0,0,0 undo Loft ",EX126,EX127,EX128,EX129,EX130,EX131,EX132,EX133,EX134,EX135,EX136,EX137,EX138,EX139,EX140,EX141,EX142,EX143,EX144,EX145,EX146,EX147,EX148,EX149,EX150)</f>
        <v xml:space="preserve">1,1,1 0,0,0 undo Loft 0,4.24,13 3.655,5.85,13 7.31,7.27,13 10.965,8.42,13 14.62,9.3,13 21.93,10.44,13 29.24,10.87,13 36.55,11,13 43.86,11,13 51.17,11,13 58.48,11,13 65.79,11,13 73.1,11,13 80.41,11,13 87.72,11,13 95.03,11,13 102.34,11,13 109.65,11,13 116.96,11,13 124.27,10.62,13 131.58,9.16,13 135.235,7.8,13 138.89,5.94,13 142.545,3.63,13 146.2,1.63,13 </v>
      </c>
    </row>
    <row r="154" spans="1:199" x14ac:dyDescent="0.25">
      <c r="A154" s="134"/>
      <c r="B154" s="406" t="s">
        <v>299</v>
      </c>
      <c r="C154" s="302">
        <f>IF(ISNUMBER(CAD!M2),CAD!M2,CAD!M3)</f>
        <v>50</v>
      </c>
      <c r="D154" s="132" t="s">
        <v>149</v>
      </c>
      <c r="F154" s="406" t="s">
        <v>146</v>
      </c>
      <c r="G154" s="302">
        <f>CAD!G2</f>
        <v>1</v>
      </c>
      <c r="H154" s="132" t="s">
        <v>300</v>
      </c>
      <c r="I154" s="406" t="s">
        <v>152</v>
      </c>
      <c r="J154" s="302">
        <f>CAD!G3</f>
        <v>2</v>
      </c>
      <c r="K154" s="132" t="s">
        <v>300</v>
      </c>
      <c r="M154" s="132" t="str">
        <f>CONCATENATE("Zoom Window ",-0.1*BA_Station_Scale_in_x*LBP,",",-0.1*BA_Y_scale_of_WL*DEPTH," ",1.1*BA_Station_Scale_in_x*LBP,",",1.1*BA_Y_scale_of_WL*DEPTH," ")</f>
        <v xml:space="preserve">Zoom Window -14.62,-2.6 160.82,28.6 </v>
      </c>
      <c r="AB154" s="134"/>
      <c r="AC154" s="407" t="s">
        <v>301</v>
      </c>
      <c r="AD154" s="408">
        <f>IF(ISNUMBER(CAD!R2),CAD!R2,CAD!R3)</f>
        <v>300</v>
      </c>
      <c r="AE154" s="134" t="s">
        <v>149</v>
      </c>
      <c r="AF154" s="134"/>
      <c r="AG154" s="134"/>
      <c r="AH154" s="134"/>
      <c r="AI154" s="134"/>
      <c r="AJ154" s="134"/>
      <c r="AK154" s="134"/>
      <c r="AL154" s="134"/>
      <c r="CO154" s="132" t="s">
        <v>100</v>
      </c>
      <c r="CP154" s="132">
        <f t="array" ref="CP154:DN154">TRANSPOSE(DE98:DE122)</f>
        <v>3.5</v>
      </c>
      <c r="CQ154" s="132" t="str">
        <v>-</v>
      </c>
      <c r="CR154" s="132" t="str">
        <v>-</v>
      </c>
      <c r="CS154" s="132" t="str">
        <v>-</v>
      </c>
      <c r="CT154" s="132" t="str">
        <v>-</v>
      </c>
      <c r="CU154" s="132" t="str">
        <v>-</v>
      </c>
      <c r="CV154" s="132" t="str">
        <v>-</v>
      </c>
      <c r="CW154" s="132" t="str">
        <v>-</v>
      </c>
      <c r="CX154" s="132" t="str">
        <v>-</v>
      </c>
      <c r="CY154" s="132" t="str">
        <v>-</v>
      </c>
      <c r="CZ154" s="132" t="str">
        <v>-</v>
      </c>
      <c r="DA154" s="132" t="str">
        <v>-</v>
      </c>
      <c r="DB154" s="132" t="str">
        <v>-</v>
      </c>
      <c r="DC154" s="132" t="str">
        <v>-</v>
      </c>
      <c r="DD154" s="132" t="str">
        <v>-</v>
      </c>
      <c r="DE154" s="132" t="str">
        <v>-</v>
      </c>
      <c r="DF154" s="132" t="str">
        <v>-</v>
      </c>
      <c r="DG154" s="132" t="str">
        <v>-</v>
      </c>
      <c r="DH154" s="132" t="str">
        <v>-</v>
      </c>
      <c r="DI154" s="132" t="str">
        <v>-</v>
      </c>
      <c r="DJ154" s="132" t="str">
        <v>-</v>
      </c>
      <c r="DK154" s="132" t="str">
        <v>-</v>
      </c>
      <c r="DL154" s="132" t="str">
        <v>-</v>
      </c>
      <c r="DM154" s="132" t="str">
        <v>-</v>
      </c>
      <c r="DN154" s="132" t="str">
        <v>-</v>
      </c>
    </row>
    <row r="155" spans="1:199" x14ac:dyDescent="0.25">
      <c r="A155" s="409" t="str">
        <f t="shared" ref="A155:Z170" si="399">A69</f>
        <v>STN/WL</v>
      </c>
      <c r="B155" s="409">
        <f t="shared" si="399"/>
        <v>0</v>
      </c>
      <c r="C155" s="409">
        <f t="shared" si="399"/>
        <v>0.25</v>
      </c>
      <c r="D155" s="409">
        <f t="shared" si="399"/>
        <v>0.5</v>
      </c>
      <c r="E155" s="409">
        <f t="shared" si="399"/>
        <v>0.75</v>
      </c>
      <c r="F155" s="409">
        <f t="shared" si="399"/>
        <v>1</v>
      </c>
      <c r="G155" s="409">
        <f t="shared" si="399"/>
        <v>2</v>
      </c>
      <c r="H155" s="409">
        <f t="shared" si="399"/>
        <v>3</v>
      </c>
      <c r="I155" s="410">
        <f t="shared" si="399"/>
        <v>4</v>
      </c>
      <c r="J155" s="409">
        <f t="shared" si="399"/>
        <v>4.8499999999999996</v>
      </c>
      <c r="K155" s="409">
        <f t="shared" si="399"/>
        <v>5</v>
      </c>
      <c r="L155" s="409">
        <f t="shared" si="399"/>
        <v>6</v>
      </c>
      <c r="M155" s="409">
        <f t="shared" si="399"/>
        <v>6.5</v>
      </c>
      <c r="N155" s="409" t="str">
        <f t="shared" si="399"/>
        <v xml:space="preserve">  </v>
      </c>
      <c r="O155" s="409" t="str">
        <f t="shared" si="399"/>
        <v xml:space="preserve">  </v>
      </c>
      <c r="P155" s="409" t="str">
        <f t="shared" si="399"/>
        <v xml:space="preserve">  </v>
      </c>
      <c r="Q155" s="409" t="str">
        <f t="shared" si="399"/>
        <v xml:space="preserve">  </v>
      </c>
      <c r="R155" s="409" t="str">
        <f t="shared" si="399"/>
        <v xml:space="preserve">  </v>
      </c>
      <c r="S155" s="409" t="str">
        <f t="shared" si="399"/>
        <v xml:space="preserve">  </v>
      </c>
      <c r="T155" s="409" t="str">
        <f t="shared" si="399"/>
        <v xml:space="preserve">  </v>
      </c>
      <c r="U155" s="409" t="str">
        <f t="shared" si="399"/>
        <v xml:space="preserve">  </v>
      </c>
      <c r="V155" s="409" t="str">
        <f t="shared" si="399"/>
        <v xml:space="preserve">  </v>
      </c>
      <c r="W155" s="409" t="str">
        <f t="shared" si="399"/>
        <v xml:space="preserve">  </v>
      </c>
      <c r="X155" s="409" t="str">
        <f t="shared" si="399"/>
        <v xml:space="preserve">  </v>
      </c>
      <c r="Y155" s="409" t="str">
        <f t="shared" si="399"/>
        <v xml:space="preserve">  </v>
      </c>
      <c r="Z155" s="409" t="str">
        <f t="shared" si="399"/>
        <v xml:space="preserve">  </v>
      </c>
      <c r="AB155" s="411" t="str">
        <f t="shared" ref="AB155:AQ180" si="400">A69</f>
        <v>STN/WL</v>
      </c>
      <c r="AC155" s="411">
        <f t="shared" si="400"/>
        <v>0</v>
      </c>
      <c r="AD155" s="411">
        <f t="shared" si="400"/>
        <v>0.25</v>
      </c>
      <c r="AE155" s="411">
        <f t="shared" si="400"/>
        <v>0.5</v>
      </c>
      <c r="AF155" s="411">
        <f t="shared" si="400"/>
        <v>0.75</v>
      </c>
      <c r="AG155" s="411">
        <f t="shared" si="400"/>
        <v>1</v>
      </c>
      <c r="AH155" s="411">
        <f t="shared" si="400"/>
        <v>2</v>
      </c>
      <c r="AI155" s="411">
        <f t="shared" si="400"/>
        <v>3</v>
      </c>
      <c r="AJ155" s="411">
        <f t="shared" si="400"/>
        <v>4</v>
      </c>
      <c r="AK155" s="411">
        <f t="shared" si="400"/>
        <v>4.8499999999999996</v>
      </c>
      <c r="AL155" s="411">
        <f t="shared" si="400"/>
        <v>5</v>
      </c>
      <c r="AM155" s="411">
        <f t="shared" si="400"/>
        <v>6</v>
      </c>
      <c r="AN155" s="411">
        <f t="shared" si="400"/>
        <v>6.5</v>
      </c>
      <c r="AO155" s="411" t="str">
        <f t="shared" si="400"/>
        <v xml:space="preserve">  </v>
      </c>
      <c r="AP155" s="411" t="str">
        <f t="shared" si="400"/>
        <v xml:space="preserve">  </v>
      </c>
      <c r="AQ155" s="411" t="str">
        <f t="shared" si="400"/>
        <v xml:space="preserve">  </v>
      </c>
      <c r="AR155" s="411" t="str">
        <f t="shared" ref="AR155:BA155" si="401">Q69</f>
        <v xml:space="preserve">  </v>
      </c>
      <c r="AS155" s="411" t="str">
        <f t="shared" si="401"/>
        <v xml:space="preserve">  </v>
      </c>
      <c r="AT155" s="411" t="str">
        <f t="shared" si="401"/>
        <v xml:space="preserve">  </v>
      </c>
      <c r="AU155" s="411" t="str">
        <f t="shared" si="401"/>
        <v xml:space="preserve">  </v>
      </c>
      <c r="AV155" s="411" t="str">
        <f t="shared" si="401"/>
        <v xml:space="preserve">  </v>
      </c>
      <c r="AW155" s="411" t="str">
        <f t="shared" si="401"/>
        <v xml:space="preserve">  </v>
      </c>
      <c r="AX155" s="411" t="str">
        <f t="shared" si="401"/>
        <v xml:space="preserve">  </v>
      </c>
      <c r="AY155" s="411" t="str">
        <f t="shared" si="401"/>
        <v xml:space="preserve">  </v>
      </c>
      <c r="AZ155" s="411" t="str">
        <f t="shared" si="401"/>
        <v xml:space="preserve">  </v>
      </c>
      <c r="BA155" s="411" t="str">
        <f t="shared" si="401"/>
        <v xml:space="preserve">  </v>
      </c>
    </row>
    <row r="156" spans="1:199" s="400" customFormat="1" x14ac:dyDescent="0.25">
      <c r="A156" s="409">
        <f t="shared" si="399"/>
        <v>0</v>
      </c>
      <c r="B156" s="380" t="str">
        <f t="shared" ref="B156:Z156" si="402">IFERROR(CONCATENATE(ROUND($A156*STN_GAP*BA_Station_Scale_in_x+B70/Bonjean_Area_Scale,3),",",ROUND(B$69*WLS*BA_Y_scale_of_WL,3)," "),"")</f>
        <v xml:space="preserve">0,0 </v>
      </c>
      <c r="C156" s="380" t="str">
        <f t="shared" si="402"/>
        <v xml:space="preserve">0,1 </v>
      </c>
      <c r="D156" s="380" t="str">
        <f t="shared" si="402"/>
        <v xml:space="preserve">0,2 </v>
      </c>
      <c r="E156" s="380" t="str">
        <f t="shared" si="402"/>
        <v xml:space="preserve">0,3 </v>
      </c>
      <c r="F156" s="380" t="str">
        <f t="shared" si="402"/>
        <v xml:space="preserve">0,4 </v>
      </c>
      <c r="G156" s="380" t="str">
        <f t="shared" si="402"/>
        <v xml:space="preserve">0,8 </v>
      </c>
      <c r="H156" s="380" t="str">
        <f t="shared" si="402"/>
        <v xml:space="preserve">0,12 </v>
      </c>
      <c r="I156" s="380" t="str">
        <f t="shared" si="402"/>
        <v xml:space="preserve">0.018,16 </v>
      </c>
      <c r="J156" s="380" t="str">
        <f t="shared" si="402"/>
        <v xml:space="preserve">0.137,19.4 </v>
      </c>
      <c r="K156" s="380" t="str">
        <f t="shared" si="402"/>
        <v xml:space="preserve">0.173,20 </v>
      </c>
      <c r="L156" s="380" t="str">
        <f t="shared" si="402"/>
        <v xml:space="preserve">0.445,24 </v>
      </c>
      <c r="M156" s="380" t="str">
        <f t="shared" si="402"/>
        <v xml:space="preserve">0.606,26 </v>
      </c>
      <c r="N156" s="380" t="str">
        <f t="shared" si="402"/>
        <v/>
      </c>
      <c r="O156" s="380" t="str">
        <f t="shared" si="402"/>
        <v/>
      </c>
      <c r="P156" s="380" t="str">
        <f t="shared" si="402"/>
        <v/>
      </c>
      <c r="Q156" s="380" t="str">
        <f t="shared" si="402"/>
        <v/>
      </c>
      <c r="R156" s="380" t="str">
        <f t="shared" si="402"/>
        <v/>
      </c>
      <c r="S156" s="380" t="str">
        <f t="shared" si="402"/>
        <v/>
      </c>
      <c r="T156" s="380" t="str">
        <f t="shared" si="402"/>
        <v/>
      </c>
      <c r="U156" s="380" t="str">
        <f t="shared" si="402"/>
        <v/>
      </c>
      <c r="V156" s="380" t="str">
        <f t="shared" si="402"/>
        <v/>
      </c>
      <c r="W156" s="380" t="str">
        <f t="shared" si="402"/>
        <v/>
      </c>
      <c r="X156" s="380" t="str">
        <f t="shared" si="402"/>
        <v/>
      </c>
      <c r="Y156" s="380" t="str">
        <f t="shared" si="402"/>
        <v/>
      </c>
      <c r="Z156" s="380" t="str">
        <f t="shared" si="402"/>
        <v/>
      </c>
      <c r="AA156" s="132"/>
      <c r="AB156" s="409">
        <f t="shared" si="400"/>
        <v>0</v>
      </c>
      <c r="AC156" s="412" t="str">
        <f t="shared" ref="AC156:BA156" si="403">IFERROR(CONCATENATE(ROUND($A156*STN_GAP*BA_Station_Scale_in_x+AC70/Bonjean_Moment_Scale,3),",",ROUND(AC$155*WLS*BA_Y_scale_of_WL,3)," "),"")</f>
        <v xml:space="preserve">0,0 </v>
      </c>
      <c r="AD156" s="412" t="str">
        <f t="shared" si="403"/>
        <v xml:space="preserve">0,1 </v>
      </c>
      <c r="AE156" s="412" t="str">
        <f t="shared" si="403"/>
        <v xml:space="preserve">0,2 </v>
      </c>
      <c r="AF156" s="412" t="str">
        <f t="shared" si="403"/>
        <v xml:space="preserve">0,3 </v>
      </c>
      <c r="AG156" s="412" t="str">
        <f t="shared" si="403"/>
        <v xml:space="preserve">0,4 </v>
      </c>
      <c r="AH156" s="412" t="str">
        <f t="shared" si="403"/>
        <v xml:space="preserve">0,8 </v>
      </c>
      <c r="AI156" s="412" t="str">
        <f t="shared" si="403"/>
        <v xml:space="preserve">0,12 </v>
      </c>
      <c r="AJ156" s="412" t="str">
        <f t="shared" si="403"/>
        <v xml:space="preserve">0.023,16 </v>
      </c>
      <c r="AK156" s="412" t="str">
        <f t="shared" si="403"/>
        <v xml:space="preserve">0.201,19.4 </v>
      </c>
      <c r="AL156" s="412" t="str">
        <f t="shared" si="403"/>
        <v xml:space="preserve">0.26,20 </v>
      </c>
      <c r="AM156" s="412" t="str">
        <f t="shared" si="403"/>
        <v xml:space="preserve">0.76,24 </v>
      </c>
      <c r="AN156" s="412" t="str">
        <f t="shared" si="403"/>
        <v xml:space="preserve">1.096,26 </v>
      </c>
      <c r="AO156" s="412" t="str">
        <f t="shared" si="403"/>
        <v/>
      </c>
      <c r="AP156" s="412" t="str">
        <f t="shared" si="403"/>
        <v/>
      </c>
      <c r="AQ156" s="412" t="str">
        <f t="shared" si="403"/>
        <v/>
      </c>
      <c r="AR156" s="412" t="str">
        <f t="shared" si="403"/>
        <v/>
      </c>
      <c r="AS156" s="412" t="str">
        <f t="shared" si="403"/>
        <v/>
      </c>
      <c r="AT156" s="412" t="str">
        <f t="shared" si="403"/>
        <v/>
      </c>
      <c r="AU156" s="412" t="str">
        <f t="shared" si="403"/>
        <v/>
      </c>
      <c r="AV156" s="412" t="str">
        <f t="shared" si="403"/>
        <v/>
      </c>
      <c r="AW156" s="412" t="str">
        <f t="shared" si="403"/>
        <v/>
      </c>
      <c r="AX156" s="412" t="str">
        <f t="shared" si="403"/>
        <v/>
      </c>
      <c r="AY156" s="412" t="str">
        <f t="shared" si="403"/>
        <v/>
      </c>
      <c r="AZ156" s="412" t="str">
        <f t="shared" si="403"/>
        <v/>
      </c>
      <c r="BA156" s="412" t="str">
        <f t="shared" si="403"/>
        <v/>
      </c>
      <c r="BF156" s="132"/>
      <c r="CT156" s="132"/>
      <c r="CU156" s="132"/>
      <c r="CV156" s="132"/>
      <c r="CW156" s="132"/>
      <c r="CX156" s="132"/>
      <c r="CY156" s="132"/>
      <c r="CZ156" s="132"/>
      <c r="DA156" s="132"/>
      <c r="DB156" s="132"/>
      <c r="DC156" s="132"/>
      <c r="DD156" s="132"/>
      <c r="DE156" s="132"/>
      <c r="DF156" s="132"/>
      <c r="DG156" s="132"/>
      <c r="DH156" s="132"/>
      <c r="DI156" s="132"/>
      <c r="DJ156" s="132"/>
      <c r="DK156" s="132"/>
      <c r="DL156" s="132"/>
      <c r="DM156" s="132"/>
      <c r="DN156" s="132"/>
      <c r="DO156" s="132"/>
      <c r="DP156" s="132"/>
      <c r="DQ156" s="132"/>
      <c r="DR156" s="132"/>
      <c r="DS156" s="132"/>
      <c r="DT156" s="132"/>
      <c r="DU156" s="132"/>
      <c r="DV156" s="132"/>
      <c r="DW156" s="132"/>
      <c r="DX156" s="132"/>
      <c r="DY156" s="132"/>
      <c r="DZ156" s="132"/>
      <c r="EA156" s="132"/>
      <c r="EB156" s="132"/>
      <c r="EC156" s="132"/>
      <c r="ED156" s="132"/>
      <c r="EE156" s="132"/>
      <c r="EF156" s="132"/>
      <c r="EG156" s="132"/>
      <c r="EH156" s="132"/>
      <c r="EI156" s="132"/>
    </row>
    <row r="157" spans="1:199" s="400" customFormat="1" x14ac:dyDescent="0.25">
      <c r="A157" s="409">
        <f t="shared" si="399"/>
        <v>0.5</v>
      </c>
      <c r="B157" s="380" t="str">
        <f t="shared" ref="B157:Z157" si="404">IFERROR(CONCATENATE(ROUND($A157*STN_GAP*BA_Station_Scale_in_x+B71/Bonjean_Area_Scale,3),",",ROUND(B$69*WLS*BA_Y_scale_of_WL,3)," "),"")</f>
        <v xml:space="preserve">3.655,0 </v>
      </c>
      <c r="C157" s="380" t="str">
        <f t="shared" si="404"/>
        <v xml:space="preserve">3.658,1 </v>
      </c>
      <c r="D157" s="380" t="str">
        <f t="shared" si="404"/>
        <v xml:space="preserve">3.662,2 </v>
      </c>
      <c r="E157" s="380" t="str">
        <f t="shared" si="404"/>
        <v xml:space="preserve">3.666,3 </v>
      </c>
      <c r="F157" s="380" t="str">
        <f t="shared" si="404"/>
        <v xml:space="preserve">3.671,4 </v>
      </c>
      <c r="G157" s="380" t="str">
        <f t="shared" si="404"/>
        <v xml:space="preserve">3.692,8 </v>
      </c>
      <c r="H157" s="380" t="str">
        <f t="shared" si="404"/>
        <v xml:space="preserve">3.73,12 </v>
      </c>
      <c r="I157" s="380" t="str">
        <f t="shared" si="404"/>
        <v xml:space="preserve">3.836,16 </v>
      </c>
      <c r="J157" s="380" t="str">
        <f t="shared" si="404"/>
        <v xml:space="preserve">4.061,19.4 </v>
      </c>
      <c r="K157" s="380" t="str">
        <f t="shared" si="404"/>
        <v xml:space="preserve">4.124,20 </v>
      </c>
      <c r="L157" s="380" t="str">
        <f t="shared" si="404"/>
        <v xml:space="preserve">4.514,24 </v>
      </c>
      <c r="M157" s="380" t="str">
        <f t="shared" si="404"/>
        <v xml:space="preserve">4.74,26 </v>
      </c>
      <c r="N157" s="380" t="str">
        <f t="shared" si="404"/>
        <v/>
      </c>
      <c r="O157" s="380" t="str">
        <f t="shared" si="404"/>
        <v/>
      </c>
      <c r="P157" s="380" t="str">
        <f t="shared" si="404"/>
        <v/>
      </c>
      <c r="Q157" s="380" t="str">
        <f t="shared" si="404"/>
        <v/>
      </c>
      <c r="R157" s="380" t="str">
        <f t="shared" si="404"/>
        <v/>
      </c>
      <c r="S157" s="380" t="str">
        <f t="shared" si="404"/>
        <v/>
      </c>
      <c r="T157" s="380" t="str">
        <f t="shared" si="404"/>
        <v/>
      </c>
      <c r="U157" s="380" t="str">
        <f t="shared" si="404"/>
        <v/>
      </c>
      <c r="V157" s="380" t="str">
        <f t="shared" si="404"/>
        <v/>
      </c>
      <c r="W157" s="380" t="str">
        <f t="shared" si="404"/>
        <v/>
      </c>
      <c r="X157" s="380" t="str">
        <f t="shared" si="404"/>
        <v/>
      </c>
      <c r="Y157" s="380" t="str">
        <f t="shared" si="404"/>
        <v/>
      </c>
      <c r="Z157" s="380" t="str">
        <f t="shared" si="404"/>
        <v/>
      </c>
      <c r="AA157" s="132"/>
      <c r="AB157" s="409">
        <f t="shared" si="400"/>
        <v>0.5</v>
      </c>
      <c r="AC157" s="412" t="str">
        <f t="shared" ref="AC157:BA157" si="405">IFERROR(CONCATENATE(ROUND($A157*STN_GAP*BA_Station_Scale_in_x+AC71/Bonjean_Moment_Scale,3),",",ROUND(AC$155*WLS*BA_Y_scale_of_WL,3)," "),"")</f>
        <v xml:space="preserve">3.655,0 </v>
      </c>
      <c r="AD157" s="412" t="str">
        <f t="shared" si="405"/>
        <v xml:space="preserve">3.655,1 </v>
      </c>
      <c r="AE157" s="412" t="str">
        <f t="shared" si="405"/>
        <v xml:space="preserve">3.656,2 </v>
      </c>
      <c r="AF157" s="412" t="str">
        <f t="shared" si="405"/>
        <v xml:space="preserve">3.656,3 </v>
      </c>
      <c r="AG157" s="412" t="str">
        <f t="shared" si="405"/>
        <v xml:space="preserve">3.658,4 </v>
      </c>
      <c r="AH157" s="412" t="str">
        <f t="shared" si="405"/>
        <v xml:space="preserve">3.669,8 </v>
      </c>
      <c r="AI157" s="412" t="str">
        <f t="shared" si="405"/>
        <v xml:space="preserve">3.701,12 </v>
      </c>
      <c r="AJ157" s="412" t="str">
        <f t="shared" si="405"/>
        <v xml:space="preserve">3.831,16 </v>
      </c>
      <c r="AK157" s="412" t="str">
        <f t="shared" si="405"/>
        <v xml:space="preserve">4.166,19.4 </v>
      </c>
      <c r="AL157" s="412" t="str">
        <f t="shared" si="405"/>
        <v xml:space="preserve">4.259,20 </v>
      </c>
      <c r="AM157" s="412" t="str">
        <f t="shared" si="405"/>
        <v xml:space="preserve">4.988,24 </v>
      </c>
      <c r="AN157" s="412" t="str">
        <f t="shared" si="405"/>
        <v xml:space="preserve">5.458,26 </v>
      </c>
      <c r="AO157" s="412" t="str">
        <f t="shared" si="405"/>
        <v/>
      </c>
      <c r="AP157" s="412" t="str">
        <f t="shared" si="405"/>
        <v/>
      </c>
      <c r="AQ157" s="412" t="str">
        <f t="shared" si="405"/>
        <v/>
      </c>
      <c r="AR157" s="412" t="str">
        <f t="shared" si="405"/>
        <v/>
      </c>
      <c r="AS157" s="412" t="str">
        <f t="shared" si="405"/>
        <v/>
      </c>
      <c r="AT157" s="412" t="str">
        <f t="shared" si="405"/>
        <v/>
      </c>
      <c r="AU157" s="412" t="str">
        <f t="shared" si="405"/>
        <v/>
      </c>
      <c r="AV157" s="412" t="str">
        <f t="shared" si="405"/>
        <v/>
      </c>
      <c r="AW157" s="412" t="str">
        <f t="shared" si="405"/>
        <v/>
      </c>
      <c r="AX157" s="412" t="str">
        <f t="shared" si="405"/>
        <v/>
      </c>
      <c r="AY157" s="412" t="str">
        <f t="shared" si="405"/>
        <v/>
      </c>
      <c r="AZ157" s="412" t="str">
        <f t="shared" si="405"/>
        <v/>
      </c>
      <c r="BA157" s="412" t="str">
        <f t="shared" si="405"/>
        <v/>
      </c>
      <c r="BF157" s="132"/>
      <c r="CT157" s="132"/>
      <c r="CU157" s="132"/>
      <c r="CV157" s="132"/>
      <c r="CW157" s="132"/>
      <c r="CX157" s="132"/>
      <c r="CY157" s="132"/>
      <c r="CZ157" s="132"/>
      <c r="DA157" s="132"/>
      <c r="DB157" s="132"/>
      <c r="DC157" s="132"/>
      <c r="DD157" s="132"/>
      <c r="DE157" s="132"/>
      <c r="DF157" s="132"/>
      <c r="DG157" s="132"/>
      <c r="DH157" s="132"/>
      <c r="DI157" s="132"/>
      <c r="DJ157" s="132"/>
      <c r="DK157" s="132"/>
      <c r="DL157" s="132"/>
      <c r="DM157" s="132"/>
      <c r="DN157" s="132"/>
      <c r="DO157" s="132"/>
      <c r="DP157" s="132"/>
      <c r="DQ157" s="132"/>
      <c r="DR157" s="132"/>
      <c r="DS157" s="132"/>
      <c r="DT157" s="132"/>
      <c r="DU157" s="132"/>
      <c r="DV157" s="132"/>
      <c r="DW157" s="132"/>
      <c r="DX157" s="132"/>
      <c r="DY157" s="132"/>
      <c r="DZ157" s="132"/>
      <c r="EA157" s="132"/>
      <c r="EB157" s="132"/>
      <c r="EC157" s="132"/>
      <c r="ED157" s="132"/>
      <c r="EE157" s="132"/>
      <c r="EF157" s="132"/>
      <c r="EG157" s="132"/>
      <c r="EH157" s="132"/>
      <c r="EI157" s="132"/>
    </row>
    <row r="158" spans="1:199" s="400" customFormat="1" x14ac:dyDescent="0.25">
      <c r="A158" s="409">
        <f t="shared" si="399"/>
        <v>1</v>
      </c>
      <c r="B158" s="380" t="str">
        <f t="shared" ref="B158:Z158" si="406">IFERROR(CONCATENATE(ROUND($A158*STN_GAP*BA_Station_Scale_in_x+B72/Bonjean_Area_Scale,3),",",ROUND(B$69*WLS*BA_Y_scale_of_WL,3)," "),"")</f>
        <v xml:space="preserve">7.31,0 </v>
      </c>
      <c r="C158" s="380" t="str">
        <f t="shared" si="406"/>
        <v xml:space="preserve">7.318,1 </v>
      </c>
      <c r="D158" s="380" t="str">
        <f t="shared" si="406"/>
        <v xml:space="preserve">7.33,2 </v>
      </c>
      <c r="E158" s="380" t="str">
        <f t="shared" si="406"/>
        <v xml:space="preserve">7.345,3 </v>
      </c>
      <c r="F158" s="380" t="str">
        <f t="shared" si="406"/>
        <v xml:space="preserve">7.363,4 </v>
      </c>
      <c r="G158" s="380" t="str">
        <f t="shared" si="406"/>
        <v xml:space="preserve">7.457,8 </v>
      </c>
      <c r="H158" s="380" t="str">
        <f t="shared" si="406"/>
        <v xml:space="preserve">7.603,12 </v>
      </c>
      <c r="I158" s="380" t="str">
        <f t="shared" si="406"/>
        <v xml:space="preserve">7.845,16 </v>
      </c>
      <c r="J158" s="380" t="str">
        <f t="shared" si="406"/>
        <v xml:space="preserve">8.171,19.4 </v>
      </c>
      <c r="K158" s="380" t="str">
        <f t="shared" si="406"/>
        <v xml:space="preserve">8.246,20 </v>
      </c>
      <c r="L158" s="380" t="str">
        <f t="shared" si="406"/>
        <v xml:space="preserve">8.75,24 </v>
      </c>
      <c r="M158" s="380" t="str">
        <f t="shared" si="406"/>
        <v xml:space="preserve">9.031,26 </v>
      </c>
      <c r="N158" s="380" t="str">
        <f t="shared" si="406"/>
        <v/>
      </c>
      <c r="O158" s="380" t="str">
        <f t="shared" si="406"/>
        <v/>
      </c>
      <c r="P158" s="380" t="str">
        <f t="shared" si="406"/>
        <v/>
      </c>
      <c r="Q158" s="380" t="str">
        <f t="shared" si="406"/>
        <v/>
      </c>
      <c r="R158" s="380" t="str">
        <f t="shared" si="406"/>
        <v/>
      </c>
      <c r="S158" s="380" t="str">
        <f t="shared" si="406"/>
        <v/>
      </c>
      <c r="T158" s="380" t="str">
        <f t="shared" si="406"/>
        <v/>
      </c>
      <c r="U158" s="380" t="str">
        <f t="shared" si="406"/>
        <v/>
      </c>
      <c r="V158" s="380" t="str">
        <f t="shared" si="406"/>
        <v/>
      </c>
      <c r="W158" s="380" t="str">
        <f t="shared" si="406"/>
        <v/>
      </c>
      <c r="X158" s="380" t="str">
        <f t="shared" si="406"/>
        <v/>
      </c>
      <c r="Y158" s="380" t="str">
        <f t="shared" si="406"/>
        <v/>
      </c>
      <c r="Z158" s="380" t="str">
        <f t="shared" si="406"/>
        <v/>
      </c>
      <c r="AA158" s="132"/>
      <c r="AB158" s="409">
        <f t="shared" si="400"/>
        <v>1</v>
      </c>
      <c r="AC158" s="412" t="str">
        <f t="shared" ref="AC158:BA158" si="407">IFERROR(CONCATENATE(ROUND($A158*STN_GAP*BA_Station_Scale_in_x+AC72/Bonjean_Moment_Scale,3),",",ROUND(AC$155*WLS*BA_Y_scale_of_WL,3)," "),"")</f>
        <v xml:space="preserve">7.31,0 </v>
      </c>
      <c r="AD158" s="412" t="str">
        <f t="shared" si="407"/>
        <v xml:space="preserve">7.31,1 </v>
      </c>
      <c r="AE158" s="412" t="str">
        <f t="shared" si="407"/>
        <v xml:space="preserve">7.312,2 </v>
      </c>
      <c r="AF158" s="412" t="str">
        <f t="shared" si="407"/>
        <v xml:space="preserve">7.315,3 </v>
      </c>
      <c r="AG158" s="412" t="str">
        <f t="shared" si="407"/>
        <v xml:space="preserve">7.32,4 </v>
      </c>
      <c r="AH158" s="412" t="str">
        <f t="shared" si="407"/>
        <v xml:space="preserve">7.369,8 </v>
      </c>
      <c r="AI158" s="412" t="str">
        <f t="shared" si="407"/>
        <v xml:space="preserve">7.492,12 </v>
      </c>
      <c r="AJ158" s="412" t="str">
        <f t="shared" si="407"/>
        <v xml:space="preserve">7.779,16 </v>
      </c>
      <c r="AK158" s="412" t="str">
        <f t="shared" si="407"/>
        <v xml:space="preserve">8.262,19.4 </v>
      </c>
      <c r="AL158" s="412" t="str">
        <f t="shared" si="407"/>
        <v xml:space="preserve">8.38,20 </v>
      </c>
      <c r="AM158" s="412" t="str">
        <f t="shared" si="407"/>
        <v xml:space="preserve">9.312,24 </v>
      </c>
      <c r="AN158" s="412" t="str">
        <f t="shared" si="407"/>
        <v xml:space="preserve">9.898,26 </v>
      </c>
      <c r="AO158" s="412" t="str">
        <f t="shared" si="407"/>
        <v/>
      </c>
      <c r="AP158" s="412" t="str">
        <f t="shared" si="407"/>
        <v/>
      </c>
      <c r="AQ158" s="412" t="str">
        <f t="shared" si="407"/>
        <v/>
      </c>
      <c r="AR158" s="412" t="str">
        <f t="shared" si="407"/>
        <v/>
      </c>
      <c r="AS158" s="412" t="str">
        <f t="shared" si="407"/>
        <v/>
      </c>
      <c r="AT158" s="412" t="str">
        <f t="shared" si="407"/>
        <v/>
      </c>
      <c r="AU158" s="412" t="str">
        <f t="shared" si="407"/>
        <v/>
      </c>
      <c r="AV158" s="412" t="str">
        <f t="shared" si="407"/>
        <v/>
      </c>
      <c r="AW158" s="412" t="str">
        <f t="shared" si="407"/>
        <v/>
      </c>
      <c r="AX158" s="412" t="str">
        <f t="shared" si="407"/>
        <v/>
      </c>
      <c r="AY158" s="412" t="str">
        <f t="shared" si="407"/>
        <v/>
      </c>
      <c r="AZ158" s="412" t="str">
        <f t="shared" si="407"/>
        <v/>
      </c>
      <c r="BA158" s="412" t="str">
        <f t="shared" si="407"/>
        <v/>
      </c>
      <c r="BF158" s="132"/>
    </row>
    <row r="159" spans="1:199" s="400" customFormat="1" x14ac:dyDescent="0.25">
      <c r="A159" s="409">
        <f t="shared" si="399"/>
        <v>1.5</v>
      </c>
      <c r="B159" s="380" t="str">
        <f t="shared" ref="B159:Z159" si="408">IFERROR(CONCATENATE(ROUND($A159*STN_GAP*BA_Station_Scale_in_x+B73/Bonjean_Area_Scale,3),",",ROUND(B$69*WLS*BA_Y_scale_of_WL,3)," "),"")</f>
        <v xml:space="preserve">10.965,0 </v>
      </c>
      <c r="C159" s="380" t="str">
        <f t="shared" si="408"/>
        <v xml:space="preserve">10.98,1 </v>
      </c>
      <c r="D159" s="380" t="str">
        <f t="shared" si="408"/>
        <v xml:space="preserve">11.004,2 </v>
      </c>
      <c r="E159" s="380" t="str">
        <f t="shared" si="408"/>
        <v xml:space="preserve">11.034,3 </v>
      </c>
      <c r="F159" s="380" t="str">
        <f t="shared" si="408"/>
        <v xml:space="preserve">11.069,4 </v>
      </c>
      <c r="G159" s="380" t="str">
        <f t="shared" si="408"/>
        <v xml:space="preserve">11.256,8 </v>
      </c>
      <c r="H159" s="380" t="str">
        <f t="shared" si="408"/>
        <v xml:space="preserve">11.522,12 </v>
      </c>
      <c r="I159" s="380" t="str">
        <f t="shared" si="408"/>
        <v xml:space="preserve">11.89,16 </v>
      </c>
      <c r="J159" s="380" t="str">
        <f t="shared" si="408"/>
        <v xml:space="preserve">12.309,19.4 </v>
      </c>
      <c r="K159" s="380" t="str">
        <f t="shared" si="408"/>
        <v xml:space="preserve">12.399,20 </v>
      </c>
      <c r="L159" s="380" t="str">
        <f t="shared" si="408"/>
        <v xml:space="preserve">12.997,24 </v>
      </c>
      <c r="M159" s="380" t="str">
        <f t="shared" si="408"/>
        <v xml:space="preserve">13.325,26 </v>
      </c>
      <c r="N159" s="380" t="str">
        <f t="shared" si="408"/>
        <v/>
      </c>
      <c r="O159" s="380" t="str">
        <f t="shared" si="408"/>
        <v/>
      </c>
      <c r="P159" s="380" t="str">
        <f t="shared" si="408"/>
        <v/>
      </c>
      <c r="Q159" s="380" t="str">
        <f t="shared" si="408"/>
        <v/>
      </c>
      <c r="R159" s="380" t="str">
        <f t="shared" si="408"/>
        <v/>
      </c>
      <c r="S159" s="380" t="str">
        <f t="shared" si="408"/>
        <v/>
      </c>
      <c r="T159" s="380" t="str">
        <f t="shared" si="408"/>
        <v/>
      </c>
      <c r="U159" s="380" t="str">
        <f t="shared" si="408"/>
        <v/>
      </c>
      <c r="V159" s="380" t="str">
        <f t="shared" si="408"/>
        <v/>
      </c>
      <c r="W159" s="380" t="str">
        <f t="shared" si="408"/>
        <v/>
      </c>
      <c r="X159" s="380" t="str">
        <f t="shared" si="408"/>
        <v/>
      </c>
      <c r="Y159" s="380" t="str">
        <f t="shared" si="408"/>
        <v/>
      </c>
      <c r="Z159" s="380" t="str">
        <f t="shared" si="408"/>
        <v/>
      </c>
      <c r="AA159" s="132"/>
      <c r="AB159" s="409">
        <f t="shared" si="400"/>
        <v>1.5</v>
      </c>
      <c r="AC159" s="412" t="str">
        <f t="shared" ref="AC159:BA159" si="409">IFERROR(CONCATENATE(ROUND($A159*STN_GAP*BA_Station_Scale_in_x+AC73/Bonjean_Moment_Scale,3),",",ROUND(AC$155*WLS*BA_Y_scale_of_WL,3)," "),"")</f>
        <v xml:space="preserve">10.965,0 </v>
      </c>
      <c r="AD159" s="412" t="str">
        <f t="shared" si="409"/>
        <v xml:space="preserve">10.966,1 </v>
      </c>
      <c r="AE159" s="412" t="str">
        <f t="shared" si="409"/>
        <v xml:space="preserve">10.969,2 </v>
      </c>
      <c r="AF159" s="412" t="str">
        <f t="shared" si="409"/>
        <v xml:space="preserve">10.975,3 </v>
      </c>
      <c r="AG159" s="412" t="str">
        <f t="shared" si="409"/>
        <v xml:space="preserve">10.985,4 </v>
      </c>
      <c r="AH159" s="412" t="str">
        <f t="shared" si="409"/>
        <v xml:space="preserve">11.081,8 </v>
      </c>
      <c r="AI159" s="412" t="str">
        <f t="shared" si="409"/>
        <v xml:space="preserve">11.305,12 </v>
      </c>
      <c r="AJ159" s="412" t="str">
        <f t="shared" si="409"/>
        <v xml:space="preserve">11.738,16 </v>
      </c>
      <c r="AK159" s="412" t="str">
        <f t="shared" si="409"/>
        <v xml:space="preserve">12.358,19.4 </v>
      </c>
      <c r="AL159" s="412" t="str">
        <f t="shared" si="409"/>
        <v xml:space="preserve">12.502,20 </v>
      </c>
      <c r="AM159" s="412" t="str">
        <f t="shared" si="409"/>
        <v xml:space="preserve">13.606,24 </v>
      </c>
      <c r="AN159" s="412" t="str">
        <f t="shared" si="409"/>
        <v xml:space="preserve">14.289,26 </v>
      </c>
      <c r="AO159" s="412" t="str">
        <f t="shared" si="409"/>
        <v/>
      </c>
      <c r="AP159" s="412" t="str">
        <f t="shared" si="409"/>
        <v/>
      </c>
      <c r="AQ159" s="412" t="str">
        <f t="shared" si="409"/>
        <v/>
      </c>
      <c r="AR159" s="412" t="str">
        <f t="shared" si="409"/>
        <v/>
      </c>
      <c r="AS159" s="412" t="str">
        <f t="shared" si="409"/>
        <v/>
      </c>
      <c r="AT159" s="412" t="str">
        <f t="shared" si="409"/>
        <v/>
      </c>
      <c r="AU159" s="412" t="str">
        <f t="shared" si="409"/>
        <v/>
      </c>
      <c r="AV159" s="412" t="str">
        <f t="shared" si="409"/>
        <v/>
      </c>
      <c r="AW159" s="412" t="str">
        <f t="shared" si="409"/>
        <v/>
      </c>
      <c r="AX159" s="412" t="str">
        <f t="shared" si="409"/>
        <v/>
      </c>
      <c r="AY159" s="412" t="str">
        <f t="shared" si="409"/>
        <v/>
      </c>
      <c r="AZ159" s="412" t="str">
        <f t="shared" si="409"/>
        <v/>
      </c>
      <c r="BA159" s="412" t="str">
        <f t="shared" si="409"/>
        <v/>
      </c>
      <c r="BF159" s="132"/>
    </row>
    <row r="160" spans="1:199" s="400" customFormat="1" x14ac:dyDescent="0.25">
      <c r="A160" s="409">
        <f t="shared" si="399"/>
        <v>2</v>
      </c>
      <c r="B160" s="380" t="str">
        <f t="shared" ref="B160:Z160" si="410">IFERROR(CONCATENATE(ROUND($A160*STN_GAP*BA_Station_Scale_in_x+B74/Bonjean_Area_Scale,3),",",ROUND(B$69*WLS*BA_Y_scale_of_WL,3)," "),"")</f>
        <v xml:space="preserve">14.62,0 </v>
      </c>
      <c r="C160" s="380" t="str">
        <f t="shared" si="410"/>
        <v xml:space="preserve">14.645,1 </v>
      </c>
      <c r="D160" s="380" t="str">
        <f t="shared" si="410"/>
        <v xml:space="preserve">14.683,2 </v>
      </c>
      <c r="E160" s="380" t="str">
        <f t="shared" si="410"/>
        <v xml:space="preserve">14.73,3 </v>
      </c>
      <c r="F160" s="380" t="str">
        <f t="shared" si="410"/>
        <v xml:space="preserve">14.786,4 </v>
      </c>
      <c r="G160" s="380" t="str">
        <f t="shared" si="410"/>
        <v xml:space="preserve">15.07,8 </v>
      </c>
      <c r="H160" s="380" t="str">
        <f t="shared" si="410"/>
        <v xml:space="preserve">15.449,12 </v>
      </c>
      <c r="I160" s="380" t="str">
        <f t="shared" si="410"/>
        <v xml:space="preserve">15.923,16 </v>
      </c>
      <c r="J160" s="380" t="str">
        <f t="shared" si="410"/>
        <v xml:space="preserve">16.42,19.4 </v>
      </c>
      <c r="K160" s="380" t="str">
        <f t="shared" si="410"/>
        <v xml:space="preserve">16.519,20 </v>
      </c>
      <c r="L160" s="380" t="str">
        <f t="shared" si="410"/>
        <v xml:space="preserve">17.198,24 </v>
      </c>
      <c r="M160" s="380" t="str">
        <f t="shared" si="410"/>
        <v xml:space="preserve">17.563,26 </v>
      </c>
      <c r="N160" s="380" t="str">
        <f t="shared" si="410"/>
        <v/>
      </c>
      <c r="O160" s="380" t="str">
        <f t="shared" si="410"/>
        <v/>
      </c>
      <c r="P160" s="380" t="str">
        <f t="shared" si="410"/>
        <v/>
      </c>
      <c r="Q160" s="380" t="str">
        <f t="shared" si="410"/>
        <v/>
      </c>
      <c r="R160" s="380" t="str">
        <f t="shared" si="410"/>
        <v/>
      </c>
      <c r="S160" s="380" t="str">
        <f t="shared" si="410"/>
        <v/>
      </c>
      <c r="T160" s="380" t="str">
        <f t="shared" si="410"/>
        <v/>
      </c>
      <c r="U160" s="380" t="str">
        <f t="shared" si="410"/>
        <v/>
      </c>
      <c r="V160" s="380" t="str">
        <f t="shared" si="410"/>
        <v/>
      </c>
      <c r="W160" s="380" t="str">
        <f t="shared" si="410"/>
        <v/>
      </c>
      <c r="X160" s="380" t="str">
        <f t="shared" si="410"/>
        <v/>
      </c>
      <c r="Y160" s="380" t="str">
        <f t="shared" si="410"/>
        <v/>
      </c>
      <c r="Z160" s="380" t="str">
        <f t="shared" si="410"/>
        <v/>
      </c>
      <c r="AA160" s="132"/>
      <c r="AB160" s="409">
        <f t="shared" si="400"/>
        <v>2</v>
      </c>
      <c r="AC160" s="412" t="str">
        <f t="shared" ref="AC160:BA160" si="411">IFERROR(CONCATENATE(ROUND($A160*STN_GAP*BA_Station_Scale_in_x+AC74/Bonjean_Moment_Scale,3),",",ROUND(AC$155*WLS*BA_Y_scale_of_WL,3)," "),"")</f>
        <v xml:space="preserve">14.62,0 </v>
      </c>
      <c r="AD160" s="412" t="str">
        <f t="shared" si="411"/>
        <v xml:space="preserve">14.621,1 </v>
      </c>
      <c r="AE160" s="412" t="str">
        <f t="shared" si="411"/>
        <v xml:space="preserve">14.626,2 </v>
      </c>
      <c r="AF160" s="412" t="str">
        <f t="shared" si="411"/>
        <v xml:space="preserve">14.636,3 </v>
      </c>
      <c r="AG160" s="412" t="str">
        <f t="shared" si="411"/>
        <v xml:space="preserve">14.652,4 </v>
      </c>
      <c r="AH160" s="412" t="str">
        <f t="shared" si="411"/>
        <v xml:space="preserve">14.797,8 </v>
      </c>
      <c r="AI160" s="412" t="str">
        <f t="shared" si="411"/>
        <v xml:space="preserve">15.115,12 </v>
      </c>
      <c r="AJ160" s="412" t="str">
        <f t="shared" si="411"/>
        <v xml:space="preserve">15.673,16 </v>
      </c>
      <c r="AK160" s="412" t="str">
        <f t="shared" si="411"/>
        <v xml:space="preserve">16.406,19.4 </v>
      </c>
      <c r="AL160" s="412" t="str">
        <f t="shared" si="411"/>
        <v xml:space="preserve">16.566,20 </v>
      </c>
      <c r="AM160" s="412" t="str">
        <f t="shared" si="411"/>
        <v xml:space="preserve">17.817,24 </v>
      </c>
      <c r="AN160" s="412" t="str">
        <f t="shared" si="411"/>
        <v xml:space="preserve">18.577,26 </v>
      </c>
      <c r="AO160" s="412" t="str">
        <f t="shared" si="411"/>
        <v/>
      </c>
      <c r="AP160" s="412" t="str">
        <f t="shared" si="411"/>
        <v/>
      </c>
      <c r="AQ160" s="412" t="str">
        <f t="shared" si="411"/>
        <v/>
      </c>
      <c r="AR160" s="412" t="str">
        <f t="shared" si="411"/>
        <v/>
      </c>
      <c r="AS160" s="412" t="str">
        <f t="shared" si="411"/>
        <v/>
      </c>
      <c r="AT160" s="412" t="str">
        <f t="shared" si="411"/>
        <v/>
      </c>
      <c r="AU160" s="412" t="str">
        <f t="shared" si="411"/>
        <v/>
      </c>
      <c r="AV160" s="412" t="str">
        <f t="shared" si="411"/>
        <v/>
      </c>
      <c r="AW160" s="412" t="str">
        <f t="shared" si="411"/>
        <v/>
      </c>
      <c r="AX160" s="412" t="str">
        <f t="shared" si="411"/>
        <v/>
      </c>
      <c r="AY160" s="412" t="str">
        <f t="shared" si="411"/>
        <v/>
      </c>
      <c r="AZ160" s="412" t="str">
        <f t="shared" si="411"/>
        <v/>
      </c>
      <c r="BA160" s="412" t="str">
        <f t="shared" si="411"/>
        <v/>
      </c>
      <c r="BF160" s="132"/>
    </row>
    <row r="161" spans="1:89" s="400" customFormat="1" x14ac:dyDescent="0.25">
      <c r="A161" s="409">
        <f t="shared" si="399"/>
        <v>3</v>
      </c>
      <c r="B161" s="380" t="str">
        <f t="shared" ref="B161:Z161" si="412">IFERROR(CONCATENATE(ROUND($A161*STN_GAP*BA_Station_Scale_in_x+B75/Bonjean_Area_Scale,3),",",ROUND(B$69*WLS*BA_Y_scale_of_WL,3)," "),"")</f>
        <v xml:space="preserve">21.93,0 </v>
      </c>
      <c r="C161" s="380" t="str">
        <f t="shared" si="412"/>
        <v xml:space="preserve">21.983,1 </v>
      </c>
      <c r="D161" s="380" t="str">
        <f t="shared" si="412"/>
        <v xml:space="preserve">22.059,2 </v>
      </c>
      <c r="E161" s="380" t="str">
        <f t="shared" si="412"/>
        <v xml:space="preserve">22.148,3 </v>
      </c>
      <c r="F161" s="380" t="str">
        <f t="shared" si="412"/>
        <v xml:space="preserve">22.247,4 </v>
      </c>
      <c r="G161" s="380" t="str">
        <f t="shared" si="412"/>
        <v xml:space="preserve">22.723,8 </v>
      </c>
      <c r="H161" s="380" t="str">
        <f t="shared" si="412"/>
        <v xml:space="preserve">23.303,12 </v>
      </c>
      <c r="I161" s="380" t="str">
        <f t="shared" si="412"/>
        <v xml:space="preserve">23.959,16 </v>
      </c>
      <c r="J161" s="380" t="str">
        <f t="shared" si="412"/>
        <v xml:space="preserve">24.574,19.4 </v>
      </c>
      <c r="K161" s="380" t="str">
        <f t="shared" si="412"/>
        <v xml:space="preserve">24.687,20 </v>
      </c>
      <c r="L161" s="380" t="str">
        <f t="shared" si="412"/>
        <v xml:space="preserve">25.477,24 </v>
      </c>
      <c r="M161" s="380" t="str">
        <f t="shared" si="412"/>
        <v xml:space="preserve">25.887,26 </v>
      </c>
      <c r="N161" s="380" t="str">
        <f t="shared" si="412"/>
        <v/>
      </c>
      <c r="O161" s="380" t="str">
        <f t="shared" si="412"/>
        <v/>
      </c>
      <c r="P161" s="380" t="str">
        <f t="shared" si="412"/>
        <v/>
      </c>
      <c r="Q161" s="380" t="str">
        <f t="shared" si="412"/>
        <v/>
      </c>
      <c r="R161" s="380" t="str">
        <f t="shared" si="412"/>
        <v/>
      </c>
      <c r="S161" s="380" t="str">
        <f t="shared" si="412"/>
        <v/>
      </c>
      <c r="T161" s="380" t="str">
        <f t="shared" si="412"/>
        <v/>
      </c>
      <c r="U161" s="380" t="str">
        <f t="shared" si="412"/>
        <v/>
      </c>
      <c r="V161" s="380" t="str">
        <f t="shared" si="412"/>
        <v/>
      </c>
      <c r="W161" s="380" t="str">
        <f t="shared" si="412"/>
        <v/>
      </c>
      <c r="X161" s="380" t="str">
        <f t="shared" si="412"/>
        <v/>
      </c>
      <c r="Y161" s="380" t="str">
        <f t="shared" si="412"/>
        <v/>
      </c>
      <c r="Z161" s="380" t="str">
        <f t="shared" si="412"/>
        <v/>
      </c>
      <c r="AA161" s="132"/>
      <c r="AB161" s="409">
        <f t="shared" si="400"/>
        <v>3</v>
      </c>
      <c r="AC161" s="412" t="str">
        <f t="shared" ref="AC161:BA161" si="413">IFERROR(CONCATENATE(ROUND($A161*STN_GAP*BA_Station_Scale_in_x+AC75/Bonjean_Moment_Scale,3),",",ROUND(AC$155*WLS*BA_Y_scale_of_WL,3)," "),"")</f>
        <v xml:space="preserve">21.93,0 </v>
      </c>
      <c r="AD161" s="412" t="str">
        <f t="shared" si="413"/>
        <v xml:space="preserve">21.932,1 </v>
      </c>
      <c r="AE161" s="412" t="str">
        <f t="shared" si="413"/>
        <v xml:space="preserve">21.942,2 </v>
      </c>
      <c r="AF161" s="412" t="str">
        <f t="shared" si="413"/>
        <v xml:space="preserve">21.961,3 </v>
      </c>
      <c r="AG161" s="412" t="str">
        <f t="shared" si="413"/>
        <v xml:space="preserve">21.99,4 </v>
      </c>
      <c r="AH161" s="412" t="str">
        <f t="shared" si="413"/>
        <v xml:space="preserve">22.231,8 </v>
      </c>
      <c r="AI161" s="412" t="str">
        <f t="shared" si="413"/>
        <v xml:space="preserve">22.717,12 </v>
      </c>
      <c r="AJ161" s="412" t="str">
        <f t="shared" si="413"/>
        <v xml:space="preserve">23.485,16 </v>
      </c>
      <c r="AK161" s="412" t="str">
        <f t="shared" si="413"/>
        <v xml:space="preserve">24.393,19.4 </v>
      </c>
      <c r="AL161" s="412" t="str">
        <f t="shared" si="413"/>
        <v xml:space="preserve">24.578,20 </v>
      </c>
      <c r="AM161" s="412" t="str">
        <f t="shared" si="413"/>
        <v xml:space="preserve">26.027,24 </v>
      </c>
      <c r="AN161" s="412" t="str">
        <f t="shared" si="413"/>
        <v xml:space="preserve">26.883,26 </v>
      </c>
      <c r="AO161" s="412" t="str">
        <f t="shared" si="413"/>
        <v/>
      </c>
      <c r="AP161" s="412" t="str">
        <f t="shared" si="413"/>
        <v/>
      </c>
      <c r="AQ161" s="412" t="str">
        <f t="shared" si="413"/>
        <v/>
      </c>
      <c r="AR161" s="412" t="str">
        <f t="shared" si="413"/>
        <v/>
      </c>
      <c r="AS161" s="412" t="str">
        <f t="shared" si="413"/>
        <v/>
      </c>
      <c r="AT161" s="412" t="str">
        <f t="shared" si="413"/>
        <v/>
      </c>
      <c r="AU161" s="412" t="str">
        <f t="shared" si="413"/>
        <v/>
      </c>
      <c r="AV161" s="412" t="str">
        <f t="shared" si="413"/>
        <v/>
      </c>
      <c r="AW161" s="412" t="str">
        <f t="shared" si="413"/>
        <v/>
      </c>
      <c r="AX161" s="412" t="str">
        <f t="shared" si="413"/>
        <v/>
      </c>
      <c r="AY161" s="412" t="str">
        <f t="shared" si="413"/>
        <v/>
      </c>
      <c r="AZ161" s="412" t="str">
        <f t="shared" si="413"/>
        <v/>
      </c>
      <c r="BA161" s="412" t="str">
        <f t="shared" si="413"/>
        <v/>
      </c>
      <c r="BF161" s="132"/>
    </row>
    <row r="162" spans="1:89" s="400" customFormat="1" x14ac:dyDescent="0.25">
      <c r="A162" s="409">
        <f t="shared" si="399"/>
        <v>4</v>
      </c>
      <c r="B162" s="380" t="str">
        <f t="shared" ref="B162:Z162" si="414">IFERROR(CONCATENATE(ROUND($A162*STN_GAP*BA_Station_Scale_in_x+B76/Bonjean_Area_Scale,3),",",ROUND(B$69*WLS*BA_Y_scale_of_WL,3)," "),"")</f>
        <v xml:space="preserve">29.24,0 </v>
      </c>
      <c r="C162" s="380" t="str">
        <f t="shared" si="414"/>
        <v xml:space="preserve">29.332,1 </v>
      </c>
      <c r="D162" s="380" t="str">
        <f t="shared" si="414"/>
        <v xml:space="preserve">29.449,2 </v>
      </c>
      <c r="E162" s="380" t="str">
        <f t="shared" si="414"/>
        <v xml:space="preserve">29.58,3 </v>
      </c>
      <c r="F162" s="380" t="str">
        <f t="shared" si="414"/>
        <v xml:space="preserve">29.722,4 </v>
      </c>
      <c r="G162" s="380" t="str">
        <f t="shared" si="414"/>
        <v xml:space="preserve">30.361,8 </v>
      </c>
      <c r="H162" s="380" t="str">
        <f t="shared" si="414"/>
        <v xml:space="preserve">31.086,12 </v>
      </c>
      <c r="I162" s="380" t="str">
        <f t="shared" si="414"/>
        <v xml:space="preserve">31.868,16 </v>
      </c>
      <c r="J162" s="380" t="str">
        <f t="shared" si="414"/>
        <v xml:space="preserve">32.567,19.4 </v>
      </c>
      <c r="K162" s="380" t="str">
        <f t="shared" si="414"/>
        <v xml:space="preserve">32.696,20 </v>
      </c>
      <c r="L162" s="380" t="str">
        <f t="shared" si="414"/>
        <v xml:space="preserve">33.545,24 </v>
      </c>
      <c r="M162" s="380" t="str">
        <f t="shared" si="414"/>
        <v xml:space="preserve">33.979,26 </v>
      </c>
      <c r="N162" s="380" t="str">
        <f t="shared" si="414"/>
        <v/>
      </c>
      <c r="O162" s="380" t="str">
        <f t="shared" si="414"/>
        <v/>
      </c>
      <c r="P162" s="380" t="str">
        <f t="shared" si="414"/>
        <v/>
      </c>
      <c r="Q162" s="380" t="str">
        <f t="shared" si="414"/>
        <v/>
      </c>
      <c r="R162" s="380" t="str">
        <f t="shared" si="414"/>
        <v/>
      </c>
      <c r="S162" s="380" t="str">
        <f t="shared" si="414"/>
        <v/>
      </c>
      <c r="T162" s="380" t="str">
        <f t="shared" si="414"/>
        <v/>
      </c>
      <c r="U162" s="380" t="str">
        <f t="shared" si="414"/>
        <v/>
      </c>
      <c r="V162" s="380" t="str">
        <f t="shared" si="414"/>
        <v/>
      </c>
      <c r="W162" s="380" t="str">
        <f t="shared" si="414"/>
        <v/>
      </c>
      <c r="X162" s="380" t="str">
        <f t="shared" si="414"/>
        <v/>
      </c>
      <c r="Y162" s="380" t="str">
        <f t="shared" si="414"/>
        <v/>
      </c>
      <c r="Z162" s="380" t="str">
        <f t="shared" si="414"/>
        <v/>
      </c>
      <c r="AA162" s="132"/>
      <c r="AB162" s="409">
        <f t="shared" si="400"/>
        <v>4</v>
      </c>
      <c r="AC162" s="412" t="str">
        <f t="shared" ref="AC162:BA162" si="415">IFERROR(CONCATENATE(ROUND($A162*STN_GAP*BA_Station_Scale_in_x+AC76/Bonjean_Moment_Scale,3),",",ROUND(AC$155*WLS*BA_Y_scale_of_WL,3)," "),"")</f>
        <v xml:space="preserve">29.24,0 </v>
      </c>
      <c r="AD162" s="412" t="str">
        <f t="shared" si="415"/>
        <v xml:space="preserve">29.244,1 </v>
      </c>
      <c r="AE162" s="412" t="str">
        <f t="shared" si="415"/>
        <v xml:space="preserve">29.259,2 </v>
      </c>
      <c r="AF162" s="412" t="str">
        <f t="shared" si="415"/>
        <v xml:space="preserve">29.286,3 </v>
      </c>
      <c r="AG162" s="412" t="str">
        <f t="shared" si="415"/>
        <v xml:space="preserve">29.327,4 </v>
      </c>
      <c r="AH162" s="412" t="str">
        <f t="shared" si="415"/>
        <v xml:space="preserve">29.65,8 </v>
      </c>
      <c r="AI162" s="412" t="str">
        <f t="shared" si="415"/>
        <v xml:space="preserve">30.257,12 </v>
      </c>
      <c r="AJ162" s="412" t="str">
        <f t="shared" si="415"/>
        <v xml:space="preserve">31.17,16 </v>
      </c>
      <c r="AK162" s="412" t="str">
        <f t="shared" si="415"/>
        <v xml:space="preserve">32.201,19.4 </v>
      </c>
      <c r="AL162" s="412" t="str">
        <f t="shared" si="415"/>
        <v xml:space="preserve">32.412,20 </v>
      </c>
      <c r="AM162" s="412" t="str">
        <f t="shared" si="415"/>
        <v xml:space="preserve">33.972,24 </v>
      </c>
      <c r="AN162" s="412" t="str">
        <f t="shared" si="415"/>
        <v xml:space="preserve">34.875,26 </v>
      </c>
      <c r="AO162" s="412" t="str">
        <f t="shared" si="415"/>
        <v/>
      </c>
      <c r="AP162" s="412" t="str">
        <f t="shared" si="415"/>
        <v/>
      </c>
      <c r="AQ162" s="412" t="str">
        <f t="shared" si="415"/>
        <v/>
      </c>
      <c r="AR162" s="412" t="str">
        <f t="shared" si="415"/>
        <v/>
      </c>
      <c r="AS162" s="412" t="str">
        <f t="shared" si="415"/>
        <v/>
      </c>
      <c r="AT162" s="412" t="str">
        <f t="shared" si="415"/>
        <v/>
      </c>
      <c r="AU162" s="412" t="str">
        <f t="shared" si="415"/>
        <v/>
      </c>
      <c r="AV162" s="412" t="str">
        <f t="shared" si="415"/>
        <v/>
      </c>
      <c r="AW162" s="412" t="str">
        <f t="shared" si="415"/>
        <v/>
      </c>
      <c r="AX162" s="412" t="str">
        <f t="shared" si="415"/>
        <v/>
      </c>
      <c r="AY162" s="412" t="str">
        <f t="shared" si="415"/>
        <v/>
      </c>
      <c r="AZ162" s="412" t="str">
        <f t="shared" si="415"/>
        <v/>
      </c>
      <c r="BA162" s="412" t="str">
        <f t="shared" si="415"/>
        <v/>
      </c>
      <c r="BF162" s="132"/>
    </row>
    <row r="163" spans="1:89" s="400" customFormat="1" x14ac:dyDescent="0.25">
      <c r="A163" s="409">
        <f t="shared" si="399"/>
        <v>5</v>
      </c>
      <c r="B163" s="380" t="str">
        <f t="shared" ref="B163:Z163" si="416">IFERROR(CONCATENATE(ROUND($A163*STN_GAP*BA_Station_Scale_in_x+B77/Bonjean_Area_Scale,3),",",ROUND(B$69*WLS*BA_Y_scale_of_WL,3)," "),"")</f>
        <v xml:space="preserve">36.55,0 </v>
      </c>
      <c r="C163" s="380" t="str">
        <f t="shared" si="416"/>
        <v xml:space="preserve">36.682,1 </v>
      </c>
      <c r="D163" s="380" t="str">
        <f t="shared" si="416"/>
        <v xml:space="preserve">36.837,2 </v>
      </c>
      <c r="E163" s="380" t="str">
        <f t="shared" si="416"/>
        <v xml:space="preserve">37.005,3 </v>
      </c>
      <c r="F163" s="380" t="str">
        <f t="shared" si="416"/>
        <v xml:space="preserve">37.184,4 </v>
      </c>
      <c r="G163" s="380" t="str">
        <f t="shared" si="416"/>
        <v xml:space="preserve">37.948,8 </v>
      </c>
      <c r="H163" s="380" t="str">
        <f t="shared" si="416"/>
        <v xml:space="preserve">38.762,12 </v>
      </c>
      <c r="I163" s="380" t="str">
        <f t="shared" si="416"/>
        <v xml:space="preserve">39.594,16 </v>
      </c>
      <c r="J163" s="380" t="str">
        <f t="shared" si="416"/>
        <v xml:space="preserve">40.318,19.4 </v>
      </c>
      <c r="K163" s="380" t="str">
        <f t="shared" si="416"/>
        <v xml:space="preserve">40.451,20 </v>
      </c>
      <c r="L163" s="380" t="str">
        <f t="shared" si="416"/>
        <v xml:space="preserve">41.313,24 </v>
      </c>
      <c r="M163" s="380" t="str">
        <f t="shared" si="416"/>
        <v xml:space="preserve">41.751,26 </v>
      </c>
      <c r="N163" s="380" t="str">
        <f t="shared" si="416"/>
        <v/>
      </c>
      <c r="O163" s="380" t="str">
        <f t="shared" si="416"/>
        <v/>
      </c>
      <c r="P163" s="380" t="str">
        <f t="shared" si="416"/>
        <v/>
      </c>
      <c r="Q163" s="380" t="str">
        <f t="shared" si="416"/>
        <v/>
      </c>
      <c r="R163" s="380" t="str">
        <f t="shared" si="416"/>
        <v/>
      </c>
      <c r="S163" s="380" t="str">
        <f t="shared" si="416"/>
        <v/>
      </c>
      <c r="T163" s="380" t="str">
        <f t="shared" si="416"/>
        <v/>
      </c>
      <c r="U163" s="380" t="str">
        <f t="shared" si="416"/>
        <v/>
      </c>
      <c r="V163" s="380" t="str">
        <f t="shared" si="416"/>
        <v/>
      </c>
      <c r="W163" s="380" t="str">
        <f t="shared" si="416"/>
        <v/>
      </c>
      <c r="X163" s="380" t="str">
        <f t="shared" si="416"/>
        <v/>
      </c>
      <c r="Y163" s="380" t="str">
        <f t="shared" si="416"/>
        <v/>
      </c>
      <c r="Z163" s="380" t="str">
        <f t="shared" si="416"/>
        <v/>
      </c>
      <c r="AA163" s="132"/>
      <c r="AB163" s="409">
        <f t="shared" si="400"/>
        <v>5</v>
      </c>
      <c r="AC163" s="412" t="str">
        <f t="shared" ref="AC163:BA163" si="417">IFERROR(CONCATENATE(ROUND($A163*STN_GAP*BA_Station_Scale_in_x+AC77/Bonjean_Moment_Scale,3),",",ROUND(AC$155*WLS*BA_Y_scale_of_WL,3)," "),"")</f>
        <v xml:space="preserve">36.55,0 </v>
      </c>
      <c r="AD163" s="412" t="str">
        <f t="shared" si="417"/>
        <v xml:space="preserve">36.556,1 </v>
      </c>
      <c r="AE163" s="412" t="str">
        <f t="shared" si="417"/>
        <v xml:space="preserve">36.575,2 </v>
      </c>
      <c r="AF163" s="412" t="str">
        <f t="shared" si="417"/>
        <v xml:space="preserve">36.61,3 </v>
      </c>
      <c r="AG163" s="412" t="str">
        <f t="shared" si="417"/>
        <v xml:space="preserve">36.662,4 </v>
      </c>
      <c r="AH163" s="412" t="str">
        <f t="shared" si="417"/>
        <v xml:space="preserve">37.046,8 </v>
      </c>
      <c r="AI163" s="412" t="str">
        <f t="shared" si="417"/>
        <v xml:space="preserve">37.725,12 </v>
      </c>
      <c r="AJ163" s="412" t="str">
        <f t="shared" si="417"/>
        <v xml:space="preserve">38.698,16 </v>
      </c>
      <c r="AK163" s="412" t="str">
        <f t="shared" si="417"/>
        <v xml:space="preserve">39.767,19.4 </v>
      </c>
      <c r="AL163" s="412" t="str">
        <f t="shared" si="417"/>
        <v xml:space="preserve">39.982,20 </v>
      </c>
      <c r="AM163" s="412" t="str">
        <f t="shared" si="417"/>
        <v xml:space="preserve">41.565,24 </v>
      </c>
      <c r="AN163" s="412" t="str">
        <f t="shared" si="417"/>
        <v xml:space="preserve">42.478,26 </v>
      </c>
      <c r="AO163" s="412" t="str">
        <f t="shared" si="417"/>
        <v/>
      </c>
      <c r="AP163" s="412" t="str">
        <f t="shared" si="417"/>
        <v/>
      </c>
      <c r="AQ163" s="412" t="str">
        <f t="shared" si="417"/>
        <v/>
      </c>
      <c r="AR163" s="412" t="str">
        <f t="shared" si="417"/>
        <v/>
      </c>
      <c r="AS163" s="412" t="str">
        <f t="shared" si="417"/>
        <v/>
      </c>
      <c r="AT163" s="412" t="str">
        <f t="shared" si="417"/>
        <v/>
      </c>
      <c r="AU163" s="412" t="str">
        <f t="shared" si="417"/>
        <v/>
      </c>
      <c r="AV163" s="412" t="str">
        <f t="shared" si="417"/>
        <v/>
      </c>
      <c r="AW163" s="412" t="str">
        <f t="shared" si="417"/>
        <v/>
      </c>
      <c r="AX163" s="412" t="str">
        <f t="shared" si="417"/>
        <v/>
      </c>
      <c r="AY163" s="412" t="str">
        <f t="shared" si="417"/>
        <v/>
      </c>
      <c r="AZ163" s="412" t="str">
        <f t="shared" si="417"/>
        <v/>
      </c>
      <c r="BA163" s="412" t="str">
        <f t="shared" si="417"/>
        <v/>
      </c>
      <c r="BF163" s="132"/>
    </row>
    <row r="164" spans="1:89" s="400" customFormat="1" x14ac:dyDescent="0.25">
      <c r="A164" s="409">
        <f t="shared" si="399"/>
        <v>6</v>
      </c>
      <c r="B164" s="380" t="str">
        <f t="shared" ref="B164:Z164" si="418">IFERROR(CONCATENATE(ROUND($A164*STN_GAP*BA_Station_Scale_in_x+B78/Bonjean_Area_Scale,3),",",ROUND(B$69*WLS*BA_Y_scale_of_WL,3)," "),"")</f>
        <v xml:space="preserve">43.86,0 </v>
      </c>
      <c r="C164" s="380" t="str">
        <f t="shared" si="418"/>
        <v xml:space="preserve">44.029,1 </v>
      </c>
      <c r="D164" s="380" t="str">
        <f t="shared" si="418"/>
        <v xml:space="preserve">44.213,2 </v>
      </c>
      <c r="E164" s="380" t="str">
        <f t="shared" si="418"/>
        <v xml:space="preserve">44.408,3 </v>
      </c>
      <c r="F164" s="380" t="str">
        <f t="shared" si="418"/>
        <v xml:space="preserve">44.61,4 </v>
      </c>
      <c r="G164" s="380" t="str">
        <f t="shared" si="418"/>
        <v xml:space="preserve">45.453,8 </v>
      </c>
      <c r="H164" s="380" t="str">
        <f t="shared" si="418"/>
        <v xml:space="preserve">46.324,12 </v>
      </c>
      <c r="I164" s="380" t="str">
        <f t="shared" si="418"/>
        <v xml:space="preserve">47.197,16 </v>
      </c>
      <c r="J164" s="380" t="str">
        <f t="shared" si="418"/>
        <v xml:space="preserve">47.945,19.4 </v>
      </c>
      <c r="K164" s="380" t="str">
        <f t="shared" si="418"/>
        <v xml:space="preserve">48.082,20 </v>
      </c>
      <c r="L164" s="380" t="str">
        <f t="shared" si="418"/>
        <v xml:space="preserve">48.957,24 </v>
      </c>
      <c r="M164" s="380" t="str">
        <f t="shared" si="418"/>
        <v xml:space="preserve">49.397,26 </v>
      </c>
      <c r="N164" s="380" t="str">
        <f t="shared" si="418"/>
        <v/>
      </c>
      <c r="O164" s="380" t="str">
        <f t="shared" si="418"/>
        <v/>
      </c>
      <c r="P164" s="380" t="str">
        <f t="shared" si="418"/>
        <v/>
      </c>
      <c r="Q164" s="380" t="str">
        <f t="shared" si="418"/>
        <v/>
      </c>
      <c r="R164" s="380" t="str">
        <f t="shared" si="418"/>
        <v/>
      </c>
      <c r="S164" s="380" t="str">
        <f t="shared" si="418"/>
        <v/>
      </c>
      <c r="T164" s="380" t="str">
        <f t="shared" si="418"/>
        <v/>
      </c>
      <c r="U164" s="380" t="str">
        <f t="shared" si="418"/>
        <v/>
      </c>
      <c r="V164" s="380" t="str">
        <f t="shared" si="418"/>
        <v/>
      </c>
      <c r="W164" s="380" t="str">
        <f t="shared" si="418"/>
        <v/>
      </c>
      <c r="X164" s="380" t="str">
        <f t="shared" si="418"/>
        <v/>
      </c>
      <c r="Y164" s="380" t="str">
        <f t="shared" si="418"/>
        <v/>
      </c>
      <c r="Z164" s="380" t="str">
        <f t="shared" si="418"/>
        <v/>
      </c>
      <c r="AA164" s="132"/>
      <c r="AB164" s="409">
        <f t="shared" si="400"/>
        <v>6</v>
      </c>
      <c r="AC164" s="412" t="str">
        <f t="shared" ref="AC164:BA164" si="419">IFERROR(CONCATENATE(ROUND($A164*STN_GAP*BA_Station_Scale_in_x+AC78/Bonjean_Moment_Scale,3),",",ROUND(AC$155*WLS*BA_Y_scale_of_WL,3)," "),"")</f>
        <v xml:space="preserve">43.86,0 </v>
      </c>
      <c r="AD164" s="412" t="str">
        <f t="shared" si="419"/>
        <v xml:space="preserve">43.867,1 </v>
      </c>
      <c r="AE164" s="412" t="str">
        <f t="shared" si="419"/>
        <v xml:space="preserve">43.89,2 </v>
      </c>
      <c r="AF164" s="412" t="str">
        <f t="shared" si="419"/>
        <v xml:space="preserve">43.931,3 </v>
      </c>
      <c r="AG164" s="412" t="str">
        <f t="shared" si="419"/>
        <v xml:space="preserve">43.99,4 </v>
      </c>
      <c r="AH164" s="412" t="str">
        <f t="shared" si="419"/>
        <v xml:space="preserve">44.413,8 </v>
      </c>
      <c r="AI164" s="412" t="str">
        <f t="shared" si="419"/>
        <v xml:space="preserve">45.139,12 </v>
      </c>
      <c r="AJ164" s="412" t="str">
        <f t="shared" si="419"/>
        <v xml:space="preserve">46.159,16 </v>
      </c>
      <c r="AK164" s="412" t="str">
        <f t="shared" si="419"/>
        <v xml:space="preserve">47.262,19.4 </v>
      </c>
      <c r="AL164" s="412" t="str">
        <f t="shared" si="419"/>
        <v xml:space="preserve">47.483,20 </v>
      </c>
      <c r="AM164" s="412" t="str">
        <f t="shared" si="419"/>
        <v xml:space="preserve">49.092,24 </v>
      </c>
      <c r="AN164" s="412" t="str">
        <f t="shared" si="419"/>
        <v xml:space="preserve">50.009,26 </v>
      </c>
      <c r="AO164" s="412" t="str">
        <f t="shared" si="419"/>
        <v/>
      </c>
      <c r="AP164" s="412" t="str">
        <f t="shared" si="419"/>
        <v/>
      </c>
      <c r="AQ164" s="412" t="str">
        <f t="shared" si="419"/>
        <v/>
      </c>
      <c r="AR164" s="412" t="str">
        <f t="shared" si="419"/>
        <v/>
      </c>
      <c r="AS164" s="412" t="str">
        <f t="shared" si="419"/>
        <v/>
      </c>
      <c r="AT164" s="412" t="str">
        <f t="shared" si="419"/>
        <v/>
      </c>
      <c r="AU164" s="412" t="str">
        <f t="shared" si="419"/>
        <v/>
      </c>
      <c r="AV164" s="412" t="str">
        <f t="shared" si="419"/>
        <v/>
      </c>
      <c r="AW164" s="412" t="str">
        <f t="shared" si="419"/>
        <v/>
      </c>
      <c r="AX164" s="412" t="str">
        <f t="shared" si="419"/>
        <v/>
      </c>
      <c r="AY164" s="412" t="str">
        <f t="shared" si="419"/>
        <v/>
      </c>
      <c r="AZ164" s="412" t="str">
        <f t="shared" si="419"/>
        <v/>
      </c>
      <c r="BA164" s="412" t="str">
        <f t="shared" si="419"/>
        <v/>
      </c>
      <c r="BF164" s="132"/>
    </row>
    <row r="165" spans="1:89" s="400" customFormat="1" x14ac:dyDescent="0.25">
      <c r="A165" s="409">
        <f t="shared" si="399"/>
        <v>7</v>
      </c>
      <c r="B165" s="380" t="str">
        <f t="shared" ref="B165:Z165" si="420">IFERROR(CONCATENATE(ROUND($A165*STN_GAP*BA_Station_Scale_in_x+B79/Bonjean_Area_Scale,3),",",ROUND(B$69*WLS*BA_Y_scale_of_WL,3)," "),"")</f>
        <v xml:space="preserve">51.17,0 </v>
      </c>
      <c r="C165" s="380" t="str">
        <f t="shared" si="420"/>
        <v xml:space="preserve">51.359,1 </v>
      </c>
      <c r="D165" s="380" t="str">
        <f t="shared" si="420"/>
        <v xml:space="preserve">51.561,2 </v>
      </c>
      <c r="E165" s="380" t="str">
        <f t="shared" si="420"/>
        <v xml:space="preserve">51.77,3 </v>
      </c>
      <c r="F165" s="380" t="str">
        <f t="shared" si="420"/>
        <v xml:space="preserve">51.984,4 </v>
      </c>
      <c r="G165" s="380" t="str">
        <f t="shared" si="420"/>
        <v xml:space="preserve">52.857,8 </v>
      </c>
      <c r="H165" s="380" t="str">
        <f t="shared" si="420"/>
        <v xml:space="preserve">53.739,12 </v>
      </c>
      <c r="I165" s="380" t="str">
        <f t="shared" si="420"/>
        <v xml:space="preserve">54.617,16 </v>
      </c>
      <c r="J165" s="380" t="str">
        <f t="shared" si="420"/>
        <v xml:space="preserve">55.365,19.4 </v>
      </c>
      <c r="K165" s="380" t="str">
        <f t="shared" si="420"/>
        <v xml:space="preserve">55.499,20 </v>
      </c>
      <c r="L165" s="380" t="str">
        <f t="shared" si="420"/>
        <v xml:space="preserve">56.377,24 </v>
      </c>
      <c r="M165" s="380" t="str">
        <f t="shared" si="420"/>
        <v xml:space="preserve">56.817,26 </v>
      </c>
      <c r="N165" s="380" t="str">
        <f t="shared" si="420"/>
        <v/>
      </c>
      <c r="O165" s="380" t="str">
        <f t="shared" si="420"/>
        <v/>
      </c>
      <c r="P165" s="380" t="str">
        <f t="shared" si="420"/>
        <v/>
      </c>
      <c r="Q165" s="380" t="str">
        <f t="shared" si="420"/>
        <v/>
      </c>
      <c r="R165" s="380" t="str">
        <f t="shared" si="420"/>
        <v/>
      </c>
      <c r="S165" s="380" t="str">
        <f t="shared" si="420"/>
        <v/>
      </c>
      <c r="T165" s="380" t="str">
        <f t="shared" si="420"/>
        <v/>
      </c>
      <c r="U165" s="380" t="str">
        <f t="shared" si="420"/>
        <v/>
      </c>
      <c r="V165" s="380" t="str">
        <f t="shared" si="420"/>
        <v/>
      </c>
      <c r="W165" s="380" t="str">
        <f t="shared" si="420"/>
        <v/>
      </c>
      <c r="X165" s="380" t="str">
        <f t="shared" si="420"/>
        <v/>
      </c>
      <c r="Y165" s="380" t="str">
        <f t="shared" si="420"/>
        <v/>
      </c>
      <c r="Z165" s="380" t="str">
        <f t="shared" si="420"/>
        <v/>
      </c>
      <c r="AA165" s="132"/>
      <c r="AB165" s="409">
        <f t="shared" si="400"/>
        <v>7</v>
      </c>
      <c r="AC165" s="412" t="str">
        <f t="shared" ref="AC165:BA165" si="421">IFERROR(CONCATENATE(ROUND($A165*STN_GAP*BA_Station_Scale_in_x+AC79/Bonjean_Moment_Scale,3),",",ROUND(AC$155*WLS*BA_Y_scale_of_WL,3)," "),"")</f>
        <v xml:space="preserve">51.17,0 </v>
      </c>
      <c r="AD165" s="412" t="str">
        <f t="shared" si="421"/>
        <v xml:space="preserve">51.178,1 </v>
      </c>
      <c r="AE165" s="412" t="str">
        <f t="shared" si="421"/>
        <v xml:space="preserve">51.203,2 </v>
      </c>
      <c r="AF165" s="412" t="str">
        <f t="shared" si="421"/>
        <v xml:space="preserve">51.247,3 </v>
      </c>
      <c r="AG165" s="412" t="str">
        <f t="shared" si="421"/>
        <v xml:space="preserve">51.309,4 </v>
      </c>
      <c r="AH165" s="412" t="str">
        <f t="shared" si="421"/>
        <v xml:space="preserve">51.747,8 </v>
      </c>
      <c r="AI165" s="412" t="str">
        <f t="shared" si="421"/>
        <v xml:space="preserve">52.481,12 </v>
      </c>
      <c r="AJ165" s="412" t="str">
        <f t="shared" si="421"/>
        <v xml:space="preserve">53.507,16 </v>
      </c>
      <c r="AK165" s="412" t="str">
        <f t="shared" si="421"/>
        <v xml:space="preserve">54.61,19.4 </v>
      </c>
      <c r="AL165" s="412" t="str">
        <f t="shared" si="421"/>
        <v xml:space="preserve">54.828,20 </v>
      </c>
      <c r="AM165" s="412" t="str">
        <f t="shared" si="421"/>
        <v xml:space="preserve">56.44,24 </v>
      </c>
      <c r="AN165" s="412" t="str">
        <f t="shared" si="421"/>
        <v xml:space="preserve">57.357,26 </v>
      </c>
      <c r="AO165" s="412" t="str">
        <f t="shared" si="421"/>
        <v/>
      </c>
      <c r="AP165" s="412" t="str">
        <f t="shared" si="421"/>
        <v/>
      </c>
      <c r="AQ165" s="412" t="str">
        <f t="shared" si="421"/>
        <v/>
      </c>
      <c r="AR165" s="412" t="str">
        <f t="shared" si="421"/>
        <v/>
      </c>
      <c r="AS165" s="412" t="str">
        <f t="shared" si="421"/>
        <v/>
      </c>
      <c r="AT165" s="412" t="str">
        <f t="shared" si="421"/>
        <v/>
      </c>
      <c r="AU165" s="412" t="str">
        <f t="shared" si="421"/>
        <v/>
      </c>
      <c r="AV165" s="412" t="str">
        <f t="shared" si="421"/>
        <v/>
      </c>
      <c r="AW165" s="412" t="str">
        <f t="shared" si="421"/>
        <v/>
      </c>
      <c r="AX165" s="412" t="str">
        <f t="shared" si="421"/>
        <v/>
      </c>
      <c r="AY165" s="412" t="str">
        <f t="shared" si="421"/>
        <v/>
      </c>
      <c r="AZ165" s="412" t="str">
        <f t="shared" si="421"/>
        <v/>
      </c>
      <c r="BA165" s="412" t="str">
        <f t="shared" si="421"/>
        <v/>
      </c>
      <c r="BF165" s="132"/>
    </row>
    <row r="166" spans="1:89" s="400" customFormat="1" x14ac:dyDescent="0.25">
      <c r="A166" s="409">
        <f t="shared" si="399"/>
        <v>8</v>
      </c>
      <c r="B166" s="380" t="str">
        <f t="shared" ref="B166:Z166" si="422">IFERROR(CONCATENATE(ROUND($A166*STN_GAP*BA_Station_Scale_in_x+B80/Bonjean_Area_Scale,3),",",ROUND(B$69*WLS*BA_Y_scale_of_WL,3)," "),"")</f>
        <v xml:space="preserve">58.48,0 </v>
      </c>
      <c r="C166" s="380" t="str">
        <f t="shared" si="422"/>
        <v xml:space="preserve">58.679,1 </v>
      </c>
      <c r="D166" s="380" t="str">
        <f t="shared" si="422"/>
        <v xml:space="preserve">58.89,2 </v>
      </c>
      <c r="E166" s="380" t="str">
        <f t="shared" si="422"/>
        <v xml:space="preserve">59.105,3 </v>
      </c>
      <c r="F166" s="380" t="str">
        <f t="shared" si="422"/>
        <v xml:space="preserve">59.325,4 </v>
      </c>
      <c r="G166" s="380" t="str">
        <f t="shared" si="422"/>
        <v xml:space="preserve">60.205,8 </v>
      </c>
      <c r="H166" s="380" t="str">
        <f t="shared" si="422"/>
        <v xml:space="preserve">61.085,12 </v>
      </c>
      <c r="I166" s="380" t="str">
        <f t="shared" si="422"/>
        <v xml:space="preserve">61.965,16 </v>
      </c>
      <c r="J166" s="380" t="str">
        <f t="shared" si="422"/>
        <v xml:space="preserve">62.713,19.4 </v>
      </c>
      <c r="K166" s="380" t="str">
        <f t="shared" si="422"/>
        <v xml:space="preserve">62.845,20 </v>
      </c>
      <c r="L166" s="380" t="str">
        <f t="shared" si="422"/>
        <v xml:space="preserve">63.725,24 </v>
      </c>
      <c r="M166" s="380" t="str">
        <f t="shared" si="422"/>
        <v xml:space="preserve">64.165,26 </v>
      </c>
      <c r="N166" s="380" t="str">
        <f t="shared" si="422"/>
        <v/>
      </c>
      <c r="O166" s="380" t="str">
        <f t="shared" si="422"/>
        <v/>
      </c>
      <c r="P166" s="380" t="str">
        <f t="shared" si="422"/>
        <v/>
      </c>
      <c r="Q166" s="380" t="str">
        <f t="shared" si="422"/>
        <v/>
      </c>
      <c r="R166" s="380" t="str">
        <f t="shared" si="422"/>
        <v/>
      </c>
      <c r="S166" s="380" t="str">
        <f t="shared" si="422"/>
        <v/>
      </c>
      <c r="T166" s="380" t="str">
        <f t="shared" si="422"/>
        <v/>
      </c>
      <c r="U166" s="380" t="str">
        <f t="shared" si="422"/>
        <v/>
      </c>
      <c r="V166" s="380" t="str">
        <f t="shared" si="422"/>
        <v/>
      </c>
      <c r="W166" s="380" t="str">
        <f t="shared" si="422"/>
        <v/>
      </c>
      <c r="X166" s="380" t="str">
        <f t="shared" si="422"/>
        <v/>
      </c>
      <c r="Y166" s="380" t="str">
        <f t="shared" si="422"/>
        <v/>
      </c>
      <c r="Z166" s="380" t="str">
        <f t="shared" si="422"/>
        <v/>
      </c>
      <c r="AA166" s="132"/>
      <c r="AB166" s="409">
        <f t="shared" si="400"/>
        <v>8</v>
      </c>
      <c r="AC166" s="412" t="str">
        <f t="shared" ref="AC166:BA166" si="423">IFERROR(CONCATENATE(ROUND($A166*STN_GAP*BA_Station_Scale_in_x+AC80/Bonjean_Moment_Scale,3),",",ROUND(AC$155*WLS*BA_Y_scale_of_WL,3)," "),"")</f>
        <v xml:space="preserve">58.48,0 </v>
      </c>
      <c r="AD166" s="412" t="str">
        <f t="shared" si="423"/>
        <v xml:space="preserve">58.488,1 </v>
      </c>
      <c r="AE166" s="412" t="str">
        <f t="shared" si="423"/>
        <v xml:space="preserve">58.515,2 </v>
      </c>
      <c r="AF166" s="412" t="str">
        <f t="shared" si="423"/>
        <v xml:space="preserve">58.56,3 </v>
      </c>
      <c r="AG166" s="412" t="str">
        <f t="shared" si="423"/>
        <v xml:space="preserve">58.624,4 </v>
      </c>
      <c r="AH166" s="412" t="str">
        <f t="shared" si="423"/>
        <v xml:space="preserve">59.064,8 </v>
      </c>
      <c r="AI166" s="412" t="str">
        <f t="shared" si="423"/>
        <v xml:space="preserve">59.797,12 </v>
      </c>
      <c r="AJ166" s="412" t="str">
        <f t="shared" si="423"/>
        <v xml:space="preserve">60.824,16 </v>
      </c>
      <c r="AK166" s="412" t="str">
        <f t="shared" si="423"/>
        <v xml:space="preserve">61.927,19.4 </v>
      </c>
      <c r="AL166" s="412" t="str">
        <f t="shared" si="423"/>
        <v xml:space="preserve">62.144,20 </v>
      </c>
      <c r="AM166" s="412" t="str">
        <f t="shared" si="423"/>
        <v xml:space="preserve">63.757,24 </v>
      </c>
      <c r="AN166" s="412" t="str">
        <f t="shared" si="423"/>
        <v xml:space="preserve">64.674,26 </v>
      </c>
      <c r="AO166" s="412" t="str">
        <f t="shared" si="423"/>
        <v/>
      </c>
      <c r="AP166" s="412" t="str">
        <f t="shared" si="423"/>
        <v/>
      </c>
      <c r="AQ166" s="412" t="str">
        <f t="shared" si="423"/>
        <v/>
      </c>
      <c r="AR166" s="412" t="str">
        <f t="shared" si="423"/>
        <v/>
      </c>
      <c r="AS166" s="412" t="str">
        <f t="shared" si="423"/>
        <v/>
      </c>
      <c r="AT166" s="412" t="str">
        <f t="shared" si="423"/>
        <v/>
      </c>
      <c r="AU166" s="412" t="str">
        <f t="shared" si="423"/>
        <v/>
      </c>
      <c r="AV166" s="412" t="str">
        <f t="shared" si="423"/>
        <v/>
      </c>
      <c r="AW166" s="412" t="str">
        <f t="shared" si="423"/>
        <v/>
      </c>
      <c r="AX166" s="412" t="str">
        <f t="shared" si="423"/>
        <v/>
      </c>
      <c r="AY166" s="412" t="str">
        <f t="shared" si="423"/>
        <v/>
      </c>
      <c r="AZ166" s="412" t="str">
        <f t="shared" si="423"/>
        <v/>
      </c>
      <c r="BA166" s="412" t="str">
        <f t="shared" si="423"/>
        <v/>
      </c>
      <c r="BF166" s="132"/>
    </row>
    <row r="167" spans="1:89" s="400" customFormat="1" x14ac:dyDescent="0.25">
      <c r="A167" s="409">
        <f t="shared" si="399"/>
        <v>9</v>
      </c>
      <c r="B167" s="380" t="str">
        <f t="shared" ref="B167:Z167" si="424">IFERROR(CONCATENATE(ROUND($A167*STN_GAP*BA_Station_Scale_in_x+B81/Bonjean_Area_Scale,3),",",ROUND(B$69*WLS*BA_Y_scale_of_WL,3)," "),"")</f>
        <v xml:space="preserve">65.79,0 </v>
      </c>
      <c r="C167" s="380" t="str">
        <f t="shared" si="424"/>
        <v xml:space="preserve">65.992,1 </v>
      </c>
      <c r="D167" s="380" t="str">
        <f t="shared" si="424"/>
        <v xml:space="preserve">66.205,2 </v>
      </c>
      <c r="E167" s="380" t="str">
        <f t="shared" si="424"/>
        <v xml:space="preserve">66.421,3 </v>
      </c>
      <c r="F167" s="380" t="str">
        <f t="shared" si="424"/>
        <v xml:space="preserve">66.641,4 </v>
      </c>
      <c r="G167" s="380" t="str">
        <f t="shared" si="424"/>
        <v xml:space="preserve">67.521,8 </v>
      </c>
      <c r="H167" s="380" t="str">
        <f t="shared" si="424"/>
        <v xml:space="preserve">68.401,12 </v>
      </c>
      <c r="I167" s="380" t="str">
        <f t="shared" si="424"/>
        <v xml:space="preserve">69.281,16 </v>
      </c>
      <c r="J167" s="380" t="str">
        <f t="shared" si="424"/>
        <v xml:space="preserve">70.029,19.4 </v>
      </c>
      <c r="K167" s="380" t="str">
        <f t="shared" si="424"/>
        <v xml:space="preserve">70.161,20 </v>
      </c>
      <c r="L167" s="380" t="str">
        <f t="shared" si="424"/>
        <v xml:space="preserve">71.041,24 </v>
      </c>
      <c r="M167" s="380" t="str">
        <f t="shared" si="424"/>
        <v xml:space="preserve">71.481,26 </v>
      </c>
      <c r="N167" s="380" t="str">
        <f t="shared" si="424"/>
        <v/>
      </c>
      <c r="O167" s="380" t="str">
        <f t="shared" si="424"/>
        <v/>
      </c>
      <c r="P167" s="380" t="str">
        <f t="shared" si="424"/>
        <v/>
      </c>
      <c r="Q167" s="380" t="str">
        <f t="shared" si="424"/>
        <v/>
      </c>
      <c r="R167" s="380" t="str">
        <f t="shared" si="424"/>
        <v/>
      </c>
      <c r="S167" s="380" t="str">
        <f t="shared" si="424"/>
        <v/>
      </c>
      <c r="T167" s="380" t="str">
        <f t="shared" si="424"/>
        <v/>
      </c>
      <c r="U167" s="380" t="str">
        <f t="shared" si="424"/>
        <v/>
      </c>
      <c r="V167" s="380" t="str">
        <f t="shared" si="424"/>
        <v/>
      </c>
      <c r="W167" s="380" t="str">
        <f t="shared" si="424"/>
        <v/>
      </c>
      <c r="X167" s="380" t="str">
        <f t="shared" si="424"/>
        <v/>
      </c>
      <c r="Y167" s="380" t="str">
        <f t="shared" si="424"/>
        <v/>
      </c>
      <c r="Z167" s="380" t="str">
        <f t="shared" si="424"/>
        <v/>
      </c>
      <c r="AA167" s="132"/>
      <c r="AB167" s="409">
        <f t="shared" si="400"/>
        <v>9</v>
      </c>
      <c r="AC167" s="412" t="str">
        <f t="shared" ref="AC167:BA167" si="425">IFERROR(CONCATENATE(ROUND($A167*STN_GAP*BA_Station_Scale_in_x+AC81/Bonjean_Moment_Scale,3),",",ROUND(AC$155*WLS*BA_Y_scale_of_WL,3)," "),"")</f>
        <v xml:space="preserve">65.79,0 </v>
      </c>
      <c r="AD167" s="412" t="str">
        <f t="shared" si="425"/>
        <v xml:space="preserve">65.799,1 </v>
      </c>
      <c r="AE167" s="412" t="str">
        <f t="shared" si="425"/>
        <v xml:space="preserve">65.825,2 </v>
      </c>
      <c r="AF167" s="412" t="str">
        <f t="shared" si="425"/>
        <v xml:space="preserve">65.87,3 </v>
      </c>
      <c r="AG167" s="412" t="str">
        <f t="shared" si="425"/>
        <v xml:space="preserve">65.934,4 </v>
      </c>
      <c r="AH167" s="412" t="str">
        <f t="shared" si="425"/>
        <v xml:space="preserve">66.374,8 </v>
      </c>
      <c r="AI167" s="412" t="str">
        <f t="shared" si="425"/>
        <v xml:space="preserve">67.108,12 </v>
      </c>
      <c r="AJ167" s="412" t="str">
        <f t="shared" si="425"/>
        <v xml:space="preserve">68.134,16 </v>
      </c>
      <c r="AK167" s="412" t="str">
        <f t="shared" si="425"/>
        <v xml:space="preserve">69.238,19.4 </v>
      </c>
      <c r="AL167" s="412" t="str">
        <f t="shared" si="425"/>
        <v xml:space="preserve">69.454,20 </v>
      </c>
      <c r="AM167" s="412" t="str">
        <f t="shared" si="425"/>
        <v xml:space="preserve">71.068,24 </v>
      </c>
      <c r="AN167" s="412" t="str">
        <f t="shared" si="425"/>
        <v xml:space="preserve">71.984,26 </v>
      </c>
      <c r="AO167" s="412" t="str">
        <f t="shared" si="425"/>
        <v/>
      </c>
      <c r="AP167" s="412" t="str">
        <f t="shared" si="425"/>
        <v/>
      </c>
      <c r="AQ167" s="412" t="str">
        <f t="shared" si="425"/>
        <v/>
      </c>
      <c r="AR167" s="412" t="str">
        <f t="shared" si="425"/>
        <v/>
      </c>
      <c r="AS167" s="412" t="str">
        <f t="shared" si="425"/>
        <v/>
      </c>
      <c r="AT167" s="412" t="str">
        <f t="shared" si="425"/>
        <v/>
      </c>
      <c r="AU167" s="412" t="str">
        <f t="shared" si="425"/>
        <v/>
      </c>
      <c r="AV167" s="412" t="str">
        <f t="shared" si="425"/>
        <v/>
      </c>
      <c r="AW167" s="412" t="str">
        <f t="shared" si="425"/>
        <v/>
      </c>
      <c r="AX167" s="412" t="str">
        <f t="shared" si="425"/>
        <v/>
      </c>
      <c r="AY167" s="412" t="str">
        <f t="shared" si="425"/>
        <v/>
      </c>
      <c r="AZ167" s="412" t="str">
        <f t="shared" si="425"/>
        <v/>
      </c>
      <c r="BA167" s="412" t="str">
        <f t="shared" si="425"/>
        <v/>
      </c>
      <c r="BF167" s="132"/>
    </row>
    <row r="168" spans="1:89" s="400" customFormat="1" x14ac:dyDescent="0.25">
      <c r="A168" s="409">
        <f t="shared" si="399"/>
        <v>10</v>
      </c>
      <c r="B168" s="380" t="str">
        <f t="shared" ref="B168:Z168" si="426">IFERROR(CONCATENATE(ROUND($A168*STN_GAP*BA_Station_Scale_in_x+B82/Bonjean_Area_Scale,3),",",ROUND(B$69*WLS*BA_Y_scale_of_WL,3)," "),"")</f>
        <v xml:space="preserve">73.1,0 </v>
      </c>
      <c r="C168" s="380" t="str">
        <f t="shared" si="426"/>
        <v xml:space="preserve">73.302,1 </v>
      </c>
      <c r="D168" s="380" t="str">
        <f t="shared" si="426"/>
        <v xml:space="preserve">73.515,2 </v>
      </c>
      <c r="E168" s="380" t="str">
        <f t="shared" si="426"/>
        <v xml:space="preserve">73.731,3 </v>
      </c>
      <c r="F168" s="380" t="str">
        <f t="shared" si="426"/>
        <v xml:space="preserve">73.951,4 </v>
      </c>
      <c r="G168" s="380" t="str">
        <f t="shared" si="426"/>
        <v xml:space="preserve">74.831,8 </v>
      </c>
      <c r="H168" s="380" t="str">
        <f t="shared" si="426"/>
        <v xml:space="preserve">75.711,12 </v>
      </c>
      <c r="I168" s="380" t="str">
        <f t="shared" si="426"/>
        <v xml:space="preserve">76.591,16 </v>
      </c>
      <c r="J168" s="380" t="str">
        <f t="shared" si="426"/>
        <v xml:space="preserve">77.339,19.4 </v>
      </c>
      <c r="K168" s="380" t="str">
        <f t="shared" si="426"/>
        <v xml:space="preserve">77.471,20 </v>
      </c>
      <c r="L168" s="380" t="str">
        <f t="shared" si="426"/>
        <v xml:space="preserve">78.351,24 </v>
      </c>
      <c r="M168" s="380" t="str">
        <f t="shared" si="426"/>
        <v xml:space="preserve">78.791,26 </v>
      </c>
      <c r="N168" s="380" t="str">
        <f t="shared" si="426"/>
        <v/>
      </c>
      <c r="O168" s="380" t="str">
        <f t="shared" si="426"/>
        <v/>
      </c>
      <c r="P168" s="380" t="str">
        <f t="shared" si="426"/>
        <v/>
      </c>
      <c r="Q168" s="380" t="str">
        <f t="shared" si="426"/>
        <v/>
      </c>
      <c r="R168" s="380" t="str">
        <f t="shared" si="426"/>
        <v/>
      </c>
      <c r="S168" s="380" t="str">
        <f t="shared" si="426"/>
        <v/>
      </c>
      <c r="T168" s="380" t="str">
        <f t="shared" si="426"/>
        <v/>
      </c>
      <c r="U168" s="380" t="str">
        <f t="shared" si="426"/>
        <v/>
      </c>
      <c r="V168" s="380" t="str">
        <f t="shared" si="426"/>
        <v/>
      </c>
      <c r="W168" s="380" t="str">
        <f t="shared" si="426"/>
        <v/>
      </c>
      <c r="X168" s="380" t="str">
        <f t="shared" si="426"/>
        <v/>
      </c>
      <c r="Y168" s="380" t="str">
        <f t="shared" si="426"/>
        <v/>
      </c>
      <c r="Z168" s="380" t="str">
        <f t="shared" si="426"/>
        <v/>
      </c>
      <c r="AA168" s="132"/>
      <c r="AB168" s="409">
        <f t="shared" si="400"/>
        <v>10</v>
      </c>
      <c r="AC168" s="412" t="str">
        <f t="shared" ref="AC168:BA168" si="427">IFERROR(CONCATENATE(ROUND($A168*STN_GAP*BA_Station_Scale_in_x+AC82/Bonjean_Moment_Scale,3),",",ROUND(AC$155*WLS*BA_Y_scale_of_WL,3)," "),"")</f>
        <v xml:space="preserve">73.1,0 </v>
      </c>
      <c r="AD168" s="412" t="str">
        <f t="shared" si="427"/>
        <v xml:space="preserve">73.109,1 </v>
      </c>
      <c r="AE168" s="412" t="str">
        <f t="shared" si="427"/>
        <v xml:space="preserve">73.135,2 </v>
      </c>
      <c r="AF168" s="412" t="str">
        <f t="shared" si="427"/>
        <v xml:space="preserve">73.18,3 </v>
      </c>
      <c r="AG168" s="412" t="str">
        <f t="shared" si="427"/>
        <v xml:space="preserve">73.244,4 </v>
      </c>
      <c r="AH168" s="412" t="str">
        <f t="shared" si="427"/>
        <v xml:space="preserve">73.684,8 </v>
      </c>
      <c r="AI168" s="412" t="str">
        <f t="shared" si="427"/>
        <v xml:space="preserve">74.418,12 </v>
      </c>
      <c r="AJ168" s="412" t="str">
        <f t="shared" si="427"/>
        <v xml:space="preserve">75.444,16 </v>
      </c>
      <c r="AK168" s="412" t="str">
        <f t="shared" si="427"/>
        <v xml:space="preserve">76.548,19.4 </v>
      </c>
      <c r="AL168" s="412" t="str">
        <f t="shared" si="427"/>
        <v xml:space="preserve">76.764,20 </v>
      </c>
      <c r="AM168" s="412" t="str">
        <f t="shared" si="427"/>
        <v xml:space="preserve">78.378,24 </v>
      </c>
      <c r="AN168" s="412" t="str">
        <f t="shared" si="427"/>
        <v xml:space="preserve">79.294,26 </v>
      </c>
      <c r="AO168" s="412" t="str">
        <f t="shared" si="427"/>
        <v/>
      </c>
      <c r="AP168" s="412" t="str">
        <f t="shared" si="427"/>
        <v/>
      </c>
      <c r="AQ168" s="412" t="str">
        <f t="shared" si="427"/>
        <v/>
      </c>
      <c r="AR168" s="412" t="str">
        <f t="shared" si="427"/>
        <v/>
      </c>
      <c r="AS168" s="412" t="str">
        <f t="shared" si="427"/>
        <v/>
      </c>
      <c r="AT168" s="412" t="str">
        <f t="shared" si="427"/>
        <v/>
      </c>
      <c r="AU168" s="412" t="str">
        <f t="shared" si="427"/>
        <v/>
      </c>
      <c r="AV168" s="412" t="str">
        <f t="shared" si="427"/>
        <v/>
      </c>
      <c r="AW168" s="412" t="str">
        <f t="shared" si="427"/>
        <v/>
      </c>
      <c r="AX168" s="412" t="str">
        <f t="shared" si="427"/>
        <v/>
      </c>
      <c r="AY168" s="412" t="str">
        <f t="shared" si="427"/>
        <v/>
      </c>
      <c r="AZ168" s="412" t="str">
        <f t="shared" si="427"/>
        <v/>
      </c>
      <c r="BA168" s="412" t="str">
        <f t="shared" si="427"/>
        <v/>
      </c>
      <c r="BF168" s="132"/>
    </row>
    <row r="169" spans="1:89" s="400" customFormat="1" x14ac:dyDescent="0.25">
      <c r="A169" s="409">
        <f t="shared" si="399"/>
        <v>11</v>
      </c>
      <c r="B169" s="380" t="str">
        <f t="shared" ref="B169:Z169" si="428">IFERROR(CONCATENATE(ROUND($A169*STN_GAP*BA_Station_Scale_in_x+B83/Bonjean_Area_Scale,3),",",ROUND(B$69*WLS*BA_Y_scale_of_WL,3)," "),"")</f>
        <v xml:space="preserve">80.41,0 </v>
      </c>
      <c r="C169" s="380" t="str">
        <f t="shared" si="428"/>
        <v xml:space="preserve">80.612,1 </v>
      </c>
      <c r="D169" s="380" t="str">
        <f t="shared" si="428"/>
        <v xml:space="preserve">80.825,2 </v>
      </c>
      <c r="E169" s="380" t="str">
        <f t="shared" si="428"/>
        <v xml:space="preserve">81.041,3 </v>
      </c>
      <c r="F169" s="380" t="str">
        <f t="shared" si="428"/>
        <v xml:space="preserve">81.261,4 </v>
      </c>
      <c r="G169" s="380" t="str">
        <f t="shared" si="428"/>
        <v xml:space="preserve">82.141,8 </v>
      </c>
      <c r="H169" s="380" t="str">
        <f t="shared" si="428"/>
        <v xml:space="preserve">83.021,12 </v>
      </c>
      <c r="I169" s="380" t="str">
        <f t="shared" si="428"/>
        <v xml:space="preserve">83.901,16 </v>
      </c>
      <c r="J169" s="380" t="str">
        <f t="shared" si="428"/>
        <v xml:space="preserve">84.649,19.4 </v>
      </c>
      <c r="K169" s="380" t="str">
        <f t="shared" si="428"/>
        <v xml:space="preserve">84.781,20 </v>
      </c>
      <c r="L169" s="380" t="str">
        <f t="shared" si="428"/>
        <v xml:space="preserve">85.661,24 </v>
      </c>
      <c r="M169" s="380" t="str">
        <f t="shared" si="428"/>
        <v xml:space="preserve">86.101,26 </v>
      </c>
      <c r="N169" s="380" t="str">
        <f t="shared" si="428"/>
        <v/>
      </c>
      <c r="O169" s="380" t="str">
        <f t="shared" si="428"/>
        <v/>
      </c>
      <c r="P169" s="380" t="str">
        <f t="shared" si="428"/>
        <v/>
      </c>
      <c r="Q169" s="380" t="str">
        <f t="shared" si="428"/>
        <v/>
      </c>
      <c r="R169" s="380" t="str">
        <f t="shared" si="428"/>
        <v/>
      </c>
      <c r="S169" s="380" t="str">
        <f t="shared" si="428"/>
        <v/>
      </c>
      <c r="T169" s="380" t="str">
        <f t="shared" si="428"/>
        <v/>
      </c>
      <c r="U169" s="380" t="str">
        <f t="shared" si="428"/>
        <v/>
      </c>
      <c r="V169" s="380" t="str">
        <f t="shared" si="428"/>
        <v/>
      </c>
      <c r="W169" s="380" t="str">
        <f t="shared" si="428"/>
        <v/>
      </c>
      <c r="X169" s="380" t="str">
        <f t="shared" si="428"/>
        <v/>
      </c>
      <c r="Y169" s="380" t="str">
        <f t="shared" si="428"/>
        <v/>
      </c>
      <c r="Z169" s="380" t="str">
        <f t="shared" si="428"/>
        <v/>
      </c>
      <c r="AA169" s="132"/>
      <c r="AB169" s="409">
        <f t="shared" si="400"/>
        <v>11</v>
      </c>
      <c r="AC169" s="412" t="str">
        <f t="shared" ref="AC169:BA169" si="429">IFERROR(CONCATENATE(ROUND($A169*STN_GAP*BA_Station_Scale_in_x+AC83/Bonjean_Moment_Scale,3),",",ROUND(AC$155*WLS*BA_Y_scale_of_WL,3)," "),"")</f>
        <v xml:space="preserve">80.41,0 </v>
      </c>
      <c r="AD169" s="412" t="str">
        <f t="shared" si="429"/>
        <v xml:space="preserve">80.419,1 </v>
      </c>
      <c r="AE169" s="412" t="str">
        <f t="shared" si="429"/>
        <v xml:space="preserve">80.445,2 </v>
      </c>
      <c r="AF169" s="412" t="str">
        <f t="shared" si="429"/>
        <v xml:space="preserve">80.49,3 </v>
      </c>
      <c r="AG169" s="412" t="str">
        <f t="shared" si="429"/>
        <v xml:space="preserve">80.554,4 </v>
      </c>
      <c r="AH169" s="412" t="str">
        <f t="shared" si="429"/>
        <v xml:space="preserve">80.994,8 </v>
      </c>
      <c r="AI169" s="412" t="str">
        <f t="shared" si="429"/>
        <v xml:space="preserve">81.728,12 </v>
      </c>
      <c r="AJ169" s="412" t="str">
        <f t="shared" si="429"/>
        <v xml:space="preserve">82.754,16 </v>
      </c>
      <c r="AK169" s="412" t="str">
        <f t="shared" si="429"/>
        <v xml:space="preserve">83.858,19.4 </v>
      </c>
      <c r="AL169" s="412" t="str">
        <f t="shared" si="429"/>
        <v xml:space="preserve">84.074,20 </v>
      </c>
      <c r="AM169" s="412" t="str">
        <f t="shared" si="429"/>
        <v xml:space="preserve">85.688,24 </v>
      </c>
      <c r="AN169" s="412" t="str">
        <f t="shared" si="429"/>
        <v xml:space="preserve">86.604,26 </v>
      </c>
      <c r="AO169" s="412" t="str">
        <f t="shared" si="429"/>
        <v/>
      </c>
      <c r="AP169" s="412" t="str">
        <f t="shared" si="429"/>
        <v/>
      </c>
      <c r="AQ169" s="412" t="str">
        <f t="shared" si="429"/>
        <v/>
      </c>
      <c r="AR169" s="412" t="str">
        <f t="shared" si="429"/>
        <v/>
      </c>
      <c r="AS169" s="412" t="str">
        <f t="shared" si="429"/>
        <v/>
      </c>
      <c r="AT169" s="412" t="str">
        <f t="shared" si="429"/>
        <v/>
      </c>
      <c r="AU169" s="412" t="str">
        <f t="shared" si="429"/>
        <v/>
      </c>
      <c r="AV169" s="412" t="str">
        <f t="shared" si="429"/>
        <v/>
      </c>
      <c r="AW169" s="412" t="str">
        <f t="shared" si="429"/>
        <v/>
      </c>
      <c r="AX169" s="412" t="str">
        <f t="shared" si="429"/>
        <v/>
      </c>
      <c r="AY169" s="412" t="str">
        <f t="shared" si="429"/>
        <v/>
      </c>
      <c r="AZ169" s="412" t="str">
        <f t="shared" si="429"/>
        <v/>
      </c>
      <c r="BA169" s="412" t="str">
        <f t="shared" si="429"/>
        <v/>
      </c>
      <c r="BF169" s="132"/>
    </row>
    <row r="170" spans="1:89" s="400" customFormat="1" x14ac:dyDescent="0.25">
      <c r="A170" s="409">
        <f t="shared" si="399"/>
        <v>12</v>
      </c>
      <c r="B170" s="380" t="str">
        <f t="shared" ref="B170:Z170" si="430">IFERROR(CONCATENATE(ROUND($A170*STN_GAP*BA_Station_Scale_in_x+B84/Bonjean_Area_Scale,3),",",ROUND(B$69*WLS*BA_Y_scale_of_WL,3)," "),"")</f>
        <v xml:space="preserve">87.72,0 </v>
      </c>
      <c r="C170" s="380" t="str">
        <f t="shared" si="430"/>
        <v xml:space="preserve">87.922,1 </v>
      </c>
      <c r="D170" s="380" t="str">
        <f t="shared" si="430"/>
        <v xml:space="preserve">88.135,2 </v>
      </c>
      <c r="E170" s="380" t="str">
        <f t="shared" si="430"/>
        <v xml:space="preserve">88.351,3 </v>
      </c>
      <c r="F170" s="380" t="str">
        <f t="shared" si="430"/>
        <v xml:space="preserve">88.571,4 </v>
      </c>
      <c r="G170" s="380" t="str">
        <f t="shared" si="430"/>
        <v xml:space="preserve">89.451,8 </v>
      </c>
      <c r="H170" s="380" t="str">
        <f t="shared" si="430"/>
        <v xml:space="preserve">90.331,12 </v>
      </c>
      <c r="I170" s="380" t="str">
        <f t="shared" si="430"/>
        <v xml:space="preserve">91.211,16 </v>
      </c>
      <c r="J170" s="380" t="str">
        <f t="shared" si="430"/>
        <v xml:space="preserve">91.959,19.4 </v>
      </c>
      <c r="K170" s="380" t="str">
        <f t="shared" si="430"/>
        <v xml:space="preserve">92.091,20 </v>
      </c>
      <c r="L170" s="380" t="str">
        <f t="shared" si="430"/>
        <v xml:space="preserve">92.971,24 </v>
      </c>
      <c r="M170" s="380" t="str">
        <f t="shared" si="430"/>
        <v xml:space="preserve">93.411,26 </v>
      </c>
      <c r="N170" s="380" t="str">
        <f t="shared" si="430"/>
        <v/>
      </c>
      <c r="O170" s="380" t="str">
        <f t="shared" si="430"/>
        <v/>
      </c>
      <c r="P170" s="380" t="str">
        <f t="shared" si="430"/>
        <v/>
      </c>
      <c r="Q170" s="380" t="str">
        <f t="shared" si="430"/>
        <v/>
      </c>
      <c r="R170" s="380" t="str">
        <f t="shared" si="430"/>
        <v/>
      </c>
      <c r="S170" s="380" t="str">
        <f t="shared" si="430"/>
        <v/>
      </c>
      <c r="T170" s="380" t="str">
        <f t="shared" si="430"/>
        <v/>
      </c>
      <c r="U170" s="380" t="str">
        <f t="shared" si="430"/>
        <v/>
      </c>
      <c r="V170" s="380" t="str">
        <f t="shared" si="430"/>
        <v/>
      </c>
      <c r="W170" s="380" t="str">
        <f t="shared" si="430"/>
        <v/>
      </c>
      <c r="X170" s="380" t="str">
        <f t="shared" si="430"/>
        <v/>
      </c>
      <c r="Y170" s="380" t="str">
        <f t="shared" si="430"/>
        <v/>
      </c>
      <c r="Z170" s="380" t="str">
        <f t="shared" si="430"/>
        <v/>
      </c>
      <c r="AA170" s="132"/>
      <c r="AB170" s="409">
        <f t="shared" si="400"/>
        <v>12</v>
      </c>
      <c r="AC170" s="412" t="str">
        <f t="shared" ref="AC170:BA170" si="431">IFERROR(CONCATENATE(ROUND($A170*STN_GAP*BA_Station_Scale_in_x+AC84/Bonjean_Moment_Scale,3),",",ROUND(AC$155*WLS*BA_Y_scale_of_WL,3)," "),"")</f>
        <v xml:space="preserve">87.72,0 </v>
      </c>
      <c r="AD170" s="412" t="str">
        <f t="shared" si="431"/>
        <v xml:space="preserve">87.729,1 </v>
      </c>
      <c r="AE170" s="412" t="str">
        <f t="shared" si="431"/>
        <v xml:space="preserve">87.755,2 </v>
      </c>
      <c r="AF170" s="412" t="str">
        <f t="shared" si="431"/>
        <v xml:space="preserve">87.8,3 </v>
      </c>
      <c r="AG170" s="412" t="str">
        <f t="shared" si="431"/>
        <v xml:space="preserve">87.864,4 </v>
      </c>
      <c r="AH170" s="412" t="str">
        <f t="shared" si="431"/>
        <v xml:space="preserve">88.304,8 </v>
      </c>
      <c r="AI170" s="412" t="str">
        <f t="shared" si="431"/>
        <v xml:space="preserve">89.038,12 </v>
      </c>
      <c r="AJ170" s="412" t="str">
        <f t="shared" si="431"/>
        <v xml:space="preserve">90.064,16 </v>
      </c>
      <c r="AK170" s="412" t="str">
        <f t="shared" si="431"/>
        <v xml:space="preserve">91.168,19.4 </v>
      </c>
      <c r="AL170" s="412" t="str">
        <f t="shared" si="431"/>
        <v xml:space="preserve">91.384,20 </v>
      </c>
      <c r="AM170" s="412" t="str">
        <f t="shared" si="431"/>
        <v xml:space="preserve">92.998,24 </v>
      </c>
      <c r="AN170" s="412" t="str">
        <f t="shared" si="431"/>
        <v xml:space="preserve">93.914,26 </v>
      </c>
      <c r="AO170" s="412" t="str">
        <f t="shared" si="431"/>
        <v/>
      </c>
      <c r="AP170" s="412" t="str">
        <f t="shared" si="431"/>
        <v/>
      </c>
      <c r="AQ170" s="412" t="str">
        <f t="shared" si="431"/>
        <v/>
      </c>
      <c r="AR170" s="412" t="str">
        <f t="shared" si="431"/>
        <v/>
      </c>
      <c r="AS170" s="412" t="str">
        <f t="shared" si="431"/>
        <v/>
      </c>
      <c r="AT170" s="412" t="str">
        <f t="shared" si="431"/>
        <v/>
      </c>
      <c r="AU170" s="412" t="str">
        <f t="shared" si="431"/>
        <v/>
      </c>
      <c r="AV170" s="412" t="str">
        <f t="shared" si="431"/>
        <v/>
      </c>
      <c r="AW170" s="412" t="str">
        <f t="shared" si="431"/>
        <v/>
      </c>
      <c r="AX170" s="412" t="str">
        <f t="shared" si="431"/>
        <v/>
      </c>
      <c r="AY170" s="412" t="str">
        <f t="shared" si="431"/>
        <v/>
      </c>
      <c r="AZ170" s="412" t="str">
        <f t="shared" si="431"/>
        <v/>
      </c>
      <c r="BA170" s="412" t="str">
        <f t="shared" si="431"/>
        <v/>
      </c>
      <c r="BF170" s="132"/>
    </row>
    <row r="171" spans="1:89" s="400" customFormat="1" x14ac:dyDescent="0.25">
      <c r="A171" s="409">
        <f t="shared" ref="A171:A180" si="432">A85</f>
        <v>13</v>
      </c>
      <c r="B171" s="380" t="str">
        <f t="shared" ref="B171:Z171" si="433">IFERROR(CONCATENATE(ROUND($A171*STN_GAP*BA_Station_Scale_in_x+B85/Bonjean_Area_Scale,3),",",ROUND(B$69*WLS*BA_Y_scale_of_WL,3)," "),"")</f>
        <v xml:space="preserve">95.03,0 </v>
      </c>
      <c r="C171" s="380" t="str">
        <f t="shared" si="433"/>
        <v xml:space="preserve">95.232,1 </v>
      </c>
      <c r="D171" s="380" t="str">
        <f t="shared" si="433"/>
        <v xml:space="preserve">95.445,2 </v>
      </c>
      <c r="E171" s="380" t="str">
        <f t="shared" si="433"/>
        <v xml:space="preserve">95.661,3 </v>
      </c>
      <c r="F171" s="380" t="str">
        <f t="shared" si="433"/>
        <v xml:space="preserve">95.881,4 </v>
      </c>
      <c r="G171" s="380" t="str">
        <f t="shared" si="433"/>
        <v xml:space="preserve">96.761,8 </v>
      </c>
      <c r="H171" s="380" t="str">
        <f t="shared" si="433"/>
        <v xml:space="preserve">97.641,12 </v>
      </c>
      <c r="I171" s="380" t="str">
        <f t="shared" si="433"/>
        <v xml:space="preserve">98.521,16 </v>
      </c>
      <c r="J171" s="380" t="str">
        <f t="shared" si="433"/>
        <v xml:space="preserve">99.269,19.4 </v>
      </c>
      <c r="K171" s="380" t="str">
        <f t="shared" si="433"/>
        <v xml:space="preserve">99.401,20 </v>
      </c>
      <c r="L171" s="380" t="str">
        <f t="shared" si="433"/>
        <v xml:space="preserve">100.281,24 </v>
      </c>
      <c r="M171" s="380" t="str">
        <f t="shared" si="433"/>
        <v xml:space="preserve">100.721,26 </v>
      </c>
      <c r="N171" s="380" t="str">
        <f t="shared" si="433"/>
        <v/>
      </c>
      <c r="O171" s="380" t="str">
        <f t="shared" si="433"/>
        <v/>
      </c>
      <c r="P171" s="380" t="str">
        <f t="shared" si="433"/>
        <v/>
      </c>
      <c r="Q171" s="380" t="str">
        <f t="shared" si="433"/>
        <v/>
      </c>
      <c r="R171" s="380" t="str">
        <f t="shared" si="433"/>
        <v/>
      </c>
      <c r="S171" s="380" t="str">
        <f t="shared" si="433"/>
        <v/>
      </c>
      <c r="T171" s="380" t="str">
        <f t="shared" si="433"/>
        <v/>
      </c>
      <c r="U171" s="380" t="str">
        <f t="shared" si="433"/>
        <v/>
      </c>
      <c r="V171" s="380" t="str">
        <f t="shared" si="433"/>
        <v/>
      </c>
      <c r="W171" s="380" t="str">
        <f t="shared" si="433"/>
        <v/>
      </c>
      <c r="X171" s="380" t="str">
        <f t="shared" si="433"/>
        <v/>
      </c>
      <c r="Y171" s="380" t="str">
        <f t="shared" si="433"/>
        <v/>
      </c>
      <c r="Z171" s="380" t="str">
        <f t="shared" si="433"/>
        <v/>
      </c>
      <c r="AA171" s="132"/>
      <c r="AB171" s="409">
        <f t="shared" si="400"/>
        <v>13</v>
      </c>
      <c r="AC171" s="412" t="str">
        <f t="shared" ref="AC171:BA171" si="434">IFERROR(CONCATENATE(ROUND($A171*STN_GAP*BA_Station_Scale_in_x+AC85/Bonjean_Moment_Scale,3),",",ROUND(AC$155*WLS*BA_Y_scale_of_WL,3)," "),"")</f>
        <v xml:space="preserve">95.03,0 </v>
      </c>
      <c r="AD171" s="412" t="str">
        <f t="shared" si="434"/>
        <v xml:space="preserve">95.039,1 </v>
      </c>
      <c r="AE171" s="412" t="str">
        <f t="shared" si="434"/>
        <v xml:space="preserve">95.065,2 </v>
      </c>
      <c r="AF171" s="412" t="str">
        <f t="shared" si="434"/>
        <v xml:space="preserve">95.11,3 </v>
      </c>
      <c r="AG171" s="412" t="str">
        <f t="shared" si="434"/>
        <v xml:space="preserve">95.174,4 </v>
      </c>
      <c r="AH171" s="412" t="str">
        <f t="shared" si="434"/>
        <v xml:space="preserve">95.614,8 </v>
      </c>
      <c r="AI171" s="412" t="str">
        <f t="shared" si="434"/>
        <v xml:space="preserve">96.348,12 </v>
      </c>
      <c r="AJ171" s="412" t="str">
        <f t="shared" si="434"/>
        <v xml:space="preserve">97.374,16 </v>
      </c>
      <c r="AK171" s="412" t="str">
        <f t="shared" si="434"/>
        <v xml:space="preserve">98.478,19.4 </v>
      </c>
      <c r="AL171" s="412" t="str">
        <f t="shared" si="434"/>
        <v xml:space="preserve">98.694,20 </v>
      </c>
      <c r="AM171" s="412" t="str">
        <f t="shared" si="434"/>
        <v xml:space="preserve">100.308,24 </v>
      </c>
      <c r="AN171" s="412" t="str">
        <f t="shared" si="434"/>
        <v xml:space="preserve">101.224,26 </v>
      </c>
      <c r="AO171" s="412" t="str">
        <f t="shared" si="434"/>
        <v/>
      </c>
      <c r="AP171" s="412" t="str">
        <f t="shared" si="434"/>
        <v/>
      </c>
      <c r="AQ171" s="412" t="str">
        <f t="shared" si="434"/>
        <v/>
      </c>
      <c r="AR171" s="412" t="str">
        <f t="shared" si="434"/>
        <v/>
      </c>
      <c r="AS171" s="412" t="str">
        <f t="shared" si="434"/>
        <v/>
      </c>
      <c r="AT171" s="412" t="str">
        <f t="shared" si="434"/>
        <v/>
      </c>
      <c r="AU171" s="412" t="str">
        <f t="shared" si="434"/>
        <v/>
      </c>
      <c r="AV171" s="412" t="str">
        <f t="shared" si="434"/>
        <v/>
      </c>
      <c r="AW171" s="412" t="str">
        <f t="shared" si="434"/>
        <v/>
      </c>
      <c r="AX171" s="412" t="str">
        <f t="shared" si="434"/>
        <v/>
      </c>
      <c r="AY171" s="412" t="str">
        <f t="shared" si="434"/>
        <v/>
      </c>
      <c r="AZ171" s="412" t="str">
        <f t="shared" si="434"/>
        <v/>
      </c>
      <c r="BA171" s="412" t="str">
        <f t="shared" si="434"/>
        <v/>
      </c>
      <c r="BF171" s="132"/>
    </row>
    <row r="172" spans="1:89" s="400" customFormat="1" x14ac:dyDescent="0.25">
      <c r="A172" s="409">
        <f t="shared" si="432"/>
        <v>14</v>
      </c>
      <c r="B172" s="380" t="str">
        <f t="shared" ref="B172:Z172" si="435">IFERROR(CONCATENATE(ROUND($A172*STN_GAP*BA_Station_Scale_in_x+B86/Bonjean_Area_Scale,3),",",ROUND(B$69*WLS*BA_Y_scale_of_WL,3)," "),"")</f>
        <v xml:space="preserve">102.34,0 </v>
      </c>
      <c r="C172" s="380" t="str">
        <f t="shared" si="435"/>
        <v xml:space="preserve">102.539,1 </v>
      </c>
      <c r="D172" s="380" t="str">
        <f t="shared" si="435"/>
        <v xml:space="preserve">102.75,2 </v>
      </c>
      <c r="E172" s="380" t="str">
        <f t="shared" si="435"/>
        <v xml:space="preserve">102.965,3 </v>
      </c>
      <c r="F172" s="380" t="str">
        <f t="shared" si="435"/>
        <v xml:space="preserve">103.184,4 </v>
      </c>
      <c r="G172" s="380" t="str">
        <f t="shared" si="435"/>
        <v xml:space="preserve">104.064,8 </v>
      </c>
      <c r="H172" s="380" t="str">
        <f t="shared" si="435"/>
        <v xml:space="preserve">104.944,12 </v>
      </c>
      <c r="I172" s="380" t="str">
        <f t="shared" si="435"/>
        <v xml:space="preserve">105.824,16 </v>
      </c>
      <c r="J172" s="380" t="str">
        <f t="shared" si="435"/>
        <v xml:space="preserve">106.572,19.4 </v>
      </c>
      <c r="K172" s="380" t="str">
        <f t="shared" si="435"/>
        <v xml:space="preserve">106.704,20 </v>
      </c>
      <c r="L172" s="380" t="str">
        <f t="shared" si="435"/>
        <v xml:space="preserve">107.584,24 </v>
      </c>
      <c r="M172" s="380" t="str">
        <f t="shared" si="435"/>
        <v xml:space="preserve">108.024,26 </v>
      </c>
      <c r="N172" s="380" t="str">
        <f t="shared" si="435"/>
        <v/>
      </c>
      <c r="O172" s="380" t="str">
        <f t="shared" si="435"/>
        <v/>
      </c>
      <c r="P172" s="380" t="str">
        <f t="shared" si="435"/>
        <v/>
      </c>
      <c r="Q172" s="380" t="str">
        <f t="shared" si="435"/>
        <v/>
      </c>
      <c r="R172" s="380" t="str">
        <f t="shared" si="435"/>
        <v/>
      </c>
      <c r="S172" s="380" t="str">
        <f t="shared" si="435"/>
        <v/>
      </c>
      <c r="T172" s="380" t="str">
        <f t="shared" si="435"/>
        <v/>
      </c>
      <c r="U172" s="380" t="str">
        <f t="shared" si="435"/>
        <v/>
      </c>
      <c r="V172" s="380" t="str">
        <f t="shared" si="435"/>
        <v/>
      </c>
      <c r="W172" s="380" t="str">
        <f t="shared" si="435"/>
        <v/>
      </c>
      <c r="X172" s="380" t="str">
        <f t="shared" si="435"/>
        <v/>
      </c>
      <c r="Y172" s="380" t="str">
        <f t="shared" si="435"/>
        <v/>
      </c>
      <c r="Z172" s="380" t="str">
        <f t="shared" si="435"/>
        <v/>
      </c>
      <c r="AA172" s="132"/>
      <c r="AB172" s="409">
        <f t="shared" si="400"/>
        <v>14</v>
      </c>
      <c r="AC172" s="412" t="str">
        <f t="shared" ref="AC172:BA172" si="436">IFERROR(CONCATENATE(ROUND($A172*STN_GAP*BA_Station_Scale_in_x+AC86/Bonjean_Moment_Scale,3),",",ROUND(AC$155*WLS*BA_Y_scale_of_WL,3)," "),"")</f>
        <v xml:space="preserve">102.34,0 </v>
      </c>
      <c r="AD172" s="412" t="str">
        <f t="shared" si="436"/>
        <v xml:space="preserve">102.348,1 </v>
      </c>
      <c r="AE172" s="412" t="str">
        <f t="shared" si="436"/>
        <v xml:space="preserve">102.375,2 </v>
      </c>
      <c r="AF172" s="412" t="str">
        <f t="shared" si="436"/>
        <v xml:space="preserve">102.42,3 </v>
      </c>
      <c r="AG172" s="412" t="str">
        <f t="shared" si="436"/>
        <v xml:space="preserve">102.484,4 </v>
      </c>
      <c r="AH172" s="412" t="str">
        <f t="shared" si="436"/>
        <v xml:space="preserve">102.924,8 </v>
      </c>
      <c r="AI172" s="412" t="str">
        <f t="shared" si="436"/>
        <v xml:space="preserve">103.657,12 </v>
      </c>
      <c r="AJ172" s="412" t="str">
        <f t="shared" si="436"/>
        <v xml:space="preserve">104.684,16 </v>
      </c>
      <c r="AK172" s="412" t="str">
        <f t="shared" si="436"/>
        <v xml:space="preserve">105.787,19.4 </v>
      </c>
      <c r="AL172" s="412" t="str">
        <f t="shared" si="436"/>
        <v xml:space="preserve">106.004,20 </v>
      </c>
      <c r="AM172" s="412" t="str">
        <f t="shared" si="436"/>
        <v xml:space="preserve">107.617,24 </v>
      </c>
      <c r="AN172" s="412" t="str">
        <f t="shared" si="436"/>
        <v xml:space="preserve">108.534,26 </v>
      </c>
      <c r="AO172" s="412" t="str">
        <f t="shared" si="436"/>
        <v/>
      </c>
      <c r="AP172" s="412" t="str">
        <f t="shared" si="436"/>
        <v/>
      </c>
      <c r="AQ172" s="412" t="str">
        <f t="shared" si="436"/>
        <v/>
      </c>
      <c r="AR172" s="412" t="str">
        <f t="shared" si="436"/>
        <v/>
      </c>
      <c r="AS172" s="412" t="str">
        <f t="shared" si="436"/>
        <v/>
      </c>
      <c r="AT172" s="412" t="str">
        <f t="shared" si="436"/>
        <v/>
      </c>
      <c r="AU172" s="412" t="str">
        <f t="shared" si="436"/>
        <v/>
      </c>
      <c r="AV172" s="412" t="str">
        <f t="shared" si="436"/>
        <v/>
      </c>
      <c r="AW172" s="412" t="str">
        <f t="shared" si="436"/>
        <v/>
      </c>
      <c r="AX172" s="412" t="str">
        <f t="shared" si="436"/>
        <v/>
      </c>
      <c r="AY172" s="412" t="str">
        <f t="shared" si="436"/>
        <v/>
      </c>
      <c r="AZ172" s="412" t="str">
        <f t="shared" si="436"/>
        <v/>
      </c>
      <c r="BA172" s="412" t="str">
        <f t="shared" si="436"/>
        <v/>
      </c>
      <c r="BF172" s="132"/>
    </row>
    <row r="173" spans="1:89" s="400" customFormat="1" x14ac:dyDescent="0.25">
      <c r="A173" s="409">
        <f t="shared" si="432"/>
        <v>15</v>
      </c>
      <c r="B173" s="380" t="str">
        <f t="shared" ref="B173:Z173" si="437">IFERROR(CONCATENATE(ROUND($A173*STN_GAP*BA_Station_Scale_in_x+B87/Bonjean_Area_Scale,3),",",ROUND(B$69*WLS*BA_Y_scale_of_WL,3)," "),"")</f>
        <v xml:space="preserve">109.65,0 </v>
      </c>
      <c r="C173" s="380" t="str">
        <f t="shared" si="437"/>
        <v xml:space="preserve">109.837,1 </v>
      </c>
      <c r="D173" s="380" t="str">
        <f t="shared" si="437"/>
        <v xml:space="preserve">110.038,2 </v>
      </c>
      <c r="E173" s="380" t="str">
        <f t="shared" si="437"/>
        <v xml:space="preserve">110.244,3 </v>
      </c>
      <c r="F173" s="380" t="str">
        <f t="shared" si="437"/>
        <v xml:space="preserve">110.457,4 </v>
      </c>
      <c r="G173" s="380" t="str">
        <f t="shared" si="437"/>
        <v xml:space="preserve">111.327,8 </v>
      </c>
      <c r="H173" s="380" t="str">
        <f t="shared" si="437"/>
        <v xml:space="preserve">112.209,12 </v>
      </c>
      <c r="I173" s="380" t="str">
        <f t="shared" si="437"/>
        <v xml:space="preserve">113.087,16 </v>
      </c>
      <c r="J173" s="380" t="str">
        <f t="shared" si="437"/>
        <v xml:space="preserve">113.835,19.4 </v>
      </c>
      <c r="K173" s="380" t="str">
        <f t="shared" si="437"/>
        <v xml:space="preserve">113.969,20 </v>
      </c>
      <c r="L173" s="380" t="str">
        <f t="shared" si="437"/>
        <v xml:space="preserve">114.847,24 </v>
      </c>
      <c r="M173" s="380" t="str">
        <f t="shared" si="437"/>
        <v xml:space="preserve">115.287,26 </v>
      </c>
      <c r="N173" s="380" t="str">
        <f t="shared" si="437"/>
        <v/>
      </c>
      <c r="O173" s="380" t="str">
        <f t="shared" si="437"/>
        <v/>
      </c>
      <c r="P173" s="380" t="str">
        <f t="shared" si="437"/>
        <v/>
      </c>
      <c r="Q173" s="380" t="str">
        <f t="shared" si="437"/>
        <v/>
      </c>
      <c r="R173" s="380" t="str">
        <f t="shared" si="437"/>
        <v/>
      </c>
      <c r="S173" s="380" t="str">
        <f t="shared" si="437"/>
        <v/>
      </c>
      <c r="T173" s="380" t="str">
        <f t="shared" si="437"/>
        <v/>
      </c>
      <c r="U173" s="380" t="str">
        <f t="shared" si="437"/>
        <v/>
      </c>
      <c r="V173" s="380" t="str">
        <f t="shared" si="437"/>
        <v/>
      </c>
      <c r="W173" s="380" t="str">
        <f t="shared" si="437"/>
        <v/>
      </c>
      <c r="X173" s="380" t="str">
        <f t="shared" si="437"/>
        <v/>
      </c>
      <c r="Y173" s="380" t="str">
        <f t="shared" si="437"/>
        <v/>
      </c>
      <c r="Z173" s="380" t="str">
        <f t="shared" si="437"/>
        <v/>
      </c>
      <c r="AA173" s="132"/>
      <c r="AB173" s="409">
        <f t="shared" si="400"/>
        <v>15</v>
      </c>
      <c r="AC173" s="412" t="str">
        <f t="shared" ref="AC173:BA173" si="438">IFERROR(CONCATENATE(ROUND($A173*STN_GAP*BA_Station_Scale_in_x+AC87/Bonjean_Moment_Scale,3),",",ROUND(AC$155*WLS*BA_Y_scale_of_WL,3)," "),"")</f>
        <v xml:space="preserve">109.65,0 </v>
      </c>
      <c r="AD173" s="412" t="str">
        <f t="shared" si="438"/>
        <v xml:space="preserve">109.658,1 </v>
      </c>
      <c r="AE173" s="412" t="str">
        <f t="shared" si="438"/>
        <v xml:space="preserve">109.683,2 </v>
      </c>
      <c r="AF173" s="412" t="str">
        <f t="shared" si="438"/>
        <v xml:space="preserve">109.726,3 </v>
      </c>
      <c r="AG173" s="412" t="str">
        <f t="shared" si="438"/>
        <v xml:space="preserve">109.788,4 </v>
      </c>
      <c r="AH173" s="412" t="str">
        <f t="shared" si="438"/>
        <v xml:space="preserve">110.224,8 </v>
      </c>
      <c r="AI173" s="412" t="str">
        <f t="shared" si="438"/>
        <v xml:space="preserve">110.959,12 </v>
      </c>
      <c r="AJ173" s="412" t="str">
        <f t="shared" si="438"/>
        <v xml:space="preserve">111.984,16 </v>
      </c>
      <c r="AK173" s="412" t="str">
        <f t="shared" si="438"/>
        <v xml:space="preserve">113.087,19.4 </v>
      </c>
      <c r="AL173" s="412" t="str">
        <f t="shared" si="438"/>
        <v xml:space="preserve">113.305,20 </v>
      </c>
      <c r="AM173" s="412" t="str">
        <f t="shared" si="438"/>
        <v xml:space="preserve">114.917,24 </v>
      </c>
      <c r="AN173" s="412" t="str">
        <f t="shared" si="438"/>
        <v xml:space="preserve">115.834,26 </v>
      </c>
      <c r="AO173" s="412" t="str">
        <f t="shared" si="438"/>
        <v/>
      </c>
      <c r="AP173" s="412" t="str">
        <f t="shared" si="438"/>
        <v/>
      </c>
      <c r="AQ173" s="412" t="str">
        <f t="shared" si="438"/>
        <v/>
      </c>
      <c r="AR173" s="412" t="str">
        <f t="shared" si="438"/>
        <v/>
      </c>
      <c r="AS173" s="412" t="str">
        <f t="shared" si="438"/>
        <v/>
      </c>
      <c r="AT173" s="412" t="str">
        <f t="shared" si="438"/>
        <v/>
      </c>
      <c r="AU173" s="412" t="str">
        <f t="shared" si="438"/>
        <v/>
      </c>
      <c r="AV173" s="412" t="str">
        <f t="shared" si="438"/>
        <v/>
      </c>
      <c r="AW173" s="412" t="str">
        <f t="shared" si="438"/>
        <v/>
      </c>
      <c r="AX173" s="412" t="str">
        <f t="shared" si="438"/>
        <v/>
      </c>
      <c r="AY173" s="412" t="str">
        <f t="shared" si="438"/>
        <v/>
      </c>
      <c r="AZ173" s="412" t="str">
        <f t="shared" si="438"/>
        <v/>
      </c>
      <c r="BA173" s="412" t="str">
        <f t="shared" si="438"/>
        <v/>
      </c>
      <c r="BF173" s="132"/>
    </row>
    <row r="174" spans="1:89" s="400" customFormat="1" x14ac:dyDescent="0.25">
      <c r="A174" s="409">
        <f t="shared" si="432"/>
        <v>16</v>
      </c>
      <c r="B174" s="380" t="str">
        <f t="shared" ref="B174:Z174" si="439">IFERROR(CONCATENATE(ROUND($A174*STN_GAP*BA_Station_Scale_in_x+B88/Bonjean_Area_Scale,3),",",ROUND(B$69*WLS*BA_Y_scale_of_WL,3)," "),"")</f>
        <v xml:space="preserve">116.96,0 </v>
      </c>
      <c r="C174" s="380" t="str">
        <f t="shared" si="439"/>
        <v xml:space="preserve">117.123,1 </v>
      </c>
      <c r="D174" s="380" t="str">
        <f t="shared" si="439"/>
        <v xml:space="preserve">117.303,2 </v>
      </c>
      <c r="E174" s="380" t="str">
        <f t="shared" si="439"/>
        <v xml:space="preserve">117.492,3 </v>
      </c>
      <c r="F174" s="380" t="str">
        <f t="shared" si="439"/>
        <v xml:space="preserve">117.688,4 </v>
      </c>
      <c r="G174" s="380" t="str">
        <f t="shared" si="439"/>
        <v xml:space="preserve">118.507,8 </v>
      </c>
      <c r="H174" s="380" t="str">
        <f t="shared" si="439"/>
        <v xml:space="preserve">119.358,12 </v>
      </c>
      <c r="I174" s="380" t="str">
        <f t="shared" si="439"/>
        <v xml:space="preserve">120.217,16 </v>
      </c>
      <c r="J174" s="380" t="str">
        <f t="shared" si="439"/>
        <v xml:space="preserve">120.954,19.4 </v>
      </c>
      <c r="K174" s="380" t="str">
        <f t="shared" si="439"/>
        <v xml:space="preserve">121.086,20 </v>
      </c>
      <c r="L174" s="380" t="str">
        <f t="shared" si="439"/>
        <v xml:space="preserve">121.961,24 </v>
      </c>
      <c r="M174" s="380" t="str">
        <f t="shared" si="439"/>
        <v xml:space="preserve">122.401,26 </v>
      </c>
      <c r="N174" s="380" t="str">
        <f t="shared" si="439"/>
        <v/>
      </c>
      <c r="O174" s="380" t="str">
        <f t="shared" si="439"/>
        <v/>
      </c>
      <c r="P174" s="380" t="str">
        <f t="shared" si="439"/>
        <v/>
      </c>
      <c r="Q174" s="380" t="str">
        <f t="shared" si="439"/>
        <v/>
      </c>
      <c r="R174" s="380" t="str">
        <f t="shared" si="439"/>
        <v/>
      </c>
      <c r="S174" s="380" t="str">
        <f t="shared" si="439"/>
        <v/>
      </c>
      <c r="T174" s="380" t="str">
        <f t="shared" si="439"/>
        <v/>
      </c>
      <c r="U174" s="380" t="str">
        <f t="shared" si="439"/>
        <v/>
      </c>
      <c r="V174" s="380" t="str">
        <f t="shared" si="439"/>
        <v/>
      </c>
      <c r="W174" s="380" t="str">
        <f t="shared" si="439"/>
        <v/>
      </c>
      <c r="X174" s="380" t="str">
        <f t="shared" si="439"/>
        <v/>
      </c>
      <c r="Y174" s="380" t="str">
        <f t="shared" si="439"/>
        <v/>
      </c>
      <c r="Z174" s="380" t="str">
        <f t="shared" si="439"/>
        <v/>
      </c>
      <c r="AA174" s="132"/>
      <c r="AB174" s="409">
        <f t="shared" si="400"/>
        <v>16</v>
      </c>
      <c r="AC174" s="412" t="str">
        <f t="shared" ref="AC174:BA174" si="440">IFERROR(CONCATENATE(ROUND($A174*STN_GAP*BA_Station_Scale_in_x+AC88/Bonjean_Moment_Scale,3),",",ROUND(AC$155*WLS*BA_Y_scale_of_WL,3)," "),"")</f>
        <v xml:space="preserve">116.96,0 </v>
      </c>
      <c r="AD174" s="412" t="str">
        <f t="shared" si="440"/>
        <v xml:space="preserve">116.967,1 </v>
      </c>
      <c r="AE174" s="412" t="str">
        <f t="shared" si="440"/>
        <v xml:space="preserve">116.99,2 </v>
      </c>
      <c r="AF174" s="412" t="str">
        <f t="shared" si="440"/>
        <v xml:space="preserve">117.029,3 </v>
      </c>
      <c r="AG174" s="412" t="str">
        <f t="shared" si="440"/>
        <v xml:space="preserve">117.086,4 </v>
      </c>
      <c r="AH174" s="412" t="str">
        <f t="shared" si="440"/>
        <v xml:space="preserve">117.497,8 </v>
      </c>
      <c r="AI174" s="412" t="str">
        <f t="shared" si="440"/>
        <v xml:space="preserve">118.206,12 </v>
      </c>
      <c r="AJ174" s="412" t="str">
        <f t="shared" si="440"/>
        <v xml:space="preserve">119.209,16 </v>
      </c>
      <c r="AK174" s="412" t="str">
        <f t="shared" si="440"/>
        <v xml:space="preserve">120.297,19.4 </v>
      </c>
      <c r="AL174" s="412" t="str">
        <f t="shared" si="440"/>
        <v xml:space="preserve">120.512,20 </v>
      </c>
      <c r="AM174" s="412" t="str">
        <f t="shared" si="440"/>
        <v xml:space="preserve">122.117,24 </v>
      </c>
      <c r="AN174" s="412" t="str">
        <f t="shared" si="440"/>
        <v xml:space="preserve">123.034,26 </v>
      </c>
      <c r="AO174" s="412" t="str">
        <f t="shared" si="440"/>
        <v/>
      </c>
      <c r="AP174" s="412" t="str">
        <f t="shared" si="440"/>
        <v/>
      </c>
      <c r="AQ174" s="412" t="str">
        <f t="shared" si="440"/>
        <v/>
      </c>
      <c r="AR174" s="412" t="str">
        <f t="shared" si="440"/>
        <v/>
      </c>
      <c r="AS174" s="412" t="str">
        <f t="shared" si="440"/>
        <v/>
      </c>
      <c r="AT174" s="412" t="str">
        <f t="shared" si="440"/>
        <v/>
      </c>
      <c r="AU174" s="412" t="str">
        <f t="shared" si="440"/>
        <v/>
      </c>
      <c r="AV174" s="412" t="str">
        <f t="shared" si="440"/>
        <v/>
      </c>
      <c r="AW174" s="412" t="str">
        <f t="shared" si="440"/>
        <v/>
      </c>
      <c r="AX174" s="412" t="str">
        <f t="shared" si="440"/>
        <v/>
      </c>
      <c r="AY174" s="412" t="str">
        <f t="shared" si="440"/>
        <v/>
      </c>
      <c r="AZ174" s="412" t="str">
        <f t="shared" si="440"/>
        <v/>
      </c>
      <c r="BA174" s="412" t="str">
        <f t="shared" si="440"/>
        <v/>
      </c>
      <c r="BF174" s="132"/>
    </row>
    <row r="175" spans="1:89" s="400" customFormat="1" x14ac:dyDescent="0.25">
      <c r="A175" s="409">
        <f t="shared" si="432"/>
        <v>17</v>
      </c>
      <c r="B175" s="380" t="str">
        <f t="shared" ref="B175:Z175" si="441">IFERROR(CONCATENATE(ROUND($A175*STN_GAP*BA_Station_Scale_in_x+B89/Bonjean_Area_Scale,3),",",ROUND(B$69*WLS*BA_Y_scale_of_WL,3)," "),"")</f>
        <v xml:space="preserve">124.27,0 </v>
      </c>
      <c r="C175" s="380" t="str">
        <f t="shared" si="441"/>
        <v xml:space="preserve">124.396,1 </v>
      </c>
      <c r="D175" s="380" t="str">
        <f t="shared" si="441"/>
        <v xml:space="preserve">124.541,2 </v>
      </c>
      <c r="E175" s="380" t="str">
        <f t="shared" si="441"/>
        <v xml:space="preserve">124.697,3 </v>
      </c>
      <c r="F175" s="380" t="str">
        <f t="shared" si="441"/>
        <v xml:space="preserve">124.862,4 </v>
      </c>
      <c r="G175" s="380" t="str">
        <f t="shared" si="441"/>
        <v xml:space="preserve">125.576,8 </v>
      </c>
      <c r="H175" s="380" t="str">
        <f t="shared" si="441"/>
        <v xml:space="preserve">126.339,12 </v>
      </c>
      <c r="I175" s="380" t="str">
        <f t="shared" si="441"/>
        <v xml:space="preserve">127.124,16 </v>
      </c>
      <c r="J175" s="380" t="str">
        <f t="shared" si="441"/>
        <v xml:space="preserve">127.812,19.4 </v>
      </c>
      <c r="K175" s="380" t="str">
        <f t="shared" si="441"/>
        <v xml:space="preserve">127.937,20 </v>
      </c>
      <c r="L175" s="380" t="str">
        <f t="shared" si="441"/>
        <v xml:space="preserve">128.766,24 </v>
      </c>
      <c r="M175" s="380" t="str">
        <f t="shared" si="441"/>
        <v xml:space="preserve">129.188,26 </v>
      </c>
      <c r="N175" s="380" t="str">
        <f t="shared" si="441"/>
        <v/>
      </c>
      <c r="O175" s="380" t="str">
        <f t="shared" si="441"/>
        <v/>
      </c>
      <c r="P175" s="380" t="str">
        <f t="shared" si="441"/>
        <v/>
      </c>
      <c r="Q175" s="380" t="str">
        <f t="shared" si="441"/>
        <v/>
      </c>
      <c r="R175" s="380" t="str">
        <f t="shared" si="441"/>
        <v/>
      </c>
      <c r="S175" s="380" t="str">
        <f t="shared" si="441"/>
        <v/>
      </c>
      <c r="T175" s="380" t="str">
        <f t="shared" si="441"/>
        <v/>
      </c>
      <c r="U175" s="380" t="str">
        <f t="shared" si="441"/>
        <v/>
      </c>
      <c r="V175" s="380" t="str">
        <f t="shared" si="441"/>
        <v/>
      </c>
      <c r="W175" s="380" t="str">
        <f t="shared" si="441"/>
        <v/>
      </c>
      <c r="X175" s="380" t="str">
        <f t="shared" si="441"/>
        <v/>
      </c>
      <c r="Y175" s="380" t="str">
        <f t="shared" si="441"/>
        <v/>
      </c>
      <c r="Z175" s="380" t="str">
        <f t="shared" si="441"/>
        <v/>
      </c>
      <c r="AA175" s="132"/>
      <c r="AB175" s="409">
        <f t="shared" si="400"/>
        <v>17</v>
      </c>
      <c r="AC175" s="412" t="str">
        <f t="shared" ref="AC175:BA175" si="442">IFERROR(CONCATENATE(ROUND($A175*STN_GAP*BA_Station_Scale_in_x+AC89/Bonjean_Moment_Scale,3),",",ROUND(AC$155*WLS*BA_Y_scale_of_WL,3)," "),"")</f>
        <v xml:space="preserve">124.27,0 </v>
      </c>
      <c r="AD175" s="412" t="str">
        <f t="shared" si="442"/>
        <v xml:space="preserve">124.275,1 </v>
      </c>
      <c r="AE175" s="412" t="str">
        <f t="shared" si="442"/>
        <v xml:space="preserve">124.294,2 </v>
      </c>
      <c r="AF175" s="412" t="str">
        <f t="shared" si="442"/>
        <v xml:space="preserve">124.326,3 </v>
      </c>
      <c r="AG175" s="412" t="str">
        <f t="shared" si="442"/>
        <v xml:space="preserve">124.374,4 </v>
      </c>
      <c r="AH175" s="412" t="str">
        <f t="shared" si="442"/>
        <v xml:space="preserve">124.733,8 </v>
      </c>
      <c r="AI175" s="412" t="str">
        <f t="shared" si="442"/>
        <v xml:space="preserve">125.37,12 </v>
      </c>
      <c r="AJ175" s="412" t="str">
        <f t="shared" si="442"/>
        <v xml:space="preserve">126.287,16 </v>
      </c>
      <c r="AK175" s="412" t="str">
        <f t="shared" si="442"/>
        <v xml:space="preserve">127.302,19.4 </v>
      </c>
      <c r="AL175" s="412" t="str">
        <f t="shared" si="442"/>
        <v xml:space="preserve">127.506,20 </v>
      </c>
      <c r="AM175" s="412" t="str">
        <f t="shared" si="442"/>
        <v xml:space="preserve">129.028,24 </v>
      </c>
      <c r="AN175" s="412" t="str">
        <f t="shared" si="442"/>
        <v xml:space="preserve">129.909,26 </v>
      </c>
      <c r="AO175" s="412" t="str">
        <f t="shared" si="442"/>
        <v/>
      </c>
      <c r="AP175" s="412" t="str">
        <f t="shared" si="442"/>
        <v/>
      </c>
      <c r="AQ175" s="412" t="str">
        <f t="shared" si="442"/>
        <v/>
      </c>
      <c r="AR175" s="412" t="str">
        <f t="shared" si="442"/>
        <v/>
      </c>
      <c r="AS175" s="412" t="str">
        <f t="shared" si="442"/>
        <v/>
      </c>
      <c r="AT175" s="412" t="str">
        <f t="shared" si="442"/>
        <v/>
      </c>
      <c r="AU175" s="412" t="str">
        <f t="shared" si="442"/>
        <v/>
      </c>
      <c r="AV175" s="412" t="str">
        <f t="shared" si="442"/>
        <v/>
      </c>
      <c r="AW175" s="412" t="str">
        <f t="shared" si="442"/>
        <v/>
      </c>
      <c r="AX175" s="412" t="str">
        <f t="shared" si="442"/>
        <v/>
      </c>
      <c r="AY175" s="412" t="str">
        <f t="shared" si="442"/>
        <v/>
      </c>
      <c r="AZ175" s="412" t="str">
        <f t="shared" si="442"/>
        <v/>
      </c>
      <c r="BA175" s="412" t="str">
        <f t="shared" si="442"/>
        <v/>
      </c>
      <c r="BF175" s="132"/>
    </row>
    <row r="176" spans="1:89" s="400" customFormat="1" x14ac:dyDescent="0.25">
      <c r="A176" s="409">
        <f t="shared" si="432"/>
        <v>18</v>
      </c>
      <c r="B176" s="380" t="str">
        <f t="shared" ref="B176:Z176" si="443">IFERROR(CONCATENATE(ROUND($A176*STN_GAP*BA_Station_Scale_in_x+B90/Bonjean_Area_Scale,3),",",ROUND(B$69*WLS*BA_Y_scale_of_WL,3)," "),"")</f>
        <v xml:space="preserve">131.58,0 </v>
      </c>
      <c r="C176" s="380" t="str">
        <f t="shared" si="443"/>
        <v xml:space="preserve">131.662,1 </v>
      </c>
      <c r="D176" s="380" t="str">
        <f t="shared" si="443"/>
        <v xml:space="preserve">131.763,2 </v>
      </c>
      <c r="E176" s="380" t="str">
        <f t="shared" si="443"/>
        <v xml:space="preserve">131.875,3 </v>
      </c>
      <c r="F176" s="380" t="str">
        <f t="shared" si="443"/>
        <v xml:space="preserve">131.997,4 </v>
      </c>
      <c r="G176" s="380" t="str">
        <f t="shared" si="443"/>
        <v xml:space="preserve">132.531,8 </v>
      </c>
      <c r="H176" s="380" t="str">
        <f t="shared" si="443"/>
        <v xml:space="preserve">133.119,12 </v>
      </c>
      <c r="I176" s="380" t="str">
        <f t="shared" si="443"/>
        <v xml:space="preserve">133.738,16 </v>
      </c>
      <c r="J176" s="380" t="str">
        <f t="shared" si="443"/>
        <v xml:space="preserve">134.292,19.4 </v>
      </c>
      <c r="K176" s="380" t="str">
        <f t="shared" si="443"/>
        <v xml:space="preserve">134.392,20 </v>
      </c>
      <c r="L176" s="380" t="str">
        <f t="shared" si="443"/>
        <v xml:space="preserve">135.087,24 </v>
      </c>
      <c r="M176" s="380" t="str">
        <f t="shared" si="443"/>
        <v xml:space="preserve">135.449,26 </v>
      </c>
      <c r="N176" s="380" t="str">
        <f t="shared" si="443"/>
        <v/>
      </c>
      <c r="O176" s="380" t="str">
        <f t="shared" si="443"/>
        <v/>
      </c>
      <c r="P176" s="380" t="str">
        <f t="shared" si="443"/>
        <v/>
      </c>
      <c r="Q176" s="380" t="str">
        <f t="shared" si="443"/>
        <v/>
      </c>
      <c r="R176" s="380" t="str">
        <f t="shared" si="443"/>
        <v/>
      </c>
      <c r="S176" s="380" t="str">
        <f t="shared" si="443"/>
        <v/>
      </c>
      <c r="T176" s="380" t="str">
        <f t="shared" si="443"/>
        <v/>
      </c>
      <c r="U176" s="380" t="str">
        <f t="shared" si="443"/>
        <v/>
      </c>
      <c r="V176" s="380" t="str">
        <f t="shared" si="443"/>
        <v/>
      </c>
      <c r="W176" s="380" t="str">
        <f t="shared" si="443"/>
        <v/>
      </c>
      <c r="X176" s="380" t="str">
        <f t="shared" si="443"/>
        <v/>
      </c>
      <c r="Y176" s="380" t="str">
        <f t="shared" si="443"/>
        <v/>
      </c>
      <c r="Z176" s="380" t="str">
        <f t="shared" si="443"/>
        <v/>
      </c>
      <c r="AA176" s="132"/>
      <c r="AB176" s="409">
        <f t="shared" si="400"/>
        <v>18</v>
      </c>
      <c r="AC176" s="412" t="str">
        <f t="shared" ref="AC176:BA176" si="444">IFERROR(CONCATENATE(ROUND($A176*STN_GAP*BA_Station_Scale_in_x+AC90/Bonjean_Moment_Scale,3),",",ROUND(AC$155*WLS*BA_Y_scale_of_WL,3)," "),"")</f>
        <v xml:space="preserve">131.58,0 </v>
      </c>
      <c r="AD176" s="412" t="str">
        <f t="shared" si="444"/>
        <v xml:space="preserve">131.584,1 </v>
      </c>
      <c r="AE176" s="412" t="str">
        <f t="shared" si="444"/>
        <v xml:space="preserve">131.596,2 </v>
      </c>
      <c r="AF176" s="412" t="str">
        <f t="shared" si="444"/>
        <v xml:space="preserve">131.62,3 </v>
      </c>
      <c r="AG176" s="412" t="str">
        <f t="shared" si="444"/>
        <v xml:space="preserve">131.655,4 </v>
      </c>
      <c r="AH176" s="412" t="str">
        <f t="shared" si="444"/>
        <v xml:space="preserve">131.924,8 </v>
      </c>
      <c r="AI176" s="412" t="str">
        <f t="shared" si="444"/>
        <v xml:space="preserve">132.416,12 </v>
      </c>
      <c r="AJ176" s="412" t="str">
        <f t="shared" si="444"/>
        <v xml:space="preserve">133.139,16 </v>
      </c>
      <c r="AK176" s="412" t="str">
        <f t="shared" si="444"/>
        <v xml:space="preserve">133.957,19.4 </v>
      </c>
      <c r="AL176" s="412" t="str">
        <f t="shared" si="444"/>
        <v xml:space="preserve">134.12,20 </v>
      </c>
      <c r="AM176" s="412" t="str">
        <f t="shared" si="444"/>
        <v xml:space="preserve">135.396,24 </v>
      </c>
      <c r="AN176" s="412" t="str">
        <f t="shared" si="444"/>
        <v xml:space="preserve">136.149,26 </v>
      </c>
      <c r="AO176" s="412" t="str">
        <f t="shared" si="444"/>
        <v/>
      </c>
      <c r="AP176" s="412" t="str">
        <f t="shared" si="444"/>
        <v/>
      </c>
      <c r="AQ176" s="412" t="str">
        <f t="shared" si="444"/>
        <v/>
      </c>
      <c r="AR176" s="412" t="str">
        <f t="shared" si="444"/>
        <v/>
      </c>
      <c r="AS176" s="412" t="str">
        <f t="shared" si="444"/>
        <v/>
      </c>
      <c r="AT176" s="412" t="str">
        <f t="shared" si="444"/>
        <v/>
      </c>
      <c r="AU176" s="412" t="str">
        <f t="shared" si="444"/>
        <v/>
      </c>
      <c r="AV176" s="412" t="str">
        <f t="shared" si="444"/>
        <v/>
      </c>
      <c r="AW176" s="412" t="str">
        <f t="shared" si="444"/>
        <v/>
      </c>
      <c r="AX176" s="412" t="str">
        <f t="shared" si="444"/>
        <v/>
      </c>
      <c r="AY176" s="412" t="str">
        <f t="shared" si="444"/>
        <v/>
      </c>
      <c r="AZ176" s="412" t="str">
        <f t="shared" si="444"/>
        <v/>
      </c>
      <c r="BA176" s="412" t="str">
        <f t="shared" si="444"/>
        <v/>
      </c>
      <c r="CH176" s="360"/>
      <c r="CI176" s="360"/>
      <c r="CJ176" s="402"/>
      <c r="CK176" s="402"/>
    </row>
    <row r="177" spans="1:139" s="400" customFormat="1" x14ac:dyDescent="0.25">
      <c r="A177" s="409">
        <f t="shared" si="432"/>
        <v>18.5</v>
      </c>
      <c r="B177" s="380" t="str">
        <f t="shared" ref="B177:Z177" si="445">IFERROR(CONCATENATE(ROUND($A177*STN_GAP*BA_Station_Scale_in_x+B91/Bonjean_Area_Scale,3),",",ROUND(B$69*WLS*BA_Y_scale_of_WL,3)," "),"")</f>
        <v xml:space="preserve">135.235,0 </v>
      </c>
      <c r="C177" s="380" t="str">
        <f t="shared" si="445"/>
        <v xml:space="preserve">135.293,1 </v>
      </c>
      <c r="D177" s="380" t="str">
        <f t="shared" si="445"/>
        <v xml:space="preserve">135.369,2 </v>
      </c>
      <c r="E177" s="380" t="str">
        <f t="shared" si="445"/>
        <v xml:space="preserve">135.457,3 </v>
      </c>
      <c r="F177" s="380" t="str">
        <f t="shared" si="445"/>
        <v xml:space="preserve">135.552,4 </v>
      </c>
      <c r="G177" s="380" t="str">
        <f t="shared" si="445"/>
        <v xml:space="preserve">135.975,8 </v>
      </c>
      <c r="H177" s="380" t="str">
        <f t="shared" si="445"/>
        <v xml:space="preserve">136.445,12 </v>
      </c>
      <c r="I177" s="380" t="str">
        <f t="shared" si="445"/>
        <v xml:space="preserve">136.941,16 </v>
      </c>
      <c r="J177" s="380" t="str">
        <f t="shared" si="445"/>
        <v xml:space="preserve">137.39,19.4 </v>
      </c>
      <c r="K177" s="380" t="str">
        <f t="shared" si="445"/>
        <v xml:space="preserve">137.472,20 </v>
      </c>
      <c r="L177" s="380" t="str">
        <f t="shared" si="445"/>
        <v xml:space="preserve">138.049,24 </v>
      </c>
      <c r="M177" s="380" t="str">
        <f t="shared" si="445"/>
        <v xml:space="preserve">138.355,26 </v>
      </c>
      <c r="N177" s="380" t="str">
        <f t="shared" si="445"/>
        <v/>
      </c>
      <c r="O177" s="380" t="str">
        <f t="shared" si="445"/>
        <v/>
      </c>
      <c r="P177" s="380" t="str">
        <f t="shared" si="445"/>
        <v/>
      </c>
      <c r="Q177" s="380" t="str">
        <f t="shared" si="445"/>
        <v/>
      </c>
      <c r="R177" s="380" t="str">
        <f t="shared" si="445"/>
        <v/>
      </c>
      <c r="S177" s="380" t="str">
        <f t="shared" si="445"/>
        <v/>
      </c>
      <c r="T177" s="380" t="str">
        <f t="shared" si="445"/>
        <v/>
      </c>
      <c r="U177" s="380" t="str">
        <f t="shared" si="445"/>
        <v/>
      </c>
      <c r="V177" s="380" t="str">
        <f t="shared" si="445"/>
        <v/>
      </c>
      <c r="W177" s="380" t="str">
        <f t="shared" si="445"/>
        <v/>
      </c>
      <c r="X177" s="380" t="str">
        <f t="shared" si="445"/>
        <v/>
      </c>
      <c r="Y177" s="380" t="str">
        <f t="shared" si="445"/>
        <v/>
      </c>
      <c r="Z177" s="380" t="str">
        <f t="shared" si="445"/>
        <v/>
      </c>
      <c r="AA177" s="132"/>
      <c r="AB177" s="409">
        <f t="shared" si="400"/>
        <v>18.5</v>
      </c>
      <c r="AC177" s="412" t="str">
        <f t="shared" ref="AC177:BA177" si="446">IFERROR(CONCATENATE(ROUND($A177*STN_GAP*BA_Station_Scale_in_x+AC91/Bonjean_Moment_Scale,3),",",ROUND(AC$155*WLS*BA_Y_scale_of_WL,3)," "),"")</f>
        <v xml:space="preserve">135.235,0 </v>
      </c>
      <c r="AD177" s="412" t="str">
        <f t="shared" si="446"/>
        <v xml:space="preserve">135.238,1 </v>
      </c>
      <c r="AE177" s="412" t="str">
        <f t="shared" si="446"/>
        <v xml:space="preserve">135.247,2 </v>
      </c>
      <c r="AF177" s="412" t="str">
        <f t="shared" si="446"/>
        <v xml:space="preserve">135.265,3 </v>
      </c>
      <c r="AG177" s="412" t="str">
        <f t="shared" si="446"/>
        <v xml:space="preserve">135.293,4 </v>
      </c>
      <c r="AH177" s="412" t="str">
        <f t="shared" si="446"/>
        <v xml:space="preserve">135.507,8 </v>
      </c>
      <c r="AI177" s="412" t="str">
        <f t="shared" si="446"/>
        <v xml:space="preserve">135.899,12 </v>
      </c>
      <c r="AJ177" s="412" t="str">
        <f t="shared" si="446"/>
        <v xml:space="preserve">136.479,16 </v>
      </c>
      <c r="AK177" s="412" t="str">
        <f t="shared" si="446"/>
        <v xml:space="preserve">137.142,19.4 </v>
      </c>
      <c r="AL177" s="412" t="str">
        <f t="shared" si="446"/>
        <v xml:space="preserve">137.276,20 </v>
      </c>
      <c r="AM177" s="412" t="str">
        <f t="shared" si="446"/>
        <v xml:space="preserve">138.335,24 </v>
      </c>
      <c r="AN177" s="412" t="str">
        <f t="shared" si="446"/>
        <v xml:space="preserve">138.973,26 </v>
      </c>
      <c r="AO177" s="412" t="str">
        <f t="shared" si="446"/>
        <v/>
      </c>
      <c r="AP177" s="412" t="str">
        <f t="shared" si="446"/>
        <v/>
      </c>
      <c r="AQ177" s="412" t="str">
        <f t="shared" si="446"/>
        <v/>
      </c>
      <c r="AR177" s="412" t="str">
        <f t="shared" si="446"/>
        <v/>
      </c>
      <c r="AS177" s="412" t="str">
        <f t="shared" si="446"/>
        <v/>
      </c>
      <c r="AT177" s="412" t="str">
        <f t="shared" si="446"/>
        <v/>
      </c>
      <c r="AU177" s="412" t="str">
        <f t="shared" si="446"/>
        <v/>
      </c>
      <c r="AV177" s="412" t="str">
        <f t="shared" si="446"/>
        <v/>
      </c>
      <c r="AW177" s="412" t="str">
        <f t="shared" si="446"/>
        <v/>
      </c>
      <c r="AX177" s="412" t="str">
        <f t="shared" si="446"/>
        <v/>
      </c>
      <c r="AY177" s="412" t="str">
        <f t="shared" si="446"/>
        <v/>
      </c>
      <c r="AZ177" s="412" t="str">
        <f t="shared" si="446"/>
        <v/>
      </c>
      <c r="BA177" s="412" t="str">
        <f t="shared" si="446"/>
        <v/>
      </c>
      <c r="CH177" s="360"/>
      <c r="CI177" s="360"/>
      <c r="CJ177" s="402"/>
      <c r="CK177" s="402"/>
    </row>
    <row r="178" spans="1:139" s="400" customFormat="1" x14ac:dyDescent="0.25">
      <c r="A178" s="409">
        <f t="shared" si="432"/>
        <v>19</v>
      </c>
      <c r="B178" s="380" t="str">
        <f t="shared" ref="B178:Z178" si="447">IFERROR(CONCATENATE(ROUND($A178*STN_GAP*BA_Station_Scale_in_x+B92/Bonjean_Area_Scale,3),",",ROUND(B$69*WLS*BA_Y_scale_of_WL,3)," "),"")</f>
        <v xml:space="preserve">138.89,0 </v>
      </c>
      <c r="C178" s="380" t="str">
        <f t="shared" si="447"/>
        <v xml:space="preserve">138.927,1 </v>
      </c>
      <c r="D178" s="380" t="str">
        <f t="shared" si="447"/>
        <v xml:space="preserve">138.979,2 </v>
      </c>
      <c r="E178" s="380" t="str">
        <f t="shared" si="447"/>
        <v xml:space="preserve">139.04,3 </v>
      </c>
      <c r="F178" s="380" t="str">
        <f t="shared" si="447"/>
        <v xml:space="preserve">139.108,4 </v>
      </c>
      <c r="G178" s="380" t="str">
        <f t="shared" si="447"/>
        <v xml:space="preserve">139.417,8 </v>
      </c>
      <c r="H178" s="380" t="str">
        <f t="shared" si="447"/>
        <v xml:space="preserve">139.753,12 </v>
      </c>
      <c r="I178" s="380" t="str">
        <f t="shared" si="447"/>
        <v xml:space="preserve">140.097,16 </v>
      </c>
      <c r="J178" s="380" t="str">
        <f t="shared" si="447"/>
        <v xml:space="preserve">140.414,19.4 </v>
      </c>
      <c r="K178" s="380" t="str">
        <f t="shared" si="447"/>
        <v xml:space="preserve">140.475,20 </v>
      </c>
      <c r="L178" s="380" t="str">
        <f t="shared" si="447"/>
        <v xml:space="preserve">140.892,24 </v>
      </c>
      <c r="M178" s="380" t="str">
        <f t="shared" si="447"/>
        <v xml:space="preserve">141.123,26 </v>
      </c>
      <c r="N178" s="380" t="str">
        <f t="shared" si="447"/>
        <v/>
      </c>
      <c r="O178" s="380" t="str">
        <f t="shared" si="447"/>
        <v/>
      </c>
      <c r="P178" s="380" t="str">
        <f t="shared" si="447"/>
        <v/>
      </c>
      <c r="Q178" s="380" t="str">
        <f t="shared" si="447"/>
        <v/>
      </c>
      <c r="R178" s="380" t="str">
        <f t="shared" si="447"/>
        <v/>
      </c>
      <c r="S178" s="380" t="str">
        <f t="shared" si="447"/>
        <v/>
      </c>
      <c r="T178" s="380" t="str">
        <f t="shared" si="447"/>
        <v/>
      </c>
      <c r="U178" s="380" t="str">
        <f t="shared" si="447"/>
        <v/>
      </c>
      <c r="V178" s="380" t="str">
        <f t="shared" si="447"/>
        <v/>
      </c>
      <c r="W178" s="380" t="str">
        <f t="shared" si="447"/>
        <v/>
      </c>
      <c r="X178" s="380" t="str">
        <f t="shared" si="447"/>
        <v/>
      </c>
      <c r="Y178" s="380" t="str">
        <f t="shared" si="447"/>
        <v/>
      </c>
      <c r="Z178" s="380" t="str">
        <f t="shared" si="447"/>
        <v/>
      </c>
      <c r="AA178" s="132"/>
      <c r="AB178" s="409">
        <f t="shared" si="400"/>
        <v>19</v>
      </c>
      <c r="AC178" s="412" t="str">
        <f t="shared" ref="AC178:BA178" si="448">IFERROR(CONCATENATE(ROUND($A178*STN_GAP*BA_Station_Scale_in_x+AC92/Bonjean_Moment_Scale,3),",",ROUND(AC$155*WLS*BA_Y_scale_of_WL,3)," "),"")</f>
        <v xml:space="preserve">138.89,0 </v>
      </c>
      <c r="AD178" s="412" t="str">
        <f t="shared" si="448"/>
        <v xml:space="preserve">138.892,1 </v>
      </c>
      <c r="AE178" s="412" t="str">
        <f t="shared" si="448"/>
        <v xml:space="preserve">138.898,2 </v>
      </c>
      <c r="AF178" s="412" t="str">
        <f t="shared" si="448"/>
        <v xml:space="preserve">138.911,3 </v>
      </c>
      <c r="AG178" s="412" t="str">
        <f t="shared" si="448"/>
        <v xml:space="preserve">138.931,4 </v>
      </c>
      <c r="AH178" s="412" t="str">
        <f t="shared" si="448"/>
        <v xml:space="preserve">139.087,8 </v>
      </c>
      <c r="AI178" s="412" t="str">
        <f t="shared" si="448"/>
        <v xml:space="preserve">139.367,12 </v>
      </c>
      <c r="AJ178" s="412" t="str">
        <f t="shared" si="448"/>
        <v xml:space="preserve">139.77,16 </v>
      </c>
      <c r="AK178" s="412" t="str">
        <f t="shared" si="448"/>
        <v xml:space="preserve">140.239,19.4 </v>
      </c>
      <c r="AL178" s="412" t="str">
        <f t="shared" si="448"/>
        <v xml:space="preserve">140.335,20 </v>
      </c>
      <c r="AM178" s="412" t="str">
        <f t="shared" si="448"/>
        <v xml:space="preserve">141.105,24 </v>
      </c>
      <c r="AN178" s="412" t="str">
        <f t="shared" si="448"/>
        <v xml:space="preserve">141.586,26 </v>
      </c>
      <c r="AO178" s="412" t="str">
        <f t="shared" si="448"/>
        <v/>
      </c>
      <c r="AP178" s="412" t="str">
        <f t="shared" si="448"/>
        <v/>
      </c>
      <c r="AQ178" s="412" t="str">
        <f t="shared" si="448"/>
        <v/>
      </c>
      <c r="AR178" s="412" t="str">
        <f t="shared" si="448"/>
        <v/>
      </c>
      <c r="AS178" s="412" t="str">
        <f t="shared" si="448"/>
        <v/>
      </c>
      <c r="AT178" s="412" t="str">
        <f t="shared" si="448"/>
        <v/>
      </c>
      <c r="AU178" s="412" t="str">
        <f t="shared" si="448"/>
        <v/>
      </c>
      <c r="AV178" s="412" t="str">
        <f t="shared" si="448"/>
        <v/>
      </c>
      <c r="AW178" s="412" t="str">
        <f t="shared" si="448"/>
        <v/>
      </c>
      <c r="AX178" s="412" t="str">
        <f t="shared" si="448"/>
        <v/>
      </c>
      <c r="AY178" s="412" t="str">
        <f t="shared" si="448"/>
        <v/>
      </c>
      <c r="AZ178" s="412" t="str">
        <f t="shared" si="448"/>
        <v/>
      </c>
      <c r="BA178" s="412" t="str">
        <f t="shared" si="448"/>
        <v/>
      </c>
      <c r="CH178" s="360"/>
      <c r="CI178" s="360"/>
      <c r="CJ178" s="402"/>
      <c r="CK178" s="402"/>
      <c r="CT178" s="132"/>
      <c r="CU178" s="132"/>
      <c r="CV178" s="132"/>
      <c r="CW178" s="132"/>
    </row>
    <row r="179" spans="1:139" s="400" customFormat="1" x14ac:dyDescent="0.25">
      <c r="A179" s="409">
        <f t="shared" si="432"/>
        <v>19.5</v>
      </c>
      <c r="B179" s="380" t="str">
        <f t="shared" ref="B179:Z179" si="449">IFERROR(CONCATENATE(ROUND($A179*STN_GAP*BA_Station_Scale_in_x+B93/Bonjean_Area_Scale,3),",",ROUND(B$69*WLS*BA_Y_scale_of_WL,3)," "),"")</f>
        <v xml:space="preserve">142.545,0 </v>
      </c>
      <c r="C179" s="380" t="str">
        <f t="shared" si="449"/>
        <v xml:space="preserve">142.562,1 </v>
      </c>
      <c r="D179" s="380" t="str">
        <f t="shared" si="449"/>
        <v xml:space="preserve">142.591,2 </v>
      </c>
      <c r="E179" s="380" t="str">
        <f t="shared" si="449"/>
        <v xml:space="preserve">142.628,3 </v>
      </c>
      <c r="F179" s="380" t="str">
        <f t="shared" si="449"/>
        <v xml:space="preserve">142.672,4 </v>
      </c>
      <c r="G179" s="380" t="str">
        <f t="shared" si="449"/>
        <v xml:space="preserve">142.872,8 </v>
      </c>
      <c r="H179" s="380" t="str">
        <f t="shared" si="449"/>
        <v xml:space="preserve">143.077,12 </v>
      </c>
      <c r="I179" s="380" t="str">
        <f t="shared" si="449"/>
        <v xml:space="preserve">143.256,16 </v>
      </c>
      <c r="J179" s="380" t="str">
        <f t="shared" si="449"/>
        <v xml:space="preserve">143.415,19.4 </v>
      </c>
      <c r="K179" s="380" t="str">
        <f t="shared" si="449"/>
        <v xml:space="preserve">143.447,20 </v>
      </c>
      <c r="L179" s="380" t="str">
        <f t="shared" si="449"/>
        <v xml:space="preserve">143.668,24 </v>
      </c>
      <c r="M179" s="380" t="str">
        <f t="shared" si="449"/>
        <v xml:space="preserve">143.804,26 </v>
      </c>
      <c r="N179" s="380" t="str">
        <f t="shared" si="449"/>
        <v/>
      </c>
      <c r="O179" s="380" t="str">
        <f t="shared" si="449"/>
        <v/>
      </c>
      <c r="P179" s="380" t="str">
        <f t="shared" si="449"/>
        <v/>
      </c>
      <c r="Q179" s="380" t="str">
        <f t="shared" si="449"/>
        <v/>
      </c>
      <c r="R179" s="380" t="str">
        <f t="shared" si="449"/>
        <v/>
      </c>
      <c r="S179" s="380" t="str">
        <f t="shared" si="449"/>
        <v/>
      </c>
      <c r="T179" s="380" t="str">
        <f t="shared" si="449"/>
        <v/>
      </c>
      <c r="U179" s="380" t="str">
        <f t="shared" si="449"/>
        <v/>
      </c>
      <c r="V179" s="380" t="str">
        <f t="shared" si="449"/>
        <v/>
      </c>
      <c r="W179" s="380" t="str">
        <f t="shared" si="449"/>
        <v/>
      </c>
      <c r="X179" s="380" t="str">
        <f t="shared" si="449"/>
        <v/>
      </c>
      <c r="Y179" s="380" t="str">
        <f t="shared" si="449"/>
        <v/>
      </c>
      <c r="Z179" s="380" t="str">
        <f t="shared" si="449"/>
        <v/>
      </c>
      <c r="AA179" s="132"/>
      <c r="AB179" s="409">
        <f t="shared" si="400"/>
        <v>19.5</v>
      </c>
      <c r="AC179" s="412" t="str">
        <f t="shared" ref="AC179:BA179" si="450">IFERROR(CONCATENATE(ROUND($A179*STN_GAP*BA_Station_Scale_in_x+AC93/Bonjean_Moment_Scale,3),",",ROUND(AC$155*WLS*BA_Y_scale_of_WL,3)," "),"")</f>
        <v xml:space="preserve">142.545,0 </v>
      </c>
      <c r="AD179" s="412" t="str">
        <f t="shared" si="450"/>
        <v xml:space="preserve">142.546,1 </v>
      </c>
      <c r="AE179" s="412" t="str">
        <f t="shared" si="450"/>
        <v xml:space="preserve">142.55,2 </v>
      </c>
      <c r="AF179" s="412" t="str">
        <f t="shared" si="450"/>
        <v xml:space="preserve">142.557,3 </v>
      </c>
      <c r="AG179" s="412" t="str">
        <f t="shared" si="450"/>
        <v xml:space="preserve">142.57,4 </v>
      </c>
      <c r="AH179" s="412" t="str">
        <f t="shared" si="450"/>
        <v xml:space="preserve">142.671,8 </v>
      </c>
      <c r="AI179" s="412" t="str">
        <f t="shared" si="450"/>
        <v xml:space="preserve">142.841,12 </v>
      </c>
      <c r="AJ179" s="412" t="str">
        <f t="shared" si="450"/>
        <v xml:space="preserve">143.052,16 </v>
      </c>
      <c r="AK179" s="412" t="str">
        <f t="shared" si="450"/>
        <v xml:space="preserve">143.286,19.4 </v>
      </c>
      <c r="AL179" s="412" t="str">
        <f t="shared" si="450"/>
        <v xml:space="preserve">143.335,20 </v>
      </c>
      <c r="AM179" s="412" t="str">
        <f t="shared" si="450"/>
        <v xml:space="preserve">143.746,24 </v>
      </c>
      <c r="AN179" s="412" t="str">
        <f t="shared" si="450"/>
        <v xml:space="preserve">144.03,26 </v>
      </c>
      <c r="AO179" s="412" t="str">
        <f t="shared" si="450"/>
        <v/>
      </c>
      <c r="AP179" s="412" t="str">
        <f t="shared" si="450"/>
        <v/>
      </c>
      <c r="AQ179" s="412" t="str">
        <f t="shared" si="450"/>
        <v/>
      </c>
      <c r="AR179" s="412" t="str">
        <f t="shared" si="450"/>
        <v/>
      </c>
      <c r="AS179" s="412" t="str">
        <f t="shared" si="450"/>
        <v/>
      </c>
      <c r="AT179" s="412" t="str">
        <f t="shared" si="450"/>
        <v/>
      </c>
      <c r="AU179" s="412" t="str">
        <f t="shared" si="450"/>
        <v/>
      </c>
      <c r="AV179" s="412" t="str">
        <f t="shared" si="450"/>
        <v/>
      </c>
      <c r="AW179" s="412" t="str">
        <f t="shared" si="450"/>
        <v/>
      </c>
      <c r="AX179" s="412" t="str">
        <f t="shared" si="450"/>
        <v/>
      </c>
      <c r="AY179" s="412" t="str">
        <f t="shared" si="450"/>
        <v/>
      </c>
      <c r="AZ179" s="412" t="str">
        <f t="shared" si="450"/>
        <v/>
      </c>
      <c r="BA179" s="412" t="str">
        <f t="shared" si="450"/>
        <v/>
      </c>
      <c r="CH179" s="360"/>
      <c r="CI179" s="360"/>
      <c r="CJ179" s="402"/>
      <c r="CK179" s="402"/>
      <c r="CT179" s="132"/>
      <c r="CU179" s="132"/>
      <c r="CV179" s="132"/>
      <c r="CW179" s="132"/>
    </row>
    <row r="180" spans="1:139" s="400" customFormat="1" x14ac:dyDescent="0.25">
      <c r="A180" s="409">
        <f t="shared" si="432"/>
        <v>20</v>
      </c>
      <c r="B180" s="380" t="str">
        <f>IFERROR(CONCATENATE(ROUND($A180*STN_GAP*BA_Station_Scale_in_x+B94/Bonjean_Area_Scale,3),",",ROUND(B$69*WLS*BA_Y_scale_of_WL,3)," "),"")</f>
        <v xml:space="preserve">146.2,0 </v>
      </c>
      <c r="C180" s="380" t="str">
        <f t="shared" ref="C180:Z180" si="451">IFERROR(CONCATENATE(ROUND($A180*STN_GAP*BA_Station_Scale_in_x+C94/Bonjean_Area_Scale,3),",",ROUND(C$69*WLS*BA_Y_scale_of_WL,3)," "),"")</f>
        <v xml:space="preserve">146.21,1 </v>
      </c>
      <c r="D180" s="380" t="str">
        <f t="shared" si="451"/>
        <v xml:space="preserve">146.23,2 </v>
      </c>
      <c r="E180" s="380" t="str">
        <f t="shared" si="451"/>
        <v xml:space="preserve">146.256,3 </v>
      </c>
      <c r="F180" s="380" t="str">
        <f t="shared" si="451"/>
        <v xml:space="preserve">146.286,4 </v>
      </c>
      <c r="G180" s="380" t="str">
        <f t="shared" si="451"/>
        <v xml:space="preserve">146.394,8 </v>
      </c>
      <c r="H180" s="380" t="str">
        <f t="shared" si="451"/>
        <v xml:space="preserve">146.46,12 </v>
      </c>
      <c r="I180" s="380" t="str">
        <f t="shared" si="451"/>
        <v xml:space="preserve">146.479,16 </v>
      </c>
      <c r="J180" s="380" t="str">
        <f t="shared" si="451"/>
        <v xml:space="preserve">146.482,19.4 </v>
      </c>
      <c r="K180" s="380" t="str">
        <f t="shared" si="451"/>
        <v xml:space="preserve">146.483,20 </v>
      </c>
      <c r="L180" s="380" t="str">
        <f t="shared" si="451"/>
        <v xml:space="preserve">146.506,24 </v>
      </c>
      <c r="M180" s="380" t="str">
        <f t="shared" si="451"/>
        <v xml:space="preserve">146.554,26 </v>
      </c>
      <c r="N180" s="380" t="str">
        <f t="shared" si="451"/>
        <v/>
      </c>
      <c r="O180" s="380" t="str">
        <f t="shared" si="451"/>
        <v/>
      </c>
      <c r="P180" s="380" t="str">
        <f t="shared" si="451"/>
        <v/>
      </c>
      <c r="Q180" s="380" t="str">
        <f t="shared" si="451"/>
        <v/>
      </c>
      <c r="R180" s="380" t="str">
        <f t="shared" si="451"/>
        <v/>
      </c>
      <c r="S180" s="380" t="str">
        <f t="shared" si="451"/>
        <v/>
      </c>
      <c r="T180" s="380" t="str">
        <f t="shared" si="451"/>
        <v/>
      </c>
      <c r="U180" s="380" t="str">
        <f t="shared" si="451"/>
        <v/>
      </c>
      <c r="V180" s="380" t="str">
        <f t="shared" si="451"/>
        <v/>
      </c>
      <c r="W180" s="380" t="str">
        <f t="shared" si="451"/>
        <v/>
      </c>
      <c r="X180" s="380" t="str">
        <f t="shared" si="451"/>
        <v/>
      </c>
      <c r="Y180" s="380" t="str">
        <f t="shared" si="451"/>
        <v/>
      </c>
      <c r="Z180" s="380" t="str">
        <f t="shared" si="451"/>
        <v/>
      </c>
      <c r="AA180" s="132"/>
      <c r="AB180" s="409">
        <f t="shared" si="400"/>
        <v>20</v>
      </c>
      <c r="AC180" s="412" t="str">
        <f t="shared" ref="AC180:BA180" si="452">IFERROR(CONCATENATE(ROUND($A180*STN_GAP*BA_Station_Scale_in_x+AC94/Bonjean_Moment_Scale,3),",",ROUND(AC$155*WLS*BA_Y_scale_of_WL,3)," "),"")</f>
        <v xml:space="preserve">146.2,0 </v>
      </c>
      <c r="AD180" s="412" t="str">
        <f t="shared" si="452"/>
        <v xml:space="preserve">146.2,1 </v>
      </c>
      <c r="AE180" s="412" t="str">
        <f t="shared" si="452"/>
        <v xml:space="preserve">146.203,2 </v>
      </c>
      <c r="AF180" s="412" t="str">
        <f t="shared" si="452"/>
        <v xml:space="preserve">146.209,3 </v>
      </c>
      <c r="AG180" s="412" t="str">
        <f t="shared" si="452"/>
        <v xml:space="preserve">146.217,4 </v>
      </c>
      <c r="AH180" s="412" t="str">
        <f t="shared" si="452"/>
        <v xml:space="preserve">146.27,8 </v>
      </c>
      <c r="AI180" s="412" t="str">
        <f t="shared" si="452"/>
        <v xml:space="preserve">146.324,12 </v>
      </c>
      <c r="AJ180" s="412" t="str">
        <f t="shared" si="452"/>
        <v xml:space="preserve">146.346,16 </v>
      </c>
      <c r="AK180" s="412" t="str">
        <f t="shared" si="452"/>
        <v xml:space="preserve">146.35,19.4 </v>
      </c>
      <c r="AL180" s="412" t="str">
        <f t="shared" si="452"/>
        <v xml:space="preserve">146.35,20 </v>
      </c>
      <c r="AM180" s="412" t="str">
        <f t="shared" si="452"/>
        <v xml:space="preserve">146.397,24 </v>
      </c>
      <c r="AN180" s="412" t="str">
        <f t="shared" si="452"/>
        <v xml:space="preserve">146.499,26 </v>
      </c>
      <c r="AO180" s="412" t="str">
        <f t="shared" si="452"/>
        <v/>
      </c>
      <c r="AP180" s="412" t="str">
        <f t="shared" si="452"/>
        <v/>
      </c>
      <c r="AQ180" s="412" t="str">
        <f t="shared" si="452"/>
        <v/>
      </c>
      <c r="AR180" s="412" t="str">
        <f t="shared" si="452"/>
        <v/>
      </c>
      <c r="AS180" s="412" t="str">
        <f t="shared" si="452"/>
        <v/>
      </c>
      <c r="AT180" s="412" t="str">
        <f t="shared" si="452"/>
        <v/>
      </c>
      <c r="AU180" s="412" t="str">
        <f t="shared" si="452"/>
        <v/>
      </c>
      <c r="AV180" s="412" t="str">
        <f t="shared" si="452"/>
        <v/>
      </c>
      <c r="AW180" s="412" t="str">
        <f t="shared" si="452"/>
        <v/>
      </c>
      <c r="AX180" s="412" t="str">
        <f t="shared" si="452"/>
        <v/>
      </c>
      <c r="AY180" s="412" t="str">
        <f t="shared" si="452"/>
        <v/>
      </c>
      <c r="AZ180" s="412" t="str">
        <f t="shared" si="452"/>
        <v/>
      </c>
      <c r="BA180" s="412" t="str">
        <f t="shared" si="452"/>
        <v/>
      </c>
      <c r="CH180" s="360"/>
      <c r="CI180" s="360"/>
      <c r="CJ180" s="402"/>
      <c r="CK180" s="402"/>
      <c r="CT180" s="132"/>
      <c r="CU180" s="132"/>
      <c r="CV180" s="132"/>
      <c r="CW180" s="132"/>
    </row>
    <row r="181" spans="1:139" s="400" customFormat="1" x14ac:dyDescent="0.25">
      <c r="A181" s="132"/>
      <c r="B181" s="132"/>
      <c r="C181" s="132"/>
      <c r="D181" s="132"/>
      <c r="E181" s="132"/>
      <c r="F181" s="132"/>
      <c r="G181" s="132"/>
      <c r="H181" s="132"/>
      <c r="I181" s="132"/>
      <c r="J181" s="132"/>
      <c r="K181" s="132"/>
      <c r="L181" s="132"/>
      <c r="M181" s="132"/>
      <c r="N181" s="132" t="s">
        <v>231</v>
      </c>
      <c r="O181" s="132"/>
      <c r="P181" s="132"/>
      <c r="Q181" s="132"/>
      <c r="R181" s="132"/>
      <c r="S181" s="132"/>
      <c r="T181" s="132"/>
      <c r="U181" s="132"/>
      <c r="V181" s="132"/>
      <c r="W181" s="132"/>
      <c r="X181" s="132"/>
      <c r="Y181" s="132"/>
      <c r="Z181" s="132"/>
      <c r="AA181" s="132"/>
      <c r="CH181" s="360"/>
      <c r="CI181" s="360"/>
      <c r="CJ181" s="402"/>
      <c r="CK181" s="402"/>
      <c r="CT181" s="132"/>
      <c r="CU181" s="132"/>
      <c r="CV181" s="132"/>
      <c r="CW181" s="132"/>
    </row>
    <row r="182" spans="1:139" x14ac:dyDescent="0.25">
      <c r="CH182" s="360"/>
      <c r="CI182" s="360"/>
      <c r="CJ182" s="280"/>
      <c r="CK182" s="280"/>
      <c r="CX182" s="400"/>
      <c r="CY182" s="400"/>
      <c r="CZ182" s="400"/>
      <c r="DA182" s="400"/>
      <c r="DB182" s="400"/>
      <c r="DC182" s="400"/>
      <c r="DD182" s="400"/>
      <c r="DE182" s="400"/>
      <c r="DF182" s="400"/>
      <c r="DG182" s="400"/>
      <c r="DH182" s="400"/>
      <c r="DI182" s="400"/>
      <c r="DJ182" s="400"/>
      <c r="DK182" s="400"/>
      <c r="DL182" s="400"/>
      <c r="DM182" s="400"/>
      <c r="DN182" s="400"/>
      <c r="DO182" s="400"/>
      <c r="DP182" s="400"/>
      <c r="DQ182" s="400"/>
      <c r="DR182" s="400"/>
      <c r="DS182" s="400"/>
      <c r="DT182" s="400"/>
      <c r="DU182" s="400"/>
      <c r="DV182" s="400"/>
      <c r="DW182" s="400"/>
      <c r="DX182" s="400"/>
      <c r="DY182" s="400"/>
      <c r="DZ182" s="400"/>
      <c r="EA182" s="400"/>
      <c r="EB182" s="400"/>
      <c r="EC182" s="400"/>
      <c r="ED182" s="400"/>
      <c r="EE182" s="400"/>
      <c r="EF182" s="400"/>
      <c r="EG182" s="400"/>
      <c r="EH182" s="400"/>
      <c r="EI182" s="400"/>
    </row>
    <row r="183" spans="1:139" x14ac:dyDescent="0.25">
      <c r="CH183" s="360"/>
      <c r="CI183" s="360"/>
      <c r="CJ183" s="280"/>
      <c r="CK183" s="280"/>
      <c r="CX183" s="400"/>
      <c r="CY183" s="400"/>
      <c r="CZ183" s="400"/>
      <c r="DA183" s="400"/>
      <c r="DB183" s="400"/>
      <c r="DC183" s="400"/>
      <c r="DD183" s="400"/>
      <c r="DE183" s="400"/>
      <c r="DF183" s="400"/>
      <c r="DG183" s="400"/>
      <c r="DH183" s="400"/>
      <c r="DI183" s="400"/>
      <c r="DJ183" s="400"/>
      <c r="DK183" s="400"/>
      <c r="DL183" s="400"/>
      <c r="DM183" s="400"/>
      <c r="DN183" s="400"/>
      <c r="DO183" s="400"/>
      <c r="DP183" s="400"/>
      <c r="DQ183" s="400"/>
      <c r="DR183" s="400"/>
      <c r="DS183" s="400"/>
      <c r="DT183" s="400"/>
      <c r="DU183" s="400"/>
      <c r="DV183" s="400"/>
      <c r="DW183" s="400"/>
      <c r="DX183" s="400"/>
      <c r="DY183" s="400"/>
      <c r="DZ183" s="400"/>
      <c r="EA183" s="400"/>
      <c r="EB183" s="400"/>
      <c r="EC183" s="400"/>
      <c r="ED183" s="400"/>
      <c r="EE183" s="400"/>
      <c r="EF183" s="400"/>
      <c r="EG183" s="400"/>
      <c r="EH183" s="400"/>
      <c r="EI183" s="400"/>
    </row>
    <row r="184" spans="1:139" ht="28.5" x14ac:dyDescent="0.45">
      <c r="A184" s="352"/>
      <c r="B184" s="514" t="s">
        <v>256</v>
      </c>
      <c r="C184" s="514"/>
      <c r="D184" s="514"/>
      <c r="E184" s="353"/>
      <c r="F184" s="353"/>
      <c r="G184" s="353"/>
      <c r="H184" s="353"/>
      <c r="I184" s="353"/>
      <c r="J184" s="353"/>
      <c r="K184" s="353"/>
      <c r="L184" s="353"/>
      <c r="M184" s="354"/>
      <c r="N184" s="355"/>
      <c r="O184" s="356"/>
      <c r="P184" s="353"/>
      <c r="Q184" s="353"/>
      <c r="R184" s="353"/>
      <c r="S184" s="353"/>
      <c r="T184" s="353"/>
      <c r="U184" s="353"/>
      <c r="V184" s="353"/>
      <c r="W184" s="353"/>
      <c r="X184" s="353"/>
      <c r="Y184" s="353"/>
      <c r="Z184" s="353"/>
      <c r="AA184" s="353"/>
      <c r="AB184" s="353"/>
      <c r="AC184" s="353"/>
      <c r="AD184" s="353"/>
      <c r="AE184" s="357"/>
      <c r="CH184" s="360"/>
      <c r="CI184" s="360"/>
      <c r="CJ184" s="280"/>
      <c r="CK184" s="280"/>
    </row>
    <row r="185" spans="1:139" ht="28.5" x14ac:dyDescent="0.45">
      <c r="A185" s="358"/>
      <c r="B185" s="359"/>
      <c r="C185" s="515" t="s">
        <v>257</v>
      </c>
      <c r="D185" s="360"/>
      <c r="E185" s="360"/>
      <c r="F185" s="360"/>
      <c r="G185" s="360"/>
      <c r="H185" s="360"/>
      <c r="I185" s="360"/>
      <c r="J185" s="360"/>
      <c r="K185" s="360"/>
      <c r="L185" s="360"/>
      <c r="M185" s="360"/>
      <c r="N185" s="361" t="s">
        <v>258</v>
      </c>
      <c r="O185" s="361" t="str">
        <f>IFERROR(CONCATENATE("2*(",10/Tools!CF67,"x",DEPTH/Tools!CF69,")"),"")</f>
        <v>2*(10x13)</v>
      </c>
      <c r="P185" s="360"/>
      <c r="Q185" s="362"/>
      <c r="R185" s="363"/>
      <c r="S185" s="360"/>
      <c r="T185" s="360"/>
      <c r="U185" s="360"/>
      <c r="V185" s="360"/>
      <c r="W185" s="360"/>
      <c r="X185" s="360"/>
      <c r="Y185" s="360"/>
      <c r="Z185" s="360"/>
      <c r="AA185" s="360"/>
      <c r="AB185" s="360"/>
      <c r="AC185" s="360"/>
      <c r="AD185" s="360"/>
      <c r="AE185" s="364"/>
      <c r="CH185" s="360"/>
      <c r="CI185" s="360"/>
      <c r="CJ185" s="280"/>
      <c r="CK185" s="280"/>
    </row>
    <row r="186" spans="1:139" x14ac:dyDescent="0.25">
      <c r="A186" s="365"/>
      <c r="B186" s="366" t="s">
        <v>259</v>
      </c>
      <c r="C186" s="515"/>
      <c r="D186" s="367" t="s">
        <v>260</v>
      </c>
      <c r="E186" s="368"/>
      <c r="F186" s="368"/>
      <c r="G186" s="363">
        <f>IFERROR(Hydros!B2*WLS," ")</f>
        <v>0</v>
      </c>
      <c r="H186" s="363">
        <f>IFERROR(Hydros!C2*WLS," ")</f>
        <v>0.5</v>
      </c>
      <c r="I186" s="363">
        <f>IFERROR(Hydros!D2*WLS," ")</f>
        <v>1</v>
      </c>
      <c r="J186" s="363">
        <f>IFERROR(Hydros!E2*WLS," ")</f>
        <v>1.5</v>
      </c>
      <c r="K186" s="363">
        <f>IFERROR(Hydros!F2*WLS," ")</f>
        <v>2</v>
      </c>
      <c r="L186" s="363">
        <f>IFERROR(Hydros!G2*WLS," ")</f>
        <v>4</v>
      </c>
      <c r="M186" s="363">
        <f>IFERROR(Hydros!H2*WLS," ")</f>
        <v>6</v>
      </c>
      <c r="N186" s="363">
        <f>IFERROR(Hydros!I2*WLS," ")</f>
        <v>8</v>
      </c>
      <c r="O186" s="363">
        <f>IFERROR(Hydros!J2*WLS," ")</f>
        <v>9.6999999999999993</v>
      </c>
      <c r="P186" s="363">
        <f>IFERROR(Hydros!K2*WLS," ")</f>
        <v>10</v>
      </c>
      <c r="Q186" s="363">
        <f>IFERROR(Hydros!L2*WLS," ")</f>
        <v>12</v>
      </c>
      <c r="R186" s="363">
        <f>IFERROR(Hydros!M2*WLS," ")</f>
        <v>13</v>
      </c>
      <c r="S186" s="363" t="str">
        <f>IFERROR(Hydros!N2*WLS," ")</f>
        <v xml:space="preserve"> </v>
      </c>
      <c r="T186" s="363" t="str">
        <f>IFERROR(Hydros!O2*WLS," ")</f>
        <v xml:space="preserve"> </v>
      </c>
      <c r="U186" s="363" t="str">
        <f>IFERROR(Hydros!P2*WLS," ")</f>
        <v xml:space="preserve"> </v>
      </c>
      <c r="V186" s="363" t="str">
        <f>IFERROR(Hydros!Q2*WLS," ")</f>
        <v xml:space="preserve"> </v>
      </c>
      <c r="W186" s="363" t="str">
        <f>IFERROR(Hydros!R2*WLS," ")</f>
        <v xml:space="preserve"> </v>
      </c>
      <c r="X186" s="363" t="str">
        <f>IFERROR(Hydros!S2*WLS," ")</f>
        <v xml:space="preserve"> </v>
      </c>
      <c r="Y186" s="363" t="str">
        <f>IFERROR(Hydros!T2*WLS," ")</f>
        <v xml:space="preserve"> </v>
      </c>
      <c r="Z186" s="363" t="str">
        <f>IFERROR(Hydros!U2*WLS," ")</f>
        <v xml:space="preserve"> </v>
      </c>
      <c r="AA186" s="363" t="str">
        <f>IFERROR(Hydros!V2*WLS," ")</f>
        <v xml:space="preserve"> </v>
      </c>
      <c r="AB186" s="363" t="str">
        <f>IFERROR(Hydros!W2*WLS," ")</f>
        <v xml:space="preserve"> </v>
      </c>
      <c r="AC186" s="363" t="str">
        <f>IFERROR(Hydros!X2*WLS," ")</f>
        <v xml:space="preserve"> </v>
      </c>
      <c r="AD186" s="363" t="str">
        <f>IFERROR(Hydros!Y2*WLS," ")</f>
        <v xml:space="preserve"> </v>
      </c>
      <c r="AE186" s="369" t="str">
        <f>IFERROR(Hydros!Z2*WLS," ")</f>
        <v xml:space="preserve"> </v>
      </c>
      <c r="CH186" s="360"/>
      <c r="CI186" s="360"/>
      <c r="CJ186" s="280"/>
      <c r="CK186" s="280"/>
    </row>
    <row r="187" spans="1:139" ht="18" x14ac:dyDescent="0.25">
      <c r="A187" s="358" t="str">
        <f>IF(MIN(Hydros!C3:AA3)&lt;0,"-","+")</f>
        <v>+</v>
      </c>
      <c r="B187" s="370">
        <v>10</v>
      </c>
      <c r="C187" s="371">
        <f>IFERROR(POWER(10,INT(LOG(MAX(Hydros!B3:Z3,-MIN(Hydros!B3:Z3))))),"")</f>
        <v>1000</v>
      </c>
      <c r="D187" s="372" t="s">
        <v>261</v>
      </c>
      <c r="E187" s="373"/>
      <c r="F187" s="373" t="str">
        <f t="shared" ref="F187:F204" si="453">IF(AND(G187="",H187=""),"","Spline ")</f>
        <v xml:space="preserve">Spline </v>
      </c>
      <c r="G187" s="360" t="str">
        <f>IFERROR(CONCATENATE(ROUND(B187+Hydros!B3/C187,3),",",G186," "),"")</f>
        <v xml:space="preserve">11.812,0 </v>
      </c>
      <c r="H187" s="360" t="str">
        <f>IFERROR(CONCATENATE(ROUND($B187+Hydros!C3/$C187,3),",",H$186," "),"")</f>
        <v xml:space="preserve">12.079,0.5 </v>
      </c>
      <c r="I187" s="360" t="str">
        <f>IFERROR(CONCATENATE(ROUND($B187+Hydros!D3/$C187,3),",",I$186," "),"")</f>
        <v xml:space="preserve">12.223,1 </v>
      </c>
      <c r="J187" s="360" t="str">
        <f>IFERROR(CONCATENATE(ROUND($B187+Hydros!E3/$C187,3),",",J$186," "),"")</f>
        <v xml:space="preserve">12.319,1.5 </v>
      </c>
      <c r="K187" s="360" t="str">
        <f>IFERROR(CONCATENATE(ROUND($B187+Hydros!F3/$C187,3),",",K$186," "),"")</f>
        <v xml:space="preserve">12.383,2 </v>
      </c>
      <c r="L187" s="360" t="str">
        <f>IFERROR(CONCATENATE(ROUND($B187+Hydros!G3/$C187,3),",",L$186," "),"")</f>
        <v xml:space="preserve">12.521,4 </v>
      </c>
      <c r="M187" s="360" t="str">
        <f>IFERROR(CONCATENATE(ROUND($B187+Hydros!H3/$C187,3),",",M$186," "),"")</f>
        <v xml:space="preserve">12.598,6 </v>
      </c>
      <c r="N187" s="360" t="str">
        <f>IFERROR(CONCATENATE(ROUND($B187+Hydros!I3/$C187,3),",",N$186," "),"")</f>
        <v xml:space="preserve">12.694,8 </v>
      </c>
      <c r="O187" s="360" t="str">
        <f>IFERROR(CONCATENATE(ROUND($B187+Hydros!J3/$C187,3),",",O$186," "),"")</f>
        <v xml:space="preserve">12.782,9.7 </v>
      </c>
      <c r="P187" s="360" t="str">
        <f>IFERROR(CONCATENATE(ROUND($B187+Hydros!K3/$C187,3),",",P$186," "),"")</f>
        <v xml:space="preserve">12.795,10 </v>
      </c>
      <c r="Q187" s="360" t="str">
        <f>IFERROR(CONCATENATE(ROUND($B187+Hydros!L3/$C187,3),",",Q$186," "),"")</f>
        <v xml:space="preserve">12.872,12 </v>
      </c>
      <c r="R187" s="360" t="str">
        <f>IFERROR(CONCATENATE(ROUND($B187+Hydros!M3/$C187,3),",",R$186," "),"")</f>
        <v xml:space="preserve">12.91,13 </v>
      </c>
      <c r="S187" s="360" t="str">
        <f>IFERROR(CONCATENATE(ROUND($B187+Hydros!N3/$C187,3),",",S$186," "),"")</f>
        <v/>
      </c>
      <c r="T187" s="360" t="str">
        <f>IFERROR(CONCATENATE(ROUND($B187+Hydros!O3/$C187,3),",",T$186," "),"")</f>
        <v/>
      </c>
      <c r="U187" s="360" t="str">
        <f>IFERROR(CONCATENATE(ROUND($B187+Hydros!P3/$C187,3),",",U$186," "),"")</f>
        <v/>
      </c>
      <c r="V187" s="360" t="str">
        <f>IFERROR(CONCATENATE(ROUND($B187+Hydros!Q3/$C187,3),",",V$186," "),"")</f>
        <v/>
      </c>
      <c r="W187" s="360" t="str">
        <f>IFERROR(CONCATENATE(ROUND($B187+Hydros!R3/$C187,3),",",W$186," "),"")</f>
        <v/>
      </c>
      <c r="X187" s="360" t="str">
        <f>IFERROR(CONCATENATE(ROUND($B187+Hydros!S3/$C187,3),",",X$186," "),"")</f>
        <v/>
      </c>
      <c r="Y187" s="360" t="str">
        <f>IFERROR(CONCATENATE(ROUND($B187+Hydros!T3/$C187,3),",",Y$186," "),"")</f>
        <v/>
      </c>
      <c r="Z187" s="360" t="str">
        <f>IFERROR(CONCATENATE(ROUND($B187+Hydros!U3/$C187,3),",",Z$186," "),"")</f>
        <v/>
      </c>
      <c r="AA187" s="360" t="str">
        <f>IFERROR(CONCATENATE(ROUND($B187+Hydros!V3/$C187,3),",",AA$186," "),"")</f>
        <v/>
      </c>
      <c r="AB187" s="360" t="str">
        <f>IFERROR(CONCATENATE(ROUND($B187+Hydros!W3/$C187,3),",",AB$186," "),"")</f>
        <v/>
      </c>
      <c r="AC187" s="360" t="str">
        <f>IFERROR(CONCATENATE(ROUND($B187+Hydros!X3/$C187,3),",",AC$186," "),"")</f>
        <v/>
      </c>
      <c r="AD187" s="360" t="str">
        <f>IFERROR(CONCATENATE(ROUND($B187+Hydros!Y3/$C187,3),",",AD$186," "),"")</f>
        <v/>
      </c>
      <c r="AE187" s="364" t="str">
        <f>IFERROR(CONCATENATE(ROUND($B187+Hydros!Z3/$C187,3),",",AE$186," "),"")</f>
        <v/>
      </c>
      <c r="CH187" s="360"/>
      <c r="CI187" s="360"/>
      <c r="CJ187" s="280"/>
      <c r="CK187" s="280"/>
    </row>
    <row r="188" spans="1:139" ht="18" x14ac:dyDescent="0.25">
      <c r="A188" s="358" t="str">
        <f>IF(MIN(Hydros!C4:AA4)&lt;0,"-","+")</f>
        <v>-</v>
      </c>
      <c r="B188" s="370">
        <f>IF(MIN(Hydros!C4:AA4)&lt;0,10,0)</f>
        <v>10</v>
      </c>
      <c r="C188" s="371">
        <f>IFERROR(POWER(10,INT(LOG(MAX(Hydros!B4:Z4,-MIN(Hydros!B4:Z4))))),"")</f>
        <v>10000</v>
      </c>
      <c r="D188" s="372" t="s">
        <v>262</v>
      </c>
      <c r="E188" s="373"/>
      <c r="F188" s="373" t="str">
        <f t="shared" si="453"/>
        <v xml:space="preserve">Spline </v>
      </c>
      <c r="G188" s="360" t="str">
        <f>IFERROR(CONCATENATE(ROUND($B188+Hydros!B4/$C188,3),",",G$186," "),"")</f>
        <v xml:space="preserve">11.098,0 </v>
      </c>
      <c r="H188" s="360" t="str">
        <f>IFERROR(CONCATENATE(ROUND($B188+Hydros!C4/$C188,3),",",H$186," "),"")</f>
        <v xml:space="preserve">11.163,0.5 </v>
      </c>
      <c r="I188" s="360" t="str">
        <f>IFERROR(CONCATENATE(ROUND($B188+Hydros!D4/$C188,3),",",I$186," "),"")</f>
        <v xml:space="preserve">11.166,1 </v>
      </c>
      <c r="J188" s="360" t="str">
        <f>IFERROR(CONCATENATE(ROUND($B188+Hydros!E4/$C188,3),",",J$186," "),"")</f>
        <v xml:space="preserve">11.165,1.5 </v>
      </c>
      <c r="K188" s="360" t="str">
        <f>IFERROR(CONCATENATE(ROUND($B188+Hydros!F4/$C188,3),",",K$186," "),"")</f>
        <v xml:space="preserve">11.156,2 </v>
      </c>
      <c r="L188" s="360" t="str">
        <f>IFERROR(CONCATENATE(ROUND($B188+Hydros!G4/$C188,3),",",L$186," "),"")</f>
        <v xml:space="preserve">10.982,4 </v>
      </c>
      <c r="M188" s="360" t="str">
        <f>IFERROR(CONCATENATE(ROUND($B188+Hydros!H4/$C188,3),",",M$186," "),"")</f>
        <v xml:space="preserve">10.717,6 </v>
      </c>
      <c r="N188" s="360" t="str">
        <f>IFERROR(CONCATENATE(ROUND($B188+Hydros!I4/$C188,3),",",N$186," "),"")</f>
        <v xml:space="preserve">10.288,8 </v>
      </c>
      <c r="O188" s="360" t="str">
        <f>IFERROR(CONCATENATE(ROUND($B188+Hydros!J4/$C188,3),",",O$186," "),"")</f>
        <v xml:space="preserve">9.951,9.7 </v>
      </c>
      <c r="P188" s="360" t="str">
        <f>IFERROR(CONCATENATE(ROUND($B188+Hydros!K4/$C188,3),",",P$186," "),"")</f>
        <v xml:space="preserve">9.914,10 </v>
      </c>
      <c r="Q188" s="360" t="str">
        <f>IFERROR(CONCATENATE(ROUND($B188+Hydros!L4/$C188,3),",",Q$186," "),"")</f>
        <v xml:space="preserve">9.781,12 </v>
      </c>
      <c r="R188" s="360" t="str">
        <f>IFERROR(CONCATENATE(ROUND($B188+Hydros!M4/$C188,3),",",R$186," "),"")</f>
        <v xml:space="preserve">9.741,13 </v>
      </c>
      <c r="S188" s="360" t="str">
        <f>IFERROR(CONCATENATE(ROUND($B188+Hydros!N4/$C188,3),",",S$186," "),"")</f>
        <v/>
      </c>
      <c r="T188" s="360" t="str">
        <f>IFERROR(CONCATENATE(ROUND($B188+Hydros!O4/$C188,3),",",T$186," "),"")</f>
        <v/>
      </c>
      <c r="U188" s="360" t="str">
        <f>IFERROR(CONCATENATE(ROUND($B188+Hydros!P4/$C188,3),",",U$186," "),"")</f>
        <v/>
      </c>
      <c r="V188" s="360" t="str">
        <f>IFERROR(CONCATENATE(ROUND($B188+Hydros!Q4/$C188,3),",",V$186," "),"")</f>
        <v/>
      </c>
      <c r="W188" s="360" t="str">
        <f>IFERROR(CONCATENATE(ROUND($B188+Hydros!R4/$C188,3),",",W$186," "),"")</f>
        <v/>
      </c>
      <c r="X188" s="360" t="str">
        <f>IFERROR(CONCATENATE(ROUND($B188+Hydros!S4/$C188,3),",",X$186," "),"")</f>
        <v/>
      </c>
      <c r="Y188" s="360" t="str">
        <f>IFERROR(CONCATENATE(ROUND($B188+Hydros!T4/$C188,3),",",Y$186," "),"")</f>
        <v/>
      </c>
      <c r="Z188" s="360" t="str">
        <f>IFERROR(CONCATENATE(ROUND($B188+Hydros!U4/$C188,3),",",Z$186," "),"")</f>
        <v/>
      </c>
      <c r="AA188" s="360" t="str">
        <f>IFERROR(CONCATENATE(ROUND($B188+Hydros!V4/$C188,3),",",AA$186," "),"")</f>
        <v/>
      </c>
      <c r="AB188" s="360" t="str">
        <f>IFERROR(CONCATENATE(ROUND($B188+Hydros!W4/$C188,3),",",AB$186," "),"")</f>
        <v/>
      </c>
      <c r="AC188" s="360" t="str">
        <f>IFERROR(CONCATENATE(ROUND($B188+Hydros!X4/$C188,3),",",AC$186," "),"")</f>
        <v/>
      </c>
      <c r="AD188" s="360" t="str">
        <f>IFERROR(CONCATENATE(ROUND($B188+Hydros!Y4/$C188,3),",",AD$186," "),"")</f>
        <v/>
      </c>
      <c r="AE188" s="364" t="str">
        <f>IFERROR(CONCATENATE(ROUND($B188+Hydros!Z4/$C188,3),",",AE$186," "),"")</f>
        <v/>
      </c>
      <c r="CH188" s="360"/>
      <c r="CI188" s="360"/>
      <c r="CJ188" s="280"/>
      <c r="CK188" s="280"/>
    </row>
    <row r="189" spans="1:139" x14ac:dyDescent="0.25">
      <c r="A189" s="358" t="str">
        <f>IF(MIN(Hydros!C5:AA5)&lt;0,"-","+")</f>
        <v>-</v>
      </c>
      <c r="B189" s="370">
        <f>IF(MIN(Hydros!C5:AA5)&lt;0,10,0)</f>
        <v>10</v>
      </c>
      <c r="C189" s="371">
        <f>IFERROR(POWER(10,INT(LOG(MAX(Hydros!B5:Z5,-MIN(Hydros!B5:Z5))))),"")</f>
        <v>1</v>
      </c>
      <c r="D189" s="374" t="s">
        <v>39</v>
      </c>
      <c r="E189" s="375"/>
      <c r="F189" s="373" t="str">
        <f t="shared" si="453"/>
        <v xml:space="preserve">Spline </v>
      </c>
      <c r="G189" s="360" t="str">
        <f>IFERROR(CONCATENATE(ROUND($B189+Hydros!B5/$C189,3),",",G$186," "),"")</f>
        <v xml:space="preserve">16.059,0 </v>
      </c>
      <c r="H189" s="360" t="str">
        <f>IFERROR(CONCATENATE(ROUND($B189+Hydros!C5/$C189,3),",",H$186," "),"")</f>
        <v xml:space="preserve">15.594,0.5 </v>
      </c>
      <c r="I189" s="360" t="str">
        <f>IFERROR(CONCATENATE(ROUND($B189+Hydros!D5/$C189,3),",",I$186," "),"")</f>
        <v xml:space="preserve">15.242,1 </v>
      </c>
      <c r="J189" s="360" t="str">
        <f>IFERROR(CONCATENATE(ROUND($B189+Hydros!E5/$C189,3),",",J$186," "),"")</f>
        <v xml:space="preserve">15.022,1.5 </v>
      </c>
      <c r="K189" s="360" t="str">
        <f>IFERROR(CONCATENATE(ROUND($B189+Hydros!F5/$C189,3),",",K$186," "),"")</f>
        <v xml:space="preserve">14.85,2 </v>
      </c>
      <c r="L189" s="360" t="str">
        <f>IFERROR(CONCATENATE(ROUND($B189+Hydros!G5/$C189,3),",",L$186," "),"")</f>
        <v xml:space="preserve">13.895,4 </v>
      </c>
      <c r="M189" s="360" t="str">
        <f>IFERROR(CONCATENATE(ROUND($B189+Hydros!H5/$C189,3),",",M$186," "),"")</f>
        <v xml:space="preserve">12.762,6 </v>
      </c>
      <c r="N189" s="360" t="str">
        <f>IFERROR(CONCATENATE(ROUND($B189+Hydros!I5/$C189,3),",",N$186," "),"")</f>
        <v xml:space="preserve">11.069,8 </v>
      </c>
      <c r="O189" s="360" t="str">
        <f>IFERROR(CONCATENATE(ROUND($B189+Hydros!J5/$C189,3),",",O$186," "),"")</f>
        <v xml:space="preserve">9.822,9.7 </v>
      </c>
      <c r="P189" s="360" t="str">
        <f>IFERROR(CONCATENATE(ROUND($B189+Hydros!K5/$C189,3),",",P$186," "),"")</f>
        <v xml:space="preserve">9.693,10 </v>
      </c>
      <c r="Q189" s="360" t="str">
        <f>IFERROR(CONCATENATE(ROUND($B189+Hydros!L5/$C189,3),",",Q$186," "),"")</f>
        <v xml:space="preserve">9.239,12 </v>
      </c>
      <c r="R189" s="360" t="str">
        <f>IFERROR(CONCATENATE(ROUND($B189+Hydros!M5/$C189,3),",",R$186," "),"")</f>
        <v xml:space="preserve">9.109,13 </v>
      </c>
      <c r="S189" s="360" t="str">
        <f>IFERROR(CONCATENATE(ROUND($B189+Hydros!N5/$C189,3),",",S$186," "),"")</f>
        <v/>
      </c>
      <c r="T189" s="360" t="str">
        <f>IFERROR(CONCATENATE(ROUND($B189+Hydros!O5/$C189,3),",",T$186," "),"")</f>
        <v/>
      </c>
      <c r="U189" s="360" t="str">
        <f>IFERROR(CONCATENATE(ROUND($B189+Hydros!P5/$C189,3),",",U$186," "),"")</f>
        <v/>
      </c>
      <c r="V189" s="360" t="str">
        <f>IFERROR(CONCATENATE(ROUND($B189+Hydros!Q5/$C189,3),",",V$186," "),"")</f>
        <v/>
      </c>
      <c r="W189" s="360" t="str">
        <f>IFERROR(CONCATENATE(ROUND($B189+Hydros!R5/$C189,3),",",W$186," "),"")</f>
        <v/>
      </c>
      <c r="X189" s="360" t="str">
        <f>IFERROR(CONCATENATE(ROUND($B189+Hydros!S5/$C189,3),",",X$186," "),"")</f>
        <v/>
      </c>
      <c r="Y189" s="360" t="str">
        <f>IFERROR(CONCATENATE(ROUND($B189+Hydros!T5/$C189,3),",",Y$186," "),"")</f>
        <v/>
      </c>
      <c r="Z189" s="360" t="str">
        <f>IFERROR(CONCATENATE(ROUND($B189+Hydros!U5/$C189,3),",",Z$186," "),"")</f>
        <v/>
      </c>
      <c r="AA189" s="360" t="str">
        <f>IFERROR(CONCATENATE(ROUND($B189+Hydros!V5/$C189,3),",",AA$186," "),"")</f>
        <v/>
      </c>
      <c r="AB189" s="360" t="str">
        <f>IFERROR(CONCATENATE(ROUND($B189+Hydros!W5/$C189,3),",",AB$186," "),"")</f>
        <v/>
      </c>
      <c r="AC189" s="360" t="str">
        <f>IFERROR(CONCATENATE(ROUND($B189+Hydros!X5/$C189,3),",",AC$186," "),"")</f>
        <v/>
      </c>
      <c r="AD189" s="360" t="str">
        <f>IFERROR(CONCATENATE(ROUND($B189+Hydros!Y5/$C189,3),",",AD$186," "),"")</f>
        <v/>
      </c>
      <c r="AE189" s="364" t="str">
        <f>IFERROR(CONCATENATE(ROUND($B189+Hydros!Z5/$C189,3),",",AE$186," "),"")</f>
        <v/>
      </c>
    </row>
    <row r="190" spans="1:139" x14ac:dyDescent="0.25">
      <c r="A190" s="358" t="str">
        <f>IF(MIN(Hydros!C6:AA6)&lt;0,"-","+")</f>
        <v>+</v>
      </c>
      <c r="B190" s="370">
        <v>10</v>
      </c>
      <c r="C190" s="371">
        <f>IFERROR(POWER(10,INT(LOG(MAX(Hydros!B6:Z6,-MIN(Hydros!B6:Z6))))),"")</f>
        <v>1000000</v>
      </c>
      <c r="D190" s="374" t="s">
        <v>263</v>
      </c>
      <c r="E190" s="375"/>
      <c r="F190" s="373" t="str">
        <f t="shared" si="453"/>
        <v xml:space="preserve">Spline </v>
      </c>
      <c r="G190" s="360" t="str">
        <f>IFERROR(CONCATENATE(ROUND($B190+Hydros!B6/$C190,3),",",G$186," "),"")</f>
        <v xml:space="preserve">11.636,0 </v>
      </c>
      <c r="H190" s="360" t="str">
        <f>IFERROR(CONCATENATE(ROUND($B190+Hydros!C6/$C190,3),",",H$186," "),"")</f>
        <v xml:space="preserve">12.1,0.5 </v>
      </c>
      <c r="I190" s="360" t="str">
        <f>IFERROR(CONCATENATE(ROUND($B190+Hydros!D6/$C190,3),",",I$186," "),"")</f>
        <v xml:space="preserve">12.371,1 </v>
      </c>
      <c r="J190" s="360" t="str">
        <f>IFERROR(CONCATENATE(ROUND($B190+Hydros!E6/$C190,3),",",J$186," "),"")</f>
        <v xml:space="preserve">12.559,1.5 </v>
      </c>
      <c r="K190" s="360" t="str">
        <f>IFERROR(CONCATENATE(ROUND($B190+Hydros!F6/$C190,3),",",K$186," "),"")</f>
        <v xml:space="preserve">12.699,2 </v>
      </c>
      <c r="L190" s="360" t="str">
        <f>IFERROR(CONCATENATE(ROUND($B190+Hydros!G6/$C190,3),",",L$186," "),"")</f>
        <v xml:space="preserve">13.046,4 </v>
      </c>
      <c r="M190" s="360" t="str">
        <f>IFERROR(CONCATENATE(ROUND($B190+Hydros!H6/$C190,3),",",M$186," "),"")</f>
        <v xml:space="preserve">13.261,6 </v>
      </c>
      <c r="N190" s="360" t="str">
        <f>IFERROR(CONCATENATE(ROUND($B190+Hydros!I6/$C190,3),",",N$186," "),"")</f>
        <v xml:space="preserve">13.588,8 </v>
      </c>
      <c r="O190" s="360" t="str">
        <f>IFERROR(CONCATENATE(ROUND($B190+Hydros!J6/$C190,3),",",O$186," "),"")</f>
        <v xml:space="preserve">13.911,9.7 </v>
      </c>
      <c r="P190" s="360" t="str">
        <f>IFERROR(CONCATENATE(ROUND($B190+Hydros!K6/$C190,3),",",P$186," "),"")</f>
        <v xml:space="preserve">13.959,10 </v>
      </c>
      <c r="Q190" s="360" t="str">
        <f>IFERROR(CONCATENATE(ROUND($B190+Hydros!L6/$C190,3),",",Q$186," "),"")</f>
        <v xml:space="preserve">14.244,12 </v>
      </c>
      <c r="R190" s="360" t="str">
        <f>IFERROR(CONCATENATE(ROUND($B190+Hydros!M6/$C190,3),",",R$186," "),"")</f>
        <v xml:space="preserve">14.389,13 </v>
      </c>
      <c r="S190" s="360" t="str">
        <f>IFERROR(CONCATENATE(ROUND($B190+Hydros!N6/$C190,3),",",S$186," "),"")</f>
        <v/>
      </c>
      <c r="T190" s="360" t="str">
        <f>IFERROR(CONCATENATE(ROUND($B190+Hydros!O6/$C190,3),",",T$186," "),"")</f>
        <v/>
      </c>
      <c r="U190" s="360" t="str">
        <f>IFERROR(CONCATENATE(ROUND($B190+Hydros!P6/$C190,3),",",U$186," "),"")</f>
        <v/>
      </c>
      <c r="V190" s="360" t="str">
        <f>IFERROR(CONCATENATE(ROUND($B190+Hydros!Q6/$C190,3),",",V$186," "),"")</f>
        <v/>
      </c>
      <c r="W190" s="360" t="str">
        <f>IFERROR(CONCATENATE(ROUND($B190+Hydros!R6/$C190,3),",",W$186," "),"")</f>
        <v/>
      </c>
      <c r="X190" s="360" t="str">
        <f>IFERROR(CONCATENATE(ROUND($B190+Hydros!S6/$C190,3),",",X$186," "),"")</f>
        <v/>
      </c>
      <c r="Y190" s="360" t="str">
        <f>IFERROR(CONCATENATE(ROUND($B190+Hydros!T6/$C190,3),",",Y$186," "),"")</f>
        <v/>
      </c>
      <c r="Z190" s="360" t="str">
        <f>IFERROR(CONCATENATE(ROUND($B190+Hydros!U6/$C190,3),",",Z$186," "),"")</f>
        <v/>
      </c>
      <c r="AA190" s="360" t="str">
        <f>IFERROR(CONCATENATE(ROUND($B190+Hydros!V6/$C190,3),",",AA$186," "),"")</f>
        <v/>
      </c>
      <c r="AB190" s="360" t="str">
        <f>IFERROR(CONCATENATE(ROUND($B190+Hydros!W6/$C190,3),",",AB$186," "),"")</f>
        <v/>
      </c>
      <c r="AC190" s="360" t="str">
        <f>IFERROR(CONCATENATE(ROUND($B190+Hydros!X6/$C190,3),",",AC$186," "),"")</f>
        <v/>
      </c>
      <c r="AD190" s="360" t="str">
        <f>IFERROR(CONCATENATE(ROUND($B190+Hydros!Y6/$C190,3),",",AD$186," "),"")</f>
        <v/>
      </c>
      <c r="AE190" s="364" t="str">
        <f>IFERROR(CONCATENATE(ROUND($B190+Hydros!Z6/$C190,3),",",AE$186," "),"")</f>
        <v/>
      </c>
    </row>
    <row r="191" spans="1:139" x14ac:dyDescent="0.25">
      <c r="A191" s="358" t="str">
        <f>IF(MIN(Hydros!C7:AA7)&lt;0,"-","+")</f>
        <v>+</v>
      </c>
      <c r="B191" s="370">
        <v>10</v>
      </c>
      <c r="C191" s="371">
        <f>IFERROR(POWER(10,INT(LOG(MAX(Hydros!B7:Z7,-MIN(Hydros!B7:Z7))))),"")</f>
        <v>100000</v>
      </c>
      <c r="D191" s="374" t="s">
        <v>266</v>
      </c>
      <c r="E191" s="375"/>
      <c r="F191" s="373" t="str">
        <f t="shared" si="453"/>
        <v xml:space="preserve">Spline </v>
      </c>
      <c r="G191" s="360" t="str">
        <f>IFERROR(CONCATENATE(ROUND($B191+Hydros!B7/$C191,3),",",G$186," "),"")</f>
        <v xml:space="preserve">10.445,0 </v>
      </c>
      <c r="H191" s="360" t="str">
        <f>IFERROR(CONCATENATE(ROUND($B191+Hydros!C7/$C191,3),",",H$186," "),"")</f>
        <v xml:space="preserve">10.592,0.5 </v>
      </c>
      <c r="I191" s="360" t="str">
        <f>IFERROR(CONCATENATE(ROUND($B191+Hydros!D7/$C191,3),",",I$186," "),"")</f>
        <v xml:space="preserve">10.678,1 </v>
      </c>
      <c r="J191" s="360" t="str">
        <f>IFERROR(CONCATENATE(ROUND($B191+Hydros!E7/$C191,3),",",J$186," "),"")</f>
        <v xml:space="preserve">10.74,1.5 </v>
      </c>
      <c r="K191" s="360" t="str">
        <f>IFERROR(CONCATENATE(ROUND($B191+Hydros!F7/$C191,3),",",K$186," "),"")</f>
        <v xml:space="preserve">10.78,2 </v>
      </c>
      <c r="L191" s="360" t="str">
        <f>IFERROR(CONCATENATE(ROUND($B191+Hydros!G7/$C191,3),",",L$186," "),"")</f>
        <v xml:space="preserve">10.859,4 </v>
      </c>
      <c r="M191" s="360" t="str">
        <f>IFERROR(CONCATENATE(ROUND($B191+Hydros!H7/$C191,3),",",M$186," "),"")</f>
        <v xml:space="preserve">10.9,6 </v>
      </c>
      <c r="N191" s="360" t="str">
        <f>IFERROR(CONCATENATE(ROUND($B191+Hydros!I7/$C191,3),",",N$186," "),"")</f>
        <v xml:space="preserve">10.944,8 </v>
      </c>
      <c r="O191" s="360" t="str">
        <f>IFERROR(CONCATENATE(ROUND($B191+Hydros!J7/$C191,3),",",O$186," "),"")</f>
        <v xml:space="preserve">10.986,9.7 </v>
      </c>
      <c r="P191" s="360" t="str">
        <f>IFERROR(CONCATENATE(ROUND($B191+Hydros!K7/$C191,3),",",P$186," "),"")</f>
        <v xml:space="preserve">10.993,10 </v>
      </c>
      <c r="Q191" s="360" t="str">
        <f>IFERROR(CONCATENATE(ROUND($B191+Hydros!L7/$C191,3),",",Q$186," "),"")</f>
        <v xml:space="preserve">11.039,12 </v>
      </c>
      <c r="R191" s="360" t="str">
        <f>IFERROR(CONCATENATE(ROUND($B191+Hydros!M7/$C191,3),",",R$186," "),"")</f>
        <v xml:space="preserve">11.063,13 </v>
      </c>
      <c r="S191" s="360" t="str">
        <f>IFERROR(CONCATENATE(ROUND($B191+Hydros!N7/$C191,3),",",S$186," "),"")</f>
        <v/>
      </c>
      <c r="T191" s="360" t="str">
        <f>IFERROR(CONCATENATE(ROUND($B191+Hydros!O7/$C191,3),",",T$186," "),"")</f>
        <v/>
      </c>
      <c r="U191" s="360" t="str">
        <f>IFERROR(CONCATENATE(ROUND($B191+Hydros!P7/$C191,3),",",U$186," "),"")</f>
        <v/>
      </c>
      <c r="V191" s="360" t="str">
        <f>IFERROR(CONCATENATE(ROUND($B191+Hydros!Q7/$C191,3),",",V$186," "),"")</f>
        <v/>
      </c>
      <c r="W191" s="360" t="str">
        <f>IFERROR(CONCATENATE(ROUND($B191+Hydros!R7/$C191,3),",",W$186," "),"")</f>
        <v/>
      </c>
      <c r="X191" s="360" t="str">
        <f>IFERROR(CONCATENATE(ROUND($B191+Hydros!S7/$C191,3),",",X$186," "),"")</f>
        <v/>
      </c>
      <c r="Y191" s="360" t="str">
        <f>IFERROR(CONCATENATE(ROUND($B191+Hydros!T7/$C191,3),",",Y$186," "),"")</f>
        <v/>
      </c>
      <c r="Z191" s="360" t="str">
        <f>IFERROR(CONCATENATE(ROUND($B191+Hydros!U7/$C191,3),",",Z$186," "),"")</f>
        <v/>
      </c>
      <c r="AA191" s="360" t="str">
        <f>IFERROR(CONCATENATE(ROUND($B191+Hydros!V7/$C191,3),",",AA$186," "),"")</f>
        <v/>
      </c>
      <c r="AB191" s="360" t="str">
        <f>IFERROR(CONCATENATE(ROUND($B191+Hydros!W7/$C191,3),",",AB$186," "),"")</f>
        <v/>
      </c>
      <c r="AC191" s="360" t="str">
        <f>IFERROR(CONCATENATE(ROUND($B191+Hydros!X7/$C191,3),",",AC$186," "),"")</f>
        <v/>
      </c>
      <c r="AD191" s="360" t="str">
        <f>IFERROR(CONCATENATE(ROUND($B191+Hydros!Y7/$C191,3),",",AD$186," "),"")</f>
        <v/>
      </c>
      <c r="AE191" s="364" t="str">
        <f>IFERROR(CONCATENATE(ROUND($B191+Hydros!Z7/$C191,3),",",AE$186," "),"")</f>
        <v/>
      </c>
    </row>
    <row r="192" spans="1:139" x14ac:dyDescent="0.25">
      <c r="A192" s="358" t="str">
        <f>IF(MIN(Hydros!C8:AA8)&lt;0,"-","+")</f>
        <v>+</v>
      </c>
      <c r="B192" s="370">
        <v>10</v>
      </c>
      <c r="C192" s="371">
        <f>IFERROR(POWER(10,INT(LOG(MAX(Hydros!B8:Z8,-MIN(Hydros!B8:Z8))))),"")</f>
        <v>1000000</v>
      </c>
      <c r="D192" s="374" t="s">
        <v>267</v>
      </c>
      <c r="E192" s="375"/>
      <c r="F192" s="373" t="str">
        <f t="shared" si="453"/>
        <v xml:space="preserve">Spline </v>
      </c>
      <c r="G192" s="360" t="str">
        <f>IFERROR(CONCATENATE(ROUND($B192+Hydros!B8/$C192,3),",",G$186," "),"")</f>
        <v xml:space="preserve">11.57,0 </v>
      </c>
      <c r="H192" s="360" t="str">
        <f>IFERROR(CONCATENATE(ROUND($B192+Hydros!C8/$C192,3),",",H$186," "),"")</f>
        <v xml:space="preserve">12.035,0.5 </v>
      </c>
      <c r="I192" s="360" t="str">
        <f>IFERROR(CONCATENATE(ROUND($B192+Hydros!D8/$C192,3),",",I$186," "),"")</f>
        <v xml:space="preserve">12.31,1 </v>
      </c>
      <c r="J192" s="360" t="str">
        <f>IFERROR(CONCATENATE(ROUND($B192+Hydros!E8/$C192,3),",",J$186," "),"")</f>
        <v xml:space="preserve">12.501,1.5 </v>
      </c>
      <c r="K192" s="360" t="str">
        <f>IFERROR(CONCATENATE(ROUND($B192+Hydros!F8/$C192,3),",",K$186," "),"")</f>
        <v xml:space="preserve">12.642,2 </v>
      </c>
      <c r="L192" s="360" t="str">
        <f>IFERROR(CONCATENATE(ROUND($B192+Hydros!G8/$C192,3),",",L$186," "),"")</f>
        <v xml:space="preserve">13.008,4 </v>
      </c>
      <c r="M192" s="360" t="str">
        <f>IFERROR(CONCATENATE(ROUND($B192+Hydros!H8/$C192,3),",",M$186," "),"")</f>
        <v xml:space="preserve">13.241,6 </v>
      </c>
      <c r="N192" s="360" t="str">
        <f>IFERROR(CONCATENATE(ROUND($B192+Hydros!I8/$C192,3),",",N$186," "),"")</f>
        <v xml:space="preserve">13.585,8 </v>
      </c>
      <c r="O192" s="360" t="str">
        <f>IFERROR(CONCATENATE(ROUND($B192+Hydros!J8/$C192,3),",",O$186," "),"")</f>
        <v xml:space="preserve">13.911,9.7 </v>
      </c>
      <c r="P192" s="360" t="str">
        <f>IFERROR(CONCATENATE(ROUND($B192+Hydros!K8/$C192,3),",",P$186," "),"")</f>
        <v xml:space="preserve">13.959,10 </v>
      </c>
      <c r="Q192" s="360" t="str">
        <f>IFERROR(CONCATENATE(ROUND($B192+Hydros!L8/$C192,3),",",Q$186," "),"")</f>
        <v xml:space="preserve">14.243,12 </v>
      </c>
      <c r="R192" s="360" t="str">
        <f>IFERROR(CONCATENATE(ROUND($B192+Hydros!M8/$C192,3),",",R$186," "),"")</f>
        <v xml:space="preserve">14.386,13 </v>
      </c>
      <c r="S192" s="360" t="str">
        <f>IFERROR(CONCATENATE(ROUND($B192+Hydros!N8/$C192,3),",",S$186," "),"")</f>
        <v/>
      </c>
      <c r="T192" s="360" t="str">
        <f>IFERROR(CONCATENATE(ROUND($B192+Hydros!O8/$C192,3),",",T$186," "),"")</f>
        <v/>
      </c>
      <c r="U192" s="360" t="str">
        <f>IFERROR(CONCATENATE(ROUND($B192+Hydros!P8/$C192,3),",",U$186," "),"")</f>
        <v/>
      </c>
      <c r="V192" s="360" t="str">
        <f>IFERROR(CONCATENATE(ROUND($B192+Hydros!Q8/$C192,3),",",V$186," "),"")</f>
        <v/>
      </c>
      <c r="W192" s="360" t="str">
        <f>IFERROR(CONCATENATE(ROUND($B192+Hydros!R8/$C192,3),",",W$186," "),"")</f>
        <v/>
      </c>
      <c r="X192" s="360" t="str">
        <f>IFERROR(CONCATENATE(ROUND($B192+Hydros!S8/$C192,3),",",X$186," "),"")</f>
        <v/>
      </c>
      <c r="Y192" s="360" t="str">
        <f>IFERROR(CONCATENATE(ROUND($B192+Hydros!T8/$C192,3),",",Y$186," "),"")</f>
        <v/>
      </c>
      <c r="Z192" s="360" t="str">
        <f>IFERROR(CONCATENATE(ROUND($B192+Hydros!U8/$C192,3),",",Z$186," "),"")</f>
        <v/>
      </c>
      <c r="AA192" s="360" t="str">
        <f>IFERROR(CONCATENATE(ROUND($B192+Hydros!V8/$C192,3),",",AA$186," "),"")</f>
        <v/>
      </c>
      <c r="AB192" s="360" t="str">
        <f>IFERROR(CONCATENATE(ROUND($B192+Hydros!W8/$C192,3),",",AB$186," "),"")</f>
        <v/>
      </c>
      <c r="AC192" s="360" t="str">
        <f>IFERROR(CONCATENATE(ROUND($B192+Hydros!X8/$C192,3),",",AC$186," "),"")</f>
        <v/>
      </c>
      <c r="AD192" s="360" t="str">
        <f>IFERROR(CONCATENATE(ROUND($B192+Hydros!Y8/$C192,3),",",AD$186," "),"")</f>
        <v/>
      </c>
      <c r="AE192" s="364" t="str">
        <f>IFERROR(CONCATENATE(ROUND($B192+Hydros!Z8/$C192,3),",",AE$186," "),"")</f>
        <v/>
      </c>
    </row>
    <row r="193" spans="1:31" x14ac:dyDescent="0.25">
      <c r="A193" s="358" t="str">
        <f>IF(MIN(Hydros!C9:AA9)&lt;0,"-","+")</f>
        <v>+</v>
      </c>
      <c r="B193" s="370">
        <f>IF(MIN(Hydros!C9:AA9)&lt;0,10,0)</f>
        <v>0</v>
      </c>
      <c r="C193" s="371">
        <f>IFERROR(POWER(10,INT(LOG(MAX(Hydros!B9:Z9,-MIN(Hydros!B9:Z9))))),"")</f>
        <v>10000</v>
      </c>
      <c r="D193" s="374" t="s">
        <v>50</v>
      </c>
      <c r="E193" s="375"/>
      <c r="F193" s="373" t="str">
        <f t="shared" si="453"/>
        <v xml:space="preserve">Spline </v>
      </c>
      <c r="G193" s="360" t="str">
        <f>IFERROR(CONCATENATE(ROUND($B193+Hydros!B9/$C193,3),",",G$186," "),"")</f>
        <v xml:space="preserve">0,0 </v>
      </c>
      <c r="H193" s="360" t="str">
        <f>IFERROR(CONCATENATE(ROUND($B193+Hydros!C9/$C193,3),",",H$186," "),"")</f>
        <v xml:space="preserve">0.098,0.5 </v>
      </c>
      <c r="I193" s="360" t="str">
        <f>IFERROR(CONCATENATE(ROUND($B193+Hydros!D9/$C193,3),",",I$186," "),"")</f>
        <v xml:space="preserve">0.206,1 </v>
      </c>
      <c r="J193" s="360" t="str">
        <f>IFERROR(CONCATENATE(ROUND($B193+Hydros!E9/$C193,3),",",J$186," "),"")</f>
        <v xml:space="preserve">0.319,1.5 </v>
      </c>
      <c r="K193" s="360" t="str">
        <f>IFERROR(CONCATENATE(ROUND($B193+Hydros!F9/$C193,3),",",K$186," "),"")</f>
        <v xml:space="preserve">0.437,2 </v>
      </c>
      <c r="L193" s="360" t="str">
        <f>IFERROR(CONCATENATE(ROUND($B193+Hydros!G9/$C193,3),",",L$186," "),"")</f>
        <v xml:space="preserve">0.929,4 </v>
      </c>
      <c r="M193" s="360" t="str">
        <f>IFERROR(CONCATENATE(ROUND($B193+Hydros!H9/$C193,3),",",M$186," "),"")</f>
        <v xml:space="preserve">1.442,6 </v>
      </c>
      <c r="N193" s="360" t="str">
        <f>IFERROR(CONCATENATE(ROUND($B193+Hydros!I9/$C193,3),",",N$186," "),"")</f>
        <v xml:space="preserve">1.969,8 </v>
      </c>
      <c r="O193" s="360" t="str">
        <f>IFERROR(CONCATENATE(ROUND($B193+Hydros!J9/$C193,3),",",O$186," "),"")</f>
        <v xml:space="preserve">2.434,9.7 </v>
      </c>
      <c r="P193" s="360" t="str">
        <f>IFERROR(CONCATENATE(ROUND($B193+Hydros!K9/$C193,3),",",P$186," "),"")</f>
        <v xml:space="preserve">2.519,10 </v>
      </c>
      <c r="Q193" s="360" t="str">
        <f>IFERROR(CONCATENATE(ROUND($B193+Hydros!L9/$C193,3),",",Q$186," "),"")</f>
        <v xml:space="preserve">3.085,12 </v>
      </c>
      <c r="R193" s="360" t="str">
        <f>IFERROR(CONCATENATE(ROUND($B193+Hydros!M9/$C193,3),",",R$186," "),"")</f>
        <v xml:space="preserve">3.374,13 </v>
      </c>
      <c r="S193" s="360" t="str">
        <f>IFERROR(CONCATENATE(ROUND($B193+Hydros!N9/$C193,3),",",S$186," "),"")</f>
        <v/>
      </c>
      <c r="T193" s="360" t="str">
        <f>IFERROR(CONCATENATE(ROUND($B193+Hydros!O9/$C193,3),",",T$186," "),"")</f>
        <v/>
      </c>
      <c r="U193" s="360" t="str">
        <f>IFERROR(CONCATENATE(ROUND($B193+Hydros!P9/$C193,3),",",U$186," "),"")</f>
        <v/>
      </c>
      <c r="V193" s="360" t="str">
        <f>IFERROR(CONCATENATE(ROUND($B193+Hydros!Q9/$C193,3),",",V$186," "),"")</f>
        <v/>
      </c>
      <c r="W193" s="360" t="str">
        <f>IFERROR(CONCATENATE(ROUND($B193+Hydros!R9/$C193,3),",",W$186," "),"")</f>
        <v/>
      </c>
      <c r="X193" s="360" t="str">
        <f>IFERROR(CONCATENATE(ROUND($B193+Hydros!S9/$C193,3),",",X$186," "),"")</f>
        <v/>
      </c>
      <c r="Y193" s="360" t="str">
        <f>IFERROR(CONCATENATE(ROUND($B193+Hydros!T9/$C193,3),",",Y$186," "),"")</f>
        <v/>
      </c>
      <c r="Z193" s="360" t="str">
        <f>IFERROR(CONCATENATE(ROUND($B193+Hydros!U9/$C193,3),",",Z$186," "),"")</f>
        <v/>
      </c>
      <c r="AA193" s="360" t="str">
        <f>IFERROR(CONCATENATE(ROUND($B193+Hydros!V9/$C193,3),",",AA$186," "),"")</f>
        <v/>
      </c>
      <c r="AB193" s="360" t="str">
        <f>IFERROR(CONCATENATE(ROUND($B193+Hydros!W9/$C193,3),",",AB$186," "),"")</f>
        <v/>
      </c>
      <c r="AC193" s="360" t="str">
        <f>IFERROR(CONCATENATE(ROUND($B193+Hydros!X9/$C193,3),",",AC$186," "),"")</f>
        <v/>
      </c>
      <c r="AD193" s="360" t="str">
        <f>IFERROR(CONCATENATE(ROUND($B193+Hydros!Y9/$C193,3),",",AD$186," "),"")</f>
        <v/>
      </c>
      <c r="AE193" s="364" t="str">
        <f>IFERROR(CONCATENATE(ROUND($B193+Hydros!Z9/$C193,3),",",AE$186," "),"")</f>
        <v/>
      </c>
    </row>
    <row r="194" spans="1:31" x14ac:dyDescent="0.25">
      <c r="A194" s="358" t="str">
        <f>IF(MIN(Hydros!C10:AA10)&lt;0,"-","+")</f>
        <v>+</v>
      </c>
      <c r="B194" s="370">
        <f>IF(MIN(Hydros!C10:AA10)&lt;0,10,0)</f>
        <v>0</v>
      </c>
      <c r="C194" s="371">
        <f>IFERROR(POWER(10,INT(LOG(MAX(Hydros!B10:Z10,-MIN(Hydros!B10:Z10))))),"")</f>
        <v>10000</v>
      </c>
      <c r="D194" s="374" t="s">
        <v>52</v>
      </c>
      <c r="E194" s="375"/>
      <c r="F194" s="373" t="str">
        <f t="shared" si="453"/>
        <v xml:space="preserve">Spline </v>
      </c>
      <c r="G194" s="360" t="str">
        <f>IFERROR(CONCATENATE(ROUND($B194+Hydros!B10/$C194,3),",",G$186," "),"")</f>
        <v xml:space="preserve">0,0 </v>
      </c>
      <c r="H194" s="360" t="str">
        <f>IFERROR(CONCATENATE(ROUND($B194+Hydros!C10/$C194,3),",",H$186," "),"")</f>
        <v xml:space="preserve">0.101,0.5 </v>
      </c>
      <c r="I194" s="360" t="str">
        <f>IFERROR(CONCATENATE(ROUND($B194+Hydros!D10/$C194,3),",",I$186," "),"")</f>
        <v xml:space="preserve">0.212,1 </v>
      </c>
      <c r="J194" s="360" t="str">
        <f>IFERROR(CONCATENATE(ROUND($B194+Hydros!E10/$C194,3),",",J$186," "),"")</f>
        <v xml:space="preserve">0.329,1.5 </v>
      </c>
      <c r="K194" s="360" t="str">
        <f>IFERROR(CONCATENATE(ROUND($B194+Hydros!F10/$C194,3),",",K$186," "),"")</f>
        <v xml:space="preserve">0.451,2 </v>
      </c>
      <c r="L194" s="360" t="str">
        <f>IFERROR(CONCATENATE(ROUND($B194+Hydros!G10/$C194,3),",",L$186," "),"")</f>
        <v xml:space="preserve">0.958,4 </v>
      </c>
      <c r="M194" s="360" t="str">
        <f>IFERROR(CONCATENATE(ROUND($B194+Hydros!H10/$C194,3),",",M$186," "),"")</f>
        <v xml:space="preserve">1.487,6 </v>
      </c>
      <c r="N194" s="360" t="str">
        <f>IFERROR(CONCATENATE(ROUND($B194+Hydros!I10/$C194,3),",",N$186," "),"")</f>
        <v xml:space="preserve">2.03,8 </v>
      </c>
      <c r="O194" s="360" t="str">
        <f>IFERROR(CONCATENATE(ROUND($B194+Hydros!J10/$C194,3),",",O$186," "),"")</f>
        <v xml:space="preserve">2.51,9.7 </v>
      </c>
      <c r="P194" s="360" t="str">
        <f>IFERROR(CONCATENATE(ROUND($B194+Hydros!K10/$C194,3),",",P$186," "),"")</f>
        <v xml:space="preserve">2.598,10 </v>
      </c>
      <c r="Q194" s="360" t="str">
        <f>IFERROR(CONCATENATE(ROUND($B194+Hydros!L10/$C194,3),",",Q$186," "),"")</f>
        <v xml:space="preserve">3.181,12 </v>
      </c>
      <c r="R194" s="360" t="str">
        <f>IFERROR(CONCATENATE(ROUND($B194+Hydros!M10/$C194,3),",",R$186," "),"")</f>
        <v xml:space="preserve">3.48,13 </v>
      </c>
      <c r="S194" s="360" t="str">
        <f>IFERROR(CONCATENATE(ROUND($B194+Hydros!N10/$C194,3),",",S$186," "),"")</f>
        <v/>
      </c>
      <c r="T194" s="360" t="str">
        <f>IFERROR(CONCATENATE(ROUND($B194+Hydros!O10/$C194,3),",",T$186," "),"")</f>
        <v/>
      </c>
      <c r="U194" s="360" t="str">
        <f>IFERROR(CONCATENATE(ROUND($B194+Hydros!P10/$C194,3),",",U$186," "),"")</f>
        <v/>
      </c>
      <c r="V194" s="360" t="str">
        <f>IFERROR(CONCATENATE(ROUND($B194+Hydros!Q10/$C194,3),",",V$186," "),"")</f>
        <v/>
      </c>
      <c r="W194" s="360" t="str">
        <f>IFERROR(CONCATENATE(ROUND($B194+Hydros!R10/$C194,3),",",W$186," "),"")</f>
        <v/>
      </c>
      <c r="X194" s="360" t="str">
        <f>IFERROR(CONCATENATE(ROUND($B194+Hydros!S10/$C194,3),",",X$186," "),"")</f>
        <v/>
      </c>
      <c r="Y194" s="360" t="str">
        <f>IFERROR(CONCATENATE(ROUND($B194+Hydros!T10/$C194,3),",",Y$186," "),"")</f>
        <v/>
      </c>
      <c r="Z194" s="360" t="str">
        <f>IFERROR(CONCATENATE(ROUND($B194+Hydros!U10/$C194,3),",",Z$186," "),"")</f>
        <v/>
      </c>
      <c r="AA194" s="360" t="str">
        <f>IFERROR(CONCATENATE(ROUND($B194+Hydros!V10/$C194,3),",",AA$186," "),"")</f>
        <v/>
      </c>
      <c r="AB194" s="360" t="str">
        <f>IFERROR(CONCATENATE(ROUND($B194+Hydros!W10/$C194,3),",",AB$186," "),"")</f>
        <v/>
      </c>
      <c r="AC194" s="360" t="str">
        <f>IFERROR(CONCATENATE(ROUND($B194+Hydros!X10/$C194,3),",",AC$186," "),"")</f>
        <v/>
      </c>
      <c r="AD194" s="360" t="str">
        <f>IFERROR(CONCATENATE(ROUND($B194+Hydros!Y10/$C194,3),",",AD$186," "),"")</f>
        <v/>
      </c>
      <c r="AE194" s="364" t="str">
        <f>IFERROR(CONCATENATE(ROUND($B194+Hydros!Z10/$C194,3),",",AE$186," "),"")</f>
        <v/>
      </c>
    </row>
    <row r="195" spans="1:31" x14ac:dyDescent="0.25">
      <c r="A195" s="358" t="str">
        <f>IF(MIN(Hydros!C11:AA11)&lt;0,"-","+")</f>
        <v>+</v>
      </c>
      <c r="B195" s="370">
        <f>IF(MIN(Hydros!C11:AA11)&lt;0,10,0)</f>
        <v>0</v>
      </c>
      <c r="C195" s="371">
        <f>IFERROR(POWER(10,INT(LOG(MAX(Hydros!B11:Z11,-MIN(Hydros!B11:Z11))))),"")</f>
        <v>100000</v>
      </c>
      <c r="D195" s="374" t="s">
        <v>268</v>
      </c>
      <c r="E195" s="375"/>
      <c r="F195" s="373" t="str">
        <f t="shared" si="453"/>
        <v xml:space="preserve">Spline </v>
      </c>
      <c r="G195" s="360" t="str">
        <f>IFERROR(CONCATENATE(ROUND($B195+Hydros!B11/$C195,3),",",G$186," "),"")</f>
        <v xml:space="preserve">0,0 </v>
      </c>
      <c r="H195" s="360" t="str">
        <f>IFERROR(CONCATENATE(ROUND($B195+Hydros!C11/$C195,3),",",H$186," "),"")</f>
        <v xml:space="preserve">0.003,0.5 </v>
      </c>
      <c r="I195" s="360" t="str">
        <f>IFERROR(CONCATENATE(ROUND($B195+Hydros!D11/$C195,3),",",I$186," "),"")</f>
        <v xml:space="preserve">0.011,1 </v>
      </c>
      <c r="J195" s="360" t="str">
        <f>IFERROR(CONCATENATE(ROUND($B195+Hydros!E11/$C195,3),",",J$186," "),"")</f>
        <v xml:space="preserve">0.025,1.5 </v>
      </c>
      <c r="K195" s="360" t="str">
        <f>IFERROR(CONCATENATE(ROUND($B195+Hydros!F11/$C195,3),",",K$186," "),"")</f>
        <v xml:space="preserve">0.045,2 </v>
      </c>
      <c r="L195" s="360" t="str">
        <f>IFERROR(CONCATENATE(ROUND($B195+Hydros!G11/$C195,3),",",L$186," "),"")</f>
        <v xml:space="preserve">0.193,4 </v>
      </c>
      <c r="M195" s="360" t="str">
        <f>IFERROR(CONCATENATE(ROUND($B195+Hydros!H11/$C195,3),",",M$186," "),"")</f>
        <v xml:space="preserve">0.45,6 </v>
      </c>
      <c r="N195" s="360" t="str">
        <f>IFERROR(CONCATENATE(ROUND($B195+Hydros!I11/$C195,3),",",N$186," "),"")</f>
        <v xml:space="preserve">0.82,8 </v>
      </c>
      <c r="O195" s="360" t="str">
        <f>IFERROR(CONCATENATE(ROUND($B195+Hydros!J11/$C195,3),",",O$186," "),"")</f>
        <v xml:space="preserve">1.232,9.7 </v>
      </c>
      <c r="P195" s="360" t="str">
        <f>IFERROR(CONCATENATE(ROUND($B195+Hydros!K11/$C195,3),",",P$186," "),"")</f>
        <v xml:space="preserve">1.315,10 </v>
      </c>
      <c r="Q195" s="360" t="str">
        <f>IFERROR(CONCATENATE(ROUND($B195+Hydros!L11/$C195,3),",",Q$186," "),"")</f>
        <v xml:space="preserve">1.939,12 </v>
      </c>
      <c r="R195" s="360" t="str">
        <f>IFERROR(CONCATENATE(ROUND($B195+Hydros!M11/$C195,3),",",R$186," "),"")</f>
        <v xml:space="preserve">2.3,13 </v>
      </c>
      <c r="S195" s="360" t="str">
        <f>IFERROR(CONCATENATE(ROUND($B195+Hydros!N11/$C195,3),",",S$186," "),"")</f>
        <v/>
      </c>
      <c r="T195" s="360" t="str">
        <f>IFERROR(CONCATENATE(ROUND($B195+Hydros!O11/$C195,3),",",T$186," "),"")</f>
        <v/>
      </c>
      <c r="U195" s="360" t="str">
        <f>IFERROR(CONCATENATE(ROUND($B195+Hydros!P11/$C195,3),",",U$186," "),"")</f>
        <v/>
      </c>
      <c r="V195" s="360" t="str">
        <f>IFERROR(CONCATENATE(ROUND($B195+Hydros!Q11/$C195,3),",",V$186," "),"")</f>
        <v/>
      </c>
      <c r="W195" s="360" t="str">
        <f>IFERROR(CONCATENATE(ROUND($B195+Hydros!R11/$C195,3),",",W$186," "),"")</f>
        <v/>
      </c>
      <c r="X195" s="360" t="str">
        <f>IFERROR(CONCATENATE(ROUND($B195+Hydros!S11/$C195,3),",",X$186," "),"")</f>
        <v/>
      </c>
      <c r="Y195" s="360" t="str">
        <f>IFERROR(CONCATENATE(ROUND($B195+Hydros!T11/$C195,3),",",Y$186," "),"")</f>
        <v/>
      </c>
      <c r="Z195" s="360" t="str">
        <f>IFERROR(CONCATENATE(ROUND($B195+Hydros!U11/$C195,3),",",Z$186," "),"")</f>
        <v/>
      </c>
      <c r="AA195" s="360" t="str">
        <f>IFERROR(CONCATENATE(ROUND($B195+Hydros!V11/$C195,3),",",AA$186," "),"")</f>
        <v/>
      </c>
      <c r="AB195" s="360" t="str">
        <f>IFERROR(CONCATENATE(ROUND($B195+Hydros!W11/$C195,3),",",AB$186," "),"")</f>
        <v/>
      </c>
      <c r="AC195" s="360" t="str">
        <f>IFERROR(CONCATENATE(ROUND($B195+Hydros!X11/$C195,3),",",AC$186," "),"")</f>
        <v/>
      </c>
      <c r="AD195" s="360" t="str">
        <f>IFERROR(CONCATENATE(ROUND($B195+Hydros!Y11/$C195,3),",",AD$186," "),"")</f>
        <v/>
      </c>
      <c r="AE195" s="364" t="str">
        <f>IFERROR(CONCATENATE(ROUND($B195+Hydros!Z11/$C195,3),",",AE$186," "),"")</f>
        <v/>
      </c>
    </row>
    <row r="196" spans="1:31" x14ac:dyDescent="0.25">
      <c r="A196" s="358" t="str">
        <f>IF(MIN(Hydros!C12:AA12)&lt;0,"-","+")</f>
        <v>+</v>
      </c>
      <c r="B196" s="370">
        <f>IF(MIN(Hydros!C12:AA12)&lt;0,10,0)</f>
        <v>0</v>
      </c>
      <c r="C196" s="371">
        <f>IFERROR(POWER(10,INT(LOG(MAX(Hydros!B12:Z12,-MIN(Hydros!B12:Z12))))),"")</f>
        <v>10000</v>
      </c>
      <c r="D196" s="374" t="s">
        <v>269</v>
      </c>
      <c r="E196" s="375"/>
      <c r="F196" s="373" t="str">
        <f t="shared" si="453"/>
        <v xml:space="preserve">Spline </v>
      </c>
      <c r="G196" s="360" t="str">
        <f>IFERROR(CONCATENATE(ROUND($B196+Hydros!B12/$C196,3),",",G$186," "),"")</f>
        <v xml:space="preserve">0,0 </v>
      </c>
      <c r="H196" s="360" t="str">
        <f>IFERROR(CONCATENATE(ROUND($B196+Hydros!C12/$C196,3),",",H$186," "),"")</f>
        <v xml:space="preserve">0.568,0.5 </v>
      </c>
      <c r="I196" s="360" t="str">
        <f>IFERROR(CONCATENATE(ROUND($B196+Hydros!D12/$C196,3),",",I$186," "),"")</f>
        <v xml:space="preserve">1.153,1 </v>
      </c>
      <c r="J196" s="360" t="str">
        <f>IFERROR(CONCATENATE(ROUND($B196+Hydros!E12/$C196,3),",",J$186," "),"")</f>
        <v xml:space="preserve">1.733,1.5 </v>
      </c>
      <c r="K196" s="360" t="str">
        <f>IFERROR(CONCATENATE(ROUND($B196+Hydros!F12/$C196,3),",",K$186," "),"")</f>
        <v xml:space="preserve">2.316,2 </v>
      </c>
      <c r="L196" s="360" t="str">
        <f>IFERROR(CONCATENATE(ROUND($B196+Hydros!G12/$C196,3),",",L$186," "),"")</f>
        <v xml:space="preserve">4.469,4 </v>
      </c>
      <c r="M196" s="360" t="str">
        <f>IFERROR(CONCATENATE(ROUND($B196+Hydros!H12/$C196,3),",",M$186," "),"")</f>
        <v xml:space="preserve">6.184,6 </v>
      </c>
      <c r="N196" s="360" t="str">
        <f>IFERROR(CONCATENATE(ROUND($B196+Hydros!I12/$C196,3),",",N$186," "),"")</f>
        <v xml:space="preserve">7.231,8 </v>
      </c>
      <c r="O196" s="360" t="str">
        <f>IFERROR(CONCATENATE(ROUND($B196+Hydros!J12/$C196,3),",",O$186," "),"")</f>
        <v xml:space="preserve">7.434,9.7 </v>
      </c>
      <c r="P196" s="360" t="str">
        <f>IFERROR(CONCATENATE(ROUND($B196+Hydros!K12/$C196,3),",",P$186," "),"")</f>
        <v xml:space="preserve">7.372,10 </v>
      </c>
      <c r="Q196" s="360" t="str">
        <f>IFERROR(CONCATENATE(ROUND($B196+Hydros!L12/$C196,3),",",Q$186," "),"")</f>
        <v xml:space="preserve">7.049,12 </v>
      </c>
      <c r="R196" s="360" t="str">
        <f>IFERROR(CONCATENATE(ROUND($B196+Hydros!M12/$C196,3),",",R$186," "),"")</f>
        <v xml:space="preserve">6.81,13 </v>
      </c>
      <c r="S196" s="360" t="str">
        <f>IFERROR(CONCATENATE(ROUND($B196+Hydros!N12/$C196,3),",",S$186," "),"")</f>
        <v/>
      </c>
      <c r="T196" s="360" t="str">
        <f>IFERROR(CONCATENATE(ROUND($B196+Hydros!O12/$C196,3),",",T$186," "),"")</f>
        <v/>
      </c>
      <c r="U196" s="360" t="str">
        <f>IFERROR(CONCATENATE(ROUND($B196+Hydros!P12/$C196,3),",",U$186," "),"")</f>
        <v/>
      </c>
      <c r="V196" s="360" t="str">
        <f>IFERROR(CONCATENATE(ROUND($B196+Hydros!Q12/$C196,3),",",V$186," "),"")</f>
        <v/>
      </c>
      <c r="W196" s="360" t="str">
        <f>IFERROR(CONCATENATE(ROUND($B196+Hydros!R12/$C196,3),",",W$186," "),"")</f>
        <v/>
      </c>
      <c r="X196" s="360" t="str">
        <f>IFERROR(CONCATENATE(ROUND($B196+Hydros!S12/$C196,3),",",X$186," "),"")</f>
        <v/>
      </c>
      <c r="Y196" s="360" t="str">
        <f>IFERROR(CONCATENATE(ROUND($B196+Hydros!T12/$C196,3),",",Y$186," "),"")</f>
        <v/>
      </c>
      <c r="Z196" s="360" t="str">
        <f>IFERROR(CONCATENATE(ROUND($B196+Hydros!U12/$C196,3),",",Z$186," "),"")</f>
        <v/>
      </c>
      <c r="AA196" s="360" t="str">
        <f>IFERROR(CONCATENATE(ROUND($B196+Hydros!V12/$C196,3),",",AA$186," "),"")</f>
        <v/>
      </c>
      <c r="AB196" s="360" t="str">
        <f>IFERROR(CONCATENATE(ROUND($B196+Hydros!W12/$C196,3),",",AB$186," "),"")</f>
        <v/>
      </c>
      <c r="AC196" s="360" t="str">
        <f>IFERROR(CONCATENATE(ROUND($B196+Hydros!X12/$C196,3),",",AC$186," "),"")</f>
        <v/>
      </c>
      <c r="AD196" s="360" t="str">
        <f>IFERROR(CONCATENATE(ROUND($B196+Hydros!Y12/$C196,3),",",AD$186," "),"")</f>
        <v/>
      </c>
      <c r="AE196" s="364" t="str">
        <f>IFERROR(CONCATENATE(ROUND($B196+Hydros!Z12/$C196,3),",",AE$186," "),"")</f>
        <v/>
      </c>
    </row>
    <row r="197" spans="1:31" x14ac:dyDescent="0.25">
      <c r="A197" s="358" t="str">
        <f>IF(MIN(Hydros!C13:AA13)&lt;0,"-","+")</f>
        <v>+</v>
      </c>
      <c r="B197" s="370">
        <f>IF(MIN(Hydros!C13:AA13)&lt;0,10,0)</f>
        <v>0</v>
      </c>
      <c r="C197" s="371">
        <f>IFERROR(POWER(10,INT(LOG(MAX(Hydros!B13:Z13,-MIN(Hydros!B13:Z13))))),"")</f>
        <v>1000</v>
      </c>
      <c r="D197" s="374" t="s">
        <v>270</v>
      </c>
      <c r="E197" s="375"/>
      <c r="F197" s="373" t="str">
        <f t="shared" si="453"/>
        <v xml:space="preserve">Spline </v>
      </c>
      <c r="G197" s="360" t="str">
        <f>IFERROR(CONCATENATE(ROUND($B197+Hydros!B13/$C197,3),",",G$186," "),"")</f>
        <v/>
      </c>
      <c r="H197" s="360" t="str">
        <f>IFERROR(CONCATENATE(ROUND($B197+Hydros!C13/$C197,3),",",H$186," "),"")</f>
        <v xml:space="preserve">2.08,0.5 </v>
      </c>
      <c r="I197" s="360" t="str">
        <f>IFERROR(CONCATENATE(ROUND($B197+Hydros!D13/$C197,3),",",I$186," "),"")</f>
        <v xml:space="preserve">1.122,1 </v>
      </c>
      <c r="J197" s="360" t="str">
        <f>IFERROR(CONCATENATE(ROUND($B197+Hydros!E13/$C197,3),",",J$186," "),"")</f>
        <v xml:space="preserve">0.783,1.5 </v>
      </c>
      <c r="K197" s="360" t="str">
        <f>IFERROR(CONCATENATE(ROUND($B197+Hydros!F13/$C197,3),",",K$186," "),"")</f>
        <v xml:space="preserve">0.604,2 </v>
      </c>
      <c r="L197" s="360" t="str">
        <f>IFERROR(CONCATENATE(ROUND($B197+Hydros!G13/$C197,3),",",L$186," "),"")</f>
        <v xml:space="preserve">0.324,4 </v>
      </c>
      <c r="M197" s="360" t="str">
        <f>IFERROR(CONCATENATE(ROUND($B197+Hydros!H13/$C197,3),",",M$186," "),"")</f>
        <v xml:space="preserve">0.225,6 </v>
      </c>
      <c r="N197" s="360" t="str">
        <f>IFERROR(CONCATENATE(ROUND($B197+Hydros!I13/$C197,3),",",N$186," "),"")</f>
        <v xml:space="preserve">0.182,8 </v>
      </c>
      <c r="O197" s="360" t="str">
        <f>IFERROR(CONCATENATE(ROUND($B197+Hydros!J13/$C197,3),",",O$186," "),"")</f>
        <v xml:space="preserve">0.161,9.7 </v>
      </c>
      <c r="P197" s="360" t="str">
        <f>IFERROR(CONCATENATE(ROUND($B197+Hydros!K13/$C197,3),",",P$186," "),"")</f>
        <v xml:space="preserve">0.157,10 </v>
      </c>
      <c r="Q197" s="360" t="str">
        <f>IFERROR(CONCATENATE(ROUND($B197+Hydros!L13/$C197,3),",",Q$186," "),"")</f>
        <v xml:space="preserve">0.138,12 </v>
      </c>
      <c r="R197" s="360" t="str">
        <f>IFERROR(CONCATENATE(ROUND($B197+Hydros!M13/$C197,3),",",R$186," "),"")</f>
        <v xml:space="preserve">0.13,13 </v>
      </c>
      <c r="S197" s="360" t="str">
        <f>IFERROR(CONCATENATE(ROUND($B197+Hydros!N13/$C197,3),",",S$186," "),"")</f>
        <v/>
      </c>
      <c r="T197" s="360" t="str">
        <f>IFERROR(CONCATENATE(ROUND($B197+Hydros!O13/$C197,3),",",T$186," "),"")</f>
        <v/>
      </c>
      <c r="U197" s="360" t="str">
        <f>IFERROR(CONCATENATE(ROUND($B197+Hydros!P13/$C197,3),",",U$186," "),"")</f>
        <v/>
      </c>
      <c r="V197" s="360" t="str">
        <f>IFERROR(CONCATENATE(ROUND($B197+Hydros!Q13/$C197,3),",",V$186," "),"")</f>
        <v/>
      </c>
      <c r="W197" s="360" t="str">
        <f>IFERROR(CONCATENATE(ROUND($B197+Hydros!R13/$C197,3),",",W$186," "),"")</f>
        <v/>
      </c>
      <c r="X197" s="360" t="str">
        <f>IFERROR(CONCATENATE(ROUND($B197+Hydros!S13/$C197,3),",",X$186," "),"")</f>
        <v/>
      </c>
      <c r="Y197" s="360" t="str">
        <f>IFERROR(CONCATENATE(ROUND($B197+Hydros!T13/$C197,3),",",Y$186," "),"")</f>
        <v/>
      </c>
      <c r="Z197" s="360" t="str">
        <f>IFERROR(CONCATENATE(ROUND($B197+Hydros!U13/$C197,3),",",Z$186," "),"")</f>
        <v/>
      </c>
      <c r="AA197" s="360" t="str">
        <f>IFERROR(CONCATENATE(ROUND($B197+Hydros!V13/$C197,3),",",AA$186," "),"")</f>
        <v/>
      </c>
      <c r="AB197" s="360" t="str">
        <f>IFERROR(CONCATENATE(ROUND($B197+Hydros!W13/$C197,3),",",AB$186," "),"")</f>
        <v/>
      </c>
      <c r="AC197" s="360" t="str">
        <f>IFERROR(CONCATENATE(ROUND($B197+Hydros!X13/$C197,3),",",AC$186," "),"")</f>
        <v/>
      </c>
      <c r="AD197" s="360" t="str">
        <f>IFERROR(CONCATENATE(ROUND($B197+Hydros!Y13/$C197,3),",",AD$186," "),"")</f>
        <v/>
      </c>
      <c r="AE197" s="364" t="str">
        <f>IFERROR(CONCATENATE(ROUND($B197+Hydros!Z13/$C197,3),",",AE$186," "),"")</f>
        <v/>
      </c>
    </row>
    <row r="198" spans="1:31" x14ac:dyDescent="0.25">
      <c r="A198" s="358" t="str">
        <f>IF(MIN(Hydros!C14:AA14)&lt;0,"-","+")</f>
        <v>+</v>
      </c>
      <c r="B198" s="370">
        <f>IF(MIN(Hydros!C14:AA14)&lt;0,10,0)</f>
        <v>0</v>
      </c>
      <c r="C198" s="371">
        <f>IFERROR(POWER(10,INT(LOG(MAX(Hydros!B14:Z14,-MIN(Hydros!B14:Z14))))),"")</f>
        <v>10</v>
      </c>
      <c r="D198" s="374" t="s">
        <v>271</v>
      </c>
      <c r="E198" s="375"/>
      <c r="F198" s="373" t="str">
        <f t="shared" si="453"/>
        <v xml:space="preserve">Spline </v>
      </c>
      <c r="G198" s="360" t="str">
        <f>IFERROR(CONCATENATE(ROUND($B198+Hydros!B14/$C198,3),",",G$186," "),"")</f>
        <v/>
      </c>
      <c r="H198" s="360" t="str">
        <f>IFERROR(CONCATENATE(ROUND($B198+Hydros!C14/$C198,3),",",H$186," "),"")</f>
        <v xml:space="preserve">6.05,0.5 </v>
      </c>
      <c r="I198" s="360" t="str">
        <f>IFERROR(CONCATENATE(ROUND($B198+Hydros!D14/$C198,3),",",I$186," "),"")</f>
        <v xml:space="preserve">3.292,1 </v>
      </c>
      <c r="J198" s="360" t="str">
        <f>IFERROR(CONCATENATE(ROUND($B198+Hydros!E14/$C198,3),",",J$186," "),"")</f>
        <v xml:space="preserve">2.318,1.5 </v>
      </c>
      <c r="K198" s="360" t="str">
        <f>IFERROR(CONCATENATE(ROUND($B198+Hydros!F14/$C198,3),",",K$186," "),"")</f>
        <v xml:space="preserve">1.785,2 </v>
      </c>
      <c r="L198" s="360" t="str">
        <f>IFERROR(CONCATENATE(ROUND($B198+Hydros!G14/$C198,3),",",L$186," "),"")</f>
        <v xml:space="preserve">0.925,4 </v>
      </c>
      <c r="M198" s="360" t="str">
        <f>IFERROR(CONCATENATE(ROUND($B198+Hydros!H14/$C198,3),",",M$186," "),"")</f>
        <v xml:space="preserve">0.624,6 </v>
      </c>
      <c r="N198" s="360" t="str">
        <f>IFERROR(CONCATENATE(ROUND($B198+Hydros!I14/$C198,3),",",N$186," "),"")</f>
        <v xml:space="preserve">0.479,8 </v>
      </c>
      <c r="O198" s="360" t="str">
        <f>IFERROR(CONCATENATE(ROUND($B198+Hydros!J14/$C198,3),",",O$186," "),"")</f>
        <v xml:space="preserve">0.405,9.7 </v>
      </c>
      <c r="P198" s="360" t="str">
        <f>IFERROR(CONCATENATE(ROUND($B198+Hydros!K14/$C198,3),",",P$186," "),"")</f>
        <v xml:space="preserve">0.394,10 </v>
      </c>
      <c r="Q198" s="360" t="str">
        <f>IFERROR(CONCATENATE(ROUND($B198+Hydros!L14/$C198,3),",",Q$186," "),"")</f>
        <v xml:space="preserve">0.337,12 </v>
      </c>
      <c r="R198" s="360" t="str">
        <f>IFERROR(CONCATENATE(ROUND($B198+Hydros!M14/$C198,3),",",R$186," "),"")</f>
        <v xml:space="preserve">0.315,13 </v>
      </c>
      <c r="S198" s="360" t="str">
        <f>IFERROR(CONCATENATE(ROUND($B198+Hydros!N14/$C198,3),",",S$186," "),"")</f>
        <v/>
      </c>
      <c r="T198" s="360" t="str">
        <f>IFERROR(CONCATENATE(ROUND($B198+Hydros!O14/$C198,3),",",T$186," "),"")</f>
        <v/>
      </c>
      <c r="U198" s="360" t="str">
        <f>IFERROR(CONCATENATE(ROUND($B198+Hydros!P14/$C198,3),",",U$186," "),"")</f>
        <v/>
      </c>
      <c r="V198" s="360" t="str">
        <f>IFERROR(CONCATENATE(ROUND($B198+Hydros!Q14/$C198,3),",",V$186," "),"")</f>
        <v/>
      </c>
      <c r="W198" s="360" t="str">
        <f>IFERROR(CONCATENATE(ROUND($B198+Hydros!R14/$C198,3),",",W$186," "),"")</f>
        <v/>
      </c>
      <c r="X198" s="360" t="str">
        <f>IFERROR(CONCATENATE(ROUND($B198+Hydros!S14/$C198,3),",",X$186," "),"")</f>
        <v/>
      </c>
      <c r="Y198" s="360" t="str">
        <f>IFERROR(CONCATENATE(ROUND($B198+Hydros!T14/$C198,3),",",Y$186," "),"")</f>
        <v/>
      </c>
      <c r="Z198" s="360" t="str">
        <f>IFERROR(CONCATENATE(ROUND($B198+Hydros!U14/$C198,3),",",Z$186," "),"")</f>
        <v/>
      </c>
      <c r="AA198" s="360" t="str">
        <f>IFERROR(CONCATENATE(ROUND($B198+Hydros!V14/$C198,3),",",AA$186," "),"")</f>
        <v/>
      </c>
      <c r="AB198" s="360" t="str">
        <f>IFERROR(CONCATENATE(ROUND($B198+Hydros!W14/$C198,3),",",AB$186," "),"")</f>
        <v/>
      </c>
      <c r="AC198" s="360" t="str">
        <f>IFERROR(CONCATENATE(ROUND($B198+Hydros!X14/$C198,3),",",AC$186," "),"")</f>
        <v/>
      </c>
      <c r="AD198" s="360" t="str">
        <f>IFERROR(CONCATENATE(ROUND($B198+Hydros!Y14/$C198,3),",",AD$186," "),"")</f>
        <v/>
      </c>
      <c r="AE198" s="364" t="str">
        <f>IFERROR(CONCATENATE(ROUND($B198+Hydros!Z14/$C198,3),",",AE$186," "),"")</f>
        <v/>
      </c>
    </row>
    <row r="199" spans="1:31" x14ac:dyDescent="0.25">
      <c r="A199" s="358" t="str">
        <f>IF(MIN(Hydros!C15:AA15)&lt;0,"-","+")</f>
        <v>+</v>
      </c>
      <c r="B199" s="370">
        <f>IF(MIN(Hydros!C15:AA15)&lt;0,10,0)</f>
        <v>0</v>
      </c>
      <c r="C199" s="371">
        <f>IFERROR(POWER(10,INT(LOG(MAX(Hydros!B15:Z15,-MIN(Hydros!B15:Z15))))),"")</f>
        <v>1</v>
      </c>
      <c r="D199" s="374" t="s">
        <v>65</v>
      </c>
      <c r="E199" s="375"/>
      <c r="F199" s="373" t="str">
        <f t="shared" si="453"/>
        <v xml:space="preserve">Spline </v>
      </c>
      <c r="G199" s="360" t="str">
        <f>IFERROR(CONCATENATE(ROUND($B199+Hydros!B15/$C199,3),",",G$186," "),"")</f>
        <v/>
      </c>
      <c r="H199" s="360" t="str">
        <f>IFERROR(CONCATENATE(ROUND($B199+Hydros!C15/$C199,3),",",H$186," "),"")</f>
        <v xml:space="preserve">0.256,0.5 </v>
      </c>
      <c r="I199" s="360" t="str">
        <f>IFERROR(CONCATENATE(ROUND($B199+Hydros!D15/$C199,3),",",I$186," "),"")</f>
        <v xml:space="preserve">0.517,1 </v>
      </c>
      <c r="J199" s="360" t="str">
        <f>IFERROR(CONCATENATE(ROUND($B199+Hydros!E15/$C199,3),",",J$186," "),"")</f>
        <v xml:space="preserve">0.778,1.5 </v>
      </c>
      <c r="K199" s="360" t="str">
        <f>IFERROR(CONCATENATE(ROUND($B199+Hydros!F15/$C199,3),",",K$186," "),"")</f>
        <v xml:space="preserve">1.04,2 </v>
      </c>
      <c r="L199" s="360" t="str">
        <f>IFERROR(CONCATENATE(ROUND($B199+Hydros!G15/$C199,3),",",L$186," "),"")</f>
        <v xml:space="preserve">2.082,4 </v>
      </c>
      <c r="M199" s="360" t="str">
        <f>IFERROR(CONCATENATE(ROUND($B199+Hydros!H15/$C199,3),",",M$186," "),"")</f>
        <v xml:space="preserve">3.122,6 </v>
      </c>
      <c r="N199" s="360" t="str">
        <f>IFERROR(CONCATENATE(ROUND($B199+Hydros!I15/$C199,3),",",N$186," "),"")</f>
        <v xml:space="preserve">4.164,8 </v>
      </c>
      <c r="O199" s="360" t="str">
        <f>IFERROR(CONCATENATE(ROUND($B199+Hydros!J15/$C199,3),",",O$186," "),"")</f>
        <v xml:space="preserve">5.06,9.7 </v>
      </c>
      <c r="P199" s="360" t="str">
        <f>IFERROR(CONCATENATE(ROUND($B199+Hydros!K15/$C199,3),",",P$186," "),"")</f>
        <v xml:space="preserve">5.219,10 </v>
      </c>
      <c r="Q199" s="360" t="str">
        <f>IFERROR(CONCATENATE(ROUND($B199+Hydros!L15/$C199,3),",",Q$186," "),"")</f>
        <v xml:space="preserve">6.283,12 </v>
      </c>
      <c r="R199" s="360" t="str">
        <f>IFERROR(CONCATENATE(ROUND($B199+Hydros!M15/$C199,3),",",R$186," "),"")</f>
        <v xml:space="preserve">6.816,13 </v>
      </c>
      <c r="S199" s="360" t="str">
        <f>IFERROR(CONCATENATE(ROUND($B199+Hydros!N15/$C199,3),",",S$186," "),"")</f>
        <v/>
      </c>
      <c r="T199" s="360" t="str">
        <f>IFERROR(CONCATENATE(ROUND($B199+Hydros!O15/$C199,3),",",T$186," "),"")</f>
        <v/>
      </c>
      <c r="U199" s="360" t="str">
        <f>IFERROR(CONCATENATE(ROUND($B199+Hydros!P15/$C199,3),",",U$186," "),"")</f>
        <v/>
      </c>
      <c r="V199" s="360" t="str">
        <f>IFERROR(CONCATENATE(ROUND($B199+Hydros!Q15/$C199,3),",",V$186," "),"")</f>
        <v/>
      </c>
      <c r="W199" s="360" t="str">
        <f>IFERROR(CONCATENATE(ROUND($B199+Hydros!R15/$C199,3),",",W$186," "),"")</f>
        <v/>
      </c>
      <c r="X199" s="360" t="str">
        <f>IFERROR(CONCATENATE(ROUND($B199+Hydros!S15/$C199,3),",",X$186," "),"")</f>
        <v/>
      </c>
      <c r="Y199" s="360" t="str">
        <f>IFERROR(CONCATENATE(ROUND($B199+Hydros!T15/$C199,3),",",Y$186," "),"")</f>
        <v/>
      </c>
      <c r="Z199" s="360" t="str">
        <f>IFERROR(CONCATENATE(ROUND($B199+Hydros!U15/$C199,3),",",Z$186," "),"")</f>
        <v/>
      </c>
      <c r="AA199" s="360" t="str">
        <f>IFERROR(CONCATENATE(ROUND($B199+Hydros!V15/$C199,3),",",AA$186," "),"")</f>
        <v/>
      </c>
      <c r="AB199" s="360" t="str">
        <f>IFERROR(CONCATENATE(ROUND($B199+Hydros!W15/$C199,3),",",AB$186," "),"")</f>
        <v/>
      </c>
      <c r="AC199" s="360" t="str">
        <f>IFERROR(CONCATENATE(ROUND($B199+Hydros!X15/$C199,3),",",AC$186," "),"")</f>
        <v/>
      </c>
      <c r="AD199" s="360" t="str">
        <f>IFERROR(CONCATENATE(ROUND($B199+Hydros!Y15/$C199,3),",",AD$186," "),"")</f>
        <v/>
      </c>
      <c r="AE199" s="364" t="str">
        <f>IFERROR(CONCATENATE(ROUND($B199+Hydros!Z15/$C199,3),",",AE$186," "),"")</f>
        <v/>
      </c>
    </row>
    <row r="200" spans="1:31" x14ac:dyDescent="0.25">
      <c r="A200" s="358" t="str">
        <f>IF(MIN(Hydros!C16:AA16)&lt;0,"-","+")</f>
        <v>+</v>
      </c>
      <c r="B200" s="370">
        <v>0</v>
      </c>
      <c r="C200" s="371">
        <f>IFERROR(POWER(10,INT(LOG(MAX(Hydros!B16:Z16,-MIN(Hydros!B16:Z16))))),"")</f>
        <v>10</v>
      </c>
      <c r="D200" s="374" t="s">
        <v>272</v>
      </c>
      <c r="E200" s="375"/>
      <c r="F200" s="373" t="str">
        <f t="shared" si="453"/>
        <v xml:space="preserve">Spline </v>
      </c>
      <c r="G200" s="360" t="str">
        <f>IFERROR(CONCATENATE(ROUND($B200+Hydros!B16/$C200,3),",",G$186," "),"")</f>
        <v/>
      </c>
      <c r="H200" s="360" t="str">
        <f>IFERROR(CONCATENATE(ROUND($B200+Hydros!C16/$C200,3),",",H$186," "),"")</f>
        <v xml:space="preserve">6.075,0.5 </v>
      </c>
      <c r="I200" s="360" t="str">
        <f>IFERROR(CONCATENATE(ROUND($B200+Hydros!D16/$C200,3),",",I$186," "),"")</f>
        <v xml:space="preserve">3.344,1 </v>
      </c>
      <c r="J200" s="360" t="str">
        <f>IFERROR(CONCATENATE(ROUND($B200+Hydros!E16/$C200,3),",",J$186," "),"")</f>
        <v xml:space="preserve">2.396,1.5 </v>
      </c>
      <c r="K200" s="360" t="str">
        <f>IFERROR(CONCATENATE(ROUND($B200+Hydros!F16/$C200,3),",",K$186," "),"")</f>
        <v xml:space="preserve">1.889,2 </v>
      </c>
      <c r="L200" s="360" t="str">
        <f>IFERROR(CONCATENATE(ROUND($B200+Hydros!G16/$C200,3),",",L$186," "),"")</f>
        <v xml:space="preserve">1.133,4 </v>
      </c>
      <c r="M200" s="360" t="str">
        <f>IFERROR(CONCATENATE(ROUND($B200+Hydros!H16/$C200,3),",",M$186," "),"")</f>
        <v xml:space="preserve">0.937,6 </v>
      </c>
      <c r="N200" s="360" t="str">
        <f>IFERROR(CONCATENATE(ROUND($B200+Hydros!I16/$C200,3),",",N$186," "),"")</f>
        <v xml:space="preserve">0.896,8 </v>
      </c>
      <c r="O200" s="360" t="str">
        <f>IFERROR(CONCATENATE(ROUND($B200+Hydros!J16/$C200,3),",",O$186," "),"")</f>
        <v xml:space="preserve">0.911,9.7 </v>
      </c>
      <c r="P200" s="360" t="str">
        <f>IFERROR(CONCATENATE(ROUND($B200+Hydros!K16/$C200,3),",",P$186," "),"")</f>
        <v xml:space="preserve">0.916,10 </v>
      </c>
      <c r="Q200" s="360" t="str">
        <f>IFERROR(CONCATENATE(ROUND($B200+Hydros!L16/$C200,3),",",Q$186," "),"")</f>
        <v xml:space="preserve">0.965,12 </v>
      </c>
      <c r="R200" s="360" t="str">
        <f>IFERROR(CONCATENATE(ROUND($B200+Hydros!M16/$C200,3),",",R$186," "),"")</f>
        <v xml:space="preserve">0.997,13 </v>
      </c>
      <c r="S200" s="360" t="str">
        <f>IFERROR(CONCATENATE(ROUND($B200+Hydros!N16/$C200,3),",",S$186," "),"")</f>
        <v/>
      </c>
      <c r="T200" s="360" t="str">
        <f>IFERROR(CONCATENATE(ROUND($B200+Hydros!O16/$C200,3),",",T$186," "),"")</f>
        <v/>
      </c>
      <c r="U200" s="360" t="str">
        <f>IFERROR(CONCATENATE(ROUND($B200+Hydros!P16/$C200,3),",",U$186," "),"")</f>
        <v/>
      </c>
      <c r="V200" s="360" t="str">
        <f>IFERROR(CONCATENATE(ROUND($B200+Hydros!Q16/$C200,3),",",V$186," "),"")</f>
        <v/>
      </c>
      <c r="W200" s="360" t="str">
        <f>IFERROR(CONCATENATE(ROUND($B200+Hydros!R16/$C200,3),",",W$186," "),"")</f>
        <v/>
      </c>
      <c r="X200" s="360" t="str">
        <f>IFERROR(CONCATENATE(ROUND($B200+Hydros!S16/$C200,3),",",X$186," "),"")</f>
        <v/>
      </c>
      <c r="Y200" s="360" t="str">
        <f>IFERROR(CONCATENATE(ROUND($B200+Hydros!T16/$C200,3),",",Y$186," "),"")</f>
        <v/>
      </c>
      <c r="Z200" s="360" t="str">
        <f>IFERROR(CONCATENATE(ROUND($B200+Hydros!U16/$C200,3),",",Z$186," "),"")</f>
        <v/>
      </c>
      <c r="AA200" s="360" t="str">
        <f>IFERROR(CONCATENATE(ROUND($B200+Hydros!V16/$C200,3),",",AA$186," "),"")</f>
        <v/>
      </c>
      <c r="AB200" s="360" t="str">
        <f>IFERROR(CONCATENATE(ROUND($B200+Hydros!W16/$C200,3),",",AB$186," "),"")</f>
        <v/>
      </c>
      <c r="AC200" s="360" t="str">
        <f>IFERROR(CONCATENATE(ROUND($B200+Hydros!X16/$C200,3),",",AC$186," "),"")</f>
        <v/>
      </c>
      <c r="AD200" s="360" t="str">
        <f>IFERROR(CONCATENATE(ROUND($B200+Hydros!Y16/$C200,3),",",AD$186," "),"")</f>
        <v/>
      </c>
      <c r="AE200" s="364" t="str">
        <f>IFERROR(CONCATENATE(ROUND($B200+Hydros!Z16/$C200,3),",",AE$186," "),"")</f>
        <v/>
      </c>
    </row>
    <row r="201" spans="1:31" x14ac:dyDescent="0.25">
      <c r="A201" s="358" t="str">
        <f>IF(MIN(Hydros!C17:AA17)&lt;0,"-","+")</f>
        <v>+</v>
      </c>
      <c r="B201" s="370">
        <f>IF(MIN(Hydros!C17:AA17)&lt;0,10,0)</f>
        <v>0</v>
      </c>
      <c r="C201" s="371">
        <f>IFERROR(POWER(10,INT(LOG(MAX(Hydros!B17:Z17,-MIN(Hydros!B17:Z17))))),"")</f>
        <v>1000</v>
      </c>
      <c r="D201" s="374" t="s">
        <v>273</v>
      </c>
      <c r="E201" s="375"/>
      <c r="F201" s="373" t="str">
        <f t="shared" si="453"/>
        <v xml:space="preserve">Spline </v>
      </c>
      <c r="G201" s="360" t="str">
        <f>IFERROR(CONCATENATE(ROUND($B201+Hydros!B17/$C201,3),",",G$186," "),"")</f>
        <v/>
      </c>
      <c r="H201" s="360" t="str">
        <f>IFERROR(CONCATENATE(ROUND($B201+Hydros!C17/$C201,3),",",H$186," "),"")</f>
        <v xml:space="preserve">2.081,0.5 </v>
      </c>
      <c r="I201" s="360" t="str">
        <f>IFERROR(CONCATENATE(ROUND($B201+Hydros!D17/$C201,3),",",I$186," "),"")</f>
        <v xml:space="preserve">1.123,1 </v>
      </c>
      <c r="J201" s="360" t="str">
        <f>IFERROR(CONCATENATE(ROUND($B201+Hydros!E17/$C201,3),",",J$186," "),"")</f>
        <v xml:space="preserve">0.784,1.5 </v>
      </c>
      <c r="K201" s="360" t="str">
        <f>IFERROR(CONCATENATE(ROUND($B201+Hydros!F17/$C201,3),",",K$186," "),"")</f>
        <v xml:space="preserve">0.605,2 </v>
      </c>
      <c r="L201" s="360" t="str">
        <f>IFERROR(CONCATENATE(ROUND($B201+Hydros!G17/$C201,3),",",L$186," "),"")</f>
        <v xml:space="preserve">0.326,4 </v>
      </c>
      <c r="M201" s="360" t="str">
        <f>IFERROR(CONCATENATE(ROUND($B201+Hydros!H17/$C201,3),",",M$186," "),"")</f>
        <v xml:space="preserve">0.228,6 </v>
      </c>
      <c r="N201" s="360" t="str">
        <f>IFERROR(CONCATENATE(ROUND($B201+Hydros!I17/$C201,3),",",N$186," "),"")</f>
        <v xml:space="preserve">0.186,8 </v>
      </c>
      <c r="O201" s="360" t="str">
        <f>IFERROR(CONCATENATE(ROUND($B201+Hydros!J17/$C201,3),",",O$186," "),"")</f>
        <v xml:space="preserve">0.166,9.7 </v>
      </c>
      <c r="P201" s="360" t="str">
        <f>IFERROR(CONCATENATE(ROUND($B201+Hydros!K17/$C201,3),",",P$186," "),"")</f>
        <v xml:space="preserve">0.162,10 </v>
      </c>
      <c r="Q201" s="360" t="str">
        <f>IFERROR(CONCATENATE(ROUND($B201+Hydros!L17/$C201,3),",",Q$186," "),"")</f>
        <v xml:space="preserve">0.144,12 </v>
      </c>
      <c r="R201" s="360" t="str">
        <f>IFERROR(CONCATENATE(ROUND($B201+Hydros!M17/$C201,3),",",R$186," "),"")</f>
        <v xml:space="preserve">0.137,13 </v>
      </c>
      <c r="S201" s="360" t="str">
        <f>IFERROR(CONCATENATE(ROUND($B201+Hydros!N17/$C201,3),",",S$186," "),"")</f>
        <v/>
      </c>
      <c r="T201" s="360" t="str">
        <f>IFERROR(CONCATENATE(ROUND($B201+Hydros!O17/$C201,3),",",T$186," "),"")</f>
        <v/>
      </c>
      <c r="U201" s="360" t="str">
        <f>IFERROR(CONCATENATE(ROUND($B201+Hydros!P17/$C201,3),",",U$186," "),"")</f>
        <v/>
      </c>
      <c r="V201" s="360" t="str">
        <f>IFERROR(CONCATENATE(ROUND($B201+Hydros!Q17/$C201,3),",",V$186," "),"")</f>
        <v/>
      </c>
      <c r="W201" s="360" t="str">
        <f>IFERROR(CONCATENATE(ROUND($B201+Hydros!R17/$C201,3),",",W$186," "),"")</f>
        <v/>
      </c>
      <c r="X201" s="360" t="str">
        <f>IFERROR(CONCATENATE(ROUND($B201+Hydros!S17/$C201,3),",",X$186," "),"")</f>
        <v/>
      </c>
      <c r="Y201" s="360" t="str">
        <f>IFERROR(CONCATENATE(ROUND($B201+Hydros!T17/$C201,3),",",Y$186," "),"")</f>
        <v/>
      </c>
      <c r="Z201" s="360" t="str">
        <f>IFERROR(CONCATENATE(ROUND($B201+Hydros!U17/$C201,3),",",Z$186," "),"")</f>
        <v/>
      </c>
      <c r="AA201" s="360" t="str">
        <f>IFERROR(CONCATENATE(ROUND($B201+Hydros!V17/$C201,3),",",AA$186," "),"")</f>
        <v/>
      </c>
      <c r="AB201" s="360" t="str">
        <f>IFERROR(CONCATENATE(ROUND($B201+Hydros!W17/$C201,3),",",AB$186," "),"")</f>
        <v/>
      </c>
      <c r="AC201" s="360" t="str">
        <f>IFERROR(CONCATENATE(ROUND($B201+Hydros!X17/$C201,3),",",AC$186," "),"")</f>
        <v/>
      </c>
      <c r="AD201" s="360" t="str">
        <f>IFERROR(CONCATENATE(ROUND($B201+Hydros!Y17/$C201,3),",",AD$186," "),"")</f>
        <v/>
      </c>
      <c r="AE201" s="364" t="str">
        <f>IFERROR(CONCATENATE(ROUND($B201+Hydros!Z17/$C201,3),",",AE$186," "),"")</f>
        <v/>
      </c>
    </row>
    <row r="202" spans="1:31" x14ac:dyDescent="0.25">
      <c r="A202" s="358" t="str">
        <f>IF(MIN(Hydros!C18:AA18)&lt;0,"-","+")</f>
        <v>+</v>
      </c>
      <c r="B202" s="370">
        <v>10</v>
      </c>
      <c r="C202" s="371">
        <f>IFERROR(POWER(10,INT(LOG(MAX(Hydros!B18:Z18,-MIN(Hydros!B18:Z18))))),"")</f>
        <v>10</v>
      </c>
      <c r="D202" s="374" t="s">
        <v>71</v>
      </c>
      <c r="E202" s="375"/>
      <c r="F202" s="373" t="str">
        <f t="shared" si="453"/>
        <v xml:space="preserve">Spline </v>
      </c>
      <c r="G202" s="360" t="str">
        <f>IFERROR(CONCATENATE(ROUND($B202+Hydros!B18/$C202,3),",",G$186," "),"")</f>
        <v xml:space="preserve">11.857,0 </v>
      </c>
      <c r="H202" s="360" t="str">
        <f>IFERROR(CONCATENATE(ROUND($B202+Hydros!C18/$C202,3),",",H$186," "),"")</f>
        <v xml:space="preserve">12.131,0.5 </v>
      </c>
      <c r="I202" s="360" t="str">
        <f>IFERROR(CONCATENATE(ROUND($B202+Hydros!D18/$C202,3),",",I$186," "),"")</f>
        <v xml:space="preserve">12.279,1 </v>
      </c>
      <c r="J202" s="360" t="str">
        <f>IFERROR(CONCATENATE(ROUND($B202+Hydros!E18/$C202,3),",",J$186," "),"")</f>
        <v xml:space="preserve">12.377,1.5 </v>
      </c>
      <c r="K202" s="360" t="str">
        <f>IFERROR(CONCATENATE(ROUND($B202+Hydros!F18/$C202,3),",",K$186," "),"")</f>
        <v xml:space="preserve">12.443,2 </v>
      </c>
      <c r="L202" s="360" t="str">
        <f>IFERROR(CONCATENATE(ROUND($B202+Hydros!G18/$C202,3),",",L$186," "),"")</f>
        <v xml:space="preserve">12.584,4 </v>
      </c>
      <c r="M202" s="360" t="str">
        <f>IFERROR(CONCATENATE(ROUND($B202+Hydros!H18/$C202,3),",",M$186," "),"")</f>
        <v xml:space="preserve">12.663,6 </v>
      </c>
      <c r="N202" s="360" t="str">
        <f>IFERROR(CONCATENATE(ROUND($B202+Hydros!I18/$C202,3),",",N$186," "),"")</f>
        <v xml:space="preserve">12.761,8 </v>
      </c>
      <c r="O202" s="360" t="str">
        <f>IFERROR(CONCATENATE(ROUND($B202+Hydros!J18/$C202,3),",",O$186," "),"")</f>
        <v xml:space="preserve">12.851,9.7 </v>
      </c>
      <c r="P202" s="360" t="str">
        <f>IFERROR(CONCATENATE(ROUND($B202+Hydros!K18/$C202,3),",",P$186," "),"")</f>
        <v xml:space="preserve">12.865,10 </v>
      </c>
      <c r="Q202" s="360" t="str">
        <f>IFERROR(CONCATENATE(ROUND($B202+Hydros!L18/$C202,3),",",Q$186," "),"")</f>
        <v xml:space="preserve">12.944,12 </v>
      </c>
      <c r="R202" s="360" t="str">
        <f>IFERROR(CONCATENATE(ROUND($B202+Hydros!M18/$C202,3),",",R$186," "),"")</f>
        <v xml:space="preserve">12.983,13 </v>
      </c>
      <c r="S202" s="360" t="str">
        <f>IFERROR(CONCATENATE(ROUND($B202+Hydros!N18/$C202,3),",",S$186," "),"")</f>
        <v/>
      </c>
      <c r="T202" s="360" t="str">
        <f>IFERROR(CONCATENATE(ROUND($B202+Hydros!O18/$C202,3),",",T$186," "),"")</f>
        <v/>
      </c>
      <c r="U202" s="360" t="str">
        <f>IFERROR(CONCATENATE(ROUND($B202+Hydros!P18/$C202,3),",",U$186," "),"")</f>
        <v/>
      </c>
      <c r="V202" s="360" t="str">
        <f>IFERROR(CONCATENATE(ROUND($B202+Hydros!Q18/$C202,3),",",V$186," "),"")</f>
        <v/>
      </c>
      <c r="W202" s="360" t="str">
        <f>IFERROR(CONCATENATE(ROUND($B202+Hydros!R18/$C202,3),",",W$186," "),"")</f>
        <v/>
      </c>
      <c r="X202" s="360" t="str">
        <f>IFERROR(CONCATENATE(ROUND($B202+Hydros!S18/$C202,3),",",X$186," "),"")</f>
        <v/>
      </c>
      <c r="Y202" s="360" t="str">
        <f>IFERROR(CONCATENATE(ROUND($B202+Hydros!T18/$C202,3),",",Y$186," "),"")</f>
        <v/>
      </c>
      <c r="Z202" s="360" t="str">
        <f>IFERROR(CONCATENATE(ROUND($B202+Hydros!U18/$C202,3),",",Z$186," "),"")</f>
        <v/>
      </c>
      <c r="AA202" s="360" t="str">
        <f>IFERROR(CONCATENATE(ROUND($B202+Hydros!V18/$C202,3),",",AA$186," "),"")</f>
        <v/>
      </c>
      <c r="AB202" s="360" t="str">
        <f>IFERROR(CONCATENATE(ROUND($B202+Hydros!W18/$C202,3),",",AB$186," "),"")</f>
        <v/>
      </c>
      <c r="AC202" s="360" t="str">
        <f>IFERROR(CONCATENATE(ROUND($B202+Hydros!X18/$C202,3),",",AC$186," "),"")</f>
        <v/>
      </c>
      <c r="AD202" s="360" t="str">
        <f>IFERROR(CONCATENATE(ROUND($B202+Hydros!Y18/$C202,3),",",AD$186," "),"")</f>
        <v/>
      </c>
      <c r="AE202" s="364" t="str">
        <f>IFERROR(CONCATENATE(ROUND($B202+Hydros!Z18/$C202,3),",",AE$186," "),"")</f>
        <v/>
      </c>
    </row>
    <row r="203" spans="1:31" x14ac:dyDescent="0.25">
      <c r="A203" s="358" t="str">
        <f>IF(MIN(Hydros!C19:AA19)&lt;0,"-","+")</f>
        <v>+</v>
      </c>
      <c r="B203" s="370">
        <f>IF(MIN(Hydros!C19:AA19)&lt;0,10,0)</f>
        <v>0</v>
      </c>
      <c r="C203" s="371">
        <f>IFERROR(POWER(10,INT(LOG(MAX(Hydros!B19:Z19,-MIN(Hydros!B19:Z19))))),"")</f>
        <v>1</v>
      </c>
      <c r="D203" s="374" t="s">
        <v>73</v>
      </c>
      <c r="E203" s="375"/>
      <c r="F203" s="373" t="str">
        <f t="shared" si="453"/>
        <v xml:space="preserve">Spline </v>
      </c>
      <c r="G203" s="360" t="str">
        <f>IFERROR(CONCATENATE(ROUND($B203+Hydros!B19/$C203,3),",",G$186," "),"")</f>
        <v/>
      </c>
      <c r="H203" s="360" t="str">
        <f>IFERROR(CONCATENATE(ROUND($B203+Hydros!C19/$C203,3),",",H$186," "),"")</f>
        <v xml:space="preserve">5.807,0.5 </v>
      </c>
      <c r="I203" s="360" t="str">
        <f>IFERROR(CONCATENATE(ROUND($B203+Hydros!D19/$C203,3),",",I$186," "),"")</f>
        <v xml:space="preserve">5.599,1 </v>
      </c>
      <c r="J203" s="360" t="str">
        <f>IFERROR(CONCATENATE(ROUND($B203+Hydros!E19/$C203,3),",",J$186," "),"")</f>
        <v xml:space="preserve">5.427,1.5 </v>
      </c>
      <c r="K203" s="360" t="str">
        <f>IFERROR(CONCATENATE(ROUND($B203+Hydros!F19/$C203,3),",",K$186," "),"")</f>
        <v xml:space="preserve">5.297,2 </v>
      </c>
      <c r="L203" s="360" t="str">
        <f>IFERROR(CONCATENATE(ROUND($B203+Hydros!G19/$C203,3),",",L$186," "),"")</f>
        <v xml:space="preserve">4.812,4 </v>
      </c>
      <c r="M203" s="360" t="str">
        <f>IFERROR(CONCATENATE(ROUND($B203+Hydros!H19/$C203,3),",",M$186," "),"")</f>
        <v xml:space="preserve">4.289,6 </v>
      </c>
      <c r="N203" s="360" t="str">
        <f>IFERROR(CONCATENATE(ROUND($B203+Hydros!I19/$C203,3),",",N$186," "),"")</f>
        <v xml:space="preserve">3.672,8 </v>
      </c>
      <c r="O203" s="360" t="str">
        <f>IFERROR(CONCATENATE(ROUND($B203+Hydros!J19/$C203,3),",",O$186," "),"")</f>
        <v xml:space="preserve">3.054,9.7 </v>
      </c>
      <c r="P203" s="360" t="str">
        <f>IFERROR(CONCATENATE(ROUND($B203+Hydros!K19/$C203,3),",",P$186," "),"")</f>
        <v xml:space="preserve">2.926,10 </v>
      </c>
      <c r="Q203" s="360" t="str">
        <f>IFERROR(CONCATENATE(ROUND($B203+Hydros!L19/$C203,3),",",Q$186," "),"")</f>
        <v xml:space="preserve">2.285,12 </v>
      </c>
      <c r="R203" s="360" t="str">
        <f>IFERROR(CONCATENATE(ROUND($B203+Hydros!M19/$C203,3),",",R$186," "),"")</f>
        <v xml:space="preserve">2.018,13 </v>
      </c>
      <c r="S203" s="360" t="str">
        <f>IFERROR(CONCATENATE(ROUND($B203+Hydros!N19/$C203,3),",",S$186," "),"")</f>
        <v/>
      </c>
      <c r="T203" s="360" t="str">
        <f>IFERROR(CONCATENATE(ROUND($B203+Hydros!O19/$C203,3),",",T$186," "),"")</f>
        <v/>
      </c>
      <c r="U203" s="360" t="str">
        <f>IFERROR(CONCATENATE(ROUND($B203+Hydros!P19/$C203,3),",",U$186," "),"")</f>
        <v/>
      </c>
      <c r="V203" s="360" t="str">
        <f>IFERROR(CONCATENATE(ROUND($B203+Hydros!Q19/$C203,3),",",V$186," "),"")</f>
        <v/>
      </c>
      <c r="W203" s="360" t="str">
        <f>IFERROR(CONCATENATE(ROUND($B203+Hydros!R19/$C203,3),",",W$186," "),"")</f>
        <v/>
      </c>
      <c r="X203" s="360" t="str">
        <f>IFERROR(CONCATENATE(ROUND($B203+Hydros!S19/$C203,3),",",X$186," "),"")</f>
        <v/>
      </c>
      <c r="Y203" s="360" t="str">
        <f>IFERROR(CONCATENATE(ROUND($B203+Hydros!T19/$C203,3),",",Y$186," "),"")</f>
        <v/>
      </c>
      <c r="Z203" s="360" t="str">
        <f>IFERROR(CONCATENATE(ROUND($B203+Hydros!U19/$C203,3),",",Z$186," "),"")</f>
        <v/>
      </c>
      <c r="AA203" s="360" t="str">
        <f>IFERROR(CONCATENATE(ROUND($B203+Hydros!V19/$C203,3),",",AA$186," "),"")</f>
        <v/>
      </c>
      <c r="AB203" s="360" t="str">
        <f>IFERROR(CONCATENATE(ROUND($B203+Hydros!W19/$C203,3),",",AB$186," "),"")</f>
        <v/>
      </c>
      <c r="AC203" s="360" t="str">
        <f>IFERROR(CONCATENATE(ROUND($B203+Hydros!X19/$C203,3),",",AC$186," "),"")</f>
        <v/>
      </c>
      <c r="AD203" s="360" t="str">
        <f>IFERROR(CONCATENATE(ROUND($B203+Hydros!Y19/$C203,3),",",AD$186," "),"")</f>
        <v/>
      </c>
      <c r="AE203" s="364" t="str">
        <f>IFERROR(CONCATENATE(ROUND($B203+Hydros!Z19/$C203,3),",",AE$186," "),"")</f>
        <v/>
      </c>
    </row>
    <row r="204" spans="1:31" x14ac:dyDescent="0.25">
      <c r="A204" s="358" t="str">
        <f>IF(MIN(Hydros!C20:AA20)&lt;0,"-","+")</f>
        <v>+</v>
      </c>
      <c r="B204" s="370">
        <v>10</v>
      </c>
      <c r="C204" s="371">
        <f>IFERROR(POWER(10,INT(LOG(MAX(Hydros!B20:Z20,-MIN(Hydros!B20:Z20))))),"")</f>
        <v>100</v>
      </c>
      <c r="D204" s="374" t="s">
        <v>274</v>
      </c>
      <c r="E204" s="375"/>
      <c r="F204" s="373" t="str">
        <f t="shared" si="453"/>
        <v xml:space="preserve">Spline </v>
      </c>
      <c r="G204" s="360" t="str">
        <f>IFERROR(CONCATENATE(ROUND($B204+Hydros!B20/$C204,3),",",G$186," "),"")</f>
        <v/>
      </c>
      <c r="H204" s="360" t="str">
        <f>IFERROR(CONCATENATE(ROUND($B204+Hydros!C20/$C204,3),",",H$186," "),"")</f>
        <v xml:space="preserve">11.435,0.5 </v>
      </c>
      <c r="I204" s="360" t="str">
        <f>IFERROR(CONCATENATE(ROUND($B204+Hydros!D20/$C204,3),",",I$186," "),"")</f>
        <v xml:space="preserve">11.63,1 </v>
      </c>
      <c r="J204" s="360" t="str">
        <f>IFERROR(CONCATENATE(ROUND($B204+Hydros!E20/$C204,3),",",J$186," "),"")</f>
        <v xml:space="preserve">11.764,1.5 </v>
      </c>
      <c r="K204" s="360" t="str">
        <f>IFERROR(CONCATENATE(ROUND($B204+Hydros!F20/$C204,3),",",K$186," "),"")</f>
        <v xml:space="preserve">11.864,2 </v>
      </c>
      <c r="L204" s="360" t="str">
        <f>IFERROR(CONCATENATE(ROUND($B204+Hydros!G20/$C204,3),",",L$186," "),"")</f>
        <v xml:space="preserve">12.122,4 </v>
      </c>
      <c r="M204" s="360" t="str">
        <f>IFERROR(CONCATENATE(ROUND($B204+Hydros!H20/$C204,3),",",M$186," "),"")</f>
        <v xml:space="preserve">12.286,6 </v>
      </c>
      <c r="N204" s="360" t="str">
        <f>IFERROR(CONCATENATE(ROUND($B204+Hydros!I20/$C204,3),",",N$186," "),"")</f>
        <v xml:space="preserve">12.529,8 </v>
      </c>
      <c r="O204" s="360" t="str">
        <f>IFERROR(CONCATENATE(ROUND($B204+Hydros!J20/$C204,3),",",O$186," "),"")</f>
        <v xml:space="preserve">12.758,9.7 </v>
      </c>
      <c r="P204" s="360" t="str">
        <f>IFERROR(CONCATENATE(ROUND($B204+Hydros!K20/$C204,3),",",P$186," "),"")</f>
        <v xml:space="preserve">12.792,10 </v>
      </c>
      <c r="Q204" s="360" t="str">
        <f>IFERROR(CONCATENATE(ROUND($B204+Hydros!L20/$C204,3),",",Q$186," "),"")</f>
        <v xml:space="preserve">12.992,12 </v>
      </c>
      <c r="R204" s="360" t="str">
        <f>IFERROR(CONCATENATE(ROUND($B204+Hydros!M20/$C204,3),",",R$186," "),"")</f>
        <v xml:space="preserve">13.094,13 </v>
      </c>
      <c r="S204" s="360" t="str">
        <f>IFERROR(CONCATENATE(ROUND($B204+Hydros!N20/$C204,3),",",S$186," "),"")</f>
        <v/>
      </c>
      <c r="T204" s="360" t="str">
        <f>IFERROR(CONCATENATE(ROUND($B204+Hydros!O20/$C204,3),",",T$186," "),"")</f>
        <v/>
      </c>
      <c r="U204" s="360" t="str">
        <f>IFERROR(CONCATENATE(ROUND($B204+Hydros!P20/$C204,3),",",U$186," "),"")</f>
        <v/>
      </c>
      <c r="V204" s="360" t="str">
        <f>IFERROR(CONCATENATE(ROUND($B204+Hydros!Q20/$C204,3),",",V$186," "),"")</f>
        <v/>
      </c>
      <c r="W204" s="360" t="str">
        <f>IFERROR(CONCATENATE(ROUND($B204+Hydros!R20/$C204,3),",",W$186," "),"")</f>
        <v/>
      </c>
      <c r="X204" s="360" t="str">
        <f>IFERROR(CONCATENATE(ROUND($B204+Hydros!S20/$C204,3),",",X$186," "),"")</f>
        <v/>
      </c>
      <c r="Y204" s="360" t="str">
        <f>IFERROR(CONCATENATE(ROUND($B204+Hydros!T20/$C204,3),",",Y$186," "),"")</f>
        <v/>
      </c>
      <c r="Z204" s="360" t="str">
        <f>IFERROR(CONCATENATE(ROUND($B204+Hydros!U20/$C204,3),",",Z$186," "),"")</f>
        <v/>
      </c>
      <c r="AA204" s="360" t="str">
        <f>IFERROR(CONCATENATE(ROUND($B204+Hydros!V20/$C204,3),",",AA$186," "),"")</f>
        <v/>
      </c>
      <c r="AB204" s="360" t="str">
        <f>IFERROR(CONCATENATE(ROUND($B204+Hydros!W20/$C204,3),",",AB$186," "),"")</f>
        <v/>
      </c>
      <c r="AC204" s="360" t="str">
        <f>IFERROR(CONCATENATE(ROUND($B204+Hydros!X20/$C204,3),",",AC$186," "),"")</f>
        <v/>
      </c>
      <c r="AD204" s="360" t="str">
        <f>IFERROR(CONCATENATE(ROUND($B204+Hydros!Y20/$C204,3),",",AD$186," "),"")</f>
        <v/>
      </c>
      <c r="AE204" s="364" t="str">
        <f>IFERROR(CONCATENATE(ROUND($B204+Hydros!Z20/$C204,3),",",AE$186," "),"")</f>
        <v/>
      </c>
    </row>
    <row r="205" spans="1:31" x14ac:dyDescent="0.25">
      <c r="A205" s="358" t="str">
        <f>IF(MIN(Hydros!C21:AA21)&lt;0,"-","+")</f>
        <v>+</v>
      </c>
      <c r="B205" s="370">
        <f>IF(MIN(Hydros!C21:AA21)&lt;0,10,0)</f>
        <v>0</v>
      </c>
      <c r="C205" s="371">
        <f>IFERROR(POWER(10,INT(LOG(MAX(Hydros!B21:Z21,-MIN(Hydros!B21:Z21))))),"")</f>
        <v>10</v>
      </c>
      <c r="D205" s="374" t="s">
        <v>78</v>
      </c>
      <c r="E205" s="375"/>
      <c r="F205" s="373" t="str">
        <f t="shared" ref="F205:F208" si="454">IF(AND(G205="",H205=""),"","Spline ")</f>
        <v xml:space="preserve">Spline </v>
      </c>
      <c r="G205" s="360" t="str">
        <f>IFERROR(CONCATENATE(ROUND($B205+Hydros!B21/$C205,3),",",G$186," "),"")</f>
        <v xml:space="preserve">0,0 </v>
      </c>
      <c r="H205" s="360" t="str">
        <f>IFERROR(CONCATENATE(ROUND($B205+Hydros!C21/$C205,3),",",H$186," "),"")</f>
        <v xml:space="preserve">0.05,0.5 </v>
      </c>
      <c r="I205" s="360" t="str">
        <f>IFERROR(CONCATENATE(ROUND($B205+Hydros!D21/$C205,3),",",I$186," "),"")</f>
        <v xml:space="preserve">0.1,1 </v>
      </c>
      <c r="J205" s="360" t="str">
        <f>IFERROR(CONCATENATE(ROUND($B205+Hydros!E21/$C205,3),",",J$186," "),"")</f>
        <v xml:space="preserve">0.15,1.5 </v>
      </c>
      <c r="K205" s="360" t="str">
        <f>IFERROR(CONCATENATE(ROUND($B205+Hydros!F21/$C205,3),",",K$186," "),"")</f>
        <v xml:space="preserve">0.2,2 </v>
      </c>
      <c r="L205" s="360" t="str">
        <f>IFERROR(CONCATENATE(ROUND($B205+Hydros!G21/$C205,3),",",L$186," "),"")</f>
        <v xml:space="preserve">0.4,4 </v>
      </c>
      <c r="M205" s="360" t="str">
        <f>IFERROR(CONCATENATE(ROUND($B205+Hydros!H21/$C205,3),",",M$186," "),"")</f>
        <v xml:space="preserve">0.6,6 </v>
      </c>
      <c r="N205" s="360" t="str">
        <f>IFERROR(CONCATENATE(ROUND($B205+Hydros!I21/$C205,3),",",N$186," "),"")</f>
        <v xml:space="preserve">0.8,8 </v>
      </c>
      <c r="O205" s="360" t="str">
        <f>IFERROR(CONCATENATE(ROUND($B205+Hydros!J21/$C205,3),",",O$186," "),"")</f>
        <v xml:space="preserve">0.97,9.7 </v>
      </c>
      <c r="P205" s="360" t="str">
        <f>IFERROR(CONCATENATE(ROUND($B205+Hydros!K21/$C205,3),",",P$186," "),"")</f>
        <v xml:space="preserve">1,10 </v>
      </c>
      <c r="Q205" s="360" t="str">
        <f>IFERROR(CONCATENATE(ROUND($B205+Hydros!L21/$C205,3),",",Q$186," "),"")</f>
        <v xml:space="preserve">1.2,12 </v>
      </c>
      <c r="R205" s="360" t="str">
        <f>IFERROR(CONCATENATE(ROUND($B205+Hydros!M21/$C205,3),",",R$186," "),"")</f>
        <v xml:space="preserve">1.3,13 </v>
      </c>
      <c r="S205" s="360" t="str">
        <f>IFERROR(CONCATENATE(ROUND($B205+Hydros!N21/$C205,3),",",S$186," "),"")</f>
        <v/>
      </c>
      <c r="T205" s="360" t="str">
        <f>IFERROR(CONCATENATE(ROUND($B205+Hydros!O21/$C205,3),",",T$186," "),"")</f>
        <v/>
      </c>
      <c r="U205" s="360" t="str">
        <f>IFERROR(CONCATENATE(ROUND($B205+Hydros!P21/$C205,3),",",U$186," "),"")</f>
        <v/>
      </c>
      <c r="V205" s="360" t="str">
        <f>IFERROR(CONCATENATE(ROUND($B205+Hydros!Q21/$C205,3),",",V$186," "),"")</f>
        <v/>
      </c>
      <c r="W205" s="360" t="str">
        <f>IFERROR(CONCATENATE(ROUND($B205+Hydros!R21/$C205,3),",",W$186," "),"")</f>
        <v/>
      </c>
      <c r="X205" s="360" t="str">
        <f>IFERROR(CONCATENATE(ROUND($B205+Hydros!S21/$C205,3),",",X$186," "),"")</f>
        <v/>
      </c>
      <c r="Y205" s="360" t="str">
        <f>IFERROR(CONCATENATE(ROUND($B205+Hydros!T21/$C205,3),",",Y$186," "),"")</f>
        <v/>
      </c>
      <c r="Z205" s="360" t="str">
        <f>IFERROR(CONCATENATE(ROUND($B205+Hydros!U21/$C205,3),",",Z$186," "),"")</f>
        <v/>
      </c>
      <c r="AA205" s="360" t="str">
        <f>IFERROR(CONCATENATE(ROUND($B205+Hydros!V21/$C205,3),",",AA$186," "),"")</f>
        <v/>
      </c>
      <c r="AB205" s="360" t="str">
        <f>IFERROR(CONCATENATE(ROUND($B205+Hydros!W21/$C205,3),",",AB$186," "),"")</f>
        <v/>
      </c>
      <c r="AC205" s="360" t="str">
        <f>IFERROR(CONCATENATE(ROUND($B205+Hydros!X21/$C205,3),",",AC$186," "),"")</f>
        <v/>
      </c>
      <c r="AD205" s="360" t="str">
        <f>IFERROR(CONCATENATE(ROUND($B205+Hydros!Y21/$C205,3),",",AD$186," "),"")</f>
        <v/>
      </c>
      <c r="AE205" s="364" t="str">
        <f>IFERROR(CONCATENATE(ROUND($B205+Hydros!Z21/$C205,3),",",AE$186," "),"")</f>
        <v/>
      </c>
    </row>
    <row r="206" spans="1:31" x14ac:dyDescent="0.25">
      <c r="A206" s="358" t="str">
        <f>IF(MIN(Hydros!C22:AA22)&lt;0,"-","+")</f>
        <v>+</v>
      </c>
      <c r="B206" s="370">
        <f>IF(MIN(Hydros!C22:AA22)&lt;0,10,0)</f>
        <v>0</v>
      </c>
      <c r="C206" s="371">
        <f>IFERROR(POWER(10,INT(LOG(MAX(Hydros!B22:Z22,-MIN(Hydros!B22:Z22))))),"")</f>
        <v>0.1</v>
      </c>
      <c r="D206" s="374" t="s">
        <v>275</v>
      </c>
      <c r="E206" s="375"/>
      <c r="F206" s="373" t="str">
        <f>IF(AND(G206="",H206=""),"","Spline ")</f>
        <v xml:space="preserve">Spline </v>
      </c>
      <c r="G206" s="360" t="str">
        <f>IFERROR(CONCATENATE(ROUND($B206+Hydros!B22/$C206,3),",",G$186," "),"")</f>
        <v xml:space="preserve">6.389,0 </v>
      </c>
      <c r="H206" s="360" t="str">
        <f>IFERROR(CONCATENATE(ROUND($B206+Hydros!C22/$C206,3),",",H$186," "),"")</f>
        <v xml:space="preserve">6.805,0.5 </v>
      </c>
      <c r="I206" s="360" t="str">
        <f>IFERROR(CONCATENATE(ROUND($B206+Hydros!D22/$C206,3),",",I$186," "),"")</f>
        <v xml:space="preserve">7.073,1 </v>
      </c>
      <c r="J206" s="360" t="str">
        <f>IFERROR(CONCATENATE(ROUND($B206+Hydros!E22/$C206,3),",",J$186," "),"")</f>
        <v xml:space="preserve">7.257,1.5 </v>
      </c>
      <c r="K206" s="360" t="str">
        <f>IFERROR(CONCATENATE(ROUND($B206+Hydros!F22/$C206,3),",",K$186," "),"")</f>
        <v xml:space="preserve">7.409,2 </v>
      </c>
      <c r="L206" s="360" t="str">
        <f>IFERROR(CONCATENATE(ROUND($B206+Hydros!G22/$C206,3),",",L$186," "),"")</f>
        <v xml:space="preserve">7.839,4 </v>
      </c>
      <c r="M206" s="360" t="str">
        <f>IFERROR(CONCATENATE(ROUND($B206+Hydros!H22/$C206,3),",",M$186," "),"")</f>
        <v xml:space="preserve">8.076,6 </v>
      </c>
      <c r="N206" s="360" t="str">
        <f>IFERROR(CONCATENATE(ROUND($B206+Hydros!I22/$C206,3),",",N$186," "),"")</f>
        <v xml:space="preserve">8.375,8 </v>
      </c>
      <c r="O206" s="360" t="str">
        <f>IFERROR(CONCATENATE(ROUND($B206+Hydros!J22/$C206,3),",",O$186," "),"")</f>
        <v xml:space="preserve">8.648,9.7 </v>
      </c>
      <c r="P206" s="360" t="str">
        <f>IFERROR(CONCATENATE(ROUND($B206+Hydros!K22/$C206,3),",",P$186," "),"")</f>
        <v xml:space="preserve">8.689,10 </v>
      </c>
      <c r="Q206" s="360" t="str">
        <f>IFERROR(CONCATENATE(ROUND($B206+Hydros!L22/$C206,3),",",Q$186," "),"")</f>
        <v xml:space="preserve">8.929,12 </v>
      </c>
      <c r="R206" s="360" t="str">
        <f>IFERROR(CONCATENATE(ROUND($B206+Hydros!M22/$C206,3),",",R$186," "),"")</f>
        <v xml:space="preserve">9.049,13 </v>
      </c>
      <c r="S206" s="360" t="str">
        <f>IFERROR(CONCATENATE(ROUND($B206+Hydros!N22/$C206,3),",",S$186," "),"")</f>
        <v/>
      </c>
      <c r="T206" s="360" t="str">
        <f>IFERROR(CONCATENATE(ROUND($B206+Hydros!O22/$C206,3),",",T$186," "),"")</f>
        <v/>
      </c>
      <c r="U206" s="360" t="str">
        <f>IFERROR(CONCATENATE(ROUND($B206+Hydros!P22/$C206,3),",",U$186," "),"")</f>
        <v/>
      </c>
      <c r="V206" s="360" t="str">
        <f>IFERROR(CONCATENATE(ROUND($B206+Hydros!Q22/$C206,3),",",V$186," "),"")</f>
        <v/>
      </c>
      <c r="W206" s="360" t="str">
        <f>IFERROR(CONCATENATE(ROUND($B206+Hydros!R22/$C206,3),",",W$186," "),"")</f>
        <v/>
      </c>
      <c r="X206" s="360" t="str">
        <f>IFERROR(CONCATENATE(ROUND($B206+Hydros!S22/$C206,3),",",X$186," "),"")</f>
        <v/>
      </c>
      <c r="Y206" s="360" t="str">
        <f>IFERROR(CONCATENATE(ROUND($B206+Hydros!T22/$C206,3),",",Y$186," "),"")</f>
        <v/>
      </c>
      <c r="Z206" s="360" t="str">
        <f>IFERROR(CONCATENATE(ROUND($B206+Hydros!U22/$C206,3),",",Z$186," "),"")</f>
        <v/>
      </c>
      <c r="AA206" s="360" t="str">
        <f>IFERROR(CONCATENATE(ROUND($B206+Hydros!V22/$C206,3),",",AA$186," "),"")</f>
        <v/>
      </c>
      <c r="AB206" s="360" t="str">
        <f>IFERROR(CONCATENATE(ROUND($B206+Hydros!W22/$C206,3),",",AB$186," "),"")</f>
        <v/>
      </c>
      <c r="AC206" s="360" t="str">
        <f>IFERROR(CONCATENATE(ROUND($B206+Hydros!X22/$C206,3),",",AC$186," "),"")</f>
        <v/>
      </c>
      <c r="AD206" s="360" t="str">
        <f>IFERROR(CONCATENATE(ROUND($B206+Hydros!Y22/$C206,3),",",AD$186," "),"")</f>
        <v/>
      </c>
      <c r="AE206" s="364" t="str">
        <f>IFERROR(CONCATENATE(ROUND($B206+Hydros!Z22/$C206,3),",",AE$186," "),"")</f>
        <v/>
      </c>
    </row>
    <row r="207" spans="1:31" x14ac:dyDescent="0.25">
      <c r="A207" s="358" t="str">
        <f>IF(MIN(Hydros!C23:AA23)&lt;0,"-","+")</f>
        <v>+</v>
      </c>
      <c r="B207" s="370">
        <f>IF(MIN(Hydros!C23:AA23)&lt;0,10,0)</f>
        <v>0</v>
      </c>
      <c r="C207" s="371">
        <f>IFERROR(POWER(10,INT(LOG(MAX(Hydros!B23:Z23,-MIN(Hydros!B23:Z23))))),"")</f>
        <v>0.1</v>
      </c>
      <c r="D207" s="374" t="s">
        <v>276</v>
      </c>
      <c r="E207" s="375"/>
      <c r="F207" s="373" t="str">
        <f>IF(AND(G207="",H207=""),"","Spline ")</f>
        <v xml:space="preserve">Spline </v>
      </c>
      <c r="G207" s="360" t="str">
        <f>IFERROR(CONCATENATE(ROUND($B207+Hydros!B23/$C207,3),",",G$186," "),"")</f>
        <v/>
      </c>
      <c r="H207" s="360" t="str">
        <f>IFERROR(CONCATENATE(ROUND($B207+Hydros!C23/$C207,3),",",H$186," "),"")</f>
        <v xml:space="preserve">6.402,0.5 </v>
      </c>
      <c r="I207" s="360" t="str">
        <f>IFERROR(CONCATENATE(ROUND($B207+Hydros!D23/$C207,3),",",I$186," "),"")</f>
        <v xml:space="preserve">6.55,1 </v>
      </c>
      <c r="J207" s="360" t="str">
        <f>IFERROR(CONCATENATE(ROUND($B207+Hydros!E23/$C207,3),",",J$186," "),"")</f>
        <v xml:space="preserve">6.661,1.5 </v>
      </c>
      <c r="K207" s="360" t="str">
        <f>IFERROR(CONCATENATE(ROUND($B207+Hydros!F23/$C207,3),",",K$186," "),"")</f>
        <v xml:space="preserve">6.798,2 </v>
      </c>
      <c r="L207" s="360" t="str">
        <f>IFERROR(CONCATENATE(ROUND($B207+Hydros!G23/$C207,3),",",L$186," "),"")</f>
        <v xml:space="preserve">7.219,4 </v>
      </c>
      <c r="M207" s="360" t="str">
        <f>IFERROR(CONCATENATE(ROUND($B207+Hydros!H23/$C207,3),",",M$186," "),"")</f>
        <v xml:space="preserve">7.47,6 </v>
      </c>
      <c r="N207" s="360" t="str">
        <f>IFERROR(CONCATENATE(ROUND($B207+Hydros!I23/$C207,3),",",N$186," "),"")</f>
        <v xml:space="preserve">7.653,8 </v>
      </c>
      <c r="O207" s="360" t="str">
        <f>IFERROR(CONCATENATE(ROUND($B207+Hydros!J23/$C207,3),",",O$186," "),"")</f>
        <v xml:space="preserve">7.803,9.7 </v>
      </c>
      <c r="P207" s="360" t="str">
        <f>IFERROR(CONCATENATE(ROUND($B207+Hydros!K23/$C207,3),",",P$186," "),"")</f>
        <v xml:space="preserve">7.833,10 </v>
      </c>
      <c r="Q207" s="360" t="str">
        <f>IFERROR(CONCATENATE(ROUND($B207+Hydros!L23/$C207,3),",",Q$186," "),"")</f>
        <v xml:space="preserve">7.994,12 </v>
      </c>
      <c r="R207" s="360" t="str">
        <f>IFERROR(CONCATENATE(ROUND($B207+Hydros!M23/$C207,3),",",R$186," "),"")</f>
        <v xml:space="preserve">8.07,13 </v>
      </c>
      <c r="S207" s="360" t="str">
        <f>IFERROR(CONCATENATE(ROUND($B207+Hydros!N23/$C207,3),",",S$186," "),"")</f>
        <v/>
      </c>
      <c r="T207" s="360" t="str">
        <f>IFERROR(CONCATENATE(ROUND($B207+Hydros!O23/$C207,3),",",T$186," "),"")</f>
        <v/>
      </c>
      <c r="U207" s="360" t="str">
        <f>IFERROR(CONCATENATE(ROUND($B207+Hydros!P23/$C207,3),",",U$186," "),"")</f>
        <v/>
      </c>
      <c r="V207" s="360" t="str">
        <f>IFERROR(CONCATENATE(ROUND($B207+Hydros!Q23/$C207,3),",",V$186," "),"")</f>
        <v/>
      </c>
      <c r="W207" s="360" t="str">
        <f>IFERROR(CONCATENATE(ROUND($B207+Hydros!R23/$C207,3),",",W$186," "),"")</f>
        <v/>
      </c>
      <c r="X207" s="360" t="str">
        <f>IFERROR(CONCATENATE(ROUND($B207+Hydros!S23/$C207,3),",",X$186," "),"")</f>
        <v/>
      </c>
      <c r="Y207" s="360" t="str">
        <f>IFERROR(CONCATENATE(ROUND($B207+Hydros!T23/$C207,3),",",Y$186," "),"")</f>
        <v/>
      </c>
      <c r="Z207" s="360" t="str">
        <f>IFERROR(CONCATENATE(ROUND($B207+Hydros!U23/$C207,3),",",Z$186," "),"")</f>
        <v/>
      </c>
      <c r="AA207" s="360" t="str">
        <f>IFERROR(CONCATENATE(ROUND($B207+Hydros!V23/$C207,3),",",AA$186," "),"")</f>
        <v/>
      </c>
      <c r="AB207" s="360" t="str">
        <f>IFERROR(CONCATENATE(ROUND($B207+Hydros!W23/$C207,3),",",AB$186," "),"")</f>
        <v/>
      </c>
      <c r="AC207" s="360" t="str">
        <f>IFERROR(CONCATENATE(ROUND($B207+Hydros!X23/$C207,3),",",AC$186," "),"")</f>
        <v/>
      </c>
      <c r="AD207" s="360" t="str">
        <f>IFERROR(CONCATENATE(ROUND($B207+Hydros!Y23/$C207,3),",",AD$186," "),"")</f>
        <v/>
      </c>
      <c r="AE207" s="364" t="str">
        <f>IFERROR(CONCATENATE(ROUND($B207+Hydros!Z23/$C207,3),",",AE$186," "),"")</f>
        <v/>
      </c>
    </row>
    <row r="208" spans="1:31" x14ac:dyDescent="0.25">
      <c r="A208" s="358" t="str">
        <f>IF(MIN(Hydros!C24:AA24)&lt;0,"-","+")</f>
        <v>+</v>
      </c>
      <c r="B208" s="370">
        <f>IF(MIN(Hydros!C24:AA24)&lt;0,10,0)</f>
        <v>0</v>
      </c>
      <c r="C208" s="371">
        <f>IFERROR(POWER(10,INT(LOG(MAX(Hydros!B24:Z24,-MIN(Hydros!B24:Z24))))),"")</f>
        <v>0.1</v>
      </c>
      <c r="D208" s="374" t="s">
        <v>277</v>
      </c>
      <c r="E208" s="375"/>
      <c r="F208" s="373" t="str">
        <f t="shared" si="454"/>
        <v xml:space="preserve">Spline </v>
      </c>
      <c r="G208" s="360" t="str">
        <f>IFERROR(CONCATENATE(ROUND($B208+Hydros!B24/$C208,3),",",G$186," "),"")</f>
        <v/>
      </c>
      <c r="H208" s="360" t="str">
        <f>IFERROR(CONCATENATE(ROUND($B208+Hydros!C24/$C208,3),",",H$186," "),"")</f>
        <v xml:space="preserve">9.677,0.5 </v>
      </c>
      <c r="I208" s="360" t="str">
        <f>IFERROR(CONCATENATE(ROUND($B208+Hydros!D24/$C208,3),",",I$186," "),"")</f>
        <v xml:space="preserve">9.651,1 </v>
      </c>
      <c r="J208" s="360" t="str">
        <f>IFERROR(CONCATENATE(ROUND($B208+Hydros!E24/$C208,3),",",J$186," "),"")</f>
        <v xml:space="preserve">9.629,1.5 </v>
      </c>
      <c r="K208" s="360" t="str">
        <f>IFERROR(CONCATENATE(ROUND($B208+Hydros!F24/$C208,3),",",K$186," "),"")</f>
        <v xml:space="preserve">9.676,2 </v>
      </c>
      <c r="L208" s="360" t="str">
        <f>IFERROR(CONCATENATE(ROUND($B208+Hydros!G24/$C208,3),",",L$186," "),"")</f>
        <v xml:space="preserve">9.838,4 </v>
      </c>
      <c r="M208" s="360" t="str">
        <f>IFERROR(CONCATENATE(ROUND($B208+Hydros!H24/$C208,3),",",M$186," "),"")</f>
        <v xml:space="preserve">9.892,6 </v>
      </c>
      <c r="N208" s="360" t="str">
        <f>IFERROR(CONCATENATE(ROUND($B208+Hydros!I24/$C208,3),",",N$186," "),"")</f>
        <v xml:space="preserve">9.919,8 </v>
      </c>
      <c r="O208" s="360" t="str">
        <f>IFERROR(CONCATENATE(ROUND($B208+Hydros!J24/$C208,3),",",O$186," "),"")</f>
        <v xml:space="preserve">9.933,9.7 </v>
      </c>
      <c r="P208" s="360" t="str">
        <f>IFERROR(CONCATENATE(ROUND($B208+Hydros!K24/$C208,3),",",P$186," "),"")</f>
        <v xml:space="preserve">9.935,10 </v>
      </c>
      <c r="Q208" s="360" t="str">
        <f>IFERROR(CONCATENATE(ROUND($B208+Hydros!L24/$C208,3),",",Q$186," "),"")</f>
        <v xml:space="preserve">9.946,12 </v>
      </c>
      <c r="R208" s="360" t="str">
        <f>IFERROR(CONCATENATE(ROUND($B208+Hydros!M24/$C208,3),",",R$186," "),"")</f>
        <v xml:space="preserve">9.95,13 </v>
      </c>
      <c r="S208" s="360" t="str">
        <f>IFERROR(CONCATENATE(ROUND($B208+Hydros!N24/$C208,3),",",S$186," "),"")</f>
        <v/>
      </c>
      <c r="T208" s="360" t="str">
        <f>IFERROR(CONCATENATE(ROUND($B208+Hydros!O24/$C208,3),",",T$186," "),"")</f>
        <v/>
      </c>
      <c r="U208" s="360" t="str">
        <f>IFERROR(CONCATENATE(ROUND($B208+Hydros!P24/$C208,3),",",U$186," "),"")</f>
        <v/>
      </c>
      <c r="V208" s="360" t="str">
        <f>IFERROR(CONCATENATE(ROUND($B208+Hydros!Q24/$C208,3),",",V$186," "),"")</f>
        <v/>
      </c>
      <c r="W208" s="360" t="str">
        <f>IFERROR(CONCATENATE(ROUND($B208+Hydros!R24/$C208,3),",",W$186," "),"")</f>
        <v/>
      </c>
      <c r="X208" s="360" t="str">
        <f>IFERROR(CONCATENATE(ROUND($B208+Hydros!S24/$C208,3),",",X$186," "),"")</f>
        <v/>
      </c>
      <c r="Y208" s="360" t="str">
        <f>IFERROR(CONCATENATE(ROUND($B208+Hydros!T24/$C208,3),",",Y$186," "),"")</f>
        <v/>
      </c>
      <c r="Z208" s="360" t="str">
        <f>IFERROR(CONCATENATE(ROUND($B208+Hydros!U24/$C208,3),",",Z$186," "),"")</f>
        <v/>
      </c>
      <c r="AA208" s="360" t="str">
        <f>IFERROR(CONCATENATE(ROUND($B208+Hydros!V24/$C208,3),",",AA$186," "),"")</f>
        <v/>
      </c>
      <c r="AB208" s="360" t="str">
        <f>IFERROR(CONCATENATE(ROUND($B208+Hydros!W24/$C208,3),",",AB$186," "),"")</f>
        <v/>
      </c>
      <c r="AC208" s="360" t="str">
        <f>IFERROR(CONCATENATE(ROUND($B208+Hydros!X24/$C208,3),",",AC$186," "),"")</f>
        <v/>
      </c>
      <c r="AD208" s="360" t="str">
        <f>IFERROR(CONCATENATE(ROUND($B208+Hydros!Y24/$C208,3),",",AD$186," "),"")</f>
        <v/>
      </c>
      <c r="AE208" s="364" t="str">
        <f>IFERROR(CONCATENATE(ROUND($B208+Hydros!Z24/$C208,3),",",AE$186," "),"")</f>
        <v/>
      </c>
    </row>
    <row r="209" spans="1:31" x14ac:dyDescent="0.25">
      <c r="A209" s="381" t="str">
        <f>IF(MIN(Hydros!C25:AA25)&lt;0,"-","+")</f>
        <v>+</v>
      </c>
      <c r="B209" s="382">
        <v>10</v>
      </c>
      <c r="C209" s="383">
        <f>IFERROR(POWER(10,INT(LOG(MAX(Hydros!B25:Z25,-MIN(Hydros!B25:Z25))))),"")</f>
        <v>0.1</v>
      </c>
      <c r="D209" s="384" t="s">
        <v>278</v>
      </c>
      <c r="E209" s="385"/>
      <c r="F209" s="386" t="str">
        <f>IF(AND(G209="",H209=""),"","Spline ")</f>
        <v xml:space="preserve">Spline </v>
      </c>
      <c r="G209" s="387" t="str">
        <f>IFERROR(CONCATENATE(ROUND($B209+Hydros!B25/$C209,3),",",G$186," "),"")</f>
        <v/>
      </c>
      <c r="H209" s="387" t="str">
        <f>IFERROR(CONCATENATE(ROUND($B209+Hydros!C25/$C209,3),",",H$186," "),"")</f>
        <v xml:space="preserve">16.615,0.5 </v>
      </c>
      <c r="I209" s="387" t="str">
        <f>IFERROR(CONCATENATE(ROUND($B209+Hydros!D25/$C209,3),",",I$186," "),"")</f>
        <v xml:space="preserve">16.787,1 </v>
      </c>
      <c r="J209" s="387" t="str">
        <f>IFERROR(CONCATENATE(ROUND($B209+Hydros!E25/$C209,3),",",J$186," "),"")</f>
        <v xml:space="preserve">16.918,1.5 </v>
      </c>
      <c r="K209" s="387" t="str">
        <f>IFERROR(CONCATENATE(ROUND($B209+Hydros!F25/$C209,3),",",K$186," "),"")</f>
        <v xml:space="preserve">17.026,2 </v>
      </c>
      <c r="L209" s="387" t="str">
        <f>IFERROR(CONCATENATE(ROUND($B209+Hydros!G25/$C209,3),",",L$186," "),"")</f>
        <v xml:space="preserve">17.338,4 </v>
      </c>
      <c r="M209" s="387" t="str">
        <f>IFERROR(CONCATENATE(ROUND($B209+Hydros!H25/$C209,3),",",M$186," "),"")</f>
        <v xml:space="preserve">17.552,6 </v>
      </c>
      <c r="N209" s="387" t="str">
        <f>IFERROR(CONCATENATE(ROUND($B209+Hydros!I25/$C209,3),",",N$186," "),"")</f>
        <v xml:space="preserve">17.715,8 </v>
      </c>
      <c r="O209" s="387" t="str">
        <f>IFERROR(CONCATENATE(ROUND($B209+Hydros!J25/$C209,3),",",O$186," "),"")</f>
        <v xml:space="preserve">17.856,9.7 </v>
      </c>
      <c r="P209" s="387" t="str">
        <f>IFERROR(CONCATENATE(ROUND($B209+Hydros!K25/$C209,3),",",P$186," "),"")</f>
        <v xml:space="preserve">17.884,10 </v>
      </c>
      <c r="Q209" s="387" t="str">
        <f>IFERROR(CONCATENATE(ROUND($B209+Hydros!L25/$C209,3),",",Q$186," "),"")</f>
        <v xml:space="preserve">18.037,12 </v>
      </c>
      <c r="R209" s="387" t="str">
        <f>IFERROR(CONCATENATE(ROUND($B209+Hydros!M25/$C209,3),",",R$186," "),"")</f>
        <v xml:space="preserve">18.111,13 </v>
      </c>
      <c r="S209" s="387" t="str">
        <f>IFERROR(CONCATENATE(ROUND($B209+Hydros!N25/$C209,3),",",S$186," "),"")</f>
        <v/>
      </c>
      <c r="T209" s="387" t="str">
        <f>IFERROR(CONCATENATE(ROUND($B209+Hydros!O25/$C209,3),",",T$186," "),"")</f>
        <v/>
      </c>
      <c r="U209" s="387" t="str">
        <f>IFERROR(CONCATENATE(ROUND($B209+Hydros!P25/$C209,3),",",U$186," "),"")</f>
        <v/>
      </c>
      <c r="V209" s="387" t="str">
        <f>IFERROR(CONCATENATE(ROUND($B209+Hydros!Q25/$C209,3),",",V$186," "),"")</f>
        <v/>
      </c>
      <c r="W209" s="387" t="str">
        <f>IFERROR(CONCATENATE(ROUND($B209+Hydros!R25/$C209,3),",",W$186," "),"")</f>
        <v/>
      </c>
      <c r="X209" s="387" t="str">
        <f>IFERROR(CONCATENATE(ROUND($B209+Hydros!S25/$C209,3),",",X$186," "),"")</f>
        <v/>
      </c>
      <c r="Y209" s="387" t="str">
        <f>IFERROR(CONCATENATE(ROUND($B209+Hydros!T25/$C209,3),",",Y$186," "),"")</f>
        <v/>
      </c>
      <c r="Z209" s="387" t="str">
        <f>IFERROR(CONCATENATE(ROUND($B209+Hydros!U25/$C209,3),",",Z$186," "),"")</f>
        <v/>
      </c>
      <c r="AA209" s="387" t="str">
        <f>IFERROR(CONCATENATE(ROUND($B209+Hydros!V25/$C209,3),",",AA$186," "),"")</f>
        <v/>
      </c>
      <c r="AB209" s="387" t="str">
        <f>IFERROR(CONCATENATE(ROUND($B209+Hydros!W25/$C209,3),",",AB$186," "),"")</f>
        <v/>
      </c>
      <c r="AC209" s="387" t="str">
        <f>IFERROR(CONCATENATE(ROUND($B209+Hydros!X25/$C209,3),",",AC$186," "),"")</f>
        <v/>
      </c>
      <c r="AD209" s="387" t="str">
        <f>IFERROR(CONCATENATE(ROUND($B209+Hydros!Y25/$C209,3),",",AD$186," "),"")</f>
        <v/>
      </c>
      <c r="AE209" s="388" t="str">
        <f>IFERROR(CONCATENATE(ROUND($B209+Hydros!Z25/$C209,3),",",AE$186," "),"")</f>
        <v/>
      </c>
    </row>
    <row r="210" spans="1:31" x14ac:dyDescent="0.25">
      <c r="A210" s="277"/>
      <c r="B210" s="280"/>
      <c r="C210" s="280"/>
      <c r="D210" s="389" t="s">
        <v>260</v>
      </c>
      <c r="E210" s="390">
        <f>IFERROR(Tools!G186*1,NA())</f>
        <v>0</v>
      </c>
      <c r="F210" s="390">
        <f>IFERROR(Tools!H186*1,NA())</f>
        <v>0.5</v>
      </c>
      <c r="G210" s="390">
        <f>IFERROR(Tools!I186*1,NA())</f>
        <v>1</v>
      </c>
      <c r="H210" s="390">
        <f>IFERROR(Tools!J186*1,NA())</f>
        <v>1.5</v>
      </c>
      <c r="I210" s="390">
        <f>IFERROR(Tools!K186*1,NA())</f>
        <v>2</v>
      </c>
      <c r="J210" s="390">
        <f>IFERROR(Tools!L186*1,NA())</f>
        <v>4</v>
      </c>
      <c r="K210" s="390">
        <f>IFERROR(Tools!M186*1,NA())</f>
        <v>6</v>
      </c>
      <c r="L210" s="390">
        <f>IFERROR(Tools!N186*1,NA())</f>
        <v>8</v>
      </c>
      <c r="M210" s="390">
        <f>IFERROR(Tools!O186*1,NA())</f>
        <v>9.6999999999999993</v>
      </c>
      <c r="N210" s="390">
        <f>IFERROR(Tools!P186*1,NA())</f>
        <v>10</v>
      </c>
      <c r="O210" s="390">
        <f>IFERROR(Tools!Q186*1,NA())</f>
        <v>12</v>
      </c>
      <c r="P210" s="390">
        <f>IFERROR(Tools!R186*1,NA())</f>
        <v>13</v>
      </c>
      <c r="Q210" s="390" t="e">
        <f>IFERROR(Tools!S186*1,NA())</f>
        <v>#N/A</v>
      </c>
      <c r="R210" s="390" t="e">
        <f>IFERROR(Tools!T186*1,NA())</f>
        <v>#N/A</v>
      </c>
      <c r="S210" s="390" t="e">
        <f>IFERROR(Tools!U186*1,NA())</f>
        <v>#N/A</v>
      </c>
      <c r="T210" s="390" t="e">
        <f>IFERROR(Tools!V186*1,NA())</f>
        <v>#N/A</v>
      </c>
      <c r="U210" s="390" t="e">
        <f>IFERROR(Tools!W186*1,NA())</f>
        <v>#N/A</v>
      </c>
      <c r="V210" s="390" t="e">
        <f>IFERROR(Tools!X186*1,NA())</f>
        <v>#N/A</v>
      </c>
      <c r="W210" s="390" t="e">
        <f>IFERROR(Tools!Y186*1,NA())</f>
        <v>#N/A</v>
      </c>
      <c r="X210" s="390" t="e">
        <f>IFERROR(Tools!Z186*1,NA())</f>
        <v>#N/A</v>
      </c>
      <c r="Y210" s="390" t="e">
        <f>IFERROR(Tools!AA186*1,NA())</f>
        <v>#N/A</v>
      </c>
      <c r="Z210" s="390" t="e">
        <f>IFERROR(Tools!AB186*1,NA())</f>
        <v>#N/A</v>
      </c>
      <c r="AA210" s="390" t="e">
        <f>IFERROR(Tools!AC186*1,NA())</f>
        <v>#N/A</v>
      </c>
      <c r="AB210" s="390" t="e">
        <f>IFERROR(Tools!AD186*1,NA())</f>
        <v>#N/A</v>
      </c>
      <c r="AC210" s="390" t="e">
        <f>IFERROR(Tools!AE186*1,NA())</f>
        <v>#N/A</v>
      </c>
      <c r="AD210" s="280"/>
      <c r="AE210" s="279"/>
    </row>
    <row r="211" spans="1:31" x14ac:dyDescent="0.25">
      <c r="A211" s="277"/>
      <c r="B211" s="280"/>
      <c r="C211" s="280"/>
      <c r="D211" s="391" t="s">
        <v>187</v>
      </c>
      <c r="E211" s="392">
        <f>IFERROR((Tools!$B187+ROUND(Hydros!B3/Tools!$C187,3)),NA())</f>
        <v>11.811999999999999</v>
      </c>
      <c r="F211" s="392">
        <f>IFERROR((Tools!$B187+ROUND(Hydros!C3/Tools!$C187,3)),NA())</f>
        <v>12.079000000000001</v>
      </c>
      <c r="G211" s="392">
        <f>IFERROR((Tools!$B187+ROUND(Hydros!D3/Tools!$C187,3)),NA())</f>
        <v>12.222999999999999</v>
      </c>
      <c r="H211" s="392">
        <f>IFERROR((Tools!$B187+ROUND(Hydros!E3/Tools!$C187,3)),NA())</f>
        <v>12.318999999999999</v>
      </c>
      <c r="I211" s="392">
        <f>IFERROR((Tools!$B187+ROUND(Hydros!F3/Tools!$C187,3)),NA())</f>
        <v>12.382999999999999</v>
      </c>
      <c r="J211" s="392">
        <f>IFERROR((Tools!$B187+ROUND(Hydros!G3/Tools!$C187,3)),NA())</f>
        <v>12.521000000000001</v>
      </c>
      <c r="K211" s="392">
        <f>IFERROR((Tools!$B187+ROUND(Hydros!H3/Tools!$C187,3)),NA())</f>
        <v>12.597999999999999</v>
      </c>
      <c r="L211" s="392">
        <f>IFERROR((Tools!$B187+ROUND(Hydros!I3/Tools!$C187,3)),NA())</f>
        <v>12.693999999999999</v>
      </c>
      <c r="M211" s="392">
        <f>IFERROR((Tools!$B187+ROUND(Hydros!J3/Tools!$C187,3)),NA())</f>
        <v>12.782</v>
      </c>
      <c r="N211" s="392">
        <f>IFERROR((Tools!$B187+ROUND(Hydros!K3/Tools!$C187,3)),NA())</f>
        <v>12.795</v>
      </c>
      <c r="O211" s="392">
        <f>IFERROR((Tools!$B187+ROUND(Hydros!L3/Tools!$C187,3)),NA())</f>
        <v>12.872</v>
      </c>
      <c r="P211" s="392">
        <f>IFERROR((Tools!$B187+ROUND(Hydros!M3/Tools!$C187,3)),NA())</f>
        <v>12.91</v>
      </c>
      <c r="Q211" s="392" t="e">
        <f>IFERROR((Tools!$B187+ROUND(Hydros!N3/Tools!$C187,3)),NA())</f>
        <v>#N/A</v>
      </c>
      <c r="R211" s="392" t="e">
        <f>IFERROR((Tools!$B187+ROUND(Hydros!O3/Tools!$C187,3)),NA())</f>
        <v>#N/A</v>
      </c>
      <c r="S211" s="392" t="e">
        <f>IFERROR((Tools!$B187+ROUND(Hydros!P3/Tools!$C187,3)),NA())</f>
        <v>#N/A</v>
      </c>
      <c r="T211" s="392" t="e">
        <f>IFERROR((Tools!$B187+ROUND(Hydros!Q3/Tools!$C187,3)),NA())</f>
        <v>#N/A</v>
      </c>
      <c r="U211" s="392" t="e">
        <f>IFERROR((Tools!$B187+ROUND(Hydros!R3/Tools!$C187,3)),NA())</f>
        <v>#N/A</v>
      </c>
      <c r="V211" s="392" t="e">
        <f>IFERROR((Tools!$B187+ROUND(Hydros!S3/Tools!$C187,3)),NA())</f>
        <v>#N/A</v>
      </c>
      <c r="W211" s="392" t="e">
        <f>IFERROR((Tools!$B187+ROUND(Hydros!T3/Tools!$C187,3)),NA())</f>
        <v>#N/A</v>
      </c>
      <c r="X211" s="392" t="e">
        <f>IFERROR((Tools!$B187+ROUND(Hydros!U3/Tools!$C187,3)),NA())</f>
        <v>#N/A</v>
      </c>
      <c r="Y211" s="392" t="e">
        <f>IFERROR((Tools!$B187+ROUND(Hydros!V3/Tools!$C187,3)),NA())</f>
        <v>#N/A</v>
      </c>
      <c r="Z211" s="392" t="e">
        <f>IFERROR((Tools!$B187+ROUND(Hydros!W3/Tools!$C187,3)),NA())</f>
        <v>#N/A</v>
      </c>
      <c r="AA211" s="392" t="e">
        <f>IFERROR((Tools!$B187+ROUND(Hydros!X3/Tools!$C187,3)),NA())</f>
        <v>#N/A</v>
      </c>
      <c r="AB211" s="392" t="e">
        <f>IFERROR((Tools!$B187+ROUND(Hydros!Y3/Tools!$C187,3)),NA())</f>
        <v>#N/A</v>
      </c>
      <c r="AC211" s="392" t="e">
        <f>IFERROR((Tools!$B187+ROUND(Hydros!Z3/Tools!$C187,3)),NA())</f>
        <v>#N/A</v>
      </c>
      <c r="AD211" s="280"/>
      <c r="AE211" s="279"/>
    </row>
    <row r="212" spans="1:31" x14ac:dyDescent="0.25">
      <c r="A212" s="277"/>
      <c r="B212" s="280"/>
      <c r="C212" s="280"/>
      <c r="D212" s="391" t="s">
        <v>188</v>
      </c>
      <c r="E212" s="392">
        <f>IFERROR((Tools!$B188+ROUND(Hydros!B4/Tools!$C188,3)),NA())</f>
        <v>11.098000000000001</v>
      </c>
      <c r="F212" s="392">
        <f>IFERROR((Tools!$B188+ROUND(Hydros!C4/Tools!$C188,3)),NA())</f>
        <v>11.163</v>
      </c>
      <c r="G212" s="392">
        <f>IFERROR((Tools!$B188+ROUND(Hydros!D4/Tools!$C188,3)),NA())</f>
        <v>11.166</v>
      </c>
      <c r="H212" s="392">
        <f>IFERROR((Tools!$B188+ROUND(Hydros!E4/Tools!$C188,3)),NA())</f>
        <v>11.164999999999999</v>
      </c>
      <c r="I212" s="392">
        <f>IFERROR((Tools!$B188+ROUND(Hydros!F4/Tools!$C188,3)),NA())</f>
        <v>11.156000000000001</v>
      </c>
      <c r="J212" s="392">
        <f>IFERROR((Tools!$B188+ROUND(Hydros!G4/Tools!$C188,3)),NA())</f>
        <v>10.981999999999999</v>
      </c>
      <c r="K212" s="392">
        <f>IFERROR((Tools!$B188+ROUND(Hydros!H4/Tools!$C188,3)),NA())</f>
        <v>10.717000000000001</v>
      </c>
      <c r="L212" s="392">
        <f>IFERROR((Tools!$B188+ROUND(Hydros!I4/Tools!$C188,3)),NA())</f>
        <v>10.288</v>
      </c>
      <c r="M212" s="392">
        <f>IFERROR((Tools!$B188+ROUND(Hydros!J4/Tools!$C188,3)),NA())</f>
        <v>9.9510000000000005</v>
      </c>
      <c r="N212" s="392">
        <f>IFERROR((Tools!$B188+ROUND(Hydros!K4/Tools!$C188,3)),NA())</f>
        <v>9.9139999999999997</v>
      </c>
      <c r="O212" s="392">
        <f>IFERROR((Tools!$B188+ROUND(Hydros!L4/Tools!$C188,3)),NA())</f>
        <v>9.7810000000000006</v>
      </c>
      <c r="P212" s="392">
        <f>IFERROR((Tools!$B188+ROUND(Hydros!M4/Tools!$C188,3)),NA())</f>
        <v>9.7409999999999997</v>
      </c>
      <c r="Q212" s="392" t="e">
        <f>IFERROR((Tools!$B188+ROUND(Hydros!N4/Tools!$C188,3)),NA())</f>
        <v>#N/A</v>
      </c>
      <c r="R212" s="392" t="e">
        <f>IFERROR((Tools!$B188+ROUND(Hydros!O4/Tools!$C188,3)),NA())</f>
        <v>#N/A</v>
      </c>
      <c r="S212" s="392" t="e">
        <f>IFERROR((Tools!$B188+ROUND(Hydros!P4/Tools!$C188,3)),NA())</f>
        <v>#N/A</v>
      </c>
      <c r="T212" s="392" t="e">
        <f>IFERROR((Tools!$B188+ROUND(Hydros!Q4/Tools!$C188,3)),NA())</f>
        <v>#N/A</v>
      </c>
      <c r="U212" s="392" t="e">
        <f>IFERROR((Tools!$B188+ROUND(Hydros!R4/Tools!$C188,3)),NA())</f>
        <v>#N/A</v>
      </c>
      <c r="V212" s="392" t="e">
        <f>IFERROR((Tools!$B188+ROUND(Hydros!S4/Tools!$C188,3)),NA())</f>
        <v>#N/A</v>
      </c>
      <c r="W212" s="392" t="e">
        <f>IFERROR((Tools!$B188+ROUND(Hydros!T4/Tools!$C188,3)),NA())</f>
        <v>#N/A</v>
      </c>
      <c r="X212" s="392" t="e">
        <f>IFERROR((Tools!$B188+ROUND(Hydros!U4/Tools!$C188,3)),NA())</f>
        <v>#N/A</v>
      </c>
      <c r="Y212" s="392" t="e">
        <f>IFERROR((Tools!$B188+ROUND(Hydros!V4/Tools!$C188,3)),NA())</f>
        <v>#N/A</v>
      </c>
      <c r="Z212" s="392" t="e">
        <f>IFERROR((Tools!$B188+ROUND(Hydros!W4/Tools!$C188,3)),NA())</f>
        <v>#N/A</v>
      </c>
      <c r="AA212" s="392" t="e">
        <f>IFERROR((Tools!$B188+ROUND(Hydros!X4/Tools!$C188,3)),NA())</f>
        <v>#N/A</v>
      </c>
      <c r="AB212" s="392" t="e">
        <f>IFERROR((Tools!$B188+ROUND(Hydros!Y4/Tools!$C188,3)),NA())</f>
        <v>#N/A</v>
      </c>
      <c r="AC212" s="392" t="e">
        <f>IFERROR((Tools!$B188+ROUND(Hydros!Z4/Tools!$C188,3)),NA())</f>
        <v>#N/A</v>
      </c>
      <c r="AD212" s="280"/>
      <c r="AE212" s="279"/>
    </row>
    <row r="213" spans="1:31" x14ac:dyDescent="0.25">
      <c r="A213" s="277"/>
      <c r="B213" s="280"/>
      <c r="C213" s="280"/>
      <c r="D213" s="391" t="s">
        <v>39</v>
      </c>
      <c r="E213" s="392">
        <f>IFERROR((Tools!$B189+ROUND(Hydros!B5/Tools!$C189,3)),NA())</f>
        <v>16.059000000000001</v>
      </c>
      <c r="F213" s="392">
        <f>IFERROR((Tools!$B189+ROUND(Hydros!C5/Tools!$C189,3)),NA())</f>
        <v>15.594000000000001</v>
      </c>
      <c r="G213" s="392">
        <f>IFERROR((Tools!$B189+ROUND(Hydros!D5/Tools!$C189,3)),NA())</f>
        <v>15.242000000000001</v>
      </c>
      <c r="H213" s="392">
        <f>IFERROR((Tools!$B189+ROUND(Hydros!E5/Tools!$C189,3)),NA())</f>
        <v>15.022</v>
      </c>
      <c r="I213" s="392">
        <f>IFERROR((Tools!$B189+ROUND(Hydros!F5/Tools!$C189,3)),NA())</f>
        <v>14.85</v>
      </c>
      <c r="J213" s="392">
        <f>IFERROR((Tools!$B189+ROUND(Hydros!G5/Tools!$C189,3)),NA())</f>
        <v>13.895</v>
      </c>
      <c r="K213" s="392">
        <f>IFERROR((Tools!$B189+ROUND(Hydros!H5/Tools!$C189,3)),NA())</f>
        <v>12.762</v>
      </c>
      <c r="L213" s="392">
        <f>IFERROR((Tools!$B189+ROUND(Hydros!I5/Tools!$C189,3)),NA())</f>
        <v>11.068999999999999</v>
      </c>
      <c r="M213" s="392">
        <f>IFERROR((Tools!$B189+ROUND(Hydros!J5/Tools!$C189,3)),NA())</f>
        <v>9.8219999999999992</v>
      </c>
      <c r="N213" s="392">
        <f>IFERROR((Tools!$B189+ROUND(Hydros!K5/Tools!$C189,3)),NA())</f>
        <v>9.6929999999999996</v>
      </c>
      <c r="O213" s="392">
        <f>IFERROR((Tools!$B189+ROUND(Hydros!L5/Tools!$C189,3)),NA())</f>
        <v>9.2390000000000008</v>
      </c>
      <c r="P213" s="392">
        <f>IFERROR((Tools!$B189+ROUND(Hydros!M5/Tools!$C189,3)),NA())</f>
        <v>9.109</v>
      </c>
      <c r="Q213" s="392" t="e">
        <f>IFERROR((Tools!$B189+ROUND(Hydros!N5/Tools!$C189,3)),NA())</f>
        <v>#N/A</v>
      </c>
      <c r="R213" s="392" t="e">
        <f>IFERROR((Tools!$B189+ROUND(Hydros!O5/Tools!$C189,3)),NA())</f>
        <v>#N/A</v>
      </c>
      <c r="S213" s="392" t="e">
        <f>IFERROR((Tools!$B189+ROUND(Hydros!P5/Tools!$C189,3)),NA())</f>
        <v>#N/A</v>
      </c>
      <c r="T213" s="392" t="e">
        <f>IFERROR((Tools!$B189+ROUND(Hydros!Q5/Tools!$C189,3)),NA())</f>
        <v>#N/A</v>
      </c>
      <c r="U213" s="392" t="e">
        <f>IFERROR((Tools!$B189+ROUND(Hydros!R5/Tools!$C189,3)),NA())</f>
        <v>#N/A</v>
      </c>
      <c r="V213" s="392" t="e">
        <f>IFERROR((Tools!$B189+ROUND(Hydros!S5/Tools!$C189,3)),NA())</f>
        <v>#N/A</v>
      </c>
      <c r="W213" s="392" t="e">
        <f>IFERROR((Tools!$B189+ROUND(Hydros!T5/Tools!$C189,3)),NA())</f>
        <v>#N/A</v>
      </c>
      <c r="X213" s="392" t="e">
        <f>IFERROR((Tools!$B189+ROUND(Hydros!U5/Tools!$C189,3)),NA())</f>
        <v>#N/A</v>
      </c>
      <c r="Y213" s="392" t="e">
        <f>IFERROR((Tools!$B189+ROUND(Hydros!V5/Tools!$C189,3)),NA())</f>
        <v>#N/A</v>
      </c>
      <c r="Z213" s="392" t="e">
        <f>IFERROR((Tools!$B189+ROUND(Hydros!W5/Tools!$C189,3)),NA())</f>
        <v>#N/A</v>
      </c>
      <c r="AA213" s="392" t="e">
        <f>IFERROR((Tools!$B189+ROUND(Hydros!X5/Tools!$C189,3)),NA())</f>
        <v>#N/A</v>
      </c>
      <c r="AB213" s="392" t="e">
        <f>IFERROR((Tools!$B189+ROUND(Hydros!Y5/Tools!$C189,3)),NA())</f>
        <v>#N/A</v>
      </c>
      <c r="AC213" s="392" t="e">
        <f>IFERROR((Tools!$B189+ROUND(Hydros!Z5/Tools!$C189,3)),NA())</f>
        <v>#N/A</v>
      </c>
      <c r="AD213" s="280"/>
      <c r="AE213" s="279"/>
    </row>
    <row r="214" spans="1:31" x14ac:dyDescent="0.25">
      <c r="A214" s="277"/>
      <c r="B214" s="280"/>
      <c r="C214" s="280"/>
      <c r="D214" s="391" t="s">
        <v>279</v>
      </c>
      <c r="E214" s="392">
        <f>IFERROR((Tools!$B190+ROUND(Hydros!B6/Tools!$C190,3)),NA())</f>
        <v>11.635999999999999</v>
      </c>
      <c r="F214" s="392">
        <f>IFERROR((Tools!$B190+ROUND(Hydros!C6/Tools!$C190,3)),NA())</f>
        <v>12.1</v>
      </c>
      <c r="G214" s="392">
        <f>IFERROR((Tools!$B190+ROUND(Hydros!D6/Tools!$C190,3)),NA())</f>
        <v>12.371</v>
      </c>
      <c r="H214" s="392">
        <f>IFERROR((Tools!$B190+ROUND(Hydros!E6/Tools!$C190,3)),NA())</f>
        <v>12.559000000000001</v>
      </c>
      <c r="I214" s="392">
        <f>IFERROR((Tools!$B190+ROUND(Hydros!F6/Tools!$C190,3)),NA())</f>
        <v>12.699</v>
      </c>
      <c r="J214" s="392">
        <f>IFERROR((Tools!$B190+ROUND(Hydros!G6/Tools!$C190,3)),NA())</f>
        <v>13.045999999999999</v>
      </c>
      <c r="K214" s="392">
        <f>IFERROR((Tools!$B190+ROUND(Hydros!H6/Tools!$C190,3)),NA())</f>
        <v>13.260999999999999</v>
      </c>
      <c r="L214" s="392">
        <f>IFERROR((Tools!$B190+ROUND(Hydros!I6/Tools!$C190,3)),NA())</f>
        <v>13.588000000000001</v>
      </c>
      <c r="M214" s="392">
        <f>IFERROR((Tools!$B190+ROUND(Hydros!J6/Tools!$C190,3)),NA())</f>
        <v>13.911</v>
      </c>
      <c r="N214" s="392">
        <f>IFERROR((Tools!$B190+ROUND(Hydros!K6/Tools!$C190,3)),NA())</f>
        <v>13.959</v>
      </c>
      <c r="O214" s="392">
        <f>IFERROR((Tools!$B190+ROUND(Hydros!L6/Tools!$C190,3)),NA())</f>
        <v>14.244</v>
      </c>
      <c r="P214" s="392">
        <f>IFERROR((Tools!$B190+ROUND(Hydros!M6/Tools!$C190,3)),NA())</f>
        <v>14.388999999999999</v>
      </c>
      <c r="Q214" s="392" t="e">
        <f>IFERROR((Tools!$B190+ROUND(Hydros!N6/Tools!$C190,3)),NA())</f>
        <v>#N/A</v>
      </c>
      <c r="R214" s="392" t="e">
        <f>IFERROR((Tools!$B190+ROUND(Hydros!O6/Tools!$C190,3)),NA())</f>
        <v>#N/A</v>
      </c>
      <c r="S214" s="392" t="e">
        <f>IFERROR((Tools!$B190+ROUND(Hydros!P6/Tools!$C190,3)),NA())</f>
        <v>#N/A</v>
      </c>
      <c r="T214" s="392" t="e">
        <f>IFERROR((Tools!$B190+ROUND(Hydros!Q6/Tools!$C190,3)),NA())</f>
        <v>#N/A</v>
      </c>
      <c r="U214" s="392" t="e">
        <f>IFERROR((Tools!$B190+ROUND(Hydros!R6/Tools!$C190,3)),NA())</f>
        <v>#N/A</v>
      </c>
      <c r="V214" s="392" t="e">
        <f>IFERROR((Tools!$B190+ROUND(Hydros!S6/Tools!$C190,3)),NA())</f>
        <v>#N/A</v>
      </c>
      <c r="W214" s="392" t="e">
        <f>IFERROR((Tools!$B190+ROUND(Hydros!T6/Tools!$C190,3)),NA())</f>
        <v>#N/A</v>
      </c>
      <c r="X214" s="392" t="e">
        <f>IFERROR((Tools!$B190+ROUND(Hydros!U6/Tools!$C190,3)),NA())</f>
        <v>#N/A</v>
      </c>
      <c r="Y214" s="392" t="e">
        <f>IFERROR((Tools!$B190+ROUND(Hydros!V6/Tools!$C190,3)),NA())</f>
        <v>#N/A</v>
      </c>
      <c r="Z214" s="392" t="e">
        <f>IFERROR((Tools!$B190+ROUND(Hydros!W6/Tools!$C190,3)),NA())</f>
        <v>#N/A</v>
      </c>
      <c r="AA214" s="392" t="e">
        <f>IFERROR((Tools!$B190+ROUND(Hydros!X6/Tools!$C190,3)),NA())</f>
        <v>#N/A</v>
      </c>
      <c r="AB214" s="392" t="e">
        <f>IFERROR((Tools!$B190+ROUND(Hydros!Y6/Tools!$C190,3)),NA())</f>
        <v>#N/A</v>
      </c>
      <c r="AC214" s="392" t="e">
        <f>IFERROR((Tools!$B190+ROUND(Hydros!Z6/Tools!$C190,3)),NA())</f>
        <v>#N/A</v>
      </c>
      <c r="AD214" s="280"/>
      <c r="AE214" s="279"/>
    </row>
    <row r="215" spans="1:31" x14ac:dyDescent="0.25">
      <c r="A215" s="277"/>
      <c r="B215" s="280"/>
      <c r="C215" s="280"/>
      <c r="D215" s="391" t="s">
        <v>280</v>
      </c>
      <c r="E215" s="392">
        <f>IFERROR((Tools!$B191+ROUND(Hydros!B7/Tools!$C191,3)),NA())</f>
        <v>10.445</v>
      </c>
      <c r="F215" s="392">
        <f>IFERROR((Tools!$B191+ROUND(Hydros!C7/Tools!$C191,3)),NA())</f>
        <v>10.592000000000001</v>
      </c>
      <c r="G215" s="392">
        <f>IFERROR((Tools!$B191+ROUND(Hydros!D7/Tools!$C191,3)),NA())</f>
        <v>10.678000000000001</v>
      </c>
      <c r="H215" s="392">
        <f>IFERROR((Tools!$B191+ROUND(Hydros!E7/Tools!$C191,3)),NA())</f>
        <v>10.74</v>
      </c>
      <c r="I215" s="392">
        <f>IFERROR((Tools!$B191+ROUND(Hydros!F7/Tools!$C191,3)),NA())</f>
        <v>10.78</v>
      </c>
      <c r="J215" s="392">
        <f>IFERROR((Tools!$B191+ROUND(Hydros!G7/Tools!$C191,3)),NA())</f>
        <v>10.859</v>
      </c>
      <c r="K215" s="392">
        <f>IFERROR((Tools!$B191+ROUND(Hydros!H7/Tools!$C191,3)),NA())</f>
        <v>10.9</v>
      </c>
      <c r="L215" s="392">
        <f>IFERROR((Tools!$B191+ROUND(Hydros!I7/Tools!$C191,3)),NA())</f>
        <v>10.943999999999999</v>
      </c>
      <c r="M215" s="392">
        <f>IFERROR((Tools!$B191+ROUND(Hydros!J7/Tools!$C191,3)),NA())</f>
        <v>10.986000000000001</v>
      </c>
      <c r="N215" s="392">
        <f>IFERROR((Tools!$B191+ROUND(Hydros!K7/Tools!$C191,3)),NA())</f>
        <v>10.993</v>
      </c>
      <c r="O215" s="392">
        <f>IFERROR((Tools!$B191+ROUND(Hydros!L7/Tools!$C191,3)),NA())</f>
        <v>11.039</v>
      </c>
      <c r="P215" s="392">
        <f>IFERROR((Tools!$B191+ROUND(Hydros!M7/Tools!$C191,3)),NA())</f>
        <v>11.063000000000001</v>
      </c>
      <c r="Q215" s="392" t="e">
        <f>IFERROR((Tools!$B191+ROUND(Hydros!N7/Tools!$C191,3)),NA())</f>
        <v>#N/A</v>
      </c>
      <c r="R215" s="392" t="e">
        <f>IFERROR((Tools!$B191+ROUND(Hydros!O7/Tools!$C191,3)),NA())</f>
        <v>#N/A</v>
      </c>
      <c r="S215" s="392" t="e">
        <f>IFERROR((Tools!$B191+ROUND(Hydros!P7/Tools!$C191,3)),NA())</f>
        <v>#N/A</v>
      </c>
      <c r="T215" s="392" t="e">
        <f>IFERROR((Tools!$B191+ROUND(Hydros!Q7/Tools!$C191,3)),NA())</f>
        <v>#N/A</v>
      </c>
      <c r="U215" s="392" t="e">
        <f>IFERROR((Tools!$B191+ROUND(Hydros!R7/Tools!$C191,3)),NA())</f>
        <v>#N/A</v>
      </c>
      <c r="V215" s="392" t="e">
        <f>IFERROR((Tools!$B191+ROUND(Hydros!S7/Tools!$C191,3)),NA())</f>
        <v>#N/A</v>
      </c>
      <c r="W215" s="392" t="e">
        <f>IFERROR((Tools!$B191+ROUND(Hydros!T7/Tools!$C191,3)),NA())</f>
        <v>#N/A</v>
      </c>
      <c r="X215" s="392" t="e">
        <f>IFERROR((Tools!$B191+ROUND(Hydros!U7/Tools!$C191,3)),NA())</f>
        <v>#N/A</v>
      </c>
      <c r="Y215" s="392" t="e">
        <f>IFERROR((Tools!$B191+ROUND(Hydros!V7/Tools!$C191,3)),NA())</f>
        <v>#N/A</v>
      </c>
      <c r="Z215" s="392" t="e">
        <f>IFERROR((Tools!$B191+ROUND(Hydros!W7/Tools!$C191,3)),NA())</f>
        <v>#N/A</v>
      </c>
      <c r="AA215" s="392" t="e">
        <f>IFERROR((Tools!$B191+ROUND(Hydros!X7/Tools!$C191,3)),NA())</f>
        <v>#N/A</v>
      </c>
      <c r="AB215" s="392" t="e">
        <f>IFERROR((Tools!$B191+ROUND(Hydros!Y7/Tools!$C191,3)),NA())</f>
        <v>#N/A</v>
      </c>
      <c r="AC215" s="392" t="e">
        <f>IFERROR((Tools!$B191+ROUND(Hydros!Z7/Tools!$C191,3)),NA())</f>
        <v>#N/A</v>
      </c>
      <c r="AD215" s="280"/>
      <c r="AE215" s="279"/>
    </row>
    <row r="216" spans="1:31" x14ac:dyDescent="0.25">
      <c r="A216" s="277"/>
      <c r="B216" s="280"/>
      <c r="C216" s="280"/>
      <c r="D216" s="391" t="s">
        <v>281</v>
      </c>
      <c r="E216" s="392">
        <f>IFERROR((Tools!$B192+ROUND(Hydros!B8/Tools!$C192,3)),NA())</f>
        <v>11.57</v>
      </c>
      <c r="F216" s="392">
        <f>IFERROR((Tools!$B192+ROUND(Hydros!C8/Tools!$C192,3)),NA())</f>
        <v>12.035</v>
      </c>
      <c r="G216" s="392">
        <f>IFERROR((Tools!$B192+ROUND(Hydros!D8/Tools!$C192,3)),NA())</f>
        <v>12.31</v>
      </c>
      <c r="H216" s="392">
        <f>IFERROR((Tools!$B192+ROUND(Hydros!E8/Tools!$C192,3)),NA())</f>
        <v>12.500999999999999</v>
      </c>
      <c r="I216" s="392">
        <f>IFERROR((Tools!$B192+ROUND(Hydros!F8/Tools!$C192,3)),NA())</f>
        <v>12.641999999999999</v>
      </c>
      <c r="J216" s="392">
        <f>IFERROR((Tools!$B192+ROUND(Hydros!G8/Tools!$C192,3)),NA())</f>
        <v>13.007999999999999</v>
      </c>
      <c r="K216" s="392">
        <f>IFERROR((Tools!$B192+ROUND(Hydros!H8/Tools!$C192,3)),NA())</f>
        <v>13.241</v>
      </c>
      <c r="L216" s="392">
        <f>IFERROR((Tools!$B192+ROUND(Hydros!I8/Tools!$C192,3)),NA())</f>
        <v>13.585000000000001</v>
      </c>
      <c r="M216" s="392">
        <f>IFERROR((Tools!$B192+ROUND(Hydros!J8/Tools!$C192,3)),NA())</f>
        <v>13.911</v>
      </c>
      <c r="N216" s="392">
        <f>IFERROR((Tools!$B192+ROUND(Hydros!K8/Tools!$C192,3)),NA())</f>
        <v>13.959</v>
      </c>
      <c r="O216" s="392">
        <f>IFERROR((Tools!$B192+ROUND(Hydros!L8/Tools!$C192,3)),NA())</f>
        <v>14.243</v>
      </c>
      <c r="P216" s="392">
        <f>IFERROR((Tools!$B192+ROUND(Hydros!M8/Tools!$C192,3)),NA())</f>
        <v>14.385999999999999</v>
      </c>
      <c r="Q216" s="392" t="e">
        <f>IFERROR((Tools!$B192+ROUND(Hydros!N8/Tools!$C192,3)),NA())</f>
        <v>#N/A</v>
      </c>
      <c r="R216" s="392" t="e">
        <f>IFERROR((Tools!$B192+ROUND(Hydros!O8/Tools!$C192,3)),NA())</f>
        <v>#N/A</v>
      </c>
      <c r="S216" s="392" t="e">
        <f>IFERROR((Tools!$B192+ROUND(Hydros!P8/Tools!$C192,3)),NA())</f>
        <v>#N/A</v>
      </c>
      <c r="T216" s="392" t="e">
        <f>IFERROR((Tools!$B192+ROUND(Hydros!Q8/Tools!$C192,3)),NA())</f>
        <v>#N/A</v>
      </c>
      <c r="U216" s="392" t="e">
        <f>IFERROR((Tools!$B192+ROUND(Hydros!R8/Tools!$C192,3)),NA())</f>
        <v>#N/A</v>
      </c>
      <c r="V216" s="392" t="e">
        <f>IFERROR((Tools!$B192+ROUND(Hydros!S8/Tools!$C192,3)),NA())</f>
        <v>#N/A</v>
      </c>
      <c r="W216" s="392" t="e">
        <f>IFERROR((Tools!$B192+ROUND(Hydros!T8/Tools!$C192,3)),NA())</f>
        <v>#N/A</v>
      </c>
      <c r="X216" s="392" t="e">
        <f>IFERROR((Tools!$B192+ROUND(Hydros!U8/Tools!$C192,3)),NA())</f>
        <v>#N/A</v>
      </c>
      <c r="Y216" s="392" t="e">
        <f>IFERROR((Tools!$B192+ROUND(Hydros!V8/Tools!$C192,3)),NA())</f>
        <v>#N/A</v>
      </c>
      <c r="Z216" s="392" t="e">
        <f>IFERROR((Tools!$B192+ROUND(Hydros!W8/Tools!$C192,3)),NA())</f>
        <v>#N/A</v>
      </c>
      <c r="AA216" s="392" t="e">
        <f>IFERROR((Tools!$B192+ROUND(Hydros!X8/Tools!$C192,3)),NA())</f>
        <v>#N/A</v>
      </c>
      <c r="AB216" s="392" t="e">
        <f>IFERROR((Tools!$B192+ROUND(Hydros!Y8/Tools!$C192,3)),NA())</f>
        <v>#N/A</v>
      </c>
      <c r="AC216" s="392" t="e">
        <f>IFERROR((Tools!$B192+ROUND(Hydros!Z8/Tools!$C192,3)),NA())</f>
        <v>#N/A</v>
      </c>
      <c r="AD216" s="280"/>
      <c r="AE216" s="279"/>
    </row>
    <row r="217" spans="1:31" x14ac:dyDescent="0.25">
      <c r="A217" s="277"/>
      <c r="B217" s="280"/>
      <c r="C217" s="280"/>
      <c r="D217" s="391" t="s">
        <v>50</v>
      </c>
      <c r="E217" s="392">
        <f>IFERROR((Tools!$B193+ROUND(Hydros!B9/Tools!$C193,3)),NA())</f>
        <v>0</v>
      </c>
      <c r="F217" s="392">
        <f>IFERROR((Tools!$B193+ROUND(Hydros!C9/Tools!$C193,3)),NA())</f>
        <v>9.8000000000000004E-2</v>
      </c>
      <c r="G217" s="392">
        <f>IFERROR((Tools!$B193+ROUND(Hydros!D9/Tools!$C193,3)),NA())</f>
        <v>0.20599999999999999</v>
      </c>
      <c r="H217" s="392">
        <f>IFERROR((Tools!$B193+ROUND(Hydros!E9/Tools!$C193,3)),NA())</f>
        <v>0.31900000000000001</v>
      </c>
      <c r="I217" s="392">
        <f>IFERROR((Tools!$B193+ROUND(Hydros!F9/Tools!$C193,3)),NA())</f>
        <v>0.437</v>
      </c>
      <c r="J217" s="392">
        <f>IFERROR((Tools!$B193+ROUND(Hydros!G9/Tools!$C193,3)),NA())</f>
        <v>0.92900000000000005</v>
      </c>
      <c r="K217" s="392">
        <f>IFERROR((Tools!$B193+ROUND(Hydros!H9/Tools!$C193,3)),NA())</f>
        <v>1.4419999999999999</v>
      </c>
      <c r="L217" s="392">
        <f>IFERROR((Tools!$B193+ROUND(Hydros!I9/Tools!$C193,3)),NA())</f>
        <v>1.9690000000000001</v>
      </c>
      <c r="M217" s="392">
        <f>IFERROR((Tools!$B193+ROUND(Hydros!J9/Tools!$C193,3)),NA())</f>
        <v>2.4340000000000002</v>
      </c>
      <c r="N217" s="392">
        <f>IFERROR((Tools!$B193+ROUND(Hydros!K9/Tools!$C193,3)),NA())</f>
        <v>2.5190000000000001</v>
      </c>
      <c r="O217" s="392">
        <f>IFERROR((Tools!$B193+ROUND(Hydros!L9/Tools!$C193,3)),NA())</f>
        <v>3.085</v>
      </c>
      <c r="P217" s="392">
        <f>IFERROR((Tools!$B193+ROUND(Hydros!M9/Tools!$C193,3)),NA())</f>
        <v>3.3740000000000001</v>
      </c>
      <c r="Q217" s="392" t="e">
        <f>IFERROR((Tools!$B193+ROUND(Hydros!N9/Tools!$C193,3)),NA())</f>
        <v>#N/A</v>
      </c>
      <c r="R217" s="392" t="e">
        <f>IFERROR((Tools!$B193+ROUND(Hydros!O9/Tools!$C193,3)),NA())</f>
        <v>#N/A</v>
      </c>
      <c r="S217" s="392" t="e">
        <f>IFERROR((Tools!$B193+ROUND(Hydros!P9/Tools!$C193,3)),NA())</f>
        <v>#N/A</v>
      </c>
      <c r="T217" s="392" t="e">
        <f>IFERROR((Tools!$B193+ROUND(Hydros!Q9/Tools!$C193,3)),NA())</f>
        <v>#N/A</v>
      </c>
      <c r="U217" s="392" t="e">
        <f>IFERROR((Tools!$B193+ROUND(Hydros!R9/Tools!$C193,3)),NA())</f>
        <v>#N/A</v>
      </c>
      <c r="V217" s="392" t="e">
        <f>IFERROR((Tools!$B193+ROUND(Hydros!S9/Tools!$C193,3)),NA())</f>
        <v>#N/A</v>
      </c>
      <c r="W217" s="392" t="e">
        <f>IFERROR((Tools!$B193+ROUND(Hydros!T9/Tools!$C193,3)),NA())</f>
        <v>#N/A</v>
      </c>
      <c r="X217" s="392" t="e">
        <f>IFERROR((Tools!$B193+ROUND(Hydros!U9/Tools!$C193,3)),NA())</f>
        <v>#N/A</v>
      </c>
      <c r="Y217" s="392" t="e">
        <f>IFERROR((Tools!$B193+ROUND(Hydros!V9/Tools!$C193,3)),NA())</f>
        <v>#N/A</v>
      </c>
      <c r="Z217" s="392" t="e">
        <f>IFERROR((Tools!$B193+ROUND(Hydros!W9/Tools!$C193,3)),NA())</f>
        <v>#N/A</v>
      </c>
      <c r="AA217" s="392" t="e">
        <f>IFERROR((Tools!$B193+ROUND(Hydros!X9/Tools!$C193,3)),NA())</f>
        <v>#N/A</v>
      </c>
      <c r="AB217" s="392" t="e">
        <f>IFERROR((Tools!$B193+ROUND(Hydros!Y9/Tools!$C193,3)),NA())</f>
        <v>#N/A</v>
      </c>
      <c r="AC217" s="392" t="e">
        <f>IFERROR((Tools!$B193+ROUND(Hydros!Z9/Tools!$C193,3)),NA())</f>
        <v>#N/A</v>
      </c>
      <c r="AD217" s="280"/>
      <c r="AE217" s="279"/>
    </row>
    <row r="218" spans="1:31" x14ac:dyDescent="0.25">
      <c r="A218" s="277"/>
      <c r="B218" s="280"/>
      <c r="C218" s="280"/>
      <c r="D218" s="391" t="s">
        <v>52</v>
      </c>
      <c r="E218" s="392">
        <f>IFERROR((Tools!$B194+ROUND(Hydros!B10/Tools!$C194,3)),NA())</f>
        <v>0</v>
      </c>
      <c r="F218" s="392">
        <f>IFERROR((Tools!$B194+ROUND(Hydros!C10/Tools!$C194,3)),NA())</f>
        <v>0.10100000000000001</v>
      </c>
      <c r="G218" s="392">
        <f>IFERROR((Tools!$B194+ROUND(Hydros!D10/Tools!$C194,3)),NA())</f>
        <v>0.21199999999999999</v>
      </c>
      <c r="H218" s="392">
        <f>IFERROR((Tools!$B194+ROUND(Hydros!E10/Tools!$C194,3)),NA())</f>
        <v>0.32900000000000001</v>
      </c>
      <c r="I218" s="392">
        <f>IFERROR((Tools!$B194+ROUND(Hydros!F10/Tools!$C194,3)),NA())</f>
        <v>0.45100000000000001</v>
      </c>
      <c r="J218" s="392">
        <f>IFERROR((Tools!$B194+ROUND(Hydros!G10/Tools!$C194,3)),NA())</f>
        <v>0.95799999999999996</v>
      </c>
      <c r="K218" s="392">
        <f>IFERROR((Tools!$B194+ROUND(Hydros!H10/Tools!$C194,3)),NA())</f>
        <v>1.4870000000000001</v>
      </c>
      <c r="L218" s="392">
        <f>IFERROR((Tools!$B194+ROUND(Hydros!I10/Tools!$C194,3)),NA())</f>
        <v>2.0299999999999998</v>
      </c>
      <c r="M218" s="392">
        <f>IFERROR((Tools!$B194+ROUND(Hydros!J10/Tools!$C194,3)),NA())</f>
        <v>2.5099999999999998</v>
      </c>
      <c r="N218" s="392">
        <f>IFERROR((Tools!$B194+ROUND(Hydros!K10/Tools!$C194,3)),NA())</f>
        <v>2.5979999999999999</v>
      </c>
      <c r="O218" s="392">
        <f>IFERROR((Tools!$B194+ROUND(Hydros!L10/Tools!$C194,3)),NA())</f>
        <v>3.181</v>
      </c>
      <c r="P218" s="392">
        <f>IFERROR((Tools!$B194+ROUND(Hydros!M10/Tools!$C194,3)),NA())</f>
        <v>3.48</v>
      </c>
      <c r="Q218" s="392" t="e">
        <f>IFERROR((Tools!$B194+ROUND(Hydros!N10/Tools!$C194,3)),NA())</f>
        <v>#N/A</v>
      </c>
      <c r="R218" s="392" t="e">
        <f>IFERROR((Tools!$B194+ROUND(Hydros!O10/Tools!$C194,3)),NA())</f>
        <v>#N/A</v>
      </c>
      <c r="S218" s="392" t="e">
        <f>IFERROR((Tools!$B194+ROUND(Hydros!P10/Tools!$C194,3)),NA())</f>
        <v>#N/A</v>
      </c>
      <c r="T218" s="392" t="e">
        <f>IFERROR((Tools!$B194+ROUND(Hydros!Q10/Tools!$C194,3)),NA())</f>
        <v>#N/A</v>
      </c>
      <c r="U218" s="392" t="e">
        <f>IFERROR((Tools!$B194+ROUND(Hydros!R10/Tools!$C194,3)),NA())</f>
        <v>#N/A</v>
      </c>
      <c r="V218" s="392" t="e">
        <f>IFERROR((Tools!$B194+ROUND(Hydros!S10/Tools!$C194,3)),NA())</f>
        <v>#N/A</v>
      </c>
      <c r="W218" s="392" t="e">
        <f>IFERROR((Tools!$B194+ROUND(Hydros!T10/Tools!$C194,3)),NA())</f>
        <v>#N/A</v>
      </c>
      <c r="X218" s="392" t="e">
        <f>IFERROR((Tools!$B194+ROUND(Hydros!U10/Tools!$C194,3)),NA())</f>
        <v>#N/A</v>
      </c>
      <c r="Y218" s="392" t="e">
        <f>IFERROR((Tools!$B194+ROUND(Hydros!V10/Tools!$C194,3)),NA())</f>
        <v>#N/A</v>
      </c>
      <c r="Z218" s="392" t="e">
        <f>IFERROR((Tools!$B194+ROUND(Hydros!W10/Tools!$C194,3)),NA())</f>
        <v>#N/A</v>
      </c>
      <c r="AA218" s="392" t="e">
        <f>IFERROR((Tools!$B194+ROUND(Hydros!X10/Tools!$C194,3)),NA())</f>
        <v>#N/A</v>
      </c>
      <c r="AB218" s="392" t="e">
        <f>IFERROR((Tools!$B194+ROUND(Hydros!Y10/Tools!$C194,3)),NA())</f>
        <v>#N/A</v>
      </c>
      <c r="AC218" s="392" t="e">
        <f>IFERROR((Tools!$B194+ROUND(Hydros!Z10/Tools!$C194,3)),NA())</f>
        <v>#N/A</v>
      </c>
      <c r="AD218" s="280"/>
      <c r="AE218" s="279"/>
    </row>
    <row r="219" spans="1:31" x14ac:dyDescent="0.25">
      <c r="A219" s="277"/>
      <c r="B219" s="280"/>
      <c r="C219" s="280"/>
      <c r="D219" s="391" t="s">
        <v>282</v>
      </c>
      <c r="E219" s="392">
        <f>IFERROR((Tools!$B195+ROUND(Hydros!B11/Tools!$C195,3)),NA())</f>
        <v>0</v>
      </c>
      <c r="F219" s="392">
        <f>IFERROR((Tools!$B195+ROUND(Hydros!C11/Tools!$C195,3)),NA())</f>
        <v>3.0000000000000001E-3</v>
      </c>
      <c r="G219" s="392">
        <f>IFERROR((Tools!$B195+ROUND(Hydros!D11/Tools!$C195,3)),NA())</f>
        <v>1.0999999999999999E-2</v>
      </c>
      <c r="H219" s="392">
        <f>IFERROR((Tools!$B195+ROUND(Hydros!E11/Tools!$C195,3)),NA())</f>
        <v>2.5000000000000001E-2</v>
      </c>
      <c r="I219" s="392">
        <f>IFERROR((Tools!$B195+ROUND(Hydros!F11/Tools!$C195,3)),NA())</f>
        <v>4.4999999999999998E-2</v>
      </c>
      <c r="J219" s="392">
        <f>IFERROR((Tools!$B195+ROUND(Hydros!G11/Tools!$C195,3)),NA())</f>
        <v>0.193</v>
      </c>
      <c r="K219" s="392">
        <f>IFERROR((Tools!$B195+ROUND(Hydros!H11/Tools!$C195,3)),NA())</f>
        <v>0.45</v>
      </c>
      <c r="L219" s="392">
        <f>IFERROR((Tools!$B195+ROUND(Hydros!I11/Tools!$C195,3)),NA())</f>
        <v>0.82</v>
      </c>
      <c r="M219" s="392">
        <f>IFERROR((Tools!$B195+ROUND(Hydros!J11/Tools!$C195,3)),NA())</f>
        <v>1.232</v>
      </c>
      <c r="N219" s="392">
        <f>IFERROR((Tools!$B195+ROUND(Hydros!K11/Tools!$C195,3)),NA())</f>
        <v>1.3149999999999999</v>
      </c>
      <c r="O219" s="392">
        <f>IFERROR((Tools!$B195+ROUND(Hydros!L11/Tools!$C195,3)),NA())</f>
        <v>1.9390000000000001</v>
      </c>
      <c r="P219" s="392">
        <f>IFERROR((Tools!$B195+ROUND(Hydros!M11/Tools!$C195,3)),NA())</f>
        <v>2.2999999999999998</v>
      </c>
      <c r="Q219" s="392" t="e">
        <f>IFERROR((Tools!$B195+ROUND(Hydros!N11/Tools!$C195,3)),NA())</f>
        <v>#N/A</v>
      </c>
      <c r="R219" s="392" t="e">
        <f>IFERROR((Tools!$B195+ROUND(Hydros!O11/Tools!$C195,3)),NA())</f>
        <v>#N/A</v>
      </c>
      <c r="S219" s="392" t="e">
        <f>IFERROR((Tools!$B195+ROUND(Hydros!P11/Tools!$C195,3)),NA())</f>
        <v>#N/A</v>
      </c>
      <c r="T219" s="392" t="e">
        <f>IFERROR((Tools!$B195+ROUND(Hydros!Q11/Tools!$C195,3)),NA())</f>
        <v>#N/A</v>
      </c>
      <c r="U219" s="392" t="e">
        <f>IFERROR((Tools!$B195+ROUND(Hydros!R11/Tools!$C195,3)),NA())</f>
        <v>#N/A</v>
      </c>
      <c r="V219" s="392" t="e">
        <f>IFERROR((Tools!$B195+ROUND(Hydros!S11/Tools!$C195,3)),NA())</f>
        <v>#N/A</v>
      </c>
      <c r="W219" s="392" t="e">
        <f>IFERROR((Tools!$B195+ROUND(Hydros!T11/Tools!$C195,3)),NA())</f>
        <v>#N/A</v>
      </c>
      <c r="X219" s="392" t="e">
        <f>IFERROR((Tools!$B195+ROUND(Hydros!U11/Tools!$C195,3)),NA())</f>
        <v>#N/A</v>
      </c>
      <c r="Y219" s="392" t="e">
        <f>IFERROR((Tools!$B195+ROUND(Hydros!V11/Tools!$C195,3)),NA())</f>
        <v>#N/A</v>
      </c>
      <c r="Z219" s="392" t="e">
        <f>IFERROR((Tools!$B195+ROUND(Hydros!W11/Tools!$C195,3)),NA())</f>
        <v>#N/A</v>
      </c>
      <c r="AA219" s="392" t="e">
        <f>IFERROR((Tools!$B195+ROUND(Hydros!X11/Tools!$C195,3)),NA())</f>
        <v>#N/A</v>
      </c>
      <c r="AB219" s="392" t="e">
        <f>IFERROR((Tools!$B195+ROUND(Hydros!Y11/Tools!$C195,3)),NA())</f>
        <v>#N/A</v>
      </c>
      <c r="AC219" s="392" t="e">
        <f>IFERROR((Tools!$B195+ROUND(Hydros!Z11/Tools!$C195,3)),NA())</f>
        <v>#N/A</v>
      </c>
      <c r="AD219" s="280"/>
      <c r="AE219" s="279"/>
    </row>
    <row r="220" spans="1:31" x14ac:dyDescent="0.25">
      <c r="A220" s="277"/>
      <c r="B220" s="280"/>
      <c r="C220" s="280"/>
      <c r="D220" s="391" t="s">
        <v>285</v>
      </c>
      <c r="E220" s="392">
        <f>IFERROR((Tools!$B196+ROUND(Hydros!B12/Tools!$C196,3)),NA())</f>
        <v>0</v>
      </c>
      <c r="F220" s="392">
        <f>IFERROR((Tools!$B196+ROUND(Hydros!C12/Tools!$C196,3)),NA())</f>
        <v>0.56799999999999995</v>
      </c>
      <c r="G220" s="392">
        <f>IFERROR((Tools!$B196+ROUND(Hydros!D12/Tools!$C196,3)),NA())</f>
        <v>1.153</v>
      </c>
      <c r="H220" s="392">
        <f>IFERROR((Tools!$B196+ROUND(Hydros!E12/Tools!$C196,3)),NA())</f>
        <v>1.7330000000000001</v>
      </c>
      <c r="I220" s="392">
        <f>IFERROR((Tools!$B196+ROUND(Hydros!F12/Tools!$C196,3)),NA())</f>
        <v>2.3159999999999998</v>
      </c>
      <c r="J220" s="392">
        <f>IFERROR((Tools!$B196+ROUND(Hydros!G12/Tools!$C196,3)),NA())</f>
        <v>4.4690000000000003</v>
      </c>
      <c r="K220" s="392">
        <f>IFERROR((Tools!$B196+ROUND(Hydros!H12/Tools!$C196,3)),NA())</f>
        <v>6.1840000000000002</v>
      </c>
      <c r="L220" s="392">
        <f>IFERROR((Tools!$B196+ROUND(Hydros!I12/Tools!$C196,3)),NA())</f>
        <v>7.2309999999999999</v>
      </c>
      <c r="M220" s="392">
        <f>IFERROR((Tools!$B196+ROUND(Hydros!J12/Tools!$C196,3)),NA())</f>
        <v>7.4340000000000002</v>
      </c>
      <c r="N220" s="392">
        <f>IFERROR((Tools!$B196+ROUND(Hydros!K12/Tools!$C196,3)),NA())</f>
        <v>7.3719999999999999</v>
      </c>
      <c r="O220" s="392">
        <f>IFERROR((Tools!$B196+ROUND(Hydros!L12/Tools!$C196,3)),NA())</f>
        <v>7.0490000000000004</v>
      </c>
      <c r="P220" s="392">
        <f>IFERROR((Tools!$B196+ROUND(Hydros!M12/Tools!$C196,3)),NA())</f>
        <v>6.81</v>
      </c>
      <c r="Q220" s="392" t="e">
        <f>IFERROR((Tools!$B196+ROUND(Hydros!N12/Tools!$C196,3)),NA())</f>
        <v>#N/A</v>
      </c>
      <c r="R220" s="392" t="e">
        <f>IFERROR((Tools!$B196+ROUND(Hydros!O12/Tools!$C196,3)),NA())</f>
        <v>#N/A</v>
      </c>
      <c r="S220" s="392" t="e">
        <f>IFERROR((Tools!$B196+ROUND(Hydros!P12/Tools!$C196,3)),NA())</f>
        <v>#N/A</v>
      </c>
      <c r="T220" s="392" t="e">
        <f>IFERROR((Tools!$B196+ROUND(Hydros!Q12/Tools!$C196,3)),NA())</f>
        <v>#N/A</v>
      </c>
      <c r="U220" s="392" t="e">
        <f>IFERROR((Tools!$B196+ROUND(Hydros!R12/Tools!$C196,3)),NA())</f>
        <v>#N/A</v>
      </c>
      <c r="V220" s="392" t="e">
        <f>IFERROR((Tools!$B196+ROUND(Hydros!S12/Tools!$C196,3)),NA())</f>
        <v>#N/A</v>
      </c>
      <c r="W220" s="392" t="e">
        <f>IFERROR((Tools!$B196+ROUND(Hydros!T12/Tools!$C196,3)),NA())</f>
        <v>#N/A</v>
      </c>
      <c r="X220" s="392" t="e">
        <f>IFERROR((Tools!$B196+ROUND(Hydros!U12/Tools!$C196,3)),NA())</f>
        <v>#N/A</v>
      </c>
      <c r="Y220" s="392" t="e">
        <f>IFERROR((Tools!$B196+ROUND(Hydros!V12/Tools!$C196,3)),NA())</f>
        <v>#N/A</v>
      </c>
      <c r="Z220" s="392" t="e">
        <f>IFERROR((Tools!$B196+ROUND(Hydros!W12/Tools!$C196,3)),NA())</f>
        <v>#N/A</v>
      </c>
      <c r="AA220" s="392" t="e">
        <f>IFERROR((Tools!$B196+ROUND(Hydros!X12/Tools!$C196,3)),NA())</f>
        <v>#N/A</v>
      </c>
      <c r="AB220" s="392" t="e">
        <f>IFERROR((Tools!$B196+ROUND(Hydros!Y12/Tools!$C196,3)),NA())</f>
        <v>#N/A</v>
      </c>
      <c r="AC220" s="392" t="e">
        <f>IFERROR((Tools!$B196+ROUND(Hydros!Z12/Tools!$C196,3)),NA())</f>
        <v>#N/A</v>
      </c>
      <c r="AD220" s="280"/>
      <c r="AE220" s="279"/>
    </row>
    <row r="221" spans="1:31" x14ac:dyDescent="0.25">
      <c r="A221" s="277"/>
      <c r="B221" s="280"/>
      <c r="C221" s="280"/>
      <c r="D221" s="391" t="s">
        <v>286</v>
      </c>
      <c r="E221" s="392" t="e">
        <f>IFERROR((Tools!$B197+ROUND(Hydros!B13/Tools!$C197,3)),NA())</f>
        <v>#N/A</v>
      </c>
      <c r="F221" s="392">
        <f>IFERROR((Tools!$B197+ROUND(Hydros!C13/Tools!$C197,3)),NA())</f>
        <v>2.08</v>
      </c>
      <c r="G221" s="392">
        <f>IFERROR((Tools!$B197+ROUND(Hydros!D13/Tools!$C197,3)),NA())</f>
        <v>1.1220000000000001</v>
      </c>
      <c r="H221" s="392">
        <f>IFERROR((Tools!$B197+ROUND(Hydros!E13/Tools!$C197,3)),NA())</f>
        <v>0.78300000000000003</v>
      </c>
      <c r="I221" s="392">
        <f>IFERROR((Tools!$B197+ROUND(Hydros!F13/Tools!$C197,3)),NA())</f>
        <v>0.60399999999999998</v>
      </c>
      <c r="J221" s="392">
        <f>IFERROR((Tools!$B197+ROUND(Hydros!G13/Tools!$C197,3)),NA())</f>
        <v>0.32400000000000001</v>
      </c>
      <c r="K221" s="392">
        <f>IFERROR((Tools!$B197+ROUND(Hydros!H13/Tools!$C197,3)),NA())</f>
        <v>0.22500000000000001</v>
      </c>
      <c r="L221" s="392">
        <f>IFERROR((Tools!$B197+ROUND(Hydros!I13/Tools!$C197,3)),NA())</f>
        <v>0.182</v>
      </c>
      <c r="M221" s="392">
        <f>IFERROR((Tools!$B197+ROUND(Hydros!J13/Tools!$C197,3)),NA())</f>
        <v>0.161</v>
      </c>
      <c r="N221" s="392">
        <f>IFERROR((Tools!$B197+ROUND(Hydros!K13/Tools!$C197,3)),NA())</f>
        <v>0.157</v>
      </c>
      <c r="O221" s="392">
        <f>IFERROR((Tools!$B197+ROUND(Hydros!L13/Tools!$C197,3)),NA())</f>
        <v>0.13800000000000001</v>
      </c>
      <c r="P221" s="392">
        <f>IFERROR((Tools!$B197+ROUND(Hydros!M13/Tools!$C197,3)),NA())</f>
        <v>0.13</v>
      </c>
      <c r="Q221" s="392" t="e">
        <f>IFERROR((Tools!$B197+ROUND(Hydros!N13/Tools!$C197,3)),NA())</f>
        <v>#N/A</v>
      </c>
      <c r="R221" s="392" t="e">
        <f>IFERROR((Tools!$B197+ROUND(Hydros!O13/Tools!$C197,3)),NA())</f>
        <v>#N/A</v>
      </c>
      <c r="S221" s="392" t="e">
        <f>IFERROR((Tools!$B197+ROUND(Hydros!P13/Tools!$C197,3)),NA())</f>
        <v>#N/A</v>
      </c>
      <c r="T221" s="392" t="e">
        <f>IFERROR((Tools!$B197+ROUND(Hydros!Q13/Tools!$C197,3)),NA())</f>
        <v>#N/A</v>
      </c>
      <c r="U221" s="392" t="e">
        <f>IFERROR((Tools!$B197+ROUND(Hydros!R13/Tools!$C197,3)),NA())</f>
        <v>#N/A</v>
      </c>
      <c r="V221" s="392" t="e">
        <f>IFERROR((Tools!$B197+ROUND(Hydros!S13/Tools!$C197,3)),NA())</f>
        <v>#N/A</v>
      </c>
      <c r="W221" s="392" t="e">
        <f>IFERROR((Tools!$B197+ROUND(Hydros!T13/Tools!$C197,3)),NA())</f>
        <v>#N/A</v>
      </c>
      <c r="X221" s="392" t="e">
        <f>IFERROR((Tools!$B197+ROUND(Hydros!U13/Tools!$C197,3)),NA())</f>
        <v>#N/A</v>
      </c>
      <c r="Y221" s="392" t="e">
        <f>IFERROR((Tools!$B197+ROUND(Hydros!V13/Tools!$C197,3)),NA())</f>
        <v>#N/A</v>
      </c>
      <c r="Z221" s="392" t="e">
        <f>IFERROR((Tools!$B197+ROUND(Hydros!W13/Tools!$C197,3)),NA())</f>
        <v>#N/A</v>
      </c>
      <c r="AA221" s="392" t="e">
        <f>IFERROR((Tools!$B197+ROUND(Hydros!X13/Tools!$C197,3)),NA())</f>
        <v>#N/A</v>
      </c>
      <c r="AB221" s="392" t="e">
        <f>IFERROR((Tools!$B197+ROUND(Hydros!Y13/Tools!$C197,3)),NA())</f>
        <v>#N/A</v>
      </c>
      <c r="AC221" s="392" t="e">
        <f>IFERROR((Tools!$B197+ROUND(Hydros!Z13/Tools!$C197,3)),NA())</f>
        <v>#N/A</v>
      </c>
      <c r="AD221" s="280"/>
      <c r="AE221" s="279"/>
    </row>
    <row r="222" spans="1:31" x14ac:dyDescent="0.25">
      <c r="A222" s="277"/>
      <c r="B222" s="280"/>
      <c r="C222" s="280"/>
      <c r="D222" s="391" t="s">
        <v>287</v>
      </c>
      <c r="E222" s="392" t="e">
        <f>IFERROR((Tools!$B198+ROUND(Hydros!B14/Tools!$C198,3)),NA())</f>
        <v>#N/A</v>
      </c>
      <c r="F222" s="392">
        <f>IFERROR((Tools!$B198+ROUND(Hydros!C14/Tools!$C198,3)),NA())</f>
        <v>6.05</v>
      </c>
      <c r="G222" s="392">
        <f>IFERROR((Tools!$B198+ROUND(Hydros!D14/Tools!$C198,3)),NA())</f>
        <v>3.2919999999999998</v>
      </c>
      <c r="H222" s="392">
        <f>IFERROR((Tools!$B198+ROUND(Hydros!E14/Tools!$C198,3)),NA())</f>
        <v>2.3180000000000001</v>
      </c>
      <c r="I222" s="392">
        <f>IFERROR((Tools!$B198+ROUND(Hydros!F14/Tools!$C198,3)),NA())</f>
        <v>1.7849999999999999</v>
      </c>
      <c r="J222" s="392">
        <f>IFERROR((Tools!$B198+ROUND(Hydros!G14/Tools!$C198,3)),NA())</f>
        <v>0.92500000000000004</v>
      </c>
      <c r="K222" s="392">
        <f>IFERROR((Tools!$B198+ROUND(Hydros!H14/Tools!$C198,3)),NA())</f>
        <v>0.624</v>
      </c>
      <c r="L222" s="392">
        <f>IFERROR((Tools!$B198+ROUND(Hydros!I14/Tools!$C198,3)),NA())</f>
        <v>0.47899999999999998</v>
      </c>
      <c r="M222" s="392">
        <f>IFERROR((Tools!$B198+ROUND(Hydros!J14/Tools!$C198,3)),NA())</f>
        <v>0.40500000000000003</v>
      </c>
      <c r="N222" s="392">
        <f>IFERROR((Tools!$B198+ROUND(Hydros!K14/Tools!$C198,3)),NA())</f>
        <v>0.39400000000000002</v>
      </c>
      <c r="O222" s="392">
        <f>IFERROR((Tools!$B198+ROUND(Hydros!L14/Tools!$C198,3)),NA())</f>
        <v>0.33700000000000002</v>
      </c>
      <c r="P222" s="392">
        <f>IFERROR((Tools!$B198+ROUND(Hydros!M14/Tools!$C198,3)),NA())</f>
        <v>0.315</v>
      </c>
      <c r="Q222" s="392" t="e">
        <f>IFERROR((Tools!$B198+ROUND(Hydros!N14/Tools!$C198,3)),NA())</f>
        <v>#N/A</v>
      </c>
      <c r="R222" s="392" t="e">
        <f>IFERROR((Tools!$B198+ROUND(Hydros!O14/Tools!$C198,3)),NA())</f>
        <v>#N/A</v>
      </c>
      <c r="S222" s="392" t="e">
        <f>IFERROR((Tools!$B198+ROUND(Hydros!P14/Tools!$C198,3)),NA())</f>
        <v>#N/A</v>
      </c>
      <c r="T222" s="392" t="e">
        <f>IFERROR((Tools!$B198+ROUND(Hydros!Q14/Tools!$C198,3)),NA())</f>
        <v>#N/A</v>
      </c>
      <c r="U222" s="392" t="e">
        <f>IFERROR((Tools!$B198+ROUND(Hydros!R14/Tools!$C198,3)),NA())</f>
        <v>#N/A</v>
      </c>
      <c r="V222" s="392" t="e">
        <f>IFERROR((Tools!$B198+ROUND(Hydros!S14/Tools!$C198,3)),NA())</f>
        <v>#N/A</v>
      </c>
      <c r="W222" s="392" t="e">
        <f>IFERROR((Tools!$B198+ROUND(Hydros!T14/Tools!$C198,3)),NA())</f>
        <v>#N/A</v>
      </c>
      <c r="X222" s="392" t="e">
        <f>IFERROR((Tools!$B198+ROUND(Hydros!U14/Tools!$C198,3)),NA())</f>
        <v>#N/A</v>
      </c>
      <c r="Y222" s="392" t="e">
        <f>IFERROR((Tools!$B198+ROUND(Hydros!V14/Tools!$C198,3)),NA())</f>
        <v>#N/A</v>
      </c>
      <c r="Z222" s="392" t="e">
        <f>IFERROR((Tools!$B198+ROUND(Hydros!W14/Tools!$C198,3)),NA())</f>
        <v>#N/A</v>
      </c>
      <c r="AA222" s="392" t="e">
        <f>IFERROR((Tools!$B198+ROUND(Hydros!X14/Tools!$C198,3)),NA())</f>
        <v>#N/A</v>
      </c>
      <c r="AB222" s="392" t="e">
        <f>IFERROR((Tools!$B198+ROUND(Hydros!Y14/Tools!$C198,3)),NA())</f>
        <v>#N/A</v>
      </c>
      <c r="AC222" s="392" t="e">
        <f>IFERROR((Tools!$B198+ROUND(Hydros!Z14/Tools!$C198,3)),NA())</f>
        <v>#N/A</v>
      </c>
      <c r="AD222" s="280"/>
      <c r="AE222" s="279"/>
    </row>
    <row r="223" spans="1:31" x14ac:dyDescent="0.25">
      <c r="A223" s="277"/>
      <c r="B223" s="280"/>
      <c r="C223" s="280"/>
      <c r="D223" s="391" t="s">
        <v>65</v>
      </c>
      <c r="E223" s="392" t="e">
        <f>IFERROR((Tools!$B199+ROUND(Hydros!B15/Tools!$C199,3)),NA())</f>
        <v>#N/A</v>
      </c>
      <c r="F223" s="392">
        <f>IFERROR((Tools!$B199+ROUND(Hydros!C15/Tools!$C199,3)),NA())</f>
        <v>0.25600000000000001</v>
      </c>
      <c r="G223" s="392">
        <f>IFERROR((Tools!$B199+ROUND(Hydros!D15/Tools!$C199,3)),NA())</f>
        <v>0.51700000000000002</v>
      </c>
      <c r="H223" s="392">
        <f>IFERROR((Tools!$B199+ROUND(Hydros!E15/Tools!$C199,3)),NA())</f>
        <v>0.77800000000000002</v>
      </c>
      <c r="I223" s="392">
        <f>IFERROR((Tools!$B199+ROUND(Hydros!F15/Tools!$C199,3)),NA())</f>
        <v>1.04</v>
      </c>
      <c r="J223" s="392">
        <f>IFERROR((Tools!$B199+ROUND(Hydros!G15/Tools!$C199,3)),NA())</f>
        <v>2.0819999999999999</v>
      </c>
      <c r="K223" s="392">
        <f>IFERROR((Tools!$B199+ROUND(Hydros!H15/Tools!$C199,3)),NA())</f>
        <v>3.1219999999999999</v>
      </c>
      <c r="L223" s="392">
        <f>IFERROR((Tools!$B199+ROUND(Hydros!I15/Tools!$C199,3)),NA())</f>
        <v>4.1639999999999997</v>
      </c>
      <c r="M223" s="392">
        <f>IFERROR((Tools!$B199+ROUND(Hydros!J15/Tools!$C199,3)),NA())</f>
        <v>5.0599999999999996</v>
      </c>
      <c r="N223" s="392">
        <f>IFERROR((Tools!$B199+ROUND(Hydros!K15/Tools!$C199,3)),NA())</f>
        <v>5.2190000000000003</v>
      </c>
      <c r="O223" s="392">
        <f>IFERROR((Tools!$B199+ROUND(Hydros!L15/Tools!$C199,3)),NA())</f>
        <v>6.2830000000000004</v>
      </c>
      <c r="P223" s="392">
        <f>IFERROR((Tools!$B199+ROUND(Hydros!M15/Tools!$C199,3)),NA())</f>
        <v>6.8159999999999998</v>
      </c>
      <c r="Q223" s="392" t="e">
        <f>IFERROR((Tools!$B199+ROUND(Hydros!N15/Tools!$C199,3)),NA())</f>
        <v>#N/A</v>
      </c>
      <c r="R223" s="392" t="e">
        <f>IFERROR((Tools!$B199+ROUND(Hydros!O15/Tools!$C199,3)),NA())</f>
        <v>#N/A</v>
      </c>
      <c r="S223" s="392" t="e">
        <f>IFERROR((Tools!$B199+ROUND(Hydros!P15/Tools!$C199,3)),NA())</f>
        <v>#N/A</v>
      </c>
      <c r="T223" s="392" t="e">
        <f>IFERROR((Tools!$B199+ROUND(Hydros!Q15/Tools!$C199,3)),NA())</f>
        <v>#N/A</v>
      </c>
      <c r="U223" s="392" t="e">
        <f>IFERROR((Tools!$B199+ROUND(Hydros!R15/Tools!$C199,3)),NA())</f>
        <v>#N/A</v>
      </c>
      <c r="V223" s="392" t="e">
        <f>IFERROR((Tools!$B199+ROUND(Hydros!S15/Tools!$C199,3)),NA())</f>
        <v>#N/A</v>
      </c>
      <c r="W223" s="392" t="e">
        <f>IFERROR((Tools!$B199+ROUND(Hydros!T15/Tools!$C199,3)),NA())</f>
        <v>#N/A</v>
      </c>
      <c r="X223" s="392" t="e">
        <f>IFERROR((Tools!$B199+ROUND(Hydros!U15/Tools!$C199,3)),NA())</f>
        <v>#N/A</v>
      </c>
      <c r="Y223" s="392" t="e">
        <f>IFERROR((Tools!$B199+ROUND(Hydros!V15/Tools!$C199,3)),NA())</f>
        <v>#N/A</v>
      </c>
      <c r="Z223" s="392" t="e">
        <f>IFERROR((Tools!$B199+ROUND(Hydros!W15/Tools!$C199,3)),NA())</f>
        <v>#N/A</v>
      </c>
      <c r="AA223" s="392" t="e">
        <f>IFERROR((Tools!$B199+ROUND(Hydros!X15/Tools!$C199,3)),NA())</f>
        <v>#N/A</v>
      </c>
      <c r="AB223" s="392" t="e">
        <f>IFERROR((Tools!$B199+ROUND(Hydros!Y15/Tools!$C199,3)),NA())</f>
        <v>#N/A</v>
      </c>
      <c r="AC223" s="392" t="e">
        <f>IFERROR((Tools!$B199+ROUND(Hydros!Z15/Tools!$C199,3)),NA())</f>
        <v>#N/A</v>
      </c>
      <c r="AD223" s="280"/>
      <c r="AE223" s="279"/>
    </row>
    <row r="224" spans="1:31" x14ac:dyDescent="0.25">
      <c r="A224" s="277"/>
      <c r="B224" s="280"/>
      <c r="C224" s="280"/>
      <c r="D224" s="391" t="s">
        <v>288</v>
      </c>
      <c r="E224" s="392" t="e">
        <f>IFERROR((Tools!$B200+ROUND(Hydros!B16/Tools!$C200,3)),NA())</f>
        <v>#N/A</v>
      </c>
      <c r="F224" s="392">
        <f>IFERROR((Tools!$B200+ROUND(Hydros!C16/Tools!$C200,3)),NA())</f>
        <v>6.0750000000000002</v>
      </c>
      <c r="G224" s="392">
        <f>IFERROR((Tools!$B200+ROUND(Hydros!D16/Tools!$C200,3)),NA())</f>
        <v>3.3439999999999999</v>
      </c>
      <c r="H224" s="392">
        <f>IFERROR((Tools!$B200+ROUND(Hydros!E16/Tools!$C200,3)),NA())</f>
        <v>2.3959999999999999</v>
      </c>
      <c r="I224" s="392">
        <f>IFERROR((Tools!$B200+ROUND(Hydros!F16/Tools!$C200,3)),NA())</f>
        <v>1.889</v>
      </c>
      <c r="J224" s="392">
        <f>IFERROR((Tools!$B200+ROUND(Hydros!G16/Tools!$C200,3)),NA())</f>
        <v>1.133</v>
      </c>
      <c r="K224" s="392">
        <f>IFERROR((Tools!$B200+ROUND(Hydros!H16/Tools!$C200,3)),NA())</f>
        <v>0.93700000000000006</v>
      </c>
      <c r="L224" s="392">
        <f>IFERROR((Tools!$B200+ROUND(Hydros!I16/Tools!$C200,3)),NA())</f>
        <v>0.89600000000000002</v>
      </c>
      <c r="M224" s="392">
        <f>IFERROR((Tools!$B200+ROUND(Hydros!J16/Tools!$C200,3)),NA())</f>
        <v>0.91100000000000003</v>
      </c>
      <c r="N224" s="392">
        <f>IFERROR((Tools!$B200+ROUND(Hydros!K16/Tools!$C200,3)),NA())</f>
        <v>0.91600000000000004</v>
      </c>
      <c r="O224" s="392">
        <f>IFERROR((Tools!$B200+ROUND(Hydros!L16/Tools!$C200,3)),NA())</f>
        <v>0.96499999999999997</v>
      </c>
      <c r="P224" s="392">
        <f>IFERROR((Tools!$B200+ROUND(Hydros!M16/Tools!$C200,3)),NA())</f>
        <v>0.997</v>
      </c>
      <c r="Q224" s="392" t="e">
        <f>IFERROR((Tools!$B200+ROUND(Hydros!N16/Tools!$C200,3)),NA())</f>
        <v>#N/A</v>
      </c>
      <c r="R224" s="392" t="e">
        <f>IFERROR((Tools!$B200+ROUND(Hydros!O16/Tools!$C200,3)),NA())</f>
        <v>#N/A</v>
      </c>
      <c r="S224" s="392" t="e">
        <f>IFERROR((Tools!$B200+ROUND(Hydros!P16/Tools!$C200,3)),NA())</f>
        <v>#N/A</v>
      </c>
      <c r="T224" s="392" t="e">
        <f>IFERROR((Tools!$B200+ROUND(Hydros!Q16/Tools!$C200,3)),NA())</f>
        <v>#N/A</v>
      </c>
      <c r="U224" s="392" t="e">
        <f>IFERROR((Tools!$B200+ROUND(Hydros!R16/Tools!$C200,3)),NA())</f>
        <v>#N/A</v>
      </c>
      <c r="V224" s="392" t="e">
        <f>IFERROR((Tools!$B200+ROUND(Hydros!S16/Tools!$C200,3)),NA())</f>
        <v>#N/A</v>
      </c>
      <c r="W224" s="392" t="e">
        <f>IFERROR((Tools!$B200+ROUND(Hydros!T16/Tools!$C200,3)),NA())</f>
        <v>#N/A</v>
      </c>
      <c r="X224" s="392" t="e">
        <f>IFERROR((Tools!$B200+ROUND(Hydros!U16/Tools!$C200,3)),NA())</f>
        <v>#N/A</v>
      </c>
      <c r="Y224" s="392" t="e">
        <f>IFERROR((Tools!$B200+ROUND(Hydros!V16/Tools!$C200,3)),NA())</f>
        <v>#N/A</v>
      </c>
      <c r="Z224" s="392" t="e">
        <f>IFERROR((Tools!$B200+ROUND(Hydros!W16/Tools!$C200,3)),NA())</f>
        <v>#N/A</v>
      </c>
      <c r="AA224" s="392" t="e">
        <f>IFERROR((Tools!$B200+ROUND(Hydros!X16/Tools!$C200,3)),NA())</f>
        <v>#N/A</v>
      </c>
      <c r="AB224" s="392" t="e">
        <f>IFERROR((Tools!$B200+ROUND(Hydros!Y16/Tools!$C200,3)),NA())</f>
        <v>#N/A</v>
      </c>
      <c r="AC224" s="392" t="e">
        <f>IFERROR((Tools!$B200+ROUND(Hydros!Z16/Tools!$C200,3)),NA())</f>
        <v>#N/A</v>
      </c>
      <c r="AD224" s="280"/>
      <c r="AE224" s="279"/>
    </row>
    <row r="225" spans="1:32" x14ac:dyDescent="0.25">
      <c r="A225" s="277"/>
      <c r="B225" s="280"/>
      <c r="C225" s="280"/>
      <c r="D225" s="391" t="s">
        <v>289</v>
      </c>
      <c r="E225" s="392" t="e">
        <f>IFERROR((Tools!$B201+ROUND(Hydros!B17/Tools!$C201,3)),NA())</f>
        <v>#N/A</v>
      </c>
      <c r="F225" s="392">
        <f>IFERROR((Tools!$B201+ROUND(Hydros!C17/Tools!$C201,3)),NA())</f>
        <v>2.081</v>
      </c>
      <c r="G225" s="392">
        <f>IFERROR((Tools!$B201+ROUND(Hydros!D17/Tools!$C201,3)),NA())</f>
        <v>1.123</v>
      </c>
      <c r="H225" s="392">
        <f>IFERROR((Tools!$B201+ROUND(Hydros!E17/Tools!$C201,3)),NA())</f>
        <v>0.78400000000000003</v>
      </c>
      <c r="I225" s="392">
        <f>IFERROR((Tools!$B201+ROUND(Hydros!F17/Tools!$C201,3)),NA())</f>
        <v>0.60499999999999998</v>
      </c>
      <c r="J225" s="392">
        <f>IFERROR((Tools!$B201+ROUND(Hydros!G17/Tools!$C201,3)),NA())</f>
        <v>0.32600000000000001</v>
      </c>
      <c r="K225" s="392">
        <f>IFERROR((Tools!$B201+ROUND(Hydros!H17/Tools!$C201,3)),NA())</f>
        <v>0.22800000000000001</v>
      </c>
      <c r="L225" s="392">
        <f>IFERROR((Tools!$B201+ROUND(Hydros!I17/Tools!$C201,3)),NA())</f>
        <v>0.186</v>
      </c>
      <c r="M225" s="392">
        <f>IFERROR((Tools!$B201+ROUND(Hydros!J17/Tools!$C201,3)),NA())</f>
        <v>0.16600000000000001</v>
      </c>
      <c r="N225" s="392">
        <f>IFERROR((Tools!$B201+ROUND(Hydros!K17/Tools!$C201,3)),NA())</f>
        <v>0.16200000000000001</v>
      </c>
      <c r="O225" s="392">
        <f>IFERROR((Tools!$B201+ROUND(Hydros!L17/Tools!$C201,3)),NA())</f>
        <v>0.14399999999999999</v>
      </c>
      <c r="P225" s="392">
        <f>IFERROR((Tools!$B201+ROUND(Hydros!M17/Tools!$C201,3)),NA())</f>
        <v>0.13700000000000001</v>
      </c>
      <c r="Q225" s="392" t="e">
        <f>IFERROR((Tools!$B201+ROUND(Hydros!N17/Tools!$C201,3)),NA())</f>
        <v>#N/A</v>
      </c>
      <c r="R225" s="392" t="e">
        <f>IFERROR((Tools!$B201+ROUND(Hydros!O17/Tools!$C201,3)),NA())</f>
        <v>#N/A</v>
      </c>
      <c r="S225" s="392" t="e">
        <f>IFERROR((Tools!$B201+ROUND(Hydros!P17/Tools!$C201,3)),NA())</f>
        <v>#N/A</v>
      </c>
      <c r="T225" s="392" t="e">
        <f>IFERROR((Tools!$B201+ROUND(Hydros!Q17/Tools!$C201,3)),NA())</f>
        <v>#N/A</v>
      </c>
      <c r="U225" s="392" t="e">
        <f>IFERROR((Tools!$B201+ROUND(Hydros!R17/Tools!$C201,3)),NA())</f>
        <v>#N/A</v>
      </c>
      <c r="V225" s="392" t="e">
        <f>IFERROR((Tools!$B201+ROUND(Hydros!S17/Tools!$C201,3)),NA())</f>
        <v>#N/A</v>
      </c>
      <c r="W225" s="392" t="e">
        <f>IFERROR((Tools!$B201+ROUND(Hydros!T17/Tools!$C201,3)),NA())</f>
        <v>#N/A</v>
      </c>
      <c r="X225" s="392" t="e">
        <f>IFERROR((Tools!$B201+ROUND(Hydros!U17/Tools!$C201,3)),NA())</f>
        <v>#N/A</v>
      </c>
      <c r="Y225" s="392" t="e">
        <f>IFERROR((Tools!$B201+ROUND(Hydros!V17/Tools!$C201,3)),NA())</f>
        <v>#N/A</v>
      </c>
      <c r="Z225" s="392" t="e">
        <f>IFERROR((Tools!$B201+ROUND(Hydros!W17/Tools!$C201,3)),NA())</f>
        <v>#N/A</v>
      </c>
      <c r="AA225" s="392" t="e">
        <f>IFERROR((Tools!$B201+ROUND(Hydros!X17/Tools!$C201,3)),NA())</f>
        <v>#N/A</v>
      </c>
      <c r="AB225" s="392" t="e">
        <f>IFERROR((Tools!$B201+ROUND(Hydros!Y17/Tools!$C201,3)),NA())</f>
        <v>#N/A</v>
      </c>
      <c r="AC225" s="392" t="e">
        <f>IFERROR((Tools!$B201+ROUND(Hydros!Z17/Tools!$C201,3)),NA())</f>
        <v>#N/A</v>
      </c>
      <c r="AD225" s="280"/>
      <c r="AE225" s="279"/>
    </row>
    <row r="226" spans="1:32" x14ac:dyDescent="0.25">
      <c r="A226" s="277"/>
      <c r="B226" s="280"/>
      <c r="C226" s="280"/>
      <c r="D226" s="391" t="s">
        <v>71</v>
      </c>
      <c r="E226" s="392">
        <f>IFERROR((Tools!$B202+ROUND(Hydros!B18/Tools!$C202,3)),NA())</f>
        <v>11.856999999999999</v>
      </c>
      <c r="F226" s="392">
        <f>IFERROR((Tools!$B202+ROUND(Hydros!C18/Tools!$C202,3)),NA())</f>
        <v>12.131</v>
      </c>
      <c r="G226" s="392">
        <f>IFERROR((Tools!$B202+ROUND(Hydros!D18/Tools!$C202,3)),NA())</f>
        <v>12.279</v>
      </c>
      <c r="H226" s="392">
        <f>IFERROR((Tools!$B202+ROUND(Hydros!E18/Tools!$C202,3)),NA())</f>
        <v>12.376999999999999</v>
      </c>
      <c r="I226" s="392">
        <f>IFERROR((Tools!$B202+ROUND(Hydros!F18/Tools!$C202,3)),NA())</f>
        <v>12.443</v>
      </c>
      <c r="J226" s="392">
        <f>IFERROR((Tools!$B202+ROUND(Hydros!G18/Tools!$C202,3)),NA())</f>
        <v>12.584</v>
      </c>
      <c r="K226" s="392">
        <f>IFERROR((Tools!$B202+ROUND(Hydros!H18/Tools!$C202,3)),NA())</f>
        <v>12.663</v>
      </c>
      <c r="L226" s="392">
        <f>IFERROR((Tools!$B202+ROUND(Hydros!I18/Tools!$C202,3)),NA())</f>
        <v>12.760999999999999</v>
      </c>
      <c r="M226" s="392">
        <f>IFERROR((Tools!$B202+ROUND(Hydros!J18/Tools!$C202,3)),NA())</f>
        <v>12.850999999999999</v>
      </c>
      <c r="N226" s="392">
        <f>IFERROR((Tools!$B202+ROUND(Hydros!K18/Tools!$C202,3)),NA())</f>
        <v>12.865</v>
      </c>
      <c r="O226" s="392">
        <f>IFERROR((Tools!$B202+ROUND(Hydros!L18/Tools!$C202,3)),NA())</f>
        <v>12.943999999999999</v>
      </c>
      <c r="P226" s="392">
        <f>IFERROR((Tools!$B202+ROUND(Hydros!M18/Tools!$C202,3)),NA())</f>
        <v>12.983000000000001</v>
      </c>
      <c r="Q226" s="392" t="e">
        <f>IFERROR((Tools!$B202+ROUND(Hydros!N18/Tools!$C202,3)),NA())</f>
        <v>#N/A</v>
      </c>
      <c r="R226" s="392" t="e">
        <f>IFERROR((Tools!$B202+ROUND(Hydros!O18/Tools!$C202,3)),NA())</f>
        <v>#N/A</v>
      </c>
      <c r="S226" s="392" t="e">
        <f>IFERROR((Tools!$B202+ROUND(Hydros!P18/Tools!$C202,3)),NA())</f>
        <v>#N/A</v>
      </c>
      <c r="T226" s="392" t="e">
        <f>IFERROR((Tools!$B202+ROUND(Hydros!Q18/Tools!$C202,3)),NA())</f>
        <v>#N/A</v>
      </c>
      <c r="U226" s="392" t="e">
        <f>IFERROR((Tools!$B202+ROUND(Hydros!R18/Tools!$C202,3)),NA())</f>
        <v>#N/A</v>
      </c>
      <c r="V226" s="392" t="e">
        <f>IFERROR((Tools!$B202+ROUND(Hydros!S18/Tools!$C202,3)),NA())</f>
        <v>#N/A</v>
      </c>
      <c r="W226" s="392" t="e">
        <f>IFERROR((Tools!$B202+ROUND(Hydros!T18/Tools!$C202,3)),NA())</f>
        <v>#N/A</v>
      </c>
      <c r="X226" s="392" t="e">
        <f>IFERROR((Tools!$B202+ROUND(Hydros!U18/Tools!$C202,3)),NA())</f>
        <v>#N/A</v>
      </c>
      <c r="Y226" s="392" t="e">
        <f>IFERROR((Tools!$B202+ROUND(Hydros!V18/Tools!$C202,3)),NA())</f>
        <v>#N/A</v>
      </c>
      <c r="Z226" s="392" t="e">
        <f>IFERROR((Tools!$B202+ROUND(Hydros!W18/Tools!$C202,3)),NA())</f>
        <v>#N/A</v>
      </c>
      <c r="AA226" s="392" t="e">
        <f>IFERROR((Tools!$B202+ROUND(Hydros!X18/Tools!$C202,3)),NA())</f>
        <v>#N/A</v>
      </c>
      <c r="AB226" s="392" t="e">
        <f>IFERROR((Tools!$B202+ROUND(Hydros!Y18/Tools!$C202,3)),NA())</f>
        <v>#N/A</v>
      </c>
      <c r="AC226" s="392" t="e">
        <f>IFERROR((Tools!$B202+ROUND(Hydros!Z18/Tools!$C202,3)),NA())</f>
        <v>#N/A</v>
      </c>
      <c r="AD226" s="280"/>
      <c r="AE226" s="279"/>
      <c r="AF226" s="400"/>
    </row>
    <row r="227" spans="1:32" x14ac:dyDescent="0.25">
      <c r="A227" s="277"/>
      <c r="B227" s="280"/>
      <c r="C227" s="280"/>
      <c r="D227" s="391" t="s">
        <v>73</v>
      </c>
      <c r="E227" s="392" t="e">
        <f>IFERROR((Tools!$B203+ROUND(Hydros!B19/Tools!$C203,3)),NA())</f>
        <v>#N/A</v>
      </c>
      <c r="F227" s="392">
        <f>IFERROR((Tools!$B203+ROUND(Hydros!C19/Tools!$C203,3)),NA())</f>
        <v>5.8070000000000004</v>
      </c>
      <c r="G227" s="392">
        <f>IFERROR((Tools!$B203+ROUND(Hydros!D19/Tools!$C203,3)),NA())</f>
        <v>5.5990000000000002</v>
      </c>
      <c r="H227" s="392">
        <f>IFERROR((Tools!$B203+ROUND(Hydros!E19/Tools!$C203,3)),NA())</f>
        <v>5.4269999999999996</v>
      </c>
      <c r="I227" s="392">
        <f>IFERROR((Tools!$B203+ROUND(Hydros!F19/Tools!$C203,3)),NA())</f>
        <v>5.2969999999999997</v>
      </c>
      <c r="J227" s="392">
        <f>IFERROR((Tools!$B203+ROUND(Hydros!G19/Tools!$C203,3)),NA())</f>
        <v>4.8120000000000003</v>
      </c>
      <c r="K227" s="392">
        <f>IFERROR((Tools!$B203+ROUND(Hydros!H19/Tools!$C203,3)),NA())</f>
        <v>4.2889999999999997</v>
      </c>
      <c r="L227" s="392">
        <f>IFERROR((Tools!$B203+ROUND(Hydros!I19/Tools!$C203,3)),NA())</f>
        <v>3.6720000000000002</v>
      </c>
      <c r="M227" s="392">
        <f>IFERROR((Tools!$B203+ROUND(Hydros!J19/Tools!$C203,3)),NA())</f>
        <v>3.0539999999999998</v>
      </c>
      <c r="N227" s="392">
        <f>IFERROR((Tools!$B203+ROUND(Hydros!K19/Tools!$C203,3)),NA())</f>
        <v>2.9260000000000002</v>
      </c>
      <c r="O227" s="392">
        <f>IFERROR((Tools!$B203+ROUND(Hydros!L19/Tools!$C203,3)),NA())</f>
        <v>2.2850000000000001</v>
      </c>
      <c r="P227" s="392">
        <f>IFERROR((Tools!$B203+ROUND(Hydros!M19/Tools!$C203,3)),NA())</f>
        <v>2.0179999999999998</v>
      </c>
      <c r="Q227" s="392" t="e">
        <f>IFERROR((Tools!$B203+ROUND(Hydros!N19/Tools!$C203,3)),NA())</f>
        <v>#N/A</v>
      </c>
      <c r="R227" s="392" t="e">
        <f>IFERROR((Tools!$B203+ROUND(Hydros!O19/Tools!$C203,3)),NA())</f>
        <v>#N/A</v>
      </c>
      <c r="S227" s="392" t="e">
        <f>IFERROR((Tools!$B203+ROUND(Hydros!P19/Tools!$C203,3)),NA())</f>
        <v>#N/A</v>
      </c>
      <c r="T227" s="392" t="e">
        <f>IFERROR((Tools!$B203+ROUND(Hydros!Q19/Tools!$C203,3)),NA())</f>
        <v>#N/A</v>
      </c>
      <c r="U227" s="392" t="e">
        <f>IFERROR((Tools!$B203+ROUND(Hydros!R19/Tools!$C203,3)),NA())</f>
        <v>#N/A</v>
      </c>
      <c r="V227" s="392" t="e">
        <f>IFERROR((Tools!$B203+ROUND(Hydros!S19/Tools!$C203,3)),NA())</f>
        <v>#N/A</v>
      </c>
      <c r="W227" s="392" t="e">
        <f>IFERROR((Tools!$B203+ROUND(Hydros!T19/Tools!$C203,3)),NA())</f>
        <v>#N/A</v>
      </c>
      <c r="X227" s="392" t="e">
        <f>IFERROR((Tools!$B203+ROUND(Hydros!U19/Tools!$C203,3)),NA())</f>
        <v>#N/A</v>
      </c>
      <c r="Y227" s="392" t="e">
        <f>IFERROR((Tools!$B203+ROUND(Hydros!V19/Tools!$C203,3)),NA())</f>
        <v>#N/A</v>
      </c>
      <c r="Z227" s="392" t="e">
        <f>IFERROR((Tools!$B203+ROUND(Hydros!W19/Tools!$C203,3)),NA())</f>
        <v>#N/A</v>
      </c>
      <c r="AA227" s="392" t="e">
        <f>IFERROR((Tools!$B203+ROUND(Hydros!X19/Tools!$C203,3)),NA())</f>
        <v>#N/A</v>
      </c>
      <c r="AB227" s="392" t="e">
        <f>IFERROR((Tools!$B203+ROUND(Hydros!Y19/Tools!$C203,3)),NA())</f>
        <v>#N/A</v>
      </c>
      <c r="AC227" s="392" t="e">
        <f>IFERROR((Tools!$B203+ROUND(Hydros!Z19/Tools!$C203,3)),NA())</f>
        <v>#N/A</v>
      </c>
      <c r="AD227" s="280"/>
      <c r="AE227" s="279"/>
      <c r="AF227" s="400"/>
    </row>
    <row r="228" spans="1:32" x14ac:dyDescent="0.25">
      <c r="A228" s="277"/>
      <c r="B228" s="280"/>
      <c r="C228" s="280"/>
      <c r="D228" s="391" t="s">
        <v>127</v>
      </c>
      <c r="E228" s="392" t="e">
        <f>IFERROR((Tools!$B204+ROUND(Hydros!B20/Tools!$C204,3)),NA())</f>
        <v>#N/A</v>
      </c>
      <c r="F228" s="392">
        <f>IFERROR((Tools!$B204+ROUND(Hydros!C20/Tools!$C204,3)),NA())</f>
        <v>11.435</v>
      </c>
      <c r="G228" s="392">
        <f>IFERROR((Tools!$B204+ROUND(Hydros!D20/Tools!$C204,3)),NA())</f>
        <v>11.629999999999999</v>
      </c>
      <c r="H228" s="392">
        <f>IFERROR((Tools!$B204+ROUND(Hydros!E20/Tools!$C204,3)),NA())</f>
        <v>11.763999999999999</v>
      </c>
      <c r="I228" s="392">
        <f>IFERROR((Tools!$B204+ROUND(Hydros!F20/Tools!$C204,3)),NA())</f>
        <v>11.864000000000001</v>
      </c>
      <c r="J228" s="392">
        <f>IFERROR((Tools!$B204+ROUND(Hydros!G20/Tools!$C204,3)),NA())</f>
        <v>12.122</v>
      </c>
      <c r="K228" s="392">
        <f>IFERROR((Tools!$B204+ROUND(Hydros!H20/Tools!$C204,3)),NA())</f>
        <v>12.286</v>
      </c>
      <c r="L228" s="392">
        <f>IFERROR((Tools!$B204+ROUND(Hydros!I20/Tools!$C204,3)),NA())</f>
        <v>12.529</v>
      </c>
      <c r="M228" s="392">
        <f>IFERROR((Tools!$B204+ROUND(Hydros!J20/Tools!$C204,3)),NA())</f>
        <v>12.757999999999999</v>
      </c>
      <c r="N228" s="392">
        <f>IFERROR((Tools!$B204+ROUND(Hydros!K20/Tools!$C204,3)),NA())</f>
        <v>12.792</v>
      </c>
      <c r="O228" s="392">
        <f>IFERROR((Tools!$B204+ROUND(Hydros!L20/Tools!$C204,3)),NA())</f>
        <v>12.992000000000001</v>
      </c>
      <c r="P228" s="392">
        <f>IFERROR((Tools!$B204+ROUND(Hydros!M20/Tools!$C204,3)),NA())</f>
        <v>13.093999999999999</v>
      </c>
      <c r="Q228" s="392" t="e">
        <f>IFERROR((Tools!$B204+ROUND(Hydros!N20/Tools!$C204,3)),NA())</f>
        <v>#N/A</v>
      </c>
      <c r="R228" s="392" t="e">
        <f>IFERROR((Tools!$B204+ROUND(Hydros!O20/Tools!$C204,3)),NA())</f>
        <v>#N/A</v>
      </c>
      <c r="S228" s="392" t="e">
        <f>IFERROR((Tools!$B204+ROUND(Hydros!P20/Tools!$C204,3)),NA())</f>
        <v>#N/A</v>
      </c>
      <c r="T228" s="392" t="e">
        <f>IFERROR((Tools!$B204+ROUND(Hydros!Q20/Tools!$C204,3)),NA())</f>
        <v>#N/A</v>
      </c>
      <c r="U228" s="392" t="e">
        <f>IFERROR((Tools!$B204+ROUND(Hydros!R20/Tools!$C204,3)),NA())</f>
        <v>#N/A</v>
      </c>
      <c r="V228" s="392" t="e">
        <f>IFERROR((Tools!$B204+ROUND(Hydros!S20/Tools!$C204,3)),NA())</f>
        <v>#N/A</v>
      </c>
      <c r="W228" s="392" t="e">
        <f>IFERROR((Tools!$B204+ROUND(Hydros!T20/Tools!$C204,3)),NA())</f>
        <v>#N/A</v>
      </c>
      <c r="X228" s="392" t="e">
        <f>IFERROR((Tools!$B204+ROUND(Hydros!U20/Tools!$C204,3)),NA())</f>
        <v>#N/A</v>
      </c>
      <c r="Y228" s="392" t="e">
        <f>IFERROR((Tools!$B204+ROUND(Hydros!V20/Tools!$C204,3)),NA())</f>
        <v>#N/A</v>
      </c>
      <c r="Z228" s="392" t="e">
        <f>IFERROR((Tools!$B204+ROUND(Hydros!W20/Tools!$C204,3)),NA())</f>
        <v>#N/A</v>
      </c>
      <c r="AA228" s="392" t="e">
        <f>IFERROR((Tools!$B204+ROUND(Hydros!X20/Tools!$C204,3)),NA())</f>
        <v>#N/A</v>
      </c>
      <c r="AB228" s="392" t="e">
        <f>IFERROR((Tools!$B204+ROUND(Hydros!Y20/Tools!$C204,3)),NA())</f>
        <v>#N/A</v>
      </c>
      <c r="AC228" s="392" t="e">
        <f>IFERROR((Tools!$B204+ROUND(Hydros!Z20/Tools!$C204,3)),NA())</f>
        <v>#N/A</v>
      </c>
      <c r="AD228" s="280"/>
      <c r="AE228" s="279"/>
      <c r="AF228" s="400"/>
    </row>
    <row r="229" spans="1:32" x14ac:dyDescent="0.25">
      <c r="A229" s="277"/>
      <c r="B229" s="280"/>
      <c r="C229" s="280"/>
      <c r="D229" s="391" t="s">
        <v>78</v>
      </c>
      <c r="E229" s="392">
        <f>IFERROR((Tools!$B205+ROUND(Hydros!B21/Tools!$C205,3)),NA())</f>
        <v>0</v>
      </c>
      <c r="F229" s="392">
        <f>IFERROR((Tools!$B205+ROUND(Hydros!C21/Tools!$C205,3)),NA())</f>
        <v>0.05</v>
      </c>
      <c r="G229" s="392">
        <f>IFERROR((Tools!$B205+ROUND(Hydros!D21/Tools!$C205,3)),NA())</f>
        <v>0.1</v>
      </c>
      <c r="H229" s="392">
        <f>IFERROR((Tools!$B205+ROUND(Hydros!E21/Tools!$C205,3)),NA())</f>
        <v>0.15</v>
      </c>
      <c r="I229" s="392">
        <f>IFERROR((Tools!$B205+ROUND(Hydros!F21/Tools!$C205,3)),NA())</f>
        <v>0.2</v>
      </c>
      <c r="J229" s="392">
        <f>IFERROR((Tools!$B205+ROUND(Hydros!G21/Tools!$C205,3)),NA())</f>
        <v>0.4</v>
      </c>
      <c r="K229" s="392">
        <f>IFERROR((Tools!$B205+ROUND(Hydros!H21/Tools!$C205,3)),NA())</f>
        <v>0.6</v>
      </c>
      <c r="L229" s="392">
        <f>IFERROR((Tools!$B205+ROUND(Hydros!I21/Tools!$C205,3)),NA())</f>
        <v>0.8</v>
      </c>
      <c r="M229" s="392">
        <f>IFERROR((Tools!$B205+ROUND(Hydros!J21/Tools!$C205,3)),NA())</f>
        <v>0.97</v>
      </c>
      <c r="N229" s="392">
        <f>IFERROR((Tools!$B205+ROUND(Hydros!K21/Tools!$C205,3)),NA())</f>
        <v>1</v>
      </c>
      <c r="O229" s="392">
        <f>IFERROR((Tools!$B205+ROUND(Hydros!L21/Tools!$C205,3)),NA())</f>
        <v>1.2</v>
      </c>
      <c r="P229" s="392">
        <f>IFERROR((Tools!$B205+ROUND(Hydros!M21/Tools!$C205,3)),NA())</f>
        <v>1.3</v>
      </c>
      <c r="Q229" s="392" t="e">
        <f>IFERROR((Tools!$B205+ROUND(Hydros!N21/Tools!$C205,3)),NA())</f>
        <v>#N/A</v>
      </c>
      <c r="R229" s="392" t="e">
        <f>IFERROR((Tools!$B205+ROUND(Hydros!O21/Tools!$C205,3)),NA())</f>
        <v>#N/A</v>
      </c>
      <c r="S229" s="392" t="e">
        <f>IFERROR((Tools!$B205+ROUND(Hydros!P21/Tools!$C205,3)),NA())</f>
        <v>#N/A</v>
      </c>
      <c r="T229" s="392" t="e">
        <f>IFERROR((Tools!$B205+ROUND(Hydros!Q21/Tools!$C205,3)),NA())</f>
        <v>#N/A</v>
      </c>
      <c r="U229" s="392" t="e">
        <f>IFERROR((Tools!$B205+ROUND(Hydros!R21/Tools!$C205,3)),NA())</f>
        <v>#N/A</v>
      </c>
      <c r="V229" s="392" t="e">
        <f>IFERROR((Tools!$B205+ROUND(Hydros!S21/Tools!$C205,3)),NA())</f>
        <v>#N/A</v>
      </c>
      <c r="W229" s="392" t="e">
        <f>IFERROR((Tools!$B205+ROUND(Hydros!T21/Tools!$C205,3)),NA())</f>
        <v>#N/A</v>
      </c>
      <c r="X229" s="392" t="e">
        <f>IFERROR((Tools!$B205+ROUND(Hydros!U21/Tools!$C205,3)),NA())</f>
        <v>#N/A</v>
      </c>
      <c r="Y229" s="392" t="e">
        <f>IFERROR((Tools!$B205+ROUND(Hydros!V21/Tools!$C205,3)),NA())</f>
        <v>#N/A</v>
      </c>
      <c r="Z229" s="392" t="e">
        <f>IFERROR((Tools!$B205+ROUND(Hydros!W21/Tools!$C205,3)),NA())</f>
        <v>#N/A</v>
      </c>
      <c r="AA229" s="392" t="e">
        <f>IFERROR((Tools!$B205+ROUND(Hydros!X21/Tools!$C205,3)),NA())</f>
        <v>#N/A</v>
      </c>
      <c r="AB229" s="392" t="e">
        <f>IFERROR((Tools!$B205+ROUND(Hydros!Y21/Tools!$C205,3)),NA())</f>
        <v>#N/A</v>
      </c>
      <c r="AC229" s="392" t="e">
        <f>IFERROR((Tools!$B205+ROUND(Hydros!Z21/Tools!$C205,3)),NA())</f>
        <v>#N/A</v>
      </c>
      <c r="AD229" s="280"/>
      <c r="AE229" s="279"/>
      <c r="AF229" s="400"/>
    </row>
    <row r="230" spans="1:32" x14ac:dyDescent="0.25">
      <c r="A230" s="277"/>
      <c r="B230" s="280"/>
      <c r="C230" s="280"/>
      <c r="D230" s="391" t="s">
        <v>290</v>
      </c>
      <c r="E230" s="392">
        <f>IFERROR((Tools!$B206+ROUND(Hydros!B22/Tools!$C206,3)),NA())</f>
        <v>6.3890000000000002</v>
      </c>
      <c r="F230" s="392">
        <f>IFERROR((Tools!$B206+ROUND(Hydros!C22/Tools!$C206,3)),NA())</f>
        <v>6.8049999999999997</v>
      </c>
      <c r="G230" s="392">
        <f>IFERROR((Tools!$B206+ROUND(Hydros!D22/Tools!$C206,3)),NA())</f>
        <v>7.0730000000000004</v>
      </c>
      <c r="H230" s="392">
        <f>IFERROR((Tools!$B206+ROUND(Hydros!E22/Tools!$C206,3)),NA())</f>
        <v>7.2569999999999997</v>
      </c>
      <c r="I230" s="392">
        <f>IFERROR((Tools!$B206+ROUND(Hydros!F22/Tools!$C206,3)),NA())</f>
        <v>7.4089999999999998</v>
      </c>
      <c r="J230" s="392">
        <f>IFERROR((Tools!$B206+ROUND(Hydros!G22/Tools!$C206,3)),NA())</f>
        <v>7.8390000000000004</v>
      </c>
      <c r="K230" s="392">
        <f>IFERROR((Tools!$B206+ROUND(Hydros!H22/Tools!$C206,3)),NA())</f>
        <v>8.0760000000000005</v>
      </c>
      <c r="L230" s="392">
        <f>IFERROR((Tools!$B206+ROUND(Hydros!I22/Tools!$C206,3)),NA())</f>
        <v>8.375</v>
      </c>
      <c r="M230" s="392">
        <f>IFERROR((Tools!$B206+ROUND(Hydros!J22/Tools!$C206,3)),NA())</f>
        <v>8.6479999999999997</v>
      </c>
      <c r="N230" s="392">
        <f>IFERROR((Tools!$B206+ROUND(Hydros!K22/Tools!$C206,3)),NA())</f>
        <v>8.6890000000000001</v>
      </c>
      <c r="O230" s="392">
        <f>IFERROR((Tools!$B206+ROUND(Hydros!L22/Tools!$C206,3)),NA())</f>
        <v>8.9290000000000003</v>
      </c>
      <c r="P230" s="392">
        <f>IFERROR((Tools!$B206+ROUND(Hydros!M22/Tools!$C206,3)),NA())</f>
        <v>9.0489999999999995</v>
      </c>
      <c r="Q230" s="392" t="e">
        <f>IFERROR((Tools!$B206+ROUND(Hydros!N22/Tools!$C206,3)),NA())</f>
        <v>#N/A</v>
      </c>
      <c r="R230" s="392" t="e">
        <f>IFERROR((Tools!$B206+ROUND(Hydros!O22/Tools!$C206,3)),NA())</f>
        <v>#N/A</v>
      </c>
      <c r="S230" s="392" t="e">
        <f>IFERROR((Tools!$B206+ROUND(Hydros!P22/Tools!$C206,3)),NA())</f>
        <v>#N/A</v>
      </c>
      <c r="T230" s="392" t="e">
        <f>IFERROR((Tools!$B206+ROUND(Hydros!Q22/Tools!$C206,3)),NA())</f>
        <v>#N/A</v>
      </c>
      <c r="U230" s="392" t="e">
        <f>IFERROR((Tools!$B206+ROUND(Hydros!R22/Tools!$C206,3)),NA())</f>
        <v>#N/A</v>
      </c>
      <c r="V230" s="392" t="e">
        <f>IFERROR((Tools!$B206+ROUND(Hydros!S22/Tools!$C206,3)),NA())</f>
        <v>#N/A</v>
      </c>
      <c r="W230" s="392" t="e">
        <f>IFERROR((Tools!$B206+ROUND(Hydros!T22/Tools!$C206,3)),NA())</f>
        <v>#N/A</v>
      </c>
      <c r="X230" s="392" t="e">
        <f>IFERROR((Tools!$B206+ROUND(Hydros!U22/Tools!$C206,3)),NA())</f>
        <v>#N/A</v>
      </c>
      <c r="Y230" s="392" t="e">
        <f>IFERROR((Tools!$B206+ROUND(Hydros!V22/Tools!$C206,3)),NA())</f>
        <v>#N/A</v>
      </c>
      <c r="Z230" s="392" t="e">
        <f>IFERROR((Tools!$B206+ROUND(Hydros!W22/Tools!$C206,3)),NA())</f>
        <v>#N/A</v>
      </c>
      <c r="AA230" s="392" t="e">
        <f>IFERROR((Tools!$B206+ROUND(Hydros!X22/Tools!$C206,3)),NA())</f>
        <v>#N/A</v>
      </c>
      <c r="AB230" s="392" t="e">
        <f>IFERROR((Tools!$B206+ROUND(Hydros!Y22/Tools!$C206,3)),NA())</f>
        <v>#N/A</v>
      </c>
      <c r="AC230" s="392" t="e">
        <f>IFERROR((Tools!$B206+ROUND(Hydros!Z22/Tools!$C206,3)),NA())</f>
        <v>#N/A</v>
      </c>
      <c r="AD230" s="280"/>
      <c r="AE230" s="279"/>
      <c r="AF230" s="400"/>
    </row>
    <row r="231" spans="1:32" x14ac:dyDescent="0.25">
      <c r="A231" s="277"/>
      <c r="B231" s="280"/>
      <c r="C231" s="280"/>
      <c r="D231" s="391" t="s">
        <v>291</v>
      </c>
      <c r="E231" s="392" t="e">
        <f>IFERROR((Tools!$B207+ROUND(Hydros!B23/Tools!$C207,3)),NA())</f>
        <v>#N/A</v>
      </c>
      <c r="F231" s="392">
        <f>IFERROR((Tools!$B207+ROUND(Hydros!C23/Tools!$C207,3)),NA())</f>
        <v>6.4020000000000001</v>
      </c>
      <c r="G231" s="392">
        <f>IFERROR((Tools!$B207+ROUND(Hydros!D23/Tools!$C207,3)),NA())</f>
        <v>6.55</v>
      </c>
      <c r="H231" s="392">
        <f>IFERROR((Tools!$B207+ROUND(Hydros!E23/Tools!$C207,3)),NA())</f>
        <v>6.6609999999999996</v>
      </c>
      <c r="I231" s="392">
        <f>IFERROR((Tools!$B207+ROUND(Hydros!F23/Tools!$C207,3)),NA())</f>
        <v>6.798</v>
      </c>
      <c r="J231" s="392">
        <f>IFERROR((Tools!$B207+ROUND(Hydros!G23/Tools!$C207,3)),NA())</f>
        <v>7.2190000000000003</v>
      </c>
      <c r="K231" s="392">
        <f>IFERROR((Tools!$B207+ROUND(Hydros!H23/Tools!$C207,3)),NA())</f>
        <v>7.47</v>
      </c>
      <c r="L231" s="392">
        <f>IFERROR((Tools!$B207+ROUND(Hydros!I23/Tools!$C207,3)),NA())</f>
        <v>7.6529999999999996</v>
      </c>
      <c r="M231" s="392">
        <f>IFERROR((Tools!$B207+ROUND(Hydros!J23/Tools!$C207,3)),NA())</f>
        <v>7.8029999999999999</v>
      </c>
      <c r="N231" s="392">
        <f>IFERROR((Tools!$B207+ROUND(Hydros!K23/Tools!$C207,3)),NA())</f>
        <v>7.8330000000000002</v>
      </c>
      <c r="O231" s="392">
        <f>IFERROR((Tools!$B207+ROUND(Hydros!L23/Tools!$C207,3)),NA())</f>
        <v>7.9939999999999998</v>
      </c>
      <c r="P231" s="392">
        <f>IFERROR((Tools!$B207+ROUND(Hydros!M23/Tools!$C207,3)),NA())</f>
        <v>8.07</v>
      </c>
      <c r="Q231" s="392" t="e">
        <f>IFERROR((Tools!$B207+ROUND(Hydros!N23/Tools!$C207,3)),NA())</f>
        <v>#N/A</v>
      </c>
      <c r="R231" s="392" t="e">
        <f>IFERROR((Tools!$B207+ROUND(Hydros!O23/Tools!$C207,3)),NA())</f>
        <v>#N/A</v>
      </c>
      <c r="S231" s="392" t="e">
        <f>IFERROR((Tools!$B207+ROUND(Hydros!P23/Tools!$C207,3)),NA())</f>
        <v>#N/A</v>
      </c>
      <c r="T231" s="392" t="e">
        <f>IFERROR((Tools!$B207+ROUND(Hydros!Q23/Tools!$C207,3)),NA())</f>
        <v>#N/A</v>
      </c>
      <c r="U231" s="392" t="e">
        <f>IFERROR((Tools!$B207+ROUND(Hydros!R23/Tools!$C207,3)),NA())</f>
        <v>#N/A</v>
      </c>
      <c r="V231" s="392" t="e">
        <f>IFERROR((Tools!$B207+ROUND(Hydros!S23/Tools!$C207,3)),NA())</f>
        <v>#N/A</v>
      </c>
      <c r="W231" s="392" t="e">
        <f>IFERROR((Tools!$B207+ROUND(Hydros!T23/Tools!$C207,3)),NA())</f>
        <v>#N/A</v>
      </c>
      <c r="X231" s="392" t="e">
        <f>IFERROR((Tools!$B207+ROUND(Hydros!U23/Tools!$C207,3)),NA())</f>
        <v>#N/A</v>
      </c>
      <c r="Y231" s="392" t="e">
        <f>IFERROR((Tools!$B207+ROUND(Hydros!V23/Tools!$C207,3)),NA())</f>
        <v>#N/A</v>
      </c>
      <c r="Z231" s="392" t="e">
        <f>IFERROR((Tools!$B207+ROUND(Hydros!W23/Tools!$C207,3)),NA())</f>
        <v>#N/A</v>
      </c>
      <c r="AA231" s="392" t="e">
        <f>IFERROR((Tools!$B207+ROUND(Hydros!X23/Tools!$C207,3)),NA())</f>
        <v>#N/A</v>
      </c>
      <c r="AB231" s="392" t="e">
        <f>IFERROR((Tools!$B207+ROUND(Hydros!Y23/Tools!$C207,3)),NA())</f>
        <v>#N/A</v>
      </c>
      <c r="AC231" s="392" t="e">
        <f>IFERROR((Tools!$B207+ROUND(Hydros!Z23/Tools!$C207,3)),NA())</f>
        <v>#N/A</v>
      </c>
      <c r="AD231" s="280"/>
      <c r="AE231" s="279"/>
      <c r="AF231" s="400"/>
    </row>
    <row r="232" spans="1:32" x14ac:dyDescent="0.25">
      <c r="A232" s="277"/>
      <c r="B232" s="280"/>
      <c r="C232" s="280"/>
      <c r="D232" s="391" t="s">
        <v>292</v>
      </c>
      <c r="E232" s="392" t="e">
        <f>IFERROR((Tools!$B208+ROUND(Hydros!B24/Tools!$C208,3)),NA())</f>
        <v>#N/A</v>
      </c>
      <c r="F232" s="392">
        <f>IFERROR((Tools!$B208+ROUND(Hydros!C24/Tools!$C208,3)),NA())</f>
        <v>9.6769999999999996</v>
      </c>
      <c r="G232" s="392">
        <f>IFERROR((Tools!$B208+ROUND(Hydros!D24/Tools!$C208,3)),NA())</f>
        <v>9.6509999999999998</v>
      </c>
      <c r="H232" s="392">
        <f>IFERROR((Tools!$B208+ROUND(Hydros!E24/Tools!$C208,3)),NA())</f>
        <v>9.6289999999999996</v>
      </c>
      <c r="I232" s="392">
        <f>IFERROR((Tools!$B208+ROUND(Hydros!F24/Tools!$C208,3)),NA())</f>
        <v>9.6760000000000002</v>
      </c>
      <c r="J232" s="392">
        <f>IFERROR((Tools!$B208+ROUND(Hydros!G24/Tools!$C208,3)),NA())</f>
        <v>9.8379999999999992</v>
      </c>
      <c r="K232" s="392">
        <f>IFERROR((Tools!$B208+ROUND(Hydros!H24/Tools!$C208,3)),NA())</f>
        <v>9.8919999999999995</v>
      </c>
      <c r="L232" s="392">
        <f>IFERROR((Tools!$B208+ROUND(Hydros!I24/Tools!$C208,3)),NA())</f>
        <v>9.9190000000000005</v>
      </c>
      <c r="M232" s="392">
        <f>IFERROR((Tools!$B208+ROUND(Hydros!J24/Tools!$C208,3)),NA())</f>
        <v>9.9329999999999998</v>
      </c>
      <c r="N232" s="392">
        <f>IFERROR((Tools!$B208+ROUND(Hydros!K24/Tools!$C208,3)),NA())</f>
        <v>9.9350000000000005</v>
      </c>
      <c r="O232" s="392">
        <f>IFERROR((Tools!$B208+ROUND(Hydros!L24/Tools!$C208,3)),NA())</f>
        <v>9.9459999999999997</v>
      </c>
      <c r="P232" s="392">
        <f>IFERROR((Tools!$B208+ROUND(Hydros!M24/Tools!$C208,3)),NA())</f>
        <v>9.9499999999999993</v>
      </c>
      <c r="Q232" s="392" t="e">
        <f>IFERROR((Tools!$B208+ROUND(Hydros!N24/Tools!$C208,3)),NA())</f>
        <v>#N/A</v>
      </c>
      <c r="R232" s="392" t="e">
        <f>IFERROR((Tools!$B208+ROUND(Hydros!O24/Tools!$C208,3)),NA())</f>
        <v>#N/A</v>
      </c>
      <c r="S232" s="392" t="e">
        <f>IFERROR((Tools!$B208+ROUND(Hydros!P24/Tools!$C208,3)),NA())</f>
        <v>#N/A</v>
      </c>
      <c r="T232" s="392" t="e">
        <f>IFERROR((Tools!$B208+ROUND(Hydros!Q24/Tools!$C208,3)),NA())</f>
        <v>#N/A</v>
      </c>
      <c r="U232" s="392" t="e">
        <f>IFERROR((Tools!$B208+ROUND(Hydros!R24/Tools!$C208,3)),NA())</f>
        <v>#N/A</v>
      </c>
      <c r="V232" s="392" t="e">
        <f>IFERROR((Tools!$B208+ROUND(Hydros!S24/Tools!$C208,3)),NA())</f>
        <v>#N/A</v>
      </c>
      <c r="W232" s="392" t="e">
        <f>IFERROR((Tools!$B208+ROUND(Hydros!T24/Tools!$C208,3)),NA())</f>
        <v>#N/A</v>
      </c>
      <c r="X232" s="392" t="e">
        <f>IFERROR((Tools!$B208+ROUND(Hydros!U24/Tools!$C208,3)),NA())</f>
        <v>#N/A</v>
      </c>
      <c r="Y232" s="392" t="e">
        <f>IFERROR((Tools!$B208+ROUND(Hydros!V24/Tools!$C208,3)),NA())</f>
        <v>#N/A</v>
      </c>
      <c r="Z232" s="392" t="e">
        <f>IFERROR((Tools!$B208+ROUND(Hydros!W24/Tools!$C208,3)),NA())</f>
        <v>#N/A</v>
      </c>
      <c r="AA232" s="392" t="e">
        <f>IFERROR((Tools!$B208+ROUND(Hydros!X24/Tools!$C208,3)),NA())</f>
        <v>#N/A</v>
      </c>
      <c r="AB232" s="392" t="e">
        <f>IFERROR((Tools!$B208+ROUND(Hydros!Y24/Tools!$C208,3)),NA())</f>
        <v>#N/A</v>
      </c>
      <c r="AC232" s="392" t="e">
        <f>IFERROR((Tools!$B208+ROUND(Hydros!Z24/Tools!$C208,3)),NA())</f>
        <v>#N/A</v>
      </c>
      <c r="AD232" s="280"/>
      <c r="AE232" s="279"/>
      <c r="AF232" s="400"/>
    </row>
    <row r="233" spans="1:32" x14ac:dyDescent="0.25">
      <c r="A233" s="277"/>
      <c r="B233" s="280"/>
      <c r="C233" s="280"/>
      <c r="D233" s="401" t="s">
        <v>293</v>
      </c>
      <c r="E233" s="392" t="e">
        <f>IFERROR((Tools!$B209+ROUND(Hydros!B25/Tools!$C209,3)),NA())</f>
        <v>#N/A</v>
      </c>
      <c r="F233" s="392">
        <f>IFERROR((Tools!$B209+ROUND(Hydros!C25/Tools!$C209,3)),NA())</f>
        <v>16.615000000000002</v>
      </c>
      <c r="G233" s="392">
        <f>IFERROR((Tools!$B209+ROUND(Hydros!D25/Tools!$C209,3)),NA())</f>
        <v>16.786999999999999</v>
      </c>
      <c r="H233" s="392">
        <f>IFERROR((Tools!$B209+ROUND(Hydros!E25/Tools!$C209,3)),NA())</f>
        <v>16.917999999999999</v>
      </c>
      <c r="I233" s="392">
        <f>IFERROR((Tools!$B209+ROUND(Hydros!F25/Tools!$C209,3)),NA())</f>
        <v>17.026</v>
      </c>
      <c r="J233" s="392">
        <f>IFERROR((Tools!$B209+ROUND(Hydros!G25/Tools!$C209,3)),NA())</f>
        <v>17.338000000000001</v>
      </c>
      <c r="K233" s="392">
        <f>IFERROR((Tools!$B209+ROUND(Hydros!H25/Tools!$C209,3)),NA())</f>
        <v>17.552</v>
      </c>
      <c r="L233" s="392">
        <f>IFERROR((Tools!$B209+ROUND(Hydros!I25/Tools!$C209,3)),NA())</f>
        <v>17.715</v>
      </c>
      <c r="M233" s="392">
        <f>IFERROR((Tools!$B209+ROUND(Hydros!J25/Tools!$C209,3)),NA())</f>
        <v>17.856000000000002</v>
      </c>
      <c r="N233" s="392">
        <f>IFERROR((Tools!$B209+ROUND(Hydros!K25/Tools!$C209,3)),NA())</f>
        <v>17.884</v>
      </c>
      <c r="O233" s="392">
        <f>IFERROR((Tools!$B209+ROUND(Hydros!L25/Tools!$C209,3)),NA())</f>
        <v>18.036999999999999</v>
      </c>
      <c r="P233" s="392">
        <f>IFERROR((Tools!$B209+ROUND(Hydros!M25/Tools!$C209,3)),NA())</f>
        <v>18.111000000000001</v>
      </c>
      <c r="Q233" s="392" t="e">
        <f>IFERROR((Tools!$B209+ROUND(Hydros!N25/Tools!$C209,3)),NA())</f>
        <v>#N/A</v>
      </c>
      <c r="R233" s="392" t="e">
        <f>IFERROR((Tools!$B209+ROUND(Hydros!O25/Tools!$C209,3)),NA())</f>
        <v>#N/A</v>
      </c>
      <c r="S233" s="392" t="e">
        <f>IFERROR((Tools!$B209+ROUND(Hydros!P25/Tools!$C209,3)),NA())</f>
        <v>#N/A</v>
      </c>
      <c r="T233" s="392" t="e">
        <f>IFERROR((Tools!$B209+ROUND(Hydros!Q25/Tools!$C209,3)),NA())</f>
        <v>#N/A</v>
      </c>
      <c r="U233" s="392" t="e">
        <f>IFERROR((Tools!$B209+ROUND(Hydros!R25/Tools!$C209,3)),NA())</f>
        <v>#N/A</v>
      </c>
      <c r="V233" s="392" t="e">
        <f>IFERROR((Tools!$B209+ROUND(Hydros!S25/Tools!$C209,3)),NA())</f>
        <v>#N/A</v>
      </c>
      <c r="W233" s="392" t="e">
        <f>IFERROR((Tools!$B209+ROUND(Hydros!T25/Tools!$C209,3)),NA())</f>
        <v>#N/A</v>
      </c>
      <c r="X233" s="392" t="e">
        <f>IFERROR((Tools!$B209+ROUND(Hydros!U25/Tools!$C209,3)),NA())</f>
        <v>#N/A</v>
      </c>
      <c r="Y233" s="392" t="e">
        <f>IFERROR((Tools!$B209+ROUND(Hydros!V25/Tools!$C209,3)),NA())</f>
        <v>#N/A</v>
      </c>
      <c r="Z233" s="392" t="e">
        <f>IFERROR((Tools!$B209+ROUND(Hydros!W25/Tools!$C209,3)),NA())</f>
        <v>#N/A</v>
      </c>
      <c r="AA233" s="392" t="e">
        <f>IFERROR((Tools!$B209+ROUND(Hydros!X25/Tools!$C209,3)),NA())</f>
        <v>#N/A</v>
      </c>
      <c r="AB233" s="392" t="e">
        <f>IFERROR((Tools!$B209+ROUND(Hydros!Y25/Tools!$C209,3)),NA())</f>
        <v>#N/A</v>
      </c>
      <c r="AC233" s="392" t="e">
        <f>IFERROR((Tools!$B209+ROUND(Hydros!Z25/Tools!$C209,3)),NA())</f>
        <v>#N/A</v>
      </c>
      <c r="AD233" s="280"/>
      <c r="AE233" s="279"/>
      <c r="AF233" s="400"/>
    </row>
    <row r="234" spans="1:32" x14ac:dyDescent="0.25">
      <c r="A234" s="277"/>
      <c r="B234" s="280"/>
      <c r="C234" s="280"/>
      <c r="D234" s="402"/>
      <c r="E234" s="402"/>
      <c r="F234" s="243" t="s">
        <v>294</v>
      </c>
      <c r="G234" s="243">
        <v>10</v>
      </c>
      <c r="H234" s="243">
        <v>10</v>
      </c>
      <c r="I234" s="243"/>
      <c r="J234" s="243" t="s">
        <v>295</v>
      </c>
      <c r="K234" s="243">
        <v>20</v>
      </c>
      <c r="L234" s="243">
        <v>20</v>
      </c>
      <c r="M234" s="243"/>
      <c r="N234" s="243" t="s">
        <v>135</v>
      </c>
      <c r="O234" s="243">
        <v>0</v>
      </c>
      <c r="P234" s="243">
        <v>20</v>
      </c>
      <c r="Q234" s="243"/>
      <c r="R234" s="243" t="s">
        <v>134</v>
      </c>
      <c r="S234" s="243">
        <v>0</v>
      </c>
      <c r="T234" s="243">
        <v>20</v>
      </c>
      <c r="U234" s="402"/>
      <c r="V234" s="402"/>
      <c r="W234" s="402"/>
      <c r="X234" s="402"/>
      <c r="Y234" s="402"/>
      <c r="Z234" s="402"/>
      <c r="AA234" s="402"/>
      <c r="AB234" s="280"/>
      <c r="AC234" s="280"/>
      <c r="AD234" s="280"/>
      <c r="AE234" s="279"/>
      <c r="AF234" s="400"/>
    </row>
    <row r="235" spans="1:32" x14ac:dyDescent="0.25">
      <c r="A235" s="285"/>
      <c r="B235" s="285"/>
      <c r="C235" s="285"/>
      <c r="D235" s="403"/>
      <c r="E235" s="403"/>
      <c r="F235" s="246"/>
      <c r="G235" s="246">
        <v>0</v>
      </c>
      <c r="H235" s="246">
        <f>DEPTH*Tools!CF69</f>
        <v>13</v>
      </c>
      <c r="I235" s="246"/>
      <c r="J235" s="246"/>
      <c r="K235" s="246">
        <v>0</v>
      </c>
      <c r="L235" s="246">
        <f>H235</f>
        <v>13</v>
      </c>
      <c r="M235" s="246"/>
      <c r="N235" s="246"/>
      <c r="O235" s="246">
        <f>L235</f>
        <v>13</v>
      </c>
      <c r="P235" s="246">
        <f>O235</f>
        <v>13</v>
      </c>
      <c r="Q235" s="246"/>
      <c r="R235" s="246"/>
      <c r="S235" s="246">
        <f>DRAFT*Tools!CF69</f>
        <v>9.6999999999999993</v>
      </c>
      <c r="T235" s="246">
        <f>S235</f>
        <v>9.6999999999999993</v>
      </c>
      <c r="U235" s="403"/>
      <c r="V235" s="403"/>
      <c r="W235" s="403"/>
      <c r="X235" s="403"/>
      <c r="Y235" s="403"/>
      <c r="Z235" s="403"/>
      <c r="AA235" s="403"/>
      <c r="AB235" s="285"/>
      <c r="AC235" s="285"/>
      <c r="AD235" s="285"/>
      <c r="AE235" s="293"/>
      <c r="AF235" s="400"/>
    </row>
    <row r="236" spans="1:32" x14ac:dyDescent="0.25">
      <c r="AE236" s="400"/>
      <c r="AF236" s="400"/>
    </row>
    <row r="237" spans="1:32" x14ac:dyDescent="0.25">
      <c r="AE237" s="400"/>
      <c r="AF237" s="400"/>
    </row>
  </sheetData>
  <sheetProtection password="CA5D" sheet="1" objects="1" scenarios="1" selectLockedCells="1" selectUnlockedCells="1"/>
  <mergeCells count="4">
    <mergeCell ref="B184:D184"/>
    <mergeCell ref="C185:C186"/>
    <mergeCell ref="L49:N49"/>
    <mergeCell ref="L54:N54"/>
  </mergeCells>
  <conditionalFormatting sqref="D210:AC210">
    <cfRule type="notContainsBlanks" dxfId="7" priority="10">
      <formula>LEN(TRIM(D210))&gt;0</formula>
    </cfRule>
  </conditionalFormatting>
  <conditionalFormatting sqref="G186:AE186">
    <cfRule type="notContainsBlanks" dxfId="6" priority="8">
      <formula>LEN(TRIM(G186))&gt;0</formula>
    </cfRule>
  </conditionalFormatting>
  <conditionalFormatting sqref="F187:AE209">
    <cfRule type="notContainsBlanks" dxfId="5" priority="9">
      <formula>LEN(TRIM(F187))&gt;0</formula>
    </cfRule>
  </conditionalFormatting>
  <conditionalFormatting sqref="L49">
    <cfRule type="containsBlanks" dxfId="4" priority="5">
      <formula>LEN(TRIM(L49))=0</formula>
    </cfRule>
    <cfRule type="containsBlanks" dxfId="3" priority="6">
      <formula>LEN(TRIM(L49))=0</formula>
    </cfRule>
  </conditionalFormatting>
  <conditionalFormatting sqref="L54">
    <cfRule type="containsBlanks" dxfId="2" priority="1">
      <formula>LEN(TRIM(L54))=0</formula>
    </cfRule>
    <cfRule type="containsBlanks" dxfId="1" priority="2">
      <formula>LEN(TRIM(L54))=0</formula>
    </cfRule>
  </conditionalFormatting>
  <dataValidations disablePrompts="1" count="3">
    <dataValidation type="decimal" operator="greaterThan" allowBlank="1" showInputMessage="1" showErrorMessage="1" errorTitle="Height scale" error="Enter a positive number." sqref="CF69">
      <formula1>0</formula1>
    </dataValidation>
    <dataValidation type="decimal" operator="greaterThan" allowBlank="1" showInputMessage="1" showErrorMessage="1" errorTitle="X axis scale factor" error="Enter a positive number." sqref="CF67 CI72">
      <formula1>0</formula1>
    </dataValidation>
    <dataValidation type="decimal" operator="greaterThan" allowBlank="1" showInputMessage="1" showErrorMessage="1" errorTitle="Y scale factor (*WL Spacing)" error="Enter a positive number." sqref="CI73">
      <formula1>0</formula1>
    </dataValidation>
  </dataValidations>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containsText" priority="7" operator="containsText" id="{4A6520E7-ACC5-46FA-AB34-F453B69B7381}">
            <xm:f>NOT(ISERROR(SEARCH("-",A187)))</xm:f>
            <xm:f>"-"</xm:f>
            <x14:dxf>
              <font>
                <b/>
                <i val="0"/>
                <color theme="0"/>
              </font>
              <fill>
                <patternFill>
                  <bgColor rgb="FFFF0000"/>
                </patternFill>
              </fill>
            </x14:dxf>
          </x14:cfRule>
          <xm:sqref>A187:A209</xm:sqref>
        </x14:conditionalFormatting>
      </x14:conditionalFormattings>
    </ext>
  </extLst>
</worksheet>
</file>

<file path=xl/worksheets/sheet6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1"/>
  <dimension ref="A1:Y34"/>
  <sheetViews>
    <sheetView showGridLines="0" showRowColHeaders="0" workbookViewId="0">
      <selection activeCell="L5" sqref="L5"/>
    </sheetView>
  </sheetViews>
  <sheetFormatPr defaultRowHeight="15" x14ac:dyDescent="0.25"/>
  <sheetData>
    <row r="1" spans="1:19" ht="15.75" x14ac:dyDescent="0.25">
      <c r="A1" s="144" t="s">
        <v>140</v>
      </c>
      <c r="B1" s="145"/>
      <c r="C1" s="145"/>
      <c r="D1" s="145"/>
      <c r="E1" s="144" t="s">
        <v>141</v>
      </c>
      <c r="F1" s="145"/>
      <c r="G1" s="146"/>
      <c r="H1" s="146"/>
      <c r="I1" s="147"/>
      <c r="K1" s="148"/>
      <c r="L1" s="150" t="s">
        <v>142</v>
      </c>
      <c r="M1" s="151"/>
      <c r="N1" s="151"/>
      <c r="O1" s="152"/>
      <c r="P1" s="150" t="s">
        <v>143</v>
      </c>
      <c r="Q1" s="146"/>
      <c r="R1" s="151"/>
      <c r="S1" s="151"/>
    </row>
    <row r="2" spans="1:19" ht="18.75" x14ac:dyDescent="0.3">
      <c r="A2" s="153"/>
      <c r="B2" s="154" t="s">
        <v>145</v>
      </c>
      <c r="C2" s="155">
        <v>2</v>
      </c>
      <c r="D2" s="152"/>
      <c r="E2" s="156" t="s">
        <v>146</v>
      </c>
      <c r="F2" s="152"/>
      <c r="G2" s="155">
        <v>1</v>
      </c>
      <c r="H2" s="146" t="s">
        <v>147</v>
      </c>
      <c r="I2" s="152"/>
      <c r="J2" s="421"/>
      <c r="K2" s="148"/>
      <c r="L2" s="154" t="s">
        <v>148</v>
      </c>
      <c r="M2" s="155">
        <f>IFERROR(Tools!N31,"")</f>
        <v>50</v>
      </c>
      <c r="N2" s="151" t="s">
        <v>149</v>
      </c>
      <c r="O2" s="146"/>
      <c r="P2" s="157"/>
      <c r="Q2" s="154" t="s">
        <v>150</v>
      </c>
      <c r="R2" s="155">
        <f>IFERROR(Tools!N32,"")</f>
        <v>300</v>
      </c>
      <c r="S2" s="151" t="s">
        <v>149</v>
      </c>
    </row>
    <row r="3" spans="1:19" ht="18.75" x14ac:dyDescent="0.3">
      <c r="A3" s="146"/>
      <c r="B3" s="158"/>
      <c r="C3" s="158"/>
      <c r="D3" s="146"/>
      <c r="E3" s="156" t="s">
        <v>152</v>
      </c>
      <c r="F3" s="146"/>
      <c r="G3" s="155">
        <v>2</v>
      </c>
      <c r="H3" s="146" t="s">
        <v>153</v>
      </c>
      <c r="I3" s="152"/>
      <c r="J3" s="421"/>
      <c r="K3" s="148"/>
      <c r="L3" s="158" t="s">
        <v>154</v>
      </c>
      <c r="M3" s="159">
        <f>IFERROR(Tools!N31,"")</f>
        <v>50</v>
      </c>
      <c r="N3" s="151"/>
      <c r="O3" s="146"/>
      <c r="P3" s="157"/>
      <c r="Q3" s="158" t="s">
        <v>154</v>
      </c>
      <c r="R3" s="159">
        <f>IFERROR(Tools!N32,"")</f>
        <v>300</v>
      </c>
      <c r="S3" s="151"/>
    </row>
    <row r="4" spans="1:19" ht="15.75" x14ac:dyDescent="0.25">
      <c r="A4" s="146"/>
      <c r="B4" s="146"/>
      <c r="C4" s="146"/>
      <c r="D4" s="146"/>
      <c r="E4" s="146"/>
      <c r="F4" s="146"/>
      <c r="G4" s="146"/>
      <c r="H4" s="146"/>
      <c r="I4" s="147"/>
      <c r="J4" s="421"/>
      <c r="K4" s="421"/>
      <c r="L4" s="154" t="s">
        <v>155</v>
      </c>
      <c r="M4" s="155">
        <v>15</v>
      </c>
      <c r="N4" s="151" t="s">
        <v>156</v>
      </c>
      <c r="O4" s="146"/>
      <c r="P4" s="130"/>
      <c r="Q4" s="154" t="s">
        <v>155</v>
      </c>
      <c r="R4" s="155">
        <v>15</v>
      </c>
      <c r="S4" s="151" t="s">
        <v>156</v>
      </c>
    </row>
    <row r="5" spans="1:19" ht="15.75" x14ac:dyDescent="0.25">
      <c r="A5" s="428" t="s">
        <v>328</v>
      </c>
      <c r="B5" s="152"/>
      <c r="C5" s="152"/>
      <c r="D5" s="152"/>
      <c r="E5" s="152"/>
      <c r="F5" s="152"/>
      <c r="H5" s="421"/>
      <c r="I5" s="421"/>
      <c r="J5" s="421"/>
      <c r="K5" s="421"/>
      <c r="L5" s="149"/>
      <c r="M5" s="146"/>
      <c r="N5" s="146"/>
      <c r="O5" s="146"/>
      <c r="P5" s="146"/>
      <c r="Q5" s="146"/>
      <c r="R5" s="146"/>
      <c r="S5" s="146"/>
    </row>
    <row r="6" spans="1:19" x14ac:dyDescent="0.25">
      <c r="A6" s="427"/>
      <c r="B6" s="427"/>
      <c r="C6" s="427"/>
      <c r="D6" s="421"/>
      <c r="E6" s="519" t="s">
        <v>157</v>
      </c>
      <c r="F6" s="519"/>
      <c r="G6" s="152"/>
      <c r="H6" s="520" t="s">
        <v>158</v>
      </c>
      <c r="I6" s="520"/>
      <c r="J6" s="152"/>
      <c r="K6" s="421"/>
      <c r="L6" s="167" t="s">
        <v>142</v>
      </c>
      <c r="M6" s="152"/>
      <c r="N6" s="146"/>
      <c r="O6" s="146"/>
      <c r="P6" s="167" t="s">
        <v>143</v>
      </c>
      <c r="Q6" s="152"/>
      <c r="R6" s="149"/>
      <c r="S6" s="146"/>
    </row>
    <row r="7" spans="1:19" x14ac:dyDescent="0.25">
      <c r="A7" s="427"/>
      <c r="B7" s="427"/>
      <c r="C7" s="427"/>
      <c r="D7" s="421"/>
      <c r="E7" s="168" t="str">
        <f>CONCATENATE(IF(Tools!A98="  ","","WL "),Tools!A98)</f>
        <v>WL 0</v>
      </c>
      <c r="F7" s="169" t="str">
        <f>IF(Tools!AB127="  ","",CONCATENATE(Tools!AB127,Tools!BA127,Tools!AZ127,Tools!AY127,Tools!AX127,Tools!AW127,Tools!AV127,Tools!AU127,Tools!AT127,Tools!AS127,Tools!AR127,Tools!AQ127,Tools!AP127,Tools!AO127,Tools!AN127,Tools!AM127,Tools!AL127,Tools!AK127,Tools!AJ127,Tools!AI127,Tools!AH127,Tools!AG127,Tools!AF127,Tools!AE127,Tools!AD127,Tools!AC127))</f>
        <v xml:space="preserve">Zoom Window -7.31,-30.0333333333333 153.51,-3.63333333333333 Spline 146.2,-16.733 142.545,-16.433 138.89,-15.533 135.235,-14.533 131.58,-13.333 124.27,-11.233 116.96,-9.233 109.65,-7.933 102.34,-7.333 95.03,-7.133 87.72,-7.133 80.41,-7.133 73.1,-7.133 65.79,-7.133 58.48,-7.333 51.17,-7.833 43.86,-8.933 36.55,-10.933 29.24,-13.033 21.93,-14.933 14.62,-15.933 10.965,-16.333 7.31,-16.533 3.655,-16.733 0,-16.833 </v>
      </c>
      <c r="G7" s="147" t="s">
        <v>159</v>
      </c>
      <c r="H7" s="152" t="str">
        <f>CONCATENATE(IF(Tools!AD3="  ","","STN "),Tools!AD3)</f>
        <v>STN 0</v>
      </c>
      <c r="I7" s="170" t="str">
        <f>IF(Tools!AB98="  ","",CONCATENATE(Tools!AB98,Tools!BB98,Tools!BA98,Tools!AZ98,Tools!AY98,Tools!AX98,Tools!AW98,Tools!AV98,Tools!AU98,Tools!AT98,Tools!AS98,Tools!AR98,Tools!AQ98,Tools!AP98,Tools!AO98,Tools!AN98,Tools!AM98,Tools!AL98,Tools!AK98,Tools!AJ98,Tools!AI98,Tools!AH98,Tools!AG98,Tools!AF98,Tools!AE98,Tools!AD98,Tools!AC98))</f>
        <v xml:space="preserve">Zoom Window 155.71,-1.3 182.11,14.3 Spline 164.67,13 165.09,12 166.09,10 166.32,9.7 168.01,8 168.91,7 </v>
      </c>
      <c r="J7" s="146" t="s">
        <v>159</v>
      </c>
      <c r="K7" s="421"/>
      <c r="L7" s="521" t="str">
        <f>IF(Tools!$B156="","",CONCATENATE(Tools!M154,"Spline ",Tools!B156,Tools!C156,Tools!D156,Tools!E156,Tools!F156,Tools!G156,Tools!H156,Tools!I156,Tools!J156,Tools!K156,Tools!L156,Tools!M156,Tools!N156,Tools!O156,Tools!P156,Tools!Q156,Tools!R156,Tools!S156,Tools!T156,Tools!U156,Tools!V156,Tools!W156,Tools!X156,Tools!Y156,Tools!Z156))</f>
        <v xml:space="preserve">Zoom Window -14.62,-2.6 160.82,28.6 Spline 0,0 0,1 0,2 0,3 0,4 0,8 0,12 0.018,16 0.137,19.4 0.173,20 0.445,24 0.606,26 </v>
      </c>
      <c r="M7" s="522"/>
      <c r="N7" s="146"/>
      <c r="O7" s="146"/>
      <c r="P7" s="521" t="str">
        <f>IF(Tools!$AC156="","",CONCATENATE("Spline ",Tools!AC156,Tools!AD156,Tools!AE156,Tools!AF156,Tools!AG156,Tools!AH156,Tools!AI156,Tools!AJ156,Tools!AK156,Tools!AL156,Tools!AM156,Tools!AN156,Tools!AO156,Tools!AP156,Tools!AQ156,Tools!AR156,Tools!AS156,Tools!AT156,Tools!AU156,Tools!AV156,Tools!AW156,Tools!AX156,Tools!AY156,Tools!AZ156,Tools!BA156))</f>
        <v xml:space="preserve">Spline 0,0 0,1 0,2 0,3 0,4 0,8 0,12 0.023,16 0.201,19.4 0.26,20 0.76,24 1.096,26 </v>
      </c>
      <c r="Q7" s="522"/>
      <c r="R7" s="146"/>
      <c r="S7" s="146"/>
    </row>
    <row r="8" spans="1:19" x14ac:dyDescent="0.25">
      <c r="A8" s="427"/>
      <c r="B8" s="427"/>
      <c r="C8" s="427"/>
      <c r="D8" s="421"/>
      <c r="E8" s="148" t="str">
        <f>CONCATENATE(IF(Tools!A99="  ","","WL "),Tools!A99)</f>
        <v>WL 0.25</v>
      </c>
      <c r="F8" s="172" t="str">
        <f>IF(Tools!AB128="  ","",CONCATENATE(Tools!AB128,Tools!BA128,Tools!AZ128,Tools!AY128,Tools!AX128,Tools!AW128,Tools!AV128,Tools!AU128,Tools!AT128,Tools!AS128,Tools!AR128,Tools!AQ128,Tools!AP128,Tools!AO128,Tools!AN128,Tools!AM128,Tools!AL128,Tools!AK128,Tools!AJ128,Tools!AI128,Tools!AH128,Tools!AG128,Tools!AF128,Tools!AE128,Tools!AD128,Tools!AC128))</f>
        <v xml:space="preserve">Spline 146.2,-16.033 142.545,-15.623 138.89,-14.533 135.235,-13.403 131.58,-12.183 124.27,-9.943 116.96,-8.193 109.65,-7.073 102.34,-6.513 95.03,-6.383 87.72,-6.383 80.41,-6.383 73.1,-6.383 65.79,-6.383 58.48,-6.503 51.17,-7.003 43.86,-7.933 36.55,-9.573 29.24,-11.503 21.93,-13.513 14.62,-15.243 10.965,-15.843 7.31,-16.333 3.655,-16.633 0,-16.833 </v>
      </c>
      <c r="G8" s="147" t="s">
        <v>159</v>
      </c>
      <c r="H8" s="152" t="str">
        <f>CONCATENATE(IF(Tools!AD4="  ","","STN "),Tools!AD4)</f>
        <v>STN 0.5</v>
      </c>
      <c r="I8" s="173" t="str">
        <f>IF(Tools!AB99="  ","",CONCATENATE(Tools!AB99,Tools!BB99,Tools!BA99,Tools!AZ99,Tools!AY99,Tools!AX99,Tools!AW99,Tools!AV99,Tools!AU99,Tools!AT99,Tools!AS99,Tools!AR99,Tools!AQ99,Tools!AP99,Tools!AO99,Tools!AN99,Tools!AM99,Tools!AL99,Tools!AK99,Tools!AJ99,Tools!AI99,Tools!AH99,Tools!AG99,Tools!AF99,Tools!AE99,Tools!AD99,Tools!AC99))</f>
        <v xml:space="preserve">Spline 163.06,13 163.48,12 164.52,10 164.73,9.7 166.48,8 168.25,6 168.58,4 168.66,2 168.7,1.5 168.71,1 168.71,0.5 168.81,0 </v>
      </c>
      <c r="J8" s="146" t="s">
        <v>159</v>
      </c>
      <c r="K8" s="421"/>
      <c r="L8" s="523" t="str">
        <f>IF(Tools!$B157="","",CONCATENATE("Spline ",Tools!B157,Tools!C157,Tools!D157,Tools!E157,Tools!F157,Tools!G157,Tools!H157,Tools!I157,Tools!J157,Tools!K157,Tools!L157,Tools!M157,Tools!N157,Tools!O157,Tools!P157,Tools!Q157,Tools!R157,Tools!S157,Tools!T157,Tools!U157,Tools!V157,Tools!W157,Tools!X157,Tools!Y157,Tools!Z157))</f>
        <v xml:space="preserve">Spline 3.655,0 3.658,1 3.662,2 3.666,3 3.671,4 3.692,8 3.73,12 3.836,16 4.061,19.4 4.124,20 4.514,24 4.74,26 </v>
      </c>
      <c r="M8" s="524"/>
      <c r="N8" s="146"/>
      <c r="O8" s="146"/>
      <c r="P8" s="523" t="str">
        <f>IF(Tools!$AC157="","",CONCATENATE("Spline ",Tools!AC157,Tools!AD157,Tools!AE157,Tools!AF157,Tools!AG157,Tools!AH157,Tools!AI157,Tools!AJ157,Tools!AK157,Tools!AL157,Tools!AM157,Tools!AN157,Tools!AO157,Tools!AP157,Tools!AQ157,Tools!AR157,Tools!AS157,Tools!AT157,Tools!AU157,Tools!AV157,Tools!AW157,Tools!AX157,Tools!AY157,Tools!AZ157,Tools!BA157))</f>
        <v xml:space="preserve">Spline 3.655,0 3.655,1 3.656,2 3.656,3 3.658,4 3.669,8 3.701,12 3.831,16 4.166,19.4 4.259,20 4.988,24 5.458,26 </v>
      </c>
      <c r="Q8" s="524"/>
      <c r="R8" s="146"/>
      <c r="S8" s="146"/>
    </row>
    <row r="9" spans="1:19" x14ac:dyDescent="0.25">
      <c r="A9" s="427"/>
      <c r="B9" s="427"/>
      <c r="C9" s="427"/>
      <c r="D9" s="421"/>
      <c r="E9" s="148" t="str">
        <f>CONCATENATE(IF(Tools!A100="  ","","WL "),Tools!A100)</f>
        <v>WL 0.5</v>
      </c>
      <c r="F9" s="172" t="str">
        <f>IF(Tools!AB129="  ","",CONCATENATE(Tools!AB129,Tools!BA129,Tools!AZ129,Tools!AY129,Tools!AX129,Tools!AW129,Tools!AV129,Tools!AU129,Tools!AT129,Tools!AS129,Tools!AR129,Tools!AQ129,Tools!AP129,Tools!AO129,Tools!AN129,Tools!AM129,Tools!AL129,Tools!AK129,Tools!AJ129,Tools!AI129,Tools!AH129,Tools!AG129,Tools!AF129,Tools!AE129,Tools!AD129,Tools!AC129))</f>
        <v xml:space="preserve">Spline 146.2,-15.633 142.545,-15.143 138.89,-13.993 135.235,-12.703 131.58,-11.483 124.27,-9.273 116.96,-7.563 109.65,-6.633 102.34,-6.173 95.03,-6.083 87.72,-6.083 80.41,-6.083 73.1,-6.083 65.79,-6.083 58.48,-6.163 51.17,-6.533 43.86,-7.333 36.55,-8.713 29.24,-10.573 21.93,-12.663 14.62,-14.693 10.965,-15.483 7.31,-16.153 3.655,-16.633 0,-16.833 </v>
      </c>
      <c r="G9" s="147" t="s">
        <v>159</v>
      </c>
      <c r="H9" s="152" t="str">
        <f>CONCATENATE(IF(Tools!AD5="  ","","STN "),Tools!AD5)</f>
        <v>STN 1</v>
      </c>
      <c r="I9" s="173" t="str">
        <f>IF(Tools!AB100="  ","",CONCATENATE(Tools!AB100,Tools!BB100,Tools!BA100,Tools!AZ100,Tools!AY100,Tools!AX100,Tools!AW100,Tools!AV100,Tools!AU100,Tools!AT100,Tools!AS100,Tools!AR100,Tools!AQ100,Tools!AP100,Tools!AO100,Tools!AN100,Tools!AM100,Tools!AL100,Tools!AK100,Tools!AJ100,Tools!AI100,Tools!AH100,Tools!AG100,Tools!AF100,Tools!AE100,Tools!AD100,Tools!AC100))</f>
        <v xml:space="preserve">Spline 161.64,13 162.11,12 163.13,10 163.34,9.7 164.9,8 166.64,6 167.47,4 167.93,2 168.08,1.5 168.23,1 168.41,0.5 168.61,0 </v>
      </c>
      <c r="J9" s="146" t="s">
        <v>159</v>
      </c>
      <c r="K9" s="421"/>
      <c r="L9" s="523" t="str">
        <f>IF(Tools!$B158="","",CONCATENATE("Spline ",Tools!B158,Tools!C158,Tools!D158,Tools!E158,Tools!F158,Tools!G158,Tools!H158,Tools!I158,Tools!J158,Tools!K158,Tools!L158,Tools!M158,Tools!N158,Tools!O158,Tools!P158,Tools!Q158,Tools!R158,Tools!S158,Tools!T158,Tools!U158,Tools!V158,Tools!W158,Tools!X158,Tools!Y158,Tools!Z158))</f>
        <v xml:space="preserve">Spline 7.31,0 7.318,1 7.33,2 7.345,3 7.363,4 7.457,8 7.603,12 7.845,16 8.171,19.4 8.246,20 8.75,24 9.031,26 </v>
      </c>
      <c r="M9" s="524"/>
      <c r="N9" s="146"/>
      <c r="O9" s="146"/>
      <c r="P9" s="523" t="str">
        <f>IF(Tools!$AC158="","",CONCATENATE("Spline ",Tools!AC158,Tools!AD158,Tools!AE158,Tools!AF158,Tools!AG158,Tools!AH158,Tools!AI158,Tools!AJ158,Tools!AK158,Tools!AL158,Tools!AM158,Tools!AN158,Tools!AO158,Tools!AP158,Tools!AQ158,Tools!AR158,Tools!AS158,Tools!AT158,Tools!AU158,Tools!AV158,Tools!AW158,Tools!AX158,Tools!AY158,Tools!AZ158,Tools!BA158))</f>
        <v xml:space="preserve">Spline 7.31,0 7.31,1 7.312,2 7.315,3 7.32,4 7.369,8 7.492,12 7.779,16 8.262,19.4 8.38,20 9.312,24 9.898,26 </v>
      </c>
      <c r="Q9" s="524"/>
      <c r="R9" s="146"/>
      <c r="S9" s="146"/>
    </row>
    <row r="10" spans="1:19" x14ac:dyDescent="0.25">
      <c r="A10" s="427"/>
      <c r="B10" s="427"/>
      <c r="C10" s="427"/>
      <c r="D10" s="421"/>
      <c r="E10" s="148" t="str">
        <f>CONCATENATE(IF(Tools!A101="  ","","WL "),Tools!A101)</f>
        <v>WL 0.75</v>
      </c>
      <c r="F10" s="172" t="str">
        <f>IF(Tools!AB130="  ","",CONCATENATE(Tools!AB130,Tools!BA130,Tools!AZ130,Tools!AY130,Tools!AX130,Tools!AW130,Tools!AV130,Tools!AU130,Tools!AT130,Tools!AS130,Tools!AR130,Tools!AQ130,Tools!AP130,Tools!AO130,Tools!AN130,Tools!AM130,Tools!AL130,Tools!AK130,Tools!AJ130,Tools!AI130,Tools!AH130,Tools!AG130,Tools!AF130,Tools!AE130,Tools!AD130,Tools!AC130))</f>
        <v xml:space="preserve">Spline 146.2,-15.403 142.545,-14.813 138.89,-13.583 135.235,-12.253 131.58,-10.963 124.27,-8.793 116.96,-7.173 109.65,-6.333 102.34,-5.963 95.03,-5.903 87.72,-5.903 80.41,-5.903 73.1,-5.903 65.79,-5.903 58.48,-5.933 51.17,-6.233 43.86,-6.893 36.55,-8.133 29.24,-10.003 21.93,-12.113 14.62,-14.243 10.965,-15.183 7.31,-16.003 3.655,-16.623 0,-16.833 </v>
      </c>
      <c r="G10" s="147" t="s">
        <v>159</v>
      </c>
      <c r="H10" s="152" t="str">
        <f>CONCATENATE(IF(Tools!AD6="  ","","STN "),Tools!AD6)</f>
        <v>STN 1.5</v>
      </c>
      <c r="I10" s="173" t="str">
        <f>IF(Tools!AB101="  ","",CONCATENATE(Tools!AB101,Tools!BB101,Tools!BA101,Tools!AZ101,Tools!AY101,Tools!AX101,Tools!AW101,Tools!AV101,Tools!AU101,Tools!AT101,Tools!AS101,Tools!AR101,Tools!AQ101,Tools!AP101,Tools!AO101,Tools!AN101,Tools!AM101,Tools!AL101,Tools!AK101,Tools!AJ101,Tools!AI101,Tools!AH101,Tools!AG101,Tools!AF101,Tools!AE101,Tools!AD101,Tools!AC101))</f>
        <v xml:space="preserve">Spline 160.49,13 160.93,12 161.9,10 162.09,9.7 163.41,8 165.05,6 166.1,4 167.02,2 167.26,1.5 167.56,1 167.92,0.5 168.41,0 </v>
      </c>
      <c r="J10" s="146" t="s">
        <v>159</v>
      </c>
      <c r="K10" s="421"/>
      <c r="L10" s="523" t="str">
        <f>IF(Tools!$B159="","",CONCATENATE("Spline ",Tools!B159,Tools!C159,Tools!D159,Tools!E159,Tools!F159,Tools!G159,Tools!H159,Tools!I159,Tools!J159,Tools!K159,Tools!L159,Tools!M159,Tools!N159,Tools!O159,Tools!P159,Tools!Q159,Tools!R159,Tools!S159,Tools!T159,Tools!U159,Tools!V159,Tools!W159,Tools!X159,Tools!Y159,Tools!Z159))</f>
        <v xml:space="preserve">Spline 10.965,0 10.98,1 11.004,2 11.034,3 11.069,4 11.256,8 11.522,12 11.89,16 12.309,19.4 12.399,20 12.997,24 13.325,26 </v>
      </c>
      <c r="M10" s="524"/>
      <c r="N10" s="146"/>
      <c r="O10" s="146"/>
      <c r="P10" s="523" t="str">
        <f>IF(Tools!$AC159="","",CONCATENATE("Spline ",Tools!AC159,Tools!AD159,Tools!AE159,Tools!AF159,Tools!AG159,Tools!AH159,Tools!AI159,Tools!AJ159,Tools!AK159,Tools!AL159,Tools!AM159,Tools!AN159,Tools!AO159,Tools!AP159,Tools!AQ159,Tools!AR159,Tools!AS159,Tools!AT159,Tools!AU159,Tools!AV159,Tools!AW159,Tools!AX159,Tools!AY159,Tools!AZ159,Tools!BA159))</f>
        <v xml:space="preserve">Spline 10.965,0 10.966,1 10.969,2 10.975,3 10.985,4 11.081,8 11.305,12 11.738,16 12.358,19.4 12.502,20 13.606,24 14.289,26 </v>
      </c>
      <c r="Q10" s="524"/>
      <c r="R10" s="146"/>
      <c r="S10" s="146"/>
    </row>
    <row r="11" spans="1:19" x14ac:dyDescent="0.25">
      <c r="A11" s="427"/>
      <c r="B11" s="427"/>
      <c r="C11" s="427"/>
      <c r="D11" s="421"/>
      <c r="E11" s="148" t="str">
        <f>CONCATENATE(IF(Tools!A102="  ","","WL "),Tools!A102)</f>
        <v>WL 1</v>
      </c>
      <c r="F11" s="172" t="str">
        <f>IF(Tools!AB131="  ","",CONCATENATE(Tools!AB131,Tools!BA131,Tools!AZ131,Tools!AY131,Tools!AX131,Tools!AW131,Tools!AV131,Tools!AU131,Tools!AT131,Tools!AS131,Tools!AR131,Tools!AQ131,Tools!AP131,Tools!AO131,Tools!AN131,Tools!AM131,Tools!AL131,Tools!AK131,Tools!AJ131,Tools!AI131,Tools!AH131,Tools!AG131,Tools!AF131,Tools!AE131,Tools!AD131,Tools!AC131))</f>
        <v xml:space="preserve">Spline 146.2,-15.303 142.545,-14.543 138.89,-13.303 135.235,-11.923 131.58,-10.623 124.27,-8.413 116.96,-6.923 109.65,-6.133 102.34,-5.833 95.03,-5.833 87.72,-5.833 80.41,-5.833 73.1,-5.833 65.79,-5.833 58.48,-5.833 51.17,-6.033 43.86,-6.633 36.55,-7.763 29.24,-9.543 21.93,-11.683 14.62,-13.903 10.965,-14.943 7.31,-15.853 3.655,-16.583 0,-16.833 </v>
      </c>
      <c r="G11" s="147" t="s">
        <v>159</v>
      </c>
      <c r="H11" s="152" t="str">
        <f>CONCATENATE(IF(Tools!AD7="  ","","STN "),Tools!AD7)</f>
        <v>STN 2</v>
      </c>
      <c r="I11" s="173" t="str">
        <f>IF(Tools!AB102="  ","",CONCATENATE(Tools!AB102,Tools!BB102,Tools!BA102,Tools!AZ102,Tools!AY102,Tools!AX102,Tools!AW102,Tools!AV102,Tools!AU102,Tools!AT102,Tools!AS102,Tools!AR102,Tools!AQ102,Tools!AP102,Tools!AO102,Tools!AN102,Tools!AM102,Tools!AL102,Tools!AK102,Tools!AJ102,Tools!AI102,Tools!AH102,Tools!AG102,Tools!AF102,Tools!AE102,Tools!AD102,Tools!AC102))</f>
        <v xml:space="preserve">Spline 159.61,13 159.97,12 160.87,10 161.02,9.7 162.21,8 163.63,6 164.74,4 165.98,2 166.32,1.5 166.77,1 167.32,0.5 168.01,0 </v>
      </c>
      <c r="J11" s="146" t="s">
        <v>159</v>
      </c>
      <c r="K11" s="421"/>
      <c r="L11" s="523" t="str">
        <f>IF(Tools!$B160="","",CONCATENATE("Spline ",Tools!B160,Tools!C160,Tools!D160,Tools!E160,Tools!F160,Tools!G160,Tools!H160,Tools!I160,Tools!J160,Tools!K160,Tools!L160,Tools!M160,Tools!N160,Tools!O160,Tools!P160,Tools!Q160,Tools!R160,Tools!S160,Tools!T160,Tools!U160,Tools!V160,Tools!W160,Tools!X160,Tools!Y160,Tools!Z160))</f>
        <v xml:space="preserve">Spline 14.62,0 14.645,1 14.683,2 14.73,3 14.786,4 15.07,8 15.449,12 15.923,16 16.42,19.4 16.519,20 17.198,24 17.563,26 </v>
      </c>
      <c r="M11" s="524"/>
      <c r="N11" s="146"/>
      <c r="O11" s="146"/>
      <c r="P11" s="523" t="str">
        <f>IF(Tools!$AC160="","",CONCATENATE("Spline ",Tools!AC160,Tools!AD160,Tools!AE160,Tools!AF160,Tools!AG160,Tools!AH160,Tools!AI160,Tools!AJ160,Tools!AK160,Tools!AL160,Tools!AM160,Tools!AN160,Tools!AO160,Tools!AP160,Tools!AQ160,Tools!AR160,Tools!AS160,Tools!AT160,Tools!AU160,Tools!AV160,Tools!AW160,Tools!AX160,Tools!AY160,Tools!AZ160,Tools!BA160))</f>
        <v xml:space="preserve">Spline 14.62,0 14.621,1 14.626,2 14.636,3 14.652,4 14.797,8 15.115,12 15.673,16 16.406,19.4 16.566,20 17.817,24 18.577,26 </v>
      </c>
      <c r="Q11" s="524"/>
      <c r="R11" s="146"/>
      <c r="S11" s="146"/>
    </row>
    <row r="12" spans="1:19" x14ac:dyDescent="0.25">
      <c r="A12" s="427"/>
      <c r="B12" s="427"/>
      <c r="C12" s="427"/>
      <c r="D12" s="421"/>
      <c r="E12" s="148" t="str">
        <f>CONCATENATE(IF(Tools!A103="  ","","WL "),Tools!A103)</f>
        <v>WL 2</v>
      </c>
      <c r="F12" s="172" t="str">
        <f>IF(Tools!AB132="  ","",CONCATENATE(Tools!AB132,Tools!BA132,Tools!AZ132,Tools!AY132,Tools!AX132,Tools!AW132,Tools!AV132,Tools!AU132,Tools!AT132,Tools!AS132,Tools!AR132,Tools!AQ132,Tools!AP132,Tools!AO132,Tools!AN132,Tools!AM132,Tools!AL132,Tools!AK132,Tools!AJ132,Tools!AI132,Tools!AH132,Tools!AG132,Tools!AF132,Tools!AE132,Tools!AD132,Tools!AC132))</f>
        <v xml:space="preserve">Spline 146.2,-15.713 142.545,-14.203 138.89,-12.723 135.235,-11.203 131.58,-9.753 124.27,-7.513 116.96,-6.333 109.65,-5.833 102.34,-5.833 95.03,-5.833 87.72,-5.833 80.41,-5.833 73.1,-5.833 65.79,-5.833 58.48,-5.833 51.17,-5.833 43.86,-6.033 36.55,-6.883 29.24,-8.223 21.93,-10.163 14.62,-12.663 10.965,-14.023 7.31,-15.393 3.655,-16.503 0,-16.833 </v>
      </c>
      <c r="G12" s="147" t="s">
        <v>159</v>
      </c>
      <c r="H12" s="152" t="str">
        <f>CONCATENATE(IF(Tools!AD8="  ","","STN "),Tools!AD8)</f>
        <v>STN 3</v>
      </c>
      <c r="I12" s="173" t="str">
        <f>IF(Tools!AB103="  ","",CONCATENATE(Tools!AB103,Tools!BB103,Tools!BA103,Tools!AZ103,Tools!AY103,Tools!AX103,Tools!AW103,Tools!AV103,Tools!AU103,Tools!AT103,Tools!AS103,Tools!AR103,Tools!AQ103,Tools!AP103,Tools!AO103,Tools!AN103,Tools!AM103,Tools!AL103,Tools!AK103,Tools!AJ103,Tools!AI103,Tools!AH103,Tools!AG103,Tools!AF103,Tools!AE103,Tools!AD103,Tools!AC103))</f>
        <v xml:space="preserve">Spline 158.47,13 158.81,12 159.37,10 159.48,9.7 160.26,8 161.15,6 162.24,4 163.76,2 164.19,1.5 164.74,1 165.59,0.5 167.01,0 </v>
      </c>
      <c r="J12" s="146" t="s">
        <v>159</v>
      </c>
      <c r="K12" s="421"/>
      <c r="L12" s="523" t="str">
        <f>IF(Tools!$B161="","",CONCATENATE("Spline ",Tools!B161,Tools!C161,Tools!D161,Tools!E161,Tools!F161,Tools!G161,Tools!H161,Tools!I161,Tools!J161,Tools!K161,Tools!L161,Tools!M161,Tools!N161,Tools!O161,Tools!P161,Tools!Q161,Tools!R161,Tools!S161,Tools!T161,Tools!U161,Tools!V161,Tools!W161,Tools!X161,Tools!Y161,Tools!Z161))</f>
        <v xml:space="preserve">Spline 21.93,0 21.983,1 22.059,2 22.148,3 22.247,4 22.723,8 23.303,12 23.959,16 24.574,19.4 24.687,20 25.477,24 25.887,26 </v>
      </c>
      <c r="M12" s="524"/>
      <c r="N12" s="146"/>
      <c r="O12" s="146"/>
      <c r="P12" s="523" t="str">
        <f>IF(Tools!$AC161="","",CONCATENATE("Spline ",Tools!AC161,Tools!AD161,Tools!AE161,Tools!AF161,Tools!AG161,Tools!AH161,Tools!AI161,Tools!AJ161,Tools!AK161,Tools!AL161,Tools!AM161,Tools!AN161,Tools!AO161,Tools!AP161,Tools!AQ161,Tools!AR161,Tools!AS161,Tools!AT161,Tools!AU161,Tools!AV161,Tools!AW161,Tools!AX161,Tools!AY161,Tools!AZ161,Tools!BA161))</f>
        <v xml:space="preserve">Spline 21.93,0 21.932,1 21.942,2 21.961,3 21.99,4 22.231,8 22.717,12 23.485,16 24.393,19.4 24.578,20 26.027,24 26.883,26 </v>
      </c>
      <c r="Q12" s="524"/>
      <c r="R12" s="146"/>
      <c r="S12" s="146"/>
    </row>
    <row r="13" spans="1:19" x14ac:dyDescent="0.25">
      <c r="A13" s="427"/>
      <c r="B13" s="427"/>
      <c r="C13" s="427"/>
      <c r="D13" s="421"/>
      <c r="E13" s="148" t="str">
        <f>CONCATENATE(IF(Tools!A104="  ","","WL "),Tools!A104)</f>
        <v>WL 3</v>
      </c>
      <c r="F13" s="172" t="str">
        <f>IF(Tools!AB133="  ","",CONCATENATE(Tools!AB133,Tools!BA133,Tools!AZ133,Tools!AY133,Tools!AX133,Tools!AW133,Tools!AV133,Tools!AU133,Tools!AT133,Tools!AS133,Tools!AR133,Tools!AQ133,Tools!AP133,Tools!AO133,Tools!AN133,Tools!AM133,Tools!AL133,Tools!AK133,Tools!AJ133,Tools!AI133,Tools!AH133,Tools!AG133,Tools!AF133,Tools!AE133,Tools!AD133,Tools!AC133))</f>
        <v xml:space="preserve">Spline 146.2,-16.333 142.545,-14.453 138.89,-12.603 135.235,-10.783 131.58,-9.263 124.27,-7.143 116.96,-6.133 109.65,-5.833 102.34,-5.833 95.03,-5.833 87.72,-5.833 80.41,-5.833 73.1,-5.833 65.79,-5.833 58.48,-5.833 51.17,-5.833 43.86,-5.933 36.55,-6.533 29.24,-7.383 21.93,-9.073 14.62,-11.553 10.965,-12.973 7.31,-14.563 3.655,-16.173 0,-16.833 </v>
      </c>
      <c r="G13" s="147" t="s">
        <v>159</v>
      </c>
      <c r="H13" s="152" t="str">
        <f>CONCATENATE(IF(Tools!AD9="  ","","STN "),Tools!AD9)</f>
        <v>STN 4</v>
      </c>
      <c r="I13" s="173" t="str">
        <f>IF(Tools!AB104="  ","",CONCATENATE(Tools!AB104,Tools!BB104,Tools!BA104,Tools!AZ104,Tools!AY104,Tools!AX104,Tools!AW104,Tools!AV104,Tools!AU104,Tools!AT104,Tools!AS104,Tools!AR104,Tools!AQ104,Tools!AP104,Tools!AO104,Tools!AN104,Tools!AM104,Tools!AL104,Tools!AK104,Tools!AJ104,Tools!AI104,Tools!AH104,Tools!AG104,Tools!AF104,Tools!AE104,Tools!AD104,Tools!AC104))</f>
        <v xml:space="preserve">Spline 158.04,13 158.11,12 158.41,10 158.46,9.7 158.81,8 159.46,6 160.3,4 161.62,2 162.08,1.5 162.65,1 163.58,0.5 165.11,0 </v>
      </c>
      <c r="J13" s="146" t="s">
        <v>159</v>
      </c>
      <c r="K13" s="421"/>
      <c r="L13" s="523" t="str">
        <f>IF(Tools!$B162="","",CONCATENATE("Spline ",Tools!B162,Tools!C162,Tools!D162,Tools!E162,Tools!F162,Tools!G162,Tools!H162,Tools!I162,Tools!J162,Tools!K162,Tools!L162,Tools!M162,Tools!N162,Tools!O162,Tools!P162,Tools!Q162,Tools!R162,Tools!S162,Tools!T162,Tools!U162,Tools!V162,Tools!W162,Tools!X162,Tools!Y162,Tools!Z162))</f>
        <v xml:space="preserve">Spline 29.24,0 29.332,1 29.449,2 29.58,3 29.722,4 30.361,8 31.086,12 31.868,16 32.567,19.4 32.696,20 33.545,24 33.979,26 </v>
      </c>
      <c r="M13" s="524"/>
      <c r="N13" s="146"/>
      <c r="O13" s="146"/>
      <c r="P13" s="523" t="str">
        <f>IF(Tools!$AC162="","",CONCATENATE("Spline ",Tools!AC162,Tools!AD162,Tools!AE162,Tools!AF162,Tools!AG162,Tools!AH162,Tools!AI162,Tools!AJ162,Tools!AK162,Tools!AL162,Tools!AM162,Tools!AN162,Tools!AO162,Tools!AP162,Tools!AQ162,Tools!AR162,Tools!AS162,Tools!AT162,Tools!AU162,Tools!AV162,Tools!AW162,Tools!AX162,Tools!AY162,Tools!AZ162,Tools!BA162))</f>
        <v xml:space="preserve">Spline 29.24,0 29.244,1 29.259,2 29.286,3 29.327,4 29.65,8 30.257,12 31.17,16 32.201,19.4 32.412,20 33.972,24 34.875,26 </v>
      </c>
      <c r="Q13" s="524"/>
      <c r="R13" s="146"/>
      <c r="S13" s="146"/>
    </row>
    <row r="14" spans="1:19" x14ac:dyDescent="0.25">
      <c r="A14" s="427"/>
      <c r="B14" s="427"/>
      <c r="C14" s="427"/>
      <c r="D14" s="421"/>
      <c r="E14" s="148" t="str">
        <f>CONCATENATE(IF(Tools!A105="  ","","WL "),Tools!A105)</f>
        <v>WL 4</v>
      </c>
      <c r="F14" s="172" t="str">
        <f>IF(Tools!AB134="  ","",CONCATENATE(Tools!AB134,Tools!BA134,Tools!AZ134,Tools!AY134,Tools!AX134,Tools!AW134,Tools!AV134,Tools!AU134,Tools!AT134,Tools!AS134,Tools!AR134,Tools!AQ134,Tools!AP134,Tools!AO134,Tools!AN134,Tools!AM134,Tools!AL134,Tools!AK134,Tools!AJ134,Tools!AI134,Tools!AH134,Tools!AG134,Tools!AF134,Tools!AE134,Tools!AD134,Tools!AC134))</f>
        <v xml:space="preserve">Spline 146.2,-16.753 142.545,-14.583 138.89,-12.363 135.235,-10.443 131.58,-8.904 124.27,-6.843 116.96,-6.033 109.65,-5.833 102.34,-5.833 95.03,-5.833 87.72,-5.833 80.41,-5.833 73.1,-5.833 65.79,-5.833 58.48,-5.833 51.17,-5.833 43.86,-5.833 36.55,-6.253 29.24,-6.733 21.93,-8.183 14.62,-10.133 10.965,-11.333 7.31,-12.823 3.655,-14.403 0,-15.933 </v>
      </c>
      <c r="G14" s="147" t="s">
        <v>159</v>
      </c>
      <c r="H14" s="152" t="str">
        <f>CONCATENATE(IF(Tools!AD10="  ","","STN "),Tools!AD10)</f>
        <v>STN 5</v>
      </c>
      <c r="I14" s="173" t="str">
        <f>IF(Tools!AB105="  ","",CONCATENATE(Tools!AB105,Tools!BB105,Tools!BA105,Tools!AZ105,Tools!AY105,Tools!AX105,Tools!AW105,Tools!AV105,Tools!AU105,Tools!AT105,Tools!AS105,Tools!AR105,Tools!AQ105,Tools!AP105,Tools!AO105,Tools!AN105,Tools!AM105,Tools!AL105,Tools!AK105,Tools!AJ105,Tools!AI105,Tools!AH105,Tools!AG105,Tools!AF105,Tools!AE105,Tools!AD105,Tools!AC105))</f>
        <v xml:space="preserve">Spline 157.91,13 158.01,12 158.17,10 158.19,9.7 158.33,8 158.61,6 158.96,4 159.84,2 160.21,1.5 160.79,1 161.65,0.5 163.01,0 </v>
      </c>
      <c r="J14" s="146" t="s">
        <v>159</v>
      </c>
      <c r="K14" s="421"/>
      <c r="L14" s="523" t="str">
        <f>IF(Tools!$B163="","",CONCATENATE("Spline ",Tools!B163,Tools!C163,Tools!D163,Tools!E163,Tools!F163,Tools!G163,Tools!H163,Tools!I163,Tools!J163,Tools!K163,Tools!L163,Tools!M163,Tools!N163,Tools!O163,Tools!P163,Tools!Q163,Tools!R163,Tools!S163,Tools!T163,Tools!U163,Tools!V163,Tools!W163,Tools!X163,Tools!Y163,Tools!Z163))</f>
        <v xml:space="preserve">Spline 36.55,0 36.682,1 36.837,2 37.005,3 37.184,4 37.948,8 38.762,12 39.594,16 40.318,19.4 40.451,20 41.313,24 41.751,26 </v>
      </c>
      <c r="M14" s="524"/>
      <c r="N14" s="146"/>
      <c r="O14" s="146"/>
      <c r="P14" s="523" t="str">
        <f>IF(Tools!$AC163="","",CONCATENATE("Spline ",Tools!AC163,Tools!AD163,Tools!AE163,Tools!AF163,Tools!AG163,Tools!AH163,Tools!AI163,Tools!AJ163,Tools!AK163,Tools!AL163,Tools!AM163,Tools!AN163,Tools!AO163,Tools!AP163,Tools!AQ163,Tools!AR163,Tools!AS163,Tools!AT163,Tools!AU163,Tools!AV163,Tools!AW163,Tools!AX163,Tools!AY163,Tools!AZ163,Tools!BA163))</f>
        <v xml:space="preserve">Spline 36.55,0 36.556,1 36.575,2 36.61,3 36.662,4 37.046,8 37.725,12 38.698,16 39.767,19.4 39.982,20 41.565,24 42.478,26 </v>
      </c>
      <c r="Q14" s="524"/>
      <c r="R14" s="146"/>
      <c r="S14" s="146"/>
    </row>
    <row r="15" spans="1:19" x14ac:dyDescent="0.25">
      <c r="A15" s="427"/>
      <c r="B15" s="427"/>
      <c r="C15" s="427"/>
      <c r="D15" s="421"/>
      <c r="E15" s="148" t="str">
        <f>CONCATENATE(IF(Tools!A106="  ","","WL "),Tools!A106)</f>
        <v>WL 4.85</v>
      </c>
      <c r="F15" s="172" t="str">
        <f>IF(Tools!AB135="  ","",CONCATENATE(Tools!AB135,Tools!BA135,Tools!AZ135,Tools!AY135,Tools!AX135,Tools!AW135,Tools!AV135,Tools!AU135,Tools!AT135,Tools!AS135,Tools!AR135,Tools!AQ135,Tools!AP135,Tools!AO135,Tools!AN135,Tools!AM135,Tools!AL135,Tools!AK135,Tools!AJ135,Tools!AI135,Tools!AH135,Tools!AG135,Tools!AF135,Tools!AE135,Tools!AD135,Tools!AC135))</f>
        <v xml:space="preserve">Spline 146.2,-16.833 142.545,-14.413 138.89,-11.963 135.235,-10.013 131.58,-8.482 124.27,-6.603 116.96,-5.943 109.65,-5.833 102.34,-5.833 95.03,-5.833 87.72,-5.833 80.41,-5.833 73.1,-5.833 65.79,-5.833 58.48,-5.833 51.17,-5.833 43.86,-5.833 36.55,-6.113 29.24,-6.383 21.93,-7.403 14.62,-8.943 10.965,-10.013 7.31,-11.263 3.655,-12.653 0,-14.243 </v>
      </c>
      <c r="G15" s="147" t="s">
        <v>159</v>
      </c>
      <c r="H15" s="152" t="str">
        <f>CONCATENATE(IF(Tools!AD11="  ","","STN "),Tools!AD11)</f>
        <v>STN 6</v>
      </c>
      <c r="I15" s="173" t="str">
        <f>IF(Tools!AB106="  ","",CONCATENATE(Tools!AB106,Tools!BB106,Tools!BA106,Tools!AZ106,Tools!AY106,Tools!AX106,Tools!AW106,Tools!AV106,Tools!AU106,Tools!AT106,Tools!AS106,Tools!AR106,Tools!AQ106,Tools!AP106,Tools!AO106,Tools!AN106,Tools!AM106,Tools!AL106,Tools!AK106,Tools!AJ106,Tools!AI106,Tools!AH106,Tools!AG106,Tools!AF106,Tools!AE106,Tools!AD106,Tools!AC106))</f>
        <v xml:space="preserve">Spline 157.91,13 157.91,12 157.91,10 157.91,9.7 157.91,8 158.01,6 158.11,4 158.71,2 158.97,1.5 159.41,1 160.01,0.5 161.01,0 </v>
      </c>
      <c r="J15" s="146" t="s">
        <v>159</v>
      </c>
      <c r="K15" s="421"/>
      <c r="L15" s="523" t="str">
        <f>IF(Tools!$B164="","",CONCATENATE("Spline ",Tools!B164,Tools!C164,Tools!D164,Tools!E164,Tools!F164,Tools!G164,Tools!H164,Tools!I164,Tools!J164,Tools!K164,Tools!L164,Tools!M164,Tools!N164,Tools!O164,Tools!P164,Tools!Q164,Tools!R164,Tools!S164,Tools!T164,Tools!U164,Tools!V164,Tools!W164,Tools!X164,Tools!Y164,Tools!Z164))</f>
        <v xml:space="preserve">Spline 43.86,0 44.029,1 44.213,2 44.408,3 44.61,4 45.453,8 46.324,12 47.197,16 47.945,19.4 48.082,20 48.957,24 49.397,26 </v>
      </c>
      <c r="M15" s="524"/>
      <c r="N15" s="146"/>
      <c r="O15" s="146"/>
      <c r="P15" s="523" t="str">
        <f>IF(Tools!$AC164="","",CONCATENATE("Spline ",Tools!AC164,Tools!AD164,Tools!AE164,Tools!AF164,Tools!AG164,Tools!AH164,Tools!AI164,Tools!AJ164,Tools!AK164,Tools!AL164,Tools!AM164,Tools!AN164,Tools!AO164,Tools!AP164,Tools!AQ164,Tools!AR164,Tools!AS164,Tools!AT164,Tools!AU164,Tools!AV164,Tools!AW164,Tools!AX164,Tools!AY164,Tools!AZ164,Tools!BA164))</f>
        <v xml:space="preserve">Spline 43.86,0 43.867,1 43.89,2 43.931,3 43.99,4 44.413,8 45.139,12 46.159,16 47.262,19.4 47.483,20 49.092,24 50.009,26 </v>
      </c>
      <c r="Q15" s="524"/>
      <c r="R15" s="146"/>
      <c r="S15" s="146"/>
    </row>
    <row r="16" spans="1:19" x14ac:dyDescent="0.25">
      <c r="A16" s="427"/>
      <c r="B16" s="427"/>
      <c r="C16" s="427"/>
      <c r="D16" s="421"/>
      <c r="E16" s="148" t="str">
        <f>CONCATENATE(IF(Tools!A107="  ","","WL "),Tools!A107)</f>
        <v>WL 5</v>
      </c>
      <c r="F16" s="172" t="str">
        <f>IF(Tools!AB136="  ","",CONCATENATE(Tools!AB136,Tools!BA136,Tools!AZ136,Tools!AY136,Tools!AX136,Tools!AW136,Tools!AV136,Tools!AU136,Tools!AT136,Tools!AS136,Tools!AR136,Tools!AQ136,Tools!AP136,Tools!AO136,Tools!AN136,Tools!AM136,Tools!AL136,Tools!AK136,Tools!AJ136,Tools!AI136,Tools!AH136,Tools!AG136,Tools!AF136,Tools!AE136,Tools!AD136,Tools!AC136))</f>
        <v xml:space="preserve">Spline 146.2,-16.803 142.545,-14.337 138.89,-11.893 135.235,-9.923 131.58,-8.403 124.27,-6.563 116.96,-5.933 109.65,-5.833 102.34,-5.833 95.03,-5.833 87.72,-5.833 80.41,-5.833 73.1,-5.833 65.79,-5.833 58.48,-5.833 51.17,-5.833 43.86,-5.833 36.55,-6.093 29.24,-6.333 21.93,-7.293 14.62,-8.793 10.965,-9.823 7.31,-11.053 3.655,-12.443 0,-14.013 </v>
      </c>
      <c r="G16" s="147" t="s">
        <v>159</v>
      </c>
      <c r="H16" s="152" t="str">
        <f>CONCATENATE(IF(Tools!AD12="  ","","STN "),Tools!AD12)</f>
        <v>STN 7</v>
      </c>
      <c r="I16" s="173" t="str">
        <f>IF(Tools!AB107="  ","",CONCATENATE(Tools!AB107,Tools!BB107,Tools!BA107,Tools!AZ107,Tools!AY107,Tools!AX107,Tools!AW107,Tools!AV107,Tools!AU107,Tools!AT107,Tools!AS107,Tools!AR107,Tools!AQ107,Tools!AP107,Tools!AO107,Tools!AN107,Tools!AM107,Tools!AL107,Tools!AK107,Tools!AJ107,Tools!AI107,Tools!AH107,Tools!AG107,Tools!AF107,Tools!AE107,Tools!AD107,Tools!AC107))</f>
        <v xml:space="preserve">Spline 157.91,13 157.91,12 157.91,10 157.91,9.7 157.91,8 157.91,6 157.91,4 158.11,2 158.31,1.5 158.61,1 159.08,0.5 159.91,0 </v>
      </c>
      <c r="J16" s="146" t="s">
        <v>159</v>
      </c>
      <c r="K16" s="421"/>
      <c r="L16" s="523" t="str">
        <f>IF(Tools!$B165="","",CONCATENATE("Spline ",Tools!B165,Tools!C165,Tools!D165,Tools!E165,Tools!F165,Tools!G165,Tools!H165,Tools!I165,Tools!J165,Tools!K165,Tools!L165,Tools!M165,Tools!N165,Tools!O165,Tools!P165,Tools!Q165,Tools!R165,Tools!S165,Tools!T165,Tools!U165,Tools!V165,Tools!W165,Tools!X165,Tools!Y165,Tools!Z165))</f>
        <v xml:space="preserve">Spline 51.17,0 51.359,1 51.561,2 51.77,3 51.984,4 52.857,8 53.739,12 54.617,16 55.365,19.4 55.499,20 56.377,24 56.817,26 </v>
      </c>
      <c r="M16" s="524"/>
      <c r="N16" s="146"/>
      <c r="O16" s="146"/>
      <c r="P16" s="523" t="str">
        <f>IF(Tools!$AC165="","",CONCATENATE("Spline ",Tools!AC165,Tools!AD165,Tools!AE165,Tools!AF165,Tools!AG165,Tools!AH165,Tools!AI165,Tools!AJ165,Tools!AK165,Tools!AL165,Tools!AM165,Tools!AN165,Tools!AO165,Tools!AP165,Tools!AQ165,Tools!AR165,Tools!AS165,Tools!AT165,Tools!AU165,Tools!AV165,Tools!AW165,Tools!AX165,Tools!AY165,Tools!AZ165,Tools!BA165))</f>
        <v xml:space="preserve">Spline 51.17,0 51.178,1 51.203,2 51.247,3 51.309,4 51.747,8 52.481,12 53.507,16 54.61,19.4 54.828,20 56.44,24 57.357,26 </v>
      </c>
      <c r="Q16" s="524"/>
      <c r="R16" s="146"/>
      <c r="S16" s="146"/>
    </row>
    <row r="17" spans="1:25" x14ac:dyDescent="0.25">
      <c r="A17" s="427"/>
      <c r="B17" s="427"/>
      <c r="C17" s="427"/>
      <c r="D17" s="421"/>
      <c r="E17" s="148" t="str">
        <f>CONCATENATE(IF(Tools!A108="  ","","WL "),Tools!A108)</f>
        <v>WL 6</v>
      </c>
      <c r="F17" s="172" t="str">
        <f>IF(Tools!AB137="  ","",CONCATENATE(Tools!AB137,Tools!BA137,Tools!AZ137,Tools!AY137,Tools!AX137,Tools!AW137,Tools!AV137,Tools!AU137,Tools!AT137,Tools!AS137,Tools!AR137,Tools!AQ137,Tools!AP137,Tools!AO137,Tools!AN137,Tools!AM137,Tools!AL137,Tools!AK137,Tools!AJ137,Tools!AI137,Tools!AH137,Tools!AG137,Tools!AF137,Tools!AE137,Tools!AD137,Tools!AC137))</f>
        <v xml:space="preserve">Spline 146.2,-16.033 142.545,-13.643 138.89,-11.243 135.235,-9.333 131.58,-7.913 124.27,-6.333 116.96,-5.833 109.65,-5.833 102.34,-5.833 95.03,-5.833 87.72,-5.833 80.41,-5.833 73.1,-5.833 65.79,-5.833 58.48,-5.833 51.17,-5.833 43.86,-5.833 36.55,-5.933 29.24,-6.033 21.93,-6.733 14.62,-7.893 10.965,-8.853 7.31,-10.033 3.655,-11.403 0,-13.013 </v>
      </c>
      <c r="G17" s="147" t="s">
        <v>159</v>
      </c>
      <c r="H17" s="152" t="str">
        <f>CONCATENATE(IF(Tools!AD13="  ","","STN "),Tools!AD13)</f>
        <v>STN 8</v>
      </c>
      <c r="I17" s="173" t="str">
        <f>IF(Tools!AB108="  ","",CONCATENATE(Tools!AB108,Tools!BB108,Tools!BA108,Tools!AZ108,Tools!AY108,Tools!AX108,Tools!AW108,Tools!AV108,Tools!AU108,Tools!AT108,Tools!AS108,Tools!AR108,Tools!AQ108,Tools!AP108,Tools!AO108,Tools!AN108,Tools!AM108,Tools!AL108,Tools!AK108,Tools!AJ108,Tools!AI108,Tools!AH108,Tools!AG108,Tools!AF108,Tools!AE108,Tools!AD108,Tools!AC108))</f>
        <v xml:space="preserve">Spline 157.91,13 157.91,12 157.91,10 157.91,9.7 157.91,8 157.91,6 157.91,4 157.91,2 158.01,1.5 158.24,1 158.58,0.5 159.41,0 </v>
      </c>
      <c r="J17" s="146" t="s">
        <v>159</v>
      </c>
      <c r="K17" s="421"/>
      <c r="L17" s="523" t="str">
        <f>IF(Tools!$B166="","",CONCATENATE("Spline ",Tools!B166,Tools!C166,Tools!D166,Tools!E166,Tools!F166,Tools!G166,Tools!H166,Tools!I166,Tools!J166,Tools!K166,Tools!L166,Tools!M166,Tools!N166,Tools!O166,Tools!P166,Tools!Q166,Tools!R166,Tools!S166,Tools!T166,Tools!U166,Tools!V166,Tools!W166,Tools!X166,Tools!Y166,Tools!Z166))</f>
        <v xml:space="preserve">Spline 58.48,0 58.679,1 58.89,2 59.105,3 59.325,4 60.205,8 61.085,12 61.965,16 62.713,19.4 62.845,20 63.725,24 64.165,26 </v>
      </c>
      <c r="M17" s="524"/>
      <c r="N17" s="146"/>
      <c r="O17" s="146"/>
      <c r="P17" s="523" t="str">
        <f>IF(Tools!$AC166="","",CONCATENATE("Spline ",Tools!AC166,Tools!AD166,Tools!AE166,Tools!AF166,Tools!AG166,Tools!AH166,Tools!AI166,Tools!AJ166,Tools!AK166,Tools!AL166,Tools!AM166,Tools!AN166,Tools!AO166,Tools!AP166,Tools!AQ166,Tools!AR166,Tools!AS166,Tools!AT166,Tools!AU166,Tools!AV166,Tools!AW166,Tools!AX166,Tools!AY166,Tools!AZ166,Tools!BA166))</f>
        <v xml:space="preserve">Spline 58.48,0 58.488,1 58.515,2 58.56,3 58.624,4 59.064,8 59.797,12 60.824,16 61.927,19.4 62.144,20 63.757,24 64.674,26 </v>
      </c>
      <c r="Q17" s="524"/>
      <c r="R17" s="146"/>
      <c r="S17" s="146"/>
    </row>
    <row r="18" spans="1:25" x14ac:dyDescent="0.25">
      <c r="A18" s="421"/>
      <c r="B18" s="421"/>
      <c r="C18" s="421"/>
      <c r="D18" s="421"/>
      <c r="E18" s="148" t="str">
        <f>CONCATENATE(IF(Tools!A109="  ","","WL "),Tools!A109)</f>
        <v>WL 6.5</v>
      </c>
      <c r="F18" s="172" t="str">
        <f>IF(Tools!AB138="  ","",CONCATENATE(Tools!AB138,Tools!BA138,Tools!AZ138,Tools!AY138,Tools!AX138,Tools!AW138,Tools!AV138,Tools!AU138,Tools!AT138,Tools!AS138,Tools!AR138,Tools!AQ138,Tools!AP138,Tools!AO138,Tools!AN138,Tools!AM138,Tools!AL138,Tools!AK138,Tools!AJ138,Tools!AI138,Tools!AH138,Tools!AG138,Tools!AF138,Tools!AE138,Tools!AD138,Tools!AC138))</f>
        <v xml:space="preserve">Spline 146.2,-15.203 142.545,-13.203 138.89,-10.893 135.235,-9.033 131.58,-7.673 124.27,-6.213 116.96,-5.833 109.65,-5.833 102.34,-5.833 95.03,-5.833 87.72,-5.833 80.41,-5.833 73.1,-5.833 65.79,-5.833 58.48,-5.833 51.17,-5.833 43.86,-5.833 36.55,-5.833 29.24,-5.963 21.93,-6.393 14.62,-7.533 10.965,-8.413 7.31,-9.563 3.655,-10.983 0,-12.593 </v>
      </c>
      <c r="G18" s="147" t="s">
        <v>159</v>
      </c>
      <c r="H18" s="152" t="str">
        <f>CONCATENATE(IF(Tools!AD14="  ","","STN "),Tools!AD14)</f>
        <v>STN 9</v>
      </c>
      <c r="I18" s="173" t="str">
        <f>IF(Tools!AB109="  ","",CONCATENATE(Tools!AB109,Tools!BB109,Tools!BA109,Tools!AZ109,Tools!AY109,Tools!AX109,Tools!AW109,Tools!AV109,Tools!AU109,Tools!AT109,Tools!AS109,Tools!AR109,Tools!AQ109,Tools!AP109,Tools!AO109,Tools!AN109,Tools!AM109,Tools!AL109,Tools!AK109,Tools!AJ109,Tools!AI109,Tools!AH109,Tools!AG109,Tools!AF109,Tools!AE109,Tools!AD109,Tools!AC109))</f>
        <v xml:space="preserve">Spline 157.91,13 157.91,12 157.91,10 157.91,9.7 157.91,8 157.91,6 157.91,4 157.91,2 157.98,1.5 158.16,1 158.46,0.5 159.21,0 </v>
      </c>
      <c r="J18" s="146" t="s">
        <v>159</v>
      </c>
      <c r="K18" s="421"/>
      <c r="L18" s="523" t="str">
        <f>IF(Tools!$B167="","",CONCATENATE("Spline ",Tools!B167,Tools!C167,Tools!D167,Tools!E167,Tools!F167,Tools!G167,Tools!H167,Tools!I167,Tools!J167,Tools!K167,Tools!L167,Tools!M167,Tools!N167,Tools!O167,Tools!P167,Tools!Q167,Tools!R167,Tools!S167,Tools!T167,Tools!U167,Tools!V167,Tools!W167,Tools!X167,Tools!Y167,Tools!Z167))</f>
        <v xml:space="preserve">Spline 65.79,0 65.992,1 66.205,2 66.421,3 66.641,4 67.521,8 68.401,12 69.281,16 70.029,19.4 70.161,20 71.041,24 71.481,26 </v>
      </c>
      <c r="M18" s="524"/>
      <c r="N18" s="146"/>
      <c r="O18" s="146"/>
      <c r="P18" s="523" t="str">
        <f>IF(Tools!$AC167="","",CONCATENATE("Spline ",Tools!AC167,Tools!AD167,Tools!AE167,Tools!AF167,Tools!AG167,Tools!AH167,Tools!AI167,Tools!AJ167,Tools!AK167,Tools!AL167,Tools!AM167,Tools!AN167,Tools!AO167,Tools!AP167,Tools!AQ167,Tools!AR167,Tools!AS167,Tools!AT167,Tools!AU167,Tools!AV167,Tools!AW167,Tools!AX167,Tools!AY167,Tools!AZ167,Tools!BA167))</f>
        <v xml:space="preserve">Spline 65.79,0 65.799,1 65.825,2 65.87,3 65.934,4 66.374,8 67.108,12 68.134,16 69.238,19.4 69.454,20 71.068,24 71.984,26 </v>
      </c>
      <c r="Q18" s="524"/>
      <c r="R18" s="146"/>
      <c r="S18" s="146"/>
    </row>
    <row r="19" spans="1:25" x14ac:dyDescent="0.25">
      <c r="A19" s="421"/>
      <c r="B19" s="421"/>
      <c r="C19" s="421"/>
      <c r="D19" s="421"/>
      <c r="E19" s="148" t="str">
        <f>CONCATENATE(IF(Tools!A110="  ","","WL "),Tools!A110)</f>
        <v xml:space="preserve">  </v>
      </c>
      <c r="F19" s="172" t="str">
        <f>IF(Tools!AB139="  ","",CONCATENATE(Tools!AB139,Tools!BA139,Tools!AZ139,Tools!AY139,Tools!AX139,Tools!AW139,Tools!AV139,Tools!AU139,Tools!AT139,Tools!AS139,Tools!AR139,Tools!AQ139,Tools!AP139,Tools!AO139,Tools!AN139,Tools!AM139,Tools!AL139,Tools!AK139,Tools!AJ139,Tools!AI139,Tools!AH139,Tools!AG139,Tools!AF139,Tools!AE139,Tools!AD139,Tools!AC139))</f>
        <v/>
      </c>
      <c r="G19" s="147" t="s">
        <v>159</v>
      </c>
      <c r="H19" s="152" t="str">
        <f>CONCATENATE(IF(Tools!AD15="  ","","STN "),Tools!AD15)</f>
        <v>STN 10</v>
      </c>
      <c r="I19" s="173" t="str">
        <f>IF(Tools!AB110="  ","",CONCATENATE(Tools!AB110,Tools!BB110,Tools!BA110,Tools!AZ110,Tools!AY110,Tools!AX110,Tools!AW110,Tools!AV110,Tools!AU110,Tools!AT110,Tools!AS110,Tools!AR110,Tools!AQ110,Tools!AP110,Tools!AO110,Tools!AN110,Tools!AM110,Tools!AL110,Tools!AK110,Tools!AJ110,Tools!AI110,Tools!AH110,Tools!AG110,Tools!AF110,Tools!AE110,Tools!AD110,Tools!AC110))</f>
        <v xml:space="preserve">Spline 157.91,13 157.91,12 157.91,10 157.91,9.7 157.91,8 157.91,6 157.91,4 157.91,2 157.98,1.5 158.16,1 158.46,0.5 159.21,0 </v>
      </c>
      <c r="J19" s="146" t="s">
        <v>159</v>
      </c>
      <c r="K19" s="421"/>
      <c r="L19" s="523" t="str">
        <f>IF(Tools!$B168="","",CONCATENATE("Spline ",Tools!B168,Tools!C168,Tools!D168,Tools!E168,Tools!F168,Tools!G168,Tools!H168,Tools!I168,Tools!J168,Tools!K168,Tools!L168,Tools!M168,Tools!N168,Tools!O168,Tools!P168,Tools!Q168,Tools!R168,Tools!S168,Tools!T168,Tools!U168,Tools!V168,Tools!W168,Tools!X168,Tools!Y168,Tools!Z168))</f>
        <v xml:space="preserve">Spline 73.1,0 73.302,1 73.515,2 73.731,3 73.951,4 74.831,8 75.711,12 76.591,16 77.339,19.4 77.471,20 78.351,24 78.791,26 </v>
      </c>
      <c r="M19" s="524"/>
      <c r="N19" s="146"/>
      <c r="O19" s="146"/>
      <c r="P19" s="523" t="str">
        <f>IF(Tools!$AC168="","",CONCATENATE("Spline ",Tools!AC168,Tools!AD168,Tools!AE168,Tools!AF168,Tools!AG168,Tools!AH168,Tools!AI168,Tools!AJ168,Tools!AK168,Tools!AL168,Tools!AM168,Tools!AN168,Tools!AO168,Tools!AP168,Tools!AQ168,Tools!AR168,Tools!AS168,Tools!AT168,Tools!AU168,Tools!AV168,Tools!AW168,Tools!AX168,Tools!AY168,Tools!AZ168,Tools!BA168))</f>
        <v xml:space="preserve">Spline 73.1,0 73.109,1 73.135,2 73.18,3 73.244,4 73.684,8 74.418,12 75.444,16 76.548,19.4 76.764,20 78.378,24 79.294,26 </v>
      </c>
      <c r="Q19" s="524"/>
      <c r="R19" s="146"/>
      <c r="S19" s="146"/>
    </row>
    <row r="20" spans="1:25" ht="15.75" x14ac:dyDescent="0.25">
      <c r="A20" s="471" t="s">
        <v>350</v>
      </c>
      <c r="B20" s="421"/>
      <c r="C20" s="421"/>
      <c r="D20" s="421"/>
      <c r="E20" s="148" t="str">
        <f>CONCATENATE(IF(Tools!A111="  ","","WL "),Tools!A111)</f>
        <v xml:space="preserve">  </v>
      </c>
      <c r="F20" s="172" t="str">
        <f>IF(Tools!AB140="  ","",CONCATENATE(Tools!AB140,Tools!BA140,Tools!AZ140,Tools!AY140,Tools!AX140,Tools!AW140,Tools!AV140,Tools!AU140,Tools!AT140,Tools!AS140,Tools!AR140,Tools!AQ140,Tools!AP140,Tools!AO140,Tools!AN140,Tools!AM140,Tools!AL140,Tools!AK140,Tools!AJ140,Tools!AI140,Tools!AH140,Tools!AG140,Tools!AF140,Tools!AE140,Tools!AD140,Tools!AC140))</f>
        <v/>
      </c>
      <c r="G20" s="147" t="s">
        <v>159</v>
      </c>
      <c r="H20" s="152" t="str">
        <f>CONCATENATE(IF(Tools!AD16="  ","","STN "),Tools!AD16)</f>
        <v>STN 11</v>
      </c>
      <c r="I20" s="173" t="str">
        <f>IF(Tools!AB111="  ","",CONCATENATE(Tools!AB111,Tools!BB111,Tools!BA111,Tools!AZ111,Tools!AY111,Tools!AX111,Tools!AW111,Tools!AV111,Tools!AU111,Tools!AT111,Tools!AS111,Tools!AR111,Tools!AQ111,Tools!AP111,Tools!AO111,Tools!AN111,Tools!AM111,Tools!AL111,Tools!AK111,Tools!AJ111,Tools!AI111,Tools!AH111,Tools!AG111,Tools!AF111,Tools!AE111,Tools!AD111,Tools!AC111))</f>
        <v xml:space="preserve">Spline 179.91,13 179.91,12 179.91,10 179.91,9.7 179.91,8 179.91,6 179.91,4 179.91,2 179.84,1.5 179.66,1 179.36,0.5 178.61,0 </v>
      </c>
      <c r="J20" s="146" t="s">
        <v>159</v>
      </c>
      <c r="K20" s="421"/>
      <c r="L20" s="523" t="str">
        <f>IF(Tools!$B169="","",CONCATENATE("Spline ",Tools!B169,Tools!C169,Tools!D169,Tools!E169,Tools!F169,Tools!G169,Tools!H169,Tools!I169,Tools!J169,Tools!K169,Tools!L169,Tools!M169,Tools!N169,Tools!O169,Tools!P169,Tools!Q169,Tools!R169,Tools!S169,Tools!T169,Tools!U169,Tools!V169,Tools!W169,Tools!X169,Tools!Y169,Tools!Z169))</f>
        <v xml:space="preserve">Spline 80.41,0 80.612,1 80.825,2 81.041,3 81.261,4 82.141,8 83.021,12 83.901,16 84.649,19.4 84.781,20 85.661,24 86.101,26 </v>
      </c>
      <c r="M20" s="524"/>
      <c r="N20" s="146"/>
      <c r="O20" s="146"/>
      <c r="P20" s="523" t="str">
        <f>IF(Tools!$AC169="","",CONCATENATE("Spline ",Tools!AC169,Tools!AD169,Tools!AE169,Tools!AF169,Tools!AG169,Tools!AH169,Tools!AI169,Tools!AJ169,Tools!AK169,Tools!AL169,Tools!AM169,Tools!AN169,Tools!AO169,Tools!AP169,Tools!AQ169,Tools!AR169,Tools!AS169,Tools!AT169,Tools!AU169,Tools!AV169,Tools!AW169,Tools!AX169,Tools!AY169,Tools!AZ169,Tools!BA169))</f>
        <v xml:space="preserve">Spline 80.41,0 80.419,1 80.445,2 80.49,3 80.554,4 80.994,8 81.728,12 82.754,16 83.858,19.4 84.074,20 85.688,24 86.604,26 </v>
      </c>
      <c r="Q20" s="524"/>
      <c r="R20" s="146"/>
      <c r="S20" s="146"/>
    </row>
    <row r="21" spans="1:25" x14ac:dyDescent="0.25">
      <c r="A21" s="472" t="s">
        <v>351</v>
      </c>
      <c r="B21" s="421"/>
      <c r="C21" s="421"/>
      <c r="D21" s="421"/>
      <c r="E21" s="148" t="str">
        <f>CONCATENATE(IF(Tools!A112="  ","","WL "),Tools!A112)</f>
        <v xml:space="preserve">  </v>
      </c>
      <c r="F21" s="172" t="str">
        <f>IF(Tools!AB141="  ","",CONCATENATE(Tools!AB141,Tools!BA141,Tools!AZ141,Tools!AY141,Tools!AX141,Tools!AW141,Tools!AV141,Tools!AU141,Tools!AT141,Tools!AS141,Tools!AR141,Tools!AQ141,Tools!AP141,Tools!AO141,Tools!AN141,Tools!AM141,Tools!AL141,Tools!AK141,Tools!AJ141,Tools!AI141,Tools!AH141,Tools!AG141,Tools!AF141,Tools!AE141,Tools!AD141,Tools!AC141))</f>
        <v/>
      </c>
      <c r="G21" s="147" t="s">
        <v>159</v>
      </c>
      <c r="H21" s="152" t="str">
        <f>CONCATENATE(IF(Tools!AD17="  ","","STN "),Tools!AD17)</f>
        <v>STN 12</v>
      </c>
      <c r="I21" s="173" t="str">
        <f>IF(Tools!AB112="  ","",CONCATENATE(Tools!AB112,Tools!BB112,Tools!BA112,Tools!AZ112,Tools!AY112,Tools!AX112,Tools!AW112,Tools!AV112,Tools!AU112,Tools!AT112,Tools!AS112,Tools!AR112,Tools!AQ112,Tools!AP112,Tools!AO112,Tools!AN112,Tools!AM112,Tools!AL112,Tools!AK112,Tools!AJ112,Tools!AI112,Tools!AH112,Tools!AG112,Tools!AF112,Tools!AE112,Tools!AD112,Tools!AC112))</f>
        <v xml:space="preserve">Spline 179.91,13 179.91,12 179.91,10 179.91,9.7 179.91,8 179.91,6 179.91,4 179.91,2 179.84,1.5 179.66,1 179.36,0.5 178.61,0 </v>
      </c>
      <c r="J21" s="146" t="s">
        <v>159</v>
      </c>
      <c r="K21" s="421"/>
      <c r="L21" s="523" t="str">
        <f>IF(Tools!$B170="","",CONCATENATE("Spline ",Tools!B170,Tools!C170,Tools!D170,Tools!E170,Tools!F170,Tools!G170,Tools!H170,Tools!I170,Tools!J170,Tools!K170,Tools!L170,Tools!M170,Tools!N170,Tools!O170,Tools!P170,Tools!Q170,Tools!R170,Tools!S170,Tools!T170,Tools!U170,Tools!V170,Tools!W170,Tools!X170,Tools!Y170,Tools!Z170))</f>
        <v xml:space="preserve">Spline 87.72,0 87.922,1 88.135,2 88.351,3 88.571,4 89.451,8 90.331,12 91.211,16 91.959,19.4 92.091,20 92.971,24 93.411,26 </v>
      </c>
      <c r="M21" s="524"/>
      <c r="N21" s="146"/>
      <c r="O21" s="146"/>
      <c r="P21" s="523" t="str">
        <f>IF(Tools!$AC170="","",CONCATENATE("Spline ",Tools!AC170,Tools!AD170,Tools!AE170,Tools!AF170,Tools!AG170,Tools!AH170,Tools!AI170,Tools!AJ170,Tools!AK170,Tools!AL170,Tools!AM170,Tools!AN170,Tools!AO170,Tools!AP170,Tools!AQ170,Tools!AR170,Tools!AS170,Tools!AT170,Tools!AU170,Tools!AV170,Tools!AW170,Tools!AX170,Tools!AY170,Tools!AZ170,Tools!BA170))</f>
        <v xml:space="preserve">Spline 87.72,0 87.729,1 87.755,2 87.8,3 87.864,4 88.304,8 89.038,12 90.064,16 91.168,19.4 91.384,20 92.998,24 93.914,26 </v>
      </c>
      <c r="Q21" s="524"/>
      <c r="R21" s="146"/>
      <c r="S21" s="146"/>
    </row>
    <row r="22" spans="1:25" x14ac:dyDescent="0.25">
      <c r="D22" s="421"/>
      <c r="E22" s="148" t="str">
        <f>CONCATENATE(IF(Tools!A113="  ","","WL "),Tools!A113)</f>
        <v xml:space="preserve">  </v>
      </c>
      <c r="F22" s="172" t="str">
        <f>IF(Tools!AB142="  ","",CONCATENATE(Tools!AB142,Tools!BA142,Tools!AZ142,Tools!AY142,Tools!AX142,Tools!AW142,Tools!AV142,Tools!AU142,Tools!AT142,Tools!AS142,Tools!AR142,Tools!AQ142,Tools!AP142,Tools!AO142,Tools!AN142,Tools!AM142,Tools!AL142,Tools!AK142,Tools!AJ142,Tools!AI142,Tools!AH142,Tools!AG142,Tools!AF142,Tools!AE142,Tools!AD142,Tools!AC142))</f>
        <v/>
      </c>
      <c r="G22" s="147" t="s">
        <v>159</v>
      </c>
      <c r="H22" s="152" t="str">
        <f>CONCATENATE(IF(Tools!AD18="  ","","STN "),Tools!AD18)</f>
        <v>STN 13</v>
      </c>
      <c r="I22" s="173" t="str">
        <f>IF(Tools!AB113="  ","",CONCATENATE(Tools!AB113,Tools!BB113,Tools!BA113,Tools!AZ113,Tools!AY113,Tools!AX113,Tools!AW113,Tools!AV113,Tools!AU113,Tools!AT113,Tools!AS113,Tools!AR113,Tools!AQ113,Tools!AP113,Tools!AO113,Tools!AN113,Tools!AM113,Tools!AL113,Tools!AK113,Tools!AJ113,Tools!AI113,Tools!AH113,Tools!AG113,Tools!AF113,Tools!AE113,Tools!AD113,Tools!AC113))</f>
        <v xml:space="preserve">Spline 179.91,13 179.91,12 179.91,10 179.91,9.7 179.91,8 179.91,6 179.91,4 179.91,2 179.84,1.5 179.66,1 179.36,0.5 178.61,0 </v>
      </c>
      <c r="J22" s="146" t="s">
        <v>159</v>
      </c>
      <c r="K22" s="421"/>
      <c r="L22" s="523" t="str">
        <f>IF(Tools!$B171="","",CONCATENATE("Spline ",Tools!B171,Tools!C171,Tools!D171,Tools!E171,Tools!F171,Tools!G171,Tools!H171,Tools!I171,Tools!J171,Tools!K171,Tools!L171,Tools!M171,Tools!N171,Tools!O171,Tools!P171,Tools!Q171,Tools!R171,Tools!S171,Tools!T171,Tools!U171,Tools!V171,Tools!W171,Tools!X171,Tools!Y171,Tools!Z171))</f>
        <v xml:space="preserve">Spline 95.03,0 95.232,1 95.445,2 95.661,3 95.881,4 96.761,8 97.641,12 98.521,16 99.269,19.4 99.401,20 100.281,24 100.721,26 </v>
      </c>
      <c r="M22" s="524"/>
      <c r="N22" s="146"/>
      <c r="O22" s="146"/>
      <c r="P22" s="523" t="str">
        <f>IF(Tools!$AC171="","",CONCATENATE("Spline ",Tools!AC171,Tools!AD171,Tools!AE171,Tools!AF171,Tools!AG171,Tools!AH171,Tools!AI171,Tools!AJ171,Tools!AK171,Tools!AL171,Tools!AM171,Tools!AN171,Tools!AO171,Tools!AP171,Tools!AQ171,Tools!AR171,Tools!AS171,Tools!AT171,Tools!AU171,Tools!AV171,Tools!AW171,Tools!AX171,Tools!AY171,Tools!AZ171,Tools!BA171))</f>
        <v xml:space="preserve">Spline 95.03,0 95.039,1 95.065,2 95.11,3 95.174,4 95.614,8 96.348,12 97.374,16 98.478,19.4 98.694,20 100.308,24 101.224,26 </v>
      </c>
      <c r="Q22" s="524"/>
      <c r="R22" s="146"/>
      <c r="S22" s="146"/>
    </row>
    <row r="23" spans="1:25" x14ac:dyDescent="0.25">
      <c r="A23" s="421" t="s">
        <v>353</v>
      </c>
      <c r="B23" s="421"/>
      <c r="C23" s="468">
        <v>3</v>
      </c>
      <c r="D23" s="421"/>
      <c r="E23" s="148" t="str">
        <f>CONCATENATE(IF(Tools!A114="  ","","WL "),Tools!A114)</f>
        <v xml:space="preserve">  </v>
      </c>
      <c r="F23" s="172" t="str">
        <f>IF(Tools!AB143="  ","",CONCATENATE(Tools!AB143,Tools!BA143,Tools!AZ143,Tools!AY143,Tools!AX143,Tools!AW143,Tools!AV143,Tools!AU143,Tools!AT143,Tools!AS143,Tools!AR143,Tools!AQ143,Tools!AP143,Tools!AO143,Tools!AN143,Tools!AM143,Tools!AL143,Tools!AK143,Tools!AJ143,Tools!AI143,Tools!AH143,Tools!AG143,Tools!AF143,Tools!AE143,Tools!AD143,Tools!AC143))</f>
        <v/>
      </c>
      <c r="G23" s="147" t="s">
        <v>159</v>
      </c>
      <c r="H23" s="152" t="str">
        <f>CONCATENATE(IF(Tools!AD19="  ","","STN "),Tools!AD19)</f>
        <v>STN 14</v>
      </c>
      <c r="I23" s="173" t="str">
        <f>IF(Tools!AB114="  ","",CONCATENATE(Tools!AB114,Tools!BB114,Tools!BA114,Tools!AZ114,Tools!AY114,Tools!AX114,Tools!AW114,Tools!AV114,Tools!AU114,Tools!AT114,Tools!AS114,Tools!AR114,Tools!AQ114,Tools!AP114,Tools!AO114,Tools!AN114,Tools!AM114,Tools!AL114,Tools!AK114,Tools!AJ114,Tools!AI114,Tools!AH114,Tools!AG114,Tools!AF114,Tools!AE114,Tools!AD114,Tools!AC114))</f>
        <v xml:space="preserve">Spline 179.91,13 179.91,12 179.91,10 179.91,9.7 179.91,8 179.91,6 179.91,4 179.91,2 179.78,1.5 179.57,1 179.23,0.5 178.41,0 </v>
      </c>
      <c r="J23" s="146" t="s">
        <v>159</v>
      </c>
      <c r="K23" s="421"/>
      <c r="L23" s="523" t="str">
        <f>IF(Tools!$B172="","",CONCATENATE("Spline ",Tools!B172,Tools!C172,Tools!D172,Tools!E172,Tools!F172,Tools!G172,Tools!H172,Tools!I172,Tools!J172,Tools!K172,Tools!L172,Tools!M172,Tools!N172,Tools!O172,Tools!P172,Tools!Q172,Tools!R172,Tools!S172,Tools!T172,Tools!U172,Tools!V172,Tools!W172,Tools!X172,Tools!Y172,Tools!Z172))</f>
        <v xml:space="preserve">Spline 102.34,0 102.539,1 102.75,2 102.965,3 103.184,4 104.064,8 104.944,12 105.824,16 106.572,19.4 106.704,20 107.584,24 108.024,26 </v>
      </c>
      <c r="M23" s="524"/>
      <c r="N23" s="146"/>
      <c r="O23" s="146"/>
      <c r="P23" s="523" t="str">
        <f>IF(Tools!$AC172="","",CONCATENATE("Spline ",Tools!AC172,Tools!AD172,Tools!AE172,Tools!AF172,Tools!AG172,Tools!AH172,Tools!AI172,Tools!AJ172,Tools!AK172,Tools!AL172,Tools!AM172,Tools!AN172,Tools!AO172,Tools!AP172,Tools!AQ172,Tools!AR172,Tools!AS172,Tools!AT172,Tools!AU172,Tools!AV172,Tools!AW172,Tools!AX172,Tools!AY172,Tools!AZ172,Tools!BA172))</f>
        <v xml:space="preserve">Spline 102.34,0 102.348,1 102.375,2 102.42,3 102.484,4 102.924,8 103.657,12 104.684,16 105.787,19.4 106.004,20 107.617,24 108.534,26 </v>
      </c>
      <c r="Q23" s="524"/>
      <c r="R23" s="146"/>
      <c r="S23" s="146"/>
    </row>
    <row r="24" spans="1:25" x14ac:dyDescent="0.25">
      <c r="A24" s="421"/>
      <c r="B24" s="470" t="s">
        <v>354</v>
      </c>
      <c r="C24" s="421"/>
      <c r="D24" s="421"/>
      <c r="E24" s="148" t="str">
        <f>CONCATENATE(IF(Tools!A115="  ","","WL "),Tools!A115)</f>
        <v xml:space="preserve">  </v>
      </c>
      <c r="F24" s="172" t="str">
        <f>IF(Tools!AB144="  ","",CONCATENATE(Tools!AB144,Tools!BA144,Tools!AZ144,Tools!AY144,Tools!AX144,Tools!AW144,Tools!AV144,Tools!AU144,Tools!AT144,Tools!AS144,Tools!AR144,Tools!AQ144,Tools!AP144,Tools!AO144,Tools!AN144,Tools!AM144,Tools!AL144,Tools!AK144,Tools!AJ144,Tools!AI144,Tools!AH144,Tools!AG144,Tools!AF144,Tools!AE144,Tools!AD144,Tools!AC144))</f>
        <v/>
      </c>
      <c r="G24" s="147" t="s">
        <v>159</v>
      </c>
      <c r="H24" s="152" t="str">
        <f>CONCATENATE(IF(Tools!AD20="  ","","STN "),Tools!AD20)</f>
        <v>STN 15</v>
      </c>
      <c r="I24" s="173" t="str">
        <f>IF(Tools!AB115="  ","",CONCATENATE(Tools!AB115,Tools!BB115,Tools!BA115,Tools!AZ115,Tools!AY115,Tools!AX115,Tools!AW115,Tools!AV115,Tools!AU115,Tools!AT115,Tools!AS115,Tools!AR115,Tools!AQ115,Tools!AP115,Tools!AO115,Tools!AN115,Tools!AM115,Tools!AL115,Tools!AK115,Tools!AJ115,Tools!AI115,Tools!AH115,Tools!AG115,Tools!AF115,Tools!AE115,Tools!AD115,Tools!AC115))</f>
        <v xml:space="preserve">Spline 179.91,13 179.91,12 179.91,10 179.91,9.7 179.91,8 179.91,6 179.91,4 179.61,2 179.41,1.5 179.11,1 178.67,0.5 177.81,0 </v>
      </c>
      <c r="J24" s="146" t="s">
        <v>159</v>
      </c>
      <c r="K24" s="421"/>
      <c r="L24" s="523" t="str">
        <f>IF(Tools!$B173="","",CONCATENATE("Spline ",Tools!B173,Tools!C173,Tools!D173,Tools!E173,Tools!F173,Tools!G173,Tools!H173,Tools!I173,Tools!J173,Tools!K173,Tools!L173,Tools!M173,Tools!N173,Tools!O173,Tools!P173,Tools!Q173,Tools!R173,Tools!S173,Tools!T173,Tools!U173,Tools!V173,Tools!W173,Tools!X173,Tools!Y173,Tools!Z173))</f>
        <v xml:space="preserve">Spline 109.65,0 109.837,1 110.038,2 110.244,3 110.457,4 111.327,8 112.209,12 113.087,16 113.835,19.4 113.969,20 114.847,24 115.287,26 </v>
      </c>
      <c r="M24" s="524"/>
      <c r="N24" s="146"/>
      <c r="O24" s="146"/>
      <c r="P24" s="523" t="str">
        <f>IF(Tools!$AC173="","",CONCATENATE("Spline ",Tools!AC173,Tools!AD173,Tools!AE173,Tools!AF173,Tools!AG173,Tools!AH173,Tools!AI173,Tools!AJ173,Tools!AK173,Tools!AL173,Tools!AM173,Tools!AN173,Tools!AO173,Tools!AP173,Tools!AQ173,Tools!AR173,Tools!AS173,Tools!AT173,Tools!AU173,Tools!AV173,Tools!AW173,Tools!AX173,Tools!AY173,Tools!AZ173,Tools!BA173))</f>
        <v xml:space="preserve">Spline 109.65,0 109.658,1 109.683,2 109.726,3 109.788,4 110.224,8 110.959,12 111.984,16 113.087,19.4 113.305,20 114.917,24 115.834,26 </v>
      </c>
      <c r="Q24" s="524"/>
      <c r="R24" s="146"/>
      <c r="S24" s="146"/>
    </row>
    <row r="25" spans="1:25" x14ac:dyDescent="0.25">
      <c r="A25" s="421"/>
      <c r="B25" s="421"/>
      <c r="C25" s="421"/>
      <c r="D25" s="421"/>
      <c r="E25" s="148" t="str">
        <f>CONCATENATE(IF(Tools!A116="  ","","WL "),Tools!A116)</f>
        <v xml:space="preserve">  </v>
      </c>
      <c r="F25" s="172" t="str">
        <f>IF(Tools!AB145="  ","",CONCATENATE(Tools!AB145,Tools!BA145,Tools!AZ145,Tools!AY145,Tools!AX145,Tools!AW145,Tools!AV145,Tools!AU145,Tools!AT145,Tools!AS145,Tools!AR145,Tools!AQ145,Tools!AP145,Tools!AO145,Tools!AN145,Tools!AM145,Tools!AL145,Tools!AK145,Tools!AJ145,Tools!AI145,Tools!AH145,Tools!AG145,Tools!AF145,Tools!AE145,Tools!AD145,Tools!AC145))</f>
        <v/>
      </c>
      <c r="G25" s="147" t="s">
        <v>159</v>
      </c>
      <c r="H25" s="152" t="str">
        <f>CONCATENATE(IF(Tools!AD21="  ","","STN "),Tools!AD21)</f>
        <v>STN 16</v>
      </c>
      <c r="I25" s="173" t="str">
        <f>IF(Tools!AB116="  ","",CONCATENATE(Tools!AB116,Tools!BB116,Tools!BA116,Tools!AZ116,Tools!AY116,Tools!AX116,Tools!AW116,Tools!AV116,Tools!AU116,Tools!AT116,Tools!AS116,Tools!AR116,Tools!AQ116,Tools!AP116,Tools!AO116,Tools!AN116,Tools!AM116,Tools!AL116,Tools!AK116,Tools!AJ116,Tools!AI116,Tools!AH116,Tools!AG116,Tools!AF116,Tools!AE116,Tools!AD116,Tools!AC116))</f>
        <v xml:space="preserve">Spline 179.91,13 179.91,12 179.81,10 179.8,9.7 179.71,8 179.61,6 179.41,4 178.82,2 178.57,1.5 178.18,1 177.55,0.5 176.51,0 </v>
      </c>
      <c r="J25" s="146" t="s">
        <v>159</v>
      </c>
      <c r="K25" s="421"/>
      <c r="L25" s="523" t="str">
        <f>IF(Tools!$B174="","",CONCATENATE("Spline ",Tools!B174,Tools!C174,Tools!D174,Tools!E174,Tools!F174,Tools!G174,Tools!H174,Tools!I174,Tools!J174,Tools!K174,Tools!L174,Tools!M174,Tools!N174,Tools!O174,Tools!P174,Tools!Q174,Tools!R174,Tools!S174,Tools!T174,Tools!U174,Tools!V174,Tools!W174,Tools!X174,Tools!Y174,Tools!Z174))</f>
        <v xml:space="preserve">Spline 116.96,0 117.123,1 117.303,2 117.492,3 117.688,4 118.507,8 119.358,12 120.217,16 120.954,19.4 121.086,20 121.961,24 122.401,26 </v>
      </c>
      <c r="M25" s="524"/>
      <c r="N25" s="146"/>
      <c r="O25" s="146"/>
      <c r="P25" s="523" t="str">
        <f>IF(Tools!$AC174="","",CONCATENATE("Spline ",Tools!AC174,Tools!AD174,Tools!AE174,Tools!AF174,Tools!AG174,Tools!AH174,Tools!AI174,Tools!AJ174,Tools!AK174,Tools!AL174,Tools!AM174,Tools!AN174,Tools!AO174,Tools!AP174,Tools!AQ174,Tools!AR174,Tools!AS174,Tools!AT174,Tools!AU174,Tools!AV174,Tools!AW174,Tools!AX174,Tools!AY174,Tools!AZ174,Tools!BA174))</f>
        <v xml:space="preserve">Spline 116.96,0 116.967,1 116.99,2 117.029,3 117.086,4 117.497,8 118.206,12 119.209,16 120.297,19.4 120.512,20 122.117,24 123.034,26 </v>
      </c>
      <c r="Q25" s="524"/>
      <c r="R25" s="146"/>
      <c r="S25" s="146"/>
    </row>
    <row r="26" spans="1:25" x14ac:dyDescent="0.25">
      <c r="A26" s="146"/>
      <c r="B26" s="421"/>
      <c r="C26" s="421"/>
      <c r="D26" s="421"/>
      <c r="E26" s="148" t="str">
        <f>CONCATENATE(IF(Tools!A117="  ","","WL "),Tools!A117)</f>
        <v xml:space="preserve">  </v>
      </c>
      <c r="F26" s="172" t="str">
        <f>IF(Tools!AB146="  ","",CONCATENATE(Tools!AB146,Tools!BA146,Tools!AZ146,Tools!AY146,Tools!AX146,Tools!AW146,Tools!AV146,Tools!AU146,Tools!AT146,Tools!AS146,Tools!AR146,Tools!AQ146,Tools!AP146,Tools!AO146,Tools!AN146,Tools!AM146,Tools!AL146,Tools!AK146,Tools!AJ146,Tools!AI146,Tools!AH146,Tools!AG146,Tools!AF146,Tools!AE146,Tools!AD146,Tools!AC146))</f>
        <v/>
      </c>
      <c r="G26" s="147" t="s">
        <v>159</v>
      </c>
      <c r="H26" s="152" t="str">
        <f>CONCATENATE(IF(Tools!AD22="  ","","STN "),Tools!AD22)</f>
        <v>STN 17</v>
      </c>
      <c r="I26" s="173" t="str">
        <f>IF(Tools!AB117="  ","",CONCATENATE(Tools!AB117,Tools!BB117,Tools!BA117,Tools!AZ117,Tools!AY117,Tools!AX117,Tools!AW117,Tools!AV117,Tools!AU117,Tools!AT117,Tools!AS117,Tools!AR117,Tools!AQ117,Tools!AP117,Tools!AO117,Tools!AN117,Tools!AM117,Tools!AL117,Tools!AK117,Tools!AJ117,Tools!AI117,Tools!AH117,Tools!AG117,Tools!AF117,Tools!AE117,Tools!AD117,Tools!AC117))</f>
        <v xml:space="preserve">Spline 179.53,13 179.41,12 179.18,10 179.14,9.7 178.9,8 178.6,6 178.23,4 177.33,2 176.95,1.5 176.47,1 175.8,0.5 174.51,0 </v>
      </c>
      <c r="J26" s="146" t="s">
        <v>159</v>
      </c>
      <c r="K26" s="421"/>
      <c r="L26" s="523" t="str">
        <f>IF(Tools!$B175="","",CONCATENATE("Spline ",Tools!B175,Tools!C175,Tools!D175,Tools!E175,Tools!F175,Tools!G175,Tools!H175,Tools!I175,Tools!J175,Tools!K175,Tools!L175,Tools!M175,Tools!N175,Tools!O175,Tools!P175,Tools!Q175,Tools!R175,Tools!S175,Tools!T175,Tools!U175,Tools!V175,Tools!W175,Tools!X175,Tools!Y175,Tools!Z175))</f>
        <v xml:space="preserve">Spline 124.27,0 124.396,1 124.541,2 124.697,3 124.862,4 125.576,8 126.339,12 127.124,16 127.812,19.4 127.937,20 128.766,24 129.188,26 </v>
      </c>
      <c r="M26" s="524"/>
      <c r="N26" s="146"/>
      <c r="O26" s="146"/>
      <c r="P26" s="523" t="str">
        <f>IF(Tools!$AC175="","",CONCATENATE("Spline ",Tools!AC175,Tools!AD175,Tools!AE175,Tools!AF175,Tools!AG175,Tools!AH175,Tools!AI175,Tools!AJ175,Tools!AK175,Tools!AL175,Tools!AM175,Tools!AN175,Tools!AO175,Tools!AP175,Tools!AQ175,Tools!AR175,Tools!AS175,Tools!AT175,Tools!AU175,Tools!AV175,Tools!AW175,Tools!AX175,Tools!AY175,Tools!AZ175,Tools!BA175))</f>
        <v xml:space="preserve">Spline 124.27,0 124.275,1 124.294,2 124.326,3 124.374,4 124.733,8 125.37,12 126.287,16 127.302,19.4 127.506,20 129.028,24 129.909,26 </v>
      </c>
      <c r="Q26" s="524"/>
      <c r="R26" s="146"/>
      <c r="S26" s="146"/>
    </row>
    <row r="27" spans="1:25" x14ac:dyDescent="0.25">
      <c r="A27" s="146"/>
      <c r="B27" s="421"/>
      <c r="C27" s="421"/>
      <c r="D27" s="421"/>
      <c r="E27" s="148" t="str">
        <f>CONCATENATE(IF(Tools!A118="  ","","WL "),Tools!A118)</f>
        <v xml:space="preserve">  </v>
      </c>
      <c r="F27" s="172" t="str">
        <f>IF(Tools!AB147="  ","",CONCATENATE(Tools!AB147,Tools!BA147,Tools!AZ147,Tools!AY147,Tools!AX147,Tools!AW147,Tools!AV147,Tools!AU147,Tools!AT147,Tools!AS147,Tools!AR147,Tools!AQ147,Tools!AP147,Tools!AO147,Tools!AN147,Tools!AM147,Tools!AL147,Tools!AK147,Tools!AJ147,Tools!AI147,Tools!AH147,Tools!AG147,Tools!AF147,Tools!AE147,Tools!AD147,Tools!AC147))</f>
        <v/>
      </c>
      <c r="G27" s="147" t="s">
        <v>159</v>
      </c>
      <c r="H27" s="152" t="str">
        <f>CONCATENATE(IF(Tools!AD23="  ","","STN "),Tools!AD23)</f>
        <v>STN 18</v>
      </c>
      <c r="I27" s="173" t="str">
        <f>IF(Tools!AB118="  ","",CONCATENATE(Tools!AB118,Tools!BB118,Tools!BA118,Tools!AZ118,Tools!AY118,Tools!AX118,Tools!AW118,Tools!AV118,Tools!AU118,Tools!AT118,Tools!AS118,Tools!AR118,Tools!AQ118,Tools!AP118,Tools!AO118,Tools!AN118,Tools!AM118,Tools!AL118,Tools!AK118,Tools!AJ118,Tools!AI118,Tools!AH118,Tools!AG118,Tools!AF118,Tools!AE118,Tools!AD118,Tools!AC118))</f>
        <v xml:space="preserve">Spline 178.07,13 177.83,12 177.34,10 177.261,9.7 176.839,8 176.48,6 175.99,4 175.12,2 174.78,1.5 174.26,1 173.56,0.5 172.41,0 </v>
      </c>
      <c r="J27" s="146" t="s">
        <v>159</v>
      </c>
      <c r="K27" s="421"/>
      <c r="L27" s="523" t="str">
        <f>IF(Tools!$B176="","",CONCATENATE("Spline ",Tools!B176,Tools!C176,Tools!D176,Tools!E176,Tools!F176,Tools!G176,Tools!H176,Tools!I176,Tools!J176,Tools!K176,Tools!L176,Tools!M176,Tools!N176,Tools!O176,Tools!P176,Tools!Q176,Tools!R176,Tools!S176,Tools!T176,Tools!U176,Tools!V176,Tools!W176,Tools!X176,Tools!Y176,Tools!Z176))</f>
        <v xml:space="preserve">Spline 131.58,0 131.662,1 131.763,2 131.875,3 131.997,4 132.531,8 133.119,12 133.738,16 134.292,19.4 134.392,20 135.087,24 135.449,26 </v>
      </c>
      <c r="M27" s="524"/>
      <c r="N27" s="146"/>
      <c r="O27" s="146"/>
      <c r="P27" s="523" t="str">
        <f>IF(Tools!$AC176="","",CONCATENATE("Spline ",Tools!AC176,Tools!AD176,Tools!AE176,Tools!AF176,Tools!AG176,Tools!AH176,Tools!AI176,Tools!AJ176,Tools!AK176,Tools!AL176,Tools!AM176,Tools!AN176,Tools!AO176,Tools!AP176,Tools!AQ176,Tools!AR176,Tools!AS176,Tools!AT176,Tools!AU176,Tools!AV176,Tools!AW176,Tools!AX176,Tools!AY176,Tools!AZ176,Tools!BA176))</f>
        <v xml:space="preserve">Spline 131.58,0 131.584,1 131.596,2 131.62,3 131.655,4 131.924,8 132.416,12 133.139,16 133.957,19.4 134.12,20 135.396,24 136.149,26 </v>
      </c>
      <c r="Q27" s="524"/>
      <c r="R27" s="146"/>
      <c r="S27" s="146"/>
    </row>
    <row r="28" spans="1:25" x14ac:dyDescent="0.25">
      <c r="A28" s="152"/>
      <c r="B28" s="421"/>
      <c r="C28" s="421"/>
      <c r="D28" s="421"/>
      <c r="E28" s="148" t="str">
        <f>CONCATENATE(IF(Tools!A119="  ","","WL "),Tools!A119)</f>
        <v xml:space="preserve">  </v>
      </c>
      <c r="F28" s="172" t="str">
        <f>IF(Tools!AB148="  ","",CONCATENATE(Tools!AB148,Tools!BA148,Tools!AZ148,Tools!AY148,Tools!AX148,Tools!AW148,Tools!AV148,Tools!AU148,Tools!AT148,Tools!AS148,Tools!AR148,Tools!AQ148,Tools!AP148,Tools!AO148,Tools!AN148,Tools!AM148,Tools!AL148,Tools!AK148,Tools!AJ148,Tools!AI148,Tools!AH148,Tools!AG148,Tools!AF148,Tools!AE148,Tools!AD148,Tools!AC148))</f>
        <v/>
      </c>
      <c r="G28" s="147" t="s">
        <v>159</v>
      </c>
      <c r="H28" s="152" t="str">
        <f>CONCATENATE(IF(Tools!AD24="  ","","STN "),Tools!AD24)</f>
        <v>STN 18.5</v>
      </c>
      <c r="I28" s="173" t="str">
        <f>IF(Tools!AB119="  ","",CONCATENATE(Tools!AB119,Tools!BB119,Tools!BA119,Tools!AZ119,Tools!AY119,Tools!AX119,Tools!AW119,Tools!AV119,Tools!AU119,Tools!AT119,Tools!AS119,Tools!AR119,Tools!AQ119,Tools!AP119,Tools!AO119,Tools!AN119,Tools!AM119,Tools!AL119,Tools!AK119,Tools!AJ119,Tools!AI119,Tools!AH119,Tools!AG119,Tools!AF119,Tools!AE119,Tools!AD119,Tools!AC119))</f>
        <v xml:space="preserve">Spline 176.71,13 176.41,12 175.82,10 175.73,9.7 175.3,8 174.96,6 174.54,4 173.82,2 173.49,1.5 173.04,1 172.34,0.5 171.21,0 </v>
      </c>
      <c r="J28" s="146" t="s">
        <v>159</v>
      </c>
      <c r="K28" s="421"/>
      <c r="L28" s="523" t="str">
        <f>IF(Tools!$B177="","",CONCATENATE("Spline ",Tools!B177,Tools!C177,Tools!D177,Tools!E177,Tools!F177,Tools!G177,Tools!H177,Tools!I177,Tools!J177,Tools!K177,Tools!L177,Tools!M177,Tools!N177,Tools!O177,Tools!P177,Tools!Q177,Tools!R177,Tools!S177,Tools!T177,Tools!U177,Tools!V177,Tools!W177,Tools!X177,Tools!Y177,Tools!Z177))</f>
        <v xml:space="preserve">Spline 135.235,0 135.293,1 135.369,2 135.457,3 135.552,4 135.975,8 136.445,12 136.941,16 137.39,19.4 137.472,20 138.049,24 138.355,26 </v>
      </c>
      <c r="M28" s="524"/>
      <c r="N28" s="146"/>
      <c r="O28" s="146"/>
      <c r="P28" s="523" t="str">
        <f>IF(Tools!$AC177="","",CONCATENATE("Spline ",Tools!AC177,Tools!AD177,Tools!AE177,Tools!AF177,Tools!AG177,Tools!AH177,Tools!AI177,Tools!AJ177,Tools!AK177,Tools!AL177,Tools!AM177,Tools!AN177,Tools!AO177,Tools!AP177,Tools!AQ177,Tools!AR177,Tools!AS177,Tools!AT177,Tools!AU177,Tools!AV177,Tools!AW177,Tools!AX177,Tools!AY177,Tools!AZ177,Tools!BA177))</f>
        <v xml:space="preserve">Spline 135.235,0 135.238,1 135.247,2 135.265,3 135.293,4 135.507,8 135.899,12 136.479,16 137.142,19.4 137.276,20 138.335,24 138.973,26 </v>
      </c>
      <c r="Q28" s="524"/>
      <c r="R28" s="146"/>
      <c r="S28" s="146"/>
    </row>
    <row r="29" spans="1:25" x14ac:dyDescent="0.25">
      <c r="A29" s="146"/>
      <c r="B29" s="421"/>
      <c r="C29" s="421"/>
      <c r="D29" s="421"/>
      <c r="E29" s="148" t="str">
        <f>CONCATENATE(IF(Tools!A120="  ","","WL "),Tools!A120)</f>
        <v xml:space="preserve">  </v>
      </c>
      <c r="F29" s="172" t="str">
        <f>IF(Tools!AB149="  ","",CONCATENATE(Tools!AB149,Tools!BA149,Tools!AZ149,Tools!AY149,Tools!AX149,Tools!AW149,Tools!AV149,Tools!AU149,Tools!AT149,Tools!AS149,Tools!AR149,Tools!AQ149,Tools!AP149,Tools!AO149,Tools!AN149,Tools!AM149,Tools!AL149,Tools!AK149,Tools!AJ149,Tools!AI149,Tools!AH149,Tools!AG149,Tools!AF149,Tools!AE149,Tools!AD149,Tools!AC149))</f>
        <v/>
      </c>
      <c r="G29" s="147" t="s">
        <v>159</v>
      </c>
      <c r="H29" s="152" t="str">
        <f>CONCATENATE(IF(Tools!AD25="  ","","STN "),Tools!AD25)</f>
        <v>STN 19</v>
      </c>
      <c r="I29" s="173" t="str">
        <f>IF(Tools!AB120="  ","",CONCATENATE(Tools!AB120,Tools!BB120,Tools!BA120,Tools!AZ120,Tools!AY120,Tools!AX120,Tools!AW120,Tools!AV120,Tools!AU120,Tools!AT120,Tools!AS120,Tools!AR120,Tools!AQ120,Tools!AP120,Tools!AO120,Tools!AN120,Tools!AM120,Tools!AL120,Tools!AK120,Tools!AJ120,Tools!AI120,Tools!AH120,Tools!AG120,Tools!AF120,Tools!AE120,Tools!AD120,Tools!AC120))</f>
        <v xml:space="preserve">Spline 174.85,13 174.5,12 173.85,10 173.78,9.7 173.38,8 173.14,6 173.02,4 172.44,2 172.16,1.5 171.75,1 171.21,0.5 170.21,0 </v>
      </c>
      <c r="J29" s="146" t="s">
        <v>159</v>
      </c>
      <c r="K29" s="421"/>
      <c r="L29" s="523" t="str">
        <f>IF(Tools!$B178="","",CONCATENATE("Spline ",Tools!B178,Tools!C178,Tools!D178,Tools!E178,Tools!F178,Tools!G178,Tools!H178,Tools!I178,Tools!J178,Tools!K178,Tools!L178,Tools!M178,Tools!N178,Tools!O178,Tools!P178,Tools!Q178,Tools!R178,Tools!S178,Tools!T178,Tools!U178,Tools!V178,Tools!W178,Tools!X178,Tools!Y178,Tools!Z178))</f>
        <v xml:space="preserve">Spline 138.89,0 138.927,1 138.979,2 139.04,3 139.108,4 139.417,8 139.753,12 140.097,16 140.414,19.4 140.475,20 140.892,24 141.123,26 </v>
      </c>
      <c r="M29" s="524"/>
      <c r="N29" s="146"/>
      <c r="O29" s="146"/>
      <c r="P29" s="523" t="str">
        <f>IF(Tools!$AC178="","",CONCATENATE("Spline ",Tools!AC178,Tools!AD178,Tools!AE178,Tools!AF178,Tools!AG178,Tools!AH178,Tools!AI178,Tools!AJ178,Tools!AK178,Tools!AL178,Tools!AM178,Tools!AN178,Tools!AO178,Tools!AP178,Tools!AQ178,Tools!AR178,Tools!AS178,Tools!AT178,Tools!AU178,Tools!AV178,Tools!AW178,Tools!AX178,Tools!AY178,Tools!AZ178,Tools!BA178))</f>
        <v xml:space="preserve">Spline 138.89,0 138.892,1 138.898,2 138.911,3 138.931,4 139.087,8 139.367,12 139.77,16 140.239,19.4 140.335,20 141.105,24 141.586,26 </v>
      </c>
      <c r="Q29" s="524"/>
      <c r="R29" s="146"/>
      <c r="S29" s="146"/>
    </row>
    <row r="30" spans="1:25" x14ac:dyDescent="0.25">
      <c r="A30" s="146"/>
      <c r="B30" s="421"/>
      <c r="C30" s="421"/>
      <c r="D30" s="421"/>
      <c r="E30" s="148" t="str">
        <f>CONCATENATE(IF(Tools!A121="  ","","WL "),Tools!A121)</f>
        <v xml:space="preserve">  </v>
      </c>
      <c r="F30" s="172" t="str">
        <f>IF(Tools!AB150="  ","",CONCATENATE(Tools!AB150,Tools!BA150,Tools!AZ150,Tools!AY150,Tools!AX150,Tools!AW150,Tools!AV150,Tools!AU150,Tools!AT150,Tools!AS150,Tools!AR150,Tools!AQ150,Tools!AP150,Tools!AO150,Tools!AN150,Tools!AM150,Tools!AL150,Tools!AK150,Tools!AJ150,Tools!AI150,Tools!AH150,Tools!AG150,Tools!AF150,Tools!AE150,Tools!AD150,Tools!AC150))</f>
        <v/>
      </c>
      <c r="G30" s="147" t="s">
        <v>159</v>
      </c>
      <c r="H30" s="152" t="str">
        <f>CONCATENATE(IF(Tools!AD26="  ","","STN "),Tools!AD26)</f>
        <v>STN 19.5</v>
      </c>
      <c r="I30" s="173" t="str">
        <f>IF(Tools!AB121="  ","",CONCATENATE(Tools!AB121,Tools!BB121,Tools!BA121,Tools!AZ121,Tools!AY121,Tools!AX121,Tools!AW121,Tools!AV121,Tools!AU121,Tools!AT121,Tools!AS121,Tools!AR121,Tools!AQ121,Tools!AP121,Tools!AO121,Tools!AN121,Tools!AM121,Tools!AL121,Tools!AK121,Tools!AJ121,Tools!AI121,Tools!AH121,Tools!AG121,Tools!AF121,Tools!AE121,Tools!AD121,Tools!AC121))</f>
        <v xml:space="preserve">Spline 172.54,13 172.1,12 171.406,10 171.33,9.7 171.16,8 171.29,6 171.54,4 171.2,2 170.93,1.5 170.6,1 170.12,0.5 169.31,0 </v>
      </c>
      <c r="J30" s="146" t="s">
        <v>159</v>
      </c>
      <c r="K30" s="421"/>
      <c r="L30" s="523" t="str">
        <f>IF(Tools!$B179="","",CONCATENATE("Spline ",Tools!B179,Tools!C179,Tools!D179,Tools!E179,Tools!F179,Tools!G179,Tools!H179,Tools!I179,Tools!J179,Tools!K179,Tools!L179,Tools!M179,Tools!N179,Tools!O179,Tools!P179,Tools!Q179,Tools!R179,Tools!S179,Tools!T179,Tools!U179,Tools!V179,Tools!W179,Tools!X179,Tools!Y179,Tools!Z179))</f>
        <v xml:space="preserve">Spline 142.545,0 142.562,1 142.591,2 142.628,3 142.672,4 142.872,8 143.077,12 143.256,16 143.415,19.4 143.447,20 143.668,24 143.804,26 </v>
      </c>
      <c r="M30" s="524"/>
      <c r="N30" s="146"/>
      <c r="O30" s="146"/>
      <c r="P30" s="523" t="str">
        <f>IF(Tools!$AC179="","",CONCATENATE("Spline ",Tools!AC179,Tools!AD179,Tools!AE179,Tools!AF179,Tools!AG179,Tools!AH179,Tools!AI179,Tools!AJ179,Tools!AK179,Tools!AL179,Tools!AM179,Tools!AN179,Tools!AO179,Tools!AP179,Tools!AQ179,Tools!AR179,Tools!AS179,Tools!AT179,Tools!AU179,Tools!AV179,Tools!AW179,Tools!AX179,Tools!AY179,Tools!AZ179,Tools!BA179))</f>
        <v xml:space="preserve">Spline 142.545,0 142.546,1 142.55,2 142.557,3 142.57,4 142.671,8 142.841,12 143.052,16 143.286,19.4 143.335,20 143.746,24 144.03,26 </v>
      </c>
      <c r="Q30" s="524"/>
      <c r="R30" s="146"/>
      <c r="S30" s="146"/>
    </row>
    <row r="31" spans="1:25" x14ac:dyDescent="0.25">
      <c r="A31" s="146"/>
      <c r="B31" s="421"/>
      <c r="C31" s="421"/>
      <c r="D31" s="421"/>
      <c r="E31" s="160" t="str">
        <f>CONCATENATE(IF(Tools!A122="  ","","WL "),Tools!A122)</f>
        <v xml:space="preserve">  </v>
      </c>
      <c r="F31" s="187" t="str">
        <f>IF(Tools!AB151="  ","",CONCATENATE(Tools!AB151,Tools!BA151,Tools!AZ151,Tools!AY151,Tools!AX151,Tools!AW151,Tools!AV151,Tools!AU151,Tools!AT151,Tools!AS151,Tools!AR151,Tools!AQ151,Tools!AP151,Tools!AO151,Tools!AN151,Tools!AM151,Tools!AL151,Tools!AK151,Tools!AJ151,Tools!AI151,Tools!AH151,Tools!AG151,Tools!AF151,Tools!AE151,Tools!AD151,Tools!AC151))</f>
        <v/>
      </c>
      <c r="G31" s="147" t="s">
        <v>159</v>
      </c>
      <c r="H31" s="152" t="str">
        <f>CONCATENATE(IF(Tools!AD27="  ","","STN "),Tools!AD27)</f>
        <v>STN 20</v>
      </c>
      <c r="I31" s="188" t="str">
        <f>IF(Tools!AB122="  ","",CONCATENATE(Tools!AB122,Tools!BB122,Tools!BA122,Tools!AZ122,Tools!AY122,Tools!AX122,Tools!AW122,Tools!AV122,Tools!AU122,Tools!AT122,Tools!AS122,Tools!AR122,Tools!AQ122,Tools!AP122,Tools!AO122,Tools!AN122,Tools!AM122,Tools!AL122,Tools!AK122,Tools!AJ122,Tools!AI122,Tools!AH122,Tools!AG122,Tools!AF122,Tools!AE122,Tools!AD122,Tools!AC122))</f>
        <v xml:space="preserve">Spline 170.54,13 169.71,12 168.94,10 168.91,9.7 168.99,8 169.41,6 170.03,4 170.44,2 170.34,1.5 170.11,1 169.71,0.5 169.01,0 </v>
      </c>
      <c r="J31" s="146" t="s">
        <v>159</v>
      </c>
      <c r="K31" s="421"/>
      <c r="L31" s="525" t="str">
        <f>IF(Tools!$B180="","",CONCATENATE("Spline ",Tools!B180,Tools!C180,Tools!D180,Tools!E180,Tools!F180,Tools!G180,Tools!H180,Tools!I180,Tools!J180,Tools!K180,Tools!L180,Tools!M180,Tools!N180,Tools!O180,Tools!P180,Tools!Q180,Tools!R180,Tools!S180,Tools!T180,Tools!U180,Tools!V180,Tools!W180,Tools!X180,Tools!Y180,Tools!Z180))</f>
        <v xml:space="preserve">Spline 146.2,0 146.21,1 146.23,2 146.256,3 146.286,4 146.394,8 146.46,12 146.479,16 146.482,19.4 146.483,20 146.506,24 146.554,26 </v>
      </c>
      <c r="M31" s="526"/>
      <c r="N31" s="146"/>
      <c r="O31" s="146"/>
      <c r="P31" s="525" t="str">
        <f>IF(Tools!$AC180="","",CONCATENATE("Spline ",Tools!AC180,Tools!AD180,Tools!AE180,Tools!AF180,Tools!AG180,Tools!AH180,Tools!AI180,Tools!AJ180,Tools!AK180,Tools!AL180,Tools!AM180,Tools!AN180,Tools!AO180,Tools!AP180,Tools!AQ180,Tools!AR180,Tools!AS180,Tools!AT180,Tools!AU180,Tools!AV180,Tools!AW180,Tools!AX180,Tools!AY180,Tools!AZ180,Tools!BA180))</f>
        <v xml:space="preserve">Spline 146.2,0 146.2,1 146.203,2 146.209,3 146.217,4 146.27,8 146.324,12 146.346,16 146.35,19.4 146.35,20 146.397,24 146.499,26 </v>
      </c>
      <c r="Q31" s="526"/>
      <c r="R31" s="146"/>
      <c r="S31" s="146"/>
    </row>
    <row r="32" spans="1:25" x14ac:dyDescent="0.25">
      <c r="A32" s="421"/>
      <c r="B32" s="421"/>
      <c r="C32" s="421"/>
      <c r="D32" s="421"/>
      <c r="E32" s="421"/>
      <c r="F32" s="421"/>
      <c r="G32" s="421"/>
      <c r="H32" s="421"/>
      <c r="I32" s="421"/>
      <c r="K32" s="421"/>
      <c r="L32" s="421"/>
      <c r="M32" s="421"/>
      <c r="N32" s="421"/>
      <c r="O32" s="421"/>
      <c r="P32" s="421"/>
      <c r="Q32" s="421"/>
      <c r="R32" s="421"/>
      <c r="S32" s="421"/>
      <c r="T32" s="421"/>
      <c r="U32" s="421"/>
      <c r="V32" s="421"/>
      <c r="W32" s="421"/>
      <c r="X32" s="421"/>
      <c r="Y32" s="421"/>
    </row>
    <row r="33" spans="1:25" x14ac:dyDescent="0.25">
      <c r="A33" s="421"/>
      <c r="B33" s="421"/>
      <c r="C33" s="421"/>
      <c r="D33" s="421"/>
      <c r="E33" s="421"/>
      <c r="F33" s="421"/>
      <c r="G33" s="421"/>
      <c r="H33" s="421"/>
      <c r="I33" s="421"/>
      <c r="J33" s="421"/>
      <c r="K33" s="421"/>
      <c r="L33" s="421"/>
      <c r="M33" s="421"/>
      <c r="N33" s="421"/>
      <c r="O33" s="421"/>
      <c r="P33" s="421"/>
      <c r="Q33" s="421"/>
      <c r="R33" s="421"/>
      <c r="S33" s="421"/>
      <c r="T33" s="421"/>
      <c r="U33" s="421"/>
      <c r="V33" s="421"/>
      <c r="W33" s="421"/>
      <c r="X33" s="421"/>
      <c r="Y33" s="421"/>
    </row>
    <row r="34" spans="1:25" x14ac:dyDescent="0.25">
      <c r="A34" s="421"/>
      <c r="B34" s="421"/>
      <c r="C34" s="421"/>
      <c r="D34" s="421"/>
      <c r="E34" s="421"/>
      <c r="F34" s="421"/>
      <c r="G34" s="421"/>
      <c r="H34" s="421"/>
      <c r="I34" s="421"/>
      <c r="J34" s="421"/>
      <c r="K34" s="421"/>
      <c r="L34" s="421"/>
      <c r="M34" s="421"/>
      <c r="N34" s="421"/>
      <c r="O34" s="421"/>
      <c r="P34" s="421"/>
      <c r="Q34" s="421"/>
      <c r="R34" s="421"/>
      <c r="S34" s="421"/>
      <c r="T34" s="421"/>
      <c r="U34" s="421"/>
      <c r="V34" s="421"/>
      <c r="W34" s="421"/>
      <c r="X34" s="421"/>
      <c r="Y34" s="421"/>
    </row>
  </sheetData>
  <sheetProtection password="CC2F" sheet="1" objects="1" scenarios="1"/>
  <mergeCells count="52">
    <mergeCell ref="L30:M30"/>
    <mergeCell ref="P30:Q30"/>
    <mergeCell ref="L31:M31"/>
    <mergeCell ref="P31:Q31"/>
    <mergeCell ref="L27:M27"/>
    <mergeCell ref="P27:Q27"/>
    <mergeCell ref="L28:M28"/>
    <mergeCell ref="P28:Q28"/>
    <mergeCell ref="L29:M29"/>
    <mergeCell ref="P29:Q29"/>
    <mergeCell ref="L24:M24"/>
    <mergeCell ref="P24:Q24"/>
    <mergeCell ref="L25:M25"/>
    <mergeCell ref="P25:Q25"/>
    <mergeCell ref="L26:M26"/>
    <mergeCell ref="P26:Q26"/>
    <mergeCell ref="L21:M21"/>
    <mergeCell ref="P21:Q21"/>
    <mergeCell ref="L22:M22"/>
    <mergeCell ref="P22:Q22"/>
    <mergeCell ref="L23:M23"/>
    <mergeCell ref="P23:Q23"/>
    <mergeCell ref="L18:M18"/>
    <mergeCell ref="P18:Q18"/>
    <mergeCell ref="L19:M19"/>
    <mergeCell ref="P19:Q19"/>
    <mergeCell ref="L20:M20"/>
    <mergeCell ref="P20:Q20"/>
    <mergeCell ref="L15:M15"/>
    <mergeCell ref="P15:Q15"/>
    <mergeCell ref="L16:M16"/>
    <mergeCell ref="P16:Q16"/>
    <mergeCell ref="L17:M17"/>
    <mergeCell ref="P17:Q17"/>
    <mergeCell ref="L12:M12"/>
    <mergeCell ref="P12:Q12"/>
    <mergeCell ref="L13:M13"/>
    <mergeCell ref="P13:Q13"/>
    <mergeCell ref="L14:M14"/>
    <mergeCell ref="P14:Q14"/>
    <mergeCell ref="L9:M9"/>
    <mergeCell ref="P9:Q9"/>
    <mergeCell ref="L10:M10"/>
    <mergeCell ref="P10:Q10"/>
    <mergeCell ref="L11:M11"/>
    <mergeCell ref="P11:Q11"/>
    <mergeCell ref="E6:F6"/>
    <mergeCell ref="H6:I6"/>
    <mergeCell ref="L7:M7"/>
    <mergeCell ref="P7:Q7"/>
    <mergeCell ref="L8:M8"/>
    <mergeCell ref="P8:Q8"/>
  </mergeCells>
  <dataValidations count="7">
    <dataValidation type="list" showInputMessage="1" showErrorMessage="1" errorTitle="Number of buttocks" error="Solutions:_x000a_&gt; Enter positive whole number between 1~9 (or zero if no buttocks)" promptTitle="No. of Buttocks" prompt=" 0~9" sqref="C2">
      <formula1>"Nill (0),1,2,3,4,5,6,7,8,9"</formula1>
    </dataValidation>
    <dataValidation type="decimal" operator="greaterThan" allowBlank="1" showInputMessage="1" showErrorMessage="1" errorTitle="Station Scale factor (x-axis)" error="Enter a positive number." sqref="G2">
      <formula1>0</formula1>
    </dataValidation>
    <dataValidation type="decimal" operator="greaterThan" allowBlank="1" showInputMessage="1" showErrorMessage="1" errorTitle="Y axis scale factor" error="Enter a positive number." sqref="G3">
      <formula1>0</formula1>
    </dataValidation>
    <dataValidation type="decimal" operator="greaterThan" allowBlank="1" showInputMessage="1" showErrorMessage="1" errorTitle="Bonjean Area scale factor" error="Enter a positive number." sqref="M2">
      <formula1>0</formula1>
    </dataValidation>
    <dataValidation type="decimal" allowBlank="1" showInputMessage="1" showErrorMessage="1" errorTitle="Clearance till next station" error="Enter a positive number between 0~ 90" promptTitle="Clearance till next station" prompt="Allowed range: 0~90" sqref="M4">
      <formula1>0</formula1>
      <formula2>90</formula2>
    </dataValidation>
    <dataValidation type="decimal" operator="greaterThan" allowBlank="1" showInputMessage="1" showErrorMessage="1" errorTitle="Bonjean Moment Scale Factor" error="Enter a positive number." sqref="R2">
      <formula1>0</formula1>
    </dataValidation>
    <dataValidation type="decimal" allowBlank="1" showInputMessage="1" showErrorMessage="1" errorTitle="Clearance to adjacent station" error="Enter a positive number between 0 ~ 90" promptTitle="Clearance till next station" prompt="Allowed range: 0~90" sqref="R4">
      <formula1>0</formula1>
      <formula2>90</formula2>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3490" r:id="rId4" name="Button 2">
              <controlPr defaultSize="0" print="0" autoFill="0" autoPict="0" macro="[0]!CopyLinesplanGrid">
                <anchor moveWithCells="1" sizeWithCells="1">
                  <from>
                    <xdr:col>0</xdr:col>
                    <xdr:colOff>0</xdr:colOff>
                    <xdr:row>6</xdr:row>
                    <xdr:rowOff>0</xdr:rowOff>
                  </from>
                  <to>
                    <xdr:col>2</xdr:col>
                    <xdr:colOff>219075</xdr:colOff>
                    <xdr:row>7</xdr:row>
                    <xdr:rowOff>28575</xdr:rowOff>
                  </to>
                </anchor>
              </controlPr>
            </control>
          </mc:Choice>
        </mc:AlternateContent>
        <mc:AlternateContent xmlns:mc="http://schemas.openxmlformats.org/markup-compatibility/2006">
          <mc:Choice Requires="x14">
            <control shapeId="63491" r:id="rId5" name="Button 3">
              <controlPr defaultSize="0" print="0" autoFill="0" autoPict="0" macro="[0]!HalfbreadthCopy">
                <anchor moveWithCells="1" sizeWithCells="1">
                  <from>
                    <xdr:col>0</xdr:col>
                    <xdr:colOff>0</xdr:colOff>
                    <xdr:row>7</xdr:row>
                    <xdr:rowOff>95250</xdr:rowOff>
                  </from>
                  <to>
                    <xdr:col>2</xdr:col>
                    <xdr:colOff>219075</xdr:colOff>
                    <xdr:row>8</xdr:row>
                    <xdr:rowOff>123825</xdr:rowOff>
                  </to>
                </anchor>
              </controlPr>
            </control>
          </mc:Choice>
        </mc:AlternateContent>
        <mc:AlternateContent xmlns:mc="http://schemas.openxmlformats.org/markup-compatibility/2006">
          <mc:Choice Requires="x14">
            <control shapeId="63492" r:id="rId6" name="Button 4">
              <controlPr defaultSize="0" print="0" autoFill="0" autoPict="0" macro="[0]!BodyplanCopy">
                <anchor moveWithCells="1" sizeWithCells="1">
                  <from>
                    <xdr:col>0</xdr:col>
                    <xdr:colOff>0</xdr:colOff>
                    <xdr:row>9</xdr:row>
                    <xdr:rowOff>0</xdr:rowOff>
                  </from>
                  <to>
                    <xdr:col>2</xdr:col>
                    <xdr:colOff>219075</xdr:colOff>
                    <xdr:row>10</xdr:row>
                    <xdr:rowOff>28575</xdr:rowOff>
                  </to>
                </anchor>
              </controlPr>
            </control>
          </mc:Choice>
        </mc:AlternateContent>
        <mc:AlternateContent xmlns:mc="http://schemas.openxmlformats.org/markup-compatibility/2006">
          <mc:Choice Requires="x14">
            <control shapeId="63493" r:id="rId7" name="Button 5">
              <controlPr defaultSize="0" print="0" autoFill="0" autoPict="0" macro="[0]!BonjGrid">
                <anchor moveWithCells="1" sizeWithCells="1">
                  <from>
                    <xdr:col>0</xdr:col>
                    <xdr:colOff>0</xdr:colOff>
                    <xdr:row>10</xdr:row>
                    <xdr:rowOff>85725</xdr:rowOff>
                  </from>
                  <to>
                    <xdr:col>2</xdr:col>
                    <xdr:colOff>219075</xdr:colOff>
                    <xdr:row>11</xdr:row>
                    <xdr:rowOff>114300</xdr:rowOff>
                  </to>
                </anchor>
              </controlPr>
            </control>
          </mc:Choice>
        </mc:AlternateContent>
        <mc:AlternateContent xmlns:mc="http://schemas.openxmlformats.org/markup-compatibility/2006">
          <mc:Choice Requires="x14">
            <control shapeId="63494" r:id="rId8" name="Button 6">
              <controlPr defaultSize="0" print="0" autoFill="0" autoPict="0" macro="[0]!BonjAreaSpline">
                <anchor moveWithCells="1" sizeWithCells="1">
                  <from>
                    <xdr:col>0</xdr:col>
                    <xdr:colOff>0</xdr:colOff>
                    <xdr:row>11</xdr:row>
                    <xdr:rowOff>171450</xdr:rowOff>
                  </from>
                  <to>
                    <xdr:col>2</xdr:col>
                    <xdr:colOff>219075</xdr:colOff>
                    <xdr:row>13</xdr:row>
                    <xdr:rowOff>9525</xdr:rowOff>
                  </to>
                </anchor>
              </controlPr>
            </control>
          </mc:Choice>
        </mc:AlternateContent>
        <mc:AlternateContent xmlns:mc="http://schemas.openxmlformats.org/markup-compatibility/2006">
          <mc:Choice Requires="x14">
            <control shapeId="63495" r:id="rId9" name="Button 7">
              <controlPr defaultSize="0" print="0" autoFill="0" autoPict="0" macro="[0]!BonjMomentSpline">
                <anchor moveWithCells="1" sizeWithCells="1">
                  <from>
                    <xdr:col>0</xdr:col>
                    <xdr:colOff>0</xdr:colOff>
                    <xdr:row>13</xdr:row>
                    <xdr:rowOff>66675</xdr:rowOff>
                  </from>
                  <to>
                    <xdr:col>2</xdr:col>
                    <xdr:colOff>219075</xdr:colOff>
                    <xdr:row>14</xdr:row>
                    <xdr:rowOff>95250</xdr:rowOff>
                  </to>
                </anchor>
              </controlPr>
            </control>
          </mc:Choice>
        </mc:AlternateContent>
        <mc:AlternateContent xmlns:mc="http://schemas.openxmlformats.org/markup-compatibility/2006">
          <mc:Choice Requires="x14">
            <control shapeId="63497" r:id="rId10" name="Button 9">
              <controlPr defaultSize="0" print="0" autoFill="0" autoPict="0" macro="[0]!threeDhalfhull">
                <anchor moveWithCells="1" sizeWithCells="1">
                  <from>
                    <xdr:col>0</xdr:col>
                    <xdr:colOff>9525</xdr:colOff>
                    <xdr:row>14</xdr:row>
                    <xdr:rowOff>152400</xdr:rowOff>
                  </from>
                  <to>
                    <xdr:col>2</xdr:col>
                    <xdr:colOff>228600</xdr:colOff>
                    <xdr:row>15</xdr:row>
                    <xdr:rowOff>180975</xdr:rowOff>
                  </to>
                </anchor>
              </controlPr>
            </control>
          </mc:Choice>
        </mc:AlternateContent>
        <mc:AlternateContent xmlns:mc="http://schemas.openxmlformats.org/markup-compatibility/2006">
          <mc:Choice Requires="x14">
            <control shapeId="63498" r:id="rId11" name="Button 10">
              <controlPr defaultSize="0" print="0" autoFill="0" autoPict="0" macro="[0]!ThreeD_Rhino">
                <anchor moveWithCells="1" sizeWithCells="1">
                  <from>
                    <xdr:col>0</xdr:col>
                    <xdr:colOff>0</xdr:colOff>
                    <xdr:row>21</xdr:row>
                    <xdr:rowOff>0</xdr:rowOff>
                  </from>
                  <to>
                    <xdr:col>3</xdr:col>
                    <xdr:colOff>0</xdr:colOff>
                    <xdr:row>21</xdr:row>
                    <xdr:rowOff>180975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errorTitle="Degree of curves" error="Enter a whole number between 2 &amp; 11 ">
          <x14:formula1>
            <xm:f>Tools!$Q$47:$Q$56</xm:f>
          </x14:formula1>
          <xm:sqref>C23</xm:sqref>
        </x14:dataValidation>
      </x14:dataValidations>
    </ext>
  </extLst>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O626"/>
  <sheetViews>
    <sheetView workbookViewId="0">
      <selection activeCell="B2" sqref="B2"/>
    </sheetView>
  </sheetViews>
  <sheetFormatPr defaultRowHeight="15" x14ac:dyDescent="0.25"/>
  <sheetData>
    <row r="1" spans="1:15" ht="25.5" x14ac:dyDescent="0.25">
      <c r="A1" s="432"/>
      <c r="B1" s="433" t="s">
        <v>335</v>
      </c>
      <c r="C1" s="433" t="s">
        <v>331</v>
      </c>
      <c r="D1" s="433" t="s">
        <v>332</v>
      </c>
      <c r="E1" s="433" t="s">
        <v>333</v>
      </c>
      <c r="I1" s="432"/>
      <c r="J1" s="433" t="s">
        <v>335</v>
      </c>
      <c r="K1" s="433" t="s">
        <v>331</v>
      </c>
      <c r="L1" s="433" t="s">
        <v>332</v>
      </c>
      <c r="M1" s="433" t="s">
        <v>333</v>
      </c>
    </row>
    <row r="2" spans="1:15" x14ac:dyDescent="0.25">
      <c r="A2" s="436">
        <f>IF(ISNUMBER(D2),ROW()-1,"")</f>
        <v>1</v>
      </c>
      <c r="B2" s="434">
        <f t="shared" ref="B2:B65" si="0">IFERROR(IF(ISNUMBER(D2),QUOTIENT(ROW()-2,Max_WL_count)+1,""),"")</f>
        <v>1</v>
      </c>
      <c r="C2" s="437">
        <f>IFERROR(-LBP/2+HLOOKUP(Stn_WL,Tools!$AD$2:$AD$27,QUOTIENT(ROW()-2,Max_WL_count)+2,FALSE)*STN_GAP,"")</f>
        <v>-73.099999999999994</v>
      </c>
      <c r="D2" s="437">
        <f>IFERROR(VLOOKUP(HLOOKUP(Stn_WL,Tools!$AD$2:$AD$27,QUOTIENT(ROW()-2,Max_WL_count)+2,FALSE),Tools!$AD$3:$BC$27,MOD(ROW()-2,Max_WL_count)+2,FALSE),"")</f>
        <v>0</v>
      </c>
      <c r="E2" s="437">
        <f>IFERROR(IF(ISNUMBER(D2),HLOOKUP(Tools!$BE$2,Tools!$BE$2:$BE$27,MOD(ROW()-2,Max_WL_count)+2,FALSE)*WLS,""),"")</f>
        <v>0</v>
      </c>
      <c r="I2" s="436">
        <f>IF(ISNUMBER(L2),ROW()-1,"")</f>
        <v>1</v>
      </c>
      <c r="J2" s="434">
        <f t="shared" ref="J2:J65" si="1">IFERROR(IF(ISNUMBER(L2),QUOTIENT(ROW()-2,Max_WL_count+1)+1,""),"")</f>
        <v>1</v>
      </c>
      <c r="K2" s="437">
        <f>IFERROR(-LBP/2+HLOOKUP(Stn_WL,Tools!$AD$2:$AD$27,N2+2,FALSE)*STN_GAP,"")</f>
        <v>-73.099999999999994</v>
      </c>
      <c r="L2" s="437">
        <f>IFERROR(IF(AND(ISNUMBER(K2),O2=0),0,VLOOKUP(HLOOKUP(Stn_WL,Tools!$AD$2:$AD$27,N2+2,FALSE),Tools!$AD$3:$BC$27,O2+1,FALSE)),"")</f>
        <v>0</v>
      </c>
      <c r="M2" s="437">
        <f>IFERROR(IF(ISNUMBER(L2),IF(O2=0,IFERROR(HLOOKUP(Tools!$BD$127,Tools!$BD$127:$BD$152,N2+2,FALSE)*1,0),HLOOKUP(Tools!$BE$2,Tools!$BE$2:$BE$27,O2+1,FALSE)*WLS),""),"")</f>
        <v>7</v>
      </c>
      <c r="N2">
        <f t="shared" ref="N2:N65" si="2">QUOTIENT(ROW()-2,Max_WL_count+1)</f>
        <v>0</v>
      </c>
      <c r="O2">
        <f t="shared" ref="O2:O65" si="3">MOD(ROW()-2,Max_WL_count+1)</f>
        <v>0</v>
      </c>
    </row>
    <row r="3" spans="1:15" x14ac:dyDescent="0.25">
      <c r="A3" s="431">
        <f t="shared" ref="A3:A66" si="4">IF(ISNUMBER(D3),ROW()-1,"")</f>
        <v>2</v>
      </c>
      <c r="B3" s="434">
        <f t="shared" si="0"/>
        <v>1</v>
      </c>
      <c r="C3" s="437">
        <f>IFERROR(-LBP/2+HLOOKUP(Stn_WL,Tools!$AD$2:$AD$27,QUOTIENT(ROW()-2,Max_WL_count)+2,FALSE)*STN_GAP,"")</f>
        <v>-73.099999999999994</v>
      </c>
      <c r="D3" s="437">
        <f>IFERROR(VLOOKUP(HLOOKUP(Stn_WL,Tools!$AD$2:$AD$27,QUOTIENT(ROW()-2,Max_WL_count)+2,FALSE),Tools!$AD$3:$BC$27,MOD(ROW()-2,Max_WL_count)+2,FALSE),"")</f>
        <v>0</v>
      </c>
      <c r="E3" s="435">
        <f>IFERROR(IF(ISNUMBER(D3),HLOOKUP(Tools!$BE$2,Tools!$BE$2:$BE$27,MOD(ROW()-2,Max_WL_count)+2,FALSE)*WLS,""),"")</f>
        <v>0.5</v>
      </c>
      <c r="I3" s="431">
        <f t="shared" ref="I3:I66" si="5">IF(ISNUMBER(L3),ROW()-1,"")</f>
        <v>2</v>
      </c>
      <c r="J3" s="434">
        <f t="shared" si="1"/>
        <v>1</v>
      </c>
      <c r="K3" s="437">
        <f>IFERROR(-LBP/2+HLOOKUP(Stn_WL,Tools!$AD$2:$AD$27,N3+2,FALSE)*STN_GAP,"")</f>
        <v>-73.099999999999994</v>
      </c>
      <c r="L3" s="437">
        <f>IFERROR(IF(AND(ISNUMBER(K3),O3=0),0,VLOOKUP(HLOOKUP(Stn_WL,Tools!$AD$2:$AD$27,N3+2,FALSE),Tools!$AD$3:$BC$27,O3+1,FALSE)),"")</f>
        <v>0</v>
      </c>
      <c r="M3" s="437">
        <f>IFERROR(IF(ISNUMBER(L3),IF(O3=0,IFERROR(HLOOKUP(Tools!$BD$127,Tools!$BD$127:$BD$152,N3+2,FALSE)*1,0),HLOOKUP(Tools!$BE$2,Tools!$BE$2:$BE$27,O3+1,FALSE)*WLS),""),"")</f>
        <v>0</v>
      </c>
      <c r="N3">
        <f t="shared" si="2"/>
        <v>0</v>
      </c>
      <c r="O3">
        <f t="shared" si="3"/>
        <v>1</v>
      </c>
    </row>
    <row r="4" spans="1:15" x14ac:dyDescent="0.25">
      <c r="A4" s="431">
        <f t="shared" si="4"/>
        <v>3</v>
      </c>
      <c r="B4" s="434">
        <f t="shared" si="0"/>
        <v>1</v>
      </c>
      <c r="C4" s="437">
        <f>IFERROR(-LBP/2+HLOOKUP(Stn_WL,Tools!$AD$2:$AD$27,QUOTIENT(ROW()-2,Max_WL_count)+2,FALSE)*STN_GAP,"")</f>
        <v>-73.099999999999994</v>
      </c>
      <c r="D4" s="437">
        <f>IFERROR(VLOOKUP(HLOOKUP(Stn_WL,Tools!$AD$2:$AD$27,QUOTIENT(ROW()-2,Max_WL_count)+2,FALSE),Tools!$AD$3:$BC$27,MOD(ROW()-2,Max_WL_count)+2,FALSE),"")</f>
        <v>0</v>
      </c>
      <c r="E4" s="435">
        <f>IFERROR(IF(ISNUMBER(D4),HLOOKUP(Tools!$BE$2,Tools!$BE$2:$BE$27,MOD(ROW()-2,Max_WL_count)+2,FALSE)*WLS,""),"")</f>
        <v>1</v>
      </c>
      <c r="I4" s="431">
        <f t="shared" si="5"/>
        <v>3</v>
      </c>
      <c r="J4" s="434">
        <f t="shared" si="1"/>
        <v>1</v>
      </c>
      <c r="K4" s="437">
        <f>IFERROR(-LBP/2+HLOOKUP(Stn_WL,Tools!$AD$2:$AD$27,N4+2,FALSE)*STN_GAP,"")</f>
        <v>-73.099999999999994</v>
      </c>
      <c r="L4" s="437">
        <f>IFERROR(IF(AND(ISNUMBER(K4),O4=0),0,VLOOKUP(HLOOKUP(Stn_WL,Tools!$AD$2:$AD$27,N4+2,FALSE),Tools!$AD$3:$BC$27,O4+1,FALSE)),"")</f>
        <v>0</v>
      </c>
      <c r="M4" s="437">
        <f>IFERROR(IF(ISNUMBER(L4),IF(O4=0,IFERROR(HLOOKUP(Tools!$BD$127,Tools!$BD$127:$BD$152,N4+2,FALSE)*1,0),HLOOKUP(Tools!$BE$2,Tools!$BE$2:$BE$27,O4+1,FALSE)*WLS),""),"")</f>
        <v>0.5</v>
      </c>
      <c r="N4">
        <f t="shared" si="2"/>
        <v>0</v>
      </c>
      <c r="O4">
        <f t="shared" si="3"/>
        <v>2</v>
      </c>
    </row>
    <row r="5" spans="1:15" x14ac:dyDescent="0.25">
      <c r="A5" s="431">
        <f t="shared" si="4"/>
        <v>4</v>
      </c>
      <c r="B5" s="434">
        <f t="shared" si="0"/>
        <v>1</v>
      </c>
      <c r="C5" s="437">
        <f>IFERROR(-LBP/2+HLOOKUP(Stn_WL,Tools!$AD$2:$AD$27,QUOTIENT(ROW()-2,Max_WL_count)+2,FALSE)*STN_GAP,"")</f>
        <v>-73.099999999999994</v>
      </c>
      <c r="D5" s="437">
        <f>IFERROR(VLOOKUP(HLOOKUP(Stn_WL,Tools!$AD$2:$AD$27,QUOTIENT(ROW()-2,Max_WL_count)+2,FALSE),Tools!$AD$3:$BC$27,MOD(ROW()-2,Max_WL_count)+2,FALSE),"")</f>
        <v>0</v>
      </c>
      <c r="E5" s="435">
        <f>IFERROR(IF(ISNUMBER(D5),HLOOKUP(Tools!$BE$2,Tools!$BE$2:$BE$27,MOD(ROW()-2,Max_WL_count)+2,FALSE)*WLS,""),"")</f>
        <v>1.5</v>
      </c>
      <c r="I5" s="431">
        <f t="shared" si="5"/>
        <v>4</v>
      </c>
      <c r="J5" s="434">
        <f t="shared" si="1"/>
        <v>1</v>
      </c>
      <c r="K5" s="437">
        <f>IFERROR(-LBP/2+HLOOKUP(Stn_WL,Tools!$AD$2:$AD$27,N5+2,FALSE)*STN_GAP,"")</f>
        <v>-73.099999999999994</v>
      </c>
      <c r="L5" s="437">
        <f>IFERROR(IF(AND(ISNUMBER(K5),O5=0),0,VLOOKUP(HLOOKUP(Stn_WL,Tools!$AD$2:$AD$27,N5+2,FALSE),Tools!$AD$3:$BC$27,O5+1,FALSE)),"")</f>
        <v>0</v>
      </c>
      <c r="M5" s="437">
        <f>IFERROR(IF(ISNUMBER(L5),IF(O5=0,IFERROR(HLOOKUP(Tools!$BD$127,Tools!$BD$127:$BD$152,N5+2,FALSE)*1,0),HLOOKUP(Tools!$BE$2,Tools!$BE$2:$BE$27,O5+1,FALSE)*WLS),""),"")</f>
        <v>1</v>
      </c>
      <c r="N5">
        <f t="shared" si="2"/>
        <v>0</v>
      </c>
      <c r="O5">
        <f t="shared" si="3"/>
        <v>3</v>
      </c>
    </row>
    <row r="6" spans="1:15" x14ac:dyDescent="0.25">
      <c r="A6" s="431">
        <f t="shared" si="4"/>
        <v>5</v>
      </c>
      <c r="B6" s="434">
        <f t="shared" si="0"/>
        <v>1</v>
      </c>
      <c r="C6" s="437">
        <f>IFERROR(-LBP/2+HLOOKUP(Stn_WL,Tools!$AD$2:$AD$27,QUOTIENT(ROW()-2,Max_WL_count)+2,FALSE)*STN_GAP,"")</f>
        <v>-73.099999999999994</v>
      </c>
      <c r="D6" s="437">
        <f>IFERROR(VLOOKUP(HLOOKUP(Stn_WL,Tools!$AD$2:$AD$27,QUOTIENT(ROW()-2,Max_WL_count)+2,FALSE),Tools!$AD$3:$BC$27,MOD(ROW()-2,Max_WL_count)+2,FALSE),"")</f>
        <v>0</v>
      </c>
      <c r="E6" s="435">
        <f>IFERROR(IF(ISNUMBER(D6),HLOOKUP(Tools!$BE$2,Tools!$BE$2:$BE$27,MOD(ROW()-2,Max_WL_count)+2,FALSE)*WLS,""),"")</f>
        <v>2</v>
      </c>
      <c r="I6" s="431">
        <f t="shared" si="5"/>
        <v>5</v>
      </c>
      <c r="J6" s="434">
        <f t="shared" si="1"/>
        <v>1</v>
      </c>
      <c r="K6" s="437">
        <f>IFERROR(-LBP/2+HLOOKUP(Stn_WL,Tools!$AD$2:$AD$27,N6+2,FALSE)*STN_GAP,"")</f>
        <v>-73.099999999999994</v>
      </c>
      <c r="L6" s="437">
        <f>IFERROR(IF(AND(ISNUMBER(K6),O6=0),0,VLOOKUP(HLOOKUP(Stn_WL,Tools!$AD$2:$AD$27,N6+2,FALSE),Tools!$AD$3:$BC$27,O6+1,FALSE)),"")</f>
        <v>0</v>
      </c>
      <c r="M6" s="437">
        <f>IFERROR(IF(ISNUMBER(L6),IF(O6=0,IFERROR(HLOOKUP(Tools!$BD$127,Tools!$BD$127:$BD$152,N6+2,FALSE)*1,0),HLOOKUP(Tools!$BE$2,Tools!$BE$2:$BE$27,O6+1,FALSE)*WLS),""),"")</f>
        <v>1.5</v>
      </c>
      <c r="N6">
        <f t="shared" si="2"/>
        <v>0</v>
      </c>
      <c r="O6">
        <f t="shared" si="3"/>
        <v>4</v>
      </c>
    </row>
    <row r="7" spans="1:15" x14ac:dyDescent="0.25">
      <c r="A7" s="431">
        <f t="shared" si="4"/>
        <v>6</v>
      </c>
      <c r="B7" s="434">
        <f t="shared" si="0"/>
        <v>1</v>
      </c>
      <c r="C7" s="437">
        <f>IFERROR(-LBP/2+HLOOKUP(Stn_WL,Tools!$AD$2:$AD$27,QUOTIENT(ROW()-2,Max_WL_count)+2,FALSE)*STN_GAP,"")</f>
        <v>-73.099999999999994</v>
      </c>
      <c r="D7" s="437">
        <f>IFERROR(VLOOKUP(HLOOKUP(Stn_WL,Tools!$AD$2:$AD$27,QUOTIENT(ROW()-2,Max_WL_count)+2,FALSE),Tools!$AD$3:$BC$27,MOD(ROW()-2,Max_WL_count)+2,FALSE),"")</f>
        <v>0</v>
      </c>
      <c r="E7" s="435">
        <f>IFERROR(IF(ISNUMBER(D7),HLOOKUP(Tools!$BE$2,Tools!$BE$2:$BE$27,MOD(ROW()-2,Max_WL_count)+2,FALSE)*WLS,""),"")</f>
        <v>4</v>
      </c>
      <c r="I7" s="431">
        <f t="shared" si="5"/>
        <v>6</v>
      </c>
      <c r="J7" s="434">
        <f t="shared" si="1"/>
        <v>1</v>
      </c>
      <c r="K7" s="437">
        <f>IFERROR(-LBP/2+HLOOKUP(Stn_WL,Tools!$AD$2:$AD$27,N7+2,FALSE)*STN_GAP,"")</f>
        <v>-73.099999999999994</v>
      </c>
      <c r="L7" s="437">
        <f>IFERROR(IF(AND(ISNUMBER(K7),O7=0),0,VLOOKUP(HLOOKUP(Stn_WL,Tools!$AD$2:$AD$27,N7+2,FALSE),Tools!$AD$3:$BC$27,O7+1,FALSE)),"")</f>
        <v>0</v>
      </c>
      <c r="M7" s="437">
        <f>IFERROR(IF(ISNUMBER(L7),IF(O7=0,IFERROR(HLOOKUP(Tools!$BD$127,Tools!$BD$127:$BD$152,N7+2,FALSE)*1,0),HLOOKUP(Tools!$BE$2,Tools!$BE$2:$BE$27,O7+1,FALSE)*WLS),""),"")</f>
        <v>2</v>
      </c>
      <c r="N7">
        <f t="shared" si="2"/>
        <v>0</v>
      </c>
      <c r="O7">
        <f t="shared" si="3"/>
        <v>5</v>
      </c>
    </row>
    <row r="8" spans="1:15" x14ac:dyDescent="0.25">
      <c r="A8" s="431">
        <f t="shared" si="4"/>
        <v>7</v>
      </c>
      <c r="B8" s="434">
        <f t="shared" si="0"/>
        <v>1</v>
      </c>
      <c r="C8" s="437">
        <f>IFERROR(-LBP/2+HLOOKUP(Stn_WL,Tools!$AD$2:$AD$27,QUOTIENT(ROW()-2,Max_WL_count)+2,FALSE)*STN_GAP,"")</f>
        <v>-73.099999999999994</v>
      </c>
      <c r="D8" s="437">
        <f>IFERROR(VLOOKUP(HLOOKUP(Stn_WL,Tools!$AD$2:$AD$27,QUOTIENT(ROW()-2,Max_WL_count)+2,FALSE),Tools!$AD$3:$BC$27,MOD(ROW()-2,Max_WL_count)+2,FALSE),"")</f>
        <v>0</v>
      </c>
      <c r="E8" s="435">
        <f>IFERROR(IF(ISNUMBER(D8),HLOOKUP(Tools!$BE$2,Tools!$BE$2:$BE$27,MOD(ROW()-2,Max_WL_count)+2,FALSE)*WLS,""),"")</f>
        <v>6</v>
      </c>
      <c r="I8" s="431">
        <f t="shared" si="5"/>
        <v>7</v>
      </c>
      <c r="J8" s="434">
        <f t="shared" si="1"/>
        <v>1</v>
      </c>
      <c r="K8" s="437">
        <f>IFERROR(-LBP/2+HLOOKUP(Stn_WL,Tools!$AD$2:$AD$27,N8+2,FALSE)*STN_GAP,"")</f>
        <v>-73.099999999999994</v>
      </c>
      <c r="L8" s="437">
        <f>IFERROR(IF(AND(ISNUMBER(K8),O8=0),0,VLOOKUP(HLOOKUP(Stn_WL,Tools!$AD$2:$AD$27,N8+2,FALSE),Tools!$AD$3:$BC$27,O8+1,FALSE)),"")</f>
        <v>0</v>
      </c>
      <c r="M8" s="437">
        <f>IFERROR(IF(ISNUMBER(L8),IF(O8=0,IFERROR(HLOOKUP(Tools!$BD$127,Tools!$BD$127:$BD$152,N8+2,FALSE)*1,0),HLOOKUP(Tools!$BE$2,Tools!$BE$2:$BE$27,O8+1,FALSE)*WLS),""),"")</f>
        <v>4</v>
      </c>
      <c r="N8">
        <f t="shared" si="2"/>
        <v>0</v>
      </c>
      <c r="O8">
        <f t="shared" si="3"/>
        <v>6</v>
      </c>
    </row>
    <row r="9" spans="1:15" x14ac:dyDescent="0.25">
      <c r="A9" s="431">
        <f t="shared" si="4"/>
        <v>8</v>
      </c>
      <c r="B9" s="434">
        <f t="shared" si="0"/>
        <v>1</v>
      </c>
      <c r="C9" s="437">
        <f>IFERROR(-LBP/2+HLOOKUP(Stn_WL,Tools!$AD$2:$AD$27,QUOTIENT(ROW()-2,Max_WL_count)+2,FALSE)*STN_GAP,"")</f>
        <v>-73.099999999999994</v>
      </c>
      <c r="D9" s="437">
        <f>IFERROR(VLOOKUP(HLOOKUP(Stn_WL,Tools!$AD$2:$AD$27,QUOTIENT(ROW()-2,Max_WL_count)+2,FALSE),Tools!$AD$3:$BC$27,MOD(ROW()-2,Max_WL_count)+2,FALSE),"")</f>
        <v>0.9</v>
      </c>
      <c r="E9" s="435">
        <f>IFERROR(IF(ISNUMBER(D9),HLOOKUP(Tools!$BE$2,Tools!$BE$2:$BE$27,MOD(ROW()-2,Max_WL_count)+2,FALSE)*WLS,""),"")</f>
        <v>8</v>
      </c>
      <c r="I9" s="431">
        <f t="shared" si="5"/>
        <v>8</v>
      </c>
      <c r="J9" s="434">
        <f t="shared" si="1"/>
        <v>1</v>
      </c>
      <c r="K9" s="437">
        <f>IFERROR(-LBP/2+HLOOKUP(Stn_WL,Tools!$AD$2:$AD$27,N9+2,FALSE)*STN_GAP,"")</f>
        <v>-73.099999999999994</v>
      </c>
      <c r="L9" s="437">
        <f>IFERROR(IF(AND(ISNUMBER(K9),O9=0),0,VLOOKUP(HLOOKUP(Stn_WL,Tools!$AD$2:$AD$27,N9+2,FALSE),Tools!$AD$3:$BC$27,O9+1,FALSE)),"")</f>
        <v>0</v>
      </c>
      <c r="M9" s="437">
        <f>IFERROR(IF(ISNUMBER(L9),IF(O9=0,IFERROR(HLOOKUP(Tools!$BD$127,Tools!$BD$127:$BD$152,N9+2,FALSE)*1,0),HLOOKUP(Tools!$BE$2,Tools!$BE$2:$BE$27,O9+1,FALSE)*WLS),""),"")</f>
        <v>6</v>
      </c>
      <c r="N9">
        <f t="shared" si="2"/>
        <v>0</v>
      </c>
      <c r="O9">
        <f t="shared" si="3"/>
        <v>7</v>
      </c>
    </row>
    <row r="10" spans="1:15" x14ac:dyDescent="0.25">
      <c r="A10" s="431">
        <f t="shared" si="4"/>
        <v>9</v>
      </c>
      <c r="B10" s="434">
        <f t="shared" si="0"/>
        <v>1</v>
      </c>
      <c r="C10" s="437">
        <f>IFERROR(-LBP/2+HLOOKUP(Stn_WL,Tools!$AD$2:$AD$27,QUOTIENT(ROW()-2,Max_WL_count)+2,FALSE)*STN_GAP,"")</f>
        <v>-73.099999999999994</v>
      </c>
      <c r="D10" s="437">
        <f>IFERROR(VLOOKUP(HLOOKUP(Stn_WL,Tools!$AD$2:$AD$27,QUOTIENT(ROW()-2,Max_WL_count)+2,FALSE),Tools!$AD$3:$BC$27,MOD(ROW()-2,Max_WL_count)+2,FALSE),"")</f>
        <v>2.59</v>
      </c>
      <c r="E10" s="435">
        <f>IFERROR(IF(ISNUMBER(D10),HLOOKUP(Tools!$BE$2,Tools!$BE$2:$BE$27,MOD(ROW()-2,Max_WL_count)+2,FALSE)*WLS,""),"")</f>
        <v>9.6999999999999993</v>
      </c>
      <c r="I10" s="431">
        <f t="shared" si="5"/>
        <v>9</v>
      </c>
      <c r="J10" s="434">
        <f t="shared" si="1"/>
        <v>1</v>
      </c>
      <c r="K10" s="437">
        <f>IFERROR(-LBP/2+HLOOKUP(Stn_WL,Tools!$AD$2:$AD$27,N10+2,FALSE)*STN_GAP,"")</f>
        <v>-73.099999999999994</v>
      </c>
      <c r="L10" s="437">
        <f>IFERROR(IF(AND(ISNUMBER(K10),O10=0),0,VLOOKUP(HLOOKUP(Stn_WL,Tools!$AD$2:$AD$27,N10+2,FALSE),Tools!$AD$3:$BC$27,O10+1,FALSE)),"")</f>
        <v>0.9</v>
      </c>
      <c r="M10" s="437">
        <f>IFERROR(IF(ISNUMBER(L10),IF(O10=0,IFERROR(HLOOKUP(Tools!$BD$127,Tools!$BD$127:$BD$152,N10+2,FALSE)*1,0),HLOOKUP(Tools!$BE$2,Tools!$BE$2:$BE$27,O10+1,FALSE)*WLS),""),"")</f>
        <v>8</v>
      </c>
      <c r="N10">
        <f t="shared" si="2"/>
        <v>0</v>
      </c>
      <c r="O10">
        <f t="shared" si="3"/>
        <v>8</v>
      </c>
    </row>
    <row r="11" spans="1:15" x14ac:dyDescent="0.25">
      <c r="A11" s="431">
        <f t="shared" si="4"/>
        <v>10</v>
      </c>
      <c r="B11" s="434">
        <f t="shared" si="0"/>
        <v>1</v>
      </c>
      <c r="C11" s="437">
        <f>IFERROR(-LBP/2+HLOOKUP(Stn_WL,Tools!$AD$2:$AD$27,QUOTIENT(ROW()-2,Max_WL_count)+2,FALSE)*STN_GAP,"")</f>
        <v>-73.099999999999994</v>
      </c>
      <c r="D11" s="437">
        <f>IFERROR(VLOOKUP(HLOOKUP(Stn_WL,Tools!$AD$2:$AD$27,QUOTIENT(ROW()-2,Max_WL_count)+2,FALSE),Tools!$AD$3:$BC$27,MOD(ROW()-2,Max_WL_count)+2,FALSE),"")</f>
        <v>2.82</v>
      </c>
      <c r="E11" s="435">
        <f>IFERROR(IF(ISNUMBER(D11),HLOOKUP(Tools!$BE$2,Tools!$BE$2:$BE$27,MOD(ROW()-2,Max_WL_count)+2,FALSE)*WLS,""),"")</f>
        <v>10</v>
      </c>
      <c r="I11" s="431">
        <f t="shared" si="5"/>
        <v>10</v>
      </c>
      <c r="J11" s="434">
        <f t="shared" si="1"/>
        <v>1</v>
      </c>
      <c r="K11" s="437">
        <f>IFERROR(-LBP/2+HLOOKUP(Stn_WL,Tools!$AD$2:$AD$27,N11+2,FALSE)*STN_GAP,"")</f>
        <v>-73.099999999999994</v>
      </c>
      <c r="L11" s="437">
        <f>IFERROR(IF(AND(ISNUMBER(K11),O11=0),0,VLOOKUP(HLOOKUP(Stn_WL,Tools!$AD$2:$AD$27,N11+2,FALSE),Tools!$AD$3:$BC$27,O11+1,FALSE)),"")</f>
        <v>2.59</v>
      </c>
      <c r="M11" s="437">
        <f>IFERROR(IF(ISNUMBER(L11),IF(O11=0,IFERROR(HLOOKUP(Tools!$BD$127,Tools!$BD$127:$BD$152,N11+2,FALSE)*1,0),HLOOKUP(Tools!$BE$2,Tools!$BE$2:$BE$27,O11+1,FALSE)*WLS),""),"")</f>
        <v>9.6999999999999993</v>
      </c>
      <c r="N11">
        <f t="shared" si="2"/>
        <v>0</v>
      </c>
      <c r="O11">
        <f t="shared" si="3"/>
        <v>9</v>
      </c>
    </row>
    <row r="12" spans="1:15" x14ac:dyDescent="0.25">
      <c r="A12" s="431">
        <f t="shared" si="4"/>
        <v>11</v>
      </c>
      <c r="B12" s="434">
        <f t="shared" si="0"/>
        <v>1</v>
      </c>
      <c r="C12" s="437">
        <f>IFERROR(-LBP/2+HLOOKUP(Stn_WL,Tools!$AD$2:$AD$27,QUOTIENT(ROW()-2,Max_WL_count)+2,FALSE)*STN_GAP,"")</f>
        <v>-73.099999999999994</v>
      </c>
      <c r="D12" s="437">
        <f>IFERROR(VLOOKUP(HLOOKUP(Stn_WL,Tools!$AD$2:$AD$27,QUOTIENT(ROW()-2,Max_WL_count)+2,FALSE),Tools!$AD$3:$BC$27,MOD(ROW()-2,Max_WL_count)+2,FALSE),"")</f>
        <v>3.82</v>
      </c>
      <c r="E12" s="435">
        <f>IFERROR(IF(ISNUMBER(D12),HLOOKUP(Tools!$BE$2,Tools!$BE$2:$BE$27,MOD(ROW()-2,Max_WL_count)+2,FALSE)*WLS,""),"")</f>
        <v>12</v>
      </c>
      <c r="I12" s="431">
        <f t="shared" si="5"/>
        <v>11</v>
      </c>
      <c r="J12" s="434">
        <f t="shared" si="1"/>
        <v>1</v>
      </c>
      <c r="K12" s="437">
        <f>IFERROR(-LBP/2+HLOOKUP(Stn_WL,Tools!$AD$2:$AD$27,N12+2,FALSE)*STN_GAP,"")</f>
        <v>-73.099999999999994</v>
      </c>
      <c r="L12" s="437">
        <f>IFERROR(IF(AND(ISNUMBER(K12),O12=0),0,VLOOKUP(HLOOKUP(Stn_WL,Tools!$AD$2:$AD$27,N12+2,FALSE),Tools!$AD$3:$BC$27,O12+1,FALSE)),"")</f>
        <v>2.82</v>
      </c>
      <c r="M12" s="437">
        <f>IFERROR(IF(ISNUMBER(L12),IF(O12=0,IFERROR(HLOOKUP(Tools!$BD$127,Tools!$BD$127:$BD$152,N12+2,FALSE)*1,0),HLOOKUP(Tools!$BE$2,Tools!$BE$2:$BE$27,O12+1,FALSE)*WLS),""),"")</f>
        <v>10</v>
      </c>
      <c r="N12">
        <f t="shared" si="2"/>
        <v>0</v>
      </c>
      <c r="O12">
        <f t="shared" si="3"/>
        <v>10</v>
      </c>
    </row>
    <row r="13" spans="1:15" x14ac:dyDescent="0.25">
      <c r="A13" s="431">
        <f t="shared" si="4"/>
        <v>12</v>
      </c>
      <c r="B13" s="434">
        <f t="shared" si="0"/>
        <v>1</v>
      </c>
      <c r="C13" s="437">
        <f>IFERROR(-LBP/2+HLOOKUP(Stn_WL,Tools!$AD$2:$AD$27,QUOTIENT(ROW()-2,Max_WL_count)+2,FALSE)*STN_GAP,"")</f>
        <v>-73.099999999999994</v>
      </c>
      <c r="D13" s="437">
        <f>IFERROR(VLOOKUP(HLOOKUP(Stn_WL,Tools!$AD$2:$AD$27,QUOTIENT(ROW()-2,Max_WL_count)+2,FALSE),Tools!$AD$3:$BC$27,MOD(ROW()-2,Max_WL_count)+2,FALSE),"")</f>
        <v>4.24</v>
      </c>
      <c r="E13" s="435">
        <f>IFERROR(IF(ISNUMBER(D13),HLOOKUP(Tools!$BE$2,Tools!$BE$2:$BE$27,MOD(ROW()-2,Max_WL_count)+2,FALSE)*WLS,""),"")</f>
        <v>13</v>
      </c>
      <c r="I13" s="431">
        <f t="shared" si="5"/>
        <v>12</v>
      </c>
      <c r="J13" s="434">
        <f t="shared" si="1"/>
        <v>1</v>
      </c>
      <c r="K13" s="437">
        <f>IFERROR(-LBP/2+HLOOKUP(Stn_WL,Tools!$AD$2:$AD$27,N13+2,FALSE)*STN_GAP,"")</f>
        <v>-73.099999999999994</v>
      </c>
      <c r="L13" s="437">
        <f>IFERROR(IF(AND(ISNUMBER(K13),O13=0),0,VLOOKUP(HLOOKUP(Stn_WL,Tools!$AD$2:$AD$27,N13+2,FALSE),Tools!$AD$3:$BC$27,O13+1,FALSE)),"")</f>
        <v>3.82</v>
      </c>
      <c r="M13" s="437">
        <f>IFERROR(IF(ISNUMBER(L13),IF(O13=0,IFERROR(HLOOKUP(Tools!$BD$127,Tools!$BD$127:$BD$152,N13+2,FALSE)*1,0),HLOOKUP(Tools!$BE$2,Tools!$BE$2:$BE$27,O13+1,FALSE)*WLS),""),"")</f>
        <v>12</v>
      </c>
      <c r="N13">
        <f t="shared" si="2"/>
        <v>0</v>
      </c>
      <c r="O13">
        <f t="shared" si="3"/>
        <v>11</v>
      </c>
    </row>
    <row r="14" spans="1:15" x14ac:dyDescent="0.25">
      <c r="A14" s="431">
        <f t="shared" si="4"/>
        <v>13</v>
      </c>
      <c r="B14" s="434">
        <f t="shared" si="0"/>
        <v>2</v>
      </c>
      <c r="C14" s="437">
        <f>IFERROR(-LBP/2+HLOOKUP(Stn_WL,Tools!$AD$2:$AD$27,QUOTIENT(ROW()-2,Max_WL_count)+2,FALSE)*STN_GAP,"")</f>
        <v>-69.444999999999993</v>
      </c>
      <c r="D14" s="437">
        <f>IFERROR(VLOOKUP(HLOOKUP(Stn_WL,Tools!$AD$2:$AD$27,QUOTIENT(ROW()-2,Max_WL_count)+2,FALSE),Tools!$AD$3:$BC$27,MOD(ROW()-2,Max_WL_count)+2,FALSE),"")</f>
        <v>0.1</v>
      </c>
      <c r="E14" s="435">
        <f>IFERROR(IF(ISNUMBER(D14),HLOOKUP(Tools!$BE$2,Tools!$BE$2:$BE$27,MOD(ROW()-2,Max_WL_count)+2,FALSE)*WLS,""),"")</f>
        <v>0</v>
      </c>
      <c r="I14" s="431">
        <f t="shared" si="5"/>
        <v>13</v>
      </c>
      <c r="J14" s="434">
        <f t="shared" si="1"/>
        <v>1</v>
      </c>
      <c r="K14" s="437">
        <f>IFERROR(-LBP/2+HLOOKUP(Stn_WL,Tools!$AD$2:$AD$27,N14+2,FALSE)*STN_GAP,"")</f>
        <v>-73.099999999999994</v>
      </c>
      <c r="L14" s="437">
        <f>IFERROR(IF(AND(ISNUMBER(K14),O14=0),0,VLOOKUP(HLOOKUP(Stn_WL,Tools!$AD$2:$AD$27,N14+2,FALSE),Tools!$AD$3:$BC$27,O14+1,FALSE)),"")</f>
        <v>4.24</v>
      </c>
      <c r="M14" s="437">
        <f>IFERROR(IF(ISNUMBER(L14),IF(O14=0,IFERROR(HLOOKUP(Tools!$BD$127,Tools!$BD$127:$BD$152,N14+2,FALSE)*1,0),HLOOKUP(Tools!$BE$2,Tools!$BE$2:$BE$27,O14+1,FALSE)*WLS),""),"")</f>
        <v>13</v>
      </c>
      <c r="N14">
        <f t="shared" si="2"/>
        <v>0</v>
      </c>
      <c r="O14">
        <f t="shared" si="3"/>
        <v>12</v>
      </c>
    </row>
    <row r="15" spans="1:15" x14ac:dyDescent="0.25">
      <c r="A15" s="431">
        <f t="shared" si="4"/>
        <v>14</v>
      </c>
      <c r="B15" s="434">
        <f t="shared" si="0"/>
        <v>2</v>
      </c>
      <c r="C15" s="437">
        <f>IFERROR(-LBP/2+HLOOKUP(Stn_WL,Tools!$AD$2:$AD$27,QUOTIENT(ROW()-2,Max_WL_count)+2,FALSE)*STN_GAP,"")</f>
        <v>-69.444999999999993</v>
      </c>
      <c r="D15" s="437">
        <f>IFERROR(VLOOKUP(HLOOKUP(Stn_WL,Tools!$AD$2:$AD$27,QUOTIENT(ROW()-2,Max_WL_count)+2,FALSE),Tools!$AD$3:$BC$27,MOD(ROW()-2,Max_WL_count)+2,FALSE),"")</f>
        <v>0.2</v>
      </c>
      <c r="E15" s="435">
        <f>IFERROR(IF(ISNUMBER(D15),HLOOKUP(Tools!$BE$2,Tools!$BE$2:$BE$27,MOD(ROW()-2,Max_WL_count)+2,FALSE)*WLS,""),"")</f>
        <v>0.5</v>
      </c>
      <c r="I15" s="431">
        <f t="shared" si="5"/>
        <v>14</v>
      </c>
      <c r="J15" s="434">
        <f t="shared" si="1"/>
        <v>2</v>
      </c>
      <c r="K15" s="437">
        <f>IFERROR(-LBP/2+HLOOKUP(Stn_WL,Tools!$AD$2:$AD$27,N15+2,FALSE)*STN_GAP,"")</f>
        <v>-69.444999999999993</v>
      </c>
      <c r="L15" s="437">
        <f>IFERROR(IF(AND(ISNUMBER(K15),O15=0),0,VLOOKUP(HLOOKUP(Stn_WL,Tools!$AD$2:$AD$27,N15+2,FALSE),Tools!$AD$3:$BC$27,O15+1,FALSE)),"")</f>
        <v>0</v>
      </c>
      <c r="M15" s="437">
        <f>IFERROR(IF(ISNUMBER(L15),IF(O15=0,IFERROR(HLOOKUP(Tools!$BD$127,Tools!$BD$127:$BD$152,N15+2,FALSE)*1,0),HLOOKUP(Tools!$BE$2,Tools!$BE$2:$BE$27,O15+1,FALSE)*WLS),""),"")</f>
        <v>0</v>
      </c>
      <c r="N15">
        <f t="shared" si="2"/>
        <v>1</v>
      </c>
      <c r="O15">
        <f t="shared" si="3"/>
        <v>0</v>
      </c>
    </row>
    <row r="16" spans="1:15" x14ac:dyDescent="0.25">
      <c r="A16" s="431">
        <f t="shared" si="4"/>
        <v>15</v>
      </c>
      <c r="B16" s="434">
        <f t="shared" si="0"/>
        <v>2</v>
      </c>
      <c r="C16" s="437">
        <f>IFERROR(-LBP/2+HLOOKUP(Stn_WL,Tools!$AD$2:$AD$27,QUOTIENT(ROW()-2,Max_WL_count)+2,FALSE)*STN_GAP,"")</f>
        <v>-69.444999999999993</v>
      </c>
      <c r="D16" s="437">
        <f>IFERROR(VLOOKUP(HLOOKUP(Stn_WL,Tools!$AD$2:$AD$27,QUOTIENT(ROW()-2,Max_WL_count)+2,FALSE),Tools!$AD$3:$BC$27,MOD(ROW()-2,Max_WL_count)+2,FALSE),"")</f>
        <v>0.2</v>
      </c>
      <c r="E16" s="435">
        <f>IFERROR(IF(ISNUMBER(D16),HLOOKUP(Tools!$BE$2,Tools!$BE$2:$BE$27,MOD(ROW()-2,Max_WL_count)+2,FALSE)*WLS,""),"")</f>
        <v>1</v>
      </c>
      <c r="I16" s="431">
        <f t="shared" si="5"/>
        <v>15</v>
      </c>
      <c r="J16" s="434">
        <f t="shared" si="1"/>
        <v>2</v>
      </c>
      <c r="K16" s="437">
        <f>IFERROR(-LBP/2+HLOOKUP(Stn_WL,Tools!$AD$2:$AD$27,N16+2,FALSE)*STN_GAP,"")</f>
        <v>-69.444999999999993</v>
      </c>
      <c r="L16" s="437">
        <f>IFERROR(IF(AND(ISNUMBER(K16),O16=0),0,VLOOKUP(HLOOKUP(Stn_WL,Tools!$AD$2:$AD$27,N16+2,FALSE),Tools!$AD$3:$BC$27,O16+1,FALSE)),"")</f>
        <v>0.1</v>
      </c>
      <c r="M16" s="437">
        <f>IFERROR(IF(ISNUMBER(L16),IF(O16=0,IFERROR(HLOOKUP(Tools!$BD$127,Tools!$BD$127:$BD$152,N16+2,FALSE)*1,0),HLOOKUP(Tools!$BE$2,Tools!$BE$2:$BE$27,O16+1,FALSE)*WLS),""),"")</f>
        <v>0</v>
      </c>
      <c r="N16">
        <f t="shared" si="2"/>
        <v>1</v>
      </c>
      <c r="O16">
        <f t="shared" si="3"/>
        <v>1</v>
      </c>
    </row>
    <row r="17" spans="1:15" x14ac:dyDescent="0.25">
      <c r="A17" s="431">
        <f t="shared" si="4"/>
        <v>16</v>
      </c>
      <c r="B17" s="434">
        <f t="shared" si="0"/>
        <v>2</v>
      </c>
      <c r="C17" s="437">
        <f>IFERROR(-LBP/2+HLOOKUP(Stn_WL,Tools!$AD$2:$AD$27,QUOTIENT(ROW()-2,Max_WL_count)+2,FALSE)*STN_GAP,"")</f>
        <v>-69.444999999999993</v>
      </c>
      <c r="D17" s="437">
        <f>IFERROR(VLOOKUP(HLOOKUP(Stn_WL,Tools!$AD$2:$AD$27,QUOTIENT(ROW()-2,Max_WL_count)+2,FALSE),Tools!$AD$3:$BC$27,MOD(ROW()-2,Max_WL_count)+2,FALSE),"")</f>
        <v>0.21</v>
      </c>
      <c r="E17" s="435">
        <f>IFERROR(IF(ISNUMBER(D17),HLOOKUP(Tools!$BE$2,Tools!$BE$2:$BE$27,MOD(ROW()-2,Max_WL_count)+2,FALSE)*WLS,""),"")</f>
        <v>1.5</v>
      </c>
      <c r="I17" s="431">
        <f t="shared" si="5"/>
        <v>16</v>
      </c>
      <c r="J17" s="434">
        <f t="shared" si="1"/>
        <v>2</v>
      </c>
      <c r="K17" s="437">
        <f>IFERROR(-LBP/2+HLOOKUP(Stn_WL,Tools!$AD$2:$AD$27,N17+2,FALSE)*STN_GAP,"")</f>
        <v>-69.444999999999993</v>
      </c>
      <c r="L17" s="437">
        <f>IFERROR(IF(AND(ISNUMBER(K17),O17=0),0,VLOOKUP(HLOOKUP(Stn_WL,Tools!$AD$2:$AD$27,N17+2,FALSE),Tools!$AD$3:$BC$27,O17+1,FALSE)),"")</f>
        <v>0.2</v>
      </c>
      <c r="M17" s="437">
        <f>IFERROR(IF(ISNUMBER(L17),IF(O17=0,IFERROR(HLOOKUP(Tools!$BD$127,Tools!$BD$127:$BD$152,N17+2,FALSE)*1,0),HLOOKUP(Tools!$BE$2,Tools!$BE$2:$BE$27,O17+1,FALSE)*WLS),""),"")</f>
        <v>0.5</v>
      </c>
      <c r="N17">
        <f t="shared" si="2"/>
        <v>1</v>
      </c>
      <c r="O17">
        <f t="shared" si="3"/>
        <v>2</v>
      </c>
    </row>
    <row r="18" spans="1:15" x14ac:dyDescent="0.25">
      <c r="A18" s="431">
        <f t="shared" si="4"/>
        <v>17</v>
      </c>
      <c r="B18" s="434">
        <f t="shared" si="0"/>
        <v>2</v>
      </c>
      <c r="C18" s="437">
        <f>IFERROR(-LBP/2+HLOOKUP(Stn_WL,Tools!$AD$2:$AD$27,QUOTIENT(ROW()-2,Max_WL_count)+2,FALSE)*STN_GAP,"")</f>
        <v>-69.444999999999993</v>
      </c>
      <c r="D18" s="437">
        <f>IFERROR(VLOOKUP(HLOOKUP(Stn_WL,Tools!$AD$2:$AD$27,QUOTIENT(ROW()-2,Max_WL_count)+2,FALSE),Tools!$AD$3:$BC$27,MOD(ROW()-2,Max_WL_count)+2,FALSE),"")</f>
        <v>0.25</v>
      </c>
      <c r="E18" s="435">
        <f>IFERROR(IF(ISNUMBER(D18),HLOOKUP(Tools!$BE$2,Tools!$BE$2:$BE$27,MOD(ROW()-2,Max_WL_count)+2,FALSE)*WLS,""),"")</f>
        <v>2</v>
      </c>
      <c r="I18" s="431">
        <f t="shared" si="5"/>
        <v>17</v>
      </c>
      <c r="J18" s="434">
        <f t="shared" si="1"/>
        <v>2</v>
      </c>
      <c r="K18" s="437">
        <f>IFERROR(-LBP/2+HLOOKUP(Stn_WL,Tools!$AD$2:$AD$27,N18+2,FALSE)*STN_GAP,"")</f>
        <v>-69.444999999999993</v>
      </c>
      <c r="L18" s="437">
        <f>IFERROR(IF(AND(ISNUMBER(K18),O18=0),0,VLOOKUP(HLOOKUP(Stn_WL,Tools!$AD$2:$AD$27,N18+2,FALSE),Tools!$AD$3:$BC$27,O18+1,FALSE)),"")</f>
        <v>0.2</v>
      </c>
      <c r="M18" s="437">
        <f>IFERROR(IF(ISNUMBER(L18),IF(O18=0,IFERROR(HLOOKUP(Tools!$BD$127,Tools!$BD$127:$BD$152,N18+2,FALSE)*1,0),HLOOKUP(Tools!$BE$2,Tools!$BE$2:$BE$27,O18+1,FALSE)*WLS),""),"")</f>
        <v>1</v>
      </c>
      <c r="N18">
        <f t="shared" si="2"/>
        <v>1</v>
      </c>
      <c r="O18">
        <f t="shared" si="3"/>
        <v>3</v>
      </c>
    </row>
    <row r="19" spans="1:15" x14ac:dyDescent="0.25">
      <c r="A19" s="431">
        <f t="shared" si="4"/>
        <v>18</v>
      </c>
      <c r="B19" s="434">
        <f t="shared" si="0"/>
        <v>2</v>
      </c>
      <c r="C19" s="437">
        <f>IFERROR(-LBP/2+HLOOKUP(Stn_WL,Tools!$AD$2:$AD$27,QUOTIENT(ROW()-2,Max_WL_count)+2,FALSE)*STN_GAP,"")</f>
        <v>-69.444999999999993</v>
      </c>
      <c r="D19" s="437">
        <f>IFERROR(VLOOKUP(HLOOKUP(Stn_WL,Tools!$AD$2:$AD$27,QUOTIENT(ROW()-2,Max_WL_count)+2,FALSE),Tools!$AD$3:$BC$27,MOD(ROW()-2,Max_WL_count)+2,FALSE),"")</f>
        <v>0.33</v>
      </c>
      <c r="E19" s="435">
        <f>IFERROR(IF(ISNUMBER(D19),HLOOKUP(Tools!$BE$2,Tools!$BE$2:$BE$27,MOD(ROW()-2,Max_WL_count)+2,FALSE)*WLS,""),"")</f>
        <v>4</v>
      </c>
      <c r="I19" s="431">
        <f t="shared" si="5"/>
        <v>18</v>
      </c>
      <c r="J19" s="434">
        <f t="shared" si="1"/>
        <v>2</v>
      </c>
      <c r="K19" s="437">
        <f>IFERROR(-LBP/2+HLOOKUP(Stn_WL,Tools!$AD$2:$AD$27,N19+2,FALSE)*STN_GAP,"")</f>
        <v>-69.444999999999993</v>
      </c>
      <c r="L19" s="437">
        <f>IFERROR(IF(AND(ISNUMBER(K19),O19=0),0,VLOOKUP(HLOOKUP(Stn_WL,Tools!$AD$2:$AD$27,N19+2,FALSE),Tools!$AD$3:$BC$27,O19+1,FALSE)),"")</f>
        <v>0.21</v>
      </c>
      <c r="M19" s="437">
        <f>IFERROR(IF(ISNUMBER(L19),IF(O19=0,IFERROR(HLOOKUP(Tools!$BD$127,Tools!$BD$127:$BD$152,N19+2,FALSE)*1,0),HLOOKUP(Tools!$BE$2,Tools!$BE$2:$BE$27,O19+1,FALSE)*WLS),""),"")</f>
        <v>1.5</v>
      </c>
      <c r="N19">
        <f t="shared" si="2"/>
        <v>1</v>
      </c>
      <c r="O19">
        <f t="shared" si="3"/>
        <v>4</v>
      </c>
    </row>
    <row r="20" spans="1:15" x14ac:dyDescent="0.25">
      <c r="A20" s="431">
        <f t="shared" si="4"/>
        <v>19</v>
      </c>
      <c r="B20" s="434">
        <f t="shared" si="0"/>
        <v>2</v>
      </c>
      <c r="C20" s="437">
        <f>IFERROR(-LBP/2+HLOOKUP(Stn_WL,Tools!$AD$2:$AD$27,QUOTIENT(ROW()-2,Max_WL_count)+2,FALSE)*STN_GAP,"")</f>
        <v>-69.444999999999993</v>
      </c>
      <c r="D20" s="437">
        <f>IFERROR(VLOOKUP(HLOOKUP(Stn_WL,Tools!$AD$2:$AD$27,QUOTIENT(ROW()-2,Max_WL_count)+2,FALSE),Tools!$AD$3:$BC$27,MOD(ROW()-2,Max_WL_count)+2,FALSE),"")</f>
        <v>0.66</v>
      </c>
      <c r="E20" s="435">
        <f>IFERROR(IF(ISNUMBER(D20),HLOOKUP(Tools!$BE$2,Tools!$BE$2:$BE$27,MOD(ROW()-2,Max_WL_count)+2,FALSE)*WLS,""),"")</f>
        <v>6</v>
      </c>
      <c r="I20" s="431">
        <f t="shared" si="5"/>
        <v>19</v>
      </c>
      <c r="J20" s="434">
        <f t="shared" si="1"/>
        <v>2</v>
      </c>
      <c r="K20" s="437">
        <f>IFERROR(-LBP/2+HLOOKUP(Stn_WL,Tools!$AD$2:$AD$27,N20+2,FALSE)*STN_GAP,"")</f>
        <v>-69.444999999999993</v>
      </c>
      <c r="L20" s="437">
        <f>IFERROR(IF(AND(ISNUMBER(K20),O20=0),0,VLOOKUP(HLOOKUP(Stn_WL,Tools!$AD$2:$AD$27,N20+2,FALSE),Tools!$AD$3:$BC$27,O20+1,FALSE)),"")</f>
        <v>0.25</v>
      </c>
      <c r="M20" s="437">
        <f>IFERROR(IF(ISNUMBER(L20),IF(O20=0,IFERROR(HLOOKUP(Tools!$BD$127,Tools!$BD$127:$BD$152,N20+2,FALSE)*1,0),HLOOKUP(Tools!$BE$2,Tools!$BE$2:$BE$27,O20+1,FALSE)*WLS),""),"")</f>
        <v>2</v>
      </c>
      <c r="N20">
        <f t="shared" si="2"/>
        <v>1</v>
      </c>
      <c r="O20">
        <f t="shared" si="3"/>
        <v>5</v>
      </c>
    </row>
    <row r="21" spans="1:15" x14ac:dyDescent="0.25">
      <c r="A21" s="431">
        <f t="shared" si="4"/>
        <v>20</v>
      </c>
      <c r="B21" s="434">
        <f t="shared" si="0"/>
        <v>2</v>
      </c>
      <c r="C21" s="437">
        <f>IFERROR(-LBP/2+HLOOKUP(Stn_WL,Tools!$AD$2:$AD$27,QUOTIENT(ROW()-2,Max_WL_count)+2,FALSE)*STN_GAP,"")</f>
        <v>-69.444999999999993</v>
      </c>
      <c r="D21" s="437">
        <f>IFERROR(VLOOKUP(HLOOKUP(Stn_WL,Tools!$AD$2:$AD$27,QUOTIENT(ROW()-2,Max_WL_count)+2,FALSE),Tools!$AD$3:$BC$27,MOD(ROW()-2,Max_WL_count)+2,FALSE),"")</f>
        <v>2.4300000000000002</v>
      </c>
      <c r="E21" s="435">
        <f>IFERROR(IF(ISNUMBER(D21),HLOOKUP(Tools!$BE$2,Tools!$BE$2:$BE$27,MOD(ROW()-2,Max_WL_count)+2,FALSE)*WLS,""),"")</f>
        <v>8</v>
      </c>
      <c r="I21" s="431">
        <f t="shared" si="5"/>
        <v>20</v>
      </c>
      <c r="J21" s="434">
        <f t="shared" si="1"/>
        <v>2</v>
      </c>
      <c r="K21" s="437">
        <f>IFERROR(-LBP/2+HLOOKUP(Stn_WL,Tools!$AD$2:$AD$27,N21+2,FALSE)*STN_GAP,"")</f>
        <v>-69.444999999999993</v>
      </c>
      <c r="L21" s="437">
        <f>IFERROR(IF(AND(ISNUMBER(K21),O21=0),0,VLOOKUP(HLOOKUP(Stn_WL,Tools!$AD$2:$AD$27,N21+2,FALSE),Tools!$AD$3:$BC$27,O21+1,FALSE)),"")</f>
        <v>0.33</v>
      </c>
      <c r="M21" s="437">
        <f>IFERROR(IF(ISNUMBER(L21),IF(O21=0,IFERROR(HLOOKUP(Tools!$BD$127,Tools!$BD$127:$BD$152,N21+2,FALSE)*1,0),HLOOKUP(Tools!$BE$2,Tools!$BE$2:$BE$27,O21+1,FALSE)*WLS),""),"")</f>
        <v>4</v>
      </c>
      <c r="N21">
        <f t="shared" si="2"/>
        <v>1</v>
      </c>
      <c r="O21">
        <f t="shared" si="3"/>
        <v>6</v>
      </c>
    </row>
    <row r="22" spans="1:15" x14ac:dyDescent="0.25">
      <c r="A22" s="431">
        <f t="shared" si="4"/>
        <v>21</v>
      </c>
      <c r="B22" s="434">
        <f t="shared" si="0"/>
        <v>2</v>
      </c>
      <c r="C22" s="437">
        <f>IFERROR(-LBP/2+HLOOKUP(Stn_WL,Tools!$AD$2:$AD$27,QUOTIENT(ROW()-2,Max_WL_count)+2,FALSE)*STN_GAP,"")</f>
        <v>-69.444999999999993</v>
      </c>
      <c r="D22" s="437">
        <f>IFERROR(VLOOKUP(HLOOKUP(Stn_WL,Tools!$AD$2:$AD$27,QUOTIENT(ROW()-2,Max_WL_count)+2,FALSE),Tools!$AD$3:$BC$27,MOD(ROW()-2,Max_WL_count)+2,FALSE),"")</f>
        <v>4.18</v>
      </c>
      <c r="E22" s="435">
        <f>IFERROR(IF(ISNUMBER(D22),HLOOKUP(Tools!$BE$2,Tools!$BE$2:$BE$27,MOD(ROW()-2,Max_WL_count)+2,FALSE)*WLS,""),"")</f>
        <v>9.6999999999999993</v>
      </c>
      <c r="I22" s="431">
        <f t="shared" si="5"/>
        <v>21</v>
      </c>
      <c r="J22" s="434">
        <f t="shared" si="1"/>
        <v>2</v>
      </c>
      <c r="K22" s="437">
        <f>IFERROR(-LBP/2+HLOOKUP(Stn_WL,Tools!$AD$2:$AD$27,N22+2,FALSE)*STN_GAP,"")</f>
        <v>-69.444999999999993</v>
      </c>
      <c r="L22" s="437">
        <f>IFERROR(IF(AND(ISNUMBER(K22),O22=0),0,VLOOKUP(HLOOKUP(Stn_WL,Tools!$AD$2:$AD$27,N22+2,FALSE),Tools!$AD$3:$BC$27,O22+1,FALSE)),"")</f>
        <v>0.66</v>
      </c>
      <c r="M22" s="437">
        <f>IFERROR(IF(ISNUMBER(L22),IF(O22=0,IFERROR(HLOOKUP(Tools!$BD$127,Tools!$BD$127:$BD$152,N22+2,FALSE)*1,0),HLOOKUP(Tools!$BE$2,Tools!$BE$2:$BE$27,O22+1,FALSE)*WLS),""),"")</f>
        <v>6</v>
      </c>
      <c r="N22">
        <f t="shared" si="2"/>
        <v>1</v>
      </c>
      <c r="O22">
        <f t="shared" si="3"/>
        <v>7</v>
      </c>
    </row>
    <row r="23" spans="1:15" x14ac:dyDescent="0.25">
      <c r="A23" s="431">
        <f t="shared" si="4"/>
        <v>22</v>
      </c>
      <c r="B23" s="434">
        <f t="shared" si="0"/>
        <v>2</v>
      </c>
      <c r="C23" s="437">
        <f>IFERROR(-LBP/2+HLOOKUP(Stn_WL,Tools!$AD$2:$AD$27,QUOTIENT(ROW()-2,Max_WL_count)+2,FALSE)*STN_GAP,"")</f>
        <v>-69.444999999999993</v>
      </c>
      <c r="D23" s="437">
        <f>IFERROR(VLOOKUP(HLOOKUP(Stn_WL,Tools!$AD$2:$AD$27,QUOTIENT(ROW()-2,Max_WL_count)+2,FALSE),Tools!$AD$3:$BC$27,MOD(ROW()-2,Max_WL_count)+2,FALSE),"")</f>
        <v>4.3899999999999997</v>
      </c>
      <c r="E23" s="435">
        <f>IFERROR(IF(ISNUMBER(D23),HLOOKUP(Tools!$BE$2,Tools!$BE$2:$BE$27,MOD(ROW()-2,Max_WL_count)+2,FALSE)*WLS,""),"")</f>
        <v>10</v>
      </c>
      <c r="I23" s="431">
        <f t="shared" si="5"/>
        <v>22</v>
      </c>
      <c r="J23" s="434">
        <f t="shared" si="1"/>
        <v>2</v>
      </c>
      <c r="K23" s="437">
        <f>IFERROR(-LBP/2+HLOOKUP(Stn_WL,Tools!$AD$2:$AD$27,N23+2,FALSE)*STN_GAP,"")</f>
        <v>-69.444999999999993</v>
      </c>
      <c r="L23" s="437">
        <f>IFERROR(IF(AND(ISNUMBER(K23),O23=0),0,VLOOKUP(HLOOKUP(Stn_WL,Tools!$AD$2:$AD$27,N23+2,FALSE),Tools!$AD$3:$BC$27,O23+1,FALSE)),"")</f>
        <v>2.4300000000000002</v>
      </c>
      <c r="M23" s="437">
        <f>IFERROR(IF(ISNUMBER(L23),IF(O23=0,IFERROR(HLOOKUP(Tools!$BD$127,Tools!$BD$127:$BD$152,N23+2,FALSE)*1,0),HLOOKUP(Tools!$BE$2,Tools!$BE$2:$BE$27,O23+1,FALSE)*WLS),""),"")</f>
        <v>8</v>
      </c>
      <c r="N23">
        <f t="shared" si="2"/>
        <v>1</v>
      </c>
      <c r="O23">
        <f t="shared" si="3"/>
        <v>8</v>
      </c>
    </row>
    <row r="24" spans="1:15" x14ac:dyDescent="0.25">
      <c r="A24" s="431">
        <f t="shared" si="4"/>
        <v>23</v>
      </c>
      <c r="B24" s="434">
        <f t="shared" si="0"/>
        <v>2</v>
      </c>
      <c r="C24" s="437">
        <f>IFERROR(-LBP/2+HLOOKUP(Stn_WL,Tools!$AD$2:$AD$27,QUOTIENT(ROW()-2,Max_WL_count)+2,FALSE)*STN_GAP,"")</f>
        <v>-69.444999999999993</v>
      </c>
      <c r="D24" s="437">
        <f>IFERROR(VLOOKUP(HLOOKUP(Stn_WL,Tools!$AD$2:$AD$27,QUOTIENT(ROW()-2,Max_WL_count)+2,FALSE),Tools!$AD$3:$BC$27,MOD(ROW()-2,Max_WL_count)+2,FALSE),"")</f>
        <v>5.43</v>
      </c>
      <c r="E24" s="435">
        <f>IFERROR(IF(ISNUMBER(D24),HLOOKUP(Tools!$BE$2,Tools!$BE$2:$BE$27,MOD(ROW()-2,Max_WL_count)+2,FALSE)*WLS,""),"")</f>
        <v>12</v>
      </c>
      <c r="I24" s="431">
        <f t="shared" si="5"/>
        <v>23</v>
      </c>
      <c r="J24" s="434">
        <f t="shared" si="1"/>
        <v>2</v>
      </c>
      <c r="K24" s="437">
        <f>IFERROR(-LBP/2+HLOOKUP(Stn_WL,Tools!$AD$2:$AD$27,N24+2,FALSE)*STN_GAP,"")</f>
        <v>-69.444999999999993</v>
      </c>
      <c r="L24" s="437">
        <f>IFERROR(IF(AND(ISNUMBER(K24),O24=0),0,VLOOKUP(HLOOKUP(Stn_WL,Tools!$AD$2:$AD$27,N24+2,FALSE),Tools!$AD$3:$BC$27,O24+1,FALSE)),"")</f>
        <v>4.18</v>
      </c>
      <c r="M24" s="437">
        <f>IFERROR(IF(ISNUMBER(L24),IF(O24=0,IFERROR(HLOOKUP(Tools!$BD$127,Tools!$BD$127:$BD$152,N24+2,FALSE)*1,0),HLOOKUP(Tools!$BE$2,Tools!$BE$2:$BE$27,O24+1,FALSE)*WLS),""),"")</f>
        <v>9.6999999999999993</v>
      </c>
      <c r="N24">
        <f t="shared" si="2"/>
        <v>1</v>
      </c>
      <c r="O24">
        <f t="shared" si="3"/>
        <v>9</v>
      </c>
    </row>
    <row r="25" spans="1:15" x14ac:dyDescent="0.25">
      <c r="A25" s="431">
        <f t="shared" si="4"/>
        <v>24</v>
      </c>
      <c r="B25" s="434">
        <f t="shared" si="0"/>
        <v>2</v>
      </c>
      <c r="C25" s="437">
        <f>IFERROR(-LBP/2+HLOOKUP(Stn_WL,Tools!$AD$2:$AD$27,QUOTIENT(ROW()-2,Max_WL_count)+2,FALSE)*STN_GAP,"")</f>
        <v>-69.444999999999993</v>
      </c>
      <c r="D25" s="437">
        <f>IFERROR(VLOOKUP(HLOOKUP(Stn_WL,Tools!$AD$2:$AD$27,QUOTIENT(ROW()-2,Max_WL_count)+2,FALSE),Tools!$AD$3:$BC$27,MOD(ROW()-2,Max_WL_count)+2,FALSE),"")</f>
        <v>5.85</v>
      </c>
      <c r="E25" s="435">
        <f>IFERROR(IF(ISNUMBER(D25),HLOOKUP(Tools!$BE$2,Tools!$BE$2:$BE$27,MOD(ROW()-2,Max_WL_count)+2,FALSE)*WLS,""),"")</f>
        <v>13</v>
      </c>
      <c r="I25" s="431">
        <f t="shared" si="5"/>
        <v>24</v>
      </c>
      <c r="J25" s="434">
        <f t="shared" si="1"/>
        <v>2</v>
      </c>
      <c r="K25" s="437">
        <f>IFERROR(-LBP/2+HLOOKUP(Stn_WL,Tools!$AD$2:$AD$27,N25+2,FALSE)*STN_GAP,"")</f>
        <v>-69.444999999999993</v>
      </c>
      <c r="L25" s="437">
        <f>IFERROR(IF(AND(ISNUMBER(K25),O25=0),0,VLOOKUP(HLOOKUP(Stn_WL,Tools!$AD$2:$AD$27,N25+2,FALSE),Tools!$AD$3:$BC$27,O25+1,FALSE)),"")</f>
        <v>4.3899999999999997</v>
      </c>
      <c r="M25" s="437">
        <f>IFERROR(IF(ISNUMBER(L25),IF(O25=0,IFERROR(HLOOKUP(Tools!$BD$127,Tools!$BD$127:$BD$152,N25+2,FALSE)*1,0),HLOOKUP(Tools!$BE$2,Tools!$BE$2:$BE$27,O25+1,FALSE)*WLS),""),"")</f>
        <v>10</v>
      </c>
      <c r="N25">
        <f t="shared" si="2"/>
        <v>1</v>
      </c>
      <c r="O25">
        <f t="shared" si="3"/>
        <v>10</v>
      </c>
    </row>
    <row r="26" spans="1:15" x14ac:dyDescent="0.25">
      <c r="A26" s="431">
        <f t="shared" si="4"/>
        <v>25</v>
      </c>
      <c r="B26" s="434">
        <f t="shared" si="0"/>
        <v>3</v>
      </c>
      <c r="C26" s="437">
        <f>IFERROR(-LBP/2+HLOOKUP(Stn_WL,Tools!$AD$2:$AD$27,QUOTIENT(ROW()-2,Max_WL_count)+2,FALSE)*STN_GAP,"")</f>
        <v>-65.789999999999992</v>
      </c>
      <c r="D26" s="437">
        <f>IFERROR(VLOOKUP(HLOOKUP(Stn_WL,Tools!$AD$2:$AD$27,QUOTIENT(ROW()-2,Max_WL_count)+2,FALSE),Tools!$AD$3:$BC$27,MOD(ROW()-2,Max_WL_count)+2,FALSE),"")</f>
        <v>0.3</v>
      </c>
      <c r="E26" s="435">
        <f>IFERROR(IF(ISNUMBER(D26),HLOOKUP(Tools!$BE$2,Tools!$BE$2:$BE$27,MOD(ROW()-2,Max_WL_count)+2,FALSE)*WLS,""),"")</f>
        <v>0</v>
      </c>
      <c r="I26" s="431">
        <f t="shared" si="5"/>
        <v>25</v>
      </c>
      <c r="J26" s="434">
        <f t="shared" si="1"/>
        <v>2</v>
      </c>
      <c r="K26" s="437">
        <f>IFERROR(-LBP/2+HLOOKUP(Stn_WL,Tools!$AD$2:$AD$27,N26+2,FALSE)*STN_GAP,"")</f>
        <v>-69.444999999999993</v>
      </c>
      <c r="L26" s="437">
        <f>IFERROR(IF(AND(ISNUMBER(K26),O26=0),0,VLOOKUP(HLOOKUP(Stn_WL,Tools!$AD$2:$AD$27,N26+2,FALSE),Tools!$AD$3:$BC$27,O26+1,FALSE)),"")</f>
        <v>5.43</v>
      </c>
      <c r="M26" s="437">
        <f>IFERROR(IF(ISNUMBER(L26),IF(O26=0,IFERROR(HLOOKUP(Tools!$BD$127,Tools!$BD$127:$BD$152,N26+2,FALSE)*1,0),HLOOKUP(Tools!$BE$2,Tools!$BE$2:$BE$27,O26+1,FALSE)*WLS),""),"")</f>
        <v>12</v>
      </c>
      <c r="N26">
        <f t="shared" si="2"/>
        <v>1</v>
      </c>
      <c r="O26">
        <f t="shared" si="3"/>
        <v>11</v>
      </c>
    </row>
    <row r="27" spans="1:15" x14ac:dyDescent="0.25">
      <c r="A27" s="431">
        <f t="shared" si="4"/>
        <v>26</v>
      </c>
      <c r="B27" s="434">
        <f t="shared" si="0"/>
        <v>3</v>
      </c>
      <c r="C27" s="437">
        <f>IFERROR(-LBP/2+HLOOKUP(Stn_WL,Tools!$AD$2:$AD$27,QUOTIENT(ROW()-2,Max_WL_count)+2,FALSE)*STN_GAP,"")</f>
        <v>-65.789999999999992</v>
      </c>
      <c r="D27" s="437">
        <f>IFERROR(VLOOKUP(HLOOKUP(Stn_WL,Tools!$AD$2:$AD$27,QUOTIENT(ROW()-2,Max_WL_count)+2,FALSE),Tools!$AD$3:$BC$27,MOD(ROW()-2,Max_WL_count)+2,FALSE),"")</f>
        <v>0.5</v>
      </c>
      <c r="E27" s="435">
        <f>IFERROR(IF(ISNUMBER(D27),HLOOKUP(Tools!$BE$2,Tools!$BE$2:$BE$27,MOD(ROW()-2,Max_WL_count)+2,FALSE)*WLS,""),"")</f>
        <v>0.5</v>
      </c>
      <c r="I27" s="431">
        <f t="shared" si="5"/>
        <v>26</v>
      </c>
      <c r="J27" s="434">
        <f t="shared" si="1"/>
        <v>2</v>
      </c>
      <c r="K27" s="437">
        <f>IFERROR(-LBP/2+HLOOKUP(Stn_WL,Tools!$AD$2:$AD$27,N27+2,FALSE)*STN_GAP,"")</f>
        <v>-69.444999999999993</v>
      </c>
      <c r="L27" s="437">
        <f>IFERROR(IF(AND(ISNUMBER(K27),O27=0),0,VLOOKUP(HLOOKUP(Stn_WL,Tools!$AD$2:$AD$27,N27+2,FALSE),Tools!$AD$3:$BC$27,O27+1,FALSE)),"")</f>
        <v>5.85</v>
      </c>
      <c r="M27" s="437">
        <f>IFERROR(IF(ISNUMBER(L27),IF(O27=0,IFERROR(HLOOKUP(Tools!$BD$127,Tools!$BD$127:$BD$152,N27+2,FALSE)*1,0),HLOOKUP(Tools!$BE$2,Tools!$BE$2:$BE$27,O27+1,FALSE)*WLS),""),"")</f>
        <v>13</v>
      </c>
      <c r="N27">
        <f t="shared" si="2"/>
        <v>1</v>
      </c>
      <c r="O27">
        <f t="shared" si="3"/>
        <v>12</v>
      </c>
    </row>
    <row r="28" spans="1:15" x14ac:dyDescent="0.25">
      <c r="A28" s="431">
        <f t="shared" si="4"/>
        <v>27</v>
      </c>
      <c r="B28" s="434">
        <f t="shared" si="0"/>
        <v>3</v>
      </c>
      <c r="C28" s="437">
        <f>IFERROR(-LBP/2+HLOOKUP(Stn_WL,Tools!$AD$2:$AD$27,QUOTIENT(ROW()-2,Max_WL_count)+2,FALSE)*STN_GAP,"")</f>
        <v>-65.789999999999992</v>
      </c>
      <c r="D28" s="437">
        <f>IFERROR(VLOOKUP(HLOOKUP(Stn_WL,Tools!$AD$2:$AD$27,QUOTIENT(ROW()-2,Max_WL_count)+2,FALSE),Tools!$AD$3:$BC$27,MOD(ROW()-2,Max_WL_count)+2,FALSE),"")</f>
        <v>0.68</v>
      </c>
      <c r="E28" s="435">
        <f>IFERROR(IF(ISNUMBER(D28),HLOOKUP(Tools!$BE$2,Tools!$BE$2:$BE$27,MOD(ROW()-2,Max_WL_count)+2,FALSE)*WLS,""),"")</f>
        <v>1</v>
      </c>
      <c r="I28" s="431">
        <f t="shared" si="5"/>
        <v>27</v>
      </c>
      <c r="J28" s="434">
        <f t="shared" si="1"/>
        <v>3</v>
      </c>
      <c r="K28" s="437">
        <f>IFERROR(-LBP/2+HLOOKUP(Stn_WL,Tools!$AD$2:$AD$27,N28+2,FALSE)*STN_GAP,"")</f>
        <v>-65.789999999999992</v>
      </c>
      <c r="L28" s="437">
        <f>IFERROR(IF(AND(ISNUMBER(K28),O28=0),0,VLOOKUP(HLOOKUP(Stn_WL,Tools!$AD$2:$AD$27,N28+2,FALSE),Tools!$AD$3:$BC$27,O28+1,FALSE)),"")</f>
        <v>0</v>
      </c>
      <c r="M28" s="437">
        <f>IFERROR(IF(ISNUMBER(L28),IF(O28=0,IFERROR(HLOOKUP(Tools!$BD$127,Tools!$BD$127:$BD$152,N28+2,FALSE)*1,0),HLOOKUP(Tools!$BE$2,Tools!$BE$2:$BE$27,O28+1,FALSE)*WLS),""),"")</f>
        <v>0</v>
      </c>
      <c r="N28">
        <f t="shared" si="2"/>
        <v>2</v>
      </c>
      <c r="O28">
        <f t="shared" si="3"/>
        <v>0</v>
      </c>
    </row>
    <row r="29" spans="1:15" x14ac:dyDescent="0.25">
      <c r="A29" s="431">
        <f t="shared" si="4"/>
        <v>28</v>
      </c>
      <c r="B29" s="434">
        <f t="shared" si="0"/>
        <v>3</v>
      </c>
      <c r="C29" s="437">
        <f>IFERROR(-LBP/2+HLOOKUP(Stn_WL,Tools!$AD$2:$AD$27,QUOTIENT(ROW()-2,Max_WL_count)+2,FALSE)*STN_GAP,"")</f>
        <v>-65.789999999999992</v>
      </c>
      <c r="D29" s="437">
        <f>IFERROR(VLOOKUP(HLOOKUP(Stn_WL,Tools!$AD$2:$AD$27,QUOTIENT(ROW()-2,Max_WL_count)+2,FALSE),Tools!$AD$3:$BC$27,MOD(ROW()-2,Max_WL_count)+2,FALSE),"")</f>
        <v>0.83</v>
      </c>
      <c r="E29" s="435">
        <f>IFERROR(IF(ISNUMBER(D29),HLOOKUP(Tools!$BE$2,Tools!$BE$2:$BE$27,MOD(ROW()-2,Max_WL_count)+2,FALSE)*WLS,""),"")</f>
        <v>1.5</v>
      </c>
      <c r="I29" s="431">
        <f t="shared" si="5"/>
        <v>28</v>
      </c>
      <c r="J29" s="434">
        <f t="shared" si="1"/>
        <v>3</v>
      </c>
      <c r="K29" s="437">
        <f>IFERROR(-LBP/2+HLOOKUP(Stn_WL,Tools!$AD$2:$AD$27,N29+2,FALSE)*STN_GAP,"")</f>
        <v>-65.789999999999992</v>
      </c>
      <c r="L29" s="437">
        <f>IFERROR(IF(AND(ISNUMBER(K29),O29=0),0,VLOOKUP(HLOOKUP(Stn_WL,Tools!$AD$2:$AD$27,N29+2,FALSE),Tools!$AD$3:$BC$27,O29+1,FALSE)),"")</f>
        <v>0.3</v>
      </c>
      <c r="M29" s="437">
        <f>IFERROR(IF(ISNUMBER(L29),IF(O29=0,IFERROR(HLOOKUP(Tools!$BD$127,Tools!$BD$127:$BD$152,N29+2,FALSE)*1,0),HLOOKUP(Tools!$BE$2,Tools!$BE$2:$BE$27,O29+1,FALSE)*WLS),""),"")</f>
        <v>0</v>
      </c>
      <c r="N29">
        <f t="shared" si="2"/>
        <v>2</v>
      </c>
      <c r="O29">
        <f t="shared" si="3"/>
        <v>1</v>
      </c>
    </row>
    <row r="30" spans="1:15" x14ac:dyDescent="0.25">
      <c r="A30" s="431">
        <f t="shared" si="4"/>
        <v>29</v>
      </c>
      <c r="B30" s="434">
        <f t="shared" si="0"/>
        <v>3</v>
      </c>
      <c r="C30" s="437">
        <f>IFERROR(-LBP/2+HLOOKUP(Stn_WL,Tools!$AD$2:$AD$27,QUOTIENT(ROW()-2,Max_WL_count)+2,FALSE)*STN_GAP,"")</f>
        <v>-65.789999999999992</v>
      </c>
      <c r="D30" s="437">
        <f>IFERROR(VLOOKUP(HLOOKUP(Stn_WL,Tools!$AD$2:$AD$27,QUOTIENT(ROW()-2,Max_WL_count)+2,FALSE),Tools!$AD$3:$BC$27,MOD(ROW()-2,Max_WL_count)+2,FALSE),"")</f>
        <v>0.98</v>
      </c>
      <c r="E30" s="435">
        <f>IFERROR(IF(ISNUMBER(D30),HLOOKUP(Tools!$BE$2,Tools!$BE$2:$BE$27,MOD(ROW()-2,Max_WL_count)+2,FALSE)*WLS,""),"")</f>
        <v>2</v>
      </c>
      <c r="I30" s="431">
        <f t="shared" si="5"/>
        <v>29</v>
      </c>
      <c r="J30" s="434">
        <f t="shared" si="1"/>
        <v>3</v>
      </c>
      <c r="K30" s="437">
        <f>IFERROR(-LBP/2+HLOOKUP(Stn_WL,Tools!$AD$2:$AD$27,N30+2,FALSE)*STN_GAP,"")</f>
        <v>-65.789999999999992</v>
      </c>
      <c r="L30" s="437">
        <f>IFERROR(IF(AND(ISNUMBER(K30),O30=0),0,VLOOKUP(HLOOKUP(Stn_WL,Tools!$AD$2:$AD$27,N30+2,FALSE),Tools!$AD$3:$BC$27,O30+1,FALSE)),"")</f>
        <v>0.5</v>
      </c>
      <c r="M30" s="437">
        <f>IFERROR(IF(ISNUMBER(L30),IF(O30=0,IFERROR(HLOOKUP(Tools!$BD$127,Tools!$BD$127:$BD$152,N30+2,FALSE)*1,0),HLOOKUP(Tools!$BE$2,Tools!$BE$2:$BE$27,O30+1,FALSE)*WLS),""),"")</f>
        <v>0.5</v>
      </c>
      <c r="N30">
        <f t="shared" si="2"/>
        <v>2</v>
      </c>
      <c r="O30">
        <f t="shared" si="3"/>
        <v>2</v>
      </c>
    </row>
    <row r="31" spans="1:15" x14ac:dyDescent="0.25">
      <c r="A31" s="431">
        <f t="shared" si="4"/>
        <v>30</v>
      </c>
      <c r="B31" s="434">
        <f t="shared" si="0"/>
        <v>3</v>
      </c>
      <c r="C31" s="437">
        <f>IFERROR(-LBP/2+HLOOKUP(Stn_WL,Tools!$AD$2:$AD$27,QUOTIENT(ROW()-2,Max_WL_count)+2,FALSE)*STN_GAP,"")</f>
        <v>-65.789999999999992</v>
      </c>
      <c r="D31" s="437">
        <f>IFERROR(VLOOKUP(HLOOKUP(Stn_WL,Tools!$AD$2:$AD$27,QUOTIENT(ROW()-2,Max_WL_count)+2,FALSE),Tools!$AD$3:$BC$27,MOD(ROW()-2,Max_WL_count)+2,FALSE),"")</f>
        <v>1.44</v>
      </c>
      <c r="E31" s="435">
        <f>IFERROR(IF(ISNUMBER(D31),HLOOKUP(Tools!$BE$2,Tools!$BE$2:$BE$27,MOD(ROW()-2,Max_WL_count)+2,FALSE)*WLS,""),"")</f>
        <v>4</v>
      </c>
      <c r="I31" s="431">
        <f t="shared" si="5"/>
        <v>30</v>
      </c>
      <c r="J31" s="434">
        <f t="shared" si="1"/>
        <v>3</v>
      </c>
      <c r="K31" s="437">
        <f>IFERROR(-LBP/2+HLOOKUP(Stn_WL,Tools!$AD$2:$AD$27,N31+2,FALSE)*STN_GAP,"")</f>
        <v>-65.789999999999992</v>
      </c>
      <c r="L31" s="437">
        <f>IFERROR(IF(AND(ISNUMBER(K31),O31=0),0,VLOOKUP(HLOOKUP(Stn_WL,Tools!$AD$2:$AD$27,N31+2,FALSE),Tools!$AD$3:$BC$27,O31+1,FALSE)),"")</f>
        <v>0.68</v>
      </c>
      <c r="M31" s="437">
        <f>IFERROR(IF(ISNUMBER(L31),IF(O31=0,IFERROR(HLOOKUP(Tools!$BD$127,Tools!$BD$127:$BD$152,N31+2,FALSE)*1,0),HLOOKUP(Tools!$BE$2,Tools!$BE$2:$BE$27,O31+1,FALSE)*WLS),""),"")</f>
        <v>1</v>
      </c>
      <c r="N31">
        <f t="shared" si="2"/>
        <v>2</v>
      </c>
      <c r="O31">
        <f t="shared" si="3"/>
        <v>3</v>
      </c>
    </row>
    <row r="32" spans="1:15" x14ac:dyDescent="0.25">
      <c r="A32" s="431">
        <f t="shared" si="4"/>
        <v>31</v>
      </c>
      <c r="B32" s="434">
        <f t="shared" si="0"/>
        <v>3</v>
      </c>
      <c r="C32" s="437">
        <f>IFERROR(-LBP/2+HLOOKUP(Stn_WL,Tools!$AD$2:$AD$27,QUOTIENT(ROW()-2,Max_WL_count)+2,FALSE)*STN_GAP,"")</f>
        <v>-65.789999999999992</v>
      </c>
      <c r="D32" s="437">
        <f>IFERROR(VLOOKUP(HLOOKUP(Stn_WL,Tools!$AD$2:$AD$27,QUOTIENT(ROW()-2,Max_WL_count)+2,FALSE),Tools!$AD$3:$BC$27,MOD(ROW()-2,Max_WL_count)+2,FALSE),"")</f>
        <v>2.27</v>
      </c>
      <c r="E32" s="435">
        <f>IFERROR(IF(ISNUMBER(D32),HLOOKUP(Tools!$BE$2,Tools!$BE$2:$BE$27,MOD(ROW()-2,Max_WL_count)+2,FALSE)*WLS,""),"")</f>
        <v>6</v>
      </c>
      <c r="I32" s="431">
        <f t="shared" si="5"/>
        <v>31</v>
      </c>
      <c r="J32" s="434">
        <f t="shared" si="1"/>
        <v>3</v>
      </c>
      <c r="K32" s="437">
        <f>IFERROR(-LBP/2+HLOOKUP(Stn_WL,Tools!$AD$2:$AD$27,N32+2,FALSE)*STN_GAP,"")</f>
        <v>-65.789999999999992</v>
      </c>
      <c r="L32" s="437">
        <f>IFERROR(IF(AND(ISNUMBER(K32),O32=0),0,VLOOKUP(HLOOKUP(Stn_WL,Tools!$AD$2:$AD$27,N32+2,FALSE),Tools!$AD$3:$BC$27,O32+1,FALSE)),"")</f>
        <v>0.83</v>
      </c>
      <c r="M32" s="437">
        <f>IFERROR(IF(ISNUMBER(L32),IF(O32=0,IFERROR(HLOOKUP(Tools!$BD$127,Tools!$BD$127:$BD$152,N32+2,FALSE)*1,0),HLOOKUP(Tools!$BE$2,Tools!$BE$2:$BE$27,O32+1,FALSE)*WLS),""),"")</f>
        <v>1.5</v>
      </c>
      <c r="N32">
        <f t="shared" si="2"/>
        <v>2</v>
      </c>
      <c r="O32">
        <f t="shared" si="3"/>
        <v>4</v>
      </c>
    </row>
    <row r="33" spans="1:15" x14ac:dyDescent="0.25">
      <c r="A33" s="431">
        <f t="shared" si="4"/>
        <v>32</v>
      </c>
      <c r="B33" s="434">
        <f t="shared" si="0"/>
        <v>3</v>
      </c>
      <c r="C33" s="437">
        <f>IFERROR(-LBP/2+HLOOKUP(Stn_WL,Tools!$AD$2:$AD$27,QUOTIENT(ROW()-2,Max_WL_count)+2,FALSE)*STN_GAP,"")</f>
        <v>-65.789999999999992</v>
      </c>
      <c r="D33" s="437">
        <f>IFERROR(VLOOKUP(HLOOKUP(Stn_WL,Tools!$AD$2:$AD$27,QUOTIENT(ROW()-2,Max_WL_count)+2,FALSE),Tools!$AD$3:$BC$27,MOD(ROW()-2,Max_WL_count)+2,FALSE),"")</f>
        <v>4.01</v>
      </c>
      <c r="E33" s="435">
        <f>IFERROR(IF(ISNUMBER(D33),HLOOKUP(Tools!$BE$2,Tools!$BE$2:$BE$27,MOD(ROW()-2,Max_WL_count)+2,FALSE)*WLS,""),"")</f>
        <v>8</v>
      </c>
      <c r="I33" s="431">
        <f t="shared" si="5"/>
        <v>32</v>
      </c>
      <c r="J33" s="434">
        <f t="shared" si="1"/>
        <v>3</v>
      </c>
      <c r="K33" s="437">
        <f>IFERROR(-LBP/2+HLOOKUP(Stn_WL,Tools!$AD$2:$AD$27,N33+2,FALSE)*STN_GAP,"")</f>
        <v>-65.789999999999992</v>
      </c>
      <c r="L33" s="437">
        <f>IFERROR(IF(AND(ISNUMBER(K33),O33=0),0,VLOOKUP(HLOOKUP(Stn_WL,Tools!$AD$2:$AD$27,N33+2,FALSE),Tools!$AD$3:$BC$27,O33+1,FALSE)),"")</f>
        <v>0.98</v>
      </c>
      <c r="M33" s="437">
        <f>IFERROR(IF(ISNUMBER(L33),IF(O33=0,IFERROR(HLOOKUP(Tools!$BD$127,Tools!$BD$127:$BD$152,N33+2,FALSE)*1,0),HLOOKUP(Tools!$BE$2,Tools!$BE$2:$BE$27,O33+1,FALSE)*WLS),""),"")</f>
        <v>2</v>
      </c>
      <c r="N33">
        <f t="shared" si="2"/>
        <v>2</v>
      </c>
      <c r="O33">
        <f t="shared" si="3"/>
        <v>5</v>
      </c>
    </row>
    <row r="34" spans="1:15" x14ac:dyDescent="0.25">
      <c r="A34" s="431">
        <f t="shared" si="4"/>
        <v>33</v>
      </c>
      <c r="B34" s="434">
        <f t="shared" si="0"/>
        <v>3</v>
      </c>
      <c r="C34" s="437">
        <f>IFERROR(-LBP/2+HLOOKUP(Stn_WL,Tools!$AD$2:$AD$27,QUOTIENT(ROW()-2,Max_WL_count)+2,FALSE)*STN_GAP,"")</f>
        <v>-65.789999999999992</v>
      </c>
      <c r="D34" s="437">
        <f>IFERROR(VLOOKUP(HLOOKUP(Stn_WL,Tools!$AD$2:$AD$27,QUOTIENT(ROW()-2,Max_WL_count)+2,FALSE),Tools!$AD$3:$BC$27,MOD(ROW()-2,Max_WL_count)+2,FALSE),"")</f>
        <v>5.57</v>
      </c>
      <c r="E34" s="435">
        <f>IFERROR(IF(ISNUMBER(D34),HLOOKUP(Tools!$BE$2,Tools!$BE$2:$BE$27,MOD(ROW()-2,Max_WL_count)+2,FALSE)*WLS,""),"")</f>
        <v>9.6999999999999993</v>
      </c>
      <c r="I34" s="431">
        <f t="shared" si="5"/>
        <v>33</v>
      </c>
      <c r="J34" s="434">
        <f t="shared" si="1"/>
        <v>3</v>
      </c>
      <c r="K34" s="437">
        <f>IFERROR(-LBP/2+HLOOKUP(Stn_WL,Tools!$AD$2:$AD$27,N34+2,FALSE)*STN_GAP,"")</f>
        <v>-65.789999999999992</v>
      </c>
      <c r="L34" s="437">
        <f>IFERROR(IF(AND(ISNUMBER(K34),O34=0),0,VLOOKUP(HLOOKUP(Stn_WL,Tools!$AD$2:$AD$27,N34+2,FALSE),Tools!$AD$3:$BC$27,O34+1,FALSE)),"")</f>
        <v>1.44</v>
      </c>
      <c r="M34" s="437">
        <f>IFERROR(IF(ISNUMBER(L34),IF(O34=0,IFERROR(HLOOKUP(Tools!$BD$127,Tools!$BD$127:$BD$152,N34+2,FALSE)*1,0),HLOOKUP(Tools!$BE$2,Tools!$BE$2:$BE$27,O34+1,FALSE)*WLS),""),"")</f>
        <v>4</v>
      </c>
      <c r="N34">
        <f t="shared" si="2"/>
        <v>2</v>
      </c>
      <c r="O34">
        <f t="shared" si="3"/>
        <v>6</v>
      </c>
    </row>
    <row r="35" spans="1:15" x14ac:dyDescent="0.25">
      <c r="A35" s="431">
        <f t="shared" si="4"/>
        <v>34</v>
      </c>
      <c r="B35" s="434">
        <f t="shared" si="0"/>
        <v>3</v>
      </c>
      <c r="C35" s="437">
        <f>IFERROR(-LBP/2+HLOOKUP(Stn_WL,Tools!$AD$2:$AD$27,QUOTIENT(ROW()-2,Max_WL_count)+2,FALSE)*STN_GAP,"")</f>
        <v>-65.789999999999992</v>
      </c>
      <c r="D35" s="437">
        <f>IFERROR(VLOOKUP(HLOOKUP(Stn_WL,Tools!$AD$2:$AD$27,QUOTIENT(ROW()-2,Max_WL_count)+2,FALSE),Tools!$AD$3:$BC$27,MOD(ROW()-2,Max_WL_count)+2,FALSE),"")</f>
        <v>5.78</v>
      </c>
      <c r="E35" s="435">
        <f>IFERROR(IF(ISNUMBER(D35),HLOOKUP(Tools!$BE$2,Tools!$BE$2:$BE$27,MOD(ROW()-2,Max_WL_count)+2,FALSE)*WLS,""),"")</f>
        <v>10</v>
      </c>
      <c r="I35" s="431">
        <f t="shared" si="5"/>
        <v>34</v>
      </c>
      <c r="J35" s="434">
        <f t="shared" si="1"/>
        <v>3</v>
      </c>
      <c r="K35" s="437">
        <f>IFERROR(-LBP/2+HLOOKUP(Stn_WL,Tools!$AD$2:$AD$27,N35+2,FALSE)*STN_GAP,"")</f>
        <v>-65.789999999999992</v>
      </c>
      <c r="L35" s="437">
        <f>IFERROR(IF(AND(ISNUMBER(K35),O35=0),0,VLOOKUP(HLOOKUP(Stn_WL,Tools!$AD$2:$AD$27,N35+2,FALSE),Tools!$AD$3:$BC$27,O35+1,FALSE)),"")</f>
        <v>2.27</v>
      </c>
      <c r="M35" s="437">
        <f>IFERROR(IF(ISNUMBER(L35),IF(O35=0,IFERROR(HLOOKUP(Tools!$BD$127,Tools!$BD$127:$BD$152,N35+2,FALSE)*1,0),HLOOKUP(Tools!$BE$2,Tools!$BE$2:$BE$27,O35+1,FALSE)*WLS),""),"")</f>
        <v>6</v>
      </c>
      <c r="N35">
        <f t="shared" si="2"/>
        <v>2</v>
      </c>
      <c r="O35">
        <f t="shared" si="3"/>
        <v>7</v>
      </c>
    </row>
    <row r="36" spans="1:15" x14ac:dyDescent="0.25">
      <c r="A36" s="431">
        <f t="shared" si="4"/>
        <v>35</v>
      </c>
      <c r="B36" s="434">
        <f t="shared" si="0"/>
        <v>3</v>
      </c>
      <c r="C36" s="437">
        <f>IFERROR(-LBP/2+HLOOKUP(Stn_WL,Tools!$AD$2:$AD$27,QUOTIENT(ROW()-2,Max_WL_count)+2,FALSE)*STN_GAP,"")</f>
        <v>-65.789999999999992</v>
      </c>
      <c r="D36" s="437">
        <f>IFERROR(VLOOKUP(HLOOKUP(Stn_WL,Tools!$AD$2:$AD$27,QUOTIENT(ROW()-2,Max_WL_count)+2,FALSE),Tools!$AD$3:$BC$27,MOD(ROW()-2,Max_WL_count)+2,FALSE),"")</f>
        <v>6.8</v>
      </c>
      <c r="E36" s="435">
        <f>IFERROR(IF(ISNUMBER(D36),HLOOKUP(Tools!$BE$2,Tools!$BE$2:$BE$27,MOD(ROW()-2,Max_WL_count)+2,FALSE)*WLS,""),"")</f>
        <v>12</v>
      </c>
      <c r="I36" s="431">
        <f t="shared" si="5"/>
        <v>35</v>
      </c>
      <c r="J36" s="434">
        <f t="shared" si="1"/>
        <v>3</v>
      </c>
      <c r="K36" s="437">
        <f>IFERROR(-LBP/2+HLOOKUP(Stn_WL,Tools!$AD$2:$AD$27,N36+2,FALSE)*STN_GAP,"")</f>
        <v>-65.789999999999992</v>
      </c>
      <c r="L36" s="437">
        <f>IFERROR(IF(AND(ISNUMBER(K36),O36=0),0,VLOOKUP(HLOOKUP(Stn_WL,Tools!$AD$2:$AD$27,N36+2,FALSE),Tools!$AD$3:$BC$27,O36+1,FALSE)),"")</f>
        <v>4.01</v>
      </c>
      <c r="M36" s="437">
        <f>IFERROR(IF(ISNUMBER(L36),IF(O36=0,IFERROR(HLOOKUP(Tools!$BD$127,Tools!$BD$127:$BD$152,N36+2,FALSE)*1,0),HLOOKUP(Tools!$BE$2,Tools!$BE$2:$BE$27,O36+1,FALSE)*WLS),""),"")</f>
        <v>8</v>
      </c>
      <c r="N36">
        <f t="shared" si="2"/>
        <v>2</v>
      </c>
      <c r="O36">
        <f t="shared" si="3"/>
        <v>8</v>
      </c>
    </row>
    <row r="37" spans="1:15" x14ac:dyDescent="0.25">
      <c r="A37" s="431">
        <f t="shared" si="4"/>
        <v>36</v>
      </c>
      <c r="B37" s="434">
        <f t="shared" si="0"/>
        <v>3</v>
      </c>
      <c r="C37" s="437">
        <f>IFERROR(-LBP/2+HLOOKUP(Stn_WL,Tools!$AD$2:$AD$27,QUOTIENT(ROW()-2,Max_WL_count)+2,FALSE)*STN_GAP,"")</f>
        <v>-65.789999999999992</v>
      </c>
      <c r="D37" s="437">
        <f>IFERROR(VLOOKUP(HLOOKUP(Stn_WL,Tools!$AD$2:$AD$27,QUOTIENT(ROW()-2,Max_WL_count)+2,FALSE),Tools!$AD$3:$BC$27,MOD(ROW()-2,Max_WL_count)+2,FALSE),"")</f>
        <v>7.27</v>
      </c>
      <c r="E37" s="435">
        <f>IFERROR(IF(ISNUMBER(D37),HLOOKUP(Tools!$BE$2,Tools!$BE$2:$BE$27,MOD(ROW()-2,Max_WL_count)+2,FALSE)*WLS,""),"")</f>
        <v>13</v>
      </c>
      <c r="I37" s="431">
        <f t="shared" si="5"/>
        <v>36</v>
      </c>
      <c r="J37" s="434">
        <f t="shared" si="1"/>
        <v>3</v>
      </c>
      <c r="K37" s="437">
        <f>IFERROR(-LBP/2+HLOOKUP(Stn_WL,Tools!$AD$2:$AD$27,N37+2,FALSE)*STN_GAP,"")</f>
        <v>-65.789999999999992</v>
      </c>
      <c r="L37" s="437">
        <f>IFERROR(IF(AND(ISNUMBER(K37),O37=0),0,VLOOKUP(HLOOKUP(Stn_WL,Tools!$AD$2:$AD$27,N37+2,FALSE),Tools!$AD$3:$BC$27,O37+1,FALSE)),"")</f>
        <v>5.57</v>
      </c>
      <c r="M37" s="437">
        <f>IFERROR(IF(ISNUMBER(L37),IF(O37=0,IFERROR(HLOOKUP(Tools!$BD$127,Tools!$BD$127:$BD$152,N37+2,FALSE)*1,0),HLOOKUP(Tools!$BE$2,Tools!$BE$2:$BE$27,O37+1,FALSE)*WLS),""),"")</f>
        <v>9.6999999999999993</v>
      </c>
      <c r="N37">
        <f t="shared" si="2"/>
        <v>2</v>
      </c>
      <c r="O37">
        <f t="shared" si="3"/>
        <v>9</v>
      </c>
    </row>
    <row r="38" spans="1:15" x14ac:dyDescent="0.25">
      <c r="A38" s="431">
        <f t="shared" si="4"/>
        <v>37</v>
      </c>
      <c r="B38" s="434">
        <f t="shared" si="0"/>
        <v>4</v>
      </c>
      <c r="C38" s="437">
        <f>IFERROR(-LBP/2+HLOOKUP(Stn_WL,Tools!$AD$2:$AD$27,QUOTIENT(ROW()-2,Max_WL_count)+2,FALSE)*STN_GAP,"")</f>
        <v>-62.134999999999991</v>
      </c>
      <c r="D38" s="437">
        <f>IFERROR(VLOOKUP(HLOOKUP(Stn_WL,Tools!$AD$2:$AD$27,QUOTIENT(ROW()-2,Max_WL_count)+2,FALSE),Tools!$AD$3:$BC$27,MOD(ROW()-2,Max_WL_count)+2,FALSE),"")</f>
        <v>0.5</v>
      </c>
      <c r="E38" s="435">
        <f>IFERROR(IF(ISNUMBER(D38),HLOOKUP(Tools!$BE$2,Tools!$BE$2:$BE$27,MOD(ROW()-2,Max_WL_count)+2,FALSE)*WLS,""),"")</f>
        <v>0</v>
      </c>
      <c r="I38" s="431">
        <f t="shared" si="5"/>
        <v>37</v>
      </c>
      <c r="J38" s="434">
        <f t="shared" si="1"/>
        <v>3</v>
      </c>
      <c r="K38" s="437">
        <f>IFERROR(-LBP/2+HLOOKUP(Stn_WL,Tools!$AD$2:$AD$27,N38+2,FALSE)*STN_GAP,"")</f>
        <v>-65.789999999999992</v>
      </c>
      <c r="L38" s="437">
        <f>IFERROR(IF(AND(ISNUMBER(K38),O38=0),0,VLOOKUP(HLOOKUP(Stn_WL,Tools!$AD$2:$AD$27,N38+2,FALSE),Tools!$AD$3:$BC$27,O38+1,FALSE)),"")</f>
        <v>5.78</v>
      </c>
      <c r="M38" s="437">
        <f>IFERROR(IF(ISNUMBER(L38),IF(O38=0,IFERROR(HLOOKUP(Tools!$BD$127,Tools!$BD$127:$BD$152,N38+2,FALSE)*1,0),HLOOKUP(Tools!$BE$2,Tools!$BE$2:$BE$27,O38+1,FALSE)*WLS),""),"")</f>
        <v>10</v>
      </c>
      <c r="N38">
        <f t="shared" si="2"/>
        <v>2</v>
      </c>
      <c r="O38">
        <f t="shared" si="3"/>
        <v>10</v>
      </c>
    </row>
    <row r="39" spans="1:15" x14ac:dyDescent="0.25">
      <c r="A39" s="431">
        <f t="shared" si="4"/>
        <v>38</v>
      </c>
      <c r="B39" s="434">
        <f t="shared" si="0"/>
        <v>4</v>
      </c>
      <c r="C39" s="437">
        <f>IFERROR(-LBP/2+HLOOKUP(Stn_WL,Tools!$AD$2:$AD$27,QUOTIENT(ROW()-2,Max_WL_count)+2,FALSE)*STN_GAP,"")</f>
        <v>-62.134999999999991</v>
      </c>
      <c r="D39" s="437">
        <f>IFERROR(VLOOKUP(HLOOKUP(Stn_WL,Tools!$AD$2:$AD$27,QUOTIENT(ROW()-2,Max_WL_count)+2,FALSE),Tools!$AD$3:$BC$27,MOD(ROW()-2,Max_WL_count)+2,FALSE),"")</f>
        <v>0.99</v>
      </c>
      <c r="E39" s="435">
        <f>IFERROR(IF(ISNUMBER(D39),HLOOKUP(Tools!$BE$2,Tools!$BE$2:$BE$27,MOD(ROW()-2,Max_WL_count)+2,FALSE)*WLS,""),"")</f>
        <v>0.5</v>
      </c>
      <c r="I39" s="431">
        <f t="shared" si="5"/>
        <v>38</v>
      </c>
      <c r="J39" s="434">
        <f t="shared" si="1"/>
        <v>3</v>
      </c>
      <c r="K39" s="437">
        <f>IFERROR(-LBP/2+HLOOKUP(Stn_WL,Tools!$AD$2:$AD$27,N39+2,FALSE)*STN_GAP,"")</f>
        <v>-65.789999999999992</v>
      </c>
      <c r="L39" s="437">
        <f>IFERROR(IF(AND(ISNUMBER(K39),O39=0),0,VLOOKUP(HLOOKUP(Stn_WL,Tools!$AD$2:$AD$27,N39+2,FALSE),Tools!$AD$3:$BC$27,O39+1,FALSE)),"")</f>
        <v>6.8</v>
      </c>
      <c r="M39" s="437">
        <f>IFERROR(IF(ISNUMBER(L39),IF(O39=0,IFERROR(HLOOKUP(Tools!$BD$127,Tools!$BD$127:$BD$152,N39+2,FALSE)*1,0),HLOOKUP(Tools!$BE$2,Tools!$BE$2:$BE$27,O39+1,FALSE)*WLS),""),"")</f>
        <v>12</v>
      </c>
      <c r="N39">
        <f t="shared" si="2"/>
        <v>2</v>
      </c>
      <c r="O39">
        <f t="shared" si="3"/>
        <v>11</v>
      </c>
    </row>
    <row r="40" spans="1:15" x14ac:dyDescent="0.25">
      <c r="A40" s="431">
        <f t="shared" si="4"/>
        <v>39</v>
      </c>
      <c r="B40" s="434">
        <f t="shared" si="0"/>
        <v>4</v>
      </c>
      <c r="C40" s="437">
        <f>IFERROR(-LBP/2+HLOOKUP(Stn_WL,Tools!$AD$2:$AD$27,QUOTIENT(ROW()-2,Max_WL_count)+2,FALSE)*STN_GAP,"")</f>
        <v>-62.134999999999991</v>
      </c>
      <c r="D40" s="437">
        <f>IFERROR(VLOOKUP(HLOOKUP(Stn_WL,Tools!$AD$2:$AD$27,QUOTIENT(ROW()-2,Max_WL_count)+2,FALSE),Tools!$AD$3:$BC$27,MOD(ROW()-2,Max_WL_count)+2,FALSE),"")</f>
        <v>1.35</v>
      </c>
      <c r="E40" s="435">
        <f>IFERROR(IF(ISNUMBER(D40),HLOOKUP(Tools!$BE$2,Tools!$BE$2:$BE$27,MOD(ROW()-2,Max_WL_count)+2,FALSE)*WLS,""),"")</f>
        <v>1</v>
      </c>
      <c r="I40" s="431">
        <f t="shared" si="5"/>
        <v>39</v>
      </c>
      <c r="J40" s="434">
        <f t="shared" si="1"/>
        <v>3</v>
      </c>
      <c r="K40" s="437">
        <f>IFERROR(-LBP/2+HLOOKUP(Stn_WL,Tools!$AD$2:$AD$27,N40+2,FALSE)*STN_GAP,"")</f>
        <v>-65.789999999999992</v>
      </c>
      <c r="L40" s="437">
        <f>IFERROR(IF(AND(ISNUMBER(K40),O40=0),0,VLOOKUP(HLOOKUP(Stn_WL,Tools!$AD$2:$AD$27,N40+2,FALSE),Tools!$AD$3:$BC$27,O40+1,FALSE)),"")</f>
        <v>7.27</v>
      </c>
      <c r="M40" s="437">
        <f>IFERROR(IF(ISNUMBER(L40),IF(O40=0,IFERROR(HLOOKUP(Tools!$BD$127,Tools!$BD$127:$BD$152,N40+2,FALSE)*1,0),HLOOKUP(Tools!$BE$2,Tools!$BE$2:$BE$27,O40+1,FALSE)*WLS),""),"")</f>
        <v>13</v>
      </c>
      <c r="N40">
        <f t="shared" si="2"/>
        <v>2</v>
      </c>
      <c r="O40">
        <f t="shared" si="3"/>
        <v>12</v>
      </c>
    </row>
    <row r="41" spans="1:15" x14ac:dyDescent="0.25">
      <c r="A41" s="431">
        <f t="shared" si="4"/>
        <v>40</v>
      </c>
      <c r="B41" s="434">
        <f t="shared" si="0"/>
        <v>4</v>
      </c>
      <c r="C41" s="437">
        <f>IFERROR(-LBP/2+HLOOKUP(Stn_WL,Tools!$AD$2:$AD$27,QUOTIENT(ROW()-2,Max_WL_count)+2,FALSE)*STN_GAP,"")</f>
        <v>-62.134999999999991</v>
      </c>
      <c r="D41" s="437">
        <f>IFERROR(VLOOKUP(HLOOKUP(Stn_WL,Tools!$AD$2:$AD$27,QUOTIENT(ROW()-2,Max_WL_count)+2,FALSE),Tools!$AD$3:$BC$27,MOD(ROW()-2,Max_WL_count)+2,FALSE),"")</f>
        <v>1.65</v>
      </c>
      <c r="E41" s="435">
        <f>IFERROR(IF(ISNUMBER(D41),HLOOKUP(Tools!$BE$2,Tools!$BE$2:$BE$27,MOD(ROW()-2,Max_WL_count)+2,FALSE)*WLS,""),"")</f>
        <v>1.5</v>
      </c>
      <c r="I41" s="431">
        <f t="shared" si="5"/>
        <v>40</v>
      </c>
      <c r="J41" s="434">
        <f t="shared" si="1"/>
        <v>4</v>
      </c>
      <c r="K41" s="437">
        <f>IFERROR(-LBP/2+HLOOKUP(Stn_WL,Tools!$AD$2:$AD$27,N41+2,FALSE)*STN_GAP,"")</f>
        <v>-62.134999999999991</v>
      </c>
      <c r="L41" s="437">
        <f>IFERROR(IF(AND(ISNUMBER(K41),O41=0),0,VLOOKUP(HLOOKUP(Stn_WL,Tools!$AD$2:$AD$27,N41+2,FALSE),Tools!$AD$3:$BC$27,O41+1,FALSE)),"")</f>
        <v>0</v>
      </c>
      <c r="M41" s="437">
        <f>IFERROR(IF(ISNUMBER(L41),IF(O41=0,IFERROR(HLOOKUP(Tools!$BD$127,Tools!$BD$127:$BD$152,N41+2,FALSE)*1,0),HLOOKUP(Tools!$BE$2,Tools!$BE$2:$BE$27,O41+1,FALSE)*WLS),""),"")</f>
        <v>0</v>
      </c>
      <c r="N41">
        <f t="shared" si="2"/>
        <v>3</v>
      </c>
      <c r="O41">
        <f t="shared" si="3"/>
        <v>0</v>
      </c>
    </row>
    <row r="42" spans="1:15" x14ac:dyDescent="0.25">
      <c r="A42" s="431">
        <f t="shared" si="4"/>
        <v>41</v>
      </c>
      <c r="B42" s="434">
        <f t="shared" si="0"/>
        <v>4</v>
      </c>
      <c r="C42" s="437">
        <f>IFERROR(-LBP/2+HLOOKUP(Stn_WL,Tools!$AD$2:$AD$27,QUOTIENT(ROW()-2,Max_WL_count)+2,FALSE)*STN_GAP,"")</f>
        <v>-62.134999999999991</v>
      </c>
      <c r="D42" s="437">
        <f>IFERROR(VLOOKUP(HLOOKUP(Stn_WL,Tools!$AD$2:$AD$27,QUOTIENT(ROW()-2,Max_WL_count)+2,FALSE),Tools!$AD$3:$BC$27,MOD(ROW()-2,Max_WL_count)+2,FALSE),"")</f>
        <v>1.89</v>
      </c>
      <c r="E42" s="435">
        <f>IFERROR(IF(ISNUMBER(D42),HLOOKUP(Tools!$BE$2,Tools!$BE$2:$BE$27,MOD(ROW()-2,Max_WL_count)+2,FALSE)*WLS,""),"")</f>
        <v>2</v>
      </c>
      <c r="I42" s="431">
        <f t="shared" si="5"/>
        <v>41</v>
      </c>
      <c r="J42" s="434">
        <f t="shared" si="1"/>
        <v>4</v>
      </c>
      <c r="K42" s="437">
        <f>IFERROR(-LBP/2+HLOOKUP(Stn_WL,Tools!$AD$2:$AD$27,N42+2,FALSE)*STN_GAP,"")</f>
        <v>-62.134999999999991</v>
      </c>
      <c r="L42" s="437">
        <f>IFERROR(IF(AND(ISNUMBER(K42),O42=0),0,VLOOKUP(HLOOKUP(Stn_WL,Tools!$AD$2:$AD$27,N42+2,FALSE),Tools!$AD$3:$BC$27,O42+1,FALSE)),"")</f>
        <v>0.5</v>
      </c>
      <c r="M42" s="437">
        <f>IFERROR(IF(ISNUMBER(L42),IF(O42=0,IFERROR(HLOOKUP(Tools!$BD$127,Tools!$BD$127:$BD$152,N42+2,FALSE)*1,0),HLOOKUP(Tools!$BE$2,Tools!$BE$2:$BE$27,O42+1,FALSE)*WLS),""),"")</f>
        <v>0</v>
      </c>
      <c r="N42">
        <f t="shared" si="2"/>
        <v>3</v>
      </c>
      <c r="O42">
        <f t="shared" si="3"/>
        <v>1</v>
      </c>
    </row>
    <row r="43" spans="1:15" x14ac:dyDescent="0.25">
      <c r="A43" s="431">
        <f t="shared" si="4"/>
        <v>42</v>
      </c>
      <c r="B43" s="434">
        <f t="shared" si="0"/>
        <v>4</v>
      </c>
      <c r="C43" s="437">
        <f>IFERROR(-LBP/2+HLOOKUP(Stn_WL,Tools!$AD$2:$AD$27,QUOTIENT(ROW()-2,Max_WL_count)+2,FALSE)*STN_GAP,"")</f>
        <v>-62.134999999999991</v>
      </c>
      <c r="D43" s="437">
        <f>IFERROR(VLOOKUP(HLOOKUP(Stn_WL,Tools!$AD$2:$AD$27,QUOTIENT(ROW()-2,Max_WL_count)+2,FALSE),Tools!$AD$3:$BC$27,MOD(ROW()-2,Max_WL_count)+2,FALSE),"")</f>
        <v>2.81</v>
      </c>
      <c r="E43" s="435">
        <f>IFERROR(IF(ISNUMBER(D43),HLOOKUP(Tools!$BE$2,Tools!$BE$2:$BE$27,MOD(ROW()-2,Max_WL_count)+2,FALSE)*WLS,""),"")</f>
        <v>4</v>
      </c>
      <c r="I43" s="431">
        <f t="shared" si="5"/>
        <v>42</v>
      </c>
      <c r="J43" s="434">
        <f t="shared" si="1"/>
        <v>4</v>
      </c>
      <c r="K43" s="437">
        <f>IFERROR(-LBP/2+HLOOKUP(Stn_WL,Tools!$AD$2:$AD$27,N43+2,FALSE)*STN_GAP,"")</f>
        <v>-62.134999999999991</v>
      </c>
      <c r="L43" s="437">
        <f>IFERROR(IF(AND(ISNUMBER(K43),O43=0),0,VLOOKUP(HLOOKUP(Stn_WL,Tools!$AD$2:$AD$27,N43+2,FALSE),Tools!$AD$3:$BC$27,O43+1,FALSE)),"")</f>
        <v>0.99</v>
      </c>
      <c r="M43" s="437">
        <f>IFERROR(IF(ISNUMBER(L43),IF(O43=0,IFERROR(HLOOKUP(Tools!$BD$127,Tools!$BD$127:$BD$152,N43+2,FALSE)*1,0),HLOOKUP(Tools!$BE$2,Tools!$BE$2:$BE$27,O43+1,FALSE)*WLS),""),"")</f>
        <v>0.5</v>
      </c>
      <c r="N43">
        <f t="shared" si="2"/>
        <v>3</v>
      </c>
      <c r="O43">
        <f t="shared" si="3"/>
        <v>2</v>
      </c>
    </row>
    <row r="44" spans="1:15" x14ac:dyDescent="0.25">
      <c r="A44" s="431">
        <f t="shared" si="4"/>
        <v>43</v>
      </c>
      <c r="B44" s="434">
        <f t="shared" si="0"/>
        <v>4</v>
      </c>
      <c r="C44" s="437">
        <f>IFERROR(-LBP/2+HLOOKUP(Stn_WL,Tools!$AD$2:$AD$27,QUOTIENT(ROW()-2,Max_WL_count)+2,FALSE)*STN_GAP,"")</f>
        <v>-62.134999999999991</v>
      </c>
      <c r="D44" s="437">
        <f>IFERROR(VLOOKUP(HLOOKUP(Stn_WL,Tools!$AD$2:$AD$27,QUOTIENT(ROW()-2,Max_WL_count)+2,FALSE),Tools!$AD$3:$BC$27,MOD(ROW()-2,Max_WL_count)+2,FALSE),"")</f>
        <v>3.86</v>
      </c>
      <c r="E44" s="435">
        <f>IFERROR(IF(ISNUMBER(D44),HLOOKUP(Tools!$BE$2,Tools!$BE$2:$BE$27,MOD(ROW()-2,Max_WL_count)+2,FALSE)*WLS,""),"")</f>
        <v>6</v>
      </c>
      <c r="I44" s="431">
        <f t="shared" si="5"/>
        <v>43</v>
      </c>
      <c r="J44" s="434">
        <f t="shared" si="1"/>
        <v>4</v>
      </c>
      <c r="K44" s="437">
        <f>IFERROR(-LBP/2+HLOOKUP(Stn_WL,Tools!$AD$2:$AD$27,N44+2,FALSE)*STN_GAP,"")</f>
        <v>-62.134999999999991</v>
      </c>
      <c r="L44" s="437">
        <f>IFERROR(IF(AND(ISNUMBER(K44),O44=0),0,VLOOKUP(HLOOKUP(Stn_WL,Tools!$AD$2:$AD$27,N44+2,FALSE),Tools!$AD$3:$BC$27,O44+1,FALSE)),"")</f>
        <v>1.35</v>
      </c>
      <c r="M44" s="437">
        <f>IFERROR(IF(ISNUMBER(L44),IF(O44=0,IFERROR(HLOOKUP(Tools!$BD$127,Tools!$BD$127:$BD$152,N44+2,FALSE)*1,0),HLOOKUP(Tools!$BE$2,Tools!$BE$2:$BE$27,O44+1,FALSE)*WLS),""),"")</f>
        <v>1</v>
      </c>
      <c r="N44">
        <f t="shared" si="2"/>
        <v>3</v>
      </c>
      <c r="O44">
        <f t="shared" si="3"/>
        <v>3</v>
      </c>
    </row>
    <row r="45" spans="1:15" x14ac:dyDescent="0.25">
      <c r="A45" s="431">
        <f t="shared" si="4"/>
        <v>44</v>
      </c>
      <c r="B45" s="434">
        <f t="shared" si="0"/>
        <v>4</v>
      </c>
      <c r="C45" s="437">
        <f>IFERROR(-LBP/2+HLOOKUP(Stn_WL,Tools!$AD$2:$AD$27,QUOTIENT(ROW()-2,Max_WL_count)+2,FALSE)*STN_GAP,"")</f>
        <v>-62.134999999999991</v>
      </c>
      <c r="D45" s="437">
        <f>IFERROR(VLOOKUP(HLOOKUP(Stn_WL,Tools!$AD$2:$AD$27,QUOTIENT(ROW()-2,Max_WL_count)+2,FALSE),Tools!$AD$3:$BC$27,MOD(ROW()-2,Max_WL_count)+2,FALSE),"")</f>
        <v>5.5</v>
      </c>
      <c r="E45" s="435">
        <f>IFERROR(IF(ISNUMBER(D45),HLOOKUP(Tools!$BE$2,Tools!$BE$2:$BE$27,MOD(ROW()-2,Max_WL_count)+2,FALSE)*WLS,""),"")</f>
        <v>8</v>
      </c>
      <c r="I45" s="431">
        <f t="shared" si="5"/>
        <v>44</v>
      </c>
      <c r="J45" s="434">
        <f t="shared" si="1"/>
        <v>4</v>
      </c>
      <c r="K45" s="437">
        <f>IFERROR(-LBP/2+HLOOKUP(Stn_WL,Tools!$AD$2:$AD$27,N45+2,FALSE)*STN_GAP,"")</f>
        <v>-62.134999999999991</v>
      </c>
      <c r="L45" s="437">
        <f>IFERROR(IF(AND(ISNUMBER(K45),O45=0),0,VLOOKUP(HLOOKUP(Stn_WL,Tools!$AD$2:$AD$27,N45+2,FALSE),Tools!$AD$3:$BC$27,O45+1,FALSE)),"")</f>
        <v>1.65</v>
      </c>
      <c r="M45" s="437">
        <f>IFERROR(IF(ISNUMBER(L45),IF(O45=0,IFERROR(HLOOKUP(Tools!$BD$127,Tools!$BD$127:$BD$152,N45+2,FALSE)*1,0),HLOOKUP(Tools!$BE$2,Tools!$BE$2:$BE$27,O45+1,FALSE)*WLS),""),"")</f>
        <v>1.5</v>
      </c>
      <c r="N45">
        <f t="shared" si="2"/>
        <v>3</v>
      </c>
      <c r="O45">
        <f t="shared" si="3"/>
        <v>4</v>
      </c>
    </row>
    <row r="46" spans="1:15" x14ac:dyDescent="0.25">
      <c r="A46" s="431">
        <f t="shared" si="4"/>
        <v>45</v>
      </c>
      <c r="B46" s="434">
        <f t="shared" si="0"/>
        <v>4</v>
      </c>
      <c r="C46" s="437">
        <f>IFERROR(-LBP/2+HLOOKUP(Stn_WL,Tools!$AD$2:$AD$27,QUOTIENT(ROW()-2,Max_WL_count)+2,FALSE)*STN_GAP,"")</f>
        <v>-62.134999999999991</v>
      </c>
      <c r="D46" s="437">
        <f>IFERROR(VLOOKUP(HLOOKUP(Stn_WL,Tools!$AD$2:$AD$27,QUOTIENT(ROW()-2,Max_WL_count)+2,FALSE),Tools!$AD$3:$BC$27,MOD(ROW()-2,Max_WL_count)+2,FALSE),"")</f>
        <v>6.82</v>
      </c>
      <c r="E46" s="435">
        <f>IFERROR(IF(ISNUMBER(D46),HLOOKUP(Tools!$BE$2,Tools!$BE$2:$BE$27,MOD(ROW()-2,Max_WL_count)+2,FALSE)*WLS,""),"")</f>
        <v>9.6999999999999993</v>
      </c>
      <c r="I46" s="431">
        <f t="shared" si="5"/>
        <v>45</v>
      </c>
      <c r="J46" s="434">
        <f t="shared" si="1"/>
        <v>4</v>
      </c>
      <c r="K46" s="437">
        <f>IFERROR(-LBP/2+HLOOKUP(Stn_WL,Tools!$AD$2:$AD$27,N46+2,FALSE)*STN_GAP,"")</f>
        <v>-62.134999999999991</v>
      </c>
      <c r="L46" s="437">
        <f>IFERROR(IF(AND(ISNUMBER(K46),O46=0),0,VLOOKUP(HLOOKUP(Stn_WL,Tools!$AD$2:$AD$27,N46+2,FALSE),Tools!$AD$3:$BC$27,O46+1,FALSE)),"")</f>
        <v>1.89</v>
      </c>
      <c r="M46" s="437">
        <f>IFERROR(IF(ISNUMBER(L46),IF(O46=0,IFERROR(HLOOKUP(Tools!$BD$127,Tools!$BD$127:$BD$152,N46+2,FALSE)*1,0),HLOOKUP(Tools!$BE$2,Tools!$BE$2:$BE$27,O46+1,FALSE)*WLS),""),"")</f>
        <v>2</v>
      </c>
      <c r="N46">
        <f t="shared" si="2"/>
        <v>3</v>
      </c>
      <c r="O46">
        <f t="shared" si="3"/>
        <v>5</v>
      </c>
    </row>
    <row r="47" spans="1:15" x14ac:dyDescent="0.25">
      <c r="A47" s="431">
        <f t="shared" si="4"/>
        <v>46</v>
      </c>
      <c r="B47" s="434">
        <f t="shared" si="0"/>
        <v>4</v>
      </c>
      <c r="C47" s="437">
        <f>IFERROR(-LBP/2+HLOOKUP(Stn_WL,Tools!$AD$2:$AD$27,QUOTIENT(ROW()-2,Max_WL_count)+2,FALSE)*STN_GAP,"")</f>
        <v>-62.134999999999991</v>
      </c>
      <c r="D47" s="437">
        <f>IFERROR(VLOOKUP(HLOOKUP(Stn_WL,Tools!$AD$2:$AD$27,QUOTIENT(ROW()-2,Max_WL_count)+2,FALSE),Tools!$AD$3:$BC$27,MOD(ROW()-2,Max_WL_count)+2,FALSE),"")</f>
        <v>7.01</v>
      </c>
      <c r="E47" s="435">
        <f>IFERROR(IF(ISNUMBER(D47),HLOOKUP(Tools!$BE$2,Tools!$BE$2:$BE$27,MOD(ROW()-2,Max_WL_count)+2,FALSE)*WLS,""),"")</f>
        <v>10</v>
      </c>
      <c r="I47" s="431">
        <f t="shared" si="5"/>
        <v>46</v>
      </c>
      <c r="J47" s="434">
        <f t="shared" si="1"/>
        <v>4</v>
      </c>
      <c r="K47" s="437">
        <f>IFERROR(-LBP/2+HLOOKUP(Stn_WL,Tools!$AD$2:$AD$27,N47+2,FALSE)*STN_GAP,"")</f>
        <v>-62.134999999999991</v>
      </c>
      <c r="L47" s="437">
        <f>IFERROR(IF(AND(ISNUMBER(K47),O47=0),0,VLOOKUP(HLOOKUP(Stn_WL,Tools!$AD$2:$AD$27,N47+2,FALSE),Tools!$AD$3:$BC$27,O47+1,FALSE)),"")</f>
        <v>2.81</v>
      </c>
      <c r="M47" s="437">
        <f>IFERROR(IF(ISNUMBER(L47),IF(O47=0,IFERROR(HLOOKUP(Tools!$BD$127,Tools!$BD$127:$BD$152,N47+2,FALSE)*1,0),HLOOKUP(Tools!$BE$2,Tools!$BE$2:$BE$27,O47+1,FALSE)*WLS),""),"")</f>
        <v>4</v>
      </c>
      <c r="N47">
        <f t="shared" si="2"/>
        <v>3</v>
      </c>
      <c r="O47">
        <f t="shared" si="3"/>
        <v>6</v>
      </c>
    </row>
    <row r="48" spans="1:15" x14ac:dyDescent="0.25">
      <c r="A48" s="431">
        <f t="shared" si="4"/>
        <v>47</v>
      </c>
      <c r="B48" s="434">
        <f t="shared" si="0"/>
        <v>4</v>
      </c>
      <c r="C48" s="437">
        <f>IFERROR(-LBP/2+HLOOKUP(Stn_WL,Tools!$AD$2:$AD$27,QUOTIENT(ROW()-2,Max_WL_count)+2,FALSE)*STN_GAP,"")</f>
        <v>-62.134999999999991</v>
      </c>
      <c r="D48" s="437">
        <f>IFERROR(VLOOKUP(HLOOKUP(Stn_WL,Tools!$AD$2:$AD$27,QUOTIENT(ROW()-2,Max_WL_count)+2,FALSE),Tools!$AD$3:$BC$27,MOD(ROW()-2,Max_WL_count)+2,FALSE),"")</f>
        <v>7.98</v>
      </c>
      <c r="E48" s="435">
        <f>IFERROR(IF(ISNUMBER(D48),HLOOKUP(Tools!$BE$2,Tools!$BE$2:$BE$27,MOD(ROW()-2,Max_WL_count)+2,FALSE)*WLS,""),"")</f>
        <v>12</v>
      </c>
      <c r="I48" s="431">
        <f t="shared" si="5"/>
        <v>47</v>
      </c>
      <c r="J48" s="434">
        <f t="shared" si="1"/>
        <v>4</v>
      </c>
      <c r="K48" s="437">
        <f>IFERROR(-LBP/2+HLOOKUP(Stn_WL,Tools!$AD$2:$AD$27,N48+2,FALSE)*STN_GAP,"")</f>
        <v>-62.134999999999991</v>
      </c>
      <c r="L48" s="437">
        <f>IFERROR(IF(AND(ISNUMBER(K48),O48=0),0,VLOOKUP(HLOOKUP(Stn_WL,Tools!$AD$2:$AD$27,N48+2,FALSE),Tools!$AD$3:$BC$27,O48+1,FALSE)),"")</f>
        <v>3.86</v>
      </c>
      <c r="M48" s="437">
        <f>IFERROR(IF(ISNUMBER(L48),IF(O48=0,IFERROR(HLOOKUP(Tools!$BD$127,Tools!$BD$127:$BD$152,N48+2,FALSE)*1,0),HLOOKUP(Tools!$BE$2,Tools!$BE$2:$BE$27,O48+1,FALSE)*WLS),""),"")</f>
        <v>6</v>
      </c>
      <c r="N48">
        <f t="shared" si="2"/>
        <v>3</v>
      </c>
      <c r="O48">
        <f t="shared" si="3"/>
        <v>7</v>
      </c>
    </row>
    <row r="49" spans="1:15" x14ac:dyDescent="0.25">
      <c r="A49" s="431">
        <f t="shared" si="4"/>
        <v>48</v>
      </c>
      <c r="B49" s="434">
        <f t="shared" si="0"/>
        <v>4</v>
      </c>
      <c r="C49" s="437">
        <f>IFERROR(-LBP/2+HLOOKUP(Stn_WL,Tools!$AD$2:$AD$27,QUOTIENT(ROW()-2,Max_WL_count)+2,FALSE)*STN_GAP,"")</f>
        <v>-62.134999999999991</v>
      </c>
      <c r="D49" s="437">
        <f>IFERROR(VLOOKUP(HLOOKUP(Stn_WL,Tools!$AD$2:$AD$27,QUOTIENT(ROW()-2,Max_WL_count)+2,FALSE),Tools!$AD$3:$BC$27,MOD(ROW()-2,Max_WL_count)+2,FALSE),"")</f>
        <v>8.42</v>
      </c>
      <c r="E49" s="435">
        <f>IFERROR(IF(ISNUMBER(D49),HLOOKUP(Tools!$BE$2,Tools!$BE$2:$BE$27,MOD(ROW()-2,Max_WL_count)+2,FALSE)*WLS,""),"")</f>
        <v>13</v>
      </c>
      <c r="I49" s="431">
        <f t="shared" si="5"/>
        <v>48</v>
      </c>
      <c r="J49" s="434">
        <f t="shared" si="1"/>
        <v>4</v>
      </c>
      <c r="K49" s="437">
        <f>IFERROR(-LBP/2+HLOOKUP(Stn_WL,Tools!$AD$2:$AD$27,N49+2,FALSE)*STN_GAP,"")</f>
        <v>-62.134999999999991</v>
      </c>
      <c r="L49" s="437">
        <f>IFERROR(IF(AND(ISNUMBER(K49),O49=0),0,VLOOKUP(HLOOKUP(Stn_WL,Tools!$AD$2:$AD$27,N49+2,FALSE),Tools!$AD$3:$BC$27,O49+1,FALSE)),"")</f>
        <v>5.5</v>
      </c>
      <c r="M49" s="437">
        <f>IFERROR(IF(ISNUMBER(L49),IF(O49=0,IFERROR(HLOOKUP(Tools!$BD$127,Tools!$BD$127:$BD$152,N49+2,FALSE)*1,0),HLOOKUP(Tools!$BE$2,Tools!$BE$2:$BE$27,O49+1,FALSE)*WLS),""),"")</f>
        <v>8</v>
      </c>
      <c r="N49">
        <f t="shared" si="2"/>
        <v>3</v>
      </c>
      <c r="O49">
        <f t="shared" si="3"/>
        <v>8</v>
      </c>
    </row>
    <row r="50" spans="1:15" x14ac:dyDescent="0.25">
      <c r="A50" s="431">
        <f t="shared" si="4"/>
        <v>49</v>
      </c>
      <c r="B50" s="434">
        <f t="shared" si="0"/>
        <v>5</v>
      </c>
      <c r="C50" s="437">
        <f>IFERROR(-LBP/2+HLOOKUP(Stn_WL,Tools!$AD$2:$AD$27,QUOTIENT(ROW()-2,Max_WL_count)+2,FALSE)*STN_GAP,"")</f>
        <v>-58.48</v>
      </c>
      <c r="D50" s="437">
        <f>IFERROR(VLOOKUP(HLOOKUP(Stn_WL,Tools!$AD$2:$AD$27,QUOTIENT(ROW()-2,Max_WL_count)+2,FALSE),Tools!$AD$3:$BC$27,MOD(ROW()-2,Max_WL_count)+2,FALSE),"")</f>
        <v>0.9</v>
      </c>
      <c r="E50" s="435">
        <f>IFERROR(IF(ISNUMBER(D50),HLOOKUP(Tools!$BE$2,Tools!$BE$2:$BE$27,MOD(ROW()-2,Max_WL_count)+2,FALSE)*WLS,""),"")</f>
        <v>0</v>
      </c>
      <c r="I50" s="431">
        <f t="shared" si="5"/>
        <v>49</v>
      </c>
      <c r="J50" s="434">
        <f t="shared" si="1"/>
        <v>4</v>
      </c>
      <c r="K50" s="437">
        <f>IFERROR(-LBP/2+HLOOKUP(Stn_WL,Tools!$AD$2:$AD$27,N50+2,FALSE)*STN_GAP,"")</f>
        <v>-62.134999999999991</v>
      </c>
      <c r="L50" s="437">
        <f>IFERROR(IF(AND(ISNUMBER(K50),O50=0),0,VLOOKUP(HLOOKUP(Stn_WL,Tools!$AD$2:$AD$27,N50+2,FALSE),Tools!$AD$3:$BC$27,O50+1,FALSE)),"")</f>
        <v>6.82</v>
      </c>
      <c r="M50" s="437">
        <f>IFERROR(IF(ISNUMBER(L50),IF(O50=0,IFERROR(HLOOKUP(Tools!$BD$127,Tools!$BD$127:$BD$152,N50+2,FALSE)*1,0),HLOOKUP(Tools!$BE$2,Tools!$BE$2:$BE$27,O50+1,FALSE)*WLS),""),"")</f>
        <v>9.6999999999999993</v>
      </c>
      <c r="N50">
        <f t="shared" si="2"/>
        <v>3</v>
      </c>
      <c r="O50">
        <f t="shared" si="3"/>
        <v>9</v>
      </c>
    </row>
    <row r="51" spans="1:15" x14ac:dyDescent="0.25">
      <c r="A51" s="431">
        <f t="shared" si="4"/>
        <v>50</v>
      </c>
      <c r="B51" s="434">
        <f t="shared" si="0"/>
        <v>5</v>
      </c>
      <c r="C51" s="437">
        <f>IFERROR(-LBP/2+HLOOKUP(Stn_WL,Tools!$AD$2:$AD$27,QUOTIENT(ROW()-2,Max_WL_count)+2,FALSE)*STN_GAP,"")</f>
        <v>-58.48</v>
      </c>
      <c r="D51" s="437">
        <f>IFERROR(VLOOKUP(HLOOKUP(Stn_WL,Tools!$AD$2:$AD$27,QUOTIENT(ROW()-2,Max_WL_count)+2,FALSE),Tools!$AD$3:$BC$27,MOD(ROW()-2,Max_WL_count)+2,FALSE),"")</f>
        <v>1.59</v>
      </c>
      <c r="E51" s="435">
        <f>IFERROR(IF(ISNUMBER(D51),HLOOKUP(Tools!$BE$2,Tools!$BE$2:$BE$27,MOD(ROW()-2,Max_WL_count)+2,FALSE)*WLS,""),"")</f>
        <v>0.5</v>
      </c>
      <c r="I51" s="431">
        <f t="shared" si="5"/>
        <v>50</v>
      </c>
      <c r="J51" s="434">
        <f t="shared" si="1"/>
        <v>4</v>
      </c>
      <c r="K51" s="437">
        <f>IFERROR(-LBP/2+HLOOKUP(Stn_WL,Tools!$AD$2:$AD$27,N51+2,FALSE)*STN_GAP,"")</f>
        <v>-62.134999999999991</v>
      </c>
      <c r="L51" s="437">
        <f>IFERROR(IF(AND(ISNUMBER(K51),O51=0),0,VLOOKUP(HLOOKUP(Stn_WL,Tools!$AD$2:$AD$27,N51+2,FALSE),Tools!$AD$3:$BC$27,O51+1,FALSE)),"")</f>
        <v>7.01</v>
      </c>
      <c r="M51" s="437">
        <f>IFERROR(IF(ISNUMBER(L51),IF(O51=0,IFERROR(HLOOKUP(Tools!$BD$127,Tools!$BD$127:$BD$152,N51+2,FALSE)*1,0),HLOOKUP(Tools!$BE$2,Tools!$BE$2:$BE$27,O51+1,FALSE)*WLS),""),"")</f>
        <v>10</v>
      </c>
      <c r="N51">
        <f t="shared" si="2"/>
        <v>3</v>
      </c>
      <c r="O51">
        <f t="shared" si="3"/>
        <v>10</v>
      </c>
    </row>
    <row r="52" spans="1:15" x14ac:dyDescent="0.25">
      <c r="A52" s="431">
        <f t="shared" si="4"/>
        <v>51</v>
      </c>
      <c r="B52" s="434">
        <f t="shared" si="0"/>
        <v>5</v>
      </c>
      <c r="C52" s="437">
        <f>IFERROR(-LBP/2+HLOOKUP(Stn_WL,Tools!$AD$2:$AD$27,QUOTIENT(ROW()-2,Max_WL_count)+2,FALSE)*STN_GAP,"")</f>
        <v>-58.48</v>
      </c>
      <c r="D52" s="437">
        <f>IFERROR(VLOOKUP(HLOOKUP(Stn_WL,Tools!$AD$2:$AD$27,QUOTIENT(ROW()-2,Max_WL_count)+2,FALSE),Tools!$AD$3:$BC$27,MOD(ROW()-2,Max_WL_count)+2,FALSE),"")</f>
        <v>2.14</v>
      </c>
      <c r="E52" s="435">
        <f>IFERROR(IF(ISNUMBER(D52),HLOOKUP(Tools!$BE$2,Tools!$BE$2:$BE$27,MOD(ROW()-2,Max_WL_count)+2,FALSE)*WLS,""),"")</f>
        <v>1</v>
      </c>
      <c r="I52" s="431">
        <f t="shared" si="5"/>
        <v>51</v>
      </c>
      <c r="J52" s="434">
        <f t="shared" si="1"/>
        <v>4</v>
      </c>
      <c r="K52" s="437">
        <f>IFERROR(-LBP/2+HLOOKUP(Stn_WL,Tools!$AD$2:$AD$27,N52+2,FALSE)*STN_GAP,"")</f>
        <v>-62.134999999999991</v>
      </c>
      <c r="L52" s="437">
        <f>IFERROR(IF(AND(ISNUMBER(K52),O52=0),0,VLOOKUP(HLOOKUP(Stn_WL,Tools!$AD$2:$AD$27,N52+2,FALSE),Tools!$AD$3:$BC$27,O52+1,FALSE)),"")</f>
        <v>7.98</v>
      </c>
      <c r="M52" s="437">
        <f>IFERROR(IF(ISNUMBER(L52),IF(O52=0,IFERROR(HLOOKUP(Tools!$BD$127,Tools!$BD$127:$BD$152,N52+2,FALSE)*1,0),HLOOKUP(Tools!$BE$2,Tools!$BE$2:$BE$27,O52+1,FALSE)*WLS),""),"")</f>
        <v>12</v>
      </c>
      <c r="N52">
        <f t="shared" si="2"/>
        <v>3</v>
      </c>
      <c r="O52">
        <f t="shared" si="3"/>
        <v>11</v>
      </c>
    </row>
    <row r="53" spans="1:15" x14ac:dyDescent="0.25">
      <c r="A53" s="431">
        <f t="shared" si="4"/>
        <v>52</v>
      </c>
      <c r="B53" s="434">
        <f t="shared" si="0"/>
        <v>5</v>
      </c>
      <c r="C53" s="437">
        <f>IFERROR(-LBP/2+HLOOKUP(Stn_WL,Tools!$AD$2:$AD$27,QUOTIENT(ROW()-2,Max_WL_count)+2,FALSE)*STN_GAP,"")</f>
        <v>-58.48</v>
      </c>
      <c r="D53" s="437">
        <f>IFERROR(VLOOKUP(HLOOKUP(Stn_WL,Tools!$AD$2:$AD$27,QUOTIENT(ROW()-2,Max_WL_count)+2,FALSE),Tools!$AD$3:$BC$27,MOD(ROW()-2,Max_WL_count)+2,FALSE),"")</f>
        <v>2.59</v>
      </c>
      <c r="E53" s="435">
        <f>IFERROR(IF(ISNUMBER(D53),HLOOKUP(Tools!$BE$2,Tools!$BE$2:$BE$27,MOD(ROW()-2,Max_WL_count)+2,FALSE)*WLS,""),"")</f>
        <v>1.5</v>
      </c>
      <c r="I53" s="431">
        <f t="shared" si="5"/>
        <v>52</v>
      </c>
      <c r="J53" s="434">
        <f t="shared" si="1"/>
        <v>4</v>
      </c>
      <c r="K53" s="437">
        <f>IFERROR(-LBP/2+HLOOKUP(Stn_WL,Tools!$AD$2:$AD$27,N53+2,FALSE)*STN_GAP,"")</f>
        <v>-62.134999999999991</v>
      </c>
      <c r="L53" s="437">
        <f>IFERROR(IF(AND(ISNUMBER(K53),O53=0),0,VLOOKUP(HLOOKUP(Stn_WL,Tools!$AD$2:$AD$27,N53+2,FALSE),Tools!$AD$3:$BC$27,O53+1,FALSE)),"")</f>
        <v>8.42</v>
      </c>
      <c r="M53" s="437">
        <f>IFERROR(IF(ISNUMBER(L53),IF(O53=0,IFERROR(HLOOKUP(Tools!$BD$127,Tools!$BD$127:$BD$152,N53+2,FALSE)*1,0),HLOOKUP(Tools!$BE$2,Tools!$BE$2:$BE$27,O53+1,FALSE)*WLS),""),"")</f>
        <v>13</v>
      </c>
      <c r="N53">
        <f t="shared" si="2"/>
        <v>3</v>
      </c>
      <c r="O53">
        <f t="shared" si="3"/>
        <v>12</v>
      </c>
    </row>
    <row r="54" spans="1:15" x14ac:dyDescent="0.25">
      <c r="A54" s="431">
        <f t="shared" si="4"/>
        <v>53</v>
      </c>
      <c r="B54" s="434">
        <f t="shared" si="0"/>
        <v>5</v>
      </c>
      <c r="C54" s="437">
        <f>IFERROR(-LBP/2+HLOOKUP(Stn_WL,Tools!$AD$2:$AD$27,QUOTIENT(ROW()-2,Max_WL_count)+2,FALSE)*STN_GAP,"")</f>
        <v>-58.48</v>
      </c>
      <c r="D54" s="437">
        <f>IFERROR(VLOOKUP(HLOOKUP(Stn_WL,Tools!$AD$2:$AD$27,QUOTIENT(ROW()-2,Max_WL_count)+2,FALSE),Tools!$AD$3:$BC$27,MOD(ROW()-2,Max_WL_count)+2,FALSE),"")</f>
        <v>2.93</v>
      </c>
      <c r="E54" s="435">
        <f>IFERROR(IF(ISNUMBER(D54),HLOOKUP(Tools!$BE$2,Tools!$BE$2:$BE$27,MOD(ROW()-2,Max_WL_count)+2,FALSE)*WLS,""),"")</f>
        <v>2</v>
      </c>
      <c r="I54" s="431">
        <f t="shared" si="5"/>
        <v>53</v>
      </c>
      <c r="J54" s="434">
        <f t="shared" si="1"/>
        <v>5</v>
      </c>
      <c r="K54" s="437">
        <f>IFERROR(-LBP/2+HLOOKUP(Stn_WL,Tools!$AD$2:$AD$27,N54+2,FALSE)*STN_GAP,"")</f>
        <v>-58.48</v>
      </c>
      <c r="L54" s="437">
        <f>IFERROR(IF(AND(ISNUMBER(K54),O54=0),0,VLOOKUP(HLOOKUP(Stn_WL,Tools!$AD$2:$AD$27,N54+2,FALSE),Tools!$AD$3:$BC$27,O54+1,FALSE)),"")</f>
        <v>0</v>
      </c>
      <c r="M54" s="437">
        <f>IFERROR(IF(ISNUMBER(L54),IF(O54=0,IFERROR(HLOOKUP(Tools!$BD$127,Tools!$BD$127:$BD$152,N54+2,FALSE)*1,0),HLOOKUP(Tools!$BE$2,Tools!$BE$2:$BE$27,O54+1,FALSE)*WLS),""),"")</f>
        <v>0</v>
      </c>
      <c r="N54">
        <f t="shared" si="2"/>
        <v>4</v>
      </c>
      <c r="O54">
        <f t="shared" si="3"/>
        <v>0</v>
      </c>
    </row>
    <row r="55" spans="1:15" x14ac:dyDescent="0.25">
      <c r="A55" s="431">
        <f t="shared" si="4"/>
        <v>54</v>
      </c>
      <c r="B55" s="434">
        <f t="shared" si="0"/>
        <v>5</v>
      </c>
      <c r="C55" s="437">
        <f>IFERROR(-LBP/2+HLOOKUP(Stn_WL,Tools!$AD$2:$AD$27,QUOTIENT(ROW()-2,Max_WL_count)+2,FALSE)*STN_GAP,"")</f>
        <v>-58.48</v>
      </c>
      <c r="D55" s="437">
        <f>IFERROR(VLOOKUP(HLOOKUP(Stn_WL,Tools!$AD$2:$AD$27,QUOTIENT(ROW()-2,Max_WL_count)+2,FALSE),Tools!$AD$3:$BC$27,MOD(ROW()-2,Max_WL_count)+2,FALSE),"")</f>
        <v>4.17</v>
      </c>
      <c r="E55" s="435">
        <f>IFERROR(IF(ISNUMBER(D55),HLOOKUP(Tools!$BE$2,Tools!$BE$2:$BE$27,MOD(ROW()-2,Max_WL_count)+2,FALSE)*WLS,""),"")</f>
        <v>4</v>
      </c>
      <c r="I55" s="431">
        <f t="shared" si="5"/>
        <v>54</v>
      </c>
      <c r="J55" s="434">
        <f t="shared" si="1"/>
        <v>5</v>
      </c>
      <c r="K55" s="437">
        <f>IFERROR(-LBP/2+HLOOKUP(Stn_WL,Tools!$AD$2:$AD$27,N55+2,FALSE)*STN_GAP,"")</f>
        <v>-58.48</v>
      </c>
      <c r="L55" s="437">
        <f>IFERROR(IF(AND(ISNUMBER(K55),O55=0),0,VLOOKUP(HLOOKUP(Stn_WL,Tools!$AD$2:$AD$27,N55+2,FALSE),Tools!$AD$3:$BC$27,O55+1,FALSE)),"")</f>
        <v>0.9</v>
      </c>
      <c r="M55" s="437">
        <f>IFERROR(IF(ISNUMBER(L55),IF(O55=0,IFERROR(HLOOKUP(Tools!$BD$127,Tools!$BD$127:$BD$152,N55+2,FALSE)*1,0),HLOOKUP(Tools!$BE$2,Tools!$BE$2:$BE$27,O55+1,FALSE)*WLS),""),"")</f>
        <v>0</v>
      </c>
      <c r="N55">
        <f t="shared" si="2"/>
        <v>4</v>
      </c>
      <c r="O55">
        <f t="shared" si="3"/>
        <v>1</v>
      </c>
    </row>
    <row r="56" spans="1:15" x14ac:dyDescent="0.25">
      <c r="A56" s="431">
        <f t="shared" si="4"/>
        <v>55</v>
      </c>
      <c r="B56" s="434">
        <f t="shared" si="0"/>
        <v>5</v>
      </c>
      <c r="C56" s="437">
        <f>IFERROR(-LBP/2+HLOOKUP(Stn_WL,Tools!$AD$2:$AD$27,QUOTIENT(ROW()-2,Max_WL_count)+2,FALSE)*STN_GAP,"")</f>
        <v>-58.48</v>
      </c>
      <c r="D56" s="437">
        <f>IFERROR(VLOOKUP(HLOOKUP(Stn_WL,Tools!$AD$2:$AD$27,QUOTIENT(ROW()-2,Max_WL_count)+2,FALSE),Tools!$AD$3:$BC$27,MOD(ROW()-2,Max_WL_count)+2,FALSE),"")</f>
        <v>5.28</v>
      </c>
      <c r="E56" s="435">
        <f>IFERROR(IF(ISNUMBER(D56),HLOOKUP(Tools!$BE$2,Tools!$BE$2:$BE$27,MOD(ROW()-2,Max_WL_count)+2,FALSE)*WLS,""),"")</f>
        <v>6</v>
      </c>
      <c r="I56" s="431">
        <f t="shared" si="5"/>
        <v>55</v>
      </c>
      <c r="J56" s="434">
        <f t="shared" si="1"/>
        <v>5</v>
      </c>
      <c r="K56" s="437">
        <f>IFERROR(-LBP/2+HLOOKUP(Stn_WL,Tools!$AD$2:$AD$27,N56+2,FALSE)*STN_GAP,"")</f>
        <v>-58.48</v>
      </c>
      <c r="L56" s="437">
        <f>IFERROR(IF(AND(ISNUMBER(K56),O56=0),0,VLOOKUP(HLOOKUP(Stn_WL,Tools!$AD$2:$AD$27,N56+2,FALSE),Tools!$AD$3:$BC$27,O56+1,FALSE)),"")</f>
        <v>1.59</v>
      </c>
      <c r="M56" s="437">
        <f>IFERROR(IF(ISNUMBER(L56),IF(O56=0,IFERROR(HLOOKUP(Tools!$BD$127,Tools!$BD$127:$BD$152,N56+2,FALSE)*1,0),HLOOKUP(Tools!$BE$2,Tools!$BE$2:$BE$27,O56+1,FALSE)*WLS),""),"")</f>
        <v>0.5</v>
      </c>
      <c r="N56">
        <f t="shared" si="2"/>
        <v>4</v>
      </c>
      <c r="O56">
        <f t="shared" si="3"/>
        <v>2</v>
      </c>
    </row>
    <row r="57" spans="1:15" x14ac:dyDescent="0.25">
      <c r="A57" s="431">
        <f t="shared" si="4"/>
        <v>56</v>
      </c>
      <c r="B57" s="434">
        <f t="shared" si="0"/>
        <v>5</v>
      </c>
      <c r="C57" s="437">
        <f>IFERROR(-LBP/2+HLOOKUP(Stn_WL,Tools!$AD$2:$AD$27,QUOTIENT(ROW()-2,Max_WL_count)+2,FALSE)*STN_GAP,"")</f>
        <v>-58.48</v>
      </c>
      <c r="D57" s="437">
        <f>IFERROR(VLOOKUP(HLOOKUP(Stn_WL,Tools!$AD$2:$AD$27,QUOTIENT(ROW()-2,Max_WL_count)+2,FALSE),Tools!$AD$3:$BC$27,MOD(ROW()-2,Max_WL_count)+2,FALSE),"")</f>
        <v>6.7</v>
      </c>
      <c r="E57" s="435">
        <f>IFERROR(IF(ISNUMBER(D57),HLOOKUP(Tools!$BE$2,Tools!$BE$2:$BE$27,MOD(ROW()-2,Max_WL_count)+2,FALSE)*WLS,""),"")</f>
        <v>8</v>
      </c>
      <c r="I57" s="431">
        <f t="shared" si="5"/>
        <v>56</v>
      </c>
      <c r="J57" s="434">
        <f t="shared" si="1"/>
        <v>5</v>
      </c>
      <c r="K57" s="437">
        <f>IFERROR(-LBP/2+HLOOKUP(Stn_WL,Tools!$AD$2:$AD$27,N57+2,FALSE)*STN_GAP,"")</f>
        <v>-58.48</v>
      </c>
      <c r="L57" s="437">
        <f>IFERROR(IF(AND(ISNUMBER(K57),O57=0),0,VLOOKUP(HLOOKUP(Stn_WL,Tools!$AD$2:$AD$27,N57+2,FALSE),Tools!$AD$3:$BC$27,O57+1,FALSE)),"")</f>
        <v>2.14</v>
      </c>
      <c r="M57" s="437">
        <f>IFERROR(IF(ISNUMBER(L57),IF(O57=0,IFERROR(HLOOKUP(Tools!$BD$127,Tools!$BD$127:$BD$152,N57+2,FALSE)*1,0),HLOOKUP(Tools!$BE$2,Tools!$BE$2:$BE$27,O57+1,FALSE)*WLS),""),"")</f>
        <v>1</v>
      </c>
      <c r="N57">
        <f t="shared" si="2"/>
        <v>4</v>
      </c>
      <c r="O57">
        <f t="shared" si="3"/>
        <v>3</v>
      </c>
    </row>
    <row r="58" spans="1:15" x14ac:dyDescent="0.25">
      <c r="A58" s="431">
        <f t="shared" si="4"/>
        <v>57</v>
      </c>
      <c r="B58" s="434">
        <f t="shared" si="0"/>
        <v>5</v>
      </c>
      <c r="C58" s="437">
        <f>IFERROR(-LBP/2+HLOOKUP(Stn_WL,Tools!$AD$2:$AD$27,QUOTIENT(ROW()-2,Max_WL_count)+2,FALSE)*STN_GAP,"")</f>
        <v>-58.48</v>
      </c>
      <c r="D58" s="437">
        <f>IFERROR(VLOOKUP(HLOOKUP(Stn_WL,Tools!$AD$2:$AD$27,QUOTIENT(ROW()-2,Max_WL_count)+2,FALSE),Tools!$AD$3:$BC$27,MOD(ROW()-2,Max_WL_count)+2,FALSE),"")</f>
        <v>7.89</v>
      </c>
      <c r="E58" s="435">
        <f>IFERROR(IF(ISNUMBER(D58),HLOOKUP(Tools!$BE$2,Tools!$BE$2:$BE$27,MOD(ROW()-2,Max_WL_count)+2,FALSE)*WLS,""),"")</f>
        <v>9.6999999999999993</v>
      </c>
      <c r="I58" s="431">
        <f t="shared" si="5"/>
        <v>57</v>
      </c>
      <c r="J58" s="434">
        <f t="shared" si="1"/>
        <v>5</v>
      </c>
      <c r="K58" s="437">
        <f>IFERROR(-LBP/2+HLOOKUP(Stn_WL,Tools!$AD$2:$AD$27,N58+2,FALSE)*STN_GAP,"")</f>
        <v>-58.48</v>
      </c>
      <c r="L58" s="437">
        <f>IFERROR(IF(AND(ISNUMBER(K58),O58=0),0,VLOOKUP(HLOOKUP(Stn_WL,Tools!$AD$2:$AD$27,N58+2,FALSE),Tools!$AD$3:$BC$27,O58+1,FALSE)),"")</f>
        <v>2.59</v>
      </c>
      <c r="M58" s="437">
        <f>IFERROR(IF(ISNUMBER(L58),IF(O58=0,IFERROR(HLOOKUP(Tools!$BD$127,Tools!$BD$127:$BD$152,N58+2,FALSE)*1,0),HLOOKUP(Tools!$BE$2,Tools!$BE$2:$BE$27,O58+1,FALSE)*WLS),""),"")</f>
        <v>1.5</v>
      </c>
      <c r="N58">
        <f t="shared" si="2"/>
        <v>4</v>
      </c>
      <c r="O58">
        <f t="shared" si="3"/>
        <v>4</v>
      </c>
    </row>
    <row r="59" spans="1:15" x14ac:dyDescent="0.25">
      <c r="A59" s="431">
        <f t="shared" si="4"/>
        <v>58</v>
      </c>
      <c r="B59" s="434">
        <f t="shared" si="0"/>
        <v>5</v>
      </c>
      <c r="C59" s="437">
        <f>IFERROR(-LBP/2+HLOOKUP(Stn_WL,Tools!$AD$2:$AD$27,QUOTIENT(ROW()-2,Max_WL_count)+2,FALSE)*STN_GAP,"")</f>
        <v>-58.48</v>
      </c>
      <c r="D59" s="437">
        <f>IFERROR(VLOOKUP(HLOOKUP(Stn_WL,Tools!$AD$2:$AD$27,QUOTIENT(ROW()-2,Max_WL_count)+2,FALSE),Tools!$AD$3:$BC$27,MOD(ROW()-2,Max_WL_count)+2,FALSE),"")</f>
        <v>8.0399999999999991</v>
      </c>
      <c r="E59" s="435">
        <f>IFERROR(IF(ISNUMBER(D59),HLOOKUP(Tools!$BE$2,Tools!$BE$2:$BE$27,MOD(ROW()-2,Max_WL_count)+2,FALSE)*WLS,""),"")</f>
        <v>10</v>
      </c>
      <c r="I59" s="431">
        <f t="shared" si="5"/>
        <v>58</v>
      </c>
      <c r="J59" s="434">
        <f t="shared" si="1"/>
        <v>5</v>
      </c>
      <c r="K59" s="437">
        <f>IFERROR(-LBP/2+HLOOKUP(Stn_WL,Tools!$AD$2:$AD$27,N59+2,FALSE)*STN_GAP,"")</f>
        <v>-58.48</v>
      </c>
      <c r="L59" s="437">
        <f>IFERROR(IF(AND(ISNUMBER(K59),O59=0),0,VLOOKUP(HLOOKUP(Stn_WL,Tools!$AD$2:$AD$27,N59+2,FALSE),Tools!$AD$3:$BC$27,O59+1,FALSE)),"")</f>
        <v>2.93</v>
      </c>
      <c r="M59" s="437">
        <f>IFERROR(IF(ISNUMBER(L59),IF(O59=0,IFERROR(HLOOKUP(Tools!$BD$127,Tools!$BD$127:$BD$152,N59+2,FALSE)*1,0),HLOOKUP(Tools!$BE$2,Tools!$BE$2:$BE$27,O59+1,FALSE)*WLS),""),"")</f>
        <v>2</v>
      </c>
      <c r="N59">
        <f t="shared" si="2"/>
        <v>4</v>
      </c>
      <c r="O59">
        <f t="shared" si="3"/>
        <v>5</v>
      </c>
    </row>
    <row r="60" spans="1:15" x14ac:dyDescent="0.25">
      <c r="A60" s="431">
        <f t="shared" si="4"/>
        <v>59</v>
      </c>
      <c r="B60" s="434">
        <f t="shared" si="0"/>
        <v>5</v>
      </c>
      <c r="C60" s="437">
        <f>IFERROR(-LBP/2+HLOOKUP(Stn_WL,Tools!$AD$2:$AD$27,QUOTIENT(ROW()-2,Max_WL_count)+2,FALSE)*STN_GAP,"")</f>
        <v>-58.48</v>
      </c>
      <c r="D60" s="437">
        <f>IFERROR(VLOOKUP(HLOOKUP(Stn_WL,Tools!$AD$2:$AD$27,QUOTIENT(ROW()-2,Max_WL_count)+2,FALSE),Tools!$AD$3:$BC$27,MOD(ROW()-2,Max_WL_count)+2,FALSE),"")</f>
        <v>8.94</v>
      </c>
      <c r="E60" s="435">
        <f>IFERROR(IF(ISNUMBER(D60),HLOOKUP(Tools!$BE$2,Tools!$BE$2:$BE$27,MOD(ROW()-2,Max_WL_count)+2,FALSE)*WLS,""),"")</f>
        <v>12</v>
      </c>
      <c r="I60" s="431">
        <f t="shared" si="5"/>
        <v>59</v>
      </c>
      <c r="J60" s="434">
        <f t="shared" si="1"/>
        <v>5</v>
      </c>
      <c r="K60" s="437">
        <f>IFERROR(-LBP/2+HLOOKUP(Stn_WL,Tools!$AD$2:$AD$27,N60+2,FALSE)*STN_GAP,"")</f>
        <v>-58.48</v>
      </c>
      <c r="L60" s="437">
        <f>IFERROR(IF(AND(ISNUMBER(K60),O60=0),0,VLOOKUP(HLOOKUP(Stn_WL,Tools!$AD$2:$AD$27,N60+2,FALSE),Tools!$AD$3:$BC$27,O60+1,FALSE)),"")</f>
        <v>4.17</v>
      </c>
      <c r="M60" s="437">
        <f>IFERROR(IF(ISNUMBER(L60),IF(O60=0,IFERROR(HLOOKUP(Tools!$BD$127,Tools!$BD$127:$BD$152,N60+2,FALSE)*1,0),HLOOKUP(Tools!$BE$2,Tools!$BE$2:$BE$27,O60+1,FALSE)*WLS),""),"")</f>
        <v>4</v>
      </c>
      <c r="N60">
        <f t="shared" si="2"/>
        <v>4</v>
      </c>
      <c r="O60">
        <f t="shared" si="3"/>
        <v>6</v>
      </c>
    </row>
    <row r="61" spans="1:15" x14ac:dyDescent="0.25">
      <c r="A61" s="431">
        <f t="shared" si="4"/>
        <v>60</v>
      </c>
      <c r="B61" s="434">
        <f t="shared" si="0"/>
        <v>5</v>
      </c>
      <c r="C61" s="437">
        <f>IFERROR(-LBP/2+HLOOKUP(Stn_WL,Tools!$AD$2:$AD$27,QUOTIENT(ROW()-2,Max_WL_count)+2,FALSE)*STN_GAP,"")</f>
        <v>-58.48</v>
      </c>
      <c r="D61" s="437">
        <f>IFERROR(VLOOKUP(HLOOKUP(Stn_WL,Tools!$AD$2:$AD$27,QUOTIENT(ROW()-2,Max_WL_count)+2,FALSE),Tools!$AD$3:$BC$27,MOD(ROW()-2,Max_WL_count)+2,FALSE),"")</f>
        <v>9.3000000000000007</v>
      </c>
      <c r="E61" s="435">
        <f>IFERROR(IF(ISNUMBER(D61),HLOOKUP(Tools!$BE$2,Tools!$BE$2:$BE$27,MOD(ROW()-2,Max_WL_count)+2,FALSE)*WLS,""),"")</f>
        <v>13</v>
      </c>
      <c r="I61" s="431">
        <f t="shared" si="5"/>
        <v>60</v>
      </c>
      <c r="J61" s="434">
        <f t="shared" si="1"/>
        <v>5</v>
      </c>
      <c r="K61" s="437">
        <f>IFERROR(-LBP/2+HLOOKUP(Stn_WL,Tools!$AD$2:$AD$27,N61+2,FALSE)*STN_GAP,"")</f>
        <v>-58.48</v>
      </c>
      <c r="L61" s="437">
        <f>IFERROR(IF(AND(ISNUMBER(K61),O61=0),0,VLOOKUP(HLOOKUP(Stn_WL,Tools!$AD$2:$AD$27,N61+2,FALSE),Tools!$AD$3:$BC$27,O61+1,FALSE)),"")</f>
        <v>5.28</v>
      </c>
      <c r="M61" s="437">
        <f>IFERROR(IF(ISNUMBER(L61),IF(O61=0,IFERROR(HLOOKUP(Tools!$BD$127,Tools!$BD$127:$BD$152,N61+2,FALSE)*1,0),HLOOKUP(Tools!$BE$2,Tools!$BE$2:$BE$27,O61+1,FALSE)*WLS),""),"")</f>
        <v>6</v>
      </c>
      <c r="N61">
        <f t="shared" si="2"/>
        <v>4</v>
      </c>
      <c r="O61">
        <f t="shared" si="3"/>
        <v>7</v>
      </c>
    </row>
    <row r="62" spans="1:15" x14ac:dyDescent="0.25">
      <c r="A62" s="431">
        <f t="shared" si="4"/>
        <v>61</v>
      </c>
      <c r="B62" s="434">
        <f t="shared" si="0"/>
        <v>6</v>
      </c>
      <c r="C62" s="437">
        <f>IFERROR(-LBP/2+HLOOKUP(Stn_WL,Tools!$AD$2:$AD$27,QUOTIENT(ROW()-2,Max_WL_count)+2,FALSE)*STN_GAP,"")</f>
        <v>-51.169999999999995</v>
      </c>
      <c r="D62" s="437">
        <f>IFERROR(VLOOKUP(HLOOKUP(Stn_WL,Tools!$AD$2:$AD$27,QUOTIENT(ROW()-2,Max_WL_count)+2,FALSE),Tools!$AD$3:$BC$27,MOD(ROW()-2,Max_WL_count)+2,FALSE),"")</f>
        <v>1.9</v>
      </c>
      <c r="E62" s="435">
        <f>IFERROR(IF(ISNUMBER(D62),HLOOKUP(Tools!$BE$2,Tools!$BE$2:$BE$27,MOD(ROW()-2,Max_WL_count)+2,FALSE)*WLS,""),"")</f>
        <v>0</v>
      </c>
      <c r="I62" s="431">
        <f t="shared" si="5"/>
        <v>61</v>
      </c>
      <c r="J62" s="434">
        <f t="shared" si="1"/>
        <v>5</v>
      </c>
      <c r="K62" s="437">
        <f>IFERROR(-LBP/2+HLOOKUP(Stn_WL,Tools!$AD$2:$AD$27,N62+2,FALSE)*STN_GAP,"")</f>
        <v>-58.48</v>
      </c>
      <c r="L62" s="437">
        <f>IFERROR(IF(AND(ISNUMBER(K62),O62=0),0,VLOOKUP(HLOOKUP(Stn_WL,Tools!$AD$2:$AD$27,N62+2,FALSE),Tools!$AD$3:$BC$27,O62+1,FALSE)),"")</f>
        <v>6.7</v>
      </c>
      <c r="M62" s="437">
        <f>IFERROR(IF(ISNUMBER(L62),IF(O62=0,IFERROR(HLOOKUP(Tools!$BD$127,Tools!$BD$127:$BD$152,N62+2,FALSE)*1,0),HLOOKUP(Tools!$BE$2,Tools!$BE$2:$BE$27,O62+1,FALSE)*WLS),""),"")</f>
        <v>8</v>
      </c>
      <c r="N62">
        <f t="shared" si="2"/>
        <v>4</v>
      </c>
      <c r="O62">
        <f t="shared" si="3"/>
        <v>8</v>
      </c>
    </row>
    <row r="63" spans="1:15" x14ac:dyDescent="0.25">
      <c r="A63" s="431">
        <f t="shared" si="4"/>
        <v>62</v>
      </c>
      <c r="B63" s="434">
        <f t="shared" si="0"/>
        <v>6</v>
      </c>
      <c r="C63" s="437">
        <f>IFERROR(-LBP/2+HLOOKUP(Stn_WL,Tools!$AD$2:$AD$27,QUOTIENT(ROW()-2,Max_WL_count)+2,FALSE)*STN_GAP,"")</f>
        <v>-51.169999999999995</v>
      </c>
      <c r="D63" s="437">
        <f>IFERROR(VLOOKUP(HLOOKUP(Stn_WL,Tools!$AD$2:$AD$27,QUOTIENT(ROW()-2,Max_WL_count)+2,FALSE),Tools!$AD$3:$BC$27,MOD(ROW()-2,Max_WL_count)+2,FALSE),"")</f>
        <v>3.32</v>
      </c>
      <c r="E63" s="435">
        <f>IFERROR(IF(ISNUMBER(D63),HLOOKUP(Tools!$BE$2,Tools!$BE$2:$BE$27,MOD(ROW()-2,Max_WL_count)+2,FALSE)*WLS,""),"")</f>
        <v>0.5</v>
      </c>
      <c r="I63" s="431">
        <f t="shared" si="5"/>
        <v>62</v>
      </c>
      <c r="J63" s="434">
        <f t="shared" si="1"/>
        <v>5</v>
      </c>
      <c r="K63" s="437">
        <f>IFERROR(-LBP/2+HLOOKUP(Stn_WL,Tools!$AD$2:$AD$27,N63+2,FALSE)*STN_GAP,"")</f>
        <v>-58.48</v>
      </c>
      <c r="L63" s="437">
        <f>IFERROR(IF(AND(ISNUMBER(K63),O63=0),0,VLOOKUP(HLOOKUP(Stn_WL,Tools!$AD$2:$AD$27,N63+2,FALSE),Tools!$AD$3:$BC$27,O63+1,FALSE)),"")</f>
        <v>7.89</v>
      </c>
      <c r="M63" s="437">
        <f>IFERROR(IF(ISNUMBER(L63),IF(O63=0,IFERROR(HLOOKUP(Tools!$BD$127,Tools!$BD$127:$BD$152,N63+2,FALSE)*1,0),HLOOKUP(Tools!$BE$2,Tools!$BE$2:$BE$27,O63+1,FALSE)*WLS),""),"")</f>
        <v>9.6999999999999993</v>
      </c>
      <c r="N63">
        <f t="shared" si="2"/>
        <v>4</v>
      </c>
      <c r="O63">
        <f t="shared" si="3"/>
        <v>9</v>
      </c>
    </row>
    <row r="64" spans="1:15" x14ac:dyDescent="0.25">
      <c r="A64" s="431">
        <f t="shared" si="4"/>
        <v>63</v>
      </c>
      <c r="B64" s="434">
        <f t="shared" si="0"/>
        <v>6</v>
      </c>
      <c r="C64" s="437">
        <f>IFERROR(-LBP/2+HLOOKUP(Stn_WL,Tools!$AD$2:$AD$27,QUOTIENT(ROW()-2,Max_WL_count)+2,FALSE)*STN_GAP,"")</f>
        <v>-51.169999999999995</v>
      </c>
      <c r="D64" s="437">
        <f>IFERROR(VLOOKUP(HLOOKUP(Stn_WL,Tools!$AD$2:$AD$27,QUOTIENT(ROW()-2,Max_WL_count)+2,FALSE),Tools!$AD$3:$BC$27,MOD(ROW()-2,Max_WL_count)+2,FALSE),"")</f>
        <v>4.17</v>
      </c>
      <c r="E64" s="435">
        <f>IFERROR(IF(ISNUMBER(D64),HLOOKUP(Tools!$BE$2,Tools!$BE$2:$BE$27,MOD(ROW()-2,Max_WL_count)+2,FALSE)*WLS,""),"")</f>
        <v>1</v>
      </c>
      <c r="I64" s="431">
        <f t="shared" si="5"/>
        <v>63</v>
      </c>
      <c r="J64" s="434">
        <f t="shared" si="1"/>
        <v>5</v>
      </c>
      <c r="K64" s="437">
        <f>IFERROR(-LBP/2+HLOOKUP(Stn_WL,Tools!$AD$2:$AD$27,N64+2,FALSE)*STN_GAP,"")</f>
        <v>-58.48</v>
      </c>
      <c r="L64" s="437">
        <f>IFERROR(IF(AND(ISNUMBER(K64),O64=0),0,VLOOKUP(HLOOKUP(Stn_WL,Tools!$AD$2:$AD$27,N64+2,FALSE),Tools!$AD$3:$BC$27,O64+1,FALSE)),"")</f>
        <v>8.0399999999999991</v>
      </c>
      <c r="M64" s="437">
        <f>IFERROR(IF(ISNUMBER(L64),IF(O64=0,IFERROR(HLOOKUP(Tools!$BD$127,Tools!$BD$127:$BD$152,N64+2,FALSE)*1,0),HLOOKUP(Tools!$BE$2,Tools!$BE$2:$BE$27,O64+1,FALSE)*WLS),""),"")</f>
        <v>10</v>
      </c>
      <c r="N64">
        <f t="shared" si="2"/>
        <v>4</v>
      </c>
      <c r="O64">
        <f t="shared" si="3"/>
        <v>10</v>
      </c>
    </row>
    <row r="65" spans="1:15" x14ac:dyDescent="0.25">
      <c r="A65" s="431">
        <f t="shared" si="4"/>
        <v>64</v>
      </c>
      <c r="B65" s="434">
        <f t="shared" si="0"/>
        <v>6</v>
      </c>
      <c r="C65" s="437">
        <f>IFERROR(-LBP/2+HLOOKUP(Stn_WL,Tools!$AD$2:$AD$27,QUOTIENT(ROW()-2,Max_WL_count)+2,FALSE)*STN_GAP,"")</f>
        <v>-51.169999999999995</v>
      </c>
      <c r="D65" s="437">
        <f>IFERROR(VLOOKUP(HLOOKUP(Stn_WL,Tools!$AD$2:$AD$27,QUOTIENT(ROW()-2,Max_WL_count)+2,FALSE),Tools!$AD$3:$BC$27,MOD(ROW()-2,Max_WL_count)+2,FALSE),"")</f>
        <v>4.72</v>
      </c>
      <c r="E65" s="435">
        <f>IFERROR(IF(ISNUMBER(D65),HLOOKUP(Tools!$BE$2,Tools!$BE$2:$BE$27,MOD(ROW()-2,Max_WL_count)+2,FALSE)*WLS,""),"")</f>
        <v>1.5</v>
      </c>
      <c r="I65" s="431">
        <f t="shared" si="5"/>
        <v>64</v>
      </c>
      <c r="J65" s="434">
        <f t="shared" si="1"/>
        <v>5</v>
      </c>
      <c r="K65" s="437">
        <f>IFERROR(-LBP/2+HLOOKUP(Stn_WL,Tools!$AD$2:$AD$27,N65+2,FALSE)*STN_GAP,"")</f>
        <v>-58.48</v>
      </c>
      <c r="L65" s="437">
        <f>IFERROR(IF(AND(ISNUMBER(K65),O65=0),0,VLOOKUP(HLOOKUP(Stn_WL,Tools!$AD$2:$AD$27,N65+2,FALSE),Tools!$AD$3:$BC$27,O65+1,FALSE)),"")</f>
        <v>8.94</v>
      </c>
      <c r="M65" s="437">
        <f>IFERROR(IF(ISNUMBER(L65),IF(O65=0,IFERROR(HLOOKUP(Tools!$BD$127,Tools!$BD$127:$BD$152,N65+2,FALSE)*1,0),HLOOKUP(Tools!$BE$2,Tools!$BE$2:$BE$27,O65+1,FALSE)*WLS),""),"")</f>
        <v>12</v>
      </c>
      <c r="N65">
        <f t="shared" si="2"/>
        <v>4</v>
      </c>
      <c r="O65">
        <f t="shared" si="3"/>
        <v>11</v>
      </c>
    </row>
    <row r="66" spans="1:15" x14ac:dyDescent="0.25">
      <c r="A66" s="431">
        <f t="shared" si="4"/>
        <v>65</v>
      </c>
      <c r="B66" s="434">
        <f t="shared" ref="B66:B129" si="6">IFERROR(IF(ISNUMBER(D66),QUOTIENT(ROW()-2,Max_WL_count)+1,""),"")</f>
        <v>6</v>
      </c>
      <c r="C66" s="437">
        <f>IFERROR(-LBP/2+HLOOKUP(Stn_WL,Tools!$AD$2:$AD$27,QUOTIENT(ROW()-2,Max_WL_count)+2,FALSE)*STN_GAP,"")</f>
        <v>-51.169999999999995</v>
      </c>
      <c r="D66" s="437">
        <f>IFERROR(VLOOKUP(HLOOKUP(Stn_WL,Tools!$AD$2:$AD$27,QUOTIENT(ROW()-2,Max_WL_count)+2,FALSE),Tools!$AD$3:$BC$27,MOD(ROW()-2,Max_WL_count)+2,FALSE),"")</f>
        <v>5.15</v>
      </c>
      <c r="E66" s="435">
        <f>IFERROR(IF(ISNUMBER(D66),HLOOKUP(Tools!$BE$2,Tools!$BE$2:$BE$27,MOD(ROW()-2,Max_WL_count)+2,FALSE)*WLS,""),"")</f>
        <v>2</v>
      </c>
      <c r="I66" s="431">
        <f t="shared" si="5"/>
        <v>65</v>
      </c>
      <c r="J66" s="434">
        <f t="shared" ref="J66:J129" si="7">IFERROR(IF(ISNUMBER(L66),QUOTIENT(ROW()-2,Max_WL_count+1)+1,""),"")</f>
        <v>5</v>
      </c>
      <c r="K66" s="437">
        <f>IFERROR(-LBP/2+HLOOKUP(Stn_WL,Tools!$AD$2:$AD$27,N66+2,FALSE)*STN_GAP,"")</f>
        <v>-58.48</v>
      </c>
      <c r="L66" s="437">
        <f>IFERROR(IF(AND(ISNUMBER(K66),O66=0),0,VLOOKUP(HLOOKUP(Stn_WL,Tools!$AD$2:$AD$27,N66+2,FALSE),Tools!$AD$3:$BC$27,O66+1,FALSE)),"")</f>
        <v>9.3000000000000007</v>
      </c>
      <c r="M66" s="437">
        <f>IFERROR(IF(ISNUMBER(L66),IF(O66=0,IFERROR(HLOOKUP(Tools!$BD$127,Tools!$BD$127:$BD$152,N66+2,FALSE)*1,0),HLOOKUP(Tools!$BE$2,Tools!$BE$2:$BE$27,O66+1,FALSE)*WLS),""),"")</f>
        <v>13</v>
      </c>
      <c r="N66">
        <f t="shared" ref="N66:N129" si="8">QUOTIENT(ROW()-2,Max_WL_count+1)</f>
        <v>4</v>
      </c>
      <c r="O66">
        <f t="shared" ref="O66:O129" si="9">MOD(ROW()-2,Max_WL_count+1)</f>
        <v>12</v>
      </c>
    </row>
    <row r="67" spans="1:15" x14ac:dyDescent="0.25">
      <c r="A67" s="431">
        <f t="shared" ref="A67:A130" si="10">IF(ISNUMBER(D67),ROW()-1,"")</f>
        <v>66</v>
      </c>
      <c r="B67" s="434">
        <f t="shared" si="6"/>
        <v>6</v>
      </c>
      <c r="C67" s="437">
        <f>IFERROR(-LBP/2+HLOOKUP(Stn_WL,Tools!$AD$2:$AD$27,QUOTIENT(ROW()-2,Max_WL_count)+2,FALSE)*STN_GAP,"")</f>
        <v>-51.169999999999995</v>
      </c>
      <c r="D67" s="437">
        <f>IFERROR(VLOOKUP(HLOOKUP(Stn_WL,Tools!$AD$2:$AD$27,QUOTIENT(ROW()-2,Max_WL_count)+2,FALSE),Tools!$AD$3:$BC$27,MOD(ROW()-2,Max_WL_count)+2,FALSE),"")</f>
        <v>6.67</v>
      </c>
      <c r="E67" s="435">
        <f>IFERROR(IF(ISNUMBER(D67),HLOOKUP(Tools!$BE$2,Tools!$BE$2:$BE$27,MOD(ROW()-2,Max_WL_count)+2,FALSE)*WLS,""),"")</f>
        <v>4</v>
      </c>
      <c r="I67" s="431">
        <f t="shared" ref="I67:I130" si="11">IF(ISNUMBER(L67),ROW()-1,"")</f>
        <v>66</v>
      </c>
      <c r="J67" s="434">
        <f t="shared" si="7"/>
        <v>6</v>
      </c>
      <c r="K67" s="437">
        <f>IFERROR(-LBP/2+HLOOKUP(Stn_WL,Tools!$AD$2:$AD$27,N67+2,FALSE)*STN_GAP,"")</f>
        <v>-51.169999999999995</v>
      </c>
      <c r="L67" s="437">
        <f>IFERROR(IF(AND(ISNUMBER(K67),O67=0),0,VLOOKUP(HLOOKUP(Stn_WL,Tools!$AD$2:$AD$27,N67+2,FALSE),Tools!$AD$3:$BC$27,O67+1,FALSE)),"")</f>
        <v>0</v>
      </c>
      <c r="M67" s="437">
        <f>IFERROR(IF(ISNUMBER(L67),IF(O67=0,IFERROR(HLOOKUP(Tools!$BD$127,Tools!$BD$127:$BD$152,N67+2,FALSE)*1,0),HLOOKUP(Tools!$BE$2,Tools!$BE$2:$BE$27,O67+1,FALSE)*WLS),""),"")</f>
        <v>0</v>
      </c>
      <c r="N67">
        <f t="shared" si="8"/>
        <v>5</v>
      </c>
      <c r="O67">
        <f t="shared" si="9"/>
        <v>0</v>
      </c>
    </row>
    <row r="68" spans="1:15" x14ac:dyDescent="0.25">
      <c r="A68" s="431">
        <f t="shared" si="10"/>
        <v>67</v>
      </c>
      <c r="B68" s="434">
        <f t="shared" si="6"/>
        <v>6</v>
      </c>
      <c r="C68" s="437">
        <f>IFERROR(-LBP/2+HLOOKUP(Stn_WL,Tools!$AD$2:$AD$27,QUOTIENT(ROW()-2,Max_WL_count)+2,FALSE)*STN_GAP,"")</f>
        <v>-51.169999999999995</v>
      </c>
      <c r="D68" s="437">
        <f>IFERROR(VLOOKUP(HLOOKUP(Stn_WL,Tools!$AD$2:$AD$27,QUOTIENT(ROW()-2,Max_WL_count)+2,FALSE),Tools!$AD$3:$BC$27,MOD(ROW()-2,Max_WL_count)+2,FALSE),"")</f>
        <v>7.76</v>
      </c>
      <c r="E68" s="435">
        <f>IFERROR(IF(ISNUMBER(D68),HLOOKUP(Tools!$BE$2,Tools!$BE$2:$BE$27,MOD(ROW()-2,Max_WL_count)+2,FALSE)*WLS,""),"")</f>
        <v>6</v>
      </c>
      <c r="I68" s="431">
        <f t="shared" si="11"/>
        <v>67</v>
      </c>
      <c r="J68" s="434">
        <f t="shared" si="7"/>
        <v>6</v>
      </c>
      <c r="K68" s="437">
        <f>IFERROR(-LBP/2+HLOOKUP(Stn_WL,Tools!$AD$2:$AD$27,N68+2,FALSE)*STN_GAP,"")</f>
        <v>-51.169999999999995</v>
      </c>
      <c r="L68" s="437">
        <f>IFERROR(IF(AND(ISNUMBER(K68),O68=0),0,VLOOKUP(HLOOKUP(Stn_WL,Tools!$AD$2:$AD$27,N68+2,FALSE),Tools!$AD$3:$BC$27,O68+1,FALSE)),"")</f>
        <v>1.9</v>
      </c>
      <c r="M68" s="437">
        <f>IFERROR(IF(ISNUMBER(L68),IF(O68=0,IFERROR(HLOOKUP(Tools!$BD$127,Tools!$BD$127:$BD$152,N68+2,FALSE)*1,0),HLOOKUP(Tools!$BE$2,Tools!$BE$2:$BE$27,O68+1,FALSE)*WLS),""),"")</f>
        <v>0</v>
      </c>
      <c r="N68">
        <f t="shared" si="8"/>
        <v>5</v>
      </c>
      <c r="O68">
        <f t="shared" si="9"/>
        <v>1</v>
      </c>
    </row>
    <row r="69" spans="1:15" x14ac:dyDescent="0.25">
      <c r="A69" s="431">
        <f t="shared" si="10"/>
        <v>68</v>
      </c>
      <c r="B69" s="434">
        <f t="shared" si="6"/>
        <v>6</v>
      </c>
      <c r="C69" s="437">
        <f>IFERROR(-LBP/2+HLOOKUP(Stn_WL,Tools!$AD$2:$AD$27,QUOTIENT(ROW()-2,Max_WL_count)+2,FALSE)*STN_GAP,"")</f>
        <v>-51.169999999999995</v>
      </c>
      <c r="D69" s="437">
        <f>IFERROR(VLOOKUP(HLOOKUP(Stn_WL,Tools!$AD$2:$AD$27,QUOTIENT(ROW()-2,Max_WL_count)+2,FALSE),Tools!$AD$3:$BC$27,MOD(ROW()-2,Max_WL_count)+2,FALSE),"")</f>
        <v>8.65</v>
      </c>
      <c r="E69" s="435">
        <f>IFERROR(IF(ISNUMBER(D69),HLOOKUP(Tools!$BE$2,Tools!$BE$2:$BE$27,MOD(ROW()-2,Max_WL_count)+2,FALSE)*WLS,""),"")</f>
        <v>8</v>
      </c>
      <c r="I69" s="431">
        <f t="shared" si="11"/>
        <v>68</v>
      </c>
      <c r="J69" s="434">
        <f t="shared" si="7"/>
        <v>6</v>
      </c>
      <c r="K69" s="437">
        <f>IFERROR(-LBP/2+HLOOKUP(Stn_WL,Tools!$AD$2:$AD$27,N69+2,FALSE)*STN_GAP,"")</f>
        <v>-51.169999999999995</v>
      </c>
      <c r="L69" s="437">
        <f>IFERROR(IF(AND(ISNUMBER(K69),O69=0),0,VLOOKUP(HLOOKUP(Stn_WL,Tools!$AD$2:$AD$27,N69+2,FALSE),Tools!$AD$3:$BC$27,O69+1,FALSE)),"")</f>
        <v>3.32</v>
      </c>
      <c r="M69" s="437">
        <f>IFERROR(IF(ISNUMBER(L69),IF(O69=0,IFERROR(HLOOKUP(Tools!$BD$127,Tools!$BD$127:$BD$152,N69+2,FALSE)*1,0),HLOOKUP(Tools!$BE$2,Tools!$BE$2:$BE$27,O69+1,FALSE)*WLS),""),"")</f>
        <v>0.5</v>
      </c>
      <c r="N69">
        <f t="shared" si="8"/>
        <v>5</v>
      </c>
      <c r="O69">
        <f t="shared" si="9"/>
        <v>2</v>
      </c>
    </row>
    <row r="70" spans="1:15" x14ac:dyDescent="0.25">
      <c r="A70" s="431">
        <f t="shared" si="10"/>
        <v>69</v>
      </c>
      <c r="B70" s="434">
        <f t="shared" si="6"/>
        <v>6</v>
      </c>
      <c r="C70" s="437">
        <f>IFERROR(-LBP/2+HLOOKUP(Stn_WL,Tools!$AD$2:$AD$27,QUOTIENT(ROW()-2,Max_WL_count)+2,FALSE)*STN_GAP,"")</f>
        <v>-51.169999999999995</v>
      </c>
      <c r="D70" s="437">
        <f>IFERROR(VLOOKUP(HLOOKUP(Stn_WL,Tools!$AD$2:$AD$27,QUOTIENT(ROW()-2,Max_WL_count)+2,FALSE),Tools!$AD$3:$BC$27,MOD(ROW()-2,Max_WL_count)+2,FALSE),"")</f>
        <v>9.43</v>
      </c>
      <c r="E70" s="435">
        <f>IFERROR(IF(ISNUMBER(D70),HLOOKUP(Tools!$BE$2,Tools!$BE$2:$BE$27,MOD(ROW()-2,Max_WL_count)+2,FALSE)*WLS,""),"")</f>
        <v>9.6999999999999993</v>
      </c>
      <c r="I70" s="431">
        <f t="shared" si="11"/>
        <v>69</v>
      </c>
      <c r="J70" s="434">
        <f t="shared" si="7"/>
        <v>6</v>
      </c>
      <c r="K70" s="437">
        <f>IFERROR(-LBP/2+HLOOKUP(Stn_WL,Tools!$AD$2:$AD$27,N70+2,FALSE)*STN_GAP,"")</f>
        <v>-51.169999999999995</v>
      </c>
      <c r="L70" s="437">
        <f>IFERROR(IF(AND(ISNUMBER(K70),O70=0),0,VLOOKUP(HLOOKUP(Stn_WL,Tools!$AD$2:$AD$27,N70+2,FALSE),Tools!$AD$3:$BC$27,O70+1,FALSE)),"")</f>
        <v>4.17</v>
      </c>
      <c r="M70" s="437">
        <f>IFERROR(IF(ISNUMBER(L70),IF(O70=0,IFERROR(HLOOKUP(Tools!$BD$127,Tools!$BD$127:$BD$152,N70+2,FALSE)*1,0),HLOOKUP(Tools!$BE$2,Tools!$BE$2:$BE$27,O70+1,FALSE)*WLS),""),"")</f>
        <v>1</v>
      </c>
      <c r="N70">
        <f t="shared" si="8"/>
        <v>5</v>
      </c>
      <c r="O70">
        <f t="shared" si="9"/>
        <v>3</v>
      </c>
    </row>
    <row r="71" spans="1:15" x14ac:dyDescent="0.25">
      <c r="A71" s="431">
        <f t="shared" si="10"/>
        <v>70</v>
      </c>
      <c r="B71" s="434">
        <f t="shared" si="6"/>
        <v>6</v>
      </c>
      <c r="C71" s="437">
        <f>IFERROR(-LBP/2+HLOOKUP(Stn_WL,Tools!$AD$2:$AD$27,QUOTIENT(ROW()-2,Max_WL_count)+2,FALSE)*STN_GAP,"")</f>
        <v>-51.169999999999995</v>
      </c>
      <c r="D71" s="437">
        <f>IFERROR(VLOOKUP(HLOOKUP(Stn_WL,Tools!$AD$2:$AD$27,QUOTIENT(ROW()-2,Max_WL_count)+2,FALSE),Tools!$AD$3:$BC$27,MOD(ROW()-2,Max_WL_count)+2,FALSE),"")</f>
        <v>9.5399999999999991</v>
      </c>
      <c r="E71" s="435">
        <f>IFERROR(IF(ISNUMBER(D71),HLOOKUP(Tools!$BE$2,Tools!$BE$2:$BE$27,MOD(ROW()-2,Max_WL_count)+2,FALSE)*WLS,""),"")</f>
        <v>10</v>
      </c>
      <c r="I71" s="431">
        <f t="shared" si="11"/>
        <v>70</v>
      </c>
      <c r="J71" s="434">
        <f t="shared" si="7"/>
        <v>6</v>
      </c>
      <c r="K71" s="437">
        <f>IFERROR(-LBP/2+HLOOKUP(Stn_WL,Tools!$AD$2:$AD$27,N71+2,FALSE)*STN_GAP,"")</f>
        <v>-51.169999999999995</v>
      </c>
      <c r="L71" s="437">
        <f>IFERROR(IF(AND(ISNUMBER(K71),O71=0),0,VLOOKUP(HLOOKUP(Stn_WL,Tools!$AD$2:$AD$27,N71+2,FALSE),Tools!$AD$3:$BC$27,O71+1,FALSE)),"")</f>
        <v>4.72</v>
      </c>
      <c r="M71" s="437">
        <f>IFERROR(IF(ISNUMBER(L71),IF(O71=0,IFERROR(HLOOKUP(Tools!$BD$127,Tools!$BD$127:$BD$152,N71+2,FALSE)*1,0),HLOOKUP(Tools!$BE$2,Tools!$BE$2:$BE$27,O71+1,FALSE)*WLS),""),"")</f>
        <v>1.5</v>
      </c>
      <c r="N71">
        <f t="shared" si="8"/>
        <v>5</v>
      </c>
      <c r="O71">
        <f t="shared" si="9"/>
        <v>4</v>
      </c>
    </row>
    <row r="72" spans="1:15" x14ac:dyDescent="0.25">
      <c r="A72" s="431">
        <f t="shared" si="10"/>
        <v>71</v>
      </c>
      <c r="B72" s="434">
        <f t="shared" si="6"/>
        <v>6</v>
      </c>
      <c r="C72" s="437">
        <f>IFERROR(-LBP/2+HLOOKUP(Stn_WL,Tools!$AD$2:$AD$27,QUOTIENT(ROW()-2,Max_WL_count)+2,FALSE)*STN_GAP,"")</f>
        <v>-51.169999999999995</v>
      </c>
      <c r="D72" s="437">
        <f>IFERROR(VLOOKUP(HLOOKUP(Stn_WL,Tools!$AD$2:$AD$27,QUOTIENT(ROW()-2,Max_WL_count)+2,FALSE),Tools!$AD$3:$BC$27,MOD(ROW()-2,Max_WL_count)+2,FALSE),"")</f>
        <v>10.1</v>
      </c>
      <c r="E72" s="435">
        <f>IFERROR(IF(ISNUMBER(D72),HLOOKUP(Tools!$BE$2,Tools!$BE$2:$BE$27,MOD(ROW()-2,Max_WL_count)+2,FALSE)*WLS,""),"")</f>
        <v>12</v>
      </c>
      <c r="I72" s="431">
        <f t="shared" si="11"/>
        <v>71</v>
      </c>
      <c r="J72" s="434">
        <f t="shared" si="7"/>
        <v>6</v>
      </c>
      <c r="K72" s="437">
        <f>IFERROR(-LBP/2+HLOOKUP(Stn_WL,Tools!$AD$2:$AD$27,N72+2,FALSE)*STN_GAP,"")</f>
        <v>-51.169999999999995</v>
      </c>
      <c r="L72" s="437">
        <f>IFERROR(IF(AND(ISNUMBER(K72),O72=0),0,VLOOKUP(HLOOKUP(Stn_WL,Tools!$AD$2:$AD$27,N72+2,FALSE),Tools!$AD$3:$BC$27,O72+1,FALSE)),"")</f>
        <v>5.15</v>
      </c>
      <c r="M72" s="437">
        <f>IFERROR(IF(ISNUMBER(L72),IF(O72=0,IFERROR(HLOOKUP(Tools!$BD$127,Tools!$BD$127:$BD$152,N72+2,FALSE)*1,0),HLOOKUP(Tools!$BE$2,Tools!$BE$2:$BE$27,O72+1,FALSE)*WLS),""),"")</f>
        <v>2</v>
      </c>
      <c r="N72">
        <f t="shared" si="8"/>
        <v>5</v>
      </c>
      <c r="O72">
        <f t="shared" si="9"/>
        <v>5</v>
      </c>
    </row>
    <row r="73" spans="1:15" x14ac:dyDescent="0.25">
      <c r="A73" s="431">
        <f t="shared" si="10"/>
        <v>72</v>
      </c>
      <c r="B73" s="434">
        <f t="shared" si="6"/>
        <v>6</v>
      </c>
      <c r="C73" s="437">
        <f>IFERROR(-LBP/2+HLOOKUP(Stn_WL,Tools!$AD$2:$AD$27,QUOTIENT(ROW()-2,Max_WL_count)+2,FALSE)*STN_GAP,"")</f>
        <v>-51.169999999999995</v>
      </c>
      <c r="D73" s="437">
        <f>IFERROR(VLOOKUP(HLOOKUP(Stn_WL,Tools!$AD$2:$AD$27,QUOTIENT(ROW()-2,Max_WL_count)+2,FALSE),Tools!$AD$3:$BC$27,MOD(ROW()-2,Max_WL_count)+2,FALSE),"")</f>
        <v>10.44</v>
      </c>
      <c r="E73" s="435">
        <f>IFERROR(IF(ISNUMBER(D73),HLOOKUP(Tools!$BE$2,Tools!$BE$2:$BE$27,MOD(ROW()-2,Max_WL_count)+2,FALSE)*WLS,""),"")</f>
        <v>13</v>
      </c>
      <c r="I73" s="431">
        <f t="shared" si="11"/>
        <v>72</v>
      </c>
      <c r="J73" s="434">
        <f t="shared" si="7"/>
        <v>6</v>
      </c>
      <c r="K73" s="437">
        <f>IFERROR(-LBP/2+HLOOKUP(Stn_WL,Tools!$AD$2:$AD$27,N73+2,FALSE)*STN_GAP,"")</f>
        <v>-51.169999999999995</v>
      </c>
      <c r="L73" s="437">
        <f>IFERROR(IF(AND(ISNUMBER(K73),O73=0),0,VLOOKUP(HLOOKUP(Stn_WL,Tools!$AD$2:$AD$27,N73+2,FALSE),Tools!$AD$3:$BC$27,O73+1,FALSE)),"")</f>
        <v>6.67</v>
      </c>
      <c r="M73" s="437">
        <f>IFERROR(IF(ISNUMBER(L73),IF(O73=0,IFERROR(HLOOKUP(Tools!$BD$127,Tools!$BD$127:$BD$152,N73+2,FALSE)*1,0),HLOOKUP(Tools!$BE$2,Tools!$BE$2:$BE$27,O73+1,FALSE)*WLS),""),"")</f>
        <v>4</v>
      </c>
      <c r="N73">
        <f t="shared" si="8"/>
        <v>5</v>
      </c>
      <c r="O73">
        <f t="shared" si="9"/>
        <v>6</v>
      </c>
    </row>
    <row r="74" spans="1:15" x14ac:dyDescent="0.25">
      <c r="A74" s="431">
        <f t="shared" si="10"/>
        <v>73</v>
      </c>
      <c r="B74" s="434">
        <f t="shared" si="6"/>
        <v>7</v>
      </c>
      <c r="C74" s="437">
        <f>IFERROR(-LBP/2+HLOOKUP(Stn_WL,Tools!$AD$2:$AD$27,QUOTIENT(ROW()-2,Max_WL_count)+2,FALSE)*STN_GAP,"")</f>
        <v>-43.86</v>
      </c>
      <c r="D74" s="437">
        <f>IFERROR(VLOOKUP(HLOOKUP(Stn_WL,Tools!$AD$2:$AD$27,QUOTIENT(ROW()-2,Max_WL_count)+2,FALSE),Tools!$AD$3:$BC$27,MOD(ROW()-2,Max_WL_count)+2,FALSE),"")</f>
        <v>3.8</v>
      </c>
      <c r="E74" s="435">
        <f>IFERROR(IF(ISNUMBER(D74),HLOOKUP(Tools!$BE$2,Tools!$BE$2:$BE$27,MOD(ROW()-2,Max_WL_count)+2,FALSE)*WLS,""),"")</f>
        <v>0</v>
      </c>
      <c r="I74" s="431">
        <f t="shared" si="11"/>
        <v>73</v>
      </c>
      <c r="J74" s="434">
        <f t="shared" si="7"/>
        <v>6</v>
      </c>
      <c r="K74" s="437">
        <f>IFERROR(-LBP/2+HLOOKUP(Stn_WL,Tools!$AD$2:$AD$27,N74+2,FALSE)*STN_GAP,"")</f>
        <v>-51.169999999999995</v>
      </c>
      <c r="L74" s="437">
        <f>IFERROR(IF(AND(ISNUMBER(K74),O74=0),0,VLOOKUP(HLOOKUP(Stn_WL,Tools!$AD$2:$AD$27,N74+2,FALSE),Tools!$AD$3:$BC$27,O74+1,FALSE)),"")</f>
        <v>7.76</v>
      </c>
      <c r="M74" s="437">
        <f>IFERROR(IF(ISNUMBER(L74),IF(O74=0,IFERROR(HLOOKUP(Tools!$BD$127,Tools!$BD$127:$BD$152,N74+2,FALSE)*1,0),HLOOKUP(Tools!$BE$2,Tools!$BE$2:$BE$27,O74+1,FALSE)*WLS),""),"")</f>
        <v>6</v>
      </c>
      <c r="N74">
        <f t="shared" si="8"/>
        <v>5</v>
      </c>
      <c r="O74">
        <f t="shared" si="9"/>
        <v>7</v>
      </c>
    </row>
    <row r="75" spans="1:15" x14ac:dyDescent="0.25">
      <c r="A75" s="431">
        <f t="shared" si="10"/>
        <v>74</v>
      </c>
      <c r="B75" s="434">
        <f t="shared" si="6"/>
        <v>7</v>
      </c>
      <c r="C75" s="437">
        <f>IFERROR(-LBP/2+HLOOKUP(Stn_WL,Tools!$AD$2:$AD$27,QUOTIENT(ROW()-2,Max_WL_count)+2,FALSE)*STN_GAP,"")</f>
        <v>-43.86</v>
      </c>
      <c r="D75" s="437">
        <f>IFERROR(VLOOKUP(HLOOKUP(Stn_WL,Tools!$AD$2:$AD$27,QUOTIENT(ROW()-2,Max_WL_count)+2,FALSE),Tools!$AD$3:$BC$27,MOD(ROW()-2,Max_WL_count)+2,FALSE),"")</f>
        <v>5.33</v>
      </c>
      <c r="E75" s="435">
        <f>IFERROR(IF(ISNUMBER(D75),HLOOKUP(Tools!$BE$2,Tools!$BE$2:$BE$27,MOD(ROW()-2,Max_WL_count)+2,FALSE)*WLS,""),"")</f>
        <v>0.5</v>
      </c>
      <c r="I75" s="431">
        <f t="shared" si="11"/>
        <v>74</v>
      </c>
      <c r="J75" s="434">
        <f t="shared" si="7"/>
        <v>6</v>
      </c>
      <c r="K75" s="437">
        <f>IFERROR(-LBP/2+HLOOKUP(Stn_WL,Tools!$AD$2:$AD$27,N75+2,FALSE)*STN_GAP,"")</f>
        <v>-51.169999999999995</v>
      </c>
      <c r="L75" s="437">
        <f>IFERROR(IF(AND(ISNUMBER(K75),O75=0),0,VLOOKUP(HLOOKUP(Stn_WL,Tools!$AD$2:$AD$27,N75+2,FALSE),Tools!$AD$3:$BC$27,O75+1,FALSE)),"")</f>
        <v>8.65</v>
      </c>
      <c r="M75" s="437">
        <f>IFERROR(IF(ISNUMBER(L75),IF(O75=0,IFERROR(HLOOKUP(Tools!$BD$127,Tools!$BD$127:$BD$152,N75+2,FALSE)*1,0),HLOOKUP(Tools!$BE$2,Tools!$BE$2:$BE$27,O75+1,FALSE)*WLS),""),"")</f>
        <v>8</v>
      </c>
      <c r="N75">
        <f t="shared" si="8"/>
        <v>5</v>
      </c>
      <c r="O75">
        <f t="shared" si="9"/>
        <v>8</v>
      </c>
    </row>
    <row r="76" spans="1:15" x14ac:dyDescent="0.25">
      <c r="A76" s="431">
        <f t="shared" si="10"/>
        <v>75</v>
      </c>
      <c r="B76" s="434">
        <f t="shared" si="6"/>
        <v>7</v>
      </c>
      <c r="C76" s="437">
        <f>IFERROR(-LBP/2+HLOOKUP(Stn_WL,Tools!$AD$2:$AD$27,QUOTIENT(ROW()-2,Max_WL_count)+2,FALSE)*STN_GAP,"")</f>
        <v>-43.86</v>
      </c>
      <c r="D76" s="437">
        <f>IFERROR(VLOOKUP(HLOOKUP(Stn_WL,Tools!$AD$2:$AD$27,QUOTIENT(ROW()-2,Max_WL_count)+2,FALSE),Tools!$AD$3:$BC$27,MOD(ROW()-2,Max_WL_count)+2,FALSE),"")</f>
        <v>6.26</v>
      </c>
      <c r="E76" s="435">
        <f>IFERROR(IF(ISNUMBER(D76),HLOOKUP(Tools!$BE$2,Tools!$BE$2:$BE$27,MOD(ROW()-2,Max_WL_count)+2,FALSE)*WLS,""),"")</f>
        <v>1</v>
      </c>
      <c r="I76" s="431">
        <f t="shared" si="11"/>
        <v>75</v>
      </c>
      <c r="J76" s="434">
        <f t="shared" si="7"/>
        <v>6</v>
      </c>
      <c r="K76" s="437">
        <f>IFERROR(-LBP/2+HLOOKUP(Stn_WL,Tools!$AD$2:$AD$27,N76+2,FALSE)*STN_GAP,"")</f>
        <v>-51.169999999999995</v>
      </c>
      <c r="L76" s="437">
        <f>IFERROR(IF(AND(ISNUMBER(K76),O76=0),0,VLOOKUP(HLOOKUP(Stn_WL,Tools!$AD$2:$AD$27,N76+2,FALSE),Tools!$AD$3:$BC$27,O76+1,FALSE)),"")</f>
        <v>9.43</v>
      </c>
      <c r="M76" s="437">
        <f>IFERROR(IF(ISNUMBER(L76),IF(O76=0,IFERROR(HLOOKUP(Tools!$BD$127,Tools!$BD$127:$BD$152,N76+2,FALSE)*1,0),HLOOKUP(Tools!$BE$2,Tools!$BE$2:$BE$27,O76+1,FALSE)*WLS),""),"")</f>
        <v>9.6999999999999993</v>
      </c>
      <c r="N76">
        <f t="shared" si="8"/>
        <v>5</v>
      </c>
      <c r="O76">
        <f t="shared" si="9"/>
        <v>9</v>
      </c>
    </row>
    <row r="77" spans="1:15" x14ac:dyDescent="0.25">
      <c r="A77" s="431">
        <f t="shared" si="10"/>
        <v>76</v>
      </c>
      <c r="B77" s="434">
        <f t="shared" si="6"/>
        <v>7</v>
      </c>
      <c r="C77" s="437">
        <f>IFERROR(-LBP/2+HLOOKUP(Stn_WL,Tools!$AD$2:$AD$27,QUOTIENT(ROW()-2,Max_WL_count)+2,FALSE)*STN_GAP,"")</f>
        <v>-43.86</v>
      </c>
      <c r="D77" s="437">
        <f>IFERROR(VLOOKUP(HLOOKUP(Stn_WL,Tools!$AD$2:$AD$27,QUOTIENT(ROW()-2,Max_WL_count)+2,FALSE),Tools!$AD$3:$BC$27,MOD(ROW()-2,Max_WL_count)+2,FALSE),"")</f>
        <v>6.83</v>
      </c>
      <c r="E77" s="435">
        <f>IFERROR(IF(ISNUMBER(D77),HLOOKUP(Tools!$BE$2,Tools!$BE$2:$BE$27,MOD(ROW()-2,Max_WL_count)+2,FALSE)*WLS,""),"")</f>
        <v>1.5</v>
      </c>
      <c r="I77" s="431">
        <f t="shared" si="11"/>
        <v>76</v>
      </c>
      <c r="J77" s="434">
        <f t="shared" si="7"/>
        <v>6</v>
      </c>
      <c r="K77" s="437">
        <f>IFERROR(-LBP/2+HLOOKUP(Stn_WL,Tools!$AD$2:$AD$27,N77+2,FALSE)*STN_GAP,"")</f>
        <v>-51.169999999999995</v>
      </c>
      <c r="L77" s="437">
        <f>IFERROR(IF(AND(ISNUMBER(K77),O77=0),0,VLOOKUP(HLOOKUP(Stn_WL,Tools!$AD$2:$AD$27,N77+2,FALSE),Tools!$AD$3:$BC$27,O77+1,FALSE)),"")</f>
        <v>9.5399999999999991</v>
      </c>
      <c r="M77" s="437">
        <f>IFERROR(IF(ISNUMBER(L77),IF(O77=0,IFERROR(HLOOKUP(Tools!$BD$127,Tools!$BD$127:$BD$152,N77+2,FALSE)*1,0),HLOOKUP(Tools!$BE$2,Tools!$BE$2:$BE$27,O77+1,FALSE)*WLS),""),"")</f>
        <v>10</v>
      </c>
      <c r="N77">
        <f t="shared" si="8"/>
        <v>5</v>
      </c>
      <c r="O77">
        <f t="shared" si="9"/>
        <v>10</v>
      </c>
    </row>
    <row r="78" spans="1:15" x14ac:dyDescent="0.25">
      <c r="A78" s="431">
        <f t="shared" si="10"/>
        <v>77</v>
      </c>
      <c r="B78" s="434">
        <f t="shared" si="6"/>
        <v>7</v>
      </c>
      <c r="C78" s="437">
        <f>IFERROR(-LBP/2+HLOOKUP(Stn_WL,Tools!$AD$2:$AD$27,QUOTIENT(ROW()-2,Max_WL_count)+2,FALSE)*STN_GAP,"")</f>
        <v>-43.86</v>
      </c>
      <c r="D78" s="437">
        <f>IFERROR(VLOOKUP(HLOOKUP(Stn_WL,Tools!$AD$2:$AD$27,QUOTIENT(ROW()-2,Max_WL_count)+2,FALSE),Tools!$AD$3:$BC$27,MOD(ROW()-2,Max_WL_count)+2,FALSE),"")</f>
        <v>7.29</v>
      </c>
      <c r="E78" s="435">
        <f>IFERROR(IF(ISNUMBER(D78),HLOOKUP(Tools!$BE$2,Tools!$BE$2:$BE$27,MOD(ROW()-2,Max_WL_count)+2,FALSE)*WLS,""),"")</f>
        <v>2</v>
      </c>
      <c r="I78" s="431">
        <f t="shared" si="11"/>
        <v>77</v>
      </c>
      <c r="J78" s="434">
        <f t="shared" si="7"/>
        <v>6</v>
      </c>
      <c r="K78" s="437">
        <f>IFERROR(-LBP/2+HLOOKUP(Stn_WL,Tools!$AD$2:$AD$27,N78+2,FALSE)*STN_GAP,"")</f>
        <v>-51.169999999999995</v>
      </c>
      <c r="L78" s="437">
        <f>IFERROR(IF(AND(ISNUMBER(K78),O78=0),0,VLOOKUP(HLOOKUP(Stn_WL,Tools!$AD$2:$AD$27,N78+2,FALSE),Tools!$AD$3:$BC$27,O78+1,FALSE)),"")</f>
        <v>10.1</v>
      </c>
      <c r="M78" s="437">
        <f>IFERROR(IF(ISNUMBER(L78),IF(O78=0,IFERROR(HLOOKUP(Tools!$BD$127,Tools!$BD$127:$BD$152,N78+2,FALSE)*1,0),HLOOKUP(Tools!$BE$2,Tools!$BE$2:$BE$27,O78+1,FALSE)*WLS),""),"")</f>
        <v>12</v>
      </c>
      <c r="N78">
        <f t="shared" si="8"/>
        <v>5</v>
      </c>
      <c r="O78">
        <f t="shared" si="9"/>
        <v>11</v>
      </c>
    </row>
    <row r="79" spans="1:15" x14ac:dyDescent="0.25">
      <c r="A79" s="431">
        <f t="shared" si="10"/>
        <v>78</v>
      </c>
      <c r="B79" s="434">
        <f t="shared" si="6"/>
        <v>7</v>
      </c>
      <c r="C79" s="437">
        <f>IFERROR(-LBP/2+HLOOKUP(Stn_WL,Tools!$AD$2:$AD$27,QUOTIENT(ROW()-2,Max_WL_count)+2,FALSE)*STN_GAP,"")</f>
        <v>-43.86</v>
      </c>
      <c r="D79" s="437">
        <f>IFERROR(VLOOKUP(HLOOKUP(Stn_WL,Tools!$AD$2:$AD$27,QUOTIENT(ROW()-2,Max_WL_count)+2,FALSE),Tools!$AD$3:$BC$27,MOD(ROW()-2,Max_WL_count)+2,FALSE),"")</f>
        <v>8.61</v>
      </c>
      <c r="E79" s="435">
        <f>IFERROR(IF(ISNUMBER(D79),HLOOKUP(Tools!$BE$2,Tools!$BE$2:$BE$27,MOD(ROW()-2,Max_WL_count)+2,FALSE)*WLS,""),"")</f>
        <v>4</v>
      </c>
      <c r="I79" s="431">
        <f t="shared" si="11"/>
        <v>78</v>
      </c>
      <c r="J79" s="434">
        <f t="shared" si="7"/>
        <v>6</v>
      </c>
      <c r="K79" s="437">
        <f>IFERROR(-LBP/2+HLOOKUP(Stn_WL,Tools!$AD$2:$AD$27,N79+2,FALSE)*STN_GAP,"")</f>
        <v>-51.169999999999995</v>
      </c>
      <c r="L79" s="437">
        <f>IFERROR(IF(AND(ISNUMBER(K79),O79=0),0,VLOOKUP(HLOOKUP(Stn_WL,Tools!$AD$2:$AD$27,N79+2,FALSE),Tools!$AD$3:$BC$27,O79+1,FALSE)),"")</f>
        <v>10.44</v>
      </c>
      <c r="M79" s="437">
        <f>IFERROR(IF(ISNUMBER(L79),IF(O79=0,IFERROR(HLOOKUP(Tools!$BD$127,Tools!$BD$127:$BD$152,N79+2,FALSE)*1,0),HLOOKUP(Tools!$BE$2,Tools!$BE$2:$BE$27,O79+1,FALSE)*WLS),""),"")</f>
        <v>13</v>
      </c>
      <c r="N79">
        <f t="shared" si="8"/>
        <v>5</v>
      </c>
      <c r="O79">
        <f t="shared" si="9"/>
        <v>12</v>
      </c>
    </row>
    <row r="80" spans="1:15" x14ac:dyDescent="0.25">
      <c r="A80" s="431">
        <f t="shared" si="10"/>
        <v>79</v>
      </c>
      <c r="B80" s="434">
        <f t="shared" si="6"/>
        <v>7</v>
      </c>
      <c r="C80" s="437">
        <f>IFERROR(-LBP/2+HLOOKUP(Stn_WL,Tools!$AD$2:$AD$27,QUOTIENT(ROW()-2,Max_WL_count)+2,FALSE)*STN_GAP,"")</f>
        <v>-43.86</v>
      </c>
      <c r="D80" s="437">
        <f>IFERROR(VLOOKUP(HLOOKUP(Stn_WL,Tools!$AD$2:$AD$27,QUOTIENT(ROW()-2,Max_WL_count)+2,FALSE),Tools!$AD$3:$BC$27,MOD(ROW()-2,Max_WL_count)+2,FALSE),"")</f>
        <v>9.4499999999999993</v>
      </c>
      <c r="E80" s="435">
        <f>IFERROR(IF(ISNUMBER(D80),HLOOKUP(Tools!$BE$2,Tools!$BE$2:$BE$27,MOD(ROW()-2,Max_WL_count)+2,FALSE)*WLS,""),"")</f>
        <v>6</v>
      </c>
      <c r="I80" s="431">
        <f t="shared" si="11"/>
        <v>79</v>
      </c>
      <c r="J80" s="434">
        <f t="shared" si="7"/>
        <v>7</v>
      </c>
      <c r="K80" s="437">
        <f>IFERROR(-LBP/2+HLOOKUP(Stn_WL,Tools!$AD$2:$AD$27,N80+2,FALSE)*STN_GAP,"")</f>
        <v>-43.86</v>
      </c>
      <c r="L80" s="437">
        <f>IFERROR(IF(AND(ISNUMBER(K80),O80=0),0,VLOOKUP(HLOOKUP(Stn_WL,Tools!$AD$2:$AD$27,N80+2,FALSE),Tools!$AD$3:$BC$27,O80+1,FALSE)),"")</f>
        <v>0</v>
      </c>
      <c r="M80" s="437">
        <f>IFERROR(IF(ISNUMBER(L80),IF(O80=0,IFERROR(HLOOKUP(Tools!$BD$127,Tools!$BD$127:$BD$152,N80+2,FALSE)*1,0),HLOOKUP(Tools!$BE$2,Tools!$BE$2:$BE$27,O80+1,FALSE)*WLS),""),"")</f>
        <v>0</v>
      </c>
      <c r="N80">
        <f t="shared" si="8"/>
        <v>6</v>
      </c>
      <c r="O80">
        <f t="shared" si="9"/>
        <v>0</v>
      </c>
    </row>
    <row r="81" spans="1:15" x14ac:dyDescent="0.25">
      <c r="A81" s="431">
        <f t="shared" si="10"/>
        <v>80</v>
      </c>
      <c r="B81" s="434">
        <f t="shared" si="6"/>
        <v>7</v>
      </c>
      <c r="C81" s="437">
        <f>IFERROR(-LBP/2+HLOOKUP(Stn_WL,Tools!$AD$2:$AD$27,QUOTIENT(ROW()-2,Max_WL_count)+2,FALSE)*STN_GAP,"")</f>
        <v>-43.86</v>
      </c>
      <c r="D81" s="437">
        <f>IFERROR(VLOOKUP(HLOOKUP(Stn_WL,Tools!$AD$2:$AD$27,QUOTIENT(ROW()-2,Max_WL_count)+2,FALSE),Tools!$AD$3:$BC$27,MOD(ROW()-2,Max_WL_count)+2,FALSE),"")</f>
        <v>10.1</v>
      </c>
      <c r="E81" s="435">
        <f>IFERROR(IF(ISNUMBER(D81),HLOOKUP(Tools!$BE$2,Tools!$BE$2:$BE$27,MOD(ROW()-2,Max_WL_count)+2,FALSE)*WLS,""),"")</f>
        <v>8</v>
      </c>
      <c r="I81" s="431">
        <f t="shared" si="11"/>
        <v>80</v>
      </c>
      <c r="J81" s="434">
        <f t="shared" si="7"/>
        <v>7</v>
      </c>
      <c r="K81" s="437">
        <f>IFERROR(-LBP/2+HLOOKUP(Stn_WL,Tools!$AD$2:$AD$27,N81+2,FALSE)*STN_GAP,"")</f>
        <v>-43.86</v>
      </c>
      <c r="L81" s="437">
        <f>IFERROR(IF(AND(ISNUMBER(K81),O81=0),0,VLOOKUP(HLOOKUP(Stn_WL,Tools!$AD$2:$AD$27,N81+2,FALSE),Tools!$AD$3:$BC$27,O81+1,FALSE)),"")</f>
        <v>3.8</v>
      </c>
      <c r="M81" s="437">
        <f>IFERROR(IF(ISNUMBER(L81),IF(O81=0,IFERROR(HLOOKUP(Tools!$BD$127,Tools!$BD$127:$BD$152,N81+2,FALSE)*1,0),HLOOKUP(Tools!$BE$2,Tools!$BE$2:$BE$27,O81+1,FALSE)*WLS),""),"")</f>
        <v>0</v>
      </c>
      <c r="N81">
        <f t="shared" si="8"/>
        <v>6</v>
      </c>
      <c r="O81">
        <f t="shared" si="9"/>
        <v>1</v>
      </c>
    </row>
    <row r="82" spans="1:15" x14ac:dyDescent="0.25">
      <c r="A82" s="431">
        <f t="shared" si="10"/>
        <v>81</v>
      </c>
      <c r="B82" s="434">
        <f t="shared" si="6"/>
        <v>7</v>
      </c>
      <c r="C82" s="437">
        <f>IFERROR(-LBP/2+HLOOKUP(Stn_WL,Tools!$AD$2:$AD$27,QUOTIENT(ROW()-2,Max_WL_count)+2,FALSE)*STN_GAP,"")</f>
        <v>-43.86</v>
      </c>
      <c r="D82" s="437">
        <f>IFERROR(VLOOKUP(HLOOKUP(Stn_WL,Tools!$AD$2:$AD$27,QUOTIENT(ROW()-2,Max_WL_count)+2,FALSE),Tools!$AD$3:$BC$27,MOD(ROW()-2,Max_WL_count)+2,FALSE),"")</f>
        <v>10.45</v>
      </c>
      <c r="E82" s="435">
        <f>IFERROR(IF(ISNUMBER(D82),HLOOKUP(Tools!$BE$2,Tools!$BE$2:$BE$27,MOD(ROW()-2,Max_WL_count)+2,FALSE)*WLS,""),"")</f>
        <v>9.6999999999999993</v>
      </c>
      <c r="I82" s="431">
        <f t="shared" si="11"/>
        <v>81</v>
      </c>
      <c r="J82" s="434">
        <f t="shared" si="7"/>
        <v>7</v>
      </c>
      <c r="K82" s="437">
        <f>IFERROR(-LBP/2+HLOOKUP(Stn_WL,Tools!$AD$2:$AD$27,N82+2,FALSE)*STN_GAP,"")</f>
        <v>-43.86</v>
      </c>
      <c r="L82" s="437">
        <f>IFERROR(IF(AND(ISNUMBER(K82),O82=0),0,VLOOKUP(HLOOKUP(Stn_WL,Tools!$AD$2:$AD$27,N82+2,FALSE),Tools!$AD$3:$BC$27,O82+1,FALSE)),"")</f>
        <v>5.33</v>
      </c>
      <c r="M82" s="437">
        <f>IFERROR(IF(ISNUMBER(L82),IF(O82=0,IFERROR(HLOOKUP(Tools!$BD$127,Tools!$BD$127:$BD$152,N82+2,FALSE)*1,0),HLOOKUP(Tools!$BE$2,Tools!$BE$2:$BE$27,O82+1,FALSE)*WLS),""),"")</f>
        <v>0.5</v>
      </c>
      <c r="N82">
        <f t="shared" si="8"/>
        <v>6</v>
      </c>
      <c r="O82">
        <f t="shared" si="9"/>
        <v>2</v>
      </c>
    </row>
    <row r="83" spans="1:15" x14ac:dyDescent="0.25">
      <c r="A83" s="431">
        <f t="shared" si="10"/>
        <v>82</v>
      </c>
      <c r="B83" s="434">
        <f t="shared" si="6"/>
        <v>7</v>
      </c>
      <c r="C83" s="437">
        <f>IFERROR(-LBP/2+HLOOKUP(Stn_WL,Tools!$AD$2:$AD$27,QUOTIENT(ROW()-2,Max_WL_count)+2,FALSE)*STN_GAP,"")</f>
        <v>-43.86</v>
      </c>
      <c r="D83" s="437">
        <f>IFERROR(VLOOKUP(HLOOKUP(Stn_WL,Tools!$AD$2:$AD$27,QUOTIENT(ROW()-2,Max_WL_count)+2,FALSE),Tools!$AD$3:$BC$27,MOD(ROW()-2,Max_WL_count)+2,FALSE),"")</f>
        <v>10.5</v>
      </c>
      <c r="E83" s="435">
        <f>IFERROR(IF(ISNUMBER(D83),HLOOKUP(Tools!$BE$2,Tools!$BE$2:$BE$27,MOD(ROW()-2,Max_WL_count)+2,FALSE)*WLS,""),"")</f>
        <v>10</v>
      </c>
      <c r="I83" s="431">
        <f t="shared" si="11"/>
        <v>82</v>
      </c>
      <c r="J83" s="434">
        <f t="shared" si="7"/>
        <v>7</v>
      </c>
      <c r="K83" s="437">
        <f>IFERROR(-LBP/2+HLOOKUP(Stn_WL,Tools!$AD$2:$AD$27,N83+2,FALSE)*STN_GAP,"")</f>
        <v>-43.86</v>
      </c>
      <c r="L83" s="437">
        <f>IFERROR(IF(AND(ISNUMBER(K83),O83=0),0,VLOOKUP(HLOOKUP(Stn_WL,Tools!$AD$2:$AD$27,N83+2,FALSE),Tools!$AD$3:$BC$27,O83+1,FALSE)),"")</f>
        <v>6.26</v>
      </c>
      <c r="M83" s="437">
        <f>IFERROR(IF(ISNUMBER(L83),IF(O83=0,IFERROR(HLOOKUP(Tools!$BD$127,Tools!$BD$127:$BD$152,N83+2,FALSE)*1,0),HLOOKUP(Tools!$BE$2,Tools!$BE$2:$BE$27,O83+1,FALSE)*WLS),""),"")</f>
        <v>1</v>
      </c>
      <c r="N83">
        <f t="shared" si="8"/>
        <v>6</v>
      </c>
      <c r="O83">
        <f t="shared" si="9"/>
        <v>3</v>
      </c>
    </row>
    <row r="84" spans="1:15" x14ac:dyDescent="0.25">
      <c r="A84" s="431">
        <f t="shared" si="10"/>
        <v>83</v>
      </c>
      <c r="B84" s="434">
        <f t="shared" si="6"/>
        <v>7</v>
      </c>
      <c r="C84" s="437">
        <f>IFERROR(-LBP/2+HLOOKUP(Stn_WL,Tools!$AD$2:$AD$27,QUOTIENT(ROW()-2,Max_WL_count)+2,FALSE)*STN_GAP,"")</f>
        <v>-43.86</v>
      </c>
      <c r="D84" s="437">
        <f>IFERROR(VLOOKUP(HLOOKUP(Stn_WL,Tools!$AD$2:$AD$27,QUOTIENT(ROW()-2,Max_WL_count)+2,FALSE),Tools!$AD$3:$BC$27,MOD(ROW()-2,Max_WL_count)+2,FALSE),"")</f>
        <v>10.8</v>
      </c>
      <c r="E84" s="435">
        <f>IFERROR(IF(ISNUMBER(D84),HLOOKUP(Tools!$BE$2,Tools!$BE$2:$BE$27,MOD(ROW()-2,Max_WL_count)+2,FALSE)*WLS,""),"")</f>
        <v>12</v>
      </c>
      <c r="I84" s="431">
        <f t="shared" si="11"/>
        <v>83</v>
      </c>
      <c r="J84" s="434">
        <f t="shared" si="7"/>
        <v>7</v>
      </c>
      <c r="K84" s="437">
        <f>IFERROR(-LBP/2+HLOOKUP(Stn_WL,Tools!$AD$2:$AD$27,N84+2,FALSE)*STN_GAP,"")</f>
        <v>-43.86</v>
      </c>
      <c r="L84" s="437">
        <f>IFERROR(IF(AND(ISNUMBER(K84),O84=0),0,VLOOKUP(HLOOKUP(Stn_WL,Tools!$AD$2:$AD$27,N84+2,FALSE),Tools!$AD$3:$BC$27,O84+1,FALSE)),"")</f>
        <v>6.83</v>
      </c>
      <c r="M84" s="437">
        <f>IFERROR(IF(ISNUMBER(L84),IF(O84=0,IFERROR(HLOOKUP(Tools!$BD$127,Tools!$BD$127:$BD$152,N84+2,FALSE)*1,0),HLOOKUP(Tools!$BE$2,Tools!$BE$2:$BE$27,O84+1,FALSE)*WLS),""),"")</f>
        <v>1.5</v>
      </c>
      <c r="N84">
        <f t="shared" si="8"/>
        <v>6</v>
      </c>
      <c r="O84">
        <f t="shared" si="9"/>
        <v>4</v>
      </c>
    </row>
    <row r="85" spans="1:15" x14ac:dyDescent="0.25">
      <c r="A85" s="431">
        <f t="shared" si="10"/>
        <v>84</v>
      </c>
      <c r="B85" s="434">
        <f t="shared" si="6"/>
        <v>7</v>
      </c>
      <c r="C85" s="437">
        <f>IFERROR(-LBP/2+HLOOKUP(Stn_WL,Tools!$AD$2:$AD$27,QUOTIENT(ROW()-2,Max_WL_count)+2,FALSE)*STN_GAP,"")</f>
        <v>-43.86</v>
      </c>
      <c r="D85" s="437">
        <f>IFERROR(VLOOKUP(HLOOKUP(Stn_WL,Tools!$AD$2:$AD$27,QUOTIENT(ROW()-2,Max_WL_count)+2,FALSE),Tools!$AD$3:$BC$27,MOD(ROW()-2,Max_WL_count)+2,FALSE),"")</f>
        <v>10.87</v>
      </c>
      <c r="E85" s="435">
        <f>IFERROR(IF(ISNUMBER(D85),HLOOKUP(Tools!$BE$2,Tools!$BE$2:$BE$27,MOD(ROW()-2,Max_WL_count)+2,FALSE)*WLS,""),"")</f>
        <v>13</v>
      </c>
      <c r="I85" s="431">
        <f t="shared" si="11"/>
        <v>84</v>
      </c>
      <c r="J85" s="434">
        <f t="shared" si="7"/>
        <v>7</v>
      </c>
      <c r="K85" s="437">
        <f>IFERROR(-LBP/2+HLOOKUP(Stn_WL,Tools!$AD$2:$AD$27,N85+2,FALSE)*STN_GAP,"")</f>
        <v>-43.86</v>
      </c>
      <c r="L85" s="437">
        <f>IFERROR(IF(AND(ISNUMBER(K85),O85=0),0,VLOOKUP(HLOOKUP(Stn_WL,Tools!$AD$2:$AD$27,N85+2,FALSE),Tools!$AD$3:$BC$27,O85+1,FALSE)),"")</f>
        <v>7.29</v>
      </c>
      <c r="M85" s="437">
        <f>IFERROR(IF(ISNUMBER(L85),IF(O85=0,IFERROR(HLOOKUP(Tools!$BD$127,Tools!$BD$127:$BD$152,N85+2,FALSE)*1,0),HLOOKUP(Tools!$BE$2,Tools!$BE$2:$BE$27,O85+1,FALSE)*WLS),""),"")</f>
        <v>2</v>
      </c>
      <c r="N85">
        <f t="shared" si="8"/>
        <v>6</v>
      </c>
      <c r="O85">
        <f t="shared" si="9"/>
        <v>5</v>
      </c>
    </row>
    <row r="86" spans="1:15" x14ac:dyDescent="0.25">
      <c r="A86" s="431">
        <f t="shared" si="10"/>
        <v>85</v>
      </c>
      <c r="B86" s="434">
        <f t="shared" si="6"/>
        <v>8</v>
      </c>
      <c r="C86" s="437">
        <f>IFERROR(-LBP/2+HLOOKUP(Stn_WL,Tools!$AD$2:$AD$27,QUOTIENT(ROW()-2,Max_WL_count)+2,FALSE)*STN_GAP,"")</f>
        <v>-36.549999999999997</v>
      </c>
      <c r="D86" s="437">
        <f>IFERROR(VLOOKUP(HLOOKUP(Stn_WL,Tools!$AD$2:$AD$27,QUOTIENT(ROW()-2,Max_WL_count)+2,FALSE),Tools!$AD$3:$BC$27,MOD(ROW()-2,Max_WL_count)+2,FALSE),"")</f>
        <v>5.9</v>
      </c>
      <c r="E86" s="435">
        <f>IFERROR(IF(ISNUMBER(D86),HLOOKUP(Tools!$BE$2,Tools!$BE$2:$BE$27,MOD(ROW()-2,Max_WL_count)+2,FALSE)*WLS,""),"")</f>
        <v>0</v>
      </c>
      <c r="I86" s="431">
        <f t="shared" si="11"/>
        <v>85</v>
      </c>
      <c r="J86" s="434">
        <f t="shared" si="7"/>
        <v>7</v>
      </c>
      <c r="K86" s="437">
        <f>IFERROR(-LBP/2+HLOOKUP(Stn_WL,Tools!$AD$2:$AD$27,N86+2,FALSE)*STN_GAP,"")</f>
        <v>-43.86</v>
      </c>
      <c r="L86" s="437">
        <f>IFERROR(IF(AND(ISNUMBER(K86),O86=0),0,VLOOKUP(HLOOKUP(Stn_WL,Tools!$AD$2:$AD$27,N86+2,FALSE),Tools!$AD$3:$BC$27,O86+1,FALSE)),"")</f>
        <v>8.61</v>
      </c>
      <c r="M86" s="437">
        <f>IFERROR(IF(ISNUMBER(L86),IF(O86=0,IFERROR(HLOOKUP(Tools!$BD$127,Tools!$BD$127:$BD$152,N86+2,FALSE)*1,0),HLOOKUP(Tools!$BE$2,Tools!$BE$2:$BE$27,O86+1,FALSE)*WLS),""),"")</f>
        <v>4</v>
      </c>
      <c r="N86">
        <f t="shared" si="8"/>
        <v>6</v>
      </c>
      <c r="O86">
        <f t="shared" si="9"/>
        <v>6</v>
      </c>
    </row>
    <row r="87" spans="1:15" x14ac:dyDescent="0.25">
      <c r="A87" s="431">
        <f t="shared" si="10"/>
        <v>86</v>
      </c>
      <c r="B87" s="434">
        <f t="shared" si="6"/>
        <v>8</v>
      </c>
      <c r="C87" s="437">
        <f>IFERROR(-LBP/2+HLOOKUP(Stn_WL,Tools!$AD$2:$AD$27,QUOTIENT(ROW()-2,Max_WL_count)+2,FALSE)*STN_GAP,"")</f>
        <v>-36.549999999999997</v>
      </c>
      <c r="D87" s="437">
        <f>IFERROR(VLOOKUP(HLOOKUP(Stn_WL,Tools!$AD$2:$AD$27,QUOTIENT(ROW()-2,Max_WL_count)+2,FALSE),Tools!$AD$3:$BC$27,MOD(ROW()-2,Max_WL_count)+2,FALSE),"")</f>
        <v>7.26</v>
      </c>
      <c r="E87" s="435">
        <f>IFERROR(IF(ISNUMBER(D87),HLOOKUP(Tools!$BE$2,Tools!$BE$2:$BE$27,MOD(ROW()-2,Max_WL_count)+2,FALSE)*WLS,""),"")</f>
        <v>0.5</v>
      </c>
      <c r="I87" s="431">
        <f t="shared" si="11"/>
        <v>86</v>
      </c>
      <c r="J87" s="434">
        <f t="shared" si="7"/>
        <v>7</v>
      </c>
      <c r="K87" s="437">
        <f>IFERROR(-LBP/2+HLOOKUP(Stn_WL,Tools!$AD$2:$AD$27,N87+2,FALSE)*STN_GAP,"")</f>
        <v>-43.86</v>
      </c>
      <c r="L87" s="437">
        <f>IFERROR(IF(AND(ISNUMBER(K87),O87=0),0,VLOOKUP(HLOOKUP(Stn_WL,Tools!$AD$2:$AD$27,N87+2,FALSE),Tools!$AD$3:$BC$27,O87+1,FALSE)),"")</f>
        <v>9.4499999999999993</v>
      </c>
      <c r="M87" s="437">
        <f>IFERROR(IF(ISNUMBER(L87),IF(O87=0,IFERROR(HLOOKUP(Tools!$BD$127,Tools!$BD$127:$BD$152,N87+2,FALSE)*1,0),HLOOKUP(Tools!$BE$2,Tools!$BE$2:$BE$27,O87+1,FALSE)*WLS),""),"")</f>
        <v>6</v>
      </c>
      <c r="N87">
        <f t="shared" si="8"/>
        <v>6</v>
      </c>
      <c r="O87">
        <f t="shared" si="9"/>
        <v>7</v>
      </c>
    </row>
    <row r="88" spans="1:15" x14ac:dyDescent="0.25">
      <c r="A88" s="431">
        <f t="shared" si="10"/>
        <v>87</v>
      </c>
      <c r="B88" s="434">
        <f t="shared" si="6"/>
        <v>8</v>
      </c>
      <c r="C88" s="437">
        <f>IFERROR(-LBP/2+HLOOKUP(Stn_WL,Tools!$AD$2:$AD$27,QUOTIENT(ROW()-2,Max_WL_count)+2,FALSE)*STN_GAP,"")</f>
        <v>-36.549999999999997</v>
      </c>
      <c r="D88" s="437">
        <f>IFERROR(VLOOKUP(HLOOKUP(Stn_WL,Tools!$AD$2:$AD$27,QUOTIENT(ROW()-2,Max_WL_count)+2,FALSE),Tools!$AD$3:$BC$27,MOD(ROW()-2,Max_WL_count)+2,FALSE),"")</f>
        <v>8.1199999999999992</v>
      </c>
      <c r="E88" s="435">
        <f>IFERROR(IF(ISNUMBER(D88),HLOOKUP(Tools!$BE$2,Tools!$BE$2:$BE$27,MOD(ROW()-2,Max_WL_count)+2,FALSE)*WLS,""),"")</f>
        <v>1</v>
      </c>
      <c r="I88" s="431">
        <f t="shared" si="11"/>
        <v>87</v>
      </c>
      <c r="J88" s="434">
        <f t="shared" si="7"/>
        <v>7</v>
      </c>
      <c r="K88" s="437">
        <f>IFERROR(-LBP/2+HLOOKUP(Stn_WL,Tools!$AD$2:$AD$27,N88+2,FALSE)*STN_GAP,"")</f>
        <v>-43.86</v>
      </c>
      <c r="L88" s="437">
        <f>IFERROR(IF(AND(ISNUMBER(K88),O88=0),0,VLOOKUP(HLOOKUP(Stn_WL,Tools!$AD$2:$AD$27,N88+2,FALSE),Tools!$AD$3:$BC$27,O88+1,FALSE)),"")</f>
        <v>10.1</v>
      </c>
      <c r="M88" s="437">
        <f>IFERROR(IF(ISNUMBER(L88),IF(O88=0,IFERROR(HLOOKUP(Tools!$BD$127,Tools!$BD$127:$BD$152,N88+2,FALSE)*1,0),HLOOKUP(Tools!$BE$2,Tools!$BE$2:$BE$27,O88+1,FALSE)*WLS),""),"")</f>
        <v>8</v>
      </c>
      <c r="N88">
        <f t="shared" si="8"/>
        <v>6</v>
      </c>
      <c r="O88">
        <f t="shared" si="9"/>
        <v>8</v>
      </c>
    </row>
    <row r="89" spans="1:15" x14ac:dyDescent="0.25">
      <c r="A89" s="431">
        <f t="shared" si="10"/>
        <v>88</v>
      </c>
      <c r="B89" s="434">
        <f t="shared" si="6"/>
        <v>8</v>
      </c>
      <c r="C89" s="437">
        <f>IFERROR(-LBP/2+HLOOKUP(Stn_WL,Tools!$AD$2:$AD$27,QUOTIENT(ROW()-2,Max_WL_count)+2,FALSE)*STN_GAP,"")</f>
        <v>-36.549999999999997</v>
      </c>
      <c r="D89" s="437">
        <f>IFERROR(VLOOKUP(HLOOKUP(Stn_WL,Tools!$AD$2:$AD$27,QUOTIENT(ROW()-2,Max_WL_count)+2,FALSE),Tools!$AD$3:$BC$27,MOD(ROW()-2,Max_WL_count)+2,FALSE),"")</f>
        <v>8.6999999999999993</v>
      </c>
      <c r="E89" s="435">
        <f>IFERROR(IF(ISNUMBER(D89),HLOOKUP(Tools!$BE$2,Tools!$BE$2:$BE$27,MOD(ROW()-2,Max_WL_count)+2,FALSE)*WLS,""),"")</f>
        <v>1.5</v>
      </c>
      <c r="I89" s="431">
        <f t="shared" si="11"/>
        <v>88</v>
      </c>
      <c r="J89" s="434">
        <f t="shared" si="7"/>
        <v>7</v>
      </c>
      <c r="K89" s="437">
        <f>IFERROR(-LBP/2+HLOOKUP(Stn_WL,Tools!$AD$2:$AD$27,N89+2,FALSE)*STN_GAP,"")</f>
        <v>-43.86</v>
      </c>
      <c r="L89" s="437">
        <f>IFERROR(IF(AND(ISNUMBER(K89),O89=0),0,VLOOKUP(HLOOKUP(Stn_WL,Tools!$AD$2:$AD$27,N89+2,FALSE),Tools!$AD$3:$BC$27,O89+1,FALSE)),"")</f>
        <v>10.45</v>
      </c>
      <c r="M89" s="437">
        <f>IFERROR(IF(ISNUMBER(L89),IF(O89=0,IFERROR(HLOOKUP(Tools!$BD$127,Tools!$BD$127:$BD$152,N89+2,FALSE)*1,0),HLOOKUP(Tools!$BE$2,Tools!$BE$2:$BE$27,O89+1,FALSE)*WLS),""),"")</f>
        <v>9.6999999999999993</v>
      </c>
      <c r="N89">
        <f t="shared" si="8"/>
        <v>6</v>
      </c>
      <c r="O89">
        <f t="shared" si="9"/>
        <v>9</v>
      </c>
    </row>
    <row r="90" spans="1:15" x14ac:dyDescent="0.25">
      <c r="A90" s="431">
        <f t="shared" si="10"/>
        <v>89</v>
      </c>
      <c r="B90" s="434">
        <f t="shared" si="6"/>
        <v>8</v>
      </c>
      <c r="C90" s="437">
        <f>IFERROR(-LBP/2+HLOOKUP(Stn_WL,Tools!$AD$2:$AD$27,QUOTIENT(ROW()-2,Max_WL_count)+2,FALSE)*STN_GAP,"")</f>
        <v>-36.549999999999997</v>
      </c>
      <c r="D90" s="437">
        <f>IFERROR(VLOOKUP(HLOOKUP(Stn_WL,Tools!$AD$2:$AD$27,QUOTIENT(ROW()-2,Max_WL_count)+2,FALSE),Tools!$AD$3:$BC$27,MOD(ROW()-2,Max_WL_count)+2,FALSE),"")</f>
        <v>9.07</v>
      </c>
      <c r="E90" s="435">
        <f>IFERROR(IF(ISNUMBER(D90),HLOOKUP(Tools!$BE$2,Tools!$BE$2:$BE$27,MOD(ROW()-2,Max_WL_count)+2,FALSE)*WLS,""),"")</f>
        <v>2</v>
      </c>
      <c r="I90" s="431">
        <f t="shared" si="11"/>
        <v>89</v>
      </c>
      <c r="J90" s="434">
        <f t="shared" si="7"/>
        <v>7</v>
      </c>
      <c r="K90" s="437">
        <f>IFERROR(-LBP/2+HLOOKUP(Stn_WL,Tools!$AD$2:$AD$27,N90+2,FALSE)*STN_GAP,"")</f>
        <v>-43.86</v>
      </c>
      <c r="L90" s="437">
        <f>IFERROR(IF(AND(ISNUMBER(K90),O90=0),0,VLOOKUP(HLOOKUP(Stn_WL,Tools!$AD$2:$AD$27,N90+2,FALSE),Tools!$AD$3:$BC$27,O90+1,FALSE)),"")</f>
        <v>10.5</v>
      </c>
      <c r="M90" s="437">
        <f>IFERROR(IF(ISNUMBER(L90),IF(O90=0,IFERROR(HLOOKUP(Tools!$BD$127,Tools!$BD$127:$BD$152,N90+2,FALSE)*1,0),HLOOKUP(Tools!$BE$2,Tools!$BE$2:$BE$27,O90+1,FALSE)*WLS),""),"")</f>
        <v>10</v>
      </c>
      <c r="N90">
        <f t="shared" si="8"/>
        <v>6</v>
      </c>
      <c r="O90">
        <f t="shared" si="9"/>
        <v>10</v>
      </c>
    </row>
    <row r="91" spans="1:15" x14ac:dyDescent="0.25">
      <c r="A91" s="431">
        <f t="shared" si="10"/>
        <v>90</v>
      </c>
      <c r="B91" s="434">
        <f t="shared" si="6"/>
        <v>8</v>
      </c>
      <c r="C91" s="437">
        <f>IFERROR(-LBP/2+HLOOKUP(Stn_WL,Tools!$AD$2:$AD$27,QUOTIENT(ROW()-2,Max_WL_count)+2,FALSE)*STN_GAP,"")</f>
        <v>-36.549999999999997</v>
      </c>
      <c r="D91" s="437">
        <f>IFERROR(VLOOKUP(HLOOKUP(Stn_WL,Tools!$AD$2:$AD$27,QUOTIENT(ROW()-2,Max_WL_count)+2,FALSE),Tools!$AD$3:$BC$27,MOD(ROW()-2,Max_WL_count)+2,FALSE),"")</f>
        <v>9.9499999999999993</v>
      </c>
      <c r="E91" s="435">
        <f>IFERROR(IF(ISNUMBER(D91),HLOOKUP(Tools!$BE$2,Tools!$BE$2:$BE$27,MOD(ROW()-2,Max_WL_count)+2,FALSE)*WLS,""),"")</f>
        <v>4</v>
      </c>
      <c r="I91" s="431">
        <f t="shared" si="11"/>
        <v>90</v>
      </c>
      <c r="J91" s="434">
        <f t="shared" si="7"/>
        <v>7</v>
      </c>
      <c r="K91" s="437">
        <f>IFERROR(-LBP/2+HLOOKUP(Stn_WL,Tools!$AD$2:$AD$27,N91+2,FALSE)*STN_GAP,"")</f>
        <v>-43.86</v>
      </c>
      <c r="L91" s="437">
        <f>IFERROR(IF(AND(ISNUMBER(K91),O91=0),0,VLOOKUP(HLOOKUP(Stn_WL,Tools!$AD$2:$AD$27,N91+2,FALSE),Tools!$AD$3:$BC$27,O91+1,FALSE)),"")</f>
        <v>10.8</v>
      </c>
      <c r="M91" s="437">
        <f>IFERROR(IF(ISNUMBER(L91),IF(O91=0,IFERROR(HLOOKUP(Tools!$BD$127,Tools!$BD$127:$BD$152,N91+2,FALSE)*1,0),HLOOKUP(Tools!$BE$2,Tools!$BE$2:$BE$27,O91+1,FALSE)*WLS),""),"")</f>
        <v>12</v>
      </c>
      <c r="N91">
        <f t="shared" si="8"/>
        <v>6</v>
      </c>
      <c r="O91">
        <f t="shared" si="9"/>
        <v>11</v>
      </c>
    </row>
    <row r="92" spans="1:15" x14ac:dyDescent="0.25">
      <c r="A92" s="431">
        <f t="shared" si="10"/>
        <v>91</v>
      </c>
      <c r="B92" s="434">
        <f t="shared" si="6"/>
        <v>8</v>
      </c>
      <c r="C92" s="437">
        <f>IFERROR(-LBP/2+HLOOKUP(Stn_WL,Tools!$AD$2:$AD$27,QUOTIENT(ROW()-2,Max_WL_count)+2,FALSE)*STN_GAP,"")</f>
        <v>-36.549999999999997</v>
      </c>
      <c r="D92" s="437">
        <f>IFERROR(VLOOKUP(HLOOKUP(Stn_WL,Tools!$AD$2:$AD$27,QUOTIENT(ROW()-2,Max_WL_count)+2,FALSE),Tools!$AD$3:$BC$27,MOD(ROW()-2,Max_WL_count)+2,FALSE),"")</f>
        <v>10.3</v>
      </c>
      <c r="E92" s="435">
        <f>IFERROR(IF(ISNUMBER(D92),HLOOKUP(Tools!$BE$2,Tools!$BE$2:$BE$27,MOD(ROW()-2,Max_WL_count)+2,FALSE)*WLS,""),"")</f>
        <v>6</v>
      </c>
      <c r="I92" s="431">
        <f t="shared" si="11"/>
        <v>91</v>
      </c>
      <c r="J92" s="434">
        <f t="shared" si="7"/>
        <v>7</v>
      </c>
      <c r="K92" s="437">
        <f>IFERROR(-LBP/2+HLOOKUP(Stn_WL,Tools!$AD$2:$AD$27,N92+2,FALSE)*STN_GAP,"")</f>
        <v>-43.86</v>
      </c>
      <c r="L92" s="437">
        <f>IFERROR(IF(AND(ISNUMBER(K92),O92=0),0,VLOOKUP(HLOOKUP(Stn_WL,Tools!$AD$2:$AD$27,N92+2,FALSE),Tools!$AD$3:$BC$27,O92+1,FALSE)),"")</f>
        <v>10.87</v>
      </c>
      <c r="M92" s="437">
        <f>IFERROR(IF(ISNUMBER(L92),IF(O92=0,IFERROR(HLOOKUP(Tools!$BD$127,Tools!$BD$127:$BD$152,N92+2,FALSE)*1,0),HLOOKUP(Tools!$BE$2,Tools!$BE$2:$BE$27,O92+1,FALSE)*WLS),""),"")</f>
        <v>13</v>
      </c>
      <c r="N92">
        <f t="shared" si="8"/>
        <v>6</v>
      </c>
      <c r="O92">
        <f t="shared" si="9"/>
        <v>12</v>
      </c>
    </row>
    <row r="93" spans="1:15" x14ac:dyDescent="0.25">
      <c r="A93" s="431">
        <f t="shared" si="10"/>
        <v>92</v>
      </c>
      <c r="B93" s="434">
        <f t="shared" si="6"/>
        <v>8</v>
      </c>
      <c r="C93" s="437">
        <f>IFERROR(-LBP/2+HLOOKUP(Stn_WL,Tools!$AD$2:$AD$27,QUOTIENT(ROW()-2,Max_WL_count)+2,FALSE)*STN_GAP,"")</f>
        <v>-36.549999999999997</v>
      </c>
      <c r="D93" s="437">
        <f>IFERROR(VLOOKUP(HLOOKUP(Stn_WL,Tools!$AD$2:$AD$27,QUOTIENT(ROW()-2,Max_WL_count)+2,FALSE),Tools!$AD$3:$BC$27,MOD(ROW()-2,Max_WL_count)+2,FALSE),"")</f>
        <v>10.58</v>
      </c>
      <c r="E93" s="435">
        <f>IFERROR(IF(ISNUMBER(D93),HLOOKUP(Tools!$BE$2,Tools!$BE$2:$BE$27,MOD(ROW()-2,Max_WL_count)+2,FALSE)*WLS,""),"")</f>
        <v>8</v>
      </c>
      <c r="I93" s="431">
        <f t="shared" si="11"/>
        <v>92</v>
      </c>
      <c r="J93" s="434">
        <f t="shared" si="7"/>
        <v>8</v>
      </c>
      <c r="K93" s="437">
        <f>IFERROR(-LBP/2+HLOOKUP(Stn_WL,Tools!$AD$2:$AD$27,N93+2,FALSE)*STN_GAP,"")</f>
        <v>-36.549999999999997</v>
      </c>
      <c r="L93" s="437">
        <f>IFERROR(IF(AND(ISNUMBER(K93),O93=0),0,VLOOKUP(HLOOKUP(Stn_WL,Tools!$AD$2:$AD$27,N93+2,FALSE),Tools!$AD$3:$BC$27,O93+1,FALSE)),"")</f>
        <v>0</v>
      </c>
      <c r="M93" s="437">
        <f>IFERROR(IF(ISNUMBER(L93),IF(O93=0,IFERROR(HLOOKUP(Tools!$BD$127,Tools!$BD$127:$BD$152,N93+2,FALSE)*1,0),HLOOKUP(Tools!$BE$2,Tools!$BE$2:$BE$27,O93+1,FALSE)*WLS),""),"")</f>
        <v>0</v>
      </c>
      <c r="N93">
        <f t="shared" si="8"/>
        <v>7</v>
      </c>
      <c r="O93">
        <f t="shared" si="9"/>
        <v>0</v>
      </c>
    </row>
    <row r="94" spans="1:15" x14ac:dyDescent="0.25">
      <c r="A94" s="431">
        <f t="shared" si="10"/>
        <v>93</v>
      </c>
      <c r="B94" s="434">
        <f t="shared" si="6"/>
        <v>8</v>
      </c>
      <c r="C94" s="437">
        <f>IFERROR(-LBP/2+HLOOKUP(Stn_WL,Tools!$AD$2:$AD$27,QUOTIENT(ROW()-2,Max_WL_count)+2,FALSE)*STN_GAP,"")</f>
        <v>-36.549999999999997</v>
      </c>
      <c r="D94" s="437">
        <f>IFERROR(VLOOKUP(HLOOKUP(Stn_WL,Tools!$AD$2:$AD$27,QUOTIENT(ROW()-2,Max_WL_count)+2,FALSE),Tools!$AD$3:$BC$27,MOD(ROW()-2,Max_WL_count)+2,FALSE),"")</f>
        <v>10.72</v>
      </c>
      <c r="E94" s="435">
        <f>IFERROR(IF(ISNUMBER(D94),HLOOKUP(Tools!$BE$2,Tools!$BE$2:$BE$27,MOD(ROW()-2,Max_WL_count)+2,FALSE)*WLS,""),"")</f>
        <v>9.6999999999999993</v>
      </c>
      <c r="I94" s="431">
        <f t="shared" si="11"/>
        <v>93</v>
      </c>
      <c r="J94" s="434">
        <f t="shared" si="7"/>
        <v>8</v>
      </c>
      <c r="K94" s="437">
        <f>IFERROR(-LBP/2+HLOOKUP(Stn_WL,Tools!$AD$2:$AD$27,N94+2,FALSE)*STN_GAP,"")</f>
        <v>-36.549999999999997</v>
      </c>
      <c r="L94" s="437">
        <f>IFERROR(IF(AND(ISNUMBER(K94),O94=0),0,VLOOKUP(HLOOKUP(Stn_WL,Tools!$AD$2:$AD$27,N94+2,FALSE),Tools!$AD$3:$BC$27,O94+1,FALSE)),"")</f>
        <v>5.9</v>
      </c>
      <c r="M94" s="437">
        <f>IFERROR(IF(ISNUMBER(L94),IF(O94=0,IFERROR(HLOOKUP(Tools!$BD$127,Tools!$BD$127:$BD$152,N94+2,FALSE)*1,0),HLOOKUP(Tools!$BE$2,Tools!$BE$2:$BE$27,O94+1,FALSE)*WLS),""),"")</f>
        <v>0</v>
      </c>
      <c r="N94">
        <f t="shared" si="8"/>
        <v>7</v>
      </c>
      <c r="O94">
        <f t="shared" si="9"/>
        <v>1</v>
      </c>
    </row>
    <row r="95" spans="1:15" x14ac:dyDescent="0.25">
      <c r="A95" s="431">
        <f t="shared" si="10"/>
        <v>94</v>
      </c>
      <c r="B95" s="434">
        <f t="shared" si="6"/>
        <v>8</v>
      </c>
      <c r="C95" s="437">
        <f>IFERROR(-LBP/2+HLOOKUP(Stn_WL,Tools!$AD$2:$AD$27,QUOTIENT(ROW()-2,Max_WL_count)+2,FALSE)*STN_GAP,"")</f>
        <v>-36.549999999999997</v>
      </c>
      <c r="D95" s="437">
        <f>IFERROR(VLOOKUP(HLOOKUP(Stn_WL,Tools!$AD$2:$AD$27,QUOTIENT(ROW()-2,Max_WL_count)+2,FALSE),Tools!$AD$3:$BC$27,MOD(ROW()-2,Max_WL_count)+2,FALSE),"")</f>
        <v>10.74</v>
      </c>
      <c r="E95" s="435">
        <f>IFERROR(IF(ISNUMBER(D95),HLOOKUP(Tools!$BE$2,Tools!$BE$2:$BE$27,MOD(ROW()-2,Max_WL_count)+2,FALSE)*WLS,""),"")</f>
        <v>10</v>
      </c>
      <c r="I95" s="431">
        <f t="shared" si="11"/>
        <v>94</v>
      </c>
      <c r="J95" s="434">
        <f t="shared" si="7"/>
        <v>8</v>
      </c>
      <c r="K95" s="437">
        <f>IFERROR(-LBP/2+HLOOKUP(Stn_WL,Tools!$AD$2:$AD$27,N95+2,FALSE)*STN_GAP,"")</f>
        <v>-36.549999999999997</v>
      </c>
      <c r="L95" s="437">
        <f>IFERROR(IF(AND(ISNUMBER(K95),O95=0),0,VLOOKUP(HLOOKUP(Stn_WL,Tools!$AD$2:$AD$27,N95+2,FALSE),Tools!$AD$3:$BC$27,O95+1,FALSE)),"")</f>
        <v>7.26</v>
      </c>
      <c r="M95" s="437">
        <f>IFERROR(IF(ISNUMBER(L95),IF(O95=0,IFERROR(HLOOKUP(Tools!$BD$127,Tools!$BD$127:$BD$152,N95+2,FALSE)*1,0),HLOOKUP(Tools!$BE$2,Tools!$BE$2:$BE$27,O95+1,FALSE)*WLS),""),"")</f>
        <v>0.5</v>
      </c>
      <c r="N95">
        <f t="shared" si="8"/>
        <v>7</v>
      </c>
      <c r="O95">
        <f t="shared" si="9"/>
        <v>2</v>
      </c>
    </row>
    <row r="96" spans="1:15" x14ac:dyDescent="0.25">
      <c r="A96" s="431">
        <f t="shared" si="10"/>
        <v>95</v>
      </c>
      <c r="B96" s="434">
        <f t="shared" si="6"/>
        <v>8</v>
      </c>
      <c r="C96" s="437">
        <f>IFERROR(-LBP/2+HLOOKUP(Stn_WL,Tools!$AD$2:$AD$27,QUOTIENT(ROW()-2,Max_WL_count)+2,FALSE)*STN_GAP,"")</f>
        <v>-36.549999999999997</v>
      </c>
      <c r="D96" s="437">
        <f>IFERROR(VLOOKUP(HLOOKUP(Stn_WL,Tools!$AD$2:$AD$27,QUOTIENT(ROW()-2,Max_WL_count)+2,FALSE),Tools!$AD$3:$BC$27,MOD(ROW()-2,Max_WL_count)+2,FALSE),"")</f>
        <v>10.9</v>
      </c>
      <c r="E96" s="435">
        <f>IFERROR(IF(ISNUMBER(D96),HLOOKUP(Tools!$BE$2,Tools!$BE$2:$BE$27,MOD(ROW()-2,Max_WL_count)+2,FALSE)*WLS,""),"")</f>
        <v>12</v>
      </c>
      <c r="I96" s="431">
        <f t="shared" si="11"/>
        <v>95</v>
      </c>
      <c r="J96" s="434">
        <f t="shared" si="7"/>
        <v>8</v>
      </c>
      <c r="K96" s="437">
        <f>IFERROR(-LBP/2+HLOOKUP(Stn_WL,Tools!$AD$2:$AD$27,N96+2,FALSE)*STN_GAP,"")</f>
        <v>-36.549999999999997</v>
      </c>
      <c r="L96" s="437">
        <f>IFERROR(IF(AND(ISNUMBER(K96),O96=0),0,VLOOKUP(HLOOKUP(Stn_WL,Tools!$AD$2:$AD$27,N96+2,FALSE),Tools!$AD$3:$BC$27,O96+1,FALSE)),"")</f>
        <v>8.1199999999999992</v>
      </c>
      <c r="M96" s="437">
        <f>IFERROR(IF(ISNUMBER(L96),IF(O96=0,IFERROR(HLOOKUP(Tools!$BD$127,Tools!$BD$127:$BD$152,N96+2,FALSE)*1,0),HLOOKUP(Tools!$BE$2,Tools!$BE$2:$BE$27,O96+1,FALSE)*WLS),""),"")</f>
        <v>1</v>
      </c>
      <c r="N96">
        <f t="shared" si="8"/>
        <v>7</v>
      </c>
      <c r="O96">
        <f t="shared" si="9"/>
        <v>3</v>
      </c>
    </row>
    <row r="97" spans="1:15" x14ac:dyDescent="0.25">
      <c r="A97" s="431">
        <f t="shared" si="10"/>
        <v>96</v>
      </c>
      <c r="B97" s="434">
        <f t="shared" si="6"/>
        <v>8</v>
      </c>
      <c r="C97" s="437">
        <f>IFERROR(-LBP/2+HLOOKUP(Stn_WL,Tools!$AD$2:$AD$27,QUOTIENT(ROW()-2,Max_WL_count)+2,FALSE)*STN_GAP,"")</f>
        <v>-36.549999999999997</v>
      </c>
      <c r="D97" s="437">
        <f>IFERROR(VLOOKUP(HLOOKUP(Stn_WL,Tools!$AD$2:$AD$27,QUOTIENT(ROW()-2,Max_WL_count)+2,FALSE),Tools!$AD$3:$BC$27,MOD(ROW()-2,Max_WL_count)+2,FALSE),"")</f>
        <v>11</v>
      </c>
      <c r="E97" s="435">
        <f>IFERROR(IF(ISNUMBER(D97),HLOOKUP(Tools!$BE$2,Tools!$BE$2:$BE$27,MOD(ROW()-2,Max_WL_count)+2,FALSE)*WLS,""),"")</f>
        <v>13</v>
      </c>
      <c r="I97" s="431">
        <f t="shared" si="11"/>
        <v>96</v>
      </c>
      <c r="J97" s="434">
        <f t="shared" si="7"/>
        <v>8</v>
      </c>
      <c r="K97" s="437">
        <f>IFERROR(-LBP/2+HLOOKUP(Stn_WL,Tools!$AD$2:$AD$27,N97+2,FALSE)*STN_GAP,"")</f>
        <v>-36.549999999999997</v>
      </c>
      <c r="L97" s="437">
        <f>IFERROR(IF(AND(ISNUMBER(K97),O97=0),0,VLOOKUP(HLOOKUP(Stn_WL,Tools!$AD$2:$AD$27,N97+2,FALSE),Tools!$AD$3:$BC$27,O97+1,FALSE)),"")</f>
        <v>8.6999999999999993</v>
      </c>
      <c r="M97" s="437">
        <f>IFERROR(IF(ISNUMBER(L97),IF(O97=0,IFERROR(HLOOKUP(Tools!$BD$127,Tools!$BD$127:$BD$152,N97+2,FALSE)*1,0),HLOOKUP(Tools!$BE$2,Tools!$BE$2:$BE$27,O97+1,FALSE)*WLS),""),"")</f>
        <v>1.5</v>
      </c>
      <c r="N97">
        <f t="shared" si="8"/>
        <v>7</v>
      </c>
      <c r="O97">
        <f t="shared" si="9"/>
        <v>4</v>
      </c>
    </row>
    <row r="98" spans="1:15" x14ac:dyDescent="0.25">
      <c r="A98" s="431">
        <f t="shared" si="10"/>
        <v>97</v>
      </c>
      <c r="B98" s="434">
        <f t="shared" si="6"/>
        <v>9</v>
      </c>
      <c r="C98" s="437">
        <f>IFERROR(-LBP/2+HLOOKUP(Stn_WL,Tools!$AD$2:$AD$27,QUOTIENT(ROW()-2,Max_WL_count)+2,FALSE)*STN_GAP,"")</f>
        <v>-29.239999999999995</v>
      </c>
      <c r="D98" s="437">
        <f>IFERROR(VLOOKUP(HLOOKUP(Stn_WL,Tools!$AD$2:$AD$27,QUOTIENT(ROW()-2,Max_WL_count)+2,FALSE),Tools!$AD$3:$BC$27,MOD(ROW()-2,Max_WL_count)+2,FALSE),"")</f>
        <v>7.9</v>
      </c>
      <c r="E98" s="435">
        <f>IFERROR(IF(ISNUMBER(D98),HLOOKUP(Tools!$BE$2,Tools!$BE$2:$BE$27,MOD(ROW()-2,Max_WL_count)+2,FALSE)*WLS,""),"")</f>
        <v>0</v>
      </c>
      <c r="I98" s="431">
        <f t="shared" si="11"/>
        <v>97</v>
      </c>
      <c r="J98" s="434">
        <f t="shared" si="7"/>
        <v>8</v>
      </c>
      <c r="K98" s="437">
        <f>IFERROR(-LBP/2+HLOOKUP(Stn_WL,Tools!$AD$2:$AD$27,N98+2,FALSE)*STN_GAP,"")</f>
        <v>-36.549999999999997</v>
      </c>
      <c r="L98" s="437">
        <f>IFERROR(IF(AND(ISNUMBER(K98),O98=0),0,VLOOKUP(HLOOKUP(Stn_WL,Tools!$AD$2:$AD$27,N98+2,FALSE),Tools!$AD$3:$BC$27,O98+1,FALSE)),"")</f>
        <v>9.07</v>
      </c>
      <c r="M98" s="437">
        <f>IFERROR(IF(ISNUMBER(L98),IF(O98=0,IFERROR(HLOOKUP(Tools!$BD$127,Tools!$BD$127:$BD$152,N98+2,FALSE)*1,0),HLOOKUP(Tools!$BE$2,Tools!$BE$2:$BE$27,O98+1,FALSE)*WLS),""),"")</f>
        <v>2</v>
      </c>
      <c r="N98">
        <f t="shared" si="8"/>
        <v>7</v>
      </c>
      <c r="O98">
        <f t="shared" si="9"/>
        <v>5</v>
      </c>
    </row>
    <row r="99" spans="1:15" x14ac:dyDescent="0.25">
      <c r="A99" s="431">
        <f t="shared" si="10"/>
        <v>98</v>
      </c>
      <c r="B99" s="434">
        <f t="shared" si="6"/>
        <v>9</v>
      </c>
      <c r="C99" s="437">
        <f>IFERROR(-LBP/2+HLOOKUP(Stn_WL,Tools!$AD$2:$AD$27,QUOTIENT(ROW()-2,Max_WL_count)+2,FALSE)*STN_GAP,"")</f>
        <v>-29.239999999999995</v>
      </c>
      <c r="D99" s="437">
        <f>IFERROR(VLOOKUP(HLOOKUP(Stn_WL,Tools!$AD$2:$AD$27,QUOTIENT(ROW()-2,Max_WL_count)+2,FALSE),Tools!$AD$3:$BC$27,MOD(ROW()-2,Max_WL_count)+2,FALSE),"")</f>
        <v>8.9</v>
      </c>
      <c r="E99" s="435">
        <f>IFERROR(IF(ISNUMBER(D99),HLOOKUP(Tools!$BE$2,Tools!$BE$2:$BE$27,MOD(ROW()-2,Max_WL_count)+2,FALSE)*WLS,""),"")</f>
        <v>0.5</v>
      </c>
      <c r="I99" s="431">
        <f t="shared" si="11"/>
        <v>98</v>
      </c>
      <c r="J99" s="434">
        <f t="shared" si="7"/>
        <v>8</v>
      </c>
      <c r="K99" s="437">
        <f>IFERROR(-LBP/2+HLOOKUP(Stn_WL,Tools!$AD$2:$AD$27,N99+2,FALSE)*STN_GAP,"")</f>
        <v>-36.549999999999997</v>
      </c>
      <c r="L99" s="437">
        <f>IFERROR(IF(AND(ISNUMBER(K99),O99=0),0,VLOOKUP(HLOOKUP(Stn_WL,Tools!$AD$2:$AD$27,N99+2,FALSE),Tools!$AD$3:$BC$27,O99+1,FALSE)),"")</f>
        <v>9.9499999999999993</v>
      </c>
      <c r="M99" s="437">
        <f>IFERROR(IF(ISNUMBER(L99),IF(O99=0,IFERROR(HLOOKUP(Tools!$BD$127,Tools!$BD$127:$BD$152,N99+2,FALSE)*1,0),HLOOKUP(Tools!$BE$2,Tools!$BE$2:$BE$27,O99+1,FALSE)*WLS),""),"")</f>
        <v>4</v>
      </c>
      <c r="N99">
        <f t="shared" si="8"/>
        <v>7</v>
      </c>
      <c r="O99">
        <f t="shared" si="9"/>
        <v>6</v>
      </c>
    </row>
    <row r="100" spans="1:15" x14ac:dyDescent="0.25">
      <c r="A100" s="431">
        <f t="shared" si="10"/>
        <v>99</v>
      </c>
      <c r="B100" s="434">
        <f t="shared" si="6"/>
        <v>9</v>
      </c>
      <c r="C100" s="437">
        <f>IFERROR(-LBP/2+HLOOKUP(Stn_WL,Tools!$AD$2:$AD$27,QUOTIENT(ROW()-2,Max_WL_count)+2,FALSE)*STN_GAP,"")</f>
        <v>-29.239999999999995</v>
      </c>
      <c r="D100" s="437">
        <f>IFERROR(VLOOKUP(HLOOKUP(Stn_WL,Tools!$AD$2:$AD$27,QUOTIENT(ROW()-2,Max_WL_count)+2,FALSE),Tools!$AD$3:$BC$27,MOD(ROW()-2,Max_WL_count)+2,FALSE),"")</f>
        <v>9.5</v>
      </c>
      <c r="E100" s="435">
        <f>IFERROR(IF(ISNUMBER(D100),HLOOKUP(Tools!$BE$2,Tools!$BE$2:$BE$27,MOD(ROW()-2,Max_WL_count)+2,FALSE)*WLS,""),"")</f>
        <v>1</v>
      </c>
      <c r="I100" s="431">
        <f t="shared" si="11"/>
        <v>99</v>
      </c>
      <c r="J100" s="434">
        <f t="shared" si="7"/>
        <v>8</v>
      </c>
      <c r="K100" s="437">
        <f>IFERROR(-LBP/2+HLOOKUP(Stn_WL,Tools!$AD$2:$AD$27,N100+2,FALSE)*STN_GAP,"")</f>
        <v>-36.549999999999997</v>
      </c>
      <c r="L100" s="437">
        <f>IFERROR(IF(AND(ISNUMBER(K100),O100=0),0,VLOOKUP(HLOOKUP(Stn_WL,Tools!$AD$2:$AD$27,N100+2,FALSE),Tools!$AD$3:$BC$27,O100+1,FALSE)),"")</f>
        <v>10.3</v>
      </c>
      <c r="M100" s="437">
        <f>IFERROR(IF(ISNUMBER(L100),IF(O100=0,IFERROR(HLOOKUP(Tools!$BD$127,Tools!$BD$127:$BD$152,N100+2,FALSE)*1,0),HLOOKUP(Tools!$BE$2,Tools!$BE$2:$BE$27,O100+1,FALSE)*WLS),""),"")</f>
        <v>6</v>
      </c>
      <c r="N100">
        <f t="shared" si="8"/>
        <v>7</v>
      </c>
      <c r="O100">
        <f t="shared" si="9"/>
        <v>7</v>
      </c>
    </row>
    <row r="101" spans="1:15" x14ac:dyDescent="0.25">
      <c r="A101" s="431">
        <f t="shared" si="10"/>
        <v>100</v>
      </c>
      <c r="B101" s="434">
        <f t="shared" si="6"/>
        <v>9</v>
      </c>
      <c r="C101" s="437">
        <f>IFERROR(-LBP/2+HLOOKUP(Stn_WL,Tools!$AD$2:$AD$27,QUOTIENT(ROW()-2,Max_WL_count)+2,FALSE)*STN_GAP,"")</f>
        <v>-29.239999999999995</v>
      </c>
      <c r="D101" s="437">
        <f>IFERROR(VLOOKUP(HLOOKUP(Stn_WL,Tools!$AD$2:$AD$27,QUOTIENT(ROW()-2,Max_WL_count)+2,FALSE),Tools!$AD$3:$BC$27,MOD(ROW()-2,Max_WL_count)+2,FALSE),"")</f>
        <v>9.94</v>
      </c>
      <c r="E101" s="435">
        <f>IFERROR(IF(ISNUMBER(D101),HLOOKUP(Tools!$BE$2,Tools!$BE$2:$BE$27,MOD(ROW()-2,Max_WL_count)+2,FALSE)*WLS,""),"")</f>
        <v>1.5</v>
      </c>
      <c r="I101" s="431">
        <f t="shared" si="11"/>
        <v>100</v>
      </c>
      <c r="J101" s="434">
        <f t="shared" si="7"/>
        <v>8</v>
      </c>
      <c r="K101" s="437">
        <f>IFERROR(-LBP/2+HLOOKUP(Stn_WL,Tools!$AD$2:$AD$27,N101+2,FALSE)*STN_GAP,"")</f>
        <v>-36.549999999999997</v>
      </c>
      <c r="L101" s="437">
        <f>IFERROR(IF(AND(ISNUMBER(K101),O101=0),0,VLOOKUP(HLOOKUP(Stn_WL,Tools!$AD$2:$AD$27,N101+2,FALSE),Tools!$AD$3:$BC$27,O101+1,FALSE)),"")</f>
        <v>10.58</v>
      </c>
      <c r="M101" s="437">
        <f>IFERROR(IF(ISNUMBER(L101),IF(O101=0,IFERROR(HLOOKUP(Tools!$BD$127,Tools!$BD$127:$BD$152,N101+2,FALSE)*1,0),HLOOKUP(Tools!$BE$2,Tools!$BE$2:$BE$27,O101+1,FALSE)*WLS),""),"")</f>
        <v>8</v>
      </c>
      <c r="N101">
        <f t="shared" si="8"/>
        <v>7</v>
      </c>
      <c r="O101">
        <f t="shared" si="9"/>
        <v>8</v>
      </c>
    </row>
    <row r="102" spans="1:15" x14ac:dyDescent="0.25">
      <c r="A102" s="431">
        <f t="shared" si="10"/>
        <v>101</v>
      </c>
      <c r="B102" s="434">
        <f t="shared" si="6"/>
        <v>9</v>
      </c>
      <c r="C102" s="437">
        <f>IFERROR(-LBP/2+HLOOKUP(Stn_WL,Tools!$AD$2:$AD$27,QUOTIENT(ROW()-2,Max_WL_count)+2,FALSE)*STN_GAP,"")</f>
        <v>-29.239999999999995</v>
      </c>
      <c r="D102" s="437">
        <f>IFERROR(VLOOKUP(HLOOKUP(Stn_WL,Tools!$AD$2:$AD$27,QUOTIENT(ROW()-2,Max_WL_count)+2,FALSE),Tools!$AD$3:$BC$27,MOD(ROW()-2,Max_WL_count)+2,FALSE),"")</f>
        <v>10.199999999999999</v>
      </c>
      <c r="E102" s="435">
        <f>IFERROR(IF(ISNUMBER(D102),HLOOKUP(Tools!$BE$2,Tools!$BE$2:$BE$27,MOD(ROW()-2,Max_WL_count)+2,FALSE)*WLS,""),"")</f>
        <v>2</v>
      </c>
      <c r="I102" s="431">
        <f t="shared" si="11"/>
        <v>101</v>
      </c>
      <c r="J102" s="434">
        <f t="shared" si="7"/>
        <v>8</v>
      </c>
      <c r="K102" s="437">
        <f>IFERROR(-LBP/2+HLOOKUP(Stn_WL,Tools!$AD$2:$AD$27,N102+2,FALSE)*STN_GAP,"")</f>
        <v>-36.549999999999997</v>
      </c>
      <c r="L102" s="437">
        <f>IFERROR(IF(AND(ISNUMBER(K102),O102=0),0,VLOOKUP(HLOOKUP(Stn_WL,Tools!$AD$2:$AD$27,N102+2,FALSE),Tools!$AD$3:$BC$27,O102+1,FALSE)),"")</f>
        <v>10.72</v>
      </c>
      <c r="M102" s="437">
        <f>IFERROR(IF(ISNUMBER(L102),IF(O102=0,IFERROR(HLOOKUP(Tools!$BD$127,Tools!$BD$127:$BD$152,N102+2,FALSE)*1,0),HLOOKUP(Tools!$BE$2,Tools!$BE$2:$BE$27,O102+1,FALSE)*WLS),""),"")</f>
        <v>9.6999999999999993</v>
      </c>
      <c r="N102">
        <f t="shared" si="8"/>
        <v>7</v>
      </c>
      <c r="O102">
        <f t="shared" si="9"/>
        <v>9</v>
      </c>
    </row>
    <row r="103" spans="1:15" x14ac:dyDescent="0.25">
      <c r="A103" s="431">
        <f t="shared" si="10"/>
        <v>102</v>
      </c>
      <c r="B103" s="434">
        <f t="shared" si="6"/>
        <v>9</v>
      </c>
      <c r="C103" s="437">
        <f>IFERROR(-LBP/2+HLOOKUP(Stn_WL,Tools!$AD$2:$AD$27,QUOTIENT(ROW()-2,Max_WL_count)+2,FALSE)*STN_GAP,"")</f>
        <v>-29.239999999999995</v>
      </c>
      <c r="D103" s="437">
        <f>IFERROR(VLOOKUP(HLOOKUP(Stn_WL,Tools!$AD$2:$AD$27,QUOTIENT(ROW()-2,Max_WL_count)+2,FALSE),Tools!$AD$3:$BC$27,MOD(ROW()-2,Max_WL_count)+2,FALSE),"")</f>
        <v>10.8</v>
      </c>
      <c r="E103" s="435">
        <f>IFERROR(IF(ISNUMBER(D103),HLOOKUP(Tools!$BE$2,Tools!$BE$2:$BE$27,MOD(ROW()-2,Max_WL_count)+2,FALSE)*WLS,""),"")</f>
        <v>4</v>
      </c>
      <c r="I103" s="431">
        <f t="shared" si="11"/>
        <v>102</v>
      </c>
      <c r="J103" s="434">
        <f t="shared" si="7"/>
        <v>8</v>
      </c>
      <c r="K103" s="437">
        <f>IFERROR(-LBP/2+HLOOKUP(Stn_WL,Tools!$AD$2:$AD$27,N103+2,FALSE)*STN_GAP,"")</f>
        <v>-36.549999999999997</v>
      </c>
      <c r="L103" s="437">
        <f>IFERROR(IF(AND(ISNUMBER(K103),O103=0),0,VLOOKUP(HLOOKUP(Stn_WL,Tools!$AD$2:$AD$27,N103+2,FALSE),Tools!$AD$3:$BC$27,O103+1,FALSE)),"")</f>
        <v>10.74</v>
      </c>
      <c r="M103" s="437">
        <f>IFERROR(IF(ISNUMBER(L103),IF(O103=0,IFERROR(HLOOKUP(Tools!$BD$127,Tools!$BD$127:$BD$152,N103+2,FALSE)*1,0),HLOOKUP(Tools!$BE$2,Tools!$BE$2:$BE$27,O103+1,FALSE)*WLS),""),"")</f>
        <v>10</v>
      </c>
      <c r="N103">
        <f t="shared" si="8"/>
        <v>7</v>
      </c>
      <c r="O103">
        <f t="shared" si="9"/>
        <v>10</v>
      </c>
    </row>
    <row r="104" spans="1:15" x14ac:dyDescent="0.25">
      <c r="A104" s="431">
        <f t="shared" si="10"/>
        <v>103</v>
      </c>
      <c r="B104" s="434">
        <f t="shared" si="6"/>
        <v>9</v>
      </c>
      <c r="C104" s="437">
        <f>IFERROR(-LBP/2+HLOOKUP(Stn_WL,Tools!$AD$2:$AD$27,QUOTIENT(ROW()-2,Max_WL_count)+2,FALSE)*STN_GAP,"")</f>
        <v>-29.239999999999995</v>
      </c>
      <c r="D104" s="437">
        <f>IFERROR(VLOOKUP(HLOOKUP(Stn_WL,Tools!$AD$2:$AD$27,QUOTIENT(ROW()-2,Max_WL_count)+2,FALSE),Tools!$AD$3:$BC$27,MOD(ROW()-2,Max_WL_count)+2,FALSE),"")</f>
        <v>10.9</v>
      </c>
      <c r="E104" s="435">
        <f>IFERROR(IF(ISNUMBER(D104),HLOOKUP(Tools!$BE$2,Tools!$BE$2:$BE$27,MOD(ROW()-2,Max_WL_count)+2,FALSE)*WLS,""),"")</f>
        <v>6</v>
      </c>
      <c r="I104" s="431">
        <f t="shared" si="11"/>
        <v>103</v>
      </c>
      <c r="J104" s="434">
        <f t="shared" si="7"/>
        <v>8</v>
      </c>
      <c r="K104" s="437">
        <f>IFERROR(-LBP/2+HLOOKUP(Stn_WL,Tools!$AD$2:$AD$27,N104+2,FALSE)*STN_GAP,"")</f>
        <v>-36.549999999999997</v>
      </c>
      <c r="L104" s="437">
        <f>IFERROR(IF(AND(ISNUMBER(K104),O104=0),0,VLOOKUP(HLOOKUP(Stn_WL,Tools!$AD$2:$AD$27,N104+2,FALSE),Tools!$AD$3:$BC$27,O104+1,FALSE)),"")</f>
        <v>10.9</v>
      </c>
      <c r="M104" s="437">
        <f>IFERROR(IF(ISNUMBER(L104),IF(O104=0,IFERROR(HLOOKUP(Tools!$BD$127,Tools!$BD$127:$BD$152,N104+2,FALSE)*1,0),HLOOKUP(Tools!$BE$2,Tools!$BE$2:$BE$27,O104+1,FALSE)*WLS),""),"")</f>
        <v>12</v>
      </c>
      <c r="N104">
        <f t="shared" si="8"/>
        <v>7</v>
      </c>
      <c r="O104">
        <f t="shared" si="9"/>
        <v>11</v>
      </c>
    </row>
    <row r="105" spans="1:15" x14ac:dyDescent="0.25">
      <c r="A105" s="431">
        <f t="shared" si="10"/>
        <v>104</v>
      </c>
      <c r="B105" s="434">
        <f t="shared" si="6"/>
        <v>9</v>
      </c>
      <c r="C105" s="437">
        <f>IFERROR(-LBP/2+HLOOKUP(Stn_WL,Tools!$AD$2:$AD$27,QUOTIENT(ROW()-2,Max_WL_count)+2,FALSE)*STN_GAP,"")</f>
        <v>-29.239999999999995</v>
      </c>
      <c r="D105" s="437">
        <f>IFERROR(VLOOKUP(HLOOKUP(Stn_WL,Tools!$AD$2:$AD$27,QUOTIENT(ROW()-2,Max_WL_count)+2,FALSE),Tools!$AD$3:$BC$27,MOD(ROW()-2,Max_WL_count)+2,FALSE),"")</f>
        <v>11</v>
      </c>
      <c r="E105" s="435">
        <f>IFERROR(IF(ISNUMBER(D105),HLOOKUP(Tools!$BE$2,Tools!$BE$2:$BE$27,MOD(ROW()-2,Max_WL_count)+2,FALSE)*WLS,""),"")</f>
        <v>8</v>
      </c>
      <c r="I105" s="431">
        <f t="shared" si="11"/>
        <v>104</v>
      </c>
      <c r="J105" s="434">
        <f t="shared" si="7"/>
        <v>8</v>
      </c>
      <c r="K105" s="437">
        <f>IFERROR(-LBP/2+HLOOKUP(Stn_WL,Tools!$AD$2:$AD$27,N105+2,FALSE)*STN_GAP,"")</f>
        <v>-36.549999999999997</v>
      </c>
      <c r="L105" s="437">
        <f>IFERROR(IF(AND(ISNUMBER(K105),O105=0),0,VLOOKUP(HLOOKUP(Stn_WL,Tools!$AD$2:$AD$27,N105+2,FALSE),Tools!$AD$3:$BC$27,O105+1,FALSE)),"")</f>
        <v>11</v>
      </c>
      <c r="M105" s="437">
        <f>IFERROR(IF(ISNUMBER(L105),IF(O105=0,IFERROR(HLOOKUP(Tools!$BD$127,Tools!$BD$127:$BD$152,N105+2,FALSE)*1,0),HLOOKUP(Tools!$BE$2,Tools!$BE$2:$BE$27,O105+1,FALSE)*WLS),""),"")</f>
        <v>13</v>
      </c>
      <c r="N105">
        <f t="shared" si="8"/>
        <v>7</v>
      </c>
      <c r="O105">
        <f t="shared" si="9"/>
        <v>12</v>
      </c>
    </row>
    <row r="106" spans="1:15" x14ac:dyDescent="0.25">
      <c r="A106" s="431">
        <f t="shared" si="10"/>
        <v>105</v>
      </c>
      <c r="B106" s="434">
        <f t="shared" si="6"/>
        <v>9</v>
      </c>
      <c r="C106" s="437">
        <f>IFERROR(-LBP/2+HLOOKUP(Stn_WL,Tools!$AD$2:$AD$27,QUOTIENT(ROW()-2,Max_WL_count)+2,FALSE)*STN_GAP,"")</f>
        <v>-29.239999999999995</v>
      </c>
      <c r="D106" s="437">
        <f>IFERROR(VLOOKUP(HLOOKUP(Stn_WL,Tools!$AD$2:$AD$27,QUOTIENT(ROW()-2,Max_WL_count)+2,FALSE),Tools!$AD$3:$BC$27,MOD(ROW()-2,Max_WL_count)+2,FALSE),"")</f>
        <v>11</v>
      </c>
      <c r="E106" s="435">
        <f>IFERROR(IF(ISNUMBER(D106),HLOOKUP(Tools!$BE$2,Tools!$BE$2:$BE$27,MOD(ROW()-2,Max_WL_count)+2,FALSE)*WLS,""),"")</f>
        <v>9.6999999999999993</v>
      </c>
      <c r="I106" s="431">
        <f t="shared" si="11"/>
        <v>105</v>
      </c>
      <c r="J106" s="434">
        <f t="shared" si="7"/>
        <v>9</v>
      </c>
      <c r="K106" s="437">
        <f>IFERROR(-LBP/2+HLOOKUP(Stn_WL,Tools!$AD$2:$AD$27,N106+2,FALSE)*STN_GAP,"")</f>
        <v>-29.239999999999995</v>
      </c>
      <c r="L106" s="437">
        <f>IFERROR(IF(AND(ISNUMBER(K106),O106=0),0,VLOOKUP(HLOOKUP(Stn_WL,Tools!$AD$2:$AD$27,N106+2,FALSE),Tools!$AD$3:$BC$27,O106+1,FALSE)),"")</f>
        <v>0</v>
      </c>
      <c r="M106" s="437">
        <f>IFERROR(IF(ISNUMBER(L106),IF(O106=0,IFERROR(HLOOKUP(Tools!$BD$127,Tools!$BD$127:$BD$152,N106+2,FALSE)*1,0),HLOOKUP(Tools!$BE$2,Tools!$BE$2:$BE$27,O106+1,FALSE)*WLS),""),"")</f>
        <v>0</v>
      </c>
      <c r="N106">
        <f t="shared" si="8"/>
        <v>8</v>
      </c>
      <c r="O106">
        <f t="shared" si="9"/>
        <v>0</v>
      </c>
    </row>
    <row r="107" spans="1:15" x14ac:dyDescent="0.25">
      <c r="A107" s="431">
        <f t="shared" si="10"/>
        <v>106</v>
      </c>
      <c r="B107" s="434">
        <f t="shared" si="6"/>
        <v>9</v>
      </c>
      <c r="C107" s="437">
        <f>IFERROR(-LBP/2+HLOOKUP(Stn_WL,Tools!$AD$2:$AD$27,QUOTIENT(ROW()-2,Max_WL_count)+2,FALSE)*STN_GAP,"")</f>
        <v>-29.239999999999995</v>
      </c>
      <c r="D107" s="437">
        <f>IFERROR(VLOOKUP(HLOOKUP(Stn_WL,Tools!$AD$2:$AD$27,QUOTIENT(ROW()-2,Max_WL_count)+2,FALSE),Tools!$AD$3:$BC$27,MOD(ROW()-2,Max_WL_count)+2,FALSE),"")</f>
        <v>11</v>
      </c>
      <c r="E107" s="435">
        <f>IFERROR(IF(ISNUMBER(D107),HLOOKUP(Tools!$BE$2,Tools!$BE$2:$BE$27,MOD(ROW()-2,Max_WL_count)+2,FALSE)*WLS,""),"")</f>
        <v>10</v>
      </c>
      <c r="I107" s="431">
        <f t="shared" si="11"/>
        <v>106</v>
      </c>
      <c r="J107" s="434">
        <f t="shared" si="7"/>
        <v>9</v>
      </c>
      <c r="K107" s="437">
        <f>IFERROR(-LBP/2+HLOOKUP(Stn_WL,Tools!$AD$2:$AD$27,N107+2,FALSE)*STN_GAP,"")</f>
        <v>-29.239999999999995</v>
      </c>
      <c r="L107" s="437">
        <f>IFERROR(IF(AND(ISNUMBER(K107),O107=0),0,VLOOKUP(HLOOKUP(Stn_WL,Tools!$AD$2:$AD$27,N107+2,FALSE),Tools!$AD$3:$BC$27,O107+1,FALSE)),"")</f>
        <v>7.9</v>
      </c>
      <c r="M107" s="437">
        <f>IFERROR(IF(ISNUMBER(L107),IF(O107=0,IFERROR(HLOOKUP(Tools!$BD$127,Tools!$BD$127:$BD$152,N107+2,FALSE)*1,0),HLOOKUP(Tools!$BE$2,Tools!$BE$2:$BE$27,O107+1,FALSE)*WLS),""),"")</f>
        <v>0</v>
      </c>
      <c r="N107">
        <f t="shared" si="8"/>
        <v>8</v>
      </c>
      <c r="O107">
        <f t="shared" si="9"/>
        <v>1</v>
      </c>
    </row>
    <row r="108" spans="1:15" x14ac:dyDescent="0.25">
      <c r="A108" s="431">
        <f t="shared" si="10"/>
        <v>107</v>
      </c>
      <c r="B108" s="434">
        <f t="shared" si="6"/>
        <v>9</v>
      </c>
      <c r="C108" s="437">
        <f>IFERROR(-LBP/2+HLOOKUP(Stn_WL,Tools!$AD$2:$AD$27,QUOTIENT(ROW()-2,Max_WL_count)+2,FALSE)*STN_GAP,"")</f>
        <v>-29.239999999999995</v>
      </c>
      <c r="D108" s="437">
        <f>IFERROR(VLOOKUP(HLOOKUP(Stn_WL,Tools!$AD$2:$AD$27,QUOTIENT(ROW()-2,Max_WL_count)+2,FALSE),Tools!$AD$3:$BC$27,MOD(ROW()-2,Max_WL_count)+2,FALSE),"")</f>
        <v>11</v>
      </c>
      <c r="E108" s="435">
        <f>IFERROR(IF(ISNUMBER(D108),HLOOKUP(Tools!$BE$2,Tools!$BE$2:$BE$27,MOD(ROW()-2,Max_WL_count)+2,FALSE)*WLS,""),"")</f>
        <v>12</v>
      </c>
      <c r="I108" s="431">
        <f t="shared" si="11"/>
        <v>107</v>
      </c>
      <c r="J108" s="434">
        <f t="shared" si="7"/>
        <v>9</v>
      </c>
      <c r="K108" s="437">
        <f>IFERROR(-LBP/2+HLOOKUP(Stn_WL,Tools!$AD$2:$AD$27,N108+2,FALSE)*STN_GAP,"")</f>
        <v>-29.239999999999995</v>
      </c>
      <c r="L108" s="437">
        <f>IFERROR(IF(AND(ISNUMBER(K108),O108=0),0,VLOOKUP(HLOOKUP(Stn_WL,Tools!$AD$2:$AD$27,N108+2,FALSE),Tools!$AD$3:$BC$27,O108+1,FALSE)),"")</f>
        <v>8.9</v>
      </c>
      <c r="M108" s="437">
        <f>IFERROR(IF(ISNUMBER(L108),IF(O108=0,IFERROR(HLOOKUP(Tools!$BD$127,Tools!$BD$127:$BD$152,N108+2,FALSE)*1,0),HLOOKUP(Tools!$BE$2,Tools!$BE$2:$BE$27,O108+1,FALSE)*WLS),""),"")</f>
        <v>0.5</v>
      </c>
      <c r="N108">
        <f t="shared" si="8"/>
        <v>8</v>
      </c>
      <c r="O108">
        <f t="shared" si="9"/>
        <v>2</v>
      </c>
    </row>
    <row r="109" spans="1:15" x14ac:dyDescent="0.25">
      <c r="A109" s="431">
        <f t="shared" si="10"/>
        <v>108</v>
      </c>
      <c r="B109" s="434">
        <f t="shared" si="6"/>
        <v>9</v>
      </c>
      <c r="C109" s="437">
        <f>IFERROR(-LBP/2+HLOOKUP(Stn_WL,Tools!$AD$2:$AD$27,QUOTIENT(ROW()-2,Max_WL_count)+2,FALSE)*STN_GAP,"")</f>
        <v>-29.239999999999995</v>
      </c>
      <c r="D109" s="437">
        <f>IFERROR(VLOOKUP(HLOOKUP(Stn_WL,Tools!$AD$2:$AD$27,QUOTIENT(ROW()-2,Max_WL_count)+2,FALSE),Tools!$AD$3:$BC$27,MOD(ROW()-2,Max_WL_count)+2,FALSE),"")</f>
        <v>11</v>
      </c>
      <c r="E109" s="435">
        <f>IFERROR(IF(ISNUMBER(D109),HLOOKUP(Tools!$BE$2,Tools!$BE$2:$BE$27,MOD(ROW()-2,Max_WL_count)+2,FALSE)*WLS,""),"")</f>
        <v>13</v>
      </c>
      <c r="I109" s="431">
        <f t="shared" si="11"/>
        <v>108</v>
      </c>
      <c r="J109" s="434">
        <f t="shared" si="7"/>
        <v>9</v>
      </c>
      <c r="K109" s="437">
        <f>IFERROR(-LBP/2+HLOOKUP(Stn_WL,Tools!$AD$2:$AD$27,N109+2,FALSE)*STN_GAP,"")</f>
        <v>-29.239999999999995</v>
      </c>
      <c r="L109" s="437">
        <f>IFERROR(IF(AND(ISNUMBER(K109),O109=0),0,VLOOKUP(HLOOKUP(Stn_WL,Tools!$AD$2:$AD$27,N109+2,FALSE),Tools!$AD$3:$BC$27,O109+1,FALSE)),"")</f>
        <v>9.5</v>
      </c>
      <c r="M109" s="437">
        <f>IFERROR(IF(ISNUMBER(L109),IF(O109=0,IFERROR(HLOOKUP(Tools!$BD$127,Tools!$BD$127:$BD$152,N109+2,FALSE)*1,0),HLOOKUP(Tools!$BE$2,Tools!$BE$2:$BE$27,O109+1,FALSE)*WLS),""),"")</f>
        <v>1</v>
      </c>
      <c r="N109">
        <f t="shared" si="8"/>
        <v>8</v>
      </c>
      <c r="O109">
        <f t="shared" si="9"/>
        <v>3</v>
      </c>
    </row>
    <row r="110" spans="1:15" x14ac:dyDescent="0.25">
      <c r="A110" s="431">
        <f t="shared" si="10"/>
        <v>109</v>
      </c>
      <c r="B110" s="434">
        <f t="shared" si="6"/>
        <v>10</v>
      </c>
      <c r="C110" s="437">
        <f>IFERROR(-LBP/2+HLOOKUP(Stn_WL,Tools!$AD$2:$AD$27,QUOTIENT(ROW()-2,Max_WL_count)+2,FALSE)*STN_GAP,"")</f>
        <v>-21.93</v>
      </c>
      <c r="D110" s="437">
        <f>IFERROR(VLOOKUP(HLOOKUP(Stn_WL,Tools!$AD$2:$AD$27,QUOTIENT(ROW()-2,Max_WL_count)+2,FALSE),Tools!$AD$3:$BC$27,MOD(ROW()-2,Max_WL_count)+2,FALSE),"")</f>
        <v>9</v>
      </c>
      <c r="E110" s="435">
        <f>IFERROR(IF(ISNUMBER(D110),HLOOKUP(Tools!$BE$2,Tools!$BE$2:$BE$27,MOD(ROW()-2,Max_WL_count)+2,FALSE)*WLS,""),"")</f>
        <v>0</v>
      </c>
      <c r="I110" s="431">
        <f t="shared" si="11"/>
        <v>109</v>
      </c>
      <c r="J110" s="434">
        <f t="shared" si="7"/>
        <v>9</v>
      </c>
      <c r="K110" s="437">
        <f>IFERROR(-LBP/2+HLOOKUP(Stn_WL,Tools!$AD$2:$AD$27,N110+2,FALSE)*STN_GAP,"")</f>
        <v>-29.239999999999995</v>
      </c>
      <c r="L110" s="437">
        <f>IFERROR(IF(AND(ISNUMBER(K110),O110=0),0,VLOOKUP(HLOOKUP(Stn_WL,Tools!$AD$2:$AD$27,N110+2,FALSE),Tools!$AD$3:$BC$27,O110+1,FALSE)),"")</f>
        <v>9.94</v>
      </c>
      <c r="M110" s="437">
        <f>IFERROR(IF(ISNUMBER(L110),IF(O110=0,IFERROR(HLOOKUP(Tools!$BD$127,Tools!$BD$127:$BD$152,N110+2,FALSE)*1,0),HLOOKUP(Tools!$BE$2,Tools!$BE$2:$BE$27,O110+1,FALSE)*WLS),""),"")</f>
        <v>1.5</v>
      </c>
      <c r="N110">
        <f t="shared" si="8"/>
        <v>8</v>
      </c>
      <c r="O110">
        <f t="shared" si="9"/>
        <v>4</v>
      </c>
    </row>
    <row r="111" spans="1:15" x14ac:dyDescent="0.25">
      <c r="A111" s="431">
        <f t="shared" si="10"/>
        <v>110</v>
      </c>
      <c r="B111" s="434">
        <f t="shared" si="6"/>
        <v>10</v>
      </c>
      <c r="C111" s="437">
        <f>IFERROR(-LBP/2+HLOOKUP(Stn_WL,Tools!$AD$2:$AD$27,QUOTIENT(ROW()-2,Max_WL_count)+2,FALSE)*STN_GAP,"")</f>
        <v>-21.93</v>
      </c>
      <c r="D111" s="437">
        <f>IFERROR(VLOOKUP(HLOOKUP(Stn_WL,Tools!$AD$2:$AD$27,QUOTIENT(ROW()-2,Max_WL_count)+2,FALSE),Tools!$AD$3:$BC$27,MOD(ROW()-2,Max_WL_count)+2,FALSE),"")</f>
        <v>9.83</v>
      </c>
      <c r="E111" s="435">
        <f>IFERROR(IF(ISNUMBER(D111),HLOOKUP(Tools!$BE$2,Tools!$BE$2:$BE$27,MOD(ROW()-2,Max_WL_count)+2,FALSE)*WLS,""),"")</f>
        <v>0.5</v>
      </c>
      <c r="I111" s="431">
        <f t="shared" si="11"/>
        <v>110</v>
      </c>
      <c r="J111" s="434">
        <f t="shared" si="7"/>
        <v>9</v>
      </c>
      <c r="K111" s="437">
        <f>IFERROR(-LBP/2+HLOOKUP(Stn_WL,Tools!$AD$2:$AD$27,N111+2,FALSE)*STN_GAP,"")</f>
        <v>-29.239999999999995</v>
      </c>
      <c r="L111" s="437">
        <f>IFERROR(IF(AND(ISNUMBER(K111),O111=0),0,VLOOKUP(HLOOKUP(Stn_WL,Tools!$AD$2:$AD$27,N111+2,FALSE),Tools!$AD$3:$BC$27,O111+1,FALSE)),"")</f>
        <v>10.199999999999999</v>
      </c>
      <c r="M111" s="437">
        <f>IFERROR(IF(ISNUMBER(L111),IF(O111=0,IFERROR(HLOOKUP(Tools!$BD$127,Tools!$BD$127:$BD$152,N111+2,FALSE)*1,0),HLOOKUP(Tools!$BE$2,Tools!$BE$2:$BE$27,O111+1,FALSE)*WLS),""),"")</f>
        <v>2</v>
      </c>
      <c r="N111">
        <f t="shared" si="8"/>
        <v>8</v>
      </c>
      <c r="O111">
        <f t="shared" si="9"/>
        <v>5</v>
      </c>
    </row>
    <row r="112" spans="1:15" x14ac:dyDescent="0.25">
      <c r="A112" s="431">
        <f t="shared" si="10"/>
        <v>111</v>
      </c>
      <c r="B112" s="434">
        <f t="shared" si="6"/>
        <v>10</v>
      </c>
      <c r="C112" s="437">
        <f>IFERROR(-LBP/2+HLOOKUP(Stn_WL,Tools!$AD$2:$AD$27,QUOTIENT(ROW()-2,Max_WL_count)+2,FALSE)*STN_GAP,"")</f>
        <v>-21.93</v>
      </c>
      <c r="D112" s="437">
        <f>IFERROR(VLOOKUP(HLOOKUP(Stn_WL,Tools!$AD$2:$AD$27,QUOTIENT(ROW()-2,Max_WL_count)+2,FALSE),Tools!$AD$3:$BC$27,MOD(ROW()-2,Max_WL_count)+2,FALSE),"")</f>
        <v>10.3</v>
      </c>
      <c r="E112" s="435">
        <f>IFERROR(IF(ISNUMBER(D112),HLOOKUP(Tools!$BE$2,Tools!$BE$2:$BE$27,MOD(ROW()-2,Max_WL_count)+2,FALSE)*WLS,""),"")</f>
        <v>1</v>
      </c>
      <c r="I112" s="431">
        <f t="shared" si="11"/>
        <v>111</v>
      </c>
      <c r="J112" s="434">
        <f t="shared" si="7"/>
        <v>9</v>
      </c>
      <c r="K112" s="437">
        <f>IFERROR(-LBP/2+HLOOKUP(Stn_WL,Tools!$AD$2:$AD$27,N112+2,FALSE)*STN_GAP,"")</f>
        <v>-29.239999999999995</v>
      </c>
      <c r="L112" s="437">
        <f>IFERROR(IF(AND(ISNUMBER(K112),O112=0),0,VLOOKUP(HLOOKUP(Stn_WL,Tools!$AD$2:$AD$27,N112+2,FALSE),Tools!$AD$3:$BC$27,O112+1,FALSE)),"")</f>
        <v>10.8</v>
      </c>
      <c r="M112" s="437">
        <f>IFERROR(IF(ISNUMBER(L112),IF(O112=0,IFERROR(HLOOKUP(Tools!$BD$127,Tools!$BD$127:$BD$152,N112+2,FALSE)*1,0),HLOOKUP(Tools!$BE$2,Tools!$BE$2:$BE$27,O112+1,FALSE)*WLS),""),"")</f>
        <v>4</v>
      </c>
      <c r="N112">
        <f t="shared" si="8"/>
        <v>8</v>
      </c>
      <c r="O112">
        <f t="shared" si="9"/>
        <v>6</v>
      </c>
    </row>
    <row r="113" spans="1:15" x14ac:dyDescent="0.25">
      <c r="A113" s="431">
        <f t="shared" si="10"/>
        <v>112</v>
      </c>
      <c r="B113" s="434">
        <f t="shared" si="6"/>
        <v>10</v>
      </c>
      <c r="C113" s="437">
        <f>IFERROR(-LBP/2+HLOOKUP(Stn_WL,Tools!$AD$2:$AD$27,QUOTIENT(ROW()-2,Max_WL_count)+2,FALSE)*STN_GAP,"")</f>
        <v>-21.93</v>
      </c>
      <c r="D113" s="437">
        <f>IFERROR(VLOOKUP(HLOOKUP(Stn_WL,Tools!$AD$2:$AD$27,QUOTIENT(ROW()-2,Max_WL_count)+2,FALSE),Tools!$AD$3:$BC$27,MOD(ROW()-2,Max_WL_count)+2,FALSE),"")</f>
        <v>10.6</v>
      </c>
      <c r="E113" s="435">
        <f>IFERROR(IF(ISNUMBER(D113),HLOOKUP(Tools!$BE$2,Tools!$BE$2:$BE$27,MOD(ROW()-2,Max_WL_count)+2,FALSE)*WLS,""),"")</f>
        <v>1.5</v>
      </c>
      <c r="I113" s="431">
        <f t="shared" si="11"/>
        <v>112</v>
      </c>
      <c r="J113" s="434">
        <f t="shared" si="7"/>
        <v>9</v>
      </c>
      <c r="K113" s="437">
        <f>IFERROR(-LBP/2+HLOOKUP(Stn_WL,Tools!$AD$2:$AD$27,N113+2,FALSE)*STN_GAP,"")</f>
        <v>-29.239999999999995</v>
      </c>
      <c r="L113" s="437">
        <f>IFERROR(IF(AND(ISNUMBER(K113),O113=0),0,VLOOKUP(HLOOKUP(Stn_WL,Tools!$AD$2:$AD$27,N113+2,FALSE),Tools!$AD$3:$BC$27,O113+1,FALSE)),"")</f>
        <v>10.9</v>
      </c>
      <c r="M113" s="437">
        <f>IFERROR(IF(ISNUMBER(L113),IF(O113=0,IFERROR(HLOOKUP(Tools!$BD$127,Tools!$BD$127:$BD$152,N113+2,FALSE)*1,0),HLOOKUP(Tools!$BE$2,Tools!$BE$2:$BE$27,O113+1,FALSE)*WLS),""),"")</f>
        <v>6</v>
      </c>
      <c r="N113">
        <f t="shared" si="8"/>
        <v>8</v>
      </c>
      <c r="O113">
        <f t="shared" si="9"/>
        <v>7</v>
      </c>
    </row>
    <row r="114" spans="1:15" x14ac:dyDescent="0.25">
      <c r="A114" s="431">
        <f t="shared" si="10"/>
        <v>113</v>
      </c>
      <c r="B114" s="434">
        <f t="shared" si="6"/>
        <v>10</v>
      </c>
      <c r="C114" s="437">
        <f>IFERROR(-LBP/2+HLOOKUP(Stn_WL,Tools!$AD$2:$AD$27,QUOTIENT(ROW()-2,Max_WL_count)+2,FALSE)*STN_GAP,"")</f>
        <v>-21.93</v>
      </c>
      <c r="D114" s="437">
        <f>IFERROR(VLOOKUP(HLOOKUP(Stn_WL,Tools!$AD$2:$AD$27,QUOTIENT(ROW()-2,Max_WL_count)+2,FALSE),Tools!$AD$3:$BC$27,MOD(ROW()-2,Max_WL_count)+2,FALSE),"")</f>
        <v>10.8</v>
      </c>
      <c r="E114" s="435">
        <f>IFERROR(IF(ISNUMBER(D114),HLOOKUP(Tools!$BE$2,Tools!$BE$2:$BE$27,MOD(ROW()-2,Max_WL_count)+2,FALSE)*WLS,""),"")</f>
        <v>2</v>
      </c>
      <c r="I114" s="431">
        <f t="shared" si="11"/>
        <v>113</v>
      </c>
      <c r="J114" s="434">
        <f t="shared" si="7"/>
        <v>9</v>
      </c>
      <c r="K114" s="437">
        <f>IFERROR(-LBP/2+HLOOKUP(Stn_WL,Tools!$AD$2:$AD$27,N114+2,FALSE)*STN_GAP,"")</f>
        <v>-29.239999999999995</v>
      </c>
      <c r="L114" s="437">
        <f>IFERROR(IF(AND(ISNUMBER(K114),O114=0),0,VLOOKUP(HLOOKUP(Stn_WL,Tools!$AD$2:$AD$27,N114+2,FALSE),Tools!$AD$3:$BC$27,O114+1,FALSE)),"")</f>
        <v>11</v>
      </c>
      <c r="M114" s="437">
        <f>IFERROR(IF(ISNUMBER(L114),IF(O114=0,IFERROR(HLOOKUP(Tools!$BD$127,Tools!$BD$127:$BD$152,N114+2,FALSE)*1,0),HLOOKUP(Tools!$BE$2,Tools!$BE$2:$BE$27,O114+1,FALSE)*WLS),""),"")</f>
        <v>8</v>
      </c>
      <c r="N114">
        <f t="shared" si="8"/>
        <v>8</v>
      </c>
      <c r="O114">
        <f t="shared" si="9"/>
        <v>8</v>
      </c>
    </row>
    <row r="115" spans="1:15" x14ac:dyDescent="0.25">
      <c r="A115" s="431">
        <f t="shared" si="10"/>
        <v>114</v>
      </c>
      <c r="B115" s="434">
        <f t="shared" si="6"/>
        <v>10</v>
      </c>
      <c r="C115" s="437">
        <f>IFERROR(-LBP/2+HLOOKUP(Stn_WL,Tools!$AD$2:$AD$27,QUOTIENT(ROW()-2,Max_WL_count)+2,FALSE)*STN_GAP,"")</f>
        <v>-21.93</v>
      </c>
      <c r="D115" s="437">
        <f>IFERROR(VLOOKUP(HLOOKUP(Stn_WL,Tools!$AD$2:$AD$27,QUOTIENT(ROW()-2,Max_WL_count)+2,FALSE),Tools!$AD$3:$BC$27,MOD(ROW()-2,Max_WL_count)+2,FALSE),"")</f>
        <v>11</v>
      </c>
      <c r="E115" s="435">
        <f>IFERROR(IF(ISNUMBER(D115),HLOOKUP(Tools!$BE$2,Tools!$BE$2:$BE$27,MOD(ROW()-2,Max_WL_count)+2,FALSE)*WLS,""),"")</f>
        <v>4</v>
      </c>
      <c r="I115" s="431">
        <f t="shared" si="11"/>
        <v>114</v>
      </c>
      <c r="J115" s="434">
        <f t="shared" si="7"/>
        <v>9</v>
      </c>
      <c r="K115" s="437">
        <f>IFERROR(-LBP/2+HLOOKUP(Stn_WL,Tools!$AD$2:$AD$27,N115+2,FALSE)*STN_GAP,"")</f>
        <v>-29.239999999999995</v>
      </c>
      <c r="L115" s="437">
        <f>IFERROR(IF(AND(ISNUMBER(K115),O115=0),0,VLOOKUP(HLOOKUP(Stn_WL,Tools!$AD$2:$AD$27,N115+2,FALSE),Tools!$AD$3:$BC$27,O115+1,FALSE)),"")</f>
        <v>11</v>
      </c>
      <c r="M115" s="437">
        <f>IFERROR(IF(ISNUMBER(L115),IF(O115=0,IFERROR(HLOOKUP(Tools!$BD$127,Tools!$BD$127:$BD$152,N115+2,FALSE)*1,0),HLOOKUP(Tools!$BE$2,Tools!$BE$2:$BE$27,O115+1,FALSE)*WLS),""),"")</f>
        <v>9.6999999999999993</v>
      </c>
      <c r="N115">
        <f t="shared" si="8"/>
        <v>8</v>
      </c>
      <c r="O115">
        <f t="shared" si="9"/>
        <v>9</v>
      </c>
    </row>
    <row r="116" spans="1:15" x14ac:dyDescent="0.25">
      <c r="A116" s="431">
        <f t="shared" si="10"/>
        <v>115</v>
      </c>
      <c r="B116" s="434">
        <f t="shared" si="6"/>
        <v>10</v>
      </c>
      <c r="C116" s="437">
        <f>IFERROR(-LBP/2+HLOOKUP(Stn_WL,Tools!$AD$2:$AD$27,QUOTIENT(ROW()-2,Max_WL_count)+2,FALSE)*STN_GAP,"")</f>
        <v>-21.93</v>
      </c>
      <c r="D116" s="437">
        <f>IFERROR(VLOOKUP(HLOOKUP(Stn_WL,Tools!$AD$2:$AD$27,QUOTIENT(ROW()-2,Max_WL_count)+2,FALSE),Tools!$AD$3:$BC$27,MOD(ROW()-2,Max_WL_count)+2,FALSE),"")</f>
        <v>11</v>
      </c>
      <c r="E116" s="435">
        <f>IFERROR(IF(ISNUMBER(D116),HLOOKUP(Tools!$BE$2,Tools!$BE$2:$BE$27,MOD(ROW()-2,Max_WL_count)+2,FALSE)*WLS,""),"")</f>
        <v>6</v>
      </c>
      <c r="I116" s="431">
        <f t="shared" si="11"/>
        <v>115</v>
      </c>
      <c r="J116" s="434">
        <f t="shared" si="7"/>
        <v>9</v>
      </c>
      <c r="K116" s="437">
        <f>IFERROR(-LBP/2+HLOOKUP(Stn_WL,Tools!$AD$2:$AD$27,N116+2,FALSE)*STN_GAP,"")</f>
        <v>-29.239999999999995</v>
      </c>
      <c r="L116" s="437">
        <f>IFERROR(IF(AND(ISNUMBER(K116),O116=0),0,VLOOKUP(HLOOKUP(Stn_WL,Tools!$AD$2:$AD$27,N116+2,FALSE),Tools!$AD$3:$BC$27,O116+1,FALSE)),"")</f>
        <v>11</v>
      </c>
      <c r="M116" s="437">
        <f>IFERROR(IF(ISNUMBER(L116),IF(O116=0,IFERROR(HLOOKUP(Tools!$BD$127,Tools!$BD$127:$BD$152,N116+2,FALSE)*1,0),HLOOKUP(Tools!$BE$2,Tools!$BE$2:$BE$27,O116+1,FALSE)*WLS),""),"")</f>
        <v>10</v>
      </c>
      <c r="N116">
        <f t="shared" si="8"/>
        <v>8</v>
      </c>
      <c r="O116">
        <f t="shared" si="9"/>
        <v>10</v>
      </c>
    </row>
    <row r="117" spans="1:15" x14ac:dyDescent="0.25">
      <c r="A117" s="431">
        <f t="shared" si="10"/>
        <v>116</v>
      </c>
      <c r="B117" s="434">
        <f t="shared" si="6"/>
        <v>10</v>
      </c>
      <c r="C117" s="437">
        <f>IFERROR(-LBP/2+HLOOKUP(Stn_WL,Tools!$AD$2:$AD$27,QUOTIENT(ROW()-2,Max_WL_count)+2,FALSE)*STN_GAP,"")</f>
        <v>-21.93</v>
      </c>
      <c r="D117" s="437">
        <f>IFERROR(VLOOKUP(HLOOKUP(Stn_WL,Tools!$AD$2:$AD$27,QUOTIENT(ROW()-2,Max_WL_count)+2,FALSE),Tools!$AD$3:$BC$27,MOD(ROW()-2,Max_WL_count)+2,FALSE),"")</f>
        <v>11</v>
      </c>
      <c r="E117" s="435">
        <f>IFERROR(IF(ISNUMBER(D117),HLOOKUP(Tools!$BE$2,Tools!$BE$2:$BE$27,MOD(ROW()-2,Max_WL_count)+2,FALSE)*WLS,""),"")</f>
        <v>8</v>
      </c>
      <c r="I117" s="431">
        <f t="shared" si="11"/>
        <v>116</v>
      </c>
      <c r="J117" s="434">
        <f t="shared" si="7"/>
        <v>9</v>
      </c>
      <c r="K117" s="437">
        <f>IFERROR(-LBP/2+HLOOKUP(Stn_WL,Tools!$AD$2:$AD$27,N117+2,FALSE)*STN_GAP,"")</f>
        <v>-29.239999999999995</v>
      </c>
      <c r="L117" s="437">
        <f>IFERROR(IF(AND(ISNUMBER(K117),O117=0),0,VLOOKUP(HLOOKUP(Stn_WL,Tools!$AD$2:$AD$27,N117+2,FALSE),Tools!$AD$3:$BC$27,O117+1,FALSE)),"")</f>
        <v>11</v>
      </c>
      <c r="M117" s="437">
        <f>IFERROR(IF(ISNUMBER(L117),IF(O117=0,IFERROR(HLOOKUP(Tools!$BD$127,Tools!$BD$127:$BD$152,N117+2,FALSE)*1,0),HLOOKUP(Tools!$BE$2,Tools!$BE$2:$BE$27,O117+1,FALSE)*WLS),""),"")</f>
        <v>12</v>
      </c>
      <c r="N117">
        <f t="shared" si="8"/>
        <v>8</v>
      </c>
      <c r="O117">
        <f t="shared" si="9"/>
        <v>11</v>
      </c>
    </row>
    <row r="118" spans="1:15" x14ac:dyDescent="0.25">
      <c r="A118" s="431">
        <f t="shared" si="10"/>
        <v>117</v>
      </c>
      <c r="B118" s="434">
        <f t="shared" si="6"/>
        <v>10</v>
      </c>
      <c r="C118" s="437">
        <f>IFERROR(-LBP/2+HLOOKUP(Stn_WL,Tools!$AD$2:$AD$27,QUOTIENT(ROW()-2,Max_WL_count)+2,FALSE)*STN_GAP,"")</f>
        <v>-21.93</v>
      </c>
      <c r="D118" s="437">
        <f>IFERROR(VLOOKUP(HLOOKUP(Stn_WL,Tools!$AD$2:$AD$27,QUOTIENT(ROW()-2,Max_WL_count)+2,FALSE),Tools!$AD$3:$BC$27,MOD(ROW()-2,Max_WL_count)+2,FALSE),"")</f>
        <v>11</v>
      </c>
      <c r="E118" s="435">
        <f>IFERROR(IF(ISNUMBER(D118),HLOOKUP(Tools!$BE$2,Tools!$BE$2:$BE$27,MOD(ROW()-2,Max_WL_count)+2,FALSE)*WLS,""),"")</f>
        <v>9.6999999999999993</v>
      </c>
      <c r="I118" s="431">
        <f t="shared" si="11"/>
        <v>117</v>
      </c>
      <c r="J118" s="434">
        <f t="shared" si="7"/>
        <v>9</v>
      </c>
      <c r="K118" s="437">
        <f>IFERROR(-LBP/2+HLOOKUP(Stn_WL,Tools!$AD$2:$AD$27,N118+2,FALSE)*STN_GAP,"")</f>
        <v>-29.239999999999995</v>
      </c>
      <c r="L118" s="437">
        <f>IFERROR(IF(AND(ISNUMBER(K118),O118=0),0,VLOOKUP(HLOOKUP(Stn_WL,Tools!$AD$2:$AD$27,N118+2,FALSE),Tools!$AD$3:$BC$27,O118+1,FALSE)),"")</f>
        <v>11</v>
      </c>
      <c r="M118" s="437">
        <f>IFERROR(IF(ISNUMBER(L118),IF(O118=0,IFERROR(HLOOKUP(Tools!$BD$127,Tools!$BD$127:$BD$152,N118+2,FALSE)*1,0),HLOOKUP(Tools!$BE$2,Tools!$BE$2:$BE$27,O118+1,FALSE)*WLS),""),"")</f>
        <v>13</v>
      </c>
      <c r="N118">
        <f t="shared" si="8"/>
        <v>8</v>
      </c>
      <c r="O118">
        <f t="shared" si="9"/>
        <v>12</v>
      </c>
    </row>
    <row r="119" spans="1:15" x14ac:dyDescent="0.25">
      <c r="A119" s="431">
        <f t="shared" si="10"/>
        <v>118</v>
      </c>
      <c r="B119" s="434">
        <f t="shared" si="6"/>
        <v>10</v>
      </c>
      <c r="C119" s="437">
        <f>IFERROR(-LBP/2+HLOOKUP(Stn_WL,Tools!$AD$2:$AD$27,QUOTIENT(ROW()-2,Max_WL_count)+2,FALSE)*STN_GAP,"")</f>
        <v>-21.93</v>
      </c>
      <c r="D119" s="437">
        <f>IFERROR(VLOOKUP(HLOOKUP(Stn_WL,Tools!$AD$2:$AD$27,QUOTIENT(ROW()-2,Max_WL_count)+2,FALSE),Tools!$AD$3:$BC$27,MOD(ROW()-2,Max_WL_count)+2,FALSE),"")</f>
        <v>11</v>
      </c>
      <c r="E119" s="435">
        <f>IFERROR(IF(ISNUMBER(D119),HLOOKUP(Tools!$BE$2,Tools!$BE$2:$BE$27,MOD(ROW()-2,Max_WL_count)+2,FALSE)*WLS,""),"")</f>
        <v>10</v>
      </c>
      <c r="I119" s="431">
        <f t="shared" si="11"/>
        <v>118</v>
      </c>
      <c r="J119" s="434">
        <f t="shared" si="7"/>
        <v>10</v>
      </c>
      <c r="K119" s="437">
        <f>IFERROR(-LBP/2+HLOOKUP(Stn_WL,Tools!$AD$2:$AD$27,N119+2,FALSE)*STN_GAP,"")</f>
        <v>-21.93</v>
      </c>
      <c r="L119" s="437">
        <f>IFERROR(IF(AND(ISNUMBER(K119),O119=0),0,VLOOKUP(HLOOKUP(Stn_WL,Tools!$AD$2:$AD$27,N119+2,FALSE),Tools!$AD$3:$BC$27,O119+1,FALSE)),"")</f>
        <v>0</v>
      </c>
      <c r="M119" s="437">
        <f>IFERROR(IF(ISNUMBER(L119),IF(O119=0,IFERROR(HLOOKUP(Tools!$BD$127,Tools!$BD$127:$BD$152,N119+2,FALSE)*1,0),HLOOKUP(Tools!$BE$2,Tools!$BE$2:$BE$27,O119+1,FALSE)*WLS),""),"")</f>
        <v>0</v>
      </c>
      <c r="N119">
        <f t="shared" si="8"/>
        <v>9</v>
      </c>
      <c r="O119">
        <f t="shared" si="9"/>
        <v>0</v>
      </c>
    </row>
    <row r="120" spans="1:15" x14ac:dyDescent="0.25">
      <c r="A120" s="431">
        <f t="shared" si="10"/>
        <v>119</v>
      </c>
      <c r="B120" s="434">
        <f t="shared" si="6"/>
        <v>10</v>
      </c>
      <c r="C120" s="437">
        <f>IFERROR(-LBP/2+HLOOKUP(Stn_WL,Tools!$AD$2:$AD$27,QUOTIENT(ROW()-2,Max_WL_count)+2,FALSE)*STN_GAP,"")</f>
        <v>-21.93</v>
      </c>
      <c r="D120" s="437">
        <f>IFERROR(VLOOKUP(HLOOKUP(Stn_WL,Tools!$AD$2:$AD$27,QUOTIENT(ROW()-2,Max_WL_count)+2,FALSE),Tools!$AD$3:$BC$27,MOD(ROW()-2,Max_WL_count)+2,FALSE),"")</f>
        <v>11</v>
      </c>
      <c r="E120" s="435">
        <f>IFERROR(IF(ISNUMBER(D120),HLOOKUP(Tools!$BE$2,Tools!$BE$2:$BE$27,MOD(ROW()-2,Max_WL_count)+2,FALSE)*WLS,""),"")</f>
        <v>12</v>
      </c>
      <c r="I120" s="431">
        <f t="shared" si="11"/>
        <v>119</v>
      </c>
      <c r="J120" s="434">
        <f t="shared" si="7"/>
        <v>10</v>
      </c>
      <c r="K120" s="437">
        <f>IFERROR(-LBP/2+HLOOKUP(Stn_WL,Tools!$AD$2:$AD$27,N120+2,FALSE)*STN_GAP,"")</f>
        <v>-21.93</v>
      </c>
      <c r="L120" s="437">
        <f>IFERROR(IF(AND(ISNUMBER(K120),O120=0),0,VLOOKUP(HLOOKUP(Stn_WL,Tools!$AD$2:$AD$27,N120+2,FALSE),Tools!$AD$3:$BC$27,O120+1,FALSE)),"")</f>
        <v>9</v>
      </c>
      <c r="M120" s="437">
        <f>IFERROR(IF(ISNUMBER(L120),IF(O120=0,IFERROR(HLOOKUP(Tools!$BD$127,Tools!$BD$127:$BD$152,N120+2,FALSE)*1,0),HLOOKUP(Tools!$BE$2,Tools!$BE$2:$BE$27,O120+1,FALSE)*WLS),""),"")</f>
        <v>0</v>
      </c>
      <c r="N120">
        <f t="shared" si="8"/>
        <v>9</v>
      </c>
      <c r="O120">
        <f t="shared" si="9"/>
        <v>1</v>
      </c>
    </row>
    <row r="121" spans="1:15" x14ac:dyDescent="0.25">
      <c r="A121" s="431">
        <f t="shared" si="10"/>
        <v>120</v>
      </c>
      <c r="B121" s="434">
        <f t="shared" si="6"/>
        <v>10</v>
      </c>
      <c r="C121" s="437">
        <f>IFERROR(-LBP/2+HLOOKUP(Stn_WL,Tools!$AD$2:$AD$27,QUOTIENT(ROW()-2,Max_WL_count)+2,FALSE)*STN_GAP,"")</f>
        <v>-21.93</v>
      </c>
      <c r="D121" s="437">
        <f>IFERROR(VLOOKUP(HLOOKUP(Stn_WL,Tools!$AD$2:$AD$27,QUOTIENT(ROW()-2,Max_WL_count)+2,FALSE),Tools!$AD$3:$BC$27,MOD(ROW()-2,Max_WL_count)+2,FALSE),"")</f>
        <v>11</v>
      </c>
      <c r="E121" s="435">
        <f>IFERROR(IF(ISNUMBER(D121),HLOOKUP(Tools!$BE$2,Tools!$BE$2:$BE$27,MOD(ROW()-2,Max_WL_count)+2,FALSE)*WLS,""),"")</f>
        <v>13</v>
      </c>
      <c r="I121" s="431">
        <f t="shared" si="11"/>
        <v>120</v>
      </c>
      <c r="J121" s="434">
        <f t="shared" si="7"/>
        <v>10</v>
      </c>
      <c r="K121" s="437">
        <f>IFERROR(-LBP/2+HLOOKUP(Stn_WL,Tools!$AD$2:$AD$27,N121+2,FALSE)*STN_GAP,"")</f>
        <v>-21.93</v>
      </c>
      <c r="L121" s="437">
        <f>IFERROR(IF(AND(ISNUMBER(K121),O121=0),0,VLOOKUP(HLOOKUP(Stn_WL,Tools!$AD$2:$AD$27,N121+2,FALSE),Tools!$AD$3:$BC$27,O121+1,FALSE)),"")</f>
        <v>9.83</v>
      </c>
      <c r="M121" s="437">
        <f>IFERROR(IF(ISNUMBER(L121),IF(O121=0,IFERROR(HLOOKUP(Tools!$BD$127,Tools!$BD$127:$BD$152,N121+2,FALSE)*1,0),HLOOKUP(Tools!$BE$2,Tools!$BE$2:$BE$27,O121+1,FALSE)*WLS),""),"")</f>
        <v>0.5</v>
      </c>
      <c r="N121">
        <f t="shared" si="8"/>
        <v>9</v>
      </c>
      <c r="O121">
        <f t="shared" si="9"/>
        <v>2</v>
      </c>
    </row>
    <row r="122" spans="1:15" x14ac:dyDescent="0.25">
      <c r="A122" s="431">
        <f t="shared" si="10"/>
        <v>121</v>
      </c>
      <c r="B122" s="434">
        <f t="shared" si="6"/>
        <v>11</v>
      </c>
      <c r="C122" s="437">
        <f>IFERROR(-LBP/2+HLOOKUP(Stn_WL,Tools!$AD$2:$AD$27,QUOTIENT(ROW()-2,Max_WL_count)+2,FALSE)*STN_GAP,"")</f>
        <v>-14.619999999999997</v>
      </c>
      <c r="D122" s="437">
        <f>IFERROR(VLOOKUP(HLOOKUP(Stn_WL,Tools!$AD$2:$AD$27,QUOTIENT(ROW()-2,Max_WL_count)+2,FALSE),Tools!$AD$3:$BC$27,MOD(ROW()-2,Max_WL_count)+2,FALSE),"")</f>
        <v>9.5</v>
      </c>
      <c r="E122" s="435">
        <f>IFERROR(IF(ISNUMBER(D122),HLOOKUP(Tools!$BE$2,Tools!$BE$2:$BE$27,MOD(ROW()-2,Max_WL_count)+2,FALSE)*WLS,""),"")</f>
        <v>0</v>
      </c>
      <c r="I122" s="431">
        <f t="shared" si="11"/>
        <v>121</v>
      </c>
      <c r="J122" s="434">
        <f t="shared" si="7"/>
        <v>10</v>
      </c>
      <c r="K122" s="437">
        <f>IFERROR(-LBP/2+HLOOKUP(Stn_WL,Tools!$AD$2:$AD$27,N122+2,FALSE)*STN_GAP,"")</f>
        <v>-21.93</v>
      </c>
      <c r="L122" s="437">
        <f>IFERROR(IF(AND(ISNUMBER(K122),O122=0),0,VLOOKUP(HLOOKUP(Stn_WL,Tools!$AD$2:$AD$27,N122+2,FALSE),Tools!$AD$3:$BC$27,O122+1,FALSE)),"")</f>
        <v>10.3</v>
      </c>
      <c r="M122" s="437">
        <f>IFERROR(IF(ISNUMBER(L122),IF(O122=0,IFERROR(HLOOKUP(Tools!$BD$127,Tools!$BD$127:$BD$152,N122+2,FALSE)*1,0),HLOOKUP(Tools!$BE$2,Tools!$BE$2:$BE$27,O122+1,FALSE)*WLS),""),"")</f>
        <v>1</v>
      </c>
      <c r="N122">
        <f t="shared" si="8"/>
        <v>9</v>
      </c>
      <c r="O122">
        <f t="shared" si="9"/>
        <v>3</v>
      </c>
    </row>
    <row r="123" spans="1:15" x14ac:dyDescent="0.25">
      <c r="A123" s="431">
        <f t="shared" si="10"/>
        <v>122</v>
      </c>
      <c r="B123" s="434">
        <f t="shared" si="6"/>
        <v>11</v>
      </c>
      <c r="C123" s="437">
        <f>IFERROR(-LBP/2+HLOOKUP(Stn_WL,Tools!$AD$2:$AD$27,QUOTIENT(ROW()-2,Max_WL_count)+2,FALSE)*STN_GAP,"")</f>
        <v>-14.619999999999997</v>
      </c>
      <c r="D123" s="437">
        <f>IFERROR(VLOOKUP(HLOOKUP(Stn_WL,Tools!$AD$2:$AD$27,QUOTIENT(ROW()-2,Max_WL_count)+2,FALSE),Tools!$AD$3:$BC$27,MOD(ROW()-2,Max_WL_count)+2,FALSE),"")</f>
        <v>10.33</v>
      </c>
      <c r="E123" s="435">
        <f>IFERROR(IF(ISNUMBER(D123),HLOOKUP(Tools!$BE$2,Tools!$BE$2:$BE$27,MOD(ROW()-2,Max_WL_count)+2,FALSE)*WLS,""),"")</f>
        <v>0.5</v>
      </c>
      <c r="I123" s="431">
        <f t="shared" si="11"/>
        <v>122</v>
      </c>
      <c r="J123" s="434">
        <f t="shared" si="7"/>
        <v>10</v>
      </c>
      <c r="K123" s="437">
        <f>IFERROR(-LBP/2+HLOOKUP(Stn_WL,Tools!$AD$2:$AD$27,N123+2,FALSE)*STN_GAP,"")</f>
        <v>-21.93</v>
      </c>
      <c r="L123" s="437">
        <f>IFERROR(IF(AND(ISNUMBER(K123),O123=0),0,VLOOKUP(HLOOKUP(Stn_WL,Tools!$AD$2:$AD$27,N123+2,FALSE),Tools!$AD$3:$BC$27,O123+1,FALSE)),"")</f>
        <v>10.6</v>
      </c>
      <c r="M123" s="437">
        <f>IFERROR(IF(ISNUMBER(L123),IF(O123=0,IFERROR(HLOOKUP(Tools!$BD$127,Tools!$BD$127:$BD$152,N123+2,FALSE)*1,0),HLOOKUP(Tools!$BE$2,Tools!$BE$2:$BE$27,O123+1,FALSE)*WLS),""),"")</f>
        <v>1.5</v>
      </c>
      <c r="N123">
        <f t="shared" si="8"/>
        <v>9</v>
      </c>
      <c r="O123">
        <f t="shared" si="9"/>
        <v>4</v>
      </c>
    </row>
    <row r="124" spans="1:15" x14ac:dyDescent="0.25">
      <c r="A124" s="431">
        <f t="shared" si="10"/>
        <v>123</v>
      </c>
      <c r="B124" s="434">
        <f t="shared" si="6"/>
        <v>11</v>
      </c>
      <c r="C124" s="437">
        <f>IFERROR(-LBP/2+HLOOKUP(Stn_WL,Tools!$AD$2:$AD$27,QUOTIENT(ROW()-2,Max_WL_count)+2,FALSE)*STN_GAP,"")</f>
        <v>-14.619999999999997</v>
      </c>
      <c r="D124" s="437">
        <f>IFERROR(VLOOKUP(HLOOKUP(Stn_WL,Tools!$AD$2:$AD$27,QUOTIENT(ROW()-2,Max_WL_count)+2,FALSE),Tools!$AD$3:$BC$27,MOD(ROW()-2,Max_WL_count)+2,FALSE),"")</f>
        <v>10.67</v>
      </c>
      <c r="E124" s="435">
        <f>IFERROR(IF(ISNUMBER(D124),HLOOKUP(Tools!$BE$2,Tools!$BE$2:$BE$27,MOD(ROW()-2,Max_WL_count)+2,FALSE)*WLS,""),"")</f>
        <v>1</v>
      </c>
      <c r="I124" s="431">
        <f t="shared" si="11"/>
        <v>123</v>
      </c>
      <c r="J124" s="434">
        <f t="shared" si="7"/>
        <v>10</v>
      </c>
      <c r="K124" s="437">
        <f>IFERROR(-LBP/2+HLOOKUP(Stn_WL,Tools!$AD$2:$AD$27,N124+2,FALSE)*STN_GAP,"")</f>
        <v>-21.93</v>
      </c>
      <c r="L124" s="437">
        <f>IFERROR(IF(AND(ISNUMBER(K124),O124=0),0,VLOOKUP(HLOOKUP(Stn_WL,Tools!$AD$2:$AD$27,N124+2,FALSE),Tools!$AD$3:$BC$27,O124+1,FALSE)),"")</f>
        <v>10.8</v>
      </c>
      <c r="M124" s="437">
        <f>IFERROR(IF(ISNUMBER(L124),IF(O124=0,IFERROR(HLOOKUP(Tools!$BD$127,Tools!$BD$127:$BD$152,N124+2,FALSE)*1,0),HLOOKUP(Tools!$BE$2,Tools!$BE$2:$BE$27,O124+1,FALSE)*WLS),""),"")</f>
        <v>2</v>
      </c>
      <c r="N124">
        <f t="shared" si="8"/>
        <v>9</v>
      </c>
      <c r="O124">
        <f t="shared" si="9"/>
        <v>5</v>
      </c>
    </row>
    <row r="125" spans="1:15" x14ac:dyDescent="0.25">
      <c r="A125" s="431">
        <f t="shared" si="10"/>
        <v>124</v>
      </c>
      <c r="B125" s="434">
        <f t="shared" si="6"/>
        <v>11</v>
      </c>
      <c r="C125" s="437">
        <f>IFERROR(-LBP/2+HLOOKUP(Stn_WL,Tools!$AD$2:$AD$27,QUOTIENT(ROW()-2,Max_WL_count)+2,FALSE)*STN_GAP,"")</f>
        <v>-14.619999999999997</v>
      </c>
      <c r="D125" s="437">
        <f>IFERROR(VLOOKUP(HLOOKUP(Stn_WL,Tools!$AD$2:$AD$27,QUOTIENT(ROW()-2,Max_WL_count)+2,FALSE),Tools!$AD$3:$BC$27,MOD(ROW()-2,Max_WL_count)+2,FALSE),"")</f>
        <v>10.9</v>
      </c>
      <c r="E125" s="435">
        <f>IFERROR(IF(ISNUMBER(D125),HLOOKUP(Tools!$BE$2,Tools!$BE$2:$BE$27,MOD(ROW()-2,Max_WL_count)+2,FALSE)*WLS,""),"")</f>
        <v>1.5</v>
      </c>
      <c r="I125" s="431">
        <f t="shared" si="11"/>
        <v>124</v>
      </c>
      <c r="J125" s="434">
        <f t="shared" si="7"/>
        <v>10</v>
      </c>
      <c r="K125" s="437">
        <f>IFERROR(-LBP/2+HLOOKUP(Stn_WL,Tools!$AD$2:$AD$27,N125+2,FALSE)*STN_GAP,"")</f>
        <v>-21.93</v>
      </c>
      <c r="L125" s="437">
        <f>IFERROR(IF(AND(ISNUMBER(K125),O125=0),0,VLOOKUP(HLOOKUP(Stn_WL,Tools!$AD$2:$AD$27,N125+2,FALSE),Tools!$AD$3:$BC$27,O125+1,FALSE)),"")</f>
        <v>11</v>
      </c>
      <c r="M125" s="437">
        <f>IFERROR(IF(ISNUMBER(L125),IF(O125=0,IFERROR(HLOOKUP(Tools!$BD$127,Tools!$BD$127:$BD$152,N125+2,FALSE)*1,0),HLOOKUP(Tools!$BE$2,Tools!$BE$2:$BE$27,O125+1,FALSE)*WLS),""),"")</f>
        <v>4</v>
      </c>
      <c r="N125">
        <f t="shared" si="8"/>
        <v>9</v>
      </c>
      <c r="O125">
        <f t="shared" si="9"/>
        <v>6</v>
      </c>
    </row>
    <row r="126" spans="1:15" x14ac:dyDescent="0.25">
      <c r="A126" s="431">
        <f t="shared" si="10"/>
        <v>125</v>
      </c>
      <c r="B126" s="434">
        <f t="shared" si="6"/>
        <v>11</v>
      </c>
      <c r="C126" s="437">
        <f>IFERROR(-LBP/2+HLOOKUP(Stn_WL,Tools!$AD$2:$AD$27,QUOTIENT(ROW()-2,Max_WL_count)+2,FALSE)*STN_GAP,"")</f>
        <v>-14.619999999999997</v>
      </c>
      <c r="D126" s="437">
        <f>IFERROR(VLOOKUP(HLOOKUP(Stn_WL,Tools!$AD$2:$AD$27,QUOTIENT(ROW()-2,Max_WL_count)+2,FALSE),Tools!$AD$3:$BC$27,MOD(ROW()-2,Max_WL_count)+2,FALSE),"")</f>
        <v>11</v>
      </c>
      <c r="E126" s="435">
        <f>IFERROR(IF(ISNUMBER(D126),HLOOKUP(Tools!$BE$2,Tools!$BE$2:$BE$27,MOD(ROW()-2,Max_WL_count)+2,FALSE)*WLS,""),"")</f>
        <v>2</v>
      </c>
      <c r="I126" s="431">
        <f t="shared" si="11"/>
        <v>125</v>
      </c>
      <c r="J126" s="434">
        <f t="shared" si="7"/>
        <v>10</v>
      </c>
      <c r="K126" s="437">
        <f>IFERROR(-LBP/2+HLOOKUP(Stn_WL,Tools!$AD$2:$AD$27,N126+2,FALSE)*STN_GAP,"")</f>
        <v>-21.93</v>
      </c>
      <c r="L126" s="437">
        <f>IFERROR(IF(AND(ISNUMBER(K126),O126=0),0,VLOOKUP(HLOOKUP(Stn_WL,Tools!$AD$2:$AD$27,N126+2,FALSE),Tools!$AD$3:$BC$27,O126+1,FALSE)),"")</f>
        <v>11</v>
      </c>
      <c r="M126" s="437">
        <f>IFERROR(IF(ISNUMBER(L126),IF(O126=0,IFERROR(HLOOKUP(Tools!$BD$127,Tools!$BD$127:$BD$152,N126+2,FALSE)*1,0),HLOOKUP(Tools!$BE$2,Tools!$BE$2:$BE$27,O126+1,FALSE)*WLS),""),"")</f>
        <v>6</v>
      </c>
      <c r="N126">
        <f t="shared" si="8"/>
        <v>9</v>
      </c>
      <c r="O126">
        <f t="shared" si="9"/>
        <v>7</v>
      </c>
    </row>
    <row r="127" spans="1:15" x14ac:dyDescent="0.25">
      <c r="A127" s="431">
        <f t="shared" si="10"/>
        <v>126</v>
      </c>
      <c r="B127" s="434">
        <f t="shared" si="6"/>
        <v>11</v>
      </c>
      <c r="C127" s="437">
        <f>IFERROR(-LBP/2+HLOOKUP(Stn_WL,Tools!$AD$2:$AD$27,QUOTIENT(ROW()-2,Max_WL_count)+2,FALSE)*STN_GAP,"")</f>
        <v>-14.619999999999997</v>
      </c>
      <c r="D127" s="437">
        <f>IFERROR(VLOOKUP(HLOOKUP(Stn_WL,Tools!$AD$2:$AD$27,QUOTIENT(ROW()-2,Max_WL_count)+2,FALSE),Tools!$AD$3:$BC$27,MOD(ROW()-2,Max_WL_count)+2,FALSE),"")</f>
        <v>11</v>
      </c>
      <c r="E127" s="435">
        <f>IFERROR(IF(ISNUMBER(D127),HLOOKUP(Tools!$BE$2,Tools!$BE$2:$BE$27,MOD(ROW()-2,Max_WL_count)+2,FALSE)*WLS,""),"")</f>
        <v>4</v>
      </c>
      <c r="I127" s="431">
        <f t="shared" si="11"/>
        <v>126</v>
      </c>
      <c r="J127" s="434">
        <f t="shared" si="7"/>
        <v>10</v>
      </c>
      <c r="K127" s="437">
        <f>IFERROR(-LBP/2+HLOOKUP(Stn_WL,Tools!$AD$2:$AD$27,N127+2,FALSE)*STN_GAP,"")</f>
        <v>-21.93</v>
      </c>
      <c r="L127" s="437">
        <f>IFERROR(IF(AND(ISNUMBER(K127),O127=0),0,VLOOKUP(HLOOKUP(Stn_WL,Tools!$AD$2:$AD$27,N127+2,FALSE),Tools!$AD$3:$BC$27,O127+1,FALSE)),"")</f>
        <v>11</v>
      </c>
      <c r="M127" s="437">
        <f>IFERROR(IF(ISNUMBER(L127),IF(O127=0,IFERROR(HLOOKUP(Tools!$BD$127,Tools!$BD$127:$BD$152,N127+2,FALSE)*1,0),HLOOKUP(Tools!$BE$2,Tools!$BE$2:$BE$27,O127+1,FALSE)*WLS),""),"")</f>
        <v>8</v>
      </c>
      <c r="N127">
        <f t="shared" si="8"/>
        <v>9</v>
      </c>
      <c r="O127">
        <f t="shared" si="9"/>
        <v>8</v>
      </c>
    </row>
    <row r="128" spans="1:15" x14ac:dyDescent="0.25">
      <c r="A128" s="431">
        <f t="shared" si="10"/>
        <v>127</v>
      </c>
      <c r="B128" s="434">
        <f t="shared" si="6"/>
        <v>11</v>
      </c>
      <c r="C128" s="437">
        <f>IFERROR(-LBP/2+HLOOKUP(Stn_WL,Tools!$AD$2:$AD$27,QUOTIENT(ROW()-2,Max_WL_count)+2,FALSE)*STN_GAP,"")</f>
        <v>-14.619999999999997</v>
      </c>
      <c r="D128" s="437">
        <f>IFERROR(VLOOKUP(HLOOKUP(Stn_WL,Tools!$AD$2:$AD$27,QUOTIENT(ROW()-2,Max_WL_count)+2,FALSE),Tools!$AD$3:$BC$27,MOD(ROW()-2,Max_WL_count)+2,FALSE),"")</f>
        <v>11</v>
      </c>
      <c r="E128" s="435">
        <f>IFERROR(IF(ISNUMBER(D128),HLOOKUP(Tools!$BE$2,Tools!$BE$2:$BE$27,MOD(ROW()-2,Max_WL_count)+2,FALSE)*WLS,""),"")</f>
        <v>6</v>
      </c>
      <c r="I128" s="431">
        <f t="shared" si="11"/>
        <v>127</v>
      </c>
      <c r="J128" s="434">
        <f t="shared" si="7"/>
        <v>10</v>
      </c>
      <c r="K128" s="437">
        <f>IFERROR(-LBP/2+HLOOKUP(Stn_WL,Tools!$AD$2:$AD$27,N128+2,FALSE)*STN_GAP,"")</f>
        <v>-21.93</v>
      </c>
      <c r="L128" s="437">
        <f>IFERROR(IF(AND(ISNUMBER(K128),O128=0),0,VLOOKUP(HLOOKUP(Stn_WL,Tools!$AD$2:$AD$27,N128+2,FALSE),Tools!$AD$3:$BC$27,O128+1,FALSE)),"")</f>
        <v>11</v>
      </c>
      <c r="M128" s="437">
        <f>IFERROR(IF(ISNUMBER(L128),IF(O128=0,IFERROR(HLOOKUP(Tools!$BD$127,Tools!$BD$127:$BD$152,N128+2,FALSE)*1,0),HLOOKUP(Tools!$BE$2,Tools!$BE$2:$BE$27,O128+1,FALSE)*WLS),""),"")</f>
        <v>9.6999999999999993</v>
      </c>
      <c r="N128">
        <f t="shared" si="8"/>
        <v>9</v>
      </c>
      <c r="O128">
        <f t="shared" si="9"/>
        <v>9</v>
      </c>
    </row>
    <row r="129" spans="1:15" x14ac:dyDescent="0.25">
      <c r="A129" s="431">
        <f t="shared" si="10"/>
        <v>128</v>
      </c>
      <c r="B129" s="434">
        <f t="shared" si="6"/>
        <v>11</v>
      </c>
      <c r="C129" s="437">
        <f>IFERROR(-LBP/2+HLOOKUP(Stn_WL,Tools!$AD$2:$AD$27,QUOTIENT(ROW()-2,Max_WL_count)+2,FALSE)*STN_GAP,"")</f>
        <v>-14.619999999999997</v>
      </c>
      <c r="D129" s="437">
        <f>IFERROR(VLOOKUP(HLOOKUP(Stn_WL,Tools!$AD$2:$AD$27,QUOTIENT(ROW()-2,Max_WL_count)+2,FALSE),Tools!$AD$3:$BC$27,MOD(ROW()-2,Max_WL_count)+2,FALSE),"")</f>
        <v>11</v>
      </c>
      <c r="E129" s="435">
        <f>IFERROR(IF(ISNUMBER(D129),HLOOKUP(Tools!$BE$2,Tools!$BE$2:$BE$27,MOD(ROW()-2,Max_WL_count)+2,FALSE)*WLS,""),"")</f>
        <v>8</v>
      </c>
      <c r="I129" s="431">
        <f t="shared" si="11"/>
        <v>128</v>
      </c>
      <c r="J129" s="434">
        <f t="shared" si="7"/>
        <v>10</v>
      </c>
      <c r="K129" s="437">
        <f>IFERROR(-LBP/2+HLOOKUP(Stn_WL,Tools!$AD$2:$AD$27,N129+2,FALSE)*STN_GAP,"")</f>
        <v>-21.93</v>
      </c>
      <c r="L129" s="437">
        <f>IFERROR(IF(AND(ISNUMBER(K129),O129=0),0,VLOOKUP(HLOOKUP(Stn_WL,Tools!$AD$2:$AD$27,N129+2,FALSE),Tools!$AD$3:$BC$27,O129+1,FALSE)),"")</f>
        <v>11</v>
      </c>
      <c r="M129" s="437">
        <f>IFERROR(IF(ISNUMBER(L129),IF(O129=0,IFERROR(HLOOKUP(Tools!$BD$127,Tools!$BD$127:$BD$152,N129+2,FALSE)*1,0),HLOOKUP(Tools!$BE$2,Tools!$BE$2:$BE$27,O129+1,FALSE)*WLS),""),"")</f>
        <v>10</v>
      </c>
      <c r="N129">
        <f t="shared" si="8"/>
        <v>9</v>
      </c>
      <c r="O129">
        <f t="shared" si="9"/>
        <v>10</v>
      </c>
    </row>
    <row r="130" spans="1:15" x14ac:dyDescent="0.25">
      <c r="A130" s="431">
        <f t="shared" si="10"/>
        <v>129</v>
      </c>
      <c r="B130" s="434">
        <f t="shared" ref="B130:B193" si="12">IFERROR(IF(ISNUMBER(D130),QUOTIENT(ROW()-2,Max_WL_count)+1,""),"")</f>
        <v>11</v>
      </c>
      <c r="C130" s="437">
        <f>IFERROR(-LBP/2+HLOOKUP(Stn_WL,Tools!$AD$2:$AD$27,QUOTIENT(ROW()-2,Max_WL_count)+2,FALSE)*STN_GAP,"")</f>
        <v>-14.619999999999997</v>
      </c>
      <c r="D130" s="437">
        <f>IFERROR(VLOOKUP(HLOOKUP(Stn_WL,Tools!$AD$2:$AD$27,QUOTIENT(ROW()-2,Max_WL_count)+2,FALSE),Tools!$AD$3:$BC$27,MOD(ROW()-2,Max_WL_count)+2,FALSE),"")</f>
        <v>11</v>
      </c>
      <c r="E130" s="435">
        <f>IFERROR(IF(ISNUMBER(D130),HLOOKUP(Tools!$BE$2,Tools!$BE$2:$BE$27,MOD(ROW()-2,Max_WL_count)+2,FALSE)*WLS,""),"")</f>
        <v>9.6999999999999993</v>
      </c>
      <c r="I130" s="431">
        <f t="shared" si="11"/>
        <v>129</v>
      </c>
      <c r="J130" s="434">
        <f t="shared" ref="J130:J193" si="13">IFERROR(IF(ISNUMBER(L130),QUOTIENT(ROW()-2,Max_WL_count+1)+1,""),"")</f>
        <v>10</v>
      </c>
      <c r="K130" s="437">
        <f>IFERROR(-LBP/2+HLOOKUP(Stn_WL,Tools!$AD$2:$AD$27,N130+2,FALSE)*STN_GAP,"")</f>
        <v>-21.93</v>
      </c>
      <c r="L130" s="437">
        <f>IFERROR(IF(AND(ISNUMBER(K130),O130=0),0,VLOOKUP(HLOOKUP(Stn_WL,Tools!$AD$2:$AD$27,N130+2,FALSE),Tools!$AD$3:$BC$27,O130+1,FALSE)),"")</f>
        <v>11</v>
      </c>
      <c r="M130" s="437">
        <f>IFERROR(IF(ISNUMBER(L130),IF(O130=0,IFERROR(HLOOKUP(Tools!$BD$127,Tools!$BD$127:$BD$152,N130+2,FALSE)*1,0),HLOOKUP(Tools!$BE$2,Tools!$BE$2:$BE$27,O130+1,FALSE)*WLS),""),"")</f>
        <v>12</v>
      </c>
      <c r="N130">
        <f t="shared" ref="N130:N193" si="14">QUOTIENT(ROW()-2,Max_WL_count+1)</f>
        <v>9</v>
      </c>
      <c r="O130">
        <f t="shared" ref="O130:O193" si="15">MOD(ROW()-2,Max_WL_count+1)</f>
        <v>11</v>
      </c>
    </row>
    <row r="131" spans="1:15" x14ac:dyDescent="0.25">
      <c r="A131" s="431">
        <f t="shared" ref="A131:A194" si="16">IF(ISNUMBER(D131),ROW()-1,"")</f>
        <v>130</v>
      </c>
      <c r="B131" s="434">
        <f t="shared" si="12"/>
        <v>11</v>
      </c>
      <c r="C131" s="437">
        <f>IFERROR(-LBP/2+HLOOKUP(Stn_WL,Tools!$AD$2:$AD$27,QUOTIENT(ROW()-2,Max_WL_count)+2,FALSE)*STN_GAP,"")</f>
        <v>-14.619999999999997</v>
      </c>
      <c r="D131" s="437">
        <f>IFERROR(VLOOKUP(HLOOKUP(Stn_WL,Tools!$AD$2:$AD$27,QUOTIENT(ROW()-2,Max_WL_count)+2,FALSE),Tools!$AD$3:$BC$27,MOD(ROW()-2,Max_WL_count)+2,FALSE),"")</f>
        <v>11</v>
      </c>
      <c r="E131" s="435">
        <f>IFERROR(IF(ISNUMBER(D131),HLOOKUP(Tools!$BE$2,Tools!$BE$2:$BE$27,MOD(ROW()-2,Max_WL_count)+2,FALSE)*WLS,""),"")</f>
        <v>10</v>
      </c>
      <c r="I131" s="431">
        <f t="shared" ref="I131:I194" si="17">IF(ISNUMBER(L131),ROW()-1,"")</f>
        <v>130</v>
      </c>
      <c r="J131" s="434">
        <f t="shared" si="13"/>
        <v>10</v>
      </c>
      <c r="K131" s="437">
        <f>IFERROR(-LBP/2+HLOOKUP(Stn_WL,Tools!$AD$2:$AD$27,N131+2,FALSE)*STN_GAP,"")</f>
        <v>-21.93</v>
      </c>
      <c r="L131" s="437">
        <f>IFERROR(IF(AND(ISNUMBER(K131),O131=0),0,VLOOKUP(HLOOKUP(Stn_WL,Tools!$AD$2:$AD$27,N131+2,FALSE),Tools!$AD$3:$BC$27,O131+1,FALSE)),"")</f>
        <v>11</v>
      </c>
      <c r="M131" s="437">
        <f>IFERROR(IF(ISNUMBER(L131),IF(O131=0,IFERROR(HLOOKUP(Tools!$BD$127,Tools!$BD$127:$BD$152,N131+2,FALSE)*1,0),HLOOKUP(Tools!$BE$2,Tools!$BE$2:$BE$27,O131+1,FALSE)*WLS),""),"")</f>
        <v>13</v>
      </c>
      <c r="N131">
        <f t="shared" si="14"/>
        <v>9</v>
      </c>
      <c r="O131">
        <f t="shared" si="15"/>
        <v>12</v>
      </c>
    </row>
    <row r="132" spans="1:15" x14ac:dyDescent="0.25">
      <c r="A132" s="431">
        <f t="shared" si="16"/>
        <v>131</v>
      </c>
      <c r="B132" s="434">
        <f t="shared" si="12"/>
        <v>11</v>
      </c>
      <c r="C132" s="437">
        <f>IFERROR(-LBP/2+HLOOKUP(Stn_WL,Tools!$AD$2:$AD$27,QUOTIENT(ROW()-2,Max_WL_count)+2,FALSE)*STN_GAP,"")</f>
        <v>-14.619999999999997</v>
      </c>
      <c r="D132" s="437">
        <f>IFERROR(VLOOKUP(HLOOKUP(Stn_WL,Tools!$AD$2:$AD$27,QUOTIENT(ROW()-2,Max_WL_count)+2,FALSE),Tools!$AD$3:$BC$27,MOD(ROW()-2,Max_WL_count)+2,FALSE),"")</f>
        <v>11</v>
      </c>
      <c r="E132" s="435">
        <f>IFERROR(IF(ISNUMBER(D132),HLOOKUP(Tools!$BE$2,Tools!$BE$2:$BE$27,MOD(ROW()-2,Max_WL_count)+2,FALSE)*WLS,""),"")</f>
        <v>12</v>
      </c>
      <c r="I132" s="431">
        <f t="shared" si="17"/>
        <v>131</v>
      </c>
      <c r="J132" s="434">
        <f t="shared" si="13"/>
        <v>11</v>
      </c>
      <c r="K132" s="437">
        <f>IFERROR(-LBP/2+HLOOKUP(Stn_WL,Tools!$AD$2:$AD$27,N132+2,FALSE)*STN_GAP,"")</f>
        <v>-14.619999999999997</v>
      </c>
      <c r="L132" s="437">
        <f>IFERROR(IF(AND(ISNUMBER(K132),O132=0),0,VLOOKUP(HLOOKUP(Stn_WL,Tools!$AD$2:$AD$27,N132+2,FALSE),Tools!$AD$3:$BC$27,O132+1,FALSE)),"")</f>
        <v>0</v>
      </c>
      <c r="M132" s="437">
        <f>IFERROR(IF(ISNUMBER(L132),IF(O132=0,IFERROR(HLOOKUP(Tools!$BD$127,Tools!$BD$127:$BD$152,N132+2,FALSE)*1,0),HLOOKUP(Tools!$BE$2,Tools!$BE$2:$BE$27,O132+1,FALSE)*WLS),""),"")</f>
        <v>0</v>
      </c>
      <c r="N132">
        <f t="shared" si="14"/>
        <v>10</v>
      </c>
      <c r="O132">
        <f t="shared" si="15"/>
        <v>0</v>
      </c>
    </row>
    <row r="133" spans="1:15" x14ac:dyDescent="0.25">
      <c r="A133" s="431">
        <f t="shared" si="16"/>
        <v>132</v>
      </c>
      <c r="B133" s="434">
        <f t="shared" si="12"/>
        <v>11</v>
      </c>
      <c r="C133" s="437">
        <f>IFERROR(-LBP/2+HLOOKUP(Stn_WL,Tools!$AD$2:$AD$27,QUOTIENT(ROW()-2,Max_WL_count)+2,FALSE)*STN_GAP,"")</f>
        <v>-14.619999999999997</v>
      </c>
      <c r="D133" s="437">
        <f>IFERROR(VLOOKUP(HLOOKUP(Stn_WL,Tools!$AD$2:$AD$27,QUOTIENT(ROW()-2,Max_WL_count)+2,FALSE),Tools!$AD$3:$BC$27,MOD(ROW()-2,Max_WL_count)+2,FALSE),"")</f>
        <v>11</v>
      </c>
      <c r="E133" s="435">
        <f>IFERROR(IF(ISNUMBER(D133),HLOOKUP(Tools!$BE$2,Tools!$BE$2:$BE$27,MOD(ROW()-2,Max_WL_count)+2,FALSE)*WLS,""),"")</f>
        <v>13</v>
      </c>
      <c r="I133" s="431">
        <f t="shared" si="17"/>
        <v>132</v>
      </c>
      <c r="J133" s="434">
        <f t="shared" si="13"/>
        <v>11</v>
      </c>
      <c r="K133" s="437">
        <f>IFERROR(-LBP/2+HLOOKUP(Stn_WL,Tools!$AD$2:$AD$27,N133+2,FALSE)*STN_GAP,"")</f>
        <v>-14.619999999999997</v>
      </c>
      <c r="L133" s="437">
        <f>IFERROR(IF(AND(ISNUMBER(K133),O133=0),0,VLOOKUP(HLOOKUP(Stn_WL,Tools!$AD$2:$AD$27,N133+2,FALSE),Tools!$AD$3:$BC$27,O133+1,FALSE)),"")</f>
        <v>9.5</v>
      </c>
      <c r="M133" s="437">
        <f>IFERROR(IF(ISNUMBER(L133),IF(O133=0,IFERROR(HLOOKUP(Tools!$BD$127,Tools!$BD$127:$BD$152,N133+2,FALSE)*1,0),HLOOKUP(Tools!$BE$2,Tools!$BE$2:$BE$27,O133+1,FALSE)*WLS),""),"")</f>
        <v>0</v>
      </c>
      <c r="N133">
        <f t="shared" si="14"/>
        <v>10</v>
      </c>
      <c r="O133">
        <f t="shared" si="15"/>
        <v>1</v>
      </c>
    </row>
    <row r="134" spans="1:15" x14ac:dyDescent="0.25">
      <c r="A134" s="431">
        <f t="shared" si="16"/>
        <v>133</v>
      </c>
      <c r="B134" s="434">
        <f t="shared" si="12"/>
        <v>12</v>
      </c>
      <c r="C134" s="437">
        <f>IFERROR(-LBP/2+HLOOKUP(Stn_WL,Tools!$AD$2:$AD$27,QUOTIENT(ROW()-2,Max_WL_count)+2,FALSE)*STN_GAP,"")</f>
        <v>-7.3100000000000023</v>
      </c>
      <c r="D134" s="437">
        <f>IFERROR(VLOOKUP(HLOOKUP(Stn_WL,Tools!$AD$2:$AD$27,QUOTIENT(ROW()-2,Max_WL_count)+2,FALSE),Tools!$AD$3:$BC$27,MOD(ROW()-2,Max_WL_count)+2,FALSE),"")</f>
        <v>9.6999999999999993</v>
      </c>
      <c r="E134" s="435">
        <f>IFERROR(IF(ISNUMBER(D134),HLOOKUP(Tools!$BE$2,Tools!$BE$2:$BE$27,MOD(ROW()-2,Max_WL_count)+2,FALSE)*WLS,""),"")</f>
        <v>0</v>
      </c>
      <c r="I134" s="431">
        <f t="shared" si="17"/>
        <v>133</v>
      </c>
      <c r="J134" s="434">
        <f t="shared" si="13"/>
        <v>11</v>
      </c>
      <c r="K134" s="437">
        <f>IFERROR(-LBP/2+HLOOKUP(Stn_WL,Tools!$AD$2:$AD$27,N134+2,FALSE)*STN_GAP,"")</f>
        <v>-14.619999999999997</v>
      </c>
      <c r="L134" s="437">
        <f>IFERROR(IF(AND(ISNUMBER(K134),O134=0),0,VLOOKUP(HLOOKUP(Stn_WL,Tools!$AD$2:$AD$27,N134+2,FALSE),Tools!$AD$3:$BC$27,O134+1,FALSE)),"")</f>
        <v>10.33</v>
      </c>
      <c r="M134" s="437">
        <f>IFERROR(IF(ISNUMBER(L134),IF(O134=0,IFERROR(HLOOKUP(Tools!$BD$127,Tools!$BD$127:$BD$152,N134+2,FALSE)*1,0),HLOOKUP(Tools!$BE$2,Tools!$BE$2:$BE$27,O134+1,FALSE)*WLS),""),"")</f>
        <v>0.5</v>
      </c>
      <c r="N134">
        <f t="shared" si="14"/>
        <v>10</v>
      </c>
      <c r="O134">
        <f t="shared" si="15"/>
        <v>2</v>
      </c>
    </row>
    <row r="135" spans="1:15" x14ac:dyDescent="0.25">
      <c r="A135" s="431">
        <f t="shared" si="16"/>
        <v>134</v>
      </c>
      <c r="B135" s="434">
        <f t="shared" si="12"/>
        <v>12</v>
      </c>
      <c r="C135" s="437">
        <f>IFERROR(-LBP/2+HLOOKUP(Stn_WL,Tools!$AD$2:$AD$27,QUOTIENT(ROW()-2,Max_WL_count)+2,FALSE)*STN_GAP,"")</f>
        <v>-7.3100000000000023</v>
      </c>
      <c r="D135" s="437">
        <f>IFERROR(VLOOKUP(HLOOKUP(Stn_WL,Tools!$AD$2:$AD$27,QUOTIENT(ROW()-2,Max_WL_count)+2,FALSE),Tools!$AD$3:$BC$27,MOD(ROW()-2,Max_WL_count)+2,FALSE),"")</f>
        <v>10.45</v>
      </c>
      <c r="E135" s="435">
        <f>IFERROR(IF(ISNUMBER(D135),HLOOKUP(Tools!$BE$2,Tools!$BE$2:$BE$27,MOD(ROW()-2,Max_WL_count)+2,FALSE)*WLS,""),"")</f>
        <v>0.5</v>
      </c>
      <c r="I135" s="431">
        <f t="shared" si="17"/>
        <v>134</v>
      </c>
      <c r="J135" s="434">
        <f t="shared" si="13"/>
        <v>11</v>
      </c>
      <c r="K135" s="437">
        <f>IFERROR(-LBP/2+HLOOKUP(Stn_WL,Tools!$AD$2:$AD$27,N135+2,FALSE)*STN_GAP,"")</f>
        <v>-14.619999999999997</v>
      </c>
      <c r="L135" s="437">
        <f>IFERROR(IF(AND(ISNUMBER(K135),O135=0),0,VLOOKUP(HLOOKUP(Stn_WL,Tools!$AD$2:$AD$27,N135+2,FALSE),Tools!$AD$3:$BC$27,O135+1,FALSE)),"")</f>
        <v>10.67</v>
      </c>
      <c r="M135" s="437">
        <f>IFERROR(IF(ISNUMBER(L135),IF(O135=0,IFERROR(HLOOKUP(Tools!$BD$127,Tools!$BD$127:$BD$152,N135+2,FALSE)*1,0),HLOOKUP(Tools!$BE$2,Tools!$BE$2:$BE$27,O135+1,FALSE)*WLS),""),"")</f>
        <v>1</v>
      </c>
      <c r="N135">
        <f t="shared" si="14"/>
        <v>10</v>
      </c>
      <c r="O135">
        <f t="shared" si="15"/>
        <v>3</v>
      </c>
    </row>
    <row r="136" spans="1:15" x14ac:dyDescent="0.25">
      <c r="A136" s="431">
        <f t="shared" si="16"/>
        <v>135</v>
      </c>
      <c r="B136" s="434">
        <f t="shared" si="12"/>
        <v>12</v>
      </c>
      <c r="C136" s="437">
        <f>IFERROR(-LBP/2+HLOOKUP(Stn_WL,Tools!$AD$2:$AD$27,QUOTIENT(ROW()-2,Max_WL_count)+2,FALSE)*STN_GAP,"")</f>
        <v>-7.3100000000000023</v>
      </c>
      <c r="D136" s="437">
        <f>IFERROR(VLOOKUP(HLOOKUP(Stn_WL,Tools!$AD$2:$AD$27,QUOTIENT(ROW()-2,Max_WL_count)+2,FALSE),Tools!$AD$3:$BC$27,MOD(ROW()-2,Max_WL_count)+2,FALSE),"")</f>
        <v>10.75</v>
      </c>
      <c r="E136" s="435">
        <f>IFERROR(IF(ISNUMBER(D136),HLOOKUP(Tools!$BE$2,Tools!$BE$2:$BE$27,MOD(ROW()-2,Max_WL_count)+2,FALSE)*WLS,""),"")</f>
        <v>1</v>
      </c>
      <c r="I136" s="431">
        <f t="shared" si="17"/>
        <v>135</v>
      </c>
      <c r="J136" s="434">
        <f t="shared" si="13"/>
        <v>11</v>
      </c>
      <c r="K136" s="437">
        <f>IFERROR(-LBP/2+HLOOKUP(Stn_WL,Tools!$AD$2:$AD$27,N136+2,FALSE)*STN_GAP,"")</f>
        <v>-14.619999999999997</v>
      </c>
      <c r="L136" s="437">
        <f>IFERROR(IF(AND(ISNUMBER(K136),O136=0),0,VLOOKUP(HLOOKUP(Stn_WL,Tools!$AD$2:$AD$27,N136+2,FALSE),Tools!$AD$3:$BC$27,O136+1,FALSE)),"")</f>
        <v>10.9</v>
      </c>
      <c r="M136" s="437">
        <f>IFERROR(IF(ISNUMBER(L136),IF(O136=0,IFERROR(HLOOKUP(Tools!$BD$127,Tools!$BD$127:$BD$152,N136+2,FALSE)*1,0),HLOOKUP(Tools!$BE$2,Tools!$BE$2:$BE$27,O136+1,FALSE)*WLS),""),"")</f>
        <v>1.5</v>
      </c>
      <c r="N136">
        <f t="shared" si="14"/>
        <v>10</v>
      </c>
      <c r="O136">
        <f t="shared" si="15"/>
        <v>4</v>
      </c>
    </row>
    <row r="137" spans="1:15" x14ac:dyDescent="0.25">
      <c r="A137" s="431">
        <f t="shared" si="16"/>
        <v>136</v>
      </c>
      <c r="B137" s="434">
        <f t="shared" si="12"/>
        <v>12</v>
      </c>
      <c r="C137" s="437">
        <f>IFERROR(-LBP/2+HLOOKUP(Stn_WL,Tools!$AD$2:$AD$27,QUOTIENT(ROW()-2,Max_WL_count)+2,FALSE)*STN_GAP,"")</f>
        <v>-7.3100000000000023</v>
      </c>
      <c r="D137" s="437">
        <f>IFERROR(VLOOKUP(HLOOKUP(Stn_WL,Tools!$AD$2:$AD$27,QUOTIENT(ROW()-2,Max_WL_count)+2,FALSE),Tools!$AD$3:$BC$27,MOD(ROW()-2,Max_WL_count)+2,FALSE),"")</f>
        <v>10.93</v>
      </c>
      <c r="E137" s="435">
        <f>IFERROR(IF(ISNUMBER(D137),HLOOKUP(Tools!$BE$2,Tools!$BE$2:$BE$27,MOD(ROW()-2,Max_WL_count)+2,FALSE)*WLS,""),"")</f>
        <v>1.5</v>
      </c>
      <c r="I137" s="431">
        <f t="shared" si="17"/>
        <v>136</v>
      </c>
      <c r="J137" s="434">
        <f t="shared" si="13"/>
        <v>11</v>
      </c>
      <c r="K137" s="437">
        <f>IFERROR(-LBP/2+HLOOKUP(Stn_WL,Tools!$AD$2:$AD$27,N137+2,FALSE)*STN_GAP,"")</f>
        <v>-14.619999999999997</v>
      </c>
      <c r="L137" s="437">
        <f>IFERROR(IF(AND(ISNUMBER(K137),O137=0),0,VLOOKUP(HLOOKUP(Stn_WL,Tools!$AD$2:$AD$27,N137+2,FALSE),Tools!$AD$3:$BC$27,O137+1,FALSE)),"")</f>
        <v>11</v>
      </c>
      <c r="M137" s="437">
        <f>IFERROR(IF(ISNUMBER(L137),IF(O137=0,IFERROR(HLOOKUP(Tools!$BD$127,Tools!$BD$127:$BD$152,N137+2,FALSE)*1,0),HLOOKUP(Tools!$BE$2,Tools!$BE$2:$BE$27,O137+1,FALSE)*WLS),""),"")</f>
        <v>2</v>
      </c>
      <c r="N137">
        <f t="shared" si="14"/>
        <v>10</v>
      </c>
      <c r="O137">
        <f t="shared" si="15"/>
        <v>5</v>
      </c>
    </row>
    <row r="138" spans="1:15" x14ac:dyDescent="0.25">
      <c r="A138" s="431">
        <f t="shared" si="16"/>
        <v>137</v>
      </c>
      <c r="B138" s="434">
        <f t="shared" si="12"/>
        <v>12</v>
      </c>
      <c r="C138" s="437">
        <f>IFERROR(-LBP/2+HLOOKUP(Stn_WL,Tools!$AD$2:$AD$27,QUOTIENT(ROW()-2,Max_WL_count)+2,FALSE)*STN_GAP,"")</f>
        <v>-7.3100000000000023</v>
      </c>
      <c r="D138" s="437">
        <f>IFERROR(VLOOKUP(HLOOKUP(Stn_WL,Tools!$AD$2:$AD$27,QUOTIENT(ROW()-2,Max_WL_count)+2,FALSE),Tools!$AD$3:$BC$27,MOD(ROW()-2,Max_WL_count)+2,FALSE),"")</f>
        <v>11</v>
      </c>
      <c r="E138" s="435">
        <f>IFERROR(IF(ISNUMBER(D138),HLOOKUP(Tools!$BE$2,Tools!$BE$2:$BE$27,MOD(ROW()-2,Max_WL_count)+2,FALSE)*WLS,""),"")</f>
        <v>2</v>
      </c>
      <c r="I138" s="431">
        <f t="shared" si="17"/>
        <v>137</v>
      </c>
      <c r="J138" s="434">
        <f t="shared" si="13"/>
        <v>11</v>
      </c>
      <c r="K138" s="437">
        <f>IFERROR(-LBP/2+HLOOKUP(Stn_WL,Tools!$AD$2:$AD$27,N138+2,FALSE)*STN_GAP,"")</f>
        <v>-14.619999999999997</v>
      </c>
      <c r="L138" s="437">
        <f>IFERROR(IF(AND(ISNUMBER(K138),O138=0),0,VLOOKUP(HLOOKUP(Stn_WL,Tools!$AD$2:$AD$27,N138+2,FALSE),Tools!$AD$3:$BC$27,O138+1,FALSE)),"")</f>
        <v>11</v>
      </c>
      <c r="M138" s="437">
        <f>IFERROR(IF(ISNUMBER(L138),IF(O138=0,IFERROR(HLOOKUP(Tools!$BD$127,Tools!$BD$127:$BD$152,N138+2,FALSE)*1,0),HLOOKUP(Tools!$BE$2,Tools!$BE$2:$BE$27,O138+1,FALSE)*WLS),""),"")</f>
        <v>4</v>
      </c>
      <c r="N138">
        <f t="shared" si="14"/>
        <v>10</v>
      </c>
      <c r="O138">
        <f t="shared" si="15"/>
        <v>6</v>
      </c>
    </row>
    <row r="139" spans="1:15" x14ac:dyDescent="0.25">
      <c r="A139" s="431">
        <f t="shared" si="16"/>
        <v>138</v>
      </c>
      <c r="B139" s="434">
        <f t="shared" si="12"/>
        <v>12</v>
      </c>
      <c r="C139" s="437">
        <f>IFERROR(-LBP/2+HLOOKUP(Stn_WL,Tools!$AD$2:$AD$27,QUOTIENT(ROW()-2,Max_WL_count)+2,FALSE)*STN_GAP,"")</f>
        <v>-7.3100000000000023</v>
      </c>
      <c r="D139" s="437">
        <f>IFERROR(VLOOKUP(HLOOKUP(Stn_WL,Tools!$AD$2:$AD$27,QUOTIENT(ROW()-2,Max_WL_count)+2,FALSE),Tools!$AD$3:$BC$27,MOD(ROW()-2,Max_WL_count)+2,FALSE),"")</f>
        <v>11</v>
      </c>
      <c r="E139" s="435">
        <f>IFERROR(IF(ISNUMBER(D139),HLOOKUP(Tools!$BE$2,Tools!$BE$2:$BE$27,MOD(ROW()-2,Max_WL_count)+2,FALSE)*WLS,""),"")</f>
        <v>4</v>
      </c>
      <c r="I139" s="431">
        <f t="shared" si="17"/>
        <v>138</v>
      </c>
      <c r="J139" s="434">
        <f t="shared" si="13"/>
        <v>11</v>
      </c>
      <c r="K139" s="437">
        <f>IFERROR(-LBP/2+HLOOKUP(Stn_WL,Tools!$AD$2:$AD$27,N139+2,FALSE)*STN_GAP,"")</f>
        <v>-14.619999999999997</v>
      </c>
      <c r="L139" s="437">
        <f>IFERROR(IF(AND(ISNUMBER(K139),O139=0),0,VLOOKUP(HLOOKUP(Stn_WL,Tools!$AD$2:$AD$27,N139+2,FALSE),Tools!$AD$3:$BC$27,O139+1,FALSE)),"")</f>
        <v>11</v>
      </c>
      <c r="M139" s="437">
        <f>IFERROR(IF(ISNUMBER(L139),IF(O139=0,IFERROR(HLOOKUP(Tools!$BD$127,Tools!$BD$127:$BD$152,N139+2,FALSE)*1,0),HLOOKUP(Tools!$BE$2,Tools!$BE$2:$BE$27,O139+1,FALSE)*WLS),""),"")</f>
        <v>6</v>
      </c>
      <c r="N139">
        <f t="shared" si="14"/>
        <v>10</v>
      </c>
      <c r="O139">
        <f t="shared" si="15"/>
        <v>7</v>
      </c>
    </row>
    <row r="140" spans="1:15" x14ac:dyDescent="0.25">
      <c r="A140" s="431">
        <f t="shared" si="16"/>
        <v>139</v>
      </c>
      <c r="B140" s="434">
        <f t="shared" si="12"/>
        <v>12</v>
      </c>
      <c r="C140" s="437">
        <f>IFERROR(-LBP/2+HLOOKUP(Stn_WL,Tools!$AD$2:$AD$27,QUOTIENT(ROW()-2,Max_WL_count)+2,FALSE)*STN_GAP,"")</f>
        <v>-7.3100000000000023</v>
      </c>
      <c r="D140" s="437">
        <f>IFERROR(VLOOKUP(HLOOKUP(Stn_WL,Tools!$AD$2:$AD$27,QUOTIENT(ROW()-2,Max_WL_count)+2,FALSE),Tools!$AD$3:$BC$27,MOD(ROW()-2,Max_WL_count)+2,FALSE),"")</f>
        <v>11</v>
      </c>
      <c r="E140" s="435">
        <f>IFERROR(IF(ISNUMBER(D140),HLOOKUP(Tools!$BE$2,Tools!$BE$2:$BE$27,MOD(ROW()-2,Max_WL_count)+2,FALSE)*WLS,""),"")</f>
        <v>6</v>
      </c>
      <c r="I140" s="431">
        <f t="shared" si="17"/>
        <v>139</v>
      </c>
      <c r="J140" s="434">
        <f t="shared" si="13"/>
        <v>11</v>
      </c>
      <c r="K140" s="437">
        <f>IFERROR(-LBP/2+HLOOKUP(Stn_WL,Tools!$AD$2:$AD$27,N140+2,FALSE)*STN_GAP,"")</f>
        <v>-14.619999999999997</v>
      </c>
      <c r="L140" s="437">
        <f>IFERROR(IF(AND(ISNUMBER(K140),O140=0),0,VLOOKUP(HLOOKUP(Stn_WL,Tools!$AD$2:$AD$27,N140+2,FALSE),Tools!$AD$3:$BC$27,O140+1,FALSE)),"")</f>
        <v>11</v>
      </c>
      <c r="M140" s="437">
        <f>IFERROR(IF(ISNUMBER(L140),IF(O140=0,IFERROR(HLOOKUP(Tools!$BD$127,Tools!$BD$127:$BD$152,N140+2,FALSE)*1,0),HLOOKUP(Tools!$BE$2,Tools!$BE$2:$BE$27,O140+1,FALSE)*WLS),""),"")</f>
        <v>8</v>
      </c>
      <c r="N140">
        <f t="shared" si="14"/>
        <v>10</v>
      </c>
      <c r="O140">
        <f t="shared" si="15"/>
        <v>8</v>
      </c>
    </row>
    <row r="141" spans="1:15" x14ac:dyDescent="0.25">
      <c r="A141" s="431">
        <f t="shared" si="16"/>
        <v>140</v>
      </c>
      <c r="B141" s="434">
        <f t="shared" si="12"/>
        <v>12</v>
      </c>
      <c r="C141" s="437">
        <f>IFERROR(-LBP/2+HLOOKUP(Stn_WL,Tools!$AD$2:$AD$27,QUOTIENT(ROW()-2,Max_WL_count)+2,FALSE)*STN_GAP,"")</f>
        <v>-7.3100000000000023</v>
      </c>
      <c r="D141" s="437">
        <f>IFERROR(VLOOKUP(HLOOKUP(Stn_WL,Tools!$AD$2:$AD$27,QUOTIENT(ROW()-2,Max_WL_count)+2,FALSE),Tools!$AD$3:$BC$27,MOD(ROW()-2,Max_WL_count)+2,FALSE),"")</f>
        <v>11</v>
      </c>
      <c r="E141" s="435">
        <f>IFERROR(IF(ISNUMBER(D141),HLOOKUP(Tools!$BE$2,Tools!$BE$2:$BE$27,MOD(ROW()-2,Max_WL_count)+2,FALSE)*WLS,""),"")</f>
        <v>8</v>
      </c>
      <c r="I141" s="431">
        <f t="shared" si="17"/>
        <v>140</v>
      </c>
      <c r="J141" s="434">
        <f t="shared" si="13"/>
        <v>11</v>
      </c>
      <c r="K141" s="437">
        <f>IFERROR(-LBP/2+HLOOKUP(Stn_WL,Tools!$AD$2:$AD$27,N141+2,FALSE)*STN_GAP,"")</f>
        <v>-14.619999999999997</v>
      </c>
      <c r="L141" s="437">
        <f>IFERROR(IF(AND(ISNUMBER(K141),O141=0),0,VLOOKUP(HLOOKUP(Stn_WL,Tools!$AD$2:$AD$27,N141+2,FALSE),Tools!$AD$3:$BC$27,O141+1,FALSE)),"")</f>
        <v>11</v>
      </c>
      <c r="M141" s="437">
        <f>IFERROR(IF(ISNUMBER(L141),IF(O141=0,IFERROR(HLOOKUP(Tools!$BD$127,Tools!$BD$127:$BD$152,N141+2,FALSE)*1,0),HLOOKUP(Tools!$BE$2,Tools!$BE$2:$BE$27,O141+1,FALSE)*WLS),""),"")</f>
        <v>9.6999999999999993</v>
      </c>
      <c r="N141">
        <f t="shared" si="14"/>
        <v>10</v>
      </c>
      <c r="O141">
        <f t="shared" si="15"/>
        <v>9</v>
      </c>
    </row>
    <row r="142" spans="1:15" x14ac:dyDescent="0.25">
      <c r="A142" s="431">
        <f t="shared" si="16"/>
        <v>141</v>
      </c>
      <c r="B142" s="434">
        <f t="shared" si="12"/>
        <v>12</v>
      </c>
      <c r="C142" s="437">
        <f>IFERROR(-LBP/2+HLOOKUP(Stn_WL,Tools!$AD$2:$AD$27,QUOTIENT(ROW()-2,Max_WL_count)+2,FALSE)*STN_GAP,"")</f>
        <v>-7.3100000000000023</v>
      </c>
      <c r="D142" s="437">
        <f>IFERROR(VLOOKUP(HLOOKUP(Stn_WL,Tools!$AD$2:$AD$27,QUOTIENT(ROW()-2,Max_WL_count)+2,FALSE),Tools!$AD$3:$BC$27,MOD(ROW()-2,Max_WL_count)+2,FALSE),"")</f>
        <v>11</v>
      </c>
      <c r="E142" s="435">
        <f>IFERROR(IF(ISNUMBER(D142),HLOOKUP(Tools!$BE$2,Tools!$BE$2:$BE$27,MOD(ROW()-2,Max_WL_count)+2,FALSE)*WLS,""),"")</f>
        <v>9.6999999999999993</v>
      </c>
      <c r="I142" s="431">
        <f t="shared" si="17"/>
        <v>141</v>
      </c>
      <c r="J142" s="434">
        <f t="shared" si="13"/>
        <v>11</v>
      </c>
      <c r="K142" s="437">
        <f>IFERROR(-LBP/2+HLOOKUP(Stn_WL,Tools!$AD$2:$AD$27,N142+2,FALSE)*STN_GAP,"")</f>
        <v>-14.619999999999997</v>
      </c>
      <c r="L142" s="437">
        <f>IFERROR(IF(AND(ISNUMBER(K142),O142=0),0,VLOOKUP(HLOOKUP(Stn_WL,Tools!$AD$2:$AD$27,N142+2,FALSE),Tools!$AD$3:$BC$27,O142+1,FALSE)),"")</f>
        <v>11</v>
      </c>
      <c r="M142" s="437">
        <f>IFERROR(IF(ISNUMBER(L142),IF(O142=0,IFERROR(HLOOKUP(Tools!$BD$127,Tools!$BD$127:$BD$152,N142+2,FALSE)*1,0),HLOOKUP(Tools!$BE$2,Tools!$BE$2:$BE$27,O142+1,FALSE)*WLS),""),"")</f>
        <v>10</v>
      </c>
      <c r="N142">
        <f t="shared" si="14"/>
        <v>10</v>
      </c>
      <c r="O142">
        <f t="shared" si="15"/>
        <v>10</v>
      </c>
    </row>
    <row r="143" spans="1:15" x14ac:dyDescent="0.25">
      <c r="A143" s="431">
        <f t="shared" si="16"/>
        <v>142</v>
      </c>
      <c r="B143" s="434">
        <f t="shared" si="12"/>
        <v>12</v>
      </c>
      <c r="C143" s="437">
        <f>IFERROR(-LBP/2+HLOOKUP(Stn_WL,Tools!$AD$2:$AD$27,QUOTIENT(ROW()-2,Max_WL_count)+2,FALSE)*STN_GAP,"")</f>
        <v>-7.3100000000000023</v>
      </c>
      <c r="D143" s="437">
        <f>IFERROR(VLOOKUP(HLOOKUP(Stn_WL,Tools!$AD$2:$AD$27,QUOTIENT(ROW()-2,Max_WL_count)+2,FALSE),Tools!$AD$3:$BC$27,MOD(ROW()-2,Max_WL_count)+2,FALSE),"")</f>
        <v>11</v>
      </c>
      <c r="E143" s="435">
        <f>IFERROR(IF(ISNUMBER(D143),HLOOKUP(Tools!$BE$2,Tools!$BE$2:$BE$27,MOD(ROW()-2,Max_WL_count)+2,FALSE)*WLS,""),"")</f>
        <v>10</v>
      </c>
      <c r="I143" s="431">
        <f t="shared" si="17"/>
        <v>142</v>
      </c>
      <c r="J143" s="434">
        <f t="shared" si="13"/>
        <v>11</v>
      </c>
      <c r="K143" s="437">
        <f>IFERROR(-LBP/2+HLOOKUP(Stn_WL,Tools!$AD$2:$AD$27,N143+2,FALSE)*STN_GAP,"")</f>
        <v>-14.619999999999997</v>
      </c>
      <c r="L143" s="437">
        <f>IFERROR(IF(AND(ISNUMBER(K143),O143=0),0,VLOOKUP(HLOOKUP(Stn_WL,Tools!$AD$2:$AD$27,N143+2,FALSE),Tools!$AD$3:$BC$27,O143+1,FALSE)),"")</f>
        <v>11</v>
      </c>
      <c r="M143" s="437">
        <f>IFERROR(IF(ISNUMBER(L143),IF(O143=0,IFERROR(HLOOKUP(Tools!$BD$127,Tools!$BD$127:$BD$152,N143+2,FALSE)*1,0),HLOOKUP(Tools!$BE$2,Tools!$BE$2:$BE$27,O143+1,FALSE)*WLS),""),"")</f>
        <v>12</v>
      </c>
      <c r="N143">
        <f t="shared" si="14"/>
        <v>10</v>
      </c>
      <c r="O143">
        <f t="shared" si="15"/>
        <v>11</v>
      </c>
    </row>
    <row r="144" spans="1:15" x14ac:dyDescent="0.25">
      <c r="A144" s="431">
        <f t="shared" si="16"/>
        <v>143</v>
      </c>
      <c r="B144" s="434">
        <f t="shared" si="12"/>
        <v>12</v>
      </c>
      <c r="C144" s="437">
        <f>IFERROR(-LBP/2+HLOOKUP(Stn_WL,Tools!$AD$2:$AD$27,QUOTIENT(ROW()-2,Max_WL_count)+2,FALSE)*STN_GAP,"")</f>
        <v>-7.3100000000000023</v>
      </c>
      <c r="D144" s="437">
        <f>IFERROR(VLOOKUP(HLOOKUP(Stn_WL,Tools!$AD$2:$AD$27,QUOTIENT(ROW()-2,Max_WL_count)+2,FALSE),Tools!$AD$3:$BC$27,MOD(ROW()-2,Max_WL_count)+2,FALSE),"")</f>
        <v>11</v>
      </c>
      <c r="E144" s="435">
        <f>IFERROR(IF(ISNUMBER(D144),HLOOKUP(Tools!$BE$2,Tools!$BE$2:$BE$27,MOD(ROW()-2,Max_WL_count)+2,FALSE)*WLS,""),"")</f>
        <v>12</v>
      </c>
      <c r="I144" s="431">
        <f t="shared" si="17"/>
        <v>143</v>
      </c>
      <c r="J144" s="434">
        <f t="shared" si="13"/>
        <v>11</v>
      </c>
      <c r="K144" s="437">
        <f>IFERROR(-LBP/2+HLOOKUP(Stn_WL,Tools!$AD$2:$AD$27,N144+2,FALSE)*STN_GAP,"")</f>
        <v>-14.619999999999997</v>
      </c>
      <c r="L144" s="437">
        <f>IFERROR(IF(AND(ISNUMBER(K144),O144=0),0,VLOOKUP(HLOOKUP(Stn_WL,Tools!$AD$2:$AD$27,N144+2,FALSE),Tools!$AD$3:$BC$27,O144+1,FALSE)),"")</f>
        <v>11</v>
      </c>
      <c r="M144" s="437">
        <f>IFERROR(IF(ISNUMBER(L144),IF(O144=0,IFERROR(HLOOKUP(Tools!$BD$127,Tools!$BD$127:$BD$152,N144+2,FALSE)*1,0),HLOOKUP(Tools!$BE$2,Tools!$BE$2:$BE$27,O144+1,FALSE)*WLS),""),"")</f>
        <v>13</v>
      </c>
      <c r="N144">
        <f t="shared" si="14"/>
        <v>10</v>
      </c>
      <c r="O144">
        <f t="shared" si="15"/>
        <v>12</v>
      </c>
    </row>
    <row r="145" spans="1:15" x14ac:dyDescent="0.25">
      <c r="A145" s="431">
        <f t="shared" si="16"/>
        <v>144</v>
      </c>
      <c r="B145" s="434">
        <f t="shared" si="12"/>
        <v>12</v>
      </c>
      <c r="C145" s="437">
        <f>IFERROR(-LBP/2+HLOOKUP(Stn_WL,Tools!$AD$2:$AD$27,QUOTIENT(ROW()-2,Max_WL_count)+2,FALSE)*STN_GAP,"")</f>
        <v>-7.3100000000000023</v>
      </c>
      <c r="D145" s="437">
        <f>IFERROR(VLOOKUP(HLOOKUP(Stn_WL,Tools!$AD$2:$AD$27,QUOTIENT(ROW()-2,Max_WL_count)+2,FALSE),Tools!$AD$3:$BC$27,MOD(ROW()-2,Max_WL_count)+2,FALSE),"")</f>
        <v>11</v>
      </c>
      <c r="E145" s="435">
        <f>IFERROR(IF(ISNUMBER(D145),HLOOKUP(Tools!$BE$2,Tools!$BE$2:$BE$27,MOD(ROW()-2,Max_WL_count)+2,FALSE)*WLS,""),"")</f>
        <v>13</v>
      </c>
      <c r="I145" s="431">
        <f t="shared" si="17"/>
        <v>144</v>
      </c>
      <c r="J145" s="434">
        <f t="shared" si="13"/>
        <v>12</v>
      </c>
      <c r="K145" s="437">
        <f>IFERROR(-LBP/2+HLOOKUP(Stn_WL,Tools!$AD$2:$AD$27,N145+2,FALSE)*STN_GAP,"")</f>
        <v>-7.3100000000000023</v>
      </c>
      <c r="L145" s="437">
        <f>IFERROR(IF(AND(ISNUMBER(K145),O145=0),0,VLOOKUP(HLOOKUP(Stn_WL,Tools!$AD$2:$AD$27,N145+2,FALSE),Tools!$AD$3:$BC$27,O145+1,FALSE)),"")</f>
        <v>0</v>
      </c>
      <c r="M145" s="437">
        <f>IFERROR(IF(ISNUMBER(L145),IF(O145=0,IFERROR(HLOOKUP(Tools!$BD$127,Tools!$BD$127:$BD$152,N145+2,FALSE)*1,0),HLOOKUP(Tools!$BE$2,Tools!$BE$2:$BE$27,O145+1,FALSE)*WLS),""),"")</f>
        <v>0</v>
      </c>
      <c r="N145">
        <f t="shared" si="14"/>
        <v>11</v>
      </c>
      <c r="O145">
        <f t="shared" si="15"/>
        <v>0</v>
      </c>
    </row>
    <row r="146" spans="1:15" x14ac:dyDescent="0.25">
      <c r="A146" s="431">
        <f t="shared" si="16"/>
        <v>145</v>
      </c>
      <c r="B146" s="434">
        <f t="shared" si="12"/>
        <v>13</v>
      </c>
      <c r="C146" s="437">
        <f>IFERROR(-LBP/2+HLOOKUP(Stn_WL,Tools!$AD$2:$AD$27,QUOTIENT(ROW()-2,Max_WL_count)+2,FALSE)*STN_GAP,"")</f>
        <v>0</v>
      </c>
      <c r="D146" s="437">
        <f>IFERROR(VLOOKUP(HLOOKUP(Stn_WL,Tools!$AD$2:$AD$27,QUOTIENT(ROW()-2,Max_WL_count)+2,FALSE),Tools!$AD$3:$BC$27,MOD(ROW()-2,Max_WL_count)+2,FALSE),"")</f>
        <v>9.6999999999999993</v>
      </c>
      <c r="E146" s="435">
        <f>IFERROR(IF(ISNUMBER(D146),HLOOKUP(Tools!$BE$2,Tools!$BE$2:$BE$27,MOD(ROW()-2,Max_WL_count)+2,FALSE)*WLS,""),"")</f>
        <v>0</v>
      </c>
      <c r="I146" s="431">
        <f t="shared" si="17"/>
        <v>145</v>
      </c>
      <c r="J146" s="434">
        <f t="shared" si="13"/>
        <v>12</v>
      </c>
      <c r="K146" s="437">
        <f>IFERROR(-LBP/2+HLOOKUP(Stn_WL,Tools!$AD$2:$AD$27,N146+2,FALSE)*STN_GAP,"")</f>
        <v>-7.3100000000000023</v>
      </c>
      <c r="L146" s="437">
        <f>IFERROR(IF(AND(ISNUMBER(K146),O146=0),0,VLOOKUP(HLOOKUP(Stn_WL,Tools!$AD$2:$AD$27,N146+2,FALSE),Tools!$AD$3:$BC$27,O146+1,FALSE)),"")</f>
        <v>9.6999999999999993</v>
      </c>
      <c r="M146" s="437">
        <f>IFERROR(IF(ISNUMBER(L146),IF(O146=0,IFERROR(HLOOKUP(Tools!$BD$127,Tools!$BD$127:$BD$152,N146+2,FALSE)*1,0),HLOOKUP(Tools!$BE$2,Tools!$BE$2:$BE$27,O146+1,FALSE)*WLS),""),"")</f>
        <v>0</v>
      </c>
      <c r="N146">
        <f t="shared" si="14"/>
        <v>11</v>
      </c>
      <c r="O146">
        <f t="shared" si="15"/>
        <v>1</v>
      </c>
    </row>
    <row r="147" spans="1:15" x14ac:dyDescent="0.25">
      <c r="A147" s="431">
        <f t="shared" si="16"/>
        <v>146</v>
      </c>
      <c r="B147" s="434">
        <f t="shared" si="12"/>
        <v>13</v>
      </c>
      <c r="C147" s="437">
        <f>IFERROR(-LBP/2+HLOOKUP(Stn_WL,Tools!$AD$2:$AD$27,QUOTIENT(ROW()-2,Max_WL_count)+2,FALSE)*STN_GAP,"")</f>
        <v>0</v>
      </c>
      <c r="D147" s="437">
        <f>IFERROR(VLOOKUP(HLOOKUP(Stn_WL,Tools!$AD$2:$AD$27,QUOTIENT(ROW()-2,Max_WL_count)+2,FALSE),Tools!$AD$3:$BC$27,MOD(ROW()-2,Max_WL_count)+2,FALSE),"")</f>
        <v>10.45</v>
      </c>
      <c r="E147" s="435">
        <f>IFERROR(IF(ISNUMBER(D147),HLOOKUP(Tools!$BE$2,Tools!$BE$2:$BE$27,MOD(ROW()-2,Max_WL_count)+2,FALSE)*WLS,""),"")</f>
        <v>0.5</v>
      </c>
      <c r="I147" s="431">
        <f t="shared" si="17"/>
        <v>146</v>
      </c>
      <c r="J147" s="434">
        <f t="shared" si="13"/>
        <v>12</v>
      </c>
      <c r="K147" s="437">
        <f>IFERROR(-LBP/2+HLOOKUP(Stn_WL,Tools!$AD$2:$AD$27,N147+2,FALSE)*STN_GAP,"")</f>
        <v>-7.3100000000000023</v>
      </c>
      <c r="L147" s="437">
        <f>IFERROR(IF(AND(ISNUMBER(K147),O147=0),0,VLOOKUP(HLOOKUP(Stn_WL,Tools!$AD$2:$AD$27,N147+2,FALSE),Tools!$AD$3:$BC$27,O147+1,FALSE)),"")</f>
        <v>10.45</v>
      </c>
      <c r="M147" s="437">
        <f>IFERROR(IF(ISNUMBER(L147),IF(O147=0,IFERROR(HLOOKUP(Tools!$BD$127,Tools!$BD$127:$BD$152,N147+2,FALSE)*1,0),HLOOKUP(Tools!$BE$2,Tools!$BE$2:$BE$27,O147+1,FALSE)*WLS),""),"")</f>
        <v>0.5</v>
      </c>
      <c r="N147">
        <f t="shared" si="14"/>
        <v>11</v>
      </c>
      <c r="O147">
        <f t="shared" si="15"/>
        <v>2</v>
      </c>
    </row>
    <row r="148" spans="1:15" x14ac:dyDescent="0.25">
      <c r="A148" s="431">
        <f t="shared" si="16"/>
        <v>147</v>
      </c>
      <c r="B148" s="434">
        <f t="shared" si="12"/>
        <v>13</v>
      </c>
      <c r="C148" s="437">
        <f>IFERROR(-LBP/2+HLOOKUP(Stn_WL,Tools!$AD$2:$AD$27,QUOTIENT(ROW()-2,Max_WL_count)+2,FALSE)*STN_GAP,"")</f>
        <v>0</v>
      </c>
      <c r="D148" s="437">
        <f>IFERROR(VLOOKUP(HLOOKUP(Stn_WL,Tools!$AD$2:$AD$27,QUOTIENT(ROW()-2,Max_WL_count)+2,FALSE),Tools!$AD$3:$BC$27,MOD(ROW()-2,Max_WL_count)+2,FALSE),"")</f>
        <v>10.75</v>
      </c>
      <c r="E148" s="435">
        <f>IFERROR(IF(ISNUMBER(D148),HLOOKUP(Tools!$BE$2,Tools!$BE$2:$BE$27,MOD(ROW()-2,Max_WL_count)+2,FALSE)*WLS,""),"")</f>
        <v>1</v>
      </c>
      <c r="I148" s="431">
        <f t="shared" si="17"/>
        <v>147</v>
      </c>
      <c r="J148" s="434">
        <f t="shared" si="13"/>
        <v>12</v>
      </c>
      <c r="K148" s="437">
        <f>IFERROR(-LBP/2+HLOOKUP(Stn_WL,Tools!$AD$2:$AD$27,N148+2,FALSE)*STN_GAP,"")</f>
        <v>-7.3100000000000023</v>
      </c>
      <c r="L148" s="437">
        <f>IFERROR(IF(AND(ISNUMBER(K148),O148=0),0,VLOOKUP(HLOOKUP(Stn_WL,Tools!$AD$2:$AD$27,N148+2,FALSE),Tools!$AD$3:$BC$27,O148+1,FALSE)),"")</f>
        <v>10.75</v>
      </c>
      <c r="M148" s="437">
        <f>IFERROR(IF(ISNUMBER(L148),IF(O148=0,IFERROR(HLOOKUP(Tools!$BD$127,Tools!$BD$127:$BD$152,N148+2,FALSE)*1,0),HLOOKUP(Tools!$BE$2,Tools!$BE$2:$BE$27,O148+1,FALSE)*WLS),""),"")</f>
        <v>1</v>
      </c>
      <c r="N148">
        <f t="shared" si="14"/>
        <v>11</v>
      </c>
      <c r="O148">
        <f t="shared" si="15"/>
        <v>3</v>
      </c>
    </row>
    <row r="149" spans="1:15" x14ac:dyDescent="0.25">
      <c r="A149" s="431">
        <f t="shared" si="16"/>
        <v>148</v>
      </c>
      <c r="B149" s="434">
        <f t="shared" si="12"/>
        <v>13</v>
      </c>
      <c r="C149" s="437">
        <f>IFERROR(-LBP/2+HLOOKUP(Stn_WL,Tools!$AD$2:$AD$27,QUOTIENT(ROW()-2,Max_WL_count)+2,FALSE)*STN_GAP,"")</f>
        <v>0</v>
      </c>
      <c r="D149" s="437">
        <f>IFERROR(VLOOKUP(HLOOKUP(Stn_WL,Tools!$AD$2:$AD$27,QUOTIENT(ROW()-2,Max_WL_count)+2,FALSE),Tools!$AD$3:$BC$27,MOD(ROW()-2,Max_WL_count)+2,FALSE),"")</f>
        <v>10.93</v>
      </c>
      <c r="E149" s="435">
        <f>IFERROR(IF(ISNUMBER(D149),HLOOKUP(Tools!$BE$2,Tools!$BE$2:$BE$27,MOD(ROW()-2,Max_WL_count)+2,FALSE)*WLS,""),"")</f>
        <v>1.5</v>
      </c>
      <c r="I149" s="431">
        <f t="shared" si="17"/>
        <v>148</v>
      </c>
      <c r="J149" s="434">
        <f t="shared" si="13"/>
        <v>12</v>
      </c>
      <c r="K149" s="437">
        <f>IFERROR(-LBP/2+HLOOKUP(Stn_WL,Tools!$AD$2:$AD$27,N149+2,FALSE)*STN_GAP,"")</f>
        <v>-7.3100000000000023</v>
      </c>
      <c r="L149" s="437">
        <f>IFERROR(IF(AND(ISNUMBER(K149),O149=0),0,VLOOKUP(HLOOKUP(Stn_WL,Tools!$AD$2:$AD$27,N149+2,FALSE),Tools!$AD$3:$BC$27,O149+1,FALSE)),"")</f>
        <v>10.93</v>
      </c>
      <c r="M149" s="437">
        <f>IFERROR(IF(ISNUMBER(L149),IF(O149=0,IFERROR(HLOOKUP(Tools!$BD$127,Tools!$BD$127:$BD$152,N149+2,FALSE)*1,0),HLOOKUP(Tools!$BE$2,Tools!$BE$2:$BE$27,O149+1,FALSE)*WLS),""),"")</f>
        <v>1.5</v>
      </c>
      <c r="N149">
        <f t="shared" si="14"/>
        <v>11</v>
      </c>
      <c r="O149">
        <f t="shared" si="15"/>
        <v>4</v>
      </c>
    </row>
    <row r="150" spans="1:15" x14ac:dyDescent="0.25">
      <c r="A150" s="431">
        <f t="shared" si="16"/>
        <v>149</v>
      </c>
      <c r="B150" s="434">
        <f t="shared" si="12"/>
        <v>13</v>
      </c>
      <c r="C150" s="437">
        <f>IFERROR(-LBP/2+HLOOKUP(Stn_WL,Tools!$AD$2:$AD$27,QUOTIENT(ROW()-2,Max_WL_count)+2,FALSE)*STN_GAP,"")</f>
        <v>0</v>
      </c>
      <c r="D150" s="437">
        <f>IFERROR(VLOOKUP(HLOOKUP(Stn_WL,Tools!$AD$2:$AD$27,QUOTIENT(ROW()-2,Max_WL_count)+2,FALSE),Tools!$AD$3:$BC$27,MOD(ROW()-2,Max_WL_count)+2,FALSE),"")</f>
        <v>11</v>
      </c>
      <c r="E150" s="435">
        <f>IFERROR(IF(ISNUMBER(D150),HLOOKUP(Tools!$BE$2,Tools!$BE$2:$BE$27,MOD(ROW()-2,Max_WL_count)+2,FALSE)*WLS,""),"")</f>
        <v>2</v>
      </c>
      <c r="I150" s="431">
        <f t="shared" si="17"/>
        <v>149</v>
      </c>
      <c r="J150" s="434">
        <f t="shared" si="13"/>
        <v>12</v>
      </c>
      <c r="K150" s="437">
        <f>IFERROR(-LBP/2+HLOOKUP(Stn_WL,Tools!$AD$2:$AD$27,N150+2,FALSE)*STN_GAP,"")</f>
        <v>-7.3100000000000023</v>
      </c>
      <c r="L150" s="437">
        <f>IFERROR(IF(AND(ISNUMBER(K150),O150=0),0,VLOOKUP(HLOOKUP(Stn_WL,Tools!$AD$2:$AD$27,N150+2,FALSE),Tools!$AD$3:$BC$27,O150+1,FALSE)),"")</f>
        <v>11</v>
      </c>
      <c r="M150" s="437">
        <f>IFERROR(IF(ISNUMBER(L150),IF(O150=0,IFERROR(HLOOKUP(Tools!$BD$127,Tools!$BD$127:$BD$152,N150+2,FALSE)*1,0),HLOOKUP(Tools!$BE$2,Tools!$BE$2:$BE$27,O150+1,FALSE)*WLS),""),"")</f>
        <v>2</v>
      </c>
      <c r="N150">
        <f t="shared" si="14"/>
        <v>11</v>
      </c>
      <c r="O150">
        <f t="shared" si="15"/>
        <v>5</v>
      </c>
    </row>
    <row r="151" spans="1:15" x14ac:dyDescent="0.25">
      <c r="A151" s="431">
        <f t="shared" si="16"/>
        <v>150</v>
      </c>
      <c r="B151" s="434">
        <f t="shared" si="12"/>
        <v>13</v>
      </c>
      <c r="C151" s="437">
        <f>IFERROR(-LBP/2+HLOOKUP(Stn_WL,Tools!$AD$2:$AD$27,QUOTIENT(ROW()-2,Max_WL_count)+2,FALSE)*STN_GAP,"")</f>
        <v>0</v>
      </c>
      <c r="D151" s="437">
        <f>IFERROR(VLOOKUP(HLOOKUP(Stn_WL,Tools!$AD$2:$AD$27,QUOTIENT(ROW()-2,Max_WL_count)+2,FALSE),Tools!$AD$3:$BC$27,MOD(ROW()-2,Max_WL_count)+2,FALSE),"")</f>
        <v>11</v>
      </c>
      <c r="E151" s="435">
        <f>IFERROR(IF(ISNUMBER(D151),HLOOKUP(Tools!$BE$2,Tools!$BE$2:$BE$27,MOD(ROW()-2,Max_WL_count)+2,FALSE)*WLS,""),"")</f>
        <v>4</v>
      </c>
      <c r="I151" s="431">
        <f t="shared" si="17"/>
        <v>150</v>
      </c>
      <c r="J151" s="434">
        <f t="shared" si="13"/>
        <v>12</v>
      </c>
      <c r="K151" s="437">
        <f>IFERROR(-LBP/2+HLOOKUP(Stn_WL,Tools!$AD$2:$AD$27,N151+2,FALSE)*STN_GAP,"")</f>
        <v>-7.3100000000000023</v>
      </c>
      <c r="L151" s="437">
        <f>IFERROR(IF(AND(ISNUMBER(K151),O151=0),0,VLOOKUP(HLOOKUP(Stn_WL,Tools!$AD$2:$AD$27,N151+2,FALSE),Tools!$AD$3:$BC$27,O151+1,FALSE)),"")</f>
        <v>11</v>
      </c>
      <c r="M151" s="437">
        <f>IFERROR(IF(ISNUMBER(L151),IF(O151=0,IFERROR(HLOOKUP(Tools!$BD$127,Tools!$BD$127:$BD$152,N151+2,FALSE)*1,0),HLOOKUP(Tools!$BE$2,Tools!$BE$2:$BE$27,O151+1,FALSE)*WLS),""),"")</f>
        <v>4</v>
      </c>
      <c r="N151">
        <f t="shared" si="14"/>
        <v>11</v>
      </c>
      <c r="O151">
        <f t="shared" si="15"/>
        <v>6</v>
      </c>
    </row>
    <row r="152" spans="1:15" x14ac:dyDescent="0.25">
      <c r="A152" s="431">
        <f t="shared" si="16"/>
        <v>151</v>
      </c>
      <c r="B152" s="434">
        <f t="shared" si="12"/>
        <v>13</v>
      </c>
      <c r="C152" s="437">
        <f>IFERROR(-LBP/2+HLOOKUP(Stn_WL,Tools!$AD$2:$AD$27,QUOTIENT(ROW()-2,Max_WL_count)+2,FALSE)*STN_GAP,"")</f>
        <v>0</v>
      </c>
      <c r="D152" s="437">
        <f>IFERROR(VLOOKUP(HLOOKUP(Stn_WL,Tools!$AD$2:$AD$27,QUOTIENT(ROW()-2,Max_WL_count)+2,FALSE),Tools!$AD$3:$BC$27,MOD(ROW()-2,Max_WL_count)+2,FALSE),"")</f>
        <v>11</v>
      </c>
      <c r="E152" s="435">
        <f>IFERROR(IF(ISNUMBER(D152),HLOOKUP(Tools!$BE$2,Tools!$BE$2:$BE$27,MOD(ROW()-2,Max_WL_count)+2,FALSE)*WLS,""),"")</f>
        <v>6</v>
      </c>
      <c r="I152" s="431">
        <f t="shared" si="17"/>
        <v>151</v>
      </c>
      <c r="J152" s="434">
        <f t="shared" si="13"/>
        <v>12</v>
      </c>
      <c r="K152" s="437">
        <f>IFERROR(-LBP/2+HLOOKUP(Stn_WL,Tools!$AD$2:$AD$27,N152+2,FALSE)*STN_GAP,"")</f>
        <v>-7.3100000000000023</v>
      </c>
      <c r="L152" s="437">
        <f>IFERROR(IF(AND(ISNUMBER(K152),O152=0),0,VLOOKUP(HLOOKUP(Stn_WL,Tools!$AD$2:$AD$27,N152+2,FALSE),Tools!$AD$3:$BC$27,O152+1,FALSE)),"")</f>
        <v>11</v>
      </c>
      <c r="M152" s="437">
        <f>IFERROR(IF(ISNUMBER(L152),IF(O152=0,IFERROR(HLOOKUP(Tools!$BD$127,Tools!$BD$127:$BD$152,N152+2,FALSE)*1,0),HLOOKUP(Tools!$BE$2,Tools!$BE$2:$BE$27,O152+1,FALSE)*WLS),""),"")</f>
        <v>6</v>
      </c>
      <c r="N152">
        <f t="shared" si="14"/>
        <v>11</v>
      </c>
      <c r="O152">
        <f t="shared" si="15"/>
        <v>7</v>
      </c>
    </row>
    <row r="153" spans="1:15" x14ac:dyDescent="0.25">
      <c r="A153" s="431">
        <f t="shared" si="16"/>
        <v>152</v>
      </c>
      <c r="B153" s="434">
        <f t="shared" si="12"/>
        <v>13</v>
      </c>
      <c r="C153" s="437">
        <f>IFERROR(-LBP/2+HLOOKUP(Stn_WL,Tools!$AD$2:$AD$27,QUOTIENT(ROW()-2,Max_WL_count)+2,FALSE)*STN_GAP,"")</f>
        <v>0</v>
      </c>
      <c r="D153" s="437">
        <f>IFERROR(VLOOKUP(HLOOKUP(Stn_WL,Tools!$AD$2:$AD$27,QUOTIENT(ROW()-2,Max_WL_count)+2,FALSE),Tools!$AD$3:$BC$27,MOD(ROW()-2,Max_WL_count)+2,FALSE),"")</f>
        <v>11</v>
      </c>
      <c r="E153" s="435">
        <f>IFERROR(IF(ISNUMBER(D153),HLOOKUP(Tools!$BE$2,Tools!$BE$2:$BE$27,MOD(ROW()-2,Max_WL_count)+2,FALSE)*WLS,""),"")</f>
        <v>8</v>
      </c>
      <c r="I153" s="431">
        <f t="shared" si="17"/>
        <v>152</v>
      </c>
      <c r="J153" s="434">
        <f t="shared" si="13"/>
        <v>12</v>
      </c>
      <c r="K153" s="437">
        <f>IFERROR(-LBP/2+HLOOKUP(Stn_WL,Tools!$AD$2:$AD$27,N153+2,FALSE)*STN_GAP,"")</f>
        <v>-7.3100000000000023</v>
      </c>
      <c r="L153" s="437">
        <f>IFERROR(IF(AND(ISNUMBER(K153),O153=0),0,VLOOKUP(HLOOKUP(Stn_WL,Tools!$AD$2:$AD$27,N153+2,FALSE),Tools!$AD$3:$BC$27,O153+1,FALSE)),"")</f>
        <v>11</v>
      </c>
      <c r="M153" s="437">
        <f>IFERROR(IF(ISNUMBER(L153),IF(O153=0,IFERROR(HLOOKUP(Tools!$BD$127,Tools!$BD$127:$BD$152,N153+2,FALSE)*1,0),HLOOKUP(Tools!$BE$2,Tools!$BE$2:$BE$27,O153+1,FALSE)*WLS),""),"")</f>
        <v>8</v>
      </c>
      <c r="N153">
        <f t="shared" si="14"/>
        <v>11</v>
      </c>
      <c r="O153">
        <f t="shared" si="15"/>
        <v>8</v>
      </c>
    </row>
    <row r="154" spans="1:15" x14ac:dyDescent="0.25">
      <c r="A154" s="431">
        <f t="shared" si="16"/>
        <v>153</v>
      </c>
      <c r="B154" s="434">
        <f t="shared" si="12"/>
        <v>13</v>
      </c>
      <c r="C154" s="437">
        <f>IFERROR(-LBP/2+HLOOKUP(Stn_WL,Tools!$AD$2:$AD$27,QUOTIENT(ROW()-2,Max_WL_count)+2,FALSE)*STN_GAP,"")</f>
        <v>0</v>
      </c>
      <c r="D154" s="437">
        <f>IFERROR(VLOOKUP(HLOOKUP(Stn_WL,Tools!$AD$2:$AD$27,QUOTIENT(ROW()-2,Max_WL_count)+2,FALSE),Tools!$AD$3:$BC$27,MOD(ROW()-2,Max_WL_count)+2,FALSE),"")</f>
        <v>11</v>
      </c>
      <c r="E154" s="435">
        <f>IFERROR(IF(ISNUMBER(D154),HLOOKUP(Tools!$BE$2,Tools!$BE$2:$BE$27,MOD(ROW()-2,Max_WL_count)+2,FALSE)*WLS,""),"")</f>
        <v>9.6999999999999993</v>
      </c>
      <c r="I154" s="431">
        <f t="shared" si="17"/>
        <v>153</v>
      </c>
      <c r="J154" s="434">
        <f t="shared" si="13"/>
        <v>12</v>
      </c>
      <c r="K154" s="437">
        <f>IFERROR(-LBP/2+HLOOKUP(Stn_WL,Tools!$AD$2:$AD$27,N154+2,FALSE)*STN_GAP,"")</f>
        <v>-7.3100000000000023</v>
      </c>
      <c r="L154" s="437">
        <f>IFERROR(IF(AND(ISNUMBER(K154),O154=0),0,VLOOKUP(HLOOKUP(Stn_WL,Tools!$AD$2:$AD$27,N154+2,FALSE),Tools!$AD$3:$BC$27,O154+1,FALSE)),"")</f>
        <v>11</v>
      </c>
      <c r="M154" s="437">
        <f>IFERROR(IF(ISNUMBER(L154),IF(O154=0,IFERROR(HLOOKUP(Tools!$BD$127,Tools!$BD$127:$BD$152,N154+2,FALSE)*1,0),HLOOKUP(Tools!$BE$2,Tools!$BE$2:$BE$27,O154+1,FALSE)*WLS),""),"")</f>
        <v>9.6999999999999993</v>
      </c>
      <c r="N154">
        <f t="shared" si="14"/>
        <v>11</v>
      </c>
      <c r="O154">
        <f t="shared" si="15"/>
        <v>9</v>
      </c>
    </row>
    <row r="155" spans="1:15" x14ac:dyDescent="0.25">
      <c r="A155" s="431">
        <f t="shared" si="16"/>
        <v>154</v>
      </c>
      <c r="B155" s="434">
        <f t="shared" si="12"/>
        <v>13</v>
      </c>
      <c r="C155" s="437">
        <f>IFERROR(-LBP/2+HLOOKUP(Stn_WL,Tools!$AD$2:$AD$27,QUOTIENT(ROW()-2,Max_WL_count)+2,FALSE)*STN_GAP,"")</f>
        <v>0</v>
      </c>
      <c r="D155" s="437">
        <f>IFERROR(VLOOKUP(HLOOKUP(Stn_WL,Tools!$AD$2:$AD$27,QUOTIENT(ROW()-2,Max_WL_count)+2,FALSE),Tools!$AD$3:$BC$27,MOD(ROW()-2,Max_WL_count)+2,FALSE),"")</f>
        <v>11</v>
      </c>
      <c r="E155" s="435">
        <f>IFERROR(IF(ISNUMBER(D155),HLOOKUP(Tools!$BE$2,Tools!$BE$2:$BE$27,MOD(ROW()-2,Max_WL_count)+2,FALSE)*WLS,""),"")</f>
        <v>10</v>
      </c>
      <c r="I155" s="431">
        <f t="shared" si="17"/>
        <v>154</v>
      </c>
      <c r="J155" s="434">
        <f t="shared" si="13"/>
        <v>12</v>
      </c>
      <c r="K155" s="437">
        <f>IFERROR(-LBP/2+HLOOKUP(Stn_WL,Tools!$AD$2:$AD$27,N155+2,FALSE)*STN_GAP,"")</f>
        <v>-7.3100000000000023</v>
      </c>
      <c r="L155" s="437">
        <f>IFERROR(IF(AND(ISNUMBER(K155),O155=0),0,VLOOKUP(HLOOKUP(Stn_WL,Tools!$AD$2:$AD$27,N155+2,FALSE),Tools!$AD$3:$BC$27,O155+1,FALSE)),"")</f>
        <v>11</v>
      </c>
      <c r="M155" s="437">
        <f>IFERROR(IF(ISNUMBER(L155),IF(O155=0,IFERROR(HLOOKUP(Tools!$BD$127,Tools!$BD$127:$BD$152,N155+2,FALSE)*1,0),HLOOKUP(Tools!$BE$2,Tools!$BE$2:$BE$27,O155+1,FALSE)*WLS),""),"")</f>
        <v>10</v>
      </c>
      <c r="N155">
        <f t="shared" si="14"/>
        <v>11</v>
      </c>
      <c r="O155">
        <f t="shared" si="15"/>
        <v>10</v>
      </c>
    </row>
    <row r="156" spans="1:15" x14ac:dyDescent="0.25">
      <c r="A156" s="431">
        <f t="shared" si="16"/>
        <v>155</v>
      </c>
      <c r="B156" s="434">
        <f t="shared" si="12"/>
        <v>13</v>
      </c>
      <c r="C156" s="437">
        <f>IFERROR(-LBP/2+HLOOKUP(Stn_WL,Tools!$AD$2:$AD$27,QUOTIENT(ROW()-2,Max_WL_count)+2,FALSE)*STN_GAP,"")</f>
        <v>0</v>
      </c>
      <c r="D156" s="437">
        <f>IFERROR(VLOOKUP(HLOOKUP(Stn_WL,Tools!$AD$2:$AD$27,QUOTIENT(ROW()-2,Max_WL_count)+2,FALSE),Tools!$AD$3:$BC$27,MOD(ROW()-2,Max_WL_count)+2,FALSE),"")</f>
        <v>11</v>
      </c>
      <c r="E156" s="435">
        <f>IFERROR(IF(ISNUMBER(D156),HLOOKUP(Tools!$BE$2,Tools!$BE$2:$BE$27,MOD(ROW()-2,Max_WL_count)+2,FALSE)*WLS,""),"")</f>
        <v>12</v>
      </c>
      <c r="I156" s="431">
        <f t="shared" si="17"/>
        <v>155</v>
      </c>
      <c r="J156" s="434">
        <f t="shared" si="13"/>
        <v>12</v>
      </c>
      <c r="K156" s="437">
        <f>IFERROR(-LBP/2+HLOOKUP(Stn_WL,Tools!$AD$2:$AD$27,N156+2,FALSE)*STN_GAP,"")</f>
        <v>-7.3100000000000023</v>
      </c>
      <c r="L156" s="437">
        <f>IFERROR(IF(AND(ISNUMBER(K156),O156=0),0,VLOOKUP(HLOOKUP(Stn_WL,Tools!$AD$2:$AD$27,N156+2,FALSE),Tools!$AD$3:$BC$27,O156+1,FALSE)),"")</f>
        <v>11</v>
      </c>
      <c r="M156" s="437">
        <f>IFERROR(IF(ISNUMBER(L156),IF(O156=0,IFERROR(HLOOKUP(Tools!$BD$127,Tools!$BD$127:$BD$152,N156+2,FALSE)*1,0),HLOOKUP(Tools!$BE$2,Tools!$BE$2:$BE$27,O156+1,FALSE)*WLS),""),"")</f>
        <v>12</v>
      </c>
      <c r="N156">
        <f t="shared" si="14"/>
        <v>11</v>
      </c>
      <c r="O156">
        <f t="shared" si="15"/>
        <v>11</v>
      </c>
    </row>
    <row r="157" spans="1:15" x14ac:dyDescent="0.25">
      <c r="A157" s="431">
        <f t="shared" si="16"/>
        <v>156</v>
      </c>
      <c r="B157" s="434">
        <f t="shared" si="12"/>
        <v>13</v>
      </c>
      <c r="C157" s="437">
        <f>IFERROR(-LBP/2+HLOOKUP(Stn_WL,Tools!$AD$2:$AD$27,QUOTIENT(ROW()-2,Max_WL_count)+2,FALSE)*STN_GAP,"")</f>
        <v>0</v>
      </c>
      <c r="D157" s="437">
        <f>IFERROR(VLOOKUP(HLOOKUP(Stn_WL,Tools!$AD$2:$AD$27,QUOTIENT(ROW()-2,Max_WL_count)+2,FALSE),Tools!$AD$3:$BC$27,MOD(ROW()-2,Max_WL_count)+2,FALSE),"")</f>
        <v>11</v>
      </c>
      <c r="E157" s="435">
        <f>IFERROR(IF(ISNUMBER(D157),HLOOKUP(Tools!$BE$2,Tools!$BE$2:$BE$27,MOD(ROW()-2,Max_WL_count)+2,FALSE)*WLS,""),"")</f>
        <v>13</v>
      </c>
      <c r="I157" s="431">
        <f t="shared" si="17"/>
        <v>156</v>
      </c>
      <c r="J157" s="434">
        <f t="shared" si="13"/>
        <v>12</v>
      </c>
      <c r="K157" s="437">
        <f>IFERROR(-LBP/2+HLOOKUP(Stn_WL,Tools!$AD$2:$AD$27,N157+2,FALSE)*STN_GAP,"")</f>
        <v>-7.3100000000000023</v>
      </c>
      <c r="L157" s="437">
        <f>IFERROR(IF(AND(ISNUMBER(K157),O157=0),0,VLOOKUP(HLOOKUP(Stn_WL,Tools!$AD$2:$AD$27,N157+2,FALSE),Tools!$AD$3:$BC$27,O157+1,FALSE)),"")</f>
        <v>11</v>
      </c>
      <c r="M157" s="437">
        <f>IFERROR(IF(ISNUMBER(L157),IF(O157=0,IFERROR(HLOOKUP(Tools!$BD$127,Tools!$BD$127:$BD$152,N157+2,FALSE)*1,0),HLOOKUP(Tools!$BE$2,Tools!$BE$2:$BE$27,O157+1,FALSE)*WLS),""),"")</f>
        <v>13</v>
      </c>
      <c r="N157">
        <f t="shared" si="14"/>
        <v>11</v>
      </c>
      <c r="O157">
        <f t="shared" si="15"/>
        <v>12</v>
      </c>
    </row>
    <row r="158" spans="1:15" x14ac:dyDescent="0.25">
      <c r="A158" s="431">
        <f t="shared" si="16"/>
        <v>157</v>
      </c>
      <c r="B158" s="434">
        <f t="shared" si="12"/>
        <v>14</v>
      </c>
      <c r="C158" s="437">
        <f>IFERROR(-LBP/2+HLOOKUP(Stn_WL,Tools!$AD$2:$AD$27,QUOTIENT(ROW()-2,Max_WL_count)+2,FALSE)*STN_GAP,"")</f>
        <v>7.3100000000000023</v>
      </c>
      <c r="D158" s="437">
        <f>IFERROR(VLOOKUP(HLOOKUP(Stn_WL,Tools!$AD$2:$AD$27,QUOTIENT(ROW()-2,Max_WL_count)+2,FALSE),Tools!$AD$3:$BC$27,MOD(ROW()-2,Max_WL_count)+2,FALSE),"")</f>
        <v>9.6999999999999993</v>
      </c>
      <c r="E158" s="435">
        <f>IFERROR(IF(ISNUMBER(D158),HLOOKUP(Tools!$BE$2,Tools!$BE$2:$BE$27,MOD(ROW()-2,Max_WL_count)+2,FALSE)*WLS,""),"")</f>
        <v>0</v>
      </c>
      <c r="I158" s="431">
        <f t="shared" si="17"/>
        <v>157</v>
      </c>
      <c r="J158" s="434">
        <f t="shared" si="13"/>
        <v>13</v>
      </c>
      <c r="K158" s="437">
        <f>IFERROR(-LBP/2+HLOOKUP(Stn_WL,Tools!$AD$2:$AD$27,N158+2,FALSE)*STN_GAP,"")</f>
        <v>0</v>
      </c>
      <c r="L158" s="437">
        <f>IFERROR(IF(AND(ISNUMBER(K158),O158=0),0,VLOOKUP(HLOOKUP(Stn_WL,Tools!$AD$2:$AD$27,N158+2,FALSE),Tools!$AD$3:$BC$27,O158+1,FALSE)),"")</f>
        <v>0</v>
      </c>
      <c r="M158" s="437">
        <f>IFERROR(IF(ISNUMBER(L158),IF(O158=0,IFERROR(HLOOKUP(Tools!$BD$127,Tools!$BD$127:$BD$152,N158+2,FALSE)*1,0),HLOOKUP(Tools!$BE$2,Tools!$BE$2:$BE$27,O158+1,FALSE)*WLS),""),"")</f>
        <v>0</v>
      </c>
      <c r="N158">
        <f t="shared" si="14"/>
        <v>12</v>
      </c>
      <c r="O158">
        <f t="shared" si="15"/>
        <v>0</v>
      </c>
    </row>
    <row r="159" spans="1:15" x14ac:dyDescent="0.25">
      <c r="A159" s="431">
        <f t="shared" si="16"/>
        <v>158</v>
      </c>
      <c r="B159" s="434">
        <f t="shared" si="12"/>
        <v>14</v>
      </c>
      <c r="C159" s="437">
        <f>IFERROR(-LBP/2+HLOOKUP(Stn_WL,Tools!$AD$2:$AD$27,QUOTIENT(ROW()-2,Max_WL_count)+2,FALSE)*STN_GAP,"")</f>
        <v>7.3100000000000023</v>
      </c>
      <c r="D159" s="437">
        <f>IFERROR(VLOOKUP(HLOOKUP(Stn_WL,Tools!$AD$2:$AD$27,QUOTIENT(ROW()-2,Max_WL_count)+2,FALSE),Tools!$AD$3:$BC$27,MOD(ROW()-2,Max_WL_count)+2,FALSE),"")</f>
        <v>10.45</v>
      </c>
      <c r="E159" s="435">
        <f>IFERROR(IF(ISNUMBER(D159),HLOOKUP(Tools!$BE$2,Tools!$BE$2:$BE$27,MOD(ROW()-2,Max_WL_count)+2,FALSE)*WLS,""),"")</f>
        <v>0.5</v>
      </c>
      <c r="I159" s="431">
        <f t="shared" si="17"/>
        <v>158</v>
      </c>
      <c r="J159" s="434">
        <f t="shared" si="13"/>
        <v>13</v>
      </c>
      <c r="K159" s="437">
        <f>IFERROR(-LBP/2+HLOOKUP(Stn_WL,Tools!$AD$2:$AD$27,N159+2,FALSE)*STN_GAP,"")</f>
        <v>0</v>
      </c>
      <c r="L159" s="437">
        <f>IFERROR(IF(AND(ISNUMBER(K159),O159=0),0,VLOOKUP(HLOOKUP(Stn_WL,Tools!$AD$2:$AD$27,N159+2,FALSE),Tools!$AD$3:$BC$27,O159+1,FALSE)),"")</f>
        <v>9.6999999999999993</v>
      </c>
      <c r="M159" s="437">
        <f>IFERROR(IF(ISNUMBER(L159),IF(O159=0,IFERROR(HLOOKUP(Tools!$BD$127,Tools!$BD$127:$BD$152,N159+2,FALSE)*1,0),HLOOKUP(Tools!$BE$2,Tools!$BE$2:$BE$27,O159+1,FALSE)*WLS),""),"")</f>
        <v>0</v>
      </c>
      <c r="N159">
        <f t="shared" si="14"/>
        <v>12</v>
      </c>
      <c r="O159">
        <f t="shared" si="15"/>
        <v>1</v>
      </c>
    </row>
    <row r="160" spans="1:15" x14ac:dyDescent="0.25">
      <c r="A160" s="431">
        <f t="shared" si="16"/>
        <v>159</v>
      </c>
      <c r="B160" s="434">
        <f t="shared" si="12"/>
        <v>14</v>
      </c>
      <c r="C160" s="437">
        <f>IFERROR(-LBP/2+HLOOKUP(Stn_WL,Tools!$AD$2:$AD$27,QUOTIENT(ROW()-2,Max_WL_count)+2,FALSE)*STN_GAP,"")</f>
        <v>7.3100000000000023</v>
      </c>
      <c r="D160" s="437">
        <f>IFERROR(VLOOKUP(HLOOKUP(Stn_WL,Tools!$AD$2:$AD$27,QUOTIENT(ROW()-2,Max_WL_count)+2,FALSE),Tools!$AD$3:$BC$27,MOD(ROW()-2,Max_WL_count)+2,FALSE),"")</f>
        <v>10.75</v>
      </c>
      <c r="E160" s="435">
        <f>IFERROR(IF(ISNUMBER(D160),HLOOKUP(Tools!$BE$2,Tools!$BE$2:$BE$27,MOD(ROW()-2,Max_WL_count)+2,FALSE)*WLS,""),"")</f>
        <v>1</v>
      </c>
      <c r="I160" s="431">
        <f t="shared" si="17"/>
        <v>159</v>
      </c>
      <c r="J160" s="434">
        <f t="shared" si="13"/>
        <v>13</v>
      </c>
      <c r="K160" s="437">
        <f>IFERROR(-LBP/2+HLOOKUP(Stn_WL,Tools!$AD$2:$AD$27,N160+2,FALSE)*STN_GAP,"")</f>
        <v>0</v>
      </c>
      <c r="L160" s="437">
        <f>IFERROR(IF(AND(ISNUMBER(K160),O160=0),0,VLOOKUP(HLOOKUP(Stn_WL,Tools!$AD$2:$AD$27,N160+2,FALSE),Tools!$AD$3:$BC$27,O160+1,FALSE)),"")</f>
        <v>10.45</v>
      </c>
      <c r="M160" s="437">
        <f>IFERROR(IF(ISNUMBER(L160),IF(O160=0,IFERROR(HLOOKUP(Tools!$BD$127,Tools!$BD$127:$BD$152,N160+2,FALSE)*1,0),HLOOKUP(Tools!$BE$2,Tools!$BE$2:$BE$27,O160+1,FALSE)*WLS),""),"")</f>
        <v>0.5</v>
      </c>
      <c r="N160">
        <f t="shared" si="14"/>
        <v>12</v>
      </c>
      <c r="O160">
        <f t="shared" si="15"/>
        <v>2</v>
      </c>
    </row>
    <row r="161" spans="1:15" x14ac:dyDescent="0.25">
      <c r="A161" s="431">
        <f t="shared" si="16"/>
        <v>160</v>
      </c>
      <c r="B161" s="434">
        <f t="shared" si="12"/>
        <v>14</v>
      </c>
      <c r="C161" s="437">
        <f>IFERROR(-LBP/2+HLOOKUP(Stn_WL,Tools!$AD$2:$AD$27,QUOTIENT(ROW()-2,Max_WL_count)+2,FALSE)*STN_GAP,"")</f>
        <v>7.3100000000000023</v>
      </c>
      <c r="D161" s="437">
        <f>IFERROR(VLOOKUP(HLOOKUP(Stn_WL,Tools!$AD$2:$AD$27,QUOTIENT(ROW()-2,Max_WL_count)+2,FALSE),Tools!$AD$3:$BC$27,MOD(ROW()-2,Max_WL_count)+2,FALSE),"")</f>
        <v>10.93</v>
      </c>
      <c r="E161" s="435">
        <f>IFERROR(IF(ISNUMBER(D161),HLOOKUP(Tools!$BE$2,Tools!$BE$2:$BE$27,MOD(ROW()-2,Max_WL_count)+2,FALSE)*WLS,""),"")</f>
        <v>1.5</v>
      </c>
      <c r="I161" s="431">
        <f t="shared" si="17"/>
        <v>160</v>
      </c>
      <c r="J161" s="434">
        <f t="shared" si="13"/>
        <v>13</v>
      </c>
      <c r="K161" s="437">
        <f>IFERROR(-LBP/2+HLOOKUP(Stn_WL,Tools!$AD$2:$AD$27,N161+2,FALSE)*STN_GAP,"")</f>
        <v>0</v>
      </c>
      <c r="L161" s="437">
        <f>IFERROR(IF(AND(ISNUMBER(K161),O161=0),0,VLOOKUP(HLOOKUP(Stn_WL,Tools!$AD$2:$AD$27,N161+2,FALSE),Tools!$AD$3:$BC$27,O161+1,FALSE)),"")</f>
        <v>10.75</v>
      </c>
      <c r="M161" s="437">
        <f>IFERROR(IF(ISNUMBER(L161),IF(O161=0,IFERROR(HLOOKUP(Tools!$BD$127,Tools!$BD$127:$BD$152,N161+2,FALSE)*1,0),HLOOKUP(Tools!$BE$2,Tools!$BE$2:$BE$27,O161+1,FALSE)*WLS),""),"")</f>
        <v>1</v>
      </c>
      <c r="N161">
        <f t="shared" si="14"/>
        <v>12</v>
      </c>
      <c r="O161">
        <f t="shared" si="15"/>
        <v>3</v>
      </c>
    </row>
    <row r="162" spans="1:15" x14ac:dyDescent="0.25">
      <c r="A162" s="431">
        <f t="shared" si="16"/>
        <v>161</v>
      </c>
      <c r="B162" s="434">
        <f t="shared" si="12"/>
        <v>14</v>
      </c>
      <c r="C162" s="437">
        <f>IFERROR(-LBP/2+HLOOKUP(Stn_WL,Tools!$AD$2:$AD$27,QUOTIENT(ROW()-2,Max_WL_count)+2,FALSE)*STN_GAP,"")</f>
        <v>7.3100000000000023</v>
      </c>
      <c r="D162" s="437">
        <f>IFERROR(VLOOKUP(HLOOKUP(Stn_WL,Tools!$AD$2:$AD$27,QUOTIENT(ROW()-2,Max_WL_count)+2,FALSE),Tools!$AD$3:$BC$27,MOD(ROW()-2,Max_WL_count)+2,FALSE),"")</f>
        <v>11</v>
      </c>
      <c r="E162" s="435">
        <f>IFERROR(IF(ISNUMBER(D162),HLOOKUP(Tools!$BE$2,Tools!$BE$2:$BE$27,MOD(ROW()-2,Max_WL_count)+2,FALSE)*WLS,""),"")</f>
        <v>2</v>
      </c>
      <c r="I162" s="431">
        <f t="shared" si="17"/>
        <v>161</v>
      </c>
      <c r="J162" s="434">
        <f t="shared" si="13"/>
        <v>13</v>
      </c>
      <c r="K162" s="437">
        <f>IFERROR(-LBP/2+HLOOKUP(Stn_WL,Tools!$AD$2:$AD$27,N162+2,FALSE)*STN_GAP,"")</f>
        <v>0</v>
      </c>
      <c r="L162" s="437">
        <f>IFERROR(IF(AND(ISNUMBER(K162),O162=0),0,VLOOKUP(HLOOKUP(Stn_WL,Tools!$AD$2:$AD$27,N162+2,FALSE),Tools!$AD$3:$BC$27,O162+1,FALSE)),"")</f>
        <v>10.93</v>
      </c>
      <c r="M162" s="437">
        <f>IFERROR(IF(ISNUMBER(L162),IF(O162=0,IFERROR(HLOOKUP(Tools!$BD$127,Tools!$BD$127:$BD$152,N162+2,FALSE)*1,0),HLOOKUP(Tools!$BE$2,Tools!$BE$2:$BE$27,O162+1,FALSE)*WLS),""),"")</f>
        <v>1.5</v>
      </c>
      <c r="N162">
        <f t="shared" si="14"/>
        <v>12</v>
      </c>
      <c r="O162">
        <f t="shared" si="15"/>
        <v>4</v>
      </c>
    </row>
    <row r="163" spans="1:15" x14ac:dyDescent="0.25">
      <c r="A163" s="431">
        <f t="shared" si="16"/>
        <v>162</v>
      </c>
      <c r="B163" s="434">
        <f t="shared" si="12"/>
        <v>14</v>
      </c>
      <c r="C163" s="437">
        <f>IFERROR(-LBP/2+HLOOKUP(Stn_WL,Tools!$AD$2:$AD$27,QUOTIENT(ROW()-2,Max_WL_count)+2,FALSE)*STN_GAP,"")</f>
        <v>7.3100000000000023</v>
      </c>
      <c r="D163" s="437">
        <f>IFERROR(VLOOKUP(HLOOKUP(Stn_WL,Tools!$AD$2:$AD$27,QUOTIENT(ROW()-2,Max_WL_count)+2,FALSE),Tools!$AD$3:$BC$27,MOD(ROW()-2,Max_WL_count)+2,FALSE),"")</f>
        <v>11</v>
      </c>
      <c r="E163" s="435">
        <f>IFERROR(IF(ISNUMBER(D163),HLOOKUP(Tools!$BE$2,Tools!$BE$2:$BE$27,MOD(ROW()-2,Max_WL_count)+2,FALSE)*WLS,""),"")</f>
        <v>4</v>
      </c>
      <c r="I163" s="431">
        <f t="shared" si="17"/>
        <v>162</v>
      </c>
      <c r="J163" s="434">
        <f t="shared" si="13"/>
        <v>13</v>
      </c>
      <c r="K163" s="437">
        <f>IFERROR(-LBP/2+HLOOKUP(Stn_WL,Tools!$AD$2:$AD$27,N163+2,FALSE)*STN_GAP,"")</f>
        <v>0</v>
      </c>
      <c r="L163" s="437">
        <f>IFERROR(IF(AND(ISNUMBER(K163),O163=0),0,VLOOKUP(HLOOKUP(Stn_WL,Tools!$AD$2:$AD$27,N163+2,FALSE),Tools!$AD$3:$BC$27,O163+1,FALSE)),"")</f>
        <v>11</v>
      </c>
      <c r="M163" s="437">
        <f>IFERROR(IF(ISNUMBER(L163),IF(O163=0,IFERROR(HLOOKUP(Tools!$BD$127,Tools!$BD$127:$BD$152,N163+2,FALSE)*1,0),HLOOKUP(Tools!$BE$2,Tools!$BE$2:$BE$27,O163+1,FALSE)*WLS),""),"")</f>
        <v>2</v>
      </c>
      <c r="N163">
        <f t="shared" si="14"/>
        <v>12</v>
      </c>
      <c r="O163">
        <f t="shared" si="15"/>
        <v>5</v>
      </c>
    </row>
    <row r="164" spans="1:15" x14ac:dyDescent="0.25">
      <c r="A164" s="431">
        <f t="shared" si="16"/>
        <v>163</v>
      </c>
      <c r="B164" s="434">
        <f t="shared" si="12"/>
        <v>14</v>
      </c>
      <c r="C164" s="437">
        <f>IFERROR(-LBP/2+HLOOKUP(Stn_WL,Tools!$AD$2:$AD$27,QUOTIENT(ROW()-2,Max_WL_count)+2,FALSE)*STN_GAP,"")</f>
        <v>7.3100000000000023</v>
      </c>
      <c r="D164" s="437">
        <f>IFERROR(VLOOKUP(HLOOKUP(Stn_WL,Tools!$AD$2:$AD$27,QUOTIENT(ROW()-2,Max_WL_count)+2,FALSE),Tools!$AD$3:$BC$27,MOD(ROW()-2,Max_WL_count)+2,FALSE),"")</f>
        <v>11</v>
      </c>
      <c r="E164" s="435">
        <f>IFERROR(IF(ISNUMBER(D164),HLOOKUP(Tools!$BE$2,Tools!$BE$2:$BE$27,MOD(ROW()-2,Max_WL_count)+2,FALSE)*WLS,""),"")</f>
        <v>6</v>
      </c>
      <c r="I164" s="431">
        <f t="shared" si="17"/>
        <v>163</v>
      </c>
      <c r="J164" s="434">
        <f t="shared" si="13"/>
        <v>13</v>
      </c>
      <c r="K164" s="437">
        <f>IFERROR(-LBP/2+HLOOKUP(Stn_WL,Tools!$AD$2:$AD$27,N164+2,FALSE)*STN_GAP,"")</f>
        <v>0</v>
      </c>
      <c r="L164" s="437">
        <f>IFERROR(IF(AND(ISNUMBER(K164),O164=0),0,VLOOKUP(HLOOKUP(Stn_WL,Tools!$AD$2:$AD$27,N164+2,FALSE),Tools!$AD$3:$BC$27,O164+1,FALSE)),"")</f>
        <v>11</v>
      </c>
      <c r="M164" s="437">
        <f>IFERROR(IF(ISNUMBER(L164),IF(O164=0,IFERROR(HLOOKUP(Tools!$BD$127,Tools!$BD$127:$BD$152,N164+2,FALSE)*1,0),HLOOKUP(Tools!$BE$2,Tools!$BE$2:$BE$27,O164+1,FALSE)*WLS),""),"")</f>
        <v>4</v>
      </c>
      <c r="N164">
        <f t="shared" si="14"/>
        <v>12</v>
      </c>
      <c r="O164">
        <f t="shared" si="15"/>
        <v>6</v>
      </c>
    </row>
    <row r="165" spans="1:15" x14ac:dyDescent="0.25">
      <c r="A165" s="431">
        <f t="shared" si="16"/>
        <v>164</v>
      </c>
      <c r="B165" s="434">
        <f t="shared" si="12"/>
        <v>14</v>
      </c>
      <c r="C165" s="437">
        <f>IFERROR(-LBP/2+HLOOKUP(Stn_WL,Tools!$AD$2:$AD$27,QUOTIENT(ROW()-2,Max_WL_count)+2,FALSE)*STN_GAP,"")</f>
        <v>7.3100000000000023</v>
      </c>
      <c r="D165" s="437">
        <f>IFERROR(VLOOKUP(HLOOKUP(Stn_WL,Tools!$AD$2:$AD$27,QUOTIENT(ROW()-2,Max_WL_count)+2,FALSE),Tools!$AD$3:$BC$27,MOD(ROW()-2,Max_WL_count)+2,FALSE),"")</f>
        <v>11</v>
      </c>
      <c r="E165" s="435">
        <f>IFERROR(IF(ISNUMBER(D165),HLOOKUP(Tools!$BE$2,Tools!$BE$2:$BE$27,MOD(ROW()-2,Max_WL_count)+2,FALSE)*WLS,""),"")</f>
        <v>8</v>
      </c>
      <c r="I165" s="431">
        <f t="shared" si="17"/>
        <v>164</v>
      </c>
      <c r="J165" s="434">
        <f t="shared" si="13"/>
        <v>13</v>
      </c>
      <c r="K165" s="437">
        <f>IFERROR(-LBP/2+HLOOKUP(Stn_WL,Tools!$AD$2:$AD$27,N165+2,FALSE)*STN_GAP,"")</f>
        <v>0</v>
      </c>
      <c r="L165" s="437">
        <f>IFERROR(IF(AND(ISNUMBER(K165),O165=0),0,VLOOKUP(HLOOKUP(Stn_WL,Tools!$AD$2:$AD$27,N165+2,FALSE),Tools!$AD$3:$BC$27,O165+1,FALSE)),"")</f>
        <v>11</v>
      </c>
      <c r="M165" s="437">
        <f>IFERROR(IF(ISNUMBER(L165),IF(O165=0,IFERROR(HLOOKUP(Tools!$BD$127,Tools!$BD$127:$BD$152,N165+2,FALSE)*1,0),HLOOKUP(Tools!$BE$2,Tools!$BE$2:$BE$27,O165+1,FALSE)*WLS),""),"")</f>
        <v>6</v>
      </c>
      <c r="N165">
        <f t="shared" si="14"/>
        <v>12</v>
      </c>
      <c r="O165">
        <f t="shared" si="15"/>
        <v>7</v>
      </c>
    </row>
    <row r="166" spans="1:15" x14ac:dyDescent="0.25">
      <c r="A166" s="431">
        <f t="shared" si="16"/>
        <v>165</v>
      </c>
      <c r="B166" s="434">
        <f t="shared" si="12"/>
        <v>14</v>
      </c>
      <c r="C166" s="437">
        <f>IFERROR(-LBP/2+HLOOKUP(Stn_WL,Tools!$AD$2:$AD$27,QUOTIENT(ROW()-2,Max_WL_count)+2,FALSE)*STN_GAP,"")</f>
        <v>7.3100000000000023</v>
      </c>
      <c r="D166" s="437">
        <f>IFERROR(VLOOKUP(HLOOKUP(Stn_WL,Tools!$AD$2:$AD$27,QUOTIENT(ROW()-2,Max_WL_count)+2,FALSE),Tools!$AD$3:$BC$27,MOD(ROW()-2,Max_WL_count)+2,FALSE),"")</f>
        <v>11</v>
      </c>
      <c r="E166" s="435">
        <f>IFERROR(IF(ISNUMBER(D166),HLOOKUP(Tools!$BE$2,Tools!$BE$2:$BE$27,MOD(ROW()-2,Max_WL_count)+2,FALSE)*WLS,""),"")</f>
        <v>9.6999999999999993</v>
      </c>
      <c r="I166" s="431">
        <f t="shared" si="17"/>
        <v>165</v>
      </c>
      <c r="J166" s="434">
        <f t="shared" si="13"/>
        <v>13</v>
      </c>
      <c r="K166" s="437">
        <f>IFERROR(-LBP/2+HLOOKUP(Stn_WL,Tools!$AD$2:$AD$27,N166+2,FALSE)*STN_GAP,"")</f>
        <v>0</v>
      </c>
      <c r="L166" s="437">
        <f>IFERROR(IF(AND(ISNUMBER(K166),O166=0),0,VLOOKUP(HLOOKUP(Stn_WL,Tools!$AD$2:$AD$27,N166+2,FALSE),Tools!$AD$3:$BC$27,O166+1,FALSE)),"")</f>
        <v>11</v>
      </c>
      <c r="M166" s="437">
        <f>IFERROR(IF(ISNUMBER(L166),IF(O166=0,IFERROR(HLOOKUP(Tools!$BD$127,Tools!$BD$127:$BD$152,N166+2,FALSE)*1,0),HLOOKUP(Tools!$BE$2,Tools!$BE$2:$BE$27,O166+1,FALSE)*WLS),""),"")</f>
        <v>8</v>
      </c>
      <c r="N166">
        <f t="shared" si="14"/>
        <v>12</v>
      </c>
      <c r="O166">
        <f t="shared" si="15"/>
        <v>8</v>
      </c>
    </row>
    <row r="167" spans="1:15" x14ac:dyDescent="0.25">
      <c r="A167" s="431">
        <f t="shared" si="16"/>
        <v>166</v>
      </c>
      <c r="B167" s="434">
        <f t="shared" si="12"/>
        <v>14</v>
      </c>
      <c r="C167" s="437">
        <f>IFERROR(-LBP/2+HLOOKUP(Stn_WL,Tools!$AD$2:$AD$27,QUOTIENT(ROW()-2,Max_WL_count)+2,FALSE)*STN_GAP,"")</f>
        <v>7.3100000000000023</v>
      </c>
      <c r="D167" s="437">
        <f>IFERROR(VLOOKUP(HLOOKUP(Stn_WL,Tools!$AD$2:$AD$27,QUOTIENT(ROW()-2,Max_WL_count)+2,FALSE),Tools!$AD$3:$BC$27,MOD(ROW()-2,Max_WL_count)+2,FALSE),"")</f>
        <v>11</v>
      </c>
      <c r="E167" s="435">
        <f>IFERROR(IF(ISNUMBER(D167),HLOOKUP(Tools!$BE$2,Tools!$BE$2:$BE$27,MOD(ROW()-2,Max_WL_count)+2,FALSE)*WLS,""),"")</f>
        <v>10</v>
      </c>
      <c r="I167" s="431">
        <f t="shared" si="17"/>
        <v>166</v>
      </c>
      <c r="J167" s="434">
        <f t="shared" si="13"/>
        <v>13</v>
      </c>
      <c r="K167" s="437">
        <f>IFERROR(-LBP/2+HLOOKUP(Stn_WL,Tools!$AD$2:$AD$27,N167+2,FALSE)*STN_GAP,"")</f>
        <v>0</v>
      </c>
      <c r="L167" s="437">
        <f>IFERROR(IF(AND(ISNUMBER(K167),O167=0),0,VLOOKUP(HLOOKUP(Stn_WL,Tools!$AD$2:$AD$27,N167+2,FALSE),Tools!$AD$3:$BC$27,O167+1,FALSE)),"")</f>
        <v>11</v>
      </c>
      <c r="M167" s="437">
        <f>IFERROR(IF(ISNUMBER(L167),IF(O167=0,IFERROR(HLOOKUP(Tools!$BD$127,Tools!$BD$127:$BD$152,N167+2,FALSE)*1,0),HLOOKUP(Tools!$BE$2,Tools!$BE$2:$BE$27,O167+1,FALSE)*WLS),""),"")</f>
        <v>9.6999999999999993</v>
      </c>
      <c r="N167">
        <f t="shared" si="14"/>
        <v>12</v>
      </c>
      <c r="O167">
        <f t="shared" si="15"/>
        <v>9</v>
      </c>
    </row>
    <row r="168" spans="1:15" x14ac:dyDescent="0.25">
      <c r="A168" s="431">
        <f t="shared" si="16"/>
        <v>167</v>
      </c>
      <c r="B168" s="434">
        <f t="shared" si="12"/>
        <v>14</v>
      </c>
      <c r="C168" s="437">
        <f>IFERROR(-LBP/2+HLOOKUP(Stn_WL,Tools!$AD$2:$AD$27,QUOTIENT(ROW()-2,Max_WL_count)+2,FALSE)*STN_GAP,"")</f>
        <v>7.3100000000000023</v>
      </c>
      <c r="D168" s="437">
        <f>IFERROR(VLOOKUP(HLOOKUP(Stn_WL,Tools!$AD$2:$AD$27,QUOTIENT(ROW()-2,Max_WL_count)+2,FALSE),Tools!$AD$3:$BC$27,MOD(ROW()-2,Max_WL_count)+2,FALSE),"")</f>
        <v>11</v>
      </c>
      <c r="E168" s="435">
        <f>IFERROR(IF(ISNUMBER(D168),HLOOKUP(Tools!$BE$2,Tools!$BE$2:$BE$27,MOD(ROW()-2,Max_WL_count)+2,FALSE)*WLS,""),"")</f>
        <v>12</v>
      </c>
      <c r="I168" s="431">
        <f t="shared" si="17"/>
        <v>167</v>
      </c>
      <c r="J168" s="434">
        <f t="shared" si="13"/>
        <v>13</v>
      </c>
      <c r="K168" s="437">
        <f>IFERROR(-LBP/2+HLOOKUP(Stn_WL,Tools!$AD$2:$AD$27,N168+2,FALSE)*STN_GAP,"")</f>
        <v>0</v>
      </c>
      <c r="L168" s="437">
        <f>IFERROR(IF(AND(ISNUMBER(K168),O168=0),0,VLOOKUP(HLOOKUP(Stn_WL,Tools!$AD$2:$AD$27,N168+2,FALSE),Tools!$AD$3:$BC$27,O168+1,FALSE)),"")</f>
        <v>11</v>
      </c>
      <c r="M168" s="437">
        <f>IFERROR(IF(ISNUMBER(L168),IF(O168=0,IFERROR(HLOOKUP(Tools!$BD$127,Tools!$BD$127:$BD$152,N168+2,FALSE)*1,0),HLOOKUP(Tools!$BE$2,Tools!$BE$2:$BE$27,O168+1,FALSE)*WLS),""),"")</f>
        <v>10</v>
      </c>
      <c r="N168">
        <f t="shared" si="14"/>
        <v>12</v>
      </c>
      <c r="O168">
        <f t="shared" si="15"/>
        <v>10</v>
      </c>
    </row>
    <row r="169" spans="1:15" x14ac:dyDescent="0.25">
      <c r="A169" s="431">
        <f t="shared" si="16"/>
        <v>168</v>
      </c>
      <c r="B169" s="434">
        <f t="shared" si="12"/>
        <v>14</v>
      </c>
      <c r="C169" s="437">
        <f>IFERROR(-LBP/2+HLOOKUP(Stn_WL,Tools!$AD$2:$AD$27,QUOTIENT(ROW()-2,Max_WL_count)+2,FALSE)*STN_GAP,"")</f>
        <v>7.3100000000000023</v>
      </c>
      <c r="D169" s="437">
        <f>IFERROR(VLOOKUP(HLOOKUP(Stn_WL,Tools!$AD$2:$AD$27,QUOTIENT(ROW()-2,Max_WL_count)+2,FALSE),Tools!$AD$3:$BC$27,MOD(ROW()-2,Max_WL_count)+2,FALSE),"")</f>
        <v>11</v>
      </c>
      <c r="E169" s="435">
        <f>IFERROR(IF(ISNUMBER(D169),HLOOKUP(Tools!$BE$2,Tools!$BE$2:$BE$27,MOD(ROW()-2,Max_WL_count)+2,FALSE)*WLS,""),"")</f>
        <v>13</v>
      </c>
      <c r="I169" s="431">
        <f t="shared" si="17"/>
        <v>168</v>
      </c>
      <c r="J169" s="434">
        <f t="shared" si="13"/>
        <v>13</v>
      </c>
      <c r="K169" s="437">
        <f>IFERROR(-LBP/2+HLOOKUP(Stn_WL,Tools!$AD$2:$AD$27,N169+2,FALSE)*STN_GAP,"")</f>
        <v>0</v>
      </c>
      <c r="L169" s="437">
        <f>IFERROR(IF(AND(ISNUMBER(K169),O169=0),0,VLOOKUP(HLOOKUP(Stn_WL,Tools!$AD$2:$AD$27,N169+2,FALSE),Tools!$AD$3:$BC$27,O169+1,FALSE)),"")</f>
        <v>11</v>
      </c>
      <c r="M169" s="437">
        <f>IFERROR(IF(ISNUMBER(L169),IF(O169=0,IFERROR(HLOOKUP(Tools!$BD$127,Tools!$BD$127:$BD$152,N169+2,FALSE)*1,0),HLOOKUP(Tools!$BE$2,Tools!$BE$2:$BE$27,O169+1,FALSE)*WLS),""),"")</f>
        <v>12</v>
      </c>
      <c r="N169">
        <f t="shared" si="14"/>
        <v>12</v>
      </c>
      <c r="O169">
        <f t="shared" si="15"/>
        <v>11</v>
      </c>
    </row>
    <row r="170" spans="1:15" x14ac:dyDescent="0.25">
      <c r="A170" s="431">
        <f t="shared" si="16"/>
        <v>169</v>
      </c>
      <c r="B170" s="434">
        <f t="shared" si="12"/>
        <v>15</v>
      </c>
      <c r="C170" s="437">
        <f>IFERROR(-LBP/2+HLOOKUP(Stn_WL,Tools!$AD$2:$AD$27,QUOTIENT(ROW()-2,Max_WL_count)+2,FALSE)*STN_GAP,"")</f>
        <v>14.620000000000005</v>
      </c>
      <c r="D170" s="437">
        <f>IFERROR(VLOOKUP(HLOOKUP(Stn_WL,Tools!$AD$2:$AD$27,QUOTIENT(ROW()-2,Max_WL_count)+2,FALSE),Tools!$AD$3:$BC$27,MOD(ROW()-2,Max_WL_count)+2,FALSE),"")</f>
        <v>9.6999999999999993</v>
      </c>
      <c r="E170" s="435">
        <f>IFERROR(IF(ISNUMBER(D170),HLOOKUP(Tools!$BE$2,Tools!$BE$2:$BE$27,MOD(ROW()-2,Max_WL_count)+2,FALSE)*WLS,""),"")</f>
        <v>0</v>
      </c>
      <c r="I170" s="431">
        <f t="shared" si="17"/>
        <v>169</v>
      </c>
      <c r="J170" s="434">
        <f t="shared" si="13"/>
        <v>13</v>
      </c>
      <c r="K170" s="437">
        <f>IFERROR(-LBP/2+HLOOKUP(Stn_WL,Tools!$AD$2:$AD$27,N170+2,FALSE)*STN_GAP,"")</f>
        <v>0</v>
      </c>
      <c r="L170" s="437">
        <f>IFERROR(IF(AND(ISNUMBER(K170),O170=0),0,VLOOKUP(HLOOKUP(Stn_WL,Tools!$AD$2:$AD$27,N170+2,FALSE),Tools!$AD$3:$BC$27,O170+1,FALSE)),"")</f>
        <v>11</v>
      </c>
      <c r="M170" s="437">
        <f>IFERROR(IF(ISNUMBER(L170),IF(O170=0,IFERROR(HLOOKUP(Tools!$BD$127,Tools!$BD$127:$BD$152,N170+2,FALSE)*1,0),HLOOKUP(Tools!$BE$2,Tools!$BE$2:$BE$27,O170+1,FALSE)*WLS),""),"")</f>
        <v>13</v>
      </c>
      <c r="N170">
        <f t="shared" si="14"/>
        <v>12</v>
      </c>
      <c r="O170">
        <f t="shared" si="15"/>
        <v>12</v>
      </c>
    </row>
    <row r="171" spans="1:15" x14ac:dyDescent="0.25">
      <c r="A171" s="431">
        <f t="shared" si="16"/>
        <v>170</v>
      </c>
      <c r="B171" s="434">
        <f t="shared" si="12"/>
        <v>15</v>
      </c>
      <c r="C171" s="437">
        <f>IFERROR(-LBP/2+HLOOKUP(Stn_WL,Tools!$AD$2:$AD$27,QUOTIENT(ROW()-2,Max_WL_count)+2,FALSE)*STN_GAP,"")</f>
        <v>14.620000000000005</v>
      </c>
      <c r="D171" s="437">
        <f>IFERROR(VLOOKUP(HLOOKUP(Stn_WL,Tools!$AD$2:$AD$27,QUOTIENT(ROW()-2,Max_WL_count)+2,FALSE),Tools!$AD$3:$BC$27,MOD(ROW()-2,Max_WL_count)+2,FALSE),"")</f>
        <v>10.45</v>
      </c>
      <c r="E171" s="435">
        <f>IFERROR(IF(ISNUMBER(D171),HLOOKUP(Tools!$BE$2,Tools!$BE$2:$BE$27,MOD(ROW()-2,Max_WL_count)+2,FALSE)*WLS,""),"")</f>
        <v>0.5</v>
      </c>
      <c r="I171" s="431">
        <f t="shared" si="17"/>
        <v>170</v>
      </c>
      <c r="J171" s="434">
        <f t="shared" si="13"/>
        <v>14</v>
      </c>
      <c r="K171" s="437">
        <f>IFERROR(-LBP/2+HLOOKUP(Stn_WL,Tools!$AD$2:$AD$27,N171+2,FALSE)*STN_GAP,"")</f>
        <v>7.3100000000000023</v>
      </c>
      <c r="L171" s="437">
        <f>IFERROR(IF(AND(ISNUMBER(K171),O171=0),0,VLOOKUP(HLOOKUP(Stn_WL,Tools!$AD$2:$AD$27,N171+2,FALSE),Tools!$AD$3:$BC$27,O171+1,FALSE)),"")</f>
        <v>0</v>
      </c>
      <c r="M171" s="437">
        <f>IFERROR(IF(ISNUMBER(L171),IF(O171=0,IFERROR(HLOOKUP(Tools!$BD$127,Tools!$BD$127:$BD$152,N171+2,FALSE)*1,0),HLOOKUP(Tools!$BE$2,Tools!$BE$2:$BE$27,O171+1,FALSE)*WLS),""),"")</f>
        <v>0</v>
      </c>
      <c r="N171">
        <f t="shared" si="14"/>
        <v>13</v>
      </c>
      <c r="O171">
        <f t="shared" si="15"/>
        <v>0</v>
      </c>
    </row>
    <row r="172" spans="1:15" x14ac:dyDescent="0.25">
      <c r="A172" s="431">
        <f t="shared" si="16"/>
        <v>171</v>
      </c>
      <c r="B172" s="434">
        <f t="shared" si="12"/>
        <v>15</v>
      </c>
      <c r="C172" s="437">
        <f>IFERROR(-LBP/2+HLOOKUP(Stn_WL,Tools!$AD$2:$AD$27,QUOTIENT(ROW()-2,Max_WL_count)+2,FALSE)*STN_GAP,"")</f>
        <v>14.620000000000005</v>
      </c>
      <c r="D172" s="437">
        <f>IFERROR(VLOOKUP(HLOOKUP(Stn_WL,Tools!$AD$2:$AD$27,QUOTIENT(ROW()-2,Max_WL_count)+2,FALSE),Tools!$AD$3:$BC$27,MOD(ROW()-2,Max_WL_count)+2,FALSE),"")</f>
        <v>10.75</v>
      </c>
      <c r="E172" s="435">
        <f>IFERROR(IF(ISNUMBER(D172),HLOOKUP(Tools!$BE$2,Tools!$BE$2:$BE$27,MOD(ROW()-2,Max_WL_count)+2,FALSE)*WLS,""),"")</f>
        <v>1</v>
      </c>
      <c r="I172" s="431">
        <f t="shared" si="17"/>
        <v>171</v>
      </c>
      <c r="J172" s="434">
        <f t="shared" si="13"/>
        <v>14</v>
      </c>
      <c r="K172" s="437">
        <f>IFERROR(-LBP/2+HLOOKUP(Stn_WL,Tools!$AD$2:$AD$27,N172+2,FALSE)*STN_GAP,"")</f>
        <v>7.3100000000000023</v>
      </c>
      <c r="L172" s="437">
        <f>IFERROR(IF(AND(ISNUMBER(K172),O172=0),0,VLOOKUP(HLOOKUP(Stn_WL,Tools!$AD$2:$AD$27,N172+2,FALSE),Tools!$AD$3:$BC$27,O172+1,FALSE)),"")</f>
        <v>9.6999999999999993</v>
      </c>
      <c r="M172" s="437">
        <f>IFERROR(IF(ISNUMBER(L172),IF(O172=0,IFERROR(HLOOKUP(Tools!$BD$127,Tools!$BD$127:$BD$152,N172+2,FALSE)*1,0),HLOOKUP(Tools!$BE$2,Tools!$BE$2:$BE$27,O172+1,FALSE)*WLS),""),"")</f>
        <v>0</v>
      </c>
      <c r="N172">
        <f t="shared" si="14"/>
        <v>13</v>
      </c>
      <c r="O172">
        <f t="shared" si="15"/>
        <v>1</v>
      </c>
    </row>
    <row r="173" spans="1:15" x14ac:dyDescent="0.25">
      <c r="A173" s="431">
        <f t="shared" si="16"/>
        <v>172</v>
      </c>
      <c r="B173" s="434">
        <f t="shared" si="12"/>
        <v>15</v>
      </c>
      <c r="C173" s="437">
        <f>IFERROR(-LBP/2+HLOOKUP(Stn_WL,Tools!$AD$2:$AD$27,QUOTIENT(ROW()-2,Max_WL_count)+2,FALSE)*STN_GAP,"")</f>
        <v>14.620000000000005</v>
      </c>
      <c r="D173" s="437">
        <f>IFERROR(VLOOKUP(HLOOKUP(Stn_WL,Tools!$AD$2:$AD$27,QUOTIENT(ROW()-2,Max_WL_count)+2,FALSE),Tools!$AD$3:$BC$27,MOD(ROW()-2,Max_WL_count)+2,FALSE),"")</f>
        <v>10.93</v>
      </c>
      <c r="E173" s="435">
        <f>IFERROR(IF(ISNUMBER(D173),HLOOKUP(Tools!$BE$2,Tools!$BE$2:$BE$27,MOD(ROW()-2,Max_WL_count)+2,FALSE)*WLS,""),"")</f>
        <v>1.5</v>
      </c>
      <c r="I173" s="431">
        <f t="shared" si="17"/>
        <v>172</v>
      </c>
      <c r="J173" s="434">
        <f t="shared" si="13"/>
        <v>14</v>
      </c>
      <c r="K173" s="437">
        <f>IFERROR(-LBP/2+HLOOKUP(Stn_WL,Tools!$AD$2:$AD$27,N173+2,FALSE)*STN_GAP,"")</f>
        <v>7.3100000000000023</v>
      </c>
      <c r="L173" s="437">
        <f>IFERROR(IF(AND(ISNUMBER(K173),O173=0),0,VLOOKUP(HLOOKUP(Stn_WL,Tools!$AD$2:$AD$27,N173+2,FALSE),Tools!$AD$3:$BC$27,O173+1,FALSE)),"")</f>
        <v>10.45</v>
      </c>
      <c r="M173" s="437">
        <f>IFERROR(IF(ISNUMBER(L173),IF(O173=0,IFERROR(HLOOKUP(Tools!$BD$127,Tools!$BD$127:$BD$152,N173+2,FALSE)*1,0),HLOOKUP(Tools!$BE$2,Tools!$BE$2:$BE$27,O173+1,FALSE)*WLS),""),"")</f>
        <v>0.5</v>
      </c>
      <c r="N173">
        <f t="shared" si="14"/>
        <v>13</v>
      </c>
      <c r="O173">
        <f t="shared" si="15"/>
        <v>2</v>
      </c>
    </row>
    <row r="174" spans="1:15" x14ac:dyDescent="0.25">
      <c r="A174" s="431">
        <f t="shared" si="16"/>
        <v>173</v>
      </c>
      <c r="B174" s="434">
        <f t="shared" si="12"/>
        <v>15</v>
      </c>
      <c r="C174" s="437">
        <f>IFERROR(-LBP/2+HLOOKUP(Stn_WL,Tools!$AD$2:$AD$27,QUOTIENT(ROW()-2,Max_WL_count)+2,FALSE)*STN_GAP,"")</f>
        <v>14.620000000000005</v>
      </c>
      <c r="D174" s="437">
        <f>IFERROR(VLOOKUP(HLOOKUP(Stn_WL,Tools!$AD$2:$AD$27,QUOTIENT(ROW()-2,Max_WL_count)+2,FALSE),Tools!$AD$3:$BC$27,MOD(ROW()-2,Max_WL_count)+2,FALSE),"")</f>
        <v>11</v>
      </c>
      <c r="E174" s="435">
        <f>IFERROR(IF(ISNUMBER(D174),HLOOKUP(Tools!$BE$2,Tools!$BE$2:$BE$27,MOD(ROW()-2,Max_WL_count)+2,FALSE)*WLS,""),"")</f>
        <v>2</v>
      </c>
      <c r="I174" s="431">
        <f t="shared" si="17"/>
        <v>173</v>
      </c>
      <c r="J174" s="434">
        <f t="shared" si="13"/>
        <v>14</v>
      </c>
      <c r="K174" s="437">
        <f>IFERROR(-LBP/2+HLOOKUP(Stn_WL,Tools!$AD$2:$AD$27,N174+2,FALSE)*STN_GAP,"")</f>
        <v>7.3100000000000023</v>
      </c>
      <c r="L174" s="437">
        <f>IFERROR(IF(AND(ISNUMBER(K174),O174=0),0,VLOOKUP(HLOOKUP(Stn_WL,Tools!$AD$2:$AD$27,N174+2,FALSE),Tools!$AD$3:$BC$27,O174+1,FALSE)),"")</f>
        <v>10.75</v>
      </c>
      <c r="M174" s="437">
        <f>IFERROR(IF(ISNUMBER(L174),IF(O174=0,IFERROR(HLOOKUP(Tools!$BD$127,Tools!$BD$127:$BD$152,N174+2,FALSE)*1,0),HLOOKUP(Tools!$BE$2,Tools!$BE$2:$BE$27,O174+1,FALSE)*WLS),""),"")</f>
        <v>1</v>
      </c>
      <c r="N174">
        <f t="shared" si="14"/>
        <v>13</v>
      </c>
      <c r="O174">
        <f t="shared" si="15"/>
        <v>3</v>
      </c>
    </row>
    <row r="175" spans="1:15" x14ac:dyDescent="0.25">
      <c r="A175" s="431">
        <f t="shared" si="16"/>
        <v>174</v>
      </c>
      <c r="B175" s="434">
        <f t="shared" si="12"/>
        <v>15</v>
      </c>
      <c r="C175" s="437">
        <f>IFERROR(-LBP/2+HLOOKUP(Stn_WL,Tools!$AD$2:$AD$27,QUOTIENT(ROW()-2,Max_WL_count)+2,FALSE)*STN_GAP,"")</f>
        <v>14.620000000000005</v>
      </c>
      <c r="D175" s="437">
        <f>IFERROR(VLOOKUP(HLOOKUP(Stn_WL,Tools!$AD$2:$AD$27,QUOTIENT(ROW()-2,Max_WL_count)+2,FALSE),Tools!$AD$3:$BC$27,MOD(ROW()-2,Max_WL_count)+2,FALSE),"")</f>
        <v>11</v>
      </c>
      <c r="E175" s="435">
        <f>IFERROR(IF(ISNUMBER(D175),HLOOKUP(Tools!$BE$2,Tools!$BE$2:$BE$27,MOD(ROW()-2,Max_WL_count)+2,FALSE)*WLS,""),"")</f>
        <v>4</v>
      </c>
      <c r="I175" s="431">
        <f t="shared" si="17"/>
        <v>174</v>
      </c>
      <c r="J175" s="434">
        <f t="shared" si="13"/>
        <v>14</v>
      </c>
      <c r="K175" s="437">
        <f>IFERROR(-LBP/2+HLOOKUP(Stn_WL,Tools!$AD$2:$AD$27,N175+2,FALSE)*STN_GAP,"")</f>
        <v>7.3100000000000023</v>
      </c>
      <c r="L175" s="437">
        <f>IFERROR(IF(AND(ISNUMBER(K175),O175=0),0,VLOOKUP(HLOOKUP(Stn_WL,Tools!$AD$2:$AD$27,N175+2,FALSE),Tools!$AD$3:$BC$27,O175+1,FALSE)),"")</f>
        <v>10.93</v>
      </c>
      <c r="M175" s="437">
        <f>IFERROR(IF(ISNUMBER(L175),IF(O175=0,IFERROR(HLOOKUP(Tools!$BD$127,Tools!$BD$127:$BD$152,N175+2,FALSE)*1,0),HLOOKUP(Tools!$BE$2,Tools!$BE$2:$BE$27,O175+1,FALSE)*WLS),""),"")</f>
        <v>1.5</v>
      </c>
      <c r="N175">
        <f t="shared" si="14"/>
        <v>13</v>
      </c>
      <c r="O175">
        <f t="shared" si="15"/>
        <v>4</v>
      </c>
    </row>
    <row r="176" spans="1:15" x14ac:dyDescent="0.25">
      <c r="A176" s="431">
        <f t="shared" si="16"/>
        <v>175</v>
      </c>
      <c r="B176" s="434">
        <f t="shared" si="12"/>
        <v>15</v>
      </c>
      <c r="C176" s="437">
        <f>IFERROR(-LBP/2+HLOOKUP(Stn_WL,Tools!$AD$2:$AD$27,QUOTIENT(ROW()-2,Max_WL_count)+2,FALSE)*STN_GAP,"")</f>
        <v>14.620000000000005</v>
      </c>
      <c r="D176" s="437">
        <f>IFERROR(VLOOKUP(HLOOKUP(Stn_WL,Tools!$AD$2:$AD$27,QUOTIENT(ROW()-2,Max_WL_count)+2,FALSE),Tools!$AD$3:$BC$27,MOD(ROW()-2,Max_WL_count)+2,FALSE),"")</f>
        <v>11</v>
      </c>
      <c r="E176" s="435">
        <f>IFERROR(IF(ISNUMBER(D176),HLOOKUP(Tools!$BE$2,Tools!$BE$2:$BE$27,MOD(ROW()-2,Max_WL_count)+2,FALSE)*WLS,""),"")</f>
        <v>6</v>
      </c>
      <c r="I176" s="431">
        <f t="shared" si="17"/>
        <v>175</v>
      </c>
      <c r="J176" s="434">
        <f t="shared" si="13"/>
        <v>14</v>
      </c>
      <c r="K176" s="437">
        <f>IFERROR(-LBP/2+HLOOKUP(Stn_WL,Tools!$AD$2:$AD$27,N176+2,FALSE)*STN_GAP,"")</f>
        <v>7.3100000000000023</v>
      </c>
      <c r="L176" s="437">
        <f>IFERROR(IF(AND(ISNUMBER(K176),O176=0),0,VLOOKUP(HLOOKUP(Stn_WL,Tools!$AD$2:$AD$27,N176+2,FALSE),Tools!$AD$3:$BC$27,O176+1,FALSE)),"")</f>
        <v>11</v>
      </c>
      <c r="M176" s="437">
        <f>IFERROR(IF(ISNUMBER(L176),IF(O176=0,IFERROR(HLOOKUP(Tools!$BD$127,Tools!$BD$127:$BD$152,N176+2,FALSE)*1,0),HLOOKUP(Tools!$BE$2,Tools!$BE$2:$BE$27,O176+1,FALSE)*WLS),""),"")</f>
        <v>2</v>
      </c>
      <c r="N176">
        <f t="shared" si="14"/>
        <v>13</v>
      </c>
      <c r="O176">
        <f t="shared" si="15"/>
        <v>5</v>
      </c>
    </row>
    <row r="177" spans="1:15" x14ac:dyDescent="0.25">
      <c r="A177" s="431">
        <f t="shared" si="16"/>
        <v>176</v>
      </c>
      <c r="B177" s="434">
        <f t="shared" si="12"/>
        <v>15</v>
      </c>
      <c r="C177" s="437">
        <f>IFERROR(-LBP/2+HLOOKUP(Stn_WL,Tools!$AD$2:$AD$27,QUOTIENT(ROW()-2,Max_WL_count)+2,FALSE)*STN_GAP,"")</f>
        <v>14.620000000000005</v>
      </c>
      <c r="D177" s="437">
        <f>IFERROR(VLOOKUP(HLOOKUP(Stn_WL,Tools!$AD$2:$AD$27,QUOTIENT(ROW()-2,Max_WL_count)+2,FALSE),Tools!$AD$3:$BC$27,MOD(ROW()-2,Max_WL_count)+2,FALSE),"")</f>
        <v>11</v>
      </c>
      <c r="E177" s="435">
        <f>IFERROR(IF(ISNUMBER(D177),HLOOKUP(Tools!$BE$2,Tools!$BE$2:$BE$27,MOD(ROW()-2,Max_WL_count)+2,FALSE)*WLS,""),"")</f>
        <v>8</v>
      </c>
      <c r="I177" s="431">
        <f t="shared" si="17"/>
        <v>176</v>
      </c>
      <c r="J177" s="434">
        <f t="shared" si="13"/>
        <v>14</v>
      </c>
      <c r="K177" s="437">
        <f>IFERROR(-LBP/2+HLOOKUP(Stn_WL,Tools!$AD$2:$AD$27,N177+2,FALSE)*STN_GAP,"")</f>
        <v>7.3100000000000023</v>
      </c>
      <c r="L177" s="437">
        <f>IFERROR(IF(AND(ISNUMBER(K177),O177=0),0,VLOOKUP(HLOOKUP(Stn_WL,Tools!$AD$2:$AD$27,N177+2,FALSE),Tools!$AD$3:$BC$27,O177+1,FALSE)),"")</f>
        <v>11</v>
      </c>
      <c r="M177" s="437">
        <f>IFERROR(IF(ISNUMBER(L177),IF(O177=0,IFERROR(HLOOKUP(Tools!$BD$127,Tools!$BD$127:$BD$152,N177+2,FALSE)*1,0),HLOOKUP(Tools!$BE$2,Tools!$BE$2:$BE$27,O177+1,FALSE)*WLS),""),"")</f>
        <v>4</v>
      </c>
      <c r="N177">
        <f t="shared" si="14"/>
        <v>13</v>
      </c>
      <c r="O177">
        <f t="shared" si="15"/>
        <v>6</v>
      </c>
    </row>
    <row r="178" spans="1:15" x14ac:dyDescent="0.25">
      <c r="A178" s="431">
        <f t="shared" si="16"/>
        <v>177</v>
      </c>
      <c r="B178" s="434">
        <f t="shared" si="12"/>
        <v>15</v>
      </c>
      <c r="C178" s="437">
        <f>IFERROR(-LBP/2+HLOOKUP(Stn_WL,Tools!$AD$2:$AD$27,QUOTIENT(ROW()-2,Max_WL_count)+2,FALSE)*STN_GAP,"")</f>
        <v>14.620000000000005</v>
      </c>
      <c r="D178" s="437">
        <f>IFERROR(VLOOKUP(HLOOKUP(Stn_WL,Tools!$AD$2:$AD$27,QUOTIENT(ROW()-2,Max_WL_count)+2,FALSE),Tools!$AD$3:$BC$27,MOD(ROW()-2,Max_WL_count)+2,FALSE),"")</f>
        <v>11</v>
      </c>
      <c r="E178" s="435">
        <f>IFERROR(IF(ISNUMBER(D178),HLOOKUP(Tools!$BE$2,Tools!$BE$2:$BE$27,MOD(ROW()-2,Max_WL_count)+2,FALSE)*WLS,""),"")</f>
        <v>9.6999999999999993</v>
      </c>
      <c r="I178" s="431">
        <f t="shared" si="17"/>
        <v>177</v>
      </c>
      <c r="J178" s="434">
        <f t="shared" si="13"/>
        <v>14</v>
      </c>
      <c r="K178" s="437">
        <f>IFERROR(-LBP/2+HLOOKUP(Stn_WL,Tools!$AD$2:$AD$27,N178+2,FALSE)*STN_GAP,"")</f>
        <v>7.3100000000000023</v>
      </c>
      <c r="L178" s="437">
        <f>IFERROR(IF(AND(ISNUMBER(K178),O178=0),0,VLOOKUP(HLOOKUP(Stn_WL,Tools!$AD$2:$AD$27,N178+2,FALSE),Tools!$AD$3:$BC$27,O178+1,FALSE)),"")</f>
        <v>11</v>
      </c>
      <c r="M178" s="437">
        <f>IFERROR(IF(ISNUMBER(L178),IF(O178=0,IFERROR(HLOOKUP(Tools!$BD$127,Tools!$BD$127:$BD$152,N178+2,FALSE)*1,0),HLOOKUP(Tools!$BE$2,Tools!$BE$2:$BE$27,O178+1,FALSE)*WLS),""),"")</f>
        <v>6</v>
      </c>
      <c r="N178">
        <f t="shared" si="14"/>
        <v>13</v>
      </c>
      <c r="O178">
        <f t="shared" si="15"/>
        <v>7</v>
      </c>
    </row>
    <row r="179" spans="1:15" x14ac:dyDescent="0.25">
      <c r="A179" s="431">
        <f t="shared" si="16"/>
        <v>178</v>
      </c>
      <c r="B179" s="434">
        <f t="shared" si="12"/>
        <v>15</v>
      </c>
      <c r="C179" s="437">
        <f>IFERROR(-LBP/2+HLOOKUP(Stn_WL,Tools!$AD$2:$AD$27,QUOTIENT(ROW()-2,Max_WL_count)+2,FALSE)*STN_GAP,"")</f>
        <v>14.620000000000005</v>
      </c>
      <c r="D179" s="437">
        <f>IFERROR(VLOOKUP(HLOOKUP(Stn_WL,Tools!$AD$2:$AD$27,QUOTIENT(ROW()-2,Max_WL_count)+2,FALSE),Tools!$AD$3:$BC$27,MOD(ROW()-2,Max_WL_count)+2,FALSE),"")</f>
        <v>11</v>
      </c>
      <c r="E179" s="435">
        <f>IFERROR(IF(ISNUMBER(D179),HLOOKUP(Tools!$BE$2,Tools!$BE$2:$BE$27,MOD(ROW()-2,Max_WL_count)+2,FALSE)*WLS,""),"")</f>
        <v>10</v>
      </c>
      <c r="I179" s="431">
        <f t="shared" si="17"/>
        <v>178</v>
      </c>
      <c r="J179" s="434">
        <f t="shared" si="13"/>
        <v>14</v>
      </c>
      <c r="K179" s="437">
        <f>IFERROR(-LBP/2+HLOOKUP(Stn_WL,Tools!$AD$2:$AD$27,N179+2,FALSE)*STN_GAP,"")</f>
        <v>7.3100000000000023</v>
      </c>
      <c r="L179" s="437">
        <f>IFERROR(IF(AND(ISNUMBER(K179),O179=0),0,VLOOKUP(HLOOKUP(Stn_WL,Tools!$AD$2:$AD$27,N179+2,FALSE),Tools!$AD$3:$BC$27,O179+1,FALSE)),"")</f>
        <v>11</v>
      </c>
      <c r="M179" s="437">
        <f>IFERROR(IF(ISNUMBER(L179),IF(O179=0,IFERROR(HLOOKUP(Tools!$BD$127,Tools!$BD$127:$BD$152,N179+2,FALSE)*1,0),HLOOKUP(Tools!$BE$2,Tools!$BE$2:$BE$27,O179+1,FALSE)*WLS),""),"")</f>
        <v>8</v>
      </c>
      <c r="N179">
        <f t="shared" si="14"/>
        <v>13</v>
      </c>
      <c r="O179">
        <f t="shared" si="15"/>
        <v>8</v>
      </c>
    </row>
    <row r="180" spans="1:15" x14ac:dyDescent="0.25">
      <c r="A180" s="431">
        <f t="shared" si="16"/>
        <v>179</v>
      </c>
      <c r="B180" s="434">
        <f t="shared" si="12"/>
        <v>15</v>
      </c>
      <c r="C180" s="437">
        <f>IFERROR(-LBP/2+HLOOKUP(Stn_WL,Tools!$AD$2:$AD$27,QUOTIENT(ROW()-2,Max_WL_count)+2,FALSE)*STN_GAP,"")</f>
        <v>14.620000000000005</v>
      </c>
      <c r="D180" s="437">
        <f>IFERROR(VLOOKUP(HLOOKUP(Stn_WL,Tools!$AD$2:$AD$27,QUOTIENT(ROW()-2,Max_WL_count)+2,FALSE),Tools!$AD$3:$BC$27,MOD(ROW()-2,Max_WL_count)+2,FALSE),"")</f>
        <v>11</v>
      </c>
      <c r="E180" s="435">
        <f>IFERROR(IF(ISNUMBER(D180),HLOOKUP(Tools!$BE$2,Tools!$BE$2:$BE$27,MOD(ROW()-2,Max_WL_count)+2,FALSE)*WLS,""),"")</f>
        <v>12</v>
      </c>
      <c r="I180" s="431">
        <f t="shared" si="17"/>
        <v>179</v>
      </c>
      <c r="J180" s="434">
        <f t="shared" si="13"/>
        <v>14</v>
      </c>
      <c r="K180" s="437">
        <f>IFERROR(-LBP/2+HLOOKUP(Stn_WL,Tools!$AD$2:$AD$27,N180+2,FALSE)*STN_GAP,"")</f>
        <v>7.3100000000000023</v>
      </c>
      <c r="L180" s="437">
        <f>IFERROR(IF(AND(ISNUMBER(K180),O180=0),0,VLOOKUP(HLOOKUP(Stn_WL,Tools!$AD$2:$AD$27,N180+2,FALSE),Tools!$AD$3:$BC$27,O180+1,FALSE)),"")</f>
        <v>11</v>
      </c>
      <c r="M180" s="437">
        <f>IFERROR(IF(ISNUMBER(L180),IF(O180=0,IFERROR(HLOOKUP(Tools!$BD$127,Tools!$BD$127:$BD$152,N180+2,FALSE)*1,0),HLOOKUP(Tools!$BE$2,Tools!$BE$2:$BE$27,O180+1,FALSE)*WLS),""),"")</f>
        <v>9.6999999999999993</v>
      </c>
      <c r="N180">
        <f t="shared" si="14"/>
        <v>13</v>
      </c>
      <c r="O180">
        <f t="shared" si="15"/>
        <v>9</v>
      </c>
    </row>
    <row r="181" spans="1:15" x14ac:dyDescent="0.25">
      <c r="A181" s="431">
        <f t="shared" si="16"/>
        <v>180</v>
      </c>
      <c r="B181" s="434">
        <f t="shared" si="12"/>
        <v>15</v>
      </c>
      <c r="C181" s="437">
        <f>IFERROR(-LBP/2+HLOOKUP(Stn_WL,Tools!$AD$2:$AD$27,QUOTIENT(ROW()-2,Max_WL_count)+2,FALSE)*STN_GAP,"")</f>
        <v>14.620000000000005</v>
      </c>
      <c r="D181" s="437">
        <f>IFERROR(VLOOKUP(HLOOKUP(Stn_WL,Tools!$AD$2:$AD$27,QUOTIENT(ROW()-2,Max_WL_count)+2,FALSE),Tools!$AD$3:$BC$27,MOD(ROW()-2,Max_WL_count)+2,FALSE),"")</f>
        <v>11</v>
      </c>
      <c r="E181" s="435">
        <f>IFERROR(IF(ISNUMBER(D181),HLOOKUP(Tools!$BE$2,Tools!$BE$2:$BE$27,MOD(ROW()-2,Max_WL_count)+2,FALSE)*WLS,""),"")</f>
        <v>13</v>
      </c>
      <c r="I181" s="431">
        <f t="shared" si="17"/>
        <v>180</v>
      </c>
      <c r="J181" s="434">
        <f t="shared" si="13"/>
        <v>14</v>
      </c>
      <c r="K181" s="437">
        <f>IFERROR(-LBP/2+HLOOKUP(Stn_WL,Tools!$AD$2:$AD$27,N181+2,FALSE)*STN_GAP,"")</f>
        <v>7.3100000000000023</v>
      </c>
      <c r="L181" s="437">
        <f>IFERROR(IF(AND(ISNUMBER(K181),O181=0),0,VLOOKUP(HLOOKUP(Stn_WL,Tools!$AD$2:$AD$27,N181+2,FALSE),Tools!$AD$3:$BC$27,O181+1,FALSE)),"")</f>
        <v>11</v>
      </c>
      <c r="M181" s="437">
        <f>IFERROR(IF(ISNUMBER(L181),IF(O181=0,IFERROR(HLOOKUP(Tools!$BD$127,Tools!$BD$127:$BD$152,N181+2,FALSE)*1,0),HLOOKUP(Tools!$BE$2,Tools!$BE$2:$BE$27,O181+1,FALSE)*WLS),""),"")</f>
        <v>10</v>
      </c>
      <c r="N181">
        <f t="shared" si="14"/>
        <v>13</v>
      </c>
      <c r="O181">
        <f t="shared" si="15"/>
        <v>10</v>
      </c>
    </row>
    <row r="182" spans="1:15" x14ac:dyDescent="0.25">
      <c r="A182" s="431">
        <f t="shared" si="16"/>
        <v>181</v>
      </c>
      <c r="B182" s="434">
        <f t="shared" si="12"/>
        <v>16</v>
      </c>
      <c r="C182" s="437">
        <f>IFERROR(-LBP/2+HLOOKUP(Stn_WL,Tools!$AD$2:$AD$27,QUOTIENT(ROW()-2,Max_WL_count)+2,FALSE)*STN_GAP,"")</f>
        <v>21.930000000000007</v>
      </c>
      <c r="D182" s="437">
        <f>IFERROR(VLOOKUP(HLOOKUP(Stn_WL,Tools!$AD$2:$AD$27,QUOTIENT(ROW()-2,Max_WL_count)+2,FALSE),Tools!$AD$3:$BC$27,MOD(ROW()-2,Max_WL_count)+2,FALSE),"")</f>
        <v>9.6999999999999993</v>
      </c>
      <c r="E182" s="435">
        <f>IFERROR(IF(ISNUMBER(D182),HLOOKUP(Tools!$BE$2,Tools!$BE$2:$BE$27,MOD(ROW()-2,Max_WL_count)+2,FALSE)*WLS,""),"")</f>
        <v>0</v>
      </c>
      <c r="I182" s="431">
        <f t="shared" si="17"/>
        <v>181</v>
      </c>
      <c r="J182" s="434">
        <f t="shared" si="13"/>
        <v>14</v>
      </c>
      <c r="K182" s="437">
        <f>IFERROR(-LBP/2+HLOOKUP(Stn_WL,Tools!$AD$2:$AD$27,N182+2,FALSE)*STN_GAP,"")</f>
        <v>7.3100000000000023</v>
      </c>
      <c r="L182" s="437">
        <f>IFERROR(IF(AND(ISNUMBER(K182),O182=0),0,VLOOKUP(HLOOKUP(Stn_WL,Tools!$AD$2:$AD$27,N182+2,FALSE),Tools!$AD$3:$BC$27,O182+1,FALSE)),"")</f>
        <v>11</v>
      </c>
      <c r="M182" s="437">
        <f>IFERROR(IF(ISNUMBER(L182),IF(O182=0,IFERROR(HLOOKUP(Tools!$BD$127,Tools!$BD$127:$BD$152,N182+2,FALSE)*1,0),HLOOKUP(Tools!$BE$2,Tools!$BE$2:$BE$27,O182+1,FALSE)*WLS),""),"")</f>
        <v>12</v>
      </c>
      <c r="N182">
        <f t="shared" si="14"/>
        <v>13</v>
      </c>
      <c r="O182">
        <f t="shared" si="15"/>
        <v>11</v>
      </c>
    </row>
    <row r="183" spans="1:15" x14ac:dyDescent="0.25">
      <c r="A183" s="431">
        <f t="shared" si="16"/>
        <v>182</v>
      </c>
      <c r="B183" s="434">
        <f t="shared" si="12"/>
        <v>16</v>
      </c>
      <c r="C183" s="437">
        <f>IFERROR(-LBP/2+HLOOKUP(Stn_WL,Tools!$AD$2:$AD$27,QUOTIENT(ROW()-2,Max_WL_count)+2,FALSE)*STN_GAP,"")</f>
        <v>21.930000000000007</v>
      </c>
      <c r="D183" s="437">
        <f>IFERROR(VLOOKUP(HLOOKUP(Stn_WL,Tools!$AD$2:$AD$27,QUOTIENT(ROW()-2,Max_WL_count)+2,FALSE),Tools!$AD$3:$BC$27,MOD(ROW()-2,Max_WL_count)+2,FALSE),"")</f>
        <v>10.45</v>
      </c>
      <c r="E183" s="435">
        <f>IFERROR(IF(ISNUMBER(D183),HLOOKUP(Tools!$BE$2,Tools!$BE$2:$BE$27,MOD(ROW()-2,Max_WL_count)+2,FALSE)*WLS,""),"")</f>
        <v>0.5</v>
      </c>
      <c r="I183" s="431">
        <f t="shared" si="17"/>
        <v>182</v>
      </c>
      <c r="J183" s="434">
        <f t="shared" si="13"/>
        <v>14</v>
      </c>
      <c r="K183" s="437">
        <f>IFERROR(-LBP/2+HLOOKUP(Stn_WL,Tools!$AD$2:$AD$27,N183+2,FALSE)*STN_GAP,"")</f>
        <v>7.3100000000000023</v>
      </c>
      <c r="L183" s="437">
        <f>IFERROR(IF(AND(ISNUMBER(K183),O183=0),0,VLOOKUP(HLOOKUP(Stn_WL,Tools!$AD$2:$AD$27,N183+2,FALSE),Tools!$AD$3:$BC$27,O183+1,FALSE)),"")</f>
        <v>11</v>
      </c>
      <c r="M183" s="437">
        <f>IFERROR(IF(ISNUMBER(L183),IF(O183=0,IFERROR(HLOOKUP(Tools!$BD$127,Tools!$BD$127:$BD$152,N183+2,FALSE)*1,0),HLOOKUP(Tools!$BE$2,Tools!$BE$2:$BE$27,O183+1,FALSE)*WLS),""),"")</f>
        <v>13</v>
      </c>
      <c r="N183">
        <f t="shared" si="14"/>
        <v>13</v>
      </c>
      <c r="O183">
        <f t="shared" si="15"/>
        <v>12</v>
      </c>
    </row>
    <row r="184" spans="1:15" x14ac:dyDescent="0.25">
      <c r="A184" s="431">
        <f t="shared" si="16"/>
        <v>183</v>
      </c>
      <c r="B184" s="434">
        <f t="shared" si="12"/>
        <v>16</v>
      </c>
      <c r="C184" s="437">
        <f>IFERROR(-LBP/2+HLOOKUP(Stn_WL,Tools!$AD$2:$AD$27,QUOTIENT(ROW()-2,Max_WL_count)+2,FALSE)*STN_GAP,"")</f>
        <v>21.930000000000007</v>
      </c>
      <c r="D184" s="437">
        <f>IFERROR(VLOOKUP(HLOOKUP(Stn_WL,Tools!$AD$2:$AD$27,QUOTIENT(ROW()-2,Max_WL_count)+2,FALSE),Tools!$AD$3:$BC$27,MOD(ROW()-2,Max_WL_count)+2,FALSE),"")</f>
        <v>10.75</v>
      </c>
      <c r="E184" s="435">
        <f>IFERROR(IF(ISNUMBER(D184),HLOOKUP(Tools!$BE$2,Tools!$BE$2:$BE$27,MOD(ROW()-2,Max_WL_count)+2,FALSE)*WLS,""),"")</f>
        <v>1</v>
      </c>
      <c r="I184" s="431">
        <f t="shared" si="17"/>
        <v>183</v>
      </c>
      <c r="J184" s="434">
        <f t="shared" si="13"/>
        <v>15</v>
      </c>
      <c r="K184" s="437">
        <f>IFERROR(-LBP/2+HLOOKUP(Stn_WL,Tools!$AD$2:$AD$27,N184+2,FALSE)*STN_GAP,"")</f>
        <v>14.620000000000005</v>
      </c>
      <c r="L184" s="437">
        <f>IFERROR(IF(AND(ISNUMBER(K184),O184=0),0,VLOOKUP(HLOOKUP(Stn_WL,Tools!$AD$2:$AD$27,N184+2,FALSE),Tools!$AD$3:$BC$27,O184+1,FALSE)),"")</f>
        <v>0</v>
      </c>
      <c r="M184" s="437">
        <f>IFERROR(IF(ISNUMBER(L184),IF(O184=0,IFERROR(HLOOKUP(Tools!$BD$127,Tools!$BD$127:$BD$152,N184+2,FALSE)*1,0),HLOOKUP(Tools!$BE$2,Tools!$BE$2:$BE$27,O184+1,FALSE)*WLS),""),"")</f>
        <v>0</v>
      </c>
      <c r="N184">
        <f t="shared" si="14"/>
        <v>14</v>
      </c>
      <c r="O184">
        <f t="shared" si="15"/>
        <v>0</v>
      </c>
    </row>
    <row r="185" spans="1:15" x14ac:dyDescent="0.25">
      <c r="A185" s="431">
        <f t="shared" si="16"/>
        <v>184</v>
      </c>
      <c r="B185" s="434">
        <f t="shared" si="12"/>
        <v>16</v>
      </c>
      <c r="C185" s="437">
        <f>IFERROR(-LBP/2+HLOOKUP(Stn_WL,Tools!$AD$2:$AD$27,QUOTIENT(ROW()-2,Max_WL_count)+2,FALSE)*STN_GAP,"")</f>
        <v>21.930000000000007</v>
      </c>
      <c r="D185" s="437">
        <f>IFERROR(VLOOKUP(HLOOKUP(Stn_WL,Tools!$AD$2:$AD$27,QUOTIENT(ROW()-2,Max_WL_count)+2,FALSE),Tools!$AD$3:$BC$27,MOD(ROW()-2,Max_WL_count)+2,FALSE),"")</f>
        <v>10.93</v>
      </c>
      <c r="E185" s="435">
        <f>IFERROR(IF(ISNUMBER(D185),HLOOKUP(Tools!$BE$2,Tools!$BE$2:$BE$27,MOD(ROW()-2,Max_WL_count)+2,FALSE)*WLS,""),"")</f>
        <v>1.5</v>
      </c>
      <c r="I185" s="431">
        <f t="shared" si="17"/>
        <v>184</v>
      </c>
      <c r="J185" s="434">
        <f t="shared" si="13"/>
        <v>15</v>
      </c>
      <c r="K185" s="437">
        <f>IFERROR(-LBP/2+HLOOKUP(Stn_WL,Tools!$AD$2:$AD$27,N185+2,FALSE)*STN_GAP,"")</f>
        <v>14.620000000000005</v>
      </c>
      <c r="L185" s="437">
        <f>IFERROR(IF(AND(ISNUMBER(K185),O185=0),0,VLOOKUP(HLOOKUP(Stn_WL,Tools!$AD$2:$AD$27,N185+2,FALSE),Tools!$AD$3:$BC$27,O185+1,FALSE)),"")</f>
        <v>9.6999999999999993</v>
      </c>
      <c r="M185" s="437">
        <f>IFERROR(IF(ISNUMBER(L185),IF(O185=0,IFERROR(HLOOKUP(Tools!$BD$127,Tools!$BD$127:$BD$152,N185+2,FALSE)*1,0),HLOOKUP(Tools!$BE$2,Tools!$BE$2:$BE$27,O185+1,FALSE)*WLS),""),"")</f>
        <v>0</v>
      </c>
      <c r="N185">
        <f t="shared" si="14"/>
        <v>14</v>
      </c>
      <c r="O185">
        <f t="shared" si="15"/>
        <v>1</v>
      </c>
    </row>
    <row r="186" spans="1:15" x14ac:dyDescent="0.25">
      <c r="A186" s="431">
        <f t="shared" si="16"/>
        <v>185</v>
      </c>
      <c r="B186" s="434">
        <f t="shared" si="12"/>
        <v>16</v>
      </c>
      <c r="C186" s="437">
        <f>IFERROR(-LBP/2+HLOOKUP(Stn_WL,Tools!$AD$2:$AD$27,QUOTIENT(ROW()-2,Max_WL_count)+2,FALSE)*STN_GAP,"")</f>
        <v>21.930000000000007</v>
      </c>
      <c r="D186" s="437">
        <f>IFERROR(VLOOKUP(HLOOKUP(Stn_WL,Tools!$AD$2:$AD$27,QUOTIENT(ROW()-2,Max_WL_count)+2,FALSE),Tools!$AD$3:$BC$27,MOD(ROW()-2,Max_WL_count)+2,FALSE),"")</f>
        <v>11</v>
      </c>
      <c r="E186" s="435">
        <f>IFERROR(IF(ISNUMBER(D186),HLOOKUP(Tools!$BE$2,Tools!$BE$2:$BE$27,MOD(ROW()-2,Max_WL_count)+2,FALSE)*WLS,""),"")</f>
        <v>2</v>
      </c>
      <c r="I186" s="431">
        <f t="shared" si="17"/>
        <v>185</v>
      </c>
      <c r="J186" s="434">
        <f t="shared" si="13"/>
        <v>15</v>
      </c>
      <c r="K186" s="437">
        <f>IFERROR(-LBP/2+HLOOKUP(Stn_WL,Tools!$AD$2:$AD$27,N186+2,FALSE)*STN_GAP,"")</f>
        <v>14.620000000000005</v>
      </c>
      <c r="L186" s="437">
        <f>IFERROR(IF(AND(ISNUMBER(K186),O186=0),0,VLOOKUP(HLOOKUP(Stn_WL,Tools!$AD$2:$AD$27,N186+2,FALSE),Tools!$AD$3:$BC$27,O186+1,FALSE)),"")</f>
        <v>10.45</v>
      </c>
      <c r="M186" s="437">
        <f>IFERROR(IF(ISNUMBER(L186),IF(O186=0,IFERROR(HLOOKUP(Tools!$BD$127,Tools!$BD$127:$BD$152,N186+2,FALSE)*1,0),HLOOKUP(Tools!$BE$2,Tools!$BE$2:$BE$27,O186+1,FALSE)*WLS),""),"")</f>
        <v>0.5</v>
      </c>
      <c r="N186">
        <f t="shared" si="14"/>
        <v>14</v>
      </c>
      <c r="O186">
        <f t="shared" si="15"/>
        <v>2</v>
      </c>
    </row>
    <row r="187" spans="1:15" x14ac:dyDescent="0.25">
      <c r="A187" s="431">
        <f t="shared" si="16"/>
        <v>186</v>
      </c>
      <c r="B187" s="434">
        <f t="shared" si="12"/>
        <v>16</v>
      </c>
      <c r="C187" s="437">
        <f>IFERROR(-LBP/2+HLOOKUP(Stn_WL,Tools!$AD$2:$AD$27,QUOTIENT(ROW()-2,Max_WL_count)+2,FALSE)*STN_GAP,"")</f>
        <v>21.930000000000007</v>
      </c>
      <c r="D187" s="437">
        <f>IFERROR(VLOOKUP(HLOOKUP(Stn_WL,Tools!$AD$2:$AD$27,QUOTIENT(ROW()-2,Max_WL_count)+2,FALSE),Tools!$AD$3:$BC$27,MOD(ROW()-2,Max_WL_count)+2,FALSE),"")</f>
        <v>11</v>
      </c>
      <c r="E187" s="435">
        <f>IFERROR(IF(ISNUMBER(D187),HLOOKUP(Tools!$BE$2,Tools!$BE$2:$BE$27,MOD(ROW()-2,Max_WL_count)+2,FALSE)*WLS,""),"")</f>
        <v>4</v>
      </c>
      <c r="I187" s="431">
        <f t="shared" si="17"/>
        <v>186</v>
      </c>
      <c r="J187" s="434">
        <f t="shared" si="13"/>
        <v>15</v>
      </c>
      <c r="K187" s="437">
        <f>IFERROR(-LBP/2+HLOOKUP(Stn_WL,Tools!$AD$2:$AD$27,N187+2,FALSE)*STN_GAP,"")</f>
        <v>14.620000000000005</v>
      </c>
      <c r="L187" s="437">
        <f>IFERROR(IF(AND(ISNUMBER(K187),O187=0),0,VLOOKUP(HLOOKUP(Stn_WL,Tools!$AD$2:$AD$27,N187+2,FALSE),Tools!$AD$3:$BC$27,O187+1,FALSE)),"")</f>
        <v>10.75</v>
      </c>
      <c r="M187" s="437">
        <f>IFERROR(IF(ISNUMBER(L187),IF(O187=0,IFERROR(HLOOKUP(Tools!$BD$127,Tools!$BD$127:$BD$152,N187+2,FALSE)*1,0),HLOOKUP(Tools!$BE$2,Tools!$BE$2:$BE$27,O187+1,FALSE)*WLS),""),"")</f>
        <v>1</v>
      </c>
      <c r="N187">
        <f t="shared" si="14"/>
        <v>14</v>
      </c>
      <c r="O187">
        <f t="shared" si="15"/>
        <v>3</v>
      </c>
    </row>
    <row r="188" spans="1:15" x14ac:dyDescent="0.25">
      <c r="A188" s="431">
        <f t="shared" si="16"/>
        <v>187</v>
      </c>
      <c r="B188" s="434">
        <f t="shared" si="12"/>
        <v>16</v>
      </c>
      <c r="C188" s="437">
        <f>IFERROR(-LBP/2+HLOOKUP(Stn_WL,Tools!$AD$2:$AD$27,QUOTIENT(ROW()-2,Max_WL_count)+2,FALSE)*STN_GAP,"")</f>
        <v>21.930000000000007</v>
      </c>
      <c r="D188" s="437">
        <f>IFERROR(VLOOKUP(HLOOKUP(Stn_WL,Tools!$AD$2:$AD$27,QUOTIENT(ROW()-2,Max_WL_count)+2,FALSE),Tools!$AD$3:$BC$27,MOD(ROW()-2,Max_WL_count)+2,FALSE),"")</f>
        <v>11</v>
      </c>
      <c r="E188" s="435">
        <f>IFERROR(IF(ISNUMBER(D188),HLOOKUP(Tools!$BE$2,Tools!$BE$2:$BE$27,MOD(ROW()-2,Max_WL_count)+2,FALSE)*WLS,""),"")</f>
        <v>6</v>
      </c>
      <c r="I188" s="431">
        <f t="shared" si="17"/>
        <v>187</v>
      </c>
      <c r="J188" s="434">
        <f t="shared" si="13"/>
        <v>15</v>
      </c>
      <c r="K188" s="437">
        <f>IFERROR(-LBP/2+HLOOKUP(Stn_WL,Tools!$AD$2:$AD$27,N188+2,FALSE)*STN_GAP,"")</f>
        <v>14.620000000000005</v>
      </c>
      <c r="L188" s="437">
        <f>IFERROR(IF(AND(ISNUMBER(K188),O188=0),0,VLOOKUP(HLOOKUP(Stn_WL,Tools!$AD$2:$AD$27,N188+2,FALSE),Tools!$AD$3:$BC$27,O188+1,FALSE)),"")</f>
        <v>10.93</v>
      </c>
      <c r="M188" s="437">
        <f>IFERROR(IF(ISNUMBER(L188),IF(O188=0,IFERROR(HLOOKUP(Tools!$BD$127,Tools!$BD$127:$BD$152,N188+2,FALSE)*1,0),HLOOKUP(Tools!$BE$2,Tools!$BE$2:$BE$27,O188+1,FALSE)*WLS),""),"")</f>
        <v>1.5</v>
      </c>
      <c r="N188">
        <f t="shared" si="14"/>
        <v>14</v>
      </c>
      <c r="O188">
        <f t="shared" si="15"/>
        <v>4</v>
      </c>
    </row>
    <row r="189" spans="1:15" x14ac:dyDescent="0.25">
      <c r="A189" s="431">
        <f t="shared" si="16"/>
        <v>188</v>
      </c>
      <c r="B189" s="434">
        <f t="shared" si="12"/>
        <v>16</v>
      </c>
      <c r="C189" s="437">
        <f>IFERROR(-LBP/2+HLOOKUP(Stn_WL,Tools!$AD$2:$AD$27,QUOTIENT(ROW()-2,Max_WL_count)+2,FALSE)*STN_GAP,"")</f>
        <v>21.930000000000007</v>
      </c>
      <c r="D189" s="437">
        <f>IFERROR(VLOOKUP(HLOOKUP(Stn_WL,Tools!$AD$2:$AD$27,QUOTIENT(ROW()-2,Max_WL_count)+2,FALSE),Tools!$AD$3:$BC$27,MOD(ROW()-2,Max_WL_count)+2,FALSE),"")</f>
        <v>11</v>
      </c>
      <c r="E189" s="435">
        <f>IFERROR(IF(ISNUMBER(D189),HLOOKUP(Tools!$BE$2,Tools!$BE$2:$BE$27,MOD(ROW()-2,Max_WL_count)+2,FALSE)*WLS,""),"")</f>
        <v>8</v>
      </c>
      <c r="I189" s="431">
        <f t="shared" si="17"/>
        <v>188</v>
      </c>
      <c r="J189" s="434">
        <f t="shared" si="13"/>
        <v>15</v>
      </c>
      <c r="K189" s="437">
        <f>IFERROR(-LBP/2+HLOOKUP(Stn_WL,Tools!$AD$2:$AD$27,N189+2,FALSE)*STN_GAP,"")</f>
        <v>14.620000000000005</v>
      </c>
      <c r="L189" s="437">
        <f>IFERROR(IF(AND(ISNUMBER(K189),O189=0),0,VLOOKUP(HLOOKUP(Stn_WL,Tools!$AD$2:$AD$27,N189+2,FALSE),Tools!$AD$3:$BC$27,O189+1,FALSE)),"")</f>
        <v>11</v>
      </c>
      <c r="M189" s="437">
        <f>IFERROR(IF(ISNUMBER(L189),IF(O189=0,IFERROR(HLOOKUP(Tools!$BD$127,Tools!$BD$127:$BD$152,N189+2,FALSE)*1,0),HLOOKUP(Tools!$BE$2,Tools!$BE$2:$BE$27,O189+1,FALSE)*WLS),""),"")</f>
        <v>2</v>
      </c>
      <c r="N189">
        <f t="shared" si="14"/>
        <v>14</v>
      </c>
      <c r="O189">
        <f t="shared" si="15"/>
        <v>5</v>
      </c>
    </row>
    <row r="190" spans="1:15" x14ac:dyDescent="0.25">
      <c r="A190" s="431">
        <f t="shared" si="16"/>
        <v>189</v>
      </c>
      <c r="B190" s="434">
        <f t="shared" si="12"/>
        <v>16</v>
      </c>
      <c r="C190" s="437">
        <f>IFERROR(-LBP/2+HLOOKUP(Stn_WL,Tools!$AD$2:$AD$27,QUOTIENT(ROW()-2,Max_WL_count)+2,FALSE)*STN_GAP,"")</f>
        <v>21.930000000000007</v>
      </c>
      <c r="D190" s="437">
        <f>IFERROR(VLOOKUP(HLOOKUP(Stn_WL,Tools!$AD$2:$AD$27,QUOTIENT(ROW()-2,Max_WL_count)+2,FALSE),Tools!$AD$3:$BC$27,MOD(ROW()-2,Max_WL_count)+2,FALSE),"")</f>
        <v>11</v>
      </c>
      <c r="E190" s="435">
        <f>IFERROR(IF(ISNUMBER(D190),HLOOKUP(Tools!$BE$2,Tools!$BE$2:$BE$27,MOD(ROW()-2,Max_WL_count)+2,FALSE)*WLS,""),"")</f>
        <v>9.6999999999999993</v>
      </c>
      <c r="I190" s="431">
        <f t="shared" si="17"/>
        <v>189</v>
      </c>
      <c r="J190" s="434">
        <f t="shared" si="13"/>
        <v>15</v>
      </c>
      <c r="K190" s="437">
        <f>IFERROR(-LBP/2+HLOOKUP(Stn_WL,Tools!$AD$2:$AD$27,N190+2,FALSE)*STN_GAP,"")</f>
        <v>14.620000000000005</v>
      </c>
      <c r="L190" s="437">
        <f>IFERROR(IF(AND(ISNUMBER(K190),O190=0),0,VLOOKUP(HLOOKUP(Stn_WL,Tools!$AD$2:$AD$27,N190+2,FALSE),Tools!$AD$3:$BC$27,O190+1,FALSE)),"")</f>
        <v>11</v>
      </c>
      <c r="M190" s="437">
        <f>IFERROR(IF(ISNUMBER(L190),IF(O190=0,IFERROR(HLOOKUP(Tools!$BD$127,Tools!$BD$127:$BD$152,N190+2,FALSE)*1,0),HLOOKUP(Tools!$BE$2,Tools!$BE$2:$BE$27,O190+1,FALSE)*WLS),""),"")</f>
        <v>4</v>
      </c>
      <c r="N190">
        <f t="shared" si="14"/>
        <v>14</v>
      </c>
      <c r="O190">
        <f t="shared" si="15"/>
        <v>6</v>
      </c>
    </row>
    <row r="191" spans="1:15" x14ac:dyDescent="0.25">
      <c r="A191" s="431">
        <f t="shared" si="16"/>
        <v>190</v>
      </c>
      <c r="B191" s="434">
        <f t="shared" si="12"/>
        <v>16</v>
      </c>
      <c r="C191" s="437">
        <f>IFERROR(-LBP/2+HLOOKUP(Stn_WL,Tools!$AD$2:$AD$27,QUOTIENT(ROW()-2,Max_WL_count)+2,FALSE)*STN_GAP,"")</f>
        <v>21.930000000000007</v>
      </c>
      <c r="D191" s="437">
        <f>IFERROR(VLOOKUP(HLOOKUP(Stn_WL,Tools!$AD$2:$AD$27,QUOTIENT(ROW()-2,Max_WL_count)+2,FALSE),Tools!$AD$3:$BC$27,MOD(ROW()-2,Max_WL_count)+2,FALSE),"")</f>
        <v>11</v>
      </c>
      <c r="E191" s="435">
        <f>IFERROR(IF(ISNUMBER(D191),HLOOKUP(Tools!$BE$2,Tools!$BE$2:$BE$27,MOD(ROW()-2,Max_WL_count)+2,FALSE)*WLS,""),"")</f>
        <v>10</v>
      </c>
      <c r="I191" s="431">
        <f t="shared" si="17"/>
        <v>190</v>
      </c>
      <c r="J191" s="434">
        <f t="shared" si="13"/>
        <v>15</v>
      </c>
      <c r="K191" s="437">
        <f>IFERROR(-LBP/2+HLOOKUP(Stn_WL,Tools!$AD$2:$AD$27,N191+2,FALSE)*STN_GAP,"")</f>
        <v>14.620000000000005</v>
      </c>
      <c r="L191" s="437">
        <f>IFERROR(IF(AND(ISNUMBER(K191),O191=0),0,VLOOKUP(HLOOKUP(Stn_WL,Tools!$AD$2:$AD$27,N191+2,FALSE),Tools!$AD$3:$BC$27,O191+1,FALSE)),"")</f>
        <v>11</v>
      </c>
      <c r="M191" s="437">
        <f>IFERROR(IF(ISNUMBER(L191),IF(O191=0,IFERROR(HLOOKUP(Tools!$BD$127,Tools!$BD$127:$BD$152,N191+2,FALSE)*1,0),HLOOKUP(Tools!$BE$2,Tools!$BE$2:$BE$27,O191+1,FALSE)*WLS),""),"")</f>
        <v>6</v>
      </c>
      <c r="N191">
        <f t="shared" si="14"/>
        <v>14</v>
      </c>
      <c r="O191">
        <f t="shared" si="15"/>
        <v>7</v>
      </c>
    </row>
    <row r="192" spans="1:15" x14ac:dyDescent="0.25">
      <c r="A192" s="431">
        <f t="shared" si="16"/>
        <v>191</v>
      </c>
      <c r="B192" s="434">
        <f t="shared" si="12"/>
        <v>16</v>
      </c>
      <c r="C192" s="437">
        <f>IFERROR(-LBP/2+HLOOKUP(Stn_WL,Tools!$AD$2:$AD$27,QUOTIENT(ROW()-2,Max_WL_count)+2,FALSE)*STN_GAP,"")</f>
        <v>21.930000000000007</v>
      </c>
      <c r="D192" s="437">
        <f>IFERROR(VLOOKUP(HLOOKUP(Stn_WL,Tools!$AD$2:$AD$27,QUOTIENT(ROW()-2,Max_WL_count)+2,FALSE),Tools!$AD$3:$BC$27,MOD(ROW()-2,Max_WL_count)+2,FALSE),"")</f>
        <v>11</v>
      </c>
      <c r="E192" s="435">
        <f>IFERROR(IF(ISNUMBER(D192),HLOOKUP(Tools!$BE$2,Tools!$BE$2:$BE$27,MOD(ROW()-2,Max_WL_count)+2,FALSE)*WLS,""),"")</f>
        <v>12</v>
      </c>
      <c r="I192" s="431">
        <f t="shared" si="17"/>
        <v>191</v>
      </c>
      <c r="J192" s="434">
        <f t="shared" si="13"/>
        <v>15</v>
      </c>
      <c r="K192" s="437">
        <f>IFERROR(-LBP/2+HLOOKUP(Stn_WL,Tools!$AD$2:$AD$27,N192+2,FALSE)*STN_GAP,"")</f>
        <v>14.620000000000005</v>
      </c>
      <c r="L192" s="437">
        <f>IFERROR(IF(AND(ISNUMBER(K192),O192=0),0,VLOOKUP(HLOOKUP(Stn_WL,Tools!$AD$2:$AD$27,N192+2,FALSE),Tools!$AD$3:$BC$27,O192+1,FALSE)),"")</f>
        <v>11</v>
      </c>
      <c r="M192" s="437">
        <f>IFERROR(IF(ISNUMBER(L192),IF(O192=0,IFERROR(HLOOKUP(Tools!$BD$127,Tools!$BD$127:$BD$152,N192+2,FALSE)*1,0),HLOOKUP(Tools!$BE$2,Tools!$BE$2:$BE$27,O192+1,FALSE)*WLS),""),"")</f>
        <v>8</v>
      </c>
      <c r="N192">
        <f t="shared" si="14"/>
        <v>14</v>
      </c>
      <c r="O192">
        <f t="shared" si="15"/>
        <v>8</v>
      </c>
    </row>
    <row r="193" spans="1:15" x14ac:dyDescent="0.25">
      <c r="A193" s="431">
        <f t="shared" si="16"/>
        <v>192</v>
      </c>
      <c r="B193" s="434">
        <f t="shared" si="12"/>
        <v>16</v>
      </c>
      <c r="C193" s="437">
        <f>IFERROR(-LBP/2+HLOOKUP(Stn_WL,Tools!$AD$2:$AD$27,QUOTIENT(ROW()-2,Max_WL_count)+2,FALSE)*STN_GAP,"")</f>
        <v>21.930000000000007</v>
      </c>
      <c r="D193" s="437">
        <f>IFERROR(VLOOKUP(HLOOKUP(Stn_WL,Tools!$AD$2:$AD$27,QUOTIENT(ROW()-2,Max_WL_count)+2,FALSE),Tools!$AD$3:$BC$27,MOD(ROW()-2,Max_WL_count)+2,FALSE),"")</f>
        <v>11</v>
      </c>
      <c r="E193" s="435">
        <f>IFERROR(IF(ISNUMBER(D193),HLOOKUP(Tools!$BE$2,Tools!$BE$2:$BE$27,MOD(ROW()-2,Max_WL_count)+2,FALSE)*WLS,""),"")</f>
        <v>13</v>
      </c>
      <c r="I193" s="431">
        <f t="shared" si="17"/>
        <v>192</v>
      </c>
      <c r="J193" s="434">
        <f t="shared" si="13"/>
        <v>15</v>
      </c>
      <c r="K193" s="437">
        <f>IFERROR(-LBP/2+HLOOKUP(Stn_WL,Tools!$AD$2:$AD$27,N193+2,FALSE)*STN_GAP,"")</f>
        <v>14.620000000000005</v>
      </c>
      <c r="L193" s="437">
        <f>IFERROR(IF(AND(ISNUMBER(K193),O193=0),0,VLOOKUP(HLOOKUP(Stn_WL,Tools!$AD$2:$AD$27,N193+2,FALSE),Tools!$AD$3:$BC$27,O193+1,FALSE)),"")</f>
        <v>11</v>
      </c>
      <c r="M193" s="437">
        <f>IFERROR(IF(ISNUMBER(L193),IF(O193=0,IFERROR(HLOOKUP(Tools!$BD$127,Tools!$BD$127:$BD$152,N193+2,FALSE)*1,0),HLOOKUP(Tools!$BE$2,Tools!$BE$2:$BE$27,O193+1,FALSE)*WLS),""),"")</f>
        <v>9.6999999999999993</v>
      </c>
      <c r="N193">
        <f t="shared" si="14"/>
        <v>14</v>
      </c>
      <c r="O193">
        <f t="shared" si="15"/>
        <v>9</v>
      </c>
    </row>
    <row r="194" spans="1:15" x14ac:dyDescent="0.25">
      <c r="A194" s="431">
        <f t="shared" si="16"/>
        <v>193</v>
      </c>
      <c r="B194" s="434">
        <f t="shared" ref="B194:B257" si="18">IFERROR(IF(ISNUMBER(D194),QUOTIENT(ROW()-2,Max_WL_count)+1,""),"")</f>
        <v>17</v>
      </c>
      <c r="C194" s="437">
        <f>IFERROR(-LBP/2+HLOOKUP(Stn_WL,Tools!$AD$2:$AD$27,QUOTIENT(ROW()-2,Max_WL_count)+2,FALSE)*STN_GAP,"")</f>
        <v>29.239999999999995</v>
      </c>
      <c r="D194" s="437">
        <f>IFERROR(VLOOKUP(HLOOKUP(Stn_WL,Tools!$AD$2:$AD$27,QUOTIENT(ROW()-2,Max_WL_count)+2,FALSE),Tools!$AD$3:$BC$27,MOD(ROW()-2,Max_WL_count)+2,FALSE),"")</f>
        <v>9.5</v>
      </c>
      <c r="E194" s="435">
        <f>IFERROR(IF(ISNUMBER(D194),HLOOKUP(Tools!$BE$2,Tools!$BE$2:$BE$27,MOD(ROW()-2,Max_WL_count)+2,FALSE)*WLS,""),"")</f>
        <v>0</v>
      </c>
      <c r="I194" s="431">
        <f t="shared" si="17"/>
        <v>193</v>
      </c>
      <c r="J194" s="434">
        <f t="shared" ref="J194:J257" si="19">IFERROR(IF(ISNUMBER(L194),QUOTIENT(ROW()-2,Max_WL_count+1)+1,""),"")</f>
        <v>15</v>
      </c>
      <c r="K194" s="437">
        <f>IFERROR(-LBP/2+HLOOKUP(Stn_WL,Tools!$AD$2:$AD$27,N194+2,FALSE)*STN_GAP,"")</f>
        <v>14.620000000000005</v>
      </c>
      <c r="L194" s="437">
        <f>IFERROR(IF(AND(ISNUMBER(K194),O194=0),0,VLOOKUP(HLOOKUP(Stn_WL,Tools!$AD$2:$AD$27,N194+2,FALSE),Tools!$AD$3:$BC$27,O194+1,FALSE)),"")</f>
        <v>11</v>
      </c>
      <c r="M194" s="437">
        <f>IFERROR(IF(ISNUMBER(L194),IF(O194=0,IFERROR(HLOOKUP(Tools!$BD$127,Tools!$BD$127:$BD$152,N194+2,FALSE)*1,0),HLOOKUP(Tools!$BE$2,Tools!$BE$2:$BE$27,O194+1,FALSE)*WLS),""),"")</f>
        <v>10</v>
      </c>
      <c r="N194">
        <f t="shared" ref="N194:N257" si="20">QUOTIENT(ROW()-2,Max_WL_count+1)</f>
        <v>14</v>
      </c>
      <c r="O194">
        <f t="shared" ref="O194:O257" si="21">MOD(ROW()-2,Max_WL_count+1)</f>
        <v>10</v>
      </c>
    </row>
    <row r="195" spans="1:15" x14ac:dyDescent="0.25">
      <c r="A195" s="431">
        <f t="shared" ref="A195:A258" si="22">IF(ISNUMBER(D195),ROW()-1,"")</f>
        <v>194</v>
      </c>
      <c r="B195" s="434">
        <f t="shared" si="18"/>
        <v>17</v>
      </c>
      <c r="C195" s="437">
        <f>IFERROR(-LBP/2+HLOOKUP(Stn_WL,Tools!$AD$2:$AD$27,QUOTIENT(ROW()-2,Max_WL_count)+2,FALSE)*STN_GAP,"")</f>
        <v>29.239999999999995</v>
      </c>
      <c r="D195" s="437">
        <f>IFERROR(VLOOKUP(HLOOKUP(Stn_WL,Tools!$AD$2:$AD$27,QUOTIENT(ROW()-2,Max_WL_count)+2,FALSE),Tools!$AD$3:$BC$27,MOD(ROW()-2,Max_WL_count)+2,FALSE),"")</f>
        <v>10.32</v>
      </c>
      <c r="E195" s="435">
        <f>IFERROR(IF(ISNUMBER(D195),HLOOKUP(Tools!$BE$2,Tools!$BE$2:$BE$27,MOD(ROW()-2,Max_WL_count)+2,FALSE)*WLS,""),"")</f>
        <v>0.5</v>
      </c>
      <c r="I195" s="431">
        <f t="shared" ref="I195:I258" si="23">IF(ISNUMBER(L195),ROW()-1,"")</f>
        <v>194</v>
      </c>
      <c r="J195" s="434">
        <f t="shared" si="19"/>
        <v>15</v>
      </c>
      <c r="K195" s="437">
        <f>IFERROR(-LBP/2+HLOOKUP(Stn_WL,Tools!$AD$2:$AD$27,N195+2,FALSE)*STN_GAP,"")</f>
        <v>14.620000000000005</v>
      </c>
      <c r="L195" s="437">
        <f>IFERROR(IF(AND(ISNUMBER(K195),O195=0),0,VLOOKUP(HLOOKUP(Stn_WL,Tools!$AD$2:$AD$27,N195+2,FALSE),Tools!$AD$3:$BC$27,O195+1,FALSE)),"")</f>
        <v>11</v>
      </c>
      <c r="M195" s="437">
        <f>IFERROR(IF(ISNUMBER(L195),IF(O195=0,IFERROR(HLOOKUP(Tools!$BD$127,Tools!$BD$127:$BD$152,N195+2,FALSE)*1,0),HLOOKUP(Tools!$BE$2,Tools!$BE$2:$BE$27,O195+1,FALSE)*WLS),""),"")</f>
        <v>12</v>
      </c>
      <c r="N195">
        <f t="shared" si="20"/>
        <v>14</v>
      </c>
      <c r="O195">
        <f t="shared" si="21"/>
        <v>11</v>
      </c>
    </row>
    <row r="196" spans="1:15" x14ac:dyDescent="0.25">
      <c r="A196" s="431">
        <f t="shared" si="22"/>
        <v>195</v>
      </c>
      <c r="B196" s="434">
        <f t="shared" si="18"/>
        <v>17</v>
      </c>
      <c r="C196" s="437">
        <f>IFERROR(-LBP/2+HLOOKUP(Stn_WL,Tools!$AD$2:$AD$27,QUOTIENT(ROW()-2,Max_WL_count)+2,FALSE)*STN_GAP,"")</f>
        <v>29.239999999999995</v>
      </c>
      <c r="D196" s="437">
        <f>IFERROR(VLOOKUP(HLOOKUP(Stn_WL,Tools!$AD$2:$AD$27,QUOTIENT(ROW()-2,Max_WL_count)+2,FALSE),Tools!$AD$3:$BC$27,MOD(ROW()-2,Max_WL_count)+2,FALSE),"")</f>
        <v>10.66</v>
      </c>
      <c r="E196" s="435">
        <f>IFERROR(IF(ISNUMBER(D196),HLOOKUP(Tools!$BE$2,Tools!$BE$2:$BE$27,MOD(ROW()-2,Max_WL_count)+2,FALSE)*WLS,""),"")</f>
        <v>1</v>
      </c>
      <c r="I196" s="431">
        <f t="shared" si="23"/>
        <v>195</v>
      </c>
      <c r="J196" s="434">
        <f t="shared" si="19"/>
        <v>15</v>
      </c>
      <c r="K196" s="437">
        <f>IFERROR(-LBP/2+HLOOKUP(Stn_WL,Tools!$AD$2:$AD$27,N196+2,FALSE)*STN_GAP,"")</f>
        <v>14.620000000000005</v>
      </c>
      <c r="L196" s="437">
        <f>IFERROR(IF(AND(ISNUMBER(K196),O196=0),0,VLOOKUP(HLOOKUP(Stn_WL,Tools!$AD$2:$AD$27,N196+2,FALSE),Tools!$AD$3:$BC$27,O196+1,FALSE)),"")</f>
        <v>11</v>
      </c>
      <c r="M196" s="437">
        <f>IFERROR(IF(ISNUMBER(L196),IF(O196=0,IFERROR(HLOOKUP(Tools!$BD$127,Tools!$BD$127:$BD$152,N196+2,FALSE)*1,0),HLOOKUP(Tools!$BE$2,Tools!$BE$2:$BE$27,O196+1,FALSE)*WLS),""),"")</f>
        <v>13</v>
      </c>
      <c r="N196">
        <f t="shared" si="20"/>
        <v>14</v>
      </c>
      <c r="O196">
        <f t="shared" si="21"/>
        <v>12</v>
      </c>
    </row>
    <row r="197" spans="1:15" x14ac:dyDescent="0.25">
      <c r="A197" s="431">
        <f t="shared" si="22"/>
        <v>196</v>
      </c>
      <c r="B197" s="434">
        <f t="shared" si="18"/>
        <v>17</v>
      </c>
      <c r="C197" s="437">
        <f>IFERROR(-LBP/2+HLOOKUP(Stn_WL,Tools!$AD$2:$AD$27,QUOTIENT(ROW()-2,Max_WL_count)+2,FALSE)*STN_GAP,"")</f>
        <v>29.239999999999995</v>
      </c>
      <c r="D197" s="437">
        <f>IFERROR(VLOOKUP(HLOOKUP(Stn_WL,Tools!$AD$2:$AD$27,QUOTIENT(ROW()-2,Max_WL_count)+2,FALSE),Tools!$AD$3:$BC$27,MOD(ROW()-2,Max_WL_count)+2,FALSE),"")</f>
        <v>10.87</v>
      </c>
      <c r="E197" s="435">
        <f>IFERROR(IF(ISNUMBER(D197),HLOOKUP(Tools!$BE$2,Tools!$BE$2:$BE$27,MOD(ROW()-2,Max_WL_count)+2,FALSE)*WLS,""),"")</f>
        <v>1.5</v>
      </c>
      <c r="I197" s="431">
        <f t="shared" si="23"/>
        <v>196</v>
      </c>
      <c r="J197" s="434">
        <f t="shared" si="19"/>
        <v>16</v>
      </c>
      <c r="K197" s="437">
        <f>IFERROR(-LBP/2+HLOOKUP(Stn_WL,Tools!$AD$2:$AD$27,N197+2,FALSE)*STN_GAP,"")</f>
        <v>21.930000000000007</v>
      </c>
      <c r="L197" s="437">
        <f>IFERROR(IF(AND(ISNUMBER(K197),O197=0),0,VLOOKUP(HLOOKUP(Stn_WL,Tools!$AD$2:$AD$27,N197+2,FALSE),Tools!$AD$3:$BC$27,O197+1,FALSE)),"")</f>
        <v>0</v>
      </c>
      <c r="M197" s="437">
        <f>IFERROR(IF(ISNUMBER(L197),IF(O197=0,IFERROR(HLOOKUP(Tools!$BD$127,Tools!$BD$127:$BD$152,N197+2,FALSE)*1,0),HLOOKUP(Tools!$BE$2,Tools!$BE$2:$BE$27,O197+1,FALSE)*WLS),""),"")</f>
        <v>0</v>
      </c>
      <c r="N197">
        <f t="shared" si="20"/>
        <v>15</v>
      </c>
      <c r="O197">
        <f t="shared" si="21"/>
        <v>0</v>
      </c>
    </row>
    <row r="198" spans="1:15" x14ac:dyDescent="0.25">
      <c r="A198" s="431">
        <f t="shared" si="22"/>
        <v>197</v>
      </c>
      <c r="B198" s="434">
        <f t="shared" si="18"/>
        <v>17</v>
      </c>
      <c r="C198" s="437">
        <f>IFERROR(-LBP/2+HLOOKUP(Stn_WL,Tools!$AD$2:$AD$27,QUOTIENT(ROW()-2,Max_WL_count)+2,FALSE)*STN_GAP,"")</f>
        <v>29.239999999999995</v>
      </c>
      <c r="D198" s="437">
        <f>IFERROR(VLOOKUP(HLOOKUP(Stn_WL,Tools!$AD$2:$AD$27,QUOTIENT(ROW()-2,Max_WL_count)+2,FALSE),Tools!$AD$3:$BC$27,MOD(ROW()-2,Max_WL_count)+2,FALSE),"")</f>
        <v>11</v>
      </c>
      <c r="E198" s="435">
        <f>IFERROR(IF(ISNUMBER(D198),HLOOKUP(Tools!$BE$2,Tools!$BE$2:$BE$27,MOD(ROW()-2,Max_WL_count)+2,FALSE)*WLS,""),"")</f>
        <v>2</v>
      </c>
      <c r="I198" s="431">
        <f t="shared" si="23"/>
        <v>197</v>
      </c>
      <c r="J198" s="434">
        <f t="shared" si="19"/>
        <v>16</v>
      </c>
      <c r="K198" s="437">
        <f>IFERROR(-LBP/2+HLOOKUP(Stn_WL,Tools!$AD$2:$AD$27,N198+2,FALSE)*STN_GAP,"")</f>
        <v>21.930000000000007</v>
      </c>
      <c r="L198" s="437">
        <f>IFERROR(IF(AND(ISNUMBER(K198),O198=0),0,VLOOKUP(HLOOKUP(Stn_WL,Tools!$AD$2:$AD$27,N198+2,FALSE),Tools!$AD$3:$BC$27,O198+1,FALSE)),"")</f>
        <v>9.6999999999999993</v>
      </c>
      <c r="M198" s="437">
        <f>IFERROR(IF(ISNUMBER(L198),IF(O198=0,IFERROR(HLOOKUP(Tools!$BD$127,Tools!$BD$127:$BD$152,N198+2,FALSE)*1,0),HLOOKUP(Tools!$BE$2,Tools!$BE$2:$BE$27,O198+1,FALSE)*WLS),""),"")</f>
        <v>0</v>
      </c>
      <c r="N198">
        <f t="shared" si="20"/>
        <v>15</v>
      </c>
      <c r="O198">
        <f t="shared" si="21"/>
        <v>1</v>
      </c>
    </row>
    <row r="199" spans="1:15" x14ac:dyDescent="0.25">
      <c r="A199" s="431">
        <f t="shared" si="22"/>
        <v>198</v>
      </c>
      <c r="B199" s="434">
        <f t="shared" si="18"/>
        <v>17</v>
      </c>
      <c r="C199" s="437">
        <f>IFERROR(-LBP/2+HLOOKUP(Stn_WL,Tools!$AD$2:$AD$27,QUOTIENT(ROW()-2,Max_WL_count)+2,FALSE)*STN_GAP,"")</f>
        <v>29.239999999999995</v>
      </c>
      <c r="D199" s="437">
        <f>IFERROR(VLOOKUP(HLOOKUP(Stn_WL,Tools!$AD$2:$AD$27,QUOTIENT(ROW()-2,Max_WL_count)+2,FALSE),Tools!$AD$3:$BC$27,MOD(ROW()-2,Max_WL_count)+2,FALSE),"")</f>
        <v>11</v>
      </c>
      <c r="E199" s="435">
        <f>IFERROR(IF(ISNUMBER(D199),HLOOKUP(Tools!$BE$2,Tools!$BE$2:$BE$27,MOD(ROW()-2,Max_WL_count)+2,FALSE)*WLS,""),"")</f>
        <v>4</v>
      </c>
      <c r="I199" s="431">
        <f t="shared" si="23"/>
        <v>198</v>
      </c>
      <c r="J199" s="434">
        <f t="shared" si="19"/>
        <v>16</v>
      </c>
      <c r="K199" s="437">
        <f>IFERROR(-LBP/2+HLOOKUP(Stn_WL,Tools!$AD$2:$AD$27,N199+2,FALSE)*STN_GAP,"")</f>
        <v>21.930000000000007</v>
      </c>
      <c r="L199" s="437">
        <f>IFERROR(IF(AND(ISNUMBER(K199),O199=0),0,VLOOKUP(HLOOKUP(Stn_WL,Tools!$AD$2:$AD$27,N199+2,FALSE),Tools!$AD$3:$BC$27,O199+1,FALSE)),"")</f>
        <v>10.45</v>
      </c>
      <c r="M199" s="437">
        <f>IFERROR(IF(ISNUMBER(L199),IF(O199=0,IFERROR(HLOOKUP(Tools!$BD$127,Tools!$BD$127:$BD$152,N199+2,FALSE)*1,0),HLOOKUP(Tools!$BE$2,Tools!$BE$2:$BE$27,O199+1,FALSE)*WLS),""),"")</f>
        <v>0.5</v>
      </c>
      <c r="N199">
        <f t="shared" si="20"/>
        <v>15</v>
      </c>
      <c r="O199">
        <f t="shared" si="21"/>
        <v>2</v>
      </c>
    </row>
    <row r="200" spans="1:15" x14ac:dyDescent="0.25">
      <c r="A200" s="431">
        <f t="shared" si="22"/>
        <v>199</v>
      </c>
      <c r="B200" s="434">
        <f t="shared" si="18"/>
        <v>17</v>
      </c>
      <c r="C200" s="437">
        <f>IFERROR(-LBP/2+HLOOKUP(Stn_WL,Tools!$AD$2:$AD$27,QUOTIENT(ROW()-2,Max_WL_count)+2,FALSE)*STN_GAP,"")</f>
        <v>29.239999999999995</v>
      </c>
      <c r="D200" s="437">
        <f>IFERROR(VLOOKUP(HLOOKUP(Stn_WL,Tools!$AD$2:$AD$27,QUOTIENT(ROW()-2,Max_WL_count)+2,FALSE),Tools!$AD$3:$BC$27,MOD(ROW()-2,Max_WL_count)+2,FALSE),"")</f>
        <v>11</v>
      </c>
      <c r="E200" s="435">
        <f>IFERROR(IF(ISNUMBER(D200),HLOOKUP(Tools!$BE$2,Tools!$BE$2:$BE$27,MOD(ROW()-2,Max_WL_count)+2,FALSE)*WLS,""),"")</f>
        <v>6</v>
      </c>
      <c r="I200" s="431">
        <f t="shared" si="23"/>
        <v>199</v>
      </c>
      <c r="J200" s="434">
        <f t="shared" si="19"/>
        <v>16</v>
      </c>
      <c r="K200" s="437">
        <f>IFERROR(-LBP/2+HLOOKUP(Stn_WL,Tools!$AD$2:$AD$27,N200+2,FALSE)*STN_GAP,"")</f>
        <v>21.930000000000007</v>
      </c>
      <c r="L200" s="437">
        <f>IFERROR(IF(AND(ISNUMBER(K200),O200=0),0,VLOOKUP(HLOOKUP(Stn_WL,Tools!$AD$2:$AD$27,N200+2,FALSE),Tools!$AD$3:$BC$27,O200+1,FALSE)),"")</f>
        <v>10.75</v>
      </c>
      <c r="M200" s="437">
        <f>IFERROR(IF(ISNUMBER(L200),IF(O200=0,IFERROR(HLOOKUP(Tools!$BD$127,Tools!$BD$127:$BD$152,N200+2,FALSE)*1,0),HLOOKUP(Tools!$BE$2,Tools!$BE$2:$BE$27,O200+1,FALSE)*WLS),""),"")</f>
        <v>1</v>
      </c>
      <c r="N200">
        <f t="shared" si="20"/>
        <v>15</v>
      </c>
      <c r="O200">
        <f t="shared" si="21"/>
        <v>3</v>
      </c>
    </row>
    <row r="201" spans="1:15" x14ac:dyDescent="0.25">
      <c r="A201" s="431">
        <f t="shared" si="22"/>
        <v>200</v>
      </c>
      <c r="B201" s="434">
        <f t="shared" si="18"/>
        <v>17</v>
      </c>
      <c r="C201" s="437">
        <f>IFERROR(-LBP/2+HLOOKUP(Stn_WL,Tools!$AD$2:$AD$27,QUOTIENT(ROW()-2,Max_WL_count)+2,FALSE)*STN_GAP,"")</f>
        <v>29.239999999999995</v>
      </c>
      <c r="D201" s="437">
        <f>IFERROR(VLOOKUP(HLOOKUP(Stn_WL,Tools!$AD$2:$AD$27,QUOTIENT(ROW()-2,Max_WL_count)+2,FALSE),Tools!$AD$3:$BC$27,MOD(ROW()-2,Max_WL_count)+2,FALSE),"")</f>
        <v>11</v>
      </c>
      <c r="E201" s="435">
        <f>IFERROR(IF(ISNUMBER(D201),HLOOKUP(Tools!$BE$2,Tools!$BE$2:$BE$27,MOD(ROW()-2,Max_WL_count)+2,FALSE)*WLS,""),"")</f>
        <v>8</v>
      </c>
      <c r="I201" s="431">
        <f t="shared" si="23"/>
        <v>200</v>
      </c>
      <c r="J201" s="434">
        <f t="shared" si="19"/>
        <v>16</v>
      </c>
      <c r="K201" s="437">
        <f>IFERROR(-LBP/2+HLOOKUP(Stn_WL,Tools!$AD$2:$AD$27,N201+2,FALSE)*STN_GAP,"")</f>
        <v>21.930000000000007</v>
      </c>
      <c r="L201" s="437">
        <f>IFERROR(IF(AND(ISNUMBER(K201),O201=0),0,VLOOKUP(HLOOKUP(Stn_WL,Tools!$AD$2:$AD$27,N201+2,FALSE),Tools!$AD$3:$BC$27,O201+1,FALSE)),"")</f>
        <v>10.93</v>
      </c>
      <c r="M201" s="437">
        <f>IFERROR(IF(ISNUMBER(L201),IF(O201=0,IFERROR(HLOOKUP(Tools!$BD$127,Tools!$BD$127:$BD$152,N201+2,FALSE)*1,0),HLOOKUP(Tools!$BE$2,Tools!$BE$2:$BE$27,O201+1,FALSE)*WLS),""),"")</f>
        <v>1.5</v>
      </c>
      <c r="N201">
        <f t="shared" si="20"/>
        <v>15</v>
      </c>
      <c r="O201">
        <f t="shared" si="21"/>
        <v>4</v>
      </c>
    </row>
    <row r="202" spans="1:15" x14ac:dyDescent="0.25">
      <c r="A202" s="431">
        <f t="shared" si="22"/>
        <v>201</v>
      </c>
      <c r="B202" s="434">
        <f t="shared" si="18"/>
        <v>17</v>
      </c>
      <c r="C202" s="437">
        <f>IFERROR(-LBP/2+HLOOKUP(Stn_WL,Tools!$AD$2:$AD$27,QUOTIENT(ROW()-2,Max_WL_count)+2,FALSE)*STN_GAP,"")</f>
        <v>29.239999999999995</v>
      </c>
      <c r="D202" s="437">
        <f>IFERROR(VLOOKUP(HLOOKUP(Stn_WL,Tools!$AD$2:$AD$27,QUOTIENT(ROW()-2,Max_WL_count)+2,FALSE),Tools!$AD$3:$BC$27,MOD(ROW()-2,Max_WL_count)+2,FALSE),"")</f>
        <v>11</v>
      </c>
      <c r="E202" s="435">
        <f>IFERROR(IF(ISNUMBER(D202),HLOOKUP(Tools!$BE$2,Tools!$BE$2:$BE$27,MOD(ROW()-2,Max_WL_count)+2,FALSE)*WLS,""),"")</f>
        <v>9.6999999999999993</v>
      </c>
      <c r="I202" s="431">
        <f t="shared" si="23"/>
        <v>201</v>
      </c>
      <c r="J202" s="434">
        <f t="shared" si="19"/>
        <v>16</v>
      </c>
      <c r="K202" s="437">
        <f>IFERROR(-LBP/2+HLOOKUP(Stn_WL,Tools!$AD$2:$AD$27,N202+2,FALSE)*STN_GAP,"")</f>
        <v>21.930000000000007</v>
      </c>
      <c r="L202" s="437">
        <f>IFERROR(IF(AND(ISNUMBER(K202),O202=0),0,VLOOKUP(HLOOKUP(Stn_WL,Tools!$AD$2:$AD$27,N202+2,FALSE),Tools!$AD$3:$BC$27,O202+1,FALSE)),"")</f>
        <v>11</v>
      </c>
      <c r="M202" s="437">
        <f>IFERROR(IF(ISNUMBER(L202),IF(O202=0,IFERROR(HLOOKUP(Tools!$BD$127,Tools!$BD$127:$BD$152,N202+2,FALSE)*1,0),HLOOKUP(Tools!$BE$2,Tools!$BE$2:$BE$27,O202+1,FALSE)*WLS),""),"")</f>
        <v>2</v>
      </c>
      <c r="N202">
        <f t="shared" si="20"/>
        <v>15</v>
      </c>
      <c r="O202">
        <f t="shared" si="21"/>
        <v>5</v>
      </c>
    </row>
    <row r="203" spans="1:15" x14ac:dyDescent="0.25">
      <c r="A203" s="431">
        <f t="shared" si="22"/>
        <v>202</v>
      </c>
      <c r="B203" s="434">
        <f t="shared" si="18"/>
        <v>17</v>
      </c>
      <c r="C203" s="437">
        <f>IFERROR(-LBP/2+HLOOKUP(Stn_WL,Tools!$AD$2:$AD$27,QUOTIENT(ROW()-2,Max_WL_count)+2,FALSE)*STN_GAP,"")</f>
        <v>29.239999999999995</v>
      </c>
      <c r="D203" s="437">
        <f>IFERROR(VLOOKUP(HLOOKUP(Stn_WL,Tools!$AD$2:$AD$27,QUOTIENT(ROW()-2,Max_WL_count)+2,FALSE),Tools!$AD$3:$BC$27,MOD(ROW()-2,Max_WL_count)+2,FALSE),"")</f>
        <v>11</v>
      </c>
      <c r="E203" s="435">
        <f>IFERROR(IF(ISNUMBER(D203),HLOOKUP(Tools!$BE$2,Tools!$BE$2:$BE$27,MOD(ROW()-2,Max_WL_count)+2,FALSE)*WLS,""),"")</f>
        <v>10</v>
      </c>
      <c r="I203" s="431">
        <f t="shared" si="23"/>
        <v>202</v>
      </c>
      <c r="J203" s="434">
        <f t="shared" si="19"/>
        <v>16</v>
      </c>
      <c r="K203" s="437">
        <f>IFERROR(-LBP/2+HLOOKUP(Stn_WL,Tools!$AD$2:$AD$27,N203+2,FALSE)*STN_GAP,"")</f>
        <v>21.930000000000007</v>
      </c>
      <c r="L203" s="437">
        <f>IFERROR(IF(AND(ISNUMBER(K203),O203=0),0,VLOOKUP(HLOOKUP(Stn_WL,Tools!$AD$2:$AD$27,N203+2,FALSE),Tools!$AD$3:$BC$27,O203+1,FALSE)),"")</f>
        <v>11</v>
      </c>
      <c r="M203" s="437">
        <f>IFERROR(IF(ISNUMBER(L203),IF(O203=0,IFERROR(HLOOKUP(Tools!$BD$127,Tools!$BD$127:$BD$152,N203+2,FALSE)*1,0),HLOOKUP(Tools!$BE$2,Tools!$BE$2:$BE$27,O203+1,FALSE)*WLS),""),"")</f>
        <v>4</v>
      </c>
      <c r="N203">
        <f t="shared" si="20"/>
        <v>15</v>
      </c>
      <c r="O203">
        <f t="shared" si="21"/>
        <v>6</v>
      </c>
    </row>
    <row r="204" spans="1:15" x14ac:dyDescent="0.25">
      <c r="A204" s="431">
        <f t="shared" si="22"/>
        <v>203</v>
      </c>
      <c r="B204" s="434">
        <f t="shared" si="18"/>
        <v>17</v>
      </c>
      <c r="C204" s="437">
        <f>IFERROR(-LBP/2+HLOOKUP(Stn_WL,Tools!$AD$2:$AD$27,QUOTIENT(ROW()-2,Max_WL_count)+2,FALSE)*STN_GAP,"")</f>
        <v>29.239999999999995</v>
      </c>
      <c r="D204" s="437">
        <f>IFERROR(VLOOKUP(HLOOKUP(Stn_WL,Tools!$AD$2:$AD$27,QUOTIENT(ROW()-2,Max_WL_count)+2,FALSE),Tools!$AD$3:$BC$27,MOD(ROW()-2,Max_WL_count)+2,FALSE),"")</f>
        <v>11</v>
      </c>
      <c r="E204" s="435">
        <f>IFERROR(IF(ISNUMBER(D204),HLOOKUP(Tools!$BE$2,Tools!$BE$2:$BE$27,MOD(ROW()-2,Max_WL_count)+2,FALSE)*WLS,""),"")</f>
        <v>12</v>
      </c>
      <c r="I204" s="431">
        <f t="shared" si="23"/>
        <v>203</v>
      </c>
      <c r="J204" s="434">
        <f t="shared" si="19"/>
        <v>16</v>
      </c>
      <c r="K204" s="437">
        <f>IFERROR(-LBP/2+HLOOKUP(Stn_WL,Tools!$AD$2:$AD$27,N204+2,FALSE)*STN_GAP,"")</f>
        <v>21.930000000000007</v>
      </c>
      <c r="L204" s="437">
        <f>IFERROR(IF(AND(ISNUMBER(K204),O204=0),0,VLOOKUP(HLOOKUP(Stn_WL,Tools!$AD$2:$AD$27,N204+2,FALSE),Tools!$AD$3:$BC$27,O204+1,FALSE)),"")</f>
        <v>11</v>
      </c>
      <c r="M204" s="437">
        <f>IFERROR(IF(ISNUMBER(L204),IF(O204=0,IFERROR(HLOOKUP(Tools!$BD$127,Tools!$BD$127:$BD$152,N204+2,FALSE)*1,0),HLOOKUP(Tools!$BE$2,Tools!$BE$2:$BE$27,O204+1,FALSE)*WLS),""),"")</f>
        <v>6</v>
      </c>
      <c r="N204">
        <f t="shared" si="20"/>
        <v>15</v>
      </c>
      <c r="O204">
        <f t="shared" si="21"/>
        <v>7</v>
      </c>
    </row>
    <row r="205" spans="1:15" x14ac:dyDescent="0.25">
      <c r="A205" s="431">
        <f t="shared" si="22"/>
        <v>204</v>
      </c>
      <c r="B205" s="434">
        <f t="shared" si="18"/>
        <v>17</v>
      </c>
      <c r="C205" s="437">
        <f>IFERROR(-LBP/2+HLOOKUP(Stn_WL,Tools!$AD$2:$AD$27,QUOTIENT(ROW()-2,Max_WL_count)+2,FALSE)*STN_GAP,"")</f>
        <v>29.239999999999995</v>
      </c>
      <c r="D205" s="437">
        <f>IFERROR(VLOOKUP(HLOOKUP(Stn_WL,Tools!$AD$2:$AD$27,QUOTIENT(ROW()-2,Max_WL_count)+2,FALSE),Tools!$AD$3:$BC$27,MOD(ROW()-2,Max_WL_count)+2,FALSE),"")</f>
        <v>11</v>
      </c>
      <c r="E205" s="435">
        <f>IFERROR(IF(ISNUMBER(D205),HLOOKUP(Tools!$BE$2,Tools!$BE$2:$BE$27,MOD(ROW()-2,Max_WL_count)+2,FALSE)*WLS,""),"")</f>
        <v>13</v>
      </c>
      <c r="I205" s="431">
        <f t="shared" si="23"/>
        <v>204</v>
      </c>
      <c r="J205" s="434">
        <f t="shared" si="19"/>
        <v>16</v>
      </c>
      <c r="K205" s="437">
        <f>IFERROR(-LBP/2+HLOOKUP(Stn_WL,Tools!$AD$2:$AD$27,N205+2,FALSE)*STN_GAP,"")</f>
        <v>21.930000000000007</v>
      </c>
      <c r="L205" s="437">
        <f>IFERROR(IF(AND(ISNUMBER(K205),O205=0),0,VLOOKUP(HLOOKUP(Stn_WL,Tools!$AD$2:$AD$27,N205+2,FALSE),Tools!$AD$3:$BC$27,O205+1,FALSE)),"")</f>
        <v>11</v>
      </c>
      <c r="M205" s="437">
        <f>IFERROR(IF(ISNUMBER(L205),IF(O205=0,IFERROR(HLOOKUP(Tools!$BD$127,Tools!$BD$127:$BD$152,N205+2,FALSE)*1,0),HLOOKUP(Tools!$BE$2,Tools!$BE$2:$BE$27,O205+1,FALSE)*WLS),""),"")</f>
        <v>8</v>
      </c>
      <c r="N205">
        <f t="shared" si="20"/>
        <v>15</v>
      </c>
      <c r="O205">
        <f t="shared" si="21"/>
        <v>8</v>
      </c>
    </row>
    <row r="206" spans="1:15" x14ac:dyDescent="0.25">
      <c r="A206" s="431">
        <f t="shared" si="22"/>
        <v>205</v>
      </c>
      <c r="B206" s="434">
        <f t="shared" si="18"/>
        <v>18</v>
      </c>
      <c r="C206" s="437">
        <f>IFERROR(-LBP/2+HLOOKUP(Stn_WL,Tools!$AD$2:$AD$27,QUOTIENT(ROW()-2,Max_WL_count)+2,FALSE)*STN_GAP,"")</f>
        <v>36.549999999999997</v>
      </c>
      <c r="D206" s="437">
        <f>IFERROR(VLOOKUP(HLOOKUP(Stn_WL,Tools!$AD$2:$AD$27,QUOTIENT(ROW()-2,Max_WL_count)+2,FALSE),Tools!$AD$3:$BC$27,MOD(ROW()-2,Max_WL_count)+2,FALSE),"")</f>
        <v>8.9</v>
      </c>
      <c r="E206" s="435">
        <f>IFERROR(IF(ISNUMBER(D206),HLOOKUP(Tools!$BE$2,Tools!$BE$2:$BE$27,MOD(ROW()-2,Max_WL_count)+2,FALSE)*WLS,""),"")</f>
        <v>0</v>
      </c>
      <c r="I206" s="431">
        <f t="shared" si="23"/>
        <v>205</v>
      </c>
      <c r="J206" s="434">
        <f t="shared" si="19"/>
        <v>16</v>
      </c>
      <c r="K206" s="437">
        <f>IFERROR(-LBP/2+HLOOKUP(Stn_WL,Tools!$AD$2:$AD$27,N206+2,FALSE)*STN_GAP,"")</f>
        <v>21.930000000000007</v>
      </c>
      <c r="L206" s="437">
        <f>IFERROR(IF(AND(ISNUMBER(K206),O206=0),0,VLOOKUP(HLOOKUP(Stn_WL,Tools!$AD$2:$AD$27,N206+2,FALSE),Tools!$AD$3:$BC$27,O206+1,FALSE)),"")</f>
        <v>11</v>
      </c>
      <c r="M206" s="437">
        <f>IFERROR(IF(ISNUMBER(L206),IF(O206=0,IFERROR(HLOOKUP(Tools!$BD$127,Tools!$BD$127:$BD$152,N206+2,FALSE)*1,0),HLOOKUP(Tools!$BE$2,Tools!$BE$2:$BE$27,O206+1,FALSE)*WLS),""),"")</f>
        <v>9.6999999999999993</v>
      </c>
      <c r="N206">
        <f t="shared" si="20"/>
        <v>15</v>
      </c>
      <c r="O206">
        <f t="shared" si="21"/>
        <v>9</v>
      </c>
    </row>
    <row r="207" spans="1:15" x14ac:dyDescent="0.25">
      <c r="A207" s="431">
        <f t="shared" si="22"/>
        <v>206</v>
      </c>
      <c r="B207" s="434">
        <f t="shared" si="18"/>
        <v>18</v>
      </c>
      <c r="C207" s="437">
        <f>IFERROR(-LBP/2+HLOOKUP(Stn_WL,Tools!$AD$2:$AD$27,QUOTIENT(ROW()-2,Max_WL_count)+2,FALSE)*STN_GAP,"")</f>
        <v>36.549999999999997</v>
      </c>
      <c r="D207" s="437">
        <f>IFERROR(VLOOKUP(HLOOKUP(Stn_WL,Tools!$AD$2:$AD$27,QUOTIENT(ROW()-2,Max_WL_count)+2,FALSE),Tools!$AD$3:$BC$27,MOD(ROW()-2,Max_WL_count)+2,FALSE),"")</f>
        <v>9.76</v>
      </c>
      <c r="E207" s="435">
        <f>IFERROR(IF(ISNUMBER(D207),HLOOKUP(Tools!$BE$2,Tools!$BE$2:$BE$27,MOD(ROW()-2,Max_WL_count)+2,FALSE)*WLS,""),"")</f>
        <v>0.5</v>
      </c>
      <c r="I207" s="431">
        <f t="shared" si="23"/>
        <v>206</v>
      </c>
      <c r="J207" s="434">
        <f t="shared" si="19"/>
        <v>16</v>
      </c>
      <c r="K207" s="437">
        <f>IFERROR(-LBP/2+HLOOKUP(Stn_WL,Tools!$AD$2:$AD$27,N207+2,FALSE)*STN_GAP,"")</f>
        <v>21.930000000000007</v>
      </c>
      <c r="L207" s="437">
        <f>IFERROR(IF(AND(ISNUMBER(K207),O207=0),0,VLOOKUP(HLOOKUP(Stn_WL,Tools!$AD$2:$AD$27,N207+2,FALSE),Tools!$AD$3:$BC$27,O207+1,FALSE)),"")</f>
        <v>11</v>
      </c>
      <c r="M207" s="437">
        <f>IFERROR(IF(ISNUMBER(L207),IF(O207=0,IFERROR(HLOOKUP(Tools!$BD$127,Tools!$BD$127:$BD$152,N207+2,FALSE)*1,0),HLOOKUP(Tools!$BE$2,Tools!$BE$2:$BE$27,O207+1,FALSE)*WLS),""),"")</f>
        <v>10</v>
      </c>
      <c r="N207">
        <f t="shared" si="20"/>
        <v>15</v>
      </c>
      <c r="O207">
        <f t="shared" si="21"/>
        <v>10</v>
      </c>
    </row>
    <row r="208" spans="1:15" x14ac:dyDescent="0.25">
      <c r="A208" s="431">
        <f t="shared" si="22"/>
        <v>207</v>
      </c>
      <c r="B208" s="434">
        <f t="shared" si="18"/>
        <v>18</v>
      </c>
      <c r="C208" s="437">
        <f>IFERROR(-LBP/2+HLOOKUP(Stn_WL,Tools!$AD$2:$AD$27,QUOTIENT(ROW()-2,Max_WL_count)+2,FALSE)*STN_GAP,"")</f>
        <v>36.549999999999997</v>
      </c>
      <c r="D208" s="437">
        <f>IFERROR(VLOOKUP(HLOOKUP(Stn_WL,Tools!$AD$2:$AD$27,QUOTIENT(ROW()-2,Max_WL_count)+2,FALSE),Tools!$AD$3:$BC$27,MOD(ROW()-2,Max_WL_count)+2,FALSE),"")</f>
        <v>10.199999999999999</v>
      </c>
      <c r="E208" s="435">
        <f>IFERROR(IF(ISNUMBER(D208),HLOOKUP(Tools!$BE$2,Tools!$BE$2:$BE$27,MOD(ROW()-2,Max_WL_count)+2,FALSE)*WLS,""),"")</f>
        <v>1</v>
      </c>
      <c r="I208" s="431">
        <f t="shared" si="23"/>
        <v>207</v>
      </c>
      <c r="J208" s="434">
        <f t="shared" si="19"/>
        <v>16</v>
      </c>
      <c r="K208" s="437">
        <f>IFERROR(-LBP/2+HLOOKUP(Stn_WL,Tools!$AD$2:$AD$27,N208+2,FALSE)*STN_GAP,"")</f>
        <v>21.930000000000007</v>
      </c>
      <c r="L208" s="437">
        <f>IFERROR(IF(AND(ISNUMBER(K208),O208=0),0,VLOOKUP(HLOOKUP(Stn_WL,Tools!$AD$2:$AD$27,N208+2,FALSE),Tools!$AD$3:$BC$27,O208+1,FALSE)),"")</f>
        <v>11</v>
      </c>
      <c r="M208" s="437">
        <f>IFERROR(IF(ISNUMBER(L208),IF(O208=0,IFERROR(HLOOKUP(Tools!$BD$127,Tools!$BD$127:$BD$152,N208+2,FALSE)*1,0),HLOOKUP(Tools!$BE$2,Tools!$BE$2:$BE$27,O208+1,FALSE)*WLS),""),"")</f>
        <v>12</v>
      </c>
      <c r="N208">
        <f t="shared" si="20"/>
        <v>15</v>
      </c>
      <c r="O208">
        <f t="shared" si="21"/>
        <v>11</v>
      </c>
    </row>
    <row r="209" spans="1:15" x14ac:dyDescent="0.25">
      <c r="A209" s="431">
        <f t="shared" si="22"/>
        <v>208</v>
      </c>
      <c r="B209" s="434">
        <f t="shared" si="18"/>
        <v>18</v>
      </c>
      <c r="C209" s="437">
        <f>IFERROR(-LBP/2+HLOOKUP(Stn_WL,Tools!$AD$2:$AD$27,QUOTIENT(ROW()-2,Max_WL_count)+2,FALSE)*STN_GAP,"")</f>
        <v>36.549999999999997</v>
      </c>
      <c r="D209" s="437">
        <f>IFERROR(VLOOKUP(HLOOKUP(Stn_WL,Tools!$AD$2:$AD$27,QUOTIENT(ROW()-2,Max_WL_count)+2,FALSE),Tools!$AD$3:$BC$27,MOD(ROW()-2,Max_WL_count)+2,FALSE),"")</f>
        <v>10.5</v>
      </c>
      <c r="E209" s="435">
        <f>IFERROR(IF(ISNUMBER(D209),HLOOKUP(Tools!$BE$2,Tools!$BE$2:$BE$27,MOD(ROW()-2,Max_WL_count)+2,FALSE)*WLS,""),"")</f>
        <v>1.5</v>
      </c>
      <c r="I209" s="431">
        <f t="shared" si="23"/>
        <v>208</v>
      </c>
      <c r="J209" s="434">
        <f t="shared" si="19"/>
        <v>16</v>
      </c>
      <c r="K209" s="437">
        <f>IFERROR(-LBP/2+HLOOKUP(Stn_WL,Tools!$AD$2:$AD$27,N209+2,FALSE)*STN_GAP,"")</f>
        <v>21.930000000000007</v>
      </c>
      <c r="L209" s="437">
        <f>IFERROR(IF(AND(ISNUMBER(K209),O209=0),0,VLOOKUP(HLOOKUP(Stn_WL,Tools!$AD$2:$AD$27,N209+2,FALSE),Tools!$AD$3:$BC$27,O209+1,FALSE)),"")</f>
        <v>11</v>
      </c>
      <c r="M209" s="437">
        <f>IFERROR(IF(ISNUMBER(L209),IF(O209=0,IFERROR(HLOOKUP(Tools!$BD$127,Tools!$BD$127:$BD$152,N209+2,FALSE)*1,0),HLOOKUP(Tools!$BE$2,Tools!$BE$2:$BE$27,O209+1,FALSE)*WLS),""),"")</f>
        <v>13</v>
      </c>
      <c r="N209">
        <f t="shared" si="20"/>
        <v>15</v>
      </c>
      <c r="O209">
        <f t="shared" si="21"/>
        <v>12</v>
      </c>
    </row>
    <row r="210" spans="1:15" x14ac:dyDescent="0.25">
      <c r="A210" s="431">
        <f t="shared" si="22"/>
        <v>209</v>
      </c>
      <c r="B210" s="434">
        <f t="shared" si="18"/>
        <v>18</v>
      </c>
      <c r="C210" s="437">
        <f>IFERROR(-LBP/2+HLOOKUP(Stn_WL,Tools!$AD$2:$AD$27,QUOTIENT(ROW()-2,Max_WL_count)+2,FALSE)*STN_GAP,"")</f>
        <v>36.549999999999997</v>
      </c>
      <c r="D210" s="437">
        <f>IFERROR(VLOOKUP(HLOOKUP(Stn_WL,Tools!$AD$2:$AD$27,QUOTIENT(ROW()-2,Max_WL_count)+2,FALSE),Tools!$AD$3:$BC$27,MOD(ROW()-2,Max_WL_count)+2,FALSE),"")</f>
        <v>10.7</v>
      </c>
      <c r="E210" s="435">
        <f>IFERROR(IF(ISNUMBER(D210),HLOOKUP(Tools!$BE$2,Tools!$BE$2:$BE$27,MOD(ROW()-2,Max_WL_count)+2,FALSE)*WLS,""),"")</f>
        <v>2</v>
      </c>
      <c r="I210" s="431">
        <f t="shared" si="23"/>
        <v>209</v>
      </c>
      <c r="J210" s="434">
        <f t="shared" si="19"/>
        <v>17</v>
      </c>
      <c r="K210" s="437">
        <f>IFERROR(-LBP/2+HLOOKUP(Stn_WL,Tools!$AD$2:$AD$27,N210+2,FALSE)*STN_GAP,"")</f>
        <v>29.239999999999995</v>
      </c>
      <c r="L210" s="437">
        <f>IFERROR(IF(AND(ISNUMBER(K210),O210=0),0,VLOOKUP(HLOOKUP(Stn_WL,Tools!$AD$2:$AD$27,N210+2,FALSE),Tools!$AD$3:$BC$27,O210+1,FALSE)),"")</f>
        <v>0</v>
      </c>
      <c r="M210" s="437">
        <f>IFERROR(IF(ISNUMBER(L210),IF(O210=0,IFERROR(HLOOKUP(Tools!$BD$127,Tools!$BD$127:$BD$152,N210+2,FALSE)*1,0),HLOOKUP(Tools!$BE$2,Tools!$BE$2:$BE$27,O210+1,FALSE)*WLS),""),"")</f>
        <v>0</v>
      </c>
      <c r="N210">
        <f t="shared" si="20"/>
        <v>16</v>
      </c>
      <c r="O210">
        <f t="shared" si="21"/>
        <v>0</v>
      </c>
    </row>
    <row r="211" spans="1:15" x14ac:dyDescent="0.25">
      <c r="A211" s="431">
        <f t="shared" si="22"/>
        <v>210</v>
      </c>
      <c r="B211" s="434">
        <f t="shared" si="18"/>
        <v>18</v>
      </c>
      <c r="C211" s="437">
        <f>IFERROR(-LBP/2+HLOOKUP(Stn_WL,Tools!$AD$2:$AD$27,QUOTIENT(ROW()-2,Max_WL_count)+2,FALSE)*STN_GAP,"")</f>
        <v>36.549999999999997</v>
      </c>
      <c r="D211" s="437">
        <f>IFERROR(VLOOKUP(HLOOKUP(Stn_WL,Tools!$AD$2:$AD$27,QUOTIENT(ROW()-2,Max_WL_count)+2,FALSE),Tools!$AD$3:$BC$27,MOD(ROW()-2,Max_WL_count)+2,FALSE),"")</f>
        <v>11</v>
      </c>
      <c r="E211" s="435">
        <f>IFERROR(IF(ISNUMBER(D211),HLOOKUP(Tools!$BE$2,Tools!$BE$2:$BE$27,MOD(ROW()-2,Max_WL_count)+2,FALSE)*WLS,""),"")</f>
        <v>4</v>
      </c>
      <c r="I211" s="431">
        <f t="shared" si="23"/>
        <v>210</v>
      </c>
      <c r="J211" s="434">
        <f t="shared" si="19"/>
        <v>17</v>
      </c>
      <c r="K211" s="437">
        <f>IFERROR(-LBP/2+HLOOKUP(Stn_WL,Tools!$AD$2:$AD$27,N211+2,FALSE)*STN_GAP,"")</f>
        <v>29.239999999999995</v>
      </c>
      <c r="L211" s="437">
        <f>IFERROR(IF(AND(ISNUMBER(K211),O211=0),0,VLOOKUP(HLOOKUP(Stn_WL,Tools!$AD$2:$AD$27,N211+2,FALSE),Tools!$AD$3:$BC$27,O211+1,FALSE)),"")</f>
        <v>9.5</v>
      </c>
      <c r="M211" s="437">
        <f>IFERROR(IF(ISNUMBER(L211),IF(O211=0,IFERROR(HLOOKUP(Tools!$BD$127,Tools!$BD$127:$BD$152,N211+2,FALSE)*1,0),HLOOKUP(Tools!$BE$2,Tools!$BE$2:$BE$27,O211+1,FALSE)*WLS),""),"")</f>
        <v>0</v>
      </c>
      <c r="N211">
        <f t="shared" si="20"/>
        <v>16</v>
      </c>
      <c r="O211">
        <f t="shared" si="21"/>
        <v>1</v>
      </c>
    </row>
    <row r="212" spans="1:15" x14ac:dyDescent="0.25">
      <c r="A212" s="431">
        <f t="shared" si="22"/>
        <v>211</v>
      </c>
      <c r="B212" s="434">
        <f t="shared" si="18"/>
        <v>18</v>
      </c>
      <c r="C212" s="437">
        <f>IFERROR(-LBP/2+HLOOKUP(Stn_WL,Tools!$AD$2:$AD$27,QUOTIENT(ROW()-2,Max_WL_count)+2,FALSE)*STN_GAP,"")</f>
        <v>36.549999999999997</v>
      </c>
      <c r="D212" s="437">
        <f>IFERROR(VLOOKUP(HLOOKUP(Stn_WL,Tools!$AD$2:$AD$27,QUOTIENT(ROW()-2,Max_WL_count)+2,FALSE),Tools!$AD$3:$BC$27,MOD(ROW()-2,Max_WL_count)+2,FALSE),"")</f>
        <v>11</v>
      </c>
      <c r="E212" s="435">
        <f>IFERROR(IF(ISNUMBER(D212),HLOOKUP(Tools!$BE$2,Tools!$BE$2:$BE$27,MOD(ROW()-2,Max_WL_count)+2,FALSE)*WLS,""),"")</f>
        <v>6</v>
      </c>
      <c r="I212" s="431">
        <f t="shared" si="23"/>
        <v>211</v>
      </c>
      <c r="J212" s="434">
        <f t="shared" si="19"/>
        <v>17</v>
      </c>
      <c r="K212" s="437">
        <f>IFERROR(-LBP/2+HLOOKUP(Stn_WL,Tools!$AD$2:$AD$27,N212+2,FALSE)*STN_GAP,"")</f>
        <v>29.239999999999995</v>
      </c>
      <c r="L212" s="437">
        <f>IFERROR(IF(AND(ISNUMBER(K212),O212=0),0,VLOOKUP(HLOOKUP(Stn_WL,Tools!$AD$2:$AD$27,N212+2,FALSE),Tools!$AD$3:$BC$27,O212+1,FALSE)),"")</f>
        <v>10.32</v>
      </c>
      <c r="M212" s="437">
        <f>IFERROR(IF(ISNUMBER(L212),IF(O212=0,IFERROR(HLOOKUP(Tools!$BD$127,Tools!$BD$127:$BD$152,N212+2,FALSE)*1,0),HLOOKUP(Tools!$BE$2,Tools!$BE$2:$BE$27,O212+1,FALSE)*WLS),""),"")</f>
        <v>0.5</v>
      </c>
      <c r="N212">
        <f t="shared" si="20"/>
        <v>16</v>
      </c>
      <c r="O212">
        <f t="shared" si="21"/>
        <v>2</v>
      </c>
    </row>
    <row r="213" spans="1:15" x14ac:dyDescent="0.25">
      <c r="A213" s="431">
        <f t="shared" si="22"/>
        <v>212</v>
      </c>
      <c r="B213" s="434">
        <f t="shared" si="18"/>
        <v>18</v>
      </c>
      <c r="C213" s="437">
        <f>IFERROR(-LBP/2+HLOOKUP(Stn_WL,Tools!$AD$2:$AD$27,QUOTIENT(ROW()-2,Max_WL_count)+2,FALSE)*STN_GAP,"")</f>
        <v>36.549999999999997</v>
      </c>
      <c r="D213" s="437">
        <f>IFERROR(VLOOKUP(HLOOKUP(Stn_WL,Tools!$AD$2:$AD$27,QUOTIENT(ROW()-2,Max_WL_count)+2,FALSE),Tools!$AD$3:$BC$27,MOD(ROW()-2,Max_WL_count)+2,FALSE),"")</f>
        <v>11</v>
      </c>
      <c r="E213" s="435">
        <f>IFERROR(IF(ISNUMBER(D213),HLOOKUP(Tools!$BE$2,Tools!$BE$2:$BE$27,MOD(ROW()-2,Max_WL_count)+2,FALSE)*WLS,""),"")</f>
        <v>8</v>
      </c>
      <c r="I213" s="431">
        <f t="shared" si="23"/>
        <v>212</v>
      </c>
      <c r="J213" s="434">
        <f t="shared" si="19"/>
        <v>17</v>
      </c>
      <c r="K213" s="437">
        <f>IFERROR(-LBP/2+HLOOKUP(Stn_WL,Tools!$AD$2:$AD$27,N213+2,FALSE)*STN_GAP,"")</f>
        <v>29.239999999999995</v>
      </c>
      <c r="L213" s="437">
        <f>IFERROR(IF(AND(ISNUMBER(K213),O213=0),0,VLOOKUP(HLOOKUP(Stn_WL,Tools!$AD$2:$AD$27,N213+2,FALSE),Tools!$AD$3:$BC$27,O213+1,FALSE)),"")</f>
        <v>10.66</v>
      </c>
      <c r="M213" s="437">
        <f>IFERROR(IF(ISNUMBER(L213),IF(O213=0,IFERROR(HLOOKUP(Tools!$BD$127,Tools!$BD$127:$BD$152,N213+2,FALSE)*1,0),HLOOKUP(Tools!$BE$2,Tools!$BE$2:$BE$27,O213+1,FALSE)*WLS),""),"")</f>
        <v>1</v>
      </c>
      <c r="N213">
        <f t="shared" si="20"/>
        <v>16</v>
      </c>
      <c r="O213">
        <f t="shared" si="21"/>
        <v>3</v>
      </c>
    </row>
    <row r="214" spans="1:15" x14ac:dyDescent="0.25">
      <c r="A214" s="431">
        <f t="shared" si="22"/>
        <v>213</v>
      </c>
      <c r="B214" s="434">
        <f t="shared" si="18"/>
        <v>18</v>
      </c>
      <c r="C214" s="437">
        <f>IFERROR(-LBP/2+HLOOKUP(Stn_WL,Tools!$AD$2:$AD$27,QUOTIENT(ROW()-2,Max_WL_count)+2,FALSE)*STN_GAP,"")</f>
        <v>36.549999999999997</v>
      </c>
      <c r="D214" s="437">
        <f>IFERROR(VLOOKUP(HLOOKUP(Stn_WL,Tools!$AD$2:$AD$27,QUOTIENT(ROW()-2,Max_WL_count)+2,FALSE),Tools!$AD$3:$BC$27,MOD(ROW()-2,Max_WL_count)+2,FALSE),"")</f>
        <v>11</v>
      </c>
      <c r="E214" s="435">
        <f>IFERROR(IF(ISNUMBER(D214),HLOOKUP(Tools!$BE$2,Tools!$BE$2:$BE$27,MOD(ROW()-2,Max_WL_count)+2,FALSE)*WLS,""),"")</f>
        <v>9.6999999999999993</v>
      </c>
      <c r="I214" s="431">
        <f t="shared" si="23"/>
        <v>213</v>
      </c>
      <c r="J214" s="434">
        <f t="shared" si="19"/>
        <v>17</v>
      </c>
      <c r="K214" s="437">
        <f>IFERROR(-LBP/2+HLOOKUP(Stn_WL,Tools!$AD$2:$AD$27,N214+2,FALSE)*STN_GAP,"")</f>
        <v>29.239999999999995</v>
      </c>
      <c r="L214" s="437">
        <f>IFERROR(IF(AND(ISNUMBER(K214),O214=0),0,VLOOKUP(HLOOKUP(Stn_WL,Tools!$AD$2:$AD$27,N214+2,FALSE),Tools!$AD$3:$BC$27,O214+1,FALSE)),"")</f>
        <v>10.87</v>
      </c>
      <c r="M214" s="437">
        <f>IFERROR(IF(ISNUMBER(L214),IF(O214=0,IFERROR(HLOOKUP(Tools!$BD$127,Tools!$BD$127:$BD$152,N214+2,FALSE)*1,0),HLOOKUP(Tools!$BE$2,Tools!$BE$2:$BE$27,O214+1,FALSE)*WLS),""),"")</f>
        <v>1.5</v>
      </c>
      <c r="N214">
        <f t="shared" si="20"/>
        <v>16</v>
      </c>
      <c r="O214">
        <f t="shared" si="21"/>
        <v>4</v>
      </c>
    </row>
    <row r="215" spans="1:15" x14ac:dyDescent="0.25">
      <c r="A215" s="431">
        <f t="shared" si="22"/>
        <v>214</v>
      </c>
      <c r="B215" s="434">
        <f t="shared" si="18"/>
        <v>18</v>
      </c>
      <c r="C215" s="437">
        <f>IFERROR(-LBP/2+HLOOKUP(Stn_WL,Tools!$AD$2:$AD$27,QUOTIENT(ROW()-2,Max_WL_count)+2,FALSE)*STN_GAP,"")</f>
        <v>36.549999999999997</v>
      </c>
      <c r="D215" s="437">
        <f>IFERROR(VLOOKUP(HLOOKUP(Stn_WL,Tools!$AD$2:$AD$27,QUOTIENT(ROW()-2,Max_WL_count)+2,FALSE),Tools!$AD$3:$BC$27,MOD(ROW()-2,Max_WL_count)+2,FALSE),"")</f>
        <v>11</v>
      </c>
      <c r="E215" s="435">
        <f>IFERROR(IF(ISNUMBER(D215),HLOOKUP(Tools!$BE$2,Tools!$BE$2:$BE$27,MOD(ROW()-2,Max_WL_count)+2,FALSE)*WLS,""),"")</f>
        <v>10</v>
      </c>
      <c r="I215" s="431">
        <f t="shared" si="23"/>
        <v>214</v>
      </c>
      <c r="J215" s="434">
        <f t="shared" si="19"/>
        <v>17</v>
      </c>
      <c r="K215" s="437">
        <f>IFERROR(-LBP/2+HLOOKUP(Stn_WL,Tools!$AD$2:$AD$27,N215+2,FALSE)*STN_GAP,"")</f>
        <v>29.239999999999995</v>
      </c>
      <c r="L215" s="437">
        <f>IFERROR(IF(AND(ISNUMBER(K215),O215=0),0,VLOOKUP(HLOOKUP(Stn_WL,Tools!$AD$2:$AD$27,N215+2,FALSE),Tools!$AD$3:$BC$27,O215+1,FALSE)),"")</f>
        <v>11</v>
      </c>
      <c r="M215" s="437">
        <f>IFERROR(IF(ISNUMBER(L215),IF(O215=0,IFERROR(HLOOKUP(Tools!$BD$127,Tools!$BD$127:$BD$152,N215+2,FALSE)*1,0),HLOOKUP(Tools!$BE$2,Tools!$BE$2:$BE$27,O215+1,FALSE)*WLS),""),"")</f>
        <v>2</v>
      </c>
      <c r="N215">
        <f t="shared" si="20"/>
        <v>16</v>
      </c>
      <c r="O215">
        <f t="shared" si="21"/>
        <v>5</v>
      </c>
    </row>
    <row r="216" spans="1:15" x14ac:dyDescent="0.25">
      <c r="A216" s="431">
        <f t="shared" si="22"/>
        <v>215</v>
      </c>
      <c r="B216" s="434">
        <f t="shared" si="18"/>
        <v>18</v>
      </c>
      <c r="C216" s="437">
        <f>IFERROR(-LBP/2+HLOOKUP(Stn_WL,Tools!$AD$2:$AD$27,QUOTIENT(ROW()-2,Max_WL_count)+2,FALSE)*STN_GAP,"")</f>
        <v>36.549999999999997</v>
      </c>
      <c r="D216" s="437">
        <f>IFERROR(VLOOKUP(HLOOKUP(Stn_WL,Tools!$AD$2:$AD$27,QUOTIENT(ROW()-2,Max_WL_count)+2,FALSE),Tools!$AD$3:$BC$27,MOD(ROW()-2,Max_WL_count)+2,FALSE),"")</f>
        <v>11</v>
      </c>
      <c r="E216" s="435">
        <f>IFERROR(IF(ISNUMBER(D216),HLOOKUP(Tools!$BE$2,Tools!$BE$2:$BE$27,MOD(ROW()-2,Max_WL_count)+2,FALSE)*WLS,""),"")</f>
        <v>12</v>
      </c>
      <c r="I216" s="431">
        <f t="shared" si="23"/>
        <v>215</v>
      </c>
      <c r="J216" s="434">
        <f t="shared" si="19"/>
        <v>17</v>
      </c>
      <c r="K216" s="437">
        <f>IFERROR(-LBP/2+HLOOKUP(Stn_WL,Tools!$AD$2:$AD$27,N216+2,FALSE)*STN_GAP,"")</f>
        <v>29.239999999999995</v>
      </c>
      <c r="L216" s="437">
        <f>IFERROR(IF(AND(ISNUMBER(K216),O216=0),0,VLOOKUP(HLOOKUP(Stn_WL,Tools!$AD$2:$AD$27,N216+2,FALSE),Tools!$AD$3:$BC$27,O216+1,FALSE)),"")</f>
        <v>11</v>
      </c>
      <c r="M216" s="437">
        <f>IFERROR(IF(ISNUMBER(L216),IF(O216=0,IFERROR(HLOOKUP(Tools!$BD$127,Tools!$BD$127:$BD$152,N216+2,FALSE)*1,0),HLOOKUP(Tools!$BE$2,Tools!$BE$2:$BE$27,O216+1,FALSE)*WLS),""),"")</f>
        <v>4</v>
      </c>
      <c r="N216">
        <f t="shared" si="20"/>
        <v>16</v>
      </c>
      <c r="O216">
        <f t="shared" si="21"/>
        <v>6</v>
      </c>
    </row>
    <row r="217" spans="1:15" x14ac:dyDescent="0.25">
      <c r="A217" s="431">
        <f t="shared" si="22"/>
        <v>216</v>
      </c>
      <c r="B217" s="434">
        <f t="shared" si="18"/>
        <v>18</v>
      </c>
      <c r="C217" s="437">
        <f>IFERROR(-LBP/2+HLOOKUP(Stn_WL,Tools!$AD$2:$AD$27,QUOTIENT(ROW()-2,Max_WL_count)+2,FALSE)*STN_GAP,"")</f>
        <v>36.549999999999997</v>
      </c>
      <c r="D217" s="437">
        <f>IFERROR(VLOOKUP(HLOOKUP(Stn_WL,Tools!$AD$2:$AD$27,QUOTIENT(ROW()-2,Max_WL_count)+2,FALSE),Tools!$AD$3:$BC$27,MOD(ROW()-2,Max_WL_count)+2,FALSE),"")</f>
        <v>11</v>
      </c>
      <c r="E217" s="435">
        <f>IFERROR(IF(ISNUMBER(D217),HLOOKUP(Tools!$BE$2,Tools!$BE$2:$BE$27,MOD(ROW()-2,Max_WL_count)+2,FALSE)*WLS,""),"")</f>
        <v>13</v>
      </c>
      <c r="I217" s="431">
        <f t="shared" si="23"/>
        <v>216</v>
      </c>
      <c r="J217" s="434">
        <f t="shared" si="19"/>
        <v>17</v>
      </c>
      <c r="K217" s="437">
        <f>IFERROR(-LBP/2+HLOOKUP(Stn_WL,Tools!$AD$2:$AD$27,N217+2,FALSE)*STN_GAP,"")</f>
        <v>29.239999999999995</v>
      </c>
      <c r="L217" s="437">
        <f>IFERROR(IF(AND(ISNUMBER(K217),O217=0),0,VLOOKUP(HLOOKUP(Stn_WL,Tools!$AD$2:$AD$27,N217+2,FALSE),Tools!$AD$3:$BC$27,O217+1,FALSE)),"")</f>
        <v>11</v>
      </c>
      <c r="M217" s="437">
        <f>IFERROR(IF(ISNUMBER(L217),IF(O217=0,IFERROR(HLOOKUP(Tools!$BD$127,Tools!$BD$127:$BD$152,N217+2,FALSE)*1,0),HLOOKUP(Tools!$BE$2,Tools!$BE$2:$BE$27,O217+1,FALSE)*WLS),""),"")</f>
        <v>6</v>
      </c>
      <c r="N217">
        <f t="shared" si="20"/>
        <v>16</v>
      </c>
      <c r="O217">
        <f t="shared" si="21"/>
        <v>7</v>
      </c>
    </row>
    <row r="218" spans="1:15" x14ac:dyDescent="0.25">
      <c r="A218" s="431">
        <f t="shared" si="22"/>
        <v>217</v>
      </c>
      <c r="B218" s="434">
        <f t="shared" si="18"/>
        <v>19</v>
      </c>
      <c r="C218" s="437">
        <f>IFERROR(-LBP/2+HLOOKUP(Stn_WL,Tools!$AD$2:$AD$27,QUOTIENT(ROW()-2,Max_WL_count)+2,FALSE)*STN_GAP,"")</f>
        <v>43.86</v>
      </c>
      <c r="D218" s="437">
        <f>IFERROR(VLOOKUP(HLOOKUP(Stn_WL,Tools!$AD$2:$AD$27,QUOTIENT(ROW()-2,Max_WL_count)+2,FALSE),Tools!$AD$3:$BC$27,MOD(ROW()-2,Max_WL_count)+2,FALSE),"")</f>
        <v>7.6</v>
      </c>
      <c r="E218" s="435">
        <f>IFERROR(IF(ISNUMBER(D218),HLOOKUP(Tools!$BE$2,Tools!$BE$2:$BE$27,MOD(ROW()-2,Max_WL_count)+2,FALSE)*WLS,""),"")</f>
        <v>0</v>
      </c>
      <c r="I218" s="431">
        <f t="shared" si="23"/>
        <v>217</v>
      </c>
      <c r="J218" s="434">
        <f t="shared" si="19"/>
        <v>17</v>
      </c>
      <c r="K218" s="437">
        <f>IFERROR(-LBP/2+HLOOKUP(Stn_WL,Tools!$AD$2:$AD$27,N218+2,FALSE)*STN_GAP,"")</f>
        <v>29.239999999999995</v>
      </c>
      <c r="L218" s="437">
        <f>IFERROR(IF(AND(ISNUMBER(K218),O218=0),0,VLOOKUP(HLOOKUP(Stn_WL,Tools!$AD$2:$AD$27,N218+2,FALSE),Tools!$AD$3:$BC$27,O218+1,FALSE)),"")</f>
        <v>11</v>
      </c>
      <c r="M218" s="437">
        <f>IFERROR(IF(ISNUMBER(L218),IF(O218=0,IFERROR(HLOOKUP(Tools!$BD$127,Tools!$BD$127:$BD$152,N218+2,FALSE)*1,0),HLOOKUP(Tools!$BE$2,Tools!$BE$2:$BE$27,O218+1,FALSE)*WLS),""),"")</f>
        <v>8</v>
      </c>
      <c r="N218">
        <f t="shared" si="20"/>
        <v>16</v>
      </c>
      <c r="O218">
        <f t="shared" si="21"/>
        <v>8</v>
      </c>
    </row>
    <row r="219" spans="1:15" x14ac:dyDescent="0.25">
      <c r="A219" s="431">
        <f t="shared" si="22"/>
        <v>218</v>
      </c>
      <c r="B219" s="434">
        <f t="shared" si="18"/>
        <v>19</v>
      </c>
      <c r="C219" s="437">
        <f>IFERROR(-LBP/2+HLOOKUP(Stn_WL,Tools!$AD$2:$AD$27,QUOTIENT(ROW()-2,Max_WL_count)+2,FALSE)*STN_GAP,"")</f>
        <v>43.86</v>
      </c>
      <c r="D219" s="437">
        <f>IFERROR(VLOOKUP(HLOOKUP(Stn_WL,Tools!$AD$2:$AD$27,QUOTIENT(ROW()-2,Max_WL_count)+2,FALSE),Tools!$AD$3:$BC$27,MOD(ROW()-2,Max_WL_count)+2,FALSE),"")</f>
        <v>8.64</v>
      </c>
      <c r="E219" s="435">
        <f>IFERROR(IF(ISNUMBER(D219),HLOOKUP(Tools!$BE$2,Tools!$BE$2:$BE$27,MOD(ROW()-2,Max_WL_count)+2,FALSE)*WLS,""),"")</f>
        <v>0.5</v>
      </c>
      <c r="I219" s="431">
        <f t="shared" si="23"/>
        <v>218</v>
      </c>
      <c r="J219" s="434">
        <f t="shared" si="19"/>
        <v>17</v>
      </c>
      <c r="K219" s="437">
        <f>IFERROR(-LBP/2+HLOOKUP(Stn_WL,Tools!$AD$2:$AD$27,N219+2,FALSE)*STN_GAP,"")</f>
        <v>29.239999999999995</v>
      </c>
      <c r="L219" s="437">
        <f>IFERROR(IF(AND(ISNUMBER(K219),O219=0),0,VLOOKUP(HLOOKUP(Stn_WL,Tools!$AD$2:$AD$27,N219+2,FALSE),Tools!$AD$3:$BC$27,O219+1,FALSE)),"")</f>
        <v>11</v>
      </c>
      <c r="M219" s="437">
        <f>IFERROR(IF(ISNUMBER(L219),IF(O219=0,IFERROR(HLOOKUP(Tools!$BD$127,Tools!$BD$127:$BD$152,N219+2,FALSE)*1,0),HLOOKUP(Tools!$BE$2,Tools!$BE$2:$BE$27,O219+1,FALSE)*WLS),""),"")</f>
        <v>9.6999999999999993</v>
      </c>
      <c r="N219">
        <f t="shared" si="20"/>
        <v>16</v>
      </c>
      <c r="O219">
        <f t="shared" si="21"/>
        <v>9</v>
      </c>
    </row>
    <row r="220" spans="1:15" x14ac:dyDescent="0.25">
      <c r="A220" s="431">
        <f t="shared" si="22"/>
        <v>219</v>
      </c>
      <c r="B220" s="434">
        <f t="shared" si="18"/>
        <v>19</v>
      </c>
      <c r="C220" s="437">
        <f>IFERROR(-LBP/2+HLOOKUP(Stn_WL,Tools!$AD$2:$AD$27,QUOTIENT(ROW()-2,Max_WL_count)+2,FALSE)*STN_GAP,"")</f>
        <v>43.86</v>
      </c>
      <c r="D220" s="437">
        <f>IFERROR(VLOOKUP(HLOOKUP(Stn_WL,Tools!$AD$2:$AD$27,QUOTIENT(ROW()-2,Max_WL_count)+2,FALSE),Tools!$AD$3:$BC$27,MOD(ROW()-2,Max_WL_count)+2,FALSE),"")</f>
        <v>9.27</v>
      </c>
      <c r="E220" s="435">
        <f>IFERROR(IF(ISNUMBER(D220),HLOOKUP(Tools!$BE$2,Tools!$BE$2:$BE$27,MOD(ROW()-2,Max_WL_count)+2,FALSE)*WLS,""),"")</f>
        <v>1</v>
      </c>
      <c r="I220" s="431">
        <f t="shared" si="23"/>
        <v>219</v>
      </c>
      <c r="J220" s="434">
        <f t="shared" si="19"/>
        <v>17</v>
      </c>
      <c r="K220" s="437">
        <f>IFERROR(-LBP/2+HLOOKUP(Stn_WL,Tools!$AD$2:$AD$27,N220+2,FALSE)*STN_GAP,"")</f>
        <v>29.239999999999995</v>
      </c>
      <c r="L220" s="437">
        <f>IFERROR(IF(AND(ISNUMBER(K220),O220=0),0,VLOOKUP(HLOOKUP(Stn_WL,Tools!$AD$2:$AD$27,N220+2,FALSE),Tools!$AD$3:$BC$27,O220+1,FALSE)),"")</f>
        <v>11</v>
      </c>
      <c r="M220" s="437">
        <f>IFERROR(IF(ISNUMBER(L220),IF(O220=0,IFERROR(HLOOKUP(Tools!$BD$127,Tools!$BD$127:$BD$152,N220+2,FALSE)*1,0),HLOOKUP(Tools!$BE$2,Tools!$BE$2:$BE$27,O220+1,FALSE)*WLS),""),"")</f>
        <v>10</v>
      </c>
      <c r="N220">
        <f t="shared" si="20"/>
        <v>16</v>
      </c>
      <c r="O220">
        <f t="shared" si="21"/>
        <v>10</v>
      </c>
    </row>
    <row r="221" spans="1:15" x14ac:dyDescent="0.25">
      <c r="A221" s="431">
        <f t="shared" si="22"/>
        <v>220</v>
      </c>
      <c r="B221" s="434">
        <f t="shared" si="18"/>
        <v>19</v>
      </c>
      <c r="C221" s="437">
        <f>IFERROR(-LBP/2+HLOOKUP(Stn_WL,Tools!$AD$2:$AD$27,QUOTIENT(ROW()-2,Max_WL_count)+2,FALSE)*STN_GAP,"")</f>
        <v>43.86</v>
      </c>
      <c r="D221" s="437">
        <f>IFERROR(VLOOKUP(HLOOKUP(Stn_WL,Tools!$AD$2:$AD$27,QUOTIENT(ROW()-2,Max_WL_count)+2,FALSE),Tools!$AD$3:$BC$27,MOD(ROW()-2,Max_WL_count)+2,FALSE),"")</f>
        <v>9.66</v>
      </c>
      <c r="E221" s="435">
        <f>IFERROR(IF(ISNUMBER(D221),HLOOKUP(Tools!$BE$2,Tools!$BE$2:$BE$27,MOD(ROW()-2,Max_WL_count)+2,FALSE)*WLS,""),"")</f>
        <v>1.5</v>
      </c>
      <c r="I221" s="431">
        <f t="shared" si="23"/>
        <v>220</v>
      </c>
      <c r="J221" s="434">
        <f t="shared" si="19"/>
        <v>17</v>
      </c>
      <c r="K221" s="437">
        <f>IFERROR(-LBP/2+HLOOKUP(Stn_WL,Tools!$AD$2:$AD$27,N221+2,FALSE)*STN_GAP,"")</f>
        <v>29.239999999999995</v>
      </c>
      <c r="L221" s="437">
        <f>IFERROR(IF(AND(ISNUMBER(K221),O221=0),0,VLOOKUP(HLOOKUP(Stn_WL,Tools!$AD$2:$AD$27,N221+2,FALSE),Tools!$AD$3:$BC$27,O221+1,FALSE)),"")</f>
        <v>11</v>
      </c>
      <c r="M221" s="437">
        <f>IFERROR(IF(ISNUMBER(L221),IF(O221=0,IFERROR(HLOOKUP(Tools!$BD$127,Tools!$BD$127:$BD$152,N221+2,FALSE)*1,0),HLOOKUP(Tools!$BE$2,Tools!$BE$2:$BE$27,O221+1,FALSE)*WLS),""),"")</f>
        <v>12</v>
      </c>
      <c r="N221">
        <f t="shared" si="20"/>
        <v>16</v>
      </c>
      <c r="O221">
        <f t="shared" si="21"/>
        <v>11</v>
      </c>
    </row>
    <row r="222" spans="1:15" x14ac:dyDescent="0.25">
      <c r="A222" s="431">
        <f t="shared" si="22"/>
        <v>221</v>
      </c>
      <c r="B222" s="434">
        <f t="shared" si="18"/>
        <v>19</v>
      </c>
      <c r="C222" s="437">
        <f>IFERROR(-LBP/2+HLOOKUP(Stn_WL,Tools!$AD$2:$AD$27,QUOTIENT(ROW()-2,Max_WL_count)+2,FALSE)*STN_GAP,"")</f>
        <v>43.86</v>
      </c>
      <c r="D222" s="437">
        <f>IFERROR(VLOOKUP(HLOOKUP(Stn_WL,Tools!$AD$2:$AD$27,QUOTIENT(ROW()-2,Max_WL_count)+2,FALSE),Tools!$AD$3:$BC$27,MOD(ROW()-2,Max_WL_count)+2,FALSE),"")</f>
        <v>9.91</v>
      </c>
      <c r="E222" s="435">
        <f>IFERROR(IF(ISNUMBER(D222),HLOOKUP(Tools!$BE$2,Tools!$BE$2:$BE$27,MOD(ROW()-2,Max_WL_count)+2,FALSE)*WLS,""),"")</f>
        <v>2</v>
      </c>
      <c r="I222" s="431">
        <f t="shared" si="23"/>
        <v>221</v>
      </c>
      <c r="J222" s="434">
        <f t="shared" si="19"/>
        <v>17</v>
      </c>
      <c r="K222" s="437">
        <f>IFERROR(-LBP/2+HLOOKUP(Stn_WL,Tools!$AD$2:$AD$27,N222+2,FALSE)*STN_GAP,"")</f>
        <v>29.239999999999995</v>
      </c>
      <c r="L222" s="437">
        <f>IFERROR(IF(AND(ISNUMBER(K222),O222=0),0,VLOOKUP(HLOOKUP(Stn_WL,Tools!$AD$2:$AD$27,N222+2,FALSE),Tools!$AD$3:$BC$27,O222+1,FALSE)),"")</f>
        <v>11</v>
      </c>
      <c r="M222" s="437">
        <f>IFERROR(IF(ISNUMBER(L222),IF(O222=0,IFERROR(HLOOKUP(Tools!$BD$127,Tools!$BD$127:$BD$152,N222+2,FALSE)*1,0),HLOOKUP(Tools!$BE$2,Tools!$BE$2:$BE$27,O222+1,FALSE)*WLS),""),"")</f>
        <v>13</v>
      </c>
      <c r="N222">
        <f t="shared" si="20"/>
        <v>16</v>
      </c>
      <c r="O222">
        <f t="shared" si="21"/>
        <v>12</v>
      </c>
    </row>
    <row r="223" spans="1:15" x14ac:dyDescent="0.25">
      <c r="A223" s="431">
        <f t="shared" si="22"/>
        <v>222</v>
      </c>
      <c r="B223" s="434">
        <f t="shared" si="18"/>
        <v>19</v>
      </c>
      <c r="C223" s="437">
        <f>IFERROR(-LBP/2+HLOOKUP(Stn_WL,Tools!$AD$2:$AD$27,QUOTIENT(ROW()-2,Max_WL_count)+2,FALSE)*STN_GAP,"")</f>
        <v>43.86</v>
      </c>
      <c r="D223" s="437">
        <f>IFERROR(VLOOKUP(HLOOKUP(Stn_WL,Tools!$AD$2:$AD$27,QUOTIENT(ROW()-2,Max_WL_count)+2,FALSE),Tools!$AD$3:$BC$27,MOD(ROW()-2,Max_WL_count)+2,FALSE),"")</f>
        <v>10.5</v>
      </c>
      <c r="E223" s="435">
        <f>IFERROR(IF(ISNUMBER(D223),HLOOKUP(Tools!$BE$2,Tools!$BE$2:$BE$27,MOD(ROW()-2,Max_WL_count)+2,FALSE)*WLS,""),"")</f>
        <v>4</v>
      </c>
      <c r="I223" s="431">
        <f t="shared" si="23"/>
        <v>222</v>
      </c>
      <c r="J223" s="434">
        <f t="shared" si="19"/>
        <v>18</v>
      </c>
      <c r="K223" s="437">
        <f>IFERROR(-LBP/2+HLOOKUP(Stn_WL,Tools!$AD$2:$AD$27,N223+2,FALSE)*STN_GAP,"")</f>
        <v>36.549999999999997</v>
      </c>
      <c r="L223" s="437">
        <f>IFERROR(IF(AND(ISNUMBER(K223),O223=0),0,VLOOKUP(HLOOKUP(Stn_WL,Tools!$AD$2:$AD$27,N223+2,FALSE),Tools!$AD$3:$BC$27,O223+1,FALSE)),"")</f>
        <v>0</v>
      </c>
      <c r="M223" s="437">
        <f>IFERROR(IF(ISNUMBER(L223),IF(O223=0,IFERROR(HLOOKUP(Tools!$BD$127,Tools!$BD$127:$BD$152,N223+2,FALSE)*1,0),HLOOKUP(Tools!$BE$2,Tools!$BE$2:$BE$27,O223+1,FALSE)*WLS),""),"")</f>
        <v>0</v>
      </c>
      <c r="N223">
        <f t="shared" si="20"/>
        <v>17</v>
      </c>
      <c r="O223">
        <f t="shared" si="21"/>
        <v>0</v>
      </c>
    </row>
    <row r="224" spans="1:15" x14ac:dyDescent="0.25">
      <c r="A224" s="431">
        <f t="shared" si="22"/>
        <v>223</v>
      </c>
      <c r="B224" s="434">
        <f t="shared" si="18"/>
        <v>19</v>
      </c>
      <c r="C224" s="437">
        <f>IFERROR(-LBP/2+HLOOKUP(Stn_WL,Tools!$AD$2:$AD$27,QUOTIENT(ROW()-2,Max_WL_count)+2,FALSE)*STN_GAP,"")</f>
        <v>43.86</v>
      </c>
      <c r="D224" s="437">
        <f>IFERROR(VLOOKUP(HLOOKUP(Stn_WL,Tools!$AD$2:$AD$27,QUOTIENT(ROW()-2,Max_WL_count)+2,FALSE),Tools!$AD$3:$BC$27,MOD(ROW()-2,Max_WL_count)+2,FALSE),"")</f>
        <v>10.7</v>
      </c>
      <c r="E224" s="435">
        <f>IFERROR(IF(ISNUMBER(D224),HLOOKUP(Tools!$BE$2,Tools!$BE$2:$BE$27,MOD(ROW()-2,Max_WL_count)+2,FALSE)*WLS,""),"")</f>
        <v>6</v>
      </c>
      <c r="I224" s="431">
        <f t="shared" si="23"/>
        <v>223</v>
      </c>
      <c r="J224" s="434">
        <f t="shared" si="19"/>
        <v>18</v>
      </c>
      <c r="K224" s="437">
        <f>IFERROR(-LBP/2+HLOOKUP(Stn_WL,Tools!$AD$2:$AD$27,N224+2,FALSE)*STN_GAP,"")</f>
        <v>36.549999999999997</v>
      </c>
      <c r="L224" s="437">
        <f>IFERROR(IF(AND(ISNUMBER(K224),O224=0),0,VLOOKUP(HLOOKUP(Stn_WL,Tools!$AD$2:$AD$27,N224+2,FALSE),Tools!$AD$3:$BC$27,O224+1,FALSE)),"")</f>
        <v>8.9</v>
      </c>
      <c r="M224" s="437">
        <f>IFERROR(IF(ISNUMBER(L224),IF(O224=0,IFERROR(HLOOKUP(Tools!$BD$127,Tools!$BD$127:$BD$152,N224+2,FALSE)*1,0),HLOOKUP(Tools!$BE$2,Tools!$BE$2:$BE$27,O224+1,FALSE)*WLS),""),"")</f>
        <v>0</v>
      </c>
      <c r="N224">
        <f t="shared" si="20"/>
        <v>17</v>
      </c>
      <c r="O224">
        <f t="shared" si="21"/>
        <v>1</v>
      </c>
    </row>
    <row r="225" spans="1:15" x14ac:dyDescent="0.25">
      <c r="A225" s="431">
        <f t="shared" si="22"/>
        <v>224</v>
      </c>
      <c r="B225" s="434">
        <f t="shared" si="18"/>
        <v>19</v>
      </c>
      <c r="C225" s="437">
        <f>IFERROR(-LBP/2+HLOOKUP(Stn_WL,Tools!$AD$2:$AD$27,QUOTIENT(ROW()-2,Max_WL_count)+2,FALSE)*STN_GAP,"")</f>
        <v>43.86</v>
      </c>
      <c r="D225" s="437">
        <f>IFERROR(VLOOKUP(HLOOKUP(Stn_WL,Tools!$AD$2:$AD$27,QUOTIENT(ROW()-2,Max_WL_count)+2,FALSE),Tools!$AD$3:$BC$27,MOD(ROW()-2,Max_WL_count)+2,FALSE),"")</f>
        <v>10.8</v>
      </c>
      <c r="E225" s="435">
        <f>IFERROR(IF(ISNUMBER(D225),HLOOKUP(Tools!$BE$2,Tools!$BE$2:$BE$27,MOD(ROW()-2,Max_WL_count)+2,FALSE)*WLS,""),"")</f>
        <v>8</v>
      </c>
      <c r="I225" s="431">
        <f t="shared" si="23"/>
        <v>224</v>
      </c>
      <c r="J225" s="434">
        <f t="shared" si="19"/>
        <v>18</v>
      </c>
      <c r="K225" s="437">
        <f>IFERROR(-LBP/2+HLOOKUP(Stn_WL,Tools!$AD$2:$AD$27,N225+2,FALSE)*STN_GAP,"")</f>
        <v>36.549999999999997</v>
      </c>
      <c r="L225" s="437">
        <f>IFERROR(IF(AND(ISNUMBER(K225),O225=0),0,VLOOKUP(HLOOKUP(Stn_WL,Tools!$AD$2:$AD$27,N225+2,FALSE),Tools!$AD$3:$BC$27,O225+1,FALSE)),"")</f>
        <v>9.76</v>
      </c>
      <c r="M225" s="437">
        <f>IFERROR(IF(ISNUMBER(L225),IF(O225=0,IFERROR(HLOOKUP(Tools!$BD$127,Tools!$BD$127:$BD$152,N225+2,FALSE)*1,0),HLOOKUP(Tools!$BE$2,Tools!$BE$2:$BE$27,O225+1,FALSE)*WLS),""),"")</f>
        <v>0.5</v>
      </c>
      <c r="N225">
        <f t="shared" si="20"/>
        <v>17</v>
      </c>
      <c r="O225">
        <f t="shared" si="21"/>
        <v>2</v>
      </c>
    </row>
    <row r="226" spans="1:15" x14ac:dyDescent="0.25">
      <c r="A226" s="431">
        <f t="shared" si="22"/>
        <v>225</v>
      </c>
      <c r="B226" s="434">
        <f t="shared" si="18"/>
        <v>19</v>
      </c>
      <c r="C226" s="437">
        <f>IFERROR(-LBP/2+HLOOKUP(Stn_WL,Tools!$AD$2:$AD$27,QUOTIENT(ROW()-2,Max_WL_count)+2,FALSE)*STN_GAP,"")</f>
        <v>43.86</v>
      </c>
      <c r="D226" s="437">
        <f>IFERROR(VLOOKUP(HLOOKUP(Stn_WL,Tools!$AD$2:$AD$27,QUOTIENT(ROW()-2,Max_WL_count)+2,FALSE),Tools!$AD$3:$BC$27,MOD(ROW()-2,Max_WL_count)+2,FALSE),"")</f>
        <v>10.89</v>
      </c>
      <c r="E226" s="435">
        <f>IFERROR(IF(ISNUMBER(D226),HLOOKUP(Tools!$BE$2,Tools!$BE$2:$BE$27,MOD(ROW()-2,Max_WL_count)+2,FALSE)*WLS,""),"")</f>
        <v>9.6999999999999993</v>
      </c>
      <c r="I226" s="431">
        <f t="shared" si="23"/>
        <v>225</v>
      </c>
      <c r="J226" s="434">
        <f t="shared" si="19"/>
        <v>18</v>
      </c>
      <c r="K226" s="437">
        <f>IFERROR(-LBP/2+HLOOKUP(Stn_WL,Tools!$AD$2:$AD$27,N226+2,FALSE)*STN_GAP,"")</f>
        <v>36.549999999999997</v>
      </c>
      <c r="L226" s="437">
        <f>IFERROR(IF(AND(ISNUMBER(K226),O226=0),0,VLOOKUP(HLOOKUP(Stn_WL,Tools!$AD$2:$AD$27,N226+2,FALSE),Tools!$AD$3:$BC$27,O226+1,FALSE)),"")</f>
        <v>10.199999999999999</v>
      </c>
      <c r="M226" s="437">
        <f>IFERROR(IF(ISNUMBER(L226),IF(O226=0,IFERROR(HLOOKUP(Tools!$BD$127,Tools!$BD$127:$BD$152,N226+2,FALSE)*1,0),HLOOKUP(Tools!$BE$2,Tools!$BE$2:$BE$27,O226+1,FALSE)*WLS),""),"")</f>
        <v>1</v>
      </c>
      <c r="N226">
        <f t="shared" si="20"/>
        <v>17</v>
      </c>
      <c r="O226">
        <f t="shared" si="21"/>
        <v>3</v>
      </c>
    </row>
    <row r="227" spans="1:15" x14ac:dyDescent="0.25">
      <c r="A227" s="431">
        <f t="shared" si="22"/>
        <v>226</v>
      </c>
      <c r="B227" s="434">
        <f t="shared" si="18"/>
        <v>19</v>
      </c>
      <c r="C227" s="437">
        <f>IFERROR(-LBP/2+HLOOKUP(Stn_WL,Tools!$AD$2:$AD$27,QUOTIENT(ROW()-2,Max_WL_count)+2,FALSE)*STN_GAP,"")</f>
        <v>43.86</v>
      </c>
      <c r="D227" s="437">
        <f>IFERROR(VLOOKUP(HLOOKUP(Stn_WL,Tools!$AD$2:$AD$27,QUOTIENT(ROW()-2,Max_WL_count)+2,FALSE),Tools!$AD$3:$BC$27,MOD(ROW()-2,Max_WL_count)+2,FALSE),"")</f>
        <v>10.9</v>
      </c>
      <c r="E227" s="435">
        <f>IFERROR(IF(ISNUMBER(D227),HLOOKUP(Tools!$BE$2,Tools!$BE$2:$BE$27,MOD(ROW()-2,Max_WL_count)+2,FALSE)*WLS,""),"")</f>
        <v>10</v>
      </c>
      <c r="I227" s="431">
        <f t="shared" si="23"/>
        <v>226</v>
      </c>
      <c r="J227" s="434">
        <f t="shared" si="19"/>
        <v>18</v>
      </c>
      <c r="K227" s="437">
        <f>IFERROR(-LBP/2+HLOOKUP(Stn_WL,Tools!$AD$2:$AD$27,N227+2,FALSE)*STN_GAP,"")</f>
        <v>36.549999999999997</v>
      </c>
      <c r="L227" s="437">
        <f>IFERROR(IF(AND(ISNUMBER(K227),O227=0),0,VLOOKUP(HLOOKUP(Stn_WL,Tools!$AD$2:$AD$27,N227+2,FALSE),Tools!$AD$3:$BC$27,O227+1,FALSE)),"")</f>
        <v>10.5</v>
      </c>
      <c r="M227" s="437">
        <f>IFERROR(IF(ISNUMBER(L227),IF(O227=0,IFERROR(HLOOKUP(Tools!$BD$127,Tools!$BD$127:$BD$152,N227+2,FALSE)*1,0),HLOOKUP(Tools!$BE$2,Tools!$BE$2:$BE$27,O227+1,FALSE)*WLS),""),"")</f>
        <v>1.5</v>
      </c>
      <c r="N227">
        <f t="shared" si="20"/>
        <v>17</v>
      </c>
      <c r="O227">
        <f t="shared" si="21"/>
        <v>4</v>
      </c>
    </row>
    <row r="228" spans="1:15" x14ac:dyDescent="0.25">
      <c r="A228" s="431">
        <f t="shared" si="22"/>
        <v>227</v>
      </c>
      <c r="B228" s="434">
        <f t="shared" si="18"/>
        <v>19</v>
      </c>
      <c r="C228" s="437">
        <f>IFERROR(-LBP/2+HLOOKUP(Stn_WL,Tools!$AD$2:$AD$27,QUOTIENT(ROW()-2,Max_WL_count)+2,FALSE)*STN_GAP,"")</f>
        <v>43.86</v>
      </c>
      <c r="D228" s="437">
        <f>IFERROR(VLOOKUP(HLOOKUP(Stn_WL,Tools!$AD$2:$AD$27,QUOTIENT(ROW()-2,Max_WL_count)+2,FALSE),Tools!$AD$3:$BC$27,MOD(ROW()-2,Max_WL_count)+2,FALSE),"")</f>
        <v>11</v>
      </c>
      <c r="E228" s="435">
        <f>IFERROR(IF(ISNUMBER(D228),HLOOKUP(Tools!$BE$2,Tools!$BE$2:$BE$27,MOD(ROW()-2,Max_WL_count)+2,FALSE)*WLS,""),"")</f>
        <v>12</v>
      </c>
      <c r="I228" s="431">
        <f t="shared" si="23"/>
        <v>227</v>
      </c>
      <c r="J228" s="434">
        <f t="shared" si="19"/>
        <v>18</v>
      </c>
      <c r="K228" s="437">
        <f>IFERROR(-LBP/2+HLOOKUP(Stn_WL,Tools!$AD$2:$AD$27,N228+2,FALSE)*STN_GAP,"")</f>
        <v>36.549999999999997</v>
      </c>
      <c r="L228" s="437">
        <f>IFERROR(IF(AND(ISNUMBER(K228),O228=0),0,VLOOKUP(HLOOKUP(Stn_WL,Tools!$AD$2:$AD$27,N228+2,FALSE),Tools!$AD$3:$BC$27,O228+1,FALSE)),"")</f>
        <v>10.7</v>
      </c>
      <c r="M228" s="437">
        <f>IFERROR(IF(ISNUMBER(L228),IF(O228=0,IFERROR(HLOOKUP(Tools!$BD$127,Tools!$BD$127:$BD$152,N228+2,FALSE)*1,0),HLOOKUP(Tools!$BE$2,Tools!$BE$2:$BE$27,O228+1,FALSE)*WLS),""),"")</f>
        <v>2</v>
      </c>
      <c r="N228">
        <f t="shared" si="20"/>
        <v>17</v>
      </c>
      <c r="O228">
        <f t="shared" si="21"/>
        <v>5</v>
      </c>
    </row>
    <row r="229" spans="1:15" x14ac:dyDescent="0.25">
      <c r="A229" s="431">
        <f t="shared" si="22"/>
        <v>228</v>
      </c>
      <c r="B229" s="434">
        <f t="shared" si="18"/>
        <v>19</v>
      </c>
      <c r="C229" s="437">
        <f>IFERROR(-LBP/2+HLOOKUP(Stn_WL,Tools!$AD$2:$AD$27,QUOTIENT(ROW()-2,Max_WL_count)+2,FALSE)*STN_GAP,"")</f>
        <v>43.86</v>
      </c>
      <c r="D229" s="437">
        <f>IFERROR(VLOOKUP(HLOOKUP(Stn_WL,Tools!$AD$2:$AD$27,QUOTIENT(ROW()-2,Max_WL_count)+2,FALSE),Tools!$AD$3:$BC$27,MOD(ROW()-2,Max_WL_count)+2,FALSE),"")</f>
        <v>11</v>
      </c>
      <c r="E229" s="435">
        <f>IFERROR(IF(ISNUMBER(D229),HLOOKUP(Tools!$BE$2,Tools!$BE$2:$BE$27,MOD(ROW()-2,Max_WL_count)+2,FALSE)*WLS,""),"")</f>
        <v>13</v>
      </c>
      <c r="I229" s="431">
        <f t="shared" si="23"/>
        <v>228</v>
      </c>
      <c r="J229" s="434">
        <f t="shared" si="19"/>
        <v>18</v>
      </c>
      <c r="K229" s="437">
        <f>IFERROR(-LBP/2+HLOOKUP(Stn_WL,Tools!$AD$2:$AD$27,N229+2,FALSE)*STN_GAP,"")</f>
        <v>36.549999999999997</v>
      </c>
      <c r="L229" s="437">
        <f>IFERROR(IF(AND(ISNUMBER(K229),O229=0),0,VLOOKUP(HLOOKUP(Stn_WL,Tools!$AD$2:$AD$27,N229+2,FALSE),Tools!$AD$3:$BC$27,O229+1,FALSE)),"")</f>
        <v>11</v>
      </c>
      <c r="M229" s="437">
        <f>IFERROR(IF(ISNUMBER(L229),IF(O229=0,IFERROR(HLOOKUP(Tools!$BD$127,Tools!$BD$127:$BD$152,N229+2,FALSE)*1,0),HLOOKUP(Tools!$BE$2,Tools!$BE$2:$BE$27,O229+1,FALSE)*WLS),""),"")</f>
        <v>4</v>
      </c>
      <c r="N229">
        <f t="shared" si="20"/>
        <v>17</v>
      </c>
      <c r="O229">
        <f t="shared" si="21"/>
        <v>6</v>
      </c>
    </row>
    <row r="230" spans="1:15" x14ac:dyDescent="0.25">
      <c r="A230" s="431">
        <f t="shared" si="22"/>
        <v>229</v>
      </c>
      <c r="B230" s="434">
        <f t="shared" si="18"/>
        <v>20</v>
      </c>
      <c r="C230" s="437">
        <f>IFERROR(-LBP/2+HLOOKUP(Stn_WL,Tools!$AD$2:$AD$27,QUOTIENT(ROW()-2,Max_WL_count)+2,FALSE)*STN_GAP,"")</f>
        <v>51.17</v>
      </c>
      <c r="D230" s="437">
        <f>IFERROR(VLOOKUP(HLOOKUP(Stn_WL,Tools!$AD$2:$AD$27,QUOTIENT(ROW()-2,Max_WL_count)+2,FALSE),Tools!$AD$3:$BC$27,MOD(ROW()-2,Max_WL_count)+2,FALSE),"")</f>
        <v>5.6</v>
      </c>
      <c r="E230" s="435">
        <f>IFERROR(IF(ISNUMBER(D230),HLOOKUP(Tools!$BE$2,Tools!$BE$2:$BE$27,MOD(ROW()-2,Max_WL_count)+2,FALSE)*WLS,""),"")</f>
        <v>0</v>
      </c>
      <c r="I230" s="431">
        <f t="shared" si="23"/>
        <v>229</v>
      </c>
      <c r="J230" s="434">
        <f t="shared" si="19"/>
        <v>18</v>
      </c>
      <c r="K230" s="437">
        <f>IFERROR(-LBP/2+HLOOKUP(Stn_WL,Tools!$AD$2:$AD$27,N230+2,FALSE)*STN_GAP,"")</f>
        <v>36.549999999999997</v>
      </c>
      <c r="L230" s="437">
        <f>IFERROR(IF(AND(ISNUMBER(K230),O230=0),0,VLOOKUP(HLOOKUP(Stn_WL,Tools!$AD$2:$AD$27,N230+2,FALSE),Tools!$AD$3:$BC$27,O230+1,FALSE)),"")</f>
        <v>11</v>
      </c>
      <c r="M230" s="437">
        <f>IFERROR(IF(ISNUMBER(L230),IF(O230=0,IFERROR(HLOOKUP(Tools!$BD$127,Tools!$BD$127:$BD$152,N230+2,FALSE)*1,0),HLOOKUP(Tools!$BE$2,Tools!$BE$2:$BE$27,O230+1,FALSE)*WLS),""),"")</f>
        <v>6</v>
      </c>
      <c r="N230">
        <f t="shared" si="20"/>
        <v>17</v>
      </c>
      <c r="O230">
        <f t="shared" si="21"/>
        <v>7</v>
      </c>
    </row>
    <row r="231" spans="1:15" x14ac:dyDescent="0.25">
      <c r="A231" s="431">
        <f t="shared" si="22"/>
        <v>230</v>
      </c>
      <c r="B231" s="434">
        <f t="shared" si="18"/>
        <v>20</v>
      </c>
      <c r="C231" s="437">
        <f>IFERROR(-LBP/2+HLOOKUP(Stn_WL,Tools!$AD$2:$AD$27,QUOTIENT(ROW()-2,Max_WL_count)+2,FALSE)*STN_GAP,"")</f>
        <v>51.17</v>
      </c>
      <c r="D231" s="437">
        <f>IFERROR(VLOOKUP(HLOOKUP(Stn_WL,Tools!$AD$2:$AD$27,QUOTIENT(ROW()-2,Max_WL_count)+2,FALSE),Tools!$AD$3:$BC$27,MOD(ROW()-2,Max_WL_count)+2,FALSE),"")</f>
        <v>6.89</v>
      </c>
      <c r="E231" s="435">
        <f>IFERROR(IF(ISNUMBER(D231),HLOOKUP(Tools!$BE$2,Tools!$BE$2:$BE$27,MOD(ROW()-2,Max_WL_count)+2,FALSE)*WLS,""),"")</f>
        <v>0.5</v>
      </c>
      <c r="I231" s="431">
        <f t="shared" si="23"/>
        <v>230</v>
      </c>
      <c r="J231" s="434">
        <f t="shared" si="19"/>
        <v>18</v>
      </c>
      <c r="K231" s="437">
        <f>IFERROR(-LBP/2+HLOOKUP(Stn_WL,Tools!$AD$2:$AD$27,N231+2,FALSE)*STN_GAP,"")</f>
        <v>36.549999999999997</v>
      </c>
      <c r="L231" s="437">
        <f>IFERROR(IF(AND(ISNUMBER(K231),O231=0),0,VLOOKUP(HLOOKUP(Stn_WL,Tools!$AD$2:$AD$27,N231+2,FALSE),Tools!$AD$3:$BC$27,O231+1,FALSE)),"")</f>
        <v>11</v>
      </c>
      <c r="M231" s="437">
        <f>IFERROR(IF(ISNUMBER(L231),IF(O231=0,IFERROR(HLOOKUP(Tools!$BD$127,Tools!$BD$127:$BD$152,N231+2,FALSE)*1,0),HLOOKUP(Tools!$BE$2,Tools!$BE$2:$BE$27,O231+1,FALSE)*WLS),""),"")</f>
        <v>8</v>
      </c>
      <c r="N231">
        <f t="shared" si="20"/>
        <v>17</v>
      </c>
      <c r="O231">
        <f t="shared" si="21"/>
        <v>8</v>
      </c>
    </row>
    <row r="232" spans="1:15" x14ac:dyDescent="0.25">
      <c r="A232" s="431">
        <f t="shared" si="22"/>
        <v>231</v>
      </c>
      <c r="B232" s="434">
        <f t="shared" si="18"/>
        <v>20</v>
      </c>
      <c r="C232" s="437">
        <f>IFERROR(-LBP/2+HLOOKUP(Stn_WL,Tools!$AD$2:$AD$27,QUOTIENT(ROW()-2,Max_WL_count)+2,FALSE)*STN_GAP,"")</f>
        <v>51.17</v>
      </c>
      <c r="D232" s="437">
        <f>IFERROR(VLOOKUP(HLOOKUP(Stn_WL,Tools!$AD$2:$AD$27,QUOTIENT(ROW()-2,Max_WL_count)+2,FALSE),Tools!$AD$3:$BC$27,MOD(ROW()-2,Max_WL_count)+2,FALSE),"")</f>
        <v>7.56</v>
      </c>
      <c r="E232" s="435">
        <f>IFERROR(IF(ISNUMBER(D232),HLOOKUP(Tools!$BE$2,Tools!$BE$2:$BE$27,MOD(ROW()-2,Max_WL_count)+2,FALSE)*WLS,""),"")</f>
        <v>1</v>
      </c>
      <c r="I232" s="431">
        <f t="shared" si="23"/>
        <v>231</v>
      </c>
      <c r="J232" s="434">
        <f t="shared" si="19"/>
        <v>18</v>
      </c>
      <c r="K232" s="437">
        <f>IFERROR(-LBP/2+HLOOKUP(Stn_WL,Tools!$AD$2:$AD$27,N232+2,FALSE)*STN_GAP,"")</f>
        <v>36.549999999999997</v>
      </c>
      <c r="L232" s="437">
        <f>IFERROR(IF(AND(ISNUMBER(K232),O232=0),0,VLOOKUP(HLOOKUP(Stn_WL,Tools!$AD$2:$AD$27,N232+2,FALSE),Tools!$AD$3:$BC$27,O232+1,FALSE)),"")</f>
        <v>11</v>
      </c>
      <c r="M232" s="437">
        <f>IFERROR(IF(ISNUMBER(L232),IF(O232=0,IFERROR(HLOOKUP(Tools!$BD$127,Tools!$BD$127:$BD$152,N232+2,FALSE)*1,0),HLOOKUP(Tools!$BE$2,Tools!$BE$2:$BE$27,O232+1,FALSE)*WLS),""),"")</f>
        <v>9.6999999999999993</v>
      </c>
      <c r="N232">
        <f t="shared" si="20"/>
        <v>17</v>
      </c>
      <c r="O232">
        <f t="shared" si="21"/>
        <v>9</v>
      </c>
    </row>
    <row r="233" spans="1:15" x14ac:dyDescent="0.25">
      <c r="A233" s="431">
        <f t="shared" si="22"/>
        <v>232</v>
      </c>
      <c r="B233" s="434">
        <f t="shared" si="18"/>
        <v>20</v>
      </c>
      <c r="C233" s="437">
        <f>IFERROR(-LBP/2+HLOOKUP(Stn_WL,Tools!$AD$2:$AD$27,QUOTIENT(ROW()-2,Max_WL_count)+2,FALSE)*STN_GAP,"")</f>
        <v>51.17</v>
      </c>
      <c r="D233" s="437">
        <f>IFERROR(VLOOKUP(HLOOKUP(Stn_WL,Tools!$AD$2:$AD$27,QUOTIENT(ROW()-2,Max_WL_count)+2,FALSE),Tools!$AD$3:$BC$27,MOD(ROW()-2,Max_WL_count)+2,FALSE),"")</f>
        <v>8.0399999999999991</v>
      </c>
      <c r="E233" s="435">
        <f>IFERROR(IF(ISNUMBER(D233),HLOOKUP(Tools!$BE$2,Tools!$BE$2:$BE$27,MOD(ROW()-2,Max_WL_count)+2,FALSE)*WLS,""),"")</f>
        <v>1.5</v>
      </c>
      <c r="I233" s="431">
        <f t="shared" si="23"/>
        <v>232</v>
      </c>
      <c r="J233" s="434">
        <f t="shared" si="19"/>
        <v>18</v>
      </c>
      <c r="K233" s="437">
        <f>IFERROR(-LBP/2+HLOOKUP(Stn_WL,Tools!$AD$2:$AD$27,N233+2,FALSE)*STN_GAP,"")</f>
        <v>36.549999999999997</v>
      </c>
      <c r="L233" s="437">
        <f>IFERROR(IF(AND(ISNUMBER(K233),O233=0),0,VLOOKUP(HLOOKUP(Stn_WL,Tools!$AD$2:$AD$27,N233+2,FALSE),Tools!$AD$3:$BC$27,O233+1,FALSE)),"")</f>
        <v>11</v>
      </c>
      <c r="M233" s="437">
        <f>IFERROR(IF(ISNUMBER(L233),IF(O233=0,IFERROR(HLOOKUP(Tools!$BD$127,Tools!$BD$127:$BD$152,N233+2,FALSE)*1,0),HLOOKUP(Tools!$BE$2,Tools!$BE$2:$BE$27,O233+1,FALSE)*WLS),""),"")</f>
        <v>10</v>
      </c>
      <c r="N233">
        <f t="shared" si="20"/>
        <v>17</v>
      </c>
      <c r="O233">
        <f t="shared" si="21"/>
        <v>10</v>
      </c>
    </row>
    <row r="234" spans="1:15" x14ac:dyDescent="0.25">
      <c r="A234" s="431">
        <f t="shared" si="22"/>
        <v>233</v>
      </c>
      <c r="B234" s="434">
        <f t="shared" si="18"/>
        <v>20</v>
      </c>
      <c r="C234" s="437">
        <f>IFERROR(-LBP/2+HLOOKUP(Stn_WL,Tools!$AD$2:$AD$27,QUOTIENT(ROW()-2,Max_WL_count)+2,FALSE)*STN_GAP,"")</f>
        <v>51.17</v>
      </c>
      <c r="D234" s="437">
        <f>IFERROR(VLOOKUP(HLOOKUP(Stn_WL,Tools!$AD$2:$AD$27,QUOTIENT(ROW()-2,Max_WL_count)+2,FALSE),Tools!$AD$3:$BC$27,MOD(ROW()-2,Max_WL_count)+2,FALSE),"")</f>
        <v>8.42</v>
      </c>
      <c r="E234" s="435">
        <f>IFERROR(IF(ISNUMBER(D234),HLOOKUP(Tools!$BE$2,Tools!$BE$2:$BE$27,MOD(ROW()-2,Max_WL_count)+2,FALSE)*WLS,""),"")</f>
        <v>2</v>
      </c>
      <c r="I234" s="431">
        <f t="shared" si="23"/>
        <v>233</v>
      </c>
      <c r="J234" s="434">
        <f t="shared" si="19"/>
        <v>18</v>
      </c>
      <c r="K234" s="437">
        <f>IFERROR(-LBP/2+HLOOKUP(Stn_WL,Tools!$AD$2:$AD$27,N234+2,FALSE)*STN_GAP,"")</f>
        <v>36.549999999999997</v>
      </c>
      <c r="L234" s="437">
        <f>IFERROR(IF(AND(ISNUMBER(K234),O234=0),0,VLOOKUP(HLOOKUP(Stn_WL,Tools!$AD$2:$AD$27,N234+2,FALSE),Tools!$AD$3:$BC$27,O234+1,FALSE)),"")</f>
        <v>11</v>
      </c>
      <c r="M234" s="437">
        <f>IFERROR(IF(ISNUMBER(L234),IF(O234=0,IFERROR(HLOOKUP(Tools!$BD$127,Tools!$BD$127:$BD$152,N234+2,FALSE)*1,0),HLOOKUP(Tools!$BE$2,Tools!$BE$2:$BE$27,O234+1,FALSE)*WLS),""),"")</f>
        <v>12</v>
      </c>
      <c r="N234">
        <f t="shared" si="20"/>
        <v>17</v>
      </c>
      <c r="O234">
        <f t="shared" si="21"/>
        <v>11</v>
      </c>
    </row>
    <row r="235" spans="1:15" x14ac:dyDescent="0.25">
      <c r="A235" s="431">
        <f t="shared" si="22"/>
        <v>234</v>
      </c>
      <c r="B235" s="434">
        <f t="shared" si="18"/>
        <v>20</v>
      </c>
      <c r="C235" s="437">
        <f>IFERROR(-LBP/2+HLOOKUP(Stn_WL,Tools!$AD$2:$AD$27,QUOTIENT(ROW()-2,Max_WL_count)+2,FALSE)*STN_GAP,"")</f>
        <v>51.17</v>
      </c>
      <c r="D235" s="437">
        <f>IFERROR(VLOOKUP(HLOOKUP(Stn_WL,Tools!$AD$2:$AD$27,QUOTIENT(ROW()-2,Max_WL_count)+2,FALSE),Tools!$AD$3:$BC$27,MOD(ROW()-2,Max_WL_count)+2,FALSE),"")</f>
        <v>9.32</v>
      </c>
      <c r="E235" s="435">
        <f>IFERROR(IF(ISNUMBER(D235),HLOOKUP(Tools!$BE$2,Tools!$BE$2:$BE$27,MOD(ROW()-2,Max_WL_count)+2,FALSE)*WLS,""),"")</f>
        <v>4</v>
      </c>
      <c r="I235" s="431">
        <f t="shared" si="23"/>
        <v>234</v>
      </c>
      <c r="J235" s="434">
        <f t="shared" si="19"/>
        <v>18</v>
      </c>
      <c r="K235" s="437">
        <f>IFERROR(-LBP/2+HLOOKUP(Stn_WL,Tools!$AD$2:$AD$27,N235+2,FALSE)*STN_GAP,"")</f>
        <v>36.549999999999997</v>
      </c>
      <c r="L235" s="437">
        <f>IFERROR(IF(AND(ISNUMBER(K235),O235=0),0,VLOOKUP(HLOOKUP(Stn_WL,Tools!$AD$2:$AD$27,N235+2,FALSE),Tools!$AD$3:$BC$27,O235+1,FALSE)),"")</f>
        <v>11</v>
      </c>
      <c r="M235" s="437">
        <f>IFERROR(IF(ISNUMBER(L235),IF(O235=0,IFERROR(HLOOKUP(Tools!$BD$127,Tools!$BD$127:$BD$152,N235+2,FALSE)*1,0),HLOOKUP(Tools!$BE$2,Tools!$BE$2:$BE$27,O235+1,FALSE)*WLS),""),"")</f>
        <v>13</v>
      </c>
      <c r="N235">
        <f t="shared" si="20"/>
        <v>17</v>
      </c>
      <c r="O235">
        <f t="shared" si="21"/>
        <v>12</v>
      </c>
    </row>
    <row r="236" spans="1:15" x14ac:dyDescent="0.25">
      <c r="A236" s="431">
        <f t="shared" si="22"/>
        <v>235</v>
      </c>
      <c r="B236" s="434">
        <f t="shared" si="18"/>
        <v>20</v>
      </c>
      <c r="C236" s="437">
        <f>IFERROR(-LBP/2+HLOOKUP(Stn_WL,Tools!$AD$2:$AD$27,QUOTIENT(ROW()-2,Max_WL_count)+2,FALSE)*STN_GAP,"")</f>
        <v>51.17</v>
      </c>
      <c r="D236" s="437">
        <f>IFERROR(VLOOKUP(HLOOKUP(Stn_WL,Tools!$AD$2:$AD$27,QUOTIENT(ROW()-2,Max_WL_count)+2,FALSE),Tools!$AD$3:$BC$27,MOD(ROW()-2,Max_WL_count)+2,FALSE),"")</f>
        <v>9.69</v>
      </c>
      <c r="E236" s="435">
        <f>IFERROR(IF(ISNUMBER(D236),HLOOKUP(Tools!$BE$2,Tools!$BE$2:$BE$27,MOD(ROW()-2,Max_WL_count)+2,FALSE)*WLS,""),"")</f>
        <v>6</v>
      </c>
      <c r="I236" s="431">
        <f t="shared" si="23"/>
        <v>235</v>
      </c>
      <c r="J236" s="434">
        <f t="shared" si="19"/>
        <v>19</v>
      </c>
      <c r="K236" s="437">
        <f>IFERROR(-LBP/2+HLOOKUP(Stn_WL,Tools!$AD$2:$AD$27,N236+2,FALSE)*STN_GAP,"")</f>
        <v>43.86</v>
      </c>
      <c r="L236" s="437">
        <f>IFERROR(IF(AND(ISNUMBER(K236),O236=0),0,VLOOKUP(HLOOKUP(Stn_WL,Tools!$AD$2:$AD$27,N236+2,FALSE),Tools!$AD$3:$BC$27,O236+1,FALSE)),"")</f>
        <v>0</v>
      </c>
      <c r="M236" s="437">
        <f>IFERROR(IF(ISNUMBER(L236),IF(O236=0,IFERROR(HLOOKUP(Tools!$BD$127,Tools!$BD$127:$BD$152,N236+2,FALSE)*1,0),HLOOKUP(Tools!$BE$2,Tools!$BE$2:$BE$27,O236+1,FALSE)*WLS),""),"")</f>
        <v>0</v>
      </c>
      <c r="N236">
        <f t="shared" si="20"/>
        <v>18</v>
      </c>
      <c r="O236">
        <f t="shared" si="21"/>
        <v>0</v>
      </c>
    </row>
    <row r="237" spans="1:15" x14ac:dyDescent="0.25">
      <c r="A237" s="431">
        <f t="shared" si="22"/>
        <v>236</v>
      </c>
      <c r="B237" s="434">
        <f t="shared" si="18"/>
        <v>20</v>
      </c>
      <c r="C237" s="437">
        <f>IFERROR(-LBP/2+HLOOKUP(Stn_WL,Tools!$AD$2:$AD$27,QUOTIENT(ROW()-2,Max_WL_count)+2,FALSE)*STN_GAP,"")</f>
        <v>51.17</v>
      </c>
      <c r="D237" s="437">
        <f>IFERROR(VLOOKUP(HLOOKUP(Stn_WL,Tools!$AD$2:$AD$27,QUOTIENT(ROW()-2,Max_WL_count)+2,FALSE),Tools!$AD$3:$BC$27,MOD(ROW()-2,Max_WL_count)+2,FALSE),"")</f>
        <v>9.99</v>
      </c>
      <c r="E237" s="435">
        <f>IFERROR(IF(ISNUMBER(D237),HLOOKUP(Tools!$BE$2,Tools!$BE$2:$BE$27,MOD(ROW()-2,Max_WL_count)+2,FALSE)*WLS,""),"")</f>
        <v>8</v>
      </c>
      <c r="I237" s="431">
        <f t="shared" si="23"/>
        <v>236</v>
      </c>
      <c r="J237" s="434">
        <f t="shared" si="19"/>
        <v>19</v>
      </c>
      <c r="K237" s="437">
        <f>IFERROR(-LBP/2+HLOOKUP(Stn_WL,Tools!$AD$2:$AD$27,N237+2,FALSE)*STN_GAP,"")</f>
        <v>43.86</v>
      </c>
      <c r="L237" s="437">
        <f>IFERROR(IF(AND(ISNUMBER(K237),O237=0),0,VLOOKUP(HLOOKUP(Stn_WL,Tools!$AD$2:$AD$27,N237+2,FALSE),Tools!$AD$3:$BC$27,O237+1,FALSE)),"")</f>
        <v>7.6</v>
      </c>
      <c r="M237" s="437">
        <f>IFERROR(IF(ISNUMBER(L237),IF(O237=0,IFERROR(HLOOKUP(Tools!$BD$127,Tools!$BD$127:$BD$152,N237+2,FALSE)*1,0),HLOOKUP(Tools!$BE$2,Tools!$BE$2:$BE$27,O237+1,FALSE)*WLS),""),"")</f>
        <v>0</v>
      </c>
      <c r="N237">
        <f t="shared" si="20"/>
        <v>18</v>
      </c>
      <c r="O237">
        <f t="shared" si="21"/>
        <v>1</v>
      </c>
    </row>
    <row r="238" spans="1:15" x14ac:dyDescent="0.25">
      <c r="A238" s="431">
        <f t="shared" si="22"/>
        <v>237</v>
      </c>
      <c r="B238" s="434">
        <f t="shared" si="18"/>
        <v>20</v>
      </c>
      <c r="C238" s="437">
        <f>IFERROR(-LBP/2+HLOOKUP(Stn_WL,Tools!$AD$2:$AD$27,QUOTIENT(ROW()-2,Max_WL_count)+2,FALSE)*STN_GAP,"")</f>
        <v>51.17</v>
      </c>
      <c r="D238" s="437">
        <f>IFERROR(VLOOKUP(HLOOKUP(Stn_WL,Tools!$AD$2:$AD$27,QUOTIENT(ROW()-2,Max_WL_count)+2,FALSE),Tools!$AD$3:$BC$27,MOD(ROW()-2,Max_WL_count)+2,FALSE),"")</f>
        <v>10.23</v>
      </c>
      <c r="E238" s="435">
        <f>IFERROR(IF(ISNUMBER(D238),HLOOKUP(Tools!$BE$2,Tools!$BE$2:$BE$27,MOD(ROW()-2,Max_WL_count)+2,FALSE)*WLS,""),"")</f>
        <v>9.6999999999999993</v>
      </c>
      <c r="I238" s="431">
        <f t="shared" si="23"/>
        <v>237</v>
      </c>
      <c r="J238" s="434">
        <f t="shared" si="19"/>
        <v>19</v>
      </c>
      <c r="K238" s="437">
        <f>IFERROR(-LBP/2+HLOOKUP(Stn_WL,Tools!$AD$2:$AD$27,N238+2,FALSE)*STN_GAP,"")</f>
        <v>43.86</v>
      </c>
      <c r="L238" s="437">
        <f>IFERROR(IF(AND(ISNUMBER(K238),O238=0),0,VLOOKUP(HLOOKUP(Stn_WL,Tools!$AD$2:$AD$27,N238+2,FALSE),Tools!$AD$3:$BC$27,O238+1,FALSE)),"")</f>
        <v>8.64</v>
      </c>
      <c r="M238" s="437">
        <f>IFERROR(IF(ISNUMBER(L238),IF(O238=0,IFERROR(HLOOKUP(Tools!$BD$127,Tools!$BD$127:$BD$152,N238+2,FALSE)*1,0),HLOOKUP(Tools!$BE$2,Tools!$BE$2:$BE$27,O238+1,FALSE)*WLS),""),"")</f>
        <v>0.5</v>
      </c>
      <c r="N238">
        <f t="shared" si="20"/>
        <v>18</v>
      </c>
      <c r="O238">
        <f t="shared" si="21"/>
        <v>2</v>
      </c>
    </row>
    <row r="239" spans="1:15" x14ac:dyDescent="0.25">
      <c r="A239" s="431">
        <f t="shared" si="22"/>
        <v>238</v>
      </c>
      <c r="B239" s="434">
        <f t="shared" si="18"/>
        <v>20</v>
      </c>
      <c r="C239" s="437">
        <f>IFERROR(-LBP/2+HLOOKUP(Stn_WL,Tools!$AD$2:$AD$27,QUOTIENT(ROW()-2,Max_WL_count)+2,FALSE)*STN_GAP,"")</f>
        <v>51.17</v>
      </c>
      <c r="D239" s="437">
        <f>IFERROR(VLOOKUP(HLOOKUP(Stn_WL,Tools!$AD$2:$AD$27,QUOTIENT(ROW()-2,Max_WL_count)+2,FALSE),Tools!$AD$3:$BC$27,MOD(ROW()-2,Max_WL_count)+2,FALSE),"")</f>
        <v>10.27</v>
      </c>
      <c r="E239" s="435">
        <f>IFERROR(IF(ISNUMBER(D239),HLOOKUP(Tools!$BE$2,Tools!$BE$2:$BE$27,MOD(ROW()-2,Max_WL_count)+2,FALSE)*WLS,""),"")</f>
        <v>10</v>
      </c>
      <c r="I239" s="431">
        <f t="shared" si="23"/>
        <v>238</v>
      </c>
      <c r="J239" s="434">
        <f t="shared" si="19"/>
        <v>19</v>
      </c>
      <c r="K239" s="437">
        <f>IFERROR(-LBP/2+HLOOKUP(Stn_WL,Tools!$AD$2:$AD$27,N239+2,FALSE)*STN_GAP,"")</f>
        <v>43.86</v>
      </c>
      <c r="L239" s="437">
        <f>IFERROR(IF(AND(ISNUMBER(K239),O239=0),0,VLOOKUP(HLOOKUP(Stn_WL,Tools!$AD$2:$AD$27,N239+2,FALSE),Tools!$AD$3:$BC$27,O239+1,FALSE)),"")</f>
        <v>9.27</v>
      </c>
      <c r="M239" s="437">
        <f>IFERROR(IF(ISNUMBER(L239),IF(O239=0,IFERROR(HLOOKUP(Tools!$BD$127,Tools!$BD$127:$BD$152,N239+2,FALSE)*1,0),HLOOKUP(Tools!$BE$2,Tools!$BE$2:$BE$27,O239+1,FALSE)*WLS),""),"")</f>
        <v>1</v>
      </c>
      <c r="N239">
        <f t="shared" si="20"/>
        <v>18</v>
      </c>
      <c r="O239">
        <f t="shared" si="21"/>
        <v>3</v>
      </c>
    </row>
    <row r="240" spans="1:15" x14ac:dyDescent="0.25">
      <c r="A240" s="431">
        <f t="shared" si="22"/>
        <v>239</v>
      </c>
      <c r="B240" s="434">
        <f t="shared" si="18"/>
        <v>20</v>
      </c>
      <c r="C240" s="437">
        <f>IFERROR(-LBP/2+HLOOKUP(Stn_WL,Tools!$AD$2:$AD$27,QUOTIENT(ROW()-2,Max_WL_count)+2,FALSE)*STN_GAP,"")</f>
        <v>51.17</v>
      </c>
      <c r="D240" s="437">
        <f>IFERROR(VLOOKUP(HLOOKUP(Stn_WL,Tools!$AD$2:$AD$27,QUOTIENT(ROW()-2,Max_WL_count)+2,FALSE),Tools!$AD$3:$BC$27,MOD(ROW()-2,Max_WL_count)+2,FALSE),"")</f>
        <v>10.5</v>
      </c>
      <c r="E240" s="435">
        <f>IFERROR(IF(ISNUMBER(D240),HLOOKUP(Tools!$BE$2,Tools!$BE$2:$BE$27,MOD(ROW()-2,Max_WL_count)+2,FALSE)*WLS,""),"")</f>
        <v>12</v>
      </c>
      <c r="I240" s="431">
        <f t="shared" si="23"/>
        <v>239</v>
      </c>
      <c r="J240" s="434">
        <f t="shared" si="19"/>
        <v>19</v>
      </c>
      <c r="K240" s="437">
        <f>IFERROR(-LBP/2+HLOOKUP(Stn_WL,Tools!$AD$2:$AD$27,N240+2,FALSE)*STN_GAP,"")</f>
        <v>43.86</v>
      </c>
      <c r="L240" s="437">
        <f>IFERROR(IF(AND(ISNUMBER(K240),O240=0),0,VLOOKUP(HLOOKUP(Stn_WL,Tools!$AD$2:$AD$27,N240+2,FALSE),Tools!$AD$3:$BC$27,O240+1,FALSE)),"")</f>
        <v>9.66</v>
      </c>
      <c r="M240" s="437">
        <f>IFERROR(IF(ISNUMBER(L240),IF(O240=0,IFERROR(HLOOKUP(Tools!$BD$127,Tools!$BD$127:$BD$152,N240+2,FALSE)*1,0),HLOOKUP(Tools!$BE$2,Tools!$BE$2:$BE$27,O240+1,FALSE)*WLS),""),"")</f>
        <v>1.5</v>
      </c>
      <c r="N240">
        <f t="shared" si="20"/>
        <v>18</v>
      </c>
      <c r="O240">
        <f t="shared" si="21"/>
        <v>4</v>
      </c>
    </row>
    <row r="241" spans="1:15" x14ac:dyDescent="0.25">
      <c r="A241" s="431">
        <f t="shared" si="22"/>
        <v>240</v>
      </c>
      <c r="B241" s="434">
        <f t="shared" si="18"/>
        <v>20</v>
      </c>
      <c r="C241" s="437">
        <f>IFERROR(-LBP/2+HLOOKUP(Stn_WL,Tools!$AD$2:$AD$27,QUOTIENT(ROW()-2,Max_WL_count)+2,FALSE)*STN_GAP,"")</f>
        <v>51.17</v>
      </c>
      <c r="D241" s="437">
        <f>IFERROR(VLOOKUP(HLOOKUP(Stn_WL,Tools!$AD$2:$AD$27,QUOTIENT(ROW()-2,Max_WL_count)+2,FALSE),Tools!$AD$3:$BC$27,MOD(ROW()-2,Max_WL_count)+2,FALSE),"")</f>
        <v>10.62</v>
      </c>
      <c r="E241" s="435">
        <f>IFERROR(IF(ISNUMBER(D241),HLOOKUP(Tools!$BE$2,Tools!$BE$2:$BE$27,MOD(ROW()-2,Max_WL_count)+2,FALSE)*WLS,""),"")</f>
        <v>13</v>
      </c>
      <c r="I241" s="431">
        <f t="shared" si="23"/>
        <v>240</v>
      </c>
      <c r="J241" s="434">
        <f t="shared" si="19"/>
        <v>19</v>
      </c>
      <c r="K241" s="437">
        <f>IFERROR(-LBP/2+HLOOKUP(Stn_WL,Tools!$AD$2:$AD$27,N241+2,FALSE)*STN_GAP,"")</f>
        <v>43.86</v>
      </c>
      <c r="L241" s="437">
        <f>IFERROR(IF(AND(ISNUMBER(K241),O241=0),0,VLOOKUP(HLOOKUP(Stn_WL,Tools!$AD$2:$AD$27,N241+2,FALSE),Tools!$AD$3:$BC$27,O241+1,FALSE)),"")</f>
        <v>9.91</v>
      </c>
      <c r="M241" s="437">
        <f>IFERROR(IF(ISNUMBER(L241),IF(O241=0,IFERROR(HLOOKUP(Tools!$BD$127,Tools!$BD$127:$BD$152,N241+2,FALSE)*1,0),HLOOKUP(Tools!$BE$2,Tools!$BE$2:$BE$27,O241+1,FALSE)*WLS),""),"")</f>
        <v>2</v>
      </c>
      <c r="N241">
        <f t="shared" si="20"/>
        <v>18</v>
      </c>
      <c r="O241">
        <f t="shared" si="21"/>
        <v>5</v>
      </c>
    </row>
    <row r="242" spans="1:15" x14ac:dyDescent="0.25">
      <c r="A242" s="431">
        <f t="shared" si="22"/>
        <v>241</v>
      </c>
      <c r="B242" s="434">
        <f t="shared" si="18"/>
        <v>21</v>
      </c>
      <c r="C242" s="437">
        <f>IFERROR(-LBP/2+HLOOKUP(Stn_WL,Tools!$AD$2:$AD$27,QUOTIENT(ROW()-2,Max_WL_count)+2,FALSE)*STN_GAP,"")</f>
        <v>58.47999999999999</v>
      </c>
      <c r="D242" s="437">
        <f>IFERROR(VLOOKUP(HLOOKUP(Stn_WL,Tools!$AD$2:$AD$27,QUOTIENT(ROW()-2,Max_WL_count)+2,FALSE),Tools!$AD$3:$BC$27,MOD(ROW()-2,Max_WL_count)+2,FALSE),"")</f>
        <v>3.5</v>
      </c>
      <c r="E242" s="435">
        <f>IFERROR(IF(ISNUMBER(D242),HLOOKUP(Tools!$BE$2,Tools!$BE$2:$BE$27,MOD(ROW()-2,Max_WL_count)+2,FALSE)*WLS,""),"")</f>
        <v>0</v>
      </c>
      <c r="I242" s="431">
        <f t="shared" si="23"/>
        <v>241</v>
      </c>
      <c r="J242" s="434">
        <f t="shared" si="19"/>
        <v>19</v>
      </c>
      <c r="K242" s="437">
        <f>IFERROR(-LBP/2+HLOOKUP(Stn_WL,Tools!$AD$2:$AD$27,N242+2,FALSE)*STN_GAP,"")</f>
        <v>43.86</v>
      </c>
      <c r="L242" s="437">
        <f>IFERROR(IF(AND(ISNUMBER(K242),O242=0),0,VLOOKUP(HLOOKUP(Stn_WL,Tools!$AD$2:$AD$27,N242+2,FALSE),Tools!$AD$3:$BC$27,O242+1,FALSE)),"")</f>
        <v>10.5</v>
      </c>
      <c r="M242" s="437">
        <f>IFERROR(IF(ISNUMBER(L242),IF(O242=0,IFERROR(HLOOKUP(Tools!$BD$127,Tools!$BD$127:$BD$152,N242+2,FALSE)*1,0),HLOOKUP(Tools!$BE$2,Tools!$BE$2:$BE$27,O242+1,FALSE)*WLS),""),"")</f>
        <v>4</v>
      </c>
      <c r="N242">
        <f t="shared" si="20"/>
        <v>18</v>
      </c>
      <c r="O242">
        <f t="shared" si="21"/>
        <v>6</v>
      </c>
    </row>
    <row r="243" spans="1:15" x14ac:dyDescent="0.25">
      <c r="A243" s="431">
        <f t="shared" si="22"/>
        <v>242</v>
      </c>
      <c r="B243" s="434">
        <f t="shared" si="18"/>
        <v>21</v>
      </c>
      <c r="C243" s="437">
        <f>IFERROR(-LBP/2+HLOOKUP(Stn_WL,Tools!$AD$2:$AD$27,QUOTIENT(ROW()-2,Max_WL_count)+2,FALSE)*STN_GAP,"")</f>
        <v>58.47999999999999</v>
      </c>
      <c r="D243" s="437">
        <f>IFERROR(VLOOKUP(HLOOKUP(Stn_WL,Tools!$AD$2:$AD$27,QUOTIENT(ROW()-2,Max_WL_count)+2,FALSE),Tools!$AD$3:$BC$27,MOD(ROW()-2,Max_WL_count)+2,FALSE),"")</f>
        <v>4.6500000000000004</v>
      </c>
      <c r="E243" s="435">
        <f>IFERROR(IF(ISNUMBER(D243),HLOOKUP(Tools!$BE$2,Tools!$BE$2:$BE$27,MOD(ROW()-2,Max_WL_count)+2,FALSE)*WLS,""),"")</f>
        <v>0.5</v>
      </c>
      <c r="I243" s="431">
        <f t="shared" si="23"/>
        <v>242</v>
      </c>
      <c r="J243" s="434">
        <f t="shared" si="19"/>
        <v>19</v>
      </c>
      <c r="K243" s="437">
        <f>IFERROR(-LBP/2+HLOOKUP(Stn_WL,Tools!$AD$2:$AD$27,N243+2,FALSE)*STN_GAP,"")</f>
        <v>43.86</v>
      </c>
      <c r="L243" s="437">
        <f>IFERROR(IF(AND(ISNUMBER(K243),O243=0),0,VLOOKUP(HLOOKUP(Stn_WL,Tools!$AD$2:$AD$27,N243+2,FALSE),Tools!$AD$3:$BC$27,O243+1,FALSE)),"")</f>
        <v>10.7</v>
      </c>
      <c r="M243" s="437">
        <f>IFERROR(IF(ISNUMBER(L243),IF(O243=0,IFERROR(HLOOKUP(Tools!$BD$127,Tools!$BD$127:$BD$152,N243+2,FALSE)*1,0),HLOOKUP(Tools!$BE$2,Tools!$BE$2:$BE$27,O243+1,FALSE)*WLS),""),"")</f>
        <v>6</v>
      </c>
      <c r="N243">
        <f t="shared" si="20"/>
        <v>18</v>
      </c>
      <c r="O243">
        <f t="shared" si="21"/>
        <v>7</v>
      </c>
    </row>
    <row r="244" spans="1:15" x14ac:dyDescent="0.25">
      <c r="A244" s="431">
        <f t="shared" si="22"/>
        <v>243</v>
      </c>
      <c r="B244" s="434">
        <f t="shared" si="18"/>
        <v>21</v>
      </c>
      <c r="C244" s="437">
        <f>IFERROR(-LBP/2+HLOOKUP(Stn_WL,Tools!$AD$2:$AD$27,QUOTIENT(ROW()-2,Max_WL_count)+2,FALSE)*STN_GAP,"")</f>
        <v>58.47999999999999</v>
      </c>
      <c r="D244" s="437">
        <f>IFERROR(VLOOKUP(HLOOKUP(Stn_WL,Tools!$AD$2:$AD$27,QUOTIENT(ROW()-2,Max_WL_count)+2,FALSE),Tools!$AD$3:$BC$27,MOD(ROW()-2,Max_WL_count)+2,FALSE),"")</f>
        <v>5.35</v>
      </c>
      <c r="E244" s="435">
        <f>IFERROR(IF(ISNUMBER(D244),HLOOKUP(Tools!$BE$2,Tools!$BE$2:$BE$27,MOD(ROW()-2,Max_WL_count)+2,FALSE)*WLS,""),"")</f>
        <v>1</v>
      </c>
      <c r="I244" s="431">
        <f t="shared" si="23"/>
        <v>243</v>
      </c>
      <c r="J244" s="434">
        <f t="shared" si="19"/>
        <v>19</v>
      </c>
      <c r="K244" s="437">
        <f>IFERROR(-LBP/2+HLOOKUP(Stn_WL,Tools!$AD$2:$AD$27,N244+2,FALSE)*STN_GAP,"")</f>
        <v>43.86</v>
      </c>
      <c r="L244" s="437">
        <f>IFERROR(IF(AND(ISNUMBER(K244),O244=0),0,VLOOKUP(HLOOKUP(Stn_WL,Tools!$AD$2:$AD$27,N244+2,FALSE),Tools!$AD$3:$BC$27,O244+1,FALSE)),"")</f>
        <v>10.8</v>
      </c>
      <c r="M244" s="437">
        <f>IFERROR(IF(ISNUMBER(L244),IF(O244=0,IFERROR(HLOOKUP(Tools!$BD$127,Tools!$BD$127:$BD$152,N244+2,FALSE)*1,0),HLOOKUP(Tools!$BE$2,Tools!$BE$2:$BE$27,O244+1,FALSE)*WLS),""),"")</f>
        <v>8</v>
      </c>
      <c r="N244">
        <f t="shared" si="20"/>
        <v>18</v>
      </c>
      <c r="O244">
        <f t="shared" si="21"/>
        <v>8</v>
      </c>
    </row>
    <row r="245" spans="1:15" x14ac:dyDescent="0.25">
      <c r="A245" s="431">
        <f t="shared" si="22"/>
        <v>244</v>
      </c>
      <c r="B245" s="434">
        <f t="shared" si="18"/>
        <v>21</v>
      </c>
      <c r="C245" s="437">
        <f>IFERROR(-LBP/2+HLOOKUP(Stn_WL,Tools!$AD$2:$AD$27,QUOTIENT(ROW()-2,Max_WL_count)+2,FALSE)*STN_GAP,"")</f>
        <v>58.47999999999999</v>
      </c>
      <c r="D245" s="437">
        <f>IFERROR(VLOOKUP(HLOOKUP(Stn_WL,Tools!$AD$2:$AD$27,QUOTIENT(ROW()-2,Max_WL_count)+2,FALSE),Tools!$AD$3:$BC$27,MOD(ROW()-2,Max_WL_count)+2,FALSE),"")</f>
        <v>5.87</v>
      </c>
      <c r="E245" s="435">
        <f>IFERROR(IF(ISNUMBER(D245),HLOOKUP(Tools!$BE$2,Tools!$BE$2:$BE$27,MOD(ROW()-2,Max_WL_count)+2,FALSE)*WLS,""),"")</f>
        <v>1.5</v>
      </c>
      <c r="I245" s="431">
        <f t="shared" si="23"/>
        <v>244</v>
      </c>
      <c r="J245" s="434">
        <f t="shared" si="19"/>
        <v>19</v>
      </c>
      <c r="K245" s="437">
        <f>IFERROR(-LBP/2+HLOOKUP(Stn_WL,Tools!$AD$2:$AD$27,N245+2,FALSE)*STN_GAP,"")</f>
        <v>43.86</v>
      </c>
      <c r="L245" s="437">
        <f>IFERROR(IF(AND(ISNUMBER(K245),O245=0),0,VLOOKUP(HLOOKUP(Stn_WL,Tools!$AD$2:$AD$27,N245+2,FALSE),Tools!$AD$3:$BC$27,O245+1,FALSE)),"")</f>
        <v>10.89</v>
      </c>
      <c r="M245" s="437">
        <f>IFERROR(IF(ISNUMBER(L245),IF(O245=0,IFERROR(HLOOKUP(Tools!$BD$127,Tools!$BD$127:$BD$152,N245+2,FALSE)*1,0),HLOOKUP(Tools!$BE$2,Tools!$BE$2:$BE$27,O245+1,FALSE)*WLS),""),"")</f>
        <v>9.6999999999999993</v>
      </c>
      <c r="N245">
        <f t="shared" si="20"/>
        <v>18</v>
      </c>
      <c r="O245">
        <f t="shared" si="21"/>
        <v>9</v>
      </c>
    </row>
    <row r="246" spans="1:15" x14ac:dyDescent="0.25">
      <c r="A246" s="431">
        <f t="shared" si="22"/>
        <v>245</v>
      </c>
      <c r="B246" s="434">
        <f t="shared" si="18"/>
        <v>21</v>
      </c>
      <c r="C246" s="437">
        <f>IFERROR(-LBP/2+HLOOKUP(Stn_WL,Tools!$AD$2:$AD$27,QUOTIENT(ROW()-2,Max_WL_count)+2,FALSE)*STN_GAP,"")</f>
        <v>58.47999999999999</v>
      </c>
      <c r="D246" s="437">
        <f>IFERROR(VLOOKUP(HLOOKUP(Stn_WL,Tools!$AD$2:$AD$27,QUOTIENT(ROW()-2,Max_WL_count)+2,FALSE),Tools!$AD$3:$BC$27,MOD(ROW()-2,Max_WL_count)+2,FALSE),"")</f>
        <v>6.21</v>
      </c>
      <c r="E246" s="435">
        <f>IFERROR(IF(ISNUMBER(D246),HLOOKUP(Tools!$BE$2,Tools!$BE$2:$BE$27,MOD(ROW()-2,Max_WL_count)+2,FALSE)*WLS,""),"")</f>
        <v>2</v>
      </c>
      <c r="I246" s="431">
        <f t="shared" si="23"/>
        <v>245</v>
      </c>
      <c r="J246" s="434">
        <f t="shared" si="19"/>
        <v>19</v>
      </c>
      <c r="K246" s="437">
        <f>IFERROR(-LBP/2+HLOOKUP(Stn_WL,Tools!$AD$2:$AD$27,N246+2,FALSE)*STN_GAP,"")</f>
        <v>43.86</v>
      </c>
      <c r="L246" s="437">
        <f>IFERROR(IF(AND(ISNUMBER(K246),O246=0),0,VLOOKUP(HLOOKUP(Stn_WL,Tools!$AD$2:$AD$27,N246+2,FALSE),Tools!$AD$3:$BC$27,O246+1,FALSE)),"")</f>
        <v>10.9</v>
      </c>
      <c r="M246" s="437">
        <f>IFERROR(IF(ISNUMBER(L246),IF(O246=0,IFERROR(HLOOKUP(Tools!$BD$127,Tools!$BD$127:$BD$152,N246+2,FALSE)*1,0),HLOOKUP(Tools!$BE$2,Tools!$BE$2:$BE$27,O246+1,FALSE)*WLS),""),"")</f>
        <v>10</v>
      </c>
      <c r="N246">
        <f t="shared" si="20"/>
        <v>18</v>
      </c>
      <c r="O246">
        <f t="shared" si="21"/>
        <v>10</v>
      </c>
    </row>
    <row r="247" spans="1:15" x14ac:dyDescent="0.25">
      <c r="A247" s="431">
        <f t="shared" si="22"/>
        <v>246</v>
      </c>
      <c r="B247" s="434">
        <f t="shared" si="18"/>
        <v>21</v>
      </c>
      <c r="C247" s="437">
        <f>IFERROR(-LBP/2+HLOOKUP(Stn_WL,Tools!$AD$2:$AD$27,QUOTIENT(ROW()-2,Max_WL_count)+2,FALSE)*STN_GAP,"")</f>
        <v>58.47999999999999</v>
      </c>
      <c r="D247" s="437">
        <f>IFERROR(VLOOKUP(HLOOKUP(Stn_WL,Tools!$AD$2:$AD$27,QUOTIENT(ROW()-2,Max_WL_count)+2,FALSE),Tools!$AD$3:$BC$27,MOD(ROW()-2,Max_WL_count)+2,FALSE),"")</f>
        <v>7.08</v>
      </c>
      <c r="E247" s="435">
        <f>IFERROR(IF(ISNUMBER(D247),HLOOKUP(Tools!$BE$2,Tools!$BE$2:$BE$27,MOD(ROW()-2,Max_WL_count)+2,FALSE)*WLS,""),"")</f>
        <v>4</v>
      </c>
      <c r="I247" s="431">
        <f t="shared" si="23"/>
        <v>246</v>
      </c>
      <c r="J247" s="434">
        <f t="shared" si="19"/>
        <v>19</v>
      </c>
      <c r="K247" s="437">
        <f>IFERROR(-LBP/2+HLOOKUP(Stn_WL,Tools!$AD$2:$AD$27,N247+2,FALSE)*STN_GAP,"")</f>
        <v>43.86</v>
      </c>
      <c r="L247" s="437">
        <f>IFERROR(IF(AND(ISNUMBER(K247),O247=0),0,VLOOKUP(HLOOKUP(Stn_WL,Tools!$AD$2:$AD$27,N247+2,FALSE),Tools!$AD$3:$BC$27,O247+1,FALSE)),"")</f>
        <v>11</v>
      </c>
      <c r="M247" s="437">
        <f>IFERROR(IF(ISNUMBER(L247),IF(O247=0,IFERROR(HLOOKUP(Tools!$BD$127,Tools!$BD$127:$BD$152,N247+2,FALSE)*1,0),HLOOKUP(Tools!$BE$2,Tools!$BE$2:$BE$27,O247+1,FALSE)*WLS),""),"")</f>
        <v>12</v>
      </c>
      <c r="N247">
        <f t="shared" si="20"/>
        <v>18</v>
      </c>
      <c r="O247">
        <f t="shared" si="21"/>
        <v>11</v>
      </c>
    </row>
    <row r="248" spans="1:15" x14ac:dyDescent="0.25">
      <c r="A248" s="431">
        <f t="shared" si="22"/>
        <v>247</v>
      </c>
      <c r="B248" s="434">
        <f t="shared" si="18"/>
        <v>21</v>
      </c>
      <c r="C248" s="437">
        <f>IFERROR(-LBP/2+HLOOKUP(Stn_WL,Tools!$AD$2:$AD$27,QUOTIENT(ROW()-2,Max_WL_count)+2,FALSE)*STN_GAP,"")</f>
        <v>58.47999999999999</v>
      </c>
      <c r="D248" s="437">
        <f>IFERROR(VLOOKUP(HLOOKUP(Stn_WL,Tools!$AD$2:$AD$27,QUOTIENT(ROW()-2,Max_WL_count)+2,FALSE),Tools!$AD$3:$BC$27,MOD(ROW()-2,Max_WL_count)+2,FALSE),"")</f>
        <v>7.57</v>
      </c>
      <c r="E248" s="435">
        <f>IFERROR(IF(ISNUMBER(D248),HLOOKUP(Tools!$BE$2,Tools!$BE$2:$BE$27,MOD(ROW()-2,Max_WL_count)+2,FALSE)*WLS,""),"")</f>
        <v>6</v>
      </c>
      <c r="I248" s="431">
        <f t="shared" si="23"/>
        <v>247</v>
      </c>
      <c r="J248" s="434">
        <f t="shared" si="19"/>
        <v>19</v>
      </c>
      <c r="K248" s="437">
        <f>IFERROR(-LBP/2+HLOOKUP(Stn_WL,Tools!$AD$2:$AD$27,N248+2,FALSE)*STN_GAP,"")</f>
        <v>43.86</v>
      </c>
      <c r="L248" s="437">
        <f>IFERROR(IF(AND(ISNUMBER(K248),O248=0),0,VLOOKUP(HLOOKUP(Stn_WL,Tools!$AD$2:$AD$27,N248+2,FALSE),Tools!$AD$3:$BC$27,O248+1,FALSE)),"")</f>
        <v>11</v>
      </c>
      <c r="M248" s="437">
        <f>IFERROR(IF(ISNUMBER(L248),IF(O248=0,IFERROR(HLOOKUP(Tools!$BD$127,Tools!$BD$127:$BD$152,N248+2,FALSE)*1,0),HLOOKUP(Tools!$BE$2,Tools!$BE$2:$BE$27,O248+1,FALSE)*WLS),""),"")</f>
        <v>13</v>
      </c>
      <c r="N248">
        <f t="shared" si="20"/>
        <v>18</v>
      </c>
      <c r="O248">
        <f t="shared" si="21"/>
        <v>12</v>
      </c>
    </row>
    <row r="249" spans="1:15" x14ac:dyDescent="0.25">
      <c r="A249" s="431">
        <f t="shared" si="22"/>
        <v>248</v>
      </c>
      <c r="B249" s="434">
        <f t="shared" si="18"/>
        <v>21</v>
      </c>
      <c r="C249" s="437">
        <f>IFERROR(-LBP/2+HLOOKUP(Stn_WL,Tools!$AD$2:$AD$27,QUOTIENT(ROW()-2,Max_WL_count)+2,FALSE)*STN_GAP,"")</f>
        <v>58.47999999999999</v>
      </c>
      <c r="D249" s="437">
        <f>IFERROR(VLOOKUP(HLOOKUP(Stn_WL,Tools!$AD$2:$AD$27,QUOTIENT(ROW()-2,Max_WL_count)+2,FALSE),Tools!$AD$3:$BC$27,MOD(ROW()-2,Max_WL_count)+2,FALSE),"")</f>
        <v>7.9291999999999998</v>
      </c>
      <c r="E249" s="435">
        <f>IFERROR(IF(ISNUMBER(D249),HLOOKUP(Tools!$BE$2,Tools!$BE$2:$BE$27,MOD(ROW()-2,Max_WL_count)+2,FALSE)*WLS,""),"")</f>
        <v>8</v>
      </c>
      <c r="I249" s="431">
        <f t="shared" si="23"/>
        <v>248</v>
      </c>
      <c r="J249" s="434">
        <f t="shared" si="19"/>
        <v>20</v>
      </c>
      <c r="K249" s="437">
        <f>IFERROR(-LBP/2+HLOOKUP(Stn_WL,Tools!$AD$2:$AD$27,N249+2,FALSE)*STN_GAP,"")</f>
        <v>51.17</v>
      </c>
      <c r="L249" s="437">
        <f>IFERROR(IF(AND(ISNUMBER(K249),O249=0),0,VLOOKUP(HLOOKUP(Stn_WL,Tools!$AD$2:$AD$27,N249+2,FALSE),Tools!$AD$3:$BC$27,O249+1,FALSE)),"")</f>
        <v>0</v>
      </c>
      <c r="M249" s="437">
        <f>IFERROR(IF(ISNUMBER(L249),IF(O249=0,IFERROR(HLOOKUP(Tools!$BD$127,Tools!$BD$127:$BD$152,N249+2,FALSE)*1,0),HLOOKUP(Tools!$BE$2,Tools!$BE$2:$BE$27,O249+1,FALSE)*WLS),""),"")</f>
        <v>0</v>
      </c>
      <c r="N249">
        <f t="shared" si="20"/>
        <v>19</v>
      </c>
      <c r="O249">
        <f t="shared" si="21"/>
        <v>0</v>
      </c>
    </row>
    <row r="250" spans="1:15" x14ac:dyDescent="0.25">
      <c r="A250" s="431">
        <f t="shared" si="22"/>
        <v>249</v>
      </c>
      <c r="B250" s="434">
        <f t="shared" si="18"/>
        <v>21</v>
      </c>
      <c r="C250" s="437">
        <f>IFERROR(-LBP/2+HLOOKUP(Stn_WL,Tools!$AD$2:$AD$27,QUOTIENT(ROW()-2,Max_WL_count)+2,FALSE)*STN_GAP,"")</f>
        <v>58.47999999999999</v>
      </c>
      <c r="D250" s="437">
        <f>IFERROR(VLOOKUP(HLOOKUP(Stn_WL,Tools!$AD$2:$AD$27,QUOTIENT(ROW()-2,Max_WL_count)+2,FALSE),Tools!$AD$3:$BC$27,MOD(ROW()-2,Max_WL_count)+2,FALSE),"")</f>
        <v>8.3511000000000006</v>
      </c>
      <c r="E250" s="435">
        <f>IFERROR(IF(ISNUMBER(D250),HLOOKUP(Tools!$BE$2,Tools!$BE$2:$BE$27,MOD(ROW()-2,Max_WL_count)+2,FALSE)*WLS,""),"")</f>
        <v>9.6999999999999993</v>
      </c>
      <c r="I250" s="431">
        <f t="shared" si="23"/>
        <v>249</v>
      </c>
      <c r="J250" s="434">
        <f t="shared" si="19"/>
        <v>20</v>
      </c>
      <c r="K250" s="437">
        <f>IFERROR(-LBP/2+HLOOKUP(Stn_WL,Tools!$AD$2:$AD$27,N250+2,FALSE)*STN_GAP,"")</f>
        <v>51.17</v>
      </c>
      <c r="L250" s="437">
        <f>IFERROR(IF(AND(ISNUMBER(K250),O250=0),0,VLOOKUP(HLOOKUP(Stn_WL,Tools!$AD$2:$AD$27,N250+2,FALSE),Tools!$AD$3:$BC$27,O250+1,FALSE)),"")</f>
        <v>5.6</v>
      </c>
      <c r="M250" s="437">
        <f>IFERROR(IF(ISNUMBER(L250),IF(O250=0,IFERROR(HLOOKUP(Tools!$BD$127,Tools!$BD$127:$BD$152,N250+2,FALSE)*1,0),HLOOKUP(Tools!$BE$2,Tools!$BE$2:$BE$27,O250+1,FALSE)*WLS),""),"")</f>
        <v>0</v>
      </c>
      <c r="N250">
        <f t="shared" si="20"/>
        <v>19</v>
      </c>
      <c r="O250">
        <f t="shared" si="21"/>
        <v>1</v>
      </c>
    </row>
    <row r="251" spans="1:15" x14ac:dyDescent="0.25">
      <c r="A251" s="431">
        <f t="shared" si="22"/>
        <v>250</v>
      </c>
      <c r="B251" s="434">
        <f t="shared" si="18"/>
        <v>21</v>
      </c>
      <c r="C251" s="437">
        <f>IFERROR(-LBP/2+HLOOKUP(Stn_WL,Tools!$AD$2:$AD$27,QUOTIENT(ROW()-2,Max_WL_count)+2,FALSE)*STN_GAP,"")</f>
        <v>58.47999999999999</v>
      </c>
      <c r="D251" s="437">
        <f>IFERROR(VLOOKUP(HLOOKUP(Stn_WL,Tools!$AD$2:$AD$27,QUOTIENT(ROW()-2,Max_WL_count)+2,FALSE),Tools!$AD$3:$BC$27,MOD(ROW()-2,Max_WL_count)+2,FALSE),"")</f>
        <v>8.43</v>
      </c>
      <c r="E251" s="435">
        <f>IFERROR(IF(ISNUMBER(D251),HLOOKUP(Tools!$BE$2,Tools!$BE$2:$BE$27,MOD(ROW()-2,Max_WL_count)+2,FALSE)*WLS,""),"")</f>
        <v>10</v>
      </c>
      <c r="I251" s="431">
        <f t="shared" si="23"/>
        <v>250</v>
      </c>
      <c r="J251" s="434">
        <f t="shared" si="19"/>
        <v>20</v>
      </c>
      <c r="K251" s="437">
        <f>IFERROR(-LBP/2+HLOOKUP(Stn_WL,Tools!$AD$2:$AD$27,N251+2,FALSE)*STN_GAP,"")</f>
        <v>51.17</v>
      </c>
      <c r="L251" s="437">
        <f>IFERROR(IF(AND(ISNUMBER(K251),O251=0),0,VLOOKUP(HLOOKUP(Stn_WL,Tools!$AD$2:$AD$27,N251+2,FALSE),Tools!$AD$3:$BC$27,O251+1,FALSE)),"")</f>
        <v>6.89</v>
      </c>
      <c r="M251" s="437">
        <f>IFERROR(IF(ISNUMBER(L251),IF(O251=0,IFERROR(HLOOKUP(Tools!$BD$127,Tools!$BD$127:$BD$152,N251+2,FALSE)*1,0),HLOOKUP(Tools!$BE$2,Tools!$BE$2:$BE$27,O251+1,FALSE)*WLS),""),"")</f>
        <v>0.5</v>
      </c>
      <c r="N251">
        <f t="shared" si="20"/>
        <v>19</v>
      </c>
      <c r="O251">
        <f t="shared" si="21"/>
        <v>2</v>
      </c>
    </row>
    <row r="252" spans="1:15" x14ac:dyDescent="0.25">
      <c r="A252" s="431">
        <f t="shared" si="22"/>
        <v>251</v>
      </c>
      <c r="B252" s="434">
        <f t="shared" si="18"/>
        <v>21</v>
      </c>
      <c r="C252" s="437">
        <f>IFERROR(-LBP/2+HLOOKUP(Stn_WL,Tools!$AD$2:$AD$27,QUOTIENT(ROW()-2,Max_WL_count)+2,FALSE)*STN_GAP,"")</f>
        <v>58.47999999999999</v>
      </c>
      <c r="D252" s="437">
        <f>IFERROR(VLOOKUP(HLOOKUP(Stn_WL,Tools!$AD$2:$AD$27,QUOTIENT(ROW()-2,Max_WL_count)+2,FALSE),Tools!$AD$3:$BC$27,MOD(ROW()-2,Max_WL_count)+2,FALSE),"")</f>
        <v>8.92</v>
      </c>
      <c r="E252" s="435">
        <f>IFERROR(IF(ISNUMBER(D252),HLOOKUP(Tools!$BE$2,Tools!$BE$2:$BE$27,MOD(ROW()-2,Max_WL_count)+2,FALSE)*WLS,""),"")</f>
        <v>12</v>
      </c>
      <c r="I252" s="431">
        <f t="shared" si="23"/>
        <v>251</v>
      </c>
      <c r="J252" s="434">
        <f t="shared" si="19"/>
        <v>20</v>
      </c>
      <c r="K252" s="437">
        <f>IFERROR(-LBP/2+HLOOKUP(Stn_WL,Tools!$AD$2:$AD$27,N252+2,FALSE)*STN_GAP,"")</f>
        <v>51.17</v>
      </c>
      <c r="L252" s="437">
        <f>IFERROR(IF(AND(ISNUMBER(K252),O252=0),0,VLOOKUP(HLOOKUP(Stn_WL,Tools!$AD$2:$AD$27,N252+2,FALSE),Tools!$AD$3:$BC$27,O252+1,FALSE)),"")</f>
        <v>7.56</v>
      </c>
      <c r="M252" s="437">
        <f>IFERROR(IF(ISNUMBER(L252),IF(O252=0,IFERROR(HLOOKUP(Tools!$BD$127,Tools!$BD$127:$BD$152,N252+2,FALSE)*1,0),HLOOKUP(Tools!$BE$2,Tools!$BE$2:$BE$27,O252+1,FALSE)*WLS),""),"")</f>
        <v>1</v>
      </c>
      <c r="N252">
        <f t="shared" si="20"/>
        <v>19</v>
      </c>
      <c r="O252">
        <f t="shared" si="21"/>
        <v>3</v>
      </c>
    </row>
    <row r="253" spans="1:15" x14ac:dyDescent="0.25">
      <c r="A253" s="431">
        <f t="shared" si="22"/>
        <v>252</v>
      </c>
      <c r="B253" s="434">
        <f t="shared" si="18"/>
        <v>21</v>
      </c>
      <c r="C253" s="437">
        <f>IFERROR(-LBP/2+HLOOKUP(Stn_WL,Tools!$AD$2:$AD$27,QUOTIENT(ROW()-2,Max_WL_count)+2,FALSE)*STN_GAP,"")</f>
        <v>58.47999999999999</v>
      </c>
      <c r="D253" s="437">
        <f>IFERROR(VLOOKUP(HLOOKUP(Stn_WL,Tools!$AD$2:$AD$27,QUOTIENT(ROW()-2,Max_WL_count)+2,FALSE),Tools!$AD$3:$BC$27,MOD(ROW()-2,Max_WL_count)+2,FALSE),"")</f>
        <v>9.16</v>
      </c>
      <c r="E253" s="435">
        <f>IFERROR(IF(ISNUMBER(D253),HLOOKUP(Tools!$BE$2,Tools!$BE$2:$BE$27,MOD(ROW()-2,Max_WL_count)+2,FALSE)*WLS,""),"")</f>
        <v>13</v>
      </c>
      <c r="I253" s="431">
        <f t="shared" si="23"/>
        <v>252</v>
      </c>
      <c r="J253" s="434">
        <f t="shared" si="19"/>
        <v>20</v>
      </c>
      <c r="K253" s="437">
        <f>IFERROR(-LBP/2+HLOOKUP(Stn_WL,Tools!$AD$2:$AD$27,N253+2,FALSE)*STN_GAP,"")</f>
        <v>51.17</v>
      </c>
      <c r="L253" s="437">
        <f>IFERROR(IF(AND(ISNUMBER(K253),O253=0),0,VLOOKUP(HLOOKUP(Stn_WL,Tools!$AD$2:$AD$27,N253+2,FALSE),Tools!$AD$3:$BC$27,O253+1,FALSE)),"")</f>
        <v>8.0399999999999991</v>
      </c>
      <c r="M253" s="437">
        <f>IFERROR(IF(ISNUMBER(L253),IF(O253=0,IFERROR(HLOOKUP(Tools!$BD$127,Tools!$BD$127:$BD$152,N253+2,FALSE)*1,0),HLOOKUP(Tools!$BE$2,Tools!$BE$2:$BE$27,O253+1,FALSE)*WLS),""),"")</f>
        <v>1.5</v>
      </c>
      <c r="N253">
        <f t="shared" si="20"/>
        <v>19</v>
      </c>
      <c r="O253">
        <f t="shared" si="21"/>
        <v>4</v>
      </c>
    </row>
    <row r="254" spans="1:15" x14ac:dyDescent="0.25">
      <c r="A254" s="431">
        <f t="shared" si="22"/>
        <v>253</v>
      </c>
      <c r="B254" s="434">
        <f t="shared" si="18"/>
        <v>22</v>
      </c>
      <c r="C254" s="437">
        <f>IFERROR(-LBP/2+HLOOKUP(Stn_WL,Tools!$AD$2:$AD$27,QUOTIENT(ROW()-2,Max_WL_count)+2,FALSE)*STN_GAP,"")</f>
        <v>62.134999999999991</v>
      </c>
      <c r="D254" s="437">
        <f>IFERROR(VLOOKUP(HLOOKUP(Stn_WL,Tools!$AD$2:$AD$27,QUOTIENT(ROW()-2,Max_WL_count)+2,FALSE),Tools!$AD$3:$BC$27,MOD(ROW()-2,Max_WL_count)+2,FALSE),"")</f>
        <v>2.2999999999999998</v>
      </c>
      <c r="E254" s="435">
        <f>IFERROR(IF(ISNUMBER(D254),HLOOKUP(Tools!$BE$2,Tools!$BE$2:$BE$27,MOD(ROW()-2,Max_WL_count)+2,FALSE)*WLS,""),"")</f>
        <v>0</v>
      </c>
      <c r="I254" s="431">
        <f t="shared" si="23"/>
        <v>253</v>
      </c>
      <c r="J254" s="434">
        <f t="shared" si="19"/>
        <v>20</v>
      </c>
      <c r="K254" s="437">
        <f>IFERROR(-LBP/2+HLOOKUP(Stn_WL,Tools!$AD$2:$AD$27,N254+2,FALSE)*STN_GAP,"")</f>
        <v>51.17</v>
      </c>
      <c r="L254" s="437">
        <f>IFERROR(IF(AND(ISNUMBER(K254),O254=0),0,VLOOKUP(HLOOKUP(Stn_WL,Tools!$AD$2:$AD$27,N254+2,FALSE),Tools!$AD$3:$BC$27,O254+1,FALSE)),"")</f>
        <v>8.42</v>
      </c>
      <c r="M254" s="437">
        <f>IFERROR(IF(ISNUMBER(L254),IF(O254=0,IFERROR(HLOOKUP(Tools!$BD$127,Tools!$BD$127:$BD$152,N254+2,FALSE)*1,0),HLOOKUP(Tools!$BE$2,Tools!$BE$2:$BE$27,O254+1,FALSE)*WLS),""),"")</f>
        <v>2</v>
      </c>
      <c r="N254">
        <f t="shared" si="20"/>
        <v>19</v>
      </c>
      <c r="O254">
        <f t="shared" si="21"/>
        <v>5</v>
      </c>
    </row>
    <row r="255" spans="1:15" x14ac:dyDescent="0.25">
      <c r="A255" s="431">
        <f t="shared" si="22"/>
        <v>254</v>
      </c>
      <c r="B255" s="434">
        <f t="shared" si="18"/>
        <v>22</v>
      </c>
      <c r="C255" s="437">
        <f>IFERROR(-LBP/2+HLOOKUP(Stn_WL,Tools!$AD$2:$AD$27,QUOTIENT(ROW()-2,Max_WL_count)+2,FALSE)*STN_GAP,"")</f>
        <v>62.134999999999991</v>
      </c>
      <c r="D255" s="437">
        <f>IFERROR(VLOOKUP(HLOOKUP(Stn_WL,Tools!$AD$2:$AD$27,QUOTIENT(ROW()-2,Max_WL_count)+2,FALSE),Tools!$AD$3:$BC$27,MOD(ROW()-2,Max_WL_count)+2,FALSE),"")</f>
        <v>3.43</v>
      </c>
      <c r="E255" s="435">
        <f>IFERROR(IF(ISNUMBER(D255),HLOOKUP(Tools!$BE$2,Tools!$BE$2:$BE$27,MOD(ROW()-2,Max_WL_count)+2,FALSE)*WLS,""),"")</f>
        <v>0.5</v>
      </c>
      <c r="I255" s="431">
        <f t="shared" si="23"/>
        <v>254</v>
      </c>
      <c r="J255" s="434">
        <f t="shared" si="19"/>
        <v>20</v>
      </c>
      <c r="K255" s="437">
        <f>IFERROR(-LBP/2+HLOOKUP(Stn_WL,Tools!$AD$2:$AD$27,N255+2,FALSE)*STN_GAP,"")</f>
        <v>51.17</v>
      </c>
      <c r="L255" s="437">
        <f>IFERROR(IF(AND(ISNUMBER(K255),O255=0),0,VLOOKUP(HLOOKUP(Stn_WL,Tools!$AD$2:$AD$27,N255+2,FALSE),Tools!$AD$3:$BC$27,O255+1,FALSE)),"")</f>
        <v>9.32</v>
      </c>
      <c r="M255" s="437">
        <f>IFERROR(IF(ISNUMBER(L255),IF(O255=0,IFERROR(HLOOKUP(Tools!$BD$127,Tools!$BD$127:$BD$152,N255+2,FALSE)*1,0),HLOOKUP(Tools!$BE$2,Tools!$BE$2:$BE$27,O255+1,FALSE)*WLS),""),"")</f>
        <v>4</v>
      </c>
      <c r="N255">
        <f t="shared" si="20"/>
        <v>19</v>
      </c>
      <c r="O255">
        <f t="shared" si="21"/>
        <v>6</v>
      </c>
    </row>
    <row r="256" spans="1:15" x14ac:dyDescent="0.25">
      <c r="A256" s="431">
        <f t="shared" si="22"/>
        <v>255</v>
      </c>
      <c r="B256" s="434">
        <f t="shared" si="18"/>
        <v>22</v>
      </c>
      <c r="C256" s="437">
        <f>IFERROR(-LBP/2+HLOOKUP(Stn_WL,Tools!$AD$2:$AD$27,QUOTIENT(ROW()-2,Max_WL_count)+2,FALSE)*STN_GAP,"")</f>
        <v>62.134999999999991</v>
      </c>
      <c r="D256" s="437">
        <f>IFERROR(VLOOKUP(HLOOKUP(Stn_WL,Tools!$AD$2:$AD$27,QUOTIENT(ROW()-2,Max_WL_count)+2,FALSE),Tools!$AD$3:$BC$27,MOD(ROW()-2,Max_WL_count)+2,FALSE),"")</f>
        <v>4.13</v>
      </c>
      <c r="E256" s="435">
        <f>IFERROR(IF(ISNUMBER(D256),HLOOKUP(Tools!$BE$2,Tools!$BE$2:$BE$27,MOD(ROW()-2,Max_WL_count)+2,FALSE)*WLS,""),"")</f>
        <v>1</v>
      </c>
      <c r="I256" s="431">
        <f t="shared" si="23"/>
        <v>255</v>
      </c>
      <c r="J256" s="434">
        <f t="shared" si="19"/>
        <v>20</v>
      </c>
      <c r="K256" s="437">
        <f>IFERROR(-LBP/2+HLOOKUP(Stn_WL,Tools!$AD$2:$AD$27,N256+2,FALSE)*STN_GAP,"")</f>
        <v>51.17</v>
      </c>
      <c r="L256" s="437">
        <f>IFERROR(IF(AND(ISNUMBER(K256),O256=0),0,VLOOKUP(HLOOKUP(Stn_WL,Tools!$AD$2:$AD$27,N256+2,FALSE),Tools!$AD$3:$BC$27,O256+1,FALSE)),"")</f>
        <v>9.69</v>
      </c>
      <c r="M256" s="437">
        <f>IFERROR(IF(ISNUMBER(L256),IF(O256=0,IFERROR(HLOOKUP(Tools!$BD$127,Tools!$BD$127:$BD$152,N256+2,FALSE)*1,0),HLOOKUP(Tools!$BE$2,Tools!$BE$2:$BE$27,O256+1,FALSE)*WLS),""),"")</f>
        <v>6</v>
      </c>
      <c r="N256">
        <f t="shared" si="20"/>
        <v>19</v>
      </c>
      <c r="O256">
        <f t="shared" si="21"/>
        <v>7</v>
      </c>
    </row>
    <row r="257" spans="1:15" x14ac:dyDescent="0.25">
      <c r="A257" s="431">
        <f t="shared" si="22"/>
        <v>256</v>
      </c>
      <c r="B257" s="434">
        <f t="shared" si="18"/>
        <v>22</v>
      </c>
      <c r="C257" s="437">
        <f>IFERROR(-LBP/2+HLOOKUP(Stn_WL,Tools!$AD$2:$AD$27,QUOTIENT(ROW()-2,Max_WL_count)+2,FALSE)*STN_GAP,"")</f>
        <v>62.134999999999991</v>
      </c>
      <c r="D257" s="437">
        <f>IFERROR(VLOOKUP(HLOOKUP(Stn_WL,Tools!$AD$2:$AD$27,QUOTIENT(ROW()-2,Max_WL_count)+2,FALSE),Tools!$AD$3:$BC$27,MOD(ROW()-2,Max_WL_count)+2,FALSE),"")</f>
        <v>4.58</v>
      </c>
      <c r="E257" s="435">
        <f>IFERROR(IF(ISNUMBER(D257),HLOOKUP(Tools!$BE$2,Tools!$BE$2:$BE$27,MOD(ROW()-2,Max_WL_count)+2,FALSE)*WLS,""),"")</f>
        <v>1.5</v>
      </c>
      <c r="I257" s="431">
        <f t="shared" si="23"/>
        <v>256</v>
      </c>
      <c r="J257" s="434">
        <f t="shared" si="19"/>
        <v>20</v>
      </c>
      <c r="K257" s="437">
        <f>IFERROR(-LBP/2+HLOOKUP(Stn_WL,Tools!$AD$2:$AD$27,N257+2,FALSE)*STN_GAP,"")</f>
        <v>51.17</v>
      </c>
      <c r="L257" s="437">
        <f>IFERROR(IF(AND(ISNUMBER(K257),O257=0),0,VLOOKUP(HLOOKUP(Stn_WL,Tools!$AD$2:$AD$27,N257+2,FALSE),Tools!$AD$3:$BC$27,O257+1,FALSE)),"")</f>
        <v>9.99</v>
      </c>
      <c r="M257" s="437">
        <f>IFERROR(IF(ISNUMBER(L257),IF(O257=0,IFERROR(HLOOKUP(Tools!$BD$127,Tools!$BD$127:$BD$152,N257+2,FALSE)*1,0),HLOOKUP(Tools!$BE$2,Tools!$BE$2:$BE$27,O257+1,FALSE)*WLS),""),"")</f>
        <v>8</v>
      </c>
      <c r="N257">
        <f t="shared" si="20"/>
        <v>19</v>
      </c>
      <c r="O257">
        <f t="shared" si="21"/>
        <v>8</v>
      </c>
    </row>
    <row r="258" spans="1:15" x14ac:dyDescent="0.25">
      <c r="A258" s="431">
        <f t="shared" si="22"/>
        <v>257</v>
      </c>
      <c r="B258" s="434">
        <f t="shared" ref="B258:B321" si="24">IFERROR(IF(ISNUMBER(D258),QUOTIENT(ROW()-2,Max_WL_count)+1,""),"")</f>
        <v>22</v>
      </c>
      <c r="C258" s="437">
        <f>IFERROR(-LBP/2+HLOOKUP(Stn_WL,Tools!$AD$2:$AD$27,QUOTIENT(ROW()-2,Max_WL_count)+2,FALSE)*STN_GAP,"")</f>
        <v>62.134999999999991</v>
      </c>
      <c r="D258" s="437">
        <f>IFERROR(VLOOKUP(HLOOKUP(Stn_WL,Tools!$AD$2:$AD$27,QUOTIENT(ROW()-2,Max_WL_count)+2,FALSE),Tools!$AD$3:$BC$27,MOD(ROW()-2,Max_WL_count)+2,FALSE),"")</f>
        <v>4.91</v>
      </c>
      <c r="E258" s="435">
        <f>IFERROR(IF(ISNUMBER(D258),HLOOKUP(Tools!$BE$2,Tools!$BE$2:$BE$27,MOD(ROW()-2,Max_WL_count)+2,FALSE)*WLS,""),"")</f>
        <v>2</v>
      </c>
      <c r="I258" s="431">
        <f t="shared" si="23"/>
        <v>257</v>
      </c>
      <c r="J258" s="434">
        <f t="shared" ref="J258:J321" si="25">IFERROR(IF(ISNUMBER(L258),QUOTIENT(ROW()-2,Max_WL_count+1)+1,""),"")</f>
        <v>20</v>
      </c>
      <c r="K258" s="437">
        <f>IFERROR(-LBP/2+HLOOKUP(Stn_WL,Tools!$AD$2:$AD$27,N258+2,FALSE)*STN_GAP,"")</f>
        <v>51.17</v>
      </c>
      <c r="L258" s="437">
        <f>IFERROR(IF(AND(ISNUMBER(K258),O258=0),0,VLOOKUP(HLOOKUP(Stn_WL,Tools!$AD$2:$AD$27,N258+2,FALSE),Tools!$AD$3:$BC$27,O258+1,FALSE)),"")</f>
        <v>10.23</v>
      </c>
      <c r="M258" s="437">
        <f>IFERROR(IF(ISNUMBER(L258),IF(O258=0,IFERROR(HLOOKUP(Tools!$BD$127,Tools!$BD$127:$BD$152,N258+2,FALSE)*1,0),HLOOKUP(Tools!$BE$2,Tools!$BE$2:$BE$27,O258+1,FALSE)*WLS),""),"")</f>
        <v>9.6999999999999993</v>
      </c>
      <c r="N258">
        <f t="shared" ref="N258:N321" si="26">QUOTIENT(ROW()-2,Max_WL_count+1)</f>
        <v>19</v>
      </c>
      <c r="O258">
        <f t="shared" ref="O258:O321" si="27">MOD(ROW()-2,Max_WL_count+1)</f>
        <v>9</v>
      </c>
    </row>
    <row r="259" spans="1:15" x14ac:dyDescent="0.25">
      <c r="A259" s="431">
        <f t="shared" ref="A259:A322" si="28">IF(ISNUMBER(D259),ROW()-1,"")</f>
        <v>258</v>
      </c>
      <c r="B259" s="434">
        <f t="shared" si="24"/>
        <v>22</v>
      </c>
      <c r="C259" s="437">
        <f>IFERROR(-LBP/2+HLOOKUP(Stn_WL,Tools!$AD$2:$AD$27,QUOTIENT(ROW()-2,Max_WL_count)+2,FALSE)*STN_GAP,"")</f>
        <v>62.134999999999991</v>
      </c>
      <c r="D259" s="437">
        <f>IFERROR(VLOOKUP(HLOOKUP(Stn_WL,Tools!$AD$2:$AD$27,QUOTIENT(ROW()-2,Max_WL_count)+2,FALSE),Tools!$AD$3:$BC$27,MOD(ROW()-2,Max_WL_count)+2,FALSE),"")</f>
        <v>5.63</v>
      </c>
      <c r="E259" s="435">
        <f>IFERROR(IF(ISNUMBER(D259),HLOOKUP(Tools!$BE$2,Tools!$BE$2:$BE$27,MOD(ROW()-2,Max_WL_count)+2,FALSE)*WLS,""),"")</f>
        <v>4</v>
      </c>
      <c r="I259" s="431">
        <f t="shared" ref="I259:I322" si="29">IF(ISNUMBER(L259),ROW()-1,"")</f>
        <v>258</v>
      </c>
      <c r="J259" s="434">
        <f t="shared" si="25"/>
        <v>20</v>
      </c>
      <c r="K259" s="437">
        <f>IFERROR(-LBP/2+HLOOKUP(Stn_WL,Tools!$AD$2:$AD$27,N259+2,FALSE)*STN_GAP,"")</f>
        <v>51.17</v>
      </c>
      <c r="L259" s="437">
        <f>IFERROR(IF(AND(ISNUMBER(K259),O259=0),0,VLOOKUP(HLOOKUP(Stn_WL,Tools!$AD$2:$AD$27,N259+2,FALSE),Tools!$AD$3:$BC$27,O259+1,FALSE)),"")</f>
        <v>10.27</v>
      </c>
      <c r="M259" s="437">
        <f>IFERROR(IF(ISNUMBER(L259),IF(O259=0,IFERROR(HLOOKUP(Tools!$BD$127,Tools!$BD$127:$BD$152,N259+2,FALSE)*1,0),HLOOKUP(Tools!$BE$2,Tools!$BE$2:$BE$27,O259+1,FALSE)*WLS),""),"")</f>
        <v>10</v>
      </c>
      <c r="N259">
        <f t="shared" si="26"/>
        <v>19</v>
      </c>
      <c r="O259">
        <f t="shared" si="27"/>
        <v>10</v>
      </c>
    </row>
    <row r="260" spans="1:15" x14ac:dyDescent="0.25">
      <c r="A260" s="431">
        <f t="shared" si="28"/>
        <v>259</v>
      </c>
      <c r="B260" s="434">
        <f t="shared" si="24"/>
        <v>22</v>
      </c>
      <c r="C260" s="437">
        <f>IFERROR(-LBP/2+HLOOKUP(Stn_WL,Tools!$AD$2:$AD$27,QUOTIENT(ROW()-2,Max_WL_count)+2,FALSE)*STN_GAP,"")</f>
        <v>62.134999999999991</v>
      </c>
      <c r="D260" s="437">
        <f>IFERROR(VLOOKUP(HLOOKUP(Stn_WL,Tools!$AD$2:$AD$27,QUOTIENT(ROW()-2,Max_WL_count)+2,FALSE),Tools!$AD$3:$BC$27,MOD(ROW()-2,Max_WL_count)+2,FALSE),"")</f>
        <v>6.05</v>
      </c>
      <c r="E260" s="435">
        <f>IFERROR(IF(ISNUMBER(D260),HLOOKUP(Tools!$BE$2,Tools!$BE$2:$BE$27,MOD(ROW()-2,Max_WL_count)+2,FALSE)*WLS,""),"")</f>
        <v>6</v>
      </c>
      <c r="I260" s="431">
        <f t="shared" si="29"/>
        <v>259</v>
      </c>
      <c r="J260" s="434">
        <f t="shared" si="25"/>
        <v>20</v>
      </c>
      <c r="K260" s="437">
        <f>IFERROR(-LBP/2+HLOOKUP(Stn_WL,Tools!$AD$2:$AD$27,N260+2,FALSE)*STN_GAP,"")</f>
        <v>51.17</v>
      </c>
      <c r="L260" s="437">
        <f>IFERROR(IF(AND(ISNUMBER(K260),O260=0),0,VLOOKUP(HLOOKUP(Stn_WL,Tools!$AD$2:$AD$27,N260+2,FALSE),Tools!$AD$3:$BC$27,O260+1,FALSE)),"")</f>
        <v>10.5</v>
      </c>
      <c r="M260" s="437">
        <f>IFERROR(IF(ISNUMBER(L260),IF(O260=0,IFERROR(HLOOKUP(Tools!$BD$127,Tools!$BD$127:$BD$152,N260+2,FALSE)*1,0),HLOOKUP(Tools!$BE$2,Tools!$BE$2:$BE$27,O260+1,FALSE)*WLS),""),"")</f>
        <v>12</v>
      </c>
      <c r="N260">
        <f t="shared" si="26"/>
        <v>19</v>
      </c>
      <c r="O260">
        <f t="shared" si="27"/>
        <v>11</v>
      </c>
    </row>
    <row r="261" spans="1:15" x14ac:dyDescent="0.25">
      <c r="A261" s="431">
        <f t="shared" si="28"/>
        <v>260</v>
      </c>
      <c r="B261" s="434">
        <f t="shared" si="24"/>
        <v>22</v>
      </c>
      <c r="C261" s="437">
        <f>IFERROR(-LBP/2+HLOOKUP(Stn_WL,Tools!$AD$2:$AD$27,QUOTIENT(ROW()-2,Max_WL_count)+2,FALSE)*STN_GAP,"")</f>
        <v>62.134999999999991</v>
      </c>
      <c r="D261" s="437">
        <f>IFERROR(VLOOKUP(HLOOKUP(Stn_WL,Tools!$AD$2:$AD$27,QUOTIENT(ROW()-2,Max_WL_count)+2,FALSE),Tools!$AD$3:$BC$27,MOD(ROW()-2,Max_WL_count)+2,FALSE),"")</f>
        <v>6.39</v>
      </c>
      <c r="E261" s="435">
        <f>IFERROR(IF(ISNUMBER(D261),HLOOKUP(Tools!$BE$2,Tools!$BE$2:$BE$27,MOD(ROW()-2,Max_WL_count)+2,FALSE)*WLS,""),"")</f>
        <v>8</v>
      </c>
      <c r="I261" s="431">
        <f t="shared" si="29"/>
        <v>260</v>
      </c>
      <c r="J261" s="434">
        <f t="shared" si="25"/>
        <v>20</v>
      </c>
      <c r="K261" s="437">
        <f>IFERROR(-LBP/2+HLOOKUP(Stn_WL,Tools!$AD$2:$AD$27,N261+2,FALSE)*STN_GAP,"")</f>
        <v>51.17</v>
      </c>
      <c r="L261" s="437">
        <f>IFERROR(IF(AND(ISNUMBER(K261),O261=0),0,VLOOKUP(HLOOKUP(Stn_WL,Tools!$AD$2:$AD$27,N261+2,FALSE),Tools!$AD$3:$BC$27,O261+1,FALSE)),"")</f>
        <v>10.62</v>
      </c>
      <c r="M261" s="437">
        <f>IFERROR(IF(ISNUMBER(L261),IF(O261=0,IFERROR(HLOOKUP(Tools!$BD$127,Tools!$BD$127:$BD$152,N261+2,FALSE)*1,0),HLOOKUP(Tools!$BE$2,Tools!$BE$2:$BE$27,O261+1,FALSE)*WLS),""),"")</f>
        <v>13</v>
      </c>
      <c r="N261">
        <f t="shared" si="26"/>
        <v>19</v>
      </c>
      <c r="O261">
        <f t="shared" si="27"/>
        <v>12</v>
      </c>
    </row>
    <row r="262" spans="1:15" x14ac:dyDescent="0.25">
      <c r="A262" s="431">
        <f t="shared" si="28"/>
        <v>261</v>
      </c>
      <c r="B262" s="434">
        <f t="shared" si="24"/>
        <v>22</v>
      </c>
      <c r="C262" s="437">
        <f>IFERROR(-LBP/2+HLOOKUP(Stn_WL,Tools!$AD$2:$AD$27,QUOTIENT(ROW()-2,Max_WL_count)+2,FALSE)*STN_GAP,"")</f>
        <v>62.134999999999991</v>
      </c>
      <c r="D262" s="437">
        <f>IFERROR(VLOOKUP(HLOOKUP(Stn_WL,Tools!$AD$2:$AD$27,QUOTIENT(ROW()-2,Max_WL_count)+2,FALSE),Tools!$AD$3:$BC$27,MOD(ROW()-2,Max_WL_count)+2,FALSE),"")</f>
        <v>6.82</v>
      </c>
      <c r="E262" s="435">
        <f>IFERROR(IF(ISNUMBER(D262),HLOOKUP(Tools!$BE$2,Tools!$BE$2:$BE$27,MOD(ROW()-2,Max_WL_count)+2,FALSE)*WLS,""),"")</f>
        <v>9.6999999999999993</v>
      </c>
      <c r="I262" s="431">
        <f t="shared" si="29"/>
        <v>261</v>
      </c>
      <c r="J262" s="434">
        <f t="shared" si="25"/>
        <v>21</v>
      </c>
      <c r="K262" s="437">
        <f>IFERROR(-LBP/2+HLOOKUP(Stn_WL,Tools!$AD$2:$AD$27,N262+2,FALSE)*STN_GAP,"")</f>
        <v>58.47999999999999</v>
      </c>
      <c r="L262" s="437">
        <f>IFERROR(IF(AND(ISNUMBER(K262),O262=0),0,VLOOKUP(HLOOKUP(Stn_WL,Tools!$AD$2:$AD$27,N262+2,FALSE),Tools!$AD$3:$BC$27,O262+1,FALSE)),"")</f>
        <v>0</v>
      </c>
      <c r="M262" s="437">
        <f>IFERROR(IF(ISNUMBER(L262),IF(O262=0,IFERROR(HLOOKUP(Tools!$BD$127,Tools!$BD$127:$BD$152,N262+2,FALSE)*1,0),HLOOKUP(Tools!$BE$2,Tools!$BE$2:$BE$27,O262+1,FALSE)*WLS),""),"")</f>
        <v>0</v>
      </c>
      <c r="N262">
        <f t="shared" si="26"/>
        <v>20</v>
      </c>
      <c r="O262">
        <f t="shared" si="27"/>
        <v>0</v>
      </c>
    </row>
    <row r="263" spans="1:15" x14ac:dyDescent="0.25">
      <c r="A263" s="431">
        <f t="shared" si="28"/>
        <v>262</v>
      </c>
      <c r="B263" s="434">
        <f t="shared" si="24"/>
        <v>22</v>
      </c>
      <c r="C263" s="437">
        <f>IFERROR(-LBP/2+HLOOKUP(Stn_WL,Tools!$AD$2:$AD$27,QUOTIENT(ROW()-2,Max_WL_count)+2,FALSE)*STN_GAP,"")</f>
        <v>62.134999999999991</v>
      </c>
      <c r="D263" s="437">
        <f>IFERROR(VLOOKUP(HLOOKUP(Stn_WL,Tools!$AD$2:$AD$27,QUOTIENT(ROW()-2,Max_WL_count)+2,FALSE),Tools!$AD$3:$BC$27,MOD(ROW()-2,Max_WL_count)+2,FALSE),"")</f>
        <v>6.91</v>
      </c>
      <c r="E263" s="435">
        <f>IFERROR(IF(ISNUMBER(D263),HLOOKUP(Tools!$BE$2,Tools!$BE$2:$BE$27,MOD(ROW()-2,Max_WL_count)+2,FALSE)*WLS,""),"")</f>
        <v>10</v>
      </c>
      <c r="I263" s="431">
        <f t="shared" si="29"/>
        <v>262</v>
      </c>
      <c r="J263" s="434">
        <f t="shared" si="25"/>
        <v>21</v>
      </c>
      <c r="K263" s="437">
        <f>IFERROR(-LBP/2+HLOOKUP(Stn_WL,Tools!$AD$2:$AD$27,N263+2,FALSE)*STN_GAP,"")</f>
        <v>58.47999999999999</v>
      </c>
      <c r="L263" s="437">
        <f>IFERROR(IF(AND(ISNUMBER(K263),O263=0),0,VLOOKUP(HLOOKUP(Stn_WL,Tools!$AD$2:$AD$27,N263+2,FALSE),Tools!$AD$3:$BC$27,O263+1,FALSE)),"")</f>
        <v>3.5</v>
      </c>
      <c r="M263" s="437">
        <f>IFERROR(IF(ISNUMBER(L263),IF(O263=0,IFERROR(HLOOKUP(Tools!$BD$127,Tools!$BD$127:$BD$152,N263+2,FALSE)*1,0),HLOOKUP(Tools!$BE$2,Tools!$BE$2:$BE$27,O263+1,FALSE)*WLS),""),"")</f>
        <v>0</v>
      </c>
      <c r="N263">
        <f t="shared" si="26"/>
        <v>20</v>
      </c>
      <c r="O263">
        <f t="shared" si="27"/>
        <v>1</v>
      </c>
    </row>
    <row r="264" spans="1:15" x14ac:dyDescent="0.25">
      <c r="A264" s="431">
        <f t="shared" si="28"/>
        <v>263</v>
      </c>
      <c r="B264" s="434">
        <f t="shared" si="24"/>
        <v>22</v>
      </c>
      <c r="C264" s="437">
        <f>IFERROR(-LBP/2+HLOOKUP(Stn_WL,Tools!$AD$2:$AD$27,QUOTIENT(ROW()-2,Max_WL_count)+2,FALSE)*STN_GAP,"")</f>
        <v>62.134999999999991</v>
      </c>
      <c r="D264" s="437">
        <f>IFERROR(VLOOKUP(HLOOKUP(Stn_WL,Tools!$AD$2:$AD$27,QUOTIENT(ROW()-2,Max_WL_count)+2,FALSE),Tools!$AD$3:$BC$27,MOD(ROW()-2,Max_WL_count)+2,FALSE),"")</f>
        <v>7.5</v>
      </c>
      <c r="E264" s="435">
        <f>IFERROR(IF(ISNUMBER(D264),HLOOKUP(Tools!$BE$2,Tools!$BE$2:$BE$27,MOD(ROW()-2,Max_WL_count)+2,FALSE)*WLS,""),"")</f>
        <v>12</v>
      </c>
      <c r="I264" s="431">
        <f t="shared" si="29"/>
        <v>263</v>
      </c>
      <c r="J264" s="434">
        <f t="shared" si="25"/>
        <v>21</v>
      </c>
      <c r="K264" s="437">
        <f>IFERROR(-LBP/2+HLOOKUP(Stn_WL,Tools!$AD$2:$AD$27,N264+2,FALSE)*STN_GAP,"")</f>
        <v>58.47999999999999</v>
      </c>
      <c r="L264" s="437">
        <f>IFERROR(IF(AND(ISNUMBER(K264),O264=0),0,VLOOKUP(HLOOKUP(Stn_WL,Tools!$AD$2:$AD$27,N264+2,FALSE),Tools!$AD$3:$BC$27,O264+1,FALSE)),"")</f>
        <v>4.6500000000000004</v>
      </c>
      <c r="M264" s="437">
        <f>IFERROR(IF(ISNUMBER(L264),IF(O264=0,IFERROR(HLOOKUP(Tools!$BD$127,Tools!$BD$127:$BD$152,N264+2,FALSE)*1,0),HLOOKUP(Tools!$BE$2,Tools!$BE$2:$BE$27,O264+1,FALSE)*WLS),""),"")</f>
        <v>0.5</v>
      </c>
      <c r="N264">
        <f t="shared" si="26"/>
        <v>20</v>
      </c>
      <c r="O264">
        <f t="shared" si="27"/>
        <v>2</v>
      </c>
    </row>
    <row r="265" spans="1:15" x14ac:dyDescent="0.25">
      <c r="A265" s="431">
        <f t="shared" si="28"/>
        <v>264</v>
      </c>
      <c r="B265" s="434">
        <f t="shared" si="24"/>
        <v>22</v>
      </c>
      <c r="C265" s="437">
        <f>IFERROR(-LBP/2+HLOOKUP(Stn_WL,Tools!$AD$2:$AD$27,QUOTIENT(ROW()-2,Max_WL_count)+2,FALSE)*STN_GAP,"")</f>
        <v>62.134999999999991</v>
      </c>
      <c r="D265" s="437">
        <f>IFERROR(VLOOKUP(HLOOKUP(Stn_WL,Tools!$AD$2:$AD$27,QUOTIENT(ROW()-2,Max_WL_count)+2,FALSE),Tools!$AD$3:$BC$27,MOD(ROW()-2,Max_WL_count)+2,FALSE),"")</f>
        <v>7.8</v>
      </c>
      <c r="E265" s="435">
        <f>IFERROR(IF(ISNUMBER(D265),HLOOKUP(Tools!$BE$2,Tools!$BE$2:$BE$27,MOD(ROW()-2,Max_WL_count)+2,FALSE)*WLS,""),"")</f>
        <v>13</v>
      </c>
      <c r="I265" s="431">
        <f t="shared" si="29"/>
        <v>264</v>
      </c>
      <c r="J265" s="434">
        <f t="shared" si="25"/>
        <v>21</v>
      </c>
      <c r="K265" s="437">
        <f>IFERROR(-LBP/2+HLOOKUP(Stn_WL,Tools!$AD$2:$AD$27,N265+2,FALSE)*STN_GAP,"")</f>
        <v>58.47999999999999</v>
      </c>
      <c r="L265" s="437">
        <f>IFERROR(IF(AND(ISNUMBER(K265),O265=0),0,VLOOKUP(HLOOKUP(Stn_WL,Tools!$AD$2:$AD$27,N265+2,FALSE),Tools!$AD$3:$BC$27,O265+1,FALSE)),"")</f>
        <v>5.35</v>
      </c>
      <c r="M265" s="437">
        <f>IFERROR(IF(ISNUMBER(L265),IF(O265=0,IFERROR(HLOOKUP(Tools!$BD$127,Tools!$BD$127:$BD$152,N265+2,FALSE)*1,0),HLOOKUP(Tools!$BE$2,Tools!$BE$2:$BE$27,O265+1,FALSE)*WLS),""),"")</f>
        <v>1</v>
      </c>
      <c r="N265">
        <f t="shared" si="26"/>
        <v>20</v>
      </c>
      <c r="O265">
        <f t="shared" si="27"/>
        <v>3</v>
      </c>
    </row>
    <row r="266" spans="1:15" x14ac:dyDescent="0.25">
      <c r="A266" s="431">
        <f t="shared" si="28"/>
        <v>265</v>
      </c>
      <c r="B266" s="434">
        <f t="shared" si="24"/>
        <v>23</v>
      </c>
      <c r="C266" s="437">
        <f>IFERROR(-LBP/2+HLOOKUP(Stn_WL,Tools!$AD$2:$AD$27,QUOTIENT(ROW()-2,Max_WL_count)+2,FALSE)*STN_GAP,"")</f>
        <v>65.789999999999992</v>
      </c>
      <c r="D266" s="437">
        <f>IFERROR(VLOOKUP(HLOOKUP(Stn_WL,Tools!$AD$2:$AD$27,QUOTIENT(ROW()-2,Max_WL_count)+2,FALSE),Tools!$AD$3:$BC$27,MOD(ROW()-2,Max_WL_count)+2,FALSE),"")</f>
        <v>1.3</v>
      </c>
      <c r="E266" s="435">
        <f>IFERROR(IF(ISNUMBER(D266),HLOOKUP(Tools!$BE$2,Tools!$BE$2:$BE$27,MOD(ROW()-2,Max_WL_count)+2,FALSE)*WLS,""),"")</f>
        <v>0</v>
      </c>
      <c r="I266" s="431">
        <f t="shared" si="29"/>
        <v>265</v>
      </c>
      <c r="J266" s="434">
        <f t="shared" si="25"/>
        <v>21</v>
      </c>
      <c r="K266" s="437">
        <f>IFERROR(-LBP/2+HLOOKUP(Stn_WL,Tools!$AD$2:$AD$27,N266+2,FALSE)*STN_GAP,"")</f>
        <v>58.47999999999999</v>
      </c>
      <c r="L266" s="437">
        <f>IFERROR(IF(AND(ISNUMBER(K266),O266=0),0,VLOOKUP(HLOOKUP(Stn_WL,Tools!$AD$2:$AD$27,N266+2,FALSE),Tools!$AD$3:$BC$27,O266+1,FALSE)),"")</f>
        <v>5.87</v>
      </c>
      <c r="M266" s="437">
        <f>IFERROR(IF(ISNUMBER(L266),IF(O266=0,IFERROR(HLOOKUP(Tools!$BD$127,Tools!$BD$127:$BD$152,N266+2,FALSE)*1,0),HLOOKUP(Tools!$BE$2,Tools!$BE$2:$BE$27,O266+1,FALSE)*WLS),""),"")</f>
        <v>1.5</v>
      </c>
      <c r="N266">
        <f t="shared" si="26"/>
        <v>20</v>
      </c>
      <c r="O266">
        <f t="shared" si="27"/>
        <v>4</v>
      </c>
    </row>
    <row r="267" spans="1:15" x14ac:dyDescent="0.25">
      <c r="A267" s="431">
        <f t="shared" si="28"/>
        <v>266</v>
      </c>
      <c r="B267" s="434">
        <f t="shared" si="24"/>
        <v>23</v>
      </c>
      <c r="C267" s="437">
        <f>IFERROR(-LBP/2+HLOOKUP(Stn_WL,Tools!$AD$2:$AD$27,QUOTIENT(ROW()-2,Max_WL_count)+2,FALSE)*STN_GAP,"")</f>
        <v>65.789999999999992</v>
      </c>
      <c r="D267" s="437">
        <f>IFERROR(VLOOKUP(HLOOKUP(Stn_WL,Tools!$AD$2:$AD$27,QUOTIENT(ROW()-2,Max_WL_count)+2,FALSE),Tools!$AD$3:$BC$27,MOD(ROW()-2,Max_WL_count)+2,FALSE),"")</f>
        <v>2.2999999999999998</v>
      </c>
      <c r="E267" s="435">
        <f>IFERROR(IF(ISNUMBER(D267),HLOOKUP(Tools!$BE$2,Tools!$BE$2:$BE$27,MOD(ROW()-2,Max_WL_count)+2,FALSE)*WLS,""),"")</f>
        <v>0.5</v>
      </c>
      <c r="I267" s="431">
        <f t="shared" si="29"/>
        <v>266</v>
      </c>
      <c r="J267" s="434">
        <f t="shared" si="25"/>
        <v>21</v>
      </c>
      <c r="K267" s="437">
        <f>IFERROR(-LBP/2+HLOOKUP(Stn_WL,Tools!$AD$2:$AD$27,N267+2,FALSE)*STN_GAP,"")</f>
        <v>58.47999999999999</v>
      </c>
      <c r="L267" s="437">
        <f>IFERROR(IF(AND(ISNUMBER(K267),O267=0),0,VLOOKUP(HLOOKUP(Stn_WL,Tools!$AD$2:$AD$27,N267+2,FALSE),Tools!$AD$3:$BC$27,O267+1,FALSE)),"")</f>
        <v>6.21</v>
      </c>
      <c r="M267" s="437">
        <f>IFERROR(IF(ISNUMBER(L267),IF(O267=0,IFERROR(HLOOKUP(Tools!$BD$127,Tools!$BD$127:$BD$152,N267+2,FALSE)*1,0),HLOOKUP(Tools!$BE$2,Tools!$BE$2:$BE$27,O267+1,FALSE)*WLS),""),"")</f>
        <v>2</v>
      </c>
      <c r="N267">
        <f t="shared" si="26"/>
        <v>20</v>
      </c>
      <c r="O267">
        <f t="shared" si="27"/>
        <v>5</v>
      </c>
    </row>
    <row r="268" spans="1:15" x14ac:dyDescent="0.25">
      <c r="A268" s="431">
        <f t="shared" si="28"/>
        <v>267</v>
      </c>
      <c r="B268" s="434">
        <f t="shared" si="24"/>
        <v>23</v>
      </c>
      <c r="C268" s="437">
        <f>IFERROR(-LBP/2+HLOOKUP(Stn_WL,Tools!$AD$2:$AD$27,QUOTIENT(ROW()-2,Max_WL_count)+2,FALSE)*STN_GAP,"")</f>
        <v>65.789999999999992</v>
      </c>
      <c r="D268" s="437">
        <f>IFERROR(VLOOKUP(HLOOKUP(Stn_WL,Tools!$AD$2:$AD$27,QUOTIENT(ROW()-2,Max_WL_count)+2,FALSE),Tools!$AD$3:$BC$27,MOD(ROW()-2,Max_WL_count)+2,FALSE),"")</f>
        <v>2.84</v>
      </c>
      <c r="E268" s="435">
        <f>IFERROR(IF(ISNUMBER(D268),HLOOKUP(Tools!$BE$2,Tools!$BE$2:$BE$27,MOD(ROW()-2,Max_WL_count)+2,FALSE)*WLS,""),"")</f>
        <v>1</v>
      </c>
      <c r="I268" s="431">
        <f t="shared" si="29"/>
        <v>267</v>
      </c>
      <c r="J268" s="434">
        <f t="shared" si="25"/>
        <v>21</v>
      </c>
      <c r="K268" s="437">
        <f>IFERROR(-LBP/2+HLOOKUP(Stn_WL,Tools!$AD$2:$AD$27,N268+2,FALSE)*STN_GAP,"")</f>
        <v>58.47999999999999</v>
      </c>
      <c r="L268" s="437">
        <f>IFERROR(IF(AND(ISNUMBER(K268),O268=0),0,VLOOKUP(HLOOKUP(Stn_WL,Tools!$AD$2:$AD$27,N268+2,FALSE),Tools!$AD$3:$BC$27,O268+1,FALSE)),"")</f>
        <v>7.08</v>
      </c>
      <c r="M268" s="437">
        <f>IFERROR(IF(ISNUMBER(L268),IF(O268=0,IFERROR(HLOOKUP(Tools!$BD$127,Tools!$BD$127:$BD$152,N268+2,FALSE)*1,0),HLOOKUP(Tools!$BE$2,Tools!$BE$2:$BE$27,O268+1,FALSE)*WLS),""),"")</f>
        <v>4</v>
      </c>
      <c r="N268">
        <f t="shared" si="26"/>
        <v>20</v>
      </c>
      <c r="O268">
        <f t="shared" si="27"/>
        <v>6</v>
      </c>
    </row>
    <row r="269" spans="1:15" x14ac:dyDescent="0.25">
      <c r="A269" s="431">
        <f t="shared" si="28"/>
        <v>268</v>
      </c>
      <c r="B269" s="434">
        <f t="shared" si="24"/>
        <v>23</v>
      </c>
      <c r="C269" s="437">
        <f>IFERROR(-LBP/2+HLOOKUP(Stn_WL,Tools!$AD$2:$AD$27,QUOTIENT(ROW()-2,Max_WL_count)+2,FALSE)*STN_GAP,"")</f>
        <v>65.789999999999992</v>
      </c>
      <c r="D269" s="437">
        <f>IFERROR(VLOOKUP(HLOOKUP(Stn_WL,Tools!$AD$2:$AD$27,QUOTIENT(ROW()-2,Max_WL_count)+2,FALSE),Tools!$AD$3:$BC$27,MOD(ROW()-2,Max_WL_count)+2,FALSE),"")</f>
        <v>3.25</v>
      </c>
      <c r="E269" s="435">
        <f>IFERROR(IF(ISNUMBER(D269),HLOOKUP(Tools!$BE$2,Tools!$BE$2:$BE$27,MOD(ROW()-2,Max_WL_count)+2,FALSE)*WLS,""),"")</f>
        <v>1.5</v>
      </c>
      <c r="I269" s="431">
        <f t="shared" si="29"/>
        <v>268</v>
      </c>
      <c r="J269" s="434">
        <f t="shared" si="25"/>
        <v>21</v>
      </c>
      <c r="K269" s="437">
        <f>IFERROR(-LBP/2+HLOOKUP(Stn_WL,Tools!$AD$2:$AD$27,N269+2,FALSE)*STN_GAP,"")</f>
        <v>58.47999999999999</v>
      </c>
      <c r="L269" s="437">
        <f>IFERROR(IF(AND(ISNUMBER(K269),O269=0),0,VLOOKUP(HLOOKUP(Stn_WL,Tools!$AD$2:$AD$27,N269+2,FALSE),Tools!$AD$3:$BC$27,O269+1,FALSE)),"")</f>
        <v>7.57</v>
      </c>
      <c r="M269" s="437">
        <f>IFERROR(IF(ISNUMBER(L269),IF(O269=0,IFERROR(HLOOKUP(Tools!$BD$127,Tools!$BD$127:$BD$152,N269+2,FALSE)*1,0),HLOOKUP(Tools!$BE$2,Tools!$BE$2:$BE$27,O269+1,FALSE)*WLS),""),"")</f>
        <v>6</v>
      </c>
      <c r="N269">
        <f t="shared" si="26"/>
        <v>20</v>
      </c>
      <c r="O269">
        <f t="shared" si="27"/>
        <v>7</v>
      </c>
    </row>
    <row r="270" spans="1:15" x14ac:dyDescent="0.25">
      <c r="A270" s="431">
        <f t="shared" si="28"/>
        <v>269</v>
      </c>
      <c r="B270" s="434">
        <f t="shared" si="24"/>
        <v>23</v>
      </c>
      <c r="C270" s="437">
        <f>IFERROR(-LBP/2+HLOOKUP(Stn_WL,Tools!$AD$2:$AD$27,QUOTIENT(ROW()-2,Max_WL_count)+2,FALSE)*STN_GAP,"")</f>
        <v>65.789999999999992</v>
      </c>
      <c r="D270" s="437">
        <f>IFERROR(VLOOKUP(HLOOKUP(Stn_WL,Tools!$AD$2:$AD$27,QUOTIENT(ROW()-2,Max_WL_count)+2,FALSE),Tools!$AD$3:$BC$27,MOD(ROW()-2,Max_WL_count)+2,FALSE),"")</f>
        <v>3.53</v>
      </c>
      <c r="E270" s="435">
        <f>IFERROR(IF(ISNUMBER(D270),HLOOKUP(Tools!$BE$2,Tools!$BE$2:$BE$27,MOD(ROW()-2,Max_WL_count)+2,FALSE)*WLS,""),"")</f>
        <v>2</v>
      </c>
      <c r="I270" s="431">
        <f t="shared" si="29"/>
        <v>269</v>
      </c>
      <c r="J270" s="434">
        <f t="shared" si="25"/>
        <v>21</v>
      </c>
      <c r="K270" s="437">
        <f>IFERROR(-LBP/2+HLOOKUP(Stn_WL,Tools!$AD$2:$AD$27,N270+2,FALSE)*STN_GAP,"")</f>
        <v>58.47999999999999</v>
      </c>
      <c r="L270" s="437">
        <f>IFERROR(IF(AND(ISNUMBER(K270),O270=0),0,VLOOKUP(HLOOKUP(Stn_WL,Tools!$AD$2:$AD$27,N270+2,FALSE),Tools!$AD$3:$BC$27,O270+1,FALSE)),"")</f>
        <v>7.9291999999999998</v>
      </c>
      <c r="M270" s="437">
        <f>IFERROR(IF(ISNUMBER(L270),IF(O270=0,IFERROR(HLOOKUP(Tools!$BD$127,Tools!$BD$127:$BD$152,N270+2,FALSE)*1,0),HLOOKUP(Tools!$BE$2,Tools!$BE$2:$BE$27,O270+1,FALSE)*WLS),""),"")</f>
        <v>8</v>
      </c>
      <c r="N270">
        <f t="shared" si="26"/>
        <v>20</v>
      </c>
      <c r="O270">
        <f t="shared" si="27"/>
        <v>8</v>
      </c>
    </row>
    <row r="271" spans="1:15" x14ac:dyDescent="0.25">
      <c r="A271" s="431">
        <f t="shared" si="28"/>
        <v>270</v>
      </c>
      <c r="B271" s="434">
        <f t="shared" si="24"/>
        <v>23</v>
      </c>
      <c r="C271" s="437">
        <f>IFERROR(-LBP/2+HLOOKUP(Stn_WL,Tools!$AD$2:$AD$27,QUOTIENT(ROW()-2,Max_WL_count)+2,FALSE)*STN_GAP,"")</f>
        <v>65.789999999999992</v>
      </c>
      <c r="D271" s="437">
        <f>IFERROR(VLOOKUP(HLOOKUP(Stn_WL,Tools!$AD$2:$AD$27,QUOTIENT(ROW()-2,Max_WL_count)+2,FALSE),Tools!$AD$3:$BC$27,MOD(ROW()-2,Max_WL_count)+2,FALSE),"")</f>
        <v>4.1100000000000003</v>
      </c>
      <c r="E271" s="435">
        <f>IFERROR(IF(ISNUMBER(D271),HLOOKUP(Tools!$BE$2,Tools!$BE$2:$BE$27,MOD(ROW()-2,Max_WL_count)+2,FALSE)*WLS,""),"")</f>
        <v>4</v>
      </c>
      <c r="I271" s="431">
        <f t="shared" si="29"/>
        <v>270</v>
      </c>
      <c r="J271" s="434">
        <f t="shared" si="25"/>
        <v>21</v>
      </c>
      <c r="K271" s="437">
        <f>IFERROR(-LBP/2+HLOOKUP(Stn_WL,Tools!$AD$2:$AD$27,N271+2,FALSE)*STN_GAP,"")</f>
        <v>58.47999999999999</v>
      </c>
      <c r="L271" s="437">
        <f>IFERROR(IF(AND(ISNUMBER(K271),O271=0),0,VLOOKUP(HLOOKUP(Stn_WL,Tools!$AD$2:$AD$27,N271+2,FALSE),Tools!$AD$3:$BC$27,O271+1,FALSE)),"")</f>
        <v>8.3511000000000006</v>
      </c>
      <c r="M271" s="437">
        <f>IFERROR(IF(ISNUMBER(L271),IF(O271=0,IFERROR(HLOOKUP(Tools!$BD$127,Tools!$BD$127:$BD$152,N271+2,FALSE)*1,0),HLOOKUP(Tools!$BE$2,Tools!$BE$2:$BE$27,O271+1,FALSE)*WLS),""),"")</f>
        <v>9.6999999999999993</v>
      </c>
      <c r="N271">
        <f t="shared" si="26"/>
        <v>20</v>
      </c>
      <c r="O271">
        <f t="shared" si="27"/>
        <v>9</v>
      </c>
    </row>
    <row r="272" spans="1:15" x14ac:dyDescent="0.25">
      <c r="A272" s="431">
        <f t="shared" si="28"/>
        <v>271</v>
      </c>
      <c r="B272" s="434">
        <f t="shared" si="24"/>
        <v>23</v>
      </c>
      <c r="C272" s="437">
        <f>IFERROR(-LBP/2+HLOOKUP(Stn_WL,Tools!$AD$2:$AD$27,QUOTIENT(ROW()-2,Max_WL_count)+2,FALSE)*STN_GAP,"")</f>
        <v>65.789999999999992</v>
      </c>
      <c r="D272" s="437">
        <f>IFERROR(VLOOKUP(HLOOKUP(Stn_WL,Tools!$AD$2:$AD$27,QUOTIENT(ROW()-2,Max_WL_count)+2,FALSE),Tools!$AD$3:$BC$27,MOD(ROW()-2,Max_WL_count)+2,FALSE),"")</f>
        <v>4.2300000000000004</v>
      </c>
      <c r="E272" s="435">
        <f>IFERROR(IF(ISNUMBER(D272),HLOOKUP(Tools!$BE$2,Tools!$BE$2:$BE$27,MOD(ROW()-2,Max_WL_count)+2,FALSE)*WLS,""),"")</f>
        <v>6</v>
      </c>
      <c r="I272" s="431">
        <f t="shared" si="29"/>
        <v>271</v>
      </c>
      <c r="J272" s="434">
        <f t="shared" si="25"/>
        <v>21</v>
      </c>
      <c r="K272" s="437">
        <f>IFERROR(-LBP/2+HLOOKUP(Stn_WL,Tools!$AD$2:$AD$27,N272+2,FALSE)*STN_GAP,"")</f>
        <v>58.47999999999999</v>
      </c>
      <c r="L272" s="437">
        <f>IFERROR(IF(AND(ISNUMBER(K272),O272=0),0,VLOOKUP(HLOOKUP(Stn_WL,Tools!$AD$2:$AD$27,N272+2,FALSE),Tools!$AD$3:$BC$27,O272+1,FALSE)),"")</f>
        <v>8.43</v>
      </c>
      <c r="M272" s="437">
        <f>IFERROR(IF(ISNUMBER(L272),IF(O272=0,IFERROR(HLOOKUP(Tools!$BD$127,Tools!$BD$127:$BD$152,N272+2,FALSE)*1,0),HLOOKUP(Tools!$BE$2,Tools!$BE$2:$BE$27,O272+1,FALSE)*WLS),""),"")</f>
        <v>10</v>
      </c>
      <c r="N272">
        <f t="shared" si="26"/>
        <v>20</v>
      </c>
      <c r="O272">
        <f t="shared" si="27"/>
        <v>10</v>
      </c>
    </row>
    <row r="273" spans="1:15" x14ac:dyDescent="0.25">
      <c r="A273" s="431">
        <f t="shared" si="28"/>
        <v>272</v>
      </c>
      <c r="B273" s="434">
        <f t="shared" si="24"/>
        <v>23</v>
      </c>
      <c r="C273" s="437">
        <f>IFERROR(-LBP/2+HLOOKUP(Stn_WL,Tools!$AD$2:$AD$27,QUOTIENT(ROW()-2,Max_WL_count)+2,FALSE)*STN_GAP,"")</f>
        <v>65.789999999999992</v>
      </c>
      <c r="D273" s="437">
        <f>IFERROR(VLOOKUP(HLOOKUP(Stn_WL,Tools!$AD$2:$AD$27,QUOTIENT(ROW()-2,Max_WL_count)+2,FALSE),Tools!$AD$3:$BC$27,MOD(ROW()-2,Max_WL_count)+2,FALSE),"")</f>
        <v>4.47</v>
      </c>
      <c r="E273" s="435">
        <f>IFERROR(IF(ISNUMBER(D273),HLOOKUP(Tools!$BE$2,Tools!$BE$2:$BE$27,MOD(ROW()-2,Max_WL_count)+2,FALSE)*WLS,""),"")</f>
        <v>8</v>
      </c>
      <c r="I273" s="431">
        <f t="shared" si="29"/>
        <v>272</v>
      </c>
      <c r="J273" s="434">
        <f t="shared" si="25"/>
        <v>21</v>
      </c>
      <c r="K273" s="437">
        <f>IFERROR(-LBP/2+HLOOKUP(Stn_WL,Tools!$AD$2:$AD$27,N273+2,FALSE)*STN_GAP,"")</f>
        <v>58.47999999999999</v>
      </c>
      <c r="L273" s="437">
        <f>IFERROR(IF(AND(ISNUMBER(K273),O273=0),0,VLOOKUP(HLOOKUP(Stn_WL,Tools!$AD$2:$AD$27,N273+2,FALSE),Tools!$AD$3:$BC$27,O273+1,FALSE)),"")</f>
        <v>8.92</v>
      </c>
      <c r="M273" s="437">
        <f>IFERROR(IF(ISNUMBER(L273),IF(O273=0,IFERROR(HLOOKUP(Tools!$BD$127,Tools!$BD$127:$BD$152,N273+2,FALSE)*1,0),HLOOKUP(Tools!$BE$2,Tools!$BE$2:$BE$27,O273+1,FALSE)*WLS),""),"")</f>
        <v>12</v>
      </c>
      <c r="N273">
        <f t="shared" si="26"/>
        <v>20</v>
      </c>
      <c r="O273">
        <f t="shared" si="27"/>
        <v>11</v>
      </c>
    </row>
    <row r="274" spans="1:15" x14ac:dyDescent="0.25">
      <c r="A274" s="431">
        <f t="shared" si="28"/>
        <v>273</v>
      </c>
      <c r="B274" s="434">
        <f t="shared" si="24"/>
        <v>23</v>
      </c>
      <c r="C274" s="437">
        <f>IFERROR(-LBP/2+HLOOKUP(Stn_WL,Tools!$AD$2:$AD$27,QUOTIENT(ROW()-2,Max_WL_count)+2,FALSE)*STN_GAP,"")</f>
        <v>65.789999999999992</v>
      </c>
      <c r="D274" s="437">
        <f>IFERROR(VLOOKUP(HLOOKUP(Stn_WL,Tools!$AD$2:$AD$27,QUOTIENT(ROW()-2,Max_WL_count)+2,FALSE),Tools!$AD$3:$BC$27,MOD(ROW()-2,Max_WL_count)+2,FALSE),"")</f>
        <v>4.87</v>
      </c>
      <c r="E274" s="435">
        <f>IFERROR(IF(ISNUMBER(D274),HLOOKUP(Tools!$BE$2,Tools!$BE$2:$BE$27,MOD(ROW()-2,Max_WL_count)+2,FALSE)*WLS,""),"")</f>
        <v>9.6999999999999993</v>
      </c>
      <c r="I274" s="431">
        <f t="shared" si="29"/>
        <v>273</v>
      </c>
      <c r="J274" s="434">
        <f t="shared" si="25"/>
        <v>21</v>
      </c>
      <c r="K274" s="437">
        <f>IFERROR(-LBP/2+HLOOKUP(Stn_WL,Tools!$AD$2:$AD$27,N274+2,FALSE)*STN_GAP,"")</f>
        <v>58.47999999999999</v>
      </c>
      <c r="L274" s="437">
        <f>IFERROR(IF(AND(ISNUMBER(K274),O274=0),0,VLOOKUP(HLOOKUP(Stn_WL,Tools!$AD$2:$AD$27,N274+2,FALSE),Tools!$AD$3:$BC$27,O274+1,FALSE)),"")</f>
        <v>9.16</v>
      </c>
      <c r="M274" s="437">
        <f>IFERROR(IF(ISNUMBER(L274),IF(O274=0,IFERROR(HLOOKUP(Tools!$BD$127,Tools!$BD$127:$BD$152,N274+2,FALSE)*1,0),HLOOKUP(Tools!$BE$2,Tools!$BE$2:$BE$27,O274+1,FALSE)*WLS),""),"")</f>
        <v>13</v>
      </c>
      <c r="N274">
        <f t="shared" si="26"/>
        <v>20</v>
      </c>
      <c r="O274">
        <f t="shared" si="27"/>
        <v>12</v>
      </c>
    </row>
    <row r="275" spans="1:15" x14ac:dyDescent="0.25">
      <c r="A275" s="431">
        <f t="shared" si="28"/>
        <v>274</v>
      </c>
      <c r="B275" s="434">
        <f t="shared" si="24"/>
        <v>23</v>
      </c>
      <c r="C275" s="437">
        <f>IFERROR(-LBP/2+HLOOKUP(Stn_WL,Tools!$AD$2:$AD$27,QUOTIENT(ROW()-2,Max_WL_count)+2,FALSE)*STN_GAP,"")</f>
        <v>65.789999999999992</v>
      </c>
      <c r="D275" s="437">
        <f>IFERROR(VLOOKUP(HLOOKUP(Stn_WL,Tools!$AD$2:$AD$27,QUOTIENT(ROW()-2,Max_WL_count)+2,FALSE),Tools!$AD$3:$BC$27,MOD(ROW()-2,Max_WL_count)+2,FALSE),"")</f>
        <v>4.9399999999999995</v>
      </c>
      <c r="E275" s="435">
        <f>IFERROR(IF(ISNUMBER(D275),HLOOKUP(Tools!$BE$2,Tools!$BE$2:$BE$27,MOD(ROW()-2,Max_WL_count)+2,FALSE)*WLS,""),"")</f>
        <v>10</v>
      </c>
      <c r="I275" s="431">
        <f t="shared" si="29"/>
        <v>274</v>
      </c>
      <c r="J275" s="434">
        <f t="shared" si="25"/>
        <v>22</v>
      </c>
      <c r="K275" s="437">
        <f>IFERROR(-LBP/2+HLOOKUP(Stn_WL,Tools!$AD$2:$AD$27,N275+2,FALSE)*STN_GAP,"")</f>
        <v>62.134999999999991</v>
      </c>
      <c r="L275" s="437">
        <f>IFERROR(IF(AND(ISNUMBER(K275),O275=0),0,VLOOKUP(HLOOKUP(Stn_WL,Tools!$AD$2:$AD$27,N275+2,FALSE),Tools!$AD$3:$BC$27,O275+1,FALSE)),"")</f>
        <v>0</v>
      </c>
      <c r="M275" s="437">
        <f>IFERROR(IF(ISNUMBER(L275),IF(O275=0,IFERROR(HLOOKUP(Tools!$BD$127,Tools!$BD$127:$BD$152,N275+2,FALSE)*1,0),HLOOKUP(Tools!$BE$2,Tools!$BE$2:$BE$27,O275+1,FALSE)*WLS),""),"")</f>
        <v>0</v>
      </c>
      <c r="N275">
        <f t="shared" si="26"/>
        <v>21</v>
      </c>
      <c r="O275">
        <f t="shared" si="27"/>
        <v>0</v>
      </c>
    </row>
    <row r="276" spans="1:15" x14ac:dyDescent="0.25">
      <c r="A276" s="431">
        <f t="shared" si="28"/>
        <v>275</v>
      </c>
      <c r="B276" s="434">
        <f t="shared" si="24"/>
        <v>23</v>
      </c>
      <c r="C276" s="437">
        <f>IFERROR(-LBP/2+HLOOKUP(Stn_WL,Tools!$AD$2:$AD$27,QUOTIENT(ROW()-2,Max_WL_count)+2,FALSE)*STN_GAP,"")</f>
        <v>65.789999999999992</v>
      </c>
      <c r="D276" s="437">
        <f>IFERROR(VLOOKUP(HLOOKUP(Stn_WL,Tools!$AD$2:$AD$27,QUOTIENT(ROW()-2,Max_WL_count)+2,FALSE),Tools!$AD$3:$BC$27,MOD(ROW()-2,Max_WL_count)+2,FALSE),"")</f>
        <v>5.59</v>
      </c>
      <c r="E276" s="435">
        <f>IFERROR(IF(ISNUMBER(D276),HLOOKUP(Tools!$BE$2,Tools!$BE$2:$BE$27,MOD(ROW()-2,Max_WL_count)+2,FALSE)*WLS,""),"")</f>
        <v>12</v>
      </c>
      <c r="I276" s="431">
        <f t="shared" si="29"/>
        <v>275</v>
      </c>
      <c r="J276" s="434">
        <f t="shared" si="25"/>
        <v>22</v>
      </c>
      <c r="K276" s="437">
        <f>IFERROR(-LBP/2+HLOOKUP(Stn_WL,Tools!$AD$2:$AD$27,N276+2,FALSE)*STN_GAP,"")</f>
        <v>62.134999999999991</v>
      </c>
      <c r="L276" s="437">
        <f>IFERROR(IF(AND(ISNUMBER(K276),O276=0),0,VLOOKUP(HLOOKUP(Stn_WL,Tools!$AD$2:$AD$27,N276+2,FALSE),Tools!$AD$3:$BC$27,O276+1,FALSE)),"")</f>
        <v>2.2999999999999998</v>
      </c>
      <c r="M276" s="437">
        <f>IFERROR(IF(ISNUMBER(L276),IF(O276=0,IFERROR(HLOOKUP(Tools!$BD$127,Tools!$BD$127:$BD$152,N276+2,FALSE)*1,0),HLOOKUP(Tools!$BE$2,Tools!$BE$2:$BE$27,O276+1,FALSE)*WLS),""),"")</f>
        <v>0</v>
      </c>
      <c r="N276">
        <f t="shared" si="26"/>
        <v>21</v>
      </c>
      <c r="O276">
        <f t="shared" si="27"/>
        <v>1</v>
      </c>
    </row>
    <row r="277" spans="1:15" x14ac:dyDescent="0.25">
      <c r="A277" s="431">
        <f t="shared" si="28"/>
        <v>276</v>
      </c>
      <c r="B277" s="434">
        <f t="shared" si="24"/>
        <v>23</v>
      </c>
      <c r="C277" s="437">
        <f>IFERROR(-LBP/2+HLOOKUP(Stn_WL,Tools!$AD$2:$AD$27,QUOTIENT(ROW()-2,Max_WL_count)+2,FALSE)*STN_GAP,"")</f>
        <v>65.789999999999992</v>
      </c>
      <c r="D277" s="437">
        <f>IFERROR(VLOOKUP(HLOOKUP(Stn_WL,Tools!$AD$2:$AD$27,QUOTIENT(ROW()-2,Max_WL_count)+2,FALSE),Tools!$AD$3:$BC$27,MOD(ROW()-2,Max_WL_count)+2,FALSE),"")</f>
        <v>5.94</v>
      </c>
      <c r="E277" s="435">
        <f>IFERROR(IF(ISNUMBER(D277),HLOOKUP(Tools!$BE$2,Tools!$BE$2:$BE$27,MOD(ROW()-2,Max_WL_count)+2,FALSE)*WLS,""),"")</f>
        <v>13</v>
      </c>
      <c r="I277" s="431">
        <f t="shared" si="29"/>
        <v>276</v>
      </c>
      <c r="J277" s="434">
        <f t="shared" si="25"/>
        <v>22</v>
      </c>
      <c r="K277" s="437">
        <f>IFERROR(-LBP/2+HLOOKUP(Stn_WL,Tools!$AD$2:$AD$27,N277+2,FALSE)*STN_GAP,"")</f>
        <v>62.134999999999991</v>
      </c>
      <c r="L277" s="437">
        <f>IFERROR(IF(AND(ISNUMBER(K277),O277=0),0,VLOOKUP(HLOOKUP(Stn_WL,Tools!$AD$2:$AD$27,N277+2,FALSE),Tools!$AD$3:$BC$27,O277+1,FALSE)),"")</f>
        <v>3.43</v>
      </c>
      <c r="M277" s="437">
        <f>IFERROR(IF(ISNUMBER(L277),IF(O277=0,IFERROR(HLOOKUP(Tools!$BD$127,Tools!$BD$127:$BD$152,N277+2,FALSE)*1,0),HLOOKUP(Tools!$BE$2,Tools!$BE$2:$BE$27,O277+1,FALSE)*WLS),""),"")</f>
        <v>0.5</v>
      </c>
      <c r="N277">
        <f t="shared" si="26"/>
        <v>21</v>
      </c>
      <c r="O277">
        <f t="shared" si="27"/>
        <v>2</v>
      </c>
    </row>
    <row r="278" spans="1:15" x14ac:dyDescent="0.25">
      <c r="A278" s="431">
        <f t="shared" si="28"/>
        <v>277</v>
      </c>
      <c r="B278" s="434">
        <f t="shared" si="24"/>
        <v>24</v>
      </c>
      <c r="C278" s="437">
        <f>IFERROR(-LBP/2+HLOOKUP(Stn_WL,Tools!$AD$2:$AD$27,QUOTIENT(ROW()-2,Max_WL_count)+2,FALSE)*STN_GAP,"")</f>
        <v>69.444999999999993</v>
      </c>
      <c r="D278" s="437">
        <f>IFERROR(VLOOKUP(HLOOKUP(Stn_WL,Tools!$AD$2:$AD$27,QUOTIENT(ROW()-2,Max_WL_count)+2,FALSE),Tools!$AD$3:$BC$27,MOD(ROW()-2,Max_WL_count)+2,FALSE),"")</f>
        <v>0.4</v>
      </c>
      <c r="E278" s="435">
        <f>IFERROR(IF(ISNUMBER(D278),HLOOKUP(Tools!$BE$2,Tools!$BE$2:$BE$27,MOD(ROW()-2,Max_WL_count)+2,FALSE)*WLS,""),"")</f>
        <v>0</v>
      </c>
      <c r="I278" s="431">
        <f t="shared" si="29"/>
        <v>277</v>
      </c>
      <c r="J278" s="434">
        <f t="shared" si="25"/>
        <v>22</v>
      </c>
      <c r="K278" s="437">
        <f>IFERROR(-LBP/2+HLOOKUP(Stn_WL,Tools!$AD$2:$AD$27,N278+2,FALSE)*STN_GAP,"")</f>
        <v>62.134999999999991</v>
      </c>
      <c r="L278" s="437">
        <f>IFERROR(IF(AND(ISNUMBER(K278),O278=0),0,VLOOKUP(HLOOKUP(Stn_WL,Tools!$AD$2:$AD$27,N278+2,FALSE),Tools!$AD$3:$BC$27,O278+1,FALSE)),"")</f>
        <v>4.13</v>
      </c>
      <c r="M278" s="437">
        <f>IFERROR(IF(ISNUMBER(L278),IF(O278=0,IFERROR(HLOOKUP(Tools!$BD$127,Tools!$BD$127:$BD$152,N278+2,FALSE)*1,0),HLOOKUP(Tools!$BE$2,Tools!$BE$2:$BE$27,O278+1,FALSE)*WLS),""),"")</f>
        <v>1</v>
      </c>
      <c r="N278">
        <f t="shared" si="26"/>
        <v>21</v>
      </c>
      <c r="O278">
        <f t="shared" si="27"/>
        <v>3</v>
      </c>
    </row>
    <row r="279" spans="1:15" x14ac:dyDescent="0.25">
      <c r="A279" s="431">
        <f t="shared" si="28"/>
        <v>278</v>
      </c>
      <c r="B279" s="434">
        <f t="shared" si="24"/>
        <v>24</v>
      </c>
      <c r="C279" s="437">
        <f>IFERROR(-LBP/2+HLOOKUP(Stn_WL,Tools!$AD$2:$AD$27,QUOTIENT(ROW()-2,Max_WL_count)+2,FALSE)*STN_GAP,"")</f>
        <v>69.444999999999993</v>
      </c>
      <c r="D279" s="437">
        <f>IFERROR(VLOOKUP(HLOOKUP(Stn_WL,Tools!$AD$2:$AD$27,QUOTIENT(ROW()-2,Max_WL_count)+2,FALSE),Tools!$AD$3:$BC$27,MOD(ROW()-2,Max_WL_count)+2,FALSE),"")</f>
        <v>1.21</v>
      </c>
      <c r="E279" s="435">
        <f>IFERROR(IF(ISNUMBER(D279),HLOOKUP(Tools!$BE$2,Tools!$BE$2:$BE$27,MOD(ROW()-2,Max_WL_count)+2,FALSE)*WLS,""),"")</f>
        <v>0.5</v>
      </c>
      <c r="I279" s="431">
        <f t="shared" si="29"/>
        <v>278</v>
      </c>
      <c r="J279" s="434">
        <f t="shared" si="25"/>
        <v>22</v>
      </c>
      <c r="K279" s="437">
        <f>IFERROR(-LBP/2+HLOOKUP(Stn_WL,Tools!$AD$2:$AD$27,N279+2,FALSE)*STN_GAP,"")</f>
        <v>62.134999999999991</v>
      </c>
      <c r="L279" s="437">
        <f>IFERROR(IF(AND(ISNUMBER(K279),O279=0),0,VLOOKUP(HLOOKUP(Stn_WL,Tools!$AD$2:$AD$27,N279+2,FALSE),Tools!$AD$3:$BC$27,O279+1,FALSE)),"")</f>
        <v>4.58</v>
      </c>
      <c r="M279" s="437">
        <f>IFERROR(IF(ISNUMBER(L279),IF(O279=0,IFERROR(HLOOKUP(Tools!$BD$127,Tools!$BD$127:$BD$152,N279+2,FALSE)*1,0),HLOOKUP(Tools!$BE$2,Tools!$BE$2:$BE$27,O279+1,FALSE)*WLS),""),"")</f>
        <v>1.5</v>
      </c>
      <c r="N279">
        <f t="shared" si="26"/>
        <v>21</v>
      </c>
      <c r="O279">
        <f t="shared" si="27"/>
        <v>4</v>
      </c>
    </row>
    <row r="280" spans="1:15" x14ac:dyDescent="0.25">
      <c r="A280" s="431">
        <f t="shared" si="28"/>
        <v>279</v>
      </c>
      <c r="B280" s="434">
        <f t="shared" si="24"/>
        <v>24</v>
      </c>
      <c r="C280" s="437">
        <f>IFERROR(-LBP/2+HLOOKUP(Stn_WL,Tools!$AD$2:$AD$27,QUOTIENT(ROW()-2,Max_WL_count)+2,FALSE)*STN_GAP,"")</f>
        <v>69.444999999999993</v>
      </c>
      <c r="D280" s="437">
        <f>IFERROR(VLOOKUP(HLOOKUP(Stn_WL,Tools!$AD$2:$AD$27,QUOTIENT(ROW()-2,Max_WL_count)+2,FALSE),Tools!$AD$3:$BC$27,MOD(ROW()-2,Max_WL_count)+2,FALSE),"")</f>
        <v>1.69</v>
      </c>
      <c r="E280" s="435">
        <f>IFERROR(IF(ISNUMBER(D280),HLOOKUP(Tools!$BE$2,Tools!$BE$2:$BE$27,MOD(ROW()-2,Max_WL_count)+2,FALSE)*WLS,""),"")</f>
        <v>1</v>
      </c>
      <c r="I280" s="431">
        <f t="shared" si="29"/>
        <v>279</v>
      </c>
      <c r="J280" s="434">
        <f t="shared" si="25"/>
        <v>22</v>
      </c>
      <c r="K280" s="437">
        <f>IFERROR(-LBP/2+HLOOKUP(Stn_WL,Tools!$AD$2:$AD$27,N280+2,FALSE)*STN_GAP,"")</f>
        <v>62.134999999999991</v>
      </c>
      <c r="L280" s="437">
        <f>IFERROR(IF(AND(ISNUMBER(K280),O280=0),0,VLOOKUP(HLOOKUP(Stn_WL,Tools!$AD$2:$AD$27,N280+2,FALSE),Tools!$AD$3:$BC$27,O280+1,FALSE)),"")</f>
        <v>4.91</v>
      </c>
      <c r="M280" s="437">
        <f>IFERROR(IF(ISNUMBER(L280),IF(O280=0,IFERROR(HLOOKUP(Tools!$BD$127,Tools!$BD$127:$BD$152,N280+2,FALSE)*1,0),HLOOKUP(Tools!$BE$2,Tools!$BE$2:$BE$27,O280+1,FALSE)*WLS),""),"")</f>
        <v>2</v>
      </c>
      <c r="N280">
        <f t="shared" si="26"/>
        <v>21</v>
      </c>
      <c r="O280">
        <f t="shared" si="27"/>
        <v>5</v>
      </c>
    </row>
    <row r="281" spans="1:15" x14ac:dyDescent="0.25">
      <c r="A281" s="431">
        <f t="shared" si="28"/>
        <v>280</v>
      </c>
      <c r="B281" s="434">
        <f t="shared" si="24"/>
        <v>24</v>
      </c>
      <c r="C281" s="437">
        <f>IFERROR(-LBP/2+HLOOKUP(Stn_WL,Tools!$AD$2:$AD$27,QUOTIENT(ROW()-2,Max_WL_count)+2,FALSE)*STN_GAP,"")</f>
        <v>69.444999999999993</v>
      </c>
      <c r="D281" s="437">
        <f>IFERROR(VLOOKUP(HLOOKUP(Stn_WL,Tools!$AD$2:$AD$27,QUOTIENT(ROW()-2,Max_WL_count)+2,FALSE),Tools!$AD$3:$BC$27,MOD(ROW()-2,Max_WL_count)+2,FALSE),"")</f>
        <v>2.02</v>
      </c>
      <c r="E281" s="435">
        <f>IFERROR(IF(ISNUMBER(D281),HLOOKUP(Tools!$BE$2,Tools!$BE$2:$BE$27,MOD(ROW()-2,Max_WL_count)+2,FALSE)*WLS,""),"")</f>
        <v>1.5</v>
      </c>
      <c r="I281" s="431">
        <f t="shared" si="29"/>
        <v>280</v>
      </c>
      <c r="J281" s="434">
        <f t="shared" si="25"/>
        <v>22</v>
      </c>
      <c r="K281" s="437">
        <f>IFERROR(-LBP/2+HLOOKUP(Stn_WL,Tools!$AD$2:$AD$27,N281+2,FALSE)*STN_GAP,"")</f>
        <v>62.134999999999991</v>
      </c>
      <c r="L281" s="437">
        <f>IFERROR(IF(AND(ISNUMBER(K281),O281=0),0,VLOOKUP(HLOOKUP(Stn_WL,Tools!$AD$2:$AD$27,N281+2,FALSE),Tools!$AD$3:$BC$27,O281+1,FALSE)),"")</f>
        <v>5.63</v>
      </c>
      <c r="M281" s="437">
        <f>IFERROR(IF(ISNUMBER(L281),IF(O281=0,IFERROR(HLOOKUP(Tools!$BD$127,Tools!$BD$127:$BD$152,N281+2,FALSE)*1,0),HLOOKUP(Tools!$BE$2,Tools!$BE$2:$BE$27,O281+1,FALSE)*WLS),""),"")</f>
        <v>4</v>
      </c>
      <c r="N281">
        <f t="shared" si="26"/>
        <v>21</v>
      </c>
      <c r="O281">
        <f t="shared" si="27"/>
        <v>6</v>
      </c>
    </row>
    <row r="282" spans="1:15" x14ac:dyDescent="0.25">
      <c r="A282" s="431">
        <f t="shared" si="28"/>
        <v>281</v>
      </c>
      <c r="B282" s="434">
        <f t="shared" si="24"/>
        <v>24</v>
      </c>
      <c r="C282" s="437">
        <f>IFERROR(-LBP/2+HLOOKUP(Stn_WL,Tools!$AD$2:$AD$27,QUOTIENT(ROW()-2,Max_WL_count)+2,FALSE)*STN_GAP,"")</f>
        <v>69.444999999999993</v>
      </c>
      <c r="D282" s="437">
        <f>IFERROR(VLOOKUP(HLOOKUP(Stn_WL,Tools!$AD$2:$AD$27,QUOTIENT(ROW()-2,Max_WL_count)+2,FALSE),Tools!$AD$3:$BC$27,MOD(ROW()-2,Max_WL_count)+2,FALSE),"")</f>
        <v>2.29</v>
      </c>
      <c r="E282" s="435">
        <f>IFERROR(IF(ISNUMBER(D282),HLOOKUP(Tools!$BE$2,Tools!$BE$2:$BE$27,MOD(ROW()-2,Max_WL_count)+2,FALSE)*WLS,""),"")</f>
        <v>2</v>
      </c>
      <c r="I282" s="431">
        <f t="shared" si="29"/>
        <v>281</v>
      </c>
      <c r="J282" s="434">
        <f t="shared" si="25"/>
        <v>22</v>
      </c>
      <c r="K282" s="437">
        <f>IFERROR(-LBP/2+HLOOKUP(Stn_WL,Tools!$AD$2:$AD$27,N282+2,FALSE)*STN_GAP,"")</f>
        <v>62.134999999999991</v>
      </c>
      <c r="L282" s="437">
        <f>IFERROR(IF(AND(ISNUMBER(K282),O282=0),0,VLOOKUP(HLOOKUP(Stn_WL,Tools!$AD$2:$AD$27,N282+2,FALSE),Tools!$AD$3:$BC$27,O282+1,FALSE)),"")</f>
        <v>6.05</v>
      </c>
      <c r="M282" s="437">
        <f>IFERROR(IF(ISNUMBER(L282),IF(O282=0,IFERROR(HLOOKUP(Tools!$BD$127,Tools!$BD$127:$BD$152,N282+2,FALSE)*1,0),HLOOKUP(Tools!$BE$2,Tools!$BE$2:$BE$27,O282+1,FALSE)*WLS),""),"")</f>
        <v>6</v>
      </c>
      <c r="N282">
        <f t="shared" si="26"/>
        <v>21</v>
      </c>
      <c r="O282">
        <f t="shared" si="27"/>
        <v>7</v>
      </c>
    </row>
    <row r="283" spans="1:15" x14ac:dyDescent="0.25">
      <c r="A283" s="431">
        <f t="shared" si="28"/>
        <v>282</v>
      </c>
      <c r="B283" s="434">
        <f t="shared" si="24"/>
        <v>24</v>
      </c>
      <c r="C283" s="437">
        <f>IFERROR(-LBP/2+HLOOKUP(Stn_WL,Tools!$AD$2:$AD$27,QUOTIENT(ROW()-2,Max_WL_count)+2,FALSE)*STN_GAP,"")</f>
        <v>69.444999999999993</v>
      </c>
      <c r="D283" s="437">
        <f>IFERROR(VLOOKUP(HLOOKUP(Stn_WL,Tools!$AD$2:$AD$27,QUOTIENT(ROW()-2,Max_WL_count)+2,FALSE),Tools!$AD$3:$BC$27,MOD(ROW()-2,Max_WL_count)+2,FALSE),"")</f>
        <v>2.63</v>
      </c>
      <c r="E283" s="435">
        <f>IFERROR(IF(ISNUMBER(D283),HLOOKUP(Tools!$BE$2,Tools!$BE$2:$BE$27,MOD(ROW()-2,Max_WL_count)+2,FALSE)*WLS,""),"")</f>
        <v>4</v>
      </c>
      <c r="I283" s="431">
        <f t="shared" si="29"/>
        <v>282</v>
      </c>
      <c r="J283" s="434">
        <f t="shared" si="25"/>
        <v>22</v>
      </c>
      <c r="K283" s="437">
        <f>IFERROR(-LBP/2+HLOOKUP(Stn_WL,Tools!$AD$2:$AD$27,N283+2,FALSE)*STN_GAP,"")</f>
        <v>62.134999999999991</v>
      </c>
      <c r="L283" s="437">
        <f>IFERROR(IF(AND(ISNUMBER(K283),O283=0),0,VLOOKUP(HLOOKUP(Stn_WL,Tools!$AD$2:$AD$27,N283+2,FALSE),Tools!$AD$3:$BC$27,O283+1,FALSE)),"")</f>
        <v>6.39</v>
      </c>
      <c r="M283" s="437">
        <f>IFERROR(IF(ISNUMBER(L283),IF(O283=0,IFERROR(HLOOKUP(Tools!$BD$127,Tools!$BD$127:$BD$152,N283+2,FALSE)*1,0),HLOOKUP(Tools!$BE$2,Tools!$BE$2:$BE$27,O283+1,FALSE)*WLS),""),"")</f>
        <v>8</v>
      </c>
      <c r="N283">
        <f t="shared" si="26"/>
        <v>21</v>
      </c>
      <c r="O283">
        <f t="shared" si="27"/>
        <v>8</v>
      </c>
    </row>
    <row r="284" spans="1:15" x14ac:dyDescent="0.25">
      <c r="A284" s="431">
        <f t="shared" si="28"/>
        <v>283</v>
      </c>
      <c r="B284" s="434">
        <f t="shared" si="24"/>
        <v>24</v>
      </c>
      <c r="C284" s="437">
        <f>IFERROR(-LBP/2+HLOOKUP(Stn_WL,Tools!$AD$2:$AD$27,QUOTIENT(ROW()-2,Max_WL_count)+2,FALSE)*STN_GAP,"")</f>
        <v>69.444999999999993</v>
      </c>
      <c r="D284" s="437">
        <f>IFERROR(VLOOKUP(HLOOKUP(Stn_WL,Tools!$AD$2:$AD$27,QUOTIENT(ROW()-2,Max_WL_count)+2,FALSE),Tools!$AD$3:$BC$27,MOD(ROW()-2,Max_WL_count)+2,FALSE),"")</f>
        <v>2.38</v>
      </c>
      <c r="E284" s="435">
        <f>IFERROR(IF(ISNUMBER(D284),HLOOKUP(Tools!$BE$2,Tools!$BE$2:$BE$27,MOD(ROW()-2,Max_WL_count)+2,FALSE)*WLS,""),"")</f>
        <v>6</v>
      </c>
      <c r="I284" s="431">
        <f t="shared" si="29"/>
        <v>283</v>
      </c>
      <c r="J284" s="434">
        <f t="shared" si="25"/>
        <v>22</v>
      </c>
      <c r="K284" s="437">
        <f>IFERROR(-LBP/2+HLOOKUP(Stn_WL,Tools!$AD$2:$AD$27,N284+2,FALSE)*STN_GAP,"")</f>
        <v>62.134999999999991</v>
      </c>
      <c r="L284" s="437">
        <f>IFERROR(IF(AND(ISNUMBER(K284),O284=0),0,VLOOKUP(HLOOKUP(Stn_WL,Tools!$AD$2:$AD$27,N284+2,FALSE),Tools!$AD$3:$BC$27,O284+1,FALSE)),"")</f>
        <v>6.82</v>
      </c>
      <c r="M284" s="437">
        <f>IFERROR(IF(ISNUMBER(L284),IF(O284=0,IFERROR(HLOOKUP(Tools!$BD$127,Tools!$BD$127:$BD$152,N284+2,FALSE)*1,0),HLOOKUP(Tools!$BE$2,Tools!$BE$2:$BE$27,O284+1,FALSE)*WLS),""),"")</f>
        <v>9.6999999999999993</v>
      </c>
      <c r="N284">
        <f t="shared" si="26"/>
        <v>21</v>
      </c>
      <c r="O284">
        <f t="shared" si="27"/>
        <v>9</v>
      </c>
    </row>
    <row r="285" spans="1:15" x14ac:dyDescent="0.25">
      <c r="A285" s="431">
        <f t="shared" si="28"/>
        <v>284</v>
      </c>
      <c r="B285" s="434">
        <f t="shared" si="24"/>
        <v>24</v>
      </c>
      <c r="C285" s="437">
        <f>IFERROR(-LBP/2+HLOOKUP(Stn_WL,Tools!$AD$2:$AD$27,QUOTIENT(ROW()-2,Max_WL_count)+2,FALSE)*STN_GAP,"")</f>
        <v>69.444999999999993</v>
      </c>
      <c r="D285" s="437">
        <f>IFERROR(VLOOKUP(HLOOKUP(Stn_WL,Tools!$AD$2:$AD$27,QUOTIENT(ROW()-2,Max_WL_count)+2,FALSE),Tools!$AD$3:$BC$27,MOD(ROW()-2,Max_WL_count)+2,FALSE),"")</f>
        <v>2.25</v>
      </c>
      <c r="E285" s="435">
        <f>IFERROR(IF(ISNUMBER(D285),HLOOKUP(Tools!$BE$2,Tools!$BE$2:$BE$27,MOD(ROW()-2,Max_WL_count)+2,FALSE)*WLS,""),"")</f>
        <v>8</v>
      </c>
      <c r="I285" s="431">
        <f t="shared" si="29"/>
        <v>284</v>
      </c>
      <c r="J285" s="434">
        <f t="shared" si="25"/>
        <v>22</v>
      </c>
      <c r="K285" s="437">
        <f>IFERROR(-LBP/2+HLOOKUP(Stn_WL,Tools!$AD$2:$AD$27,N285+2,FALSE)*STN_GAP,"")</f>
        <v>62.134999999999991</v>
      </c>
      <c r="L285" s="437">
        <f>IFERROR(IF(AND(ISNUMBER(K285),O285=0),0,VLOOKUP(HLOOKUP(Stn_WL,Tools!$AD$2:$AD$27,N285+2,FALSE),Tools!$AD$3:$BC$27,O285+1,FALSE)),"")</f>
        <v>6.91</v>
      </c>
      <c r="M285" s="437">
        <f>IFERROR(IF(ISNUMBER(L285),IF(O285=0,IFERROR(HLOOKUP(Tools!$BD$127,Tools!$BD$127:$BD$152,N285+2,FALSE)*1,0),HLOOKUP(Tools!$BE$2,Tools!$BE$2:$BE$27,O285+1,FALSE)*WLS),""),"")</f>
        <v>10</v>
      </c>
      <c r="N285">
        <f t="shared" si="26"/>
        <v>21</v>
      </c>
      <c r="O285">
        <f t="shared" si="27"/>
        <v>10</v>
      </c>
    </row>
    <row r="286" spans="1:15" x14ac:dyDescent="0.25">
      <c r="A286" s="431">
        <f t="shared" si="28"/>
        <v>285</v>
      </c>
      <c r="B286" s="434">
        <f t="shared" si="24"/>
        <v>24</v>
      </c>
      <c r="C286" s="437">
        <f>IFERROR(-LBP/2+HLOOKUP(Stn_WL,Tools!$AD$2:$AD$27,QUOTIENT(ROW()-2,Max_WL_count)+2,FALSE)*STN_GAP,"")</f>
        <v>69.444999999999993</v>
      </c>
      <c r="D286" s="437">
        <f>IFERROR(VLOOKUP(HLOOKUP(Stn_WL,Tools!$AD$2:$AD$27,QUOTIENT(ROW()-2,Max_WL_count)+2,FALSE),Tools!$AD$3:$BC$27,MOD(ROW()-2,Max_WL_count)+2,FALSE),"")</f>
        <v>2.42</v>
      </c>
      <c r="E286" s="435">
        <f>IFERROR(IF(ISNUMBER(D286),HLOOKUP(Tools!$BE$2,Tools!$BE$2:$BE$27,MOD(ROW()-2,Max_WL_count)+2,FALSE)*WLS,""),"")</f>
        <v>9.6999999999999993</v>
      </c>
      <c r="I286" s="431">
        <f t="shared" si="29"/>
        <v>285</v>
      </c>
      <c r="J286" s="434">
        <f t="shared" si="25"/>
        <v>22</v>
      </c>
      <c r="K286" s="437">
        <f>IFERROR(-LBP/2+HLOOKUP(Stn_WL,Tools!$AD$2:$AD$27,N286+2,FALSE)*STN_GAP,"")</f>
        <v>62.134999999999991</v>
      </c>
      <c r="L286" s="437">
        <f>IFERROR(IF(AND(ISNUMBER(K286),O286=0),0,VLOOKUP(HLOOKUP(Stn_WL,Tools!$AD$2:$AD$27,N286+2,FALSE),Tools!$AD$3:$BC$27,O286+1,FALSE)),"")</f>
        <v>7.5</v>
      </c>
      <c r="M286" s="437">
        <f>IFERROR(IF(ISNUMBER(L286),IF(O286=0,IFERROR(HLOOKUP(Tools!$BD$127,Tools!$BD$127:$BD$152,N286+2,FALSE)*1,0),HLOOKUP(Tools!$BE$2,Tools!$BE$2:$BE$27,O286+1,FALSE)*WLS),""),"")</f>
        <v>12</v>
      </c>
      <c r="N286">
        <f t="shared" si="26"/>
        <v>21</v>
      </c>
      <c r="O286">
        <f t="shared" si="27"/>
        <v>11</v>
      </c>
    </row>
    <row r="287" spans="1:15" x14ac:dyDescent="0.25">
      <c r="A287" s="431">
        <f t="shared" si="28"/>
        <v>286</v>
      </c>
      <c r="B287" s="434">
        <f t="shared" si="24"/>
        <v>24</v>
      </c>
      <c r="C287" s="437">
        <f>IFERROR(-LBP/2+HLOOKUP(Stn_WL,Tools!$AD$2:$AD$27,QUOTIENT(ROW()-2,Max_WL_count)+2,FALSE)*STN_GAP,"")</f>
        <v>69.444999999999993</v>
      </c>
      <c r="D287" s="437">
        <f>IFERROR(VLOOKUP(HLOOKUP(Stn_WL,Tools!$AD$2:$AD$27,QUOTIENT(ROW()-2,Max_WL_count)+2,FALSE),Tools!$AD$3:$BC$27,MOD(ROW()-2,Max_WL_count)+2,FALSE),"")</f>
        <v>2.4962</v>
      </c>
      <c r="E287" s="435">
        <f>IFERROR(IF(ISNUMBER(D287),HLOOKUP(Tools!$BE$2,Tools!$BE$2:$BE$27,MOD(ROW()-2,Max_WL_count)+2,FALSE)*WLS,""),"")</f>
        <v>10</v>
      </c>
      <c r="I287" s="431">
        <f t="shared" si="29"/>
        <v>286</v>
      </c>
      <c r="J287" s="434">
        <f t="shared" si="25"/>
        <v>22</v>
      </c>
      <c r="K287" s="437">
        <f>IFERROR(-LBP/2+HLOOKUP(Stn_WL,Tools!$AD$2:$AD$27,N287+2,FALSE)*STN_GAP,"")</f>
        <v>62.134999999999991</v>
      </c>
      <c r="L287" s="437">
        <f>IFERROR(IF(AND(ISNUMBER(K287),O287=0),0,VLOOKUP(HLOOKUP(Stn_WL,Tools!$AD$2:$AD$27,N287+2,FALSE),Tools!$AD$3:$BC$27,O287+1,FALSE)),"")</f>
        <v>7.8</v>
      </c>
      <c r="M287" s="437">
        <f>IFERROR(IF(ISNUMBER(L287),IF(O287=0,IFERROR(HLOOKUP(Tools!$BD$127,Tools!$BD$127:$BD$152,N287+2,FALSE)*1,0),HLOOKUP(Tools!$BE$2,Tools!$BE$2:$BE$27,O287+1,FALSE)*WLS),""),"")</f>
        <v>13</v>
      </c>
      <c r="N287">
        <f t="shared" si="26"/>
        <v>21</v>
      </c>
      <c r="O287">
        <f t="shared" si="27"/>
        <v>12</v>
      </c>
    </row>
    <row r="288" spans="1:15" x14ac:dyDescent="0.25">
      <c r="A288" s="431">
        <f t="shared" si="28"/>
        <v>287</v>
      </c>
      <c r="B288" s="434">
        <f t="shared" si="24"/>
        <v>24</v>
      </c>
      <c r="C288" s="437">
        <f>IFERROR(-LBP/2+HLOOKUP(Stn_WL,Tools!$AD$2:$AD$27,QUOTIENT(ROW()-2,Max_WL_count)+2,FALSE)*STN_GAP,"")</f>
        <v>69.444999999999993</v>
      </c>
      <c r="D288" s="437">
        <f>IFERROR(VLOOKUP(HLOOKUP(Stn_WL,Tools!$AD$2:$AD$27,QUOTIENT(ROW()-2,Max_WL_count)+2,FALSE),Tools!$AD$3:$BC$27,MOD(ROW()-2,Max_WL_count)+2,FALSE),"")</f>
        <v>3.19</v>
      </c>
      <c r="E288" s="435">
        <f>IFERROR(IF(ISNUMBER(D288),HLOOKUP(Tools!$BE$2,Tools!$BE$2:$BE$27,MOD(ROW()-2,Max_WL_count)+2,FALSE)*WLS,""),"")</f>
        <v>12</v>
      </c>
      <c r="I288" s="431">
        <f t="shared" si="29"/>
        <v>287</v>
      </c>
      <c r="J288" s="434">
        <f t="shared" si="25"/>
        <v>23</v>
      </c>
      <c r="K288" s="437">
        <f>IFERROR(-LBP/2+HLOOKUP(Stn_WL,Tools!$AD$2:$AD$27,N288+2,FALSE)*STN_GAP,"")</f>
        <v>65.789999999999992</v>
      </c>
      <c r="L288" s="437">
        <f>IFERROR(IF(AND(ISNUMBER(K288),O288=0),0,VLOOKUP(HLOOKUP(Stn_WL,Tools!$AD$2:$AD$27,N288+2,FALSE),Tools!$AD$3:$BC$27,O288+1,FALSE)),"")</f>
        <v>0</v>
      </c>
      <c r="M288" s="437">
        <f>IFERROR(IF(ISNUMBER(L288),IF(O288=0,IFERROR(HLOOKUP(Tools!$BD$127,Tools!$BD$127:$BD$152,N288+2,FALSE)*1,0),HLOOKUP(Tools!$BE$2,Tools!$BE$2:$BE$27,O288+1,FALSE)*WLS),""),"")</f>
        <v>0</v>
      </c>
      <c r="N288">
        <f t="shared" si="26"/>
        <v>22</v>
      </c>
      <c r="O288">
        <f t="shared" si="27"/>
        <v>0</v>
      </c>
    </row>
    <row r="289" spans="1:15" x14ac:dyDescent="0.25">
      <c r="A289" s="431">
        <f t="shared" si="28"/>
        <v>288</v>
      </c>
      <c r="B289" s="434">
        <f t="shared" si="24"/>
        <v>24</v>
      </c>
      <c r="C289" s="437">
        <f>IFERROR(-LBP/2+HLOOKUP(Stn_WL,Tools!$AD$2:$AD$27,QUOTIENT(ROW()-2,Max_WL_count)+2,FALSE)*STN_GAP,"")</f>
        <v>69.444999999999993</v>
      </c>
      <c r="D289" s="437">
        <f>IFERROR(VLOOKUP(HLOOKUP(Stn_WL,Tools!$AD$2:$AD$27,QUOTIENT(ROW()-2,Max_WL_count)+2,FALSE),Tools!$AD$3:$BC$27,MOD(ROW()-2,Max_WL_count)+2,FALSE),"")</f>
        <v>3.63</v>
      </c>
      <c r="E289" s="435">
        <f>IFERROR(IF(ISNUMBER(D289),HLOOKUP(Tools!$BE$2,Tools!$BE$2:$BE$27,MOD(ROW()-2,Max_WL_count)+2,FALSE)*WLS,""),"")</f>
        <v>13</v>
      </c>
      <c r="I289" s="431">
        <f t="shared" si="29"/>
        <v>288</v>
      </c>
      <c r="J289" s="434">
        <f t="shared" si="25"/>
        <v>23</v>
      </c>
      <c r="K289" s="437">
        <f>IFERROR(-LBP/2+HLOOKUP(Stn_WL,Tools!$AD$2:$AD$27,N289+2,FALSE)*STN_GAP,"")</f>
        <v>65.789999999999992</v>
      </c>
      <c r="L289" s="437">
        <f>IFERROR(IF(AND(ISNUMBER(K289),O289=0),0,VLOOKUP(HLOOKUP(Stn_WL,Tools!$AD$2:$AD$27,N289+2,FALSE),Tools!$AD$3:$BC$27,O289+1,FALSE)),"")</f>
        <v>1.3</v>
      </c>
      <c r="M289" s="437">
        <f>IFERROR(IF(ISNUMBER(L289),IF(O289=0,IFERROR(HLOOKUP(Tools!$BD$127,Tools!$BD$127:$BD$152,N289+2,FALSE)*1,0),HLOOKUP(Tools!$BE$2,Tools!$BE$2:$BE$27,O289+1,FALSE)*WLS),""),"")</f>
        <v>0</v>
      </c>
      <c r="N289">
        <f t="shared" si="26"/>
        <v>22</v>
      </c>
      <c r="O289">
        <f t="shared" si="27"/>
        <v>1</v>
      </c>
    </row>
    <row r="290" spans="1:15" x14ac:dyDescent="0.25">
      <c r="A290" s="431">
        <f t="shared" si="28"/>
        <v>289</v>
      </c>
      <c r="B290" s="434">
        <f t="shared" si="24"/>
        <v>25</v>
      </c>
      <c r="C290" s="437">
        <f>IFERROR(-LBP/2+HLOOKUP(Stn_WL,Tools!$AD$2:$AD$27,QUOTIENT(ROW()-2,Max_WL_count)+2,FALSE)*STN_GAP,"")</f>
        <v>73.099999999999994</v>
      </c>
      <c r="D290" s="437">
        <f>IFERROR(VLOOKUP(HLOOKUP(Stn_WL,Tools!$AD$2:$AD$27,QUOTIENT(ROW()-2,Max_WL_count)+2,FALSE),Tools!$AD$3:$BC$27,MOD(ROW()-2,Max_WL_count)+2,FALSE),"")</f>
        <v>0.1</v>
      </c>
      <c r="E290" s="435">
        <f>IFERROR(IF(ISNUMBER(D290),HLOOKUP(Tools!$BE$2,Tools!$BE$2:$BE$27,MOD(ROW()-2,Max_WL_count)+2,FALSE)*WLS,""),"")</f>
        <v>0</v>
      </c>
      <c r="I290" s="431">
        <f t="shared" si="29"/>
        <v>289</v>
      </c>
      <c r="J290" s="434">
        <f t="shared" si="25"/>
        <v>23</v>
      </c>
      <c r="K290" s="437">
        <f>IFERROR(-LBP/2+HLOOKUP(Stn_WL,Tools!$AD$2:$AD$27,N290+2,FALSE)*STN_GAP,"")</f>
        <v>65.789999999999992</v>
      </c>
      <c r="L290" s="437">
        <f>IFERROR(IF(AND(ISNUMBER(K290),O290=0),0,VLOOKUP(HLOOKUP(Stn_WL,Tools!$AD$2:$AD$27,N290+2,FALSE),Tools!$AD$3:$BC$27,O290+1,FALSE)),"")</f>
        <v>2.2999999999999998</v>
      </c>
      <c r="M290" s="437">
        <f>IFERROR(IF(ISNUMBER(L290),IF(O290=0,IFERROR(HLOOKUP(Tools!$BD$127,Tools!$BD$127:$BD$152,N290+2,FALSE)*1,0),HLOOKUP(Tools!$BE$2,Tools!$BE$2:$BE$27,O290+1,FALSE)*WLS),""),"")</f>
        <v>0.5</v>
      </c>
      <c r="N290">
        <f t="shared" si="26"/>
        <v>22</v>
      </c>
      <c r="O290">
        <f t="shared" si="27"/>
        <v>2</v>
      </c>
    </row>
    <row r="291" spans="1:15" x14ac:dyDescent="0.25">
      <c r="A291" s="431">
        <f t="shared" si="28"/>
        <v>290</v>
      </c>
      <c r="B291" s="434">
        <f t="shared" si="24"/>
        <v>25</v>
      </c>
      <c r="C291" s="437">
        <f>IFERROR(-LBP/2+HLOOKUP(Stn_WL,Tools!$AD$2:$AD$27,QUOTIENT(ROW()-2,Max_WL_count)+2,FALSE)*STN_GAP,"")</f>
        <v>73.099999999999994</v>
      </c>
      <c r="D291" s="437">
        <f>IFERROR(VLOOKUP(HLOOKUP(Stn_WL,Tools!$AD$2:$AD$27,QUOTIENT(ROW()-2,Max_WL_count)+2,FALSE),Tools!$AD$3:$BC$27,MOD(ROW()-2,Max_WL_count)+2,FALSE),"")</f>
        <v>0.8</v>
      </c>
      <c r="E291" s="435">
        <f>IFERROR(IF(ISNUMBER(D291),HLOOKUP(Tools!$BE$2,Tools!$BE$2:$BE$27,MOD(ROW()-2,Max_WL_count)+2,FALSE)*WLS,""),"")</f>
        <v>0.5</v>
      </c>
      <c r="I291" s="431">
        <f t="shared" si="29"/>
        <v>290</v>
      </c>
      <c r="J291" s="434">
        <f t="shared" si="25"/>
        <v>23</v>
      </c>
      <c r="K291" s="437">
        <f>IFERROR(-LBP/2+HLOOKUP(Stn_WL,Tools!$AD$2:$AD$27,N291+2,FALSE)*STN_GAP,"")</f>
        <v>65.789999999999992</v>
      </c>
      <c r="L291" s="437">
        <f>IFERROR(IF(AND(ISNUMBER(K291),O291=0),0,VLOOKUP(HLOOKUP(Stn_WL,Tools!$AD$2:$AD$27,N291+2,FALSE),Tools!$AD$3:$BC$27,O291+1,FALSE)),"")</f>
        <v>2.84</v>
      </c>
      <c r="M291" s="437">
        <f>IFERROR(IF(ISNUMBER(L291),IF(O291=0,IFERROR(HLOOKUP(Tools!$BD$127,Tools!$BD$127:$BD$152,N291+2,FALSE)*1,0),HLOOKUP(Tools!$BE$2,Tools!$BE$2:$BE$27,O291+1,FALSE)*WLS),""),"")</f>
        <v>1</v>
      </c>
      <c r="N291">
        <f t="shared" si="26"/>
        <v>22</v>
      </c>
      <c r="O291">
        <f t="shared" si="27"/>
        <v>3</v>
      </c>
    </row>
    <row r="292" spans="1:15" x14ac:dyDescent="0.25">
      <c r="A292" s="431">
        <f t="shared" si="28"/>
        <v>291</v>
      </c>
      <c r="B292" s="434">
        <f t="shared" si="24"/>
        <v>25</v>
      </c>
      <c r="C292" s="437">
        <f>IFERROR(-LBP/2+HLOOKUP(Stn_WL,Tools!$AD$2:$AD$27,QUOTIENT(ROW()-2,Max_WL_count)+2,FALSE)*STN_GAP,"")</f>
        <v>73.099999999999994</v>
      </c>
      <c r="D292" s="437">
        <f>IFERROR(VLOOKUP(HLOOKUP(Stn_WL,Tools!$AD$2:$AD$27,QUOTIENT(ROW()-2,Max_WL_count)+2,FALSE),Tools!$AD$3:$BC$27,MOD(ROW()-2,Max_WL_count)+2,FALSE),"")</f>
        <v>1.2</v>
      </c>
      <c r="E292" s="435">
        <f>IFERROR(IF(ISNUMBER(D292),HLOOKUP(Tools!$BE$2,Tools!$BE$2:$BE$27,MOD(ROW()-2,Max_WL_count)+2,FALSE)*WLS,""),"")</f>
        <v>1</v>
      </c>
      <c r="I292" s="431">
        <f t="shared" si="29"/>
        <v>291</v>
      </c>
      <c r="J292" s="434">
        <f t="shared" si="25"/>
        <v>23</v>
      </c>
      <c r="K292" s="437">
        <f>IFERROR(-LBP/2+HLOOKUP(Stn_WL,Tools!$AD$2:$AD$27,N292+2,FALSE)*STN_GAP,"")</f>
        <v>65.789999999999992</v>
      </c>
      <c r="L292" s="437">
        <f>IFERROR(IF(AND(ISNUMBER(K292),O292=0),0,VLOOKUP(HLOOKUP(Stn_WL,Tools!$AD$2:$AD$27,N292+2,FALSE),Tools!$AD$3:$BC$27,O292+1,FALSE)),"")</f>
        <v>3.25</v>
      </c>
      <c r="M292" s="437">
        <f>IFERROR(IF(ISNUMBER(L292),IF(O292=0,IFERROR(HLOOKUP(Tools!$BD$127,Tools!$BD$127:$BD$152,N292+2,FALSE)*1,0),HLOOKUP(Tools!$BE$2,Tools!$BE$2:$BE$27,O292+1,FALSE)*WLS),""),"")</f>
        <v>1.5</v>
      </c>
      <c r="N292">
        <f t="shared" si="26"/>
        <v>22</v>
      </c>
      <c r="O292">
        <f t="shared" si="27"/>
        <v>4</v>
      </c>
    </row>
    <row r="293" spans="1:15" x14ac:dyDescent="0.25">
      <c r="A293" s="431">
        <f t="shared" si="28"/>
        <v>292</v>
      </c>
      <c r="B293" s="434">
        <f t="shared" si="24"/>
        <v>25</v>
      </c>
      <c r="C293" s="437">
        <f>IFERROR(-LBP/2+HLOOKUP(Stn_WL,Tools!$AD$2:$AD$27,QUOTIENT(ROW()-2,Max_WL_count)+2,FALSE)*STN_GAP,"")</f>
        <v>73.099999999999994</v>
      </c>
      <c r="D293" s="437">
        <f>IFERROR(VLOOKUP(HLOOKUP(Stn_WL,Tools!$AD$2:$AD$27,QUOTIENT(ROW()-2,Max_WL_count)+2,FALSE),Tools!$AD$3:$BC$27,MOD(ROW()-2,Max_WL_count)+2,FALSE),"")</f>
        <v>1.43</v>
      </c>
      <c r="E293" s="435">
        <f>IFERROR(IF(ISNUMBER(D293),HLOOKUP(Tools!$BE$2,Tools!$BE$2:$BE$27,MOD(ROW()-2,Max_WL_count)+2,FALSE)*WLS,""),"")</f>
        <v>1.5</v>
      </c>
      <c r="I293" s="431">
        <f t="shared" si="29"/>
        <v>292</v>
      </c>
      <c r="J293" s="434">
        <f t="shared" si="25"/>
        <v>23</v>
      </c>
      <c r="K293" s="437">
        <f>IFERROR(-LBP/2+HLOOKUP(Stn_WL,Tools!$AD$2:$AD$27,N293+2,FALSE)*STN_GAP,"")</f>
        <v>65.789999999999992</v>
      </c>
      <c r="L293" s="437">
        <f>IFERROR(IF(AND(ISNUMBER(K293),O293=0),0,VLOOKUP(HLOOKUP(Stn_WL,Tools!$AD$2:$AD$27,N293+2,FALSE),Tools!$AD$3:$BC$27,O293+1,FALSE)),"")</f>
        <v>3.53</v>
      </c>
      <c r="M293" s="437">
        <f>IFERROR(IF(ISNUMBER(L293),IF(O293=0,IFERROR(HLOOKUP(Tools!$BD$127,Tools!$BD$127:$BD$152,N293+2,FALSE)*1,0),HLOOKUP(Tools!$BE$2,Tools!$BE$2:$BE$27,O293+1,FALSE)*WLS),""),"")</f>
        <v>2</v>
      </c>
      <c r="N293">
        <f t="shared" si="26"/>
        <v>22</v>
      </c>
      <c r="O293">
        <f t="shared" si="27"/>
        <v>5</v>
      </c>
    </row>
    <row r="294" spans="1:15" x14ac:dyDescent="0.25">
      <c r="A294" s="431">
        <f t="shared" si="28"/>
        <v>293</v>
      </c>
      <c r="B294" s="434">
        <f t="shared" si="24"/>
        <v>25</v>
      </c>
      <c r="C294" s="437">
        <f>IFERROR(-LBP/2+HLOOKUP(Stn_WL,Tools!$AD$2:$AD$27,QUOTIENT(ROW()-2,Max_WL_count)+2,FALSE)*STN_GAP,"")</f>
        <v>73.099999999999994</v>
      </c>
      <c r="D294" s="437">
        <f>IFERROR(VLOOKUP(HLOOKUP(Stn_WL,Tools!$AD$2:$AD$27,QUOTIENT(ROW()-2,Max_WL_count)+2,FALSE),Tools!$AD$3:$BC$27,MOD(ROW()-2,Max_WL_count)+2,FALSE),"")</f>
        <v>1.53</v>
      </c>
      <c r="E294" s="435">
        <f>IFERROR(IF(ISNUMBER(D294),HLOOKUP(Tools!$BE$2,Tools!$BE$2:$BE$27,MOD(ROW()-2,Max_WL_count)+2,FALSE)*WLS,""),"")</f>
        <v>2</v>
      </c>
      <c r="I294" s="431">
        <f t="shared" si="29"/>
        <v>293</v>
      </c>
      <c r="J294" s="434">
        <f t="shared" si="25"/>
        <v>23</v>
      </c>
      <c r="K294" s="437">
        <f>IFERROR(-LBP/2+HLOOKUP(Stn_WL,Tools!$AD$2:$AD$27,N294+2,FALSE)*STN_GAP,"")</f>
        <v>65.789999999999992</v>
      </c>
      <c r="L294" s="437">
        <f>IFERROR(IF(AND(ISNUMBER(K294),O294=0),0,VLOOKUP(HLOOKUP(Stn_WL,Tools!$AD$2:$AD$27,N294+2,FALSE),Tools!$AD$3:$BC$27,O294+1,FALSE)),"")</f>
        <v>4.1100000000000003</v>
      </c>
      <c r="M294" s="437">
        <f>IFERROR(IF(ISNUMBER(L294),IF(O294=0,IFERROR(HLOOKUP(Tools!$BD$127,Tools!$BD$127:$BD$152,N294+2,FALSE)*1,0),HLOOKUP(Tools!$BE$2,Tools!$BE$2:$BE$27,O294+1,FALSE)*WLS),""),"")</f>
        <v>4</v>
      </c>
      <c r="N294">
        <f t="shared" si="26"/>
        <v>22</v>
      </c>
      <c r="O294">
        <f t="shared" si="27"/>
        <v>6</v>
      </c>
    </row>
    <row r="295" spans="1:15" x14ac:dyDescent="0.25">
      <c r="A295" s="431">
        <f t="shared" si="28"/>
        <v>294</v>
      </c>
      <c r="B295" s="434">
        <f t="shared" si="24"/>
        <v>25</v>
      </c>
      <c r="C295" s="437">
        <f>IFERROR(-LBP/2+HLOOKUP(Stn_WL,Tools!$AD$2:$AD$27,QUOTIENT(ROW()-2,Max_WL_count)+2,FALSE)*STN_GAP,"")</f>
        <v>73.099999999999994</v>
      </c>
      <c r="D295" s="437">
        <f>IFERROR(VLOOKUP(HLOOKUP(Stn_WL,Tools!$AD$2:$AD$27,QUOTIENT(ROW()-2,Max_WL_count)+2,FALSE),Tools!$AD$3:$BC$27,MOD(ROW()-2,Max_WL_count)+2,FALSE),"")</f>
        <v>1.1200000000000001</v>
      </c>
      <c r="E295" s="435">
        <f>IFERROR(IF(ISNUMBER(D295),HLOOKUP(Tools!$BE$2,Tools!$BE$2:$BE$27,MOD(ROW()-2,Max_WL_count)+2,FALSE)*WLS,""),"")</f>
        <v>4</v>
      </c>
      <c r="I295" s="431">
        <f t="shared" si="29"/>
        <v>294</v>
      </c>
      <c r="J295" s="434">
        <f t="shared" si="25"/>
        <v>23</v>
      </c>
      <c r="K295" s="437">
        <f>IFERROR(-LBP/2+HLOOKUP(Stn_WL,Tools!$AD$2:$AD$27,N295+2,FALSE)*STN_GAP,"")</f>
        <v>65.789999999999992</v>
      </c>
      <c r="L295" s="437">
        <f>IFERROR(IF(AND(ISNUMBER(K295),O295=0),0,VLOOKUP(HLOOKUP(Stn_WL,Tools!$AD$2:$AD$27,N295+2,FALSE),Tools!$AD$3:$BC$27,O295+1,FALSE)),"")</f>
        <v>4.2300000000000004</v>
      </c>
      <c r="M295" s="437">
        <f>IFERROR(IF(ISNUMBER(L295),IF(O295=0,IFERROR(HLOOKUP(Tools!$BD$127,Tools!$BD$127:$BD$152,N295+2,FALSE)*1,0),HLOOKUP(Tools!$BE$2,Tools!$BE$2:$BE$27,O295+1,FALSE)*WLS),""),"")</f>
        <v>6</v>
      </c>
      <c r="N295">
        <f t="shared" si="26"/>
        <v>22</v>
      </c>
      <c r="O295">
        <f t="shared" si="27"/>
        <v>7</v>
      </c>
    </row>
    <row r="296" spans="1:15" x14ac:dyDescent="0.25">
      <c r="A296" s="431">
        <f t="shared" si="28"/>
        <v>295</v>
      </c>
      <c r="B296" s="434">
        <f t="shared" si="24"/>
        <v>25</v>
      </c>
      <c r="C296" s="437">
        <f>IFERROR(-LBP/2+HLOOKUP(Stn_WL,Tools!$AD$2:$AD$27,QUOTIENT(ROW()-2,Max_WL_count)+2,FALSE)*STN_GAP,"")</f>
        <v>73.099999999999994</v>
      </c>
      <c r="D296" s="437">
        <f>IFERROR(VLOOKUP(HLOOKUP(Stn_WL,Tools!$AD$2:$AD$27,QUOTIENT(ROW()-2,Max_WL_count)+2,FALSE),Tools!$AD$3:$BC$27,MOD(ROW()-2,Max_WL_count)+2,FALSE),"")</f>
        <v>0.5</v>
      </c>
      <c r="E296" s="435">
        <f>IFERROR(IF(ISNUMBER(D296),HLOOKUP(Tools!$BE$2,Tools!$BE$2:$BE$27,MOD(ROW()-2,Max_WL_count)+2,FALSE)*WLS,""),"")</f>
        <v>6</v>
      </c>
      <c r="I296" s="431">
        <f t="shared" si="29"/>
        <v>295</v>
      </c>
      <c r="J296" s="434">
        <f t="shared" si="25"/>
        <v>23</v>
      </c>
      <c r="K296" s="437">
        <f>IFERROR(-LBP/2+HLOOKUP(Stn_WL,Tools!$AD$2:$AD$27,N296+2,FALSE)*STN_GAP,"")</f>
        <v>65.789999999999992</v>
      </c>
      <c r="L296" s="437">
        <f>IFERROR(IF(AND(ISNUMBER(K296),O296=0),0,VLOOKUP(HLOOKUP(Stn_WL,Tools!$AD$2:$AD$27,N296+2,FALSE),Tools!$AD$3:$BC$27,O296+1,FALSE)),"")</f>
        <v>4.47</v>
      </c>
      <c r="M296" s="437">
        <f>IFERROR(IF(ISNUMBER(L296),IF(O296=0,IFERROR(HLOOKUP(Tools!$BD$127,Tools!$BD$127:$BD$152,N296+2,FALSE)*1,0),HLOOKUP(Tools!$BE$2,Tools!$BE$2:$BE$27,O296+1,FALSE)*WLS),""),"")</f>
        <v>8</v>
      </c>
      <c r="N296">
        <f t="shared" si="26"/>
        <v>22</v>
      </c>
      <c r="O296">
        <f t="shared" si="27"/>
        <v>8</v>
      </c>
    </row>
    <row r="297" spans="1:15" x14ac:dyDescent="0.25">
      <c r="A297" s="431">
        <f t="shared" si="28"/>
        <v>296</v>
      </c>
      <c r="B297" s="434">
        <f t="shared" si="24"/>
        <v>25</v>
      </c>
      <c r="C297" s="437">
        <f>IFERROR(-LBP/2+HLOOKUP(Stn_WL,Tools!$AD$2:$AD$27,QUOTIENT(ROW()-2,Max_WL_count)+2,FALSE)*STN_GAP,"")</f>
        <v>73.099999999999994</v>
      </c>
      <c r="D297" s="437">
        <f>IFERROR(VLOOKUP(HLOOKUP(Stn_WL,Tools!$AD$2:$AD$27,QUOTIENT(ROW()-2,Max_WL_count)+2,FALSE),Tools!$AD$3:$BC$27,MOD(ROW()-2,Max_WL_count)+2,FALSE),"")</f>
        <v>0.08</v>
      </c>
      <c r="E297" s="435">
        <f>IFERROR(IF(ISNUMBER(D297),HLOOKUP(Tools!$BE$2,Tools!$BE$2:$BE$27,MOD(ROW()-2,Max_WL_count)+2,FALSE)*WLS,""),"")</f>
        <v>8</v>
      </c>
      <c r="I297" s="431">
        <f t="shared" si="29"/>
        <v>296</v>
      </c>
      <c r="J297" s="434">
        <f t="shared" si="25"/>
        <v>23</v>
      </c>
      <c r="K297" s="437">
        <f>IFERROR(-LBP/2+HLOOKUP(Stn_WL,Tools!$AD$2:$AD$27,N297+2,FALSE)*STN_GAP,"")</f>
        <v>65.789999999999992</v>
      </c>
      <c r="L297" s="437">
        <f>IFERROR(IF(AND(ISNUMBER(K297),O297=0),0,VLOOKUP(HLOOKUP(Stn_WL,Tools!$AD$2:$AD$27,N297+2,FALSE),Tools!$AD$3:$BC$27,O297+1,FALSE)),"")</f>
        <v>4.87</v>
      </c>
      <c r="M297" s="437">
        <f>IFERROR(IF(ISNUMBER(L297),IF(O297=0,IFERROR(HLOOKUP(Tools!$BD$127,Tools!$BD$127:$BD$152,N297+2,FALSE)*1,0),HLOOKUP(Tools!$BE$2,Tools!$BE$2:$BE$27,O297+1,FALSE)*WLS),""),"")</f>
        <v>9.6999999999999993</v>
      </c>
      <c r="N297">
        <f t="shared" si="26"/>
        <v>22</v>
      </c>
      <c r="O297">
        <f t="shared" si="27"/>
        <v>9</v>
      </c>
    </row>
    <row r="298" spans="1:15" x14ac:dyDescent="0.25">
      <c r="A298" s="431">
        <f t="shared" si="28"/>
        <v>297</v>
      </c>
      <c r="B298" s="434">
        <f t="shared" si="24"/>
        <v>25</v>
      </c>
      <c r="C298" s="437">
        <f>IFERROR(-LBP/2+HLOOKUP(Stn_WL,Tools!$AD$2:$AD$27,QUOTIENT(ROW()-2,Max_WL_count)+2,FALSE)*STN_GAP,"")</f>
        <v>73.099999999999994</v>
      </c>
      <c r="D298" s="437">
        <f>IFERROR(VLOOKUP(HLOOKUP(Stn_WL,Tools!$AD$2:$AD$27,QUOTIENT(ROW()-2,Max_WL_count)+2,FALSE),Tools!$AD$3:$BC$27,MOD(ROW()-2,Max_WL_count)+2,FALSE),"")</f>
        <v>0</v>
      </c>
      <c r="E298" s="435">
        <f>IFERROR(IF(ISNUMBER(D298),HLOOKUP(Tools!$BE$2,Tools!$BE$2:$BE$27,MOD(ROW()-2,Max_WL_count)+2,FALSE)*WLS,""),"")</f>
        <v>9.6999999999999993</v>
      </c>
      <c r="I298" s="431">
        <f t="shared" si="29"/>
        <v>297</v>
      </c>
      <c r="J298" s="434">
        <f t="shared" si="25"/>
        <v>23</v>
      </c>
      <c r="K298" s="437">
        <f>IFERROR(-LBP/2+HLOOKUP(Stn_WL,Tools!$AD$2:$AD$27,N298+2,FALSE)*STN_GAP,"")</f>
        <v>65.789999999999992</v>
      </c>
      <c r="L298" s="437">
        <f>IFERROR(IF(AND(ISNUMBER(K298),O298=0),0,VLOOKUP(HLOOKUP(Stn_WL,Tools!$AD$2:$AD$27,N298+2,FALSE),Tools!$AD$3:$BC$27,O298+1,FALSE)),"")</f>
        <v>4.9399999999999995</v>
      </c>
      <c r="M298" s="437">
        <f>IFERROR(IF(ISNUMBER(L298),IF(O298=0,IFERROR(HLOOKUP(Tools!$BD$127,Tools!$BD$127:$BD$152,N298+2,FALSE)*1,0),HLOOKUP(Tools!$BE$2,Tools!$BE$2:$BE$27,O298+1,FALSE)*WLS),""),"")</f>
        <v>10</v>
      </c>
      <c r="N298">
        <f t="shared" si="26"/>
        <v>22</v>
      </c>
      <c r="O298">
        <f t="shared" si="27"/>
        <v>10</v>
      </c>
    </row>
    <row r="299" spans="1:15" x14ac:dyDescent="0.25">
      <c r="A299" s="431">
        <f t="shared" si="28"/>
        <v>298</v>
      </c>
      <c r="B299" s="434">
        <f t="shared" si="24"/>
        <v>25</v>
      </c>
      <c r="C299" s="437">
        <f>IFERROR(-LBP/2+HLOOKUP(Stn_WL,Tools!$AD$2:$AD$27,QUOTIENT(ROW()-2,Max_WL_count)+2,FALSE)*STN_GAP,"")</f>
        <v>73.099999999999994</v>
      </c>
      <c r="D299" s="437">
        <f>IFERROR(VLOOKUP(HLOOKUP(Stn_WL,Tools!$AD$2:$AD$27,QUOTIENT(ROW()-2,Max_WL_count)+2,FALSE),Tools!$AD$3:$BC$27,MOD(ROW()-2,Max_WL_count)+2,FALSE),"")</f>
        <v>0.03</v>
      </c>
      <c r="E299" s="435">
        <f>IFERROR(IF(ISNUMBER(D299),HLOOKUP(Tools!$BE$2,Tools!$BE$2:$BE$27,MOD(ROW()-2,Max_WL_count)+2,FALSE)*WLS,""),"")</f>
        <v>10</v>
      </c>
      <c r="I299" s="431">
        <f t="shared" si="29"/>
        <v>298</v>
      </c>
      <c r="J299" s="434">
        <f t="shared" si="25"/>
        <v>23</v>
      </c>
      <c r="K299" s="437">
        <f>IFERROR(-LBP/2+HLOOKUP(Stn_WL,Tools!$AD$2:$AD$27,N299+2,FALSE)*STN_GAP,"")</f>
        <v>65.789999999999992</v>
      </c>
      <c r="L299" s="437">
        <f>IFERROR(IF(AND(ISNUMBER(K299),O299=0),0,VLOOKUP(HLOOKUP(Stn_WL,Tools!$AD$2:$AD$27,N299+2,FALSE),Tools!$AD$3:$BC$27,O299+1,FALSE)),"")</f>
        <v>5.59</v>
      </c>
      <c r="M299" s="437">
        <f>IFERROR(IF(ISNUMBER(L299),IF(O299=0,IFERROR(HLOOKUP(Tools!$BD$127,Tools!$BD$127:$BD$152,N299+2,FALSE)*1,0),HLOOKUP(Tools!$BE$2,Tools!$BE$2:$BE$27,O299+1,FALSE)*WLS),""),"")</f>
        <v>12</v>
      </c>
      <c r="N299">
        <f t="shared" si="26"/>
        <v>22</v>
      </c>
      <c r="O299">
        <f t="shared" si="27"/>
        <v>11</v>
      </c>
    </row>
    <row r="300" spans="1:15" x14ac:dyDescent="0.25">
      <c r="A300" s="431">
        <f t="shared" si="28"/>
        <v>299</v>
      </c>
      <c r="B300" s="434">
        <f t="shared" si="24"/>
        <v>25</v>
      </c>
      <c r="C300" s="437">
        <f>IFERROR(-LBP/2+HLOOKUP(Stn_WL,Tools!$AD$2:$AD$27,QUOTIENT(ROW()-2,Max_WL_count)+2,FALSE)*STN_GAP,"")</f>
        <v>73.099999999999994</v>
      </c>
      <c r="D300" s="437">
        <f>IFERROR(VLOOKUP(HLOOKUP(Stn_WL,Tools!$AD$2:$AD$27,QUOTIENT(ROW()-2,Max_WL_count)+2,FALSE),Tools!$AD$3:$BC$27,MOD(ROW()-2,Max_WL_count)+2,FALSE),"")</f>
        <v>0.8</v>
      </c>
      <c r="E300" s="435">
        <f>IFERROR(IF(ISNUMBER(D300),HLOOKUP(Tools!$BE$2,Tools!$BE$2:$BE$27,MOD(ROW()-2,Max_WL_count)+2,FALSE)*WLS,""),"")</f>
        <v>12</v>
      </c>
      <c r="I300" s="431">
        <f t="shared" si="29"/>
        <v>299</v>
      </c>
      <c r="J300" s="434">
        <f t="shared" si="25"/>
        <v>23</v>
      </c>
      <c r="K300" s="437">
        <f>IFERROR(-LBP/2+HLOOKUP(Stn_WL,Tools!$AD$2:$AD$27,N300+2,FALSE)*STN_GAP,"")</f>
        <v>65.789999999999992</v>
      </c>
      <c r="L300" s="437">
        <f>IFERROR(IF(AND(ISNUMBER(K300),O300=0),0,VLOOKUP(HLOOKUP(Stn_WL,Tools!$AD$2:$AD$27,N300+2,FALSE),Tools!$AD$3:$BC$27,O300+1,FALSE)),"")</f>
        <v>5.94</v>
      </c>
      <c r="M300" s="437">
        <f>IFERROR(IF(ISNUMBER(L300),IF(O300=0,IFERROR(HLOOKUP(Tools!$BD$127,Tools!$BD$127:$BD$152,N300+2,FALSE)*1,0),HLOOKUP(Tools!$BE$2,Tools!$BE$2:$BE$27,O300+1,FALSE)*WLS),""),"")</f>
        <v>13</v>
      </c>
      <c r="N300">
        <f t="shared" si="26"/>
        <v>22</v>
      </c>
      <c r="O300">
        <f t="shared" si="27"/>
        <v>12</v>
      </c>
    </row>
    <row r="301" spans="1:15" x14ac:dyDescent="0.25">
      <c r="A301" s="431">
        <f t="shared" si="28"/>
        <v>300</v>
      </c>
      <c r="B301" s="434">
        <f t="shared" si="24"/>
        <v>25</v>
      </c>
      <c r="C301" s="437">
        <f>IFERROR(-LBP/2+HLOOKUP(Stn_WL,Tools!$AD$2:$AD$27,QUOTIENT(ROW()-2,Max_WL_count)+2,FALSE)*STN_GAP,"")</f>
        <v>73.099999999999994</v>
      </c>
      <c r="D301" s="437">
        <f>IFERROR(VLOOKUP(HLOOKUP(Stn_WL,Tools!$AD$2:$AD$27,QUOTIENT(ROW()-2,Max_WL_count)+2,FALSE),Tools!$AD$3:$BC$27,MOD(ROW()-2,Max_WL_count)+2,FALSE),"")</f>
        <v>1.63</v>
      </c>
      <c r="E301" s="435">
        <f>IFERROR(IF(ISNUMBER(D301),HLOOKUP(Tools!$BE$2,Tools!$BE$2:$BE$27,MOD(ROW()-2,Max_WL_count)+2,FALSE)*WLS,""),"")</f>
        <v>13</v>
      </c>
      <c r="I301" s="431">
        <f t="shared" si="29"/>
        <v>300</v>
      </c>
      <c r="J301" s="434">
        <f t="shared" si="25"/>
        <v>24</v>
      </c>
      <c r="K301" s="437">
        <f>IFERROR(-LBP/2+HLOOKUP(Stn_WL,Tools!$AD$2:$AD$27,N301+2,FALSE)*STN_GAP,"")</f>
        <v>69.444999999999993</v>
      </c>
      <c r="L301" s="437">
        <f>IFERROR(IF(AND(ISNUMBER(K301),O301=0),0,VLOOKUP(HLOOKUP(Stn_WL,Tools!$AD$2:$AD$27,N301+2,FALSE),Tools!$AD$3:$BC$27,O301+1,FALSE)),"")</f>
        <v>0</v>
      </c>
      <c r="M301" s="437">
        <f>IFERROR(IF(ISNUMBER(L301),IF(O301=0,IFERROR(HLOOKUP(Tools!$BD$127,Tools!$BD$127:$BD$152,N301+2,FALSE)*1,0),HLOOKUP(Tools!$BE$2,Tools!$BE$2:$BE$27,O301+1,FALSE)*WLS),""),"")</f>
        <v>0</v>
      </c>
      <c r="N301">
        <f t="shared" si="26"/>
        <v>23</v>
      </c>
      <c r="O301">
        <f t="shared" si="27"/>
        <v>0</v>
      </c>
    </row>
    <row r="302" spans="1:15" x14ac:dyDescent="0.25">
      <c r="A302" s="431" t="str">
        <f t="shared" si="28"/>
        <v/>
      </c>
      <c r="B302" s="434" t="str">
        <f t="shared" si="24"/>
        <v/>
      </c>
      <c r="C302" s="437" t="str">
        <f>IFERROR(-LBP/2+HLOOKUP(Stn_WL,Tools!$AD$2:$AD$27,QUOTIENT(ROW()-2,Max_WL_count)+2,FALSE)*STN_GAP,"")</f>
        <v/>
      </c>
      <c r="D302" s="437" t="str">
        <f>IFERROR(VLOOKUP(HLOOKUP(Stn_WL,Tools!$AD$2:$AD$27,QUOTIENT(ROW()-2,Max_WL_count)+2,FALSE),Tools!$AD$3:$BC$27,MOD(ROW()-2,Max_WL_count)+2,FALSE),"")</f>
        <v/>
      </c>
      <c r="E302" s="435" t="str">
        <f>IFERROR(IF(ISNUMBER(D302),HLOOKUP(Tools!$BE$2,Tools!$BE$2:$BE$27,MOD(ROW()-2,Max_WL_count)+2,FALSE)*WLS,""),"")</f>
        <v/>
      </c>
      <c r="I302" s="431">
        <f t="shared" si="29"/>
        <v>301</v>
      </c>
      <c r="J302" s="434">
        <f t="shared" si="25"/>
        <v>24</v>
      </c>
      <c r="K302" s="437">
        <f>IFERROR(-LBP/2+HLOOKUP(Stn_WL,Tools!$AD$2:$AD$27,N302+2,FALSE)*STN_GAP,"")</f>
        <v>69.444999999999993</v>
      </c>
      <c r="L302" s="437">
        <f>IFERROR(IF(AND(ISNUMBER(K302),O302=0),0,VLOOKUP(HLOOKUP(Stn_WL,Tools!$AD$2:$AD$27,N302+2,FALSE),Tools!$AD$3:$BC$27,O302+1,FALSE)),"")</f>
        <v>0.4</v>
      </c>
      <c r="M302" s="437">
        <f>IFERROR(IF(ISNUMBER(L302),IF(O302=0,IFERROR(HLOOKUP(Tools!$BD$127,Tools!$BD$127:$BD$152,N302+2,FALSE)*1,0),HLOOKUP(Tools!$BE$2,Tools!$BE$2:$BE$27,O302+1,FALSE)*WLS),""),"")</f>
        <v>0</v>
      </c>
      <c r="N302">
        <f t="shared" si="26"/>
        <v>23</v>
      </c>
      <c r="O302">
        <f t="shared" si="27"/>
        <v>1</v>
      </c>
    </row>
    <row r="303" spans="1:15" x14ac:dyDescent="0.25">
      <c r="A303" s="431" t="str">
        <f t="shared" si="28"/>
        <v/>
      </c>
      <c r="B303" s="434" t="str">
        <f t="shared" si="24"/>
        <v/>
      </c>
      <c r="C303" s="437" t="str">
        <f>IFERROR(-LBP/2+HLOOKUP(Stn_WL,Tools!$AD$2:$AD$27,QUOTIENT(ROW()-2,Max_WL_count)+2,FALSE)*STN_GAP,"")</f>
        <v/>
      </c>
      <c r="D303" s="437" t="str">
        <f>IFERROR(VLOOKUP(HLOOKUP(Stn_WL,Tools!$AD$2:$AD$27,QUOTIENT(ROW()-2,Max_WL_count)+2,FALSE),Tools!$AD$3:$BC$27,MOD(ROW()-2,Max_WL_count)+2,FALSE),"")</f>
        <v/>
      </c>
      <c r="E303" s="435" t="str">
        <f>IFERROR(IF(ISNUMBER(D303),HLOOKUP(Tools!$BE$2,Tools!$BE$2:$BE$27,MOD(ROW()-2,Max_WL_count)+2,FALSE)*WLS,""),"")</f>
        <v/>
      </c>
      <c r="I303" s="431">
        <f t="shared" si="29"/>
        <v>302</v>
      </c>
      <c r="J303" s="434">
        <f t="shared" si="25"/>
        <v>24</v>
      </c>
      <c r="K303" s="437">
        <f>IFERROR(-LBP/2+HLOOKUP(Stn_WL,Tools!$AD$2:$AD$27,N303+2,FALSE)*STN_GAP,"")</f>
        <v>69.444999999999993</v>
      </c>
      <c r="L303" s="437">
        <f>IFERROR(IF(AND(ISNUMBER(K303),O303=0),0,VLOOKUP(HLOOKUP(Stn_WL,Tools!$AD$2:$AD$27,N303+2,FALSE),Tools!$AD$3:$BC$27,O303+1,FALSE)),"")</f>
        <v>1.21</v>
      </c>
      <c r="M303" s="437">
        <f>IFERROR(IF(ISNUMBER(L303),IF(O303=0,IFERROR(HLOOKUP(Tools!$BD$127,Tools!$BD$127:$BD$152,N303+2,FALSE)*1,0),HLOOKUP(Tools!$BE$2,Tools!$BE$2:$BE$27,O303+1,FALSE)*WLS),""),"")</f>
        <v>0.5</v>
      </c>
      <c r="N303">
        <f t="shared" si="26"/>
        <v>23</v>
      </c>
      <c r="O303">
        <f t="shared" si="27"/>
        <v>2</v>
      </c>
    </row>
    <row r="304" spans="1:15" x14ac:dyDescent="0.25">
      <c r="A304" s="431" t="str">
        <f t="shared" si="28"/>
        <v/>
      </c>
      <c r="B304" s="434" t="str">
        <f t="shared" si="24"/>
        <v/>
      </c>
      <c r="C304" s="437" t="str">
        <f>IFERROR(-LBP/2+HLOOKUP(Stn_WL,Tools!$AD$2:$AD$27,QUOTIENT(ROW()-2,Max_WL_count)+2,FALSE)*STN_GAP,"")</f>
        <v/>
      </c>
      <c r="D304" s="437" t="str">
        <f>IFERROR(VLOOKUP(HLOOKUP(Stn_WL,Tools!$AD$2:$AD$27,QUOTIENT(ROW()-2,Max_WL_count)+2,FALSE),Tools!$AD$3:$BC$27,MOD(ROW()-2,Max_WL_count)+2,FALSE),"")</f>
        <v/>
      </c>
      <c r="E304" s="435" t="str">
        <f>IFERROR(IF(ISNUMBER(D304),HLOOKUP(Tools!$BE$2,Tools!$BE$2:$BE$27,MOD(ROW()-2,Max_WL_count)+2,FALSE)*WLS,""),"")</f>
        <v/>
      </c>
      <c r="I304" s="431">
        <f t="shared" si="29"/>
        <v>303</v>
      </c>
      <c r="J304" s="434">
        <f t="shared" si="25"/>
        <v>24</v>
      </c>
      <c r="K304" s="437">
        <f>IFERROR(-LBP/2+HLOOKUP(Stn_WL,Tools!$AD$2:$AD$27,N304+2,FALSE)*STN_GAP,"")</f>
        <v>69.444999999999993</v>
      </c>
      <c r="L304" s="437">
        <f>IFERROR(IF(AND(ISNUMBER(K304),O304=0),0,VLOOKUP(HLOOKUP(Stn_WL,Tools!$AD$2:$AD$27,N304+2,FALSE),Tools!$AD$3:$BC$27,O304+1,FALSE)),"")</f>
        <v>1.69</v>
      </c>
      <c r="M304" s="437">
        <f>IFERROR(IF(ISNUMBER(L304),IF(O304=0,IFERROR(HLOOKUP(Tools!$BD$127,Tools!$BD$127:$BD$152,N304+2,FALSE)*1,0),HLOOKUP(Tools!$BE$2,Tools!$BE$2:$BE$27,O304+1,FALSE)*WLS),""),"")</f>
        <v>1</v>
      </c>
      <c r="N304">
        <f t="shared" si="26"/>
        <v>23</v>
      </c>
      <c r="O304">
        <f t="shared" si="27"/>
        <v>3</v>
      </c>
    </row>
    <row r="305" spans="1:15" x14ac:dyDescent="0.25">
      <c r="A305" s="431" t="str">
        <f t="shared" si="28"/>
        <v/>
      </c>
      <c r="B305" s="434" t="str">
        <f t="shared" si="24"/>
        <v/>
      </c>
      <c r="C305" s="437" t="str">
        <f>IFERROR(-LBP/2+HLOOKUP(Stn_WL,Tools!$AD$2:$AD$27,QUOTIENT(ROW()-2,Max_WL_count)+2,FALSE)*STN_GAP,"")</f>
        <v/>
      </c>
      <c r="D305" s="437" t="str">
        <f>IFERROR(VLOOKUP(HLOOKUP(Stn_WL,Tools!$AD$2:$AD$27,QUOTIENT(ROW()-2,Max_WL_count)+2,FALSE),Tools!$AD$3:$BC$27,MOD(ROW()-2,Max_WL_count)+2,FALSE),"")</f>
        <v/>
      </c>
      <c r="E305" s="435" t="str">
        <f>IFERROR(IF(ISNUMBER(D305),HLOOKUP(Tools!$BE$2,Tools!$BE$2:$BE$27,MOD(ROW()-2,Max_WL_count)+2,FALSE)*WLS,""),"")</f>
        <v/>
      </c>
      <c r="I305" s="431">
        <f t="shared" si="29"/>
        <v>304</v>
      </c>
      <c r="J305" s="434">
        <f t="shared" si="25"/>
        <v>24</v>
      </c>
      <c r="K305" s="437">
        <f>IFERROR(-LBP/2+HLOOKUP(Stn_WL,Tools!$AD$2:$AD$27,N305+2,FALSE)*STN_GAP,"")</f>
        <v>69.444999999999993</v>
      </c>
      <c r="L305" s="437">
        <f>IFERROR(IF(AND(ISNUMBER(K305),O305=0),0,VLOOKUP(HLOOKUP(Stn_WL,Tools!$AD$2:$AD$27,N305+2,FALSE),Tools!$AD$3:$BC$27,O305+1,FALSE)),"")</f>
        <v>2.02</v>
      </c>
      <c r="M305" s="437">
        <f>IFERROR(IF(ISNUMBER(L305),IF(O305=0,IFERROR(HLOOKUP(Tools!$BD$127,Tools!$BD$127:$BD$152,N305+2,FALSE)*1,0),HLOOKUP(Tools!$BE$2,Tools!$BE$2:$BE$27,O305+1,FALSE)*WLS),""),"")</f>
        <v>1.5</v>
      </c>
      <c r="N305">
        <f t="shared" si="26"/>
        <v>23</v>
      </c>
      <c r="O305">
        <f t="shared" si="27"/>
        <v>4</v>
      </c>
    </row>
    <row r="306" spans="1:15" x14ac:dyDescent="0.25">
      <c r="A306" s="431" t="str">
        <f t="shared" si="28"/>
        <v/>
      </c>
      <c r="B306" s="434" t="str">
        <f t="shared" si="24"/>
        <v/>
      </c>
      <c r="C306" s="437" t="str">
        <f>IFERROR(-LBP/2+HLOOKUP(Stn_WL,Tools!$AD$2:$AD$27,QUOTIENT(ROW()-2,Max_WL_count)+2,FALSE)*STN_GAP,"")</f>
        <v/>
      </c>
      <c r="D306" s="437" t="str">
        <f>IFERROR(VLOOKUP(HLOOKUP(Stn_WL,Tools!$AD$2:$AD$27,QUOTIENT(ROW()-2,Max_WL_count)+2,FALSE),Tools!$AD$3:$BC$27,MOD(ROW()-2,Max_WL_count)+2,FALSE),"")</f>
        <v/>
      </c>
      <c r="E306" s="435" t="str">
        <f>IFERROR(IF(ISNUMBER(D306),HLOOKUP(Tools!$BE$2,Tools!$BE$2:$BE$27,MOD(ROW()-2,Max_WL_count)+2,FALSE)*WLS,""),"")</f>
        <v/>
      </c>
      <c r="I306" s="431">
        <f t="shared" si="29"/>
        <v>305</v>
      </c>
      <c r="J306" s="434">
        <f t="shared" si="25"/>
        <v>24</v>
      </c>
      <c r="K306" s="437">
        <f>IFERROR(-LBP/2+HLOOKUP(Stn_WL,Tools!$AD$2:$AD$27,N306+2,FALSE)*STN_GAP,"")</f>
        <v>69.444999999999993</v>
      </c>
      <c r="L306" s="437">
        <f>IFERROR(IF(AND(ISNUMBER(K306),O306=0),0,VLOOKUP(HLOOKUP(Stn_WL,Tools!$AD$2:$AD$27,N306+2,FALSE),Tools!$AD$3:$BC$27,O306+1,FALSE)),"")</f>
        <v>2.29</v>
      </c>
      <c r="M306" s="437">
        <f>IFERROR(IF(ISNUMBER(L306),IF(O306=0,IFERROR(HLOOKUP(Tools!$BD$127,Tools!$BD$127:$BD$152,N306+2,FALSE)*1,0),HLOOKUP(Tools!$BE$2,Tools!$BE$2:$BE$27,O306+1,FALSE)*WLS),""),"")</f>
        <v>2</v>
      </c>
      <c r="N306">
        <f t="shared" si="26"/>
        <v>23</v>
      </c>
      <c r="O306">
        <f t="shared" si="27"/>
        <v>5</v>
      </c>
    </row>
    <row r="307" spans="1:15" x14ac:dyDescent="0.25">
      <c r="A307" s="431" t="str">
        <f t="shared" si="28"/>
        <v/>
      </c>
      <c r="B307" s="434" t="str">
        <f t="shared" si="24"/>
        <v/>
      </c>
      <c r="C307" s="437" t="str">
        <f>IFERROR(-LBP/2+HLOOKUP(Stn_WL,Tools!$AD$2:$AD$27,QUOTIENT(ROW()-2,Max_WL_count)+2,FALSE)*STN_GAP,"")</f>
        <v/>
      </c>
      <c r="D307" s="437" t="str">
        <f>IFERROR(VLOOKUP(HLOOKUP(Stn_WL,Tools!$AD$2:$AD$27,QUOTIENT(ROW()-2,Max_WL_count)+2,FALSE),Tools!$AD$3:$BC$27,MOD(ROW()-2,Max_WL_count)+2,FALSE),"")</f>
        <v/>
      </c>
      <c r="E307" s="435" t="str">
        <f>IFERROR(IF(ISNUMBER(D307),HLOOKUP(Tools!$BE$2,Tools!$BE$2:$BE$27,MOD(ROW()-2,Max_WL_count)+2,FALSE)*WLS,""),"")</f>
        <v/>
      </c>
      <c r="I307" s="431">
        <f t="shared" si="29"/>
        <v>306</v>
      </c>
      <c r="J307" s="434">
        <f t="shared" si="25"/>
        <v>24</v>
      </c>
      <c r="K307" s="437">
        <f>IFERROR(-LBP/2+HLOOKUP(Stn_WL,Tools!$AD$2:$AD$27,N307+2,FALSE)*STN_GAP,"")</f>
        <v>69.444999999999993</v>
      </c>
      <c r="L307" s="437">
        <f>IFERROR(IF(AND(ISNUMBER(K307),O307=0),0,VLOOKUP(HLOOKUP(Stn_WL,Tools!$AD$2:$AD$27,N307+2,FALSE),Tools!$AD$3:$BC$27,O307+1,FALSE)),"")</f>
        <v>2.63</v>
      </c>
      <c r="M307" s="437">
        <f>IFERROR(IF(ISNUMBER(L307),IF(O307=0,IFERROR(HLOOKUP(Tools!$BD$127,Tools!$BD$127:$BD$152,N307+2,FALSE)*1,0),HLOOKUP(Tools!$BE$2,Tools!$BE$2:$BE$27,O307+1,FALSE)*WLS),""),"")</f>
        <v>4</v>
      </c>
      <c r="N307">
        <f t="shared" si="26"/>
        <v>23</v>
      </c>
      <c r="O307">
        <f t="shared" si="27"/>
        <v>6</v>
      </c>
    </row>
    <row r="308" spans="1:15" x14ac:dyDescent="0.25">
      <c r="A308" s="431" t="str">
        <f t="shared" si="28"/>
        <v/>
      </c>
      <c r="B308" s="434" t="str">
        <f t="shared" si="24"/>
        <v/>
      </c>
      <c r="C308" s="437" t="str">
        <f>IFERROR(-LBP/2+HLOOKUP(Stn_WL,Tools!$AD$2:$AD$27,QUOTIENT(ROW()-2,Max_WL_count)+2,FALSE)*STN_GAP,"")</f>
        <v/>
      </c>
      <c r="D308" s="437" t="str">
        <f>IFERROR(VLOOKUP(HLOOKUP(Stn_WL,Tools!$AD$2:$AD$27,QUOTIENT(ROW()-2,Max_WL_count)+2,FALSE),Tools!$AD$3:$BC$27,MOD(ROW()-2,Max_WL_count)+2,FALSE),"")</f>
        <v/>
      </c>
      <c r="E308" s="435" t="str">
        <f>IFERROR(IF(ISNUMBER(D308),HLOOKUP(Tools!$BE$2,Tools!$BE$2:$BE$27,MOD(ROW()-2,Max_WL_count)+2,FALSE)*WLS,""),"")</f>
        <v/>
      </c>
      <c r="I308" s="431">
        <f t="shared" si="29"/>
        <v>307</v>
      </c>
      <c r="J308" s="434">
        <f t="shared" si="25"/>
        <v>24</v>
      </c>
      <c r="K308" s="437">
        <f>IFERROR(-LBP/2+HLOOKUP(Stn_WL,Tools!$AD$2:$AD$27,N308+2,FALSE)*STN_GAP,"")</f>
        <v>69.444999999999993</v>
      </c>
      <c r="L308" s="437">
        <f>IFERROR(IF(AND(ISNUMBER(K308),O308=0),0,VLOOKUP(HLOOKUP(Stn_WL,Tools!$AD$2:$AD$27,N308+2,FALSE),Tools!$AD$3:$BC$27,O308+1,FALSE)),"")</f>
        <v>2.38</v>
      </c>
      <c r="M308" s="437">
        <f>IFERROR(IF(ISNUMBER(L308),IF(O308=0,IFERROR(HLOOKUP(Tools!$BD$127,Tools!$BD$127:$BD$152,N308+2,FALSE)*1,0),HLOOKUP(Tools!$BE$2,Tools!$BE$2:$BE$27,O308+1,FALSE)*WLS),""),"")</f>
        <v>6</v>
      </c>
      <c r="N308">
        <f t="shared" si="26"/>
        <v>23</v>
      </c>
      <c r="O308">
        <f t="shared" si="27"/>
        <v>7</v>
      </c>
    </row>
    <row r="309" spans="1:15" x14ac:dyDescent="0.25">
      <c r="A309" s="431" t="str">
        <f t="shared" si="28"/>
        <v/>
      </c>
      <c r="B309" s="434" t="str">
        <f t="shared" si="24"/>
        <v/>
      </c>
      <c r="C309" s="437" t="str">
        <f>IFERROR(-LBP/2+HLOOKUP(Stn_WL,Tools!$AD$2:$AD$27,QUOTIENT(ROW()-2,Max_WL_count)+2,FALSE)*STN_GAP,"")</f>
        <v/>
      </c>
      <c r="D309" s="437" t="str">
        <f>IFERROR(VLOOKUP(HLOOKUP(Stn_WL,Tools!$AD$2:$AD$27,QUOTIENT(ROW()-2,Max_WL_count)+2,FALSE),Tools!$AD$3:$BC$27,MOD(ROW()-2,Max_WL_count)+2,FALSE),"")</f>
        <v/>
      </c>
      <c r="E309" s="435" t="str">
        <f>IFERROR(IF(ISNUMBER(D309),HLOOKUP(Tools!$BE$2,Tools!$BE$2:$BE$27,MOD(ROW()-2,Max_WL_count)+2,FALSE)*WLS,""),"")</f>
        <v/>
      </c>
      <c r="I309" s="431">
        <f t="shared" si="29"/>
        <v>308</v>
      </c>
      <c r="J309" s="434">
        <f t="shared" si="25"/>
        <v>24</v>
      </c>
      <c r="K309" s="437">
        <f>IFERROR(-LBP/2+HLOOKUP(Stn_WL,Tools!$AD$2:$AD$27,N309+2,FALSE)*STN_GAP,"")</f>
        <v>69.444999999999993</v>
      </c>
      <c r="L309" s="437">
        <f>IFERROR(IF(AND(ISNUMBER(K309),O309=0),0,VLOOKUP(HLOOKUP(Stn_WL,Tools!$AD$2:$AD$27,N309+2,FALSE),Tools!$AD$3:$BC$27,O309+1,FALSE)),"")</f>
        <v>2.25</v>
      </c>
      <c r="M309" s="437">
        <f>IFERROR(IF(ISNUMBER(L309),IF(O309=0,IFERROR(HLOOKUP(Tools!$BD$127,Tools!$BD$127:$BD$152,N309+2,FALSE)*1,0),HLOOKUP(Tools!$BE$2,Tools!$BE$2:$BE$27,O309+1,FALSE)*WLS),""),"")</f>
        <v>8</v>
      </c>
      <c r="N309">
        <f t="shared" si="26"/>
        <v>23</v>
      </c>
      <c r="O309">
        <f t="shared" si="27"/>
        <v>8</v>
      </c>
    </row>
    <row r="310" spans="1:15" x14ac:dyDescent="0.25">
      <c r="A310" s="431" t="str">
        <f t="shared" si="28"/>
        <v/>
      </c>
      <c r="B310" s="434" t="str">
        <f t="shared" si="24"/>
        <v/>
      </c>
      <c r="C310" s="437" t="str">
        <f>IFERROR(-LBP/2+HLOOKUP(Stn_WL,Tools!$AD$2:$AD$27,QUOTIENT(ROW()-2,Max_WL_count)+2,FALSE)*STN_GAP,"")</f>
        <v/>
      </c>
      <c r="D310" s="437" t="str">
        <f>IFERROR(VLOOKUP(HLOOKUP(Stn_WL,Tools!$AD$2:$AD$27,QUOTIENT(ROW()-2,Max_WL_count)+2,FALSE),Tools!$AD$3:$BC$27,MOD(ROW()-2,Max_WL_count)+2,FALSE),"")</f>
        <v/>
      </c>
      <c r="E310" s="435" t="str">
        <f>IFERROR(IF(ISNUMBER(D310),HLOOKUP(Tools!$BE$2,Tools!$BE$2:$BE$27,MOD(ROW()-2,Max_WL_count)+2,FALSE)*WLS,""),"")</f>
        <v/>
      </c>
      <c r="I310" s="431">
        <f t="shared" si="29"/>
        <v>309</v>
      </c>
      <c r="J310" s="434">
        <f t="shared" si="25"/>
        <v>24</v>
      </c>
      <c r="K310" s="437">
        <f>IFERROR(-LBP/2+HLOOKUP(Stn_WL,Tools!$AD$2:$AD$27,N310+2,FALSE)*STN_GAP,"")</f>
        <v>69.444999999999993</v>
      </c>
      <c r="L310" s="437">
        <f>IFERROR(IF(AND(ISNUMBER(K310),O310=0),0,VLOOKUP(HLOOKUP(Stn_WL,Tools!$AD$2:$AD$27,N310+2,FALSE),Tools!$AD$3:$BC$27,O310+1,FALSE)),"")</f>
        <v>2.42</v>
      </c>
      <c r="M310" s="437">
        <f>IFERROR(IF(ISNUMBER(L310),IF(O310=0,IFERROR(HLOOKUP(Tools!$BD$127,Tools!$BD$127:$BD$152,N310+2,FALSE)*1,0),HLOOKUP(Tools!$BE$2,Tools!$BE$2:$BE$27,O310+1,FALSE)*WLS),""),"")</f>
        <v>9.6999999999999993</v>
      </c>
      <c r="N310">
        <f t="shared" si="26"/>
        <v>23</v>
      </c>
      <c r="O310">
        <f t="shared" si="27"/>
        <v>9</v>
      </c>
    </row>
    <row r="311" spans="1:15" x14ac:dyDescent="0.25">
      <c r="A311" s="431" t="str">
        <f t="shared" si="28"/>
        <v/>
      </c>
      <c r="B311" s="434" t="str">
        <f t="shared" si="24"/>
        <v/>
      </c>
      <c r="C311" s="437" t="str">
        <f>IFERROR(-LBP/2+HLOOKUP(Stn_WL,Tools!$AD$2:$AD$27,QUOTIENT(ROW()-2,Max_WL_count)+2,FALSE)*STN_GAP,"")</f>
        <v/>
      </c>
      <c r="D311" s="437" t="str">
        <f>IFERROR(VLOOKUP(HLOOKUP(Stn_WL,Tools!$AD$2:$AD$27,QUOTIENT(ROW()-2,Max_WL_count)+2,FALSE),Tools!$AD$3:$BC$27,MOD(ROW()-2,Max_WL_count)+2,FALSE),"")</f>
        <v/>
      </c>
      <c r="E311" s="435" t="str">
        <f>IFERROR(IF(ISNUMBER(D311),HLOOKUP(Tools!$BE$2,Tools!$BE$2:$BE$27,MOD(ROW()-2,Max_WL_count)+2,FALSE)*WLS,""),"")</f>
        <v/>
      </c>
      <c r="I311" s="431">
        <f t="shared" si="29"/>
        <v>310</v>
      </c>
      <c r="J311" s="434">
        <f t="shared" si="25"/>
        <v>24</v>
      </c>
      <c r="K311" s="437">
        <f>IFERROR(-LBP/2+HLOOKUP(Stn_WL,Tools!$AD$2:$AD$27,N311+2,FALSE)*STN_GAP,"")</f>
        <v>69.444999999999993</v>
      </c>
      <c r="L311" s="437">
        <f>IFERROR(IF(AND(ISNUMBER(K311),O311=0),0,VLOOKUP(HLOOKUP(Stn_WL,Tools!$AD$2:$AD$27,N311+2,FALSE),Tools!$AD$3:$BC$27,O311+1,FALSE)),"")</f>
        <v>2.4962</v>
      </c>
      <c r="M311" s="437">
        <f>IFERROR(IF(ISNUMBER(L311),IF(O311=0,IFERROR(HLOOKUP(Tools!$BD$127,Tools!$BD$127:$BD$152,N311+2,FALSE)*1,0),HLOOKUP(Tools!$BE$2,Tools!$BE$2:$BE$27,O311+1,FALSE)*WLS),""),"")</f>
        <v>10</v>
      </c>
      <c r="N311">
        <f t="shared" si="26"/>
        <v>23</v>
      </c>
      <c r="O311">
        <f t="shared" si="27"/>
        <v>10</v>
      </c>
    </row>
    <row r="312" spans="1:15" x14ac:dyDescent="0.25">
      <c r="A312" s="431" t="str">
        <f t="shared" si="28"/>
        <v/>
      </c>
      <c r="B312" s="434" t="str">
        <f t="shared" si="24"/>
        <v/>
      </c>
      <c r="C312" s="437" t="str">
        <f>IFERROR(-LBP/2+HLOOKUP(Stn_WL,Tools!$AD$2:$AD$27,QUOTIENT(ROW()-2,Max_WL_count)+2,FALSE)*STN_GAP,"")</f>
        <v/>
      </c>
      <c r="D312" s="437" t="str">
        <f>IFERROR(VLOOKUP(HLOOKUP(Stn_WL,Tools!$AD$2:$AD$27,QUOTIENT(ROW()-2,Max_WL_count)+2,FALSE),Tools!$AD$3:$BC$27,MOD(ROW()-2,Max_WL_count)+2,FALSE),"")</f>
        <v/>
      </c>
      <c r="E312" s="435" t="str">
        <f>IFERROR(IF(ISNUMBER(D312),HLOOKUP(Tools!$BE$2,Tools!$BE$2:$BE$27,MOD(ROW()-2,Max_WL_count)+2,FALSE)*WLS,""),"")</f>
        <v/>
      </c>
      <c r="I312" s="431">
        <f t="shared" si="29"/>
        <v>311</v>
      </c>
      <c r="J312" s="434">
        <f t="shared" si="25"/>
        <v>24</v>
      </c>
      <c r="K312" s="437">
        <f>IFERROR(-LBP/2+HLOOKUP(Stn_WL,Tools!$AD$2:$AD$27,N312+2,FALSE)*STN_GAP,"")</f>
        <v>69.444999999999993</v>
      </c>
      <c r="L312" s="437">
        <f>IFERROR(IF(AND(ISNUMBER(K312),O312=0),0,VLOOKUP(HLOOKUP(Stn_WL,Tools!$AD$2:$AD$27,N312+2,FALSE),Tools!$AD$3:$BC$27,O312+1,FALSE)),"")</f>
        <v>3.19</v>
      </c>
      <c r="M312" s="437">
        <f>IFERROR(IF(ISNUMBER(L312),IF(O312=0,IFERROR(HLOOKUP(Tools!$BD$127,Tools!$BD$127:$BD$152,N312+2,FALSE)*1,0),HLOOKUP(Tools!$BE$2,Tools!$BE$2:$BE$27,O312+1,FALSE)*WLS),""),"")</f>
        <v>12</v>
      </c>
      <c r="N312">
        <f t="shared" si="26"/>
        <v>23</v>
      </c>
      <c r="O312">
        <f t="shared" si="27"/>
        <v>11</v>
      </c>
    </row>
    <row r="313" spans="1:15" x14ac:dyDescent="0.25">
      <c r="A313" s="431" t="str">
        <f t="shared" si="28"/>
        <v/>
      </c>
      <c r="B313" s="434" t="str">
        <f t="shared" si="24"/>
        <v/>
      </c>
      <c r="C313" s="437" t="str">
        <f>IFERROR(-LBP/2+HLOOKUP(Stn_WL,Tools!$AD$2:$AD$27,QUOTIENT(ROW()-2,Max_WL_count)+2,FALSE)*STN_GAP,"")</f>
        <v/>
      </c>
      <c r="D313" s="437" t="str">
        <f>IFERROR(VLOOKUP(HLOOKUP(Stn_WL,Tools!$AD$2:$AD$27,QUOTIENT(ROW()-2,Max_WL_count)+2,FALSE),Tools!$AD$3:$BC$27,MOD(ROW()-2,Max_WL_count)+2,FALSE),"")</f>
        <v/>
      </c>
      <c r="E313" s="435" t="str">
        <f>IFERROR(IF(ISNUMBER(D313),HLOOKUP(Tools!$BE$2,Tools!$BE$2:$BE$27,MOD(ROW()-2,Max_WL_count)+2,FALSE)*WLS,""),"")</f>
        <v/>
      </c>
      <c r="I313" s="431">
        <f t="shared" si="29"/>
        <v>312</v>
      </c>
      <c r="J313" s="434">
        <f t="shared" si="25"/>
        <v>24</v>
      </c>
      <c r="K313" s="437">
        <f>IFERROR(-LBP/2+HLOOKUP(Stn_WL,Tools!$AD$2:$AD$27,N313+2,FALSE)*STN_GAP,"")</f>
        <v>69.444999999999993</v>
      </c>
      <c r="L313" s="437">
        <f>IFERROR(IF(AND(ISNUMBER(K313),O313=0),0,VLOOKUP(HLOOKUP(Stn_WL,Tools!$AD$2:$AD$27,N313+2,FALSE),Tools!$AD$3:$BC$27,O313+1,FALSE)),"")</f>
        <v>3.63</v>
      </c>
      <c r="M313" s="437">
        <f>IFERROR(IF(ISNUMBER(L313),IF(O313=0,IFERROR(HLOOKUP(Tools!$BD$127,Tools!$BD$127:$BD$152,N313+2,FALSE)*1,0),HLOOKUP(Tools!$BE$2,Tools!$BE$2:$BE$27,O313+1,FALSE)*WLS),""),"")</f>
        <v>13</v>
      </c>
      <c r="N313">
        <f t="shared" si="26"/>
        <v>23</v>
      </c>
      <c r="O313">
        <f t="shared" si="27"/>
        <v>12</v>
      </c>
    </row>
    <row r="314" spans="1:15" x14ac:dyDescent="0.25">
      <c r="A314" s="431" t="str">
        <f t="shared" si="28"/>
        <v/>
      </c>
      <c r="B314" s="434" t="str">
        <f t="shared" si="24"/>
        <v/>
      </c>
      <c r="C314" s="437" t="str">
        <f>IFERROR(-LBP/2+HLOOKUP(Stn_WL,Tools!$AD$2:$AD$27,QUOTIENT(ROW()-2,Max_WL_count)+2,FALSE)*STN_GAP,"")</f>
        <v/>
      </c>
      <c r="D314" s="437" t="str">
        <f>IFERROR(VLOOKUP(HLOOKUP(Stn_WL,Tools!$AD$2:$AD$27,QUOTIENT(ROW()-2,Max_WL_count)+2,FALSE),Tools!$AD$3:$BC$27,MOD(ROW()-2,Max_WL_count)+2,FALSE),"")</f>
        <v/>
      </c>
      <c r="E314" s="435" t="str">
        <f>IFERROR(IF(ISNUMBER(D314),HLOOKUP(Tools!$BE$2,Tools!$BE$2:$BE$27,MOD(ROW()-2,Max_WL_count)+2,FALSE)*WLS,""),"")</f>
        <v/>
      </c>
      <c r="I314" s="431">
        <f t="shared" si="29"/>
        <v>313</v>
      </c>
      <c r="J314" s="434">
        <f t="shared" si="25"/>
        <v>25</v>
      </c>
      <c r="K314" s="437">
        <f>IFERROR(-LBP/2+HLOOKUP(Stn_WL,Tools!$AD$2:$AD$27,N314+2,FALSE)*STN_GAP,"")</f>
        <v>73.099999999999994</v>
      </c>
      <c r="L314" s="437">
        <f>IFERROR(IF(AND(ISNUMBER(K314),O314=0),0,VLOOKUP(HLOOKUP(Stn_WL,Tools!$AD$2:$AD$27,N314+2,FALSE),Tools!$AD$3:$BC$27,O314+1,FALSE)),"")</f>
        <v>0</v>
      </c>
      <c r="M314" s="437">
        <f>IFERROR(IF(ISNUMBER(L314),IF(O314=0,IFERROR(HLOOKUP(Tools!$BD$127,Tools!$BD$127:$BD$152,N314+2,FALSE)*1,0),HLOOKUP(Tools!$BE$2,Tools!$BE$2:$BE$27,O314+1,FALSE)*WLS),""),"")</f>
        <v>0</v>
      </c>
      <c r="N314">
        <f t="shared" si="26"/>
        <v>24</v>
      </c>
      <c r="O314">
        <f t="shared" si="27"/>
        <v>0</v>
      </c>
    </row>
    <row r="315" spans="1:15" x14ac:dyDescent="0.25">
      <c r="A315" s="431" t="str">
        <f t="shared" si="28"/>
        <v/>
      </c>
      <c r="B315" s="434" t="str">
        <f t="shared" si="24"/>
        <v/>
      </c>
      <c r="C315" s="437" t="str">
        <f>IFERROR(-LBP/2+HLOOKUP(Stn_WL,Tools!$AD$2:$AD$27,QUOTIENT(ROW()-2,Max_WL_count)+2,FALSE)*STN_GAP,"")</f>
        <v/>
      </c>
      <c r="D315" s="437" t="str">
        <f>IFERROR(VLOOKUP(HLOOKUP(Stn_WL,Tools!$AD$2:$AD$27,QUOTIENT(ROW()-2,Max_WL_count)+2,FALSE),Tools!$AD$3:$BC$27,MOD(ROW()-2,Max_WL_count)+2,FALSE),"")</f>
        <v/>
      </c>
      <c r="E315" s="435" t="str">
        <f>IFERROR(IF(ISNUMBER(D315),HLOOKUP(Tools!$BE$2,Tools!$BE$2:$BE$27,MOD(ROW()-2,Max_WL_count)+2,FALSE)*WLS,""),"")</f>
        <v/>
      </c>
      <c r="I315" s="431">
        <f t="shared" si="29"/>
        <v>314</v>
      </c>
      <c r="J315" s="434">
        <f t="shared" si="25"/>
        <v>25</v>
      </c>
      <c r="K315" s="437">
        <f>IFERROR(-LBP/2+HLOOKUP(Stn_WL,Tools!$AD$2:$AD$27,N315+2,FALSE)*STN_GAP,"")</f>
        <v>73.099999999999994</v>
      </c>
      <c r="L315" s="437">
        <f>IFERROR(IF(AND(ISNUMBER(K315),O315=0),0,VLOOKUP(HLOOKUP(Stn_WL,Tools!$AD$2:$AD$27,N315+2,FALSE),Tools!$AD$3:$BC$27,O315+1,FALSE)),"")</f>
        <v>0.1</v>
      </c>
      <c r="M315" s="437">
        <f>IFERROR(IF(ISNUMBER(L315),IF(O315=0,IFERROR(HLOOKUP(Tools!$BD$127,Tools!$BD$127:$BD$152,N315+2,FALSE)*1,0),HLOOKUP(Tools!$BE$2,Tools!$BE$2:$BE$27,O315+1,FALSE)*WLS),""),"")</f>
        <v>0</v>
      </c>
      <c r="N315">
        <f t="shared" si="26"/>
        <v>24</v>
      </c>
      <c r="O315">
        <f t="shared" si="27"/>
        <v>1</v>
      </c>
    </row>
    <row r="316" spans="1:15" x14ac:dyDescent="0.25">
      <c r="A316" s="431" t="str">
        <f t="shared" si="28"/>
        <v/>
      </c>
      <c r="B316" s="434" t="str">
        <f t="shared" si="24"/>
        <v/>
      </c>
      <c r="C316" s="437" t="str">
        <f>IFERROR(-LBP/2+HLOOKUP(Stn_WL,Tools!$AD$2:$AD$27,QUOTIENT(ROW()-2,Max_WL_count)+2,FALSE)*STN_GAP,"")</f>
        <v/>
      </c>
      <c r="D316" s="437" t="str">
        <f>IFERROR(VLOOKUP(HLOOKUP(Stn_WL,Tools!$AD$2:$AD$27,QUOTIENT(ROW()-2,Max_WL_count)+2,FALSE),Tools!$AD$3:$BC$27,MOD(ROW()-2,Max_WL_count)+2,FALSE),"")</f>
        <v/>
      </c>
      <c r="E316" s="435" t="str">
        <f>IFERROR(IF(ISNUMBER(D316),HLOOKUP(Tools!$BE$2,Tools!$BE$2:$BE$27,MOD(ROW()-2,Max_WL_count)+2,FALSE)*WLS,""),"")</f>
        <v/>
      </c>
      <c r="I316" s="431">
        <f t="shared" si="29"/>
        <v>315</v>
      </c>
      <c r="J316" s="434">
        <f t="shared" si="25"/>
        <v>25</v>
      </c>
      <c r="K316" s="437">
        <f>IFERROR(-LBP/2+HLOOKUP(Stn_WL,Tools!$AD$2:$AD$27,N316+2,FALSE)*STN_GAP,"")</f>
        <v>73.099999999999994</v>
      </c>
      <c r="L316" s="437">
        <f>IFERROR(IF(AND(ISNUMBER(K316),O316=0),0,VLOOKUP(HLOOKUP(Stn_WL,Tools!$AD$2:$AD$27,N316+2,FALSE),Tools!$AD$3:$BC$27,O316+1,FALSE)),"")</f>
        <v>0.8</v>
      </c>
      <c r="M316" s="437">
        <f>IFERROR(IF(ISNUMBER(L316),IF(O316=0,IFERROR(HLOOKUP(Tools!$BD$127,Tools!$BD$127:$BD$152,N316+2,FALSE)*1,0),HLOOKUP(Tools!$BE$2,Tools!$BE$2:$BE$27,O316+1,FALSE)*WLS),""),"")</f>
        <v>0.5</v>
      </c>
      <c r="N316">
        <f t="shared" si="26"/>
        <v>24</v>
      </c>
      <c r="O316">
        <f t="shared" si="27"/>
        <v>2</v>
      </c>
    </row>
    <row r="317" spans="1:15" x14ac:dyDescent="0.25">
      <c r="A317" s="431" t="str">
        <f t="shared" si="28"/>
        <v/>
      </c>
      <c r="B317" s="434" t="str">
        <f t="shared" si="24"/>
        <v/>
      </c>
      <c r="C317" s="437" t="str">
        <f>IFERROR(-LBP/2+HLOOKUP(Stn_WL,Tools!$AD$2:$AD$27,QUOTIENT(ROW()-2,Max_WL_count)+2,FALSE)*STN_GAP,"")</f>
        <v/>
      </c>
      <c r="D317" s="437" t="str">
        <f>IFERROR(VLOOKUP(HLOOKUP(Stn_WL,Tools!$AD$2:$AD$27,QUOTIENT(ROW()-2,Max_WL_count)+2,FALSE),Tools!$AD$3:$BC$27,MOD(ROW()-2,Max_WL_count)+2,FALSE),"")</f>
        <v/>
      </c>
      <c r="E317" s="435" t="str">
        <f>IFERROR(IF(ISNUMBER(D317),HLOOKUP(Tools!$BE$2,Tools!$BE$2:$BE$27,MOD(ROW()-2,Max_WL_count)+2,FALSE)*WLS,""),"")</f>
        <v/>
      </c>
      <c r="I317" s="431">
        <f t="shared" si="29"/>
        <v>316</v>
      </c>
      <c r="J317" s="434">
        <f t="shared" si="25"/>
        <v>25</v>
      </c>
      <c r="K317" s="437">
        <f>IFERROR(-LBP/2+HLOOKUP(Stn_WL,Tools!$AD$2:$AD$27,N317+2,FALSE)*STN_GAP,"")</f>
        <v>73.099999999999994</v>
      </c>
      <c r="L317" s="437">
        <f>IFERROR(IF(AND(ISNUMBER(K317),O317=0),0,VLOOKUP(HLOOKUP(Stn_WL,Tools!$AD$2:$AD$27,N317+2,FALSE),Tools!$AD$3:$BC$27,O317+1,FALSE)),"")</f>
        <v>1.2</v>
      </c>
      <c r="M317" s="437">
        <f>IFERROR(IF(ISNUMBER(L317),IF(O317=0,IFERROR(HLOOKUP(Tools!$BD$127,Tools!$BD$127:$BD$152,N317+2,FALSE)*1,0),HLOOKUP(Tools!$BE$2,Tools!$BE$2:$BE$27,O317+1,FALSE)*WLS),""),"")</f>
        <v>1</v>
      </c>
      <c r="N317">
        <f t="shared" si="26"/>
        <v>24</v>
      </c>
      <c r="O317">
        <f t="shared" si="27"/>
        <v>3</v>
      </c>
    </row>
    <row r="318" spans="1:15" x14ac:dyDescent="0.25">
      <c r="A318" s="431" t="str">
        <f t="shared" si="28"/>
        <v/>
      </c>
      <c r="B318" s="434" t="str">
        <f t="shared" si="24"/>
        <v/>
      </c>
      <c r="C318" s="437" t="str">
        <f>IFERROR(-LBP/2+HLOOKUP(Stn_WL,Tools!$AD$2:$AD$27,QUOTIENT(ROW()-2,Max_WL_count)+2,FALSE)*STN_GAP,"")</f>
        <v/>
      </c>
      <c r="D318" s="437" t="str">
        <f>IFERROR(VLOOKUP(HLOOKUP(Stn_WL,Tools!$AD$2:$AD$27,QUOTIENT(ROW()-2,Max_WL_count)+2,FALSE),Tools!$AD$3:$BC$27,MOD(ROW()-2,Max_WL_count)+2,FALSE),"")</f>
        <v/>
      </c>
      <c r="E318" s="435" t="str">
        <f>IFERROR(IF(ISNUMBER(D318),HLOOKUP(Tools!$BE$2,Tools!$BE$2:$BE$27,MOD(ROW()-2,Max_WL_count)+2,FALSE)*WLS,""),"")</f>
        <v/>
      </c>
      <c r="I318" s="431">
        <f t="shared" si="29"/>
        <v>317</v>
      </c>
      <c r="J318" s="434">
        <f t="shared" si="25"/>
        <v>25</v>
      </c>
      <c r="K318" s="437">
        <f>IFERROR(-LBP/2+HLOOKUP(Stn_WL,Tools!$AD$2:$AD$27,N318+2,FALSE)*STN_GAP,"")</f>
        <v>73.099999999999994</v>
      </c>
      <c r="L318" s="437">
        <f>IFERROR(IF(AND(ISNUMBER(K318),O318=0),0,VLOOKUP(HLOOKUP(Stn_WL,Tools!$AD$2:$AD$27,N318+2,FALSE),Tools!$AD$3:$BC$27,O318+1,FALSE)),"")</f>
        <v>1.43</v>
      </c>
      <c r="M318" s="437">
        <f>IFERROR(IF(ISNUMBER(L318),IF(O318=0,IFERROR(HLOOKUP(Tools!$BD$127,Tools!$BD$127:$BD$152,N318+2,FALSE)*1,0),HLOOKUP(Tools!$BE$2,Tools!$BE$2:$BE$27,O318+1,FALSE)*WLS),""),"")</f>
        <v>1.5</v>
      </c>
      <c r="N318">
        <f t="shared" si="26"/>
        <v>24</v>
      </c>
      <c r="O318">
        <f t="shared" si="27"/>
        <v>4</v>
      </c>
    </row>
    <row r="319" spans="1:15" x14ac:dyDescent="0.25">
      <c r="A319" s="431" t="str">
        <f t="shared" si="28"/>
        <v/>
      </c>
      <c r="B319" s="434" t="str">
        <f t="shared" si="24"/>
        <v/>
      </c>
      <c r="C319" s="437" t="str">
        <f>IFERROR(-LBP/2+HLOOKUP(Stn_WL,Tools!$AD$2:$AD$27,QUOTIENT(ROW()-2,Max_WL_count)+2,FALSE)*STN_GAP,"")</f>
        <v/>
      </c>
      <c r="D319" s="437" t="str">
        <f>IFERROR(VLOOKUP(HLOOKUP(Stn_WL,Tools!$AD$2:$AD$27,QUOTIENT(ROW()-2,Max_WL_count)+2,FALSE),Tools!$AD$3:$BC$27,MOD(ROW()-2,Max_WL_count)+2,FALSE),"")</f>
        <v/>
      </c>
      <c r="E319" s="435" t="str">
        <f>IFERROR(IF(ISNUMBER(D319),HLOOKUP(Tools!$BE$2,Tools!$BE$2:$BE$27,MOD(ROW()-2,Max_WL_count)+2,FALSE)*WLS,""),"")</f>
        <v/>
      </c>
      <c r="I319" s="431">
        <f t="shared" si="29"/>
        <v>318</v>
      </c>
      <c r="J319" s="434">
        <f t="shared" si="25"/>
        <v>25</v>
      </c>
      <c r="K319" s="437">
        <f>IFERROR(-LBP/2+HLOOKUP(Stn_WL,Tools!$AD$2:$AD$27,N319+2,FALSE)*STN_GAP,"")</f>
        <v>73.099999999999994</v>
      </c>
      <c r="L319" s="437">
        <f>IFERROR(IF(AND(ISNUMBER(K319),O319=0),0,VLOOKUP(HLOOKUP(Stn_WL,Tools!$AD$2:$AD$27,N319+2,FALSE),Tools!$AD$3:$BC$27,O319+1,FALSE)),"")</f>
        <v>1.53</v>
      </c>
      <c r="M319" s="437">
        <f>IFERROR(IF(ISNUMBER(L319),IF(O319=0,IFERROR(HLOOKUP(Tools!$BD$127,Tools!$BD$127:$BD$152,N319+2,FALSE)*1,0),HLOOKUP(Tools!$BE$2,Tools!$BE$2:$BE$27,O319+1,FALSE)*WLS),""),"")</f>
        <v>2</v>
      </c>
      <c r="N319">
        <f t="shared" si="26"/>
        <v>24</v>
      </c>
      <c r="O319">
        <f t="shared" si="27"/>
        <v>5</v>
      </c>
    </row>
    <row r="320" spans="1:15" x14ac:dyDescent="0.25">
      <c r="A320" s="431" t="str">
        <f t="shared" si="28"/>
        <v/>
      </c>
      <c r="B320" s="434" t="str">
        <f t="shared" si="24"/>
        <v/>
      </c>
      <c r="C320" s="437" t="str">
        <f>IFERROR(-LBP/2+HLOOKUP(Stn_WL,Tools!$AD$2:$AD$27,QUOTIENT(ROW()-2,Max_WL_count)+2,FALSE)*STN_GAP,"")</f>
        <v/>
      </c>
      <c r="D320" s="437" t="str">
        <f>IFERROR(VLOOKUP(HLOOKUP(Stn_WL,Tools!$AD$2:$AD$27,QUOTIENT(ROW()-2,Max_WL_count)+2,FALSE),Tools!$AD$3:$BC$27,MOD(ROW()-2,Max_WL_count)+2,FALSE),"")</f>
        <v/>
      </c>
      <c r="E320" s="435" t="str">
        <f>IFERROR(IF(ISNUMBER(D320),HLOOKUP(Tools!$BE$2,Tools!$BE$2:$BE$27,MOD(ROW()-2,Max_WL_count)+2,FALSE)*WLS,""),"")</f>
        <v/>
      </c>
      <c r="I320" s="431">
        <f t="shared" si="29"/>
        <v>319</v>
      </c>
      <c r="J320" s="434">
        <f t="shared" si="25"/>
        <v>25</v>
      </c>
      <c r="K320" s="437">
        <f>IFERROR(-LBP/2+HLOOKUP(Stn_WL,Tools!$AD$2:$AD$27,N320+2,FALSE)*STN_GAP,"")</f>
        <v>73.099999999999994</v>
      </c>
      <c r="L320" s="437">
        <f>IFERROR(IF(AND(ISNUMBER(K320),O320=0),0,VLOOKUP(HLOOKUP(Stn_WL,Tools!$AD$2:$AD$27,N320+2,FALSE),Tools!$AD$3:$BC$27,O320+1,FALSE)),"")</f>
        <v>1.1200000000000001</v>
      </c>
      <c r="M320" s="437">
        <f>IFERROR(IF(ISNUMBER(L320),IF(O320=0,IFERROR(HLOOKUP(Tools!$BD$127,Tools!$BD$127:$BD$152,N320+2,FALSE)*1,0),HLOOKUP(Tools!$BE$2,Tools!$BE$2:$BE$27,O320+1,FALSE)*WLS),""),"")</f>
        <v>4</v>
      </c>
      <c r="N320">
        <f t="shared" si="26"/>
        <v>24</v>
      </c>
      <c r="O320">
        <f t="shared" si="27"/>
        <v>6</v>
      </c>
    </row>
    <row r="321" spans="1:15" x14ac:dyDescent="0.25">
      <c r="A321" s="431" t="str">
        <f t="shared" si="28"/>
        <v/>
      </c>
      <c r="B321" s="434" t="str">
        <f t="shared" si="24"/>
        <v/>
      </c>
      <c r="C321" s="437" t="str">
        <f>IFERROR(-LBP/2+HLOOKUP(Stn_WL,Tools!$AD$2:$AD$27,QUOTIENT(ROW()-2,Max_WL_count)+2,FALSE)*STN_GAP,"")</f>
        <v/>
      </c>
      <c r="D321" s="437" t="str">
        <f>IFERROR(VLOOKUP(HLOOKUP(Stn_WL,Tools!$AD$2:$AD$27,QUOTIENT(ROW()-2,Max_WL_count)+2,FALSE),Tools!$AD$3:$BC$27,MOD(ROW()-2,Max_WL_count)+2,FALSE),"")</f>
        <v/>
      </c>
      <c r="E321" s="435" t="str">
        <f>IFERROR(IF(ISNUMBER(D321),HLOOKUP(Tools!$BE$2,Tools!$BE$2:$BE$27,MOD(ROW()-2,Max_WL_count)+2,FALSE)*WLS,""),"")</f>
        <v/>
      </c>
      <c r="I321" s="431">
        <f t="shared" si="29"/>
        <v>320</v>
      </c>
      <c r="J321" s="434">
        <f t="shared" si="25"/>
        <v>25</v>
      </c>
      <c r="K321" s="437">
        <f>IFERROR(-LBP/2+HLOOKUP(Stn_WL,Tools!$AD$2:$AD$27,N321+2,FALSE)*STN_GAP,"")</f>
        <v>73.099999999999994</v>
      </c>
      <c r="L321" s="437">
        <f>IFERROR(IF(AND(ISNUMBER(K321),O321=0),0,VLOOKUP(HLOOKUP(Stn_WL,Tools!$AD$2:$AD$27,N321+2,FALSE),Tools!$AD$3:$BC$27,O321+1,FALSE)),"")</f>
        <v>0.5</v>
      </c>
      <c r="M321" s="437">
        <f>IFERROR(IF(ISNUMBER(L321),IF(O321=0,IFERROR(HLOOKUP(Tools!$BD$127,Tools!$BD$127:$BD$152,N321+2,FALSE)*1,0),HLOOKUP(Tools!$BE$2,Tools!$BE$2:$BE$27,O321+1,FALSE)*WLS),""),"")</f>
        <v>6</v>
      </c>
      <c r="N321">
        <f t="shared" si="26"/>
        <v>24</v>
      </c>
      <c r="O321">
        <f t="shared" si="27"/>
        <v>7</v>
      </c>
    </row>
    <row r="322" spans="1:15" x14ac:dyDescent="0.25">
      <c r="A322" s="431" t="str">
        <f t="shared" si="28"/>
        <v/>
      </c>
      <c r="B322" s="434" t="str">
        <f t="shared" ref="B322:B385" si="30">IFERROR(IF(ISNUMBER(D322),QUOTIENT(ROW()-2,Max_WL_count)+1,""),"")</f>
        <v/>
      </c>
      <c r="C322" s="437" t="str">
        <f>IFERROR(-LBP/2+HLOOKUP(Stn_WL,Tools!$AD$2:$AD$27,QUOTIENT(ROW()-2,Max_WL_count)+2,FALSE)*STN_GAP,"")</f>
        <v/>
      </c>
      <c r="D322" s="437" t="str">
        <f>IFERROR(VLOOKUP(HLOOKUP(Stn_WL,Tools!$AD$2:$AD$27,QUOTIENT(ROW()-2,Max_WL_count)+2,FALSE),Tools!$AD$3:$BC$27,MOD(ROW()-2,Max_WL_count)+2,FALSE),"")</f>
        <v/>
      </c>
      <c r="E322" s="435" t="str">
        <f>IFERROR(IF(ISNUMBER(D322),HLOOKUP(Tools!$BE$2,Tools!$BE$2:$BE$27,MOD(ROW()-2,Max_WL_count)+2,FALSE)*WLS,""),"")</f>
        <v/>
      </c>
      <c r="I322" s="431">
        <f t="shared" si="29"/>
        <v>321</v>
      </c>
      <c r="J322" s="434">
        <f t="shared" ref="J322:J385" si="31">IFERROR(IF(ISNUMBER(L322),QUOTIENT(ROW()-2,Max_WL_count+1)+1,""),"")</f>
        <v>25</v>
      </c>
      <c r="K322" s="437">
        <f>IFERROR(-LBP/2+HLOOKUP(Stn_WL,Tools!$AD$2:$AD$27,N322+2,FALSE)*STN_GAP,"")</f>
        <v>73.099999999999994</v>
      </c>
      <c r="L322" s="437">
        <f>IFERROR(IF(AND(ISNUMBER(K322),O322=0),0,VLOOKUP(HLOOKUP(Stn_WL,Tools!$AD$2:$AD$27,N322+2,FALSE),Tools!$AD$3:$BC$27,O322+1,FALSE)),"")</f>
        <v>0.08</v>
      </c>
      <c r="M322" s="437">
        <f>IFERROR(IF(ISNUMBER(L322),IF(O322=0,IFERROR(HLOOKUP(Tools!$BD$127,Tools!$BD$127:$BD$152,N322+2,FALSE)*1,0),HLOOKUP(Tools!$BE$2,Tools!$BE$2:$BE$27,O322+1,FALSE)*WLS),""),"")</f>
        <v>8</v>
      </c>
      <c r="N322">
        <f t="shared" ref="N322:N385" si="32">QUOTIENT(ROW()-2,Max_WL_count+1)</f>
        <v>24</v>
      </c>
      <c r="O322">
        <f t="shared" ref="O322:O385" si="33">MOD(ROW()-2,Max_WL_count+1)</f>
        <v>8</v>
      </c>
    </row>
    <row r="323" spans="1:15" x14ac:dyDescent="0.25">
      <c r="A323" s="431" t="str">
        <f t="shared" ref="A323:A386" si="34">IF(ISNUMBER(D323),ROW()-1,"")</f>
        <v/>
      </c>
      <c r="B323" s="434" t="str">
        <f t="shared" si="30"/>
        <v/>
      </c>
      <c r="C323" s="437" t="str">
        <f>IFERROR(-LBP/2+HLOOKUP(Stn_WL,Tools!$AD$2:$AD$27,QUOTIENT(ROW()-2,Max_WL_count)+2,FALSE)*STN_GAP,"")</f>
        <v/>
      </c>
      <c r="D323" s="437" t="str">
        <f>IFERROR(VLOOKUP(HLOOKUP(Stn_WL,Tools!$AD$2:$AD$27,QUOTIENT(ROW()-2,Max_WL_count)+2,FALSE),Tools!$AD$3:$BC$27,MOD(ROW()-2,Max_WL_count)+2,FALSE),"")</f>
        <v/>
      </c>
      <c r="E323" s="435" t="str">
        <f>IFERROR(IF(ISNUMBER(D323),HLOOKUP(Tools!$BE$2,Tools!$BE$2:$BE$27,MOD(ROW()-2,Max_WL_count)+2,FALSE)*WLS,""),"")</f>
        <v/>
      </c>
      <c r="I323" s="431">
        <f t="shared" ref="I323:I386" si="35">IF(ISNUMBER(L323),ROW()-1,"")</f>
        <v>322</v>
      </c>
      <c r="J323" s="434">
        <f t="shared" si="31"/>
        <v>25</v>
      </c>
      <c r="K323" s="437">
        <f>IFERROR(-LBP/2+HLOOKUP(Stn_WL,Tools!$AD$2:$AD$27,N323+2,FALSE)*STN_GAP,"")</f>
        <v>73.099999999999994</v>
      </c>
      <c r="L323" s="437">
        <f>IFERROR(IF(AND(ISNUMBER(K323),O323=0),0,VLOOKUP(HLOOKUP(Stn_WL,Tools!$AD$2:$AD$27,N323+2,FALSE),Tools!$AD$3:$BC$27,O323+1,FALSE)),"")</f>
        <v>0</v>
      </c>
      <c r="M323" s="437">
        <f>IFERROR(IF(ISNUMBER(L323),IF(O323=0,IFERROR(HLOOKUP(Tools!$BD$127,Tools!$BD$127:$BD$152,N323+2,FALSE)*1,0),HLOOKUP(Tools!$BE$2,Tools!$BE$2:$BE$27,O323+1,FALSE)*WLS),""),"")</f>
        <v>9.6999999999999993</v>
      </c>
      <c r="N323">
        <f t="shared" si="32"/>
        <v>24</v>
      </c>
      <c r="O323">
        <f t="shared" si="33"/>
        <v>9</v>
      </c>
    </row>
    <row r="324" spans="1:15" x14ac:dyDescent="0.25">
      <c r="A324" s="431" t="str">
        <f t="shared" si="34"/>
        <v/>
      </c>
      <c r="B324" s="434" t="str">
        <f t="shared" si="30"/>
        <v/>
      </c>
      <c r="C324" s="437" t="str">
        <f>IFERROR(-LBP/2+HLOOKUP(Stn_WL,Tools!$AD$2:$AD$27,QUOTIENT(ROW()-2,Max_WL_count)+2,FALSE)*STN_GAP,"")</f>
        <v/>
      </c>
      <c r="D324" s="437" t="str">
        <f>IFERROR(VLOOKUP(HLOOKUP(Stn_WL,Tools!$AD$2:$AD$27,QUOTIENT(ROW()-2,Max_WL_count)+2,FALSE),Tools!$AD$3:$BC$27,MOD(ROW()-2,Max_WL_count)+2,FALSE),"")</f>
        <v/>
      </c>
      <c r="E324" s="435" t="str">
        <f>IFERROR(IF(ISNUMBER(D324),HLOOKUP(Tools!$BE$2,Tools!$BE$2:$BE$27,MOD(ROW()-2,Max_WL_count)+2,FALSE)*WLS,""),"")</f>
        <v/>
      </c>
      <c r="I324" s="431">
        <f t="shared" si="35"/>
        <v>323</v>
      </c>
      <c r="J324" s="434">
        <f t="shared" si="31"/>
        <v>25</v>
      </c>
      <c r="K324" s="437">
        <f>IFERROR(-LBP/2+HLOOKUP(Stn_WL,Tools!$AD$2:$AD$27,N324+2,FALSE)*STN_GAP,"")</f>
        <v>73.099999999999994</v>
      </c>
      <c r="L324" s="437">
        <f>IFERROR(IF(AND(ISNUMBER(K324),O324=0),0,VLOOKUP(HLOOKUP(Stn_WL,Tools!$AD$2:$AD$27,N324+2,FALSE),Tools!$AD$3:$BC$27,O324+1,FALSE)),"")</f>
        <v>0.03</v>
      </c>
      <c r="M324" s="437">
        <f>IFERROR(IF(ISNUMBER(L324),IF(O324=0,IFERROR(HLOOKUP(Tools!$BD$127,Tools!$BD$127:$BD$152,N324+2,FALSE)*1,0),HLOOKUP(Tools!$BE$2,Tools!$BE$2:$BE$27,O324+1,FALSE)*WLS),""),"")</f>
        <v>10</v>
      </c>
      <c r="N324">
        <f t="shared" si="32"/>
        <v>24</v>
      </c>
      <c r="O324">
        <f t="shared" si="33"/>
        <v>10</v>
      </c>
    </row>
    <row r="325" spans="1:15" x14ac:dyDescent="0.25">
      <c r="A325" s="431" t="str">
        <f t="shared" si="34"/>
        <v/>
      </c>
      <c r="B325" s="434" t="str">
        <f t="shared" si="30"/>
        <v/>
      </c>
      <c r="C325" s="437" t="str">
        <f>IFERROR(-LBP/2+HLOOKUP(Stn_WL,Tools!$AD$2:$AD$27,QUOTIENT(ROW()-2,Max_WL_count)+2,FALSE)*STN_GAP,"")</f>
        <v/>
      </c>
      <c r="D325" s="437" t="str">
        <f>IFERROR(VLOOKUP(HLOOKUP(Stn_WL,Tools!$AD$2:$AD$27,QUOTIENT(ROW()-2,Max_WL_count)+2,FALSE),Tools!$AD$3:$BC$27,MOD(ROW()-2,Max_WL_count)+2,FALSE),"")</f>
        <v/>
      </c>
      <c r="E325" s="435" t="str">
        <f>IFERROR(IF(ISNUMBER(D325),HLOOKUP(Tools!$BE$2,Tools!$BE$2:$BE$27,MOD(ROW()-2,Max_WL_count)+2,FALSE)*WLS,""),"")</f>
        <v/>
      </c>
      <c r="I325" s="431">
        <f t="shared" si="35"/>
        <v>324</v>
      </c>
      <c r="J325" s="434">
        <f t="shared" si="31"/>
        <v>25</v>
      </c>
      <c r="K325" s="437">
        <f>IFERROR(-LBP/2+HLOOKUP(Stn_WL,Tools!$AD$2:$AD$27,N325+2,FALSE)*STN_GAP,"")</f>
        <v>73.099999999999994</v>
      </c>
      <c r="L325" s="437">
        <f>IFERROR(IF(AND(ISNUMBER(K325),O325=0),0,VLOOKUP(HLOOKUP(Stn_WL,Tools!$AD$2:$AD$27,N325+2,FALSE),Tools!$AD$3:$BC$27,O325+1,FALSE)),"")</f>
        <v>0.8</v>
      </c>
      <c r="M325" s="437">
        <f>IFERROR(IF(ISNUMBER(L325),IF(O325=0,IFERROR(HLOOKUP(Tools!$BD$127,Tools!$BD$127:$BD$152,N325+2,FALSE)*1,0),HLOOKUP(Tools!$BE$2,Tools!$BE$2:$BE$27,O325+1,FALSE)*WLS),""),"")</f>
        <v>12</v>
      </c>
      <c r="N325">
        <f t="shared" si="32"/>
        <v>24</v>
      </c>
      <c r="O325">
        <f t="shared" si="33"/>
        <v>11</v>
      </c>
    </row>
    <row r="326" spans="1:15" x14ac:dyDescent="0.25">
      <c r="A326" s="431" t="str">
        <f t="shared" si="34"/>
        <v/>
      </c>
      <c r="B326" s="434" t="str">
        <f t="shared" si="30"/>
        <v/>
      </c>
      <c r="C326" s="437" t="str">
        <f>IFERROR(-LBP/2+HLOOKUP(Stn_WL,Tools!$AD$2:$AD$27,QUOTIENT(ROW()-2,Max_WL_count)+2,FALSE)*STN_GAP,"")</f>
        <v/>
      </c>
      <c r="D326" s="437" t="str">
        <f>IFERROR(VLOOKUP(HLOOKUP(Stn_WL,Tools!$AD$2:$AD$27,QUOTIENT(ROW()-2,Max_WL_count)+2,FALSE),Tools!$AD$3:$BC$27,MOD(ROW()-2,Max_WL_count)+2,FALSE),"")</f>
        <v/>
      </c>
      <c r="E326" s="435" t="str">
        <f>IFERROR(IF(ISNUMBER(D326),HLOOKUP(Tools!$BE$2,Tools!$BE$2:$BE$27,MOD(ROW()-2,Max_WL_count)+2,FALSE)*WLS,""),"")</f>
        <v/>
      </c>
      <c r="I326" s="431">
        <f t="shared" si="35"/>
        <v>325</v>
      </c>
      <c r="J326" s="434">
        <f t="shared" si="31"/>
        <v>25</v>
      </c>
      <c r="K326" s="437">
        <f>IFERROR(-LBP/2+HLOOKUP(Stn_WL,Tools!$AD$2:$AD$27,N326+2,FALSE)*STN_GAP,"")</f>
        <v>73.099999999999994</v>
      </c>
      <c r="L326" s="437">
        <f>IFERROR(IF(AND(ISNUMBER(K326),O326=0),0,VLOOKUP(HLOOKUP(Stn_WL,Tools!$AD$2:$AD$27,N326+2,FALSE),Tools!$AD$3:$BC$27,O326+1,FALSE)),"")</f>
        <v>1.63</v>
      </c>
      <c r="M326" s="437">
        <f>IFERROR(IF(ISNUMBER(L326),IF(O326=0,IFERROR(HLOOKUP(Tools!$BD$127,Tools!$BD$127:$BD$152,N326+2,FALSE)*1,0),HLOOKUP(Tools!$BE$2,Tools!$BE$2:$BE$27,O326+1,FALSE)*WLS),""),"")</f>
        <v>13</v>
      </c>
      <c r="N326">
        <f t="shared" si="32"/>
        <v>24</v>
      </c>
      <c r="O326">
        <f t="shared" si="33"/>
        <v>12</v>
      </c>
    </row>
    <row r="327" spans="1:15" x14ac:dyDescent="0.25">
      <c r="A327" s="431" t="str">
        <f t="shared" si="34"/>
        <v/>
      </c>
      <c r="B327" s="434" t="str">
        <f t="shared" si="30"/>
        <v/>
      </c>
      <c r="C327" s="437" t="str">
        <f>IFERROR(-LBP/2+HLOOKUP(Stn_WL,Tools!$AD$2:$AD$27,QUOTIENT(ROW()-2,Max_WL_count)+2,FALSE)*STN_GAP,"")</f>
        <v/>
      </c>
      <c r="D327" s="437" t="str">
        <f>IFERROR(VLOOKUP(HLOOKUP(Stn_WL,Tools!$AD$2:$AD$27,QUOTIENT(ROW()-2,Max_WL_count)+2,FALSE),Tools!$AD$3:$BC$27,MOD(ROW()-2,Max_WL_count)+2,FALSE),"")</f>
        <v/>
      </c>
      <c r="E327" s="435" t="str">
        <f>IFERROR(IF(ISNUMBER(D327),HLOOKUP(Tools!$BE$2,Tools!$BE$2:$BE$27,MOD(ROW()-2,Max_WL_count)+2,FALSE)*WLS,""),"")</f>
        <v/>
      </c>
      <c r="I327" s="431" t="str">
        <f t="shared" si="35"/>
        <v/>
      </c>
      <c r="J327" s="434" t="str">
        <f t="shared" si="31"/>
        <v/>
      </c>
      <c r="K327" s="437" t="str">
        <f>IFERROR(-LBP/2+HLOOKUP(Stn_WL,Tools!$AD$2:$AD$27,N327+2,FALSE)*STN_GAP,"")</f>
        <v/>
      </c>
      <c r="L327" s="437" t="str">
        <f>IFERROR(IF(AND(ISNUMBER(K327),O327=0),0,VLOOKUP(HLOOKUP(Stn_WL,Tools!$AD$2:$AD$27,N327+2,FALSE),Tools!$AD$3:$BC$27,O327+1,FALSE)),"")</f>
        <v/>
      </c>
      <c r="M327" s="437" t="str">
        <f>IFERROR(IF(ISNUMBER(L327),IF(O327=0,IFERROR(HLOOKUP(Tools!$BD$127,Tools!$BD$127:$BD$152,N327+2,FALSE)*1,0),HLOOKUP(Tools!$BE$2,Tools!$BE$2:$BE$27,O327+1,FALSE)*WLS),""),"")</f>
        <v/>
      </c>
      <c r="N327">
        <f t="shared" si="32"/>
        <v>25</v>
      </c>
      <c r="O327">
        <f t="shared" si="33"/>
        <v>0</v>
      </c>
    </row>
    <row r="328" spans="1:15" x14ac:dyDescent="0.25">
      <c r="A328" s="431" t="str">
        <f t="shared" si="34"/>
        <v/>
      </c>
      <c r="B328" s="434" t="str">
        <f t="shared" si="30"/>
        <v/>
      </c>
      <c r="C328" s="437" t="str">
        <f>IFERROR(-LBP/2+HLOOKUP(Stn_WL,Tools!$AD$2:$AD$27,QUOTIENT(ROW()-2,Max_WL_count)+2,FALSE)*STN_GAP,"")</f>
        <v/>
      </c>
      <c r="D328" s="437" t="str">
        <f>IFERROR(VLOOKUP(HLOOKUP(Stn_WL,Tools!$AD$2:$AD$27,QUOTIENT(ROW()-2,Max_WL_count)+2,FALSE),Tools!$AD$3:$BC$27,MOD(ROW()-2,Max_WL_count)+2,FALSE),"")</f>
        <v/>
      </c>
      <c r="E328" s="435" t="str">
        <f>IFERROR(IF(ISNUMBER(D328),HLOOKUP(Tools!$BE$2,Tools!$BE$2:$BE$27,MOD(ROW()-2,Max_WL_count)+2,FALSE)*WLS,""),"")</f>
        <v/>
      </c>
      <c r="I328" s="431" t="str">
        <f t="shared" si="35"/>
        <v/>
      </c>
      <c r="J328" s="434" t="str">
        <f t="shared" si="31"/>
        <v/>
      </c>
      <c r="K328" s="437" t="str">
        <f>IFERROR(-LBP/2+HLOOKUP(Stn_WL,Tools!$AD$2:$AD$27,N328+2,FALSE)*STN_GAP,"")</f>
        <v/>
      </c>
      <c r="L328" s="437" t="str">
        <f>IFERROR(IF(AND(ISNUMBER(K328),O328=0),0,VLOOKUP(HLOOKUP(Stn_WL,Tools!$AD$2:$AD$27,N328+2,FALSE),Tools!$AD$3:$BC$27,O328+1,FALSE)),"")</f>
        <v/>
      </c>
      <c r="M328" s="437" t="str">
        <f>IFERROR(IF(ISNUMBER(L328),IF(O328=0,IFERROR(HLOOKUP(Tools!$BD$127,Tools!$BD$127:$BD$152,N328+2,FALSE)*1,0),HLOOKUP(Tools!$BE$2,Tools!$BE$2:$BE$27,O328+1,FALSE)*WLS),""),"")</f>
        <v/>
      </c>
      <c r="N328">
        <f t="shared" si="32"/>
        <v>25</v>
      </c>
      <c r="O328">
        <f t="shared" si="33"/>
        <v>1</v>
      </c>
    </row>
    <row r="329" spans="1:15" x14ac:dyDescent="0.25">
      <c r="A329" s="431" t="str">
        <f t="shared" si="34"/>
        <v/>
      </c>
      <c r="B329" s="434" t="str">
        <f t="shared" si="30"/>
        <v/>
      </c>
      <c r="C329" s="437" t="str">
        <f>IFERROR(-LBP/2+HLOOKUP(Stn_WL,Tools!$AD$2:$AD$27,QUOTIENT(ROW()-2,Max_WL_count)+2,FALSE)*STN_GAP,"")</f>
        <v/>
      </c>
      <c r="D329" s="437" t="str">
        <f>IFERROR(VLOOKUP(HLOOKUP(Stn_WL,Tools!$AD$2:$AD$27,QUOTIENT(ROW()-2,Max_WL_count)+2,FALSE),Tools!$AD$3:$BC$27,MOD(ROW()-2,Max_WL_count)+2,FALSE),"")</f>
        <v/>
      </c>
      <c r="E329" s="435" t="str">
        <f>IFERROR(IF(ISNUMBER(D329),HLOOKUP(Tools!$BE$2,Tools!$BE$2:$BE$27,MOD(ROW()-2,Max_WL_count)+2,FALSE)*WLS,""),"")</f>
        <v/>
      </c>
      <c r="I329" s="431" t="str">
        <f t="shared" si="35"/>
        <v/>
      </c>
      <c r="J329" s="434" t="str">
        <f t="shared" si="31"/>
        <v/>
      </c>
      <c r="K329" s="437" t="str">
        <f>IFERROR(-LBP/2+HLOOKUP(Stn_WL,Tools!$AD$2:$AD$27,N329+2,FALSE)*STN_GAP,"")</f>
        <v/>
      </c>
      <c r="L329" s="437" t="str">
        <f>IFERROR(IF(AND(ISNUMBER(K329),O329=0),0,VLOOKUP(HLOOKUP(Stn_WL,Tools!$AD$2:$AD$27,N329+2,FALSE),Tools!$AD$3:$BC$27,O329+1,FALSE)),"")</f>
        <v/>
      </c>
      <c r="M329" s="437" t="str">
        <f>IFERROR(IF(ISNUMBER(L329),IF(O329=0,IFERROR(HLOOKUP(Tools!$BD$127,Tools!$BD$127:$BD$152,N329+2,FALSE)*1,0),HLOOKUP(Tools!$BE$2,Tools!$BE$2:$BE$27,O329+1,FALSE)*WLS),""),"")</f>
        <v/>
      </c>
      <c r="N329">
        <f t="shared" si="32"/>
        <v>25</v>
      </c>
      <c r="O329">
        <f t="shared" si="33"/>
        <v>2</v>
      </c>
    </row>
    <row r="330" spans="1:15" x14ac:dyDescent="0.25">
      <c r="A330" s="431" t="str">
        <f t="shared" si="34"/>
        <v/>
      </c>
      <c r="B330" s="434" t="str">
        <f t="shared" si="30"/>
        <v/>
      </c>
      <c r="C330" s="437" t="str">
        <f>IFERROR(-LBP/2+HLOOKUP(Stn_WL,Tools!$AD$2:$AD$27,QUOTIENT(ROW()-2,Max_WL_count)+2,FALSE)*STN_GAP,"")</f>
        <v/>
      </c>
      <c r="D330" s="437" t="str">
        <f>IFERROR(VLOOKUP(HLOOKUP(Stn_WL,Tools!$AD$2:$AD$27,QUOTIENT(ROW()-2,Max_WL_count)+2,FALSE),Tools!$AD$3:$BC$27,MOD(ROW()-2,Max_WL_count)+2,FALSE),"")</f>
        <v/>
      </c>
      <c r="E330" s="435" t="str">
        <f>IFERROR(IF(ISNUMBER(D330),HLOOKUP(Tools!$BE$2,Tools!$BE$2:$BE$27,MOD(ROW()-2,Max_WL_count)+2,FALSE)*WLS,""),"")</f>
        <v/>
      </c>
      <c r="I330" s="431" t="str">
        <f t="shared" si="35"/>
        <v/>
      </c>
      <c r="J330" s="434" t="str">
        <f t="shared" si="31"/>
        <v/>
      </c>
      <c r="K330" s="437" t="str">
        <f>IFERROR(-LBP/2+HLOOKUP(Stn_WL,Tools!$AD$2:$AD$27,N330+2,FALSE)*STN_GAP,"")</f>
        <v/>
      </c>
      <c r="L330" s="437" t="str">
        <f>IFERROR(IF(AND(ISNUMBER(K330),O330=0),0,VLOOKUP(HLOOKUP(Stn_WL,Tools!$AD$2:$AD$27,N330+2,FALSE),Tools!$AD$3:$BC$27,O330+1,FALSE)),"")</f>
        <v/>
      </c>
      <c r="M330" s="437" t="str">
        <f>IFERROR(IF(ISNUMBER(L330),IF(O330=0,IFERROR(HLOOKUP(Tools!$BD$127,Tools!$BD$127:$BD$152,N330+2,FALSE)*1,0),HLOOKUP(Tools!$BE$2,Tools!$BE$2:$BE$27,O330+1,FALSE)*WLS),""),"")</f>
        <v/>
      </c>
      <c r="N330">
        <f t="shared" si="32"/>
        <v>25</v>
      </c>
      <c r="O330">
        <f t="shared" si="33"/>
        <v>3</v>
      </c>
    </row>
    <row r="331" spans="1:15" x14ac:dyDescent="0.25">
      <c r="A331" s="431" t="str">
        <f t="shared" si="34"/>
        <v/>
      </c>
      <c r="B331" s="434" t="str">
        <f t="shared" si="30"/>
        <v/>
      </c>
      <c r="C331" s="437" t="str">
        <f>IFERROR(-LBP/2+HLOOKUP(Stn_WL,Tools!$AD$2:$AD$27,QUOTIENT(ROW()-2,Max_WL_count)+2,FALSE)*STN_GAP,"")</f>
        <v/>
      </c>
      <c r="D331" s="437" t="str">
        <f>IFERROR(VLOOKUP(HLOOKUP(Stn_WL,Tools!$AD$2:$AD$27,QUOTIENT(ROW()-2,Max_WL_count)+2,FALSE),Tools!$AD$3:$BC$27,MOD(ROW()-2,Max_WL_count)+2,FALSE),"")</f>
        <v/>
      </c>
      <c r="E331" s="435" t="str">
        <f>IFERROR(IF(ISNUMBER(D331),HLOOKUP(Tools!$BE$2,Tools!$BE$2:$BE$27,MOD(ROW()-2,Max_WL_count)+2,FALSE)*WLS,""),"")</f>
        <v/>
      </c>
      <c r="I331" s="431" t="str">
        <f t="shared" si="35"/>
        <v/>
      </c>
      <c r="J331" s="434" t="str">
        <f t="shared" si="31"/>
        <v/>
      </c>
      <c r="K331" s="437" t="str">
        <f>IFERROR(-LBP/2+HLOOKUP(Stn_WL,Tools!$AD$2:$AD$27,N331+2,FALSE)*STN_GAP,"")</f>
        <v/>
      </c>
      <c r="L331" s="437" t="str">
        <f>IFERROR(IF(AND(ISNUMBER(K331),O331=0),0,VLOOKUP(HLOOKUP(Stn_WL,Tools!$AD$2:$AD$27,N331+2,FALSE),Tools!$AD$3:$BC$27,O331+1,FALSE)),"")</f>
        <v/>
      </c>
      <c r="M331" s="437" t="str">
        <f>IFERROR(IF(ISNUMBER(L331),IF(O331=0,IFERROR(HLOOKUP(Tools!$BD$127,Tools!$BD$127:$BD$152,N331+2,FALSE)*1,0),HLOOKUP(Tools!$BE$2,Tools!$BE$2:$BE$27,O331+1,FALSE)*WLS),""),"")</f>
        <v/>
      </c>
      <c r="N331">
        <f t="shared" si="32"/>
        <v>25</v>
      </c>
      <c r="O331">
        <f t="shared" si="33"/>
        <v>4</v>
      </c>
    </row>
    <row r="332" spans="1:15" x14ac:dyDescent="0.25">
      <c r="A332" s="431" t="str">
        <f t="shared" si="34"/>
        <v/>
      </c>
      <c r="B332" s="434" t="str">
        <f t="shared" si="30"/>
        <v/>
      </c>
      <c r="C332" s="437" t="str">
        <f>IFERROR(-LBP/2+HLOOKUP(Stn_WL,Tools!$AD$2:$AD$27,QUOTIENT(ROW()-2,Max_WL_count)+2,FALSE)*STN_GAP,"")</f>
        <v/>
      </c>
      <c r="D332" s="437" t="str">
        <f>IFERROR(VLOOKUP(HLOOKUP(Stn_WL,Tools!$AD$2:$AD$27,QUOTIENT(ROW()-2,Max_WL_count)+2,FALSE),Tools!$AD$3:$BC$27,MOD(ROW()-2,Max_WL_count)+2,FALSE),"")</f>
        <v/>
      </c>
      <c r="E332" s="435" t="str">
        <f>IFERROR(IF(ISNUMBER(D332),HLOOKUP(Tools!$BE$2,Tools!$BE$2:$BE$27,MOD(ROW()-2,Max_WL_count)+2,FALSE)*WLS,""),"")</f>
        <v/>
      </c>
      <c r="I332" s="431" t="str">
        <f t="shared" si="35"/>
        <v/>
      </c>
      <c r="J332" s="434" t="str">
        <f t="shared" si="31"/>
        <v/>
      </c>
      <c r="K332" s="437" t="str">
        <f>IFERROR(-LBP/2+HLOOKUP(Stn_WL,Tools!$AD$2:$AD$27,N332+2,FALSE)*STN_GAP,"")</f>
        <v/>
      </c>
      <c r="L332" s="437" t="str">
        <f>IFERROR(IF(AND(ISNUMBER(K332),O332=0),0,VLOOKUP(HLOOKUP(Stn_WL,Tools!$AD$2:$AD$27,N332+2,FALSE),Tools!$AD$3:$BC$27,O332+1,FALSE)),"")</f>
        <v/>
      </c>
      <c r="M332" s="437" t="str">
        <f>IFERROR(IF(ISNUMBER(L332),IF(O332=0,IFERROR(HLOOKUP(Tools!$BD$127,Tools!$BD$127:$BD$152,N332+2,FALSE)*1,0),HLOOKUP(Tools!$BE$2,Tools!$BE$2:$BE$27,O332+1,FALSE)*WLS),""),"")</f>
        <v/>
      </c>
      <c r="N332">
        <f t="shared" si="32"/>
        <v>25</v>
      </c>
      <c r="O332">
        <f t="shared" si="33"/>
        <v>5</v>
      </c>
    </row>
    <row r="333" spans="1:15" x14ac:dyDescent="0.25">
      <c r="A333" s="431" t="str">
        <f t="shared" si="34"/>
        <v/>
      </c>
      <c r="B333" s="434" t="str">
        <f t="shared" si="30"/>
        <v/>
      </c>
      <c r="C333" s="437" t="str">
        <f>IFERROR(-LBP/2+HLOOKUP(Stn_WL,Tools!$AD$2:$AD$27,QUOTIENT(ROW()-2,Max_WL_count)+2,FALSE)*STN_GAP,"")</f>
        <v/>
      </c>
      <c r="D333" s="437" t="str">
        <f>IFERROR(VLOOKUP(HLOOKUP(Stn_WL,Tools!$AD$2:$AD$27,QUOTIENT(ROW()-2,Max_WL_count)+2,FALSE),Tools!$AD$3:$BC$27,MOD(ROW()-2,Max_WL_count)+2,FALSE),"")</f>
        <v/>
      </c>
      <c r="E333" s="435" t="str">
        <f>IFERROR(IF(ISNUMBER(D333),HLOOKUP(Tools!$BE$2,Tools!$BE$2:$BE$27,MOD(ROW()-2,Max_WL_count)+2,FALSE)*WLS,""),"")</f>
        <v/>
      </c>
      <c r="I333" s="431" t="str">
        <f t="shared" si="35"/>
        <v/>
      </c>
      <c r="J333" s="434" t="str">
        <f t="shared" si="31"/>
        <v/>
      </c>
      <c r="K333" s="437" t="str">
        <f>IFERROR(-LBP/2+HLOOKUP(Stn_WL,Tools!$AD$2:$AD$27,N333+2,FALSE)*STN_GAP,"")</f>
        <v/>
      </c>
      <c r="L333" s="437" t="str">
        <f>IFERROR(IF(AND(ISNUMBER(K333),O333=0),0,VLOOKUP(HLOOKUP(Stn_WL,Tools!$AD$2:$AD$27,N333+2,FALSE),Tools!$AD$3:$BC$27,O333+1,FALSE)),"")</f>
        <v/>
      </c>
      <c r="M333" s="437" t="str">
        <f>IFERROR(IF(ISNUMBER(L333),IF(O333=0,IFERROR(HLOOKUP(Tools!$BD$127,Tools!$BD$127:$BD$152,N333+2,FALSE)*1,0),HLOOKUP(Tools!$BE$2,Tools!$BE$2:$BE$27,O333+1,FALSE)*WLS),""),"")</f>
        <v/>
      </c>
      <c r="N333">
        <f t="shared" si="32"/>
        <v>25</v>
      </c>
      <c r="O333">
        <f t="shared" si="33"/>
        <v>6</v>
      </c>
    </row>
    <row r="334" spans="1:15" x14ac:dyDescent="0.25">
      <c r="A334" s="431" t="str">
        <f t="shared" si="34"/>
        <v/>
      </c>
      <c r="B334" s="434" t="str">
        <f t="shared" si="30"/>
        <v/>
      </c>
      <c r="C334" s="437" t="str">
        <f>IFERROR(-LBP/2+HLOOKUP(Stn_WL,Tools!$AD$2:$AD$27,QUOTIENT(ROW()-2,Max_WL_count)+2,FALSE)*STN_GAP,"")</f>
        <v/>
      </c>
      <c r="D334" s="437" t="str">
        <f>IFERROR(VLOOKUP(HLOOKUP(Stn_WL,Tools!$AD$2:$AD$27,QUOTIENT(ROW()-2,Max_WL_count)+2,FALSE),Tools!$AD$3:$BC$27,MOD(ROW()-2,Max_WL_count)+2,FALSE),"")</f>
        <v/>
      </c>
      <c r="E334" s="435" t="str">
        <f>IFERROR(IF(ISNUMBER(D334),HLOOKUP(Tools!$BE$2,Tools!$BE$2:$BE$27,MOD(ROW()-2,Max_WL_count)+2,FALSE)*WLS,""),"")</f>
        <v/>
      </c>
      <c r="I334" s="431" t="str">
        <f t="shared" si="35"/>
        <v/>
      </c>
      <c r="J334" s="434" t="str">
        <f t="shared" si="31"/>
        <v/>
      </c>
      <c r="K334" s="437" t="str">
        <f>IFERROR(-LBP/2+HLOOKUP(Stn_WL,Tools!$AD$2:$AD$27,N334+2,FALSE)*STN_GAP,"")</f>
        <v/>
      </c>
      <c r="L334" s="437" t="str">
        <f>IFERROR(IF(AND(ISNUMBER(K334),O334=0),0,VLOOKUP(HLOOKUP(Stn_WL,Tools!$AD$2:$AD$27,N334+2,FALSE),Tools!$AD$3:$BC$27,O334+1,FALSE)),"")</f>
        <v/>
      </c>
      <c r="M334" s="437" t="str">
        <f>IFERROR(IF(ISNUMBER(L334),IF(O334=0,IFERROR(HLOOKUP(Tools!$BD$127,Tools!$BD$127:$BD$152,N334+2,FALSE)*1,0),HLOOKUP(Tools!$BE$2,Tools!$BE$2:$BE$27,O334+1,FALSE)*WLS),""),"")</f>
        <v/>
      </c>
      <c r="N334">
        <f t="shared" si="32"/>
        <v>25</v>
      </c>
      <c r="O334">
        <f t="shared" si="33"/>
        <v>7</v>
      </c>
    </row>
    <row r="335" spans="1:15" x14ac:dyDescent="0.25">
      <c r="A335" s="431" t="str">
        <f t="shared" si="34"/>
        <v/>
      </c>
      <c r="B335" s="434" t="str">
        <f t="shared" si="30"/>
        <v/>
      </c>
      <c r="C335" s="437" t="str">
        <f>IFERROR(-LBP/2+HLOOKUP(Stn_WL,Tools!$AD$2:$AD$27,QUOTIENT(ROW()-2,Max_WL_count)+2,FALSE)*STN_GAP,"")</f>
        <v/>
      </c>
      <c r="D335" s="437" t="str">
        <f>IFERROR(VLOOKUP(HLOOKUP(Stn_WL,Tools!$AD$2:$AD$27,QUOTIENT(ROW()-2,Max_WL_count)+2,FALSE),Tools!$AD$3:$BC$27,MOD(ROW()-2,Max_WL_count)+2,FALSE),"")</f>
        <v/>
      </c>
      <c r="E335" s="435" t="str">
        <f>IFERROR(IF(ISNUMBER(D335),HLOOKUP(Tools!$BE$2,Tools!$BE$2:$BE$27,MOD(ROW()-2,Max_WL_count)+2,FALSE)*WLS,""),"")</f>
        <v/>
      </c>
      <c r="I335" s="431" t="str">
        <f t="shared" si="35"/>
        <v/>
      </c>
      <c r="J335" s="434" t="str">
        <f t="shared" si="31"/>
        <v/>
      </c>
      <c r="K335" s="437" t="str">
        <f>IFERROR(-LBP/2+HLOOKUP(Stn_WL,Tools!$AD$2:$AD$27,N335+2,FALSE)*STN_GAP,"")</f>
        <v/>
      </c>
      <c r="L335" s="437" t="str">
        <f>IFERROR(IF(AND(ISNUMBER(K335),O335=0),0,VLOOKUP(HLOOKUP(Stn_WL,Tools!$AD$2:$AD$27,N335+2,FALSE),Tools!$AD$3:$BC$27,O335+1,FALSE)),"")</f>
        <v/>
      </c>
      <c r="M335" s="437" t="str">
        <f>IFERROR(IF(ISNUMBER(L335),IF(O335=0,IFERROR(HLOOKUP(Tools!$BD$127,Tools!$BD$127:$BD$152,N335+2,FALSE)*1,0),HLOOKUP(Tools!$BE$2,Tools!$BE$2:$BE$27,O335+1,FALSE)*WLS),""),"")</f>
        <v/>
      </c>
      <c r="N335">
        <f t="shared" si="32"/>
        <v>25</v>
      </c>
      <c r="O335">
        <f t="shared" si="33"/>
        <v>8</v>
      </c>
    </row>
    <row r="336" spans="1:15" x14ac:dyDescent="0.25">
      <c r="A336" s="431" t="str">
        <f t="shared" si="34"/>
        <v/>
      </c>
      <c r="B336" s="434" t="str">
        <f t="shared" si="30"/>
        <v/>
      </c>
      <c r="C336" s="437" t="str">
        <f>IFERROR(-LBP/2+HLOOKUP(Stn_WL,Tools!$AD$2:$AD$27,QUOTIENT(ROW()-2,Max_WL_count)+2,FALSE)*STN_GAP,"")</f>
        <v/>
      </c>
      <c r="D336" s="437" t="str">
        <f>IFERROR(VLOOKUP(HLOOKUP(Stn_WL,Tools!$AD$2:$AD$27,QUOTIENT(ROW()-2,Max_WL_count)+2,FALSE),Tools!$AD$3:$BC$27,MOD(ROW()-2,Max_WL_count)+2,FALSE),"")</f>
        <v/>
      </c>
      <c r="E336" s="435" t="str">
        <f>IFERROR(IF(ISNUMBER(D336),HLOOKUP(Tools!$BE$2,Tools!$BE$2:$BE$27,MOD(ROW()-2,Max_WL_count)+2,FALSE)*WLS,""),"")</f>
        <v/>
      </c>
      <c r="I336" s="431" t="str">
        <f t="shared" si="35"/>
        <v/>
      </c>
      <c r="J336" s="434" t="str">
        <f t="shared" si="31"/>
        <v/>
      </c>
      <c r="K336" s="437" t="str">
        <f>IFERROR(-LBP/2+HLOOKUP(Stn_WL,Tools!$AD$2:$AD$27,N336+2,FALSE)*STN_GAP,"")</f>
        <v/>
      </c>
      <c r="L336" s="437" t="str">
        <f>IFERROR(IF(AND(ISNUMBER(K336),O336=0),0,VLOOKUP(HLOOKUP(Stn_WL,Tools!$AD$2:$AD$27,N336+2,FALSE),Tools!$AD$3:$BC$27,O336+1,FALSE)),"")</f>
        <v/>
      </c>
      <c r="M336" s="437" t="str">
        <f>IFERROR(IF(ISNUMBER(L336),IF(O336=0,IFERROR(HLOOKUP(Tools!$BD$127,Tools!$BD$127:$BD$152,N336+2,FALSE)*1,0),HLOOKUP(Tools!$BE$2,Tools!$BE$2:$BE$27,O336+1,FALSE)*WLS),""),"")</f>
        <v/>
      </c>
      <c r="N336">
        <f t="shared" si="32"/>
        <v>25</v>
      </c>
      <c r="O336">
        <f t="shared" si="33"/>
        <v>9</v>
      </c>
    </row>
    <row r="337" spans="1:15" x14ac:dyDescent="0.25">
      <c r="A337" s="431" t="str">
        <f t="shared" si="34"/>
        <v/>
      </c>
      <c r="B337" s="434" t="str">
        <f t="shared" si="30"/>
        <v/>
      </c>
      <c r="C337" s="437" t="str">
        <f>IFERROR(-LBP/2+HLOOKUP(Stn_WL,Tools!$AD$2:$AD$27,QUOTIENT(ROW()-2,Max_WL_count)+2,FALSE)*STN_GAP,"")</f>
        <v/>
      </c>
      <c r="D337" s="437" t="str">
        <f>IFERROR(VLOOKUP(HLOOKUP(Stn_WL,Tools!$AD$2:$AD$27,QUOTIENT(ROW()-2,Max_WL_count)+2,FALSE),Tools!$AD$3:$BC$27,MOD(ROW()-2,Max_WL_count)+2,FALSE),"")</f>
        <v/>
      </c>
      <c r="E337" s="435" t="str">
        <f>IFERROR(IF(ISNUMBER(D337),HLOOKUP(Tools!$BE$2,Tools!$BE$2:$BE$27,MOD(ROW()-2,Max_WL_count)+2,FALSE)*WLS,""),"")</f>
        <v/>
      </c>
      <c r="I337" s="431" t="str">
        <f t="shared" si="35"/>
        <v/>
      </c>
      <c r="J337" s="434" t="str">
        <f t="shared" si="31"/>
        <v/>
      </c>
      <c r="K337" s="437" t="str">
        <f>IFERROR(-LBP/2+HLOOKUP(Stn_WL,Tools!$AD$2:$AD$27,N337+2,FALSE)*STN_GAP,"")</f>
        <v/>
      </c>
      <c r="L337" s="437" t="str">
        <f>IFERROR(IF(AND(ISNUMBER(K337),O337=0),0,VLOOKUP(HLOOKUP(Stn_WL,Tools!$AD$2:$AD$27,N337+2,FALSE),Tools!$AD$3:$BC$27,O337+1,FALSE)),"")</f>
        <v/>
      </c>
      <c r="M337" s="437" t="str">
        <f>IFERROR(IF(ISNUMBER(L337),IF(O337=0,IFERROR(HLOOKUP(Tools!$BD$127,Tools!$BD$127:$BD$152,N337+2,FALSE)*1,0),HLOOKUP(Tools!$BE$2,Tools!$BE$2:$BE$27,O337+1,FALSE)*WLS),""),"")</f>
        <v/>
      </c>
      <c r="N337">
        <f t="shared" si="32"/>
        <v>25</v>
      </c>
      <c r="O337">
        <f t="shared" si="33"/>
        <v>10</v>
      </c>
    </row>
    <row r="338" spans="1:15" x14ac:dyDescent="0.25">
      <c r="A338" s="431" t="str">
        <f t="shared" si="34"/>
        <v/>
      </c>
      <c r="B338" s="434" t="str">
        <f t="shared" si="30"/>
        <v/>
      </c>
      <c r="C338" s="437" t="str">
        <f>IFERROR(-LBP/2+HLOOKUP(Stn_WL,Tools!$AD$2:$AD$27,QUOTIENT(ROW()-2,Max_WL_count)+2,FALSE)*STN_GAP,"")</f>
        <v/>
      </c>
      <c r="D338" s="437" t="str">
        <f>IFERROR(VLOOKUP(HLOOKUP(Stn_WL,Tools!$AD$2:$AD$27,QUOTIENT(ROW()-2,Max_WL_count)+2,FALSE),Tools!$AD$3:$BC$27,MOD(ROW()-2,Max_WL_count)+2,FALSE),"")</f>
        <v/>
      </c>
      <c r="E338" s="435" t="str">
        <f>IFERROR(IF(ISNUMBER(D338),HLOOKUP(Tools!$BE$2,Tools!$BE$2:$BE$27,MOD(ROW()-2,Max_WL_count)+2,FALSE)*WLS,""),"")</f>
        <v/>
      </c>
      <c r="I338" s="431" t="str">
        <f t="shared" si="35"/>
        <v/>
      </c>
      <c r="J338" s="434" t="str">
        <f t="shared" si="31"/>
        <v/>
      </c>
      <c r="K338" s="437" t="str">
        <f>IFERROR(-LBP/2+HLOOKUP(Stn_WL,Tools!$AD$2:$AD$27,N338+2,FALSE)*STN_GAP,"")</f>
        <v/>
      </c>
      <c r="L338" s="437" t="str">
        <f>IFERROR(IF(AND(ISNUMBER(K338),O338=0),0,VLOOKUP(HLOOKUP(Stn_WL,Tools!$AD$2:$AD$27,N338+2,FALSE),Tools!$AD$3:$BC$27,O338+1,FALSE)),"")</f>
        <v/>
      </c>
      <c r="M338" s="437" t="str">
        <f>IFERROR(IF(ISNUMBER(L338),IF(O338=0,IFERROR(HLOOKUP(Tools!$BD$127,Tools!$BD$127:$BD$152,N338+2,FALSE)*1,0),HLOOKUP(Tools!$BE$2,Tools!$BE$2:$BE$27,O338+1,FALSE)*WLS),""),"")</f>
        <v/>
      </c>
      <c r="N338">
        <f t="shared" si="32"/>
        <v>25</v>
      </c>
      <c r="O338">
        <f t="shared" si="33"/>
        <v>11</v>
      </c>
    </row>
    <row r="339" spans="1:15" x14ac:dyDescent="0.25">
      <c r="A339" s="431" t="str">
        <f t="shared" si="34"/>
        <v/>
      </c>
      <c r="B339" s="434" t="str">
        <f t="shared" si="30"/>
        <v/>
      </c>
      <c r="C339" s="437" t="str">
        <f>IFERROR(-LBP/2+HLOOKUP(Stn_WL,Tools!$AD$2:$AD$27,QUOTIENT(ROW()-2,Max_WL_count)+2,FALSE)*STN_GAP,"")</f>
        <v/>
      </c>
      <c r="D339" s="437" t="str">
        <f>IFERROR(VLOOKUP(HLOOKUP(Stn_WL,Tools!$AD$2:$AD$27,QUOTIENT(ROW()-2,Max_WL_count)+2,FALSE),Tools!$AD$3:$BC$27,MOD(ROW()-2,Max_WL_count)+2,FALSE),"")</f>
        <v/>
      </c>
      <c r="E339" s="435" t="str">
        <f>IFERROR(IF(ISNUMBER(D339),HLOOKUP(Tools!$BE$2,Tools!$BE$2:$BE$27,MOD(ROW()-2,Max_WL_count)+2,FALSE)*WLS,""),"")</f>
        <v/>
      </c>
      <c r="I339" s="431" t="str">
        <f t="shared" si="35"/>
        <v/>
      </c>
      <c r="J339" s="434" t="str">
        <f t="shared" si="31"/>
        <v/>
      </c>
      <c r="K339" s="437" t="str">
        <f>IFERROR(-LBP/2+HLOOKUP(Stn_WL,Tools!$AD$2:$AD$27,N339+2,FALSE)*STN_GAP,"")</f>
        <v/>
      </c>
      <c r="L339" s="437" t="str">
        <f>IFERROR(IF(AND(ISNUMBER(K339),O339=0),0,VLOOKUP(HLOOKUP(Stn_WL,Tools!$AD$2:$AD$27,N339+2,FALSE),Tools!$AD$3:$BC$27,O339+1,FALSE)),"")</f>
        <v/>
      </c>
      <c r="M339" s="437" t="str">
        <f>IFERROR(IF(ISNUMBER(L339),IF(O339=0,IFERROR(HLOOKUP(Tools!$BD$127,Tools!$BD$127:$BD$152,N339+2,FALSE)*1,0),HLOOKUP(Tools!$BE$2,Tools!$BE$2:$BE$27,O339+1,FALSE)*WLS),""),"")</f>
        <v/>
      </c>
      <c r="N339">
        <f t="shared" si="32"/>
        <v>25</v>
      </c>
      <c r="O339">
        <f t="shared" si="33"/>
        <v>12</v>
      </c>
    </row>
    <row r="340" spans="1:15" x14ac:dyDescent="0.25">
      <c r="A340" s="431" t="str">
        <f t="shared" si="34"/>
        <v/>
      </c>
      <c r="B340" s="434" t="str">
        <f t="shared" si="30"/>
        <v/>
      </c>
      <c r="C340" s="437" t="str">
        <f>IFERROR(-LBP/2+HLOOKUP(Stn_WL,Tools!$AD$2:$AD$27,QUOTIENT(ROW()-2,Max_WL_count)+2,FALSE)*STN_GAP,"")</f>
        <v/>
      </c>
      <c r="D340" s="437" t="str">
        <f>IFERROR(VLOOKUP(HLOOKUP(Stn_WL,Tools!$AD$2:$AD$27,QUOTIENT(ROW()-2,Max_WL_count)+2,FALSE),Tools!$AD$3:$BC$27,MOD(ROW()-2,Max_WL_count)+2,FALSE),"")</f>
        <v/>
      </c>
      <c r="E340" s="435" t="str">
        <f>IFERROR(IF(ISNUMBER(D340),HLOOKUP(Tools!$BE$2,Tools!$BE$2:$BE$27,MOD(ROW()-2,Max_WL_count)+2,FALSE)*WLS,""),"")</f>
        <v/>
      </c>
      <c r="I340" s="431" t="str">
        <f t="shared" si="35"/>
        <v/>
      </c>
      <c r="J340" s="434" t="str">
        <f t="shared" si="31"/>
        <v/>
      </c>
      <c r="K340" s="437" t="str">
        <f>IFERROR(-LBP/2+HLOOKUP(Stn_WL,Tools!$AD$2:$AD$27,N340+2,FALSE)*STN_GAP,"")</f>
        <v/>
      </c>
      <c r="L340" s="437" t="str">
        <f>IFERROR(IF(AND(ISNUMBER(K340),O340=0),0,VLOOKUP(HLOOKUP(Stn_WL,Tools!$AD$2:$AD$27,N340+2,FALSE),Tools!$AD$3:$BC$27,O340+1,FALSE)),"")</f>
        <v/>
      </c>
      <c r="M340" s="437" t="str">
        <f>IFERROR(IF(ISNUMBER(L340),IF(O340=0,IFERROR(HLOOKUP(Tools!$BD$127,Tools!$BD$127:$BD$152,N340+2,FALSE)*1,0),HLOOKUP(Tools!$BE$2,Tools!$BE$2:$BE$27,O340+1,FALSE)*WLS),""),"")</f>
        <v/>
      </c>
      <c r="N340">
        <f t="shared" si="32"/>
        <v>26</v>
      </c>
      <c r="O340">
        <f t="shared" si="33"/>
        <v>0</v>
      </c>
    </row>
    <row r="341" spans="1:15" x14ac:dyDescent="0.25">
      <c r="A341" s="431" t="str">
        <f t="shared" si="34"/>
        <v/>
      </c>
      <c r="B341" s="434" t="str">
        <f t="shared" si="30"/>
        <v/>
      </c>
      <c r="C341" s="437" t="str">
        <f>IFERROR(-LBP/2+HLOOKUP(Stn_WL,Tools!$AD$2:$AD$27,QUOTIENT(ROW()-2,Max_WL_count)+2,FALSE)*STN_GAP,"")</f>
        <v/>
      </c>
      <c r="D341" s="437" t="str">
        <f>IFERROR(VLOOKUP(HLOOKUP(Stn_WL,Tools!$AD$2:$AD$27,QUOTIENT(ROW()-2,Max_WL_count)+2,FALSE),Tools!$AD$3:$BC$27,MOD(ROW()-2,Max_WL_count)+2,FALSE),"")</f>
        <v/>
      </c>
      <c r="E341" s="435" t="str">
        <f>IFERROR(IF(ISNUMBER(D341),HLOOKUP(Tools!$BE$2,Tools!$BE$2:$BE$27,MOD(ROW()-2,Max_WL_count)+2,FALSE)*WLS,""),"")</f>
        <v/>
      </c>
      <c r="I341" s="431" t="str">
        <f t="shared" si="35"/>
        <v/>
      </c>
      <c r="J341" s="434" t="str">
        <f t="shared" si="31"/>
        <v/>
      </c>
      <c r="K341" s="437" t="str">
        <f>IFERROR(-LBP/2+HLOOKUP(Stn_WL,Tools!$AD$2:$AD$27,N341+2,FALSE)*STN_GAP,"")</f>
        <v/>
      </c>
      <c r="L341" s="437" t="str">
        <f>IFERROR(IF(AND(ISNUMBER(K341),O341=0),0,VLOOKUP(HLOOKUP(Stn_WL,Tools!$AD$2:$AD$27,N341+2,FALSE),Tools!$AD$3:$BC$27,O341+1,FALSE)),"")</f>
        <v/>
      </c>
      <c r="M341" s="437" t="str">
        <f>IFERROR(IF(ISNUMBER(L341),IF(O341=0,IFERROR(HLOOKUP(Tools!$BD$127,Tools!$BD$127:$BD$152,N341+2,FALSE)*1,0),HLOOKUP(Tools!$BE$2,Tools!$BE$2:$BE$27,O341+1,FALSE)*WLS),""),"")</f>
        <v/>
      </c>
      <c r="N341">
        <f t="shared" si="32"/>
        <v>26</v>
      </c>
      <c r="O341">
        <f t="shared" si="33"/>
        <v>1</v>
      </c>
    </row>
    <row r="342" spans="1:15" x14ac:dyDescent="0.25">
      <c r="A342" s="431" t="str">
        <f t="shared" si="34"/>
        <v/>
      </c>
      <c r="B342" s="434" t="str">
        <f t="shared" si="30"/>
        <v/>
      </c>
      <c r="C342" s="437" t="str">
        <f>IFERROR(-LBP/2+HLOOKUP(Stn_WL,Tools!$AD$2:$AD$27,QUOTIENT(ROW()-2,Max_WL_count)+2,FALSE)*STN_GAP,"")</f>
        <v/>
      </c>
      <c r="D342" s="437" t="str">
        <f>IFERROR(VLOOKUP(HLOOKUP(Stn_WL,Tools!$AD$2:$AD$27,QUOTIENT(ROW()-2,Max_WL_count)+2,FALSE),Tools!$AD$3:$BC$27,MOD(ROW()-2,Max_WL_count)+2,FALSE),"")</f>
        <v/>
      </c>
      <c r="E342" s="435" t="str">
        <f>IFERROR(IF(ISNUMBER(D342),HLOOKUP(Tools!$BE$2,Tools!$BE$2:$BE$27,MOD(ROW()-2,Max_WL_count)+2,FALSE)*WLS,""),"")</f>
        <v/>
      </c>
      <c r="I342" s="431" t="str">
        <f t="shared" si="35"/>
        <v/>
      </c>
      <c r="J342" s="434" t="str">
        <f t="shared" si="31"/>
        <v/>
      </c>
      <c r="K342" s="437" t="str">
        <f>IFERROR(-LBP/2+HLOOKUP(Stn_WL,Tools!$AD$2:$AD$27,N342+2,FALSE)*STN_GAP,"")</f>
        <v/>
      </c>
      <c r="L342" s="437" t="str">
        <f>IFERROR(IF(AND(ISNUMBER(K342),O342=0),0,VLOOKUP(HLOOKUP(Stn_WL,Tools!$AD$2:$AD$27,N342+2,FALSE),Tools!$AD$3:$BC$27,O342+1,FALSE)),"")</f>
        <v/>
      </c>
      <c r="M342" s="437" t="str">
        <f>IFERROR(IF(ISNUMBER(L342),IF(O342=0,IFERROR(HLOOKUP(Tools!$BD$127,Tools!$BD$127:$BD$152,N342+2,FALSE)*1,0),HLOOKUP(Tools!$BE$2,Tools!$BE$2:$BE$27,O342+1,FALSE)*WLS),""),"")</f>
        <v/>
      </c>
      <c r="N342">
        <f t="shared" si="32"/>
        <v>26</v>
      </c>
      <c r="O342">
        <f t="shared" si="33"/>
        <v>2</v>
      </c>
    </row>
    <row r="343" spans="1:15" x14ac:dyDescent="0.25">
      <c r="A343" s="431" t="str">
        <f t="shared" si="34"/>
        <v/>
      </c>
      <c r="B343" s="434" t="str">
        <f t="shared" si="30"/>
        <v/>
      </c>
      <c r="C343" s="437" t="str">
        <f>IFERROR(-LBP/2+HLOOKUP(Stn_WL,Tools!$AD$2:$AD$27,QUOTIENT(ROW()-2,Max_WL_count)+2,FALSE)*STN_GAP,"")</f>
        <v/>
      </c>
      <c r="D343" s="437" t="str">
        <f>IFERROR(VLOOKUP(HLOOKUP(Stn_WL,Tools!$AD$2:$AD$27,QUOTIENT(ROW()-2,Max_WL_count)+2,FALSE),Tools!$AD$3:$BC$27,MOD(ROW()-2,Max_WL_count)+2,FALSE),"")</f>
        <v/>
      </c>
      <c r="E343" s="435" t="str">
        <f>IFERROR(IF(ISNUMBER(D343),HLOOKUP(Tools!$BE$2,Tools!$BE$2:$BE$27,MOD(ROW()-2,Max_WL_count)+2,FALSE)*WLS,""),"")</f>
        <v/>
      </c>
      <c r="I343" s="431" t="str">
        <f t="shared" si="35"/>
        <v/>
      </c>
      <c r="J343" s="434" t="str">
        <f t="shared" si="31"/>
        <v/>
      </c>
      <c r="K343" s="437" t="str">
        <f>IFERROR(-LBP/2+HLOOKUP(Stn_WL,Tools!$AD$2:$AD$27,N343+2,FALSE)*STN_GAP,"")</f>
        <v/>
      </c>
      <c r="L343" s="437" t="str">
        <f>IFERROR(IF(AND(ISNUMBER(K343),O343=0),0,VLOOKUP(HLOOKUP(Stn_WL,Tools!$AD$2:$AD$27,N343+2,FALSE),Tools!$AD$3:$BC$27,O343+1,FALSE)),"")</f>
        <v/>
      </c>
      <c r="M343" s="437" t="str">
        <f>IFERROR(IF(ISNUMBER(L343),IF(O343=0,IFERROR(HLOOKUP(Tools!$BD$127,Tools!$BD$127:$BD$152,N343+2,FALSE)*1,0),HLOOKUP(Tools!$BE$2,Tools!$BE$2:$BE$27,O343+1,FALSE)*WLS),""),"")</f>
        <v/>
      </c>
      <c r="N343">
        <f t="shared" si="32"/>
        <v>26</v>
      </c>
      <c r="O343">
        <f t="shared" si="33"/>
        <v>3</v>
      </c>
    </row>
    <row r="344" spans="1:15" x14ac:dyDescent="0.25">
      <c r="A344" s="431" t="str">
        <f t="shared" si="34"/>
        <v/>
      </c>
      <c r="B344" s="434" t="str">
        <f t="shared" si="30"/>
        <v/>
      </c>
      <c r="C344" s="437" t="str">
        <f>IFERROR(-LBP/2+HLOOKUP(Stn_WL,Tools!$AD$2:$AD$27,QUOTIENT(ROW()-2,Max_WL_count)+2,FALSE)*STN_GAP,"")</f>
        <v/>
      </c>
      <c r="D344" s="437" t="str">
        <f>IFERROR(VLOOKUP(HLOOKUP(Stn_WL,Tools!$AD$2:$AD$27,QUOTIENT(ROW()-2,Max_WL_count)+2,FALSE),Tools!$AD$3:$BC$27,MOD(ROW()-2,Max_WL_count)+2,FALSE),"")</f>
        <v/>
      </c>
      <c r="E344" s="435" t="str">
        <f>IFERROR(IF(ISNUMBER(D344),HLOOKUP(Tools!$BE$2,Tools!$BE$2:$BE$27,MOD(ROW()-2,Max_WL_count)+2,FALSE)*WLS,""),"")</f>
        <v/>
      </c>
      <c r="I344" s="431" t="str">
        <f t="shared" si="35"/>
        <v/>
      </c>
      <c r="J344" s="434" t="str">
        <f t="shared" si="31"/>
        <v/>
      </c>
      <c r="K344" s="437" t="str">
        <f>IFERROR(-LBP/2+HLOOKUP(Stn_WL,Tools!$AD$2:$AD$27,N344+2,FALSE)*STN_GAP,"")</f>
        <v/>
      </c>
      <c r="L344" s="437" t="str">
        <f>IFERROR(IF(AND(ISNUMBER(K344),O344=0),0,VLOOKUP(HLOOKUP(Stn_WL,Tools!$AD$2:$AD$27,N344+2,FALSE),Tools!$AD$3:$BC$27,O344+1,FALSE)),"")</f>
        <v/>
      </c>
      <c r="M344" s="437" t="str">
        <f>IFERROR(IF(ISNUMBER(L344),IF(O344=0,IFERROR(HLOOKUP(Tools!$BD$127,Tools!$BD$127:$BD$152,N344+2,FALSE)*1,0),HLOOKUP(Tools!$BE$2,Tools!$BE$2:$BE$27,O344+1,FALSE)*WLS),""),"")</f>
        <v/>
      </c>
      <c r="N344">
        <f t="shared" si="32"/>
        <v>26</v>
      </c>
      <c r="O344">
        <f t="shared" si="33"/>
        <v>4</v>
      </c>
    </row>
    <row r="345" spans="1:15" x14ac:dyDescent="0.25">
      <c r="A345" s="431" t="str">
        <f t="shared" si="34"/>
        <v/>
      </c>
      <c r="B345" s="434" t="str">
        <f t="shared" si="30"/>
        <v/>
      </c>
      <c r="C345" s="437" t="str">
        <f>IFERROR(-LBP/2+HLOOKUP(Stn_WL,Tools!$AD$2:$AD$27,QUOTIENT(ROW()-2,Max_WL_count)+2,FALSE)*STN_GAP,"")</f>
        <v/>
      </c>
      <c r="D345" s="437" t="str">
        <f>IFERROR(VLOOKUP(HLOOKUP(Stn_WL,Tools!$AD$2:$AD$27,QUOTIENT(ROW()-2,Max_WL_count)+2,FALSE),Tools!$AD$3:$BC$27,MOD(ROW()-2,Max_WL_count)+2,FALSE),"")</f>
        <v/>
      </c>
      <c r="E345" s="435" t="str">
        <f>IFERROR(IF(ISNUMBER(D345),HLOOKUP(Tools!$BE$2,Tools!$BE$2:$BE$27,MOD(ROW()-2,Max_WL_count)+2,FALSE)*WLS,""),"")</f>
        <v/>
      </c>
      <c r="I345" s="431" t="str">
        <f t="shared" si="35"/>
        <v/>
      </c>
      <c r="J345" s="434" t="str">
        <f t="shared" si="31"/>
        <v/>
      </c>
      <c r="K345" s="437" t="str">
        <f>IFERROR(-LBP/2+HLOOKUP(Stn_WL,Tools!$AD$2:$AD$27,N345+2,FALSE)*STN_GAP,"")</f>
        <v/>
      </c>
      <c r="L345" s="437" t="str">
        <f>IFERROR(IF(AND(ISNUMBER(K345),O345=0),0,VLOOKUP(HLOOKUP(Stn_WL,Tools!$AD$2:$AD$27,N345+2,FALSE),Tools!$AD$3:$BC$27,O345+1,FALSE)),"")</f>
        <v/>
      </c>
      <c r="M345" s="437" t="str">
        <f>IFERROR(IF(ISNUMBER(L345),IF(O345=0,IFERROR(HLOOKUP(Tools!$BD$127,Tools!$BD$127:$BD$152,N345+2,FALSE)*1,0),HLOOKUP(Tools!$BE$2,Tools!$BE$2:$BE$27,O345+1,FALSE)*WLS),""),"")</f>
        <v/>
      </c>
      <c r="N345">
        <f t="shared" si="32"/>
        <v>26</v>
      </c>
      <c r="O345">
        <f t="shared" si="33"/>
        <v>5</v>
      </c>
    </row>
    <row r="346" spans="1:15" x14ac:dyDescent="0.25">
      <c r="A346" s="431" t="str">
        <f t="shared" si="34"/>
        <v/>
      </c>
      <c r="B346" s="434" t="str">
        <f t="shared" si="30"/>
        <v/>
      </c>
      <c r="C346" s="437" t="str">
        <f>IFERROR(-LBP/2+HLOOKUP(Stn_WL,Tools!$AD$2:$AD$27,QUOTIENT(ROW()-2,Max_WL_count)+2,FALSE)*STN_GAP,"")</f>
        <v/>
      </c>
      <c r="D346" s="437" t="str">
        <f>IFERROR(VLOOKUP(HLOOKUP(Stn_WL,Tools!$AD$2:$AD$27,QUOTIENT(ROW()-2,Max_WL_count)+2,FALSE),Tools!$AD$3:$BC$27,MOD(ROW()-2,Max_WL_count)+2,FALSE),"")</f>
        <v/>
      </c>
      <c r="E346" s="435" t="str">
        <f>IFERROR(IF(ISNUMBER(D346),HLOOKUP(Tools!$BE$2,Tools!$BE$2:$BE$27,MOD(ROW()-2,Max_WL_count)+2,FALSE)*WLS,""),"")</f>
        <v/>
      </c>
      <c r="I346" s="431" t="str">
        <f t="shared" si="35"/>
        <v/>
      </c>
      <c r="J346" s="434" t="str">
        <f t="shared" si="31"/>
        <v/>
      </c>
      <c r="K346" s="437" t="str">
        <f>IFERROR(-LBP/2+HLOOKUP(Stn_WL,Tools!$AD$2:$AD$27,N346+2,FALSE)*STN_GAP,"")</f>
        <v/>
      </c>
      <c r="L346" s="437" t="str">
        <f>IFERROR(IF(AND(ISNUMBER(K346),O346=0),0,VLOOKUP(HLOOKUP(Stn_WL,Tools!$AD$2:$AD$27,N346+2,FALSE),Tools!$AD$3:$BC$27,O346+1,FALSE)),"")</f>
        <v/>
      </c>
      <c r="M346" s="437" t="str">
        <f>IFERROR(IF(ISNUMBER(L346),IF(O346=0,IFERROR(HLOOKUP(Tools!$BD$127,Tools!$BD$127:$BD$152,N346+2,FALSE)*1,0),HLOOKUP(Tools!$BE$2,Tools!$BE$2:$BE$27,O346+1,FALSE)*WLS),""),"")</f>
        <v/>
      </c>
      <c r="N346">
        <f t="shared" si="32"/>
        <v>26</v>
      </c>
      <c r="O346">
        <f t="shared" si="33"/>
        <v>6</v>
      </c>
    </row>
    <row r="347" spans="1:15" x14ac:dyDescent="0.25">
      <c r="A347" s="431" t="str">
        <f t="shared" si="34"/>
        <v/>
      </c>
      <c r="B347" s="434" t="str">
        <f t="shared" si="30"/>
        <v/>
      </c>
      <c r="C347" s="437" t="str">
        <f>IFERROR(-LBP/2+HLOOKUP(Stn_WL,Tools!$AD$2:$AD$27,QUOTIENT(ROW()-2,Max_WL_count)+2,FALSE)*STN_GAP,"")</f>
        <v/>
      </c>
      <c r="D347" s="437" t="str">
        <f>IFERROR(VLOOKUP(HLOOKUP(Stn_WL,Tools!$AD$2:$AD$27,QUOTIENT(ROW()-2,Max_WL_count)+2,FALSE),Tools!$AD$3:$BC$27,MOD(ROW()-2,Max_WL_count)+2,FALSE),"")</f>
        <v/>
      </c>
      <c r="E347" s="435" t="str">
        <f>IFERROR(IF(ISNUMBER(D347),HLOOKUP(Tools!$BE$2,Tools!$BE$2:$BE$27,MOD(ROW()-2,Max_WL_count)+2,FALSE)*WLS,""),"")</f>
        <v/>
      </c>
      <c r="I347" s="431" t="str">
        <f t="shared" si="35"/>
        <v/>
      </c>
      <c r="J347" s="434" t="str">
        <f t="shared" si="31"/>
        <v/>
      </c>
      <c r="K347" s="437" t="str">
        <f>IFERROR(-LBP/2+HLOOKUP(Stn_WL,Tools!$AD$2:$AD$27,N347+2,FALSE)*STN_GAP,"")</f>
        <v/>
      </c>
      <c r="L347" s="437" t="str">
        <f>IFERROR(IF(AND(ISNUMBER(K347),O347=0),0,VLOOKUP(HLOOKUP(Stn_WL,Tools!$AD$2:$AD$27,N347+2,FALSE),Tools!$AD$3:$BC$27,O347+1,FALSE)),"")</f>
        <v/>
      </c>
      <c r="M347" s="437" t="str">
        <f>IFERROR(IF(ISNUMBER(L347),IF(O347=0,IFERROR(HLOOKUP(Tools!$BD$127,Tools!$BD$127:$BD$152,N347+2,FALSE)*1,0),HLOOKUP(Tools!$BE$2,Tools!$BE$2:$BE$27,O347+1,FALSE)*WLS),""),"")</f>
        <v/>
      </c>
      <c r="N347">
        <f t="shared" si="32"/>
        <v>26</v>
      </c>
      <c r="O347">
        <f t="shared" si="33"/>
        <v>7</v>
      </c>
    </row>
    <row r="348" spans="1:15" x14ac:dyDescent="0.25">
      <c r="A348" s="431" t="str">
        <f t="shared" si="34"/>
        <v/>
      </c>
      <c r="B348" s="434" t="str">
        <f t="shared" si="30"/>
        <v/>
      </c>
      <c r="C348" s="437" t="str">
        <f>IFERROR(-LBP/2+HLOOKUP(Stn_WL,Tools!$AD$2:$AD$27,QUOTIENT(ROW()-2,Max_WL_count)+2,FALSE)*STN_GAP,"")</f>
        <v/>
      </c>
      <c r="D348" s="437" t="str">
        <f>IFERROR(VLOOKUP(HLOOKUP(Stn_WL,Tools!$AD$2:$AD$27,QUOTIENT(ROW()-2,Max_WL_count)+2,FALSE),Tools!$AD$3:$BC$27,MOD(ROW()-2,Max_WL_count)+2,FALSE),"")</f>
        <v/>
      </c>
      <c r="E348" s="435" t="str">
        <f>IFERROR(IF(ISNUMBER(D348),HLOOKUP(Tools!$BE$2,Tools!$BE$2:$BE$27,MOD(ROW()-2,Max_WL_count)+2,FALSE)*WLS,""),"")</f>
        <v/>
      </c>
      <c r="I348" s="431" t="str">
        <f t="shared" si="35"/>
        <v/>
      </c>
      <c r="J348" s="434" t="str">
        <f t="shared" si="31"/>
        <v/>
      </c>
      <c r="K348" s="437" t="str">
        <f>IFERROR(-LBP/2+HLOOKUP(Stn_WL,Tools!$AD$2:$AD$27,N348+2,FALSE)*STN_GAP,"")</f>
        <v/>
      </c>
      <c r="L348" s="437" t="str">
        <f>IFERROR(IF(AND(ISNUMBER(K348),O348=0),0,VLOOKUP(HLOOKUP(Stn_WL,Tools!$AD$2:$AD$27,N348+2,FALSE),Tools!$AD$3:$BC$27,O348+1,FALSE)),"")</f>
        <v/>
      </c>
      <c r="M348" s="437" t="str">
        <f>IFERROR(IF(ISNUMBER(L348),IF(O348=0,IFERROR(HLOOKUP(Tools!$BD$127,Tools!$BD$127:$BD$152,N348+2,FALSE)*1,0),HLOOKUP(Tools!$BE$2,Tools!$BE$2:$BE$27,O348+1,FALSE)*WLS),""),"")</f>
        <v/>
      </c>
      <c r="N348">
        <f t="shared" si="32"/>
        <v>26</v>
      </c>
      <c r="O348">
        <f t="shared" si="33"/>
        <v>8</v>
      </c>
    </row>
    <row r="349" spans="1:15" x14ac:dyDescent="0.25">
      <c r="A349" s="431" t="str">
        <f t="shared" si="34"/>
        <v/>
      </c>
      <c r="B349" s="434" t="str">
        <f t="shared" si="30"/>
        <v/>
      </c>
      <c r="C349" s="437" t="str">
        <f>IFERROR(-LBP/2+HLOOKUP(Stn_WL,Tools!$AD$2:$AD$27,QUOTIENT(ROW()-2,Max_WL_count)+2,FALSE)*STN_GAP,"")</f>
        <v/>
      </c>
      <c r="D349" s="437" t="str">
        <f>IFERROR(VLOOKUP(HLOOKUP(Stn_WL,Tools!$AD$2:$AD$27,QUOTIENT(ROW()-2,Max_WL_count)+2,FALSE),Tools!$AD$3:$BC$27,MOD(ROW()-2,Max_WL_count)+2,FALSE),"")</f>
        <v/>
      </c>
      <c r="E349" s="435" t="str">
        <f>IFERROR(IF(ISNUMBER(D349),HLOOKUP(Tools!$BE$2,Tools!$BE$2:$BE$27,MOD(ROW()-2,Max_WL_count)+2,FALSE)*WLS,""),"")</f>
        <v/>
      </c>
      <c r="I349" s="431" t="str">
        <f t="shared" si="35"/>
        <v/>
      </c>
      <c r="J349" s="434" t="str">
        <f t="shared" si="31"/>
        <v/>
      </c>
      <c r="K349" s="437" t="str">
        <f>IFERROR(-LBP/2+HLOOKUP(Stn_WL,Tools!$AD$2:$AD$27,N349+2,FALSE)*STN_GAP,"")</f>
        <v/>
      </c>
      <c r="L349" s="437" t="str">
        <f>IFERROR(IF(AND(ISNUMBER(K349),O349=0),0,VLOOKUP(HLOOKUP(Stn_WL,Tools!$AD$2:$AD$27,N349+2,FALSE),Tools!$AD$3:$BC$27,O349+1,FALSE)),"")</f>
        <v/>
      </c>
      <c r="M349" s="437" t="str">
        <f>IFERROR(IF(ISNUMBER(L349),IF(O349=0,IFERROR(HLOOKUP(Tools!$BD$127,Tools!$BD$127:$BD$152,N349+2,FALSE)*1,0),HLOOKUP(Tools!$BE$2,Tools!$BE$2:$BE$27,O349+1,FALSE)*WLS),""),"")</f>
        <v/>
      </c>
      <c r="N349">
        <f t="shared" si="32"/>
        <v>26</v>
      </c>
      <c r="O349">
        <f t="shared" si="33"/>
        <v>9</v>
      </c>
    </row>
    <row r="350" spans="1:15" x14ac:dyDescent="0.25">
      <c r="A350" s="431" t="str">
        <f t="shared" si="34"/>
        <v/>
      </c>
      <c r="B350" s="434" t="str">
        <f t="shared" si="30"/>
        <v/>
      </c>
      <c r="C350" s="437" t="str">
        <f>IFERROR(-LBP/2+HLOOKUP(Stn_WL,Tools!$AD$2:$AD$27,QUOTIENT(ROW()-2,Max_WL_count)+2,FALSE)*STN_GAP,"")</f>
        <v/>
      </c>
      <c r="D350" s="437" t="str">
        <f>IFERROR(VLOOKUP(HLOOKUP(Stn_WL,Tools!$AD$2:$AD$27,QUOTIENT(ROW()-2,Max_WL_count)+2,FALSE),Tools!$AD$3:$BC$27,MOD(ROW()-2,Max_WL_count)+2,FALSE),"")</f>
        <v/>
      </c>
      <c r="E350" s="435" t="str">
        <f>IFERROR(IF(ISNUMBER(D350),HLOOKUP(Tools!$BE$2,Tools!$BE$2:$BE$27,MOD(ROW()-2,Max_WL_count)+2,FALSE)*WLS,""),"")</f>
        <v/>
      </c>
      <c r="I350" s="431" t="str">
        <f t="shared" si="35"/>
        <v/>
      </c>
      <c r="J350" s="434" t="str">
        <f t="shared" si="31"/>
        <v/>
      </c>
      <c r="K350" s="437" t="str">
        <f>IFERROR(-LBP/2+HLOOKUP(Stn_WL,Tools!$AD$2:$AD$27,N350+2,FALSE)*STN_GAP,"")</f>
        <v/>
      </c>
      <c r="L350" s="437" t="str">
        <f>IFERROR(IF(AND(ISNUMBER(K350),O350=0),0,VLOOKUP(HLOOKUP(Stn_WL,Tools!$AD$2:$AD$27,N350+2,FALSE),Tools!$AD$3:$BC$27,O350+1,FALSE)),"")</f>
        <v/>
      </c>
      <c r="M350" s="437" t="str">
        <f>IFERROR(IF(ISNUMBER(L350),IF(O350=0,IFERROR(HLOOKUP(Tools!$BD$127,Tools!$BD$127:$BD$152,N350+2,FALSE)*1,0),HLOOKUP(Tools!$BE$2,Tools!$BE$2:$BE$27,O350+1,FALSE)*WLS),""),"")</f>
        <v/>
      </c>
      <c r="N350">
        <f t="shared" si="32"/>
        <v>26</v>
      </c>
      <c r="O350">
        <f t="shared" si="33"/>
        <v>10</v>
      </c>
    </row>
    <row r="351" spans="1:15" x14ac:dyDescent="0.25">
      <c r="A351" s="431" t="str">
        <f t="shared" si="34"/>
        <v/>
      </c>
      <c r="B351" s="434" t="str">
        <f t="shared" si="30"/>
        <v/>
      </c>
      <c r="C351" s="437" t="str">
        <f>IFERROR(-LBP/2+HLOOKUP(Stn_WL,Tools!$AD$2:$AD$27,QUOTIENT(ROW()-2,Max_WL_count)+2,FALSE)*STN_GAP,"")</f>
        <v/>
      </c>
      <c r="D351" s="437" t="str">
        <f>IFERROR(VLOOKUP(HLOOKUP(Stn_WL,Tools!$AD$2:$AD$27,QUOTIENT(ROW()-2,Max_WL_count)+2,FALSE),Tools!$AD$3:$BC$27,MOD(ROW()-2,Max_WL_count)+2,FALSE),"")</f>
        <v/>
      </c>
      <c r="E351" s="435" t="str">
        <f>IFERROR(IF(ISNUMBER(D351),HLOOKUP(Tools!$BE$2,Tools!$BE$2:$BE$27,MOD(ROW()-2,Max_WL_count)+2,FALSE)*WLS,""),"")</f>
        <v/>
      </c>
      <c r="I351" s="431" t="str">
        <f t="shared" si="35"/>
        <v/>
      </c>
      <c r="J351" s="434" t="str">
        <f t="shared" si="31"/>
        <v/>
      </c>
      <c r="K351" s="437" t="str">
        <f>IFERROR(-LBP/2+HLOOKUP(Stn_WL,Tools!$AD$2:$AD$27,N351+2,FALSE)*STN_GAP,"")</f>
        <v/>
      </c>
      <c r="L351" s="437" t="str">
        <f>IFERROR(IF(AND(ISNUMBER(K351),O351=0),0,VLOOKUP(HLOOKUP(Stn_WL,Tools!$AD$2:$AD$27,N351+2,FALSE),Tools!$AD$3:$BC$27,O351+1,FALSE)),"")</f>
        <v/>
      </c>
      <c r="M351" s="437" t="str">
        <f>IFERROR(IF(ISNUMBER(L351),IF(O351=0,IFERROR(HLOOKUP(Tools!$BD$127,Tools!$BD$127:$BD$152,N351+2,FALSE)*1,0),HLOOKUP(Tools!$BE$2,Tools!$BE$2:$BE$27,O351+1,FALSE)*WLS),""),"")</f>
        <v/>
      </c>
      <c r="N351">
        <f t="shared" si="32"/>
        <v>26</v>
      </c>
      <c r="O351">
        <f t="shared" si="33"/>
        <v>11</v>
      </c>
    </row>
    <row r="352" spans="1:15" x14ac:dyDescent="0.25">
      <c r="A352" s="431" t="str">
        <f t="shared" si="34"/>
        <v/>
      </c>
      <c r="B352" s="434" t="str">
        <f t="shared" si="30"/>
        <v/>
      </c>
      <c r="C352" s="437" t="str">
        <f>IFERROR(-LBP/2+HLOOKUP(Stn_WL,Tools!$AD$2:$AD$27,QUOTIENT(ROW()-2,Max_WL_count)+2,FALSE)*STN_GAP,"")</f>
        <v/>
      </c>
      <c r="D352" s="437" t="str">
        <f>IFERROR(VLOOKUP(HLOOKUP(Stn_WL,Tools!$AD$2:$AD$27,QUOTIENT(ROW()-2,Max_WL_count)+2,FALSE),Tools!$AD$3:$BC$27,MOD(ROW()-2,Max_WL_count)+2,FALSE),"")</f>
        <v/>
      </c>
      <c r="E352" s="435" t="str">
        <f>IFERROR(IF(ISNUMBER(D352),HLOOKUP(Tools!$BE$2,Tools!$BE$2:$BE$27,MOD(ROW()-2,Max_WL_count)+2,FALSE)*WLS,""),"")</f>
        <v/>
      </c>
      <c r="I352" s="431" t="str">
        <f t="shared" si="35"/>
        <v/>
      </c>
      <c r="J352" s="434" t="str">
        <f t="shared" si="31"/>
        <v/>
      </c>
      <c r="K352" s="437" t="str">
        <f>IFERROR(-LBP/2+HLOOKUP(Stn_WL,Tools!$AD$2:$AD$27,N352+2,FALSE)*STN_GAP,"")</f>
        <v/>
      </c>
      <c r="L352" s="437" t="str">
        <f>IFERROR(IF(AND(ISNUMBER(K352),O352=0),0,VLOOKUP(HLOOKUP(Stn_WL,Tools!$AD$2:$AD$27,N352+2,FALSE),Tools!$AD$3:$BC$27,O352+1,FALSE)),"")</f>
        <v/>
      </c>
      <c r="M352" s="437" t="str">
        <f>IFERROR(IF(ISNUMBER(L352),IF(O352=0,IFERROR(HLOOKUP(Tools!$BD$127,Tools!$BD$127:$BD$152,N352+2,FALSE)*1,0),HLOOKUP(Tools!$BE$2,Tools!$BE$2:$BE$27,O352+1,FALSE)*WLS),""),"")</f>
        <v/>
      </c>
      <c r="N352">
        <f t="shared" si="32"/>
        <v>26</v>
      </c>
      <c r="O352">
        <f t="shared" si="33"/>
        <v>12</v>
      </c>
    </row>
    <row r="353" spans="1:15" x14ac:dyDescent="0.25">
      <c r="A353" s="431" t="str">
        <f t="shared" si="34"/>
        <v/>
      </c>
      <c r="B353" s="434" t="str">
        <f t="shared" si="30"/>
        <v/>
      </c>
      <c r="C353" s="437" t="str">
        <f>IFERROR(-LBP/2+HLOOKUP(Stn_WL,Tools!$AD$2:$AD$27,QUOTIENT(ROW()-2,Max_WL_count)+2,FALSE)*STN_GAP,"")</f>
        <v/>
      </c>
      <c r="D353" s="437" t="str">
        <f>IFERROR(VLOOKUP(HLOOKUP(Stn_WL,Tools!$AD$2:$AD$27,QUOTIENT(ROW()-2,Max_WL_count)+2,FALSE),Tools!$AD$3:$BC$27,MOD(ROW()-2,Max_WL_count)+2,FALSE),"")</f>
        <v/>
      </c>
      <c r="E353" s="435" t="str">
        <f>IFERROR(IF(ISNUMBER(D353),HLOOKUP(Tools!$BE$2,Tools!$BE$2:$BE$27,MOD(ROW()-2,Max_WL_count)+2,FALSE)*WLS,""),"")</f>
        <v/>
      </c>
      <c r="I353" s="431" t="str">
        <f t="shared" si="35"/>
        <v/>
      </c>
      <c r="J353" s="434" t="str">
        <f t="shared" si="31"/>
        <v/>
      </c>
      <c r="K353" s="437" t="str">
        <f>IFERROR(-LBP/2+HLOOKUP(Stn_WL,Tools!$AD$2:$AD$27,N353+2,FALSE)*STN_GAP,"")</f>
        <v/>
      </c>
      <c r="L353" s="437" t="str">
        <f>IFERROR(IF(AND(ISNUMBER(K353),O353=0),0,VLOOKUP(HLOOKUP(Stn_WL,Tools!$AD$2:$AD$27,N353+2,FALSE),Tools!$AD$3:$BC$27,O353+1,FALSE)),"")</f>
        <v/>
      </c>
      <c r="M353" s="437" t="str">
        <f>IFERROR(IF(ISNUMBER(L353),IF(O353=0,IFERROR(HLOOKUP(Tools!$BD$127,Tools!$BD$127:$BD$152,N353+2,FALSE)*1,0),HLOOKUP(Tools!$BE$2,Tools!$BE$2:$BE$27,O353+1,FALSE)*WLS),""),"")</f>
        <v/>
      </c>
      <c r="N353">
        <f t="shared" si="32"/>
        <v>27</v>
      </c>
      <c r="O353">
        <f t="shared" si="33"/>
        <v>0</v>
      </c>
    </row>
    <row r="354" spans="1:15" x14ac:dyDescent="0.25">
      <c r="A354" s="431" t="str">
        <f t="shared" si="34"/>
        <v/>
      </c>
      <c r="B354" s="434" t="str">
        <f t="shared" si="30"/>
        <v/>
      </c>
      <c r="C354" s="437" t="str">
        <f>IFERROR(-LBP/2+HLOOKUP(Stn_WL,Tools!$AD$2:$AD$27,QUOTIENT(ROW()-2,Max_WL_count)+2,FALSE)*STN_GAP,"")</f>
        <v/>
      </c>
      <c r="D354" s="437" t="str">
        <f>IFERROR(VLOOKUP(HLOOKUP(Stn_WL,Tools!$AD$2:$AD$27,QUOTIENT(ROW()-2,Max_WL_count)+2,FALSE),Tools!$AD$3:$BC$27,MOD(ROW()-2,Max_WL_count)+2,FALSE),"")</f>
        <v/>
      </c>
      <c r="E354" s="435" t="str">
        <f>IFERROR(IF(ISNUMBER(D354),HLOOKUP(Tools!$BE$2,Tools!$BE$2:$BE$27,MOD(ROW()-2,Max_WL_count)+2,FALSE)*WLS,""),"")</f>
        <v/>
      </c>
      <c r="I354" s="431" t="str">
        <f t="shared" si="35"/>
        <v/>
      </c>
      <c r="J354" s="434" t="str">
        <f t="shared" si="31"/>
        <v/>
      </c>
      <c r="K354" s="437" t="str">
        <f>IFERROR(-LBP/2+HLOOKUP(Stn_WL,Tools!$AD$2:$AD$27,N354+2,FALSE)*STN_GAP,"")</f>
        <v/>
      </c>
      <c r="L354" s="437" t="str">
        <f>IFERROR(IF(AND(ISNUMBER(K354),O354=0),0,VLOOKUP(HLOOKUP(Stn_WL,Tools!$AD$2:$AD$27,N354+2,FALSE),Tools!$AD$3:$BC$27,O354+1,FALSE)),"")</f>
        <v/>
      </c>
      <c r="M354" s="437" t="str">
        <f>IFERROR(IF(ISNUMBER(L354),IF(O354=0,IFERROR(HLOOKUP(Tools!$BD$127,Tools!$BD$127:$BD$152,N354+2,FALSE)*1,0),HLOOKUP(Tools!$BE$2,Tools!$BE$2:$BE$27,O354+1,FALSE)*WLS),""),"")</f>
        <v/>
      </c>
      <c r="N354">
        <f t="shared" si="32"/>
        <v>27</v>
      </c>
      <c r="O354">
        <f t="shared" si="33"/>
        <v>1</v>
      </c>
    </row>
    <row r="355" spans="1:15" x14ac:dyDescent="0.25">
      <c r="A355" s="431" t="str">
        <f t="shared" si="34"/>
        <v/>
      </c>
      <c r="B355" s="434" t="str">
        <f t="shared" si="30"/>
        <v/>
      </c>
      <c r="C355" s="437" t="str">
        <f>IFERROR(-LBP/2+HLOOKUP(Stn_WL,Tools!$AD$2:$AD$27,QUOTIENT(ROW()-2,Max_WL_count)+2,FALSE)*STN_GAP,"")</f>
        <v/>
      </c>
      <c r="D355" s="437" t="str">
        <f>IFERROR(VLOOKUP(HLOOKUP(Stn_WL,Tools!$AD$2:$AD$27,QUOTIENT(ROW()-2,Max_WL_count)+2,FALSE),Tools!$AD$3:$BC$27,MOD(ROW()-2,Max_WL_count)+2,FALSE),"")</f>
        <v/>
      </c>
      <c r="E355" s="435" t="str">
        <f>IFERROR(IF(ISNUMBER(D355),HLOOKUP(Tools!$BE$2,Tools!$BE$2:$BE$27,MOD(ROW()-2,Max_WL_count)+2,FALSE)*WLS,""),"")</f>
        <v/>
      </c>
      <c r="I355" s="431" t="str">
        <f t="shared" si="35"/>
        <v/>
      </c>
      <c r="J355" s="434" t="str">
        <f t="shared" si="31"/>
        <v/>
      </c>
      <c r="K355" s="437" t="str">
        <f>IFERROR(-LBP/2+HLOOKUP(Stn_WL,Tools!$AD$2:$AD$27,N355+2,FALSE)*STN_GAP,"")</f>
        <v/>
      </c>
      <c r="L355" s="437" t="str">
        <f>IFERROR(IF(AND(ISNUMBER(K355),O355=0),0,VLOOKUP(HLOOKUP(Stn_WL,Tools!$AD$2:$AD$27,N355+2,FALSE),Tools!$AD$3:$BC$27,O355+1,FALSE)),"")</f>
        <v/>
      </c>
      <c r="M355" s="437" t="str">
        <f>IFERROR(IF(ISNUMBER(L355),IF(O355=0,IFERROR(HLOOKUP(Tools!$BD$127,Tools!$BD$127:$BD$152,N355+2,FALSE)*1,0),HLOOKUP(Tools!$BE$2,Tools!$BE$2:$BE$27,O355+1,FALSE)*WLS),""),"")</f>
        <v/>
      </c>
      <c r="N355">
        <f t="shared" si="32"/>
        <v>27</v>
      </c>
      <c r="O355">
        <f t="shared" si="33"/>
        <v>2</v>
      </c>
    </row>
    <row r="356" spans="1:15" x14ac:dyDescent="0.25">
      <c r="A356" s="431" t="str">
        <f t="shared" si="34"/>
        <v/>
      </c>
      <c r="B356" s="434" t="str">
        <f t="shared" si="30"/>
        <v/>
      </c>
      <c r="C356" s="437" t="str">
        <f>IFERROR(-LBP/2+HLOOKUP(Stn_WL,Tools!$AD$2:$AD$27,QUOTIENT(ROW()-2,Max_WL_count)+2,FALSE)*STN_GAP,"")</f>
        <v/>
      </c>
      <c r="D356" s="437" t="str">
        <f>IFERROR(VLOOKUP(HLOOKUP(Stn_WL,Tools!$AD$2:$AD$27,QUOTIENT(ROW()-2,Max_WL_count)+2,FALSE),Tools!$AD$3:$BC$27,MOD(ROW()-2,Max_WL_count)+2,FALSE),"")</f>
        <v/>
      </c>
      <c r="E356" s="435" t="str">
        <f>IFERROR(IF(ISNUMBER(D356),HLOOKUP(Tools!$BE$2,Tools!$BE$2:$BE$27,MOD(ROW()-2,Max_WL_count)+2,FALSE)*WLS,""),"")</f>
        <v/>
      </c>
      <c r="I356" s="431" t="str">
        <f t="shared" si="35"/>
        <v/>
      </c>
      <c r="J356" s="434" t="str">
        <f t="shared" si="31"/>
        <v/>
      </c>
      <c r="K356" s="437" t="str">
        <f>IFERROR(-LBP/2+HLOOKUP(Stn_WL,Tools!$AD$2:$AD$27,N356+2,FALSE)*STN_GAP,"")</f>
        <v/>
      </c>
      <c r="L356" s="437" t="str">
        <f>IFERROR(IF(AND(ISNUMBER(K356),O356=0),0,VLOOKUP(HLOOKUP(Stn_WL,Tools!$AD$2:$AD$27,N356+2,FALSE),Tools!$AD$3:$BC$27,O356+1,FALSE)),"")</f>
        <v/>
      </c>
      <c r="M356" s="437" t="str">
        <f>IFERROR(IF(ISNUMBER(L356),IF(O356=0,IFERROR(HLOOKUP(Tools!$BD$127,Tools!$BD$127:$BD$152,N356+2,FALSE)*1,0),HLOOKUP(Tools!$BE$2,Tools!$BE$2:$BE$27,O356+1,FALSE)*WLS),""),"")</f>
        <v/>
      </c>
      <c r="N356">
        <f t="shared" si="32"/>
        <v>27</v>
      </c>
      <c r="O356">
        <f t="shared" si="33"/>
        <v>3</v>
      </c>
    </row>
    <row r="357" spans="1:15" x14ac:dyDescent="0.25">
      <c r="A357" s="431" t="str">
        <f t="shared" si="34"/>
        <v/>
      </c>
      <c r="B357" s="434" t="str">
        <f t="shared" si="30"/>
        <v/>
      </c>
      <c r="C357" s="437" t="str">
        <f>IFERROR(-LBP/2+HLOOKUP(Stn_WL,Tools!$AD$2:$AD$27,QUOTIENT(ROW()-2,Max_WL_count)+2,FALSE)*STN_GAP,"")</f>
        <v/>
      </c>
      <c r="D357" s="437" t="str">
        <f>IFERROR(VLOOKUP(HLOOKUP(Stn_WL,Tools!$AD$2:$AD$27,QUOTIENT(ROW()-2,Max_WL_count)+2,FALSE),Tools!$AD$3:$BC$27,MOD(ROW()-2,Max_WL_count)+2,FALSE),"")</f>
        <v/>
      </c>
      <c r="E357" s="435" t="str">
        <f>IFERROR(IF(ISNUMBER(D357),HLOOKUP(Tools!$BE$2,Tools!$BE$2:$BE$27,MOD(ROW()-2,Max_WL_count)+2,FALSE)*WLS,""),"")</f>
        <v/>
      </c>
      <c r="I357" s="431" t="str">
        <f t="shared" si="35"/>
        <v/>
      </c>
      <c r="J357" s="434" t="str">
        <f t="shared" si="31"/>
        <v/>
      </c>
      <c r="K357" s="437" t="str">
        <f>IFERROR(-LBP/2+HLOOKUP(Stn_WL,Tools!$AD$2:$AD$27,N357+2,FALSE)*STN_GAP,"")</f>
        <v/>
      </c>
      <c r="L357" s="437" t="str">
        <f>IFERROR(IF(AND(ISNUMBER(K357),O357=0),0,VLOOKUP(HLOOKUP(Stn_WL,Tools!$AD$2:$AD$27,N357+2,FALSE),Tools!$AD$3:$BC$27,O357+1,FALSE)),"")</f>
        <v/>
      </c>
      <c r="M357" s="437" t="str">
        <f>IFERROR(IF(ISNUMBER(L357),IF(O357=0,IFERROR(HLOOKUP(Tools!$BD$127,Tools!$BD$127:$BD$152,N357+2,FALSE)*1,0),HLOOKUP(Tools!$BE$2,Tools!$BE$2:$BE$27,O357+1,FALSE)*WLS),""),"")</f>
        <v/>
      </c>
      <c r="N357">
        <f t="shared" si="32"/>
        <v>27</v>
      </c>
      <c r="O357">
        <f t="shared" si="33"/>
        <v>4</v>
      </c>
    </row>
    <row r="358" spans="1:15" x14ac:dyDescent="0.25">
      <c r="A358" s="431" t="str">
        <f t="shared" si="34"/>
        <v/>
      </c>
      <c r="B358" s="434" t="str">
        <f t="shared" si="30"/>
        <v/>
      </c>
      <c r="C358" s="437" t="str">
        <f>IFERROR(-LBP/2+HLOOKUP(Stn_WL,Tools!$AD$2:$AD$27,QUOTIENT(ROW()-2,Max_WL_count)+2,FALSE)*STN_GAP,"")</f>
        <v/>
      </c>
      <c r="D358" s="437" t="str">
        <f>IFERROR(VLOOKUP(HLOOKUP(Stn_WL,Tools!$AD$2:$AD$27,QUOTIENT(ROW()-2,Max_WL_count)+2,FALSE),Tools!$AD$3:$BC$27,MOD(ROW()-2,Max_WL_count)+2,FALSE),"")</f>
        <v/>
      </c>
      <c r="E358" s="435" t="str">
        <f>IFERROR(IF(ISNUMBER(D358),HLOOKUP(Tools!$BE$2,Tools!$BE$2:$BE$27,MOD(ROW()-2,Max_WL_count)+2,FALSE)*WLS,""),"")</f>
        <v/>
      </c>
      <c r="I358" s="431" t="str">
        <f t="shared" si="35"/>
        <v/>
      </c>
      <c r="J358" s="434" t="str">
        <f t="shared" si="31"/>
        <v/>
      </c>
      <c r="K358" s="437" t="str">
        <f>IFERROR(-LBP/2+HLOOKUP(Stn_WL,Tools!$AD$2:$AD$27,N358+2,FALSE)*STN_GAP,"")</f>
        <v/>
      </c>
      <c r="L358" s="437" t="str">
        <f>IFERROR(IF(AND(ISNUMBER(K358),O358=0),0,VLOOKUP(HLOOKUP(Stn_WL,Tools!$AD$2:$AD$27,N358+2,FALSE),Tools!$AD$3:$BC$27,O358+1,FALSE)),"")</f>
        <v/>
      </c>
      <c r="M358" s="437" t="str">
        <f>IFERROR(IF(ISNUMBER(L358),IF(O358=0,IFERROR(HLOOKUP(Tools!$BD$127,Tools!$BD$127:$BD$152,N358+2,FALSE)*1,0),HLOOKUP(Tools!$BE$2,Tools!$BE$2:$BE$27,O358+1,FALSE)*WLS),""),"")</f>
        <v/>
      </c>
      <c r="N358">
        <f t="shared" si="32"/>
        <v>27</v>
      </c>
      <c r="O358">
        <f t="shared" si="33"/>
        <v>5</v>
      </c>
    </row>
    <row r="359" spans="1:15" x14ac:dyDescent="0.25">
      <c r="A359" s="431" t="str">
        <f t="shared" si="34"/>
        <v/>
      </c>
      <c r="B359" s="434" t="str">
        <f t="shared" si="30"/>
        <v/>
      </c>
      <c r="C359" s="437" t="str">
        <f>IFERROR(-LBP/2+HLOOKUP(Stn_WL,Tools!$AD$2:$AD$27,QUOTIENT(ROW()-2,Max_WL_count)+2,FALSE)*STN_GAP,"")</f>
        <v/>
      </c>
      <c r="D359" s="437" t="str">
        <f>IFERROR(VLOOKUP(HLOOKUP(Stn_WL,Tools!$AD$2:$AD$27,QUOTIENT(ROW()-2,Max_WL_count)+2,FALSE),Tools!$AD$3:$BC$27,MOD(ROW()-2,Max_WL_count)+2,FALSE),"")</f>
        <v/>
      </c>
      <c r="E359" s="435" t="str">
        <f>IFERROR(IF(ISNUMBER(D359),HLOOKUP(Tools!$BE$2,Tools!$BE$2:$BE$27,MOD(ROW()-2,Max_WL_count)+2,FALSE)*WLS,""),"")</f>
        <v/>
      </c>
      <c r="I359" s="431" t="str">
        <f t="shared" si="35"/>
        <v/>
      </c>
      <c r="J359" s="434" t="str">
        <f t="shared" si="31"/>
        <v/>
      </c>
      <c r="K359" s="437" t="str">
        <f>IFERROR(-LBP/2+HLOOKUP(Stn_WL,Tools!$AD$2:$AD$27,N359+2,FALSE)*STN_GAP,"")</f>
        <v/>
      </c>
      <c r="L359" s="437" t="str">
        <f>IFERROR(IF(AND(ISNUMBER(K359),O359=0),0,VLOOKUP(HLOOKUP(Stn_WL,Tools!$AD$2:$AD$27,N359+2,FALSE),Tools!$AD$3:$BC$27,O359+1,FALSE)),"")</f>
        <v/>
      </c>
      <c r="M359" s="437" t="str">
        <f>IFERROR(IF(ISNUMBER(L359),IF(O359=0,IFERROR(HLOOKUP(Tools!$BD$127,Tools!$BD$127:$BD$152,N359+2,FALSE)*1,0),HLOOKUP(Tools!$BE$2,Tools!$BE$2:$BE$27,O359+1,FALSE)*WLS),""),"")</f>
        <v/>
      </c>
      <c r="N359">
        <f t="shared" si="32"/>
        <v>27</v>
      </c>
      <c r="O359">
        <f t="shared" si="33"/>
        <v>6</v>
      </c>
    </row>
    <row r="360" spans="1:15" x14ac:dyDescent="0.25">
      <c r="A360" s="431" t="str">
        <f t="shared" si="34"/>
        <v/>
      </c>
      <c r="B360" s="434" t="str">
        <f t="shared" si="30"/>
        <v/>
      </c>
      <c r="C360" s="437" t="str">
        <f>IFERROR(-LBP/2+HLOOKUP(Stn_WL,Tools!$AD$2:$AD$27,QUOTIENT(ROW()-2,Max_WL_count)+2,FALSE)*STN_GAP,"")</f>
        <v/>
      </c>
      <c r="D360" s="437" t="str">
        <f>IFERROR(VLOOKUP(HLOOKUP(Stn_WL,Tools!$AD$2:$AD$27,QUOTIENT(ROW()-2,Max_WL_count)+2,FALSE),Tools!$AD$3:$BC$27,MOD(ROW()-2,Max_WL_count)+2,FALSE),"")</f>
        <v/>
      </c>
      <c r="E360" s="435" t="str">
        <f>IFERROR(IF(ISNUMBER(D360),HLOOKUP(Tools!$BE$2,Tools!$BE$2:$BE$27,MOD(ROW()-2,Max_WL_count)+2,FALSE)*WLS,""),"")</f>
        <v/>
      </c>
      <c r="I360" s="431" t="str">
        <f t="shared" si="35"/>
        <v/>
      </c>
      <c r="J360" s="434" t="str">
        <f t="shared" si="31"/>
        <v/>
      </c>
      <c r="K360" s="437" t="str">
        <f>IFERROR(-LBP/2+HLOOKUP(Stn_WL,Tools!$AD$2:$AD$27,N360+2,FALSE)*STN_GAP,"")</f>
        <v/>
      </c>
      <c r="L360" s="437" t="str">
        <f>IFERROR(IF(AND(ISNUMBER(K360),O360=0),0,VLOOKUP(HLOOKUP(Stn_WL,Tools!$AD$2:$AD$27,N360+2,FALSE),Tools!$AD$3:$BC$27,O360+1,FALSE)),"")</f>
        <v/>
      </c>
      <c r="M360" s="437" t="str">
        <f>IFERROR(IF(ISNUMBER(L360),IF(O360=0,IFERROR(HLOOKUP(Tools!$BD$127,Tools!$BD$127:$BD$152,N360+2,FALSE)*1,0),HLOOKUP(Tools!$BE$2,Tools!$BE$2:$BE$27,O360+1,FALSE)*WLS),""),"")</f>
        <v/>
      </c>
      <c r="N360">
        <f t="shared" si="32"/>
        <v>27</v>
      </c>
      <c r="O360">
        <f t="shared" si="33"/>
        <v>7</v>
      </c>
    </row>
    <row r="361" spans="1:15" x14ac:dyDescent="0.25">
      <c r="A361" s="431" t="str">
        <f t="shared" si="34"/>
        <v/>
      </c>
      <c r="B361" s="434" t="str">
        <f t="shared" si="30"/>
        <v/>
      </c>
      <c r="C361" s="437" t="str">
        <f>IFERROR(-LBP/2+HLOOKUP(Stn_WL,Tools!$AD$2:$AD$27,QUOTIENT(ROW()-2,Max_WL_count)+2,FALSE)*STN_GAP,"")</f>
        <v/>
      </c>
      <c r="D361" s="437" t="str">
        <f>IFERROR(VLOOKUP(HLOOKUP(Stn_WL,Tools!$AD$2:$AD$27,QUOTIENT(ROW()-2,Max_WL_count)+2,FALSE),Tools!$AD$3:$BC$27,MOD(ROW()-2,Max_WL_count)+2,FALSE),"")</f>
        <v/>
      </c>
      <c r="E361" s="435" t="str">
        <f>IFERROR(IF(ISNUMBER(D361),HLOOKUP(Tools!$BE$2,Tools!$BE$2:$BE$27,MOD(ROW()-2,Max_WL_count)+2,FALSE)*WLS,""),"")</f>
        <v/>
      </c>
      <c r="I361" s="431" t="str">
        <f t="shared" si="35"/>
        <v/>
      </c>
      <c r="J361" s="434" t="str">
        <f t="shared" si="31"/>
        <v/>
      </c>
      <c r="K361" s="437" t="str">
        <f>IFERROR(-LBP/2+HLOOKUP(Stn_WL,Tools!$AD$2:$AD$27,N361+2,FALSE)*STN_GAP,"")</f>
        <v/>
      </c>
      <c r="L361" s="437" t="str">
        <f>IFERROR(IF(AND(ISNUMBER(K361),O361=0),0,VLOOKUP(HLOOKUP(Stn_WL,Tools!$AD$2:$AD$27,N361+2,FALSE),Tools!$AD$3:$BC$27,O361+1,FALSE)),"")</f>
        <v/>
      </c>
      <c r="M361" s="437" t="str">
        <f>IFERROR(IF(ISNUMBER(L361),IF(O361=0,IFERROR(HLOOKUP(Tools!$BD$127,Tools!$BD$127:$BD$152,N361+2,FALSE)*1,0),HLOOKUP(Tools!$BE$2,Tools!$BE$2:$BE$27,O361+1,FALSE)*WLS),""),"")</f>
        <v/>
      </c>
      <c r="N361">
        <f t="shared" si="32"/>
        <v>27</v>
      </c>
      <c r="O361">
        <f t="shared" si="33"/>
        <v>8</v>
      </c>
    </row>
    <row r="362" spans="1:15" x14ac:dyDescent="0.25">
      <c r="A362" s="431" t="str">
        <f t="shared" si="34"/>
        <v/>
      </c>
      <c r="B362" s="434" t="str">
        <f t="shared" si="30"/>
        <v/>
      </c>
      <c r="C362" s="437" t="str">
        <f>IFERROR(-LBP/2+HLOOKUP(Stn_WL,Tools!$AD$2:$AD$27,QUOTIENT(ROW()-2,Max_WL_count)+2,FALSE)*STN_GAP,"")</f>
        <v/>
      </c>
      <c r="D362" s="437" t="str">
        <f>IFERROR(VLOOKUP(HLOOKUP(Stn_WL,Tools!$AD$2:$AD$27,QUOTIENT(ROW()-2,Max_WL_count)+2,FALSE),Tools!$AD$3:$BC$27,MOD(ROW()-2,Max_WL_count)+2,FALSE),"")</f>
        <v/>
      </c>
      <c r="E362" s="435" t="str">
        <f>IFERROR(IF(ISNUMBER(D362),HLOOKUP(Tools!$BE$2,Tools!$BE$2:$BE$27,MOD(ROW()-2,Max_WL_count)+2,FALSE)*WLS,""),"")</f>
        <v/>
      </c>
      <c r="I362" s="431" t="str">
        <f t="shared" si="35"/>
        <v/>
      </c>
      <c r="J362" s="434" t="str">
        <f t="shared" si="31"/>
        <v/>
      </c>
      <c r="K362" s="437" t="str">
        <f>IFERROR(-LBP/2+HLOOKUP(Stn_WL,Tools!$AD$2:$AD$27,N362+2,FALSE)*STN_GAP,"")</f>
        <v/>
      </c>
      <c r="L362" s="437" t="str">
        <f>IFERROR(IF(AND(ISNUMBER(K362),O362=0),0,VLOOKUP(HLOOKUP(Stn_WL,Tools!$AD$2:$AD$27,N362+2,FALSE),Tools!$AD$3:$BC$27,O362+1,FALSE)),"")</f>
        <v/>
      </c>
      <c r="M362" s="437" t="str">
        <f>IFERROR(IF(ISNUMBER(L362),IF(O362=0,IFERROR(HLOOKUP(Tools!$BD$127,Tools!$BD$127:$BD$152,N362+2,FALSE)*1,0),HLOOKUP(Tools!$BE$2,Tools!$BE$2:$BE$27,O362+1,FALSE)*WLS),""),"")</f>
        <v/>
      </c>
      <c r="N362">
        <f t="shared" si="32"/>
        <v>27</v>
      </c>
      <c r="O362">
        <f t="shared" si="33"/>
        <v>9</v>
      </c>
    </row>
    <row r="363" spans="1:15" x14ac:dyDescent="0.25">
      <c r="A363" s="431" t="str">
        <f t="shared" si="34"/>
        <v/>
      </c>
      <c r="B363" s="434" t="str">
        <f t="shared" si="30"/>
        <v/>
      </c>
      <c r="C363" s="437" t="str">
        <f>IFERROR(-LBP/2+HLOOKUP(Stn_WL,Tools!$AD$2:$AD$27,QUOTIENT(ROW()-2,Max_WL_count)+2,FALSE)*STN_GAP,"")</f>
        <v/>
      </c>
      <c r="D363" s="437" t="str">
        <f>IFERROR(VLOOKUP(HLOOKUP(Stn_WL,Tools!$AD$2:$AD$27,QUOTIENT(ROW()-2,Max_WL_count)+2,FALSE),Tools!$AD$3:$BC$27,MOD(ROW()-2,Max_WL_count)+2,FALSE),"")</f>
        <v/>
      </c>
      <c r="E363" s="435" t="str">
        <f>IFERROR(IF(ISNUMBER(D363),HLOOKUP(Tools!$BE$2,Tools!$BE$2:$BE$27,MOD(ROW()-2,Max_WL_count)+2,FALSE)*WLS,""),"")</f>
        <v/>
      </c>
      <c r="I363" s="431" t="str">
        <f t="shared" si="35"/>
        <v/>
      </c>
      <c r="J363" s="434" t="str">
        <f t="shared" si="31"/>
        <v/>
      </c>
      <c r="K363" s="437" t="str">
        <f>IFERROR(-LBP/2+HLOOKUP(Stn_WL,Tools!$AD$2:$AD$27,N363+2,FALSE)*STN_GAP,"")</f>
        <v/>
      </c>
      <c r="L363" s="437" t="str">
        <f>IFERROR(IF(AND(ISNUMBER(K363),O363=0),0,VLOOKUP(HLOOKUP(Stn_WL,Tools!$AD$2:$AD$27,N363+2,FALSE),Tools!$AD$3:$BC$27,O363+1,FALSE)),"")</f>
        <v/>
      </c>
      <c r="M363" s="437" t="str">
        <f>IFERROR(IF(ISNUMBER(L363),IF(O363=0,IFERROR(HLOOKUP(Tools!$BD$127,Tools!$BD$127:$BD$152,N363+2,FALSE)*1,0),HLOOKUP(Tools!$BE$2,Tools!$BE$2:$BE$27,O363+1,FALSE)*WLS),""),"")</f>
        <v/>
      </c>
      <c r="N363">
        <f t="shared" si="32"/>
        <v>27</v>
      </c>
      <c r="O363">
        <f t="shared" si="33"/>
        <v>10</v>
      </c>
    </row>
    <row r="364" spans="1:15" x14ac:dyDescent="0.25">
      <c r="A364" s="431" t="str">
        <f t="shared" si="34"/>
        <v/>
      </c>
      <c r="B364" s="434" t="str">
        <f t="shared" si="30"/>
        <v/>
      </c>
      <c r="C364" s="437" t="str">
        <f>IFERROR(-LBP/2+HLOOKUP(Stn_WL,Tools!$AD$2:$AD$27,QUOTIENT(ROW()-2,Max_WL_count)+2,FALSE)*STN_GAP,"")</f>
        <v/>
      </c>
      <c r="D364" s="437" t="str">
        <f>IFERROR(VLOOKUP(HLOOKUP(Stn_WL,Tools!$AD$2:$AD$27,QUOTIENT(ROW()-2,Max_WL_count)+2,FALSE),Tools!$AD$3:$BC$27,MOD(ROW()-2,Max_WL_count)+2,FALSE),"")</f>
        <v/>
      </c>
      <c r="E364" s="435" t="str">
        <f>IFERROR(IF(ISNUMBER(D364),HLOOKUP(Tools!$BE$2,Tools!$BE$2:$BE$27,MOD(ROW()-2,Max_WL_count)+2,FALSE)*WLS,""),"")</f>
        <v/>
      </c>
      <c r="I364" s="431" t="str">
        <f t="shared" si="35"/>
        <v/>
      </c>
      <c r="J364" s="434" t="str">
        <f t="shared" si="31"/>
        <v/>
      </c>
      <c r="K364" s="437" t="str">
        <f>IFERROR(-LBP/2+HLOOKUP(Stn_WL,Tools!$AD$2:$AD$27,N364+2,FALSE)*STN_GAP,"")</f>
        <v/>
      </c>
      <c r="L364" s="437" t="str">
        <f>IFERROR(IF(AND(ISNUMBER(K364),O364=0),0,VLOOKUP(HLOOKUP(Stn_WL,Tools!$AD$2:$AD$27,N364+2,FALSE),Tools!$AD$3:$BC$27,O364+1,FALSE)),"")</f>
        <v/>
      </c>
      <c r="M364" s="437" t="str">
        <f>IFERROR(IF(ISNUMBER(L364),IF(O364=0,IFERROR(HLOOKUP(Tools!$BD$127,Tools!$BD$127:$BD$152,N364+2,FALSE)*1,0),HLOOKUP(Tools!$BE$2,Tools!$BE$2:$BE$27,O364+1,FALSE)*WLS),""),"")</f>
        <v/>
      </c>
      <c r="N364">
        <f t="shared" si="32"/>
        <v>27</v>
      </c>
      <c r="O364">
        <f t="shared" si="33"/>
        <v>11</v>
      </c>
    </row>
    <row r="365" spans="1:15" x14ac:dyDescent="0.25">
      <c r="A365" s="431" t="str">
        <f t="shared" si="34"/>
        <v/>
      </c>
      <c r="B365" s="434" t="str">
        <f t="shared" si="30"/>
        <v/>
      </c>
      <c r="C365" s="437" t="str">
        <f>IFERROR(-LBP/2+HLOOKUP(Stn_WL,Tools!$AD$2:$AD$27,QUOTIENT(ROW()-2,Max_WL_count)+2,FALSE)*STN_GAP,"")</f>
        <v/>
      </c>
      <c r="D365" s="437" t="str">
        <f>IFERROR(VLOOKUP(HLOOKUP(Stn_WL,Tools!$AD$2:$AD$27,QUOTIENT(ROW()-2,Max_WL_count)+2,FALSE),Tools!$AD$3:$BC$27,MOD(ROW()-2,Max_WL_count)+2,FALSE),"")</f>
        <v/>
      </c>
      <c r="E365" s="435" t="str">
        <f>IFERROR(IF(ISNUMBER(D365),HLOOKUP(Tools!$BE$2,Tools!$BE$2:$BE$27,MOD(ROW()-2,Max_WL_count)+2,FALSE)*WLS,""),"")</f>
        <v/>
      </c>
      <c r="I365" s="431" t="str">
        <f t="shared" si="35"/>
        <v/>
      </c>
      <c r="J365" s="434" t="str">
        <f t="shared" si="31"/>
        <v/>
      </c>
      <c r="K365" s="437" t="str">
        <f>IFERROR(-LBP/2+HLOOKUP(Stn_WL,Tools!$AD$2:$AD$27,N365+2,FALSE)*STN_GAP,"")</f>
        <v/>
      </c>
      <c r="L365" s="437" t="str">
        <f>IFERROR(IF(AND(ISNUMBER(K365),O365=0),0,VLOOKUP(HLOOKUP(Stn_WL,Tools!$AD$2:$AD$27,N365+2,FALSE),Tools!$AD$3:$BC$27,O365+1,FALSE)),"")</f>
        <v/>
      </c>
      <c r="M365" s="437" t="str">
        <f>IFERROR(IF(ISNUMBER(L365),IF(O365=0,IFERROR(HLOOKUP(Tools!$BD$127,Tools!$BD$127:$BD$152,N365+2,FALSE)*1,0),HLOOKUP(Tools!$BE$2,Tools!$BE$2:$BE$27,O365+1,FALSE)*WLS),""),"")</f>
        <v/>
      </c>
      <c r="N365">
        <f t="shared" si="32"/>
        <v>27</v>
      </c>
      <c r="O365">
        <f t="shared" si="33"/>
        <v>12</v>
      </c>
    </row>
    <row r="366" spans="1:15" x14ac:dyDescent="0.25">
      <c r="A366" s="431" t="str">
        <f t="shared" si="34"/>
        <v/>
      </c>
      <c r="B366" s="434" t="str">
        <f t="shared" si="30"/>
        <v/>
      </c>
      <c r="C366" s="437" t="str">
        <f>IFERROR(-LBP/2+HLOOKUP(Stn_WL,Tools!$AD$2:$AD$27,QUOTIENT(ROW()-2,Max_WL_count)+2,FALSE)*STN_GAP,"")</f>
        <v/>
      </c>
      <c r="D366" s="437" t="str">
        <f>IFERROR(VLOOKUP(HLOOKUP(Stn_WL,Tools!$AD$2:$AD$27,QUOTIENT(ROW()-2,Max_WL_count)+2,FALSE),Tools!$AD$3:$BC$27,MOD(ROW()-2,Max_WL_count)+2,FALSE),"")</f>
        <v/>
      </c>
      <c r="E366" s="435" t="str">
        <f>IFERROR(IF(ISNUMBER(D366),HLOOKUP(Tools!$BE$2,Tools!$BE$2:$BE$27,MOD(ROW()-2,Max_WL_count)+2,FALSE)*WLS,""),"")</f>
        <v/>
      </c>
      <c r="I366" s="431" t="str">
        <f t="shared" si="35"/>
        <v/>
      </c>
      <c r="J366" s="434" t="str">
        <f t="shared" si="31"/>
        <v/>
      </c>
      <c r="K366" s="437" t="str">
        <f>IFERROR(-LBP/2+HLOOKUP(Stn_WL,Tools!$AD$2:$AD$27,N366+2,FALSE)*STN_GAP,"")</f>
        <v/>
      </c>
      <c r="L366" s="437" t="str">
        <f>IFERROR(IF(AND(ISNUMBER(K366),O366=0),0,VLOOKUP(HLOOKUP(Stn_WL,Tools!$AD$2:$AD$27,N366+2,FALSE),Tools!$AD$3:$BC$27,O366+1,FALSE)),"")</f>
        <v/>
      </c>
      <c r="M366" s="437" t="str">
        <f>IFERROR(IF(ISNUMBER(L366),IF(O366=0,IFERROR(HLOOKUP(Tools!$BD$127,Tools!$BD$127:$BD$152,N366+2,FALSE)*1,0),HLOOKUP(Tools!$BE$2,Tools!$BE$2:$BE$27,O366+1,FALSE)*WLS),""),"")</f>
        <v/>
      </c>
      <c r="N366">
        <f t="shared" si="32"/>
        <v>28</v>
      </c>
      <c r="O366">
        <f t="shared" si="33"/>
        <v>0</v>
      </c>
    </row>
    <row r="367" spans="1:15" x14ac:dyDescent="0.25">
      <c r="A367" s="431" t="str">
        <f t="shared" si="34"/>
        <v/>
      </c>
      <c r="B367" s="434" t="str">
        <f t="shared" si="30"/>
        <v/>
      </c>
      <c r="C367" s="437" t="str">
        <f>IFERROR(-LBP/2+HLOOKUP(Stn_WL,Tools!$AD$2:$AD$27,QUOTIENT(ROW()-2,Max_WL_count)+2,FALSE)*STN_GAP,"")</f>
        <v/>
      </c>
      <c r="D367" s="437" t="str">
        <f>IFERROR(VLOOKUP(HLOOKUP(Stn_WL,Tools!$AD$2:$AD$27,QUOTIENT(ROW()-2,Max_WL_count)+2,FALSE),Tools!$AD$3:$BC$27,MOD(ROW()-2,Max_WL_count)+2,FALSE),"")</f>
        <v/>
      </c>
      <c r="E367" s="435" t="str">
        <f>IFERROR(IF(ISNUMBER(D367),HLOOKUP(Tools!$BE$2,Tools!$BE$2:$BE$27,MOD(ROW()-2,Max_WL_count)+2,FALSE)*WLS,""),"")</f>
        <v/>
      </c>
      <c r="I367" s="431" t="str">
        <f t="shared" si="35"/>
        <v/>
      </c>
      <c r="J367" s="434" t="str">
        <f t="shared" si="31"/>
        <v/>
      </c>
      <c r="K367" s="437" t="str">
        <f>IFERROR(-LBP/2+HLOOKUP(Stn_WL,Tools!$AD$2:$AD$27,N367+2,FALSE)*STN_GAP,"")</f>
        <v/>
      </c>
      <c r="L367" s="437" t="str">
        <f>IFERROR(IF(AND(ISNUMBER(K367),O367=0),0,VLOOKUP(HLOOKUP(Stn_WL,Tools!$AD$2:$AD$27,N367+2,FALSE),Tools!$AD$3:$BC$27,O367+1,FALSE)),"")</f>
        <v/>
      </c>
      <c r="M367" s="437" t="str">
        <f>IFERROR(IF(ISNUMBER(L367),IF(O367=0,IFERROR(HLOOKUP(Tools!$BD$127,Tools!$BD$127:$BD$152,N367+2,FALSE)*1,0),HLOOKUP(Tools!$BE$2,Tools!$BE$2:$BE$27,O367+1,FALSE)*WLS),""),"")</f>
        <v/>
      </c>
      <c r="N367">
        <f t="shared" si="32"/>
        <v>28</v>
      </c>
      <c r="O367">
        <f t="shared" si="33"/>
        <v>1</v>
      </c>
    </row>
    <row r="368" spans="1:15" x14ac:dyDescent="0.25">
      <c r="A368" s="431" t="str">
        <f t="shared" si="34"/>
        <v/>
      </c>
      <c r="B368" s="434" t="str">
        <f t="shared" si="30"/>
        <v/>
      </c>
      <c r="C368" s="437" t="str">
        <f>IFERROR(-LBP/2+HLOOKUP(Stn_WL,Tools!$AD$2:$AD$27,QUOTIENT(ROW()-2,Max_WL_count)+2,FALSE)*STN_GAP,"")</f>
        <v/>
      </c>
      <c r="D368" s="437" t="str">
        <f>IFERROR(VLOOKUP(HLOOKUP(Stn_WL,Tools!$AD$2:$AD$27,QUOTIENT(ROW()-2,Max_WL_count)+2,FALSE),Tools!$AD$3:$BC$27,MOD(ROW()-2,Max_WL_count)+2,FALSE),"")</f>
        <v/>
      </c>
      <c r="E368" s="435" t="str">
        <f>IFERROR(IF(ISNUMBER(D368),HLOOKUP(Tools!$BE$2,Tools!$BE$2:$BE$27,MOD(ROW()-2,Max_WL_count)+2,FALSE)*WLS,""),"")</f>
        <v/>
      </c>
      <c r="I368" s="431" t="str">
        <f t="shared" si="35"/>
        <v/>
      </c>
      <c r="J368" s="434" t="str">
        <f t="shared" si="31"/>
        <v/>
      </c>
      <c r="K368" s="437" t="str">
        <f>IFERROR(-LBP/2+HLOOKUP(Stn_WL,Tools!$AD$2:$AD$27,N368+2,FALSE)*STN_GAP,"")</f>
        <v/>
      </c>
      <c r="L368" s="437" t="str">
        <f>IFERROR(IF(AND(ISNUMBER(K368),O368=0),0,VLOOKUP(HLOOKUP(Stn_WL,Tools!$AD$2:$AD$27,N368+2,FALSE),Tools!$AD$3:$BC$27,O368+1,FALSE)),"")</f>
        <v/>
      </c>
      <c r="M368" s="437" t="str">
        <f>IFERROR(IF(ISNUMBER(L368),IF(O368=0,IFERROR(HLOOKUP(Tools!$BD$127,Tools!$BD$127:$BD$152,N368+2,FALSE)*1,0),HLOOKUP(Tools!$BE$2,Tools!$BE$2:$BE$27,O368+1,FALSE)*WLS),""),"")</f>
        <v/>
      </c>
      <c r="N368">
        <f t="shared" si="32"/>
        <v>28</v>
      </c>
      <c r="O368">
        <f t="shared" si="33"/>
        <v>2</v>
      </c>
    </row>
    <row r="369" spans="1:15" x14ac:dyDescent="0.25">
      <c r="A369" s="431" t="str">
        <f t="shared" si="34"/>
        <v/>
      </c>
      <c r="B369" s="434" t="str">
        <f t="shared" si="30"/>
        <v/>
      </c>
      <c r="C369" s="437" t="str">
        <f>IFERROR(-LBP/2+HLOOKUP(Stn_WL,Tools!$AD$2:$AD$27,QUOTIENT(ROW()-2,Max_WL_count)+2,FALSE)*STN_GAP,"")</f>
        <v/>
      </c>
      <c r="D369" s="437" t="str">
        <f>IFERROR(VLOOKUP(HLOOKUP(Stn_WL,Tools!$AD$2:$AD$27,QUOTIENT(ROW()-2,Max_WL_count)+2,FALSE),Tools!$AD$3:$BC$27,MOD(ROW()-2,Max_WL_count)+2,FALSE),"")</f>
        <v/>
      </c>
      <c r="E369" s="435" t="str">
        <f>IFERROR(IF(ISNUMBER(D369),HLOOKUP(Tools!$BE$2,Tools!$BE$2:$BE$27,MOD(ROW()-2,Max_WL_count)+2,FALSE)*WLS,""),"")</f>
        <v/>
      </c>
      <c r="I369" s="431" t="str">
        <f t="shared" si="35"/>
        <v/>
      </c>
      <c r="J369" s="434" t="str">
        <f t="shared" si="31"/>
        <v/>
      </c>
      <c r="K369" s="437" t="str">
        <f>IFERROR(-LBP/2+HLOOKUP(Stn_WL,Tools!$AD$2:$AD$27,N369+2,FALSE)*STN_GAP,"")</f>
        <v/>
      </c>
      <c r="L369" s="437" t="str">
        <f>IFERROR(IF(AND(ISNUMBER(K369),O369=0),0,VLOOKUP(HLOOKUP(Stn_WL,Tools!$AD$2:$AD$27,N369+2,FALSE),Tools!$AD$3:$BC$27,O369+1,FALSE)),"")</f>
        <v/>
      </c>
      <c r="M369" s="437" t="str">
        <f>IFERROR(IF(ISNUMBER(L369),IF(O369=0,IFERROR(HLOOKUP(Tools!$BD$127,Tools!$BD$127:$BD$152,N369+2,FALSE)*1,0),HLOOKUP(Tools!$BE$2,Tools!$BE$2:$BE$27,O369+1,FALSE)*WLS),""),"")</f>
        <v/>
      </c>
      <c r="N369">
        <f t="shared" si="32"/>
        <v>28</v>
      </c>
      <c r="O369">
        <f t="shared" si="33"/>
        <v>3</v>
      </c>
    </row>
    <row r="370" spans="1:15" x14ac:dyDescent="0.25">
      <c r="A370" s="431" t="str">
        <f t="shared" si="34"/>
        <v/>
      </c>
      <c r="B370" s="434" t="str">
        <f t="shared" si="30"/>
        <v/>
      </c>
      <c r="C370" s="437" t="str">
        <f>IFERROR(-LBP/2+HLOOKUP(Stn_WL,Tools!$AD$2:$AD$27,QUOTIENT(ROW()-2,Max_WL_count)+2,FALSE)*STN_GAP,"")</f>
        <v/>
      </c>
      <c r="D370" s="437" t="str">
        <f>IFERROR(VLOOKUP(HLOOKUP(Stn_WL,Tools!$AD$2:$AD$27,QUOTIENT(ROW()-2,Max_WL_count)+2,FALSE),Tools!$AD$3:$BC$27,MOD(ROW()-2,Max_WL_count)+2,FALSE),"")</f>
        <v/>
      </c>
      <c r="E370" s="435" t="str">
        <f>IFERROR(IF(ISNUMBER(D370),HLOOKUP(Tools!$BE$2,Tools!$BE$2:$BE$27,MOD(ROW()-2,Max_WL_count)+2,FALSE)*WLS,""),"")</f>
        <v/>
      </c>
      <c r="I370" s="431" t="str">
        <f t="shared" si="35"/>
        <v/>
      </c>
      <c r="J370" s="434" t="str">
        <f t="shared" si="31"/>
        <v/>
      </c>
      <c r="K370" s="437" t="str">
        <f>IFERROR(-LBP/2+HLOOKUP(Stn_WL,Tools!$AD$2:$AD$27,N370+2,FALSE)*STN_GAP,"")</f>
        <v/>
      </c>
      <c r="L370" s="437" t="str">
        <f>IFERROR(IF(AND(ISNUMBER(K370),O370=0),0,VLOOKUP(HLOOKUP(Stn_WL,Tools!$AD$2:$AD$27,N370+2,FALSE),Tools!$AD$3:$BC$27,O370+1,FALSE)),"")</f>
        <v/>
      </c>
      <c r="M370" s="437" t="str">
        <f>IFERROR(IF(ISNUMBER(L370),IF(O370=0,IFERROR(HLOOKUP(Tools!$BD$127,Tools!$BD$127:$BD$152,N370+2,FALSE)*1,0),HLOOKUP(Tools!$BE$2,Tools!$BE$2:$BE$27,O370+1,FALSE)*WLS),""),"")</f>
        <v/>
      </c>
      <c r="N370">
        <f t="shared" si="32"/>
        <v>28</v>
      </c>
      <c r="O370">
        <f t="shared" si="33"/>
        <v>4</v>
      </c>
    </row>
    <row r="371" spans="1:15" x14ac:dyDescent="0.25">
      <c r="A371" s="431" t="str">
        <f t="shared" si="34"/>
        <v/>
      </c>
      <c r="B371" s="434" t="str">
        <f t="shared" si="30"/>
        <v/>
      </c>
      <c r="C371" s="437" t="str">
        <f>IFERROR(-LBP/2+HLOOKUP(Stn_WL,Tools!$AD$2:$AD$27,QUOTIENT(ROW()-2,Max_WL_count)+2,FALSE)*STN_GAP,"")</f>
        <v/>
      </c>
      <c r="D371" s="437" t="str">
        <f>IFERROR(VLOOKUP(HLOOKUP(Stn_WL,Tools!$AD$2:$AD$27,QUOTIENT(ROW()-2,Max_WL_count)+2,FALSE),Tools!$AD$3:$BC$27,MOD(ROW()-2,Max_WL_count)+2,FALSE),"")</f>
        <v/>
      </c>
      <c r="E371" s="435" t="str">
        <f>IFERROR(IF(ISNUMBER(D371),HLOOKUP(Tools!$BE$2,Tools!$BE$2:$BE$27,MOD(ROW()-2,Max_WL_count)+2,FALSE)*WLS,""),"")</f>
        <v/>
      </c>
      <c r="I371" s="431" t="str">
        <f t="shared" si="35"/>
        <v/>
      </c>
      <c r="J371" s="434" t="str">
        <f t="shared" si="31"/>
        <v/>
      </c>
      <c r="K371" s="437" t="str">
        <f>IFERROR(-LBP/2+HLOOKUP(Stn_WL,Tools!$AD$2:$AD$27,N371+2,FALSE)*STN_GAP,"")</f>
        <v/>
      </c>
      <c r="L371" s="437" t="str">
        <f>IFERROR(IF(AND(ISNUMBER(K371),O371=0),0,VLOOKUP(HLOOKUP(Stn_WL,Tools!$AD$2:$AD$27,N371+2,FALSE),Tools!$AD$3:$BC$27,O371+1,FALSE)),"")</f>
        <v/>
      </c>
      <c r="M371" s="437" t="str">
        <f>IFERROR(IF(ISNUMBER(L371),IF(O371=0,IFERROR(HLOOKUP(Tools!$BD$127,Tools!$BD$127:$BD$152,N371+2,FALSE)*1,0),HLOOKUP(Tools!$BE$2,Tools!$BE$2:$BE$27,O371+1,FALSE)*WLS),""),"")</f>
        <v/>
      </c>
      <c r="N371">
        <f t="shared" si="32"/>
        <v>28</v>
      </c>
      <c r="O371">
        <f t="shared" si="33"/>
        <v>5</v>
      </c>
    </row>
    <row r="372" spans="1:15" x14ac:dyDescent="0.25">
      <c r="A372" s="431" t="str">
        <f t="shared" si="34"/>
        <v/>
      </c>
      <c r="B372" s="434" t="str">
        <f t="shared" si="30"/>
        <v/>
      </c>
      <c r="C372" s="437" t="str">
        <f>IFERROR(-LBP/2+HLOOKUP(Stn_WL,Tools!$AD$2:$AD$27,QUOTIENT(ROW()-2,Max_WL_count)+2,FALSE)*STN_GAP,"")</f>
        <v/>
      </c>
      <c r="D372" s="437" t="str">
        <f>IFERROR(VLOOKUP(HLOOKUP(Stn_WL,Tools!$AD$2:$AD$27,QUOTIENT(ROW()-2,Max_WL_count)+2,FALSE),Tools!$AD$3:$BC$27,MOD(ROW()-2,Max_WL_count)+2,FALSE),"")</f>
        <v/>
      </c>
      <c r="E372" s="435" t="str">
        <f>IFERROR(IF(ISNUMBER(D372),HLOOKUP(Tools!$BE$2,Tools!$BE$2:$BE$27,MOD(ROW()-2,Max_WL_count)+2,FALSE)*WLS,""),"")</f>
        <v/>
      </c>
      <c r="I372" s="431" t="str">
        <f t="shared" si="35"/>
        <v/>
      </c>
      <c r="J372" s="434" t="str">
        <f t="shared" si="31"/>
        <v/>
      </c>
      <c r="K372" s="437" t="str">
        <f>IFERROR(-LBP/2+HLOOKUP(Stn_WL,Tools!$AD$2:$AD$27,N372+2,FALSE)*STN_GAP,"")</f>
        <v/>
      </c>
      <c r="L372" s="437" t="str">
        <f>IFERROR(IF(AND(ISNUMBER(K372),O372=0),0,VLOOKUP(HLOOKUP(Stn_WL,Tools!$AD$2:$AD$27,N372+2,FALSE),Tools!$AD$3:$BC$27,O372+1,FALSE)),"")</f>
        <v/>
      </c>
      <c r="M372" s="437" t="str">
        <f>IFERROR(IF(ISNUMBER(L372),IF(O372=0,IFERROR(HLOOKUP(Tools!$BD$127,Tools!$BD$127:$BD$152,N372+2,FALSE)*1,0),HLOOKUP(Tools!$BE$2,Tools!$BE$2:$BE$27,O372+1,FALSE)*WLS),""),"")</f>
        <v/>
      </c>
      <c r="N372">
        <f t="shared" si="32"/>
        <v>28</v>
      </c>
      <c r="O372">
        <f t="shared" si="33"/>
        <v>6</v>
      </c>
    </row>
    <row r="373" spans="1:15" x14ac:dyDescent="0.25">
      <c r="A373" s="431" t="str">
        <f t="shared" si="34"/>
        <v/>
      </c>
      <c r="B373" s="434" t="str">
        <f t="shared" si="30"/>
        <v/>
      </c>
      <c r="C373" s="437" t="str">
        <f>IFERROR(-LBP/2+HLOOKUP(Stn_WL,Tools!$AD$2:$AD$27,QUOTIENT(ROW()-2,Max_WL_count)+2,FALSE)*STN_GAP,"")</f>
        <v/>
      </c>
      <c r="D373" s="437" t="str">
        <f>IFERROR(VLOOKUP(HLOOKUP(Stn_WL,Tools!$AD$2:$AD$27,QUOTIENT(ROW()-2,Max_WL_count)+2,FALSE),Tools!$AD$3:$BC$27,MOD(ROW()-2,Max_WL_count)+2,FALSE),"")</f>
        <v/>
      </c>
      <c r="E373" s="435" t="str">
        <f>IFERROR(IF(ISNUMBER(D373),HLOOKUP(Tools!$BE$2,Tools!$BE$2:$BE$27,MOD(ROW()-2,Max_WL_count)+2,FALSE)*WLS,""),"")</f>
        <v/>
      </c>
      <c r="I373" s="431" t="str">
        <f t="shared" si="35"/>
        <v/>
      </c>
      <c r="J373" s="434" t="str">
        <f t="shared" si="31"/>
        <v/>
      </c>
      <c r="K373" s="437" t="str">
        <f>IFERROR(-LBP/2+HLOOKUP(Stn_WL,Tools!$AD$2:$AD$27,N373+2,FALSE)*STN_GAP,"")</f>
        <v/>
      </c>
      <c r="L373" s="437" t="str">
        <f>IFERROR(IF(AND(ISNUMBER(K373),O373=0),0,VLOOKUP(HLOOKUP(Stn_WL,Tools!$AD$2:$AD$27,N373+2,FALSE),Tools!$AD$3:$BC$27,O373+1,FALSE)),"")</f>
        <v/>
      </c>
      <c r="M373" s="437" t="str">
        <f>IFERROR(IF(ISNUMBER(L373),IF(O373=0,IFERROR(HLOOKUP(Tools!$BD$127,Tools!$BD$127:$BD$152,N373+2,FALSE)*1,0),HLOOKUP(Tools!$BE$2,Tools!$BE$2:$BE$27,O373+1,FALSE)*WLS),""),"")</f>
        <v/>
      </c>
      <c r="N373">
        <f t="shared" si="32"/>
        <v>28</v>
      </c>
      <c r="O373">
        <f t="shared" si="33"/>
        <v>7</v>
      </c>
    </row>
    <row r="374" spans="1:15" x14ac:dyDescent="0.25">
      <c r="A374" s="431" t="str">
        <f t="shared" si="34"/>
        <v/>
      </c>
      <c r="B374" s="434" t="str">
        <f t="shared" si="30"/>
        <v/>
      </c>
      <c r="C374" s="437" t="str">
        <f>IFERROR(-LBP/2+HLOOKUP(Stn_WL,Tools!$AD$2:$AD$27,QUOTIENT(ROW()-2,Max_WL_count)+2,FALSE)*STN_GAP,"")</f>
        <v/>
      </c>
      <c r="D374" s="437" t="str">
        <f>IFERROR(VLOOKUP(HLOOKUP(Stn_WL,Tools!$AD$2:$AD$27,QUOTIENT(ROW()-2,Max_WL_count)+2,FALSE),Tools!$AD$3:$BC$27,MOD(ROW()-2,Max_WL_count)+2,FALSE),"")</f>
        <v/>
      </c>
      <c r="E374" s="435" t="str">
        <f>IFERROR(IF(ISNUMBER(D374),HLOOKUP(Tools!$BE$2,Tools!$BE$2:$BE$27,MOD(ROW()-2,Max_WL_count)+2,FALSE)*WLS,""),"")</f>
        <v/>
      </c>
      <c r="I374" s="431" t="str">
        <f t="shared" si="35"/>
        <v/>
      </c>
      <c r="J374" s="434" t="str">
        <f t="shared" si="31"/>
        <v/>
      </c>
      <c r="K374" s="437" t="str">
        <f>IFERROR(-LBP/2+HLOOKUP(Stn_WL,Tools!$AD$2:$AD$27,N374+2,FALSE)*STN_GAP,"")</f>
        <v/>
      </c>
      <c r="L374" s="437" t="str">
        <f>IFERROR(IF(AND(ISNUMBER(K374),O374=0),0,VLOOKUP(HLOOKUP(Stn_WL,Tools!$AD$2:$AD$27,N374+2,FALSE),Tools!$AD$3:$BC$27,O374+1,FALSE)),"")</f>
        <v/>
      </c>
      <c r="M374" s="437" t="str">
        <f>IFERROR(IF(ISNUMBER(L374),IF(O374=0,IFERROR(HLOOKUP(Tools!$BD$127,Tools!$BD$127:$BD$152,N374+2,FALSE)*1,0),HLOOKUP(Tools!$BE$2,Tools!$BE$2:$BE$27,O374+1,FALSE)*WLS),""),"")</f>
        <v/>
      </c>
      <c r="N374">
        <f t="shared" si="32"/>
        <v>28</v>
      </c>
      <c r="O374">
        <f t="shared" si="33"/>
        <v>8</v>
      </c>
    </row>
    <row r="375" spans="1:15" x14ac:dyDescent="0.25">
      <c r="A375" s="431" t="str">
        <f t="shared" si="34"/>
        <v/>
      </c>
      <c r="B375" s="434" t="str">
        <f t="shared" si="30"/>
        <v/>
      </c>
      <c r="C375" s="437" t="str">
        <f>IFERROR(-LBP/2+HLOOKUP(Stn_WL,Tools!$AD$2:$AD$27,QUOTIENT(ROW()-2,Max_WL_count)+2,FALSE)*STN_GAP,"")</f>
        <v/>
      </c>
      <c r="D375" s="437" t="str">
        <f>IFERROR(VLOOKUP(HLOOKUP(Stn_WL,Tools!$AD$2:$AD$27,QUOTIENT(ROW()-2,Max_WL_count)+2,FALSE),Tools!$AD$3:$BC$27,MOD(ROW()-2,Max_WL_count)+2,FALSE),"")</f>
        <v/>
      </c>
      <c r="E375" s="435" t="str">
        <f>IFERROR(IF(ISNUMBER(D375),HLOOKUP(Tools!$BE$2,Tools!$BE$2:$BE$27,MOD(ROW()-2,Max_WL_count)+2,FALSE)*WLS,""),"")</f>
        <v/>
      </c>
      <c r="I375" s="431" t="str">
        <f t="shared" si="35"/>
        <v/>
      </c>
      <c r="J375" s="434" t="str">
        <f t="shared" si="31"/>
        <v/>
      </c>
      <c r="K375" s="437" t="str">
        <f>IFERROR(-LBP/2+HLOOKUP(Stn_WL,Tools!$AD$2:$AD$27,N375+2,FALSE)*STN_GAP,"")</f>
        <v/>
      </c>
      <c r="L375" s="437" t="str">
        <f>IFERROR(IF(AND(ISNUMBER(K375),O375=0),0,VLOOKUP(HLOOKUP(Stn_WL,Tools!$AD$2:$AD$27,N375+2,FALSE),Tools!$AD$3:$BC$27,O375+1,FALSE)),"")</f>
        <v/>
      </c>
      <c r="M375" s="437" t="str">
        <f>IFERROR(IF(ISNUMBER(L375),IF(O375=0,IFERROR(HLOOKUP(Tools!$BD$127,Tools!$BD$127:$BD$152,N375+2,FALSE)*1,0),HLOOKUP(Tools!$BE$2,Tools!$BE$2:$BE$27,O375+1,FALSE)*WLS),""),"")</f>
        <v/>
      </c>
      <c r="N375">
        <f t="shared" si="32"/>
        <v>28</v>
      </c>
      <c r="O375">
        <f t="shared" si="33"/>
        <v>9</v>
      </c>
    </row>
    <row r="376" spans="1:15" x14ac:dyDescent="0.25">
      <c r="A376" s="431" t="str">
        <f t="shared" si="34"/>
        <v/>
      </c>
      <c r="B376" s="434" t="str">
        <f t="shared" si="30"/>
        <v/>
      </c>
      <c r="C376" s="437" t="str">
        <f>IFERROR(-LBP/2+HLOOKUP(Stn_WL,Tools!$AD$2:$AD$27,QUOTIENT(ROW()-2,Max_WL_count)+2,FALSE)*STN_GAP,"")</f>
        <v/>
      </c>
      <c r="D376" s="437" t="str">
        <f>IFERROR(VLOOKUP(HLOOKUP(Stn_WL,Tools!$AD$2:$AD$27,QUOTIENT(ROW()-2,Max_WL_count)+2,FALSE),Tools!$AD$3:$BC$27,MOD(ROW()-2,Max_WL_count)+2,FALSE),"")</f>
        <v/>
      </c>
      <c r="E376" s="435" t="str">
        <f>IFERROR(IF(ISNUMBER(D376),HLOOKUP(Tools!$BE$2,Tools!$BE$2:$BE$27,MOD(ROW()-2,Max_WL_count)+2,FALSE)*WLS,""),"")</f>
        <v/>
      </c>
      <c r="I376" s="431" t="str">
        <f t="shared" si="35"/>
        <v/>
      </c>
      <c r="J376" s="434" t="str">
        <f t="shared" si="31"/>
        <v/>
      </c>
      <c r="K376" s="437" t="str">
        <f>IFERROR(-LBP/2+HLOOKUP(Stn_WL,Tools!$AD$2:$AD$27,N376+2,FALSE)*STN_GAP,"")</f>
        <v/>
      </c>
      <c r="L376" s="437" t="str">
        <f>IFERROR(IF(AND(ISNUMBER(K376),O376=0),0,VLOOKUP(HLOOKUP(Stn_WL,Tools!$AD$2:$AD$27,N376+2,FALSE),Tools!$AD$3:$BC$27,O376+1,FALSE)),"")</f>
        <v/>
      </c>
      <c r="M376" s="437" t="str">
        <f>IFERROR(IF(ISNUMBER(L376),IF(O376=0,IFERROR(HLOOKUP(Tools!$BD$127,Tools!$BD$127:$BD$152,N376+2,FALSE)*1,0),HLOOKUP(Tools!$BE$2,Tools!$BE$2:$BE$27,O376+1,FALSE)*WLS),""),"")</f>
        <v/>
      </c>
      <c r="N376">
        <f t="shared" si="32"/>
        <v>28</v>
      </c>
      <c r="O376">
        <f t="shared" si="33"/>
        <v>10</v>
      </c>
    </row>
    <row r="377" spans="1:15" x14ac:dyDescent="0.25">
      <c r="A377" s="431" t="str">
        <f t="shared" si="34"/>
        <v/>
      </c>
      <c r="B377" s="434" t="str">
        <f t="shared" si="30"/>
        <v/>
      </c>
      <c r="C377" s="437" t="str">
        <f>IFERROR(-LBP/2+HLOOKUP(Stn_WL,Tools!$AD$2:$AD$27,QUOTIENT(ROW()-2,Max_WL_count)+2,FALSE)*STN_GAP,"")</f>
        <v/>
      </c>
      <c r="D377" s="437" t="str">
        <f>IFERROR(VLOOKUP(HLOOKUP(Stn_WL,Tools!$AD$2:$AD$27,QUOTIENT(ROW()-2,Max_WL_count)+2,FALSE),Tools!$AD$3:$BC$27,MOD(ROW()-2,Max_WL_count)+2,FALSE),"")</f>
        <v/>
      </c>
      <c r="E377" s="435" t="str">
        <f>IFERROR(IF(ISNUMBER(D377),HLOOKUP(Tools!$BE$2,Tools!$BE$2:$BE$27,MOD(ROW()-2,Max_WL_count)+2,FALSE)*WLS,""),"")</f>
        <v/>
      </c>
      <c r="I377" s="431" t="str">
        <f t="shared" si="35"/>
        <v/>
      </c>
      <c r="J377" s="434" t="str">
        <f t="shared" si="31"/>
        <v/>
      </c>
      <c r="K377" s="437" t="str">
        <f>IFERROR(-LBP/2+HLOOKUP(Stn_WL,Tools!$AD$2:$AD$27,N377+2,FALSE)*STN_GAP,"")</f>
        <v/>
      </c>
      <c r="L377" s="437" t="str">
        <f>IFERROR(IF(AND(ISNUMBER(K377),O377=0),0,VLOOKUP(HLOOKUP(Stn_WL,Tools!$AD$2:$AD$27,N377+2,FALSE),Tools!$AD$3:$BC$27,O377+1,FALSE)),"")</f>
        <v/>
      </c>
      <c r="M377" s="437" t="str">
        <f>IFERROR(IF(ISNUMBER(L377),IF(O377=0,IFERROR(HLOOKUP(Tools!$BD$127,Tools!$BD$127:$BD$152,N377+2,FALSE)*1,0),HLOOKUP(Tools!$BE$2,Tools!$BE$2:$BE$27,O377+1,FALSE)*WLS),""),"")</f>
        <v/>
      </c>
      <c r="N377">
        <f t="shared" si="32"/>
        <v>28</v>
      </c>
      <c r="O377">
        <f t="shared" si="33"/>
        <v>11</v>
      </c>
    </row>
    <row r="378" spans="1:15" x14ac:dyDescent="0.25">
      <c r="A378" s="431" t="str">
        <f t="shared" si="34"/>
        <v/>
      </c>
      <c r="B378" s="434" t="str">
        <f t="shared" si="30"/>
        <v/>
      </c>
      <c r="C378" s="437" t="str">
        <f>IFERROR(-LBP/2+HLOOKUP(Stn_WL,Tools!$AD$2:$AD$27,QUOTIENT(ROW()-2,Max_WL_count)+2,FALSE)*STN_GAP,"")</f>
        <v/>
      </c>
      <c r="D378" s="437" t="str">
        <f>IFERROR(VLOOKUP(HLOOKUP(Stn_WL,Tools!$AD$2:$AD$27,QUOTIENT(ROW()-2,Max_WL_count)+2,FALSE),Tools!$AD$3:$BC$27,MOD(ROW()-2,Max_WL_count)+2,FALSE),"")</f>
        <v/>
      </c>
      <c r="E378" s="435" t="str">
        <f>IFERROR(IF(ISNUMBER(D378),HLOOKUP(Tools!$BE$2,Tools!$BE$2:$BE$27,MOD(ROW()-2,Max_WL_count)+2,FALSE)*WLS,""),"")</f>
        <v/>
      </c>
      <c r="I378" s="431" t="str">
        <f t="shared" si="35"/>
        <v/>
      </c>
      <c r="J378" s="434" t="str">
        <f t="shared" si="31"/>
        <v/>
      </c>
      <c r="K378" s="437" t="str">
        <f>IFERROR(-LBP/2+HLOOKUP(Stn_WL,Tools!$AD$2:$AD$27,N378+2,FALSE)*STN_GAP,"")</f>
        <v/>
      </c>
      <c r="L378" s="437" t="str">
        <f>IFERROR(IF(AND(ISNUMBER(K378),O378=0),0,VLOOKUP(HLOOKUP(Stn_WL,Tools!$AD$2:$AD$27,N378+2,FALSE),Tools!$AD$3:$BC$27,O378+1,FALSE)),"")</f>
        <v/>
      </c>
      <c r="M378" s="437" t="str">
        <f>IFERROR(IF(ISNUMBER(L378),IF(O378=0,IFERROR(HLOOKUP(Tools!$BD$127,Tools!$BD$127:$BD$152,N378+2,FALSE)*1,0),HLOOKUP(Tools!$BE$2,Tools!$BE$2:$BE$27,O378+1,FALSE)*WLS),""),"")</f>
        <v/>
      </c>
      <c r="N378">
        <f t="shared" si="32"/>
        <v>28</v>
      </c>
      <c r="O378">
        <f t="shared" si="33"/>
        <v>12</v>
      </c>
    </row>
    <row r="379" spans="1:15" x14ac:dyDescent="0.25">
      <c r="A379" s="431" t="str">
        <f t="shared" si="34"/>
        <v/>
      </c>
      <c r="B379" s="434" t="str">
        <f t="shared" si="30"/>
        <v/>
      </c>
      <c r="C379" s="437" t="str">
        <f>IFERROR(-LBP/2+HLOOKUP(Stn_WL,Tools!$AD$2:$AD$27,QUOTIENT(ROW()-2,Max_WL_count)+2,FALSE)*STN_GAP,"")</f>
        <v/>
      </c>
      <c r="D379" s="437" t="str">
        <f>IFERROR(VLOOKUP(HLOOKUP(Stn_WL,Tools!$AD$2:$AD$27,QUOTIENT(ROW()-2,Max_WL_count)+2,FALSE),Tools!$AD$3:$BC$27,MOD(ROW()-2,Max_WL_count)+2,FALSE),"")</f>
        <v/>
      </c>
      <c r="E379" s="435" t="str">
        <f>IFERROR(IF(ISNUMBER(D379),HLOOKUP(Tools!$BE$2,Tools!$BE$2:$BE$27,MOD(ROW()-2,Max_WL_count)+2,FALSE)*WLS,""),"")</f>
        <v/>
      </c>
      <c r="I379" s="431" t="str">
        <f t="shared" si="35"/>
        <v/>
      </c>
      <c r="J379" s="434" t="str">
        <f t="shared" si="31"/>
        <v/>
      </c>
      <c r="K379" s="437" t="str">
        <f>IFERROR(-LBP/2+HLOOKUP(Stn_WL,Tools!$AD$2:$AD$27,N379+2,FALSE)*STN_GAP,"")</f>
        <v/>
      </c>
      <c r="L379" s="437" t="str">
        <f>IFERROR(IF(AND(ISNUMBER(K379),O379=0),0,VLOOKUP(HLOOKUP(Stn_WL,Tools!$AD$2:$AD$27,N379+2,FALSE),Tools!$AD$3:$BC$27,O379+1,FALSE)),"")</f>
        <v/>
      </c>
      <c r="M379" s="437" t="str">
        <f>IFERROR(IF(ISNUMBER(L379),IF(O379=0,IFERROR(HLOOKUP(Tools!$BD$127,Tools!$BD$127:$BD$152,N379+2,FALSE)*1,0),HLOOKUP(Tools!$BE$2,Tools!$BE$2:$BE$27,O379+1,FALSE)*WLS),""),"")</f>
        <v/>
      </c>
      <c r="N379">
        <f t="shared" si="32"/>
        <v>29</v>
      </c>
      <c r="O379">
        <f t="shared" si="33"/>
        <v>0</v>
      </c>
    </row>
    <row r="380" spans="1:15" x14ac:dyDescent="0.25">
      <c r="A380" s="431" t="str">
        <f t="shared" si="34"/>
        <v/>
      </c>
      <c r="B380" s="434" t="str">
        <f t="shared" si="30"/>
        <v/>
      </c>
      <c r="C380" s="437" t="str">
        <f>IFERROR(-LBP/2+HLOOKUP(Stn_WL,Tools!$AD$2:$AD$27,QUOTIENT(ROW()-2,Max_WL_count)+2,FALSE)*STN_GAP,"")</f>
        <v/>
      </c>
      <c r="D380" s="437" t="str">
        <f>IFERROR(VLOOKUP(HLOOKUP(Stn_WL,Tools!$AD$2:$AD$27,QUOTIENT(ROW()-2,Max_WL_count)+2,FALSE),Tools!$AD$3:$BC$27,MOD(ROW()-2,Max_WL_count)+2,FALSE),"")</f>
        <v/>
      </c>
      <c r="E380" s="435" t="str">
        <f>IFERROR(IF(ISNUMBER(D380),HLOOKUP(Tools!$BE$2,Tools!$BE$2:$BE$27,MOD(ROW()-2,Max_WL_count)+2,FALSE)*WLS,""),"")</f>
        <v/>
      </c>
      <c r="I380" s="431" t="str">
        <f t="shared" si="35"/>
        <v/>
      </c>
      <c r="J380" s="434" t="str">
        <f t="shared" si="31"/>
        <v/>
      </c>
      <c r="K380" s="437" t="str">
        <f>IFERROR(-LBP/2+HLOOKUP(Stn_WL,Tools!$AD$2:$AD$27,N380+2,FALSE)*STN_GAP,"")</f>
        <v/>
      </c>
      <c r="L380" s="437" t="str">
        <f>IFERROR(IF(AND(ISNUMBER(K380),O380=0),0,VLOOKUP(HLOOKUP(Stn_WL,Tools!$AD$2:$AD$27,N380+2,FALSE),Tools!$AD$3:$BC$27,O380+1,FALSE)),"")</f>
        <v/>
      </c>
      <c r="M380" s="437" t="str">
        <f>IFERROR(IF(ISNUMBER(L380),IF(O380=0,IFERROR(HLOOKUP(Tools!$BD$127,Tools!$BD$127:$BD$152,N380+2,FALSE)*1,0),HLOOKUP(Tools!$BE$2,Tools!$BE$2:$BE$27,O380+1,FALSE)*WLS),""),"")</f>
        <v/>
      </c>
      <c r="N380">
        <f t="shared" si="32"/>
        <v>29</v>
      </c>
      <c r="O380">
        <f t="shared" si="33"/>
        <v>1</v>
      </c>
    </row>
    <row r="381" spans="1:15" x14ac:dyDescent="0.25">
      <c r="A381" s="431" t="str">
        <f t="shared" si="34"/>
        <v/>
      </c>
      <c r="B381" s="434" t="str">
        <f t="shared" si="30"/>
        <v/>
      </c>
      <c r="C381" s="437" t="str">
        <f>IFERROR(-LBP/2+HLOOKUP(Stn_WL,Tools!$AD$2:$AD$27,QUOTIENT(ROW()-2,Max_WL_count)+2,FALSE)*STN_GAP,"")</f>
        <v/>
      </c>
      <c r="D381" s="437" t="str">
        <f>IFERROR(VLOOKUP(HLOOKUP(Stn_WL,Tools!$AD$2:$AD$27,QUOTIENT(ROW()-2,Max_WL_count)+2,FALSE),Tools!$AD$3:$BC$27,MOD(ROW()-2,Max_WL_count)+2,FALSE),"")</f>
        <v/>
      </c>
      <c r="E381" s="435" t="str">
        <f>IFERROR(IF(ISNUMBER(D381),HLOOKUP(Tools!$BE$2,Tools!$BE$2:$BE$27,MOD(ROW()-2,Max_WL_count)+2,FALSE)*WLS,""),"")</f>
        <v/>
      </c>
      <c r="I381" s="431" t="str">
        <f t="shared" si="35"/>
        <v/>
      </c>
      <c r="J381" s="434" t="str">
        <f t="shared" si="31"/>
        <v/>
      </c>
      <c r="K381" s="437" t="str">
        <f>IFERROR(-LBP/2+HLOOKUP(Stn_WL,Tools!$AD$2:$AD$27,N381+2,FALSE)*STN_GAP,"")</f>
        <v/>
      </c>
      <c r="L381" s="437" t="str">
        <f>IFERROR(IF(AND(ISNUMBER(K381),O381=0),0,VLOOKUP(HLOOKUP(Stn_WL,Tools!$AD$2:$AD$27,N381+2,FALSE),Tools!$AD$3:$BC$27,O381+1,FALSE)),"")</f>
        <v/>
      </c>
      <c r="M381" s="437" t="str">
        <f>IFERROR(IF(ISNUMBER(L381),IF(O381=0,IFERROR(HLOOKUP(Tools!$BD$127,Tools!$BD$127:$BD$152,N381+2,FALSE)*1,0),HLOOKUP(Tools!$BE$2,Tools!$BE$2:$BE$27,O381+1,FALSE)*WLS),""),"")</f>
        <v/>
      </c>
      <c r="N381">
        <f t="shared" si="32"/>
        <v>29</v>
      </c>
      <c r="O381">
        <f t="shared" si="33"/>
        <v>2</v>
      </c>
    </row>
    <row r="382" spans="1:15" x14ac:dyDescent="0.25">
      <c r="A382" s="431" t="str">
        <f t="shared" si="34"/>
        <v/>
      </c>
      <c r="B382" s="434" t="str">
        <f t="shared" si="30"/>
        <v/>
      </c>
      <c r="C382" s="437" t="str">
        <f>IFERROR(-LBP/2+HLOOKUP(Stn_WL,Tools!$AD$2:$AD$27,QUOTIENT(ROW()-2,Max_WL_count)+2,FALSE)*STN_GAP,"")</f>
        <v/>
      </c>
      <c r="D382" s="437" t="str">
        <f>IFERROR(VLOOKUP(HLOOKUP(Stn_WL,Tools!$AD$2:$AD$27,QUOTIENT(ROW()-2,Max_WL_count)+2,FALSE),Tools!$AD$3:$BC$27,MOD(ROW()-2,Max_WL_count)+2,FALSE),"")</f>
        <v/>
      </c>
      <c r="E382" s="435" t="str">
        <f>IFERROR(IF(ISNUMBER(D382),HLOOKUP(Tools!$BE$2,Tools!$BE$2:$BE$27,MOD(ROW()-2,Max_WL_count)+2,FALSE)*WLS,""),"")</f>
        <v/>
      </c>
      <c r="I382" s="431" t="str">
        <f t="shared" si="35"/>
        <v/>
      </c>
      <c r="J382" s="434" t="str">
        <f t="shared" si="31"/>
        <v/>
      </c>
      <c r="K382" s="437" t="str">
        <f>IFERROR(-LBP/2+HLOOKUP(Stn_WL,Tools!$AD$2:$AD$27,N382+2,FALSE)*STN_GAP,"")</f>
        <v/>
      </c>
      <c r="L382" s="437" t="str">
        <f>IFERROR(IF(AND(ISNUMBER(K382),O382=0),0,VLOOKUP(HLOOKUP(Stn_WL,Tools!$AD$2:$AD$27,N382+2,FALSE),Tools!$AD$3:$BC$27,O382+1,FALSE)),"")</f>
        <v/>
      </c>
      <c r="M382" s="437" t="str">
        <f>IFERROR(IF(ISNUMBER(L382),IF(O382=0,IFERROR(HLOOKUP(Tools!$BD$127,Tools!$BD$127:$BD$152,N382+2,FALSE)*1,0),HLOOKUP(Tools!$BE$2,Tools!$BE$2:$BE$27,O382+1,FALSE)*WLS),""),"")</f>
        <v/>
      </c>
      <c r="N382">
        <f t="shared" si="32"/>
        <v>29</v>
      </c>
      <c r="O382">
        <f t="shared" si="33"/>
        <v>3</v>
      </c>
    </row>
    <row r="383" spans="1:15" x14ac:dyDescent="0.25">
      <c r="A383" s="431" t="str">
        <f t="shared" si="34"/>
        <v/>
      </c>
      <c r="B383" s="434" t="str">
        <f t="shared" si="30"/>
        <v/>
      </c>
      <c r="C383" s="437" t="str">
        <f>IFERROR(-LBP/2+HLOOKUP(Stn_WL,Tools!$AD$2:$AD$27,QUOTIENT(ROW()-2,Max_WL_count)+2,FALSE)*STN_GAP,"")</f>
        <v/>
      </c>
      <c r="D383" s="437" t="str">
        <f>IFERROR(VLOOKUP(HLOOKUP(Stn_WL,Tools!$AD$2:$AD$27,QUOTIENT(ROW()-2,Max_WL_count)+2,FALSE),Tools!$AD$3:$BC$27,MOD(ROW()-2,Max_WL_count)+2,FALSE),"")</f>
        <v/>
      </c>
      <c r="E383" s="435" t="str">
        <f>IFERROR(IF(ISNUMBER(D383),HLOOKUP(Tools!$BE$2,Tools!$BE$2:$BE$27,MOD(ROW()-2,Max_WL_count)+2,FALSE)*WLS,""),"")</f>
        <v/>
      </c>
      <c r="I383" s="431" t="str">
        <f t="shared" si="35"/>
        <v/>
      </c>
      <c r="J383" s="434" t="str">
        <f t="shared" si="31"/>
        <v/>
      </c>
      <c r="K383" s="437" t="str">
        <f>IFERROR(-LBP/2+HLOOKUP(Stn_WL,Tools!$AD$2:$AD$27,N383+2,FALSE)*STN_GAP,"")</f>
        <v/>
      </c>
      <c r="L383" s="437" t="str">
        <f>IFERROR(IF(AND(ISNUMBER(K383),O383=0),0,VLOOKUP(HLOOKUP(Stn_WL,Tools!$AD$2:$AD$27,N383+2,FALSE),Tools!$AD$3:$BC$27,O383+1,FALSE)),"")</f>
        <v/>
      </c>
      <c r="M383" s="437" t="str">
        <f>IFERROR(IF(ISNUMBER(L383),IF(O383=0,IFERROR(HLOOKUP(Tools!$BD$127,Tools!$BD$127:$BD$152,N383+2,FALSE)*1,0),HLOOKUP(Tools!$BE$2,Tools!$BE$2:$BE$27,O383+1,FALSE)*WLS),""),"")</f>
        <v/>
      </c>
      <c r="N383">
        <f t="shared" si="32"/>
        <v>29</v>
      </c>
      <c r="O383">
        <f t="shared" si="33"/>
        <v>4</v>
      </c>
    </row>
    <row r="384" spans="1:15" x14ac:dyDescent="0.25">
      <c r="A384" s="431" t="str">
        <f t="shared" si="34"/>
        <v/>
      </c>
      <c r="B384" s="434" t="str">
        <f t="shared" si="30"/>
        <v/>
      </c>
      <c r="C384" s="437" t="str">
        <f>IFERROR(-LBP/2+HLOOKUP(Stn_WL,Tools!$AD$2:$AD$27,QUOTIENT(ROW()-2,Max_WL_count)+2,FALSE)*STN_GAP,"")</f>
        <v/>
      </c>
      <c r="D384" s="437" t="str">
        <f>IFERROR(VLOOKUP(HLOOKUP(Stn_WL,Tools!$AD$2:$AD$27,QUOTIENT(ROW()-2,Max_WL_count)+2,FALSE),Tools!$AD$3:$BC$27,MOD(ROW()-2,Max_WL_count)+2,FALSE),"")</f>
        <v/>
      </c>
      <c r="E384" s="435" t="str">
        <f>IFERROR(IF(ISNUMBER(D384),HLOOKUP(Tools!$BE$2,Tools!$BE$2:$BE$27,MOD(ROW()-2,Max_WL_count)+2,FALSE)*WLS,""),"")</f>
        <v/>
      </c>
      <c r="I384" s="431" t="str">
        <f t="shared" si="35"/>
        <v/>
      </c>
      <c r="J384" s="434" t="str">
        <f t="shared" si="31"/>
        <v/>
      </c>
      <c r="K384" s="437" t="str">
        <f>IFERROR(-LBP/2+HLOOKUP(Stn_WL,Tools!$AD$2:$AD$27,N384+2,FALSE)*STN_GAP,"")</f>
        <v/>
      </c>
      <c r="L384" s="437" t="str">
        <f>IFERROR(IF(AND(ISNUMBER(K384),O384=0),0,VLOOKUP(HLOOKUP(Stn_WL,Tools!$AD$2:$AD$27,N384+2,FALSE),Tools!$AD$3:$BC$27,O384+1,FALSE)),"")</f>
        <v/>
      </c>
      <c r="M384" s="437" t="str">
        <f>IFERROR(IF(ISNUMBER(L384),IF(O384=0,IFERROR(HLOOKUP(Tools!$BD$127,Tools!$BD$127:$BD$152,N384+2,FALSE)*1,0),HLOOKUP(Tools!$BE$2,Tools!$BE$2:$BE$27,O384+1,FALSE)*WLS),""),"")</f>
        <v/>
      </c>
      <c r="N384">
        <f t="shared" si="32"/>
        <v>29</v>
      </c>
      <c r="O384">
        <f t="shared" si="33"/>
        <v>5</v>
      </c>
    </row>
    <row r="385" spans="1:15" x14ac:dyDescent="0.25">
      <c r="A385" s="431" t="str">
        <f t="shared" si="34"/>
        <v/>
      </c>
      <c r="B385" s="434" t="str">
        <f t="shared" si="30"/>
        <v/>
      </c>
      <c r="C385" s="437" t="str">
        <f>IFERROR(-LBP/2+HLOOKUP(Stn_WL,Tools!$AD$2:$AD$27,QUOTIENT(ROW()-2,Max_WL_count)+2,FALSE)*STN_GAP,"")</f>
        <v/>
      </c>
      <c r="D385" s="437" t="str">
        <f>IFERROR(VLOOKUP(HLOOKUP(Stn_WL,Tools!$AD$2:$AD$27,QUOTIENT(ROW()-2,Max_WL_count)+2,FALSE),Tools!$AD$3:$BC$27,MOD(ROW()-2,Max_WL_count)+2,FALSE),"")</f>
        <v/>
      </c>
      <c r="E385" s="435" t="str">
        <f>IFERROR(IF(ISNUMBER(D385),HLOOKUP(Tools!$BE$2,Tools!$BE$2:$BE$27,MOD(ROW()-2,Max_WL_count)+2,FALSE)*WLS,""),"")</f>
        <v/>
      </c>
      <c r="I385" s="431" t="str">
        <f t="shared" si="35"/>
        <v/>
      </c>
      <c r="J385" s="434" t="str">
        <f t="shared" si="31"/>
        <v/>
      </c>
      <c r="K385" s="437" t="str">
        <f>IFERROR(-LBP/2+HLOOKUP(Stn_WL,Tools!$AD$2:$AD$27,N385+2,FALSE)*STN_GAP,"")</f>
        <v/>
      </c>
      <c r="L385" s="437" t="str">
        <f>IFERROR(IF(AND(ISNUMBER(K385),O385=0),0,VLOOKUP(HLOOKUP(Stn_WL,Tools!$AD$2:$AD$27,N385+2,FALSE),Tools!$AD$3:$BC$27,O385+1,FALSE)),"")</f>
        <v/>
      </c>
      <c r="M385" s="437" t="str">
        <f>IFERROR(IF(ISNUMBER(L385),IF(O385=0,IFERROR(HLOOKUP(Tools!$BD$127,Tools!$BD$127:$BD$152,N385+2,FALSE)*1,0),HLOOKUP(Tools!$BE$2,Tools!$BE$2:$BE$27,O385+1,FALSE)*WLS),""),"")</f>
        <v/>
      </c>
      <c r="N385">
        <f t="shared" si="32"/>
        <v>29</v>
      </c>
      <c r="O385">
        <f t="shared" si="33"/>
        <v>6</v>
      </c>
    </row>
    <row r="386" spans="1:15" x14ac:dyDescent="0.25">
      <c r="A386" s="431" t="str">
        <f t="shared" si="34"/>
        <v/>
      </c>
      <c r="B386" s="434" t="str">
        <f t="shared" ref="B386:B449" si="36">IFERROR(IF(ISNUMBER(D386),QUOTIENT(ROW()-2,Max_WL_count)+1,""),"")</f>
        <v/>
      </c>
      <c r="C386" s="437" t="str">
        <f>IFERROR(-LBP/2+HLOOKUP(Stn_WL,Tools!$AD$2:$AD$27,QUOTIENT(ROW()-2,Max_WL_count)+2,FALSE)*STN_GAP,"")</f>
        <v/>
      </c>
      <c r="D386" s="437" t="str">
        <f>IFERROR(VLOOKUP(HLOOKUP(Stn_WL,Tools!$AD$2:$AD$27,QUOTIENT(ROW()-2,Max_WL_count)+2,FALSE),Tools!$AD$3:$BC$27,MOD(ROW()-2,Max_WL_count)+2,FALSE),"")</f>
        <v/>
      </c>
      <c r="E386" s="435" t="str">
        <f>IFERROR(IF(ISNUMBER(D386),HLOOKUP(Tools!$BE$2,Tools!$BE$2:$BE$27,MOD(ROW()-2,Max_WL_count)+2,FALSE)*WLS,""),"")</f>
        <v/>
      </c>
      <c r="I386" s="431" t="str">
        <f t="shared" si="35"/>
        <v/>
      </c>
      <c r="J386" s="434" t="str">
        <f t="shared" ref="J386:J449" si="37">IFERROR(IF(ISNUMBER(L386),QUOTIENT(ROW()-2,Max_WL_count+1)+1,""),"")</f>
        <v/>
      </c>
      <c r="K386" s="437" t="str">
        <f>IFERROR(-LBP/2+HLOOKUP(Stn_WL,Tools!$AD$2:$AD$27,N386+2,FALSE)*STN_GAP,"")</f>
        <v/>
      </c>
      <c r="L386" s="437" t="str">
        <f>IFERROR(IF(AND(ISNUMBER(K386),O386=0),0,VLOOKUP(HLOOKUP(Stn_WL,Tools!$AD$2:$AD$27,N386+2,FALSE),Tools!$AD$3:$BC$27,O386+1,FALSE)),"")</f>
        <v/>
      </c>
      <c r="M386" s="437" t="str">
        <f>IFERROR(IF(ISNUMBER(L386),IF(O386=0,IFERROR(HLOOKUP(Tools!$BD$127,Tools!$BD$127:$BD$152,N386+2,FALSE)*1,0),HLOOKUP(Tools!$BE$2,Tools!$BE$2:$BE$27,O386+1,FALSE)*WLS),""),"")</f>
        <v/>
      </c>
      <c r="N386">
        <f t="shared" ref="N386:N449" si="38">QUOTIENT(ROW()-2,Max_WL_count+1)</f>
        <v>29</v>
      </c>
      <c r="O386">
        <f t="shared" ref="O386:O449" si="39">MOD(ROW()-2,Max_WL_count+1)</f>
        <v>7</v>
      </c>
    </row>
    <row r="387" spans="1:15" x14ac:dyDescent="0.25">
      <c r="A387" s="431" t="str">
        <f t="shared" ref="A387:A450" si="40">IF(ISNUMBER(D387),ROW()-1,"")</f>
        <v/>
      </c>
      <c r="B387" s="434" t="str">
        <f t="shared" si="36"/>
        <v/>
      </c>
      <c r="C387" s="437" t="str">
        <f>IFERROR(-LBP/2+HLOOKUP(Stn_WL,Tools!$AD$2:$AD$27,QUOTIENT(ROW()-2,Max_WL_count)+2,FALSE)*STN_GAP,"")</f>
        <v/>
      </c>
      <c r="D387" s="437" t="str">
        <f>IFERROR(VLOOKUP(HLOOKUP(Stn_WL,Tools!$AD$2:$AD$27,QUOTIENT(ROW()-2,Max_WL_count)+2,FALSE),Tools!$AD$3:$BC$27,MOD(ROW()-2,Max_WL_count)+2,FALSE),"")</f>
        <v/>
      </c>
      <c r="E387" s="435" t="str">
        <f>IFERROR(IF(ISNUMBER(D387),HLOOKUP(Tools!$BE$2,Tools!$BE$2:$BE$27,MOD(ROW()-2,Max_WL_count)+2,FALSE)*WLS,""),"")</f>
        <v/>
      </c>
      <c r="I387" s="431" t="str">
        <f t="shared" ref="I387:I450" si="41">IF(ISNUMBER(L387),ROW()-1,"")</f>
        <v/>
      </c>
      <c r="J387" s="434" t="str">
        <f t="shared" si="37"/>
        <v/>
      </c>
      <c r="K387" s="437" t="str">
        <f>IFERROR(-LBP/2+HLOOKUP(Stn_WL,Tools!$AD$2:$AD$27,N387+2,FALSE)*STN_GAP,"")</f>
        <v/>
      </c>
      <c r="L387" s="437" t="str">
        <f>IFERROR(IF(AND(ISNUMBER(K387),O387=0),0,VLOOKUP(HLOOKUP(Stn_WL,Tools!$AD$2:$AD$27,N387+2,FALSE),Tools!$AD$3:$BC$27,O387+1,FALSE)),"")</f>
        <v/>
      </c>
      <c r="M387" s="437" t="str">
        <f>IFERROR(IF(ISNUMBER(L387),IF(O387=0,IFERROR(HLOOKUP(Tools!$BD$127,Tools!$BD$127:$BD$152,N387+2,FALSE)*1,0),HLOOKUP(Tools!$BE$2,Tools!$BE$2:$BE$27,O387+1,FALSE)*WLS),""),"")</f>
        <v/>
      </c>
      <c r="N387">
        <f t="shared" si="38"/>
        <v>29</v>
      </c>
      <c r="O387">
        <f t="shared" si="39"/>
        <v>8</v>
      </c>
    </row>
    <row r="388" spans="1:15" x14ac:dyDescent="0.25">
      <c r="A388" s="431" t="str">
        <f t="shared" si="40"/>
        <v/>
      </c>
      <c r="B388" s="434" t="str">
        <f t="shared" si="36"/>
        <v/>
      </c>
      <c r="C388" s="437" t="str">
        <f>IFERROR(-LBP/2+HLOOKUP(Stn_WL,Tools!$AD$2:$AD$27,QUOTIENT(ROW()-2,Max_WL_count)+2,FALSE)*STN_GAP,"")</f>
        <v/>
      </c>
      <c r="D388" s="437" t="str">
        <f>IFERROR(VLOOKUP(HLOOKUP(Stn_WL,Tools!$AD$2:$AD$27,QUOTIENT(ROW()-2,Max_WL_count)+2,FALSE),Tools!$AD$3:$BC$27,MOD(ROW()-2,Max_WL_count)+2,FALSE),"")</f>
        <v/>
      </c>
      <c r="E388" s="435" t="str">
        <f>IFERROR(IF(ISNUMBER(D388),HLOOKUP(Tools!$BE$2,Tools!$BE$2:$BE$27,MOD(ROW()-2,Max_WL_count)+2,FALSE)*WLS,""),"")</f>
        <v/>
      </c>
      <c r="I388" s="431" t="str">
        <f t="shared" si="41"/>
        <v/>
      </c>
      <c r="J388" s="434" t="str">
        <f t="shared" si="37"/>
        <v/>
      </c>
      <c r="K388" s="437" t="str">
        <f>IFERROR(-LBP/2+HLOOKUP(Stn_WL,Tools!$AD$2:$AD$27,N388+2,FALSE)*STN_GAP,"")</f>
        <v/>
      </c>
      <c r="L388" s="437" t="str">
        <f>IFERROR(IF(AND(ISNUMBER(K388),O388=0),0,VLOOKUP(HLOOKUP(Stn_WL,Tools!$AD$2:$AD$27,N388+2,FALSE),Tools!$AD$3:$BC$27,O388+1,FALSE)),"")</f>
        <v/>
      </c>
      <c r="M388" s="437" t="str">
        <f>IFERROR(IF(ISNUMBER(L388),IF(O388=0,IFERROR(HLOOKUP(Tools!$BD$127,Tools!$BD$127:$BD$152,N388+2,FALSE)*1,0),HLOOKUP(Tools!$BE$2,Tools!$BE$2:$BE$27,O388+1,FALSE)*WLS),""),"")</f>
        <v/>
      </c>
      <c r="N388">
        <f t="shared" si="38"/>
        <v>29</v>
      </c>
      <c r="O388">
        <f t="shared" si="39"/>
        <v>9</v>
      </c>
    </row>
    <row r="389" spans="1:15" x14ac:dyDescent="0.25">
      <c r="A389" s="431" t="str">
        <f t="shared" si="40"/>
        <v/>
      </c>
      <c r="B389" s="434" t="str">
        <f t="shared" si="36"/>
        <v/>
      </c>
      <c r="C389" s="437" t="str">
        <f>IFERROR(-LBP/2+HLOOKUP(Stn_WL,Tools!$AD$2:$AD$27,QUOTIENT(ROW()-2,Max_WL_count)+2,FALSE)*STN_GAP,"")</f>
        <v/>
      </c>
      <c r="D389" s="437" t="str">
        <f>IFERROR(VLOOKUP(HLOOKUP(Stn_WL,Tools!$AD$2:$AD$27,QUOTIENT(ROW()-2,Max_WL_count)+2,FALSE),Tools!$AD$3:$BC$27,MOD(ROW()-2,Max_WL_count)+2,FALSE),"")</f>
        <v/>
      </c>
      <c r="E389" s="435" t="str">
        <f>IFERROR(IF(ISNUMBER(D389),HLOOKUP(Tools!$BE$2,Tools!$BE$2:$BE$27,MOD(ROW()-2,Max_WL_count)+2,FALSE)*WLS,""),"")</f>
        <v/>
      </c>
      <c r="I389" s="431" t="str">
        <f t="shared" si="41"/>
        <v/>
      </c>
      <c r="J389" s="434" t="str">
        <f t="shared" si="37"/>
        <v/>
      </c>
      <c r="K389" s="437" t="str">
        <f>IFERROR(-LBP/2+HLOOKUP(Stn_WL,Tools!$AD$2:$AD$27,N389+2,FALSE)*STN_GAP,"")</f>
        <v/>
      </c>
      <c r="L389" s="437" t="str">
        <f>IFERROR(IF(AND(ISNUMBER(K389),O389=0),0,VLOOKUP(HLOOKUP(Stn_WL,Tools!$AD$2:$AD$27,N389+2,FALSE),Tools!$AD$3:$BC$27,O389+1,FALSE)),"")</f>
        <v/>
      </c>
      <c r="M389" s="437" t="str">
        <f>IFERROR(IF(ISNUMBER(L389),IF(O389=0,IFERROR(HLOOKUP(Tools!$BD$127,Tools!$BD$127:$BD$152,N389+2,FALSE)*1,0),HLOOKUP(Tools!$BE$2,Tools!$BE$2:$BE$27,O389+1,FALSE)*WLS),""),"")</f>
        <v/>
      </c>
      <c r="N389">
        <f t="shared" si="38"/>
        <v>29</v>
      </c>
      <c r="O389">
        <f t="shared" si="39"/>
        <v>10</v>
      </c>
    </row>
    <row r="390" spans="1:15" x14ac:dyDescent="0.25">
      <c r="A390" s="431" t="str">
        <f t="shared" si="40"/>
        <v/>
      </c>
      <c r="B390" s="434" t="str">
        <f t="shared" si="36"/>
        <v/>
      </c>
      <c r="C390" s="437" t="str">
        <f>IFERROR(-LBP/2+HLOOKUP(Stn_WL,Tools!$AD$2:$AD$27,QUOTIENT(ROW()-2,Max_WL_count)+2,FALSE)*STN_GAP,"")</f>
        <v/>
      </c>
      <c r="D390" s="437" t="str">
        <f>IFERROR(VLOOKUP(HLOOKUP(Stn_WL,Tools!$AD$2:$AD$27,QUOTIENT(ROW()-2,Max_WL_count)+2,FALSE),Tools!$AD$3:$BC$27,MOD(ROW()-2,Max_WL_count)+2,FALSE),"")</f>
        <v/>
      </c>
      <c r="E390" s="435" t="str">
        <f>IFERROR(IF(ISNUMBER(D390),HLOOKUP(Tools!$BE$2,Tools!$BE$2:$BE$27,MOD(ROW()-2,Max_WL_count)+2,FALSE)*WLS,""),"")</f>
        <v/>
      </c>
      <c r="I390" s="431" t="str">
        <f t="shared" si="41"/>
        <v/>
      </c>
      <c r="J390" s="434" t="str">
        <f t="shared" si="37"/>
        <v/>
      </c>
      <c r="K390" s="437" t="str">
        <f>IFERROR(-LBP/2+HLOOKUP(Stn_WL,Tools!$AD$2:$AD$27,N390+2,FALSE)*STN_GAP,"")</f>
        <v/>
      </c>
      <c r="L390" s="437" t="str">
        <f>IFERROR(IF(AND(ISNUMBER(K390),O390=0),0,VLOOKUP(HLOOKUP(Stn_WL,Tools!$AD$2:$AD$27,N390+2,FALSE),Tools!$AD$3:$BC$27,O390+1,FALSE)),"")</f>
        <v/>
      </c>
      <c r="M390" s="437" t="str">
        <f>IFERROR(IF(ISNUMBER(L390),IF(O390=0,IFERROR(HLOOKUP(Tools!$BD$127,Tools!$BD$127:$BD$152,N390+2,FALSE)*1,0),HLOOKUP(Tools!$BE$2,Tools!$BE$2:$BE$27,O390+1,FALSE)*WLS),""),"")</f>
        <v/>
      </c>
      <c r="N390">
        <f t="shared" si="38"/>
        <v>29</v>
      </c>
      <c r="O390">
        <f t="shared" si="39"/>
        <v>11</v>
      </c>
    </row>
    <row r="391" spans="1:15" x14ac:dyDescent="0.25">
      <c r="A391" s="431" t="str">
        <f t="shared" si="40"/>
        <v/>
      </c>
      <c r="B391" s="434" t="str">
        <f t="shared" si="36"/>
        <v/>
      </c>
      <c r="C391" s="437" t="str">
        <f>IFERROR(-LBP/2+HLOOKUP(Stn_WL,Tools!$AD$2:$AD$27,QUOTIENT(ROW()-2,Max_WL_count)+2,FALSE)*STN_GAP,"")</f>
        <v/>
      </c>
      <c r="D391" s="437" t="str">
        <f>IFERROR(VLOOKUP(HLOOKUP(Stn_WL,Tools!$AD$2:$AD$27,QUOTIENT(ROW()-2,Max_WL_count)+2,FALSE),Tools!$AD$3:$BC$27,MOD(ROW()-2,Max_WL_count)+2,FALSE),"")</f>
        <v/>
      </c>
      <c r="E391" s="435" t="str">
        <f>IFERROR(IF(ISNUMBER(D391),HLOOKUP(Tools!$BE$2,Tools!$BE$2:$BE$27,MOD(ROW()-2,Max_WL_count)+2,FALSE)*WLS,""),"")</f>
        <v/>
      </c>
      <c r="I391" s="431" t="str">
        <f t="shared" si="41"/>
        <v/>
      </c>
      <c r="J391" s="434" t="str">
        <f t="shared" si="37"/>
        <v/>
      </c>
      <c r="K391" s="437" t="str">
        <f>IFERROR(-LBP/2+HLOOKUP(Stn_WL,Tools!$AD$2:$AD$27,N391+2,FALSE)*STN_GAP,"")</f>
        <v/>
      </c>
      <c r="L391" s="437" t="str">
        <f>IFERROR(IF(AND(ISNUMBER(K391),O391=0),0,VLOOKUP(HLOOKUP(Stn_WL,Tools!$AD$2:$AD$27,N391+2,FALSE),Tools!$AD$3:$BC$27,O391+1,FALSE)),"")</f>
        <v/>
      </c>
      <c r="M391" s="437" t="str">
        <f>IFERROR(IF(ISNUMBER(L391),IF(O391=0,IFERROR(HLOOKUP(Tools!$BD$127,Tools!$BD$127:$BD$152,N391+2,FALSE)*1,0),HLOOKUP(Tools!$BE$2,Tools!$BE$2:$BE$27,O391+1,FALSE)*WLS),""),"")</f>
        <v/>
      </c>
      <c r="N391">
        <f t="shared" si="38"/>
        <v>29</v>
      </c>
      <c r="O391">
        <f t="shared" si="39"/>
        <v>12</v>
      </c>
    </row>
    <row r="392" spans="1:15" x14ac:dyDescent="0.25">
      <c r="A392" s="431" t="str">
        <f t="shared" si="40"/>
        <v/>
      </c>
      <c r="B392" s="434" t="str">
        <f t="shared" si="36"/>
        <v/>
      </c>
      <c r="C392" s="437" t="str">
        <f>IFERROR(-LBP/2+HLOOKUP(Stn_WL,Tools!$AD$2:$AD$27,QUOTIENT(ROW()-2,Max_WL_count)+2,FALSE)*STN_GAP,"")</f>
        <v/>
      </c>
      <c r="D392" s="437" t="str">
        <f>IFERROR(VLOOKUP(HLOOKUP(Stn_WL,Tools!$AD$2:$AD$27,QUOTIENT(ROW()-2,Max_WL_count)+2,FALSE),Tools!$AD$3:$BC$27,MOD(ROW()-2,Max_WL_count)+2,FALSE),"")</f>
        <v/>
      </c>
      <c r="E392" s="435" t="str">
        <f>IFERROR(IF(ISNUMBER(D392),HLOOKUP(Tools!$BE$2,Tools!$BE$2:$BE$27,MOD(ROW()-2,Max_WL_count)+2,FALSE)*WLS,""),"")</f>
        <v/>
      </c>
      <c r="I392" s="431" t="str">
        <f t="shared" si="41"/>
        <v/>
      </c>
      <c r="J392" s="434" t="str">
        <f t="shared" si="37"/>
        <v/>
      </c>
      <c r="K392" s="437" t="str">
        <f>IFERROR(-LBP/2+HLOOKUP(Stn_WL,Tools!$AD$2:$AD$27,N392+2,FALSE)*STN_GAP,"")</f>
        <v/>
      </c>
      <c r="L392" s="437" t="str">
        <f>IFERROR(IF(AND(ISNUMBER(K392),O392=0),0,VLOOKUP(HLOOKUP(Stn_WL,Tools!$AD$2:$AD$27,N392+2,FALSE),Tools!$AD$3:$BC$27,O392+1,FALSE)),"")</f>
        <v/>
      </c>
      <c r="M392" s="437" t="str">
        <f>IFERROR(IF(ISNUMBER(L392),IF(O392=0,IFERROR(HLOOKUP(Tools!$BD$127,Tools!$BD$127:$BD$152,N392+2,FALSE)*1,0),HLOOKUP(Tools!$BE$2,Tools!$BE$2:$BE$27,O392+1,FALSE)*WLS),""),"")</f>
        <v/>
      </c>
      <c r="N392">
        <f t="shared" si="38"/>
        <v>30</v>
      </c>
      <c r="O392">
        <f t="shared" si="39"/>
        <v>0</v>
      </c>
    </row>
    <row r="393" spans="1:15" x14ac:dyDescent="0.25">
      <c r="A393" s="431" t="str">
        <f t="shared" si="40"/>
        <v/>
      </c>
      <c r="B393" s="434" t="str">
        <f t="shared" si="36"/>
        <v/>
      </c>
      <c r="C393" s="437" t="str">
        <f>IFERROR(-LBP/2+HLOOKUP(Stn_WL,Tools!$AD$2:$AD$27,QUOTIENT(ROW()-2,Max_WL_count)+2,FALSE)*STN_GAP,"")</f>
        <v/>
      </c>
      <c r="D393" s="437" t="str">
        <f>IFERROR(VLOOKUP(HLOOKUP(Stn_WL,Tools!$AD$2:$AD$27,QUOTIENT(ROW()-2,Max_WL_count)+2,FALSE),Tools!$AD$3:$BC$27,MOD(ROW()-2,Max_WL_count)+2,FALSE),"")</f>
        <v/>
      </c>
      <c r="E393" s="435" t="str">
        <f>IFERROR(IF(ISNUMBER(D393),HLOOKUP(Tools!$BE$2,Tools!$BE$2:$BE$27,MOD(ROW()-2,Max_WL_count)+2,FALSE)*WLS,""),"")</f>
        <v/>
      </c>
      <c r="I393" s="431" t="str">
        <f t="shared" si="41"/>
        <v/>
      </c>
      <c r="J393" s="434" t="str">
        <f t="shared" si="37"/>
        <v/>
      </c>
      <c r="K393" s="437" t="str">
        <f>IFERROR(-LBP/2+HLOOKUP(Stn_WL,Tools!$AD$2:$AD$27,N393+2,FALSE)*STN_GAP,"")</f>
        <v/>
      </c>
      <c r="L393" s="437" t="str">
        <f>IFERROR(IF(AND(ISNUMBER(K393),O393=0),0,VLOOKUP(HLOOKUP(Stn_WL,Tools!$AD$2:$AD$27,N393+2,FALSE),Tools!$AD$3:$BC$27,O393+1,FALSE)),"")</f>
        <v/>
      </c>
      <c r="M393" s="437" t="str">
        <f>IFERROR(IF(ISNUMBER(L393),IF(O393=0,IFERROR(HLOOKUP(Tools!$BD$127,Tools!$BD$127:$BD$152,N393+2,FALSE)*1,0),HLOOKUP(Tools!$BE$2,Tools!$BE$2:$BE$27,O393+1,FALSE)*WLS),""),"")</f>
        <v/>
      </c>
      <c r="N393">
        <f t="shared" si="38"/>
        <v>30</v>
      </c>
      <c r="O393">
        <f t="shared" si="39"/>
        <v>1</v>
      </c>
    </row>
    <row r="394" spans="1:15" x14ac:dyDescent="0.25">
      <c r="A394" s="431" t="str">
        <f t="shared" si="40"/>
        <v/>
      </c>
      <c r="B394" s="434" t="str">
        <f t="shared" si="36"/>
        <v/>
      </c>
      <c r="C394" s="437" t="str">
        <f>IFERROR(-LBP/2+HLOOKUP(Stn_WL,Tools!$AD$2:$AD$27,QUOTIENT(ROW()-2,Max_WL_count)+2,FALSE)*STN_GAP,"")</f>
        <v/>
      </c>
      <c r="D394" s="437" t="str">
        <f>IFERROR(VLOOKUP(HLOOKUP(Stn_WL,Tools!$AD$2:$AD$27,QUOTIENT(ROW()-2,Max_WL_count)+2,FALSE),Tools!$AD$3:$BC$27,MOD(ROW()-2,Max_WL_count)+2,FALSE),"")</f>
        <v/>
      </c>
      <c r="E394" s="435" t="str">
        <f>IFERROR(IF(ISNUMBER(D394),HLOOKUP(Tools!$BE$2,Tools!$BE$2:$BE$27,MOD(ROW()-2,Max_WL_count)+2,FALSE)*WLS,""),"")</f>
        <v/>
      </c>
      <c r="I394" s="431" t="str">
        <f t="shared" si="41"/>
        <v/>
      </c>
      <c r="J394" s="434" t="str">
        <f t="shared" si="37"/>
        <v/>
      </c>
      <c r="K394" s="437" t="str">
        <f>IFERROR(-LBP/2+HLOOKUP(Stn_WL,Tools!$AD$2:$AD$27,N394+2,FALSE)*STN_GAP,"")</f>
        <v/>
      </c>
      <c r="L394" s="437" t="str">
        <f>IFERROR(IF(AND(ISNUMBER(K394),O394=0),0,VLOOKUP(HLOOKUP(Stn_WL,Tools!$AD$2:$AD$27,N394+2,FALSE),Tools!$AD$3:$BC$27,O394+1,FALSE)),"")</f>
        <v/>
      </c>
      <c r="M394" s="437" t="str">
        <f>IFERROR(IF(ISNUMBER(L394),IF(O394=0,IFERROR(HLOOKUP(Tools!$BD$127,Tools!$BD$127:$BD$152,N394+2,FALSE)*1,0),HLOOKUP(Tools!$BE$2,Tools!$BE$2:$BE$27,O394+1,FALSE)*WLS),""),"")</f>
        <v/>
      </c>
      <c r="N394">
        <f t="shared" si="38"/>
        <v>30</v>
      </c>
      <c r="O394">
        <f t="shared" si="39"/>
        <v>2</v>
      </c>
    </row>
    <row r="395" spans="1:15" x14ac:dyDescent="0.25">
      <c r="A395" s="431" t="str">
        <f t="shared" si="40"/>
        <v/>
      </c>
      <c r="B395" s="434" t="str">
        <f t="shared" si="36"/>
        <v/>
      </c>
      <c r="C395" s="437" t="str">
        <f>IFERROR(-LBP/2+HLOOKUP(Stn_WL,Tools!$AD$2:$AD$27,QUOTIENT(ROW()-2,Max_WL_count)+2,FALSE)*STN_GAP,"")</f>
        <v/>
      </c>
      <c r="D395" s="437" t="str">
        <f>IFERROR(VLOOKUP(HLOOKUP(Stn_WL,Tools!$AD$2:$AD$27,QUOTIENT(ROW()-2,Max_WL_count)+2,FALSE),Tools!$AD$3:$BC$27,MOD(ROW()-2,Max_WL_count)+2,FALSE),"")</f>
        <v/>
      </c>
      <c r="E395" s="435" t="str">
        <f>IFERROR(IF(ISNUMBER(D395),HLOOKUP(Tools!$BE$2,Tools!$BE$2:$BE$27,MOD(ROW()-2,Max_WL_count)+2,FALSE)*WLS,""),"")</f>
        <v/>
      </c>
      <c r="I395" s="431" t="str">
        <f t="shared" si="41"/>
        <v/>
      </c>
      <c r="J395" s="434" t="str">
        <f t="shared" si="37"/>
        <v/>
      </c>
      <c r="K395" s="437" t="str">
        <f>IFERROR(-LBP/2+HLOOKUP(Stn_WL,Tools!$AD$2:$AD$27,N395+2,FALSE)*STN_GAP,"")</f>
        <v/>
      </c>
      <c r="L395" s="437" t="str">
        <f>IFERROR(IF(AND(ISNUMBER(K395),O395=0),0,VLOOKUP(HLOOKUP(Stn_WL,Tools!$AD$2:$AD$27,N395+2,FALSE),Tools!$AD$3:$BC$27,O395+1,FALSE)),"")</f>
        <v/>
      </c>
      <c r="M395" s="437" t="str">
        <f>IFERROR(IF(ISNUMBER(L395),IF(O395=0,IFERROR(HLOOKUP(Tools!$BD$127,Tools!$BD$127:$BD$152,N395+2,FALSE)*1,0),HLOOKUP(Tools!$BE$2,Tools!$BE$2:$BE$27,O395+1,FALSE)*WLS),""),"")</f>
        <v/>
      </c>
      <c r="N395">
        <f t="shared" si="38"/>
        <v>30</v>
      </c>
      <c r="O395">
        <f t="shared" si="39"/>
        <v>3</v>
      </c>
    </row>
    <row r="396" spans="1:15" x14ac:dyDescent="0.25">
      <c r="A396" s="431" t="str">
        <f t="shared" si="40"/>
        <v/>
      </c>
      <c r="B396" s="434" t="str">
        <f t="shared" si="36"/>
        <v/>
      </c>
      <c r="C396" s="437" t="str">
        <f>IFERROR(-LBP/2+HLOOKUP(Stn_WL,Tools!$AD$2:$AD$27,QUOTIENT(ROW()-2,Max_WL_count)+2,FALSE)*STN_GAP,"")</f>
        <v/>
      </c>
      <c r="D396" s="437" t="str">
        <f>IFERROR(VLOOKUP(HLOOKUP(Stn_WL,Tools!$AD$2:$AD$27,QUOTIENT(ROW()-2,Max_WL_count)+2,FALSE),Tools!$AD$3:$BC$27,MOD(ROW()-2,Max_WL_count)+2,FALSE),"")</f>
        <v/>
      </c>
      <c r="E396" s="435" t="str">
        <f>IFERROR(IF(ISNUMBER(D396),HLOOKUP(Tools!$BE$2,Tools!$BE$2:$BE$27,MOD(ROW()-2,Max_WL_count)+2,FALSE)*WLS,""),"")</f>
        <v/>
      </c>
      <c r="I396" s="431" t="str">
        <f t="shared" si="41"/>
        <v/>
      </c>
      <c r="J396" s="434" t="str">
        <f t="shared" si="37"/>
        <v/>
      </c>
      <c r="K396" s="437" t="str">
        <f>IFERROR(-LBP/2+HLOOKUP(Stn_WL,Tools!$AD$2:$AD$27,N396+2,FALSE)*STN_GAP,"")</f>
        <v/>
      </c>
      <c r="L396" s="437" t="str">
        <f>IFERROR(IF(AND(ISNUMBER(K396),O396=0),0,VLOOKUP(HLOOKUP(Stn_WL,Tools!$AD$2:$AD$27,N396+2,FALSE),Tools!$AD$3:$BC$27,O396+1,FALSE)),"")</f>
        <v/>
      </c>
      <c r="M396" s="437" t="str">
        <f>IFERROR(IF(ISNUMBER(L396),IF(O396=0,IFERROR(HLOOKUP(Tools!$BD$127,Tools!$BD$127:$BD$152,N396+2,FALSE)*1,0),HLOOKUP(Tools!$BE$2,Tools!$BE$2:$BE$27,O396+1,FALSE)*WLS),""),"")</f>
        <v/>
      </c>
      <c r="N396">
        <f t="shared" si="38"/>
        <v>30</v>
      </c>
      <c r="O396">
        <f t="shared" si="39"/>
        <v>4</v>
      </c>
    </row>
    <row r="397" spans="1:15" x14ac:dyDescent="0.25">
      <c r="A397" s="431" t="str">
        <f t="shared" si="40"/>
        <v/>
      </c>
      <c r="B397" s="434" t="str">
        <f t="shared" si="36"/>
        <v/>
      </c>
      <c r="C397" s="437" t="str">
        <f>IFERROR(-LBP/2+HLOOKUP(Stn_WL,Tools!$AD$2:$AD$27,QUOTIENT(ROW()-2,Max_WL_count)+2,FALSE)*STN_GAP,"")</f>
        <v/>
      </c>
      <c r="D397" s="437" t="str">
        <f>IFERROR(VLOOKUP(HLOOKUP(Stn_WL,Tools!$AD$2:$AD$27,QUOTIENT(ROW()-2,Max_WL_count)+2,FALSE),Tools!$AD$3:$BC$27,MOD(ROW()-2,Max_WL_count)+2,FALSE),"")</f>
        <v/>
      </c>
      <c r="E397" s="435" t="str">
        <f>IFERROR(IF(ISNUMBER(D397),HLOOKUP(Tools!$BE$2,Tools!$BE$2:$BE$27,MOD(ROW()-2,Max_WL_count)+2,FALSE)*WLS,""),"")</f>
        <v/>
      </c>
      <c r="I397" s="431" t="str">
        <f t="shared" si="41"/>
        <v/>
      </c>
      <c r="J397" s="434" t="str">
        <f t="shared" si="37"/>
        <v/>
      </c>
      <c r="K397" s="437" t="str">
        <f>IFERROR(-LBP/2+HLOOKUP(Stn_WL,Tools!$AD$2:$AD$27,N397+2,FALSE)*STN_GAP,"")</f>
        <v/>
      </c>
      <c r="L397" s="437" t="str">
        <f>IFERROR(IF(AND(ISNUMBER(K397),O397=0),0,VLOOKUP(HLOOKUP(Stn_WL,Tools!$AD$2:$AD$27,N397+2,FALSE),Tools!$AD$3:$BC$27,O397+1,FALSE)),"")</f>
        <v/>
      </c>
      <c r="M397" s="437" t="str">
        <f>IFERROR(IF(ISNUMBER(L397),IF(O397=0,IFERROR(HLOOKUP(Tools!$BD$127,Tools!$BD$127:$BD$152,N397+2,FALSE)*1,0),HLOOKUP(Tools!$BE$2,Tools!$BE$2:$BE$27,O397+1,FALSE)*WLS),""),"")</f>
        <v/>
      </c>
      <c r="N397">
        <f t="shared" si="38"/>
        <v>30</v>
      </c>
      <c r="O397">
        <f t="shared" si="39"/>
        <v>5</v>
      </c>
    </row>
    <row r="398" spans="1:15" x14ac:dyDescent="0.25">
      <c r="A398" s="431" t="str">
        <f t="shared" si="40"/>
        <v/>
      </c>
      <c r="B398" s="434" t="str">
        <f t="shared" si="36"/>
        <v/>
      </c>
      <c r="C398" s="437" t="str">
        <f>IFERROR(-LBP/2+HLOOKUP(Stn_WL,Tools!$AD$2:$AD$27,QUOTIENT(ROW()-2,Max_WL_count)+2,FALSE)*STN_GAP,"")</f>
        <v/>
      </c>
      <c r="D398" s="437" t="str">
        <f>IFERROR(VLOOKUP(HLOOKUP(Stn_WL,Tools!$AD$2:$AD$27,QUOTIENT(ROW()-2,Max_WL_count)+2,FALSE),Tools!$AD$3:$BC$27,MOD(ROW()-2,Max_WL_count)+2,FALSE),"")</f>
        <v/>
      </c>
      <c r="E398" s="435" t="str">
        <f>IFERROR(IF(ISNUMBER(D398),HLOOKUP(Tools!$BE$2,Tools!$BE$2:$BE$27,MOD(ROW()-2,Max_WL_count)+2,FALSE)*WLS,""),"")</f>
        <v/>
      </c>
      <c r="I398" s="431" t="str">
        <f t="shared" si="41"/>
        <v/>
      </c>
      <c r="J398" s="434" t="str">
        <f t="shared" si="37"/>
        <v/>
      </c>
      <c r="K398" s="437" t="str">
        <f>IFERROR(-LBP/2+HLOOKUP(Stn_WL,Tools!$AD$2:$AD$27,N398+2,FALSE)*STN_GAP,"")</f>
        <v/>
      </c>
      <c r="L398" s="437" t="str">
        <f>IFERROR(IF(AND(ISNUMBER(K398),O398=0),0,VLOOKUP(HLOOKUP(Stn_WL,Tools!$AD$2:$AD$27,N398+2,FALSE),Tools!$AD$3:$BC$27,O398+1,FALSE)),"")</f>
        <v/>
      </c>
      <c r="M398" s="437" t="str">
        <f>IFERROR(IF(ISNUMBER(L398),IF(O398=0,IFERROR(HLOOKUP(Tools!$BD$127,Tools!$BD$127:$BD$152,N398+2,FALSE)*1,0),HLOOKUP(Tools!$BE$2,Tools!$BE$2:$BE$27,O398+1,FALSE)*WLS),""),"")</f>
        <v/>
      </c>
      <c r="N398">
        <f t="shared" si="38"/>
        <v>30</v>
      </c>
      <c r="O398">
        <f t="shared" si="39"/>
        <v>6</v>
      </c>
    </row>
    <row r="399" spans="1:15" x14ac:dyDescent="0.25">
      <c r="A399" s="431" t="str">
        <f t="shared" si="40"/>
        <v/>
      </c>
      <c r="B399" s="434" t="str">
        <f t="shared" si="36"/>
        <v/>
      </c>
      <c r="C399" s="437" t="str">
        <f>IFERROR(-LBP/2+HLOOKUP(Stn_WL,Tools!$AD$2:$AD$27,QUOTIENT(ROW()-2,Max_WL_count)+2,FALSE)*STN_GAP,"")</f>
        <v/>
      </c>
      <c r="D399" s="437" t="str">
        <f>IFERROR(VLOOKUP(HLOOKUP(Stn_WL,Tools!$AD$2:$AD$27,QUOTIENT(ROW()-2,Max_WL_count)+2,FALSE),Tools!$AD$3:$BC$27,MOD(ROW()-2,Max_WL_count)+2,FALSE),"")</f>
        <v/>
      </c>
      <c r="E399" s="435" t="str">
        <f>IFERROR(IF(ISNUMBER(D399),HLOOKUP(Tools!$BE$2,Tools!$BE$2:$BE$27,MOD(ROW()-2,Max_WL_count)+2,FALSE)*WLS,""),"")</f>
        <v/>
      </c>
      <c r="I399" s="431" t="str">
        <f t="shared" si="41"/>
        <v/>
      </c>
      <c r="J399" s="434" t="str">
        <f t="shared" si="37"/>
        <v/>
      </c>
      <c r="K399" s="437" t="str">
        <f>IFERROR(-LBP/2+HLOOKUP(Stn_WL,Tools!$AD$2:$AD$27,N399+2,FALSE)*STN_GAP,"")</f>
        <v/>
      </c>
      <c r="L399" s="437" t="str">
        <f>IFERROR(IF(AND(ISNUMBER(K399),O399=0),0,VLOOKUP(HLOOKUP(Stn_WL,Tools!$AD$2:$AD$27,N399+2,FALSE),Tools!$AD$3:$BC$27,O399+1,FALSE)),"")</f>
        <v/>
      </c>
      <c r="M399" s="437" t="str">
        <f>IFERROR(IF(ISNUMBER(L399),IF(O399=0,IFERROR(HLOOKUP(Tools!$BD$127,Tools!$BD$127:$BD$152,N399+2,FALSE)*1,0),HLOOKUP(Tools!$BE$2,Tools!$BE$2:$BE$27,O399+1,FALSE)*WLS),""),"")</f>
        <v/>
      </c>
      <c r="N399">
        <f t="shared" si="38"/>
        <v>30</v>
      </c>
      <c r="O399">
        <f t="shared" si="39"/>
        <v>7</v>
      </c>
    </row>
    <row r="400" spans="1:15" x14ac:dyDescent="0.25">
      <c r="A400" s="431" t="str">
        <f t="shared" si="40"/>
        <v/>
      </c>
      <c r="B400" s="434" t="str">
        <f t="shared" si="36"/>
        <v/>
      </c>
      <c r="C400" s="437" t="str">
        <f>IFERROR(-LBP/2+HLOOKUP(Stn_WL,Tools!$AD$2:$AD$27,QUOTIENT(ROW()-2,Max_WL_count)+2,FALSE)*STN_GAP,"")</f>
        <v/>
      </c>
      <c r="D400" s="437" t="str">
        <f>IFERROR(VLOOKUP(HLOOKUP(Stn_WL,Tools!$AD$2:$AD$27,QUOTIENT(ROW()-2,Max_WL_count)+2,FALSE),Tools!$AD$3:$BC$27,MOD(ROW()-2,Max_WL_count)+2,FALSE),"")</f>
        <v/>
      </c>
      <c r="E400" s="435" t="str">
        <f>IFERROR(IF(ISNUMBER(D400),HLOOKUP(Tools!$BE$2,Tools!$BE$2:$BE$27,MOD(ROW()-2,Max_WL_count)+2,FALSE)*WLS,""),"")</f>
        <v/>
      </c>
      <c r="I400" s="431" t="str">
        <f t="shared" si="41"/>
        <v/>
      </c>
      <c r="J400" s="434" t="str">
        <f t="shared" si="37"/>
        <v/>
      </c>
      <c r="K400" s="437" t="str">
        <f>IFERROR(-LBP/2+HLOOKUP(Stn_WL,Tools!$AD$2:$AD$27,N400+2,FALSE)*STN_GAP,"")</f>
        <v/>
      </c>
      <c r="L400" s="437" t="str">
        <f>IFERROR(IF(AND(ISNUMBER(K400),O400=0),0,VLOOKUP(HLOOKUP(Stn_WL,Tools!$AD$2:$AD$27,N400+2,FALSE),Tools!$AD$3:$BC$27,O400+1,FALSE)),"")</f>
        <v/>
      </c>
      <c r="M400" s="437" t="str">
        <f>IFERROR(IF(ISNUMBER(L400),IF(O400=0,IFERROR(HLOOKUP(Tools!$BD$127,Tools!$BD$127:$BD$152,N400+2,FALSE)*1,0),HLOOKUP(Tools!$BE$2,Tools!$BE$2:$BE$27,O400+1,FALSE)*WLS),""),"")</f>
        <v/>
      </c>
      <c r="N400">
        <f t="shared" si="38"/>
        <v>30</v>
      </c>
      <c r="O400">
        <f t="shared" si="39"/>
        <v>8</v>
      </c>
    </row>
    <row r="401" spans="1:15" x14ac:dyDescent="0.25">
      <c r="A401" s="431" t="str">
        <f t="shared" si="40"/>
        <v/>
      </c>
      <c r="B401" s="434" t="str">
        <f t="shared" si="36"/>
        <v/>
      </c>
      <c r="C401" s="437" t="str">
        <f>IFERROR(-LBP/2+HLOOKUP(Stn_WL,Tools!$AD$2:$AD$27,QUOTIENT(ROW()-2,Max_WL_count)+2,FALSE)*STN_GAP,"")</f>
        <v/>
      </c>
      <c r="D401" s="437" t="str">
        <f>IFERROR(VLOOKUP(HLOOKUP(Stn_WL,Tools!$AD$2:$AD$27,QUOTIENT(ROW()-2,Max_WL_count)+2,FALSE),Tools!$AD$3:$BC$27,MOD(ROW()-2,Max_WL_count)+2,FALSE),"")</f>
        <v/>
      </c>
      <c r="E401" s="435" t="str">
        <f>IFERROR(IF(ISNUMBER(D401),HLOOKUP(Tools!$BE$2,Tools!$BE$2:$BE$27,MOD(ROW()-2,Max_WL_count)+2,FALSE)*WLS,""),"")</f>
        <v/>
      </c>
      <c r="I401" s="431" t="str">
        <f t="shared" si="41"/>
        <v/>
      </c>
      <c r="J401" s="434" t="str">
        <f t="shared" si="37"/>
        <v/>
      </c>
      <c r="K401" s="437" t="str">
        <f>IFERROR(-LBP/2+HLOOKUP(Stn_WL,Tools!$AD$2:$AD$27,N401+2,FALSE)*STN_GAP,"")</f>
        <v/>
      </c>
      <c r="L401" s="437" t="str">
        <f>IFERROR(IF(AND(ISNUMBER(K401),O401=0),0,VLOOKUP(HLOOKUP(Stn_WL,Tools!$AD$2:$AD$27,N401+2,FALSE),Tools!$AD$3:$BC$27,O401+1,FALSE)),"")</f>
        <v/>
      </c>
      <c r="M401" s="437" t="str">
        <f>IFERROR(IF(ISNUMBER(L401),IF(O401=0,IFERROR(HLOOKUP(Tools!$BD$127,Tools!$BD$127:$BD$152,N401+2,FALSE)*1,0),HLOOKUP(Tools!$BE$2,Tools!$BE$2:$BE$27,O401+1,FALSE)*WLS),""),"")</f>
        <v/>
      </c>
      <c r="N401">
        <f t="shared" si="38"/>
        <v>30</v>
      </c>
      <c r="O401">
        <f t="shared" si="39"/>
        <v>9</v>
      </c>
    </row>
    <row r="402" spans="1:15" x14ac:dyDescent="0.25">
      <c r="A402" s="431" t="str">
        <f t="shared" si="40"/>
        <v/>
      </c>
      <c r="B402" s="434" t="str">
        <f t="shared" si="36"/>
        <v/>
      </c>
      <c r="C402" s="437" t="str">
        <f>IFERROR(-LBP/2+HLOOKUP(Stn_WL,Tools!$AD$2:$AD$27,QUOTIENT(ROW()-2,Max_WL_count)+2,FALSE)*STN_GAP,"")</f>
        <v/>
      </c>
      <c r="D402" s="437" t="str">
        <f>IFERROR(VLOOKUP(HLOOKUP(Stn_WL,Tools!$AD$2:$AD$27,QUOTIENT(ROW()-2,Max_WL_count)+2,FALSE),Tools!$AD$3:$BC$27,MOD(ROW()-2,Max_WL_count)+2,FALSE),"")</f>
        <v/>
      </c>
      <c r="E402" s="435" t="str">
        <f>IFERROR(IF(ISNUMBER(D402),HLOOKUP(Tools!$BE$2,Tools!$BE$2:$BE$27,MOD(ROW()-2,Max_WL_count)+2,FALSE)*WLS,""),"")</f>
        <v/>
      </c>
      <c r="I402" s="431" t="str">
        <f t="shared" si="41"/>
        <v/>
      </c>
      <c r="J402" s="434" t="str">
        <f t="shared" si="37"/>
        <v/>
      </c>
      <c r="K402" s="437" t="str">
        <f>IFERROR(-LBP/2+HLOOKUP(Stn_WL,Tools!$AD$2:$AD$27,N402+2,FALSE)*STN_GAP,"")</f>
        <v/>
      </c>
      <c r="L402" s="437" t="str">
        <f>IFERROR(IF(AND(ISNUMBER(K402),O402=0),0,VLOOKUP(HLOOKUP(Stn_WL,Tools!$AD$2:$AD$27,N402+2,FALSE),Tools!$AD$3:$BC$27,O402+1,FALSE)),"")</f>
        <v/>
      </c>
      <c r="M402" s="437" t="str">
        <f>IFERROR(IF(ISNUMBER(L402),IF(O402=0,IFERROR(HLOOKUP(Tools!$BD$127,Tools!$BD$127:$BD$152,N402+2,FALSE)*1,0),HLOOKUP(Tools!$BE$2,Tools!$BE$2:$BE$27,O402+1,FALSE)*WLS),""),"")</f>
        <v/>
      </c>
      <c r="N402">
        <f t="shared" si="38"/>
        <v>30</v>
      </c>
      <c r="O402">
        <f t="shared" si="39"/>
        <v>10</v>
      </c>
    </row>
    <row r="403" spans="1:15" x14ac:dyDescent="0.25">
      <c r="A403" s="431" t="str">
        <f t="shared" si="40"/>
        <v/>
      </c>
      <c r="B403" s="434" t="str">
        <f t="shared" si="36"/>
        <v/>
      </c>
      <c r="C403" s="437" t="str">
        <f>IFERROR(-LBP/2+HLOOKUP(Stn_WL,Tools!$AD$2:$AD$27,QUOTIENT(ROW()-2,Max_WL_count)+2,FALSE)*STN_GAP,"")</f>
        <v/>
      </c>
      <c r="D403" s="437" t="str">
        <f>IFERROR(VLOOKUP(HLOOKUP(Stn_WL,Tools!$AD$2:$AD$27,QUOTIENT(ROW()-2,Max_WL_count)+2,FALSE),Tools!$AD$3:$BC$27,MOD(ROW()-2,Max_WL_count)+2,FALSE),"")</f>
        <v/>
      </c>
      <c r="E403" s="435" t="str">
        <f>IFERROR(IF(ISNUMBER(D403),HLOOKUP(Tools!$BE$2,Tools!$BE$2:$BE$27,MOD(ROW()-2,Max_WL_count)+2,FALSE)*WLS,""),"")</f>
        <v/>
      </c>
      <c r="I403" s="431" t="str">
        <f t="shared" si="41"/>
        <v/>
      </c>
      <c r="J403" s="434" t="str">
        <f t="shared" si="37"/>
        <v/>
      </c>
      <c r="K403" s="437" t="str">
        <f>IFERROR(-LBP/2+HLOOKUP(Stn_WL,Tools!$AD$2:$AD$27,N403+2,FALSE)*STN_GAP,"")</f>
        <v/>
      </c>
      <c r="L403" s="437" t="str">
        <f>IFERROR(IF(AND(ISNUMBER(K403),O403=0),0,VLOOKUP(HLOOKUP(Stn_WL,Tools!$AD$2:$AD$27,N403+2,FALSE),Tools!$AD$3:$BC$27,O403+1,FALSE)),"")</f>
        <v/>
      </c>
      <c r="M403" s="437" t="str">
        <f>IFERROR(IF(ISNUMBER(L403),IF(O403=0,IFERROR(HLOOKUP(Tools!$BD$127,Tools!$BD$127:$BD$152,N403+2,FALSE)*1,0),HLOOKUP(Tools!$BE$2,Tools!$BE$2:$BE$27,O403+1,FALSE)*WLS),""),"")</f>
        <v/>
      </c>
      <c r="N403">
        <f t="shared" si="38"/>
        <v>30</v>
      </c>
      <c r="O403">
        <f t="shared" si="39"/>
        <v>11</v>
      </c>
    </row>
    <row r="404" spans="1:15" x14ac:dyDescent="0.25">
      <c r="A404" s="431" t="str">
        <f t="shared" si="40"/>
        <v/>
      </c>
      <c r="B404" s="434" t="str">
        <f t="shared" si="36"/>
        <v/>
      </c>
      <c r="C404" s="437" t="str">
        <f>IFERROR(-LBP/2+HLOOKUP(Stn_WL,Tools!$AD$2:$AD$27,QUOTIENT(ROW()-2,Max_WL_count)+2,FALSE)*STN_GAP,"")</f>
        <v/>
      </c>
      <c r="D404" s="437" t="str">
        <f>IFERROR(VLOOKUP(HLOOKUP(Stn_WL,Tools!$AD$2:$AD$27,QUOTIENT(ROW()-2,Max_WL_count)+2,FALSE),Tools!$AD$3:$BC$27,MOD(ROW()-2,Max_WL_count)+2,FALSE),"")</f>
        <v/>
      </c>
      <c r="E404" s="435" t="str">
        <f>IFERROR(IF(ISNUMBER(D404),HLOOKUP(Tools!$BE$2,Tools!$BE$2:$BE$27,MOD(ROW()-2,Max_WL_count)+2,FALSE)*WLS,""),"")</f>
        <v/>
      </c>
      <c r="I404" s="431" t="str">
        <f t="shared" si="41"/>
        <v/>
      </c>
      <c r="J404" s="434" t="str">
        <f t="shared" si="37"/>
        <v/>
      </c>
      <c r="K404" s="437" t="str">
        <f>IFERROR(-LBP/2+HLOOKUP(Stn_WL,Tools!$AD$2:$AD$27,N404+2,FALSE)*STN_GAP,"")</f>
        <v/>
      </c>
      <c r="L404" s="437" t="str">
        <f>IFERROR(IF(AND(ISNUMBER(K404),O404=0),0,VLOOKUP(HLOOKUP(Stn_WL,Tools!$AD$2:$AD$27,N404+2,FALSE),Tools!$AD$3:$BC$27,O404+1,FALSE)),"")</f>
        <v/>
      </c>
      <c r="M404" s="437" t="str">
        <f>IFERROR(IF(ISNUMBER(L404),IF(O404=0,IFERROR(HLOOKUP(Tools!$BD$127,Tools!$BD$127:$BD$152,N404+2,FALSE)*1,0),HLOOKUP(Tools!$BE$2,Tools!$BE$2:$BE$27,O404+1,FALSE)*WLS),""),"")</f>
        <v/>
      </c>
      <c r="N404">
        <f t="shared" si="38"/>
        <v>30</v>
      </c>
      <c r="O404">
        <f t="shared" si="39"/>
        <v>12</v>
      </c>
    </row>
    <row r="405" spans="1:15" x14ac:dyDescent="0.25">
      <c r="A405" s="431" t="str">
        <f t="shared" si="40"/>
        <v/>
      </c>
      <c r="B405" s="434" t="str">
        <f t="shared" si="36"/>
        <v/>
      </c>
      <c r="C405" s="437" t="str">
        <f>IFERROR(-LBP/2+HLOOKUP(Stn_WL,Tools!$AD$2:$AD$27,QUOTIENT(ROW()-2,Max_WL_count)+2,FALSE)*STN_GAP,"")</f>
        <v/>
      </c>
      <c r="D405" s="437" t="str">
        <f>IFERROR(VLOOKUP(HLOOKUP(Stn_WL,Tools!$AD$2:$AD$27,QUOTIENT(ROW()-2,Max_WL_count)+2,FALSE),Tools!$AD$3:$BC$27,MOD(ROW()-2,Max_WL_count)+2,FALSE),"")</f>
        <v/>
      </c>
      <c r="E405" s="435" t="str">
        <f>IFERROR(IF(ISNUMBER(D405),HLOOKUP(Tools!$BE$2,Tools!$BE$2:$BE$27,MOD(ROW()-2,Max_WL_count)+2,FALSE)*WLS,""),"")</f>
        <v/>
      </c>
      <c r="I405" s="431" t="str">
        <f t="shared" si="41"/>
        <v/>
      </c>
      <c r="J405" s="434" t="str">
        <f t="shared" si="37"/>
        <v/>
      </c>
      <c r="K405" s="437" t="str">
        <f>IFERROR(-LBP/2+HLOOKUP(Stn_WL,Tools!$AD$2:$AD$27,N405+2,FALSE)*STN_GAP,"")</f>
        <v/>
      </c>
      <c r="L405" s="437" t="str">
        <f>IFERROR(IF(AND(ISNUMBER(K405),O405=0),0,VLOOKUP(HLOOKUP(Stn_WL,Tools!$AD$2:$AD$27,N405+2,FALSE),Tools!$AD$3:$BC$27,O405+1,FALSE)),"")</f>
        <v/>
      </c>
      <c r="M405" s="437" t="str">
        <f>IFERROR(IF(ISNUMBER(L405),IF(O405=0,IFERROR(HLOOKUP(Tools!$BD$127,Tools!$BD$127:$BD$152,N405+2,FALSE)*1,0),HLOOKUP(Tools!$BE$2,Tools!$BE$2:$BE$27,O405+1,FALSE)*WLS),""),"")</f>
        <v/>
      </c>
      <c r="N405">
        <f t="shared" si="38"/>
        <v>31</v>
      </c>
      <c r="O405">
        <f t="shared" si="39"/>
        <v>0</v>
      </c>
    </row>
    <row r="406" spans="1:15" x14ac:dyDescent="0.25">
      <c r="A406" s="431" t="str">
        <f t="shared" si="40"/>
        <v/>
      </c>
      <c r="B406" s="434" t="str">
        <f t="shared" si="36"/>
        <v/>
      </c>
      <c r="C406" s="437" t="str">
        <f>IFERROR(-LBP/2+HLOOKUP(Stn_WL,Tools!$AD$2:$AD$27,QUOTIENT(ROW()-2,Max_WL_count)+2,FALSE)*STN_GAP,"")</f>
        <v/>
      </c>
      <c r="D406" s="437" t="str">
        <f>IFERROR(VLOOKUP(HLOOKUP(Stn_WL,Tools!$AD$2:$AD$27,QUOTIENT(ROW()-2,Max_WL_count)+2,FALSE),Tools!$AD$3:$BC$27,MOD(ROW()-2,Max_WL_count)+2,FALSE),"")</f>
        <v/>
      </c>
      <c r="E406" s="435" t="str">
        <f>IFERROR(IF(ISNUMBER(D406),HLOOKUP(Tools!$BE$2,Tools!$BE$2:$BE$27,MOD(ROW()-2,Max_WL_count)+2,FALSE)*WLS,""),"")</f>
        <v/>
      </c>
      <c r="I406" s="431" t="str">
        <f t="shared" si="41"/>
        <v/>
      </c>
      <c r="J406" s="434" t="str">
        <f t="shared" si="37"/>
        <v/>
      </c>
      <c r="K406" s="437" t="str">
        <f>IFERROR(-LBP/2+HLOOKUP(Stn_WL,Tools!$AD$2:$AD$27,N406+2,FALSE)*STN_GAP,"")</f>
        <v/>
      </c>
      <c r="L406" s="437" t="str">
        <f>IFERROR(IF(AND(ISNUMBER(K406),O406=0),0,VLOOKUP(HLOOKUP(Stn_WL,Tools!$AD$2:$AD$27,N406+2,FALSE),Tools!$AD$3:$BC$27,O406+1,FALSE)),"")</f>
        <v/>
      </c>
      <c r="M406" s="437" t="str">
        <f>IFERROR(IF(ISNUMBER(L406),IF(O406=0,IFERROR(HLOOKUP(Tools!$BD$127,Tools!$BD$127:$BD$152,N406+2,FALSE)*1,0),HLOOKUP(Tools!$BE$2,Tools!$BE$2:$BE$27,O406+1,FALSE)*WLS),""),"")</f>
        <v/>
      </c>
      <c r="N406">
        <f t="shared" si="38"/>
        <v>31</v>
      </c>
      <c r="O406">
        <f t="shared" si="39"/>
        <v>1</v>
      </c>
    </row>
    <row r="407" spans="1:15" x14ac:dyDescent="0.25">
      <c r="A407" s="431" t="str">
        <f t="shared" si="40"/>
        <v/>
      </c>
      <c r="B407" s="434" t="str">
        <f t="shared" si="36"/>
        <v/>
      </c>
      <c r="C407" s="437" t="str">
        <f>IFERROR(-LBP/2+HLOOKUP(Stn_WL,Tools!$AD$2:$AD$27,QUOTIENT(ROW()-2,Max_WL_count)+2,FALSE)*STN_GAP,"")</f>
        <v/>
      </c>
      <c r="D407" s="437" t="str">
        <f>IFERROR(VLOOKUP(HLOOKUP(Stn_WL,Tools!$AD$2:$AD$27,QUOTIENT(ROW()-2,Max_WL_count)+2,FALSE),Tools!$AD$3:$BC$27,MOD(ROW()-2,Max_WL_count)+2,FALSE),"")</f>
        <v/>
      </c>
      <c r="E407" s="435" t="str">
        <f>IFERROR(IF(ISNUMBER(D407),HLOOKUP(Tools!$BE$2,Tools!$BE$2:$BE$27,MOD(ROW()-2,Max_WL_count)+2,FALSE)*WLS,""),"")</f>
        <v/>
      </c>
      <c r="I407" s="431" t="str">
        <f t="shared" si="41"/>
        <v/>
      </c>
      <c r="J407" s="434" t="str">
        <f t="shared" si="37"/>
        <v/>
      </c>
      <c r="K407" s="437" t="str">
        <f>IFERROR(-LBP/2+HLOOKUP(Stn_WL,Tools!$AD$2:$AD$27,N407+2,FALSE)*STN_GAP,"")</f>
        <v/>
      </c>
      <c r="L407" s="437" t="str">
        <f>IFERROR(IF(AND(ISNUMBER(K407),O407=0),0,VLOOKUP(HLOOKUP(Stn_WL,Tools!$AD$2:$AD$27,N407+2,FALSE),Tools!$AD$3:$BC$27,O407+1,FALSE)),"")</f>
        <v/>
      </c>
      <c r="M407" s="437" t="str">
        <f>IFERROR(IF(ISNUMBER(L407),IF(O407=0,IFERROR(HLOOKUP(Tools!$BD$127,Tools!$BD$127:$BD$152,N407+2,FALSE)*1,0),HLOOKUP(Tools!$BE$2,Tools!$BE$2:$BE$27,O407+1,FALSE)*WLS),""),"")</f>
        <v/>
      </c>
      <c r="N407">
        <f t="shared" si="38"/>
        <v>31</v>
      </c>
      <c r="O407">
        <f t="shared" si="39"/>
        <v>2</v>
      </c>
    </row>
    <row r="408" spans="1:15" x14ac:dyDescent="0.25">
      <c r="A408" s="431" t="str">
        <f t="shared" si="40"/>
        <v/>
      </c>
      <c r="B408" s="434" t="str">
        <f t="shared" si="36"/>
        <v/>
      </c>
      <c r="C408" s="437" t="str">
        <f>IFERROR(-LBP/2+HLOOKUP(Stn_WL,Tools!$AD$2:$AD$27,QUOTIENT(ROW()-2,Max_WL_count)+2,FALSE)*STN_GAP,"")</f>
        <v/>
      </c>
      <c r="D408" s="437" t="str">
        <f>IFERROR(VLOOKUP(HLOOKUP(Stn_WL,Tools!$AD$2:$AD$27,QUOTIENT(ROW()-2,Max_WL_count)+2,FALSE),Tools!$AD$3:$BC$27,MOD(ROW()-2,Max_WL_count)+2,FALSE),"")</f>
        <v/>
      </c>
      <c r="E408" s="435" t="str">
        <f>IFERROR(IF(ISNUMBER(D408),HLOOKUP(Tools!$BE$2,Tools!$BE$2:$BE$27,MOD(ROW()-2,Max_WL_count)+2,FALSE)*WLS,""),"")</f>
        <v/>
      </c>
      <c r="I408" s="431" t="str">
        <f t="shared" si="41"/>
        <v/>
      </c>
      <c r="J408" s="434" t="str">
        <f t="shared" si="37"/>
        <v/>
      </c>
      <c r="K408" s="437" t="str">
        <f>IFERROR(-LBP/2+HLOOKUP(Stn_WL,Tools!$AD$2:$AD$27,N408+2,FALSE)*STN_GAP,"")</f>
        <v/>
      </c>
      <c r="L408" s="437" t="str">
        <f>IFERROR(IF(AND(ISNUMBER(K408),O408=0),0,VLOOKUP(HLOOKUP(Stn_WL,Tools!$AD$2:$AD$27,N408+2,FALSE),Tools!$AD$3:$BC$27,O408+1,FALSE)),"")</f>
        <v/>
      </c>
      <c r="M408" s="437" t="str">
        <f>IFERROR(IF(ISNUMBER(L408),IF(O408=0,IFERROR(HLOOKUP(Tools!$BD$127,Tools!$BD$127:$BD$152,N408+2,FALSE)*1,0),HLOOKUP(Tools!$BE$2,Tools!$BE$2:$BE$27,O408+1,FALSE)*WLS),""),"")</f>
        <v/>
      </c>
      <c r="N408">
        <f t="shared" si="38"/>
        <v>31</v>
      </c>
      <c r="O408">
        <f t="shared" si="39"/>
        <v>3</v>
      </c>
    </row>
    <row r="409" spans="1:15" x14ac:dyDescent="0.25">
      <c r="A409" s="431" t="str">
        <f t="shared" si="40"/>
        <v/>
      </c>
      <c r="B409" s="434" t="str">
        <f t="shared" si="36"/>
        <v/>
      </c>
      <c r="C409" s="437" t="str">
        <f>IFERROR(-LBP/2+HLOOKUP(Stn_WL,Tools!$AD$2:$AD$27,QUOTIENT(ROW()-2,Max_WL_count)+2,FALSE)*STN_GAP,"")</f>
        <v/>
      </c>
      <c r="D409" s="437" t="str">
        <f>IFERROR(VLOOKUP(HLOOKUP(Stn_WL,Tools!$AD$2:$AD$27,QUOTIENT(ROW()-2,Max_WL_count)+2,FALSE),Tools!$AD$3:$BC$27,MOD(ROW()-2,Max_WL_count)+2,FALSE),"")</f>
        <v/>
      </c>
      <c r="E409" s="435" t="str">
        <f>IFERROR(IF(ISNUMBER(D409),HLOOKUP(Tools!$BE$2,Tools!$BE$2:$BE$27,MOD(ROW()-2,Max_WL_count)+2,FALSE)*WLS,""),"")</f>
        <v/>
      </c>
      <c r="I409" s="431" t="str">
        <f t="shared" si="41"/>
        <v/>
      </c>
      <c r="J409" s="434" t="str">
        <f t="shared" si="37"/>
        <v/>
      </c>
      <c r="K409" s="437" t="str">
        <f>IFERROR(-LBP/2+HLOOKUP(Stn_WL,Tools!$AD$2:$AD$27,N409+2,FALSE)*STN_GAP,"")</f>
        <v/>
      </c>
      <c r="L409" s="437" t="str">
        <f>IFERROR(IF(AND(ISNUMBER(K409),O409=0),0,VLOOKUP(HLOOKUP(Stn_WL,Tools!$AD$2:$AD$27,N409+2,FALSE),Tools!$AD$3:$BC$27,O409+1,FALSE)),"")</f>
        <v/>
      </c>
      <c r="M409" s="437" t="str">
        <f>IFERROR(IF(ISNUMBER(L409),IF(O409=0,IFERROR(HLOOKUP(Tools!$BD$127,Tools!$BD$127:$BD$152,N409+2,FALSE)*1,0),HLOOKUP(Tools!$BE$2,Tools!$BE$2:$BE$27,O409+1,FALSE)*WLS),""),"")</f>
        <v/>
      </c>
      <c r="N409">
        <f t="shared" si="38"/>
        <v>31</v>
      </c>
      <c r="O409">
        <f t="shared" si="39"/>
        <v>4</v>
      </c>
    </row>
    <row r="410" spans="1:15" x14ac:dyDescent="0.25">
      <c r="A410" s="431" t="str">
        <f t="shared" si="40"/>
        <v/>
      </c>
      <c r="B410" s="434" t="str">
        <f t="shared" si="36"/>
        <v/>
      </c>
      <c r="C410" s="437" t="str">
        <f>IFERROR(-LBP/2+HLOOKUP(Stn_WL,Tools!$AD$2:$AD$27,QUOTIENT(ROW()-2,Max_WL_count)+2,FALSE)*STN_GAP,"")</f>
        <v/>
      </c>
      <c r="D410" s="437" t="str">
        <f>IFERROR(VLOOKUP(HLOOKUP(Stn_WL,Tools!$AD$2:$AD$27,QUOTIENT(ROW()-2,Max_WL_count)+2,FALSE),Tools!$AD$3:$BC$27,MOD(ROW()-2,Max_WL_count)+2,FALSE),"")</f>
        <v/>
      </c>
      <c r="E410" s="435" t="str">
        <f>IFERROR(IF(ISNUMBER(D410),HLOOKUP(Tools!$BE$2,Tools!$BE$2:$BE$27,MOD(ROW()-2,Max_WL_count)+2,FALSE)*WLS,""),"")</f>
        <v/>
      </c>
      <c r="I410" s="431" t="str">
        <f t="shared" si="41"/>
        <v/>
      </c>
      <c r="J410" s="434" t="str">
        <f t="shared" si="37"/>
        <v/>
      </c>
      <c r="K410" s="437" t="str">
        <f>IFERROR(-LBP/2+HLOOKUP(Stn_WL,Tools!$AD$2:$AD$27,N410+2,FALSE)*STN_GAP,"")</f>
        <v/>
      </c>
      <c r="L410" s="437" t="str">
        <f>IFERROR(IF(AND(ISNUMBER(K410),O410=0),0,VLOOKUP(HLOOKUP(Stn_WL,Tools!$AD$2:$AD$27,N410+2,FALSE),Tools!$AD$3:$BC$27,O410+1,FALSE)),"")</f>
        <v/>
      </c>
      <c r="M410" s="437" t="str">
        <f>IFERROR(IF(ISNUMBER(L410),IF(O410=0,IFERROR(HLOOKUP(Tools!$BD$127,Tools!$BD$127:$BD$152,N410+2,FALSE)*1,0),HLOOKUP(Tools!$BE$2,Tools!$BE$2:$BE$27,O410+1,FALSE)*WLS),""),"")</f>
        <v/>
      </c>
      <c r="N410">
        <f t="shared" si="38"/>
        <v>31</v>
      </c>
      <c r="O410">
        <f t="shared" si="39"/>
        <v>5</v>
      </c>
    </row>
    <row r="411" spans="1:15" x14ac:dyDescent="0.25">
      <c r="A411" s="431" t="str">
        <f t="shared" si="40"/>
        <v/>
      </c>
      <c r="B411" s="434" t="str">
        <f t="shared" si="36"/>
        <v/>
      </c>
      <c r="C411" s="437" t="str">
        <f>IFERROR(-LBP/2+HLOOKUP(Stn_WL,Tools!$AD$2:$AD$27,QUOTIENT(ROW()-2,Max_WL_count)+2,FALSE)*STN_GAP,"")</f>
        <v/>
      </c>
      <c r="D411" s="437" t="str">
        <f>IFERROR(VLOOKUP(HLOOKUP(Stn_WL,Tools!$AD$2:$AD$27,QUOTIENT(ROW()-2,Max_WL_count)+2,FALSE),Tools!$AD$3:$BC$27,MOD(ROW()-2,Max_WL_count)+2,FALSE),"")</f>
        <v/>
      </c>
      <c r="E411" s="435" t="str">
        <f>IFERROR(IF(ISNUMBER(D411),HLOOKUP(Tools!$BE$2,Tools!$BE$2:$BE$27,MOD(ROW()-2,Max_WL_count)+2,FALSE)*WLS,""),"")</f>
        <v/>
      </c>
      <c r="I411" s="431" t="str">
        <f t="shared" si="41"/>
        <v/>
      </c>
      <c r="J411" s="434" t="str">
        <f t="shared" si="37"/>
        <v/>
      </c>
      <c r="K411" s="437" t="str">
        <f>IFERROR(-LBP/2+HLOOKUP(Stn_WL,Tools!$AD$2:$AD$27,N411+2,FALSE)*STN_GAP,"")</f>
        <v/>
      </c>
      <c r="L411" s="437" t="str">
        <f>IFERROR(IF(AND(ISNUMBER(K411),O411=0),0,VLOOKUP(HLOOKUP(Stn_WL,Tools!$AD$2:$AD$27,N411+2,FALSE),Tools!$AD$3:$BC$27,O411+1,FALSE)),"")</f>
        <v/>
      </c>
      <c r="M411" s="437" t="str">
        <f>IFERROR(IF(ISNUMBER(L411),IF(O411=0,IFERROR(HLOOKUP(Tools!$BD$127,Tools!$BD$127:$BD$152,N411+2,FALSE)*1,0),HLOOKUP(Tools!$BE$2,Tools!$BE$2:$BE$27,O411+1,FALSE)*WLS),""),"")</f>
        <v/>
      </c>
      <c r="N411">
        <f t="shared" si="38"/>
        <v>31</v>
      </c>
      <c r="O411">
        <f t="shared" si="39"/>
        <v>6</v>
      </c>
    </row>
    <row r="412" spans="1:15" x14ac:dyDescent="0.25">
      <c r="A412" s="431" t="str">
        <f t="shared" si="40"/>
        <v/>
      </c>
      <c r="B412" s="434" t="str">
        <f t="shared" si="36"/>
        <v/>
      </c>
      <c r="C412" s="437" t="str">
        <f>IFERROR(-LBP/2+HLOOKUP(Stn_WL,Tools!$AD$2:$AD$27,QUOTIENT(ROW()-2,Max_WL_count)+2,FALSE)*STN_GAP,"")</f>
        <v/>
      </c>
      <c r="D412" s="437" t="str">
        <f>IFERROR(VLOOKUP(HLOOKUP(Stn_WL,Tools!$AD$2:$AD$27,QUOTIENT(ROW()-2,Max_WL_count)+2,FALSE),Tools!$AD$3:$BC$27,MOD(ROW()-2,Max_WL_count)+2,FALSE),"")</f>
        <v/>
      </c>
      <c r="E412" s="435" t="str">
        <f>IFERROR(IF(ISNUMBER(D412),HLOOKUP(Tools!$BE$2,Tools!$BE$2:$BE$27,MOD(ROW()-2,Max_WL_count)+2,FALSE)*WLS,""),"")</f>
        <v/>
      </c>
      <c r="I412" s="431" t="str">
        <f t="shared" si="41"/>
        <v/>
      </c>
      <c r="J412" s="434" t="str">
        <f t="shared" si="37"/>
        <v/>
      </c>
      <c r="K412" s="437" t="str">
        <f>IFERROR(-LBP/2+HLOOKUP(Stn_WL,Tools!$AD$2:$AD$27,N412+2,FALSE)*STN_GAP,"")</f>
        <v/>
      </c>
      <c r="L412" s="437" t="str">
        <f>IFERROR(IF(AND(ISNUMBER(K412),O412=0),0,VLOOKUP(HLOOKUP(Stn_WL,Tools!$AD$2:$AD$27,N412+2,FALSE),Tools!$AD$3:$BC$27,O412+1,FALSE)),"")</f>
        <v/>
      </c>
      <c r="M412" s="437" t="str">
        <f>IFERROR(IF(ISNUMBER(L412),IF(O412=0,IFERROR(HLOOKUP(Tools!$BD$127,Tools!$BD$127:$BD$152,N412+2,FALSE)*1,0),HLOOKUP(Tools!$BE$2,Tools!$BE$2:$BE$27,O412+1,FALSE)*WLS),""),"")</f>
        <v/>
      </c>
      <c r="N412">
        <f t="shared" si="38"/>
        <v>31</v>
      </c>
      <c r="O412">
        <f t="shared" si="39"/>
        <v>7</v>
      </c>
    </row>
    <row r="413" spans="1:15" x14ac:dyDescent="0.25">
      <c r="A413" s="431" t="str">
        <f t="shared" si="40"/>
        <v/>
      </c>
      <c r="B413" s="434" t="str">
        <f t="shared" si="36"/>
        <v/>
      </c>
      <c r="C413" s="437" t="str">
        <f>IFERROR(-LBP/2+HLOOKUP(Stn_WL,Tools!$AD$2:$AD$27,QUOTIENT(ROW()-2,Max_WL_count)+2,FALSE)*STN_GAP,"")</f>
        <v/>
      </c>
      <c r="D413" s="437" t="str">
        <f>IFERROR(VLOOKUP(HLOOKUP(Stn_WL,Tools!$AD$2:$AD$27,QUOTIENT(ROW()-2,Max_WL_count)+2,FALSE),Tools!$AD$3:$BC$27,MOD(ROW()-2,Max_WL_count)+2,FALSE),"")</f>
        <v/>
      </c>
      <c r="E413" s="435" t="str">
        <f>IFERROR(IF(ISNUMBER(D413),HLOOKUP(Tools!$BE$2,Tools!$BE$2:$BE$27,MOD(ROW()-2,Max_WL_count)+2,FALSE)*WLS,""),"")</f>
        <v/>
      </c>
      <c r="I413" s="431" t="str">
        <f t="shared" si="41"/>
        <v/>
      </c>
      <c r="J413" s="434" t="str">
        <f t="shared" si="37"/>
        <v/>
      </c>
      <c r="K413" s="437" t="str">
        <f>IFERROR(-LBP/2+HLOOKUP(Stn_WL,Tools!$AD$2:$AD$27,N413+2,FALSE)*STN_GAP,"")</f>
        <v/>
      </c>
      <c r="L413" s="437" t="str">
        <f>IFERROR(IF(AND(ISNUMBER(K413),O413=0),0,VLOOKUP(HLOOKUP(Stn_WL,Tools!$AD$2:$AD$27,N413+2,FALSE),Tools!$AD$3:$BC$27,O413+1,FALSE)),"")</f>
        <v/>
      </c>
      <c r="M413" s="437" t="str">
        <f>IFERROR(IF(ISNUMBER(L413),IF(O413=0,IFERROR(HLOOKUP(Tools!$BD$127,Tools!$BD$127:$BD$152,N413+2,FALSE)*1,0),HLOOKUP(Tools!$BE$2,Tools!$BE$2:$BE$27,O413+1,FALSE)*WLS),""),"")</f>
        <v/>
      </c>
      <c r="N413">
        <f t="shared" si="38"/>
        <v>31</v>
      </c>
      <c r="O413">
        <f t="shared" si="39"/>
        <v>8</v>
      </c>
    </row>
    <row r="414" spans="1:15" x14ac:dyDescent="0.25">
      <c r="A414" s="431" t="str">
        <f t="shared" si="40"/>
        <v/>
      </c>
      <c r="B414" s="434" t="str">
        <f t="shared" si="36"/>
        <v/>
      </c>
      <c r="C414" s="437" t="str">
        <f>IFERROR(-LBP/2+HLOOKUP(Stn_WL,Tools!$AD$2:$AD$27,QUOTIENT(ROW()-2,Max_WL_count)+2,FALSE)*STN_GAP,"")</f>
        <v/>
      </c>
      <c r="D414" s="437" t="str">
        <f>IFERROR(VLOOKUP(HLOOKUP(Stn_WL,Tools!$AD$2:$AD$27,QUOTIENT(ROW()-2,Max_WL_count)+2,FALSE),Tools!$AD$3:$BC$27,MOD(ROW()-2,Max_WL_count)+2,FALSE),"")</f>
        <v/>
      </c>
      <c r="E414" s="435" t="str">
        <f>IFERROR(IF(ISNUMBER(D414),HLOOKUP(Tools!$BE$2,Tools!$BE$2:$BE$27,MOD(ROW()-2,Max_WL_count)+2,FALSE)*WLS,""),"")</f>
        <v/>
      </c>
      <c r="I414" s="431" t="str">
        <f t="shared" si="41"/>
        <v/>
      </c>
      <c r="J414" s="434" t="str">
        <f t="shared" si="37"/>
        <v/>
      </c>
      <c r="K414" s="437" t="str">
        <f>IFERROR(-LBP/2+HLOOKUP(Stn_WL,Tools!$AD$2:$AD$27,N414+2,FALSE)*STN_GAP,"")</f>
        <v/>
      </c>
      <c r="L414" s="437" t="str">
        <f>IFERROR(IF(AND(ISNUMBER(K414),O414=0),0,VLOOKUP(HLOOKUP(Stn_WL,Tools!$AD$2:$AD$27,N414+2,FALSE),Tools!$AD$3:$BC$27,O414+1,FALSE)),"")</f>
        <v/>
      </c>
      <c r="M414" s="437" t="str">
        <f>IFERROR(IF(ISNUMBER(L414),IF(O414=0,IFERROR(HLOOKUP(Tools!$BD$127,Tools!$BD$127:$BD$152,N414+2,FALSE)*1,0),HLOOKUP(Tools!$BE$2,Tools!$BE$2:$BE$27,O414+1,FALSE)*WLS),""),"")</f>
        <v/>
      </c>
      <c r="N414">
        <f t="shared" si="38"/>
        <v>31</v>
      </c>
      <c r="O414">
        <f t="shared" si="39"/>
        <v>9</v>
      </c>
    </row>
    <row r="415" spans="1:15" x14ac:dyDescent="0.25">
      <c r="A415" s="431" t="str">
        <f t="shared" si="40"/>
        <v/>
      </c>
      <c r="B415" s="434" t="str">
        <f t="shared" si="36"/>
        <v/>
      </c>
      <c r="C415" s="437" t="str">
        <f>IFERROR(-LBP/2+HLOOKUP(Stn_WL,Tools!$AD$2:$AD$27,QUOTIENT(ROW()-2,Max_WL_count)+2,FALSE)*STN_GAP,"")</f>
        <v/>
      </c>
      <c r="D415" s="437" t="str">
        <f>IFERROR(VLOOKUP(HLOOKUP(Stn_WL,Tools!$AD$2:$AD$27,QUOTIENT(ROW()-2,Max_WL_count)+2,FALSE),Tools!$AD$3:$BC$27,MOD(ROW()-2,Max_WL_count)+2,FALSE),"")</f>
        <v/>
      </c>
      <c r="E415" s="435" t="str">
        <f>IFERROR(IF(ISNUMBER(D415),HLOOKUP(Tools!$BE$2,Tools!$BE$2:$BE$27,MOD(ROW()-2,Max_WL_count)+2,FALSE)*WLS,""),"")</f>
        <v/>
      </c>
      <c r="I415" s="431" t="str">
        <f t="shared" si="41"/>
        <v/>
      </c>
      <c r="J415" s="434" t="str">
        <f t="shared" si="37"/>
        <v/>
      </c>
      <c r="K415" s="437" t="str">
        <f>IFERROR(-LBP/2+HLOOKUP(Stn_WL,Tools!$AD$2:$AD$27,N415+2,FALSE)*STN_GAP,"")</f>
        <v/>
      </c>
      <c r="L415" s="437" t="str">
        <f>IFERROR(IF(AND(ISNUMBER(K415),O415=0),0,VLOOKUP(HLOOKUP(Stn_WL,Tools!$AD$2:$AD$27,N415+2,FALSE),Tools!$AD$3:$BC$27,O415+1,FALSE)),"")</f>
        <v/>
      </c>
      <c r="M415" s="437" t="str">
        <f>IFERROR(IF(ISNUMBER(L415),IF(O415=0,IFERROR(HLOOKUP(Tools!$BD$127,Tools!$BD$127:$BD$152,N415+2,FALSE)*1,0),HLOOKUP(Tools!$BE$2,Tools!$BE$2:$BE$27,O415+1,FALSE)*WLS),""),"")</f>
        <v/>
      </c>
      <c r="N415">
        <f t="shared" si="38"/>
        <v>31</v>
      </c>
      <c r="O415">
        <f t="shared" si="39"/>
        <v>10</v>
      </c>
    </row>
    <row r="416" spans="1:15" x14ac:dyDescent="0.25">
      <c r="A416" s="431" t="str">
        <f t="shared" si="40"/>
        <v/>
      </c>
      <c r="B416" s="434" t="str">
        <f t="shared" si="36"/>
        <v/>
      </c>
      <c r="C416" s="437" t="str">
        <f>IFERROR(-LBP/2+HLOOKUP(Stn_WL,Tools!$AD$2:$AD$27,QUOTIENT(ROW()-2,Max_WL_count)+2,FALSE)*STN_GAP,"")</f>
        <v/>
      </c>
      <c r="D416" s="437" t="str">
        <f>IFERROR(VLOOKUP(HLOOKUP(Stn_WL,Tools!$AD$2:$AD$27,QUOTIENT(ROW()-2,Max_WL_count)+2,FALSE),Tools!$AD$3:$BC$27,MOD(ROW()-2,Max_WL_count)+2,FALSE),"")</f>
        <v/>
      </c>
      <c r="E416" s="435" t="str">
        <f>IFERROR(IF(ISNUMBER(D416),HLOOKUP(Tools!$BE$2,Tools!$BE$2:$BE$27,MOD(ROW()-2,Max_WL_count)+2,FALSE)*WLS,""),"")</f>
        <v/>
      </c>
      <c r="I416" s="431" t="str">
        <f t="shared" si="41"/>
        <v/>
      </c>
      <c r="J416" s="434" t="str">
        <f t="shared" si="37"/>
        <v/>
      </c>
      <c r="K416" s="437" t="str">
        <f>IFERROR(-LBP/2+HLOOKUP(Stn_WL,Tools!$AD$2:$AD$27,N416+2,FALSE)*STN_GAP,"")</f>
        <v/>
      </c>
      <c r="L416" s="437" t="str">
        <f>IFERROR(IF(AND(ISNUMBER(K416),O416=0),0,VLOOKUP(HLOOKUP(Stn_WL,Tools!$AD$2:$AD$27,N416+2,FALSE),Tools!$AD$3:$BC$27,O416+1,FALSE)),"")</f>
        <v/>
      </c>
      <c r="M416" s="437" t="str">
        <f>IFERROR(IF(ISNUMBER(L416),IF(O416=0,IFERROR(HLOOKUP(Tools!$BD$127,Tools!$BD$127:$BD$152,N416+2,FALSE)*1,0),HLOOKUP(Tools!$BE$2,Tools!$BE$2:$BE$27,O416+1,FALSE)*WLS),""),"")</f>
        <v/>
      </c>
      <c r="N416">
        <f t="shared" si="38"/>
        <v>31</v>
      </c>
      <c r="O416">
        <f t="shared" si="39"/>
        <v>11</v>
      </c>
    </row>
    <row r="417" spans="1:15" x14ac:dyDescent="0.25">
      <c r="A417" s="431" t="str">
        <f t="shared" si="40"/>
        <v/>
      </c>
      <c r="B417" s="434" t="str">
        <f t="shared" si="36"/>
        <v/>
      </c>
      <c r="C417" s="437" t="str">
        <f>IFERROR(-LBP/2+HLOOKUP(Stn_WL,Tools!$AD$2:$AD$27,QUOTIENT(ROW()-2,Max_WL_count)+2,FALSE)*STN_GAP,"")</f>
        <v/>
      </c>
      <c r="D417" s="437" t="str">
        <f>IFERROR(VLOOKUP(HLOOKUP(Stn_WL,Tools!$AD$2:$AD$27,QUOTIENT(ROW()-2,Max_WL_count)+2,FALSE),Tools!$AD$3:$BC$27,MOD(ROW()-2,Max_WL_count)+2,FALSE),"")</f>
        <v/>
      </c>
      <c r="E417" s="435" t="str">
        <f>IFERROR(IF(ISNUMBER(D417),HLOOKUP(Tools!$BE$2,Tools!$BE$2:$BE$27,MOD(ROW()-2,Max_WL_count)+2,FALSE)*WLS,""),"")</f>
        <v/>
      </c>
      <c r="I417" s="431" t="str">
        <f t="shared" si="41"/>
        <v/>
      </c>
      <c r="J417" s="434" t="str">
        <f t="shared" si="37"/>
        <v/>
      </c>
      <c r="K417" s="437" t="str">
        <f>IFERROR(-LBP/2+HLOOKUP(Stn_WL,Tools!$AD$2:$AD$27,N417+2,FALSE)*STN_GAP,"")</f>
        <v/>
      </c>
      <c r="L417" s="437" t="str">
        <f>IFERROR(IF(AND(ISNUMBER(K417),O417=0),0,VLOOKUP(HLOOKUP(Stn_WL,Tools!$AD$2:$AD$27,N417+2,FALSE),Tools!$AD$3:$BC$27,O417+1,FALSE)),"")</f>
        <v/>
      </c>
      <c r="M417" s="437" t="str">
        <f>IFERROR(IF(ISNUMBER(L417),IF(O417=0,IFERROR(HLOOKUP(Tools!$BD$127,Tools!$BD$127:$BD$152,N417+2,FALSE)*1,0),HLOOKUP(Tools!$BE$2,Tools!$BE$2:$BE$27,O417+1,FALSE)*WLS),""),"")</f>
        <v/>
      </c>
      <c r="N417">
        <f t="shared" si="38"/>
        <v>31</v>
      </c>
      <c r="O417">
        <f t="shared" si="39"/>
        <v>12</v>
      </c>
    </row>
    <row r="418" spans="1:15" x14ac:dyDescent="0.25">
      <c r="A418" s="431" t="str">
        <f t="shared" si="40"/>
        <v/>
      </c>
      <c r="B418" s="434" t="str">
        <f t="shared" si="36"/>
        <v/>
      </c>
      <c r="C418" s="437" t="str">
        <f>IFERROR(-LBP/2+HLOOKUP(Stn_WL,Tools!$AD$2:$AD$27,QUOTIENT(ROW()-2,Max_WL_count)+2,FALSE)*STN_GAP,"")</f>
        <v/>
      </c>
      <c r="D418" s="437" t="str">
        <f>IFERROR(VLOOKUP(HLOOKUP(Stn_WL,Tools!$AD$2:$AD$27,QUOTIENT(ROW()-2,Max_WL_count)+2,FALSE),Tools!$AD$3:$BC$27,MOD(ROW()-2,Max_WL_count)+2,FALSE),"")</f>
        <v/>
      </c>
      <c r="E418" s="435" t="str">
        <f>IFERROR(IF(ISNUMBER(D418),HLOOKUP(Tools!$BE$2,Tools!$BE$2:$BE$27,MOD(ROW()-2,Max_WL_count)+2,FALSE)*WLS,""),"")</f>
        <v/>
      </c>
      <c r="I418" s="431" t="str">
        <f t="shared" si="41"/>
        <v/>
      </c>
      <c r="J418" s="434" t="str">
        <f t="shared" si="37"/>
        <v/>
      </c>
      <c r="K418" s="437" t="str">
        <f>IFERROR(-LBP/2+HLOOKUP(Stn_WL,Tools!$AD$2:$AD$27,N418+2,FALSE)*STN_GAP,"")</f>
        <v/>
      </c>
      <c r="L418" s="437" t="str">
        <f>IFERROR(IF(AND(ISNUMBER(K418),O418=0),0,VLOOKUP(HLOOKUP(Stn_WL,Tools!$AD$2:$AD$27,N418+2,FALSE),Tools!$AD$3:$BC$27,O418+1,FALSE)),"")</f>
        <v/>
      </c>
      <c r="M418" s="437" t="str">
        <f>IFERROR(IF(ISNUMBER(L418),IF(O418=0,IFERROR(HLOOKUP(Tools!$BD$127,Tools!$BD$127:$BD$152,N418+2,FALSE)*1,0),HLOOKUP(Tools!$BE$2,Tools!$BE$2:$BE$27,O418+1,FALSE)*WLS),""),"")</f>
        <v/>
      </c>
      <c r="N418">
        <f t="shared" si="38"/>
        <v>32</v>
      </c>
      <c r="O418">
        <f t="shared" si="39"/>
        <v>0</v>
      </c>
    </row>
    <row r="419" spans="1:15" x14ac:dyDescent="0.25">
      <c r="A419" s="431" t="str">
        <f t="shared" si="40"/>
        <v/>
      </c>
      <c r="B419" s="434" t="str">
        <f t="shared" si="36"/>
        <v/>
      </c>
      <c r="C419" s="437" t="str">
        <f>IFERROR(-LBP/2+HLOOKUP(Stn_WL,Tools!$AD$2:$AD$27,QUOTIENT(ROW()-2,Max_WL_count)+2,FALSE)*STN_GAP,"")</f>
        <v/>
      </c>
      <c r="D419" s="437" t="str">
        <f>IFERROR(VLOOKUP(HLOOKUP(Stn_WL,Tools!$AD$2:$AD$27,QUOTIENT(ROW()-2,Max_WL_count)+2,FALSE),Tools!$AD$3:$BC$27,MOD(ROW()-2,Max_WL_count)+2,FALSE),"")</f>
        <v/>
      </c>
      <c r="E419" s="435" t="str">
        <f>IFERROR(IF(ISNUMBER(D419),HLOOKUP(Tools!$BE$2,Tools!$BE$2:$BE$27,MOD(ROW()-2,Max_WL_count)+2,FALSE)*WLS,""),"")</f>
        <v/>
      </c>
      <c r="I419" s="431" t="str">
        <f t="shared" si="41"/>
        <v/>
      </c>
      <c r="J419" s="434" t="str">
        <f t="shared" si="37"/>
        <v/>
      </c>
      <c r="K419" s="437" t="str">
        <f>IFERROR(-LBP/2+HLOOKUP(Stn_WL,Tools!$AD$2:$AD$27,N419+2,FALSE)*STN_GAP,"")</f>
        <v/>
      </c>
      <c r="L419" s="437" t="str">
        <f>IFERROR(IF(AND(ISNUMBER(K419),O419=0),0,VLOOKUP(HLOOKUP(Stn_WL,Tools!$AD$2:$AD$27,N419+2,FALSE),Tools!$AD$3:$BC$27,O419+1,FALSE)),"")</f>
        <v/>
      </c>
      <c r="M419" s="437" t="str">
        <f>IFERROR(IF(ISNUMBER(L419),IF(O419=0,IFERROR(HLOOKUP(Tools!$BD$127,Tools!$BD$127:$BD$152,N419+2,FALSE)*1,0),HLOOKUP(Tools!$BE$2,Tools!$BE$2:$BE$27,O419+1,FALSE)*WLS),""),"")</f>
        <v/>
      </c>
      <c r="N419">
        <f t="shared" si="38"/>
        <v>32</v>
      </c>
      <c r="O419">
        <f t="shared" si="39"/>
        <v>1</v>
      </c>
    </row>
    <row r="420" spans="1:15" x14ac:dyDescent="0.25">
      <c r="A420" s="431" t="str">
        <f t="shared" si="40"/>
        <v/>
      </c>
      <c r="B420" s="434" t="str">
        <f t="shared" si="36"/>
        <v/>
      </c>
      <c r="C420" s="437" t="str">
        <f>IFERROR(-LBP/2+HLOOKUP(Stn_WL,Tools!$AD$2:$AD$27,QUOTIENT(ROW()-2,Max_WL_count)+2,FALSE)*STN_GAP,"")</f>
        <v/>
      </c>
      <c r="D420" s="437" t="str">
        <f>IFERROR(VLOOKUP(HLOOKUP(Stn_WL,Tools!$AD$2:$AD$27,QUOTIENT(ROW()-2,Max_WL_count)+2,FALSE),Tools!$AD$3:$BC$27,MOD(ROW()-2,Max_WL_count)+2,FALSE),"")</f>
        <v/>
      </c>
      <c r="E420" s="435" t="str">
        <f>IFERROR(IF(ISNUMBER(D420),HLOOKUP(Tools!$BE$2,Tools!$BE$2:$BE$27,MOD(ROW()-2,Max_WL_count)+2,FALSE)*WLS,""),"")</f>
        <v/>
      </c>
      <c r="I420" s="431" t="str">
        <f t="shared" si="41"/>
        <v/>
      </c>
      <c r="J420" s="434" t="str">
        <f t="shared" si="37"/>
        <v/>
      </c>
      <c r="K420" s="437" t="str">
        <f>IFERROR(-LBP/2+HLOOKUP(Stn_WL,Tools!$AD$2:$AD$27,N420+2,FALSE)*STN_GAP,"")</f>
        <v/>
      </c>
      <c r="L420" s="437" t="str">
        <f>IFERROR(IF(AND(ISNUMBER(K420),O420=0),0,VLOOKUP(HLOOKUP(Stn_WL,Tools!$AD$2:$AD$27,N420+2,FALSE),Tools!$AD$3:$BC$27,O420+1,FALSE)),"")</f>
        <v/>
      </c>
      <c r="M420" s="437" t="str">
        <f>IFERROR(IF(ISNUMBER(L420),IF(O420=0,IFERROR(HLOOKUP(Tools!$BD$127,Tools!$BD$127:$BD$152,N420+2,FALSE)*1,0),HLOOKUP(Tools!$BE$2,Tools!$BE$2:$BE$27,O420+1,FALSE)*WLS),""),"")</f>
        <v/>
      </c>
      <c r="N420">
        <f t="shared" si="38"/>
        <v>32</v>
      </c>
      <c r="O420">
        <f t="shared" si="39"/>
        <v>2</v>
      </c>
    </row>
    <row r="421" spans="1:15" x14ac:dyDescent="0.25">
      <c r="A421" s="431" t="str">
        <f t="shared" si="40"/>
        <v/>
      </c>
      <c r="B421" s="434" t="str">
        <f t="shared" si="36"/>
        <v/>
      </c>
      <c r="C421" s="437" t="str">
        <f>IFERROR(-LBP/2+HLOOKUP(Stn_WL,Tools!$AD$2:$AD$27,QUOTIENT(ROW()-2,Max_WL_count)+2,FALSE)*STN_GAP,"")</f>
        <v/>
      </c>
      <c r="D421" s="437" t="str">
        <f>IFERROR(VLOOKUP(HLOOKUP(Stn_WL,Tools!$AD$2:$AD$27,QUOTIENT(ROW()-2,Max_WL_count)+2,FALSE),Tools!$AD$3:$BC$27,MOD(ROW()-2,Max_WL_count)+2,FALSE),"")</f>
        <v/>
      </c>
      <c r="E421" s="435" t="str">
        <f>IFERROR(IF(ISNUMBER(D421),HLOOKUP(Tools!$BE$2,Tools!$BE$2:$BE$27,MOD(ROW()-2,Max_WL_count)+2,FALSE)*WLS,""),"")</f>
        <v/>
      </c>
      <c r="I421" s="431" t="str">
        <f t="shared" si="41"/>
        <v/>
      </c>
      <c r="J421" s="434" t="str">
        <f t="shared" si="37"/>
        <v/>
      </c>
      <c r="K421" s="437" t="str">
        <f>IFERROR(-LBP/2+HLOOKUP(Stn_WL,Tools!$AD$2:$AD$27,N421+2,FALSE)*STN_GAP,"")</f>
        <v/>
      </c>
      <c r="L421" s="437" t="str">
        <f>IFERROR(IF(AND(ISNUMBER(K421),O421=0),0,VLOOKUP(HLOOKUP(Stn_WL,Tools!$AD$2:$AD$27,N421+2,FALSE),Tools!$AD$3:$BC$27,O421+1,FALSE)),"")</f>
        <v/>
      </c>
      <c r="M421" s="437" t="str">
        <f>IFERROR(IF(ISNUMBER(L421),IF(O421=0,IFERROR(HLOOKUP(Tools!$BD$127,Tools!$BD$127:$BD$152,N421+2,FALSE)*1,0),HLOOKUP(Tools!$BE$2,Tools!$BE$2:$BE$27,O421+1,FALSE)*WLS),""),"")</f>
        <v/>
      </c>
      <c r="N421">
        <f t="shared" si="38"/>
        <v>32</v>
      </c>
      <c r="O421">
        <f t="shared" si="39"/>
        <v>3</v>
      </c>
    </row>
    <row r="422" spans="1:15" x14ac:dyDescent="0.25">
      <c r="A422" s="431" t="str">
        <f t="shared" si="40"/>
        <v/>
      </c>
      <c r="B422" s="434" t="str">
        <f t="shared" si="36"/>
        <v/>
      </c>
      <c r="C422" s="437" t="str">
        <f>IFERROR(-LBP/2+HLOOKUP(Stn_WL,Tools!$AD$2:$AD$27,QUOTIENT(ROW()-2,Max_WL_count)+2,FALSE)*STN_GAP,"")</f>
        <v/>
      </c>
      <c r="D422" s="437" t="str">
        <f>IFERROR(VLOOKUP(HLOOKUP(Stn_WL,Tools!$AD$2:$AD$27,QUOTIENT(ROW()-2,Max_WL_count)+2,FALSE),Tools!$AD$3:$BC$27,MOD(ROW()-2,Max_WL_count)+2,FALSE),"")</f>
        <v/>
      </c>
      <c r="E422" s="435" t="str">
        <f>IFERROR(IF(ISNUMBER(D422),HLOOKUP(Tools!$BE$2,Tools!$BE$2:$BE$27,MOD(ROW()-2,Max_WL_count)+2,FALSE)*WLS,""),"")</f>
        <v/>
      </c>
      <c r="I422" s="431" t="str">
        <f t="shared" si="41"/>
        <v/>
      </c>
      <c r="J422" s="434" t="str">
        <f t="shared" si="37"/>
        <v/>
      </c>
      <c r="K422" s="437" t="str">
        <f>IFERROR(-LBP/2+HLOOKUP(Stn_WL,Tools!$AD$2:$AD$27,N422+2,FALSE)*STN_GAP,"")</f>
        <v/>
      </c>
      <c r="L422" s="437" t="str">
        <f>IFERROR(IF(AND(ISNUMBER(K422),O422=0),0,VLOOKUP(HLOOKUP(Stn_WL,Tools!$AD$2:$AD$27,N422+2,FALSE),Tools!$AD$3:$BC$27,O422+1,FALSE)),"")</f>
        <v/>
      </c>
      <c r="M422" s="437" t="str">
        <f>IFERROR(IF(ISNUMBER(L422),IF(O422=0,IFERROR(HLOOKUP(Tools!$BD$127,Tools!$BD$127:$BD$152,N422+2,FALSE)*1,0),HLOOKUP(Tools!$BE$2,Tools!$BE$2:$BE$27,O422+1,FALSE)*WLS),""),"")</f>
        <v/>
      </c>
      <c r="N422">
        <f t="shared" si="38"/>
        <v>32</v>
      </c>
      <c r="O422">
        <f t="shared" si="39"/>
        <v>4</v>
      </c>
    </row>
    <row r="423" spans="1:15" x14ac:dyDescent="0.25">
      <c r="A423" s="431" t="str">
        <f t="shared" si="40"/>
        <v/>
      </c>
      <c r="B423" s="434" t="str">
        <f t="shared" si="36"/>
        <v/>
      </c>
      <c r="C423" s="437" t="str">
        <f>IFERROR(-LBP/2+HLOOKUP(Stn_WL,Tools!$AD$2:$AD$27,QUOTIENT(ROW()-2,Max_WL_count)+2,FALSE)*STN_GAP,"")</f>
        <v/>
      </c>
      <c r="D423" s="437" t="str">
        <f>IFERROR(VLOOKUP(HLOOKUP(Stn_WL,Tools!$AD$2:$AD$27,QUOTIENT(ROW()-2,Max_WL_count)+2,FALSE),Tools!$AD$3:$BC$27,MOD(ROW()-2,Max_WL_count)+2,FALSE),"")</f>
        <v/>
      </c>
      <c r="E423" s="435" t="str">
        <f>IFERROR(IF(ISNUMBER(D423),HLOOKUP(Tools!$BE$2,Tools!$BE$2:$BE$27,MOD(ROW()-2,Max_WL_count)+2,FALSE)*WLS,""),"")</f>
        <v/>
      </c>
      <c r="I423" s="431" t="str">
        <f t="shared" si="41"/>
        <v/>
      </c>
      <c r="J423" s="434" t="str">
        <f t="shared" si="37"/>
        <v/>
      </c>
      <c r="K423" s="437" t="str">
        <f>IFERROR(-LBP/2+HLOOKUP(Stn_WL,Tools!$AD$2:$AD$27,N423+2,FALSE)*STN_GAP,"")</f>
        <v/>
      </c>
      <c r="L423" s="437" t="str">
        <f>IFERROR(IF(AND(ISNUMBER(K423),O423=0),0,VLOOKUP(HLOOKUP(Stn_WL,Tools!$AD$2:$AD$27,N423+2,FALSE),Tools!$AD$3:$BC$27,O423+1,FALSE)),"")</f>
        <v/>
      </c>
      <c r="M423" s="437" t="str">
        <f>IFERROR(IF(ISNUMBER(L423),IF(O423=0,IFERROR(HLOOKUP(Tools!$BD$127,Tools!$BD$127:$BD$152,N423+2,FALSE)*1,0),HLOOKUP(Tools!$BE$2,Tools!$BE$2:$BE$27,O423+1,FALSE)*WLS),""),"")</f>
        <v/>
      </c>
      <c r="N423">
        <f t="shared" si="38"/>
        <v>32</v>
      </c>
      <c r="O423">
        <f t="shared" si="39"/>
        <v>5</v>
      </c>
    </row>
    <row r="424" spans="1:15" x14ac:dyDescent="0.25">
      <c r="A424" s="431" t="str">
        <f t="shared" si="40"/>
        <v/>
      </c>
      <c r="B424" s="434" t="str">
        <f t="shared" si="36"/>
        <v/>
      </c>
      <c r="C424" s="437" t="str">
        <f>IFERROR(-LBP/2+HLOOKUP(Stn_WL,Tools!$AD$2:$AD$27,QUOTIENT(ROW()-2,Max_WL_count)+2,FALSE)*STN_GAP,"")</f>
        <v/>
      </c>
      <c r="D424" s="437" t="str">
        <f>IFERROR(VLOOKUP(HLOOKUP(Stn_WL,Tools!$AD$2:$AD$27,QUOTIENT(ROW()-2,Max_WL_count)+2,FALSE),Tools!$AD$3:$BC$27,MOD(ROW()-2,Max_WL_count)+2,FALSE),"")</f>
        <v/>
      </c>
      <c r="E424" s="435" t="str">
        <f>IFERROR(IF(ISNUMBER(D424),HLOOKUP(Tools!$BE$2,Tools!$BE$2:$BE$27,MOD(ROW()-2,Max_WL_count)+2,FALSE)*WLS,""),"")</f>
        <v/>
      </c>
      <c r="I424" s="431" t="str">
        <f t="shared" si="41"/>
        <v/>
      </c>
      <c r="J424" s="434" t="str">
        <f t="shared" si="37"/>
        <v/>
      </c>
      <c r="K424" s="437" t="str">
        <f>IFERROR(-LBP/2+HLOOKUP(Stn_WL,Tools!$AD$2:$AD$27,N424+2,FALSE)*STN_GAP,"")</f>
        <v/>
      </c>
      <c r="L424" s="437" t="str">
        <f>IFERROR(IF(AND(ISNUMBER(K424),O424=0),0,VLOOKUP(HLOOKUP(Stn_WL,Tools!$AD$2:$AD$27,N424+2,FALSE),Tools!$AD$3:$BC$27,O424+1,FALSE)),"")</f>
        <v/>
      </c>
      <c r="M424" s="437" t="str">
        <f>IFERROR(IF(ISNUMBER(L424),IF(O424=0,IFERROR(HLOOKUP(Tools!$BD$127,Tools!$BD$127:$BD$152,N424+2,FALSE)*1,0),HLOOKUP(Tools!$BE$2,Tools!$BE$2:$BE$27,O424+1,FALSE)*WLS),""),"")</f>
        <v/>
      </c>
      <c r="N424">
        <f t="shared" si="38"/>
        <v>32</v>
      </c>
      <c r="O424">
        <f t="shared" si="39"/>
        <v>6</v>
      </c>
    </row>
    <row r="425" spans="1:15" x14ac:dyDescent="0.25">
      <c r="A425" s="431" t="str">
        <f t="shared" si="40"/>
        <v/>
      </c>
      <c r="B425" s="434" t="str">
        <f t="shared" si="36"/>
        <v/>
      </c>
      <c r="C425" s="437" t="str">
        <f>IFERROR(-LBP/2+HLOOKUP(Stn_WL,Tools!$AD$2:$AD$27,QUOTIENT(ROW()-2,Max_WL_count)+2,FALSE)*STN_GAP,"")</f>
        <v/>
      </c>
      <c r="D425" s="437" t="str">
        <f>IFERROR(VLOOKUP(HLOOKUP(Stn_WL,Tools!$AD$2:$AD$27,QUOTIENT(ROW()-2,Max_WL_count)+2,FALSE),Tools!$AD$3:$BC$27,MOD(ROW()-2,Max_WL_count)+2,FALSE),"")</f>
        <v/>
      </c>
      <c r="E425" s="435" t="str">
        <f>IFERROR(IF(ISNUMBER(D425),HLOOKUP(Tools!$BE$2,Tools!$BE$2:$BE$27,MOD(ROW()-2,Max_WL_count)+2,FALSE)*WLS,""),"")</f>
        <v/>
      </c>
      <c r="I425" s="431" t="str">
        <f t="shared" si="41"/>
        <v/>
      </c>
      <c r="J425" s="434" t="str">
        <f t="shared" si="37"/>
        <v/>
      </c>
      <c r="K425" s="437" t="str">
        <f>IFERROR(-LBP/2+HLOOKUP(Stn_WL,Tools!$AD$2:$AD$27,N425+2,FALSE)*STN_GAP,"")</f>
        <v/>
      </c>
      <c r="L425" s="437" t="str">
        <f>IFERROR(IF(AND(ISNUMBER(K425),O425=0),0,VLOOKUP(HLOOKUP(Stn_WL,Tools!$AD$2:$AD$27,N425+2,FALSE),Tools!$AD$3:$BC$27,O425+1,FALSE)),"")</f>
        <v/>
      </c>
      <c r="M425" s="437" t="str">
        <f>IFERROR(IF(ISNUMBER(L425),IF(O425=0,IFERROR(HLOOKUP(Tools!$BD$127,Tools!$BD$127:$BD$152,N425+2,FALSE)*1,0),HLOOKUP(Tools!$BE$2,Tools!$BE$2:$BE$27,O425+1,FALSE)*WLS),""),"")</f>
        <v/>
      </c>
      <c r="N425">
        <f t="shared" si="38"/>
        <v>32</v>
      </c>
      <c r="O425">
        <f t="shared" si="39"/>
        <v>7</v>
      </c>
    </row>
    <row r="426" spans="1:15" x14ac:dyDescent="0.25">
      <c r="A426" s="431" t="str">
        <f t="shared" si="40"/>
        <v/>
      </c>
      <c r="B426" s="434" t="str">
        <f t="shared" si="36"/>
        <v/>
      </c>
      <c r="C426" s="437" t="str">
        <f>IFERROR(-LBP/2+HLOOKUP(Stn_WL,Tools!$AD$2:$AD$27,QUOTIENT(ROW()-2,Max_WL_count)+2,FALSE)*STN_GAP,"")</f>
        <v/>
      </c>
      <c r="D426" s="437" t="str">
        <f>IFERROR(VLOOKUP(HLOOKUP(Stn_WL,Tools!$AD$2:$AD$27,QUOTIENT(ROW()-2,Max_WL_count)+2,FALSE),Tools!$AD$3:$BC$27,MOD(ROW()-2,Max_WL_count)+2,FALSE),"")</f>
        <v/>
      </c>
      <c r="E426" s="435" t="str">
        <f>IFERROR(IF(ISNUMBER(D426),HLOOKUP(Tools!$BE$2,Tools!$BE$2:$BE$27,MOD(ROW()-2,Max_WL_count)+2,FALSE)*WLS,""),"")</f>
        <v/>
      </c>
      <c r="I426" s="431" t="str">
        <f t="shared" si="41"/>
        <v/>
      </c>
      <c r="J426" s="434" t="str">
        <f t="shared" si="37"/>
        <v/>
      </c>
      <c r="K426" s="437" t="str">
        <f>IFERROR(-LBP/2+HLOOKUP(Stn_WL,Tools!$AD$2:$AD$27,N426+2,FALSE)*STN_GAP,"")</f>
        <v/>
      </c>
      <c r="L426" s="437" t="str">
        <f>IFERROR(IF(AND(ISNUMBER(K426),O426=0),0,VLOOKUP(HLOOKUP(Stn_WL,Tools!$AD$2:$AD$27,N426+2,FALSE),Tools!$AD$3:$BC$27,O426+1,FALSE)),"")</f>
        <v/>
      </c>
      <c r="M426" s="437" t="str">
        <f>IFERROR(IF(ISNUMBER(L426),IF(O426=0,IFERROR(HLOOKUP(Tools!$BD$127,Tools!$BD$127:$BD$152,N426+2,FALSE)*1,0),HLOOKUP(Tools!$BE$2,Tools!$BE$2:$BE$27,O426+1,FALSE)*WLS),""),"")</f>
        <v/>
      </c>
      <c r="N426">
        <f t="shared" si="38"/>
        <v>32</v>
      </c>
      <c r="O426">
        <f t="shared" si="39"/>
        <v>8</v>
      </c>
    </row>
    <row r="427" spans="1:15" x14ac:dyDescent="0.25">
      <c r="A427" s="431" t="str">
        <f t="shared" si="40"/>
        <v/>
      </c>
      <c r="B427" s="434" t="str">
        <f t="shared" si="36"/>
        <v/>
      </c>
      <c r="C427" s="437" t="str">
        <f>IFERROR(-LBP/2+HLOOKUP(Stn_WL,Tools!$AD$2:$AD$27,QUOTIENT(ROW()-2,Max_WL_count)+2,FALSE)*STN_GAP,"")</f>
        <v/>
      </c>
      <c r="D427" s="437" t="str">
        <f>IFERROR(VLOOKUP(HLOOKUP(Stn_WL,Tools!$AD$2:$AD$27,QUOTIENT(ROW()-2,Max_WL_count)+2,FALSE),Tools!$AD$3:$BC$27,MOD(ROW()-2,Max_WL_count)+2,FALSE),"")</f>
        <v/>
      </c>
      <c r="E427" s="435" t="str">
        <f>IFERROR(IF(ISNUMBER(D427),HLOOKUP(Tools!$BE$2,Tools!$BE$2:$BE$27,MOD(ROW()-2,Max_WL_count)+2,FALSE)*WLS,""),"")</f>
        <v/>
      </c>
      <c r="I427" s="431" t="str">
        <f t="shared" si="41"/>
        <v/>
      </c>
      <c r="J427" s="434" t="str">
        <f t="shared" si="37"/>
        <v/>
      </c>
      <c r="K427" s="437" t="str">
        <f>IFERROR(-LBP/2+HLOOKUP(Stn_WL,Tools!$AD$2:$AD$27,N427+2,FALSE)*STN_GAP,"")</f>
        <v/>
      </c>
      <c r="L427" s="437" t="str">
        <f>IFERROR(IF(AND(ISNUMBER(K427),O427=0),0,VLOOKUP(HLOOKUP(Stn_WL,Tools!$AD$2:$AD$27,N427+2,FALSE),Tools!$AD$3:$BC$27,O427+1,FALSE)),"")</f>
        <v/>
      </c>
      <c r="M427" s="437" t="str">
        <f>IFERROR(IF(ISNUMBER(L427),IF(O427=0,IFERROR(HLOOKUP(Tools!$BD$127,Tools!$BD$127:$BD$152,N427+2,FALSE)*1,0),HLOOKUP(Tools!$BE$2,Tools!$BE$2:$BE$27,O427+1,FALSE)*WLS),""),"")</f>
        <v/>
      </c>
      <c r="N427">
        <f t="shared" si="38"/>
        <v>32</v>
      </c>
      <c r="O427">
        <f t="shared" si="39"/>
        <v>9</v>
      </c>
    </row>
    <row r="428" spans="1:15" x14ac:dyDescent="0.25">
      <c r="A428" s="431" t="str">
        <f t="shared" si="40"/>
        <v/>
      </c>
      <c r="B428" s="434" t="str">
        <f t="shared" si="36"/>
        <v/>
      </c>
      <c r="C428" s="437" t="str">
        <f>IFERROR(-LBP/2+HLOOKUP(Stn_WL,Tools!$AD$2:$AD$27,QUOTIENT(ROW()-2,Max_WL_count)+2,FALSE)*STN_GAP,"")</f>
        <v/>
      </c>
      <c r="D428" s="437" t="str">
        <f>IFERROR(VLOOKUP(HLOOKUP(Stn_WL,Tools!$AD$2:$AD$27,QUOTIENT(ROW()-2,Max_WL_count)+2,FALSE),Tools!$AD$3:$BC$27,MOD(ROW()-2,Max_WL_count)+2,FALSE),"")</f>
        <v/>
      </c>
      <c r="E428" s="435" t="str">
        <f>IFERROR(IF(ISNUMBER(D428),HLOOKUP(Tools!$BE$2,Tools!$BE$2:$BE$27,MOD(ROW()-2,Max_WL_count)+2,FALSE)*WLS,""),"")</f>
        <v/>
      </c>
      <c r="I428" s="431" t="str">
        <f t="shared" si="41"/>
        <v/>
      </c>
      <c r="J428" s="434" t="str">
        <f t="shared" si="37"/>
        <v/>
      </c>
      <c r="K428" s="437" t="str">
        <f>IFERROR(-LBP/2+HLOOKUP(Stn_WL,Tools!$AD$2:$AD$27,N428+2,FALSE)*STN_GAP,"")</f>
        <v/>
      </c>
      <c r="L428" s="437" t="str">
        <f>IFERROR(IF(AND(ISNUMBER(K428),O428=0),0,VLOOKUP(HLOOKUP(Stn_WL,Tools!$AD$2:$AD$27,N428+2,FALSE),Tools!$AD$3:$BC$27,O428+1,FALSE)),"")</f>
        <v/>
      </c>
      <c r="M428" s="437" t="str">
        <f>IFERROR(IF(ISNUMBER(L428),IF(O428=0,IFERROR(HLOOKUP(Tools!$BD$127,Tools!$BD$127:$BD$152,N428+2,FALSE)*1,0),HLOOKUP(Tools!$BE$2,Tools!$BE$2:$BE$27,O428+1,FALSE)*WLS),""),"")</f>
        <v/>
      </c>
      <c r="N428">
        <f t="shared" si="38"/>
        <v>32</v>
      </c>
      <c r="O428">
        <f t="shared" si="39"/>
        <v>10</v>
      </c>
    </row>
    <row r="429" spans="1:15" x14ac:dyDescent="0.25">
      <c r="A429" s="431" t="str">
        <f t="shared" si="40"/>
        <v/>
      </c>
      <c r="B429" s="434" t="str">
        <f t="shared" si="36"/>
        <v/>
      </c>
      <c r="C429" s="437" t="str">
        <f>IFERROR(-LBP/2+HLOOKUP(Stn_WL,Tools!$AD$2:$AD$27,QUOTIENT(ROW()-2,Max_WL_count)+2,FALSE)*STN_GAP,"")</f>
        <v/>
      </c>
      <c r="D429" s="437" t="str">
        <f>IFERROR(VLOOKUP(HLOOKUP(Stn_WL,Tools!$AD$2:$AD$27,QUOTIENT(ROW()-2,Max_WL_count)+2,FALSE),Tools!$AD$3:$BC$27,MOD(ROW()-2,Max_WL_count)+2,FALSE),"")</f>
        <v/>
      </c>
      <c r="E429" s="435" t="str">
        <f>IFERROR(IF(ISNUMBER(D429),HLOOKUP(Tools!$BE$2,Tools!$BE$2:$BE$27,MOD(ROW()-2,Max_WL_count)+2,FALSE)*WLS,""),"")</f>
        <v/>
      </c>
      <c r="I429" s="431" t="str">
        <f t="shared" si="41"/>
        <v/>
      </c>
      <c r="J429" s="434" t="str">
        <f t="shared" si="37"/>
        <v/>
      </c>
      <c r="K429" s="437" t="str">
        <f>IFERROR(-LBP/2+HLOOKUP(Stn_WL,Tools!$AD$2:$AD$27,N429+2,FALSE)*STN_GAP,"")</f>
        <v/>
      </c>
      <c r="L429" s="437" t="str">
        <f>IFERROR(IF(AND(ISNUMBER(K429),O429=0),0,VLOOKUP(HLOOKUP(Stn_WL,Tools!$AD$2:$AD$27,N429+2,FALSE),Tools!$AD$3:$BC$27,O429+1,FALSE)),"")</f>
        <v/>
      </c>
      <c r="M429" s="437" t="str">
        <f>IFERROR(IF(ISNUMBER(L429),IF(O429=0,IFERROR(HLOOKUP(Tools!$BD$127,Tools!$BD$127:$BD$152,N429+2,FALSE)*1,0),HLOOKUP(Tools!$BE$2,Tools!$BE$2:$BE$27,O429+1,FALSE)*WLS),""),"")</f>
        <v/>
      </c>
      <c r="N429">
        <f t="shared" si="38"/>
        <v>32</v>
      </c>
      <c r="O429">
        <f t="shared" si="39"/>
        <v>11</v>
      </c>
    </row>
    <row r="430" spans="1:15" x14ac:dyDescent="0.25">
      <c r="A430" s="431" t="str">
        <f t="shared" si="40"/>
        <v/>
      </c>
      <c r="B430" s="434" t="str">
        <f t="shared" si="36"/>
        <v/>
      </c>
      <c r="C430" s="437" t="str">
        <f>IFERROR(-LBP/2+HLOOKUP(Stn_WL,Tools!$AD$2:$AD$27,QUOTIENT(ROW()-2,Max_WL_count)+2,FALSE)*STN_GAP,"")</f>
        <v/>
      </c>
      <c r="D430" s="437" t="str">
        <f>IFERROR(VLOOKUP(HLOOKUP(Stn_WL,Tools!$AD$2:$AD$27,QUOTIENT(ROW()-2,Max_WL_count)+2,FALSE),Tools!$AD$3:$BC$27,MOD(ROW()-2,Max_WL_count)+2,FALSE),"")</f>
        <v/>
      </c>
      <c r="E430" s="435" t="str">
        <f>IFERROR(IF(ISNUMBER(D430),HLOOKUP(Tools!$BE$2,Tools!$BE$2:$BE$27,MOD(ROW()-2,Max_WL_count)+2,FALSE)*WLS,""),"")</f>
        <v/>
      </c>
      <c r="I430" s="431" t="str">
        <f t="shared" si="41"/>
        <v/>
      </c>
      <c r="J430" s="434" t="str">
        <f t="shared" si="37"/>
        <v/>
      </c>
      <c r="K430" s="437" t="str">
        <f>IFERROR(-LBP/2+HLOOKUP(Stn_WL,Tools!$AD$2:$AD$27,N430+2,FALSE)*STN_GAP,"")</f>
        <v/>
      </c>
      <c r="L430" s="437" t="str">
        <f>IFERROR(IF(AND(ISNUMBER(K430),O430=0),0,VLOOKUP(HLOOKUP(Stn_WL,Tools!$AD$2:$AD$27,N430+2,FALSE),Tools!$AD$3:$BC$27,O430+1,FALSE)),"")</f>
        <v/>
      </c>
      <c r="M430" s="437" t="str">
        <f>IFERROR(IF(ISNUMBER(L430),IF(O430=0,IFERROR(HLOOKUP(Tools!$BD$127,Tools!$BD$127:$BD$152,N430+2,FALSE)*1,0),HLOOKUP(Tools!$BE$2,Tools!$BE$2:$BE$27,O430+1,FALSE)*WLS),""),"")</f>
        <v/>
      </c>
      <c r="N430">
        <f t="shared" si="38"/>
        <v>32</v>
      </c>
      <c r="O430">
        <f t="shared" si="39"/>
        <v>12</v>
      </c>
    </row>
    <row r="431" spans="1:15" x14ac:dyDescent="0.25">
      <c r="A431" s="431" t="str">
        <f t="shared" si="40"/>
        <v/>
      </c>
      <c r="B431" s="434" t="str">
        <f t="shared" si="36"/>
        <v/>
      </c>
      <c r="C431" s="437" t="str">
        <f>IFERROR(-LBP/2+HLOOKUP(Stn_WL,Tools!$AD$2:$AD$27,QUOTIENT(ROW()-2,Max_WL_count)+2,FALSE)*STN_GAP,"")</f>
        <v/>
      </c>
      <c r="D431" s="437" t="str">
        <f>IFERROR(VLOOKUP(HLOOKUP(Stn_WL,Tools!$AD$2:$AD$27,QUOTIENT(ROW()-2,Max_WL_count)+2,FALSE),Tools!$AD$3:$BC$27,MOD(ROW()-2,Max_WL_count)+2,FALSE),"")</f>
        <v/>
      </c>
      <c r="E431" s="435" t="str">
        <f>IFERROR(IF(ISNUMBER(D431),HLOOKUP(Tools!$BE$2,Tools!$BE$2:$BE$27,MOD(ROW()-2,Max_WL_count)+2,FALSE)*WLS,""),"")</f>
        <v/>
      </c>
      <c r="I431" s="431" t="str">
        <f t="shared" si="41"/>
        <v/>
      </c>
      <c r="J431" s="434" t="str">
        <f t="shared" si="37"/>
        <v/>
      </c>
      <c r="K431" s="437" t="str">
        <f>IFERROR(-LBP/2+HLOOKUP(Stn_WL,Tools!$AD$2:$AD$27,N431+2,FALSE)*STN_GAP,"")</f>
        <v/>
      </c>
      <c r="L431" s="437" t="str">
        <f>IFERROR(IF(AND(ISNUMBER(K431),O431=0),0,VLOOKUP(HLOOKUP(Stn_WL,Tools!$AD$2:$AD$27,N431+2,FALSE),Tools!$AD$3:$BC$27,O431+1,FALSE)),"")</f>
        <v/>
      </c>
      <c r="M431" s="437" t="str">
        <f>IFERROR(IF(ISNUMBER(L431),IF(O431=0,IFERROR(HLOOKUP(Tools!$BD$127,Tools!$BD$127:$BD$152,N431+2,FALSE)*1,0),HLOOKUP(Tools!$BE$2,Tools!$BE$2:$BE$27,O431+1,FALSE)*WLS),""),"")</f>
        <v/>
      </c>
      <c r="N431">
        <f t="shared" si="38"/>
        <v>33</v>
      </c>
      <c r="O431">
        <f t="shared" si="39"/>
        <v>0</v>
      </c>
    </row>
    <row r="432" spans="1:15" x14ac:dyDescent="0.25">
      <c r="A432" s="431" t="str">
        <f t="shared" si="40"/>
        <v/>
      </c>
      <c r="B432" s="434" t="str">
        <f t="shared" si="36"/>
        <v/>
      </c>
      <c r="C432" s="437" t="str">
        <f>IFERROR(-LBP/2+HLOOKUP(Stn_WL,Tools!$AD$2:$AD$27,QUOTIENT(ROW()-2,Max_WL_count)+2,FALSE)*STN_GAP,"")</f>
        <v/>
      </c>
      <c r="D432" s="437" t="str">
        <f>IFERROR(VLOOKUP(HLOOKUP(Stn_WL,Tools!$AD$2:$AD$27,QUOTIENT(ROW()-2,Max_WL_count)+2,FALSE),Tools!$AD$3:$BC$27,MOD(ROW()-2,Max_WL_count)+2,FALSE),"")</f>
        <v/>
      </c>
      <c r="E432" s="435" t="str">
        <f>IFERROR(IF(ISNUMBER(D432),HLOOKUP(Tools!$BE$2,Tools!$BE$2:$BE$27,MOD(ROW()-2,Max_WL_count)+2,FALSE)*WLS,""),"")</f>
        <v/>
      </c>
      <c r="I432" s="431" t="str">
        <f t="shared" si="41"/>
        <v/>
      </c>
      <c r="J432" s="434" t="str">
        <f t="shared" si="37"/>
        <v/>
      </c>
      <c r="K432" s="437" t="str">
        <f>IFERROR(-LBP/2+HLOOKUP(Stn_WL,Tools!$AD$2:$AD$27,N432+2,FALSE)*STN_GAP,"")</f>
        <v/>
      </c>
      <c r="L432" s="437" t="str">
        <f>IFERROR(IF(AND(ISNUMBER(K432),O432=0),0,VLOOKUP(HLOOKUP(Stn_WL,Tools!$AD$2:$AD$27,N432+2,FALSE),Tools!$AD$3:$BC$27,O432+1,FALSE)),"")</f>
        <v/>
      </c>
      <c r="M432" s="437" t="str">
        <f>IFERROR(IF(ISNUMBER(L432),IF(O432=0,IFERROR(HLOOKUP(Tools!$BD$127,Tools!$BD$127:$BD$152,N432+2,FALSE)*1,0),HLOOKUP(Tools!$BE$2,Tools!$BE$2:$BE$27,O432+1,FALSE)*WLS),""),"")</f>
        <v/>
      </c>
      <c r="N432">
        <f t="shared" si="38"/>
        <v>33</v>
      </c>
      <c r="O432">
        <f t="shared" si="39"/>
        <v>1</v>
      </c>
    </row>
    <row r="433" spans="1:15" x14ac:dyDescent="0.25">
      <c r="A433" s="431" t="str">
        <f t="shared" si="40"/>
        <v/>
      </c>
      <c r="B433" s="434" t="str">
        <f t="shared" si="36"/>
        <v/>
      </c>
      <c r="C433" s="437" t="str">
        <f>IFERROR(-LBP/2+HLOOKUP(Stn_WL,Tools!$AD$2:$AD$27,QUOTIENT(ROW()-2,Max_WL_count)+2,FALSE)*STN_GAP,"")</f>
        <v/>
      </c>
      <c r="D433" s="437" t="str">
        <f>IFERROR(VLOOKUP(HLOOKUP(Stn_WL,Tools!$AD$2:$AD$27,QUOTIENT(ROW()-2,Max_WL_count)+2,FALSE),Tools!$AD$3:$BC$27,MOD(ROW()-2,Max_WL_count)+2,FALSE),"")</f>
        <v/>
      </c>
      <c r="E433" s="435" t="str">
        <f>IFERROR(IF(ISNUMBER(D433),HLOOKUP(Tools!$BE$2,Tools!$BE$2:$BE$27,MOD(ROW()-2,Max_WL_count)+2,FALSE)*WLS,""),"")</f>
        <v/>
      </c>
      <c r="I433" s="431" t="str">
        <f t="shared" si="41"/>
        <v/>
      </c>
      <c r="J433" s="434" t="str">
        <f t="shared" si="37"/>
        <v/>
      </c>
      <c r="K433" s="437" t="str">
        <f>IFERROR(-LBP/2+HLOOKUP(Stn_WL,Tools!$AD$2:$AD$27,N433+2,FALSE)*STN_GAP,"")</f>
        <v/>
      </c>
      <c r="L433" s="437" t="str">
        <f>IFERROR(IF(AND(ISNUMBER(K433),O433=0),0,VLOOKUP(HLOOKUP(Stn_WL,Tools!$AD$2:$AD$27,N433+2,FALSE),Tools!$AD$3:$BC$27,O433+1,FALSE)),"")</f>
        <v/>
      </c>
      <c r="M433" s="437" t="str">
        <f>IFERROR(IF(ISNUMBER(L433),IF(O433=0,IFERROR(HLOOKUP(Tools!$BD$127,Tools!$BD$127:$BD$152,N433+2,FALSE)*1,0),HLOOKUP(Tools!$BE$2,Tools!$BE$2:$BE$27,O433+1,FALSE)*WLS),""),"")</f>
        <v/>
      </c>
      <c r="N433">
        <f t="shared" si="38"/>
        <v>33</v>
      </c>
      <c r="O433">
        <f t="shared" si="39"/>
        <v>2</v>
      </c>
    </row>
    <row r="434" spans="1:15" x14ac:dyDescent="0.25">
      <c r="A434" s="431" t="str">
        <f t="shared" si="40"/>
        <v/>
      </c>
      <c r="B434" s="434" t="str">
        <f t="shared" si="36"/>
        <v/>
      </c>
      <c r="C434" s="437" t="str">
        <f>IFERROR(-LBP/2+HLOOKUP(Stn_WL,Tools!$AD$2:$AD$27,QUOTIENT(ROW()-2,Max_WL_count)+2,FALSE)*STN_GAP,"")</f>
        <v/>
      </c>
      <c r="D434" s="437" t="str">
        <f>IFERROR(VLOOKUP(HLOOKUP(Stn_WL,Tools!$AD$2:$AD$27,QUOTIENT(ROW()-2,Max_WL_count)+2,FALSE),Tools!$AD$3:$BC$27,MOD(ROW()-2,Max_WL_count)+2,FALSE),"")</f>
        <v/>
      </c>
      <c r="E434" s="435" t="str">
        <f>IFERROR(IF(ISNUMBER(D434),HLOOKUP(Tools!$BE$2,Tools!$BE$2:$BE$27,MOD(ROW()-2,Max_WL_count)+2,FALSE)*WLS,""),"")</f>
        <v/>
      </c>
      <c r="I434" s="431" t="str">
        <f t="shared" si="41"/>
        <v/>
      </c>
      <c r="J434" s="434" t="str">
        <f t="shared" si="37"/>
        <v/>
      </c>
      <c r="K434" s="437" t="str">
        <f>IFERROR(-LBP/2+HLOOKUP(Stn_WL,Tools!$AD$2:$AD$27,N434+2,FALSE)*STN_GAP,"")</f>
        <v/>
      </c>
      <c r="L434" s="437" t="str">
        <f>IFERROR(IF(AND(ISNUMBER(K434),O434=0),0,VLOOKUP(HLOOKUP(Stn_WL,Tools!$AD$2:$AD$27,N434+2,FALSE),Tools!$AD$3:$BC$27,O434+1,FALSE)),"")</f>
        <v/>
      </c>
      <c r="M434" s="437" t="str">
        <f>IFERROR(IF(ISNUMBER(L434),IF(O434=0,IFERROR(HLOOKUP(Tools!$BD$127,Tools!$BD$127:$BD$152,N434+2,FALSE)*1,0),HLOOKUP(Tools!$BE$2,Tools!$BE$2:$BE$27,O434+1,FALSE)*WLS),""),"")</f>
        <v/>
      </c>
      <c r="N434">
        <f t="shared" si="38"/>
        <v>33</v>
      </c>
      <c r="O434">
        <f t="shared" si="39"/>
        <v>3</v>
      </c>
    </row>
    <row r="435" spans="1:15" x14ac:dyDescent="0.25">
      <c r="A435" s="431" t="str">
        <f t="shared" si="40"/>
        <v/>
      </c>
      <c r="B435" s="434" t="str">
        <f t="shared" si="36"/>
        <v/>
      </c>
      <c r="C435" s="437" t="str">
        <f>IFERROR(-LBP/2+HLOOKUP(Stn_WL,Tools!$AD$2:$AD$27,QUOTIENT(ROW()-2,Max_WL_count)+2,FALSE)*STN_GAP,"")</f>
        <v/>
      </c>
      <c r="D435" s="437" t="str">
        <f>IFERROR(VLOOKUP(HLOOKUP(Stn_WL,Tools!$AD$2:$AD$27,QUOTIENT(ROW()-2,Max_WL_count)+2,FALSE),Tools!$AD$3:$BC$27,MOD(ROW()-2,Max_WL_count)+2,FALSE),"")</f>
        <v/>
      </c>
      <c r="E435" s="435" t="str">
        <f>IFERROR(IF(ISNUMBER(D435),HLOOKUP(Tools!$BE$2,Tools!$BE$2:$BE$27,MOD(ROW()-2,Max_WL_count)+2,FALSE)*WLS,""),"")</f>
        <v/>
      </c>
      <c r="I435" s="431" t="str">
        <f t="shared" si="41"/>
        <v/>
      </c>
      <c r="J435" s="434" t="str">
        <f t="shared" si="37"/>
        <v/>
      </c>
      <c r="K435" s="437" t="str">
        <f>IFERROR(-LBP/2+HLOOKUP(Stn_WL,Tools!$AD$2:$AD$27,N435+2,FALSE)*STN_GAP,"")</f>
        <v/>
      </c>
      <c r="L435" s="437" t="str">
        <f>IFERROR(IF(AND(ISNUMBER(K435),O435=0),0,VLOOKUP(HLOOKUP(Stn_WL,Tools!$AD$2:$AD$27,N435+2,FALSE),Tools!$AD$3:$BC$27,O435+1,FALSE)),"")</f>
        <v/>
      </c>
      <c r="M435" s="437" t="str">
        <f>IFERROR(IF(ISNUMBER(L435),IF(O435=0,IFERROR(HLOOKUP(Tools!$BD$127,Tools!$BD$127:$BD$152,N435+2,FALSE)*1,0),HLOOKUP(Tools!$BE$2,Tools!$BE$2:$BE$27,O435+1,FALSE)*WLS),""),"")</f>
        <v/>
      </c>
      <c r="N435">
        <f t="shared" si="38"/>
        <v>33</v>
      </c>
      <c r="O435">
        <f t="shared" si="39"/>
        <v>4</v>
      </c>
    </row>
    <row r="436" spans="1:15" x14ac:dyDescent="0.25">
      <c r="A436" s="431" t="str">
        <f t="shared" si="40"/>
        <v/>
      </c>
      <c r="B436" s="434" t="str">
        <f t="shared" si="36"/>
        <v/>
      </c>
      <c r="C436" s="437" t="str">
        <f>IFERROR(-LBP/2+HLOOKUP(Stn_WL,Tools!$AD$2:$AD$27,QUOTIENT(ROW()-2,Max_WL_count)+2,FALSE)*STN_GAP,"")</f>
        <v/>
      </c>
      <c r="D436" s="437" t="str">
        <f>IFERROR(VLOOKUP(HLOOKUP(Stn_WL,Tools!$AD$2:$AD$27,QUOTIENT(ROW()-2,Max_WL_count)+2,FALSE),Tools!$AD$3:$BC$27,MOD(ROW()-2,Max_WL_count)+2,FALSE),"")</f>
        <v/>
      </c>
      <c r="E436" s="435" t="str">
        <f>IFERROR(IF(ISNUMBER(D436),HLOOKUP(Tools!$BE$2,Tools!$BE$2:$BE$27,MOD(ROW()-2,Max_WL_count)+2,FALSE)*WLS,""),"")</f>
        <v/>
      </c>
      <c r="I436" s="431" t="str">
        <f t="shared" si="41"/>
        <v/>
      </c>
      <c r="J436" s="434" t="str">
        <f t="shared" si="37"/>
        <v/>
      </c>
      <c r="K436" s="437" t="str">
        <f>IFERROR(-LBP/2+HLOOKUP(Stn_WL,Tools!$AD$2:$AD$27,N436+2,FALSE)*STN_GAP,"")</f>
        <v/>
      </c>
      <c r="L436" s="437" t="str">
        <f>IFERROR(IF(AND(ISNUMBER(K436),O436=0),0,VLOOKUP(HLOOKUP(Stn_WL,Tools!$AD$2:$AD$27,N436+2,FALSE),Tools!$AD$3:$BC$27,O436+1,FALSE)),"")</f>
        <v/>
      </c>
      <c r="M436" s="437" t="str">
        <f>IFERROR(IF(ISNUMBER(L436),IF(O436=0,IFERROR(HLOOKUP(Tools!$BD$127,Tools!$BD$127:$BD$152,N436+2,FALSE)*1,0),HLOOKUP(Tools!$BE$2,Tools!$BE$2:$BE$27,O436+1,FALSE)*WLS),""),"")</f>
        <v/>
      </c>
      <c r="N436">
        <f t="shared" si="38"/>
        <v>33</v>
      </c>
      <c r="O436">
        <f t="shared" si="39"/>
        <v>5</v>
      </c>
    </row>
    <row r="437" spans="1:15" x14ac:dyDescent="0.25">
      <c r="A437" s="431" t="str">
        <f t="shared" si="40"/>
        <v/>
      </c>
      <c r="B437" s="434" t="str">
        <f t="shared" si="36"/>
        <v/>
      </c>
      <c r="C437" s="437" t="str">
        <f>IFERROR(-LBP/2+HLOOKUP(Stn_WL,Tools!$AD$2:$AD$27,QUOTIENT(ROW()-2,Max_WL_count)+2,FALSE)*STN_GAP,"")</f>
        <v/>
      </c>
      <c r="D437" s="437" t="str">
        <f>IFERROR(VLOOKUP(HLOOKUP(Stn_WL,Tools!$AD$2:$AD$27,QUOTIENT(ROW()-2,Max_WL_count)+2,FALSE),Tools!$AD$3:$BC$27,MOD(ROW()-2,Max_WL_count)+2,FALSE),"")</f>
        <v/>
      </c>
      <c r="E437" s="435" t="str">
        <f>IFERROR(IF(ISNUMBER(D437),HLOOKUP(Tools!$BE$2,Tools!$BE$2:$BE$27,MOD(ROW()-2,Max_WL_count)+2,FALSE)*WLS,""),"")</f>
        <v/>
      </c>
      <c r="I437" s="431" t="str">
        <f t="shared" si="41"/>
        <v/>
      </c>
      <c r="J437" s="434" t="str">
        <f t="shared" si="37"/>
        <v/>
      </c>
      <c r="K437" s="437" t="str">
        <f>IFERROR(-LBP/2+HLOOKUP(Stn_WL,Tools!$AD$2:$AD$27,N437+2,FALSE)*STN_GAP,"")</f>
        <v/>
      </c>
      <c r="L437" s="437" t="str">
        <f>IFERROR(IF(AND(ISNUMBER(K437),O437=0),0,VLOOKUP(HLOOKUP(Stn_WL,Tools!$AD$2:$AD$27,N437+2,FALSE),Tools!$AD$3:$BC$27,O437+1,FALSE)),"")</f>
        <v/>
      </c>
      <c r="M437" s="437" t="str">
        <f>IFERROR(IF(ISNUMBER(L437),IF(O437=0,IFERROR(HLOOKUP(Tools!$BD$127,Tools!$BD$127:$BD$152,N437+2,FALSE)*1,0),HLOOKUP(Tools!$BE$2,Tools!$BE$2:$BE$27,O437+1,FALSE)*WLS),""),"")</f>
        <v/>
      </c>
      <c r="N437">
        <f t="shared" si="38"/>
        <v>33</v>
      </c>
      <c r="O437">
        <f t="shared" si="39"/>
        <v>6</v>
      </c>
    </row>
    <row r="438" spans="1:15" x14ac:dyDescent="0.25">
      <c r="A438" s="431" t="str">
        <f t="shared" si="40"/>
        <v/>
      </c>
      <c r="B438" s="434" t="str">
        <f t="shared" si="36"/>
        <v/>
      </c>
      <c r="C438" s="437" t="str">
        <f>IFERROR(-LBP/2+HLOOKUP(Stn_WL,Tools!$AD$2:$AD$27,QUOTIENT(ROW()-2,Max_WL_count)+2,FALSE)*STN_GAP,"")</f>
        <v/>
      </c>
      <c r="D438" s="437" t="str">
        <f>IFERROR(VLOOKUP(HLOOKUP(Stn_WL,Tools!$AD$2:$AD$27,QUOTIENT(ROW()-2,Max_WL_count)+2,FALSE),Tools!$AD$3:$BC$27,MOD(ROW()-2,Max_WL_count)+2,FALSE),"")</f>
        <v/>
      </c>
      <c r="E438" s="435" t="str">
        <f>IFERROR(IF(ISNUMBER(D438),HLOOKUP(Tools!$BE$2,Tools!$BE$2:$BE$27,MOD(ROW()-2,Max_WL_count)+2,FALSE)*WLS,""),"")</f>
        <v/>
      </c>
      <c r="I438" s="431" t="str">
        <f t="shared" si="41"/>
        <v/>
      </c>
      <c r="J438" s="434" t="str">
        <f t="shared" si="37"/>
        <v/>
      </c>
      <c r="K438" s="437" t="str">
        <f>IFERROR(-LBP/2+HLOOKUP(Stn_WL,Tools!$AD$2:$AD$27,N438+2,FALSE)*STN_GAP,"")</f>
        <v/>
      </c>
      <c r="L438" s="437" t="str">
        <f>IFERROR(IF(AND(ISNUMBER(K438),O438=0),0,VLOOKUP(HLOOKUP(Stn_WL,Tools!$AD$2:$AD$27,N438+2,FALSE),Tools!$AD$3:$BC$27,O438+1,FALSE)),"")</f>
        <v/>
      </c>
      <c r="M438" s="437" t="str">
        <f>IFERROR(IF(ISNUMBER(L438),IF(O438=0,IFERROR(HLOOKUP(Tools!$BD$127,Tools!$BD$127:$BD$152,N438+2,FALSE)*1,0),HLOOKUP(Tools!$BE$2,Tools!$BE$2:$BE$27,O438+1,FALSE)*WLS),""),"")</f>
        <v/>
      </c>
      <c r="N438">
        <f t="shared" si="38"/>
        <v>33</v>
      </c>
      <c r="O438">
        <f t="shared" si="39"/>
        <v>7</v>
      </c>
    </row>
    <row r="439" spans="1:15" x14ac:dyDescent="0.25">
      <c r="A439" s="431" t="str">
        <f t="shared" si="40"/>
        <v/>
      </c>
      <c r="B439" s="434" t="str">
        <f t="shared" si="36"/>
        <v/>
      </c>
      <c r="C439" s="437" t="str">
        <f>IFERROR(-LBP/2+HLOOKUP(Stn_WL,Tools!$AD$2:$AD$27,QUOTIENT(ROW()-2,Max_WL_count)+2,FALSE)*STN_GAP,"")</f>
        <v/>
      </c>
      <c r="D439" s="437" t="str">
        <f>IFERROR(VLOOKUP(HLOOKUP(Stn_WL,Tools!$AD$2:$AD$27,QUOTIENT(ROW()-2,Max_WL_count)+2,FALSE),Tools!$AD$3:$BC$27,MOD(ROW()-2,Max_WL_count)+2,FALSE),"")</f>
        <v/>
      </c>
      <c r="E439" s="435" t="str">
        <f>IFERROR(IF(ISNUMBER(D439),HLOOKUP(Tools!$BE$2,Tools!$BE$2:$BE$27,MOD(ROW()-2,Max_WL_count)+2,FALSE)*WLS,""),"")</f>
        <v/>
      </c>
      <c r="I439" s="431" t="str">
        <f t="shared" si="41"/>
        <v/>
      </c>
      <c r="J439" s="434" t="str">
        <f t="shared" si="37"/>
        <v/>
      </c>
      <c r="K439" s="437" t="str">
        <f>IFERROR(-LBP/2+HLOOKUP(Stn_WL,Tools!$AD$2:$AD$27,N439+2,FALSE)*STN_GAP,"")</f>
        <v/>
      </c>
      <c r="L439" s="437" t="str">
        <f>IFERROR(IF(AND(ISNUMBER(K439),O439=0),0,VLOOKUP(HLOOKUP(Stn_WL,Tools!$AD$2:$AD$27,N439+2,FALSE),Tools!$AD$3:$BC$27,O439+1,FALSE)),"")</f>
        <v/>
      </c>
      <c r="M439" s="437" t="str">
        <f>IFERROR(IF(ISNUMBER(L439),IF(O439=0,IFERROR(HLOOKUP(Tools!$BD$127,Tools!$BD$127:$BD$152,N439+2,FALSE)*1,0),HLOOKUP(Tools!$BE$2,Tools!$BE$2:$BE$27,O439+1,FALSE)*WLS),""),"")</f>
        <v/>
      </c>
      <c r="N439">
        <f t="shared" si="38"/>
        <v>33</v>
      </c>
      <c r="O439">
        <f t="shared" si="39"/>
        <v>8</v>
      </c>
    </row>
    <row r="440" spans="1:15" x14ac:dyDescent="0.25">
      <c r="A440" s="431" t="str">
        <f t="shared" si="40"/>
        <v/>
      </c>
      <c r="B440" s="434" t="str">
        <f t="shared" si="36"/>
        <v/>
      </c>
      <c r="C440" s="437" t="str">
        <f>IFERROR(-LBP/2+HLOOKUP(Stn_WL,Tools!$AD$2:$AD$27,QUOTIENT(ROW()-2,Max_WL_count)+2,FALSE)*STN_GAP,"")</f>
        <v/>
      </c>
      <c r="D440" s="437" t="str">
        <f>IFERROR(VLOOKUP(HLOOKUP(Stn_WL,Tools!$AD$2:$AD$27,QUOTIENT(ROW()-2,Max_WL_count)+2,FALSE),Tools!$AD$3:$BC$27,MOD(ROW()-2,Max_WL_count)+2,FALSE),"")</f>
        <v/>
      </c>
      <c r="E440" s="435" t="str">
        <f>IFERROR(IF(ISNUMBER(D440),HLOOKUP(Tools!$BE$2,Tools!$BE$2:$BE$27,MOD(ROW()-2,Max_WL_count)+2,FALSE)*WLS,""),"")</f>
        <v/>
      </c>
      <c r="I440" s="431" t="str">
        <f t="shared" si="41"/>
        <v/>
      </c>
      <c r="J440" s="434" t="str">
        <f t="shared" si="37"/>
        <v/>
      </c>
      <c r="K440" s="437" t="str">
        <f>IFERROR(-LBP/2+HLOOKUP(Stn_WL,Tools!$AD$2:$AD$27,N440+2,FALSE)*STN_GAP,"")</f>
        <v/>
      </c>
      <c r="L440" s="437" t="str">
        <f>IFERROR(IF(AND(ISNUMBER(K440),O440=0),0,VLOOKUP(HLOOKUP(Stn_WL,Tools!$AD$2:$AD$27,N440+2,FALSE),Tools!$AD$3:$BC$27,O440+1,FALSE)),"")</f>
        <v/>
      </c>
      <c r="M440" s="437" t="str">
        <f>IFERROR(IF(ISNUMBER(L440),IF(O440=0,IFERROR(HLOOKUP(Tools!$BD$127,Tools!$BD$127:$BD$152,N440+2,FALSE)*1,0),HLOOKUP(Tools!$BE$2,Tools!$BE$2:$BE$27,O440+1,FALSE)*WLS),""),"")</f>
        <v/>
      </c>
      <c r="N440">
        <f t="shared" si="38"/>
        <v>33</v>
      </c>
      <c r="O440">
        <f t="shared" si="39"/>
        <v>9</v>
      </c>
    </row>
    <row r="441" spans="1:15" x14ac:dyDescent="0.25">
      <c r="A441" s="431" t="str">
        <f t="shared" si="40"/>
        <v/>
      </c>
      <c r="B441" s="434" t="str">
        <f t="shared" si="36"/>
        <v/>
      </c>
      <c r="C441" s="437" t="str">
        <f>IFERROR(-LBP/2+HLOOKUP(Stn_WL,Tools!$AD$2:$AD$27,QUOTIENT(ROW()-2,Max_WL_count)+2,FALSE)*STN_GAP,"")</f>
        <v/>
      </c>
      <c r="D441" s="437" t="str">
        <f>IFERROR(VLOOKUP(HLOOKUP(Stn_WL,Tools!$AD$2:$AD$27,QUOTIENT(ROW()-2,Max_WL_count)+2,FALSE),Tools!$AD$3:$BC$27,MOD(ROW()-2,Max_WL_count)+2,FALSE),"")</f>
        <v/>
      </c>
      <c r="E441" s="435" t="str">
        <f>IFERROR(IF(ISNUMBER(D441),HLOOKUP(Tools!$BE$2,Tools!$BE$2:$BE$27,MOD(ROW()-2,Max_WL_count)+2,FALSE)*WLS,""),"")</f>
        <v/>
      </c>
      <c r="I441" s="431" t="str">
        <f t="shared" si="41"/>
        <v/>
      </c>
      <c r="J441" s="434" t="str">
        <f t="shared" si="37"/>
        <v/>
      </c>
      <c r="K441" s="437" t="str">
        <f>IFERROR(-LBP/2+HLOOKUP(Stn_WL,Tools!$AD$2:$AD$27,N441+2,FALSE)*STN_GAP,"")</f>
        <v/>
      </c>
      <c r="L441" s="437" t="str">
        <f>IFERROR(IF(AND(ISNUMBER(K441),O441=0),0,VLOOKUP(HLOOKUP(Stn_WL,Tools!$AD$2:$AD$27,N441+2,FALSE),Tools!$AD$3:$BC$27,O441+1,FALSE)),"")</f>
        <v/>
      </c>
      <c r="M441" s="437" t="str">
        <f>IFERROR(IF(ISNUMBER(L441),IF(O441=0,IFERROR(HLOOKUP(Tools!$BD$127,Tools!$BD$127:$BD$152,N441+2,FALSE)*1,0),HLOOKUP(Tools!$BE$2,Tools!$BE$2:$BE$27,O441+1,FALSE)*WLS),""),"")</f>
        <v/>
      </c>
      <c r="N441">
        <f t="shared" si="38"/>
        <v>33</v>
      </c>
      <c r="O441">
        <f t="shared" si="39"/>
        <v>10</v>
      </c>
    </row>
    <row r="442" spans="1:15" x14ac:dyDescent="0.25">
      <c r="A442" s="431" t="str">
        <f t="shared" si="40"/>
        <v/>
      </c>
      <c r="B442" s="434" t="str">
        <f t="shared" si="36"/>
        <v/>
      </c>
      <c r="C442" s="437" t="str">
        <f>IFERROR(-LBP/2+HLOOKUP(Stn_WL,Tools!$AD$2:$AD$27,QUOTIENT(ROW()-2,Max_WL_count)+2,FALSE)*STN_GAP,"")</f>
        <v/>
      </c>
      <c r="D442" s="437" t="str">
        <f>IFERROR(VLOOKUP(HLOOKUP(Stn_WL,Tools!$AD$2:$AD$27,QUOTIENT(ROW()-2,Max_WL_count)+2,FALSE),Tools!$AD$3:$BC$27,MOD(ROW()-2,Max_WL_count)+2,FALSE),"")</f>
        <v/>
      </c>
      <c r="E442" s="435" t="str">
        <f>IFERROR(IF(ISNUMBER(D442),HLOOKUP(Tools!$BE$2,Tools!$BE$2:$BE$27,MOD(ROW()-2,Max_WL_count)+2,FALSE)*WLS,""),"")</f>
        <v/>
      </c>
      <c r="I442" s="431" t="str">
        <f t="shared" si="41"/>
        <v/>
      </c>
      <c r="J442" s="434" t="str">
        <f t="shared" si="37"/>
        <v/>
      </c>
      <c r="K442" s="437" t="str">
        <f>IFERROR(-LBP/2+HLOOKUP(Stn_WL,Tools!$AD$2:$AD$27,N442+2,FALSE)*STN_GAP,"")</f>
        <v/>
      </c>
      <c r="L442" s="437" t="str">
        <f>IFERROR(IF(AND(ISNUMBER(K442),O442=0),0,VLOOKUP(HLOOKUP(Stn_WL,Tools!$AD$2:$AD$27,N442+2,FALSE),Tools!$AD$3:$BC$27,O442+1,FALSE)),"")</f>
        <v/>
      </c>
      <c r="M442" s="437" t="str">
        <f>IFERROR(IF(ISNUMBER(L442),IF(O442=0,IFERROR(HLOOKUP(Tools!$BD$127,Tools!$BD$127:$BD$152,N442+2,FALSE)*1,0),HLOOKUP(Tools!$BE$2,Tools!$BE$2:$BE$27,O442+1,FALSE)*WLS),""),"")</f>
        <v/>
      </c>
      <c r="N442">
        <f t="shared" si="38"/>
        <v>33</v>
      </c>
      <c r="O442">
        <f t="shared" si="39"/>
        <v>11</v>
      </c>
    </row>
    <row r="443" spans="1:15" x14ac:dyDescent="0.25">
      <c r="A443" s="431" t="str">
        <f t="shared" si="40"/>
        <v/>
      </c>
      <c r="B443" s="434" t="str">
        <f t="shared" si="36"/>
        <v/>
      </c>
      <c r="C443" s="437" t="str">
        <f>IFERROR(-LBP/2+HLOOKUP(Stn_WL,Tools!$AD$2:$AD$27,QUOTIENT(ROW()-2,Max_WL_count)+2,FALSE)*STN_GAP,"")</f>
        <v/>
      </c>
      <c r="D443" s="437" t="str">
        <f>IFERROR(VLOOKUP(HLOOKUP(Stn_WL,Tools!$AD$2:$AD$27,QUOTIENT(ROW()-2,Max_WL_count)+2,FALSE),Tools!$AD$3:$BC$27,MOD(ROW()-2,Max_WL_count)+2,FALSE),"")</f>
        <v/>
      </c>
      <c r="E443" s="435" t="str">
        <f>IFERROR(IF(ISNUMBER(D443),HLOOKUP(Tools!$BE$2,Tools!$BE$2:$BE$27,MOD(ROW()-2,Max_WL_count)+2,FALSE)*WLS,""),"")</f>
        <v/>
      </c>
      <c r="I443" s="431" t="str">
        <f t="shared" si="41"/>
        <v/>
      </c>
      <c r="J443" s="434" t="str">
        <f t="shared" si="37"/>
        <v/>
      </c>
      <c r="K443" s="437" t="str">
        <f>IFERROR(-LBP/2+HLOOKUP(Stn_WL,Tools!$AD$2:$AD$27,N443+2,FALSE)*STN_GAP,"")</f>
        <v/>
      </c>
      <c r="L443" s="437" t="str">
        <f>IFERROR(IF(AND(ISNUMBER(K443),O443=0),0,VLOOKUP(HLOOKUP(Stn_WL,Tools!$AD$2:$AD$27,N443+2,FALSE),Tools!$AD$3:$BC$27,O443+1,FALSE)),"")</f>
        <v/>
      </c>
      <c r="M443" s="437" t="str">
        <f>IFERROR(IF(ISNUMBER(L443),IF(O443=0,IFERROR(HLOOKUP(Tools!$BD$127,Tools!$BD$127:$BD$152,N443+2,FALSE)*1,0),HLOOKUP(Tools!$BE$2,Tools!$BE$2:$BE$27,O443+1,FALSE)*WLS),""),"")</f>
        <v/>
      </c>
      <c r="N443">
        <f t="shared" si="38"/>
        <v>33</v>
      </c>
      <c r="O443">
        <f t="shared" si="39"/>
        <v>12</v>
      </c>
    </row>
    <row r="444" spans="1:15" x14ac:dyDescent="0.25">
      <c r="A444" s="431" t="str">
        <f t="shared" si="40"/>
        <v/>
      </c>
      <c r="B444" s="434" t="str">
        <f t="shared" si="36"/>
        <v/>
      </c>
      <c r="C444" s="437" t="str">
        <f>IFERROR(-LBP/2+HLOOKUP(Stn_WL,Tools!$AD$2:$AD$27,QUOTIENT(ROW()-2,Max_WL_count)+2,FALSE)*STN_GAP,"")</f>
        <v/>
      </c>
      <c r="D444" s="437" t="str">
        <f>IFERROR(VLOOKUP(HLOOKUP(Stn_WL,Tools!$AD$2:$AD$27,QUOTIENT(ROW()-2,Max_WL_count)+2,FALSE),Tools!$AD$3:$BC$27,MOD(ROW()-2,Max_WL_count)+2,FALSE),"")</f>
        <v/>
      </c>
      <c r="E444" s="435" t="str">
        <f>IFERROR(IF(ISNUMBER(D444),HLOOKUP(Tools!$BE$2,Tools!$BE$2:$BE$27,MOD(ROW()-2,Max_WL_count)+2,FALSE)*WLS,""),"")</f>
        <v/>
      </c>
      <c r="I444" s="431" t="str">
        <f t="shared" si="41"/>
        <v/>
      </c>
      <c r="J444" s="434" t="str">
        <f t="shared" si="37"/>
        <v/>
      </c>
      <c r="K444" s="437" t="str">
        <f>IFERROR(-LBP/2+HLOOKUP(Stn_WL,Tools!$AD$2:$AD$27,N444+2,FALSE)*STN_GAP,"")</f>
        <v/>
      </c>
      <c r="L444" s="437" t="str">
        <f>IFERROR(IF(AND(ISNUMBER(K444),O444=0),0,VLOOKUP(HLOOKUP(Stn_WL,Tools!$AD$2:$AD$27,N444+2,FALSE),Tools!$AD$3:$BC$27,O444+1,FALSE)),"")</f>
        <v/>
      </c>
      <c r="M444" s="437" t="str">
        <f>IFERROR(IF(ISNUMBER(L444),IF(O444=0,IFERROR(HLOOKUP(Tools!$BD$127,Tools!$BD$127:$BD$152,N444+2,FALSE)*1,0),HLOOKUP(Tools!$BE$2,Tools!$BE$2:$BE$27,O444+1,FALSE)*WLS),""),"")</f>
        <v/>
      </c>
      <c r="N444">
        <f t="shared" si="38"/>
        <v>34</v>
      </c>
      <c r="O444">
        <f t="shared" si="39"/>
        <v>0</v>
      </c>
    </row>
    <row r="445" spans="1:15" x14ac:dyDescent="0.25">
      <c r="A445" s="431" t="str">
        <f t="shared" si="40"/>
        <v/>
      </c>
      <c r="B445" s="434" t="str">
        <f t="shared" si="36"/>
        <v/>
      </c>
      <c r="C445" s="437" t="str">
        <f>IFERROR(-LBP/2+HLOOKUP(Stn_WL,Tools!$AD$2:$AD$27,QUOTIENT(ROW()-2,Max_WL_count)+2,FALSE)*STN_GAP,"")</f>
        <v/>
      </c>
      <c r="D445" s="437" t="str">
        <f>IFERROR(VLOOKUP(HLOOKUP(Stn_WL,Tools!$AD$2:$AD$27,QUOTIENT(ROW()-2,Max_WL_count)+2,FALSE),Tools!$AD$3:$BC$27,MOD(ROW()-2,Max_WL_count)+2,FALSE),"")</f>
        <v/>
      </c>
      <c r="E445" s="435" t="str">
        <f>IFERROR(IF(ISNUMBER(D445),HLOOKUP(Tools!$BE$2,Tools!$BE$2:$BE$27,MOD(ROW()-2,Max_WL_count)+2,FALSE)*WLS,""),"")</f>
        <v/>
      </c>
      <c r="I445" s="431" t="str">
        <f t="shared" si="41"/>
        <v/>
      </c>
      <c r="J445" s="434" t="str">
        <f t="shared" si="37"/>
        <v/>
      </c>
      <c r="K445" s="437" t="str">
        <f>IFERROR(-LBP/2+HLOOKUP(Stn_WL,Tools!$AD$2:$AD$27,N445+2,FALSE)*STN_GAP,"")</f>
        <v/>
      </c>
      <c r="L445" s="437" t="str">
        <f>IFERROR(IF(AND(ISNUMBER(K445),O445=0),0,VLOOKUP(HLOOKUP(Stn_WL,Tools!$AD$2:$AD$27,N445+2,FALSE),Tools!$AD$3:$BC$27,O445+1,FALSE)),"")</f>
        <v/>
      </c>
      <c r="M445" s="437" t="str">
        <f>IFERROR(IF(ISNUMBER(L445),IF(O445=0,IFERROR(HLOOKUP(Tools!$BD$127,Tools!$BD$127:$BD$152,N445+2,FALSE)*1,0),HLOOKUP(Tools!$BE$2,Tools!$BE$2:$BE$27,O445+1,FALSE)*WLS),""),"")</f>
        <v/>
      </c>
      <c r="N445">
        <f t="shared" si="38"/>
        <v>34</v>
      </c>
      <c r="O445">
        <f t="shared" si="39"/>
        <v>1</v>
      </c>
    </row>
    <row r="446" spans="1:15" x14ac:dyDescent="0.25">
      <c r="A446" s="431" t="str">
        <f t="shared" si="40"/>
        <v/>
      </c>
      <c r="B446" s="434" t="str">
        <f t="shared" si="36"/>
        <v/>
      </c>
      <c r="C446" s="437" t="str">
        <f>IFERROR(-LBP/2+HLOOKUP(Stn_WL,Tools!$AD$2:$AD$27,QUOTIENT(ROW()-2,Max_WL_count)+2,FALSE)*STN_GAP,"")</f>
        <v/>
      </c>
      <c r="D446" s="437" t="str">
        <f>IFERROR(VLOOKUP(HLOOKUP(Stn_WL,Tools!$AD$2:$AD$27,QUOTIENT(ROW()-2,Max_WL_count)+2,FALSE),Tools!$AD$3:$BC$27,MOD(ROW()-2,Max_WL_count)+2,FALSE),"")</f>
        <v/>
      </c>
      <c r="E446" s="435" t="str">
        <f>IFERROR(IF(ISNUMBER(D446),HLOOKUP(Tools!$BE$2,Tools!$BE$2:$BE$27,MOD(ROW()-2,Max_WL_count)+2,FALSE)*WLS,""),"")</f>
        <v/>
      </c>
      <c r="I446" s="431" t="str">
        <f t="shared" si="41"/>
        <v/>
      </c>
      <c r="J446" s="434" t="str">
        <f t="shared" si="37"/>
        <v/>
      </c>
      <c r="K446" s="437" t="str">
        <f>IFERROR(-LBP/2+HLOOKUP(Stn_WL,Tools!$AD$2:$AD$27,N446+2,FALSE)*STN_GAP,"")</f>
        <v/>
      </c>
      <c r="L446" s="437" t="str">
        <f>IFERROR(IF(AND(ISNUMBER(K446),O446=0),0,VLOOKUP(HLOOKUP(Stn_WL,Tools!$AD$2:$AD$27,N446+2,FALSE),Tools!$AD$3:$BC$27,O446+1,FALSE)),"")</f>
        <v/>
      </c>
      <c r="M446" s="437" t="str">
        <f>IFERROR(IF(ISNUMBER(L446),IF(O446=0,IFERROR(HLOOKUP(Tools!$BD$127,Tools!$BD$127:$BD$152,N446+2,FALSE)*1,0),HLOOKUP(Tools!$BE$2,Tools!$BE$2:$BE$27,O446+1,FALSE)*WLS),""),"")</f>
        <v/>
      </c>
      <c r="N446">
        <f t="shared" si="38"/>
        <v>34</v>
      </c>
      <c r="O446">
        <f t="shared" si="39"/>
        <v>2</v>
      </c>
    </row>
    <row r="447" spans="1:15" x14ac:dyDescent="0.25">
      <c r="A447" s="431" t="str">
        <f t="shared" si="40"/>
        <v/>
      </c>
      <c r="B447" s="434" t="str">
        <f t="shared" si="36"/>
        <v/>
      </c>
      <c r="C447" s="437" t="str">
        <f>IFERROR(-LBP/2+HLOOKUP(Stn_WL,Tools!$AD$2:$AD$27,QUOTIENT(ROW()-2,Max_WL_count)+2,FALSE)*STN_GAP,"")</f>
        <v/>
      </c>
      <c r="D447" s="437" t="str">
        <f>IFERROR(VLOOKUP(HLOOKUP(Stn_WL,Tools!$AD$2:$AD$27,QUOTIENT(ROW()-2,Max_WL_count)+2,FALSE),Tools!$AD$3:$BC$27,MOD(ROW()-2,Max_WL_count)+2,FALSE),"")</f>
        <v/>
      </c>
      <c r="E447" s="435" t="str">
        <f>IFERROR(IF(ISNUMBER(D447),HLOOKUP(Tools!$BE$2,Tools!$BE$2:$BE$27,MOD(ROW()-2,Max_WL_count)+2,FALSE)*WLS,""),"")</f>
        <v/>
      </c>
      <c r="I447" s="431" t="str">
        <f t="shared" si="41"/>
        <v/>
      </c>
      <c r="J447" s="434" t="str">
        <f t="shared" si="37"/>
        <v/>
      </c>
      <c r="K447" s="437" t="str">
        <f>IFERROR(-LBP/2+HLOOKUP(Stn_WL,Tools!$AD$2:$AD$27,N447+2,FALSE)*STN_GAP,"")</f>
        <v/>
      </c>
      <c r="L447" s="437" t="str">
        <f>IFERROR(IF(AND(ISNUMBER(K447),O447=0),0,VLOOKUP(HLOOKUP(Stn_WL,Tools!$AD$2:$AD$27,N447+2,FALSE),Tools!$AD$3:$BC$27,O447+1,FALSE)),"")</f>
        <v/>
      </c>
      <c r="M447" s="437" t="str">
        <f>IFERROR(IF(ISNUMBER(L447),IF(O447=0,IFERROR(HLOOKUP(Tools!$BD$127,Tools!$BD$127:$BD$152,N447+2,FALSE)*1,0),HLOOKUP(Tools!$BE$2,Tools!$BE$2:$BE$27,O447+1,FALSE)*WLS),""),"")</f>
        <v/>
      </c>
      <c r="N447">
        <f t="shared" si="38"/>
        <v>34</v>
      </c>
      <c r="O447">
        <f t="shared" si="39"/>
        <v>3</v>
      </c>
    </row>
    <row r="448" spans="1:15" x14ac:dyDescent="0.25">
      <c r="A448" s="431" t="str">
        <f t="shared" si="40"/>
        <v/>
      </c>
      <c r="B448" s="434" t="str">
        <f t="shared" si="36"/>
        <v/>
      </c>
      <c r="C448" s="437" t="str">
        <f>IFERROR(-LBP/2+HLOOKUP(Stn_WL,Tools!$AD$2:$AD$27,QUOTIENT(ROW()-2,Max_WL_count)+2,FALSE)*STN_GAP,"")</f>
        <v/>
      </c>
      <c r="D448" s="437" t="str">
        <f>IFERROR(VLOOKUP(HLOOKUP(Stn_WL,Tools!$AD$2:$AD$27,QUOTIENT(ROW()-2,Max_WL_count)+2,FALSE),Tools!$AD$3:$BC$27,MOD(ROW()-2,Max_WL_count)+2,FALSE),"")</f>
        <v/>
      </c>
      <c r="E448" s="435" t="str">
        <f>IFERROR(IF(ISNUMBER(D448),HLOOKUP(Tools!$BE$2,Tools!$BE$2:$BE$27,MOD(ROW()-2,Max_WL_count)+2,FALSE)*WLS,""),"")</f>
        <v/>
      </c>
      <c r="I448" s="431" t="str">
        <f t="shared" si="41"/>
        <v/>
      </c>
      <c r="J448" s="434" t="str">
        <f t="shared" si="37"/>
        <v/>
      </c>
      <c r="K448" s="437" t="str">
        <f>IFERROR(-LBP/2+HLOOKUP(Stn_WL,Tools!$AD$2:$AD$27,N448+2,FALSE)*STN_GAP,"")</f>
        <v/>
      </c>
      <c r="L448" s="437" t="str">
        <f>IFERROR(IF(AND(ISNUMBER(K448),O448=0),0,VLOOKUP(HLOOKUP(Stn_WL,Tools!$AD$2:$AD$27,N448+2,FALSE),Tools!$AD$3:$BC$27,O448+1,FALSE)),"")</f>
        <v/>
      </c>
      <c r="M448" s="437" t="str">
        <f>IFERROR(IF(ISNUMBER(L448),IF(O448=0,IFERROR(HLOOKUP(Tools!$BD$127,Tools!$BD$127:$BD$152,N448+2,FALSE)*1,0),HLOOKUP(Tools!$BE$2,Tools!$BE$2:$BE$27,O448+1,FALSE)*WLS),""),"")</f>
        <v/>
      </c>
      <c r="N448">
        <f t="shared" si="38"/>
        <v>34</v>
      </c>
      <c r="O448">
        <f t="shared" si="39"/>
        <v>4</v>
      </c>
    </row>
    <row r="449" spans="1:15" x14ac:dyDescent="0.25">
      <c r="A449" s="431" t="str">
        <f t="shared" si="40"/>
        <v/>
      </c>
      <c r="B449" s="434" t="str">
        <f t="shared" si="36"/>
        <v/>
      </c>
      <c r="C449" s="437" t="str">
        <f>IFERROR(-LBP/2+HLOOKUP(Stn_WL,Tools!$AD$2:$AD$27,QUOTIENT(ROW()-2,Max_WL_count)+2,FALSE)*STN_GAP,"")</f>
        <v/>
      </c>
      <c r="D449" s="437" t="str">
        <f>IFERROR(VLOOKUP(HLOOKUP(Stn_WL,Tools!$AD$2:$AD$27,QUOTIENT(ROW()-2,Max_WL_count)+2,FALSE),Tools!$AD$3:$BC$27,MOD(ROW()-2,Max_WL_count)+2,FALSE),"")</f>
        <v/>
      </c>
      <c r="E449" s="435" t="str">
        <f>IFERROR(IF(ISNUMBER(D449),HLOOKUP(Tools!$BE$2,Tools!$BE$2:$BE$27,MOD(ROW()-2,Max_WL_count)+2,FALSE)*WLS,""),"")</f>
        <v/>
      </c>
      <c r="I449" s="431" t="str">
        <f t="shared" si="41"/>
        <v/>
      </c>
      <c r="J449" s="434" t="str">
        <f t="shared" si="37"/>
        <v/>
      </c>
      <c r="K449" s="437" t="str">
        <f>IFERROR(-LBP/2+HLOOKUP(Stn_WL,Tools!$AD$2:$AD$27,N449+2,FALSE)*STN_GAP,"")</f>
        <v/>
      </c>
      <c r="L449" s="437" t="str">
        <f>IFERROR(IF(AND(ISNUMBER(K449),O449=0),0,VLOOKUP(HLOOKUP(Stn_WL,Tools!$AD$2:$AD$27,N449+2,FALSE),Tools!$AD$3:$BC$27,O449+1,FALSE)),"")</f>
        <v/>
      </c>
      <c r="M449" s="437" t="str">
        <f>IFERROR(IF(ISNUMBER(L449),IF(O449=0,IFERROR(HLOOKUP(Tools!$BD$127,Tools!$BD$127:$BD$152,N449+2,FALSE)*1,0),HLOOKUP(Tools!$BE$2,Tools!$BE$2:$BE$27,O449+1,FALSE)*WLS),""),"")</f>
        <v/>
      </c>
      <c r="N449">
        <f t="shared" si="38"/>
        <v>34</v>
      </c>
      <c r="O449">
        <f t="shared" si="39"/>
        <v>5</v>
      </c>
    </row>
    <row r="450" spans="1:15" x14ac:dyDescent="0.25">
      <c r="A450" s="431" t="str">
        <f t="shared" si="40"/>
        <v/>
      </c>
      <c r="B450" s="434" t="str">
        <f t="shared" ref="B450:B513" si="42">IFERROR(IF(ISNUMBER(D450),QUOTIENT(ROW()-2,Max_WL_count)+1,""),"")</f>
        <v/>
      </c>
      <c r="C450" s="437" t="str">
        <f>IFERROR(-LBP/2+HLOOKUP(Stn_WL,Tools!$AD$2:$AD$27,QUOTIENT(ROW()-2,Max_WL_count)+2,FALSE)*STN_GAP,"")</f>
        <v/>
      </c>
      <c r="D450" s="437" t="str">
        <f>IFERROR(VLOOKUP(HLOOKUP(Stn_WL,Tools!$AD$2:$AD$27,QUOTIENT(ROW()-2,Max_WL_count)+2,FALSE),Tools!$AD$3:$BC$27,MOD(ROW()-2,Max_WL_count)+2,FALSE),"")</f>
        <v/>
      </c>
      <c r="E450" s="435" t="str">
        <f>IFERROR(IF(ISNUMBER(D450),HLOOKUP(Tools!$BE$2,Tools!$BE$2:$BE$27,MOD(ROW()-2,Max_WL_count)+2,FALSE)*WLS,""),"")</f>
        <v/>
      </c>
      <c r="I450" s="431" t="str">
        <f t="shared" si="41"/>
        <v/>
      </c>
      <c r="J450" s="434" t="str">
        <f t="shared" ref="J450:J513" si="43">IFERROR(IF(ISNUMBER(L450),QUOTIENT(ROW()-2,Max_WL_count+1)+1,""),"")</f>
        <v/>
      </c>
      <c r="K450" s="437" t="str">
        <f>IFERROR(-LBP/2+HLOOKUP(Stn_WL,Tools!$AD$2:$AD$27,N450+2,FALSE)*STN_GAP,"")</f>
        <v/>
      </c>
      <c r="L450" s="437" t="str">
        <f>IFERROR(IF(AND(ISNUMBER(K450),O450=0),0,VLOOKUP(HLOOKUP(Stn_WL,Tools!$AD$2:$AD$27,N450+2,FALSE),Tools!$AD$3:$BC$27,O450+1,FALSE)),"")</f>
        <v/>
      </c>
      <c r="M450" s="437" t="str">
        <f>IFERROR(IF(ISNUMBER(L450),IF(O450=0,IFERROR(HLOOKUP(Tools!$BD$127,Tools!$BD$127:$BD$152,N450+2,FALSE)*1,0),HLOOKUP(Tools!$BE$2,Tools!$BE$2:$BE$27,O450+1,FALSE)*WLS),""),"")</f>
        <v/>
      </c>
      <c r="N450">
        <f t="shared" ref="N450:N513" si="44">QUOTIENT(ROW()-2,Max_WL_count+1)</f>
        <v>34</v>
      </c>
      <c r="O450">
        <f t="shared" ref="O450:O513" si="45">MOD(ROW()-2,Max_WL_count+1)</f>
        <v>6</v>
      </c>
    </row>
    <row r="451" spans="1:15" x14ac:dyDescent="0.25">
      <c r="A451" s="431" t="str">
        <f t="shared" ref="A451:A514" si="46">IF(ISNUMBER(D451),ROW()-1,"")</f>
        <v/>
      </c>
      <c r="B451" s="434" t="str">
        <f t="shared" si="42"/>
        <v/>
      </c>
      <c r="C451" s="437" t="str">
        <f>IFERROR(-LBP/2+HLOOKUP(Stn_WL,Tools!$AD$2:$AD$27,QUOTIENT(ROW()-2,Max_WL_count)+2,FALSE)*STN_GAP,"")</f>
        <v/>
      </c>
      <c r="D451" s="437" t="str">
        <f>IFERROR(VLOOKUP(HLOOKUP(Stn_WL,Tools!$AD$2:$AD$27,QUOTIENT(ROW()-2,Max_WL_count)+2,FALSE),Tools!$AD$3:$BC$27,MOD(ROW()-2,Max_WL_count)+2,FALSE),"")</f>
        <v/>
      </c>
      <c r="E451" s="435" t="str">
        <f>IFERROR(IF(ISNUMBER(D451),HLOOKUP(Tools!$BE$2,Tools!$BE$2:$BE$27,MOD(ROW()-2,Max_WL_count)+2,FALSE)*WLS,""),"")</f>
        <v/>
      </c>
      <c r="I451" s="431" t="str">
        <f t="shared" ref="I451:I514" si="47">IF(ISNUMBER(L451),ROW()-1,"")</f>
        <v/>
      </c>
      <c r="J451" s="434" t="str">
        <f t="shared" si="43"/>
        <v/>
      </c>
      <c r="K451" s="437" t="str">
        <f>IFERROR(-LBP/2+HLOOKUP(Stn_WL,Tools!$AD$2:$AD$27,N451+2,FALSE)*STN_GAP,"")</f>
        <v/>
      </c>
      <c r="L451" s="437" t="str">
        <f>IFERROR(IF(AND(ISNUMBER(K451),O451=0),0,VLOOKUP(HLOOKUP(Stn_WL,Tools!$AD$2:$AD$27,N451+2,FALSE),Tools!$AD$3:$BC$27,O451+1,FALSE)),"")</f>
        <v/>
      </c>
      <c r="M451" s="437" t="str">
        <f>IFERROR(IF(ISNUMBER(L451),IF(O451=0,IFERROR(HLOOKUP(Tools!$BD$127,Tools!$BD$127:$BD$152,N451+2,FALSE)*1,0),HLOOKUP(Tools!$BE$2,Tools!$BE$2:$BE$27,O451+1,FALSE)*WLS),""),"")</f>
        <v/>
      </c>
      <c r="N451">
        <f t="shared" si="44"/>
        <v>34</v>
      </c>
      <c r="O451">
        <f t="shared" si="45"/>
        <v>7</v>
      </c>
    </row>
    <row r="452" spans="1:15" x14ac:dyDescent="0.25">
      <c r="A452" s="431" t="str">
        <f t="shared" si="46"/>
        <v/>
      </c>
      <c r="B452" s="434" t="str">
        <f t="shared" si="42"/>
        <v/>
      </c>
      <c r="C452" s="437" t="str">
        <f>IFERROR(-LBP/2+HLOOKUP(Stn_WL,Tools!$AD$2:$AD$27,QUOTIENT(ROW()-2,Max_WL_count)+2,FALSE)*STN_GAP,"")</f>
        <v/>
      </c>
      <c r="D452" s="437" t="str">
        <f>IFERROR(VLOOKUP(HLOOKUP(Stn_WL,Tools!$AD$2:$AD$27,QUOTIENT(ROW()-2,Max_WL_count)+2,FALSE),Tools!$AD$3:$BC$27,MOD(ROW()-2,Max_WL_count)+2,FALSE),"")</f>
        <v/>
      </c>
      <c r="E452" s="435" t="str">
        <f>IFERROR(IF(ISNUMBER(D452),HLOOKUP(Tools!$BE$2,Tools!$BE$2:$BE$27,MOD(ROW()-2,Max_WL_count)+2,FALSE)*WLS,""),"")</f>
        <v/>
      </c>
      <c r="I452" s="431" t="str">
        <f t="shared" si="47"/>
        <v/>
      </c>
      <c r="J452" s="434" t="str">
        <f t="shared" si="43"/>
        <v/>
      </c>
      <c r="K452" s="437" t="str">
        <f>IFERROR(-LBP/2+HLOOKUP(Stn_WL,Tools!$AD$2:$AD$27,N452+2,FALSE)*STN_GAP,"")</f>
        <v/>
      </c>
      <c r="L452" s="437" t="str">
        <f>IFERROR(IF(AND(ISNUMBER(K452),O452=0),0,VLOOKUP(HLOOKUP(Stn_WL,Tools!$AD$2:$AD$27,N452+2,FALSE),Tools!$AD$3:$BC$27,O452+1,FALSE)),"")</f>
        <v/>
      </c>
      <c r="M452" s="437" t="str">
        <f>IFERROR(IF(ISNUMBER(L452),IF(O452=0,IFERROR(HLOOKUP(Tools!$BD$127,Tools!$BD$127:$BD$152,N452+2,FALSE)*1,0),HLOOKUP(Tools!$BE$2,Tools!$BE$2:$BE$27,O452+1,FALSE)*WLS),""),"")</f>
        <v/>
      </c>
      <c r="N452">
        <f t="shared" si="44"/>
        <v>34</v>
      </c>
      <c r="O452">
        <f t="shared" si="45"/>
        <v>8</v>
      </c>
    </row>
    <row r="453" spans="1:15" x14ac:dyDescent="0.25">
      <c r="A453" s="431" t="str">
        <f t="shared" si="46"/>
        <v/>
      </c>
      <c r="B453" s="434" t="str">
        <f t="shared" si="42"/>
        <v/>
      </c>
      <c r="C453" s="437" t="str">
        <f>IFERROR(-LBP/2+HLOOKUP(Stn_WL,Tools!$AD$2:$AD$27,QUOTIENT(ROW()-2,Max_WL_count)+2,FALSE)*STN_GAP,"")</f>
        <v/>
      </c>
      <c r="D453" s="437" t="str">
        <f>IFERROR(VLOOKUP(HLOOKUP(Stn_WL,Tools!$AD$2:$AD$27,QUOTIENT(ROW()-2,Max_WL_count)+2,FALSE),Tools!$AD$3:$BC$27,MOD(ROW()-2,Max_WL_count)+2,FALSE),"")</f>
        <v/>
      </c>
      <c r="E453" s="435" t="str">
        <f>IFERROR(IF(ISNUMBER(D453),HLOOKUP(Tools!$BE$2,Tools!$BE$2:$BE$27,MOD(ROW()-2,Max_WL_count)+2,FALSE)*WLS,""),"")</f>
        <v/>
      </c>
      <c r="I453" s="431" t="str">
        <f t="shared" si="47"/>
        <v/>
      </c>
      <c r="J453" s="434" t="str">
        <f t="shared" si="43"/>
        <v/>
      </c>
      <c r="K453" s="437" t="str">
        <f>IFERROR(-LBP/2+HLOOKUP(Stn_WL,Tools!$AD$2:$AD$27,N453+2,FALSE)*STN_GAP,"")</f>
        <v/>
      </c>
      <c r="L453" s="437" t="str">
        <f>IFERROR(IF(AND(ISNUMBER(K453),O453=0),0,VLOOKUP(HLOOKUP(Stn_WL,Tools!$AD$2:$AD$27,N453+2,FALSE),Tools!$AD$3:$BC$27,O453+1,FALSE)),"")</f>
        <v/>
      </c>
      <c r="M453" s="437" t="str">
        <f>IFERROR(IF(ISNUMBER(L453),IF(O453=0,IFERROR(HLOOKUP(Tools!$BD$127,Tools!$BD$127:$BD$152,N453+2,FALSE)*1,0),HLOOKUP(Tools!$BE$2,Tools!$BE$2:$BE$27,O453+1,FALSE)*WLS),""),"")</f>
        <v/>
      </c>
      <c r="N453">
        <f t="shared" si="44"/>
        <v>34</v>
      </c>
      <c r="O453">
        <f t="shared" si="45"/>
        <v>9</v>
      </c>
    </row>
    <row r="454" spans="1:15" x14ac:dyDescent="0.25">
      <c r="A454" s="431" t="str">
        <f t="shared" si="46"/>
        <v/>
      </c>
      <c r="B454" s="434" t="str">
        <f t="shared" si="42"/>
        <v/>
      </c>
      <c r="C454" s="437" t="str">
        <f>IFERROR(-LBP/2+HLOOKUP(Stn_WL,Tools!$AD$2:$AD$27,QUOTIENT(ROW()-2,Max_WL_count)+2,FALSE)*STN_GAP,"")</f>
        <v/>
      </c>
      <c r="D454" s="437" t="str">
        <f>IFERROR(VLOOKUP(HLOOKUP(Stn_WL,Tools!$AD$2:$AD$27,QUOTIENT(ROW()-2,Max_WL_count)+2,FALSE),Tools!$AD$3:$BC$27,MOD(ROW()-2,Max_WL_count)+2,FALSE),"")</f>
        <v/>
      </c>
      <c r="E454" s="435" t="str">
        <f>IFERROR(IF(ISNUMBER(D454),HLOOKUP(Tools!$BE$2,Tools!$BE$2:$BE$27,MOD(ROW()-2,Max_WL_count)+2,FALSE)*WLS,""),"")</f>
        <v/>
      </c>
      <c r="I454" s="431" t="str">
        <f t="shared" si="47"/>
        <v/>
      </c>
      <c r="J454" s="434" t="str">
        <f t="shared" si="43"/>
        <v/>
      </c>
      <c r="K454" s="437" t="str">
        <f>IFERROR(-LBP/2+HLOOKUP(Stn_WL,Tools!$AD$2:$AD$27,N454+2,FALSE)*STN_GAP,"")</f>
        <v/>
      </c>
      <c r="L454" s="437" t="str">
        <f>IFERROR(IF(AND(ISNUMBER(K454),O454=0),0,VLOOKUP(HLOOKUP(Stn_WL,Tools!$AD$2:$AD$27,N454+2,FALSE),Tools!$AD$3:$BC$27,O454+1,FALSE)),"")</f>
        <v/>
      </c>
      <c r="M454" s="437" t="str">
        <f>IFERROR(IF(ISNUMBER(L454),IF(O454=0,IFERROR(HLOOKUP(Tools!$BD$127,Tools!$BD$127:$BD$152,N454+2,FALSE)*1,0),HLOOKUP(Tools!$BE$2,Tools!$BE$2:$BE$27,O454+1,FALSE)*WLS),""),"")</f>
        <v/>
      </c>
      <c r="N454">
        <f t="shared" si="44"/>
        <v>34</v>
      </c>
      <c r="O454">
        <f t="shared" si="45"/>
        <v>10</v>
      </c>
    </row>
    <row r="455" spans="1:15" x14ac:dyDescent="0.25">
      <c r="A455" s="431" t="str">
        <f t="shared" si="46"/>
        <v/>
      </c>
      <c r="B455" s="434" t="str">
        <f t="shared" si="42"/>
        <v/>
      </c>
      <c r="C455" s="437" t="str">
        <f>IFERROR(-LBP/2+HLOOKUP(Stn_WL,Tools!$AD$2:$AD$27,QUOTIENT(ROW()-2,Max_WL_count)+2,FALSE)*STN_GAP,"")</f>
        <v/>
      </c>
      <c r="D455" s="437" t="str">
        <f>IFERROR(VLOOKUP(HLOOKUP(Stn_WL,Tools!$AD$2:$AD$27,QUOTIENT(ROW()-2,Max_WL_count)+2,FALSE),Tools!$AD$3:$BC$27,MOD(ROW()-2,Max_WL_count)+2,FALSE),"")</f>
        <v/>
      </c>
      <c r="E455" s="435" t="str">
        <f>IFERROR(IF(ISNUMBER(D455),HLOOKUP(Tools!$BE$2,Tools!$BE$2:$BE$27,MOD(ROW()-2,Max_WL_count)+2,FALSE)*WLS,""),"")</f>
        <v/>
      </c>
      <c r="I455" s="431" t="str">
        <f t="shared" si="47"/>
        <v/>
      </c>
      <c r="J455" s="434" t="str">
        <f t="shared" si="43"/>
        <v/>
      </c>
      <c r="K455" s="437" t="str">
        <f>IFERROR(-LBP/2+HLOOKUP(Stn_WL,Tools!$AD$2:$AD$27,N455+2,FALSE)*STN_GAP,"")</f>
        <v/>
      </c>
      <c r="L455" s="437" t="str">
        <f>IFERROR(IF(AND(ISNUMBER(K455),O455=0),0,VLOOKUP(HLOOKUP(Stn_WL,Tools!$AD$2:$AD$27,N455+2,FALSE),Tools!$AD$3:$BC$27,O455+1,FALSE)),"")</f>
        <v/>
      </c>
      <c r="M455" s="437" t="str">
        <f>IFERROR(IF(ISNUMBER(L455),IF(O455=0,IFERROR(HLOOKUP(Tools!$BD$127,Tools!$BD$127:$BD$152,N455+2,FALSE)*1,0),HLOOKUP(Tools!$BE$2,Tools!$BE$2:$BE$27,O455+1,FALSE)*WLS),""),"")</f>
        <v/>
      </c>
      <c r="N455">
        <f t="shared" si="44"/>
        <v>34</v>
      </c>
      <c r="O455">
        <f t="shared" si="45"/>
        <v>11</v>
      </c>
    </row>
    <row r="456" spans="1:15" x14ac:dyDescent="0.25">
      <c r="A456" s="431" t="str">
        <f t="shared" si="46"/>
        <v/>
      </c>
      <c r="B456" s="434" t="str">
        <f t="shared" si="42"/>
        <v/>
      </c>
      <c r="C456" s="437" t="str">
        <f>IFERROR(-LBP/2+HLOOKUP(Stn_WL,Tools!$AD$2:$AD$27,QUOTIENT(ROW()-2,Max_WL_count)+2,FALSE)*STN_GAP,"")</f>
        <v/>
      </c>
      <c r="D456" s="437" t="str">
        <f>IFERROR(VLOOKUP(HLOOKUP(Stn_WL,Tools!$AD$2:$AD$27,QUOTIENT(ROW()-2,Max_WL_count)+2,FALSE),Tools!$AD$3:$BC$27,MOD(ROW()-2,Max_WL_count)+2,FALSE),"")</f>
        <v/>
      </c>
      <c r="E456" s="435" t="str">
        <f>IFERROR(IF(ISNUMBER(D456),HLOOKUP(Tools!$BE$2,Tools!$BE$2:$BE$27,MOD(ROW()-2,Max_WL_count)+2,FALSE)*WLS,""),"")</f>
        <v/>
      </c>
      <c r="I456" s="431" t="str">
        <f t="shared" si="47"/>
        <v/>
      </c>
      <c r="J456" s="434" t="str">
        <f t="shared" si="43"/>
        <v/>
      </c>
      <c r="K456" s="437" t="str">
        <f>IFERROR(-LBP/2+HLOOKUP(Stn_WL,Tools!$AD$2:$AD$27,N456+2,FALSE)*STN_GAP,"")</f>
        <v/>
      </c>
      <c r="L456" s="437" t="str">
        <f>IFERROR(IF(AND(ISNUMBER(K456),O456=0),0,VLOOKUP(HLOOKUP(Stn_WL,Tools!$AD$2:$AD$27,N456+2,FALSE),Tools!$AD$3:$BC$27,O456+1,FALSE)),"")</f>
        <v/>
      </c>
      <c r="M456" s="437" t="str">
        <f>IFERROR(IF(ISNUMBER(L456),IF(O456=0,IFERROR(HLOOKUP(Tools!$BD$127,Tools!$BD$127:$BD$152,N456+2,FALSE)*1,0),HLOOKUP(Tools!$BE$2,Tools!$BE$2:$BE$27,O456+1,FALSE)*WLS),""),"")</f>
        <v/>
      </c>
      <c r="N456">
        <f t="shared" si="44"/>
        <v>34</v>
      </c>
      <c r="O456">
        <f t="shared" si="45"/>
        <v>12</v>
      </c>
    </row>
    <row r="457" spans="1:15" x14ac:dyDescent="0.25">
      <c r="A457" s="431" t="str">
        <f t="shared" si="46"/>
        <v/>
      </c>
      <c r="B457" s="434" t="str">
        <f t="shared" si="42"/>
        <v/>
      </c>
      <c r="C457" s="437" t="str">
        <f>IFERROR(-LBP/2+HLOOKUP(Stn_WL,Tools!$AD$2:$AD$27,QUOTIENT(ROW()-2,Max_WL_count)+2,FALSE)*STN_GAP,"")</f>
        <v/>
      </c>
      <c r="D457" s="437" t="str">
        <f>IFERROR(VLOOKUP(HLOOKUP(Stn_WL,Tools!$AD$2:$AD$27,QUOTIENT(ROW()-2,Max_WL_count)+2,FALSE),Tools!$AD$3:$BC$27,MOD(ROW()-2,Max_WL_count)+2,FALSE),"")</f>
        <v/>
      </c>
      <c r="E457" s="435" t="str">
        <f>IFERROR(IF(ISNUMBER(D457),HLOOKUP(Tools!$BE$2,Tools!$BE$2:$BE$27,MOD(ROW()-2,Max_WL_count)+2,FALSE)*WLS,""),"")</f>
        <v/>
      </c>
      <c r="I457" s="431" t="str">
        <f t="shared" si="47"/>
        <v/>
      </c>
      <c r="J457" s="434" t="str">
        <f t="shared" si="43"/>
        <v/>
      </c>
      <c r="K457" s="437" t="str">
        <f>IFERROR(-LBP/2+HLOOKUP(Stn_WL,Tools!$AD$2:$AD$27,N457+2,FALSE)*STN_GAP,"")</f>
        <v/>
      </c>
      <c r="L457" s="437" t="str">
        <f>IFERROR(IF(AND(ISNUMBER(K457),O457=0),0,VLOOKUP(HLOOKUP(Stn_WL,Tools!$AD$2:$AD$27,N457+2,FALSE),Tools!$AD$3:$BC$27,O457+1,FALSE)),"")</f>
        <v/>
      </c>
      <c r="M457" s="437" t="str">
        <f>IFERROR(IF(ISNUMBER(L457),IF(O457=0,IFERROR(HLOOKUP(Tools!$BD$127,Tools!$BD$127:$BD$152,N457+2,FALSE)*1,0),HLOOKUP(Tools!$BE$2,Tools!$BE$2:$BE$27,O457+1,FALSE)*WLS),""),"")</f>
        <v/>
      </c>
      <c r="N457">
        <f t="shared" si="44"/>
        <v>35</v>
      </c>
      <c r="O457">
        <f t="shared" si="45"/>
        <v>0</v>
      </c>
    </row>
    <row r="458" spans="1:15" x14ac:dyDescent="0.25">
      <c r="A458" s="431" t="str">
        <f t="shared" si="46"/>
        <v/>
      </c>
      <c r="B458" s="434" t="str">
        <f t="shared" si="42"/>
        <v/>
      </c>
      <c r="C458" s="437" t="str">
        <f>IFERROR(-LBP/2+HLOOKUP(Stn_WL,Tools!$AD$2:$AD$27,QUOTIENT(ROW()-2,Max_WL_count)+2,FALSE)*STN_GAP,"")</f>
        <v/>
      </c>
      <c r="D458" s="437" t="str">
        <f>IFERROR(VLOOKUP(HLOOKUP(Stn_WL,Tools!$AD$2:$AD$27,QUOTIENT(ROW()-2,Max_WL_count)+2,FALSE),Tools!$AD$3:$BC$27,MOD(ROW()-2,Max_WL_count)+2,FALSE),"")</f>
        <v/>
      </c>
      <c r="E458" s="435" t="str">
        <f>IFERROR(IF(ISNUMBER(D458),HLOOKUP(Tools!$BE$2,Tools!$BE$2:$BE$27,MOD(ROW()-2,Max_WL_count)+2,FALSE)*WLS,""),"")</f>
        <v/>
      </c>
      <c r="I458" s="431" t="str">
        <f t="shared" si="47"/>
        <v/>
      </c>
      <c r="J458" s="434" t="str">
        <f t="shared" si="43"/>
        <v/>
      </c>
      <c r="K458" s="437" t="str">
        <f>IFERROR(-LBP/2+HLOOKUP(Stn_WL,Tools!$AD$2:$AD$27,N458+2,FALSE)*STN_GAP,"")</f>
        <v/>
      </c>
      <c r="L458" s="437" t="str">
        <f>IFERROR(IF(AND(ISNUMBER(K458),O458=0),0,VLOOKUP(HLOOKUP(Stn_WL,Tools!$AD$2:$AD$27,N458+2,FALSE),Tools!$AD$3:$BC$27,O458+1,FALSE)),"")</f>
        <v/>
      </c>
      <c r="M458" s="437" t="str">
        <f>IFERROR(IF(ISNUMBER(L458),IF(O458=0,IFERROR(HLOOKUP(Tools!$BD$127,Tools!$BD$127:$BD$152,N458+2,FALSE)*1,0),HLOOKUP(Tools!$BE$2,Tools!$BE$2:$BE$27,O458+1,FALSE)*WLS),""),"")</f>
        <v/>
      </c>
      <c r="N458">
        <f t="shared" si="44"/>
        <v>35</v>
      </c>
      <c r="O458">
        <f t="shared" si="45"/>
        <v>1</v>
      </c>
    </row>
    <row r="459" spans="1:15" x14ac:dyDescent="0.25">
      <c r="A459" s="431" t="str">
        <f t="shared" si="46"/>
        <v/>
      </c>
      <c r="B459" s="434" t="str">
        <f t="shared" si="42"/>
        <v/>
      </c>
      <c r="C459" s="437" t="str">
        <f>IFERROR(-LBP/2+HLOOKUP(Stn_WL,Tools!$AD$2:$AD$27,QUOTIENT(ROW()-2,Max_WL_count)+2,FALSE)*STN_GAP,"")</f>
        <v/>
      </c>
      <c r="D459" s="437" t="str">
        <f>IFERROR(VLOOKUP(HLOOKUP(Stn_WL,Tools!$AD$2:$AD$27,QUOTIENT(ROW()-2,Max_WL_count)+2,FALSE),Tools!$AD$3:$BC$27,MOD(ROW()-2,Max_WL_count)+2,FALSE),"")</f>
        <v/>
      </c>
      <c r="E459" s="435" t="str">
        <f>IFERROR(IF(ISNUMBER(D459),HLOOKUP(Tools!$BE$2,Tools!$BE$2:$BE$27,MOD(ROW()-2,Max_WL_count)+2,FALSE)*WLS,""),"")</f>
        <v/>
      </c>
      <c r="I459" s="431" t="str">
        <f t="shared" si="47"/>
        <v/>
      </c>
      <c r="J459" s="434" t="str">
        <f t="shared" si="43"/>
        <v/>
      </c>
      <c r="K459" s="437" t="str">
        <f>IFERROR(-LBP/2+HLOOKUP(Stn_WL,Tools!$AD$2:$AD$27,N459+2,FALSE)*STN_GAP,"")</f>
        <v/>
      </c>
      <c r="L459" s="437" t="str">
        <f>IFERROR(IF(AND(ISNUMBER(K459),O459=0),0,VLOOKUP(HLOOKUP(Stn_WL,Tools!$AD$2:$AD$27,N459+2,FALSE),Tools!$AD$3:$BC$27,O459+1,FALSE)),"")</f>
        <v/>
      </c>
      <c r="M459" s="437" t="str">
        <f>IFERROR(IF(ISNUMBER(L459),IF(O459=0,IFERROR(HLOOKUP(Tools!$BD$127,Tools!$BD$127:$BD$152,N459+2,FALSE)*1,0),HLOOKUP(Tools!$BE$2,Tools!$BE$2:$BE$27,O459+1,FALSE)*WLS),""),"")</f>
        <v/>
      </c>
      <c r="N459">
        <f t="shared" si="44"/>
        <v>35</v>
      </c>
      <c r="O459">
        <f t="shared" si="45"/>
        <v>2</v>
      </c>
    </row>
    <row r="460" spans="1:15" x14ac:dyDescent="0.25">
      <c r="A460" s="431" t="str">
        <f t="shared" si="46"/>
        <v/>
      </c>
      <c r="B460" s="434" t="str">
        <f t="shared" si="42"/>
        <v/>
      </c>
      <c r="C460" s="437" t="str">
        <f>IFERROR(-LBP/2+HLOOKUP(Stn_WL,Tools!$AD$2:$AD$27,QUOTIENT(ROW()-2,Max_WL_count)+2,FALSE)*STN_GAP,"")</f>
        <v/>
      </c>
      <c r="D460" s="437" t="str">
        <f>IFERROR(VLOOKUP(HLOOKUP(Stn_WL,Tools!$AD$2:$AD$27,QUOTIENT(ROW()-2,Max_WL_count)+2,FALSE),Tools!$AD$3:$BC$27,MOD(ROW()-2,Max_WL_count)+2,FALSE),"")</f>
        <v/>
      </c>
      <c r="E460" s="435" t="str">
        <f>IFERROR(IF(ISNUMBER(D460),HLOOKUP(Tools!$BE$2,Tools!$BE$2:$BE$27,MOD(ROW()-2,Max_WL_count)+2,FALSE)*WLS,""),"")</f>
        <v/>
      </c>
      <c r="I460" s="431" t="str">
        <f t="shared" si="47"/>
        <v/>
      </c>
      <c r="J460" s="434" t="str">
        <f t="shared" si="43"/>
        <v/>
      </c>
      <c r="K460" s="437" t="str">
        <f>IFERROR(-LBP/2+HLOOKUP(Stn_WL,Tools!$AD$2:$AD$27,N460+2,FALSE)*STN_GAP,"")</f>
        <v/>
      </c>
      <c r="L460" s="437" t="str">
        <f>IFERROR(IF(AND(ISNUMBER(K460),O460=0),0,VLOOKUP(HLOOKUP(Stn_WL,Tools!$AD$2:$AD$27,N460+2,FALSE),Tools!$AD$3:$BC$27,O460+1,FALSE)),"")</f>
        <v/>
      </c>
      <c r="M460" s="437" t="str">
        <f>IFERROR(IF(ISNUMBER(L460),IF(O460=0,IFERROR(HLOOKUP(Tools!$BD$127,Tools!$BD$127:$BD$152,N460+2,FALSE)*1,0),HLOOKUP(Tools!$BE$2,Tools!$BE$2:$BE$27,O460+1,FALSE)*WLS),""),"")</f>
        <v/>
      </c>
      <c r="N460">
        <f t="shared" si="44"/>
        <v>35</v>
      </c>
      <c r="O460">
        <f t="shared" si="45"/>
        <v>3</v>
      </c>
    </row>
    <row r="461" spans="1:15" x14ac:dyDescent="0.25">
      <c r="A461" s="431" t="str">
        <f t="shared" si="46"/>
        <v/>
      </c>
      <c r="B461" s="434" t="str">
        <f t="shared" si="42"/>
        <v/>
      </c>
      <c r="C461" s="437" t="str">
        <f>IFERROR(-LBP/2+HLOOKUP(Stn_WL,Tools!$AD$2:$AD$27,QUOTIENT(ROW()-2,Max_WL_count)+2,FALSE)*STN_GAP,"")</f>
        <v/>
      </c>
      <c r="D461" s="437" t="str">
        <f>IFERROR(VLOOKUP(HLOOKUP(Stn_WL,Tools!$AD$2:$AD$27,QUOTIENT(ROW()-2,Max_WL_count)+2,FALSE),Tools!$AD$3:$BC$27,MOD(ROW()-2,Max_WL_count)+2,FALSE),"")</f>
        <v/>
      </c>
      <c r="E461" s="435" t="str">
        <f>IFERROR(IF(ISNUMBER(D461),HLOOKUP(Tools!$BE$2,Tools!$BE$2:$BE$27,MOD(ROW()-2,Max_WL_count)+2,FALSE)*WLS,""),"")</f>
        <v/>
      </c>
      <c r="I461" s="431" t="str">
        <f t="shared" si="47"/>
        <v/>
      </c>
      <c r="J461" s="434" t="str">
        <f t="shared" si="43"/>
        <v/>
      </c>
      <c r="K461" s="437" t="str">
        <f>IFERROR(-LBP/2+HLOOKUP(Stn_WL,Tools!$AD$2:$AD$27,N461+2,FALSE)*STN_GAP,"")</f>
        <v/>
      </c>
      <c r="L461" s="437" t="str">
        <f>IFERROR(IF(AND(ISNUMBER(K461),O461=0),0,VLOOKUP(HLOOKUP(Stn_WL,Tools!$AD$2:$AD$27,N461+2,FALSE),Tools!$AD$3:$BC$27,O461+1,FALSE)),"")</f>
        <v/>
      </c>
      <c r="M461" s="437" t="str">
        <f>IFERROR(IF(ISNUMBER(L461),IF(O461=0,IFERROR(HLOOKUP(Tools!$BD$127,Tools!$BD$127:$BD$152,N461+2,FALSE)*1,0),HLOOKUP(Tools!$BE$2,Tools!$BE$2:$BE$27,O461+1,FALSE)*WLS),""),"")</f>
        <v/>
      </c>
      <c r="N461">
        <f t="shared" si="44"/>
        <v>35</v>
      </c>
      <c r="O461">
        <f t="shared" si="45"/>
        <v>4</v>
      </c>
    </row>
    <row r="462" spans="1:15" x14ac:dyDescent="0.25">
      <c r="A462" s="431" t="str">
        <f t="shared" si="46"/>
        <v/>
      </c>
      <c r="B462" s="434" t="str">
        <f t="shared" si="42"/>
        <v/>
      </c>
      <c r="C462" s="437" t="str">
        <f>IFERROR(-LBP/2+HLOOKUP(Stn_WL,Tools!$AD$2:$AD$27,QUOTIENT(ROW()-2,Max_WL_count)+2,FALSE)*STN_GAP,"")</f>
        <v/>
      </c>
      <c r="D462" s="437" t="str">
        <f>IFERROR(VLOOKUP(HLOOKUP(Stn_WL,Tools!$AD$2:$AD$27,QUOTIENT(ROW()-2,Max_WL_count)+2,FALSE),Tools!$AD$3:$BC$27,MOD(ROW()-2,Max_WL_count)+2,FALSE),"")</f>
        <v/>
      </c>
      <c r="E462" s="435" t="str">
        <f>IFERROR(IF(ISNUMBER(D462),HLOOKUP(Tools!$BE$2,Tools!$BE$2:$BE$27,MOD(ROW()-2,Max_WL_count)+2,FALSE)*WLS,""),"")</f>
        <v/>
      </c>
      <c r="I462" s="431" t="str">
        <f t="shared" si="47"/>
        <v/>
      </c>
      <c r="J462" s="434" t="str">
        <f t="shared" si="43"/>
        <v/>
      </c>
      <c r="K462" s="437" t="str">
        <f>IFERROR(-LBP/2+HLOOKUP(Stn_WL,Tools!$AD$2:$AD$27,N462+2,FALSE)*STN_GAP,"")</f>
        <v/>
      </c>
      <c r="L462" s="437" t="str">
        <f>IFERROR(IF(AND(ISNUMBER(K462),O462=0),0,VLOOKUP(HLOOKUP(Stn_WL,Tools!$AD$2:$AD$27,N462+2,FALSE),Tools!$AD$3:$BC$27,O462+1,FALSE)),"")</f>
        <v/>
      </c>
      <c r="M462" s="437" t="str">
        <f>IFERROR(IF(ISNUMBER(L462),IF(O462=0,IFERROR(HLOOKUP(Tools!$BD$127,Tools!$BD$127:$BD$152,N462+2,FALSE)*1,0),HLOOKUP(Tools!$BE$2,Tools!$BE$2:$BE$27,O462+1,FALSE)*WLS),""),"")</f>
        <v/>
      </c>
      <c r="N462">
        <f t="shared" si="44"/>
        <v>35</v>
      </c>
      <c r="O462">
        <f t="shared" si="45"/>
        <v>5</v>
      </c>
    </row>
    <row r="463" spans="1:15" x14ac:dyDescent="0.25">
      <c r="A463" s="431" t="str">
        <f t="shared" si="46"/>
        <v/>
      </c>
      <c r="B463" s="434" t="str">
        <f t="shared" si="42"/>
        <v/>
      </c>
      <c r="C463" s="437" t="str">
        <f>IFERROR(-LBP/2+HLOOKUP(Stn_WL,Tools!$AD$2:$AD$27,QUOTIENT(ROW()-2,Max_WL_count)+2,FALSE)*STN_GAP,"")</f>
        <v/>
      </c>
      <c r="D463" s="437" t="str">
        <f>IFERROR(VLOOKUP(HLOOKUP(Stn_WL,Tools!$AD$2:$AD$27,QUOTIENT(ROW()-2,Max_WL_count)+2,FALSE),Tools!$AD$3:$BC$27,MOD(ROW()-2,Max_WL_count)+2,FALSE),"")</f>
        <v/>
      </c>
      <c r="E463" s="435" t="str">
        <f>IFERROR(IF(ISNUMBER(D463),HLOOKUP(Tools!$BE$2,Tools!$BE$2:$BE$27,MOD(ROW()-2,Max_WL_count)+2,FALSE)*WLS,""),"")</f>
        <v/>
      </c>
      <c r="I463" s="431" t="str">
        <f t="shared" si="47"/>
        <v/>
      </c>
      <c r="J463" s="434" t="str">
        <f t="shared" si="43"/>
        <v/>
      </c>
      <c r="K463" s="437" t="str">
        <f>IFERROR(-LBP/2+HLOOKUP(Stn_WL,Tools!$AD$2:$AD$27,N463+2,FALSE)*STN_GAP,"")</f>
        <v/>
      </c>
      <c r="L463" s="437" t="str">
        <f>IFERROR(IF(AND(ISNUMBER(K463),O463=0),0,VLOOKUP(HLOOKUP(Stn_WL,Tools!$AD$2:$AD$27,N463+2,FALSE),Tools!$AD$3:$BC$27,O463+1,FALSE)),"")</f>
        <v/>
      </c>
      <c r="M463" s="437" t="str">
        <f>IFERROR(IF(ISNUMBER(L463),IF(O463=0,IFERROR(HLOOKUP(Tools!$BD$127,Tools!$BD$127:$BD$152,N463+2,FALSE)*1,0),HLOOKUP(Tools!$BE$2,Tools!$BE$2:$BE$27,O463+1,FALSE)*WLS),""),"")</f>
        <v/>
      </c>
      <c r="N463">
        <f t="shared" si="44"/>
        <v>35</v>
      </c>
      <c r="O463">
        <f t="shared" si="45"/>
        <v>6</v>
      </c>
    </row>
    <row r="464" spans="1:15" x14ac:dyDescent="0.25">
      <c r="A464" s="431" t="str">
        <f t="shared" si="46"/>
        <v/>
      </c>
      <c r="B464" s="434" t="str">
        <f t="shared" si="42"/>
        <v/>
      </c>
      <c r="C464" s="437" t="str">
        <f>IFERROR(-LBP/2+HLOOKUP(Stn_WL,Tools!$AD$2:$AD$27,QUOTIENT(ROW()-2,Max_WL_count)+2,FALSE)*STN_GAP,"")</f>
        <v/>
      </c>
      <c r="D464" s="437" t="str">
        <f>IFERROR(VLOOKUP(HLOOKUP(Stn_WL,Tools!$AD$2:$AD$27,QUOTIENT(ROW()-2,Max_WL_count)+2,FALSE),Tools!$AD$3:$BC$27,MOD(ROW()-2,Max_WL_count)+2,FALSE),"")</f>
        <v/>
      </c>
      <c r="E464" s="435" t="str">
        <f>IFERROR(IF(ISNUMBER(D464),HLOOKUP(Tools!$BE$2,Tools!$BE$2:$BE$27,MOD(ROW()-2,Max_WL_count)+2,FALSE)*WLS,""),"")</f>
        <v/>
      </c>
      <c r="I464" s="431" t="str">
        <f t="shared" si="47"/>
        <v/>
      </c>
      <c r="J464" s="434" t="str">
        <f t="shared" si="43"/>
        <v/>
      </c>
      <c r="K464" s="437" t="str">
        <f>IFERROR(-LBP/2+HLOOKUP(Stn_WL,Tools!$AD$2:$AD$27,N464+2,FALSE)*STN_GAP,"")</f>
        <v/>
      </c>
      <c r="L464" s="437" t="str">
        <f>IFERROR(IF(AND(ISNUMBER(K464),O464=0),0,VLOOKUP(HLOOKUP(Stn_WL,Tools!$AD$2:$AD$27,N464+2,FALSE),Tools!$AD$3:$BC$27,O464+1,FALSE)),"")</f>
        <v/>
      </c>
      <c r="M464" s="437" t="str">
        <f>IFERROR(IF(ISNUMBER(L464),IF(O464=0,IFERROR(HLOOKUP(Tools!$BD$127,Tools!$BD$127:$BD$152,N464+2,FALSE)*1,0),HLOOKUP(Tools!$BE$2,Tools!$BE$2:$BE$27,O464+1,FALSE)*WLS),""),"")</f>
        <v/>
      </c>
      <c r="N464">
        <f t="shared" si="44"/>
        <v>35</v>
      </c>
      <c r="O464">
        <f t="shared" si="45"/>
        <v>7</v>
      </c>
    </row>
    <row r="465" spans="1:15" x14ac:dyDescent="0.25">
      <c r="A465" s="431" t="str">
        <f t="shared" si="46"/>
        <v/>
      </c>
      <c r="B465" s="434" t="str">
        <f t="shared" si="42"/>
        <v/>
      </c>
      <c r="C465" s="437" t="str">
        <f>IFERROR(-LBP/2+HLOOKUP(Stn_WL,Tools!$AD$2:$AD$27,QUOTIENT(ROW()-2,Max_WL_count)+2,FALSE)*STN_GAP,"")</f>
        <v/>
      </c>
      <c r="D465" s="437" t="str">
        <f>IFERROR(VLOOKUP(HLOOKUP(Stn_WL,Tools!$AD$2:$AD$27,QUOTIENT(ROW()-2,Max_WL_count)+2,FALSE),Tools!$AD$3:$BC$27,MOD(ROW()-2,Max_WL_count)+2,FALSE),"")</f>
        <v/>
      </c>
      <c r="E465" s="435" t="str">
        <f>IFERROR(IF(ISNUMBER(D465),HLOOKUP(Tools!$BE$2,Tools!$BE$2:$BE$27,MOD(ROW()-2,Max_WL_count)+2,FALSE)*WLS,""),"")</f>
        <v/>
      </c>
      <c r="I465" s="431" t="str">
        <f t="shared" si="47"/>
        <v/>
      </c>
      <c r="J465" s="434" t="str">
        <f t="shared" si="43"/>
        <v/>
      </c>
      <c r="K465" s="437" t="str">
        <f>IFERROR(-LBP/2+HLOOKUP(Stn_WL,Tools!$AD$2:$AD$27,N465+2,FALSE)*STN_GAP,"")</f>
        <v/>
      </c>
      <c r="L465" s="437" t="str">
        <f>IFERROR(IF(AND(ISNUMBER(K465),O465=0),0,VLOOKUP(HLOOKUP(Stn_WL,Tools!$AD$2:$AD$27,N465+2,FALSE),Tools!$AD$3:$BC$27,O465+1,FALSE)),"")</f>
        <v/>
      </c>
      <c r="M465" s="437" t="str">
        <f>IFERROR(IF(ISNUMBER(L465),IF(O465=0,IFERROR(HLOOKUP(Tools!$BD$127,Tools!$BD$127:$BD$152,N465+2,FALSE)*1,0),HLOOKUP(Tools!$BE$2,Tools!$BE$2:$BE$27,O465+1,FALSE)*WLS),""),"")</f>
        <v/>
      </c>
      <c r="N465">
        <f t="shared" si="44"/>
        <v>35</v>
      </c>
      <c r="O465">
        <f t="shared" si="45"/>
        <v>8</v>
      </c>
    </row>
    <row r="466" spans="1:15" x14ac:dyDescent="0.25">
      <c r="A466" s="431" t="str">
        <f t="shared" si="46"/>
        <v/>
      </c>
      <c r="B466" s="434" t="str">
        <f t="shared" si="42"/>
        <v/>
      </c>
      <c r="C466" s="437" t="str">
        <f>IFERROR(-LBP/2+HLOOKUP(Stn_WL,Tools!$AD$2:$AD$27,QUOTIENT(ROW()-2,Max_WL_count)+2,FALSE)*STN_GAP,"")</f>
        <v/>
      </c>
      <c r="D466" s="437" t="str">
        <f>IFERROR(VLOOKUP(HLOOKUP(Stn_WL,Tools!$AD$2:$AD$27,QUOTIENT(ROW()-2,Max_WL_count)+2,FALSE),Tools!$AD$3:$BC$27,MOD(ROW()-2,Max_WL_count)+2,FALSE),"")</f>
        <v/>
      </c>
      <c r="E466" s="435" t="str">
        <f>IFERROR(IF(ISNUMBER(D466),HLOOKUP(Tools!$BE$2,Tools!$BE$2:$BE$27,MOD(ROW()-2,Max_WL_count)+2,FALSE)*WLS,""),"")</f>
        <v/>
      </c>
      <c r="I466" s="431" t="str">
        <f t="shared" si="47"/>
        <v/>
      </c>
      <c r="J466" s="434" t="str">
        <f t="shared" si="43"/>
        <v/>
      </c>
      <c r="K466" s="437" t="str">
        <f>IFERROR(-LBP/2+HLOOKUP(Stn_WL,Tools!$AD$2:$AD$27,N466+2,FALSE)*STN_GAP,"")</f>
        <v/>
      </c>
      <c r="L466" s="437" t="str">
        <f>IFERROR(IF(AND(ISNUMBER(K466),O466=0),0,VLOOKUP(HLOOKUP(Stn_WL,Tools!$AD$2:$AD$27,N466+2,FALSE),Tools!$AD$3:$BC$27,O466+1,FALSE)),"")</f>
        <v/>
      </c>
      <c r="M466" s="437" t="str">
        <f>IFERROR(IF(ISNUMBER(L466),IF(O466=0,IFERROR(HLOOKUP(Tools!$BD$127,Tools!$BD$127:$BD$152,N466+2,FALSE)*1,0),HLOOKUP(Tools!$BE$2,Tools!$BE$2:$BE$27,O466+1,FALSE)*WLS),""),"")</f>
        <v/>
      </c>
      <c r="N466">
        <f t="shared" si="44"/>
        <v>35</v>
      </c>
      <c r="O466">
        <f t="shared" si="45"/>
        <v>9</v>
      </c>
    </row>
    <row r="467" spans="1:15" x14ac:dyDescent="0.25">
      <c r="A467" s="431" t="str">
        <f t="shared" si="46"/>
        <v/>
      </c>
      <c r="B467" s="434" t="str">
        <f t="shared" si="42"/>
        <v/>
      </c>
      <c r="C467" s="437" t="str">
        <f>IFERROR(-LBP/2+HLOOKUP(Stn_WL,Tools!$AD$2:$AD$27,QUOTIENT(ROW()-2,Max_WL_count)+2,FALSE)*STN_GAP,"")</f>
        <v/>
      </c>
      <c r="D467" s="437" t="str">
        <f>IFERROR(VLOOKUP(HLOOKUP(Stn_WL,Tools!$AD$2:$AD$27,QUOTIENT(ROW()-2,Max_WL_count)+2,FALSE),Tools!$AD$3:$BC$27,MOD(ROW()-2,Max_WL_count)+2,FALSE),"")</f>
        <v/>
      </c>
      <c r="E467" s="435" t="str">
        <f>IFERROR(IF(ISNUMBER(D467),HLOOKUP(Tools!$BE$2,Tools!$BE$2:$BE$27,MOD(ROW()-2,Max_WL_count)+2,FALSE)*WLS,""),"")</f>
        <v/>
      </c>
      <c r="I467" s="431" t="str">
        <f t="shared" si="47"/>
        <v/>
      </c>
      <c r="J467" s="434" t="str">
        <f t="shared" si="43"/>
        <v/>
      </c>
      <c r="K467" s="437" t="str">
        <f>IFERROR(-LBP/2+HLOOKUP(Stn_WL,Tools!$AD$2:$AD$27,N467+2,FALSE)*STN_GAP,"")</f>
        <v/>
      </c>
      <c r="L467" s="437" t="str">
        <f>IFERROR(IF(AND(ISNUMBER(K467),O467=0),0,VLOOKUP(HLOOKUP(Stn_WL,Tools!$AD$2:$AD$27,N467+2,FALSE),Tools!$AD$3:$BC$27,O467+1,FALSE)),"")</f>
        <v/>
      </c>
      <c r="M467" s="437" t="str">
        <f>IFERROR(IF(ISNUMBER(L467),IF(O467=0,IFERROR(HLOOKUP(Tools!$BD$127,Tools!$BD$127:$BD$152,N467+2,FALSE)*1,0),HLOOKUP(Tools!$BE$2,Tools!$BE$2:$BE$27,O467+1,FALSE)*WLS),""),"")</f>
        <v/>
      </c>
      <c r="N467">
        <f t="shared" si="44"/>
        <v>35</v>
      </c>
      <c r="O467">
        <f t="shared" si="45"/>
        <v>10</v>
      </c>
    </row>
    <row r="468" spans="1:15" x14ac:dyDescent="0.25">
      <c r="A468" s="431" t="str">
        <f t="shared" si="46"/>
        <v/>
      </c>
      <c r="B468" s="434" t="str">
        <f t="shared" si="42"/>
        <v/>
      </c>
      <c r="C468" s="437" t="str">
        <f>IFERROR(-LBP/2+HLOOKUP(Stn_WL,Tools!$AD$2:$AD$27,QUOTIENT(ROW()-2,Max_WL_count)+2,FALSE)*STN_GAP,"")</f>
        <v/>
      </c>
      <c r="D468" s="437" t="str">
        <f>IFERROR(VLOOKUP(HLOOKUP(Stn_WL,Tools!$AD$2:$AD$27,QUOTIENT(ROW()-2,Max_WL_count)+2,FALSE),Tools!$AD$3:$BC$27,MOD(ROW()-2,Max_WL_count)+2,FALSE),"")</f>
        <v/>
      </c>
      <c r="E468" s="435" t="str">
        <f>IFERROR(IF(ISNUMBER(D468),HLOOKUP(Tools!$BE$2,Tools!$BE$2:$BE$27,MOD(ROW()-2,Max_WL_count)+2,FALSE)*WLS,""),"")</f>
        <v/>
      </c>
      <c r="I468" s="431" t="str">
        <f t="shared" si="47"/>
        <v/>
      </c>
      <c r="J468" s="434" t="str">
        <f t="shared" si="43"/>
        <v/>
      </c>
      <c r="K468" s="437" t="str">
        <f>IFERROR(-LBP/2+HLOOKUP(Stn_WL,Tools!$AD$2:$AD$27,N468+2,FALSE)*STN_GAP,"")</f>
        <v/>
      </c>
      <c r="L468" s="437" t="str">
        <f>IFERROR(IF(AND(ISNUMBER(K468),O468=0),0,VLOOKUP(HLOOKUP(Stn_WL,Tools!$AD$2:$AD$27,N468+2,FALSE),Tools!$AD$3:$BC$27,O468+1,FALSE)),"")</f>
        <v/>
      </c>
      <c r="M468" s="437" t="str">
        <f>IFERROR(IF(ISNUMBER(L468),IF(O468=0,IFERROR(HLOOKUP(Tools!$BD$127,Tools!$BD$127:$BD$152,N468+2,FALSE)*1,0),HLOOKUP(Tools!$BE$2,Tools!$BE$2:$BE$27,O468+1,FALSE)*WLS),""),"")</f>
        <v/>
      </c>
      <c r="N468">
        <f t="shared" si="44"/>
        <v>35</v>
      </c>
      <c r="O468">
        <f t="shared" si="45"/>
        <v>11</v>
      </c>
    </row>
    <row r="469" spans="1:15" x14ac:dyDescent="0.25">
      <c r="A469" s="431" t="str">
        <f t="shared" si="46"/>
        <v/>
      </c>
      <c r="B469" s="434" t="str">
        <f t="shared" si="42"/>
        <v/>
      </c>
      <c r="C469" s="437" t="str">
        <f>IFERROR(-LBP/2+HLOOKUP(Stn_WL,Tools!$AD$2:$AD$27,QUOTIENT(ROW()-2,Max_WL_count)+2,FALSE)*STN_GAP,"")</f>
        <v/>
      </c>
      <c r="D469" s="437" t="str">
        <f>IFERROR(VLOOKUP(HLOOKUP(Stn_WL,Tools!$AD$2:$AD$27,QUOTIENT(ROW()-2,Max_WL_count)+2,FALSE),Tools!$AD$3:$BC$27,MOD(ROW()-2,Max_WL_count)+2,FALSE),"")</f>
        <v/>
      </c>
      <c r="E469" s="435" t="str">
        <f>IFERROR(IF(ISNUMBER(D469),HLOOKUP(Tools!$BE$2,Tools!$BE$2:$BE$27,MOD(ROW()-2,Max_WL_count)+2,FALSE)*WLS,""),"")</f>
        <v/>
      </c>
      <c r="I469" s="431" t="str">
        <f t="shared" si="47"/>
        <v/>
      </c>
      <c r="J469" s="434" t="str">
        <f t="shared" si="43"/>
        <v/>
      </c>
      <c r="K469" s="437" t="str">
        <f>IFERROR(-LBP/2+HLOOKUP(Stn_WL,Tools!$AD$2:$AD$27,N469+2,FALSE)*STN_GAP,"")</f>
        <v/>
      </c>
      <c r="L469" s="437" t="str">
        <f>IFERROR(IF(AND(ISNUMBER(K469),O469=0),0,VLOOKUP(HLOOKUP(Stn_WL,Tools!$AD$2:$AD$27,N469+2,FALSE),Tools!$AD$3:$BC$27,O469+1,FALSE)),"")</f>
        <v/>
      </c>
      <c r="M469" s="437" t="str">
        <f>IFERROR(IF(ISNUMBER(L469),IF(O469=0,IFERROR(HLOOKUP(Tools!$BD$127,Tools!$BD$127:$BD$152,N469+2,FALSE)*1,0),HLOOKUP(Tools!$BE$2,Tools!$BE$2:$BE$27,O469+1,FALSE)*WLS),""),"")</f>
        <v/>
      </c>
      <c r="N469">
        <f t="shared" si="44"/>
        <v>35</v>
      </c>
      <c r="O469">
        <f t="shared" si="45"/>
        <v>12</v>
      </c>
    </row>
    <row r="470" spans="1:15" x14ac:dyDescent="0.25">
      <c r="A470" s="431" t="str">
        <f t="shared" si="46"/>
        <v/>
      </c>
      <c r="B470" s="434" t="str">
        <f t="shared" si="42"/>
        <v/>
      </c>
      <c r="C470" s="437" t="str">
        <f>IFERROR(-LBP/2+HLOOKUP(Stn_WL,Tools!$AD$2:$AD$27,QUOTIENT(ROW()-2,Max_WL_count)+2,FALSE)*STN_GAP,"")</f>
        <v/>
      </c>
      <c r="D470" s="437" t="str">
        <f>IFERROR(VLOOKUP(HLOOKUP(Stn_WL,Tools!$AD$2:$AD$27,QUOTIENT(ROW()-2,Max_WL_count)+2,FALSE),Tools!$AD$3:$BC$27,MOD(ROW()-2,Max_WL_count)+2,FALSE),"")</f>
        <v/>
      </c>
      <c r="E470" s="435" t="str">
        <f>IFERROR(IF(ISNUMBER(D470),HLOOKUP(Tools!$BE$2,Tools!$BE$2:$BE$27,MOD(ROW()-2,Max_WL_count)+2,FALSE)*WLS,""),"")</f>
        <v/>
      </c>
      <c r="I470" s="431" t="str">
        <f t="shared" si="47"/>
        <v/>
      </c>
      <c r="J470" s="434" t="str">
        <f t="shared" si="43"/>
        <v/>
      </c>
      <c r="K470" s="437" t="str">
        <f>IFERROR(-LBP/2+HLOOKUP(Stn_WL,Tools!$AD$2:$AD$27,N470+2,FALSE)*STN_GAP,"")</f>
        <v/>
      </c>
      <c r="L470" s="437" t="str">
        <f>IFERROR(IF(AND(ISNUMBER(K470),O470=0),0,VLOOKUP(HLOOKUP(Stn_WL,Tools!$AD$2:$AD$27,N470+2,FALSE),Tools!$AD$3:$BC$27,O470+1,FALSE)),"")</f>
        <v/>
      </c>
      <c r="M470" s="437" t="str">
        <f>IFERROR(IF(ISNUMBER(L470),IF(O470=0,IFERROR(HLOOKUP(Tools!$BD$127,Tools!$BD$127:$BD$152,N470+2,FALSE)*1,0),HLOOKUP(Tools!$BE$2,Tools!$BE$2:$BE$27,O470+1,FALSE)*WLS),""),"")</f>
        <v/>
      </c>
      <c r="N470">
        <f t="shared" si="44"/>
        <v>36</v>
      </c>
      <c r="O470">
        <f t="shared" si="45"/>
        <v>0</v>
      </c>
    </row>
    <row r="471" spans="1:15" x14ac:dyDescent="0.25">
      <c r="A471" s="431" t="str">
        <f t="shared" si="46"/>
        <v/>
      </c>
      <c r="B471" s="434" t="str">
        <f t="shared" si="42"/>
        <v/>
      </c>
      <c r="C471" s="437" t="str">
        <f>IFERROR(-LBP/2+HLOOKUP(Stn_WL,Tools!$AD$2:$AD$27,QUOTIENT(ROW()-2,Max_WL_count)+2,FALSE)*STN_GAP,"")</f>
        <v/>
      </c>
      <c r="D471" s="437" t="str">
        <f>IFERROR(VLOOKUP(HLOOKUP(Stn_WL,Tools!$AD$2:$AD$27,QUOTIENT(ROW()-2,Max_WL_count)+2,FALSE),Tools!$AD$3:$BC$27,MOD(ROW()-2,Max_WL_count)+2,FALSE),"")</f>
        <v/>
      </c>
      <c r="E471" s="435" t="str">
        <f>IFERROR(IF(ISNUMBER(D471),HLOOKUP(Tools!$BE$2,Tools!$BE$2:$BE$27,MOD(ROW()-2,Max_WL_count)+2,FALSE)*WLS,""),"")</f>
        <v/>
      </c>
      <c r="I471" s="431" t="str">
        <f t="shared" si="47"/>
        <v/>
      </c>
      <c r="J471" s="434" t="str">
        <f t="shared" si="43"/>
        <v/>
      </c>
      <c r="K471" s="437" t="str">
        <f>IFERROR(-LBP/2+HLOOKUP(Stn_WL,Tools!$AD$2:$AD$27,N471+2,FALSE)*STN_GAP,"")</f>
        <v/>
      </c>
      <c r="L471" s="437" t="str">
        <f>IFERROR(IF(AND(ISNUMBER(K471),O471=0),0,VLOOKUP(HLOOKUP(Stn_WL,Tools!$AD$2:$AD$27,N471+2,FALSE),Tools!$AD$3:$BC$27,O471+1,FALSE)),"")</f>
        <v/>
      </c>
      <c r="M471" s="437" t="str">
        <f>IFERROR(IF(ISNUMBER(L471),IF(O471=0,IFERROR(HLOOKUP(Tools!$BD$127,Tools!$BD$127:$BD$152,N471+2,FALSE)*1,0),HLOOKUP(Tools!$BE$2,Tools!$BE$2:$BE$27,O471+1,FALSE)*WLS),""),"")</f>
        <v/>
      </c>
      <c r="N471">
        <f t="shared" si="44"/>
        <v>36</v>
      </c>
      <c r="O471">
        <f t="shared" si="45"/>
        <v>1</v>
      </c>
    </row>
    <row r="472" spans="1:15" x14ac:dyDescent="0.25">
      <c r="A472" s="431" t="str">
        <f t="shared" si="46"/>
        <v/>
      </c>
      <c r="B472" s="434" t="str">
        <f t="shared" si="42"/>
        <v/>
      </c>
      <c r="C472" s="437" t="str">
        <f>IFERROR(-LBP/2+HLOOKUP(Stn_WL,Tools!$AD$2:$AD$27,QUOTIENT(ROW()-2,Max_WL_count)+2,FALSE)*STN_GAP,"")</f>
        <v/>
      </c>
      <c r="D472" s="437" t="str">
        <f>IFERROR(VLOOKUP(HLOOKUP(Stn_WL,Tools!$AD$2:$AD$27,QUOTIENT(ROW()-2,Max_WL_count)+2,FALSE),Tools!$AD$3:$BC$27,MOD(ROW()-2,Max_WL_count)+2,FALSE),"")</f>
        <v/>
      </c>
      <c r="E472" s="435" t="str">
        <f>IFERROR(IF(ISNUMBER(D472),HLOOKUP(Tools!$BE$2,Tools!$BE$2:$BE$27,MOD(ROW()-2,Max_WL_count)+2,FALSE)*WLS,""),"")</f>
        <v/>
      </c>
      <c r="I472" s="431" t="str">
        <f t="shared" si="47"/>
        <v/>
      </c>
      <c r="J472" s="434" t="str">
        <f t="shared" si="43"/>
        <v/>
      </c>
      <c r="K472" s="437" t="str">
        <f>IFERROR(-LBP/2+HLOOKUP(Stn_WL,Tools!$AD$2:$AD$27,N472+2,FALSE)*STN_GAP,"")</f>
        <v/>
      </c>
      <c r="L472" s="437" t="str">
        <f>IFERROR(IF(AND(ISNUMBER(K472),O472=0),0,VLOOKUP(HLOOKUP(Stn_WL,Tools!$AD$2:$AD$27,N472+2,FALSE),Tools!$AD$3:$BC$27,O472+1,FALSE)),"")</f>
        <v/>
      </c>
      <c r="M472" s="437" t="str">
        <f>IFERROR(IF(ISNUMBER(L472),IF(O472=0,IFERROR(HLOOKUP(Tools!$BD$127,Tools!$BD$127:$BD$152,N472+2,FALSE)*1,0),HLOOKUP(Tools!$BE$2,Tools!$BE$2:$BE$27,O472+1,FALSE)*WLS),""),"")</f>
        <v/>
      </c>
      <c r="N472">
        <f t="shared" si="44"/>
        <v>36</v>
      </c>
      <c r="O472">
        <f t="shared" si="45"/>
        <v>2</v>
      </c>
    </row>
    <row r="473" spans="1:15" x14ac:dyDescent="0.25">
      <c r="A473" s="431" t="str">
        <f t="shared" si="46"/>
        <v/>
      </c>
      <c r="B473" s="434" t="str">
        <f t="shared" si="42"/>
        <v/>
      </c>
      <c r="C473" s="437" t="str">
        <f>IFERROR(-LBP/2+HLOOKUP(Stn_WL,Tools!$AD$2:$AD$27,QUOTIENT(ROW()-2,Max_WL_count)+2,FALSE)*STN_GAP,"")</f>
        <v/>
      </c>
      <c r="D473" s="437" t="str">
        <f>IFERROR(VLOOKUP(HLOOKUP(Stn_WL,Tools!$AD$2:$AD$27,QUOTIENT(ROW()-2,Max_WL_count)+2,FALSE),Tools!$AD$3:$BC$27,MOD(ROW()-2,Max_WL_count)+2,FALSE),"")</f>
        <v/>
      </c>
      <c r="E473" s="435" t="str">
        <f>IFERROR(IF(ISNUMBER(D473),HLOOKUP(Tools!$BE$2,Tools!$BE$2:$BE$27,MOD(ROW()-2,Max_WL_count)+2,FALSE)*WLS,""),"")</f>
        <v/>
      </c>
      <c r="I473" s="431" t="str">
        <f t="shared" si="47"/>
        <v/>
      </c>
      <c r="J473" s="434" t="str">
        <f t="shared" si="43"/>
        <v/>
      </c>
      <c r="K473" s="437" t="str">
        <f>IFERROR(-LBP/2+HLOOKUP(Stn_WL,Tools!$AD$2:$AD$27,N473+2,FALSE)*STN_GAP,"")</f>
        <v/>
      </c>
      <c r="L473" s="437" t="str">
        <f>IFERROR(IF(AND(ISNUMBER(K473),O473=0),0,VLOOKUP(HLOOKUP(Stn_WL,Tools!$AD$2:$AD$27,N473+2,FALSE),Tools!$AD$3:$BC$27,O473+1,FALSE)),"")</f>
        <v/>
      </c>
      <c r="M473" s="437" t="str">
        <f>IFERROR(IF(ISNUMBER(L473),IF(O473=0,IFERROR(HLOOKUP(Tools!$BD$127,Tools!$BD$127:$BD$152,N473+2,FALSE)*1,0),HLOOKUP(Tools!$BE$2,Tools!$BE$2:$BE$27,O473+1,FALSE)*WLS),""),"")</f>
        <v/>
      </c>
      <c r="N473">
        <f t="shared" si="44"/>
        <v>36</v>
      </c>
      <c r="O473">
        <f t="shared" si="45"/>
        <v>3</v>
      </c>
    </row>
    <row r="474" spans="1:15" x14ac:dyDescent="0.25">
      <c r="A474" s="431" t="str">
        <f t="shared" si="46"/>
        <v/>
      </c>
      <c r="B474" s="434" t="str">
        <f t="shared" si="42"/>
        <v/>
      </c>
      <c r="C474" s="437" t="str">
        <f>IFERROR(-LBP/2+HLOOKUP(Stn_WL,Tools!$AD$2:$AD$27,QUOTIENT(ROW()-2,Max_WL_count)+2,FALSE)*STN_GAP,"")</f>
        <v/>
      </c>
      <c r="D474" s="437" t="str">
        <f>IFERROR(VLOOKUP(HLOOKUP(Stn_WL,Tools!$AD$2:$AD$27,QUOTIENT(ROW()-2,Max_WL_count)+2,FALSE),Tools!$AD$3:$BC$27,MOD(ROW()-2,Max_WL_count)+2,FALSE),"")</f>
        <v/>
      </c>
      <c r="E474" s="435" t="str">
        <f>IFERROR(IF(ISNUMBER(D474),HLOOKUP(Tools!$BE$2,Tools!$BE$2:$BE$27,MOD(ROW()-2,Max_WL_count)+2,FALSE)*WLS,""),"")</f>
        <v/>
      </c>
      <c r="I474" s="431" t="str">
        <f t="shared" si="47"/>
        <v/>
      </c>
      <c r="J474" s="434" t="str">
        <f t="shared" si="43"/>
        <v/>
      </c>
      <c r="K474" s="437" t="str">
        <f>IFERROR(-LBP/2+HLOOKUP(Stn_WL,Tools!$AD$2:$AD$27,N474+2,FALSE)*STN_GAP,"")</f>
        <v/>
      </c>
      <c r="L474" s="437" t="str">
        <f>IFERROR(IF(AND(ISNUMBER(K474),O474=0),0,VLOOKUP(HLOOKUP(Stn_WL,Tools!$AD$2:$AD$27,N474+2,FALSE),Tools!$AD$3:$BC$27,O474+1,FALSE)),"")</f>
        <v/>
      </c>
      <c r="M474" s="437" t="str">
        <f>IFERROR(IF(ISNUMBER(L474),IF(O474=0,IFERROR(HLOOKUP(Tools!$BD$127,Tools!$BD$127:$BD$152,N474+2,FALSE)*1,0),HLOOKUP(Tools!$BE$2,Tools!$BE$2:$BE$27,O474+1,FALSE)*WLS),""),"")</f>
        <v/>
      </c>
      <c r="N474">
        <f t="shared" si="44"/>
        <v>36</v>
      </c>
      <c r="O474">
        <f t="shared" si="45"/>
        <v>4</v>
      </c>
    </row>
    <row r="475" spans="1:15" x14ac:dyDescent="0.25">
      <c r="A475" s="431" t="str">
        <f t="shared" si="46"/>
        <v/>
      </c>
      <c r="B475" s="434" t="str">
        <f t="shared" si="42"/>
        <v/>
      </c>
      <c r="C475" s="437" t="str">
        <f>IFERROR(-LBP/2+HLOOKUP(Stn_WL,Tools!$AD$2:$AD$27,QUOTIENT(ROW()-2,Max_WL_count)+2,FALSE)*STN_GAP,"")</f>
        <v/>
      </c>
      <c r="D475" s="437" t="str">
        <f>IFERROR(VLOOKUP(HLOOKUP(Stn_WL,Tools!$AD$2:$AD$27,QUOTIENT(ROW()-2,Max_WL_count)+2,FALSE),Tools!$AD$3:$BC$27,MOD(ROW()-2,Max_WL_count)+2,FALSE),"")</f>
        <v/>
      </c>
      <c r="E475" s="435" t="str">
        <f>IFERROR(IF(ISNUMBER(D475),HLOOKUP(Tools!$BE$2,Tools!$BE$2:$BE$27,MOD(ROW()-2,Max_WL_count)+2,FALSE)*WLS,""),"")</f>
        <v/>
      </c>
      <c r="I475" s="431" t="str">
        <f t="shared" si="47"/>
        <v/>
      </c>
      <c r="J475" s="434" t="str">
        <f t="shared" si="43"/>
        <v/>
      </c>
      <c r="K475" s="437" t="str">
        <f>IFERROR(-LBP/2+HLOOKUP(Stn_WL,Tools!$AD$2:$AD$27,N475+2,FALSE)*STN_GAP,"")</f>
        <v/>
      </c>
      <c r="L475" s="437" t="str">
        <f>IFERROR(IF(AND(ISNUMBER(K475),O475=0),0,VLOOKUP(HLOOKUP(Stn_WL,Tools!$AD$2:$AD$27,N475+2,FALSE),Tools!$AD$3:$BC$27,O475+1,FALSE)),"")</f>
        <v/>
      </c>
      <c r="M475" s="437" t="str">
        <f>IFERROR(IF(ISNUMBER(L475),IF(O475=0,IFERROR(HLOOKUP(Tools!$BD$127,Tools!$BD$127:$BD$152,N475+2,FALSE)*1,0),HLOOKUP(Tools!$BE$2,Tools!$BE$2:$BE$27,O475+1,FALSE)*WLS),""),"")</f>
        <v/>
      </c>
      <c r="N475">
        <f t="shared" si="44"/>
        <v>36</v>
      </c>
      <c r="O475">
        <f t="shared" si="45"/>
        <v>5</v>
      </c>
    </row>
    <row r="476" spans="1:15" x14ac:dyDescent="0.25">
      <c r="A476" s="431" t="str">
        <f t="shared" si="46"/>
        <v/>
      </c>
      <c r="B476" s="434" t="str">
        <f t="shared" si="42"/>
        <v/>
      </c>
      <c r="C476" s="437" t="str">
        <f>IFERROR(-LBP/2+HLOOKUP(Stn_WL,Tools!$AD$2:$AD$27,QUOTIENT(ROW()-2,Max_WL_count)+2,FALSE)*STN_GAP,"")</f>
        <v/>
      </c>
      <c r="D476" s="437" t="str">
        <f>IFERROR(VLOOKUP(HLOOKUP(Stn_WL,Tools!$AD$2:$AD$27,QUOTIENT(ROW()-2,Max_WL_count)+2,FALSE),Tools!$AD$3:$BC$27,MOD(ROW()-2,Max_WL_count)+2,FALSE),"")</f>
        <v/>
      </c>
      <c r="E476" s="435" t="str">
        <f>IFERROR(IF(ISNUMBER(D476),HLOOKUP(Tools!$BE$2,Tools!$BE$2:$BE$27,MOD(ROW()-2,Max_WL_count)+2,FALSE)*WLS,""),"")</f>
        <v/>
      </c>
      <c r="I476" s="431" t="str">
        <f t="shared" si="47"/>
        <v/>
      </c>
      <c r="J476" s="434" t="str">
        <f t="shared" si="43"/>
        <v/>
      </c>
      <c r="K476" s="437" t="str">
        <f>IFERROR(-LBP/2+HLOOKUP(Stn_WL,Tools!$AD$2:$AD$27,N476+2,FALSE)*STN_GAP,"")</f>
        <v/>
      </c>
      <c r="L476" s="437" t="str">
        <f>IFERROR(IF(AND(ISNUMBER(K476),O476=0),0,VLOOKUP(HLOOKUP(Stn_WL,Tools!$AD$2:$AD$27,N476+2,FALSE),Tools!$AD$3:$BC$27,O476+1,FALSE)),"")</f>
        <v/>
      </c>
      <c r="M476" s="437" t="str">
        <f>IFERROR(IF(ISNUMBER(L476),IF(O476=0,IFERROR(HLOOKUP(Tools!$BD$127,Tools!$BD$127:$BD$152,N476+2,FALSE)*1,0),HLOOKUP(Tools!$BE$2,Tools!$BE$2:$BE$27,O476+1,FALSE)*WLS),""),"")</f>
        <v/>
      </c>
      <c r="N476">
        <f t="shared" si="44"/>
        <v>36</v>
      </c>
      <c r="O476">
        <f t="shared" si="45"/>
        <v>6</v>
      </c>
    </row>
    <row r="477" spans="1:15" x14ac:dyDescent="0.25">
      <c r="A477" s="431" t="str">
        <f t="shared" si="46"/>
        <v/>
      </c>
      <c r="B477" s="434" t="str">
        <f t="shared" si="42"/>
        <v/>
      </c>
      <c r="C477" s="437" t="str">
        <f>IFERROR(-LBP/2+HLOOKUP(Stn_WL,Tools!$AD$2:$AD$27,QUOTIENT(ROW()-2,Max_WL_count)+2,FALSE)*STN_GAP,"")</f>
        <v/>
      </c>
      <c r="D477" s="437" t="str">
        <f>IFERROR(VLOOKUP(HLOOKUP(Stn_WL,Tools!$AD$2:$AD$27,QUOTIENT(ROW()-2,Max_WL_count)+2,FALSE),Tools!$AD$3:$BC$27,MOD(ROW()-2,Max_WL_count)+2,FALSE),"")</f>
        <v/>
      </c>
      <c r="E477" s="435" t="str">
        <f>IFERROR(IF(ISNUMBER(D477),HLOOKUP(Tools!$BE$2,Tools!$BE$2:$BE$27,MOD(ROW()-2,Max_WL_count)+2,FALSE)*WLS,""),"")</f>
        <v/>
      </c>
      <c r="I477" s="431" t="str">
        <f t="shared" si="47"/>
        <v/>
      </c>
      <c r="J477" s="434" t="str">
        <f t="shared" si="43"/>
        <v/>
      </c>
      <c r="K477" s="437" t="str">
        <f>IFERROR(-LBP/2+HLOOKUP(Stn_WL,Tools!$AD$2:$AD$27,N477+2,FALSE)*STN_GAP,"")</f>
        <v/>
      </c>
      <c r="L477" s="437" t="str">
        <f>IFERROR(IF(AND(ISNUMBER(K477),O477=0),0,VLOOKUP(HLOOKUP(Stn_WL,Tools!$AD$2:$AD$27,N477+2,FALSE),Tools!$AD$3:$BC$27,O477+1,FALSE)),"")</f>
        <v/>
      </c>
      <c r="M477" s="437" t="str">
        <f>IFERROR(IF(ISNUMBER(L477),IF(O477=0,IFERROR(HLOOKUP(Tools!$BD$127,Tools!$BD$127:$BD$152,N477+2,FALSE)*1,0),HLOOKUP(Tools!$BE$2,Tools!$BE$2:$BE$27,O477+1,FALSE)*WLS),""),"")</f>
        <v/>
      </c>
      <c r="N477">
        <f t="shared" si="44"/>
        <v>36</v>
      </c>
      <c r="O477">
        <f t="shared" si="45"/>
        <v>7</v>
      </c>
    </row>
    <row r="478" spans="1:15" x14ac:dyDescent="0.25">
      <c r="A478" s="431" t="str">
        <f t="shared" si="46"/>
        <v/>
      </c>
      <c r="B478" s="434" t="str">
        <f t="shared" si="42"/>
        <v/>
      </c>
      <c r="C478" s="437" t="str">
        <f>IFERROR(-LBP/2+HLOOKUP(Stn_WL,Tools!$AD$2:$AD$27,QUOTIENT(ROW()-2,Max_WL_count)+2,FALSE)*STN_GAP,"")</f>
        <v/>
      </c>
      <c r="D478" s="437" t="str">
        <f>IFERROR(VLOOKUP(HLOOKUP(Stn_WL,Tools!$AD$2:$AD$27,QUOTIENT(ROW()-2,Max_WL_count)+2,FALSE),Tools!$AD$3:$BC$27,MOD(ROW()-2,Max_WL_count)+2,FALSE),"")</f>
        <v/>
      </c>
      <c r="E478" s="435" t="str">
        <f>IFERROR(IF(ISNUMBER(D478),HLOOKUP(Tools!$BE$2,Tools!$BE$2:$BE$27,MOD(ROW()-2,Max_WL_count)+2,FALSE)*WLS,""),"")</f>
        <v/>
      </c>
      <c r="I478" s="431" t="str">
        <f t="shared" si="47"/>
        <v/>
      </c>
      <c r="J478" s="434" t="str">
        <f t="shared" si="43"/>
        <v/>
      </c>
      <c r="K478" s="437" t="str">
        <f>IFERROR(-LBP/2+HLOOKUP(Stn_WL,Tools!$AD$2:$AD$27,N478+2,FALSE)*STN_GAP,"")</f>
        <v/>
      </c>
      <c r="L478" s="437" t="str">
        <f>IFERROR(IF(AND(ISNUMBER(K478),O478=0),0,VLOOKUP(HLOOKUP(Stn_WL,Tools!$AD$2:$AD$27,N478+2,FALSE),Tools!$AD$3:$BC$27,O478+1,FALSE)),"")</f>
        <v/>
      </c>
      <c r="M478" s="437" t="str">
        <f>IFERROR(IF(ISNUMBER(L478),IF(O478=0,IFERROR(HLOOKUP(Tools!$BD$127,Tools!$BD$127:$BD$152,N478+2,FALSE)*1,0),HLOOKUP(Tools!$BE$2,Tools!$BE$2:$BE$27,O478+1,FALSE)*WLS),""),"")</f>
        <v/>
      </c>
      <c r="N478">
        <f t="shared" si="44"/>
        <v>36</v>
      </c>
      <c r="O478">
        <f t="shared" si="45"/>
        <v>8</v>
      </c>
    </row>
    <row r="479" spans="1:15" x14ac:dyDescent="0.25">
      <c r="A479" s="431" t="str">
        <f t="shared" si="46"/>
        <v/>
      </c>
      <c r="B479" s="434" t="str">
        <f t="shared" si="42"/>
        <v/>
      </c>
      <c r="C479" s="437" t="str">
        <f>IFERROR(-LBP/2+HLOOKUP(Stn_WL,Tools!$AD$2:$AD$27,QUOTIENT(ROW()-2,Max_WL_count)+2,FALSE)*STN_GAP,"")</f>
        <v/>
      </c>
      <c r="D479" s="437" t="str">
        <f>IFERROR(VLOOKUP(HLOOKUP(Stn_WL,Tools!$AD$2:$AD$27,QUOTIENT(ROW()-2,Max_WL_count)+2,FALSE),Tools!$AD$3:$BC$27,MOD(ROW()-2,Max_WL_count)+2,FALSE),"")</f>
        <v/>
      </c>
      <c r="E479" s="435" t="str">
        <f>IFERROR(IF(ISNUMBER(D479),HLOOKUP(Tools!$BE$2,Tools!$BE$2:$BE$27,MOD(ROW()-2,Max_WL_count)+2,FALSE)*WLS,""),"")</f>
        <v/>
      </c>
      <c r="I479" s="431" t="str">
        <f t="shared" si="47"/>
        <v/>
      </c>
      <c r="J479" s="434" t="str">
        <f t="shared" si="43"/>
        <v/>
      </c>
      <c r="K479" s="437" t="str">
        <f>IFERROR(-LBP/2+HLOOKUP(Stn_WL,Tools!$AD$2:$AD$27,N479+2,FALSE)*STN_GAP,"")</f>
        <v/>
      </c>
      <c r="L479" s="437" t="str">
        <f>IFERROR(IF(AND(ISNUMBER(K479),O479=0),0,VLOOKUP(HLOOKUP(Stn_WL,Tools!$AD$2:$AD$27,N479+2,FALSE),Tools!$AD$3:$BC$27,O479+1,FALSE)),"")</f>
        <v/>
      </c>
      <c r="M479" s="437" t="str">
        <f>IFERROR(IF(ISNUMBER(L479),IF(O479=0,IFERROR(HLOOKUP(Tools!$BD$127,Tools!$BD$127:$BD$152,N479+2,FALSE)*1,0),HLOOKUP(Tools!$BE$2,Tools!$BE$2:$BE$27,O479+1,FALSE)*WLS),""),"")</f>
        <v/>
      </c>
      <c r="N479">
        <f t="shared" si="44"/>
        <v>36</v>
      </c>
      <c r="O479">
        <f t="shared" si="45"/>
        <v>9</v>
      </c>
    </row>
    <row r="480" spans="1:15" x14ac:dyDescent="0.25">
      <c r="A480" s="431" t="str">
        <f t="shared" si="46"/>
        <v/>
      </c>
      <c r="B480" s="434" t="str">
        <f t="shared" si="42"/>
        <v/>
      </c>
      <c r="C480" s="437" t="str">
        <f>IFERROR(-LBP/2+HLOOKUP(Stn_WL,Tools!$AD$2:$AD$27,QUOTIENT(ROW()-2,Max_WL_count)+2,FALSE)*STN_GAP,"")</f>
        <v/>
      </c>
      <c r="D480" s="437" t="str">
        <f>IFERROR(VLOOKUP(HLOOKUP(Stn_WL,Tools!$AD$2:$AD$27,QUOTIENT(ROW()-2,Max_WL_count)+2,FALSE),Tools!$AD$3:$BC$27,MOD(ROW()-2,Max_WL_count)+2,FALSE),"")</f>
        <v/>
      </c>
      <c r="E480" s="435" t="str">
        <f>IFERROR(IF(ISNUMBER(D480),HLOOKUP(Tools!$BE$2,Tools!$BE$2:$BE$27,MOD(ROW()-2,Max_WL_count)+2,FALSE)*WLS,""),"")</f>
        <v/>
      </c>
      <c r="I480" s="431" t="str">
        <f t="shared" si="47"/>
        <v/>
      </c>
      <c r="J480" s="434" t="str">
        <f t="shared" si="43"/>
        <v/>
      </c>
      <c r="K480" s="437" t="str">
        <f>IFERROR(-LBP/2+HLOOKUP(Stn_WL,Tools!$AD$2:$AD$27,N480+2,FALSE)*STN_GAP,"")</f>
        <v/>
      </c>
      <c r="L480" s="437" t="str">
        <f>IFERROR(IF(AND(ISNUMBER(K480),O480=0),0,VLOOKUP(HLOOKUP(Stn_WL,Tools!$AD$2:$AD$27,N480+2,FALSE),Tools!$AD$3:$BC$27,O480+1,FALSE)),"")</f>
        <v/>
      </c>
      <c r="M480" s="437" t="str">
        <f>IFERROR(IF(ISNUMBER(L480),IF(O480=0,IFERROR(HLOOKUP(Tools!$BD$127,Tools!$BD$127:$BD$152,N480+2,FALSE)*1,0),HLOOKUP(Tools!$BE$2,Tools!$BE$2:$BE$27,O480+1,FALSE)*WLS),""),"")</f>
        <v/>
      </c>
      <c r="N480">
        <f t="shared" si="44"/>
        <v>36</v>
      </c>
      <c r="O480">
        <f t="shared" si="45"/>
        <v>10</v>
      </c>
    </row>
    <row r="481" spans="1:15" x14ac:dyDescent="0.25">
      <c r="A481" s="431" t="str">
        <f t="shared" si="46"/>
        <v/>
      </c>
      <c r="B481" s="434" t="str">
        <f t="shared" si="42"/>
        <v/>
      </c>
      <c r="C481" s="437" t="str">
        <f>IFERROR(-LBP/2+HLOOKUP(Stn_WL,Tools!$AD$2:$AD$27,QUOTIENT(ROW()-2,Max_WL_count)+2,FALSE)*STN_GAP,"")</f>
        <v/>
      </c>
      <c r="D481" s="437" t="str">
        <f>IFERROR(VLOOKUP(HLOOKUP(Stn_WL,Tools!$AD$2:$AD$27,QUOTIENT(ROW()-2,Max_WL_count)+2,FALSE),Tools!$AD$3:$BC$27,MOD(ROW()-2,Max_WL_count)+2,FALSE),"")</f>
        <v/>
      </c>
      <c r="E481" s="435" t="str">
        <f>IFERROR(IF(ISNUMBER(D481),HLOOKUP(Tools!$BE$2,Tools!$BE$2:$BE$27,MOD(ROW()-2,Max_WL_count)+2,FALSE)*WLS,""),"")</f>
        <v/>
      </c>
      <c r="I481" s="431" t="str">
        <f t="shared" si="47"/>
        <v/>
      </c>
      <c r="J481" s="434" t="str">
        <f t="shared" si="43"/>
        <v/>
      </c>
      <c r="K481" s="437" t="str">
        <f>IFERROR(-LBP/2+HLOOKUP(Stn_WL,Tools!$AD$2:$AD$27,N481+2,FALSE)*STN_GAP,"")</f>
        <v/>
      </c>
      <c r="L481" s="437" t="str">
        <f>IFERROR(IF(AND(ISNUMBER(K481),O481=0),0,VLOOKUP(HLOOKUP(Stn_WL,Tools!$AD$2:$AD$27,N481+2,FALSE),Tools!$AD$3:$BC$27,O481+1,FALSE)),"")</f>
        <v/>
      </c>
      <c r="M481" s="437" t="str">
        <f>IFERROR(IF(ISNUMBER(L481),IF(O481=0,IFERROR(HLOOKUP(Tools!$BD$127,Tools!$BD$127:$BD$152,N481+2,FALSE)*1,0),HLOOKUP(Tools!$BE$2,Tools!$BE$2:$BE$27,O481+1,FALSE)*WLS),""),"")</f>
        <v/>
      </c>
      <c r="N481">
        <f t="shared" si="44"/>
        <v>36</v>
      </c>
      <c r="O481">
        <f t="shared" si="45"/>
        <v>11</v>
      </c>
    </row>
    <row r="482" spans="1:15" x14ac:dyDescent="0.25">
      <c r="A482" s="431" t="str">
        <f t="shared" si="46"/>
        <v/>
      </c>
      <c r="B482" s="434" t="str">
        <f t="shared" si="42"/>
        <v/>
      </c>
      <c r="C482" s="437" t="str">
        <f>IFERROR(-LBP/2+HLOOKUP(Stn_WL,Tools!$AD$2:$AD$27,QUOTIENT(ROW()-2,Max_WL_count)+2,FALSE)*STN_GAP,"")</f>
        <v/>
      </c>
      <c r="D482" s="437" t="str">
        <f>IFERROR(VLOOKUP(HLOOKUP(Stn_WL,Tools!$AD$2:$AD$27,QUOTIENT(ROW()-2,Max_WL_count)+2,FALSE),Tools!$AD$3:$BC$27,MOD(ROW()-2,Max_WL_count)+2,FALSE),"")</f>
        <v/>
      </c>
      <c r="E482" s="435" t="str">
        <f>IFERROR(IF(ISNUMBER(D482),HLOOKUP(Tools!$BE$2,Tools!$BE$2:$BE$27,MOD(ROW()-2,Max_WL_count)+2,FALSE)*WLS,""),"")</f>
        <v/>
      </c>
      <c r="I482" s="431" t="str">
        <f t="shared" si="47"/>
        <v/>
      </c>
      <c r="J482" s="434" t="str">
        <f t="shared" si="43"/>
        <v/>
      </c>
      <c r="K482" s="437" t="str">
        <f>IFERROR(-LBP/2+HLOOKUP(Stn_WL,Tools!$AD$2:$AD$27,N482+2,FALSE)*STN_GAP,"")</f>
        <v/>
      </c>
      <c r="L482" s="437" t="str">
        <f>IFERROR(IF(AND(ISNUMBER(K482),O482=0),0,VLOOKUP(HLOOKUP(Stn_WL,Tools!$AD$2:$AD$27,N482+2,FALSE),Tools!$AD$3:$BC$27,O482+1,FALSE)),"")</f>
        <v/>
      </c>
      <c r="M482" s="437" t="str">
        <f>IFERROR(IF(ISNUMBER(L482),IF(O482=0,IFERROR(HLOOKUP(Tools!$BD$127,Tools!$BD$127:$BD$152,N482+2,FALSE)*1,0),HLOOKUP(Tools!$BE$2,Tools!$BE$2:$BE$27,O482+1,FALSE)*WLS),""),"")</f>
        <v/>
      </c>
      <c r="N482">
        <f t="shared" si="44"/>
        <v>36</v>
      </c>
      <c r="O482">
        <f t="shared" si="45"/>
        <v>12</v>
      </c>
    </row>
    <row r="483" spans="1:15" x14ac:dyDescent="0.25">
      <c r="A483" s="431" t="str">
        <f t="shared" si="46"/>
        <v/>
      </c>
      <c r="B483" s="434" t="str">
        <f t="shared" si="42"/>
        <v/>
      </c>
      <c r="C483" s="437" t="str">
        <f>IFERROR(-LBP/2+HLOOKUP(Stn_WL,Tools!$AD$2:$AD$27,QUOTIENT(ROW()-2,Max_WL_count)+2,FALSE)*STN_GAP,"")</f>
        <v/>
      </c>
      <c r="D483" s="437" t="str">
        <f>IFERROR(VLOOKUP(HLOOKUP(Stn_WL,Tools!$AD$2:$AD$27,QUOTIENT(ROW()-2,Max_WL_count)+2,FALSE),Tools!$AD$3:$BC$27,MOD(ROW()-2,Max_WL_count)+2,FALSE),"")</f>
        <v/>
      </c>
      <c r="E483" s="435" t="str">
        <f>IFERROR(IF(ISNUMBER(D483),HLOOKUP(Tools!$BE$2,Tools!$BE$2:$BE$27,MOD(ROW()-2,Max_WL_count)+2,FALSE)*WLS,""),"")</f>
        <v/>
      </c>
      <c r="I483" s="431" t="str">
        <f t="shared" si="47"/>
        <v/>
      </c>
      <c r="J483" s="434" t="str">
        <f t="shared" si="43"/>
        <v/>
      </c>
      <c r="K483" s="437" t="str">
        <f>IFERROR(-LBP/2+HLOOKUP(Stn_WL,Tools!$AD$2:$AD$27,N483+2,FALSE)*STN_GAP,"")</f>
        <v/>
      </c>
      <c r="L483" s="437" t="str">
        <f>IFERROR(IF(AND(ISNUMBER(K483),O483=0),0,VLOOKUP(HLOOKUP(Stn_WL,Tools!$AD$2:$AD$27,N483+2,FALSE),Tools!$AD$3:$BC$27,O483+1,FALSE)),"")</f>
        <v/>
      </c>
      <c r="M483" s="437" t="str">
        <f>IFERROR(IF(ISNUMBER(L483),IF(O483=0,IFERROR(HLOOKUP(Tools!$BD$127,Tools!$BD$127:$BD$152,N483+2,FALSE)*1,0),HLOOKUP(Tools!$BE$2,Tools!$BE$2:$BE$27,O483+1,FALSE)*WLS),""),"")</f>
        <v/>
      </c>
      <c r="N483">
        <f t="shared" si="44"/>
        <v>37</v>
      </c>
      <c r="O483">
        <f t="shared" si="45"/>
        <v>0</v>
      </c>
    </row>
    <row r="484" spans="1:15" x14ac:dyDescent="0.25">
      <c r="A484" s="431" t="str">
        <f t="shared" si="46"/>
        <v/>
      </c>
      <c r="B484" s="434" t="str">
        <f t="shared" si="42"/>
        <v/>
      </c>
      <c r="C484" s="437" t="str">
        <f>IFERROR(-LBP/2+HLOOKUP(Stn_WL,Tools!$AD$2:$AD$27,QUOTIENT(ROW()-2,Max_WL_count)+2,FALSE)*STN_GAP,"")</f>
        <v/>
      </c>
      <c r="D484" s="437" t="str">
        <f>IFERROR(VLOOKUP(HLOOKUP(Stn_WL,Tools!$AD$2:$AD$27,QUOTIENT(ROW()-2,Max_WL_count)+2,FALSE),Tools!$AD$3:$BC$27,MOD(ROW()-2,Max_WL_count)+2,FALSE),"")</f>
        <v/>
      </c>
      <c r="E484" s="435" t="str">
        <f>IFERROR(IF(ISNUMBER(D484),HLOOKUP(Tools!$BE$2,Tools!$BE$2:$BE$27,MOD(ROW()-2,Max_WL_count)+2,FALSE)*WLS,""),"")</f>
        <v/>
      </c>
      <c r="I484" s="431" t="str">
        <f t="shared" si="47"/>
        <v/>
      </c>
      <c r="J484" s="434" t="str">
        <f t="shared" si="43"/>
        <v/>
      </c>
      <c r="K484" s="437" t="str">
        <f>IFERROR(-LBP/2+HLOOKUP(Stn_WL,Tools!$AD$2:$AD$27,N484+2,FALSE)*STN_GAP,"")</f>
        <v/>
      </c>
      <c r="L484" s="437" t="str">
        <f>IFERROR(IF(AND(ISNUMBER(K484),O484=0),0,VLOOKUP(HLOOKUP(Stn_WL,Tools!$AD$2:$AD$27,N484+2,FALSE),Tools!$AD$3:$BC$27,O484+1,FALSE)),"")</f>
        <v/>
      </c>
      <c r="M484" s="437" t="str">
        <f>IFERROR(IF(ISNUMBER(L484),IF(O484=0,IFERROR(HLOOKUP(Tools!$BD$127,Tools!$BD$127:$BD$152,N484+2,FALSE)*1,0),HLOOKUP(Tools!$BE$2,Tools!$BE$2:$BE$27,O484+1,FALSE)*WLS),""),"")</f>
        <v/>
      </c>
      <c r="N484">
        <f t="shared" si="44"/>
        <v>37</v>
      </c>
      <c r="O484">
        <f t="shared" si="45"/>
        <v>1</v>
      </c>
    </row>
    <row r="485" spans="1:15" x14ac:dyDescent="0.25">
      <c r="A485" s="431" t="str">
        <f t="shared" si="46"/>
        <v/>
      </c>
      <c r="B485" s="434" t="str">
        <f t="shared" si="42"/>
        <v/>
      </c>
      <c r="C485" s="437" t="str">
        <f>IFERROR(-LBP/2+HLOOKUP(Stn_WL,Tools!$AD$2:$AD$27,QUOTIENT(ROW()-2,Max_WL_count)+2,FALSE)*STN_GAP,"")</f>
        <v/>
      </c>
      <c r="D485" s="437" t="str">
        <f>IFERROR(VLOOKUP(HLOOKUP(Stn_WL,Tools!$AD$2:$AD$27,QUOTIENT(ROW()-2,Max_WL_count)+2,FALSE),Tools!$AD$3:$BC$27,MOD(ROW()-2,Max_WL_count)+2,FALSE),"")</f>
        <v/>
      </c>
      <c r="E485" s="435" t="str">
        <f>IFERROR(IF(ISNUMBER(D485),HLOOKUP(Tools!$BE$2,Tools!$BE$2:$BE$27,MOD(ROW()-2,Max_WL_count)+2,FALSE)*WLS,""),"")</f>
        <v/>
      </c>
      <c r="I485" s="431" t="str">
        <f t="shared" si="47"/>
        <v/>
      </c>
      <c r="J485" s="434" t="str">
        <f t="shared" si="43"/>
        <v/>
      </c>
      <c r="K485" s="437" t="str">
        <f>IFERROR(-LBP/2+HLOOKUP(Stn_WL,Tools!$AD$2:$AD$27,N485+2,FALSE)*STN_GAP,"")</f>
        <v/>
      </c>
      <c r="L485" s="437" t="str">
        <f>IFERROR(IF(AND(ISNUMBER(K485),O485=0),0,VLOOKUP(HLOOKUP(Stn_WL,Tools!$AD$2:$AD$27,N485+2,FALSE),Tools!$AD$3:$BC$27,O485+1,FALSE)),"")</f>
        <v/>
      </c>
      <c r="M485" s="437" t="str">
        <f>IFERROR(IF(ISNUMBER(L485),IF(O485=0,IFERROR(HLOOKUP(Tools!$BD$127,Tools!$BD$127:$BD$152,N485+2,FALSE)*1,0),HLOOKUP(Tools!$BE$2,Tools!$BE$2:$BE$27,O485+1,FALSE)*WLS),""),"")</f>
        <v/>
      </c>
      <c r="N485">
        <f t="shared" si="44"/>
        <v>37</v>
      </c>
      <c r="O485">
        <f t="shared" si="45"/>
        <v>2</v>
      </c>
    </row>
    <row r="486" spans="1:15" x14ac:dyDescent="0.25">
      <c r="A486" s="431" t="str">
        <f t="shared" si="46"/>
        <v/>
      </c>
      <c r="B486" s="434" t="str">
        <f t="shared" si="42"/>
        <v/>
      </c>
      <c r="C486" s="437" t="str">
        <f>IFERROR(-LBP/2+HLOOKUP(Stn_WL,Tools!$AD$2:$AD$27,QUOTIENT(ROW()-2,Max_WL_count)+2,FALSE)*STN_GAP,"")</f>
        <v/>
      </c>
      <c r="D486" s="437" t="str">
        <f>IFERROR(VLOOKUP(HLOOKUP(Stn_WL,Tools!$AD$2:$AD$27,QUOTIENT(ROW()-2,Max_WL_count)+2,FALSE),Tools!$AD$3:$BC$27,MOD(ROW()-2,Max_WL_count)+2,FALSE),"")</f>
        <v/>
      </c>
      <c r="E486" s="435" t="str">
        <f>IFERROR(IF(ISNUMBER(D486),HLOOKUP(Tools!$BE$2,Tools!$BE$2:$BE$27,MOD(ROW()-2,Max_WL_count)+2,FALSE)*WLS,""),"")</f>
        <v/>
      </c>
      <c r="I486" s="431" t="str">
        <f t="shared" si="47"/>
        <v/>
      </c>
      <c r="J486" s="434" t="str">
        <f t="shared" si="43"/>
        <v/>
      </c>
      <c r="K486" s="437" t="str">
        <f>IFERROR(-LBP/2+HLOOKUP(Stn_WL,Tools!$AD$2:$AD$27,N486+2,FALSE)*STN_GAP,"")</f>
        <v/>
      </c>
      <c r="L486" s="437" t="str">
        <f>IFERROR(IF(AND(ISNUMBER(K486),O486=0),0,VLOOKUP(HLOOKUP(Stn_WL,Tools!$AD$2:$AD$27,N486+2,FALSE),Tools!$AD$3:$BC$27,O486+1,FALSE)),"")</f>
        <v/>
      </c>
      <c r="M486" s="437" t="str">
        <f>IFERROR(IF(ISNUMBER(L486),IF(O486=0,IFERROR(HLOOKUP(Tools!$BD$127,Tools!$BD$127:$BD$152,N486+2,FALSE)*1,0),HLOOKUP(Tools!$BE$2,Tools!$BE$2:$BE$27,O486+1,FALSE)*WLS),""),"")</f>
        <v/>
      </c>
      <c r="N486">
        <f t="shared" si="44"/>
        <v>37</v>
      </c>
      <c r="O486">
        <f t="shared" si="45"/>
        <v>3</v>
      </c>
    </row>
    <row r="487" spans="1:15" x14ac:dyDescent="0.25">
      <c r="A487" s="431" t="str">
        <f t="shared" si="46"/>
        <v/>
      </c>
      <c r="B487" s="434" t="str">
        <f t="shared" si="42"/>
        <v/>
      </c>
      <c r="C487" s="437" t="str">
        <f>IFERROR(-LBP/2+HLOOKUP(Stn_WL,Tools!$AD$2:$AD$27,QUOTIENT(ROW()-2,Max_WL_count)+2,FALSE)*STN_GAP,"")</f>
        <v/>
      </c>
      <c r="D487" s="437" t="str">
        <f>IFERROR(VLOOKUP(HLOOKUP(Stn_WL,Tools!$AD$2:$AD$27,QUOTIENT(ROW()-2,Max_WL_count)+2,FALSE),Tools!$AD$3:$BC$27,MOD(ROW()-2,Max_WL_count)+2,FALSE),"")</f>
        <v/>
      </c>
      <c r="E487" s="435" t="str">
        <f>IFERROR(IF(ISNUMBER(D487),HLOOKUP(Tools!$BE$2,Tools!$BE$2:$BE$27,MOD(ROW()-2,Max_WL_count)+2,FALSE)*WLS,""),"")</f>
        <v/>
      </c>
      <c r="I487" s="431" t="str">
        <f t="shared" si="47"/>
        <v/>
      </c>
      <c r="J487" s="434" t="str">
        <f t="shared" si="43"/>
        <v/>
      </c>
      <c r="K487" s="437" t="str">
        <f>IFERROR(-LBP/2+HLOOKUP(Stn_WL,Tools!$AD$2:$AD$27,N487+2,FALSE)*STN_GAP,"")</f>
        <v/>
      </c>
      <c r="L487" s="437" t="str">
        <f>IFERROR(IF(AND(ISNUMBER(K487),O487=0),0,VLOOKUP(HLOOKUP(Stn_WL,Tools!$AD$2:$AD$27,N487+2,FALSE),Tools!$AD$3:$BC$27,O487+1,FALSE)),"")</f>
        <v/>
      </c>
      <c r="M487" s="437" t="str">
        <f>IFERROR(IF(ISNUMBER(L487),IF(O487=0,IFERROR(HLOOKUP(Tools!$BD$127,Tools!$BD$127:$BD$152,N487+2,FALSE)*1,0),HLOOKUP(Tools!$BE$2,Tools!$BE$2:$BE$27,O487+1,FALSE)*WLS),""),"")</f>
        <v/>
      </c>
      <c r="N487">
        <f t="shared" si="44"/>
        <v>37</v>
      </c>
      <c r="O487">
        <f t="shared" si="45"/>
        <v>4</v>
      </c>
    </row>
    <row r="488" spans="1:15" x14ac:dyDescent="0.25">
      <c r="A488" s="431" t="str">
        <f t="shared" si="46"/>
        <v/>
      </c>
      <c r="B488" s="434" t="str">
        <f t="shared" si="42"/>
        <v/>
      </c>
      <c r="C488" s="437" t="str">
        <f>IFERROR(-LBP/2+HLOOKUP(Stn_WL,Tools!$AD$2:$AD$27,QUOTIENT(ROW()-2,Max_WL_count)+2,FALSE)*STN_GAP,"")</f>
        <v/>
      </c>
      <c r="D488" s="437" t="str">
        <f>IFERROR(VLOOKUP(HLOOKUP(Stn_WL,Tools!$AD$2:$AD$27,QUOTIENT(ROW()-2,Max_WL_count)+2,FALSE),Tools!$AD$3:$BC$27,MOD(ROW()-2,Max_WL_count)+2,FALSE),"")</f>
        <v/>
      </c>
      <c r="E488" s="435" t="str">
        <f>IFERROR(IF(ISNUMBER(D488),HLOOKUP(Tools!$BE$2,Tools!$BE$2:$BE$27,MOD(ROW()-2,Max_WL_count)+2,FALSE)*WLS,""),"")</f>
        <v/>
      </c>
      <c r="I488" s="431" t="str">
        <f t="shared" si="47"/>
        <v/>
      </c>
      <c r="J488" s="434" t="str">
        <f t="shared" si="43"/>
        <v/>
      </c>
      <c r="K488" s="437" t="str">
        <f>IFERROR(-LBP/2+HLOOKUP(Stn_WL,Tools!$AD$2:$AD$27,N488+2,FALSE)*STN_GAP,"")</f>
        <v/>
      </c>
      <c r="L488" s="437" t="str">
        <f>IFERROR(IF(AND(ISNUMBER(K488),O488=0),0,VLOOKUP(HLOOKUP(Stn_WL,Tools!$AD$2:$AD$27,N488+2,FALSE),Tools!$AD$3:$BC$27,O488+1,FALSE)),"")</f>
        <v/>
      </c>
      <c r="M488" s="437" t="str">
        <f>IFERROR(IF(ISNUMBER(L488),IF(O488=0,IFERROR(HLOOKUP(Tools!$BD$127,Tools!$BD$127:$BD$152,N488+2,FALSE)*1,0),HLOOKUP(Tools!$BE$2,Tools!$BE$2:$BE$27,O488+1,FALSE)*WLS),""),"")</f>
        <v/>
      </c>
      <c r="N488">
        <f t="shared" si="44"/>
        <v>37</v>
      </c>
      <c r="O488">
        <f t="shared" si="45"/>
        <v>5</v>
      </c>
    </row>
    <row r="489" spans="1:15" x14ac:dyDescent="0.25">
      <c r="A489" s="431" t="str">
        <f t="shared" si="46"/>
        <v/>
      </c>
      <c r="B489" s="434" t="str">
        <f t="shared" si="42"/>
        <v/>
      </c>
      <c r="C489" s="437" t="str">
        <f>IFERROR(-LBP/2+HLOOKUP(Stn_WL,Tools!$AD$2:$AD$27,QUOTIENT(ROW()-2,Max_WL_count)+2,FALSE)*STN_GAP,"")</f>
        <v/>
      </c>
      <c r="D489" s="437" t="str">
        <f>IFERROR(VLOOKUP(HLOOKUP(Stn_WL,Tools!$AD$2:$AD$27,QUOTIENT(ROW()-2,Max_WL_count)+2,FALSE),Tools!$AD$3:$BC$27,MOD(ROW()-2,Max_WL_count)+2,FALSE),"")</f>
        <v/>
      </c>
      <c r="E489" s="435" t="str">
        <f>IFERROR(IF(ISNUMBER(D489),HLOOKUP(Tools!$BE$2,Tools!$BE$2:$BE$27,MOD(ROW()-2,Max_WL_count)+2,FALSE)*WLS,""),"")</f>
        <v/>
      </c>
      <c r="I489" s="431" t="str">
        <f t="shared" si="47"/>
        <v/>
      </c>
      <c r="J489" s="434" t="str">
        <f t="shared" si="43"/>
        <v/>
      </c>
      <c r="K489" s="437" t="str">
        <f>IFERROR(-LBP/2+HLOOKUP(Stn_WL,Tools!$AD$2:$AD$27,N489+2,FALSE)*STN_GAP,"")</f>
        <v/>
      </c>
      <c r="L489" s="437" t="str">
        <f>IFERROR(IF(AND(ISNUMBER(K489),O489=0),0,VLOOKUP(HLOOKUP(Stn_WL,Tools!$AD$2:$AD$27,N489+2,FALSE),Tools!$AD$3:$BC$27,O489+1,FALSE)),"")</f>
        <v/>
      </c>
      <c r="M489" s="437" t="str">
        <f>IFERROR(IF(ISNUMBER(L489),IF(O489=0,IFERROR(HLOOKUP(Tools!$BD$127,Tools!$BD$127:$BD$152,N489+2,FALSE)*1,0),HLOOKUP(Tools!$BE$2,Tools!$BE$2:$BE$27,O489+1,FALSE)*WLS),""),"")</f>
        <v/>
      </c>
      <c r="N489">
        <f t="shared" si="44"/>
        <v>37</v>
      </c>
      <c r="O489">
        <f t="shared" si="45"/>
        <v>6</v>
      </c>
    </row>
    <row r="490" spans="1:15" x14ac:dyDescent="0.25">
      <c r="A490" s="431" t="str">
        <f t="shared" si="46"/>
        <v/>
      </c>
      <c r="B490" s="434" t="str">
        <f t="shared" si="42"/>
        <v/>
      </c>
      <c r="C490" s="437" t="str">
        <f>IFERROR(-LBP/2+HLOOKUP(Stn_WL,Tools!$AD$2:$AD$27,QUOTIENT(ROW()-2,Max_WL_count)+2,FALSE)*STN_GAP,"")</f>
        <v/>
      </c>
      <c r="D490" s="437" t="str">
        <f>IFERROR(VLOOKUP(HLOOKUP(Stn_WL,Tools!$AD$2:$AD$27,QUOTIENT(ROW()-2,Max_WL_count)+2,FALSE),Tools!$AD$3:$BC$27,MOD(ROW()-2,Max_WL_count)+2,FALSE),"")</f>
        <v/>
      </c>
      <c r="E490" s="435" t="str">
        <f>IFERROR(IF(ISNUMBER(D490),HLOOKUP(Tools!$BE$2,Tools!$BE$2:$BE$27,MOD(ROW()-2,Max_WL_count)+2,FALSE)*WLS,""),"")</f>
        <v/>
      </c>
      <c r="I490" s="431" t="str">
        <f t="shared" si="47"/>
        <v/>
      </c>
      <c r="J490" s="434" t="str">
        <f t="shared" si="43"/>
        <v/>
      </c>
      <c r="K490" s="437" t="str">
        <f>IFERROR(-LBP/2+HLOOKUP(Stn_WL,Tools!$AD$2:$AD$27,N490+2,FALSE)*STN_GAP,"")</f>
        <v/>
      </c>
      <c r="L490" s="437" t="str">
        <f>IFERROR(IF(AND(ISNUMBER(K490),O490=0),0,VLOOKUP(HLOOKUP(Stn_WL,Tools!$AD$2:$AD$27,N490+2,FALSE),Tools!$AD$3:$BC$27,O490+1,FALSE)),"")</f>
        <v/>
      </c>
      <c r="M490" s="437" t="str">
        <f>IFERROR(IF(ISNUMBER(L490),IF(O490=0,IFERROR(HLOOKUP(Tools!$BD$127,Tools!$BD$127:$BD$152,N490+2,FALSE)*1,0),HLOOKUP(Tools!$BE$2,Tools!$BE$2:$BE$27,O490+1,FALSE)*WLS),""),"")</f>
        <v/>
      </c>
      <c r="N490">
        <f t="shared" si="44"/>
        <v>37</v>
      </c>
      <c r="O490">
        <f t="shared" si="45"/>
        <v>7</v>
      </c>
    </row>
    <row r="491" spans="1:15" x14ac:dyDescent="0.25">
      <c r="A491" s="431" t="str">
        <f t="shared" si="46"/>
        <v/>
      </c>
      <c r="B491" s="434" t="str">
        <f t="shared" si="42"/>
        <v/>
      </c>
      <c r="C491" s="437" t="str">
        <f>IFERROR(-LBP/2+HLOOKUP(Stn_WL,Tools!$AD$2:$AD$27,QUOTIENT(ROW()-2,Max_WL_count)+2,FALSE)*STN_GAP,"")</f>
        <v/>
      </c>
      <c r="D491" s="437" t="str">
        <f>IFERROR(VLOOKUP(HLOOKUP(Stn_WL,Tools!$AD$2:$AD$27,QUOTIENT(ROW()-2,Max_WL_count)+2,FALSE),Tools!$AD$3:$BC$27,MOD(ROW()-2,Max_WL_count)+2,FALSE),"")</f>
        <v/>
      </c>
      <c r="E491" s="435" t="str">
        <f>IFERROR(IF(ISNUMBER(D491),HLOOKUP(Tools!$BE$2,Tools!$BE$2:$BE$27,MOD(ROW()-2,Max_WL_count)+2,FALSE)*WLS,""),"")</f>
        <v/>
      </c>
      <c r="I491" s="431" t="str">
        <f t="shared" si="47"/>
        <v/>
      </c>
      <c r="J491" s="434" t="str">
        <f t="shared" si="43"/>
        <v/>
      </c>
      <c r="K491" s="437" t="str">
        <f>IFERROR(-LBP/2+HLOOKUP(Stn_WL,Tools!$AD$2:$AD$27,N491+2,FALSE)*STN_GAP,"")</f>
        <v/>
      </c>
      <c r="L491" s="437" t="str">
        <f>IFERROR(IF(AND(ISNUMBER(K491),O491=0),0,VLOOKUP(HLOOKUP(Stn_WL,Tools!$AD$2:$AD$27,N491+2,FALSE),Tools!$AD$3:$BC$27,O491+1,FALSE)),"")</f>
        <v/>
      </c>
      <c r="M491" s="437" t="str">
        <f>IFERROR(IF(ISNUMBER(L491),IF(O491=0,IFERROR(HLOOKUP(Tools!$BD$127,Tools!$BD$127:$BD$152,N491+2,FALSE)*1,0),HLOOKUP(Tools!$BE$2,Tools!$BE$2:$BE$27,O491+1,FALSE)*WLS),""),"")</f>
        <v/>
      </c>
      <c r="N491">
        <f t="shared" si="44"/>
        <v>37</v>
      </c>
      <c r="O491">
        <f t="shared" si="45"/>
        <v>8</v>
      </c>
    </row>
    <row r="492" spans="1:15" x14ac:dyDescent="0.25">
      <c r="A492" s="431" t="str">
        <f t="shared" si="46"/>
        <v/>
      </c>
      <c r="B492" s="434" t="str">
        <f t="shared" si="42"/>
        <v/>
      </c>
      <c r="C492" s="437" t="str">
        <f>IFERROR(-LBP/2+HLOOKUP(Stn_WL,Tools!$AD$2:$AD$27,QUOTIENT(ROW()-2,Max_WL_count)+2,FALSE)*STN_GAP,"")</f>
        <v/>
      </c>
      <c r="D492" s="437" t="str">
        <f>IFERROR(VLOOKUP(HLOOKUP(Stn_WL,Tools!$AD$2:$AD$27,QUOTIENT(ROW()-2,Max_WL_count)+2,FALSE),Tools!$AD$3:$BC$27,MOD(ROW()-2,Max_WL_count)+2,FALSE),"")</f>
        <v/>
      </c>
      <c r="E492" s="435" t="str">
        <f>IFERROR(IF(ISNUMBER(D492),HLOOKUP(Tools!$BE$2,Tools!$BE$2:$BE$27,MOD(ROW()-2,Max_WL_count)+2,FALSE)*WLS,""),"")</f>
        <v/>
      </c>
      <c r="I492" s="431" t="str">
        <f t="shared" si="47"/>
        <v/>
      </c>
      <c r="J492" s="434" t="str">
        <f t="shared" si="43"/>
        <v/>
      </c>
      <c r="K492" s="437" t="str">
        <f>IFERROR(-LBP/2+HLOOKUP(Stn_WL,Tools!$AD$2:$AD$27,N492+2,FALSE)*STN_GAP,"")</f>
        <v/>
      </c>
      <c r="L492" s="437" t="str">
        <f>IFERROR(IF(AND(ISNUMBER(K492),O492=0),0,VLOOKUP(HLOOKUP(Stn_WL,Tools!$AD$2:$AD$27,N492+2,FALSE),Tools!$AD$3:$BC$27,O492+1,FALSE)),"")</f>
        <v/>
      </c>
      <c r="M492" s="437" t="str">
        <f>IFERROR(IF(ISNUMBER(L492),IF(O492=0,IFERROR(HLOOKUP(Tools!$BD$127,Tools!$BD$127:$BD$152,N492+2,FALSE)*1,0),HLOOKUP(Tools!$BE$2,Tools!$BE$2:$BE$27,O492+1,FALSE)*WLS),""),"")</f>
        <v/>
      </c>
      <c r="N492">
        <f t="shared" si="44"/>
        <v>37</v>
      </c>
      <c r="O492">
        <f t="shared" si="45"/>
        <v>9</v>
      </c>
    </row>
    <row r="493" spans="1:15" x14ac:dyDescent="0.25">
      <c r="A493" s="431" t="str">
        <f t="shared" si="46"/>
        <v/>
      </c>
      <c r="B493" s="434" t="str">
        <f t="shared" si="42"/>
        <v/>
      </c>
      <c r="C493" s="437" t="str">
        <f>IFERROR(-LBP/2+HLOOKUP(Stn_WL,Tools!$AD$2:$AD$27,QUOTIENT(ROW()-2,Max_WL_count)+2,FALSE)*STN_GAP,"")</f>
        <v/>
      </c>
      <c r="D493" s="437" t="str">
        <f>IFERROR(VLOOKUP(HLOOKUP(Stn_WL,Tools!$AD$2:$AD$27,QUOTIENT(ROW()-2,Max_WL_count)+2,FALSE),Tools!$AD$3:$BC$27,MOD(ROW()-2,Max_WL_count)+2,FALSE),"")</f>
        <v/>
      </c>
      <c r="E493" s="435" t="str">
        <f>IFERROR(IF(ISNUMBER(D493),HLOOKUP(Tools!$BE$2,Tools!$BE$2:$BE$27,MOD(ROW()-2,Max_WL_count)+2,FALSE)*WLS,""),"")</f>
        <v/>
      </c>
      <c r="I493" s="431" t="str">
        <f t="shared" si="47"/>
        <v/>
      </c>
      <c r="J493" s="434" t="str">
        <f t="shared" si="43"/>
        <v/>
      </c>
      <c r="K493" s="437" t="str">
        <f>IFERROR(-LBP/2+HLOOKUP(Stn_WL,Tools!$AD$2:$AD$27,N493+2,FALSE)*STN_GAP,"")</f>
        <v/>
      </c>
      <c r="L493" s="437" t="str">
        <f>IFERROR(IF(AND(ISNUMBER(K493),O493=0),0,VLOOKUP(HLOOKUP(Stn_WL,Tools!$AD$2:$AD$27,N493+2,FALSE),Tools!$AD$3:$BC$27,O493+1,FALSE)),"")</f>
        <v/>
      </c>
      <c r="M493" s="437" t="str">
        <f>IFERROR(IF(ISNUMBER(L493),IF(O493=0,IFERROR(HLOOKUP(Tools!$BD$127,Tools!$BD$127:$BD$152,N493+2,FALSE)*1,0),HLOOKUP(Tools!$BE$2,Tools!$BE$2:$BE$27,O493+1,FALSE)*WLS),""),"")</f>
        <v/>
      </c>
      <c r="N493">
        <f t="shared" si="44"/>
        <v>37</v>
      </c>
      <c r="O493">
        <f t="shared" si="45"/>
        <v>10</v>
      </c>
    </row>
    <row r="494" spans="1:15" x14ac:dyDescent="0.25">
      <c r="A494" s="431" t="str">
        <f t="shared" si="46"/>
        <v/>
      </c>
      <c r="B494" s="434" t="str">
        <f t="shared" si="42"/>
        <v/>
      </c>
      <c r="C494" s="437" t="str">
        <f>IFERROR(-LBP/2+HLOOKUP(Stn_WL,Tools!$AD$2:$AD$27,QUOTIENT(ROW()-2,Max_WL_count)+2,FALSE)*STN_GAP,"")</f>
        <v/>
      </c>
      <c r="D494" s="437" t="str">
        <f>IFERROR(VLOOKUP(HLOOKUP(Stn_WL,Tools!$AD$2:$AD$27,QUOTIENT(ROW()-2,Max_WL_count)+2,FALSE),Tools!$AD$3:$BC$27,MOD(ROW()-2,Max_WL_count)+2,FALSE),"")</f>
        <v/>
      </c>
      <c r="E494" s="435" t="str">
        <f>IFERROR(IF(ISNUMBER(D494),HLOOKUP(Tools!$BE$2,Tools!$BE$2:$BE$27,MOD(ROW()-2,Max_WL_count)+2,FALSE)*WLS,""),"")</f>
        <v/>
      </c>
      <c r="I494" s="431" t="str">
        <f t="shared" si="47"/>
        <v/>
      </c>
      <c r="J494" s="434" t="str">
        <f t="shared" si="43"/>
        <v/>
      </c>
      <c r="K494" s="437" t="str">
        <f>IFERROR(-LBP/2+HLOOKUP(Stn_WL,Tools!$AD$2:$AD$27,N494+2,FALSE)*STN_GAP,"")</f>
        <v/>
      </c>
      <c r="L494" s="437" t="str">
        <f>IFERROR(IF(AND(ISNUMBER(K494),O494=0),0,VLOOKUP(HLOOKUP(Stn_WL,Tools!$AD$2:$AD$27,N494+2,FALSE),Tools!$AD$3:$BC$27,O494+1,FALSE)),"")</f>
        <v/>
      </c>
      <c r="M494" s="437" t="str">
        <f>IFERROR(IF(ISNUMBER(L494),IF(O494=0,IFERROR(HLOOKUP(Tools!$BD$127,Tools!$BD$127:$BD$152,N494+2,FALSE)*1,0),HLOOKUP(Tools!$BE$2,Tools!$BE$2:$BE$27,O494+1,FALSE)*WLS),""),"")</f>
        <v/>
      </c>
      <c r="N494">
        <f t="shared" si="44"/>
        <v>37</v>
      </c>
      <c r="O494">
        <f t="shared" si="45"/>
        <v>11</v>
      </c>
    </row>
    <row r="495" spans="1:15" x14ac:dyDescent="0.25">
      <c r="A495" s="431" t="str">
        <f t="shared" si="46"/>
        <v/>
      </c>
      <c r="B495" s="434" t="str">
        <f t="shared" si="42"/>
        <v/>
      </c>
      <c r="C495" s="437" t="str">
        <f>IFERROR(-LBP/2+HLOOKUP(Stn_WL,Tools!$AD$2:$AD$27,QUOTIENT(ROW()-2,Max_WL_count)+2,FALSE)*STN_GAP,"")</f>
        <v/>
      </c>
      <c r="D495" s="437" t="str">
        <f>IFERROR(VLOOKUP(HLOOKUP(Stn_WL,Tools!$AD$2:$AD$27,QUOTIENT(ROW()-2,Max_WL_count)+2,FALSE),Tools!$AD$3:$BC$27,MOD(ROW()-2,Max_WL_count)+2,FALSE),"")</f>
        <v/>
      </c>
      <c r="E495" s="435" t="str">
        <f>IFERROR(IF(ISNUMBER(D495),HLOOKUP(Tools!$BE$2,Tools!$BE$2:$BE$27,MOD(ROW()-2,Max_WL_count)+2,FALSE)*WLS,""),"")</f>
        <v/>
      </c>
      <c r="I495" s="431" t="str">
        <f t="shared" si="47"/>
        <v/>
      </c>
      <c r="J495" s="434" t="str">
        <f t="shared" si="43"/>
        <v/>
      </c>
      <c r="K495" s="437" t="str">
        <f>IFERROR(-LBP/2+HLOOKUP(Stn_WL,Tools!$AD$2:$AD$27,N495+2,FALSE)*STN_GAP,"")</f>
        <v/>
      </c>
      <c r="L495" s="437" t="str">
        <f>IFERROR(IF(AND(ISNUMBER(K495),O495=0),0,VLOOKUP(HLOOKUP(Stn_WL,Tools!$AD$2:$AD$27,N495+2,FALSE),Tools!$AD$3:$BC$27,O495+1,FALSE)),"")</f>
        <v/>
      </c>
      <c r="M495" s="437" t="str">
        <f>IFERROR(IF(ISNUMBER(L495),IF(O495=0,IFERROR(HLOOKUP(Tools!$BD$127,Tools!$BD$127:$BD$152,N495+2,FALSE)*1,0),HLOOKUP(Tools!$BE$2,Tools!$BE$2:$BE$27,O495+1,FALSE)*WLS),""),"")</f>
        <v/>
      </c>
      <c r="N495">
        <f t="shared" si="44"/>
        <v>37</v>
      </c>
      <c r="O495">
        <f t="shared" si="45"/>
        <v>12</v>
      </c>
    </row>
    <row r="496" spans="1:15" x14ac:dyDescent="0.25">
      <c r="A496" s="431" t="str">
        <f t="shared" si="46"/>
        <v/>
      </c>
      <c r="B496" s="434" t="str">
        <f t="shared" si="42"/>
        <v/>
      </c>
      <c r="C496" s="437" t="str">
        <f>IFERROR(-LBP/2+HLOOKUP(Stn_WL,Tools!$AD$2:$AD$27,QUOTIENT(ROW()-2,Max_WL_count)+2,FALSE)*STN_GAP,"")</f>
        <v/>
      </c>
      <c r="D496" s="437" t="str">
        <f>IFERROR(VLOOKUP(HLOOKUP(Stn_WL,Tools!$AD$2:$AD$27,QUOTIENT(ROW()-2,Max_WL_count)+2,FALSE),Tools!$AD$3:$BC$27,MOD(ROW()-2,Max_WL_count)+2,FALSE),"")</f>
        <v/>
      </c>
      <c r="E496" s="435" t="str">
        <f>IFERROR(IF(ISNUMBER(D496),HLOOKUP(Tools!$BE$2,Tools!$BE$2:$BE$27,MOD(ROW()-2,Max_WL_count)+2,FALSE)*WLS,""),"")</f>
        <v/>
      </c>
      <c r="I496" s="431" t="str">
        <f t="shared" si="47"/>
        <v/>
      </c>
      <c r="J496" s="434" t="str">
        <f t="shared" si="43"/>
        <v/>
      </c>
      <c r="K496" s="437" t="str">
        <f>IFERROR(-LBP/2+HLOOKUP(Stn_WL,Tools!$AD$2:$AD$27,N496+2,FALSE)*STN_GAP,"")</f>
        <v/>
      </c>
      <c r="L496" s="437" t="str">
        <f>IFERROR(IF(AND(ISNUMBER(K496),O496=0),0,VLOOKUP(HLOOKUP(Stn_WL,Tools!$AD$2:$AD$27,N496+2,FALSE),Tools!$AD$3:$BC$27,O496+1,FALSE)),"")</f>
        <v/>
      </c>
      <c r="M496" s="437" t="str">
        <f>IFERROR(IF(ISNUMBER(L496),IF(O496=0,IFERROR(HLOOKUP(Tools!$BD$127,Tools!$BD$127:$BD$152,N496+2,FALSE)*1,0),HLOOKUP(Tools!$BE$2,Tools!$BE$2:$BE$27,O496+1,FALSE)*WLS),""),"")</f>
        <v/>
      </c>
      <c r="N496">
        <f t="shared" si="44"/>
        <v>38</v>
      </c>
      <c r="O496">
        <f t="shared" si="45"/>
        <v>0</v>
      </c>
    </row>
    <row r="497" spans="1:15" x14ac:dyDescent="0.25">
      <c r="A497" s="431" t="str">
        <f t="shared" si="46"/>
        <v/>
      </c>
      <c r="B497" s="434" t="str">
        <f t="shared" si="42"/>
        <v/>
      </c>
      <c r="C497" s="437" t="str">
        <f>IFERROR(-LBP/2+HLOOKUP(Stn_WL,Tools!$AD$2:$AD$27,QUOTIENT(ROW()-2,Max_WL_count)+2,FALSE)*STN_GAP,"")</f>
        <v/>
      </c>
      <c r="D497" s="437" t="str">
        <f>IFERROR(VLOOKUP(HLOOKUP(Stn_WL,Tools!$AD$2:$AD$27,QUOTIENT(ROW()-2,Max_WL_count)+2,FALSE),Tools!$AD$3:$BC$27,MOD(ROW()-2,Max_WL_count)+2,FALSE),"")</f>
        <v/>
      </c>
      <c r="E497" s="435" t="str">
        <f>IFERROR(IF(ISNUMBER(D497),HLOOKUP(Tools!$BE$2,Tools!$BE$2:$BE$27,MOD(ROW()-2,Max_WL_count)+2,FALSE)*WLS,""),"")</f>
        <v/>
      </c>
      <c r="I497" s="431" t="str">
        <f t="shared" si="47"/>
        <v/>
      </c>
      <c r="J497" s="434" t="str">
        <f t="shared" si="43"/>
        <v/>
      </c>
      <c r="K497" s="437" t="str">
        <f>IFERROR(-LBP/2+HLOOKUP(Stn_WL,Tools!$AD$2:$AD$27,N497+2,FALSE)*STN_GAP,"")</f>
        <v/>
      </c>
      <c r="L497" s="437" t="str">
        <f>IFERROR(IF(AND(ISNUMBER(K497),O497=0),0,VLOOKUP(HLOOKUP(Stn_WL,Tools!$AD$2:$AD$27,N497+2,FALSE),Tools!$AD$3:$BC$27,O497+1,FALSE)),"")</f>
        <v/>
      </c>
      <c r="M497" s="437" t="str">
        <f>IFERROR(IF(ISNUMBER(L497),IF(O497=0,IFERROR(HLOOKUP(Tools!$BD$127,Tools!$BD$127:$BD$152,N497+2,FALSE)*1,0),HLOOKUP(Tools!$BE$2,Tools!$BE$2:$BE$27,O497+1,FALSE)*WLS),""),"")</f>
        <v/>
      </c>
      <c r="N497">
        <f t="shared" si="44"/>
        <v>38</v>
      </c>
      <c r="O497">
        <f t="shared" si="45"/>
        <v>1</v>
      </c>
    </row>
    <row r="498" spans="1:15" x14ac:dyDescent="0.25">
      <c r="A498" s="431" t="str">
        <f t="shared" si="46"/>
        <v/>
      </c>
      <c r="B498" s="434" t="str">
        <f t="shared" si="42"/>
        <v/>
      </c>
      <c r="C498" s="437" t="str">
        <f>IFERROR(-LBP/2+HLOOKUP(Stn_WL,Tools!$AD$2:$AD$27,QUOTIENT(ROW()-2,Max_WL_count)+2,FALSE)*STN_GAP,"")</f>
        <v/>
      </c>
      <c r="D498" s="437" t="str">
        <f>IFERROR(VLOOKUP(HLOOKUP(Stn_WL,Tools!$AD$2:$AD$27,QUOTIENT(ROW()-2,Max_WL_count)+2,FALSE),Tools!$AD$3:$BC$27,MOD(ROW()-2,Max_WL_count)+2,FALSE),"")</f>
        <v/>
      </c>
      <c r="E498" s="435" t="str">
        <f>IFERROR(IF(ISNUMBER(D498),HLOOKUP(Tools!$BE$2,Tools!$BE$2:$BE$27,MOD(ROW()-2,Max_WL_count)+2,FALSE)*WLS,""),"")</f>
        <v/>
      </c>
      <c r="I498" s="431" t="str">
        <f t="shared" si="47"/>
        <v/>
      </c>
      <c r="J498" s="434" t="str">
        <f t="shared" si="43"/>
        <v/>
      </c>
      <c r="K498" s="437" t="str">
        <f>IFERROR(-LBP/2+HLOOKUP(Stn_WL,Tools!$AD$2:$AD$27,N498+2,FALSE)*STN_GAP,"")</f>
        <v/>
      </c>
      <c r="L498" s="437" t="str">
        <f>IFERROR(IF(AND(ISNUMBER(K498),O498=0),0,VLOOKUP(HLOOKUP(Stn_WL,Tools!$AD$2:$AD$27,N498+2,FALSE),Tools!$AD$3:$BC$27,O498+1,FALSE)),"")</f>
        <v/>
      </c>
      <c r="M498" s="437" t="str">
        <f>IFERROR(IF(ISNUMBER(L498),IF(O498=0,IFERROR(HLOOKUP(Tools!$BD$127,Tools!$BD$127:$BD$152,N498+2,FALSE)*1,0),HLOOKUP(Tools!$BE$2,Tools!$BE$2:$BE$27,O498+1,FALSE)*WLS),""),"")</f>
        <v/>
      </c>
      <c r="N498">
        <f t="shared" si="44"/>
        <v>38</v>
      </c>
      <c r="O498">
        <f t="shared" si="45"/>
        <v>2</v>
      </c>
    </row>
    <row r="499" spans="1:15" x14ac:dyDescent="0.25">
      <c r="A499" s="431" t="str">
        <f t="shared" si="46"/>
        <v/>
      </c>
      <c r="B499" s="434" t="str">
        <f t="shared" si="42"/>
        <v/>
      </c>
      <c r="C499" s="437" t="str">
        <f>IFERROR(-LBP/2+HLOOKUP(Stn_WL,Tools!$AD$2:$AD$27,QUOTIENT(ROW()-2,Max_WL_count)+2,FALSE)*STN_GAP,"")</f>
        <v/>
      </c>
      <c r="D499" s="437" t="str">
        <f>IFERROR(VLOOKUP(HLOOKUP(Stn_WL,Tools!$AD$2:$AD$27,QUOTIENT(ROW()-2,Max_WL_count)+2,FALSE),Tools!$AD$3:$BC$27,MOD(ROW()-2,Max_WL_count)+2,FALSE),"")</f>
        <v/>
      </c>
      <c r="E499" s="435" t="str">
        <f>IFERROR(IF(ISNUMBER(D499),HLOOKUP(Tools!$BE$2,Tools!$BE$2:$BE$27,MOD(ROW()-2,Max_WL_count)+2,FALSE)*WLS,""),"")</f>
        <v/>
      </c>
      <c r="I499" s="431" t="str">
        <f t="shared" si="47"/>
        <v/>
      </c>
      <c r="J499" s="434" t="str">
        <f t="shared" si="43"/>
        <v/>
      </c>
      <c r="K499" s="437" t="str">
        <f>IFERROR(-LBP/2+HLOOKUP(Stn_WL,Tools!$AD$2:$AD$27,N499+2,FALSE)*STN_GAP,"")</f>
        <v/>
      </c>
      <c r="L499" s="437" t="str">
        <f>IFERROR(IF(AND(ISNUMBER(K499),O499=0),0,VLOOKUP(HLOOKUP(Stn_WL,Tools!$AD$2:$AD$27,N499+2,FALSE),Tools!$AD$3:$BC$27,O499+1,FALSE)),"")</f>
        <v/>
      </c>
      <c r="M499" s="437" t="str">
        <f>IFERROR(IF(ISNUMBER(L499),IF(O499=0,IFERROR(HLOOKUP(Tools!$BD$127,Tools!$BD$127:$BD$152,N499+2,FALSE)*1,0),HLOOKUP(Tools!$BE$2,Tools!$BE$2:$BE$27,O499+1,FALSE)*WLS),""),"")</f>
        <v/>
      </c>
      <c r="N499">
        <f t="shared" si="44"/>
        <v>38</v>
      </c>
      <c r="O499">
        <f t="shared" si="45"/>
        <v>3</v>
      </c>
    </row>
    <row r="500" spans="1:15" x14ac:dyDescent="0.25">
      <c r="A500" s="431" t="str">
        <f t="shared" si="46"/>
        <v/>
      </c>
      <c r="B500" s="434" t="str">
        <f t="shared" si="42"/>
        <v/>
      </c>
      <c r="C500" s="437" t="str">
        <f>IFERROR(-LBP/2+HLOOKUP(Stn_WL,Tools!$AD$2:$AD$27,QUOTIENT(ROW()-2,Max_WL_count)+2,FALSE)*STN_GAP,"")</f>
        <v/>
      </c>
      <c r="D500" s="437" t="str">
        <f>IFERROR(VLOOKUP(HLOOKUP(Stn_WL,Tools!$AD$2:$AD$27,QUOTIENT(ROW()-2,Max_WL_count)+2,FALSE),Tools!$AD$3:$BC$27,MOD(ROW()-2,Max_WL_count)+2,FALSE),"")</f>
        <v/>
      </c>
      <c r="E500" s="435" t="str">
        <f>IFERROR(IF(ISNUMBER(D500),HLOOKUP(Tools!$BE$2,Tools!$BE$2:$BE$27,MOD(ROW()-2,Max_WL_count)+2,FALSE)*WLS,""),"")</f>
        <v/>
      </c>
      <c r="I500" s="431" t="str">
        <f t="shared" si="47"/>
        <v/>
      </c>
      <c r="J500" s="434" t="str">
        <f t="shared" si="43"/>
        <v/>
      </c>
      <c r="K500" s="437" t="str">
        <f>IFERROR(-LBP/2+HLOOKUP(Stn_WL,Tools!$AD$2:$AD$27,N500+2,FALSE)*STN_GAP,"")</f>
        <v/>
      </c>
      <c r="L500" s="437" t="str">
        <f>IFERROR(IF(AND(ISNUMBER(K500),O500=0),0,VLOOKUP(HLOOKUP(Stn_WL,Tools!$AD$2:$AD$27,N500+2,FALSE),Tools!$AD$3:$BC$27,O500+1,FALSE)),"")</f>
        <v/>
      </c>
      <c r="M500" s="437" t="str">
        <f>IFERROR(IF(ISNUMBER(L500),IF(O500=0,IFERROR(HLOOKUP(Tools!$BD$127,Tools!$BD$127:$BD$152,N500+2,FALSE)*1,0),HLOOKUP(Tools!$BE$2,Tools!$BE$2:$BE$27,O500+1,FALSE)*WLS),""),"")</f>
        <v/>
      </c>
      <c r="N500">
        <f t="shared" si="44"/>
        <v>38</v>
      </c>
      <c r="O500">
        <f t="shared" si="45"/>
        <v>4</v>
      </c>
    </row>
    <row r="501" spans="1:15" x14ac:dyDescent="0.25">
      <c r="A501" s="431" t="str">
        <f t="shared" si="46"/>
        <v/>
      </c>
      <c r="B501" s="434" t="str">
        <f t="shared" si="42"/>
        <v/>
      </c>
      <c r="C501" s="437" t="str">
        <f>IFERROR(-LBP/2+HLOOKUP(Stn_WL,Tools!$AD$2:$AD$27,QUOTIENT(ROW()-2,Max_WL_count)+2,FALSE)*STN_GAP,"")</f>
        <v/>
      </c>
      <c r="D501" s="437" t="str">
        <f>IFERROR(VLOOKUP(HLOOKUP(Stn_WL,Tools!$AD$2:$AD$27,QUOTIENT(ROW()-2,Max_WL_count)+2,FALSE),Tools!$AD$3:$BC$27,MOD(ROW()-2,Max_WL_count)+2,FALSE),"")</f>
        <v/>
      </c>
      <c r="E501" s="435" t="str">
        <f>IFERROR(IF(ISNUMBER(D501),HLOOKUP(Tools!$BE$2,Tools!$BE$2:$BE$27,MOD(ROW()-2,Max_WL_count)+2,FALSE)*WLS,""),"")</f>
        <v/>
      </c>
      <c r="I501" s="431" t="str">
        <f t="shared" si="47"/>
        <v/>
      </c>
      <c r="J501" s="434" t="str">
        <f t="shared" si="43"/>
        <v/>
      </c>
      <c r="K501" s="437" t="str">
        <f>IFERROR(-LBP/2+HLOOKUP(Stn_WL,Tools!$AD$2:$AD$27,N501+2,FALSE)*STN_GAP,"")</f>
        <v/>
      </c>
      <c r="L501" s="437" t="str">
        <f>IFERROR(IF(AND(ISNUMBER(K501),O501=0),0,VLOOKUP(HLOOKUP(Stn_WL,Tools!$AD$2:$AD$27,N501+2,FALSE),Tools!$AD$3:$BC$27,O501+1,FALSE)),"")</f>
        <v/>
      </c>
      <c r="M501" s="437" t="str">
        <f>IFERROR(IF(ISNUMBER(L501),IF(O501=0,IFERROR(HLOOKUP(Tools!$BD$127,Tools!$BD$127:$BD$152,N501+2,FALSE)*1,0),HLOOKUP(Tools!$BE$2,Tools!$BE$2:$BE$27,O501+1,FALSE)*WLS),""),"")</f>
        <v/>
      </c>
      <c r="N501">
        <f t="shared" si="44"/>
        <v>38</v>
      </c>
      <c r="O501">
        <f t="shared" si="45"/>
        <v>5</v>
      </c>
    </row>
    <row r="502" spans="1:15" x14ac:dyDescent="0.25">
      <c r="A502" s="431" t="str">
        <f t="shared" si="46"/>
        <v/>
      </c>
      <c r="B502" s="434" t="str">
        <f t="shared" si="42"/>
        <v/>
      </c>
      <c r="C502" s="437" t="str">
        <f>IFERROR(-LBP/2+HLOOKUP(Stn_WL,Tools!$AD$2:$AD$27,QUOTIENT(ROW()-2,Max_WL_count)+2,FALSE)*STN_GAP,"")</f>
        <v/>
      </c>
      <c r="D502" s="437" t="str">
        <f>IFERROR(VLOOKUP(HLOOKUP(Stn_WL,Tools!$AD$2:$AD$27,QUOTIENT(ROW()-2,Max_WL_count)+2,FALSE),Tools!$AD$3:$BC$27,MOD(ROW()-2,Max_WL_count)+2,FALSE),"")</f>
        <v/>
      </c>
      <c r="E502" s="435" t="str">
        <f>IFERROR(IF(ISNUMBER(D502),HLOOKUP(Tools!$BE$2,Tools!$BE$2:$BE$27,MOD(ROW()-2,Max_WL_count)+2,FALSE)*WLS,""),"")</f>
        <v/>
      </c>
      <c r="I502" s="431" t="str">
        <f t="shared" si="47"/>
        <v/>
      </c>
      <c r="J502" s="434" t="str">
        <f t="shared" si="43"/>
        <v/>
      </c>
      <c r="K502" s="437" t="str">
        <f>IFERROR(-LBP/2+HLOOKUP(Stn_WL,Tools!$AD$2:$AD$27,N502+2,FALSE)*STN_GAP,"")</f>
        <v/>
      </c>
      <c r="L502" s="437" t="str">
        <f>IFERROR(IF(AND(ISNUMBER(K502),O502=0),0,VLOOKUP(HLOOKUP(Stn_WL,Tools!$AD$2:$AD$27,N502+2,FALSE),Tools!$AD$3:$BC$27,O502+1,FALSE)),"")</f>
        <v/>
      </c>
      <c r="M502" s="437" t="str">
        <f>IFERROR(IF(ISNUMBER(L502),IF(O502=0,IFERROR(HLOOKUP(Tools!$BD$127,Tools!$BD$127:$BD$152,N502+2,FALSE)*1,0),HLOOKUP(Tools!$BE$2,Tools!$BE$2:$BE$27,O502+1,FALSE)*WLS),""),"")</f>
        <v/>
      </c>
      <c r="N502">
        <f t="shared" si="44"/>
        <v>38</v>
      </c>
      <c r="O502">
        <f t="shared" si="45"/>
        <v>6</v>
      </c>
    </row>
    <row r="503" spans="1:15" x14ac:dyDescent="0.25">
      <c r="A503" s="431" t="str">
        <f t="shared" si="46"/>
        <v/>
      </c>
      <c r="B503" s="434" t="str">
        <f t="shared" si="42"/>
        <v/>
      </c>
      <c r="C503" s="437" t="str">
        <f>IFERROR(-LBP/2+HLOOKUP(Stn_WL,Tools!$AD$2:$AD$27,QUOTIENT(ROW()-2,Max_WL_count)+2,FALSE)*STN_GAP,"")</f>
        <v/>
      </c>
      <c r="D503" s="437" t="str">
        <f>IFERROR(VLOOKUP(HLOOKUP(Stn_WL,Tools!$AD$2:$AD$27,QUOTIENT(ROW()-2,Max_WL_count)+2,FALSE),Tools!$AD$3:$BC$27,MOD(ROW()-2,Max_WL_count)+2,FALSE),"")</f>
        <v/>
      </c>
      <c r="E503" s="435" t="str">
        <f>IFERROR(IF(ISNUMBER(D503),HLOOKUP(Tools!$BE$2,Tools!$BE$2:$BE$27,MOD(ROW()-2,Max_WL_count)+2,FALSE)*WLS,""),"")</f>
        <v/>
      </c>
      <c r="I503" s="431" t="str">
        <f t="shared" si="47"/>
        <v/>
      </c>
      <c r="J503" s="434" t="str">
        <f t="shared" si="43"/>
        <v/>
      </c>
      <c r="K503" s="437" t="str">
        <f>IFERROR(-LBP/2+HLOOKUP(Stn_WL,Tools!$AD$2:$AD$27,N503+2,FALSE)*STN_GAP,"")</f>
        <v/>
      </c>
      <c r="L503" s="437" t="str">
        <f>IFERROR(IF(AND(ISNUMBER(K503),O503=0),0,VLOOKUP(HLOOKUP(Stn_WL,Tools!$AD$2:$AD$27,N503+2,FALSE),Tools!$AD$3:$BC$27,O503+1,FALSE)),"")</f>
        <v/>
      </c>
      <c r="M503" s="437" t="str">
        <f>IFERROR(IF(ISNUMBER(L503),IF(O503=0,IFERROR(HLOOKUP(Tools!$BD$127,Tools!$BD$127:$BD$152,N503+2,FALSE)*1,0),HLOOKUP(Tools!$BE$2,Tools!$BE$2:$BE$27,O503+1,FALSE)*WLS),""),"")</f>
        <v/>
      </c>
      <c r="N503">
        <f t="shared" si="44"/>
        <v>38</v>
      </c>
      <c r="O503">
        <f t="shared" si="45"/>
        <v>7</v>
      </c>
    </row>
    <row r="504" spans="1:15" x14ac:dyDescent="0.25">
      <c r="A504" s="431" t="str">
        <f t="shared" si="46"/>
        <v/>
      </c>
      <c r="B504" s="434" t="str">
        <f t="shared" si="42"/>
        <v/>
      </c>
      <c r="C504" s="437" t="str">
        <f>IFERROR(-LBP/2+HLOOKUP(Stn_WL,Tools!$AD$2:$AD$27,QUOTIENT(ROW()-2,Max_WL_count)+2,FALSE)*STN_GAP,"")</f>
        <v/>
      </c>
      <c r="D504" s="437" t="str">
        <f>IFERROR(VLOOKUP(HLOOKUP(Stn_WL,Tools!$AD$2:$AD$27,QUOTIENT(ROW()-2,Max_WL_count)+2,FALSE),Tools!$AD$3:$BC$27,MOD(ROW()-2,Max_WL_count)+2,FALSE),"")</f>
        <v/>
      </c>
      <c r="E504" s="435" t="str">
        <f>IFERROR(IF(ISNUMBER(D504),HLOOKUP(Tools!$BE$2,Tools!$BE$2:$BE$27,MOD(ROW()-2,Max_WL_count)+2,FALSE)*WLS,""),"")</f>
        <v/>
      </c>
      <c r="I504" s="431" t="str">
        <f t="shared" si="47"/>
        <v/>
      </c>
      <c r="J504" s="434" t="str">
        <f t="shared" si="43"/>
        <v/>
      </c>
      <c r="K504" s="437" t="str">
        <f>IFERROR(-LBP/2+HLOOKUP(Stn_WL,Tools!$AD$2:$AD$27,N504+2,FALSE)*STN_GAP,"")</f>
        <v/>
      </c>
      <c r="L504" s="437" t="str">
        <f>IFERROR(IF(AND(ISNUMBER(K504),O504=0),0,VLOOKUP(HLOOKUP(Stn_WL,Tools!$AD$2:$AD$27,N504+2,FALSE),Tools!$AD$3:$BC$27,O504+1,FALSE)),"")</f>
        <v/>
      </c>
      <c r="M504" s="437" t="str">
        <f>IFERROR(IF(ISNUMBER(L504),IF(O504=0,IFERROR(HLOOKUP(Tools!$BD$127,Tools!$BD$127:$BD$152,N504+2,FALSE)*1,0),HLOOKUP(Tools!$BE$2,Tools!$BE$2:$BE$27,O504+1,FALSE)*WLS),""),"")</f>
        <v/>
      </c>
      <c r="N504">
        <f t="shared" si="44"/>
        <v>38</v>
      </c>
      <c r="O504">
        <f t="shared" si="45"/>
        <v>8</v>
      </c>
    </row>
    <row r="505" spans="1:15" x14ac:dyDescent="0.25">
      <c r="A505" s="431" t="str">
        <f t="shared" si="46"/>
        <v/>
      </c>
      <c r="B505" s="434" t="str">
        <f t="shared" si="42"/>
        <v/>
      </c>
      <c r="C505" s="437" t="str">
        <f>IFERROR(-LBP/2+HLOOKUP(Stn_WL,Tools!$AD$2:$AD$27,QUOTIENT(ROW()-2,Max_WL_count)+2,FALSE)*STN_GAP,"")</f>
        <v/>
      </c>
      <c r="D505" s="437" t="str">
        <f>IFERROR(VLOOKUP(HLOOKUP(Stn_WL,Tools!$AD$2:$AD$27,QUOTIENT(ROW()-2,Max_WL_count)+2,FALSE),Tools!$AD$3:$BC$27,MOD(ROW()-2,Max_WL_count)+2,FALSE),"")</f>
        <v/>
      </c>
      <c r="E505" s="435" t="str">
        <f>IFERROR(IF(ISNUMBER(D505),HLOOKUP(Tools!$BE$2,Tools!$BE$2:$BE$27,MOD(ROW()-2,Max_WL_count)+2,FALSE)*WLS,""),"")</f>
        <v/>
      </c>
      <c r="I505" s="431" t="str">
        <f t="shared" si="47"/>
        <v/>
      </c>
      <c r="J505" s="434" t="str">
        <f t="shared" si="43"/>
        <v/>
      </c>
      <c r="K505" s="437" t="str">
        <f>IFERROR(-LBP/2+HLOOKUP(Stn_WL,Tools!$AD$2:$AD$27,N505+2,FALSE)*STN_GAP,"")</f>
        <v/>
      </c>
      <c r="L505" s="437" t="str">
        <f>IFERROR(IF(AND(ISNUMBER(K505),O505=0),0,VLOOKUP(HLOOKUP(Stn_WL,Tools!$AD$2:$AD$27,N505+2,FALSE),Tools!$AD$3:$BC$27,O505+1,FALSE)),"")</f>
        <v/>
      </c>
      <c r="M505" s="437" t="str">
        <f>IFERROR(IF(ISNUMBER(L505),IF(O505=0,IFERROR(HLOOKUP(Tools!$BD$127,Tools!$BD$127:$BD$152,N505+2,FALSE)*1,0),HLOOKUP(Tools!$BE$2,Tools!$BE$2:$BE$27,O505+1,FALSE)*WLS),""),"")</f>
        <v/>
      </c>
      <c r="N505">
        <f t="shared" si="44"/>
        <v>38</v>
      </c>
      <c r="O505">
        <f t="shared" si="45"/>
        <v>9</v>
      </c>
    </row>
    <row r="506" spans="1:15" x14ac:dyDescent="0.25">
      <c r="A506" s="431" t="str">
        <f t="shared" si="46"/>
        <v/>
      </c>
      <c r="B506" s="434" t="str">
        <f t="shared" si="42"/>
        <v/>
      </c>
      <c r="C506" s="437" t="str">
        <f>IFERROR(-LBP/2+HLOOKUP(Stn_WL,Tools!$AD$2:$AD$27,QUOTIENT(ROW()-2,Max_WL_count)+2,FALSE)*STN_GAP,"")</f>
        <v/>
      </c>
      <c r="D506" s="437" t="str">
        <f>IFERROR(VLOOKUP(HLOOKUP(Stn_WL,Tools!$AD$2:$AD$27,QUOTIENT(ROW()-2,Max_WL_count)+2,FALSE),Tools!$AD$3:$BC$27,MOD(ROW()-2,Max_WL_count)+2,FALSE),"")</f>
        <v/>
      </c>
      <c r="E506" s="435" t="str">
        <f>IFERROR(IF(ISNUMBER(D506),HLOOKUP(Tools!$BE$2,Tools!$BE$2:$BE$27,MOD(ROW()-2,Max_WL_count)+2,FALSE)*WLS,""),"")</f>
        <v/>
      </c>
      <c r="I506" s="431" t="str">
        <f t="shared" si="47"/>
        <v/>
      </c>
      <c r="J506" s="434" t="str">
        <f t="shared" si="43"/>
        <v/>
      </c>
      <c r="K506" s="437" t="str">
        <f>IFERROR(-LBP/2+HLOOKUP(Stn_WL,Tools!$AD$2:$AD$27,N506+2,FALSE)*STN_GAP,"")</f>
        <v/>
      </c>
      <c r="L506" s="437" t="str">
        <f>IFERROR(IF(AND(ISNUMBER(K506),O506=0),0,VLOOKUP(HLOOKUP(Stn_WL,Tools!$AD$2:$AD$27,N506+2,FALSE),Tools!$AD$3:$BC$27,O506+1,FALSE)),"")</f>
        <v/>
      </c>
      <c r="M506" s="437" t="str">
        <f>IFERROR(IF(ISNUMBER(L506),IF(O506=0,IFERROR(HLOOKUP(Tools!$BD$127,Tools!$BD$127:$BD$152,N506+2,FALSE)*1,0),HLOOKUP(Tools!$BE$2,Tools!$BE$2:$BE$27,O506+1,FALSE)*WLS),""),"")</f>
        <v/>
      </c>
      <c r="N506">
        <f t="shared" si="44"/>
        <v>38</v>
      </c>
      <c r="O506">
        <f t="shared" si="45"/>
        <v>10</v>
      </c>
    </row>
    <row r="507" spans="1:15" x14ac:dyDescent="0.25">
      <c r="A507" s="431" t="str">
        <f t="shared" si="46"/>
        <v/>
      </c>
      <c r="B507" s="434" t="str">
        <f t="shared" si="42"/>
        <v/>
      </c>
      <c r="C507" s="437" t="str">
        <f>IFERROR(-LBP/2+HLOOKUP(Stn_WL,Tools!$AD$2:$AD$27,QUOTIENT(ROW()-2,Max_WL_count)+2,FALSE)*STN_GAP,"")</f>
        <v/>
      </c>
      <c r="D507" s="437" t="str">
        <f>IFERROR(VLOOKUP(HLOOKUP(Stn_WL,Tools!$AD$2:$AD$27,QUOTIENT(ROW()-2,Max_WL_count)+2,FALSE),Tools!$AD$3:$BC$27,MOD(ROW()-2,Max_WL_count)+2,FALSE),"")</f>
        <v/>
      </c>
      <c r="E507" s="435" t="str">
        <f>IFERROR(IF(ISNUMBER(D507),HLOOKUP(Tools!$BE$2,Tools!$BE$2:$BE$27,MOD(ROW()-2,Max_WL_count)+2,FALSE)*WLS,""),"")</f>
        <v/>
      </c>
      <c r="I507" s="431" t="str">
        <f t="shared" si="47"/>
        <v/>
      </c>
      <c r="J507" s="434" t="str">
        <f t="shared" si="43"/>
        <v/>
      </c>
      <c r="K507" s="437" t="str">
        <f>IFERROR(-LBP/2+HLOOKUP(Stn_WL,Tools!$AD$2:$AD$27,N507+2,FALSE)*STN_GAP,"")</f>
        <v/>
      </c>
      <c r="L507" s="437" t="str">
        <f>IFERROR(IF(AND(ISNUMBER(K507),O507=0),0,VLOOKUP(HLOOKUP(Stn_WL,Tools!$AD$2:$AD$27,N507+2,FALSE),Tools!$AD$3:$BC$27,O507+1,FALSE)),"")</f>
        <v/>
      </c>
      <c r="M507" s="437" t="str">
        <f>IFERROR(IF(ISNUMBER(L507),IF(O507=0,IFERROR(HLOOKUP(Tools!$BD$127,Tools!$BD$127:$BD$152,N507+2,FALSE)*1,0),HLOOKUP(Tools!$BE$2,Tools!$BE$2:$BE$27,O507+1,FALSE)*WLS),""),"")</f>
        <v/>
      </c>
      <c r="N507">
        <f t="shared" si="44"/>
        <v>38</v>
      </c>
      <c r="O507">
        <f t="shared" si="45"/>
        <v>11</v>
      </c>
    </row>
    <row r="508" spans="1:15" x14ac:dyDescent="0.25">
      <c r="A508" s="431" t="str">
        <f t="shared" si="46"/>
        <v/>
      </c>
      <c r="B508" s="434" t="str">
        <f t="shared" si="42"/>
        <v/>
      </c>
      <c r="C508" s="437" t="str">
        <f>IFERROR(-LBP/2+HLOOKUP(Stn_WL,Tools!$AD$2:$AD$27,QUOTIENT(ROW()-2,Max_WL_count)+2,FALSE)*STN_GAP,"")</f>
        <v/>
      </c>
      <c r="D508" s="437" t="str">
        <f>IFERROR(VLOOKUP(HLOOKUP(Stn_WL,Tools!$AD$2:$AD$27,QUOTIENT(ROW()-2,Max_WL_count)+2,FALSE),Tools!$AD$3:$BC$27,MOD(ROW()-2,Max_WL_count)+2,FALSE),"")</f>
        <v/>
      </c>
      <c r="E508" s="435" t="str">
        <f>IFERROR(IF(ISNUMBER(D508),HLOOKUP(Tools!$BE$2,Tools!$BE$2:$BE$27,MOD(ROW()-2,Max_WL_count)+2,FALSE)*WLS,""),"")</f>
        <v/>
      </c>
      <c r="I508" s="431" t="str">
        <f t="shared" si="47"/>
        <v/>
      </c>
      <c r="J508" s="434" t="str">
        <f t="shared" si="43"/>
        <v/>
      </c>
      <c r="K508" s="437" t="str">
        <f>IFERROR(-LBP/2+HLOOKUP(Stn_WL,Tools!$AD$2:$AD$27,N508+2,FALSE)*STN_GAP,"")</f>
        <v/>
      </c>
      <c r="L508" s="437" t="str">
        <f>IFERROR(IF(AND(ISNUMBER(K508),O508=0),0,VLOOKUP(HLOOKUP(Stn_WL,Tools!$AD$2:$AD$27,N508+2,FALSE),Tools!$AD$3:$BC$27,O508+1,FALSE)),"")</f>
        <v/>
      </c>
      <c r="M508" s="437" t="str">
        <f>IFERROR(IF(ISNUMBER(L508),IF(O508=0,IFERROR(HLOOKUP(Tools!$BD$127,Tools!$BD$127:$BD$152,N508+2,FALSE)*1,0),HLOOKUP(Tools!$BE$2,Tools!$BE$2:$BE$27,O508+1,FALSE)*WLS),""),"")</f>
        <v/>
      </c>
      <c r="N508">
        <f t="shared" si="44"/>
        <v>38</v>
      </c>
      <c r="O508">
        <f t="shared" si="45"/>
        <v>12</v>
      </c>
    </row>
    <row r="509" spans="1:15" x14ac:dyDescent="0.25">
      <c r="A509" s="431" t="str">
        <f t="shared" si="46"/>
        <v/>
      </c>
      <c r="B509" s="434" t="str">
        <f t="shared" si="42"/>
        <v/>
      </c>
      <c r="C509" s="437" t="str">
        <f>IFERROR(-LBP/2+HLOOKUP(Stn_WL,Tools!$AD$2:$AD$27,QUOTIENT(ROW()-2,Max_WL_count)+2,FALSE)*STN_GAP,"")</f>
        <v/>
      </c>
      <c r="D509" s="437" t="str">
        <f>IFERROR(VLOOKUP(HLOOKUP(Stn_WL,Tools!$AD$2:$AD$27,QUOTIENT(ROW()-2,Max_WL_count)+2,FALSE),Tools!$AD$3:$BC$27,MOD(ROW()-2,Max_WL_count)+2,FALSE),"")</f>
        <v/>
      </c>
      <c r="E509" s="435" t="str">
        <f>IFERROR(IF(ISNUMBER(D509),HLOOKUP(Tools!$BE$2,Tools!$BE$2:$BE$27,MOD(ROW()-2,Max_WL_count)+2,FALSE)*WLS,""),"")</f>
        <v/>
      </c>
      <c r="I509" s="431" t="str">
        <f t="shared" si="47"/>
        <v/>
      </c>
      <c r="J509" s="434" t="str">
        <f t="shared" si="43"/>
        <v/>
      </c>
      <c r="K509" s="437" t="str">
        <f>IFERROR(-LBP/2+HLOOKUP(Stn_WL,Tools!$AD$2:$AD$27,N509+2,FALSE)*STN_GAP,"")</f>
        <v/>
      </c>
      <c r="L509" s="437" t="str">
        <f>IFERROR(IF(AND(ISNUMBER(K509),O509=0),0,VLOOKUP(HLOOKUP(Stn_WL,Tools!$AD$2:$AD$27,N509+2,FALSE),Tools!$AD$3:$BC$27,O509+1,FALSE)),"")</f>
        <v/>
      </c>
      <c r="M509" s="437" t="str">
        <f>IFERROR(IF(ISNUMBER(L509),IF(O509=0,IFERROR(HLOOKUP(Tools!$BD$127,Tools!$BD$127:$BD$152,N509+2,FALSE)*1,0),HLOOKUP(Tools!$BE$2,Tools!$BE$2:$BE$27,O509+1,FALSE)*WLS),""),"")</f>
        <v/>
      </c>
      <c r="N509">
        <f t="shared" si="44"/>
        <v>39</v>
      </c>
      <c r="O509">
        <f t="shared" si="45"/>
        <v>0</v>
      </c>
    </row>
    <row r="510" spans="1:15" x14ac:dyDescent="0.25">
      <c r="A510" s="431" t="str">
        <f t="shared" si="46"/>
        <v/>
      </c>
      <c r="B510" s="434" t="str">
        <f t="shared" si="42"/>
        <v/>
      </c>
      <c r="C510" s="437" t="str">
        <f>IFERROR(-LBP/2+HLOOKUP(Stn_WL,Tools!$AD$2:$AD$27,QUOTIENT(ROW()-2,Max_WL_count)+2,FALSE)*STN_GAP,"")</f>
        <v/>
      </c>
      <c r="D510" s="437" t="str">
        <f>IFERROR(VLOOKUP(HLOOKUP(Stn_WL,Tools!$AD$2:$AD$27,QUOTIENT(ROW()-2,Max_WL_count)+2,FALSE),Tools!$AD$3:$BC$27,MOD(ROW()-2,Max_WL_count)+2,FALSE),"")</f>
        <v/>
      </c>
      <c r="E510" s="435" t="str">
        <f>IFERROR(IF(ISNUMBER(D510),HLOOKUP(Tools!$BE$2,Tools!$BE$2:$BE$27,MOD(ROW()-2,Max_WL_count)+2,FALSE)*WLS,""),"")</f>
        <v/>
      </c>
      <c r="I510" s="431" t="str">
        <f t="shared" si="47"/>
        <v/>
      </c>
      <c r="J510" s="434" t="str">
        <f t="shared" si="43"/>
        <v/>
      </c>
      <c r="K510" s="437" t="str">
        <f>IFERROR(-LBP/2+HLOOKUP(Stn_WL,Tools!$AD$2:$AD$27,N510+2,FALSE)*STN_GAP,"")</f>
        <v/>
      </c>
      <c r="L510" s="437" t="str">
        <f>IFERROR(IF(AND(ISNUMBER(K510),O510=0),0,VLOOKUP(HLOOKUP(Stn_WL,Tools!$AD$2:$AD$27,N510+2,FALSE),Tools!$AD$3:$BC$27,O510+1,FALSE)),"")</f>
        <v/>
      </c>
      <c r="M510" s="437" t="str">
        <f>IFERROR(IF(ISNUMBER(L510),IF(O510=0,IFERROR(HLOOKUP(Tools!$BD$127,Tools!$BD$127:$BD$152,N510+2,FALSE)*1,0),HLOOKUP(Tools!$BE$2,Tools!$BE$2:$BE$27,O510+1,FALSE)*WLS),""),"")</f>
        <v/>
      </c>
      <c r="N510">
        <f t="shared" si="44"/>
        <v>39</v>
      </c>
      <c r="O510">
        <f t="shared" si="45"/>
        <v>1</v>
      </c>
    </row>
    <row r="511" spans="1:15" x14ac:dyDescent="0.25">
      <c r="A511" s="431" t="str">
        <f t="shared" si="46"/>
        <v/>
      </c>
      <c r="B511" s="434" t="str">
        <f t="shared" si="42"/>
        <v/>
      </c>
      <c r="C511" s="437" t="str">
        <f>IFERROR(-LBP/2+HLOOKUP(Stn_WL,Tools!$AD$2:$AD$27,QUOTIENT(ROW()-2,Max_WL_count)+2,FALSE)*STN_GAP,"")</f>
        <v/>
      </c>
      <c r="D511" s="437" t="str">
        <f>IFERROR(VLOOKUP(HLOOKUP(Stn_WL,Tools!$AD$2:$AD$27,QUOTIENT(ROW()-2,Max_WL_count)+2,FALSE),Tools!$AD$3:$BC$27,MOD(ROW()-2,Max_WL_count)+2,FALSE),"")</f>
        <v/>
      </c>
      <c r="E511" s="435" t="str">
        <f>IFERROR(IF(ISNUMBER(D511),HLOOKUP(Tools!$BE$2,Tools!$BE$2:$BE$27,MOD(ROW()-2,Max_WL_count)+2,FALSE)*WLS,""),"")</f>
        <v/>
      </c>
      <c r="I511" s="431" t="str">
        <f t="shared" si="47"/>
        <v/>
      </c>
      <c r="J511" s="434" t="str">
        <f t="shared" si="43"/>
        <v/>
      </c>
      <c r="K511" s="437" t="str">
        <f>IFERROR(-LBP/2+HLOOKUP(Stn_WL,Tools!$AD$2:$AD$27,N511+2,FALSE)*STN_GAP,"")</f>
        <v/>
      </c>
      <c r="L511" s="437" t="str">
        <f>IFERROR(IF(AND(ISNUMBER(K511),O511=0),0,VLOOKUP(HLOOKUP(Stn_WL,Tools!$AD$2:$AD$27,N511+2,FALSE),Tools!$AD$3:$BC$27,O511+1,FALSE)),"")</f>
        <v/>
      </c>
      <c r="M511" s="437" t="str">
        <f>IFERROR(IF(ISNUMBER(L511),IF(O511=0,IFERROR(HLOOKUP(Tools!$BD$127,Tools!$BD$127:$BD$152,N511+2,FALSE)*1,0),HLOOKUP(Tools!$BE$2,Tools!$BE$2:$BE$27,O511+1,FALSE)*WLS),""),"")</f>
        <v/>
      </c>
      <c r="N511">
        <f t="shared" si="44"/>
        <v>39</v>
      </c>
      <c r="O511">
        <f t="shared" si="45"/>
        <v>2</v>
      </c>
    </row>
    <row r="512" spans="1:15" x14ac:dyDescent="0.25">
      <c r="A512" s="431" t="str">
        <f t="shared" si="46"/>
        <v/>
      </c>
      <c r="B512" s="434" t="str">
        <f t="shared" si="42"/>
        <v/>
      </c>
      <c r="C512" s="437" t="str">
        <f>IFERROR(-LBP/2+HLOOKUP(Stn_WL,Tools!$AD$2:$AD$27,QUOTIENT(ROW()-2,Max_WL_count)+2,FALSE)*STN_GAP,"")</f>
        <v/>
      </c>
      <c r="D512" s="437" t="str">
        <f>IFERROR(VLOOKUP(HLOOKUP(Stn_WL,Tools!$AD$2:$AD$27,QUOTIENT(ROW()-2,Max_WL_count)+2,FALSE),Tools!$AD$3:$BC$27,MOD(ROW()-2,Max_WL_count)+2,FALSE),"")</f>
        <v/>
      </c>
      <c r="E512" s="435" t="str">
        <f>IFERROR(IF(ISNUMBER(D512),HLOOKUP(Tools!$BE$2,Tools!$BE$2:$BE$27,MOD(ROW()-2,Max_WL_count)+2,FALSE)*WLS,""),"")</f>
        <v/>
      </c>
      <c r="I512" s="431" t="str">
        <f t="shared" si="47"/>
        <v/>
      </c>
      <c r="J512" s="434" t="str">
        <f t="shared" si="43"/>
        <v/>
      </c>
      <c r="K512" s="437" t="str">
        <f>IFERROR(-LBP/2+HLOOKUP(Stn_WL,Tools!$AD$2:$AD$27,N512+2,FALSE)*STN_GAP,"")</f>
        <v/>
      </c>
      <c r="L512" s="437" t="str">
        <f>IFERROR(IF(AND(ISNUMBER(K512),O512=0),0,VLOOKUP(HLOOKUP(Stn_WL,Tools!$AD$2:$AD$27,N512+2,FALSE),Tools!$AD$3:$BC$27,O512+1,FALSE)),"")</f>
        <v/>
      </c>
      <c r="M512" s="437" t="str">
        <f>IFERROR(IF(ISNUMBER(L512),IF(O512=0,IFERROR(HLOOKUP(Tools!$BD$127,Tools!$BD$127:$BD$152,N512+2,FALSE)*1,0),HLOOKUP(Tools!$BE$2,Tools!$BE$2:$BE$27,O512+1,FALSE)*WLS),""),"")</f>
        <v/>
      </c>
      <c r="N512">
        <f t="shared" si="44"/>
        <v>39</v>
      </c>
      <c r="O512">
        <f t="shared" si="45"/>
        <v>3</v>
      </c>
    </row>
    <row r="513" spans="1:15" x14ac:dyDescent="0.25">
      <c r="A513" s="431" t="str">
        <f t="shared" si="46"/>
        <v/>
      </c>
      <c r="B513" s="434" t="str">
        <f t="shared" si="42"/>
        <v/>
      </c>
      <c r="C513" s="437" t="str">
        <f>IFERROR(-LBP/2+HLOOKUP(Stn_WL,Tools!$AD$2:$AD$27,QUOTIENT(ROW()-2,Max_WL_count)+2,FALSE)*STN_GAP,"")</f>
        <v/>
      </c>
      <c r="D513" s="437" t="str">
        <f>IFERROR(VLOOKUP(HLOOKUP(Stn_WL,Tools!$AD$2:$AD$27,QUOTIENT(ROW()-2,Max_WL_count)+2,FALSE),Tools!$AD$3:$BC$27,MOD(ROW()-2,Max_WL_count)+2,FALSE),"")</f>
        <v/>
      </c>
      <c r="E513" s="435" t="str">
        <f>IFERROR(IF(ISNUMBER(D513),HLOOKUP(Tools!$BE$2,Tools!$BE$2:$BE$27,MOD(ROW()-2,Max_WL_count)+2,FALSE)*WLS,""),"")</f>
        <v/>
      </c>
      <c r="I513" s="431" t="str">
        <f t="shared" si="47"/>
        <v/>
      </c>
      <c r="J513" s="434" t="str">
        <f t="shared" si="43"/>
        <v/>
      </c>
      <c r="K513" s="437" t="str">
        <f>IFERROR(-LBP/2+HLOOKUP(Stn_WL,Tools!$AD$2:$AD$27,N513+2,FALSE)*STN_GAP,"")</f>
        <v/>
      </c>
      <c r="L513" s="437" t="str">
        <f>IFERROR(IF(AND(ISNUMBER(K513),O513=0),0,VLOOKUP(HLOOKUP(Stn_WL,Tools!$AD$2:$AD$27,N513+2,FALSE),Tools!$AD$3:$BC$27,O513+1,FALSE)),"")</f>
        <v/>
      </c>
      <c r="M513" s="437" t="str">
        <f>IFERROR(IF(ISNUMBER(L513),IF(O513=0,IFERROR(HLOOKUP(Tools!$BD$127,Tools!$BD$127:$BD$152,N513+2,FALSE)*1,0),HLOOKUP(Tools!$BE$2,Tools!$BE$2:$BE$27,O513+1,FALSE)*WLS),""),"")</f>
        <v/>
      </c>
      <c r="N513">
        <f t="shared" si="44"/>
        <v>39</v>
      </c>
      <c r="O513">
        <f t="shared" si="45"/>
        <v>4</v>
      </c>
    </row>
    <row r="514" spans="1:15" x14ac:dyDescent="0.25">
      <c r="A514" s="431" t="str">
        <f t="shared" si="46"/>
        <v/>
      </c>
      <c r="B514" s="434" t="str">
        <f t="shared" ref="B514:B577" si="48">IFERROR(IF(ISNUMBER(D514),QUOTIENT(ROW()-2,Max_WL_count)+1,""),"")</f>
        <v/>
      </c>
      <c r="C514" s="437" t="str">
        <f>IFERROR(-LBP/2+HLOOKUP(Stn_WL,Tools!$AD$2:$AD$27,QUOTIENT(ROW()-2,Max_WL_count)+2,FALSE)*STN_GAP,"")</f>
        <v/>
      </c>
      <c r="D514" s="437" t="str">
        <f>IFERROR(VLOOKUP(HLOOKUP(Stn_WL,Tools!$AD$2:$AD$27,QUOTIENT(ROW()-2,Max_WL_count)+2,FALSE),Tools!$AD$3:$BC$27,MOD(ROW()-2,Max_WL_count)+2,FALSE),"")</f>
        <v/>
      </c>
      <c r="E514" s="435" t="str">
        <f>IFERROR(IF(ISNUMBER(D514),HLOOKUP(Tools!$BE$2,Tools!$BE$2:$BE$27,MOD(ROW()-2,Max_WL_count)+2,FALSE)*WLS,""),"")</f>
        <v/>
      </c>
      <c r="I514" s="431" t="str">
        <f t="shared" si="47"/>
        <v/>
      </c>
      <c r="J514" s="434" t="str">
        <f t="shared" ref="J514:J577" si="49">IFERROR(IF(ISNUMBER(L514),QUOTIENT(ROW()-2,Max_WL_count+1)+1,""),"")</f>
        <v/>
      </c>
      <c r="K514" s="437" t="str">
        <f>IFERROR(-LBP/2+HLOOKUP(Stn_WL,Tools!$AD$2:$AD$27,N514+2,FALSE)*STN_GAP,"")</f>
        <v/>
      </c>
      <c r="L514" s="437" t="str">
        <f>IFERROR(IF(AND(ISNUMBER(K514),O514=0),0,VLOOKUP(HLOOKUP(Stn_WL,Tools!$AD$2:$AD$27,N514+2,FALSE),Tools!$AD$3:$BC$27,O514+1,FALSE)),"")</f>
        <v/>
      </c>
      <c r="M514" s="437" t="str">
        <f>IFERROR(IF(ISNUMBER(L514),IF(O514=0,IFERROR(HLOOKUP(Tools!$BD$127,Tools!$BD$127:$BD$152,N514+2,FALSE)*1,0),HLOOKUP(Tools!$BE$2,Tools!$BE$2:$BE$27,O514+1,FALSE)*WLS),""),"")</f>
        <v/>
      </c>
      <c r="N514">
        <f t="shared" ref="N514:N577" si="50">QUOTIENT(ROW()-2,Max_WL_count+1)</f>
        <v>39</v>
      </c>
      <c r="O514">
        <f t="shared" ref="O514:O577" si="51">MOD(ROW()-2,Max_WL_count+1)</f>
        <v>5</v>
      </c>
    </row>
    <row r="515" spans="1:15" x14ac:dyDescent="0.25">
      <c r="A515" s="431" t="str">
        <f t="shared" ref="A515:A578" si="52">IF(ISNUMBER(D515),ROW()-1,"")</f>
        <v/>
      </c>
      <c r="B515" s="434" t="str">
        <f t="shared" si="48"/>
        <v/>
      </c>
      <c r="C515" s="437" t="str">
        <f>IFERROR(-LBP/2+HLOOKUP(Stn_WL,Tools!$AD$2:$AD$27,QUOTIENT(ROW()-2,Max_WL_count)+2,FALSE)*STN_GAP,"")</f>
        <v/>
      </c>
      <c r="D515" s="437" t="str">
        <f>IFERROR(VLOOKUP(HLOOKUP(Stn_WL,Tools!$AD$2:$AD$27,QUOTIENT(ROW()-2,Max_WL_count)+2,FALSE),Tools!$AD$3:$BC$27,MOD(ROW()-2,Max_WL_count)+2,FALSE),"")</f>
        <v/>
      </c>
      <c r="E515" s="435" t="str">
        <f>IFERROR(IF(ISNUMBER(D515),HLOOKUP(Tools!$BE$2,Tools!$BE$2:$BE$27,MOD(ROW()-2,Max_WL_count)+2,FALSE)*WLS,""),"")</f>
        <v/>
      </c>
      <c r="I515" s="431" t="str">
        <f t="shared" ref="I515:I578" si="53">IF(ISNUMBER(L515),ROW()-1,"")</f>
        <v/>
      </c>
      <c r="J515" s="434" t="str">
        <f t="shared" si="49"/>
        <v/>
      </c>
      <c r="K515" s="437" t="str">
        <f>IFERROR(-LBP/2+HLOOKUP(Stn_WL,Tools!$AD$2:$AD$27,N515+2,FALSE)*STN_GAP,"")</f>
        <v/>
      </c>
      <c r="L515" s="437" t="str">
        <f>IFERROR(IF(AND(ISNUMBER(K515),O515=0),0,VLOOKUP(HLOOKUP(Stn_WL,Tools!$AD$2:$AD$27,N515+2,FALSE),Tools!$AD$3:$BC$27,O515+1,FALSE)),"")</f>
        <v/>
      </c>
      <c r="M515" s="437" t="str">
        <f>IFERROR(IF(ISNUMBER(L515),IF(O515=0,IFERROR(HLOOKUP(Tools!$BD$127,Tools!$BD$127:$BD$152,N515+2,FALSE)*1,0),HLOOKUP(Tools!$BE$2,Tools!$BE$2:$BE$27,O515+1,FALSE)*WLS),""),"")</f>
        <v/>
      </c>
      <c r="N515">
        <f t="shared" si="50"/>
        <v>39</v>
      </c>
      <c r="O515">
        <f t="shared" si="51"/>
        <v>6</v>
      </c>
    </row>
    <row r="516" spans="1:15" x14ac:dyDescent="0.25">
      <c r="A516" s="431" t="str">
        <f t="shared" si="52"/>
        <v/>
      </c>
      <c r="B516" s="434" t="str">
        <f t="shared" si="48"/>
        <v/>
      </c>
      <c r="C516" s="437" t="str">
        <f>IFERROR(-LBP/2+HLOOKUP(Stn_WL,Tools!$AD$2:$AD$27,QUOTIENT(ROW()-2,Max_WL_count)+2,FALSE)*STN_GAP,"")</f>
        <v/>
      </c>
      <c r="D516" s="437" t="str">
        <f>IFERROR(VLOOKUP(HLOOKUP(Stn_WL,Tools!$AD$2:$AD$27,QUOTIENT(ROW()-2,Max_WL_count)+2,FALSE),Tools!$AD$3:$BC$27,MOD(ROW()-2,Max_WL_count)+2,FALSE),"")</f>
        <v/>
      </c>
      <c r="E516" s="435" t="str">
        <f>IFERROR(IF(ISNUMBER(D516),HLOOKUP(Tools!$BE$2,Tools!$BE$2:$BE$27,MOD(ROW()-2,Max_WL_count)+2,FALSE)*WLS,""),"")</f>
        <v/>
      </c>
      <c r="I516" s="431" t="str">
        <f t="shared" si="53"/>
        <v/>
      </c>
      <c r="J516" s="434" t="str">
        <f t="shared" si="49"/>
        <v/>
      </c>
      <c r="K516" s="437" t="str">
        <f>IFERROR(-LBP/2+HLOOKUP(Stn_WL,Tools!$AD$2:$AD$27,N516+2,FALSE)*STN_GAP,"")</f>
        <v/>
      </c>
      <c r="L516" s="437" t="str">
        <f>IFERROR(IF(AND(ISNUMBER(K516),O516=0),0,VLOOKUP(HLOOKUP(Stn_WL,Tools!$AD$2:$AD$27,N516+2,FALSE),Tools!$AD$3:$BC$27,O516+1,FALSE)),"")</f>
        <v/>
      </c>
      <c r="M516" s="437" t="str">
        <f>IFERROR(IF(ISNUMBER(L516),IF(O516=0,IFERROR(HLOOKUP(Tools!$BD$127,Tools!$BD$127:$BD$152,N516+2,FALSE)*1,0),HLOOKUP(Tools!$BE$2,Tools!$BE$2:$BE$27,O516+1,FALSE)*WLS),""),"")</f>
        <v/>
      </c>
      <c r="N516">
        <f t="shared" si="50"/>
        <v>39</v>
      </c>
      <c r="O516">
        <f t="shared" si="51"/>
        <v>7</v>
      </c>
    </row>
    <row r="517" spans="1:15" x14ac:dyDescent="0.25">
      <c r="A517" s="431" t="str">
        <f t="shared" si="52"/>
        <v/>
      </c>
      <c r="B517" s="434" t="str">
        <f t="shared" si="48"/>
        <v/>
      </c>
      <c r="C517" s="437" t="str">
        <f>IFERROR(-LBP/2+HLOOKUP(Stn_WL,Tools!$AD$2:$AD$27,QUOTIENT(ROW()-2,Max_WL_count)+2,FALSE)*STN_GAP,"")</f>
        <v/>
      </c>
      <c r="D517" s="437" t="str">
        <f>IFERROR(VLOOKUP(HLOOKUP(Stn_WL,Tools!$AD$2:$AD$27,QUOTIENT(ROW()-2,Max_WL_count)+2,FALSE),Tools!$AD$3:$BC$27,MOD(ROW()-2,Max_WL_count)+2,FALSE),"")</f>
        <v/>
      </c>
      <c r="E517" s="435" t="str">
        <f>IFERROR(IF(ISNUMBER(D517),HLOOKUP(Tools!$BE$2,Tools!$BE$2:$BE$27,MOD(ROW()-2,Max_WL_count)+2,FALSE)*WLS,""),"")</f>
        <v/>
      </c>
      <c r="I517" s="431" t="str">
        <f t="shared" si="53"/>
        <v/>
      </c>
      <c r="J517" s="434" t="str">
        <f t="shared" si="49"/>
        <v/>
      </c>
      <c r="K517" s="437" t="str">
        <f>IFERROR(-LBP/2+HLOOKUP(Stn_WL,Tools!$AD$2:$AD$27,N517+2,FALSE)*STN_GAP,"")</f>
        <v/>
      </c>
      <c r="L517" s="437" t="str">
        <f>IFERROR(IF(AND(ISNUMBER(K517),O517=0),0,VLOOKUP(HLOOKUP(Stn_WL,Tools!$AD$2:$AD$27,N517+2,FALSE),Tools!$AD$3:$BC$27,O517+1,FALSE)),"")</f>
        <v/>
      </c>
      <c r="M517" s="437" t="str">
        <f>IFERROR(IF(ISNUMBER(L517),IF(O517=0,IFERROR(HLOOKUP(Tools!$BD$127,Tools!$BD$127:$BD$152,N517+2,FALSE)*1,0),HLOOKUP(Tools!$BE$2,Tools!$BE$2:$BE$27,O517+1,FALSE)*WLS),""),"")</f>
        <v/>
      </c>
      <c r="N517">
        <f t="shared" si="50"/>
        <v>39</v>
      </c>
      <c r="O517">
        <f t="shared" si="51"/>
        <v>8</v>
      </c>
    </row>
    <row r="518" spans="1:15" x14ac:dyDescent="0.25">
      <c r="A518" s="431" t="str">
        <f t="shared" si="52"/>
        <v/>
      </c>
      <c r="B518" s="434" t="str">
        <f t="shared" si="48"/>
        <v/>
      </c>
      <c r="C518" s="437" t="str">
        <f>IFERROR(-LBP/2+HLOOKUP(Stn_WL,Tools!$AD$2:$AD$27,QUOTIENT(ROW()-2,Max_WL_count)+2,FALSE)*STN_GAP,"")</f>
        <v/>
      </c>
      <c r="D518" s="437" t="str">
        <f>IFERROR(VLOOKUP(HLOOKUP(Stn_WL,Tools!$AD$2:$AD$27,QUOTIENT(ROW()-2,Max_WL_count)+2,FALSE),Tools!$AD$3:$BC$27,MOD(ROW()-2,Max_WL_count)+2,FALSE),"")</f>
        <v/>
      </c>
      <c r="E518" s="435" t="str">
        <f>IFERROR(IF(ISNUMBER(D518),HLOOKUP(Tools!$BE$2,Tools!$BE$2:$BE$27,MOD(ROW()-2,Max_WL_count)+2,FALSE)*WLS,""),"")</f>
        <v/>
      </c>
      <c r="I518" s="431" t="str">
        <f t="shared" si="53"/>
        <v/>
      </c>
      <c r="J518" s="434" t="str">
        <f t="shared" si="49"/>
        <v/>
      </c>
      <c r="K518" s="437" t="str">
        <f>IFERROR(-LBP/2+HLOOKUP(Stn_WL,Tools!$AD$2:$AD$27,N518+2,FALSE)*STN_GAP,"")</f>
        <v/>
      </c>
      <c r="L518" s="437" t="str">
        <f>IFERROR(IF(AND(ISNUMBER(K518),O518=0),0,VLOOKUP(HLOOKUP(Stn_WL,Tools!$AD$2:$AD$27,N518+2,FALSE),Tools!$AD$3:$BC$27,O518+1,FALSE)),"")</f>
        <v/>
      </c>
      <c r="M518" s="437" t="str">
        <f>IFERROR(IF(ISNUMBER(L518),IF(O518=0,IFERROR(HLOOKUP(Tools!$BD$127,Tools!$BD$127:$BD$152,N518+2,FALSE)*1,0),HLOOKUP(Tools!$BE$2,Tools!$BE$2:$BE$27,O518+1,FALSE)*WLS),""),"")</f>
        <v/>
      </c>
      <c r="N518">
        <f t="shared" si="50"/>
        <v>39</v>
      </c>
      <c r="O518">
        <f t="shared" si="51"/>
        <v>9</v>
      </c>
    </row>
    <row r="519" spans="1:15" x14ac:dyDescent="0.25">
      <c r="A519" s="431" t="str">
        <f t="shared" si="52"/>
        <v/>
      </c>
      <c r="B519" s="434" t="str">
        <f t="shared" si="48"/>
        <v/>
      </c>
      <c r="C519" s="437" t="str">
        <f>IFERROR(-LBP/2+HLOOKUP(Stn_WL,Tools!$AD$2:$AD$27,QUOTIENT(ROW()-2,Max_WL_count)+2,FALSE)*STN_GAP,"")</f>
        <v/>
      </c>
      <c r="D519" s="437" t="str">
        <f>IFERROR(VLOOKUP(HLOOKUP(Stn_WL,Tools!$AD$2:$AD$27,QUOTIENT(ROW()-2,Max_WL_count)+2,FALSE),Tools!$AD$3:$BC$27,MOD(ROW()-2,Max_WL_count)+2,FALSE),"")</f>
        <v/>
      </c>
      <c r="E519" s="435" t="str">
        <f>IFERROR(IF(ISNUMBER(D519),HLOOKUP(Tools!$BE$2,Tools!$BE$2:$BE$27,MOD(ROW()-2,Max_WL_count)+2,FALSE)*WLS,""),"")</f>
        <v/>
      </c>
      <c r="I519" s="431" t="str">
        <f t="shared" si="53"/>
        <v/>
      </c>
      <c r="J519" s="434" t="str">
        <f t="shared" si="49"/>
        <v/>
      </c>
      <c r="K519" s="437" t="str">
        <f>IFERROR(-LBP/2+HLOOKUP(Stn_WL,Tools!$AD$2:$AD$27,N519+2,FALSE)*STN_GAP,"")</f>
        <v/>
      </c>
      <c r="L519" s="437" t="str">
        <f>IFERROR(IF(AND(ISNUMBER(K519),O519=0),0,VLOOKUP(HLOOKUP(Stn_WL,Tools!$AD$2:$AD$27,N519+2,FALSE),Tools!$AD$3:$BC$27,O519+1,FALSE)),"")</f>
        <v/>
      </c>
      <c r="M519" s="437" t="str">
        <f>IFERROR(IF(ISNUMBER(L519),IF(O519=0,IFERROR(HLOOKUP(Tools!$BD$127,Tools!$BD$127:$BD$152,N519+2,FALSE)*1,0),HLOOKUP(Tools!$BE$2,Tools!$BE$2:$BE$27,O519+1,FALSE)*WLS),""),"")</f>
        <v/>
      </c>
      <c r="N519">
        <f t="shared" si="50"/>
        <v>39</v>
      </c>
      <c r="O519">
        <f t="shared" si="51"/>
        <v>10</v>
      </c>
    </row>
    <row r="520" spans="1:15" x14ac:dyDescent="0.25">
      <c r="A520" s="431" t="str">
        <f t="shared" si="52"/>
        <v/>
      </c>
      <c r="B520" s="434" t="str">
        <f t="shared" si="48"/>
        <v/>
      </c>
      <c r="C520" s="437" t="str">
        <f>IFERROR(-LBP/2+HLOOKUP(Stn_WL,Tools!$AD$2:$AD$27,QUOTIENT(ROW()-2,Max_WL_count)+2,FALSE)*STN_GAP,"")</f>
        <v/>
      </c>
      <c r="D520" s="437" t="str">
        <f>IFERROR(VLOOKUP(HLOOKUP(Stn_WL,Tools!$AD$2:$AD$27,QUOTIENT(ROW()-2,Max_WL_count)+2,FALSE),Tools!$AD$3:$BC$27,MOD(ROW()-2,Max_WL_count)+2,FALSE),"")</f>
        <v/>
      </c>
      <c r="E520" s="435" t="str">
        <f>IFERROR(IF(ISNUMBER(D520),HLOOKUP(Tools!$BE$2,Tools!$BE$2:$BE$27,MOD(ROW()-2,Max_WL_count)+2,FALSE)*WLS,""),"")</f>
        <v/>
      </c>
      <c r="I520" s="431" t="str">
        <f t="shared" si="53"/>
        <v/>
      </c>
      <c r="J520" s="434" t="str">
        <f t="shared" si="49"/>
        <v/>
      </c>
      <c r="K520" s="437" t="str">
        <f>IFERROR(-LBP/2+HLOOKUP(Stn_WL,Tools!$AD$2:$AD$27,N520+2,FALSE)*STN_GAP,"")</f>
        <v/>
      </c>
      <c r="L520" s="437" t="str">
        <f>IFERROR(IF(AND(ISNUMBER(K520),O520=0),0,VLOOKUP(HLOOKUP(Stn_WL,Tools!$AD$2:$AD$27,N520+2,FALSE),Tools!$AD$3:$BC$27,O520+1,FALSE)),"")</f>
        <v/>
      </c>
      <c r="M520" s="437" t="str">
        <f>IFERROR(IF(ISNUMBER(L520),IF(O520=0,IFERROR(HLOOKUP(Tools!$BD$127,Tools!$BD$127:$BD$152,N520+2,FALSE)*1,0),HLOOKUP(Tools!$BE$2,Tools!$BE$2:$BE$27,O520+1,FALSE)*WLS),""),"")</f>
        <v/>
      </c>
      <c r="N520">
        <f t="shared" si="50"/>
        <v>39</v>
      </c>
      <c r="O520">
        <f t="shared" si="51"/>
        <v>11</v>
      </c>
    </row>
    <row r="521" spans="1:15" x14ac:dyDescent="0.25">
      <c r="A521" s="431" t="str">
        <f t="shared" si="52"/>
        <v/>
      </c>
      <c r="B521" s="434" t="str">
        <f t="shared" si="48"/>
        <v/>
      </c>
      <c r="C521" s="437" t="str">
        <f>IFERROR(-LBP/2+HLOOKUP(Stn_WL,Tools!$AD$2:$AD$27,QUOTIENT(ROW()-2,Max_WL_count)+2,FALSE)*STN_GAP,"")</f>
        <v/>
      </c>
      <c r="D521" s="437" t="str">
        <f>IFERROR(VLOOKUP(HLOOKUP(Stn_WL,Tools!$AD$2:$AD$27,QUOTIENT(ROW()-2,Max_WL_count)+2,FALSE),Tools!$AD$3:$BC$27,MOD(ROW()-2,Max_WL_count)+2,FALSE),"")</f>
        <v/>
      </c>
      <c r="E521" s="435" t="str">
        <f>IFERROR(IF(ISNUMBER(D521),HLOOKUP(Tools!$BE$2,Tools!$BE$2:$BE$27,MOD(ROW()-2,Max_WL_count)+2,FALSE)*WLS,""),"")</f>
        <v/>
      </c>
      <c r="I521" s="431" t="str">
        <f t="shared" si="53"/>
        <v/>
      </c>
      <c r="J521" s="434" t="str">
        <f t="shared" si="49"/>
        <v/>
      </c>
      <c r="K521" s="437" t="str">
        <f>IFERROR(-LBP/2+HLOOKUP(Stn_WL,Tools!$AD$2:$AD$27,N521+2,FALSE)*STN_GAP,"")</f>
        <v/>
      </c>
      <c r="L521" s="437" t="str">
        <f>IFERROR(IF(AND(ISNUMBER(K521),O521=0),0,VLOOKUP(HLOOKUP(Stn_WL,Tools!$AD$2:$AD$27,N521+2,FALSE),Tools!$AD$3:$BC$27,O521+1,FALSE)),"")</f>
        <v/>
      </c>
      <c r="M521" s="437" t="str">
        <f>IFERROR(IF(ISNUMBER(L521),IF(O521=0,IFERROR(HLOOKUP(Tools!$BD$127,Tools!$BD$127:$BD$152,N521+2,FALSE)*1,0),HLOOKUP(Tools!$BE$2,Tools!$BE$2:$BE$27,O521+1,FALSE)*WLS),""),"")</f>
        <v/>
      </c>
      <c r="N521">
        <f t="shared" si="50"/>
        <v>39</v>
      </c>
      <c r="O521">
        <f t="shared" si="51"/>
        <v>12</v>
      </c>
    </row>
    <row r="522" spans="1:15" x14ac:dyDescent="0.25">
      <c r="A522" s="431" t="str">
        <f t="shared" si="52"/>
        <v/>
      </c>
      <c r="B522" s="434" t="str">
        <f t="shared" si="48"/>
        <v/>
      </c>
      <c r="C522" s="437" t="str">
        <f>IFERROR(-LBP/2+HLOOKUP(Stn_WL,Tools!$AD$2:$AD$27,QUOTIENT(ROW()-2,Max_WL_count)+2,FALSE)*STN_GAP,"")</f>
        <v/>
      </c>
      <c r="D522" s="437" t="str">
        <f>IFERROR(VLOOKUP(HLOOKUP(Stn_WL,Tools!$AD$2:$AD$27,QUOTIENT(ROW()-2,Max_WL_count)+2,FALSE),Tools!$AD$3:$BC$27,MOD(ROW()-2,Max_WL_count)+2,FALSE),"")</f>
        <v/>
      </c>
      <c r="E522" s="435" t="str">
        <f>IFERROR(IF(ISNUMBER(D522),HLOOKUP(Tools!$BE$2,Tools!$BE$2:$BE$27,MOD(ROW()-2,Max_WL_count)+2,FALSE)*WLS,""),"")</f>
        <v/>
      </c>
      <c r="I522" s="431" t="str">
        <f t="shared" si="53"/>
        <v/>
      </c>
      <c r="J522" s="434" t="str">
        <f t="shared" si="49"/>
        <v/>
      </c>
      <c r="K522" s="437" t="str">
        <f>IFERROR(-LBP/2+HLOOKUP(Stn_WL,Tools!$AD$2:$AD$27,N522+2,FALSE)*STN_GAP,"")</f>
        <v/>
      </c>
      <c r="L522" s="437" t="str">
        <f>IFERROR(IF(AND(ISNUMBER(K522),O522=0),0,VLOOKUP(HLOOKUP(Stn_WL,Tools!$AD$2:$AD$27,N522+2,FALSE),Tools!$AD$3:$BC$27,O522+1,FALSE)),"")</f>
        <v/>
      </c>
      <c r="M522" s="437" t="str">
        <f>IFERROR(IF(ISNUMBER(L522),IF(O522=0,IFERROR(HLOOKUP(Tools!$BD$127,Tools!$BD$127:$BD$152,N522+2,FALSE)*1,0),HLOOKUP(Tools!$BE$2,Tools!$BE$2:$BE$27,O522+1,FALSE)*WLS),""),"")</f>
        <v/>
      </c>
      <c r="N522">
        <f t="shared" si="50"/>
        <v>40</v>
      </c>
      <c r="O522">
        <f t="shared" si="51"/>
        <v>0</v>
      </c>
    </row>
    <row r="523" spans="1:15" x14ac:dyDescent="0.25">
      <c r="A523" s="431" t="str">
        <f t="shared" si="52"/>
        <v/>
      </c>
      <c r="B523" s="434" t="str">
        <f t="shared" si="48"/>
        <v/>
      </c>
      <c r="C523" s="437" t="str">
        <f>IFERROR(-LBP/2+HLOOKUP(Stn_WL,Tools!$AD$2:$AD$27,QUOTIENT(ROW()-2,Max_WL_count)+2,FALSE)*STN_GAP,"")</f>
        <v/>
      </c>
      <c r="D523" s="437" t="str">
        <f>IFERROR(VLOOKUP(HLOOKUP(Stn_WL,Tools!$AD$2:$AD$27,QUOTIENT(ROW()-2,Max_WL_count)+2,FALSE),Tools!$AD$3:$BC$27,MOD(ROW()-2,Max_WL_count)+2,FALSE),"")</f>
        <v/>
      </c>
      <c r="E523" s="435" t="str">
        <f>IFERROR(IF(ISNUMBER(D523),HLOOKUP(Tools!$BE$2,Tools!$BE$2:$BE$27,MOD(ROW()-2,Max_WL_count)+2,FALSE)*WLS,""),"")</f>
        <v/>
      </c>
      <c r="I523" s="431" t="str">
        <f t="shared" si="53"/>
        <v/>
      </c>
      <c r="J523" s="434" t="str">
        <f t="shared" si="49"/>
        <v/>
      </c>
      <c r="K523" s="437" t="str">
        <f>IFERROR(-LBP/2+HLOOKUP(Stn_WL,Tools!$AD$2:$AD$27,N523+2,FALSE)*STN_GAP,"")</f>
        <v/>
      </c>
      <c r="L523" s="437" t="str">
        <f>IFERROR(IF(AND(ISNUMBER(K523),O523=0),0,VLOOKUP(HLOOKUP(Stn_WL,Tools!$AD$2:$AD$27,N523+2,FALSE),Tools!$AD$3:$BC$27,O523+1,FALSE)),"")</f>
        <v/>
      </c>
      <c r="M523" s="437" t="str">
        <f>IFERROR(IF(ISNUMBER(L523),IF(O523=0,IFERROR(HLOOKUP(Tools!$BD$127,Tools!$BD$127:$BD$152,N523+2,FALSE)*1,0),HLOOKUP(Tools!$BE$2,Tools!$BE$2:$BE$27,O523+1,FALSE)*WLS),""),"")</f>
        <v/>
      </c>
      <c r="N523">
        <f t="shared" si="50"/>
        <v>40</v>
      </c>
      <c r="O523">
        <f t="shared" si="51"/>
        <v>1</v>
      </c>
    </row>
    <row r="524" spans="1:15" x14ac:dyDescent="0.25">
      <c r="A524" s="431" t="str">
        <f t="shared" si="52"/>
        <v/>
      </c>
      <c r="B524" s="434" t="str">
        <f t="shared" si="48"/>
        <v/>
      </c>
      <c r="C524" s="437" t="str">
        <f>IFERROR(-LBP/2+HLOOKUP(Stn_WL,Tools!$AD$2:$AD$27,QUOTIENT(ROW()-2,Max_WL_count)+2,FALSE)*STN_GAP,"")</f>
        <v/>
      </c>
      <c r="D524" s="437" t="str">
        <f>IFERROR(VLOOKUP(HLOOKUP(Stn_WL,Tools!$AD$2:$AD$27,QUOTIENT(ROW()-2,Max_WL_count)+2,FALSE),Tools!$AD$3:$BC$27,MOD(ROW()-2,Max_WL_count)+2,FALSE),"")</f>
        <v/>
      </c>
      <c r="E524" s="435" t="str">
        <f>IFERROR(IF(ISNUMBER(D524),HLOOKUP(Tools!$BE$2,Tools!$BE$2:$BE$27,MOD(ROW()-2,Max_WL_count)+2,FALSE)*WLS,""),"")</f>
        <v/>
      </c>
      <c r="I524" s="431" t="str">
        <f t="shared" si="53"/>
        <v/>
      </c>
      <c r="J524" s="434" t="str">
        <f t="shared" si="49"/>
        <v/>
      </c>
      <c r="K524" s="437" t="str">
        <f>IFERROR(-LBP/2+HLOOKUP(Stn_WL,Tools!$AD$2:$AD$27,N524+2,FALSE)*STN_GAP,"")</f>
        <v/>
      </c>
      <c r="L524" s="437" t="str">
        <f>IFERROR(IF(AND(ISNUMBER(K524),O524=0),0,VLOOKUP(HLOOKUP(Stn_WL,Tools!$AD$2:$AD$27,N524+2,FALSE),Tools!$AD$3:$BC$27,O524+1,FALSE)),"")</f>
        <v/>
      </c>
      <c r="M524" s="437" t="str">
        <f>IFERROR(IF(ISNUMBER(L524),IF(O524=0,IFERROR(HLOOKUP(Tools!$BD$127,Tools!$BD$127:$BD$152,N524+2,FALSE)*1,0),HLOOKUP(Tools!$BE$2,Tools!$BE$2:$BE$27,O524+1,FALSE)*WLS),""),"")</f>
        <v/>
      </c>
      <c r="N524">
        <f t="shared" si="50"/>
        <v>40</v>
      </c>
      <c r="O524">
        <f t="shared" si="51"/>
        <v>2</v>
      </c>
    </row>
    <row r="525" spans="1:15" x14ac:dyDescent="0.25">
      <c r="A525" s="431" t="str">
        <f t="shared" si="52"/>
        <v/>
      </c>
      <c r="B525" s="434" t="str">
        <f t="shared" si="48"/>
        <v/>
      </c>
      <c r="C525" s="437" t="str">
        <f>IFERROR(-LBP/2+HLOOKUP(Stn_WL,Tools!$AD$2:$AD$27,QUOTIENT(ROW()-2,Max_WL_count)+2,FALSE)*STN_GAP,"")</f>
        <v/>
      </c>
      <c r="D525" s="437" t="str">
        <f>IFERROR(VLOOKUP(HLOOKUP(Stn_WL,Tools!$AD$2:$AD$27,QUOTIENT(ROW()-2,Max_WL_count)+2,FALSE),Tools!$AD$3:$BC$27,MOD(ROW()-2,Max_WL_count)+2,FALSE),"")</f>
        <v/>
      </c>
      <c r="E525" s="435" t="str">
        <f>IFERROR(IF(ISNUMBER(D525),HLOOKUP(Tools!$BE$2,Tools!$BE$2:$BE$27,MOD(ROW()-2,Max_WL_count)+2,FALSE)*WLS,""),"")</f>
        <v/>
      </c>
      <c r="I525" s="431" t="str">
        <f t="shared" si="53"/>
        <v/>
      </c>
      <c r="J525" s="434" t="str">
        <f t="shared" si="49"/>
        <v/>
      </c>
      <c r="K525" s="437" t="str">
        <f>IFERROR(-LBP/2+HLOOKUP(Stn_WL,Tools!$AD$2:$AD$27,N525+2,FALSE)*STN_GAP,"")</f>
        <v/>
      </c>
      <c r="L525" s="437" t="str">
        <f>IFERROR(IF(AND(ISNUMBER(K525),O525=0),0,VLOOKUP(HLOOKUP(Stn_WL,Tools!$AD$2:$AD$27,N525+2,FALSE),Tools!$AD$3:$BC$27,O525+1,FALSE)),"")</f>
        <v/>
      </c>
      <c r="M525" s="437" t="str">
        <f>IFERROR(IF(ISNUMBER(L525),IF(O525=0,IFERROR(HLOOKUP(Tools!$BD$127,Tools!$BD$127:$BD$152,N525+2,FALSE)*1,0),HLOOKUP(Tools!$BE$2,Tools!$BE$2:$BE$27,O525+1,FALSE)*WLS),""),"")</f>
        <v/>
      </c>
      <c r="N525">
        <f t="shared" si="50"/>
        <v>40</v>
      </c>
      <c r="O525">
        <f t="shared" si="51"/>
        <v>3</v>
      </c>
    </row>
    <row r="526" spans="1:15" x14ac:dyDescent="0.25">
      <c r="A526" s="431" t="str">
        <f t="shared" si="52"/>
        <v/>
      </c>
      <c r="B526" s="434" t="str">
        <f t="shared" si="48"/>
        <v/>
      </c>
      <c r="C526" s="437" t="str">
        <f>IFERROR(-LBP/2+HLOOKUP(Stn_WL,Tools!$AD$2:$AD$27,QUOTIENT(ROW()-2,Max_WL_count)+2,FALSE)*STN_GAP,"")</f>
        <v/>
      </c>
      <c r="D526" s="437" t="str">
        <f>IFERROR(VLOOKUP(HLOOKUP(Stn_WL,Tools!$AD$2:$AD$27,QUOTIENT(ROW()-2,Max_WL_count)+2,FALSE),Tools!$AD$3:$BC$27,MOD(ROW()-2,Max_WL_count)+2,FALSE),"")</f>
        <v/>
      </c>
      <c r="E526" s="435" t="str">
        <f>IFERROR(IF(ISNUMBER(D526),HLOOKUP(Tools!$BE$2,Tools!$BE$2:$BE$27,MOD(ROW()-2,Max_WL_count)+2,FALSE)*WLS,""),"")</f>
        <v/>
      </c>
      <c r="I526" s="431" t="str">
        <f t="shared" si="53"/>
        <v/>
      </c>
      <c r="J526" s="434" t="str">
        <f t="shared" si="49"/>
        <v/>
      </c>
      <c r="K526" s="437" t="str">
        <f>IFERROR(-LBP/2+HLOOKUP(Stn_WL,Tools!$AD$2:$AD$27,N526+2,FALSE)*STN_GAP,"")</f>
        <v/>
      </c>
      <c r="L526" s="437" t="str">
        <f>IFERROR(IF(AND(ISNUMBER(K526),O526=0),0,VLOOKUP(HLOOKUP(Stn_WL,Tools!$AD$2:$AD$27,N526+2,FALSE),Tools!$AD$3:$BC$27,O526+1,FALSE)),"")</f>
        <v/>
      </c>
      <c r="M526" s="437" t="str">
        <f>IFERROR(IF(ISNUMBER(L526),IF(O526=0,IFERROR(HLOOKUP(Tools!$BD$127,Tools!$BD$127:$BD$152,N526+2,FALSE)*1,0),HLOOKUP(Tools!$BE$2,Tools!$BE$2:$BE$27,O526+1,FALSE)*WLS),""),"")</f>
        <v/>
      </c>
      <c r="N526">
        <f t="shared" si="50"/>
        <v>40</v>
      </c>
      <c r="O526">
        <f t="shared" si="51"/>
        <v>4</v>
      </c>
    </row>
    <row r="527" spans="1:15" x14ac:dyDescent="0.25">
      <c r="A527" s="431" t="str">
        <f t="shared" si="52"/>
        <v/>
      </c>
      <c r="B527" s="434" t="str">
        <f t="shared" si="48"/>
        <v/>
      </c>
      <c r="C527" s="437" t="str">
        <f>IFERROR(-LBP/2+HLOOKUP(Stn_WL,Tools!$AD$2:$AD$27,QUOTIENT(ROW()-2,Max_WL_count)+2,FALSE)*STN_GAP,"")</f>
        <v/>
      </c>
      <c r="D527" s="437" t="str">
        <f>IFERROR(VLOOKUP(HLOOKUP(Stn_WL,Tools!$AD$2:$AD$27,QUOTIENT(ROW()-2,Max_WL_count)+2,FALSE),Tools!$AD$3:$BC$27,MOD(ROW()-2,Max_WL_count)+2,FALSE),"")</f>
        <v/>
      </c>
      <c r="E527" s="435" t="str">
        <f>IFERROR(IF(ISNUMBER(D527),HLOOKUP(Tools!$BE$2,Tools!$BE$2:$BE$27,MOD(ROW()-2,Max_WL_count)+2,FALSE)*WLS,""),"")</f>
        <v/>
      </c>
      <c r="I527" s="431" t="str">
        <f t="shared" si="53"/>
        <v/>
      </c>
      <c r="J527" s="434" t="str">
        <f t="shared" si="49"/>
        <v/>
      </c>
      <c r="K527" s="437" t="str">
        <f>IFERROR(-LBP/2+HLOOKUP(Stn_WL,Tools!$AD$2:$AD$27,N527+2,FALSE)*STN_GAP,"")</f>
        <v/>
      </c>
      <c r="L527" s="437" t="str">
        <f>IFERROR(IF(AND(ISNUMBER(K527),O527=0),0,VLOOKUP(HLOOKUP(Stn_WL,Tools!$AD$2:$AD$27,N527+2,FALSE),Tools!$AD$3:$BC$27,O527+1,FALSE)),"")</f>
        <v/>
      </c>
      <c r="M527" s="437" t="str">
        <f>IFERROR(IF(ISNUMBER(L527),IF(O527=0,IFERROR(HLOOKUP(Tools!$BD$127,Tools!$BD$127:$BD$152,N527+2,FALSE)*1,0),HLOOKUP(Tools!$BE$2,Tools!$BE$2:$BE$27,O527+1,FALSE)*WLS),""),"")</f>
        <v/>
      </c>
      <c r="N527">
        <f t="shared" si="50"/>
        <v>40</v>
      </c>
      <c r="O527">
        <f t="shared" si="51"/>
        <v>5</v>
      </c>
    </row>
    <row r="528" spans="1:15" x14ac:dyDescent="0.25">
      <c r="A528" s="431" t="str">
        <f t="shared" si="52"/>
        <v/>
      </c>
      <c r="B528" s="434" t="str">
        <f t="shared" si="48"/>
        <v/>
      </c>
      <c r="C528" s="437" t="str">
        <f>IFERROR(-LBP/2+HLOOKUP(Stn_WL,Tools!$AD$2:$AD$27,QUOTIENT(ROW()-2,Max_WL_count)+2,FALSE)*STN_GAP,"")</f>
        <v/>
      </c>
      <c r="D528" s="437" t="str">
        <f>IFERROR(VLOOKUP(HLOOKUP(Stn_WL,Tools!$AD$2:$AD$27,QUOTIENT(ROW()-2,Max_WL_count)+2,FALSE),Tools!$AD$3:$BC$27,MOD(ROW()-2,Max_WL_count)+2,FALSE),"")</f>
        <v/>
      </c>
      <c r="E528" s="435" t="str">
        <f>IFERROR(IF(ISNUMBER(D528),HLOOKUP(Tools!$BE$2,Tools!$BE$2:$BE$27,MOD(ROW()-2,Max_WL_count)+2,FALSE)*WLS,""),"")</f>
        <v/>
      </c>
      <c r="I528" s="431" t="str">
        <f t="shared" si="53"/>
        <v/>
      </c>
      <c r="J528" s="434" t="str">
        <f t="shared" si="49"/>
        <v/>
      </c>
      <c r="K528" s="437" t="str">
        <f>IFERROR(-LBP/2+HLOOKUP(Stn_WL,Tools!$AD$2:$AD$27,N528+2,FALSE)*STN_GAP,"")</f>
        <v/>
      </c>
      <c r="L528" s="437" t="str">
        <f>IFERROR(IF(AND(ISNUMBER(K528),O528=0),0,VLOOKUP(HLOOKUP(Stn_WL,Tools!$AD$2:$AD$27,N528+2,FALSE),Tools!$AD$3:$BC$27,O528+1,FALSE)),"")</f>
        <v/>
      </c>
      <c r="M528" s="437" t="str">
        <f>IFERROR(IF(ISNUMBER(L528),IF(O528=0,IFERROR(HLOOKUP(Tools!$BD$127,Tools!$BD$127:$BD$152,N528+2,FALSE)*1,0),HLOOKUP(Tools!$BE$2,Tools!$BE$2:$BE$27,O528+1,FALSE)*WLS),""),"")</f>
        <v/>
      </c>
      <c r="N528">
        <f t="shared" si="50"/>
        <v>40</v>
      </c>
      <c r="O528">
        <f t="shared" si="51"/>
        <v>6</v>
      </c>
    </row>
    <row r="529" spans="1:15" x14ac:dyDescent="0.25">
      <c r="A529" s="431" t="str">
        <f t="shared" si="52"/>
        <v/>
      </c>
      <c r="B529" s="434" t="str">
        <f t="shared" si="48"/>
        <v/>
      </c>
      <c r="C529" s="437" t="str">
        <f>IFERROR(-LBP/2+HLOOKUP(Stn_WL,Tools!$AD$2:$AD$27,QUOTIENT(ROW()-2,Max_WL_count)+2,FALSE)*STN_GAP,"")</f>
        <v/>
      </c>
      <c r="D529" s="437" t="str">
        <f>IFERROR(VLOOKUP(HLOOKUP(Stn_WL,Tools!$AD$2:$AD$27,QUOTIENT(ROW()-2,Max_WL_count)+2,FALSE),Tools!$AD$3:$BC$27,MOD(ROW()-2,Max_WL_count)+2,FALSE),"")</f>
        <v/>
      </c>
      <c r="E529" s="435" t="str">
        <f>IFERROR(IF(ISNUMBER(D529),HLOOKUP(Tools!$BE$2,Tools!$BE$2:$BE$27,MOD(ROW()-2,Max_WL_count)+2,FALSE)*WLS,""),"")</f>
        <v/>
      </c>
      <c r="I529" s="431" t="str">
        <f t="shared" si="53"/>
        <v/>
      </c>
      <c r="J529" s="434" t="str">
        <f t="shared" si="49"/>
        <v/>
      </c>
      <c r="K529" s="437" t="str">
        <f>IFERROR(-LBP/2+HLOOKUP(Stn_WL,Tools!$AD$2:$AD$27,N529+2,FALSE)*STN_GAP,"")</f>
        <v/>
      </c>
      <c r="L529" s="437" t="str">
        <f>IFERROR(IF(AND(ISNUMBER(K529),O529=0),0,VLOOKUP(HLOOKUP(Stn_WL,Tools!$AD$2:$AD$27,N529+2,FALSE),Tools!$AD$3:$BC$27,O529+1,FALSE)),"")</f>
        <v/>
      </c>
      <c r="M529" s="437" t="str">
        <f>IFERROR(IF(ISNUMBER(L529),IF(O529=0,IFERROR(HLOOKUP(Tools!$BD$127,Tools!$BD$127:$BD$152,N529+2,FALSE)*1,0),HLOOKUP(Tools!$BE$2,Tools!$BE$2:$BE$27,O529+1,FALSE)*WLS),""),"")</f>
        <v/>
      </c>
      <c r="N529">
        <f t="shared" si="50"/>
        <v>40</v>
      </c>
      <c r="O529">
        <f t="shared" si="51"/>
        <v>7</v>
      </c>
    </row>
    <row r="530" spans="1:15" x14ac:dyDescent="0.25">
      <c r="A530" s="431" t="str">
        <f t="shared" si="52"/>
        <v/>
      </c>
      <c r="B530" s="434" t="str">
        <f t="shared" si="48"/>
        <v/>
      </c>
      <c r="C530" s="437" t="str">
        <f>IFERROR(-LBP/2+HLOOKUP(Stn_WL,Tools!$AD$2:$AD$27,QUOTIENT(ROW()-2,Max_WL_count)+2,FALSE)*STN_GAP,"")</f>
        <v/>
      </c>
      <c r="D530" s="437" t="str">
        <f>IFERROR(VLOOKUP(HLOOKUP(Stn_WL,Tools!$AD$2:$AD$27,QUOTIENT(ROW()-2,Max_WL_count)+2,FALSE),Tools!$AD$3:$BC$27,MOD(ROW()-2,Max_WL_count)+2,FALSE),"")</f>
        <v/>
      </c>
      <c r="E530" s="435" t="str">
        <f>IFERROR(IF(ISNUMBER(D530),HLOOKUP(Tools!$BE$2,Tools!$BE$2:$BE$27,MOD(ROW()-2,Max_WL_count)+2,FALSE)*WLS,""),"")</f>
        <v/>
      </c>
      <c r="I530" s="431" t="str">
        <f t="shared" si="53"/>
        <v/>
      </c>
      <c r="J530" s="434" t="str">
        <f t="shared" si="49"/>
        <v/>
      </c>
      <c r="K530" s="437" t="str">
        <f>IFERROR(-LBP/2+HLOOKUP(Stn_WL,Tools!$AD$2:$AD$27,N530+2,FALSE)*STN_GAP,"")</f>
        <v/>
      </c>
      <c r="L530" s="437" t="str">
        <f>IFERROR(IF(AND(ISNUMBER(K530),O530=0),0,VLOOKUP(HLOOKUP(Stn_WL,Tools!$AD$2:$AD$27,N530+2,FALSE),Tools!$AD$3:$BC$27,O530+1,FALSE)),"")</f>
        <v/>
      </c>
      <c r="M530" s="437" t="str">
        <f>IFERROR(IF(ISNUMBER(L530),IF(O530=0,IFERROR(HLOOKUP(Tools!$BD$127,Tools!$BD$127:$BD$152,N530+2,FALSE)*1,0),HLOOKUP(Tools!$BE$2,Tools!$BE$2:$BE$27,O530+1,FALSE)*WLS),""),"")</f>
        <v/>
      </c>
      <c r="N530">
        <f t="shared" si="50"/>
        <v>40</v>
      </c>
      <c r="O530">
        <f t="shared" si="51"/>
        <v>8</v>
      </c>
    </row>
    <row r="531" spans="1:15" x14ac:dyDescent="0.25">
      <c r="A531" s="431" t="str">
        <f t="shared" si="52"/>
        <v/>
      </c>
      <c r="B531" s="434" t="str">
        <f t="shared" si="48"/>
        <v/>
      </c>
      <c r="C531" s="437" t="str">
        <f>IFERROR(-LBP/2+HLOOKUP(Stn_WL,Tools!$AD$2:$AD$27,QUOTIENT(ROW()-2,Max_WL_count)+2,FALSE)*STN_GAP,"")</f>
        <v/>
      </c>
      <c r="D531" s="437" t="str">
        <f>IFERROR(VLOOKUP(HLOOKUP(Stn_WL,Tools!$AD$2:$AD$27,QUOTIENT(ROW()-2,Max_WL_count)+2,FALSE),Tools!$AD$3:$BC$27,MOD(ROW()-2,Max_WL_count)+2,FALSE),"")</f>
        <v/>
      </c>
      <c r="E531" s="435" t="str">
        <f>IFERROR(IF(ISNUMBER(D531),HLOOKUP(Tools!$BE$2,Tools!$BE$2:$BE$27,MOD(ROW()-2,Max_WL_count)+2,FALSE)*WLS,""),"")</f>
        <v/>
      </c>
      <c r="I531" s="431" t="str">
        <f t="shared" si="53"/>
        <v/>
      </c>
      <c r="J531" s="434" t="str">
        <f t="shared" si="49"/>
        <v/>
      </c>
      <c r="K531" s="437" t="str">
        <f>IFERROR(-LBP/2+HLOOKUP(Stn_WL,Tools!$AD$2:$AD$27,N531+2,FALSE)*STN_GAP,"")</f>
        <v/>
      </c>
      <c r="L531" s="437" t="str">
        <f>IFERROR(IF(AND(ISNUMBER(K531),O531=0),0,VLOOKUP(HLOOKUP(Stn_WL,Tools!$AD$2:$AD$27,N531+2,FALSE),Tools!$AD$3:$BC$27,O531+1,FALSE)),"")</f>
        <v/>
      </c>
      <c r="M531" s="437" t="str">
        <f>IFERROR(IF(ISNUMBER(L531),IF(O531=0,IFERROR(HLOOKUP(Tools!$BD$127,Tools!$BD$127:$BD$152,N531+2,FALSE)*1,0),HLOOKUP(Tools!$BE$2,Tools!$BE$2:$BE$27,O531+1,FALSE)*WLS),""),"")</f>
        <v/>
      </c>
      <c r="N531">
        <f t="shared" si="50"/>
        <v>40</v>
      </c>
      <c r="O531">
        <f t="shared" si="51"/>
        <v>9</v>
      </c>
    </row>
    <row r="532" spans="1:15" x14ac:dyDescent="0.25">
      <c r="A532" s="431" t="str">
        <f t="shared" si="52"/>
        <v/>
      </c>
      <c r="B532" s="434" t="str">
        <f t="shared" si="48"/>
        <v/>
      </c>
      <c r="C532" s="437" t="str">
        <f>IFERROR(-LBP/2+HLOOKUP(Stn_WL,Tools!$AD$2:$AD$27,QUOTIENT(ROW()-2,Max_WL_count)+2,FALSE)*STN_GAP,"")</f>
        <v/>
      </c>
      <c r="D532" s="437" t="str">
        <f>IFERROR(VLOOKUP(HLOOKUP(Stn_WL,Tools!$AD$2:$AD$27,QUOTIENT(ROW()-2,Max_WL_count)+2,FALSE),Tools!$AD$3:$BC$27,MOD(ROW()-2,Max_WL_count)+2,FALSE),"")</f>
        <v/>
      </c>
      <c r="E532" s="435" t="str">
        <f>IFERROR(IF(ISNUMBER(D532),HLOOKUP(Tools!$BE$2,Tools!$BE$2:$BE$27,MOD(ROW()-2,Max_WL_count)+2,FALSE)*WLS,""),"")</f>
        <v/>
      </c>
      <c r="I532" s="431" t="str">
        <f t="shared" si="53"/>
        <v/>
      </c>
      <c r="J532" s="434" t="str">
        <f t="shared" si="49"/>
        <v/>
      </c>
      <c r="K532" s="437" t="str">
        <f>IFERROR(-LBP/2+HLOOKUP(Stn_WL,Tools!$AD$2:$AD$27,N532+2,FALSE)*STN_GAP,"")</f>
        <v/>
      </c>
      <c r="L532" s="437" t="str">
        <f>IFERROR(IF(AND(ISNUMBER(K532),O532=0),0,VLOOKUP(HLOOKUP(Stn_WL,Tools!$AD$2:$AD$27,N532+2,FALSE),Tools!$AD$3:$BC$27,O532+1,FALSE)),"")</f>
        <v/>
      </c>
      <c r="M532" s="437" t="str">
        <f>IFERROR(IF(ISNUMBER(L532),IF(O532=0,IFERROR(HLOOKUP(Tools!$BD$127,Tools!$BD$127:$BD$152,N532+2,FALSE)*1,0),HLOOKUP(Tools!$BE$2,Tools!$BE$2:$BE$27,O532+1,FALSE)*WLS),""),"")</f>
        <v/>
      </c>
      <c r="N532">
        <f t="shared" si="50"/>
        <v>40</v>
      </c>
      <c r="O532">
        <f t="shared" si="51"/>
        <v>10</v>
      </c>
    </row>
    <row r="533" spans="1:15" x14ac:dyDescent="0.25">
      <c r="A533" s="431" t="str">
        <f t="shared" si="52"/>
        <v/>
      </c>
      <c r="B533" s="434" t="str">
        <f t="shared" si="48"/>
        <v/>
      </c>
      <c r="C533" s="437" t="str">
        <f>IFERROR(-LBP/2+HLOOKUP(Stn_WL,Tools!$AD$2:$AD$27,QUOTIENT(ROW()-2,Max_WL_count)+2,FALSE)*STN_GAP,"")</f>
        <v/>
      </c>
      <c r="D533" s="437" t="str">
        <f>IFERROR(VLOOKUP(HLOOKUP(Stn_WL,Tools!$AD$2:$AD$27,QUOTIENT(ROW()-2,Max_WL_count)+2,FALSE),Tools!$AD$3:$BC$27,MOD(ROW()-2,Max_WL_count)+2,FALSE),"")</f>
        <v/>
      </c>
      <c r="E533" s="435" t="str">
        <f>IFERROR(IF(ISNUMBER(D533),HLOOKUP(Tools!$BE$2,Tools!$BE$2:$BE$27,MOD(ROW()-2,Max_WL_count)+2,FALSE)*WLS,""),"")</f>
        <v/>
      </c>
      <c r="I533" s="431" t="str">
        <f t="shared" si="53"/>
        <v/>
      </c>
      <c r="J533" s="434" t="str">
        <f t="shared" si="49"/>
        <v/>
      </c>
      <c r="K533" s="437" t="str">
        <f>IFERROR(-LBP/2+HLOOKUP(Stn_WL,Tools!$AD$2:$AD$27,N533+2,FALSE)*STN_GAP,"")</f>
        <v/>
      </c>
      <c r="L533" s="437" t="str">
        <f>IFERROR(IF(AND(ISNUMBER(K533),O533=0),0,VLOOKUP(HLOOKUP(Stn_WL,Tools!$AD$2:$AD$27,N533+2,FALSE),Tools!$AD$3:$BC$27,O533+1,FALSE)),"")</f>
        <v/>
      </c>
      <c r="M533" s="437" t="str">
        <f>IFERROR(IF(ISNUMBER(L533),IF(O533=0,IFERROR(HLOOKUP(Tools!$BD$127,Tools!$BD$127:$BD$152,N533+2,FALSE)*1,0),HLOOKUP(Tools!$BE$2,Tools!$BE$2:$BE$27,O533+1,FALSE)*WLS),""),"")</f>
        <v/>
      </c>
      <c r="N533">
        <f t="shared" si="50"/>
        <v>40</v>
      </c>
      <c r="O533">
        <f t="shared" si="51"/>
        <v>11</v>
      </c>
    </row>
    <row r="534" spans="1:15" x14ac:dyDescent="0.25">
      <c r="A534" s="431" t="str">
        <f t="shared" si="52"/>
        <v/>
      </c>
      <c r="B534" s="434" t="str">
        <f t="shared" si="48"/>
        <v/>
      </c>
      <c r="C534" s="437" t="str">
        <f>IFERROR(-LBP/2+HLOOKUP(Stn_WL,Tools!$AD$2:$AD$27,QUOTIENT(ROW()-2,Max_WL_count)+2,FALSE)*STN_GAP,"")</f>
        <v/>
      </c>
      <c r="D534" s="437" t="str">
        <f>IFERROR(VLOOKUP(HLOOKUP(Stn_WL,Tools!$AD$2:$AD$27,QUOTIENT(ROW()-2,Max_WL_count)+2,FALSE),Tools!$AD$3:$BC$27,MOD(ROW()-2,Max_WL_count)+2,FALSE),"")</f>
        <v/>
      </c>
      <c r="E534" s="435" t="str">
        <f>IFERROR(IF(ISNUMBER(D534),HLOOKUP(Tools!$BE$2,Tools!$BE$2:$BE$27,MOD(ROW()-2,Max_WL_count)+2,FALSE)*WLS,""),"")</f>
        <v/>
      </c>
      <c r="I534" s="431" t="str">
        <f t="shared" si="53"/>
        <v/>
      </c>
      <c r="J534" s="434" t="str">
        <f t="shared" si="49"/>
        <v/>
      </c>
      <c r="K534" s="437" t="str">
        <f>IFERROR(-LBP/2+HLOOKUP(Stn_WL,Tools!$AD$2:$AD$27,N534+2,FALSE)*STN_GAP,"")</f>
        <v/>
      </c>
      <c r="L534" s="437" t="str">
        <f>IFERROR(IF(AND(ISNUMBER(K534),O534=0),0,VLOOKUP(HLOOKUP(Stn_WL,Tools!$AD$2:$AD$27,N534+2,FALSE),Tools!$AD$3:$BC$27,O534+1,FALSE)),"")</f>
        <v/>
      </c>
      <c r="M534" s="437" t="str">
        <f>IFERROR(IF(ISNUMBER(L534),IF(O534=0,IFERROR(HLOOKUP(Tools!$BD$127,Tools!$BD$127:$BD$152,N534+2,FALSE)*1,0),HLOOKUP(Tools!$BE$2,Tools!$BE$2:$BE$27,O534+1,FALSE)*WLS),""),"")</f>
        <v/>
      </c>
      <c r="N534">
        <f t="shared" si="50"/>
        <v>40</v>
      </c>
      <c r="O534">
        <f t="shared" si="51"/>
        <v>12</v>
      </c>
    </row>
    <row r="535" spans="1:15" x14ac:dyDescent="0.25">
      <c r="A535" s="431" t="str">
        <f t="shared" si="52"/>
        <v/>
      </c>
      <c r="B535" s="434" t="str">
        <f t="shared" si="48"/>
        <v/>
      </c>
      <c r="C535" s="437" t="str">
        <f>IFERROR(-LBP/2+HLOOKUP(Stn_WL,Tools!$AD$2:$AD$27,QUOTIENT(ROW()-2,Max_WL_count)+2,FALSE)*STN_GAP,"")</f>
        <v/>
      </c>
      <c r="D535" s="437" t="str">
        <f>IFERROR(VLOOKUP(HLOOKUP(Stn_WL,Tools!$AD$2:$AD$27,QUOTIENT(ROW()-2,Max_WL_count)+2,FALSE),Tools!$AD$3:$BC$27,MOD(ROW()-2,Max_WL_count)+2,FALSE),"")</f>
        <v/>
      </c>
      <c r="E535" s="435" t="str">
        <f>IFERROR(IF(ISNUMBER(D535),HLOOKUP(Tools!$BE$2,Tools!$BE$2:$BE$27,MOD(ROW()-2,Max_WL_count)+2,FALSE)*WLS,""),"")</f>
        <v/>
      </c>
      <c r="I535" s="431" t="str">
        <f t="shared" si="53"/>
        <v/>
      </c>
      <c r="J535" s="434" t="str">
        <f t="shared" si="49"/>
        <v/>
      </c>
      <c r="K535" s="437" t="str">
        <f>IFERROR(-LBP/2+HLOOKUP(Stn_WL,Tools!$AD$2:$AD$27,N535+2,FALSE)*STN_GAP,"")</f>
        <v/>
      </c>
      <c r="L535" s="437" t="str">
        <f>IFERROR(IF(AND(ISNUMBER(K535),O535=0),0,VLOOKUP(HLOOKUP(Stn_WL,Tools!$AD$2:$AD$27,N535+2,FALSE),Tools!$AD$3:$BC$27,O535+1,FALSE)),"")</f>
        <v/>
      </c>
      <c r="M535" s="437" t="str">
        <f>IFERROR(IF(ISNUMBER(L535),IF(O535=0,IFERROR(HLOOKUP(Tools!$BD$127,Tools!$BD$127:$BD$152,N535+2,FALSE)*1,0),HLOOKUP(Tools!$BE$2,Tools!$BE$2:$BE$27,O535+1,FALSE)*WLS),""),"")</f>
        <v/>
      </c>
      <c r="N535">
        <f t="shared" si="50"/>
        <v>41</v>
      </c>
      <c r="O535">
        <f t="shared" si="51"/>
        <v>0</v>
      </c>
    </row>
    <row r="536" spans="1:15" x14ac:dyDescent="0.25">
      <c r="A536" s="431" t="str">
        <f t="shared" si="52"/>
        <v/>
      </c>
      <c r="B536" s="434" t="str">
        <f t="shared" si="48"/>
        <v/>
      </c>
      <c r="C536" s="437" t="str">
        <f>IFERROR(-LBP/2+HLOOKUP(Stn_WL,Tools!$AD$2:$AD$27,QUOTIENT(ROW()-2,Max_WL_count)+2,FALSE)*STN_GAP,"")</f>
        <v/>
      </c>
      <c r="D536" s="437" t="str">
        <f>IFERROR(VLOOKUP(HLOOKUP(Stn_WL,Tools!$AD$2:$AD$27,QUOTIENT(ROW()-2,Max_WL_count)+2,FALSE),Tools!$AD$3:$BC$27,MOD(ROW()-2,Max_WL_count)+2,FALSE),"")</f>
        <v/>
      </c>
      <c r="E536" s="435" t="str">
        <f>IFERROR(IF(ISNUMBER(D536),HLOOKUP(Tools!$BE$2,Tools!$BE$2:$BE$27,MOD(ROW()-2,Max_WL_count)+2,FALSE)*WLS,""),"")</f>
        <v/>
      </c>
      <c r="I536" s="431" t="str">
        <f t="shared" si="53"/>
        <v/>
      </c>
      <c r="J536" s="434" t="str">
        <f t="shared" si="49"/>
        <v/>
      </c>
      <c r="K536" s="437" t="str">
        <f>IFERROR(-LBP/2+HLOOKUP(Stn_WL,Tools!$AD$2:$AD$27,N536+2,FALSE)*STN_GAP,"")</f>
        <v/>
      </c>
      <c r="L536" s="437" t="str">
        <f>IFERROR(IF(AND(ISNUMBER(K536),O536=0),0,VLOOKUP(HLOOKUP(Stn_WL,Tools!$AD$2:$AD$27,N536+2,FALSE),Tools!$AD$3:$BC$27,O536+1,FALSE)),"")</f>
        <v/>
      </c>
      <c r="M536" s="437" t="str">
        <f>IFERROR(IF(ISNUMBER(L536),IF(O536=0,IFERROR(HLOOKUP(Tools!$BD$127,Tools!$BD$127:$BD$152,N536+2,FALSE)*1,0),HLOOKUP(Tools!$BE$2,Tools!$BE$2:$BE$27,O536+1,FALSE)*WLS),""),"")</f>
        <v/>
      </c>
      <c r="N536">
        <f t="shared" si="50"/>
        <v>41</v>
      </c>
      <c r="O536">
        <f t="shared" si="51"/>
        <v>1</v>
      </c>
    </row>
    <row r="537" spans="1:15" x14ac:dyDescent="0.25">
      <c r="A537" s="431" t="str">
        <f t="shared" si="52"/>
        <v/>
      </c>
      <c r="B537" s="434" t="str">
        <f t="shared" si="48"/>
        <v/>
      </c>
      <c r="C537" s="437" t="str">
        <f>IFERROR(-LBP/2+HLOOKUP(Stn_WL,Tools!$AD$2:$AD$27,QUOTIENT(ROW()-2,Max_WL_count)+2,FALSE)*STN_GAP,"")</f>
        <v/>
      </c>
      <c r="D537" s="437" t="str">
        <f>IFERROR(VLOOKUP(HLOOKUP(Stn_WL,Tools!$AD$2:$AD$27,QUOTIENT(ROW()-2,Max_WL_count)+2,FALSE),Tools!$AD$3:$BC$27,MOD(ROW()-2,Max_WL_count)+2,FALSE),"")</f>
        <v/>
      </c>
      <c r="E537" s="435" t="str">
        <f>IFERROR(IF(ISNUMBER(D537),HLOOKUP(Tools!$BE$2,Tools!$BE$2:$BE$27,MOD(ROW()-2,Max_WL_count)+2,FALSE)*WLS,""),"")</f>
        <v/>
      </c>
      <c r="I537" s="431" t="str">
        <f t="shared" si="53"/>
        <v/>
      </c>
      <c r="J537" s="434" t="str">
        <f t="shared" si="49"/>
        <v/>
      </c>
      <c r="K537" s="437" t="str">
        <f>IFERROR(-LBP/2+HLOOKUP(Stn_WL,Tools!$AD$2:$AD$27,N537+2,FALSE)*STN_GAP,"")</f>
        <v/>
      </c>
      <c r="L537" s="437" t="str">
        <f>IFERROR(IF(AND(ISNUMBER(K537),O537=0),0,VLOOKUP(HLOOKUP(Stn_WL,Tools!$AD$2:$AD$27,N537+2,FALSE),Tools!$AD$3:$BC$27,O537+1,FALSE)),"")</f>
        <v/>
      </c>
      <c r="M537" s="437" t="str">
        <f>IFERROR(IF(ISNUMBER(L537),IF(O537=0,IFERROR(HLOOKUP(Tools!$BD$127,Tools!$BD$127:$BD$152,N537+2,FALSE)*1,0),HLOOKUP(Tools!$BE$2,Tools!$BE$2:$BE$27,O537+1,FALSE)*WLS),""),"")</f>
        <v/>
      </c>
      <c r="N537">
        <f t="shared" si="50"/>
        <v>41</v>
      </c>
      <c r="O537">
        <f t="shared" si="51"/>
        <v>2</v>
      </c>
    </row>
    <row r="538" spans="1:15" x14ac:dyDescent="0.25">
      <c r="A538" s="431" t="str">
        <f t="shared" si="52"/>
        <v/>
      </c>
      <c r="B538" s="434" t="str">
        <f t="shared" si="48"/>
        <v/>
      </c>
      <c r="C538" s="437" t="str">
        <f>IFERROR(-LBP/2+HLOOKUP(Stn_WL,Tools!$AD$2:$AD$27,QUOTIENT(ROW()-2,Max_WL_count)+2,FALSE)*STN_GAP,"")</f>
        <v/>
      </c>
      <c r="D538" s="437" t="str">
        <f>IFERROR(VLOOKUP(HLOOKUP(Stn_WL,Tools!$AD$2:$AD$27,QUOTIENT(ROW()-2,Max_WL_count)+2,FALSE),Tools!$AD$3:$BC$27,MOD(ROW()-2,Max_WL_count)+2,FALSE),"")</f>
        <v/>
      </c>
      <c r="E538" s="435" t="str">
        <f>IFERROR(IF(ISNUMBER(D538),HLOOKUP(Tools!$BE$2,Tools!$BE$2:$BE$27,MOD(ROW()-2,Max_WL_count)+2,FALSE)*WLS,""),"")</f>
        <v/>
      </c>
      <c r="I538" s="431" t="str">
        <f t="shared" si="53"/>
        <v/>
      </c>
      <c r="J538" s="434" t="str">
        <f t="shared" si="49"/>
        <v/>
      </c>
      <c r="K538" s="437" t="str">
        <f>IFERROR(-LBP/2+HLOOKUP(Stn_WL,Tools!$AD$2:$AD$27,N538+2,FALSE)*STN_GAP,"")</f>
        <v/>
      </c>
      <c r="L538" s="437" t="str">
        <f>IFERROR(IF(AND(ISNUMBER(K538),O538=0),0,VLOOKUP(HLOOKUP(Stn_WL,Tools!$AD$2:$AD$27,N538+2,FALSE),Tools!$AD$3:$BC$27,O538+1,FALSE)),"")</f>
        <v/>
      </c>
      <c r="M538" s="437" t="str">
        <f>IFERROR(IF(ISNUMBER(L538),IF(O538=0,IFERROR(HLOOKUP(Tools!$BD$127,Tools!$BD$127:$BD$152,N538+2,FALSE)*1,0),HLOOKUP(Tools!$BE$2,Tools!$BE$2:$BE$27,O538+1,FALSE)*WLS),""),"")</f>
        <v/>
      </c>
      <c r="N538">
        <f t="shared" si="50"/>
        <v>41</v>
      </c>
      <c r="O538">
        <f t="shared" si="51"/>
        <v>3</v>
      </c>
    </row>
    <row r="539" spans="1:15" x14ac:dyDescent="0.25">
      <c r="A539" s="431" t="str">
        <f t="shared" si="52"/>
        <v/>
      </c>
      <c r="B539" s="434" t="str">
        <f t="shared" si="48"/>
        <v/>
      </c>
      <c r="C539" s="437" t="str">
        <f>IFERROR(-LBP/2+HLOOKUP(Stn_WL,Tools!$AD$2:$AD$27,QUOTIENT(ROW()-2,Max_WL_count)+2,FALSE)*STN_GAP,"")</f>
        <v/>
      </c>
      <c r="D539" s="437" t="str">
        <f>IFERROR(VLOOKUP(HLOOKUP(Stn_WL,Tools!$AD$2:$AD$27,QUOTIENT(ROW()-2,Max_WL_count)+2,FALSE),Tools!$AD$3:$BC$27,MOD(ROW()-2,Max_WL_count)+2,FALSE),"")</f>
        <v/>
      </c>
      <c r="E539" s="435" t="str">
        <f>IFERROR(IF(ISNUMBER(D539),HLOOKUP(Tools!$BE$2,Tools!$BE$2:$BE$27,MOD(ROW()-2,Max_WL_count)+2,FALSE)*WLS,""),"")</f>
        <v/>
      </c>
      <c r="I539" s="431" t="str">
        <f t="shared" si="53"/>
        <v/>
      </c>
      <c r="J539" s="434" t="str">
        <f t="shared" si="49"/>
        <v/>
      </c>
      <c r="K539" s="437" t="str">
        <f>IFERROR(-LBP/2+HLOOKUP(Stn_WL,Tools!$AD$2:$AD$27,N539+2,FALSE)*STN_GAP,"")</f>
        <v/>
      </c>
      <c r="L539" s="437" t="str">
        <f>IFERROR(IF(AND(ISNUMBER(K539),O539=0),0,VLOOKUP(HLOOKUP(Stn_WL,Tools!$AD$2:$AD$27,N539+2,FALSE),Tools!$AD$3:$BC$27,O539+1,FALSE)),"")</f>
        <v/>
      </c>
      <c r="M539" s="437" t="str">
        <f>IFERROR(IF(ISNUMBER(L539),IF(O539=0,IFERROR(HLOOKUP(Tools!$BD$127,Tools!$BD$127:$BD$152,N539+2,FALSE)*1,0),HLOOKUP(Tools!$BE$2,Tools!$BE$2:$BE$27,O539+1,FALSE)*WLS),""),"")</f>
        <v/>
      </c>
      <c r="N539">
        <f t="shared" si="50"/>
        <v>41</v>
      </c>
      <c r="O539">
        <f t="shared" si="51"/>
        <v>4</v>
      </c>
    </row>
    <row r="540" spans="1:15" x14ac:dyDescent="0.25">
      <c r="A540" s="431" t="str">
        <f t="shared" si="52"/>
        <v/>
      </c>
      <c r="B540" s="434" t="str">
        <f t="shared" si="48"/>
        <v/>
      </c>
      <c r="C540" s="437" t="str">
        <f>IFERROR(-LBP/2+HLOOKUP(Stn_WL,Tools!$AD$2:$AD$27,QUOTIENT(ROW()-2,Max_WL_count)+2,FALSE)*STN_GAP,"")</f>
        <v/>
      </c>
      <c r="D540" s="437" t="str">
        <f>IFERROR(VLOOKUP(HLOOKUP(Stn_WL,Tools!$AD$2:$AD$27,QUOTIENT(ROW()-2,Max_WL_count)+2,FALSE),Tools!$AD$3:$BC$27,MOD(ROW()-2,Max_WL_count)+2,FALSE),"")</f>
        <v/>
      </c>
      <c r="E540" s="435" t="str">
        <f>IFERROR(IF(ISNUMBER(D540),HLOOKUP(Tools!$BE$2,Tools!$BE$2:$BE$27,MOD(ROW()-2,Max_WL_count)+2,FALSE)*WLS,""),"")</f>
        <v/>
      </c>
      <c r="I540" s="431" t="str">
        <f t="shared" si="53"/>
        <v/>
      </c>
      <c r="J540" s="434" t="str">
        <f t="shared" si="49"/>
        <v/>
      </c>
      <c r="K540" s="437" t="str">
        <f>IFERROR(-LBP/2+HLOOKUP(Stn_WL,Tools!$AD$2:$AD$27,N540+2,FALSE)*STN_GAP,"")</f>
        <v/>
      </c>
      <c r="L540" s="437" t="str">
        <f>IFERROR(IF(AND(ISNUMBER(K540),O540=0),0,VLOOKUP(HLOOKUP(Stn_WL,Tools!$AD$2:$AD$27,N540+2,FALSE),Tools!$AD$3:$BC$27,O540+1,FALSE)),"")</f>
        <v/>
      </c>
      <c r="M540" s="437" t="str">
        <f>IFERROR(IF(ISNUMBER(L540),IF(O540=0,IFERROR(HLOOKUP(Tools!$BD$127,Tools!$BD$127:$BD$152,N540+2,FALSE)*1,0),HLOOKUP(Tools!$BE$2,Tools!$BE$2:$BE$27,O540+1,FALSE)*WLS),""),"")</f>
        <v/>
      </c>
      <c r="N540">
        <f t="shared" si="50"/>
        <v>41</v>
      </c>
      <c r="O540">
        <f t="shared" si="51"/>
        <v>5</v>
      </c>
    </row>
    <row r="541" spans="1:15" x14ac:dyDescent="0.25">
      <c r="A541" s="431" t="str">
        <f t="shared" si="52"/>
        <v/>
      </c>
      <c r="B541" s="434" t="str">
        <f t="shared" si="48"/>
        <v/>
      </c>
      <c r="C541" s="437" t="str">
        <f>IFERROR(-LBP/2+HLOOKUP(Stn_WL,Tools!$AD$2:$AD$27,QUOTIENT(ROW()-2,Max_WL_count)+2,FALSE)*STN_GAP,"")</f>
        <v/>
      </c>
      <c r="D541" s="437" t="str">
        <f>IFERROR(VLOOKUP(HLOOKUP(Stn_WL,Tools!$AD$2:$AD$27,QUOTIENT(ROW()-2,Max_WL_count)+2,FALSE),Tools!$AD$3:$BC$27,MOD(ROW()-2,Max_WL_count)+2,FALSE),"")</f>
        <v/>
      </c>
      <c r="E541" s="435" t="str">
        <f>IFERROR(IF(ISNUMBER(D541),HLOOKUP(Tools!$BE$2,Tools!$BE$2:$BE$27,MOD(ROW()-2,Max_WL_count)+2,FALSE)*WLS,""),"")</f>
        <v/>
      </c>
      <c r="I541" s="431" t="str">
        <f t="shared" si="53"/>
        <v/>
      </c>
      <c r="J541" s="434" t="str">
        <f t="shared" si="49"/>
        <v/>
      </c>
      <c r="K541" s="437" t="str">
        <f>IFERROR(-LBP/2+HLOOKUP(Stn_WL,Tools!$AD$2:$AD$27,N541+2,FALSE)*STN_GAP,"")</f>
        <v/>
      </c>
      <c r="L541" s="437" t="str">
        <f>IFERROR(IF(AND(ISNUMBER(K541),O541=0),0,VLOOKUP(HLOOKUP(Stn_WL,Tools!$AD$2:$AD$27,N541+2,FALSE),Tools!$AD$3:$BC$27,O541+1,FALSE)),"")</f>
        <v/>
      </c>
      <c r="M541" s="437" t="str">
        <f>IFERROR(IF(ISNUMBER(L541),IF(O541=0,IFERROR(HLOOKUP(Tools!$BD$127,Tools!$BD$127:$BD$152,N541+2,FALSE)*1,0),HLOOKUP(Tools!$BE$2,Tools!$BE$2:$BE$27,O541+1,FALSE)*WLS),""),"")</f>
        <v/>
      </c>
      <c r="N541">
        <f t="shared" si="50"/>
        <v>41</v>
      </c>
      <c r="O541">
        <f t="shared" si="51"/>
        <v>6</v>
      </c>
    </row>
    <row r="542" spans="1:15" x14ac:dyDescent="0.25">
      <c r="A542" s="431" t="str">
        <f t="shared" si="52"/>
        <v/>
      </c>
      <c r="B542" s="434" t="str">
        <f t="shared" si="48"/>
        <v/>
      </c>
      <c r="C542" s="437" t="str">
        <f>IFERROR(-LBP/2+HLOOKUP(Stn_WL,Tools!$AD$2:$AD$27,QUOTIENT(ROW()-2,Max_WL_count)+2,FALSE)*STN_GAP,"")</f>
        <v/>
      </c>
      <c r="D542" s="437" t="str">
        <f>IFERROR(VLOOKUP(HLOOKUP(Stn_WL,Tools!$AD$2:$AD$27,QUOTIENT(ROW()-2,Max_WL_count)+2,FALSE),Tools!$AD$3:$BC$27,MOD(ROW()-2,Max_WL_count)+2,FALSE),"")</f>
        <v/>
      </c>
      <c r="E542" s="435" t="str">
        <f>IFERROR(IF(ISNUMBER(D542),HLOOKUP(Tools!$BE$2,Tools!$BE$2:$BE$27,MOD(ROW()-2,Max_WL_count)+2,FALSE)*WLS,""),"")</f>
        <v/>
      </c>
      <c r="I542" s="431" t="str">
        <f t="shared" si="53"/>
        <v/>
      </c>
      <c r="J542" s="434" t="str">
        <f t="shared" si="49"/>
        <v/>
      </c>
      <c r="K542" s="437" t="str">
        <f>IFERROR(-LBP/2+HLOOKUP(Stn_WL,Tools!$AD$2:$AD$27,N542+2,FALSE)*STN_GAP,"")</f>
        <v/>
      </c>
      <c r="L542" s="437" t="str">
        <f>IFERROR(IF(AND(ISNUMBER(K542),O542=0),0,VLOOKUP(HLOOKUP(Stn_WL,Tools!$AD$2:$AD$27,N542+2,FALSE),Tools!$AD$3:$BC$27,O542+1,FALSE)),"")</f>
        <v/>
      </c>
      <c r="M542" s="437" t="str">
        <f>IFERROR(IF(ISNUMBER(L542),IF(O542=0,IFERROR(HLOOKUP(Tools!$BD$127,Tools!$BD$127:$BD$152,N542+2,FALSE)*1,0),HLOOKUP(Tools!$BE$2,Tools!$BE$2:$BE$27,O542+1,FALSE)*WLS),""),"")</f>
        <v/>
      </c>
      <c r="N542">
        <f t="shared" si="50"/>
        <v>41</v>
      </c>
      <c r="O542">
        <f t="shared" si="51"/>
        <v>7</v>
      </c>
    </row>
    <row r="543" spans="1:15" x14ac:dyDescent="0.25">
      <c r="A543" s="431" t="str">
        <f t="shared" si="52"/>
        <v/>
      </c>
      <c r="B543" s="434" t="str">
        <f t="shared" si="48"/>
        <v/>
      </c>
      <c r="C543" s="437" t="str">
        <f>IFERROR(-LBP/2+HLOOKUP(Stn_WL,Tools!$AD$2:$AD$27,QUOTIENT(ROW()-2,Max_WL_count)+2,FALSE)*STN_GAP,"")</f>
        <v/>
      </c>
      <c r="D543" s="437" t="str">
        <f>IFERROR(VLOOKUP(HLOOKUP(Stn_WL,Tools!$AD$2:$AD$27,QUOTIENT(ROW()-2,Max_WL_count)+2,FALSE),Tools!$AD$3:$BC$27,MOD(ROW()-2,Max_WL_count)+2,FALSE),"")</f>
        <v/>
      </c>
      <c r="E543" s="435" t="str">
        <f>IFERROR(IF(ISNUMBER(D543),HLOOKUP(Tools!$BE$2,Tools!$BE$2:$BE$27,MOD(ROW()-2,Max_WL_count)+2,FALSE)*WLS,""),"")</f>
        <v/>
      </c>
      <c r="I543" s="431" t="str">
        <f t="shared" si="53"/>
        <v/>
      </c>
      <c r="J543" s="434" t="str">
        <f t="shared" si="49"/>
        <v/>
      </c>
      <c r="K543" s="437" t="str">
        <f>IFERROR(-LBP/2+HLOOKUP(Stn_WL,Tools!$AD$2:$AD$27,N543+2,FALSE)*STN_GAP,"")</f>
        <v/>
      </c>
      <c r="L543" s="437" t="str">
        <f>IFERROR(IF(AND(ISNUMBER(K543),O543=0),0,VLOOKUP(HLOOKUP(Stn_WL,Tools!$AD$2:$AD$27,N543+2,FALSE),Tools!$AD$3:$BC$27,O543+1,FALSE)),"")</f>
        <v/>
      </c>
      <c r="M543" s="437" t="str">
        <f>IFERROR(IF(ISNUMBER(L543),IF(O543=0,IFERROR(HLOOKUP(Tools!$BD$127,Tools!$BD$127:$BD$152,N543+2,FALSE)*1,0),HLOOKUP(Tools!$BE$2,Tools!$BE$2:$BE$27,O543+1,FALSE)*WLS),""),"")</f>
        <v/>
      </c>
      <c r="N543">
        <f t="shared" si="50"/>
        <v>41</v>
      </c>
      <c r="O543">
        <f t="shared" si="51"/>
        <v>8</v>
      </c>
    </row>
    <row r="544" spans="1:15" x14ac:dyDescent="0.25">
      <c r="A544" s="431" t="str">
        <f t="shared" si="52"/>
        <v/>
      </c>
      <c r="B544" s="434" t="str">
        <f t="shared" si="48"/>
        <v/>
      </c>
      <c r="C544" s="437" t="str">
        <f>IFERROR(-LBP/2+HLOOKUP(Stn_WL,Tools!$AD$2:$AD$27,QUOTIENT(ROW()-2,Max_WL_count)+2,FALSE)*STN_GAP,"")</f>
        <v/>
      </c>
      <c r="D544" s="437" t="str">
        <f>IFERROR(VLOOKUP(HLOOKUP(Stn_WL,Tools!$AD$2:$AD$27,QUOTIENT(ROW()-2,Max_WL_count)+2,FALSE),Tools!$AD$3:$BC$27,MOD(ROW()-2,Max_WL_count)+2,FALSE),"")</f>
        <v/>
      </c>
      <c r="E544" s="435" t="str">
        <f>IFERROR(IF(ISNUMBER(D544),HLOOKUP(Tools!$BE$2,Tools!$BE$2:$BE$27,MOD(ROW()-2,Max_WL_count)+2,FALSE)*WLS,""),"")</f>
        <v/>
      </c>
      <c r="I544" s="431" t="str">
        <f t="shared" si="53"/>
        <v/>
      </c>
      <c r="J544" s="434" t="str">
        <f t="shared" si="49"/>
        <v/>
      </c>
      <c r="K544" s="437" t="str">
        <f>IFERROR(-LBP/2+HLOOKUP(Stn_WL,Tools!$AD$2:$AD$27,N544+2,FALSE)*STN_GAP,"")</f>
        <v/>
      </c>
      <c r="L544" s="437" t="str">
        <f>IFERROR(IF(AND(ISNUMBER(K544),O544=0),0,VLOOKUP(HLOOKUP(Stn_WL,Tools!$AD$2:$AD$27,N544+2,FALSE),Tools!$AD$3:$BC$27,O544+1,FALSE)),"")</f>
        <v/>
      </c>
      <c r="M544" s="437" t="str">
        <f>IFERROR(IF(ISNUMBER(L544),IF(O544=0,IFERROR(HLOOKUP(Tools!$BD$127,Tools!$BD$127:$BD$152,N544+2,FALSE)*1,0),HLOOKUP(Tools!$BE$2,Tools!$BE$2:$BE$27,O544+1,FALSE)*WLS),""),"")</f>
        <v/>
      </c>
      <c r="N544">
        <f t="shared" si="50"/>
        <v>41</v>
      </c>
      <c r="O544">
        <f t="shared" si="51"/>
        <v>9</v>
      </c>
    </row>
    <row r="545" spans="1:15" x14ac:dyDescent="0.25">
      <c r="A545" s="431" t="str">
        <f t="shared" si="52"/>
        <v/>
      </c>
      <c r="B545" s="434" t="str">
        <f t="shared" si="48"/>
        <v/>
      </c>
      <c r="C545" s="437" t="str">
        <f>IFERROR(-LBP/2+HLOOKUP(Stn_WL,Tools!$AD$2:$AD$27,QUOTIENT(ROW()-2,Max_WL_count)+2,FALSE)*STN_GAP,"")</f>
        <v/>
      </c>
      <c r="D545" s="437" t="str">
        <f>IFERROR(VLOOKUP(HLOOKUP(Stn_WL,Tools!$AD$2:$AD$27,QUOTIENT(ROW()-2,Max_WL_count)+2,FALSE),Tools!$AD$3:$BC$27,MOD(ROW()-2,Max_WL_count)+2,FALSE),"")</f>
        <v/>
      </c>
      <c r="E545" s="435" t="str">
        <f>IFERROR(IF(ISNUMBER(D545),HLOOKUP(Tools!$BE$2,Tools!$BE$2:$BE$27,MOD(ROW()-2,Max_WL_count)+2,FALSE)*WLS,""),"")</f>
        <v/>
      </c>
      <c r="I545" s="431" t="str">
        <f t="shared" si="53"/>
        <v/>
      </c>
      <c r="J545" s="434" t="str">
        <f t="shared" si="49"/>
        <v/>
      </c>
      <c r="K545" s="437" t="str">
        <f>IFERROR(-LBP/2+HLOOKUP(Stn_WL,Tools!$AD$2:$AD$27,N545+2,FALSE)*STN_GAP,"")</f>
        <v/>
      </c>
      <c r="L545" s="437" t="str">
        <f>IFERROR(IF(AND(ISNUMBER(K545),O545=0),0,VLOOKUP(HLOOKUP(Stn_WL,Tools!$AD$2:$AD$27,N545+2,FALSE),Tools!$AD$3:$BC$27,O545+1,FALSE)),"")</f>
        <v/>
      </c>
      <c r="M545" s="437" t="str">
        <f>IFERROR(IF(ISNUMBER(L545),IF(O545=0,IFERROR(HLOOKUP(Tools!$BD$127,Tools!$BD$127:$BD$152,N545+2,FALSE)*1,0),HLOOKUP(Tools!$BE$2,Tools!$BE$2:$BE$27,O545+1,FALSE)*WLS),""),"")</f>
        <v/>
      </c>
      <c r="N545">
        <f t="shared" si="50"/>
        <v>41</v>
      </c>
      <c r="O545">
        <f t="shared" si="51"/>
        <v>10</v>
      </c>
    </row>
    <row r="546" spans="1:15" x14ac:dyDescent="0.25">
      <c r="A546" s="431" t="str">
        <f t="shared" si="52"/>
        <v/>
      </c>
      <c r="B546" s="434" t="str">
        <f t="shared" si="48"/>
        <v/>
      </c>
      <c r="C546" s="437" t="str">
        <f>IFERROR(-LBP/2+HLOOKUP(Stn_WL,Tools!$AD$2:$AD$27,QUOTIENT(ROW()-2,Max_WL_count)+2,FALSE)*STN_GAP,"")</f>
        <v/>
      </c>
      <c r="D546" s="437" t="str">
        <f>IFERROR(VLOOKUP(HLOOKUP(Stn_WL,Tools!$AD$2:$AD$27,QUOTIENT(ROW()-2,Max_WL_count)+2,FALSE),Tools!$AD$3:$BC$27,MOD(ROW()-2,Max_WL_count)+2,FALSE),"")</f>
        <v/>
      </c>
      <c r="E546" s="435" t="str">
        <f>IFERROR(IF(ISNUMBER(D546),HLOOKUP(Tools!$BE$2,Tools!$BE$2:$BE$27,MOD(ROW()-2,Max_WL_count)+2,FALSE)*WLS,""),"")</f>
        <v/>
      </c>
      <c r="I546" s="431" t="str">
        <f t="shared" si="53"/>
        <v/>
      </c>
      <c r="J546" s="434" t="str">
        <f t="shared" si="49"/>
        <v/>
      </c>
      <c r="K546" s="437" t="str">
        <f>IFERROR(-LBP/2+HLOOKUP(Stn_WL,Tools!$AD$2:$AD$27,N546+2,FALSE)*STN_GAP,"")</f>
        <v/>
      </c>
      <c r="L546" s="437" t="str">
        <f>IFERROR(IF(AND(ISNUMBER(K546),O546=0),0,VLOOKUP(HLOOKUP(Stn_WL,Tools!$AD$2:$AD$27,N546+2,FALSE),Tools!$AD$3:$BC$27,O546+1,FALSE)),"")</f>
        <v/>
      </c>
      <c r="M546" s="437" t="str">
        <f>IFERROR(IF(ISNUMBER(L546),IF(O546=0,IFERROR(HLOOKUP(Tools!$BD$127,Tools!$BD$127:$BD$152,N546+2,FALSE)*1,0),HLOOKUP(Tools!$BE$2,Tools!$BE$2:$BE$27,O546+1,FALSE)*WLS),""),"")</f>
        <v/>
      </c>
      <c r="N546">
        <f t="shared" si="50"/>
        <v>41</v>
      </c>
      <c r="O546">
        <f t="shared" si="51"/>
        <v>11</v>
      </c>
    </row>
    <row r="547" spans="1:15" x14ac:dyDescent="0.25">
      <c r="A547" s="431" t="str">
        <f t="shared" si="52"/>
        <v/>
      </c>
      <c r="B547" s="434" t="str">
        <f t="shared" si="48"/>
        <v/>
      </c>
      <c r="C547" s="437" t="str">
        <f>IFERROR(-LBP/2+HLOOKUP(Stn_WL,Tools!$AD$2:$AD$27,QUOTIENT(ROW()-2,Max_WL_count)+2,FALSE)*STN_GAP,"")</f>
        <v/>
      </c>
      <c r="D547" s="437" t="str">
        <f>IFERROR(VLOOKUP(HLOOKUP(Stn_WL,Tools!$AD$2:$AD$27,QUOTIENT(ROW()-2,Max_WL_count)+2,FALSE),Tools!$AD$3:$BC$27,MOD(ROW()-2,Max_WL_count)+2,FALSE),"")</f>
        <v/>
      </c>
      <c r="E547" s="435" t="str">
        <f>IFERROR(IF(ISNUMBER(D547),HLOOKUP(Tools!$BE$2,Tools!$BE$2:$BE$27,MOD(ROW()-2,Max_WL_count)+2,FALSE)*WLS,""),"")</f>
        <v/>
      </c>
      <c r="I547" s="431" t="str">
        <f t="shared" si="53"/>
        <v/>
      </c>
      <c r="J547" s="434" t="str">
        <f t="shared" si="49"/>
        <v/>
      </c>
      <c r="K547" s="437" t="str">
        <f>IFERROR(-LBP/2+HLOOKUP(Stn_WL,Tools!$AD$2:$AD$27,N547+2,FALSE)*STN_GAP,"")</f>
        <v/>
      </c>
      <c r="L547" s="437" t="str">
        <f>IFERROR(IF(AND(ISNUMBER(K547),O547=0),0,VLOOKUP(HLOOKUP(Stn_WL,Tools!$AD$2:$AD$27,N547+2,FALSE),Tools!$AD$3:$BC$27,O547+1,FALSE)),"")</f>
        <v/>
      </c>
      <c r="M547" s="437" t="str">
        <f>IFERROR(IF(ISNUMBER(L547),IF(O547=0,IFERROR(HLOOKUP(Tools!$BD$127,Tools!$BD$127:$BD$152,N547+2,FALSE)*1,0),HLOOKUP(Tools!$BE$2,Tools!$BE$2:$BE$27,O547+1,FALSE)*WLS),""),"")</f>
        <v/>
      </c>
      <c r="N547">
        <f t="shared" si="50"/>
        <v>41</v>
      </c>
      <c r="O547">
        <f t="shared" si="51"/>
        <v>12</v>
      </c>
    </row>
    <row r="548" spans="1:15" x14ac:dyDescent="0.25">
      <c r="A548" s="431" t="str">
        <f t="shared" si="52"/>
        <v/>
      </c>
      <c r="B548" s="434" t="str">
        <f t="shared" si="48"/>
        <v/>
      </c>
      <c r="C548" s="437" t="str">
        <f>IFERROR(-LBP/2+HLOOKUP(Stn_WL,Tools!$AD$2:$AD$27,QUOTIENT(ROW()-2,Max_WL_count)+2,FALSE)*STN_GAP,"")</f>
        <v/>
      </c>
      <c r="D548" s="437" t="str">
        <f>IFERROR(VLOOKUP(HLOOKUP(Stn_WL,Tools!$AD$2:$AD$27,QUOTIENT(ROW()-2,Max_WL_count)+2,FALSE),Tools!$AD$3:$BC$27,MOD(ROW()-2,Max_WL_count)+2,FALSE),"")</f>
        <v/>
      </c>
      <c r="E548" s="435" t="str">
        <f>IFERROR(IF(ISNUMBER(D548),HLOOKUP(Tools!$BE$2,Tools!$BE$2:$BE$27,MOD(ROW()-2,Max_WL_count)+2,FALSE)*WLS,""),"")</f>
        <v/>
      </c>
      <c r="I548" s="431" t="str">
        <f t="shared" si="53"/>
        <v/>
      </c>
      <c r="J548" s="434" t="str">
        <f t="shared" si="49"/>
        <v/>
      </c>
      <c r="K548" s="437" t="str">
        <f>IFERROR(-LBP/2+HLOOKUP(Stn_WL,Tools!$AD$2:$AD$27,N548+2,FALSE)*STN_GAP,"")</f>
        <v/>
      </c>
      <c r="L548" s="437" t="str">
        <f>IFERROR(IF(AND(ISNUMBER(K548),O548=0),0,VLOOKUP(HLOOKUP(Stn_WL,Tools!$AD$2:$AD$27,N548+2,FALSE),Tools!$AD$3:$BC$27,O548+1,FALSE)),"")</f>
        <v/>
      </c>
      <c r="M548" s="437" t="str">
        <f>IFERROR(IF(ISNUMBER(L548),IF(O548=0,IFERROR(HLOOKUP(Tools!$BD$127,Tools!$BD$127:$BD$152,N548+2,FALSE)*1,0),HLOOKUP(Tools!$BE$2,Tools!$BE$2:$BE$27,O548+1,FALSE)*WLS),""),"")</f>
        <v/>
      </c>
      <c r="N548">
        <f t="shared" si="50"/>
        <v>42</v>
      </c>
      <c r="O548">
        <f t="shared" si="51"/>
        <v>0</v>
      </c>
    </row>
    <row r="549" spans="1:15" x14ac:dyDescent="0.25">
      <c r="A549" s="431" t="str">
        <f t="shared" si="52"/>
        <v/>
      </c>
      <c r="B549" s="434" t="str">
        <f t="shared" si="48"/>
        <v/>
      </c>
      <c r="C549" s="437" t="str">
        <f>IFERROR(-LBP/2+HLOOKUP(Stn_WL,Tools!$AD$2:$AD$27,QUOTIENT(ROW()-2,Max_WL_count)+2,FALSE)*STN_GAP,"")</f>
        <v/>
      </c>
      <c r="D549" s="437" t="str">
        <f>IFERROR(VLOOKUP(HLOOKUP(Stn_WL,Tools!$AD$2:$AD$27,QUOTIENT(ROW()-2,Max_WL_count)+2,FALSE),Tools!$AD$3:$BC$27,MOD(ROW()-2,Max_WL_count)+2,FALSE),"")</f>
        <v/>
      </c>
      <c r="E549" s="435" t="str">
        <f>IFERROR(IF(ISNUMBER(D549),HLOOKUP(Tools!$BE$2,Tools!$BE$2:$BE$27,MOD(ROW()-2,Max_WL_count)+2,FALSE)*WLS,""),"")</f>
        <v/>
      </c>
      <c r="I549" s="431" t="str">
        <f t="shared" si="53"/>
        <v/>
      </c>
      <c r="J549" s="434" t="str">
        <f t="shared" si="49"/>
        <v/>
      </c>
      <c r="K549" s="437" t="str">
        <f>IFERROR(-LBP/2+HLOOKUP(Stn_WL,Tools!$AD$2:$AD$27,N549+2,FALSE)*STN_GAP,"")</f>
        <v/>
      </c>
      <c r="L549" s="437" t="str">
        <f>IFERROR(IF(AND(ISNUMBER(K549),O549=0),0,VLOOKUP(HLOOKUP(Stn_WL,Tools!$AD$2:$AD$27,N549+2,FALSE),Tools!$AD$3:$BC$27,O549+1,FALSE)),"")</f>
        <v/>
      </c>
      <c r="M549" s="437" t="str">
        <f>IFERROR(IF(ISNUMBER(L549),IF(O549=0,IFERROR(HLOOKUP(Tools!$BD$127,Tools!$BD$127:$BD$152,N549+2,FALSE)*1,0),HLOOKUP(Tools!$BE$2,Tools!$BE$2:$BE$27,O549+1,FALSE)*WLS),""),"")</f>
        <v/>
      </c>
      <c r="N549">
        <f t="shared" si="50"/>
        <v>42</v>
      </c>
      <c r="O549">
        <f t="shared" si="51"/>
        <v>1</v>
      </c>
    </row>
    <row r="550" spans="1:15" x14ac:dyDescent="0.25">
      <c r="A550" s="431" t="str">
        <f t="shared" si="52"/>
        <v/>
      </c>
      <c r="B550" s="434" t="str">
        <f t="shared" si="48"/>
        <v/>
      </c>
      <c r="C550" s="437" t="str">
        <f>IFERROR(-LBP/2+HLOOKUP(Stn_WL,Tools!$AD$2:$AD$27,QUOTIENT(ROW()-2,Max_WL_count)+2,FALSE)*STN_GAP,"")</f>
        <v/>
      </c>
      <c r="D550" s="437" t="str">
        <f>IFERROR(VLOOKUP(HLOOKUP(Stn_WL,Tools!$AD$2:$AD$27,QUOTIENT(ROW()-2,Max_WL_count)+2,FALSE),Tools!$AD$3:$BC$27,MOD(ROW()-2,Max_WL_count)+2,FALSE),"")</f>
        <v/>
      </c>
      <c r="E550" s="435" t="str">
        <f>IFERROR(IF(ISNUMBER(D550),HLOOKUP(Tools!$BE$2,Tools!$BE$2:$BE$27,MOD(ROW()-2,Max_WL_count)+2,FALSE)*WLS,""),"")</f>
        <v/>
      </c>
      <c r="I550" s="431" t="str">
        <f t="shared" si="53"/>
        <v/>
      </c>
      <c r="J550" s="434" t="str">
        <f t="shared" si="49"/>
        <v/>
      </c>
      <c r="K550" s="437" t="str">
        <f>IFERROR(-LBP/2+HLOOKUP(Stn_WL,Tools!$AD$2:$AD$27,N550+2,FALSE)*STN_GAP,"")</f>
        <v/>
      </c>
      <c r="L550" s="437" t="str">
        <f>IFERROR(IF(AND(ISNUMBER(K550),O550=0),0,VLOOKUP(HLOOKUP(Stn_WL,Tools!$AD$2:$AD$27,N550+2,FALSE),Tools!$AD$3:$BC$27,O550+1,FALSE)),"")</f>
        <v/>
      </c>
      <c r="M550" s="437" t="str">
        <f>IFERROR(IF(ISNUMBER(L550),IF(O550=0,IFERROR(HLOOKUP(Tools!$BD$127,Tools!$BD$127:$BD$152,N550+2,FALSE)*1,0),HLOOKUP(Tools!$BE$2,Tools!$BE$2:$BE$27,O550+1,FALSE)*WLS),""),"")</f>
        <v/>
      </c>
      <c r="N550">
        <f t="shared" si="50"/>
        <v>42</v>
      </c>
      <c r="O550">
        <f t="shared" si="51"/>
        <v>2</v>
      </c>
    </row>
    <row r="551" spans="1:15" x14ac:dyDescent="0.25">
      <c r="A551" s="431" t="str">
        <f t="shared" si="52"/>
        <v/>
      </c>
      <c r="B551" s="434" t="str">
        <f t="shared" si="48"/>
        <v/>
      </c>
      <c r="C551" s="437" t="str">
        <f>IFERROR(-LBP/2+HLOOKUP(Stn_WL,Tools!$AD$2:$AD$27,QUOTIENT(ROW()-2,Max_WL_count)+2,FALSE)*STN_GAP,"")</f>
        <v/>
      </c>
      <c r="D551" s="437" t="str">
        <f>IFERROR(VLOOKUP(HLOOKUP(Stn_WL,Tools!$AD$2:$AD$27,QUOTIENT(ROW()-2,Max_WL_count)+2,FALSE),Tools!$AD$3:$BC$27,MOD(ROW()-2,Max_WL_count)+2,FALSE),"")</f>
        <v/>
      </c>
      <c r="E551" s="435" t="str">
        <f>IFERROR(IF(ISNUMBER(D551),HLOOKUP(Tools!$BE$2,Tools!$BE$2:$BE$27,MOD(ROW()-2,Max_WL_count)+2,FALSE)*WLS,""),"")</f>
        <v/>
      </c>
      <c r="I551" s="431" t="str">
        <f t="shared" si="53"/>
        <v/>
      </c>
      <c r="J551" s="434" t="str">
        <f t="shared" si="49"/>
        <v/>
      </c>
      <c r="K551" s="437" t="str">
        <f>IFERROR(-LBP/2+HLOOKUP(Stn_WL,Tools!$AD$2:$AD$27,N551+2,FALSE)*STN_GAP,"")</f>
        <v/>
      </c>
      <c r="L551" s="437" t="str">
        <f>IFERROR(IF(AND(ISNUMBER(K551),O551=0),0,VLOOKUP(HLOOKUP(Stn_WL,Tools!$AD$2:$AD$27,N551+2,FALSE),Tools!$AD$3:$BC$27,O551+1,FALSE)),"")</f>
        <v/>
      </c>
      <c r="M551" s="437" t="str">
        <f>IFERROR(IF(ISNUMBER(L551),IF(O551=0,IFERROR(HLOOKUP(Tools!$BD$127,Tools!$BD$127:$BD$152,N551+2,FALSE)*1,0),HLOOKUP(Tools!$BE$2,Tools!$BE$2:$BE$27,O551+1,FALSE)*WLS),""),"")</f>
        <v/>
      </c>
      <c r="N551">
        <f t="shared" si="50"/>
        <v>42</v>
      </c>
      <c r="O551">
        <f t="shared" si="51"/>
        <v>3</v>
      </c>
    </row>
    <row r="552" spans="1:15" x14ac:dyDescent="0.25">
      <c r="A552" s="431" t="str">
        <f t="shared" si="52"/>
        <v/>
      </c>
      <c r="B552" s="434" t="str">
        <f t="shared" si="48"/>
        <v/>
      </c>
      <c r="C552" s="437" t="str">
        <f>IFERROR(-LBP/2+HLOOKUP(Stn_WL,Tools!$AD$2:$AD$27,QUOTIENT(ROW()-2,Max_WL_count)+2,FALSE)*STN_GAP,"")</f>
        <v/>
      </c>
      <c r="D552" s="437" t="str">
        <f>IFERROR(VLOOKUP(HLOOKUP(Stn_WL,Tools!$AD$2:$AD$27,QUOTIENT(ROW()-2,Max_WL_count)+2,FALSE),Tools!$AD$3:$BC$27,MOD(ROW()-2,Max_WL_count)+2,FALSE),"")</f>
        <v/>
      </c>
      <c r="E552" s="435" t="str">
        <f>IFERROR(IF(ISNUMBER(D552),HLOOKUP(Tools!$BE$2,Tools!$BE$2:$BE$27,MOD(ROW()-2,Max_WL_count)+2,FALSE)*WLS,""),"")</f>
        <v/>
      </c>
      <c r="I552" s="431" t="str">
        <f t="shared" si="53"/>
        <v/>
      </c>
      <c r="J552" s="434" t="str">
        <f t="shared" si="49"/>
        <v/>
      </c>
      <c r="K552" s="437" t="str">
        <f>IFERROR(-LBP/2+HLOOKUP(Stn_WL,Tools!$AD$2:$AD$27,N552+2,FALSE)*STN_GAP,"")</f>
        <v/>
      </c>
      <c r="L552" s="437" t="str">
        <f>IFERROR(IF(AND(ISNUMBER(K552),O552=0),0,VLOOKUP(HLOOKUP(Stn_WL,Tools!$AD$2:$AD$27,N552+2,FALSE),Tools!$AD$3:$BC$27,O552+1,FALSE)),"")</f>
        <v/>
      </c>
      <c r="M552" s="437" t="str">
        <f>IFERROR(IF(ISNUMBER(L552),IF(O552=0,IFERROR(HLOOKUP(Tools!$BD$127,Tools!$BD$127:$BD$152,N552+2,FALSE)*1,0),HLOOKUP(Tools!$BE$2,Tools!$BE$2:$BE$27,O552+1,FALSE)*WLS),""),"")</f>
        <v/>
      </c>
      <c r="N552">
        <f t="shared" si="50"/>
        <v>42</v>
      </c>
      <c r="O552">
        <f t="shared" si="51"/>
        <v>4</v>
      </c>
    </row>
    <row r="553" spans="1:15" x14ac:dyDescent="0.25">
      <c r="A553" s="431" t="str">
        <f t="shared" si="52"/>
        <v/>
      </c>
      <c r="B553" s="434" t="str">
        <f t="shared" si="48"/>
        <v/>
      </c>
      <c r="C553" s="437" t="str">
        <f>IFERROR(-LBP/2+HLOOKUP(Stn_WL,Tools!$AD$2:$AD$27,QUOTIENT(ROW()-2,Max_WL_count)+2,FALSE)*STN_GAP,"")</f>
        <v/>
      </c>
      <c r="D553" s="437" t="str">
        <f>IFERROR(VLOOKUP(HLOOKUP(Stn_WL,Tools!$AD$2:$AD$27,QUOTIENT(ROW()-2,Max_WL_count)+2,FALSE),Tools!$AD$3:$BC$27,MOD(ROW()-2,Max_WL_count)+2,FALSE),"")</f>
        <v/>
      </c>
      <c r="E553" s="435" t="str">
        <f>IFERROR(IF(ISNUMBER(D553),HLOOKUP(Tools!$BE$2,Tools!$BE$2:$BE$27,MOD(ROW()-2,Max_WL_count)+2,FALSE)*WLS,""),"")</f>
        <v/>
      </c>
      <c r="I553" s="431" t="str">
        <f t="shared" si="53"/>
        <v/>
      </c>
      <c r="J553" s="434" t="str">
        <f t="shared" si="49"/>
        <v/>
      </c>
      <c r="K553" s="437" t="str">
        <f>IFERROR(-LBP/2+HLOOKUP(Stn_WL,Tools!$AD$2:$AD$27,N553+2,FALSE)*STN_GAP,"")</f>
        <v/>
      </c>
      <c r="L553" s="437" t="str">
        <f>IFERROR(IF(AND(ISNUMBER(K553),O553=0),0,VLOOKUP(HLOOKUP(Stn_WL,Tools!$AD$2:$AD$27,N553+2,FALSE),Tools!$AD$3:$BC$27,O553+1,FALSE)),"")</f>
        <v/>
      </c>
      <c r="M553" s="437" t="str">
        <f>IFERROR(IF(ISNUMBER(L553),IF(O553=0,IFERROR(HLOOKUP(Tools!$BD$127,Tools!$BD$127:$BD$152,N553+2,FALSE)*1,0),HLOOKUP(Tools!$BE$2,Tools!$BE$2:$BE$27,O553+1,FALSE)*WLS),""),"")</f>
        <v/>
      </c>
      <c r="N553">
        <f t="shared" si="50"/>
        <v>42</v>
      </c>
      <c r="O553">
        <f t="shared" si="51"/>
        <v>5</v>
      </c>
    </row>
    <row r="554" spans="1:15" x14ac:dyDescent="0.25">
      <c r="A554" s="431" t="str">
        <f t="shared" si="52"/>
        <v/>
      </c>
      <c r="B554" s="434" t="str">
        <f t="shared" si="48"/>
        <v/>
      </c>
      <c r="C554" s="437" t="str">
        <f>IFERROR(-LBP/2+HLOOKUP(Stn_WL,Tools!$AD$2:$AD$27,QUOTIENT(ROW()-2,Max_WL_count)+2,FALSE)*STN_GAP,"")</f>
        <v/>
      </c>
      <c r="D554" s="437" t="str">
        <f>IFERROR(VLOOKUP(HLOOKUP(Stn_WL,Tools!$AD$2:$AD$27,QUOTIENT(ROW()-2,Max_WL_count)+2,FALSE),Tools!$AD$3:$BC$27,MOD(ROW()-2,Max_WL_count)+2,FALSE),"")</f>
        <v/>
      </c>
      <c r="E554" s="435" t="str">
        <f>IFERROR(IF(ISNUMBER(D554),HLOOKUP(Tools!$BE$2,Tools!$BE$2:$BE$27,MOD(ROW()-2,Max_WL_count)+2,FALSE)*WLS,""),"")</f>
        <v/>
      </c>
      <c r="I554" s="431" t="str">
        <f t="shared" si="53"/>
        <v/>
      </c>
      <c r="J554" s="434" t="str">
        <f t="shared" si="49"/>
        <v/>
      </c>
      <c r="K554" s="437" t="str">
        <f>IFERROR(-LBP/2+HLOOKUP(Stn_WL,Tools!$AD$2:$AD$27,N554+2,FALSE)*STN_GAP,"")</f>
        <v/>
      </c>
      <c r="L554" s="437" t="str">
        <f>IFERROR(IF(AND(ISNUMBER(K554),O554=0),0,VLOOKUP(HLOOKUP(Stn_WL,Tools!$AD$2:$AD$27,N554+2,FALSE),Tools!$AD$3:$BC$27,O554+1,FALSE)),"")</f>
        <v/>
      </c>
      <c r="M554" s="437" t="str">
        <f>IFERROR(IF(ISNUMBER(L554),IF(O554=0,IFERROR(HLOOKUP(Tools!$BD$127,Tools!$BD$127:$BD$152,N554+2,FALSE)*1,0),HLOOKUP(Tools!$BE$2,Tools!$BE$2:$BE$27,O554+1,FALSE)*WLS),""),"")</f>
        <v/>
      </c>
      <c r="N554">
        <f t="shared" si="50"/>
        <v>42</v>
      </c>
      <c r="O554">
        <f t="shared" si="51"/>
        <v>6</v>
      </c>
    </row>
    <row r="555" spans="1:15" x14ac:dyDescent="0.25">
      <c r="A555" s="431" t="str">
        <f t="shared" si="52"/>
        <v/>
      </c>
      <c r="B555" s="434" t="str">
        <f t="shared" si="48"/>
        <v/>
      </c>
      <c r="C555" s="437" t="str">
        <f>IFERROR(-LBP/2+HLOOKUP(Stn_WL,Tools!$AD$2:$AD$27,QUOTIENT(ROW()-2,Max_WL_count)+2,FALSE)*STN_GAP,"")</f>
        <v/>
      </c>
      <c r="D555" s="437" t="str">
        <f>IFERROR(VLOOKUP(HLOOKUP(Stn_WL,Tools!$AD$2:$AD$27,QUOTIENT(ROW()-2,Max_WL_count)+2,FALSE),Tools!$AD$3:$BC$27,MOD(ROW()-2,Max_WL_count)+2,FALSE),"")</f>
        <v/>
      </c>
      <c r="E555" s="435" t="str">
        <f>IFERROR(IF(ISNUMBER(D555),HLOOKUP(Tools!$BE$2,Tools!$BE$2:$BE$27,MOD(ROW()-2,Max_WL_count)+2,FALSE)*WLS,""),"")</f>
        <v/>
      </c>
      <c r="I555" s="431" t="str">
        <f t="shared" si="53"/>
        <v/>
      </c>
      <c r="J555" s="434" t="str">
        <f t="shared" si="49"/>
        <v/>
      </c>
      <c r="K555" s="437" t="str">
        <f>IFERROR(-LBP/2+HLOOKUP(Stn_WL,Tools!$AD$2:$AD$27,N555+2,FALSE)*STN_GAP,"")</f>
        <v/>
      </c>
      <c r="L555" s="437" t="str">
        <f>IFERROR(IF(AND(ISNUMBER(K555),O555=0),0,VLOOKUP(HLOOKUP(Stn_WL,Tools!$AD$2:$AD$27,N555+2,FALSE),Tools!$AD$3:$BC$27,O555+1,FALSE)),"")</f>
        <v/>
      </c>
      <c r="M555" s="437" t="str">
        <f>IFERROR(IF(ISNUMBER(L555),IF(O555=0,IFERROR(HLOOKUP(Tools!$BD$127,Tools!$BD$127:$BD$152,N555+2,FALSE)*1,0),HLOOKUP(Tools!$BE$2,Tools!$BE$2:$BE$27,O555+1,FALSE)*WLS),""),"")</f>
        <v/>
      </c>
      <c r="N555">
        <f t="shared" si="50"/>
        <v>42</v>
      </c>
      <c r="O555">
        <f t="shared" si="51"/>
        <v>7</v>
      </c>
    </row>
    <row r="556" spans="1:15" x14ac:dyDescent="0.25">
      <c r="A556" s="431" t="str">
        <f t="shared" si="52"/>
        <v/>
      </c>
      <c r="B556" s="434" t="str">
        <f t="shared" si="48"/>
        <v/>
      </c>
      <c r="C556" s="437" t="str">
        <f>IFERROR(-LBP/2+HLOOKUP(Stn_WL,Tools!$AD$2:$AD$27,QUOTIENT(ROW()-2,Max_WL_count)+2,FALSE)*STN_GAP,"")</f>
        <v/>
      </c>
      <c r="D556" s="437" t="str">
        <f>IFERROR(VLOOKUP(HLOOKUP(Stn_WL,Tools!$AD$2:$AD$27,QUOTIENT(ROW()-2,Max_WL_count)+2,FALSE),Tools!$AD$3:$BC$27,MOD(ROW()-2,Max_WL_count)+2,FALSE),"")</f>
        <v/>
      </c>
      <c r="E556" s="435" t="str">
        <f>IFERROR(IF(ISNUMBER(D556),HLOOKUP(Tools!$BE$2,Tools!$BE$2:$BE$27,MOD(ROW()-2,Max_WL_count)+2,FALSE)*WLS,""),"")</f>
        <v/>
      </c>
      <c r="I556" s="431" t="str">
        <f t="shared" si="53"/>
        <v/>
      </c>
      <c r="J556" s="434" t="str">
        <f t="shared" si="49"/>
        <v/>
      </c>
      <c r="K556" s="437" t="str">
        <f>IFERROR(-LBP/2+HLOOKUP(Stn_WL,Tools!$AD$2:$AD$27,N556+2,FALSE)*STN_GAP,"")</f>
        <v/>
      </c>
      <c r="L556" s="437" t="str">
        <f>IFERROR(IF(AND(ISNUMBER(K556),O556=0),0,VLOOKUP(HLOOKUP(Stn_WL,Tools!$AD$2:$AD$27,N556+2,FALSE),Tools!$AD$3:$BC$27,O556+1,FALSE)),"")</f>
        <v/>
      </c>
      <c r="M556" s="437" t="str">
        <f>IFERROR(IF(ISNUMBER(L556),IF(O556=0,IFERROR(HLOOKUP(Tools!$BD$127,Tools!$BD$127:$BD$152,N556+2,FALSE)*1,0),HLOOKUP(Tools!$BE$2,Tools!$BE$2:$BE$27,O556+1,FALSE)*WLS),""),"")</f>
        <v/>
      </c>
      <c r="N556">
        <f t="shared" si="50"/>
        <v>42</v>
      </c>
      <c r="O556">
        <f t="shared" si="51"/>
        <v>8</v>
      </c>
    </row>
    <row r="557" spans="1:15" x14ac:dyDescent="0.25">
      <c r="A557" s="431" t="str">
        <f t="shared" si="52"/>
        <v/>
      </c>
      <c r="B557" s="434" t="str">
        <f t="shared" si="48"/>
        <v/>
      </c>
      <c r="C557" s="437" t="str">
        <f>IFERROR(-LBP/2+HLOOKUP(Stn_WL,Tools!$AD$2:$AD$27,QUOTIENT(ROW()-2,Max_WL_count)+2,FALSE)*STN_GAP,"")</f>
        <v/>
      </c>
      <c r="D557" s="437" t="str">
        <f>IFERROR(VLOOKUP(HLOOKUP(Stn_WL,Tools!$AD$2:$AD$27,QUOTIENT(ROW()-2,Max_WL_count)+2,FALSE),Tools!$AD$3:$BC$27,MOD(ROW()-2,Max_WL_count)+2,FALSE),"")</f>
        <v/>
      </c>
      <c r="E557" s="435" t="str">
        <f>IFERROR(IF(ISNUMBER(D557),HLOOKUP(Tools!$BE$2,Tools!$BE$2:$BE$27,MOD(ROW()-2,Max_WL_count)+2,FALSE)*WLS,""),"")</f>
        <v/>
      </c>
      <c r="I557" s="431" t="str">
        <f t="shared" si="53"/>
        <v/>
      </c>
      <c r="J557" s="434" t="str">
        <f t="shared" si="49"/>
        <v/>
      </c>
      <c r="K557" s="437" t="str">
        <f>IFERROR(-LBP/2+HLOOKUP(Stn_WL,Tools!$AD$2:$AD$27,N557+2,FALSE)*STN_GAP,"")</f>
        <v/>
      </c>
      <c r="L557" s="437" t="str">
        <f>IFERROR(IF(AND(ISNUMBER(K557),O557=0),0,VLOOKUP(HLOOKUP(Stn_WL,Tools!$AD$2:$AD$27,N557+2,FALSE),Tools!$AD$3:$BC$27,O557+1,FALSE)),"")</f>
        <v/>
      </c>
      <c r="M557" s="437" t="str">
        <f>IFERROR(IF(ISNUMBER(L557),IF(O557=0,IFERROR(HLOOKUP(Tools!$BD$127,Tools!$BD$127:$BD$152,N557+2,FALSE)*1,0),HLOOKUP(Tools!$BE$2,Tools!$BE$2:$BE$27,O557+1,FALSE)*WLS),""),"")</f>
        <v/>
      </c>
      <c r="N557">
        <f t="shared" si="50"/>
        <v>42</v>
      </c>
      <c r="O557">
        <f t="shared" si="51"/>
        <v>9</v>
      </c>
    </row>
    <row r="558" spans="1:15" x14ac:dyDescent="0.25">
      <c r="A558" s="431" t="str">
        <f t="shared" si="52"/>
        <v/>
      </c>
      <c r="B558" s="434" t="str">
        <f t="shared" si="48"/>
        <v/>
      </c>
      <c r="C558" s="437" t="str">
        <f>IFERROR(-LBP/2+HLOOKUP(Stn_WL,Tools!$AD$2:$AD$27,QUOTIENT(ROW()-2,Max_WL_count)+2,FALSE)*STN_GAP,"")</f>
        <v/>
      </c>
      <c r="D558" s="437" t="str">
        <f>IFERROR(VLOOKUP(HLOOKUP(Stn_WL,Tools!$AD$2:$AD$27,QUOTIENT(ROW()-2,Max_WL_count)+2,FALSE),Tools!$AD$3:$BC$27,MOD(ROW()-2,Max_WL_count)+2,FALSE),"")</f>
        <v/>
      </c>
      <c r="E558" s="435" t="str">
        <f>IFERROR(IF(ISNUMBER(D558),HLOOKUP(Tools!$BE$2,Tools!$BE$2:$BE$27,MOD(ROW()-2,Max_WL_count)+2,FALSE)*WLS,""),"")</f>
        <v/>
      </c>
      <c r="I558" s="431" t="str">
        <f t="shared" si="53"/>
        <v/>
      </c>
      <c r="J558" s="434" t="str">
        <f t="shared" si="49"/>
        <v/>
      </c>
      <c r="K558" s="437" t="str">
        <f>IFERROR(-LBP/2+HLOOKUP(Stn_WL,Tools!$AD$2:$AD$27,N558+2,FALSE)*STN_GAP,"")</f>
        <v/>
      </c>
      <c r="L558" s="437" t="str">
        <f>IFERROR(IF(AND(ISNUMBER(K558),O558=0),0,VLOOKUP(HLOOKUP(Stn_WL,Tools!$AD$2:$AD$27,N558+2,FALSE),Tools!$AD$3:$BC$27,O558+1,FALSE)),"")</f>
        <v/>
      </c>
      <c r="M558" s="437" t="str">
        <f>IFERROR(IF(ISNUMBER(L558),IF(O558=0,IFERROR(HLOOKUP(Tools!$BD$127,Tools!$BD$127:$BD$152,N558+2,FALSE)*1,0),HLOOKUP(Tools!$BE$2,Tools!$BE$2:$BE$27,O558+1,FALSE)*WLS),""),"")</f>
        <v/>
      </c>
      <c r="N558">
        <f t="shared" si="50"/>
        <v>42</v>
      </c>
      <c r="O558">
        <f t="shared" si="51"/>
        <v>10</v>
      </c>
    </row>
    <row r="559" spans="1:15" x14ac:dyDescent="0.25">
      <c r="A559" s="431" t="str">
        <f t="shared" si="52"/>
        <v/>
      </c>
      <c r="B559" s="434" t="str">
        <f t="shared" si="48"/>
        <v/>
      </c>
      <c r="C559" s="437" t="str">
        <f>IFERROR(-LBP/2+HLOOKUP(Stn_WL,Tools!$AD$2:$AD$27,QUOTIENT(ROW()-2,Max_WL_count)+2,FALSE)*STN_GAP,"")</f>
        <v/>
      </c>
      <c r="D559" s="437" t="str">
        <f>IFERROR(VLOOKUP(HLOOKUP(Stn_WL,Tools!$AD$2:$AD$27,QUOTIENT(ROW()-2,Max_WL_count)+2,FALSE),Tools!$AD$3:$BC$27,MOD(ROW()-2,Max_WL_count)+2,FALSE),"")</f>
        <v/>
      </c>
      <c r="E559" s="435" t="str">
        <f>IFERROR(IF(ISNUMBER(D559),HLOOKUP(Tools!$BE$2,Tools!$BE$2:$BE$27,MOD(ROW()-2,Max_WL_count)+2,FALSE)*WLS,""),"")</f>
        <v/>
      </c>
      <c r="I559" s="431" t="str">
        <f t="shared" si="53"/>
        <v/>
      </c>
      <c r="J559" s="434" t="str">
        <f t="shared" si="49"/>
        <v/>
      </c>
      <c r="K559" s="437" t="str">
        <f>IFERROR(-LBP/2+HLOOKUP(Stn_WL,Tools!$AD$2:$AD$27,N559+2,FALSE)*STN_GAP,"")</f>
        <v/>
      </c>
      <c r="L559" s="437" t="str">
        <f>IFERROR(IF(AND(ISNUMBER(K559),O559=0),0,VLOOKUP(HLOOKUP(Stn_WL,Tools!$AD$2:$AD$27,N559+2,FALSE),Tools!$AD$3:$BC$27,O559+1,FALSE)),"")</f>
        <v/>
      </c>
      <c r="M559" s="437" t="str">
        <f>IFERROR(IF(ISNUMBER(L559),IF(O559=0,IFERROR(HLOOKUP(Tools!$BD$127,Tools!$BD$127:$BD$152,N559+2,FALSE)*1,0),HLOOKUP(Tools!$BE$2,Tools!$BE$2:$BE$27,O559+1,FALSE)*WLS),""),"")</f>
        <v/>
      </c>
      <c r="N559">
        <f t="shared" si="50"/>
        <v>42</v>
      </c>
      <c r="O559">
        <f t="shared" si="51"/>
        <v>11</v>
      </c>
    </row>
    <row r="560" spans="1:15" x14ac:dyDescent="0.25">
      <c r="A560" s="431" t="str">
        <f t="shared" si="52"/>
        <v/>
      </c>
      <c r="B560" s="434" t="str">
        <f t="shared" si="48"/>
        <v/>
      </c>
      <c r="C560" s="437" t="str">
        <f>IFERROR(-LBP/2+HLOOKUP(Stn_WL,Tools!$AD$2:$AD$27,QUOTIENT(ROW()-2,Max_WL_count)+2,FALSE)*STN_GAP,"")</f>
        <v/>
      </c>
      <c r="D560" s="437" t="str">
        <f>IFERROR(VLOOKUP(HLOOKUP(Stn_WL,Tools!$AD$2:$AD$27,QUOTIENT(ROW()-2,Max_WL_count)+2,FALSE),Tools!$AD$3:$BC$27,MOD(ROW()-2,Max_WL_count)+2,FALSE),"")</f>
        <v/>
      </c>
      <c r="E560" s="435" t="str">
        <f>IFERROR(IF(ISNUMBER(D560),HLOOKUP(Tools!$BE$2,Tools!$BE$2:$BE$27,MOD(ROW()-2,Max_WL_count)+2,FALSE)*WLS,""),"")</f>
        <v/>
      </c>
      <c r="I560" s="431" t="str">
        <f t="shared" si="53"/>
        <v/>
      </c>
      <c r="J560" s="434" t="str">
        <f t="shared" si="49"/>
        <v/>
      </c>
      <c r="K560" s="437" t="str">
        <f>IFERROR(-LBP/2+HLOOKUP(Stn_WL,Tools!$AD$2:$AD$27,N560+2,FALSE)*STN_GAP,"")</f>
        <v/>
      </c>
      <c r="L560" s="437" t="str">
        <f>IFERROR(IF(AND(ISNUMBER(K560),O560=0),0,VLOOKUP(HLOOKUP(Stn_WL,Tools!$AD$2:$AD$27,N560+2,FALSE),Tools!$AD$3:$BC$27,O560+1,FALSE)),"")</f>
        <v/>
      </c>
      <c r="M560" s="437" t="str">
        <f>IFERROR(IF(ISNUMBER(L560),IF(O560=0,IFERROR(HLOOKUP(Tools!$BD$127,Tools!$BD$127:$BD$152,N560+2,FALSE)*1,0),HLOOKUP(Tools!$BE$2,Tools!$BE$2:$BE$27,O560+1,FALSE)*WLS),""),"")</f>
        <v/>
      </c>
      <c r="N560">
        <f t="shared" si="50"/>
        <v>42</v>
      </c>
      <c r="O560">
        <f t="shared" si="51"/>
        <v>12</v>
      </c>
    </row>
    <row r="561" spans="1:15" x14ac:dyDescent="0.25">
      <c r="A561" s="431" t="str">
        <f t="shared" si="52"/>
        <v/>
      </c>
      <c r="B561" s="434" t="str">
        <f t="shared" si="48"/>
        <v/>
      </c>
      <c r="C561" s="437" t="str">
        <f>IFERROR(-LBP/2+HLOOKUP(Stn_WL,Tools!$AD$2:$AD$27,QUOTIENT(ROW()-2,Max_WL_count)+2,FALSE)*STN_GAP,"")</f>
        <v/>
      </c>
      <c r="D561" s="437" t="str">
        <f>IFERROR(VLOOKUP(HLOOKUP(Stn_WL,Tools!$AD$2:$AD$27,QUOTIENT(ROW()-2,Max_WL_count)+2,FALSE),Tools!$AD$3:$BC$27,MOD(ROW()-2,Max_WL_count)+2,FALSE),"")</f>
        <v/>
      </c>
      <c r="E561" s="435" t="str">
        <f>IFERROR(IF(ISNUMBER(D561),HLOOKUP(Tools!$BE$2,Tools!$BE$2:$BE$27,MOD(ROW()-2,Max_WL_count)+2,FALSE)*WLS,""),"")</f>
        <v/>
      </c>
      <c r="I561" s="431" t="str">
        <f t="shared" si="53"/>
        <v/>
      </c>
      <c r="J561" s="434" t="str">
        <f t="shared" si="49"/>
        <v/>
      </c>
      <c r="K561" s="437" t="str">
        <f>IFERROR(-LBP/2+HLOOKUP(Stn_WL,Tools!$AD$2:$AD$27,N561+2,FALSE)*STN_GAP,"")</f>
        <v/>
      </c>
      <c r="L561" s="437" t="str">
        <f>IFERROR(IF(AND(ISNUMBER(K561),O561=0),0,VLOOKUP(HLOOKUP(Stn_WL,Tools!$AD$2:$AD$27,N561+2,FALSE),Tools!$AD$3:$BC$27,O561+1,FALSE)),"")</f>
        <v/>
      </c>
      <c r="M561" s="437" t="str">
        <f>IFERROR(IF(ISNUMBER(L561),IF(O561=0,IFERROR(HLOOKUP(Tools!$BD$127,Tools!$BD$127:$BD$152,N561+2,FALSE)*1,0),HLOOKUP(Tools!$BE$2,Tools!$BE$2:$BE$27,O561+1,FALSE)*WLS),""),"")</f>
        <v/>
      </c>
      <c r="N561">
        <f t="shared" si="50"/>
        <v>43</v>
      </c>
      <c r="O561">
        <f t="shared" si="51"/>
        <v>0</v>
      </c>
    </row>
    <row r="562" spans="1:15" x14ac:dyDescent="0.25">
      <c r="A562" s="431" t="str">
        <f t="shared" si="52"/>
        <v/>
      </c>
      <c r="B562" s="434" t="str">
        <f t="shared" si="48"/>
        <v/>
      </c>
      <c r="C562" s="437" t="str">
        <f>IFERROR(-LBP/2+HLOOKUP(Stn_WL,Tools!$AD$2:$AD$27,QUOTIENT(ROW()-2,Max_WL_count)+2,FALSE)*STN_GAP,"")</f>
        <v/>
      </c>
      <c r="D562" s="437" t="str">
        <f>IFERROR(VLOOKUP(HLOOKUP(Stn_WL,Tools!$AD$2:$AD$27,QUOTIENT(ROW()-2,Max_WL_count)+2,FALSE),Tools!$AD$3:$BC$27,MOD(ROW()-2,Max_WL_count)+2,FALSE),"")</f>
        <v/>
      </c>
      <c r="E562" s="435" t="str">
        <f>IFERROR(IF(ISNUMBER(D562),HLOOKUP(Tools!$BE$2,Tools!$BE$2:$BE$27,MOD(ROW()-2,Max_WL_count)+2,FALSE)*WLS,""),"")</f>
        <v/>
      </c>
      <c r="I562" s="431" t="str">
        <f t="shared" si="53"/>
        <v/>
      </c>
      <c r="J562" s="434" t="str">
        <f t="shared" si="49"/>
        <v/>
      </c>
      <c r="K562" s="437" t="str">
        <f>IFERROR(-LBP/2+HLOOKUP(Stn_WL,Tools!$AD$2:$AD$27,N562+2,FALSE)*STN_GAP,"")</f>
        <v/>
      </c>
      <c r="L562" s="437" t="str">
        <f>IFERROR(IF(AND(ISNUMBER(K562),O562=0),0,VLOOKUP(HLOOKUP(Stn_WL,Tools!$AD$2:$AD$27,N562+2,FALSE),Tools!$AD$3:$BC$27,O562+1,FALSE)),"")</f>
        <v/>
      </c>
      <c r="M562" s="437" t="str">
        <f>IFERROR(IF(ISNUMBER(L562),IF(O562=0,IFERROR(HLOOKUP(Tools!$BD$127,Tools!$BD$127:$BD$152,N562+2,FALSE)*1,0),HLOOKUP(Tools!$BE$2,Tools!$BE$2:$BE$27,O562+1,FALSE)*WLS),""),"")</f>
        <v/>
      </c>
      <c r="N562">
        <f t="shared" si="50"/>
        <v>43</v>
      </c>
      <c r="O562">
        <f t="shared" si="51"/>
        <v>1</v>
      </c>
    </row>
    <row r="563" spans="1:15" x14ac:dyDescent="0.25">
      <c r="A563" s="431" t="str">
        <f t="shared" si="52"/>
        <v/>
      </c>
      <c r="B563" s="434" t="str">
        <f t="shared" si="48"/>
        <v/>
      </c>
      <c r="C563" s="437" t="str">
        <f>IFERROR(-LBP/2+HLOOKUP(Stn_WL,Tools!$AD$2:$AD$27,QUOTIENT(ROW()-2,Max_WL_count)+2,FALSE)*STN_GAP,"")</f>
        <v/>
      </c>
      <c r="D563" s="437" t="str">
        <f>IFERROR(VLOOKUP(HLOOKUP(Stn_WL,Tools!$AD$2:$AD$27,QUOTIENT(ROW()-2,Max_WL_count)+2,FALSE),Tools!$AD$3:$BC$27,MOD(ROW()-2,Max_WL_count)+2,FALSE),"")</f>
        <v/>
      </c>
      <c r="E563" s="435" t="str">
        <f>IFERROR(IF(ISNUMBER(D563),HLOOKUP(Tools!$BE$2,Tools!$BE$2:$BE$27,MOD(ROW()-2,Max_WL_count)+2,FALSE)*WLS,""),"")</f>
        <v/>
      </c>
      <c r="I563" s="431" t="str">
        <f t="shared" si="53"/>
        <v/>
      </c>
      <c r="J563" s="434" t="str">
        <f t="shared" si="49"/>
        <v/>
      </c>
      <c r="K563" s="437" t="str">
        <f>IFERROR(-LBP/2+HLOOKUP(Stn_WL,Tools!$AD$2:$AD$27,N563+2,FALSE)*STN_GAP,"")</f>
        <v/>
      </c>
      <c r="L563" s="437" t="str">
        <f>IFERROR(IF(AND(ISNUMBER(K563),O563=0),0,VLOOKUP(HLOOKUP(Stn_WL,Tools!$AD$2:$AD$27,N563+2,FALSE),Tools!$AD$3:$BC$27,O563+1,FALSE)),"")</f>
        <v/>
      </c>
      <c r="M563" s="437" t="str">
        <f>IFERROR(IF(ISNUMBER(L563),IF(O563=0,IFERROR(HLOOKUP(Tools!$BD$127,Tools!$BD$127:$BD$152,N563+2,FALSE)*1,0),HLOOKUP(Tools!$BE$2,Tools!$BE$2:$BE$27,O563+1,FALSE)*WLS),""),"")</f>
        <v/>
      </c>
      <c r="N563">
        <f t="shared" si="50"/>
        <v>43</v>
      </c>
      <c r="O563">
        <f t="shared" si="51"/>
        <v>2</v>
      </c>
    </row>
    <row r="564" spans="1:15" x14ac:dyDescent="0.25">
      <c r="A564" s="431" t="str">
        <f t="shared" si="52"/>
        <v/>
      </c>
      <c r="B564" s="434" t="str">
        <f t="shared" si="48"/>
        <v/>
      </c>
      <c r="C564" s="437" t="str">
        <f>IFERROR(-LBP/2+HLOOKUP(Stn_WL,Tools!$AD$2:$AD$27,QUOTIENT(ROW()-2,Max_WL_count)+2,FALSE)*STN_GAP,"")</f>
        <v/>
      </c>
      <c r="D564" s="437" t="str">
        <f>IFERROR(VLOOKUP(HLOOKUP(Stn_WL,Tools!$AD$2:$AD$27,QUOTIENT(ROW()-2,Max_WL_count)+2,FALSE),Tools!$AD$3:$BC$27,MOD(ROW()-2,Max_WL_count)+2,FALSE),"")</f>
        <v/>
      </c>
      <c r="E564" s="435" t="str">
        <f>IFERROR(IF(ISNUMBER(D564),HLOOKUP(Tools!$BE$2,Tools!$BE$2:$BE$27,MOD(ROW()-2,Max_WL_count)+2,FALSE)*WLS,""),"")</f>
        <v/>
      </c>
      <c r="I564" s="431" t="str">
        <f t="shared" si="53"/>
        <v/>
      </c>
      <c r="J564" s="434" t="str">
        <f t="shared" si="49"/>
        <v/>
      </c>
      <c r="K564" s="437" t="str">
        <f>IFERROR(-LBP/2+HLOOKUP(Stn_WL,Tools!$AD$2:$AD$27,N564+2,FALSE)*STN_GAP,"")</f>
        <v/>
      </c>
      <c r="L564" s="437" t="str">
        <f>IFERROR(IF(AND(ISNUMBER(K564),O564=0),0,VLOOKUP(HLOOKUP(Stn_WL,Tools!$AD$2:$AD$27,N564+2,FALSE),Tools!$AD$3:$BC$27,O564+1,FALSE)),"")</f>
        <v/>
      </c>
      <c r="M564" s="437" t="str">
        <f>IFERROR(IF(ISNUMBER(L564),IF(O564=0,IFERROR(HLOOKUP(Tools!$BD$127,Tools!$BD$127:$BD$152,N564+2,FALSE)*1,0),HLOOKUP(Tools!$BE$2,Tools!$BE$2:$BE$27,O564+1,FALSE)*WLS),""),"")</f>
        <v/>
      </c>
      <c r="N564">
        <f t="shared" si="50"/>
        <v>43</v>
      </c>
      <c r="O564">
        <f t="shared" si="51"/>
        <v>3</v>
      </c>
    </row>
    <row r="565" spans="1:15" x14ac:dyDescent="0.25">
      <c r="A565" s="431" t="str">
        <f t="shared" si="52"/>
        <v/>
      </c>
      <c r="B565" s="434" t="str">
        <f t="shared" si="48"/>
        <v/>
      </c>
      <c r="C565" s="437" t="str">
        <f>IFERROR(-LBP/2+HLOOKUP(Stn_WL,Tools!$AD$2:$AD$27,QUOTIENT(ROW()-2,Max_WL_count)+2,FALSE)*STN_GAP,"")</f>
        <v/>
      </c>
      <c r="D565" s="437" t="str">
        <f>IFERROR(VLOOKUP(HLOOKUP(Stn_WL,Tools!$AD$2:$AD$27,QUOTIENT(ROW()-2,Max_WL_count)+2,FALSE),Tools!$AD$3:$BC$27,MOD(ROW()-2,Max_WL_count)+2,FALSE),"")</f>
        <v/>
      </c>
      <c r="E565" s="435" t="str">
        <f>IFERROR(IF(ISNUMBER(D565),HLOOKUP(Tools!$BE$2,Tools!$BE$2:$BE$27,MOD(ROW()-2,Max_WL_count)+2,FALSE)*WLS,""),"")</f>
        <v/>
      </c>
      <c r="I565" s="431" t="str">
        <f t="shared" si="53"/>
        <v/>
      </c>
      <c r="J565" s="434" t="str">
        <f t="shared" si="49"/>
        <v/>
      </c>
      <c r="K565" s="437" t="str">
        <f>IFERROR(-LBP/2+HLOOKUP(Stn_WL,Tools!$AD$2:$AD$27,N565+2,FALSE)*STN_GAP,"")</f>
        <v/>
      </c>
      <c r="L565" s="437" t="str">
        <f>IFERROR(IF(AND(ISNUMBER(K565),O565=0),0,VLOOKUP(HLOOKUP(Stn_WL,Tools!$AD$2:$AD$27,N565+2,FALSE),Tools!$AD$3:$BC$27,O565+1,FALSE)),"")</f>
        <v/>
      </c>
      <c r="M565" s="437" t="str">
        <f>IFERROR(IF(ISNUMBER(L565),IF(O565=0,IFERROR(HLOOKUP(Tools!$BD$127,Tools!$BD$127:$BD$152,N565+2,FALSE)*1,0),HLOOKUP(Tools!$BE$2,Tools!$BE$2:$BE$27,O565+1,FALSE)*WLS),""),"")</f>
        <v/>
      </c>
      <c r="N565">
        <f t="shared" si="50"/>
        <v>43</v>
      </c>
      <c r="O565">
        <f t="shared" si="51"/>
        <v>4</v>
      </c>
    </row>
    <row r="566" spans="1:15" x14ac:dyDescent="0.25">
      <c r="A566" s="431" t="str">
        <f t="shared" si="52"/>
        <v/>
      </c>
      <c r="B566" s="434" t="str">
        <f t="shared" si="48"/>
        <v/>
      </c>
      <c r="C566" s="437" t="str">
        <f>IFERROR(-LBP/2+HLOOKUP(Stn_WL,Tools!$AD$2:$AD$27,QUOTIENT(ROW()-2,Max_WL_count)+2,FALSE)*STN_GAP,"")</f>
        <v/>
      </c>
      <c r="D566" s="437" t="str">
        <f>IFERROR(VLOOKUP(HLOOKUP(Stn_WL,Tools!$AD$2:$AD$27,QUOTIENT(ROW()-2,Max_WL_count)+2,FALSE),Tools!$AD$3:$BC$27,MOD(ROW()-2,Max_WL_count)+2,FALSE),"")</f>
        <v/>
      </c>
      <c r="E566" s="435" t="str">
        <f>IFERROR(IF(ISNUMBER(D566),HLOOKUP(Tools!$BE$2,Tools!$BE$2:$BE$27,MOD(ROW()-2,Max_WL_count)+2,FALSE)*WLS,""),"")</f>
        <v/>
      </c>
      <c r="I566" s="431" t="str">
        <f t="shared" si="53"/>
        <v/>
      </c>
      <c r="J566" s="434" t="str">
        <f t="shared" si="49"/>
        <v/>
      </c>
      <c r="K566" s="437" t="str">
        <f>IFERROR(-LBP/2+HLOOKUP(Stn_WL,Tools!$AD$2:$AD$27,N566+2,FALSE)*STN_GAP,"")</f>
        <v/>
      </c>
      <c r="L566" s="437" t="str">
        <f>IFERROR(IF(AND(ISNUMBER(K566),O566=0),0,VLOOKUP(HLOOKUP(Stn_WL,Tools!$AD$2:$AD$27,N566+2,FALSE),Tools!$AD$3:$BC$27,O566+1,FALSE)),"")</f>
        <v/>
      </c>
      <c r="M566" s="437" t="str">
        <f>IFERROR(IF(ISNUMBER(L566),IF(O566=0,IFERROR(HLOOKUP(Tools!$BD$127,Tools!$BD$127:$BD$152,N566+2,FALSE)*1,0),HLOOKUP(Tools!$BE$2,Tools!$BE$2:$BE$27,O566+1,FALSE)*WLS),""),"")</f>
        <v/>
      </c>
      <c r="N566">
        <f t="shared" si="50"/>
        <v>43</v>
      </c>
      <c r="O566">
        <f t="shared" si="51"/>
        <v>5</v>
      </c>
    </row>
    <row r="567" spans="1:15" x14ac:dyDescent="0.25">
      <c r="A567" s="431" t="str">
        <f t="shared" si="52"/>
        <v/>
      </c>
      <c r="B567" s="434" t="str">
        <f t="shared" si="48"/>
        <v/>
      </c>
      <c r="C567" s="437" t="str">
        <f>IFERROR(-LBP/2+HLOOKUP(Stn_WL,Tools!$AD$2:$AD$27,QUOTIENT(ROW()-2,Max_WL_count)+2,FALSE)*STN_GAP,"")</f>
        <v/>
      </c>
      <c r="D567" s="437" t="str">
        <f>IFERROR(VLOOKUP(HLOOKUP(Stn_WL,Tools!$AD$2:$AD$27,QUOTIENT(ROW()-2,Max_WL_count)+2,FALSE),Tools!$AD$3:$BC$27,MOD(ROW()-2,Max_WL_count)+2,FALSE),"")</f>
        <v/>
      </c>
      <c r="E567" s="435" t="str">
        <f>IFERROR(IF(ISNUMBER(D567),HLOOKUP(Tools!$BE$2,Tools!$BE$2:$BE$27,MOD(ROW()-2,Max_WL_count)+2,FALSE)*WLS,""),"")</f>
        <v/>
      </c>
      <c r="I567" s="431" t="str">
        <f t="shared" si="53"/>
        <v/>
      </c>
      <c r="J567" s="434" t="str">
        <f t="shared" si="49"/>
        <v/>
      </c>
      <c r="K567" s="437" t="str">
        <f>IFERROR(-LBP/2+HLOOKUP(Stn_WL,Tools!$AD$2:$AD$27,N567+2,FALSE)*STN_GAP,"")</f>
        <v/>
      </c>
      <c r="L567" s="437" t="str">
        <f>IFERROR(IF(AND(ISNUMBER(K567),O567=0),0,VLOOKUP(HLOOKUP(Stn_WL,Tools!$AD$2:$AD$27,N567+2,FALSE),Tools!$AD$3:$BC$27,O567+1,FALSE)),"")</f>
        <v/>
      </c>
      <c r="M567" s="437" t="str">
        <f>IFERROR(IF(ISNUMBER(L567),IF(O567=0,IFERROR(HLOOKUP(Tools!$BD$127,Tools!$BD$127:$BD$152,N567+2,FALSE)*1,0),HLOOKUP(Tools!$BE$2,Tools!$BE$2:$BE$27,O567+1,FALSE)*WLS),""),"")</f>
        <v/>
      </c>
      <c r="N567">
        <f t="shared" si="50"/>
        <v>43</v>
      </c>
      <c r="O567">
        <f t="shared" si="51"/>
        <v>6</v>
      </c>
    </row>
    <row r="568" spans="1:15" x14ac:dyDescent="0.25">
      <c r="A568" s="431" t="str">
        <f t="shared" si="52"/>
        <v/>
      </c>
      <c r="B568" s="434" t="str">
        <f t="shared" si="48"/>
        <v/>
      </c>
      <c r="C568" s="437" t="str">
        <f>IFERROR(-LBP/2+HLOOKUP(Stn_WL,Tools!$AD$2:$AD$27,QUOTIENT(ROW()-2,Max_WL_count)+2,FALSE)*STN_GAP,"")</f>
        <v/>
      </c>
      <c r="D568" s="437" t="str">
        <f>IFERROR(VLOOKUP(HLOOKUP(Stn_WL,Tools!$AD$2:$AD$27,QUOTIENT(ROW()-2,Max_WL_count)+2,FALSE),Tools!$AD$3:$BC$27,MOD(ROW()-2,Max_WL_count)+2,FALSE),"")</f>
        <v/>
      </c>
      <c r="E568" s="435" t="str">
        <f>IFERROR(IF(ISNUMBER(D568),HLOOKUP(Tools!$BE$2,Tools!$BE$2:$BE$27,MOD(ROW()-2,Max_WL_count)+2,FALSE)*WLS,""),"")</f>
        <v/>
      </c>
      <c r="I568" s="431" t="str">
        <f t="shared" si="53"/>
        <v/>
      </c>
      <c r="J568" s="434" t="str">
        <f t="shared" si="49"/>
        <v/>
      </c>
      <c r="K568" s="437" t="str">
        <f>IFERROR(-LBP/2+HLOOKUP(Stn_WL,Tools!$AD$2:$AD$27,N568+2,FALSE)*STN_GAP,"")</f>
        <v/>
      </c>
      <c r="L568" s="437" t="str">
        <f>IFERROR(IF(AND(ISNUMBER(K568),O568=0),0,VLOOKUP(HLOOKUP(Stn_WL,Tools!$AD$2:$AD$27,N568+2,FALSE),Tools!$AD$3:$BC$27,O568+1,FALSE)),"")</f>
        <v/>
      </c>
      <c r="M568" s="437" t="str">
        <f>IFERROR(IF(ISNUMBER(L568),IF(O568=0,IFERROR(HLOOKUP(Tools!$BD$127,Tools!$BD$127:$BD$152,N568+2,FALSE)*1,0),HLOOKUP(Tools!$BE$2,Tools!$BE$2:$BE$27,O568+1,FALSE)*WLS),""),"")</f>
        <v/>
      </c>
      <c r="N568">
        <f t="shared" si="50"/>
        <v>43</v>
      </c>
      <c r="O568">
        <f t="shared" si="51"/>
        <v>7</v>
      </c>
    </row>
    <row r="569" spans="1:15" x14ac:dyDescent="0.25">
      <c r="A569" s="431" t="str">
        <f t="shared" si="52"/>
        <v/>
      </c>
      <c r="B569" s="434" t="str">
        <f t="shared" si="48"/>
        <v/>
      </c>
      <c r="C569" s="437" t="str">
        <f>IFERROR(-LBP/2+HLOOKUP(Stn_WL,Tools!$AD$2:$AD$27,QUOTIENT(ROW()-2,Max_WL_count)+2,FALSE)*STN_GAP,"")</f>
        <v/>
      </c>
      <c r="D569" s="437" t="str">
        <f>IFERROR(VLOOKUP(HLOOKUP(Stn_WL,Tools!$AD$2:$AD$27,QUOTIENT(ROW()-2,Max_WL_count)+2,FALSE),Tools!$AD$3:$BC$27,MOD(ROW()-2,Max_WL_count)+2,FALSE),"")</f>
        <v/>
      </c>
      <c r="E569" s="435" t="str">
        <f>IFERROR(IF(ISNUMBER(D569),HLOOKUP(Tools!$BE$2,Tools!$BE$2:$BE$27,MOD(ROW()-2,Max_WL_count)+2,FALSE)*WLS,""),"")</f>
        <v/>
      </c>
      <c r="I569" s="431" t="str">
        <f t="shared" si="53"/>
        <v/>
      </c>
      <c r="J569" s="434" t="str">
        <f t="shared" si="49"/>
        <v/>
      </c>
      <c r="K569" s="437" t="str">
        <f>IFERROR(-LBP/2+HLOOKUP(Stn_WL,Tools!$AD$2:$AD$27,N569+2,FALSE)*STN_GAP,"")</f>
        <v/>
      </c>
      <c r="L569" s="437" t="str">
        <f>IFERROR(IF(AND(ISNUMBER(K569),O569=0),0,VLOOKUP(HLOOKUP(Stn_WL,Tools!$AD$2:$AD$27,N569+2,FALSE),Tools!$AD$3:$BC$27,O569+1,FALSE)),"")</f>
        <v/>
      </c>
      <c r="M569" s="437" t="str">
        <f>IFERROR(IF(ISNUMBER(L569),IF(O569=0,IFERROR(HLOOKUP(Tools!$BD$127,Tools!$BD$127:$BD$152,N569+2,FALSE)*1,0),HLOOKUP(Tools!$BE$2,Tools!$BE$2:$BE$27,O569+1,FALSE)*WLS),""),"")</f>
        <v/>
      </c>
      <c r="N569">
        <f t="shared" si="50"/>
        <v>43</v>
      </c>
      <c r="O569">
        <f t="shared" si="51"/>
        <v>8</v>
      </c>
    </row>
    <row r="570" spans="1:15" x14ac:dyDescent="0.25">
      <c r="A570" s="431" t="str">
        <f t="shared" si="52"/>
        <v/>
      </c>
      <c r="B570" s="434" t="str">
        <f t="shared" si="48"/>
        <v/>
      </c>
      <c r="C570" s="437" t="str">
        <f>IFERROR(-LBP/2+HLOOKUP(Stn_WL,Tools!$AD$2:$AD$27,QUOTIENT(ROW()-2,Max_WL_count)+2,FALSE)*STN_GAP,"")</f>
        <v/>
      </c>
      <c r="D570" s="437" t="str">
        <f>IFERROR(VLOOKUP(HLOOKUP(Stn_WL,Tools!$AD$2:$AD$27,QUOTIENT(ROW()-2,Max_WL_count)+2,FALSE),Tools!$AD$3:$BC$27,MOD(ROW()-2,Max_WL_count)+2,FALSE),"")</f>
        <v/>
      </c>
      <c r="E570" s="435" t="str">
        <f>IFERROR(IF(ISNUMBER(D570),HLOOKUP(Tools!$BE$2,Tools!$BE$2:$BE$27,MOD(ROW()-2,Max_WL_count)+2,FALSE)*WLS,""),"")</f>
        <v/>
      </c>
      <c r="I570" s="431" t="str">
        <f t="shared" si="53"/>
        <v/>
      </c>
      <c r="J570" s="434" t="str">
        <f t="shared" si="49"/>
        <v/>
      </c>
      <c r="K570" s="437" t="str">
        <f>IFERROR(-LBP/2+HLOOKUP(Stn_WL,Tools!$AD$2:$AD$27,N570+2,FALSE)*STN_GAP,"")</f>
        <v/>
      </c>
      <c r="L570" s="437" t="str">
        <f>IFERROR(IF(AND(ISNUMBER(K570),O570=0),0,VLOOKUP(HLOOKUP(Stn_WL,Tools!$AD$2:$AD$27,N570+2,FALSE),Tools!$AD$3:$BC$27,O570+1,FALSE)),"")</f>
        <v/>
      </c>
      <c r="M570" s="437" t="str">
        <f>IFERROR(IF(ISNUMBER(L570),IF(O570=0,IFERROR(HLOOKUP(Tools!$BD$127,Tools!$BD$127:$BD$152,N570+2,FALSE)*1,0),HLOOKUP(Tools!$BE$2,Tools!$BE$2:$BE$27,O570+1,FALSE)*WLS),""),"")</f>
        <v/>
      </c>
      <c r="N570">
        <f t="shared" si="50"/>
        <v>43</v>
      </c>
      <c r="O570">
        <f t="shared" si="51"/>
        <v>9</v>
      </c>
    </row>
    <row r="571" spans="1:15" x14ac:dyDescent="0.25">
      <c r="A571" s="431" t="str">
        <f t="shared" si="52"/>
        <v/>
      </c>
      <c r="B571" s="434" t="str">
        <f t="shared" si="48"/>
        <v/>
      </c>
      <c r="C571" s="437" t="str">
        <f>IFERROR(-LBP/2+HLOOKUP(Stn_WL,Tools!$AD$2:$AD$27,QUOTIENT(ROW()-2,Max_WL_count)+2,FALSE)*STN_GAP,"")</f>
        <v/>
      </c>
      <c r="D571" s="437" t="str">
        <f>IFERROR(VLOOKUP(HLOOKUP(Stn_WL,Tools!$AD$2:$AD$27,QUOTIENT(ROW()-2,Max_WL_count)+2,FALSE),Tools!$AD$3:$BC$27,MOD(ROW()-2,Max_WL_count)+2,FALSE),"")</f>
        <v/>
      </c>
      <c r="E571" s="435" t="str">
        <f>IFERROR(IF(ISNUMBER(D571),HLOOKUP(Tools!$BE$2,Tools!$BE$2:$BE$27,MOD(ROW()-2,Max_WL_count)+2,FALSE)*WLS,""),"")</f>
        <v/>
      </c>
      <c r="I571" s="431" t="str">
        <f t="shared" si="53"/>
        <v/>
      </c>
      <c r="J571" s="434" t="str">
        <f t="shared" si="49"/>
        <v/>
      </c>
      <c r="K571" s="437" t="str">
        <f>IFERROR(-LBP/2+HLOOKUP(Stn_WL,Tools!$AD$2:$AD$27,N571+2,FALSE)*STN_GAP,"")</f>
        <v/>
      </c>
      <c r="L571" s="437" t="str">
        <f>IFERROR(IF(AND(ISNUMBER(K571),O571=0),0,VLOOKUP(HLOOKUP(Stn_WL,Tools!$AD$2:$AD$27,N571+2,FALSE),Tools!$AD$3:$BC$27,O571+1,FALSE)),"")</f>
        <v/>
      </c>
      <c r="M571" s="437" t="str">
        <f>IFERROR(IF(ISNUMBER(L571),IF(O571=0,IFERROR(HLOOKUP(Tools!$BD$127,Tools!$BD$127:$BD$152,N571+2,FALSE)*1,0),HLOOKUP(Tools!$BE$2,Tools!$BE$2:$BE$27,O571+1,FALSE)*WLS),""),"")</f>
        <v/>
      </c>
      <c r="N571">
        <f t="shared" si="50"/>
        <v>43</v>
      </c>
      <c r="O571">
        <f t="shared" si="51"/>
        <v>10</v>
      </c>
    </row>
    <row r="572" spans="1:15" x14ac:dyDescent="0.25">
      <c r="A572" s="431" t="str">
        <f t="shared" si="52"/>
        <v/>
      </c>
      <c r="B572" s="434" t="str">
        <f t="shared" si="48"/>
        <v/>
      </c>
      <c r="C572" s="437" t="str">
        <f>IFERROR(-LBP/2+HLOOKUP(Stn_WL,Tools!$AD$2:$AD$27,QUOTIENT(ROW()-2,Max_WL_count)+2,FALSE)*STN_GAP,"")</f>
        <v/>
      </c>
      <c r="D572" s="437" t="str">
        <f>IFERROR(VLOOKUP(HLOOKUP(Stn_WL,Tools!$AD$2:$AD$27,QUOTIENT(ROW()-2,Max_WL_count)+2,FALSE),Tools!$AD$3:$BC$27,MOD(ROW()-2,Max_WL_count)+2,FALSE),"")</f>
        <v/>
      </c>
      <c r="E572" s="435" t="str">
        <f>IFERROR(IF(ISNUMBER(D572),HLOOKUP(Tools!$BE$2,Tools!$BE$2:$BE$27,MOD(ROW()-2,Max_WL_count)+2,FALSE)*WLS,""),"")</f>
        <v/>
      </c>
      <c r="I572" s="431" t="str">
        <f t="shared" si="53"/>
        <v/>
      </c>
      <c r="J572" s="434" t="str">
        <f t="shared" si="49"/>
        <v/>
      </c>
      <c r="K572" s="437" t="str">
        <f>IFERROR(-LBP/2+HLOOKUP(Stn_WL,Tools!$AD$2:$AD$27,N572+2,FALSE)*STN_GAP,"")</f>
        <v/>
      </c>
      <c r="L572" s="437" t="str">
        <f>IFERROR(IF(AND(ISNUMBER(K572),O572=0),0,VLOOKUP(HLOOKUP(Stn_WL,Tools!$AD$2:$AD$27,N572+2,FALSE),Tools!$AD$3:$BC$27,O572+1,FALSE)),"")</f>
        <v/>
      </c>
      <c r="M572" s="437" t="str">
        <f>IFERROR(IF(ISNUMBER(L572),IF(O572=0,IFERROR(HLOOKUP(Tools!$BD$127,Tools!$BD$127:$BD$152,N572+2,FALSE)*1,0),HLOOKUP(Tools!$BE$2,Tools!$BE$2:$BE$27,O572+1,FALSE)*WLS),""),"")</f>
        <v/>
      </c>
      <c r="N572">
        <f t="shared" si="50"/>
        <v>43</v>
      </c>
      <c r="O572">
        <f t="shared" si="51"/>
        <v>11</v>
      </c>
    </row>
    <row r="573" spans="1:15" x14ac:dyDescent="0.25">
      <c r="A573" s="431" t="str">
        <f t="shared" si="52"/>
        <v/>
      </c>
      <c r="B573" s="434" t="str">
        <f t="shared" si="48"/>
        <v/>
      </c>
      <c r="C573" s="437" t="str">
        <f>IFERROR(-LBP/2+HLOOKUP(Stn_WL,Tools!$AD$2:$AD$27,QUOTIENT(ROW()-2,Max_WL_count)+2,FALSE)*STN_GAP,"")</f>
        <v/>
      </c>
      <c r="D573" s="437" t="str">
        <f>IFERROR(VLOOKUP(HLOOKUP(Stn_WL,Tools!$AD$2:$AD$27,QUOTIENT(ROW()-2,Max_WL_count)+2,FALSE),Tools!$AD$3:$BC$27,MOD(ROW()-2,Max_WL_count)+2,FALSE),"")</f>
        <v/>
      </c>
      <c r="E573" s="435" t="str">
        <f>IFERROR(IF(ISNUMBER(D573),HLOOKUP(Tools!$BE$2,Tools!$BE$2:$BE$27,MOD(ROW()-2,Max_WL_count)+2,FALSE)*WLS,""),"")</f>
        <v/>
      </c>
      <c r="I573" s="431" t="str">
        <f t="shared" si="53"/>
        <v/>
      </c>
      <c r="J573" s="434" t="str">
        <f t="shared" si="49"/>
        <v/>
      </c>
      <c r="K573" s="437" t="str">
        <f>IFERROR(-LBP/2+HLOOKUP(Stn_WL,Tools!$AD$2:$AD$27,N573+2,FALSE)*STN_GAP,"")</f>
        <v/>
      </c>
      <c r="L573" s="437" t="str">
        <f>IFERROR(IF(AND(ISNUMBER(K573),O573=0),0,VLOOKUP(HLOOKUP(Stn_WL,Tools!$AD$2:$AD$27,N573+2,FALSE),Tools!$AD$3:$BC$27,O573+1,FALSE)),"")</f>
        <v/>
      </c>
      <c r="M573" s="437" t="str">
        <f>IFERROR(IF(ISNUMBER(L573),IF(O573=0,IFERROR(HLOOKUP(Tools!$BD$127,Tools!$BD$127:$BD$152,N573+2,FALSE)*1,0),HLOOKUP(Tools!$BE$2,Tools!$BE$2:$BE$27,O573+1,FALSE)*WLS),""),"")</f>
        <v/>
      </c>
      <c r="N573">
        <f t="shared" si="50"/>
        <v>43</v>
      </c>
      <c r="O573">
        <f t="shared" si="51"/>
        <v>12</v>
      </c>
    </row>
    <row r="574" spans="1:15" x14ac:dyDescent="0.25">
      <c r="A574" s="431" t="str">
        <f t="shared" si="52"/>
        <v/>
      </c>
      <c r="B574" s="434" t="str">
        <f t="shared" si="48"/>
        <v/>
      </c>
      <c r="C574" s="437" t="str">
        <f>IFERROR(-LBP/2+HLOOKUP(Stn_WL,Tools!$AD$2:$AD$27,QUOTIENT(ROW()-2,Max_WL_count)+2,FALSE)*STN_GAP,"")</f>
        <v/>
      </c>
      <c r="D574" s="437" t="str">
        <f>IFERROR(VLOOKUP(HLOOKUP(Stn_WL,Tools!$AD$2:$AD$27,QUOTIENT(ROW()-2,Max_WL_count)+2,FALSE),Tools!$AD$3:$BC$27,MOD(ROW()-2,Max_WL_count)+2,FALSE),"")</f>
        <v/>
      </c>
      <c r="E574" s="435" t="str">
        <f>IFERROR(IF(ISNUMBER(D574),HLOOKUP(Tools!$BE$2,Tools!$BE$2:$BE$27,MOD(ROW()-2,Max_WL_count)+2,FALSE)*WLS,""),"")</f>
        <v/>
      </c>
      <c r="I574" s="431" t="str">
        <f t="shared" si="53"/>
        <v/>
      </c>
      <c r="J574" s="434" t="str">
        <f t="shared" si="49"/>
        <v/>
      </c>
      <c r="K574" s="437" t="str">
        <f>IFERROR(-LBP/2+HLOOKUP(Stn_WL,Tools!$AD$2:$AD$27,N574+2,FALSE)*STN_GAP,"")</f>
        <v/>
      </c>
      <c r="L574" s="437" t="str">
        <f>IFERROR(IF(AND(ISNUMBER(K574),O574=0),0,VLOOKUP(HLOOKUP(Stn_WL,Tools!$AD$2:$AD$27,N574+2,FALSE),Tools!$AD$3:$BC$27,O574+1,FALSE)),"")</f>
        <v/>
      </c>
      <c r="M574" s="437" t="str">
        <f>IFERROR(IF(ISNUMBER(L574),IF(O574=0,IFERROR(HLOOKUP(Tools!$BD$127,Tools!$BD$127:$BD$152,N574+2,FALSE)*1,0),HLOOKUP(Tools!$BE$2,Tools!$BE$2:$BE$27,O574+1,FALSE)*WLS),""),"")</f>
        <v/>
      </c>
      <c r="N574">
        <f t="shared" si="50"/>
        <v>44</v>
      </c>
      <c r="O574">
        <f t="shared" si="51"/>
        <v>0</v>
      </c>
    </row>
    <row r="575" spans="1:15" x14ac:dyDescent="0.25">
      <c r="A575" s="431" t="str">
        <f t="shared" si="52"/>
        <v/>
      </c>
      <c r="B575" s="434" t="str">
        <f t="shared" si="48"/>
        <v/>
      </c>
      <c r="C575" s="437" t="str">
        <f>IFERROR(-LBP/2+HLOOKUP(Stn_WL,Tools!$AD$2:$AD$27,QUOTIENT(ROW()-2,Max_WL_count)+2,FALSE)*STN_GAP,"")</f>
        <v/>
      </c>
      <c r="D575" s="437" t="str">
        <f>IFERROR(VLOOKUP(HLOOKUP(Stn_WL,Tools!$AD$2:$AD$27,QUOTIENT(ROW()-2,Max_WL_count)+2,FALSE),Tools!$AD$3:$BC$27,MOD(ROW()-2,Max_WL_count)+2,FALSE),"")</f>
        <v/>
      </c>
      <c r="E575" s="435" t="str">
        <f>IFERROR(IF(ISNUMBER(D575),HLOOKUP(Tools!$BE$2,Tools!$BE$2:$BE$27,MOD(ROW()-2,Max_WL_count)+2,FALSE)*WLS,""),"")</f>
        <v/>
      </c>
      <c r="I575" s="431" t="str">
        <f t="shared" si="53"/>
        <v/>
      </c>
      <c r="J575" s="434" t="str">
        <f t="shared" si="49"/>
        <v/>
      </c>
      <c r="K575" s="437" t="str">
        <f>IFERROR(-LBP/2+HLOOKUP(Stn_WL,Tools!$AD$2:$AD$27,N575+2,FALSE)*STN_GAP,"")</f>
        <v/>
      </c>
      <c r="L575" s="437" t="str">
        <f>IFERROR(IF(AND(ISNUMBER(K575),O575=0),0,VLOOKUP(HLOOKUP(Stn_WL,Tools!$AD$2:$AD$27,N575+2,FALSE),Tools!$AD$3:$BC$27,O575+1,FALSE)),"")</f>
        <v/>
      </c>
      <c r="M575" s="437" t="str">
        <f>IFERROR(IF(ISNUMBER(L575),IF(O575=0,IFERROR(HLOOKUP(Tools!$BD$127,Tools!$BD$127:$BD$152,N575+2,FALSE)*1,0),HLOOKUP(Tools!$BE$2,Tools!$BE$2:$BE$27,O575+1,FALSE)*WLS),""),"")</f>
        <v/>
      </c>
      <c r="N575">
        <f t="shared" si="50"/>
        <v>44</v>
      </c>
      <c r="O575">
        <f t="shared" si="51"/>
        <v>1</v>
      </c>
    </row>
    <row r="576" spans="1:15" x14ac:dyDescent="0.25">
      <c r="A576" s="431" t="str">
        <f t="shared" si="52"/>
        <v/>
      </c>
      <c r="B576" s="434" t="str">
        <f t="shared" si="48"/>
        <v/>
      </c>
      <c r="C576" s="437" t="str">
        <f>IFERROR(-LBP/2+HLOOKUP(Stn_WL,Tools!$AD$2:$AD$27,QUOTIENT(ROW()-2,Max_WL_count)+2,FALSE)*STN_GAP,"")</f>
        <v/>
      </c>
      <c r="D576" s="437" t="str">
        <f>IFERROR(VLOOKUP(HLOOKUP(Stn_WL,Tools!$AD$2:$AD$27,QUOTIENT(ROW()-2,Max_WL_count)+2,FALSE),Tools!$AD$3:$BC$27,MOD(ROW()-2,Max_WL_count)+2,FALSE),"")</f>
        <v/>
      </c>
      <c r="E576" s="435" t="str">
        <f>IFERROR(IF(ISNUMBER(D576),HLOOKUP(Tools!$BE$2,Tools!$BE$2:$BE$27,MOD(ROW()-2,Max_WL_count)+2,FALSE)*WLS,""),"")</f>
        <v/>
      </c>
      <c r="I576" s="431" t="str">
        <f t="shared" si="53"/>
        <v/>
      </c>
      <c r="J576" s="434" t="str">
        <f t="shared" si="49"/>
        <v/>
      </c>
      <c r="K576" s="437" t="str">
        <f>IFERROR(-LBP/2+HLOOKUP(Stn_WL,Tools!$AD$2:$AD$27,N576+2,FALSE)*STN_GAP,"")</f>
        <v/>
      </c>
      <c r="L576" s="437" t="str">
        <f>IFERROR(IF(AND(ISNUMBER(K576),O576=0),0,VLOOKUP(HLOOKUP(Stn_WL,Tools!$AD$2:$AD$27,N576+2,FALSE),Tools!$AD$3:$BC$27,O576+1,FALSE)),"")</f>
        <v/>
      </c>
      <c r="M576" s="437" t="str">
        <f>IFERROR(IF(ISNUMBER(L576),IF(O576=0,IFERROR(HLOOKUP(Tools!$BD$127,Tools!$BD$127:$BD$152,N576+2,FALSE)*1,0),HLOOKUP(Tools!$BE$2,Tools!$BE$2:$BE$27,O576+1,FALSE)*WLS),""),"")</f>
        <v/>
      </c>
      <c r="N576">
        <f t="shared" si="50"/>
        <v>44</v>
      </c>
      <c r="O576">
        <f t="shared" si="51"/>
        <v>2</v>
      </c>
    </row>
    <row r="577" spans="1:15" x14ac:dyDescent="0.25">
      <c r="A577" s="431" t="str">
        <f t="shared" si="52"/>
        <v/>
      </c>
      <c r="B577" s="434" t="str">
        <f t="shared" si="48"/>
        <v/>
      </c>
      <c r="C577" s="437" t="str">
        <f>IFERROR(-LBP/2+HLOOKUP(Stn_WL,Tools!$AD$2:$AD$27,QUOTIENT(ROW()-2,Max_WL_count)+2,FALSE)*STN_GAP,"")</f>
        <v/>
      </c>
      <c r="D577" s="437" t="str">
        <f>IFERROR(VLOOKUP(HLOOKUP(Stn_WL,Tools!$AD$2:$AD$27,QUOTIENT(ROW()-2,Max_WL_count)+2,FALSE),Tools!$AD$3:$BC$27,MOD(ROW()-2,Max_WL_count)+2,FALSE),"")</f>
        <v/>
      </c>
      <c r="E577" s="435" t="str">
        <f>IFERROR(IF(ISNUMBER(D577),HLOOKUP(Tools!$BE$2,Tools!$BE$2:$BE$27,MOD(ROW()-2,Max_WL_count)+2,FALSE)*WLS,""),"")</f>
        <v/>
      </c>
      <c r="I577" s="431" t="str">
        <f t="shared" si="53"/>
        <v/>
      </c>
      <c r="J577" s="434" t="str">
        <f t="shared" si="49"/>
        <v/>
      </c>
      <c r="K577" s="437" t="str">
        <f>IFERROR(-LBP/2+HLOOKUP(Stn_WL,Tools!$AD$2:$AD$27,N577+2,FALSE)*STN_GAP,"")</f>
        <v/>
      </c>
      <c r="L577" s="437" t="str">
        <f>IFERROR(IF(AND(ISNUMBER(K577),O577=0),0,VLOOKUP(HLOOKUP(Stn_WL,Tools!$AD$2:$AD$27,N577+2,FALSE),Tools!$AD$3:$BC$27,O577+1,FALSE)),"")</f>
        <v/>
      </c>
      <c r="M577" s="437" t="str">
        <f>IFERROR(IF(ISNUMBER(L577),IF(O577=0,IFERROR(HLOOKUP(Tools!$BD$127,Tools!$BD$127:$BD$152,N577+2,FALSE)*1,0),HLOOKUP(Tools!$BE$2,Tools!$BE$2:$BE$27,O577+1,FALSE)*WLS),""),"")</f>
        <v/>
      </c>
      <c r="N577">
        <f t="shared" si="50"/>
        <v>44</v>
      </c>
      <c r="O577">
        <f t="shared" si="51"/>
        <v>3</v>
      </c>
    </row>
    <row r="578" spans="1:15" x14ac:dyDescent="0.25">
      <c r="A578" s="431" t="str">
        <f t="shared" si="52"/>
        <v/>
      </c>
      <c r="B578" s="434" t="str">
        <f t="shared" ref="B578:B626" si="54">IFERROR(IF(ISNUMBER(D578),QUOTIENT(ROW()-2,Max_WL_count)+1,""),"")</f>
        <v/>
      </c>
      <c r="C578" s="437" t="str">
        <f>IFERROR(-LBP/2+HLOOKUP(Stn_WL,Tools!$AD$2:$AD$27,QUOTIENT(ROW()-2,Max_WL_count)+2,FALSE)*STN_GAP,"")</f>
        <v/>
      </c>
      <c r="D578" s="437" t="str">
        <f>IFERROR(VLOOKUP(HLOOKUP(Stn_WL,Tools!$AD$2:$AD$27,QUOTIENT(ROW()-2,Max_WL_count)+2,FALSE),Tools!$AD$3:$BC$27,MOD(ROW()-2,Max_WL_count)+2,FALSE),"")</f>
        <v/>
      </c>
      <c r="E578" s="435" t="str">
        <f>IFERROR(IF(ISNUMBER(D578),HLOOKUP(Tools!$BE$2,Tools!$BE$2:$BE$27,MOD(ROW()-2,Max_WL_count)+2,FALSE)*WLS,""),"")</f>
        <v/>
      </c>
      <c r="I578" s="431" t="str">
        <f t="shared" si="53"/>
        <v/>
      </c>
      <c r="J578" s="434" t="str">
        <f t="shared" ref="J578:J626" si="55">IFERROR(IF(ISNUMBER(L578),QUOTIENT(ROW()-2,Max_WL_count+1)+1,""),"")</f>
        <v/>
      </c>
      <c r="K578" s="437" t="str">
        <f>IFERROR(-LBP/2+HLOOKUP(Stn_WL,Tools!$AD$2:$AD$27,N578+2,FALSE)*STN_GAP,"")</f>
        <v/>
      </c>
      <c r="L578" s="437" t="str">
        <f>IFERROR(IF(AND(ISNUMBER(K578),O578=0),0,VLOOKUP(HLOOKUP(Stn_WL,Tools!$AD$2:$AD$27,N578+2,FALSE),Tools!$AD$3:$BC$27,O578+1,FALSE)),"")</f>
        <v/>
      </c>
      <c r="M578" s="437" t="str">
        <f>IFERROR(IF(ISNUMBER(L578),IF(O578=0,IFERROR(HLOOKUP(Tools!$BD$127,Tools!$BD$127:$BD$152,N578+2,FALSE)*1,0),HLOOKUP(Tools!$BE$2,Tools!$BE$2:$BE$27,O578+1,FALSE)*WLS),""),"")</f>
        <v/>
      </c>
      <c r="N578">
        <f t="shared" ref="N578:N626" si="56">QUOTIENT(ROW()-2,Max_WL_count+1)</f>
        <v>44</v>
      </c>
      <c r="O578">
        <f t="shared" ref="O578:O626" si="57">MOD(ROW()-2,Max_WL_count+1)</f>
        <v>4</v>
      </c>
    </row>
    <row r="579" spans="1:15" x14ac:dyDescent="0.25">
      <c r="A579" s="431" t="str">
        <f t="shared" ref="A579:A626" si="58">IF(ISNUMBER(D579),ROW()-1,"")</f>
        <v/>
      </c>
      <c r="B579" s="434" t="str">
        <f t="shared" si="54"/>
        <v/>
      </c>
      <c r="C579" s="437" t="str">
        <f>IFERROR(-LBP/2+HLOOKUP(Stn_WL,Tools!$AD$2:$AD$27,QUOTIENT(ROW()-2,Max_WL_count)+2,FALSE)*STN_GAP,"")</f>
        <v/>
      </c>
      <c r="D579" s="437" t="str">
        <f>IFERROR(VLOOKUP(HLOOKUP(Stn_WL,Tools!$AD$2:$AD$27,QUOTIENT(ROW()-2,Max_WL_count)+2,FALSE),Tools!$AD$3:$BC$27,MOD(ROW()-2,Max_WL_count)+2,FALSE),"")</f>
        <v/>
      </c>
      <c r="E579" s="435" t="str">
        <f>IFERROR(IF(ISNUMBER(D579),HLOOKUP(Tools!$BE$2,Tools!$BE$2:$BE$27,MOD(ROW()-2,Max_WL_count)+2,FALSE)*WLS,""),"")</f>
        <v/>
      </c>
      <c r="I579" s="431" t="str">
        <f t="shared" ref="I579:I626" si="59">IF(ISNUMBER(L579),ROW()-1,"")</f>
        <v/>
      </c>
      <c r="J579" s="434" t="str">
        <f t="shared" si="55"/>
        <v/>
      </c>
      <c r="K579" s="437" t="str">
        <f>IFERROR(-LBP/2+HLOOKUP(Stn_WL,Tools!$AD$2:$AD$27,N579+2,FALSE)*STN_GAP,"")</f>
        <v/>
      </c>
      <c r="L579" s="437" t="str">
        <f>IFERROR(IF(AND(ISNUMBER(K579),O579=0),0,VLOOKUP(HLOOKUP(Stn_WL,Tools!$AD$2:$AD$27,N579+2,FALSE),Tools!$AD$3:$BC$27,O579+1,FALSE)),"")</f>
        <v/>
      </c>
      <c r="M579" s="437" t="str">
        <f>IFERROR(IF(ISNUMBER(L579),IF(O579=0,IFERROR(HLOOKUP(Tools!$BD$127,Tools!$BD$127:$BD$152,N579+2,FALSE)*1,0),HLOOKUP(Tools!$BE$2,Tools!$BE$2:$BE$27,O579+1,FALSE)*WLS),""),"")</f>
        <v/>
      </c>
      <c r="N579">
        <f t="shared" si="56"/>
        <v>44</v>
      </c>
      <c r="O579">
        <f t="shared" si="57"/>
        <v>5</v>
      </c>
    </row>
    <row r="580" spans="1:15" x14ac:dyDescent="0.25">
      <c r="A580" s="431" t="str">
        <f t="shared" si="58"/>
        <v/>
      </c>
      <c r="B580" s="434" t="str">
        <f t="shared" si="54"/>
        <v/>
      </c>
      <c r="C580" s="437" t="str">
        <f>IFERROR(-LBP/2+HLOOKUP(Stn_WL,Tools!$AD$2:$AD$27,QUOTIENT(ROW()-2,Max_WL_count)+2,FALSE)*STN_GAP,"")</f>
        <v/>
      </c>
      <c r="D580" s="437" t="str">
        <f>IFERROR(VLOOKUP(HLOOKUP(Stn_WL,Tools!$AD$2:$AD$27,QUOTIENT(ROW()-2,Max_WL_count)+2,FALSE),Tools!$AD$3:$BC$27,MOD(ROW()-2,Max_WL_count)+2,FALSE),"")</f>
        <v/>
      </c>
      <c r="E580" s="435" t="str">
        <f>IFERROR(IF(ISNUMBER(D580),HLOOKUP(Tools!$BE$2,Tools!$BE$2:$BE$27,MOD(ROW()-2,Max_WL_count)+2,FALSE)*WLS,""),"")</f>
        <v/>
      </c>
      <c r="I580" s="431" t="str">
        <f t="shared" si="59"/>
        <v/>
      </c>
      <c r="J580" s="434" t="str">
        <f t="shared" si="55"/>
        <v/>
      </c>
      <c r="K580" s="437" t="str">
        <f>IFERROR(-LBP/2+HLOOKUP(Stn_WL,Tools!$AD$2:$AD$27,N580+2,FALSE)*STN_GAP,"")</f>
        <v/>
      </c>
      <c r="L580" s="437" t="str">
        <f>IFERROR(IF(AND(ISNUMBER(K580),O580=0),0,VLOOKUP(HLOOKUP(Stn_WL,Tools!$AD$2:$AD$27,N580+2,FALSE),Tools!$AD$3:$BC$27,O580+1,FALSE)),"")</f>
        <v/>
      </c>
      <c r="M580" s="437" t="str">
        <f>IFERROR(IF(ISNUMBER(L580),IF(O580=0,IFERROR(HLOOKUP(Tools!$BD$127,Tools!$BD$127:$BD$152,N580+2,FALSE)*1,0),HLOOKUP(Tools!$BE$2,Tools!$BE$2:$BE$27,O580+1,FALSE)*WLS),""),"")</f>
        <v/>
      </c>
      <c r="N580">
        <f t="shared" si="56"/>
        <v>44</v>
      </c>
      <c r="O580">
        <f t="shared" si="57"/>
        <v>6</v>
      </c>
    </row>
    <row r="581" spans="1:15" x14ac:dyDescent="0.25">
      <c r="A581" s="431" t="str">
        <f t="shared" si="58"/>
        <v/>
      </c>
      <c r="B581" s="434" t="str">
        <f t="shared" si="54"/>
        <v/>
      </c>
      <c r="C581" s="437" t="str">
        <f>IFERROR(-LBP/2+HLOOKUP(Stn_WL,Tools!$AD$2:$AD$27,QUOTIENT(ROW()-2,Max_WL_count)+2,FALSE)*STN_GAP,"")</f>
        <v/>
      </c>
      <c r="D581" s="437" t="str">
        <f>IFERROR(VLOOKUP(HLOOKUP(Stn_WL,Tools!$AD$2:$AD$27,QUOTIENT(ROW()-2,Max_WL_count)+2,FALSE),Tools!$AD$3:$BC$27,MOD(ROW()-2,Max_WL_count)+2,FALSE),"")</f>
        <v/>
      </c>
      <c r="E581" s="435" t="str">
        <f>IFERROR(IF(ISNUMBER(D581),HLOOKUP(Tools!$BE$2,Tools!$BE$2:$BE$27,MOD(ROW()-2,Max_WL_count)+2,FALSE)*WLS,""),"")</f>
        <v/>
      </c>
      <c r="I581" s="431" t="str">
        <f t="shared" si="59"/>
        <v/>
      </c>
      <c r="J581" s="434" t="str">
        <f t="shared" si="55"/>
        <v/>
      </c>
      <c r="K581" s="437" t="str">
        <f>IFERROR(-LBP/2+HLOOKUP(Stn_WL,Tools!$AD$2:$AD$27,N581+2,FALSE)*STN_GAP,"")</f>
        <v/>
      </c>
      <c r="L581" s="437" t="str">
        <f>IFERROR(IF(AND(ISNUMBER(K581),O581=0),0,VLOOKUP(HLOOKUP(Stn_WL,Tools!$AD$2:$AD$27,N581+2,FALSE),Tools!$AD$3:$BC$27,O581+1,FALSE)),"")</f>
        <v/>
      </c>
      <c r="M581" s="437" t="str">
        <f>IFERROR(IF(ISNUMBER(L581),IF(O581=0,IFERROR(HLOOKUP(Tools!$BD$127,Tools!$BD$127:$BD$152,N581+2,FALSE)*1,0),HLOOKUP(Tools!$BE$2,Tools!$BE$2:$BE$27,O581+1,FALSE)*WLS),""),"")</f>
        <v/>
      </c>
      <c r="N581">
        <f t="shared" si="56"/>
        <v>44</v>
      </c>
      <c r="O581">
        <f t="shared" si="57"/>
        <v>7</v>
      </c>
    </row>
    <row r="582" spans="1:15" x14ac:dyDescent="0.25">
      <c r="A582" s="431" t="str">
        <f t="shared" si="58"/>
        <v/>
      </c>
      <c r="B582" s="434" t="str">
        <f t="shared" si="54"/>
        <v/>
      </c>
      <c r="C582" s="437" t="str">
        <f>IFERROR(-LBP/2+HLOOKUP(Stn_WL,Tools!$AD$2:$AD$27,QUOTIENT(ROW()-2,Max_WL_count)+2,FALSE)*STN_GAP,"")</f>
        <v/>
      </c>
      <c r="D582" s="437" t="str">
        <f>IFERROR(VLOOKUP(HLOOKUP(Stn_WL,Tools!$AD$2:$AD$27,QUOTIENT(ROW()-2,Max_WL_count)+2,FALSE),Tools!$AD$3:$BC$27,MOD(ROW()-2,Max_WL_count)+2,FALSE),"")</f>
        <v/>
      </c>
      <c r="E582" s="435" t="str">
        <f>IFERROR(IF(ISNUMBER(D582),HLOOKUP(Tools!$BE$2,Tools!$BE$2:$BE$27,MOD(ROW()-2,Max_WL_count)+2,FALSE)*WLS,""),"")</f>
        <v/>
      </c>
      <c r="I582" s="431" t="str">
        <f t="shared" si="59"/>
        <v/>
      </c>
      <c r="J582" s="434" t="str">
        <f t="shared" si="55"/>
        <v/>
      </c>
      <c r="K582" s="437" t="str">
        <f>IFERROR(-LBP/2+HLOOKUP(Stn_WL,Tools!$AD$2:$AD$27,N582+2,FALSE)*STN_GAP,"")</f>
        <v/>
      </c>
      <c r="L582" s="437" t="str">
        <f>IFERROR(IF(AND(ISNUMBER(K582),O582=0),0,VLOOKUP(HLOOKUP(Stn_WL,Tools!$AD$2:$AD$27,N582+2,FALSE),Tools!$AD$3:$BC$27,O582+1,FALSE)),"")</f>
        <v/>
      </c>
      <c r="M582" s="437" t="str">
        <f>IFERROR(IF(ISNUMBER(L582),IF(O582=0,IFERROR(HLOOKUP(Tools!$BD$127,Tools!$BD$127:$BD$152,N582+2,FALSE)*1,0),HLOOKUP(Tools!$BE$2,Tools!$BE$2:$BE$27,O582+1,FALSE)*WLS),""),"")</f>
        <v/>
      </c>
      <c r="N582">
        <f t="shared" si="56"/>
        <v>44</v>
      </c>
      <c r="O582">
        <f t="shared" si="57"/>
        <v>8</v>
      </c>
    </row>
    <row r="583" spans="1:15" x14ac:dyDescent="0.25">
      <c r="A583" s="431" t="str">
        <f t="shared" si="58"/>
        <v/>
      </c>
      <c r="B583" s="434" t="str">
        <f t="shared" si="54"/>
        <v/>
      </c>
      <c r="C583" s="437" t="str">
        <f>IFERROR(-LBP/2+HLOOKUP(Stn_WL,Tools!$AD$2:$AD$27,QUOTIENT(ROW()-2,Max_WL_count)+2,FALSE)*STN_GAP,"")</f>
        <v/>
      </c>
      <c r="D583" s="437" t="str">
        <f>IFERROR(VLOOKUP(HLOOKUP(Stn_WL,Tools!$AD$2:$AD$27,QUOTIENT(ROW()-2,Max_WL_count)+2,FALSE),Tools!$AD$3:$BC$27,MOD(ROW()-2,Max_WL_count)+2,FALSE),"")</f>
        <v/>
      </c>
      <c r="E583" s="435" t="str">
        <f>IFERROR(IF(ISNUMBER(D583),HLOOKUP(Tools!$BE$2,Tools!$BE$2:$BE$27,MOD(ROW()-2,Max_WL_count)+2,FALSE)*WLS,""),"")</f>
        <v/>
      </c>
      <c r="I583" s="431" t="str">
        <f t="shared" si="59"/>
        <v/>
      </c>
      <c r="J583" s="434" t="str">
        <f t="shared" si="55"/>
        <v/>
      </c>
      <c r="K583" s="437" t="str">
        <f>IFERROR(-LBP/2+HLOOKUP(Stn_WL,Tools!$AD$2:$AD$27,N583+2,FALSE)*STN_GAP,"")</f>
        <v/>
      </c>
      <c r="L583" s="437" t="str">
        <f>IFERROR(IF(AND(ISNUMBER(K583),O583=0),0,VLOOKUP(HLOOKUP(Stn_WL,Tools!$AD$2:$AD$27,N583+2,FALSE),Tools!$AD$3:$BC$27,O583+1,FALSE)),"")</f>
        <v/>
      </c>
      <c r="M583" s="437" t="str">
        <f>IFERROR(IF(ISNUMBER(L583),IF(O583=0,IFERROR(HLOOKUP(Tools!$BD$127,Tools!$BD$127:$BD$152,N583+2,FALSE)*1,0),HLOOKUP(Tools!$BE$2,Tools!$BE$2:$BE$27,O583+1,FALSE)*WLS),""),"")</f>
        <v/>
      </c>
      <c r="N583">
        <f t="shared" si="56"/>
        <v>44</v>
      </c>
      <c r="O583">
        <f t="shared" si="57"/>
        <v>9</v>
      </c>
    </row>
    <row r="584" spans="1:15" x14ac:dyDescent="0.25">
      <c r="A584" s="431" t="str">
        <f t="shared" si="58"/>
        <v/>
      </c>
      <c r="B584" s="434" t="str">
        <f t="shared" si="54"/>
        <v/>
      </c>
      <c r="C584" s="437" t="str">
        <f>IFERROR(-LBP/2+HLOOKUP(Stn_WL,Tools!$AD$2:$AD$27,QUOTIENT(ROW()-2,Max_WL_count)+2,FALSE)*STN_GAP,"")</f>
        <v/>
      </c>
      <c r="D584" s="437" t="str">
        <f>IFERROR(VLOOKUP(HLOOKUP(Stn_WL,Tools!$AD$2:$AD$27,QUOTIENT(ROW()-2,Max_WL_count)+2,FALSE),Tools!$AD$3:$BC$27,MOD(ROW()-2,Max_WL_count)+2,FALSE),"")</f>
        <v/>
      </c>
      <c r="E584" s="435" t="str">
        <f>IFERROR(IF(ISNUMBER(D584),HLOOKUP(Tools!$BE$2,Tools!$BE$2:$BE$27,MOD(ROW()-2,Max_WL_count)+2,FALSE)*WLS,""),"")</f>
        <v/>
      </c>
      <c r="I584" s="431" t="str">
        <f t="shared" si="59"/>
        <v/>
      </c>
      <c r="J584" s="434" t="str">
        <f t="shared" si="55"/>
        <v/>
      </c>
      <c r="K584" s="437" t="str">
        <f>IFERROR(-LBP/2+HLOOKUP(Stn_WL,Tools!$AD$2:$AD$27,N584+2,FALSE)*STN_GAP,"")</f>
        <v/>
      </c>
      <c r="L584" s="437" t="str">
        <f>IFERROR(IF(AND(ISNUMBER(K584),O584=0),0,VLOOKUP(HLOOKUP(Stn_WL,Tools!$AD$2:$AD$27,N584+2,FALSE),Tools!$AD$3:$BC$27,O584+1,FALSE)),"")</f>
        <v/>
      </c>
      <c r="M584" s="437" t="str">
        <f>IFERROR(IF(ISNUMBER(L584),IF(O584=0,IFERROR(HLOOKUP(Tools!$BD$127,Tools!$BD$127:$BD$152,N584+2,FALSE)*1,0),HLOOKUP(Tools!$BE$2,Tools!$BE$2:$BE$27,O584+1,FALSE)*WLS),""),"")</f>
        <v/>
      </c>
      <c r="N584">
        <f t="shared" si="56"/>
        <v>44</v>
      </c>
      <c r="O584">
        <f t="shared" si="57"/>
        <v>10</v>
      </c>
    </row>
    <row r="585" spans="1:15" x14ac:dyDescent="0.25">
      <c r="A585" s="431" t="str">
        <f t="shared" si="58"/>
        <v/>
      </c>
      <c r="B585" s="434" t="str">
        <f t="shared" si="54"/>
        <v/>
      </c>
      <c r="C585" s="437" t="str">
        <f>IFERROR(-LBP/2+HLOOKUP(Stn_WL,Tools!$AD$2:$AD$27,QUOTIENT(ROW()-2,Max_WL_count)+2,FALSE)*STN_GAP,"")</f>
        <v/>
      </c>
      <c r="D585" s="437" t="str">
        <f>IFERROR(VLOOKUP(HLOOKUP(Stn_WL,Tools!$AD$2:$AD$27,QUOTIENT(ROW()-2,Max_WL_count)+2,FALSE),Tools!$AD$3:$BC$27,MOD(ROW()-2,Max_WL_count)+2,FALSE),"")</f>
        <v/>
      </c>
      <c r="E585" s="435" t="str">
        <f>IFERROR(IF(ISNUMBER(D585),HLOOKUP(Tools!$BE$2,Tools!$BE$2:$BE$27,MOD(ROW()-2,Max_WL_count)+2,FALSE)*WLS,""),"")</f>
        <v/>
      </c>
      <c r="I585" s="431" t="str">
        <f t="shared" si="59"/>
        <v/>
      </c>
      <c r="J585" s="434" t="str">
        <f t="shared" si="55"/>
        <v/>
      </c>
      <c r="K585" s="437" t="str">
        <f>IFERROR(-LBP/2+HLOOKUP(Stn_WL,Tools!$AD$2:$AD$27,N585+2,FALSE)*STN_GAP,"")</f>
        <v/>
      </c>
      <c r="L585" s="437" t="str">
        <f>IFERROR(IF(AND(ISNUMBER(K585),O585=0),0,VLOOKUP(HLOOKUP(Stn_WL,Tools!$AD$2:$AD$27,N585+2,FALSE),Tools!$AD$3:$BC$27,O585+1,FALSE)),"")</f>
        <v/>
      </c>
      <c r="M585" s="437" t="str">
        <f>IFERROR(IF(ISNUMBER(L585),IF(O585=0,IFERROR(HLOOKUP(Tools!$BD$127,Tools!$BD$127:$BD$152,N585+2,FALSE)*1,0),HLOOKUP(Tools!$BE$2,Tools!$BE$2:$BE$27,O585+1,FALSE)*WLS),""),"")</f>
        <v/>
      </c>
      <c r="N585">
        <f t="shared" si="56"/>
        <v>44</v>
      </c>
      <c r="O585">
        <f t="shared" si="57"/>
        <v>11</v>
      </c>
    </row>
    <row r="586" spans="1:15" x14ac:dyDescent="0.25">
      <c r="A586" s="431" t="str">
        <f t="shared" si="58"/>
        <v/>
      </c>
      <c r="B586" s="434" t="str">
        <f t="shared" si="54"/>
        <v/>
      </c>
      <c r="C586" s="437" t="str">
        <f>IFERROR(-LBP/2+HLOOKUP(Stn_WL,Tools!$AD$2:$AD$27,QUOTIENT(ROW()-2,Max_WL_count)+2,FALSE)*STN_GAP,"")</f>
        <v/>
      </c>
      <c r="D586" s="437" t="str">
        <f>IFERROR(VLOOKUP(HLOOKUP(Stn_WL,Tools!$AD$2:$AD$27,QUOTIENT(ROW()-2,Max_WL_count)+2,FALSE),Tools!$AD$3:$BC$27,MOD(ROW()-2,Max_WL_count)+2,FALSE),"")</f>
        <v/>
      </c>
      <c r="E586" s="435" t="str">
        <f>IFERROR(IF(ISNUMBER(D586),HLOOKUP(Tools!$BE$2,Tools!$BE$2:$BE$27,MOD(ROW()-2,Max_WL_count)+2,FALSE)*WLS,""),"")</f>
        <v/>
      </c>
      <c r="I586" s="431" t="str">
        <f t="shared" si="59"/>
        <v/>
      </c>
      <c r="J586" s="434" t="str">
        <f t="shared" si="55"/>
        <v/>
      </c>
      <c r="K586" s="437" t="str">
        <f>IFERROR(-LBP/2+HLOOKUP(Stn_WL,Tools!$AD$2:$AD$27,N586+2,FALSE)*STN_GAP,"")</f>
        <v/>
      </c>
      <c r="L586" s="437" t="str">
        <f>IFERROR(IF(AND(ISNUMBER(K586),O586=0),0,VLOOKUP(HLOOKUP(Stn_WL,Tools!$AD$2:$AD$27,N586+2,FALSE),Tools!$AD$3:$BC$27,O586+1,FALSE)),"")</f>
        <v/>
      </c>
      <c r="M586" s="437" t="str">
        <f>IFERROR(IF(ISNUMBER(L586),IF(O586=0,IFERROR(HLOOKUP(Tools!$BD$127,Tools!$BD$127:$BD$152,N586+2,FALSE)*1,0),HLOOKUP(Tools!$BE$2,Tools!$BE$2:$BE$27,O586+1,FALSE)*WLS),""),"")</f>
        <v/>
      </c>
      <c r="N586">
        <f t="shared" si="56"/>
        <v>44</v>
      </c>
      <c r="O586">
        <f t="shared" si="57"/>
        <v>12</v>
      </c>
    </row>
    <row r="587" spans="1:15" x14ac:dyDescent="0.25">
      <c r="A587" s="431" t="str">
        <f t="shared" si="58"/>
        <v/>
      </c>
      <c r="B587" s="434" t="str">
        <f t="shared" si="54"/>
        <v/>
      </c>
      <c r="C587" s="437" t="str">
        <f>IFERROR(-LBP/2+HLOOKUP(Stn_WL,Tools!$AD$2:$AD$27,QUOTIENT(ROW()-2,Max_WL_count)+2,FALSE)*STN_GAP,"")</f>
        <v/>
      </c>
      <c r="D587" s="437" t="str">
        <f>IFERROR(VLOOKUP(HLOOKUP(Stn_WL,Tools!$AD$2:$AD$27,QUOTIENT(ROW()-2,Max_WL_count)+2,FALSE),Tools!$AD$3:$BC$27,MOD(ROW()-2,Max_WL_count)+2,FALSE),"")</f>
        <v/>
      </c>
      <c r="E587" s="435" t="str">
        <f>IFERROR(IF(ISNUMBER(D587),HLOOKUP(Tools!$BE$2,Tools!$BE$2:$BE$27,MOD(ROW()-2,Max_WL_count)+2,FALSE)*WLS,""),"")</f>
        <v/>
      </c>
      <c r="I587" s="431" t="str">
        <f t="shared" si="59"/>
        <v/>
      </c>
      <c r="J587" s="434" t="str">
        <f t="shared" si="55"/>
        <v/>
      </c>
      <c r="K587" s="437" t="str">
        <f>IFERROR(-LBP/2+HLOOKUP(Stn_WL,Tools!$AD$2:$AD$27,N587+2,FALSE)*STN_GAP,"")</f>
        <v/>
      </c>
      <c r="L587" s="437" t="str">
        <f>IFERROR(IF(AND(ISNUMBER(K587),O587=0),0,VLOOKUP(HLOOKUP(Stn_WL,Tools!$AD$2:$AD$27,N587+2,FALSE),Tools!$AD$3:$BC$27,O587+1,FALSE)),"")</f>
        <v/>
      </c>
      <c r="M587" s="437" t="str">
        <f>IFERROR(IF(ISNUMBER(L587),IF(O587=0,IFERROR(HLOOKUP(Tools!$BD$127,Tools!$BD$127:$BD$152,N587+2,FALSE)*1,0),HLOOKUP(Tools!$BE$2,Tools!$BE$2:$BE$27,O587+1,FALSE)*WLS),""),"")</f>
        <v/>
      </c>
      <c r="N587">
        <f t="shared" si="56"/>
        <v>45</v>
      </c>
      <c r="O587">
        <f t="shared" si="57"/>
        <v>0</v>
      </c>
    </row>
    <row r="588" spans="1:15" x14ac:dyDescent="0.25">
      <c r="A588" s="431" t="str">
        <f t="shared" si="58"/>
        <v/>
      </c>
      <c r="B588" s="434" t="str">
        <f t="shared" si="54"/>
        <v/>
      </c>
      <c r="C588" s="437" t="str">
        <f>IFERROR(-LBP/2+HLOOKUP(Stn_WL,Tools!$AD$2:$AD$27,QUOTIENT(ROW()-2,Max_WL_count)+2,FALSE)*STN_GAP,"")</f>
        <v/>
      </c>
      <c r="D588" s="437" t="str">
        <f>IFERROR(VLOOKUP(HLOOKUP(Stn_WL,Tools!$AD$2:$AD$27,QUOTIENT(ROW()-2,Max_WL_count)+2,FALSE),Tools!$AD$3:$BC$27,MOD(ROW()-2,Max_WL_count)+2,FALSE),"")</f>
        <v/>
      </c>
      <c r="E588" s="435" t="str">
        <f>IFERROR(IF(ISNUMBER(D588),HLOOKUP(Tools!$BE$2,Tools!$BE$2:$BE$27,MOD(ROW()-2,Max_WL_count)+2,FALSE)*WLS,""),"")</f>
        <v/>
      </c>
      <c r="I588" s="431" t="str">
        <f t="shared" si="59"/>
        <v/>
      </c>
      <c r="J588" s="434" t="str">
        <f t="shared" si="55"/>
        <v/>
      </c>
      <c r="K588" s="437" t="str">
        <f>IFERROR(-LBP/2+HLOOKUP(Stn_WL,Tools!$AD$2:$AD$27,N588+2,FALSE)*STN_GAP,"")</f>
        <v/>
      </c>
      <c r="L588" s="437" t="str">
        <f>IFERROR(IF(AND(ISNUMBER(K588),O588=0),0,VLOOKUP(HLOOKUP(Stn_WL,Tools!$AD$2:$AD$27,N588+2,FALSE),Tools!$AD$3:$BC$27,O588+1,FALSE)),"")</f>
        <v/>
      </c>
      <c r="M588" s="437" t="str">
        <f>IFERROR(IF(ISNUMBER(L588),IF(O588=0,IFERROR(HLOOKUP(Tools!$BD$127,Tools!$BD$127:$BD$152,N588+2,FALSE)*1,0),HLOOKUP(Tools!$BE$2,Tools!$BE$2:$BE$27,O588+1,FALSE)*WLS),""),"")</f>
        <v/>
      </c>
      <c r="N588">
        <f t="shared" si="56"/>
        <v>45</v>
      </c>
      <c r="O588">
        <f t="shared" si="57"/>
        <v>1</v>
      </c>
    </row>
    <row r="589" spans="1:15" x14ac:dyDescent="0.25">
      <c r="A589" s="431" t="str">
        <f t="shared" si="58"/>
        <v/>
      </c>
      <c r="B589" s="434" t="str">
        <f t="shared" si="54"/>
        <v/>
      </c>
      <c r="C589" s="437" t="str">
        <f>IFERROR(-LBP/2+HLOOKUP(Stn_WL,Tools!$AD$2:$AD$27,QUOTIENT(ROW()-2,Max_WL_count)+2,FALSE)*STN_GAP,"")</f>
        <v/>
      </c>
      <c r="D589" s="437" t="str">
        <f>IFERROR(VLOOKUP(HLOOKUP(Stn_WL,Tools!$AD$2:$AD$27,QUOTIENT(ROW()-2,Max_WL_count)+2,FALSE),Tools!$AD$3:$BC$27,MOD(ROW()-2,Max_WL_count)+2,FALSE),"")</f>
        <v/>
      </c>
      <c r="E589" s="435" t="str">
        <f>IFERROR(IF(ISNUMBER(D589),HLOOKUP(Tools!$BE$2,Tools!$BE$2:$BE$27,MOD(ROW()-2,Max_WL_count)+2,FALSE)*WLS,""),"")</f>
        <v/>
      </c>
      <c r="I589" s="431" t="str">
        <f t="shared" si="59"/>
        <v/>
      </c>
      <c r="J589" s="434" t="str">
        <f t="shared" si="55"/>
        <v/>
      </c>
      <c r="K589" s="437" t="str">
        <f>IFERROR(-LBP/2+HLOOKUP(Stn_WL,Tools!$AD$2:$AD$27,N589+2,FALSE)*STN_GAP,"")</f>
        <v/>
      </c>
      <c r="L589" s="437" t="str">
        <f>IFERROR(IF(AND(ISNUMBER(K589),O589=0),0,VLOOKUP(HLOOKUP(Stn_WL,Tools!$AD$2:$AD$27,N589+2,FALSE),Tools!$AD$3:$BC$27,O589+1,FALSE)),"")</f>
        <v/>
      </c>
      <c r="M589" s="437" t="str">
        <f>IFERROR(IF(ISNUMBER(L589),IF(O589=0,IFERROR(HLOOKUP(Tools!$BD$127,Tools!$BD$127:$BD$152,N589+2,FALSE)*1,0),HLOOKUP(Tools!$BE$2,Tools!$BE$2:$BE$27,O589+1,FALSE)*WLS),""),"")</f>
        <v/>
      </c>
      <c r="N589">
        <f t="shared" si="56"/>
        <v>45</v>
      </c>
      <c r="O589">
        <f t="shared" si="57"/>
        <v>2</v>
      </c>
    </row>
    <row r="590" spans="1:15" x14ac:dyDescent="0.25">
      <c r="A590" s="431" t="str">
        <f t="shared" si="58"/>
        <v/>
      </c>
      <c r="B590" s="434" t="str">
        <f t="shared" si="54"/>
        <v/>
      </c>
      <c r="C590" s="437" t="str">
        <f>IFERROR(-LBP/2+HLOOKUP(Stn_WL,Tools!$AD$2:$AD$27,QUOTIENT(ROW()-2,Max_WL_count)+2,FALSE)*STN_GAP,"")</f>
        <v/>
      </c>
      <c r="D590" s="437" t="str">
        <f>IFERROR(VLOOKUP(HLOOKUP(Stn_WL,Tools!$AD$2:$AD$27,QUOTIENT(ROW()-2,Max_WL_count)+2,FALSE),Tools!$AD$3:$BC$27,MOD(ROW()-2,Max_WL_count)+2,FALSE),"")</f>
        <v/>
      </c>
      <c r="E590" s="435" t="str">
        <f>IFERROR(IF(ISNUMBER(D590),HLOOKUP(Tools!$BE$2,Tools!$BE$2:$BE$27,MOD(ROW()-2,Max_WL_count)+2,FALSE)*WLS,""),"")</f>
        <v/>
      </c>
      <c r="I590" s="431" t="str">
        <f t="shared" si="59"/>
        <v/>
      </c>
      <c r="J590" s="434" t="str">
        <f t="shared" si="55"/>
        <v/>
      </c>
      <c r="K590" s="437" t="str">
        <f>IFERROR(-LBP/2+HLOOKUP(Stn_WL,Tools!$AD$2:$AD$27,N590+2,FALSE)*STN_GAP,"")</f>
        <v/>
      </c>
      <c r="L590" s="437" t="str">
        <f>IFERROR(IF(AND(ISNUMBER(K590),O590=0),0,VLOOKUP(HLOOKUP(Stn_WL,Tools!$AD$2:$AD$27,N590+2,FALSE),Tools!$AD$3:$BC$27,O590+1,FALSE)),"")</f>
        <v/>
      </c>
      <c r="M590" s="437" t="str">
        <f>IFERROR(IF(ISNUMBER(L590),IF(O590=0,IFERROR(HLOOKUP(Tools!$BD$127,Tools!$BD$127:$BD$152,N590+2,FALSE)*1,0),HLOOKUP(Tools!$BE$2,Tools!$BE$2:$BE$27,O590+1,FALSE)*WLS),""),"")</f>
        <v/>
      </c>
      <c r="N590">
        <f t="shared" si="56"/>
        <v>45</v>
      </c>
      <c r="O590">
        <f t="shared" si="57"/>
        <v>3</v>
      </c>
    </row>
    <row r="591" spans="1:15" x14ac:dyDescent="0.25">
      <c r="A591" s="431" t="str">
        <f t="shared" si="58"/>
        <v/>
      </c>
      <c r="B591" s="434" t="str">
        <f t="shared" si="54"/>
        <v/>
      </c>
      <c r="C591" s="437" t="str">
        <f>IFERROR(-LBP/2+HLOOKUP(Stn_WL,Tools!$AD$2:$AD$27,QUOTIENT(ROW()-2,Max_WL_count)+2,FALSE)*STN_GAP,"")</f>
        <v/>
      </c>
      <c r="D591" s="437" t="str">
        <f>IFERROR(VLOOKUP(HLOOKUP(Stn_WL,Tools!$AD$2:$AD$27,QUOTIENT(ROW()-2,Max_WL_count)+2,FALSE),Tools!$AD$3:$BC$27,MOD(ROW()-2,Max_WL_count)+2,FALSE),"")</f>
        <v/>
      </c>
      <c r="E591" s="435" t="str">
        <f>IFERROR(IF(ISNUMBER(D591),HLOOKUP(Tools!$BE$2,Tools!$BE$2:$BE$27,MOD(ROW()-2,Max_WL_count)+2,FALSE)*WLS,""),"")</f>
        <v/>
      </c>
      <c r="I591" s="431" t="str">
        <f t="shared" si="59"/>
        <v/>
      </c>
      <c r="J591" s="434" t="str">
        <f t="shared" si="55"/>
        <v/>
      </c>
      <c r="K591" s="437" t="str">
        <f>IFERROR(-LBP/2+HLOOKUP(Stn_WL,Tools!$AD$2:$AD$27,N591+2,FALSE)*STN_GAP,"")</f>
        <v/>
      </c>
      <c r="L591" s="437" t="str">
        <f>IFERROR(IF(AND(ISNUMBER(K591),O591=0),0,VLOOKUP(HLOOKUP(Stn_WL,Tools!$AD$2:$AD$27,N591+2,FALSE),Tools!$AD$3:$BC$27,O591+1,FALSE)),"")</f>
        <v/>
      </c>
      <c r="M591" s="437" t="str">
        <f>IFERROR(IF(ISNUMBER(L591),IF(O591=0,IFERROR(HLOOKUP(Tools!$BD$127,Tools!$BD$127:$BD$152,N591+2,FALSE)*1,0),HLOOKUP(Tools!$BE$2,Tools!$BE$2:$BE$27,O591+1,FALSE)*WLS),""),"")</f>
        <v/>
      </c>
      <c r="N591">
        <f t="shared" si="56"/>
        <v>45</v>
      </c>
      <c r="O591">
        <f t="shared" si="57"/>
        <v>4</v>
      </c>
    </row>
    <row r="592" spans="1:15" x14ac:dyDescent="0.25">
      <c r="A592" s="431" t="str">
        <f t="shared" si="58"/>
        <v/>
      </c>
      <c r="B592" s="434" t="str">
        <f t="shared" si="54"/>
        <v/>
      </c>
      <c r="C592" s="437" t="str">
        <f>IFERROR(-LBP/2+HLOOKUP(Stn_WL,Tools!$AD$2:$AD$27,QUOTIENT(ROW()-2,Max_WL_count)+2,FALSE)*STN_GAP,"")</f>
        <v/>
      </c>
      <c r="D592" s="437" t="str">
        <f>IFERROR(VLOOKUP(HLOOKUP(Stn_WL,Tools!$AD$2:$AD$27,QUOTIENT(ROW()-2,Max_WL_count)+2,FALSE),Tools!$AD$3:$BC$27,MOD(ROW()-2,Max_WL_count)+2,FALSE),"")</f>
        <v/>
      </c>
      <c r="E592" s="435" t="str">
        <f>IFERROR(IF(ISNUMBER(D592),HLOOKUP(Tools!$BE$2,Tools!$BE$2:$BE$27,MOD(ROW()-2,Max_WL_count)+2,FALSE)*WLS,""),"")</f>
        <v/>
      </c>
      <c r="I592" s="431" t="str">
        <f t="shared" si="59"/>
        <v/>
      </c>
      <c r="J592" s="434" t="str">
        <f t="shared" si="55"/>
        <v/>
      </c>
      <c r="K592" s="437" t="str">
        <f>IFERROR(-LBP/2+HLOOKUP(Stn_WL,Tools!$AD$2:$AD$27,N592+2,FALSE)*STN_GAP,"")</f>
        <v/>
      </c>
      <c r="L592" s="437" t="str">
        <f>IFERROR(IF(AND(ISNUMBER(K592),O592=0),0,VLOOKUP(HLOOKUP(Stn_WL,Tools!$AD$2:$AD$27,N592+2,FALSE),Tools!$AD$3:$BC$27,O592+1,FALSE)),"")</f>
        <v/>
      </c>
      <c r="M592" s="437" t="str">
        <f>IFERROR(IF(ISNUMBER(L592),IF(O592=0,IFERROR(HLOOKUP(Tools!$BD$127,Tools!$BD$127:$BD$152,N592+2,FALSE)*1,0),HLOOKUP(Tools!$BE$2,Tools!$BE$2:$BE$27,O592+1,FALSE)*WLS),""),"")</f>
        <v/>
      </c>
      <c r="N592">
        <f t="shared" si="56"/>
        <v>45</v>
      </c>
      <c r="O592">
        <f t="shared" si="57"/>
        <v>5</v>
      </c>
    </row>
    <row r="593" spans="1:15" x14ac:dyDescent="0.25">
      <c r="A593" s="431" t="str">
        <f t="shared" si="58"/>
        <v/>
      </c>
      <c r="B593" s="434" t="str">
        <f t="shared" si="54"/>
        <v/>
      </c>
      <c r="C593" s="437" t="str">
        <f>IFERROR(-LBP/2+HLOOKUP(Stn_WL,Tools!$AD$2:$AD$27,QUOTIENT(ROW()-2,Max_WL_count)+2,FALSE)*STN_GAP,"")</f>
        <v/>
      </c>
      <c r="D593" s="437" t="str">
        <f>IFERROR(VLOOKUP(HLOOKUP(Stn_WL,Tools!$AD$2:$AD$27,QUOTIENT(ROW()-2,Max_WL_count)+2,FALSE),Tools!$AD$3:$BC$27,MOD(ROW()-2,Max_WL_count)+2,FALSE),"")</f>
        <v/>
      </c>
      <c r="E593" s="435" t="str">
        <f>IFERROR(IF(ISNUMBER(D593),HLOOKUP(Tools!$BE$2,Tools!$BE$2:$BE$27,MOD(ROW()-2,Max_WL_count)+2,FALSE)*WLS,""),"")</f>
        <v/>
      </c>
      <c r="I593" s="431" t="str">
        <f t="shared" si="59"/>
        <v/>
      </c>
      <c r="J593" s="434" t="str">
        <f t="shared" si="55"/>
        <v/>
      </c>
      <c r="K593" s="437" t="str">
        <f>IFERROR(-LBP/2+HLOOKUP(Stn_WL,Tools!$AD$2:$AD$27,N593+2,FALSE)*STN_GAP,"")</f>
        <v/>
      </c>
      <c r="L593" s="437" t="str">
        <f>IFERROR(IF(AND(ISNUMBER(K593),O593=0),0,VLOOKUP(HLOOKUP(Stn_WL,Tools!$AD$2:$AD$27,N593+2,FALSE),Tools!$AD$3:$BC$27,O593+1,FALSE)),"")</f>
        <v/>
      </c>
      <c r="M593" s="437" t="str">
        <f>IFERROR(IF(ISNUMBER(L593),IF(O593=0,IFERROR(HLOOKUP(Tools!$BD$127,Tools!$BD$127:$BD$152,N593+2,FALSE)*1,0),HLOOKUP(Tools!$BE$2,Tools!$BE$2:$BE$27,O593+1,FALSE)*WLS),""),"")</f>
        <v/>
      </c>
      <c r="N593">
        <f t="shared" si="56"/>
        <v>45</v>
      </c>
      <c r="O593">
        <f t="shared" si="57"/>
        <v>6</v>
      </c>
    </row>
    <row r="594" spans="1:15" x14ac:dyDescent="0.25">
      <c r="A594" s="431" t="str">
        <f t="shared" si="58"/>
        <v/>
      </c>
      <c r="B594" s="434" t="str">
        <f t="shared" si="54"/>
        <v/>
      </c>
      <c r="C594" s="437" t="str">
        <f>IFERROR(-LBP/2+HLOOKUP(Stn_WL,Tools!$AD$2:$AD$27,QUOTIENT(ROW()-2,Max_WL_count)+2,FALSE)*STN_GAP,"")</f>
        <v/>
      </c>
      <c r="D594" s="437" t="str">
        <f>IFERROR(VLOOKUP(HLOOKUP(Stn_WL,Tools!$AD$2:$AD$27,QUOTIENT(ROW()-2,Max_WL_count)+2,FALSE),Tools!$AD$3:$BC$27,MOD(ROW()-2,Max_WL_count)+2,FALSE),"")</f>
        <v/>
      </c>
      <c r="E594" s="435" t="str">
        <f>IFERROR(IF(ISNUMBER(D594),HLOOKUP(Tools!$BE$2,Tools!$BE$2:$BE$27,MOD(ROW()-2,Max_WL_count)+2,FALSE)*WLS,""),"")</f>
        <v/>
      </c>
      <c r="I594" s="431" t="str">
        <f t="shared" si="59"/>
        <v/>
      </c>
      <c r="J594" s="434" t="str">
        <f t="shared" si="55"/>
        <v/>
      </c>
      <c r="K594" s="437" t="str">
        <f>IFERROR(-LBP/2+HLOOKUP(Stn_WL,Tools!$AD$2:$AD$27,N594+2,FALSE)*STN_GAP,"")</f>
        <v/>
      </c>
      <c r="L594" s="437" t="str">
        <f>IFERROR(IF(AND(ISNUMBER(K594),O594=0),0,VLOOKUP(HLOOKUP(Stn_WL,Tools!$AD$2:$AD$27,N594+2,FALSE),Tools!$AD$3:$BC$27,O594+1,FALSE)),"")</f>
        <v/>
      </c>
      <c r="M594" s="437" t="str">
        <f>IFERROR(IF(ISNUMBER(L594),IF(O594=0,IFERROR(HLOOKUP(Tools!$BD$127,Tools!$BD$127:$BD$152,N594+2,FALSE)*1,0),HLOOKUP(Tools!$BE$2,Tools!$BE$2:$BE$27,O594+1,FALSE)*WLS),""),"")</f>
        <v/>
      </c>
      <c r="N594">
        <f t="shared" si="56"/>
        <v>45</v>
      </c>
      <c r="O594">
        <f t="shared" si="57"/>
        <v>7</v>
      </c>
    </row>
    <row r="595" spans="1:15" x14ac:dyDescent="0.25">
      <c r="A595" s="431" t="str">
        <f t="shared" si="58"/>
        <v/>
      </c>
      <c r="B595" s="434" t="str">
        <f t="shared" si="54"/>
        <v/>
      </c>
      <c r="C595" s="437" t="str">
        <f>IFERROR(-LBP/2+HLOOKUP(Stn_WL,Tools!$AD$2:$AD$27,QUOTIENT(ROW()-2,Max_WL_count)+2,FALSE)*STN_GAP,"")</f>
        <v/>
      </c>
      <c r="D595" s="437" t="str">
        <f>IFERROR(VLOOKUP(HLOOKUP(Stn_WL,Tools!$AD$2:$AD$27,QUOTIENT(ROW()-2,Max_WL_count)+2,FALSE),Tools!$AD$3:$BC$27,MOD(ROW()-2,Max_WL_count)+2,FALSE),"")</f>
        <v/>
      </c>
      <c r="E595" s="435" t="str">
        <f>IFERROR(IF(ISNUMBER(D595),HLOOKUP(Tools!$BE$2,Tools!$BE$2:$BE$27,MOD(ROW()-2,Max_WL_count)+2,FALSE)*WLS,""),"")</f>
        <v/>
      </c>
      <c r="I595" s="431" t="str">
        <f t="shared" si="59"/>
        <v/>
      </c>
      <c r="J595" s="434" t="str">
        <f t="shared" si="55"/>
        <v/>
      </c>
      <c r="K595" s="437" t="str">
        <f>IFERROR(-LBP/2+HLOOKUP(Stn_WL,Tools!$AD$2:$AD$27,N595+2,FALSE)*STN_GAP,"")</f>
        <v/>
      </c>
      <c r="L595" s="437" t="str">
        <f>IFERROR(IF(AND(ISNUMBER(K595),O595=0),0,VLOOKUP(HLOOKUP(Stn_WL,Tools!$AD$2:$AD$27,N595+2,FALSE),Tools!$AD$3:$BC$27,O595+1,FALSE)),"")</f>
        <v/>
      </c>
      <c r="M595" s="437" t="str">
        <f>IFERROR(IF(ISNUMBER(L595),IF(O595=0,IFERROR(HLOOKUP(Tools!$BD$127,Tools!$BD$127:$BD$152,N595+2,FALSE)*1,0),HLOOKUP(Tools!$BE$2,Tools!$BE$2:$BE$27,O595+1,FALSE)*WLS),""),"")</f>
        <v/>
      </c>
      <c r="N595">
        <f t="shared" si="56"/>
        <v>45</v>
      </c>
      <c r="O595">
        <f t="shared" si="57"/>
        <v>8</v>
      </c>
    </row>
    <row r="596" spans="1:15" x14ac:dyDescent="0.25">
      <c r="A596" s="431" t="str">
        <f t="shared" si="58"/>
        <v/>
      </c>
      <c r="B596" s="434" t="str">
        <f t="shared" si="54"/>
        <v/>
      </c>
      <c r="C596" s="437" t="str">
        <f>IFERROR(-LBP/2+HLOOKUP(Stn_WL,Tools!$AD$2:$AD$27,QUOTIENT(ROW()-2,Max_WL_count)+2,FALSE)*STN_GAP,"")</f>
        <v/>
      </c>
      <c r="D596" s="437" t="str">
        <f>IFERROR(VLOOKUP(HLOOKUP(Stn_WL,Tools!$AD$2:$AD$27,QUOTIENT(ROW()-2,Max_WL_count)+2,FALSE),Tools!$AD$3:$BC$27,MOD(ROW()-2,Max_WL_count)+2,FALSE),"")</f>
        <v/>
      </c>
      <c r="E596" s="435" t="str">
        <f>IFERROR(IF(ISNUMBER(D596),HLOOKUP(Tools!$BE$2,Tools!$BE$2:$BE$27,MOD(ROW()-2,Max_WL_count)+2,FALSE)*WLS,""),"")</f>
        <v/>
      </c>
      <c r="I596" s="431" t="str">
        <f t="shared" si="59"/>
        <v/>
      </c>
      <c r="J596" s="434" t="str">
        <f t="shared" si="55"/>
        <v/>
      </c>
      <c r="K596" s="437" t="str">
        <f>IFERROR(-LBP/2+HLOOKUP(Stn_WL,Tools!$AD$2:$AD$27,N596+2,FALSE)*STN_GAP,"")</f>
        <v/>
      </c>
      <c r="L596" s="437" t="str">
        <f>IFERROR(IF(AND(ISNUMBER(K596),O596=0),0,VLOOKUP(HLOOKUP(Stn_WL,Tools!$AD$2:$AD$27,N596+2,FALSE),Tools!$AD$3:$BC$27,O596+1,FALSE)),"")</f>
        <v/>
      </c>
      <c r="M596" s="437" t="str">
        <f>IFERROR(IF(ISNUMBER(L596),IF(O596=0,IFERROR(HLOOKUP(Tools!$BD$127,Tools!$BD$127:$BD$152,N596+2,FALSE)*1,0),HLOOKUP(Tools!$BE$2,Tools!$BE$2:$BE$27,O596+1,FALSE)*WLS),""),"")</f>
        <v/>
      </c>
      <c r="N596">
        <f t="shared" si="56"/>
        <v>45</v>
      </c>
      <c r="O596">
        <f t="shared" si="57"/>
        <v>9</v>
      </c>
    </row>
    <row r="597" spans="1:15" x14ac:dyDescent="0.25">
      <c r="A597" s="431" t="str">
        <f t="shared" si="58"/>
        <v/>
      </c>
      <c r="B597" s="434" t="str">
        <f t="shared" si="54"/>
        <v/>
      </c>
      <c r="C597" s="437" t="str">
        <f>IFERROR(-LBP/2+HLOOKUP(Stn_WL,Tools!$AD$2:$AD$27,QUOTIENT(ROW()-2,Max_WL_count)+2,FALSE)*STN_GAP,"")</f>
        <v/>
      </c>
      <c r="D597" s="437" t="str">
        <f>IFERROR(VLOOKUP(HLOOKUP(Stn_WL,Tools!$AD$2:$AD$27,QUOTIENT(ROW()-2,Max_WL_count)+2,FALSE),Tools!$AD$3:$BC$27,MOD(ROW()-2,Max_WL_count)+2,FALSE),"")</f>
        <v/>
      </c>
      <c r="E597" s="435" t="str">
        <f>IFERROR(IF(ISNUMBER(D597),HLOOKUP(Tools!$BE$2,Tools!$BE$2:$BE$27,MOD(ROW()-2,Max_WL_count)+2,FALSE)*WLS,""),"")</f>
        <v/>
      </c>
      <c r="I597" s="431" t="str">
        <f t="shared" si="59"/>
        <v/>
      </c>
      <c r="J597" s="434" t="str">
        <f t="shared" si="55"/>
        <v/>
      </c>
      <c r="K597" s="437" t="str">
        <f>IFERROR(-LBP/2+HLOOKUP(Stn_WL,Tools!$AD$2:$AD$27,N597+2,FALSE)*STN_GAP,"")</f>
        <v/>
      </c>
      <c r="L597" s="437" t="str">
        <f>IFERROR(IF(AND(ISNUMBER(K597),O597=0),0,VLOOKUP(HLOOKUP(Stn_WL,Tools!$AD$2:$AD$27,N597+2,FALSE),Tools!$AD$3:$BC$27,O597+1,FALSE)),"")</f>
        <v/>
      </c>
      <c r="M597" s="437" t="str">
        <f>IFERROR(IF(ISNUMBER(L597),IF(O597=0,IFERROR(HLOOKUP(Tools!$BD$127,Tools!$BD$127:$BD$152,N597+2,FALSE)*1,0),HLOOKUP(Tools!$BE$2,Tools!$BE$2:$BE$27,O597+1,FALSE)*WLS),""),"")</f>
        <v/>
      </c>
      <c r="N597">
        <f t="shared" si="56"/>
        <v>45</v>
      </c>
      <c r="O597">
        <f t="shared" si="57"/>
        <v>10</v>
      </c>
    </row>
    <row r="598" spans="1:15" x14ac:dyDescent="0.25">
      <c r="A598" s="431" t="str">
        <f t="shared" si="58"/>
        <v/>
      </c>
      <c r="B598" s="434" t="str">
        <f t="shared" si="54"/>
        <v/>
      </c>
      <c r="C598" s="437" t="str">
        <f>IFERROR(-LBP/2+HLOOKUP(Stn_WL,Tools!$AD$2:$AD$27,QUOTIENT(ROW()-2,Max_WL_count)+2,FALSE)*STN_GAP,"")</f>
        <v/>
      </c>
      <c r="D598" s="437" t="str">
        <f>IFERROR(VLOOKUP(HLOOKUP(Stn_WL,Tools!$AD$2:$AD$27,QUOTIENT(ROW()-2,Max_WL_count)+2,FALSE),Tools!$AD$3:$BC$27,MOD(ROW()-2,Max_WL_count)+2,FALSE),"")</f>
        <v/>
      </c>
      <c r="E598" s="435" t="str">
        <f>IFERROR(IF(ISNUMBER(D598),HLOOKUP(Tools!$BE$2,Tools!$BE$2:$BE$27,MOD(ROW()-2,Max_WL_count)+2,FALSE)*WLS,""),"")</f>
        <v/>
      </c>
      <c r="I598" s="431" t="str">
        <f t="shared" si="59"/>
        <v/>
      </c>
      <c r="J598" s="434" t="str">
        <f t="shared" si="55"/>
        <v/>
      </c>
      <c r="K598" s="437" t="str">
        <f>IFERROR(-LBP/2+HLOOKUP(Stn_WL,Tools!$AD$2:$AD$27,N598+2,FALSE)*STN_GAP,"")</f>
        <v/>
      </c>
      <c r="L598" s="437" t="str">
        <f>IFERROR(IF(AND(ISNUMBER(K598),O598=0),0,VLOOKUP(HLOOKUP(Stn_WL,Tools!$AD$2:$AD$27,N598+2,FALSE),Tools!$AD$3:$BC$27,O598+1,FALSE)),"")</f>
        <v/>
      </c>
      <c r="M598" s="437" t="str">
        <f>IFERROR(IF(ISNUMBER(L598),IF(O598=0,IFERROR(HLOOKUP(Tools!$BD$127,Tools!$BD$127:$BD$152,N598+2,FALSE)*1,0),HLOOKUP(Tools!$BE$2,Tools!$BE$2:$BE$27,O598+1,FALSE)*WLS),""),"")</f>
        <v/>
      </c>
      <c r="N598">
        <f t="shared" si="56"/>
        <v>45</v>
      </c>
      <c r="O598">
        <f t="shared" si="57"/>
        <v>11</v>
      </c>
    </row>
    <row r="599" spans="1:15" x14ac:dyDescent="0.25">
      <c r="A599" s="431" t="str">
        <f t="shared" si="58"/>
        <v/>
      </c>
      <c r="B599" s="434" t="str">
        <f t="shared" si="54"/>
        <v/>
      </c>
      <c r="C599" s="437" t="str">
        <f>IFERROR(-LBP/2+HLOOKUP(Stn_WL,Tools!$AD$2:$AD$27,QUOTIENT(ROW()-2,Max_WL_count)+2,FALSE)*STN_GAP,"")</f>
        <v/>
      </c>
      <c r="D599" s="437" t="str">
        <f>IFERROR(VLOOKUP(HLOOKUP(Stn_WL,Tools!$AD$2:$AD$27,QUOTIENT(ROW()-2,Max_WL_count)+2,FALSE),Tools!$AD$3:$BC$27,MOD(ROW()-2,Max_WL_count)+2,FALSE),"")</f>
        <v/>
      </c>
      <c r="E599" s="435" t="str">
        <f>IFERROR(IF(ISNUMBER(D599),HLOOKUP(Tools!$BE$2,Tools!$BE$2:$BE$27,MOD(ROW()-2,Max_WL_count)+2,FALSE)*WLS,""),"")</f>
        <v/>
      </c>
      <c r="I599" s="431" t="str">
        <f t="shared" si="59"/>
        <v/>
      </c>
      <c r="J599" s="434" t="str">
        <f t="shared" si="55"/>
        <v/>
      </c>
      <c r="K599" s="437" t="str">
        <f>IFERROR(-LBP/2+HLOOKUP(Stn_WL,Tools!$AD$2:$AD$27,N599+2,FALSE)*STN_GAP,"")</f>
        <v/>
      </c>
      <c r="L599" s="437" t="str">
        <f>IFERROR(IF(AND(ISNUMBER(K599),O599=0),0,VLOOKUP(HLOOKUP(Stn_WL,Tools!$AD$2:$AD$27,N599+2,FALSE),Tools!$AD$3:$BC$27,O599+1,FALSE)),"")</f>
        <v/>
      </c>
      <c r="M599" s="437" t="str">
        <f>IFERROR(IF(ISNUMBER(L599),IF(O599=0,IFERROR(HLOOKUP(Tools!$BD$127,Tools!$BD$127:$BD$152,N599+2,FALSE)*1,0),HLOOKUP(Tools!$BE$2,Tools!$BE$2:$BE$27,O599+1,FALSE)*WLS),""),"")</f>
        <v/>
      </c>
      <c r="N599">
        <f t="shared" si="56"/>
        <v>45</v>
      </c>
      <c r="O599">
        <f t="shared" si="57"/>
        <v>12</v>
      </c>
    </row>
    <row r="600" spans="1:15" x14ac:dyDescent="0.25">
      <c r="A600" s="431" t="str">
        <f t="shared" si="58"/>
        <v/>
      </c>
      <c r="B600" s="434" t="str">
        <f t="shared" si="54"/>
        <v/>
      </c>
      <c r="C600" s="437" t="str">
        <f>IFERROR(-LBP/2+HLOOKUP(Stn_WL,Tools!$AD$2:$AD$27,QUOTIENT(ROW()-2,Max_WL_count)+2,FALSE)*STN_GAP,"")</f>
        <v/>
      </c>
      <c r="D600" s="437" t="str">
        <f>IFERROR(VLOOKUP(HLOOKUP(Stn_WL,Tools!$AD$2:$AD$27,QUOTIENT(ROW()-2,Max_WL_count)+2,FALSE),Tools!$AD$3:$BC$27,MOD(ROW()-2,Max_WL_count)+2,FALSE),"")</f>
        <v/>
      </c>
      <c r="E600" s="435" t="str">
        <f>IFERROR(IF(ISNUMBER(D600),HLOOKUP(Tools!$BE$2,Tools!$BE$2:$BE$27,MOD(ROW()-2,Max_WL_count)+2,FALSE)*WLS,""),"")</f>
        <v/>
      </c>
      <c r="I600" s="431" t="str">
        <f t="shared" si="59"/>
        <v/>
      </c>
      <c r="J600" s="434" t="str">
        <f t="shared" si="55"/>
        <v/>
      </c>
      <c r="K600" s="437" t="str">
        <f>IFERROR(-LBP/2+HLOOKUP(Stn_WL,Tools!$AD$2:$AD$27,N600+2,FALSE)*STN_GAP,"")</f>
        <v/>
      </c>
      <c r="L600" s="437" t="str">
        <f>IFERROR(IF(AND(ISNUMBER(K600),O600=0),0,VLOOKUP(HLOOKUP(Stn_WL,Tools!$AD$2:$AD$27,N600+2,FALSE),Tools!$AD$3:$BC$27,O600+1,FALSE)),"")</f>
        <v/>
      </c>
      <c r="M600" s="437" t="str">
        <f>IFERROR(IF(ISNUMBER(L600),IF(O600=0,IFERROR(HLOOKUP(Tools!$BD$127,Tools!$BD$127:$BD$152,N600+2,FALSE)*1,0),HLOOKUP(Tools!$BE$2,Tools!$BE$2:$BE$27,O600+1,FALSE)*WLS),""),"")</f>
        <v/>
      </c>
      <c r="N600">
        <f t="shared" si="56"/>
        <v>46</v>
      </c>
      <c r="O600">
        <f t="shared" si="57"/>
        <v>0</v>
      </c>
    </row>
    <row r="601" spans="1:15" x14ac:dyDescent="0.25">
      <c r="A601" s="431" t="str">
        <f t="shared" si="58"/>
        <v/>
      </c>
      <c r="B601" s="434" t="str">
        <f t="shared" si="54"/>
        <v/>
      </c>
      <c r="C601" s="437" t="str">
        <f>IFERROR(-LBP/2+HLOOKUP(Stn_WL,Tools!$AD$2:$AD$27,QUOTIENT(ROW()-2,Max_WL_count)+2,FALSE)*STN_GAP,"")</f>
        <v/>
      </c>
      <c r="D601" s="437" t="str">
        <f>IFERROR(VLOOKUP(HLOOKUP(Stn_WL,Tools!$AD$2:$AD$27,QUOTIENT(ROW()-2,Max_WL_count)+2,FALSE),Tools!$AD$3:$BC$27,MOD(ROW()-2,Max_WL_count)+2,FALSE),"")</f>
        <v/>
      </c>
      <c r="E601" s="435" t="str">
        <f>IFERROR(IF(ISNUMBER(D601),HLOOKUP(Tools!$BE$2,Tools!$BE$2:$BE$27,MOD(ROW()-2,Max_WL_count)+2,FALSE)*WLS,""),"")</f>
        <v/>
      </c>
      <c r="I601" s="431" t="str">
        <f t="shared" si="59"/>
        <v/>
      </c>
      <c r="J601" s="434" t="str">
        <f t="shared" si="55"/>
        <v/>
      </c>
      <c r="K601" s="437" t="str">
        <f>IFERROR(-LBP/2+HLOOKUP(Stn_WL,Tools!$AD$2:$AD$27,N601+2,FALSE)*STN_GAP,"")</f>
        <v/>
      </c>
      <c r="L601" s="437" t="str">
        <f>IFERROR(IF(AND(ISNUMBER(K601),O601=0),0,VLOOKUP(HLOOKUP(Stn_WL,Tools!$AD$2:$AD$27,N601+2,FALSE),Tools!$AD$3:$BC$27,O601+1,FALSE)),"")</f>
        <v/>
      </c>
      <c r="M601" s="437" t="str">
        <f>IFERROR(IF(ISNUMBER(L601),IF(O601=0,IFERROR(HLOOKUP(Tools!$BD$127,Tools!$BD$127:$BD$152,N601+2,FALSE)*1,0),HLOOKUP(Tools!$BE$2,Tools!$BE$2:$BE$27,O601+1,FALSE)*WLS),""),"")</f>
        <v/>
      </c>
      <c r="N601">
        <f t="shared" si="56"/>
        <v>46</v>
      </c>
      <c r="O601">
        <f t="shared" si="57"/>
        <v>1</v>
      </c>
    </row>
    <row r="602" spans="1:15" x14ac:dyDescent="0.25">
      <c r="A602" s="431" t="str">
        <f t="shared" si="58"/>
        <v/>
      </c>
      <c r="B602" s="434" t="str">
        <f t="shared" si="54"/>
        <v/>
      </c>
      <c r="C602" s="437" t="str">
        <f>IFERROR(-LBP/2+HLOOKUP(Stn_WL,Tools!$AD$2:$AD$27,QUOTIENT(ROW()-2,Max_WL_count)+2,FALSE)*STN_GAP,"")</f>
        <v/>
      </c>
      <c r="D602" s="437" t="str">
        <f>IFERROR(VLOOKUP(HLOOKUP(Stn_WL,Tools!$AD$2:$AD$27,QUOTIENT(ROW()-2,Max_WL_count)+2,FALSE),Tools!$AD$3:$BC$27,MOD(ROW()-2,Max_WL_count)+2,FALSE),"")</f>
        <v/>
      </c>
      <c r="E602" s="435" t="str">
        <f>IFERROR(IF(ISNUMBER(D602),HLOOKUP(Tools!$BE$2,Tools!$BE$2:$BE$27,MOD(ROW()-2,Max_WL_count)+2,FALSE)*WLS,""),"")</f>
        <v/>
      </c>
      <c r="I602" s="431" t="str">
        <f t="shared" si="59"/>
        <v/>
      </c>
      <c r="J602" s="434" t="str">
        <f t="shared" si="55"/>
        <v/>
      </c>
      <c r="K602" s="437" t="str">
        <f>IFERROR(-LBP/2+HLOOKUP(Stn_WL,Tools!$AD$2:$AD$27,N602+2,FALSE)*STN_GAP,"")</f>
        <v/>
      </c>
      <c r="L602" s="437" t="str">
        <f>IFERROR(IF(AND(ISNUMBER(K602),O602=0),0,VLOOKUP(HLOOKUP(Stn_WL,Tools!$AD$2:$AD$27,N602+2,FALSE),Tools!$AD$3:$BC$27,O602+1,FALSE)),"")</f>
        <v/>
      </c>
      <c r="M602" s="437" t="str">
        <f>IFERROR(IF(ISNUMBER(L602),IF(O602=0,IFERROR(HLOOKUP(Tools!$BD$127,Tools!$BD$127:$BD$152,N602+2,FALSE)*1,0),HLOOKUP(Tools!$BE$2,Tools!$BE$2:$BE$27,O602+1,FALSE)*WLS),""),"")</f>
        <v/>
      </c>
      <c r="N602">
        <f t="shared" si="56"/>
        <v>46</v>
      </c>
      <c r="O602">
        <f t="shared" si="57"/>
        <v>2</v>
      </c>
    </row>
    <row r="603" spans="1:15" x14ac:dyDescent="0.25">
      <c r="A603" s="431" t="str">
        <f t="shared" si="58"/>
        <v/>
      </c>
      <c r="B603" s="434" t="str">
        <f t="shared" si="54"/>
        <v/>
      </c>
      <c r="C603" s="437" t="str">
        <f>IFERROR(-LBP/2+HLOOKUP(Stn_WL,Tools!$AD$2:$AD$27,QUOTIENT(ROW()-2,Max_WL_count)+2,FALSE)*STN_GAP,"")</f>
        <v/>
      </c>
      <c r="D603" s="437" t="str">
        <f>IFERROR(VLOOKUP(HLOOKUP(Stn_WL,Tools!$AD$2:$AD$27,QUOTIENT(ROW()-2,Max_WL_count)+2,FALSE),Tools!$AD$3:$BC$27,MOD(ROW()-2,Max_WL_count)+2,FALSE),"")</f>
        <v/>
      </c>
      <c r="E603" s="435" t="str">
        <f>IFERROR(IF(ISNUMBER(D603),HLOOKUP(Tools!$BE$2,Tools!$BE$2:$BE$27,MOD(ROW()-2,Max_WL_count)+2,FALSE)*WLS,""),"")</f>
        <v/>
      </c>
      <c r="I603" s="431" t="str">
        <f t="shared" si="59"/>
        <v/>
      </c>
      <c r="J603" s="434" t="str">
        <f t="shared" si="55"/>
        <v/>
      </c>
      <c r="K603" s="437" t="str">
        <f>IFERROR(-LBP/2+HLOOKUP(Stn_WL,Tools!$AD$2:$AD$27,N603+2,FALSE)*STN_GAP,"")</f>
        <v/>
      </c>
      <c r="L603" s="437" t="str">
        <f>IFERROR(IF(AND(ISNUMBER(K603),O603=0),0,VLOOKUP(HLOOKUP(Stn_WL,Tools!$AD$2:$AD$27,N603+2,FALSE),Tools!$AD$3:$BC$27,O603+1,FALSE)),"")</f>
        <v/>
      </c>
      <c r="M603" s="437" t="str">
        <f>IFERROR(IF(ISNUMBER(L603),IF(O603=0,IFERROR(HLOOKUP(Tools!$BD$127,Tools!$BD$127:$BD$152,N603+2,FALSE)*1,0),HLOOKUP(Tools!$BE$2,Tools!$BE$2:$BE$27,O603+1,FALSE)*WLS),""),"")</f>
        <v/>
      </c>
      <c r="N603">
        <f t="shared" si="56"/>
        <v>46</v>
      </c>
      <c r="O603">
        <f t="shared" si="57"/>
        <v>3</v>
      </c>
    </row>
    <row r="604" spans="1:15" x14ac:dyDescent="0.25">
      <c r="A604" s="431" t="str">
        <f t="shared" si="58"/>
        <v/>
      </c>
      <c r="B604" s="434" t="str">
        <f t="shared" si="54"/>
        <v/>
      </c>
      <c r="C604" s="437" t="str">
        <f>IFERROR(-LBP/2+HLOOKUP(Stn_WL,Tools!$AD$2:$AD$27,QUOTIENT(ROW()-2,Max_WL_count)+2,FALSE)*STN_GAP,"")</f>
        <v/>
      </c>
      <c r="D604" s="437" t="str">
        <f>IFERROR(VLOOKUP(HLOOKUP(Stn_WL,Tools!$AD$2:$AD$27,QUOTIENT(ROW()-2,Max_WL_count)+2,FALSE),Tools!$AD$3:$BC$27,MOD(ROW()-2,Max_WL_count)+2,FALSE),"")</f>
        <v/>
      </c>
      <c r="E604" s="435" t="str">
        <f>IFERROR(IF(ISNUMBER(D604),HLOOKUP(Tools!$BE$2,Tools!$BE$2:$BE$27,MOD(ROW()-2,Max_WL_count)+2,FALSE)*WLS,""),"")</f>
        <v/>
      </c>
      <c r="I604" s="431" t="str">
        <f t="shared" si="59"/>
        <v/>
      </c>
      <c r="J604" s="434" t="str">
        <f t="shared" si="55"/>
        <v/>
      </c>
      <c r="K604" s="437" t="str">
        <f>IFERROR(-LBP/2+HLOOKUP(Stn_WL,Tools!$AD$2:$AD$27,N604+2,FALSE)*STN_GAP,"")</f>
        <v/>
      </c>
      <c r="L604" s="437" t="str">
        <f>IFERROR(IF(AND(ISNUMBER(K604),O604=0),0,VLOOKUP(HLOOKUP(Stn_WL,Tools!$AD$2:$AD$27,N604+2,FALSE),Tools!$AD$3:$BC$27,O604+1,FALSE)),"")</f>
        <v/>
      </c>
      <c r="M604" s="437" t="str">
        <f>IFERROR(IF(ISNUMBER(L604),IF(O604=0,IFERROR(HLOOKUP(Tools!$BD$127,Tools!$BD$127:$BD$152,N604+2,FALSE)*1,0),HLOOKUP(Tools!$BE$2,Tools!$BE$2:$BE$27,O604+1,FALSE)*WLS),""),"")</f>
        <v/>
      </c>
      <c r="N604">
        <f t="shared" si="56"/>
        <v>46</v>
      </c>
      <c r="O604">
        <f t="shared" si="57"/>
        <v>4</v>
      </c>
    </row>
    <row r="605" spans="1:15" x14ac:dyDescent="0.25">
      <c r="A605" s="431" t="str">
        <f t="shared" si="58"/>
        <v/>
      </c>
      <c r="B605" s="434" t="str">
        <f t="shared" si="54"/>
        <v/>
      </c>
      <c r="C605" s="437" t="str">
        <f>IFERROR(-LBP/2+HLOOKUP(Stn_WL,Tools!$AD$2:$AD$27,QUOTIENT(ROW()-2,Max_WL_count)+2,FALSE)*STN_GAP,"")</f>
        <v/>
      </c>
      <c r="D605" s="437" t="str">
        <f>IFERROR(VLOOKUP(HLOOKUP(Stn_WL,Tools!$AD$2:$AD$27,QUOTIENT(ROW()-2,Max_WL_count)+2,FALSE),Tools!$AD$3:$BC$27,MOD(ROW()-2,Max_WL_count)+2,FALSE),"")</f>
        <v/>
      </c>
      <c r="E605" s="435" t="str">
        <f>IFERROR(IF(ISNUMBER(D605),HLOOKUP(Tools!$BE$2,Tools!$BE$2:$BE$27,MOD(ROW()-2,Max_WL_count)+2,FALSE)*WLS,""),"")</f>
        <v/>
      </c>
      <c r="I605" s="431" t="str">
        <f t="shared" si="59"/>
        <v/>
      </c>
      <c r="J605" s="434" t="str">
        <f t="shared" si="55"/>
        <v/>
      </c>
      <c r="K605" s="437" t="str">
        <f>IFERROR(-LBP/2+HLOOKUP(Stn_WL,Tools!$AD$2:$AD$27,N605+2,FALSE)*STN_GAP,"")</f>
        <v/>
      </c>
      <c r="L605" s="437" t="str">
        <f>IFERROR(IF(AND(ISNUMBER(K605),O605=0),0,VLOOKUP(HLOOKUP(Stn_WL,Tools!$AD$2:$AD$27,N605+2,FALSE),Tools!$AD$3:$BC$27,O605+1,FALSE)),"")</f>
        <v/>
      </c>
      <c r="M605" s="437" t="str">
        <f>IFERROR(IF(ISNUMBER(L605),IF(O605=0,IFERROR(HLOOKUP(Tools!$BD$127,Tools!$BD$127:$BD$152,N605+2,FALSE)*1,0),HLOOKUP(Tools!$BE$2,Tools!$BE$2:$BE$27,O605+1,FALSE)*WLS),""),"")</f>
        <v/>
      </c>
      <c r="N605">
        <f t="shared" si="56"/>
        <v>46</v>
      </c>
      <c r="O605">
        <f t="shared" si="57"/>
        <v>5</v>
      </c>
    </row>
    <row r="606" spans="1:15" x14ac:dyDescent="0.25">
      <c r="A606" s="431" t="str">
        <f t="shared" si="58"/>
        <v/>
      </c>
      <c r="B606" s="434" t="str">
        <f t="shared" si="54"/>
        <v/>
      </c>
      <c r="C606" s="437" t="str">
        <f>IFERROR(-LBP/2+HLOOKUP(Stn_WL,Tools!$AD$2:$AD$27,QUOTIENT(ROW()-2,Max_WL_count)+2,FALSE)*STN_GAP,"")</f>
        <v/>
      </c>
      <c r="D606" s="437" t="str">
        <f>IFERROR(VLOOKUP(HLOOKUP(Stn_WL,Tools!$AD$2:$AD$27,QUOTIENT(ROW()-2,Max_WL_count)+2,FALSE),Tools!$AD$3:$BC$27,MOD(ROW()-2,Max_WL_count)+2,FALSE),"")</f>
        <v/>
      </c>
      <c r="E606" s="435" t="str">
        <f>IFERROR(IF(ISNUMBER(D606),HLOOKUP(Tools!$BE$2,Tools!$BE$2:$BE$27,MOD(ROW()-2,Max_WL_count)+2,FALSE)*WLS,""),"")</f>
        <v/>
      </c>
      <c r="I606" s="431" t="str">
        <f t="shared" si="59"/>
        <v/>
      </c>
      <c r="J606" s="434" t="str">
        <f t="shared" si="55"/>
        <v/>
      </c>
      <c r="K606" s="437" t="str">
        <f>IFERROR(-LBP/2+HLOOKUP(Stn_WL,Tools!$AD$2:$AD$27,N606+2,FALSE)*STN_GAP,"")</f>
        <v/>
      </c>
      <c r="L606" s="437" t="str">
        <f>IFERROR(IF(AND(ISNUMBER(K606),O606=0),0,VLOOKUP(HLOOKUP(Stn_WL,Tools!$AD$2:$AD$27,N606+2,FALSE),Tools!$AD$3:$BC$27,O606+1,FALSE)),"")</f>
        <v/>
      </c>
      <c r="M606" s="437" t="str">
        <f>IFERROR(IF(ISNUMBER(L606),IF(O606=0,IFERROR(HLOOKUP(Tools!$BD$127,Tools!$BD$127:$BD$152,N606+2,FALSE)*1,0),HLOOKUP(Tools!$BE$2,Tools!$BE$2:$BE$27,O606+1,FALSE)*WLS),""),"")</f>
        <v/>
      </c>
      <c r="N606">
        <f t="shared" si="56"/>
        <v>46</v>
      </c>
      <c r="O606">
        <f t="shared" si="57"/>
        <v>6</v>
      </c>
    </row>
    <row r="607" spans="1:15" x14ac:dyDescent="0.25">
      <c r="A607" s="431" t="str">
        <f t="shared" si="58"/>
        <v/>
      </c>
      <c r="B607" s="434" t="str">
        <f t="shared" si="54"/>
        <v/>
      </c>
      <c r="C607" s="437" t="str">
        <f>IFERROR(-LBP/2+HLOOKUP(Stn_WL,Tools!$AD$2:$AD$27,QUOTIENT(ROW()-2,Max_WL_count)+2,FALSE)*STN_GAP,"")</f>
        <v/>
      </c>
      <c r="D607" s="437" t="str">
        <f>IFERROR(VLOOKUP(HLOOKUP(Stn_WL,Tools!$AD$2:$AD$27,QUOTIENT(ROW()-2,Max_WL_count)+2,FALSE),Tools!$AD$3:$BC$27,MOD(ROW()-2,Max_WL_count)+2,FALSE),"")</f>
        <v/>
      </c>
      <c r="E607" s="435" t="str">
        <f>IFERROR(IF(ISNUMBER(D607),HLOOKUP(Tools!$BE$2,Tools!$BE$2:$BE$27,MOD(ROW()-2,Max_WL_count)+2,FALSE)*WLS,""),"")</f>
        <v/>
      </c>
      <c r="I607" s="431" t="str">
        <f t="shared" si="59"/>
        <v/>
      </c>
      <c r="J607" s="434" t="str">
        <f t="shared" si="55"/>
        <v/>
      </c>
      <c r="K607" s="437" t="str">
        <f>IFERROR(-LBP/2+HLOOKUP(Stn_WL,Tools!$AD$2:$AD$27,N607+2,FALSE)*STN_GAP,"")</f>
        <v/>
      </c>
      <c r="L607" s="437" t="str">
        <f>IFERROR(IF(AND(ISNUMBER(K607),O607=0),0,VLOOKUP(HLOOKUP(Stn_WL,Tools!$AD$2:$AD$27,N607+2,FALSE),Tools!$AD$3:$BC$27,O607+1,FALSE)),"")</f>
        <v/>
      </c>
      <c r="M607" s="437" t="str">
        <f>IFERROR(IF(ISNUMBER(L607),IF(O607=0,IFERROR(HLOOKUP(Tools!$BD$127,Tools!$BD$127:$BD$152,N607+2,FALSE)*1,0),HLOOKUP(Tools!$BE$2,Tools!$BE$2:$BE$27,O607+1,FALSE)*WLS),""),"")</f>
        <v/>
      </c>
      <c r="N607">
        <f t="shared" si="56"/>
        <v>46</v>
      </c>
      <c r="O607">
        <f t="shared" si="57"/>
        <v>7</v>
      </c>
    </row>
    <row r="608" spans="1:15" x14ac:dyDescent="0.25">
      <c r="A608" s="431" t="str">
        <f t="shared" si="58"/>
        <v/>
      </c>
      <c r="B608" s="434" t="str">
        <f t="shared" si="54"/>
        <v/>
      </c>
      <c r="C608" s="437" t="str">
        <f>IFERROR(-LBP/2+HLOOKUP(Stn_WL,Tools!$AD$2:$AD$27,QUOTIENT(ROW()-2,Max_WL_count)+2,FALSE)*STN_GAP,"")</f>
        <v/>
      </c>
      <c r="D608" s="437" t="str">
        <f>IFERROR(VLOOKUP(HLOOKUP(Stn_WL,Tools!$AD$2:$AD$27,QUOTIENT(ROW()-2,Max_WL_count)+2,FALSE),Tools!$AD$3:$BC$27,MOD(ROW()-2,Max_WL_count)+2,FALSE),"")</f>
        <v/>
      </c>
      <c r="E608" s="435" t="str">
        <f>IFERROR(IF(ISNUMBER(D608),HLOOKUP(Tools!$BE$2,Tools!$BE$2:$BE$27,MOD(ROW()-2,Max_WL_count)+2,FALSE)*WLS,""),"")</f>
        <v/>
      </c>
      <c r="I608" s="431" t="str">
        <f t="shared" si="59"/>
        <v/>
      </c>
      <c r="J608" s="434" t="str">
        <f t="shared" si="55"/>
        <v/>
      </c>
      <c r="K608" s="437" t="str">
        <f>IFERROR(-LBP/2+HLOOKUP(Stn_WL,Tools!$AD$2:$AD$27,N608+2,FALSE)*STN_GAP,"")</f>
        <v/>
      </c>
      <c r="L608" s="437" t="str">
        <f>IFERROR(IF(AND(ISNUMBER(K608),O608=0),0,VLOOKUP(HLOOKUP(Stn_WL,Tools!$AD$2:$AD$27,N608+2,FALSE),Tools!$AD$3:$BC$27,O608+1,FALSE)),"")</f>
        <v/>
      </c>
      <c r="M608" s="437" t="str">
        <f>IFERROR(IF(ISNUMBER(L608),IF(O608=0,IFERROR(HLOOKUP(Tools!$BD$127,Tools!$BD$127:$BD$152,N608+2,FALSE)*1,0),HLOOKUP(Tools!$BE$2,Tools!$BE$2:$BE$27,O608+1,FALSE)*WLS),""),"")</f>
        <v/>
      </c>
      <c r="N608">
        <f t="shared" si="56"/>
        <v>46</v>
      </c>
      <c r="O608">
        <f t="shared" si="57"/>
        <v>8</v>
      </c>
    </row>
    <row r="609" spans="1:15" x14ac:dyDescent="0.25">
      <c r="A609" s="431" t="str">
        <f t="shared" si="58"/>
        <v/>
      </c>
      <c r="B609" s="434" t="str">
        <f t="shared" si="54"/>
        <v/>
      </c>
      <c r="C609" s="437" t="str">
        <f>IFERROR(-LBP/2+HLOOKUP(Stn_WL,Tools!$AD$2:$AD$27,QUOTIENT(ROW()-2,Max_WL_count)+2,FALSE)*STN_GAP,"")</f>
        <v/>
      </c>
      <c r="D609" s="437" t="str">
        <f>IFERROR(VLOOKUP(HLOOKUP(Stn_WL,Tools!$AD$2:$AD$27,QUOTIENT(ROW()-2,Max_WL_count)+2,FALSE),Tools!$AD$3:$BC$27,MOD(ROW()-2,Max_WL_count)+2,FALSE),"")</f>
        <v/>
      </c>
      <c r="E609" s="435" t="str">
        <f>IFERROR(IF(ISNUMBER(D609),HLOOKUP(Tools!$BE$2,Tools!$BE$2:$BE$27,MOD(ROW()-2,Max_WL_count)+2,FALSE)*WLS,""),"")</f>
        <v/>
      </c>
      <c r="I609" s="431" t="str">
        <f t="shared" si="59"/>
        <v/>
      </c>
      <c r="J609" s="434" t="str">
        <f t="shared" si="55"/>
        <v/>
      </c>
      <c r="K609" s="437" t="str">
        <f>IFERROR(-LBP/2+HLOOKUP(Stn_WL,Tools!$AD$2:$AD$27,N609+2,FALSE)*STN_GAP,"")</f>
        <v/>
      </c>
      <c r="L609" s="437" t="str">
        <f>IFERROR(IF(AND(ISNUMBER(K609),O609=0),0,VLOOKUP(HLOOKUP(Stn_WL,Tools!$AD$2:$AD$27,N609+2,FALSE),Tools!$AD$3:$BC$27,O609+1,FALSE)),"")</f>
        <v/>
      </c>
      <c r="M609" s="437" t="str">
        <f>IFERROR(IF(ISNUMBER(L609),IF(O609=0,IFERROR(HLOOKUP(Tools!$BD$127,Tools!$BD$127:$BD$152,N609+2,FALSE)*1,0),HLOOKUP(Tools!$BE$2,Tools!$BE$2:$BE$27,O609+1,FALSE)*WLS),""),"")</f>
        <v/>
      </c>
      <c r="N609">
        <f t="shared" si="56"/>
        <v>46</v>
      </c>
      <c r="O609">
        <f t="shared" si="57"/>
        <v>9</v>
      </c>
    </row>
    <row r="610" spans="1:15" x14ac:dyDescent="0.25">
      <c r="A610" s="431" t="str">
        <f t="shared" si="58"/>
        <v/>
      </c>
      <c r="B610" s="434" t="str">
        <f t="shared" si="54"/>
        <v/>
      </c>
      <c r="C610" s="437" t="str">
        <f>IFERROR(-LBP/2+HLOOKUP(Stn_WL,Tools!$AD$2:$AD$27,QUOTIENT(ROW()-2,Max_WL_count)+2,FALSE)*STN_GAP,"")</f>
        <v/>
      </c>
      <c r="D610" s="437" t="str">
        <f>IFERROR(VLOOKUP(HLOOKUP(Stn_WL,Tools!$AD$2:$AD$27,QUOTIENT(ROW()-2,Max_WL_count)+2,FALSE),Tools!$AD$3:$BC$27,MOD(ROW()-2,Max_WL_count)+2,FALSE),"")</f>
        <v/>
      </c>
      <c r="E610" s="435" t="str">
        <f>IFERROR(IF(ISNUMBER(D610),HLOOKUP(Tools!$BE$2,Tools!$BE$2:$BE$27,MOD(ROW()-2,Max_WL_count)+2,FALSE)*WLS,""),"")</f>
        <v/>
      </c>
      <c r="I610" s="431" t="str">
        <f t="shared" si="59"/>
        <v/>
      </c>
      <c r="J610" s="434" t="str">
        <f t="shared" si="55"/>
        <v/>
      </c>
      <c r="K610" s="437" t="str">
        <f>IFERROR(-LBP/2+HLOOKUP(Stn_WL,Tools!$AD$2:$AD$27,N610+2,FALSE)*STN_GAP,"")</f>
        <v/>
      </c>
      <c r="L610" s="437" t="str">
        <f>IFERROR(IF(AND(ISNUMBER(K610),O610=0),0,VLOOKUP(HLOOKUP(Stn_WL,Tools!$AD$2:$AD$27,N610+2,FALSE),Tools!$AD$3:$BC$27,O610+1,FALSE)),"")</f>
        <v/>
      </c>
      <c r="M610" s="437" t="str">
        <f>IFERROR(IF(ISNUMBER(L610),IF(O610=0,IFERROR(HLOOKUP(Tools!$BD$127,Tools!$BD$127:$BD$152,N610+2,FALSE)*1,0),HLOOKUP(Tools!$BE$2,Tools!$BE$2:$BE$27,O610+1,FALSE)*WLS),""),"")</f>
        <v/>
      </c>
      <c r="N610">
        <f t="shared" si="56"/>
        <v>46</v>
      </c>
      <c r="O610">
        <f t="shared" si="57"/>
        <v>10</v>
      </c>
    </row>
    <row r="611" spans="1:15" x14ac:dyDescent="0.25">
      <c r="A611" s="431" t="str">
        <f t="shared" si="58"/>
        <v/>
      </c>
      <c r="B611" s="434" t="str">
        <f t="shared" si="54"/>
        <v/>
      </c>
      <c r="C611" s="437" t="str">
        <f>IFERROR(-LBP/2+HLOOKUP(Stn_WL,Tools!$AD$2:$AD$27,QUOTIENT(ROW()-2,Max_WL_count)+2,FALSE)*STN_GAP,"")</f>
        <v/>
      </c>
      <c r="D611" s="437" t="str">
        <f>IFERROR(VLOOKUP(HLOOKUP(Stn_WL,Tools!$AD$2:$AD$27,QUOTIENT(ROW()-2,Max_WL_count)+2,FALSE),Tools!$AD$3:$BC$27,MOD(ROW()-2,Max_WL_count)+2,FALSE),"")</f>
        <v/>
      </c>
      <c r="E611" s="435" t="str">
        <f>IFERROR(IF(ISNUMBER(D611),HLOOKUP(Tools!$BE$2,Tools!$BE$2:$BE$27,MOD(ROW()-2,Max_WL_count)+2,FALSE)*WLS,""),"")</f>
        <v/>
      </c>
      <c r="I611" s="431" t="str">
        <f t="shared" si="59"/>
        <v/>
      </c>
      <c r="J611" s="434" t="str">
        <f t="shared" si="55"/>
        <v/>
      </c>
      <c r="K611" s="437" t="str">
        <f>IFERROR(-LBP/2+HLOOKUP(Stn_WL,Tools!$AD$2:$AD$27,N611+2,FALSE)*STN_GAP,"")</f>
        <v/>
      </c>
      <c r="L611" s="437" t="str">
        <f>IFERROR(IF(AND(ISNUMBER(K611),O611=0),0,VLOOKUP(HLOOKUP(Stn_WL,Tools!$AD$2:$AD$27,N611+2,FALSE),Tools!$AD$3:$BC$27,O611+1,FALSE)),"")</f>
        <v/>
      </c>
      <c r="M611" s="437" t="str">
        <f>IFERROR(IF(ISNUMBER(L611),IF(O611=0,IFERROR(HLOOKUP(Tools!$BD$127,Tools!$BD$127:$BD$152,N611+2,FALSE)*1,0),HLOOKUP(Tools!$BE$2,Tools!$BE$2:$BE$27,O611+1,FALSE)*WLS),""),"")</f>
        <v/>
      </c>
      <c r="N611">
        <f t="shared" si="56"/>
        <v>46</v>
      </c>
      <c r="O611">
        <f t="shared" si="57"/>
        <v>11</v>
      </c>
    </row>
    <row r="612" spans="1:15" x14ac:dyDescent="0.25">
      <c r="A612" s="431" t="str">
        <f t="shared" si="58"/>
        <v/>
      </c>
      <c r="B612" s="434" t="str">
        <f t="shared" si="54"/>
        <v/>
      </c>
      <c r="C612" s="437" t="str">
        <f>IFERROR(-LBP/2+HLOOKUP(Stn_WL,Tools!$AD$2:$AD$27,QUOTIENT(ROW()-2,Max_WL_count)+2,FALSE)*STN_GAP,"")</f>
        <v/>
      </c>
      <c r="D612" s="437" t="str">
        <f>IFERROR(VLOOKUP(HLOOKUP(Stn_WL,Tools!$AD$2:$AD$27,QUOTIENT(ROW()-2,Max_WL_count)+2,FALSE),Tools!$AD$3:$BC$27,MOD(ROW()-2,Max_WL_count)+2,FALSE),"")</f>
        <v/>
      </c>
      <c r="E612" s="435" t="str">
        <f>IFERROR(IF(ISNUMBER(D612),HLOOKUP(Tools!$BE$2,Tools!$BE$2:$BE$27,MOD(ROW()-2,Max_WL_count)+2,FALSE)*WLS,""),"")</f>
        <v/>
      </c>
      <c r="I612" s="431" t="str">
        <f t="shared" si="59"/>
        <v/>
      </c>
      <c r="J612" s="434" t="str">
        <f t="shared" si="55"/>
        <v/>
      </c>
      <c r="K612" s="437" t="str">
        <f>IFERROR(-LBP/2+HLOOKUP(Stn_WL,Tools!$AD$2:$AD$27,N612+2,FALSE)*STN_GAP,"")</f>
        <v/>
      </c>
      <c r="L612" s="437" t="str">
        <f>IFERROR(IF(AND(ISNUMBER(K612),O612=0),0,VLOOKUP(HLOOKUP(Stn_WL,Tools!$AD$2:$AD$27,N612+2,FALSE),Tools!$AD$3:$BC$27,O612+1,FALSE)),"")</f>
        <v/>
      </c>
      <c r="M612" s="437" t="str">
        <f>IFERROR(IF(ISNUMBER(L612),IF(O612=0,IFERROR(HLOOKUP(Tools!$BD$127,Tools!$BD$127:$BD$152,N612+2,FALSE)*1,0),HLOOKUP(Tools!$BE$2,Tools!$BE$2:$BE$27,O612+1,FALSE)*WLS),""),"")</f>
        <v/>
      </c>
      <c r="N612">
        <f t="shared" si="56"/>
        <v>46</v>
      </c>
      <c r="O612">
        <f t="shared" si="57"/>
        <v>12</v>
      </c>
    </row>
    <row r="613" spans="1:15" x14ac:dyDescent="0.25">
      <c r="A613" s="431" t="str">
        <f t="shared" si="58"/>
        <v/>
      </c>
      <c r="B613" s="434" t="str">
        <f t="shared" si="54"/>
        <v/>
      </c>
      <c r="C613" s="437" t="str">
        <f>IFERROR(-LBP/2+HLOOKUP(Stn_WL,Tools!$AD$2:$AD$27,QUOTIENT(ROW()-2,Max_WL_count)+2,FALSE)*STN_GAP,"")</f>
        <v/>
      </c>
      <c r="D613" s="437" t="str">
        <f>IFERROR(VLOOKUP(HLOOKUP(Stn_WL,Tools!$AD$2:$AD$27,QUOTIENT(ROW()-2,Max_WL_count)+2,FALSE),Tools!$AD$3:$BC$27,MOD(ROW()-2,Max_WL_count)+2,FALSE),"")</f>
        <v/>
      </c>
      <c r="E613" s="435" t="str">
        <f>IFERROR(IF(ISNUMBER(D613),HLOOKUP(Tools!$BE$2,Tools!$BE$2:$BE$27,MOD(ROW()-2,Max_WL_count)+2,FALSE)*WLS,""),"")</f>
        <v/>
      </c>
      <c r="I613" s="431" t="str">
        <f t="shared" si="59"/>
        <v/>
      </c>
      <c r="J613" s="434" t="str">
        <f t="shared" si="55"/>
        <v/>
      </c>
      <c r="K613" s="437" t="str">
        <f>IFERROR(-LBP/2+HLOOKUP(Stn_WL,Tools!$AD$2:$AD$27,N613+2,FALSE)*STN_GAP,"")</f>
        <v/>
      </c>
      <c r="L613" s="437" t="str">
        <f>IFERROR(IF(AND(ISNUMBER(K613),O613=0),0,VLOOKUP(HLOOKUP(Stn_WL,Tools!$AD$2:$AD$27,N613+2,FALSE),Tools!$AD$3:$BC$27,O613+1,FALSE)),"")</f>
        <v/>
      </c>
      <c r="M613" s="437" t="str">
        <f>IFERROR(IF(ISNUMBER(L613),IF(O613=0,IFERROR(HLOOKUP(Tools!$BD$127,Tools!$BD$127:$BD$152,N613+2,FALSE)*1,0),HLOOKUP(Tools!$BE$2,Tools!$BE$2:$BE$27,O613+1,FALSE)*WLS),""),"")</f>
        <v/>
      </c>
      <c r="N613">
        <f t="shared" si="56"/>
        <v>47</v>
      </c>
      <c r="O613">
        <f t="shared" si="57"/>
        <v>0</v>
      </c>
    </row>
    <row r="614" spans="1:15" x14ac:dyDescent="0.25">
      <c r="A614" s="431" t="str">
        <f t="shared" si="58"/>
        <v/>
      </c>
      <c r="B614" s="434" t="str">
        <f t="shared" si="54"/>
        <v/>
      </c>
      <c r="C614" s="437" t="str">
        <f>IFERROR(-LBP/2+HLOOKUP(Stn_WL,Tools!$AD$2:$AD$27,QUOTIENT(ROW()-2,Max_WL_count)+2,FALSE)*STN_GAP,"")</f>
        <v/>
      </c>
      <c r="D614" s="437" t="str">
        <f>IFERROR(VLOOKUP(HLOOKUP(Stn_WL,Tools!$AD$2:$AD$27,QUOTIENT(ROW()-2,Max_WL_count)+2,FALSE),Tools!$AD$3:$BC$27,MOD(ROW()-2,Max_WL_count)+2,FALSE),"")</f>
        <v/>
      </c>
      <c r="E614" s="435" t="str">
        <f>IFERROR(IF(ISNUMBER(D614),HLOOKUP(Tools!$BE$2,Tools!$BE$2:$BE$27,MOD(ROW()-2,Max_WL_count)+2,FALSE)*WLS,""),"")</f>
        <v/>
      </c>
      <c r="I614" s="431" t="str">
        <f t="shared" si="59"/>
        <v/>
      </c>
      <c r="J614" s="434" t="str">
        <f t="shared" si="55"/>
        <v/>
      </c>
      <c r="K614" s="437" t="str">
        <f>IFERROR(-LBP/2+HLOOKUP(Stn_WL,Tools!$AD$2:$AD$27,N614+2,FALSE)*STN_GAP,"")</f>
        <v/>
      </c>
      <c r="L614" s="437" t="str">
        <f>IFERROR(IF(AND(ISNUMBER(K614),O614=0),0,VLOOKUP(HLOOKUP(Stn_WL,Tools!$AD$2:$AD$27,N614+2,FALSE),Tools!$AD$3:$BC$27,O614+1,FALSE)),"")</f>
        <v/>
      </c>
      <c r="M614" s="437" t="str">
        <f>IFERROR(IF(ISNUMBER(L614),IF(O614=0,IFERROR(HLOOKUP(Tools!$BD$127,Tools!$BD$127:$BD$152,N614+2,FALSE)*1,0),HLOOKUP(Tools!$BE$2,Tools!$BE$2:$BE$27,O614+1,FALSE)*WLS),""),"")</f>
        <v/>
      </c>
      <c r="N614">
        <f t="shared" si="56"/>
        <v>47</v>
      </c>
      <c r="O614">
        <f t="shared" si="57"/>
        <v>1</v>
      </c>
    </row>
    <row r="615" spans="1:15" x14ac:dyDescent="0.25">
      <c r="A615" s="431" t="str">
        <f t="shared" si="58"/>
        <v/>
      </c>
      <c r="B615" s="434" t="str">
        <f t="shared" si="54"/>
        <v/>
      </c>
      <c r="C615" s="437" t="str">
        <f>IFERROR(-LBP/2+HLOOKUP(Stn_WL,Tools!$AD$2:$AD$27,QUOTIENT(ROW()-2,Max_WL_count)+2,FALSE)*STN_GAP,"")</f>
        <v/>
      </c>
      <c r="D615" s="437" t="str">
        <f>IFERROR(VLOOKUP(HLOOKUP(Stn_WL,Tools!$AD$2:$AD$27,QUOTIENT(ROW()-2,Max_WL_count)+2,FALSE),Tools!$AD$3:$BC$27,MOD(ROW()-2,Max_WL_count)+2,FALSE),"")</f>
        <v/>
      </c>
      <c r="E615" s="435" t="str">
        <f>IFERROR(IF(ISNUMBER(D615),HLOOKUP(Tools!$BE$2,Tools!$BE$2:$BE$27,MOD(ROW()-2,Max_WL_count)+2,FALSE)*WLS,""),"")</f>
        <v/>
      </c>
      <c r="I615" s="431" t="str">
        <f t="shared" si="59"/>
        <v/>
      </c>
      <c r="J615" s="434" t="str">
        <f t="shared" si="55"/>
        <v/>
      </c>
      <c r="K615" s="437" t="str">
        <f>IFERROR(-LBP/2+HLOOKUP(Stn_WL,Tools!$AD$2:$AD$27,N615+2,FALSE)*STN_GAP,"")</f>
        <v/>
      </c>
      <c r="L615" s="437" t="str">
        <f>IFERROR(IF(AND(ISNUMBER(K615),O615=0),0,VLOOKUP(HLOOKUP(Stn_WL,Tools!$AD$2:$AD$27,N615+2,FALSE),Tools!$AD$3:$BC$27,O615+1,FALSE)),"")</f>
        <v/>
      </c>
      <c r="M615" s="437" t="str">
        <f>IFERROR(IF(ISNUMBER(L615),IF(O615=0,IFERROR(HLOOKUP(Tools!$BD$127,Tools!$BD$127:$BD$152,N615+2,FALSE)*1,0),HLOOKUP(Tools!$BE$2,Tools!$BE$2:$BE$27,O615+1,FALSE)*WLS),""),"")</f>
        <v/>
      </c>
      <c r="N615">
        <f t="shared" si="56"/>
        <v>47</v>
      </c>
      <c r="O615">
        <f t="shared" si="57"/>
        <v>2</v>
      </c>
    </row>
    <row r="616" spans="1:15" x14ac:dyDescent="0.25">
      <c r="A616" s="431" t="str">
        <f t="shared" si="58"/>
        <v/>
      </c>
      <c r="B616" s="434" t="str">
        <f t="shared" si="54"/>
        <v/>
      </c>
      <c r="C616" s="437" t="str">
        <f>IFERROR(-LBP/2+HLOOKUP(Stn_WL,Tools!$AD$2:$AD$27,QUOTIENT(ROW()-2,Max_WL_count)+2,FALSE)*STN_GAP,"")</f>
        <v/>
      </c>
      <c r="D616" s="437" t="str">
        <f>IFERROR(VLOOKUP(HLOOKUP(Stn_WL,Tools!$AD$2:$AD$27,QUOTIENT(ROW()-2,Max_WL_count)+2,FALSE),Tools!$AD$3:$BC$27,MOD(ROW()-2,Max_WL_count)+2,FALSE),"")</f>
        <v/>
      </c>
      <c r="E616" s="435" t="str">
        <f>IFERROR(IF(ISNUMBER(D616),HLOOKUP(Tools!$BE$2,Tools!$BE$2:$BE$27,MOD(ROW()-2,Max_WL_count)+2,FALSE)*WLS,""),"")</f>
        <v/>
      </c>
      <c r="I616" s="431" t="str">
        <f t="shared" si="59"/>
        <v/>
      </c>
      <c r="J616" s="434" t="str">
        <f t="shared" si="55"/>
        <v/>
      </c>
      <c r="K616" s="437" t="str">
        <f>IFERROR(-LBP/2+HLOOKUP(Stn_WL,Tools!$AD$2:$AD$27,N616+2,FALSE)*STN_GAP,"")</f>
        <v/>
      </c>
      <c r="L616" s="437" t="str">
        <f>IFERROR(IF(AND(ISNUMBER(K616),O616=0),0,VLOOKUP(HLOOKUP(Stn_WL,Tools!$AD$2:$AD$27,N616+2,FALSE),Tools!$AD$3:$BC$27,O616+1,FALSE)),"")</f>
        <v/>
      </c>
      <c r="M616" s="437" t="str">
        <f>IFERROR(IF(ISNUMBER(L616),IF(O616=0,IFERROR(HLOOKUP(Tools!$BD$127,Tools!$BD$127:$BD$152,N616+2,FALSE)*1,0),HLOOKUP(Tools!$BE$2,Tools!$BE$2:$BE$27,O616+1,FALSE)*WLS),""),"")</f>
        <v/>
      </c>
      <c r="N616">
        <f t="shared" si="56"/>
        <v>47</v>
      </c>
      <c r="O616">
        <f t="shared" si="57"/>
        <v>3</v>
      </c>
    </row>
    <row r="617" spans="1:15" x14ac:dyDescent="0.25">
      <c r="A617" s="431" t="str">
        <f t="shared" si="58"/>
        <v/>
      </c>
      <c r="B617" s="434" t="str">
        <f t="shared" si="54"/>
        <v/>
      </c>
      <c r="C617" s="437" t="str">
        <f>IFERROR(-LBP/2+HLOOKUP(Stn_WL,Tools!$AD$2:$AD$27,QUOTIENT(ROW()-2,Max_WL_count)+2,FALSE)*STN_GAP,"")</f>
        <v/>
      </c>
      <c r="D617" s="437" t="str">
        <f>IFERROR(VLOOKUP(HLOOKUP(Stn_WL,Tools!$AD$2:$AD$27,QUOTIENT(ROW()-2,Max_WL_count)+2,FALSE),Tools!$AD$3:$BC$27,MOD(ROW()-2,Max_WL_count)+2,FALSE),"")</f>
        <v/>
      </c>
      <c r="E617" s="435" t="str">
        <f>IFERROR(IF(ISNUMBER(D617),HLOOKUP(Tools!$BE$2,Tools!$BE$2:$BE$27,MOD(ROW()-2,Max_WL_count)+2,FALSE)*WLS,""),"")</f>
        <v/>
      </c>
      <c r="I617" s="431" t="str">
        <f t="shared" si="59"/>
        <v/>
      </c>
      <c r="J617" s="434" t="str">
        <f t="shared" si="55"/>
        <v/>
      </c>
      <c r="K617" s="437" t="str">
        <f>IFERROR(-LBP/2+HLOOKUP(Stn_WL,Tools!$AD$2:$AD$27,N617+2,FALSE)*STN_GAP,"")</f>
        <v/>
      </c>
      <c r="L617" s="437" t="str">
        <f>IFERROR(IF(AND(ISNUMBER(K617),O617=0),0,VLOOKUP(HLOOKUP(Stn_WL,Tools!$AD$2:$AD$27,N617+2,FALSE),Tools!$AD$3:$BC$27,O617+1,FALSE)),"")</f>
        <v/>
      </c>
      <c r="M617" s="437" t="str">
        <f>IFERROR(IF(ISNUMBER(L617),IF(O617=0,IFERROR(HLOOKUP(Tools!$BD$127,Tools!$BD$127:$BD$152,N617+2,FALSE)*1,0),HLOOKUP(Tools!$BE$2,Tools!$BE$2:$BE$27,O617+1,FALSE)*WLS),""),"")</f>
        <v/>
      </c>
      <c r="N617">
        <f t="shared" si="56"/>
        <v>47</v>
      </c>
      <c r="O617">
        <f t="shared" si="57"/>
        <v>4</v>
      </c>
    </row>
    <row r="618" spans="1:15" x14ac:dyDescent="0.25">
      <c r="A618" s="431" t="str">
        <f t="shared" si="58"/>
        <v/>
      </c>
      <c r="B618" s="434" t="str">
        <f t="shared" si="54"/>
        <v/>
      </c>
      <c r="C618" s="437" t="str">
        <f>IFERROR(-LBP/2+HLOOKUP(Stn_WL,Tools!$AD$2:$AD$27,QUOTIENT(ROW()-2,Max_WL_count)+2,FALSE)*STN_GAP,"")</f>
        <v/>
      </c>
      <c r="D618" s="437" t="str">
        <f>IFERROR(VLOOKUP(HLOOKUP(Stn_WL,Tools!$AD$2:$AD$27,QUOTIENT(ROW()-2,Max_WL_count)+2,FALSE),Tools!$AD$3:$BC$27,MOD(ROW()-2,Max_WL_count)+2,FALSE),"")</f>
        <v/>
      </c>
      <c r="E618" s="435" t="str">
        <f>IFERROR(IF(ISNUMBER(D618),HLOOKUP(Tools!$BE$2,Tools!$BE$2:$BE$27,MOD(ROW()-2,Max_WL_count)+2,FALSE)*WLS,""),"")</f>
        <v/>
      </c>
      <c r="I618" s="431" t="str">
        <f t="shared" si="59"/>
        <v/>
      </c>
      <c r="J618" s="434" t="str">
        <f t="shared" si="55"/>
        <v/>
      </c>
      <c r="K618" s="437" t="str">
        <f>IFERROR(-LBP/2+HLOOKUP(Stn_WL,Tools!$AD$2:$AD$27,N618+2,FALSE)*STN_GAP,"")</f>
        <v/>
      </c>
      <c r="L618" s="437" t="str">
        <f>IFERROR(IF(AND(ISNUMBER(K618),O618=0),0,VLOOKUP(HLOOKUP(Stn_WL,Tools!$AD$2:$AD$27,N618+2,FALSE),Tools!$AD$3:$BC$27,O618+1,FALSE)),"")</f>
        <v/>
      </c>
      <c r="M618" s="437" t="str">
        <f>IFERROR(IF(ISNUMBER(L618),IF(O618=0,IFERROR(HLOOKUP(Tools!$BD$127,Tools!$BD$127:$BD$152,N618+2,FALSE)*1,0),HLOOKUP(Tools!$BE$2,Tools!$BE$2:$BE$27,O618+1,FALSE)*WLS),""),"")</f>
        <v/>
      </c>
      <c r="N618">
        <f t="shared" si="56"/>
        <v>47</v>
      </c>
      <c r="O618">
        <f t="shared" si="57"/>
        <v>5</v>
      </c>
    </row>
    <row r="619" spans="1:15" x14ac:dyDescent="0.25">
      <c r="A619" s="431" t="str">
        <f t="shared" si="58"/>
        <v/>
      </c>
      <c r="B619" s="434" t="str">
        <f t="shared" si="54"/>
        <v/>
      </c>
      <c r="C619" s="437" t="str">
        <f>IFERROR(-LBP/2+HLOOKUP(Stn_WL,Tools!$AD$2:$AD$27,QUOTIENT(ROW()-2,Max_WL_count)+2,FALSE)*STN_GAP,"")</f>
        <v/>
      </c>
      <c r="D619" s="437" t="str">
        <f>IFERROR(VLOOKUP(HLOOKUP(Stn_WL,Tools!$AD$2:$AD$27,QUOTIENT(ROW()-2,Max_WL_count)+2,FALSE),Tools!$AD$3:$BC$27,MOD(ROW()-2,Max_WL_count)+2,FALSE),"")</f>
        <v/>
      </c>
      <c r="E619" s="435" t="str">
        <f>IFERROR(IF(ISNUMBER(D619),HLOOKUP(Tools!$BE$2,Tools!$BE$2:$BE$27,MOD(ROW()-2,Max_WL_count)+2,FALSE)*WLS,""),"")</f>
        <v/>
      </c>
      <c r="I619" s="431" t="str">
        <f t="shared" si="59"/>
        <v/>
      </c>
      <c r="J619" s="434" t="str">
        <f t="shared" si="55"/>
        <v/>
      </c>
      <c r="K619" s="437" t="str">
        <f>IFERROR(-LBP/2+HLOOKUP(Stn_WL,Tools!$AD$2:$AD$27,N619+2,FALSE)*STN_GAP,"")</f>
        <v/>
      </c>
      <c r="L619" s="437" t="str">
        <f>IFERROR(IF(AND(ISNUMBER(K619),O619=0),0,VLOOKUP(HLOOKUP(Stn_WL,Tools!$AD$2:$AD$27,N619+2,FALSE),Tools!$AD$3:$BC$27,O619+1,FALSE)),"")</f>
        <v/>
      </c>
      <c r="M619" s="437" t="str">
        <f>IFERROR(IF(ISNUMBER(L619),IF(O619=0,IFERROR(HLOOKUP(Tools!$BD$127,Tools!$BD$127:$BD$152,N619+2,FALSE)*1,0),HLOOKUP(Tools!$BE$2,Tools!$BE$2:$BE$27,O619+1,FALSE)*WLS),""),"")</f>
        <v/>
      </c>
      <c r="N619">
        <f t="shared" si="56"/>
        <v>47</v>
      </c>
      <c r="O619">
        <f t="shared" si="57"/>
        <v>6</v>
      </c>
    </row>
    <row r="620" spans="1:15" x14ac:dyDescent="0.25">
      <c r="A620" s="431" t="str">
        <f t="shared" si="58"/>
        <v/>
      </c>
      <c r="B620" s="434" t="str">
        <f t="shared" si="54"/>
        <v/>
      </c>
      <c r="C620" s="437" t="str">
        <f>IFERROR(-LBP/2+HLOOKUP(Stn_WL,Tools!$AD$2:$AD$27,QUOTIENT(ROW()-2,Max_WL_count)+2,FALSE)*STN_GAP,"")</f>
        <v/>
      </c>
      <c r="D620" s="437" t="str">
        <f>IFERROR(VLOOKUP(HLOOKUP(Stn_WL,Tools!$AD$2:$AD$27,QUOTIENT(ROW()-2,Max_WL_count)+2,FALSE),Tools!$AD$3:$BC$27,MOD(ROW()-2,Max_WL_count)+2,FALSE),"")</f>
        <v/>
      </c>
      <c r="E620" s="435" t="str">
        <f>IFERROR(IF(ISNUMBER(D620),HLOOKUP(Tools!$BE$2,Tools!$BE$2:$BE$27,MOD(ROW()-2,Max_WL_count)+2,FALSE)*WLS,""),"")</f>
        <v/>
      </c>
      <c r="I620" s="431" t="str">
        <f t="shared" si="59"/>
        <v/>
      </c>
      <c r="J620" s="434" t="str">
        <f t="shared" si="55"/>
        <v/>
      </c>
      <c r="K620" s="437" t="str">
        <f>IFERROR(-LBP/2+HLOOKUP(Stn_WL,Tools!$AD$2:$AD$27,N620+2,FALSE)*STN_GAP,"")</f>
        <v/>
      </c>
      <c r="L620" s="437" t="str">
        <f>IFERROR(IF(AND(ISNUMBER(K620),O620=0),0,VLOOKUP(HLOOKUP(Stn_WL,Tools!$AD$2:$AD$27,N620+2,FALSE),Tools!$AD$3:$BC$27,O620+1,FALSE)),"")</f>
        <v/>
      </c>
      <c r="M620" s="437" t="str">
        <f>IFERROR(IF(ISNUMBER(L620),IF(O620=0,IFERROR(HLOOKUP(Tools!$BD$127,Tools!$BD$127:$BD$152,N620+2,FALSE)*1,0),HLOOKUP(Tools!$BE$2,Tools!$BE$2:$BE$27,O620+1,FALSE)*WLS),""),"")</f>
        <v/>
      </c>
      <c r="N620">
        <f t="shared" si="56"/>
        <v>47</v>
      </c>
      <c r="O620">
        <f t="shared" si="57"/>
        <v>7</v>
      </c>
    </row>
    <row r="621" spans="1:15" x14ac:dyDescent="0.25">
      <c r="A621" s="431" t="str">
        <f t="shared" si="58"/>
        <v/>
      </c>
      <c r="B621" s="434" t="str">
        <f t="shared" si="54"/>
        <v/>
      </c>
      <c r="C621" s="437" t="str">
        <f>IFERROR(-LBP/2+HLOOKUP(Stn_WL,Tools!$AD$2:$AD$27,QUOTIENT(ROW()-2,Max_WL_count)+2,FALSE)*STN_GAP,"")</f>
        <v/>
      </c>
      <c r="D621" s="437" t="str">
        <f>IFERROR(VLOOKUP(HLOOKUP(Stn_WL,Tools!$AD$2:$AD$27,QUOTIENT(ROW()-2,Max_WL_count)+2,FALSE),Tools!$AD$3:$BC$27,MOD(ROW()-2,Max_WL_count)+2,FALSE),"")</f>
        <v/>
      </c>
      <c r="E621" s="435" t="str">
        <f>IFERROR(IF(ISNUMBER(D621),HLOOKUP(Tools!$BE$2,Tools!$BE$2:$BE$27,MOD(ROW()-2,Max_WL_count)+2,FALSE)*WLS,""),"")</f>
        <v/>
      </c>
      <c r="I621" s="431" t="str">
        <f t="shared" si="59"/>
        <v/>
      </c>
      <c r="J621" s="434" t="str">
        <f t="shared" si="55"/>
        <v/>
      </c>
      <c r="K621" s="437" t="str">
        <f>IFERROR(-LBP/2+HLOOKUP(Stn_WL,Tools!$AD$2:$AD$27,N621+2,FALSE)*STN_GAP,"")</f>
        <v/>
      </c>
      <c r="L621" s="437" t="str">
        <f>IFERROR(IF(AND(ISNUMBER(K621),O621=0),0,VLOOKUP(HLOOKUP(Stn_WL,Tools!$AD$2:$AD$27,N621+2,FALSE),Tools!$AD$3:$BC$27,O621+1,FALSE)),"")</f>
        <v/>
      </c>
      <c r="M621" s="437" t="str">
        <f>IFERROR(IF(ISNUMBER(L621),IF(O621=0,IFERROR(HLOOKUP(Tools!$BD$127,Tools!$BD$127:$BD$152,N621+2,FALSE)*1,0),HLOOKUP(Tools!$BE$2,Tools!$BE$2:$BE$27,O621+1,FALSE)*WLS),""),"")</f>
        <v/>
      </c>
      <c r="N621">
        <f t="shared" si="56"/>
        <v>47</v>
      </c>
      <c r="O621">
        <f t="shared" si="57"/>
        <v>8</v>
      </c>
    </row>
    <row r="622" spans="1:15" x14ac:dyDescent="0.25">
      <c r="A622" s="431" t="str">
        <f t="shared" si="58"/>
        <v/>
      </c>
      <c r="B622" s="434" t="str">
        <f t="shared" si="54"/>
        <v/>
      </c>
      <c r="C622" s="437" t="str">
        <f>IFERROR(-LBP/2+HLOOKUP(Stn_WL,Tools!$AD$2:$AD$27,QUOTIENT(ROW()-2,Max_WL_count)+2,FALSE)*STN_GAP,"")</f>
        <v/>
      </c>
      <c r="D622" s="437" t="str">
        <f>IFERROR(VLOOKUP(HLOOKUP(Stn_WL,Tools!$AD$2:$AD$27,QUOTIENT(ROW()-2,Max_WL_count)+2,FALSE),Tools!$AD$3:$BC$27,MOD(ROW()-2,Max_WL_count)+2,FALSE),"")</f>
        <v/>
      </c>
      <c r="E622" s="435" t="str">
        <f>IFERROR(IF(ISNUMBER(D622),HLOOKUP(Tools!$BE$2,Tools!$BE$2:$BE$27,MOD(ROW()-2,Max_WL_count)+2,FALSE)*WLS,""),"")</f>
        <v/>
      </c>
      <c r="I622" s="431" t="str">
        <f t="shared" si="59"/>
        <v/>
      </c>
      <c r="J622" s="434" t="str">
        <f t="shared" si="55"/>
        <v/>
      </c>
      <c r="K622" s="437" t="str">
        <f>IFERROR(-LBP/2+HLOOKUP(Stn_WL,Tools!$AD$2:$AD$27,N622+2,FALSE)*STN_GAP,"")</f>
        <v/>
      </c>
      <c r="L622" s="437" t="str">
        <f>IFERROR(IF(AND(ISNUMBER(K622),O622=0),0,VLOOKUP(HLOOKUP(Stn_WL,Tools!$AD$2:$AD$27,N622+2,FALSE),Tools!$AD$3:$BC$27,O622+1,FALSE)),"")</f>
        <v/>
      </c>
      <c r="M622" s="437" t="str">
        <f>IFERROR(IF(ISNUMBER(L622),IF(O622=0,IFERROR(HLOOKUP(Tools!$BD$127,Tools!$BD$127:$BD$152,N622+2,FALSE)*1,0),HLOOKUP(Tools!$BE$2,Tools!$BE$2:$BE$27,O622+1,FALSE)*WLS),""),"")</f>
        <v/>
      </c>
      <c r="N622">
        <f t="shared" si="56"/>
        <v>47</v>
      </c>
      <c r="O622">
        <f t="shared" si="57"/>
        <v>9</v>
      </c>
    </row>
    <row r="623" spans="1:15" x14ac:dyDescent="0.25">
      <c r="A623" s="431" t="str">
        <f t="shared" si="58"/>
        <v/>
      </c>
      <c r="B623" s="434" t="str">
        <f t="shared" si="54"/>
        <v/>
      </c>
      <c r="C623" s="437" t="str">
        <f>IFERROR(-LBP/2+HLOOKUP(Stn_WL,Tools!$AD$2:$AD$27,QUOTIENT(ROW()-2,Max_WL_count)+2,FALSE)*STN_GAP,"")</f>
        <v/>
      </c>
      <c r="D623" s="437" t="str">
        <f>IFERROR(VLOOKUP(HLOOKUP(Stn_WL,Tools!$AD$2:$AD$27,QUOTIENT(ROW()-2,Max_WL_count)+2,FALSE),Tools!$AD$3:$BC$27,MOD(ROW()-2,Max_WL_count)+2,FALSE),"")</f>
        <v/>
      </c>
      <c r="E623" s="435" t="str">
        <f>IFERROR(IF(ISNUMBER(D623),HLOOKUP(Tools!$BE$2,Tools!$BE$2:$BE$27,MOD(ROW()-2,Max_WL_count)+2,FALSE)*WLS,""),"")</f>
        <v/>
      </c>
      <c r="I623" s="431" t="str">
        <f t="shared" si="59"/>
        <v/>
      </c>
      <c r="J623" s="434" t="str">
        <f t="shared" si="55"/>
        <v/>
      </c>
      <c r="K623" s="437" t="str">
        <f>IFERROR(-LBP/2+HLOOKUP(Stn_WL,Tools!$AD$2:$AD$27,N623+2,FALSE)*STN_GAP,"")</f>
        <v/>
      </c>
      <c r="L623" s="437" t="str">
        <f>IFERROR(IF(AND(ISNUMBER(K623),O623=0),0,VLOOKUP(HLOOKUP(Stn_WL,Tools!$AD$2:$AD$27,N623+2,FALSE),Tools!$AD$3:$BC$27,O623+1,FALSE)),"")</f>
        <v/>
      </c>
      <c r="M623" s="437" t="str">
        <f>IFERROR(IF(ISNUMBER(L623),IF(O623=0,IFERROR(HLOOKUP(Tools!$BD$127,Tools!$BD$127:$BD$152,N623+2,FALSE)*1,0),HLOOKUP(Tools!$BE$2,Tools!$BE$2:$BE$27,O623+1,FALSE)*WLS),""),"")</f>
        <v/>
      </c>
      <c r="N623">
        <f t="shared" si="56"/>
        <v>47</v>
      </c>
      <c r="O623">
        <f t="shared" si="57"/>
        <v>10</v>
      </c>
    </row>
    <row r="624" spans="1:15" x14ac:dyDescent="0.25">
      <c r="A624" s="431" t="str">
        <f t="shared" si="58"/>
        <v/>
      </c>
      <c r="B624" s="434" t="str">
        <f t="shared" si="54"/>
        <v/>
      </c>
      <c r="C624" s="437" t="str">
        <f>IFERROR(-LBP/2+HLOOKUP(Stn_WL,Tools!$AD$2:$AD$27,QUOTIENT(ROW()-2,Max_WL_count)+2,FALSE)*STN_GAP,"")</f>
        <v/>
      </c>
      <c r="D624" s="437" t="str">
        <f>IFERROR(VLOOKUP(HLOOKUP(Stn_WL,Tools!$AD$2:$AD$27,QUOTIENT(ROW()-2,Max_WL_count)+2,FALSE),Tools!$AD$3:$BC$27,MOD(ROW()-2,Max_WL_count)+2,FALSE),"")</f>
        <v/>
      </c>
      <c r="E624" s="435" t="str">
        <f>IFERROR(IF(ISNUMBER(D624),HLOOKUP(Tools!$BE$2,Tools!$BE$2:$BE$27,MOD(ROW()-2,Max_WL_count)+2,FALSE)*WLS,""),"")</f>
        <v/>
      </c>
      <c r="I624" s="431" t="str">
        <f t="shared" si="59"/>
        <v/>
      </c>
      <c r="J624" s="434" t="str">
        <f t="shared" si="55"/>
        <v/>
      </c>
      <c r="K624" s="437" t="str">
        <f>IFERROR(-LBP/2+HLOOKUP(Stn_WL,Tools!$AD$2:$AD$27,N624+2,FALSE)*STN_GAP,"")</f>
        <v/>
      </c>
      <c r="L624" s="437" t="str">
        <f>IFERROR(IF(AND(ISNUMBER(K624),O624=0),0,VLOOKUP(HLOOKUP(Stn_WL,Tools!$AD$2:$AD$27,N624+2,FALSE),Tools!$AD$3:$BC$27,O624+1,FALSE)),"")</f>
        <v/>
      </c>
      <c r="M624" s="437" t="str">
        <f>IFERROR(IF(ISNUMBER(L624),IF(O624=0,IFERROR(HLOOKUP(Tools!$BD$127,Tools!$BD$127:$BD$152,N624+2,FALSE)*1,0),HLOOKUP(Tools!$BE$2,Tools!$BE$2:$BE$27,O624+1,FALSE)*WLS),""),"")</f>
        <v/>
      </c>
      <c r="N624">
        <f t="shared" si="56"/>
        <v>47</v>
      </c>
      <c r="O624">
        <f t="shared" si="57"/>
        <v>11</v>
      </c>
    </row>
    <row r="625" spans="1:15" x14ac:dyDescent="0.25">
      <c r="A625" s="431" t="str">
        <f t="shared" si="58"/>
        <v/>
      </c>
      <c r="B625" s="434" t="str">
        <f t="shared" si="54"/>
        <v/>
      </c>
      <c r="C625" s="437" t="str">
        <f>IFERROR(-LBP/2+HLOOKUP(Stn_WL,Tools!$AD$2:$AD$27,QUOTIENT(ROW()-2,Max_WL_count)+2,FALSE)*STN_GAP,"")</f>
        <v/>
      </c>
      <c r="D625" s="437" t="str">
        <f>IFERROR(VLOOKUP(HLOOKUP(Stn_WL,Tools!$AD$2:$AD$27,QUOTIENT(ROW()-2,Max_WL_count)+2,FALSE),Tools!$AD$3:$BC$27,MOD(ROW()-2,Max_WL_count)+2,FALSE),"")</f>
        <v/>
      </c>
      <c r="E625" s="435" t="str">
        <f>IFERROR(IF(ISNUMBER(D625),HLOOKUP(Tools!$BE$2,Tools!$BE$2:$BE$27,MOD(ROW()-2,Max_WL_count)+2,FALSE)*WLS,""),"")</f>
        <v/>
      </c>
      <c r="I625" s="431" t="str">
        <f t="shared" si="59"/>
        <v/>
      </c>
      <c r="J625" s="434" t="str">
        <f t="shared" si="55"/>
        <v/>
      </c>
      <c r="K625" s="437" t="str">
        <f>IFERROR(-LBP/2+HLOOKUP(Stn_WL,Tools!$AD$2:$AD$27,N625+2,FALSE)*STN_GAP,"")</f>
        <v/>
      </c>
      <c r="L625" s="437" t="str">
        <f>IFERROR(IF(AND(ISNUMBER(K625),O625=0),0,VLOOKUP(HLOOKUP(Stn_WL,Tools!$AD$2:$AD$27,N625+2,FALSE),Tools!$AD$3:$BC$27,O625+1,FALSE)),"")</f>
        <v/>
      </c>
      <c r="M625" s="437" t="str">
        <f>IFERROR(IF(ISNUMBER(L625),IF(O625=0,IFERROR(HLOOKUP(Tools!$BD$127,Tools!$BD$127:$BD$152,N625+2,FALSE)*1,0),HLOOKUP(Tools!$BE$2,Tools!$BE$2:$BE$27,O625+1,FALSE)*WLS),""),"")</f>
        <v/>
      </c>
      <c r="N625">
        <f t="shared" si="56"/>
        <v>47</v>
      </c>
      <c r="O625">
        <f t="shared" si="57"/>
        <v>12</v>
      </c>
    </row>
    <row r="626" spans="1:15" x14ac:dyDescent="0.25">
      <c r="A626" s="431" t="str">
        <f t="shared" si="58"/>
        <v/>
      </c>
      <c r="B626" s="434" t="str">
        <f t="shared" si="54"/>
        <v/>
      </c>
      <c r="C626" s="437" t="str">
        <f>IFERROR(-LBP/2+HLOOKUP(Stn_WL,Tools!$AD$2:$AD$27,QUOTIENT(ROW()-2,Max_WL_count)+2,FALSE)*STN_GAP,"")</f>
        <v/>
      </c>
      <c r="D626" s="437" t="str">
        <f>IFERROR(VLOOKUP(HLOOKUP(Stn_WL,Tools!$AD$2:$AD$27,QUOTIENT(ROW()-2,Max_WL_count)+2,FALSE),Tools!$AD$3:$BC$27,MOD(ROW()-2,Max_WL_count)+2,FALSE),"")</f>
        <v/>
      </c>
      <c r="E626" s="435" t="str">
        <f>IFERROR(IF(ISNUMBER(D626),HLOOKUP(Tools!$BE$2,Tools!$BE$2:$BE$27,MOD(ROW()-2,Max_WL_count)+2,FALSE)*WLS,""),"")</f>
        <v/>
      </c>
      <c r="I626" s="431" t="str">
        <f t="shared" si="59"/>
        <v/>
      </c>
      <c r="J626" s="434" t="str">
        <f t="shared" si="55"/>
        <v/>
      </c>
      <c r="K626" s="437" t="str">
        <f>IFERROR(-LBP/2+HLOOKUP(Stn_WL,Tools!$AD$2:$AD$27,N626+2,FALSE)*STN_GAP,"")</f>
        <v/>
      </c>
      <c r="L626" s="437" t="str">
        <f>IFERROR(IF(AND(ISNUMBER(K626),O626=0),0,VLOOKUP(HLOOKUP(Stn_WL,Tools!$AD$2:$AD$27,N626+2,FALSE),Tools!$AD$3:$BC$27,O626+1,FALSE)),"")</f>
        <v/>
      </c>
      <c r="M626" s="437" t="str">
        <f>IFERROR(IF(ISNUMBER(L626),IF(O626=0,IFERROR(HLOOKUP(Tools!$BD$127,Tools!$BD$127:$BD$152,N626+2,FALSE)*1,0),HLOOKUP(Tools!$BE$2,Tools!$BE$2:$BE$27,O626+1,FALSE)*WLS),""),"")</f>
        <v/>
      </c>
      <c r="N626">
        <f t="shared" si="56"/>
        <v>48</v>
      </c>
      <c r="O626">
        <f t="shared" si="57"/>
        <v>0</v>
      </c>
    </row>
  </sheetData>
  <sheetProtection password="CC2F" sheet="1" objects="1" scenarios="1"/>
  <pageMargins left="0.7" right="0.7" top="0.75" bottom="0.75" header="0.3" footer="0.3"/>
</worksheet>
</file>

<file path=xl/worksheets/sheet6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4"/>
  <dimension ref="A1:J626"/>
  <sheetViews>
    <sheetView showGridLines="0" showRowColHeaders="0" workbookViewId="0">
      <selection activeCell="B2" sqref="B2:E326"/>
    </sheetView>
  </sheetViews>
  <sheetFormatPr defaultRowHeight="15" x14ac:dyDescent="0.25"/>
  <cols>
    <col min="1" max="5" width="9.140625" style="130"/>
    <col min="6" max="16384" width="9.140625" style="450"/>
  </cols>
  <sheetData>
    <row r="1" spans="1:10" ht="31.5" customHeight="1" x14ac:dyDescent="0.25">
      <c r="A1" s="448"/>
      <c r="B1" s="449" t="s">
        <v>335</v>
      </c>
      <c r="C1" s="449" t="s">
        <v>331</v>
      </c>
      <c r="D1" s="449" t="s">
        <v>332</v>
      </c>
      <c r="E1" s="449" t="s">
        <v>333</v>
      </c>
    </row>
    <row r="2" spans="1:10" x14ac:dyDescent="0.25">
      <c r="A2" s="451">
        <f>IF(ISNUMBER(D2),ROW()-1,"")</f>
        <v>1</v>
      </c>
      <c r="B2" s="452">
        <f>'Maxs Tool'!J2</f>
        <v>1</v>
      </c>
      <c r="C2" s="452">
        <f>'Maxs Tool'!K2</f>
        <v>-73.099999999999994</v>
      </c>
      <c r="D2" s="452">
        <f>'Maxs Tool'!L2</f>
        <v>0</v>
      </c>
      <c r="E2" s="452">
        <f>'Maxs Tool'!M2</f>
        <v>7</v>
      </c>
    </row>
    <row r="3" spans="1:10" x14ac:dyDescent="0.25">
      <c r="A3" s="453">
        <f t="shared" ref="A3:A66" si="0">IF(ISNUMBER(D3),ROW()-1,"")</f>
        <v>2</v>
      </c>
      <c r="B3" s="452">
        <f>'Maxs Tool'!J3</f>
        <v>1</v>
      </c>
      <c r="C3" s="452">
        <f>'Maxs Tool'!K3</f>
        <v>-73.099999999999994</v>
      </c>
      <c r="D3" s="452">
        <f>'Maxs Tool'!L3</f>
        <v>0</v>
      </c>
      <c r="E3" s="452">
        <f>'Maxs Tool'!M3</f>
        <v>0</v>
      </c>
    </row>
    <row r="4" spans="1:10" x14ac:dyDescent="0.25">
      <c r="A4" s="453">
        <f t="shared" si="0"/>
        <v>3</v>
      </c>
      <c r="B4" s="452">
        <f>'Maxs Tool'!J4</f>
        <v>1</v>
      </c>
      <c r="C4" s="452">
        <f>'Maxs Tool'!K4</f>
        <v>-73.099999999999994</v>
      </c>
      <c r="D4" s="452">
        <f>'Maxs Tool'!L4</f>
        <v>0</v>
      </c>
      <c r="E4" s="452">
        <f>'Maxs Tool'!M4</f>
        <v>0.5</v>
      </c>
      <c r="I4" s="454" t="s">
        <v>334</v>
      </c>
      <c r="J4" s="455">
        <f>Max_STN_count*(Max_WL_count+1)</f>
        <v>325</v>
      </c>
    </row>
    <row r="5" spans="1:10" x14ac:dyDescent="0.25">
      <c r="A5" s="453">
        <f t="shared" si="0"/>
        <v>4</v>
      </c>
      <c r="B5" s="452">
        <f>'Maxs Tool'!J5</f>
        <v>1</v>
      </c>
      <c r="C5" s="452">
        <f>'Maxs Tool'!K5</f>
        <v>-73.099999999999994</v>
      </c>
      <c r="D5" s="452">
        <f>'Maxs Tool'!L5</f>
        <v>0</v>
      </c>
      <c r="E5" s="452">
        <f>'Maxs Tool'!M5</f>
        <v>1</v>
      </c>
    </row>
    <row r="6" spans="1:10" x14ac:dyDescent="0.25">
      <c r="A6" s="453">
        <f t="shared" si="0"/>
        <v>5</v>
      </c>
      <c r="B6" s="452">
        <f>'Maxs Tool'!J6</f>
        <v>1</v>
      </c>
      <c r="C6" s="452">
        <f>'Maxs Tool'!K6</f>
        <v>-73.099999999999994</v>
      </c>
      <c r="D6" s="452">
        <f>'Maxs Tool'!L6</f>
        <v>0</v>
      </c>
      <c r="E6" s="452">
        <f>'Maxs Tool'!M6</f>
        <v>1.5</v>
      </c>
    </row>
    <row r="7" spans="1:10" x14ac:dyDescent="0.25">
      <c r="A7" s="453">
        <f t="shared" si="0"/>
        <v>6</v>
      </c>
      <c r="B7" s="452">
        <f>'Maxs Tool'!J7</f>
        <v>1</v>
      </c>
      <c r="C7" s="452">
        <f>'Maxs Tool'!K7</f>
        <v>-73.099999999999994</v>
      </c>
      <c r="D7" s="452">
        <f>'Maxs Tool'!L7</f>
        <v>0</v>
      </c>
      <c r="E7" s="452">
        <f>'Maxs Tool'!M7</f>
        <v>2</v>
      </c>
    </row>
    <row r="8" spans="1:10" x14ac:dyDescent="0.25">
      <c r="A8" s="453">
        <f t="shared" si="0"/>
        <v>7</v>
      </c>
      <c r="B8" s="452">
        <f>'Maxs Tool'!J8</f>
        <v>1</v>
      </c>
      <c r="C8" s="452">
        <f>'Maxs Tool'!K8</f>
        <v>-73.099999999999994</v>
      </c>
      <c r="D8" s="452">
        <f>'Maxs Tool'!L8</f>
        <v>0</v>
      </c>
      <c r="E8" s="452">
        <f>'Maxs Tool'!M8</f>
        <v>4</v>
      </c>
    </row>
    <row r="9" spans="1:10" x14ac:dyDescent="0.25">
      <c r="A9" s="453">
        <f t="shared" si="0"/>
        <v>8</v>
      </c>
      <c r="B9" s="452">
        <f>'Maxs Tool'!J9</f>
        <v>1</v>
      </c>
      <c r="C9" s="452">
        <f>'Maxs Tool'!K9</f>
        <v>-73.099999999999994</v>
      </c>
      <c r="D9" s="452">
        <f>'Maxs Tool'!L9</f>
        <v>0</v>
      </c>
      <c r="E9" s="452">
        <f>'Maxs Tool'!M9</f>
        <v>6</v>
      </c>
    </row>
    <row r="10" spans="1:10" x14ac:dyDescent="0.25">
      <c r="A10" s="453">
        <f t="shared" si="0"/>
        <v>9</v>
      </c>
      <c r="B10" s="452">
        <f>'Maxs Tool'!J10</f>
        <v>1</v>
      </c>
      <c r="C10" s="452">
        <f>'Maxs Tool'!K10</f>
        <v>-73.099999999999994</v>
      </c>
      <c r="D10" s="452">
        <f>'Maxs Tool'!L10</f>
        <v>0.9</v>
      </c>
      <c r="E10" s="452">
        <f>'Maxs Tool'!M10</f>
        <v>8</v>
      </c>
    </row>
    <row r="11" spans="1:10" x14ac:dyDescent="0.25">
      <c r="A11" s="453">
        <f t="shared" si="0"/>
        <v>10</v>
      </c>
      <c r="B11" s="452">
        <f>'Maxs Tool'!J11</f>
        <v>1</v>
      </c>
      <c r="C11" s="452">
        <f>'Maxs Tool'!K11</f>
        <v>-73.099999999999994</v>
      </c>
      <c r="D11" s="452">
        <f>'Maxs Tool'!L11</f>
        <v>2.59</v>
      </c>
      <c r="E11" s="452">
        <f>'Maxs Tool'!M11</f>
        <v>9.6999999999999993</v>
      </c>
    </row>
    <row r="12" spans="1:10" x14ac:dyDescent="0.25">
      <c r="A12" s="453">
        <f t="shared" si="0"/>
        <v>11</v>
      </c>
      <c r="B12" s="452">
        <f>'Maxs Tool'!J12</f>
        <v>1</v>
      </c>
      <c r="C12" s="452">
        <f>'Maxs Tool'!K12</f>
        <v>-73.099999999999994</v>
      </c>
      <c r="D12" s="452">
        <f>'Maxs Tool'!L12</f>
        <v>2.82</v>
      </c>
      <c r="E12" s="452">
        <f>'Maxs Tool'!M12</f>
        <v>10</v>
      </c>
    </row>
    <row r="13" spans="1:10" x14ac:dyDescent="0.25">
      <c r="A13" s="453">
        <f t="shared" si="0"/>
        <v>12</v>
      </c>
      <c r="B13" s="452">
        <f>'Maxs Tool'!J13</f>
        <v>1</v>
      </c>
      <c r="C13" s="452">
        <f>'Maxs Tool'!K13</f>
        <v>-73.099999999999994</v>
      </c>
      <c r="D13" s="452">
        <f>'Maxs Tool'!L13</f>
        <v>3.82</v>
      </c>
      <c r="E13" s="452">
        <f>'Maxs Tool'!M13</f>
        <v>12</v>
      </c>
    </row>
    <row r="14" spans="1:10" x14ac:dyDescent="0.25">
      <c r="A14" s="453">
        <f t="shared" si="0"/>
        <v>13</v>
      </c>
      <c r="B14" s="452">
        <f>'Maxs Tool'!J14</f>
        <v>1</v>
      </c>
      <c r="C14" s="452">
        <f>'Maxs Tool'!K14</f>
        <v>-73.099999999999994</v>
      </c>
      <c r="D14" s="452">
        <f>'Maxs Tool'!L14</f>
        <v>4.24</v>
      </c>
      <c r="E14" s="452">
        <f>'Maxs Tool'!M14</f>
        <v>13</v>
      </c>
    </row>
    <row r="15" spans="1:10" x14ac:dyDescent="0.25">
      <c r="A15" s="453">
        <f t="shared" si="0"/>
        <v>14</v>
      </c>
      <c r="B15" s="452">
        <f>'Maxs Tool'!J15</f>
        <v>2</v>
      </c>
      <c r="C15" s="452">
        <f>'Maxs Tool'!K15</f>
        <v>-69.444999999999993</v>
      </c>
      <c r="D15" s="452">
        <f>'Maxs Tool'!L15</f>
        <v>0</v>
      </c>
      <c r="E15" s="452">
        <f>'Maxs Tool'!M15</f>
        <v>0</v>
      </c>
    </row>
    <row r="16" spans="1:10" x14ac:dyDescent="0.25">
      <c r="A16" s="453">
        <f t="shared" si="0"/>
        <v>15</v>
      </c>
      <c r="B16" s="452">
        <f>'Maxs Tool'!J16</f>
        <v>2</v>
      </c>
      <c r="C16" s="452">
        <f>'Maxs Tool'!K16</f>
        <v>-69.444999999999993</v>
      </c>
      <c r="D16" s="452">
        <f>'Maxs Tool'!L16</f>
        <v>0.1</v>
      </c>
      <c r="E16" s="452">
        <f>'Maxs Tool'!M16</f>
        <v>0</v>
      </c>
    </row>
    <row r="17" spans="1:5" x14ac:dyDescent="0.25">
      <c r="A17" s="453">
        <f t="shared" si="0"/>
        <v>16</v>
      </c>
      <c r="B17" s="452">
        <f>'Maxs Tool'!J17</f>
        <v>2</v>
      </c>
      <c r="C17" s="452">
        <f>'Maxs Tool'!K17</f>
        <v>-69.444999999999993</v>
      </c>
      <c r="D17" s="452">
        <f>'Maxs Tool'!L17</f>
        <v>0.2</v>
      </c>
      <c r="E17" s="452">
        <f>'Maxs Tool'!M17</f>
        <v>0.5</v>
      </c>
    </row>
    <row r="18" spans="1:5" x14ac:dyDescent="0.25">
      <c r="A18" s="453">
        <f t="shared" si="0"/>
        <v>17</v>
      </c>
      <c r="B18" s="452">
        <f>'Maxs Tool'!J18</f>
        <v>2</v>
      </c>
      <c r="C18" s="452">
        <f>'Maxs Tool'!K18</f>
        <v>-69.444999999999993</v>
      </c>
      <c r="D18" s="452">
        <f>'Maxs Tool'!L18</f>
        <v>0.2</v>
      </c>
      <c r="E18" s="452">
        <f>'Maxs Tool'!M18</f>
        <v>1</v>
      </c>
    </row>
    <row r="19" spans="1:5" x14ac:dyDescent="0.25">
      <c r="A19" s="453">
        <f t="shared" si="0"/>
        <v>18</v>
      </c>
      <c r="B19" s="452">
        <f>'Maxs Tool'!J19</f>
        <v>2</v>
      </c>
      <c r="C19" s="452">
        <f>'Maxs Tool'!K19</f>
        <v>-69.444999999999993</v>
      </c>
      <c r="D19" s="452">
        <f>'Maxs Tool'!L19</f>
        <v>0.21</v>
      </c>
      <c r="E19" s="452">
        <f>'Maxs Tool'!M19</f>
        <v>1.5</v>
      </c>
    </row>
    <row r="20" spans="1:5" x14ac:dyDescent="0.25">
      <c r="A20" s="453">
        <f t="shared" si="0"/>
        <v>19</v>
      </c>
      <c r="B20" s="452">
        <f>'Maxs Tool'!J20</f>
        <v>2</v>
      </c>
      <c r="C20" s="452">
        <f>'Maxs Tool'!K20</f>
        <v>-69.444999999999993</v>
      </c>
      <c r="D20" s="452">
        <f>'Maxs Tool'!L20</f>
        <v>0.25</v>
      </c>
      <c r="E20" s="452">
        <f>'Maxs Tool'!M20</f>
        <v>2</v>
      </c>
    </row>
    <row r="21" spans="1:5" x14ac:dyDescent="0.25">
      <c r="A21" s="453">
        <f t="shared" si="0"/>
        <v>20</v>
      </c>
      <c r="B21" s="452">
        <f>'Maxs Tool'!J21</f>
        <v>2</v>
      </c>
      <c r="C21" s="452">
        <f>'Maxs Tool'!K21</f>
        <v>-69.444999999999993</v>
      </c>
      <c r="D21" s="452">
        <f>'Maxs Tool'!L21</f>
        <v>0.33</v>
      </c>
      <c r="E21" s="452">
        <f>'Maxs Tool'!M21</f>
        <v>4</v>
      </c>
    </row>
    <row r="22" spans="1:5" x14ac:dyDescent="0.25">
      <c r="A22" s="453">
        <f t="shared" si="0"/>
        <v>21</v>
      </c>
      <c r="B22" s="452">
        <f>'Maxs Tool'!J22</f>
        <v>2</v>
      </c>
      <c r="C22" s="452">
        <f>'Maxs Tool'!K22</f>
        <v>-69.444999999999993</v>
      </c>
      <c r="D22" s="452">
        <f>'Maxs Tool'!L22</f>
        <v>0.66</v>
      </c>
      <c r="E22" s="452">
        <f>'Maxs Tool'!M22</f>
        <v>6</v>
      </c>
    </row>
    <row r="23" spans="1:5" x14ac:dyDescent="0.25">
      <c r="A23" s="453">
        <f t="shared" si="0"/>
        <v>22</v>
      </c>
      <c r="B23" s="452">
        <f>'Maxs Tool'!J23</f>
        <v>2</v>
      </c>
      <c r="C23" s="452">
        <f>'Maxs Tool'!K23</f>
        <v>-69.444999999999993</v>
      </c>
      <c r="D23" s="452">
        <f>'Maxs Tool'!L23</f>
        <v>2.4300000000000002</v>
      </c>
      <c r="E23" s="452">
        <f>'Maxs Tool'!M23</f>
        <v>8</v>
      </c>
    </row>
    <row r="24" spans="1:5" x14ac:dyDescent="0.25">
      <c r="A24" s="453">
        <f t="shared" si="0"/>
        <v>23</v>
      </c>
      <c r="B24" s="452">
        <f>'Maxs Tool'!J24</f>
        <v>2</v>
      </c>
      <c r="C24" s="452">
        <f>'Maxs Tool'!K24</f>
        <v>-69.444999999999993</v>
      </c>
      <c r="D24" s="452">
        <f>'Maxs Tool'!L24</f>
        <v>4.18</v>
      </c>
      <c r="E24" s="452">
        <f>'Maxs Tool'!M24</f>
        <v>9.6999999999999993</v>
      </c>
    </row>
    <row r="25" spans="1:5" x14ac:dyDescent="0.25">
      <c r="A25" s="453">
        <f t="shared" si="0"/>
        <v>24</v>
      </c>
      <c r="B25" s="452">
        <f>'Maxs Tool'!J25</f>
        <v>2</v>
      </c>
      <c r="C25" s="452">
        <f>'Maxs Tool'!K25</f>
        <v>-69.444999999999993</v>
      </c>
      <c r="D25" s="452">
        <f>'Maxs Tool'!L25</f>
        <v>4.3899999999999997</v>
      </c>
      <c r="E25" s="452">
        <f>'Maxs Tool'!M25</f>
        <v>10</v>
      </c>
    </row>
    <row r="26" spans="1:5" x14ac:dyDescent="0.25">
      <c r="A26" s="453">
        <f t="shared" si="0"/>
        <v>25</v>
      </c>
      <c r="B26" s="452">
        <f>'Maxs Tool'!J26</f>
        <v>2</v>
      </c>
      <c r="C26" s="452">
        <f>'Maxs Tool'!K26</f>
        <v>-69.444999999999993</v>
      </c>
      <c r="D26" s="452">
        <f>'Maxs Tool'!L26</f>
        <v>5.43</v>
      </c>
      <c r="E26" s="452">
        <f>'Maxs Tool'!M26</f>
        <v>12</v>
      </c>
    </row>
    <row r="27" spans="1:5" x14ac:dyDescent="0.25">
      <c r="A27" s="453">
        <f t="shared" si="0"/>
        <v>26</v>
      </c>
      <c r="B27" s="452">
        <f>'Maxs Tool'!J27</f>
        <v>2</v>
      </c>
      <c r="C27" s="452">
        <f>'Maxs Tool'!K27</f>
        <v>-69.444999999999993</v>
      </c>
      <c r="D27" s="452">
        <f>'Maxs Tool'!L27</f>
        <v>5.85</v>
      </c>
      <c r="E27" s="452">
        <f>'Maxs Tool'!M27</f>
        <v>13</v>
      </c>
    </row>
    <row r="28" spans="1:5" x14ac:dyDescent="0.25">
      <c r="A28" s="453">
        <f t="shared" si="0"/>
        <v>27</v>
      </c>
      <c r="B28" s="452">
        <f>'Maxs Tool'!J28</f>
        <v>3</v>
      </c>
      <c r="C28" s="452">
        <f>'Maxs Tool'!K28</f>
        <v>-65.789999999999992</v>
      </c>
      <c r="D28" s="452">
        <f>'Maxs Tool'!L28</f>
        <v>0</v>
      </c>
      <c r="E28" s="452">
        <f>'Maxs Tool'!M28</f>
        <v>0</v>
      </c>
    </row>
    <row r="29" spans="1:5" x14ac:dyDescent="0.25">
      <c r="A29" s="453">
        <f t="shared" si="0"/>
        <v>28</v>
      </c>
      <c r="B29" s="452">
        <f>'Maxs Tool'!J29</f>
        <v>3</v>
      </c>
      <c r="C29" s="452">
        <f>'Maxs Tool'!K29</f>
        <v>-65.789999999999992</v>
      </c>
      <c r="D29" s="452">
        <f>'Maxs Tool'!L29</f>
        <v>0.3</v>
      </c>
      <c r="E29" s="452">
        <f>'Maxs Tool'!M29</f>
        <v>0</v>
      </c>
    </row>
    <row r="30" spans="1:5" x14ac:dyDescent="0.25">
      <c r="A30" s="453">
        <f t="shared" si="0"/>
        <v>29</v>
      </c>
      <c r="B30" s="452">
        <f>'Maxs Tool'!J30</f>
        <v>3</v>
      </c>
      <c r="C30" s="452">
        <f>'Maxs Tool'!K30</f>
        <v>-65.789999999999992</v>
      </c>
      <c r="D30" s="452">
        <f>'Maxs Tool'!L30</f>
        <v>0.5</v>
      </c>
      <c r="E30" s="452">
        <f>'Maxs Tool'!M30</f>
        <v>0.5</v>
      </c>
    </row>
    <row r="31" spans="1:5" x14ac:dyDescent="0.25">
      <c r="A31" s="453">
        <f t="shared" si="0"/>
        <v>30</v>
      </c>
      <c r="B31" s="452">
        <f>'Maxs Tool'!J31</f>
        <v>3</v>
      </c>
      <c r="C31" s="452">
        <f>'Maxs Tool'!K31</f>
        <v>-65.789999999999992</v>
      </c>
      <c r="D31" s="452">
        <f>'Maxs Tool'!L31</f>
        <v>0.68</v>
      </c>
      <c r="E31" s="452">
        <f>'Maxs Tool'!M31</f>
        <v>1</v>
      </c>
    </row>
    <row r="32" spans="1:5" x14ac:dyDescent="0.25">
      <c r="A32" s="453">
        <f t="shared" si="0"/>
        <v>31</v>
      </c>
      <c r="B32" s="452">
        <f>'Maxs Tool'!J32</f>
        <v>3</v>
      </c>
      <c r="C32" s="452">
        <f>'Maxs Tool'!K32</f>
        <v>-65.789999999999992</v>
      </c>
      <c r="D32" s="452">
        <f>'Maxs Tool'!L32</f>
        <v>0.83</v>
      </c>
      <c r="E32" s="452">
        <f>'Maxs Tool'!M32</f>
        <v>1.5</v>
      </c>
    </row>
    <row r="33" spans="1:5" x14ac:dyDescent="0.25">
      <c r="A33" s="453">
        <f t="shared" si="0"/>
        <v>32</v>
      </c>
      <c r="B33" s="452">
        <f>'Maxs Tool'!J33</f>
        <v>3</v>
      </c>
      <c r="C33" s="452">
        <f>'Maxs Tool'!K33</f>
        <v>-65.789999999999992</v>
      </c>
      <c r="D33" s="452">
        <f>'Maxs Tool'!L33</f>
        <v>0.98</v>
      </c>
      <c r="E33" s="452">
        <f>'Maxs Tool'!M33</f>
        <v>2</v>
      </c>
    </row>
    <row r="34" spans="1:5" x14ac:dyDescent="0.25">
      <c r="A34" s="453">
        <f t="shared" si="0"/>
        <v>33</v>
      </c>
      <c r="B34" s="452">
        <f>'Maxs Tool'!J34</f>
        <v>3</v>
      </c>
      <c r="C34" s="452">
        <f>'Maxs Tool'!K34</f>
        <v>-65.789999999999992</v>
      </c>
      <c r="D34" s="452">
        <f>'Maxs Tool'!L34</f>
        <v>1.44</v>
      </c>
      <c r="E34" s="452">
        <f>'Maxs Tool'!M34</f>
        <v>4</v>
      </c>
    </row>
    <row r="35" spans="1:5" x14ac:dyDescent="0.25">
      <c r="A35" s="453">
        <f t="shared" si="0"/>
        <v>34</v>
      </c>
      <c r="B35" s="452">
        <f>'Maxs Tool'!J35</f>
        <v>3</v>
      </c>
      <c r="C35" s="452">
        <f>'Maxs Tool'!K35</f>
        <v>-65.789999999999992</v>
      </c>
      <c r="D35" s="452">
        <f>'Maxs Tool'!L35</f>
        <v>2.27</v>
      </c>
      <c r="E35" s="452">
        <f>'Maxs Tool'!M35</f>
        <v>6</v>
      </c>
    </row>
    <row r="36" spans="1:5" x14ac:dyDescent="0.25">
      <c r="A36" s="453">
        <f t="shared" si="0"/>
        <v>35</v>
      </c>
      <c r="B36" s="452">
        <f>'Maxs Tool'!J36</f>
        <v>3</v>
      </c>
      <c r="C36" s="452">
        <f>'Maxs Tool'!K36</f>
        <v>-65.789999999999992</v>
      </c>
      <c r="D36" s="452">
        <f>'Maxs Tool'!L36</f>
        <v>4.01</v>
      </c>
      <c r="E36" s="452">
        <f>'Maxs Tool'!M36</f>
        <v>8</v>
      </c>
    </row>
    <row r="37" spans="1:5" x14ac:dyDescent="0.25">
      <c r="A37" s="453">
        <f t="shared" si="0"/>
        <v>36</v>
      </c>
      <c r="B37" s="452">
        <f>'Maxs Tool'!J37</f>
        <v>3</v>
      </c>
      <c r="C37" s="452">
        <f>'Maxs Tool'!K37</f>
        <v>-65.789999999999992</v>
      </c>
      <c r="D37" s="452">
        <f>'Maxs Tool'!L37</f>
        <v>5.57</v>
      </c>
      <c r="E37" s="452">
        <f>'Maxs Tool'!M37</f>
        <v>9.6999999999999993</v>
      </c>
    </row>
    <row r="38" spans="1:5" x14ac:dyDescent="0.25">
      <c r="A38" s="453">
        <f t="shared" si="0"/>
        <v>37</v>
      </c>
      <c r="B38" s="452">
        <f>'Maxs Tool'!J38</f>
        <v>3</v>
      </c>
      <c r="C38" s="452">
        <f>'Maxs Tool'!K38</f>
        <v>-65.789999999999992</v>
      </c>
      <c r="D38" s="452">
        <f>'Maxs Tool'!L38</f>
        <v>5.78</v>
      </c>
      <c r="E38" s="452">
        <f>'Maxs Tool'!M38</f>
        <v>10</v>
      </c>
    </row>
    <row r="39" spans="1:5" x14ac:dyDescent="0.25">
      <c r="A39" s="453">
        <f t="shared" si="0"/>
        <v>38</v>
      </c>
      <c r="B39" s="452">
        <f>'Maxs Tool'!J39</f>
        <v>3</v>
      </c>
      <c r="C39" s="452">
        <f>'Maxs Tool'!K39</f>
        <v>-65.789999999999992</v>
      </c>
      <c r="D39" s="452">
        <f>'Maxs Tool'!L39</f>
        <v>6.8</v>
      </c>
      <c r="E39" s="452">
        <f>'Maxs Tool'!M39</f>
        <v>12</v>
      </c>
    </row>
    <row r="40" spans="1:5" x14ac:dyDescent="0.25">
      <c r="A40" s="453">
        <f t="shared" si="0"/>
        <v>39</v>
      </c>
      <c r="B40" s="452">
        <f>'Maxs Tool'!J40</f>
        <v>3</v>
      </c>
      <c r="C40" s="452">
        <f>'Maxs Tool'!K40</f>
        <v>-65.789999999999992</v>
      </c>
      <c r="D40" s="452">
        <f>'Maxs Tool'!L40</f>
        <v>7.27</v>
      </c>
      <c r="E40" s="452">
        <f>'Maxs Tool'!M40</f>
        <v>13</v>
      </c>
    </row>
    <row r="41" spans="1:5" x14ac:dyDescent="0.25">
      <c r="A41" s="453">
        <f t="shared" si="0"/>
        <v>40</v>
      </c>
      <c r="B41" s="452">
        <f>'Maxs Tool'!J41</f>
        <v>4</v>
      </c>
      <c r="C41" s="452">
        <f>'Maxs Tool'!K41</f>
        <v>-62.134999999999991</v>
      </c>
      <c r="D41" s="452">
        <f>'Maxs Tool'!L41</f>
        <v>0</v>
      </c>
      <c r="E41" s="452">
        <f>'Maxs Tool'!M41</f>
        <v>0</v>
      </c>
    </row>
    <row r="42" spans="1:5" x14ac:dyDescent="0.25">
      <c r="A42" s="453">
        <f t="shared" si="0"/>
        <v>41</v>
      </c>
      <c r="B42" s="452">
        <f>'Maxs Tool'!J42</f>
        <v>4</v>
      </c>
      <c r="C42" s="452">
        <f>'Maxs Tool'!K42</f>
        <v>-62.134999999999991</v>
      </c>
      <c r="D42" s="452">
        <f>'Maxs Tool'!L42</f>
        <v>0.5</v>
      </c>
      <c r="E42" s="452">
        <f>'Maxs Tool'!M42</f>
        <v>0</v>
      </c>
    </row>
    <row r="43" spans="1:5" x14ac:dyDescent="0.25">
      <c r="A43" s="453">
        <f t="shared" si="0"/>
        <v>42</v>
      </c>
      <c r="B43" s="452">
        <f>'Maxs Tool'!J43</f>
        <v>4</v>
      </c>
      <c r="C43" s="452">
        <f>'Maxs Tool'!K43</f>
        <v>-62.134999999999991</v>
      </c>
      <c r="D43" s="452">
        <f>'Maxs Tool'!L43</f>
        <v>0.99</v>
      </c>
      <c r="E43" s="452">
        <f>'Maxs Tool'!M43</f>
        <v>0.5</v>
      </c>
    </row>
    <row r="44" spans="1:5" x14ac:dyDescent="0.25">
      <c r="A44" s="453">
        <f t="shared" si="0"/>
        <v>43</v>
      </c>
      <c r="B44" s="452">
        <f>'Maxs Tool'!J44</f>
        <v>4</v>
      </c>
      <c r="C44" s="452">
        <f>'Maxs Tool'!K44</f>
        <v>-62.134999999999991</v>
      </c>
      <c r="D44" s="452">
        <f>'Maxs Tool'!L44</f>
        <v>1.35</v>
      </c>
      <c r="E44" s="452">
        <f>'Maxs Tool'!M44</f>
        <v>1</v>
      </c>
    </row>
    <row r="45" spans="1:5" x14ac:dyDescent="0.25">
      <c r="A45" s="453">
        <f t="shared" si="0"/>
        <v>44</v>
      </c>
      <c r="B45" s="452">
        <f>'Maxs Tool'!J45</f>
        <v>4</v>
      </c>
      <c r="C45" s="452">
        <f>'Maxs Tool'!K45</f>
        <v>-62.134999999999991</v>
      </c>
      <c r="D45" s="452">
        <f>'Maxs Tool'!L45</f>
        <v>1.65</v>
      </c>
      <c r="E45" s="452">
        <f>'Maxs Tool'!M45</f>
        <v>1.5</v>
      </c>
    </row>
    <row r="46" spans="1:5" x14ac:dyDescent="0.25">
      <c r="A46" s="453">
        <f t="shared" si="0"/>
        <v>45</v>
      </c>
      <c r="B46" s="452">
        <f>'Maxs Tool'!J46</f>
        <v>4</v>
      </c>
      <c r="C46" s="452">
        <f>'Maxs Tool'!K46</f>
        <v>-62.134999999999991</v>
      </c>
      <c r="D46" s="452">
        <f>'Maxs Tool'!L46</f>
        <v>1.89</v>
      </c>
      <c r="E46" s="452">
        <f>'Maxs Tool'!M46</f>
        <v>2</v>
      </c>
    </row>
    <row r="47" spans="1:5" x14ac:dyDescent="0.25">
      <c r="A47" s="453">
        <f t="shared" si="0"/>
        <v>46</v>
      </c>
      <c r="B47" s="452">
        <f>'Maxs Tool'!J47</f>
        <v>4</v>
      </c>
      <c r="C47" s="452">
        <f>'Maxs Tool'!K47</f>
        <v>-62.134999999999991</v>
      </c>
      <c r="D47" s="452">
        <f>'Maxs Tool'!L47</f>
        <v>2.81</v>
      </c>
      <c r="E47" s="452">
        <f>'Maxs Tool'!M47</f>
        <v>4</v>
      </c>
    </row>
    <row r="48" spans="1:5" x14ac:dyDescent="0.25">
      <c r="A48" s="453">
        <f t="shared" si="0"/>
        <v>47</v>
      </c>
      <c r="B48" s="452">
        <f>'Maxs Tool'!J48</f>
        <v>4</v>
      </c>
      <c r="C48" s="452">
        <f>'Maxs Tool'!K48</f>
        <v>-62.134999999999991</v>
      </c>
      <c r="D48" s="452">
        <f>'Maxs Tool'!L48</f>
        <v>3.86</v>
      </c>
      <c r="E48" s="452">
        <f>'Maxs Tool'!M48</f>
        <v>6</v>
      </c>
    </row>
    <row r="49" spans="1:5" x14ac:dyDescent="0.25">
      <c r="A49" s="453">
        <f t="shared" si="0"/>
        <v>48</v>
      </c>
      <c r="B49" s="452">
        <f>'Maxs Tool'!J49</f>
        <v>4</v>
      </c>
      <c r="C49" s="452">
        <f>'Maxs Tool'!K49</f>
        <v>-62.134999999999991</v>
      </c>
      <c r="D49" s="452">
        <f>'Maxs Tool'!L49</f>
        <v>5.5</v>
      </c>
      <c r="E49" s="452">
        <f>'Maxs Tool'!M49</f>
        <v>8</v>
      </c>
    </row>
    <row r="50" spans="1:5" x14ac:dyDescent="0.25">
      <c r="A50" s="453">
        <f t="shared" si="0"/>
        <v>49</v>
      </c>
      <c r="B50" s="452">
        <f>'Maxs Tool'!J50</f>
        <v>4</v>
      </c>
      <c r="C50" s="452">
        <f>'Maxs Tool'!K50</f>
        <v>-62.134999999999991</v>
      </c>
      <c r="D50" s="452">
        <f>'Maxs Tool'!L50</f>
        <v>6.82</v>
      </c>
      <c r="E50" s="452">
        <f>'Maxs Tool'!M50</f>
        <v>9.6999999999999993</v>
      </c>
    </row>
    <row r="51" spans="1:5" x14ac:dyDescent="0.25">
      <c r="A51" s="453">
        <f t="shared" si="0"/>
        <v>50</v>
      </c>
      <c r="B51" s="452">
        <f>'Maxs Tool'!J51</f>
        <v>4</v>
      </c>
      <c r="C51" s="452">
        <f>'Maxs Tool'!K51</f>
        <v>-62.134999999999991</v>
      </c>
      <c r="D51" s="452">
        <f>'Maxs Tool'!L51</f>
        <v>7.01</v>
      </c>
      <c r="E51" s="452">
        <f>'Maxs Tool'!M51</f>
        <v>10</v>
      </c>
    </row>
    <row r="52" spans="1:5" x14ac:dyDescent="0.25">
      <c r="A52" s="453">
        <f t="shared" si="0"/>
        <v>51</v>
      </c>
      <c r="B52" s="452">
        <f>'Maxs Tool'!J52</f>
        <v>4</v>
      </c>
      <c r="C52" s="452">
        <f>'Maxs Tool'!K52</f>
        <v>-62.134999999999991</v>
      </c>
      <c r="D52" s="452">
        <f>'Maxs Tool'!L52</f>
        <v>7.98</v>
      </c>
      <c r="E52" s="452">
        <f>'Maxs Tool'!M52</f>
        <v>12</v>
      </c>
    </row>
    <row r="53" spans="1:5" x14ac:dyDescent="0.25">
      <c r="A53" s="453">
        <f t="shared" si="0"/>
        <v>52</v>
      </c>
      <c r="B53" s="452">
        <f>'Maxs Tool'!J53</f>
        <v>4</v>
      </c>
      <c r="C53" s="452">
        <f>'Maxs Tool'!K53</f>
        <v>-62.134999999999991</v>
      </c>
      <c r="D53" s="452">
        <f>'Maxs Tool'!L53</f>
        <v>8.42</v>
      </c>
      <c r="E53" s="452">
        <f>'Maxs Tool'!M53</f>
        <v>13</v>
      </c>
    </row>
    <row r="54" spans="1:5" x14ac:dyDescent="0.25">
      <c r="A54" s="453">
        <f t="shared" si="0"/>
        <v>53</v>
      </c>
      <c r="B54" s="452">
        <f>'Maxs Tool'!J54</f>
        <v>5</v>
      </c>
      <c r="C54" s="452">
        <f>'Maxs Tool'!K54</f>
        <v>-58.48</v>
      </c>
      <c r="D54" s="452">
        <f>'Maxs Tool'!L54</f>
        <v>0</v>
      </c>
      <c r="E54" s="452">
        <f>'Maxs Tool'!M54</f>
        <v>0</v>
      </c>
    </row>
    <row r="55" spans="1:5" x14ac:dyDescent="0.25">
      <c r="A55" s="453">
        <f t="shared" si="0"/>
        <v>54</v>
      </c>
      <c r="B55" s="452">
        <f>'Maxs Tool'!J55</f>
        <v>5</v>
      </c>
      <c r="C55" s="452">
        <f>'Maxs Tool'!K55</f>
        <v>-58.48</v>
      </c>
      <c r="D55" s="452">
        <f>'Maxs Tool'!L55</f>
        <v>0.9</v>
      </c>
      <c r="E55" s="452">
        <f>'Maxs Tool'!M55</f>
        <v>0</v>
      </c>
    </row>
    <row r="56" spans="1:5" x14ac:dyDescent="0.25">
      <c r="A56" s="453">
        <f t="shared" si="0"/>
        <v>55</v>
      </c>
      <c r="B56" s="452">
        <f>'Maxs Tool'!J56</f>
        <v>5</v>
      </c>
      <c r="C56" s="452">
        <f>'Maxs Tool'!K56</f>
        <v>-58.48</v>
      </c>
      <c r="D56" s="452">
        <f>'Maxs Tool'!L56</f>
        <v>1.59</v>
      </c>
      <c r="E56" s="452">
        <f>'Maxs Tool'!M56</f>
        <v>0.5</v>
      </c>
    </row>
    <row r="57" spans="1:5" x14ac:dyDescent="0.25">
      <c r="A57" s="453">
        <f t="shared" si="0"/>
        <v>56</v>
      </c>
      <c r="B57" s="452">
        <f>'Maxs Tool'!J57</f>
        <v>5</v>
      </c>
      <c r="C57" s="452">
        <f>'Maxs Tool'!K57</f>
        <v>-58.48</v>
      </c>
      <c r="D57" s="452">
        <f>'Maxs Tool'!L57</f>
        <v>2.14</v>
      </c>
      <c r="E57" s="452">
        <f>'Maxs Tool'!M57</f>
        <v>1</v>
      </c>
    </row>
    <row r="58" spans="1:5" x14ac:dyDescent="0.25">
      <c r="A58" s="453">
        <f t="shared" si="0"/>
        <v>57</v>
      </c>
      <c r="B58" s="452">
        <f>'Maxs Tool'!J58</f>
        <v>5</v>
      </c>
      <c r="C58" s="452">
        <f>'Maxs Tool'!K58</f>
        <v>-58.48</v>
      </c>
      <c r="D58" s="452">
        <f>'Maxs Tool'!L58</f>
        <v>2.59</v>
      </c>
      <c r="E58" s="452">
        <f>'Maxs Tool'!M58</f>
        <v>1.5</v>
      </c>
    </row>
    <row r="59" spans="1:5" x14ac:dyDescent="0.25">
      <c r="A59" s="453">
        <f t="shared" si="0"/>
        <v>58</v>
      </c>
      <c r="B59" s="452">
        <f>'Maxs Tool'!J59</f>
        <v>5</v>
      </c>
      <c r="C59" s="452">
        <f>'Maxs Tool'!K59</f>
        <v>-58.48</v>
      </c>
      <c r="D59" s="452">
        <f>'Maxs Tool'!L59</f>
        <v>2.93</v>
      </c>
      <c r="E59" s="452">
        <f>'Maxs Tool'!M59</f>
        <v>2</v>
      </c>
    </row>
    <row r="60" spans="1:5" x14ac:dyDescent="0.25">
      <c r="A60" s="453">
        <f t="shared" si="0"/>
        <v>59</v>
      </c>
      <c r="B60" s="452">
        <f>'Maxs Tool'!J60</f>
        <v>5</v>
      </c>
      <c r="C60" s="452">
        <f>'Maxs Tool'!K60</f>
        <v>-58.48</v>
      </c>
      <c r="D60" s="452">
        <f>'Maxs Tool'!L60</f>
        <v>4.17</v>
      </c>
      <c r="E60" s="452">
        <f>'Maxs Tool'!M60</f>
        <v>4</v>
      </c>
    </row>
    <row r="61" spans="1:5" x14ac:dyDescent="0.25">
      <c r="A61" s="453">
        <f t="shared" si="0"/>
        <v>60</v>
      </c>
      <c r="B61" s="452">
        <f>'Maxs Tool'!J61</f>
        <v>5</v>
      </c>
      <c r="C61" s="452">
        <f>'Maxs Tool'!K61</f>
        <v>-58.48</v>
      </c>
      <c r="D61" s="452">
        <f>'Maxs Tool'!L61</f>
        <v>5.28</v>
      </c>
      <c r="E61" s="452">
        <f>'Maxs Tool'!M61</f>
        <v>6</v>
      </c>
    </row>
    <row r="62" spans="1:5" x14ac:dyDescent="0.25">
      <c r="A62" s="453">
        <f t="shared" si="0"/>
        <v>61</v>
      </c>
      <c r="B62" s="452">
        <f>'Maxs Tool'!J62</f>
        <v>5</v>
      </c>
      <c r="C62" s="452">
        <f>'Maxs Tool'!K62</f>
        <v>-58.48</v>
      </c>
      <c r="D62" s="452">
        <f>'Maxs Tool'!L62</f>
        <v>6.7</v>
      </c>
      <c r="E62" s="452">
        <f>'Maxs Tool'!M62</f>
        <v>8</v>
      </c>
    </row>
    <row r="63" spans="1:5" x14ac:dyDescent="0.25">
      <c r="A63" s="453">
        <f t="shared" si="0"/>
        <v>62</v>
      </c>
      <c r="B63" s="452">
        <f>'Maxs Tool'!J63</f>
        <v>5</v>
      </c>
      <c r="C63" s="452">
        <f>'Maxs Tool'!K63</f>
        <v>-58.48</v>
      </c>
      <c r="D63" s="452">
        <f>'Maxs Tool'!L63</f>
        <v>7.89</v>
      </c>
      <c r="E63" s="452">
        <f>'Maxs Tool'!M63</f>
        <v>9.6999999999999993</v>
      </c>
    </row>
    <row r="64" spans="1:5" x14ac:dyDescent="0.25">
      <c r="A64" s="453">
        <f t="shared" si="0"/>
        <v>63</v>
      </c>
      <c r="B64" s="452">
        <f>'Maxs Tool'!J64</f>
        <v>5</v>
      </c>
      <c r="C64" s="452">
        <f>'Maxs Tool'!K64</f>
        <v>-58.48</v>
      </c>
      <c r="D64" s="452">
        <f>'Maxs Tool'!L64</f>
        <v>8.0399999999999991</v>
      </c>
      <c r="E64" s="452">
        <f>'Maxs Tool'!M64</f>
        <v>10</v>
      </c>
    </row>
    <row r="65" spans="1:5" x14ac:dyDescent="0.25">
      <c r="A65" s="453">
        <f t="shared" si="0"/>
        <v>64</v>
      </c>
      <c r="B65" s="452">
        <f>'Maxs Tool'!J65</f>
        <v>5</v>
      </c>
      <c r="C65" s="452">
        <f>'Maxs Tool'!K65</f>
        <v>-58.48</v>
      </c>
      <c r="D65" s="452">
        <f>'Maxs Tool'!L65</f>
        <v>8.94</v>
      </c>
      <c r="E65" s="452">
        <f>'Maxs Tool'!M65</f>
        <v>12</v>
      </c>
    </row>
    <row r="66" spans="1:5" x14ac:dyDescent="0.25">
      <c r="A66" s="453">
        <f t="shared" si="0"/>
        <v>65</v>
      </c>
      <c r="B66" s="452">
        <f>'Maxs Tool'!J66</f>
        <v>5</v>
      </c>
      <c r="C66" s="452">
        <f>'Maxs Tool'!K66</f>
        <v>-58.48</v>
      </c>
      <c r="D66" s="452">
        <f>'Maxs Tool'!L66</f>
        <v>9.3000000000000007</v>
      </c>
      <c r="E66" s="452">
        <f>'Maxs Tool'!M66</f>
        <v>13</v>
      </c>
    </row>
    <row r="67" spans="1:5" x14ac:dyDescent="0.25">
      <c r="A67" s="453">
        <f t="shared" ref="A67:A130" si="1">IF(ISNUMBER(D67),ROW()-1,"")</f>
        <v>66</v>
      </c>
      <c r="B67" s="452">
        <f>'Maxs Tool'!J67</f>
        <v>6</v>
      </c>
      <c r="C67" s="452">
        <f>'Maxs Tool'!K67</f>
        <v>-51.169999999999995</v>
      </c>
      <c r="D67" s="452">
        <f>'Maxs Tool'!L67</f>
        <v>0</v>
      </c>
      <c r="E67" s="452">
        <f>'Maxs Tool'!M67</f>
        <v>0</v>
      </c>
    </row>
    <row r="68" spans="1:5" x14ac:dyDescent="0.25">
      <c r="A68" s="453">
        <f t="shared" si="1"/>
        <v>67</v>
      </c>
      <c r="B68" s="452">
        <f>'Maxs Tool'!J68</f>
        <v>6</v>
      </c>
      <c r="C68" s="452">
        <f>'Maxs Tool'!K68</f>
        <v>-51.169999999999995</v>
      </c>
      <c r="D68" s="452">
        <f>'Maxs Tool'!L68</f>
        <v>1.9</v>
      </c>
      <c r="E68" s="452">
        <f>'Maxs Tool'!M68</f>
        <v>0</v>
      </c>
    </row>
    <row r="69" spans="1:5" x14ac:dyDescent="0.25">
      <c r="A69" s="453">
        <f t="shared" si="1"/>
        <v>68</v>
      </c>
      <c r="B69" s="452">
        <f>'Maxs Tool'!J69</f>
        <v>6</v>
      </c>
      <c r="C69" s="452">
        <f>'Maxs Tool'!K69</f>
        <v>-51.169999999999995</v>
      </c>
      <c r="D69" s="452">
        <f>'Maxs Tool'!L69</f>
        <v>3.32</v>
      </c>
      <c r="E69" s="452">
        <f>'Maxs Tool'!M69</f>
        <v>0.5</v>
      </c>
    </row>
    <row r="70" spans="1:5" x14ac:dyDescent="0.25">
      <c r="A70" s="453">
        <f t="shared" si="1"/>
        <v>69</v>
      </c>
      <c r="B70" s="452">
        <f>'Maxs Tool'!J70</f>
        <v>6</v>
      </c>
      <c r="C70" s="452">
        <f>'Maxs Tool'!K70</f>
        <v>-51.169999999999995</v>
      </c>
      <c r="D70" s="452">
        <f>'Maxs Tool'!L70</f>
        <v>4.17</v>
      </c>
      <c r="E70" s="452">
        <f>'Maxs Tool'!M70</f>
        <v>1</v>
      </c>
    </row>
    <row r="71" spans="1:5" x14ac:dyDescent="0.25">
      <c r="A71" s="453">
        <f t="shared" si="1"/>
        <v>70</v>
      </c>
      <c r="B71" s="452">
        <f>'Maxs Tool'!J71</f>
        <v>6</v>
      </c>
      <c r="C71" s="452">
        <f>'Maxs Tool'!K71</f>
        <v>-51.169999999999995</v>
      </c>
      <c r="D71" s="452">
        <f>'Maxs Tool'!L71</f>
        <v>4.72</v>
      </c>
      <c r="E71" s="452">
        <f>'Maxs Tool'!M71</f>
        <v>1.5</v>
      </c>
    </row>
    <row r="72" spans="1:5" x14ac:dyDescent="0.25">
      <c r="A72" s="453">
        <f t="shared" si="1"/>
        <v>71</v>
      </c>
      <c r="B72" s="452">
        <f>'Maxs Tool'!J72</f>
        <v>6</v>
      </c>
      <c r="C72" s="452">
        <f>'Maxs Tool'!K72</f>
        <v>-51.169999999999995</v>
      </c>
      <c r="D72" s="452">
        <f>'Maxs Tool'!L72</f>
        <v>5.15</v>
      </c>
      <c r="E72" s="452">
        <f>'Maxs Tool'!M72</f>
        <v>2</v>
      </c>
    </row>
    <row r="73" spans="1:5" x14ac:dyDescent="0.25">
      <c r="A73" s="453">
        <f t="shared" si="1"/>
        <v>72</v>
      </c>
      <c r="B73" s="452">
        <f>'Maxs Tool'!J73</f>
        <v>6</v>
      </c>
      <c r="C73" s="452">
        <f>'Maxs Tool'!K73</f>
        <v>-51.169999999999995</v>
      </c>
      <c r="D73" s="452">
        <f>'Maxs Tool'!L73</f>
        <v>6.67</v>
      </c>
      <c r="E73" s="452">
        <f>'Maxs Tool'!M73</f>
        <v>4</v>
      </c>
    </row>
    <row r="74" spans="1:5" x14ac:dyDescent="0.25">
      <c r="A74" s="453">
        <f t="shared" si="1"/>
        <v>73</v>
      </c>
      <c r="B74" s="452">
        <f>'Maxs Tool'!J74</f>
        <v>6</v>
      </c>
      <c r="C74" s="452">
        <f>'Maxs Tool'!K74</f>
        <v>-51.169999999999995</v>
      </c>
      <c r="D74" s="452">
        <f>'Maxs Tool'!L74</f>
        <v>7.76</v>
      </c>
      <c r="E74" s="452">
        <f>'Maxs Tool'!M74</f>
        <v>6</v>
      </c>
    </row>
    <row r="75" spans="1:5" x14ac:dyDescent="0.25">
      <c r="A75" s="453">
        <f t="shared" si="1"/>
        <v>74</v>
      </c>
      <c r="B75" s="452">
        <f>'Maxs Tool'!J75</f>
        <v>6</v>
      </c>
      <c r="C75" s="452">
        <f>'Maxs Tool'!K75</f>
        <v>-51.169999999999995</v>
      </c>
      <c r="D75" s="452">
        <f>'Maxs Tool'!L75</f>
        <v>8.65</v>
      </c>
      <c r="E75" s="452">
        <f>'Maxs Tool'!M75</f>
        <v>8</v>
      </c>
    </row>
    <row r="76" spans="1:5" x14ac:dyDescent="0.25">
      <c r="A76" s="453">
        <f t="shared" si="1"/>
        <v>75</v>
      </c>
      <c r="B76" s="452">
        <f>'Maxs Tool'!J76</f>
        <v>6</v>
      </c>
      <c r="C76" s="452">
        <f>'Maxs Tool'!K76</f>
        <v>-51.169999999999995</v>
      </c>
      <c r="D76" s="452">
        <f>'Maxs Tool'!L76</f>
        <v>9.43</v>
      </c>
      <c r="E76" s="452">
        <f>'Maxs Tool'!M76</f>
        <v>9.6999999999999993</v>
      </c>
    </row>
    <row r="77" spans="1:5" x14ac:dyDescent="0.25">
      <c r="A77" s="453">
        <f t="shared" si="1"/>
        <v>76</v>
      </c>
      <c r="B77" s="452">
        <f>'Maxs Tool'!J77</f>
        <v>6</v>
      </c>
      <c r="C77" s="452">
        <f>'Maxs Tool'!K77</f>
        <v>-51.169999999999995</v>
      </c>
      <c r="D77" s="452">
        <f>'Maxs Tool'!L77</f>
        <v>9.5399999999999991</v>
      </c>
      <c r="E77" s="452">
        <f>'Maxs Tool'!M77</f>
        <v>10</v>
      </c>
    </row>
    <row r="78" spans="1:5" x14ac:dyDescent="0.25">
      <c r="A78" s="453">
        <f t="shared" si="1"/>
        <v>77</v>
      </c>
      <c r="B78" s="452">
        <f>'Maxs Tool'!J78</f>
        <v>6</v>
      </c>
      <c r="C78" s="452">
        <f>'Maxs Tool'!K78</f>
        <v>-51.169999999999995</v>
      </c>
      <c r="D78" s="452">
        <f>'Maxs Tool'!L78</f>
        <v>10.1</v>
      </c>
      <c r="E78" s="452">
        <f>'Maxs Tool'!M78</f>
        <v>12</v>
      </c>
    </row>
    <row r="79" spans="1:5" x14ac:dyDescent="0.25">
      <c r="A79" s="453">
        <f t="shared" si="1"/>
        <v>78</v>
      </c>
      <c r="B79" s="452">
        <f>'Maxs Tool'!J79</f>
        <v>6</v>
      </c>
      <c r="C79" s="452">
        <f>'Maxs Tool'!K79</f>
        <v>-51.169999999999995</v>
      </c>
      <c r="D79" s="452">
        <f>'Maxs Tool'!L79</f>
        <v>10.44</v>
      </c>
      <c r="E79" s="452">
        <f>'Maxs Tool'!M79</f>
        <v>13</v>
      </c>
    </row>
    <row r="80" spans="1:5" x14ac:dyDescent="0.25">
      <c r="A80" s="453">
        <f t="shared" si="1"/>
        <v>79</v>
      </c>
      <c r="B80" s="452">
        <f>'Maxs Tool'!J80</f>
        <v>7</v>
      </c>
      <c r="C80" s="452">
        <f>'Maxs Tool'!K80</f>
        <v>-43.86</v>
      </c>
      <c r="D80" s="452">
        <f>'Maxs Tool'!L80</f>
        <v>0</v>
      </c>
      <c r="E80" s="452">
        <f>'Maxs Tool'!M80</f>
        <v>0</v>
      </c>
    </row>
    <row r="81" spans="1:5" x14ac:dyDescent="0.25">
      <c r="A81" s="453">
        <f t="shared" si="1"/>
        <v>80</v>
      </c>
      <c r="B81" s="452">
        <f>'Maxs Tool'!J81</f>
        <v>7</v>
      </c>
      <c r="C81" s="452">
        <f>'Maxs Tool'!K81</f>
        <v>-43.86</v>
      </c>
      <c r="D81" s="452">
        <f>'Maxs Tool'!L81</f>
        <v>3.8</v>
      </c>
      <c r="E81" s="452">
        <f>'Maxs Tool'!M81</f>
        <v>0</v>
      </c>
    </row>
    <row r="82" spans="1:5" x14ac:dyDescent="0.25">
      <c r="A82" s="453">
        <f t="shared" si="1"/>
        <v>81</v>
      </c>
      <c r="B82" s="452">
        <f>'Maxs Tool'!J82</f>
        <v>7</v>
      </c>
      <c r="C82" s="452">
        <f>'Maxs Tool'!K82</f>
        <v>-43.86</v>
      </c>
      <c r="D82" s="452">
        <f>'Maxs Tool'!L82</f>
        <v>5.33</v>
      </c>
      <c r="E82" s="452">
        <f>'Maxs Tool'!M82</f>
        <v>0.5</v>
      </c>
    </row>
    <row r="83" spans="1:5" x14ac:dyDescent="0.25">
      <c r="A83" s="453">
        <f t="shared" si="1"/>
        <v>82</v>
      </c>
      <c r="B83" s="452">
        <f>'Maxs Tool'!J83</f>
        <v>7</v>
      </c>
      <c r="C83" s="452">
        <f>'Maxs Tool'!K83</f>
        <v>-43.86</v>
      </c>
      <c r="D83" s="452">
        <f>'Maxs Tool'!L83</f>
        <v>6.26</v>
      </c>
      <c r="E83" s="452">
        <f>'Maxs Tool'!M83</f>
        <v>1</v>
      </c>
    </row>
    <row r="84" spans="1:5" x14ac:dyDescent="0.25">
      <c r="A84" s="453">
        <f t="shared" si="1"/>
        <v>83</v>
      </c>
      <c r="B84" s="452">
        <f>'Maxs Tool'!J84</f>
        <v>7</v>
      </c>
      <c r="C84" s="452">
        <f>'Maxs Tool'!K84</f>
        <v>-43.86</v>
      </c>
      <c r="D84" s="452">
        <f>'Maxs Tool'!L84</f>
        <v>6.83</v>
      </c>
      <c r="E84" s="452">
        <f>'Maxs Tool'!M84</f>
        <v>1.5</v>
      </c>
    </row>
    <row r="85" spans="1:5" x14ac:dyDescent="0.25">
      <c r="A85" s="453">
        <f t="shared" si="1"/>
        <v>84</v>
      </c>
      <c r="B85" s="452">
        <f>'Maxs Tool'!J85</f>
        <v>7</v>
      </c>
      <c r="C85" s="452">
        <f>'Maxs Tool'!K85</f>
        <v>-43.86</v>
      </c>
      <c r="D85" s="452">
        <f>'Maxs Tool'!L85</f>
        <v>7.29</v>
      </c>
      <c r="E85" s="452">
        <f>'Maxs Tool'!M85</f>
        <v>2</v>
      </c>
    </row>
    <row r="86" spans="1:5" x14ac:dyDescent="0.25">
      <c r="A86" s="453">
        <f t="shared" si="1"/>
        <v>85</v>
      </c>
      <c r="B86" s="452">
        <f>'Maxs Tool'!J86</f>
        <v>7</v>
      </c>
      <c r="C86" s="452">
        <f>'Maxs Tool'!K86</f>
        <v>-43.86</v>
      </c>
      <c r="D86" s="452">
        <f>'Maxs Tool'!L86</f>
        <v>8.61</v>
      </c>
      <c r="E86" s="452">
        <f>'Maxs Tool'!M86</f>
        <v>4</v>
      </c>
    </row>
    <row r="87" spans="1:5" x14ac:dyDescent="0.25">
      <c r="A87" s="453">
        <f t="shared" si="1"/>
        <v>86</v>
      </c>
      <c r="B87" s="452">
        <f>'Maxs Tool'!J87</f>
        <v>7</v>
      </c>
      <c r="C87" s="452">
        <f>'Maxs Tool'!K87</f>
        <v>-43.86</v>
      </c>
      <c r="D87" s="452">
        <f>'Maxs Tool'!L87</f>
        <v>9.4499999999999993</v>
      </c>
      <c r="E87" s="452">
        <f>'Maxs Tool'!M87</f>
        <v>6</v>
      </c>
    </row>
    <row r="88" spans="1:5" x14ac:dyDescent="0.25">
      <c r="A88" s="453">
        <f t="shared" si="1"/>
        <v>87</v>
      </c>
      <c r="B88" s="452">
        <f>'Maxs Tool'!J88</f>
        <v>7</v>
      </c>
      <c r="C88" s="452">
        <f>'Maxs Tool'!K88</f>
        <v>-43.86</v>
      </c>
      <c r="D88" s="452">
        <f>'Maxs Tool'!L88</f>
        <v>10.1</v>
      </c>
      <c r="E88" s="452">
        <f>'Maxs Tool'!M88</f>
        <v>8</v>
      </c>
    </row>
    <row r="89" spans="1:5" x14ac:dyDescent="0.25">
      <c r="A89" s="453">
        <f t="shared" si="1"/>
        <v>88</v>
      </c>
      <c r="B89" s="452">
        <f>'Maxs Tool'!J89</f>
        <v>7</v>
      </c>
      <c r="C89" s="452">
        <f>'Maxs Tool'!K89</f>
        <v>-43.86</v>
      </c>
      <c r="D89" s="452">
        <f>'Maxs Tool'!L89</f>
        <v>10.45</v>
      </c>
      <c r="E89" s="452">
        <f>'Maxs Tool'!M89</f>
        <v>9.6999999999999993</v>
      </c>
    </row>
    <row r="90" spans="1:5" x14ac:dyDescent="0.25">
      <c r="A90" s="453">
        <f t="shared" si="1"/>
        <v>89</v>
      </c>
      <c r="B90" s="452">
        <f>'Maxs Tool'!J90</f>
        <v>7</v>
      </c>
      <c r="C90" s="452">
        <f>'Maxs Tool'!K90</f>
        <v>-43.86</v>
      </c>
      <c r="D90" s="452">
        <f>'Maxs Tool'!L90</f>
        <v>10.5</v>
      </c>
      <c r="E90" s="452">
        <f>'Maxs Tool'!M90</f>
        <v>10</v>
      </c>
    </row>
    <row r="91" spans="1:5" x14ac:dyDescent="0.25">
      <c r="A91" s="453">
        <f t="shared" si="1"/>
        <v>90</v>
      </c>
      <c r="B91" s="452">
        <f>'Maxs Tool'!J91</f>
        <v>7</v>
      </c>
      <c r="C91" s="452">
        <f>'Maxs Tool'!K91</f>
        <v>-43.86</v>
      </c>
      <c r="D91" s="452">
        <f>'Maxs Tool'!L91</f>
        <v>10.8</v>
      </c>
      <c r="E91" s="452">
        <f>'Maxs Tool'!M91</f>
        <v>12</v>
      </c>
    </row>
    <row r="92" spans="1:5" x14ac:dyDescent="0.25">
      <c r="A92" s="453">
        <f t="shared" si="1"/>
        <v>91</v>
      </c>
      <c r="B92" s="452">
        <f>'Maxs Tool'!J92</f>
        <v>7</v>
      </c>
      <c r="C92" s="452">
        <f>'Maxs Tool'!K92</f>
        <v>-43.86</v>
      </c>
      <c r="D92" s="452">
        <f>'Maxs Tool'!L92</f>
        <v>10.87</v>
      </c>
      <c r="E92" s="452">
        <f>'Maxs Tool'!M92</f>
        <v>13</v>
      </c>
    </row>
    <row r="93" spans="1:5" x14ac:dyDescent="0.25">
      <c r="A93" s="453">
        <f t="shared" si="1"/>
        <v>92</v>
      </c>
      <c r="B93" s="452">
        <f>'Maxs Tool'!J93</f>
        <v>8</v>
      </c>
      <c r="C93" s="452">
        <f>'Maxs Tool'!K93</f>
        <v>-36.549999999999997</v>
      </c>
      <c r="D93" s="452">
        <f>'Maxs Tool'!L93</f>
        <v>0</v>
      </c>
      <c r="E93" s="452">
        <f>'Maxs Tool'!M93</f>
        <v>0</v>
      </c>
    </row>
    <row r="94" spans="1:5" x14ac:dyDescent="0.25">
      <c r="A94" s="453">
        <f t="shared" si="1"/>
        <v>93</v>
      </c>
      <c r="B94" s="452">
        <f>'Maxs Tool'!J94</f>
        <v>8</v>
      </c>
      <c r="C94" s="452">
        <f>'Maxs Tool'!K94</f>
        <v>-36.549999999999997</v>
      </c>
      <c r="D94" s="452">
        <f>'Maxs Tool'!L94</f>
        <v>5.9</v>
      </c>
      <c r="E94" s="452">
        <f>'Maxs Tool'!M94</f>
        <v>0</v>
      </c>
    </row>
    <row r="95" spans="1:5" x14ac:dyDescent="0.25">
      <c r="A95" s="453">
        <f t="shared" si="1"/>
        <v>94</v>
      </c>
      <c r="B95" s="452">
        <f>'Maxs Tool'!J95</f>
        <v>8</v>
      </c>
      <c r="C95" s="452">
        <f>'Maxs Tool'!K95</f>
        <v>-36.549999999999997</v>
      </c>
      <c r="D95" s="452">
        <f>'Maxs Tool'!L95</f>
        <v>7.26</v>
      </c>
      <c r="E95" s="452">
        <f>'Maxs Tool'!M95</f>
        <v>0.5</v>
      </c>
    </row>
    <row r="96" spans="1:5" x14ac:dyDescent="0.25">
      <c r="A96" s="453">
        <f t="shared" si="1"/>
        <v>95</v>
      </c>
      <c r="B96" s="452">
        <f>'Maxs Tool'!J96</f>
        <v>8</v>
      </c>
      <c r="C96" s="452">
        <f>'Maxs Tool'!K96</f>
        <v>-36.549999999999997</v>
      </c>
      <c r="D96" s="452">
        <f>'Maxs Tool'!L96</f>
        <v>8.1199999999999992</v>
      </c>
      <c r="E96" s="452">
        <f>'Maxs Tool'!M96</f>
        <v>1</v>
      </c>
    </row>
    <row r="97" spans="1:5" x14ac:dyDescent="0.25">
      <c r="A97" s="453">
        <f t="shared" si="1"/>
        <v>96</v>
      </c>
      <c r="B97" s="452">
        <f>'Maxs Tool'!J97</f>
        <v>8</v>
      </c>
      <c r="C97" s="452">
        <f>'Maxs Tool'!K97</f>
        <v>-36.549999999999997</v>
      </c>
      <c r="D97" s="452">
        <f>'Maxs Tool'!L97</f>
        <v>8.6999999999999993</v>
      </c>
      <c r="E97" s="452">
        <f>'Maxs Tool'!M97</f>
        <v>1.5</v>
      </c>
    </row>
    <row r="98" spans="1:5" x14ac:dyDescent="0.25">
      <c r="A98" s="453">
        <f t="shared" si="1"/>
        <v>97</v>
      </c>
      <c r="B98" s="452">
        <f>'Maxs Tool'!J98</f>
        <v>8</v>
      </c>
      <c r="C98" s="452">
        <f>'Maxs Tool'!K98</f>
        <v>-36.549999999999997</v>
      </c>
      <c r="D98" s="452">
        <f>'Maxs Tool'!L98</f>
        <v>9.07</v>
      </c>
      <c r="E98" s="452">
        <f>'Maxs Tool'!M98</f>
        <v>2</v>
      </c>
    </row>
    <row r="99" spans="1:5" x14ac:dyDescent="0.25">
      <c r="A99" s="453">
        <f t="shared" si="1"/>
        <v>98</v>
      </c>
      <c r="B99" s="452">
        <f>'Maxs Tool'!J99</f>
        <v>8</v>
      </c>
      <c r="C99" s="452">
        <f>'Maxs Tool'!K99</f>
        <v>-36.549999999999997</v>
      </c>
      <c r="D99" s="452">
        <f>'Maxs Tool'!L99</f>
        <v>9.9499999999999993</v>
      </c>
      <c r="E99" s="452">
        <f>'Maxs Tool'!M99</f>
        <v>4</v>
      </c>
    </row>
    <row r="100" spans="1:5" x14ac:dyDescent="0.25">
      <c r="A100" s="453">
        <f t="shared" si="1"/>
        <v>99</v>
      </c>
      <c r="B100" s="452">
        <f>'Maxs Tool'!J100</f>
        <v>8</v>
      </c>
      <c r="C100" s="452">
        <f>'Maxs Tool'!K100</f>
        <v>-36.549999999999997</v>
      </c>
      <c r="D100" s="452">
        <f>'Maxs Tool'!L100</f>
        <v>10.3</v>
      </c>
      <c r="E100" s="452">
        <f>'Maxs Tool'!M100</f>
        <v>6</v>
      </c>
    </row>
    <row r="101" spans="1:5" x14ac:dyDescent="0.25">
      <c r="A101" s="453">
        <f t="shared" si="1"/>
        <v>100</v>
      </c>
      <c r="B101" s="452">
        <f>'Maxs Tool'!J101</f>
        <v>8</v>
      </c>
      <c r="C101" s="452">
        <f>'Maxs Tool'!K101</f>
        <v>-36.549999999999997</v>
      </c>
      <c r="D101" s="452">
        <f>'Maxs Tool'!L101</f>
        <v>10.58</v>
      </c>
      <c r="E101" s="452">
        <f>'Maxs Tool'!M101</f>
        <v>8</v>
      </c>
    </row>
    <row r="102" spans="1:5" x14ac:dyDescent="0.25">
      <c r="A102" s="453">
        <f t="shared" si="1"/>
        <v>101</v>
      </c>
      <c r="B102" s="452">
        <f>'Maxs Tool'!J102</f>
        <v>8</v>
      </c>
      <c r="C102" s="452">
        <f>'Maxs Tool'!K102</f>
        <v>-36.549999999999997</v>
      </c>
      <c r="D102" s="452">
        <f>'Maxs Tool'!L102</f>
        <v>10.72</v>
      </c>
      <c r="E102" s="452">
        <f>'Maxs Tool'!M102</f>
        <v>9.6999999999999993</v>
      </c>
    </row>
    <row r="103" spans="1:5" x14ac:dyDescent="0.25">
      <c r="A103" s="453">
        <f t="shared" si="1"/>
        <v>102</v>
      </c>
      <c r="B103" s="452">
        <f>'Maxs Tool'!J103</f>
        <v>8</v>
      </c>
      <c r="C103" s="452">
        <f>'Maxs Tool'!K103</f>
        <v>-36.549999999999997</v>
      </c>
      <c r="D103" s="452">
        <f>'Maxs Tool'!L103</f>
        <v>10.74</v>
      </c>
      <c r="E103" s="452">
        <f>'Maxs Tool'!M103</f>
        <v>10</v>
      </c>
    </row>
    <row r="104" spans="1:5" x14ac:dyDescent="0.25">
      <c r="A104" s="453">
        <f t="shared" si="1"/>
        <v>103</v>
      </c>
      <c r="B104" s="452">
        <f>'Maxs Tool'!J104</f>
        <v>8</v>
      </c>
      <c r="C104" s="452">
        <f>'Maxs Tool'!K104</f>
        <v>-36.549999999999997</v>
      </c>
      <c r="D104" s="452">
        <f>'Maxs Tool'!L104</f>
        <v>10.9</v>
      </c>
      <c r="E104" s="452">
        <f>'Maxs Tool'!M104</f>
        <v>12</v>
      </c>
    </row>
    <row r="105" spans="1:5" x14ac:dyDescent="0.25">
      <c r="A105" s="453">
        <f t="shared" si="1"/>
        <v>104</v>
      </c>
      <c r="B105" s="452">
        <f>'Maxs Tool'!J105</f>
        <v>8</v>
      </c>
      <c r="C105" s="452">
        <f>'Maxs Tool'!K105</f>
        <v>-36.549999999999997</v>
      </c>
      <c r="D105" s="452">
        <f>'Maxs Tool'!L105</f>
        <v>11</v>
      </c>
      <c r="E105" s="452">
        <f>'Maxs Tool'!M105</f>
        <v>13</v>
      </c>
    </row>
    <row r="106" spans="1:5" x14ac:dyDescent="0.25">
      <c r="A106" s="453">
        <f t="shared" si="1"/>
        <v>105</v>
      </c>
      <c r="B106" s="452">
        <f>'Maxs Tool'!J106</f>
        <v>9</v>
      </c>
      <c r="C106" s="452">
        <f>'Maxs Tool'!K106</f>
        <v>-29.239999999999995</v>
      </c>
      <c r="D106" s="452">
        <f>'Maxs Tool'!L106</f>
        <v>0</v>
      </c>
      <c r="E106" s="452">
        <f>'Maxs Tool'!M106</f>
        <v>0</v>
      </c>
    </row>
    <row r="107" spans="1:5" x14ac:dyDescent="0.25">
      <c r="A107" s="453">
        <f t="shared" si="1"/>
        <v>106</v>
      </c>
      <c r="B107" s="452">
        <f>'Maxs Tool'!J107</f>
        <v>9</v>
      </c>
      <c r="C107" s="452">
        <f>'Maxs Tool'!K107</f>
        <v>-29.239999999999995</v>
      </c>
      <c r="D107" s="452">
        <f>'Maxs Tool'!L107</f>
        <v>7.9</v>
      </c>
      <c r="E107" s="452">
        <f>'Maxs Tool'!M107</f>
        <v>0</v>
      </c>
    </row>
    <row r="108" spans="1:5" x14ac:dyDescent="0.25">
      <c r="A108" s="453">
        <f t="shared" si="1"/>
        <v>107</v>
      </c>
      <c r="B108" s="452">
        <f>'Maxs Tool'!J108</f>
        <v>9</v>
      </c>
      <c r="C108" s="452">
        <f>'Maxs Tool'!K108</f>
        <v>-29.239999999999995</v>
      </c>
      <c r="D108" s="452">
        <f>'Maxs Tool'!L108</f>
        <v>8.9</v>
      </c>
      <c r="E108" s="452">
        <f>'Maxs Tool'!M108</f>
        <v>0.5</v>
      </c>
    </row>
    <row r="109" spans="1:5" x14ac:dyDescent="0.25">
      <c r="A109" s="453">
        <f t="shared" si="1"/>
        <v>108</v>
      </c>
      <c r="B109" s="452">
        <f>'Maxs Tool'!J109</f>
        <v>9</v>
      </c>
      <c r="C109" s="452">
        <f>'Maxs Tool'!K109</f>
        <v>-29.239999999999995</v>
      </c>
      <c r="D109" s="452">
        <f>'Maxs Tool'!L109</f>
        <v>9.5</v>
      </c>
      <c r="E109" s="452">
        <f>'Maxs Tool'!M109</f>
        <v>1</v>
      </c>
    </row>
    <row r="110" spans="1:5" x14ac:dyDescent="0.25">
      <c r="A110" s="453">
        <f t="shared" si="1"/>
        <v>109</v>
      </c>
      <c r="B110" s="452">
        <f>'Maxs Tool'!J110</f>
        <v>9</v>
      </c>
      <c r="C110" s="452">
        <f>'Maxs Tool'!K110</f>
        <v>-29.239999999999995</v>
      </c>
      <c r="D110" s="452">
        <f>'Maxs Tool'!L110</f>
        <v>9.94</v>
      </c>
      <c r="E110" s="452">
        <f>'Maxs Tool'!M110</f>
        <v>1.5</v>
      </c>
    </row>
    <row r="111" spans="1:5" x14ac:dyDescent="0.25">
      <c r="A111" s="453">
        <f t="shared" si="1"/>
        <v>110</v>
      </c>
      <c r="B111" s="452">
        <f>'Maxs Tool'!J111</f>
        <v>9</v>
      </c>
      <c r="C111" s="452">
        <f>'Maxs Tool'!K111</f>
        <v>-29.239999999999995</v>
      </c>
      <c r="D111" s="452">
        <f>'Maxs Tool'!L111</f>
        <v>10.199999999999999</v>
      </c>
      <c r="E111" s="452">
        <f>'Maxs Tool'!M111</f>
        <v>2</v>
      </c>
    </row>
    <row r="112" spans="1:5" x14ac:dyDescent="0.25">
      <c r="A112" s="453">
        <f t="shared" si="1"/>
        <v>111</v>
      </c>
      <c r="B112" s="452">
        <f>'Maxs Tool'!J112</f>
        <v>9</v>
      </c>
      <c r="C112" s="452">
        <f>'Maxs Tool'!K112</f>
        <v>-29.239999999999995</v>
      </c>
      <c r="D112" s="452">
        <f>'Maxs Tool'!L112</f>
        <v>10.8</v>
      </c>
      <c r="E112" s="452">
        <f>'Maxs Tool'!M112</f>
        <v>4</v>
      </c>
    </row>
    <row r="113" spans="1:5" x14ac:dyDescent="0.25">
      <c r="A113" s="453">
        <f t="shared" si="1"/>
        <v>112</v>
      </c>
      <c r="B113" s="452">
        <f>'Maxs Tool'!J113</f>
        <v>9</v>
      </c>
      <c r="C113" s="452">
        <f>'Maxs Tool'!K113</f>
        <v>-29.239999999999995</v>
      </c>
      <c r="D113" s="452">
        <f>'Maxs Tool'!L113</f>
        <v>10.9</v>
      </c>
      <c r="E113" s="452">
        <f>'Maxs Tool'!M113</f>
        <v>6</v>
      </c>
    </row>
    <row r="114" spans="1:5" x14ac:dyDescent="0.25">
      <c r="A114" s="453">
        <f t="shared" si="1"/>
        <v>113</v>
      </c>
      <c r="B114" s="452">
        <f>'Maxs Tool'!J114</f>
        <v>9</v>
      </c>
      <c r="C114" s="452">
        <f>'Maxs Tool'!K114</f>
        <v>-29.239999999999995</v>
      </c>
      <c r="D114" s="452">
        <f>'Maxs Tool'!L114</f>
        <v>11</v>
      </c>
      <c r="E114" s="452">
        <f>'Maxs Tool'!M114</f>
        <v>8</v>
      </c>
    </row>
    <row r="115" spans="1:5" x14ac:dyDescent="0.25">
      <c r="A115" s="453">
        <f t="shared" si="1"/>
        <v>114</v>
      </c>
      <c r="B115" s="452">
        <f>'Maxs Tool'!J115</f>
        <v>9</v>
      </c>
      <c r="C115" s="452">
        <f>'Maxs Tool'!K115</f>
        <v>-29.239999999999995</v>
      </c>
      <c r="D115" s="452">
        <f>'Maxs Tool'!L115</f>
        <v>11</v>
      </c>
      <c r="E115" s="452">
        <f>'Maxs Tool'!M115</f>
        <v>9.6999999999999993</v>
      </c>
    </row>
    <row r="116" spans="1:5" x14ac:dyDescent="0.25">
      <c r="A116" s="453">
        <f t="shared" si="1"/>
        <v>115</v>
      </c>
      <c r="B116" s="452">
        <f>'Maxs Tool'!J116</f>
        <v>9</v>
      </c>
      <c r="C116" s="452">
        <f>'Maxs Tool'!K116</f>
        <v>-29.239999999999995</v>
      </c>
      <c r="D116" s="452">
        <f>'Maxs Tool'!L116</f>
        <v>11</v>
      </c>
      <c r="E116" s="452">
        <f>'Maxs Tool'!M116</f>
        <v>10</v>
      </c>
    </row>
    <row r="117" spans="1:5" x14ac:dyDescent="0.25">
      <c r="A117" s="453">
        <f t="shared" si="1"/>
        <v>116</v>
      </c>
      <c r="B117" s="452">
        <f>'Maxs Tool'!J117</f>
        <v>9</v>
      </c>
      <c r="C117" s="452">
        <f>'Maxs Tool'!K117</f>
        <v>-29.239999999999995</v>
      </c>
      <c r="D117" s="452">
        <f>'Maxs Tool'!L117</f>
        <v>11</v>
      </c>
      <c r="E117" s="452">
        <f>'Maxs Tool'!M117</f>
        <v>12</v>
      </c>
    </row>
    <row r="118" spans="1:5" x14ac:dyDescent="0.25">
      <c r="A118" s="453">
        <f t="shared" si="1"/>
        <v>117</v>
      </c>
      <c r="B118" s="452">
        <f>'Maxs Tool'!J118</f>
        <v>9</v>
      </c>
      <c r="C118" s="452">
        <f>'Maxs Tool'!K118</f>
        <v>-29.239999999999995</v>
      </c>
      <c r="D118" s="452">
        <f>'Maxs Tool'!L118</f>
        <v>11</v>
      </c>
      <c r="E118" s="452">
        <f>'Maxs Tool'!M118</f>
        <v>13</v>
      </c>
    </row>
    <row r="119" spans="1:5" x14ac:dyDescent="0.25">
      <c r="A119" s="453">
        <f t="shared" si="1"/>
        <v>118</v>
      </c>
      <c r="B119" s="452">
        <f>'Maxs Tool'!J119</f>
        <v>10</v>
      </c>
      <c r="C119" s="452">
        <f>'Maxs Tool'!K119</f>
        <v>-21.93</v>
      </c>
      <c r="D119" s="452">
        <f>'Maxs Tool'!L119</f>
        <v>0</v>
      </c>
      <c r="E119" s="452">
        <f>'Maxs Tool'!M119</f>
        <v>0</v>
      </c>
    </row>
    <row r="120" spans="1:5" x14ac:dyDescent="0.25">
      <c r="A120" s="453">
        <f t="shared" si="1"/>
        <v>119</v>
      </c>
      <c r="B120" s="452">
        <f>'Maxs Tool'!J120</f>
        <v>10</v>
      </c>
      <c r="C120" s="452">
        <f>'Maxs Tool'!K120</f>
        <v>-21.93</v>
      </c>
      <c r="D120" s="452">
        <f>'Maxs Tool'!L120</f>
        <v>9</v>
      </c>
      <c r="E120" s="452">
        <f>'Maxs Tool'!M120</f>
        <v>0</v>
      </c>
    </row>
    <row r="121" spans="1:5" x14ac:dyDescent="0.25">
      <c r="A121" s="453">
        <f t="shared" si="1"/>
        <v>120</v>
      </c>
      <c r="B121" s="452">
        <f>'Maxs Tool'!J121</f>
        <v>10</v>
      </c>
      <c r="C121" s="452">
        <f>'Maxs Tool'!K121</f>
        <v>-21.93</v>
      </c>
      <c r="D121" s="452">
        <f>'Maxs Tool'!L121</f>
        <v>9.83</v>
      </c>
      <c r="E121" s="452">
        <f>'Maxs Tool'!M121</f>
        <v>0.5</v>
      </c>
    </row>
    <row r="122" spans="1:5" x14ac:dyDescent="0.25">
      <c r="A122" s="453">
        <f t="shared" si="1"/>
        <v>121</v>
      </c>
      <c r="B122" s="452">
        <f>'Maxs Tool'!J122</f>
        <v>10</v>
      </c>
      <c r="C122" s="452">
        <f>'Maxs Tool'!K122</f>
        <v>-21.93</v>
      </c>
      <c r="D122" s="452">
        <f>'Maxs Tool'!L122</f>
        <v>10.3</v>
      </c>
      <c r="E122" s="452">
        <f>'Maxs Tool'!M122</f>
        <v>1</v>
      </c>
    </row>
    <row r="123" spans="1:5" x14ac:dyDescent="0.25">
      <c r="A123" s="453">
        <f t="shared" si="1"/>
        <v>122</v>
      </c>
      <c r="B123" s="452">
        <f>'Maxs Tool'!J123</f>
        <v>10</v>
      </c>
      <c r="C123" s="452">
        <f>'Maxs Tool'!K123</f>
        <v>-21.93</v>
      </c>
      <c r="D123" s="452">
        <f>'Maxs Tool'!L123</f>
        <v>10.6</v>
      </c>
      <c r="E123" s="452">
        <f>'Maxs Tool'!M123</f>
        <v>1.5</v>
      </c>
    </row>
    <row r="124" spans="1:5" x14ac:dyDescent="0.25">
      <c r="A124" s="453">
        <f t="shared" si="1"/>
        <v>123</v>
      </c>
      <c r="B124" s="452">
        <f>'Maxs Tool'!J124</f>
        <v>10</v>
      </c>
      <c r="C124" s="452">
        <f>'Maxs Tool'!K124</f>
        <v>-21.93</v>
      </c>
      <c r="D124" s="452">
        <f>'Maxs Tool'!L124</f>
        <v>10.8</v>
      </c>
      <c r="E124" s="452">
        <f>'Maxs Tool'!M124</f>
        <v>2</v>
      </c>
    </row>
    <row r="125" spans="1:5" x14ac:dyDescent="0.25">
      <c r="A125" s="453">
        <f t="shared" si="1"/>
        <v>124</v>
      </c>
      <c r="B125" s="452">
        <f>'Maxs Tool'!J125</f>
        <v>10</v>
      </c>
      <c r="C125" s="452">
        <f>'Maxs Tool'!K125</f>
        <v>-21.93</v>
      </c>
      <c r="D125" s="452">
        <f>'Maxs Tool'!L125</f>
        <v>11</v>
      </c>
      <c r="E125" s="452">
        <f>'Maxs Tool'!M125</f>
        <v>4</v>
      </c>
    </row>
    <row r="126" spans="1:5" x14ac:dyDescent="0.25">
      <c r="A126" s="453">
        <f t="shared" si="1"/>
        <v>125</v>
      </c>
      <c r="B126" s="452">
        <f>'Maxs Tool'!J126</f>
        <v>10</v>
      </c>
      <c r="C126" s="452">
        <f>'Maxs Tool'!K126</f>
        <v>-21.93</v>
      </c>
      <c r="D126" s="452">
        <f>'Maxs Tool'!L126</f>
        <v>11</v>
      </c>
      <c r="E126" s="452">
        <f>'Maxs Tool'!M126</f>
        <v>6</v>
      </c>
    </row>
    <row r="127" spans="1:5" x14ac:dyDescent="0.25">
      <c r="A127" s="453">
        <f t="shared" si="1"/>
        <v>126</v>
      </c>
      <c r="B127" s="452">
        <f>'Maxs Tool'!J127</f>
        <v>10</v>
      </c>
      <c r="C127" s="452">
        <f>'Maxs Tool'!K127</f>
        <v>-21.93</v>
      </c>
      <c r="D127" s="452">
        <f>'Maxs Tool'!L127</f>
        <v>11</v>
      </c>
      <c r="E127" s="452">
        <f>'Maxs Tool'!M127</f>
        <v>8</v>
      </c>
    </row>
    <row r="128" spans="1:5" x14ac:dyDescent="0.25">
      <c r="A128" s="453">
        <f t="shared" si="1"/>
        <v>127</v>
      </c>
      <c r="B128" s="452">
        <f>'Maxs Tool'!J128</f>
        <v>10</v>
      </c>
      <c r="C128" s="452">
        <f>'Maxs Tool'!K128</f>
        <v>-21.93</v>
      </c>
      <c r="D128" s="452">
        <f>'Maxs Tool'!L128</f>
        <v>11</v>
      </c>
      <c r="E128" s="452">
        <f>'Maxs Tool'!M128</f>
        <v>9.6999999999999993</v>
      </c>
    </row>
    <row r="129" spans="1:5" x14ac:dyDescent="0.25">
      <c r="A129" s="453">
        <f t="shared" si="1"/>
        <v>128</v>
      </c>
      <c r="B129" s="452">
        <f>'Maxs Tool'!J129</f>
        <v>10</v>
      </c>
      <c r="C129" s="452">
        <f>'Maxs Tool'!K129</f>
        <v>-21.93</v>
      </c>
      <c r="D129" s="452">
        <f>'Maxs Tool'!L129</f>
        <v>11</v>
      </c>
      <c r="E129" s="452">
        <f>'Maxs Tool'!M129</f>
        <v>10</v>
      </c>
    </row>
    <row r="130" spans="1:5" x14ac:dyDescent="0.25">
      <c r="A130" s="453">
        <f t="shared" si="1"/>
        <v>129</v>
      </c>
      <c r="B130" s="452">
        <f>'Maxs Tool'!J130</f>
        <v>10</v>
      </c>
      <c r="C130" s="452">
        <f>'Maxs Tool'!K130</f>
        <v>-21.93</v>
      </c>
      <c r="D130" s="452">
        <f>'Maxs Tool'!L130</f>
        <v>11</v>
      </c>
      <c r="E130" s="452">
        <f>'Maxs Tool'!M130</f>
        <v>12</v>
      </c>
    </row>
    <row r="131" spans="1:5" x14ac:dyDescent="0.25">
      <c r="A131" s="453">
        <f t="shared" ref="A131:A194" si="2">IF(ISNUMBER(D131),ROW()-1,"")</f>
        <v>130</v>
      </c>
      <c r="B131" s="452">
        <f>'Maxs Tool'!J131</f>
        <v>10</v>
      </c>
      <c r="C131" s="452">
        <f>'Maxs Tool'!K131</f>
        <v>-21.93</v>
      </c>
      <c r="D131" s="452">
        <f>'Maxs Tool'!L131</f>
        <v>11</v>
      </c>
      <c r="E131" s="452">
        <f>'Maxs Tool'!M131</f>
        <v>13</v>
      </c>
    </row>
    <row r="132" spans="1:5" x14ac:dyDescent="0.25">
      <c r="A132" s="453">
        <f t="shared" si="2"/>
        <v>131</v>
      </c>
      <c r="B132" s="452">
        <f>'Maxs Tool'!J132</f>
        <v>11</v>
      </c>
      <c r="C132" s="452">
        <f>'Maxs Tool'!K132</f>
        <v>-14.619999999999997</v>
      </c>
      <c r="D132" s="452">
        <f>'Maxs Tool'!L132</f>
        <v>0</v>
      </c>
      <c r="E132" s="452">
        <f>'Maxs Tool'!M132</f>
        <v>0</v>
      </c>
    </row>
    <row r="133" spans="1:5" x14ac:dyDescent="0.25">
      <c r="A133" s="453">
        <f t="shared" si="2"/>
        <v>132</v>
      </c>
      <c r="B133" s="452">
        <f>'Maxs Tool'!J133</f>
        <v>11</v>
      </c>
      <c r="C133" s="452">
        <f>'Maxs Tool'!K133</f>
        <v>-14.619999999999997</v>
      </c>
      <c r="D133" s="452">
        <f>'Maxs Tool'!L133</f>
        <v>9.5</v>
      </c>
      <c r="E133" s="452">
        <f>'Maxs Tool'!M133</f>
        <v>0</v>
      </c>
    </row>
    <row r="134" spans="1:5" x14ac:dyDescent="0.25">
      <c r="A134" s="453">
        <f t="shared" si="2"/>
        <v>133</v>
      </c>
      <c r="B134" s="452">
        <f>'Maxs Tool'!J134</f>
        <v>11</v>
      </c>
      <c r="C134" s="452">
        <f>'Maxs Tool'!K134</f>
        <v>-14.619999999999997</v>
      </c>
      <c r="D134" s="452">
        <f>'Maxs Tool'!L134</f>
        <v>10.33</v>
      </c>
      <c r="E134" s="452">
        <f>'Maxs Tool'!M134</f>
        <v>0.5</v>
      </c>
    </row>
    <row r="135" spans="1:5" x14ac:dyDescent="0.25">
      <c r="A135" s="453">
        <f t="shared" si="2"/>
        <v>134</v>
      </c>
      <c r="B135" s="452">
        <f>'Maxs Tool'!J135</f>
        <v>11</v>
      </c>
      <c r="C135" s="452">
        <f>'Maxs Tool'!K135</f>
        <v>-14.619999999999997</v>
      </c>
      <c r="D135" s="452">
        <f>'Maxs Tool'!L135</f>
        <v>10.67</v>
      </c>
      <c r="E135" s="452">
        <f>'Maxs Tool'!M135</f>
        <v>1</v>
      </c>
    </row>
    <row r="136" spans="1:5" x14ac:dyDescent="0.25">
      <c r="A136" s="453">
        <f t="shared" si="2"/>
        <v>135</v>
      </c>
      <c r="B136" s="452">
        <f>'Maxs Tool'!J136</f>
        <v>11</v>
      </c>
      <c r="C136" s="452">
        <f>'Maxs Tool'!K136</f>
        <v>-14.619999999999997</v>
      </c>
      <c r="D136" s="452">
        <f>'Maxs Tool'!L136</f>
        <v>10.9</v>
      </c>
      <c r="E136" s="452">
        <f>'Maxs Tool'!M136</f>
        <v>1.5</v>
      </c>
    </row>
    <row r="137" spans="1:5" x14ac:dyDescent="0.25">
      <c r="A137" s="453">
        <f t="shared" si="2"/>
        <v>136</v>
      </c>
      <c r="B137" s="452">
        <f>'Maxs Tool'!J137</f>
        <v>11</v>
      </c>
      <c r="C137" s="452">
        <f>'Maxs Tool'!K137</f>
        <v>-14.619999999999997</v>
      </c>
      <c r="D137" s="452">
        <f>'Maxs Tool'!L137</f>
        <v>11</v>
      </c>
      <c r="E137" s="452">
        <f>'Maxs Tool'!M137</f>
        <v>2</v>
      </c>
    </row>
    <row r="138" spans="1:5" x14ac:dyDescent="0.25">
      <c r="A138" s="453">
        <f t="shared" si="2"/>
        <v>137</v>
      </c>
      <c r="B138" s="452">
        <f>'Maxs Tool'!J138</f>
        <v>11</v>
      </c>
      <c r="C138" s="452">
        <f>'Maxs Tool'!K138</f>
        <v>-14.619999999999997</v>
      </c>
      <c r="D138" s="452">
        <f>'Maxs Tool'!L138</f>
        <v>11</v>
      </c>
      <c r="E138" s="452">
        <f>'Maxs Tool'!M138</f>
        <v>4</v>
      </c>
    </row>
    <row r="139" spans="1:5" x14ac:dyDescent="0.25">
      <c r="A139" s="453">
        <f t="shared" si="2"/>
        <v>138</v>
      </c>
      <c r="B139" s="452">
        <f>'Maxs Tool'!J139</f>
        <v>11</v>
      </c>
      <c r="C139" s="452">
        <f>'Maxs Tool'!K139</f>
        <v>-14.619999999999997</v>
      </c>
      <c r="D139" s="452">
        <f>'Maxs Tool'!L139</f>
        <v>11</v>
      </c>
      <c r="E139" s="452">
        <f>'Maxs Tool'!M139</f>
        <v>6</v>
      </c>
    </row>
    <row r="140" spans="1:5" x14ac:dyDescent="0.25">
      <c r="A140" s="453">
        <f t="shared" si="2"/>
        <v>139</v>
      </c>
      <c r="B140" s="452">
        <f>'Maxs Tool'!J140</f>
        <v>11</v>
      </c>
      <c r="C140" s="452">
        <f>'Maxs Tool'!K140</f>
        <v>-14.619999999999997</v>
      </c>
      <c r="D140" s="452">
        <f>'Maxs Tool'!L140</f>
        <v>11</v>
      </c>
      <c r="E140" s="452">
        <f>'Maxs Tool'!M140</f>
        <v>8</v>
      </c>
    </row>
    <row r="141" spans="1:5" x14ac:dyDescent="0.25">
      <c r="A141" s="453">
        <f t="shared" si="2"/>
        <v>140</v>
      </c>
      <c r="B141" s="452">
        <f>'Maxs Tool'!J141</f>
        <v>11</v>
      </c>
      <c r="C141" s="452">
        <f>'Maxs Tool'!K141</f>
        <v>-14.619999999999997</v>
      </c>
      <c r="D141" s="452">
        <f>'Maxs Tool'!L141</f>
        <v>11</v>
      </c>
      <c r="E141" s="452">
        <f>'Maxs Tool'!M141</f>
        <v>9.6999999999999993</v>
      </c>
    </row>
    <row r="142" spans="1:5" x14ac:dyDescent="0.25">
      <c r="A142" s="453">
        <f t="shared" si="2"/>
        <v>141</v>
      </c>
      <c r="B142" s="452">
        <f>'Maxs Tool'!J142</f>
        <v>11</v>
      </c>
      <c r="C142" s="452">
        <f>'Maxs Tool'!K142</f>
        <v>-14.619999999999997</v>
      </c>
      <c r="D142" s="452">
        <f>'Maxs Tool'!L142</f>
        <v>11</v>
      </c>
      <c r="E142" s="452">
        <f>'Maxs Tool'!M142</f>
        <v>10</v>
      </c>
    </row>
    <row r="143" spans="1:5" x14ac:dyDescent="0.25">
      <c r="A143" s="453">
        <f t="shared" si="2"/>
        <v>142</v>
      </c>
      <c r="B143" s="452">
        <f>'Maxs Tool'!J143</f>
        <v>11</v>
      </c>
      <c r="C143" s="452">
        <f>'Maxs Tool'!K143</f>
        <v>-14.619999999999997</v>
      </c>
      <c r="D143" s="452">
        <f>'Maxs Tool'!L143</f>
        <v>11</v>
      </c>
      <c r="E143" s="452">
        <f>'Maxs Tool'!M143</f>
        <v>12</v>
      </c>
    </row>
    <row r="144" spans="1:5" x14ac:dyDescent="0.25">
      <c r="A144" s="453">
        <f t="shared" si="2"/>
        <v>143</v>
      </c>
      <c r="B144" s="452">
        <f>'Maxs Tool'!J144</f>
        <v>11</v>
      </c>
      <c r="C144" s="452">
        <f>'Maxs Tool'!K144</f>
        <v>-14.619999999999997</v>
      </c>
      <c r="D144" s="452">
        <f>'Maxs Tool'!L144</f>
        <v>11</v>
      </c>
      <c r="E144" s="452">
        <f>'Maxs Tool'!M144</f>
        <v>13</v>
      </c>
    </row>
    <row r="145" spans="1:5" x14ac:dyDescent="0.25">
      <c r="A145" s="453">
        <f t="shared" si="2"/>
        <v>144</v>
      </c>
      <c r="B145" s="452">
        <f>'Maxs Tool'!J145</f>
        <v>12</v>
      </c>
      <c r="C145" s="452">
        <f>'Maxs Tool'!K145</f>
        <v>-7.3100000000000023</v>
      </c>
      <c r="D145" s="452">
        <f>'Maxs Tool'!L145</f>
        <v>0</v>
      </c>
      <c r="E145" s="452">
        <f>'Maxs Tool'!M145</f>
        <v>0</v>
      </c>
    </row>
    <row r="146" spans="1:5" x14ac:dyDescent="0.25">
      <c r="A146" s="453">
        <f t="shared" si="2"/>
        <v>145</v>
      </c>
      <c r="B146" s="452">
        <f>'Maxs Tool'!J146</f>
        <v>12</v>
      </c>
      <c r="C146" s="452">
        <f>'Maxs Tool'!K146</f>
        <v>-7.3100000000000023</v>
      </c>
      <c r="D146" s="452">
        <f>'Maxs Tool'!L146</f>
        <v>9.6999999999999993</v>
      </c>
      <c r="E146" s="452">
        <f>'Maxs Tool'!M146</f>
        <v>0</v>
      </c>
    </row>
    <row r="147" spans="1:5" x14ac:dyDescent="0.25">
      <c r="A147" s="453">
        <f t="shared" si="2"/>
        <v>146</v>
      </c>
      <c r="B147" s="452">
        <f>'Maxs Tool'!J147</f>
        <v>12</v>
      </c>
      <c r="C147" s="452">
        <f>'Maxs Tool'!K147</f>
        <v>-7.3100000000000023</v>
      </c>
      <c r="D147" s="452">
        <f>'Maxs Tool'!L147</f>
        <v>10.45</v>
      </c>
      <c r="E147" s="452">
        <f>'Maxs Tool'!M147</f>
        <v>0.5</v>
      </c>
    </row>
    <row r="148" spans="1:5" x14ac:dyDescent="0.25">
      <c r="A148" s="453">
        <f t="shared" si="2"/>
        <v>147</v>
      </c>
      <c r="B148" s="452">
        <f>'Maxs Tool'!J148</f>
        <v>12</v>
      </c>
      <c r="C148" s="452">
        <f>'Maxs Tool'!K148</f>
        <v>-7.3100000000000023</v>
      </c>
      <c r="D148" s="452">
        <f>'Maxs Tool'!L148</f>
        <v>10.75</v>
      </c>
      <c r="E148" s="452">
        <f>'Maxs Tool'!M148</f>
        <v>1</v>
      </c>
    </row>
    <row r="149" spans="1:5" x14ac:dyDescent="0.25">
      <c r="A149" s="453">
        <f t="shared" si="2"/>
        <v>148</v>
      </c>
      <c r="B149" s="452">
        <f>'Maxs Tool'!J149</f>
        <v>12</v>
      </c>
      <c r="C149" s="452">
        <f>'Maxs Tool'!K149</f>
        <v>-7.3100000000000023</v>
      </c>
      <c r="D149" s="452">
        <f>'Maxs Tool'!L149</f>
        <v>10.93</v>
      </c>
      <c r="E149" s="452">
        <f>'Maxs Tool'!M149</f>
        <v>1.5</v>
      </c>
    </row>
    <row r="150" spans="1:5" x14ac:dyDescent="0.25">
      <c r="A150" s="453">
        <f t="shared" si="2"/>
        <v>149</v>
      </c>
      <c r="B150" s="452">
        <f>'Maxs Tool'!J150</f>
        <v>12</v>
      </c>
      <c r="C150" s="452">
        <f>'Maxs Tool'!K150</f>
        <v>-7.3100000000000023</v>
      </c>
      <c r="D150" s="452">
        <f>'Maxs Tool'!L150</f>
        <v>11</v>
      </c>
      <c r="E150" s="452">
        <f>'Maxs Tool'!M150</f>
        <v>2</v>
      </c>
    </row>
    <row r="151" spans="1:5" x14ac:dyDescent="0.25">
      <c r="A151" s="453">
        <f t="shared" si="2"/>
        <v>150</v>
      </c>
      <c r="B151" s="452">
        <f>'Maxs Tool'!J151</f>
        <v>12</v>
      </c>
      <c r="C151" s="452">
        <f>'Maxs Tool'!K151</f>
        <v>-7.3100000000000023</v>
      </c>
      <c r="D151" s="452">
        <f>'Maxs Tool'!L151</f>
        <v>11</v>
      </c>
      <c r="E151" s="452">
        <f>'Maxs Tool'!M151</f>
        <v>4</v>
      </c>
    </row>
    <row r="152" spans="1:5" x14ac:dyDescent="0.25">
      <c r="A152" s="453">
        <f t="shared" si="2"/>
        <v>151</v>
      </c>
      <c r="B152" s="452">
        <f>'Maxs Tool'!J152</f>
        <v>12</v>
      </c>
      <c r="C152" s="452">
        <f>'Maxs Tool'!K152</f>
        <v>-7.3100000000000023</v>
      </c>
      <c r="D152" s="452">
        <f>'Maxs Tool'!L152</f>
        <v>11</v>
      </c>
      <c r="E152" s="452">
        <f>'Maxs Tool'!M152</f>
        <v>6</v>
      </c>
    </row>
    <row r="153" spans="1:5" x14ac:dyDescent="0.25">
      <c r="A153" s="453">
        <f t="shared" si="2"/>
        <v>152</v>
      </c>
      <c r="B153" s="452">
        <f>'Maxs Tool'!J153</f>
        <v>12</v>
      </c>
      <c r="C153" s="452">
        <f>'Maxs Tool'!K153</f>
        <v>-7.3100000000000023</v>
      </c>
      <c r="D153" s="452">
        <f>'Maxs Tool'!L153</f>
        <v>11</v>
      </c>
      <c r="E153" s="452">
        <f>'Maxs Tool'!M153</f>
        <v>8</v>
      </c>
    </row>
    <row r="154" spans="1:5" x14ac:dyDescent="0.25">
      <c r="A154" s="453">
        <f t="shared" si="2"/>
        <v>153</v>
      </c>
      <c r="B154" s="452">
        <f>'Maxs Tool'!J154</f>
        <v>12</v>
      </c>
      <c r="C154" s="452">
        <f>'Maxs Tool'!K154</f>
        <v>-7.3100000000000023</v>
      </c>
      <c r="D154" s="452">
        <f>'Maxs Tool'!L154</f>
        <v>11</v>
      </c>
      <c r="E154" s="452">
        <f>'Maxs Tool'!M154</f>
        <v>9.6999999999999993</v>
      </c>
    </row>
    <row r="155" spans="1:5" x14ac:dyDescent="0.25">
      <c r="A155" s="453">
        <f t="shared" si="2"/>
        <v>154</v>
      </c>
      <c r="B155" s="452">
        <f>'Maxs Tool'!J155</f>
        <v>12</v>
      </c>
      <c r="C155" s="452">
        <f>'Maxs Tool'!K155</f>
        <v>-7.3100000000000023</v>
      </c>
      <c r="D155" s="452">
        <f>'Maxs Tool'!L155</f>
        <v>11</v>
      </c>
      <c r="E155" s="452">
        <f>'Maxs Tool'!M155</f>
        <v>10</v>
      </c>
    </row>
    <row r="156" spans="1:5" x14ac:dyDescent="0.25">
      <c r="A156" s="453">
        <f t="shared" si="2"/>
        <v>155</v>
      </c>
      <c r="B156" s="452">
        <f>'Maxs Tool'!J156</f>
        <v>12</v>
      </c>
      <c r="C156" s="452">
        <f>'Maxs Tool'!K156</f>
        <v>-7.3100000000000023</v>
      </c>
      <c r="D156" s="452">
        <f>'Maxs Tool'!L156</f>
        <v>11</v>
      </c>
      <c r="E156" s="452">
        <f>'Maxs Tool'!M156</f>
        <v>12</v>
      </c>
    </row>
    <row r="157" spans="1:5" x14ac:dyDescent="0.25">
      <c r="A157" s="453">
        <f t="shared" si="2"/>
        <v>156</v>
      </c>
      <c r="B157" s="452">
        <f>'Maxs Tool'!J157</f>
        <v>12</v>
      </c>
      <c r="C157" s="452">
        <f>'Maxs Tool'!K157</f>
        <v>-7.3100000000000023</v>
      </c>
      <c r="D157" s="452">
        <f>'Maxs Tool'!L157</f>
        <v>11</v>
      </c>
      <c r="E157" s="452">
        <f>'Maxs Tool'!M157</f>
        <v>13</v>
      </c>
    </row>
    <row r="158" spans="1:5" x14ac:dyDescent="0.25">
      <c r="A158" s="453">
        <f t="shared" si="2"/>
        <v>157</v>
      </c>
      <c r="B158" s="452">
        <f>'Maxs Tool'!J158</f>
        <v>13</v>
      </c>
      <c r="C158" s="452">
        <f>'Maxs Tool'!K158</f>
        <v>0</v>
      </c>
      <c r="D158" s="452">
        <f>'Maxs Tool'!L158</f>
        <v>0</v>
      </c>
      <c r="E158" s="452">
        <f>'Maxs Tool'!M158</f>
        <v>0</v>
      </c>
    </row>
    <row r="159" spans="1:5" x14ac:dyDescent="0.25">
      <c r="A159" s="453">
        <f t="shared" si="2"/>
        <v>158</v>
      </c>
      <c r="B159" s="452">
        <f>'Maxs Tool'!J159</f>
        <v>13</v>
      </c>
      <c r="C159" s="452">
        <f>'Maxs Tool'!K159</f>
        <v>0</v>
      </c>
      <c r="D159" s="452">
        <f>'Maxs Tool'!L159</f>
        <v>9.6999999999999993</v>
      </c>
      <c r="E159" s="452">
        <f>'Maxs Tool'!M159</f>
        <v>0</v>
      </c>
    </row>
    <row r="160" spans="1:5" x14ac:dyDescent="0.25">
      <c r="A160" s="453">
        <f t="shared" si="2"/>
        <v>159</v>
      </c>
      <c r="B160" s="452">
        <f>'Maxs Tool'!J160</f>
        <v>13</v>
      </c>
      <c r="C160" s="452">
        <f>'Maxs Tool'!K160</f>
        <v>0</v>
      </c>
      <c r="D160" s="452">
        <f>'Maxs Tool'!L160</f>
        <v>10.45</v>
      </c>
      <c r="E160" s="452">
        <f>'Maxs Tool'!M160</f>
        <v>0.5</v>
      </c>
    </row>
    <row r="161" spans="1:5" x14ac:dyDescent="0.25">
      <c r="A161" s="453">
        <f t="shared" si="2"/>
        <v>160</v>
      </c>
      <c r="B161" s="452">
        <f>'Maxs Tool'!J161</f>
        <v>13</v>
      </c>
      <c r="C161" s="452">
        <f>'Maxs Tool'!K161</f>
        <v>0</v>
      </c>
      <c r="D161" s="452">
        <f>'Maxs Tool'!L161</f>
        <v>10.75</v>
      </c>
      <c r="E161" s="452">
        <f>'Maxs Tool'!M161</f>
        <v>1</v>
      </c>
    </row>
    <row r="162" spans="1:5" x14ac:dyDescent="0.25">
      <c r="A162" s="453">
        <f t="shared" si="2"/>
        <v>161</v>
      </c>
      <c r="B162" s="452">
        <f>'Maxs Tool'!J162</f>
        <v>13</v>
      </c>
      <c r="C162" s="452">
        <f>'Maxs Tool'!K162</f>
        <v>0</v>
      </c>
      <c r="D162" s="452">
        <f>'Maxs Tool'!L162</f>
        <v>10.93</v>
      </c>
      <c r="E162" s="452">
        <f>'Maxs Tool'!M162</f>
        <v>1.5</v>
      </c>
    </row>
    <row r="163" spans="1:5" x14ac:dyDescent="0.25">
      <c r="A163" s="453">
        <f t="shared" si="2"/>
        <v>162</v>
      </c>
      <c r="B163" s="452">
        <f>'Maxs Tool'!J163</f>
        <v>13</v>
      </c>
      <c r="C163" s="452">
        <f>'Maxs Tool'!K163</f>
        <v>0</v>
      </c>
      <c r="D163" s="452">
        <f>'Maxs Tool'!L163</f>
        <v>11</v>
      </c>
      <c r="E163" s="452">
        <f>'Maxs Tool'!M163</f>
        <v>2</v>
      </c>
    </row>
    <row r="164" spans="1:5" x14ac:dyDescent="0.25">
      <c r="A164" s="453">
        <f t="shared" si="2"/>
        <v>163</v>
      </c>
      <c r="B164" s="452">
        <f>'Maxs Tool'!J164</f>
        <v>13</v>
      </c>
      <c r="C164" s="452">
        <f>'Maxs Tool'!K164</f>
        <v>0</v>
      </c>
      <c r="D164" s="452">
        <f>'Maxs Tool'!L164</f>
        <v>11</v>
      </c>
      <c r="E164" s="452">
        <f>'Maxs Tool'!M164</f>
        <v>4</v>
      </c>
    </row>
    <row r="165" spans="1:5" x14ac:dyDescent="0.25">
      <c r="A165" s="453">
        <f t="shared" si="2"/>
        <v>164</v>
      </c>
      <c r="B165" s="452">
        <f>'Maxs Tool'!J165</f>
        <v>13</v>
      </c>
      <c r="C165" s="452">
        <f>'Maxs Tool'!K165</f>
        <v>0</v>
      </c>
      <c r="D165" s="452">
        <f>'Maxs Tool'!L165</f>
        <v>11</v>
      </c>
      <c r="E165" s="452">
        <f>'Maxs Tool'!M165</f>
        <v>6</v>
      </c>
    </row>
    <row r="166" spans="1:5" x14ac:dyDescent="0.25">
      <c r="A166" s="453">
        <f t="shared" si="2"/>
        <v>165</v>
      </c>
      <c r="B166" s="452">
        <f>'Maxs Tool'!J166</f>
        <v>13</v>
      </c>
      <c r="C166" s="452">
        <f>'Maxs Tool'!K166</f>
        <v>0</v>
      </c>
      <c r="D166" s="452">
        <f>'Maxs Tool'!L166</f>
        <v>11</v>
      </c>
      <c r="E166" s="452">
        <f>'Maxs Tool'!M166</f>
        <v>8</v>
      </c>
    </row>
    <row r="167" spans="1:5" x14ac:dyDescent="0.25">
      <c r="A167" s="453">
        <f t="shared" si="2"/>
        <v>166</v>
      </c>
      <c r="B167" s="452">
        <f>'Maxs Tool'!J167</f>
        <v>13</v>
      </c>
      <c r="C167" s="452">
        <f>'Maxs Tool'!K167</f>
        <v>0</v>
      </c>
      <c r="D167" s="452">
        <f>'Maxs Tool'!L167</f>
        <v>11</v>
      </c>
      <c r="E167" s="452">
        <f>'Maxs Tool'!M167</f>
        <v>9.6999999999999993</v>
      </c>
    </row>
    <row r="168" spans="1:5" x14ac:dyDescent="0.25">
      <c r="A168" s="453">
        <f t="shared" si="2"/>
        <v>167</v>
      </c>
      <c r="B168" s="452">
        <f>'Maxs Tool'!J168</f>
        <v>13</v>
      </c>
      <c r="C168" s="452">
        <f>'Maxs Tool'!K168</f>
        <v>0</v>
      </c>
      <c r="D168" s="452">
        <f>'Maxs Tool'!L168</f>
        <v>11</v>
      </c>
      <c r="E168" s="452">
        <f>'Maxs Tool'!M168</f>
        <v>10</v>
      </c>
    </row>
    <row r="169" spans="1:5" x14ac:dyDescent="0.25">
      <c r="A169" s="453">
        <f t="shared" si="2"/>
        <v>168</v>
      </c>
      <c r="B169" s="452">
        <f>'Maxs Tool'!J169</f>
        <v>13</v>
      </c>
      <c r="C169" s="452">
        <f>'Maxs Tool'!K169</f>
        <v>0</v>
      </c>
      <c r="D169" s="452">
        <f>'Maxs Tool'!L169</f>
        <v>11</v>
      </c>
      <c r="E169" s="452">
        <f>'Maxs Tool'!M169</f>
        <v>12</v>
      </c>
    </row>
    <row r="170" spans="1:5" x14ac:dyDescent="0.25">
      <c r="A170" s="453">
        <f t="shared" si="2"/>
        <v>169</v>
      </c>
      <c r="B170" s="452">
        <f>'Maxs Tool'!J170</f>
        <v>13</v>
      </c>
      <c r="C170" s="452">
        <f>'Maxs Tool'!K170</f>
        <v>0</v>
      </c>
      <c r="D170" s="452">
        <f>'Maxs Tool'!L170</f>
        <v>11</v>
      </c>
      <c r="E170" s="452">
        <f>'Maxs Tool'!M170</f>
        <v>13</v>
      </c>
    </row>
    <row r="171" spans="1:5" x14ac:dyDescent="0.25">
      <c r="A171" s="453">
        <f t="shared" si="2"/>
        <v>170</v>
      </c>
      <c r="B171" s="452">
        <f>'Maxs Tool'!J171</f>
        <v>14</v>
      </c>
      <c r="C171" s="452">
        <f>'Maxs Tool'!K171</f>
        <v>7.3100000000000023</v>
      </c>
      <c r="D171" s="452">
        <f>'Maxs Tool'!L171</f>
        <v>0</v>
      </c>
      <c r="E171" s="452">
        <f>'Maxs Tool'!M171</f>
        <v>0</v>
      </c>
    </row>
    <row r="172" spans="1:5" x14ac:dyDescent="0.25">
      <c r="A172" s="453">
        <f t="shared" si="2"/>
        <v>171</v>
      </c>
      <c r="B172" s="452">
        <f>'Maxs Tool'!J172</f>
        <v>14</v>
      </c>
      <c r="C172" s="452">
        <f>'Maxs Tool'!K172</f>
        <v>7.3100000000000023</v>
      </c>
      <c r="D172" s="452">
        <f>'Maxs Tool'!L172</f>
        <v>9.6999999999999993</v>
      </c>
      <c r="E172" s="452">
        <f>'Maxs Tool'!M172</f>
        <v>0</v>
      </c>
    </row>
    <row r="173" spans="1:5" x14ac:dyDescent="0.25">
      <c r="A173" s="453">
        <f t="shared" si="2"/>
        <v>172</v>
      </c>
      <c r="B173" s="452">
        <f>'Maxs Tool'!J173</f>
        <v>14</v>
      </c>
      <c r="C173" s="452">
        <f>'Maxs Tool'!K173</f>
        <v>7.3100000000000023</v>
      </c>
      <c r="D173" s="452">
        <f>'Maxs Tool'!L173</f>
        <v>10.45</v>
      </c>
      <c r="E173" s="452">
        <f>'Maxs Tool'!M173</f>
        <v>0.5</v>
      </c>
    </row>
    <row r="174" spans="1:5" x14ac:dyDescent="0.25">
      <c r="A174" s="453">
        <f t="shared" si="2"/>
        <v>173</v>
      </c>
      <c r="B174" s="452">
        <f>'Maxs Tool'!J174</f>
        <v>14</v>
      </c>
      <c r="C174" s="452">
        <f>'Maxs Tool'!K174</f>
        <v>7.3100000000000023</v>
      </c>
      <c r="D174" s="452">
        <f>'Maxs Tool'!L174</f>
        <v>10.75</v>
      </c>
      <c r="E174" s="452">
        <f>'Maxs Tool'!M174</f>
        <v>1</v>
      </c>
    </row>
    <row r="175" spans="1:5" x14ac:dyDescent="0.25">
      <c r="A175" s="453">
        <f t="shared" si="2"/>
        <v>174</v>
      </c>
      <c r="B175" s="452">
        <f>'Maxs Tool'!J175</f>
        <v>14</v>
      </c>
      <c r="C175" s="452">
        <f>'Maxs Tool'!K175</f>
        <v>7.3100000000000023</v>
      </c>
      <c r="D175" s="452">
        <f>'Maxs Tool'!L175</f>
        <v>10.93</v>
      </c>
      <c r="E175" s="452">
        <f>'Maxs Tool'!M175</f>
        <v>1.5</v>
      </c>
    </row>
    <row r="176" spans="1:5" x14ac:dyDescent="0.25">
      <c r="A176" s="453">
        <f t="shared" si="2"/>
        <v>175</v>
      </c>
      <c r="B176" s="452">
        <f>'Maxs Tool'!J176</f>
        <v>14</v>
      </c>
      <c r="C176" s="452">
        <f>'Maxs Tool'!K176</f>
        <v>7.3100000000000023</v>
      </c>
      <c r="D176" s="452">
        <f>'Maxs Tool'!L176</f>
        <v>11</v>
      </c>
      <c r="E176" s="452">
        <f>'Maxs Tool'!M176</f>
        <v>2</v>
      </c>
    </row>
    <row r="177" spans="1:5" x14ac:dyDescent="0.25">
      <c r="A177" s="453">
        <f t="shared" si="2"/>
        <v>176</v>
      </c>
      <c r="B177" s="452">
        <f>'Maxs Tool'!J177</f>
        <v>14</v>
      </c>
      <c r="C177" s="452">
        <f>'Maxs Tool'!K177</f>
        <v>7.3100000000000023</v>
      </c>
      <c r="D177" s="452">
        <f>'Maxs Tool'!L177</f>
        <v>11</v>
      </c>
      <c r="E177" s="452">
        <f>'Maxs Tool'!M177</f>
        <v>4</v>
      </c>
    </row>
    <row r="178" spans="1:5" x14ac:dyDescent="0.25">
      <c r="A178" s="453">
        <f t="shared" si="2"/>
        <v>177</v>
      </c>
      <c r="B178" s="452">
        <f>'Maxs Tool'!J178</f>
        <v>14</v>
      </c>
      <c r="C178" s="452">
        <f>'Maxs Tool'!K178</f>
        <v>7.3100000000000023</v>
      </c>
      <c r="D178" s="452">
        <f>'Maxs Tool'!L178</f>
        <v>11</v>
      </c>
      <c r="E178" s="452">
        <f>'Maxs Tool'!M178</f>
        <v>6</v>
      </c>
    </row>
    <row r="179" spans="1:5" x14ac:dyDescent="0.25">
      <c r="A179" s="453">
        <f t="shared" si="2"/>
        <v>178</v>
      </c>
      <c r="B179" s="452">
        <f>'Maxs Tool'!J179</f>
        <v>14</v>
      </c>
      <c r="C179" s="452">
        <f>'Maxs Tool'!K179</f>
        <v>7.3100000000000023</v>
      </c>
      <c r="D179" s="452">
        <f>'Maxs Tool'!L179</f>
        <v>11</v>
      </c>
      <c r="E179" s="452">
        <f>'Maxs Tool'!M179</f>
        <v>8</v>
      </c>
    </row>
    <row r="180" spans="1:5" x14ac:dyDescent="0.25">
      <c r="A180" s="453">
        <f t="shared" si="2"/>
        <v>179</v>
      </c>
      <c r="B180" s="452">
        <f>'Maxs Tool'!J180</f>
        <v>14</v>
      </c>
      <c r="C180" s="452">
        <f>'Maxs Tool'!K180</f>
        <v>7.3100000000000023</v>
      </c>
      <c r="D180" s="452">
        <f>'Maxs Tool'!L180</f>
        <v>11</v>
      </c>
      <c r="E180" s="452">
        <f>'Maxs Tool'!M180</f>
        <v>9.6999999999999993</v>
      </c>
    </row>
    <row r="181" spans="1:5" x14ac:dyDescent="0.25">
      <c r="A181" s="453">
        <f t="shared" si="2"/>
        <v>180</v>
      </c>
      <c r="B181" s="452">
        <f>'Maxs Tool'!J181</f>
        <v>14</v>
      </c>
      <c r="C181" s="452">
        <f>'Maxs Tool'!K181</f>
        <v>7.3100000000000023</v>
      </c>
      <c r="D181" s="452">
        <f>'Maxs Tool'!L181</f>
        <v>11</v>
      </c>
      <c r="E181" s="452">
        <f>'Maxs Tool'!M181</f>
        <v>10</v>
      </c>
    </row>
    <row r="182" spans="1:5" x14ac:dyDescent="0.25">
      <c r="A182" s="453">
        <f t="shared" si="2"/>
        <v>181</v>
      </c>
      <c r="B182" s="452">
        <f>'Maxs Tool'!J182</f>
        <v>14</v>
      </c>
      <c r="C182" s="452">
        <f>'Maxs Tool'!K182</f>
        <v>7.3100000000000023</v>
      </c>
      <c r="D182" s="452">
        <f>'Maxs Tool'!L182</f>
        <v>11</v>
      </c>
      <c r="E182" s="452">
        <f>'Maxs Tool'!M182</f>
        <v>12</v>
      </c>
    </row>
    <row r="183" spans="1:5" x14ac:dyDescent="0.25">
      <c r="A183" s="453">
        <f t="shared" si="2"/>
        <v>182</v>
      </c>
      <c r="B183" s="452">
        <f>'Maxs Tool'!J183</f>
        <v>14</v>
      </c>
      <c r="C183" s="452">
        <f>'Maxs Tool'!K183</f>
        <v>7.3100000000000023</v>
      </c>
      <c r="D183" s="452">
        <f>'Maxs Tool'!L183</f>
        <v>11</v>
      </c>
      <c r="E183" s="452">
        <f>'Maxs Tool'!M183</f>
        <v>13</v>
      </c>
    </row>
    <row r="184" spans="1:5" x14ac:dyDescent="0.25">
      <c r="A184" s="453">
        <f t="shared" si="2"/>
        <v>183</v>
      </c>
      <c r="B184" s="452">
        <f>'Maxs Tool'!J184</f>
        <v>15</v>
      </c>
      <c r="C184" s="452">
        <f>'Maxs Tool'!K184</f>
        <v>14.620000000000005</v>
      </c>
      <c r="D184" s="452">
        <f>'Maxs Tool'!L184</f>
        <v>0</v>
      </c>
      <c r="E184" s="452">
        <f>'Maxs Tool'!M184</f>
        <v>0</v>
      </c>
    </row>
    <row r="185" spans="1:5" x14ac:dyDescent="0.25">
      <c r="A185" s="453">
        <f t="shared" si="2"/>
        <v>184</v>
      </c>
      <c r="B185" s="452">
        <f>'Maxs Tool'!J185</f>
        <v>15</v>
      </c>
      <c r="C185" s="452">
        <f>'Maxs Tool'!K185</f>
        <v>14.620000000000005</v>
      </c>
      <c r="D185" s="452">
        <f>'Maxs Tool'!L185</f>
        <v>9.6999999999999993</v>
      </c>
      <c r="E185" s="452">
        <f>'Maxs Tool'!M185</f>
        <v>0</v>
      </c>
    </row>
    <row r="186" spans="1:5" x14ac:dyDescent="0.25">
      <c r="A186" s="453">
        <f t="shared" si="2"/>
        <v>185</v>
      </c>
      <c r="B186" s="452">
        <f>'Maxs Tool'!J186</f>
        <v>15</v>
      </c>
      <c r="C186" s="452">
        <f>'Maxs Tool'!K186</f>
        <v>14.620000000000005</v>
      </c>
      <c r="D186" s="452">
        <f>'Maxs Tool'!L186</f>
        <v>10.45</v>
      </c>
      <c r="E186" s="452">
        <f>'Maxs Tool'!M186</f>
        <v>0.5</v>
      </c>
    </row>
    <row r="187" spans="1:5" x14ac:dyDescent="0.25">
      <c r="A187" s="453">
        <f t="shared" si="2"/>
        <v>186</v>
      </c>
      <c r="B187" s="452">
        <f>'Maxs Tool'!J187</f>
        <v>15</v>
      </c>
      <c r="C187" s="452">
        <f>'Maxs Tool'!K187</f>
        <v>14.620000000000005</v>
      </c>
      <c r="D187" s="452">
        <f>'Maxs Tool'!L187</f>
        <v>10.75</v>
      </c>
      <c r="E187" s="452">
        <f>'Maxs Tool'!M187</f>
        <v>1</v>
      </c>
    </row>
    <row r="188" spans="1:5" x14ac:dyDescent="0.25">
      <c r="A188" s="453">
        <f t="shared" si="2"/>
        <v>187</v>
      </c>
      <c r="B188" s="452">
        <f>'Maxs Tool'!J188</f>
        <v>15</v>
      </c>
      <c r="C188" s="452">
        <f>'Maxs Tool'!K188</f>
        <v>14.620000000000005</v>
      </c>
      <c r="D188" s="452">
        <f>'Maxs Tool'!L188</f>
        <v>10.93</v>
      </c>
      <c r="E188" s="452">
        <f>'Maxs Tool'!M188</f>
        <v>1.5</v>
      </c>
    </row>
    <row r="189" spans="1:5" x14ac:dyDescent="0.25">
      <c r="A189" s="453">
        <f t="shared" si="2"/>
        <v>188</v>
      </c>
      <c r="B189" s="452">
        <f>'Maxs Tool'!J189</f>
        <v>15</v>
      </c>
      <c r="C189" s="452">
        <f>'Maxs Tool'!K189</f>
        <v>14.620000000000005</v>
      </c>
      <c r="D189" s="452">
        <f>'Maxs Tool'!L189</f>
        <v>11</v>
      </c>
      <c r="E189" s="452">
        <f>'Maxs Tool'!M189</f>
        <v>2</v>
      </c>
    </row>
    <row r="190" spans="1:5" x14ac:dyDescent="0.25">
      <c r="A190" s="453">
        <f t="shared" si="2"/>
        <v>189</v>
      </c>
      <c r="B190" s="452">
        <f>'Maxs Tool'!J190</f>
        <v>15</v>
      </c>
      <c r="C190" s="452">
        <f>'Maxs Tool'!K190</f>
        <v>14.620000000000005</v>
      </c>
      <c r="D190" s="452">
        <f>'Maxs Tool'!L190</f>
        <v>11</v>
      </c>
      <c r="E190" s="452">
        <f>'Maxs Tool'!M190</f>
        <v>4</v>
      </c>
    </row>
    <row r="191" spans="1:5" x14ac:dyDescent="0.25">
      <c r="A191" s="453">
        <f t="shared" si="2"/>
        <v>190</v>
      </c>
      <c r="B191" s="452">
        <f>'Maxs Tool'!J191</f>
        <v>15</v>
      </c>
      <c r="C191" s="452">
        <f>'Maxs Tool'!K191</f>
        <v>14.620000000000005</v>
      </c>
      <c r="D191" s="452">
        <f>'Maxs Tool'!L191</f>
        <v>11</v>
      </c>
      <c r="E191" s="452">
        <f>'Maxs Tool'!M191</f>
        <v>6</v>
      </c>
    </row>
    <row r="192" spans="1:5" x14ac:dyDescent="0.25">
      <c r="A192" s="453">
        <f t="shared" si="2"/>
        <v>191</v>
      </c>
      <c r="B192" s="452">
        <f>'Maxs Tool'!J192</f>
        <v>15</v>
      </c>
      <c r="C192" s="452">
        <f>'Maxs Tool'!K192</f>
        <v>14.620000000000005</v>
      </c>
      <c r="D192" s="452">
        <f>'Maxs Tool'!L192</f>
        <v>11</v>
      </c>
      <c r="E192" s="452">
        <f>'Maxs Tool'!M192</f>
        <v>8</v>
      </c>
    </row>
    <row r="193" spans="1:5" x14ac:dyDescent="0.25">
      <c r="A193" s="453">
        <f t="shared" si="2"/>
        <v>192</v>
      </c>
      <c r="B193" s="452">
        <f>'Maxs Tool'!J193</f>
        <v>15</v>
      </c>
      <c r="C193" s="452">
        <f>'Maxs Tool'!K193</f>
        <v>14.620000000000005</v>
      </c>
      <c r="D193" s="452">
        <f>'Maxs Tool'!L193</f>
        <v>11</v>
      </c>
      <c r="E193" s="452">
        <f>'Maxs Tool'!M193</f>
        <v>9.6999999999999993</v>
      </c>
    </row>
    <row r="194" spans="1:5" x14ac:dyDescent="0.25">
      <c r="A194" s="453">
        <f t="shared" si="2"/>
        <v>193</v>
      </c>
      <c r="B194" s="452">
        <f>'Maxs Tool'!J194</f>
        <v>15</v>
      </c>
      <c r="C194" s="452">
        <f>'Maxs Tool'!K194</f>
        <v>14.620000000000005</v>
      </c>
      <c r="D194" s="452">
        <f>'Maxs Tool'!L194</f>
        <v>11</v>
      </c>
      <c r="E194" s="452">
        <f>'Maxs Tool'!M194</f>
        <v>10</v>
      </c>
    </row>
    <row r="195" spans="1:5" x14ac:dyDescent="0.25">
      <c r="A195" s="453">
        <f t="shared" ref="A195:A258" si="3">IF(ISNUMBER(D195),ROW()-1,"")</f>
        <v>194</v>
      </c>
      <c r="B195" s="452">
        <f>'Maxs Tool'!J195</f>
        <v>15</v>
      </c>
      <c r="C195" s="452">
        <f>'Maxs Tool'!K195</f>
        <v>14.620000000000005</v>
      </c>
      <c r="D195" s="452">
        <f>'Maxs Tool'!L195</f>
        <v>11</v>
      </c>
      <c r="E195" s="452">
        <f>'Maxs Tool'!M195</f>
        <v>12</v>
      </c>
    </row>
    <row r="196" spans="1:5" x14ac:dyDescent="0.25">
      <c r="A196" s="453">
        <f t="shared" si="3"/>
        <v>195</v>
      </c>
      <c r="B196" s="452">
        <f>'Maxs Tool'!J196</f>
        <v>15</v>
      </c>
      <c r="C196" s="452">
        <f>'Maxs Tool'!K196</f>
        <v>14.620000000000005</v>
      </c>
      <c r="D196" s="452">
        <f>'Maxs Tool'!L196</f>
        <v>11</v>
      </c>
      <c r="E196" s="452">
        <f>'Maxs Tool'!M196</f>
        <v>13</v>
      </c>
    </row>
    <row r="197" spans="1:5" x14ac:dyDescent="0.25">
      <c r="A197" s="453">
        <f t="shared" si="3"/>
        <v>196</v>
      </c>
      <c r="B197" s="452">
        <f>'Maxs Tool'!J197</f>
        <v>16</v>
      </c>
      <c r="C197" s="452">
        <f>'Maxs Tool'!K197</f>
        <v>21.930000000000007</v>
      </c>
      <c r="D197" s="452">
        <f>'Maxs Tool'!L197</f>
        <v>0</v>
      </c>
      <c r="E197" s="452">
        <f>'Maxs Tool'!M197</f>
        <v>0</v>
      </c>
    </row>
    <row r="198" spans="1:5" x14ac:dyDescent="0.25">
      <c r="A198" s="453">
        <f t="shared" si="3"/>
        <v>197</v>
      </c>
      <c r="B198" s="452">
        <f>'Maxs Tool'!J198</f>
        <v>16</v>
      </c>
      <c r="C198" s="452">
        <f>'Maxs Tool'!K198</f>
        <v>21.930000000000007</v>
      </c>
      <c r="D198" s="452">
        <f>'Maxs Tool'!L198</f>
        <v>9.6999999999999993</v>
      </c>
      <c r="E198" s="452">
        <f>'Maxs Tool'!M198</f>
        <v>0</v>
      </c>
    </row>
    <row r="199" spans="1:5" x14ac:dyDescent="0.25">
      <c r="A199" s="453">
        <f t="shared" si="3"/>
        <v>198</v>
      </c>
      <c r="B199" s="452">
        <f>'Maxs Tool'!J199</f>
        <v>16</v>
      </c>
      <c r="C199" s="452">
        <f>'Maxs Tool'!K199</f>
        <v>21.930000000000007</v>
      </c>
      <c r="D199" s="452">
        <f>'Maxs Tool'!L199</f>
        <v>10.45</v>
      </c>
      <c r="E199" s="452">
        <f>'Maxs Tool'!M199</f>
        <v>0.5</v>
      </c>
    </row>
    <row r="200" spans="1:5" x14ac:dyDescent="0.25">
      <c r="A200" s="453">
        <f t="shared" si="3"/>
        <v>199</v>
      </c>
      <c r="B200" s="452">
        <f>'Maxs Tool'!J200</f>
        <v>16</v>
      </c>
      <c r="C200" s="452">
        <f>'Maxs Tool'!K200</f>
        <v>21.930000000000007</v>
      </c>
      <c r="D200" s="452">
        <f>'Maxs Tool'!L200</f>
        <v>10.75</v>
      </c>
      <c r="E200" s="452">
        <f>'Maxs Tool'!M200</f>
        <v>1</v>
      </c>
    </row>
    <row r="201" spans="1:5" x14ac:dyDescent="0.25">
      <c r="A201" s="453">
        <f t="shared" si="3"/>
        <v>200</v>
      </c>
      <c r="B201" s="452">
        <f>'Maxs Tool'!J201</f>
        <v>16</v>
      </c>
      <c r="C201" s="452">
        <f>'Maxs Tool'!K201</f>
        <v>21.930000000000007</v>
      </c>
      <c r="D201" s="452">
        <f>'Maxs Tool'!L201</f>
        <v>10.93</v>
      </c>
      <c r="E201" s="452">
        <f>'Maxs Tool'!M201</f>
        <v>1.5</v>
      </c>
    </row>
    <row r="202" spans="1:5" x14ac:dyDescent="0.25">
      <c r="A202" s="453">
        <f t="shared" si="3"/>
        <v>201</v>
      </c>
      <c r="B202" s="452">
        <f>'Maxs Tool'!J202</f>
        <v>16</v>
      </c>
      <c r="C202" s="452">
        <f>'Maxs Tool'!K202</f>
        <v>21.930000000000007</v>
      </c>
      <c r="D202" s="452">
        <f>'Maxs Tool'!L202</f>
        <v>11</v>
      </c>
      <c r="E202" s="452">
        <f>'Maxs Tool'!M202</f>
        <v>2</v>
      </c>
    </row>
    <row r="203" spans="1:5" x14ac:dyDescent="0.25">
      <c r="A203" s="453">
        <f t="shared" si="3"/>
        <v>202</v>
      </c>
      <c r="B203" s="452">
        <f>'Maxs Tool'!J203</f>
        <v>16</v>
      </c>
      <c r="C203" s="452">
        <f>'Maxs Tool'!K203</f>
        <v>21.930000000000007</v>
      </c>
      <c r="D203" s="452">
        <f>'Maxs Tool'!L203</f>
        <v>11</v>
      </c>
      <c r="E203" s="452">
        <f>'Maxs Tool'!M203</f>
        <v>4</v>
      </c>
    </row>
    <row r="204" spans="1:5" x14ac:dyDescent="0.25">
      <c r="A204" s="453">
        <f t="shared" si="3"/>
        <v>203</v>
      </c>
      <c r="B204" s="452">
        <f>'Maxs Tool'!J204</f>
        <v>16</v>
      </c>
      <c r="C204" s="452">
        <f>'Maxs Tool'!K204</f>
        <v>21.930000000000007</v>
      </c>
      <c r="D204" s="452">
        <f>'Maxs Tool'!L204</f>
        <v>11</v>
      </c>
      <c r="E204" s="452">
        <f>'Maxs Tool'!M204</f>
        <v>6</v>
      </c>
    </row>
    <row r="205" spans="1:5" x14ac:dyDescent="0.25">
      <c r="A205" s="453">
        <f t="shared" si="3"/>
        <v>204</v>
      </c>
      <c r="B205" s="452">
        <f>'Maxs Tool'!J205</f>
        <v>16</v>
      </c>
      <c r="C205" s="452">
        <f>'Maxs Tool'!K205</f>
        <v>21.930000000000007</v>
      </c>
      <c r="D205" s="452">
        <f>'Maxs Tool'!L205</f>
        <v>11</v>
      </c>
      <c r="E205" s="452">
        <f>'Maxs Tool'!M205</f>
        <v>8</v>
      </c>
    </row>
    <row r="206" spans="1:5" x14ac:dyDescent="0.25">
      <c r="A206" s="453">
        <f t="shared" si="3"/>
        <v>205</v>
      </c>
      <c r="B206" s="452">
        <f>'Maxs Tool'!J206</f>
        <v>16</v>
      </c>
      <c r="C206" s="452">
        <f>'Maxs Tool'!K206</f>
        <v>21.930000000000007</v>
      </c>
      <c r="D206" s="452">
        <f>'Maxs Tool'!L206</f>
        <v>11</v>
      </c>
      <c r="E206" s="452">
        <f>'Maxs Tool'!M206</f>
        <v>9.6999999999999993</v>
      </c>
    </row>
    <row r="207" spans="1:5" x14ac:dyDescent="0.25">
      <c r="A207" s="453">
        <f t="shared" si="3"/>
        <v>206</v>
      </c>
      <c r="B207" s="452">
        <f>'Maxs Tool'!J207</f>
        <v>16</v>
      </c>
      <c r="C207" s="452">
        <f>'Maxs Tool'!K207</f>
        <v>21.930000000000007</v>
      </c>
      <c r="D207" s="452">
        <f>'Maxs Tool'!L207</f>
        <v>11</v>
      </c>
      <c r="E207" s="452">
        <f>'Maxs Tool'!M207</f>
        <v>10</v>
      </c>
    </row>
    <row r="208" spans="1:5" x14ac:dyDescent="0.25">
      <c r="A208" s="453">
        <f t="shared" si="3"/>
        <v>207</v>
      </c>
      <c r="B208" s="452">
        <f>'Maxs Tool'!J208</f>
        <v>16</v>
      </c>
      <c r="C208" s="452">
        <f>'Maxs Tool'!K208</f>
        <v>21.930000000000007</v>
      </c>
      <c r="D208" s="452">
        <f>'Maxs Tool'!L208</f>
        <v>11</v>
      </c>
      <c r="E208" s="452">
        <f>'Maxs Tool'!M208</f>
        <v>12</v>
      </c>
    </row>
    <row r="209" spans="1:5" x14ac:dyDescent="0.25">
      <c r="A209" s="453">
        <f t="shared" si="3"/>
        <v>208</v>
      </c>
      <c r="B209" s="452">
        <f>'Maxs Tool'!J209</f>
        <v>16</v>
      </c>
      <c r="C209" s="452">
        <f>'Maxs Tool'!K209</f>
        <v>21.930000000000007</v>
      </c>
      <c r="D209" s="452">
        <f>'Maxs Tool'!L209</f>
        <v>11</v>
      </c>
      <c r="E209" s="452">
        <f>'Maxs Tool'!M209</f>
        <v>13</v>
      </c>
    </row>
    <row r="210" spans="1:5" x14ac:dyDescent="0.25">
      <c r="A210" s="453">
        <f t="shared" si="3"/>
        <v>209</v>
      </c>
      <c r="B210" s="452">
        <f>'Maxs Tool'!J210</f>
        <v>17</v>
      </c>
      <c r="C210" s="452">
        <f>'Maxs Tool'!K210</f>
        <v>29.239999999999995</v>
      </c>
      <c r="D210" s="452">
        <f>'Maxs Tool'!L210</f>
        <v>0</v>
      </c>
      <c r="E210" s="452">
        <f>'Maxs Tool'!M210</f>
        <v>0</v>
      </c>
    </row>
    <row r="211" spans="1:5" x14ac:dyDescent="0.25">
      <c r="A211" s="453">
        <f t="shared" si="3"/>
        <v>210</v>
      </c>
      <c r="B211" s="452">
        <f>'Maxs Tool'!J211</f>
        <v>17</v>
      </c>
      <c r="C211" s="452">
        <f>'Maxs Tool'!K211</f>
        <v>29.239999999999995</v>
      </c>
      <c r="D211" s="452">
        <f>'Maxs Tool'!L211</f>
        <v>9.5</v>
      </c>
      <c r="E211" s="452">
        <f>'Maxs Tool'!M211</f>
        <v>0</v>
      </c>
    </row>
    <row r="212" spans="1:5" x14ac:dyDescent="0.25">
      <c r="A212" s="453">
        <f t="shared" si="3"/>
        <v>211</v>
      </c>
      <c r="B212" s="452">
        <f>'Maxs Tool'!J212</f>
        <v>17</v>
      </c>
      <c r="C212" s="452">
        <f>'Maxs Tool'!K212</f>
        <v>29.239999999999995</v>
      </c>
      <c r="D212" s="452">
        <f>'Maxs Tool'!L212</f>
        <v>10.32</v>
      </c>
      <c r="E212" s="452">
        <f>'Maxs Tool'!M212</f>
        <v>0.5</v>
      </c>
    </row>
    <row r="213" spans="1:5" x14ac:dyDescent="0.25">
      <c r="A213" s="453">
        <f t="shared" si="3"/>
        <v>212</v>
      </c>
      <c r="B213" s="452">
        <f>'Maxs Tool'!J213</f>
        <v>17</v>
      </c>
      <c r="C213" s="452">
        <f>'Maxs Tool'!K213</f>
        <v>29.239999999999995</v>
      </c>
      <c r="D213" s="452">
        <f>'Maxs Tool'!L213</f>
        <v>10.66</v>
      </c>
      <c r="E213" s="452">
        <f>'Maxs Tool'!M213</f>
        <v>1</v>
      </c>
    </row>
    <row r="214" spans="1:5" x14ac:dyDescent="0.25">
      <c r="A214" s="453">
        <f t="shared" si="3"/>
        <v>213</v>
      </c>
      <c r="B214" s="452">
        <f>'Maxs Tool'!J214</f>
        <v>17</v>
      </c>
      <c r="C214" s="452">
        <f>'Maxs Tool'!K214</f>
        <v>29.239999999999995</v>
      </c>
      <c r="D214" s="452">
        <f>'Maxs Tool'!L214</f>
        <v>10.87</v>
      </c>
      <c r="E214" s="452">
        <f>'Maxs Tool'!M214</f>
        <v>1.5</v>
      </c>
    </row>
    <row r="215" spans="1:5" x14ac:dyDescent="0.25">
      <c r="A215" s="453">
        <f t="shared" si="3"/>
        <v>214</v>
      </c>
      <c r="B215" s="452">
        <f>'Maxs Tool'!J215</f>
        <v>17</v>
      </c>
      <c r="C215" s="452">
        <f>'Maxs Tool'!K215</f>
        <v>29.239999999999995</v>
      </c>
      <c r="D215" s="452">
        <f>'Maxs Tool'!L215</f>
        <v>11</v>
      </c>
      <c r="E215" s="452">
        <f>'Maxs Tool'!M215</f>
        <v>2</v>
      </c>
    </row>
    <row r="216" spans="1:5" x14ac:dyDescent="0.25">
      <c r="A216" s="453">
        <f t="shared" si="3"/>
        <v>215</v>
      </c>
      <c r="B216" s="452">
        <f>'Maxs Tool'!J216</f>
        <v>17</v>
      </c>
      <c r="C216" s="452">
        <f>'Maxs Tool'!K216</f>
        <v>29.239999999999995</v>
      </c>
      <c r="D216" s="452">
        <f>'Maxs Tool'!L216</f>
        <v>11</v>
      </c>
      <c r="E216" s="452">
        <f>'Maxs Tool'!M216</f>
        <v>4</v>
      </c>
    </row>
    <row r="217" spans="1:5" x14ac:dyDescent="0.25">
      <c r="A217" s="453">
        <f t="shared" si="3"/>
        <v>216</v>
      </c>
      <c r="B217" s="452">
        <f>'Maxs Tool'!J217</f>
        <v>17</v>
      </c>
      <c r="C217" s="452">
        <f>'Maxs Tool'!K217</f>
        <v>29.239999999999995</v>
      </c>
      <c r="D217" s="452">
        <f>'Maxs Tool'!L217</f>
        <v>11</v>
      </c>
      <c r="E217" s="452">
        <f>'Maxs Tool'!M217</f>
        <v>6</v>
      </c>
    </row>
    <row r="218" spans="1:5" x14ac:dyDescent="0.25">
      <c r="A218" s="453">
        <f t="shared" si="3"/>
        <v>217</v>
      </c>
      <c r="B218" s="452">
        <f>'Maxs Tool'!J218</f>
        <v>17</v>
      </c>
      <c r="C218" s="452">
        <f>'Maxs Tool'!K218</f>
        <v>29.239999999999995</v>
      </c>
      <c r="D218" s="452">
        <f>'Maxs Tool'!L218</f>
        <v>11</v>
      </c>
      <c r="E218" s="452">
        <f>'Maxs Tool'!M218</f>
        <v>8</v>
      </c>
    </row>
    <row r="219" spans="1:5" x14ac:dyDescent="0.25">
      <c r="A219" s="453">
        <f t="shared" si="3"/>
        <v>218</v>
      </c>
      <c r="B219" s="452">
        <f>'Maxs Tool'!J219</f>
        <v>17</v>
      </c>
      <c r="C219" s="452">
        <f>'Maxs Tool'!K219</f>
        <v>29.239999999999995</v>
      </c>
      <c r="D219" s="452">
        <f>'Maxs Tool'!L219</f>
        <v>11</v>
      </c>
      <c r="E219" s="452">
        <f>'Maxs Tool'!M219</f>
        <v>9.6999999999999993</v>
      </c>
    </row>
    <row r="220" spans="1:5" x14ac:dyDescent="0.25">
      <c r="A220" s="453">
        <f t="shared" si="3"/>
        <v>219</v>
      </c>
      <c r="B220" s="452">
        <f>'Maxs Tool'!J220</f>
        <v>17</v>
      </c>
      <c r="C220" s="452">
        <f>'Maxs Tool'!K220</f>
        <v>29.239999999999995</v>
      </c>
      <c r="D220" s="452">
        <f>'Maxs Tool'!L220</f>
        <v>11</v>
      </c>
      <c r="E220" s="452">
        <f>'Maxs Tool'!M220</f>
        <v>10</v>
      </c>
    </row>
    <row r="221" spans="1:5" x14ac:dyDescent="0.25">
      <c r="A221" s="453">
        <f t="shared" si="3"/>
        <v>220</v>
      </c>
      <c r="B221" s="452">
        <f>'Maxs Tool'!J221</f>
        <v>17</v>
      </c>
      <c r="C221" s="452">
        <f>'Maxs Tool'!K221</f>
        <v>29.239999999999995</v>
      </c>
      <c r="D221" s="452">
        <f>'Maxs Tool'!L221</f>
        <v>11</v>
      </c>
      <c r="E221" s="452">
        <f>'Maxs Tool'!M221</f>
        <v>12</v>
      </c>
    </row>
    <row r="222" spans="1:5" x14ac:dyDescent="0.25">
      <c r="A222" s="453">
        <f t="shared" si="3"/>
        <v>221</v>
      </c>
      <c r="B222" s="452">
        <f>'Maxs Tool'!J222</f>
        <v>17</v>
      </c>
      <c r="C222" s="452">
        <f>'Maxs Tool'!K222</f>
        <v>29.239999999999995</v>
      </c>
      <c r="D222" s="452">
        <f>'Maxs Tool'!L222</f>
        <v>11</v>
      </c>
      <c r="E222" s="452">
        <f>'Maxs Tool'!M222</f>
        <v>13</v>
      </c>
    </row>
    <row r="223" spans="1:5" x14ac:dyDescent="0.25">
      <c r="A223" s="453">
        <f t="shared" si="3"/>
        <v>222</v>
      </c>
      <c r="B223" s="452">
        <f>'Maxs Tool'!J223</f>
        <v>18</v>
      </c>
      <c r="C223" s="452">
        <f>'Maxs Tool'!K223</f>
        <v>36.549999999999997</v>
      </c>
      <c r="D223" s="452">
        <f>'Maxs Tool'!L223</f>
        <v>0</v>
      </c>
      <c r="E223" s="452">
        <f>'Maxs Tool'!M223</f>
        <v>0</v>
      </c>
    </row>
    <row r="224" spans="1:5" x14ac:dyDescent="0.25">
      <c r="A224" s="453">
        <f t="shared" si="3"/>
        <v>223</v>
      </c>
      <c r="B224" s="452">
        <f>'Maxs Tool'!J224</f>
        <v>18</v>
      </c>
      <c r="C224" s="452">
        <f>'Maxs Tool'!K224</f>
        <v>36.549999999999997</v>
      </c>
      <c r="D224" s="452">
        <f>'Maxs Tool'!L224</f>
        <v>8.9</v>
      </c>
      <c r="E224" s="452">
        <f>'Maxs Tool'!M224</f>
        <v>0</v>
      </c>
    </row>
    <row r="225" spans="1:5" x14ac:dyDescent="0.25">
      <c r="A225" s="453">
        <f t="shared" si="3"/>
        <v>224</v>
      </c>
      <c r="B225" s="452">
        <f>'Maxs Tool'!J225</f>
        <v>18</v>
      </c>
      <c r="C225" s="452">
        <f>'Maxs Tool'!K225</f>
        <v>36.549999999999997</v>
      </c>
      <c r="D225" s="452">
        <f>'Maxs Tool'!L225</f>
        <v>9.76</v>
      </c>
      <c r="E225" s="452">
        <f>'Maxs Tool'!M225</f>
        <v>0.5</v>
      </c>
    </row>
    <row r="226" spans="1:5" x14ac:dyDescent="0.25">
      <c r="A226" s="453">
        <f t="shared" si="3"/>
        <v>225</v>
      </c>
      <c r="B226" s="452">
        <f>'Maxs Tool'!J226</f>
        <v>18</v>
      </c>
      <c r="C226" s="452">
        <f>'Maxs Tool'!K226</f>
        <v>36.549999999999997</v>
      </c>
      <c r="D226" s="452">
        <f>'Maxs Tool'!L226</f>
        <v>10.199999999999999</v>
      </c>
      <c r="E226" s="452">
        <f>'Maxs Tool'!M226</f>
        <v>1</v>
      </c>
    </row>
    <row r="227" spans="1:5" x14ac:dyDescent="0.25">
      <c r="A227" s="453">
        <f t="shared" si="3"/>
        <v>226</v>
      </c>
      <c r="B227" s="452">
        <f>'Maxs Tool'!J227</f>
        <v>18</v>
      </c>
      <c r="C227" s="452">
        <f>'Maxs Tool'!K227</f>
        <v>36.549999999999997</v>
      </c>
      <c r="D227" s="452">
        <f>'Maxs Tool'!L227</f>
        <v>10.5</v>
      </c>
      <c r="E227" s="452">
        <f>'Maxs Tool'!M227</f>
        <v>1.5</v>
      </c>
    </row>
    <row r="228" spans="1:5" x14ac:dyDescent="0.25">
      <c r="A228" s="453">
        <f t="shared" si="3"/>
        <v>227</v>
      </c>
      <c r="B228" s="452">
        <f>'Maxs Tool'!J228</f>
        <v>18</v>
      </c>
      <c r="C228" s="452">
        <f>'Maxs Tool'!K228</f>
        <v>36.549999999999997</v>
      </c>
      <c r="D228" s="452">
        <f>'Maxs Tool'!L228</f>
        <v>10.7</v>
      </c>
      <c r="E228" s="452">
        <f>'Maxs Tool'!M228</f>
        <v>2</v>
      </c>
    </row>
    <row r="229" spans="1:5" x14ac:dyDescent="0.25">
      <c r="A229" s="453">
        <f t="shared" si="3"/>
        <v>228</v>
      </c>
      <c r="B229" s="452">
        <f>'Maxs Tool'!J229</f>
        <v>18</v>
      </c>
      <c r="C229" s="452">
        <f>'Maxs Tool'!K229</f>
        <v>36.549999999999997</v>
      </c>
      <c r="D229" s="452">
        <f>'Maxs Tool'!L229</f>
        <v>11</v>
      </c>
      <c r="E229" s="452">
        <f>'Maxs Tool'!M229</f>
        <v>4</v>
      </c>
    </row>
    <row r="230" spans="1:5" x14ac:dyDescent="0.25">
      <c r="A230" s="453">
        <f t="shared" si="3"/>
        <v>229</v>
      </c>
      <c r="B230" s="452">
        <f>'Maxs Tool'!J230</f>
        <v>18</v>
      </c>
      <c r="C230" s="452">
        <f>'Maxs Tool'!K230</f>
        <v>36.549999999999997</v>
      </c>
      <c r="D230" s="452">
        <f>'Maxs Tool'!L230</f>
        <v>11</v>
      </c>
      <c r="E230" s="452">
        <f>'Maxs Tool'!M230</f>
        <v>6</v>
      </c>
    </row>
    <row r="231" spans="1:5" x14ac:dyDescent="0.25">
      <c r="A231" s="453">
        <f t="shared" si="3"/>
        <v>230</v>
      </c>
      <c r="B231" s="452">
        <f>'Maxs Tool'!J231</f>
        <v>18</v>
      </c>
      <c r="C231" s="452">
        <f>'Maxs Tool'!K231</f>
        <v>36.549999999999997</v>
      </c>
      <c r="D231" s="452">
        <f>'Maxs Tool'!L231</f>
        <v>11</v>
      </c>
      <c r="E231" s="452">
        <f>'Maxs Tool'!M231</f>
        <v>8</v>
      </c>
    </row>
    <row r="232" spans="1:5" x14ac:dyDescent="0.25">
      <c r="A232" s="453">
        <f t="shared" si="3"/>
        <v>231</v>
      </c>
      <c r="B232" s="452">
        <f>'Maxs Tool'!J232</f>
        <v>18</v>
      </c>
      <c r="C232" s="452">
        <f>'Maxs Tool'!K232</f>
        <v>36.549999999999997</v>
      </c>
      <c r="D232" s="452">
        <f>'Maxs Tool'!L232</f>
        <v>11</v>
      </c>
      <c r="E232" s="452">
        <f>'Maxs Tool'!M232</f>
        <v>9.6999999999999993</v>
      </c>
    </row>
    <row r="233" spans="1:5" x14ac:dyDescent="0.25">
      <c r="A233" s="453">
        <f t="shared" si="3"/>
        <v>232</v>
      </c>
      <c r="B233" s="452">
        <f>'Maxs Tool'!J233</f>
        <v>18</v>
      </c>
      <c r="C233" s="452">
        <f>'Maxs Tool'!K233</f>
        <v>36.549999999999997</v>
      </c>
      <c r="D233" s="452">
        <f>'Maxs Tool'!L233</f>
        <v>11</v>
      </c>
      <c r="E233" s="452">
        <f>'Maxs Tool'!M233</f>
        <v>10</v>
      </c>
    </row>
    <row r="234" spans="1:5" x14ac:dyDescent="0.25">
      <c r="A234" s="453">
        <f t="shared" si="3"/>
        <v>233</v>
      </c>
      <c r="B234" s="452">
        <f>'Maxs Tool'!J234</f>
        <v>18</v>
      </c>
      <c r="C234" s="452">
        <f>'Maxs Tool'!K234</f>
        <v>36.549999999999997</v>
      </c>
      <c r="D234" s="452">
        <f>'Maxs Tool'!L234</f>
        <v>11</v>
      </c>
      <c r="E234" s="452">
        <f>'Maxs Tool'!M234</f>
        <v>12</v>
      </c>
    </row>
    <row r="235" spans="1:5" x14ac:dyDescent="0.25">
      <c r="A235" s="453">
        <f t="shared" si="3"/>
        <v>234</v>
      </c>
      <c r="B235" s="452">
        <f>'Maxs Tool'!J235</f>
        <v>18</v>
      </c>
      <c r="C235" s="452">
        <f>'Maxs Tool'!K235</f>
        <v>36.549999999999997</v>
      </c>
      <c r="D235" s="452">
        <f>'Maxs Tool'!L235</f>
        <v>11</v>
      </c>
      <c r="E235" s="452">
        <f>'Maxs Tool'!M235</f>
        <v>13</v>
      </c>
    </row>
    <row r="236" spans="1:5" x14ac:dyDescent="0.25">
      <c r="A236" s="453">
        <f t="shared" si="3"/>
        <v>235</v>
      </c>
      <c r="B236" s="452">
        <f>'Maxs Tool'!J236</f>
        <v>19</v>
      </c>
      <c r="C236" s="452">
        <f>'Maxs Tool'!K236</f>
        <v>43.86</v>
      </c>
      <c r="D236" s="452">
        <f>'Maxs Tool'!L236</f>
        <v>0</v>
      </c>
      <c r="E236" s="452">
        <f>'Maxs Tool'!M236</f>
        <v>0</v>
      </c>
    </row>
    <row r="237" spans="1:5" x14ac:dyDescent="0.25">
      <c r="A237" s="453">
        <f t="shared" si="3"/>
        <v>236</v>
      </c>
      <c r="B237" s="452">
        <f>'Maxs Tool'!J237</f>
        <v>19</v>
      </c>
      <c r="C237" s="452">
        <f>'Maxs Tool'!K237</f>
        <v>43.86</v>
      </c>
      <c r="D237" s="452">
        <f>'Maxs Tool'!L237</f>
        <v>7.6</v>
      </c>
      <c r="E237" s="452">
        <f>'Maxs Tool'!M237</f>
        <v>0</v>
      </c>
    </row>
    <row r="238" spans="1:5" x14ac:dyDescent="0.25">
      <c r="A238" s="453">
        <f t="shared" si="3"/>
        <v>237</v>
      </c>
      <c r="B238" s="452">
        <f>'Maxs Tool'!J238</f>
        <v>19</v>
      </c>
      <c r="C238" s="452">
        <f>'Maxs Tool'!K238</f>
        <v>43.86</v>
      </c>
      <c r="D238" s="452">
        <f>'Maxs Tool'!L238</f>
        <v>8.64</v>
      </c>
      <c r="E238" s="452">
        <f>'Maxs Tool'!M238</f>
        <v>0.5</v>
      </c>
    </row>
    <row r="239" spans="1:5" x14ac:dyDescent="0.25">
      <c r="A239" s="453">
        <f t="shared" si="3"/>
        <v>238</v>
      </c>
      <c r="B239" s="452">
        <f>'Maxs Tool'!J239</f>
        <v>19</v>
      </c>
      <c r="C239" s="452">
        <f>'Maxs Tool'!K239</f>
        <v>43.86</v>
      </c>
      <c r="D239" s="452">
        <f>'Maxs Tool'!L239</f>
        <v>9.27</v>
      </c>
      <c r="E239" s="452">
        <f>'Maxs Tool'!M239</f>
        <v>1</v>
      </c>
    </row>
    <row r="240" spans="1:5" x14ac:dyDescent="0.25">
      <c r="A240" s="453">
        <f t="shared" si="3"/>
        <v>239</v>
      </c>
      <c r="B240" s="452">
        <f>'Maxs Tool'!J240</f>
        <v>19</v>
      </c>
      <c r="C240" s="452">
        <f>'Maxs Tool'!K240</f>
        <v>43.86</v>
      </c>
      <c r="D240" s="452">
        <f>'Maxs Tool'!L240</f>
        <v>9.66</v>
      </c>
      <c r="E240" s="452">
        <f>'Maxs Tool'!M240</f>
        <v>1.5</v>
      </c>
    </row>
    <row r="241" spans="1:5" x14ac:dyDescent="0.25">
      <c r="A241" s="453">
        <f t="shared" si="3"/>
        <v>240</v>
      </c>
      <c r="B241" s="452">
        <f>'Maxs Tool'!J241</f>
        <v>19</v>
      </c>
      <c r="C241" s="452">
        <f>'Maxs Tool'!K241</f>
        <v>43.86</v>
      </c>
      <c r="D241" s="452">
        <f>'Maxs Tool'!L241</f>
        <v>9.91</v>
      </c>
      <c r="E241" s="452">
        <f>'Maxs Tool'!M241</f>
        <v>2</v>
      </c>
    </row>
    <row r="242" spans="1:5" x14ac:dyDescent="0.25">
      <c r="A242" s="453">
        <f t="shared" si="3"/>
        <v>241</v>
      </c>
      <c r="B242" s="452">
        <f>'Maxs Tool'!J242</f>
        <v>19</v>
      </c>
      <c r="C242" s="452">
        <f>'Maxs Tool'!K242</f>
        <v>43.86</v>
      </c>
      <c r="D242" s="452">
        <f>'Maxs Tool'!L242</f>
        <v>10.5</v>
      </c>
      <c r="E242" s="452">
        <f>'Maxs Tool'!M242</f>
        <v>4</v>
      </c>
    </row>
    <row r="243" spans="1:5" x14ac:dyDescent="0.25">
      <c r="A243" s="453">
        <f t="shared" si="3"/>
        <v>242</v>
      </c>
      <c r="B243" s="452">
        <f>'Maxs Tool'!J243</f>
        <v>19</v>
      </c>
      <c r="C243" s="452">
        <f>'Maxs Tool'!K243</f>
        <v>43.86</v>
      </c>
      <c r="D243" s="452">
        <f>'Maxs Tool'!L243</f>
        <v>10.7</v>
      </c>
      <c r="E243" s="452">
        <f>'Maxs Tool'!M243</f>
        <v>6</v>
      </c>
    </row>
    <row r="244" spans="1:5" x14ac:dyDescent="0.25">
      <c r="A244" s="453">
        <f t="shared" si="3"/>
        <v>243</v>
      </c>
      <c r="B244" s="452">
        <f>'Maxs Tool'!J244</f>
        <v>19</v>
      </c>
      <c r="C244" s="452">
        <f>'Maxs Tool'!K244</f>
        <v>43.86</v>
      </c>
      <c r="D244" s="452">
        <f>'Maxs Tool'!L244</f>
        <v>10.8</v>
      </c>
      <c r="E244" s="452">
        <f>'Maxs Tool'!M244</f>
        <v>8</v>
      </c>
    </row>
    <row r="245" spans="1:5" x14ac:dyDescent="0.25">
      <c r="A245" s="453">
        <f t="shared" si="3"/>
        <v>244</v>
      </c>
      <c r="B245" s="452">
        <f>'Maxs Tool'!J245</f>
        <v>19</v>
      </c>
      <c r="C245" s="452">
        <f>'Maxs Tool'!K245</f>
        <v>43.86</v>
      </c>
      <c r="D245" s="452">
        <f>'Maxs Tool'!L245</f>
        <v>10.89</v>
      </c>
      <c r="E245" s="452">
        <f>'Maxs Tool'!M245</f>
        <v>9.6999999999999993</v>
      </c>
    </row>
    <row r="246" spans="1:5" x14ac:dyDescent="0.25">
      <c r="A246" s="453">
        <f t="shared" si="3"/>
        <v>245</v>
      </c>
      <c r="B246" s="452">
        <f>'Maxs Tool'!J246</f>
        <v>19</v>
      </c>
      <c r="C246" s="452">
        <f>'Maxs Tool'!K246</f>
        <v>43.86</v>
      </c>
      <c r="D246" s="452">
        <f>'Maxs Tool'!L246</f>
        <v>10.9</v>
      </c>
      <c r="E246" s="452">
        <f>'Maxs Tool'!M246</f>
        <v>10</v>
      </c>
    </row>
    <row r="247" spans="1:5" x14ac:dyDescent="0.25">
      <c r="A247" s="453">
        <f t="shared" si="3"/>
        <v>246</v>
      </c>
      <c r="B247" s="452">
        <f>'Maxs Tool'!J247</f>
        <v>19</v>
      </c>
      <c r="C247" s="452">
        <f>'Maxs Tool'!K247</f>
        <v>43.86</v>
      </c>
      <c r="D247" s="452">
        <f>'Maxs Tool'!L247</f>
        <v>11</v>
      </c>
      <c r="E247" s="452">
        <f>'Maxs Tool'!M247</f>
        <v>12</v>
      </c>
    </row>
    <row r="248" spans="1:5" x14ac:dyDescent="0.25">
      <c r="A248" s="453">
        <f t="shared" si="3"/>
        <v>247</v>
      </c>
      <c r="B248" s="452">
        <f>'Maxs Tool'!J248</f>
        <v>19</v>
      </c>
      <c r="C248" s="452">
        <f>'Maxs Tool'!K248</f>
        <v>43.86</v>
      </c>
      <c r="D248" s="452">
        <f>'Maxs Tool'!L248</f>
        <v>11</v>
      </c>
      <c r="E248" s="452">
        <f>'Maxs Tool'!M248</f>
        <v>13</v>
      </c>
    </row>
    <row r="249" spans="1:5" x14ac:dyDescent="0.25">
      <c r="A249" s="453">
        <f t="shared" si="3"/>
        <v>248</v>
      </c>
      <c r="B249" s="452">
        <f>'Maxs Tool'!J249</f>
        <v>20</v>
      </c>
      <c r="C249" s="452">
        <f>'Maxs Tool'!K249</f>
        <v>51.17</v>
      </c>
      <c r="D249" s="452">
        <f>'Maxs Tool'!L249</f>
        <v>0</v>
      </c>
      <c r="E249" s="452">
        <f>'Maxs Tool'!M249</f>
        <v>0</v>
      </c>
    </row>
    <row r="250" spans="1:5" x14ac:dyDescent="0.25">
      <c r="A250" s="453">
        <f t="shared" si="3"/>
        <v>249</v>
      </c>
      <c r="B250" s="452">
        <f>'Maxs Tool'!J250</f>
        <v>20</v>
      </c>
      <c r="C250" s="452">
        <f>'Maxs Tool'!K250</f>
        <v>51.17</v>
      </c>
      <c r="D250" s="452">
        <f>'Maxs Tool'!L250</f>
        <v>5.6</v>
      </c>
      <c r="E250" s="452">
        <f>'Maxs Tool'!M250</f>
        <v>0</v>
      </c>
    </row>
    <row r="251" spans="1:5" x14ac:dyDescent="0.25">
      <c r="A251" s="453">
        <f t="shared" si="3"/>
        <v>250</v>
      </c>
      <c r="B251" s="452">
        <f>'Maxs Tool'!J251</f>
        <v>20</v>
      </c>
      <c r="C251" s="452">
        <f>'Maxs Tool'!K251</f>
        <v>51.17</v>
      </c>
      <c r="D251" s="452">
        <f>'Maxs Tool'!L251</f>
        <v>6.89</v>
      </c>
      <c r="E251" s="452">
        <f>'Maxs Tool'!M251</f>
        <v>0.5</v>
      </c>
    </row>
    <row r="252" spans="1:5" x14ac:dyDescent="0.25">
      <c r="A252" s="453">
        <f t="shared" si="3"/>
        <v>251</v>
      </c>
      <c r="B252" s="452">
        <f>'Maxs Tool'!J252</f>
        <v>20</v>
      </c>
      <c r="C252" s="452">
        <f>'Maxs Tool'!K252</f>
        <v>51.17</v>
      </c>
      <c r="D252" s="452">
        <f>'Maxs Tool'!L252</f>
        <v>7.56</v>
      </c>
      <c r="E252" s="452">
        <f>'Maxs Tool'!M252</f>
        <v>1</v>
      </c>
    </row>
    <row r="253" spans="1:5" x14ac:dyDescent="0.25">
      <c r="A253" s="453">
        <f t="shared" si="3"/>
        <v>252</v>
      </c>
      <c r="B253" s="452">
        <f>'Maxs Tool'!J253</f>
        <v>20</v>
      </c>
      <c r="C253" s="452">
        <f>'Maxs Tool'!K253</f>
        <v>51.17</v>
      </c>
      <c r="D253" s="452">
        <f>'Maxs Tool'!L253</f>
        <v>8.0399999999999991</v>
      </c>
      <c r="E253" s="452">
        <f>'Maxs Tool'!M253</f>
        <v>1.5</v>
      </c>
    </row>
    <row r="254" spans="1:5" x14ac:dyDescent="0.25">
      <c r="A254" s="453">
        <f t="shared" si="3"/>
        <v>253</v>
      </c>
      <c r="B254" s="452">
        <f>'Maxs Tool'!J254</f>
        <v>20</v>
      </c>
      <c r="C254" s="452">
        <f>'Maxs Tool'!K254</f>
        <v>51.17</v>
      </c>
      <c r="D254" s="452">
        <f>'Maxs Tool'!L254</f>
        <v>8.42</v>
      </c>
      <c r="E254" s="452">
        <f>'Maxs Tool'!M254</f>
        <v>2</v>
      </c>
    </row>
    <row r="255" spans="1:5" x14ac:dyDescent="0.25">
      <c r="A255" s="453">
        <f t="shared" si="3"/>
        <v>254</v>
      </c>
      <c r="B255" s="452">
        <f>'Maxs Tool'!J255</f>
        <v>20</v>
      </c>
      <c r="C255" s="452">
        <f>'Maxs Tool'!K255</f>
        <v>51.17</v>
      </c>
      <c r="D255" s="452">
        <f>'Maxs Tool'!L255</f>
        <v>9.32</v>
      </c>
      <c r="E255" s="452">
        <f>'Maxs Tool'!M255</f>
        <v>4</v>
      </c>
    </row>
    <row r="256" spans="1:5" x14ac:dyDescent="0.25">
      <c r="A256" s="453">
        <f t="shared" si="3"/>
        <v>255</v>
      </c>
      <c r="B256" s="452">
        <f>'Maxs Tool'!J256</f>
        <v>20</v>
      </c>
      <c r="C256" s="452">
        <f>'Maxs Tool'!K256</f>
        <v>51.17</v>
      </c>
      <c r="D256" s="452">
        <f>'Maxs Tool'!L256</f>
        <v>9.69</v>
      </c>
      <c r="E256" s="452">
        <f>'Maxs Tool'!M256</f>
        <v>6</v>
      </c>
    </row>
    <row r="257" spans="1:5" x14ac:dyDescent="0.25">
      <c r="A257" s="453">
        <f t="shared" si="3"/>
        <v>256</v>
      </c>
      <c r="B257" s="452">
        <f>'Maxs Tool'!J257</f>
        <v>20</v>
      </c>
      <c r="C257" s="452">
        <f>'Maxs Tool'!K257</f>
        <v>51.17</v>
      </c>
      <c r="D257" s="452">
        <f>'Maxs Tool'!L257</f>
        <v>9.99</v>
      </c>
      <c r="E257" s="452">
        <f>'Maxs Tool'!M257</f>
        <v>8</v>
      </c>
    </row>
    <row r="258" spans="1:5" x14ac:dyDescent="0.25">
      <c r="A258" s="453">
        <f t="shared" si="3"/>
        <v>257</v>
      </c>
      <c r="B258" s="452">
        <f>'Maxs Tool'!J258</f>
        <v>20</v>
      </c>
      <c r="C258" s="452">
        <f>'Maxs Tool'!K258</f>
        <v>51.17</v>
      </c>
      <c r="D258" s="452">
        <f>'Maxs Tool'!L258</f>
        <v>10.23</v>
      </c>
      <c r="E258" s="452">
        <f>'Maxs Tool'!M258</f>
        <v>9.6999999999999993</v>
      </c>
    </row>
    <row r="259" spans="1:5" x14ac:dyDescent="0.25">
      <c r="A259" s="453">
        <f t="shared" ref="A259:A322" si="4">IF(ISNUMBER(D259),ROW()-1,"")</f>
        <v>258</v>
      </c>
      <c r="B259" s="452">
        <f>'Maxs Tool'!J259</f>
        <v>20</v>
      </c>
      <c r="C259" s="452">
        <f>'Maxs Tool'!K259</f>
        <v>51.17</v>
      </c>
      <c r="D259" s="452">
        <f>'Maxs Tool'!L259</f>
        <v>10.27</v>
      </c>
      <c r="E259" s="452">
        <f>'Maxs Tool'!M259</f>
        <v>10</v>
      </c>
    </row>
    <row r="260" spans="1:5" x14ac:dyDescent="0.25">
      <c r="A260" s="453">
        <f t="shared" si="4"/>
        <v>259</v>
      </c>
      <c r="B260" s="452">
        <f>'Maxs Tool'!J260</f>
        <v>20</v>
      </c>
      <c r="C260" s="452">
        <f>'Maxs Tool'!K260</f>
        <v>51.17</v>
      </c>
      <c r="D260" s="452">
        <f>'Maxs Tool'!L260</f>
        <v>10.5</v>
      </c>
      <c r="E260" s="452">
        <f>'Maxs Tool'!M260</f>
        <v>12</v>
      </c>
    </row>
    <row r="261" spans="1:5" x14ac:dyDescent="0.25">
      <c r="A261" s="453">
        <f t="shared" si="4"/>
        <v>260</v>
      </c>
      <c r="B261" s="452">
        <f>'Maxs Tool'!J261</f>
        <v>20</v>
      </c>
      <c r="C261" s="452">
        <f>'Maxs Tool'!K261</f>
        <v>51.17</v>
      </c>
      <c r="D261" s="452">
        <f>'Maxs Tool'!L261</f>
        <v>10.62</v>
      </c>
      <c r="E261" s="452">
        <f>'Maxs Tool'!M261</f>
        <v>13</v>
      </c>
    </row>
    <row r="262" spans="1:5" x14ac:dyDescent="0.25">
      <c r="A262" s="453">
        <f t="shared" si="4"/>
        <v>261</v>
      </c>
      <c r="B262" s="452">
        <f>'Maxs Tool'!J262</f>
        <v>21</v>
      </c>
      <c r="C262" s="452">
        <f>'Maxs Tool'!K262</f>
        <v>58.47999999999999</v>
      </c>
      <c r="D262" s="452">
        <f>'Maxs Tool'!L262</f>
        <v>0</v>
      </c>
      <c r="E262" s="452">
        <f>'Maxs Tool'!M262</f>
        <v>0</v>
      </c>
    </row>
    <row r="263" spans="1:5" x14ac:dyDescent="0.25">
      <c r="A263" s="453">
        <f t="shared" si="4"/>
        <v>262</v>
      </c>
      <c r="B263" s="452">
        <f>'Maxs Tool'!J263</f>
        <v>21</v>
      </c>
      <c r="C263" s="452">
        <f>'Maxs Tool'!K263</f>
        <v>58.47999999999999</v>
      </c>
      <c r="D263" s="452">
        <f>'Maxs Tool'!L263</f>
        <v>3.5</v>
      </c>
      <c r="E263" s="452">
        <f>'Maxs Tool'!M263</f>
        <v>0</v>
      </c>
    </row>
    <row r="264" spans="1:5" x14ac:dyDescent="0.25">
      <c r="A264" s="453">
        <f t="shared" si="4"/>
        <v>263</v>
      </c>
      <c r="B264" s="452">
        <f>'Maxs Tool'!J264</f>
        <v>21</v>
      </c>
      <c r="C264" s="452">
        <f>'Maxs Tool'!K264</f>
        <v>58.47999999999999</v>
      </c>
      <c r="D264" s="452">
        <f>'Maxs Tool'!L264</f>
        <v>4.6500000000000004</v>
      </c>
      <c r="E264" s="452">
        <f>'Maxs Tool'!M264</f>
        <v>0.5</v>
      </c>
    </row>
    <row r="265" spans="1:5" x14ac:dyDescent="0.25">
      <c r="A265" s="453">
        <f t="shared" si="4"/>
        <v>264</v>
      </c>
      <c r="B265" s="452">
        <f>'Maxs Tool'!J265</f>
        <v>21</v>
      </c>
      <c r="C265" s="452">
        <f>'Maxs Tool'!K265</f>
        <v>58.47999999999999</v>
      </c>
      <c r="D265" s="452">
        <f>'Maxs Tool'!L265</f>
        <v>5.35</v>
      </c>
      <c r="E265" s="452">
        <f>'Maxs Tool'!M265</f>
        <v>1</v>
      </c>
    </row>
    <row r="266" spans="1:5" x14ac:dyDescent="0.25">
      <c r="A266" s="453">
        <f t="shared" si="4"/>
        <v>265</v>
      </c>
      <c r="B266" s="452">
        <f>'Maxs Tool'!J266</f>
        <v>21</v>
      </c>
      <c r="C266" s="452">
        <f>'Maxs Tool'!K266</f>
        <v>58.47999999999999</v>
      </c>
      <c r="D266" s="452">
        <f>'Maxs Tool'!L266</f>
        <v>5.87</v>
      </c>
      <c r="E266" s="452">
        <f>'Maxs Tool'!M266</f>
        <v>1.5</v>
      </c>
    </row>
    <row r="267" spans="1:5" x14ac:dyDescent="0.25">
      <c r="A267" s="453">
        <f t="shared" si="4"/>
        <v>266</v>
      </c>
      <c r="B267" s="452">
        <f>'Maxs Tool'!J267</f>
        <v>21</v>
      </c>
      <c r="C267" s="452">
        <f>'Maxs Tool'!K267</f>
        <v>58.47999999999999</v>
      </c>
      <c r="D267" s="452">
        <f>'Maxs Tool'!L267</f>
        <v>6.21</v>
      </c>
      <c r="E267" s="452">
        <f>'Maxs Tool'!M267</f>
        <v>2</v>
      </c>
    </row>
    <row r="268" spans="1:5" x14ac:dyDescent="0.25">
      <c r="A268" s="453">
        <f t="shared" si="4"/>
        <v>267</v>
      </c>
      <c r="B268" s="452">
        <f>'Maxs Tool'!J268</f>
        <v>21</v>
      </c>
      <c r="C268" s="452">
        <f>'Maxs Tool'!K268</f>
        <v>58.47999999999999</v>
      </c>
      <c r="D268" s="452">
        <f>'Maxs Tool'!L268</f>
        <v>7.08</v>
      </c>
      <c r="E268" s="452">
        <f>'Maxs Tool'!M268</f>
        <v>4</v>
      </c>
    </row>
    <row r="269" spans="1:5" x14ac:dyDescent="0.25">
      <c r="A269" s="453">
        <f t="shared" si="4"/>
        <v>268</v>
      </c>
      <c r="B269" s="452">
        <f>'Maxs Tool'!J269</f>
        <v>21</v>
      </c>
      <c r="C269" s="452">
        <f>'Maxs Tool'!K269</f>
        <v>58.47999999999999</v>
      </c>
      <c r="D269" s="452">
        <f>'Maxs Tool'!L269</f>
        <v>7.57</v>
      </c>
      <c r="E269" s="452">
        <f>'Maxs Tool'!M269</f>
        <v>6</v>
      </c>
    </row>
    <row r="270" spans="1:5" x14ac:dyDescent="0.25">
      <c r="A270" s="453">
        <f t="shared" si="4"/>
        <v>269</v>
      </c>
      <c r="B270" s="452">
        <f>'Maxs Tool'!J270</f>
        <v>21</v>
      </c>
      <c r="C270" s="452">
        <f>'Maxs Tool'!K270</f>
        <v>58.47999999999999</v>
      </c>
      <c r="D270" s="452">
        <f>'Maxs Tool'!L270</f>
        <v>7.9291999999999998</v>
      </c>
      <c r="E270" s="452">
        <f>'Maxs Tool'!M270</f>
        <v>8</v>
      </c>
    </row>
    <row r="271" spans="1:5" x14ac:dyDescent="0.25">
      <c r="A271" s="453">
        <f t="shared" si="4"/>
        <v>270</v>
      </c>
      <c r="B271" s="452">
        <f>'Maxs Tool'!J271</f>
        <v>21</v>
      </c>
      <c r="C271" s="452">
        <f>'Maxs Tool'!K271</f>
        <v>58.47999999999999</v>
      </c>
      <c r="D271" s="452">
        <f>'Maxs Tool'!L271</f>
        <v>8.3511000000000006</v>
      </c>
      <c r="E271" s="452">
        <f>'Maxs Tool'!M271</f>
        <v>9.6999999999999993</v>
      </c>
    </row>
    <row r="272" spans="1:5" x14ac:dyDescent="0.25">
      <c r="A272" s="453">
        <f t="shared" si="4"/>
        <v>271</v>
      </c>
      <c r="B272" s="452">
        <f>'Maxs Tool'!J272</f>
        <v>21</v>
      </c>
      <c r="C272" s="452">
        <f>'Maxs Tool'!K272</f>
        <v>58.47999999999999</v>
      </c>
      <c r="D272" s="452">
        <f>'Maxs Tool'!L272</f>
        <v>8.43</v>
      </c>
      <c r="E272" s="452">
        <f>'Maxs Tool'!M272</f>
        <v>10</v>
      </c>
    </row>
    <row r="273" spans="1:5" x14ac:dyDescent="0.25">
      <c r="A273" s="453">
        <f t="shared" si="4"/>
        <v>272</v>
      </c>
      <c r="B273" s="452">
        <f>'Maxs Tool'!J273</f>
        <v>21</v>
      </c>
      <c r="C273" s="452">
        <f>'Maxs Tool'!K273</f>
        <v>58.47999999999999</v>
      </c>
      <c r="D273" s="452">
        <f>'Maxs Tool'!L273</f>
        <v>8.92</v>
      </c>
      <c r="E273" s="452">
        <f>'Maxs Tool'!M273</f>
        <v>12</v>
      </c>
    </row>
    <row r="274" spans="1:5" x14ac:dyDescent="0.25">
      <c r="A274" s="453">
        <f t="shared" si="4"/>
        <v>273</v>
      </c>
      <c r="B274" s="452">
        <f>'Maxs Tool'!J274</f>
        <v>21</v>
      </c>
      <c r="C274" s="452">
        <f>'Maxs Tool'!K274</f>
        <v>58.47999999999999</v>
      </c>
      <c r="D274" s="452">
        <f>'Maxs Tool'!L274</f>
        <v>9.16</v>
      </c>
      <c r="E274" s="452">
        <f>'Maxs Tool'!M274</f>
        <v>13</v>
      </c>
    </row>
    <row r="275" spans="1:5" x14ac:dyDescent="0.25">
      <c r="A275" s="453">
        <f t="shared" si="4"/>
        <v>274</v>
      </c>
      <c r="B275" s="452">
        <f>'Maxs Tool'!J275</f>
        <v>22</v>
      </c>
      <c r="C275" s="452">
        <f>'Maxs Tool'!K275</f>
        <v>62.134999999999991</v>
      </c>
      <c r="D275" s="452">
        <f>'Maxs Tool'!L275</f>
        <v>0</v>
      </c>
      <c r="E275" s="452">
        <f>'Maxs Tool'!M275</f>
        <v>0</v>
      </c>
    </row>
    <row r="276" spans="1:5" x14ac:dyDescent="0.25">
      <c r="A276" s="453">
        <f t="shared" si="4"/>
        <v>275</v>
      </c>
      <c r="B276" s="452">
        <f>'Maxs Tool'!J276</f>
        <v>22</v>
      </c>
      <c r="C276" s="452">
        <f>'Maxs Tool'!K276</f>
        <v>62.134999999999991</v>
      </c>
      <c r="D276" s="452">
        <f>'Maxs Tool'!L276</f>
        <v>2.2999999999999998</v>
      </c>
      <c r="E276" s="452">
        <f>'Maxs Tool'!M276</f>
        <v>0</v>
      </c>
    </row>
    <row r="277" spans="1:5" x14ac:dyDescent="0.25">
      <c r="A277" s="453">
        <f t="shared" si="4"/>
        <v>276</v>
      </c>
      <c r="B277" s="452">
        <f>'Maxs Tool'!J277</f>
        <v>22</v>
      </c>
      <c r="C277" s="452">
        <f>'Maxs Tool'!K277</f>
        <v>62.134999999999991</v>
      </c>
      <c r="D277" s="452">
        <f>'Maxs Tool'!L277</f>
        <v>3.43</v>
      </c>
      <c r="E277" s="452">
        <f>'Maxs Tool'!M277</f>
        <v>0.5</v>
      </c>
    </row>
    <row r="278" spans="1:5" x14ac:dyDescent="0.25">
      <c r="A278" s="453">
        <f t="shared" si="4"/>
        <v>277</v>
      </c>
      <c r="B278" s="452">
        <f>'Maxs Tool'!J278</f>
        <v>22</v>
      </c>
      <c r="C278" s="452">
        <f>'Maxs Tool'!K278</f>
        <v>62.134999999999991</v>
      </c>
      <c r="D278" s="452">
        <f>'Maxs Tool'!L278</f>
        <v>4.13</v>
      </c>
      <c r="E278" s="452">
        <f>'Maxs Tool'!M278</f>
        <v>1</v>
      </c>
    </row>
    <row r="279" spans="1:5" x14ac:dyDescent="0.25">
      <c r="A279" s="453">
        <f t="shared" si="4"/>
        <v>278</v>
      </c>
      <c r="B279" s="452">
        <f>'Maxs Tool'!J279</f>
        <v>22</v>
      </c>
      <c r="C279" s="452">
        <f>'Maxs Tool'!K279</f>
        <v>62.134999999999991</v>
      </c>
      <c r="D279" s="452">
        <f>'Maxs Tool'!L279</f>
        <v>4.58</v>
      </c>
      <c r="E279" s="452">
        <f>'Maxs Tool'!M279</f>
        <v>1.5</v>
      </c>
    </row>
    <row r="280" spans="1:5" x14ac:dyDescent="0.25">
      <c r="A280" s="453">
        <f t="shared" si="4"/>
        <v>279</v>
      </c>
      <c r="B280" s="452">
        <f>'Maxs Tool'!J280</f>
        <v>22</v>
      </c>
      <c r="C280" s="452">
        <f>'Maxs Tool'!K280</f>
        <v>62.134999999999991</v>
      </c>
      <c r="D280" s="452">
        <f>'Maxs Tool'!L280</f>
        <v>4.91</v>
      </c>
      <c r="E280" s="452">
        <f>'Maxs Tool'!M280</f>
        <v>2</v>
      </c>
    </row>
    <row r="281" spans="1:5" x14ac:dyDescent="0.25">
      <c r="A281" s="453">
        <f t="shared" si="4"/>
        <v>280</v>
      </c>
      <c r="B281" s="452">
        <f>'Maxs Tool'!J281</f>
        <v>22</v>
      </c>
      <c r="C281" s="452">
        <f>'Maxs Tool'!K281</f>
        <v>62.134999999999991</v>
      </c>
      <c r="D281" s="452">
        <f>'Maxs Tool'!L281</f>
        <v>5.63</v>
      </c>
      <c r="E281" s="452">
        <f>'Maxs Tool'!M281</f>
        <v>4</v>
      </c>
    </row>
    <row r="282" spans="1:5" x14ac:dyDescent="0.25">
      <c r="A282" s="453">
        <f t="shared" si="4"/>
        <v>281</v>
      </c>
      <c r="B282" s="452">
        <f>'Maxs Tool'!J282</f>
        <v>22</v>
      </c>
      <c r="C282" s="452">
        <f>'Maxs Tool'!K282</f>
        <v>62.134999999999991</v>
      </c>
      <c r="D282" s="452">
        <f>'Maxs Tool'!L282</f>
        <v>6.05</v>
      </c>
      <c r="E282" s="452">
        <f>'Maxs Tool'!M282</f>
        <v>6</v>
      </c>
    </row>
    <row r="283" spans="1:5" x14ac:dyDescent="0.25">
      <c r="A283" s="453">
        <f t="shared" si="4"/>
        <v>282</v>
      </c>
      <c r="B283" s="452">
        <f>'Maxs Tool'!J283</f>
        <v>22</v>
      </c>
      <c r="C283" s="452">
        <f>'Maxs Tool'!K283</f>
        <v>62.134999999999991</v>
      </c>
      <c r="D283" s="452">
        <f>'Maxs Tool'!L283</f>
        <v>6.39</v>
      </c>
      <c r="E283" s="452">
        <f>'Maxs Tool'!M283</f>
        <v>8</v>
      </c>
    </row>
    <row r="284" spans="1:5" x14ac:dyDescent="0.25">
      <c r="A284" s="453">
        <f t="shared" si="4"/>
        <v>283</v>
      </c>
      <c r="B284" s="452">
        <f>'Maxs Tool'!J284</f>
        <v>22</v>
      </c>
      <c r="C284" s="452">
        <f>'Maxs Tool'!K284</f>
        <v>62.134999999999991</v>
      </c>
      <c r="D284" s="452">
        <f>'Maxs Tool'!L284</f>
        <v>6.82</v>
      </c>
      <c r="E284" s="452">
        <f>'Maxs Tool'!M284</f>
        <v>9.6999999999999993</v>
      </c>
    </row>
    <row r="285" spans="1:5" x14ac:dyDescent="0.25">
      <c r="A285" s="453">
        <f t="shared" si="4"/>
        <v>284</v>
      </c>
      <c r="B285" s="452">
        <f>'Maxs Tool'!J285</f>
        <v>22</v>
      </c>
      <c r="C285" s="452">
        <f>'Maxs Tool'!K285</f>
        <v>62.134999999999991</v>
      </c>
      <c r="D285" s="452">
        <f>'Maxs Tool'!L285</f>
        <v>6.91</v>
      </c>
      <c r="E285" s="452">
        <f>'Maxs Tool'!M285</f>
        <v>10</v>
      </c>
    </row>
    <row r="286" spans="1:5" x14ac:dyDescent="0.25">
      <c r="A286" s="453">
        <f t="shared" si="4"/>
        <v>285</v>
      </c>
      <c r="B286" s="452">
        <f>'Maxs Tool'!J286</f>
        <v>22</v>
      </c>
      <c r="C286" s="452">
        <f>'Maxs Tool'!K286</f>
        <v>62.134999999999991</v>
      </c>
      <c r="D286" s="452">
        <f>'Maxs Tool'!L286</f>
        <v>7.5</v>
      </c>
      <c r="E286" s="452">
        <f>'Maxs Tool'!M286</f>
        <v>12</v>
      </c>
    </row>
    <row r="287" spans="1:5" x14ac:dyDescent="0.25">
      <c r="A287" s="453">
        <f t="shared" si="4"/>
        <v>286</v>
      </c>
      <c r="B287" s="452">
        <f>'Maxs Tool'!J287</f>
        <v>22</v>
      </c>
      <c r="C287" s="452">
        <f>'Maxs Tool'!K287</f>
        <v>62.134999999999991</v>
      </c>
      <c r="D287" s="452">
        <f>'Maxs Tool'!L287</f>
        <v>7.8</v>
      </c>
      <c r="E287" s="452">
        <f>'Maxs Tool'!M287</f>
        <v>13</v>
      </c>
    </row>
    <row r="288" spans="1:5" x14ac:dyDescent="0.25">
      <c r="A288" s="453">
        <f t="shared" si="4"/>
        <v>287</v>
      </c>
      <c r="B288" s="452">
        <f>'Maxs Tool'!J288</f>
        <v>23</v>
      </c>
      <c r="C288" s="452">
        <f>'Maxs Tool'!K288</f>
        <v>65.789999999999992</v>
      </c>
      <c r="D288" s="452">
        <f>'Maxs Tool'!L288</f>
        <v>0</v>
      </c>
      <c r="E288" s="452">
        <f>'Maxs Tool'!M288</f>
        <v>0</v>
      </c>
    </row>
    <row r="289" spans="1:5" x14ac:dyDescent="0.25">
      <c r="A289" s="453">
        <f t="shared" si="4"/>
        <v>288</v>
      </c>
      <c r="B289" s="452">
        <f>'Maxs Tool'!J289</f>
        <v>23</v>
      </c>
      <c r="C289" s="452">
        <f>'Maxs Tool'!K289</f>
        <v>65.789999999999992</v>
      </c>
      <c r="D289" s="452">
        <f>'Maxs Tool'!L289</f>
        <v>1.3</v>
      </c>
      <c r="E289" s="452">
        <f>'Maxs Tool'!M289</f>
        <v>0</v>
      </c>
    </row>
    <row r="290" spans="1:5" x14ac:dyDescent="0.25">
      <c r="A290" s="453">
        <f t="shared" si="4"/>
        <v>289</v>
      </c>
      <c r="B290" s="452">
        <f>'Maxs Tool'!J290</f>
        <v>23</v>
      </c>
      <c r="C290" s="452">
        <f>'Maxs Tool'!K290</f>
        <v>65.789999999999992</v>
      </c>
      <c r="D290" s="452">
        <f>'Maxs Tool'!L290</f>
        <v>2.2999999999999998</v>
      </c>
      <c r="E290" s="452">
        <f>'Maxs Tool'!M290</f>
        <v>0.5</v>
      </c>
    </row>
    <row r="291" spans="1:5" x14ac:dyDescent="0.25">
      <c r="A291" s="453">
        <f t="shared" si="4"/>
        <v>290</v>
      </c>
      <c r="B291" s="452">
        <f>'Maxs Tool'!J291</f>
        <v>23</v>
      </c>
      <c r="C291" s="452">
        <f>'Maxs Tool'!K291</f>
        <v>65.789999999999992</v>
      </c>
      <c r="D291" s="452">
        <f>'Maxs Tool'!L291</f>
        <v>2.84</v>
      </c>
      <c r="E291" s="452">
        <f>'Maxs Tool'!M291</f>
        <v>1</v>
      </c>
    </row>
    <row r="292" spans="1:5" x14ac:dyDescent="0.25">
      <c r="A292" s="453">
        <f t="shared" si="4"/>
        <v>291</v>
      </c>
      <c r="B292" s="452">
        <f>'Maxs Tool'!J292</f>
        <v>23</v>
      </c>
      <c r="C292" s="452">
        <f>'Maxs Tool'!K292</f>
        <v>65.789999999999992</v>
      </c>
      <c r="D292" s="452">
        <f>'Maxs Tool'!L292</f>
        <v>3.25</v>
      </c>
      <c r="E292" s="452">
        <f>'Maxs Tool'!M292</f>
        <v>1.5</v>
      </c>
    </row>
    <row r="293" spans="1:5" x14ac:dyDescent="0.25">
      <c r="A293" s="453">
        <f t="shared" si="4"/>
        <v>292</v>
      </c>
      <c r="B293" s="452">
        <f>'Maxs Tool'!J293</f>
        <v>23</v>
      </c>
      <c r="C293" s="452">
        <f>'Maxs Tool'!K293</f>
        <v>65.789999999999992</v>
      </c>
      <c r="D293" s="452">
        <f>'Maxs Tool'!L293</f>
        <v>3.53</v>
      </c>
      <c r="E293" s="452">
        <f>'Maxs Tool'!M293</f>
        <v>2</v>
      </c>
    </row>
    <row r="294" spans="1:5" x14ac:dyDescent="0.25">
      <c r="A294" s="453">
        <f t="shared" si="4"/>
        <v>293</v>
      </c>
      <c r="B294" s="452">
        <f>'Maxs Tool'!J294</f>
        <v>23</v>
      </c>
      <c r="C294" s="452">
        <f>'Maxs Tool'!K294</f>
        <v>65.789999999999992</v>
      </c>
      <c r="D294" s="452">
        <f>'Maxs Tool'!L294</f>
        <v>4.1100000000000003</v>
      </c>
      <c r="E294" s="452">
        <f>'Maxs Tool'!M294</f>
        <v>4</v>
      </c>
    </row>
    <row r="295" spans="1:5" x14ac:dyDescent="0.25">
      <c r="A295" s="453">
        <f t="shared" si="4"/>
        <v>294</v>
      </c>
      <c r="B295" s="452">
        <f>'Maxs Tool'!J295</f>
        <v>23</v>
      </c>
      <c r="C295" s="452">
        <f>'Maxs Tool'!K295</f>
        <v>65.789999999999992</v>
      </c>
      <c r="D295" s="452">
        <f>'Maxs Tool'!L295</f>
        <v>4.2300000000000004</v>
      </c>
      <c r="E295" s="452">
        <f>'Maxs Tool'!M295</f>
        <v>6</v>
      </c>
    </row>
    <row r="296" spans="1:5" x14ac:dyDescent="0.25">
      <c r="A296" s="453">
        <f t="shared" si="4"/>
        <v>295</v>
      </c>
      <c r="B296" s="452">
        <f>'Maxs Tool'!J296</f>
        <v>23</v>
      </c>
      <c r="C296" s="452">
        <f>'Maxs Tool'!K296</f>
        <v>65.789999999999992</v>
      </c>
      <c r="D296" s="452">
        <f>'Maxs Tool'!L296</f>
        <v>4.47</v>
      </c>
      <c r="E296" s="452">
        <f>'Maxs Tool'!M296</f>
        <v>8</v>
      </c>
    </row>
    <row r="297" spans="1:5" x14ac:dyDescent="0.25">
      <c r="A297" s="453">
        <f t="shared" si="4"/>
        <v>296</v>
      </c>
      <c r="B297" s="452">
        <f>'Maxs Tool'!J297</f>
        <v>23</v>
      </c>
      <c r="C297" s="452">
        <f>'Maxs Tool'!K297</f>
        <v>65.789999999999992</v>
      </c>
      <c r="D297" s="452">
        <f>'Maxs Tool'!L297</f>
        <v>4.87</v>
      </c>
      <c r="E297" s="452">
        <f>'Maxs Tool'!M297</f>
        <v>9.6999999999999993</v>
      </c>
    </row>
    <row r="298" spans="1:5" x14ac:dyDescent="0.25">
      <c r="A298" s="453">
        <f t="shared" si="4"/>
        <v>297</v>
      </c>
      <c r="B298" s="452">
        <f>'Maxs Tool'!J298</f>
        <v>23</v>
      </c>
      <c r="C298" s="452">
        <f>'Maxs Tool'!K298</f>
        <v>65.789999999999992</v>
      </c>
      <c r="D298" s="452">
        <f>'Maxs Tool'!L298</f>
        <v>4.9399999999999995</v>
      </c>
      <c r="E298" s="452">
        <f>'Maxs Tool'!M298</f>
        <v>10</v>
      </c>
    </row>
    <row r="299" spans="1:5" x14ac:dyDescent="0.25">
      <c r="A299" s="453">
        <f t="shared" si="4"/>
        <v>298</v>
      </c>
      <c r="B299" s="452">
        <f>'Maxs Tool'!J299</f>
        <v>23</v>
      </c>
      <c r="C299" s="452">
        <f>'Maxs Tool'!K299</f>
        <v>65.789999999999992</v>
      </c>
      <c r="D299" s="452">
        <f>'Maxs Tool'!L299</f>
        <v>5.59</v>
      </c>
      <c r="E299" s="452">
        <f>'Maxs Tool'!M299</f>
        <v>12</v>
      </c>
    </row>
    <row r="300" spans="1:5" x14ac:dyDescent="0.25">
      <c r="A300" s="453">
        <f t="shared" si="4"/>
        <v>299</v>
      </c>
      <c r="B300" s="452">
        <f>'Maxs Tool'!J300</f>
        <v>23</v>
      </c>
      <c r="C300" s="452">
        <f>'Maxs Tool'!K300</f>
        <v>65.789999999999992</v>
      </c>
      <c r="D300" s="452">
        <f>'Maxs Tool'!L300</f>
        <v>5.94</v>
      </c>
      <c r="E300" s="452">
        <f>'Maxs Tool'!M300</f>
        <v>13</v>
      </c>
    </row>
    <row r="301" spans="1:5" x14ac:dyDescent="0.25">
      <c r="A301" s="453">
        <f t="shared" si="4"/>
        <v>300</v>
      </c>
      <c r="B301" s="452">
        <f>'Maxs Tool'!J301</f>
        <v>24</v>
      </c>
      <c r="C301" s="452">
        <f>'Maxs Tool'!K301</f>
        <v>69.444999999999993</v>
      </c>
      <c r="D301" s="452">
        <f>'Maxs Tool'!L301</f>
        <v>0</v>
      </c>
      <c r="E301" s="452">
        <f>'Maxs Tool'!M301</f>
        <v>0</v>
      </c>
    </row>
    <row r="302" spans="1:5" x14ac:dyDescent="0.25">
      <c r="A302" s="453">
        <f t="shared" si="4"/>
        <v>301</v>
      </c>
      <c r="B302" s="452">
        <f>'Maxs Tool'!J302</f>
        <v>24</v>
      </c>
      <c r="C302" s="452">
        <f>'Maxs Tool'!K302</f>
        <v>69.444999999999993</v>
      </c>
      <c r="D302" s="452">
        <f>'Maxs Tool'!L302</f>
        <v>0.4</v>
      </c>
      <c r="E302" s="452">
        <f>'Maxs Tool'!M302</f>
        <v>0</v>
      </c>
    </row>
    <row r="303" spans="1:5" x14ac:dyDescent="0.25">
      <c r="A303" s="453">
        <f t="shared" si="4"/>
        <v>302</v>
      </c>
      <c r="B303" s="452">
        <f>'Maxs Tool'!J303</f>
        <v>24</v>
      </c>
      <c r="C303" s="452">
        <f>'Maxs Tool'!K303</f>
        <v>69.444999999999993</v>
      </c>
      <c r="D303" s="452">
        <f>'Maxs Tool'!L303</f>
        <v>1.21</v>
      </c>
      <c r="E303" s="452">
        <f>'Maxs Tool'!M303</f>
        <v>0.5</v>
      </c>
    </row>
    <row r="304" spans="1:5" x14ac:dyDescent="0.25">
      <c r="A304" s="453">
        <f t="shared" si="4"/>
        <v>303</v>
      </c>
      <c r="B304" s="452">
        <f>'Maxs Tool'!J304</f>
        <v>24</v>
      </c>
      <c r="C304" s="452">
        <f>'Maxs Tool'!K304</f>
        <v>69.444999999999993</v>
      </c>
      <c r="D304" s="452">
        <f>'Maxs Tool'!L304</f>
        <v>1.69</v>
      </c>
      <c r="E304" s="452">
        <f>'Maxs Tool'!M304</f>
        <v>1</v>
      </c>
    </row>
    <row r="305" spans="1:5" x14ac:dyDescent="0.25">
      <c r="A305" s="453">
        <f t="shared" si="4"/>
        <v>304</v>
      </c>
      <c r="B305" s="452">
        <f>'Maxs Tool'!J305</f>
        <v>24</v>
      </c>
      <c r="C305" s="452">
        <f>'Maxs Tool'!K305</f>
        <v>69.444999999999993</v>
      </c>
      <c r="D305" s="452">
        <f>'Maxs Tool'!L305</f>
        <v>2.02</v>
      </c>
      <c r="E305" s="452">
        <f>'Maxs Tool'!M305</f>
        <v>1.5</v>
      </c>
    </row>
    <row r="306" spans="1:5" x14ac:dyDescent="0.25">
      <c r="A306" s="453">
        <f t="shared" si="4"/>
        <v>305</v>
      </c>
      <c r="B306" s="452">
        <f>'Maxs Tool'!J306</f>
        <v>24</v>
      </c>
      <c r="C306" s="452">
        <f>'Maxs Tool'!K306</f>
        <v>69.444999999999993</v>
      </c>
      <c r="D306" s="452">
        <f>'Maxs Tool'!L306</f>
        <v>2.29</v>
      </c>
      <c r="E306" s="452">
        <f>'Maxs Tool'!M306</f>
        <v>2</v>
      </c>
    </row>
    <row r="307" spans="1:5" x14ac:dyDescent="0.25">
      <c r="A307" s="453">
        <f t="shared" si="4"/>
        <v>306</v>
      </c>
      <c r="B307" s="452">
        <f>'Maxs Tool'!J307</f>
        <v>24</v>
      </c>
      <c r="C307" s="452">
        <f>'Maxs Tool'!K307</f>
        <v>69.444999999999993</v>
      </c>
      <c r="D307" s="452">
        <f>'Maxs Tool'!L307</f>
        <v>2.63</v>
      </c>
      <c r="E307" s="452">
        <f>'Maxs Tool'!M307</f>
        <v>4</v>
      </c>
    </row>
    <row r="308" spans="1:5" x14ac:dyDescent="0.25">
      <c r="A308" s="453">
        <f t="shared" si="4"/>
        <v>307</v>
      </c>
      <c r="B308" s="452">
        <f>'Maxs Tool'!J308</f>
        <v>24</v>
      </c>
      <c r="C308" s="452">
        <f>'Maxs Tool'!K308</f>
        <v>69.444999999999993</v>
      </c>
      <c r="D308" s="452">
        <f>'Maxs Tool'!L308</f>
        <v>2.38</v>
      </c>
      <c r="E308" s="452">
        <f>'Maxs Tool'!M308</f>
        <v>6</v>
      </c>
    </row>
    <row r="309" spans="1:5" x14ac:dyDescent="0.25">
      <c r="A309" s="453">
        <f t="shared" si="4"/>
        <v>308</v>
      </c>
      <c r="B309" s="452">
        <f>'Maxs Tool'!J309</f>
        <v>24</v>
      </c>
      <c r="C309" s="452">
        <f>'Maxs Tool'!K309</f>
        <v>69.444999999999993</v>
      </c>
      <c r="D309" s="452">
        <f>'Maxs Tool'!L309</f>
        <v>2.25</v>
      </c>
      <c r="E309" s="452">
        <f>'Maxs Tool'!M309</f>
        <v>8</v>
      </c>
    </row>
    <row r="310" spans="1:5" x14ac:dyDescent="0.25">
      <c r="A310" s="453">
        <f t="shared" si="4"/>
        <v>309</v>
      </c>
      <c r="B310" s="452">
        <f>'Maxs Tool'!J310</f>
        <v>24</v>
      </c>
      <c r="C310" s="452">
        <f>'Maxs Tool'!K310</f>
        <v>69.444999999999993</v>
      </c>
      <c r="D310" s="452">
        <f>'Maxs Tool'!L310</f>
        <v>2.42</v>
      </c>
      <c r="E310" s="452">
        <f>'Maxs Tool'!M310</f>
        <v>9.6999999999999993</v>
      </c>
    </row>
    <row r="311" spans="1:5" x14ac:dyDescent="0.25">
      <c r="A311" s="453">
        <f t="shared" si="4"/>
        <v>310</v>
      </c>
      <c r="B311" s="452">
        <f>'Maxs Tool'!J311</f>
        <v>24</v>
      </c>
      <c r="C311" s="452">
        <f>'Maxs Tool'!K311</f>
        <v>69.444999999999993</v>
      </c>
      <c r="D311" s="452">
        <f>'Maxs Tool'!L311</f>
        <v>2.4962</v>
      </c>
      <c r="E311" s="452">
        <f>'Maxs Tool'!M311</f>
        <v>10</v>
      </c>
    </row>
    <row r="312" spans="1:5" x14ac:dyDescent="0.25">
      <c r="A312" s="453">
        <f t="shared" si="4"/>
        <v>311</v>
      </c>
      <c r="B312" s="452">
        <f>'Maxs Tool'!J312</f>
        <v>24</v>
      </c>
      <c r="C312" s="452">
        <f>'Maxs Tool'!K312</f>
        <v>69.444999999999993</v>
      </c>
      <c r="D312" s="452">
        <f>'Maxs Tool'!L312</f>
        <v>3.19</v>
      </c>
      <c r="E312" s="452">
        <f>'Maxs Tool'!M312</f>
        <v>12</v>
      </c>
    </row>
    <row r="313" spans="1:5" x14ac:dyDescent="0.25">
      <c r="A313" s="453">
        <f t="shared" si="4"/>
        <v>312</v>
      </c>
      <c r="B313" s="452">
        <f>'Maxs Tool'!J313</f>
        <v>24</v>
      </c>
      <c r="C313" s="452">
        <f>'Maxs Tool'!K313</f>
        <v>69.444999999999993</v>
      </c>
      <c r="D313" s="452">
        <f>'Maxs Tool'!L313</f>
        <v>3.63</v>
      </c>
      <c r="E313" s="452">
        <f>'Maxs Tool'!M313</f>
        <v>13</v>
      </c>
    </row>
    <row r="314" spans="1:5" x14ac:dyDescent="0.25">
      <c r="A314" s="453">
        <f t="shared" si="4"/>
        <v>313</v>
      </c>
      <c r="B314" s="452">
        <f>'Maxs Tool'!J314</f>
        <v>25</v>
      </c>
      <c r="C314" s="452">
        <f>'Maxs Tool'!K314</f>
        <v>73.099999999999994</v>
      </c>
      <c r="D314" s="452">
        <f>'Maxs Tool'!L314</f>
        <v>0</v>
      </c>
      <c r="E314" s="452">
        <f>'Maxs Tool'!M314</f>
        <v>0</v>
      </c>
    </row>
    <row r="315" spans="1:5" x14ac:dyDescent="0.25">
      <c r="A315" s="453">
        <f t="shared" si="4"/>
        <v>314</v>
      </c>
      <c r="B315" s="452">
        <f>'Maxs Tool'!J315</f>
        <v>25</v>
      </c>
      <c r="C315" s="452">
        <f>'Maxs Tool'!K315</f>
        <v>73.099999999999994</v>
      </c>
      <c r="D315" s="452">
        <f>'Maxs Tool'!L315</f>
        <v>0.1</v>
      </c>
      <c r="E315" s="452">
        <f>'Maxs Tool'!M315</f>
        <v>0</v>
      </c>
    </row>
    <row r="316" spans="1:5" x14ac:dyDescent="0.25">
      <c r="A316" s="453">
        <f t="shared" si="4"/>
        <v>315</v>
      </c>
      <c r="B316" s="452">
        <f>'Maxs Tool'!J316</f>
        <v>25</v>
      </c>
      <c r="C316" s="452">
        <f>'Maxs Tool'!K316</f>
        <v>73.099999999999994</v>
      </c>
      <c r="D316" s="452">
        <f>'Maxs Tool'!L316</f>
        <v>0.8</v>
      </c>
      <c r="E316" s="452">
        <f>'Maxs Tool'!M316</f>
        <v>0.5</v>
      </c>
    </row>
    <row r="317" spans="1:5" x14ac:dyDescent="0.25">
      <c r="A317" s="453">
        <f t="shared" si="4"/>
        <v>316</v>
      </c>
      <c r="B317" s="452">
        <f>'Maxs Tool'!J317</f>
        <v>25</v>
      </c>
      <c r="C317" s="452">
        <f>'Maxs Tool'!K317</f>
        <v>73.099999999999994</v>
      </c>
      <c r="D317" s="452">
        <f>'Maxs Tool'!L317</f>
        <v>1.2</v>
      </c>
      <c r="E317" s="452">
        <f>'Maxs Tool'!M317</f>
        <v>1</v>
      </c>
    </row>
    <row r="318" spans="1:5" x14ac:dyDescent="0.25">
      <c r="A318" s="453">
        <f t="shared" si="4"/>
        <v>317</v>
      </c>
      <c r="B318" s="452">
        <f>'Maxs Tool'!J318</f>
        <v>25</v>
      </c>
      <c r="C318" s="452">
        <f>'Maxs Tool'!K318</f>
        <v>73.099999999999994</v>
      </c>
      <c r="D318" s="452">
        <f>'Maxs Tool'!L318</f>
        <v>1.43</v>
      </c>
      <c r="E318" s="452">
        <f>'Maxs Tool'!M318</f>
        <v>1.5</v>
      </c>
    </row>
    <row r="319" spans="1:5" x14ac:dyDescent="0.25">
      <c r="A319" s="453">
        <f t="shared" si="4"/>
        <v>318</v>
      </c>
      <c r="B319" s="452">
        <f>'Maxs Tool'!J319</f>
        <v>25</v>
      </c>
      <c r="C319" s="452">
        <f>'Maxs Tool'!K319</f>
        <v>73.099999999999994</v>
      </c>
      <c r="D319" s="452">
        <f>'Maxs Tool'!L319</f>
        <v>1.53</v>
      </c>
      <c r="E319" s="452">
        <f>'Maxs Tool'!M319</f>
        <v>2</v>
      </c>
    </row>
    <row r="320" spans="1:5" x14ac:dyDescent="0.25">
      <c r="A320" s="453">
        <f t="shared" si="4"/>
        <v>319</v>
      </c>
      <c r="B320" s="452">
        <f>'Maxs Tool'!J320</f>
        <v>25</v>
      </c>
      <c r="C320" s="452">
        <f>'Maxs Tool'!K320</f>
        <v>73.099999999999994</v>
      </c>
      <c r="D320" s="452">
        <f>'Maxs Tool'!L320</f>
        <v>1.1200000000000001</v>
      </c>
      <c r="E320" s="452">
        <f>'Maxs Tool'!M320</f>
        <v>4</v>
      </c>
    </row>
    <row r="321" spans="1:5" x14ac:dyDescent="0.25">
      <c r="A321" s="453">
        <f t="shared" si="4"/>
        <v>320</v>
      </c>
      <c r="B321" s="452">
        <f>'Maxs Tool'!J321</f>
        <v>25</v>
      </c>
      <c r="C321" s="452">
        <f>'Maxs Tool'!K321</f>
        <v>73.099999999999994</v>
      </c>
      <c r="D321" s="452">
        <f>'Maxs Tool'!L321</f>
        <v>0.5</v>
      </c>
      <c r="E321" s="452">
        <f>'Maxs Tool'!M321</f>
        <v>6</v>
      </c>
    </row>
    <row r="322" spans="1:5" x14ac:dyDescent="0.25">
      <c r="A322" s="453">
        <f t="shared" si="4"/>
        <v>321</v>
      </c>
      <c r="B322" s="452">
        <f>'Maxs Tool'!J322</f>
        <v>25</v>
      </c>
      <c r="C322" s="452">
        <f>'Maxs Tool'!K322</f>
        <v>73.099999999999994</v>
      </c>
      <c r="D322" s="452">
        <f>'Maxs Tool'!L322</f>
        <v>0.08</v>
      </c>
      <c r="E322" s="452">
        <f>'Maxs Tool'!M322</f>
        <v>8</v>
      </c>
    </row>
    <row r="323" spans="1:5" x14ac:dyDescent="0.25">
      <c r="A323" s="453">
        <f t="shared" ref="A323:A386" si="5">IF(ISNUMBER(D323),ROW()-1,"")</f>
        <v>322</v>
      </c>
      <c r="B323" s="452">
        <f>'Maxs Tool'!J323</f>
        <v>25</v>
      </c>
      <c r="C323" s="452">
        <f>'Maxs Tool'!K323</f>
        <v>73.099999999999994</v>
      </c>
      <c r="D323" s="452">
        <f>'Maxs Tool'!L323</f>
        <v>0</v>
      </c>
      <c r="E323" s="452">
        <f>'Maxs Tool'!M323</f>
        <v>9.6999999999999993</v>
      </c>
    </row>
    <row r="324" spans="1:5" x14ac:dyDescent="0.25">
      <c r="A324" s="453">
        <f t="shared" si="5"/>
        <v>323</v>
      </c>
      <c r="B324" s="452">
        <f>'Maxs Tool'!J324</f>
        <v>25</v>
      </c>
      <c r="C324" s="452">
        <f>'Maxs Tool'!K324</f>
        <v>73.099999999999994</v>
      </c>
      <c r="D324" s="452">
        <f>'Maxs Tool'!L324</f>
        <v>0.03</v>
      </c>
      <c r="E324" s="452">
        <f>'Maxs Tool'!M324</f>
        <v>10</v>
      </c>
    </row>
    <row r="325" spans="1:5" x14ac:dyDescent="0.25">
      <c r="A325" s="453">
        <f t="shared" si="5"/>
        <v>324</v>
      </c>
      <c r="B325" s="452">
        <f>'Maxs Tool'!J325</f>
        <v>25</v>
      </c>
      <c r="C325" s="452">
        <f>'Maxs Tool'!K325</f>
        <v>73.099999999999994</v>
      </c>
      <c r="D325" s="452">
        <f>'Maxs Tool'!L325</f>
        <v>0.8</v>
      </c>
      <c r="E325" s="452">
        <f>'Maxs Tool'!M325</f>
        <v>12</v>
      </c>
    </row>
    <row r="326" spans="1:5" x14ac:dyDescent="0.25">
      <c r="A326" s="453">
        <f t="shared" si="5"/>
        <v>325</v>
      </c>
      <c r="B326" s="452">
        <f>'Maxs Tool'!J326</f>
        <v>25</v>
      </c>
      <c r="C326" s="452">
        <f>'Maxs Tool'!K326</f>
        <v>73.099999999999994</v>
      </c>
      <c r="D326" s="452">
        <f>'Maxs Tool'!L326</f>
        <v>1.63</v>
      </c>
      <c r="E326" s="452">
        <f>'Maxs Tool'!M326</f>
        <v>13</v>
      </c>
    </row>
    <row r="327" spans="1:5" x14ac:dyDescent="0.25">
      <c r="A327" s="453" t="str">
        <f t="shared" si="5"/>
        <v/>
      </c>
      <c r="B327" s="452" t="str">
        <f>'Maxs Tool'!J327</f>
        <v/>
      </c>
      <c r="C327" s="452" t="str">
        <f>'Maxs Tool'!K327</f>
        <v/>
      </c>
      <c r="D327" s="452" t="str">
        <f>'Maxs Tool'!L327</f>
        <v/>
      </c>
      <c r="E327" s="452" t="str">
        <f>'Maxs Tool'!M327</f>
        <v/>
      </c>
    </row>
    <row r="328" spans="1:5" x14ac:dyDescent="0.25">
      <c r="A328" s="453" t="str">
        <f t="shared" si="5"/>
        <v/>
      </c>
      <c r="B328" s="452" t="str">
        <f>'Maxs Tool'!J328</f>
        <v/>
      </c>
      <c r="C328" s="452" t="str">
        <f>'Maxs Tool'!K328</f>
        <v/>
      </c>
      <c r="D328" s="452" t="str">
        <f>'Maxs Tool'!L328</f>
        <v/>
      </c>
      <c r="E328" s="452" t="str">
        <f>'Maxs Tool'!M328</f>
        <v/>
      </c>
    </row>
    <row r="329" spans="1:5" x14ac:dyDescent="0.25">
      <c r="A329" s="453" t="str">
        <f t="shared" si="5"/>
        <v/>
      </c>
      <c r="B329" s="452" t="str">
        <f>'Maxs Tool'!J329</f>
        <v/>
      </c>
      <c r="C329" s="452" t="str">
        <f>'Maxs Tool'!K329</f>
        <v/>
      </c>
      <c r="D329" s="452" t="str">
        <f>'Maxs Tool'!L329</f>
        <v/>
      </c>
      <c r="E329" s="452" t="str">
        <f>'Maxs Tool'!M329</f>
        <v/>
      </c>
    </row>
    <row r="330" spans="1:5" x14ac:dyDescent="0.25">
      <c r="A330" s="453" t="str">
        <f t="shared" si="5"/>
        <v/>
      </c>
      <c r="B330" s="452" t="str">
        <f>'Maxs Tool'!J330</f>
        <v/>
      </c>
      <c r="C330" s="452" t="str">
        <f>'Maxs Tool'!K330</f>
        <v/>
      </c>
      <c r="D330" s="452" t="str">
        <f>'Maxs Tool'!L330</f>
        <v/>
      </c>
      <c r="E330" s="452" t="str">
        <f>'Maxs Tool'!M330</f>
        <v/>
      </c>
    </row>
    <row r="331" spans="1:5" x14ac:dyDescent="0.25">
      <c r="A331" s="453" t="str">
        <f t="shared" si="5"/>
        <v/>
      </c>
      <c r="B331" s="452" t="str">
        <f>'Maxs Tool'!J331</f>
        <v/>
      </c>
      <c r="C331" s="452" t="str">
        <f>'Maxs Tool'!K331</f>
        <v/>
      </c>
      <c r="D331" s="452" t="str">
        <f>'Maxs Tool'!L331</f>
        <v/>
      </c>
      <c r="E331" s="452" t="str">
        <f>'Maxs Tool'!M331</f>
        <v/>
      </c>
    </row>
    <row r="332" spans="1:5" x14ac:dyDescent="0.25">
      <c r="A332" s="453" t="str">
        <f t="shared" si="5"/>
        <v/>
      </c>
      <c r="B332" s="452" t="str">
        <f>'Maxs Tool'!J332</f>
        <v/>
      </c>
      <c r="C332" s="452" t="str">
        <f>'Maxs Tool'!K332</f>
        <v/>
      </c>
      <c r="D332" s="452" t="str">
        <f>'Maxs Tool'!L332</f>
        <v/>
      </c>
      <c r="E332" s="452" t="str">
        <f>'Maxs Tool'!M332</f>
        <v/>
      </c>
    </row>
    <row r="333" spans="1:5" x14ac:dyDescent="0.25">
      <c r="A333" s="453" t="str">
        <f t="shared" si="5"/>
        <v/>
      </c>
      <c r="B333" s="452" t="str">
        <f>'Maxs Tool'!J333</f>
        <v/>
      </c>
      <c r="C333" s="452" t="str">
        <f>'Maxs Tool'!K333</f>
        <v/>
      </c>
      <c r="D333" s="452" t="str">
        <f>'Maxs Tool'!L333</f>
        <v/>
      </c>
      <c r="E333" s="452" t="str">
        <f>'Maxs Tool'!M333</f>
        <v/>
      </c>
    </row>
    <row r="334" spans="1:5" x14ac:dyDescent="0.25">
      <c r="A334" s="453" t="str">
        <f t="shared" si="5"/>
        <v/>
      </c>
      <c r="B334" s="452" t="str">
        <f>'Maxs Tool'!J334</f>
        <v/>
      </c>
      <c r="C334" s="452" t="str">
        <f>'Maxs Tool'!K334</f>
        <v/>
      </c>
      <c r="D334" s="452" t="str">
        <f>'Maxs Tool'!L334</f>
        <v/>
      </c>
      <c r="E334" s="452" t="str">
        <f>'Maxs Tool'!M334</f>
        <v/>
      </c>
    </row>
    <row r="335" spans="1:5" x14ac:dyDescent="0.25">
      <c r="A335" s="453" t="str">
        <f t="shared" si="5"/>
        <v/>
      </c>
      <c r="B335" s="452" t="str">
        <f>'Maxs Tool'!J335</f>
        <v/>
      </c>
      <c r="C335" s="452" t="str">
        <f>'Maxs Tool'!K335</f>
        <v/>
      </c>
      <c r="D335" s="452" t="str">
        <f>'Maxs Tool'!L335</f>
        <v/>
      </c>
      <c r="E335" s="452" t="str">
        <f>'Maxs Tool'!M335</f>
        <v/>
      </c>
    </row>
    <row r="336" spans="1:5" x14ac:dyDescent="0.25">
      <c r="A336" s="453" t="str">
        <f t="shared" si="5"/>
        <v/>
      </c>
      <c r="B336" s="452" t="str">
        <f>'Maxs Tool'!J336</f>
        <v/>
      </c>
      <c r="C336" s="452" t="str">
        <f>'Maxs Tool'!K336</f>
        <v/>
      </c>
      <c r="D336" s="452" t="str">
        <f>'Maxs Tool'!L336</f>
        <v/>
      </c>
      <c r="E336" s="452" t="str">
        <f>'Maxs Tool'!M336</f>
        <v/>
      </c>
    </row>
    <row r="337" spans="1:5" x14ac:dyDescent="0.25">
      <c r="A337" s="453" t="str">
        <f t="shared" si="5"/>
        <v/>
      </c>
      <c r="B337" s="452" t="str">
        <f>'Maxs Tool'!J337</f>
        <v/>
      </c>
      <c r="C337" s="452" t="str">
        <f>'Maxs Tool'!K337</f>
        <v/>
      </c>
      <c r="D337" s="452" t="str">
        <f>'Maxs Tool'!L337</f>
        <v/>
      </c>
      <c r="E337" s="452" t="str">
        <f>'Maxs Tool'!M337</f>
        <v/>
      </c>
    </row>
    <row r="338" spans="1:5" x14ac:dyDescent="0.25">
      <c r="A338" s="453" t="str">
        <f t="shared" si="5"/>
        <v/>
      </c>
      <c r="B338" s="452" t="str">
        <f>'Maxs Tool'!J338</f>
        <v/>
      </c>
      <c r="C338" s="452" t="str">
        <f>'Maxs Tool'!K338</f>
        <v/>
      </c>
      <c r="D338" s="452" t="str">
        <f>'Maxs Tool'!L338</f>
        <v/>
      </c>
      <c r="E338" s="452" t="str">
        <f>'Maxs Tool'!M338</f>
        <v/>
      </c>
    </row>
    <row r="339" spans="1:5" x14ac:dyDescent="0.25">
      <c r="A339" s="453" t="str">
        <f t="shared" si="5"/>
        <v/>
      </c>
      <c r="B339" s="452" t="str">
        <f>'Maxs Tool'!J339</f>
        <v/>
      </c>
      <c r="C339" s="452" t="str">
        <f>'Maxs Tool'!K339</f>
        <v/>
      </c>
      <c r="D339" s="452" t="str">
        <f>'Maxs Tool'!L339</f>
        <v/>
      </c>
      <c r="E339" s="452" t="str">
        <f>'Maxs Tool'!M339</f>
        <v/>
      </c>
    </row>
    <row r="340" spans="1:5" x14ac:dyDescent="0.25">
      <c r="A340" s="453" t="str">
        <f t="shared" si="5"/>
        <v/>
      </c>
      <c r="B340" s="452" t="str">
        <f>'Maxs Tool'!J340</f>
        <v/>
      </c>
      <c r="C340" s="452" t="str">
        <f>'Maxs Tool'!K340</f>
        <v/>
      </c>
      <c r="D340" s="452" t="str">
        <f>'Maxs Tool'!L340</f>
        <v/>
      </c>
      <c r="E340" s="452" t="str">
        <f>'Maxs Tool'!M340</f>
        <v/>
      </c>
    </row>
    <row r="341" spans="1:5" x14ac:dyDescent="0.25">
      <c r="A341" s="453" t="str">
        <f t="shared" si="5"/>
        <v/>
      </c>
      <c r="B341" s="452" t="str">
        <f>'Maxs Tool'!J341</f>
        <v/>
      </c>
      <c r="C341" s="452" t="str">
        <f>'Maxs Tool'!K341</f>
        <v/>
      </c>
      <c r="D341" s="452" t="str">
        <f>'Maxs Tool'!L341</f>
        <v/>
      </c>
      <c r="E341" s="452" t="str">
        <f>'Maxs Tool'!M341</f>
        <v/>
      </c>
    </row>
    <row r="342" spans="1:5" x14ac:dyDescent="0.25">
      <c r="A342" s="453" t="str">
        <f t="shared" si="5"/>
        <v/>
      </c>
      <c r="B342" s="452" t="str">
        <f>'Maxs Tool'!J342</f>
        <v/>
      </c>
      <c r="C342" s="452" t="str">
        <f>'Maxs Tool'!K342</f>
        <v/>
      </c>
      <c r="D342" s="452" t="str">
        <f>'Maxs Tool'!L342</f>
        <v/>
      </c>
      <c r="E342" s="452" t="str">
        <f>'Maxs Tool'!M342</f>
        <v/>
      </c>
    </row>
    <row r="343" spans="1:5" x14ac:dyDescent="0.25">
      <c r="A343" s="453" t="str">
        <f t="shared" si="5"/>
        <v/>
      </c>
      <c r="B343" s="452" t="str">
        <f>'Maxs Tool'!J343</f>
        <v/>
      </c>
      <c r="C343" s="452" t="str">
        <f>'Maxs Tool'!K343</f>
        <v/>
      </c>
      <c r="D343" s="452" t="str">
        <f>'Maxs Tool'!L343</f>
        <v/>
      </c>
      <c r="E343" s="452" t="str">
        <f>'Maxs Tool'!M343</f>
        <v/>
      </c>
    </row>
    <row r="344" spans="1:5" x14ac:dyDescent="0.25">
      <c r="A344" s="453" t="str">
        <f t="shared" si="5"/>
        <v/>
      </c>
      <c r="B344" s="452" t="str">
        <f>'Maxs Tool'!J344</f>
        <v/>
      </c>
      <c r="C344" s="452" t="str">
        <f>'Maxs Tool'!K344</f>
        <v/>
      </c>
      <c r="D344" s="452" t="str">
        <f>'Maxs Tool'!L344</f>
        <v/>
      </c>
      <c r="E344" s="452" t="str">
        <f>'Maxs Tool'!M344</f>
        <v/>
      </c>
    </row>
    <row r="345" spans="1:5" x14ac:dyDescent="0.25">
      <c r="A345" s="453" t="str">
        <f t="shared" si="5"/>
        <v/>
      </c>
      <c r="B345" s="452" t="str">
        <f>'Maxs Tool'!J345</f>
        <v/>
      </c>
      <c r="C345" s="452" t="str">
        <f>'Maxs Tool'!K345</f>
        <v/>
      </c>
      <c r="D345" s="452" t="str">
        <f>'Maxs Tool'!L345</f>
        <v/>
      </c>
      <c r="E345" s="452" t="str">
        <f>'Maxs Tool'!M345</f>
        <v/>
      </c>
    </row>
    <row r="346" spans="1:5" x14ac:dyDescent="0.25">
      <c r="A346" s="453" t="str">
        <f t="shared" si="5"/>
        <v/>
      </c>
      <c r="B346" s="452" t="str">
        <f>'Maxs Tool'!J346</f>
        <v/>
      </c>
      <c r="C346" s="452" t="str">
        <f>'Maxs Tool'!K346</f>
        <v/>
      </c>
      <c r="D346" s="452" t="str">
        <f>'Maxs Tool'!L346</f>
        <v/>
      </c>
      <c r="E346" s="452" t="str">
        <f>'Maxs Tool'!M346</f>
        <v/>
      </c>
    </row>
    <row r="347" spans="1:5" x14ac:dyDescent="0.25">
      <c r="A347" s="453" t="str">
        <f t="shared" si="5"/>
        <v/>
      </c>
      <c r="B347" s="452" t="str">
        <f>'Maxs Tool'!J347</f>
        <v/>
      </c>
      <c r="C347" s="452" t="str">
        <f>'Maxs Tool'!K347</f>
        <v/>
      </c>
      <c r="D347" s="452" t="str">
        <f>'Maxs Tool'!L347</f>
        <v/>
      </c>
      <c r="E347" s="452" t="str">
        <f>'Maxs Tool'!M347</f>
        <v/>
      </c>
    </row>
    <row r="348" spans="1:5" x14ac:dyDescent="0.25">
      <c r="A348" s="453" t="str">
        <f t="shared" si="5"/>
        <v/>
      </c>
      <c r="B348" s="452" t="str">
        <f>'Maxs Tool'!J348</f>
        <v/>
      </c>
      <c r="C348" s="452" t="str">
        <f>'Maxs Tool'!K348</f>
        <v/>
      </c>
      <c r="D348" s="452" t="str">
        <f>'Maxs Tool'!L348</f>
        <v/>
      </c>
      <c r="E348" s="452" t="str">
        <f>'Maxs Tool'!M348</f>
        <v/>
      </c>
    </row>
    <row r="349" spans="1:5" x14ac:dyDescent="0.25">
      <c r="A349" s="453" t="str">
        <f t="shared" si="5"/>
        <v/>
      </c>
      <c r="B349" s="452" t="str">
        <f>'Maxs Tool'!J349</f>
        <v/>
      </c>
      <c r="C349" s="452" t="str">
        <f>'Maxs Tool'!K349</f>
        <v/>
      </c>
      <c r="D349" s="452" t="str">
        <f>'Maxs Tool'!L349</f>
        <v/>
      </c>
      <c r="E349" s="452" t="str">
        <f>'Maxs Tool'!M349</f>
        <v/>
      </c>
    </row>
    <row r="350" spans="1:5" x14ac:dyDescent="0.25">
      <c r="A350" s="453" t="str">
        <f t="shared" si="5"/>
        <v/>
      </c>
      <c r="B350" s="452" t="str">
        <f>'Maxs Tool'!J350</f>
        <v/>
      </c>
      <c r="C350" s="452" t="str">
        <f>'Maxs Tool'!K350</f>
        <v/>
      </c>
      <c r="D350" s="452" t="str">
        <f>'Maxs Tool'!L350</f>
        <v/>
      </c>
      <c r="E350" s="452" t="str">
        <f>'Maxs Tool'!M350</f>
        <v/>
      </c>
    </row>
    <row r="351" spans="1:5" x14ac:dyDescent="0.25">
      <c r="A351" s="453" t="str">
        <f t="shared" si="5"/>
        <v/>
      </c>
      <c r="B351" s="452" t="str">
        <f>'Maxs Tool'!J351</f>
        <v/>
      </c>
      <c r="C351" s="452" t="str">
        <f>'Maxs Tool'!K351</f>
        <v/>
      </c>
      <c r="D351" s="452" t="str">
        <f>'Maxs Tool'!L351</f>
        <v/>
      </c>
      <c r="E351" s="452" t="str">
        <f>'Maxs Tool'!M351</f>
        <v/>
      </c>
    </row>
    <row r="352" spans="1:5" x14ac:dyDescent="0.25">
      <c r="A352" s="453" t="str">
        <f t="shared" si="5"/>
        <v/>
      </c>
      <c r="B352" s="452" t="str">
        <f>'Maxs Tool'!J352</f>
        <v/>
      </c>
      <c r="C352" s="452" t="str">
        <f>'Maxs Tool'!K352</f>
        <v/>
      </c>
      <c r="D352" s="452" t="str">
        <f>'Maxs Tool'!L352</f>
        <v/>
      </c>
      <c r="E352" s="452" t="str">
        <f>'Maxs Tool'!M352</f>
        <v/>
      </c>
    </row>
    <row r="353" spans="1:5" x14ac:dyDescent="0.25">
      <c r="A353" s="453" t="str">
        <f t="shared" si="5"/>
        <v/>
      </c>
      <c r="B353" s="452" t="str">
        <f>'Maxs Tool'!J353</f>
        <v/>
      </c>
      <c r="C353" s="452" t="str">
        <f>'Maxs Tool'!K353</f>
        <v/>
      </c>
      <c r="D353" s="452" t="str">
        <f>'Maxs Tool'!L353</f>
        <v/>
      </c>
      <c r="E353" s="452" t="str">
        <f>'Maxs Tool'!M353</f>
        <v/>
      </c>
    </row>
    <row r="354" spans="1:5" x14ac:dyDescent="0.25">
      <c r="A354" s="453" t="str">
        <f t="shared" si="5"/>
        <v/>
      </c>
      <c r="B354" s="452" t="str">
        <f>'Maxs Tool'!J354</f>
        <v/>
      </c>
      <c r="C354" s="452" t="str">
        <f>'Maxs Tool'!K354</f>
        <v/>
      </c>
      <c r="D354" s="452" t="str">
        <f>'Maxs Tool'!L354</f>
        <v/>
      </c>
      <c r="E354" s="452" t="str">
        <f>'Maxs Tool'!M354</f>
        <v/>
      </c>
    </row>
    <row r="355" spans="1:5" x14ac:dyDescent="0.25">
      <c r="A355" s="453" t="str">
        <f t="shared" si="5"/>
        <v/>
      </c>
      <c r="B355" s="452" t="str">
        <f>'Maxs Tool'!J355</f>
        <v/>
      </c>
      <c r="C355" s="452" t="str">
        <f>'Maxs Tool'!K355</f>
        <v/>
      </c>
      <c r="D355" s="452" t="str">
        <f>'Maxs Tool'!L355</f>
        <v/>
      </c>
      <c r="E355" s="452" t="str">
        <f>'Maxs Tool'!M355</f>
        <v/>
      </c>
    </row>
    <row r="356" spans="1:5" x14ac:dyDescent="0.25">
      <c r="A356" s="453" t="str">
        <f t="shared" si="5"/>
        <v/>
      </c>
      <c r="B356" s="452" t="str">
        <f>'Maxs Tool'!J356</f>
        <v/>
      </c>
      <c r="C356" s="452" t="str">
        <f>'Maxs Tool'!K356</f>
        <v/>
      </c>
      <c r="D356" s="452" t="str">
        <f>'Maxs Tool'!L356</f>
        <v/>
      </c>
      <c r="E356" s="452" t="str">
        <f>'Maxs Tool'!M356</f>
        <v/>
      </c>
    </row>
    <row r="357" spans="1:5" x14ac:dyDescent="0.25">
      <c r="A357" s="453" t="str">
        <f t="shared" si="5"/>
        <v/>
      </c>
      <c r="B357" s="452" t="str">
        <f>'Maxs Tool'!J357</f>
        <v/>
      </c>
      <c r="C357" s="452" t="str">
        <f>'Maxs Tool'!K357</f>
        <v/>
      </c>
      <c r="D357" s="452" t="str">
        <f>'Maxs Tool'!L357</f>
        <v/>
      </c>
      <c r="E357" s="452" t="str">
        <f>'Maxs Tool'!M357</f>
        <v/>
      </c>
    </row>
    <row r="358" spans="1:5" x14ac:dyDescent="0.25">
      <c r="A358" s="453" t="str">
        <f t="shared" si="5"/>
        <v/>
      </c>
      <c r="B358" s="452" t="str">
        <f>'Maxs Tool'!J358</f>
        <v/>
      </c>
      <c r="C358" s="452" t="str">
        <f>'Maxs Tool'!K358</f>
        <v/>
      </c>
      <c r="D358" s="452" t="str">
        <f>'Maxs Tool'!L358</f>
        <v/>
      </c>
      <c r="E358" s="452" t="str">
        <f>'Maxs Tool'!M358</f>
        <v/>
      </c>
    </row>
    <row r="359" spans="1:5" x14ac:dyDescent="0.25">
      <c r="A359" s="453" t="str">
        <f t="shared" si="5"/>
        <v/>
      </c>
      <c r="B359" s="452" t="str">
        <f>'Maxs Tool'!J359</f>
        <v/>
      </c>
      <c r="C359" s="452" t="str">
        <f>'Maxs Tool'!K359</f>
        <v/>
      </c>
      <c r="D359" s="452" t="str">
        <f>'Maxs Tool'!L359</f>
        <v/>
      </c>
      <c r="E359" s="452" t="str">
        <f>'Maxs Tool'!M359</f>
        <v/>
      </c>
    </row>
    <row r="360" spans="1:5" x14ac:dyDescent="0.25">
      <c r="A360" s="453" t="str">
        <f t="shared" si="5"/>
        <v/>
      </c>
      <c r="B360" s="452" t="str">
        <f>'Maxs Tool'!J360</f>
        <v/>
      </c>
      <c r="C360" s="452" t="str">
        <f>'Maxs Tool'!K360</f>
        <v/>
      </c>
      <c r="D360" s="452" t="str">
        <f>'Maxs Tool'!L360</f>
        <v/>
      </c>
      <c r="E360" s="452" t="str">
        <f>'Maxs Tool'!M360</f>
        <v/>
      </c>
    </row>
    <row r="361" spans="1:5" x14ac:dyDescent="0.25">
      <c r="A361" s="453" t="str">
        <f t="shared" si="5"/>
        <v/>
      </c>
      <c r="B361" s="452" t="str">
        <f>'Maxs Tool'!J361</f>
        <v/>
      </c>
      <c r="C361" s="452" t="str">
        <f>'Maxs Tool'!K361</f>
        <v/>
      </c>
      <c r="D361" s="452" t="str">
        <f>'Maxs Tool'!L361</f>
        <v/>
      </c>
      <c r="E361" s="452" t="str">
        <f>'Maxs Tool'!M361</f>
        <v/>
      </c>
    </row>
    <row r="362" spans="1:5" x14ac:dyDescent="0.25">
      <c r="A362" s="453" t="str">
        <f t="shared" si="5"/>
        <v/>
      </c>
      <c r="B362" s="452" t="str">
        <f>'Maxs Tool'!J362</f>
        <v/>
      </c>
      <c r="C362" s="452" t="str">
        <f>'Maxs Tool'!K362</f>
        <v/>
      </c>
      <c r="D362" s="452" t="str">
        <f>'Maxs Tool'!L362</f>
        <v/>
      </c>
      <c r="E362" s="452" t="str">
        <f>'Maxs Tool'!M362</f>
        <v/>
      </c>
    </row>
    <row r="363" spans="1:5" x14ac:dyDescent="0.25">
      <c r="A363" s="453" t="str">
        <f t="shared" si="5"/>
        <v/>
      </c>
      <c r="B363" s="452" t="str">
        <f>'Maxs Tool'!J363</f>
        <v/>
      </c>
      <c r="C363" s="452" t="str">
        <f>'Maxs Tool'!K363</f>
        <v/>
      </c>
      <c r="D363" s="452" t="str">
        <f>'Maxs Tool'!L363</f>
        <v/>
      </c>
      <c r="E363" s="452" t="str">
        <f>'Maxs Tool'!M363</f>
        <v/>
      </c>
    </row>
    <row r="364" spans="1:5" x14ac:dyDescent="0.25">
      <c r="A364" s="453" t="str">
        <f t="shared" si="5"/>
        <v/>
      </c>
      <c r="B364" s="452" t="str">
        <f>'Maxs Tool'!J364</f>
        <v/>
      </c>
      <c r="C364" s="452" t="str">
        <f>'Maxs Tool'!K364</f>
        <v/>
      </c>
      <c r="D364" s="452" t="str">
        <f>'Maxs Tool'!L364</f>
        <v/>
      </c>
      <c r="E364" s="452" t="str">
        <f>'Maxs Tool'!M364</f>
        <v/>
      </c>
    </row>
    <row r="365" spans="1:5" x14ac:dyDescent="0.25">
      <c r="A365" s="453" t="str">
        <f t="shared" si="5"/>
        <v/>
      </c>
      <c r="B365" s="452" t="str">
        <f>'Maxs Tool'!J365</f>
        <v/>
      </c>
      <c r="C365" s="452" t="str">
        <f>'Maxs Tool'!K365</f>
        <v/>
      </c>
      <c r="D365" s="452" t="str">
        <f>'Maxs Tool'!L365</f>
        <v/>
      </c>
      <c r="E365" s="452" t="str">
        <f>'Maxs Tool'!M365</f>
        <v/>
      </c>
    </row>
    <row r="366" spans="1:5" x14ac:dyDescent="0.25">
      <c r="A366" s="453" t="str">
        <f t="shared" si="5"/>
        <v/>
      </c>
      <c r="B366" s="452" t="str">
        <f>'Maxs Tool'!J366</f>
        <v/>
      </c>
      <c r="C366" s="452" t="str">
        <f>'Maxs Tool'!K366</f>
        <v/>
      </c>
      <c r="D366" s="452" t="str">
        <f>'Maxs Tool'!L366</f>
        <v/>
      </c>
      <c r="E366" s="452" t="str">
        <f>'Maxs Tool'!M366</f>
        <v/>
      </c>
    </row>
    <row r="367" spans="1:5" x14ac:dyDescent="0.25">
      <c r="A367" s="453" t="str">
        <f t="shared" si="5"/>
        <v/>
      </c>
      <c r="B367" s="452" t="str">
        <f>'Maxs Tool'!J367</f>
        <v/>
      </c>
      <c r="C367" s="452" t="str">
        <f>'Maxs Tool'!K367</f>
        <v/>
      </c>
      <c r="D367" s="452" t="str">
        <f>'Maxs Tool'!L367</f>
        <v/>
      </c>
      <c r="E367" s="452" t="str">
        <f>'Maxs Tool'!M367</f>
        <v/>
      </c>
    </row>
    <row r="368" spans="1:5" x14ac:dyDescent="0.25">
      <c r="A368" s="453" t="str">
        <f t="shared" si="5"/>
        <v/>
      </c>
      <c r="B368" s="452" t="str">
        <f>'Maxs Tool'!J368</f>
        <v/>
      </c>
      <c r="C368" s="452" t="str">
        <f>'Maxs Tool'!K368</f>
        <v/>
      </c>
      <c r="D368" s="452" t="str">
        <f>'Maxs Tool'!L368</f>
        <v/>
      </c>
      <c r="E368" s="452" t="str">
        <f>'Maxs Tool'!M368</f>
        <v/>
      </c>
    </row>
    <row r="369" spans="1:5" x14ac:dyDescent="0.25">
      <c r="A369" s="453" t="str">
        <f t="shared" si="5"/>
        <v/>
      </c>
      <c r="B369" s="452" t="str">
        <f>'Maxs Tool'!J369</f>
        <v/>
      </c>
      <c r="C369" s="452" t="str">
        <f>'Maxs Tool'!K369</f>
        <v/>
      </c>
      <c r="D369" s="452" t="str">
        <f>'Maxs Tool'!L369</f>
        <v/>
      </c>
      <c r="E369" s="452" t="str">
        <f>'Maxs Tool'!M369</f>
        <v/>
      </c>
    </row>
    <row r="370" spans="1:5" x14ac:dyDescent="0.25">
      <c r="A370" s="453" t="str">
        <f t="shared" si="5"/>
        <v/>
      </c>
      <c r="B370" s="452" t="str">
        <f>'Maxs Tool'!J370</f>
        <v/>
      </c>
      <c r="C370" s="452" t="str">
        <f>'Maxs Tool'!K370</f>
        <v/>
      </c>
      <c r="D370" s="452" t="str">
        <f>'Maxs Tool'!L370</f>
        <v/>
      </c>
      <c r="E370" s="452" t="str">
        <f>'Maxs Tool'!M370</f>
        <v/>
      </c>
    </row>
    <row r="371" spans="1:5" x14ac:dyDescent="0.25">
      <c r="A371" s="453" t="str">
        <f t="shared" si="5"/>
        <v/>
      </c>
      <c r="B371" s="452" t="str">
        <f>'Maxs Tool'!J371</f>
        <v/>
      </c>
      <c r="C371" s="452" t="str">
        <f>'Maxs Tool'!K371</f>
        <v/>
      </c>
      <c r="D371" s="452" t="str">
        <f>'Maxs Tool'!L371</f>
        <v/>
      </c>
      <c r="E371" s="452" t="str">
        <f>'Maxs Tool'!M371</f>
        <v/>
      </c>
    </row>
    <row r="372" spans="1:5" x14ac:dyDescent="0.25">
      <c r="A372" s="453" t="str">
        <f t="shared" si="5"/>
        <v/>
      </c>
      <c r="B372" s="452" t="str">
        <f>'Maxs Tool'!J372</f>
        <v/>
      </c>
      <c r="C372" s="452" t="str">
        <f>'Maxs Tool'!K372</f>
        <v/>
      </c>
      <c r="D372" s="452" t="str">
        <f>'Maxs Tool'!L372</f>
        <v/>
      </c>
      <c r="E372" s="452" t="str">
        <f>'Maxs Tool'!M372</f>
        <v/>
      </c>
    </row>
    <row r="373" spans="1:5" x14ac:dyDescent="0.25">
      <c r="A373" s="453" t="str">
        <f t="shared" si="5"/>
        <v/>
      </c>
      <c r="B373" s="452" t="str">
        <f>'Maxs Tool'!J373</f>
        <v/>
      </c>
      <c r="C373" s="452" t="str">
        <f>'Maxs Tool'!K373</f>
        <v/>
      </c>
      <c r="D373" s="452" t="str">
        <f>'Maxs Tool'!L373</f>
        <v/>
      </c>
      <c r="E373" s="452" t="str">
        <f>'Maxs Tool'!M373</f>
        <v/>
      </c>
    </row>
    <row r="374" spans="1:5" x14ac:dyDescent="0.25">
      <c r="A374" s="453" t="str">
        <f t="shared" si="5"/>
        <v/>
      </c>
      <c r="B374" s="452" t="str">
        <f>'Maxs Tool'!J374</f>
        <v/>
      </c>
      <c r="C374" s="452" t="str">
        <f>'Maxs Tool'!K374</f>
        <v/>
      </c>
      <c r="D374" s="452" t="str">
        <f>'Maxs Tool'!L374</f>
        <v/>
      </c>
      <c r="E374" s="452" t="str">
        <f>'Maxs Tool'!M374</f>
        <v/>
      </c>
    </row>
    <row r="375" spans="1:5" x14ac:dyDescent="0.25">
      <c r="A375" s="453" t="str">
        <f t="shared" si="5"/>
        <v/>
      </c>
      <c r="B375" s="452" t="str">
        <f>'Maxs Tool'!J375</f>
        <v/>
      </c>
      <c r="C375" s="452" t="str">
        <f>'Maxs Tool'!K375</f>
        <v/>
      </c>
      <c r="D375" s="452" t="str">
        <f>'Maxs Tool'!L375</f>
        <v/>
      </c>
      <c r="E375" s="452" t="str">
        <f>'Maxs Tool'!M375</f>
        <v/>
      </c>
    </row>
    <row r="376" spans="1:5" x14ac:dyDescent="0.25">
      <c r="A376" s="453" t="str">
        <f t="shared" si="5"/>
        <v/>
      </c>
      <c r="B376" s="452" t="str">
        <f>'Maxs Tool'!J376</f>
        <v/>
      </c>
      <c r="C376" s="452" t="str">
        <f>'Maxs Tool'!K376</f>
        <v/>
      </c>
      <c r="D376" s="452" t="str">
        <f>'Maxs Tool'!L376</f>
        <v/>
      </c>
      <c r="E376" s="452" t="str">
        <f>'Maxs Tool'!M376</f>
        <v/>
      </c>
    </row>
    <row r="377" spans="1:5" x14ac:dyDescent="0.25">
      <c r="A377" s="453" t="str">
        <f t="shared" si="5"/>
        <v/>
      </c>
      <c r="B377" s="452" t="str">
        <f>'Maxs Tool'!J377</f>
        <v/>
      </c>
      <c r="C377" s="452" t="str">
        <f>'Maxs Tool'!K377</f>
        <v/>
      </c>
      <c r="D377" s="452" t="str">
        <f>'Maxs Tool'!L377</f>
        <v/>
      </c>
      <c r="E377" s="452" t="str">
        <f>'Maxs Tool'!M377</f>
        <v/>
      </c>
    </row>
    <row r="378" spans="1:5" x14ac:dyDescent="0.25">
      <c r="A378" s="453" t="str">
        <f t="shared" si="5"/>
        <v/>
      </c>
      <c r="B378" s="452" t="str">
        <f>'Maxs Tool'!J378</f>
        <v/>
      </c>
      <c r="C378" s="452" t="str">
        <f>'Maxs Tool'!K378</f>
        <v/>
      </c>
      <c r="D378" s="452" t="str">
        <f>'Maxs Tool'!L378</f>
        <v/>
      </c>
      <c r="E378" s="452" t="str">
        <f>'Maxs Tool'!M378</f>
        <v/>
      </c>
    </row>
    <row r="379" spans="1:5" x14ac:dyDescent="0.25">
      <c r="A379" s="453" t="str">
        <f t="shared" si="5"/>
        <v/>
      </c>
      <c r="B379" s="452" t="str">
        <f>'Maxs Tool'!J379</f>
        <v/>
      </c>
      <c r="C379" s="452" t="str">
        <f>'Maxs Tool'!K379</f>
        <v/>
      </c>
      <c r="D379" s="452" t="str">
        <f>'Maxs Tool'!L379</f>
        <v/>
      </c>
      <c r="E379" s="452" t="str">
        <f>'Maxs Tool'!M379</f>
        <v/>
      </c>
    </row>
    <row r="380" spans="1:5" x14ac:dyDescent="0.25">
      <c r="A380" s="453" t="str">
        <f t="shared" si="5"/>
        <v/>
      </c>
      <c r="B380" s="452" t="str">
        <f>'Maxs Tool'!J380</f>
        <v/>
      </c>
      <c r="C380" s="452" t="str">
        <f>'Maxs Tool'!K380</f>
        <v/>
      </c>
      <c r="D380" s="452" t="str">
        <f>'Maxs Tool'!L380</f>
        <v/>
      </c>
      <c r="E380" s="452" t="str">
        <f>'Maxs Tool'!M380</f>
        <v/>
      </c>
    </row>
    <row r="381" spans="1:5" x14ac:dyDescent="0.25">
      <c r="A381" s="453" t="str">
        <f t="shared" si="5"/>
        <v/>
      </c>
      <c r="B381" s="452" t="str">
        <f>'Maxs Tool'!J381</f>
        <v/>
      </c>
      <c r="C381" s="452" t="str">
        <f>'Maxs Tool'!K381</f>
        <v/>
      </c>
      <c r="D381" s="452" t="str">
        <f>'Maxs Tool'!L381</f>
        <v/>
      </c>
      <c r="E381" s="452" t="str">
        <f>'Maxs Tool'!M381</f>
        <v/>
      </c>
    </row>
    <row r="382" spans="1:5" x14ac:dyDescent="0.25">
      <c r="A382" s="453" t="str">
        <f t="shared" si="5"/>
        <v/>
      </c>
      <c r="B382" s="452" t="str">
        <f>'Maxs Tool'!J382</f>
        <v/>
      </c>
      <c r="C382" s="452" t="str">
        <f>'Maxs Tool'!K382</f>
        <v/>
      </c>
      <c r="D382" s="452" t="str">
        <f>'Maxs Tool'!L382</f>
        <v/>
      </c>
      <c r="E382" s="452" t="str">
        <f>'Maxs Tool'!M382</f>
        <v/>
      </c>
    </row>
    <row r="383" spans="1:5" x14ac:dyDescent="0.25">
      <c r="A383" s="453" t="str">
        <f t="shared" si="5"/>
        <v/>
      </c>
      <c r="B383" s="452" t="str">
        <f>'Maxs Tool'!J383</f>
        <v/>
      </c>
      <c r="C383" s="452" t="str">
        <f>'Maxs Tool'!K383</f>
        <v/>
      </c>
      <c r="D383" s="452" t="str">
        <f>'Maxs Tool'!L383</f>
        <v/>
      </c>
      <c r="E383" s="452" t="str">
        <f>'Maxs Tool'!M383</f>
        <v/>
      </c>
    </row>
    <row r="384" spans="1:5" x14ac:dyDescent="0.25">
      <c r="A384" s="453" t="str">
        <f t="shared" si="5"/>
        <v/>
      </c>
      <c r="B384" s="452" t="str">
        <f>'Maxs Tool'!J384</f>
        <v/>
      </c>
      <c r="C384" s="452" t="str">
        <f>'Maxs Tool'!K384</f>
        <v/>
      </c>
      <c r="D384" s="452" t="str">
        <f>'Maxs Tool'!L384</f>
        <v/>
      </c>
      <c r="E384" s="452" t="str">
        <f>'Maxs Tool'!M384</f>
        <v/>
      </c>
    </row>
    <row r="385" spans="1:5" x14ac:dyDescent="0.25">
      <c r="A385" s="453" t="str">
        <f t="shared" si="5"/>
        <v/>
      </c>
      <c r="B385" s="452" t="str">
        <f>'Maxs Tool'!J385</f>
        <v/>
      </c>
      <c r="C385" s="452" t="str">
        <f>'Maxs Tool'!K385</f>
        <v/>
      </c>
      <c r="D385" s="452" t="str">
        <f>'Maxs Tool'!L385</f>
        <v/>
      </c>
      <c r="E385" s="452" t="str">
        <f>'Maxs Tool'!M385</f>
        <v/>
      </c>
    </row>
    <row r="386" spans="1:5" x14ac:dyDescent="0.25">
      <c r="A386" s="453" t="str">
        <f t="shared" si="5"/>
        <v/>
      </c>
      <c r="B386" s="452" t="str">
        <f>'Maxs Tool'!J386</f>
        <v/>
      </c>
      <c r="C386" s="452" t="str">
        <f>'Maxs Tool'!K386</f>
        <v/>
      </c>
      <c r="D386" s="452" t="str">
        <f>'Maxs Tool'!L386</f>
        <v/>
      </c>
      <c r="E386" s="452" t="str">
        <f>'Maxs Tool'!M386</f>
        <v/>
      </c>
    </row>
    <row r="387" spans="1:5" x14ac:dyDescent="0.25">
      <c r="A387" s="453" t="str">
        <f t="shared" ref="A387:A450" si="6">IF(ISNUMBER(D387),ROW()-1,"")</f>
        <v/>
      </c>
      <c r="B387" s="452" t="str">
        <f>'Maxs Tool'!J387</f>
        <v/>
      </c>
      <c r="C387" s="452" t="str">
        <f>'Maxs Tool'!K387</f>
        <v/>
      </c>
      <c r="D387" s="452" t="str">
        <f>'Maxs Tool'!L387</f>
        <v/>
      </c>
      <c r="E387" s="452" t="str">
        <f>'Maxs Tool'!M387</f>
        <v/>
      </c>
    </row>
    <row r="388" spans="1:5" x14ac:dyDescent="0.25">
      <c r="A388" s="453" t="str">
        <f t="shared" si="6"/>
        <v/>
      </c>
      <c r="B388" s="452" t="str">
        <f>'Maxs Tool'!J388</f>
        <v/>
      </c>
      <c r="C388" s="452" t="str">
        <f>'Maxs Tool'!K388</f>
        <v/>
      </c>
      <c r="D388" s="452" t="str">
        <f>'Maxs Tool'!L388</f>
        <v/>
      </c>
      <c r="E388" s="452" t="str">
        <f>'Maxs Tool'!M388</f>
        <v/>
      </c>
    </row>
    <row r="389" spans="1:5" x14ac:dyDescent="0.25">
      <c r="A389" s="453" t="str">
        <f t="shared" si="6"/>
        <v/>
      </c>
      <c r="B389" s="452" t="str">
        <f>'Maxs Tool'!J389</f>
        <v/>
      </c>
      <c r="C389" s="452" t="str">
        <f>'Maxs Tool'!K389</f>
        <v/>
      </c>
      <c r="D389" s="452" t="str">
        <f>'Maxs Tool'!L389</f>
        <v/>
      </c>
      <c r="E389" s="452" t="str">
        <f>'Maxs Tool'!M389</f>
        <v/>
      </c>
    </row>
    <row r="390" spans="1:5" x14ac:dyDescent="0.25">
      <c r="A390" s="453" t="str">
        <f t="shared" si="6"/>
        <v/>
      </c>
      <c r="B390" s="452" t="str">
        <f>'Maxs Tool'!J390</f>
        <v/>
      </c>
      <c r="C390" s="452" t="str">
        <f>'Maxs Tool'!K390</f>
        <v/>
      </c>
      <c r="D390" s="452" t="str">
        <f>'Maxs Tool'!L390</f>
        <v/>
      </c>
      <c r="E390" s="452" t="str">
        <f>'Maxs Tool'!M390</f>
        <v/>
      </c>
    </row>
    <row r="391" spans="1:5" x14ac:dyDescent="0.25">
      <c r="A391" s="453" t="str">
        <f t="shared" si="6"/>
        <v/>
      </c>
      <c r="B391" s="452" t="str">
        <f>'Maxs Tool'!J391</f>
        <v/>
      </c>
      <c r="C391" s="452" t="str">
        <f>'Maxs Tool'!K391</f>
        <v/>
      </c>
      <c r="D391" s="452" t="str">
        <f>'Maxs Tool'!L391</f>
        <v/>
      </c>
      <c r="E391" s="452" t="str">
        <f>'Maxs Tool'!M391</f>
        <v/>
      </c>
    </row>
    <row r="392" spans="1:5" x14ac:dyDescent="0.25">
      <c r="A392" s="453" t="str">
        <f t="shared" si="6"/>
        <v/>
      </c>
      <c r="B392" s="452" t="str">
        <f>'Maxs Tool'!J392</f>
        <v/>
      </c>
      <c r="C392" s="452" t="str">
        <f>'Maxs Tool'!K392</f>
        <v/>
      </c>
      <c r="D392" s="452" t="str">
        <f>'Maxs Tool'!L392</f>
        <v/>
      </c>
      <c r="E392" s="452" t="str">
        <f>'Maxs Tool'!M392</f>
        <v/>
      </c>
    </row>
    <row r="393" spans="1:5" x14ac:dyDescent="0.25">
      <c r="A393" s="453" t="str">
        <f t="shared" si="6"/>
        <v/>
      </c>
      <c r="B393" s="452" t="str">
        <f>'Maxs Tool'!J393</f>
        <v/>
      </c>
      <c r="C393" s="452" t="str">
        <f>'Maxs Tool'!K393</f>
        <v/>
      </c>
      <c r="D393" s="452" t="str">
        <f>'Maxs Tool'!L393</f>
        <v/>
      </c>
      <c r="E393" s="452" t="str">
        <f>'Maxs Tool'!M393</f>
        <v/>
      </c>
    </row>
    <row r="394" spans="1:5" x14ac:dyDescent="0.25">
      <c r="A394" s="453" t="str">
        <f t="shared" si="6"/>
        <v/>
      </c>
      <c r="B394" s="452" t="str">
        <f>'Maxs Tool'!J394</f>
        <v/>
      </c>
      <c r="C394" s="452" t="str">
        <f>'Maxs Tool'!K394</f>
        <v/>
      </c>
      <c r="D394" s="452" t="str">
        <f>'Maxs Tool'!L394</f>
        <v/>
      </c>
      <c r="E394" s="452" t="str">
        <f>'Maxs Tool'!M394</f>
        <v/>
      </c>
    </row>
    <row r="395" spans="1:5" x14ac:dyDescent="0.25">
      <c r="A395" s="453" t="str">
        <f t="shared" si="6"/>
        <v/>
      </c>
      <c r="B395" s="452" t="str">
        <f>'Maxs Tool'!J395</f>
        <v/>
      </c>
      <c r="C395" s="452" t="str">
        <f>'Maxs Tool'!K395</f>
        <v/>
      </c>
      <c r="D395" s="452" t="str">
        <f>'Maxs Tool'!L395</f>
        <v/>
      </c>
      <c r="E395" s="452" t="str">
        <f>'Maxs Tool'!M395</f>
        <v/>
      </c>
    </row>
    <row r="396" spans="1:5" x14ac:dyDescent="0.25">
      <c r="A396" s="453" t="str">
        <f t="shared" si="6"/>
        <v/>
      </c>
      <c r="B396" s="452" t="str">
        <f>'Maxs Tool'!J396</f>
        <v/>
      </c>
      <c r="C396" s="452" t="str">
        <f>'Maxs Tool'!K396</f>
        <v/>
      </c>
      <c r="D396" s="452" t="str">
        <f>'Maxs Tool'!L396</f>
        <v/>
      </c>
      <c r="E396" s="452" t="str">
        <f>'Maxs Tool'!M396</f>
        <v/>
      </c>
    </row>
    <row r="397" spans="1:5" x14ac:dyDescent="0.25">
      <c r="A397" s="453" t="str">
        <f t="shared" si="6"/>
        <v/>
      </c>
      <c r="B397" s="452" t="str">
        <f>'Maxs Tool'!J397</f>
        <v/>
      </c>
      <c r="C397" s="452" t="str">
        <f>'Maxs Tool'!K397</f>
        <v/>
      </c>
      <c r="D397" s="452" t="str">
        <f>'Maxs Tool'!L397</f>
        <v/>
      </c>
      <c r="E397" s="452" t="str">
        <f>'Maxs Tool'!M397</f>
        <v/>
      </c>
    </row>
    <row r="398" spans="1:5" x14ac:dyDescent="0.25">
      <c r="A398" s="453" t="str">
        <f t="shared" si="6"/>
        <v/>
      </c>
      <c r="B398" s="452" t="str">
        <f>'Maxs Tool'!J398</f>
        <v/>
      </c>
      <c r="C398" s="452" t="str">
        <f>'Maxs Tool'!K398</f>
        <v/>
      </c>
      <c r="D398" s="452" t="str">
        <f>'Maxs Tool'!L398</f>
        <v/>
      </c>
      <c r="E398" s="452" t="str">
        <f>'Maxs Tool'!M398</f>
        <v/>
      </c>
    </row>
    <row r="399" spans="1:5" x14ac:dyDescent="0.25">
      <c r="A399" s="453" t="str">
        <f t="shared" si="6"/>
        <v/>
      </c>
      <c r="B399" s="452" t="str">
        <f>'Maxs Tool'!J399</f>
        <v/>
      </c>
      <c r="C399" s="452" t="str">
        <f>'Maxs Tool'!K399</f>
        <v/>
      </c>
      <c r="D399" s="452" t="str">
        <f>'Maxs Tool'!L399</f>
        <v/>
      </c>
      <c r="E399" s="452" t="str">
        <f>'Maxs Tool'!M399</f>
        <v/>
      </c>
    </row>
    <row r="400" spans="1:5" x14ac:dyDescent="0.25">
      <c r="A400" s="453" t="str">
        <f t="shared" si="6"/>
        <v/>
      </c>
      <c r="B400" s="452" t="str">
        <f>'Maxs Tool'!J400</f>
        <v/>
      </c>
      <c r="C400" s="452" t="str">
        <f>'Maxs Tool'!K400</f>
        <v/>
      </c>
      <c r="D400" s="452" t="str">
        <f>'Maxs Tool'!L400</f>
        <v/>
      </c>
      <c r="E400" s="452" t="str">
        <f>'Maxs Tool'!M400</f>
        <v/>
      </c>
    </row>
    <row r="401" spans="1:5" x14ac:dyDescent="0.25">
      <c r="A401" s="453" t="str">
        <f t="shared" si="6"/>
        <v/>
      </c>
      <c r="B401" s="452" t="str">
        <f>'Maxs Tool'!J401</f>
        <v/>
      </c>
      <c r="C401" s="452" t="str">
        <f>'Maxs Tool'!K401</f>
        <v/>
      </c>
      <c r="D401" s="452" t="str">
        <f>'Maxs Tool'!L401</f>
        <v/>
      </c>
      <c r="E401" s="452" t="str">
        <f>'Maxs Tool'!M401</f>
        <v/>
      </c>
    </row>
    <row r="402" spans="1:5" x14ac:dyDescent="0.25">
      <c r="A402" s="453" t="str">
        <f t="shared" si="6"/>
        <v/>
      </c>
      <c r="B402" s="452" t="str">
        <f>'Maxs Tool'!J402</f>
        <v/>
      </c>
      <c r="C402" s="452" t="str">
        <f>'Maxs Tool'!K402</f>
        <v/>
      </c>
      <c r="D402" s="452" t="str">
        <f>'Maxs Tool'!L402</f>
        <v/>
      </c>
      <c r="E402" s="452" t="str">
        <f>'Maxs Tool'!M402</f>
        <v/>
      </c>
    </row>
    <row r="403" spans="1:5" x14ac:dyDescent="0.25">
      <c r="A403" s="453" t="str">
        <f t="shared" si="6"/>
        <v/>
      </c>
      <c r="B403" s="452" t="str">
        <f>'Maxs Tool'!J403</f>
        <v/>
      </c>
      <c r="C403" s="452" t="str">
        <f>'Maxs Tool'!K403</f>
        <v/>
      </c>
      <c r="D403" s="452" t="str">
        <f>'Maxs Tool'!L403</f>
        <v/>
      </c>
      <c r="E403" s="452" t="str">
        <f>'Maxs Tool'!M403</f>
        <v/>
      </c>
    </row>
    <row r="404" spans="1:5" x14ac:dyDescent="0.25">
      <c r="A404" s="453" t="str">
        <f t="shared" si="6"/>
        <v/>
      </c>
      <c r="B404" s="452" t="str">
        <f>'Maxs Tool'!J404</f>
        <v/>
      </c>
      <c r="C404" s="452" t="str">
        <f>'Maxs Tool'!K404</f>
        <v/>
      </c>
      <c r="D404" s="452" t="str">
        <f>'Maxs Tool'!L404</f>
        <v/>
      </c>
      <c r="E404" s="452" t="str">
        <f>'Maxs Tool'!M404</f>
        <v/>
      </c>
    </row>
    <row r="405" spans="1:5" x14ac:dyDescent="0.25">
      <c r="A405" s="453" t="str">
        <f t="shared" si="6"/>
        <v/>
      </c>
      <c r="B405" s="452" t="str">
        <f>'Maxs Tool'!J405</f>
        <v/>
      </c>
      <c r="C405" s="452" t="str">
        <f>'Maxs Tool'!K405</f>
        <v/>
      </c>
      <c r="D405" s="452" t="str">
        <f>'Maxs Tool'!L405</f>
        <v/>
      </c>
      <c r="E405" s="452" t="str">
        <f>'Maxs Tool'!M405</f>
        <v/>
      </c>
    </row>
    <row r="406" spans="1:5" x14ac:dyDescent="0.25">
      <c r="A406" s="453" t="str">
        <f t="shared" si="6"/>
        <v/>
      </c>
      <c r="B406" s="452" t="str">
        <f>'Maxs Tool'!J406</f>
        <v/>
      </c>
      <c r="C406" s="452" t="str">
        <f>'Maxs Tool'!K406</f>
        <v/>
      </c>
      <c r="D406" s="452" t="str">
        <f>'Maxs Tool'!L406</f>
        <v/>
      </c>
      <c r="E406" s="452" t="str">
        <f>'Maxs Tool'!M406</f>
        <v/>
      </c>
    </row>
    <row r="407" spans="1:5" x14ac:dyDescent="0.25">
      <c r="A407" s="453" t="str">
        <f t="shared" si="6"/>
        <v/>
      </c>
      <c r="B407" s="452" t="str">
        <f>'Maxs Tool'!J407</f>
        <v/>
      </c>
      <c r="C407" s="452" t="str">
        <f>'Maxs Tool'!K407</f>
        <v/>
      </c>
      <c r="D407" s="452" t="str">
        <f>'Maxs Tool'!L407</f>
        <v/>
      </c>
      <c r="E407" s="452" t="str">
        <f>'Maxs Tool'!M407</f>
        <v/>
      </c>
    </row>
    <row r="408" spans="1:5" x14ac:dyDescent="0.25">
      <c r="A408" s="453" t="str">
        <f t="shared" si="6"/>
        <v/>
      </c>
      <c r="B408" s="452" t="str">
        <f>'Maxs Tool'!J408</f>
        <v/>
      </c>
      <c r="C408" s="452" t="str">
        <f>'Maxs Tool'!K408</f>
        <v/>
      </c>
      <c r="D408" s="452" t="str">
        <f>'Maxs Tool'!L408</f>
        <v/>
      </c>
      <c r="E408" s="452" t="str">
        <f>'Maxs Tool'!M408</f>
        <v/>
      </c>
    </row>
    <row r="409" spans="1:5" x14ac:dyDescent="0.25">
      <c r="A409" s="453" t="str">
        <f t="shared" si="6"/>
        <v/>
      </c>
      <c r="B409" s="452" t="str">
        <f>'Maxs Tool'!J409</f>
        <v/>
      </c>
      <c r="C409" s="452" t="str">
        <f>'Maxs Tool'!K409</f>
        <v/>
      </c>
      <c r="D409" s="452" t="str">
        <f>'Maxs Tool'!L409</f>
        <v/>
      </c>
      <c r="E409" s="452" t="str">
        <f>'Maxs Tool'!M409</f>
        <v/>
      </c>
    </row>
    <row r="410" spans="1:5" x14ac:dyDescent="0.25">
      <c r="A410" s="453" t="str">
        <f t="shared" si="6"/>
        <v/>
      </c>
      <c r="B410" s="452" t="str">
        <f>'Maxs Tool'!J410</f>
        <v/>
      </c>
      <c r="C410" s="452" t="str">
        <f>'Maxs Tool'!K410</f>
        <v/>
      </c>
      <c r="D410" s="452" t="str">
        <f>'Maxs Tool'!L410</f>
        <v/>
      </c>
      <c r="E410" s="452" t="str">
        <f>'Maxs Tool'!M410</f>
        <v/>
      </c>
    </row>
    <row r="411" spans="1:5" x14ac:dyDescent="0.25">
      <c r="A411" s="453" t="str">
        <f t="shared" si="6"/>
        <v/>
      </c>
      <c r="B411" s="452" t="str">
        <f>'Maxs Tool'!J411</f>
        <v/>
      </c>
      <c r="C411" s="452" t="str">
        <f>'Maxs Tool'!K411</f>
        <v/>
      </c>
      <c r="D411" s="452" t="str">
        <f>'Maxs Tool'!L411</f>
        <v/>
      </c>
      <c r="E411" s="452" t="str">
        <f>'Maxs Tool'!M411</f>
        <v/>
      </c>
    </row>
    <row r="412" spans="1:5" x14ac:dyDescent="0.25">
      <c r="A412" s="453" t="str">
        <f t="shared" si="6"/>
        <v/>
      </c>
      <c r="B412" s="452" t="str">
        <f>'Maxs Tool'!J412</f>
        <v/>
      </c>
      <c r="C412" s="452" t="str">
        <f>'Maxs Tool'!K412</f>
        <v/>
      </c>
      <c r="D412" s="452" t="str">
        <f>'Maxs Tool'!L412</f>
        <v/>
      </c>
      <c r="E412" s="452" t="str">
        <f>'Maxs Tool'!M412</f>
        <v/>
      </c>
    </row>
    <row r="413" spans="1:5" x14ac:dyDescent="0.25">
      <c r="A413" s="453" t="str">
        <f t="shared" si="6"/>
        <v/>
      </c>
      <c r="B413" s="452" t="str">
        <f>'Maxs Tool'!J413</f>
        <v/>
      </c>
      <c r="C413" s="452" t="str">
        <f>'Maxs Tool'!K413</f>
        <v/>
      </c>
      <c r="D413" s="452" t="str">
        <f>'Maxs Tool'!L413</f>
        <v/>
      </c>
      <c r="E413" s="452" t="str">
        <f>'Maxs Tool'!M413</f>
        <v/>
      </c>
    </row>
    <row r="414" spans="1:5" x14ac:dyDescent="0.25">
      <c r="A414" s="453" t="str">
        <f t="shared" si="6"/>
        <v/>
      </c>
      <c r="B414" s="452" t="str">
        <f>'Maxs Tool'!J414</f>
        <v/>
      </c>
      <c r="C414" s="452" t="str">
        <f>'Maxs Tool'!K414</f>
        <v/>
      </c>
      <c r="D414" s="452" t="str">
        <f>'Maxs Tool'!L414</f>
        <v/>
      </c>
      <c r="E414" s="452" t="str">
        <f>'Maxs Tool'!M414</f>
        <v/>
      </c>
    </row>
    <row r="415" spans="1:5" x14ac:dyDescent="0.25">
      <c r="A415" s="453" t="str">
        <f t="shared" si="6"/>
        <v/>
      </c>
      <c r="B415" s="452" t="str">
        <f>'Maxs Tool'!J415</f>
        <v/>
      </c>
      <c r="C415" s="452" t="str">
        <f>'Maxs Tool'!K415</f>
        <v/>
      </c>
      <c r="D415" s="452" t="str">
        <f>'Maxs Tool'!L415</f>
        <v/>
      </c>
      <c r="E415" s="452" t="str">
        <f>'Maxs Tool'!M415</f>
        <v/>
      </c>
    </row>
    <row r="416" spans="1:5" x14ac:dyDescent="0.25">
      <c r="A416" s="453" t="str">
        <f t="shared" si="6"/>
        <v/>
      </c>
      <c r="B416" s="452" t="str">
        <f>'Maxs Tool'!J416</f>
        <v/>
      </c>
      <c r="C416" s="452" t="str">
        <f>'Maxs Tool'!K416</f>
        <v/>
      </c>
      <c r="D416" s="452" t="str">
        <f>'Maxs Tool'!L416</f>
        <v/>
      </c>
      <c r="E416" s="452" t="str">
        <f>'Maxs Tool'!M416</f>
        <v/>
      </c>
    </row>
    <row r="417" spans="1:5" x14ac:dyDescent="0.25">
      <c r="A417" s="453" t="str">
        <f t="shared" si="6"/>
        <v/>
      </c>
      <c r="B417" s="452" t="str">
        <f>'Maxs Tool'!J417</f>
        <v/>
      </c>
      <c r="C417" s="452" t="str">
        <f>'Maxs Tool'!K417</f>
        <v/>
      </c>
      <c r="D417" s="452" t="str">
        <f>'Maxs Tool'!L417</f>
        <v/>
      </c>
      <c r="E417" s="452" t="str">
        <f>'Maxs Tool'!M417</f>
        <v/>
      </c>
    </row>
    <row r="418" spans="1:5" x14ac:dyDescent="0.25">
      <c r="A418" s="453" t="str">
        <f t="shared" si="6"/>
        <v/>
      </c>
      <c r="B418" s="452" t="str">
        <f>'Maxs Tool'!J418</f>
        <v/>
      </c>
      <c r="C418" s="452" t="str">
        <f>'Maxs Tool'!K418</f>
        <v/>
      </c>
      <c r="D418" s="452" t="str">
        <f>'Maxs Tool'!L418</f>
        <v/>
      </c>
      <c r="E418" s="452" t="str">
        <f>'Maxs Tool'!M418</f>
        <v/>
      </c>
    </row>
    <row r="419" spans="1:5" x14ac:dyDescent="0.25">
      <c r="A419" s="453" t="str">
        <f t="shared" si="6"/>
        <v/>
      </c>
      <c r="B419" s="452" t="str">
        <f>'Maxs Tool'!J419</f>
        <v/>
      </c>
      <c r="C419" s="452" t="str">
        <f>'Maxs Tool'!K419</f>
        <v/>
      </c>
      <c r="D419" s="452" t="str">
        <f>'Maxs Tool'!L419</f>
        <v/>
      </c>
      <c r="E419" s="452" t="str">
        <f>'Maxs Tool'!M419</f>
        <v/>
      </c>
    </row>
    <row r="420" spans="1:5" x14ac:dyDescent="0.25">
      <c r="A420" s="453" t="str">
        <f t="shared" si="6"/>
        <v/>
      </c>
      <c r="B420" s="452" t="str">
        <f>'Maxs Tool'!J420</f>
        <v/>
      </c>
      <c r="C420" s="452" t="str">
        <f>'Maxs Tool'!K420</f>
        <v/>
      </c>
      <c r="D420" s="452" t="str">
        <f>'Maxs Tool'!L420</f>
        <v/>
      </c>
      <c r="E420" s="452" t="str">
        <f>'Maxs Tool'!M420</f>
        <v/>
      </c>
    </row>
    <row r="421" spans="1:5" x14ac:dyDescent="0.25">
      <c r="A421" s="453" t="str">
        <f t="shared" si="6"/>
        <v/>
      </c>
      <c r="B421" s="452" t="str">
        <f>'Maxs Tool'!J421</f>
        <v/>
      </c>
      <c r="C421" s="452" t="str">
        <f>'Maxs Tool'!K421</f>
        <v/>
      </c>
      <c r="D421" s="452" t="str">
        <f>'Maxs Tool'!L421</f>
        <v/>
      </c>
      <c r="E421" s="452" t="str">
        <f>'Maxs Tool'!M421</f>
        <v/>
      </c>
    </row>
    <row r="422" spans="1:5" x14ac:dyDescent="0.25">
      <c r="A422" s="453" t="str">
        <f t="shared" si="6"/>
        <v/>
      </c>
      <c r="B422" s="452" t="str">
        <f>'Maxs Tool'!J422</f>
        <v/>
      </c>
      <c r="C422" s="452" t="str">
        <f>'Maxs Tool'!K422</f>
        <v/>
      </c>
      <c r="D422" s="452" t="str">
        <f>'Maxs Tool'!L422</f>
        <v/>
      </c>
      <c r="E422" s="452" t="str">
        <f>'Maxs Tool'!M422</f>
        <v/>
      </c>
    </row>
    <row r="423" spans="1:5" x14ac:dyDescent="0.25">
      <c r="A423" s="453" t="str">
        <f t="shared" si="6"/>
        <v/>
      </c>
      <c r="B423" s="452" t="str">
        <f>'Maxs Tool'!J423</f>
        <v/>
      </c>
      <c r="C423" s="452" t="str">
        <f>'Maxs Tool'!K423</f>
        <v/>
      </c>
      <c r="D423" s="452" t="str">
        <f>'Maxs Tool'!L423</f>
        <v/>
      </c>
      <c r="E423" s="452" t="str">
        <f>'Maxs Tool'!M423</f>
        <v/>
      </c>
    </row>
    <row r="424" spans="1:5" x14ac:dyDescent="0.25">
      <c r="A424" s="453" t="str">
        <f t="shared" si="6"/>
        <v/>
      </c>
      <c r="B424" s="452" t="str">
        <f>'Maxs Tool'!J424</f>
        <v/>
      </c>
      <c r="C424" s="452" t="str">
        <f>'Maxs Tool'!K424</f>
        <v/>
      </c>
      <c r="D424" s="452" t="str">
        <f>'Maxs Tool'!L424</f>
        <v/>
      </c>
      <c r="E424" s="452" t="str">
        <f>'Maxs Tool'!M424</f>
        <v/>
      </c>
    </row>
    <row r="425" spans="1:5" x14ac:dyDescent="0.25">
      <c r="A425" s="453" t="str">
        <f t="shared" si="6"/>
        <v/>
      </c>
      <c r="B425" s="452" t="str">
        <f>'Maxs Tool'!J425</f>
        <v/>
      </c>
      <c r="C425" s="452" t="str">
        <f>'Maxs Tool'!K425</f>
        <v/>
      </c>
      <c r="D425" s="452" t="str">
        <f>'Maxs Tool'!L425</f>
        <v/>
      </c>
      <c r="E425" s="452" t="str">
        <f>'Maxs Tool'!M425</f>
        <v/>
      </c>
    </row>
    <row r="426" spans="1:5" x14ac:dyDescent="0.25">
      <c r="A426" s="453" t="str">
        <f t="shared" si="6"/>
        <v/>
      </c>
      <c r="B426" s="452" t="str">
        <f>'Maxs Tool'!J426</f>
        <v/>
      </c>
      <c r="C426" s="452" t="str">
        <f>'Maxs Tool'!K426</f>
        <v/>
      </c>
      <c r="D426" s="452" t="str">
        <f>'Maxs Tool'!L426</f>
        <v/>
      </c>
      <c r="E426" s="452" t="str">
        <f>'Maxs Tool'!M426</f>
        <v/>
      </c>
    </row>
    <row r="427" spans="1:5" x14ac:dyDescent="0.25">
      <c r="A427" s="453" t="str">
        <f t="shared" si="6"/>
        <v/>
      </c>
      <c r="B427" s="452" t="str">
        <f>'Maxs Tool'!J427</f>
        <v/>
      </c>
      <c r="C427" s="452" t="str">
        <f>'Maxs Tool'!K427</f>
        <v/>
      </c>
      <c r="D427" s="452" t="str">
        <f>'Maxs Tool'!L427</f>
        <v/>
      </c>
      <c r="E427" s="452" t="str">
        <f>'Maxs Tool'!M427</f>
        <v/>
      </c>
    </row>
    <row r="428" spans="1:5" x14ac:dyDescent="0.25">
      <c r="A428" s="453" t="str">
        <f t="shared" si="6"/>
        <v/>
      </c>
      <c r="B428" s="452" t="str">
        <f>'Maxs Tool'!J428</f>
        <v/>
      </c>
      <c r="C428" s="452" t="str">
        <f>'Maxs Tool'!K428</f>
        <v/>
      </c>
      <c r="D428" s="452" t="str">
        <f>'Maxs Tool'!L428</f>
        <v/>
      </c>
      <c r="E428" s="452" t="str">
        <f>'Maxs Tool'!M428</f>
        <v/>
      </c>
    </row>
    <row r="429" spans="1:5" x14ac:dyDescent="0.25">
      <c r="A429" s="453" t="str">
        <f t="shared" si="6"/>
        <v/>
      </c>
      <c r="B429" s="452" t="str">
        <f>'Maxs Tool'!J429</f>
        <v/>
      </c>
      <c r="C429" s="452" t="str">
        <f>'Maxs Tool'!K429</f>
        <v/>
      </c>
      <c r="D429" s="452" t="str">
        <f>'Maxs Tool'!L429</f>
        <v/>
      </c>
      <c r="E429" s="452" t="str">
        <f>'Maxs Tool'!M429</f>
        <v/>
      </c>
    </row>
    <row r="430" spans="1:5" x14ac:dyDescent="0.25">
      <c r="A430" s="453" t="str">
        <f t="shared" si="6"/>
        <v/>
      </c>
      <c r="B430" s="452" t="str">
        <f>'Maxs Tool'!J430</f>
        <v/>
      </c>
      <c r="C430" s="452" t="str">
        <f>'Maxs Tool'!K430</f>
        <v/>
      </c>
      <c r="D430" s="452" t="str">
        <f>'Maxs Tool'!L430</f>
        <v/>
      </c>
      <c r="E430" s="452" t="str">
        <f>'Maxs Tool'!M430</f>
        <v/>
      </c>
    </row>
    <row r="431" spans="1:5" x14ac:dyDescent="0.25">
      <c r="A431" s="453" t="str">
        <f t="shared" si="6"/>
        <v/>
      </c>
      <c r="B431" s="452" t="str">
        <f>'Maxs Tool'!J431</f>
        <v/>
      </c>
      <c r="C431" s="452" t="str">
        <f>'Maxs Tool'!K431</f>
        <v/>
      </c>
      <c r="D431" s="452" t="str">
        <f>'Maxs Tool'!L431</f>
        <v/>
      </c>
      <c r="E431" s="452" t="str">
        <f>'Maxs Tool'!M431</f>
        <v/>
      </c>
    </row>
    <row r="432" spans="1:5" x14ac:dyDescent="0.25">
      <c r="A432" s="453" t="str">
        <f t="shared" si="6"/>
        <v/>
      </c>
      <c r="B432" s="452" t="str">
        <f>'Maxs Tool'!J432</f>
        <v/>
      </c>
      <c r="C432" s="452" t="str">
        <f>'Maxs Tool'!K432</f>
        <v/>
      </c>
      <c r="D432" s="452" t="str">
        <f>'Maxs Tool'!L432</f>
        <v/>
      </c>
      <c r="E432" s="452" t="str">
        <f>'Maxs Tool'!M432</f>
        <v/>
      </c>
    </row>
    <row r="433" spans="1:5" x14ac:dyDescent="0.25">
      <c r="A433" s="453" t="str">
        <f t="shared" si="6"/>
        <v/>
      </c>
      <c r="B433" s="452" t="str">
        <f>'Maxs Tool'!J433</f>
        <v/>
      </c>
      <c r="C433" s="452" t="str">
        <f>'Maxs Tool'!K433</f>
        <v/>
      </c>
      <c r="D433" s="452" t="str">
        <f>'Maxs Tool'!L433</f>
        <v/>
      </c>
      <c r="E433" s="452" t="str">
        <f>'Maxs Tool'!M433</f>
        <v/>
      </c>
    </row>
    <row r="434" spans="1:5" x14ac:dyDescent="0.25">
      <c r="A434" s="453" t="str">
        <f t="shared" si="6"/>
        <v/>
      </c>
      <c r="B434" s="452" t="str">
        <f>'Maxs Tool'!J434</f>
        <v/>
      </c>
      <c r="C434" s="452" t="str">
        <f>'Maxs Tool'!K434</f>
        <v/>
      </c>
      <c r="D434" s="452" t="str">
        <f>'Maxs Tool'!L434</f>
        <v/>
      </c>
      <c r="E434" s="452" t="str">
        <f>'Maxs Tool'!M434</f>
        <v/>
      </c>
    </row>
    <row r="435" spans="1:5" x14ac:dyDescent="0.25">
      <c r="A435" s="453" t="str">
        <f t="shared" si="6"/>
        <v/>
      </c>
      <c r="B435" s="452" t="str">
        <f>'Maxs Tool'!J435</f>
        <v/>
      </c>
      <c r="C435" s="452" t="str">
        <f>'Maxs Tool'!K435</f>
        <v/>
      </c>
      <c r="D435" s="452" t="str">
        <f>'Maxs Tool'!L435</f>
        <v/>
      </c>
      <c r="E435" s="452" t="str">
        <f>'Maxs Tool'!M435</f>
        <v/>
      </c>
    </row>
    <row r="436" spans="1:5" x14ac:dyDescent="0.25">
      <c r="A436" s="453" t="str">
        <f t="shared" si="6"/>
        <v/>
      </c>
      <c r="B436" s="452" t="str">
        <f>'Maxs Tool'!J436</f>
        <v/>
      </c>
      <c r="C436" s="452" t="str">
        <f>'Maxs Tool'!K436</f>
        <v/>
      </c>
      <c r="D436" s="452" t="str">
        <f>'Maxs Tool'!L436</f>
        <v/>
      </c>
      <c r="E436" s="452" t="str">
        <f>'Maxs Tool'!M436</f>
        <v/>
      </c>
    </row>
    <row r="437" spans="1:5" x14ac:dyDescent="0.25">
      <c r="A437" s="453" t="str">
        <f t="shared" si="6"/>
        <v/>
      </c>
      <c r="B437" s="452" t="str">
        <f>'Maxs Tool'!J437</f>
        <v/>
      </c>
      <c r="C437" s="452" t="str">
        <f>'Maxs Tool'!K437</f>
        <v/>
      </c>
      <c r="D437" s="452" t="str">
        <f>'Maxs Tool'!L437</f>
        <v/>
      </c>
      <c r="E437" s="452" t="str">
        <f>'Maxs Tool'!M437</f>
        <v/>
      </c>
    </row>
    <row r="438" spans="1:5" x14ac:dyDescent="0.25">
      <c r="A438" s="453" t="str">
        <f t="shared" si="6"/>
        <v/>
      </c>
      <c r="B438" s="452" t="str">
        <f>'Maxs Tool'!J438</f>
        <v/>
      </c>
      <c r="C438" s="452" t="str">
        <f>'Maxs Tool'!K438</f>
        <v/>
      </c>
      <c r="D438" s="452" t="str">
        <f>'Maxs Tool'!L438</f>
        <v/>
      </c>
      <c r="E438" s="452" t="str">
        <f>'Maxs Tool'!M438</f>
        <v/>
      </c>
    </row>
    <row r="439" spans="1:5" x14ac:dyDescent="0.25">
      <c r="A439" s="453" t="str">
        <f t="shared" si="6"/>
        <v/>
      </c>
      <c r="B439" s="452" t="str">
        <f>'Maxs Tool'!J439</f>
        <v/>
      </c>
      <c r="C439" s="452" t="str">
        <f>'Maxs Tool'!K439</f>
        <v/>
      </c>
      <c r="D439" s="452" t="str">
        <f>'Maxs Tool'!L439</f>
        <v/>
      </c>
      <c r="E439" s="452" t="str">
        <f>'Maxs Tool'!M439</f>
        <v/>
      </c>
    </row>
    <row r="440" spans="1:5" x14ac:dyDescent="0.25">
      <c r="A440" s="453" t="str">
        <f t="shared" si="6"/>
        <v/>
      </c>
      <c r="B440" s="452" t="str">
        <f>'Maxs Tool'!J440</f>
        <v/>
      </c>
      <c r="C440" s="452" t="str">
        <f>'Maxs Tool'!K440</f>
        <v/>
      </c>
      <c r="D440" s="452" t="str">
        <f>'Maxs Tool'!L440</f>
        <v/>
      </c>
      <c r="E440" s="452" t="str">
        <f>'Maxs Tool'!M440</f>
        <v/>
      </c>
    </row>
    <row r="441" spans="1:5" x14ac:dyDescent="0.25">
      <c r="A441" s="453" t="str">
        <f t="shared" si="6"/>
        <v/>
      </c>
      <c r="B441" s="452" t="str">
        <f>'Maxs Tool'!J441</f>
        <v/>
      </c>
      <c r="C441" s="452" t="str">
        <f>'Maxs Tool'!K441</f>
        <v/>
      </c>
      <c r="D441" s="452" t="str">
        <f>'Maxs Tool'!L441</f>
        <v/>
      </c>
      <c r="E441" s="452" t="str">
        <f>'Maxs Tool'!M441</f>
        <v/>
      </c>
    </row>
    <row r="442" spans="1:5" x14ac:dyDescent="0.25">
      <c r="A442" s="453" t="str">
        <f t="shared" si="6"/>
        <v/>
      </c>
      <c r="B442" s="452" t="str">
        <f>'Maxs Tool'!J442</f>
        <v/>
      </c>
      <c r="C442" s="452" t="str">
        <f>'Maxs Tool'!K442</f>
        <v/>
      </c>
      <c r="D442" s="452" t="str">
        <f>'Maxs Tool'!L442</f>
        <v/>
      </c>
      <c r="E442" s="452" t="str">
        <f>'Maxs Tool'!M442</f>
        <v/>
      </c>
    </row>
    <row r="443" spans="1:5" x14ac:dyDescent="0.25">
      <c r="A443" s="453" t="str">
        <f t="shared" si="6"/>
        <v/>
      </c>
      <c r="B443" s="452" t="str">
        <f>'Maxs Tool'!J443</f>
        <v/>
      </c>
      <c r="C443" s="452" t="str">
        <f>'Maxs Tool'!K443</f>
        <v/>
      </c>
      <c r="D443" s="452" t="str">
        <f>'Maxs Tool'!L443</f>
        <v/>
      </c>
      <c r="E443" s="452" t="str">
        <f>'Maxs Tool'!M443</f>
        <v/>
      </c>
    </row>
    <row r="444" spans="1:5" x14ac:dyDescent="0.25">
      <c r="A444" s="453" t="str">
        <f t="shared" si="6"/>
        <v/>
      </c>
      <c r="B444" s="452" t="str">
        <f>'Maxs Tool'!J444</f>
        <v/>
      </c>
      <c r="C444" s="452" t="str">
        <f>'Maxs Tool'!K444</f>
        <v/>
      </c>
      <c r="D444" s="452" t="str">
        <f>'Maxs Tool'!L444</f>
        <v/>
      </c>
      <c r="E444" s="452" t="str">
        <f>'Maxs Tool'!M444</f>
        <v/>
      </c>
    </row>
    <row r="445" spans="1:5" x14ac:dyDescent="0.25">
      <c r="A445" s="453" t="str">
        <f t="shared" si="6"/>
        <v/>
      </c>
      <c r="B445" s="452" t="str">
        <f>'Maxs Tool'!J445</f>
        <v/>
      </c>
      <c r="C445" s="452" t="str">
        <f>'Maxs Tool'!K445</f>
        <v/>
      </c>
      <c r="D445" s="452" t="str">
        <f>'Maxs Tool'!L445</f>
        <v/>
      </c>
      <c r="E445" s="452" t="str">
        <f>'Maxs Tool'!M445</f>
        <v/>
      </c>
    </row>
    <row r="446" spans="1:5" x14ac:dyDescent="0.25">
      <c r="A446" s="453" t="str">
        <f t="shared" si="6"/>
        <v/>
      </c>
      <c r="B446" s="452" t="str">
        <f>'Maxs Tool'!J446</f>
        <v/>
      </c>
      <c r="C446" s="452" t="str">
        <f>'Maxs Tool'!K446</f>
        <v/>
      </c>
      <c r="D446" s="452" t="str">
        <f>'Maxs Tool'!L446</f>
        <v/>
      </c>
      <c r="E446" s="452" t="str">
        <f>'Maxs Tool'!M446</f>
        <v/>
      </c>
    </row>
    <row r="447" spans="1:5" x14ac:dyDescent="0.25">
      <c r="A447" s="453" t="str">
        <f t="shared" si="6"/>
        <v/>
      </c>
      <c r="B447" s="452" t="str">
        <f>'Maxs Tool'!J447</f>
        <v/>
      </c>
      <c r="C447" s="452" t="str">
        <f>'Maxs Tool'!K447</f>
        <v/>
      </c>
      <c r="D447" s="452" t="str">
        <f>'Maxs Tool'!L447</f>
        <v/>
      </c>
      <c r="E447" s="452" t="str">
        <f>'Maxs Tool'!M447</f>
        <v/>
      </c>
    </row>
    <row r="448" spans="1:5" x14ac:dyDescent="0.25">
      <c r="A448" s="453" t="str">
        <f t="shared" si="6"/>
        <v/>
      </c>
      <c r="B448" s="452" t="str">
        <f>'Maxs Tool'!J448</f>
        <v/>
      </c>
      <c r="C448" s="452" t="str">
        <f>'Maxs Tool'!K448</f>
        <v/>
      </c>
      <c r="D448" s="452" t="str">
        <f>'Maxs Tool'!L448</f>
        <v/>
      </c>
      <c r="E448" s="452" t="str">
        <f>'Maxs Tool'!M448</f>
        <v/>
      </c>
    </row>
    <row r="449" spans="1:5" x14ac:dyDescent="0.25">
      <c r="A449" s="453" t="str">
        <f t="shared" si="6"/>
        <v/>
      </c>
      <c r="B449" s="452" t="str">
        <f>'Maxs Tool'!J449</f>
        <v/>
      </c>
      <c r="C449" s="452" t="str">
        <f>'Maxs Tool'!K449</f>
        <v/>
      </c>
      <c r="D449" s="452" t="str">
        <f>'Maxs Tool'!L449</f>
        <v/>
      </c>
      <c r="E449" s="452" t="str">
        <f>'Maxs Tool'!M449</f>
        <v/>
      </c>
    </row>
    <row r="450" spans="1:5" x14ac:dyDescent="0.25">
      <c r="A450" s="453" t="str">
        <f t="shared" si="6"/>
        <v/>
      </c>
      <c r="B450" s="452" t="str">
        <f>'Maxs Tool'!J450</f>
        <v/>
      </c>
      <c r="C450" s="452" t="str">
        <f>'Maxs Tool'!K450</f>
        <v/>
      </c>
      <c r="D450" s="452" t="str">
        <f>'Maxs Tool'!L450</f>
        <v/>
      </c>
      <c r="E450" s="452" t="str">
        <f>'Maxs Tool'!M450</f>
        <v/>
      </c>
    </row>
    <row r="451" spans="1:5" x14ac:dyDescent="0.25">
      <c r="A451" s="453" t="str">
        <f t="shared" ref="A451:A514" si="7">IF(ISNUMBER(D451),ROW()-1,"")</f>
        <v/>
      </c>
      <c r="B451" s="452" t="str">
        <f>'Maxs Tool'!J451</f>
        <v/>
      </c>
      <c r="C451" s="452" t="str">
        <f>'Maxs Tool'!K451</f>
        <v/>
      </c>
      <c r="D451" s="452" t="str">
        <f>'Maxs Tool'!L451</f>
        <v/>
      </c>
      <c r="E451" s="452" t="str">
        <f>'Maxs Tool'!M451</f>
        <v/>
      </c>
    </row>
    <row r="452" spans="1:5" x14ac:dyDescent="0.25">
      <c r="A452" s="453" t="str">
        <f t="shared" si="7"/>
        <v/>
      </c>
      <c r="B452" s="452" t="str">
        <f>'Maxs Tool'!J452</f>
        <v/>
      </c>
      <c r="C452" s="452" t="str">
        <f>'Maxs Tool'!K452</f>
        <v/>
      </c>
      <c r="D452" s="452" t="str">
        <f>'Maxs Tool'!L452</f>
        <v/>
      </c>
      <c r="E452" s="452" t="str">
        <f>'Maxs Tool'!M452</f>
        <v/>
      </c>
    </row>
    <row r="453" spans="1:5" x14ac:dyDescent="0.25">
      <c r="A453" s="453" t="str">
        <f t="shared" si="7"/>
        <v/>
      </c>
      <c r="B453" s="452" t="str">
        <f>'Maxs Tool'!J453</f>
        <v/>
      </c>
      <c r="C453" s="452" t="str">
        <f>'Maxs Tool'!K453</f>
        <v/>
      </c>
      <c r="D453" s="452" t="str">
        <f>'Maxs Tool'!L453</f>
        <v/>
      </c>
      <c r="E453" s="452" t="str">
        <f>'Maxs Tool'!M453</f>
        <v/>
      </c>
    </row>
    <row r="454" spans="1:5" x14ac:dyDescent="0.25">
      <c r="A454" s="453" t="str">
        <f t="shared" si="7"/>
        <v/>
      </c>
      <c r="B454" s="452" t="str">
        <f>'Maxs Tool'!J454</f>
        <v/>
      </c>
      <c r="C454" s="452" t="str">
        <f>'Maxs Tool'!K454</f>
        <v/>
      </c>
      <c r="D454" s="452" t="str">
        <f>'Maxs Tool'!L454</f>
        <v/>
      </c>
      <c r="E454" s="452" t="str">
        <f>'Maxs Tool'!M454</f>
        <v/>
      </c>
    </row>
    <row r="455" spans="1:5" x14ac:dyDescent="0.25">
      <c r="A455" s="453" t="str">
        <f t="shared" si="7"/>
        <v/>
      </c>
      <c r="B455" s="452" t="str">
        <f>'Maxs Tool'!J455</f>
        <v/>
      </c>
      <c r="C455" s="452" t="str">
        <f>'Maxs Tool'!K455</f>
        <v/>
      </c>
      <c r="D455" s="452" t="str">
        <f>'Maxs Tool'!L455</f>
        <v/>
      </c>
      <c r="E455" s="452" t="str">
        <f>'Maxs Tool'!M455</f>
        <v/>
      </c>
    </row>
    <row r="456" spans="1:5" x14ac:dyDescent="0.25">
      <c r="A456" s="453" t="str">
        <f t="shared" si="7"/>
        <v/>
      </c>
      <c r="B456" s="452" t="str">
        <f>'Maxs Tool'!J456</f>
        <v/>
      </c>
      <c r="C456" s="452" t="str">
        <f>'Maxs Tool'!K456</f>
        <v/>
      </c>
      <c r="D456" s="452" t="str">
        <f>'Maxs Tool'!L456</f>
        <v/>
      </c>
      <c r="E456" s="452" t="str">
        <f>'Maxs Tool'!M456</f>
        <v/>
      </c>
    </row>
    <row r="457" spans="1:5" x14ac:dyDescent="0.25">
      <c r="A457" s="453" t="str">
        <f t="shared" si="7"/>
        <v/>
      </c>
      <c r="B457" s="452" t="str">
        <f>'Maxs Tool'!J457</f>
        <v/>
      </c>
      <c r="C457" s="452" t="str">
        <f>'Maxs Tool'!K457</f>
        <v/>
      </c>
      <c r="D457" s="452" t="str">
        <f>'Maxs Tool'!L457</f>
        <v/>
      </c>
      <c r="E457" s="452" t="str">
        <f>'Maxs Tool'!M457</f>
        <v/>
      </c>
    </row>
    <row r="458" spans="1:5" x14ac:dyDescent="0.25">
      <c r="A458" s="453" t="str">
        <f t="shared" si="7"/>
        <v/>
      </c>
      <c r="B458" s="452" t="str">
        <f>'Maxs Tool'!J458</f>
        <v/>
      </c>
      <c r="C458" s="452" t="str">
        <f>'Maxs Tool'!K458</f>
        <v/>
      </c>
      <c r="D458" s="452" t="str">
        <f>'Maxs Tool'!L458</f>
        <v/>
      </c>
      <c r="E458" s="452" t="str">
        <f>'Maxs Tool'!M458</f>
        <v/>
      </c>
    </row>
    <row r="459" spans="1:5" x14ac:dyDescent="0.25">
      <c r="A459" s="453" t="str">
        <f t="shared" si="7"/>
        <v/>
      </c>
      <c r="B459" s="452" t="str">
        <f>'Maxs Tool'!J459</f>
        <v/>
      </c>
      <c r="C459" s="452" t="str">
        <f>'Maxs Tool'!K459</f>
        <v/>
      </c>
      <c r="D459" s="452" t="str">
        <f>'Maxs Tool'!L459</f>
        <v/>
      </c>
      <c r="E459" s="452" t="str">
        <f>'Maxs Tool'!M459</f>
        <v/>
      </c>
    </row>
    <row r="460" spans="1:5" x14ac:dyDescent="0.25">
      <c r="A460" s="453" t="str">
        <f t="shared" si="7"/>
        <v/>
      </c>
      <c r="B460" s="452" t="str">
        <f>'Maxs Tool'!J460</f>
        <v/>
      </c>
      <c r="C460" s="452" t="str">
        <f>'Maxs Tool'!K460</f>
        <v/>
      </c>
      <c r="D460" s="452" t="str">
        <f>'Maxs Tool'!L460</f>
        <v/>
      </c>
      <c r="E460" s="452" t="str">
        <f>'Maxs Tool'!M460</f>
        <v/>
      </c>
    </row>
    <row r="461" spans="1:5" x14ac:dyDescent="0.25">
      <c r="A461" s="453" t="str">
        <f t="shared" si="7"/>
        <v/>
      </c>
      <c r="B461" s="452" t="str">
        <f>'Maxs Tool'!J461</f>
        <v/>
      </c>
      <c r="C461" s="452" t="str">
        <f>'Maxs Tool'!K461</f>
        <v/>
      </c>
      <c r="D461" s="452" t="str">
        <f>'Maxs Tool'!L461</f>
        <v/>
      </c>
      <c r="E461" s="452" t="str">
        <f>'Maxs Tool'!M461</f>
        <v/>
      </c>
    </row>
    <row r="462" spans="1:5" x14ac:dyDescent="0.25">
      <c r="A462" s="453" t="str">
        <f t="shared" si="7"/>
        <v/>
      </c>
      <c r="B462" s="452" t="str">
        <f>'Maxs Tool'!J462</f>
        <v/>
      </c>
      <c r="C462" s="452" t="str">
        <f>'Maxs Tool'!K462</f>
        <v/>
      </c>
      <c r="D462" s="452" t="str">
        <f>'Maxs Tool'!L462</f>
        <v/>
      </c>
      <c r="E462" s="452" t="str">
        <f>'Maxs Tool'!M462</f>
        <v/>
      </c>
    </row>
    <row r="463" spans="1:5" x14ac:dyDescent="0.25">
      <c r="A463" s="453" t="str">
        <f t="shared" si="7"/>
        <v/>
      </c>
      <c r="B463" s="452" t="str">
        <f>'Maxs Tool'!J463</f>
        <v/>
      </c>
      <c r="C463" s="452" t="str">
        <f>'Maxs Tool'!K463</f>
        <v/>
      </c>
      <c r="D463" s="452" t="str">
        <f>'Maxs Tool'!L463</f>
        <v/>
      </c>
      <c r="E463" s="452" t="str">
        <f>'Maxs Tool'!M463</f>
        <v/>
      </c>
    </row>
    <row r="464" spans="1:5" x14ac:dyDescent="0.25">
      <c r="A464" s="453" t="str">
        <f t="shared" si="7"/>
        <v/>
      </c>
      <c r="B464" s="452" t="str">
        <f>'Maxs Tool'!J464</f>
        <v/>
      </c>
      <c r="C464" s="452" t="str">
        <f>'Maxs Tool'!K464</f>
        <v/>
      </c>
      <c r="D464" s="452" t="str">
        <f>'Maxs Tool'!L464</f>
        <v/>
      </c>
      <c r="E464" s="452" t="str">
        <f>'Maxs Tool'!M464</f>
        <v/>
      </c>
    </row>
    <row r="465" spans="1:5" x14ac:dyDescent="0.25">
      <c r="A465" s="453" t="str">
        <f t="shared" si="7"/>
        <v/>
      </c>
      <c r="B465" s="452" t="str">
        <f>'Maxs Tool'!J465</f>
        <v/>
      </c>
      <c r="C465" s="452" t="str">
        <f>'Maxs Tool'!K465</f>
        <v/>
      </c>
      <c r="D465" s="452" t="str">
        <f>'Maxs Tool'!L465</f>
        <v/>
      </c>
      <c r="E465" s="452" t="str">
        <f>'Maxs Tool'!M465</f>
        <v/>
      </c>
    </row>
    <row r="466" spans="1:5" x14ac:dyDescent="0.25">
      <c r="A466" s="453" t="str">
        <f t="shared" si="7"/>
        <v/>
      </c>
      <c r="B466" s="452" t="str">
        <f>'Maxs Tool'!J466</f>
        <v/>
      </c>
      <c r="C466" s="452" t="str">
        <f>'Maxs Tool'!K466</f>
        <v/>
      </c>
      <c r="D466" s="452" t="str">
        <f>'Maxs Tool'!L466</f>
        <v/>
      </c>
      <c r="E466" s="452" t="str">
        <f>'Maxs Tool'!M466</f>
        <v/>
      </c>
    </row>
    <row r="467" spans="1:5" x14ac:dyDescent="0.25">
      <c r="A467" s="453" t="str">
        <f t="shared" si="7"/>
        <v/>
      </c>
      <c r="B467" s="452" t="str">
        <f>'Maxs Tool'!J467</f>
        <v/>
      </c>
      <c r="C467" s="452" t="str">
        <f>'Maxs Tool'!K467</f>
        <v/>
      </c>
      <c r="D467" s="452" t="str">
        <f>'Maxs Tool'!L467</f>
        <v/>
      </c>
      <c r="E467" s="452" t="str">
        <f>'Maxs Tool'!M467</f>
        <v/>
      </c>
    </row>
    <row r="468" spans="1:5" x14ac:dyDescent="0.25">
      <c r="A468" s="453" t="str">
        <f t="shared" si="7"/>
        <v/>
      </c>
      <c r="B468" s="452" t="str">
        <f>'Maxs Tool'!J468</f>
        <v/>
      </c>
      <c r="C468" s="452" t="str">
        <f>'Maxs Tool'!K468</f>
        <v/>
      </c>
      <c r="D468" s="452" t="str">
        <f>'Maxs Tool'!L468</f>
        <v/>
      </c>
      <c r="E468" s="452" t="str">
        <f>'Maxs Tool'!M468</f>
        <v/>
      </c>
    </row>
    <row r="469" spans="1:5" x14ac:dyDescent="0.25">
      <c r="A469" s="453" t="str">
        <f t="shared" si="7"/>
        <v/>
      </c>
      <c r="B469" s="452" t="str">
        <f>'Maxs Tool'!J469</f>
        <v/>
      </c>
      <c r="C469" s="452" t="str">
        <f>'Maxs Tool'!K469</f>
        <v/>
      </c>
      <c r="D469" s="452" t="str">
        <f>'Maxs Tool'!L469</f>
        <v/>
      </c>
      <c r="E469" s="452" t="str">
        <f>'Maxs Tool'!M469</f>
        <v/>
      </c>
    </row>
    <row r="470" spans="1:5" x14ac:dyDescent="0.25">
      <c r="A470" s="453" t="str">
        <f t="shared" si="7"/>
        <v/>
      </c>
      <c r="B470" s="452" t="str">
        <f>'Maxs Tool'!J470</f>
        <v/>
      </c>
      <c r="C470" s="452" t="str">
        <f>'Maxs Tool'!K470</f>
        <v/>
      </c>
      <c r="D470" s="452" t="str">
        <f>'Maxs Tool'!L470</f>
        <v/>
      </c>
      <c r="E470" s="452" t="str">
        <f>'Maxs Tool'!M470</f>
        <v/>
      </c>
    </row>
    <row r="471" spans="1:5" x14ac:dyDescent="0.25">
      <c r="A471" s="453" t="str">
        <f t="shared" si="7"/>
        <v/>
      </c>
      <c r="B471" s="452" t="str">
        <f>'Maxs Tool'!J471</f>
        <v/>
      </c>
      <c r="C471" s="452" t="str">
        <f>'Maxs Tool'!K471</f>
        <v/>
      </c>
      <c r="D471" s="452" t="str">
        <f>'Maxs Tool'!L471</f>
        <v/>
      </c>
      <c r="E471" s="452" t="str">
        <f>'Maxs Tool'!M471</f>
        <v/>
      </c>
    </row>
    <row r="472" spans="1:5" x14ac:dyDescent="0.25">
      <c r="A472" s="453" t="str">
        <f t="shared" si="7"/>
        <v/>
      </c>
      <c r="B472" s="452" t="str">
        <f>'Maxs Tool'!J472</f>
        <v/>
      </c>
      <c r="C472" s="452" t="str">
        <f>'Maxs Tool'!K472</f>
        <v/>
      </c>
      <c r="D472" s="452" t="str">
        <f>'Maxs Tool'!L472</f>
        <v/>
      </c>
      <c r="E472" s="452" t="str">
        <f>'Maxs Tool'!M472</f>
        <v/>
      </c>
    </row>
    <row r="473" spans="1:5" x14ac:dyDescent="0.25">
      <c r="A473" s="453" t="str">
        <f t="shared" si="7"/>
        <v/>
      </c>
      <c r="B473" s="452" t="str">
        <f>'Maxs Tool'!J473</f>
        <v/>
      </c>
      <c r="C473" s="452" t="str">
        <f>'Maxs Tool'!K473</f>
        <v/>
      </c>
      <c r="D473" s="452" t="str">
        <f>'Maxs Tool'!L473</f>
        <v/>
      </c>
      <c r="E473" s="452" t="str">
        <f>'Maxs Tool'!M473</f>
        <v/>
      </c>
    </row>
    <row r="474" spans="1:5" x14ac:dyDescent="0.25">
      <c r="A474" s="453" t="str">
        <f t="shared" si="7"/>
        <v/>
      </c>
      <c r="B474" s="452" t="str">
        <f>'Maxs Tool'!J474</f>
        <v/>
      </c>
      <c r="C474" s="452" t="str">
        <f>'Maxs Tool'!K474</f>
        <v/>
      </c>
      <c r="D474" s="452" t="str">
        <f>'Maxs Tool'!L474</f>
        <v/>
      </c>
      <c r="E474" s="452" t="str">
        <f>'Maxs Tool'!M474</f>
        <v/>
      </c>
    </row>
    <row r="475" spans="1:5" x14ac:dyDescent="0.25">
      <c r="A475" s="453" t="str">
        <f t="shared" si="7"/>
        <v/>
      </c>
      <c r="B475" s="452" t="str">
        <f>'Maxs Tool'!J475</f>
        <v/>
      </c>
      <c r="C475" s="452" t="str">
        <f>'Maxs Tool'!K475</f>
        <v/>
      </c>
      <c r="D475" s="452" t="str">
        <f>'Maxs Tool'!L475</f>
        <v/>
      </c>
      <c r="E475" s="452" t="str">
        <f>'Maxs Tool'!M475</f>
        <v/>
      </c>
    </row>
    <row r="476" spans="1:5" x14ac:dyDescent="0.25">
      <c r="A476" s="453" t="str">
        <f t="shared" si="7"/>
        <v/>
      </c>
      <c r="B476" s="452" t="str">
        <f>'Maxs Tool'!J476</f>
        <v/>
      </c>
      <c r="C476" s="452" t="str">
        <f>'Maxs Tool'!K476</f>
        <v/>
      </c>
      <c r="D476" s="452" t="str">
        <f>'Maxs Tool'!L476</f>
        <v/>
      </c>
      <c r="E476" s="452" t="str">
        <f>'Maxs Tool'!M476</f>
        <v/>
      </c>
    </row>
    <row r="477" spans="1:5" x14ac:dyDescent="0.25">
      <c r="A477" s="453" t="str">
        <f t="shared" si="7"/>
        <v/>
      </c>
      <c r="B477" s="452" t="str">
        <f>'Maxs Tool'!J477</f>
        <v/>
      </c>
      <c r="C477" s="452" t="str">
        <f>'Maxs Tool'!K477</f>
        <v/>
      </c>
      <c r="D477" s="452" t="str">
        <f>'Maxs Tool'!L477</f>
        <v/>
      </c>
      <c r="E477" s="452" t="str">
        <f>'Maxs Tool'!M477</f>
        <v/>
      </c>
    </row>
    <row r="478" spans="1:5" x14ac:dyDescent="0.25">
      <c r="A478" s="453" t="str">
        <f t="shared" si="7"/>
        <v/>
      </c>
      <c r="B478" s="452" t="str">
        <f>'Maxs Tool'!J478</f>
        <v/>
      </c>
      <c r="C478" s="452" t="str">
        <f>'Maxs Tool'!K478</f>
        <v/>
      </c>
      <c r="D478" s="452" t="str">
        <f>'Maxs Tool'!L478</f>
        <v/>
      </c>
      <c r="E478" s="452" t="str">
        <f>'Maxs Tool'!M478</f>
        <v/>
      </c>
    </row>
    <row r="479" spans="1:5" x14ac:dyDescent="0.25">
      <c r="A479" s="453" t="str">
        <f t="shared" si="7"/>
        <v/>
      </c>
      <c r="B479" s="452" t="str">
        <f>'Maxs Tool'!J479</f>
        <v/>
      </c>
      <c r="C479" s="452" t="str">
        <f>'Maxs Tool'!K479</f>
        <v/>
      </c>
      <c r="D479" s="452" t="str">
        <f>'Maxs Tool'!L479</f>
        <v/>
      </c>
      <c r="E479" s="452" t="str">
        <f>'Maxs Tool'!M479</f>
        <v/>
      </c>
    </row>
    <row r="480" spans="1:5" x14ac:dyDescent="0.25">
      <c r="A480" s="453" t="str">
        <f t="shared" si="7"/>
        <v/>
      </c>
      <c r="B480" s="452" t="str">
        <f>'Maxs Tool'!J480</f>
        <v/>
      </c>
      <c r="C480" s="452" t="str">
        <f>'Maxs Tool'!K480</f>
        <v/>
      </c>
      <c r="D480" s="452" t="str">
        <f>'Maxs Tool'!L480</f>
        <v/>
      </c>
      <c r="E480" s="452" t="str">
        <f>'Maxs Tool'!M480</f>
        <v/>
      </c>
    </row>
    <row r="481" spans="1:5" x14ac:dyDescent="0.25">
      <c r="A481" s="453" t="str">
        <f t="shared" si="7"/>
        <v/>
      </c>
      <c r="B481" s="452" t="str">
        <f>'Maxs Tool'!J481</f>
        <v/>
      </c>
      <c r="C481" s="452" t="str">
        <f>'Maxs Tool'!K481</f>
        <v/>
      </c>
      <c r="D481" s="452" t="str">
        <f>'Maxs Tool'!L481</f>
        <v/>
      </c>
      <c r="E481" s="452" t="str">
        <f>'Maxs Tool'!M481</f>
        <v/>
      </c>
    </row>
    <row r="482" spans="1:5" x14ac:dyDescent="0.25">
      <c r="A482" s="453" t="str">
        <f t="shared" si="7"/>
        <v/>
      </c>
      <c r="B482" s="452" t="str">
        <f>'Maxs Tool'!J482</f>
        <v/>
      </c>
      <c r="C482" s="452" t="str">
        <f>'Maxs Tool'!K482</f>
        <v/>
      </c>
      <c r="D482" s="452" t="str">
        <f>'Maxs Tool'!L482</f>
        <v/>
      </c>
      <c r="E482" s="452" t="str">
        <f>'Maxs Tool'!M482</f>
        <v/>
      </c>
    </row>
    <row r="483" spans="1:5" x14ac:dyDescent="0.25">
      <c r="A483" s="453" t="str">
        <f t="shared" si="7"/>
        <v/>
      </c>
      <c r="B483" s="452" t="str">
        <f>'Maxs Tool'!J483</f>
        <v/>
      </c>
      <c r="C483" s="452" t="str">
        <f>'Maxs Tool'!K483</f>
        <v/>
      </c>
      <c r="D483" s="452" t="str">
        <f>'Maxs Tool'!L483</f>
        <v/>
      </c>
      <c r="E483" s="452" t="str">
        <f>'Maxs Tool'!M483</f>
        <v/>
      </c>
    </row>
    <row r="484" spans="1:5" x14ac:dyDescent="0.25">
      <c r="A484" s="453" t="str">
        <f t="shared" si="7"/>
        <v/>
      </c>
      <c r="B484" s="452" t="str">
        <f>'Maxs Tool'!J484</f>
        <v/>
      </c>
      <c r="C484" s="452" t="str">
        <f>'Maxs Tool'!K484</f>
        <v/>
      </c>
      <c r="D484" s="452" t="str">
        <f>'Maxs Tool'!L484</f>
        <v/>
      </c>
      <c r="E484" s="452" t="str">
        <f>'Maxs Tool'!M484</f>
        <v/>
      </c>
    </row>
    <row r="485" spans="1:5" x14ac:dyDescent="0.25">
      <c r="A485" s="453" t="str">
        <f t="shared" si="7"/>
        <v/>
      </c>
      <c r="B485" s="452" t="str">
        <f>'Maxs Tool'!J485</f>
        <v/>
      </c>
      <c r="C485" s="452" t="str">
        <f>'Maxs Tool'!K485</f>
        <v/>
      </c>
      <c r="D485" s="452" t="str">
        <f>'Maxs Tool'!L485</f>
        <v/>
      </c>
      <c r="E485" s="452" t="str">
        <f>'Maxs Tool'!M485</f>
        <v/>
      </c>
    </row>
    <row r="486" spans="1:5" x14ac:dyDescent="0.25">
      <c r="A486" s="453" t="str">
        <f t="shared" si="7"/>
        <v/>
      </c>
      <c r="B486" s="452" t="str">
        <f>'Maxs Tool'!J486</f>
        <v/>
      </c>
      <c r="C486" s="452" t="str">
        <f>'Maxs Tool'!K486</f>
        <v/>
      </c>
      <c r="D486" s="452" t="str">
        <f>'Maxs Tool'!L486</f>
        <v/>
      </c>
      <c r="E486" s="452" t="str">
        <f>'Maxs Tool'!M486</f>
        <v/>
      </c>
    </row>
    <row r="487" spans="1:5" x14ac:dyDescent="0.25">
      <c r="A487" s="453" t="str">
        <f t="shared" si="7"/>
        <v/>
      </c>
      <c r="B487" s="452" t="str">
        <f>'Maxs Tool'!J487</f>
        <v/>
      </c>
      <c r="C487" s="452" t="str">
        <f>'Maxs Tool'!K487</f>
        <v/>
      </c>
      <c r="D487" s="452" t="str">
        <f>'Maxs Tool'!L487</f>
        <v/>
      </c>
      <c r="E487" s="452" t="str">
        <f>'Maxs Tool'!M487</f>
        <v/>
      </c>
    </row>
    <row r="488" spans="1:5" x14ac:dyDescent="0.25">
      <c r="A488" s="453" t="str">
        <f t="shared" si="7"/>
        <v/>
      </c>
      <c r="B488" s="452" t="str">
        <f>'Maxs Tool'!J488</f>
        <v/>
      </c>
      <c r="C488" s="452" t="str">
        <f>'Maxs Tool'!K488</f>
        <v/>
      </c>
      <c r="D488" s="452" t="str">
        <f>'Maxs Tool'!L488</f>
        <v/>
      </c>
      <c r="E488" s="452" t="str">
        <f>'Maxs Tool'!M488</f>
        <v/>
      </c>
    </row>
    <row r="489" spans="1:5" x14ac:dyDescent="0.25">
      <c r="A489" s="453" t="str">
        <f t="shared" si="7"/>
        <v/>
      </c>
      <c r="B489" s="452" t="str">
        <f>'Maxs Tool'!J489</f>
        <v/>
      </c>
      <c r="C489" s="452" t="str">
        <f>'Maxs Tool'!K489</f>
        <v/>
      </c>
      <c r="D489" s="452" t="str">
        <f>'Maxs Tool'!L489</f>
        <v/>
      </c>
      <c r="E489" s="452" t="str">
        <f>'Maxs Tool'!M489</f>
        <v/>
      </c>
    </row>
    <row r="490" spans="1:5" x14ac:dyDescent="0.25">
      <c r="A490" s="453" t="str">
        <f t="shared" si="7"/>
        <v/>
      </c>
      <c r="B490" s="452" t="str">
        <f>'Maxs Tool'!J490</f>
        <v/>
      </c>
      <c r="C490" s="452" t="str">
        <f>'Maxs Tool'!K490</f>
        <v/>
      </c>
      <c r="D490" s="452" t="str">
        <f>'Maxs Tool'!L490</f>
        <v/>
      </c>
      <c r="E490" s="452" t="str">
        <f>'Maxs Tool'!M490</f>
        <v/>
      </c>
    </row>
    <row r="491" spans="1:5" x14ac:dyDescent="0.25">
      <c r="A491" s="453" t="str">
        <f t="shared" si="7"/>
        <v/>
      </c>
      <c r="B491" s="452" t="str">
        <f>'Maxs Tool'!J491</f>
        <v/>
      </c>
      <c r="C491" s="452" t="str">
        <f>'Maxs Tool'!K491</f>
        <v/>
      </c>
      <c r="D491" s="452" t="str">
        <f>'Maxs Tool'!L491</f>
        <v/>
      </c>
      <c r="E491" s="452" t="str">
        <f>'Maxs Tool'!M491</f>
        <v/>
      </c>
    </row>
    <row r="492" spans="1:5" x14ac:dyDescent="0.25">
      <c r="A492" s="453" t="str">
        <f t="shared" si="7"/>
        <v/>
      </c>
      <c r="B492" s="452" t="str">
        <f>'Maxs Tool'!J492</f>
        <v/>
      </c>
      <c r="C492" s="452" t="str">
        <f>'Maxs Tool'!K492</f>
        <v/>
      </c>
      <c r="D492" s="452" t="str">
        <f>'Maxs Tool'!L492</f>
        <v/>
      </c>
      <c r="E492" s="452" t="str">
        <f>'Maxs Tool'!M492</f>
        <v/>
      </c>
    </row>
    <row r="493" spans="1:5" x14ac:dyDescent="0.25">
      <c r="A493" s="453" t="str">
        <f t="shared" si="7"/>
        <v/>
      </c>
      <c r="B493" s="452" t="str">
        <f>'Maxs Tool'!J493</f>
        <v/>
      </c>
      <c r="C493" s="452" t="str">
        <f>'Maxs Tool'!K493</f>
        <v/>
      </c>
      <c r="D493" s="452" t="str">
        <f>'Maxs Tool'!L493</f>
        <v/>
      </c>
      <c r="E493" s="452" t="str">
        <f>'Maxs Tool'!M493</f>
        <v/>
      </c>
    </row>
    <row r="494" spans="1:5" x14ac:dyDescent="0.25">
      <c r="A494" s="453" t="str">
        <f t="shared" si="7"/>
        <v/>
      </c>
      <c r="B494" s="452" t="str">
        <f>'Maxs Tool'!J494</f>
        <v/>
      </c>
      <c r="C494" s="452" t="str">
        <f>'Maxs Tool'!K494</f>
        <v/>
      </c>
      <c r="D494" s="452" t="str">
        <f>'Maxs Tool'!L494</f>
        <v/>
      </c>
      <c r="E494" s="452" t="str">
        <f>'Maxs Tool'!M494</f>
        <v/>
      </c>
    </row>
    <row r="495" spans="1:5" x14ac:dyDescent="0.25">
      <c r="A495" s="453" t="str">
        <f t="shared" si="7"/>
        <v/>
      </c>
      <c r="B495" s="452" t="str">
        <f>'Maxs Tool'!J495</f>
        <v/>
      </c>
      <c r="C495" s="452" t="str">
        <f>'Maxs Tool'!K495</f>
        <v/>
      </c>
      <c r="D495" s="452" t="str">
        <f>'Maxs Tool'!L495</f>
        <v/>
      </c>
      <c r="E495" s="452" t="str">
        <f>'Maxs Tool'!M495</f>
        <v/>
      </c>
    </row>
    <row r="496" spans="1:5" x14ac:dyDescent="0.25">
      <c r="A496" s="453" t="str">
        <f t="shared" si="7"/>
        <v/>
      </c>
      <c r="B496" s="452" t="str">
        <f>'Maxs Tool'!J496</f>
        <v/>
      </c>
      <c r="C496" s="452" t="str">
        <f>'Maxs Tool'!K496</f>
        <v/>
      </c>
      <c r="D496" s="452" t="str">
        <f>'Maxs Tool'!L496</f>
        <v/>
      </c>
      <c r="E496" s="452" t="str">
        <f>'Maxs Tool'!M496</f>
        <v/>
      </c>
    </row>
    <row r="497" spans="1:5" x14ac:dyDescent="0.25">
      <c r="A497" s="453" t="str">
        <f t="shared" si="7"/>
        <v/>
      </c>
      <c r="B497" s="452" t="str">
        <f>'Maxs Tool'!J497</f>
        <v/>
      </c>
      <c r="C497" s="452" t="str">
        <f>'Maxs Tool'!K497</f>
        <v/>
      </c>
      <c r="D497" s="452" t="str">
        <f>'Maxs Tool'!L497</f>
        <v/>
      </c>
      <c r="E497" s="452" t="str">
        <f>'Maxs Tool'!M497</f>
        <v/>
      </c>
    </row>
    <row r="498" spans="1:5" x14ac:dyDescent="0.25">
      <c r="A498" s="453" t="str">
        <f t="shared" si="7"/>
        <v/>
      </c>
      <c r="B498" s="452" t="str">
        <f>'Maxs Tool'!J498</f>
        <v/>
      </c>
      <c r="C498" s="452" t="str">
        <f>'Maxs Tool'!K498</f>
        <v/>
      </c>
      <c r="D498" s="452" t="str">
        <f>'Maxs Tool'!L498</f>
        <v/>
      </c>
      <c r="E498" s="452" t="str">
        <f>'Maxs Tool'!M498</f>
        <v/>
      </c>
    </row>
    <row r="499" spans="1:5" x14ac:dyDescent="0.25">
      <c r="A499" s="453" t="str">
        <f t="shared" si="7"/>
        <v/>
      </c>
      <c r="B499" s="452" t="str">
        <f>'Maxs Tool'!J499</f>
        <v/>
      </c>
      <c r="C499" s="452" t="str">
        <f>'Maxs Tool'!K499</f>
        <v/>
      </c>
      <c r="D499" s="452" t="str">
        <f>'Maxs Tool'!L499</f>
        <v/>
      </c>
      <c r="E499" s="452" t="str">
        <f>'Maxs Tool'!M499</f>
        <v/>
      </c>
    </row>
    <row r="500" spans="1:5" x14ac:dyDescent="0.25">
      <c r="A500" s="453" t="str">
        <f t="shared" si="7"/>
        <v/>
      </c>
      <c r="B500" s="452" t="str">
        <f>'Maxs Tool'!J500</f>
        <v/>
      </c>
      <c r="C500" s="452" t="str">
        <f>'Maxs Tool'!K500</f>
        <v/>
      </c>
      <c r="D500" s="452" t="str">
        <f>'Maxs Tool'!L500</f>
        <v/>
      </c>
      <c r="E500" s="452" t="str">
        <f>'Maxs Tool'!M500</f>
        <v/>
      </c>
    </row>
    <row r="501" spans="1:5" x14ac:dyDescent="0.25">
      <c r="A501" s="453" t="str">
        <f t="shared" si="7"/>
        <v/>
      </c>
      <c r="B501" s="452" t="str">
        <f>'Maxs Tool'!J501</f>
        <v/>
      </c>
      <c r="C501" s="452" t="str">
        <f>'Maxs Tool'!K501</f>
        <v/>
      </c>
      <c r="D501" s="452" t="str">
        <f>'Maxs Tool'!L501</f>
        <v/>
      </c>
      <c r="E501" s="452" t="str">
        <f>'Maxs Tool'!M501</f>
        <v/>
      </c>
    </row>
    <row r="502" spans="1:5" x14ac:dyDescent="0.25">
      <c r="A502" s="453" t="str">
        <f t="shared" si="7"/>
        <v/>
      </c>
      <c r="B502" s="452" t="str">
        <f>'Maxs Tool'!J502</f>
        <v/>
      </c>
      <c r="C502" s="452" t="str">
        <f>'Maxs Tool'!K502</f>
        <v/>
      </c>
      <c r="D502" s="452" t="str">
        <f>'Maxs Tool'!L502</f>
        <v/>
      </c>
      <c r="E502" s="452" t="str">
        <f>'Maxs Tool'!M502</f>
        <v/>
      </c>
    </row>
    <row r="503" spans="1:5" x14ac:dyDescent="0.25">
      <c r="A503" s="453" t="str">
        <f t="shared" si="7"/>
        <v/>
      </c>
      <c r="B503" s="452" t="str">
        <f>'Maxs Tool'!J503</f>
        <v/>
      </c>
      <c r="C503" s="452" t="str">
        <f>'Maxs Tool'!K503</f>
        <v/>
      </c>
      <c r="D503" s="452" t="str">
        <f>'Maxs Tool'!L503</f>
        <v/>
      </c>
      <c r="E503" s="452" t="str">
        <f>'Maxs Tool'!M503</f>
        <v/>
      </c>
    </row>
    <row r="504" spans="1:5" x14ac:dyDescent="0.25">
      <c r="A504" s="453" t="str">
        <f t="shared" si="7"/>
        <v/>
      </c>
      <c r="B504" s="452" t="str">
        <f>'Maxs Tool'!J504</f>
        <v/>
      </c>
      <c r="C504" s="452" t="str">
        <f>'Maxs Tool'!K504</f>
        <v/>
      </c>
      <c r="D504" s="452" t="str">
        <f>'Maxs Tool'!L504</f>
        <v/>
      </c>
      <c r="E504" s="452" t="str">
        <f>'Maxs Tool'!M504</f>
        <v/>
      </c>
    </row>
    <row r="505" spans="1:5" x14ac:dyDescent="0.25">
      <c r="A505" s="453" t="str">
        <f t="shared" si="7"/>
        <v/>
      </c>
      <c r="B505" s="452" t="str">
        <f>'Maxs Tool'!J505</f>
        <v/>
      </c>
      <c r="C505" s="452" t="str">
        <f>'Maxs Tool'!K505</f>
        <v/>
      </c>
      <c r="D505" s="452" t="str">
        <f>'Maxs Tool'!L505</f>
        <v/>
      </c>
      <c r="E505" s="452" t="str">
        <f>'Maxs Tool'!M505</f>
        <v/>
      </c>
    </row>
    <row r="506" spans="1:5" x14ac:dyDescent="0.25">
      <c r="A506" s="453" t="str">
        <f t="shared" si="7"/>
        <v/>
      </c>
      <c r="B506" s="452" t="str">
        <f>'Maxs Tool'!J506</f>
        <v/>
      </c>
      <c r="C506" s="452" t="str">
        <f>'Maxs Tool'!K506</f>
        <v/>
      </c>
      <c r="D506" s="452" t="str">
        <f>'Maxs Tool'!L506</f>
        <v/>
      </c>
      <c r="E506" s="452" t="str">
        <f>'Maxs Tool'!M506</f>
        <v/>
      </c>
    </row>
    <row r="507" spans="1:5" x14ac:dyDescent="0.25">
      <c r="A507" s="453" t="str">
        <f t="shared" si="7"/>
        <v/>
      </c>
      <c r="B507" s="452" t="str">
        <f>'Maxs Tool'!J507</f>
        <v/>
      </c>
      <c r="C507" s="452" t="str">
        <f>'Maxs Tool'!K507</f>
        <v/>
      </c>
      <c r="D507" s="452" t="str">
        <f>'Maxs Tool'!L507</f>
        <v/>
      </c>
      <c r="E507" s="452" t="str">
        <f>'Maxs Tool'!M507</f>
        <v/>
      </c>
    </row>
    <row r="508" spans="1:5" x14ac:dyDescent="0.25">
      <c r="A508" s="453" t="str">
        <f t="shared" si="7"/>
        <v/>
      </c>
      <c r="B508" s="452" t="str">
        <f>'Maxs Tool'!J508</f>
        <v/>
      </c>
      <c r="C508" s="452" t="str">
        <f>'Maxs Tool'!K508</f>
        <v/>
      </c>
      <c r="D508" s="452" t="str">
        <f>'Maxs Tool'!L508</f>
        <v/>
      </c>
      <c r="E508" s="452" t="str">
        <f>'Maxs Tool'!M508</f>
        <v/>
      </c>
    </row>
    <row r="509" spans="1:5" x14ac:dyDescent="0.25">
      <c r="A509" s="453" t="str">
        <f t="shared" si="7"/>
        <v/>
      </c>
      <c r="B509" s="452" t="str">
        <f>'Maxs Tool'!J509</f>
        <v/>
      </c>
      <c r="C509" s="452" t="str">
        <f>'Maxs Tool'!K509</f>
        <v/>
      </c>
      <c r="D509" s="452" t="str">
        <f>'Maxs Tool'!L509</f>
        <v/>
      </c>
      <c r="E509" s="452" t="str">
        <f>'Maxs Tool'!M509</f>
        <v/>
      </c>
    </row>
    <row r="510" spans="1:5" x14ac:dyDescent="0.25">
      <c r="A510" s="453" t="str">
        <f t="shared" si="7"/>
        <v/>
      </c>
      <c r="B510" s="452" t="str">
        <f>'Maxs Tool'!J510</f>
        <v/>
      </c>
      <c r="C510" s="452" t="str">
        <f>'Maxs Tool'!K510</f>
        <v/>
      </c>
      <c r="D510" s="452" t="str">
        <f>'Maxs Tool'!L510</f>
        <v/>
      </c>
      <c r="E510" s="452" t="str">
        <f>'Maxs Tool'!M510</f>
        <v/>
      </c>
    </row>
    <row r="511" spans="1:5" x14ac:dyDescent="0.25">
      <c r="A511" s="453" t="str">
        <f t="shared" si="7"/>
        <v/>
      </c>
      <c r="B511" s="452" t="str">
        <f>'Maxs Tool'!J511</f>
        <v/>
      </c>
      <c r="C511" s="452" t="str">
        <f>'Maxs Tool'!K511</f>
        <v/>
      </c>
      <c r="D511" s="452" t="str">
        <f>'Maxs Tool'!L511</f>
        <v/>
      </c>
      <c r="E511" s="452" t="str">
        <f>'Maxs Tool'!M511</f>
        <v/>
      </c>
    </row>
    <row r="512" spans="1:5" x14ac:dyDescent="0.25">
      <c r="A512" s="453" t="str">
        <f t="shared" si="7"/>
        <v/>
      </c>
      <c r="B512" s="452" t="str">
        <f>'Maxs Tool'!J512</f>
        <v/>
      </c>
      <c r="C512" s="452" t="str">
        <f>'Maxs Tool'!K512</f>
        <v/>
      </c>
      <c r="D512" s="452" t="str">
        <f>'Maxs Tool'!L512</f>
        <v/>
      </c>
      <c r="E512" s="452" t="str">
        <f>'Maxs Tool'!M512</f>
        <v/>
      </c>
    </row>
    <row r="513" spans="1:5" x14ac:dyDescent="0.25">
      <c r="A513" s="453" t="str">
        <f t="shared" si="7"/>
        <v/>
      </c>
      <c r="B513" s="452" t="str">
        <f>'Maxs Tool'!J513</f>
        <v/>
      </c>
      <c r="C513" s="452" t="str">
        <f>'Maxs Tool'!K513</f>
        <v/>
      </c>
      <c r="D513" s="452" t="str">
        <f>'Maxs Tool'!L513</f>
        <v/>
      </c>
      <c r="E513" s="452" t="str">
        <f>'Maxs Tool'!M513</f>
        <v/>
      </c>
    </row>
    <row r="514" spans="1:5" x14ac:dyDescent="0.25">
      <c r="A514" s="453" t="str">
        <f t="shared" si="7"/>
        <v/>
      </c>
      <c r="B514" s="452" t="str">
        <f>'Maxs Tool'!J514</f>
        <v/>
      </c>
      <c r="C514" s="452" t="str">
        <f>'Maxs Tool'!K514</f>
        <v/>
      </c>
      <c r="D514" s="452" t="str">
        <f>'Maxs Tool'!L514</f>
        <v/>
      </c>
      <c r="E514" s="452" t="str">
        <f>'Maxs Tool'!M514</f>
        <v/>
      </c>
    </row>
    <row r="515" spans="1:5" x14ac:dyDescent="0.25">
      <c r="A515" s="453" t="str">
        <f t="shared" ref="A515:A578" si="8">IF(ISNUMBER(D515),ROW()-1,"")</f>
        <v/>
      </c>
      <c r="B515" s="452" t="str">
        <f>'Maxs Tool'!J515</f>
        <v/>
      </c>
      <c r="C515" s="452" t="str">
        <f>'Maxs Tool'!K515</f>
        <v/>
      </c>
      <c r="D515" s="452" t="str">
        <f>'Maxs Tool'!L515</f>
        <v/>
      </c>
      <c r="E515" s="452" t="str">
        <f>'Maxs Tool'!M515</f>
        <v/>
      </c>
    </row>
    <row r="516" spans="1:5" x14ac:dyDescent="0.25">
      <c r="A516" s="453" t="str">
        <f t="shared" si="8"/>
        <v/>
      </c>
      <c r="B516" s="452" t="str">
        <f>'Maxs Tool'!J516</f>
        <v/>
      </c>
      <c r="C516" s="452" t="str">
        <f>'Maxs Tool'!K516</f>
        <v/>
      </c>
      <c r="D516" s="452" t="str">
        <f>'Maxs Tool'!L516</f>
        <v/>
      </c>
      <c r="E516" s="452" t="str">
        <f>'Maxs Tool'!M516</f>
        <v/>
      </c>
    </row>
    <row r="517" spans="1:5" x14ac:dyDescent="0.25">
      <c r="A517" s="453" t="str">
        <f t="shared" si="8"/>
        <v/>
      </c>
      <c r="B517" s="452" t="str">
        <f>'Maxs Tool'!J517</f>
        <v/>
      </c>
      <c r="C517" s="452" t="str">
        <f>'Maxs Tool'!K517</f>
        <v/>
      </c>
      <c r="D517" s="452" t="str">
        <f>'Maxs Tool'!L517</f>
        <v/>
      </c>
      <c r="E517" s="452" t="str">
        <f>'Maxs Tool'!M517</f>
        <v/>
      </c>
    </row>
    <row r="518" spans="1:5" x14ac:dyDescent="0.25">
      <c r="A518" s="453" t="str">
        <f t="shared" si="8"/>
        <v/>
      </c>
      <c r="B518" s="452" t="str">
        <f>'Maxs Tool'!J518</f>
        <v/>
      </c>
      <c r="C518" s="452" t="str">
        <f>'Maxs Tool'!K518</f>
        <v/>
      </c>
      <c r="D518" s="452" t="str">
        <f>'Maxs Tool'!L518</f>
        <v/>
      </c>
      <c r="E518" s="452" t="str">
        <f>'Maxs Tool'!M518</f>
        <v/>
      </c>
    </row>
    <row r="519" spans="1:5" x14ac:dyDescent="0.25">
      <c r="A519" s="453" t="str">
        <f t="shared" si="8"/>
        <v/>
      </c>
      <c r="B519" s="452" t="str">
        <f>'Maxs Tool'!J519</f>
        <v/>
      </c>
      <c r="C519" s="452" t="str">
        <f>'Maxs Tool'!K519</f>
        <v/>
      </c>
      <c r="D519" s="452" t="str">
        <f>'Maxs Tool'!L519</f>
        <v/>
      </c>
      <c r="E519" s="452" t="str">
        <f>'Maxs Tool'!M519</f>
        <v/>
      </c>
    </row>
    <row r="520" spans="1:5" x14ac:dyDescent="0.25">
      <c r="A520" s="453" t="str">
        <f t="shared" si="8"/>
        <v/>
      </c>
      <c r="B520" s="452" t="str">
        <f>'Maxs Tool'!J520</f>
        <v/>
      </c>
      <c r="C520" s="452" t="str">
        <f>'Maxs Tool'!K520</f>
        <v/>
      </c>
      <c r="D520" s="452" t="str">
        <f>'Maxs Tool'!L520</f>
        <v/>
      </c>
      <c r="E520" s="452" t="str">
        <f>'Maxs Tool'!M520</f>
        <v/>
      </c>
    </row>
    <row r="521" spans="1:5" x14ac:dyDescent="0.25">
      <c r="A521" s="453" t="str">
        <f t="shared" si="8"/>
        <v/>
      </c>
      <c r="B521" s="452" t="str">
        <f>'Maxs Tool'!J521</f>
        <v/>
      </c>
      <c r="C521" s="452" t="str">
        <f>'Maxs Tool'!K521</f>
        <v/>
      </c>
      <c r="D521" s="452" t="str">
        <f>'Maxs Tool'!L521</f>
        <v/>
      </c>
      <c r="E521" s="452" t="str">
        <f>'Maxs Tool'!M521</f>
        <v/>
      </c>
    </row>
    <row r="522" spans="1:5" x14ac:dyDescent="0.25">
      <c r="A522" s="453" t="str">
        <f t="shared" si="8"/>
        <v/>
      </c>
      <c r="B522" s="452" t="str">
        <f>'Maxs Tool'!J522</f>
        <v/>
      </c>
      <c r="C522" s="452" t="str">
        <f>'Maxs Tool'!K522</f>
        <v/>
      </c>
      <c r="D522" s="452" t="str">
        <f>'Maxs Tool'!L522</f>
        <v/>
      </c>
      <c r="E522" s="452" t="str">
        <f>'Maxs Tool'!M522</f>
        <v/>
      </c>
    </row>
    <row r="523" spans="1:5" x14ac:dyDescent="0.25">
      <c r="A523" s="453" t="str">
        <f t="shared" si="8"/>
        <v/>
      </c>
      <c r="B523" s="452" t="str">
        <f>'Maxs Tool'!J523</f>
        <v/>
      </c>
      <c r="C523" s="452" t="str">
        <f>'Maxs Tool'!K523</f>
        <v/>
      </c>
      <c r="D523" s="452" t="str">
        <f>'Maxs Tool'!L523</f>
        <v/>
      </c>
      <c r="E523" s="452" t="str">
        <f>'Maxs Tool'!M523</f>
        <v/>
      </c>
    </row>
    <row r="524" spans="1:5" x14ac:dyDescent="0.25">
      <c r="A524" s="453" t="str">
        <f t="shared" si="8"/>
        <v/>
      </c>
      <c r="B524" s="452" t="str">
        <f>'Maxs Tool'!J524</f>
        <v/>
      </c>
      <c r="C524" s="452" t="str">
        <f>'Maxs Tool'!K524</f>
        <v/>
      </c>
      <c r="D524" s="452" t="str">
        <f>'Maxs Tool'!L524</f>
        <v/>
      </c>
      <c r="E524" s="452" t="str">
        <f>'Maxs Tool'!M524</f>
        <v/>
      </c>
    </row>
    <row r="525" spans="1:5" x14ac:dyDescent="0.25">
      <c r="A525" s="453" t="str">
        <f t="shared" si="8"/>
        <v/>
      </c>
      <c r="B525" s="452" t="str">
        <f>'Maxs Tool'!J525</f>
        <v/>
      </c>
      <c r="C525" s="452" t="str">
        <f>'Maxs Tool'!K525</f>
        <v/>
      </c>
      <c r="D525" s="452" t="str">
        <f>'Maxs Tool'!L525</f>
        <v/>
      </c>
      <c r="E525" s="452" t="str">
        <f>'Maxs Tool'!M525</f>
        <v/>
      </c>
    </row>
    <row r="526" spans="1:5" x14ac:dyDescent="0.25">
      <c r="A526" s="453" t="str">
        <f t="shared" si="8"/>
        <v/>
      </c>
      <c r="B526" s="452" t="str">
        <f>'Maxs Tool'!J526</f>
        <v/>
      </c>
      <c r="C526" s="452" t="str">
        <f>'Maxs Tool'!K526</f>
        <v/>
      </c>
      <c r="D526" s="452" t="str">
        <f>'Maxs Tool'!L526</f>
        <v/>
      </c>
      <c r="E526" s="452" t="str">
        <f>'Maxs Tool'!M526</f>
        <v/>
      </c>
    </row>
    <row r="527" spans="1:5" x14ac:dyDescent="0.25">
      <c r="A527" s="453" t="str">
        <f t="shared" si="8"/>
        <v/>
      </c>
      <c r="B527" s="452" t="str">
        <f>'Maxs Tool'!J527</f>
        <v/>
      </c>
      <c r="C527" s="452" t="str">
        <f>'Maxs Tool'!K527</f>
        <v/>
      </c>
      <c r="D527" s="452" t="str">
        <f>'Maxs Tool'!L527</f>
        <v/>
      </c>
      <c r="E527" s="452" t="str">
        <f>'Maxs Tool'!M527</f>
        <v/>
      </c>
    </row>
    <row r="528" spans="1:5" x14ac:dyDescent="0.25">
      <c r="A528" s="453" t="str">
        <f t="shared" si="8"/>
        <v/>
      </c>
      <c r="B528" s="452" t="str">
        <f>'Maxs Tool'!J528</f>
        <v/>
      </c>
      <c r="C528" s="452" t="str">
        <f>'Maxs Tool'!K528</f>
        <v/>
      </c>
      <c r="D528" s="452" t="str">
        <f>'Maxs Tool'!L528</f>
        <v/>
      </c>
      <c r="E528" s="452" t="str">
        <f>'Maxs Tool'!M528</f>
        <v/>
      </c>
    </row>
    <row r="529" spans="1:5" x14ac:dyDescent="0.25">
      <c r="A529" s="453" t="str">
        <f t="shared" si="8"/>
        <v/>
      </c>
      <c r="B529" s="452" t="str">
        <f>'Maxs Tool'!J529</f>
        <v/>
      </c>
      <c r="C529" s="452" t="str">
        <f>'Maxs Tool'!K529</f>
        <v/>
      </c>
      <c r="D529" s="452" t="str">
        <f>'Maxs Tool'!L529</f>
        <v/>
      </c>
      <c r="E529" s="452" t="str">
        <f>'Maxs Tool'!M529</f>
        <v/>
      </c>
    </row>
    <row r="530" spans="1:5" x14ac:dyDescent="0.25">
      <c r="A530" s="453" t="str">
        <f t="shared" si="8"/>
        <v/>
      </c>
      <c r="B530" s="452" t="str">
        <f>'Maxs Tool'!J530</f>
        <v/>
      </c>
      <c r="C530" s="452" t="str">
        <f>'Maxs Tool'!K530</f>
        <v/>
      </c>
      <c r="D530" s="452" t="str">
        <f>'Maxs Tool'!L530</f>
        <v/>
      </c>
      <c r="E530" s="452" t="str">
        <f>'Maxs Tool'!M530</f>
        <v/>
      </c>
    </row>
    <row r="531" spans="1:5" x14ac:dyDescent="0.25">
      <c r="A531" s="453" t="str">
        <f t="shared" si="8"/>
        <v/>
      </c>
      <c r="B531" s="452" t="str">
        <f>'Maxs Tool'!J531</f>
        <v/>
      </c>
      <c r="C531" s="452" t="str">
        <f>'Maxs Tool'!K531</f>
        <v/>
      </c>
      <c r="D531" s="452" t="str">
        <f>'Maxs Tool'!L531</f>
        <v/>
      </c>
      <c r="E531" s="452" t="str">
        <f>'Maxs Tool'!M531</f>
        <v/>
      </c>
    </row>
    <row r="532" spans="1:5" x14ac:dyDescent="0.25">
      <c r="A532" s="453" t="str">
        <f t="shared" si="8"/>
        <v/>
      </c>
      <c r="B532" s="452" t="str">
        <f>'Maxs Tool'!J532</f>
        <v/>
      </c>
      <c r="C532" s="452" t="str">
        <f>'Maxs Tool'!K532</f>
        <v/>
      </c>
      <c r="D532" s="452" t="str">
        <f>'Maxs Tool'!L532</f>
        <v/>
      </c>
      <c r="E532" s="452" t="str">
        <f>'Maxs Tool'!M532</f>
        <v/>
      </c>
    </row>
    <row r="533" spans="1:5" x14ac:dyDescent="0.25">
      <c r="A533" s="453" t="str">
        <f t="shared" si="8"/>
        <v/>
      </c>
      <c r="B533" s="452" t="str">
        <f>'Maxs Tool'!J533</f>
        <v/>
      </c>
      <c r="C533" s="452" t="str">
        <f>'Maxs Tool'!K533</f>
        <v/>
      </c>
      <c r="D533" s="452" t="str">
        <f>'Maxs Tool'!L533</f>
        <v/>
      </c>
      <c r="E533" s="452" t="str">
        <f>'Maxs Tool'!M533</f>
        <v/>
      </c>
    </row>
    <row r="534" spans="1:5" x14ac:dyDescent="0.25">
      <c r="A534" s="453" t="str">
        <f t="shared" si="8"/>
        <v/>
      </c>
      <c r="B534" s="452" t="str">
        <f>'Maxs Tool'!J534</f>
        <v/>
      </c>
      <c r="C534" s="452" t="str">
        <f>'Maxs Tool'!K534</f>
        <v/>
      </c>
      <c r="D534" s="452" t="str">
        <f>'Maxs Tool'!L534</f>
        <v/>
      </c>
      <c r="E534" s="452" t="str">
        <f>'Maxs Tool'!M534</f>
        <v/>
      </c>
    </row>
    <row r="535" spans="1:5" x14ac:dyDescent="0.25">
      <c r="A535" s="453" t="str">
        <f t="shared" si="8"/>
        <v/>
      </c>
      <c r="B535" s="452" t="str">
        <f>'Maxs Tool'!J535</f>
        <v/>
      </c>
      <c r="C535" s="452" t="str">
        <f>'Maxs Tool'!K535</f>
        <v/>
      </c>
      <c r="D535" s="452" t="str">
        <f>'Maxs Tool'!L535</f>
        <v/>
      </c>
      <c r="E535" s="452" t="str">
        <f>'Maxs Tool'!M535</f>
        <v/>
      </c>
    </row>
    <row r="536" spans="1:5" x14ac:dyDescent="0.25">
      <c r="A536" s="453" t="str">
        <f t="shared" si="8"/>
        <v/>
      </c>
      <c r="B536" s="452" t="str">
        <f>'Maxs Tool'!J536</f>
        <v/>
      </c>
      <c r="C536" s="452" t="str">
        <f>'Maxs Tool'!K536</f>
        <v/>
      </c>
      <c r="D536" s="452" t="str">
        <f>'Maxs Tool'!L536</f>
        <v/>
      </c>
      <c r="E536" s="452" t="str">
        <f>'Maxs Tool'!M536</f>
        <v/>
      </c>
    </row>
    <row r="537" spans="1:5" x14ac:dyDescent="0.25">
      <c r="A537" s="453" t="str">
        <f t="shared" si="8"/>
        <v/>
      </c>
      <c r="B537" s="452" t="str">
        <f>'Maxs Tool'!J537</f>
        <v/>
      </c>
      <c r="C537" s="452" t="str">
        <f>'Maxs Tool'!K537</f>
        <v/>
      </c>
      <c r="D537" s="452" t="str">
        <f>'Maxs Tool'!L537</f>
        <v/>
      </c>
      <c r="E537" s="452" t="str">
        <f>'Maxs Tool'!M537</f>
        <v/>
      </c>
    </row>
    <row r="538" spans="1:5" x14ac:dyDescent="0.25">
      <c r="A538" s="453" t="str">
        <f t="shared" si="8"/>
        <v/>
      </c>
      <c r="B538" s="452" t="str">
        <f>'Maxs Tool'!J538</f>
        <v/>
      </c>
      <c r="C538" s="452" t="str">
        <f>'Maxs Tool'!K538</f>
        <v/>
      </c>
      <c r="D538" s="452" t="str">
        <f>'Maxs Tool'!L538</f>
        <v/>
      </c>
      <c r="E538" s="452" t="str">
        <f>'Maxs Tool'!M538</f>
        <v/>
      </c>
    </row>
    <row r="539" spans="1:5" x14ac:dyDescent="0.25">
      <c r="A539" s="453" t="str">
        <f t="shared" si="8"/>
        <v/>
      </c>
      <c r="B539" s="452" t="str">
        <f>'Maxs Tool'!J539</f>
        <v/>
      </c>
      <c r="C539" s="452" t="str">
        <f>'Maxs Tool'!K539</f>
        <v/>
      </c>
      <c r="D539" s="452" t="str">
        <f>'Maxs Tool'!L539</f>
        <v/>
      </c>
      <c r="E539" s="452" t="str">
        <f>'Maxs Tool'!M539</f>
        <v/>
      </c>
    </row>
    <row r="540" spans="1:5" x14ac:dyDescent="0.25">
      <c r="A540" s="453" t="str">
        <f t="shared" si="8"/>
        <v/>
      </c>
      <c r="B540" s="452" t="str">
        <f>'Maxs Tool'!J540</f>
        <v/>
      </c>
      <c r="C540" s="452" t="str">
        <f>'Maxs Tool'!K540</f>
        <v/>
      </c>
      <c r="D540" s="452" t="str">
        <f>'Maxs Tool'!L540</f>
        <v/>
      </c>
      <c r="E540" s="452" t="str">
        <f>'Maxs Tool'!M540</f>
        <v/>
      </c>
    </row>
    <row r="541" spans="1:5" x14ac:dyDescent="0.25">
      <c r="A541" s="453" t="str">
        <f t="shared" si="8"/>
        <v/>
      </c>
      <c r="B541" s="452" t="str">
        <f>'Maxs Tool'!J541</f>
        <v/>
      </c>
      <c r="C541" s="452" t="str">
        <f>'Maxs Tool'!K541</f>
        <v/>
      </c>
      <c r="D541" s="452" t="str">
        <f>'Maxs Tool'!L541</f>
        <v/>
      </c>
      <c r="E541" s="452" t="str">
        <f>'Maxs Tool'!M541</f>
        <v/>
      </c>
    </row>
    <row r="542" spans="1:5" x14ac:dyDescent="0.25">
      <c r="A542" s="453" t="str">
        <f t="shared" si="8"/>
        <v/>
      </c>
      <c r="B542" s="452" t="str">
        <f>'Maxs Tool'!J542</f>
        <v/>
      </c>
      <c r="C542" s="452" t="str">
        <f>'Maxs Tool'!K542</f>
        <v/>
      </c>
      <c r="D542" s="452" t="str">
        <f>'Maxs Tool'!L542</f>
        <v/>
      </c>
      <c r="E542" s="452" t="str">
        <f>'Maxs Tool'!M542</f>
        <v/>
      </c>
    </row>
    <row r="543" spans="1:5" x14ac:dyDescent="0.25">
      <c r="A543" s="453" t="str">
        <f t="shared" si="8"/>
        <v/>
      </c>
      <c r="B543" s="452" t="str">
        <f>'Maxs Tool'!J543</f>
        <v/>
      </c>
      <c r="C543" s="452" t="str">
        <f>'Maxs Tool'!K543</f>
        <v/>
      </c>
      <c r="D543" s="452" t="str">
        <f>'Maxs Tool'!L543</f>
        <v/>
      </c>
      <c r="E543" s="452" t="str">
        <f>'Maxs Tool'!M543</f>
        <v/>
      </c>
    </row>
    <row r="544" spans="1:5" x14ac:dyDescent="0.25">
      <c r="A544" s="453" t="str">
        <f t="shared" si="8"/>
        <v/>
      </c>
      <c r="B544" s="452" t="str">
        <f>'Maxs Tool'!J544</f>
        <v/>
      </c>
      <c r="C544" s="452" t="str">
        <f>'Maxs Tool'!K544</f>
        <v/>
      </c>
      <c r="D544" s="452" t="str">
        <f>'Maxs Tool'!L544</f>
        <v/>
      </c>
      <c r="E544" s="452" t="str">
        <f>'Maxs Tool'!M544</f>
        <v/>
      </c>
    </row>
    <row r="545" spans="1:5" x14ac:dyDescent="0.25">
      <c r="A545" s="453" t="str">
        <f t="shared" si="8"/>
        <v/>
      </c>
      <c r="B545" s="452" t="str">
        <f>'Maxs Tool'!J545</f>
        <v/>
      </c>
      <c r="C545" s="452" t="str">
        <f>'Maxs Tool'!K545</f>
        <v/>
      </c>
      <c r="D545" s="452" t="str">
        <f>'Maxs Tool'!L545</f>
        <v/>
      </c>
      <c r="E545" s="452" t="str">
        <f>'Maxs Tool'!M545</f>
        <v/>
      </c>
    </row>
    <row r="546" spans="1:5" x14ac:dyDescent="0.25">
      <c r="A546" s="453" t="str">
        <f t="shared" si="8"/>
        <v/>
      </c>
      <c r="B546" s="452" t="str">
        <f>'Maxs Tool'!J546</f>
        <v/>
      </c>
      <c r="C546" s="452" t="str">
        <f>'Maxs Tool'!K546</f>
        <v/>
      </c>
      <c r="D546" s="452" t="str">
        <f>'Maxs Tool'!L546</f>
        <v/>
      </c>
      <c r="E546" s="452" t="str">
        <f>'Maxs Tool'!M546</f>
        <v/>
      </c>
    </row>
    <row r="547" spans="1:5" x14ac:dyDescent="0.25">
      <c r="A547" s="453" t="str">
        <f t="shared" si="8"/>
        <v/>
      </c>
      <c r="B547" s="452" t="str">
        <f>'Maxs Tool'!J547</f>
        <v/>
      </c>
      <c r="C547" s="452" t="str">
        <f>'Maxs Tool'!K547</f>
        <v/>
      </c>
      <c r="D547" s="452" t="str">
        <f>'Maxs Tool'!L547</f>
        <v/>
      </c>
      <c r="E547" s="452" t="str">
        <f>'Maxs Tool'!M547</f>
        <v/>
      </c>
    </row>
    <row r="548" spans="1:5" x14ac:dyDescent="0.25">
      <c r="A548" s="453" t="str">
        <f t="shared" si="8"/>
        <v/>
      </c>
      <c r="B548" s="452" t="str">
        <f>'Maxs Tool'!J548</f>
        <v/>
      </c>
      <c r="C548" s="452" t="str">
        <f>'Maxs Tool'!K548</f>
        <v/>
      </c>
      <c r="D548" s="452" t="str">
        <f>'Maxs Tool'!L548</f>
        <v/>
      </c>
      <c r="E548" s="452" t="str">
        <f>'Maxs Tool'!M548</f>
        <v/>
      </c>
    </row>
    <row r="549" spans="1:5" x14ac:dyDescent="0.25">
      <c r="A549" s="453" t="str">
        <f t="shared" si="8"/>
        <v/>
      </c>
      <c r="B549" s="452" t="str">
        <f>'Maxs Tool'!J549</f>
        <v/>
      </c>
      <c r="C549" s="452" t="str">
        <f>'Maxs Tool'!K549</f>
        <v/>
      </c>
      <c r="D549" s="452" t="str">
        <f>'Maxs Tool'!L549</f>
        <v/>
      </c>
      <c r="E549" s="452" t="str">
        <f>'Maxs Tool'!M549</f>
        <v/>
      </c>
    </row>
    <row r="550" spans="1:5" x14ac:dyDescent="0.25">
      <c r="A550" s="453" t="str">
        <f t="shared" si="8"/>
        <v/>
      </c>
      <c r="B550" s="452" t="str">
        <f>'Maxs Tool'!J550</f>
        <v/>
      </c>
      <c r="C550" s="452" t="str">
        <f>'Maxs Tool'!K550</f>
        <v/>
      </c>
      <c r="D550" s="452" t="str">
        <f>'Maxs Tool'!L550</f>
        <v/>
      </c>
      <c r="E550" s="452" t="str">
        <f>'Maxs Tool'!M550</f>
        <v/>
      </c>
    </row>
    <row r="551" spans="1:5" x14ac:dyDescent="0.25">
      <c r="A551" s="453" t="str">
        <f t="shared" si="8"/>
        <v/>
      </c>
      <c r="B551" s="452" t="str">
        <f>'Maxs Tool'!J551</f>
        <v/>
      </c>
      <c r="C551" s="452" t="str">
        <f>'Maxs Tool'!K551</f>
        <v/>
      </c>
      <c r="D551" s="452" t="str">
        <f>'Maxs Tool'!L551</f>
        <v/>
      </c>
      <c r="E551" s="452" t="str">
        <f>'Maxs Tool'!M551</f>
        <v/>
      </c>
    </row>
    <row r="552" spans="1:5" x14ac:dyDescent="0.25">
      <c r="A552" s="453" t="str">
        <f t="shared" si="8"/>
        <v/>
      </c>
      <c r="B552" s="452" t="str">
        <f>'Maxs Tool'!J552</f>
        <v/>
      </c>
      <c r="C552" s="452" t="str">
        <f>'Maxs Tool'!K552</f>
        <v/>
      </c>
      <c r="D552" s="452" t="str">
        <f>'Maxs Tool'!L552</f>
        <v/>
      </c>
      <c r="E552" s="452" t="str">
        <f>'Maxs Tool'!M552</f>
        <v/>
      </c>
    </row>
    <row r="553" spans="1:5" x14ac:dyDescent="0.25">
      <c r="A553" s="453" t="str">
        <f t="shared" si="8"/>
        <v/>
      </c>
      <c r="B553" s="452" t="str">
        <f>'Maxs Tool'!J553</f>
        <v/>
      </c>
      <c r="C553" s="452" t="str">
        <f>'Maxs Tool'!K553</f>
        <v/>
      </c>
      <c r="D553" s="452" t="str">
        <f>'Maxs Tool'!L553</f>
        <v/>
      </c>
      <c r="E553" s="452" t="str">
        <f>'Maxs Tool'!M553</f>
        <v/>
      </c>
    </row>
    <row r="554" spans="1:5" x14ac:dyDescent="0.25">
      <c r="A554" s="453" t="str">
        <f t="shared" si="8"/>
        <v/>
      </c>
      <c r="B554" s="452" t="str">
        <f>'Maxs Tool'!J554</f>
        <v/>
      </c>
      <c r="C554" s="452" t="str">
        <f>'Maxs Tool'!K554</f>
        <v/>
      </c>
      <c r="D554" s="452" t="str">
        <f>'Maxs Tool'!L554</f>
        <v/>
      </c>
      <c r="E554" s="452" t="str">
        <f>'Maxs Tool'!M554</f>
        <v/>
      </c>
    </row>
    <row r="555" spans="1:5" x14ac:dyDescent="0.25">
      <c r="A555" s="453" t="str">
        <f t="shared" si="8"/>
        <v/>
      </c>
      <c r="B555" s="452" t="str">
        <f>'Maxs Tool'!J555</f>
        <v/>
      </c>
      <c r="C555" s="452" t="str">
        <f>'Maxs Tool'!K555</f>
        <v/>
      </c>
      <c r="D555" s="452" t="str">
        <f>'Maxs Tool'!L555</f>
        <v/>
      </c>
      <c r="E555" s="452" t="str">
        <f>'Maxs Tool'!M555</f>
        <v/>
      </c>
    </row>
    <row r="556" spans="1:5" x14ac:dyDescent="0.25">
      <c r="A556" s="453" t="str">
        <f t="shared" si="8"/>
        <v/>
      </c>
      <c r="B556" s="452" t="str">
        <f>'Maxs Tool'!J556</f>
        <v/>
      </c>
      <c r="C556" s="452" t="str">
        <f>'Maxs Tool'!K556</f>
        <v/>
      </c>
      <c r="D556" s="452" t="str">
        <f>'Maxs Tool'!L556</f>
        <v/>
      </c>
      <c r="E556" s="452" t="str">
        <f>'Maxs Tool'!M556</f>
        <v/>
      </c>
    </row>
    <row r="557" spans="1:5" x14ac:dyDescent="0.25">
      <c r="A557" s="453" t="str">
        <f t="shared" si="8"/>
        <v/>
      </c>
      <c r="B557" s="452" t="str">
        <f>'Maxs Tool'!J557</f>
        <v/>
      </c>
      <c r="C557" s="452" t="str">
        <f>'Maxs Tool'!K557</f>
        <v/>
      </c>
      <c r="D557" s="452" t="str">
        <f>'Maxs Tool'!L557</f>
        <v/>
      </c>
      <c r="E557" s="452" t="str">
        <f>'Maxs Tool'!M557</f>
        <v/>
      </c>
    </row>
    <row r="558" spans="1:5" x14ac:dyDescent="0.25">
      <c r="A558" s="453" t="str">
        <f t="shared" si="8"/>
        <v/>
      </c>
      <c r="B558" s="452" t="str">
        <f>'Maxs Tool'!J558</f>
        <v/>
      </c>
      <c r="C558" s="452" t="str">
        <f>'Maxs Tool'!K558</f>
        <v/>
      </c>
      <c r="D558" s="452" t="str">
        <f>'Maxs Tool'!L558</f>
        <v/>
      </c>
      <c r="E558" s="452" t="str">
        <f>'Maxs Tool'!M558</f>
        <v/>
      </c>
    </row>
    <row r="559" spans="1:5" x14ac:dyDescent="0.25">
      <c r="A559" s="453" t="str">
        <f t="shared" si="8"/>
        <v/>
      </c>
      <c r="B559" s="452" t="str">
        <f>'Maxs Tool'!J559</f>
        <v/>
      </c>
      <c r="C559" s="452" t="str">
        <f>'Maxs Tool'!K559</f>
        <v/>
      </c>
      <c r="D559" s="452" t="str">
        <f>'Maxs Tool'!L559</f>
        <v/>
      </c>
      <c r="E559" s="452" t="str">
        <f>'Maxs Tool'!M559</f>
        <v/>
      </c>
    </row>
    <row r="560" spans="1:5" x14ac:dyDescent="0.25">
      <c r="A560" s="453" t="str">
        <f t="shared" si="8"/>
        <v/>
      </c>
      <c r="B560" s="452" t="str">
        <f>'Maxs Tool'!J560</f>
        <v/>
      </c>
      <c r="C560" s="452" t="str">
        <f>'Maxs Tool'!K560</f>
        <v/>
      </c>
      <c r="D560" s="452" t="str">
        <f>'Maxs Tool'!L560</f>
        <v/>
      </c>
      <c r="E560" s="452" t="str">
        <f>'Maxs Tool'!M560</f>
        <v/>
      </c>
    </row>
    <row r="561" spans="1:5" x14ac:dyDescent="0.25">
      <c r="A561" s="453" t="str">
        <f t="shared" si="8"/>
        <v/>
      </c>
      <c r="B561" s="452" t="str">
        <f>'Maxs Tool'!J561</f>
        <v/>
      </c>
      <c r="C561" s="452" t="str">
        <f>'Maxs Tool'!K561</f>
        <v/>
      </c>
      <c r="D561" s="452" t="str">
        <f>'Maxs Tool'!L561</f>
        <v/>
      </c>
      <c r="E561" s="452" t="str">
        <f>'Maxs Tool'!M561</f>
        <v/>
      </c>
    </row>
    <row r="562" spans="1:5" x14ac:dyDescent="0.25">
      <c r="A562" s="453" t="str">
        <f t="shared" si="8"/>
        <v/>
      </c>
      <c r="B562" s="452" t="str">
        <f>'Maxs Tool'!J562</f>
        <v/>
      </c>
      <c r="C562" s="452" t="str">
        <f>'Maxs Tool'!K562</f>
        <v/>
      </c>
      <c r="D562" s="452" t="str">
        <f>'Maxs Tool'!L562</f>
        <v/>
      </c>
      <c r="E562" s="452" t="str">
        <f>'Maxs Tool'!M562</f>
        <v/>
      </c>
    </row>
    <row r="563" spans="1:5" x14ac:dyDescent="0.25">
      <c r="A563" s="453" t="str">
        <f t="shared" si="8"/>
        <v/>
      </c>
      <c r="B563" s="452" t="str">
        <f>'Maxs Tool'!J563</f>
        <v/>
      </c>
      <c r="C563" s="452" t="str">
        <f>'Maxs Tool'!K563</f>
        <v/>
      </c>
      <c r="D563" s="452" t="str">
        <f>'Maxs Tool'!L563</f>
        <v/>
      </c>
      <c r="E563" s="452" t="str">
        <f>'Maxs Tool'!M563</f>
        <v/>
      </c>
    </row>
    <row r="564" spans="1:5" x14ac:dyDescent="0.25">
      <c r="A564" s="453" t="str">
        <f t="shared" si="8"/>
        <v/>
      </c>
      <c r="B564" s="452" t="str">
        <f>'Maxs Tool'!J564</f>
        <v/>
      </c>
      <c r="C564" s="452" t="str">
        <f>'Maxs Tool'!K564</f>
        <v/>
      </c>
      <c r="D564" s="452" t="str">
        <f>'Maxs Tool'!L564</f>
        <v/>
      </c>
      <c r="E564" s="452" t="str">
        <f>'Maxs Tool'!M564</f>
        <v/>
      </c>
    </row>
    <row r="565" spans="1:5" x14ac:dyDescent="0.25">
      <c r="A565" s="453" t="str">
        <f t="shared" si="8"/>
        <v/>
      </c>
      <c r="B565" s="452" t="str">
        <f>'Maxs Tool'!J565</f>
        <v/>
      </c>
      <c r="C565" s="452" t="str">
        <f>'Maxs Tool'!K565</f>
        <v/>
      </c>
      <c r="D565" s="452" t="str">
        <f>'Maxs Tool'!L565</f>
        <v/>
      </c>
      <c r="E565" s="452" t="str">
        <f>'Maxs Tool'!M565</f>
        <v/>
      </c>
    </row>
    <row r="566" spans="1:5" x14ac:dyDescent="0.25">
      <c r="A566" s="453" t="str">
        <f t="shared" si="8"/>
        <v/>
      </c>
      <c r="B566" s="452" t="str">
        <f>'Maxs Tool'!J566</f>
        <v/>
      </c>
      <c r="C566" s="452" t="str">
        <f>'Maxs Tool'!K566</f>
        <v/>
      </c>
      <c r="D566" s="452" t="str">
        <f>'Maxs Tool'!L566</f>
        <v/>
      </c>
      <c r="E566" s="452" t="str">
        <f>'Maxs Tool'!M566</f>
        <v/>
      </c>
    </row>
    <row r="567" spans="1:5" x14ac:dyDescent="0.25">
      <c r="A567" s="453" t="str">
        <f t="shared" si="8"/>
        <v/>
      </c>
      <c r="B567" s="452" t="str">
        <f>'Maxs Tool'!J567</f>
        <v/>
      </c>
      <c r="C567" s="452" t="str">
        <f>'Maxs Tool'!K567</f>
        <v/>
      </c>
      <c r="D567" s="452" t="str">
        <f>'Maxs Tool'!L567</f>
        <v/>
      </c>
      <c r="E567" s="452" t="str">
        <f>'Maxs Tool'!M567</f>
        <v/>
      </c>
    </row>
    <row r="568" spans="1:5" x14ac:dyDescent="0.25">
      <c r="A568" s="453" t="str">
        <f t="shared" si="8"/>
        <v/>
      </c>
      <c r="B568" s="452" t="str">
        <f>'Maxs Tool'!J568</f>
        <v/>
      </c>
      <c r="C568" s="452" t="str">
        <f>'Maxs Tool'!K568</f>
        <v/>
      </c>
      <c r="D568" s="452" t="str">
        <f>'Maxs Tool'!L568</f>
        <v/>
      </c>
      <c r="E568" s="452" t="str">
        <f>'Maxs Tool'!M568</f>
        <v/>
      </c>
    </row>
    <row r="569" spans="1:5" x14ac:dyDescent="0.25">
      <c r="A569" s="453" t="str">
        <f t="shared" si="8"/>
        <v/>
      </c>
      <c r="B569" s="452" t="str">
        <f>'Maxs Tool'!J569</f>
        <v/>
      </c>
      <c r="C569" s="452" t="str">
        <f>'Maxs Tool'!K569</f>
        <v/>
      </c>
      <c r="D569" s="452" t="str">
        <f>'Maxs Tool'!L569</f>
        <v/>
      </c>
      <c r="E569" s="452" t="str">
        <f>'Maxs Tool'!M569</f>
        <v/>
      </c>
    </row>
    <row r="570" spans="1:5" x14ac:dyDescent="0.25">
      <c r="A570" s="453" t="str">
        <f t="shared" si="8"/>
        <v/>
      </c>
      <c r="B570" s="452" t="str">
        <f>'Maxs Tool'!J570</f>
        <v/>
      </c>
      <c r="C570" s="452" t="str">
        <f>'Maxs Tool'!K570</f>
        <v/>
      </c>
      <c r="D570" s="452" t="str">
        <f>'Maxs Tool'!L570</f>
        <v/>
      </c>
      <c r="E570" s="452" t="str">
        <f>'Maxs Tool'!M570</f>
        <v/>
      </c>
    </row>
    <row r="571" spans="1:5" x14ac:dyDescent="0.25">
      <c r="A571" s="453" t="str">
        <f t="shared" si="8"/>
        <v/>
      </c>
      <c r="B571" s="452" t="str">
        <f>'Maxs Tool'!J571</f>
        <v/>
      </c>
      <c r="C571" s="452" t="str">
        <f>'Maxs Tool'!K571</f>
        <v/>
      </c>
      <c r="D571" s="452" t="str">
        <f>'Maxs Tool'!L571</f>
        <v/>
      </c>
      <c r="E571" s="452" t="str">
        <f>'Maxs Tool'!M571</f>
        <v/>
      </c>
    </row>
    <row r="572" spans="1:5" x14ac:dyDescent="0.25">
      <c r="A572" s="453" t="str">
        <f t="shared" si="8"/>
        <v/>
      </c>
      <c r="B572" s="452" t="str">
        <f>'Maxs Tool'!J572</f>
        <v/>
      </c>
      <c r="C572" s="452" t="str">
        <f>'Maxs Tool'!K572</f>
        <v/>
      </c>
      <c r="D572" s="452" t="str">
        <f>'Maxs Tool'!L572</f>
        <v/>
      </c>
      <c r="E572" s="452" t="str">
        <f>'Maxs Tool'!M572</f>
        <v/>
      </c>
    </row>
    <row r="573" spans="1:5" x14ac:dyDescent="0.25">
      <c r="A573" s="453" t="str">
        <f t="shared" si="8"/>
        <v/>
      </c>
      <c r="B573" s="452" t="str">
        <f>'Maxs Tool'!J573</f>
        <v/>
      </c>
      <c r="C573" s="452" t="str">
        <f>'Maxs Tool'!K573</f>
        <v/>
      </c>
      <c r="D573" s="452" t="str">
        <f>'Maxs Tool'!L573</f>
        <v/>
      </c>
      <c r="E573" s="452" t="str">
        <f>'Maxs Tool'!M573</f>
        <v/>
      </c>
    </row>
    <row r="574" spans="1:5" x14ac:dyDescent="0.25">
      <c r="A574" s="453" t="str">
        <f t="shared" si="8"/>
        <v/>
      </c>
      <c r="B574" s="452" t="str">
        <f>'Maxs Tool'!J574</f>
        <v/>
      </c>
      <c r="C574" s="452" t="str">
        <f>'Maxs Tool'!K574</f>
        <v/>
      </c>
      <c r="D574" s="452" t="str">
        <f>'Maxs Tool'!L574</f>
        <v/>
      </c>
      <c r="E574" s="452" t="str">
        <f>'Maxs Tool'!M574</f>
        <v/>
      </c>
    </row>
    <row r="575" spans="1:5" x14ac:dyDescent="0.25">
      <c r="A575" s="453" t="str">
        <f t="shared" si="8"/>
        <v/>
      </c>
      <c r="B575" s="452" t="str">
        <f>'Maxs Tool'!J575</f>
        <v/>
      </c>
      <c r="C575" s="452" t="str">
        <f>'Maxs Tool'!K575</f>
        <v/>
      </c>
      <c r="D575" s="452" t="str">
        <f>'Maxs Tool'!L575</f>
        <v/>
      </c>
      <c r="E575" s="452" t="str">
        <f>'Maxs Tool'!M575</f>
        <v/>
      </c>
    </row>
    <row r="576" spans="1:5" x14ac:dyDescent="0.25">
      <c r="A576" s="453" t="str">
        <f t="shared" si="8"/>
        <v/>
      </c>
      <c r="B576" s="452" t="str">
        <f>'Maxs Tool'!J576</f>
        <v/>
      </c>
      <c r="C576" s="452" t="str">
        <f>'Maxs Tool'!K576</f>
        <v/>
      </c>
      <c r="D576" s="452" t="str">
        <f>'Maxs Tool'!L576</f>
        <v/>
      </c>
      <c r="E576" s="452" t="str">
        <f>'Maxs Tool'!M576</f>
        <v/>
      </c>
    </row>
    <row r="577" spans="1:5" x14ac:dyDescent="0.25">
      <c r="A577" s="453" t="str">
        <f t="shared" si="8"/>
        <v/>
      </c>
      <c r="B577" s="452" t="str">
        <f>'Maxs Tool'!J577</f>
        <v/>
      </c>
      <c r="C577" s="452" t="str">
        <f>'Maxs Tool'!K577</f>
        <v/>
      </c>
      <c r="D577" s="452" t="str">
        <f>'Maxs Tool'!L577</f>
        <v/>
      </c>
      <c r="E577" s="452" t="str">
        <f>'Maxs Tool'!M577</f>
        <v/>
      </c>
    </row>
    <row r="578" spans="1:5" x14ac:dyDescent="0.25">
      <c r="A578" s="453" t="str">
        <f t="shared" si="8"/>
        <v/>
      </c>
      <c r="B578" s="452" t="str">
        <f>'Maxs Tool'!J578</f>
        <v/>
      </c>
      <c r="C578" s="452" t="str">
        <f>'Maxs Tool'!K578</f>
        <v/>
      </c>
      <c r="D578" s="452" t="str">
        <f>'Maxs Tool'!L578</f>
        <v/>
      </c>
      <c r="E578" s="452" t="str">
        <f>'Maxs Tool'!M578</f>
        <v/>
      </c>
    </row>
    <row r="579" spans="1:5" x14ac:dyDescent="0.25">
      <c r="A579" s="453" t="str">
        <f t="shared" ref="A579:A626" si="9">IF(ISNUMBER(D579),ROW()-1,"")</f>
        <v/>
      </c>
      <c r="B579" s="452" t="str">
        <f>'Maxs Tool'!J579</f>
        <v/>
      </c>
      <c r="C579" s="452" t="str">
        <f>'Maxs Tool'!K579</f>
        <v/>
      </c>
      <c r="D579" s="452" t="str">
        <f>'Maxs Tool'!L579</f>
        <v/>
      </c>
      <c r="E579" s="452" t="str">
        <f>'Maxs Tool'!M579</f>
        <v/>
      </c>
    </row>
    <row r="580" spans="1:5" x14ac:dyDescent="0.25">
      <c r="A580" s="453" t="str">
        <f t="shared" si="9"/>
        <v/>
      </c>
      <c r="B580" s="452" t="str">
        <f>'Maxs Tool'!J580</f>
        <v/>
      </c>
      <c r="C580" s="452" t="str">
        <f>'Maxs Tool'!K580</f>
        <v/>
      </c>
      <c r="D580" s="452" t="str">
        <f>'Maxs Tool'!L580</f>
        <v/>
      </c>
      <c r="E580" s="452" t="str">
        <f>'Maxs Tool'!M580</f>
        <v/>
      </c>
    </row>
    <row r="581" spans="1:5" x14ac:dyDescent="0.25">
      <c r="A581" s="453" t="str">
        <f t="shared" si="9"/>
        <v/>
      </c>
      <c r="B581" s="452" t="str">
        <f>'Maxs Tool'!J581</f>
        <v/>
      </c>
      <c r="C581" s="452" t="str">
        <f>'Maxs Tool'!K581</f>
        <v/>
      </c>
      <c r="D581" s="452" t="str">
        <f>'Maxs Tool'!L581</f>
        <v/>
      </c>
      <c r="E581" s="452" t="str">
        <f>'Maxs Tool'!M581</f>
        <v/>
      </c>
    </row>
    <row r="582" spans="1:5" x14ac:dyDescent="0.25">
      <c r="A582" s="453" t="str">
        <f t="shared" si="9"/>
        <v/>
      </c>
      <c r="B582" s="452" t="str">
        <f>'Maxs Tool'!J582</f>
        <v/>
      </c>
      <c r="C582" s="452" t="str">
        <f>'Maxs Tool'!K582</f>
        <v/>
      </c>
      <c r="D582" s="452" t="str">
        <f>'Maxs Tool'!L582</f>
        <v/>
      </c>
      <c r="E582" s="452" t="str">
        <f>'Maxs Tool'!M582</f>
        <v/>
      </c>
    </row>
    <row r="583" spans="1:5" x14ac:dyDescent="0.25">
      <c r="A583" s="453" t="str">
        <f t="shared" si="9"/>
        <v/>
      </c>
      <c r="B583" s="452" t="str">
        <f>'Maxs Tool'!J583</f>
        <v/>
      </c>
      <c r="C583" s="452" t="str">
        <f>'Maxs Tool'!K583</f>
        <v/>
      </c>
      <c r="D583" s="452" t="str">
        <f>'Maxs Tool'!L583</f>
        <v/>
      </c>
      <c r="E583" s="452" t="str">
        <f>'Maxs Tool'!M583</f>
        <v/>
      </c>
    </row>
    <row r="584" spans="1:5" x14ac:dyDescent="0.25">
      <c r="A584" s="453" t="str">
        <f t="shared" si="9"/>
        <v/>
      </c>
      <c r="B584" s="452" t="str">
        <f>'Maxs Tool'!J584</f>
        <v/>
      </c>
      <c r="C584" s="452" t="str">
        <f>'Maxs Tool'!K584</f>
        <v/>
      </c>
      <c r="D584" s="452" t="str">
        <f>'Maxs Tool'!L584</f>
        <v/>
      </c>
      <c r="E584" s="452" t="str">
        <f>'Maxs Tool'!M584</f>
        <v/>
      </c>
    </row>
    <row r="585" spans="1:5" x14ac:dyDescent="0.25">
      <c r="A585" s="453" t="str">
        <f t="shared" si="9"/>
        <v/>
      </c>
      <c r="B585" s="452" t="str">
        <f>'Maxs Tool'!J585</f>
        <v/>
      </c>
      <c r="C585" s="452" t="str">
        <f>'Maxs Tool'!K585</f>
        <v/>
      </c>
      <c r="D585" s="452" t="str">
        <f>'Maxs Tool'!L585</f>
        <v/>
      </c>
      <c r="E585" s="452" t="str">
        <f>'Maxs Tool'!M585</f>
        <v/>
      </c>
    </row>
    <row r="586" spans="1:5" x14ac:dyDescent="0.25">
      <c r="A586" s="453" t="str">
        <f t="shared" si="9"/>
        <v/>
      </c>
      <c r="B586" s="452" t="str">
        <f>'Maxs Tool'!J586</f>
        <v/>
      </c>
      <c r="C586" s="452" t="str">
        <f>'Maxs Tool'!K586</f>
        <v/>
      </c>
      <c r="D586" s="452" t="str">
        <f>'Maxs Tool'!L586</f>
        <v/>
      </c>
      <c r="E586" s="452" t="str">
        <f>'Maxs Tool'!M586</f>
        <v/>
      </c>
    </row>
    <row r="587" spans="1:5" x14ac:dyDescent="0.25">
      <c r="A587" s="453" t="str">
        <f t="shared" si="9"/>
        <v/>
      </c>
      <c r="B587" s="452" t="str">
        <f>'Maxs Tool'!J587</f>
        <v/>
      </c>
      <c r="C587" s="452" t="str">
        <f>'Maxs Tool'!K587</f>
        <v/>
      </c>
      <c r="D587" s="452" t="str">
        <f>'Maxs Tool'!L587</f>
        <v/>
      </c>
      <c r="E587" s="452" t="str">
        <f>'Maxs Tool'!M587</f>
        <v/>
      </c>
    </row>
    <row r="588" spans="1:5" x14ac:dyDescent="0.25">
      <c r="A588" s="453" t="str">
        <f t="shared" si="9"/>
        <v/>
      </c>
      <c r="B588" s="452" t="str">
        <f>'Maxs Tool'!J588</f>
        <v/>
      </c>
      <c r="C588" s="452" t="str">
        <f>'Maxs Tool'!K588</f>
        <v/>
      </c>
      <c r="D588" s="452" t="str">
        <f>'Maxs Tool'!L588</f>
        <v/>
      </c>
      <c r="E588" s="452" t="str">
        <f>'Maxs Tool'!M588</f>
        <v/>
      </c>
    </row>
    <row r="589" spans="1:5" x14ac:dyDescent="0.25">
      <c r="A589" s="453" t="str">
        <f t="shared" si="9"/>
        <v/>
      </c>
      <c r="B589" s="452" t="str">
        <f>'Maxs Tool'!J589</f>
        <v/>
      </c>
      <c r="C589" s="452" t="str">
        <f>'Maxs Tool'!K589</f>
        <v/>
      </c>
      <c r="D589" s="452" t="str">
        <f>'Maxs Tool'!L589</f>
        <v/>
      </c>
      <c r="E589" s="452" t="str">
        <f>'Maxs Tool'!M589</f>
        <v/>
      </c>
    </row>
    <row r="590" spans="1:5" x14ac:dyDescent="0.25">
      <c r="A590" s="453" t="str">
        <f t="shared" si="9"/>
        <v/>
      </c>
      <c r="B590" s="452" t="str">
        <f>'Maxs Tool'!J590</f>
        <v/>
      </c>
      <c r="C590" s="452" t="str">
        <f>'Maxs Tool'!K590</f>
        <v/>
      </c>
      <c r="D590" s="452" t="str">
        <f>'Maxs Tool'!L590</f>
        <v/>
      </c>
      <c r="E590" s="452" t="str">
        <f>'Maxs Tool'!M590</f>
        <v/>
      </c>
    </row>
    <row r="591" spans="1:5" x14ac:dyDescent="0.25">
      <c r="A591" s="453" t="str">
        <f t="shared" si="9"/>
        <v/>
      </c>
      <c r="B591" s="452" t="str">
        <f>'Maxs Tool'!J591</f>
        <v/>
      </c>
      <c r="C591" s="452" t="str">
        <f>'Maxs Tool'!K591</f>
        <v/>
      </c>
      <c r="D591" s="452" t="str">
        <f>'Maxs Tool'!L591</f>
        <v/>
      </c>
      <c r="E591" s="452" t="str">
        <f>'Maxs Tool'!M591</f>
        <v/>
      </c>
    </row>
    <row r="592" spans="1:5" x14ac:dyDescent="0.25">
      <c r="A592" s="453" t="str">
        <f t="shared" si="9"/>
        <v/>
      </c>
      <c r="B592" s="452" t="str">
        <f>'Maxs Tool'!J592</f>
        <v/>
      </c>
      <c r="C592" s="452" t="str">
        <f>'Maxs Tool'!K592</f>
        <v/>
      </c>
      <c r="D592" s="452" t="str">
        <f>'Maxs Tool'!L592</f>
        <v/>
      </c>
      <c r="E592" s="452" t="str">
        <f>'Maxs Tool'!M592</f>
        <v/>
      </c>
    </row>
    <row r="593" spans="1:5" x14ac:dyDescent="0.25">
      <c r="A593" s="453" t="str">
        <f t="shared" si="9"/>
        <v/>
      </c>
      <c r="B593" s="452" t="str">
        <f>'Maxs Tool'!J593</f>
        <v/>
      </c>
      <c r="C593" s="452" t="str">
        <f>'Maxs Tool'!K593</f>
        <v/>
      </c>
      <c r="D593" s="452" t="str">
        <f>'Maxs Tool'!L593</f>
        <v/>
      </c>
      <c r="E593" s="452" t="str">
        <f>'Maxs Tool'!M593</f>
        <v/>
      </c>
    </row>
    <row r="594" spans="1:5" x14ac:dyDescent="0.25">
      <c r="A594" s="453" t="str">
        <f t="shared" si="9"/>
        <v/>
      </c>
      <c r="B594" s="452" t="str">
        <f>'Maxs Tool'!J594</f>
        <v/>
      </c>
      <c r="C594" s="452" t="str">
        <f>'Maxs Tool'!K594</f>
        <v/>
      </c>
      <c r="D594" s="452" t="str">
        <f>'Maxs Tool'!L594</f>
        <v/>
      </c>
      <c r="E594" s="452" t="str">
        <f>'Maxs Tool'!M594</f>
        <v/>
      </c>
    </row>
    <row r="595" spans="1:5" x14ac:dyDescent="0.25">
      <c r="A595" s="453" t="str">
        <f t="shared" si="9"/>
        <v/>
      </c>
      <c r="B595" s="452" t="str">
        <f>'Maxs Tool'!J595</f>
        <v/>
      </c>
      <c r="C595" s="452" t="str">
        <f>'Maxs Tool'!K595</f>
        <v/>
      </c>
      <c r="D595" s="452" t="str">
        <f>'Maxs Tool'!L595</f>
        <v/>
      </c>
      <c r="E595" s="452" t="str">
        <f>'Maxs Tool'!M595</f>
        <v/>
      </c>
    </row>
    <row r="596" spans="1:5" x14ac:dyDescent="0.25">
      <c r="A596" s="453" t="str">
        <f t="shared" si="9"/>
        <v/>
      </c>
      <c r="B596" s="452" t="str">
        <f>'Maxs Tool'!J596</f>
        <v/>
      </c>
      <c r="C596" s="452" t="str">
        <f>'Maxs Tool'!K596</f>
        <v/>
      </c>
      <c r="D596" s="452" t="str">
        <f>'Maxs Tool'!L596</f>
        <v/>
      </c>
      <c r="E596" s="452" t="str">
        <f>'Maxs Tool'!M596</f>
        <v/>
      </c>
    </row>
    <row r="597" spans="1:5" x14ac:dyDescent="0.25">
      <c r="A597" s="453" t="str">
        <f t="shared" si="9"/>
        <v/>
      </c>
      <c r="B597" s="452" t="str">
        <f>'Maxs Tool'!J597</f>
        <v/>
      </c>
      <c r="C597" s="452" t="str">
        <f>'Maxs Tool'!K597</f>
        <v/>
      </c>
      <c r="D597" s="452" t="str">
        <f>'Maxs Tool'!L597</f>
        <v/>
      </c>
      <c r="E597" s="452" t="str">
        <f>'Maxs Tool'!M597</f>
        <v/>
      </c>
    </row>
    <row r="598" spans="1:5" x14ac:dyDescent="0.25">
      <c r="A598" s="453" t="str">
        <f t="shared" si="9"/>
        <v/>
      </c>
      <c r="B598" s="452" t="str">
        <f>'Maxs Tool'!J598</f>
        <v/>
      </c>
      <c r="C598" s="452" t="str">
        <f>'Maxs Tool'!K598</f>
        <v/>
      </c>
      <c r="D598" s="452" t="str">
        <f>'Maxs Tool'!L598</f>
        <v/>
      </c>
      <c r="E598" s="452" t="str">
        <f>'Maxs Tool'!M598</f>
        <v/>
      </c>
    </row>
    <row r="599" spans="1:5" x14ac:dyDescent="0.25">
      <c r="A599" s="453" t="str">
        <f t="shared" si="9"/>
        <v/>
      </c>
      <c r="B599" s="452" t="str">
        <f>'Maxs Tool'!J599</f>
        <v/>
      </c>
      <c r="C599" s="452" t="str">
        <f>'Maxs Tool'!K599</f>
        <v/>
      </c>
      <c r="D599" s="452" t="str">
        <f>'Maxs Tool'!L599</f>
        <v/>
      </c>
      <c r="E599" s="452" t="str">
        <f>'Maxs Tool'!M599</f>
        <v/>
      </c>
    </row>
    <row r="600" spans="1:5" x14ac:dyDescent="0.25">
      <c r="A600" s="453" t="str">
        <f t="shared" si="9"/>
        <v/>
      </c>
      <c r="B600" s="452" t="str">
        <f>'Maxs Tool'!J600</f>
        <v/>
      </c>
      <c r="C600" s="452" t="str">
        <f>'Maxs Tool'!K600</f>
        <v/>
      </c>
      <c r="D600" s="452" t="str">
        <f>'Maxs Tool'!L600</f>
        <v/>
      </c>
      <c r="E600" s="452" t="str">
        <f>'Maxs Tool'!M600</f>
        <v/>
      </c>
    </row>
    <row r="601" spans="1:5" x14ac:dyDescent="0.25">
      <c r="A601" s="453" t="str">
        <f t="shared" si="9"/>
        <v/>
      </c>
      <c r="B601" s="452" t="str">
        <f>'Maxs Tool'!J601</f>
        <v/>
      </c>
      <c r="C601" s="452" t="str">
        <f>'Maxs Tool'!K601</f>
        <v/>
      </c>
      <c r="D601" s="452" t="str">
        <f>'Maxs Tool'!L601</f>
        <v/>
      </c>
      <c r="E601" s="452" t="str">
        <f>'Maxs Tool'!M601</f>
        <v/>
      </c>
    </row>
    <row r="602" spans="1:5" x14ac:dyDescent="0.25">
      <c r="A602" s="453" t="str">
        <f t="shared" si="9"/>
        <v/>
      </c>
      <c r="B602" s="452" t="str">
        <f>'Maxs Tool'!J602</f>
        <v/>
      </c>
      <c r="C602" s="452" t="str">
        <f>'Maxs Tool'!K602</f>
        <v/>
      </c>
      <c r="D602" s="452" t="str">
        <f>'Maxs Tool'!L602</f>
        <v/>
      </c>
      <c r="E602" s="452" t="str">
        <f>'Maxs Tool'!M602</f>
        <v/>
      </c>
    </row>
    <row r="603" spans="1:5" x14ac:dyDescent="0.25">
      <c r="A603" s="453" t="str">
        <f t="shared" si="9"/>
        <v/>
      </c>
      <c r="B603" s="452" t="str">
        <f>'Maxs Tool'!J603</f>
        <v/>
      </c>
      <c r="C603" s="452" t="str">
        <f>'Maxs Tool'!K603</f>
        <v/>
      </c>
      <c r="D603" s="452" t="str">
        <f>'Maxs Tool'!L603</f>
        <v/>
      </c>
      <c r="E603" s="452" t="str">
        <f>'Maxs Tool'!M603</f>
        <v/>
      </c>
    </row>
    <row r="604" spans="1:5" x14ac:dyDescent="0.25">
      <c r="A604" s="453" t="str">
        <f t="shared" si="9"/>
        <v/>
      </c>
      <c r="B604" s="452" t="str">
        <f>'Maxs Tool'!J604</f>
        <v/>
      </c>
      <c r="C604" s="452" t="str">
        <f>'Maxs Tool'!K604</f>
        <v/>
      </c>
      <c r="D604" s="452" t="str">
        <f>'Maxs Tool'!L604</f>
        <v/>
      </c>
      <c r="E604" s="452" t="str">
        <f>'Maxs Tool'!M604</f>
        <v/>
      </c>
    </row>
    <row r="605" spans="1:5" x14ac:dyDescent="0.25">
      <c r="A605" s="453" t="str">
        <f t="shared" si="9"/>
        <v/>
      </c>
      <c r="B605" s="452" t="str">
        <f>'Maxs Tool'!J605</f>
        <v/>
      </c>
      <c r="C605" s="452" t="str">
        <f>'Maxs Tool'!K605</f>
        <v/>
      </c>
      <c r="D605" s="452" t="str">
        <f>'Maxs Tool'!L605</f>
        <v/>
      </c>
      <c r="E605" s="452" t="str">
        <f>'Maxs Tool'!M605</f>
        <v/>
      </c>
    </row>
    <row r="606" spans="1:5" x14ac:dyDescent="0.25">
      <c r="A606" s="453" t="str">
        <f t="shared" si="9"/>
        <v/>
      </c>
      <c r="B606" s="452" t="str">
        <f>'Maxs Tool'!J606</f>
        <v/>
      </c>
      <c r="C606" s="452" t="str">
        <f>'Maxs Tool'!K606</f>
        <v/>
      </c>
      <c r="D606" s="452" t="str">
        <f>'Maxs Tool'!L606</f>
        <v/>
      </c>
      <c r="E606" s="452" t="str">
        <f>'Maxs Tool'!M606</f>
        <v/>
      </c>
    </row>
    <row r="607" spans="1:5" x14ac:dyDescent="0.25">
      <c r="A607" s="453" t="str">
        <f t="shared" si="9"/>
        <v/>
      </c>
      <c r="B607" s="452" t="str">
        <f>'Maxs Tool'!J607</f>
        <v/>
      </c>
      <c r="C607" s="452" t="str">
        <f>'Maxs Tool'!K607</f>
        <v/>
      </c>
      <c r="D607" s="452" t="str">
        <f>'Maxs Tool'!L607</f>
        <v/>
      </c>
      <c r="E607" s="452" t="str">
        <f>'Maxs Tool'!M607</f>
        <v/>
      </c>
    </row>
    <row r="608" spans="1:5" x14ac:dyDescent="0.25">
      <c r="A608" s="453" t="str">
        <f t="shared" si="9"/>
        <v/>
      </c>
      <c r="B608" s="452" t="str">
        <f>'Maxs Tool'!J608</f>
        <v/>
      </c>
      <c r="C608" s="452" t="str">
        <f>'Maxs Tool'!K608</f>
        <v/>
      </c>
      <c r="D608" s="452" t="str">
        <f>'Maxs Tool'!L608</f>
        <v/>
      </c>
      <c r="E608" s="452" t="str">
        <f>'Maxs Tool'!M608</f>
        <v/>
      </c>
    </row>
    <row r="609" spans="1:5" x14ac:dyDescent="0.25">
      <c r="A609" s="453" t="str">
        <f t="shared" si="9"/>
        <v/>
      </c>
      <c r="B609" s="452" t="str">
        <f>'Maxs Tool'!J609</f>
        <v/>
      </c>
      <c r="C609" s="452" t="str">
        <f>'Maxs Tool'!K609</f>
        <v/>
      </c>
      <c r="D609" s="452" t="str">
        <f>'Maxs Tool'!L609</f>
        <v/>
      </c>
      <c r="E609" s="452" t="str">
        <f>'Maxs Tool'!M609</f>
        <v/>
      </c>
    </row>
    <row r="610" spans="1:5" x14ac:dyDescent="0.25">
      <c r="A610" s="453" t="str">
        <f t="shared" si="9"/>
        <v/>
      </c>
      <c r="B610" s="452" t="str">
        <f>'Maxs Tool'!J610</f>
        <v/>
      </c>
      <c r="C610" s="452" t="str">
        <f>'Maxs Tool'!K610</f>
        <v/>
      </c>
      <c r="D610" s="452" t="str">
        <f>'Maxs Tool'!L610</f>
        <v/>
      </c>
      <c r="E610" s="452" t="str">
        <f>'Maxs Tool'!M610</f>
        <v/>
      </c>
    </row>
    <row r="611" spans="1:5" x14ac:dyDescent="0.25">
      <c r="A611" s="453" t="str">
        <f t="shared" si="9"/>
        <v/>
      </c>
      <c r="B611" s="452" t="str">
        <f>'Maxs Tool'!J611</f>
        <v/>
      </c>
      <c r="C611" s="452" t="str">
        <f>'Maxs Tool'!K611</f>
        <v/>
      </c>
      <c r="D611" s="452" t="str">
        <f>'Maxs Tool'!L611</f>
        <v/>
      </c>
      <c r="E611" s="452" t="str">
        <f>'Maxs Tool'!M611</f>
        <v/>
      </c>
    </row>
    <row r="612" spans="1:5" x14ac:dyDescent="0.25">
      <c r="A612" s="453" t="str">
        <f t="shared" si="9"/>
        <v/>
      </c>
      <c r="B612" s="452" t="str">
        <f>'Maxs Tool'!J612</f>
        <v/>
      </c>
      <c r="C612" s="452" t="str">
        <f>'Maxs Tool'!K612</f>
        <v/>
      </c>
      <c r="D612" s="452" t="str">
        <f>'Maxs Tool'!L612</f>
        <v/>
      </c>
      <c r="E612" s="452" t="str">
        <f>'Maxs Tool'!M612</f>
        <v/>
      </c>
    </row>
    <row r="613" spans="1:5" x14ac:dyDescent="0.25">
      <c r="A613" s="453" t="str">
        <f t="shared" si="9"/>
        <v/>
      </c>
      <c r="B613" s="452" t="str">
        <f>'Maxs Tool'!J613</f>
        <v/>
      </c>
      <c r="C613" s="452" t="str">
        <f>'Maxs Tool'!K613</f>
        <v/>
      </c>
      <c r="D613" s="452" t="str">
        <f>'Maxs Tool'!L613</f>
        <v/>
      </c>
      <c r="E613" s="452" t="str">
        <f>'Maxs Tool'!M613</f>
        <v/>
      </c>
    </row>
    <row r="614" spans="1:5" x14ac:dyDescent="0.25">
      <c r="A614" s="453" t="str">
        <f t="shared" si="9"/>
        <v/>
      </c>
      <c r="B614" s="452" t="str">
        <f>'Maxs Tool'!J614</f>
        <v/>
      </c>
      <c r="C614" s="452" t="str">
        <f>'Maxs Tool'!K614</f>
        <v/>
      </c>
      <c r="D614" s="452" t="str">
        <f>'Maxs Tool'!L614</f>
        <v/>
      </c>
      <c r="E614" s="452" t="str">
        <f>'Maxs Tool'!M614</f>
        <v/>
      </c>
    </row>
    <row r="615" spans="1:5" x14ac:dyDescent="0.25">
      <c r="A615" s="453" t="str">
        <f t="shared" si="9"/>
        <v/>
      </c>
      <c r="B615" s="452" t="str">
        <f>'Maxs Tool'!J615</f>
        <v/>
      </c>
      <c r="C615" s="452" t="str">
        <f>'Maxs Tool'!K615</f>
        <v/>
      </c>
      <c r="D615" s="452" t="str">
        <f>'Maxs Tool'!L615</f>
        <v/>
      </c>
      <c r="E615" s="452" t="str">
        <f>'Maxs Tool'!M615</f>
        <v/>
      </c>
    </row>
    <row r="616" spans="1:5" x14ac:dyDescent="0.25">
      <c r="A616" s="453" t="str">
        <f t="shared" si="9"/>
        <v/>
      </c>
      <c r="B616" s="452" t="str">
        <f>'Maxs Tool'!J616</f>
        <v/>
      </c>
      <c r="C616" s="452" t="str">
        <f>'Maxs Tool'!K616</f>
        <v/>
      </c>
      <c r="D616" s="452" t="str">
        <f>'Maxs Tool'!L616</f>
        <v/>
      </c>
      <c r="E616" s="452" t="str">
        <f>'Maxs Tool'!M616</f>
        <v/>
      </c>
    </row>
    <row r="617" spans="1:5" x14ac:dyDescent="0.25">
      <c r="A617" s="453" t="str">
        <f t="shared" si="9"/>
        <v/>
      </c>
      <c r="B617" s="452" t="str">
        <f>'Maxs Tool'!J617</f>
        <v/>
      </c>
      <c r="C617" s="452" t="str">
        <f>'Maxs Tool'!K617</f>
        <v/>
      </c>
      <c r="D617" s="452" t="str">
        <f>'Maxs Tool'!L617</f>
        <v/>
      </c>
      <c r="E617" s="452" t="str">
        <f>'Maxs Tool'!M617</f>
        <v/>
      </c>
    </row>
    <row r="618" spans="1:5" x14ac:dyDescent="0.25">
      <c r="A618" s="453" t="str">
        <f t="shared" si="9"/>
        <v/>
      </c>
      <c r="B618" s="452" t="str">
        <f>'Maxs Tool'!J618</f>
        <v/>
      </c>
      <c r="C618" s="452" t="str">
        <f>'Maxs Tool'!K618</f>
        <v/>
      </c>
      <c r="D618" s="452" t="str">
        <f>'Maxs Tool'!L618</f>
        <v/>
      </c>
      <c r="E618" s="452" t="str">
        <f>'Maxs Tool'!M618</f>
        <v/>
      </c>
    </row>
    <row r="619" spans="1:5" x14ac:dyDescent="0.25">
      <c r="A619" s="453" t="str">
        <f t="shared" si="9"/>
        <v/>
      </c>
      <c r="B619" s="452" t="str">
        <f>'Maxs Tool'!J619</f>
        <v/>
      </c>
      <c r="C619" s="452" t="str">
        <f>'Maxs Tool'!K619</f>
        <v/>
      </c>
      <c r="D619" s="452" t="str">
        <f>'Maxs Tool'!L619</f>
        <v/>
      </c>
      <c r="E619" s="452" t="str">
        <f>'Maxs Tool'!M619</f>
        <v/>
      </c>
    </row>
    <row r="620" spans="1:5" x14ac:dyDescent="0.25">
      <c r="A620" s="453" t="str">
        <f t="shared" si="9"/>
        <v/>
      </c>
      <c r="B620" s="452" t="str">
        <f>'Maxs Tool'!J620</f>
        <v/>
      </c>
      <c r="C620" s="452" t="str">
        <f>'Maxs Tool'!K620</f>
        <v/>
      </c>
      <c r="D620" s="452" t="str">
        <f>'Maxs Tool'!L620</f>
        <v/>
      </c>
      <c r="E620" s="452" t="str">
        <f>'Maxs Tool'!M620</f>
        <v/>
      </c>
    </row>
    <row r="621" spans="1:5" x14ac:dyDescent="0.25">
      <c r="A621" s="453" t="str">
        <f t="shared" si="9"/>
        <v/>
      </c>
      <c r="B621" s="452" t="str">
        <f>'Maxs Tool'!J621</f>
        <v/>
      </c>
      <c r="C621" s="452" t="str">
        <f>'Maxs Tool'!K621</f>
        <v/>
      </c>
      <c r="D621" s="452" t="str">
        <f>'Maxs Tool'!L621</f>
        <v/>
      </c>
      <c r="E621" s="452" t="str">
        <f>'Maxs Tool'!M621</f>
        <v/>
      </c>
    </row>
    <row r="622" spans="1:5" x14ac:dyDescent="0.25">
      <c r="A622" s="453" t="str">
        <f t="shared" si="9"/>
        <v/>
      </c>
      <c r="B622" s="452" t="str">
        <f>'Maxs Tool'!J622</f>
        <v/>
      </c>
      <c r="C622" s="452" t="str">
        <f>'Maxs Tool'!K622</f>
        <v/>
      </c>
      <c r="D622" s="452" t="str">
        <f>'Maxs Tool'!L622</f>
        <v/>
      </c>
      <c r="E622" s="452" t="str">
        <f>'Maxs Tool'!M622</f>
        <v/>
      </c>
    </row>
    <row r="623" spans="1:5" x14ac:dyDescent="0.25">
      <c r="A623" s="453" t="str">
        <f t="shared" si="9"/>
        <v/>
      </c>
      <c r="B623" s="452" t="str">
        <f>'Maxs Tool'!J623</f>
        <v/>
      </c>
      <c r="C623" s="452" t="str">
        <f>'Maxs Tool'!K623</f>
        <v/>
      </c>
      <c r="D623" s="452" t="str">
        <f>'Maxs Tool'!L623</f>
        <v/>
      </c>
      <c r="E623" s="452" t="str">
        <f>'Maxs Tool'!M623</f>
        <v/>
      </c>
    </row>
    <row r="624" spans="1:5" x14ac:dyDescent="0.25">
      <c r="A624" s="453" t="str">
        <f t="shared" si="9"/>
        <v/>
      </c>
      <c r="B624" s="452" t="str">
        <f>'Maxs Tool'!J624</f>
        <v/>
      </c>
      <c r="C624" s="452" t="str">
        <f>'Maxs Tool'!K624</f>
        <v/>
      </c>
      <c r="D624" s="452" t="str">
        <f>'Maxs Tool'!L624</f>
        <v/>
      </c>
      <c r="E624" s="452" t="str">
        <f>'Maxs Tool'!M624</f>
        <v/>
      </c>
    </row>
    <row r="625" spans="1:5" x14ac:dyDescent="0.25">
      <c r="A625" s="453" t="str">
        <f t="shared" si="9"/>
        <v/>
      </c>
      <c r="B625" s="452" t="str">
        <f>'Maxs Tool'!J625</f>
        <v/>
      </c>
      <c r="C625" s="452" t="str">
        <f>'Maxs Tool'!K625</f>
        <v/>
      </c>
      <c r="D625" s="452" t="str">
        <f>'Maxs Tool'!L625</f>
        <v/>
      </c>
      <c r="E625" s="452" t="str">
        <f>'Maxs Tool'!M625</f>
        <v/>
      </c>
    </row>
    <row r="626" spans="1:5" x14ac:dyDescent="0.25">
      <c r="A626" s="453" t="str">
        <f t="shared" si="9"/>
        <v/>
      </c>
      <c r="B626" s="452" t="str">
        <f>'Maxs Tool'!J626</f>
        <v/>
      </c>
      <c r="C626" s="452" t="str">
        <f>'Maxs Tool'!K626</f>
        <v/>
      </c>
      <c r="D626" s="452" t="str">
        <f>'Maxs Tool'!L626</f>
        <v/>
      </c>
      <c r="E626" s="452" t="str">
        <f>'Maxs Tool'!M626</f>
        <v/>
      </c>
    </row>
  </sheetData>
  <sheetProtection password="CC2F"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4517" r:id="rId4" name="Button 5">
              <controlPr defaultSize="0" print="0" autoFill="0" autoPict="0" macro="[0]!CopyMarkerTable">
                <anchor moveWithCells="1" sizeWithCells="1">
                  <from>
                    <xdr:col>7</xdr:col>
                    <xdr:colOff>304800</xdr:colOff>
                    <xdr:row>6</xdr:row>
                    <xdr:rowOff>0</xdr:rowOff>
                  </from>
                  <to>
                    <xdr:col>10</xdr:col>
                    <xdr:colOff>0</xdr:colOff>
                    <xdr:row>8</xdr:row>
                    <xdr:rowOff>0</xdr:rowOff>
                  </to>
                </anchor>
              </controlPr>
            </control>
          </mc:Choice>
        </mc:AlternateContent>
      </controls>
    </mc:Choice>
  </mc:AlternateContent>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L54"/>
  <sheetViews>
    <sheetView showGridLines="0" showRowColHeaders="0" tabSelected="1" workbookViewId="0"/>
  </sheetViews>
  <sheetFormatPr defaultRowHeight="15" x14ac:dyDescent="0.25"/>
  <cols>
    <col min="1" max="16384" width="9.140625" style="444"/>
  </cols>
  <sheetData>
    <row r="1" spans="1:2" ht="18.75" x14ac:dyDescent="0.3">
      <c r="A1" s="443" t="s">
        <v>318</v>
      </c>
    </row>
    <row r="2" spans="1:2" x14ac:dyDescent="0.25">
      <c r="A2" s="444" t="s">
        <v>307</v>
      </c>
    </row>
    <row r="3" spans="1:2" ht="15" customHeight="1" x14ac:dyDescent="0.25">
      <c r="A3" s="444" t="s">
        <v>308</v>
      </c>
    </row>
    <row r="4" spans="1:2" ht="15" customHeight="1" x14ac:dyDescent="0.25">
      <c r="A4" s="444" t="s">
        <v>342</v>
      </c>
    </row>
    <row r="5" spans="1:2" ht="15" customHeight="1" x14ac:dyDescent="0.25">
      <c r="B5" s="444" t="s">
        <v>309</v>
      </c>
    </row>
    <row r="6" spans="1:2" ht="15" customHeight="1" x14ac:dyDescent="0.25">
      <c r="A6" s="444" t="s">
        <v>310</v>
      </c>
    </row>
    <row r="8" spans="1:2" ht="15.75" x14ac:dyDescent="0.25">
      <c r="A8" s="445" t="s">
        <v>311</v>
      </c>
    </row>
    <row r="9" spans="1:2" ht="15" customHeight="1" x14ac:dyDescent="0.25">
      <c r="A9" s="444" t="s">
        <v>330</v>
      </c>
    </row>
    <row r="10" spans="1:2" x14ac:dyDescent="0.25">
      <c r="A10" s="444" t="s">
        <v>329</v>
      </c>
    </row>
    <row r="12" spans="1:2" ht="15.75" x14ac:dyDescent="0.25">
      <c r="A12" s="445" t="s">
        <v>312</v>
      </c>
    </row>
    <row r="13" spans="1:2" x14ac:dyDescent="0.25">
      <c r="A13" s="444" t="s">
        <v>313</v>
      </c>
    </row>
    <row r="15" spans="1:2" ht="15.75" x14ac:dyDescent="0.25">
      <c r="A15" s="445" t="s">
        <v>314</v>
      </c>
    </row>
    <row r="16" spans="1:2" x14ac:dyDescent="0.25">
      <c r="A16" s="444" t="s">
        <v>316</v>
      </c>
    </row>
    <row r="17" spans="1:2" x14ac:dyDescent="0.25">
      <c r="A17" s="444" t="s">
        <v>317</v>
      </c>
    </row>
    <row r="19" spans="1:2" ht="15.75" x14ac:dyDescent="0.25">
      <c r="A19" s="445" t="s">
        <v>315</v>
      </c>
    </row>
    <row r="20" spans="1:2" x14ac:dyDescent="0.25">
      <c r="A20" s="444" t="s">
        <v>355</v>
      </c>
    </row>
    <row r="21" spans="1:2" x14ac:dyDescent="0.25">
      <c r="A21" s="444" t="s">
        <v>356</v>
      </c>
    </row>
    <row r="22" spans="1:2" x14ac:dyDescent="0.25">
      <c r="B22" s="473" t="s">
        <v>340</v>
      </c>
    </row>
    <row r="23" spans="1:2" x14ac:dyDescent="0.25">
      <c r="B23" s="474" t="s">
        <v>341</v>
      </c>
    </row>
    <row r="24" spans="1:2" x14ac:dyDescent="0.25">
      <c r="A24" s="444" t="s">
        <v>319</v>
      </c>
    </row>
    <row r="25" spans="1:2" x14ac:dyDescent="0.25">
      <c r="A25" s="444" t="s">
        <v>357</v>
      </c>
    </row>
    <row r="26" spans="1:2" x14ac:dyDescent="0.25">
      <c r="A26" s="475" t="s">
        <v>358</v>
      </c>
    </row>
    <row r="27" spans="1:2" x14ac:dyDescent="0.25">
      <c r="A27" s="475"/>
    </row>
    <row r="28" spans="1:2" ht="15.75" x14ac:dyDescent="0.25">
      <c r="A28" s="445" t="s">
        <v>359</v>
      </c>
    </row>
    <row r="29" spans="1:2" x14ac:dyDescent="0.25">
      <c r="A29" s="444" t="s">
        <v>360</v>
      </c>
    </row>
    <row r="30" spans="1:2" x14ac:dyDescent="0.25">
      <c r="A30" s="444" t="s">
        <v>361</v>
      </c>
    </row>
    <row r="31" spans="1:2" x14ac:dyDescent="0.25">
      <c r="A31" s="444" t="s">
        <v>362</v>
      </c>
    </row>
    <row r="33" spans="1:12" ht="15.75" x14ac:dyDescent="0.25">
      <c r="A33" s="445" t="s">
        <v>337</v>
      </c>
    </row>
    <row r="34" spans="1:12" x14ac:dyDescent="0.25">
      <c r="A34" s="444" t="s">
        <v>338</v>
      </c>
    </row>
    <row r="35" spans="1:12" x14ac:dyDescent="0.25">
      <c r="A35" s="444" t="s">
        <v>339</v>
      </c>
    </row>
    <row r="37" spans="1:12" x14ac:dyDescent="0.25">
      <c r="A37" s="446" t="s">
        <v>320</v>
      </c>
    </row>
    <row r="38" spans="1:12" x14ac:dyDescent="0.25">
      <c r="B38" s="457" t="s">
        <v>343</v>
      </c>
    </row>
    <row r="39" spans="1:12" x14ac:dyDescent="0.25">
      <c r="B39" s="447"/>
    </row>
    <row r="41" spans="1:12" x14ac:dyDescent="0.25">
      <c r="A41" s="476" t="s">
        <v>363</v>
      </c>
    </row>
    <row r="42" spans="1:12" x14ac:dyDescent="0.25">
      <c r="A42" s="477" t="s">
        <v>364</v>
      </c>
    </row>
    <row r="43" spans="1:12" x14ac:dyDescent="0.25">
      <c r="A43" s="477"/>
    </row>
    <row r="44" spans="1:12" ht="15.75" x14ac:dyDescent="0.25">
      <c r="A44" s="478" t="s">
        <v>365</v>
      </c>
      <c r="L44" s="479" t="s">
        <v>304</v>
      </c>
    </row>
    <row r="45" spans="1:12" x14ac:dyDescent="0.25">
      <c r="A45" s="482" t="s">
        <v>367</v>
      </c>
      <c r="B45" s="480"/>
      <c r="C45" s="480"/>
      <c r="L45" s="481" t="s">
        <v>366</v>
      </c>
    </row>
    <row r="46" spans="1:12" ht="15.75" x14ac:dyDescent="0.25">
      <c r="A46" s="482" t="s">
        <v>369</v>
      </c>
      <c r="B46" s="483"/>
      <c r="C46" s="483"/>
      <c r="D46" s="484"/>
      <c r="L46" s="485" t="s">
        <v>368</v>
      </c>
    </row>
    <row r="47" spans="1:12" ht="15.75" x14ac:dyDescent="0.25">
      <c r="A47" s="482" t="s">
        <v>371</v>
      </c>
      <c r="B47" s="483"/>
      <c r="C47" s="483"/>
      <c r="D47" s="484"/>
      <c r="L47" s="485" t="s">
        <v>370</v>
      </c>
    </row>
    <row r="48" spans="1:12" ht="15.75" x14ac:dyDescent="0.25">
      <c r="A48" s="482" t="s">
        <v>373</v>
      </c>
      <c r="B48" s="483"/>
      <c r="C48" s="483"/>
      <c r="D48" s="484"/>
      <c r="L48" s="485" t="s">
        <v>372</v>
      </c>
    </row>
    <row r="49" spans="1:12" x14ac:dyDescent="0.25">
      <c r="A49" s="482" t="s">
        <v>374</v>
      </c>
      <c r="B49" s="483"/>
      <c r="C49" s="483"/>
      <c r="D49" s="484"/>
    </row>
    <row r="50" spans="1:12" x14ac:dyDescent="0.25">
      <c r="A50" s="486"/>
      <c r="L50" s="481"/>
    </row>
    <row r="51" spans="1:12" ht="15.75" x14ac:dyDescent="0.25">
      <c r="A51" s="478" t="s">
        <v>375</v>
      </c>
    </row>
    <row r="52" spans="1:12" x14ac:dyDescent="0.25">
      <c r="A52" s="487" t="s">
        <v>376</v>
      </c>
    </row>
    <row r="53" spans="1:12" x14ac:dyDescent="0.25">
      <c r="A53" s="487" t="s">
        <v>377</v>
      </c>
      <c r="L53" s="488"/>
    </row>
    <row r="54" spans="1:12" x14ac:dyDescent="0.25">
      <c r="A54" s="487" t="s">
        <v>378</v>
      </c>
    </row>
  </sheetData>
  <sheetProtection password="CC2F" sheet="1" objects="1" scenarios="1"/>
  <hyperlinks>
    <hyperlink ref="B38" r:id="rId1"/>
  </hyperlinks>
  <pageMargins left="0.7" right="0.7" top="0.75" bottom="0.75" header="0.3" footer="0.3"/>
  <pageSetup paperSize="9" orientation="portrait" r:id="rId2"/>
</worksheet>
</file>

<file path=xl/worksheets/sheet6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3"/>
  <dimension ref="A4:O31"/>
  <sheetViews>
    <sheetView topLeftCell="A9" workbookViewId="0">
      <selection activeCell="N30" sqref="N30"/>
    </sheetView>
  </sheetViews>
  <sheetFormatPr defaultRowHeight="15" x14ac:dyDescent="0.25"/>
  <sheetData>
    <row r="4" spans="1:15" x14ac:dyDescent="0.25">
      <c r="A4" s="162" t="str">
        <f>IFERROR(CONCATENATE("Zoom Window ",ROUND(-LBP*0.05,3),",",ROUND(Tools!Y_Shift_HB*1.05-SQRT((BREADTH/2)^2+DRAFT^2),3)," ",ROUND(Tools!X_SHIFT_BP*1.05+BREADTH/2,3),",",ROUND(DEPTH*1.05,3)),"")</f>
        <v>Zoom Window -7.31,-32.341 188.356,13.65</v>
      </c>
      <c r="B4" s="163" t="str">
        <f>Tools!L35</f>
        <v xml:space="preserve">Line 0,0 0,13  Line 3.655,0 3.655,13  Line 7.31,0 7.31,13  Line 10.965,0 10.965,13  Line 14.62,0 14.62,13  Line 21.93,0 21.93,13  Line 29.24,0 29.24,13  Line 36.55,0 36.55,13  Line 43.86,0 43.86,13  Line 51.17,0 51.17,13  Line 58.48,0 58.48,13  Line 65.79,0 65.79,13  Line 73.1,0 73.1,13  Line 80.41,0 80.41,13  Line 87.72,0 87.72,13  Line 95.03,0 95.03,13  Line 102.34,0 102.34,13  Line 109.65,0 109.65,13  Line 116.96,0 116.96,13  Line 124.27,0 124.27,13  Line 131.58,0 131.58,13  Line 135.235,0 135.235,13  Line 138.89,0 138.89,13  Line 142.545,0 142.545,13  Line 146.2,0 146.2,13  </v>
      </c>
      <c r="C4" s="164"/>
      <c r="D4" s="146"/>
      <c r="E4" s="162" t="str">
        <f>IFERROR(CONCATENATE("Zoom Window ",LBP*1.05*CAD!$G$2,",",DEPTH*1.05*CAD!$G$3," ",-LBP*0.05*CAD!$G$2,",",-DEPTH*0.05*CAD!$G$3," ",Tools!BV39,Tools!BZ39),"")</f>
        <v xml:space="preserve">Zoom Window 153.51,27.3 -7.31,-1.3 Line 0,0 0,26  Line 0,0 146.2,0  </v>
      </c>
      <c r="F4" s="163" t="str">
        <f>CONCATENATE(Tools!BV40,Tools!BZ40)</f>
        <v xml:space="preserve">Line 3.655,0 3.655,26  Line 0,1 146.2,1  </v>
      </c>
      <c r="H4" t="str">
        <f>Tools!ES125</f>
        <v>Zoom Window -14.62,0,0 160.82,13.2,14.3</v>
      </c>
      <c r="I4" t="s">
        <v>159</v>
      </c>
      <c r="K4" t="str">
        <f>Tools!GD125</f>
        <v>Zoom Window -14.62,0,0</v>
      </c>
      <c r="L4" t="str">
        <f>Tools!GE125</f>
        <v>160.82,13.2,14.3</v>
      </c>
      <c r="N4" t="str">
        <f>Tools!GH125</f>
        <v>Zoom Window -14.62,0,0</v>
      </c>
      <c r="O4" t="str">
        <f>Tools!GI125</f>
        <v>160.82,13.2,14.3</v>
      </c>
    </row>
    <row r="5" spans="1:15" x14ac:dyDescent="0.25">
      <c r="A5" s="165" t="str">
        <f>Tools!M35</f>
        <v xml:space="preserve">Line 0,0 146.2,0  Line 0,0.5 146.2,0.5  Line 0,1 146.2,1  Line 0,1.5 146.2,1.5  Line 0,2 146.2,2  Line 0,4 146.2,4  Line 0,6 146.2,6  Line 0,8 146.2,8  Line 0,9.7 146.2,9.7  Line 0,10 146.2,10  Line 0,12 146.2,12  Line 0,13 146.2,13  </v>
      </c>
      <c r="B5" s="166" t="str">
        <f>Tools!N35</f>
        <v xml:space="preserve">Line 0,-13.167 146.2,-13.167  Line 0,-9.5 146.2,-9.5  Line 0,-5.833 146.2,-5.833  </v>
      </c>
      <c r="C5" s="164"/>
      <c r="D5" s="146"/>
      <c r="E5" s="165" t="str">
        <f>CONCATENATE(Tools!BV41,Tools!BZ41)</f>
        <v xml:space="preserve">Line 7.31,0 7.31,26  Line 0,2 146.2,2  </v>
      </c>
      <c r="F5" s="166" t="str">
        <f>CONCATENATE(Tools!BV42,Tools!BZ42)</f>
        <v xml:space="preserve">Line 10.965,0 10.965,26  Line 0,3 146.2,3  </v>
      </c>
      <c r="H5" t="str">
        <f>Tools!ES126</f>
        <v>Spline 0,0,7 0,0.9,8 0,2.59,9.7 0,2.82,10 0,3.82,12 0,4.24,13  0,0,7</v>
      </c>
      <c r="I5" t="s">
        <v>159</v>
      </c>
      <c r="K5" t="str">
        <f>Tools!GD126</f>
        <v>Spline 0,4.24,13 0,3.82,12 0,2.82,10 0,2.59,9.7 0,0.9,8 0,0,70,0,7</v>
      </c>
      <c r="L5" s="6" t="str">
        <f>Tools!GE126</f>
        <v xml:space="preserve">0,-0.9,8 0,-2.59,9.7 0,-2.82,10 0,-3.82,12 0,-4.24,13 </v>
      </c>
      <c r="N5" t="str">
        <f>Tools!GH126</f>
        <v xml:space="preserve">Spline 0,4.24,13 0,3.82,12 0,2.82,10 0,2.59,9.7 0,0.9,8 0,0,7 </v>
      </c>
      <c r="O5" t="str">
        <f>Tools!GI126</f>
        <v/>
      </c>
    </row>
    <row r="6" spans="1:15" x14ac:dyDescent="0.25">
      <c r="A6" s="165" t="str">
        <f>Tools!O35</f>
        <v xml:space="preserve">Line 0,-16.833 0,-5.833  Line 3.655,-16.833 3.655,-5.833  Line 7.31,-16.833 7.31,-5.833  Line 10.965,-16.833 10.965,-5.833  Line 14.62,-16.833 14.62,-5.833  Line 21.93,-16.833 21.93,-5.833  Line 29.24,-16.833 29.24,-5.833  Line 36.55,-16.833 36.55,-5.833  Line 43.86,-16.833 43.86,-5.833  Line 51.17,-16.833 51.17,-5.833  Line 58.48,-16.833 58.48,-5.833  Line 65.79,-16.833 65.79,-5.833  Line 73.1,-16.833 73.1,-5.833  Line 80.41,-16.833 80.41,-5.833  Line 87.72,-16.833 87.72,-5.833  Line 95.03,-16.833 95.03,-5.833  Line 102.34,-16.833 102.34,-5.833  Line 109.65,-16.833 109.65,-5.833  Line 116.96,-16.833 116.96,-5.833  Line 124.27,-16.833 124.27,-5.833  Line 131.58,-16.833 131.58,-5.833  Line 135.235,-16.833 135.235,-5.833  Line 138.89,-16.833 138.89,-5.833  Line 142.545,-16.833 142.545,-5.833  Line 146.2,-16.833 146.2,-5.833  </v>
      </c>
      <c r="B6" s="166" t="str">
        <f>Tools!P35</f>
        <v xml:space="preserve">Line 157.91,0 179.91,0  Line 157.91,0.5 179.91,0.5  Line 157.91,1 179.91,1  Line 157.91,1.5 179.91,1.5  Line 157.91,2 179.91,2  Line 157.91,4 179.91,4  Line 157.91,6 179.91,6  Line 157.91,8 179.91,8  Line 157.91,9.7 179.91,9.7  Line 157.91,10 179.91,10  Line 157.91,12 179.91,12  Line 157.91,13 179.91,13  </v>
      </c>
      <c r="C6" s="164"/>
      <c r="D6" s="146"/>
      <c r="E6" s="165" t="str">
        <f>CONCATENATE(Tools!BV43,Tools!BZ43)</f>
        <v xml:space="preserve">Line 14.62,0 14.62,26  Line 0,4 146.2,4  </v>
      </c>
      <c r="F6" s="166" t="str">
        <f>CONCATENATE(Tools!BV44,Tools!BZ44)</f>
        <v xml:space="preserve">Line 21.93,0 21.93,26  Line 0,8 146.2,8  </v>
      </c>
      <c r="H6" t="str">
        <f ca="1">Tools!ES127</f>
        <v xml:space="preserve">Spline 3.655,0,0 3.655,0.1,0 3.655,0.2,0.5 3.655,0.2,1 3.655,0.21,1.5 3.655,0.25,2 3.655,0.33,4 3.655,0.66,6 3.655,2.43,8 3.655,4.18,9.7 3.655,4.39,10 3.655,5.43,12 3.655,5.85,13  </v>
      </c>
      <c r="I6" t="s">
        <v>159</v>
      </c>
      <c r="K6" t="str">
        <f ca="1">Tools!GD127</f>
        <v>Spline 3.655,5.85,13 3.655,5.43,12 3.655,4.39,10 3.655,4.18,9.7 3.655,2.43,8 3.655,0.66,6 3.655,0.33,4 3.655,0.25,2 3.655,0.21,1.5 3.655,0.2,1 3.655,0.2,0.5 3.655,0.1,0 3.655,0,0</v>
      </c>
      <c r="L6" s="6" t="str">
        <f>Tools!GE127</f>
        <v xml:space="preserve">3.655,-0.1,0 3.655,-0.2,0.5 3.655,-0.2,1 3.655,-0.21,1.5 3.655,-0.25,2 3.655,-0.33,4 3.655,-0.66,6 3.655,-2.43,8 3.655,-4.18,9.7 3.655,-4.39,10 3.655,-5.43,12 3.655,-5.85,13 </v>
      </c>
      <c r="N6" t="str">
        <f>Tools!GH127</f>
        <v xml:space="preserve">Spline 3.655,5.85,13 3.655,5.43,12 3.655,4.39,10 3.655,4.18,9.7 3.655,2.43,8 3.655,0.66,6 3.655,0.33,4 3.655,0.25,2 3.655,0.21,1.5 3.655,0.2,1 3.655,0.2,0.5 3.655,0.1,0 T 3.655,0,0 </v>
      </c>
      <c r="O6" t="str">
        <f>Tools!GI127</f>
        <v xml:space="preserve">Spline 3.655,0.1,0 3.655,0,0  Join 3.655,0,0  3.655,5.85,13 </v>
      </c>
    </row>
    <row r="7" spans="1:15" x14ac:dyDescent="0.25">
      <c r="A7" s="165" t="str">
        <f>Tools!Q35</f>
        <v xml:space="preserve">Line 165.243,0 165.243,13  Line 161.577,0 161.577,13  Line 157.91,0 157.91,13  </v>
      </c>
      <c r="B7" s="166" t="str">
        <f>Tools!R35</f>
        <v xml:space="preserve">Line 172.577,0 172.577,13  Line 176.243,0 176.243,13  Line 179.91,0 179.91,13  </v>
      </c>
      <c r="C7" s="164"/>
      <c r="D7" s="146"/>
      <c r="E7" s="165" t="str">
        <f>CONCATENATE(Tools!BV45,Tools!BZ45)</f>
        <v xml:space="preserve">Line 29.24,0 29.24,26  Line 0,12 146.2,12  </v>
      </c>
      <c r="F7" s="166" t="str">
        <f>CONCATENATE(Tools!BV46,Tools!BZ46)</f>
        <v xml:space="preserve">Line 36.55,0 36.55,26  Line 0,16 146.2,16  </v>
      </c>
      <c r="H7" t="str">
        <f ca="1">Tools!ES128</f>
        <v xml:space="preserve">Spline 7.31,0,0 7.31,0.3,0 7.31,0.5,0.5 7.31,0.68,1 7.31,0.83,1.5 7.31,0.98,2 7.31,1.44,4 7.31,2.27,6 7.31,4.01,8 7.31,5.57,9.7 7.31,5.78,10 7.31,6.8,12 7.31,7.27,13  </v>
      </c>
      <c r="I7" t="s">
        <v>159</v>
      </c>
      <c r="K7" t="str">
        <f ca="1">Tools!GD128</f>
        <v>Spline 7.31,7.27,13 7.31,6.8,12 7.31,5.78,10 7.31,5.57,9.7 7.31,4.01,8 7.31,2.27,6 7.31,1.44,4 7.31,0.98,2 7.31,0.83,1.5 7.31,0.68,1 7.31,0.5,0.5 7.31,0.3,0 7.31,0,0</v>
      </c>
      <c r="L7" s="6" t="str">
        <f>Tools!GE128</f>
        <v xml:space="preserve">7.31,-0.3,0 7.31,-0.5,0.5 7.31,-0.68,1 7.31,-0.83,1.5 7.31,-0.98,2 7.31,-1.44,4 7.31,-2.27,6 7.31,-4.01,8 7.31,-5.57,9.7 7.31,-5.78,10 7.31,-6.8,12 7.31,-7.27,13 </v>
      </c>
      <c r="N7" t="str">
        <f>Tools!GH128</f>
        <v xml:space="preserve">Spline 7.31,7.27,13 7.31,6.8,12 7.31,5.78,10 7.31,5.57,9.7 7.31,4.01,8 7.31,2.27,6 7.31,1.44,4 7.31,0.98,2 7.31,0.83,1.5 7.31,0.68,1 7.31,0.5,0.5 7.31,0.3,0 T 7.31,0,0 </v>
      </c>
      <c r="O7" t="str">
        <f>Tools!GI128</f>
        <v xml:space="preserve">Spline 7.31,0.3,0 7.31,0,0  Join 7.31,0,0  7.31,7.27,13 </v>
      </c>
    </row>
    <row r="8" spans="1:15" x14ac:dyDescent="0.25">
      <c r="A8" s="165" t="str">
        <f>Tools!L36</f>
        <v xml:space="preserve">Line 0,-16.833 146.2,-16.833  </v>
      </c>
      <c r="B8" s="166" t="str">
        <f>Tools!M36</f>
        <v xml:space="preserve">Line 0,-31.499 146.2,-31.499  </v>
      </c>
      <c r="C8" s="164"/>
      <c r="D8" s="146"/>
      <c r="E8" s="165" t="str">
        <f>CONCATENATE(Tools!BV47,Tools!BZ47)</f>
        <v xml:space="preserve">Line 43.86,0 43.86,26  Line 0,19.4 146.2,19.4  </v>
      </c>
      <c r="F8" s="166" t="str">
        <f>CONCATENATE(Tools!BV48,Tools!BZ48)</f>
        <v xml:space="preserve">Line 51.17,0 51.17,26  Line 0,20 146.2,20  </v>
      </c>
      <c r="H8" t="str">
        <f ca="1">Tools!ES129</f>
        <v xml:space="preserve">Spline 10.965,0,0 10.965,0.5,0 10.965,0.99,0.5 10.965,1.35,1 10.965,1.65,1.5 10.965,1.89,2 10.965,2.81,4 10.965,3.86,6 10.965,5.5,8 10.965,6.82,9.7 10.965,7.01,10 10.965,7.98,12 10.965,8.42,13  </v>
      </c>
      <c r="I8" t="s">
        <v>159</v>
      </c>
      <c r="K8" t="str">
        <f ca="1">Tools!GD129</f>
        <v>Spline 10.965,8.42,13 10.965,7.98,12 10.965,7.01,10 10.965,6.82,9.7 10.965,5.5,8 10.965,3.86,6 10.965,2.81,4 10.965,1.89,2 10.965,1.65,1.5 10.965,1.35,1 10.965,0.99,0.5 10.965,0.5,0 10.965,0,0</v>
      </c>
      <c r="L8" s="6" t="str">
        <f>Tools!GE129</f>
        <v xml:space="preserve">10.965,-0.5,0 10.965,-0.99,0.5 10.965,-1.35,1 10.965,-1.65,1.5 10.965,-1.89,2 10.965,-2.81,4 10.965,-3.86,6 10.965,-5.5,8 10.965,-6.82,9.7 10.965,-7.01,10 10.965,-7.98,12 10.965,-8.42,13 </v>
      </c>
      <c r="N8" t="str">
        <f>Tools!GH129</f>
        <v xml:space="preserve">Spline 10.965,8.42,13 10.965,7.98,12 10.965,7.01,10 10.965,6.82,9.7 10.965,5.5,8 10.965,3.86,6 10.965,2.81,4 10.965,1.89,2 10.965,1.65,1.5 10.965,1.35,1 10.965,0.99,0.5 10.965,0.5,0 T 10.965,0,0 </v>
      </c>
      <c r="O8" t="str">
        <f>Tools!GI129</f>
        <v xml:space="preserve">Spline 10.965,0.5,0 10.965,0,0  Join 10.965,0,0  10.965,8.42,13 </v>
      </c>
    </row>
    <row r="9" spans="1:15" x14ac:dyDescent="0.25">
      <c r="A9" s="165" t="str">
        <f>Tools!N36</f>
        <v xml:space="preserve">Line 0,-16.833 0,-31.499  </v>
      </c>
      <c r="B9" s="166" t="str">
        <f>Tools!O36</f>
        <v xml:space="preserve">Line 146.2,-16.833 146.2,-31.499  </v>
      </c>
      <c r="C9" s="164"/>
      <c r="D9" s="146"/>
      <c r="E9" s="165" t="str">
        <f>CONCATENATE(Tools!BV49,Tools!BZ49)</f>
        <v xml:space="preserve">Line 58.48,0 58.48,26  Line 0,24 146.2,24  </v>
      </c>
      <c r="F9" s="166" t="str">
        <f>CONCATENATE(Tools!BV50,Tools!BZ50)</f>
        <v xml:space="preserve">Line 65.79,0 65.79,26  Line 0,26 146.2,26  </v>
      </c>
      <c r="H9" t="str">
        <f ca="1">Tools!ES130</f>
        <v xml:space="preserve">Spline 14.62,0,0 14.62,0.9,0 14.62,1.59,0.5 14.62,2.14,1 14.62,2.59,1.5 14.62,2.93,2 14.62,4.17,4 14.62,5.28,6 14.62,6.7,8 14.62,7.89,9.7 14.62,8.04,10 14.62,8.94,12 14.62,9.3,13  </v>
      </c>
      <c r="I9" t="s">
        <v>159</v>
      </c>
      <c r="K9" t="str">
        <f ca="1">Tools!GD130</f>
        <v>Spline 14.62,9.3,13 14.62,8.94,12 14.62,8.04,10 14.62,7.89,9.7 14.62,6.7,8 14.62,5.28,6 14.62,4.17,4 14.62,2.93,2 14.62,2.59,1.5 14.62,2.14,1 14.62,1.59,0.5 14.62,0.9,0 14.62,0,0</v>
      </c>
      <c r="L9" s="6" t="str">
        <f>Tools!GE130</f>
        <v xml:space="preserve">14.62,-0.9,0 14.62,-1.59,0.5 14.62,-2.14,1 14.62,-2.59,1.5 14.62,-2.93,2 14.62,-4.17,4 14.62,-5.28,6 14.62,-6.7,8 14.62,-7.89,9.7 14.62,-8.04,10 14.62,-8.94,12 14.62,-9.3,13 </v>
      </c>
      <c r="N9" t="str">
        <f>Tools!GH130</f>
        <v xml:space="preserve">Spline 14.62,9.3,13 14.62,8.94,12 14.62,8.04,10 14.62,7.89,9.7 14.62,6.7,8 14.62,5.28,6 14.62,4.17,4 14.62,2.93,2 14.62,2.59,1.5 14.62,2.14,1 14.62,1.59,0.5 14.62,0.9,0 T 14.62,0,0 </v>
      </c>
      <c r="O9" t="str">
        <f>Tools!GI130</f>
        <v xml:space="preserve">Spline 14.62,0.9,0 14.62,0,0  Join 14.62,0,0  14.62,9.3,13 </v>
      </c>
    </row>
    <row r="10" spans="1:15" x14ac:dyDescent="0.25">
      <c r="A10" s="523" t="str">
        <f>Tools!P36</f>
        <v xml:space="preserve">Line 168.91,0 168.91,13 </v>
      </c>
      <c r="B10" s="524"/>
      <c r="C10" s="164"/>
      <c r="D10" s="146"/>
      <c r="E10" s="165" t="str">
        <f>CONCATENATE(Tools!BV51,Tools!BZ51)</f>
        <v xml:space="preserve">Line 73.1,0 73.1,26  </v>
      </c>
      <c r="F10" s="166" t="str">
        <f>CONCATENATE(Tools!BV52,Tools!BZ52)</f>
        <v xml:space="preserve">Line 80.41,0 80.41,26  </v>
      </c>
      <c r="H10" t="str">
        <f ca="1">Tools!ES131</f>
        <v xml:space="preserve">Spline 21.93,0,0 21.93,1.9,0 21.93,3.32,0.5 21.93,4.17,1 21.93,4.72,1.5 21.93,5.15,2 21.93,6.67,4 21.93,7.76,6 21.93,8.65,8 21.93,9.43,9.7 21.93,9.54,10 21.93,10.1,12 21.93,10.44,13  </v>
      </c>
      <c r="I10" t="s">
        <v>159</v>
      </c>
      <c r="K10" t="str">
        <f ca="1">Tools!GD131</f>
        <v>Spline 21.93,10.44,13 21.93,10.1,12 21.93,9.54,10 21.93,9.43,9.7 21.93,8.65,8 21.93,7.76,6 21.93,6.67,4 21.93,5.15,2 21.93,4.72,1.5 21.93,4.17,1 21.93,3.32,0.5 21.93,1.9,0 21.93,0,0</v>
      </c>
      <c r="L10" s="6" t="str">
        <f>Tools!GE131</f>
        <v xml:space="preserve">21.93,-1.9,0 21.93,-3.32,0.5 21.93,-4.17,1 21.93,-4.72,1.5 21.93,-5.15,2 21.93,-6.67,4 21.93,-7.76,6 21.93,-8.65,8 21.93,-9.43,9.7 21.93,-9.54,10 21.93,-10.1,12 21.93,-10.44,13 </v>
      </c>
      <c r="N10" t="str">
        <f>Tools!GH131</f>
        <v xml:space="preserve">Spline 21.93,10.44,13 21.93,10.1,12 21.93,9.54,10 21.93,9.43,9.7 21.93,8.65,8 21.93,7.76,6 21.93,6.67,4 21.93,5.15,2 21.93,4.72,1.5 21.93,4.17,1 21.93,3.32,0.5 21.93,1.9,0 T 21.93,0,0 </v>
      </c>
      <c r="O10" t="str">
        <f>Tools!GI131</f>
        <v xml:space="preserve">Spline 21.93,1.9,0 21.93,0,0  Join 21.93,0,0  21.93,10.44,13 </v>
      </c>
    </row>
    <row r="11" spans="1:15" x14ac:dyDescent="0.25">
      <c r="A11" s="175" t="str">
        <f>IFERROR(CONCATENATE("Group Name Profile ",ROUND(LBP*1.05,3),",",ROUND(DEPTH*1.05,3)," ",ROUND(-LBP*0.05,3),",",-ROUND(DEPTH*0.05,3)," "),"")</f>
        <v xml:space="preserve">Group Name Profile 153.51,13.65 -7.31,-0.65 </v>
      </c>
      <c r="B11" s="166"/>
      <c r="C11" s="164"/>
      <c r="D11" s="146"/>
      <c r="E11" s="165" t="str">
        <f>CONCATENATE(Tools!BV53,Tools!BZ53)</f>
        <v xml:space="preserve">Line 87.72,0 87.72,26  </v>
      </c>
      <c r="F11" s="166" t="str">
        <f>CONCATENATE(Tools!BV54,Tools!BZ54)</f>
        <v xml:space="preserve">Line 95.03,0 95.03,26  </v>
      </c>
      <c r="H11" t="str">
        <f ca="1">Tools!ES132</f>
        <v xml:space="preserve">Spline 29.24,0,0 29.24,3.8,0 29.24,5.33,0.5 29.24,6.26,1 29.24,6.83,1.5 29.24,7.29,2 29.24,8.61,4 29.24,9.45,6 29.24,10.1,8 29.24,10.45,9.7 29.24,10.5,10 29.24,10.8,12 29.24,10.87,13  </v>
      </c>
      <c r="I11" t="s">
        <v>159</v>
      </c>
      <c r="K11" t="str">
        <f ca="1">Tools!GD132</f>
        <v>Spline 29.24,10.87,13 29.24,10.8,12 29.24,10.5,10 29.24,10.45,9.7 29.24,10.1,8 29.24,9.45,6 29.24,8.61,4 29.24,7.29,2 29.24,6.83,1.5 29.24,6.26,1 29.24,5.33,0.5 29.24,3.8,0 29.24,0,0</v>
      </c>
      <c r="L11" s="6" t="str">
        <f>Tools!GE132</f>
        <v xml:space="preserve">29.24,-3.8,0 29.24,-5.33,0.5 29.24,-6.26,1 29.24,-6.83,1.5 29.24,-7.29,2 29.24,-8.61,4 29.24,-9.45,6 29.24,-10.1,8 29.24,-10.45,9.7 29.24,-10.5,10 29.24,-10.8,12 29.24,-10.87,13 </v>
      </c>
      <c r="N11" t="str">
        <f>Tools!GH132</f>
        <v xml:space="preserve">Spline 29.24,10.87,13 29.24,10.8,12 29.24,10.5,10 29.24,10.45,9.7 29.24,10.1,8 29.24,9.45,6 29.24,8.61,4 29.24,7.29,2 29.24,6.83,1.5 29.24,6.26,1 29.24,5.33,0.5 29.24,3.8,0 T 29.24,0,0 </v>
      </c>
      <c r="O11" t="str">
        <f>Tools!GI132</f>
        <v xml:space="preserve">Spline 29.24,3.8,0 29.24,0,0  Join 29.24,0,0  29.24,10.87,13 </v>
      </c>
    </row>
    <row r="12" spans="1:15" x14ac:dyDescent="0.25">
      <c r="A12" s="175" t="str">
        <f>IFERROR(CONCATENATE("Group Name Halfbreadth ",ROUND(LBP*1.05,3),",",-ROUND((BREADTH/6+DEPTH/6)*0.95,3)," ",ROUND(-LBP*0.05,3),",",ROUND(-(DEPTH/6+10/6*BREADTH)*1.05,3)," "),"")</f>
        <v xml:space="preserve">Group Name Halfbreadth 153.51,-5.542 -7.31,-40.775 </v>
      </c>
      <c r="B12" s="166"/>
      <c r="C12" s="164"/>
      <c r="D12" s="146"/>
      <c r="E12" s="165" t="str">
        <f>CONCATENATE(Tools!BV55,Tools!BZ55)</f>
        <v xml:space="preserve">Line 102.34,0 102.34,26  </v>
      </c>
      <c r="F12" s="166" t="str">
        <f>CONCATENATE(Tools!BV56,Tools!BZ56)</f>
        <v xml:space="preserve">Line 109.65,0 109.65,26  </v>
      </c>
      <c r="H12" t="str">
        <f ca="1">Tools!ES133</f>
        <v xml:space="preserve">Spline 36.55,0,0 36.55,5.9,0 36.55,7.26,0.5 36.55,8.12,1 36.55,8.7,1.5 36.55,9.07,2 36.55,9.95,4 36.55,10.3,6 36.55,10.58,8 36.55,10.72,9.7 36.55,10.74,10 36.55,10.9,12 36.55,11,13  </v>
      </c>
      <c r="I12" t="s">
        <v>159</v>
      </c>
      <c r="K12" t="str">
        <f ca="1">Tools!GD133</f>
        <v>Spline 36.55,11,13 36.55,10.9,12 36.55,10.74,10 36.55,10.72,9.7 36.55,10.58,8 36.55,10.3,6 36.55,9.95,4 36.55,9.07,2 36.55,8.7,1.5 36.55,8.12,1 36.55,7.26,0.5 36.55,5.9,0 36.55,0,0</v>
      </c>
      <c r="L12" s="6" t="str">
        <f>Tools!GE133</f>
        <v xml:space="preserve">36.55,-5.9,0 36.55,-7.26,0.5 36.55,-8.12,1 36.55,-8.7,1.5 36.55,-9.07,2 36.55,-9.95,4 36.55,-10.3,6 36.55,-10.58,8 36.55,-10.72,9.7 36.55,-10.74,10 36.55,-10.9,12 36.55,-11,13 </v>
      </c>
      <c r="N12" t="str">
        <f>Tools!GH133</f>
        <v xml:space="preserve">Spline 36.55,11,13 36.55,10.9,12 36.55,10.74,10 36.55,10.72,9.7 36.55,10.58,8 36.55,10.3,6 36.55,9.95,4 36.55,9.07,2 36.55,8.7,1.5 36.55,8.12,1 36.55,7.26,0.5 36.55,5.9,0 T 36.55,0,0 </v>
      </c>
      <c r="O12" t="str">
        <f>Tools!GI133</f>
        <v xml:space="preserve">Spline 36.55,5.9,0 36.55,0,0  Join 36.55,0,0  36.55,11,13 </v>
      </c>
    </row>
    <row r="13" spans="1:15" x14ac:dyDescent="0.25">
      <c r="A13" s="176" t="str">
        <f>IFERROR(CONCATENATE("Group Name Bodyplan ",ROUND(Tools!X_SHIFT_BP+BREADTH*1.1/2,3),",",ROUND(DEPTH*1.05,3)," ",ROUND((Tools!X_SHIFT_BP-1.05*BREADTH/2),3),",",-ROUND((DEPTH)*0.05,3)," "),"")</f>
        <v xml:space="preserve">Group Name Bodyplan 181.01,13.65 157.36,-0.65 </v>
      </c>
      <c r="B13" s="177"/>
      <c r="C13" s="164"/>
      <c r="D13" s="146"/>
      <c r="E13" s="165" t="str">
        <f>CONCATENATE(Tools!BV57,Tools!BZ57)</f>
        <v xml:space="preserve">Line 116.96,0 116.96,26  </v>
      </c>
      <c r="F13" s="166" t="str">
        <f>CONCATENATE(Tools!BV58,Tools!BZ58)</f>
        <v xml:space="preserve">Line 124.27,0 124.27,26  </v>
      </c>
      <c r="H13" t="str">
        <f ca="1">Tools!ES134</f>
        <v xml:space="preserve">Spline 43.86,0,0 43.86,7.9,0 43.86,8.9,0.5 43.86,9.5,1 43.86,9.94,1.5 43.86,10.2,2 43.86,10.8,4 43.86,10.9,6 43.86,11,8 43.86,11,9.7 43.86,11,10 43.86,11,12 43.86,11,13  </v>
      </c>
      <c r="I13" t="s">
        <v>159</v>
      </c>
      <c r="K13" t="str">
        <f ca="1">Tools!GD134</f>
        <v>Spline 43.86,11,13 43.86,11,12 43.86,11,10 43.86,11,9.7 43.86,11,8 43.86,10.9,6 43.86,10.8,4 43.86,10.2,2 43.86,9.94,1.5 43.86,9.5,1 43.86,8.9,0.5 43.86,7.9,0 43.86,0,0</v>
      </c>
      <c r="L13" s="6" t="str">
        <f>Tools!GE134</f>
        <v xml:space="preserve">43.86,-7.9,0 43.86,-8.9,0.5 43.86,-9.5,1 43.86,-9.94,1.5 43.86,-10.2,2 43.86,-10.8,4 43.86,-10.9,6 43.86,-11,8 43.86,-11,9.7 43.86,-11,10 43.86,-11,12 43.86,-11,13 </v>
      </c>
      <c r="N13" t="str">
        <f>Tools!GH134</f>
        <v xml:space="preserve">Spline 43.86,11,13 43.86,11,12 43.86,11,10 43.86,11,9.7 43.86,11,8 43.86,10.9,6 43.86,10.8,4 43.86,10.2,2 43.86,9.94,1.5 43.86,9.5,1 43.86,8.9,0.5 43.86,7.9,0 T 43.86,0,0 </v>
      </c>
      <c r="O13" t="str">
        <f>Tools!GI134</f>
        <v xml:space="preserve">Spline 43.86,7.9,0 43.86,0,0  Join 43.86,0,0  43.86,11,13 </v>
      </c>
    </row>
    <row r="14" spans="1:15" x14ac:dyDescent="0.25">
      <c r="A14" s="146"/>
      <c r="B14" s="146"/>
      <c r="C14" s="146"/>
      <c r="D14" s="146"/>
      <c r="E14" s="165" t="str">
        <f>CONCATENATE(Tools!BV59,Tools!BZ59)</f>
        <v xml:space="preserve">Line 131.58,0 131.58,26  </v>
      </c>
      <c r="F14" s="166" t="str">
        <f>CONCATENATE(Tools!BV60,Tools!BZ60)</f>
        <v xml:space="preserve">Line 135.235,0 135.235,26  </v>
      </c>
      <c r="H14" t="str">
        <f ca="1">Tools!ES135</f>
        <v xml:space="preserve">Spline 51.17,0,0 51.17,9,0 51.17,9.83,0.5 51.17,10.3,1 51.17,10.6,1.5 51.17,10.8,2 51.17,11,4 51.17,11,6 51.17,11,8 51.17,11,9.7 51.17,11,10 51.17,11,12 51.17,11,13  </v>
      </c>
      <c r="I14" t="s">
        <v>159</v>
      </c>
      <c r="K14" t="str">
        <f ca="1">Tools!GD135</f>
        <v>Spline 51.17,11,13 51.17,11,12 51.17,11,10 51.17,11,9.7 51.17,11,8 51.17,11,6 51.17,11,4 51.17,10.8,2 51.17,10.6,1.5 51.17,10.3,1 51.17,9.83,0.5 51.17,9,0 51.17,0,0</v>
      </c>
      <c r="L14" s="6" t="str">
        <f>Tools!GE135</f>
        <v xml:space="preserve">51.17,-9,0 51.17,-9.83,0.5 51.17,-10.3,1 51.17,-10.6,1.5 51.17,-10.8,2 51.17,-11,4 51.17,-11,6 51.17,-11,8 51.17,-11,9.7 51.17,-11,10 51.17,-11,12 51.17,-11,13 </v>
      </c>
      <c r="N14" t="str">
        <f>Tools!GH135</f>
        <v xml:space="preserve">Spline 51.17,11,13 51.17,11,12 51.17,11,10 51.17,11,9.7 51.17,11,8 51.17,11,6 51.17,11,4 51.17,10.8,2 51.17,10.6,1.5 51.17,10.3,1 51.17,9.83,0.5 51.17,9,0 T 51.17,0,0 </v>
      </c>
      <c r="O14" t="str">
        <f>Tools!GI135</f>
        <v xml:space="preserve">Spline 51.17,9,0 51.17,0,0  Join 51.17,0,0  51.17,11,13 </v>
      </c>
    </row>
    <row r="15" spans="1:15" x14ac:dyDescent="0.25">
      <c r="A15" s="146"/>
      <c r="B15" s="146"/>
      <c r="C15" s="146"/>
      <c r="D15" s="146"/>
      <c r="E15" s="165" t="str">
        <f>CONCATENATE(Tools!BV61,Tools!BZ61)</f>
        <v xml:space="preserve">Line 138.89,0 138.89,26  </v>
      </c>
      <c r="F15" s="166" t="str">
        <f>CONCATENATE(Tools!BV62,Tools!BZ62)</f>
        <v xml:space="preserve">Line 142.545,0 142.545,26  </v>
      </c>
      <c r="H15" t="str">
        <f ca="1">Tools!ES136</f>
        <v xml:space="preserve">Spline 58.48,0,0 58.48,9.5,0 58.48,10.33,0.5 58.48,10.67,1 58.48,10.9,1.5 58.48,11,2 58.48,11,4 58.48,11,6 58.48,11,8 58.48,11,9.7 58.48,11,10 58.48,11,12 58.48,11,13  </v>
      </c>
      <c r="I15" t="s">
        <v>159</v>
      </c>
      <c r="K15" t="str">
        <f ca="1">Tools!GD136</f>
        <v>Spline 58.48,11,13 58.48,11,12 58.48,11,10 58.48,11,9.7 58.48,11,8 58.48,11,6 58.48,11,4 58.48,11,2 58.48,10.9,1.5 58.48,10.67,1 58.48,10.33,0.5 58.48,9.5,0 58.48,0,0</v>
      </c>
      <c r="L15" s="6" t="str">
        <f>Tools!GE136</f>
        <v xml:space="preserve">58.48,-9.5,0 58.48,-10.33,0.5 58.48,-10.67,1 58.48,-10.9,1.5 58.48,-11,2 58.48,-11,4 58.48,-11,6 58.48,-11,8 58.48,-11,9.7 58.48,-11,10 58.48,-11,12 58.48,-11,13 </v>
      </c>
      <c r="N15" t="str">
        <f>Tools!GH136</f>
        <v xml:space="preserve">Spline 58.48,11,13 58.48,11,12 58.48,11,10 58.48,11,9.7 58.48,11,8 58.48,11,6 58.48,11,4 58.48,11,2 58.48,10.9,1.5 58.48,10.67,1 58.48,10.33,0.5 58.48,9.5,0 T 58.48,0,0 </v>
      </c>
      <c r="O15" t="str">
        <f>Tools!GI136</f>
        <v xml:space="preserve">Spline 58.48,9.5,0 58.48,0,0  Join 58.48,0,0  58.48,11,13 </v>
      </c>
    </row>
    <row r="16" spans="1:15" x14ac:dyDescent="0.25">
      <c r="A16" s="146"/>
      <c r="B16" s="146"/>
      <c r="C16" s="146"/>
      <c r="D16" s="146"/>
      <c r="E16" s="178" t="str">
        <f>CONCATENATE(Tools!BV63,Tools!BZ63)</f>
        <v xml:space="preserve">Line 146.2,0 146.2,26  </v>
      </c>
      <c r="F16" s="177"/>
      <c r="H16" t="str">
        <f ca="1">Tools!ES137</f>
        <v xml:space="preserve">Spline 65.79,0,0 65.79,9.7,0 65.79,10.45,0.5 65.79,10.75,1 65.79,10.93,1.5 65.79,11,2 65.79,11,4 65.79,11,6 65.79,11,8 65.79,11,9.7 65.79,11,10 65.79,11,12 65.79,11,13  </v>
      </c>
      <c r="I16" t="s">
        <v>159</v>
      </c>
      <c r="K16" t="str">
        <f ca="1">Tools!GD137</f>
        <v>Spline 65.79,11,13 65.79,11,12 65.79,11,10 65.79,11,9.7 65.79,11,8 65.79,11,6 65.79,11,4 65.79,11,2 65.79,10.93,1.5 65.79,10.75,1 65.79,10.45,0.5 65.79,9.7,0 65.79,0,0</v>
      </c>
      <c r="L16" s="6" t="str">
        <f>Tools!GE137</f>
        <v xml:space="preserve">65.79,-9.7,0 65.79,-10.45,0.5 65.79,-10.75,1 65.79,-10.93,1.5 65.79,-11,2 65.79,-11,4 65.79,-11,6 65.79,-11,8 65.79,-11,9.7 65.79,-11,10 65.79,-11,12 65.79,-11,13 </v>
      </c>
      <c r="N16" t="str">
        <f>Tools!GH137</f>
        <v xml:space="preserve">Spline 65.79,11,13 65.79,11,12 65.79,11,10 65.79,11,9.7 65.79,11,8 65.79,11,6 65.79,11,4 65.79,11,2 65.79,10.93,1.5 65.79,10.75,1 65.79,10.45,0.5 65.79,9.7,0 T 65.79,0,0 </v>
      </c>
      <c r="O16" t="str">
        <f>Tools!GI137</f>
        <v xml:space="preserve">Spline 65.79,9.7,0 65.79,0,0  Join 65.79,0,0  65.79,11,13 </v>
      </c>
    </row>
    <row r="17" spans="8:15" x14ac:dyDescent="0.25">
      <c r="H17" t="str">
        <f ca="1">Tools!ES138</f>
        <v xml:space="preserve">Spline 73.1,0,0 73.1,9.7,0 73.1,10.45,0.5 73.1,10.75,1 73.1,10.93,1.5 73.1,11,2 73.1,11,4 73.1,11,6 73.1,11,8 73.1,11,9.7 73.1,11,10 73.1,11,12 73.1,11,13  </v>
      </c>
      <c r="I17" t="s">
        <v>159</v>
      </c>
      <c r="K17" t="str">
        <f ca="1">Tools!GD138</f>
        <v>Spline 73.1,11,13 73.1,11,12 73.1,11,10 73.1,11,9.7 73.1,11,8 73.1,11,6 73.1,11,4 73.1,11,2 73.1,10.93,1.5 73.1,10.75,1 73.1,10.45,0.5 73.1,9.7,0 73.1,0,0</v>
      </c>
      <c r="L17" s="6" t="str">
        <f>Tools!GE138</f>
        <v xml:space="preserve">73.1,-9.7,0 73.1,-10.45,0.5 73.1,-10.75,1 73.1,-10.93,1.5 73.1,-11,2 73.1,-11,4 73.1,-11,6 73.1,-11,8 73.1,-11,9.7 73.1,-11,10 73.1,-11,12 73.1,-11,13 </v>
      </c>
      <c r="N17" t="str">
        <f>Tools!GH138</f>
        <v xml:space="preserve">Spline 73.1,11,13 73.1,11,12 73.1,11,10 73.1,11,9.7 73.1,11,8 73.1,11,6 73.1,11,4 73.1,11,2 73.1,10.93,1.5 73.1,10.75,1 73.1,10.45,0.5 73.1,9.7,0 T 73.1,0,0 </v>
      </c>
      <c r="O17" t="str">
        <f>Tools!GI138</f>
        <v xml:space="preserve">Spline 73.1,9.7,0 73.1,0,0  Join 73.1,0,0  73.1,11,13 </v>
      </c>
    </row>
    <row r="18" spans="8:15" x14ac:dyDescent="0.25">
      <c r="H18" t="str">
        <f ca="1">Tools!ES139</f>
        <v xml:space="preserve">Spline 80.41,0,0 80.41,9.7,0 80.41,10.45,0.5 80.41,10.75,1 80.41,10.93,1.5 80.41,11,2 80.41,11,4 80.41,11,6 80.41,11,8 80.41,11,9.7 80.41,11,10 80.41,11,12 80.41,11,13  </v>
      </c>
      <c r="I18" t="s">
        <v>159</v>
      </c>
      <c r="K18" t="str">
        <f ca="1">Tools!GD139</f>
        <v>Spline 80.41,11,13 80.41,11,12 80.41,11,10 80.41,11,9.7 80.41,11,8 80.41,11,6 80.41,11,4 80.41,11,2 80.41,10.93,1.5 80.41,10.75,1 80.41,10.45,0.5 80.41,9.7,0 80.41,0,0</v>
      </c>
      <c r="L18" s="6" t="str">
        <f>Tools!GE139</f>
        <v xml:space="preserve">80.41,-9.7,0 80.41,-10.45,0.5 80.41,-10.75,1 80.41,-10.93,1.5 80.41,-11,2 80.41,-11,4 80.41,-11,6 80.41,-11,8 80.41,-11,9.7 80.41,-11,10 80.41,-11,12 80.41,-11,13 </v>
      </c>
      <c r="N18" t="str">
        <f>Tools!GH139</f>
        <v xml:space="preserve">Spline 80.41,11,13 80.41,11,12 80.41,11,10 80.41,11,9.7 80.41,11,8 80.41,11,6 80.41,11,4 80.41,11,2 80.41,10.93,1.5 80.41,10.75,1 80.41,10.45,0.5 80.41,9.7,0 T 80.41,0,0 </v>
      </c>
      <c r="O18" t="str">
        <f>Tools!GI139</f>
        <v xml:space="preserve">Spline 80.41,9.7,0 80.41,0,0  Join 80.41,0,0  80.41,11,13 </v>
      </c>
    </row>
    <row r="19" spans="8:15" x14ac:dyDescent="0.25">
      <c r="H19" t="str">
        <f ca="1">Tools!ES140</f>
        <v xml:space="preserve">Spline 87.72,0,0 87.72,9.7,0 87.72,10.45,0.5 87.72,10.75,1 87.72,10.93,1.5 87.72,11,2 87.72,11,4 87.72,11,6 87.72,11,8 87.72,11,9.7 87.72,11,10 87.72,11,12 87.72,11,13  </v>
      </c>
      <c r="I19" t="s">
        <v>159</v>
      </c>
      <c r="K19" t="str">
        <f ca="1">Tools!GD140</f>
        <v>Spline 87.72,11,13 87.72,11,12 87.72,11,10 87.72,11,9.7 87.72,11,8 87.72,11,6 87.72,11,4 87.72,11,2 87.72,10.93,1.5 87.72,10.75,1 87.72,10.45,0.5 87.72,9.7,0 87.72,0,0</v>
      </c>
      <c r="L19" s="6" t="str">
        <f>Tools!GE140</f>
        <v xml:space="preserve">87.72,-9.7,0 87.72,-10.45,0.5 87.72,-10.75,1 87.72,-10.93,1.5 87.72,-11,2 87.72,-11,4 87.72,-11,6 87.72,-11,8 87.72,-11,9.7 87.72,-11,10 87.72,-11,12 87.72,-11,13 </v>
      </c>
      <c r="N19" t="str">
        <f>Tools!GH140</f>
        <v xml:space="preserve">Spline 87.72,11,13 87.72,11,12 87.72,11,10 87.72,11,9.7 87.72,11,8 87.72,11,6 87.72,11,4 87.72,11,2 87.72,10.93,1.5 87.72,10.75,1 87.72,10.45,0.5 87.72,9.7,0 T 87.72,0,0 </v>
      </c>
      <c r="O19" t="str">
        <f>Tools!GI140</f>
        <v xml:space="preserve">Spline 87.72,9.7,0 87.72,0,0  Join 87.72,0,0  87.72,11,13 </v>
      </c>
    </row>
    <row r="20" spans="8:15" x14ac:dyDescent="0.25">
      <c r="H20" t="str">
        <f ca="1">Tools!ES141</f>
        <v xml:space="preserve">Spline 95.03,0,0 95.03,9.7,0 95.03,10.45,0.5 95.03,10.75,1 95.03,10.93,1.5 95.03,11,2 95.03,11,4 95.03,11,6 95.03,11,8 95.03,11,9.7 95.03,11,10 95.03,11,12 95.03,11,13  </v>
      </c>
      <c r="I20" t="s">
        <v>159</v>
      </c>
      <c r="K20" t="str">
        <f ca="1">Tools!GD141</f>
        <v>Spline 95.03,11,13 95.03,11,12 95.03,11,10 95.03,11,9.7 95.03,11,8 95.03,11,6 95.03,11,4 95.03,11,2 95.03,10.93,1.5 95.03,10.75,1 95.03,10.45,0.5 95.03,9.7,0 95.03,0,0</v>
      </c>
      <c r="L20" s="6" t="str">
        <f>Tools!GE141</f>
        <v xml:space="preserve">95.03,-9.7,0 95.03,-10.45,0.5 95.03,-10.75,1 95.03,-10.93,1.5 95.03,-11,2 95.03,-11,4 95.03,-11,6 95.03,-11,8 95.03,-11,9.7 95.03,-11,10 95.03,-11,12 95.03,-11,13 </v>
      </c>
      <c r="N20" t="str">
        <f>Tools!GH141</f>
        <v xml:space="preserve">Spline 95.03,11,13 95.03,11,12 95.03,11,10 95.03,11,9.7 95.03,11,8 95.03,11,6 95.03,11,4 95.03,11,2 95.03,10.93,1.5 95.03,10.75,1 95.03,10.45,0.5 95.03,9.7,0 T 95.03,0,0 </v>
      </c>
      <c r="O20" t="str">
        <f>Tools!GI141</f>
        <v xml:space="preserve">Spline 95.03,9.7,0 95.03,0,0  Join 95.03,0,0  95.03,11,13 </v>
      </c>
    </row>
    <row r="21" spans="8:15" x14ac:dyDescent="0.25">
      <c r="H21" t="str">
        <f ca="1">Tools!ES142</f>
        <v xml:space="preserve">Spline 102.34,0,0 102.34,9.5,0 102.34,10.32,0.5 102.34,10.66,1 102.34,10.87,1.5 102.34,11,2 102.34,11,4 102.34,11,6 102.34,11,8 102.34,11,9.7 102.34,11,10 102.34,11,12 102.34,11,13  </v>
      </c>
      <c r="I21" t="s">
        <v>159</v>
      </c>
      <c r="K21" t="str">
        <f ca="1">Tools!GD142</f>
        <v>Spline 102.34,11,13 102.34,11,12 102.34,11,10 102.34,11,9.7 102.34,11,8 102.34,11,6 102.34,11,4 102.34,11,2 102.34,10.87,1.5 102.34,10.66,1 102.34,10.32,0.5 102.34,9.5,0 102.34,0,0</v>
      </c>
      <c r="L21" s="6" t="str">
        <f>Tools!GE142</f>
        <v xml:space="preserve">102.34,-9.5,0 102.34,-10.32,0.5 102.34,-10.66,1 102.34,-10.87,1.5 102.34,-11,2 102.34,-11,4 102.34,-11,6 102.34,-11,8 102.34,-11,9.7 102.34,-11,10 102.34,-11,12 102.34,-11,13 </v>
      </c>
      <c r="N21" t="str">
        <f>Tools!GH142</f>
        <v xml:space="preserve">Spline 102.34,11,13 102.34,11,12 102.34,11,10 102.34,11,9.7 102.34,11,8 102.34,11,6 102.34,11,4 102.34,11,2 102.34,10.87,1.5 102.34,10.66,1 102.34,10.32,0.5 102.34,9.5,0 T 102.34,0,0 </v>
      </c>
      <c r="O21" t="str">
        <f>Tools!GI142</f>
        <v xml:space="preserve">Spline 102.34,9.5,0 102.34,0,0  Join 102.34,0,0  102.34,11,13 </v>
      </c>
    </row>
    <row r="22" spans="8:15" x14ac:dyDescent="0.25">
      <c r="H22" t="str">
        <f ca="1">Tools!ES143</f>
        <v xml:space="preserve">Spline 109.65,0,0 109.65,8.9,0 109.65,9.76,0.5 109.65,10.2,1 109.65,10.5,1.5 109.65,10.7,2 109.65,11,4 109.65,11,6 109.65,11,8 109.65,11,9.7 109.65,11,10 109.65,11,12 109.65,11,13  </v>
      </c>
      <c r="I22" t="s">
        <v>159</v>
      </c>
      <c r="K22" t="str">
        <f ca="1">Tools!GD143</f>
        <v>Spline 109.65,11,13 109.65,11,12 109.65,11,10 109.65,11,9.7 109.65,11,8 109.65,11,6 109.65,11,4 109.65,10.7,2 109.65,10.5,1.5 109.65,10.2,1 109.65,9.76,0.5 109.65,8.9,0 109.65,0,0</v>
      </c>
      <c r="L22" s="6" t="str">
        <f>Tools!GE143</f>
        <v xml:space="preserve">109.65,-8.9,0 109.65,-9.76,0.5 109.65,-10.2,1 109.65,-10.5,1.5 109.65,-10.7,2 109.65,-11,4 109.65,-11,6 109.65,-11,8 109.65,-11,9.7 109.65,-11,10 109.65,-11,12 109.65,-11,13 </v>
      </c>
      <c r="N22" t="str">
        <f>Tools!GH143</f>
        <v xml:space="preserve">Spline 109.65,11,13 109.65,11,12 109.65,11,10 109.65,11,9.7 109.65,11,8 109.65,11,6 109.65,11,4 109.65,10.7,2 109.65,10.5,1.5 109.65,10.2,1 109.65,9.76,0.5 109.65,8.9,0 T 109.65,0,0 </v>
      </c>
      <c r="O22" t="str">
        <f>Tools!GI143</f>
        <v xml:space="preserve">Spline 109.65,8.9,0 109.65,0,0  Join 109.65,0,0  109.65,11,13 </v>
      </c>
    </row>
    <row r="23" spans="8:15" x14ac:dyDescent="0.25">
      <c r="H23" t="str">
        <f ca="1">Tools!ES144</f>
        <v xml:space="preserve">Spline 116.96,0,0 116.96,7.6,0 116.96,8.64,0.5 116.96,9.27,1 116.96,9.66,1.5 116.96,9.91,2 116.96,10.5,4 116.96,10.7,6 116.96,10.8,8 116.96,10.89,9.7 116.96,10.9,10 116.96,11,12 116.96,11,13  </v>
      </c>
      <c r="I23" t="s">
        <v>159</v>
      </c>
      <c r="K23" t="str">
        <f ca="1">Tools!GD144</f>
        <v>Spline 116.96,11,13 116.96,11,12 116.96,10.9,10 116.96,10.89,9.7 116.96,10.8,8 116.96,10.7,6 116.96,10.5,4 116.96,9.91,2 116.96,9.66,1.5 116.96,9.27,1 116.96,8.64,0.5 116.96,7.6,0 116.96,0,0</v>
      </c>
      <c r="L23" s="6" t="str">
        <f>Tools!GE144</f>
        <v xml:space="preserve">116.96,-7.6,0 116.96,-8.64,0.5 116.96,-9.27,1 116.96,-9.66,1.5 116.96,-9.91,2 116.96,-10.5,4 116.96,-10.7,6 116.96,-10.8,8 116.96,-10.89,9.7 116.96,-10.9,10 116.96,-11,12 116.96,-11,13 </v>
      </c>
      <c r="N23" t="str">
        <f>Tools!GH144</f>
        <v xml:space="preserve">Spline 116.96,11,13 116.96,11,12 116.96,10.9,10 116.96,10.89,9.7 116.96,10.8,8 116.96,10.7,6 116.96,10.5,4 116.96,9.91,2 116.96,9.66,1.5 116.96,9.27,1 116.96,8.64,0.5 116.96,7.6,0 T 116.96,0,0 </v>
      </c>
      <c r="O23" t="str">
        <f>Tools!GI144</f>
        <v xml:space="preserve">Spline 116.96,7.6,0 116.96,0,0  Join 116.96,0,0  116.96,11,13 </v>
      </c>
    </row>
    <row r="24" spans="8:15" x14ac:dyDescent="0.25">
      <c r="H24" t="str">
        <f ca="1">Tools!ES145</f>
        <v xml:space="preserve">Spline 124.27,0,0 124.27,5.6,0 124.27,6.89,0.5 124.27,7.56,1 124.27,8.04,1.5 124.27,8.42,2 124.27,9.32,4 124.27,9.69,6 124.27,9.99,8 124.27,10.23,9.7 124.27,10.27,10 124.27,10.5,12 124.27,10.62,13  </v>
      </c>
      <c r="I24" t="s">
        <v>159</v>
      </c>
      <c r="K24" t="str">
        <f ca="1">Tools!GD145</f>
        <v>Spline 124.27,10.62,13 124.27,10.5,12 124.27,10.27,10 124.27,10.23,9.7 124.27,9.99,8 124.27,9.69,6 124.27,9.32,4 124.27,8.42,2 124.27,8.04,1.5 124.27,7.56,1 124.27,6.89,0.5 124.27,5.6,0 124.27,0,0</v>
      </c>
      <c r="L24" s="6" t="str">
        <f>Tools!GE145</f>
        <v xml:space="preserve">124.27,-5.6,0 124.27,-6.89,0.5 124.27,-7.56,1 124.27,-8.04,1.5 124.27,-8.42,2 124.27,-9.32,4 124.27,-9.69,6 124.27,-9.99,8 124.27,-10.23,9.7 124.27,-10.27,10 124.27,-10.5,12 124.27,-10.62,13 </v>
      </c>
      <c r="N24" t="str">
        <f>Tools!GH145</f>
        <v xml:space="preserve">Spline 124.27,10.62,13 124.27,10.5,12 124.27,10.27,10 124.27,10.23,9.7 124.27,9.99,8 124.27,9.69,6 124.27,9.32,4 124.27,8.42,2 124.27,8.04,1.5 124.27,7.56,1 124.27,6.89,0.5 124.27,5.6,0 T 124.27,0,0 </v>
      </c>
      <c r="O24" t="str">
        <f>Tools!GI145</f>
        <v xml:space="preserve">Spline 124.27,5.6,0 124.27,0,0  Join 124.27,0,0  124.27,10.62,13 </v>
      </c>
    </row>
    <row r="25" spans="8:15" x14ac:dyDescent="0.25">
      <c r="H25" t="str">
        <f ca="1">Tools!ES146</f>
        <v xml:space="preserve">Spline 131.58,0,0 131.58,3.5,0 131.58,4.65,0.5 131.58,5.35,1 131.58,5.87,1.5 131.58,6.21,2 131.58,7.08,4 131.58,7.57,6 131.58,7.929,8 131.58,8.351,9.7 131.58,8.43,10 131.58,8.92,12 131.58,9.16,13  </v>
      </c>
      <c r="I25" t="s">
        <v>159</v>
      </c>
      <c r="K25" t="str">
        <f ca="1">Tools!GD146</f>
        <v>Spline 131.58,9.16,13 131.58,8.92,12 131.58,8.43,10 131.58,8.351,9.7 131.58,7.929,8 131.58,7.57,6 131.58,7.08,4 131.58,6.21,2 131.58,5.87,1.5 131.58,5.35,1 131.58,4.65,0.5 131.58,3.5,0 131.58,0,0</v>
      </c>
      <c r="L25" s="6" t="str">
        <f>Tools!GE146</f>
        <v xml:space="preserve">131.58,-3.5,0 131.58,-4.65,0.5 131.58,-5.35,1 131.58,-5.87,1.5 131.58,-6.21,2 131.58,-7.08,4 131.58,-7.57,6 131.58,-7.929,8 131.58,-8.351,9.7 131.58,-8.43,10 131.58,-8.92,12 131.58,-9.16,13 </v>
      </c>
      <c r="N25" t="str">
        <f>Tools!GH146</f>
        <v xml:space="preserve">Spline 131.58,9.16,13 131.58,8.92,12 131.58,8.43,10 131.58,8.351,9.7 131.58,7.929,8 131.58,7.57,6 131.58,7.08,4 131.58,6.21,2 131.58,5.87,1.5 131.58,5.35,1 131.58,4.65,0.5 131.58,3.5,0 T 131.58,0,0 </v>
      </c>
      <c r="O25" t="str">
        <f>Tools!GI146</f>
        <v xml:space="preserve">Spline 131.58,3.5,0 131.58,0,0  Join 131.58,0,0  131.58,9.16,13 </v>
      </c>
    </row>
    <row r="26" spans="8:15" x14ac:dyDescent="0.25">
      <c r="H26" t="str">
        <f ca="1">Tools!ES147</f>
        <v xml:space="preserve">Spline 135.235,0,0 135.235,2.3,0 135.235,3.43,0.5 135.235,4.13,1 135.235,4.58,1.5 135.235,4.91,2 135.235,5.63,4 135.235,6.05,6 135.235,6.39,8 135.235,6.82,9.7 135.235,6.91,10 135.235,7.5,12 135.235,7.8,13  </v>
      </c>
      <c r="I26" t="s">
        <v>159</v>
      </c>
      <c r="K26" t="str">
        <f ca="1">Tools!GD147</f>
        <v>Spline 135.235,7.8,13 135.235,7.5,12 135.235,6.91,10 135.235,6.82,9.7 135.235,6.39,8 135.235,6.05,6 135.235,5.63,4 135.235,4.91,2 135.235,4.58,1.5 135.235,4.13,1 135.235,3.43,0.5 135.235,2.3,0 135.235,0,0</v>
      </c>
      <c r="L26" s="6" t="str">
        <f>Tools!GE147</f>
        <v xml:space="preserve">135.235,-2.3,0 135.235,-3.43,0.5 135.235,-4.13,1 135.235,-4.58,1.5 135.235,-4.91,2 135.235,-5.63,4 135.235,-6.05,6 135.235,-6.39,8 135.235,-6.82,9.7 135.235,-6.91,10 135.235,-7.5,12 135.235,-7.8,13 </v>
      </c>
      <c r="N26" t="str">
        <f>Tools!GH147</f>
        <v xml:space="preserve">Spline 135.235,7.8,13 135.235,7.5,12 135.235,6.91,10 135.235,6.82,9.7 135.235,6.39,8 135.235,6.05,6 135.235,5.63,4 135.235,4.91,2 135.235,4.58,1.5 135.235,4.13,1 135.235,3.43,0.5 135.235,2.3,0 T 135.235,0,0 </v>
      </c>
      <c r="O26" t="str">
        <f>Tools!GI147</f>
        <v xml:space="preserve">Spline 135.235,2.3,0 135.235,0,0  Join 135.235,0,0  135.235,7.8,13 </v>
      </c>
    </row>
    <row r="27" spans="8:15" x14ac:dyDescent="0.25">
      <c r="H27" t="str">
        <f ca="1">Tools!ES148</f>
        <v xml:space="preserve">Spline 138.89,0,0 138.89,1.3,0 138.89,2.3,0.5 138.89,2.84,1 138.89,3.25,1.5 138.89,3.53,2 138.89,4.11,4 138.89,4.23,6 138.89,4.47,8 138.89,4.87,9.7 138.89,4.94,10 138.89,5.59,12 138.89,5.94,13  </v>
      </c>
      <c r="I27" t="s">
        <v>159</v>
      </c>
      <c r="K27" t="str">
        <f ca="1">Tools!GD148</f>
        <v>Spline 138.89,5.94,13 138.89,5.59,12 138.89,4.94,10 138.89,4.87,9.7 138.89,4.47,8 138.89,4.23,6 138.89,4.11,4 138.89,3.53,2 138.89,3.25,1.5 138.89,2.84,1 138.89,2.3,0.5 138.89,1.3,0 138.89,0,0</v>
      </c>
      <c r="L27" s="6" t="str">
        <f>Tools!GE148</f>
        <v xml:space="preserve">138.89,-1.3,0 138.89,-2.3,0.5 138.89,-2.84,1 138.89,-3.25,1.5 138.89,-3.53,2 138.89,-4.11,4 138.89,-4.23,6 138.89,-4.47,8 138.89,-4.87,9.7 138.89,-4.94,10 138.89,-5.59,12 138.89,-5.94,13 </v>
      </c>
      <c r="N27" t="str">
        <f>Tools!GH148</f>
        <v xml:space="preserve">Spline 138.89,5.94,13 138.89,5.59,12 138.89,4.94,10 138.89,4.87,9.7 138.89,4.47,8 138.89,4.23,6 138.89,4.11,4 138.89,3.53,2 138.89,3.25,1.5 138.89,2.84,1 138.89,2.3,0.5 138.89,1.3,0 T 138.89,0,0 </v>
      </c>
      <c r="O27" t="str">
        <f>Tools!GI148</f>
        <v xml:space="preserve">Spline 138.89,1.3,0 138.89,0,0  Join 138.89,0,0  138.89,5.94,13 </v>
      </c>
    </row>
    <row r="28" spans="8:15" x14ac:dyDescent="0.25">
      <c r="H28" t="str">
        <f ca="1">Tools!ES149</f>
        <v xml:space="preserve">Spline 142.545,0,0 142.545,0.4,0 142.545,1.21,0.5 142.545,1.69,1 142.545,2.02,1.5 142.545,2.29,2 142.545,2.63,4 142.545,2.38,6 142.545,2.25,8 142.545,2.42,9.7 142.545,2.496,10 142.545,3.19,12 142.545,3.63,13  </v>
      </c>
      <c r="I28" t="s">
        <v>159</v>
      </c>
      <c r="K28" t="str">
        <f ca="1">Tools!GD149</f>
        <v>Spline 142.545,3.63,13 142.545,3.19,12 142.545,2.496,10 142.545,2.42,9.7 142.545,2.25,8 142.545,2.38,6 142.545,2.63,4 142.545,2.29,2 142.545,2.02,1.5 142.545,1.69,1 142.545,1.21,0.5 142.545,0.4,0 142.545,0,0</v>
      </c>
      <c r="L28" s="6" t="str">
        <f>Tools!GE149</f>
        <v xml:space="preserve">142.545,-0.4,0 142.545,-1.21,0.5 142.545,-1.69,1 142.545,-2.02,1.5 142.545,-2.29,2 142.545,-2.63,4 142.545,-2.38,6 142.545,-2.25,8 142.545,-2.42,9.7 142.545,-2.496,10 142.545,-3.19,12 142.545,-3.63,13 </v>
      </c>
      <c r="N28" t="str">
        <f>Tools!GH149</f>
        <v xml:space="preserve">Spline 142.545,3.63,13 142.545,3.19,12 142.545,2.496,10 142.545,2.42,9.7 142.545,2.25,8 142.545,2.38,6 142.545,2.63,4 142.545,2.29,2 142.545,2.02,1.5 142.545,1.69,1 142.545,1.21,0.5 142.545,0.4,0 T 142.545,0,0 </v>
      </c>
      <c r="O28" t="str">
        <f>Tools!GI149</f>
        <v xml:space="preserve">Spline 142.545,0.4,0 142.545,0,0  Join 142.545,0,0  142.545,3.63,13 </v>
      </c>
    </row>
    <row r="29" spans="8:15" x14ac:dyDescent="0.25">
      <c r="H29" t="str">
        <f ca="1">Tools!ES150</f>
        <v xml:space="preserve">Spline 146.2,0,0 146.2,0.1,0 146.2,0.8,0.5 146.2,1.2,1 146.2,1.43,1.5 146.2,1.53,2 146.2,1.12,4 146.2,0.5,6 146.2,0.08,8 146.2,0,9.7 146.2,0.03,10 146.2,0.8,12 146.2,1.63,13  </v>
      </c>
      <c r="I29" t="s">
        <v>159</v>
      </c>
      <c r="K29" t="str">
        <f ca="1">Tools!GD150</f>
        <v>Spline 146.2,1.63,13 146.2,0.8,12 146.2,0.03,10 146.2,0,9.7 146.2,0.08,8 146.2,0.5,6 146.2,1.12,4 146.2,1.53,2 146.2,1.43,1.5 146.2,1.2,1 146.2,0.8,0.5 146.2,0.1,0 146.2,0,0</v>
      </c>
      <c r="L29" s="6" t="str">
        <f>Tools!GE150</f>
        <v xml:space="preserve">146.2,-0.1,0 146.2,-0.8,0.5 146.2,-1.2,1 146.2,-1.43,1.5 146.2,-1.53,2 146.2,-1.12,4 146.2,-0.5,6 146.2,-0.08,8 146.2,0,9.7 146.2,-0.03,10 146.2,-0.8,12 146.2,-1.63,13 </v>
      </c>
      <c r="N29" t="str">
        <f>Tools!GH150</f>
        <v xml:space="preserve">Spline 146.2,1.63,13 146.2,0.8,12 146.2,0.03,10 146.2,0,9.7 146.2,0.08,8 146.2,0.5,6 146.2,1.12,4 146.2,1.53,2 146.2,1.43,1.5 146.2,1.2,1 146.2,0.8,0.5 146.2,0.1,0 T 146.2,0,0 </v>
      </c>
      <c r="O29" t="str">
        <f>Tools!GI150</f>
        <v xml:space="preserve">Spline 146.2,0.1,0 146.2,0,0  Join 146.2,0,0  146.2,1.63,13   </v>
      </c>
    </row>
    <row r="30" spans="8:15" x14ac:dyDescent="0.25">
      <c r="H30" t="str">
        <f>Tools!ES151</f>
        <v>1,1,1 0,0,0 t undo 1 Loft 0,4.24,13 3.655,5.85,13 7.31,7.27,13 10.965,8.42,13 14.62,9.3,13 21.93,10.44,13 29.24,10.87,13 36.55,11,13 43.86,11,13 51.17,11,13 58.48,11,13 65.79,11,13 73.1,11,13 80.41,11,13 87.72,11,13 95.03,11,13 102.34,11,13 109.65,11,13 116.96,11,13 124.27,10.62,13 131.58,9.16,13 135.235,7.8,13 138.89,5.94,13 142.545,3.63,13 146.2,1.63,13  C</v>
      </c>
      <c r="K30" t="str">
        <f>Tools!GD151</f>
        <v xml:space="preserve">Loft 0,4.24,13 3.655,5.85,13 7.31,7.27,13 10.965,8.42,13 14.62,9.3,13 21.93,10.44,13 29.24,10.87,13 36.55,11,13 43.86,11,13 51.17,11,13 58.48,11,13 65.79,11,13 73.1,11,13 80.41,11,13 87.72,11,13 95.03,11,13 102.34,11,13 109.65,11,13 116.96,11,13 124.27,10.62,13 131.58,9.16,13 135.235,7.8,13 138.89,5.94,13 142.545,3.63,13 146.2,1.63,13  </v>
      </c>
      <c r="N30" t="str">
        <f>Tools!GH151</f>
        <v>Loft 0,4.24,13 3.655,5.85,13 7.31,7.27,13 10.965,8.42,13 14.62,9.3,13 21.93,10.44,13 29.24,10.87,13 36.55,11,13 43.86,11,13 51.17,11,13 58.48,11,13 65.79,11,13 73.1,11,13 80.41,11,13 87.72,11,13 95.03,11,13 102.34,11,13 109.65,11,13 116.96,11,13 124.27,10.62,13 131.58,9.16,13 135.235,7.8,13 138.89,5.94,13 142.545,3.63,13 146.2,1.63,13  C</v>
      </c>
      <c r="O30" t="str">
        <f>Tools!GI151</f>
        <v xml:space="preserve">Mirror3d 73.1,11,13  ZX 0,0,0 No  </v>
      </c>
    </row>
    <row r="31" spans="8:15" x14ac:dyDescent="0.25">
      <c r="H31" t="str">
        <f>Tools!ET151</f>
        <v xml:space="preserve">Mirror3d 73.1,11,13  ZX 0,0,0 No  </v>
      </c>
      <c r="N31" t="str">
        <f>Tools!GH152</f>
        <v xml:space="preserve">Spline -10,0,0 -20,0,0 t  </v>
      </c>
      <c r="O31" t="str">
        <f>Tools!GI152</f>
        <v>Selectsimilar -10,0,0  Delete</v>
      </c>
    </row>
  </sheetData>
  <sheetProtection password="CB1D" sheet="1" objects="1" scenarios="1"/>
  <mergeCells count="1">
    <mergeCell ref="A10:B10"/>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5537" r:id="rId3" name="Button 1">
              <controlPr defaultSize="0" print="0" autoFill="0" autoPict="0" macro="[0]!threedimensionhull">
                <anchor moveWithCells="1" sizeWithCells="1">
                  <from>
                    <xdr:col>14</xdr:col>
                    <xdr:colOff>9525</xdr:colOff>
                    <xdr:row>3</xdr:row>
                    <xdr:rowOff>85725</xdr:rowOff>
                  </from>
                  <to>
                    <xdr:col>16</xdr:col>
                    <xdr:colOff>228600</xdr:colOff>
                    <xdr:row>4</xdr:row>
                    <xdr:rowOff>114300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65</vt:i4>
      </vt:variant>
      <vt:variant>
        <vt:lpstr>Named Ranges</vt:lpstr>
      </vt:variant>
      <vt:variant>
        <vt:i4>986</vt:i4>
      </vt:variant>
    </vt:vector>
  </HeadingPairs>
  <TitlesOfParts>
    <vt:vector size="1051" baseType="lpstr">
      <vt:lpstr>WL (25)</vt:lpstr>
      <vt:lpstr>WL (24)</vt:lpstr>
      <vt:lpstr>WL (23)</vt:lpstr>
      <vt:lpstr>WL (22)</vt:lpstr>
      <vt:lpstr>WL (21)</vt:lpstr>
      <vt:lpstr>WL (20)</vt:lpstr>
      <vt:lpstr>WL (19)</vt:lpstr>
      <vt:lpstr>WL (18)</vt:lpstr>
      <vt:lpstr>WL (17)</vt:lpstr>
      <vt:lpstr>WL (16)</vt:lpstr>
      <vt:lpstr>WL (15)</vt:lpstr>
      <vt:lpstr>WL (14)</vt:lpstr>
      <vt:lpstr>WL (13)</vt:lpstr>
      <vt:lpstr>WL (12)</vt:lpstr>
      <vt:lpstr>WL (11)</vt:lpstr>
      <vt:lpstr>WL (10)</vt:lpstr>
      <vt:lpstr>WL (9)</vt:lpstr>
      <vt:lpstr>WL (8)</vt:lpstr>
      <vt:lpstr>WL (7)</vt:lpstr>
      <vt:lpstr>WL (6)</vt:lpstr>
      <vt:lpstr>WL (5)</vt:lpstr>
      <vt:lpstr>WL (4)</vt:lpstr>
      <vt:lpstr>WL (3)</vt:lpstr>
      <vt:lpstr>WL (2)</vt:lpstr>
      <vt:lpstr>WL (1)</vt:lpstr>
      <vt:lpstr>Stn(25)</vt:lpstr>
      <vt:lpstr>Stn(24)</vt:lpstr>
      <vt:lpstr>Stn(23)</vt:lpstr>
      <vt:lpstr>Stn(22)</vt:lpstr>
      <vt:lpstr>Stn(21)</vt:lpstr>
      <vt:lpstr>Stn(20)</vt:lpstr>
      <vt:lpstr>Stn(19)</vt:lpstr>
      <vt:lpstr>Stn(18)</vt:lpstr>
      <vt:lpstr>Stn(17)</vt:lpstr>
      <vt:lpstr>Stn(16)</vt:lpstr>
      <vt:lpstr>Stn(15)</vt:lpstr>
      <vt:lpstr>Stn(14)</vt:lpstr>
      <vt:lpstr>Stn(13)</vt:lpstr>
      <vt:lpstr>Stn(12)</vt:lpstr>
      <vt:lpstr>Stn(11)</vt:lpstr>
      <vt:lpstr>Stn(10)</vt:lpstr>
      <vt:lpstr>Stn(9)</vt:lpstr>
      <vt:lpstr>Stn(8)</vt:lpstr>
      <vt:lpstr>Stn(7)</vt:lpstr>
      <vt:lpstr>Stn(6)</vt:lpstr>
      <vt:lpstr>Stn(5)</vt:lpstr>
      <vt:lpstr>Stn(4)</vt:lpstr>
      <vt:lpstr>Stn(3)</vt:lpstr>
      <vt:lpstr>Stn(2)</vt:lpstr>
      <vt:lpstr>Stn(1)</vt:lpstr>
      <vt:lpstr>Offset</vt:lpstr>
      <vt:lpstr>WL (x)</vt:lpstr>
      <vt:lpstr>Main</vt:lpstr>
      <vt:lpstr>Area</vt:lpstr>
      <vt:lpstr>Moment</vt:lpstr>
      <vt:lpstr>Hydros</vt:lpstr>
      <vt:lpstr>Bonj Calc</vt:lpstr>
      <vt:lpstr>View Bonjean</vt:lpstr>
      <vt:lpstr>Hydros Calc</vt:lpstr>
      <vt:lpstr>Tools</vt:lpstr>
      <vt:lpstr>CAD</vt:lpstr>
      <vt:lpstr>Maxs Tool</vt:lpstr>
      <vt:lpstr>Maxsurf</vt:lpstr>
      <vt:lpstr>Help</vt:lpstr>
      <vt:lpstr>CAD Tools</vt:lpstr>
      <vt:lpstr>ABT</vt:lpstr>
      <vt:lpstr>AMID</vt:lpstr>
      <vt:lpstr>AREA_TABLE</vt:lpstr>
      <vt:lpstr>'WL (1)'!AWP</vt:lpstr>
      <vt:lpstr>'WL (10)'!AWP</vt:lpstr>
      <vt:lpstr>'WL (11)'!AWP</vt:lpstr>
      <vt:lpstr>'WL (12)'!AWP</vt:lpstr>
      <vt:lpstr>'WL (13)'!AWP</vt:lpstr>
      <vt:lpstr>'WL (14)'!AWP</vt:lpstr>
      <vt:lpstr>'WL (15)'!AWP</vt:lpstr>
      <vt:lpstr>'WL (16)'!AWP</vt:lpstr>
      <vt:lpstr>'WL (17)'!AWP</vt:lpstr>
      <vt:lpstr>'WL (18)'!AWP</vt:lpstr>
      <vt:lpstr>'WL (19)'!AWP</vt:lpstr>
      <vt:lpstr>'WL (2)'!AWP</vt:lpstr>
      <vt:lpstr>'WL (20)'!AWP</vt:lpstr>
      <vt:lpstr>'WL (21)'!AWP</vt:lpstr>
      <vt:lpstr>'WL (22)'!AWP</vt:lpstr>
      <vt:lpstr>'WL (23)'!AWP</vt:lpstr>
      <vt:lpstr>'WL (24)'!AWP</vt:lpstr>
      <vt:lpstr>'WL (25)'!AWP</vt:lpstr>
      <vt:lpstr>'WL (3)'!AWP</vt:lpstr>
      <vt:lpstr>'WL (4)'!AWP</vt:lpstr>
      <vt:lpstr>'WL (5)'!AWP</vt:lpstr>
      <vt:lpstr>'WL (6)'!AWP</vt:lpstr>
      <vt:lpstr>'WL (7)'!AWP</vt:lpstr>
      <vt:lpstr>'WL (8)'!AWP</vt:lpstr>
      <vt:lpstr>'WL (9)'!AWP</vt:lpstr>
      <vt:lpstr>'WL (x)'!AWP</vt:lpstr>
      <vt:lpstr>'WL (1)'!B</vt:lpstr>
      <vt:lpstr>'WL (10)'!B</vt:lpstr>
      <vt:lpstr>'WL (11)'!B</vt:lpstr>
      <vt:lpstr>'WL (12)'!B</vt:lpstr>
      <vt:lpstr>'WL (13)'!B</vt:lpstr>
      <vt:lpstr>'WL (14)'!B</vt:lpstr>
      <vt:lpstr>'WL (15)'!B</vt:lpstr>
      <vt:lpstr>'WL (16)'!B</vt:lpstr>
      <vt:lpstr>'WL (17)'!B</vt:lpstr>
      <vt:lpstr>'WL (18)'!B</vt:lpstr>
      <vt:lpstr>'WL (19)'!B</vt:lpstr>
      <vt:lpstr>'WL (2)'!B</vt:lpstr>
      <vt:lpstr>'WL (20)'!B</vt:lpstr>
      <vt:lpstr>'WL (21)'!B</vt:lpstr>
      <vt:lpstr>'WL (22)'!B</vt:lpstr>
      <vt:lpstr>'WL (23)'!B</vt:lpstr>
      <vt:lpstr>'WL (24)'!B</vt:lpstr>
      <vt:lpstr>'WL (25)'!B</vt:lpstr>
      <vt:lpstr>'WL (3)'!B</vt:lpstr>
      <vt:lpstr>'WL (4)'!B</vt:lpstr>
      <vt:lpstr>'WL (5)'!B</vt:lpstr>
      <vt:lpstr>'WL (6)'!B</vt:lpstr>
      <vt:lpstr>'WL (7)'!B</vt:lpstr>
      <vt:lpstr>'WL (8)'!B</vt:lpstr>
      <vt:lpstr>'WL (9)'!B</vt:lpstr>
      <vt:lpstr>'WL (x)'!B</vt:lpstr>
      <vt:lpstr>Tools!B_Area</vt:lpstr>
      <vt:lpstr>Tools!B_Area_Splines</vt:lpstr>
      <vt:lpstr>'WL (1)'!B_current</vt:lpstr>
      <vt:lpstr>'WL (10)'!B_current</vt:lpstr>
      <vt:lpstr>'WL (11)'!B_current</vt:lpstr>
      <vt:lpstr>'WL (12)'!B_current</vt:lpstr>
      <vt:lpstr>'WL (13)'!B_current</vt:lpstr>
      <vt:lpstr>'WL (14)'!B_current</vt:lpstr>
      <vt:lpstr>'WL (15)'!B_current</vt:lpstr>
      <vt:lpstr>'WL (16)'!B_current</vt:lpstr>
      <vt:lpstr>'WL (17)'!B_current</vt:lpstr>
      <vt:lpstr>'WL (18)'!B_current</vt:lpstr>
      <vt:lpstr>'WL (19)'!B_current</vt:lpstr>
      <vt:lpstr>'WL (2)'!B_current</vt:lpstr>
      <vt:lpstr>'WL (20)'!B_current</vt:lpstr>
      <vt:lpstr>'WL (21)'!B_current</vt:lpstr>
      <vt:lpstr>'WL (22)'!B_current</vt:lpstr>
      <vt:lpstr>'WL (23)'!B_current</vt:lpstr>
      <vt:lpstr>'WL (24)'!B_current</vt:lpstr>
      <vt:lpstr>'WL (25)'!B_current</vt:lpstr>
      <vt:lpstr>'WL (3)'!B_current</vt:lpstr>
      <vt:lpstr>'WL (4)'!B_current</vt:lpstr>
      <vt:lpstr>'WL (5)'!B_current</vt:lpstr>
      <vt:lpstr>'WL (6)'!B_current</vt:lpstr>
      <vt:lpstr>'WL (7)'!B_current</vt:lpstr>
      <vt:lpstr>'WL (8)'!B_current</vt:lpstr>
      <vt:lpstr>'WL (9)'!B_current</vt:lpstr>
      <vt:lpstr>'WL (x)'!B_current</vt:lpstr>
      <vt:lpstr>Tools!B_Moment</vt:lpstr>
      <vt:lpstr>Tools!B_Moment_Splines</vt:lpstr>
      <vt:lpstr>Tools!BA_Station_Scale_in_x</vt:lpstr>
      <vt:lpstr>Tools!BA_Y_scale_of_WL</vt:lpstr>
      <vt:lpstr>'WL (1)'!BML</vt:lpstr>
      <vt:lpstr>'WL (10)'!BML</vt:lpstr>
      <vt:lpstr>'WL (11)'!BML</vt:lpstr>
      <vt:lpstr>'WL (12)'!BML</vt:lpstr>
      <vt:lpstr>'WL (13)'!BML</vt:lpstr>
      <vt:lpstr>'WL (14)'!BML</vt:lpstr>
      <vt:lpstr>'WL (15)'!BML</vt:lpstr>
      <vt:lpstr>'WL (16)'!BML</vt:lpstr>
      <vt:lpstr>'WL (17)'!BML</vt:lpstr>
      <vt:lpstr>'WL (18)'!BML</vt:lpstr>
      <vt:lpstr>'WL (19)'!BML</vt:lpstr>
      <vt:lpstr>'WL (2)'!BML</vt:lpstr>
      <vt:lpstr>'WL (20)'!BML</vt:lpstr>
      <vt:lpstr>'WL (21)'!BML</vt:lpstr>
      <vt:lpstr>'WL (22)'!BML</vt:lpstr>
      <vt:lpstr>'WL (23)'!BML</vt:lpstr>
      <vt:lpstr>'WL (24)'!BML</vt:lpstr>
      <vt:lpstr>'WL (25)'!BML</vt:lpstr>
      <vt:lpstr>'WL (3)'!BML</vt:lpstr>
      <vt:lpstr>'WL (4)'!BML</vt:lpstr>
      <vt:lpstr>'WL (5)'!BML</vt:lpstr>
      <vt:lpstr>'WL (6)'!BML</vt:lpstr>
      <vt:lpstr>'WL (7)'!BML</vt:lpstr>
      <vt:lpstr>'WL (8)'!BML</vt:lpstr>
      <vt:lpstr>'WL (9)'!BML</vt:lpstr>
      <vt:lpstr>'WL (x)'!BML</vt:lpstr>
      <vt:lpstr>'WL (1)'!BMT</vt:lpstr>
      <vt:lpstr>'WL (10)'!BMT</vt:lpstr>
      <vt:lpstr>'WL (11)'!BMT</vt:lpstr>
      <vt:lpstr>'WL (12)'!BMT</vt:lpstr>
      <vt:lpstr>'WL (13)'!BMT</vt:lpstr>
      <vt:lpstr>'WL (14)'!BMT</vt:lpstr>
      <vt:lpstr>'WL (15)'!BMT</vt:lpstr>
      <vt:lpstr>'WL (16)'!BMT</vt:lpstr>
      <vt:lpstr>'WL (17)'!BMT</vt:lpstr>
      <vt:lpstr>'WL (18)'!BMT</vt:lpstr>
      <vt:lpstr>'WL (19)'!BMT</vt:lpstr>
      <vt:lpstr>'WL (2)'!BMT</vt:lpstr>
      <vt:lpstr>'WL (20)'!BMT</vt:lpstr>
      <vt:lpstr>'WL (21)'!BMT</vt:lpstr>
      <vt:lpstr>'WL (22)'!BMT</vt:lpstr>
      <vt:lpstr>'WL (23)'!BMT</vt:lpstr>
      <vt:lpstr>'WL (24)'!BMT</vt:lpstr>
      <vt:lpstr>'WL (25)'!BMT</vt:lpstr>
      <vt:lpstr>'WL (3)'!BMT</vt:lpstr>
      <vt:lpstr>'WL (4)'!BMT</vt:lpstr>
      <vt:lpstr>'WL (5)'!BMT</vt:lpstr>
      <vt:lpstr>'WL (6)'!BMT</vt:lpstr>
      <vt:lpstr>'WL (7)'!BMT</vt:lpstr>
      <vt:lpstr>'WL (8)'!BMT</vt:lpstr>
      <vt:lpstr>'WL (9)'!BMT</vt:lpstr>
      <vt:lpstr>'WL (x)'!BMT</vt:lpstr>
      <vt:lpstr>Tools!Bodyplan_Spline</vt:lpstr>
      <vt:lpstr>Tools!Bonjean_Area_Scale</vt:lpstr>
      <vt:lpstr>Tools!Bonjean_Moment_Scale</vt:lpstr>
      <vt:lpstr>Tools!BP_Plan</vt:lpstr>
      <vt:lpstr>BREADTH</vt:lpstr>
      <vt:lpstr>'WL (1)'!CB</vt:lpstr>
      <vt:lpstr>'WL (10)'!CB</vt:lpstr>
      <vt:lpstr>'WL (11)'!CB</vt:lpstr>
      <vt:lpstr>'WL (12)'!CB</vt:lpstr>
      <vt:lpstr>'WL (13)'!CB</vt:lpstr>
      <vt:lpstr>'WL (14)'!CB</vt:lpstr>
      <vt:lpstr>'WL (15)'!CB</vt:lpstr>
      <vt:lpstr>'WL (16)'!CB</vt:lpstr>
      <vt:lpstr>'WL (17)'!CB</vt:lpstr>
      <vt:lpstr>'WL (18)'!CB</vt:lpstr>
      <vt:lpstr>'WL (19)'!CB</vt:lpstr>
      <vt:lpstr>'WL (2)'!CB</vt:lpstr>
      <vt:lpstr>'WL (20)'!CB</vt:lpstr>
      <vt:lpstr>'WL (21)'!CB</vt:lpstr>
      <vt:lpstr>'WL (22)'!CB</vt:lpstr>
      <vt:lpstr>'WL (23)'!CB</vt:lpstr>
      <vt:lpstr>'WL (24)'!CB</vt:lpstr>
      <vt:lpstr>'WL (25)'!CB</vt:lpstr>
      <vt:lpstr>'WL (3)'!CB</vt:lpstr>
      <vt:lpstr>'WL (4)'!CB</vt:lpstr>
      <vt:lpstr>'WL (5)'!CB</vt:lpstr>
      <vt:lpstr>'WL (6)'!CB</vt:lpstr>
      <vt:lpstr>'WL (7)'!CB</vt:lpstr>
      <vt:lpstr>'WL (8)'!CB</vt:lpstr>
      <vt:lpstr>'WL (9)'!CB</vt:lpstr>
      <vt:lpstr>'WL (x)'!CB</vt:lpstr>
      <vt:lpstr>CB</vt:lpstr>
      <vt:lpstr>'WL (1)'!CM</vt:lpstr>
      <vt:lpstr>'WL (10)'!CM</vt:lpstr>
      <vt:lpstr>'WL (11)'!CM</vt:lpstr>
      <vt:lpstr>'WL (12)'!CM</vt:lpstr>
      <vt:lpstr>'WL (13)'!CM</vt:lpstr>
      <vt:lpstr>'WL (14)'!CM</vt:lpstr>
      <vt:lpstr>'WL (15)'!CM</vt:lpstr>
      <vt:lpstr>'WL (16)'!CM</vt:lpstr>
      <vt:lpstr>'WL (17)'!CM</vt:lpstr>
      <vt:lpstr>'WL (18)'!CM</vt:lpstr>
      <vt:lpstr>'WL (19)'!CM</vt:lpstr>
      <vt:lpstr>'WL (2)'!CM</vt:lpstr>
      <vt:lpstr>'WL (20)'!CM</vt:lpstr>
      <vt:lpstr>'WL (21)'!CM</vt:lpstr>
      <vt:lpstr>'WL (22)'!CM</vt:lpstr>
      <vt:lpstr>'WL (23)'!CM</vt:lpstr>
      <vt:lpstr>'WL (24)'!CM</vt:lpstr>
      <vt:lpstr>'WL (25)'!CM</vt:lpstr>
      <vt:lpstr>'WL (3)'!CM</vt:lpstr>
      <vt:lpstr>'WL (4)'!CM</vt:lpstr>
      <vt:lpstr>'WL (5)'!CM</vt:lpstr>
      <vt:lpstr>'WL (6)'!CM</vt:lpstr>
      <vt:lpstr>'WL (7)'!CM</vt:lpstr>
      <vt:lpstr>'WL (8)'!CM</vt:lpstr>
      <vt:lpstr>'WL (9)'!CM</vt:lpstr>
      <vt:lpstr>'WL (x)'!CM</vt:lpstr>
      <vt:lpstr>CM</vt:lpstr>
      <vt:lpstr>'Stn(1)'!Count_STN</vt:lpstr>
      <vt:lpstr>'Stn(10)'!Count_STN</vt:lpstr>
      <vt:lpstr>'Stn(11)'!Count_STN</vt:lpstr>
      <vt:lpstr>'Stn(12)'!Count_STN</vt:lpstr>
      <vt:lpstr>'Stn(13)'!Count_STN</vt:lpstr>
      <vt:lpstr>'Stn(14)'!Count_STN</vt:lpstr>
      <vt:lpstr>'Stn(15)'!Count_STN</vt:lpstr>
      <vt:lpstr>'Stn(16)'!Count_STN</vt:lpstr>
      <vt:lpstr>'Stn(17)'!Count_STN</vt:lpstr>
      <vt:lpstr>'Stn(18)'!Count_STN</vt:lpstr>
      <vt:lpstr>'Stn(19)'!Count_STN</vt:lpstr>
      <vt:lpstr>'Stn(2)'!Count_STN</vt:lpstr>
      <vt:lpstr>'Stn(20)'!Count_STN</vt:lpstr>
      <vt:lpstr>'Stn(21)'!Count_STN</vt:lpstr>
      <vt:lpstr>'Stn(22)'!Count_STN</vt:lpstr>
      <vt:lpstr>'Stn(23)'!Count_STN</vt:lpstr>
      <vt:lpstr>'Stn(24)'!Count_STN</vt:lpstr>
      <vt:lpstr>'Stn(25)'!Count_STN</vt:lpstr>
      <vt:lpstr>'Stn(3)'!Count_STN</vt:lpstr>
      <vt:lpstr>'Stn(4)'!Count_STN</vt:lpstr>
      <vt:lpstr>'Stn(5)'!Count_STN</vt:lpstr>
      <vt:lpstr>'Stn(6)'!Count_STN</vt:lpstr>
      <vt:lpstr>'Stn(7)'!Count_STN</vt:lpstr>
      <vt:lpstr>'Stn(8)'!Count_STN</vt:lpstr>
      <vt:lpstr>'Stn(9)'!Count_STN</vt:lpstr>
      <vt:lpstr>'WL (1)'!Count_WL</vt:lpstr>
      <vt:lpstr>'WL (10)'!Count_WL</vt:lpstr>
      <vt:lpstr>'WL (11)'!Count_WL</vt:lpstr>
      <vt:lpstr>'WL (12)'!Count_WL</vt:lpstr>
      <vt:lpstr>'WL (13)'!Count_WL</vt:lpstr>
      <vt:lpstr>'WL (14)'!Count_WL</vt:lpstr>
      <vt:lpstr>'WL (15)'!Count_WL</vt:lpstr>
      <vt:lpstr>'WL (16)'!Count_WL</vt:lpstr>
      <vt:lpstr>'WL (17)'!Count_WL</vt:lpstr>
      <vt:lpstr>'WL (18)'!Count_WL</vt:lpstr>
      <vt:lpstr>'WL (19)'!Count_WL</vt:lpstr>
      <vt:lpstr>'WL (2)'!Count_WL</vt:lpstr>
      <vt:lpstr>'WL (20)'!Count_WL</vt:lpstr>
      <vt:lpstr>'WL (21)'!Count_WL</vt:lpstr>
      <vt:lpstr>'WL (22)'!Count_WL</vt:lpstr>
      <vt:lpstr>'WL (23)'!Count_WL</vt:lpstr>
      <vt:lpstr>'WL (24)'!Count_WL</vt:lpstr>
      <vt:lpstr>'WL (25)'!Count_WL</vt:lpstr>
      <vt:lpstr>'WL (3)'!Count_WL</vt:lpstr>
      <vt:lpstr>'WL (4)'!Count_WL</vt:lpstr>
      <vt:lpstr>'WL (5)'!Count_WL</vt:lpstr>
      <vt:lpstr>'WL (6)'!Count_WL</vt:lpstr>
      <vt:lpstr>'WL (7)'!Count_WL</vt:lpstr>
      <vt:lpstr>'WL (8)'!Count_WL</vt:lpstr>
      <vt:lpstr>'WL (9)'!Count_WL</vt:lpstr>
      <vt:lpstr>'WL (x)'!Count_WL</vt:lpstr>
      <vt:lpstr>'WL (1)'!CP</vt:lpstr>
      <vt:lpstr>'WL (10)'!CP</vt:lpstr>
      <vt:lpstr>'WL (11)'!CP</vt:lpstr>
      <vt:lpstr>'WL (12)'!CP</vt:lpstr>
      <vt:lpstr>'WL (13)'!CP</vt:lpstr>
      <vt:lpstr>'WL (14)'!CP</vt:lpstr>
      <vt:lpstr>'WL (15)'!CP</vt:lpstr>
      <vt:lpstr>'WL (16)'!CP</vt:lpstr>
      <vt:lpstr>'WL (17)'!CP</vt:lpstr>
      <vt:lpstr>'WL (18)'!CP</vt:lpstr>
      <vt:lpstr>'WL (19)'!CP</vt:lpstr>
      <vt:lpstr>'WL (2)'!CP</vt:lpstr>
      <vt:lpstr>'WL (20)'!CP</vt:lpstr>
      <vt:lpstr>'WL (21)'!CP</vt:lpstr>
      <vt:lpstr>'WL (22)'!CP</vt:lpstr>
      <vt:lpstr>'WL (23)'!CP</vt:lpstr>
      <vt:lpstr>'WL (24)'!CP</vt:lpstr>
      <vt:lpstr>'WL (25)'!CP</vt:lpstr>
      <vt:lpstr>'WL (3)'!CP</vt:lpstr>
      <vt:lpstr>'WL (4)'!CP</vt:lpstr>
      <vt:lpstr>'WL (5)'!CP</vt:lpstr>
      <vt:lpstr>'WL (6)'!CP</vt:lpstr>
      <vt:lpstr>'WL (7)'!CP</vt:lpstr>
      <vt:lpstr>'WL (8)'!CP</vt:lpstr>
      <vt:lpstr>'WL (9)'!CP</vt:lpstr>
      <vt:lpstr>'WL (x)'!CP</vt:lpstr>
      <vt:lpstr>CP</vt:lpstr>
      <vt:lpstr>'WL (1)'!CW</vt:lpstr>
      <vt:lpstr>'WL (10)'!CW</vt:lpstr>
      <vt:lpstr>'WL (11)'!CW</vt:lpstr>
      <vt:lpstr>'WL (12)'!CW</vt:lpstr>
      <vt:lpstr>'WL (13)'!CW</vt:lpstr>
      <vt:lpstr>'WL (14)'!CW</vt:lpstr>
      <vt:lpstr>'WL (15)'!CW</vt:lpstr>
      <vt:lpstr>'WL (16)'!CW</vt:lpstr>
      <vt:lpstr>'WL (17)'!CW</vt:lpstr>
      <vt:lpstr>'WL (18)'!CW</vt:lpstr>
      <vt:lpstr>'WL (19)'!CW</vt:lpstr>
      <vt:lpstr>'WL (2)'!CW</vt:lpstr>
      <vt:lpstr>'WL (20)'!CW</vt:lpstr>
      <vt:lpstr>'WL (21)'!CW</vt:lpstr>
      <vt:lpstr>'WL (22)'!CW</vt:lpstr>
      <vt:lpstr>'WL (23)'!CW</vt:lpstr>
      <vt:lpstr>'WL (24)'!CW</vt:lpstr>
      <vt:lpstr>'WL (25)'!CW</vt:lpstr>
      <vt:lpstr>'WL (3)'!CW</vt:lpstr>
      <vt:lpstr>'WL (4)'!CW</vt:lpstr>
      <vt:lpstr>'WL (5)'!CW</vt:lpstr>
      <vt:lpstr>'WL (6)'!CW</vt:lpstr>
      <vt:lpstr>'WL (7)'!CW</vt:lpstr>
      <vt:lpstr>'WL (8)'!CW</vt:lpstr>
      <vt:lpstr>'WL (9)'!CW</vt:lpstr>
      <vt:lpstr>'WL (x)'!CW</vt:lpstr>
      <vt:lpstr>DEPTH</vt:lpstr>
      <vt:lpstr>DRAFT</vt:lpstr>
      <vt:lpstr>Tools!g</vt:lpstr>
      <vt:lpstr>Tools!Grid_AutoCAD</vt:lpstr>
      <vt:lpstr>Tools!h</vt:lpstr>
      <vt:lpstr>'WL (1)'!h</vt:lpstr>
      <vt:lpstr>'WL (10)'!h</vt:lpstr>
      <vt:lpstr>'WL (11)'!h</vt:lpstr>
      <vt:lpstr>'WL (12)'!h</vt:lpstr>
      <vt:lpstr>'WL (13)'!h</vt:lpstr>
      <vt:lpstr>'WL (14)'!h</vt:lpstr>
      <vt:lpstr>'WL (15)'!h</vt:lpstr>
      <vt:lpstr>'WL (16)'!h</vt:lpstr>
      <vt:lpstr>'WL (17)'!h</vt:lpstr>
      <vt:lpstr>'WL (18)'!h</vt:lpstr>
      <vt:lpstr>'WL (19)'!h</vt:lpstr>
      <vt:lpstr>'WL (2)'!h</vt:lpstr>
      <vt:lpstr>'WL (20)'!h</vt:lpstr>
      <vt:lpstr>'WL (21)'!h</vt:lpstr>
      <vt:lpstr>'WL (22)'!h</vt:lpstr>
      <vt:lpstr>'WL (23)'!h</vt:lpstr>
      <vt:lpstr>'WL (24)'!h</vt:lpstr>
      <vt:lpstr>'WL (25)'!h</vt:lpstr>
      <vt:lpstr>'WL (3)'!h</vt:lpstr>
      <vt:lpstr>'WL (4)'!h</vt:lpstr>
      <vt:lpstr>'WL (5)'!h</vt:lpstr>
      <vt:lpstr>'WL (6)'!h</vt:lpstr>
      <vt:lpstr>'WL (7)'!h</vt:lpstr>
      <vt:lpstr>'WL (8)'!h</vt:lpstr>
      <vt:lpstr>'WL (9)'!h</vt:lpstr>
      <vt:lpstr>'WL (x)'!h</vt:lpstr>
      <vt:lpstr>Tools!Halfbreadth_Splines</vt:lpstr>
      <vt:lpstr>Tools!Hydros</vt:lpstr>
      <vt:lpstr>Hydros_Table</vt:lpstr>
      <vt:lpstr>'WL (1)'!IF</vt:lpstr>
      <vt:lpstr>'WL (10)'!IF</vt:lpstr>
      <vt:lpstr>'WL (11)'!IF</vt:lpstr>
      <vt:lpstr>'WL (12)'!IF</vt:lpstr>
      <vt:lpstr>'WL (13)'!IF</vt:lpstr>
      <vt:lpstr>'WL (14)'!IF</vt:lpstr>
      <vt:lpstr>'WL (15)'!IF</vt:lpstr>
      <vt:lpstr>'WL (16)'!IF</vt:lpstr>
      <vt:lpstr>'WL (17)'!IF</vt:lpstr>
      <vt:lpstr>'WL (18)'!IF</vt:lpstr>
      <vt:lpstr>'WL (19)'!IF</vt:lpstr>
      <vt:lpstr>'WL (2)'!IF</vt:lpstr>
      <vt:lpstr>'WL (20)'!IF</vt:lpstr>
      <vt:lpstr>'WL (21)'!IF</vt:lpstr>
      <vt:lpstr>'WL (22)'!IF</vt:lpstr>
      <vt:lpstr>'WL (23)'!IF</vt:lpstr>
      <vt:lpstr>'WL (24)'!IF</vt:lpstr>
      <vt:lpstr>'WL (25)'!IF</vt:lpstr>
      <vt:lpstr>'WL (3)'!IF</vt:lpstr>
      <vt:lpstr>'WL (4)'!IF</vt:lpstr>
      <vt:lpstr>'WL (5)'!IF</vt:lpstr>
      <vt:lpstr>'WL (6)'!IF</vt:lpstr>
      <vt:lpstr>'WL (7)'!IF</vt:lpstr>
      <vt:lpstr>'WL (8)'!IF</vt:lpstr>
      <vt:lpstr>'WL (9)'!IF</vt:lpstr>
      <vt:lpstr>'WL (x)'!IF</vt:lpstr>
      <vt:lpstr>'WL (1)'!IL</vt:lpstr>
      <vt:lpstr>'WL (10)'!IL</vt:lpstr>
      <vt:lpstr>'WL (11)'!IL</vt:lpstr>
      <vt:lpstr>'WL (12)'!IL</vt:lpstr>
      <vt:lpstr>'WL (13)'!IL</vt:lpstr>
      <vt:lpstr>'WL (14)'!IL</vt:lpstr>
      <vt:lpstr>'WL (15)'!IL</vt:lpstr>
      <vt:lpstr>'WL (16)'!IL</vt:lpstr>
      <vt:lpstr>'WL (17)'!IL</vt:lpstr>
      <vt:lpstr>'WL (18)'!IL</vt:lpstr>
      <vt:lpstr>'WL (19)'!IL</vt:lpstr>
      <vt:lpstr>'WL (2)'!IL</vt:lpstr>
      <vt:lpstr>'WL (20)'!IL</vt:lpstr>
      <vt:lpstr>'WL (21)'!IL</vt:lpstr>
      <vt:lpstr>'WL (22)'!IL</vt:lpstr>
      <vt:lpstr>'WL (23)'!IL</vt:lpstr>
      <vt:lpstr>'WL (24)'!IL</vt:lpstr>
      <vt:lpstr>'WL (25)'!IL</vt:lpstr>
      <vt:lpstr>'WL (3)'!IL</vt:lpstr>
      <vt:lpstr>'WL (4)'!IL</vt:lpstr>
      <vt:lpstr>'WL (5)'!IL</vt:lpstr>
      <vt:lpstr>'WL (6)'!IL</vt:lpstr>
      <vt:lpstr>'WL (7)'!IL</vt:lpstr>
      <vt:lpstr>'WL (8)'!IL</vt:lpstr>
      <vt:lpstr>'WL (9)'!IL</vt:lpstr>
      <vt:lpstr>'WL (x)'!IL</vt:lpstr>
      <vt:lpstr>'WL (1)'!IT</vt:lpstr>
      <vt:lpstr>'WL (10)'!IT</vt:lpstr>
      <vt:lpstr>'WL (11)'!IT</vt:lpstr>
      <vt:lpstr>'WL (12)'!IT</vt:lpstr>
      <vt:lpstr>'WL (13)'!IT</vt:lpstr>
      <vt:lpstr>'WL (14)'!IT</vt:lpstr>
      <vt:lpstr>'WL (15)'!IT</vt:lpstr>
      <vt:lpstr>'WL (16)'!IT</vt:lpstr>
      <vt:lpstr>'WL (17)'!IT</vt:lpstr>
      <vt:lpstr>'WL (18)'!IT</vt:lpstr>
      <vt:lpstr>'WL (19)'!IT</vt:lpstr>
      <vt:lpstr>'WL (2)'!IT</vt:lpstr>
      <vt:lpstr>'WL (20)'!IT</vt:lpstr>
      <vt:lpstr>'WL (21)'!IT</vt:lpstr>
      <vt:lpstr>'WL (22)'!IT</vt:lpstr>
      <vt:lpstr>'WL (23)'!IT</vt:lpstr>
      <vt:lpstr>'WL (24)'!IT</vt:lpstr>
      <vt:lpstr>'WL (25)'!IT</vt:lpstr>
      <vt:lpstr>'WL (3)'!IT</vt:lpstr>
      <vt:lpstr>'WL (4)'!IT</vt:lpstr>
      <vt:lpstr>'WL (5)'!IT</vt:lpstr>
      <vt:lpstr>'WL (6)'!IT</vt:lpstr>
      <vt:lpstr>'WL (7)'!IT</vt:lpstr>
      <vt:lpstr>'WL (8)'!IT</vt:lpstr>
      <vt:lpstr>'WL (9)'!IT</vt:lpstr>
      <vt:lpstr>'WL (x)'!IT</vt:lpstr>
      <vt:lpstr>'WL (1)'!KB</vt:lpstr>
      <vt:lpstr>'WL (10)'!KB</vt:lpstr>
      <vt:lpstr>'WL (11)'!KB</vt:lpstr>
      <vt:lpstr>'WL (12)'!KB</vt:lpstr>
      <vt:lpstr>'WL (13)'!KB</vt:lpstr>
      <vt:lpstr>'WL (14)'!KB</vt:lpstr>
      <vt:lpstr>'WL (15)'!KB</vt:lpstr>
      <vt:lpstr>'WL (16)'!KB</vt:lpstr>
      <vt:lpstr>'WL (17)'!KB</vt:lpstr>
      <vt:lpstr>'WL (18)'!KB</vt:lpstr>
      <vt:lpstr>'WL (19)'!KB</vt:lpstr>
      <vt:lpstr>'WL (2)'!KB</vt:lpstr>
      <vt:lpstr>'WL (20)'!KB</vt:lpstr>
      <vt:lpstr>'WL (21)'!KB</vt:lpstr>
      <vt:lpstr>'WL (22)'!KB</vt:lpstr>
      <vt:lpstr>'WL (23)'!KB</vt:lpstr>
      <vt:lpstr>'WL (24)'!KB</vt:lpstr>
      <vt:lpstr>'WL (25)'!KB</vt:lpstr>
      <vt:lpstr>'WL (3)'!KB</vt:lpstr>
      <vt:lpstr>'WL (4)'!KB</vt:lpstr>
      <vt:lpstr>'WL (5)'!KB</vt:lpstr>
      <vt:lpstr>'WL (6)'!KB</vt:lpstr>
      <vt:lpstr>'WL (7)'!KB</vt:lpstr>
      <vt:lpstr>'WL (8)'!KB</vt:lpstr>
      <vt:lpstr>'WL (9)'!KB</vt:lpstr>
      <vt:lpstr>'WL (x)'!KB</vt:lpstr>
      <vt:lpstr>KB</vt:lpstr>
      <vt:lpstr>'WL (1)'!KML</vt:lpstr>
      <vt:lpstr>'WL (10)'!KML</vt:lpstr>
      <vt:lpstr>'WL (11)'!KML</vt:lpstr>
      <vt:lpstr>'WL (12)'!KML</vt:lpstr>
      <vt:lpstr>'WL (13)'!KML</vt:lpstr>
      <vt:lpstr>'WL (14)'!KML</vt:lpstr>
      <vt:lpstr>'WL (15)'!KML</vt:lpstr>
      <vt:lpstr>'WL (16)'!KML</vt:lpstr>
      <vt:lpstr>'WL (17)'!KML</vt:lpstr>
      <vt:lpstr>'WL (18)'!KML</vt:lpstr>
      <vt:lpstr>'WL (19)'!KML</vt:lpstr>
      <vt:lpstr>'WL (2)'!KML</vt:lpstr>
      <vt:lpstr>'WL (20)'!KML</vt:lpstr>
      <vt:lpstr>'WL (21)'!KML</vt:lpstr>
      <vt:lpstr>'WL (22)'!KML</vt:lpstr>
      <vt:lpstr>'WL (23)'!KML</vt:lpstr>
      <vt:lpstr>'WL (24)'!KML</vt:lpstr>
      <vt:lpstr>'WL (25)'!KML</vt:lpstr>
      <vt:lpstr>'WL (3)'!KML</vt:lpstr>
      <vt:lpstr>'WL (4)'!KML</vt:lpstr>
      <vt:lpstr>'WL (5)'!KML</vt:lpstr>
      <vt:lpstr>'WL (6)'!KML</vt:lpstr>
      <vt:lpstr>'WL (7)'!KML</vt:lpstr>
      <vt:lpstr>'WL (8)'!KML</vt:lpstr>
      <vt:lpstr>'WL (9)'!KML</vt:lpstr>
      <vt:lpstr>'WL (x)'!KML</vt:lpstr>
      <vt:lpstr>'WL (1)'!KMT</vt:lpstr>
      <vt:lpstr>'WL (10)'!KMT</vt:lpstr>
      <vt:lpstr>'WL (11)'!KMT</vt:lpstr>
      <vt:lpstr>'WL (12)'!KMT</vt:lpstr>
      <vt:lpstr>'WL (13)'!KMT</vt:lpstr>
      <vt:lpstr>'WL (14)'!KMT</vt:lpstr>
      <vt:lpstr>'WL (15)'!KMT</vt:lpstr>
      <vt:lpstr>'WL (16)'!KMT</vt:lpstr>
      <vt:lpstr>'WL (17)'!KMT</vt:lpstr>
      <vt:lpstr>'WL (18)'!KMT</vt:lpstr>
      <vt:lpstr>'WL (19)'!KMT</vt:lpstr>
      <vt:lpstr>'WL (2)'!KMT</vt:lpstr>
      <vt:lpstr>'WL (20)'!KMT</vt:lpstr>
      <vt:lpstr>'WL (21)'!KMT</vt:lpstr>
      <vt:lpstr>'WL (22)'!KMT</vt:lpstr>
      <vt:lpstr>'WL (23)'!KMT</vt:lpstr>
      <vt:lpstr>'WL (24)'!KMT</vt:lpstr>
      <vt:lpstr>'WL (25)'!KMT</vt:lpstr>
      <vt:lpstr>'WL (3)'!KMT</vt:lpstr>
      <vt:lpstr>'WL (4)'!KMT</vt:lpstr>
      <vt:lpstr>'WL (5)'!KMT</vt:lpstr>
      <vt:lpstr>'WL (6)'!KMT</vt:lpstr>
      <vt:lpstr>'WL (7)'!KMT</vt:lpstr>
      <vt:lpstr>'WL (8)'!KMT</vt:lpstr>
      <vt:lpstr>'WL (9)'!KMT</vt:lpstr>
      <vt:lpstr>'WL (x)'!KMT</vt:lpstr>
      <vt:lpstr>LBP</vt:lpstr>
      <vt:lpstr>'WL (1)'!LCB</vt:lpstr>
      <vt:lpstr>'WL (10)'!LCB</vt:lpstr>
      <vt:lpstr>'WL (11)'!LCB</vt:lpstr>
      <vt:lpstr>'WL (12)'!LCB</vt:lpstr>
      <vt:lpstr>'WL (13)'!LCB</vt:lpstr>
      <vt:lpstr>'WL (14)'!LCB</vt:lpstr>
      <vt:lpstr>'WL (15)'!LCB</vt:lpstr>
      <vt:lpstr>'WL (16)'!LCB</vt:lpstr>
      <vt:lpstr>'WL (17)'!LCB</vt:lpstr>
      <vt:lpstr>'WL (18)'!LCB</vt:lpstr>
      <vt:lpstr>'WL (19)'!LCB</vt:lpstr>
      <vt:lpstr>'WL (2)'!LCB</vt:lpstr>
      <vt:lpstr>'WL (20)'!LCB</vt:lpstr>
      <vt:lpstr>'WL (21)'!LCB</vt:lpstr>
      <vt:lpstr>'WL (22)'!LCB</vt:lpstr>
      <vt:lpstr>'WL (23)'!LCB</vt:lpstr>
      <vt:lpstr>'WL (24)'!LCB</vt:lpstr>
      <vt:lpstr>'WL (25)'!LCB</vt:lpstr>
      <vt:lpstr>'WL (3)'!LCB</vt:lpstr>
      <vt:lpstr>'WL (4)'!LCB</vt:lpstr>
      <vt:lpstr>'WL (5)'!LCB</vt:lpstr>
      <vt:lpstr>'WL (6)'!LCB</vt:lpstr>
      <vt:lpstr>'WL (7)'!LCB</vt:lpstr>
      <vt:lpstr>'WL (8)'!LCB</vt:lpstr>
      <vt:lpstr>'WL (9)'!LCB</vt:lpstr>
      <vt:lpstr>'WL (x)'!LCB</vt:lpstr>
      <vt:lpstr>LCB</vt:lpstr>
      <vt:lpstr>'WL (1)'!LCF</vt:lpstr>
      <vt:lpstr>'WL (10)'!LCF</vt:lpstr>
      <vt:lpstr>'WL (11)'!LCF</vt:lpstr>
      <vt:lpstr>'WL (12)'!LCF</vt:lpstr>
      <vt:lpstr>'WL (13)'!LCF</vt:lpstr>
      <vt:lpstr>'WL (14)'!LCF</vt:lpstr>
      <vt:lpstr>'WL (15)'!LCF</vt:lpstr>
      <vt:lpstr>'WL (16)'!LCF</vt:lpstr>
      <vt:lpstr>'WL (17)'!LCF</vt:lpstr>
      <vt:lpstr>'WL (18)'!LCF</vt:lpstr>
      <vt:lpstr>'WL (19)'!LCF</vt:lpstr>
      <vt:lpstr>'WL (2)'!LCF</vt:lpstr>
      <vt:lpstr>'WL (20)'!LCF</vt:lpstr>
      <vt:lpstr>'WL (21)'!LCF</vt:lpstr>
      <vt:lpstr>'WL (22)'!LCF</vt:lpstr>
      <vt:lpstr>'WL (23)'!LCF</vt:lpstr>
      <vt:lpstr>'WL (24)'!LCF</vt:lpstr>
      <vt:lpstr>'WL (25)'!LCF</vt:lpstr>
      <vt:lpstr>'WL (3)'!LCF</vt:lpstr>
      <vt:lpstr>'WL (4)'!LCF</vt:lpstr>
      <vt:lpstr>'WL (5)'!LCF</vt:lpstr>
      <vt:lpstr>'WL (6)'!LCF</vt:lpstr>
      <vt:lpstr>'WL (7)'!LCF</vt:lpstr>
      <vt:lpstr>'WL (8)'!LCF</vt:lpstr>
      <vt:lpstr>'WL (9)'!LCF</vt:lpstr>
      <vt:lpstr>'WL (x)'!LCF</vt:lpstr>
      <vt:lpstr>Long_Div</vt:lpstr>
      <vt:lpstr>'WL (1)'!LWL</vt:lpstr>
      <vt:lpstr>'WL (2)'!LWL</vt:lpstr>
      <vt:lpstr>'WL (3)'!LWL</vt:lpstr>
      <vt:lpstr>'WL (x)'!LWL</vt:lpstr>
      <vt:lpstr>'WL (1)'!M_Disp</vt:lpstr>
      <vt:lpstr>'WL (10)'!M_Disp</vt:lpstr>
      <vt:lpstr>'WL (11)'!M_Disp</vt:lpstr>
      <vt:lpstr>'WL (12)'!M_Disp</vt:lpstr>
      <vt:lpstr>'WL (13)'!M_Disp</vt:lpstr>
      <vt:lpstr>'WL (14)'!M_Disp</vt:lpstr>
      <vt:lpstr>'WL (15)'!M_Disp</vt:lpstr>
      <vt:lpstr>'WL (16)'!M_Disp</vt:lpstr>
      <vt:lpstr>'WL (17)'!M_Disp</vt:lpstr>
      <vt:lpstr>'WL (18)'!M_Disp</vt:lpstr>
      <vt:lpstr>'WL (19)'!M_Disp</vt:lpstr>
      <vt:lpstr>'WL (2)'!M_Disp</vt:lpstr>
      <vt:lpstr>'WL (20)'!M_Disp</vt:lpstr>
      <vt:lpstr>'WL (21)'!M_Disp</vt:lpstr>
      <vt:lpstr>'WL (22)'!M_Disp</vt:lpstr>
      <vt:lpstr>'WL (23)'!M_Disp</vt:lpstr>
      <vt:lpstr>'WL (24)'!M_Disp</vt:lpstr>
      <vt:lpstr>'WL (25)'!M_Disp</vt:lpstr>
      <vt:lpstr>'WL (3)'!M_Disp</vt:lpstr>
      <vt:lpstr>'WL (4)'!M_Disp</vt:lpstr>
      <vt:lpstr>'WL (5)'!M_Disp</vt:lpstr>
      <vt:lpstr>'WL (6)'!M_Disp</vt:lpstr>
      <vt:lpstr>'WL (7)'!M_Disp</vt:lpstr>
      <vt:lpstr>'WL (8)'!M_Disp</vt:lpstr>
      <vt:lpstr>'WL (9)'!M_Disp</vt:lpstr>
      <vt:lpstr>'WL (x)'!M_Disp</vt:lpstr>
      <vt:lpstr>Main_Particulars</vt:lpstr>
      <vt:lpstr>Mass_Displacement</vt:lpstr>
      <vt:lpstr>Max_STN_count</vt:lpstr>
      <vt:lpstr>Max_WL_count</vt:lpstr>
      <vt:lpstr>'WL (1)'!MCT</vt:lpstr>
      <vt:lpstr>'WL (10)'!MCT</vt:lpstr>
      <vt:lpstr>'WL (11)'!MCT</vt:lpstr>
      <vt:lpstr>'WL (12)'!MCT</vt:lpstr>
      <vt:lpstr>'WL (13)'!MCT</vt:lpstr>
      <vt:lpstr>'WL (14)'!MCT</vt:lpstr>
      <vt:lpstr>'WL (15)'!MCT</vt:lpstr>
      <vt:lpstr>'WL (16)'!MCT</vt:lpstr>
      <vt:lpstr>'WL (17)'!MCT</vt:lpstr>
      <vt:lpstr>'WL (18)'!MCT</vt:lpstr>
      <vt:lpstr>'WL (19)'!MCT</vt:lpstr>
      <vt:lpstr>'WL (2)'!MCT</vt:lpstr>
      <vt:lpstr>'WL (20)'!MCT</vt:lpstr>
      <vt:lpstr>'WL (21)'!MCT</vt:lpstr>
      <vt:lpstr>'WL (22)'!MCT</vt:lpstr>
      <vt:lpstr>'WL (23)'!MCT</vt:lpstr>
      <vt:lpstr>'WL (24)'!MCT</vt:lpstr>
      <vt:lpstr>'WL (25)'!MCT</vt:lpstr>
      <vt:lpstr>'WL (3)'!MCT</vt:lpstr>
      <vt:lpstr>'WL (4)'!MCT</vt:lpstr>
      <vt:lpstr>'WL (5)'!MCT</vt:lpstr>
      <vt:lpstr>'WL (6)'!MCT</vt:lpstr>
      <vt:lpstr>'WL (7)'!MCT</vt:lpstr>
      <vt:lpstr>'WL (8)'!MCT</vt:lpstr>
      <vt:lpstr>'WL (9)'!MCT</vt:lpstr>
      <vt:lpstr>'WL (x)'!MCT</vt:lpstr>
      <vt:lpstr>MCT1cm</vt:lpstr>
      <vt:lpstr>'WL (1)'!ML</vt:lpstr>
      <vt:lpstr>'WL (10)'!ML</vt:lpstr>
      <vt:lpstr>'WL (11)'!ML</vt:lpstr>
      <vt:lpstr>'WL (12)'!ML</vt:lpstr>
      <vt:lpstr>'WL (13)'!ML</vt:lpstr>
      <vt:lpstr>'WL (14)'!ML</vt:lpstr>
      <vt:lpstr>'WL (15)'!ML</vt:lpstr>
      <vt:lpstr>'WL (16)'!ML</vt:lpstr>
      <vt:lpstr>'WL (17)'!ML</vt:lpstr>
      <vt:lpstr>'WL (18)'!ML</vt:lpstr>
      <vt:lpstr>'WL (19)'!ML</vt:lpstr>
      <vt:lpstr>'WL (2)'!ML</vt:lpstr>
      <vt:lpstr>'WL (20)'!ML</vt:lpstr>
      <vt:lpstr>'WL (21)'!ML</vt:lpstr>
      <vt:lpstr>'WL (22)'!ML</vt:lpstr>
      <vt:lpstr>'WL (23)'!ML</vt:lpstr>
      <vt:lpstr>'WL (24)'!ML</vt:lpstr>
      <vt:lpstr>'WL (25)'!ML</vt:lpstr>
      <vt:lpstr>'WL (3)'!ML</vt:lpstr>
      <vt:lpstr>'WL (4)'!ML</vt:lpstr>
      <vt:lpstr>'WL (5)'!ML</vt:lpstr>
      <vt:lpstr>'WL (6)'!ML</vt:lpstr>
      <vt:lpstr>'WL (7)'!ML</vt:lpstr>
      <vt:lpstr>'WL (8)'!ML</vt:lpstr>
      <vt:lpstr>'WL (9)'!ML</vt:lpstr>
      <vt:lpstr>'WL (x)'!ML</vt:lpstr>
      <vt:lpstr>'WL (1)'!Mmid</vt:lpstr>
      <vt:lpstr>'WL (10)'!Mmid</vt:lpstr>
      <vt:lpstr>'WL (11)'!Mmid</vt:lpstr>
      <vt:lpstr>'WL (12)'!Mmid</vt:lpstr>
      <vt:lpstr>'WL (13)'!Mmid</vt:lpstr>
      <vt:lpstr>'WL (14)'!Mmid</vt:lpstr>
      <vt:lpstr>'WL (15)'!Mmid</vt:lpstr>
      <vt:lpstr>'WL (16)'!Mmid</vt:lpstr>
      <vt:lpstr>'WL (17)'!Mmid</vt:lpstr>
      <vt:lpstr>'WL (18)'!Mmid</vt:lpstr>
      <vt:lpstr>'WL (19)'!Mmid</vt:lpstr>
      <vt:lpstr>'WL (2)'!Mmid</vt:lpstr>
      <vt:lpstr>'WL (20)'!Mmid</vt:lpstr>
      <vt:lpstr>'WL (21)'!Mmid</vt:lpstr>
      <vt:lpstr>'WL (22)'!Mmid</vt:lpstr>
      <vt:lpstr>'WL (23)'!Mmid</vt:lpstr>
      <vt:lpstr>'WL (24)'!Mmid</vt:lpstr>
      <vt:lpstr>'WL (25)'!Mmid</vt:lpstr>
      <vt:lpstr>'WL (3)'!Mmid</vt:lpstr>
      <vt:lpstr>'WL (4)'!Mmid</vt:lpstr>
      <vt:lpstr>'WL (5)'!Mmid</vt:lpstr>
      <vt:lpstr>'WL (6)'!Mmid</vt:lpstr>
      <vt:lpstr>'WL (7)'!Mmid</vt:lpstr>
      <vt:lpstr>'WL (8)'!Mmid</vt:lpstr>
      <vt:lpstr>'WL (9)'!Mmid</vt:lpstr>
      <vt:lpstr>'WL (x)'!Mmid</vt:lpstr>
      <vt:lpstr>MOMENT_TABLE</vt:lpstr>
      <vt:lpstr>'WL (1)'!MT</vt:lpstr>
      <vt:lpstr>'WL (10)'!MT</vt:lpstr>
      <vt:lpstr>'WL (11)'!MT</vt:lpstr>
      <vt:lpstr>'WL (12)'!MT</vt:lpstr>
      <vt:lpstr>'WL (13)'!MT</vt:lpstr>
      <vt:lpstr>'WL (14)'!MT</vt:lpstr>
      <vt:lpstr>'WL (15)'!MT</vt:lpstr>
      <vt:lpstr>'WL (16)'!MT</vt:lpstr>
      <vt:lpstr>'WL (17)'!MT</vt:lpstr>
      <vt:lpstr>'WL (18)'!MT</vt:lpstr>
      <vt:lpstr>'WL (19)'!MT</vt:lpstr>
      <vt:lpstr>'WL (2)'!MT</vt:lpstr>
      <vt:lpstr>'WL (20)'!MT</vt:lpstr>
      <vt:lpstr>'WL (21)'!MT</vt:lpstr>
      <vt:lpstr>'WL (22)'!MT</vt:lpstr>
      <vt:lpstr>'WL (23)'!MT</vt:lpstr>
      <vt:lpstr>'WL (24)'!MT</vt:lpstr>
      <vt:lpstr>'WL (25)'!MT</vt:lpstr>
      <vt:lpstr>'WL (3)'!MT</vt:lpstr>
      <vt:lpstr>'WL (4)'!MT</vt:lpstr>
      <vt:lpstr>'WL (5)'!MT</vt:lpstr>
      <vt:lpstr>'WL (6)'!MT</vt:lpstr>
      <vt:lpstr>'WL (7)'!MT</vt:lpstr>
      <vt:lpstr>'WL (8)'!MT</vt:lpstr>
      <vt:lpstr>'WL (9)'!MT</vt:lpstr>
      <vt:lpstr>'WL (x)'!MT</vt:lpstr>
      <vt:lpstr>Tools!No_of_BTKs</vt:lpstr>
      <vt:lpstr>OFFSET_A</vt:lpstr>
      <vt:lpstr>'Stn(1)'!RESULT_TABLE</vt:lpstr>
      <vt:lpstr>'Stn(10)'!RESULT_TABLE</vt:lpstr>
      <vt:lpstr>'Stn(11)'!RESULT_TABLE</vt:lpstr>
      <vt:lpstr>'Stn(12)'!RESULT_TABLE</vt:lpstr>
      <vt:lpstr>'Stn(13)'!RESULT_TABLE</vt:lpstr>
      <vt:lpstr>'Stn(14)'!RESULT_TABLE</vt:lpstr>
      <vt:lpstr>'Stn(15)'!RESULT_TABLE</vt:lpstr>
      <vt:lpstr>'Stn(16)'!RESULT_TABLE</vt:lpstr>
      <vt:lpstr>'Stn(17)'!RESULT_TABLE</vt:lpstr>
      <vt:lpstr>'Stn(18)'!RESULT_TABLE</vt:lpstr>
      <vt:lpstr>'Stn(19)'!RESULT_TABLE</vt:lpstr>
      <vt:lpstr>'Stn(2)'!RESULT_TABLE</vt:lpstr>
      <vt:lpstr>'Stn(20)'!RESULT_TABLE</vt:lpstr>
      <vt:lpstr>'Stn(21)'!RESULT_TABLE</vt:lpstr>
      <vt:lpstr>'Stn(22)'!RESULT_TABLE</vt:lpstr>
      <vt:lpstr>'Stn(23)'!RESULT_TABLE</vt:lpstr>
      <vt:lpstr>'Stn(24)'!RESULT_TABLE</vt:lpstr>
      <vt:lpstr>'Stn(25)'!RESULT_TABLE</vt:lpstr>
      <vt:lpstr>'Stn(3)'!RESULT_TABLE</vt:lpstr>
      <vt:lpstr>'Stn(4)'!RESULT_TABLE</vt:lpstr>
      <vt:lpstr>'Stn(5)'!RESULT_TABLE</vt:lpstr>
      <vt:lpstr>'Stn(6)'!RESULT_TABLE</vt:lpstr>
      <vt:lpstr>'Stn(7)'!RESULT_TABLE</vt:lpstr>
      <vt:lpstr>'Stn(8)'!RESULT_TABLE</vt:lpstr>
      <vt:lpstr>'Stn(9)'!RESULT_TABLE</vt:lpstr>
      <vt:lpstr>'View Bonjean'!RESULT_TABLE</vt:lpstr>
      <vt:lpstr>'Stn(1)'!Rise</vt:lpstr>
      <vt:lpstr>'Stn(10)'!Rise</vt:lpstr>
      <vt:lpstr>'Stn(11)'!Rise</vt:lpstr>
      <vt:lpstr>'Stn(12)'!Rise</vt:lpstr>
      <vt:lpstr>'Stn(13)'!Rise</vt:lpstr>
      <vt:lpstr>'Stn(14)'!Rise</vt:lpstr>
      <vt:lpstr>'Stn(15)'!Rise</vt:lpstr>
      <vt:lpstr>'Stn(16)'!Rise</vt:lpstr>
      <vt:lpstr>'Stn(17)'!Rise</vt:lpstr>
      <vt:lpstr>'Stn(18)'!Rise</vt:lpstr>
      <vt:lpstr>'Stn(19)'!Rise</vt:lpstr>
      <vt:lpstr>'Stn(2)'!Rise</vt:lpstr>
      <vt:lpstr>'Stn(20)'!Rise</vt:lpstr>
      <vt:lpstr>'Stn(21)'!Rise</vt:lpstr>
      <vt:lpstr>'Stn(22)'!Rise</vt:lpstr>
      <vt:lpstr>'Stn(23)'!Rise</vt:lpstr>
      <vt:lpstr>'Stn(24)'!Rise</vt:lpstr>
      <vt:lpstr>'Stn(25)'!Rise</vt:lpstr>
      <vt:lpstr>'Stn(3)'!Rise</vt:lpstr>
      <vt:lpstr>'Stn(4)'!Rise</vt:lpstr>
      <vt:lpstr>'Stn(5)'!Rise</vt:lpstr>
      <vt:lpstr>'Stn(6)'!Rise</vt:lpstr>
      <vt:lpstr>'Stn(7)'!Rise</vt:lpstr>
      <vt:lpstr>'Stn(8)'!Rise</vt:lpstr>
      <vt:lpstr>'Stn(9)'!Rise</vt:lpstr>
      <vt:lpstr>'View Bonjean'!Rise</vt:lpstr>
      <vt:lpstr>RISE_CALC</vt:lpstr>
      <vt:lpstr>'Stn(1)'!Rise_Results</vt:lpstr>
      <vt:lpstr>'Stn(10)'!Rise_Results</vt:lpstr>
      <vt:lpstr>'Stn(11)'!Rise_Results</vt:lpstr>
      <vt:lpstr>'Stn(12)'!Rise_Results</vt:lpstr>
      <vt:lpstr>'Stn(13)'!Rise_Results</vt:lpstr>
      <vt:lpstr>'Stn(14)'!Rise_Results</vt:lpstr>
      <vt:lpstr>'Stn(15)'!Rise_Results</vt:lpstr>
      <vt:lpstr>'Stn(16)'!Rise_Results</vt:lpstr>
      <vt:lpstr>'Stn(17)'!Rise_Results</vt:lpstr>
      <vt:lpstr>'Stn(18)'!Rise_Results</vt:lpstr>
      <vt:lpstr>'Stn(19)'!Rise_Results</vt:lpstr>
      <vt:lpstr>'Stn(2)'!Rise_Results</vt:lpstr>
      <vt:lpstr>'Stn(20)'!Rise_Results</vt:lpstr>
      <vt:lpstr>'Stn(21)'!Rise_Results</vt:lpstr>
      <vt:lpstr>'Stn(22)'!Rise_Results</vt:lpstr>
      <vt:lpstr>'Stn(23)'!Rise_Results</vt:lpstr>
      <vt:lpstr>'Stn(24)'!Rise_Results</vt:lpstr>
      <vt:lpstr>'Stn(25)'!Rise_Results</vt:lpstr>
      <vt:lpstr>'Stn(3)'!Rise_Results</vt:lpstr>
      <vt:lpstr>'Stn(4)'!Rise_Results</vt:lpstr>
      <vt:lpstr>'Stn(5)'!Rise_Results</vt:lpstr>
      <vt:lpstr>'Stn(6)'!Rise_Results</vt:lpstr>
      <vt:lpstr>'Stn(7)'!Rise_Results</vt:lpstr>
      <vt:lpstr>'Stn(8)'!Rise_Results</vt:lpstr>
      <vt:lpstr>'Stn(9)'!Rise_Results</vt:lpstr>
      <vt:lpstr>'View Bonjean'!Rise_Results</vt:lpstr>
      <vt:lpstr>'Stn(1)'!RisePerWLS</vt:lpstr>
      <vt:lpstr>'Stn(10)'!RisePerWLS</vt:lpstr>
      <vt:lpstr>'Stn(11)'!RisePerWLS</vt:lpstr>
      <vt:lpstr>'Stn(12)'!RisePerWLS</vt:lpstr>
      <vt:lpstr>'Stn(13)'!RisePerWLS</vt:lpstr>
      <vt:lpstr>'Stn(14)'!RisePerWLS</vt:lpstr>
      <vt:lpstr>'Stn(15)'!RisePerWLS</vt:lpstr>
      <vt:lpstr>'Stn(16)'!RisePerWLS</vt:lpstr>
      <vt:lpstr>'Stn(17)'!RisePerWLS</vt:lpstr>
      <vt:lpstr>'Stn(18)'!RisePerWLS</vt:lpstr>
      <vt:lpstr>'Stn(19)'!RisePerWLS</vt:lpstr>
      <vt:lpstr>'Stn(2)'!RisePerWLS</vt:lpstr>
      <vt:lpstr>'Stn(20)'!RisePerWLS</vt:lpstr>
      <vt:lpstr>'Stn(21)'!RisePerWLS</vt:lpstr>
      <vt:lpstr>'Stn(22)'!RisePerWLS</vt:lpstr>
      <vt:lpstr>'Stn(23)'!RisePerWLS</vt:lpstr>
      <vt:lpstr>'Stn(24)'!RisePerWLS</vt:lpstr>
      <vt:lpstr>'Stn(25)'!RisePerWLS</vt:lpstr>
      <vt:lpstr>'Stn(3)'!RisePerWLS</vt:lpstr>
      <vt:lpstr>'Stn(4)'!RisePerWLS</vt:lpstr>
      <vt:lpstr>'Stn(5)'!RisePerWLS</vt:lpstr>
      <vt:lpstr>'Stn(6)'!RisePerWLS</vt:lpstr>
      <vt:lpstr>'Stn(7)'!RisePerWLS</vt:lpstr>
      <vt:lpstr>'Stn(8)'!RisePerWLS</vt:lpstr>
      <vt:lpstr>'Stn(9)'!RisePerWLS</vt:lpstr>
      <vt:lpstr>'View Bonjean'!RisePerWLS</vt:lpstr>
      <vt:lpstr>S</vt:lpstr>
      <vt:lpstr>'Stn(1)'!Station_No</vt:lpstr>
      <vt:lpstr>'Stn(10)'!Station_No</vt:lpstr>
      <vt:lpstr>'Stn(11)'!Station_No</vt:lpstr>
      <vt:lpstr>'Stn(12)'!Station_No</vt:lpstr>
      <vt:lpstr>'Stn(13)'!Station_No</vt:lpstr>
      <vt:lpstr>'Stn(14)'!Station_No</vt:lpstr>
      <vt:lpstr>'Stn(15)'!Station_No</vt:lpstr>
      <vt:lpstr>'Stn(16)'!Station_No</vt:lpstr>
      <vt:lpstr>'Stn(17)'!Station_No</vt:lpstr>
      <vt:lpstr>'Stn(18)'!Station_No</vt:lpstr>
      <vt:lpstr>'Stn(19)'!Station_No</vt:lpstr>
      <vt:lpstr>'Stn(2)'!Station_No</vt:lpstr>
      <vt:lpstr>'Stn(20)'!Station_No</vt:lpstr>
      <vt:lpstr>'Stn(21)'!Station_No</vt:lpstr>
      <vt:lpstr>'Stn(22)'!Station_No</vt:lpstr>
      <vt:lpstr>'Stn(23)'!Station_No</vt:lpstr>
      <vt:lpstr>'Stn(24)'!Station_No</vt:lpstr>
      <vt:lpstr>'Stn(25)'!Station_No</vt:lpstr>
      <vt:lpstr>'Stn(3)'!Station_No</vt:lpstr>
      <vt:lpstr>'Stn(4)'!Station_No</vt:lpstr>
      <vt:lpstr>'Stn(5)'!Station_No</vt:lpstr>
      <vt:lpstr>'Stn(6)'!Station_No</vt:lpstr>
      <vt:lpstr>'Stn(7)'!Station_No</vt:lpstr>
      <vt:lpstr>'Stn(8)'!Station_No</vt:lpstr>
      <vt:lpstr>'Stn(9)'!Station_No</vt:lpstr>
      <vt:lpstr>'View Bonjean'!Station_No</vt:lpstr>
      <vt:lpstr>STN_GAP</vt:lpstr>
      <vt:lpstr>'Stn(1)'!STN_TABLE</vt:lpstr>
      <vt:lpstr>'Stn(10)'!STN_TABLE</vt:lpstr>
      <vt:lpstr>'Stn(11)'!STN_TABLE</vt:lpstr>
      <vt:lpstr>'Stn(12)'!STN_TABLE</vt:lpstr>
      <vt:lpstr>'Stn(13)'!STN_TABLE</vt:lpstr>
      <vt:lpstr>'Stn(14)'!STN_TABLE</vt:lpstr>
      <vt:lpstr>'Stn(15)'!STN_TABLE</vt:lpstr>
      <vt:lpstr>'Stn(16)'!STN_TABLE</vt:lpstr>
      <vt:lpstr>'Stn(17)'!STN_TABLE</vt:lpstr>
      <vt:lpstr>'Stn(18)'!STN_TABLE</vt:lpstr>
      <vt:lpstr>'Stn(19)'!STN_TABLE</vt:lpstr>
      <vt:lpstr>'Stn(2)'!STN_TABLE</vt:lpstr>
      <vt:lpstr>'Stn(20)'!STN_TABLE</vt:lpstr>
      <vt:lpstr>'Stn(21)'!STN_TABLE</vt:lpstr>
      <vt:lpstr>'Stn(22)'!STN_TABLE</vt:lpstr>
      <vt:lpstr>'Stn(23)'!STN_TABLE</vt:lpstr>
      <vt:lpstr>'Stn(24)'!STN_TABLE</vt:lpstr>
      <vt:lpstr>'Stn(25)'!STN_TABLE</vt:lpstr>
      <vt:lpstr>'Stn(3)'!STN_TABLE</vt:lpstr>
      <vt:lpstr>'Stn(4)'!STN_TABLE</vt:lpstr>
      <vt:lpstr>'Stn(5)'!STN_TABLE</vt:lpstr>
      <vt:lpstr>'Stn(6)'!STN_TABLE</vt:lpstr>
      <vt:lpstr>'Stn(7)'!STN_TABLE</vt:lpstr>
      <vt:lpstr>'Stn(8)'!STN_TABLE</vt:lpstr>
      <vt:lpstr>'Stn(9)'!STN_TABLE</vt:lpstr>
      <vt:lpstr>'View Bonjean'!STN_TABLE</vt:lpstr>
      <vt:lpstr>'Stn(1)'!STN_TABLE_2</vt:lpstr>
      <vt:lpstr>'Stn(10)'!STN_TABLE_2</vt:lpstr>
      <vt:lpstr>'Stn(11)'!STN_TABLE_2</vt:lpstr>
      <vt:lpstr>'Stn(12)'!STN_TABLE_2</vt:lpstr>
      <vt:lpstr>'Stn(13)'!STN_TABLE_2</vt:lpstr>
      <vt:lpstr>'Stn(14)'!STN_TABLE_2</vt:lpstr>
      <vt:lpstr>'Stn(15)'!STN_TABLE_2</vt:lpstr>
      <vt:lpstr>'Stn(16)'!STN_TABLE_2</vt:lpstr>
      <vt:lpstr>'Stn(17)'!STN_TABLE_2</vt:lpstr>
      <vt:lpstr>'Stn(18)'!STN_TABLE_2</vt:lpstr>
      <vt:lpstr>'Stn(19)'!STN_TABLE_2</vt:lpstr>
      <vt:lpstr>'Stn(2)'!STN_TABLE_2</vt:lpstr>
      <vt:lpstr>'Stn(20)'!STN_TABLE_2</vt:lpstr>
      <vt:lpstr>'Stn(21)'!STN_TABLE_2</vt:lpstr>
      <vt:lpstr>'Stn(22)'!STN_TABLE_2</vt:lpstr>
      <vt:lpstr>'Stn(23)'!STN_TABLE_2</vt:lpstr>
      <vt:lpstr>'Stn(24)'!STN_TABLE_2</vt:lpstr>
      <vt:lpstr>'Stn(25)'!STN_TABLE_2</vt:lpstr>
      <vt:lpstr>'Stn(3)'!STN_TABLE_2</vt:lpstr>
      <vt:lpstr>'Stn(4)'!STN_TABLE_2</vt:lpstr>
      <vt:lpstr>'Stn(5)'!STN_TABLE_2</vt:lpstr>
      <vt:lpstr>'Stn(6)'!STN_TABLE_2</vt:lpstr>
      <vt:lpstr>'Stn(7)'!STN_TABLE_2</vt:lpstr>
      <vt:lpstr>'Stn(8)'!STN_TABLE_2</vt:lpstr>
      <vt:lpstr>'Stn(9)'!STN_TABLE_2</vt:lpstr>
      <vt:lpstr>'View Bonjean'!STN_TABLE_2</vt:lpstr>
      <vt:lpstr>Stn_WL</vt:lpstr>
      <vt:lpstr>'WL (1)'!T</vt:lpstr>
      <vt:lpstr>'WL (10)'!T</vt:lpstr>
      <vt:lpstr>'WL (11)'!T</vt:lpstr>
      <vt:lpstr>'WL (12)'!T</vt:lpstr>
      <vt:lpstr>'WL (13)'!T</vt:lpstr>
      <vt:lpstr>'WL (14)'!T</vt:lpstr>
      <vt:lpstr>'WL (15)'!T</vt:lpstr>
      <vt:lpstr>'WL (16)'!T</vt:lpstr>
      <vt:lpstr>'WL (17)'!T</vt:lpstr>
      <vt:lpstr>'WL (18)'!T</vt:lpstr>
      <vt:lpstr>'WL (19)'!T</vt:lpstr>
      <vt:lpstr>'WL (2)'!T</vt:lpstr>
      <vt:lpstr>'WL (20)'!T</vt:lpstr>
      <vt:lpstr>'WL (21)'!T</vt:lpstr>
      <vt:lpstr>'WL (22)'!T</vt:lpstr>
      <vt:lpstr>'WL (23)'!T</vt:lpstr>
      <vt:lpstr>'WL (24)'!T</vt:lpstr>
      <vt:lpstr>'WL (25)'!T</vt:lpstr>
      <vt:lpstr>'WL (3)'!T</vt:lpstr>
      <vt:lpstr>'WL (4)'!T</vt:lpstr>
      <vt:lpstr>'WL (5)'!T</vt:lpstr>
      <vt:lpstr>'WL (6)'!T</vt:lpstr>
      <vt:lpstr>'WL (7)'!T</vt:lpstr>
      <vt:lpstr>'WL (8)'!T</vt:lpstr>
      <vt:lpstr>'WL (9)'!T</vt:lpstr>
      <vt:lpstr>'WL (x)'!T</vt:lpstr>
      <vt:lpstr>'WL (1)'!TPC</vt:lpstr>
      <vt:lpstr>'WL (10)'!TPC</vt:lpstr>
      <vt:lpstr>'WL (11)'!TPC</vt:lpstr>
      <vt:lpstr>'WL (12)'!TPC</vt:lpstr>
      <vt:lpstr>'WL (13)'!TPC</vt:lpstr>
      <vt:lpstr>'WL (14)'!TPC</vt:lpstr>
      <vt:lpstr>'WL (15)'!TPC</vt:lpstr>
      <vt:lpstr>'WL (16)'!TPC</vt:lpstr>
      <vt:lpstr>'WL (17)'!TPC</vt:lpstr>
      <vt:lpstr>'WL (18)'!TPC</vt:lpstr>
      <vt:lpstr>'WL (19)'!TPC</vt:lpstr>
      <vt:lpstr>'WL (2)'!TPC</vt:lpstr>
      <vt:lpstr>'WL (20)'!TPC</vt:lpstr>
      <vt:lpstr>'WL (21)'!TPC</vt:lpstr>
      <vt:lpstr>'WL (22)'!TPC</vt:lpstr>
      <vt:lpstr>'WL (23)'!TPC</vt:lpstr>
      <vt:lpstr>'WL (24)'!TPC</vt:lpstr>
      <vt:lpstr>'WL (25)'!TPC</vt:lpstr>
      <vt:lpstr>'WL (3)'!TPC</vt:lpstr>
      <vt:lpstr>'WL (4)'!TPC</vt:lpstr>
      <vt:lpstr>'WL (5)'!TPC</vt:lpstr>
      <vt:lpstr>'WL (6)'!TPC</vt:lpstr>
      <vt:lpstr>'WL (7)'!TPC</vt:lpstr>
      <vt:lpstr>'WL (8)'!TPC</vt:lpstr>
      <vt:lpstr>'WL (9)'!TPC</vt:lpstr>
      <vt:lpstr>'WL (x)'!TPC</vt:lpstr>
      <vt:lpstr>TPC</vt:lpstr>
      <vt:lpstr>Tools!V</vt:lpstr>
      <vt:lpstr>'WL (1)'!V_Disp</vt:lpstr>
      <vt:lpstr>'WL (10)'!V_Disp</vt:lpstr>
      <vt:lpstr>'WL (11)'!V_Disp</vt:lpstr>
      <vt:lpstr>'WL (12)'!V_Disp</vt:lpstr>
      <vt:lpstr>'WL (13)'!V_Disp</vt:lpstr>
      <vt:lpstr>'WL (14)'!V_Disp</vt:lpstr>
      <vt:lpstr>'WL (15)'!V_Disp</vt:lpstr>
      <vt:lpstr>'WL (16)'!V_Disp</vt:lpstr>
      <vt:lpstr>'WL (17)'!V_Disp</vt:lpstr>
      <vt:lpstr>'WL (18)'!V_Disp</vt:lpstr>
      <vt:lpstr>'WL (19)'!V_Disp</vt:lpstr>
      <vt:lpstr>'WL (2)'!V_Disp</vt:lpstr>
      <vt:lpstr>'WL (20)'!V_Disp</vt:lpstr>
      <vt:lpstr>'WL (21)'!V_Disp</vt:lpstr>
      <vt:lpstr>'WL (22)'!V_Disp</vt:lpstr>
      <vt:lpstr>'WL (23)'!V_Disp</vt:lpstr>
      <vt:lpstr>'WL (24)'!V_Disp</vt:lpstr>
      <vt:lpstr>'WL (25)'!V_Disp</vt:lpstr>
      <vt:lpstr>'WL (3)'!V_Disp</vt:lpstr>
      <vt:lpstr>'WL (4)'!V_Disp</vt:lpstr>
      <vt:lpstr>'WL (5)'!V_Disp</vt:lpstr>
      <vt:lpstr>'WL (6)'!V_Disp</vt:lpstr>
      <vt:lpstr>'WL (7)'!V_Disp</vt:lpstr>
      <vt:lpstr>'WL (8)'!V_Disp</vt:lpstr>
      <vt:lpstr>'WL (9)'!V_Disp</vt:lpstr>
      <vt:lpstr>'WL (x)'!V_Disp</vt:lpstr>
      <vt:lpstr>Volume_Displacement</vt:lpstr>
      <vt:lpstr>'WL (1)'!WL_No</vt:lpstr>
      <vt:lpstr>'WL (10)'!WL_No</vt:lpstr>
      <vt:lpstr>'WL (11)'!WL_No</vt:lpstr>
      <vt:lpstr>'WL (12)'!WL_No</vt:lpstr>
      <vt:lpstr>'WL (13)'!WL_No</vt:lpstr>
      <vt:lpstr>'WL (14)'!WL_No</vt:lpstr>
      <vt:lpstr>'WL (15)'!WL_No</vt:lpstr>
      <vt:lpstr>'WL (16)'!WL_No</vt:lpstr>
      <vt:lpstr>'WL (17)'!WL_No</vt:lpstr>
      <vt:lpstr>'WL (18)'!WL_No</vt:lpstr>
      <vt:lpstr>'WL (19)'!WL_No</vt:lpstr>
      <vt:lpstr>'WL (2)'!WL_No</vt:lpstr>
      <vt:lpstr>'WL (20)'!WL_No</vt:lpstr>
      <vt:lpstr>'WL (21)'!WL_No</vt:lpstr>
      <vt:lpstr>'WL (22)'!WL_No</vt:lpstr>
      <vt:lpstr>'WL (23)'!WL_No</vt:lpstr>
      <vt:lpstr>'WL (24)'!WL_No</vt:lpstr>
      <vt:lpstr>'WL (25)'!WL_No</vt:lpstr>
      <vt:lpstr>'WL (3)'!WL_No</vt:lpstr>
      <vt:lpstr>'WL (4)'!WL_No</vt:lpstr>
      <vt:lpstr>'WL (5)'!WL_No</vt:lpstr>
      <vt:lpstr>'WL (6)'!WL_No</vt:lpstr>
      <vt:lpstr>'WL (7)'!WL_No</vt:lpstr>
      <vt:lpstr>'WL (8)'!WL_No</vt:lpstr>
      <vt:lpstr>'WL (9)'!WL_No</vt:lpstr>
      <vt:lpstr>'WL (x)'!WL_No</vt:lpstr>
      <vt:lpstr>WLS</vt:lpstr>
      <vt:lpstr>Tools!X_SHIFT_BP</vt:lpstr>
      <vt:lpstr>Tools!Y_Shift_HB</vt:lpstr>
    </vt:vector>
  </TitlesOfParts>
  <Company>rg-adguard</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Abdul Rahim Ovingal</dc:creator>
  <cp:lastModifiedBy>Abdul Rahim Ovingal</cp:lastModifiedBy>
  <dcterms:created xsi:type="dcterms:W3CDTF">2017-10-15T10:00:44Z</dcterms:created>
  <dcterms:modified xsi:type="dcterms:W3CDTF">2018-06-12T06:32:28Z</dcterms:modified>
</cp:coreProperties>
</file>